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3075" windowWidth="38640" windowHeight="21120" tabRatio="688" firstSheet="3" activeTab="7" autoFilterDateGrouping="1"/>
  </bookViews>
  <sheets>
    <sheet xmlns:r="http://schemas.openxmlformats.org/officeDocument/2006/relationships" name="00_사용설명서" sheetId="1" state="visible" r:id="rId1"/>
    <sheet xmlns:r="http://schemas.openxmlformats.org/officeDocument/2006/relationships" name="01_설정" sheetId="2" state="visible" r:id="rId2"/>
    <sheet xmlns:r="http://schemas.openxmlformats.org/officeDocument/2006/relationships" name="02_대상물건입력" sheetId="3" state="visible" r:id="rId3"/>
    <sheet xmlns:r="http://schemas.openxmlformats.org/officeDocument/2006/relationships" name="03_가치형성요인기준" sheetId="4" state="visible" r:id="rId4"/>
    <sheet xmlns:r="http://schemas.openxmlformats.org/officeDocument/2006/relationships" name="04A_국토부원자료" sheetId="5" state="visible" r:id="rId5"/>
    <sheet xmlns:r="http://schemas.openxmlformats.org/officeDocument/2006/relationships" name="04B_정규화_자동필터" sheetId="6" state="visible" r:id="rId6"/>
    <sheet xmlns:r="http://schemas.openxmlformats.org/officeDocument/2006/relationships" name="05_자동선정_유사도" sheetId="7" state="visible" r:id="rId7"/>
    <sheet xmlns:r="http://schemas.openxmlformats.org/officeDocument/2006/relationships" name="05_KAIS" sheetId="8" state="visible" r:id="rId8"/>
    <sheet xmlns:r="http://schemas.openxmlformats.org/officeDocument/2006/relationships" name="05_KAPA" sheetId="9" state="visible" r:id="rId9"/>
    <sheet xmlns:r="http://schemas.openxmlformats.org/officeDocument/2006/relationships" name="05B_KAIS_사례선정" sheetId="10" state="visible" r:id="rId10"/>
    <sheet xmlns:r="http://schemas.openxmlformats.org/officeDocument/2006/relationships" name="05C_KAPA_선례선정" sheetId="11" state="visible" r:id="rId11"/>
    <sheet xmlns:r="http://schemas.openxmlformats.org/officeDocument/2006/relationships" name="06_요인비교_보정" sheetId="12" state="visible" r:id="rId12"/>
    <sheet xmlns:r="http://schemas.openxmlformats.org/officeDocument/2006/relationships" name="07_대지권_건물배분" sheetId="13" state="visible" r:id="rId13"/>
    <sheet xmlns:r="http://schemas.openxmlformats.org/officeDocument/2006/relationships" name="08_평가결론" sheetId="14" state="visible" r:id="rId14"/>
  </sheets>
  <definedNames>
    <definedName name="연율">'01_설정'!$B$19</definedName>
  </definedNames>
  <calcPr calcId="191029" calcMode="auto" fullCalcOnLoad="1" iterateDelta="0.0001" calcCompleted="1" calcOnSave="1" forceFullCalc="1"/>
</workbook>
</file>

<file path=xl/styles.xml><?xml version="1.0" encoding="utf-8"?>
<styleSheet xmlns="http://schemas.openxmlformats.org/spreadsheetml/2006/main">
  <numFmts count="9">
    <numFmt numFmtId="164" formatCode="yyyy\-mm\-dd"/>
    <numFmt numFmtId="165" formatCode="0.0%"/>
    <numFmt numFmtId="166" formatCode="#,##0.000"/>
    <numFmt numFmtId="167" formatCode="#,##0;[Red]\(#,##0\);\-"/>
    <numFmt numFmtId="168" formatCode="#,##0.00;[Red]\(#,##0.00\);\-"/>
    <numFmt numFmtId="169" formatCode="0.00\x"/>
    <numFmt numFmtId="170" formatCode="m/d/yyyy"/>
    <numFmt numFmtId="171" formatCode="0.0"/>
    <numFmt numFmtId="172" formatCode="0.000\x"/>
  </numFmts>
  <fonts count="48">
    <font>
      <name val="Calibri"/>
      <charset val="1"/>
      <family val="2"/>
      <color theme="1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sz val="11"/>
    </font>
    <font>
      <name val="Noto Sans CJK SC"/>
      <charset val="1"/>
      <family val="2"/>
      <b val="1"/>
      <color rgb="FFFFFFFF"/>
      <sz val="14"/>
    </font>
    <font>
      <name val="Noto Sans CJK SC"/>
      <charset val="1"/>
      <family val="2"/>
      <b val="1"/>
      <color rgb="FF666666"/>
      <sz val="11"/>
    </font>
    <font>
      <name val="Noto Sans CJK SC"/>
      <charset val="1"/>
      <family val="2"/>
      <color theme="1"/>
      <sz val="11"/>
    </font>
    <font>
      <name val="Noto Sans CJK SC"/>
      <charset val="1"/>
      <family val="2"/>
      <b val="1"/>
      <color rgb="FFFFFFFF"/>
      <sz val="11"/>
    </font>
    <font>
      <name val="Noto Sans CJK SC"/>
      <family val="2"/>
      <color theme="1"/>
      <sz val="11"/>
    </font>
    <font>
      <name val="맑은 고딕"/>
      <charset val="1"/>
      <family val="3"/>
      <b val="1"/>
      <color rgb="FF666666"/>
      <sz val="11"/>
    </font>
    <font>
      <name val="Noto Sans CJK SC"/>
      <family val="2"/>
      <b val="1"/>
      <color rgb="FF666666"/>
      <sz val="11"/>
    </font>
    <font>
      <name val="맑은 고딕"/>
      <charset val="1"/>
      <family val="3"/>
      <color rgb="FF0000FF"/>
      <sz val="11"/>
    </font>
    <font>
      <name val="Noto Sans CJK SC"/>
      <charset val="1"/>
      <family val="2"/>
      <color rgb="FF666666"/>
      <sz val="11"/>
    </font>
    <font>
      <name val="맑은 고딕"/>
      <charset val="1"/>
      <family val="3"/>
      <color rgb="FF666666"/>
      <sz val="11"/>
    </font>
    <font>
      <name val="Noto Sans CJK SC"/>
      <family val="2"/>
      <color rgb="FF666666"/>
      <sz val="11"/>
    </font>
    <font>
      <name val="Noto Sans CJK SC"/>
      <charset val="1"/>
      <family val="2"/>
      <color rgb="FF0000FF"/>
      <sz val="11"/>
    </font>
    <font>
      <name val="Noto Sans CJK SC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name val="Noto Sans CJK SC"/>
      <family val="2"/>
      <color rgb="FF0000FF"/>
      <sz val="11"/>
    </font>
    <font>
      <name val="맑은 고딕"/>
      <charset val="1"/>
      <family val="3"/>
      <color rgb="FF000000"/>
      <sz val="11"/>
    </font>
    <font>
      <name val="Noto Sans CJK SC"/>
      <family val="2"/>
      <sz val="10"/>
    </font>
    <font>
      <name val="Arial"/>
      <family val="2"/>
      <sz val="10"/>
    </font>
    <font>
      <name val="맑은 고딕"/>
      <charset val="1"/>
      <family val="3"/>
      <color rgb="FFC65911"/>
      <sz val="11"/>
    </font>
    <font>
      <name val="Noto Sans CJK SC"/>
      <family val="2"/>
      <color rgb="FFC65911"/>
      <sz val="11"/>
    </font>
    <font>
      <name val="Noto Sans CJK SC"/>
      <family val="2"/>
      <color rgb="FF000000"/>
      <sz val="11"/>
    </font>
    <font>
      <name val="Noto Sans CJK SC"/>
      <charset val="1"/>
      <family val="2"/>
      <color rgb="FFC65911"/>
      <sz val="11"/>
    </font>
    <font>
      <name val="Noto Sans CJK SC"/>
      <charset val="1"/>
      <family val="2"/>
      <color rgb="FF000000"/>
      <sz val="11"/>
    </font>
    <font>
      <name val="맑은 고딕"/>
      <charset val="129"/>
      <family val="3"/>
      <b val="1"/>
      <color theme="0"/>
      <sz val="11"/>
    </font>
    <font>
      <name val="Noto Sans CJK SC"/>
      <charset val="1"/>
      <family val="2"/>
      <b val="1"/>
      <color theme="0"/>
      <sz val="11"/>
    </font>
    <font>
      <name val="Noto Sans CJK SC"/>
      <charset val="1"/>
      <family val="2"/>
      <sz val="11"/>
    </font>
    <font>
      <name val="Noto Sans CJK SC"/>
      <family val="2"/>
      <sz val="11"/>
    </font>
    <font>
      <name val="맑은 고딕"/>
      <charset val="1"/>
      <family val="3"/>
      <b val="1"/>
      <color rgb="FFFFFFFF"/>
      <sz val="11"/>
    </font>
    <font>
      <name val="Noto Sans CJK SC"/>
      <family val="2"/>
      <b val="1"/>
      <color rgb="FFFFFFFF"/>
      <sz val="11"/>
    </font>
    <font>
      <name val="Noto Sans CJK SC"/>
      <charset val="1"/>
      <family val="2"/>
      <color rgb="FF008000"/>
      <sz val="11"/>
    </font>
    <font>
      <name val="맑은 고딕"/>
      <charset val="1"/>
      <family val="3"/>
      <color rgb="FF008000"/>
      <sz val="11"/>
    </font>
    <font>
      <name val="Calibri"/>
      <charset val="1"/>
      <family val="2"/>
      <b val="1"/>
      <color theme="1"/>
      <sz val="11"/>
    </font>
    <font>
      <name val="맑은 고딕"/>
      <charset val="129"/>
      <family val="3"/>
      <b val="1"/>
      <color theme="1"/>
      <sz val="11"/>
    </font>
    <font>
      <name val="Noto Sans CJK SC"/>
      <family val="2"/>
      <b val="1"/>
      <color rgb="FF000000"/>
      <sz val="11"/>
    </font>
    <font>
      <name val="돋움"/>
      <charset val="129"/>
      <family val="3"/>
      <color rgb="FF000000"/>
      <sz val="11"/>
    </font>
    <font>
      <name val="Noto Sans CJK SC"/>
      <charset val="1"/>
      <family val="2"/>
      <b val="1"/>
      <color rgb="FF000000"/>
      <sz val="11"/>
    </font>
    <font>
      <name val="돋움"/>
      <charset val="129"/>
      <family val="3"/>
      <color theme="1"/>
      <sz val="11"/>
    </font>
    <font>
      <name val="돋움"/>
      <charset val="129"/>
      <family val="3"/>
      <b val="1"/>
      <color theme="1"/>
      <sz val="11"/>
    </font>
    <font>
      <name val="Noto Sans CJK SC"/>
      <family val="2"/>
      <b val="1"/>
      <color theme="1"/>
      <sz val="11"/>
    </font>
    <font>
      <name val="Calibri"/>
      <charset val="1"/>
      <family val="2"/>
      <b val="1"/>
      <color theme="0"/>
      <sz val="11"/>
    </font>
    <font>
      <name val="Noto Sans CJK SC"/>
      <family val="2"/>
      <b val="1"/>
      <color theme="0"/>
      <sz val="11"/>
    </font>
    <font>
      <name val="Noto Sans CJK SC"/>
      <charset val="1"/>
      <family val="2"/>
      <b val="1"/>
      <color theme="1"/>
      <sz val="11"/>
    </font>
    <font>
      <name val="맑은 고딕"/>
      <charset val="129"/>
      <family val="3"/>
      <b val="1"/>
      <color rgb="FFFF0000"/>
      <sz val="11"/>
    </font>
    <font>
      <name val="맑은 고딕"/>
      <charset val="1"/>
      <family val="3"/>
      <color rgb="FFFF0000"/>
      <sz val="11"/>
    </font>
    <font>
      <name val="돋움"/>
      <charset val="129"/>
      <family val="3"/>
      <sz val="8"/>
    </font>
  </fonts>
  <fills count="13">
    <fill>
      <patternFill/>
    </fill>
    <fill>
      <patternFill patternType="gray125"/>
    </fill>
    <fill>
      <patternFill patternType="solid">
        <fgColor rgb="FF1F4E78"/>
        <bgColor rgb="FF17375E"/>
      </patternFill>
    </fill>
    <fill>
      <patternFill patternType="solid">
        <fgColor rgb="FFE7E6E6"/>
        <bgColor rgb="FFDDEBF7"/>
      </patternFill>
    </fill>
    <fill>
      <patternFill patternType="solid">
        <fgColor rgb="FF17365D"/>
        <bgColor rgb="FF17375E"/>
      </patternFill>
    </fill>
    <fill>
      <patternFill patternType="solid">
        <fgColor rgb="FFFFF2CC"/>
        <bgColor rgb="FFFDEADA"/>
      </patternFill>
    </fill>
    <fill>
      <patternFill patternType="solid">
        <fgColor theme="9" tint="0.7997985778374584"/>
        <bgColor rgb="FFFCE4D6"/>
      </patternFill>
    </fill>
    <fill>
      <patternFill patternType="solid">
        <fgColor rgb="FFDDEBF7"/>
        <bgColor rgb="FFE7E6E6"/>
      </patternFill>
    </fill>
    <fill>
      <patternFill patternType="solid">
        <fgColor rgb="FFFCE4D6"/>
        <bgColor rgb="FFFDEADA"/>
      </patternFill>
    </fill>
    <fill>
      <patternFill patternType="solid">
        <fgColor theme="3" tint="-0.249977111117893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theme="6" tint="-0.499984740745262"/>
        <bgColor rgb="FF666666"/>
      </patternFill>
    </fill>
    <fill>
      <patternFill patternType="solid">
        <fgColor theme="5" tint="0.7999816888943144"/>
        <bgColor rgb="FFFDEADA"/>
      </patternFill>
    </fill>
  </fills>
  <borders count="14">
    <border>
      <left/>
      <right/>
      <top/>
      <bottom/>
      <diagonal/>
    </border>
    <border>
      <left/>
      <right/>
      <top/>
      <bottom style="thin">
        <color rgb="FFC9C9C9"/>
      </bottom>
      <diagonal/>
    </border>
    <border>
      <left/>
      <right/>
      <top style="thin">
        <color rgb="FFC9C9C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C9C9C9"/>
      </top>
      <bottom style="thin">
        <color rgb="FFC9C9C9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2" fillId="0" borderId="0" applyAlignment="1">
      <alignment vertical="center"/>
    </xf>
  </cellStyleXfs>
  <cellXfs count="21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left" vertical="center"/>
    </xf>
    <xf numFmtId="164" fontId="10" fillId="5" borderId="3" applyAlignment="1" pivotButton="0" quotePrefix="0" xfId="0">
      <alignment vertical="center"/>
    </xf>
    <xf numFmtId="0" fontId="11" fillId="0" borderId="3" applyAlignment="1" pivotButton="0" quotePrefix="0" xfId="0">
      <alignment vertical="center"/>
    </xf>
    <xf numFmtId="165" fontId="10" fillId="5" borderId="3" applyAlignment="1" pivotButton="0" quotePrefix="0" xfId="0">
      <alignment vertical="center"/>
    </xf>
    <xf numFmtId="3" fontId="10" fillId="5" borderId="3" applyAlignment="1" pivotButton="0" quotePrefix="0" xfId="0">
      <alignment vertical="center"/>
    </xf>
    <xf numFmtId="0" fontId="12" fillId="0" borderId="3" applyAlignment="1" pivotButton="0" quotePrefix="0" xfId="0">
      <alignment vertical="center"/>
    </xf>
    <xf numFmtId="3" fontId="10" fillId="6" borderId="3" applyAlignment="1" pivotButton="0" quotePrefix="0" xfId="0">
      <alignment vertical="center"/>
    </xf>
    <xf numFmtId="166" fontId="10" fillId="5" borderId="3" applyAlignment="1" pivotButton="0" quotePrefix="0" xfId="0">
      <alignment vertical="center"/>
    </xf>
    <xf numFmtId="167" fontId="10" fillId="5" borderId="3" applyAlignment="1" pivotButton="0" quotePrefix="0" xfId="0">
      <alignment vertical="center"/>
    </xf>
    <xf numFmtId="0" fontId="6" fillId="2" borderId="4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14" fillId="5" borderId="1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16" fillId="5" borderId="1" applyAlignment="1" pivotButton="0" quotePrefix="0" xfId="0">
      <alignment vertical="center"/>
    </xf>
    <xf numFmtId="168" fontId="10" fillId="5" borderId="1" applyAlignment="1" pivotButton="0" quotePrefix="0" xfId="0">
      <alignment vertical="center"/>
    </xf>
    <xf numFmtId="164" fontId="10" fillId="5" borderId="1" applyAlignment="1" pivotButton="0" quotePrefix="0" xfId="0">
      <alignment vertical="center"/>
    </xf>
    <xf numFmtId="169" fontId="10" fillId="5" borderId="1" applyAlignment="1" pivotButton="0" quotePrefix="0" xfId="0">
      <alignment vertical="center"/>
    </xf>
    <xf numFmtId="3" fontId="10" fillId="5" borderId="1" applyAlignment="1" pivotButton="0" quotePrefix="0" xfId="0">
      <alignment vertical="center"/>
    </xf>
    <xf numFmtId="1" fontId="18" fillId="7" borderId="1" applyAlignment="1" pivotButton="0" quotePrefix="0" xfId="0">
      <alignment vertical="center"/>
    </xf>
    <xf numFmtId="168" fontId="18" fillId="7" borderId="1" applyAlignment="1" pivotButton="0" quotePrefix="0" xfId="0">
      <alignment vertical="center"/>
    </xf>
    <xf numFmtId="9" fontId="18" fillId="7" borderId="1" applyAlignment="1" pivotButton="0" quotePrefix="0" xfId="0">
      <alignment vertical="center"/>
    </xf>
    <xf numFmtId="167" fontId="18" fillId="7" borderId="1" applyAlignment="1" pivotButton="0" quotePrefix="0" xfId="0">
      <alignment vertical="center"/>
    </xf>
    <xf numFmtId="165" fontId="18" fillId="7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3" fontId="18" fillId="7" borderId="1" applyAlignment="1" pivotButton="0" quotePrefix="0" xfId="0">
      <alignment vertical="center"/>
    </xf>
    <xf numFmtId="0" fontId="21" fillId="8" borderId="1" applyAlignment="1" pivotButton="0" quotePrefix="0" xfId="0">
      <alignment vertical="center"/>
    </xf>
    <xf numFmtId="0" fontId="18" fillId="7" borderId="1" applyAlignment="1" pivotButton="0" quotePrefix="0" xfId="0">
      <alignment vertical="center"/>
    </xf>
    <xf numFmtId="0" fontId="24" fillId="8" borderId="1" applyAlignment="1" pivotButton="0" quotePrefix="0" xfId="0">
      <alignment vertical="center"/>
    </xf>
    <xf numFmtId="0" fontId="25" fillId="7" borderId="1" applyAlignment="1" pivotButton="0" quotePrefix="0" xfId="0">
      <alignment vertical="center"/>
    </xf>
    <xf numFmtId="169" fontId="18" fillId="7" borderId="1" applyAlignment="1" pivotButton="0" quotePrefix="0" xfId="0">
      <alignment vertical="center"/>
    </xf>
    <xf numFmtId="170" fontId="0" fillId="0" borderId="0" pivotButton="0" quotePrefix="0" xfId="0"/>
    <xf numFmtId="170" fontId="0" fillId="0" borderId="0" applyAlignment="1" pivotButton="0" quotePrefix="0" xfId="0">
      <alignment vertical="center"/>
    </xf>
    <xf numFmtId="0" fontId="26" fillId="9" borderId="5" applyAlignment="1" pivotButton="0" quotePrefix="0" xfId="2">
      <alignment horizontal="center" vertical="center"/>
    </xf>
    <xf numFmtId="0" fontId="27" fillId="9" borderId="5" applyAlignment="1" pivotButton="0" quotePrefix="0" xfId="2">
      <alignment horizontal="center" vertical="center"/>
    </xf>
    <xf numFmtId="0" fontId="2" fillId="0" borderId="3" applyAlignment="1" pivotButton="0" quotePrefix="0" xfId="2">
      <alignment vertical="center"/>
    </xf>
    <xf numFmtId="0" fontId="28" fillId="0" borderId="3" applyAlignment="1" pivotButton="0" quotePrefix="0" xfId="2">
      <alignment vertical="center"/>
    </xf>
    <xf numFmtId="0" fontId="2" fillId="0" borderId="6" applyAlignment="1" pivotButton="0" quotePrefix="0" xfId="2">
      <alignment vertical="center"/>
    </xf>
    <xf numFmtId="0" fontId="28" fillId="0" borderId="6" applyAlignment="1" pivotButton="0" quotePrefix="0" xfId="2">
      <alignment vertical="center"/>
    </xf>
    <xf numFmtId="0" fontId="6" fillId="2" borderId="3" applyAlignment="1" pivotButton="0" quotePrefix="0" xfId="0">
      <alignment horizontal="center" vertical="center" wrapText="1"/>
    </xf>
    <xf numFmtId="0" fontId="30" fillId="2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vertical="center"/>
    </xf>
    <xf numFmtId="0" fontId="32" fillId="0" borderId="3" applyAlignment="1" pivotButton="0" quotePrefix="0" xfId="0">
      <alignment vertical="center"/>
    </xf>
    <xf numFmtId="168" fontId="18" fillId="0" borderId="3" applyAlignment="1" pivotButton="0" quotePrefix="0" xfId="0">
      <alignment vertical="center"/>
    </xf>
    <xf numFmtId="164" fontId="18" fillId="0" borderId="3" applyAlignment="1" pivotButton="0" quotePrefix="0" xfId="0">
      <alignment vertical="center"/>
    </xf>
    <xf numFmtId="3" fontId="18" fillId="0" borderId="3" applyAlignment="1" pivotButton="0" quotePrefix="0" xfId="0">
      <alignment vertical="center"/>
    </xf>
    <xf numFmtId="167" fontId="18" fillId="0" borderId="3" applyAlignment="1" pivotButton="0" quotePrefix="0" xfId="0">
      <alignment vertical="center"/>
    </xf>
    <xf numFmtId="165" fontId="18" fillId="0" borderId="3" applyAlignment="1" pivotButton="0" quotePrefix="0" xfId="0">
      <alignment vertical="center"/>
    </xf>
    <xf numFmtId="164" fontId="33" fillId="0" borderId="3" applyAlignment="1" pivotButton="0" quotePrefix="0" xfId="0">
      <alignment vertical="center"/>
    </xf>
    <xf numFmtId="0" fontId="6" fillId="2" borderId="7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center" vertical="center" wrapText="1"/>
    </xf>
    <xf numFmtId="0" fontId="8" fillId="0" borderId="3" applyAlignment="1" pivotButton="0" quotePrefix="0" xfId="0">
      <alignment vertical="center"/>
    </xf>
    <xf numFmtId="170" fontId="34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3" fontId="34" fillId="0" borderId="0" pivotButton="0" quotePrefix="0" xfId="0"/>
    <xf numFmtId="170" fontId="34" fillId="0" borderId="0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170" fontId="6" fillId="2" borderId="8" applyAlignment="1" pivotButton="0" quotePrefix="0" xfId="0">
      <alignment horizontal="center" vertical="center" wrapText="1"/>
    </xf>
    <xf numFmtId="170" fontId="6" fillId="2" borderId="9" applyAlignment="1" pivotButton="0" quotePrefix="0" xfId="0">
      <alignment horizontal="center" vertical="center" wrapText="1"/>
    </xf>
    <xf numFmtId="0" fontId="9" fillId="0" borderId="3" applyAlignment="1" pivotButton="0" quotePrefix="0" xfId="0">
      <alignment vertical="center"/>
    </xf>
    <xf numFmtId="0" fontId="23" fillId="0" borderId="3" applyAlignment="1" pivotButton="0" quotePrefix="0" xfId="0">
      <alignment vertical="center"/>
    </xf>
    <xf numFmtId="168" fontId="23" fillId="0" borderId="3" applyAlignment="1" pivotButton="0" quotePrefix="0" xfId="0">
      <alignment vertical="center"/>
    </xf>
    <xf numFmtId="164" fontId="23" fillId="0" borderId="3" applyAlignment="1" pivotButton="0" quotePrefix="0" xfId="0">
      <alignment vertical="center"/>
    </xf>
    <xf numFmtId="167" fontId="23" fillId="0" borderId="3" applyAlignment="1" pivotButton="0" quotePrefix="0" xfId="0">
      <alignment vertical="center"/>
    </xf>
    <xf numFmtId="170" fontId="36" fillId="0" borderId="3" applyAlignment="1" pivotButton="0" quotePrefix="0" xfId="0">
      <alignment vertical="center"/>
    </xf>
    <xf numFmtId="0" fontId="36" fillId="0" borderId="3" applyAlignment="1" pivotButton="0" quotePrefix="0" xfId="0">
      <alignment vertical="center"/>
    </xf>
    <xf numFmtId="3" fontId="36" fillId="0" borderId="3" applyAlignment="1" pivotButton="0" quotePrefix="0" xfId="0">
      <alignment vertical="center"/>
    </xf>
    <xf numFmtId="170" fontId="23" fillId="0" borderId="3" applyAlignment="1" pivotButton="0" quotePrefix="0" xfId="0">
      <alignment vertical="center"/>
    </xf>
    <xf numFmtId="0" fontId="25" fillId="0" borderId="3" applyAlignment="1" pivotButton="0" quotePrefix="0" xfId="0">
      <alignment vertical="center"/>
    </xf>
    <xf numFmtId="170" fontId="38" fillId="0" borderId="3" applyAlignment="1" pivotButton="0" quotePrefix="0" xfId="0">
      <alignment vertical="center"/>
    </xf>
    <xf numFmtId="0" fontId="38" fillId="0" borderId="3" applyAlignment="1" pivotButton="0" quotePrefix="0" xfId="0">
      <alignment vertical="center"/>
    </xf>
    <xf numFmtId="167" fontId="25" fillId="0" borderId="3" applyAlignment="1" pivotButton="0" quotePrefix="0" xfId="0">
      <alignment vertical="center"/>
    </xf>
    <xf numFmtId="4" fontId="18" fillId="0" borderId="3" applyAlignment="1" pivotButton="0" quotePrefix="0" xfId="0">
      <alignment vertical="center"/>
    </xf>
    <xf numFmtId="0" fontId="39" fillId="0" borderId="3" pivotButton="0" quotePrefix="0" xfId="0"/>
    <xf numFmtId="0" fontId="7" fillId="0" borderId="3" pivotButton="0" quotePrefix="0" xfId="0"/>
    <xf numFmtId="170" fontId="40" fillId="0" borderId="3" pivotButton="0" quotePrefix="0" xfId="0"/>
    <xf numFmtId="3" fontId="39" fillId="0" borderId="3" pivotButton="0" quotePrefix="0" xfId="0"/>
    <xf numFmtId="0" fontId="40" fillId="0" borderId="3" pivotButton="0" quotePrefix="0" xfId="0"/>
    <xf numFmtId="3" fontId="40" fillId="0" borderId="3" pivotButton="0" quotePrefix="0" xfId="0"/>
    <xf numFmtId="3" fontId="35" fillId="0" borderId="3" pivotButton="0" quotePrefix="0" xfId="0"/>
    <xf numFmtId="170" fontId="39" fillId="0" borderId="3" pivotButton="0" quotePrefix="0" xfId="0"/>
    <xf numFmtId="0" fontId="0" fillId="0" borderId="3" pivotButton="0" quotePrefix="0" xfId="0"/>
    <xf numFmtId="0" fontId="5" fillId="0" borderId="3" pivotButton="0" quotePrefix="0" xfId="0"/>
    <xf numFmtId="170" fontId="34" fillId="0" borderId="3" pivotButton="0" quotePrefix="0" xfId="0"/>
    <xf numFmtId="0" fontId="34" fillId="0" borderId="3" pivotButton="0" quotePrefix="0" xfId="0"/>
    <xf numFmtId="3" fontId="34" fillId="0" borderId="3" pivotButton="0" quotePrefix="0" xfId="0"/>
    <xf numFmtId="170" fontId="0" fillId="0" borderId="3" pivotButton="0" quotePrefix="0" xfId="0"/>
    <xf numFmtId="170" fontId="41" fillId="0" borderId="3" pivotButton="0" quotePrefix="0" xfId="0"/>
    <xf numFmtId="0" fontId="41" fillId="0" borderId="3" pivotButton="0" quotePrefix="0" xfId="0"/>
    <xf numFmtId="3" fontId="41" fillId="0" borderId="3" pivotButton="0" quotePrefix="0" xfId="0"/>
    <xf numFmtId="170" fontId="7" fillId="0" borderId="3" pivotButton="0" quotePrefix="0" xfId="0"/>
    <xf numFmtId="4" fontId="39" fillId="0" borderId="3" pivotButton="0" quotePrefix="0" xfId="0"/>
    <xf numFmtId="0" fontId="7" fillId="0" borderId="6" pivotButton="0" quotePrefix="0" xfId="0"/>
    <xf numFmtId="170" fontId="41" fillId="0" borderId="6" pivotButton="0" quotePrefix="0" xfId="0"/>
    <xf numFmtId="0" fontId="41" fillId="0" borderId="6" pivotButton="0" quotePrefix="0" xfId="0"/>
    <xf numFmtId="170" fontId="7" fillId="0" borderId="6" pivotButton="0" quotePrefix="0" xfId="0"/>
    <xf numFmtId="0" fontId="39" fillId="0" borderId="6" pivotButton="0" quotePrefix="0" xfId="0"/>
    <xf numFmtId="4" fontId="39" fillId="0" borderId="6" pivotButton="0" quotePrefix="0" xfId="0"/>
    <xf numFmtId="3" fontId="40" fillId="0" borderId="6" pivotButton="0" quotePrefix="0" xfId="0"/>
    <xf numFmtId="4" fontId="0" fillId="0" borderId="3" pivotButton="0" quotePrefix="0" xfId="0"/>
    <xf numFmtId="0" fontId="42" fillId="11" borderId="3" pivotButton="0" quotePrefix="0" xfId="0"/>
    <xf numFmtId="0" fontId="27" fillId="11" borderId="3" pivotButton="0" quotePrefix="0" xfId="0"/>
    <xf numFmtId="0" fontId="27" fillId="11" borderId="3" applyAlignment="1" pivotButton="0" quotePrefix="0" xfId="0">
      <alignment wrapText="1"/>
    </xf>
    <xf numFmtId="3" fontId="27" fillId="11" borderId="3" pivotButton="0" quotePrefix="0" xfId="0"/>
    <xf numFmtId="0" fontId="42" fillId="11" borderId="3" applyAlignment="1" pivotButton="0" quotePrefix="0" xfId="0">
      <alignment wrapText="1"/>
    </xf>
    <xf numFmtId="3" fontId="0" fillId="0" borderId="3" pivotButton="0" quotePrefix="0" xfId="0"/>
    <xf numFmtId="0" fontId="44" fillId="0" borderId="3" pivotButton="0" quotePrefix="0" xfId="0"/>
    <xf numFmtId="0" fontId="7" fillId="0" borderId="0" pivotButton="0" quotePrefix="0" xfId="0"/>
    <xf numFmtId="0" fontId="41" fillId="0" borderId="0" pivotButton="0" quotePrefix="0" xfId="0"/>
    <xf numFmtId="3" fontId="0" fillId="0" borderId="0" pivotButton="0" quotePrefix="0" xfId="0"/>
    <xf numFmtId="0" fontId="8" fillId="0" borderId="10" applyAlignment="1" pivotButton="0" quotePrefix="0" xfId="0">
      <alignment vertical="center"/>
    </xf>
    <xf numFmtId="171" fontId="18" fillId="0" borderId="3" applyAlignment="1" pivotButton="0" quotePrefix="0" xfId="0">
      <alignment vertical="center"/>
    </xf>
    <xf numFmtId="168" fontId="18" fillId="0" borderId="11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18" fillId="0" borderId="6" applyAlignment="1" pivotButton="0" quotePrefix="0" xfId="0">
      <alignment vertical="center"/>
    </xf>
    <xf numFmtId="168" fontId="18" fillId="0" borderId="6" applyAlignment="1" pivotButton="0" quotePrefix="0" xfId="0">
      <alignment vertical="center"/>
    </xf>
    <xf numFmtId="164" fontId="18" fillId="0" borderId="6" applyAlignment="1" pivotButton="0" quotePrefix="0" xfId="0">
      <alignment vertical="center"/>
    </xf>
    <xf numFmtId="167" fontId="18" fillId="0" borderId="6" applyAlignment="1" pivotButton="0" quotePrefix="0" xfId="0">
      <alignment vertical="center"/>
    </xf>
    <xf numFmtId="168" fontId="18" fillId="0" borderId="13" applyAlignment="1" pivotButton="0" quotePrefix="0" xfId="0">
      <alignment vertical="center"/>
    </xf>
    <xf numFmtId="0" fontId="5" fillId="0" borderId="0" pivotButton="0" quotePrefix="0" xfId="0"/>
    <xf numFmtId="164" fontId="0" fillId="0" borderId="0" pivotButton="0" quotePrefix="0" xfId="0"/>
    <xf numFmtId="2" fontId="18" fillId="0" borderId="3" applyAlignment="1" pivotButton="0" quotePrefix="0" xfId="0">
      <alignment vertical="center"/>
    </xf>
    <xf numFmtId="0" fontId="18" fillId="0" borderId="10" applyAlignment="1" pivotButton="0" quotePrefix="0" xfId="0">
      <alignment vertical="center"/>
    </xf>
    <xf numFmtId="172" fontId="10" fillId="5" borderId="3" applyAlignment="1" pivotButton="0" quotePrefix="0" xfId="0">
      <alignment vertical="center"/>
    </xf>
    <xf numFmtId="172" fontId="18" fillId="0" borderId="3" applyAlignment="1" pivotButton="0" quotePrefix="0" xfId="0">
      <alignment vertical="center"/>
    </xf>
    <xf numFmtId="172" fontId="10" fillId="8" borderId="3" applyAlignment="1" pivotButton="0" quotePrefix="0" xfId="0">
      <alignment vertical="center"/>
    </xf>
    <xf numFmtId="0" fontId="18" fillId="0" borderId="12" applyAlignment="1" pivotButton="0" quotePrefix="0" xfId="0">
      <alignment vertical="center"/>
    </xf>
    <xf numFmtId="0" fontId="32" fillId="0" borderId="6" applyAlignment="1" pivotButton="0" quotePrefix="0" xfId="0">
      <alignment vertical="center"/>
    </xf>
    <xf numFmtId="172" fontId="18" fillId="7" borderId="1" applyAlignment="1" pivotButton="0" quotePrefix="0" xfId="0">
      <alignment vertical="center"/>
    </xf>
    <xf numFmtId="167" fontId="45" fillId="10" borderId="1" applyAlignment="1" pivotButton="0" quotePrefix="0" xfId="0">
      <alignment vertical="center"/>
    </xf>
    <xf numFmtId="167" fontId="18" fillId="0" borderId="1" applyAlignment="1" pivotButton="0" quotePrefix="0" xfId="0">
      <alignment vertical="center"/>
    </xf>
    <xf numFmtId="165" fontId="18" fillId="0" borderId="1" applyAlignment="1" pivotButton="0" quotePrefix="0" xfId="0">
      <alignment vertical="center"/>
    </xf>
    <xf numFmtId="167" fontId="46" fillId="10" borderId="1" applyAlignment="1" pivotButton="0" quotePrefix="0" xfId="0">
      <alignment vertical="center"/>
    </xf>
    <xf numFmtId="0" fontId="25" fillId="0" borderId="1" applyAlignment="1" pivotButton="0" quotePrefix="0" xfId="0">
      <alignment wrapText="1"/>
    </xf>
    <xf numFmtId="168" fontId="10" fillId="12" borderId="3" applyAlignment="1" pivotButton="0" quotePrefix="0" xfId="0">
      <alignment vertical="center"/>
    </xf>
    <xf numFmtId="165" fontId="10" fillId="12" borderId="3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  <xf numFmtId="0" fontId="21" fillId="5" borderId="0" applyAlignment="1" pivotButton="0" quotePrefix="0" xfId="0">
      <alignment wrapText="1"/>
    </xf>
    <xf numFmtId="0" fontId="3" fillId="11" borderId="0" applyAlignment="1" pivotButton="0" quotePrefix="0" xfId="0">
      <alignment horizontal="center" vertical="center"/>
    </xf>
    <xf numFmtId="0" fontId="8" fillId="0" borderId="3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168" fontId="18" fillId="0" borderId="3" applyAlignment="1" pivotButton="0" quotePrefix="0" xfId="0">
      <alignment vertical="center"/>
    </xf>
    <xf numFmtId="164" fontId="18" fillId="0" borderId="3" applyAlignment="1" pivotButton="0" quotePrefix="0" xfId="0">
      <alignment vertical="center"/>
    </xf>
    <xf numFmtId="167" fontId="18" fillId="0" borderId="3" applyAlignment="1" pivotButton="0" quotePrefix="0" xfId="0">
      <alignment vertical="center"/>
    </xf>
    <xf numFmtId="165" fontId="18" fillId="0" borderId="3" applyAlignment="1" pivotButton="0" quotePrefix="0" xfId="0">
      <alignment vertical="center"/>
    </xf>
    <xf numFmtId="164" fontId="10" fillId="5" borderId="3" applyAlignment="1" pivotButton="0" quotePrefix="0" xfId="0">
      <alignment vertical="center"/>
    </xf>
    <xf numFmtId="165" fontId="10" fillId="5" borderId="3" applyAlignment="1" pivotButton="0" quotePrefix="0" xfId="0">
      <alignment vertical="center"/>
    </xf>
    <xf numFmtId="166" fontId="10" fillId="5" borderId="3" applyAlignment="1" pivotButton="0" quotePrefix="0" xfId="0">
      <alignment vertical="center"/>
    </xf>
    <xf numFmtId="167" fontId="10" fillId="5" borderId="3" applyAlignment="1" pivotButton="0" quotePrefix="0" xfId="0">
      <alignment vertical="center"/>
    </xf>
    <xf numFmtId="168" fontId="10" fillId="12" borderId="3" applyAlignment="1" pivotButton="0" quotePrefix="0" xfId="0">
      <alignment vertical="center"/>
    </xf>
    <xf numFmtId="165" fontId="10" fillId="12" borderId="3" applyAlignment="1" pivotButton="0" quotePrefix="0" xfId="0">
      <alignment vertical="center"/>
    </xf>
    <xf numFmtId="168" fontId="10" fillId="5" borderId="1" applyAlignment="1" pivotButton="0" quotePrefix="0" xfId="0">
      <alignment vertical="center"/>
    </xf>
    <xf numFmtId="164" fontId="10" fillId="5" borderId="1" applyAlignment="1" pivotButton="0" quotePrefix="0" xfId="0">
      <alignment vertical="center"/>
    </xf>
    <xf numFmtId="169" fontId="10" fillId="5" borderId="1" applyAlignment="1" pivotButton="0" quotePrefix="0" xfId="0">
      <alignment vertical="center"/>
    </xf>
    <xf numFmtId="168" fontId="18" fillId="7" borderId="1" applyAlignment="1" pivotButton="0" quotePrefix="0" xfId="0">
      <alignment vertical="center"/>
    </xf>
    <xf numFmtId="167" fontId="18" fillId="7" borderId="1" applyAlignment="1" pivotButton="0" quotePrefix="0" xfId="0">
      <alignment vertical="center"/>
    </xf>
    <xf numFmtId="165" fontId="18" fillId="7" borderId="1" applyAlignment="1" pivotButton="0" quotePrefix="0" xfId="0">
      <alignment vertical="center"/>
    </xf>
    <xf numFmtId="169" fontId="18" fillId="7" borderId="1" applyAlignment="1" pivotButton="0" quotePrefix="0" xfId="0">
      <alignment vertical="center"/>
    </xf>
    <xf numFmtId="170" fontId="0" fillId="0" borderId="0" pivotButton="0" quotePrefix="0" xfId="0"/>
    <xf numFmtId="170" fontId="0" fillId="0" borderId="0" applyAlignment="1" pivotButton="0" quotePrefix="0" xfId="0">
      <alignment vertical="center"/>
    </xf>
    <xf numFmtId="168" fontId="18" fillId="0" borderId="3" applyAlignment="1" pivotButton="0" quotePrefix="0" xfId="0">
      <alignment vertical="center"/>
    </xf>
    <xf numFmtId="164" fontId="18" fillId="0" borderId="3" applyAlignment="1" pivotButton="0" quotePrefix="0" xfId="0">
      <alignment vertical="center"/>
    </xf>
    <xf numFmtId="167" fontId="18" fillId="0" borderId="3" applyAlignment="1" pivotButton="0" quotePrefix="0" xfId="0">
      <alignment vertical="center"/>
    </xf>
    <xf numFmtId="165" fontId="18" fillId="0" borderId="3" applyAlignment="1" pivotButton="0" quotePrefix="0" xfId="0">
      <alignment vertical="center"/>
    </xf>
    <xf numFmtId="164" fontId="33" fillId="0" borderId="3" applyAlignment="1" pivotButton="0" quotePrefix="0" xfId="0">
      <alignment vertical="center"/>
    </xf>
    <xf numFmtId="170" fontId="34" fillId="0" borderId="0" pivotButton="0" quotePrefix="0" xfId="0"/>
    <xf numFmtId="170" fontId="34" fillId="0" borderId="0" applyAlignment="1" pivotButton="0" quotePrefix="0" xfId="0">
      <alignment vertical="center"/>
    </xf>
    <xf numFmtId="170" fontId="6" fillId="2" borderId="8" applyAlignment="1" pivotButton="0" quotePrefix="0" xfId="0">
      <alignment horizontal="center" vertical="center" wrapText="1"/>
    </xf>
    <xf numFmtId="170" fontId="6" fillId="2" borderId="9" applyAlignment="1" pivotButton="0" quotePrefix="0" xfId="0">
      <alignment horizontal="center" vertical="center" wrapText="1"/>
    </xf>
    <xf numFmtId="168" fontId="23" fillId="0" borderId="3" applyAlignment="1" pivotButton="0" quotePrefix="0" xfId="0">
      <alignment vertical="center"/>
    </xf>
    <xf numFmtId="164" fontId="23" fillId="0" borderId="3" applyAlignment="1" pivotButton="0" quotePrefix="0" xfId="0">
      <alignment vertical="center"/>
    </xf>
    <xf numFmtId="167" fontId="23" fillId="0" borderId="3" applyAlignment="1" pivotButton="0" quotePrefix="0" xfId="0">
      <alignment vertical="center"/>
    </xf>
    <xf numFmtId="170" fontId="36" fillId="0" borderId="3" applyAlignment="1" pivotButton="0" quotePrefix="0" xfId="0">
      <alignment vertical="center"/>
    </xf>
    <xf numFmtId="170" fontId="23" fillId="0" borderId="3" applyAlignment="1" pivotButton="0" quotePrefix="0" xfId="0">
      <alignment vertical="center"/>
    </xf>
    <xf numFmtId="170" fontId="38" fillId="0" borderId="3" applyAlignment="1" pivotButton="0" quotePrefix="0" xfId="0">
      <alignment vertical="center"/>
    </xf>
    <xf numFmtId="167" fontId="25" fillId="0" borderId="3" applyAlignment="1" pivotButton="0" quotePrefix="0" xfId="0">
      <alignment vertical="center"/>
    </xf>
    <xf numFmtId="170" fontId="40" fillId="0" borderId="3" pivotButton="0" quotePrefix="0" xfId="0"/>
    <xf numFmtId="170" fontId="39" fillId="0" borderId="3" pivotButton="0" quotePrefix="0" xfId="0"/>
    <xf numFmtId="170" fontId="34" fillId="0" borderId="3" pivotButton="0" quotePrefix="0" xfId="0"/>
    <xf numFmtId="170" fontId="0" fillId="0" borderId="3" pivotButton="0" quotePrefix="0" xfId="0"/>
    <xf numFmtId="170" fontId="41" fillId="0" borderId="3" pivotButton="0" quotePrefix="0" xfId="0"/>
    <xf numFmtId="170" fontId="7" fillId="0" borderId="3" pivotButton="0" quotePrefix="0" xfId="0"/>
    <xf numFmtId="170" fontId="41" fillId="0" borderId="6" pivotButton="0" quotePrefix="0" xfId="0"/>
    <xf numFmtId="170" fontId="7" fillId="0" borderId="6" pivotButton="0" quotePrefix="0" xfId="0"/>
    <xf numFmtId="171" fontId="18" fillId="0" borderId="3" applyAlignment="1" pivotButton="0" quotePrefix="0" xfId="0">
      <alignment vertical="center"/>
    </xf>
    <xf numFmtId="168" fontId="18" fillId="0" borderId="11" applyAlignment="1" pivotButton="0" quotePrefix="0" xfId="0">
      <alignment vertical="center"/>
    </xf>
    <xf numFmtId="168" fontId="18" fillId="0" borderId="6" applyAlignment="1" pivotButton="0" quotePrefix="0" xfId="0">
      <alignment vertical="center"/>
    </xf>
    <xf numFmtId="164" fontId="18" fillId="0" borderId="6" applyAlignment="1" pivotButton="0" quotePrefix="0" xfId="0">
      <alignment vertical="center"/>
    </xf>
    <xf numFmtId="167" fontId="18" fillId="0" borderId="6" applyAlignment="1" pivotButton="0" quotePrefix="0" xfId="0">
      <alignment vertical="center"/>
    </xf>
    <xf numFmtId="168" fontId="18" fillId="0" borderId="13" applyAlignment="1" pivotButton="0" quotePrefix="0" xfId="0">
      <alignment vertical="center"/>
    </xf>
    <xf numFmtId="164" fontId="0" fillId="0" borderId="0" pivotButton="0" quotePrefix="0" xfId="0"/>
    <xf numFmtId="172" fontId="10" fillId="5" borderId="3" applyAlignment="1" pivotButton="0" quotePrefix="0" xfId="0">
      <alignment vertical="center"/>
    </xf>
    <xf numFmtId="172" fontId="18" fillId="0" borderId="3" applyAlignment="1" pivotButton="0" quotePrefix="0" xfId="0">
      <alignment vertical="center"/>
    </xf>
    <xf numFmtId="172" fontId="10" fillId="8" borderId="3" applyAlignment="1" pivotButton="0" quotePrefix="0" xfId="0">
      <alignment vertical="center"/>
    </xf>
    <xf numFmtId="172" fontId="18" fillId="7" borderId="1" applyAlignment="1" pivotButton="0" quotePrefix="0" xfId="0">
      <alignment vertical="center"/>
    </xf>
    <xf numFmtId="167" fontId="45" fillId="10" borderId="1" applyAlignment="1" pivotButton="0" quotePrefix="0" xfId="0">
      <alignment vertical="center"/>
    </xf>
    <xf numFmtId="167" fontId="18" fillId="0" borderId="1" applyAlignment="1" pivotButton="0" quotePrefix="0" xfId="0">
      <alignment vertical="center"/>
    </xf>
    <xf numFmtId="165" fontId="18" fillId="0" borderId="1" applyAlignment="1" pivotButton="0" quotePrefix="0" xfId="0">
      <alignment vertical="center"/>
    </xf>
    <xf numFmtId="167" fontId="46" fillId="10" borderId="1" applyAlignment="1" pivotButton="0" quotePrefix="0" xfId="0">
      <alignment vertical="center"/>
    </xf>
  </cellXfs>
  <cellStyles count="3">
    <cellStyle name="표준" xfId="0" builtinId="0"/>
    <cellStyle name="표준 2" xfId="1"/>
    <cellStyle name="표준 3" xfId="2"/>
  </cellStyles>
  <dxfs count="1"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8080"/>
      <rgbColor rgb="FFC9C9C9"/>
      <rgbColor rgb="FF808080"/>
      <rgbColor rgb="FF5B9BD5"/>
      <rgbColor rgb="FF7030A0"/>
      <rgbColor rgb="FFFFF2CC"/>
      <rgbColor rgb="FFDDEB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7E6E6"/>
      <rgbColor rgb="FFE2F0D9"/>
      <rgbColor rgb="FFFDEADA"/>
      <rgbColor rgb="FF99CCFF"/>
      <rgbColor rgb="FFFF99CC"/>
      <rgbColor rgb="FFCC99FF"/>
      <rgbColor rgb="FFFCE4D6"/>
      <rgbColor rgb="FF3366FF"/>
      <rgbColor rgb="FF33CCCC"/>
      <rgbColor rgb="FF92D050"/>
      <rgbColor rgb="FFFFC000"/>
      <rgbColor rgb="FFFF9900"/>
      <rgbColor rgb="FFC65911"/>
      <rgbColor rgb="FF666666"/>
      <rgbColor rgb="FF70AD47"/>
      <rgbColor rgb="FF17365D"/>
      <rgbColor rgb="FF339966"/>
      <rgbColor rgb="FF003300"/>
      <rgbColor rgb="FF333300"/>
      <rgbColor rgb="FF993300"/>
      <rgbColor rgb="FF993366"/>
      <rgbColor rgb="FF1F4E78"/>
      <rgbColor rgb="FF17375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자동필터 1차 조건에 사용됩니다. 시군구 전체 문자열 또는 핵심 키워드를 넣으세요.</t>
      </text>
    </comment>
    <comment ref="B6" authorId="0" shapeId="0">
      <text>
        <t>법정동 키워드. 예: 가락동 / 문정동 / 잠실동</t>
      </text>
    </comment>
    <comment ref="B15" authorId="0" shapeId="0">
      <text>
        <t>기타요인 기본계수. 특이사항 없으면 1.00 유지</t>
      </text>
    </comment>
  </commentList>
</comments>
</file>

<file path=xl/tables/table1.xml><?xml version="1.0" encoding="utf-8"?>
<table xmlns="http://schemas.openxmlformats.org/spreadsheetml/2006/main" id="1" name="표4" displayName="표4" ref="A4:U2402" headerRowCount="1" totalsRowShown="0">
  <autoFilter ref="A4:U2402">
    <filterColumn colId="5" hiddenButton="0" showButton="1">
      <filters>
        <filter val="서초한신"/>
      </filters>
    </filterColumn>
    <filterColumn colId="10" hiddenButton="0" showButton="1">
      <filters>
        <filter val="101"/>
      </filters>
    </filterColumn>
  </autoFilter>
  <tableColumns count="21">
    <tableColumn id="1" name="NO"/>
    <tableColumn id="2" name="시군구"/>
    <tableColumn id="3" name="번지"/>
    <tableColumn id="4" name="본번"/>
    <tableColumn id="5" name="부번"/>
    <tableColumn id="6" name="단지명"/>
    <tableColumn id="7" name="전용면적(㎡)"/>
    <tableColumn id="8" name="계약년월"/>
    <tableColumn id="9" name="계약일"/>
    <tableColumn id="10" name="거래금액(만원)"/>
    <tableColumn id="11" name="동"/>
    <tableColumn id="12" name="층"/>
    <tableColumn id="13" name="매수자"/>
    <tableColumn id="14" name="매도자"/>
    <tableColumn id="15" name="건축년도"/>
    <tableColumn id="16" name="도로명"/>
    <tableColumn id="17" name="해제사유발생일"/>
    <tableColumn id="18" name="거래유형"/>
    <tableColumn id="19" name="중개사소재지"/>
    <tableColumn id="20" name="등기일자"/>
    <tableColumn id="21" name="주택유형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표1" displayName="표1" ref="A3:Q23" headerRowCount="1" totalsRowShown="0">
  <autoFilter ref="A3:Q23"/>
  <tableColumns count="17">
    <tableColumn id="1" name="순위"/>
    <tableColumn id="2" name="후보인덱스"/>
    <tableColumn id="3" name="시군구"/>
    <tableColumn id="4" name="번지"/>
    <tableColumn id="5" name="표시명"/>
    <tableColumn id="6" name="전용면적(㎡)"/>
    <tableColumn id="7" name="계약일"/>
    <tableColumn id="8" name="거래금액(원)"/>
    <tableColumn id="9" name="단가(원/㎡)"/>
    <tableColumn id="10" name="층"/>
    <tableColumn id="11" name="건축년도"/>
    <tableColumn id="12" name="도로명"/>
    <tableColumn id="13" name="거래유형"/>
    <tableColumn id="14" name="동일법정동"/>
    <tableColumn id="15" name="동일도로명"/>
    <tableColumn id="16" name="동일건물"/>
    <tableColumn id="17" name="유사도점수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표3" displayName="표3" ref="A3:N53" headerRowCount="1" totalsRowShown="0">
  <autoFilter ref="A3:N53"/>
  <tableColumns count="14">
    <tableColumn id="1" name="상세물건번호"/>
    <tableColumn id="2" name="시군구"/>
    <tableColumn id="3" name="소재지"/>
    <tableColumn id="4" name="지번"/>
    <tableColumn id="5" name="상세물건구분"/>
    <tableColumn id="6" name="지목"/>
    <tableColumn id="7" name="용도지역"/>
    <tableColumn id="8" name="기타주소"/>
    <tableColumn id="9" name="거래시점"/>
    <tableColumn id="10" name="전체면적"/>
    <tableColumn id="11" name="전용면적"/>
    <tableColumn id="12" name="물건금액"/>
    <tableColumn id="13" name="단가"/>
    <tableColumn id="14" name="사용승인일자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표2" displayName="표2" ref="A3:U18" headerRowCount="1" totalsRowShown="0">
  <autoFilter ref="A3:U18"/>
  <tableColumns count="21">
    <tableColumn id="1" name="순위"/>
    <tableColumn id="2" name="표시명"/>
    <tableColumn id="3" name="소재지"/>
    <tableColumn id="4" name="전용면적(㎡)"/>
    <tableColumn id="5" name="거래금액_x000a_(원)"/>
    <tableColumn id="6" name="사례단가_x000a_(원/㎡)"/>
    <tableColumn id="7" name="사정보정_x000a_(입력)"/>
    <tableColumn id="8" name="시점수정_x000a_(자동)"/>
    <tableColumn id="9" name="외부요인_x000a_(자동)"/>
    <tableColumn id="10" name="외부 Override"/>
    <tableColumn id="11" name="내부요인_x000a_(자동)"/>
    <tableColumn id="12" name="내부 Override"/>
    <tableColumn id="13" name="호별요인_x000a_(자동)"/>
    <tableColumn id="14" name="호별 Override"/>
    <tableColumn id="15" name="기타요인_x000a_(기본)"/>
    <tableColumn id="16" name="기타 Override"/>
    <tableColumn id="17" name="총보정율"/>
    <tableColumn id="18" name="보정단가_x000a_(원/㎡)"/>
    <tableColumn id="19" name="유사도점수"/>
    <tableColumn id="20" name="가중치"/>
    <tableColumn id="21" name="가중단가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J39"/>
  <sheetViews>
    <sheetView showGridLines="0" zoomScaleNormal="100" workbookViewId="0">
      <selection activeCell="F17" sqref="F17"/>
    </sheetView>
  </sheetViews>
  <sheetFormatPr baseColWidth="8" defaultColWidth="8.6640625" defaultRowHeight="14.25" customHeight="1"/>
  <cols>
    <col width="23.44140625" customWidth="1" min="1" max="1"/>
    <col width="22" customWidth="1" min="2" max="2"/>
    <col width="12" customWidth="1" min="3" max="5"/>
    <col width="18" customWidth="1" min="6" max="6"/>
    <col width="12" customWidth="1" min="7" max="9"/>
    <col width="32.5546875" customWidth="1" min="10" max="10"/>
  </cols>
  <sheetData>
    <row r="1" ht="24" customHeight="1">
      <c r="A1" s="145" t="inlineStr">
        <is>
          <t>집합건물 자동평가 엑셀 템플릿 (국토부 실거래가 → 자동선정 → 요인보정 → 건물/대지권 배분)</t>
        </is>
      </c>
    </row>
    <row r="2" ht="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17.25" customHeight="1">
      <c r="A3" s="2" t="inlineStr">
        <is>
          <t>목적</t>
        </is>
      </c>
      <c r="B3" s="146" t="inlineStr">
        <is>
          <t>국토부 실거래가 자료를 복사/붙여넣기 하면 유사 거래사례를 자동으로 필터링하고, 개별요인 보정 후 집합건물의 총가치·대지권가격·건물가격을 산출하는 템플릿</t>
        </is>
      </c>
    </row>
    <row r="4" ht="1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19.5" customHeight="1">
      <c r="A5" s="147" t="inlineStr">
        <is>
          <t>사용 순서</t>
        </is>
      </c>
    </row>
    <row r="6" ht="17.25" customHeight="1">
      <c r="A6" s="2" t="n">
        <v>1</v>
      </c>
      <c r="B6" s="148" t="inlineStr">
        <is>
          <t>1) 01_설정 시트에서 기준시점·허용오차·대지권/건물 배분용 원가 가정을 확인합니다.</t>
        </is>
      </c>
    </row>
    <row r="7" ht="17.25" customHeight="1">
      <c r="A7" s="2" t="n">
        <v>2</v>
      </c>
      <c r="B7" s="148" t="inlineStr">
        <is>
          <t>2) 02_대상물건입력 시트에서 시군구/법정동/건물명/전유면적/대지권면적/층/사용승인일자 등을 입력합니다.</t>
        </is>
      </c>
    </row>
    <row r="8" ht="17.25" customHeight="1">
      <c r="A8" s="2" t="n">
        <v>3</v>
      </c>
      <c r="B8" s="148" t="inlineStr">
        <is>
          <t>3) 04A_국토부원자료 시트의 5행부터 국토부 실거래가 원문 데이터를 붙여넣습니다. 헤더는 4행의 고정 형식을 그대로 사용합니다.</t>
        </is>
      </c>
    </row>
    <row r="9" ht="17.25" customHeight="1">
      <c r="A9" s="2" t="n">
        <v>4</v>
      </c>
      <c r="B9" s="148" t="inlineStr">
        <is>
          <t>4) 04B_정규화_자동필터 시트에서 1차 필터 통과 여부와 유사도 순위를 자동 산정합니다.</t>
        </is>
      </c>
    </row>
    <row r="10" ht="17.25" customHeight="1">
      <c r="A10" s="2" t="n">
        <v>5</v>
      </c>
      <c r="B10" s="148" t="inlineStr">
        <is>
          <t>5) 05_자동선정_유사도 시트에서 상위 사례를 확인합니다.</t>
        </is>
      </c>
    </row>
    <row r="11" ht="17.25" customHeight="1">
      <c r="A11" s="2" t="n">
        <v>6</v>
      </c>
      <c r="B11" s="148" t="inlineStr">
        <is>
          <t>6) 06_요인비교_보정 시트에서 사정보정/기타요인 Override가 필요한 경우만 입력합니다. 나머지는 자동값을 사용합니다.</t>
        </is>
      </c>
    </row>
    <row r="12" ht="17.25" customHeight="1">
      <c r="A12" s="2" t="n">
        <v>7</v>
      </c>
      <c r="B12" s="148" t="inlineStr">
        <is>
          <t>7) 07_대지권_건물배분 시트에서 총가치, 대지권가격, 건물가격을 확인합니다.</t>
        </is>
      </c>
    </row>
    <row r="13" ht="17.25" customHeight="1">
      <c r="A13" s="2" t="n">
        <v>8</v>
      </c>
      <c r="B13" s="148" t="inlineStr">
        <is>
          <t>8) 08_평가결론 시트에서 보고용 요약값을 확인합니다.</t>
        </is>
      </c>
    </row>
    <row r="14" ht="15" customHeight="1">
      <c r="A14" s="1" t="n">
        <v>9</v>
      </c>
      <c r="B14" s="1" t="inlineStr">
        <is>
          <t>9) 05B_KAIS_사례선정 시트에서 KAIS 거래사례 상위 유사건을 자동 확인합니다.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</row>
    <row r="15" ht="15" customHeight="1">
      <c r="A15" s="1" t="n">
        <v>10</v>
      </c>
      <c r="B15" s="1" t="inlineStr">
        <is>
          <t>10) 05C_KAPA_선례선정 시트에서 KAPA 선례 상위 유사건을 자동 확인합니다.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</row>
    <row r="16" ht="19.5" customHeight="1">
      <c r="A16" s="147" t="inlineStr">
        <is>
          <t>붙여넣기 데이터 형식 (04A_국토부원자료 / 4행 헤더 고정)</t>
        </is>
      </c>
    </row>
    <row r="17" ht="17.25" customHeight="1">
      <c r="A17" s="3" t="inlineStr">
        <is>
          <t>A:NO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 ht="17.25" customHeight="1">
      <c r="A18" s="3" t="inlineStr">
        <is>
          <t>B:시군구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 ht="17.25" customHeight="1">
      <c r="A19" s="3" t="inlineStr">
        <is>
          <t>C:번지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 ht="17.25" customHeight="1">
      <c r="A20" s="3" t="inlineStr">
        <is>
          <t>D:본번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17.25" customHeight="1">
      <c r="A21" s="3" t="inlineStr">
        <is>
          <t>E:부번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 ht="17.25" customHeight="1">
      <c r="A22" s="3" t="inlineStr">
        <is>
          <t>F:단지명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 ht="17.25" customHeight="1">
      <c r="A23" s="3" t="inlineStr">
        <is>
          <t>G:전용면적(㎡)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 ht="17.25" customHeight="1">
      <c r="A24" s="3" t="inlineStr">
        <is>
          <t>H:계약년월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 ht="19.5" customHeight="1">
      <c r="A25" s="3" t="inlineStr">
        <is>
          <t>I:계약일</t>
        </is>
      </c>
      <c r="F25" s="1" t="n"/>
    </row>
    <row r="26" ht="17.25" customHeight="1">
      <c r="A26" s="3" t="inlineStr">
        <is>
          <t>J:거래금액(만원)</t>
        </is>
      </c>
    </row>
    <row r="27" ht="17.25" customHeight="1">
      <c r="A27" s="3" t="inlineStr">
        <is>
          <t>K:층</t>
        </is>
      </c>
    </row>
    <row r="28" ht="17.25" customHeight="1">
      <c r="A28" s="3" t="inlineStr">
        <is>
          <t>L:매수자</t>
        </is>
      </c>
    </row>
    <row r="29" ht="17.25" customHeight="1">
      <c r="A29" s="3" t="inlineStr">
        <is>
          <t>M:매도자</t>
        </is>
      </c>
    </row>
    <row r="30" ht="17.25" customHeight="1">
      <c r="A30" s="3" t="inlineStr">
        <is>
          <t>N:건축년도</t>
        </is>
      </c>
    </row>
    <row r="31" ht="17.25" customHeight="1">
      <c r="A31" s="3" t="inlineStr">
        <is>
          <t>O:도로명</t>
        </is>
      </c>
    </row>
    <row r="32" ht="17.25" customHeight="1">
      <c r="A32" s="3" t="inlineStr">
        <is>
          <t>P:해제사유발생일</t>
        </is>
      </c>
    </row>
    <row r="33" ht="17.25" customHeight="1">
      <c r="A33" s="3" t="inlineStr">
        <is>
          <t>Q:거래유형</t>
        </is>
      </c>
    </row>
    <row r="34" ht="17.25" customHeight="1">
      <c r="A34" s="3" t="inlineStr">
        <is>
          <t>R:중개사소재지</t>
        </is>
      </c>
    </row>
    <row r="35" ht="15" customHeight="1"/>
    <row r="36" ht="16.5" customHeight="1">
      <c r="A36" s="146" t="inlineStr">
        <is>
          <t>유사도는 시군구/법정동/건물명/도로명, 면적차율, 층차, 경과일수, 건축연차를 기반으로 산정합니다.</t>
        </is>
      </c>
    </row>
    <row r="37" ht="16.5" customHeight="1">
      <c r="A37" s="146" t="inlineStr">
        <is>
          <t>외부요인·내부요인·호별요인은 기본 프록시(자동)로 계산되며, 실무상 판단이 필요한 경우 06시트 Override 열에 수동 입력할 수 있습니다.</t>
        </is>
      </c>
    </row>
    <row r="38" ht="16.5" customHeight="1">
      <c r="A38" s="146" t="inlineStr">
        <is>
          <t>대지권가격/건물가격 배분은 01시트의 토지단가·재조달원가·잔존율을 활용한 원가배분 방식을 기본으로 합니다.</t>
        </is>
      </c>
    </row>
    <row r="39" ht="16.5" customHeight="1">
      <c r="A39" s="146" t="inlineStr">
        <is>
          <t>실거래가 원문 헤더는 현재 템플릿의 4행 형식에 맞춰 고정되어 있으므로, 5행부터 값만 붙여넣으면 됩니다.</t>
        </is>
      </c>
    </row>
  </sheetData>
  <mergeCells count="16">
    <mergeCell ref="B7:J7"/>
    <mergeCell ref="B11:J11"/>
    <mergeCell ref="A1:J1"/>
    <mergeCell ref="B3:J3"/>
    <mergeCell ref="A5:J5"/>
    <mergeCell ref="B10:J10"/>
    <mergeCell ref="A37:I37"/>
    <mergeCell ref="A16:J16"/>
    <mergeCell ref="A36:I36"/>
    <mergeCell ref="B9:J9"/>
    <mergeCell ref="B8:J8"/>
    <mergeCell ref="A39:I39"/>
    <mergeCell ref="B12:J12"/>
    <mergeCell ref="B13:J13"/>
    <mergeCell ref="B6:J6"/>
    <mergeCell ref="A38:I38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F32"/>
  <sheetViews>
    <sheetView showGridLines="0" topLeftCell="A4" zoomScaleNormal="100" workbookViewId="0">
      <selection activeCell="B32" sqref="B32"/>
    </sheetView>
  </sheetViews>
  <sheetFormatPr baseColWidth="8" defaultColWidth="8.6640625" defaultRowHeight="14.25" customHeight="1"/>
  <cols>
    <col width="24" customWidth="1" min="1" max="1"/>
    <col width="15" customWidth="1" min="2" max="2"/>
    <col width="45.5546875" customWidth="1" min="3" max="3"/>
  </cols>
  <sheetData>
    <row r="1" ht="24" customHeight="1">
      <c r="A1" s="145" t="inlineStr">
        <is>
          <t>설정 및 통제변수</t>
        </is>
      </c>
    </row>
    <row r="2" ht="15" customHeight="1">
      <c r="A2" s="1" t="n"/>
      <c r="B2" s="1" t="n"/>
      <c r="C2" s="1" t="n"/>
      <c r="D2" s="1" t="n"/>
      <c r="E2" s="1" t="n"/>
      <c r="F2" s="1" t="n"/>
    </row>
    <row r="3" ht="17.25" customHeight="1">
      <c r="A3" s="4" t="inlineStr">
        <is>
          <t>항목</t>
        </is>
      </c>
      <c r="B3" s="4" t="inlineStr">
        <is>
          <t>값</t>
        </is>
      </c>
      <c r="C3" s="4" t="inlineStr">
        <is>
          <t>설명</t>
        </is>
      </c>
      <c r="D3" s="1" t="n"/>
      <c r="E3" s="1" t="n"/>
      <c r="F3" s="1" t="n"/>
    </row>
    <row r="4" ht="17.25" customHeight="1">
      <c r="A4" s="5" t="inlineStr">
        <is>
          <t>기준시점</t>
        </is>
      </c>
      <c r="B4" s="157" t="n">
        <v>46122</v>
      </c>
      <c r="C4" s="7" t="inlineStr">
        <is>
          <t>대상물건 평가 기준시점</t>
        </is>
      </c>
      <c r="D4" s="1" t="n"/>
      <c r="E4" s="1" t="n"/>
      <c r="F4" s="1" t="n"/>
    </row>
    <row r="5" ht="17.25" customHeight="1">
      <c r="A5" s="5" t="inlineStr">
        <is>
          <t>면적 허용오차</t>
        </is>
      </c>
      <c r="B5" s="158" t="n">
        <v>0.3</v>
      </c>
      <c r="C5" s="7" t="inlineStr">
        <is>
          <t>전유면적 차율 허용범위</t>
        </is>
      </c>
      <c r="D5" s="1" t="n"/>
      <c r="E5" s="1" t="n"/>
      <c r="F5" s="1" t="n"/>
    </row>
    <row r="6" ht="17.25" customHeight="1">
      <c r="A6" s="5" t="inlineStr">
        <is>
          <t>층 허용차이</t>
        </is>
      </c>
      <c r="B6" s="9" t="n">
        <v>4</v>
      </c>
      <c r="C6" s="7" t="inlineStr">
        <is>
          <t>층차 허용범위</t>
        </is>
      </c>
      <c r="D6" s="1" t="n"/>
      <c r="E6" s="1" t="n"/>
      <c r="F6" s="1" t="n"/>
    </row>
    <row r="7" ht="17.25" customHeight="1">
      <c r="A7" s="5" t="inlineStr">
        <is>
          <t>최대 경과일수</t>
        </is>
      </c>
      <c r="B7" s="9" t="n">
        <v>450</v>
      </c>
      <c r="C7" s="7" t="inlineStr">
        <is>
          <t>계약일~기준시점 허용일수</t>
        </is>
      </c>
      <c r="D7" s="1" t="n"/>
      <c r="E7" s="1" t="n"/>
      <c r="F7" s="1" t="n"/>
    </row>
    <row r="8" ht="17.25" customHeight="1">
      <c r="A8" s="5" t="inlineStr">
        <is>
          <t>건축연차 허용차이</t>
        </is>
      </c>
      <c r="B8" s="9" t="n">
        <v>5</v>
      </c>
      <c r="C8" s="7" t="inlineStr">
        <is>
          <t>건축년도 차이 허용범위</t>
        </is>
      </c>
      <c r="D8" s="1" t="n"/>
      <c r="E8" s="1" t="n"/>
      <c r="F8" s="1" t="n"/>
    </row>
    <row r="9" ht="17.25" customHeight="1">
      <c r="A9" s="5" t="inlineStr">
        <is>
          <t>상위 반영 건수</t>
        </is>
      </c>
      <c r="B9" s="9" t="n">
        <v>30</v>
      </c>
      <c r="C9" s="7" t="inlineStr">
        <is>
          <t>요인보정에 반영할 비교사례 수</t>
        </is>
      </c>
      <c r="D9" s="1" t="n"/>
      <c r="E9" s="1" t="n"/>
      <c r="F9" s="1" t="n"/>
    </row>
    <row r="10" ht="17.25" customHeight="1">
      <c r="A10" s="5" t="inlineStr">
        <is>
          <t>동일 시군구 필수</t>
        </is>
      </c>
      <c r="B10" s="9" t="n">
        <v>1</v>
      </c>
      <c r="C10" s="10" t="inlineStr">
        <is>
          <t>1이면 대상 시군구 키워드 포함 사례만 반영</t>
        </is>
      </c>
      <c r="D10" s="1" t="n"/>
      <c r="E10" s="1" t="n"/>
      <c r="F10" s="1" t="n"/>
    </row>
    <row r="11" ht="17.25" customHeight="1">
      <c r="A11" s="5" t="inlineStr">
        <is>
          <t>동일 법정동 가점</t>
        </is>
      </c>
      <c r="B11" s="11" t="n">
        <v>15</v>
      </c>
      <c r="C11" s="7" t="inlineStr">
        <is>
          <t>법정동 일치 시 가점</t>
        </is>
      </c>
      <c r="D11" s="1" t="n"/>
      <c r="E11" s="1" t="n"/>
      <c r="F11" s="1" t="n"/>
    </row>
    <row r="12" ht="17.25" customHeight="1">
      <c r="A12" s="5" t="inlineStr">
        <is>
          <t>동일건물 가점</t>
        </is>
      </c>
      <c r="B12" s="11" t="n">
        <v>15</v>
      </c>
      <c r="C12" s="7" t="inlineStr">
        <is>
          <t>건물명 유사 시 가점</t>
        </is>
      </c>
      <c r="D12" s="1" t="n"/>
      <c r="E12" s="1" t="n"/>
      <c r="F12" s="1" t="n"/>
    </row>
    <row r="13" ht="17.25" customHeight="1">
      <c r="A13" s="5" t="inlineStr">
        <is>
          <t>동일도로명 가점</t>
        </is>
      </c>
      <c r="B13" s="11" t="n">
        <v>5</v>
      </c>
      <c r="C13" s="7" t="inlineStr">
        <is>
          <t>도로명 일치 시 가점</t>
        </is>
      </c>
      <c r="D13" s="1" t="n"/>
      <c r="E13" s="1" t="n"/>
      <c r="F13" s="1" t="n"/>
    </row>
    <row r="14" ht="17.25" customHeight="1">
      <c r="A14" s="5" t="inlineStr">
        <is>
          <t>면적점수 가중치</t>
        </is>
      </c>
      <c r="B14" s="11" t="n">
        <v>0</v>
      </c>
      <c r="C14" s="7" t="inlineStr">
        <is>
          <t>유사도 배점</t>
        </is>
      </c>
      <c r="D14" s="1" t="n"/>
      <c r="E14" s="1" t="n"/>
      <c r="F14" s="1" t="n"/>
    </row>
    <row r="15" ht="17.25" customHeight="1">
      <c r="A15" s="5" t="inlineStr">
        <is>
          <t>층점수 가중치</t>
        </is>
      </c>
      <c r="B15" s="11" t="n">
        <v>20</v>
      </c>
      <c r="C15" s="7" t="inlineStr">
        <is>
          <t>유사도 배점</t>
        </is>
      </c>
      <c r="D15" s="1" t="n"/>
      <c r="E15" s="1" t="n"/>
      <c r="F15" s="1" t="n"/>
    </row>
    <row r="16" ht="17.25" customHeight="1">
      <c r="A16" s="5" t="inlineStr">
        <is>
          <t>기간점수 가중치</t>
        </is>
      </c>
      <c r="B16" s="11" t="n">
        <v>20</v>
      </c>
      <c r="C16" s="7" t="inlineStr">
        <is>
          <t>유사도 배점</t>
        </is>
      </c>
      <c r="D16" s="1" t="n"/>
      <c r="E16" s="1" t="n"/>
      <c r="F16" s="1" t="n"/>
    </row>
    <row r="17" ht="17.25" customHeight="1">
      <c r="A17" s="5" t="inlineStr">
        <is>
          <t>건축연차점수 가중치</t>
        </is>
      </c>
      <c r="B17" s="11" t="n">
        <v>10</v>
      </c>
      <c r="C17" s="7" t="inlineStr">
        <is>
          <t>유사도 배점</t>
        </is>
      </c>
      <c r="D17" s="1" t="n"/>
      <c r="E17" s="1" t="n"/>
      <c r="F17" s="1" t="n"/>
    </row>
    <row r="18" ht="17.25" customHeight="1">
      <c r="A18" s="5" t="inlineStr">
        <is>
          <t>사정보정 기본값</t>
        </is>
      </c>
      <c r="B18" s="9" t="n">
        <v>1</v>
      </c>
      <c r="C18" s="7" t="inlineStr">
        <is>
          <t>특이사항 없을 때 1.00</t>
        </is>
      </c>
      <c r="D18" s="1" t="n"/>
      <c r="E18" s="1" t="n"/>
      <c r="F18" s="1" t="n"/>
    </row>
    <row r="19" ht="17.25" customHeight="1">
      <c r="A19" s="5" t="inlineStr">
        <is>
          <t>시점수정 연율</t>
        </is>
      </c>
      <c r="B19" s="158" t="n">
        <v>0.03</v>
      </c>
      <c r="C19" s="7" t="inlineStr">
        <is>
          <t>연율 보정</t>
        </is>
      </c>
      <c r="D19" s="1" t="n"/>
      <c r="E19" s="1" t="n"/>
      <c r="F19" s="1" t="n"/>
    </row>
    <row r="20" ht="17.25" customHeight="1">
      <c r="A20" s="5" t="inlineStr">
        <is>
          <t>기타요인 기본값</t>
        </is>
      </c>
      <c r="B20" s="9" t="n">
        <v>1</v>
      </c>
      <c r="C20" s="7" t="inlineStr">
        <is>
          <t>특이사항 없을 때 1.00</t>
        </is>
      </c>
      <c r="D20" s="1" t="n"/>
      <c r="E20" s="1" t="n"/>
      <c r="F20" s="1" t="n"/>
    </row>
    <row r="21" ht="17.25" customHeight="1">
      <c r="A21" s="5" t="inlineStr">
        <is>
          <t>외부 타법정동 계수</t>
        </is>
      </c>
      <c r="B21" s="159" t="n">
        <v>0.98</v>
      </c>
      <c r="C21" s="7" t="inlineStr">
        <is>
          <t>외부요인 기본 프록시</t>
        </is>
      </c>
      <c r="D21" s="1" t="n"/>
      <c r="E21" s="1" t="n"/>
      <c r="F21" s="1" t="n"/>
    </row>
    <row r="22" ht="17.25" customHeight="1">
      <c r="A22" s="5" t="inlineStr">
        <is>
          <t>외부 동일도로명 가산계수</t>
        </is>
      </c>
      <c r="B22" s="159" t="n">
        <v>1.01</v>
      </c>
      <c r="C22" s="7" t="inlineStr">
        <is>
          <t>외부요인 기본 프록시</t>
        </is>
      </c>
      <c r="D22" s="1" t="n"/>
      <c r="E22" s="1" t="n"/>
      <c r="F22" s="1" t="n"/>
    </row>
    <row r="23" ht="17.25" customHeight="1">
      <c r="A23" s="5" t="inlineStr">
        <is>
          <t>내부 동일건물 계수</t>
        </is>
      </c>
      <c r="B23" s="159" t="n">
        <v>1.02</v>
      </c>
      <c r="C23" s="7" t="inlineStr">
        <is>
          <t>내부요인 기본 프록시</t>
        </is>
      </c>
      <c r="D23" s="1" t="n"/>
      <c r="E23" s="1" t="n"/>
      <c r="F23" s="1" t="n"/>
    </row>
    <row r="24" ht="17.25" customHeight="1">
      <c r="A24" s="5" t="inlineStr">
        <is>
          <t>내부 최신연차 계수</t>
        </is>
      </c>
      <c r="B24" s="159" t="n">
        <v>1.01</v>
      </c>
      <c r="C24" s="7" t="inlineStr">
        <is>
          <t>비교사례 건축년이 더 열세/우세일 때</t>
        </is>
      </c>
      <c r="D24" s="1" t="n"/>
      <c r="E24" s="1" t="n"/>
      <c r="F24" s="1" t="n"/>
    </row>
    <row r="25" ht="17.25" customHeight="1">
      <c r="A25" s="5" t="inlineStr">
        <is>
          <t>내부 열세연차 계수</t>
        </is>
      </c>
      <c r="B25" s="159" t="n">
        <v>0.99</v>
      </c>
      <c r="C25" s="7" t="inlineStr">
        <is>
          <t>비교사례 건축년이 더 우세일 때</t>
        </is>
      </c>
      <c r="D25" s="1" t="n"/>
      <c r="E25" s="1" t="n"/>
      <c r="F25" s="1" t="n"/>
    </row>
    <row r="26" ht="17.25" customHeight="1">
      <c r="A26" s="5" t="inlineStr">
        <is>
          <t>토지단가(원/㎡)</t>
        </is>
      </c>
      <c r="B26" s="160" t="n">
        <v>0</v>
      </c>
      <c r="C26" s="7" t="inlineStr">
        <is>
          <t>대지권 배분용 입력값</t>
        </is>
      </c>
      <c r="D26" s="1" t="n"/>
      <c r="E26" s="1" t="n"/>
      <c r="F26" s="1" t="n"/>
    </row>
    <row r="27" ht="17.25" customHeight="1">
      <c r="A27" s="5" t="inlineStr">
        <is>
          <t>재조달원가(원/㎡)</t>
        </is>
      </c>
      <c r="B27" s="160" t="n">
        <v>0</v>
      </c>
      <c r="C27" s="7" t="inlineStr">
        <is>
          <t>건물 배분용 입력값</t>
        </is>
      </c>
      <c r="D27" s="1" t="n"/>
      <c r="E27" s="1" t="n"/>
      <c r="F27" s="1" t="n"/>
    </row>
    <row r="28" ht="17.25" customHeight="1">
      <c r="A28" s="5" t="inlineStr">
        <is>
          <t>잔존율</t>
        </is>
      </c>
      <c r="B28" s="158" t="n">
        <v>0.75</v>
      </c>
      <c r="C28" s="7" t="inlineStr">
        <is>
          <t>건물 배분용 입력값</t>
        </is>
      </c>
      <c r="D28" s="1" t="n"/>
      <c r="E28" s="1" t="n"/>
      <c r="F28" s="1" t="n"/>
    </row>
    <row r="29" ht="17.25" customHeight="1">
      <c r="A29" s="5" t="inlineStr">
        <is>
          <t>최소 토지비율</t>
        </is>
      </c>
      <c r="B29" s="158" t="n">
        <v>0.2</v>
      </c>
      <c r="C29" s="7" t="inlineStr">
        <is>
          <t>배분비율 하한</t>
        </is>
      </c>
      <c r="D29" s="1" t="n"/>
      <c r="E29" s="1" t="n"/>
      <c r="F29" s="1" t="n"/>
    </row>
    <row r="30" ht="17.25" customHeight="1">
      <c r="A30" s="5" t="inlineStr">
        <is>
          <t>최대 토지비율</t>
        </is>
      </c>
      <c r="B30" s="158" t="n">
        <v>0.8</v>
      </c>
      <c r="C30" s="7" t="inlineStr">
        <is>
          <t>배분비율 상한</t>
        </is>
      </c>
      <c r="D30" s="1" t="n"/>
      <c r="E30" s="1" t="n"/>
      <c r="F30" s="1" t="n"/>
    </row>
    <row r="31" ht="17.25" customHeight="1">
      <c r="A31" s="5" t="inlineStr">
        <is>
          <t>예상단가점수 가중치</t>
        </is>
      </c>
      <c r="B31" s="161" t="n">
        <v>100</v>
      </c>
      <c r="C31" s="7" t="inlineStr">
        <is>
          <t>예상단가 유사도 배점</t>
        </is>
      </c>
    </row>
    <row r="32" ht="17.25" customHeight="1">
      <c r="A32" s="5" t="inlineStr">
        <is>
          <t>예상단가 허용오차</t>
        </is>
      </c>
      <c r="B32" s="162" t="n">
        <v>0.2</v>
      </c>
      <c r="C32" s="7" t="inlineStr">
        <is>
          <t>예상단가 차율 허용범위(20%=0.2)</t>
        </is>
      </c>
    </row>
  </sheetData>
  <mergeCells count="1">
    <mergeCell ref="A1:F1"/>
  </mergeCells>
  <dataValidations count="1">
    <dataValidation sqref="B10" showDropDown="0" showInputMessage="0" showErrorMessage="0" allowBlank="1" type="list">
      <formula1>"1,0"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F28"/>
  <sheetViews>
    <sheetView showGridLines="0" zoomScaleNormal="100" workbookViewId="0">
      <selection activeCell="B20" sqref="B20"/>
    </sheetView>
  </sheetViews>
  <sheetFormatPr baseColWidth="8" defaultColWidth="8.6640625" defaultRowHeight="14.25" customHeight="1"/>
  <cols>
    <col width="22" customWidth="1" min="1" max="1"/>
    <col width="82.44140625" customWidth="1" min="2" max="2"/>
    <col width="22" customWidth="1" min="3" max="3"/>
    <col width="36" customWidth="1" min="4" max="4"/>
    <col width="12" customWidth="1" min="5" max="6"/>
  </cols>
  <sheetData>
    <row r="1" ht="24" customHeight="1">
      <c r="A1" s="145" t="inlineStr">
        <is>
          <t>대상물건 입력</t>
        </is>
      </c>
    </row>
    <row r="2" ht="15" customHeight="1">
      <c r="A2" s="1" t="n"/>
      <c r="B2" s="1" t="n"/>
      <c r="C2" s="1" t="n"/>
      <c r="D2" s="1" t="n"/>
      <c r="E2" s="1" t="n"/>
      <c r="F2" s="1" t="n"/>
    </row>
    <row r="3" ht="17.25" customHeight="1">
      <c r="A3" s="14" t="inlineStr">
        <is>
          <t>항목</t>
        </is>
      </c>
      <c r="B3" s="14" t="inlineStr">
        <is>
          <t>입력값</t>
        </is>
      </c>
      <c r="C3" s="14" t="inlineStr">
        <is>
          <t>설명</t>
        </is>
      </c>
      <c r="D3" s="14" t="inlineStr">
        <is>
          <t>비고</t>
        </is>
      </c>
      <c r="E3" s="1" t="n"/>
      <c r="F3" s="1" t="n"/>
    </row>
    <row r="4" ht="17.25" customHeight="1">
      <c r="A4" s="15" t="inlineStr">
        <is>
          <t>평가서명</t>
        </is>
      </c>
      <c r="B4" s="16" t="inlineStr">
        <is>
          <t>서울특별시 서초구 서초동 1620-20</t>
        </is>
      </c>
      <c r="C4" s="17" t="inlineStr">
        <is>
          <t>입력</t>
        </is>
      </c>
      <c r="D4" s="17" t="n"/>
      <c r="E4" s="1" t="n"/>
      <c r="F4" s="1" t="n"/>
    </row>
    <row r="5" ht="17.25" customHeight="1">
      <c r="A5" s="15" t="inlineStr">
        <is>
          <t>시군구 키워드</t>
        </is>
      </c>
      <c r="B5" s="18" t="inlineStr">
        <is>
          <t>서울특별시 서초구 서초동</t>
        </is>
      </c>
      <c r="C5" s="17" t="inlineStr">
        <is>
          <t>자동필터용</t>
        </is>
      </c>
      <c r="D5" s="17" t="inlineStr">
        <is>
          <t>예: 서울특별시 송파구</t>
        </is>
      </c>
      <c r="E5" s="1" t="n"/>
      <c r="F5" s="1" t="n"/>
    </row>
    <row r="6" ht="17.25" customHeight="1">
      <c r="A6" s="15" t="inlineStr">
        <is>
          <t>법정동 키워드</t>
        </is>
      </c>
      <c r="B6" s="16" t="inlineStr">
        <is>
          <t>서초동</t>
        </is>
      </c>
      <c r="C6" s="17" t="inlineStr">
        <is>
          <t>자동필터용</t>
        </is>
      </c>
      <c r="D6" s="17" t="inlineStr">
        <is>
          <t>예: 가락동</t>
        </is>
      </c>
      <c r="E6" s="1" t="n"/>
      <c r="F6" s="1" t="n"/>
    </row>
    <row r="7" ht="17.25" customHeight="1">
      <c r="A7" s="15" t="inlineStr">
        <is>
          <t>소재지</t>
        </is>
      </c>
      <c r="B7" s="18" t="inlineStr">
        <is>
          <t>서울특별시 서초구 서초동 1620-20</t>
        </is>
      </c>
      <c r="C7" s="17" t="inlineStr">
        <is>
          <t>입력</t>
        </is>
      </c>
      <c r="D7" s="17" t="n"/>
      <c r="E7" s="1" t="n"/>
      <c r="F7" s="1" t="n"/>
    </row>
    <row r="8" ht="17.25" customHeight="1">
      <c r="A8" s="15" t="inlineStr">
        <is>
          <t>건물명</t>
        </is>
      </c>
      <c r="B8" s="16" t="inlineStr">
        <is>
          <t>서초동롯데캐슬리버티 101동</t>
        </is>
      </c>
      <c r="C8" s="17" t="inlineStr">
        <is>
          <t>입력</t>
        </is>
      </c>
      <c r="D8" s="17" t="n"/>
      <c r="E8" s="1" t="n"/>
      <c r="F8" s="1" t="n"/>
    </row>
    <row r="9" ht="17.25" customHeight="1">
      <c r="A9" s="15" t="inlineStr">
        <is>
          <t>동·호</t>
        </is>
      </c>
      <c r="B9" s="19" t="inlineStr">
        <is>
          <t>604호</t>
        </is>
      </c>
      <c r="C9" s="17" t="inlineStr">
        <is>
          <t>입력</t>
        </is>
      </c>
      <c r="D9" s="17" t="n"/>
      <c r="E9" s="1" t="n"/>
      <c r="F9" s="1" t="n"/>
    </row>
    <row r="10" ht="17.25" customHeight="1">
      <c r="A10" s="15" t="inlineStr">
        <is>
          <t>층</t>
        </is>
      </c>
      <c r="B10" s="16" t="n">
        <v>6</v>
      </c>
      <c r="C10" s="17" t="inlineStr">
        <is>
          <t>입력</t>
        </is>
      </c>
      <c r="D10" s="17" t="n"/>
      <c r="E10" s="1" t="n"/>
      <c r="F10" s="1" t="n"/>
    </row>
    <row r="11" ht="17.25" customHeight="1">
      <c r="A11" s="15" t="inlineStr">
        <is>
          <t>전유면적(㎡)</t>
        </is>
      </c>
      <c r="B11" s="163" t="n">
        <v>125.79</v>
      </c>
      <c r="C11" s="17" t="inlineStr">
        <is>
          <t>입력</t>
        </is>
      </c>
      <c r="D11" s="17" t="n"/>
      <c r="E11" s="1" t="n"/>
      <c r="F11" s="1" t="n"/>
    </row>
    <row r="12" ht="17.25" customHeight="1">
      <c r="A12" s="15" t="inlineStr">
        <is>
          <t>공용면적(㎡)</t>
        </is>
      </c>
      <c r="B12" s="163">
        <f>1.49+18.69+6.73</f>
        <v/>
      </c>
      <c r="C12" s="17" t="inlineStr">
        <is>
          <t>입력</t>
        </is>
      </c>
      <c r="D12" s="17" t="n"/>
      <c r="E12" s="1" t="n"/>
      <c r="F12" s="1" t="n"/>
    </row>
    <row r="13" ht="17.25" customHeight="1">
      <c r="A13" s="15" t="inlineStr">
        <is>
          <t>대지권면적(㎡)</t>
        </is>
      </c>
      <c r="B13" s="163" t="n">
        <v>64.18000000000001</v>
      </c>
      <c r="C13" s="17" t="inlineStr">
        <is>
          <t>입력</t>
        </is>
      </c>
      <c r="D13" s="17" t="n"/>
      <c r="E13" s="1" t="n"/>
      <c r="F13" s="1" t="n"/>
    </row>
    <row r="14" ht="17.25" customHeight="1">
      <c r="A14" s="15" t="inlineStr">
        <is>
          <t>사용승인일자</t>
        </is>
      </c>
      <c r="B14" s="164" t="n">
        <v>38434</v>
      </c>
      <c r="C14" s="17" t="inlineStr">
        <is>
          <t>입력</t>
        </is>
      </c>
      <c r="D14" s="17" t="n"/>
      <c r="E14" s="1" t="n"/>
      <c r="F14" s="1" t="n"/>
    </row>
    <row r="15" ht="17.25" customHeight="1">
      <c r="A15" s="15" t="inlineStr">
        <is>
          <t>도로명 키워드</t>
        </is>
      </c>
      <c r="B15" s="16" t="inlineStr">
        <is>
          <t>사임당로10길</t>
        </is>
      </c>
      <c r="C15" s="17" t="inlineStr">
        <is>
          <t>자동필터용</t>
        </is>
      </c>
      <c r="D15" s="17" t="inlineStr">
        <is>
          <t>도로명 일부 가능</t>
        </is>
      </c>
      <c r="E15" s="1" t="n"/>
      <c r="F15" s="1" t="n"/>
    </row>
    <row r="16" ht="17.25" customHeight="1">
      <c r="A16" s="15" t="inlineStr">
        <is>
          <t>용도</t>
        </is>
      </c>
      <c r="B16" s="16" t="inlineStr">
        <is>
          <t>아파트</t>
        </is>
      </c>
      <c r="C16" s="17" t="inlineStr">
        <is>
          <t>입력</t>
        </is>
      </c>
      <c r="D16" s="17" t="n"/>
      <c r="E16" s="1" t="n"/>
      <c r="F16" s="1" t="n"/>
    </row>
    <row r="17" ht="17.25" customHeight="1">
      <c r="A17" s="15" t="inlineStr">
        <is>
          <t>기타요인 계수</t>
        </is>
      </c>
      <c r="B17" s="165" t="n">
        <v>1</v>
      </c>
      <c r="C17" s="17" t="inlineStr">
        <is>
          <t>입력</t>
        </is>
      </c>
      <c r="D17" s="17" t="inlineStr">
        <is>
          <t>특이사항 있을 때만 조정</t>
        </is>
      </c>
      <c r="E17" s="1" t="n"/>
      <c r="F17" s="1" t="n"/>
    </row>
    <row r="18" ht="17.25" customHeight="1">
      <c r="A18" s="15" t="inlineStr">
        <is>
          <t>비고</t>
        </is>
      </c>
      <c r="B18" s="16" t="inlineStr">
        <is>
          <t>예시 데이터가 입력되어 있습니다. 실제 대상물건으로 덮어쓰면 전체 시트가 연동됩니다.</t>
        </is>
      </c>
      <c r="C18" s="17" t="inlineStr">
        <is>
          <t>입력</t>
        </is>
      </c>
      <c r="D18" s="17" t="n"/>
      <c r="E18" s="1" t="n"/>
      <c r="F18" s="1" t="n"/>
    </row>
    <row r="19" ht="17.25" customHeight="1">
      <c r="A19" s="15" t="inlineStr">
        <is>
          <t>예상단가(원/㎡)</t>
        </is>
      </c>
      <c r="B19" s="23" t="n">
        <v>16000000</v>
      </c>
      <c r="C19" s="17" t="inlineStr">
        <is>
          <t>입력</t>
        </is>
      </c>
      <c r="D19" s="17" t="inlineStr">
        <is>
          <t>사례선정 가중치 반영용 (미입력 시 제외)</t>
        </is>
      </c>
      <c r="E19" s="1" t="n"/>
      <c r="F19" s="1" t="n"/>
    </row>
    <row r="20" ht="15" customHeight="1">
      <c r="A20" s="1" t="n"/>
      <c r="B20" s="1" t="n"/>
      <c r="C20" s="1" t="n"/>
      <c r="D20" s="1" t="n"/>
      <c r="E20" s="1" t="n"/>
      <c r="F20" s="1" t="n"/>
    </row>
    <row r="21" ht="19.5" customHeight="1">
      <c r="A21" s="147" t="inlineStr">
        <is>
          <t>자동 계산</t>
        </is>
      </c>
    </row>
    <row r="22" ht="17.25" customHeight="1">
      <c r="A22" s="15" t="inlineStr">
        <is>
          <t>건축년도</t>
        </is>
      </c>
      <c r="B22" s="24">
        <f>IFERROR(YEAR(B14),"")</f>
        <v/>
      </c>
      <c r="C22" s="17" t="inlineStr">
        <is>
          <t>자동</t>
        </is>
      </c>
      <c r="D22" s="1" t="n"/>
      <c r="E22" s="1" t="n"/>
      <c r="F22" s="1" t="n"/>
    </row>
    <row r="23" ht="17.25" customHeight="1">
      <c r="A23" s="15" t="inlineStr">
        <is>
          <t>분양면적(㎡)</t>
        </is>
      </c>
      <c r="B23" s="166">
        <f>IFERROR(B11+B12,"")</f>
        <v/>
      </c>
      <c r="C23" s="17" t="inlineStr">
        <is>
          <t>자동</t>
        </is>
      </c>
      <c r="D23" s="1" t="n"/>
      <c r="E23" s="1" t="n"/>
      <c r="F23" s="1" t="n"/>
    </row>
    <row r="24" ht="17.25" customHeight="1">
      <c r="A24" s="15" t="inlineStr">
        <is>
          <t>전유율</t>
        </is>
      </c>
      <c r="B24" s="26">
        <f>IFERROR(B11/B23,"")</f>
        <v/>
      </c>
      <c r="C24" s="17" t="inlineStr">
        <is>
          <t>자동</t>
        </is>
      </c>
      <c r="D24" s="1" t="n"/>
      <c r="E24" s="1" t="n"/>
      <c r="F24" s="1" t="n"/>
    </row>
    <row r="25" ht="17.25" customHeight="1">
      <c r="A25" s="15" t="inlineStr">
        <is>
          <t>대지권 기준금액(원)</t>
        </is>
      </c>
      <c r="B25" s="167">
        <f>IFERROR(B13*'01_설정'!B26,"")</f>
        <v/>
      </c>
      <c r="C25" s="17" t="inlineStr">
        <is>
          <t>토지단가 × 대지권면적</t>
        </is>
      </c>
      <c r="D25" s="1" t="n"/>
      <c r="E25" s="1" t="n"/>
      <c r="F25" s="1" t="n"/>
    </row>
    <row r="26" ht="17.25" customHeight="1">
      <c r="A26" s="15" t="inlineStr">
        <is>
          <t>건물 기준금액(원)</t>
        </is>
      </c>
      <c r="B26" s="167">
        <f>IFERROR(B11*'01_설정'!B27*'01_설정'!B28,"")</f>
        <v/>
      </c>
      <c r="C26" s="17" t="inlineStr">
        <is>
          <t>재조달원가 × 전유면적 × 잔존율</t>
        </is>
      </c>
      <c r="D26" s="1" t="n"/>
      <c r="E26" s="1" t="n"/>
      <c r="F26" s="1" t="n"/>
    </row>
    <row r="27" ht="17.25" customHeight="1">
      <c r="A27" s="15" t="inlineStr">
        <is>
          <t>원가기준 토지비율</t>
        </is>
      </c>
      <c r="B27" s="168">
        <f>IFERROR(MIN(MAX(B25/(B25+B26),'01_설정'!B29),'01_설정'!B30),"")</f>
        <v/>
      </c>
      <c r="C27" s="17" t="inlineStr">
        <is>
          <t>배분비율</t>
        </is>
      </c>
      <c r="D27" s="1" t="n"/>
      <c r="E27" s="1" t="n"/>
      <c r="F27" s="1" t="n"/>
    </row>
    <row r="28" ht="17.25" customHeight="1">
      <c r="A28" s="15" t="inlineStr">
        <is>
          <t>원가기준 건물비율</t>
        </is>
      </c>
      <c r="B28" s="168">
        <f>IFERROR(1-B27,"")</f>
        <v/>
      </c>
      <c r="C28" s="17" t="inlineStr">
        <is>
          <t>배분비율</t>
        </is>
      </c>
      <c r="D28" s="1" t="n"/>
      <c r="E28" s="1" t="n"/>
      <c r="F28" s="1" t="n"/>
    </row>
  </sheetData>
  <mergeCells count="2">
    <mergeCell ref="A21:F21"/>
    <mergeCell ref="A1:F1"/>
  </mergeCells>
  <pageMargins left="0.7" right="0.7" top="0.75" bottom="0.75" header="0.511811023622047" footer="0.511811023622047"/>
  <pageSetup orientation="landscape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5B9BD5"/>
    <outlinePr summaryBelow="1" summaryRight="1"/>
    <pageSetUpPr/>
  </sheetPr>
  <dimension ref="A1:H11"/>
  <sheetViews>
    <sheetView showGridLines="0" zoomScaleNormal="100" workbookViewId="0">
      <selection activeCell="C37" sqref="C37"/>
    </sheetView>
  </sheetViews>
  <sheetFormatPr baseColWidth="8" defaultColWidth="8.6640625" defaultRowHeight="14.25" customHeight="1"/>
  <cols>
    <col width="14" customWidth="1" min="1" max="1"/>
    <col width="25.44140625" customWidth="1" min="2" max="2"/>
    <col width="82.44140625" customWidth="1" min="3" max="3"/>
    <col width="42.33203125" customWidth="1" min="4" max="4"/>
    <col width="18" customWidth="1" min="5" max="5"/>
    <col width="12" customWidth="1" min="6" max="8"/>
  </cols>
  <sheetData>
    <row r="1" ht="24" customHeight="1">
      <c r="A1" s="145" t="inlineStr">
        <is>
          <t>가치형성요인 기준표</t>
        </is>
      </c>
    </row>
    <row r="2" ht="15" customHeight="1">
      <c r="A2" s="1" t="n"/>
      <c r="B2" s="1" t="n"/>
      <c r="C2" s="1" t="n"/>
      <c r="D2" s="1" t="n"/>
      <c r="E2" s="1" t="n"/>
      <c r="F2" s="1" t="n"/>
      <c r="G2" s="1" t="n"/>
      <c r="H2" s="1" t="n"/>
    </row>
    <row r="3" ht="19.5" customHeight="1">
      <c r="A3" s="147" t="inlineStr">
        <is>
          <t>자동 보정 로직(기본 프록시)</t>
        </is>
      </c>
    </row>
    <row r="4" ht="17.25" customHeight="1">
      <c r="A4" s="14" t="inlineStr">
        <is>
          <t>구분</t>
        </is>
      </c>
      <c r="B4" s="14" t="inlineStr">
        <is>
          <t>기준</t>
        </is>
      </c>
      <c r="C4" s="14" t="inlineStr">
        <is>
          <t>자동값</t>
        </is>
      </c>
      <c r="D4" s="14" t="inlineStr">
        <is>
          <t>설명</t>
        </is>
      </c>
      <c r="E4" s="14" t="inlineStr">
        <is>
          <t>실무 Override</t>
        </is>
      </c>
      <c r="F4" s="1" t="n"/>
      <c r="G4" s="1" t="n"/>
      <c r="H4" s="1" t="n"/>
    </row>
    <row r="5" ht="17.25" customHeight="1">
      <c r="A5" s="29" t="inlineStr">
        <is>
          <t>사정보정</t>
        </is>
      </c>
      <c r="B5" s="30" t="inlineStr">
        <is>
          <t>특이 거래 여부</t>
        </is>
      </c>
      <c r="C5" s="31">
        <f>'01_설정'!B18</f>
        <v/>
      </c>
      <c r="D5" s="30" t="inlineStr">
        <is>
          <t>기본 1.00, 특이 거래면 06시트에서 직접 수정</t>
        </is>
      </c>
      <c r="E5" s="32" t="inlineStr">
        <is>
          <t>06시트 G열</t>
        </is>
      </c>
      <c r="F5" s="1" t="n"/>
      <c r="G5" s="1" t="n"/>
      <c r="H5" s="1" t="n"/>
    </row>
    <row r="6" ht="17.25" customHeight="1">
      <c r="A6" s="29" t="inlineStr">
        <is>
          <t>시점수정</t>
        </is>
      </c>
      <c r="B6" s="30" t="inlineStr">
        <is>
          <t>기준시점 대비 계약일 경과</t>
        </is>
      </c>
      <c r="C6" s="33" t="inlineStr">
        <is>
          <t>=(1+연율)^(경과일수/365)</t>
        </is>
      </c>
      <c r="D6" s="30" t="inlineStr">
        <is>
          <t>기준시점 이후로 환산</t>
        </is>
      </c>
      <c r="E6" s="34" t="inlineStr">
        <is>
          <t>보통 자동 사용</t>
        </is>
      </c>
      <c r="F6" s="1" t="n"/>
      <c r="G6" s="1" t="n"/>
      <c r="H6" s="1" t="n"/>
    </row>
    <row r="7" ht="17.25" customHeight="1">
      <c r="A7" s="29" t="inlineStr">
        <is>
          <t>외부요인</t>
        </is>
      </c>
      <c r="B7" s="30" t="inlineStr">
        <is>
          <t>법정동/도로명 일치 여부</t>
        </is>
      </c>
      <c r="C7" s="35" t="inlineStr">
        <is>
          <t>동일 법정동이면 1.00, 타동이면 0.98, 동일도로명이면 +1.01</t>
        </is>
      </c>
      <c r="D7" s="30" t="inlineStr">
        <is>
          <t>역세권/상권 차이는 수동 검토 권장</t>
        </is>
      </c>
      <c r="E7" s="32" t="inlineStr">
        <is>
          <t>06시트 J열</t>
        </is>
      </c>
      <c r="F7" s="1" t="n"/>
      <c r="G7" s="1" t="n"/>
      <c r="H7" s="1" t="n"/>
    </row>
    <row r="8" ht="17.25" customHeight="1">
      <c r="A8" s="29" t="inlineStr">
        <is>
          <t>내부요인</t>
        </is>
      </c>
      <c r="B8" s="30" t="inlineStr">
        <is>
          <t>동일건물/건축연차</t>
        </is>
      </c>
      <c r="C8" s="35" t="inlineStr">
        <is>
          <t>동일건물 1.02, 건축연차 우열 1.01 또는 0.99</t>
        </is>
      </c>
      <c r="D8" s="30" t="inlineStr">
        <is>
          <t>브랜드/세대수/관리상태는 수동 검토 권장</t>
        </is>
      </c>
      <c r="E8" s="32" t="inlineStr">
        <is>
          <t>06시트 L열</t>
        </is>
      </c>
      <c r="F8" s="1" t="n"/>
      <c r="G8" s="1" t="n"/>
      <c r="H8" s="1" t="n"/>
    </row>
    <row r="9" ht="17.25" customHeight="1">
      <c r="A9" s="29" t="inlineStr">
        <is>
          <t>호별요인</t>
        </is>
      </c>
      <c r="B9" s="30" t="inlineStr">
        <is>
          <t>층차</t>
        </is>
      </c>
      <c r="C9" s="35" t="inlineStr">
        <is>
          <t>층이 높으면 0.99~0.98, 낮으면 1.01~1.02</t>
        </is>
      </c>
      <c r="D9" s="30" t="inlineStr">
        <is>
          <t>향·조망은 필요 시 Override</t>
        </is>
      </c>
      <c r="E9" s="32" t="inlineStr">
        <is>
          <t>06시트 N열</t>
        </is>
      </c>
      <c r="F9" s="1" t="n"/>
      <c r="G9" s="1" t="n"/>
      <c r="H9" s="1" t="n"/>
    </row>
    <row r="10" ht="17.25" customHeight="1">
      <c r="A10" s="29" t="inlineStr">
        <is>
          <t>기타요인</t>
        </is>
      </c>
      <c r="B10" s="30" t="inlineStr">
        <is>
          <t>특이 개별요인</t>
        </is>
      </c>
      <c r="C10" s="169">
        <f>'02_대상물건입력'!B17</f>
        <v/>
      </c>
      <c r="D10" s="30" t="inlineStr">
        <is>
          <t>특별한 권리관계/리모델링 등</t>
        </is>
      </c>
      <c r="E10" s="32" t="inlineStr">
        <is>
          <t>06시트 P열</t>
        </is>
      </c>
      <c r="F10" s="1" t="n"/>
      <c r="G10" s="1" t="n"/>
      <c r="H10" s="1" t="n"/>
    </row>
    <row r="11" ht="17.25" customHeight="1">
      <c r="A11" s="29" t="inlineStr">
        <is>
          <t>대지권/건물 배분</t>
        </is>
      </c>
      <c r="B11" s="30" t="inlineStr">
        <is>
          <t>원가배분 방식</t>
        </is>
      </c>
      <c r="C11" s="35" t="inlineStr">
        <is>
          <t>토지기준금액 / (토지기준금액 + 건물기준금액)</t>
        </is>
      </c>
      <c r="D11" s="30" t="inlineStr">
        <is>
          <t>비율 하한/상한 적용</t>
        </is>
      </c>
      <c r="E11" s="32" t="inlineStr">
        <is>
          <t>01/07시트</t>
        </is>
      </c>
      <c r="F11" s="1" t="n"/>
      <c r="G11" s="1" t="n"/>
      <c r="H11" s="1" t="n"/>
    </row>
  </sheetData>
  <mergeCells count="2">
    <mergeCell ref="A3:H3"/>
    <mergeCell ref="A1:H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U2402"/>
  <sheetViews>
    <sheetView showGridLines="0" zoomScale="85" zoomScaleNormal="85" workbookViewId="0">
      <selection activeCell="H2409" sqref="H2409"/>
    </sheetView>
  </sheetViews>
  <sheetFormatPr baseColWidth="8" defaultColWidth="8.6640625" defaultRowHeight="14.25" customHeight="1"/>
  <cols>
    <col width="7.44140625" customWidth="1" min="1" max="1"/>
    <col width="28.44140625" customWidth="1" min="2" max="2"/>
    <col width="7.109375" customWidth="1" min="3" max="4"/>
    <col width="14.5546875" customWidth="1" min="5" max="5"/>
    <col width="30.33203125" customWidth="1" min="6" max="6"/>
    <col width="14.6640625" customWidth="1" min="7" max="7"/>
    <col width="11.33203125" customWidth="1" style="170" min="8" max="8"/>
    <col width="9.33203125" customWidth="1" min="9" max="9"/>
    <col width="17" customWidth="1" min="10" max="10"/>
    <col width="16.33203125" customWidth="1" min="11" max="11"/>
    <col width="10.33203125" customWidth="1" min="12" max="12"/>
    <col width="9.33203125" customWidth="1" min="13" max="13"/>
    <col width="10.33203125" customWidth="1" min="14" max="14"/>
    <col width="20.88671875" customWidth="1" min="15" max="15"/>
    <col width="17.5546875" customWidth="1" min="16" max="17"/>
    <col width="35.109375" customWidth="1" min="18" max="18"/>
    <col width="23.5546875" customWidth="1" min="19" max="19"/>
    <col width="11.33203125" customWidth="1" min="20" max="21"/>
  </cols>
  <sheetData>
    <row r="1" ht="24" customHeight="1">
      <c r="A1" s="145" t="inlineStr">
        <is>
          <t>국토부 실거래가 원자료 붙여넣기</t>
        </is>
      </c>
    </row>
    <row r="2" ht="15" customHeight="1">
      <c r="A2" s="149" t="inlineStr">
        <is>
          <t>※ 5행부터 값만 붙여넣으세요. 4행 헤더는 NO, 시군구, 번지, 본번, 부번, 단지명, 전용면적(㎡), 계약년월, 계약일, 거래금액(만원), 동, 층, 매수자, 매도자, 건축년도, 도로명, 해제사유발생일, 거래유형, 중개사소재지, 등기일자, 주택유형 순서입니다.</t>
        </is>
      </c>
    </row>
    <row r="3" ht="15" customHeight="1">
      <c r="A3" s="1" t="n"/>
      <c r="B3" s="1" t="n"/>
      <c r="C3" s="1" t="n"/>
      <c r="D3" s="1" t="n"/>
      <c r="E3" s="1" t="n"/>
      <c r="F3" s="1" t="n"/>
      <c r="G3" s="1" t="n"/>
      <c r="H3" s="171" t="n"/>
      <c r="I3" s="1" t="n"/>
      <c r="J3" s="1" t="n"/>
      <c r="K3" s="1" t="n"/>
      <c r="L3" s="1" t="n"/>
      <c r="M3" s="1" t="n"/>
      <c r="N3" s="1" t="n"/>
    </row>
    <row r="4" ht="15" customHeight="1">
      <c r="A4" s="39" t="inlineStr">
        <is>
          <t>NO</t>
        </is>
      </c>
      <c r="B4" s="40" t="inlineStr">
        <is>
          <t>시군구</t>
        </is>
      </c>
      <c r="C4" s="40" t="inlineStr">
        <is>
          <t>번지</t>
        </is>
      </c>
      <c r="D4" s="40" t="inlineStr">
        <is>
          <t>본번</t>
        </is>
      </c>
      <c r="E4" s="40" t="inlineStr">
        <is>
          <t>부번</t>
        </is>
      </c>
      <c r="F4" s="40" t="inlineStr">
        <is>
          <t>단지명</t>
        </is>
      </c>
      <c r="G4" s="40" t="inlineStr">
        <is>
          <t>전용면적(㎡)</t>
        </is>
      </c>
      <c r="H4" s="40" t="inlineStr">
        <is>
          <t>계약년월</t>
        </is>
      </c>
      <c r="I4" s="40" t="inlineStr">
        <is>
          <t>계약일</t>
        </is>
      </c>
      <c r="J4" s="40" t="inlineStr">
        <is>
          <t>거래금액(만원)</t>
        </is>
      </c>
      <c r="K4" s="40" t="inlineStr">
        <is>
          <t>동</t>
        </is>
      </c>
      <c r="L4" s="40" t="inlineStr">
        <is>
          <t>층</t>
        </is>
      </c>
      <c r="M4" s="40" t="inlineStr">
        <is>
          <t>매수자</t>
        </is>
      </c>
      <c r="N4" s="40" t="inlineStr">
        <is>
          <t>매도자</t>
        </is>
      </c>
      <c r="O4" s="40" t="inlineStr">
        <is>
          <t>건축년도</t>
        </is>
      </c>
      <c r="P4" s="40" t="inlineStr">
        <is>
          <t>도로명</t>
        </is>
      </c>
      <c r="Q4" s="40" t="inlineStr">
        <is>
          <t>해제사유발생일</t>
        </is>
      </c>
      <c r="R4" s="40" t="inlineStr">
        <is>
          <t>거래유형</t>
        </is>
      </c>
      <c r="S4" s="40" t="inlineStr">
        <is>
          <t>중개사소재지</t>
        </is>
      </c>
      <c r="T4" s="40" t="inlineStr">
        <is>
          <t>등기일자</t>
        </is>
      </c>
      <c r="U4" s="40" t="inlineStr">
        <is>
          <t>주택유형</t>
        </is>
      </c>
    </row>
    <row r="5" hidden="1" ht="15" customHeight="1">
      <c r="A5" s="41" t="n">
        <v>1</v>
      </c>
      <c r="B5" s="42" t="inlineStr">
        <is>
          <t>서울특별시 서초구 서초동</t>
        </is>
      </c>
      <c r="C5" s="41" t="inlineStr">
        <is>
          <t>1330</t>
        </is>
      </c>
      <c r="D5" s="41" t="inlineStr">
        <is>
          <t>1330</t>
        </is>
      </c>
      <c r="E5" s="41" t="inlineStr">
        <is>
          <t>0000</t>
        </is>
      </c>
      <c r="F5" s="42" t="inlineStr">
        <is>
          <t>서초동삼성쉐르빌2</t>
        </is>
      </c>
      <c r="G5" s="41" t="inlineStr">
        <is>
          <t>35.1700</t>
        </is>
      </c>
      <c r="H5" s="41" t="inlineStr">
        <is>
          <t>202404</t>
        </is>
      </c>
      <c r="I5" s="41" t="inlineStr">
        <is>
          <t>09</t>
        </is>
      </c>
      <c r="J5" s="41" t="inlineStr">
        <is>
          <t>32,900</t>
        </is>
      </c>
      <c r="K5" s="41" t="inlineStr">
        <is>
          <t>-</t>
        </is>
      </c>
      <c r="L5" s="41" t="inlineStr">
        <is>
          <t>21</t>
        </is>
      </c>
      <c r="M5" s="42" t="inlineStr">
        <is>
          <t>개인</t>
        </is>
      </c>
      <c r="N5" s="42" t="inlineStr">
        <is>
          <t>개인</t>
        </is>
      </c>
      <c r="O5" s="41" t="inlineStr">
        <is>
          <t>2002</t>
        </is>
      </c>
      <c r="P5" s="42" t="inlineStr">
        <is>
          <t>강남대로53길 11</t>
        </is>
      </c>
      <c r="Q5" s="41" t="inlineStr">
        <is>
          <t>-</t>
        </is>
      </c>
      <c r="R5" s="42" t="inlineStr">
        <is>
          <t>중개거래</t>
        </is>
      </c>
      <c r="S5" s="42" t="inlineStr">
        <is>
          <t>서울 서초구</t>
        </is>
      </c>
      <c r="T5" s="41" t="inlineStr">
        <is>
          <t>24.06.18</t>
        </is>
      </c>
      <c r="U5" s="42" t="inlineStr">
        <is>
          <t>아파트</t>
        </is>
      </c>
    </row>
    <row r="6" hidden="1" ht="15" customHeight="1">
      <c r="A6" s="41" t="n">
        <v>2</v>
      </c>
      <c r="B6" s="42" t="inlineStr">
        <is>
          <t>서울특별시 서초구 서초동</t>
        </is>
      </c>
      <c r="C6" s="41" t="inlineStr">
        <is>
          <t>1671-5</t>
        </is>
      </c>
      <c r="D6" s="41" t="inlineStr">
        <is>
          <t>1671</t>
        </is>
      </c>
      <c r="E6" s="41" t="inlineStr">
        <is>
          <t>0005</t>
        </is>
      </c>
      <c r="F6" s="42" t="inlineStr">
        <is>
          <t>대림서초리시온</t>
        </is>
      </c>
      <c r="G6" s="41" t="inlineStr">
        <is>
          <t>45.7200</t>
        </is>
      </c>
      <c r="H6" s="41" t="inlineStr">
        <is>
          <t>202404</t>
        </is>
      </c>
      <c r="I6" s="41" t="inlineStr">
        <is>
          <t>09</t>
        </is>
      </c>
      <c r="J6" s="41" t="inlineStr">
        <is>
          <t>45,000</t>
        </is>
      </c>
      <c r="K6" s="41" t="inlineStr">
        <is>
          <t>-</t>
        </is>
      </c>
      <c r="L6" s="41" t="inlineStr">
        <is>
          <t>9</t>
        </is>
      </c>
      <c r="M6" s="42" t="inlineStr">
        <is>
          <t>개인</t>
        </is>
      </c>
      <c r="N6" s="42" t="inlineStr">
        <is>
          <t>개인</t>
        </is>
      </c>
      <c r="O6" s="41" t="inlineStr">
        <is>
          <t>2003</t>
        </is>
      </c>
      <c r="P6" s="42" t="inlineStr">
        <is>
          <t>서초중앙로22길 25</t>
        </is>
      </c>
      <c r="Q6" s="41" t="inlineStr">
        <is>
          <t>-</t>
        </is>
      </c>
      <c r="R6" s="42" t="inlineStr">
        <is>
          <t>중개거래</t>
        </is>
      </c>
      <c r="S6" s="42" t="inlineStr">
        <is>
          <t>서울 서초구</t>
        </is>
      </c>
      <c r="T6" s="41" t="inlineStr">
        <is>
          <t>24.06.12</t>
        </is>
      </c>
      <c r="U6" s="42" t="inlineStr">
        <is>
          <t>아파트</t>
        </is>
      </c>
    </row>
    <row r="7" hidden="1" ht="15" customHeight="1">
      <c r="A7" s="41" t="n">
        <v>3</v>
      </c>
      <c r="B7" s="42" t="inlineStr">
        <is>
          <t>서울특별시 서초구 서초동</t>
        </is>
      </c>
      <c r="C7" s="41" t="inlineStr">
        <is>
          <t>1344-13</t>
        </is>
      </c>
      <c r="D7" s="41" t="inlineStr">
        <is>
          <t>1344</t>
        </is>
      </c>
      <c r="E7" s="41" t="inlineStr">
        <is>
          <t>0013</t>
        </is>
      </c>
      <c r="F7" s="42" t="inlineStr">
        <is>
          <t>서초트라팰리스</t>
        </is>
      </c>
      <c r="G7" s="41" t="inlineStr">
        <is>
          <t>95.5800</t>
        </is>
      </c>
      <c r="H7" s="41" t="inlineStr">
        <is>
          <t>202404</t>
        </is>
      </c>
      <c r="I7" s="41" t="inlineStr">
        <is>
          <t>09</t>
        </is>
      </c>
      <c r="J7" s="41" t="inlineStr">
        <is>
          <t>187,500</t>
        </is>
      </c>
      <c r="K7" s="41" t="inlineStr">
        <is>
          <t>A</t>
        </is>
      </c>
      <c r="L7" s="41" t="inlineStr">
        <is>
          <t>14</t>
        </is>
      </c>
      <c r="M7" s="42" t="inlineStr">
        <is>
          <t>개인</t>
        </is>
      </c>
      <c r="N7" s="42" t="inlineStr">
        <is>
          <t>개인</t>
        </is>
      </c>
      <c r="O7" s="41" t="inlineStr">
        <is>
          <t>2005</t>
        </is>
      </c>
      <c r="P7" s="42" t="inlineStr">
        <is>
          <t>효령로72길 57</t>
        </is>
      </c>
      <c r="Q7" s="41" t="inlineStr">
        <is>
          <t>-</t>
        </is>
      </c>
      <c r="R7" s="42" t="inlineStr">
        <is>
          <t>중개거래</t>
        </is>
      </c>
      <c r="S7" s="42" t="inlineStr">
        <is>
          <t>서울 서초구</t>
        </is>
      </c>
      <c r="T7" s="41" t="inlineStr">
        <is>
          <t>24.06.28</t>
        </is>
      </c>
      <c r="U7" s="42" t="inlineStr">
        <is>
          <t>아파트</t>
        </is>
      </c>
    </row>
    <row r="8" hidden="1" ht="15" customHeight="1">
      <c r="A8" s="41" t="n">
        <v>4</v>
      </c>
      <c r="B8" s="42" t="inlineStr">
        <is>
          <t>서울특별시 서초구 서초동</t>
        </is>
      </c>
      <c r="C8" s="41" t="inlineStr">
        <is>
          <t>1326-17</t>
        </is>
      </c>
      <c r="D8" s="41" t="inlineStr">
        <is>
          <t>1326</t>
        </is>
      </c>
      <c r="E8" s="41" t="inlineStr">
        <is>
          <t>0017</t>
        </is>
      </c>
      <c r="F8" s="42" t="inlineStr">
        <is>
          <t>우성아파트</t>
        </is>
      </c>
      <c r="G8" s="41" t="inlineStr">
        <is>
          <t>59.9300</t>
        </is>
      </c>
      <c r="H8" s="41" t="inlineStr">
        <is>
          <t>202404</t>
        </is>
      </c>
      <c r="I8" s="41" t="inlineStr">
        <is>
          <t>08</t>
        </is>
      </c>
      <c r="J8" s="41" t="inlineStr">
        <is>
          <t>153,000</t>
        </is>
      </c>
      <c r="K8" s="41" t="inlineStr">
        <is>
          <t>501</t>
        </is>
      </c>
      <c r="L8" s="41" t="inlineStr">
        <is>
          <t>20</t>
        </is>
      </c>
      <c r="M8" s="42" t="inlineStr">
        <is>
          <t>개인</t>
        </is>
      </c>
      <c r="N8" s="42" t="inlineStr">
        <is>
          <t>개인</t>
        </is>
      </c>
      <c r="O8" s="41" t="inlineStr">
        <is>
          <t>1998</t>
        </is>
      </c>
      <c r="P8" s="42" t="inlineStr">
        <is>
          <t>서초대로74길 30</t>
        </is>
      </c>
      <c r="Q8" s="41" t="inlineStr">
        <is>
          <t>-</t>
        </is>
      </c>
      <c r="R8" s="42" t="inlineStr">
        <is>
          <t>중개거래</t>
        </is>
      </c>
      <c r="S8" s="42" t="inlineStr">
        <is>
          <t>서울 서초구</t>
        </is>
      </c>
      <c r="T8" s="41" t="inlineStr">
        <is>
          <t>24.07.25</t>
        </is>
      </c>
      <c r="U8" s="42" t="inlineStr">
        <is>
          <t>아파트</t>
        </is>
      </c>
    </row>
    <row r="9" hidden="1" ht="15" customHeight="1">
      <c r="A9" s="41" t="n">
        <v>5</v>
      </c>
      <c r="B9" s="42" t="inlineStr">
        <is>
          <t>서울특별시 서초구 서초동</t>
        </is>
      </c>
      <c r="C9" s="41" t="inlineStr">
        <is>
          <t>1316-31</t>
        </is>
      </c>
      <c r="D9" s="41" t="inlineStr">
        <is>
          <t>1316</t>
        </is>
      </c>
      <c r="E9" s="41" t="inlineStr">
        <is>
          <t>0031</t>
        </is>
      </c>
      <c r="F9" s="42" t="inlineStr">
        <is>
          <t>밀라텔쉐르빌</t>
        </is>
      </c>
      <c r="G9" s="41" t="inlineStr">
        <is>
          <t>50.2800</t>
        </is>
      </c>
      <c r="H9" s="41" t="inlineStr">
        <is>
          <t>202404</t>
        </is>
      </c>
      <c r="I9" s="41" t="inlineStr">
        <is>
          <t>08</t>
        </is>
      </c>
      <c r="J9" s="41" t="inlineStr">
        <is>
          <t>72,000</t>
        </is>
      </c>
      <c r="K9" s="41" t="inlineStr">
        <is>
          <t>-</t>
        </is>
      </c>
      <c r="L9" s="41" t="inlineStr">
        <is>
          <t>10</t>
        </is>
      </c>
      <c r="M9" s="42" t="inlineStr">
        <is>
          <t>개인</t>
        </is>
      </c>
      <c r="N9" s="42" t="inlineStr">
        <is>
          <t>개인</t>
        </is>
      </c>
      <c r="O9" s="41" t="inlineStr">
        <is>
          <t>2001</t>
        </is>
      </c>
      <c r="P9" s="42" t="inlineStr">
        <is>
          <t>강남대로61길 17</t>
        </is>
      </c>
      <c r="Q9" s="41" t="inlineStr">
        <is>
          <t>-</t>
        </is>
      </c>
      <c r="R9" s="42" t="inlineStr">
        <is>
          <t>중개거래</t>
        </is>
      </c>
      <c r="S9" s="42" t="inlineStr">
        <is>
          <t>서울 서초구</t>
        </is>
      </c>
      <c r="T9" s="41" t="inlineStr">
        <is>
          <t>24.07.02</t>
        </is>
      </c>
      <c r="U9" s="42" t="inlineStr">
        <is>
          <t>아파트</t>
        </is>
      </c>
    </row>
    <row r="10" hidden="1" ht="15" customHeight="1">
      <c r="A10" s="41" t="n">
        <v>6</v>
      </c>
      <c r="B10" s="42" t="inlineStr">
        <is>
          <t>서울특별시 서초구 서초동</t>
        </is>
      </c>
      <c r="C10" s="41" t="inlineStr">
        <is>
          <t>1467-97</t>
        </is>
      </c>
      <c r="D10" s="41" t="inlineStr">
        <is>
          <t>1467</t>
        </is>
      </c>
      <c r="E10" s="41" t="inlineStr">
        <is>
          <t>0097</t>
        </is>
      </c>
      <c r="F10" s="42" t="inlineStr">
        <is>
          <t>서초금호어울림</t>
        </is>
      </c>
      <c r="G10" s="41" t="inlineStr">
        <is>
          <t>146.1300</t>
        </is>
      </c>
      <c r="H10" s="41" t="inlineStr">
        <is>
          <t>202404</t>
        </is>
      </c>
      <c r="I10" s="41" t="inlineStr">
        <is>
          <t>08</t>
        </is>
      </c>
      <c r="J10" s="41" t="inlineStr">
        <is>
          <t>172,000</t>
        </is>
      </c>
      <c r="K10" s="41" t="inlineStr">
        <is>
          <t>101</t>
        </is>
      </c>
      <c r="L10" s="41" t="inlineStr">
        <is>
          <t>3</t>
        </is>
      </c>
      <c r="M10" s="42" t="inlineStr">
        <is>
          <t>개인</t>
        </is>
      </c>
      <c r="N10" s="42" t="inlineStr">
        <is>
          <t>개인</t>
        </is>
      </c>
      <c r="O10" s="41" t="inlineStr">
        <is>
          <t>2001</t>
        </is>
      </c>
      <c r="P10" s="42" t="inlineStr">
        <is>
          <t>명달로 10</t>
        </is>
      </c>
      <c r="Q10" s="41" t="inlineStr">
        <is>
          <t>-</t>
        </is>
      </c>
      <c r="R10" s="42" t="inlineStr">
        <is>
          <t>중개거래</t>
        </is>
      </c>
      <c r="S10" s="42" t="inlineStr">
        <is>
          <t>서울 서초구</t>
        </is>
      </c>
      <c r="T10" s="41" t="inlineStr">
        <is>
          <t>24.11.25</t>
        </is>
      </c>
      <c r="U10" s="42" t="inlineStr">
        <is>
          <t>아파트</t>
        </is>
      </c>
    </row>
    <row r="11" hidden="1" ht="15" customHeight="1">
      <c r="A11" s="41" t="n">
        <v>7</v>
      </c>
      <c r="B11" s="42" t="inlineStr">
        <is>
          <t>서울특별시 서초구 서초동</t>
        </is>
      </c>
      <c r="C11" s="41" t="inlineStr">
        <is>
          <t>1344-13</t>
        </is>
      </c>
      <c r="D11" s="41" t="inlineStr">
        <is>
          <t>1344</t>
        </is>
      </c>
      <c r="E11" s="41" t="inlineStr">
        <is>
          <t>0013</t>
        </is>
      </c>
      <c r="F11" s="42" t="inlineStr">
        <is>
          <t>서초트라팰리스</t>
        </is>
      </c>
      <c r="G11" s="41" t="inlineStr">
        <is>
          <t>117.9800</t>
        </is>
      </c>
      <c r="H11" s="41" t="inlineStr">
        <is>
          <t>202404</t>
        </is>
      </c>
      <c r="I11" s="41" t="inlineStr">
        <is>
          <t>08</t>
        </is>
      </c>
      <c r="J11" s="41" t="inlineStr">
        <is>
          <t>189,500</t>
        </is>
      </c>
      <c r="K11" s="41" t="inlineStr">
        <is>
          <t>B</t>
        </is>
      </c>
      <c r="L11" s="41" t="inlineStr">
        <is>
          <t>5</t>
        </is>
      </c>
      <c r="M11" s="42" t="inlineStr">
        <is>
          <t>개인</t>
        </is>
      </c>
      <c r="N11" s="42" t="inlineStr">
        <is>
          <t>개인</t>
        </is>
      </c>
      <c r="O11" s="41" t="inlineStr">
        <is>
          <t>2005</t>
        </is>
      </c>
      <c r="P11" s="42" t="inlineStr">
        <is>
          <t>효령로72길 57</t>
        </is>
      </c>
      <c r="Q11" s="41" t="inlineStr">
        <is>
          <t>-</t>
        </is>
      </c>
      <c r="R11" s="42" t="inlineStr">
        <is>
          <t>중개거래</t>
        </is>
      </c>
      <c r="S11" s="42" t="inlineStr">
        <is>
          <t>서울 서초구</t>
        </is>
      </c>
      <c r="T11" s="41" t="inlineStr">
        <is>
          <t>24.07.15</t>
        </is>
      </c>
      <c r="U11" s="42" t="inlineStr">
        <is>
          <t>아파트</t>
        </is>
      </c>
    </row>
    <row r="12" hidden="1" ht="15" customHeight="1">
      <c r="A12" s="41" t="n">
        <v>8</v>
      </c>
      <c r="B12" s="42" t="inlineStr">
        <is>
          <t>서울특별시 서초구 서초동</t>
        </is>
      </c>
      <c r="C12" s="41" t="inlineStr">
        <is>
          <t>1757</t>
        </is>
      </c>
      <c r="D12" s="41" t="inlineStr">
        <is>
          <t>1757</t>
        </is>
      </c>
      <c r="E12" s="41" t="inlineStr">
        <is>
          <t>0000</t>
        </is>
      </c>
      <c r="F12" s="42" t="inlineStr">
        <is>
          <t>서초그랑자이</t>
        </is>
      </c>
      <c r="G12" s="41" t="inlineStr">
        <is>
          <t>84.5100</t>
        </is>
      </c>
      <c r="H12" s="41" t="inlineStr">
        <is>
          <t>202404</t>
        </is>
      </c>
      <c r="I12" s="41" t="inlineStr">
        <is>
          <t>08</t>
        </is>
      </c>
      <c r="J12" s="41" t="inlineStr">
        <is>
          <t>305,000</t>
        </is>
      </c>
      <c r="K12" s="41" t="inlineStr">
        <is>
          <t>102동</t>
        </is>
      </c>
      <c r="L12" s="41" t="inlineStr">
        <is>
          <t>27</t>
        </is>
      </c>
      <c r="M12" s="42" t="inlineStr">
        <is>
          <t>개인</t>
        </is>
      </c>
      <c r="N12" s="42" t="inlineStr">
        <is>
          <t>개인</t>
        </is>
      </c>
      <c r="O12" s="41" t="inlineStr">
        <is>
          <t>2021</t>
        </is>
      </c>
      <c r="P12" s="42" t="inlineStr">
        <is>
          <t>효령로 391</t>
        </is>
      </c>
      <c r="Q12" s="41" t="inlineStr">
        <is>
          <t>-</t>
        </is>
      </c>
      <c r="R12" s="42" t="inlineStr">
        <is>
          <t>중개거래</t>
        </is>
      </c>
      <c r="S12" s="42" t="inlineStr">
        <is>
          <t>서울 서초구</t>
        </is>
      </c>
      <c r="T12" s="41" t="inlineStr">
        <is>
          <t>24.07.12</t>
        </is>
      </c>
      <c r="U12" s="42" t="inlineStr">
        <is>
          <t>아파트</t>
        </is>
      </c>
    </row>
    <row r="13" hidden="1" ht="15" customHeight="1">
      <c r="A13" s="41" t="n">
        <v>9</v>
      </c>
      <c r="B13" s="42" t="inlineStr">
        <is>
          <t>서울특별시 서초구 서초동</t>
        </is>
      </c>
      <c r="C13" s="41" t="inlineStr">
        <is>
          <t>1350-13</t>
        </is>
      </c>
      <c r="D13" s="41" t="inlineStr">
        <is>
          <t>1350</t>
        </is>
      </c>
      <c r="E13" s="41" t="inlineStr">
        <is>
          <t>0013</t>
        </is>
      </c>
      <c r="F13" s="42" t="inlineStr">
        <is>
          <t>동원베네스트아파트</t>
        </is>
      </c>
      <c r="G13" s="41" t="inlineStr">
        <is>
          <t>84.9000</t>
        </is>
      </c>
      <c r="H13" s="41" t="inlineStr">
        <is>
          <t>202404</t>
        </is>
      </c>
      <c r="I13" s="41" t="inlineStr">
        <is>
          <t>08</t>
        </is>
      </c>
      <c r="J13" s="41" t="inlineStr">
        <is>
          <t>155,000</t>
        </is>
      </c>
      <c r="K13" s="41" t="inlineStr">
        <is>
          <t>102</t>
        </is>
      </c>
      <c r="L13" s="41" t="inlineStr">
        <is>
          <t>8</t>
        </is>
      </c>
      <c r="M13" s="42" t="inlineStr">
        <is>
          <t>개인</t>
        </is>
      </c>
      <c r="N13" s="42" t="inlineStr">
        <is>
          <t>개인</t>
        </is>
      </c>
      <c r="O13" s="41" t="inlineStr">
        <is>
          <t>2002</t>
        </is>
      </c>
      <c r="P13" s="42" t="inlineStr">
        <is>
          <t>서운로9길 63</t>
        </is>
      </c>
      <c r="Q13" s="41" t="inlineStr">
        <is>
          <t>-</t>
        </is>
      </c>
      <c r="R13" s="42" t="inlineStr">
        <is>
          <t>중개거래</t>
        </is>
      </c>
      <c r="S13" s="42" t="inlineStr">
        <is>
          <t>서울 서초구</t>
        </is>
      </c>
      <c r="T13" s="41" t="inlineStr">
        <is>
          <t>24.07.02</t>
        </is>
      </c>
      <c r="U13" s="42" t="inlineStr">
        <is>
          <t>아파트</t>
        </is>
      </c>
    </row>
    <row r="14" hidden="1" ht="15" customHeight="1">
      <c r="A14" s="41" t="n">
        <v>10</v>
      </c>
      <c r="B14" s="42" t="inlineStr">
        <is>
          <t>서울특별시 서초구 서초동</t>
        </is>
      </c>
      <c r="C14" s="41" t="inlineStr">
        <is>
          <t>1326-17</t>
        </is>
      </c>
      <c r="D14" s="41" t="inlineStr">
        <is>
          <t>1326</t>
        </is>
      </c>
      <c r="E14" s="41" t="inlineStr">
        <is>
          <t>0017</t>
        </is>
      </c>
      <c r="F14" s="42" t="inlineStr">
        <is>
          <t>우성아파트</t>
        </is>
      </c>
      <c r="G14" s="41" t="inlineStr">
        <is>
          <t>59.9300</t>
        </is>
      </c>
      <c r="H14" s="41" t="inlineStr">
        <is>
          <t>202404</t>
        </is>
      </c>
      <c r="I14" s="41" t="inlineStr">
        <is>
          <t>08</t>
        </is>
      </c>
      <c r="J14" s="41" t="inlineStr">
        <is>
          <t>154,500</t>
        </is>
      </c>
      <c r="K14" s="41" t="inlineStr">
        <is>
          <t>501</t>
        </is>
      </c>
      <c r="L14" s="41" t="inlineStr">
        <is>
          <t>2</t>
        </is>
      </c>
      <c r="M14" s="42" t="inlineStr">
        <is>
          <t>개인</t>
        </is>
      </c>
      <c r="N14" s="42" t="inlineStr">
        <is>
          <t>개인</t>
        </is>
      </c>
      <c r="O14" s="41" t="inlineStr">
        <is>
          <t>1998</t>
        </is>
      </c>
      <c r="P14" s="42" t="inlineStr">
        <is>
          <t>서초대로74길 30</t>
        </is>
      </c>
      <c r="Q14" s="41" t="inlineStr">
        <is>
          <t>-</t>
        </is>
      </c>
      <c r="R14" s="42" t="inlineStr">
        <is>
          <t>중개거래</t>
        </is>
      </c>
      <c r="S14" s="42" t="inlineStr">
        <is>
          <t>서울 서초구</t>
        </is>
      </c>
      <c r="T14" s="41" t="inlineStr">
        <is>
          <t>24.05.28</t>
        </is>
      </c>
      <c r="U14" s="42" t="inlineStr">
        <is>
          <t>아파트</t>
        </is>
      </c>
    </row>
    <row r="15" hidden="1" ht="15" customHeight="1">
      <c r="A15" s="41" t="n">
        <v>11</v>
      </c>
      <c r="B15" s="42" t="inlineStr">
        <is>
          <t>서울특별시 서초구 서초동</t>
        </is>
      </c>
      <c r="C15" s="41" t="inlineStr">
        <is>
          <t>1593-7</t>
        </is>
      </c>
      <c r="D15" s="41" t="inlineStr">
        <is>
          <t>1593</t>
        </is>
      </c>
      <c r="E15" s="41" t="inlineStr">
        <is>
          <t>0007</t>
        </is>
      </c>
      <c r="F15" s="42" t="inlineStr">
        <is>
          <t>서초이오빌</t>
        </is>
      </c>
      <c r="G15" s="41" t="inlineStr">
        <is>
          <t>45.9600</t>
        </is>
      </c>
      <c r="H15" s="41" t="inlineStr">
        <is>
          <t>202404</t>
        </is>
      </c>
      <c r="I15" s="41" t="inlineStr">
        <is>
          <t>07</t>
        </is>
      </c>
      <c r="J15" s="41" t="inlineStr">
        <is>
          <t>40,900</t>
        </is>
      </c>
      <c r="K15" s="41" t="inlineStr">
        <is>
          <t>-</t>
        </is>
      </c>
      <c r="L15" s="41" t="inlineStr">
        <is>
          <t>18</t>
        </is>
      </c>
      <c r="M15" s="42" t="inlineStr">
        <is>
          <t>개인</t>
        </is>
      </c>
      <c r="N15" s="42" t="inlineStr">
        <is>
          <t>개인</t>
        </is>
      </c>
      <c r="O15" s="41" t="inlineStr">
        <is>
          <t>2003</t>
        </is>
      </c>
      <c r="P15" s="42" t="inlineStr">
        <is>
          <t>효령로53길 45</t>
        </is>
      </c>
      <c r="Q15" s="41" t="inlineStr">
        <is>
          <t>-</t>
        </is>
      </c>
      <c r="R15" s="42" t="inlineStr">
        <is>
          <t>중개거래</t>
        </is>
      </c>
      <c r="S15" s="42" t="inlineStr">
        <is>
          <t>서울 서초구</t>
        </is>
      </c>
      <c r="T15" s="41" t="inlineStr">
        <is>
          <t>24.05.31</t>
        </is>
      </c>
      <c r="U15" s="42" t="inlineStr">
        <is>
          <t>아파트</t>
        </is>
      </c>
    </row>
    <row r="16" hidden="1" ht="15" customHeight="1">
      <c r="A16" s="41" t="n">
        <v>12</v>
      </c>
      <c r="B16" s="42" t="inlineStr">
        <is>
          <t>서울특별시 서초구 서초동</t>
        </is>
      </c>
      <c r="C16" s="41" t="inlineStr">
        <is>
          <t>1332-13</t>
        </is>
      </c>
      <c r="D16" s="41" t="inlineStr">
        <is>
          <t>1332</t>
        </is>
      </c>
      <c r="E16" s="41" t="inlineStr">
        <is>
          <t>0013</t>
        </is>
      </c>
      <c r="F16" s="42" t="inlineStr">
        <is>
          <t>래미안서초에스티지</t>
        </is>
      </c>
      <c r="G16" s="41" t="inlineStr">
        <is>
          <t>139.9900</t>
        </is>
      </c>
      <c r="H16" s="41" t="inlineStr">
        <is>
          <t>202404</t>
        </is>
      </c>
      <c r="I16" s="41" t="inlineStr">
        <is>
          <t>07</t>
        </is>
      </c>
      <c r="J16" s="41" t="inlineStr">
        <is>
          <t>350,000</t>
        </is>
      </c>
      <c r="K16" s="41" t="inlineStr">
        <is>
          <t>101동</t>
        </is>
      </c>
      <c r="L16" s="41" t="inlineStr">
        <is>
          <t>17</t>
        </is>
      </c>
      <c r="M16" s="42" t="inlineStr">
        <is>
          <t>개인</t>
        </is>
      </c>
      <c r="N16" s="42" t="inlineStr">
        <is>
          <t>개인</t>
        </is>
      </c>
      <c r="O16" s="41" t="inlineStr">
        <is>
          <t>2016</t>
        </is>
      </c>
      <c r="P16" s="42" t="inlineStr">
        <is>
          <t>서운로 107</t>
        </is>
      </c>
      <c r="Q16" s="41" t="inlineStr">
        <is>
          <t>-</t>
        </is>
      </c>
      <c r="R16" s="42" t="inlineStr">
        <is>
          <t>중개거래</t>
        </is>
      </c>
      <c r="S16" s="42" t="inlineStr">
        <is>
          <t>서울 서초구</t>
        </is>
      </c>
      <c r="T16" s="41" t="inlineStr">
        <is>
          <t>24.07.19</t>
        </is>
      </c>
      <c r="U16" s="42" t="inlineStr">
        <is>
          <t>아파트</t>
        </is>
      </c>
    </row>
    <row r="17" hidden="1" ht="15" customHeight="1">
      <c r="A17" s="41" t="n">
        <v>13</v>
      </c>
      <c r="B17" s="42" t="inlineStr">
        <is>
          <t>서울특별시 서초구 서초동</t>
        </is>
      </c>
      <c r="C17" s="41" t="inlineStr">
        <is>
          <t>1333</t>
        </is>
      </c>
      <c r="D17" s="41" t="inlineStr">
        <is>
          <t>1333</t>
        </is>
      </c>
      <c r="E17" s="41" t="inlineStr">
        <is>
          <t>0000</t>
        </is>
      </c>
      <c r="F17" s="42" t="inlineStr">
        <is>
          <t>신동아아파트(1차)</t>
        </is>
      </c>
      <c r="G17" s="41" t="inlineStr">
        <is>
          <t>102.2100</t>
        </is>
      </c>
      <c r="H17" s="41" t="inlineStr">
        <is>
          <t>202404</t>
        </is>
      </c>
      <c r="I17" s="41" t="inlineStr">
        <is>
          <t>06</t>
        </is>
      </c>
      <c r="J17" s="41" t="inlineStr">
        <is>
          <t>227,900</t>
        </is>
      </c>
      <c r="K17" s="41" t="inlineStr">
        <is>
          <t>5</t>
        </is>
      </c>
      <c r="L17" s="41" t="inlineStr">
        <is>
          <t>12</t>
        </is>
      </c>
      <c r="M17" s="42" t="inlineStr">
        <is>
          <t>개인</t>
        </is>
      </c>
      <c r="N17" s="42" t="inlineStr">
        <is>
          <t>개인</t>
        </is>
      </c>
      <c r="O17" s="41" t="inlineStr">
        <is>
          <t>1978</t>
        </is>
      </c>
      <c r="P17" s="42" t="inlineStr">
        <is>
          <t>사임당로 130</t>
        </is>
      </c>
      <c r="Q17" s="41" t="inlineStr">
        <is>
          <t>-</t>
        </is>
      </c>
      <c r="R17" s="42" t="inlineStr">
        <is>
          <t>중개거래</t>
        </is>
      </c>
      <c r="S17" s="42" t="inlineStr">
        <is>
          <t>서울 서초구</t>
        </is>
      </c>
      <c r="T17" s="41" t="inlineStr">
        <is>
          <t>24.06.24</t>
        </is>
      </c>
      <c r="U17" s="42" t="inlineStr">
        <is>
          <t>아파트</t>
        </is>
      </c>
    </row>
    <row r="18" hidden="1" ht="15" customHeight="1">
      <c r="A18" s="41" t="n">
        <v>14</v>
      </c>
      <c r="B18" s="42" t="inlineStr">
        <is>
          <t>서울특별시 서초구 서초동</t>
        </is>
      </c>
      <c r="C18" s="41" t="inlineStr">
        <is>
          <t>1687</t>
        </is>
      </c>
      <c r="D18" s="41" t="inlineStr">
        <is>
          <t>1687</t>
        </is>
      </c>
      <c r="E18" s="41" t="inlineStr">
        <is>
          <t>0000</t>
        </is>
      </c>
      <c r="F18" s="42" t="inlineStr">
        <is>
          <t>유원서초</t>
        </is>
      </c>
      <c r="G18" s="41" t="inlineStr">
        <is>
          <t>84.8700</t>
        </is>
      </c>
      <c r="H18" s="41" t="inlineStr">
        <is>
          <t>202404</t>
        </is>
      </c>
      <c r="I18" s="41" t="inlineStr">
        <is>
          <t>06</t>
        </is>
      </c>
      <c r="J18" s="41" t="inlineStr">
        <is>
          <t>186,000</t>
        </is>
      </c>
      <c r="K18" s="41" t="inlineStr">
        <is>
          <t>103</t>
        </is>
      </c>
      <c r="L18" s="41" t="inlineStr">
        <is>
          <t>4</t>
        </is>
      </c>
      <c r="M18" s="42" t="inlineStr">
        <is>
          <t>개인</t>
        </is>
      </c>
      <c r="N18" s="42" t="inlineStr">
        <is>
          <t>개인</t>
        </is>
      </c>
      <c r="O18" s="41" t="inlineStr">
        <is>
          <t>1993</t>
        </is>
      </c>
      <c r="P18" s="42" t="inlineStr">
        <is>
          <t>서초중앙로24길 43</t>
        </is>
      </c>
      <c r="Q18" s="41" t="inlineStr">
        <is>
          <t>-</t>
        </is>
      </c>
      <c r="R18" s="42" t="inlineStr">
        <is>
          <t>중개거래</t>
        </is>
      </c>
      <c r="S18" s="42" t="inlineStr">
        <is>
          <t>경기 군포시, 서울 서초구</t>
        </is>
      </c>
      <c r="T18" s="41" t="inlineStr">
        <is>
          <t>24.06.27</t>
        </is>
      </c>
      <c r="U18" s="42" t="inlineStr">
        <is>
          <t>아파트</t>
        </is>
      </c>
    </row>
    <row r="19" hidden="1" ht="15" customHeight="1">
      <c r="A19" s="41" t="n">
        <v>15</v>
      </c>
      <c r="B19" s="42" t="inlineStr">
        <is>
          <t>서울특별시 서초구 서초동</t>
        </is>
      </c>
      <c r="C19" s="41" t="inlineStr">
        <is>
          <t>1451-89</t>
        </is>
      </c>
      <c r="D19" s="41" t="inlineStr">
        <is>
          <t>1451</t>
        </is>
      </c>
      <c r="E19" s="41" t="inlineStr">
        <is>
          <t>0089</t>
        </is>
      </c>
      <c r="F19" s="42" t="inlineStr">
        <is>
          <t>서초중흥S-클래스(도시형생활주택)</t>
        </is>
      </c>
      <c r="G19" s="41" t="inlineStr">
        <is>
          <t>20.5500</t>
        </is>
      </c>
      <c r="H19" s="41" t="inlineStr">
        <is>
          <t>202404</t>
        </is>
      </c>
      <c r="I19" s="41" t="inlineStr">
        <is>
          <t>06</t>
        </is>
      </c>
      <c r="J19" s="41" t="inlineStr">
        <is>
          <t>19,000</t>
        </is>
      </c>
      <c r="K19" s="41" t="inlineStr">
        <is>
          <t>1</t>
        </is>
      </c>
      <c r="L19" s="41" t="inlineStr">
        <is>
          <t>3</t>
        </is>
      </c>
      <c r="M19" s="42" t="inlineStr">
        <is>
          <t>개인</t>
        </is>
      </c>
      <c r="N19" s="42" t="inlineStr">
        <is>
          <t>개인</t>
        </is>
      </c>
      <c r="O19" s="41" t="inlineStr">
        <is>
          <t>2013</t>
        </is>
      </c>
      <c r="P19" s="42" t="inlineStr">
        <is>
          <t>효령로52길 63</t>
        </is>
      </c>
      <c r="Q19" s="41" t="inlineStr">
        <is>
          <t>-</t>
        </is>
      </c>
      <c r="R19" s="42" t="inlineStr">
        <is>
          <t>중개거래</t>
        </is>
      </c>
      <c r="S19" s="42" t="inlineStr">
        <is>
          <t>서울 서초구</t>
        </is>
      </c>
      <c r="T19" s="41" t="inlineStr">
        <is>
          <t>24.04.17</t>
        </is>
      </c>
      <c r="U19" s="42" t="inlineStr">
        <is>
          <t>아파트</t>
        </is>
      </c>
    </row>
    <row r="20" hidden="1" ht="15" customHeight="1">
      <c r="A20" s="41" t="n">
        <v>16</v>
      </c>
      <c r="B20" s="42" t="inlineStr">
        <is>
          <t>서울특별시 서초구 서초동</t>
        </is>
      </c>
      <c r="C20" s="41" t="inlineStr">
        <is>
          <t>1316-15</t>
        </is>
      </c>
      <c r="D20" s="41" t="inlineStr">
        <is>
          <t>1316</t>
        </is>
      </c>
      <c r="E20" s="41" t="inlineStr">
        <is>
          <t>0015</t>
        </is>
      </c>
      <c r="F20" s="42" t="inlineStr">
        <is>
          <t>현대성우주상복합아파트</t>
        </is>
      </c>
      <c r="G20" s="41" t="inlineStr">
        <is>
          <t>150.9500</t>
        </is>
      </c>
      <c r="H20" s="41" t="inlineStr">
        <is>
          <t>202404</t>
        </is>
      </c>
      <c r="I20" s="41" t="inlineStr">
        <is>
          <t>05</t>
        </is>
      </c>
      <c r="J20" s="41" t="inlineStr">
        <is>
          <t>141,000</t>
        </is>
      </c>
      <c r="K20" s="41" t="inlineStr">
        <is>
          <t>-</t>
        </is>
      </c>
      <c r="L20" s="41" t="inlineStr">
        <is>
          <t>21</t>
        </is>
      </c>
      <c r="M20" s="42" t="inlineStr">
        <is>
          <t>개인</t>
        </is>
      </c>
      <c r="N20" s="42" t="inlineStr">
        <is>
          <t>개인</t>
        </is>
      </c>
      <c r="O20" s="41" t="inlineStr">
        <is>
          <t>2002</t>
        </is>
      </c>
      <c r="P20" s="42" t="inlineStr">
        <is>
          <t>강남대로61길 23</t>
        </is>
      </c>
      <c r="Q20" s="41" t="inlineStr">
        <is>
          <t>-</t>
        </is>
      </c>
      <c r="R20" s="42" t="inlineStr">
        <is>
          <t>직거래</t>
        </is>
      </c>
      <c r="S20" s="41" t="inlineStr">
        <is>
          <t>-</t>
        </is>
      </c>
      <c r="T20" s="41" t="inlineStr">
        <is>
          <t>24.04.23</t>
        </is>
      </c>
      <c r="U20" s="42" t="inlineStr">
        <is>
          <t>아파트</t>
        </is>
      </c>
    </row>
    <row r="21" hidden="1" ht="15" customHeight="1">
      <c r="A21" s="41" t="n">
        <v>17</v>
      </c>
      <c r="B21" s="42" t="inlineStr">
        <is>
          <t>서울특별시 서초구 서초동</t>
        </is>
      </c>
      <c r="C21" s="41" t="inlineStr">
        <is>
          <t>1682</t>
        </is>
      </c>
      <c r="D21" s="41" t="inlineStr">
        <is>
          <t>1682</t>
        </is>
      </c>
      <c r="E21" s="41" t="inlineStr">
        <is>
          <t>0000</t>
        </is>
      </c>
      <c r="F21" s="42" t="inlineStr">
        <is>
          <t>서초래미안</t>
        </is>
      </c>
      <c r="G21" s="41" t="inlineStr">
        <is>
          <t>84.9700</t>
        </is>
      </c>
      <c r="H21" s="41" t="inlineStr">
        <is>
          <t>202404</t>
        </is>
      </c>
      <c r="I21" s="41" t="inlineStr">
        <is>
          <t>05</t>
        </is>
      </c>
      <c r="J21" s="41" t="inlineStr">
        <is>
          <t>210,000</t>
        </is>
      </c>
      <c r="K21" s="41" t="inlineStr">
        <is>
          <t>102</t>
        </is>
      </c>
      <c r="L21" s="41" t="inlineStr">
        <is>
          <t>11</t>
        </is>
      </c>
      <c r="M21" s="42" t="inlineStr">
        <is>
          <t>개인</t>
        </is>
      </c>
      <c r="N21" s="42" t="inlineStr">
        <is>
          <t>개인</t>
        </is>
      </c>
      <c r="O21" s="41" t="inlineStr">
        <is>
          <t>2003</t>
        </is>
      </c>
      <c r="P21" s="42" t="inlineStr">
        <is>
          <t>서초대로65길 13-10</t>
        </is>
      </c>
      <c r="Q21" s="41" t="inlineStr">
        <is>
          <t>-</t>
        </is>
      </c>
      <c r="R21" s="42" t="inlineStr">
        <is>
          <t>중개거래</t>
        </is>
      </c>
      <c r="S21" s="42" t="inlineStr">
        <is>
          <t>서울 서초구</t>
        </is>
      </c>
      <c r="T21" s="41" t="inlineStr">
        <is>
          <t>24.06.21</t>
        </is>
      </c>
      <c r="U21" s="42" t="inlineStr">
        <is>
          <t>아파트</t>
        </is>
      </c>
    </row>
    <row r="22" hidden="1" ht="15" customHeight="1">
      <c r="A22" s="41" t="n">
        <v>18</v>
      </c>
      <c r="B22" s="42" t="inlineStr">
        <is>
          <t>서울특별시 서초구 서초동</t>
        </is>
      </c>
      <c r="C22" s="41" t="inlineStr">
        <is>
          <t>1582-3</t>
        </is>
      </c>
      <c r="D22" s="41" t="inlineStr">
        <is>
          <t>1582</t>
        </is>
      </c>
      <c r="E22" s="41" t="inlineStr">
        <is>
          <t>0003</t>
        </is>
      </c>
      <c r="F22" s="42" t="inlineStr">
        <is>
          <t>서초센트럴IPARK</t>
        </is>
      </c>
      <c r="G22" s="41" t="inlineStr">
        <is>
          <t>80.5154</t>
        </is>
      </c>
      <c r="H22" s="41" t="inlineStr">
        <is>
          <t>202404</t>
        </is>
      </c>
      <c r="I22" s="41" t="inlineStr">
        <is>
          <t>05</t>
        </is>
      </c>
      <c r="J22" s="41" t="inlineStr">
        <is>
          <t>200,000</t>
        </is>
      </c>
      <c r="K22" s="41" t="inlineStr">
        <is>
          <t>102동</t>
        </is>
      </c>
      <c r="L22" s="41" t="inlineStr">
        <is>
          <t>33</t>
        </is>
      </c>
      <c r="M22" s="42" t="inlineStr">
        <is>
          <t>개인</t>
        </is>
      </c>
      <c r="N22" s="42" t="inlineStr">
        <is>
          <t>개인</t>
        </is>
      </c>
      <c r="O22" s="41" t="inlineStr">
        <is>
          <t>2020</t>
        </is>
      </c>
      <c r="P22" s="42" t="inlineStr">
        <is>
          <t>반포대로18길 36</t>
        </is>
      </c>
      <c r="Q22" s="41" t="inlineStr">
        <is>
          <t>-</t>
        </is>
      </c>
      <c r="R22" s="42" t="inlineStr">
        <is>
          <t>중개거래</t>
        </is>
      </c>
      <c r="S22" s="42" t="inlineStr">
        <is>
          <t>서울 서초구</t>
        </is>
      </c>
      <c r="T22" s="41" t="inlineStr">
        <is>
          <t>24.06.13</t>
        </is>
      </c>
      <c r="U22" s="42" t="inlineStr">
        <is>
          <t>아파트</t>
        </is>
      </c>
    </row>
    <row r="23" hidden="1" ht="15" customHeight="1">
      <c r="A23" s="41" t="n">
        <v>19</v>
      </c>
      <c r="B23" s="42" t="inlineStr">
        <is>
          <t>서울특별시 서초구 서초동</t>
        </is>
      </c>
      <c r="C23" s="41" t="inlineStr">
        <is>
          <t>1311-10</t>
        </is>
      </c>
      <c r="D23" s="41" t="inlineStr">
        <is>
          <t>1311</t>
        </is>
      </c>
      <c r="E23" s="41" t="inlineStr">
        <is>
          <t>0010</t>
        </is>
      </c>
      <c r="F23" s="42" t="inlineStr">
        <is>
          <t>서초푸르지오써밋</t>
        </is>
      </c>
      <c r="G23" s="41" t="inlineStr">
        <is>
          <t>120.8600</t>
        </is>
      </c>
      <c r="H23" s="41" t="inlineStr">
        <is>
          <t>202404</t>
        </is>
      </c>
      <c r="I23" s="41" t="inlineStr">
        <is>
          <t>04</t>
        </is>
      </c>
      <c r="J23" s="41" t="inlineStr">
        <is>
          <t>335,000</t>
        </is>
      </c>
      <c r="K23" s="41" t="inlineStr">
        <is>
          <t>202</t>
        </is>
      </c>
      <c r="L23" s="41" t="inlineStr">
        <is>
          <t>29</t>
        </is>
      </c>
      <c r="M23" s="42" t="inlineStr">
        <is>
          <t>개인</t>
        </is>
      </c>
      <c r="N23" s="42" t="inlineStr">
        <is>
          <t>개인</t>
        </is>
      </c>
      <c r="O23" s="41" t="inlineStr">
        <is>
          <t>2017</t>
        </is>
      </c>
      <c r="P23" s="42" t="inlineStr">
        <is>
          <t>서운로 212</t>
        </is>
      </c>
      <c r="Q23" s="41" t="inlineStr">
        <is>
          <t>-</t>
        </is>
      </c>
      <c r="R23" s="42" t="inlineStr">
        <is>
          <t>중개거래</t>
        </is>
      </c>
      <c r="S23" s="42" t="inlineStr">
        <is>
          <t>서울 서초구</t>
        </is>
      </c>
      <c r="T23" s="41" t="inlineStr">
        <is>
          <t>24.10.30</t>
        </is>
      </c>
      <c r="U23" s="42" t="inlineStr">
        <is>
          <t>아파트</t>
        </is>
      </c>
    </row>
    <row r="24" hidden="1" ht="15" customHeight="1">
      <c r="A24" s="41" t="n">
        <v>20</v>
      </c>
      <c r="B24" s="42" t="inlineStr">
        <is>
          <t>서울특별시 서초구 서초동</t>
        </is>
      </c>
      <c r="C24" s="41" t="inlineStr">
        <is>
          <t>1757</t>
        </is>
      </c>
      <c r="D24" s="41" t="inlineStr">
        <is>
          <t>1757</t>
        </is>
      </c>
      <c r="E24" s="41" t="inlineStr">
        <is>
          <t>0000</t>
        </is>
      </c>
      <c r="F24" s="42" t="inlineStr">
        <is>
          <t>서초그랑자이</t>
        </is>
      </c>
      <c r="G24" s="41" t="inlineStr">
        <is>
          <t>119.4100</t>
        </is>
      </c>
      <c r="H24" s="41" t="inlineStr">
        <is>
          <t>202404</t>
        </is>
      </c>
      <c r="I24" s="41" t="inlineStr">
        <is>
          <t>04</t>
        </is>
      </c>
      <c r="J24" s="41" t="inlineStr">
        <is>
          <t>382,000</t>
        </is>
      </c>
      <c r="K24" s="41" t="inlineStr">
        <is>
          <t>106동</t>
        </is>
      </c>
      <c r="L24" s="41" t="inlineStr">
        <is>
          <t>21</t>
        </is>
      </c>
      <c r="M24" s="42" t="inlineStr">
        <is>
          <t>개인</t>
        </is>
      </c>
      <c r="N24" s="42" t="inlineStr">
        <is>
          <t>개인</t>
        </is>
      </c>
      <c r="O24" s="41" t="inlineStr">
        <is>
          <t>2021</t>
        </is>
      </c>
      <c r="P24" s="42" t="inlineStr">
        <is>
          <t>효령로 391</t>
        </is>
      </c>
      <c r="Q24" s="41" t="inlineStr">
        <is>
          <t>-</t>
        </is>
      </c>
      <c r="R24" s="42" t="inlineStr">
        <is>
          <t>중개거래</t>
        </is>
      </c>
      <c r="S24" s="42" t="inlineStr">
        <is>
          <t>서울 서초구</t>
        </is>
      </c>
      <c r="T24" s="41" t="inlineStr">
        <is>
          <t>24.08.19</t>
        </is>
      </c>
      <c r="U24" s="42" t="inlineStr">
        <is>
          <t>아파트</t>
        </is>
      </c>
    </row>
    <row r="25" hidden="1" ht="15" customHeight="1">
      <c r="A25" s="41" t="n">
        <v>21</v>
      </c>
      <c r="B25" s="42" t="inlineStr">
        <is>
          <t>서울특별시 서초구 서초동</t>
        </is>
      </c>
      <c r="C25" s="41" t="inlineStr">
        <is>
          <t>1337-3</t>
        </is>
      </c>
      <c r="D25" s="41" t="inlineStr">
        <is>
          <t>1337</t>
        </is>
      </c>
      <c r="E25" s="41" t="inlineStr">
        <is>
          <t>0003</t>
        </is>
      </c>
      <c r="F25" s="41" t="inlineStr">
        <is>
          <t>urbanplace</t>
        </is>
      </c>
      <c r="G25" s="41" t="inlineStr">
        <is>
          <t>20.9980</t>
        </is>
      </c>
      <c r="H25" s="41" t="inlineStr">
        <is>
          <t>202404</t>
        </is>
      </c>
      <c r="I25" s="41" t="inlineStr">
        <is>
          <t>04</t>
        </is>
      </c>
      <c r="J25" s="41" t="inlineStr">
        <is>
          <t>19,500</t>
        </is>
      </c>
      <c r="K25" s="41" t="inlineStr">
        <is>
          <t>1</t>
        </is>
      </c>
      <c r="L25" s="41" t="inlineStr">
        <is>
          <t>5</t>
        </is>
      </c>
      <c r="M25" s="42" t="inlineStr">
        <is>
          <t>개인</t>
        </is>
      </c>
      <c r="N25" s="42" t="inlineStr">
        <is>
          <t>개인</t>
        </is>
      </c>
      <c r="O25" s="41" t="inlineStr">
        <is>
          <t>2014</t>
        </is>
      </c>
      <c r="P25" s="42" t="inlineStr">
        <is>
          <t>효령로77길 30</t>
        </is>
      </c>
      <c r="Q25" s="41" t="inlineStr">
        <is>
          <t>-</t>
        </is>
      </c>
      <c r="R25" s="42" t="inlineStr">
        <is>
          <t>중개거래</t>
        </is>
      </c>
      <c r="S25" s="42" t="inlineStr">
        <is>
          <t>서울 서초구</t>
        </is>
      </c>
      <c r="T25" s="41" t="inlineStr">
        <is>
          <t>24.04.05</t>
        </is>
      </c>
      <c r="U25" s="42" t="inlineStr">
        <is>
          <t>아파트</t>
        </is>
      </c>
    </row>
    <row r="26" hidden="1" ht="15" customHeight="1">
      <c r="A26" s="41" t="n">
        <v>22</v>
      </c>
      <c r="B26" s="42" t="inlineStr">
        <is>
          <t>서울특별시 서초구 서초동</t>
        </is>
      </c>
      <c r="C26" s="41" t="inlineStr">
        <is>
          <t>1755</t>
        </is>
      </c>
      <c r="D26" s="41" t="inlineStr">
        <is>
          <t>1755</t>
        </is>
      </c>
      <c r="E26" s="41" t="inlineStr">
        <is>
          <t>0000</t>
        </is>
      </c>
      <c r="F26" s="42" t="inlineStr">
        <is>
          <t>래미안 리더스원</t>
        </is>
      </c>
      <c r="G26" s="41" t="inlineStr">
        <is>
          <t>84.9300</t>
        </is>
      </c>
      <c r="H26" s="41" t="inlineStr">
        <is>
          <t>202404</t>
        </is>
      </c>
      <c r="I26" s="41" t="inlineStr">
        <is>
          <t>03</t>
        </is>
      </c>
      <c r="J26" s="41" t="inlineStr">
        <is>
          <t>290,000</t>
        </is>
      </c>
      <c r="K26" s="41" t="inlineStr">
        <is>
          <t>101동</t>
        </is>
      </c>
      <c r="L26" s="41" t="inlineStr">
        <is>
          <t>12</t>
        </is>
      </c>
      <c r="M26" s="42" t="inlineStr">
        <is>
          <t>개인</t>
        </is>
      </c>
      <c r="N26" s="42" t="inlineStr">
        <is>
          <t>개인</t>
        </is>
      </c>
      <c r="O26" s="41" t="inlineStr">
        <is>
          <t>2020</t>
        </is>
      </c>
      <c r="P26" s="42" t="inlineStr">
        <is>
          <t>서운로 62</t>
        </is>
      </c>
      <c r="Q26" s="41" t="inlineStr">
        <is>
          <t>-</t>
        </is>
      </c>
      <c r="R26" s="42" t="inlineStr">
        <is>
          <t>중개거래</t>
        </is>
      </c>
      <c r="S26" s="42" t="inlineStr">
        <is>
          <t>서울 서초구</t>
        </is>
      </c>
      <c r="T26" s="41" t="inlineStr">
        <is>
          <t>24.07.10</t>
        </is>
      </c>
      <c r="U26" s="42" t="inlineStr">
        <is>
          <t>아파트</t>
        </is>
      </c>
    </row>
    <row r="27" hidden="1" ht="15" customHeight="1">
      <c r="A27" s="41" t="n">
        <v>23</v>
      </c>
      <c r="B27" s="42" t="inlineStr">
        <is>
          <t>서울특별시 서초구 서초동</t>
        </is>
      </c>
      <c r="C27" s="41" t="inlineStr">
        <is>
          <t>1675-11</t>
        </is>
      </c>
      <c r="D27" s="41" t="inlineStr">
        <is>
          <t>1675</t>
        </is>
      </c>
      <c r="E27" s="41" t="inlineStr">
        <is>
          <t>0011</t>
        </is>
      </c>
      <c r="F27" s="42" t="inlineStr">
        <is>
          <t>서초대우아이빌</t>
        </is>
      </c>
      <c r="G27" s="41" t="inlineStr">
        <is>
          <t>37.7770</t>
        </is>
      </c>
      <c r="H27" s="41" t="inlineStr">
        <is>
          <t>202404</t>
        </is>
      </c>
      <c r="I27" s="41" t="inlineStr">
        <is>
          <t>01</t>
        </is>
      </c>
      <c r="J27" s="41" t="inlineStr">
        <is>
          <t>34,400</t>
        </is>
      </c>
      <c r="K27" s="42" t="inlineStr">
        <is>
          <t>서초 대우아이빌</t>
        </is>
      </c>
      <c r="L27" s="41" t="inlineStr">
        <is>
          <t>10</t>
        </is>
      </c>
      <c r="M27" s="42" t="inlineStr">
        <is>
          <t>개인</t>
        </is>
      </c>
      <c r="N27" s="42" t="inlineStr">
        <is>
          <t>개인</t>
        </is>
      </c>
      <c r="O27" s="41" t="inlineStr">
        <is>
          <t>2003</t>
        </is>
      </c>
      <c r="P27" s="42" t="inlineStr">
        <is>
          <t>서초대로58길 10</t>
        </is>
      </c>
      <c r="Q27" s="41" t="inlineStr">
        <is>
          <t>-</t>
        </is>
      </c>
      <c r="R27" s="42" t="inlineStr">
        <is>
          <t>중개거래</t>
        </is>
      </c>
      <c r="S27" s="42" t="inlineStr">
        <is>
          <t>서울 서초구</t>
        </is>
      </c>
      <c r="T27" s="41" t="inlineStr">
        <is>
          <t>24.05.09</t>
        </is>
      </c>
      <c r="U27" s="42" t="inlineStr">
        <is>
          <t>아파트</t>
        </is>
      </c>
    </row>
    <row r="28" hidden="1" ht="15" customHeight="1">
      <c r="A28" s="41" t="n">
        <v>24</v>
      </c>
      <c r="B28" s="42" t="inlineStr">
        <is>
          <t>서울특별시 서초구 서초동</t>
        </is>
      </c>
      <c r="C28" s="41" t="inlineStr">
        <is>
          <t>1754</t>
        </is>
      </c>
      <c r="D28" s="41" t="inlineStr">
        <is>
          <t>1754</t>
        </is>
      </c>
      <c r="E28" s="41" t="inlineStr">
        <is>
          <t>0000</t>
        </is>
      </c>
      <c r="F28" s="42" t="inlineStr">
        <is>
          <t>래미안서초에스티지S</t>
        </is>
      </c>
      <c r="G28" s="41" t="inlineStr">
        <is>
          <t>84.9600</t>
        </is>
      </c>
      <c r="H28" s="41" t="inlineStr">
        <is>
          <t>202403</t>
        </is>
      </c>
      <c r="I28" s="41" t="inlineStr">
        <is>
          <t>30</t>
        </is>
      </c>
      <c r="J28" s="41" t="inlineStr">
        <is>
          <t>261,000</t>
        </is>
      </c>
      <c r="K28" s="41" t="inlineStr">
        <is>
          <t>201</t>
        </is>
      </c>
      <c r="L28" s="41" t="inlineStr">
        <is>
          <t>8</t>
        </is>
      </c>
      <c r="M28" s="42" t="inlineStr">
        <is>
          <t>개인</t>
        </is>
      </c>
      <c r="N28" s="42" t="inlineStr">
        <is>
          <t>개인</t>
        </is>
      </c>
      <c r="O28" s="41" t="inlineStr">
        <is>
          <t>2018</t>
        </is>
      </c>
      <c r="P28" s="42" t="inlineStr">
        <is>
          <t>서운로 104</t>
        </is>
      </c>
      <c r="Q28" s="41" t="inlineStr">
        <is>
          <t>-</t>
        </is>
      </c>
      <c r="R28" s="42" t="inlineStr">
        <is>
          <t>중개거래</t>
        </is>
      </c>
      <c r="S28" s="42" t="inlineStr">
        <is>
          <t>서울 서초구</t>
        </is>
      </c>
      <c r="T28" s="41" t="inlineStr">
        <is>
          <t>24.06.28</t>
        </is>
      </c>
      <c r="U28" s="42" t="inlineStr">
        <is>
          <t>아파트</t>
        </is>
      </c>
    </row>
    <row r="29" hidden="1" ht="15" customHeight="1">
      <c r="A29" s="41" t="n">
        <v>25</v>
      </c>
      <c r="B29" s="42" t="inlineStr">
        <is>
          <t>서울특별시 서초구 서초동</t>
        </is>
      </c>
      <c r="C29" s="41" t="inlineStr">
        <is>
          <t>1333</t>
        </is>
      </c>
      <c r="D29" s="41" t="inlineStr">
        <is>
          <t>1333</t>
        </is>
      </c>
      <c r="E29" s="41" t="inlineStr">
        <is>
          <t>0000</t>
        </is>
      </c>
      <c r="F29" s="42" t="inlineStr">
        <is>
          <t>신동아아파트(1차)</t>
        </is>
      </c>
      <c r="G29" s="41" t="inlineStr">
        <is>
          <t>75.8600</t>
        </is>
      </c>
      <c r="H29" s="41" t="inlineStr">
        <is>
          <t>202403</t>
        </is>
      </c>
      <c r="I29" s="41" t="inlineStr">
        <is>
          <t>30</t>
        </is>
      </c>
      <c r="J29" s="41" t="inlineStr">
        <is>
          <t>178,000</t>
        </is>
      </c>
      <c r="K29" s="41" t="inlineStr">
        <is>
          <t>1</t>
        </is>
      </c>
      <c r="L29" s="41" t="inlineStr">
        <is>
          <t>6</t>
        </is>
      </c>
      <c r="M29" s="42" t="inlineStr">
        <is>
          <t>개인</t>
        </is>
      </c>
      <c r="N29" s="42" t="inlineStr">
        <is>
          <t>개인</t>
        </is>
      </c>
      <c r="O29" s="41" t="inlineStr">
        <is>
          <t>1978</t>
        </is>
      </c>
      <c r="P29" s="42" t="inlineStr">
        <is>
          <t>사임당로 137</t>
        </is>
      </c>
      <c r="Q29" s="41" t="inlineStr">
        <is>
          <t>-</t>
        </is>
      </c>
      <c r="R29" s="42" t="inlineStr">
        <is>
          <t>중개거래</t>
        </is>
      </c>
      <c r="S29" s="42" t="inlineStr">
        <is>
          <t>서울 서초구</t>
        </is>
      </c>
      <c r="T29" s="41" t="inlineStr">
        <is>
          <t>24.07.31</t>
        </is>
      </c>
      <c r="U29" s="42" t="inlineStr">
        <is>
          <t>아파트</t>
        </is>
      </c>
    </row>
    <row r="30" hidden="1" ht="15" customHeight="1">
      <c r="A30" s="41" t="n">
        <v>26</v>
      </c>
      <c r="B30" s="42" t="inlineStr">
        <is>
          <t>서울특별시 서초구 서초동</t>
        </is>
      </c>
      <c r="C30" s="41" t="inlineStr">
        <is>
          <t>1757</t>
        </is>
      </c>
      <c r="D30" s="41" t="inlineStr">
        <is>
          <t>1757</t>
        </is>
      </c>
      <c r="E30" s="41" t="inlineStr">
        <is>
          <t>0000</t>
        </is>
      </c>
      <c r="F30" s="42" t="inlineStr">
        <is>
          <t>서초그랑자이</t>
        </is>
      </c>
      <c r="G30" s="41" t="inlineStr">
        <is>
          <t>100.3100</t>
        </is>
      </c>
      <c r="H30" s="41" t="inlineStr">
        <is>
          <t>202403</t>
        </is>
      </c>
      <c r="I30" s="41" t="inlineStr">
        <is>
          <t>30</t>
        </is>
      </c>
      <c r="J30" s="41" t="inlineStr">
        <is>
          <t>335,000</t>
        </is>
      </c>
      <c r="K30" s="41" t="inlineStr">
        <is>
          <t>103동</t>
        </is>
      </c>
      <c r="L30" s="41" t="inlineStr">
        <is>
          <t>27</t>
        </is>
      </c>
      <c r="M30" s="42" t="inlineStr">
        <is>
          <t>개인</t>
        </is>
      </c>
      <c r="N30" s="42" t="inlineStr">
        <is>
          <t>개인</t>
        </is>
      </c>
      <c r="O30" s="41" t="inlineStr">
        <is>
          <t>2021</t>
        </is>
      </c>
      <c r="P30" s="42" t="inlineStr">
        <is>
          <t>효령로 391</t>
        </is>
      </c>
      <c r="Q30" s="41" t="inlineStr">
        <is>
          <t>-</t>
        </is>
      </c>
      <c r="R30" s="42" t="inlineStr">
        <is>
          <t>중개거래</t>
        </is>
      </c>
      <c r="S30" s="42" t="inlineStr">
        <is>
          <t>서울 서초구</t>
        </is>
      </c>
      <c r="T30" s="41" t="inlineStr">
        <is>
          <t>24.10.10</t>
        </is>
      </c>
      <c r="U30" s="42" t="inlineStr">
        <is>
          <t>아파트</t>
        </is>
      </c>
    </row>
    <row r="31" hidden="1" ht="15" customHeight="1">
      <c r="A31" s="41" t="n">
        <v>27</v>
      </c>
      <c r="B31" s="42" t="inlineStr">
        <is>
          <t>서울특별시 서초구 서초동</t>
        </is>
      </c>
      <c r="C31" s="41" t="inlineStr">
        <is>
          <t>1582-3</t>
        </is>
      </c>
      <c r="D31" s="41" t="inlineStr">
        <is>
          <t>1582</t>
        </is>
      </c>
      <c r="E31" s="41" t="inlineStr">
        <is>
          <t>0003</t>
        </is>
      </c>
      <c r="F31" s="42" t="inlineStr">
        <is>
          <t>서초센트럴IPARK</t>
        </is>
      </c>
      <c r="G31" s="41" t="inlineStr">
        <is>
          <t>80.5981</t>
        </is>
      </c>
      <c r="H31" s="41" t="inlineStr">
        <is>
          <t>202403</t>
        </is>
      </c>
      <c r="I31" s="41" t="inlineStr">
        <is>
          <t>30</t>
        </is>
      </c>
      <c r="J31" s="41" t="inlineStr">
        <is>
          <t>144,000</t>
        </is>
      </c>
      <c r="K31" s="41" t="inlineStr">
        <is>
          <t>101동</t>
        </is>
      </c>
      <c r="L31" s="41" t="inlineStr">
        <is>
          <t>2</t>
        </is>
      </c>
      <c r="M31" s="42" t="inlineStr">
        <is>
          <t>개인</t>
        </is>
      </c>
      <c r="N31" s="42" t="inlineStr">
        <is>
          <t>개인</t>
        </is>
      </c>
      <c r="O31" s="41" t="inlineStr">
        <is>
          <t>2020</t>
        </is>
      </c>
      <c r="P31" s="42" t="inlineStr">
        <is>
          <t>반포대로18길 36</t>
        </is>
      </c>
      <c r="Q31" s="41" t="inlineStr">
        <is>
          <t>-</t>
        </is>
      </c>
      <c r="R31" s="42" t="inlineStr">
        <is>
          <t>중개거래</t>
        </is>
      </c>
      <c r="S31" s="42" t="inlineStr">
        <is>
          <t>서울 서초구</t>
        </is>
      </c>
      <c r="T31" s="41" t="inlineStr">
        <is>
          <t>24.06.27</t>
        </is>
      </c>
      <c r="U31" s="42" t="inlineStr">
        <is>
          <t>아파트</t>
        </is>
      </c>
    </row>
    <row r="32" hidden="1" ht="15" customHeight="1">
      <c r="A32" s="41" t="n">
        <v>28</v>
      </c>
      <c r="B32" s="42" t="inlineStr">
        <is>
          <t>서울특별시 서초구 서초동</t>
        </is>
      </c>
      <c r="C32" s="41" t="inlineStr">
        <is>
          <t>1446-11</t>
        </is>
      </c>
      <c r="D32" s="41" t="inlineStr">
        <is>
          <t>1446</t>
        </is>
      </c>
      <c r="E32" s="41" t="inlineStr">
        <is>
          <t>0011</t>
        </is>
      </c>
      <c r="F32" s="42" t="inlineStr">
        <is>
          <t>현대슈퍼빌</t>
        </is>
      </c>
      <c r="G32" s="41" t="inlineStr">
        <is>
          <t>164.8700</t>
        </is>
      </c>
      <c r="H32" s="41" t="inlineStr">
        <is>
          <t>202403</t>
        </is>
      </c>
      <c r="I32" s="41" t="inlineStr">
        <is>
          <t>29</t>
        </is>
      </c>
      <c r="J32" s="41" t="inlineStr">
        <is>
          <t>255,000</t>
        </is>
      </c>
      <c r="K32" s="41" t="inlineStr">
        <is>
          <t>B</t>
        </is>
      </c>
      <c r="L32" s="41" t="inlineStr">
        <is>
          <t>23</t>
        </is>
      </c>
      <c r="M32" s="42" t="inlineStr">
        <is>
          <t>개인</t>
        </is>
      </c>
      <c r="N32" s="42" t="inlineStr">
        <is>
          <t>개인</t>
        </is>
      </c>
      <c r="O32" s="41" t="inlineStr">
        <is>
          <t>2003</t>
        </is>
      </c>
      <c r="P32" s="42" t="inlineStr">
        <is>
          <t>서초중앙로 15</t>
        </is>
      </c>
      <c r="Q32" s="41" t="inlineStr">
        <is>
          <t>-</t>
        </is>
      </c>
      <c r="R32" s="42" t="inlineStr">
        <is>
          <t>중개거래</t>
        </is>
      </c>
      <c r="S32" s="42" t="inlineStr">
        <is>
          <t>서울 서초구</t>
        </is>
      </c>
      <c r="T32" s="41" t="inlineStr">
        <is>
          <t>24.05.30</t>
        </is>
      </c>
      <c r="U32" s="42" t="inlineStr">
        <is>
          <t>아파트</t>
        </is>
      </c>
    </row>
    <row r="33" hidden="1" ht="15" customHeight="1">
      <c r="A33" s="41" t="n">
        <v>29</v>
      </c>
      <c r="B33" s="42" t="inlineStr">
        <is>
          <t>서울특별시 서초구 서초동</t>
        </is>
      </c>
      <c r="C33" s="41" t="inlineStr">
        <is>
          <t>1333</t>
        </is>
      </c>
      <c r="D33" s="41" t="inlineStr">
        <is>
          <t>1333</t>
        </is>
      </c>
      <c r="E33" s="41" t="inlineStr">
        <is>
          <t>0000</t>
        </is>
      </c>
      <c r="F33" s="42" t="inlineStr">
        <is>
          <t>신동아아파트(1차)</t>
        </is>
      </c>
      <c r="G33" s="41" t="inlineStr">
        <is>
          <t>88.6800</t>
        </is>
      </c>
      <c r="H33" s="41" t="inlineStr">
        <is>
          <t>202403</t>
        </is>
      </c>
      <c r="I33" s="41" t="inlineStr">
        <is>
          <t>28</t>
        </is>
      </c>
      <c r="J33" s="41" t="inlineStr">
        <is>
          <t>205,000</t>
        </is>
      </c>
      <c r="K33" s="41" t="inlineStr">
        <is>
          <t>1</t>
        </is>
      </c>
      <c r="L33" s="41" t="inlineStr">
        <is>
          <t>13</t>
        </is>
      </c>
      <c r="M33" s="42" t="inlineStr">
        <is>
          <t>개인</t>
        </is>
      </c>
      <c r="N33" s="42" t="inlineStr">
        <is>
          <t>개인</t>
        </is>
      </c>
      <c r="O33" s="41" t="inlineStr">
        <is>
          <t>1978</t>
        </is>
      </c>
      <c r="P33" s="42" t="inlineStr">
        <is>
          <t>사임당로 137</t>
        </is>
      </c>
      <c r="Q33" s="41" t="inlineStr">
        <is>
          <t>-</t>
        </is>
      </c>
      <c r="R33" s="42" t="inlineStr">
        <is>
          <t>중개거래</t>
        </is>
      </c>
      <c r="S33" s="42" t="inlineStr">
        <is>
          <t>서울 서초구</t>
        </is>
      </c>
      <c r="T33" s="41" t="inlineStr">
        <is>
          <t>24.06.28</t>
        </is>
      </c>
      <c r="U33" s="42" t="inlineStr">
        <is>
          <t>아파트</t>
        </is>
      </c>
    </row>
    <row r="34" hidden="1" ht="15" customHeight="1">
      <c r="A34" s="41" t="n">
        <v>30</v>
      </c>
      <c r="B34" s="42" t="inlineStr">
        <is>
          <t>서울특별시 서초구 서초동</t>
        </is>
      </c>
      <c r="C34" s="41" t="inlineStr">
        <is>
          <t>1755</t>
        </is>
      </c>
      <c r="D34" s="41" t="inlineStr">
        <is>
          <t>1755</t>
        </is>
      </c>
      <c r="E34" s="41" t="inlineStr">
        <is>
          <t>0000</t>
        </is>
      </c>
      <c r="F34" s="42" t="inlineStr">
        <is>
          <t>래미안 리더스원</t>
        </is>
      </c>
      <c r="G34" s="41" t="inlineStr">
        <is>
          <t>135.0200</t>
        </is>
      </c>
      <c r="H34" s="41" t="inlineStr">
        <is>
          <t>202403</t>
        </is>
      </c>
      <c r="I34" s="41" t="inlineStr">
        <is>
          <t>28</t>
        </is>
      </c>
      <c r="J34" s="41" t="inlineStr">
        <is>
          <t>405,000</t>
        </is>
      </c>
      <c r="K34" s="41" t="inlineStr">
        <is>
          <t>102동</t>
        </is>
      </c>
      <c r="L34" s="41" t="inlineStr">
        <is>
          <t>12</t>
        </is>
      </c>
      <c r="M34" s="42" t="inlineStr">
        <is>
          <t>개인</t>
        </is>
      </c>
      <c r="N34" s="42" t="inlineStr">
        <is>
          <t>개인</t>
        </is>
      </c>
      <c r="O34" s="41" t="inlineStr">
        <is>
          <t>2020</t>
        </is>
      </c>
      <c r="P34" s="42" t="inlineStr">
        <is>
          <t>서운로 62</t>
        </is>
      </c>
      <c r="Q34" s="41" t="inlineStr">
        <is>
          <t>-</t>
        </is>
      </c>
      <c r="R34" s="42" t="inlineStr">
        <is>
          <t>중개거래</t>
        </is>
      </c>
      <c r="S34" s="42" t="inlineStr">
        <is>
          <t>서울 서초구</t>
        </is>
      </c>
      <c r="T34" s="41" t="inlineStr">
        <is>
          <t>24.04.08</t>
        </is>
      </c>
      <c r="U34" s="42" t="inlineStr">
        <is>
          <t>아파트</t>
        </is>
      </c>
    </row>
    <row r="35" hidden="1" ht="15" customHeight="1">
      <c r="A35" s="41" t="n">
        <v>31</v>
      </c>
      <c r="B35" s="42" t="inlineStr">
        <is>
          <t>서울특별시 서초구 서초동</t>
        </is>
      </c>
      <c r="C35" s="41" t="inlineStr">
        <is>
          <t>1491-8</t>
        </is>
      </c>
      <c r="D35" s="41" t="inlineStr">
        <is>
          <t>1491</t>
        </is>
      </c>
      <c r="E35" s="41" t="inlineStr">
        <is>
          <t>0008</t>
        </is>
      </c>
      <c r="F35" s="42" t="inlineStr">
        <is>
          <t>리안하우스</t>
        </is>
      </c>
      <c r="G35" s="41" t="inlineStr">
        <is>
          <t>153.6000</t>
        </is>
      </c>
      <c r="H35" s="41" t="inlineStr">
        <is>
          <t>202403</t>
        </is>
      </c>
      <c r="I35" s="41" t="inlineStr">
        <is>
          <t>27</t>
        </is>
      </c>
      <c r="J35" s="41" t="inlineStr">
        <is>
          <t>165,000</t>
        </is>
      </c>
      <c r="K35" s="41" t="inlineStr">
        <is>
          <t>-</t>
        </is>
      </c>
      <c r="L35" s="41" t="inlineStr">
        <is>
          <t>4</t>
        </is>
      </c>
      <c r="M35" s="42" t="inlineStr">
        <is>
          <t>개인</t>
        </is>
      </c>
      <c r="N35" s="42" t="inlineStr">
        <is>
          <t>개인</t>
        </is>
      </c>
      <c r="O35" s="41" t="inlineStr">
        <is>
          <t>2004</t>
        </is>
      </c>
      <c r="P35" s="42" t="inlineStr">
        <is>
          <t>명달로11길 6</t>
        </is>
      </c>
      <c r="Q35" s="41" t="inlineStr">
        <is>
          <t>-</t>
        </is>
      </c>
      <c r="R35" s="42" t="inlineStr">
        <is>
          <t>직거래</t>
        </is>
      </c>
      <c r="S35" s="41" t="inlineStr">
        <is>
          <t>-</t>
        </is>
      </c>
      <c r="T35" s="41" t="inlineStr">
        <is>
          <t>24.03.27</t>
        </is>
      </c>
      <c r="U35" s="42" t="inlineStr">
        <is>
          <t>아파트</t>
        </is>
      </c>
    </row>
    <row r="36" hidden="1" ht="15" customHeight="1">
      <c r="A36" s="41" t="n">
        <v>32</v>
      </c>
      <c r="B36" s="42" t="inlineStr">
        <is>
          <t>서울특별시 서초구 서초동</t>
        </is>
      </c>
      <c r="C36" s="41" t="inlineStr">
        <is>
          <t>1687</t>
        </is>
      </c>
      <c r="D36" s="41" t="inlineStr">
        <is>
          <t>1687</t>
        </is>
      </c>
      <c r="E36" s="41" t="inlineStr">
        <is>
          <t>0000</t>
        </is>
      </c>
      <c r="F36" s="42" t="inlineStr">
        <is>
          <t>유원서초</t>
        </is>
      </c>
      <c r="G36" s="41" t="inlineStr">
        <is>
          <t>84.8200</t>
        </is>
      </c>
      <c r="H36" s="41" t="inlineStr">
        <is>
          <t>202403</t>
        </is>
      </c>
      <c r="I36" s="41" t="inlineStr">
        <is>
          <t>27</t>
        </is>
      </c>
      <c r="J36" s="41" t="inlineStr">
        <is>
          <t>184,000</t>
        </is>
      </c>
      <c r="K36" s="41" t="inlineStr">
        <is>
          <t>101</t>
        </is>
      </c>
      <c r="L36" s="41" t="inlineStr">
        <is>
          <t>15</t>
        </is>
      </c>
      <c r="M36" s="42" t="inlineStr">
        <is>
          <t>개인</t>
        </is>
      </c>
      <c r="N36" s="42" t="inlineStr">
        <is>
          <t>개인</t>
        </is>
      </c>
      <c r="O36" s="41" t="inlineStr">
        <is>
          <t>1993</t>
        </is>
      </c>
      <c r="P36" s="42" t="inlineStr">
        <is>
          <t>서초중앙로24길 43</t>
        </is>
      </c>
      <c r="Q36" s="41" t="inlineStr">
        <is>
          <t>-</t>
        </is>
      </c>
      <c r="R36" s="42" t="inlineStr">
        <is>
          <t>중개거래</t>
        </is>
      </c>
      <c r="S36" s="42" t="inlineStr">
        <is>
          <t>서울 서초구</t>
        </is>
      </c>
      <c r="T36" s="41" t="inlineStr">
        <is>
          <t>25.01.06</t>
        </is>
      </c>
      <c r="U36" s="42" t="inlineStr">
        <is>
          <t>아파트</t>
        </is>
      </c>
    </row>
    <row r="37" hidden="1" ht="15" customHeight="1">
      <c r="A37" s="41" t="n">
        <v>33</v>
      </c>
      <c r="B37" s="42" t="inlineStr">
        <is>
          <t>서울특별시 서초구 서초동</t>
        </is>
      </c>
      <c r="C37" s="41" t="inlineStr">
        <is>
          <t>1330</t>
        </is>
      </c>
      <c r="D37" s="41" t="inlineStr">
        <is>
          <t>1330</t>
        </is>
      </c>
      <c r="E37" s="41" t="inlineStr">
        <is>
          <t>0000</t>
        </is>
      </c>
      <c r="F37" s="42" t="inlineStr">
        <is>
          <t>서초동삼성쉐르빌2</t>
        </is>
      </c>
      <c r="G37" s="41" t="inlineStr">
        <is>
          <t>35.2200</t>
        </is>
      </c>
      <c r="H37" s="41" t="inlineStr">
        <is>
          <t>202403</t>
        </is>
      </c>
      <c r="I37" s="41" t="inlineStr">
        <is>
          <t>26</t>
        </is>
      </c>
      <c r="J37" s="41" t="inlineStr">
        <is>
          <t>29,800</t>
        </is>
      </c>
      <c r="K37" s="41" t="inlineStr">
        <is>
          <t>-</t>
        </is>
      </c>
      <c r="L37" s="41" t="inlineStr">
        <is>
          <t>9</t>
        </is>
      </c>
      <c r="M37" s="42" t="inlineStr">
        <is>
          <t>개인</t>
        </is>
      </c>
      <c r="N37" s="42" t="inlineStr">
        <is>
          <t>개인</t>
        </is>
      </c>
      <c r="O37" s="41" t="inlineStr">
        <is>
          <t>2002</t>
        </is>
      </c>
      <c r="P37" s="42" t="inlineStr">
        <is>
          <t>강남대로53길 11</t>
        </is>
      </c>
      <c r="Q37" s="41" t="inlineStr">
        <is>
          <t>-</t>
        </is>
      </c>
      <c r="R37" s="42" t="inlineStr">
        <is>
          <t>중개거래</t>
        </is>
      </c>
      <c r="S37" s="42" t="inlineStr">
        <is>
          <t>서울 서초구</t>
        </is>
      </c>
      <c r="T37" s="41" t="inlineStr">
        <is>
          <t>24.05.02</t>
        </is>
      </c>
      <c r="U37" s="42" t="inlineStr">
        <is>
          <t>아파트</t>
        </is>
      </c>
    </row>
    <row r="38" hidden="1" ht="15" customHeight="1">
      <c r="A38" s="41" t="n">
        <v>34</v>
      </c>
      <c r="B38" s="42" t="inlineStr">
        <is>
          <t>서울특별시 서초구 서초동</t>
        </is>
      </c>
      <c r="C38" s="41" t="inlineStr">
        <is>
          <t>1593-7</t>
        </is>
      </c>
      <c r="D38" s="41" t="inlineStr">
        <is>
          <t>1593</t>
        </is>
      </c>
      <c r="E38" s="41" t="inlineStr">
        <is>
          <t>0007</t>
        </is>
      </c>
      <c r="F38" s="42" t="inlineStr">
        <is>
          <t>서초이오빌</t>
        </is>
      </c>
      <c r="G38" s="41" t="inlineStr">
        <is>
          <t>36.6600</t>
        </is>
      </c>
      <c r="H38" s="41" t="inlineStr">
        <is>
          <t>202403</t>
        </is>
      </c>
      <c r="I38" s="41" t="inlineStr">
        <is>
          <t>26</t>
        </is>
      </c>
      <c r="J38" s="41" t="inlineStr">
        <is>
          <t>34,200</t>
        </is>
      </c>
      <c r="K38" s="41" t="inlineStr">
        <is>
          <t>-</t>
        </is>
      </c>
      <c r="L38" s="41" t="inlineStr">
        <is>
          <t>18</t>
        </is>
      </c>
      <c r="M38" s="42" t="inlineStr">
        <is>
          <t>개인</t>
        </is>
      </c>
      <c r="N38" s="42" t="inlineStr">
        <is>
          <t>개인</t>
        </is>
      </c>
      <c r="O38" s="41" t="inlineStr">
        <is>
          <t>2003</t>
        </is>
      </c>
      <c r="P38" s="42" t="inlineStr">
        <is>
          <t>효령로53길 45</t>
        </is>
      </c>
      <c r="Q38" s="41" t="inlineStr">
        <is>
          <t>-</t>
        </is>
      </c>
      <c r="R38" s="42" t="inlineStr">
        <is>
          <t>중개거래</t>
        </is>
      </c>
      <c r="S38" s="42" t="inlineStr">
        <is>
          <t>서울 서초구</t>
        </is>
      </c>
      <c r="T38" s="41" t="inlineStr">
        <is>
          <t>24.04.26</t>
        </is>
      </c>
      <c r="U38" s="42" t="inlineStr">
        <is>
          <t>아파트</t>
        </is>
      </c>
    </row>
    <row r="39" hidden="1" ht="15" customHeight="1">
      <c r="A39" s="41" t="n">
        <v>35</v>
      </c>
      <c r="B39" s="42" t="inlineStr">
        <is>
          <t>서울특별시 서초구 서초동</t>
        </is>
      </c>
      <c r="C39" s="41" t="inlineStr">
        <is>
          <t>1333</t>
        </is>
      </c>
      <c r="D39" s="41" t="inlineStr">
        <is>
          <t>1333</t>
        </is>
      </c>
      <c r="E39" s="41" t="inlineStr">
        <is>
          <t>0000</t>
        </is>
      </c>
      <c r="F39" s="42" t="inlineStr">
        <is>
          <t>신동아아파트(1차)</t>
        </is>
      </c>
      <c r="G39" s="41" t="inlineStr">
        <is>
          <t>87.3900</t>
        </is>
      </c>
      <c r="H39" s="41" t="inlineStr">
        <is>
          <t>202403</t>
        </is>
      </c>
      <c r="I39" s="41" t="inlineStr">
        <is>
          <t>26</t>
        </is>
      </c>
      <c r="J39" s="41" t="inlineStr">
        <is>
          <t>192,000</t>
        </is>
      </c>
      <c r="K39" s="41" t="inlineStr">
        <is>
          <t>7</t>
        </is>
      </c>
      <c r="L39" s="41" t="inlineStr">
        <is>
          <t>1</t>
        </is>
      </c>
      <c r="M39" s="42" t="inlineStr">
        <is>
          <t>개인</t>
        </is>
      </c>
      <c r="N39" s="42" t="inlineStr">
        <is>
          <t>개인</t>
        </is>
      </c>
      <c r="O39" s="41" t="inlineStr">
        <is>
          <t>1978</t>
        </is>
      </c>
      <c r="P39" s="42" t="inlineStr">
        <is>
          <t>사임당로 130</t>
        </is>
      </c>
      <c r="Q39" s="41" t="inlineStr">
        <is>
          <t>-</t>
        </is>
      </c>
      <c r="R39" s="42" t="inlineStr">
        <is>
          <t>중개거래</t>
        </is>
      </c>
      <c r="S39" s="42" t="inlineStr">
        <is>
          <t>서울 서초구</t>
        </is>
      </c>
      <c r="T39" s="41" t="inlineStr">
        <is>
          <t>24.05.28</t>
        </is>
      </c>
      <c r="U39" s="42" t="inlineStr">
        <is>
          <t>아파트</t>
        </is>
      </c>
    </row>
    <row r="40" hidden="1" ht="15" customHeight="1">
      <c r="A40" s="41" t="n">
        <v>36</v>
      </c>
      <c r="B40" s="42" t="inlineStr">
        <is>
          <t>서울특별시 서초구 서초동</t>
        </is>
      </c>
      <c r="C40" s="41" t="inlineStr">
        <is>
          <t>1681-8</t>
        </is>
      </c>
      <c r="D40" s="41" t="inlineStr">
        <is>
          <t>1681</t>
        </is>
      </c>
      <c r="E40" s="41" t="inlineStr">
        <is>
          <t>0008</t>
        </is>
      </c>
      <c r="F40" s="42" t="inlineStr">
        <is>
          <t>서초롯데캐슬프레지던트</t>
        </is>
      </c>
      <c r="G40" s="41" t="inlineStr">
        <is>
          <t>84.9700</t>
        </is>
      </c>
      <c r="H40" s="41" t="inlineStr">
        <is>
          <t>202403</t>
        </is>
      </c>
      <c r="I40" s="41" t="inlineStr">
        <is>
          <t>26</t>
        </is>
      </c>
      <c r="J40" s="41" t="inlineStr">
        <is>
          <t>218,000</t>
        </is>
      </c>
      <c r="K40" s="41" t="inlineStr">
        <is>
          <t>103</t>
        </is>
      </c>
      <c r="L40" s="41" t="inlineStr">
        <is>
          <t>30</t>
        </is>
      </c>
      <c r="M40" s="42" t="inlineStr">
        <is>
          <t>개인</t>
        </is>
      </c>
      <c r="N40" s="42" t="inlineStr">
        <is>
          <t>개인</t>
        </is>
      </c>
      <c r="O40" s="41" t="inlineStr">
        <is>
          <t>2014</t>
        </is>
      </c>
      <c r="P40" s="42" t="inlineStr">
        <is>
          <t>서초중앙로24길 57</t>
        </is>
      </c>
      <c r="Q40" s="41" t="inlineStr">
        <is>
          <t>-</t>
        </is>
      </c>
      <c r="R40" s="42" t="inlineStr">
        <is>
          <t>중개거래</t>
        </is>
      </c>
      <c r="S40" s="42" t="inlineStr">
        <is>
          <t>서울 서초구</t>
        </is>
      </c>
      <c r="T40" s="41" t="inlineStr">
        <is>
          <t>24.06.19</t>
        </is>
      </c>
      <c r="U40" s="42" t="inlineStr">
        <is>
          <t>아파트</t>
        </is>
      </c>
    </row>
    <row r="41" hidden="1" ht="15" customHeight="1">
      <c r="A41" s="41" t="n">
        <v>37</v>
      </c>
      <c r="B41" s="42" t="inlineStr">
        <is>
          <t>서울특별시 서초구 서초동</t>
        </is>
      </c>
      <c r="C41" s="41" t="inlineStr">
        <is>
          <t>1686-9</t>
        </is>
      </c>
      <c r="D41" s="41" t="inlineStr">
        <is>
          <t>1686</t>
        </is>
      </c>
      <c r="E41" s="41" t="inlineStr">
        <is>
          <t>0009</t>
        </is>
      </c>
      <c r="F41" s="42" t="inlineStr">
        <is>
          <t>서초교대e편한세상</t>
        </is>
      </c>
      <c r="G41" s="41" t="inlineStr">
        <is>
          <t>110.3200</t>
        </is>
      </c>
      <c r="H41" s="41" t="inlineStr">
        <is>
          <t>202403</t>
        </is>
      </c>
      <c r="I41" s="41" t="inlineStr">
        <is>
          <t>25</t>
        </is>
      </c>
      <c r="J41" s="41" t="inlineStr">
        <is>
          <t>250,000</t>
        </is>
      </c>
      <c r="K41" s="41" t="inlineStr">
        <is>
          <t>106</t>
        </is>
      </c>
      <c r="L41" s="41" t="inlineStr">
        <is>
          <t>13</t>
        </is>
      </c>
      <c r="M41" s="42" t="inlineStr">
        <is>
          <t>개인</t>
        </is>
      </c>
      <c r="N41" s="42" t="inlineStr">
        <is>
          <t>개인</t>
        </is>
      </c>
      <c r="O41" s="41" t="inlineStr">
        <is>
          <t>2010</t>
        </is>
      </c>
      <c r="P41" s="42" t="inlineStr">
        <is>
          <t>서초중앙로24길 33</t>
        </is>
      </c>
      <c r="Q41" s="41" t="inlineStr">
        <is>
          <t>-</t>
        </is>
      </c>
      <c r="R41" s="42" t="inlineStr">
        <is>
          <t>중개거래</t>
        </is>
      </c>
      <c r="S41" s="42" t="inlineStr">
        <is>
          <t>서울 서초구</t>
        </is>
      </c>
      <c r="T41" s="41" t="inlineStr">
        <is>
          <t>24.06.24</t>
        </is>
      </c>
      <c r="U41" s="42" t="inlineStr">
        <is>
          <t>아파트</t>
        </is>
      </c>
    </row>
    <row r="42" hidden="1" ht="15" customHeight="1">
      <c r="A42" s="41" t="n">
        <v>38</v>
      </c>
      <c r="B42" s="42" t="inlineStr">
        <is>
          <t>서울특별시 서초구 서초동</t>
        </is>
      </c>
      <c r="C42" s="41" t="inlineStr">
        <is>
          <t>1681-8</t>
        </is>
      </c>
      <c r="D42" s="41" t="inlineStr">
        <is>
          <t>1681</t>
        </is>
      </c>
      <c r="E42" s="41" t="inlineStr">
        <is>
          <t>0008</t>
        </is>
      </c>
      <c r="F42" s="42" t="inlineStr">
        <is>
          <t>서초롯데캐슬프레지던트</t>
        </is>
      </c>
      <c r="G42" s="41" t="inlineStr">
        <is>
          <t>84.9700</t>
        </is>
      </c>
      <c r="H42" s="41" t="inlineStr">
        <is>
          <t>202403</t>
        </is>
      </c>
      <c r="I42" s="41" t="inlineStr">
        <is>
          <t>24</t>
        </is>
      </c>
      <c r="J42" s="41" t="inlineStr">
        <is>
          <t>224,000</t>
        </is>
      </c>
      <c r="K42" s="41" t="inlineStr">
        <is>
          <t>103</t>
        </is>
      </c>
      <c r="L42" s="41" t="inlineStr">
        <is>
          <t>31</t>
        </is>
      </c>
      <c r="M42" s="42" t="inlineStr">
        <is>
          <t>개인</t>
        </is>
      </c>
      <c r="N42" s="42" t="inlineStr">
        <is>
          <t>개인</t>
        </is>
      </c>
      <c r="O42" s="41" t="inlineStr">
        <is>
          <t>2014</t>
        </is>
      </c>
      <c r="P42" s="42" t="inlineStr">
        <is>
          <t>서초중앙로24길 57</t>
        </is>
      </c>
      <c r="Q42" s="41" t="inlineStr">
        <is>
          <t>-</t>
        </is>
      </c>
      <c r="R42" s="42" t="inlineStr">
        <is>
          <t>중개거래</t>
        </is>
      </c>
      <c r="S42" s="42" t="inlineStr">
        <is>
          <t>서울 서초구</t>
        </is>
      </c>
      <c r="T42" s="41" t="inlineStr">
        <is>
          <t>24.05.13</t>
        </is>
      </c>
      <c r="U42" s="42" t="inlineStr">
        <is>
          <t>아파트</t>
        </is>
      </c>
    </row>
    <row r="43" hidden="1" ht="15" customHeight="1">
      <c r="A43" s="41" t="n">
        <v>39</v>
      </c>
      <c r="B43" s="42" t="inlineStr">
        <is>
          <t>서울특별시 서초구 서초동</t>
        </is>
      </c>
      <c r="C43" s="41" t="inlineStr">
        <is>
          <t>1582-3</t>
        </is>
      </c>
      <c r="D43" s="41" t="inlineStr">
        <is>
          <t>1582</t>
        </is>
      </c>
      <c r="E43" s="41" t="inlineStr">
        <is>
          <t>0003</t>
        </is>
      </c>
      <c r="F43" s="42" t="inlineStr">
        <is>
          <t>서초센트럴IPARK</t>
        </is>
      </c>
      <c r="G43" s="41" t="inlineStr">
        <is>
          <t>80.5154</t>
        </is>
      </c>
      <c r="H43" s="41" t="inlineStr">
        <is>
          <t>202403</t>
        </is>
      </c>
      <c r="I43" s="41" t="inlineStr">
        <is>
          <t>23</t>
        </is>
      </c>
      <c r="J43" s="41" t="inlineStr">
        <is>
          <t>166,500</t>
        </is>
      </c>
      <c r="K43" s="41" t="inlineStr">
        <is>
          <t>101동</t>
        </is>
      </c>
      <c r="L43" s="41" t="inlineStr">
        <is>
          <t>20</t>
        </is>
      </c>
      <c r="M43" s="42" t="inlineStr">
        <is>
          <t>개인</t>
        </is>
      </c>
      <c r="N43" s="42" t="inlineStr">
        <is>
          <t>개인</t>
        </is>
      </c>
      <c r="O43" s="41" t="inlineStr">
        <is>
          <t>2020</t>
        </is>
      </c>
      <c r="P43" s="42" t="inlineStr">
        <is>
          <t>반포대로18길 36</t>
        </is>
      </c>
      <c r="Q43" s="41" t="inlineStr">
        <is>
          <t>-</t>
        </is>
      </c>
      <c r="R43" s="42" t="inlineStr">
        <is>
          <t>중개거래</t>
        </is>
      </c>
      <c r="S43" s="42" t="inlineStr">
        <is>
          <t>서울 서초구</t>
        </is>
      </c>
      <c r="T43" s="41" t="inlineStr">
        <is>
          <t>24.06.28</t>
        </is>
      </c>
      <c r="U43" s="42" t="inlineStr">
        <is>
          <t>아파트</t>
        </is>
      </c>
    </row>
    <row r="44" hidden="1" ht="15" customHeight="1">
      <c r="A44" s="41" t="n">
        <v>40</v>
      </c>
      <c r="B44" s="42" t="inlineStr">
        <is>
          <t>서울특별시 서초구 서초동</t>
        </is>
      </c>
      <c r="C44" s="41" t="inlineStr">
        <is>
          <t>1685-3</t>
        </is>
      </c>
      <c r="D44" s="41" t="inlineStr">
        <is>
          <t>1685</t>
        </is>
      </c>
      <c r="E44" s="41" t="inlineStr">
        <is>
          <t>0003</t>
        </is>
      </c>
      <c r="F44" s="42" t="inlineStr">
        <is>
          <t>아크로비스타</t>
        </is>
      </c>
      <c r="G44" s="41" t="inlineStr">
        <is>
          <t>177.1500</t>
        </is>
      </c>
      <c r="H44" s="41" t="inlineStr">
        <is>
          <t>202403</t>
        </is>
      </c>
      <c r="I44" s="41" t="inlineStr">
        <is>
          <t>22</t>
        </is>
      </c>
      <c r="J44" s="41" t="inlineStr">
        <is>
          <t>330,000</t>
        </is>
      </c>
      <c r="K44" s="41" t="inlineStr">
        <is>
          <t>B</t>
        </is>
      </c>
      <c r="L44" s="41" t="inlineStr">
        <is>
          <t>16</t>
        </is>
      </c>
      <c r="M44" s="42" t="inlineStr">
        <is>
          <t>개인</t>
        </is>
      </c>
      <c r="N44" s="42" t="inlineStr">
        <is>
          <t>개인</t>
        </is>
      </c>
      <c r="O44" s="41" t="inlineStr">
        <is>
          <t>2004</t>
        </is>
      </c>
      <c r="P44" s="42" t="inlineStr">
        <is>
          <t>서초중앙로 188</t>
        </is>
      </c>
      <c r="Q44" s="41" t="inlineStr">
        <is>
          <t>-</t>
        </is>
      </c>
      <c r="R44" s="42" t="inlineStr">
        <is>
          <t>중개거래</t>
        </is>
      </c>
      <c r="S44" s="42" t="inlineStr">
        <is>
          <t>서울 서초구</t>
        </is>
      </c>
      <c r="T44" s="41" t="inlineStr">
        <is>
          <t>24.05.16</t>
        </is>
      </c>
      <c r="U44" s="42" t="inlineStr">
        <is>
          <t>아파트</t>
        </is>
      </c>
    </row>
    <row r="45" hidden="1" ht="15" customHeight="1">
      <c r="A45" s="41" t="n">
        <v>41</v>
      </c>
      <c r="B45" s="42" t="inlineStr">
        <is>
          <t>서울특별시 서초구 서초동</t>
        </is>
      </c>
      <c r="C45" s="41" t="inlineStr">
        <is>
          <t>1451-89</t>
        </is>
      </c>
      <c r="D45" s="41" t="inlineStr">
        <is>
          <t>1451</t>
        </is>
      </c>
      <c r="E45" s="41" t="inlineStr">
        <is>
          <t>0089</t>
        </is>
      </c>
      <c r="F45" s="42" t="inlineStr">
        <is>
          <t>서초중흥S-클래스(도시형생활주택)</t>
        </is>
      </c>
      <c r="G45" s="41" t="inlineStr">
        <is>
          <t>22.3700</t>
        </is>
      </c>
      <c r="H45" s="41" t="inlineStr">
        <is>
          <t>202403</t>
        </is>
      </c>
      <c r="I45" s="41" t="inlineStr">
        <is>
          <t>21</t>
        </is>
      </c>
      <c r="J45" s="41" t="inlineStr">
        <is>
          <t>18,000</t>
        </is>
      </c>
      <c r="K45" s="41" t="inlineStr">
        <is>
          <t>1</t>
        </is>
      </c>
      <c r="L45" s="41" t="inlineStr">
        <is>
          <t>5</t>
        </is>
      </c>
      <c r="M45" s="42" t="inlineStr">
        <is>
          <t>개인</t>
        </is>
      </c>
      <c r="N45" s="42" t="inlineStr">
        <is>
          <t>개인</t>
        </is>
      </c>
      <c r="O45" s="41" t="inlineStr">
        <is>
          <t>2013</t>
        </is>
      </c>
      <c r="P45" s="42" t="inlineStr">
        <is>
          <t>효령로52길 63</t>
        </is>
      </c>
      <c r="Q45" s="41" t="inlineStr">
        <is>
          <t>-</t>
        </is>
      </c>
      <c r="R45" s="42" t="inlineStr">
        <is>
          <t>직거래</t>
        </is>
      </c>
      <c r="S45" s="41" t="inlineStr">
        <is>
          <t>-</t>
        </is>
      </c>
      <c r="T45" s="41" t="inlineStr">
        <is>
          <t>24.03.21</t>
        </is>
      </c>
      <c r="U45" s="42" t="inlineStr">
        <is>
          <t>아파트</t>
        </is>
      </c>
    </row>
    <row r="46" hidden="1" ht="15" customHeight="1">
      <c r="A46" s="41" t="n">
        <v>42</v>
      </c>
      <c r="B46" s="42" t="inlineStr">
        <is>
          <t>서울특별시 서초구 서초동</t>
        </is>
      </c>
      <c r="C46" s="41" t="inlineStr">
        <is>
          <t>1446-11</t>
        </is>
      </c>
      <c r="D46" s="41" t="inlineStr">
        <is>
          <t>1446</t>
        </is>
      </c>
      <c r="E46" s="41" t="inlineStr">
        <is>
          <t>0011</t>
        </is>
      </c>
      <c r="F46" s="42" t="inlineStr">
        <is>
          <t>현대슈퍼빌</t>
        </is>
      </c>
      <c r="G46" s="41" t="inlineStr">
        <is>
          <t>185.0200</t>
        </is>
      </c>
      <c r="H46" s="41" t="inlineStr">
        <is>
          <t>202403</t>
        </is>
      </c>
      <c r="I46" s="41" t="inlineStr">
        <is>
          <t>21</t>
        </is>
      </c>
      <c r="J46" s="41" t="inlineStr">
        <is>
          <t>335,000</t>
        </is>
      </c>
      <c r="K46" s="41" t="inlineStr">
        <is>
          <t>C</t>
        </is>
      </c>
      <c r="L46" s="41" t="inlineStr">
        <is>
          <t>24</t>
        </is>
      </c>
      <c r="M46" s="42" t="inlineStr">
        <is>
          <t>개인</t>
        </is>
      </c>
      <c r="N46" s="42" t="inlineStr">
        <is>
          <t>개인</t>
        </is>
      </c>
      <c r="O46" s="41" t="inlineStr">
        <is>
          <t>2003</t>
        </is>
      </c>
      <c r="P46" s="42" t="inlineStr">
        <is>
          <t>서초중앙로 15</t>
        </is>
      </c>
      <c r="Q46" s="41" t="inlineStr">
        <is>
          <t>-</t>
        </is>
      </c>
      <c r="R46" s="42" t="inlineStr">
        <is>
          <t>중개거래</t>
        </is>
      </c>
      <c r="S46" s="42" t="inlineStr">
        <is>
          <t>서울 서초구</t>
        </is>
      </c>
      <c r="T46" s="41" t="inlineStr">
        <is>
          <t>24.07.05</t>
        </is>
      </c>
      <c r="U46" s="42" t="inlineStr">
        <is>
          <t>아파트</t>
        </is>
      </c>
    </row>
    <row r="47" hidden="1" ht="15" customHeight="1">
      <c r="A47" s="41" t="n">
        <v>43</v>
      </c>
      <c r="B47" s="42" t="inlineStr">
        <is>
          <t>서울특별시 서초구 서초동</t>
        </is>
      </c>
      <c r="C47" s="41" t="inlineStr">
        <is>
          <t>1755</t>
        </is>
      </c>
      <c r="D47" s="41" t="inlineStr">
        <is>
          <t>1755</t>
        </is>
      </c>
      <c r="E47" s="41" t="inlineStr">
        <is>
          <t>0000</t>
        </is>
      </c>
      <c r="F47" s="42" t="inlineStr">
        <is>
          <t>래미안 리더스원</t>
        </is>
      </c>
      <c r="G47" s="41" t="inlineStr">
        <is>
          <t>84.9400</t>
        </is>
      </c>
      <c r="H47" s="41" t="inlineStr">
        <is>
          <t>202403</t>
        </is>
      </c>
      <c r="I47" s="41" t="inlineStr">
        <is>
          <t>21</t>
        </is>
      </c>
      <c r="J47" s="41" t="inlineStr">
        <is>
          <t>295,000</t>
        </is>
      </c>
      <c r="K47" s="41" t="inlineStr">
        <is>
          <t>101동</t>
        </is>
      </c>
      <c r="L47" s="41" t="inlineStr">
        <is>
          <t>20</t>
        </is>
      </c>
      <c r="M47" s="42" t="inlineStr">
        <is>
          <t>개인</t>
        </is>
      </c>
      <c r="N47" s="42" t="inlineStr">
        <is>
          <t>개인</t>
        </is>
      </c>
      <c r="O47" s="41" t="inlineStr">
        <is>
          <t>2020</t>
        </is>
      </c>
      <c r="P47" s="42" t="inlineStr">
        <is>
          <t>서운로 62</t>
        </is>
      </c>
      <c r="Q47" s="41" t="inlineStr">
        <is>
          <t>-</t>
        </is>
      </c>
      <c r="R47" s="42" t="inlineStr">
        <is>
          <t>중개거래</t>
        </is>
      </c>
      <c r="S47" s="42" t="inlineStr">
        <is>
          <t>서울 서초구</t>
        </is>
      </c>
      <c r="T47" s="41" t="inlineStr">
        <is>
          <t>24.06.27</t>
        </is>
      </c>
      <c r="U47" s="42" t="inlineStr">
        <is>
          <t>아파트</t>
        </is>
      </c>
    </row>
    <row r="48" hidden="1" ht="15" customHeight="1">
      <c r="A48" s="41" t="n">
        <v>44</v>
      </c>
      <c r="B48" s="42" t="inlineStr">
        <is>
          <t>서울특별시 서초구 서초동</t>
        </is>
      </c>
      <c r="C48" s="41" t="inlineStr">
        <is>
          <t>1675-11</t>
        </is>
      </c>
      <c r="D48" s="41" t="inlineStr">
        <is>
          <t>1675</t>
        </is>
      </c>
      <c r="E48" s="41" t="inlineStr">
        <is>
          <t>0011</t>
        </is>
      </c>
      <c r="F48" s="42" t="inlineStr">
        <is>
          <t>서초대우아이빌</t>
        </is>
      </c>
      <c r="G48" s="41" t="inlineStr">
        <is>
          <t>35.3070</t>
        </is>
      </c>
      <c r="H48" s="41" t="inlineStr">
        <is>
          <t>202403</t>
        </is>
      </c>
      <c r="I48" s="41" t="inlineStr">
        <is>
          <t>20</t>
        </is>
      </c>
      <c r="J48" s="41" t="inlineStr">
        <is>
          <t>30,000</t>
        </is>
      </c>
      <c r="K48" s="42" t="inlineStr">
        <is>
          <t>서초 대우아이빌</t>
        </is>
      </c>
      <c r="L48" s="41" t="inlineStr">
        <is>
          <t>6</t>
        </is>
      </c>
      <c r="M48" s="42" t="inlineStr">
        <is>
          <t>개인</t>
        </is>
      </c>
      <c r="N48" s="42" t="inlineStr">
        <is>
          <t>개인</t>
        </is>
      </c>
      <c r="O48" s="41" t="inlineStr">
        <is>
          <t>2003</t>
        </is>
      </c>
      <c r="P48" s="42" t="inlineStr">
        <is>
          <t>서초대로58길 10</t>
        </is>
      </c>
      <c r="Q48" s="41" t="inlineStr">
        <is>
          <t>-</t>
        </is>
      </c>
      <c r="R48" s="42" t="inlineStr">
        <is>
          <t>중개거래</t>
        </is>
      </c>
      <c r="S48" s="42" t="inlineStr">
        <is>
          <t>서울 서초구</t>
        </is>
      </c>
      <c r="T48" s="41" t="inlineStr">
        <is>
          <t>24.04.30</t>
        </is>
      </c>
      <c r="U48" s="42" t="inlineStr">
        <is>
          <t>아파트</t>
        </is>
      </c>
    </row>
    <row r="49" hidden="1" ht="15" customHeight="1">
      <c r="A49" s="41" t="n">
        <v>45</v>
      </c>
      <c r="B49" s="42" t="inlineStr">
        <is>
          <t>서울특별시 서초구 서초동</t>
        </is>
      </c>
      <c r="C49" s="41" t="inlineStr">
        <is>
          <t>1685-3</t>
        </is>
      </c>
      <c r="D49" s="41" t="inlineStr">
        <is>
          <t>1685</t>
        </is>
      </c>
      <c r="E49" s="41" t="inlineStr">
        <is>
          <t>0003</t>
        </is>
      </c>
      <c r="F49" s="42" t="inlineStr">
        <is>
          <t>아크로비스타</t>
        </is>
      </c>
      <c r="G49" s="41" t="inlineStr">
        <is>
          <t>134.9700</t>
        </is>
      </c>
      <c r="H49" s="41" t="inlineStr">
        <is>
          <t>202403</t>
        </is>
      </c>
      <c r="I49" s="41" t="inlineStr">
        <is>
          <t>19</t>
        </is>
      </c>
      <c r="J49" s="41" t="inlineStr">
        <is>
          <t>200,000</t>
        </is>
      </c>
      <c r="K49" s="41" t="inlineStr">
        <is>
          <t>A</t>
        </is>
      </c>
      <c r="L49" s="41" t="inlineStr">
        <is>
          <t>14</t>
        </is>
      </c>
      <c r="M49" s="42" t="inlineStr">
        <is>
          <t>개인</t>
        </is>
      </c>
      <c r="N49" s="42" t="inlineStr">
        <is>
          <t>개인</t>
        </is>
      </c>
      <c r="O49" s="41" t="inlineStr">
        <is>
          <t>2004</t>
        </is>
      </c>
      <c r="P49" s="42" t="inlineStr">
        <is>
          <t>서초중앙로 188</t>
        </is>
      </c>
      <c r="Q49" s="41" t="inlineStr">
        <is>
          <t>-</t>
        </is>
      </c>
      <c r="R49" s="42" t="inlineStr">
        <is>
          <t>직거래</t>
        </is>
      </c>
      <c r="S49" s="41" t="inlineStr">
        <is>
          <t>-</t>
        </is>
      </c>
      <c r="T49" s="41" t="inlineStr">
        <is>
          <t>24.04.29</t>
        </is>
      </c>
      <c r="U49" s="42" t="inlineStr">
        <is>
          <t>아파트</t>
        </is>
      </c>
    </row>
    <row r="50" hidden="1" ht="15" customHeight="1">
      <c r="A50" s="41" t="n">
        <v>46</v>
      </c>
      <c r="B50" s="42" t="inlineStr">
        <is>
          <t>서울특별시 서초구 서초동</t>
        </is>
      </c>
      <c r="C50" s="41" t="inlineStr">
        <is>
          <t>1330</t>
        </is>
      </c>
      <c r="D50" s="41" t="inlineStr">
        <is>
          <t>1330</t>
        </is>
      </c>
      <c r="E50" s="41" t="inlineStr">
        <is>
          <t>0000</t>
        </is>
      </c>
      <c r="F50" s="42" t="inlineStr">
        <is>
          <t>서초동삼성쉐르빌2</t>
        </is>
      </c>
      <c r="G50" s="41" t="inlineStr">
        <is>
          <t>35.2200</t>
        </is>
      </c>
      <c r="H50" s="41" t="inlineStr">
        <is>
          <t>202403</t>
        </is>
      </c>
      <c r="I50" s="41" t="inlineStr">
        <is>
          <t>19</t>
        </is>
      </c>
      <c r="J50" s="41" t="inlineStr">
        <is>
          <t>29,700</t>
        </is>
      </c>
      <c r="K50" s="41" t="inlineStr">
        <is>
          <t>-</t>
        </is>
      </c>
      <c r="L50" s="41" t="inlineStr">
        <is>
          <t>5</t>
        </is>
      </c>
      <c r="M50" s="42" t="inlineStr">
        <is>
          <t>개인</t>
        </is>
      </c>
      <c r="N50" s="42" t="inlineStr">
        <is>
          <t>개인</t>
        </is>
      </c>
      <c r="O50" s="41" t="inlineStr">
        <is>
          <t>2002</t>
        </is>
      </c>
      <c r="P50" s="42" t="inlineStr">
        <is>
          <t>강남대로53길 11</t>
        </is>
      </c>
      <c r="Q50" s="41" t="inlineStr">
        <is>
          <t>-</t>
        </is>
      </c>
      <c r="R50" s="42" t="inlineStr">
        <is>
          <t>중개거래</t>
        </is>
      </c>
      <c r="S50" s="42" t="inlineStr">
        <is>
          <t>서울 서초구</t>
        </is>
      </c>
      <c r="T50" s="41" t="inlineStr">
        <is>
          <t>24.05.07</t>
        </is>
      </c>
      <c r="U50" s="42" t="inlineStr">
        <is>
          <t>아파트</t>
        </is>
      </c>
    </row>
    <row r="51" hidden="1" ht="15" customHeight="1">
      <c r="A51" s="41" t="n">
        <v>47</v>
      </c>
      <c r="B51" s="42" t="inlineStr">
        <is>
          <t>서울특별시 서초구 서초동</t>
        </is>
      </c>
      <c r="C51" s="41" t="inlineStr">
        <is>
          <t>1755</t>
        </is>
      </c>
      <c r="D51" s="41" t="inlineStr">
        <is>
          <t>1755</t>
        </is>
      </c>
      <c r="E51" s="41" t="inlineStr">
        <is>
          <t>0000</t>
        </is>
      </c>
      <c r="F51" s="42" t="inlineStr">
        <is>
          <t>래미안 리더스원</t>
        </is>
      </c>
      <c r="G51" s="41" t="inlineStr">
        <is>
          <t>84.9400</t>
        </is>
      </c>
      <c r="H51" s="41" t="inlineStr">
        <is>
          <t>202403</t>
        </is>
      </c>
      <c r="I51" s="41" t="inlineStr">
        <is>
          <t>19</t>
        </is>
      </c>
      <c r="J51" s="41" t="inlineStr">
        <is>
          <t>281,500</t>
        </is>
      </c>
      <c r="K51" s="41" t="inlineStr">
        <is>
          <t>111동</t>
        </is>
      </c>
      <c r="L51" s="41" t="inlineStr">
        <is>
          <t>10</t>
        </is>
      </c>
      <c r="M51" s="42" t="inlineStr">
        <is>
          <t>개인</t>
        </is>
      </c>
      <c r="N51" s="42" t="inlineStr">
        <is>
          <t>개인</t>
        </is>
      </c>
      <c r="O51" s="41" t="inlineStr">
        <is>
          <t>2020</t>
        </is>
      </c>
      <c r="P51" s="42" t="inlineStr">
        <is>
          <t>서운로 62</t>
        </is>
      </c>
      <c r="Q51" s="41" t="inlineStr">
        <is>
          <t>-</t>
        </is>
      </c>
      <c r="R51" s="42" t="inlineStr">
        <is>
          <t>중개거래</t>
        </is>
      </c>
      <c r="S51" s="42" t="inlineStr">
        <is>
          <t>서울 서초구</t>
        </is>
      </c>
      <c r="T51" s="41" t="inlineStr">
        <is>
          <t>24.07.15</t>
        </is>
      </c>
      <c r="U51" s="42" t="inlineStr">
        <is>
          <t>아파트</t>
        </is>
      </c>
    </row>
    <row r="52" hidden="1" ht="15" customHeight="1">
      <c r="A52" s="41" t="n">
        <v>48</v>
      </c>
      <c r="B52" s="42" t="inlineStr">
        <is>
          <t>서울특별시 서초구 서초동</t>
        </is>
      </c>
      <c r="C52" s="41" t="inlineStr">
        <is>
          <t>1333</t>
        </is>
      </c>
      <c r="D52" s="41" t="inlineStr">
        <is>
          <t>1333</t>
        </is>
      </c>
      <c r="E52" s="41" t="inlineStr">
        <is>
          <t>0000</t>
        </is>
      </c>
      <c r="F52" s="42" t="inlineStr">
        <is>
          <t>신동아아파트(1차)</t>
        </is>
      </c>
      <c r="G52" s="41" t="inlineStr">
        <is>
          <t>86.6100</t>
        </is>
      </c>
      <c r="H52" s="41" t="inlineStr">
        <is>
          <t>202403</t>
        </is>
      </c>
      <c r="I52" s="41" t="inlineStr">
        <is>
          <t>18</t>
        </is>
      </c>
      <c r="J52" s="41" t="inlineStr">
        <is>
          <t>197,500</t>
        </is>
      </c>
      <c r="K52" s="41" t="inlineStr">
        <is>
          <t>7</t>
        </is>
      </c>
      <c r="L52" s="41" t="inlineStr">
        <is>
          <t>8</t>
        </is>
      </c>
      <c r="M52" s="42" t="inlineStr">
        <is>
          <t>개인</t>
        </is>
      </c>
      <c r="N52" s="42" t="inlineStr">
        <is>
          <t>개인</t>
        </is>
      </c>
      <c r="O52" s="41" t="inlineStr">
        <is>
          <t>1978</t>
        </is>
      </c>
      <c r="P52" s="42" t="inlineStr">
        <is>
          <t>사임당로 130</t>
        </is>
      </c>
      <c r="Q52" s="41" t="inlineStr">
        <is>
          <t>-</t>
        </is>
      </c>
      <c r="R52" s="42" t="inlineStr">
        <is>
          <t>중개거래</t>
        </is>
      </c>
      <c r="S52" s="42" t="inlineStr">
        <is>
          <t>서울 서초구</t>
        </is>
      </c>
      <c r="T52" s="41" t="inlineStr">
        <is>
          <t>24.06.28</t>
        </is>
      </c>
      <c r="U52" s="42" t="inlineStr">
        <is>
          <t>아파트</t>
        </is>
      </c>
    </row>
    <row r="53" hidden="1" ht="15" customHeight="1">
      <c r="A53" s="41" t="n">
        <v>49</v>
      </c>
      <c r="B53" s="42" t="inlineStr">
        <is>
          <t>서울특별시 서초구 서초동</t>
        </is>
      </c>
      <c r="C53" s="41" t="inlineStr">
        <is>
          <t>1687</t>
        </is>
      </c>
      <c r="D53" s="41" t="inlineStr">
        <is>
          <t>1687</t>
        </is>
      </c>
      <c r="E53" s="41" t="inlineStr">
        <is>
          <t>0000</t>
        </is>
      </c>
      <c r="F53" s="42" t="inlineStr">
        <is>
          <t>유원서초</t>
        </is>
      </c>
      <c r="G53" s="41" t="inlineStr">
        <is>
          <t>84.8200</t>
        </is>
      </c>
      <c r="H53" s="41" t="inlineStr">
        <is>
          <t>202403</t>
        </is>
      </c>
      <c r="I53" s="41" t="inlineStr">
        <is>
          <t>18</t>
        </is>
      </c>
      <c r="J53" s="41" t="inlineStr">
        <is>
          <t>179,000</t>
        </is>
      </c>
      <c r="K53" s="41" t="inlineStr">
        <is>
          <t>104</t>
        </is>
      </c>
      <c r="L53" s="41" t="inlineStr">
        <is>
          <t>14</t>
        </is>
      </c>
      <c r="M53" s="42" t="inlineStr">
        <is>
          <t>개인</t>
        </is>
      </c>
      <c r="N53" s="42" t="inlineStr">
        <is>
          <t>개인</t>
        </is>
      </c>
      <c r="O53" s="41" t="inlineStr">
        <is>
          <t>1993</t>
        </is>
      </c>
      <c r="P53" s="42" t="inlineStr">
        <is>
          <t>서초중앙로24길 43</t>
        </is>
      </c>
      <c r="Q53" s="41" t="inlineStr">
        <is>
          <t>-</t>
        </is>
      </c>
      <c r="R53" s="42" t="inlineStr">
        <is>
          <t>중개거래</t>
        </is>
      </c>
      <c r="S53" s="42" t="inlineStr">
        <is>
          <t>서울 서초구</t>
        </is>
      </c>
      <c r="T53" s="41" t="inlineStr">
        <is>
          <t>24.06.20</t>
        </is>
      </c>
      <c r="U53" s="42" t="inlineStr">
        <is>
          <t>아파트</t>
        </is>
      </c>
    </row>
    <row r="54" hidden="1" ht="15" customHeight="1">
      <c r="A54" s="41" t="n">
        <v>50</v>
      </c>
      <c r="B54" s="42" t="inlineStr">
        <is>
          <t>서울특별시 서초구 서초동</t>
        </is>
      </c>
      <c r="C54" s="41" t="inlineStr">
        <is>
          <t>1420-18</t>
        </is>
      </c>
      <c r="D54" s="41" t="inlineStr">
        <is>
          <t>1420</t>
        </is>
      </c>
      <c r="E54" s="41" t="inlineStr">
        <is>
          <t>0018</t>
        </is>
      </c>
      <c r="F54" s="42" t="inlineStr">
        <is>
          <t>신원아침도시(1420)</t>
        </is>
      </c>
      <c r="G54" s="41" t="inlineStr">
        <is>
          <t>84.3400</t>
        </is>
      </c>
      <c r="H54" s="41" t="inlineStr">
        <is>
          <t>202403</t>
        </is>
      </c>
      <c r="I54" s="41" t="inlineStr">
        <is>
          <t>17</t>
        </is>
      </c>
      <c r="J54" s="41" t="inlineStr">
        <is>
          <t>136,000</t>
        </is>
      </c>
      <c r="K54" s="41" t="inlineStr">
        <is>
          <t>101</t>
        </is>
      </c>
      <c r="L54" s="41" t="inlineStr">
        <is>
          <t>1</t>
        </is>
      </c>
      <c r="M54" s="42" t="inlineStr">
        <is>
          <t>개인</t>
        </is>
      </c>
      <c r="N54" s="42" t="inlineStr">
        <is>
          <t>개인</t>
        </is>
      </c>
      <c r="O54" s="41" t="inlineStr">
        <is>
          <t>2005</t>
        </is>
      </c>
      <c r="P54" s="42" t="inlineStr">
        <is>
          <t>남부순환로337가길 52</t>
        </is>
      </c>
      <c r="Q54" s="41" t="inlineStr">
        <is>
          <t>-</t>
        </is>
      </c>
      <c r="R54" s="42" t="inlineStr">
        <is>
          <t>중개거래</t>
        </is>
      </c>
      <c r="S54" s="42" t="inlineStr">
        <is>
          <t>서울 서초구</t>
        </is>
      </c>
      <c r="T54" s="41" t="inlineStr">
        <is>
          <t>24.06.21</t>
        </is>
      </c>
      <c r="U54" s="42" t="inlineStr">
        <is>
          <t>아파트</t>
        </is>
      </c>
    </row>
    <row r="55" hidden="1" ht="15" customHeight="1">
      <c r="A55" s="41" t="n">
        <v>51</v>
      </c>
      <c r="B55" s="42" t="inlineStr">
        <is>
          <t>서울특별시 서초구 서초동</t>
        </is>
      </c>
      <c r="C55" s="41" t="inlineStr">
        <is>
          <t>1755</t>
        </is>
      </c>
      <c r="D55" s="41" t="inlineStr">
        <is>
          <t>1755</t>
        </is>
      </c>
      <c r="E55" s="41" t="inlineStr">
        <is>
          <t>0000</t>
        </is>
      </c>
      <c r="F55" s="42" t="inlineStr">
        <is>
          <t>래미안 리더스원</t>
        </is>
      </c>
      <c r="G55" s="41" t="inlineStr">
        <is>
          <t>114.9400</t>
        </is>
      </c>
      <c r="H55" s="41" t="inlineStr">
        <is>
          <t>202403</t>
        </is>
      </c>
      <c r="I55" s="41" t="inlineStr">
        <is>
          <t>16</t>
        </is>
      </c>
      <c r="J55" s="41" t="inlineStr">
        <is>
          <t>359,000</t>
        </is>
      </c>
      <c r="K55" s="41" t="inlineStr">
        <is>
          <t>109동</t>
        </is>
      </c>
      <c r="L55" s="41" t="inlineStr">
        <is>
          <t>31</t>
        </is>
      </c>
      <c r="M55" s="42" t="inlineStr">
        <is>
          <t>개인</t>
        </is>
      </c>
      <c r="N55" s="42" t="inlineStr">
        <is>
          <t>개인</t>
        </is>
      </c>
      <c r="O55" s="41" t="inlineStr">
        <is>
          <t>2020</t>
        </is>
      </c>
      <c r="P55" s="42" t="inlineStr">
        <is>
          <t>서운로 62</t>
        </is>
      </c>
      <c r="Q55" s="41" t="inlineStr">
        <is>
          <t>-</t>
        </is>
      </c>
      <c r="R55" s="42" t="inlineStr">
        <is>
          <t>중개거래</t>
        </is>
      </c>
      <c r="S55" s="42" t="inlineStr">
        <is>
          <t>서울 서초구</t>
        </is>
      </c>
      <c r="T55" s="41" t="inlineStr">
        <is>
          <t>24.09.26</t>
        </is>
      </c>
      <c r="U55" s="42" t="inlineStr">
        <is>
          <t>아파트</t>
        </is>
      </c>
    </row>
    <row r="56" hidden="1" ht="15" customHeight="1">
      <c r="A56" s="41" t="n">
        <v>52</v>
      </c>
      <c r="B56" s="42" t="inlineStr">
        <is>
          <t>서울특별시 서초구 서초동</t>
        </is>
      </c>
      <c r="C56" s="41" t="inlineStr">
        <is>
          <t>1648-2</t>
        </is>
      </c>
      <c r="D56" s="41" t="inlineStr">
        <is>
          <t>1648</t>
        </is>
      </c>
      <c r="E56" s="41" t="inlineStr">
        <is>
          <t>0002</t>
        </is>
      </c>
      <c r="F56" s="42" t="inlineStr">
        <is>
          <t>서초현대</t>
        </is>
      </c>
      <c r="G56" s="41" t="inlineStr">
        <is>
          <t>84.7800</t>
        </is>
      </c>
      <c r="H56" s="41" t="inlineStr">
        <is>
          <t>202403</t>
        </is>
      </c>
      <c r="I56" s="41" t="inlineStr">
        <is>
          <t>16</t>
        </is>
      </c>
      <c r="J56" s="41" t="inlineStr">
        <is>
          <t>175,000</t>
        </is>
      </c>
      <c r="K56" s="41" t="inlineStr">
        <is>
          <t>101</t>
        </is>
      </c>
      <c r="L56" s="41" t="inlineStr">
        <is>
          <t>13</t>
        </is>
      </c>
      <c r="M56" s="42" t="inlineStr">
        <is>
          <t>개인</t>
        </is>
      </c>
      <c r="N56" s="42" t="inlineStr">
        <is>
          <t>개인</t>
        </is>
      </c>
      <c r="O56" s="41" t="inlineStr">
        <is>
          <t>1999</t>
        </is>
      </c>
      <c r="P56" s="42" t="inlineStr">
        <is>
          <t>사임당로19길 10</t>
        </is>
      </c>
      <c r="Q56" s="41" t="inlineStr">
        <is>
          <t>-</t>
        </is>
      </c>
      <c r="R56" s="42" t="inlineStr">
        <is>
          <t>중개거래</t>
        </is>
      </c>
      <c r="S56" s="42" t="inlineStr">
        <is>
          <t>서울 서초구</t>
        </is>
      </c>
      <c r="T56" s="41" t="inlineStr">
        <is>
          <t>24.07.29</t>
        </is>
      </c>
      <c r="U56" s="42" t="inlineStr">
        <is>
          <t>아파트</t>
        </is>
      </c>
    </row>
    <row r="57" hidden="1" ht="15" customHeight="1">
      <c r="A57" s="41" t="n">
        <v>53</v>
      </c>
      <c r="B57" s="42" t="inlineStr">
        <is>
          <t>서울특별시 서초구 서초동</t>
        </is>
      </c>
      <c r="C57" s="41" t="inlineStr">
        <is>
          <t>1757</t>
        </is>
      </c>
      <c r="D57" s="41" t="inlineStr">
        <is>
          <t>1757</t>
        </is>
      </c>
      <c r="E57" s="41" t="inlineStr">
        <is>
          <t>0000</t>
        </is>
      </c>
      <c r="F57" s="42" t="inlineStr">
        <is>
          <t>서초그랑자이</t>
        </is>
      </c>
      <c r="G57" s="41" t="inlineStr">
        <is>
          <t>84.5100</t>
        </is>
      </c>
      <c r="H57" s="41" t="inlineStr">
        <is>
          <t>202403</t>
        </is>
      </c>
      <c r="I57" s="41" t="inlineStr">
        <is>
          <t>16</t>
        </is>
      </c>
      <c r="J57" s="41" t="inlineStr">
        <is>
          <t>280,000</t>
        </is>
      </c>
      <c r="K57" s="41" t="inlineStr">
        <is>
          <t>109동</t>
        </is>
      </c>
      <c r="L57" s="41" t="inlineStr">
        <is>
          <t>31</t>
        </is>
      </c>
      <c r="M57" s="42" t="inlineStr">
        <is>
          <t>개인</t>
        </is>
      </c>
      <c r="N57" s="42" t="inlineStr">
        <is>
          <t>개인</t>
        </is>
      </c>
      <c r="O57" s="41" t="inlineStr">
        <is>
          <t>2021</t>
        </is>
      </c>
      <c r="P57" s="42" t="inlineStr">
        <is>
          <t>효령로 391</t>
        </is>
      </c>
      <c r="Q57" s="41" t="inlineStr">
        <is>
          <t>-</t>
        </is>
      </c>
      <c r="R57" s="42" t="inlineStr">
        <is>
          <t>중개거래</t>
        </is>
      </c>
      <c r="S57" s="42" t="inlineStr">
        <is>
          <t>서울 서초구</t>
        </is>
      </c>
      <c r="T57" s="41" t="inlineStr">
        <is>
          <t>24.06.07</t>
        </is>
      </c>
      <c r="U57" s="42" t="inlineStr">
        <is>
          <t>아파트</t>
        </is>
      </c>
    </row>
    <row r="58" hidden="1" ht="15" customHeight="1">
      <c r="A58" s="41" t="n">
        <v>54</v>
      </c>
      <c r="B58" s="42" t="inlineStr">
        <is>
          <t>서울특별시 서초구 서초동</t>
        </is>
      </c>
      <c r="C58" s="41" t="inlineStr">
        <is>
          <t>1754</t>
        </is>
      </c>
      <c r="D58" s="41" t="inlineStr">
        <is>
          <t>1754</t>
        </is>
      </c>
      <c r="E58" s="41" t="inlineStr">
        <is>
          <t>0000</t>
        </is>
      </c>
      <c r="F58" s="42" t="inlineStr">
        <is>
          <t>래미안서초에스티지S</t>
        </is>
      </c>
      <c r="G58" s="41" t="inlineStr">
        <is>
          <t>111.8900</t>
        </is>
      </c>
      <c r="H58" s="41" t="inlineStr">
        <is>
          <t>202403</t>
        </is>
      </c>
      <c r="I58" s="41" t="inlineStr">
        <is>
          <t>16</t>
        </is>
      </c>
      <c r="J58" s="41" t="inlineStr">
        <is>
          <t>311,500</t>
        </is>
      </c>
      <c r="K58" s="41" t="inlineStr">
        <is>
          <t>203</t>
        </is>
      </c>
      <c r="L58" s="41" t="inlineStr">
        <is>
          <t>10</t>
        </is>
      </c>
      <c r="M58" s="42" t="inlineStr">
        <is>
          <t>개인</t>
        </is>
      </c>
      <c r="N58" s="42" t="inlineStr">
        <is>
          <t>개인</t>
        </is>
      </c>
      <c r="O58" s="41" t="inlineStr">
        <is>
          <t>2018</t>
        </is>
      </c>
      <c r="P58" s="42" t="inlineStr">
        <is>
          <t>서운로 104</t>
        </is>
      </c>
      <c r="Q58" s="41" t="inlineStr">
        <is>
          <t>-</t>
        </is>
      </c>
      <c r="R58" s="42" t="inlineStr">
        <is>
          <t>중개거래</t>
        </is>
      </c>
      <c r="S58" s="42" t="inlineStr">
        <is>
          <t>서울 서초구</t>
        </is>
      </c>
      <c r="T58" s="41" t="inlineStr">
        <is>
          <t>24.07.22</t>
        </is>
      </c>
      <c r="U58" s="42" t="inlineStr">
        <is>
          <t>아파트</t>
        </is>
      </c>
    </row>
    <row r="59" hidden="1" ht="15" customHeight="1">
      <c r="A59" s="41" t="n">
        <v>55</v>
      </c>
      <c r="B59" s="42" t="inlineStr">
        <is>
          <t>서울특별시 서초구 서초동</t>
        </is>
      </c>
      <c r="C59" s="41" t="inlineStr">
        <is>
          <t>1685</t>
        </is>
      </c>
      <c r="D59" s="41" t="inlineStr">
        <is>
          <t>1685</t>
        </is>
      </c>
      <c r="E59" s="41" t="inlineStr">
        <is>
          <t>0000</t>
        </is>
      </c>
      <c r="F59" s="42" t="inlineStr">
        <is>
          <t>삼풍아파트</t>
        </is>
      </c>
      <c r="G59" s="41" t="inlineStr">
        <is>
          <t>130.7300</t>
        </is>
      </c>
      <c r="H59" s="41" t="inlineStr">
        <is>
          <t>202403</t>
        </is>
      </c>
      <c r="I59" s="41" t="inlineStr">
        <is>
          <t>14</t>
        </is>
      </c>
      <c r="J59" s="41" t="inlineStr">
        <is>
          <t>320,000</t>
        </is>
      </c>
      <c r="K59" s="41" t="inlineStr">
        <is>
          <t>10</t>
        </is>
      </c>
      <c r="L59" s="41" t="inlineStr">
        <is>
          <t>11</t>
        </is>
      </c>
      <c r="M59" s="42" t="inlineStr">
        <is>
          <t>개인</t>
        </is>
      </c>
      <c r="N59" s="42" t="inlineStr">
        <is>
          <t>개인</t>
        </is>
      </c>
      <c r="O59" s="41" t="inlineStr">
        <is>
          <t>1988</t>
        </is>
      </c>
      <c r="P59" s="42" t="inlineStr">
        <is>
          <t>서초중앙로 200</t>
        </is>
      </c>
      <c r="Q59" s="41" t="inlineStr">
        <is>
          <t>-</t>
        </is>
      </c>
      <c r="R59" s="42" t="inlineStr">
        <is>
          <t>중개거래</t>
        </is>
      </c>
      <c r="S59" s="42" t="inlineStr">
        <is>
          <t>서울 서초구</t>
        </is>
      </c>
      <c r="T59" s="41" t="inlineStr">
        <is>
          <t>24.07.05</t>
        </is>
      </c>
      <c r="U59" s="42" t="inlineStr">
        <is>
          <t>아파트</t>
        </is>
      </c>
    </row>
    <row r="60" hidden="1" ht="15" customHeight="1">
      <c r="A60" s="41" t="n">
        <v>56</v>
      </c>
      <c r="B60" s="42" t="inlineStr">
        <is>
          <t>서울특별시 서초구 서초동</t>
        </is>
      </c>
      <c r="C60" s="41" t="inlineStr">
        <is>
          <t>1757</t>
        </is>
      </c>
      <c r="D60" s="41" t="inlineStr">
        <is>
          <t>1757</t>
        </is>
      </c>
      <c r="E60" s="41" t="inlineStr">
        <is>
          <t>0000</t>
        </is>
      </c>
      <c r="F60" s="42" t="inlineStr">
        <is>
          <t>서초그랑자이</t>
        </is>
      </c>
      <c r="G60" s="41" t="inlineStr">
        <is>
          <t>59.9800</t>
        </is>
      </c>
      <c r="H60" s="41" t="inlineStr">
        <is>
          <t>202403</t>
        </is>
      </c>
      <c r="I60" s="41" t="inlineStr">
        <is>
          <t>14</t>
        </is>
      </c>
      <c r="J60" s="41" t="inlineStr">
        <is>
          <t>225,000</t>
        </is>
      </c>
      <c r="K60" s="41" t="inlineStr">
        <is>
          <t>105동</t>
        </is>
      </c>
      <c r="L60" s="41" t="inlineStr">
        <is>
          <t>17</t>
        </is>
      </c>
      <c r="M60" s="42" t="inlineStr">
        <is>
          <t>개인</t>
        </is>
      </c>
      <c r="N60" s="42" t="inlineStr">
        <is>
          <t>개인</t>
        </is>
      </c>
      <c r="O60" s="41" t="inlineStr">
        <is>
          <t>2021</t>
        </is>
      </c>
      <c r="P60" s="42" t="inlineStr">
        <is>
          <t>효령로 391</t>
        </is>
      </c>
      <c r="Q60" s="41" t="inlineStr">
        <is>
          <t>-</t>
        </is>
      </c>
      <c r="R60" s="42" t="inlineStr">
        <is>
          <t>중개거래</t>
        </is>
      </c>
      <c r="S60" s="42" t="inlineStr">
        <is>
          <t>서울 서초구</t>
        </is>
      </c>
      <c r="T60" s="41" t="inlineStr">
        <is>
          <t>24.08.13</t>
        </is>
      </c>
      <c r="U60" s="42" t="inlineStr">
        <is>
          <t>아파트</t>
        </is>
      </c>
    </row>
    <row r="61" hidden="1" ht="15" customHeight="1">
      <c r="A61" s="41" t="n">
        <v>57</v>
      </c>
      <c r="B61" s="42" t="inlineStr">
        <is>
          <t>서울특별시 서초구 서초동</t>
        </is>
      </c>
      <c r="C61" s="41" t="inlineStr">
        <is>
          <t>1334-1</t>
        </is>
      </c>
      <c r="D61" s="41" t="inlineStr">
        <is>
          <t>1334</t>
        </is>
      </c>
      <c r="E61" s="41" t="inlineStr">
        <is>
          <t>0001</t>
        </is>
      </c>
      <c r="F61" s="42" t="inlineStr">
        <is>
          <t>신동아아파트(2차)</t>
        </is>
      </c>
      <c r="G61" s="41" t="inlineStr">
        <is>
          <t>166.1000</t>
        </is>
      </c>
      <c r="H61" s="41" t="inlineStr">
        <is>
          <t>202403</t>
        </is>
      </c>
      <c r="I61" s="41" t="inlineStr">
        <is>
          <t>12</t>
        </is>
      </c>
      <c r="J61" s="41" t="inlineStr">
        <is>
          <t>288,500</t>
        </is>
      </c>
      <c r="K61" s="41" t="inlineStr">
        <is>
          <t>8</t>
        </is>
      </c>
      <c r="L61" s="41" t="inlineStr">
        <is>
          <t>6</t>
        </is>
      </c>
      <c r="M61" s="42" t="inlineStr">
        <is>
          <t>개인</t>
        </is>
      </c>
      <c r="N61" s="42" t="inlineStr">
        <is>
          <t>개인</t>
        </is>
      </c>
      <c r="O61" s="41" t="inlineStr">
        <is>
          <t>1979</t>
        </is>
      </c>
      <c r="P61" s="42" t="inlineStr">
        <is>
          <t>사임당로 130</t>
        </is>
      </c>
      <c r="Q61" s="41" t="inlineStr">
        <is>
          <t>-</t>
        </is>
      </c>
      <c r="R61" s="42" t="inlineStr">
        <is>
          <t>중개거래</t>
        </is>
      </c>
      <c r="S61" s="42" t="inlineStr">
        <is>
          <t>서울 서초구</t>
        </is>
      </c>
      <c r="T61" s="41" t="inlineStr">
        <is>
          <t>24.07.01</t>
        </is>
      </c>
      <c r="U61" s="42" t="inlineStr">
        <is>
          <t>아파트</t>
        </is>
      </c>
    </row>
    <row r="62" hidden="1" ht="15" customHeight="1">
      <c r="A62" s="41" t="n">
        <v>58</v>
      </c>
      <c r="B62" s="42" t="inlineStr">
        <is>
          <t>서울특별시 서초구 서초동</t>
        </is>
      </c>
      <c r="C62" s="41" t="inlineStr">
        <is>
          <t>1498-5</t>
        </is>
      </c>
      <c r="D62" s="41" t="inlineStr">
        <is>
          <t>1498</t>
        </is>
      </c>
      <c r="E62" s="41" t="inlineStr">
        <is>
          <t>0005</t>
        </is>
      </c>
      <c r="F62" s="42" t="inlineStr">
        <is>
          <t>마제스타시티(힐스테이트서리풀101,102동)</t>
        </is>
      </c>
      <c r="G62" s="41" t="inlineStr">
        <is>
          <t>59.9500</t>
        </is>
      </c>
      <c r="H62" s="41" t="inlineStr">
        <is>
          <t>202403</t>
        </is>
      </c>
      <c r="I62" s="41" t="inlineStr">
        <is>
          <t>12</t>
        </is>
      </c>
      <c r="J62" s="41" t="inlineStr">
        <is>
          <t>177,000</t>
        </is>
      </c>
      <c r="K62" s="42" t="inlineStr">
        <is>
          <t>힐스테이트 서리풀 101동</t>
        </is>
      </c>
      <c r="L62" s="41" t="inlineStr">
        <is>
          <t>5</t>
        </is>
      </c>
      <c r="M62" s="42" t="inlineStr">
        <is>
          <t>개인</t>
        </is>
      </c>
      <c r="N62" s="42" t="inlineStr">
        <is>
          <t>개인</t>
        </is>
      </c>
      <c r="O62" s="41" t="inlineStr">
        <is>
          <t>2017</t>
        </is>
      </c>
      <c r="P62" s="42" t="inlineStr">
        <is>
          <t>서초대로38길 12</t>
        </is>
      </c>
      <c r="Q62" s="41" t="inlineStr">
        <is>
          <t>-</t>
        </is>
      </c>
      <c r="R62" s="42" t="inlineStr">
        <is>
          <t>중개거래</t>
        </is>
      </c>
      <c r="S62" s="42" t="inlineStr">
        <is>
          <t>서울 서초구</t>
        </is>
      </c>
      <c r="T62" s="41" t="inlineStr">
        <is>
          <t>24.06.18</t>
        </is>
      </c>
      <c r="U62" s="42" t="inlineStr">
        <is>
          <t>아파트</t>
        </is>
      </c>
    </row>
    <row r="63" hidden="1" ht="15" customHeight="1">
      <c r="A63" s="41" t="n">
        <v>59</v>
      </c>
      <c r="B63" s="42" t="inlineStr">
        <is>
          <t>서울특별시 서초구 서초동</t>
        </is>
      </c>
      <c r="C63" s="41" t="inlineStr">
        <is>
          <t>1363-25</t>
        </is>
      </c>
      <c r="D63" s="41" t="inlineStr">
        <is>
          <t>1363</t>
        </is>
      </c>
      <c r="E63" s="41" t="inlineStr">
        <is>
          <t>0025</t>
        </is>
      </c>
      <c r="F63" s="42" t="inlineStr">
        <is>
          <t>한라비발디스튜디오193</t>
        </is>
      </c>
      <c r="G63" s="41" t="inlineStr">
        <is>
          <t>19.9900</t>
        </is>
      </c>
      <c r="H63" s="41" t="inlineStr">
        <is>
          <t>202403</t>
        </is>
      </c>
      <c r="I63" s="41" t="inlineStr">
        <is>
          <t>11</t>
        </is>
      </c>
      <c r="J63" s="41" t="inlineStr">
        <is>
          <t>25,500</t>
        </is>
      </c>
      <c r="K63" s="42" t="inlineStr">
        <is>
          <t>한라비발디스튜디오193</t>
        </is>
      </c>
      <c r="L63" s="41" t="inlineStr">
        <is>
          <t>8</t>
        </is>
      </c>
      <c r="M63" s="42" t="inlineStr">
        <is>
          <t>개인</t>
        </is>
      </c>
      <c r="N63" s="42" t="inlineStr">
        <is>
          <t>개인</t>
        </is>
      </c>
      <c r="O63" s="41" t="inlineStr">
        <is>
          <t>2013</t>
        </is>
      </c>
      <c r="P63" s="42" t="inlineStr">
        <is>
          <t>강남대로39길 15-10</t>
        </is>
      </c>
      <c r="Q63" s="41" t="inlineStr">
        <is>
          <t>-</t>
        </is>
      </c>
      <c r="R63" s="42" t="inlineStr">
        <is>
          <t>중개거래</t>
        </is>
      </c>
      <c r="S63" s="42" t="inlineStr">
        <is>
          <t>서울 서초구</t>
        </is>
      </c>
      <c r="T63" s="41" t="inlineStr">
        <is>
          <t>24.04.29</t>
        </is>
      </c>
      <c r="U63" s="42" t="inlineStr">
        <is>
          <t>아파트</t>
        </is>
      </c>
    </row>
    <row r="64" hidden="1" ht="15" customHeight="1">
      <c r="A64" s="41" t="n">
        <v>60</v>
      </c>
      <c r="B64" s="42" t="inlineStr">
        <is>
          <t>서울특별시 서초구 서초동</t>
        </is>
      </c>
      <c r="C64" s="41" t="inlineStr">
        <is>
          <t>1344-13</t>
        </is>
      </c>
      <c r="D64" s="41" t="inlineStr">
        <is>
          <t>1344</t>
        </is>
      </c>
      <c r="E64" s="41" t="inlineStr">
        <is>
          <t>0013</t>
        </is>
      </c>
      <c r="F64" s="42" t="inlineStr">
        <is>
          <t>서초트라팰리스</t>
        </is>
      </c>
      <c r="G64" s="41" t="inlineStr">
        <is>
          <t>133.0500</t>
        </is>
      </c>
      <c r="H64" s="41" t="inlineStr">
        <is>
          <t>202403</t>
        </is>
      </c>
      <c r="I64" s="41" t="inlineStr">
        <is>
          <t>11</t>
        </is>
      </c>
      <c r="J64" s="41" t="inlineStr">
        <is>
          <t>204,000</t>
        </is>
      </c>
      <c r="K64" s="41" t="inlineStr">
        <is>
          <t>A</t>
        </is>
      </c>
      <c r="L64" s="41" t="inlineStr">
        <is>
          <t>5</t>
        </is>
      </c>
      <c r="M64" s="42" t="inlineStr">
        <is>
          <t>개인</t>
        </is>
      </c>
      <c r="N64" s="42" t="inlineStr">
        <is>
          <t>개인</t>
        </is>
      </c>
      <c r="O64" s="41" t="inlineStr">
        <is>
          <t>2005</t>
        </is>
      </c>
      <c r="P64" s="42" t="inlineStr">
        <is>
          <t>효령로72길 57</t>
        </is>
      </c>
      <c r="Q64" s="41" t="inlineStr">
        <is>
          <t>-</t>
        </is>
      </c>
      <c r="R64" s="42" t="inlineStr">
        <is>
          <t>중개거래</t>
        </is>
      </c>
      <c r="S64" s="42" t="inlineStr">
        <is>
          <t>서울 서초구</t>
        </is>
      </c>
      <c r="T64" s="41" t="inlineStr">
        <is>
          <t>24.04.29</t>
        </is>
      </c>
      <c r="U64" s="42" t="inlineStr">
        <is>
          <t>아파트</t>
        </is>
      </c>
    </row>
    <row r="65" hidden="1" ht="15" customHeight="1">
      <c r="A65" s="41" t="n">
        <v>61</v>
      </c>
      <c r="B65" s="42" t="inlineStr">
        <is>
          <t>서울특별시 서초구 서초동</t>
        </is>
      </c>
      <c r="C65" s="41" t="inlineStr">
        <is>
          <t>1593-7</t>
        </is>
      </c>
      <c r="D65" s="41" t="inlineStr">
        <is>
          <t>1593</t>
        </is>
      </c>
      <c r="E65" s="41" t="inlineStr">
        <is>
          <t>0007</t>
        </is>
      </c>
      <c r="F65" s="42" t="inlineStr">
        <is>
          <t>서초이오빌</t>
        </is>
      </c>
      <c r="G65" s="41" t="inlineStr">
        <is>
          <t>45.9600</t>
        </is>
      </c>
      <c r="H65" s="41" t="inlineStr">
        <is>
          <t>202403</t>
        </is>
      </c>
      <c r="I65" s="41" t="inlineStr">
        <is>
          <t>09</t>
        </is>
      </c>
      <c r="J65" s="41" t="inlineStr">
        <is>
          <t>42,000</t>
        </is>
      </c>
      <c r="K65" s="41" t="inlineStr">
        <is>
          <t>-</t>
        </is>
      </c>
      <c r="L65" s="41" t="inlineStr">
        <is>
          <t>15</t>
        </is>
      </c>
      <c r="M65" s="42" t="inlineStr">
        <is>
          <t>개인</t>
        </is>
      </c>
      <c r="N65" s="42" t="inlineStr">
        <is>
          <t>개인</t>
        </is>
      </c>
      <c r="O65" s="41" t="inlineStr">
        <is>
          <t>2003</t>
        </is>
      </c>
      <c r="P65" s="42" t="inlineStr">
        <is>
          <t>효령로53길 45</t>
        </is>
      </c>
      <c r="Q65" s="41" t="inlineStr">
        <is>
          <t>-</t>
        </is>
      </c>
      <c r="R65" s="42" t="inlineStr">
        <is>
          <t>중개거래</t>
        </is>
      </c>
      <c r="S65" s="42" t="inlineStr">
        <is>
          <t>서울 서초구</t>
        </is>
      </c>
      <c r="T65" s="41" t="inlineStr">
        <is>
          <t>24.03.29</t>
        </is>
      </c>
      <c r="U65" s="42" t="inlineStr">
        <is>
          <t>아파트</t>
        </is>
      </c>
    </row>
    <row r="66" hidden="1" ht="15" customHeight="1">
      <c r="A66" s="41" t="n">
        <v>62</v>
      </c>
      <c r="B66" s="42" t="inlineStr">
        <is>
          <t>서울특별시 서초구 서초동</t>
        </is>
      </c>
      <c r="C66" s="41" t="inlineStr">
        <is>
          <t>1312-3</t>
        </is>
      </c>
      <c r="D66" s="41" t="inlineStr">
        <is>
          <t>1312</t>
        </is>
      </c>
      <c r="E66" s="41" t="inlineStr">
        <is>
          <t>0003</t>
        </is>
      </c>
      <c r="F66" s="42" t="inlineStr">
        <is>
          <t>롯데캐슬클래식</t>
        </is>
      </c>
      <c r="G66" s="41" t="inlineStr">
        <is>
          <t>74.3000</t>
        </is>
      </c>
      <c r="H66" s="41" t="inlineStr">
        <is>
          <t>202403</t>
        </is>
      </c>
      <c r="I66" s="41" t="inlineStr">
        <is>
          <t>09</t>
        </is>
      </c>
      <c r="J66" s="41" t="inlineStr">
        <is>
          <t>203,000</t>
        </is>
      </c>
      <c r="K66" s="41" t="inlineStr">
        <is>
          <t>114</t>
        </is>
      </c>
      <c r="L66" s="41" t="inlineStr">
        <is>
          <t>22</t>
        </is>
      </c>
      <c r="M66" s="42" t="inlineStr">
        <is>
          <t>개인</t>
        </is>
      </c>
      <c r="N66" s="42" t="inlineStr">
        <is>
          <t>개인</t>
        </is>
      </c>
      <c r="O66" s="41" t="inlineStr">
        <is>
          <t>2006</t>
        </is>
      </c>
      <c r="P66" s="42" t="inlineStr">
        <is>
          <t>서운로 200</t>
        </is>
      </c>
      <c r="Q66" s="41" t="inlineStr">
        <is>
          <t>-</t>
        </is>
      </c>
      <c r="R66" s="42" t="inlineStr">
        <is>
          <t>중개거래</t>
        </is>
      </c>
      <c r="S66" s="42" t="inlineStr">
        <is>
          <t>서울 서초구</t>
        </is>
      </c>
      <c r="T66" s="41" t="inlineStr">
        <is>
          <t>24.09.30</t>
        </is>
      </c>
      <c r="U66" s="42" t="inlineStr">
        <is>
          <t>아파트</t>
        </is>
      </c>
    </row>
    <row r="67" hidden="1" ht="15" customHeight="1">
      <c r="A67" s="41" t="n">
        <v>63</v>
      </c>
      <c r="B67" s="42" t="inlineStr">
        <is>
          <t>서울특별시 서초구 서초동</t>
        </is>
      </c>
      <c r="C67" s="41" t="inlineStr">
        <is>
          <t>1333</t>
        </is>
      </c>
      <c r="D67" s="41" t="inlineStr">
        <is>
          <t>1333</t>
        </is>
      </c>
      <c r="E67" s="41" t="inlineStr">
        <is>
          <t>0000</t>
        </is>
      </c>
      <c r="F67" s="42" t="inlineStr">
        <is>
          <t>신동아아파트(1차)</t>
        </is>
      </c>
      <c r="G67" s="41" t="inlineStr">
        <is>
          <t>101.6000</t>
        </is>
      </c>
      <c r="H67" s="41" t="inlineStr">
        <is>
          <t>202403</t>
        </is>
      </c>
      <c r="I67" s="41" t="inlineStr">
        <is>
          <t>06</t>
        </is>
      </c>
      <c r="J67" s="41" t="inlineStr">
        <is>
          <t>220,000</t>
        </is>
      </c>
      <c r="K67" s="41" t="inlineStr">
        <is>
          <t>3</t>
        </is>
      </c>
      <c r="L67" s="41" t="inlineStr">
        <is>
          <t>12</t>
        </is>
      </c>
      <c r="M67" s="42" t="inlineStr">
        <is>
          <t>개인</t>
        </is>
      </c>
      <c r="N67" s="42" t="inlineStr">
        <is>
          <t>개인</t>
        </is>
      </c>
      <c r="O67" s="41" t="inlineStr">
        <is>
          <t>1978</t>
        </is>
      </c>
      <c r="P67" s="42" t="inlineStr">
        <is>
          <t>사임당로 137</t>
        </is>
      </c>
      <c r="Q67" s="41" t="inlineStr">
        <is>
          <t>-</t>
        </is>
      </c>
      <c r="R67" s="42" t="inlineStr">
        <is>
          <t>중개거래</t>
        </is>
      </c>
      <c r="S67" s="42" t="inlineStr">
        <is>
          <t>서울 서초구</t>
        </is>
      </c>
      <c r="T67" s="41" t="inlineStr">
        <is>
          <t>24.04.30</t>
        </is>
      </c>
      <c r="U67" s="42" t="inlineStr">
        <is>
          <t>아파트</t>
        </is>
      </c>
    </row>
    <row r="68" hidden="1" ht="15" customHeight="1">
      <c r="A68" s="41" t="n">
        <v>64</v>
      </c>
      <c r="B68" s="42" t="inlineStr">
        <is>
          <t>서울특별시 서초구 서초동</t>
        </is>
      </c>
      <c r="C68" s="41" t="inlineStr">
        <is>
          <t>1755</t>
        </is>
      </c>
      <c r="D68" s="41" t="inlineStr">
        <is>
          <t>1755</t>
        </is>
      </c>
      <c r="E68" s="41" t="inlineStr">
        <is>
          <t>0000</t>
        </is>
      </c>
      <c r="F68" s="42" t="inlineStr">
        <is>
          <t>래미안 리더스원</t>
        </is>
      </c>
      <c r="G68" s="41" t="inlineStr">
        <is>
          <t>59.9600</t>
        </is>
      </c>
      <c r="H68" s="41" t="inlineStr">
        <is>
          <t>202403</t>
        </is>
      </c>
      <c r="I68" s="41" t="inlineStr">
        <is>
          <t>06</t>
        </is>
      </c>
      <c r="J68" s="41" t="inlineStr">
        <is>
          <t>225,000</t>
        </is>
      </c>
      <c r="K68" s="41" t="inlineStr">
        <is>
          <t>-</t>
        </is>
      </c>
      <c r="L68" s="41" t="inlineStr">
        <is>
          <t>27</t>
        </is>
      </c>
      <c r="M68" s="42" t="inlineStr">
        <is>
          <t>개인</t>
        </is>
      </c>
      <c r="N68" s="42" t="inlineStr">
        <is>
          <t>개인</t>
        </is>
      </c>
      <c r="O68" s="41" t="inlineStr">
        <is>
          <t>2020</t>
        </is>
      </c>
      <c r="P68" s="42" t="inlineStr">
        <is>
          <t>서운로 62</t>
        </is>
      </c>
      <c r="Q68" s="41" t="inlineStr">
        <is>
          <t>20240416</t>
        </is>
      </c>
      <c r="R68" s="42" t="inlineStr">
        <is>
          <t>중개거래</t>
        </is>
      </c>
      <c r="S68" s="42" t="inlineStr">
        <is>
          <t>서울 서초구</t>
        </is>
      </c>
      <c r="T68" s="41" t="inlineStr">
        <is>
          <t>-</t>
        </is>
      </c>
      <c r="U68" s="42" t="inlineStr">
        <is>
          <t>아파트</t>
        </is>
      </c>
    </row>
    <row r="69" hidden="1" ht="15" customHeight="1">
      <c r="A69" s="41" t="n">
        <v>65</v>
      </c>
      <c r="B69" s="42" t="inlineStr">
        <is>
          <t>서울특별시 서초구 서초동</t>
        </is>
      </c>
      <c r="C69" s="41" t="inlineStr">
        <is>
          <t>1337-3</t>
        </is>
      </c>
      <c r="D69" s="41" t="inlineStr">
        <is>
          <t>1337</t>
        </is>
      </c>
      <c r="E69" s="41" t="inlineStr">
        <is>
          <t>0003</t>
        </is>
      </c>
      <c r="F69" s="41" t="inlineStr">
        <is>
          <t>urbanplace</t>
        </is>
      </c>
      <c r="G69" s="41" t="inlineStr">
        <is>
          <t>20.9980</t>
        </is>
      </c>
      <c r="H69" s="41" t="inlineStr">
        <is>
          <t>202403</t>
        </is>
      </c>
      <c r="I69" s="41" t="inlineStr">
        <is>
          <t>05</t>
        </is>
      </c>
      <c r="J69" s="41" t="inlineStr">
        <is>
          <t>18,700</t>
        </is>
      </c>
      <c r="K69" s="41" t="inlineStr">
        <is>
          <t>1</t>
        </is>
      </c>
      <c r="L69" s="41" t="inlineStr">
        <is>
          <t>5</t>
        </is>
      </c>
      <c r="M69" s="42" t="inlineStr">
        <is>
          <t>개인</t>
        </is>
      </c>
      <c r="N69" s="42" t="inlineStr">
        <is>
          <t>개인</t>
        </is>
      </c>
      <c r="O69" s="41" t="inlineStr">
        <is>
          <t>2014</t>
        </is>
      </c>
      <c r="P69" s="42" t="inlineStr">
        <is>
          <t>효령로77길 30</t>
        </is>
      </c>
      <c r="Q69" s="41" t="inlineStr">
        <is>
          <t>-</t>
        </is>
      </c>
      <c r="R69" s="42" t="inlineStr">
        <is>
          <t>중개거래</t>
        </is>
      </c>
      <c r="S69" s="42" t="inlineStr">
        <is>
          <t>서울 서초구</t>
        </is>
      </c>
      <c r="T69" s="41" t="inlineStr">
        <is>
          <t>24.04.15</t>
        </is>
      </c>
      <c r="U69" s="42" t="inlineStr">
        <is>
          <t>아파트</t>
        </is>
      </c>
    </row>
    <row r="70" hidden="1" ht="15" customHeight="1">
      <c r="A70" s="41" t="n">
        <v>66</v>
      </c>
      <c r="B70" s="42" t="inlineStr">
        <is>
          <t>서울특별시 서초구 서초동</t>
        </is>
      </c>
      <c r="C70" s="41" t="inlineStr">
        <is>
          <t>1446-11</t>
        </is>
      </c>
      <c r="D70" s="41" t="inlineStr">
        <is>
          <t>1446</t>
        </is>
      </c>
      <c r="E70" s="41" t="inlineStr">
        <is>
          <t>0011</t>
        </is>
      </c>
      <c r="F70" s="42" t="inlineStr">
        <is>
          <t>현대슈퍼빌</t>
        </is>
      </c>
      <c r="G70" s="41" t="inlineStr">
        <is>
          <t>147.8600</t>
        </is>
      </c>
      <c r="H70" s="41" t="inlineStr">
        <is>
          <t>202403</t>
        </is>
      </c>
      <c r="I70" s="41" t="inlineStr">
        <is>
          <t>04</t>
        </is>
      </c>
      <c r="J70" s="41" t="inlineStr">
        <is>
          <t>265,000</t>
        </is>
      </c>
      <c r="K70" s="41" t="inlineStr">
        <is>
          <t>C</t>
        </is>
      </c>
      <c r="L70" s="41" t="inlineStr">
        <is>
          <t>17</t>
        </is>
      </c>
      <c r="M70" s="42" t="inlineStr">
        <is>
          <t>개인</t>
        </is>
      </c>
      <c r="N70" s="42" t="inlineStr">
        <is>
          <t>법인</t>
        </is>
      </c>
      <c r="O70" s="41" t="inlineStr">
        <is>
          <t>2003</t>
        </is>
      </c>
      <c r="P70" s="42" t="inlineStr">
        <is>
          <t>서초중앙로 15</t>
        </is>
      </c>
      <c r="Q70" s="41" t="inlineStr">
        <is>
          <t>-</t>
        </is>
      </c>
      <c r="R70" s="42" t="inlineStr">
        <is>
          <t>중개거래</t>
        </is>
      </c>
      <c r="S70" s="42" t="inlineStr">
        <is>
          <t>서울 서초구</t>
        </is>
      </c>
      <c r="T70" s="41" t="inlineStr">
        <is>
          <t>24.04.30</t>
        </is>
      </c>
      <c r="U70" s="42" t="inlineStr">
        <is>
          <t>아파트</t>
        </is>
      </c>
    </row>
    <row r="71" hidden="1" ht="15" customHeight="1">
      <c r="A71" s="41" t="n">
        <v>67</v>
      </c>
      <c r="B71" s="42" t="inlineStr">
        <is>
          <t>서울특별시 서초구 서초동</t>
        </is>
      </c>
      <c r="C71" s="41" t="inlineStr">
        <is>
          <t>1588-5</t>
        </is>
      </c>
      <c r="D71" s="41" t="inlineStr">
        <is>
          <t>1588</t>
        </is>
      </c>
      <c r="E71" s="41" t="inlineStr">
        <is>
          <t>0005</t>
        </is>
      </c>
      <c r="F71" s="42" t="inlineStr">
        <is>
          <t>디아레나서초</t>
        </is>
      </c>
      <c r="G71" s="41" t="inlineStr">
        <is>
          <t>27.3900</t>
        </is>
      </c>
      <c r="H71" s="41" t="inlineStr">
        <is>
          <t>202403</t>
        </is>
      </c>
      <c r="I71" s="41" t="inlineStr">
        <is>
          <t>02</t>
        </is>
      </c>
      <c r="J71" s="41" t="inlineStr">
        <is>
          <t>43,000</t>
        </is>
      </c>
      <c r="K71" s="41" t="inlineStr">
        <is>
          <t>101동</t>
        </is>
      </c>
      <c r="L71" s="41" t="inlineStr">
        <is>
          <t>11</t>
        </is>
      </c>
      <c r="M71" s="42" t="inlineStr">
        <is>
          <t>개인</t>
        </is>
      </c>
      <c r="N71" s="42" t="inlineStr">
        <is>
          <t>개인</t>
        </is>
      </c>
      <c r="O71" s="41" t="inlineStr">
        <is>
          <t>2020</t>
        </is>
      </c>
      <c r="P71" s="42" t="inlineStr">
        <is>
          <t>효령로53길 24</t>
        </is>
      </c>
      <c r="Q71" s="41" t="inlineStr">
        <is>
          <t>-</t>
        </is>
      </c>
      <c r="R71" s="42" t="inlineStr">
        <is>
          <t>중개거래</t>
        </is>
      </c>
      <c r="S71" s="42" t="inlineStr">
        <is>
          <t>서울 서초구</t>
        </is>
      </c>
      <c r="T71" s="41" t="inlineStr">
        <is>
          <t>24.05.24</t>
        </is>
      </c>
      <c r="U71" s="42" t="inlineStr">
        <is>
          <t>아파트</t>
        </is>
      </c>
    </row>
    <row r="72" hidden="1" ht="15" customHeight="1">
      <c r="A72" s="41" t="n">
        <v>68</v>
      </c>
      <c r="B72" s="42" t="inlineStr">
        <is>
          <t>서울특별시 서초구 서초동</t>
        </is>
      </c>
      <c r="C72" s="41" t="inlineStr">
        <is>
          <t>1334-1</t>
        </is>
      </c>
      <c r="D72" s="41" t="inlineStr">
        <is>
          <t>1334</t>
        </is>
      </c>
      <c r="E72" s="41" t="inlineStr">
        <is>
          <t>0001</t>
        </is>
      </c>
      <c r="F72" s="42" t="inlineStr">
        <is>
          <t>신동아아파트(2차)</t>
        </is>
      </c>
      <c r="G72" s="41" t="inlineStr">
        <is>
          <t>166.1000</t>
        </is>
      </c>
      <c r="H72" s="41" t="inlineStr">
        <is>
          <t>202403</t>
        </is>
      </c>
      <c r="I72" s="41" t="inlineStr">
        <is>
          <t>01</t>
        </is>
      </c>
      <c r="J72" s="41" t="inlineStr">
        <is>
          <t>291,000</t>
        </is>
      </c>
      <c r="K72" s="41" t="inlineStr">
        <is>
          <t>8</t>
        </is>
      </c>
      <c r="L72" s="41" t="inlineStr">
        <is>
          <t>6</t>
        </is>
      </c>
      <c r="M72" s="42" t="inlineStr">
        <is>
          <t>개인</t>
        </is>
      </c>
      <c r="N72" s="42" t="inlineStr">
        <is>
          <t>개인</t>
        </is>
      </c>
      <c r="O72" s="41" t="inlineStr">
        <is>
          <t>1979</t>
        </is>
      </c>
      <c r="P72" s="42" t="inlineStr">
        <is>
          <t>사임당로 130</t>
        </is>
      </c>
      <c r="Q72" s="41" t="inlineStr">
        <is>
          <t>-</t>
        </is>
      </c>
      <c r="R72" s="42" t="inlineStr">
        <is>
          <t>중개거래</t>
        </is>
      </c>
      <c r="S72" s="42" t="inlineStr">
        <is>
          <t>서울 서초구</t>
        </is>
      </c>
      <c r="T72" s="41" t="inlineStr">
        <is>
          <t>24.04.25</t>
        </is>
      </c>
      <c r="U72" s="42" t="inlineStr">
        <is>
          <t>아파트</t>
        </is>
      </c>
    </row>
    <row r="73" hidden="1" ht="15" customHeight="1">
      <c r="A73" s="41" t="n">
        <v>69</v>
      </c>
      <c r="B73" s="42" t="inlineStr">
        <is>
          <t>서울특별시 서초구 서초동</t>
        </is>
      </c>
      <c r="C73" s="41" t="inlineStr">
        <is>
          <t>1333</t>
        </is>
      </c>
      <c r="D73" s="41" t="inlineStr">
        <is>
          <t>1333</t>
        </is>
      </c>
      <c r="E73" s="41" t="inlineStr">
        <is>
          <t>0000</t>
        </is>
      </c>
      <c r="F73" s="42" t="inlineStr">
        <is>
          <t>신동아아파트(1차)</t>
        </is>
      </c>
      <c r="G73" s="41" t="inlineStr">
        <is>
          <t>75.8600</t>
        </is>
      </c>
      <c r="H73" s="41" t="inlineStr">
        <is>
          <t>202403</t>
        </is>
      </c>
      <c r="I73" s="41" t="inlineStr">
        <is>
          <t>01</t>
        </is>
      </c>
      <c r="J73" s="41" t="inlineStr">
        <is>
          <t>182,000</t>
        </is>
      </c>
      <c r="K73" s="41" t="inlineStr">
        <is>
          <t>7</t>
        </is>
      </c>
      <c r="L73" s="41" t="inlineStr">
        <is>
          <t>6</t>
        </is>
      </c>
      <c r="M73" s="42" t="inlineStr">
        <is>
          <t>개인</t>
        </is>
      </c>
      <c r="N73" s="42" t="inlineStr">
        <is>
          <t>개인</t>
        </is>
      </c>
      <c r="O73" s="41" t="inlineStr">
        <is>
          <t>1978</t>
        </is>
      </c>
      <c r="P73" s="42" t="inlineStr">
        <is>
          <t>사임당로 130</t>
        </is>
      </c>
      <c r="Q73" s="41" t="inlineStr">
        <is>
          <t>-</t>
        </is>
      </c>
      <c r="R73" s="42" t="inlineStr">
        <is>
          <t>중개거래</t>
        </is>
      </c>
      <c r="S73" s="42" t="inlineStr">
        <is>
          <t>서울 서초구</t>
        </is>
      </c>
      <c r="T73" s="41" t="inlineStr">
        <is>
          <t>24.04.30</t>
        </is>
      </c>
      <c r="U73" s="42" t="inlineStr">
        <is>
          <t>아파트</t>
        </is>
      </c>
    </row>
    <row r="74" hidden="1" ht="15" customHeight="1">
      <c r="A74" s="41" t="n">
        <v>70</v>
      </c>
      <c r="B74" s="42" t="inlineStr">
        <is>
          <t>서울특별시 서초구 서초동</t>
        </is>
      </c>
      <c r="C74" s="41" t="inlineStr">
        <is>
          <t>1755</t>
        </is>
      </c>
      <c r="D74" s="41" t="inlineStr">
        <is>
          <t>1755</t>
        </is>
      </c>
      <c r="E74" s="41" t="inlineStr">
        <is>
          <t>0000</t>
        </is>
      </c>
      <c r="F74" s="42" t="inlineStr">
        <is>
          <t>래미안 리더스원</t>
        </is>
      </c>
      <c r="G74" s="41" t="inlineStr">
        <is>
          <t>84.9700</t>
        </is>
      </c>
      <c r="H74" s="41" t="inlineStr">
        <is>
          <t>202403</t>
        </is>
      </c>
      <c r="I74" s="41" t="inlineStr">
        <is>
          <t>01</t>
        </is>
      </c>
      <c r="J74" s="41" t="inlineStr">
        <is>
          <t>275,000</t>
        </is>
      </c>
      <c r="K74" s="41" t="inlineStr">
        <is>
          <t>111동</t>
        </is>
      </c>
      <c r="L74" s="41" t="inlineStr">
        <is>
          <t>2</t>
        </is>
      </c>
      <c r="M74" s="42" t="inlineStr">
        <is>
          <t>개인</t>
        </is>
      </c>
      <c r="N74" s="42" t="inlineStr">
        <is>
          <t>개인</t>
        </is>
      </c>
      <c r="O74" s="41" t="inlineStr">
        <is>
          <t>2020</t>
        </is>
      </c>
      <c r="P74" s="42" t="inlineStr">
        <is>
          <t>서운로 62</t>
        </is>
      </c>
      <c r="Q74" s="41" t="inlineStr">
        <is>
          <t>-</t>
        </is>
      </c>
      <c r="R74" s="42" t="inlineStr">
        <is>
          <t>중개거래</t>
        </is>
      </c>
      <c r="S74" s="42" t="inlineStr">
        <is>
          <t>서울 서초구</t>
        </is>
      </c>
      <c r="T74" s="41" t="inlineStr">
        <is>
          <t>24.04.09</t>
        </is>
      </c>
      <c r="U74" s="42" t="inlineStr">
        <is>
          <t>아파트</t>
        </is>
      </c>
    </row>
    <row r="75" hidden="1" ht="15" customHeight="1">
      <c r="A75" s="41" t="n">
        <v>71</v>
      </c>
      <c r="B75" s="42" t="inlineStr">
        <is>
          <t>서울특별시 서초구 서초동</t>
        </is>
      </c>
      <c r="C75" s="41" t="inlineStr">
        <is>
          <t>1334-1</t>
        </is>
      </c>
      <c r="D75" s="41" t="inlineStr">
        <is>
          <t>1334</t>
        </is>
      </c>
      <c r="E75" s="41" t="inlineStr">
        <is>
          <t>0001</t>
        </is>
      </c>
      <c r="F75" s="42" t="inlineStr">
        <is>
          <t>신동아아파트(2차)</t>
        </is>
      </c>
      <c r="G75" s="41" t="inlineStr">
        <is>
          <t>166.1000</t>
        </is>
      </c>
      <c r="H75" s="41" t="inlineStr">
        <is>
          <t>202403</t>
        </is>
      </c>
      <c r="I75" s="41" t="inlineStr">
        <is>
          <t>01</t>
        </is>
      </c>
      <c r="J75" s="41" t="inlineStr">
        <is>
          <t>291,000</t>
        </is>
      </c>
      <c r="K75" s="41" t="inlineStr">
        <is>
          <t>-</t>
        </is>
      </c>
      <c r="L75" s="41" t="inlineStr">
        <is>
          <t>6</t>
        </is>
      </c>
      <c r="M75" s="42" t="inlineStr">
        <is>
          <t>개인</t>
        </is>
      </c>
      <c r="N75" s="42" t="inlineStr">
        <is>
          <t>개인</t>
        </is>
      </c>
      <c r="O75" s="41" t="inlineStr">
        <is>
          <t>1979</t>
        </is>
      </c>
      <c r="P75" s="42" t="inlineStr">
        <is>
          <t>사임당로 130</t>
        </is>
      </c>
      <c r="Q75" s="41" t="inlineStr">
        <is>
          <t>20240424</t>
        </is>
      </c>
      <c r="R75" s="42" t="inlineStr">
        <is>
          <t>중개거래</t>
        </is>
      </c>
      <c r="S75" s="42" t="inlineStr">
        <is>
          <t>서울 서초구</t>
        </is>
      </c>
      <c r="T75" s="41" t="inlineStr">
        <is>
          <t>-</t>
        </is>
      </c>
      <c r="U75" s="42" t="inlineStr">
        <is>
          <t>아파트</t>
        </is>
      </c>
    </row>
    <row r="76" hidden="1" ht="15" customHeight="1">
      <c r="A76" s="41" t="n">
        <v>72</v>
      </c>
      <c r="B76" s="42" t="inlineStr">
        <is>
          <t>서울특별시 서초구 서초동</t>
        </is>
      </c>
      <c r="C76" s="41" t="inlineStr">
        <is>
          <t>1681-8</t>
        </is>
      </c>
      <c r="D76" s="41" t="inlineStr">
        <is>
          <t>1681</t>
        </is>
      </c>
      <c r="E76" s="41" t="inlineStr">
        <is>
          <t>0008</t>
        </is>
      </c>
      <c r="F76" s="42" t="inlineStr">
        <is>
          <t>서초롯데캐슬프레지던트</t>
        </is>
      </c>
      <c r="G76" s="41" t="inlineStr">
        <is>
          <t>119.1300</t>
        </is>
      </c>
      <c r="H76" s="41" t="inlineStr">
        <is>
          <t>202403</t>
        </is>
      </c>
      <c r="I76" s="41" t="inlineStr">
        <is>
          <t>01</t>
        </is>
      </c>
      <c r="J76" s="41" t="inlineStr">
        <is>
          <t>280,000</t>
        </is>
      </c>
      <c r="K76" s="41" t="inlineStr">
        <is>
          <t>102</t>
        </is>
      </c>
      <c r="L76" s="41" t="inlineStr">
        <is>
          <t>22</t>
        </is>
      </c>
      <c r="M76" s="42" t="inlineStr">
        <is>
          <t>개인</t>
        </is>
      </c>
      <c r="N76" s="42" t="inlineStr">
        <is>
          <t>개인</t>
        </is>
      </c>
      <c r="O76" s="41" t="inlineStr">
        <is>
          <t>2014</t>
        </is>
      </c>
      <c r="P76" s="42" t="inlineStr">
        <is>
          <t>서초중앙로24길 57</t>
        </is>
      </c>
      <c r="Q76" s="41" t="inlineStr">
        <is>
          <t>-</t>
        </is>
      </c>
      <c r="R76" s="42" t="inlineStr">
        <is>
          <t>중개거래</t>
        </is>
      </c>
      <c r="S76" s="42" t="inlineStr">
        <is>
          <t>서울 서초구</t>
        </is>
      </c>
      <c r="T76" s="41" t="inlineStr">
        <is>
          <t>24.07.15</t>
        </is>
      </c>
      <c r="U76" s="42" t="inlineStr">
        <is>
          <t>아파트</t>
        </is>
      </c>
    </row>
    <row r="77" hidden="1" ht="15" customHeight="1">
      <c r="A77" s="41" t="n">
        <v>73</v>
      </c>
      <c r="B77" s="42" t="inlineStr">
        <is>
          <t>서울특별시 서초구 서초동</t>
        </is>
      </c>
      <c r="C77" s="41" t="inlineStr">
        <is>
          <t>1757</t>
        </is>
      </c>
      <c r="D77" s="41" t="inlineStr">
        <is>
          <t>1757</t>
        </is>
      </c>
      <c r="E77" s="41" t="inlineStr">
        <is>
          <t>0000</t>
        </is>
      </c>
      <c r="F77" s="42" t="inlineStr">
        <is>
          <t>서초그랑자이</t>
        </is>
      </c>
      <c r="G77" s="41" t="inlineStr">
        <is>
          <t>59.9800</t>
        </is>
      </c>
      <c r="H77" s="41" t="inlineStr">
        <is>
          <t>202402</t>
        </is>
      </c>
      <c r="I77" s="41" t="inlineStr">
        <is>
          <t>28</t>
        </is>
      </c>
      <c r="J77" s="41" t="inlineStr">
        <is>
          <t>230,000</t>
        </is>
      </c>
      <c r="K77" s="41" t="inlineStr">
        <is>
          <t>102동</t>
        </is>
      </c>
      <c r="L77" s="41" t="inlineStr">
        <is>
          <t>23</t>
        </is>
      </c>
      <c r="M77" s="42" t="inlineStr">
        <is>
          <t>개인</t>
        </is>
      </c>
      <c r="N77" s="42" t="inlineStr">
        <is>
          <t>개인</t>
        </is>
      </c>
      <c r="O77" s="41" t="inlineStr">
        <is>
          <t>2021</t>
        </is>
      </c>
      <c r="P77" s="42" t="inlineStr">
        <is>
          <t>효령로 391</t>
        </is>
      </c>
      <c r="Q77" s="41" t="inlineStr">
        <is>
          <t>-</t>
        </is>
      </c>
      <c r="R77" s="42" t="inlineStr">
        <is>
          <t>중개거래</t>
        </is>
      </c>
      <c r="S77" s="42" t="inlineStr">
        <is>
          <t>서울 서초구</t>
        </is>
      </c>
      <c r="T77" s="41" t="inlineStr">
        <is>
          <t>24.07.10</t>
        </is>
      </c>
      <c r="U77" s="42" t="inlineStr">
        <is>
          <t>아파트</t>
        </is>
      </c>
    </row>
    <row r="78" hidden="1" ht="15" customHeight="1">
      <c r="A78" s="41" t="n">
        <v>74</v>
      </c>
      <c r="B78" s="42" t="inlineStr">
        <is>
          <t>서울특별시 서초구 서초동</t>
        </is>
      </c>
      <c r="C78" s="41" t="inlineStr">
        <is>
          <t>1615-10</t>
        </is>
      </c>
      <c r="D78" s="41" t="inlineStr">
        <is>
          <t>1615</t>
        </is>
      </c>
      <c r="E78" s="41" t="inlineStr">
        <is>
          <t>0010</t>
        </is>
      </c>
      <c r="F78" s="42" t="inlineStr">
        <is>
          <t>극동스타클래스2</t>
        </is>
      </c>
      <c r="G78" s="41" t="inlineStr">
        <is>
          <t>84.9980</t>
        </is>
      </c>
      <c r="H78" s="41" t="inlineStr">
        <is>
          <t>202402</t>
        </is>
      </c>
      <c r="I78" s="41" t="inlineStr">
        <is>
          <t>28</t>
        </is>
      </c>
      <c r="J78" s="41" t="inlineStr">
        <is>
          <t>120,000</t>
        </is>
      </c>
      <c r="K78" s="41" t="inlineStr">
        <is>
          <t>201</t>
        </is>
      </c>
      <c r="L78" s="41" t="inlineStr">
        <is>
          <t>8</t>
        </is>
      </c>
      <c r="M78" s="42" t="inlineStr">
        <is>
          <t>개인</t>
        </is>
      </c>
      <c r="N78" s="42" t="inlineStr">
        <is>
          <t>개인</t>
        </is>
      </c>
      <c r="O78" s="41" t="inlineStr">
        <is>
          <t>2006</t>
        </is>
      </c>
      <c r="P78" s="42" t="inlineStr">
        <is>
          <t>효령로67길 35</t>
        </is>
      </c>
      <c r="Q78" s="41" t="inlineStr">
        <is>
          <t>-</t>
        </is>
      </c>
      <c r="R78" s="42" t="inlineStr">
        <is>
          <t>중개거래</t>
        </is>
      </c>
      <c r="S78" s="42" t="inlineStr">
        <is>
          <t>서울 서초구</t>
        </is>
      </c>
      <c r="T78" s="41" t="inlineStr">
        <is>
          <t>24.03.19</t>
        </is>
      </c>
      <c r="U78" s="42" t="inlineStr">
        <is>
          <t>아파트</t>
        </is>
      </c>
    </row>
    <row r="79" hidden="1" ht="15" customHeight="1">
      <c r="A79" s="41" t="n">
        <v>75</v>
      </c>
      <c r="B79" s="42" t="inlineStr">
        <is>
          <t>서울특별시 서초구 서초동</t>
        </is>
      </c>
      <c r="C79" s="41" t="inlineStr">
        <is>
          <t>1755</t>
        </is>
      </c>
      <c r="D79" s="41" t="inlineStr">
        <is>
          <t>1755</t>
        </is>
      </c>
      <c r="E79" s="41" t="inlineStr">
        <is>
          <t>0000</t>
        </is>
      </c>
      <c r="F79" s="42" t="inlineStr">
        <is>
          <t>래미안 리더스원</t>
        </is>
      </c>
      <c r="G79" s="41" t="inlineStr">
        <is>
          <t>84.9400</t>
        </is>
      </c>
      <c r="H79" s="41" t="inlineStr">
        <is>
          <t>202402</t>
        </is>
      </c>
      <c r="I79" s="41" t="inlineStr">
        <is>
          <t>27</t>
        </is>
      </c>
      <c r="J79" s="41" t="inlineStr">
        <is>
          <t>275,250</t>
        </is>
      </c>
      <c r="K79" s="41" t="inlineStr">
        <is>
          <t>105동</t>
        </is>
      </c>
      <c r="L79" s="41" t="inlineStr">
        <is>
          <t>20</t>
        </is>
      </c>
      <c r="M79" s="42" t="inlineStr">
        <is>
          <t>개인</t>
        </is>
      </c>
      <c r="N79" s="42" t="inlineStr">
        <is>
          <t>개인</t>
        </is>
      </c>
      <c r="O79" s="41" t="inlineStr">
        <is>
          <t>2020</t>
        </is>
      </c>
      <c r="P79" s="42" t="inlineStr">
        <is>
          <t>서운로 62</t>
        </is>
      </c>
      <c r="Q79" s="41" t="inlineStr">
        <is>
          <t>-</t>
        </is>
      </c>
      <c r="R79" s="42" t="inlineStr">
        <is>
          <t>중개거래</t>
        </is>
      </c>
      <c r="S79" s="42" t="inlineStr">
        <is>
          <t>서울 서초구</t>
        </is>
      </c>
      <c r="T79" s="41" t="inlineStr">
        <is>
          <t>24.07.25</t>
        </is>
      </c>
      <c r="U79" s="42" t="inlineStr">
        <is>
          <t>아파트</t>
        </is>
      </c>
    </row>
    <row r="80" hidden="1" ht="15" customHeight="1">
      <c r="A80" s="41" t="n">
        <v>76</v>
      </c>
      <c r="B80" s="42" t="inlineStr">
        <is>
          <t>서울특별시 서초구 서초동</t>
        </is>
      </c>
      <c r="C80" s="41" t="inlineStr">
        <is>
          <t>1312-3</t>
        </is>
      </c>
      <c r="D80" s="41" t="inlineStr">
        <is>
          <t>1312</t>
        </is>
      </c>
      <c r="E80" s="41" t="inlineStr">
        <is>
          <t>0003</t>
        </is>
      </c>
      <c r="F80" s="42" t="inlineStr">
        <is>
          <t>롯데캐슬클래식</t>
        </is>
      </c>
      <c r="G80" s="41" t="inlineStr">
        <is>
          <t>84.9800</t>
        </is>
      </c>
      <c r="H80" s="41" t="inlineStr">
        <is>
          <t>202402</t>
        </is>
      </c>
      <c r="I80" s="41" t="inlineStr">
        <is>
          <t>27</t>
        </is>
      </c>
      <c r="J80" s="41" t="inlineStr">
        <is>
          <t>215,000</t>
        </is>
      </c>
      <c r="K80" s="41" t="inlineStr">
        <is>
          <t>115</t>
        </is>
      </c>
      <c r="L80" s="41" t="inlineStr">
        <is>
          <t>5</t>
        </is>
      </c>
      <c r="M80" s="42" t="inlineStr">
        <is>
          <t>개인</t>
        </is>
      </c>
      <c r="N80" s="42" t="inlineStr">
        <is>
          <t>개인</t>
        </is>
      </c>
      <c r="O80" s="41" t="inlineStr">
        <is>
          <t>2006</t>
        </is>
      </c>
      <c r="P80" s="42" t="inlineStr">
        <is>
          <t>서운로 200</t>
        </is>
      </c>
      <c r="Q80" s="41" t="inlineStr">
        <is>
          <t>-</t>
        </is>
      </c>
      <c r="R80" s="42" t="inlineStr">
        <is>
          <t>중개거래</t>
        </is>
      </c>
      <c r="S80" s="42" t="inlineStr">
        <is>
          <t>서울 서초구</t>
        </is>
      </c>
      <c r="T80" s="41" t="inlineStr">
        <is>
          <t>24.03.12</t>
        </is>
      </c>
      <c r="U80" s="42" t="inlineStr">
        <is>
          <t>아파트</t>
        </is>
      </c>
    </row>
    <row r="81" hidden="1" ht="15" customHeight="1">
      <c r="A81" s="41" t="n">
        <v>77</v>
      </c>
      <c r="B81" s="42" t="inlineStr">
        <is>
          <t>서울특별시 서초구 서초동</t>
        </is>
      </c>
      <c r="C81" s="41" t="inlineStr">
        <is>
          <t>1685-3</t>
        </is>
      </c>
      <c r="D81" s="41" t="inlineStr">
        <is>
          <t>1685</t>
        </is>
      </c>
      <c r="E81" s="41" t="inlineStr">
        <is>
          <t>0003</t>
        </is>
      </c>
      <c r="F81" s="42" t="inlineStr">
        <is>
          <t>아크로비스타</t>
        </is>
      </c>
      <c r="G81" s="41" t="inlineStr">
        <is>
          <t>138.9600</t>
        </is>
      </c>
      <c r="H81" s="41" t="inlineStr">
        <is>
          <t>202402</t>
        </is>
      </c>
      <c r="I81" s="41" t="inlineStr">
        <is>
          <t>26</t>
        </is>
      </c>
      <c r="J81" s="41" t="inlineStr">
        <is>
          <t>268,000</t>
        </is>
      </c>
      <c r="K81" s="41" t="inlineStr">
        <is>
          <t>C</t>
        </is>
      </c>
      <c r="L81" s="41" t="inlineStr">
        <is>
          <t>24</t>
        </is>
      </c>
      <c r="M81" s="42" t="inlineStr">
        <is>
          <t>개인</t>
        </is>
      </c>
      <c r="N81" s="42" t="inlineStr">
        <is>
          <t>개인</t>
        </is>
      </c>
      <c r="O81" s="41" t="inlineStr">
        <is>
          <t>2004</t>
        </is>
      </c>
      <c r="P81" s="42" t="inlineStr">
        <is>
          <t>서초중앙로 188</t>
        </is>
      </c>
      <c r="Q81" s="41" t="inlineStr">
        <is>
          <t>-</t>
        </is>
      </c>
      <c r="R81" s="42" t="inlineStr">
        <is>
          <t>중개거래</t>
        </is>
      </c>
      <c r="S81" s="42" t="inlineStr">
        <is>
          <t>서울 서초구</t>
        </is>
      </c>
      <c r="T81" s="41" t="inlineStr">
        <is>
          <t>24.08.16</t>
        </is>
      </c>
      <c r="U81" s="42" t="inlineStr">
        <is>
          <t>아파트</t>
        </is>
      </c>
    </row>
    <row r="82" hidden="1" ht="15" customHeight="1">
      <c r="A82" s="41" t="n">
        <v>78</v>
      </c>
      <c r="B82" s="42" t="inlineStr">
        <is>
          <t>서울특별시 서초구 서초동</t>
        </is>
      </c>
      <c r="C82" s="41" t="inlineStr">
        <is>
          <t>1593-7</t>
        </is>
      </c>
      <c r="D82" s="41" t="inlineStr">
        <is>
          <t>1593</t>
        </is>
      </c>
      <c r="E82" s="41" t="inlineStr">
        <is>
          <t>0007</t>
        </is>
      </c>
      <c r="F82" s="42" t="inlineStr">
        <is>
          <t>서초이오빌</t>
        </is>
      </c>
      <c r="G82" s="41" t="inlineStr">
        <is>
          <t>45.9600</t>
        </is>
      </c>
      <c r="H82" s="41" t="inlineStr">
        <is>
          <t>202402</t>
        </is>
      </c>
      <c r="I82" s="41" t="inlineStr">
        <is>
          <t>26</t>
        </is>
      </c>
      <c r="J82" s="41" t="inlineStr">
        <is>
          <t>38,500</t>
        </is>
      </c>
      <c r="K82" s="41" t="inlineStr">
        <is>
          <t>-</t>
        </is>
      </c>
      <c r="L82" s="41" t="inlineStr">
        <is>
          <t>3</t>
        </is>
      </c>
      <c r="M82" s="42" t="inlineStr">
        <is>
          <t>개인</t>
        </is>
      </c>
      <c r="N82" s="42" t="inlineStr">
        <is>
          <t>개인</t>
        </is>
      </c>
      <c r="O82" s="41" t="inlineStr">
        <is>
          <t>2003</t>
        </is>
      </c>
      <c r="P82" s="42" t="inlineStr">
        <is>
          <t>효령로53길 45</t>
        </is>
      </c>
      <c r="Q82" s="41" t="inlineStr">
        <is>
          <t>-</t>
        </is>
      </c>
      <c r="R82" s="42" t="inlineStr">
        <is>
          <t>중개거래</t>
        </is>
      </c>
      <c r="S82" s="42" t="inlineStr">
        <is>
          <t>서울 서초구</t>
        </is>
      </c>
      <c r="T82" s="41" t="inlineStr">
        <is>
          <t>24.04.30</t>
        </is>
      </c>
      <c r="U82" s="42" t="inlineStr">
        <is>
          <t>아파트</t>
        </is>
      </c>
    </row>
    <row r="83" hidden="1" ht="15" customHeight="1">
      <c r="A83" s="41" t="n">
        <v>79</v>
      </c>
      <c r="B83" s="42" t="inlineStr">
        <is>
          <t>서울특별시 서초구 서초동</t>
        </is>
      </c>
      <c r="C83" s="41" t="inlineStr">
        <is>
          <t>1338-1</t>
        </is>
      </c>
      <c r="D83" s="41" t="inlineStr">
        <is>
          <t>1338</t>
        </is>
      </c>
      <c r="E83" s="41" t="inlineStr">
        <is>
          <t>0001</t>
        </is>
      </c>
      <c r="F83" s="42" t="inlineStr">
        <is>
          <t>풍림아이원플러스</t>
        </is>
      </c>
      <c r="G83" s="41" t="inlineStr">
        <is>
          <t>35.9030</t>
        </is>
      </c>
      <c r="H83" s="41" t="inlineStr">
        <is>
          <t>202402</t>
        </is>
      </c>
      <c r="I83" s="41" t="inlineStr">
        <is>
          <t>25</t>
        </is>
      </c>
      <c r="J83" s="41" t="inlineStr">
        <is>
          <t>36,500</t>
        </is>
      </c>
      <c r="K83" s="42" t="inlineStr">
        <is>
          <t>풍림아이원플러스</t>
        </is>
      </c>
      <c r="L83" s="41" t="inlineStr">
        <is>
          <t>9</t>
        </is>
      </c>
      <c r="M83" s="42" t="inlineStr">
        <is>
          <t>개인</t>
        </is>
      </c>
      <c r="N83" s="42" t="inlineStr">
        <is>
          <t>개인</t>
        </is>
      </c>
      <c r="O83" s="41" t="inlineStr">
        <is>
          <t>2004</t>
        </is>
      </c>
      <c r="P83" s="42" t="inlineStr">
        <is>
          <t>효령로77길 14</t>
        </is>
      </c>
      <c r="Q83" s="41" t="inlineStr">
        <is>
          <t>-</t>
        </is>
      </c>
      <c r="R83" s="42" t="inlineStr">
        <is>
          <t>중개거래</t>
        </is>
      </c>
      <c r="S83" s="42" t="inlineStr">
        <is>
          <t>경기 과천시</t>
        </is>
      </c>
      <c r="T83" s="41" t="inlineStr">
        <is>
          <t>24.03.14</t>
        </is>
      </c>
      <c r="U83" s="42" t="inlineStr">
        <is>
          <t>아파트</t>
        </is>
      </c>
    </row>
    <row r="84" hidden="1" ht="15" customHeight="1">
      <c r="A84" s="41" t="n">
        <v>80</v>
      </c>
      <c r="B84" s="42" t="inlineStr">
        <is>
          <t>서울특별시 서초구 서초동</t>
        </is>
      </c>
      <c r="C84" s="41" t="inlineStr">
        <is>
          <t>1332-13</t>
        </is>
      </c>
      <c r="D84" s="41" t="inlineStr">
        <is>
          <t>1332</t>
        </is>
      </c>
      <c r="E84" s="41" t="inlineStr">
        <is>
          <t>0013</t>
        </is>
      </c>
      <c r="F84" s="42" t="inlineStr">
        <is>
          <t>래미안서초에스티지</t>
        </is>
      </c>
      <c r="G84" s="41" t="inlineStr">
        <is>
          <t>101.5500</t>
        </is>
      </c>
      <c r="H84" s="41" t="inlineStr">
        <is>
          <t>202402</t>
        </is>
      </c>
      <c r="I84" s="41" t="inlineStr">
        <is>
          <t>24</t>
        </is>
      </c>
      <c r="J84" s="41" t="inlineStr">
        <is>
          <t>278,000</t>
        </is>
      </c>
      <c r="K84" s="41" t="inlineStr">
        <is>
          <t>103동</t>
        </is>
      </c>
      <c r="L84" s="41" t="inlineStr">
        <is>
          <t>19</t>
        </is>
      </c>
      <c r="M84" s="42" t="inlineStr">
        <is>
          <t>개인</t>
        </is>
      </c>
      <c r="N84" s="42" t="inlineStr">
        <is>
          <t>개인</t>
        </is>
      </c>
      <c r="O84" s="41" t="inlineStr">
        <is>
          <t>2016</t>
        </is>
      </c>
      <c r="P84" s="42" t="inlineStr">
        <is>
          <t>서운로 107</t>
        </is>
      </c>
      <c r="Q84" s="41" t="inlineStr">
        <is>
          <t>-</t>
        </is>
      </c>
      <c r="R84" s="42" t="inlineStr">
        <is>
          <t>중개거래</t>
        </is>
      </c>
      <c r="S84" s="42" t="inlineStr">
        <is>
          <t>서울 서초구</t>
        </is>
      </c>
      <c r="T84" s="41" t="inlineStr">
        <is>
          <t>24.06.28</t>
        </is>
      </c>
      <c r="U84" s="42" t="inlineStr">
        <is>
          <t>아파트</t>
        </is>
      </c>
    </row>
    <row r="85" hidden="1" ht="15" customHeight="1">
      <c r="A85" s="41" t="n">
        <v>81</v>
      </c>
      <c r="B85" s="42" t="inlineStr">
        <is>
          <t>서울특별시 서초구 서초동</t>
        </is>
      </c>
      <c r="C85" s="41" t="inlineStr">
        <is>
          <t>1588-5</t>
        </is>
      </c>
      <c r="D85" s="41" t="inlineStr">
        <is>
          <t>1588</t>
        </is>
      </c>
      <c r="E85" s="41" t="inlineStr">
        <is>
          <t>0005</t>
        </is>
      </c>
      <c r="F85" s="42" t="inlineStr">
        <is>
          <t>디아레나서초</t>
        </is>
      </c>
      <c r="G85" s="41" t="inlineStr">
        <is>
          <t>29.0800</t>
        </is>
      </c>
      <c r="H85" s="41" t="inlineStr">
        <is>
          <t>202402</t>
        </is>
      </c>
      <c r="I85" s="41" t="inlineStr">
        <is>
          <t>24</t>
        </is>
      </c>
      <c r="J85" s="41" t="inlineStr">
        <is>
          <t>40,000</t>
        </is>
      </c>
      <c r="K85" s="41" t="inlineStr">
        <is>
          <t>102동</t>
        </is>
      </c>
      <c r="L85" s="41" t="inlineStr">
        <is>
          <t>14</t>
        </is>
      </c>
      <c r="M85" s="42" t="inlineStr">
        <is>
          <t>개인</t>
        </is>
      </c>
      <c r="N85" s="42" t="inlineStr">
        <is>
          <t>개인</t>
        </is>
      </c>
      <c r="O85" s="41" t="inlineStr">
        <is>
          <t>2020</t>
        </is>
      </c>
      <c r="P85" s="42" t="inlineStr">
        <is>
          <t>효령로53길 24</t>
        </is>
      </c>
      <c r="Q85" s="41" t="inlineStr">
        <is>
          <t>-</t>
        </is>
      </c>
      <c r="R85" s="42" t="inlineStr">
        <is>
          <t>중개거래</t>
        </is>
      </c>
      <c r="S85" s="42" t="inlineStr">
        <is>
          <t>서울 서초구</t>
        </is>
      </c>
      <c r="T85" s="41" t="inlineStr">
        <is>
          <t>24.04.12</t>
        </is>
      </c>
      <c r="U85" s="42" t="inlineStr">
        <is>
          <t>아파트</t>
        </is>
      </c>
    </row>
    <row r="86" hidden="1" ht="15" customHeight="1">
      <c r="A86" s="41" t="n">
        <v>82</v>
      </c>
      <c r="B86" s="42" t="inlineStr">
        <is>
          <t>서울특별시 서초구 서초동</t>
        </is>
      </c>
      <c r="C86" s="41" t="inlineStr">
        <is>
          <t>1337-22</t>
        </is>
      </c>
      <c r="D86" s="41" t="inlineStr">
        <is>
          <t>1337</t>
        </is>
      </c>
      <c r="E86" s="41" t="inlineStr">
        <is>
          <t>0022</t>
        </is>
      </c>
      <c r="F86" s="42" t="inlineStr">
        <is>
          <t>서초동대우디오빌프라임</t>
        </is>
      </c>
      <c r="G86" s="41" t="inlineStr">
        <is>
          <t>57.8800</t>
        </is>
      </c>
      <c r="H86" s="41" t="inlineStr">
        <is>
          <t>202402</t>
        </is>
      </c>
      <c r="I86" s="41" t="inlineStr">
        <is>
          <t>24</t>
        </is>
      </c>
      <c r="J86" s="41" t="inlineStr">
        <is>
          <t>70,000</t>
        </is>
      </c>
      <c r="K86" s="42" t="inlineStr">
        <is>
          <t>서초동대우디오빌프라임</t>
        </is>
      </c>
      <c r="L86" s="41" t="inlineStr">
        <is>
          <t>13</t>
        </is>
      </c>
      <c r="M86" s="42" t="inlineStr">
        <is>
          <t>개인</t>
        </is>
      </c>
      <c r="N86" s="42" t="inlineStr">
        <is>
          <t>개인</t>
        </is>
      </c>
      <c r="O86" s="41" t="inlineStr">
        <is>
          <t>2005</t>
        </is>
      </c>
      <c r="P86" s="42" t="inlineStr">
        <is>
          <t>강남대로 321</t>
        </is>
      </c>
      <c r="Q86" s="41" t="inlineStr">
        <is>
          <t>-</t>
        </is>
      </c>
      <c r="R86" s="42" t="inlineStr">
        <is>
          <t>직거래</t>
        </is>
      </c>
      <c r="S86" s="41" t="inlineStr">
        <is>
          <t>-</t>
        </is>
      </c>
      <c r="T86" s="41" t="inlineStr">
        <is>
          <t>24.03.22</t>
        </is>
      </c>
      <c r="U86" s="42" t="inlineStr">
        <is>
          <t>아파트</t>
        </is>
      </c>
    </row>
    <row r="87" hidden="1" ht="15" customHeight="1">
      <c r="A87" s="41" t="n">
        <v>83</v>
      </c>
      <c r="B87" s="42" t="inlineStr">
        <is>
          <t>서울특별시 서초구 서초동</t>
        </is>
      </c>
      <c r="C87" s="41" t="inlineStr">
        <is>
          <t>1616-10</t>
        </is>
      </c>
      <c r="D87" s="41" t="inlineStr">
        <is>
          <t>1616</t>
        </is>
      </c>
      <c r="E87" s="41" t="inlineStr">
        <is>
          <t>0010</t>
        </is>
      </c>
      <c r="F87" s="42" t="inlineStr">
        <is>
          <t>서초극동스타클래스</t>
        </is>
      </c>
      <c r="G87" s="41" t="inlineStr">
        <is>
          <t>84.3000</t>
        </is>
      </c>
      <c r="H87" s="41" t="inlineStr">
        <is>
          <t>202402</t>
        </is>
      </c>
      <c r="I87" s="41" t="inlineStr">
        <is>
          <t>22</t>
        </is>
      </c>
      <c r="J87" s="41" t="inlineStr">
        <is>
          <t>139,800</t>
        </is>
      </c>
      <c r="K87" s="41" t="inlineStr">
        <is>
          <t>101</t>
        </is>
      </c>
      <c r="L87" s="41" t="inlineStr">
        <is>
          <t>3</t>
        </is>
      </c>
      <c r="M87" s="42" t="inlineStr">
        <is>
          <t>개인</t>
        </is>
      </c>
      <c r="N87" s="42" t="inlineStr">
        <is>
          <t>개인</t>
        </is>
      </c>
      <c r="O87" s="41" t="inlineStr">
        <is>
          <t>2003</t>
        </is>
      </c>
      <c r="P87" s="42" t="inlineStr">
        <is>
          <t>서리풀4길 43</t>
        </is>
      </c>
      <c r="Q87" s="41" t="inlineStr">
        <is>
          <t>-</t>
        </is>
      </c>
      <c r="R87" s="42" t="inlineStr">
        <is>
          <t>중개거래</t>
        </is>
      </c>
      <c r="S87" s="42" t="inlineStr">
        <is>
          <t>경기 오산시, 서울 서초구</t>
        </is>
      </c>
      <c r="T87" s="41" t="inlineStr">
        <is>
          <t>24.04.29</t>
        </is>
      </c>
      <c r="U87" s="42" t="inlineStr">
        <is>
          <t>아파트</t>
        </is>
      </c>
    </row>
    <row r="88" hidden="1" ht="15" customHeight="1">
      <c r="A88" s="41" t="n">
        <v>84</v>
      </c>
      <c r="B88" s="42" t="inlineStr">
        <is>
          <t>서울특별시 서초구 서초동</t>
        </is>
      </c>
      <c r="C88" s="41" t="inlineStr">
        <is>
          <t>1467-62</t>
        </is>
      </c>
      <c r="D88" s="41" t="inlineStr">
        <is>
          <t>1467</t>
        </is>
      </c>
      <c r="E88" s="41" t="inlineStr">
        <is>
          <t>0062</t>
        </is>
      </c>
      <c r="F88" s="42" t="inlineStr">
        <is>
          <t>서초5차e편한세상</t>
        </is>
      </c>
      <c r="G88" s="41" t="inlineStr">
        <is>
          <t>158.2400</t>
        </is>
      </c>
      <c r="H88" s="41" t="inlineStr">
        <is>
          <t>202402</t>
        </is>
      </c>
      <c r="I88" s="41" t="inlineStr">
        <is>
          <t>22</t>
        </is>
      </c>
      <c r="J88" s="41" t="inlineStr">
        <is>
          <t>207,000</t>
        </is>
      </c>
      <c r="K88" s="41" t="inlineStr">
        <is>
          <t>502</t>
        </is>
      </c>
      <c r="L88" s="41" t="inlineStr">
        <is>
          <t>5</t>
        </is>
      </c>
      <c r="M88" s="42" t="inlineStr">
        <is>
          <t>개인</t>
        </is>
      </c>
      <c r="N88" s="42" t="inlineStr">
        <is>
          <t>개인</t>
        </is>
      </c>
      <c r="O88" s="41" t="inlineStr">
        <is>
          <t>2005</t>
        </is>
      </c>
      <c r="P88" s="42" t="inlineStr">
        <is>
          <t>명달로4길 30</t>
        </is>
      </c>
      <c r="Q88" s="41" t="inlineStr">
        <is>
          <t>-</t>
        </is>
      </c>
      <c r="R88" s="42" t="inlineStr">
        <is>
          <t>중개거래</t>
        </is>
      </c>
      <c r="S88" s="42" t="inlineStr">
        <is>
          <t>서울 서초구</t>
        </is>
      </c>
      <c r="T88" s="41" t="inlineStr">
        <is>
          <t>24.03.20</t>
        </is>
      </c>
      <c r="U88" s="42" t="inlineStr">
        <is>
          <t>아파트</t>
        </is>
      </c>
    </row>
    <row r="89" hidden="1" ht="15" customHeight="1">
      <c r="A89" s="41" t="n">
        <v>85</v>
      </c>
      <c r="B89" s="42" t="inlineStr">
        <is>
          <t>서울특별시 서초구 서초동</t>
        </is>
      </c>
      <c r="C89" s="41" t="inlineStr">
        <is>
          <t>1332-13</t>
        </is>
      </c>
      <c r="D89" s="41" t="inlineStr">
        <is>
          <t>1332</t>
        </is>
      </c>
      <c r="E89" s="41" t="inlineStr">
        <is>
          <t>0013</t>
        </is>
      </c>
      <c r="F89" s="42" t="inlineStr">
        <is>
          <t>래미안서초에스티지</t>
        </is>
      </c>
      <c r="G89" s="41" t="inlineStr">
        <is>
          <t>139.9900</t>
        </is>
      </c>
      <c r="H89" s="41" t="inlineStr">
        <is>
          <t>202402</t>
        </is>
      </c>
      <c r="I89" s="41" t="inlineStr">
        <is>
          <t>21</t>
        </is>
      </c>
      <c r="J89" s="41" t="inlineStr">
        <is>
          <t>340,000</t>
        </is>
      </c>
      <c r="K89" s="41" t="inlineStr">
        <is>
          <t>101동</t>
        </is>
      </c>
      <c r="L89" s="41" t="inlineStr">
        <is>
          <t>12</t>
        </is>
      </c>
      <c r="M89" s="42" t="inlineStr">
        <is>
          <t>개인</t>
        </is>
      </c>
      <c r="N89" s="42" t="inlineStr">
        <is>
          <t>개인</t>
        </is>
      </c>
      <c r="O89" s="41" t="inlineStr">
        <is>
          <t>2016</t>
        </is>
      </c>
      <c r="P89" s="42" t="inlineStr">
        <is>
          <t>서운로 107</t>
        </is>
      </c>
      <c r="Q89" s="41" t="inlineStr">
        <is>
          <t>-</t>
        </is>
      </c>
      <c r="R89" s="42" t="inlineStr">
        <is>
          <t>중개거래</t>
        </is>
      </c>
      <c r="S89" s="42" t="inlineStr">
        <is>
          <t>서울 서초구</t>
        </is>
      </c>
      <c r="T89" s="41" t="inlineStr">
        <is>
          <t>24.06.18</t>
        </is>
      </c>
      <c r="U89" s="42" t="inlineStr">
        <is>
          <t>아파트</t>
        </is>
      </c>
    </row>
    <row r="90" hidden="1" ht="15" customHeight="1">
      <c r="A90" s="41" t="n">
        <v>86</v>
      </c>
      <c r="B90" s="42" t="inlineStr">
        <is>
          <t>서울특별시 서초구 서초동</t>
        </is>
      </c>
      <c r="C90" s="41" t="inlineStr">
        <is>
          <t>1648-2</t>
        </is>
      </c>
      <c r="D90" s="41" t="inlineStr">
        <is>
          <t>1648</t>
        </is>
      </c>
      <c r="E90" s="41" t="inlineStr">
        <is>
          <t>0002</t>
        </is>
      </c>
      <c r="F90" s="42" t="inlineStr">
        <is>
          <t>서초현대</t>
        </is>
      </c>
      <c r="G90" s="41" t="inlineStr">
        <is>
          <t>59.4000</t>
        </is>
      </c>
      <c r="H90" s="41" t="inlineStr">
        <is>
          <t>202402</t>
        </is>
      </c>
      <c r="I90" s="41" t="inlineStr">
        <is>
          <t>21</t>
        </is>
      </c>
      <c r="J90" s="41" t="inlineStr">
        <is>
          <t>131,000</t>
        </is>
      </c>
      <c r="K90" s="41" t="inlineStr">
        <is>
          <t>102</t>
        </is>
      </c>
      <c r="L90" s="41" t="inlineStr">
        <is>
          <t>7</t>
        </is>
      </c>
      <c r="M90" s="42" t="inlineStr">
        <is>
          <t>개인</t>
        </is>
      </c>
      <c r="N90" s="42" t="inlineStr">
        <is>
          <t>개인</t>
        </is>
      </c>
      <c r="O90" s="41" t="inlineStr">
        <is>
          <t>1999</t>
        </is>
      </c>
      <c r="P90" s="42" t="inlineStr">
        <is>
          <t>사임당로19길 10</t>
        </is>
      </c>
      <c r="Q90" s="41" t="inlineStr">
        <is>
          <t>-</t>
        </is>
      </c>
      <c r="R90" s="42" t="inlineStr">
        <is>
          <t>중개거래</t>
        </is>
      </c>
      <c r="S90" s="42" t="inlineStr">
        <is>
          <t>서울 서초구</t>
        </is>
      </c>
      <c r="T90" s="41" t="inlineStr">
        <is>
          <t>24.03.29</t>
        </is>
      </c>
      <c r="U90" s="42" t="inlineStr">
        <is>
          <t>아파트</t>
        </is>
      </c>
    </row>
    <row r="91" hidden="1" ht="15" customHeight="1">
      <c r="A91" s="41" t="n">
        <v>87</v>
      </c>
      <c r="B91" s="42" t="inlineStr">
        <is>
          <t>서울특별시 서초구 서초동</t>
        </is>
      </c>
      <c r="C91" s="41" t="inlineStr">
        <is>
          <t>1498-5</t>
        </is>
      </c>
      <c r="D91" s="41" t="inlineStr">
        <is>
          <t>1498</t>
        </is>
      </c>
      <c r="E91" s="41" t="inlineStr">
        <is>
          <t>0005</t>
        </is>
      </c>
      <c r="F91" s="42" t="inlineStr">
        <is>
          <t>마제스타시티(힐스테이트서리풀101,102동)</t>
        </is>
      </c>
      <c r="G91" s="41" t="inlineStr">
        <is>
          <t>59.9700</t>
        </is>
      </c>
      <c r="H91" s="41" t="inlineStr">
        <is>
          <t>202402</t>
        </is>
      </c>
      <c r="I91" s="41" t="inlineStr">
        <is>
          <t>21</t>
        </is>
      </c>
      <c r="J91" s="41" t="inlineStr">
        <is>
          <t>183,000</t>
        </is>
      </c>
      <c r="K91" s="42" t="inlineStr">
        <is>
          <t>힐스테이트 서리풀 102동</t>
        </is>
      </c>
      <c r="L91" s="41" t="inlineStr">
        <is>
          <t>4</t>
        </is>
      </c>
      <c r="M91" s="42" t="inlineStr">
        <is>
          <t>개인</t>
        </is>
      </c>
      <c r="N91" s="42" t="inlineStr">
        <is>
          <t>개인</t>
        </is>
      </c>
      <c r="O91" s="41" t="inlineStr">
        <is>
          <t>2017</t>
        </is>
      </c>
      <c r="P91" s="42" t="inlineStr">
        <is>
          <t>서초대로38길 12</t>
        </is>
      </c>
      <c r="Q91" s="41" t="inlineStr">
        <is>
          <t>-</t>
        </is>
      </c>
      <c r="R91" s="42" t="inlineStr">
        <is>
          <t>중개거래</t>
        </is>
      </c>
      <c r="S91" s="42" t="inlineStr">
        <is>
          <t>서울 서초구</t>
        </is>
      </c>
      <c r="T91" s="41" t="inlineStr">
        <is>
          <t>24.04.24</t>
        </is>
      </c>
      <c r="U91" s="42" t="inlineStr">
        <is>
          <t>아파트</t>
        </is>
      </c>
    </row>
    <row r="92" hidden="1" ht="15" customHeight="1">
      <c r="A92" s="41" t="n">
        <v>88</v>
      </c>
      <c r="B92" s="42" t="inlineStr">
        <is>
          <t>서울특별시 서초구 서초동</t>
        </is>
      </c>
      <c r="C92" s="41" t="inlineStr">
        <is>
          <t>1344-22</t>
        </is>
      </c>
      <c r="D92" s="41" t="inlineStr">
        <is>
          <t>1344</t>
        </is>
      </c>
      <c r="E92" s="41" t="inlineStr">
        <is>
          <t>0022</t>
        </is>
      </c>
      <c r="F92" s="42" t="inlineStr">
        <is>
          <t>서초자연인아파트(101동)</t>
        </is>
      </c>
      <c r="G92" s="41" t="inlineStr">
        <is>
          <t>40.4500</t>
        </is>
      </c>
      <c r="H92" s="41" t="inlineStr">
        <is>
          <t>202402</t>
        </is>
      </c>
      <c r="I92" s="41" t="inlineStr">
        <is>
          <t>18</t>
        </is>
      </c>
      <c r="J92" s="41" t="inlineStr">
        <is>
          <t>44,250</t>
        </is>
      </c>
      <c r="K92" s="41" t="inlineStr">
        <is>
          <t>1</t>
        </is>
      </c>
      <c r="L92" s="41" t="inlineStr">
        <is>
          <t>7</t>
        </is>
      </c>
      <c r="M92" s="42" t="inlineStr">
        <is>
          <t>개인</t>
        </is>
      </c>
      <c r="N92" s="42" t="inlineStr">
        <is>
          <t>개인</t>
        </is>
      </c>
      <c r="O92" s="41" t="inlineStr">
        <is>
          <t>2012</t>
        </is>
      </c>
      <c r="P92" s="42" t="inlineStr">
        <is>
          <t>서운로9길 18</t>
        </is>
      </c>
      <c r="Q92" s="41" t="inlineStr">
        <is>
          <t>-</t>
        </is>
      </c>
      <c r="R92" s="42" t="inlineStr">
        <is>
          <t>중개거래</t>
        </is>
      </c>
      <c r="S92" s="42" t="inlineStr">
        <is>
          <t>서울 서초구</t>
        </is>
      </c>
      <c r="T92" s="41" t="inlineStr">
        <is>
          <t>24.03.29</t>
        </is>
      </c>
      <c r="U92" s="42" t="inlineStr">
        <is>
          <t>아파트</t>
        </is>
      </c>
    </row>
    <row r="93" hidden="1" ht="15" customHeight="1">
      <c r="A93" s="41" t="n">
        <v>89</v>
      </c>
      <c r="B93" s="42" t="inlineStr">
        <is>
          <t>서울특별시 서초구 서초동</t>
        </is>
      </c>
      <c r="C93" s="41" t="inlineStr">
        <is>
          <t>1363-25</t>
        </is>
      </c>
      <c r="D93" s="41" t="inlineStr">
        <is>
          <t>1363</t>
        </is>
      </c>
      <c r="E93" s="41" t="inlineStr">
        <is>
          <t>0025</t>
        </is>
      </c>
      <c r="F93" s="42" t="inlineStr">
        <is>
          <t>한라비발디스튜디오193</t>
        </is>
      </c>
      <c r="G93" s="41" t="inlineStr">
        <is>
          <t>19.9900</t>
        </is>
      </c>
      <c r="H93" s="41" t="inlineStr">
        <is>
          <t>202402</t>
        </is>
      </c>
      <c r="I93" s="41" t="inlineStr">
        <is>
          <t>17</t>
        </is>
      </c>
      <c r="J93" s="41" t="inlineStr">
        <is>
          <t>26,000</t>
        </is>
      </c>
      <c r="K93" s="42" t="inlineStr">
        <is>
          <t>한라비발디스튜디오193</t>
        </is>
      </c>
      <c r="L93" s="41" t="inlineStr">
        <is>
          <t>9</t>
        </is>
      </c>
      <c r="M93" s="42" t="inlineStr">
        <is>
          <t>개인</t>
        </is>
      </c>
      <c r="N93" s="42" t="inlineStr">
        <is>
          <t>개인</t>
        </is>
      </c>
      <c r="O93" s="41" t="inlineStr">
        <is>
          <t>2013</t>
        </is>
      </c>
      <c r="P93" s="42" t="inlineStr">
        <is>
          <t>강남대로39길 15-10</t>
        </is>
      </c>
      <c r="Q93" s="41" t="inlineStr">
        <is>
          <t>-</t>
        </is>
      </c>
      <c r="R93" s="42" t="inlineStr">
        <is>
          <t>중개거래</t>
        </is>
      </c>
      <c r="S93" s="42" t="inlineStr">
        <is>
          <t>서울 서초구</t>
        </is>
      </c>
      <c r="T93" s="41" t="inlineStr">
        <is>
          <t>24.03.13</t>
        </is>
      </c>
      <c r="U93" s="42" t="inlineStr">
        <is>
          <t>아파트</t>
        </is>
      </c>
    </row>
    <row r="94" hidden="1" ht="15" customHeight="1">
      <c r="A94" s="41" t="n">
        <v>90</v>
      </c>
      <c r="B94" s="42" t="inlineStr">
        <is>
          <t>서울특별시 서초구 서초동</t>
        </is>
      </c>
      <c r="C94" s="41" t="inlineStr">
        <is>
          <t>1682</t>
        </is>
      </c>
      <c r="D94" s="41" t="inlineStr">
        <is>
          <t>1682</t>
        </is>
      </c>
      <c r="E94" s="41" t="inlineStr">
        <is>
          <t>0000</t>
        </is>
      </c>
      <c r="F94" s="42" t="inlineStr">
        <is>
          <t>서초래미안</t>
        </is>
      </c>
      <c r="G94" s="41" t="inlineStr">
        <is>
          <t>111.3200</t>
        </is>
      </c>
      <c r="H94" s="41" t="inlineStr">
        <is>
          <t>202402</t>
        </is>
      </c>
      <c r="I94" s="41" t="inlineStr">
        <is>
          <t>16</t>
        </is>
      </c>
      <c r="J94" s="41" t="inlineStr">
        <is>
          <t>230,000</t>
        </is>
      </c>
      <c r="K94" s="41" t="inlineStr">
        <is>
          <t>109</t>
        </is>
      </c>
      <c r="L94" s="41" t="inlineStr">
        <is>
          <t>4</t>
        </is>
      </c>
      <c r="M94" s="42" t="inlineStr">
        <is>
          <t>개인</t>
        </is>
      </c>
      <c r="N94" s="42" t="inlineStr">
        <is>
          <t>개인</t>
        </is>
      </c>
      <c r="O94" s="41" t="inlineStr">
        <is>
          <t>2003</t>
        </is>
      </c>
      <c r="P94" s="42" t="inlineStr">
        <is>
          <t>서초대로65길 13-10</t>
        </is>
      </c>
      <c r="Q94" s="41" t="inlineStr">
        <is>
          <t>-</t>
        </is>
      </c>
      <c r="R94" s="42" t="inlineStr">
        <is>
          <t>중개거래</t>
        </is>
      </c>
      <c r="S94" s="42" t="inlineStr">
        <is>
          <t>서울 서초구</t>
        </is>
      </c>
      <c r="T94" s="41" t="inlineStr">
        <is>
          <t>24.04.19</t>
        </is>
      </c>
      <c r="U94" s="42" t="inlineStr">
        <is>
          <t>아파트</t>
        </is>
      </c>
    </row>
    <row r="95" hidden="1" ht="15" customHeight="1">
      <c r="A95" s="41" t="n">
        <v>91</v>
      </c>
      <c r="B95" s="42" t="inlineStr">
        <is>
          <t>서울특별시 서초구 서초동</t>
        </is>
      </c>
      <c r="C95" s="41" t="inlineStr">
        <is>
          <t>1582-3</t>
        </is>
      </c>
      <c r="D95" s="41" t="inlineStr">
        <is>
          <t>1582</t>
        </is>
      </c>
      <c r="E95" s="41" t="inlineStr">
        <is>
          <t>0003</t>
        </is>
      </c>
      <c r="F95" s="42" t="inlineStr">
        <is>
          <t>서초센트럴IPARK</t>
        </is>
      </c>
      <c r="G95" s="41" t="inlineStr">
        <is>
          <t>80.5154</t>
        </is>
      </c>
      <c r="H95" s="41" t="inlineStr">
        <is>
          <t>202402</t>
        </is>
      </c>
      <c r="I95" s="41" t="inlineStr">
        <is>
          <t>14</t>
        </is>
      </c>
      <c r="J95" s="41" t="inlineStr">
        <is>
          <t>147,500</t>
        </is>
      </c>
      <c r="K95" s="41" t="inlineStr">
        <is>
          <t>101동</t>
        </is>
      </c>
      <c r="L95" s="41" t="inlineStr">
        <is>
          <t>9</t>
        </is>
      </c>
      <c r="M95" s="42" t="inlineStr">
        <is>
          <t>개인</t>
        </is>
      </c>
      <c r="N95" s="42" t="inlineStr">
        <is>
          <t>개인</t>
        </is>
      </c>
      <c r="O95" s="41" t="inlineStr">
        <is>
          <t>2020</t>
        </is>
      </c>
      <c r="P95" s="42" t="inlineStr">
        <is>
          <t>반포대로18길 36</t>
        </is>
      </c>
      <c r="Q95" s="41" t="inlineStr">
        <is>
          <t>-</t>
        </is>
      </c>
      <c r="R95" s="42" t="inlineStr">
        <is>
          <t>직거래</t>
        </is>
      </c>
      <c r="S95" s="41" t="inlineStr">
        <is>
          <t>-</t>
        </is>
      </c>
      <c r="T95" s="41" t="inlineStr">
        <is>
          <t>24.02.29</t>
        </is>
      </c>
      <c r="U95" s="42" t="inlineStr">
        <is>
          <t>아파트</t>
        </is>
      </c>
    </row>
    <row r="96" hidden="1" ht="15" customHeight="1">
      <c r="A96" s="41" t="n">
        <v>92</v>
      </c>
      <c r="B96" s="42" t="inlineStr">
        <is>
          <t>서울특별시 서초구 서초동</t>
        </is>
      </c>
      <c r="C96" s="41" t="inlineStr">
        <is>
          <t>1446-11</t>
        </is>
      </c>
      <c r="D96" s="41" t="inlineStr">
        <is>
          <t>1446</t>
        </is>
      </c>
      <c r="E96" s="41" t="inlineStr">
        <is>
          <t>0011</t>
        </is>
      </c>
      <c r="F96" s="42" t="inlineStr">
        <is>
          <t>현대슈퍼빌</t>
        </is>
      </c>
      <c r="G96" s="41" t="inlineStr">
        <is>
          <t>205.6700</t>
        </is>
      </c>
      <c r="H96" s="41" t="inlineStr">
        <is>
          <t>202402</t>
        </is>
      </c>
      <c r="I96" s="41" t="inlineStr">
        <is>
          <t>14</t>
        </is>
      </c>
      <c r="J96" s="41" t="inlineStr">
        <is>
          <t>305,000</t>
        </is>
      </c>
      <c r="K96" s="41" t="inlineStr">
        <is>
          <t>B</t>
        </is>
      </c>
      <c r="L96" s="41" t="inlineStr">
        <is>
          <t>14</t>
        </is>
      </c>
      <c r="M96" s="42" t="inlineStr">
        <is>
          <t>개인</t>
        </is>
      </c>
      <c r="N96" s="42" t="inlineStr">
        <is>
          <t>개인</t>
        </is>
      </c>
      <c r="O96" s="41" t="inlineStr">
        <is>
          <t>2003</t>
        </is>
      </c>
      <c r="P96" s="42" t="inlineStr">
        <is>
          <t>서초중앙로 15</t>
        </is>
      </c>
      <c r="Q96" s="41" t="inlineStr">
        <is>
          <t>-</t>
        </is>
      </c>
      <c r="R96" s="42" t="inlineStr">
        <is>
          <t>중개거래</t>
        </is>
      </c>
      <c r="S96" s="42" t="inlineStr">
        <is>
          <t>서울 서초구</t>
        </is>
      </c>
      <c r="T96" s="41" t="inlineStr">
        <is>
          <t>24.06.17</t>
        </is>
      </c>
      <c r="U96" s="42" t="inlineStr">
        <is>
          <t>아파트</t>
        </is>
      </c>
    </row>
    <row r="97" hidden="1" ht="15" customHeight="1">
      <c r="A97" s="41" t="n">
        <v>93</v>
      </c>
      <c r="B97" s="42" t="inlineStr">
        <is>
          <t>서울특별시 서초구 서초동</t>
        </is>
      </c>
      <c r="C97" s="41" t="inlineStr">
        <is>
          <t>1648-2</t>
        </is>
      </c>
      <c r="D97" s="41" t="inlineStr">
        <is>
          <t>1648</t>
        </is>
      </c>
      <c r="E97" s="41" t="inlineStr">
        <is>
          <t>0002</t>
        </is>
      </c>
      <c r="F97" s="42" t="inlineStr">
        <is>
          <t>서초현대</t>
        </is>
      </c>
      <c r="G97" s="41" t="inlineStr">
        <is>
          <t>84.7800</t>
        </is>
      </c>
      <c r="H97" s="41" t="inlineStr">
        <is>
          <t>202402</t>
        </is>
      </c>
      <c r="I97" s="41" t="inlineStr">
        <is>
          <t>11</t>
        </is>
      </c>
      <c r="J97" s="41" t="inlineStr">
        <is>
          <t>150,000</t>
        </is>
      </c>
      <c r="K97" s="41" t="inlineStr">
        <is>
          <t>101</t>
        </is>
      </c>
      <c r="L97" s="41" t="inlineStr">
        <is>
          <t>10</t>
        </is>
      </c>
      <c r="M97" s="42" t="inlineStr">
        <is>
          <t>개인</t>
        </is>
      </c>
      <c r="N97" s="42" t="inlineStr">
        <is>
          <t>개인</t>
        </is>
      </c>
      <c r="O97" s="41" t="inlineStr">
        <is>
          <t>1999</t>
        </is>
      </c>
      <c r="P97" s="42" t="inlineStr">
        <is>
          <t>사임당로19길 10</t>
        </is>
      </c>
      <c r="Q97" s="41" t="inlineStr">
        <is>
          <t>-</t>
        </is>
      </c>
      <c r="R97" s="42" t="inlineStr">
        <is>
          <t>직거래</t>
        </is>
      </c>
      <c r="S97" s="41" t="inlineStr">
        <is>
          <t>-</t>
        </is>
      </c>
      <c r="T97" s="41" t="inlineStr">
        <is>
          <t>24.10.02</t>
        </is>
      </c>
      <c r="U97" s="42" t="inlineStr">
        <is>
          <t>아파트</t>
        </is>
      </c>
    </row>
    <row r="98" hidden="1" ht="15" customHeight="1">
      <c r="A98" s="41" t="n">
        <v>94</v>
      </c>
      <c r="B98" s="42" t="inlineStr">
        <is>
          <t>서울특별시 서초구 서초동</t>
        </is>
      </c>
      <c r="C98" s="41" t="inlineStr">
        <is>
          <t>1682</t>
        </is>
      </c>
      <c r="D98" s="41" t="inlineStr">
        <is>
          <t>1682</t>
        </is>
      </c>
      <c r="E98" s="41" t="inlineStr">
        <is>
          <t>0000</t>
        </is>
      </c>
      <c r="F98" s="42" t="inlineStr">
        <is>
          <t>서초래미안</t>
        </is>
      </c>
      <c r="G98" s="41" t="inlineStr">
        <is>
          <t>96.8700</t>
        </is>
      </c>
      <c r="H98" s="41" t="inlineStr">
        <is>
          <t>202402</t>
        </is>
      </c>
      <c r="I98" s="41" t="inlineStr">
        <is>
          <t>08</t>
        </is>
      </c>
      <c r="J98" s="41" t="inlineStr">
        <is>
          <t>224,000</t>
        </is>
      </c>
      <c r="K98" s="41" t="inlineStr">
        <is>
          <t>102</t>
        </is>
      </c>
      <c r="L98" s="41" t="inlineStr">
        <is>
          <t>15</t>
        </is>
      </c>
      <c r="M98" s="42" t="inlineStr">
        <is>
          <t>개인</t>
        </is>
      </c>
      <c r="N98" s="42" t="inlineStr">
        <is>
          <t>개인</t>
        </is>
      </c>
      <c r="O98" s="41" t="inlineStr">
        <is>
          <t>2003</t>
        </is>
      </c>
      <c r="P98" s="42" t="inlineStr">
        <is>
          <t>서초대로65길 13-10</t>
        </is>
      </c>
      <c r="Q98" s="41" t="inlineStr">
        <is>
          <t>-</t>
        </is>
      </c>
      <c r="R98" s="42" t="inlineStr">
        <is>
          <t>중개거래</t>
        </is>
      </c>
      <c r="S98" s="42" t="inlineStr">
        <is>
          <t>서울 서초구</t>
        </is>
      </c>
      <c r="T98" s="41" t="inlineStr">
        <is>
          <t>24.05.21</t>
        </is>
      </c>
      <c r="U98" s="42" t="inlineStr">
        <is>
          <t>아파트</t>
        </is>
      </c>
    </row>
    <row r="99" hidden="1" ht="15" customHeight="1">
      <c r="A99" s="41" t="n">
        <v>95</v>
      </c>
      <c r="B99" s="42" t="inlineStr">
        <is>
          <t>서울특별시 서초구 서초동</t>
        </is>
      </c>
      <c r="C99" s="41" t="inlineStr">
        <is>
          <t>1330</t>
        </is>
      </c>
      <c r="D99" s="41" t="inlineStr">
        <is>
          <t>1330</t>
        </is>
      </c>
      <c r="E99" s="41" t="inlineStr">
        <is>
          <t>0000</t>
        </is>
      </c>
      <c r="F99" s="42" t="inlineStr">
        <is>
          <t>서초동삼성쉐르빌2</t>
        </is>
      </c>
      <c r="G99" s="41" t="inlineStr">
        <is>
          <t>35.2200</t>
        </is>
      </c>
      <c r="H99" s="41" t="inlineStr">
        <is>
          <t>202402</t>
        </is>
      </c>
      <c r="I99" s="41" t="inlineStr">
        <is>
          <t>08</t>
        </is>
      </c>
      <c r="J99" s="41" t="inlineStr">
        <is>
          <t>31,900</t>
        </is>
      </c>
      <c r="K99" s="41" t="inlineStr">
        <is>
          <t>-</t>
        </is>
      </c>
      <c r="L99" s="41" t="inlineStr">
        <is>
          <t>7</t>
        </is>
      </c>
      <c r="M99" s="42" t="inlineStr">
        <is>
          <t>개인</t>
        </is>
      </c>
      <c r="N99" s="42" t="inlineStr">
        <is>
          <t>개인</t>
        </is>
      </c>
      <c r="O99" s="41" t="inlineStr">
        <is>
          <t>2002</t>
        </is>
      </c>
      <c r="P99" s="42" t="inlineStr">
        <is>
          <t>강남대로53길 11</t>
        </is>
      </c>
      <c r="Q99" s="41" t="inlineStr">
        <is>
          <t>-</t>
        </is>
      </c>
      <c r="R99" s="42" t="inlineStr">
        <is>
          <t>중개거래</t>
        </is>
      </c>
      <c r="S99" s="42" t="inlineStr">
        <is>
          <t>서울 서초구</t>
        </is>
      </c>
      <c r="T99" s="41" t="inlineStr">
        <is>
          <t>24.03.25</t>
        </is>
      </c>
      <c r="U99" s="42" t="inlineStr">
        <is>
          <t>아파트</t>
        </is>
      </c>
    </row>
    <row r="100" hidden="1" ht="15" customHeight="1">
      <c r="A100" s="41" t="n">
        <v>96</v>
      </c>
      <c r="B100" s="42" t="inlineStr">
        <is>
          <t>서울특별시 서초구 서초동</t>
        </is>
      </c>
      <c r="C100" s="41" t="inlineStr">
        <is>
          <t>1338-1</t>
        </is>
      </c>
      <c r="D100" s="41" t="inlineStr">
        <is>
          <t>1338</t>
        </is>
      </c>
      <c r="E100" s="41" t="inlineStr">
        <is>
          <t>0001</t>
        </is>
      </c>
      <c r="F100" s="42" t="inlineStr">
        <is>
          <t>풍림아이원플러스</t>
        </is>
      </c>
      <c r="G100" s="41" t="inlineStr">
        <is>
          <t>35.9030</t>
        </is>
      </c>
      <c r="H100" s="41" t="inlineStr">
        <is>
          <t>202402</t>
        </is>
      </c>
      <c r="I100" s="41" t="inlineStr">
        <is>
          <t>08</t>
        </is>
      </c>
      <c r="J100" s="41" t="inlineStr">
        <is>
          <t>35,500</t>
        </is>
      </c>
      <c r="K100" s="42" t="inlineStr">
        <is>
          <t>풍림아이원플러스</t>
        </is>
      </c>
      <c r="L100" s="41" t="inlineStr">
        <is>
          <t>8</t>
        </is>
      </c>
      <c r="M100" s="42" t="inlineStr">
        <is>
          <t>개인</t>
        </is>
      </c>
      <c r="N100" s="42" t="inlineStr">
        <is>
          <t>개인</t>
        </is>
      </c>
      <c r="O100" s="41" t="inlineStr">
        <is>
          <t>2004</t>
        </is>
      </c>
      <c r="P100" s="42" t="inlineStr">
        <is>
          <t>효령로77길 14</t>
        </is>
      </c>
      <c r="Q100" s="41" t="inlineStr">
        <is>
          <t>-</t>
        </is>
      </c>
      <c r="R100" s="42" t="inlineStr">
        <is>
          <t>중개거래</t>
        </is>
      </c>
      <c r="S100" s="42" t="inlineStr">
        <is>
          <t>서울 강남구, 서울 서초구</t>
        </is>
      </c>
      <c r="T100" s="41" t="inlineStr">
        <is>
          <t>24.04.05</t>
        </is>
      </c>
      <c r="U100" s="42" t="inlineStr">
        <is>
          <t>아파트</t>
        </is>
      </c>
    </row>
    <row r="101" hidden="1" ht="15" customHeight="1">
      <c r="A101" s="41" t="n">
        <v>97</v>
      </c>
      <c r="B101" s="42" t="inlineStr">
        <is>
          <t>서울특별시 서초구 서초동</t>
        </is>
      </c>
      <c r="C101" s="41" t="inlineStr">
        <is>
          <t>1326</t>
        </is>
      </c>
      <c r="D101" s="41" t="inlineStr">
        <is>
          <t>1326</t>
        </is>
      </c>
      <c r="E101" s="41" t="inlineStr">
        <is>
          <t>0000</t>
        </is>
      </c>
      <c r="F101" s="42" t="inlineStr">
        <is>
          <t>삼성서초가든스위트</t>
        </is>
      </c>
      <c r="G101" s="41" t="inlineStr">
        <is>
          <t>164.3600</t>
        </is>
      </c>
      <c r="H101" s="41" t="inlineStr">
        <is>
          <t>202402</t>
        </is>
      </c>
      <c r="I101" s="41" t="inlineStr">
        <is>
          <t>07</t>
        </is>
      </c>
      <c r="J101" s="41" t="inlineStr">
        <is>
          <t>285,000</t>
        </is>
      </c>
      <c r="K101" s="41" t="inlineStr">
        <is>
          <t>2</t>
        </is>
      </c>
      <c r="L101" s="41" t="inlineStr">
        <is>
          <t>2</t>
        </is>
      </c>
      <c r="M101" s="42" t="inlineStr">
        <is>
          <t>개인</t>
        </is>
      </c>
      <c r="N101" s="42" t="inlineStr">
        <is>
          <t>개인</t>
        </is>
      </c>
      <c r="O101" s="41" t="inlineStr">
        <is>
          <t>2000</t>
        </is>
      </c>
      <c r="P101" s="42" t="inlineStr">
        <is>
          <t>서운로 122</t>
        </is>
      </c>
      <c r="Q101" s="41" t="inlineStr">
        <is>
          <t>-</t>
        </is>
      </c>
      <c r="R101" s="42" t="inlineStr">
        <is>
          <t>중개거래</t>
        </is>
      </c>
      <c r="S101" s="42" t="inlineStr">
        <is>
          <t>서울 서초구</t>
        </is>
      </c>
      <c r="T101" s="41" t="inlineStr">
        <is>
          <t>24.04.29</t>
        </is>
      </c>
      <c r="U101" s="42" t="inlineStr">
        <is>
          <t>아파트</t>
        </is>
      </c>
    </row>
    <row r="102" hidden="1" ht="15" customHeight="1">
      <c r="A102" s="41" t="n">
        <v>98</v>
      </c>
      <c r="B102" s="42" t="inlineStr">
        <is>
          <t>서울특별시 서초구 서초동</t>
        </is>
      </c>
      <c r="C102" s="41" t="inlineStr">
        <is>
          <t>1671-5</t>
        </is>
      </c>
      <c r="D102" s="41" t="inlineStr">
        <is>
          <t>1671</t>
        </is>
      </c>
      <c r="E102" s="41" t="inlineStr">
        <is>
          <t>0005</t>
        </is>
      </c>
      <c r="F102" s="42" t="inlineStr">
        <is>
          <t>대림서초리시온</t>
        </is>
      </c>
      <c r="G102" s="41" t="inlineStr">
        <is>
          <t>78.5800</t>
        </is>
      </c>
      <c r="H102" s="41" t="inlineStr">
        <is>
          <t>202402</t>
        </is>
      </c>
      <c r="I102" s="41" t="inlineStr">
        <is>
          <t>07</t>
        </is>
      </c>
      <c r="J102" s="41" t="inlineStr">
        <is>
          <t>83,900</t>
        </is>
      </c>
      <c r="K102" s="41" t="inlineStr">
        <is>
          <t>-</t>
        </is>
      </c>
      <c r="L102" s="41" t="inlineStr">
        <is>
          <t>13</t>
        </is>
      </c>
      <c r="M102" s="42" t="inlineStr">
        <is>
          <t>개인</t>
        </is>
      </c>
      <c r="N102" s="42" t="inlineStr">
        <is>
          <t>법인</t>
        </is>
      </c>
      <c r="O102" s="41" t="inlineStr">
        <is>
          <t>2003</t>
        </is>
      </c>
      <c r="P102" s="42" t="inlineStr">
        <is>
          <t>서초중앙로22길 25</t>
        </is>
      </c>
      <c r="Q102" s="41" t="inlineStr">
        <is>
          <t>-</t>
        </is>
      </c>
      <c r="R102" s="42" t="inlineStr">
        <is>
          <t>직거래</t>
        </is>
      </c>
      <c r="S102" s="41" t="inlineStr">
        <is>
          <t>-</t>
        </is>
      </c>
      <c r="T102" s="41" t="inlineStr">
        <is>
          <t>24.02.07</t>
        </is>
      </c>
      <c r="U102" s="42" t="inlineStr">
        <is>
          <t>아파트</t>
        </is>
      </c>
    </row>
    <row r="103" hidden="1" ht="15" customHeight="1">
      <c r="A103" s="41" t="n">
        <v>99</v>
      </c>
      <c r="B103" s="42" t="inlineStr">
        <is>
          <t>서울특별시 서초구 서초동</t>
        </is>
      </c>
      <c r="C103" s="41" t="inlineStr">
        <is>
          <t>1311-10</t>
        </is>
      </c>
      <c r="D103" s="41" t="inlineStr">
        <is>
          <t>1311</t>
        </is>
      </c>
      <c r="E103" s="41" t="inlineStr">
        <is>
          <t>0010</t>
        </is>
      </c>
      <c r="F103" s="42" t="inlineStr">
        <is>
          <t>서초푸르지오써밋</t>
        </is>
      </c>
      <c r="G103" s="41" t="inlineStr">
        <is>
          <t>59.6200</t>
        </is>
      </c>
      <c r="H103" s="41" t="inlineStr">
        <is>
          <t>202402</t>
        </is>
      </c>
      <c r="I103" s="41" t="inlineStr">
        <is>
          <t>07</t>
        </is>
      </c>
      <c r="J103" s="41" t="inlineStr">
        <is>
          <t>212,000</t>
        </is>
      </c>
      <c r="K103" s="41" t="inlineStr">
        <is>
          <t>102</t>
        </is>
      </c>
      <c r="L103" s="41" t="inlineStr">
        <is>
          <t>22</t>
        </is>
      </c>
      <c r="M103" s="42" t="inlineStr">
        <is>
          <t>개인</t>
        </is>
      </c>
      <c r="N103" s="42" t="inlineStr">
        <is>
          <t>개인</t>
        </is>
      </c>
      <c r="O103" s="41" t="inlineStr">
        <is>
          <t>2017</t>
        </is>
      </c>
      <c r="P103" s="42" t="inlineStr">
        <is>
          <t>서운로 201</t>
        </is>
      </c>
      <c r="Q103" s="41" t="inlineStr">
        <is>
          <t>-</t>
        </is>
      </c>
      <c r="R103" s="42" t="inlineStr">
        <is>
          <t>중개거래</t>
        </is>
      </c>
      <c r="S103" s="42" t="inlineStr">
        <is>
          <t>서울 서초구</t>
        </is>
      </c>
      <c r="T103" s="41" t="inlineStr">
        <is>
          <t>24.03.21</t>
        </is>
      </c>
      <c r="U103" s="42" t="inlineStr">
        <is>
          <t>아파트</t>
        </is>
      </c>
    </row>
    <row r="104" hidden="1" ht="15" customHeight="1">
      <c r="A104" s="41" t="n">
        <v>100</v>
      </c>
      <c r="B104" s="42" t="inlineStr">
        <is>
          <t>서울특별시 서초구 서초동</t>
        </is>
      </c>
      <c r="C104" s="41" t="inlineStr">
        <is>
          <t>1641-3</t>
        </is>
      </c>
      <c r="D104" s="41" t="inlineStr">
        <is>
          <t>1641</t>
        </is>
      </c>
      <c r="E104" s="41" t="inlineStr">
        <is>
          <t>0003</t>
        </is>
      </c>
      <c r="F104" s="42" t="inlineStr">
        <is>
          <t>대성유니드</t>
        </is>
      </c>
      <c r="G104" s="41" t="inlineStr">
        <is>
          <t>84.9910</t>
        </is>
      </c>
      <c r="H104" s="41" t="inlineStr">
        <is>
          <t>202402</t>
        </is>
      </c>
      <c r="I104" s="41" t="inlineStr">
        <is>
          <t>06</t>
        </is>
      </c>
      <c r="J104" s="41" t="inlineStr">
        <is>
          <t>126,000</t>
        </is>
      </c>
      <c r="K104" s="41" t="inlineStr">
        <is>
          <t>101</t>
        </is>
      </c>
      <c r="L104" s="41" t="inlineStr">
        <is>
          <t>10</t>
        </is>
      </c>
      <c r="M104" s="42" t="inlineStr">
        <is>
          <t>개인</t>
        </is>
      </c>
      <c r="N104" s="42" t="inlineStr">
        <is>
          <t>개인</t>
        </is>
      </c>
      <c r="O104" s="41" t="inlineStr">
        <is>
          <t>2004</t>
        </is>
      </c>
      <c r="P104" s="42" t="inlineStr">
        <is>
          <t>서초대로64길 36</t>
        </is>
      </c>
      <c r="Q104" s="41" t="inlineStr">
        <is>
          <t>-</t>
        </is>
      </c>
      <c r="R104" s="42" t="inlineStr">
        <is>
          <t>직거래</t>
        </is>
      </c>
      <c r="S104" s="41" t="inlineStr">
        <is>
          <t>-</t>
        </is>
      </c>
      <c r="T104" s="41" t="inlineStr">
        <is>
          <t>24.02.21</t>
        </is>
      </c>
      <c r="U104" s="42" t="inlineStr">
        <is>
          <t>아파트</t>
        </is>
      </c>
    </row>
    <row r="105" hidden="1" ht="15" customHeight="1">
      <c r="A105" s="41" t="n">
        <v>101</v>
      </c>
      <c r="B105" s="42" t="inlineStr">
        <is>
          <t>서울특별시 서초구 서초동</t>
        </is>
      </c>
      <c r="C105" s="41" t="inlineStr">
        <is>
          <t>1363-25</t>
        </is>
      </c>
      <c r="D105" s="41" t="inlineStr">
        <is>
          <t>1363</t>
        </is>
      </c>
      <c r="E105" s="41" t="inlineStr">
        <is>
          <t>0025</t>
        </is>
      </c>
      <c r="F105" s="42" t="inlineStr">
        <is>
          <t>한라비발디스튜디오193</t>
        </is>
      </c>
      <c r="G105" s="41" t="inlineStr">
        <is>
          <t>19.9900</t>
        </is>
      </c>
      <c r="H105" s="41" t="inlineStr">
        <is>
          <t>202402</t>
        </is>
      </c>
      <c r="I105" s="41" t="inlineStr">
        <is>
          <t>06</t>
        </is>
      </c>
      <c r="J105" s="41" t="inlineStr">
        <is>
          <t>25,000</t>
        </is>
      </c>
      <c r="K105" s="42" t="inlineStr">
        <is>
          <t>한라비발디스튜디오193</t>
        </is>
      </c>
      <c r="L105" s="41" t="inlineStr">
        <is>
          <t>9</t>
        </is>
      </c>
      <c r="M105" s="42" t="inlineStr">
        <is>
          <t>개인</t>
        </is>
      </c>
      <c r="N105" s="42" t="inlineStr">
        <is>
          <t>개인</t>
        </is>
      </c>
      <c r="O105" s="41" t="inlineStr">
        <is>
          <t>2013</t>
        </is>
      </c>
      <c r="P105" s="42" t="inlineStr">
        <is>
          <t>강남대로39길 15-10</t>
        </is>
      </c>
      <c r="Q105" s="41" t="inlineStr">
        <is>
          <t>-</t>
        </is>
      </c>
      <c r="R105" s="42" t="inlineStr">
        <is>
          <t>중개거래</t>
        </is>
      </c>
      <c r="S105" s="42" t="inlineStr">
        <is>
          <t>서울 서초구</t>
        </is>
      </c>
      <c r="T105" s="41" t="inlineStr">
        <is>
          <t>24.02.29</t>
        </is>
      </c>
      <c r="U105" s="42" t="inlineStr">
        <is>
          <t>아파트</t>
        </is>
      </c>
    </row>
    <row r="106" hidden="1" ht="15" customHeight="1">
      <c r="A106" s="41" t="n">
        <v>102</v>
      </c>
      <c r="B106" s="42" t="inlineStr">
        <is>
          <t>서울특별시 서초구 서초동</t>
        </is>
      </c>
      <c r="C106" s="41" t="inlineStr">
        <is>
          <t>1755</t>
        </is>
      </c>
      <c r="D106" s="41" t="inlineStr">
        <is>
          <t>1755</t>
        </is>
      </c>
      <c r="E106" s="41" t="inlineStr">
        <is>
          <t>0000</t>
        </is>
      </c>
      <c r="F106" s="42" t="inlineStr">
        <is>
          <t>래미안 리더스원</t>
        </is>
      </c>
      <c r="G106" s="41" t="inlineStr">
        <is>
          <t>84.9400</t>
        </is>
      </c>
      <c r="H106" s="41" t="inlineStr">
        <is>
          <t>202402</t>
        </is>
      </c>
      <c r="I106" s="41" t="inlineStr">
        <is>
          <t>05</t>
        </is>
      </c>
      <c r="J106" s="41" t="inlineStr">
        <is>
          <t>273,000</t>
        </is>
      </c>
      <c r="K106" s="41" t="inlineStr">
        <is>
          <t>103동</t>
        </is>
      </c>
      <c r="L106" s="41" t="inlineStr">
        <is>
          <t>6</t>
        </is>
      </c>
      <c r="M106" s="42" t="inlineStr">
        <is>
          <t>개인</t>
        </is>
      </c>
      <c r="N106" s="42" t="inlineStr">
        <is>
          <t>개인</t>
        </is>
      </c>
      <c r="O106" s="41" t="inlineStr">
        <is>
          <t>2020</t>
        </is>
      </c>
      <c r="P106" s="42" t="inlineStr">
        <is>
          <t>서운로 62</t>
        </is>
      </c>
      <c r="Q106" s="41" t="inlineStr">
        <is>
          <t>-</t>
        </is>
      </c>
      <c r="R106" s="42" t="inlineStr">
        <is>
          <t>중개거래</t>
        </is>
      </c>
      <c r="S106" s="42" t="inlineStr">
        <is>
          <t>서울 서초구</t>
        </is>
      </c>
      <c r="T106" s="41" t="inlineStr">
        <is>
          <t>24.02.29</t>
        </is>
      </c>
      <c r="U106" s="42" t="inlineStr">
        <is>
          <t>아파트</t>
        </is>
      </c>
    </row>
    <row r="107" hidden="1" ht="15" customHeight="1">
      <c r="A107" s="41" t="n">
        <v>103</v>
      </c>
      <c r="B107" s="42" t="inlineStr">
        <is>
          <t>서울특별시 서초구 서초동</t>
        </is>
      </c>
      <c r="C107" s="41" t="inlineStr">
        <is>
          <t>1451-89</t>
        </is>
      </c>
      <c r="D107" s="41" t="inlineStr">
        <is>
          <t>1451</t>
        </is>
      </c>
      <c r="E107" s="41" t="inlineStr">
        <is>
          <t>0089</t>
        </is>
      </c>
      <c r="F107" s="42" t="inlineStr">
        <is>
          <t>서초중흥S-클래스(도시형생활주택)</t>
        </is>
      </c>
      <c r="G107" s="41" t="inlineStr">
        <is>
          <t>20.5500</t>
        </is>
      </c>
      <c r="H107" s="41" t="inlineStr">
        <is>
          <t>202402</t>
        </is>
      </c>
      <c r="I107" s="41" t="inlineStr">
        <is>
          <t>03</t>
        </is>
      </c>
      <c r="J107" s="41" t="inlineStr">
        <is>
          <t>19,000</t>
        </is>
      </c>
      <c r="K107" s="41" t="inlineStr">
        <is>
          <t>1</t>
        </is>
      </c>
      <c r="L107" s="41" t="inlineStr">
        <is>
          <t>2</t>
        </is>
      </c>
      <c r="M107" s="42" t="inlineStr">
        <is>
          <t>개인</t>
        </is>
      </c>
      <c r="N107" s="42" t="inlineStr">
        <is>
          <t>개인</t>
        </is>
      </c>
      <c r="O107" s="41" t="inlineStr">
        <is>
          <t>2013</t>
        </is>
      </c>
      <c r="P107" s="42" t="inlineStr">
        <is>
          <t>효령로52길 63</t>
        </is>
      </c>
      <c r="Q107" s="41" t="inlineStr">
        <is>
          <t>-</t>
        </is>
      </c>
      <c r="R107" s="42" t="inlineStr">
        <is>
          <t>중개거래</t>
        </is>
      </c>
      <c r="S107" s="42" t="inlineStr">
        <is>
          <t>서울 서초구</t>
        </is>
      </c>
      <c r="T107" s="41" t="inlineStr">
        <is>
          <t>24.04.26</t>
        </is>
      </c>
      <c r="U107" s="42" t="inlineStr">
        <is>
          <t>아파트</t>
        </is>
      </c>
    </row>
    <row r="108" hidden="1" ht="15" customHeight="1">
      <c r="A108" s="41" t="n">
        <v>104</v>
      </c>
      <c r="B108" s="42" t="inlineStr">
        <is>
          <t>서울특별시 서초구 서초동</t>
        </is>
      </c>
      <c r="C108" s="41" t="inlineStr">
        <is>
          <t>1685</t>
        </is>
      </c>
      <c r="D108" s="41" t="inlineStr">
        <is>
          <t>1685</t>
        </is>
      </c>
      <c r="E108" s="41" t="inlineStr">
        <is>
          <t>0000</t>
        </is>
      </c>
      <c r="F108" s="42" t="inlineStr">
        <is>
          <t>삼풍아파트</t>
        </is>
      </c>
      <c r="G108" s="41" t="inlineStr">
        <is>
          <t>165.9200</t>
        </is>
      </c>
      <c r="H108" s="41" t="inlineStr">
        <is>
          <t>202402</t>
        </is>
      </c>
      <c r="I108" s="41" t="inlineStr">
        <is>
          <t>03</t>
        </is>
      </c>
      <c r="J108" s="41" t="inlineStr">
        <is>
          <t>398,000</t>
        </is>
      </c>
      <c r="K108" s="41" t="inlineStr">
        <is>
          <t>15</t>
        </is>
      </c>
      <c r="L108" s="41" t="inlineStr">
        <is>
          <t>9</t>
        </is>
      </c>
      <c r="M108" s="42" t="inlineStr">
        <is>
          <t>개인</t>
        </is>
      </c>
      <c r="N108" s="42" t="inlineStr">
        <is>
          <t>개인</t>
        </is>
      </c>
      <c r="O108" s="41" t="inlineStr">
        <is>
          <t>1988</t>
        </is>
      </c>
      <c r="P108" s="42" t="inlineStr">
        <is>
          <t>서초중앙로 200</t>
        </is>
      </c>
      <c r="Q108" s="41" t="inlineStr">
        <is>
          <t>-</t>
        </is>
      </c>
      <c r="R108" s="42" t="inlineStr">
        <is>
          <t>중개거래</t>
        </is>
      </c>
      <c r="S108" s="42" t="inlineStr">
        <is>
          <t>서울 서초구</t>
        </is>
      </c>
      <c r="T108" s="41" t="inlineStr">
        <is>
          <t>24.04.17</t>
        </is>
      </c>
      <c r="U108" s="42" t="inlineStr">
        <is>
          <t>아파트</t>
        </is>
      </c>
    </row>
    <row r="109" hidden="1" ht="15" customHeight="1">
      <c r="A109" s="41" t="n">
        <v>105</v>
      </c>
      <c r="B109" s="42" t="inlineStr">
        <is>
          <t>서울특별시 서초구 서초동</t>
        </is>
      </c>
      <c r="C109" s="41" t="inlineStr">
        <is>
          <t>1754</t>
        </is>
      </c>
      <c r="D109" s="41" t="inlineStr">
        <is>
          <t>1754</t>
        </is>
      </c>
      <c r="E109" s="41" t="inlineStr">
        <is>
          <t>0000</t>
        </is>
      </c>
      <c r="F109" s="42" t="inlineStr">
        <is>
          <t>래미안서초에스티지S</t>
        </is>
      </c>
      <c r="G109" s="41" t="inlineStr">
        <is>
          <t>84.1700</t>
        </is>
      </c>
      <c r="H109" s="41" t="inlineStr">
        <is>
          <t>202402</t>
        </is>
      </c>
      <c r="I109" s="41" t="inlineStr">
        <is>
          <t>02</t>
        </is>
      </c>
      <c r="J109" s="41" t="inlineStr">
        <is>
          <t>250,000</t>
        </is>
      </c>
      <c r="K109" s="41" t="inlineStr">
        <is>
          <t>202</t>
        </is>
      </c>
      <c r="L109" s="41" t="inlineStr">
        <is>
          <t>9</t>
        </is>
      </c>
      <c r="M109" s="42" t="inlineStr">
        <is>
          <t>개인</t>
        </is>
      </c>
      <c r="N109" s="42" t="inlineStr">
        <is>
          <t>개인</t>
        </is>
      </c>
      <c r="O109" s="41" t="inlineStr">
        <is>
          <t>2018</t>
        </is>
      </c>
      <c r="P109" s="42" t="inlineStr">
        <is>
          <t>서운로 104</t>
        </is>
      </c>
      <c r="Q109" s="41" t="inlineStr">
        <is>
          <t>-</t>
        </is>
      </c>
      <c r="R109" s="42" t="inlineStr">
        <is>
          <t>중개거래</t>
        </is>
      </c>
      <c r="S109" s="42" t="inlineStr">
        <is>
          <t>서울 서초구</t>
        </is>
      </c>
      <c r="T109" s="41" t="inlineStr">
        <is>
          <t>24.02.16</t>
        </is>
      </c>
      <c r="U109" s="42" t="inlineStr">
        <is>
          <t>아파트</t>
        </is>
      </c>
    </row>
    <row r="110" hidden="1" ht="15" customHeight="1">
      <c r="A110" s="41" t="n">
        <v>106</v>
      </c>
      <c r="B110" s="42" t="inlineStr">
        <is>
          <t>서울특별시 서초구 서초동</t>
        </is>
      </c>
      <c r="C110" s="41" t="inlineStr">
        <is>
          <t>1671-5</t>
        </is>
      </c>
      <c r="D110" s="41" t="inlineStr">
        <is>
          <t>1671</t>
        </is>
      </c>
      <c r="E110" s="41" t="inlineStr">
        <is>
          <t>0005</t>
        </is>
      </c>
      <c r="F110" s="42" t="inlineStr">
        <is>
          <t>대림서초리시온</t>
        </is>
      </c>
      <c r="G110" s="41" t="inlineStr">
        <is>
          <t>40.2600</t>
        </is>
      </c>
      <c r="H110" s="41" t="inlineStr">
        <is>
          <t>202402</t>
        </is>
      </c>
      <c r="I110" s="41" t="inlineStr">
        <is>
          <t>02</t>
        </is>
      </c>
      <c r="J110" s="41" t="inlineStr">
        <is>
          <t>41,000</t>
        </is>
      </c>
      <c r="K110" s="41" t="inlineStr">
        <is>
          <t>-</t>
        </is>
      </c>
      <c r="L110" s="41" t="inlineStr">
        <is>
          <t>10</t>
        </is>
      </c>
      <c r="M110" s="42" t="inlineStr">
        <is>
          <t>개인</t>
        </is>
      </c>
      <c r="N110" s="42" t="inlineStr">
        <is>
          <t>개인</t>
        </is>
      </c>
      <c r="O110" s="41" t="inlineStr">
        <is>
          <t>2003</t>
        </is>
      </c>
      <c r="P110" s="42" t="inlineStr">
        <is>
          <t>서초중앙로22길 25</t>
        </is>
      </c>
      <c r="Q110" s="41" t="inlineStr">
        <is>
          <t>-</t>
        </is>
      </c>
      <c r="R110" s="42" t="inlineStr">
        <is>
          <t>중개거래</t>
        </is>
      </c>
      <c r="S110" s="42" t="inlineStr">
        <is>
          <t>서울 서초구</t>
        </is>
      </c>
      <c r="T110" s="41" t="inlineStr">
        <is>
          <t>24.02.05</t>
        </is>
      </c>
      <c r="U110" s="42" t="inlineStr">
        <is>
          <t>아파트</t>
        </is>
      </c>
    </row>
    <row r="111" hidden="1" ht="15" customHeight="1">
      <c r="A111" s="41" t="n">
        <v>107</v>
      </c>
      <c r="B111" s="42" t="inlineStr">
        <is>
          <t>서울특별시 서초구 서초동</t>
        </is>
      </c>
      <c r="C111" s="41" t="inlineStr">
        <is>
          <t>1682</t>
        </is>
      </c>
      <c r="D111" s="41" t="inlineStr">
        <is>
          <t>1682</t>
        </is>
      </c>
      <c r="E111" s="41" t="inlineStr">
        <is>
          <t>0000</t>
        </is>
      </c>
      <c r="F111" s="42" t="inlineStr">
        <is>
          <t>서초래미안</t>
        </is>
      </c>
      <c r="G111" s="41" t="inlineStr">
        <is>
          <t>111.3200</t>
        </is>
      </c>
      <c r="H111" s="41" t="inlineStr">
        <is>
          <t>202402</t>
        </is>
      </c>
      <c r="I111" s="41" t="inlineStr">
        <is>
          <t>02</t>
        </is>
      </c>
      <c r="J111" s="41" t="inlineStr">
        <is>
          <t>250,000</t>
        </is>
      </c>
      <c r="K111" s="41" t="inlineStr">
        <is>
          <t>106</t>
        </is>
      </c>
      <c r="L111" s="41" t="inlineStr">
        <is>
          <t>20</t>
        </is>
      </c>
      <c r="M111" s="42" t="inlineStr">
        <is>
          <t>개인</t>
        </is>
      </c>
      <c r="N111" s="42" t="inlineStr">
        <is>
          <t>개인</t>
        </is>
      </c>
      <c r="O111" s="41" t="inlineStr">
        <is>
          <t>2003</t>
        </is>
      </c>
      <c r="P111" s="42" t="inlineStr">
        <is>
          <t>서초대로65길 13-10</t>
        </is>
      </c>
      <c r="Q111" s="41" t="inlineStr">
        <is>
          <t>-</t>
        </is>
      </c>
      <c r="R111" s="42" t="inlineStr">
        <is>
          <t>중개거래</t>
        </is>
      </c>
      <c r="S111" s="42" t="inlineStr">
        <is>
          <t>서울 서초구</t>
        </is>
      </c>
      <c r="T111" s="41" t="inlineStr">
        <is>
          <t>24.04.17</t>
        </is>
      </c>
      <c r="U111" s="42" t="inlineStr">
        <is>
          <t>아파트</t>
        </is>
      </c>
    </row>
    <row r="112" hidden="1" ht="15" customHeight="1">
      <c r="A112" s="41" t="n">
        <v>108</v>
      </c>
      <c r="B112" s="42" t="inlineStr">
        <is>
          <t>서울특별시 서초구 서초동</t>
        </is>
      </c>
      <c r="C112" s="41" t="inlineStr">
        <is>
          <t>1685</t>
        </is>
      </c>
      <c r="D112" s="41" t="inlineStr">
        <is>
          <t>1685</t>
        </is>
      </c>
      <c r="E112" s="41" t="inlineStr">
        <is>
          <t>0000</t>
        </is>
      </c>
      <c r="F112" s="42" t="inlineStr">
        <is>
          <t>삼풍아파트</t>
        </is>
      </c>
      <c r="G112" s="41" t="inlineStr">
        <is>
          <t>79.4700</t>
        </is>
      </c>
      <c r="H112" s="41" t="inlineStr">
        <is>
          <t>202402</t>
        </is>
      </c>
      <c r="I112" s="41" t="inlineStr">
        <is>
          <t>02</t>
        </is>
      </c>
      <c r="J112" s="41" t="inlineStr">
        <is>
          <t>237,000</t>
        </is>
      </c>
      <c r="K112" s="41" t="inlineStr">
        <is>
          <t>7</t>
        </is>
      </c>
      <c r="L112" s="41" t="inlineStr">
        <is>
          <t>14</t>
        </is>
      </c>
      <c r="M112" s="42" t="inlineStr">
        <is>
          <t>개인</t>
        </is>
      </c>
      <c r="N112" s="42" t="inlineStr">
        <is>
          <t>개인</t>
        </is>
      </c>
      <c r="O112" s="41" t="inlineStr">
        <is>
          <t>1988</t>
        </is>
      </c>
      <c r="P112" s="42" t="inlineStr">
        <is>
          <t>서초중앙로 200</t>
        </is>
      </c>
      <c r="Q112" s="41" t="inlineStr">
        <is>
          <t>-</t>
        </is>
      </c>
      <c r="R112" s="42" t="inlineStr">
        <is>
          <t>중개거래</t>
        </is>
      </c>
      <c r="S112" s="42" t="inlineStr">
        <is>
          <t>서울 동작구, 서울 서초구</t>
        </is>
      </c>
      <c r="T112" s="41" t="inlineStr">
        <is>
          <t>24.03.18</t>
        </is>
      </c>
      <c r="U112" s="42" t="inlineStr">
        <is>
          <t>아파트</t>
        </is>
      </c>
    </row>
    <row r="113" hidden="1" ht="15" customHeight="1">
      <c r="A113" s="41" t="n">
        <v>109</v>
      </c>
      <c r="B113" s="42" t="inlineStr">
        <is>
          <t>서울특별시 서초구 서초동</t>
        </is>
      </c>
      <c r="C113" s="41" t="inlineStr">
        <is>
          <t>1671-5</t>
        </is>
      </c>
      <c r="D113" s="41" t="inlineStr">
        <is>
          <t>1671</t>
        </is>
      </c>
      <c r="E113" s="41" t="inlineStr">
        <is>
          <t>0005</t>
        </is>
      </c>
      <c r="F113" s="42" t="inlineStr">
        <is>
          <t>대림서초리시온</t>
        </is>
      </c>
      <c r="G113" s="41" t="inlineStr">
        <is>
          <t>45.7200</t>
        </is>
      </c>
      <c r="H113" s="41" t="inlineStr">
        <is>
          <t>202402</t>
        </is>
      </c>
      <c r="I113" s="41" t="inlineStr">
        <is>
          <t>01</t>
        </is>
      </c>
      <c r="J113" s="41" t="inlineStr">
        <is>
          <t>48,400</t>
        </is>
      </c>
      <c r="K113" s="41" t="inlineStr">
        <is>
          <t>-</t>
        </is>
      </c>
      <c r="L113" s="41" t="inlineStr">
        <is>
          <t>9</t>
        </is>
      </c>
      <c r="M113" s="42" t="inlineStr">
        <is>
          <t>개인</t>
        </is>
      </c>
      <c r="N113" s="42" t="inlineStr">
        <is>
          <t>개인</t>
        </is>
      </c>
      <c r="O113" s="41" t="inlineStr">
        <is>
          <t>2003</t>
        </is>
      </c>
      <c r="P113" s="42" t="inlineStr">
        <is>
          <t>서초중앙로22길 25</t>
        </is>
      </c>
      <c r="Q113" s="41" t="inlineStr">
        <is>
          <t>-</t>
        </is>
      </c>
      <c r="R113" s="42" t="inlineStr">
        <is>
          <t>중개거래</t>
        </is>
      </c>
      <c r="S113" s="42" t="inlineStr">
        <is>
          <t>서울 서초구</t>
        </is>
      </c>
      <c r="T113" s="41" t="inlineStr">
        <is>
          <t>24.03.04</t>
        </is>
      </c>
      <c r="U113" s="42" t="inlineStr">
        <is>
          <t>아파트</t>
        </is>
      </c>
    </row>
    <row r="114" hidden="1" ht="15" customHeight="1">
      <c r="A114" s="41" t="n">
        <v>110</v>
      </c>
      <c r="B114" s="42" t="inlineStr">
        <is>
          <t>서울특별시 서초구 서초동</t>
        </is>
      </c>
      <c r="C114" s="41" t="inlineStr">
        <is>
          <t>1675-10</t>
        </is>
      </c>
      <c r="D114" s="41" t="inlineStr">
        <is>
          <t>1675</t>
        </is>
      </c>
      <c r="E114" s="41" t="inlineStr">
        <is>
          <t>0010</t>
        </is>
      </c>
      <c r="F114" s="42" t="inlineStr">
        <is>
          <t>지에스타워</t>
        </is>
      </c>
      <c r="G114" s="41" t="inlineStr">
        <is>
          <t>26.0500</t>
        </is>
      </c>
      <c r="H114" s="41" t="inlineStr">
        <is>
          <t>202401</t>
        </is>
      </c>
      <c r="I114" s="41" t="inlineStr">
        <is>
          <t>31</t>
        </is>
      </c>
      <c r="J114" s="41" t="inlineStr">
        <is>
          <t>45,000</t>
        </is>
      </c>
      <c r="K114" s="42" t="inlineStr">
        <is>
          <t>주건축물제1동</t>
        </is>
      </c>
      <c r="L114" s="41" t="inlineStr">
        <is>
          <t>9</t>
        </is>
      </c>
      <c r="M114" s="42" t="inlineStr">
        <is>
          <t>개인</t>
        </is>
      </c>
      <c r="N114" s="42" t="inlineStr">
        <is>
          <t>개인</t>
        </is>
      </c>
      <c r="O114" s="41" t="inlineStr">
        <is>
          <t>2022</t>
        </is>
      </c>
      <c r="P114" s="42" t="inlineStr">
        <is>
          <t>서초대로58길 18</t>
        </is>
      </c>
      <c r="Q114" s="41" t="inlineStr">
        <is>
          <t>-</t>
        </is>
      </c>
      <c r="R114" s="42" t="inlineStr">
        <is>
          <t>중개거래</t>
        </is>
      </c>
      <c r="S114" s="42" t="inlineStr">
        <is>
          <t>서울 관악구, 서울 서초구</t>
        </is>
      </c>
      <c r="T114" s="41" t="inlineStr">
        <is>
          <t>24.03.18</t>
        </is>
      </c>
      <c r="U114" s="42" t="inlineStr">
        <is>
          <t>아파트</t>
        </is>
      </c>
    </row>
    <row r="115" hidden="1" ht="15" customHeight="1">
      <c r="A115" s="41" t="n">
        <v>111</v>
      </c>
      <c r="B115" s="42" t="inlineStr">
        <is>
          <t>서울특별시 서초구 서초동</t>
        </is>
      </c>
      <c r="C115" s="41" t="inlineStr">
        <is>
          <t>1685</t>
        </is>
      </c>
      <c r="D115" s="41" t="inlineStr">
        <is>
          <t>1685</t>
        </is>
      </c>
      <c r="E115" s="41" t="inlineStr">
        <is>
          <t>0000</t>
        </is>
      </c>
      <c r="F115" s="42" t="inlineStr">
        <is>
          <t>삼풍아파트</t>
        </is>
      </c>
      <c r="G115" s="41" t="inlineStr">
        <is>
          <t>79.4700</t>
        </is>
      </c>
      <c r="H115" s="41" t="inlineStr">
        <is>
          <t>202401</t>
        </is>
      </c>
      <c r="I115" s="41" t="inlineStr">
        <is>
          <t>30</t>
        </is>
      </c>
      <c r="J115" s="41" t="inlineStr">
        <is>
          <t>240,000</t>
        </is>
      </c>
      <c r="K115" s="41" t="inlineStr">
        <is>
          <t>5</t>
        </is>
      </c>
      <c r="L115" s="41" t="inlineStr">
        <is>
          <t>13</t>
        </is>
      </c>
      <c r="M115" s="42" t="inlineStr">
        <is>
          <t>개인</t>
        </is>
      </c>
      <c r="N115" s="42" t="inlineStr">
        <is>
          <t>개인</t>
        </is>
      </c>
      <c r="O115" s="41" t="inlineStr">
        <is>
          <t>1988</t>
        </is>
      </c>
      <c r="P115" s="42" t="inlineStr">
        <is>
          <t>서초중앙로 200</t>
        </is>
      </c>
      <c r="Q115" s="41" t="inlineStr">
        <is>
          <t>-</t>
        </is>
      </c>
      <c r="R115" s="42" t="inlineStr">
        <is>
          <t>중개거래</t>
        </is>
      </c>
      <c r="S115" s="42" t="inlineStr">
        <is>
          <t>서울 서초구</t>
        </is>
      </c>
      <c r="T115" s="41" t="inlineStr">
        <is>
          <t>24.05.20</t>
        </is>
      </c>
      <c r="U115" s="42" t="inlineStr">
        <is>
          <t>아파트</t>
        </is>
      </c>
    </row>
    <row r="116" hidden="1" ht="15" customHeight="1">
      <c r="A116" s="41" t="n">
        <v>112</v>
      </c>
      <c r="B116" s="42" t="inlineStr">
        <is>
          <t>서울특별시 서초구 서초동</t>
        </is>
      </c>
      <c r="C116" s="41" t="inlineStr">
        <is>
          <t>1671-5</t>
        </is>
      </c>
      <c r="D116" s="41" t="inlineStr">
        <is>
          <t>1671</t>
        </is>
      </c>
      <c r="E116" s="41" t="inlineStr">
        <is>
          <t>0005</t>
        </is>
      </c>
      <c r="F116" s="42" t="inlineStr">
        <is>
          <t>대림서초리시온</t>
        </is>
      </c>
      <c r="G116" s="41" t="inlineStr">
        <is>
          <t>33.5400</t>
        </is>
      </c>
      <c r="H116" s="41" t="inlineStr">
        <is>
          <t>202401</t>
        </is>
      </c>
      <c r="I116" s="41" t="inlineStr">
        <is>
          <t>29</t>
        </is>
      </c>
      <c r="J116" s="41" t="inlineStr">
        <is>
          <t>32,300</t>
        </is>
      </c>
      <c r="K116" s="41" t="inlineStr">
        <is>
          <t>-</t>
        </is>
      </c>
      <c r="L116" s="41" t="inlineStr">
        <is>
          <t>11</t>
        </is>
      </c>
      <c r="M116" s="42" t="inlineStr">
        <is>
          <t>개인</t>
        </is>
      </c>
      <c r="N116" s="42" t="inlineStr">
        <is>
          <t>개인</t>
        </is>
      </c>
      <c r="O116" s="41" t="inlineStr">
        <is>
          <t>2003</t>
        </is>
      </c>
      <c r="P116" s="42" t="inlineStr">
        <is>
          <t>서초중앙로22길 25</t>
        </is>
      </c>
      <c r="Q116" s="41" t="inlineStr">
        <is>
          <t>-</t>
        </is>
      </c>
      <c r="R116" s="42" t="inlineStr">
        <is>
          <t>중개거래</t>
        </is>
      </c>
      <c r="S116" s="42" t="inlineStr">
        <is>
          <t>서울 서초구</t>
        </is>
      </c>
      <c r="T116" s="41" t="inlineStr">
        <is>
          <t>24.02.15</t>
        </is>
      </c>
      <c r="U116" s="42" t="inlineStr">
        <is>
          <t>아파트</t>
        </is>
      </c>
    </row>
    <row r="117" hidden="1" ht="15" customHeight="1">
      <c r="A117" s="41" t="n">
        <v>113</v>
      </c>
      <c r="B117" s="42" t="inlineStr">
        <is>
          <t>서울특별시 서초구 서초동</t>
        </is>
      </c>
      <c r="C117" s="41" t="inlineStr">
        <is>
          <t>1620-20</t>
        </is>
      </c>
      <c r="D117" s="41" t="inlineStr">
        <is>
          <t>1620</t>
        </is>
      </c>
      <c r="E117" s="41" t="inlineStr">
        <is>
          <t>0020</t>
        </is>
      </c>
      <c r="F117" s="42" t="inlineStr">
        <is>
          <t>서초동롯데캐슬리버티</t>
        </is>
      </c>
      <c r="G117" s="41" t="inlineStr">
        <is>
          <t>125.7900</t>
        </is>
      </c>
      <c r="H117" s="41" t="inlineStr">
        <is>
          <t>202401</t>
        </is>
      </c>
      <c r="I117" s="41" t="inlineStr">
        <is>
          <t>29</t>
        </is>
      </c>
      <c r="J117" s="41" t="inlineStr">
        <is>
          <t>189,000</t>
        </is>
      </c>
      <c r="K117" s="41" t="inlineStr">
        <is>
          <t>101</t>
        </is>
      </c>
      <c r="L117" s="41" t="inlineStr">
        <is>
          <t>4</t>
        </is>
      </c>
      <c r="M117" s="42" t="inlineStr">
        <is>
          <t>개인</t>
        </is>
      </c>
      <c r="N117" s="42" t="inlineStr">
        <is>
          <t>개인</t>
        </is>
      </c>
      <c r="O117" s="41" t="inlineStr">
        <is>
          <t>2005</t>
        </is>
      </c>
      <c r="P117" s="42" t="inlineStr">
        <is>
          <t>사임당로10길 39</t>
        </is>
      </c>
      <c r="Q117" s="41" t="inlineStr">
        <is>
          <t>-</t>
        </is>
      </c>
      <c r="R117" s="42" t="inlineStr">
        <is>
          <t>중개거래</t>
        </is>
      </c>
      <c r="S117" s="42" t="inlineStr">
        <is>
          <t>서울 서초구</t>
        </is>
      </c>
      <c r="T117" s="41" t="inlineStr">
        <is>
          <t>24.02.23</t>
        </is>
      </c>
      <c r="U117" s="42" t="inlineStr">
        <is>
          <t>아파트</t>
        </is>
      </c>
    </row>
    <row r="118" hidden="1" ht="15" customHeight="1">
      <c r="A118" s="41" t="n">
        <v>114</v>
      </c>
      <c r="B118" s="42" t="inlineStr">
        <is>
          <t>서울특별시 서초구 서초동</t>
        </is>
      </c>
      <c r="C118" s="41" t="inlineStr">
        <is>
          <t>1682</t>
        </is>
      </c>
      <c r="D118" s="41" t="inlineStr">
        <is>
          <t>1682</t>
        </is>
      </c>
      <c r="E118" s="41" t="inlineStr">
        <is>
          <t>0000</t>
        </is>
      </c>
      <c r="F118" s="42" t="inlineStr">
        <is>
          <t>서초래미안</t>
        </is>
      </c>
      <c r="G118" s="41" t="inlineStr">
        <is>
          <t>84.9700</t>
        </is>
      </c>
      <c r="H118" s="41" t="inlineStr">
        <is>
          <t>202401</t>
        </is>
      </c>
      <c r="I118" s="41" t="inlineStr">
        <is>
          <t>27</t>
        </is>
      </c>
      <c r="J118" s="41" t="inlineStr">
        <is>
          <t>203,000</t>
        </is>
      </c>
      <c r="K118" s="41" t="inlineStr">
        <is>
          <t>103</t>
        </is>
      </c>
      <c r="L118" s="41" t="inlineStr">
        <is>
          <t>15</t>
        </is>
      </c>
      <c r="M118" s="42" t="inlineStr">
        <is>
          <t>개인</t>
        </is>
      </c>
      <c r="N118" s="42" t="inlineStr">
        <is>
          <t>개인</t>
        </is>
      </c>
      <c r="O118" s="41" t="inlineStr">
        <is>
          <t>2003</t>
        </is>
      </c>
      <c r="P118" s="42" t="inlineStr">
        <is>
          <t>서초대로65길 13-10</t>
        </is>
      </c>
      <c r="Q118" s="41" t="inlineStr">
        <is>
          <t>-</t>
        </is>
      </c>
      <c r="R118" s="42" t="inlineStr">
        <is>
          <t>중개거래</t>
        </is>
      </c>
      <c r="S118" s="42" t="inlineStr">
        <is>
          <t>서울 서초구</t>
        </is>
      </c>
      <c r="T118" s="41" t="inlineStr">
        <is>
          <t>24.05.27</t>
        </is>
      </c>
      <c r="U118" s="42" t="inlineStr">
        <is>
          <t>아파트</t>
        </is>
      </c>
    </row>
    <row r="119" hidden="1" ht="15" customHeight="1">
      <c r="A119" s="41" t="n">
        <v>115</v>
      </c>
      <c r="B119" s="42" t="inlineStr">
        <is>
          <t>서울특별시 서초구 서초동</t>
        </is>
      </c>
      <c r="C119" s="41" t="inlineStr">
        <is>
          <t>1333</t>
        </is>
      </c>
      <c r="D119" s="41" t="inlineStr">
        <is>
          <t>1333</t>
        </is>
      </c>
      <c r="E119" s="41" t="inlineStr">
        <is>
          <t>0000</t>
        </is>
      </c>
      <c r="F119" s="42" t="inlineStr">
        <is>
          <t>신동아아파트(1차)</t>
        </is>
      </c>
      <c r="G119" s="41" t="inlineStr">
        <is>
          <t>101.6000</t>
        </is>
      </c>
      <c r="H119" s="41" t="inlineStr">
        <is>
          <t>202401</t>
        </is>
      </c>
      <c r="I119" s="41" t="inlineStr">
        <is>
          <t>27</t>
        </is>
      </c>
      <c r="J119" s="41" t="inlineStr">
        <is>
          <t>218,000</t>
        </is>
      </c>
      <c r="K119" s="41" t="inlineStr">
        <is>
          <t>3</t>
        </is>
      </c>
      <c r="L119" s="41" t="inlineStr">
        <is>
          <t>7</t>
        </is>
      </c>
      <c r="M119" s="42" t="inlineStr">
        <is>
          <t>개인</t>
        </is>
      </c>
      <c r="N119" s="42" t="inlineStr">
        <is>
          <t>개인</t>
        </is>
      </c>
      <c r="O119" s="41" t="inlineStr">
        <is>
          <t>1978</t>
        </is>
      </c>
      <c r="P119" s="42" t="inlineStr">
        <is>
          <t>사임당로 137</t>
        </is>
      </c>
      <c r="Q119" s="41" t="inlineStr">
        <is>
          <t>-</t>
        </is>
      </c>
      <c r="R119" s="42" t="inlineStr">
        <is>
          <t>중개거래</t>
        </is>
      </c>
      <c r="S119" s="42" t="inlineStr">
        <is>
          <t>서울 서초구</t>
        </is>
      </c>
      <c r="T119" s="41" t="inlineStr">
        <is>
          <t>24.04.15</t>
        </is>
      </c>
      <c r="U119" s="42" t="inlineStr">
        <is>
          <t>아파트</t>
        </is>
      </c>
    </row>
    <row r="120" hidden="1" ht="15" customHeight="1">
      <c r="A120" s="41" t="n">
        <v>116</v>
      </c>
      <c r="B120" s="42" t="inlineStr">
        <is>
          <t>서울특별시 서초구 서초동</t>
        </is>
      </c>
      <c r="C120" s="41" t="inlineStr">
        <is>
          <t>1666-14</t>
        </is>
      </c>
      <c r="D120" s="41" t="inlineStr">
        <is>
          <t>1666</t>
        </is>
      </c>
      <c r="E120" s="41" t="inlineStr">
        <is>
          <t>0014</t>
        </is>
      </c>
      <c r="F120" s="42" t="inlineStr">
        <is>
          <t>서초녹원</t>
        </is>
      </c>
      <c r="G120" s="41" t="inlineStr">
        <is>
          <t>84.9900</t>
        </is>
      </c>
      <c r="H120" s="41" t="inlineStr">
        <is>
          <t>202401</t>
        </is>
      </c>
      <c r="I120" s="41" t="inlineStr">
        <is>
          <t>26</t>
        </is>
      </c>
      <c r="J120" s="41" t="inlineStr">
        <is>
          <t>115,000</t>
        </is>
      </c>
      <c r="K120" s="41" t="inlineStr">
        <is>
          <t>-</t>
        </is>
      </c>
      <c r="L120" s="41" t="inlineStr">
        <is>
          <t>7</t>
        </is>
      </c>
      <c r="M120" s="42" t="inlineStr">
        <is>
          <t>개인</t>
        </is>
      </c>
      <c r="N120" s="42" t="inlineStr">
        <is>
          <t>개인</t>
        </is>
      </c>
      <c r="O120" s="41" t="inlineStr">
        <is>
          <t>1997</t>
        </is>
      </c>
      <c r="P120" s="42" t="inlineStr">
        <is>
          <t>사임당로17길 83</t>
        </is>
      </c>
      <c r="Q120" s="41" t="inlineStr">
        <is>
          <t>-</t>
        </is>
      </c>
      <c r="R120" s="42" t="inlineStr">
        <is>
          <t>중개거래</t>
        </is>
      </c>
      <c r="S120" s="42" t="inlineStr">
        <is>
          <t>서울 서초구</t>
        </is>
      </c>
      <c r="T120" s="41" t="inlineStr">
        <is>
          <t>24.04.24</t>
        </is>
      </c>
      <c r="U120" s="42" t="inlineStr">
        <is>
          <t>아파트</t>
        </is>
      </c>
    </row>
    <row r="121" hidden="1" ht="15" customHeight="1">
      <c r="A121" s="41" t="n">
        <v>117</v>
      </c>
      <c r="B121" s="42" t="inlineStr">
        <is>
          <t>서울특별시 서초구 서초동</t>
        </is>
      </c>
      <c r="C121" s="41" t="inlineStr">
        <is>
          <t>1494-4</t>
        </is>
      </c>
      <c r="D121" s="41" t="inlineStr">
        <is>
          <t>1494</t>
        </is>
      </c>
      <c r="E121" s="41" t="inlineStr">
        <is>
          <t>0004</t>
        </is>
      </c>
      <c r="F121" s="42" t="inlineStr">
        <is>
          <t>더미켈란</t>
        </is>
      </c>
      <c r="G121" s="41" t="inlineStr">
        <is>
          <t>267.3500</t>
        </is>
      </c>
      <c r="H121" s="41" t="inlineStr">
        <is>
          <t>202401</t>
        </is>
      </c>
      <c r="I121" s="41" t="inlineStr">
        <is>
          <t>26</t>
        </is>
      </c>
      <c r="J121" s="41" t="inlineStr">
        <is>
          <t>525,000</t>
        </is>
      </c>
      <c r="K121" s="41" t="inlineStr">
        <is>
          <t>-</t>
        </is>
      </c>
      <c r="L121" s="41" t="inlineStr">
        <is>
          <t>13</t>
        </is>
      </c>
      <c r="M121" s="42" t="inlineStr">
        <is>
          <t>개인</t>
        </is>
      </c>
      <c r="N121" s="42" t="inlineStr">
        <is>
          <t>개인</t>
        </is>
      </c>
      <c r="O121" s="41" t="inlineStr">
        <is>
          <t>2005</t>
        </is>
      </c>
      <c r="P121" s="42" t="inlineStr">
        <is>
          <t>명달로 91</t>
        </is>
      </c>
      <c r="Q121" s="41" t="inlineStr">
        <is>
          <t>-</t>
        </is>
      </c>
      <c r="R121" s="42" t="inlineStr">
        <is>
          <t>중개거래</t>
        </is>
      </c>
      <c r="S121" s="42" t="inlineStr">
        <is>
          <t>서울 서초구</t>
        </is>
      </c>
      <c r="T121" s="41" t="inlineStr">
        <is>
          <t>24.03.25</t>
        </is>
      </c>
      <c r="U121" s="42" t="inlineStr">
        <is>
          <t>아파트</t>
        </is>
      </c>
    </row>
    <row r="122" hidden="1" ht="15" customHeight="1">
      <c r="A122" s="41" t="n">
        <v>118</v>
      </c>
      <c r="B122" s="42" t="inlineStr">
        <is>
          <t>서울특별시 서초구 서초동</t>
        </is>
      </c>
      <c r="C122" s="41" t="inlineStr">
        <is>
          <t>1755</t>
        </is>
      </c>
      <c r="D122" s="41" t="inlineStr">
        <is>
          <t>1755</t>
        </is>
      </c>
      <c r="E122" s="41" t="inlineStr">
        <is>
          <t>0000</t>
        </is>
      </c>
      <c r="F122" s="42" t="inlineStr">
        <is>
          <t>래미안 리더스원</t>
        </is>
      </c>
      <c r="G122" s="41" t="inlineStr">
        <is>
          <t>84.9400</t>
        </is>
      </c>
      <c r="H122" s="41" t="inlineStr">
        <is>
          <t>202401</t>
        </is>
      </c>
      <c r="I122" s="41" t="inlineStr">
        <is>
          <t>26</t>
        </is>
      </c>
      <c r="J122" s="41" t="inlineStr">
        <is>
          <t>273,000</t>
        </is>
      </c>
      <c r="K122" s="41" t="inlineStr">
        <is>
          <t>104동</t>
        </is>
      </c>
      <c r="L122" s="41" t="inlineStr">
        <is>
          <t>19</t>
        </is>
      </c>
      <c r="M122" s="42" t="inlineStr">
        <is>
          <t>개인</t>
        </is>
      </c>
      <c r="N122" s="42" t="inlineStr">
        <is>
          <t>개인</t>
        </is>
      </c>
      <c r="O122" s="41" t="inlineStr">
        <is>
          <t>2020</t>
        </is>
      </c>
      <c r="P122" s="42" t="inlineStr">
        <is>
          <t>서운로 62</t>
        </is>
      </c>
      <c r="Q122" s="41" t="inlineStr">
        <is>
          <t>-</t>
        </is>
      </c>
      <c r="R122" s="42" t="inlineStr">
        <is>
          <t>중개거래</t>
        </is>
      </c>
      <c r="S122" s="42" t="inlineStr">
        <is>
          <t>서울 서초구</t>
        </is>
      </c>
      <c r="T122" s="41" t="inlineStr">
        <is>
          <t>24.04.19</t>
        </is>
      </c>
      <c r="U122" s="42" t="inlineStr">
        <is>
          <t>아파트</t>
        </is>
      </c>
    </row>
    <row r="123" hidden="1" ht="15" customHeight="1">
      <c r="A123" s="41" t="n">
        <v>119</v>
      </c>
      <c r="B123" s="42" t="inlineStr">
        <is>
          <t>서울특별시 서초구 서초동</t>
        </is>
      </c>
      <c r="C123" s="41" t="inlineStr">
        <is>
          <t>1685</t>
        </is>
      </c>
      <c r="D123" s="41" t="inlineStr">
        <is>
          <t>1685</t>
        </is>
      </c>
      <c r="E123" s="41" t="inlineStr">
        <is>
          <t>0000</t>
        </is>
      </c>
      <c r="F123" s="42" t="inlineStr">
        <is>
          <t>삼풍아파트</t>
        </is>
      </c>
      <c r="G123" s="41" t="inlineStr">
        <is>
          <t>79.4700</t>
        </is>
      </c>
      <c r="H123" s="41" t="inlineStr">
        <is>
          <t>202401</t>
        </is>
      </c>
      <c r="I123" s="41" t="inlineStr">
        <is>
          <t>25</t>
        </is>
      </c>
      <c r="J123" s="41" t="inlineStr">
        <is>
          <t>270,000</t>
        </is>
      </c>
      <c r="K123" s="41" t="inlineStr">
        <is>
          <t>6</t>
        </is>
      </c>
      <c r="L123" s="41" t="inlineStr">
        <is>
          <t>10</t>
        </is>
      </c>
      <c r="M123" s="42" t="inlineStr">
        <is>
          <t>개인</t>
        </is>
      </c>
      <c r="N123" s="42" t="inlineStr">
        <is>
          <t>개인</t>
        </is>
      </c>
      <c r="O123" s="41" t="inlineStr">
        <is>
          <t>1988</t>
        </is>
      </c>
      <c r="P123" s="42" t="inlineStr">
        <is>
          <t>서초중앙로 200</t>
        </is>
      </c>
      <c r="Q123" s="41" t="inlineStr">
        <is>
          <t>-</t>
        </is>
      </c>
      <c r="R123" s="42" t="inlineStr">
        <is>
          <t>중개거래</t>
        </is>
      </c>
      <c r="S123" s="42" t="inlineStr">
        <is>
          <t>서울 서초구</t>
        </is>
      </c>
      <c r="T123" s="41" t="inlineStr">
        <is>
          <t>24.05.27</t>
        </is>
      </c>
      <c r="U123" s="42" t="inlineStr">
        <is>
          <t>아파트</t>
        </is>
      </c>
    </row>
    <row r="124" hidden="1" ht="15" customHeight="1">
      <c r="A124" s="41" t="n">
        <v>120</v>
      </c>
      <c r="B124" s="42" t="inlineStr">
        <is>
          <t>서울특별시 서초구 서초동</t>
        </is>
      </c>
      <c r="C124" s="41" t="inlineStr">
        <is>
          <t>1685</t>
        </is>
      </c>
      <c r="D124" s="41" t="inlineStr">
        <is>
          <t>1685</t>
        </is>
      </c>
      <c r="E124" s="41" t="inlineStr">
        <is>
          <t>0000</t>
        </is>
      </c>
      <c r="F124" s="42" t="inlineStr">
        <is>
          <t>삼풍아파트</t>
        </is>
      </c>
      <c r="G124" s="41" t="inlineStr">
        <is>
          <t>165.9200</t>
        </is>
      </c>
      <c r="H124" s="41" t="inlineStr">
        <is>
          <t>202401</t>
        </is>
      </c>
      <c r="I124" s="41" t="inlineStr">
        <is>
          <t>25</t>
        </is>
      </c>
      <c r="J124" s="41" t="inlineStr">
        <is>
          <t>398,000</t>
        </is>
      </c>
      <c r="K124" s="41" t="inlineStr">
        <is>
          <t>15</t>
        </is>
      </c>
      <c r="L124" s="41" t="inlineStr">
        <is>
          <t>3</t>
        </is>
      </c>
      <c r="M124" s="42" t="inlineStr">
        <is>
          <t>개인</t>
        </is>
      </c>
      <c r="N124" s="42" t="inlineStr">
        <is>
          <t>개인</t>
        </is>
      </c>
      <c r="O124" s="41" t="inlineStr">
        <is>
          <t>1988</t>
        </is>
      </c>
      <c r="P124" s="42" t="inlineStr">
        <is>
          <t>서초중앙로 200</t>
        </is>
      </c>
      <c r="Q124" s="41" t="inlineStr">
        <is>
          <t>-</t>
        </is>
      </c>
      <c r="R124" s="42" t="inlineStr">
        <is>
          <t>중개거래</t>
        </is>
      </c>
      <c r="S124" s="42" t="inlineStr">
        <is>
          <t>서울 서초구</t>
        </is>
      </c>
      <c r="T124" s="41" t="inlineStr">
        <is>
          <t>24.05.27</t>
        </is>
      </c>
      <c r="U124" s="42" t="inlineStr">
        <is>
          <t>아파트</t>
        </is>
      </c>
    </row>
    <row r="125" hidden="1" ht="15" customHeight="1">
      <c r="A125" s="41" t="n">
        <v>121</v>
      </c>
      <c r="B125" s="42" t="inlineStr">
        <is>
          <t>서울특별시 서초구 서초동</t>
        </is>
      </c>
      <c r="C125" s="41" t="inlineStr">
        <is>
          <t>1682</t>
        </is>
      </c>
      <c r="D125" s="41" t="inlineStr">
        <is>
          <t>1682</t>
        </is>
      </c>
      <c r="E125" s="41" t="inlineStr">
        <is>
          <t>0000</t>
        </is>
      </c>
      <c r="F125" s="42" t="inlineStr">
        <is>
          <t>서초래미안</t>
        </is>
      </c>
      <c r="G125" s="41" t="inlineStr">
        <is>
          <t>84.9500</t>
        </is>
      </c>
      <c r="H125" s="41" t="inlineStr">
        <is>
          <t>202401</t>
        </is>
      </c>
      <c r="I125" s="41" t="inlineStr">
        <is>
          <t>24</t>
        </is>
      </c>
      <c r="J125" s="41" t="inlineStr">
        <is>
          <t>205,000</t>
        </is>
      </c>
      <c r="K125" s="41" t="inlineStr">
        <is>
          <t>104</t>
        </is>
      </c>
      <c r="L125" s="41" t="inlineStr">
        <is>
          <t>13</t>
        </is>
      </c>
      <c r="M125" s="42" t="inlineStr">
        <is>
          <t>개인</t>
        </is>
      </c>
      <c r="N125" s="42" t="inlineStr">
        <is>
          <t>개인</t>
        </is>
      </c>
      <c r="O125" s="41" t="inlineStr">
        <is>
          <t>2003</t>
        </is>
      </c>
      <c r="P125" s="42" t="inlineStr">
        <is>
          <t>서초대로65길 13-10</t>
        </is>
      </c>
      <c r="Q125" s="41" t="inlineStr">
        <is>
          <t>-</t>
        </is>
      </c>
      <c r="R125" s="42" t="inlineStr">
        <is>
          <t>중개거래</t>
        </is>
      </c>
      <c r="S125" s="42" t="inlineStr">
        <is>
          <t>서울 서초구</t>
        </is>
      </c>
      <c r="T125" s="41" t="inlineStr">
        <is>
          <t>24.05.22</t>
        </is>
      </c>
      <c r="U125" s="42" t="inlineStr">
        <is>
          <t>아파트</t>
        </is>
      </c>
    </row>
    <row r="126" hidden="1" ht="15" customHeight="1">
      <c r="A126" s="41" t="n">
        <v>122</v>
      </c>
      <c r="B126" s="42" t="inlineStr">
        <is>
          <t>서울특별시 서초구 서초동</t>
        </is>
      </c>
      <c r="C126" s="41" t="inlineStr">
        <is>
          <t>1685</t>
        </is>
      </c>
      <c r="D126" s="41" t="inlineStr">
        <is>
          <t>1685</t>
        </is>
      </c>
      <c r="E126" s="41" t="inlineStr">
        <is>
          <t>0000</t>
        </is>
      </c>
      <c r="F126" s="42" t="inlineStr">
        <is>
          <t>삼풍아파트</t>
        </is>
      </c>
      <c r="G126" s="41" t="inlineStr">
        <is>
          <t>130.7300</t>
        </is>
      </c>
      <c r="H126" s="41" t="inlineStr">
        <is>
          <t>202401</t>
        </is>
      </c>
      <c r="I126" s="41" t="inlineStr">
        <is>
          <t>21</t>
        </is>
      </c>
      <c r="J126" s="41" t="inlineStr">
        <is>
          <t>302,500</t>
        </is>
      </c>
      <c r="K126" s="41" t="inlineStr">
        <is>
          <t>10</t>
        </is>
      </c>
      <c r="L126" s="41" t="inlineStr">
        <is>
          <t>2</t>
        </is>
      </c>
      <c r="M126" s="42" t="inlineStr">
        <is>
          <t>개인</t>
        </is>
      </c>
      <c r="N126" s="42" t="inlineStr">
        <is>
          <t>개인</t>
        </is>
      </c>
      <c r="O126" s="41" t="inlineStr">
        <is>
          <t>1988</t>
        </is>
      </c>
      <c r="P126" s="42" t="inlineStr">
        <is>
          <t>서초중앙로 200</t>
        </is>
      </c>
      <c r="Q126" s="41" t="inlineStr">
        <is>
          <t>-</t>
        </is>
      </c>
      <c r="R126" s="42" t="inlineStr">
        <is>
          <t>중개거래</t>
        </is>
      </c>
      <c r="S126" s="42" t="inlineStr">
        <is>
          <t>서울 서초구</t>
        </is>
      </c>
      <c r="T126" s="41" t="inlineStr">
        <is>
          <t>24.05.08</t>
        </is>
      </c>
      <c r="U126" s="42" t="inlineStr">
        <is>
          <t>아파트</t>
        </is>
      </c>
    </row>
    <row r="127" hidden="1" ht="15" customHeight="1">
      <c r="A127" s="41" t="n">
        <v>123</v>
      </c>
      <c r="B127" s="42" t="inlineStr">
        <is>
          <t>서울특별시 서초구 서초동</t>
        </is>
      </c>
      <c r="C127" s="41" t="inlineStr">
        <is>
          <t>1330</t>
        </is>
      </c>
      <c r="D127" s="41" t="inlineStr">
        <is>
          <t>1330</t>
        </is>
      </c>
      <c r="E127" s="41" t="inlineStr">
        <is>
          <t>0000</t>
        </is>
      </c>
      <c r="F127" s="42" t="inlineStr">
        <is>
          <t>서초동삼성쉐르빌2</t>
        </is>
      </c>
      <c r="G127" s="41" t="inlineStr">
        <is>
          <t>70.4900</t>
        </is>
      </c>
      <c r="H127" s="41" t="inlineStr">
        <is>
          <t>202401</t>
        </is>
      </c>
      <c r="I127" s="41" t="inlineStr">
        <is>
          <t>20</t>
        </is>
      </c>
      <c r="J127" s="41" t="inlineStr">
        <is>
          <t>84,000</t>
        </is>
      </c>
      <c r="K127" s="41" t="inlineStr">
        <is>
          <t>-</t>
        </is>
      </c>
      <c r="L127" s="41" t="inlineStr">
        <is>
          <t>7</t>
        </is>
      </c>
      <c r="M127" s="42" t="inlineStr">
        <is>
          <t>개인</t>
        </is>
      </c>
      <c r="N127" s="42" t="inlineStr">
        <is>
          <t>개인</t>
        </is>
      </c>
      <c r="O127" s="41" t="inlineStr">
        <is>
          <t>2002</t>
        </is>
      </c>
      <c r="P127" s="42" t="inlineStr">
        <is>
          <t>강남대로53길 11</t>
        </is>
      </c>
      <c r="Q127" s="41" t="inlineStr">
        <is>
          <t>-</t>
        </is>
      </c>
      <c r="R127" s="42" t="inlineStr">
        <is>
          <t>중개거래</t>
        </is>
      </c>
      <c r="S127" s="42" t="inlineStr">
        <is>
          <t>서울 서초구</t>
        </is>
      </c>
      <c r="T127" s="41" t="inlineStr">
        <is>
          <t>24.04.24</t>
        </is>
      </c>
      <c r="U127" s="42" t="inlineStr">
        <is>
          <t>아파트</t>
        </is>
      </c>
    </row>
    <row r="128" hidden="1" ht="15" customHeight="1">
      <c r="A128" s="41" t="n">
        <v>124</v>
      </c>
      <c r="B128" s="42" t="inlineStr">
        <is>
          <t>서울특별시 서초구 서초동</t>
        </is>
      </c>
      <c r="C128" s="41" t="inlineStr">
        <is>
          <t>1682</t>
        </is>
      </c>
      <c r="D128" s="41" t="inlineStr">
        <is>
          <t>1682</t>
        </is>
      </c>
      <c r="E128" s="41" t="inlineStr">
        <is>
          <t>0000</t>
        </is>
      </c>
      <c r="F128" s="42" t="inlineStr">
        <is>
          <t>서초래미안</t>
        </is>
      </c>
      <c r="G128" s="41" t="inlineStr">
        <is>
          <t>84.9500</t>
        </is>
      </c>
      <c r="H128" s="41" t="inlineStr">
        <is>
          <t>202401</t>
        </is>
      </c>
      <c r="I128" s="41" t="inlineStr">
        <is>
          <t>19</t>
        </is>
      </c>
      <c r="J128" s="41" t="inlineStr">
        <is>
          <t>203,000</t>
        </is>
      </c>
      <c r="K128" s="41" t="inlineStr">
        <is>
          <t>111</t>
        </is>
      </c>
      <c r="L128" s="41" t="inlineStr">
        <is>
          <t>9</t>
        </is>
      </c>
      <c r="M128" s="42" t="inlineStr">
        <is>
          <t>개인</t>
        </is>
      </c>
      <c r="N128" s="42" t="inlineStr">
        <is>
          <t>개인</t>
        </is>
      </c>
      <c r="O128" s="41" t="inlineStr">
        <is>
          <t>2003</t>
        </is>
      </c>
      <c r="P128" s="42" t="inlineStr">
        <is>
          <t>서초대로65길 13-10</t>
        </is>
      </c>
      <c r="Q128" s="41" t="inlineStr">
        <is>
          <t>-</t>
        </is>
      </c>
      <c r="R128" s="42" t="inlineStr">
        <is>
          <t>중개거래</t>
        </is>
      </c>
      <c r="S128" s="42" t="inlineStr">
        <is>
          <t>서울 서초구</t>
        </is>
      </c>
      <c r="T128" s="41" t="inlineStr">
        <is>
          <t>24.04.29</t>
        </is>
      </c>
      <c r="U128" s="42" t="inlineStr">
        <is>
          <t>아파트</t>
        </is>
      </c>
    </row>
    <row r="129" hidden="1" ht="15" customHeight="1">
      <c r="A129" s="41" t="n">
        <v>125</v>
      </c>
      <c r="B129" s="42" t="inlineStr">
        <is>
          <t>서울특별시 서초구 서초동</t>
        </is>
      </c>
      <c r="C129" s="41" t="inlineStr">
        <is>
          <t>1671-5</t>
        </is>
      </c>
      <c r="D129" s="41" t="inlineStr">
        <is>
          <t>1671</t>
        </is>
      </c>
      <c r="E129" s="41" t="inlineStr">
        <is>
          <t>0005</t>
        </is>
      </c>
      <c r="F129" s="42" t="inlineStr">
        <is>
          <t>대림서초리시온</t>
        </is>
      </c>
      <c r="G129" s="41" t="inlineStr">
        <is>
          <t>49.9200</t>
        </is>
      </c>
      <c r="H129" s="41" t="inlineStr">
        <is>
          <t>202401</t>
        </is>
      </c>
      <c r="I129" s="41" t="inlineStr">
        <is>
          <t>19</t>
        </is>
      </c>
      <c r="J129" s="41" t="inlineStr">
        <is>
          <t>53,000</t>
        </is>
      </c>
      <c r="K129" s="41" t="inlineStr">
        <is>
          <t>-</t>
        </is>
      </c>
      <c r="L129" s="41" t="inlineStr">
        <is>
          <t>6</t>
        </is>
      </c>
      <c r="M129" s="42" t="inlineStr">
        <is>
          <t>개인</t>
        </is>
      </c>
      <c r="N129" s="42" t="inlineStr">
        <is>
          <t>개인</t>
        </is>
      </c>
      <c r="O129" s="41" t="inlineStr">
        <is>
          <t>2003</t>
        </is>
      </c>
      <c r="P129" s="42" t="inlineStr">
        <is>
          <t>서초중앙로22길 25</t>
        </is>
      </c>
      <c r="Q129" s="41" t="inlineStr">
        <is>
          <t>-</t>
        </is>
      </c>
      <c r="R129" s="42" t="inlineStr">
        <is>
          <t>중개거래</t>
        </is>
      </c>
      <c r="S129" s="42" t="inlineStr">
        <is>
          <t>서울 서초구</t>
        </is>
      </c>
      <c r="T129" s="41" t="inlineStr">
        <is>
          <t>24.02.23</t>
        </is>
      </c>
      <c r="U129" s="42" t="inlineStr">
        <is>
          <t>아파트</t>
        </is>
      </c>
    </row>
    <row r="130" hidden="1" ht="15" customHeight="1">
      <c r="A130" s="41" t="n">
        <v>126</v>
      </c>
      <c r="B130" s="42" t="inlineStr">
        <is>
          <t>서울특별시 서초구 서초동</t>
        </is>
      </c>
      <c r="C130" s="41" t="inlineStr">
        <is>
          <t>1593-7</t>
        </is>
      </c>
      <c r="D130" s="41" t="inlineStr">
        <is>
          <t>1593</t>
        </is>
      </c>
      <c r="E130" s="41" t="inlineStr">
        <is>
          <t>0007</t>
        </is>
      </c>
      <c r="F130" s="42" t="inlineStr">
        <is>
          <t>서초이오빌</t>
        </is>
      </c>
      <c r="G130" s="41" t="inlineStr">
        <is>
          <t>36.6600</t>
        </is>
      </c>
      <c r="H130" s="41" t="inlineStr">
        <is>
          <t>202401</t>
        </is>
      </c>
      <c r="I130" s="41" t="inlineStr">
        <is>
          <t>18</t>
        </is>
      </c>
      <c r="J130" s="41" t="inlineStr">
        <is>
          <t>29,000</t>
        </is>
      </c>
      <c r="K130" s="41" t="inlineStr">
        <is>
          <t>-</t>
        </is>
      </c>
      <c r="L130" s="41" t="inlineStr">
        <is>
          <t>3</t>
        </is>
      </c>
      <c r="M130" s="42" t="inlineStr">
        <is>
          <t>개인</t>
        </is>
      </c>
      <c r="N130" s="42" t="inlineStr">
        <is>
          <t>개인</t>
        </is>
      </c>
      <c r="O130" s="41" t="inlineStr">
        <is>
          <t>2003</t>
        </is>
      </c>
      <c r="P130" s="42" t="inlineStr">
        <is>
          <t>효령로53길 45</t>
        </is>
      </c>
      <c r="Q130" s="41" t="inlineStr">
        <is>
          <t>-</t>
        </is>
      </c>
      <c r="R130" s="42" t="inlineStr">
        <is>
          <t>중개거래</t>
        </is>
      </c>
      <c r="S130" s="42" t="inlineStr">
        <is>
          <t>서울 서초구</t>
        </is>
      </c>
      <c r="T130" s="41" t="inlineStr">
        <is>
          <t>24.03.29</t>
        </is>
      </c>
      <c r="U130" s="42" t="inlineStr">
        <is>
          <t>아파트</t>
        </is>
      </c>
    </row>
    <row r="131" hidden="1" ht="15" customHeight="1">
      <c r="A131" s="41" t="n">
        <v>127</v>
      </c>
      <c r="B131" s="42" t="inlineStr">
        <is>
          <t>서울특별시 서초구 서초동</t>
        </is>
      </c>
      <c r="C131" s="41" t="inlineStr">
        <is>
          <t>1686-9</t>
        </is>
      </c>
      <c r="D131" s="41" t="inlineStr">
        <is>
          <t>1686</t>
        </is>
      </c>
      <c r="E131" s="41" t="inlineStr">
        <is>
          <t>0009</t>
        </is>
      </c>
      <c r="F131" s="42" t="inlineStr">
        <is>
          <t>서초교대e편한세상</t>
        </is>
      </c>
      <c r="G131" s="41" t="inlineStr">
        <is>
          <t>84.9300</t>
        </is>
      </c>
      <c r="H131" s="41" t="inlineStr">
        <is>
          <t>202401</t>
        </is>
      </c>
      <c r="I131" s="41" t="inlineStr">
        <is>
          <t>17</t>
        </is>
      </c>
      <c r="J131" s="41" t="inlineStr">
        <is>
          <t>237,000</t>
        </is>
      </c>
      <c r="K131" s="41" t="inlineStr">
        <is>
          <t>102</t>
        </is>
      </c>
      <c r="L131" s="41" t="inlineStr">
        <is>
          <t>4</t>
        </is>
      </c>
      <c r="M131" s="42" t="inlineStr">
        <is>
          <t>개인</t>
        </is>
      </c>
      <c r="N131" s="42" t="inlineStr">
        <is>
          <t>개인</t>
        </is>
      </c>
      <c r="O131" s="41" t="inlineStr">
        <is>
          <t>2010</t>
        </is>
      </c>
      <c r="P131" s="42" t="inlineStr">
        <is>
          <t>서초중앙로24길 33</t>
        </is>
      </c>
      <c r="Q131" s="41" t="inlineStr">
        <is>
          <t>-</t>
        </is>
      </c>
      <c r="R131" s="42" t="inlineStr">
        <is>
          <t>중개거래</t>
        </is>
      </c>
      <c r="S131" s="42" t="inlineStr">
        <is>
          <t>서울 서초구, 서울 성동구</t>
        </is>
      </c>
      <c r="T131" s="41" t="inlineStr">
        <is>
          <t>24.04.17</t>
        </is>
      </c>
      <c r="U131" s="42" t="inlineStr">
        <is>
          <t>아파트</t>
        </is>
      </c>
    </row>
    <row r="132" hidden="1" ht="15" customHeight="1">
      <c r="A132" s="41" t="n">
        <v>128</v>
      </c>
      <c r="B132" s="42" t="inlineStr">
        <is>
          <t>서울특별시 서초구 서초동</t>
        </is>
      </c>
      <c r="C132" s="41" t="inlineStr">
        <is>
          <t>1445-4</t>
        </is>
      </c>
      <c r="D132" s="41" t="inlineStr">
        <is>
          <t>1445</t>
        </is>
      </c>
      <c r="E132" s="41" t="inlineStr">
        <is>
          <t>0004</t>
        </is>
      </c>
      <c r="F132" s="42" t="inlineStr">
        <is>
          <t>래미안서초유니빌</t>
        </is>
      </c>
      <c r="G132" s="41" t="inlineStr">
        <is>
          <t>45.2550</t>
        </is>
      </c>
      <c r="H132" s="41" t="inlineStr">
        <is>
          <t>202401</t>
        </is>
      </c>
      <c r="I132" s="41" t="inlineStr">
        <is>
          <t>17</t>
        </is>
      </c>
      <c r="J132" s="41" t="inlineStr">
        <is>
          <t>40,000</t>
        </is>
      </c>
      <c r="K132" s="42" t="inlineStr">
        <is>
          <t>래미안 서초유니빌</t>
        </is>
      </c>
      <c r="L132" s="41" t="inlineStr">
        <is>
          <t>5</t>
        </is>
      </c>
      <c r="M132" s="42" t="inlineStr">
        <is>
          <t>개인</t>
        </is>
      </c>
      <c r="N132" s="42" t="inlineStr">
        <is>
          <t>법인</t>
        </is>
      </c>
      <c r="O132" s="41" t="inlineStr">
        <is>
          <t>2003</t>
        </is>
      </c>
      <c r="P132" s="42" t="inlineStr">
        <is>
          <t>서초중앙로 26</t>
        </is>
      </c>
      <c r="Q132" s="41" t="inlineStr">
        <is>
          <t>-</t>
        </is>
      </c>
      <c r="R132" s="42" t="inlineStr">
        <is>
          <t>중개거래</t>
        </is>
      </c>
      <c r="S132" s="42" t="inlineStr">
        <is>
          <t>경기 화성시, 서울 서초구</t>
        </is>
      </c>
      <c r="T132" s="41" t="inlineStr">
        <is>
          <t>24.02.21</t>
        </is>
      </c>
      <c r="U132" s="42" t="inlineStr">
        <is>
          <t>아파트</t>
        </is>
      </c>
    </row>
    <row r="133" hidden="1" ht="15" customHeight="1">
      <c r="A133" s="41" t="n">
        <v>129</v>
      </c>
      <c r="B133" s="42" t="inlineStr">
        <is>
          <t>서울특별시 서초구 서초동</t>
        </is>
      </c>
      <c r="C133" s="41" t="inlineStr">
        <is>
          <t>1685-3</t>
        </is>
      </c>
      <c r="D133" s="41" t="inlineStr">
        <is>
          <t>1685</t>
        </is>
      </c>
      <c r="E133" s="41" t="inlineStr">
        <is>
          <t>0003</t>
        </is>
      </c>
      <c r="F133" s="42" t="inlineStr">
        <is>
          <t>아크로비스타</t>
        </is>
      </c>
      <c r="G133" s="41" t="inlineStr">
        <is>
          <t>138.9600</t>
        </is>
      </c>
      <c r="H133" s="41" t="inlineStr">
        <is>
          <t>202401</t>
        </is>
      </c>
      <c r="I133" s="41" t="inlineStr">
        <is>
          <t>15</t>
        </is>
      </c>
      <c r="J133" s="41" t="inlineStr">
        <is>
          <t>245,000</t>
        </is>
      </c>
      <c r="K133" s="41" t="inlineStr">
        <is>
          <t>C</t>
        </is>
      </c>
      <c r="L133" s="41" t="inlineStr">
        <is>
          <t>8</t>
        </is>
      </c>
      <c r="M133" s="42" t="inlineStr">
        <is>
          <t>개인</t>
        </is>
      </c>
      <c r="N133" s="42" t="inlineStr">
        <is>
          <t>개인</t>
        </is>
      </c>
      <c r="O133" s="41" t="inlineStr">
        <is>
          <t>2004</t>
        </is>
      </c>
      <c r="P133" s="42" t="inlineStr">
        <is>
          <t>서초중앙로 188</t>
        </is>
      </c>
      <c r="Q133" s="41" t="inlineStr">
        <is>
          <t>-</t>
        </is>
      </c>
      <c r="R133" s="42" t="inlineStr">
        <is>
          <t>중개거래</t>
        </is>
      </c>
      <c r="S133" s="42" t="inlineStr">
        <is>
          <t>서울 서초구</t>
        </is>
      </c>
      <c r="T133" s="41" t="inlineStr">
        <is>
          <t>24.01.15</t>
        </is>
      </c>
      <c r="U133" s="42" t="inlineStr">
        <is>
          <t>아파트</t>
        </is>
      </c>
    </row>
    <row r="134" hidden="1" ht="15" customHeight="1">
      <c r="A134" s="41" t="n">
        <v>130</v>
      </c>
      <c r="B134" s="42" t="inlineStr">
        <is>
          <t>서울특별시 서초구 서초동</t>
        </is>
      </c>
      <c r="C134" s="41" t="inlineStr">
        <is>
          <t>1617-21</t>
        </is>
      </c>
      <c r="D134" s="41" t="inlineStr">
        <is>
          <t>1617</t>
        </is>
      </c>
      <c r="E134" s="41" t="inlineStr">
        <is>
          <t>0021</t>
        </is>
      </c>
      <c r="F134" s="41" t="inlineStr">
        <is>
          <t>(1617-21)</t>
        </is>
      </c>
      <c r="G134" s="41" t="inlineStr">
        <is>
          <t>111.1600</t>
        </is>
      </c>
      <c r="H134" s="41" t="inlineStr">
        <is>
          <t>202401</t>
        </is>
      </c>
      <c r="I134" s="41" t="inlineStr">
        <is>
          <t>14</t>
        </is>
      </c>
      <c r="J134" s="41" t="inlineStr">
        <is>
          <t>105,000</t>
        </is>
      </c>
      <c r="K134" s="41" t="inlineStr">
        <is>
          <t>1</t>
        </is>
      </c>
      <c r="L134" s="41" t="inlineStr">
        <is>
          <t>2</t>
        </is>
      </c>
      <c r="M134" s="42" t="inlineStr">
        <is>
          <t>개인</t>
        </is>
      </c>
      <c r="N134" s="42" t="inlineStr">
        <is>
          <t>개인</t>
        </is>
      </c>
      <c r="O134" s="41" t="inlineStr">
        <is>
          <t>2007</t>
        </is>
      </c>
      <c r="P134" s="42" t="inlineStr">
        <is>
          <t>서리풀길 14</t>
        </is>
      </c>
      <c r="Q134" s="41" t="inlineStr">
        <is>
          <t>-</t>
        </is>
      </c>
      <c r="R134" s="42" t="inlineStr">
        <is>
          <t>중개거래</t>
        </is>
      </c>
      <c r="S134" s="42" t="inlineStr">
        <is>
          <t>서울 서초구</t>
        </is>
      </c>
      <c r="T134" s="41" t="inlineStr">
        <is>
          <t>24.04.03</t>
        </is>
      </c>
      <c r="U134" s="42" t="inlineStr">
        <is>
          <t>아파트</t>
        </is>
      </c>
    </row>
    <row r="135" hidden="1" ht="15" customHeight="1">
      <c r="A135" s="41" t="n">
        <v>131</v>
      </c>
      <c r="B135" s="42" t="inlineStr">
        <is>
          <t>서울특별시 서초구 서초동</t>
        </is>
      </c>
      <c r="C135" s="41" t="inlineStr">
        <is>
          <t>1326-17</t>
        </is>
      </c>
      <c r="D135" s="41" t="inlineStr">
        <is>
          <t>1326</t>
        </is>
      </c>
      <c r="E135" s="41" t="inlineStr">
        <is>
          <t>0017</t>
        </is>
      </c>
      <c r="F135" s="42" t="inlineStr">
        <is>
          <t>우성아파트</t>
        </is>
      </c>
      <c r="G135" s="41" t="inlineStr">
        <is>
          <t>59.9300</t>
        </is>
      </c>
      <c r="H135" s="41" t="inlineStr">
        <is>
          <t>202401</t>
        </is>
      </c>
      <c r="I135" s="41" t="inlineStr">
        <is>
          <t>14</t>
        </is>
      </c>
      <c r="J135" s="41" t="inlineStr">
        <is>
          <t>131,000</t>
        </is>
      </c>
      <c r="K135" s="41" t="inlineStr">
        <is>
          <t>501</t>
        </is>
      </c>
      <c r="L135" s="41" t="inlineStr">
        <is>
          <t>16</t>
        </is>
      </c>
      <c r="M135" s="42" t="inlineStr">
        <is>
          <t>개인</t>
        </is>
      </c>
      <c r="N135" s="42" t="inlineStr">
        <is>
          <t>개인</t>
        </is>
      </c>
      <c r="O135" s="41" t="inlineStr">
        <is>
          <t>1998</t>
        </is>
      </c>
      <c r="P135" s="42" t="inlineStr">
        <is>
          <t>서초대로74길 30</t>
        </is>
      </c>
      <c r="Q135" s="41" t="inlineStr">
        <is>
          <t>-</t>
        </is>
      </c>
      <c r="R135" s="42" t="inlineStr">
        <is>
          <t>직거래</t>
        </is>
      </c>
      <c r="S135" s="41" t="inlineStr">
        <is>
          <t>-</t>
        </is>
      </c>
      <c r="T135" s="41" t="inlineStr">
        <is>
          <t>24.07.31</t>
        </is>
      </c>
      <c r="U135" s="42" t="inlineStr">
        <is>
          <t>아파트</t>
        </is>
      </c>
    </row>
    <row r="136" hidden="1" ht="15" customHeight="1">
      <c r="A136" s="41" t="n">
        <v>132</v>
      </c>
      <c r="B136" s="42" t="inlineStr">
        <is>
          <t>서울특별시 서초구 서초동</t>
        </is>
      </c>
      <c r="C136" s="41" t="inlineStr">
        <is>
          <t>1685</t>
        </is>
      </c>
      <c r="D136" s="41" t="inlineStr">
        <is>
          <t>1685</t>
        </is>
      </c>
      <c r="E136" s="41" t="inlineStr">
        <is>
          <t>0000</t>
        </is>
      </c>
      <c r="F136" s="42" t="inlineStr">
        <is>
          <t>삼풍아파트</t>
        </is>
      </c>
      <c r="G136" s="41" t="inlineStr">
        <is>
          <t>79.4700</t>
        </is>
      </c>
      <c r="H136" s="41" t="inlineStr">
        <is>
          <t>202401</t>
        </is>
      </c>
      <c r="I136" s="41" t="inlineStr">
        <is>
          <t>13</t>
        </is>
      </c>
      <c r="J136" s="41" t="inlineStr">
        <is>
          <t>245,000</t>
        </is>
      </c>
      <c r="K136" s="41" t="inlineStr">
        <is>
          <t>1</t>
        </is>
      </c>
      <c r="L136" s="41" t="inlineStr">
        <is>
          <t>13</t>
        </is>
      </c>
      <c r="M136" s="42" t="inlineStr">
        <is>
          <t>개인</t>
        </is>
      </c>
      <c r="N136" s="42" t="inlineStr">
        <is>
          <t>개인</t>
        </is>
      </c>
      <c r="O136" s="41" t="inlineStr">
        <is>
          <t>1988</t>
        </is>
      </c>
      <c r="P136" s="42" t="inlineStr">
        <is>
          <t>서초중앙로 200</t>
        </is>
      </c>
      <c r="Q136" s="41" t="inlineStr">
        <is>
          <t>-</t>
        </is>
      </c>
      <c r="R136" s="42" t="inlineStr">
        <is>
          <t>중개거래</t>
        </is>
      </c>
      <c r="S136" s="42" t="inlineStr">
        <is>
          <t>서울 서초구</t>
        </is>
      </c>
      <c r="T136" s="41" t="inlineStr">
        <is>
          <t>24.04.24</t>
        </is>
      </c>
      <c r="U136" s="42" t="inlineStr">
        <is>
          <t>아파트</t>
        </is>
      </c>
    </row>
    <row r="137" hidden="1" ht="15" customHeight="1">
      <c r="A137" s="41" t="n">
        <v>133</v>
      </c>
      <c r="B137" s="42" t="inlineStr">
        <is>
          <t>서울특별시 서초구 서초동</t>
        </is>
      </c>
      <c r="C137" s="41" t="inlineStr">
        <is>
          <t>1686-9</t>
        </is>
      </c>
      <c r="D137" s="41" t="inlineStr">
        <is>
          <t>1686</t>
        </is>
      </c>
      <c r="E137" s="41" t="inlineStr">
        <is>
          <t>0009</t>
        </is>
      </c>
      <c r="F137" s="42" t="inlineStr">
        <is>
          <t>서초교대e편한세상</t>
        </is>
      </c>
      <c r="G137" s="41" t="inlineStr">
        <is>
          <t>84.9700</t>
        </is>
      </c>
      <c r="H137" s="41" t="inlineStr">
        <is>
          <t>202401</t>
        </is>
      </c>
      <c r="I137" s="41" t="inlineStr">
        <is>
          <t>13</t>
        </is>
      </c>
      <c r="J137" s="41" t="inlineStr">
        <is>
          <t>232,000</t>
        </is>
      </c>
      <c r="K137" s="41" t="inlineStr">
        <is>
          <t>103</t>
        </is>
      </c>
      <c r="L137" s="41" t="inlineStr">
        <is>
          <t>5</t>
        </is>
      </c>
      <c r="M137" s="42" t="inlineStr">
        <is>
          <t>개인</t>
        </is>
      </c>
      <c r="N137" s="42" t="inlineStr">
        <is>
          <t>개인</t>
        </is>
      </c>
      <c r="O137" s="41" t="inlineStr">
        <is>
          <t>2010</t>
        </is>
      </c>
      <c r="P137" s="42" t="inlineStr">
        <is>
          <t>서초중앙로24길 33</t>
        </is>
      </c>
      <c r="Q137" s="41" t="inlineStr">
        <is>
          <t>-</t>
        </is>
      </c>
      <c r="R137" s="42" t="inlineStr">
        <is>
          <t>중개거래</t>
        </is>
      </c>
      <c r="S137" s="42" t="inlineStr">
        <is>
          <t>서울 서초구</t>
        </is>
      </c>
      <c r="T137" s="41" t="inlineStr">
        <is>
          <t>24.04.23</t>
        </is>
      </c>
      <c r="U137" s="42" t="inlineStr">
        <is>
          <t>아파트</t>
        </is>
      </c>
    </row>
    <row r="138" hidden="1" ht="15" customHeight="1">
      <c r="A138" s="41" t="n">
        <v>134</v>
      </c>
      <c r="B138" s="42" t="inlineStr">
        <is>
          <t>서울특별시 서초구 서초동</t>
        </is>
      </c>
      <c r="C138" s="41" t="inlineStr">
        <is>
          <t>1520-9</t>
        </is>
      </c>
      <c r="D138" s="41" t="inlineStr">
        <is>
          <t>1520</t>
        </is>
      </c>
      <c r="E138" s="41" t="inlineStr">
        <is>
          <t>0009</t>
        </is>
      </c>
      <c r="F138" s="42" t="inlineStr">
        <is>
          <t>레미안서초6차(1520-9)</t>
        </is>
      </c>
      <c r="G138" s="41" t="inlineStr">
        <is>
          <t>113.9400</t>
        </is>
      </c>
      <c r="H138" s="41" t="inlineStr">
        <is>
          <t>202401</t>
        </is>
      </c>
      <c r="I138" s="41" t="inlineStr">
        <is>
          <t>13</t>
        </is>
      </c>
      <c r="J138" s="41" t="inlineStr">
        <is>
          <t>161,700</t>
        </is>
      </c>
      <c r="K138" s="41" t="inlineStr">
        <is>
          <t>602</t>
        </is>
      </c>
      <c r="L138" s="41" t="inlineStr">
        <is>
          <t>1</t>
        </is>
      </c>
      <c r="M138" s="42" t="inlineStr">
        <is>
          <t>개인</t>
        </is>
      </c>
      <c r="N138" s="42" t="inlineStr">
        <is>
          <t>개인</t>
        </is>
      </c>
      <c r="O138" s="41" t="inlineStr">
        <is>
          <t>2006</t>
        </is>
      </c>
      <c r="P138" s="42" t="inlineStr">
        <is>
          <t>반포대로21길 74</t>
        </is>
      </c>
      <c r="Q138" s="41" t="inlineStr">
        <is>
          <t>-</t>
        </is>
      </c>
      <c r="R138" s="42" t="inlineStr">
        <is>
          <t>중개거래</t>
        </is>
      </c>
      <c r="S138" s="42" t="inlineStr">
        <is>
          <t>서울 서초구</t>
        </is>
      </c>
      <c r="T138" s="41" t="inlineStr">
        <is>
          <t>24.05.27</t>
        </is>
      </c>
      <c r="U138" s="42" t="inlineStr">
        <is>
          <t>아파트</t>
        </is>
      </c>
    </row>
    <row r="139" hidden="1" ht="15" customHeight="1">
      <c r="A139" s="41" t="n">
        <v>135</v>
      </c>
      <c r="B139" s="42" t="inlineStr">
        <is>
          <t>서울특별시 서초구 서초동</t>
        </is>
      </c>
      <c r="C139" s="41" t="inlineStr">
        <is>
          <t>1582-3</t>
        </is>
      </c>
      <c r="D139" s="41" t="inlineStr">
        <is>
          <t>1582</t>
        </is>
      </c>
      <c r="E139" s="41" t="inlineStr">
        <is>
          <t>0003</t>
        </is>
      </c>
      <c r="F139" s="42" t="inlineStr">
        <is>
          <t>서초센트럴IPARK</t>
        </is>
      </c>
      <c r="G139" s="41" t="inlineStr">
        <is>
          <t>80.5332</t>
        </is>
      </c>
      <c r="H139" s="41" t="inlineStr">
        <is>
          <t>202401</t>
        </is>
      </c>
      <c r="I139" s="41" t="inlineStr">
        <is>
          <t>12</t>
        </is>
      </c>
      <c r="J139" s="41" t="inlineStr">
        <is>
          <t>150,000</t>
        </is>
      </c>
      <c r="K139" s="41" t="inlineStr">
        <is>
          <t>101동</t>
        </is>
      </c>
      <c r="L139" s="41" t="inlineStr">
        <is>
          <t>26</t>
        </is>
      </c>
      <c r="M139" s="42" t="inlineStr">
        <is>
          <t>개인</t>
        </is>
      </c>
      <c r="N139" s="42" t="inlineStr">
        <is>
          <t>개인</t>
        </is>
      </c>
      <c r="O139" s="41" t="inlineStr">
        <is>
          <t>2020</t>
        </is>
      </c>
      <c r="P139" s="42" t="inlineStr">
        <is>
          <t>반포대로18길 36</t>
        </is>
      </c>
      <c r="Q139" s="41" t="inlineStr">
        <is>
          <t>-</t>
        </is>
      </c>
      <c r="R139" s="42" t="inlineStr">
        <is>
          <t>중개거래</t>
        </is>
      </c>
      <c r="S139" s="42" t="inlineStr">
        <is>
          <t>서울 영등포구</t>
        </is>
      </c>
      <c r="T139" s="41" t="inlineStr">
        <is>
          <t>24.02.13</t>
        </is>
      </c>
      <c r="U139" s="42" t="inlineStr">
        <is>
          <t>아파트</t>
        </is>
      </c>
    </row>
    <row r="140" hidden="1" ht="15" customHeight="1">
      <c r="A140" s="41" t="n">
        <v>136</v>
      </c>
      <c r="B140" s="42" t="inlineStr">
        <is>
          <t>서울특별시 서초구 서초동</t>
        </is>
      </c>
      <c r="C140" s="41" t="inlineStr">
        <is>
          <t>1334-1</t>
        </is>
      </c>
      <c r="D140" s="41" t="inlineStr">
        <is>
          <t>1334</t>
        </is>
      </c>
      <c r="E140" s="41" t="inlineStr">
        <is>
          <t>0001</t>
        </is>
      </c>
      <c r="F140" s="42" t="inlineStr">
        <is>
          <t>신동아아파트(2차)</t>
        </is>
      </c>
      <c r="G140" s="41" t="inlineStr">
        <is>
          <t>166.1000</t>
        </is>
      </c>
      <c r="H140" s="41" t="inlineStr">
        <is>
          <t>202401</t>
        </is>
      </c>
      <c r="I140" s="41" t="inlineStr">
        <is>
          <t>11</t>
        </is>
      </c>
      <c r="J140" s="41" t="inlineStr">
        <is>
          <t>295,000</t>
        </is>
      </c>
      <c r="K140" s="41" t="inlineStr">
        <is>
          <t>8</t>
        </is>
      </c>
      <c r="L140" s="41" t="inlineStr">
        <is>
          <t>8</t>
        </is>
      </c>
      <c r="M140" s="42" t="inlineStr">
        <is>
          <t>개인</t>
        </is>
      </c>
      <c r="N140" s="42" t="inlineStr">
        <is>
          <t>개인</t>
        </is>
      </c>
      <c r="O140" s="41" t="inlineStr">
        <is>
          <t>1979</t>
        </is>
      </c>
      <c r="P140" s="42" t="inlineStr">
        <is>
          <t>사임당로 130</t>
        </is>
      </c>
      <c r="Q140" s="41" t="inlineStr">
        <is>
          <t>-</t>
        </is>
      </c>
      <c r="R140" s="42" t="inlineStr">
        <is>
          <t>중개거래</t>
        </is>
      </c>
      <c r="S140" s="42" t="inlineStr">
        <is>
          <t>서울 서초구</t>
        </is>
      </c>
      <c r="T140" s="41" t="inlineStr">
        <is>
          <t>24.03.28</t>
        </is>
      </c>
      <c r="U140" s="42" t="inlineStr">
        <is>
          <t>아파트</t>
        </is>
      </c>
    </row>
    <row r="141" hidden="1" ht="15" customHeight="1">
      <c r="A141" s="41" t="n">
        <v>137</v>
      </c>
      <c r="B141" s="42" t="inlineStr">
        <is>
          <t>서울특별시 서초구 서초동</t>
        </is>
      </c>
      <c r="C141" s="41" t="inlineStr">
        <is>
          <t>1755</t>
        </is>
      </c>
      <c r="D141" s="41" t="inlineStr">
        <is>
          <t>1755</t>
        </is>
      </c>
      <c r="E141" s="41" t="inlineStr">
        <is>
          <t>0000</t>
        </is>
      </c>
      <c r="F141" s="42" t="inlineStr">
        <is>
          <t>래미안 리더스원</t>
        </is>
      </c>
      <c r="G141" s="41" t="inlineStr">
        <is>
          <t>178.6800</t>
        </is>
      </c>
      <c r="H141" s="41" t="inlineStr">
        <is>
          <t>202401</t>
        </is>
      </c>
      <c r="I141" s="41" t="inlineStr">
        <is>
          <t>11</t>
        </is>
      </c>
      <c r="J141" s="41" t="inlineStr">
        <is>
          <t>540,000</t>
        </is>
      </c>
      <c r="K141" s="41" t="inlineStr">
        <is>
          <t>102동</t>
        </is>
      </c>
      <c r="L141" s="41" t="inlineStr">
        <is>
          <t>4</t>
        </is>
      </c>
      <c r="M141" s="42" t="inlineStr">
        <is>
          <t>개인</t>
        </is>
      </c>
      <c r="N141" s="42" t="inlineStr">
        <is>
          <t>개인</t>
        </is>
      </c>
      <c r="O141" s="41" t="inlineStr">
        <is>
          <t>2020</t>
        </is>
      </c>
      <c r="P141" s="42" t="inlineStr">
        <is>
          <t>서운로 62</t>
        </is>
      </c>
      <c r="Q141" s="41" t="inlineStr">
        <is>
          <t>-</t>
        </is>
      </c>
      <c r="R141" s="42" t="inlineStr">
        <is>
          <t>중개거래</t>
        </is>
      </c>
      <c r="S141" s="42" t="inlineStr">
        <is>
          <t>서울 서초구</t>
        </is>
      </c>
      <c r="T141" s="41" t="inlineStr">
        <is>
          <t>24.03.19</t>
        </is>
      </c>
      <c r="U141" s="42" t="inlineStr">
        <is>
          <t>아파트</t>
        </is>
      </c>
    </row>
    <row r="142" hidden="1" ht="15" customHeight="1">
      <c r="A142" s="41" t="n">
        <v>138</v>
      </c>
      <c r="B142" s="42" t="inlineStr">
        <is>
          <t>서울특별시 서초구 서초동</t>
        </is>
      </c>
      <c r="C142" s="41" t="inlineStr">
        <is>
          <t>1337-3</t>
        </is>
      </c>
      <c r="D142" s="41" t="inlineStr">
        <is>
          <t>1337</t>
        </is>
      </c>
      <c r="E142" s="41" t="inlineStr">
        <is>
          <t>0003</t>
        </is>
      </c>
      <c r="F142" s="41" t="inlineStr">
        <is>
          <t>urbanplace</t>
        </is>
      </c>
      <c r="G142" s="41" t="inlineStr">
        <is>
          <t>20.9980</t>
        </is>
      </c>
      <c r="H142" s="41" t="inlineStr">
        <is>
          <t>202401</t>
        </is>
      </c>
      <c r="I142" s="41" t="inlineStr">
        <is>
          <t>05</t>
        </is>
      </c>
      <c r="J142" s="41" t="inlineStr">
        <is>
          <t>18,800</t>
        </is>
      </c>
      <c r="K142" s="41" t="inlineStr">
        <is>
          <t>1</t>
        </is>
      </c>
      <c r="L142" s="41" t="inlineStr">
        <is>
          <t>8</t>
        </is>
      </c>
      <c r="M142" s="42" t="inlineStr">
        <is>
          <t>개인</t>
        </is>
      </c>
      <c r="N142" s="42" t="inlineStr">
        <is>
          <t>개인</t>
        </is>
      </c>
      <c r="O142" s="41" t="inlineStr">
        <is>
          <t>2014</t>
        </is>
      </c>
      <c r="P142" s="42" t="inlineStr">
        <is>
          <t>효령로77길 30</t>
        </is>
      </c>
      <c r="Q142" s="41" t="inlineStr">
        <is>
          <t>-</t>
        </is>
      </c>
      <c r="R142" s="42" t="inlineStr">
        <is>
          <t>중개거래</t>
        </is>
      </c>
      <c r="S142" s="42" t="inlineStr">
        <is>
          <t>서울 서초구</t>
        </is>
      </c>
      <c r="T142" s="41" t="inlineStr">
        <is>
          <t>24.04.03</t>
        </is>
      </c>
      <c r="U142" s="42" t="inlineStr">
        <is>
          <t>아파트</t>
        </is>
      </c>
    </row>
    <row r="143" hidden="1" ht="15" customHeight="1">
      <c r="A143" s="41" t="n">
        <v>139</v>
      </c>
      <c r="B143" s="42" t="inlineStr">
        <is>
          <t>서울특별시 서초구 서초동</t>
        </is>
      </c>
      <c r="C143" s="41" t="inlineStr">
        <is>
          <t>1330</t>
        </is>
      </c>
      <c r="D143" s="41" t="inlineStr">
        <is>
          <t>1330</t>
        </is>
      </c>
      <c r="E143" s="41" t="inlineStr">
        <is>
          <t>0000</t>
        </is>
      </c>
      <c r="F143" s="42" t="inlineStr">
        <is>
          <t>서초동삼성쉐르빌2</t>
        </is>
      </c>
      <c r="G143" s="41" t="inlineStr">
        <is>
          <t>70.4900</t>
        </is>
      </c>
      <c r="H143" s="41" t="inlineStr">
        <is>
          <t>202401</t>
        </is>
      </c>
      <c r="I143" s="41" t="inlineStr">
        <is>
          <t>04</t>
        </is>
      </c>
      <c r="J143" s="41" t="inlineStr">
        <is>
          <t>78,000</t>
        </is>
      </c>
      <c r="K143" s="41" t="inlineStr">
        <is>
          <t>-</t>
        </is>
      </c>
      <c r="L143" s="41" t="inlineStr">
        <is>
          <t>14</t>
        </is>
      </c>
      <c r="M143" s="42" t="inlineStr">
        <is>
          <t>개인</t>
        </is>
      </c>
      <c r="N143" s="42" t="inlineStr">
        <is>
          <t>개인</t>
        </is>
      </c>
      <c r="O143" s="41" t="inlineStr">
        <is>
          <t>2002</t>
        </is>
      </c>
      <c r="P143" s="42" t="inlineStr">
        <is>
          <t>강남대로53길 11</t>
        </is>
      </c>
      <c r="Q143" s="41" t="inlineStr">
        <is>
          <t>-</t>
        </is>
      </c>
      <c r="R143" s="42" t="inlineStr">
        <is>
          <t>중개거래</t>
        </is>
      </c>
      <c r="S143" s="42" t="inlineStr">
        <is>
          <t>서울 송파구</t>
        </is>
      </c>
      <c r="T143" s="41" t="inlineStr">
        <is>
          <t>24.01.05</t>
        </is>
      </c>
      <c r="U143" s="42" t="inlineStr">
        <is>
          <t>아파트</t>
        </is>
      </c>
    </row>
    <row r="144" hidden="1" ht="15" customHeight="1">
      <c r="A144" s="41" t="n">
        <v>140</v>
      </c>
      <c r="B144" s="42" t="inlineStr">
        <is>
          <t>서울특별시 서초구 서초동</t>
        </is>
      </c>
      <c r="C144" s="41" t="inlineStr">
        <is>
          <t>1757</t>
        </is>
      </c>
      <c r="D144" s="41" t="inlineStr">
        <is>
          <t>1757</t>
        </is>
      </c>
      <c r="E144" s="41" t="inlineStr">
        <is>
          <t>0000</t>
        </is>
      </c>
      <c r="F144" s="42" t="inlineStr">
        <is>
          <t>서초그랑자이</t>
        </is>
      </c>
      <c r="G144" s="41" t="inlineStr">
        <is>
          <t>119.4100</t>
        </is>
      </c>
      <c r="H144" s="41" t="inlineStr">
        <is>
          <t>202312</t>
        </is>
      </c>
      <c r="I144" s="41" t="inlineStr">
        <is>
          <t>30</t>
        </is>
      </c>
      <c r="J144" s="41" t="inlineStr">
        <is>
          <t>375,000</t>
        </is>
      </c>
      <c r="K144" s="41" t="inlineStr">
        <is>
          <t>107동</t>
        </is>
      </c>
      <c r="L144" s="41" t="inlineStr">
        <is>
          <t>10</t>
        </is>
      </c>
      <c r="M144" s="41" t="inlineStr">
        <is>
          <t>-</t>
        </is>
      </c>
      <c r="N144" s="41" t="inlineStr">
        <is>
          <t>-</t>
        </is>
      </c>
      <c r="O144" s="41" t="inlineStr">
        <is>
          <t>2021</t>
        </is>
      </c>
      <c r="P144" s="42" t="inlineStr">
        <is>
          <t>효령로 391</t>
        </is>
      </c>
      <c r="Q144" s="41" t="inlineStr">
        <is>
          <t>-</t>
        </is>
      </c>
      <c r="R144" s="42" t="inlineStr">
        <is>
          <t>중개거래</t>
        </is>
      </c>
      <c r="S144" s="42" t="inlineStr">
        <is>
          <t>서울 서초구</t>
        </is>
      </c>
      <c r="T144" s="41" t="inlineStr">
        <is>
          <t>24.01.19</t>
        </is>
      </c>
      <c r="U144" s="42" t="inlineStr">
        <is>
          <t>아파트</t>
        </is>
      </c>
    </row>
    <row r="145" hidden="1" ht="15" customHeight="1">
      <c r="A145" s="41" t="n">
        <v>141</v>
      </c>
      <c r="B145" s="42" t="inlineStr">
        <is>
          <t>서울특별시 서초구 서초동</t>
        </is>
      </c>
      <c r="C145" s="41" t="inlineStr">
        <is>
          <t>1648-2</t>
        </is>
      </c>
      <c r="D145" s="41" t="inlineStr">
        <is>
          <t>1648</t>
        </is>
      </c>
      <c r="E145" s="41" t="inlineStr">
        <is>
          <t>0002</t>
        </is>
      </c>
      <c r="F145" s="42" t="inlineStr">
        <is>
          <t>서초현대</t>
        </is>
      </c>
      <c r="G145" s="41" t="inlineStr">
        <is>
          <t>84.7800</t>
        </is>
      </c>
      <c r="H145" s="41" t="inlineStr">
        <is>
          <t>202312</t>
        </is>
      </c>
      <c r="I145" s="41" t="inlineStr">
        <is>
          <t>29</t>
        </is>
      </c>
      <c r="J145" s="41" t="inlineStr">
        <is>
          <t>170,000</t>
        </is>
      </c>
      <c r="K145" s="41" t="inlineStr">
        <is>
          <t>101</t>
        </is>
      </c>
      <c r="L145" s="41" t="inlineStr">
        <is>
          <t>13</t>
        </is>
      </c>
      <c r="M145" s="41" t="inlineStr">
        <is>
          <t>-</t>
        </is>
      </c>
      <c r="N145" s="41" t="inlineStr">
        <is>
          <t>-</t>
        </is>
      </c>
      <c r="O145" s="41" t="inlineStr">
        <is>
          <t>1999</t>
        </is>
      </c>
      <c r="P145" s="42" t="inlineStr">
        <is>
          <t>사임당로19길 10</t>
        </is>
      </c>
      <c r="Q145" s="41" t="inlineStr">
        <is>
          <t>-</t>
        </is>
      </c>
      <c r="R145" s="42" t="inlineStr">
        <is>
          <t>중개거래</t>
        </is>
      </c>
      <c r="S145" s="42" t="inlineStr">
        <is>
          <t>서울 서초구</t>
        </is>
      </c>
      <c r="T145" s="41" t="inlineStr">
        <is>
          <t>24.03.25</t>
        </is>
      </c>
      <c r="U145" s="42" t="inlineStr">
        <is>
          <t>아파트</t>
        </is>
      </c>
    </row>
    <row r="146" hidden="1" ht="15" customHeight="1">
      <c r="A146" s="41" t="n">
        <v>142</v>
      </c>
      <c r="B146" s="42" t="inlineStr">
        <is>
          <t>서울특별시 서초구 서초동</t>
        </is>
      </c>
      <c r="C146" s="41" t="inlineStr">
        <is>
          <t>1311-10</t>
        </is>
      </c>
      <c r="D146" s="41" t="inlineStr">
        <is>
          <t>1311</t>
        </is>
      </c>
      <c r="E146" s="41" t="inlineStr">
        <is>
          <t>0010</t>
        </is>
      </c>
      <c r="F146" s="42" t="inlineStr">
        <is>
          <t>서초푸르지오써밋</t>
        </is>
      </c>
      <c r="G146" s="41" t="inlineStr">
        <is>
          <t>74.9300</t>
        </is>
      </c>
      <c r="H146" s="41" t="inlineStr">
        <is>
          <t>202312</t>
        </is>
      </c>
      <c r="I146" s="41" t="inlineStr">
        <is>
          <t>28</t>
        </is>
      </c>
      <c r="J146" s="41" t="inlineStr">
        <is>
          <t>240,000</t>
        </is>
      </c>
      <c r="K146" s="41" t="inlineStr">
        <is>
          <t>104</t>
        </is>
      </c>
      <c r="L146" s="41" t="inlineStr">
        <is>
          <t>27</t>
        </is>
      </c>
      <c r="M146" s="41" t="inlineStr">
        <is>
          <t>-</t>
        </is>
      </c>
      <c r="N146" s="41" t="inlineStr">
        <is>
          <t>-</t>
        </is>
      </c>
      <c r="O146" s="41" t="inlineStr">
        <is>
          <t>2017</t>
        </is>
      </c>
      <c r="P146" s="42" t="inlineStr">
        <is>
          <t>서운로 201</t>
        </is>
      </c>
      <c r="Q146" s="41" t="inlineStr">
        <is>
          <t>-</t>
        </is>
      </c>
      <c r="R146" s="42" t="inlineStr">
        <is>
          <t>중개거래</t>
        </is>
      </c>
      <c r="S146" s="42" t="inlineStr">
        <is>
          <t>서울 서초구</t>
        </is>
      </c>
      <c r="T146" s="41" t="inlineStr">
        <is>
          <t>24.04.09</t>
        </is>
      </c>
      <c r="U146" s="42" t="inlineStr">
        <is>
          <t>아파트</t>
        </is>
      </c>
    </row>
    <row r="147" hidden="1" ht="15" customHeight="1">
      <c r="A147" s="41" t="n">
        <v>143</v>
      </c>
      <c r="B147" s="42" t="inlineStr">
        <is>
          <t>서울특별시 서초구 서초동</t>
        </is>
      </c>
      <c r="C147" s="41" t="inlineStr">
        <is>
          <t>1333</t>
        </is>
      </c>
      <c r="D147" s="41" t="inlineStr">
        <is>
          <t>1333</t>
        </is>
      </c>
      <c r="E147" s="41" t="inlineStr">
        <is>
          <t>0000</t>
        </is>
      </c>
      <c r="F147" s="42" t="inlineStr">
        <is>
          <t>신동아아파트(1차)</t>
        </is>
      </c>
      <c r="G147" s="41" t="inlineStr">
        <is>
          <t>132.1000</t>
        </is>
      </c>
      <c r="H147" s="41" t="inlineStr">
        <is>
          <t>202312</t>
        </is>
      </c>
      <c r="I147" s="41" t="inlineStr">
        <is>
          <t>28</t>
        </is>
      </c>
      <c r="J147" s="41" t="inlineStr">
        <is>
          <t>265,000</t>
        </is>
      </c>
      <c r="K147" s="41" t="inlineStr">
        <is>
          <t>2</t>
        </is>
      </c>
      <c r="L147" s="41" t="inlineStr">
        <is>
          <t>13</t>
        </is>
      </c>
      <c r="M147" s="41" t="inlineStr">
        <is>
          <t>-</t>
        </is>
      </c>
      <c r="N147" s="41" t="inlineStr">
        <is>
          <t>-</t>
        </is>
      </c>
      <c r="O147" s="41" t="inlineStr">
        <is>
          <t>1978</t>
        </is>
      </c>
      <c r="P147" s="42" t="inlineStr">
        <is>
          <t>사임당로 137</t>
        </is>
      </c>
      <c r="Q147" s="41" t="inlineStr">
        <is>
          <t>-</t>
        </is>
      </c>
      <c r="R147" s="42" t="inlineStr">
        <is>
          <t>중개거래</t>
        </is>
      </c>
      <c r="S147" s="42" t="inlineStr">
        <is>
          <t>서울 서초구</t>
        </is>
      </c>
      <c r="T147" s="41" t="inlineStr">
        <is>
          <t>24.04.04</t>
        </is>
      </c>
      <c r="U147" s="42" t="inlineStr">
        <is>
          <t>아파트</t>
        </is>
      </c>
    </row>
    <row r="148" hidden="1" ht="15" customHeight="1">
      <c r="A148" s="41" t="n">
        <v>144</v>
      </c>
      <c r="B148" s="42" t="inlineStr">
        <is>
          <t>서울특별시 서초구 서초동</t>
        </is>
      </c>
      <c r="C148" s="41" t="inlineStr">
        <is>
          <t>1487-63</t>
        </is>
      </c>
      <c r="D148" s="41" t="inlineStr">
        <is>
          <t>1487</t>
        </is>
      </c>
      <c r="E148" s="41" t="inlineStr">
        <is>
          <t>0063</t>
        </is>
      </c>
      <c r="F148" s="42" t="inlineStr">
        <is>
          <t>서초1차e-편한세상</t>
        </is>
      </c>
      <c r="G148" s="41" t="inlineStr">
        <is>
          <t>130.5300</t>
        </is>
      </c>
      <c r="H148" s="41" t="inlineStr">
        <is>
          <t>202312</t>
        </is>
      </c>
      <c r="I148" s="41" t="inlineStr">
        <is>
          <t>28</t>
        </is>
      </c>
      <c r="J148" s="41" t="inlineStr">
        <is>
          <t>220,000</t>
        </is>
      </c>
      <c r="K148" s="41" t="inlineStr">
        <is>
          <t>102</t>
        </is>
      </c>
      <c r="L148" s="41" t="inlineStr">
        <is>
          <t>4</t>
        </is>
      </c>
      <c r="M148" s="41" t="inlineStr">
        <is>
          <t>-</t>
        </is>
      </c>
      <c r="N148" s="41" t="inlineStr">
        <is>
          <t>-</t>
        </is>
      </c>
      <c r="O148" s="41" t="inlineStr">
        <is>
          <t>2004</t>
        </is>
      </c>
      <c r="P148" s="42" t="inlineStr">
        <is>
          <t>명달로6길 31</t>
        </is>
      </c>
      <c r="Q148" s="41" t="inlineStr">
        <is>
          <t>-</t>
        </is>
      </c>
      <c r="R148" s="42" t="inlineStr">
        <is>
          <t>직거래</t>
        </is>
      </c>
      <c r="S148" s="41" t="inlineStr">
        <is>
          <t>-</t>
        </is>
      </c>
      <c r="T148" s="41" t="inlineStr">
        <is>
          <t>23.12.28</t>
        </is>
      </c>
      <c r="U148" s="42" t="inlineStr">
        <is>
          <t>아파트</t>
        </is>
      </c>
    </row>
    <row r="149" hidden="1" ht="15" customHeight="1">
      <c r="A149" s="41" t="n">
        <v>145</v>
      </c>
      <c r="B149" s="42" t="inlineStr">
        <is>
          <t>서울특별시 서초구 서초동</t>
        </is>
      </c>
      <c r="C149" s="41" t="inlineStr">
        <is>
          <t>1311-10</t>
        </is>
      </c>
      <c r="D149" s="41" t="inlineStr">
        <is>
          <t>1311</t>
        </is>
      </c>
      <c r="E149" s="41" t="inlineStr">
        <is>
          <t>0010</t>
        </is>
      </c>
      <c r="F149" s="42" t="inlineStr">
        <is>
          <t>서초푸르지오써밋</t>
        </is>
      </c>
      <c r="G149" s="41" t="inlineStr">
        <is>
          <t>84.9300</t>
        </is>
      </c>
      <c r="H149" s="41" t="inlineStr">
        <is>
          <t>202312</t>
        </is>
      </c>
      <c r="I149" s="41" t="inlineStr">
        <is>
          <t>28</t>
        </is>
      </c>
      <c r="J149" s="41" t="inlineStr">
        <is>
          <t>251,000</t>
        </is>
      </c>
      <c r="K149" s="41" t="inlineStr">
        <is>
          <t>105</t>
        </is>
      </c>
      <c r="L149" s="41" t="inlineStr">
        <is>
          <t>12</t>
        </is>
      </c>
      <c r="M149" s="41" t="inlineStr">
        <is>
          <t>-</t>
        </is>
      </c>
      <c r="N149" s="41" t="inlineStr">
        <is>
          <t>-</t>
        </is>
      </c>
      <c r="O149" s="41" t="inlineStr">
        <is>
          <t>2017</t>
        </is>
      </c>
      <c r="P149" s="42" t="inlineStr">
        <is>
          <t>서운로 201</t>
        </is>
      </c>
      <c r="Q149" s="41" t="inlineStr">
        <is>
          <t>-</t>
        </is>
      </c>
      <c r="R149" s="42" t="inlineStr">
        <is>
          <t>중개거래</t>
        </is>
      </c>
      <c r="S149" s="42" t="inlineStr">
        <is>
          <t>서울 서초구</t>
        </is>
      </c>
      <c r="T149" s="41" t="inlineStr">
        <is>
          <t>24.03.21</t>
        </is>
      </c>
      <c r="U149" s="42" t="inlineStr">
        <is>
          <t>아파트</t>
        </is>
      </c>
    </row>
    <row r="150" hidden="1" ht="15" customHeight="1">
      <c r="A150" s="41" t="n">
        <v>146</v>
      </c>
      <c r="B150" s="42" t="inlineStr">
        <is>
          <t>서울특별시 서초구 서초동</t>
        </is>
      </c>
      <c r="C150" s="41" t="inlineStr">
        <is>
          <t>1346</t>
        </is>
      </c>
      <c r="D150" s="41" t="inlineStr">
        <is>
          <t>1346</t>
        </is>
      </c>
      <c r="E150" s="41" t="inlineStr">
        <is>
          <t>0000</t>
        </is>
      </c>
      <c r="F150" s="42" t="inlineStr">
        <is>
          <t>현대아파트</t>
        </is>
      </c>
      <c r="G150" s="41" t="inlineStr">
        <is>
          <t>84.3300</t>
        </is>
      </c>
      <c r="H150" s="41" t="inlineStr">
        <is>
          <t>202312</t>
        </is>
      </c>
      <c r="I150" s="41" t="inlineStr">
        <is>
          <t>25</t>
        </is>
      </c>
      <c r="J150" s="41" t="inlineStr">
        <is>
          <t>152,500</t>
        </is>
      </c>
      <c r="K150" s="41" t="inlineStr">
        <is>
          <t>20</t>
        </is>
      </c>
      <c r="L150" s="41" t="inlineStr">
        <is>
          <t>15</t>
        </is>
      </c>
      <c r="M150" s="41" t="inlineStr">
        <is>
          <t>-</t>
        </is>
      </c>
      <c r="N150" s="41" t="inlineStr">
        <is>
          <t>-</t>
        </is>
      </c>
      <c r="O150" s="41" t="inlineStr">
        <is>
          <t>1989</t>
        </is>
      </c>
      <c r="P150" s="42" t="inlineStr">
        <is>
          <t>효령로68길 13</t>
        </is>
      </c>
      <c r="Q150" s="41" t="inlineStr">
        <is>
          <t>-</t>
        </is>
      </c>
      <c r="R150" s="42" t="inlineStr">
        <is>
          <t>중개거래</t>
        </is>
      </c>
      <c r="S150" s="42" t="inlineStr">
        <is>
          <t>서울 서초구</t>
        </is>
      </c>
      <c r="T150" s="41" t="inlineStr">
        <is>
          <t>24.03.20</t>
        </is>
      </c>
      <c r="U150" s="42" t="inlineStr">
        <is>
          <t>아파트</t>
        </is>
      </c>
    </row>
    <row r="151" hidden="1" ht="15" customHeight="1">
      <c r="A151" s="41" t="n">
        <v>147</v>
      </c>
      <c r="B151" s="42" t="inlineStr">
        <is>
          <t>서울특별시 서초구 서초동</t>
        </is>
      </c>
      <c r="C151" s="41" t="inlineStr">
        <is>
          <t>1511-9</t>
        </is>
      </c>
      <c r="D151" s="41" t="inlineStr">
        <is>
          <t>1511</t>
        </is>
      </c>
      <c r="E151" s="41" t="inlineStr">
        <is>
          <t>0009</t>
        </is>
      </c>
      <c r="F151" s="42" t="inlineStr">
        <is>
          <t>한성</t>
        </is>
      </c>
      <c r="G151" s="41" t="inlineStr">
        <is>
          <t>118.1200</t>
        </is>
      </c>
      <c r="H151" s="41" t="inlineStr">
        <is>
          <t>202312</t>
        </is>
      </c>
      <c r="I151" s="41" t="inlineStr">
        <is>
          <t>19</t>
        </is>
      </c>
      <c r="J151" s="41" t="inlineStr">
        <is>
          <t>125,000</t>
        </is>
      </c>
      <c r="K151" s="41" t="inlineStr">
        <is>
          <t>-</t>
        </is>
      </c>
      <c r="L151" s="41" t="inlineStr">
        <is>
          <t>7</t>
        </is>
      </c>
      <c r="M151" s="41" t="inlineStr">
        <is>
          <t>-</t>
        </is>
      </c>
      <c r="N151" s="41" t="inlineStr">
        <is>
          <t>-</t>
        </is>
      </c>
      <c r="O151" s="41" t="inlineStr">
        <is>
          <t>2003</t>
        </is>
      </c>
      <c r="P151" s="42" t="inlineStr">
        <is>
          <t>반포대로21길 46</t>
        </is>
      </c>
      <c r="Q151" s="41" t="inlineStr">
        <is>
          <t>-</t>
        </is>
      </c>
      <c r="R151" s="42" t="inlineStr">
        <is>
          <t>중개거래</t>
        </is>
      </c>
      <c r="S151" s="42" t="inlineStr">
        <is>
          <t>서울 서초구, 서울 성동구</t>
        </is>
      </c>
      <c r="T151" s="41" t="inlineStr">
        <is>
          <t>24.03.14</t>
        </is>
      </c>
      <c r="U151" s="42" t="inlineStr">
        <is>
          <t>아파트</t>
        </is>
      </c>
    </row>
    <row r="152" hidden="1" ht="15" customHeight="1">
      <c r="A152" s="41" t="n">
        <v>148</v>
      </c>
      <c r="B152" s="42" t="inlineStr">
        <is>
          <t>서울특별시 서초구 서초동</t>
        </is>
      </c>
      <c r="C152" s="41" t="inlineStr">
        <is>
          <t>1682</t>
        </is>
      </c>
      <c r="D152" s="41" t="inlineStr">
        <is>
          <t>1682</t>
        </is>
      </c>
      <c r="E152" s="41" t="inlineStr">
        <is>
          <t>0000</t>
        </is>
      </c>
      <c r="F152" s="42" t="inlineStr">
        <is>
          <t>서초래미안</t>
        </is>
      </c>
      <c r="G152" s="41" t="inlineStr">
        <is>
          <t>84.9500</t>
        </is>
      </c>
      <c r="H152" s="41" t="inlineStr">
        <is>
          <t>202312</t>
        </is>
      </c>
      <c r="I152" s="41" t="inlineStr">
        <is>
          <t>19</t>
        </is>
      </c>
      <c r="J152" s="41" t="inlineStr">
        <is>
          <t>200,000</t>
        </is>
      </c>
      <c r="K152" s="41" t="inlineStr">
        <is>
          <t>113</t>
        </is>
      </c>
      <c r="L152" s="41" t="inlineStr">
        <is>
          <t>11</t>
        </is>
      </c>
      <c r="M152" s="41" t="inlineStr">
        <is>
          <t>-</t>
        </is>
      </c>
      <c r="N152" s="41" t="inlineStr">
        <is>
          <t>-</t>
        </is>
      </c>
      <c r="O152" s="41" t="inlineStr">
        <is>
          <t>2003</t>
        </is>
      </c>
      <c r="P152" s="42" t="inlineStr">
        <is>
          <t>서초대로65길 13-10</t>
        </is>
      </c>
      <c r="Q152" s="41" t="inlineStr">
        <is>
          <t>-</t>
        </is>
      </c>
      <c r="R152" s="42" t="inlineStr">
        <is>
          <t>중개거래</t>
        </is>
      </c>
      <c r="S152" s="42" t="inlineStr">
        <is>
          <t>서울 서초구</t>
        </is>
      </c>
      <c r="T152" s="41" t="inlineStr">
        <is>
          <t>23.12.29</t>
        </is>
      </c>
      <c r="U152" s="42" t="inlineStr">
        <is>
          <t>아파트</t>
        </is>
      </c>
    </row>
    <row r="153" hidden="1" ht="15" customHeight="1">
      <c r="A153" s="41" t="n">
        <v>149</v>
      </c>
      <c r="B153" s="42" t="inlineStr">
        <is>
          <t>서울특별시 서초구 서초동</t>
        </is>
      </c>
      <c r="C153" s="41" t="inlineStr">
        <is>
          <t>1517-6</t>
        </is>
      </c>
      <c r="D153" s="41" t="inlineStr">
        <is>
          <t>1517</t>
        </is>
      </c>
      <c r="E153" s="41" t="inlineStr">
        <is>
          <t>0006</t>
        </is>
      </c>
      <c r="F153" s="42" t="inlineStr">
        <is>
          <t>상지리츠빌(10)</t>
        </is>
      </c>
      <c r="G153" s="41" t="inlineStr">
        <is>
          <t>175.2200</t>
        </is>
      </c>
      <c r="H153" s="41" t="inlineStr">
        <is>
          <t>202312</t>
        </is>
      </c>
      <c r="I153" s="41" t="inlineStr">
        <is>
          <t>19</t>
        </is>
      </c>
      <c r="J153" s="41" t="inlineStr">
        <is>
          <t>252,000</t>
        </is>
      </c>
      <c r="K153" s="41" t="inlineStr">
        <is>
          <t>-</t>
        </is>
      </c>
      <c r="L153" s="41" t="inlineStr">
        <is>
          <t>4</t>
        </is>
      </c>
      <c r="M153" s="41" t="inlineStr">
        <is>
          <t>-</t>
        </is>
      </c>
      <c r="N153" s="41" t="inlineStr">
        <is>
          <t>-</t>
        </is>
      </c>
      <c r="O153" s="41" t="inlineStr">
        <is>
          <t>2005</t>
        </is>
      </c>
      <c r="P153" s="42" t="inlineStr">
        <is>
          <t>명달로16길 17-5</t>
        </is>
      </c>
      <c r="Q153" s="41" t="inlineStr">
        <is>
          <t>-</t>
        </is>
      </c>
      <c r="R153" s="42" t="inlineStr">
        <is>
          <t>중개거래</t>
        </is>
      </c>
      <c r="S153" s="42" t="inlineStr">
        <is>
          <t>서울 서초구</t>
        </is>
      </c>
      <c r="T153" s="41" t="inlineStr">
        <is>
          <t>24.03.28</t>
        </is>
      </c>
      <c r="U153" s="42" t="inlineStr">
        <is>
          <t>아파트</t>
        </is>
      </c>
    </row>
    <row r="154" hidden="1" ht="15" customHeight="1">
      <c r="A154" s="41" t="n">
        <v>150</v>
      </c>
      <c r="B154" s="42" t="inlineStr">
        <is>
          <t>서울특별시 서초구 서초동</t>
        </is>
      </c>
      <c r="C154" s="41" t="inlineStr">
        <is>
          <t>1344-13</t>
        </is>
      </c>
      <c r="D154" s="41" t="inlineStr">
        <is>
          <t>1344</t>
        </is>
      </c>
      <c r="E154" s="41" t="inlineStr">
        <is>
          <t>0013</t>
        </is>
      </c>
      <c r="F154" s="42" t="inlineStr">
        <is>
          <t>서초트라팰리스</t>
        </is>
      </c>
      <c r="G154" s="41" t="inlineStr">
        <is>
          <t>133.0500</t>
        </is>
      </c>
      <c r="H154" s="41" t="inlineStr">
        <is>
          <t>202312</t>
        </is>
      </c>
      <c r="I154" s="41" t="inlineStr">
        <is>
          <t>18</t>
        </is>
      </c>
      <c r="J154" s="41" t="inlineStr">
        <is>
          <t>214,000</t>
        </is>
      </c>
      <c r="K154" s="41" t="inlineStr">
        <is>
          <t>A</t>
        </is>
      </c>
      <c r="L154" s="41" t="inlineStr">
        <is>
          <t>23</t>
        </is>
      </c>
      <c r="M154" s="41" t="inlineStr">
        <is>
          <t>-</t>
        </is>
      </c>
      <c r="N154" s="41" t="inlineStr">
        <is>
          <t>-</t>
        </is>
      </c>
      <c r="O154" s="41" t="inlineStr">
        <is>
          <t>2005</t>
        </is>
      </c>
      <c r="P154" s="42" t="inlineStr">
        <is>
          <t>효령로72길 57</t>
        </is>
      </c>
      <c r="Q154" s="41" t="inlineStr">
        <is>
          <t>-</t>
        </is>
      </c>
      <c r="R154" s="42" t="inlineStr">
        <is>
          <t>중개거래</t>
        </is>
      </c>
      <c r="S154" s="42" t="inlineStr">
        <is>
          <t>서울 서초구</t>
        </is>
      </c>
      <c r="T154" s="41" t="inlineStr">
        <is>
          <t>24.03.15</t>
        </is>
      </c>
      <c r="U154" s="42" t="inlineStr">
        <is>
          <t>아파트</t>
        </is>
      </c>
    </row>
    <row r="155" hidden="1" ht="15" customHeight="1">
      <c r="A155" s="41" t="n">
        <v>151</v>
      </c>
      <c r="B155" s="42" t="inlineStr">
        <is>
          <t>서울특별시 서초구 서초동</t>
        </is>
      </c>
      <c r="C155" s="41" t="inlineStr">
        <is>
          <t>1338-1</t>
        </is>
      </c>
      <c r="D155" s="41" t="inlineStr">
        <is>
          <t>1338</t>
        </is>
      </c>
      <c r="E155" s="41" t="inlineStr">
        <is>
          <t>0001</t>
        </is>
      </c>
      <c r="F155" s="42" t="inlineStr">
        <is>
          <t>풍림아이원플러스</t>
        </is>
      </c>
      <c r="G155" s="41" t="inlineStr">
        <is>
          <t>34.4237</t>
        </is>
      </c>
      <c r="H155" s="41" t="inlineStr">
        <is>
          <t>202312</t>
        </is>
      </c>
      <c r="I155" s="41" t="inlineStr">
        <is>
          <t>18</t>
        </is>
      </c>
      <c r="J155" s="41" t="inlineStr">
        <is>
          <t>27,000</t>
        </is>
      </c>
      <c r="K155" s="42" t="inlineStr">
        <is>
          <t>풍림아이원플러스</t>
        </is>
      </c>
      <c r="L155" s="41" t="inlineStr">
        <is>
          <t>13</t>
        </is>
      </c>
      <c r="M155" s="41" t="inlineStr">
        <is>
          <t>-</t>
        </is>
      </c>
      <c r="N155" s="41" t="inlineStr">
        <is>
          <t>-</t>
        </is>
      </c>
      <c r="O155" s="41" t="inlineStr">
        <is>
          <t>2004</t>
        </is>
      </c>
      <c r="P155" s="42" t="inlineStr">
        <is>
          <t>효령로77길 14</t>
        </is>
      </c>
      <c r="Q155" s="41" t="inlineStr">
        <is>
          <t>-</t>
        </is>
      </c>
      <c r="R155" s="42" t="inlineStr">
        <is>
          <t>중개거래</t>
        </is>
      </c>
      <c r="S155" s="42" t="inlineStr">
        <is>
          <t>서울 강남구 서울 서초구</t>
        </is>
      </c>
      <c r="T155" s="41" t="inlineStr">
        <is>
          <t>24.02.01</t>
        </is>
      </c>
      <c r="U155" s="42" t="inlineStr">
        <is>
          <t>아파트</t>
        </is>
      </c>
    </row>
    <row r="156" hidden="1" ht="15" customHeight="1">
      <c r="A156" s="41" t="n">
        <v>152</v>
      </c>
      <c r="B156" s="42" t="inlineStr">
        <is>
          <t>서울특별시 서초구 서초동</t>
        </is>
      </c>
      <c r="C156" s="41" t="inlineStr">
        <is>
          <t>1445-14</t>
        </is>
      </c>
      <c r="D156" s="41" t="inlineStr">
        <is>
          <t>1445</t>
        </is>
      </c>
      <c r="E156" s="41" t="inlineStr">
        <is>
          <t>0014</t>
        </is>
      </c>
      <c r="F156" s="42" t="inlineStr">
        <is>
          <t>더샵서초</t>
        </is>
      </c>
      <c r="G156" s="41" t="inlineStr">
        <is>
          <t>33.0600</t>
        </is>
      </c>
      <c r="H156" s="41" t="inlineStr">
        <is>
          <t>202312</t>
        </is>
      </c>
      <c r="I156" s="41" t="inlineStr">
        <is>
          <t>18</t>
        </is>
      </c>
      <c r="J156" s="41" t="inlineStr">
        <is>
          <t>61,000</t>
        </is>
      </c>
      <c r="K156" s="41" t="inlineStr">
        <is>
          <t>103</t>
        </is>
      </c>
      <c r="L156" s="41" t="inlineStr">
        <is>
          <t>24</t>
        </is>
      </c>
      <c r="M156" s="41" t="inlineStr">
        <is>
          <t>-</t>
        </is>
      </c>
      <c r="N156" s="41" t="inlineStr">
        <is>
          <t>-</t>
        </is>
      </c>
      <c r="O156" s="41" t="inlineStr">
        <is>
          <t>2006</t>
        </is>
      </c>
      <c r="P156" s="42" t="inlineStr">
        <is>
          <t>서초중앙로2길 21</t>
        </is>
      </c>
      <c r="Q156" s="41" t="inlineStr">
        <is>
          <t>-</t>
        </is>
      </c>
      <c r="R156" s="42" t="inlineStr">
        <is>
          <t>중개거래</t>
        </is>
      </c>
      <c r="S156" s="42" t="inlineStr">
        <is>
          <t>서울 서초구</t>
        </is>
      </c>
      <c r="T156" s="41" t="inlineStr">
        <is>
          <t>24.01.05</t>
        </is>
      </c>
      <c r="U156" s="42" t="inlineStr">
        <is>
          <t>아파트</t>
        </is>
      </c>
    </row>
    <row r="157" hidden="1" ht="15" customHeight="1">
      <c r="A157" s="41" t="n">
        <v>153</v>
      </c>
      <c r="B157" s="42" t="inlineStr">
        <is>
          <t>서울특별시 서초구 서초동</t>
        </is>
      </c>
      <c r="C157" s="41" t="inlineStr">
        <is>
          <t>1312-3</t>
        </is>
      </c>
      <c r="D157" s="41" t="inlineStr">
        <is>
          <t>1312</t>
        </is>
      </c>
      <c r="E157" s="41" t="inlineStr">
        <is>
          <t>0003</t>
        </is>
      </c>
      <c r="F157" s="42" t="inlineStr">
        <is>
          <t>롯데캐슬클래식</t>
        </is>
      </c>
      <c r="G157" s="41" t="inlineStr">
        <is>
          <t>84.9800</t>
        </is>
      </c>
      <c r="H157" s="41" t="inlineStr">
        <is>
          <t>202312</t>
        </is>
      </c>
      <c r="I157" s="41" t="inlineStr">
        <is>
          <t>16</t>
        </is>
      </c>
      <c r="J157" s="41" t="inlineStr">
        <is>
          <t>230,000</t>
        </is>
      </c>
      <c r="K157" s="41" t="inlineStr">
        <is>
          <t>102</t>
        </is>
      </c>
      <c r="L157" s="41" t="inlineStr">
        <is>
          <t>16</t>
        </is>
      </c>
      <c r="M157" s="41" t="inlineStr">
        <is>
          <t>-</t>
        </is>
      </c>
      <c r="N157" s="41" t="inlineStr">
        <is>
          <t>-</t>
        </is>
      </c>
      <c r="O157" s="41" t="inlineStr">
        <is>
          <t>2006</t>
        </is>
      </c>
      <c r="P157" s="42" t="inlineStr">
        <is>
          <t>서운로 197</t>
        </is>
      </c>
      <c r="Q157" s="41" t="inlineStr">
        <is>
          <t>-</t>
        </is>
      </c>
      <c r="R157" s="42" t="inlineStr">
        <is>
          <t>중개거래</t>
        </is>
      </c>
      <c r="S157" s="42" t="inlineStr">
        <is>
          <t>서울 서초구</t>
        </is>
      </c>
      <c r="T157" s="41" t="inlineStr">
        <is>
          <t>24.03.14</t>
        </is>
      </c>
      <c r="U157" s="42" t="inlineStr">
        <is>
          <t>아파트</t>
        </is>
      </c>
    </row>
    <row r="158" hidden="1" ht="15" customHeight="1">
      <c r="A158" s="41" t="n">
        <v>154</v>
      </c>
      <c r="B158" s="42" t="inlineStr">
        <is>
          <t>서울특별시 서초구 서초동</t>
        </is>
      </c>
      <c r="C158" s="41" t="inlineStr">
        <is>
          <t>1682</t>
        </is>
      </c>
      <c r="D158" s="41" t="inlineStr">
        <is>
          <t>1682</t>
        </is>
      </c>
      <c r="E158" s="41" t="inlineStr">
        <is>
          <t>0000</t>
        </is>
      </c>
      <c r="F158" s="42" t="inlineStr">
        <is>
          <t>서초래미안</t>
        </is>
      </c>
      <c r="G158" s="41" t="inlineStr">
        <is>
          <t>126.3100</t>
        </is>
      </c>
      <c r="H158" s="41" t="inlineStr">
        <is>
          <t>202312</t>
        </is>
      </c>
      <c r="I158" s="41" t="inlineStr">
        <is>
          <t>13</t>
        </is>
      </c>
      <c r="J158" s="41" t="inlineStr">
        <is>
          <t>279,300</t>
        </is>
      </c>
      <c r="K158" s="41" t="inlineStr">
        <is>
          <t>109</t>
        </is>
      </c>
      <c r="L158" s="41" t="inlineStr">
        <is>
          <t>21</t>
        </is>
      </c>
      <c r="M158" s="41" t="inlineStr">
        <is>
          <t>-</t>
        </is>
      </c>
      <c r="N158" s="41" t="inlineStr">
        <is>
          <t>-</t>
        </is>
      </c>
      <c r="O158" s="41" t="inlineStr">
        <is>
          <t>2003</t>
        </is>
      </c>
      <c r="P158" s="42" t="inlineStr">
        <is>
          <t>서초대로65길 13-10</t>
        </is>
      </c>
      <c r="Q158" s="41" t="inlineStr">
        <is>
          <t>-</t>
        </is>
      </c>
      <c r="R158" s="42" t="inlineStr">
        <is>
          <t>중개거래</t>
        </is>
      </c>
      <c r="S158" s="42" t="inlineStr">
        <is>
          <t>서울 서초구</t>
        </is>
      </c>
      <c r="T158" s="41" t="inlineStr">
        <is>
          <t>24.02.29</t>
        </is>
      </c>
      <c r="U158" s="42" t="inlineStr">
        <is>
          <t>아파트</t>
        </is>
      </c>
    </row>
    <row r="159" hidden="1" ht="15" customHeight="1">
      <c r="A159" s="41" t="n">
        <v>155</v>
      </c>
      <c r="B159" s="42" t="inlineStr">
        <is>
          <t>서울특별시 서초구 서초동</t>
        </is>
      </c>
      <c r="C159" s="41" t="inlineStr">
        <is>
          <t>1685</t>
        </is>
      </c>
      <c r="D159" s="41" t="inlineStr">
        <is>
          <t>1685</t>
        </is>
      </c>
      <c r="E159" s="41" t="inlineStr">
        <is>
          <t>0000</t>
        </is>
      </c>
      <c r="F159" s="42" t="inlineStr">
        <is>
          <t>삼풍아파트</t>
        </is>
      </c>
      <c r="G159" s="41" t="inlineStr">
        <is>
          <t>79.4700</t>
        </is>
      </c>
      <c r="H159" s="41" t="inlineStr">
        <is>
          <t>202312</t>
        </is>
      </c>
      <c r="I159" s="41" t="inlineStr">
        <is>
          <t>13</t>
        </is>
      </c>
      <c r="J159" s="41" t="inlineStr">
        <is>
          <t>245,000</t>
        </is>
      </c>
      <c r="K159" s="41" t="inlineStr">
        <is>
          <t>3</t>
        </is>
      </c>
      <c r="L159" s="41" t="inlineStr">
        <is>
          <t>8</t>
        </is>
      </c>
      <c r="M159" s="41" t="inlineStr">
        <is>
          <t>-</t>
        </is>
      </c>
      <c r="N159" s="41" t="inlineStr">
        <is>
          <t>-</t>
        </is>
      </c>
      <c r="O159" s="41" t="inlineStr">
        <is>
          <t>1988</t>
        </is>
      </c>
      <c r="P159" s="42" t="inlineStr">
        <is>
          <t>서초중앙로 200</t>
        </is>
      </c>
      <c r="Q159" s="41" t="inlineStr">
        <is>
          <t>-</t>
        </is>
      </c>
      <c r="R159" s="42" t="inlineStr">
        <is>
          <t>중개거래</t>
        </is>
      </c>
      <c r="S159" s="42" t="inlineStr">
        <is>
          <t>서울 서초구</t>
        </is>
      </c>
      <c r="T159" s="41" t="inlineStr">
        <is>
          <t>24.03.28</t>
        </is>
      </c>
      <c r="U159" s="42" t="inlineStr">
        <is>
          <t>아파트</t>
        </is>
      </c>
    </row>
    <row r="160" hidden="1" ht="15" customHeight="1">
      <c r="A160" s="41" t="n">
        <v>156</v>
      </c>
      <c r="B160" s="42" t="inlineStr">
        <is>
          <t>서울특별시 서초구 서초동</t>
        </is>
      </c>
      <c r="C160" s="41" t="inlineStr">
        <is>
          <t>1445-4</t>
        </is>
      </c>
      <c r="D160" s="41" t="inlineStr">
        <is>
          <t>1445</t>
        </is>
      </c>
      <c r="E160" s="41" t="inlineStr">
        <is>
          <t>0004</t>
        </is>
      </c>
      <c r="F160" s="42" t="inlineStr">
        <is>
          <t>래미안서초유니빌</t>
        </is>
      </c>
      <c r="G160" s="41" t="inlineStr">
        <is>
          <t>36.5990</t>
        </is>
      </c>
      <c r="H160" s="41" t="inlineStr">
        <is>
          <t>202312</t>
        </is>
      </c>
      <c r="I160" s="41" t="inlineStr">
        <is>
          <t>12</t>
        </is>
      </c>
      <c r="J160" s="41" t="inlineStr">
        <is>
          <t>35,000</t>
        </is>
      </c>
      <c r="K160" s="42" t="inlineStr">
        <is>
          <t>래미안 서초유니빌</t>
        </is>
      </c>
      <c r="L160" s="41" t="inlineStr">
        <is>
          <t>16</t>
        </is>
      </c>
      <c r="M160" s="41" t="inlineStr">
        <is>
          <t>-</t>
        </is>
      </c>
      <c r="N160" s="41" t="inlineStr">
        <is>
          <t>-</t>
        </is>
      </c>
      <c r="O160" s="41" t="inlineStr">
        <is>
          <t>2003</t>
        </is>
      </c>
      <c r="P160" s="42" t="inlineStr">
        <is>
          <t>서초중앙로 26</t>
        </is>
      </c>
      <c r="Q160" s="41" t="inlineStr">
        <is>
          <t>-</t>
        </is>
      </c>
      <c r="R160" s="42" t="inlineStr">
        <is>
          <t>중개거래</t>
        </is>
      </c>
      <c r="S160" s="42" t="inlineStr">
        <is>
          <t>서울 서초구</t>
        </is>
      </c>
      <c r="T160" s="41" t="inlineStr">
        <is>
          <t>24.01.11</t>
        </is>
      </c>
      <c r="U160" s="42" t="inlineStr">
        <is>
          <t>아파트</t>
        </is>
      </c>
    </row>
    <row r="161" hidden="1" ht="15" customHeight="1">
      <c r="A161" s="41" t="n">
        <v>157</v>
      </c>
      <c r="B161" s="42" t="inlineStr">
        <is>
          <t>서울특별시 서초구 서초동</t>
        </is>
      </c>
      <c r="C161" s="41" t="inlineStr">
        <is>
          <t>1446-11</t>
        </is>
      </c>
      <c r="D161" s="41" t="inlineStr">
        <is>
          <t>1446</t>
        </is>
      </c>
      <c r="E161" s="41" t="inlineStr">
        <is>
          <t>0011</t>
        </is>
      </c>
      <c r="F161" s="42" t="inlineStr">
        <is>
          <t>현대슈퍼빌</t>
        </is>
      </c>
      <c r="G161" s="41" t="inlineStr">
        <is>
          <t>147.8600</t>
        </is>
      </c>
      <c r="H161" s="41" t="inlineStr">
        <is>
          <t>202312</t>
        </is>
      </c>
      <c r="I161" s="41" t="inlineStr">
        <is>
          <t>12</t>
        </is>
      </c>
      <c r="J161" s="41" t="inlineStr">
        <is>
          <t>260,000</t>
        </is>
      </c>
      <c r="K161" s="41" t="inlineStr">
        <is>
          <t>C</t>
        </is>
      </c>
      <c r="L161" s="41" t="inlineStr">
        <is>
          <t>20</t>
        </is>
      </c>
      <c r="M161" s="41" t="inlineStr">
        <is>
          <t>-</t>
        </is>
      </c>
      <c r="N161" s="41" t="inlineStr">
        <is>
          <t>-</t>
        </is>
      </c>
      <c r="O161" s="41" t="inlineStr">
        <is>
          <t>2003</t>
        </is>
      </c>
      <c r="P161" s="42" t="inlineStr">
        <is>
          <t>서초중앙로 15</t>
        </is>
      </c>
      <c r="Q161" s="41" t="inlineStr">
        <is>
          <t>-</t>
        </is>
      </c>
      <c r="R161" s="42" t="inlineStr">
        <is>
          <t>중개거래</t>
        </is>
      </c>
      <c r="S161" s="42" t="inlineStr">
        <is>
          <t>서울 강남구, 서울 서초구</t>
        </is>
      </c>
      <c r="T161" s="41" t="inlineStr">
        <is>
          <t>24.03.04</t>
        </is>
      </c>
      <c r="U161" s="42" t="inlineStr">
        <is>
          <t>아파트</t>
        </is>
      </c>
    </row>
    <row r="162" hidden="1" ht="15" customHeight="1">
      <c r="A162" s="41" t="n">
        <v>158</v>
      </c>
      <c r="B162" s="42" t="inlineStr">
        <is>
          <t>서울특별시 서초구 서초동</t>
        </is>
      </c>
      <c r="C162" s="41" t="inlineStr">
        <is>
          <t>1330</t>
        </is>
      </c>
      <c r="D162" s="41" t="inlineStr">
        <is>
          <t>1330</t>
        </is>
      </c>
      <c r="E162" s="41" t="inlineStr">
        <is>
          <t>0000</t>
        </is>
      </c>
      <c r="F162" s="42" t="inlineStr">
        <is>
          <t>서초동삼성쉐르빌2</t>
        </is>
      </c>
      <c r="G162" s="41" t="inlineStr">
        <is>
          <t>35.2200</t>
        </is>
      </c>
      <c r="H162" s="41" t="inlineStr">
        <is>
          <t>202312</t>
        </is>
      </c>
      <c r="I162" s="41" t="inlineStr">
        <is>
          <t>09</t>
        </is>
      </c>
      <c r="J162" s="41" t="inlineStr">
        <is>
          <t>29,000</t>
        </is>
      </c>
      <c r="K162" s="41" t="inlineStr">
        <is>
          <t>-</t>
        </is>
      </c>
      <c r="L162" s="41" t="inlineStr">
        <is>
          <t>13</t>
        </is>
      </c>
      <c r="M162" s="41" t="inlineStr">
        <is>
          <t>-</t>
        </is>
      </c>
      <c r="N162" s="41" t="inlineStr">
        <is>
          <t>-</t>
        </is>
      </c>
      <c r="O162" s="41" t="inlineStr">
        <is>
          <t>2002</t>
        </is>
      </c>
      <c r="P162" s="42" t="inlineStr">
        <is>
          <t>강남대로53길 11</t>
        </is>
      </c>
      <c r="Q162" s="41" t="inlineStr">
        <is>
          <t>-</t>
        </is>
      </c>
      <c r="R162" s="42" t="inlineStr">
        <is>
          <t>중개거래</t>
        </is>
      </c>
      <c r="S162" s="42" t="inlineStr">
        <is>
          <t>서울 서초구</t>
        </is>
      </c>
      <c r="T162" s="41" t="inlineStr">
        <is>
          <t>24.01.08</t>
        </is>
      </c>
      <c r="U162" s="42" t="inlineStr">
        <is>
          <t>아파트</t>
        </is>
      </c>
    </row>
    <row r="163" hidden="1" ht="15" customHeight="1">
      <c r="A163" s="41" t="n">
        <v>159</v>
      </c>
      <c r="B163" s="42" t="inlineStr">
        <is>
          <t>서울특별시 서초구 서초동</t>
        </is>
      </c>
      <c r="C163" s="41" t="inlineStr">
        <is>
          <t>1509-1</t>
        </is>
      </c>
      <c r="D163" s="41" t="inlineStr">
        <is>
          <t>1509</t>
        </is>
      </c>
      <c r="E163" s="41" t="inlineStr">
        <is>
          <t>0001</t>
        </is>
      </c>
      <c r="F163" s="42" t="inlineStr">
        <is>
          <t>서초한빛삼성</t>
        </is>
      </c>
      <c r="G163" s="41" t="inlineStr">
        <is>
          <t>99.0900</t>
        </is>
      </c>
      <c r="H163" s="41" t="inlineStr">
        <is>
          <t>202312</t>
        </is>
      </c>
      <c r="I163" s="41" t="inlineStr">
        <is>
          <t>08</t>
        </is>
      </c>
      <c r="J163" s="41" t="inlineStr">
        <is>
          <t>178,700</t>
        </is>
      </c>
      <c r="K163" s="41" t="inlineStr">
        <is>
          <t>102</t>
        </is>
      </c>
      <c r="L163" s="41" t="inlineStr">
        <is>
          <t>5</t>
        </is>
      </c>
      <c r="M163" s="41" t="inlineStr">
        <is>
          <t>-</t>
        </is>
      </c>
      <c r="N163" s="41" t="inlineStr">
        <is>
          <t>-</t>
        </is>
      </c>
      <c r="O163" s="41" t="inlineStr">
        <is>
          <t>1999</t>
        </is>
      </c>
      <c r="P163" s="42" t="inlineStr">
        <is>
          <t>서초대로40길 72</t>
        </is>
      </c>
      <c r="Q163" s="41" t="inlineStr">
        <is>
          <t>-</t>
        </is>
      </c>
      <c r="R163" s="42" t="inlineStr">
        <is>
          <t>중개거래</t>
        </is>
      </c>
      <c r="S163" s="42" t="inlineStr">
        <is>
          <t>서울 서초구</t>
        </is>
      </c>
      <c r="T163" s="41" t="inlineStr">
        <is>
          <t>24.04.30</t>
        </is>
      </c>
      <c r="U163" s="42" t="inlineStr">
        <is>
          <t>아파트</t>
        </is>
      </c>
    </row>
    <row r="164" hidden="1" ht="15" customHeight="1">
      <c r="A164" s="41" t="n">
        <v>160</v>
      </c>
      <c r="B164" s="42" t="inlineStr">
        <is>
          <t>서울특별시 서초구 서초동</t>
        </is>
      </c>
      <c r="C164" s="41" t="inlineStr">
        <is>
          <t>1685</t>
        </is>
      </c>
      <c r="D164" s="41" t="inlineStr">
        <is>
          <t>1685</t>
        </is>
      </c>
      <c r="E164" s="41" t="inlineStr">
        <is>
          <t>0000</t>
        </is>
      </c>
      <c r="F164" s="42" t="inlineStr">
        <is>
          <t>삼풍아파트</t>
        </is>
      </c>
      <c r="G164" s="41" t="inlineStr">
        <is>
          <t>130.7300</t>
        </is>
      </c>
      <c r="H164" s="41" t="inlineStr">
        <is>
          <t>202312</t>
        </is>
      </c>
      <c r="I164" s="41" t="inlineStr">
        <is>
          <t>08</t>
        </is>
      </c>
      <c r="J164" s="41" t="inlineStr">
        <is>
          <t>330,000</t>
        </is>
      </c>
      <c r="K164" s="41" t="inlineStr">
        <is>
          <t>16</t>
        </is>
      </c>
      <c r="L164" s="41" t="inlineStr">
        <is>
          <t>9</t>
        </is>
      </c>
      <c r="M164" s="41" t="inlineStr">
        <is>
          <t>-</t>
        </is>
      </c>
      <c r="N164" s="41" t="inlineStr">
        <is>
          <t>-</t>
        </is>
      </c>
      <c r="O164" s="41" t="inlineStr">
        <is>
          <t>1988</t>
        </is>
      </c>
      <c r="P164" s="42" t="inlineStr">
        <is>
          <t>서초중앙로 200</t>
        </is>
      </c>
      <c r="Q164" s="41" t="inlineStr">
        <is>
          <t>-</t>
        </is>
      </c>
      <c r="R164" s="42" t="inlineStr">
        <is>
          <t>중개거래</t>
        </is>
      </c>
      <c r="S164" s="42" t="inlineStr">
        <is>
          <t>서울 서초구</t>
        </is>
      </c>
      <c r="T164" s="41" t="inlineStr">
        <is>
          <t>24.03.20</t>
        </is>
      </c>
      <c r="U164" s="42" t="inlineStr">
        <is>
          <t>아파트</t>
        </is>
      </c>
    </row>
    <row r="165" hidden="1" ht="15" customHeight="1">
      <c r="A165" s="41" t="n">
        <v>161</v>
      </c>
      <c r="B165" s="42" t="inlineStr">
        <is>
          <t>서울특별시 서초구 서초동</t>
        </is>
      </c>
      <c r="C165" s="41" t="inlineStr">
        <is>
          <t>1682</t>
        </is>
      </c>
      <c r="D165" s="41" t="inlineStr">
        <is>
          <t>1682</t>
        </is>
      </c>
      <c r="E165" s="41" t="inlineStr">
        <is>
          <t>0000</t>
        </is>
      </c>
      <c r="F165" s="42" t="inlineStr">
        <is>
          <t>서초래미안</t>
        </is>
      </c>
      <c r="G165" s="41" t="inlineStr">
        <is>
          <t>111.3200</t>
        </is>
      </c>
      <c r="H165" s="41" t="inlineStr">
        <is>
          <t>202312</t>
        </is>
      </c>
      <c r="I165" s="41" t="inlineStr">
        <is>
          <t>07</t>
        </is>
      </c>
      <c r="J165" s="41" t="inlineStr">
        <is>
          <t>252,000</t>
        </is>
      </c>
      <c r="K165" s="41" t="inlineStr">
        <is>
          <t>105</t>
        </is>
      </c>
      <c r="L165" s="41" t="inlineStr">
        <is>
          <t>9</t>
        </is>
      </c>
      <c r="M165" s="41" t="inlineStr">
        <is>
          <t>-</t>
        </is>
      </c>
      <c r="N165" s="41" t="inlineStr">
        <is>
          <t>-</t>
        </is>
      </c>
      <c r="O165" s="41" t="inlineStr">
        <is>
          <t>2003</t>
        </is>
      </c>
      <c r="P165" s="42" t="inlineStr">
        <is>
          <t>서초대로65길 13-10</t>
        </is>
      </c>
      <c r="Q165" s="41" t="inlineStr">
        <is>
          <t>-</t>
        </is>
      </c>
      <c r="R165" s="42" t="inlineStr">
        <is>
          <t>중개거래</t>
        </is>
      </c>
      <c r="S165" s="42" t="inlineStr">
        <is>
          <t>서울 서초구</t>
        </is>
      </c>
      <c r="T165" s="41" t="inlineStr">
        <is>
          <t>24.02.15</t>
        </is>
      </c>
      <c r="U165" s="42" t="inlineStr">
        <is>
          <t>아파트</t>
        </is>
      </c>
    </row>
    <row r="166" hidden="1" ht="15" customHeight="1">
      <c r="A166" s="41" t="n">
        <v>162</v>
      </c>
      <c r="B166" s="42" t="inlineStr">
        <is>
          <t>서울특별시 서초구 서초동</t>
        </is>
      </c>
      <c r="C166" s="41" t="inlineStr">
        <is>
          <t>1757</t>
        </is>
      </c>
      <c r="D166" s="41" t="inlineStr">
        <is>
          <t>1757</t>
        </is>
      </c>
      <c r="E166" s="41" t="inlineStr">
        <is>
          <t>0000</t>
        </is>
      </c>
      <c r="F166" s="42" t="inlineStr">
        <is>
          <t>서초그랑자이</t>
        </is>
      </c>
      <c r="G166" s="41" t="inlineStr">
        <is>
          <t>119.4100</t>
        </is>
      </c>
      <c r="H166" s="41" t="inlineStr">
        <is>
          <t>202312</t>
        </is>
      </c>
      <c r="I166" s="41" t="inlineStr">
        <is>
          <t>07</t>
        </is>
      </c>
      <c r="J166" s="41" t="inlineStr">
        <is>
          <t>365,000</t>
        </is>
      </c>
      <c r="K166" s="41" t="inlineStr">
        <is>
          <t>107동</t>
        </is>
      </c>
      <c r="L166" s="41" t="inlineStr">
        <is>
          <t>23</t>
        </is>
      </c>
      <c r="M166" s="41" t="inlineStr">
        <is>
          <t>-</t>
        </is>
      </c>
      <c r="N166" s="41" t="inlineStr">
        <is>
          <t>-</t>
        </is>
      </c>
      <c r="O166" s="41" t="inlineStr">
        <is>
          <t>2021</t>
        </is>
      </c>
      <c r="P166" s="42" t="inlineStr">
        <is>
          <t>효령로 391</t>
        </is>
      </c>
      <c r="Q166" s="41" t="inlineStr">
        <is>
          <t>-</t>
        </is>
      </c>
      <c r="R166" s="42" t="inlineStr">
        <is>
          <t>중개거래</t>
        </is>
      </c>
      <c r="S166" s="42" t="inlineStr">
        <is>
          <t>서울 서초구</t>
        </is>
      </c>
      <c r="T166" s="41" t="inlineStr">
        <is>
          <t>24.01.05</t>
        </is>
      </c>
      <c r="U166" s="42" t="inlineStr">
        <is>
          <t>아파트</t>
        </is>
      </c>
    </row>
    <row r="167" hidden="1" ht="15" customHeight="1">
      <c r="A167" s="41" t="n">
        <v>163</v>
      </c>
      <c r="B167" s="42" t="inlineStr">
        <is>
          <t>서울특별시 서초구 서초동</t>
        </is>
      </c>
      <c r="C167" s="41" t="inlineStr">
        <is>
          <t>1337-3</t>
        </is>
      </c>
      <c r="D167" s="41" t="inlineStr">
        <is>
          <t>1337</t>
        </is>
      </c>
      <c r="E167" s="41" t="inlineStr">
        <is>
          <t>0003</t>
        </is>
      </c>
      <c r="F167" s="41" t="inlineStr">
        <is>
          <t>urbanplace</t>
        </is>
      </c>
      <c r="G167" s="41" t="inlineStr">
        <is>
          <t>21.0700</t>
        </is>
      </c>
      <c r="H167" s="41" t="inlineStr">
        <is>
          <t>202312</t>
        </is>
      </c>
      <c r="I167" s="41" t="inlineStr">
        <is>
          <t>06</t>
        </is>
      </c>
      <c r="J167" s="41" t="inlineStr">
        <is>
          <t>19,200</t>
        </is>
      </c>
      <c r="K167" s="41" t="inlineStr">
        <is>
          <t>1</t>
        </is>
      </c>
      <c r="L167" s="41" t="inlineStr">
        <is>
          <t>4</t>
        </is>
      </c>
      <c r="M167" s="41" t="inlineStr">
        <is>
          <t>-</t>
        </is>
      </c>
      <c r="N167" s="41" t="inlineStr">
        <is>
          <t>-</t>
        </is>
      </c>
      <c r="O167" s="41" t="inlineStr">
        <is>
          <t>2014</t>
        </is>
      </c>
      <c r="P167" s="42" t="inlineStr">
        <is>
          <t>효령로77길 30</t>
        </is>
      </c>
      <c r="Q167" s="41" t="inlineStr">
        <is>
          <t>-</t>
        </is>
      </c>
      <c r="R167" s="42" t="inlineStr">
        <is>
          <t>중개거래</t>
        </is>
      </c>
      <c r="S167" s="42" t="inlineStr">
        <is>
          <t>서울 서초구</t>
        </is>
      </c>
      <c r="T167" s="41" t="inlineStr">
        <is>
          <t>23.12.18</t>
        </is>
      </c>
      <c r="U167" s="42" t="inlineStr">
        <is>
          <t>아파트</t>
        </is>
      </c>
    </row>
    <row r="168" hidden="1" ht="15" customHeight="1">
      <c r="A168" s="41" t="n">
        <v>164</v>
      </c>
      <c r="B168" s="42" t="inlineStr">
        <is>
          <t>서울특별시 서초구 서초동</t>
        </is>
      </c>
      <c r="C168" s="41" t="inlineStr">
        <is>
          <t>1755</t>
        </is>
      </c>
      <c r="D168" s="41" t="inlineStr">
        <is>
          <t>1755</t>
        </is>
      </c>
      <c r="E168" s="41" t="inlineStr">
        <is>
          <t>0000</t>
        </is>
      </c>
      <c r="F168" s="42" t="inlineStr">
        <is>
          <t>래미안 리더스원</t>
        </is>
      </c>
      <c r="G168" s="41" t="inlineStr">
        <is>
          <t>84.9300</t>
        </is>
      </c>
      <c r="H168" s="41" t="inlineStr">
        <is>
          <t>202312</t>
        </is>
      </c>
      <c r="I168" s="41" t="inlineStr">
        <is>
          <t>01</t>
        </is>
      </c>
      <c r="J168" s="41" t="inlineStr">
        <is>
          <t>270,000</t>
        </is>
      </c>
      <c r="K168" s="41" t="inlineStr">
        <is>
          <t>105동</t>
        </is>
      </c>
      <c r="L168" s="41" t="inlineStr">
        <is>
          <t>14</t>
        </is>
      </c>
      <c r="M168" s="41" t="inlineStr">
        <is>
          <t>-</t>
        </is>
      </c>
      <c r="N168" s="41" t="inlineStr">
        <is>
          <t>-</t>
        </is>
      </c>
      <c r="O168" s="41" t="inlineStr">
        <is>
          <t>2020</t>
        </is>
      </c>
      <c r="P168" s="42" t="inlineStr">
        <is>
          <t>서운로 62</t>
        </is>
      </c>
      <c r="Q168" s="41" t="inlineStr">
        <is>
          <t>-</t>
        </is>
      </c>
      <c r="R168" s="42" t="inlineStr">
        <is>
          <t>중개거래</t>
        </is>
      </c>
      <c r="S168" s="42" t="inlineStr">
        <is>
          <t>서울 서초구</t>
        </is>
      </c>
      <c r="T168" s="41" t="inlineStr">
        <is>
          <t>24.02.20</t>
        </is>
      </c>
      <c r="U168" s="42" t="inlineStr">
        <is>
          <t>아파트</t>
        </is>
      </c>
    </row>
    <row r="169" hidden="1" ht="15" customHeight="1">
      <c r="A169" s="41" t="n">
        <v>165</v>
      </c>
      <c r="B169" s="42" t="inlineStr">
        <is>
          <t>서울특별시 서초구 서초동</t>
        </is>
      </c>
      <c r="C169" s="41" t="inlineStr">
        <is>
          <t>1518-2</t>
        </is>
      </c>
      <c r="D169" s="41" t="inlineStr">
        <is>
          <t>1518</t>
        </is>
      </c>
      <c r="E169" s="41" t="inlineStr">
        <is>
          <t>0002</t>
        </is>
      </c>
      <c r="F169" s="42" t="inlineStr">
        <is>
          <t>월드빌라트</t>
        </is>
      </c>
      <c r="G169" s="41" t="inlineStr">
        <is>
          <t>244.7600</t>
        </is>
      </c>
      <c r="H169" s="41" t="inlineStr">
        <is>
          <t>202311</t>
        </is>
      </c>
      <c r="I169" s="41" t="inlineStr">
        <is>
          <t>27</t>
        </is>
      </c>
      <c r="J169" s="41" t="inlineStr">
        <is>
          <t>325,000</t>
        </is>
      </c>
      <c r="K169" s="41" t="inlineStr">
        <is>
          <t>-</t>
        </is>
      </c>
      <c r="L169" s="41" t="inlineStr">
        <is>
          <t>9</t>
        </is>
      </c>
      <c r="M169" s="41" t="inlineStr">
        <is>
          <t>-</t>
        </is>
      </c>
      <c r="N169" s="41" t="inlineStr">
        <is>
          <t>-</t>
        </is>
      </c>
      <c r="O169" s="41" t="inlineStr">
        <is>
          <t>1996</t>
        </is>
      </c>
      <c r="P169" s="42" t="inlineStr">
        <is>
          <t>명달로16길 31-13</t>
        </is>
      </c>
      <c r="Q169" s="41" t="inlineStr">
        <is>
          <t>-</t>
        </is>
      </c>
      <c r="R169" s="42" t="inlineStr">
        <is>
          <t>중개거래</t>
        </is>
      </c>
      <c r="S169" s="42" t="inlineStr">
        <is>
          <t>서울 서초구</t>
        </is>
      </c>
      <c r="T169" s="41" t="inlineStr">
        <is>
          <t>23.12.22</t>
        </is>
      </c>
      <c r="U169" s="42" t="inlineStr">
        <is>
          <t>아파트</t>
        </is>
      </c>
    </row>
    <row r="170" hidden="1" ht="15" customHeight="1">
      <c r="A170" s="41" t="n">
        <v>166</v>
      </c>
      <c r="B170" s="42" t="inlineStr">
        <is>
          <t>서울특별시 서초구 서초동</t>
        </is>
      </c>
      <c r="C170" s="41" t="inlineStr">
        <is>
          <t>1337-3</t>
        </is>
      </c>
      <c r="D170" s="41" t="inlineStr">
        <is>
          <t>1337</t>
        </is>
      </c>
      <c r="E170" s="41" t="inlineStr">
        <is>
          <t>0003</t>
        </is>
      </c>
      <c r="F170" s="41" t="inlineStr">
        <is>
          <t>urbanplace</t>
        </is>
      </c>
      <c r="G170" s="41" t="inlineStr">
        <is>
          <t>20.9980</t>
        </is>
      </c>
      <c r="H170" s="41" t="inlineStr">
        <is>
          <t>202311</t>
        </is>
      </c>
      <c r="I170" s="41" t="inlineStr">
        <is>
          <t>27</t>
        </is>
      </c>
      <c r="J170" s="41" t="inlineStr">
        <is>
          <t>19,000</t>
        </is>
      </c>
      <c r="K170" s="41" t="inlineStr">
        <is>
          <t>1</t>
        </is>
      </c>
      <c r="L170" s="41" t="inlineStr">
        <is>
          <t>7</t>
        </is>
      </c>
      <c r="M170" s="41" t="inlineStr">
        <is>
          <t>-</t>
        </is>
      </c>
      <c r="N170" s="41" t="inlineStr">
        <is>
          <t>-</t>
        </is>
      </c>
      <c r="O170" s="41" t="inlineStr">
        <is>
          <t>2014</t>
        </is>
      </c>
      <c r="P170" s="42" t="inlineStr">
        <is>
          <t>효령로77길 30</t>
        </is>
      </c>
      <c r="Q170" s="41" t="inlineStr">
        <is>
          <t>-</t>
        </is>
      </c>
      <c r="R170" s="42" t="inlineStr">
        <is>
          <t>중개거래</t>
        </is>
      </c>
      <c r="S170" s="42" t="inlineStr">
        <is>
          <t>서울 서초구</t>
        </is>
      </c>
      <c r="T170" s="41" t="inlineStr">
        <is>
          <t>24.01.22</t>
        </is>
      </c>
      <c r="U170" s="42" t="inlineStr">
        <is>
          <t>아파트</t>
        </is>
      </c>
    </row>
    <row r="171" hidden="1" ht="15" customHeight="1">
      <c r="A171" s="41" t="n">
        <v>167</v>
      </c>
      <c r="B171" s="42" t="inlineStr">
        <is>
          <t>서울특별시 서초구 서초동</t>
        </is>
      </c>
      <c r="C171" s="41" t="inlineStr">
        <is>
          <t>1472-21</t>
        </is>
      </c>
      <c r="D171" s="41" t="inlineStr">
        <is>
          <t>1472</t>
        </is>
      </c>
      <c r="E171" s="41" t="inlineStr">
        <is>
          <t>0021</t>
        </is>
      </c>
      <c r="F171" s="42" t="inlineStr">
        <is>
          <t>새티스2</t>
        </is>
      </c>
      <c r="G171" s="41" t="inlineStr">
        <is>
          <t>84.4800</t>
        </is>
      </c>
      <c r="H171" s="41" t="inlineStr">
        <is>
          <t>202311</t>
        </is>
      </c>
      <c r="I171" s="41" t="inlineStr">
        <is>
          <t>25</t>
        </is>
      </c>
      <c r="J171" s="41" t="inlineStr">
        <is>
          <t>90,000</t>
        </is>
      </c>
      <c r="K171" s="41" t="inlineStr">
        <is>
          <t>-</t>
        </is>
      </c>
      <c r="L171" s="41" t="inlineStr">
        <is>
          <t>4</t>
        </is>
      </c>
      <c r="M171" s="41" t="inlineStr">
        <is>
          <t>-</t>
        </is>
      </c>
      <c r="N171" s="41" t="inlineStr">
        <is>
          <t>-</t>
        </is>
      </c>
      <c r="O171" s="41" t="inlineStr">
        <is>
          <t>2002</t>
        </is>
      </c>
      <c r="P171" s="42" t="inlineStr">
        <is>
          <t>반포대로3길 48</t>
        </is>
      </c>
      <c r="Q171" s="41" t="inlineStr">
        <is>
          <t>-</t>
        </is>
      </c>
      <c r="R171" s="42" t="inlineStr">
        <is>
          <t>중개거래</t>
        </is>
      </c>
      <c r="S171" s="42" t="inlineStr">
        <is>
          <t>서울 서초구</t>
        </is>
      </c>
      <c r="T171" s="41" t="inlineStr">
        <is>
          <t>24.02.29</t>
        </is>
      </c>
      <c r="U171" s="42" t="inlineStr">
        <is>
          <t>아파트</t>
        </is>
      </c>
    </row>
    <row r="172" hidden="1" ht="15" customHeight="1">
      <c r="A172" s="41" t="n">
        <v>168</v>
      </c>
      <c r="B172" s="42" t="inlineStr">
        <is>
          <t>서울특별시 서초구 서초동</t>
        </is>
      </c>
      <c r="C172" s="41" t="inlineStr">
        <is>
          <t>1363-25</t>
        </is>
      </c>
      <c r="D172" s="41" t="inlineStr">
        <is>
          <t>1363</t>
        </is>
      </c>
      <c r="E172" s="41" t="inlineStr">
        <is>
          <t>0025</t>
        </is>
      </c>
      <c r="F172" s="42" t="inlineStr">
        <is>
          <t>한라비발디스튜디오193</t>
        </is>
      </c>
      <c r="G172" s="41" t="inlineStr">
        <is>
          <t>19.9900</t>
        </is>
      </c>
      <c r="H172" s="41" t="inlineStr">
        <is>
          <t>202311</t>
        </is>
      </c>
      <c r="I172" s="41" t="inlineStr">
        <is>
          <t>23</t>
        </is>
      </c>
      <c r="J172" s="41" t="inlineStr">
        <is>
          <t>26,500</t>
        </is>
      </c>
      <c r="K172" s="42" t="inlineStr">
        <is>
          <t>한라비발디스튜디오193</t>
        </is>
      </c>
      <c r="L172" s="41" t="inlineStr">
        <is>
          <t>12</t>
        </is>
      </c>
      <c r="M172" s="41" t="inlineStr">
        <is>
          <t>-</t>
        </is>
      </c>
      <c r="N172" s="41" t="inlineStr">
        <is>
          <t>-</t>
        </is>
      </c>
      <c r="O172" s="41" t="inlineStr">
        <is>
          <t>2013</t>
        </is>
      </c>
      <c r="P172" s="42" t="inlineStr">
        <is>
          <t>강남대로39길 15-10</t>
        </is>
      </c>
      <c r="Q172" s="41" t="inlineStr">
        <is>
          <t>-</t>
        </is>
      </c>
      <c r="R172" s="42" t="inlineStr">
        <is>
          <t>중개거래</t>
        </is>
      </c>
      <c r="S172" s="42" t="inlineStr">
        <is>
          <t>서울 서초구</t>
        </is>
      </c>
      <c r="T172" s="41" t="inlineStr">
        <is>
          <t>23.12.22</t>
        </is>
      </c>
      <c r="U172" s="42" t="inlineStr">
        <is>
          <t>아파트</t>
        </is>
      </c>
    </row>
    <row r="173" hidden="1" ht="15" customHeight="1">
      <c r="A173" s="41" t="n">
        <v>169</v>
      </c>
      <c r="B173" s="42" t="inlineStr">
        <is>
          <t>서울특별시 서초구 서초동</t>
        </is>
      </c>
      <c r="C173" s="41" t="inlineStr">
        <is>
          <t>1491-1</t>
        </is>
      </c>
      <c r="D173" s="41" t="inlineStr">
        <is>
          <t>1491</t>
        </is>
      </c>
      <c r="E173" s="41" t="inlineStr">
        <is>
          <t>0001</t>
        </is>
      </c>
      <c r="F173" s="42" t="inlineStr">
        <is>
          <t>상지리츠빌(7)</t>
        </is>
      </c>
      <c r="G173" s="41" t="inlineStr">
        <is>
          <t>223.2500</t>
        </is>
      </c>
      <c r="H173" s="41" t="inlineStr">
        <is>
          <t>202311</t>
        </is>
      </c>
      <c r="I173" s="41" t="inlineStr">
        <is>
          <t>23</t>
        </is>
      </c>
      <c r="J173" s="41" t="inlineStr">
        <is>
          <t>235,000</t>
        </is>
      </c>
      <c r="K173" s="41" t="inlineStr">
        <is>
          <t>7차</t>
        </is>
      </c>
      <c r="L173" s="41" t="inlineStr">
        <is>
          <t>5</t>
        </is>
      </c>
      <c r="M173" s="41" t="inlineStr">
        <is>
          <t>-</t>
        </is>
      </c>
      <c r="N173" s="41" t="inlineStr">
        <is>
          <t>-</t>
        </is>
      </c>
      <c r="O173" s="41" t="inlineStr">
        <is>
          <t>2005</t>
        </is>
      </c>
      <c r="P173" s="42" t="inlineStr">
        <is>
          <t>명달로13길 25</t>
        </is>
      </c>
      <c r="Q173" s="41" t="inlineStr">
        <is>
          <t>-</t>
        </is>
      </c>
      <c r="R173" s="42" t="inlineStr">
        <is>
          <t>직거래</t>
        </is>
      </c>
      <c r="S173" s="41" t="inlineStr">
        <is>
          <t>-</t>
        </is>
      </c>
      <c r="T173" s="41" t="inlineStr">
        <is>
          <t>24.02.13</t>
        </is>
      </c>
      <c r="U173" s="42" t="inlineStr">
        <is>
          <t>아파트</t>
        </is>
      </c>
    </row>
    <row r="174" hidden="1" ht="15" customHeight="1">
      <c r="A174" s="41" t="n">
        <v>170</v>
      </c>
      <c r="B174" s="42" t="inlineStr">
        <is>
          <t>서울특별시 서초구 서초동</t>
        </is>
      </c>
      <c r="C174" s="41" t="inlineStr">
        <is>
          <t>1675-11</t>
        </is>
      </c>
      <c r="D174" s="41" t="inlineStr">
        <is>
          <t>1675</t>
        </is>
      </c>
      <c r="E174" s="41" t="inlineStr">
        <is>
          <t>0011</t>
        </is>
      </c>
      <c r="F174" s="42" t="inlineStr">
        <is>
          <t>서초대우아이빌</t>
        </is>
      </c>
      <c r="G174" s="41" t="inlineStr">
        <is>
          <t>37.7770</t>
        </is>
      </c>
      <c r="H174" s="41" t="inlineStr">
        <is>
          <t>202311</t>
        </is>
      </c>
      <c r="I174" s="41" t="inlineStr">
        <is>
          <t>22</t>
        </is>
      </c>
      <c r="J174" s="41" t="inlineStr">
        <is>
          <t>31,500</t>
        </is>
      </c>
      <c r="K174" s="42" t="inlineStr">
        <is>
          <t>서초 대우아이빌</t>
        </is>
      </c>
      <c r="L174" s="41" t="inlineStr">
        <is>
          <t>4</t>
        </is>
      </c>
      <c r="M174" s="41" t="inlineStr">
        <is>
          <t>-</t>
        </is>
      </c>
      <c r="N174" s="41" t="inlineStr">
        <is>
          <t>-</t>
        </is>
      </c>
      <c r="O174" s="41" t="inlineStr">
        <is>
          <t>2003</t>
        </is>
      </c>
      <c r="P174" s="42" t="inlineStr">
        <is>
          <t>서초대로58길 10</t>
        </is>
      </c>
      <c r="Q174" s="41" t="inlineStr">
        <is>
          <t>-</t>
        </is>
      </c>
      <c r="R174" s="42" t="inlineStr">
        <is>
          <t>중개거래</t>
        </is>
      </c>
      <c r="S174" s="42" t="inlineStr">
        <is>
          <t>서울 서초구</t>
        </is>
      </c>
      <c r="T174" s="41" t="inlineStr">
        <is>
          <t>23.12.26</t>
        </is>
      </c>
      <c r="U174" s="42" t="inlineStr">
        <is>
          <t>아파트</t>
        </is>
      </c>
    </row>
    <row r="175" hidden="1" ht="15" customHeight="1">
      <c r="A175" s="41" t="n">
        <v>171</v>
      </c>
      <c r="B175" s="42" t="inlineStr">
        <is>
          <t>서울특별시 서초구 서초동</t>
        </is>
      </c>
      <c r="C175" s="41" t="inlineStr">
        <is>
          <t>1685-3</t>
        </is>
      </c>
      <c r="D175" s="41" t="inlineStr">
        <is>
          <t>1685</t>
        </is>
      </c>
      <c r="E175" s="41" t="inlineStr">
        <is>
          <t>0003</t>
        </is>
      </c>
      <c r="F175" s="42" t="inlineStr">
        <is>
          <t>아크로비스타</t>
        </is>
      </c>
      <c r="G175" s="41" t="inlineStr">
        <is>
          <t>151.6100</t>
        </is>
      </c>
      <c r="H175" s="41" t="inlineStr">
        <is>
          <t>202311</t>
        </is>
      </c>
      <c r="I175" s="41" t="inlineStr">
        <is>
          <t>21</t>
        </is>
      </c>
      <c r="J175" s="41" t="inlineStr">
        <is>
          <t>277,000</t>
        </is>
      </c>
      <c r="K175" s="41" t="inlineStr">
        <is>
          <t>A</t>
        </is>
      </c>
      <c r="L175" s="41" t="inlineStr">
        <is>
          <t>10</t>
        </is>
      </c>
      <c r="M175" s="41" t="inlineStr">
        <is>
          <t>-</t>
        </is>
      </c>
      <c r="N175" s="41" t="inlineStr">
        <is>
          <t>-</t>
        </is>
      </c>
      <c r="O175" s="41" t="inlineStr">
        <is>
          <t>2004</t>
        </is>
      </c>
      <c r="P175" s="42" t="inlineStr">
        <is>
          <t>서초중앙로 188</t>
        </is>
      </c>
      <c r="Q175" s="41" t="inlineStr">
        <is>
          <t>-</t>
        </is>
      </c>
      <c r="R175" s="42" t="inlineStr">
        <is>
          <t>중개거래</t>
        </is>
      </c>
      <c r="S175" s="42" t="inlineStr">
        <is>
          <t>서울 강동구 서울 서초구</t>
        </is>
      </c>
      <c r="T175" s="41" t="inlineStr">
        <is>
          <t>24.01.05</t>
        </is>
      </c>
      <c r="U175" s="42" t="inlineStr">
        <is>
          <t>아파트</t>
        </is>
      </c>
    </row>
    <row r="176" hidden="1" ht="15" customHeight="1">
      <c r="A176" s="41" t="n">
        <v>172</v>
      </c>
      <c r="B176" s="42" t="inlineStr">
        <is>
          <t>서울특별시 서초구 서초동</t>
        </is>
      </c>
      <c r="C176" s="41" t="inlineStr">
        <is>
          <t>1616-10</t>
        </is>
      </c>
      <c r="D176" s="41" t="inlineStr">
        <is>
          <t>1616</t>
        </is>
      </c>
      <c r="E176" s="41" t="inlineStr">
        <is>
          <t>0010</t>
        </is>
      </c>
      <c r="F176" s="42" t="inlineStr">
        <is>
          <t>서초극동스타클래스</t>
        </is>
      </c>
      <c r="G176" s="41" t="inlineStr">
        <is>
          <t>84.3000</t>
        </is>
      </c>
      <c r="H176" s="41" t="inlineStr">
        <is>
          <t>202311</t>
        </is>
      </c>
      <c r="I176" s="41" t="inlineStr">
        <is>
          <t>20</t>
        </is>
      </c>
      <c r="J176" s="41" t="inlineStr">
        <is>
          <t>120,000</t>
        </is>
      </c>
      <c r="K176" s="41" t="inlineStr">
        <is>
          <t>101</t>
        </is>
      </c>
      <c r="L176" s="41" t="inlineStr">
        <is>
          <t>1</t>
        </is>
      </c>
      <c r="M176" s="41" t="inlineStr">
        <is>
          <t>-</t>
        </is>
      </c>
      <c r="N176" s="41" t="inlineStr">
        <is>
          <t>-</t>
        </is>
      </c>
      <c r="O176" s="41" t="inlineStr">
        <is>
          <t>2003</t>
        </is>
      </c>
      <c r="P176" s="42" t="inlineStr">
        <is>
          <t>서리풀4길 43</t>
        </is>
      </c>
      <c r="Q176" s="41" t="inlineStr">
        <is>
          <t>-</t>
        </is>
      </c>
      <c r="R176" s="42" t="inlineStr">
        <is>
          <t>중개거래</t>
        </is>
      </c>
      <c r="S176" s="42" t="inlineStr">
        <is>
          <t>서울 강남구, 서울 서초구</t>
        </is>
      </c>
      <c r="T176" s="41" t="inlineStr">
        <is>
          <t>24.02.28</t>
        </is>
      </c>
      <c r="U176" s="42" t="inlineStr">
        <is>
          <t>아파트</t>
        </is>
      </c>
    </row>
    <row r="177" hidden="1" ht="15" customHeight="1">
      <c r="A177" s="41" t="n">
        <v>173</v>
      </c>
      <c r="B177" s="42" t="inlineStr">
        <is>
          <t>서울특별시 서초구 서초동</t>
        </is>
      </c>
      <c r="C177" s="41" t="inlineStr">
        <is>
          <t>1686-9</t>
        </is>
      </c>
      <c r="D177" s="41" t="inlineStr">
        <is>
          <t>1686</t>
        </is>
      </c>
      <c r="E177" s="41" t="inlineStr">
        <is>
          <t>0009</t>
        </is>
      </c>
      <c r="F177" s="42" t="inlineStr">
        <is>
          <t>서초교대e편한세상</t>
        </is>
      </c>
      <c r="G177" s="41" t="inlineStr">
        <is>
          <t>84.9700</t>
        </is>
      </c>
      <c r="H177" s="41" t="inlineStr">
        <is>
          <t>202311</t>
        </is>
      </c>
      <c r="I177" s="41" t="inlineStr">
        <is>
          <t>18</t>
        </is>
      </c>
      <c r="J177" s="41" t="inlineStr">
        <is>
          <t>235,000</t>
        </is>
      </c>
      <c r="K177" s="41" t="inlineStr">
        <is>
          <t>105</t>
        </is>
      </c>
      <c r="L177" s="41" t="inlineStr">
        <is>
          <t>7</t>
        </is>
      </c>
      <c r="M177" s="41" t="inlineStr">
        <is>
          <t>-</t>
        </is>
      </c>
      <c r="N177" s="41" t="inlineStr">
        <is>
          <t>-</t>
        </is>
      </c>
      <c r="O177" s="41" t="inlineStr">
        <is>
          <t>2010</t>
        </is>
      </c>
      <c r="P177" s="42" t="inlineStr">
        <is>
          <t>서초중앙로24길 33</t>
        </is>
      </c>
      <c r="Q177" s="41" t="inlineStr">
        <is>
          <t>-</t>
        </is>
      </c>
      <c r="R177" s="42" t="inlineStr">
        <is>
          <t>중개거래</t>
        </is>
      </c>
      <c r="S177" s="42" t="inlineStr">
        <is>
          <t>서울 서초구 서울 영등포구</t>
        </is>
      </c>
      <c r="T177" s="41" t="inlineStr">
        <is>
          <t>24.01.29</t>
        </is>
      </c>
      <c r="U177" s="42" t="inlineStr">
        <is>
          <t>아파트</t>
        </is>
      </c>
    </row>
    <row r="178" hidden="1" ht="15" customHeight="1">
      <c r="A178" s="41" t="n">
        <v>174</v>
      </c>
      <c r="B178" s="42" t="inlineStr">
        <is>
          <t>서울특별시 서초구 서초동</t>
        </is>
      </c>
      <c r="C178" s="41" t="inlineStr">
        <is>
          <t>1363-25</t>
        </is>
      </c>
      <c r="D178" s="41" t="inlineStr">
        <is>
          <t>1363</t>
        </is>
      </c>
      <c r="E178" s="41" t="inlineStr">
        <is>
          <t>0025</t>
        </is>
      </c>
      <c r="F178" s="42" t="inlineStr">
        <is>
          <t>한라비발디스튜디오193</t>
        </is>
      </c>
      <c r="G178" s="41" t="inlineStr">
        <is>
          <t>25.7500</t>
        </is>
      </c>
      <c r="H178" s="41" t="inlineStr">
        <is>
          <t>202311</t>
        </is>
      </c>
      <c r="I178" s="41" t="inlineStr">
        <is>
          <t>15</t>
        </is>
      </c>
      <c r="J178" s="41" t="inlineStr">
        <is>
          <t>32,000</t>
        </is>
      </c>
      <c r="K178" s="42" t="inlineStr">
        <is>
          <t>한라비발디스튜디오193</t>
        </is>
      </c>
      <c r="L178" s="41" t="inlineStr">
        <is>
          <t>8</t>
        </is>
      </c>
      <c r="M178" s="41" t="inlineStr">
        <is>
          <t>-</t>
        </is>
      </c>
      <c r="N178" s="41" t="inlineStr">
        <is>
          <t>-</t>
        </is>
      </c>
      <c r="O178" s="41" t="inlineStr">
        <is>
          <t>2013</t>
        </is>
      </c>
      <c r="P178" s="42" t="inlineStr">
        <is>
          <t>강남대로39길 15-10</t>
        </is>
      </c>
      <c r="Q178" s="41" t="inlineStr">
        <is>
          <t>-</t>
        </is>
      </c>
      <c r="R178" s="42" t="inlineStr">
        <is>
          <t>직거래</t>
        </is>
      </c>
      <c r="S178" s="41" t="inlineStr">
        <is>
          <t>-</t>
        </is>
      </c>
      <c r="T178" s="41" t="inlineStr">
        <is>
          <t>23.11.17</t>
        </is>
      </c>
      <c r="U178" s="42" t="inlineStr">
        <is>
          <t>아파트</t>
        </is>
      </c>
    </row>
    <row r="179" hidden="1" ht="15" customHeight="1">
      <c r="A179" s="41" t="n">
        <v>175</v>
      </c>
      <c r="B179" s="42" t="inlineStr">
        <is>
          <t>서울특별시 서초구 서초동</t>
        </is>
      </c>
      <c r="C179" s="41" t="inlineStr">
        <is>
          <t>1687</t>
        </is>
      </c>
      <c r="D179" s="41" t="inlineStr">
        <is>
          <t>1687</t>
        </is>
      </c>
      <c r="E179" s="41" t="inlineStr">
        <is>
          <t>0000</t>
        </is>
      </c>
      <c r="F179" s="42" t="inlineStr">
        <is>
          <t>유원서초</t>
        </is>
      </c>
      <c r="G179" s="41" t="inlineStr">
        <is>
          <t>84.8200</t>
        </is>
      </c>
      <c r="H179" s="41" t="inlineStr">
        <is>
          <t>202311</t>
        </is>
      </c>
      <c r="I179" s="41" t="inlineStr">
        <is>
          <t>14</t>
        </is>
      </c>
      <c r="J179" s="41" t="inlineStr">
        <is>
          <t>189,700</t>
        </is>
      </c>
      <c r="K179" s="41" t="inlineStr">
        <is>
          <t>102</t>
        </is>
      </c>
      <c r="L179" s="41" t="inlineStr">
        <is>
          <t>9</t>
        </is>
      </c>
      <c r="M179" s="41" t="inlineStr">
        <is>
          <t>-</t>
        </is>
      </c>
      <c r="N179" s="41" t="inlineStr">
        <is>
          <t>-</t>
        </is>
      </c>
      <c r="O179" s="41" t="inlineStr">
        <is>
          <t>1993</t>
        </is>
      </c>
      <c r="P179" s="42" t="inlineStr">
        <is>
          <t>서초중앙로24길 43</t>
        </is>
      </c>
      <c r="Q179" s="41" t="inlineStr">
        <is>
          <t>-</t>
        </is>
      </c>
      <c r="R179" s="42" t="inlineStr">
        <is>
          <t>중개거래</t>
        </is>
      </c>
      <c r="S179" s="42" t="inlineStr">
        <is>
          <t>서울 서초구</t>
        </is>
      </c>
      <c r="T179" s="41" t="inlineStr">
        <is>
          <t>24.01.29</t>
        </is>
      </c>
      <c r="U179" s="42" t="inlineStr">
        <is>
          <t>아파트</t>
        </is>
      </c>
    </row>
    <row r="180" hidden="1" ht="15" customHeight="1">
      <c r="A180" s="41" t="n">
        <v>176</v>
      </c>
      <c r="B180" s="42" t="inlineStr">
        <is>
          <t>서울특별시 서초구 서초동</t>
        </is>
      </c>
      <c r="C180" s="41" t="inlineStr">
        <is>
          <t>1497-12</t>
        </is>
      </c>
      <c r="D180" s="41" t="inlineStr">
        <is>
          <t>1497</t>
        </is>
      </c>
      <c r="E180" s="41" t="inlineStr">
        <is>
          <t>0012</t>
        </is>
      </c>
      <c r="F180" s="42" t="inlineStr">
        <is>
          <t>도무스</t>
        </is>
      </c>
      <c r="G180" s="41" t="inlineStr">
        <is>
          <t>236.5300</t>
        </is>
      </c>
      <c r="H180" s="41" t="inlineStr">
        <is>
          <t>202311</t>
        </is>
      </c>
      <c r="I180" s="41" t="inlineStr">
        <is>
          <t>14</t>
        </is>
      </c>
      <c r="J180" s="41" t="inlineStr">
        <is>
          <t>350,000</t>
        </is>
      </c>
      <c r="K180" s="42" t="inlineStr">
        <is>
          <t>도무스</t>
        </is>
      </c>
      <c r="L180" s="41" t="inlineStr">
        <is>
          <t>1</t>
        </is>
      </c>
      <c r="M180" s="41" t="inlineStr">
        <is>
          <t>-</t>
        </is>
      </c>
      <c r="N180" s="41" t="inlineStr">
        <is>
          <t>-</t>
        </is>
      </c>
      <c r="O180" s="41" t="inlineStr">
        <is>
          <t>2007</t>
        </is>
      </c>
      <c r="P180" s="42" t="inlineStr">
        <is>
          <t>명달로 109</t>
        </is>
      </c>
      <c r="Q180" s="41" t="inlineStr">
        <is>
          <t>-</t>
        </is>
      </c>
      <c r="R180" s="42" t="inlineStr">
        <is>
          <t>중개거래</t>
        </is>
      </c>
      <c r="S180" s="42" t="inlineStr">
        <is>
          <t>서울 서초구</t>
        </is>
      </c>
      <c r="T180" s="41" t="inlineStr">
        <is>
          <t>24.01.15</t>
        </is>
      </c>
      <c r="U180" s="42" t="inlineStr">
        <is>
          <t>아파트</t>
        </is>
      </c>
    </row>
    <row r="181" hidden="1" ht="15" customHeight="1">
      <c r="A181" s="41" t="n">
        <v>177</v>
      </c>
      <c r="B181" s="42" t="inlineStr">
        <is>
          <t>서울특별시 서초구 서초동</t>
        </is>
      </c>
      <c r="C181" s="41" t="inlineStr">
        <is>
          <t>1686-9</t>
        </is>
      </c>
      <c r="D181" s="41" t="inlineStr">
        <is>
          <t>1686</t>
        </is>
      </c>
      <c r="E181" s="41" t="inlineStr">
        <is>
          <t>0009</t>
        </is>
      </c>
      <c r="F181" s="42" t="inlineStr">
        <is>
          <t>서초교대e편한세상</t>
        </is>
      </c>
      <c r="G181" s="41" t="inlineStr">
        <is>
          <t>84.9700</t>
        </is>
      </c>
      <c r="H181" s="41" t="inlineStr">
        <is>
          <t>202311</t>
        </is>
      </c>
      <c r="I181" s="41" t="inlineStr">
        <is>
          <t>13</t>
        </is>
      </c>
      <c r="J181" s="41" t="inlineStr">
        <is>
          <t>240,000</t>
        </is>
      </c>
      <c r="K181" s="41" t="inlineStr">
        <is>
          <t>103</t>
        </is>
      </c>
      <c r="L181" s="41" t="inlineStr">
        <is>
          <t>17</t>
        </is>
      </c>
      <c r="M181" s="41" t="inlineStr">
        <is>
          <t>-</t>
        </is>
      </c>
      <c r="N181" s="41" t="inlineStr">
        <is>
          <t>-</t>
        </is>
      </c>
      <c r="O181" s="41" t="inlineStr">
        <is>
          <t>2010</t>
        </is>
      </c>
      <c r="P181" s="42" t="inlineStr">
        <is>
          <t>서초중앙로24길 33</t>
        </is>
      </c>
      <c r="Q181" s="41" t="inlineStr">
        <is>
          <t>-</t>
        </is>
      </c>
      <c r="R181" s="42" t="inlineStr">
        <is>
          <t>중개거래</t>
        </is>
      </c>
      <c r="S181" s="42" t="inlineStr">
        <is>
          <t>경기 , 서울 서초구</t>
        </is>
      </c>
      <c r="T181" s="41" t="inlineStr">
        <is>
          <t>24.01.29</t>
        </is>
      </c>
      <c r="U181" s="42" t="inlineStr">
        <is>
          <t>아파트</t>
        </is>
      </c>
    </row>
    <row r="182" hidden="1" ht="15" customHeight="1">
      <c r="A182" s="41" t="n">
        <v>178</v>
      </c>
      <c r="B182" s="42" t="inlineStr">
        <is>
          <t>서울특별시 서초구 서초동</t>
        </is>
      </c>
      <c r="C182" s="41" t="inlineStr">
        <is>
          <t>1326</t>
        </is>
      </c>
      <c r="D182" s="41" t="inlineStr">
        <is>
          <t>1326</t>
        </is>
      </c>
      <c r="E182" s="41" t="inlineStr">
        <is>
          <t>0000</t>
        </is>
      </c>
      <c r="F182" s="42" t="inlineStr">
        <is>
          <t>삼성서초가든스위트</t>
        </is>
      </c>
      <c r="G182" s="41" t="inlineStr">
        <is>
          <t>243.9000</t>
        </is>
      </c>
      <c r="H182" s="41" t="inlineStr">
        <is>
          <t>202311</t>
        </is>
      </c>
      <c r="I182" s="41" t="inlineStr">
        <is>
          <t>13</t>
        </is>
      </c>
      <c r="J182" s="41" t="inlineStr">
        <is>
          <t>530,000</t>
        </is>
      </c>
      <c r="K182" s="41" t="inlineStr">
        <is>
          <t>-</t>
        </is>
      </c>
      <c r="L182" s="41" t="inlineStr">
        <is>
          <t>18</t>
        </is>
      </c>
      <c r="M182" s="41" t="inlineStr">
        <is>
          <t>-</t>
        </is>
      </c>
      <c r="N182" s="41" t="inlineStr">
        <is>
          <t>-</t>
        </is>
      </c>
      <c r="O182" s="41" t="inlineStr">
        <is>
          <t>2000</t>
        </is>
      </c>
      <c r="P182" s="42" t="inlineStr">
        <is>
          <t>서운로 122</t>
        </is>
      </c>
      <c r="Q182" s="41" t="inlineStr">
        <is>
          <t>20231207</t>
        </is>
      </c>
      <c r="R182" s="42" t="inlineStr">
        <is>
          <t>중개거래</t>
        </is>
      </c>
      <c r="S182" s="42" t="inlineStr">
        <is>
          <t>서울 서초구</t>
        </is>
      </c>
      <c r="T182" s="41" t="inlineStr">
        <is>
          <t>-</t>
        </is>
      </c>
      <c r="U182" s="42" t="inlineStr">
        <is>
          <t>아파트</t>
        </is>
      </c>
    </row>
    <row r="183" hidden="1" ht="15" customHeight="1">
      <c r="A183" s="41" t="n">
        <v>179</v>
      </c>
      <c r="B183" s="42" t="inlineStr">
        <is>
          <t>서울특별시 서초구 서초동</t>
        </is>
      </c>
      <c r="C183" s="41" t="inlineStr">
        <is>
          <t>1326</t>
        </is>
      </c>
      <c r="D183" s="41" t="inlineStr">
        <is>
          <t>1326</t>
        </is>
      </c>
      <c r="E183" s="41" t="inlineStr">
        <is>
          <t>0000</t>
        </is>
      </c>
      <c r="F183" s="42" t="inlineStr">
        <is>
          <t>삼성서초가든스위트</t>
        </is>
      </c>
      <c r="G183" s="41" t="inlineStr">
        <is>
          <t>243.9000</t>
        </is>
      </c>
      <c r="H183" s="41" t="inlineStr">
        <is>
          <t>202311</t>
        </is>
      </c>
      <c r="I183" s="41" t="inlineStr">
        <is>
          <t>13</t>
        </is>
      </c>
      <c r="J183" s="41" t="inlineStr">
        <is>
          <t>530,000</t>
        </is>
      </c>
      <c r="K183" s="41" t="inlineStr">
        <is>
          <t>1</t>
        </is>
      </c>
      <c r="L183" s="41" t="inlineStr">
        <is>
          <t>18</t>
        </is>
      </c>
      <c r="M183" s="41" t="inlineStr">
        <is>
          <t>-</t>
        </is>
      </c>
      <c r="N183" s="41" t="inlineStr">
        <is>
          <t>-</t>
        </is>
      </c>
      <c r="O183" s="41" t="inlineStr">
        <is>
          <t>2000</t>
        </is>
      </c>
      <c r="P183" s="42" t="inlineStr">
        <is>
          <t>서운로 122</t>
        </is>
      </c>
      <c r="Q183" s="41" t="inlineStr">
        <is>
          <t>-</t>
        </is>
      </c>
      <c r="R183" s="42" t="inlineStr">
        <is>
          <t>중개거래</t>
        </is>
      </c>
      <c r="S183" s="42" t="inlineStr">
        <is>
          <t>서울 서초구</t>
        </is>
      </c>
      <c r="T183" s="41" t="inlineStr">
        <is>
          <t>23.12.08</t>
        </is>
      </c>
      <c r="U183" s="42" t="inlineStr">
        <is>
          <t>아파트</t>
        </is>
      </c>
    </row>
    <row r="184" hidden="1" ht="15" customHeight="1">
      <c r="A184" s="41" t="n">
        <v>180</v>
      </c>
      <c r="B184" s="42" t="inlineStr">
        <is>
          <t>서울특별시 서초구 서초동</t>
        </is>
      </c>
      <c r="C184" s="41" t="inlineStr">
        <is>
          <t>1338-1</t>
        </is>
      </c>
      <c r="D184" s="41" t="inlineStr">
        <is>
          <t>1338</t>
        </is>
      </c>
      <c r="E184" s="41" t="inlineStr">
        <is>
          <t>0001</t>
        </is>
      </c>
      <c r="F184" s="42" t="inlineStr">
        <is>
          <t>풍림아이원플러스</t>
        </is>
      </c>
      <c r="G184" s="41" t="inlineStr">
        <is>
          <t>35.9030</t>
        </is>
      </c>
      <c r="H184" s="41" t="inlineStr">
        <is>
          <t>202311</t>
        </is>
      </c>
      <c r="I184" s="41" t="inlineStr">
        <is>
          <t>09</t>
        </is>
      </c>
      <c r="J184" s="41" t="inlineStr">
        <is>
          <t>35,900</t>
        </is>
      </c>
      <c r="K184" s="42" t="inlineStr">
        <is>
          <t>풍림아이원플러스</t>
        </is>
      </c>
      <c r="L184" s="41" t="inlineStr">
        <is>
          <t>8</t>
        </is>
      </c>
      <c r="M184" s="41" t="inlineStr">
        <is>
          <t>-</t>
        </is>
      </c>
      <c r="N184" s="41" t="inlineStr">
        <is>
          <t>-</t>
        </is>
      </c>
      <c r="O184" s="41" t="inlineStr">
        <is>
          <t>2004</t>
        </is>
      </c>
      <c r="P184" s="42" t="inlineStr">
        <is>
          <t>효령로77길 14</t>
        </is>
      </c>
      <c r="Q184" s="41" t="inlineStr">
        <is>
          <t>-</t>
        </is>
      </c>
      <c r="R184" s="42" t="inlineStr">
        <is>
          <t>중개거래</t>
        </is>
      </c>
      <c r="S184" s="42" t="inlineStr">
        <is>
          <t>서울 서초구</t>
        </is>
      </c>
      <c r="T184" s="41" t="inlineStr">
        <is>
          <t>23.12.22</t>
        </is>
      </c>
      <c r="U184" s="42" t="inlineStr">
        <is>
          <t>아파트</t>
        </is>
      </c>
    </row>
    <row r="185" hidden="1" ht="15" customHeight="1">
      <c r="A185" s="41" t="n">
        <v>181</v>
      </c>
      <c r="B185" s="42" t="inlineStr">
        <is>
          <t>서울특별시 서초구 서초동</t>
        </is>
      </c>
      <c r="C185" s="41" t="inlineStr">
        <is>
          <t>1616-10</t>
        </is>
      </c>
      <c r="D185" s="41" t="inlineStr">
        <is>
          <t>1616</t>
        </is>
      </c>
      <c r="E185" s="41" t="inlineStr">
        <is>
          <t>0010</t>
        </is>
      </c>
      <c r="F185" s="42" t="inlineStr">
        <is>
          <t>서초극동스타클래스</t>
        </is>
      </c>
      <c r="G185" s="41" t="inlineStr">
        <is>
          <t>84.3000</t>
        </is>
      </c>
      <c r="H185" s="41" t="inlineStr">
        <is>
          <t>202311</t>
        </is>
      </c>
      <c r="I185" s="41" t="inlineStr">
        <is>
          <t>08</t>
        </is>
      </c>
      <c r="J185" s="41" t="inlineStr">
        <is>
          <t>153,000</t>
        </is>
      </c>
      <c r="K185" s="41" t="inlineStr">
        <is>
          <t>101</t>
        </is>
      </c>
      <c r="L185" s="41" t="inlineStr">
        <is>
          <t>10</t>
        </is>
      </c>
      <c r="M185" s="41" t="inlineStr">
        <is>
          <t>-</t>
        </is>
      </c>
      <c r="N185" s="41" t="inlineStr">
        <is>
          <t>-</t>
        </is>
      </c>
      <c r="O185" s="41" t="inlineStr">
        <is>
          <t>2003</t>
        </is>
      </c>
      <c r="P185" s="42" t="inlineStr">
        <is>
          <t>서리풀4길 43</t>
        </is>
      </c>
      <c r="Q185" s="41" t="inlineStr">
        <is>
          <t>-</t>
        </is>
      </c>
      <c r="R185" s="42" t="inlineStr">
        <is>
          <t>중개거래</t>
        </is>
      </c>
      <c r="S185" s="42" t="inlineStr">
        <is>
          <t>서울 서초구</t>
        </is>
      </c>
      <c r="T185" s="41" t="inlineStr">
        <is>
          <t>24.02.19</t>
        </is>
      </c>
      <c r="U185" s="42" t="inlineStr">
        <is>
          <t>아파트</t>
        </is>
      </c>
    </row>
    <row r="186" hidden="1" ht="15" customHeight="1">
      <c r="A186" s="41" t="n">
        <v>182</v>
      </c>
      <c r="B186" s="42" t="inlineStr">
        <is>
          <t>서울특별시 서초구 서초동</t>
        </is>
      </c>
      <c r="C186" s="41" t="inlineStr">
        <is>
          <t>1312-3</t>
        </is>
      </c>
      <c r="D186" s="41" t="inlineStr">
        <is>
          <t>1312</t>
        </is>
      </c>
      <c r="E186" s="41" t="inlineStr">
        <is>
          <t>0003</t>
        </is>
      </c>
      <c r="F186" s="42" t="inlineStr">
        <is>
          <t>롯데캐슬클래식</t>
        </is>
      </c>
      <c r="G186" s="41" t="inlineStr">
        <is>
          <t>84.9800</t>
        </is>
      </c>
      <c r="H186" s="41" t="inlineStr">
        <is>
          <t>202311</t>
        </is>
      </c>
      <c r="I186" s="41" t="inlineStr">
        <is>
          <t>08</t>
        </is>
      </c>
      <c r="J186" s="41" t="inlineStr">
        <is>
          <t>223,000</t>
        </is>
      </c>
      <c r="K186" s="41" t="inlineStr">
        <is>
          <t>115</t>
        </is>
      </c>
      <c r="L186" s="41" t="inlineStr">
        <is>
          <t>6</t>
        </is>
      </c>
      <c r="M186" s="41" t="inlineStr">
        <is>
          <t>-</t>
        </is>
      </c>
      <c r="N186" s="41" t="inlineStr">
        <is>
          <t>-</t>
        </is>
      </c>
      <c r="O186" s="41" t="inlineStr">
        <is>
          <t>2006</t>
        </is>
      </c>
      <c r="P186" s="42" t="inlineStr">
        <is>
          <t>서운로 200</t>
        </is>
      </c>
      <c r="Q186" s="41" t="inlineStr">
        <is>
          <t>-</t>
        </is>
      </c>
      <c r="R186" s="42" t="inlineStr">
        <is>
          <t>중개거래</t>
        </is>
      </c>
      <c r="S186" s="42" t="inlineStr">
        <is>
          <t>서울 서초구</t>
        </is>
      </c>
      <c r="T186" s="41" t="inlineStr">
        <is>
          <t>24.02.19</t>
        </is>
      </c>
      <c r="U186" s="42" t="inlineStr">
        <is>
          <t>아파트</t>
        </is>
      </c>
    </row>
    <row r="187" hidden="1" ht="15" customHeight="1">
      <c r="A187" s="41" t="n">
        <v>183</v>
      </c>
      <c r="B187" s="42" t="inlineStr">
        <is>
          <t>서울특별시 서초구 서초동</t>
        </is>
      </c>
      <c r="C187" s="41" t="inlineStr">
        <is>
          <t>1506-42</t>
        </is>
      </c>
      <c r="D187" s="41" t="inlineStr">
        <is>
          <t>1506</t>
        </is>
      </c>
      <c r="E187" s="41" t="inlineStr">
        <is>
          <t>0042</t>
        </is>
      </c>
      <c r="F187" s="42" t="inlineStr">
        <is>
          <t>프레스턴-2(1506-42)</t>
        </is>
      </c>
      <c r="G187" s="41" t="inlineStr">
        <is>
          <t>143.8400</t>
        </is>
      </c>
      <c r="H187" s="41" t="inlineStr">
        <is>
          <t>202311</t>
        </is>
      </c>
      <c r="I187" s="41" t="inlineStr">
        <is>
          <t>06</t>
        </is>
      </c>
      <c r="J187" s="41" t="inlineStr">
        <is>
          <t>185,000</t>
        </is>
      </c>
      <c r="K187" s="42" t="inlineStr">
        <is>
          <t>서초 프레스턴-2</t>
        </is>
      </c>
      <c r="L187" s="41" t="inlineStr">
        <is>
          <t>2</t>
        </is>
      </c>
      <c r="M187" s="41" t="inlineStr">
        <is>
          <t>-</t>
        </is>
      </c>
      <c r="N187" s="41" t="inlineStr">
        <is>
          <t>-</t>
        </is>
      </c>
      <c r="O187" s="41" t="inlineStr">
        <is>
          <t>2006</t>
        </is>
      </c>
      <c r="P187" s="42" t="inlineStr">
        <is>
          <t>명달로22길 89</t>
        </is>
      </c>
      <c r="Q187" s="41" t="inlineStr">
        <is>
          <t>-</t>
        </is>
      </c>
      <c r="R187" s="42" t="inlineStr">
        <is>
          <t>중개거래</t>
        </is>
      </c>
      <c r="S187" s="42" t="inlineStr">
        <is>
          <t>서울 서초구 전남 순천시</t>
        </is>
      </c>
      <c r="T187" s="41" t="inlineStr">
        <is>
          <t>23.11.08</t>
        </is>
      </c>
      <c r="U187" s="42" t="inlineStr">
        <is>
          <t>아파트</t>
        </is>
      </c>
    </row>
    <row r="188" hidden="1" ht="15" customHeight="1">
      <c r="A188" s="41" t="n">
        <v>184</v>
      </c>
      <c r="B188" s="42" t="inlineStr">
        <is>
          <t>서울특별시 서초구 서초동</t>
        </is>
      </c>
      <c r="C188" s="41" t="inlineStr">
        <is>
          <t>1641-3</t>
        </is>
      </c>
      <c r="D188" s="41" t="inlineStr">
        <is>
          <t>1641</t>
        </is>
      </c>
      <c r="E188" s="41" t="inlineStr">
        <is>
          <t>0003</t>
        </is>
      </c>
      <c r="F188" s="42" t="inlineStr">
        <is>
          <t>대성유니드</t>
        </is>
      </c>
      <c r="G188" s="41" t="inlineStr">
        <is>
          <t>84.9910</t>
        </is>
      </c>
      <c r="H188" s="41" t="inlineStr">
        <is>
          <t>202311</t>
        </is>
      </c>
      <c r="I188" s="41" t="inlineStr">
        <is>
          <t>06</t>
        </is>
      </c>
      <c r="J188" s="41" t="inlineStr">
        <is>
          <t>156,000</t>
        </is>
      </c>
      <c r="K188" s="41" t="inlineStr">
        <is>
          <t>101</t>
        </is>
      </c>
      <c r="L188" s="41" t="inlineStr">
        <is>
          <t>1</t>
        </is>
      </c>
      <c r="M188" s="41" t="inlineStr">
        <is>
          <t>-</t>
        </is>
      </c>
      <c r="N188" s="41" t="inlineStr">
        <is>
          <t>-</t>
        </is>
      </c>
      <c r="O188" s="41" t="inlineStr">
        <is>
          <t>2004</t>
        </is>
      </c>
      <c r="P188" s="42" t="inlineStr">
        <is>
          <t>서초대로64길 36</t>
        </is>
      </c>
      <c r="Q188" s="41" t="inlineStr">
        <is>
          <t>-</t>
        </is>
      </c>
      <c r="R188" s="42" t="inlineStr">
        <is>
          <t>중개거래</t>
        </is>
      </c>
      <c r="S188" s="42" t="inlineStr">
        <is>
          <t>서울 서초구</t>
        </is>
      </c>
      <c r="T188" s="41" t="inlineStr">
        <is>
          <t>24.02.02</t>
        </is>
      </c>
      <c r="U188" s="42" t="inlineStr">
        <is>
          <t>아파트</t>
        </is>
      </c>
    </row>
    <row r="189" hidden="1" ht="15" customHeight="1">
      <c r="A189" s="41" t="n">
        <v>185</v>
      </c>
      <c r="B189" s="42" t="inlineStr">
        <is>
          <t>서울특별시 서초구 서초동</t>
        </is>
      </c>
      <c r="C189" s="41" t="inlineStr">
        <is>
          <t>1446-11</t>
        </is>
      </c>
      <c r="D189" s="41" t="inlineStr">
        <is>
          <t>1446</t>
        </is>
      </c>
      <c r="E189" s="41" t="inlineStr">
        <is>
          <t>0011</t>
        </is>
      </c>
      <c r="F189" s="42" t="inlineStr">
        <is>
          <t>현대슈퍼빌</t>
        </is>
      </c>
      <c r="G189" s="41" t="inlineStr">
        <is>
          <t>147.8600</t>
        </is>
      </c>
      <c r="H189" s="41" t="inlineStr">
        <is>
          <t>202311</t>
        </is>
      </c>
      <c r="I189" s="41" t="inlineStr">
        <is>
          <t>06</t>
        </is>
      </c>
      <c r="J189" s="41" t="inlineStr">
        <is>
          <t>240,000</t>
        </is>
      </c>
      <c r="K189" s="41" t="inlineStr">
        <is>
          <t>C</t>
        </is>
      </c>
      <c r="L189" s="41" t="inlineStr">
        <is>
          <t>7</t>
        </is>
      </c>
      <c r="M189" s="41" t="inlineStr">
        <is>
          <t>-</t>
        </is>
      </c>
      <c r="N189" s="41" t="inlineStr">
        <is>
          <t>-</t>
        </is>
      </c>
      <c r="O189" s="41" t="inlineStr">
        <is>
          <t>2003</t>
        </is>
      </c>
      <c r="P189" s="42" t="inlineStr">
        <is>
          <t>서초중앙로 15</t>
        </is>
      </c>
      <c r="Q189" s="41" t="inlineStr">
        <is>
          <t>-</t>
        </is>
      </c>
      <c r="R189" s="42" t="inlineStr">
        <is>
          <t>중개거래</t>
        </is>
      </c>
      <c r="S189" s="42" t="inlineStr">
        <is>
          <t>서울 서초구</t>
        </is>
      </c>
      <c r="T189" s="41" t="inlineStr">
        <is>
          <t>24.02.22</t>
        </is>
      </c>
      <c r="U189" s="42" t="inlineStr">
        <is>
          <t>아파트</t>
        </is>
      </c>
    </row>
    <row r="190" hidden="1" ht="15" customHeight="1">
      <c r="A190" s="41" t="n">
        <v>186</v>
      </c>
      <c r="B190" s="42" t="inlineStr">
        <is>
          <t>서울특별시 서초구 서초동</t>
        </is>
      </c>
      <c r="C190" s="41" t="inlineStr">
        <is>
          <t>1355-24</t>
        </is>
      </c>
      <c r="D190" s="41" t="inlineStr">
        <is>
          <t>1355</t>
        </is>
      </c>
      <c r="E190" s="41" t="inlineStr">
        <is>
          <t>0024</t>
        </is>
      </c>
      <c r="F190" s="42" t="inlineStr">
        <is>
          <t>우정에쉐르</t>
        </is>
      </c>
      <c r="G190" s="41" t="inlineStr">
        <is>
          <t>84.8400</t>
        </is>
      </c>
      <c r="H190" s="41" t="inlineStr">
        <is>
          <t>202311</t>
        </is>
      </c>
      <c r="I190" s="41" t="inlineStr">
        <is>
          <t>06</t>
        </is>
      </c>
      <c r="J190" s="41" t="inlineStr">
        <is>
          <t>154,500</t>
        </is>
      </c>
      <c r="K190" s="41" t="inlineStr">
        <is>
          <t>-</t>
        </is>
      </c>
      <c r="L190" s="41" t="inlineStr">
        <is>
          <t>2</t>
        </is>
      </c>
      <c r="M190" s="41" t="inlineStr">
        <is>
          <t>-</t>
        </is>
      </c>
      <c r="N190" s="41" t="inlineStr">
        <is>
          <t>-</t>
        </is>
      </c>
      <c r="O190" s="41" t="inlineStr">
        <is>
          <t>2004</t>
        </is>
      </c>
      <c r="P190" s="42" t="inlineStr">
        <is>
          <t>서운로3길 29</t>
        </is>
      </c>
      <c r="Q190" s="41" t="inlineStr">
        <is>
          <t>-</t>
        </is>
      </c>
      <c r="R190" s="42" t="inlineStr">
        <is>
          <t>중개거래</t>
        </is>
      </c>
      <c r="S190" s="42" t="inlineStr">
        <is>
          <t>서울 서초구</t>
        </is>
      </c>
      <c r="T190" s="41" t="inlineStr">
        <is>
          <t>24.03.29</t>
        </is>
      </c>
      <c r="U190" s="42" t="inlineStr">
        <is>
          <t>아파트</t>
        </is>
      </c>
    </row>
    <row r="191" hidden="1" ht="15" customHeight="1">
      <c r="A191" s="41" t="n">
        <v>187</v>
      </c>
      <c r="B191" s="42" t="inlineStr">
        <is>
          <t>서울특별시 서초구 서초동</t>
        </is>
      </c>
      <c r="C191" s="41" t="inlineStr">
        <is>
          <t>1316-15</t>
        </is>
      </c>
      <c r="D191" s="41" t="inlineStr">
        <is>
          <t>1316</t>
        </is>
      </c>
      <c r="E191" s="41" t="inlineStr">
        <is>
          <t>0015</t>
        </is>
      </c>
      <c r="F191" s="42" t="inlineStr">
        <is>
          <t>현대성우주상복합아파트</t>
        </is>
      </c>
      <c r="G191" s="41" t="inlineStr">
        <is>
          <t>150.9500</t>
        </is>
      </c>
      <c r="H191" s="41" t="inlineStr">
        <is>
          <t>202311</t>
        </is>
      </c>
      <c r="I191" s="41" t="inlineStr">
        <is>
          <t>05</t>
        </is>
      </c>
      <c r="J191" s="41" t="inlineStr">
        <is>
          <t>197,000</t>
        </is>
      </c>
      <c r="K191" s="41" t="inlineStr">
        <is>
          <t>-</t>
        </is>
      </c>
      <c r="L191" s="41" t="inlineStr">
        <is>
          <t>22</t>
        </is>
      </c>
      <c r="M191" s="41" t="inlineStr">
        <is>
          <t>-</t>
        </is>
      </c>
      <c r="N191" s="41" t="inlineStr">
        <is>
          <t>-</t>
        </is>
      </c>
      <c r="O191" s="41" t="inlineStr">
        <is>
          <t>2002</t>
        </is>
      </c>
      <c r="P191" s="42" t="inlineStr">
        <is>
          <t>강남대로61길 23</t>
        </is>
      </c>
      <c r="Q191" s="41" t="inlineStr">
        <is>
          <t>-</t>
        </is>
      </c>
      <c r="R191" s="42" t="inlineStr">
        <is>
          <t>중개거래</t>
        </is>
      </c>
      <c r="S191" s="42" t="inlineStr">
        <is>
          <t>서울 서초구</t>
        </is>
      </c>
      <c r="T191" s="41" t="inlineStr">
        <is>
          <t>24.02.20</t>
        </is>
      </c>
      <c r="U191" s="42" t="inlineStr">
        <is>
          <t>아파트</t>
        </is>
      </c>
    </row>
    <row r="192" hidden="1" ht="15" customHeight="1">
      <c r="A192" s="41" t="n">
        <v>188</v>
      </c>
      <c r="B192" s="42" t="inlineStr">
        <is>
          <t>서울특별시 서초구 서초동</t>
        </is>
      </c>
      <c r="C192" s="41" t="inlineStr">
        <is>
          <t>1685</t>
        </is>
      </c>
      <c r="D192" s="41" t="inlineStr">
        <is>
          <t>1685</t>
        </is>
      </c>
      <c r="E192" s="41" t="inlineStr">
        <is>
          <t>0000</t>
        </is>
      </c>
      <c r="F192" s="42" t="inlineStr">
        <is>
          <t>삼풍아파트</t>
        </is>
      </c>
      <c r="G192" s="41" t="inlineStr">
        <is>
          <t>79.4700</t>
        </is>
      </c>
      <c r="H192" s="41" t="inlineStr">
        <is>
          <t>202311</t>
        </is>
      </c>
      <c r="I192" s="41" t="inlineStr">
        <is>
          <t>04</t>
        </is>
      </c>
      <c r="J192" s="41" t="inlineStr">
        <is>
          <t>230,000</t>
        </is>
      </c>
      <c r="K192" s="41" t="inlineStr">
        <is>
          <t>3</t>
        </is>
      </c>
      <c r="L192" s="41" t="inlineStr">
        <is>
          <t>11</t>
        </is>
      </c>
      <c r="M192" s="41" t="inlineStr">
        <is>
          <t>-</t>
        </is>
      </c>
      <c r="N192" s="41" t="inlineStr">
        <is>
          <t>-</t>
        </is>
      </c>
      <c r="O192" s="41" t="inlineStr">
        <is>
          <t>1988</t>
        </is>
      </c>
      <c r="P192" s="42" t="inlineStr">
        <is>
          <t>서초중앙로 200</t>
        </is>
      </c>
      <c r="Q192" s="41" t="inlineStr">
        <is>
          <t>-</t>
        </is>
      </c>
      <c r="R192" s="42" t="inlineStr">
        <is>
          <t>중개거래</t>
        </is>
      </c>
      <c r="S192" s="42" t="inlineStr">
        <is>
          <t>서울 서초구</t>
        </is>
      </c>
      <c r="T192" s="41" t="inlineStr">
        <is>
          <t>23.11.24</t>
        </is>
      </c>
      <c r="U192" s="42" t="inlineStr">
        <is>
          <t>아파트</t>
        </is>
      </c>
    </row>
    <row r="193" hidden="1" ht="15" customHeight="1">
      <c r="A193" s="41" t="n">
        <v>189</v>
      </c>
      <c r="B193" s="42" t="inlineStr">
        <is>
          <t>서울특별시 서초구 서초동</t>
        </is>
      </c>
      <c r="C193" s="41" t="inlineStr">
        <is>
          <t>1509-1</t>
        </is>
      </c>
      <c r="D193" s="41" t="inlineStr">
        <is>
          <t>1509</t>
        </is>
      </c>
      <c r="E193" s="41" t="inlineStr">
        <is>
          <t>0001</t>
        </is>
      </c>
      <c r="F193" s="42" t="inlineStr">
        <is>
          <t>서초한빛삼성</t>
        </is>
      </c>
      <c r="G193" s="41" t="inlineStr">
        <is>
          <t>59.5200</t>
        </is>
      </c>
      <c r="H193" s="41" t="inlineStr">
        <is>
          <t>202311</t>
        </is>
      </c>
      <c r="I193" s="41" t="inlineStr">
        <is>
          <t>04</t>
        </is>
      </c>
      <c r="J193" s="41" t="inlineStr">
        <is>
          <t>150,000</t>
        </is>
      </c>
      <c r="K193" s="41" t="inlineStr">
        <is>
          <t>101</t>
        </is>
      </c>
      <c r="L193" s="41" t="inlineStr">
        <is>
          <t>14</t>
        </is>
      </c>
      <c r="M193" s="41" t="inlineStr">
        <is>
          <t>-</t>
        </is>
      </c>
      <c r="N193" s="41" t="inlineStr">
        <is>
          <t>-</t>
        </is>
      </c>
      <c r="O193" s="41" t="inlineStr">
        <is>
          <t>1999</t>
        </is>
      </c>
      <c r="P193" s="42" t="inlineStr">
        <is>
          <t>서초대로40길 72</t>
        </is>
      </c>
      <c r="Q193" s="41" t="inlineStr">
        <is>
          <t>-</t>
        </is>
      </c>
      <c r="R193" s="42" t="inlineStr">
        <is>
          <t>중개거래</t>
        </is>
      </c>
      <c r="S193" s="42" t="inlineStr">
        <is>
          <t>서울 서초구</t>
        </is>
      </c>
      <c r="T193" s="41" t="inlineStr">
        <is>
          <t>24.03.21</t>
        </is>
      </c>
      <c r="U193" s="42" t="inlineStr">
        <is>
          <t>아파트</t>
        </is>
      </c>
    </row>
    <row r="194" hidden="1" ht="15" customHeight="1">
      <c r="A194" s="41" t="n">
        <v>190</v>
      </c>
      <c r="B194" s="42" t="inlineStr">
        <is>
          <t>서울특별시 서초구 서초동</t>
        </is>
      </c>
      <c r="C194" s="41" t="inlineStr">
        <is>
          <t>1509-1</t>
        </is>
      </c>
      <c r="D194" s="41" t="inlineStr">
        <is>
          <t>1509</t>
        </is>
      </c>
      <c r="E194" s="41" t="inlineStr">
        <is>
          <t>0001</t>
        </is>
      </c>
      <c r="F194" s="42" t="inlineStr">
        <is>
          <t>서초한빛삼성</t>
        </is>
      </c>
      <c r="G194" s="41" t="inlineStr">
        <is>
          <t>99.0900</t>
        </is>
      </c>
      <c r="H194" s="41" t="inlineStr">
        <is>
          <t>202311</t>
        </is>
      </c>
      <c r="I194" s="41" t="inlineStr">
        <is>
          <t>04</t>
        </is>
      </c>
      <c r="J194" s="41" t="inlineStr">
        <is>
          <t>180,000</t>
        </is>
      </c>
      <c r="K194" s="41" t="inlineStr">
        <is>
          <t>102</t>
        </is>
      </c>
      <c r="L194" s="41" t="inlineStr">
        <is>
          <t>16</t>
        </is>
      </c>
      <c r="M194" s="41" t="inlineStr">
        <is>
          <t>-</t>
        </is>
      </c>
      <c r="N194" s="41" t="inlineStr">
        <is>
          <t>-</t>
        </is>
      </c>
      <c r="O194" s="41" t="inlineStr">
        <is>
          <t>1999</t>
        </is>
      </c>
      <c r="P194" s="42" t="inlineStr">
        <is>
          <t>서초대로40길 72</t>
        </is>
      </c>
      <c r="Q194" s="41" t="inlineStr">
        <is>
          <t>-</t>
        </is>
      </c>
      <c r="R194" s="42" t="inlineStr">
        <is>
          <t>중개거래</t>
        </is>
      </c>
      <c r="S194" s="42" t="inlineStr">
        <is>
          <t>서울 서초구</t>
        </is>
      </c>
      <c r="T194" s="41" t="inlineStr">
        <is>
          <t>24.03.21</t>
        </is>
      </c>
      <c r="U194" s="42" t="inlineStr">
        <is>
          <t>아파트</t>
        </is>
      </c>
    </row>
    <row r="195" hidden="1" ht="15" customHeight="1">
      <c r="A195" s="41" t="n">
        <v>191</v>
      </c>
      <c r="B195" s="42" t="inlineStr">
        <is>
          <t>서울특별시 서초구 서초동</t>
        </is>
      </c>
      <c r="C195" s="41" t="inlineStr">
        <is>
          <t>1312-3</t>
        </is>
      </c>
      <c r="D195" s="41" t="inlineStr">
        <is>
          <t>1312</t>
        </is>
      </c>
      <c r="E195" s="41" t="inlineStr">
        <is>
          <t>0003</t>
        </is>
      </c>
      <c r="F195" s="42" t="inlineStr">
        <is>
          <t>롯데캐슬클래식</t>
        </is>
      </c>
      <c r="G195" s="41" t="inlineStr">
        <is>
          <t>84.9800</t>
        </is>
      </c>
      <c r="H195" s="41" t="inlineStr">
        <is>
          <t>202311</t>
        </is>
      </c>
      <c r="I195" s="41" t="inlineStr">
        <is>
          <t>04</t>
        </is>
      </c>
      <c r="J195" s="41" t="inlineStr">
        <is>
          <t>225,000</t>
        </is>
      </c>
      <c r="K195" s="41" t="inlineStr">
        <is>
          <t>110</t>
        </is>
      </c>
      <c r="L195" s="41" t="inlineStr">
        <is>
          <t>8</t>
        </is>
      </c>
      <c r="M195" s="41" t="inlineStr">
        <is>
          <t>-</t>
        </is>
      </c>
      <c r="N195" s="41" t="inlineStr">
        <is>
          <t>-</t>
        </is>
      </c>
      <c r="O195" s="41" t="inlineStr">
        <is>
          <t>2006</t>
        </is>
      </c>
      <c r="P195" s="42" t="inlineStr">
        <is>
          <t>서운로 197</t>
        </is>
      </c>
      <c r="Q195" s="41" t="inlineStr">
        <is>
          <t>-</t>
        </is>
      </c>
      <c r="R195" s="42" t="inlineStr">
        <is>
          <t>중개거래</t>
        </is>
      </c>
      <c r="S195" s="42" t="inlineStr">
        <is>
          <t>서울 서초구</t>
        </is>
      </c>
      <c r="T195" s="41" t="inlineStr">
        <is>
          <t>24.03.14</t>
        </is>
      </c>
      <c r="U195" s="42" t="inlineStr">
        <is>
          <t>아파트</t>
        </is>
      </c>
    </row>
    <row r="196" hidden="1" ht="15" customHeight="1">
      <c r="A196" s="41" t="n">
        <v>192</v>
      </c>
      <c r="B196" s="42" t="inlineStr">
        <is>
          <t>서울특별시 서초구 서초동</t>
        </is>
      </c>
      <c r="C196" s="41" t="inlineStr">
        <is>
          <t>1685</t>
        </is>
      </c>
      <c r="D196" s="41" t="inlineStr">
        <is>
          <t>1685</t>
        </is>
      </c>
      <c r="E196" s="41" t="inlineStr">
        <is>
          <t>0000</t>
        </is>
      </c>
      <c r="F196" s="42" t="inlineStr">
        <is>
          <t>삼풍아파트</t>
        </is>
      </c>
      <c r="G196" s="41" t="inlineStr">
        <is>
          <t>79.4700</t>
        </is>
      </c>
      <c r="H196" s="41" t="inlineStr">
        <is>
          <t>202311</t>
        </is>
      </c>
      <c r="I196" s="41" t="inlineStr">
        <is>
          <t>03</t>
        </is>
      </c>
      <c r="J196" s="41" t="inlineStr">
        <is>
          <t>235,000</t>
        </is>
      </c>
      <c r="K196" s="41" t="inlineStr">
        <is>
          <t>3</t>
        </is>
      </c>
      <c r="L196" s="41" t="inlineStr">
        <is>
          <t>7</t>
        </is>
      </c>
      <c r="M196" s="41" t="inlineStr">
        <is>
          <t>-</t>
        </is>
      </c>
      <c r="N196" s="41" t="inlineStr">
        <is>
          <t>-</t>
        </is>
      </c>
      <c r="O196" s="41" t="inlineStr">
        <is>
          <t>1988</t>
        </is>
      </c>
      <c r="P196" s="42" t="inlineStr">
        <is>
          <t>서초중앙로 200</t>
        </is>
      </c>
      <c r="Q196" s="41" t="inlineStr">
        <is>
          <t>-</t>
        </is>
      </c>
      <c r="R196" s="42" t="inlineStr">
        <is>
          <t>중개거래</t>
        </is>
      </c>
      <c r="S196" s="42" t="inlineStr">
        <is>
          <t>서울 서초구</t>
        </is>
      </c>
      <c r="T196" s="41" t="inlineStr">
        <is>
          <t>24.02.28</t>
        </is>
      </c>
      <c r="U196" s="42" t="inlineStr">
        <is>
          <t>아파트</t>
        </is>
      </c>
    </row>
    <row r="197" hidden="1" ht="15" customHeight="1">
      <c r="A197" s="41" t="n">
        <v>193</v>
      </c>
      <c r="B197" s="42" t="inlineStr">
        <is>
          <t>서울특별시 서초구 서초동</t>
        </is>
      </c>
      <c r="C197" s="41" t="inlineStr">
        <is>
          <t>1685</t>
        </is>
      </c>
      <c r="D197" s="41" t="inlineStr">
        <is>
          <t>1685</t>
        </is>
      </c>
      <c r="E197" s="41" t="inlineStr">
        <is>
          <t>0000</t>
        </is>
      </c>
      <c r="F197" s="42" t="inlineStr">
        <is>
          <t>삼풍아파트</t>
        </is>
      </c>
      <c r="G197" s="41" t="inlineStr">
        <is>
          <t>130.7300</t>
        </is>
      </c>
      <c r="H197" s="41" t="inlineStr">
        <is>
          <t>202311</t>
        </is>
      </c>
      <c r="I197" s="41" t="inlineStr">
        <is>
          <t>03</t>
        </is>
      </c>
      <c r="J197" s="41" t="inlineStr">
        <is>
          <t>315,000</t>
        </is>
      </c>
      <c r="K197" s="41" t="inlineStr">
        <is>
          <t>13</t>
        </is>
      </c>
      <c r="L197" s="41" t="inlineStr">
        <is>
          <t>7</t>
        </is>
      </c>
      <c r="M197" s="41" t="inlineStr">
        <is>
          <t>-</t>
        </is>
      </c>
      <c r="N197" s="41" t="inlineStr">
        <is>
          <t>-</t>
        </is>
      </c>
      <c r="O197" s="41" t="inlineStr">
        <is>
          <t>1988</t>
        </is>
      </c>
      <c r="P197" s="42" t="inlineStr">
        <is>
          <t>서초중앙로 200</t>
        </is>
      </c>
      <c r="Q197" s="41" t="inlineStr">
        <is>
          <t>-</t>
        </is>
      </c>
      <c r="R197" s="42" t="inlineStr">
        <is>
          <t>중개거래</t>
        </is>
      </c>
      <c r="S197" s="42" t="inlineStr">
        <is>
          <t>서울 서초구</t>
        </is>
      </c>
      <c r="T197" s="41" t="inlineStr">
        <is>
          <t>24.02.28</t>
        </is>
      </c>
      <c r="U197" s="42" t="inlineStr">
        <is>
          <t>아파트</t>
        </is>
      </c>
    </row>
    <row r="198" hidden="1" ht="15" customHeight="1">
      <c r="A198" s="41" t="n">
        <v>194</v>
      </c>
      <c r="B198" s="42" t="inlineStr">
        <is>
          <t>서울특별시 서초구 서초동</t>
        </is>
      </c>
      <c r="C198" s="41" t="inlineStr">
        <is>
          <t>1488-5</t>
        </is>
      </c>
      <c r="D198" s="41" t="inlineStr">
        <is>
          <t>1488</t>
        </is>
      </c>
      <c r="E198" s="41" t="inlineStr">
        <is>
          <t>0005</t>
        </is>
      </c>
      <c r="F198" s="42" t="inlineStr">
        <is>
          <t>그린빌라트</t>
        </is>
      </c>
      <c r="G198" s="41" t="inlineStr">
        <is>
          <t>118.0900</t>
        </is>
      </c>
      <c r="H198" s="41" t="inlineStr">
        <is>
          <t>202310</t>
        </is>
      </c>
      <c r="I198" s="41" t="inlineStr">
        <is>
          <t>31</t>
        </is>
      </c>
      <c r="J198" s="41" t="inlineStr">
        <is>
          <t>118,704</t>
        </is>
      </c>
      <c r="K198" s="41" t="inlineStr">
        <is>
          <t>-</t>
        </is>
      </c>
      <c r="L198" s="41" t="inlineStr">
        <is>
          <t>2</t>
        </is>
      </c>
      <c r="M198" s="41" t="inlineStr">
        <is>
          <t>-</t>
        </is>
      </c>
      <c r="N198" s="41" t="inlineStr">
        <is>
          <t>-</t>
        </is>
      </c>
      <c r="O198" s="41" t="inlineStr">
        <is>
          <t>1997</t>
        </is>
      </c>
      <c r="P198" s="42" t="inlineStr">
        <is>
          <t>명달로8길 11</t>
        </is>
      </c>
      <c r="Q198" s="41" t="inlineStr">
        <is>
          <t>-</t>
        </is>
      </c>
      <c r="R198" s="42" t="inlineStr">
        <is>
          <t>직거래</t>
        </is>
      </c>
      <c r="S198" s="41" t="inlineStr">
        <is>
          <t>-</t>
        </is>
      </c>
      <c r="T198" s="41" t="inlineStr">
        <is>
          <t>23.11.06</t>
        </is>
      </c>
      <c r="U198" s="42" t="inlineStr">
        <is>
          <t>아파트</t>
        </is>
      </c>
    </row>
    <row r="199" hidden="1" ht="15" customHeight="1">
      <c r="A199" s="41" t="n">
        <v>195</v>
      </c>
      <c r="B199" s="42" t="inlineStr">
        <is>
          <t>서울특별시 서초구 서초동</t>
        </is>
      </c>
      <c r="C199" s="41" t="inlineStr">
        <is>
          <t>1450-1</t>
        </is>
      </c>
      <c r="D199" s="41" t="inlineStr">
        <is>
          <t>1450</t>
        </is>
      </c>
      <c r="E199" s="41" t="inlineStr">
        <is>
          <t>0001</t>
        </is>
      </c>
      <c r="F199" s="42" t="inlineStr">
        <is>
          <t>월드메르디앙(오페라)</t>
        </is>
      </c>
      <c r="G199" s="41" t="inlineStr">
        <is>
          <t>195.4890</t>
        </is>
      </c>
      <c r="H199" s="41" t="inlineStr">
        <is>
          <t>202310</t>
        </is>
      </c>
      <c r="I199" s="41" t="inlineStr">
        <is>
          <t>31</t>
        </is>
      </c>
      <c r="J199" s="41" t="inlineStr">
        <is>
          <t>210,000</t>
        </is>
      </c>
      <c r="K199" s="41" t="inlineStr">
        <is>
          <t>101</t>
        </is>
      </c>
      <c r="L199" s="41" t="inlineStr">
        <is>
          <t>13</t>
        </is>
      </c>
      <c r="M199" s="41" t="inlineStr">
        <is>
          <t>-</t>
        </is>
      </c>
      <c r="N199" s="41" t="inlineStr">
        <is>
          <t>-</t>
        </is>
      </c>
      <c r="O199" s="41" t="inlineStr">
        <is>
          <t>2004</t>
        </is>
      </c>
      <c r="P199" s="42" t="inlineStr">
        <is>
          <t>반포대로4길 24</t>
        </is>
      </c>
      <c r="Q199" s="41" t="inlineStr">
        <is>
          <t>-</t>
        </is>
      </c>
      <c r="R199" s="42" t="inlineStr">
        <is>
          <t>중개거래</t>
        </is>
      </c>
      <c r="S199" s="42" t="inlineStr">
        <is>
          <t>서울 서초구</t>
        </is>
      </c>
      <c r="T199" s="41" t="inlineStr">
        <is>
          <t>24.03.29</t>
        </is>
      </c>
      <c r="U199" s="42" t="inlineStr">
        <is>
          <t>아파트</t>
        </is>
      </c>
    </row>
    <row r="200" hidden="1" ht="15" customHeight="1">
      <c r="A200" s="41" t="n">
        <v>196</v>
      </c>
      <c r="B200" s="42" t="inlineStr">
        <is>
          <t>서울특별시 서초구 서초동</t>
        </is>
      </c>
      <c r="C200" s="41" t="inlineStr">
        <is>
          <t>1757</t>
        </is>
      </c>
      <c r="D200" s="41" t="inlineStr">
        <is>
          <t>1757</t>
        </is>
      </c>
      <c r="E200" s="41" t="inlineStr">
        <is>
          <t>0000</t>
        </is>
      </c>
      <c r="F200" s="42" t="inlineStr">
        <is>
          <t>서초그랑자이</t>
        </is>
      </c>
      <c r="G200" s="41" t="inlineStr">
        <is>
          <t>59.9800</t>
        </is>
      </c>
      <c r="H200" s="41" t="inlineStr">
        <is>
          <t>202310</t>
        </is>
      </c>
      <c r="I200" s="41" t="inlineStr">
        <is>
          <t>30</t>
        </is>
      </c>
      <c r="J200" s="41" t="inlineStr">
        <is>
          <t>233,500</t>
        </is>
      </c>
      <c r="K200" s="41" t="inlineStr">
        <is>
          <t>102동</t>
        </is>
      </c>
      <c r="L200" s="41" t="inlineStr">
        <is>
          <t>29</t>
        </is>
      </c>
      <c r="M200" s="41" t="inlineStr">
        <is>
          <t>-</t>
        </is>
      </c>
      <c r="N200" s="41" t="inlineStr">
        <is>
          <t>-</t>
        </is>
      </c>
      <c r="O200" s="41" t="inlineStr">
        <is>
          <t>2021</t>
        </is>
      </c>
      <c r="P200" s="42" t="inlineStr">
        <is>
          <t>효령로 391</t>
        </is>
      </c>
      <c r="Q200" s="41" t="inlineStr">
        <is>
          <t>-</t>
        </is>
      </c>
      <c r="R200" s="42" t="inlineStr">
        <is>
          <t>중개거래</t>
        </is>
      </c>
      <c r="S200" s="42" t="inlineStr">
        <is>
          <t>서울 서초구</t>
        </is>
      </c>
      <c r="T200" s="41" t="inlineStr">
        <is>
          <t>23.12.22</t>
        </is>
      </c>
      <c r="U200" s="42" t="inlineStr">
        <is>
          <t>아파트</t>
        </is>
      </c>
    </row>
    <row r="201" hidden="1" ht="15" customHeight="1">
      <c r="A201" s="41" t="n">
        <v>197</v>
      </c>
      <c r="B201" s="42" t="inlineStr">
        <is>
          <t>서울특별시 서초구 서초동</t>
        </is>
      </c>
      <c r="C201" s="41" t="inlineStr">
        <is>
          <t>1337-3</t>
        </is>
      </c>
      <c r="D201" s="41" t="inlineStr">
        <is>
          <t>1337</t>
        </is>
      </c>
      <c r="E201" s="41" t="inlineStr">
        <is>
          <t>0003</t>
        </is>
      </c>
      <c r="F201" s="41" t="inlineStr">
        <is>
          <t>urbanplace</t>
        </is>
      </c>
      <c r="G201" s="41" t="inlineStr">
        <is>
          <t>21.0070</t>
        </is>
      </c>
      <c r="H201" s="41" t="inlineStr">
        <is>
          <t>202310</t>
        </is>
      </c>
      <c r="I201" s="41" t="inlineStr">
        <is>
          <t>25</t>
        </is>
      </c>
      <c r="J201" s="41" t="inlineStr">
        <is>
          <t>20,500</t>
        </is>
      </c>
      <c r="K201" s="41" t="inlineStr">
        <is>
          <t>1</t>
        </is>
      </c>
      <c r="L201" s="41" t="inlineStr">
        <is>
          <t>6</t>
        </is>
      </c>
      <c r="M201" s="41" t="inlineStr">
        <is>
          <t>-</t>
        </is>
      </c>
      <c r="N201" s="41" t="inlineStr">
        <is>
          <t>-</t>
        </is>
      </c>
      <c r="O201" s="41" t="inlineStr">
        <is>
          <t>2014</t>
        </is>
      </c>
      <c r="P201" s="42" t="inlineStr">
        <is>
          <t>효령로77길 30</t>
        </is>
      </c>
      <c r="Q201" s="41" t="inlineStr">
        <is>
          <t>-</t>
        </is>
      </c>
      <c r="R201" s="42" t="inlineStr">
        <is>
          <t>중개거래</t>
        </is>
      </c>
      <c r="S201" s="42" t="inlineStr">
        <is>
          <t>서울 서초구</t>
        </is>
      </c>
      <c r="T201" s="41" t="inlineStr">
        <is>
          <t>23.11.24</t>
        </is>
      </c>
      <c r="U201" s="42" t="inlineStr">
        <is>
          <t>아파트</t>
        </is>
      </c>
    </row>
    <row r="202" hidden="1" ht="15" customHeight="1">
      <c r="A202" s="41" t="n">
        <v>198</v>
      </c>
      <c r="B202" s="42" t="inlineStr">
        <is>
          <t>서울특별시 서초구 서초동</t>
        </is>
      </c>
      <c r="C202" s="41" t="inlineStr">
        <is>
          <t>1315</t>
        </is>
      </c>
      <c r="D202" s="41" t="inlineStr">
        <is>
          <t>1315</t>
        </is>
      </c>
      <c r="E202" s="41" t="inlineStr">
        <is>
          <t>0000</t>
        </is>
      </c>
      <c r="F202" s="42" t="inlineStr">
        <is>
          <t>진흥아파트</t>
        </is>
      </c>
      <c r="G202" s="41" t="inlineStr">
        <is>
          <t>101.3200</t>
        </is>
      </c>
      <c r="H202" s="41" t="inlineStr">
        <is>
          <t>202310</t>
        </is>
      </c>
      <c r="I202" s="41" t="inlineStr">
        <is>
          <t>24</t>
        </is>
      </c>
      <c r="J202" s="41" t="inlineStr">
        <is>
          <t>229,000</t>
        </is>
      </c>
      <c r="K202" s="41" t="inlineStr">
        <is>
          <t>3</t>
        </is>
      </c>
      <c r="L202" s="41" t="inlineStr">
        <is>
          <t>8</t>
        </is>
      </c>
      <c r="M202" s="41" t="inlineStr">
        <is>
          <t>-</t>
        </is>
      </c>
      <c r="N202" s="41" t="inlineStr">
        <is>
          <t>-</t>
        </is>
      </c>
      <c r="O202" s="41" t="inlineStr">
        <is>
          <t>1979</t>
        </is>
      </c>
      <c r="P202" s="42" t="inlineStr">
        <is>
          <t>서초대로 385</t>
        </is>
      </c>
      <c r="Q202" s="41" t="inlineStr">
        <is>
          <t>-</t>
        </is>
      </c>
      <c r="R202" s="42" t="inlineStr">
        <is>
          <t>중개거래</t>
        </is>
      </c>
      <c r="S202" s="42" t="inlineStr">
        <is>
          <t>서울 서초구</t>
        </is>
      </c>
      <c r="T202" s="41" t="inlineStr">
        <is>
          <t>24.01.10</t>
        </is>
      </c>
      <c r="U202" s="42" t="inlineStr">
        <is>
          <t>아파트</t>
        </is>
      </c>
    </row>
    <row r="203" hidden="1" ht="15" customHeight="1">
      <c r="A203" s="41" t="n">
        <v>199</v>
      </c>
      <c r="B203" s="42" t="inlineStr">
        <is>
          <t>서울특별시 서초구 서초동</t>
        </is>
      </c>
      <c r="C203" s="41" t="inlineStr">
        <is>
          <t>1315</t>
        </is>
      </c>
      <c r="D203" s="41" t="inlineStr">
        <is>
          <t>1315</t>
        </is>
      </c>
      <c r="E203" s="41" t="inlineStr">
        <is>
          <t>0000</t>
        </is>
      </c>
      <c r="F203" s="42" t="inlineStr">
        <is>
          <t>진흥아파트</t>
        </is>
      </c>
      <c r="G203" s="41" t="inlineStr">
        <is>
          <t>131.0700</t>
        </is>
      </c>
      <c r="H203" s="41" t="inlineStr">
        <is>
          <t>202310</t>
        </is>
      </c>
      <c r="I203" s="41" t="inlineStr">
        <is>
          <t>24</t>
        </is>
      </c>
      <c r="J203" s="41" t="inlineStr">
        <is>
          <t>303,000</t>
        </is>
      </c>
      <c r="K203" s="41" t="inlineStr">
        <is>
          <t>7</t>
        </is>
      </c>
      <c r="L203" s="41" t="inlineStr">
        <is>
          <t>10</t>
        </is>
      </c>
      <c r="M203" s="41" t="inlineStr">
        <is>
          <t>-</t>
        </is>
      </c>
      <c r="N203" s="41" t="inlineStr">
        <is>
          <t>-</t>
        </is>
      </c>
      <c r="O203" s="41" t="inlineStr">
        <is>
          <t>1979</t>
        </is>
      </c>
      <c r="P203" s="42" t="inlineStr">
        <is>
          <t>서초대로 385</t>
        </is>
      </c>
      <c r="Q203" s="41" t="inlineStr">
        <is>
          <t>-</t>
        </is>
      </c>
      <c r="R203" s="42" t="inlineStr">
        <is>
          <t>중개거래</t>
        </is>
      </c>
      <c r="S203" s="42" t="inlineStr">
        <is>
          <t>서울 서초구</t>
        </is>
      </c>
      <c r="T203" s="41" t="inlineStr">
        <is>
          <t>24.01.19</t>
        </is>
      </c>
      <c r="U203" s="42" t="inlineStr">
        <is>
          <t>아파트</t>
        </is>
      </c>
    </row>
    <row r="204" hidden="1" ht="15" customHeight="1">
      <c r="A204" s="41" t="n">
        <v>200</v>
      </c>
      <c r="B204" s="42" t="inlineStr">
        <is>
          <t>서울특별시 서초구 서초동</t>
        </is>
      </c>
      <c r="C204" s="41" t="inlineStr">
        <is>
          <t>1333</t>
        </is>
      </c>
      <c r="D204" s="41" t="inlineStr">
        <is>
          <t>1333</t>
        </is>
      </c>
      <c r="E204" s="41" t="inlineStr">
        <is>
          <t>0000</t>
        </is>
      </c>
      <c r="F204" s="42" t="inlineStr">
        <is>
          <t>신동아아파트(1차)</t>
        </is>
      </c>
      <c r="G204" s="41" t="inlineStr">
        <is>
          <t>75.8600</t>
        </is>
      </c>
      <c r="H204" s="41" t="inlineStr">
        <is>
          <t>202310</t>
        </is>
      </c>
      <c r="I204" s="41" t="inlineStr">
        <is>
          <t>18</t>
        </is>
      </c>
      <c r="J204" s="41" t="inlineStr">
        <is>
          <t>182,000</t>
        </is>
      </c>
      <c r="K204" s="41" t="inlineStr">
        <is>
          <t>1</t>
        </is>
      </c>
      <c r="L204" s="41" t="inlineStr">
        <is>
          <t>10</t>
        </is>
      </c>
      <c r="M204" s="41" t="inlineStr">
        <is>
          <t>-</t>
        </is>
      </c>
      <c r="N204" s="41" t="inlineStr">
        <is>
          <t>-</t>
        </is>
      </c>
      <c r="O204" s="41" t="inlineStr">
        <is>
          <t>1978</t>
        </is>
      </c>
      <c r="P204" s="42" t="inlineStr">
        <is>
          <t>사임당로 137</t>
        </is>
      </c>
      <c r="Q204" s="41" t="inlineStr">
        <is>
          <t>-</t>
        </is>
      </c>
      <c r="R204" s="42" t="inlineStr">
        <is>
          <t>중개거래</t>
        </is>
      </c>
      <c r="S204" s="42" t="inlineStr">
        <is>
          <t>서울 서초구</t>
        </is>
      </c>
      <c r="T204" s="41" t="inlineStr">
        <is>
          <t>23.11.17</t>
        </is>
      </c>
      <c r="U204" s="42" t="inlineStr">
        <is>
          <t>아파트</t>
        </is>
      </c>
    </row>
    <row r="205" hidden="1" ht="15" customHeight="1">
      <c r="A205" s="41" t="n">
        <v>201</v>
      </c>
      <c r="B205" s="42" t="inlineStr">
        <is>
          <t>서울특별시 서초구 서초동</t>
        </is>
      </c>
      <c r="C205" s="41" t="inlineStr">
        <is>
          <t>1671-5</t>
        </is>
      </c>
      <c r="D205" s="41" t="inlineStr">
        <is>
          <t>1671</t>
        </is>
      </c>
      <c r="E205" s="41" t="inlineStr">
        <is>
          <t>0005</t>
        </is>
      </c>
      <c r="F205" s="42" t="inlineStr">
        <is>
          <t>대림서초리시온</t>
        </is>
      </c>
      <c r="G205" s="41" t="inlineStr">
        <is>
          <t>40.2600</t>
        </is>
      </c>
      <c r="H205" s="41" t="inlineStr">
        <is>
          <t>202310</t>
        </is>
      </c>
      <c r="I205" s="41" t="inlineStr">
        <is>
          <t>17</t>
        </is>
      </c>
      <c r="J205" s="41" t="inlineStr">
        <is>
          <t>43,000</t>
        </is>
      </c>
      <c r="K205" s="41" t="inlineStr">
        <is>
          <t>-</t>
        </is>
      </c>
      <c r="L205" s="41" t="inlineStr">
        <is>
          <t>10</t>
        </is>
      </c>
      <c r="M205" s="41" t="inlineStr">
        <is>
          <t>-</t>
        </is>
      </c>
      <c r="N205" s="41" t="inlineStr">
        <is>
          <t>-</t>
        </is>
      </c>
      <c r="O205" s="41" t="inlineStr">
        <is>
          <t>2003</t>
        </is>
      </c>
      <c r="P205" s="42" t="inlineStr">
        <is>
          <t>서초중앙로22길 25</t>
        </is>
      </c>
      <c r="Q205" s="41" t="inlineStr">
        <is>
          <t>20231207</t>
        </is>
      </c>
      <c r="R205" s="42" t="inlineStr">
        <is>
          <t>중개거래</t>
        </is>
      </c>
      <c r="S205" s="42" t="inlineStr">
        <is>
          <t>서울 서초구</t>
        </is>
      </c>
      <c r="T205" s="41" t="inlineStr">
        <is>
          <t>-</t>
        </is>
      </c>
      <c r="U205" s="42" t="inlineStr">
        <is>
          <t>아파트</t>
        </is>
      </c>
    </row>
    <row r="206" hidden="1" ht="15" customHeight="1">
      <c r="A206" s="41" t="n">
        <v>202</v>
      </c>
      <c r="B206" s="42" t="inlineStr">
        <is>
          <t>서울특별시 서초구 서초동</t>
        </is>
      </c>
      <c r="C206" s="41" t="inlineStr">
        <is>
          <t>1754</t>
        </is>
      </c>
      <c r="D206" s="41" t="inlineStr">
        <is>
          <t>1754</t>
        </is>
      </c>
      <c r="E206" s="41" t="inlineStr">
        <is>
          <t>0000</t>
        </is>
      </c>
      <c r="F206" s="42" t="inlineStr">
        <is>
          <t>래미안서초에스티지S</t>
        </is>
      </c>
      <c r="G206" s="41" t="inlineStr">
        <is>
          <t>84.1700</t>
        </is>
      </c>
      <c r="H206" s="41" t="inlineStr">
        <is>
          <t>202310</t>
        </is>
      </c>
      <c r="I206" s="41" t="inlineStr">
        <is>
          <t>17</t>
        </is>
      </c>
      <c r="J206" s="41" t="inlineStr">
        <is>
          <t>260,000</t>
        </is>
      </c>
      <c r="K206" s="41" t="inlineStr">
        <is>
          <t>202</t>
        </is>
      </c>
      <c r="L206" s="41" t="inlineStr">
        <is>
          <t>10</t>
        </is>
      </c>
      <c r="M206" s="41" t="inlineStr">
        <is>
          <t>-</t>
        </is>
      </c>
      <c r="N206" s="41" t="inlineStr">
        <is>
          <t>-</t>
        </is>
      </c>
      <c r="O206" s="41" t="inlineStr">
        <is>
          <t>2018</t>
        </is>
      </c>
      <c r="P206" s="42" t="inlineStr">
        <is>
          <t>서운로 104</t>
        </is>
      </c>
      <c r="Q206" s="41" t="inlineStr">
        <is>
          <t>-</t>
        </is>
      </c>
      <c r="R206" s="42" t="inlineStr">
        <is>
          <t>중개거래</t>
        </is>
      </c>
      <c r="S206" s="42" t="inlineStr">
        <is>
          <t>서울 서초구</t>
        </is>
      </c>
      <c r="T206" s="41" t="inlineStr">
        <is>
          <t>23.11.15</t>
        </is>
      </c>
      <c r="U206" s="42" t="inlineStr">
        <is>
          <t>아파트</t>
        </is>
      </c>
    </row>
    <row r="207" hidden="1" ht="15" customHeight="1">
      <c r="A207" s="41" t="n">
        <v>203</v>
      </c>
      <c r="B207" s="42" t="inlineStr">
        <is>
          <t>서울특별시 서초구 서초동</t>
        </is>
      </c>
      <c r="C207" s="41" t="inlineStr">
        <is>
          <t>1451-89</t>
        </is>
      </c>
      <c r="D207" s="41" t="inlineStr">
        <is>
          <t>1451</t>
        </is>
      </c>
      <c r="E207" s="41" t="inlineStr">
        <is>
          <t>0089</t>
        </is>
      </c>
      <c r="F207" s="42" t="inlineStr">
        <is>
          <t>서초중흥S-클래스(도시형생활주택)</t>
        </is>
      </c>
      <c r="G207" s="41" t="inlineStr">
        <is>
          <t>20.6800</t>
        </is>
      </c>
      <c r="H207" s="41" t="inlineStr">
        <is>
          <t>202310</t>
        </is>
      </c>
      <c r="I207" s="41" t="inlineStr">
        <is>
          <t>17</t>
        </is>
      </c>
      <c r="J207" s="41" t="inlineStr">
        <is>
          <t>20,000</t>
        </is>
      </c>
      <c r="K207" s="41" t="inlineStr">
        <is>
          <t>1</t>
        </is>
      </c>
      <c r="L207" s="41" t="inlineStr">
        <is>
          <t>4</t>
        </is>
      </c>
      <c r="M207" s="41" t="inlineStr">
        <is>
          <t>-</t>
        </is>
      </c>
      <c r="N207" s="41" t="inlineStr">
        <is>
          <t>-</t>
        </is>
      </c>
      <c r="O207" s="41" t="inlineStr">
        <is>
          <t>2013</t>
        </is>
      </c>
      <c r="P207" s="42" t="inlineStr">
        <is>
          <t>효령로52길 63</t>
        </is>
      </c>
      <c r="Q207" s="41" t="inlineStr">
        <is>
          <t>-</t>
        </is>
      </c>
      <c r="R207" s="42" t="inlineStr">
        <is>
          <t>중개거래</t>
        </is>
      </c>
      <c r="S207" s="42" t="inlineStr">
        <is>
          <t>서울 서초구</t>
        </is>
      </c>
      <c r="T207" s="41" t="inlineStr">
        <is>
          <t>23.12.18</t>
        </is>
      </c>
      <c r="U207" s="42" t="inlineStr">
        <is>
          <t>아파트</t>
        </is>
      </c>
    </row>
    <row r="208" hidden="1" ht="15" customHeight="1">
      <c r="A208" s="41" t="n">
        <v>204</v>
      </c>
      <c r="B208" s="42" t="inlineStr">
        <is>
          <t>서울특별시 서초구 서초동</t>
        </is>
      </c>
      <c r="C208" s="41" t="inlineStr">
        <is>
          <t>1451-89</t>
        </is>
      </c>
      <c r="D208" s="41" t="inlineStr">
        <is>
          <t>1451</t>
        </is>
      </c>
      <c r="E208" s="41" t="inlineStr">
        <is>
          <t>0089</t>
        </is>
      </c>
      <c r="F208" s="42" t="inlineStr">
        <is>
          <t>서초중흥S-클래스(도시형생활주택)</t>
        </is>
      </c>
      <c r="G208" s="41" t="inlineStr">
        <is>
          <t>20.6800</t>
        </is>
      </c>
      <c r="H208" s="41" t="inlineStr">
        <is>
          <t>202310</t>
        </is>
      </c>
      <c r="I208" s="41" t="inlineStr">
        <is>
          <t>16</t>
        </is>
      </c>
      <c r="J208" s="41" t="inlineStr">
        <is>
          <t>14,000</t>
        </is>
      </c>
      <c r="K208" s="41" t="inlineStr">
        <is>
          <t>1</t>
        </is>
      </c>
      <c r="L208" s="41" t="inlineStr">
        <is>
          <t>1</t>
        </is>
      </c>
      <c r="M208" s="41" t="inlineStr">
        <is>
          <t>-</t>
        </is>
      </c>
      <c r="N208" s="41" t="inlineStr">
        <is>
          <t>-</t>
        </is>
      </c>
      <c r="O208" s="41" t="inlineStr">
        <is>
          <t>2013</t>
        </is>
      </c>
      <c r="P208" s="42" t="inlineStr">
        <is>
          <t>효령로52길 63</t>
        </is>
      </c>
      <c r="Q208" s="41" t="inlineStr">
        <is>
          <t>-</t>
        </is>
      </c>
      <c r="R208" s="42" t="inlineStr">
        <is>
          <t>중개거래</t>
        </is>
      </c>
      <c r="S208" s="42" t="inlineStr">
        <is>
          <t>서울 서초구</t>
        </is>
      </c>
      <c r="T208" s="41" t="inlineStr">
        <is>
          <t>23.10.18</t>
        </is>
      </c>
      <c r="U208" s="42" t="inlineStr">
        <is>
          <t>아파트</t>
        </is>
      </c>
    </row>
    <row r="209" hidden="1" ht="15" customHeight="1">
      <c r="A209" s="41" t="n">
        <v>205</v>
      </c>
      <c r="B209" s="42" t="inlineStr">
        <is>
          <t>서울특별시 서초구 서초동</t>
        </is>
      </c>
      <c r="C209" s="41" t="inlineStr">
        <is>
          <t>1532-10</t>
        </is>
      </c>
      <c r="D209" s="41" t="inlineStr">
        <is>
          <t>1532</t>
        </is>
      </c>
      <c r="E209" s="41" t="inlineStr">
        <is>
          <t>0010</t>
        </is>
      </c>
      <c r="F209" s="42" t="inlineStr">
        <is>
          <t>서초블레스</t>
        </is>
      </c>
      <c r="G209" s="41" t="inlineStr">
        <is>
          <t>48.9900</t>
        </is>
      </c>
      <c r="H209" s="41" t="inlineStr">
        <is>
          <t>202310</t>
        </is>
      </c>
      <c r="I209" s="41" t="inlineStr">
        <is>
          <t>16</t>
        </is>
      </c>
      <c r="J209" s="41" t="inlineStr">
        <is>
          <t>57,700</t>
        </is>
      </c>
      <c r="K209" s="41" t="inlineStr">
        <is>
          <t>-</t>
        </is>
      </c>
      <c r="L209" s="41" t="inlineStr">
        <is>
          <t>2</t>
        </is>
      </c>
      <c r="M209" s="41" t="inlineStr">
        <is>
          <t>-</t>
        </is>
      </c>
      <c r="N209" s="41" t="inlineStr">
        <is>
          <t>-</t>
        </is>
      </c>
      <c r="O209" s="41" t="inlineStr">
        <is>
          <t>2017</t>
        </is>
      </c>
      <c r="P209" s="42" t="inlineStr">
        <is>
          <t>효령로47길 11</t>
        </is>
      </c>
      <c r="Q209" s="41" t="inlineStr">
        <is>
          <t>-</t>
        </is>
      </c>
      <c r="R209" s="42" t="inlineStr">
        <is>
          <t>중개거래</t>
        </is>
      </c>
      <c r="S209" s="42" t="inlineStr">
        <is>
          <t>서울 서초구</t>
        </is>
      </c>
      <c r="T209" s="41" t="inlineStr">
        <is>
          <t>23.11.24</t>
        </is>
      </c>
      <c r="U209" s="42" t="inlineStr">
        <is>
          <t>아파트</t>
        </is>
      </c>
    </row>
    <row r="210" hidden="1" ht="15" customHeight="1">
      <c r="A210" s="41" t="n">
        <v>206</v>
      </c>
      <c r="B210" s="42" t="inlineStr">
        <is>
          <t>서울특별시 서초구 서초동</t>
        </is>
      </c>
      <c r="C210" s="41" t="inlineStr">
        <is>
          <t>1671-5</t>
        </is>
      </c>
      <c r="D210" s="41" t="inlineStr">
        <is>
          <t>1671</t>
        </is>
      </c>
      <c r="E210" s="41" t="inlineStr">
        <is>
          <t>0005</t>
        </is>
      </c>
      <c r="F210" s="42" t="inlineStr">
        <is>
          <t>대림서초리시온</t>
        </is>
      </c>
      <c r="G210" s="41" t="inlineStr">
        <is>
          <t>40.2600</t>
        </is>
      </c>
      <c r="H210" s="41" t="inlineStr">
        <is>
          <t>202310</t>
        </is>
      </c>
      <c r="I210" s="41" t="inlineStr">
        <is>
          <t>14</t>
        </is>
      </c>
      <c r="J210" s="41" t="inlineStr">
        <is>
          <t>43,000</t>
        </is>
      </c>
      <c r="K210" s="41" t="inlineStr">
        <is>
          <t>-</t>
        </is>
      </c>
      <c r="L210" s="41" t="inlineStr">
        <is>
          <t>10</t>
        </is>
      </c>
      <c r="M210" s="41" t="inlineStr">
        <is>
          <t>-</t>
        </is>
      </c>
      <c r="N210" s="41" t="inlineStr">
        <is>
          <t>-</t>
        </is>
      </c>
      <c r="O210" s="41" t="inlineStr">
        <is>
          <t>2003</t>
        </is>
      </c>
      <c r="P210" s="42" t="inlineStr">
        <is>
          <t>서초중앙로22길 25</t>
        </is>
      </c>
      <c r="Q210" s="41" t="inlineStr">
        <is>
          <t>-</t>
        </is>
      </c>
      <c r="R210" s="42" t="inlineStr">
        <is>
          <t>중개거래</t>
        </is>
      </c>
      <c r="S210" s="42" t="inlineStr">
        <is>
          <t>서울 서초구</t>
        </is>
      </c>
      <c r="T210" s="41" t="inlineStr">
        <is>
          <t>23.12.06</t>
        </is>
      </c>
      <c r="U210" s="42" t="inlineStr">
        <is>
          <t>아파트</t>
        </is>
      </c>
    </row>
    <row r="211" hidden="1" ht="15" customHeight="1">
      <c r="A211" s="41" t="n">
        <v>207</v>
      </c>
      <c r="B211" s="42" t="inlineStr">
        <is>
          <t>서울특별시 서초구 서초동</t>
        </is>
      </c>
      <c r="C211" s="41" t="inlineStr">
        <is>
          <t>1542-6</t>
        </is>
      </c>
      <c r="D211" s="41" t="inlineStr">
        <is>
          <t>1542</t>
        </is>
      </c>
      <c r="E211" s="41" t="inlineStr">
        <is>
          <t>0006</t>
        </is>
      </c>
      <c r="F211" s="42" t="inlineStr">
        <is>
          <t>현대ESA2</t>
        </is>
      </c>
      <c r="G211" s="41" t="inlineStr">
        <is>
          <t>136.2500</t>
        </is>
      </c>
      <c r="H211" s="41" t="inlineStr">
        <is>
          <t>202310</t>
        </is>
      </c>
      <c r="I211" s="41" t="inlineStr">
        <is>
          <t>13</t>
        </is>
      </c>
      <c r="J211" s="41" t="inlineStr">
        <is>
          <t>195,000</t>
        </is>
      </c>
      <c r="K211" s="41" t="inlineStr">
        <is>
          <t>A</t>
        </is>
      </c>
      <c r="L211" s="41" t="inlineStr">
        <is>
          <t>22</t>
        </is>
      </c>
      <c r="M211" s="41" t="inlineStr">
        <is>
          <t>-</t>
        </is>
      </c>
      <c r="N211" s="41" t="inlineStr">
        <is>
          <t>-</t>
        </is>
      </c>
      <c r="O211" s="41" t="inlineStr">
        <is>
          <t>2003</t>
        </is>
      </c>
      <c r="P211" s="42" t="inlineStr">
        <is>
          <t>반포대로 122</t>
        </is>
      </c>
      <c r="Q211" s="41" t="inlineStr">
        <is>
          <t>-</t>
        </is>
      </c>
      <c r="R211" s="42" t="inlineStr">
        <is>
          <t>중개거래</t>
        </is>
      </c>
      <c r="S211" s="42" t="inlineStr">
        <is>
          <t>서울 서초구</t>
        </is>
      </c>
      <c r="T211" s="41" t="inlineStr">
        <is>
          <t>24.02.16</t>
        </is>
      </c>
      <c r="U211" s="42" t="inlineStr">
        <is>
          <t>아파트</t>
        </is>
      </c>
    </row>
    <row r="212" hidden="1" ht="15" customHeight="1">
      <c r="A212" s="41" t="n">
        <v>208</v>
      </c>
      <c r="B212" s="42" t="inlineStr">
        <is>
          <t>서울특별시 서초구 서초동</t>
        </is>
      </c>
      <c r="C212" s="41" t="inlineStr">
        <is>
          <t>1330</t>
        </is>
      </c>
      <c r="D212" s="41" t="inlineStr">
        <is>
          <t>1330</t>
        </is>
      </c>
      <c r="E212" s="41" t="inlineStr">
        <is>
          <t>0000</t>
        </is>
      </c>
      <c r="F212" s="42" t="inlineStr">
        <is>
          <t>서초동삼성쉐르빌2</t>
        </is>
      </c>
      <c r="G212" s="41" t="inlineStr">
        <is>
          <t>35.2200</t>
        </is>
      </c>
      <c r="H212" s="41" t="inlineStr">
        <is>
          <t>202310</t>
        </is>
      </c>
      <c r="I212" s="41" t="inlineStr">
        <is>
          <t>12</t>
        </is>
      </c>
      <c r="J212" s="41" t="inlineStr">
        <is>
          <t>27,500</t>
        </is>
      </c>
      <c r="K212" s="41" t="inlineStr">
        <is>
          <t>-</t>
        </is>
      </c>
      <c r="L212" s="41" t="inlineStr">
        <is>
          <t>4</t>
        </is>
      </c>
      <c r="M212" s="41" t="inlineStr">
        <is>
          <t>-</t>
        </is>
      </c>
      <c r="N212" s="41" t="inlineStr">
        <is>
          <t>-</t>
        </is>
      </c>
      <c r="O212" s="41" t="inlineStr">
        <is>
          <t>2002</t>
        </is>
      </c>
      <c r="P212" s="42" t="inlineStr">
        <is>
          <t>강남대로53길 11</t>
        </is>
      </c>
      <c r="Q212" s="41" t="inlineStr">
        <is>
          <t>-</t>
        </is>
      </c>
      <c r="R212" s="42" t="inlineStr">
        <is>
          <t>중개거래</t>
        </is>
      </c>
      <c r="S212" s="42" t="inlineStr">
        <is>
          <t>서울 서초구</t>
        </is>
      </c>
      <c r="T212" s="41" t="inlineStr">
        <is>
          <t>23.10.13</t>
        </is>
      </c>
      <c r="U212" s="42" t="inlineStr">
        <is>
          <t>아파트</t>
        </is>
      </c>
    </row>
    <row r="213" hidden="1" ht="15" customHeight="1">
      <c r="A213" s="41" t="n">
        <v>209</v>
      </c>
      <c r="B213" s="42" t="inlineStr">
        <is>
          <t>서울특별시 서초구 서초동</t>
        </is>
      </c>
      <c r="C213" s="41" t="inlineStr">
        <is>
          <t>1346</t>
        </is>
      </c>
      <c r="D213" s="41" t="inlineStr">
        <is>
          <t>1346</t>
        </is>
      </c>
      <c r="E213" s="41" t="inlineStr">
        <is>
          <t>0000</t>
        </is>
      </c>
      <c r="F213" s="42" t="inlineStr">
        <is>
          <t>현대아파트</t>
        </is>
      </c>
      <c r="G213" s="41" t="inlineStr">
        <is>
          <t>62.0500</t>
        </is>
      </c>
      <c r="H213" s="41" t="inlineStr">
        <is>
          <t>202310</t>
        </is>
      </c>
      <c r="I213" s="41" t="inlineStr">
        <is>
          <t>12</t>
        </is>
      </c>
      <c r="J213" s="41" t="inlineStr">
        <is>
          <t>135,000</t>
        </is>
      </c>
      <c r="K213" s="41" t="inlineStr">
        <is>
          <t>10</t>
        </is>
      </c>
      <c r="L213" s="41" t="inlineStr">
        <is>
          <t>2</t>
        </is>
      </c>
      <c r="M213" s="41" t="inlineStr">
        <is>
          <t>-</t>
        </is>
      </c>
      <c r="N213" s="41" t="inlineStr">
        <is>
          <t>-</t>
        </is>
      </c>
      <c r="O213" s="41" t="inlineStr">
        <is>
          <t>1989</t>
        </is>
      </c>
      <c r="P213" s="42" t="inlineStr">
        <is>
          <t>효령로72길 14</t>
        </is>
      </c>
      <c r="Q213" s="41" t="inlineStr">
        <is>
          <t>-</t>
        </is>
      </c>
      <c r="R213" s="42" t="inlineStr">
        <is>
          <t>직거래</t>
        </is>
      </c>
      <c r="S213" s="41" t="inlineStr">
        <is>
          <t>-</t>
        </is>
      </c>
      <c r="T213" s="41" t="inlineStr">
        <is>
          <t>24.01.24</t>
        </is>
      </c>
      <c r="U213" s="42" t="inlineStr">
        <is>
          <t>아파트</t>
        </is>
      </c>
    </row>
    <row r="214" hidden="1" ht="15" customHeight="1">
      <c r="A214" s="41" t="n">
        <v>210</v>
      </c>
      <c r="B214" s="42" t="inlineStr">
        <is>
          <t>서울특별시 서초구 서초동</t>
        </is>
      </c>
      <c r="C214" s="41" t="inlineStr">
        <is>
          <t>1685</t>
        </is>
      </c>
      <c r="D214" s="41" t="inlineStr">
        <is>
          <t>1685</t>
        </is>
      </c>
      <c r="E214" s="41" t="inlineStr">
        <is>
          <t>0000</t>
        </is>
      </c>
      <c r="F214" s="42" t="inlineStr">
        <is>
          <t>삼풍아파트</t>
        </is>
      </c>
      <c r="G214" s="41" t="inlineStr">
        <is>
          <t>130.7300</t>
        </is>
      </c>
      <c r="H214" s="41" t="inlineStr">
        <is>
          <t>202310</t>
        </is>
      </c>
      <c r="I214" s="41" t="inlineStr">
        <is>
          <t>11</t>
        </is>
      </c>
      <c r="J214" s="41" t="inlineStr">
        <is>
          <t>315,000</t>
        </is>
      </c>
      <c r="K214" s="41" t="inlineStr">
        <is>
          <t>16</t>
        </is>
      </c>
      <c r="L214" s="41" t="inlineStr">
        <is>
          <t>7</t>
        </is>
      </c>
      <c r="M214" s="41" t="inlineStr">
        <is>
          <t>-</t>
        </is>
      </c>
      <c r="N214" s="41" t="inlineStr">
        <is>
          <t>-</t>
        </is>
      </c>
      <c r="O214" s="41" t="inlineStr">
        <is>
          <t>1988</t>
        </is>
      </c>
      <c r="P214" s="42" t="inlineStr">
        <is>
          <t>서초중앙로 200</t>
        </is>
      </c>
      <c r="Q214" s="41" t="inlineStr">
        <is>
          <t>-</t>
        </is>
      </c>
      <c r="R214" s="42" t="inlineStr">
        <is>
          <t>중개거래</t>
        </is>
      </c>
      <c r="S214" s="42" t="inlineStr">
        <is>
          <t>서울 서초구</t>
        </is>
      </c>
      <c r="T214" s="41" t="inlineStr">
        <is>
          <t>23.10.19</t>
        </is>
      </c>
      <c r="U214" s="42" t="inlineStr">
        <is>
          <t>아파트</t>
        </is>
      </c>
    </row>
    <row r="215" hidden="1" ht="15" customHeight="1">
      <c r="A215" s="41" t="n">
        <v>211</v>
      </c>
      <c r="B215" s="42" t="inlineStr">
        <is>
          <t>서울특별시 서초구 서초동</t>
        </is>
      </c>
      <c r="C215" s="41" t="inlineStr">
        <is>
          <t>1593-7</t>
        </is>
      </c>
      <c r="D215" s="41" t="inlineStr">
        <is>
          <t>1593</t>
        </is>
      </c>
      <c r="E215" s="41" t="inlineStr">
        <is>
          <t>0007</t>
        </is>
      </c>
      <c r="F215" s="42" t="inlineStr">
        <is>
          <t>서초이오빌</t>
        </is>
      </c>
      <c r="G215" s="41" t="inlineStr">
        <is>
          <t>36.6600</t>
        </is>
      </c>
      <c r="H215" s="41" t="inlineStr">
        <is>
          <t>202310</t>
        </is>
      </c>
      <c r="I215" s="41" t="inlineStr">
        <is>
          <t>11</t>
        </is>
      </c>
      <c r="J215" s="41" t="inlineStr">
        <is>
          <t>32,000</t>
        </is>
      </c>
      <c r="K215" s="41" t="inlineStr">
        <is>
          <t>-</t>
        </is>
      </c>
      <c r="L215" s="41" t="inlineStr">
        <is>
          <t>9</t>
        </is>
      </c>
      <c r="M215" s="41" t="inlineStr">
        <is>
          <t>-</t>
        </is>
      </c>
      <c r="N215" s="41" t="inlineStr">
        <is>
          <t>-</t>
        </is>
      </c>
      <c r="O215" s="41" t="inlineStr">
        <is>
          <t>2003</t>
        </is>
      </c>
      <c r="P215" s="42" t="inlineStr">
        <is>
          <t>효령로53길 45</t>
        </is>
      </c>
      <c r="Q215" s="41" t="inlineStr">
        <is>
          <t>-</t>
        </is>
      </c>
      <c r="R215" s="42" t="inlineStr">
        <is>
          <t>중개거래</t>
        </is>
      </c>
      <c r="S215" s="42" t="inlineStr">
        <is>
          <t>서울 서초구</t>
        </is>
      </c>
      <c r="T215" s="41" t="inlineStr">
        <is>
          <t>23.11.13</t>
        </is>
      </c>
      <c r="U215" s="42" t="inlineStr">
        <is>
          <t>아파트</t>
        </is>
      </c>
    </row>
    <row r="216" hidden="1" ht="15" customHeight="1">
      <c r="A216" s="41" t="n">
        <v>212</v>
      </c>
      <c r="B216" s="42" t="inlineStr">
        <is>
          <t>서울특별시 서초구 서초동</t>
        </is>
      </c>
      <c r="C216" s="41" t="inlineStr">
        <is>
          <t>1511-9</t>
        </is>
      </c>
      <c r="D216" s="41" t="inlineStr">
        <is>
          <t>1511</t>
        </is>
      </c>
      <c r="E216" s="41" t="inlineStr">
        <is>
          <t>0009</t>
        </is>
      </c>
      <c r="F216" s="42" t="inlineStr">
        <is>
          <t>한성</t>
        </is>
      </c>
      <c r="G216" s="41" t="inlineStr">
        <is>
          <t>94.2700</t>
        </is>
      </c>
      <c r="H216" s="41" t="inlineStr">
        <is>
          <t>202310</t>
        </is>
      </c>
      <c r="I216" s="41" t="inlineStr">
        <is>
          <t>07</t>
        </is>
      </c>
      <c r="J216" s="41" t="inlineStr">
        <is>
          <t>109,500</t>
        </is>
      </c>
      <c r="K216" s="41" t="inlineStr">
        <is>
          <t>-</t>
        </is>
      </c>
      <c r="L216" s="41" t="inlineStr">
        <is>
          <t>2</t>
        </is>
      </c>
      <c r="M216" s="41" t="inlineStr">
        <is>
          <t>-</t>
        </is>
      </c>
      <c r="N216" s="41" t="inlineStr">
        <is>
          <t>-</t>
        </is>
      </c>
      <c r="O216" s="41" t="inlineStr">
        <is>
          <t>2003</t>
        </is>
      </c>
      <c r="P216" s="42" t="inlineStr">
        <is>
          <t>반포대로21길 46</t>
        </is>
      </c>
      <c r="Q216" s="41" t="inlineStr">
        <is>
          <t>-</t>
        </is>
      </c>
      <c r="R216" s="42" t="inlineStr">
        <is>
          <t>중개거래</t>
        </is>
      </c>
      <c r="S216" s="42" t="inlineStr">
        <is>
          <t>서울 서초구</t>
        </is>
      </c>
      <c r="T216" s="41" t="inlineStr">
        <is>
          <t>24.03.29</t>
        </is>
      </c>
      <c r="U216" s="42" t="inlineStr">
        <is>
          <t>아파트</t>
        </is>
      </c>
    </row>
    <row r="217" hidden="1" ht="15" customHeight="1">
      <c r="A217" s="41" t="n">
        <v>213</v>
      </c>
      <c r="B217" s="42" t="inlineStr">
        <is>
          <t>서울특별시 서초구 서초동</t>
        </is>
      </c>
      <c r="C217" s="41" t="inlineStr">
        <is>
          <t>1445-4</t>
        </is>
      </c>
      <c r="D217" s="41" t="inlineStr">
        <is>
          <t>1445</t>
        </is>
      </c>
      <c r="E217" s="41" t="inlineStr">
        <is>
          <t>0004</t>
        </is>
      </c>
      <c r="F217" s="42" t="inlineStr">
        <is>
          <t>래미안서초유니빌</t>
        </is>
      </c>
      <c r="G217" s="41" t="inlineStr">
        <is>
          <t>45.2550</t>
        </is>
      </c>
      <c r="H217" s="41" t="inlineStr">
        <is>
          <t>202310</t>
        </is>
      </c>
      <c r="I217" s="41" t="inlineStr">
        <is>
          <t>06</t>
        </is>
      </c>
      <c r="J217" s="41" t="inlineStr">
        <is>
          <t>49,500</t>
        </is>
      </c>
      <c r="K217" s="42" t="inlineStr">
        <is>
          <t>래미안 서초유니빌</t>
        </is>
      </c>
      <c r="L217" s="41" t="inlineStr">
        <is>
          <t>16</t>
        </is>
      </c>
      <c r="M217" s="41" t="inlineStr">
        <is>
          <t>-</t>
        </is>
      </c>
      <c r="N217" s="41" t="inlineStr">
        <is>
          <t>-</t>
        </is>
      </c>
      <c r="O217" s="41" t="inlineStr">
        <is>
          <t>2003</t>
        </is>
      </c>
      <c r="P217" s="42" t="inlineStr">
        <is>
          <t>서초중앙로 26</t>
        </is>
      </c>
      <c r="Q217" s="41" t="inlineStr">
        <is>
          <t>-</t>
        </is>
      </c>
      <c r="R217" s="42" t="inlineStr">
        <is>
          <t>중개거래</t>
        </is>
      </c>
      <c r="S217" s="42" t="inlineStr">
        <is>
          <t>서울 강남구 서울 서초구</t>
        </is>
      </c>
      <c r="T217" s="41" t="inlineStr">
        <is>
          <t>23.11.24</t>
        </is>
      </c>
      <c r="U217" s="42" t="inlineStr">
        <is>
          <t>아파트</t>
        </is>
      </c>
    </row>
    <row r="218" hidden="1" ht="15" customHeight="1">
      <c r="A218" s="41" t="n">
        <v>214</v>
      </c>
      <c r="B218" s="42" t="inlineStr">
        <is>
          <t>서울특별시 서초구 서초동</t>
        </is>
      </c>
      <c r="C218" s="41" t="inlineStr">
        <is>
          <t>1334-1</t>
        </is>
      </c>
      <c r="D218" s="41" t="inlineStr">
        <is>
          <t>1334</t>
        </is>
      </c>
      <c r="E218" s="41" t="inlineStr">
        <is>
          <t>0001</t>
        </is>
      </c>
      <c r="F218" s="42" t="inlineStr">
        <is>
          <t>신동아아파트(2차)</t>
        </is>
      </c>
      <c r="G218" s="41" t="inlineStr">
        <is>
          <t>144.4100</t>
        </is>
      </c>
      <c r="H218" s="41" t="inlineStr">
        <is>
          <t>202310</t>
        </is>
      </c>
      <c r="I218" s="41" t="inlineStr">
        <is>
          <t>06</t>
        </is>
      </c>
      <c r="J218" s="41" t="inlineStr">
        <is>
          <t>279,000</t>
        </is>
      </c>
      <c r="K218" s="41" t="inlineStr">
        <is>
          <t>8</t>
        </is>
      </c>
      <c r="L218" s="41" t="inlineStr">
        <is>
          <t>4</t>
        </is>
      </c>
      <c r="M218" s="41" t="inlineStr">
        <is>
          <t>-</t>
        </is>
      </c>
      <c r="N218" s="41" t="inlineStr">
        <is>
          <t>-</t>
        </is>
      </c>
      <c r="O218" s="41" t="inlineStr">
        <is>
          <t>1979</t>
        </is>
      </c>
      <c r="P218" s="42" t="inlineStr">
        <is>
          <t>사임당로 130</t>
        </is>
      </c>
      <c r="Q218" s="41" t="inlineStr">
        <is>
          <t>-</t>
        </is>
      </c>
      <c r="R218" s="42" t="inlineStr">
        <is>
          <t>중개거래</t>
        </is>
      </c>
      <c r="S218" s="42" t="inlineStr">
        <is>
          <t>서울 서초구</t>
        </is>
      </c>
      <c r="T218" s="41" t="inlineStr">
        <is>
          <t>24.03.27</t>
        </is>
      </c>
      <c r="U218" s="42" t="inlineStr">
        <is>
          <t>아파트</t>
        </is>
      </c>
    </row>
    <row r="219" hidden="1" ht="15" customHeight="1">
      <c r="A219" s="41" t="n">
        <v>215</v>
      </c>
      <c r="B219" s="42" t="inlineStr">
        <is>
          <t>서울특별시 서초구 서초동</t>
        </is>
      </c>
      <c r="C219" s="41" t="inlineStr">
        <is>
          <t>1593-7</t>
        </is>
      </c>
      <c r="D219" s="41" t="inlineStr">
        <is>
          <t>1593</t>
        </is>
      </c>
      <c r="E219" s="41" t="inlineStr">
        <is>
          <t>0007</t>
        </is>
      </c>
      <c r="F219" s="42" t="inlineStr">
        <is>
          <t>서초이오빌</t>
        </is>
      </c>
      <c r="G219" s="41" t="inlineStr">
        <is>
          <t>45.9600</t>
        </is>
      </c>
      <c r="H219" s="41" t="inlineStr">
        <is>
          <t>202310</t>
        </is>
      </c>
      <c r="I219" s="41" t="inlineStr">
        <is>
          <t>04</t>
        </is>
      </c>
      <c r="J219" s="41" t="inlineStr">
        <is>
          <t>42,000</t>
        </is>
      </c>
      <c r="K219" s="41" t="inlineStr">
        <is>
          <t>-</t>
        </is>
      </c>
      <c r="L219" s="41" t="inlineStr">
        <is>
          <t>22</t>
        </is>
      </c>
      <c r="M219" s="41" t="inlineStr">
        <is>
          <t>-</t>
        </is>
      </c>
      <c r="N219" s="41" t="inlineStr">
        <is>
          <t>-</t>
        </is>
      </c>
      <c r="O219" s="41" t="inlineStr">
        <is>
          <t>2003</t>
        </is>
      </c>
      <c r="P219" s="42" t="inlineStr">
        <is>
          <t>효령로53길 45</t>
        </is>
      </c>
      <c r="Q219" s="41" t="inlineStr">
        <is>
          <t>-</t>
        </is>
      </c>
      <c r="R219" s="42" t="inlineStr">
        <is>
          <t>중개거래</t>
        </is>
      </c>
      <c r="S219" s="42" t="inlineStr">
        <is>
          <t>서울 서초구</t>
        </is>
      </c>
      <c r="T219" s="41" t="inlineStr">
        <is>
          <t>23.10.11</t>
        </is>
      </c>
      <c r="U219" s="42" t="inlineStr">
        <is>
          <t>아파트</t>
        </is>
      </c>
    </row>
    <row r="220" hidden="1" ht="15" customHeight="1">
      <c r="A220" s="41" t="n">
        <v>216</v>
      </c>
      <c r="B220" s="42" t="inlineStr">
        <is>
          <t>서울특별시 서초구 서초동</t>
        </is>
      </c>
      <c r="C220" s="41" t="inlineStr">
        <is>
          <t>1315</t>
        </is>
      </c>
      <c r="D220" s="41" t="inlineStr">
        <is>
          <t>1315</t>
        </is>
      </c>
      <c r="E220" s="41" t="inlineStr">
        <is>
          <t>0000</t>
        </is>
      </c>
      <c r="F220" s="42" t="inlineStr">
        <is>
          <t>진흥아파트</t>
        </is>
      </c>
      <c r="G220" s="41" t="inlineStr">
        <is>
          <t>101.3200</t>
        </is>
      </c>
      <c r="H220" s="41" t="inlineStr">
        <is>
          <t>202310</t>
        </is>
      </c>
      <c r="I220" s="41" t="inlineStr">
        <is>
          <t>03</t>
        </is>
      </c>
      <c r="J220" s="41" t="inlineStr">
        <is>
          <t>228,000</t>
        </is>
      </c>
      <c r="K220" s="41" t="inlineStr">
        <is>
          <t>1</t>
        </is>
      </c>
      <c r="L220" s="41" t="inlineStr">
        <is>
          <t>11</t>
        </is>
      </c>
      <c r="M220" s="41" t="inlineStr">
        <is>
          <t>-</t>
        </is>
      </c>
      <c r="N220" s="41" t="inlineStr">
        <is>
          <t>-</t>
        </is>
      </c>
      <c r="O220" s="41" t="inlineStr">
        <is>
          <t>1979</t>
        </is>
      </c>
      <c r="P220" s="42" t="inlineStr">
        <is>
          <t>서초대로 385</t>
        </is>
      </c>
      <c r="Q220" s="41" t="inlineStr">
        <is>
          <t>-</t>
        </is>
      </c>
      <c r="R220" s="42" t="inlineStr">
        <is>
          <t>중개거래</t>
        </is>
      </c>
      <c r="S220" s="42" t="inlineStr">
        <is>
          <t>서울 서초구</t>
        </is>
      </c>
      <c r="T220" s="41" t="inlineStr">
        <is>
          <t>23.11.23</t>
        </is>
      </c>
      <c r="U220" s="42" t="inlineStr">
        <is>
          <t>아파트</t>
        </is>
      </c>
    </row>
    <row r="221" hidden="1" ht="15" customHeight="1">
      <c r="A221" s="41" t="n">
        <v>217</v>
      </c>
      <c r="B221" s="42" t="inlineStr">
        <is>
          <t>서울특별시 서초구 서초동</t>
        </is>
      </c>
      <c r="C221" s="41" t="inlineStr">
        <is>
          <t>1451-89</t>
        </is>
      </c>
      <c r="D221" s="41" t="inlineStr">
        <is>
          <t>1451</t>
        </is>
      </c>
      <c r="E221" s="41" t="inlineStr">
        <is>
          <t>0089</t>
        </is>
      </c>
      <c r="F221" s="42" t="inlineStr">
        <is>
          <t>서초중흥S-클래스(도시형생활주택)</t>
        </is>
      </c>
      <c r="G221" s="41" t="inlineStr">
        <is>
          <t>25.8200</t>
        </is>
      </c>
      <c r="H221" s="41" t="inlineStr">
        <is>
          <t>202309</t>
        </is>
      </c>
      <c r="I221" s="41" t="inlineStr">
        <is>
          <t>27</t>
        </is>
      </c>
      <c r="J221" s="41" t="inlineStr">
        <is>
          <t>22,000</t>
        </is>
      </c>
      <c r="K221" s="41" t="inlineStr">
        <is>
          <t>1</t>
        </is>
      </c>
      <c r="L221" s="41" t="inlineStr">
        <is>
          <t>7</t>
        </is>
      </c>
      <c r="M221" s="41" t="inlineStr">
        <is>
          <t>-</t>
        </is>
      </c>
      <c r="N221" s="41" t="inlineStr">
        <is>
          <t>-</t>
        </is>
      </c>
      <c r="O221" s="41" t="inlineStr">
        <is>
          <t>2013</t>
        </is>
      </c>
      <c r="P221" s="42" t="inlineStr">
        <is>
          <t>효령로52길 63</t>
        </is>
      </c>
      <c r="Q221" s="41" t="inlineStr">
        <is>
          <t>-</t>
        </is>
      </c>
      <c r="R221" s="42" t="inlineStr">
        <is>
          <t>중개거래</t>
        </is>
      </c>
      <c r="S221" s="42" t="inlineStr">
        <is>
          <t>서울 서초구</t>
        </is>
      </c>
      <c r="T221" s="41" t="inlineStr">
        <is>
          <t>23.11.15</t>
        </is>
      </c>
      <c r="U221" s="42" t="inlineStr">
        <is>
          <t>아파트</t>
        </is>
      </c>
    </row>
    <row r="222" hidden="1" ht="15" customHeight="1">
      <c r="A222" s="41" t="n">
        <v>218</v>
      </c>
      <c r="B222" s="42" t="inlineStr">
        <is>
          <t>서울특별시 서초구 서초동</t>
        </is>
      </c>
      <c r="C222" s="41" t="inlineStr">
        <is>
          <t>1686-9</t>
        </is>
      </c>
      <c r="D222" s="41" t="inlineStr">
        <is>
          <t>1686</t>
        </is>
      </c>
      <c r="E222" s="41" t="inlineStr">
        <is>
          <t>0009</t>
        </is>
      </c>
      <c r="F222" s="42" t="inlineStr">
        <is>
          <t>서초교대e편한세상</t>
        </is>
      </c>
      <c r="G222" s="41" t="inlineStr">
        <is>
          <t>84.6800</t>
        </is>
      </c>
      <c r="H222" s="41" t="inlineStr">
        <is>
          <t>202309</t>
        </is>
      </c>
      <c r="I222" s="41" t="inlineStr">
        <is>
          <t>27</t>
        </is>
      </c>
      <c r="J222" s="41" t="inlineStr">
        <is>
          <t>233,500</t>
        </is>
      </c>
      <c r="K222" s="41" t="inlineStr">
        <is>
          <t>101</t>
        </is>
      </c>
      <c r="L222" s="41" t="inlineStr">
        <is>
          <t>9</t>
        </is>
      </c>
      <c r="M222" s="41" t="inlineStr">
        <is>
          <t>-</t>
        </is>
      </c>
      <c r="N222" s="41" t="inlineStr">
        <is>
          <t>-</t>
        </is>
      </c>
      <c r="O222" s="41" t="inlineStr">
        <is>
          <t>2010</t>
        </is>
      </c>
      <c r="P222" s="42" t="inlineStr">
        <is>
          <t>서초중앙로24길 33</t>
        </is>
      </c>
      <c r="Q222" s="41" t="inlineStr">
        <is>
          <t>-</t>
        </is>
      </c>
      <c r="R222" s="42" t="inlineStr">
        <is>
          <t>중개거래</t>
        </is>
      </c>
      <c r="S222" s="42" t="inlineStr">
        <is>
          <t>서울 서초구</t>
        </is>
      </c>
      <c r="T222" s="41" t="inlineStr">
        <is>
          <t>23.12.28</t>
        </is>
      </c>
      <c r="U222" s="42" t="inlineStr">
        <is>
          <t>아파트</t>
        </is>
      </c>
    </row>
    <row r="223" hidden="1" ht="15" customHeight="1">
      <c r="A223" s="41" t="n">
        <v>219</v>
      </c>
      <c r="B223" s="42" t="inlineStr">
        <is>
          <t>서울특별시 서초구 서초동</t>
        </is>
      </c>
      <c r="C223" s="41" t="inlineStr">
        <is>
          <t>1445-4</t>
        </is>
      </c>
      <c r="D223" s="41" t="inlineStr">
        <is>
          <t>1445</t>
        </is>
      </c>
      <c r="E223" s="41" t="inlineStr">
        <is>
          <t>0004</t>
        </is>
      </c>
      <c r="F223" s="42" t="inlineStr">
        <is>
          <t>래미안서초유니빌</t>
        </is>
      </c>
      <c r="G223" s="41" t="inlineStr">
        <is>
          <t>34.0520</t>
        </is>
      </c>
      <c r="H223" s="41" t="inlineStr">
        <is>
          <t>202309</t>
        </is>
      </c>
      <c r="I223" s="41" t="inlineStr">
        <is>
          <t>26</t>
        </is>
      </c>
      <c r="J223" s="41" t="inlineStr">
        <is>
          <t>39,000</t>
        </is>
      </c>
      <c r="K223" s="42" t="inlineStr">
        <is>
          <t>래미안 서초유니빌</t>
        </is>
      </c>
      <c r="L223" s="41" t="inlineStr">
        <is>
          <t>12</t>
        </is>
      </c>
      <c r="M223" s="41" t="inlineStr">
        <is>
          <t>-</t>
        </is>
      </c>
      <c r="N223" s="41" t="inlineStr">
        <is>
          <t>-</t>
        </is>
      </c>
      <c r="O223" s="41" t="inlineStr">
        <is>
          <t>2003</t>
        </is>
      </c>
      <c r="P223" s="42" t="inlineStr">
        <is>
          <t>서초중앙로 26</t>
        </is>
      </c>
      <c r="Q223" s="41" t="inlineStr">
        <is>
          <t>-</t>
        </is>
      </c>
      <c r="R223" s="42" t="inlineStr">
        <is>
          <t>중개거래</t>
        </is>
      </c>
      <c r="S223" s="42" t="inlineStr">
        <is>
          <t>서울 서초구</t>
        </is>
      </c>
      <c r="T223" s="41" t="inlineStr">
        <is>
          <t>23.11.24</t>
        </is>
      </c>
      <c r="U223" s="42" t="inlineStr">
        <is>
          <t>아파트</t>
        </is>
      </c>
    </row>
    <row r="224" hidden="1" ht="15" customHeight="1">
      <c r="A224" s="41" t="n">
        <v>220</v>
      </c>
      <c r="B224" s="42" t="inlineStr">
        <is>
          <t>서울특별시 서초구 서초동</t>
        </is>
      </c>
      <c r="C224" s="41" t="inlineStr">
        <is>
          <t>1330</t>
        </is>
      </c>
      <c r="D224" s="41" t="inlineStr">
        <is>
          <t>1330</t>
        </is>
      </c>
      <c r="E224" s="41" t="inlineStr">
        <is>
          <t>0000</t>
        </is>
      </c>
      <c r="F224" s="42" t="inlineStr">
        <is>
          <t>서초동삼성쉐르빌2</t>
        </is>
      </c>
      <c r="G224" s="41" t="inlineStr">
        <is>
          <t>35.1700</t>
        </is>
      </c>
      <c r="H224" s="41" t="inlineStr">
        <is>
          <t>202309</t>
        </is>
      </c>
      <c r="I224" s="41" t="inlineStr">
        <is>
          <t>26</t>
        </is>
      </c>
      <c r="J224" s="41" t="inlineStr">
        <is>
          <t>30,000</t>
        </is>
      </c>
      <c r="K224" s="41" t="inlineStr">
        <is>
          <t>-</t>
        </is>
      </c>
      <c r="L224" s="41" t="inlineStr">
        <is>
          <t>7</t>
        </is>
      </c>
      <c r="M224" s="41" t="inlineStr">
        <is>
          <t>-</t>
        </is>
      </c>
      <c r="N224" s="41" t="inlineStr">
        <is>
          <t>-</t>
        </is>
      </c>
      <c r="O224" s="41" t="inlineStr">
        <is>
          <t>2002</t>
        </is>
      </c>
      <c r="P224" s="42" t="inlineStr">
        <is>
          <t>강남대로53길 11</t>
        </is>
      </c>
      <c r="Q224" s="41" t="inlineStr">
        <is>
          <t>-</t>
        </is>
      </c>
      <c r="R224" s="42" t="inlineStr">
        <is>
          <t>중개거래</t>
        </is>
      </c>
      <c r="S224" s="42" t="inlineStr">
        <is>
          <t>서울 강남구 서울 서초구</t>
        </is>
      </c>
      <c r="T224" s="41" t="inlineStr">
        <is>
          <t>23.09.27</t>
        </is>
      </c>
      <c r="U224" s="42" t="inlineStr">
        <is>
          <t>아파트</t>
        </is>
      </c>
    </row>
    <row r="225" hidden="1" ht="15" customHeight="1">
      <c r="A225" s="41" t="n">
        <v>221</v>
      </c>
      <c r="B225" s="42" t="inlineStr">
        <is>
          <t>서울특별시 서초구 서초동</t>
        </is>
      </c>
      <c r="C225" s="41" t="inlineStr">
        <is>
          <t>1446-11</t>
        </is>
      </c>
      <c r="D225" s="41" t="inlineStr">
        <is>
          <t>1446</t>
        </is>
      </c>
      <c r="E225" s="41" t="inlineStr">
        <is>
          <t>0011</t>
        </is>
      </c>
      <c r="F225" s="42" t="inlineStr">
        <is>
          <t>현대슈퍼빌</t>
        </is>
      </c>
      <c r="G225" s="41" t="inlineStr">
        <is>
          <t>239.2200</t>
        </is>
      </c>
      <c r="H225" s="41" t="inlineStr">
        <is>
          <t>202309</t>
        </is>
      </c>
      <c r="I225" s="41" t="inlineStr">
        <is>
          <t>26</t>
        </is>
      </c>
      <c r="J225" s="41" t="inlineStr">
        <is>
          <t>450,000</t>
        </is>
      </c>
      <c r="K225" s="41" t="inlineStr">
        <is>
          <t>B</t>
        </is>
      </c>
      <c r="L225" s="41" t="inlineStr">
        <is>
          <t>36</t>
        </is>
      </c>
      <c r="M225" s="41" t="inlineStr">
        <is>
          <t>-</t>
        </is>
      </c>
      <c r="N225" s="41" t="inlineStr">
        <is>
          <t>-</t>
        </is>
      </c>
      <c r="O225" s="41" t="inlineStr">
        <is>
          <t>2003</t>
        </is>
      </c>
      <c r="P225" s="42" t="inlineStr">
        <is>
          <t>서초중앙로 15</t>
        </is>
      </c>
      <c r="Q225" s="41" t="inlineStr">
        <is>
          <t>-</t>
        </is>
      </c>
      <c r="R225" s="42" t="inlineStr">
        <is>
          <t>중개거래</t>
        </is>
      </c>
      <c r="S225" s="42" t="inlineStr">
        <is>
          <t>서울 강남구</t>
        </is>
      </c>
      <c r="T225" s="41" t="inlineStr">
        <is>
          <t>24.03.21</t>
        </is>
      </c>
      <c r="U225" s="42" t="inlineStr">
        <is>
          <t>아파트</t>
        </is>
      </c>
    </row>
    <row r="226" hidden="1" ht="15" customHeight="1">
      <c r="A226" s="41" t="n">
        <v>222</v>
      </c>
      <c r="B226" s="42" t="inlineStr">
        <is>
          <t>서울특별시 서초구 서초동</t>
        </is>
      </c>
      <c r="C226" s="41" t="inlineStr">
        <is>
          <t>1685</t>
        </is>
      </c>
      <c r="D226" s="41" t="inlineStr">
        <is>
          <t>1685</t>
        </is>
      </c>
      <c r="E226" s="41" t="inlineStr">
        <is>
          <t>0000</t>
        </is>
      </c>
      <c r="F226" s="42" t="inlineStr">
        <is>
          <t>삼풍아파트</t>
        </is>
      </c>
      <c r="G226" s="41" t="inlineStr">
        <is>
          <t>130.7300</t>
        </is>
      </c>
      <c r="H226" s="41" t="inlineStr">
        <is>
          <t>202309</t>
        </is>
      </c>
      <c r="I226" s="41" t="inlineStr">
        <is>
          <t>26</t>
        </is>
      </c>
      <c r="J226" s="41" t="inlineStr">
        <is>
          <t>322,000</t>
        </is>
      </c>
      <c r="K226" s="41" t="inlineStr">
        <is>
          <t>14</t>
        </is>
      </c>
      <c r="L226" s="41" t="inlineStr">
        <is>
          <t>6</t>
        </is>
      </c>
      <c r="M226" s="41" t="inlineStr">
        <is>
          <t>-</t>
        </is>
      </c>
      <c r="N226" s="41" t="inlineStr">
        <is>
          <t>-</t>
        </is>
      </c>
      <c r="O226" s="41" t="inlineStr">
        <is>
          <t>1988</t>
        </is>
      </c>
      <c r="P226" s="42" t="inlineStr">
        <is>
          <t>서초중앙로 200</t>
        </is>
      </c>
      <c r="Q226" s="41" t="inlineStr">
        <is>
          <t>-</t>
        </is>
      </c>
      <c r="R226" s="42" t="inlineStr">
        <is>
          <t>중개거래</t>
        </is>
      </c>
      <c r="S226" s="42" t="inlineStr">
        <is>
          <t>서울 서초구</t>
        </is>
      </c>
      <c r="T226" s="41" t="inlineStr">
        <is>
          <t>23.12.29</t>
        </is>
      </c>
      <c r="U226" s="42" t="inlineStr">
        <is>
          <t>아파트</t>
        </is>
      </c>
    </row>
    <row r="227" hidden="1" ht="15" customHeight="1">
      <c r="A227" s="41" t="n">
        <v>223</v>
      </c>
      <c r="B227" s="42" t="inlineStr">
        <is>
          <t>서울특별시 서초구 서초동</t>
        </is>
      </c>
      <c r="C227" s="41" t="inlineStr">
        <is>
          <t>1582-3</t>
        </is>
      </c>
      <c r="D227" s="41" t="inlineStr">
        <is>
          <t>1582</t>
        </is>
      </c>
      <c r="E227" s="41" t="inlineStr">
        <is>
          <t>0003</t>
        </is>
      </c>
      <c r="F227" s="42" t="inlineStr">
        <is>
          <t>서초센트럴IPARK</t>
        </is>
      </c>
      <c r="G227" s="41" t="inlineStr">
        <is>
          <t>80.5154</t>
        </is>
      </c>
      <c r="H227" s="41" t="inlineStr">
        <is>
          <t>202309</t>
        </is>
      </c>
      <c r="I227" s="41" t="inlineStr">
        <is>
          <t>25</t>
        </is>
      </c>
      <c r="J227" s="41" t="inlineStr">
        <is>
          <t>163,000</t>
        </is>
      </c>
      <c r="K227" s="41" t="inlineStr">
        <is>
          <t>101동</t>
        </is>
      </c>
      <c r="L227" s="41" t="inlineStr">
        <is>
          <t>16</t>
        </is>
      </c>
      <c r="M227" s="41" t="inlineStr">
        <is>
          <t>-</t>
        </is>
      </c>
      <c r="N227" s="41" t="inlineStr">
        <is>
          <t>-</t>
        </is>
      </c>
      <c r="O227" s="41" t="inlineStr">
        <is>
          <t>2020</t>
        </is>
      </c>
      <c r="P227" s="42" t="inlineStr">
        <is>
          <t>반포대로18길 36</t>
        </is>
      </c>
      <c r="Q227" s="41" t="inlineStr">
        <is>
          <t>-</t>
        </is>
      </c>
      <c r="R227" s="42" t="inlineStr">
        <is>
          <t>중개거래</t>
        </is>
      </c>
      <c r="S227" s="42" t="inlineStr">
        <is>
          <t>서울 서초구</t>
        </is>
      </c>
      <c r="T227" s="41" t="inlineStr">
        <is>
          <t>24.01.04</t>
        </is>
      </c>
      <c r="U227" s="42" t="inlineStr">
        <is>
          <t>아파트</t>
        </is>
      </c>
    </row>
    <row r="228" hidden="1" ht="15" customHeight="1">
      <c r="A228" s="41" t="n">
        <v>224</v>
      </c>
      <c r="B228" s="42" t="inlineStr">
        <is>
          <t>서울특별시 서초구 서초동</t>
        </is>
      </c>
      <c r="C228" s="41" t="inlineStr">
        <is>
          <t>1315</t>
        </is>
      </c>
      <c r="D228" s="41" t="inlineStr">
        <is>
          <t>1315</t>
        </is>
      </c>
      <c r="E228" s="41" t="inlineStr">
        <is>
          <t>0000</t>
        </is>
      </c>
      <c r="F228" s="42" t="inlineStr">
        <is>
          <t>진흥아파트</t>
        </is>
      </c>
      <c r="G228" s="41" t="inlineStr">
        <is>
          <t>131.0700</t>
        </is>
      </c>
      <c r="H228" s="41" t="inlineStr">
        <is>
          <t>202309</t>
        </is>
      </c>
      <c r="I228" s="41" t="inlineStr">
        <is>
          <t>25</t>
        </is>
      </c>
      <c r="J228" s="41" t="inlineStr">
        <is>
          <t>290,000</t>
        </is>
      </c>
      <c r="K228" s="41" t="inlineStr">
        <is>
          <t>7</t>
        </is>
      </c>
      <c r="L228" s="41" t="inlineStr">
        <is>
          <t>7</t>
        </is>
      </c>
      <c r="M228" s="41" t="inlineStr">
        <is>
          <t>-</t>
        </is>
      </c>
      <c r="N228" s="41" t="inlineStr">
        <is>
          <t>-</t>
        </is>
      </c>
      <c r="O228" s="41" t="inlineStr">
        <is>
          <t>1979</t>
        </is>
      </c>
      <c r="P228" s="42" t="inlineStr">
        <is>
          <t>서초대로 385</t>
        </is>
      </c>
      <c r="Q228" s="41" t="inlineStr">
        <is>
          <t>-</t>
        </is>
      </c>
      <c r="R228" s="42" t="inlineStr">
        <is>
          <t>중개거래</t>
        </is>
      </c>
      <c r="S228" s="42" t="inlineStr">
        <is>
          <t>서울 서초구</t>
        </is>
      </c>
      <c r="T228" s="41" t="inlineStr">
        <is>
          <t>23.12.26</t>
        </is>
      </c>
      <c r="U228" s="42" t="inlineStr">
        <is>
          <t>아파트</t>
        </is>
      </c>
    </row>
    <row r="229" hidden="1" ht="15" customHeight="1">
      <c r="A229" s="41" t="n">
        <v>225</v>
      </c>
      <c r="B229" s="42" t="inlineStr">
        <is>
          <t>서울특별시 서초구 서초동</t>
        </is>
      </c>
      <c r="C229" s="41" t="inlineStr">
        <is>
          <t>1757</t>
        </is>
      </c>
      <c r="D229" s="41" t="inlineStr">
        <is>
          <t>1757</t>
        </is>
      </c>
      <c r="E229" s="41" t="inlineStr">
        <is>
          <t>0000</t>
        </is>
      </c>
      <c r="F229" s="42" t="inlineStr">
        <is>
          <t>서초그랑자이</t>
        </is>
      </c>
      <c r="G229" s="41" t="inlineStr">
        <is>
          <t>59.9800</t>
        </is>
      </c>
      <c r="H229" s="41" t="inlineStr">
        <is>
          <t>202309</t>
        </is>
      </c>
      <c r="I229" s="41" t="inlineStr">
        <is>
          <t>25</t>
        </is>
      </c>
      <c r="J229" s="41" t="inlineStr">
        <is>
          <t>221,500</t>
        </is>
      </c>
      <c r="K229" s="41" t="inlineStr">
        <is>
          <t>105동</t>
        </is>
      </c>
      <c r="L229" s="41" t="inlineStr">
        <is>
          <t>4</t>
        </is>
      </c>
      <c r="M229" s="41" t="inlineStr">
        <is>
          <t>-</t>
        </is>
      </c>
      <c r="N229" s="41" t="inlineStr">
        <is>
          <t>-</t>
        </is>
      </c>
      <c r="O229" s="41" t="inlineStr">
        <is>
          <t>2021</t>
        </is>
      </c>
      <c r="P229" s="42" t="inlineStr">
        <is>
          <t>효령로 391</t>
        </is>
      </c>
      <c r="Q229" s="41" t="inlineStr">
        <is>
          <t>-</t>
        </is>
      </c>
      <c r="R229" s="42" t="inlineStr">
        <is>
          <t>중개거래</t>
        </is>
      </c>
      <c r="S229" s="42" t="inlineStr">
        <is>
          <t>서울 서초구</t>
        </is>
      </c>
      <c r="T229" s="41" t="inlineStr">
        <is>
          <t>23.12.28</t>
        </is>
      </c>
      <c r="U229" s="42" t="inlineStr">
        <is>
          <t>아파트</t>
        </is>
      </c>
    </row>
    <row r="230" hidden="1" ht="15" customHeight="1">
      <c r="A230" s="41" t="n">
        <v>226</v>
      </c>
      <c r="B230" s="42" t="inlineStr">
        <is>
          <t>서울특별시 서초구 서초동</t>
        </is>
      </c>
      <c r="C230" s="41" t="inlineStr">
        <is>
          <t>1685-3</t>
        </is>
      </c>
      <c r="D230" s="41" t="inlineStr">
        <is>
          <t>1685</t>
        </is>
      </c>
      <c r="E230" s="41" t="inlineStr">
        <is>
          <t>0003</t>
        </is>
      </c>
      <c r="F230" s="42" t="inlineStr">
        <is>
          <t>아크로비스타</t>
        </is>
      </c>
      <c r="G230" s="41" t="inlineStr">
        <is>
          <t>149.8400</t>
        </is>
      </c>
      <c r="H230" s="41" t="inlineStr">
        <is>
          <t>202309</t>
        </is>
      </c>
      <c r="I230" s="41" t="inlineStr">
        <is>
          <t>24</t>
        </is>
      </c>
      <c r="J230" s="41" t="inlineStr">
        <is>
          <t>292,000</t>
        </is>
      </c>
      <c r="K230" s="41" t="inlineStr">
        <is>
          <t>A</t>
        </is>
      </c>
      <c r="L230" s="41" t="inlineStr">
        <is>
          <t>17</t>
        </is>
      </c>
      <c r="M230" s="41" t="inlineStr">
        <is>
          <t>-</t>
        </is>
      </c>
      <c r="N230" s="41" t="inlineStr">
        <is>
          <t>-</t>
        </is>
      </c>
      <c r="O230" s="41" t="inlineStr">
        <is>
          <t>2004</t>
        </is>
      </c>
      <c r="P230" s="42" t="inlineStr">
        <is>
          <t>서초중앙로 188</t>
        </is>
      </c>
      <c r="Q230" s="41" t="inlineStr">
        <is>
          <t>-</t>
        </is>
      </c>
      <c r="R230" s="42" t="inlineStr">
        <is>
          <t>중개거래</t>
        </is>
      </c>
      <c r="S230" s="42" t="inlineStr">
        <is>
          <t>서울 서초구</t>
        </is>
      </c>
      <c r="T230" s="41" t="inlineStr">
        <is>
          <t>23.11.03</t>
        </is>
      </c>
      <c r="U230" s="42" t="inlineStr">
        <is>
          <t>아파트</t>
        </is>
      </c>
    </row>
    <row r="231" hidden="1" ht="15" customHeight="1">
      <c r="A231" s="41" t="n">
        <v>227</v>
      </c>
      <c r="B231" s="42" t="inlineStr">
        <is>
          <t>서울특별시 서초구 서초동</t>
        </is>
      </c>
      <c r="C231" s="41" t="inlineStr">
        <is>
          <t>1685-3</t>
        </is>
      </c>
      <c r="D231" s="41" t="inlineStr">
        <is>
          <t>1685</t>
        </is>
      </c>
      <c r="E231" s="41" t="inlineStr">
        <is>
          <t>0003</t>
        </is>
      </c>
      <c r="F231" s="42" t="inlineStr">
        <is>
          <t>아크로비스타</t>
        </is>
      </c>
      <c r="G231" s="41" t="inlineStr">
        <is>
          <t>172.9400</t>
        </is>
      </c>
      <c r="H231" s="41" t="inlineStr">
        <is>
          <t>202309</t>
        </is>
      </c>
      <c r="I231" s="41" t="inlineStr">
        <is>
          <t>23</t>
        </is>
      </c>
      <c r="J231" s="41" t="inlineStr">
        <is>
          <t>370,000</t>
        </is>
      </c>
      <c r="K231" s="41" t="inlineStr">
        <is>
          <t>B</t>
        </is>
      </c>
      <c r="L231" s="41" t="inlineStr">
        <is>
          <t>23</t>
        </is>
      </c>
      <c r="M231" s="41" t="inlineStr">
        <is>
          <t>-</t>
        </is>
      </c>
      <c r="N231" s="41" t="inlineStr">
        <is>
          <t>-</t>
        </is>
      </c>
      <c r="O231" s="41" t="inlineStr">
        <is>
          <t>2004</t>
        </is>
      </c>
      <c r="P231" s="42" t="inlineStr">
        <is>
          <t>서초중앙로 188</t>
        </is>
      </c>
      <c r="Q231" s="41" t="inlineStr">
        <is>
          <t>-</t>
        </is>
      </c>
      <c r="R231" s="42" t="inlineStr">
        <is>
          <t>중개거래</t>
        </is>
      </c>
      <c r="S231" s="42" t="inlineStr">
        <is>
          <t>서울 서초구</t>
        </is>
      </c>
      <c r="T231" s="41" t="inlineStr">
        <is>
          <t>23.10.20</t>
        </is>
      </c>
      <c r="U231" s="42" t="inlineStr">
        <is>
          <t>아파트</t>
        </is>
      </c>
    </row>
    <row r="232" hidden="1" ht="15" customHeight="1">
      <c r="A232" s="41" t="n">
        <v>228</v>
      </c>
      <c r="B232" s="42" t="inlineStr">
        <is>
          <t>서울특별시 서초구 서초동</t>
        </is>
      </c>
      <c r="C232" s="41" t="inlineStr">
        <is>
          <t>1631-8</t>
        </is>
      </c>
      <c r="D232" s="41" t="inlineStr">
        <is>
          <t>1631</t>
        </is>
      </c>
      <c r="E232" s="41" t="inlineStr">
        <is>
          <t>0008</t>
        </is>
      </c>
      <c r="F232" s="42" t="inlineStr">
        <is>
          <t>현대임페리움</t>
        </is>
      </c>
      <c r="G232" s="41" t="inlineStr">
        <is>
          <t>172.2200</t>
        </is>
      </c>
      <c r="H232" s="41" t="inlineStr">
        <is>
          <t>202309</t>
        </is>
      </c>
      <c r="I232" s="41" t="inlineStr">
        <is>
          <t>21</t>
        </is>
      </c>
      <c r="J232" s="41" t="inlineStr">
        <is>
          <t>100,000</t>
        </is>
      </c>
      <c r="K232" s="42" t="inlineStr">
        <is>
          <t>현대임페리움아파트</t>
        </is>
      </c>
      <c r="L232" s="41" t="inlineStr">
        <is>
          <t>5</t>
        </is>
      </c>
      <c r="M232" s="41" t="inlineStr">
        <is>
          <t>-</t>
        </is>
      </c>
      <c r="N232" s="41" t="inlineStr">
        <is>
          <t>-</t>
        </is>
      </c>
      <c r="O232" s="41" t="inlineStr">
        <is>
          <t>2004</t>
        </is>
      </c>
      <c r="P232" s="42" t="inlineStr">
        <is>
          <t>효령로67길 71-6</t>
        </is>
      </c>
      <c r="Q232" s="41" t="inlineStr">
        <is>
          <t>-</t>
        </is>
      </c>
      <c r="R232" s="42" t="inlineStr">
        <is>
          <t>중개거래</t>
        </is>
      </c>
      <c r="S232" s="42" t="inlineStr">
        <is>
          <t>서울 성동구</t>
        </is>
      </c>
      <c r="T232" s="41" t="inlineStr">
        <is>
          <t>23.10.24</t>
        </is>
      </c>
      <c r="U232" s="42" t="inlineStr">
        <is>
          <t>아파트</t>
        </is>
      </c>
    </row>
    <row r="233" hidden="1" ht="15" customHeight="1">
      <c r="A233" s="41" t="n">
        <v>229</v>
      </c>
      <c r="B233" s="42" t="inlineStr">
        <is>
          <t>서울특별시 서초구 서초동</t>
        </is>
      </c>
      <c r="C233" s="41" t="inlineStr">
        <is>
          <t>1330</t>
        </is>
      </c>
      <c r="D233" s="41" t="inlineStr">
        <is>
          <t>1330</t>
        </is>
      </c>
      <c r="E233" s="41" t="inlineStr">
        <is>
          <t>0000</t>
        </is>
      </c>
      <c r="F233" s="42" t="inlineStr">
        <is>
          <t>서초동삼성쉐르빌2</t>
        </is>
      </c>
      <c r="G233" s="41" t="inlineStr">
        <is>
          <t>35.2200</t>
        </is>
      </c>
      <c r="H233" s="41" t="inlineStr">
        <is>
          <t>202309</t>
        </is>
      </c>
      <c r="I233" s="41" t="inlineStr">
        <is>
          <t>20</t>
        </is>
      </c>
      <c r="J233" s="41" t="inlineStr">
        <is>
          <t>32,000</t>
        </is>
      </c>
      <c r="K233" s="41" t="inlineStr">
        <is>
          <t>-</t>
        </is>
      </c>
      <c r="L233" s="41" t="inlineStr">
        <is>
          <t>7</t>
        </is>
      </c>
      <c r="M233" s="41" t="inlineStr">
        <is>
          <t>-</t>
        </is>
      </c>
      <c r="N233" s="41" t="inlineStr">
        <is>
          <t>-</t>
        </is>
      </c>
      <c r="O233" s="41" t="inlineStr">
        <is>
          <t>2002</t>
        </is>
      </c>
      <c r="P233" s="42" t="inlineStr">
        <is>
          <t>강남대로53길 11</t>
        </is>
      </c>
      <c r="Q233" s="41" t="inlineStr">
        <is>
          <t>-</t>
        </is>
      </c>
      <c r="R233" s="42" t="inlineStr">
        <is>
          <t>중개거래</t>
        </is>
      </c>
      <c r="S233" s="42" t="inlineStr">
        <is>
          <t>서울 서초구</t>
        </is>
      </c>
      <c r="T233" s="41" t="inlineStr">
        <is>
          <t>23.11.03</t>
        </is>
      </c>
      <c r="U233" s="42" t="inlineStr">
        <is>
          <t>아파트</t>
        </is>
      </c>
    </row>
    <row r="234" hidden="1" ht="15" customHeight="1">
      <c r="A234" s="41" t="n">
        <v>230</v>
      </c>
      <c r="B234" s="42" t="inlineStr">
        <is>
          <t>서울특별시 서초구 서초동</t>
        </is>
      </c>
      <c r="C234" s="41" t="inlineStr">
        <is>
          <t>1446-11</t>
        </is>
      </c>
      <c r="D234" s="41" t="inlineStr">
        <is>
          <t>1446</t>
        </is>
      </c>
      <c r="E234" s="41" t="inlineStr">
        <is>
          <t>0011</t>
        </is>
      </c>
      <c r="F234" s="42" t="inlineStr">
        <is>
          <t>현대슈퍼빌</t>
        </is>
      </c>
      <c r="G234" s="41" t="inlineStr">
        <is>
          <t>214.9200</t>
        </is>
      </c>
      <c r="H234" s="41" t="inlineStr">
        <is>
          <t>202309</t>
        </is>
      </c>
      <c r="I234" s="41" t="inlineStr">
        <is>
          <t>19</t>
        </is>
      </c>
      <c r="J234" s="41" t="inlineStr">
        <is>
          <t>300,000</t>
        </is>
      </c>
      <c r="K234" s="41" t="inlineStr">
        <is>
          <t>-</t>
        </is>
      </c>
      <c r="L234" s="41" t="inlineStr">
        <is>
          <t>9</t>
        </is>
      </c>
      <c r="M234" s="41" t="inlineStr">
        <is>
          <t>-</t>
        </is>
      </c>
      <c r="N234" s="41" t="inlineStr">
        <is>
          <t>-</t>
        </is>
      </c>
      <c r="O234" s="41" t="inlineStr">
        <is>
          <t>2003</t>
        </is>
      </c>
      <c r="P234" s="42" t="inlineStr">
        <is>
          <t>서초중앙로 15</t>
        </is>
      </c>
      <c r="Q234" s="41" t="inlineStr">
        <is>
          <t>20240206</t>
        </is>
      </c>
      <c r="R234" s="42" t="inlineStr">
        <is>
          <t>중개거래</t>
        </is>
      </c>
      <c r="S234" s="42" t="inlineStr">
        <is>
          <t>서울 서초구</t>
        </is>
      </c>
      <c r="T234" s="41" t="inlineStr">
        <is>
          <t>-</t>
        </is>
      </c>
      <c r="U234" s="42" t="inlineStr">
        <is>
          <t>아파트</t>
        </is>
      </c>
    </row>
    <row r="235" hidden="1" ht="15" customHeight="1">
      <c r="A235" s="41" t="n">
        <v>231</v>
      </c>
      <c r="B235" s="42" t="inlineStr">
        <is>
          <t>서울특별시 서초구 서초동</t>
        </is>
      </c>
      <c r="C235" s="41" t="inlineStr">
        <is>
          <t>1446-11</t>
        </is>
      </c>
      <c r="D235" s="41" t="inlineStr">
        <is>
          <t>1446</t>
        </is>
      </c>
      <c r="E235" s="41" t="inlineStr">
        <is>
          <t>0011</t>
        </is>
      </c>
      <c r="F235" s="42" t="inlineStr">
        <is>
          <t>현대슈퍼빌</t>
        </is>
      </c>
      <c r="G235" s="41" t="inlineStr">
        <is>
          <t>214.9200</t>
        </is>
      </c>
      <c r="H235" s="41" t="inlineStr">
        <is>
          <t>202309</t>
        </is>
      </c>
      <c r="I235" s="41" t="inlineStr">
        <is>
          <t>18</t>
        </is>
      </c>
      <c r="J235" s="41" t="inlineStr">
        <is>
          <t>300,000</t>
        </is>
      </c>
      <c r="K235" s="41" t="inlineStr">
        <is>
          <t>B</t>
        </is>
      </c>
      <c r="L235" s="41" t="inlineStr">
        <is>
          <t>9</t>
        </is>
      </c>
      <c r="M235" s="41" t="inlineStr">
        <is>
          <t>-</t>
        </is>
      </c>
      <c r="N235" s="41" t="inlineStr">
        <is>
          <t>-</t>
        </is>
      </c>
      <c r="O235" s="41" t="inlineStr">
        <is>
          <t>2003</t>
        </is>
      </c>
      <c r="P235" s="42" t="inlineStr">
        <is>
          <t>서초중앙로 15</t>
        </is>
      </c>
      <c r="Q235" s="41" t="inlineStr">
        <is>
          <t>-</t>
        </is>
      </c>
      <c r="R235" s="42" t="inlineStr">
        <is>
          <t>중개거래</t>
        </is>
      </c>
      <c r="S235" s="42" t="inlineStr">
        <is>
          <t>서울 서초구</t>
        </is>
      </c>
      <c r="T235" s="41" t="inlineStr">
        <is>
          <t>24.03.12</t>
        </is>
      </c>
      <c r="U235" s="42" t="inlineStr">
        <is>
          <t>아파트</t>
        </is>
      </c>
    </row>
    <row r="236" hidden="1" ht="15" customHeight="1">
      <c r="A236" s="41" t="n">
        <v>232</v>
      </c>
      <c r="B236" s="42" t="inlineStr">
        <is>
          <t>서울특별시 서초구 서초동</t>
        </is>
      </c>
      <c r="C236" s="41" t="inlineStr">
        <is>
          <t>1687</t>
        </is>
      </c>
      <c r="D236" s="41" t="inlineStr">
        <is>
          <t>1687</t>
        </is>
      </c>
      <c r="E236" s="41" t="inlineStr">
        <is>
          <t>0000</t>
        </is>
      </c>
      <c r="F236" s="42" t="inlineStr">
        <is>
          <t>유원서초</t>
        </is>
      </c>
      <c r="G236" s="41" t="inlineStr">
        <is>
          <t>84.8200</t>
        </is>
      </c>
      <c r="H236" s="41" t="inlineStr">
        <is>
          <t>202309</t>
        </is>
      </c>
      <c r="I236" s="41" t="inlineStr">
        <is>
          <t>18</t>
        </is>
      </c>
      <c r="J236" s="41" t="inlineStr">
        <is>
          <t>191,500</t>
        </is>
      </c>
      <c r="K236" s="41" t="inlineStr">
        <is>
          <t>104</t>
        </is>
      </c>
      <c r="L236" s="41" t="inlineStr">
        <is>
          <t>13</t>
        </is>
      </c>
      <c r="M236" s="41" t="inlineStr">
        <is>
          <t>-</t>
        </is>
      </c>
      <c r="N236" s="41" t="inlineStr">
        <is>
          <t>-</t>
        </is>
      </c>
      <c r="O236" s="41" t="inlineStr">
        <is>
          <t>1993</t>
        </is>
      </c>
      <c r="P236" s="42" t="inlineStr">
        <is>
          <t>서초중앙로24길 43</t>
        </is>
      </c>
      <c r="Q236" s="41" t="inlineStr">
        <is>
          <t>-</t>
        </is>
      </c>
      <c r="R236" s="42" t="inlineStr">
        <is>
          <t>중개거래</t>
        </is>
      </c>
      <c r="S236" s="42" t="inlineStr">
        <is>
          <t>서울 서초구</t>
        </is>
      </c>
      <c r="T236" s="41" t="inlineStr">
        <is>
          <t>23.12.21</t>
        </is>
      </c>
      <c r="U236" s="42" t="inlineStr">
        <is>
          <t>아파트</t>
        </is>
      </c>
    </row>
    <row r="237" hidden="1" ht="15" customHeight="1">
      <c r="A237" s="41" t="n">
        <v>233</v>
      </c>
      <c r="B237" s="42" t="inlineStr">
        <is>
          <t>서울특별시 서초구 서초동</t>
        </is>
      </c>
      <c r="C237" s="41" t="inlineStr">
        <is>
          <t>1754</t>
        </is>
      </c>
      <c r="D237" s="41" t="inlineStr">
        <is>
          <t>1754</t>
        </is>
      </c>
      <c r="E237" s="41" t="inlineStr">
        <is>
          <t>0000</t>
        </is>
      </c>
      <c r="F237" s="42" t="inlineStr">
        <is>
          <t>래미안서초에스티지S</t>
        </is>
      </c>
      <c r="G237" s="41" t="inlineStr">
        <is>
          <t>84.1700</t>
        </is>
      </c>
      <c r="H237" s="41" t="inlineStr">
        <is>
          <t>202309</t>
        </is>
      </c>
      <c r="I237" s="41" t="inlineStr">
        <is>
          <t>18</t>
        </is>
      </c>
      <c r="J237" s="41" t="inlineStr">
        <is>
          <t>260,000</t>
        </is>
      </c>
      <c r="K237" s="41" t="inlineStr">
        <is>
          <t>-</t>
        </is>
      </c>
      <c r="L237" s="41" t="inlineStr">
        <is>
          <t>10</t>
        </is>
      </c>
      <c r="M237" s="41" t="inlineStr">
        <is>
          <t>-</t>
        </is>
      </c>
      <c r="N237" s="41" t="inlineStr">
        <is>
          <t>-</t>
        </is>
      </c>
      <c r="O237" s="41" t="inlineStr">
        <is>
          <t>2018</t>
        </is>
      </c>
      <c r="P237" s="42" t="inlineStr">
        <is>
          <t>서운로 104</t>
        </is>
      </c>
      <c r="Q237" s="41" t="inlineStr">
        <is>
          <t>20231017</t>
        </is>
      </c>
      <c r="R237" s="42" t="inlineStr">
        <is>
          <t>중개거래</t>
        </is>
      </c>
      <c r="S237" s="42" t="inlineStr">
        <is>
          <t>서울 서초구</t>
        </is>
      </c>
      <c r="T237" s="41" t="inlineStr">
        <is>
          <t>-</t>
        </is>
      </c>
      <c r="U237" s="42" t="inlineStr">
        <is>
          <t>아파트</t>
        </is>
      </c>
    </row>
    <row r="238" hidden="1" ht="15" customHeight="1">
      <c r="A238" s="41" t="n">
        <v>234</v>
      </c>
      <c r="B238" s="42" t="inlineStr">
        <is>
          <t>서울특별시 서초구 서초동</t>
        </is>
      </c>
      <c r="C238" s="41" t="inlineStr">
        <is>
          <t>1444-7</t>
        </is>
      </c>
      <c r="D238" s="41" t="inlineStr">
        <is>
          <t>1444</t>
        </is>
      </c>
      <c r="E238" s="41" t="inlineStr">
        <is>
          <t>0007</t>
        </is>
      </c>
      <c r="F238" s="42" t="inlineStr">
        <is>
          <t>서초자이</t>
        </is>
      </c>
      <c r="G238" s="41" t="inlineStr">
        <is>
          <t>133.4700</t>
        </is>
      </c>
      <c r="H238" s="41" t="inlineStr">
        <is>
          <t>202309</t>
        </is>
      </c>
      <c r="I238" s="41" t="inlineStr">
        <is>
          <t>18</t>
        </is>
      </c>
      <c r="J238" s="41" t="inlineStr">
        <is>
          <t>240,000</t>
        </is>
      </c>
      <c r="K238" s="41" t="inlineStr">
        <is>
          <t>101</t>
        </is>
      </c>
      <c r="L238" s="41" t="inlineStr">
        <is>
          <t>9</t>
        </is>
      </c>
      <c r="M238" s="41" t="inlineStr">
        <is>
          <t>-</t>
        </is>
      </c>
      <c r="N238" s="41" t="inlineStr">
        <is>
          <t>-</t>
        </is>
      </c>
      <c r="O238" s="41" t="inlineStr">
        <is>
          <t>2006</t>
        </is>
      </c>
      <c r="P238" s="42" t="inlineStr">
        <is>
          <t>효령로68길 81</t>
        </is>
      </c>
      <c r="Q238" s="41" t="inlineStr">
        <is>
          <t>-</t>
        </is>
      </c>
      <c r="R238" s="42" t="inlineStr">
        <is>
          <t>중개거래</t>
        </is>
      </c>
      <c r="S238" s="42" t="inlineStr">
        <is>
          <t>서울 서초구</t>
        </is>
      </c>
      <c r="T238" s="41" t="inlineStr">
        <is>
          <t>24.01.31</t>
        </is>
      </c>
      <c r="U238" s="42" t="inlineStr">
        <is>
          <t>아파트</t>
        </is>
      </c>
    </row>
    <row r="239" hidden="1" ht="15" customHeight="1">
      <c r="A239" s="41" t="n">
        <v>235</v>
      </c>
      <c r="B239" s="42" t="inlineStr">
        <is>
          <t>서울특별시 서초구 서초동</t>
        </is>
      </c>
      <c r="C239" s="41" t="inlineStr">
        <is>
          <t>1363-25</t>
        </is>
      </c>
      <c r="D239" s="41" t="inlineStr">
        <is>
          <t>1363</t>
        </is>
      </c>
      <c r="E239" s="41" t="inlineStr">
        <is>
          <t>0025</t>
        </is>
      </c>
      <c r="F239" s="42" t="inlineStr">
        <is>
          <t>한라비발디스튜디오193</t>
        </is>
      </c>
      <c r="G239" s="41" t="inlineStr">
        <is>
          <t>19.9900</t>
        </is>
      </c>
      <c r="H239" s="41" t="inlineStr">
        <is>
          <t>202309</t>
        </is>
      </c>
      <c r="I239" s="41" t="inlineStr">
        <is>
          <t>16</t>
        </is>
      </c>
      <c r="J239" s="41" t="inlineStr">
        <is>
          <t>25,000</t>
        </is>
      </c>
      <c r="K239" s="42" t="inlineStr">
        <is>
          <t>한라비발디스튜디오193</t>
        </is>
      </c>
      <c r="L239" s="41" t="inlineStr">
        <is>
          <t>7</t>
        </is>
      </c>
      <c r="M239" s="41" t="inlineStr">
        <is>
          <t>-</t>
        </is>
      </c>
      <c r="N239" s="41" t="inlineStr">
        <is>
          <t>-</t>
        </is>
      </c>
      <c r="O239" s="41" t="inlineStr">
        <is>
          <t>2013</t>
        </is>
      </c>
      <c r="P239" s="42" t="inlineStr">
        <is>
          <t>강남대로39길 15-10</t>
        </is>
      </c>
      <c r="Q239" s="41" t="inlineStr">
        <is>
          <t>-</t>
        </is>
      </c>
      <c r="R239" s="42" t="inlineStr">
        <is>
          <t>중개거래</t>
        </is>
      </c>
      <c r="S239" s="42" t="inlineStr">
        <is>
          <t>서울 강남구</t>
        </is>
      </c>
      <c r="T239" s="41" t="inlineStr">
        <is>
          <t>24.01.24</t>
        </is>
      </c>
      <c r="U239" s="42" t="inlineStr">
        <is>
          <t>아파트</t>
        </is>
      </c>
    </row>
    <row r="240" hidden="1" ht="15" customHeight="1">
      <c r="A240" s="41" t="n">
        <v>236</v>
      </c>
      <c r="B240" s="42" t="inlineStr">
        <is>
          <t>서울특별시 서초구 서초동</t>
        </is>
      </c>
      <c r="C240" s="41" t="inlineStr">
        <is>
          <t>1333</t>
        </is>
      </c>
      <c r="D240" s="41" t="inlineStr">
        <is>
          <t>1333</t>
        </is>
      </c>
      <c r="E240" s="41" t="inlineStr">
        <is>
          <t>0000</t>
        </is>
      </c>
      <c r="F240" s="42" t="inlineStr">
        <is>
          <t>신동아아파트(1차)</t>
        </is>
      </c>
      <c r="G240" s="41" t="inlineStr">
        <is>
          <t>102.2100</t>
        </is>
      </c>
      <c r="H240" s="41" t="inlineStr">
        <is>
          <t>202309</t>
        </is>
      </c>
      <c r="I240" s="41" t="inlineStr">
        <is>
          <t>16</t>
        </is>
      </c>
      <c r="J240" s="41" t="inlineStr">
        <is>
          <t>230,000</t>
        </is>
      </c>
      <c r="K240" s="41" t="inlineStr">
        <is>
          <t>5</t>
        </is>
      </c>
      <c r="L240" s="41" t="inlineStr">
        <is>
          <t>10</t>
        </is>
      </c>
      <c r="M240" s="41" t="inlineStr">
        <is>
          <t>-</t>
        </is>
      </c>
      <c r="N240" s="41" t="inlineStr">
        <is>
          <t>-</t>
        </is>
      </c>
      <c r="O240" s="41" t="inlineStr">
        <is>
          <t>1978</t>
        </is>
      </c>
      <c r="P240" s="42" t="inlineStr">
        <is>
          <t>사임당로 130</t>
        </is>
      </c>
      <c r="Q240" s="41" t="inlineStr">
        <is>
          <t>-</t>
        </is>
      </c>
      <c r="R240" s="42" t="inlineStr">
        <is>
          <t>중개거래</t>
        </is>
      </c>
      <c r="S240" s="42" t="inlineStr">
        <is>
          <t>서울 서초구</t>
        </is>
      </c>
      <c r="T240" s="41" t="inlineStr">
        <is>
          <t>23.12.01</t>
        </is>
      </c>
      <c r="U240" s="42" t="inlineStr">
        <is>
          <t>아파트</t>
        </is>
      </c>
    </row>
    <row r="241" hidden="1" ht="15" customHeight="1">
      <c r="A241" s="41" t="n">
        <v>237</v>
      </c>
      <c r="B241" s="42" t="inlineStr">
        <is>
          <t>서울특별시 서초구 서초동</t>
        </is>
      </c>
      <c r="C241" s="41" t="inlineStr">
        <is>
          <t>1333</t>
        </is>
      </c>
      <c r="D241" s="41" t="inlineStr">
        <is>
          <t>1333</t>
        </is>
      </c>
      <c r="E241" s="41" t="inlineStr">
        <is>
          <t>0000</t>
        </is>
      </c>
      <c r="F241" s="42" t="inlineStr">
        <is>
          <t>신동아아파트(1차)</t>
        </is>
      </c>
      <c r="G241" s="41" t="inlineStr">
        <is>
          <t>86.6100</t>
        </is>
      </c>
      <c r="H241" s="41" t="inlineStr">
        <is>
          <t>202309</t>
        </is>
      </c>
      <c r="I241" s="41" t="inlineStr">
        <is>
          <t>16</t>
        </is>
      </c>
      <c r="J241" s="41" t="inlineStr">
        <is>
          <t>209,000</t>
        </is>
      </c>
      <c r="K241" s="41" t="inlineStr">
        <is>
          <t>7</t>
        </is>
      </c>
      <c r="L241" s="41" t="inlineStr">
        <is>
          <t>4</t>
        </is>
      </c>
      <c r="M241" s="41" t="inlineStr">
        <is>
          <t>-</t>
        </is>
      </c>
      <c r="N241" s="41" t="inlineStr">
        <is>
          <t>-</t>
        </is>
      </c>
      <c r="O241" s="41" t="inlineStr">
        <is>
          <t>1978</t>
        </is>
      </c>
      <c r="P241" s="42" t="inlineStr">
        <is>
          <t>사임당로 130</t>
        </is>
      </c>
      <c r="Q241" s="41" t="inlineStr">
        <is>
          <t>-</t>
        </is>
      </c>
      <c r="R241" s="42" t="inlineStr">
        <is>
          <t>중개거래</t>
        </is>
      </c>
      <c r="S241" s="42" t="inlineStr">
        <is>
          <t>서울 서초구</t>
        </is>
      </c>
      <c r="T241" s="41" t="inlineStr">
        <is>
          <t>23.11.22</t>
        </is>
      </c>
      <c r="U241" s="42" t="inlineStr">
        <is>
          <t>아파트</t>
        </is>
      </c>
    </row>
    <row r="242" hidden="1" ht="15" customHeight="1">
      <c r="A242" s="41" t="n">
        <v>238</v>
      </c>
      <c r="B242" s="42" t="inlineStr">
        <is>
          <t>서울특별시 서초구 서초동</t>
        </is>
      </c>
      <c r="C242" s="41" t="inlineStr">
        <is>
          <t>1757</t>
        </is>
      </c>
      <c r="D242" s="41" t="inlineStr">
        <is>
          <t>1757</t>
        </is>
      </c>
      <c r="E242" s="41" t="inlineStr">
        <is>
          <t>0000</t>
        </is>
      </c>
      <c r="F242" s="42" t="inlineStr">
        <is>
          <t>서초그랑자이</t>
        </is>
      </c>
      <c r="G242" s="41" t="inlineStr">
        <is>
          <t>59.9800</t>
        </is>
      </c>
      <c r="H242" s="41" t="inlineStr">
        <is>
          <t>202309</t>
        </is>
      </c>
      <c r="I242" s="41" t="inlineStr">
        <is>
          <t>16</t>
        </is>
      </c>
      <c r="J242" s="41" t="inlineStr">
        <is>
          <t>233,500</t>
        </is>
      </c>
      <c r="K242" s="41" t="inlineStr">
        <is>
          <t>-</t>
        </is>
      </c>
      <c r="L242" s="41" t="inlineStr">
        <is>
          <t>29</t>
        </is>
      </c>
      <c r="M242" s="41" t="inlineStr">
        <is>
          <t>-</t>
        </is>
      </c>
      <c r="N242" s="41" t="inlineStr">
        <is>
          <t>-</t>
        </is>
      </c>
      <c r="O242" s="41" t="inlineStr">
        <is>
          <t>2021</t>
        </is>
      </c>
      <c r="P242" s="42" t="inlineStr">
        <is>
          <t>효령로 391</t>
        </is>
      </c>
      <c r="Q242" s="41" t="inlineStr">
        <is>
          <t>20231031</t>
        </is>
      </c>
      <c r="R242" s="42" t="inlineStr">
        <is>
          <t>중개거래</t>
        </is>
      </c>
      <c r="S242" s="42" t="inlineStr">
        <is>
          <t>서울 서초구</t>
        </is>
      </c>
      <c r="T242" s="41" t="inlineStr">
        <is>
          <t>-</t>
        </is>
      </c>
      <c r="U242" s="42" t="inlineStr">
        <is>
          <t>아파트</t>
        </is>
      </c>
    </row>
    <row r="243" hidden="1" ht="15" customHeight="1">
      <c r="A243" s="41" t="n">
        <v>239</v>
      </c>
      <c r="B243" s="42" t="inlineStr">
        <is>
          <t>서울특별시 서초구 서초동</t>
        </is>
      </c>
      <c r="C243" s="41" t="inlineStr">
        <is>
          <t>1520-9</t>
        </is>
      </c>
      <c r="D243" s="41" t="inlineStr">
        <is>
          <t>1520</t>
        </is>
      </c>
      <c r="E243" s="41" t="inlineStr">
        <is>
          <t>0009</t>
        </is>
      </c>
      <c r="F243" s="42" t="inlineStr">
        <is>
          <t>레미안서초6차(1520-9)</t>
        </is>
      </c>
      <c r="G243" s="41" t="inlineStr">
        <is>
          <t>119.9700</t>
        </is>
      </c>
      <c r="H243" s="41" t="inlineStr">
        <is>
          <t>202309</t>
        </is>
      </c>
      <c r="I243" s="41" t="inlineStr">
        <is>
          <t>15</t>
        </is>
      </c>
      <c r="J243" s="41" t="inlineStr">
        <is>
          <t>194,000</t>
        </is>
      </c>
      <c r="K243" s="41" t="inlineStr">
        <is>
          <t>601</t>
        </is>
      </c>
      <c r="L243" s="41" t="inlineStr">
        <is>
          <t>7</t>
        </is>
      </c>
      <c r="M243" s="41" t="inlineStr">
        <is>
          <t>-</t>
        </is>
      </c>
      <c r="N243" s="41" t="inlineStr">
        <is>
          <t>-</t>
        </is>
      </c>
      <c r="O243" s="41" t="inlineStr">
        <is>
          <t>2006</t>
        </is>
      </c>
      <c r="P243" s="42" t="inlineStr">
        <is>
          <t>반포대로21길 74</t>
        </is>
      </c>
      <c r="Q243" s="41" t="inlineStr">
        <is>
          <t>-</t>
        </is>
      </c>
      <c r="R243" s="42" t="inlineStr">
        <is>
          <t>중개거래</t>
        </is>
      </c>
      <c r="S243" s="42" t="inlineStr">
        <is>
          <t>서울 서초구</t>
        </is>
      </c>
      <c r="T243" s="41" t="inlineStr">
        <is>
          <t>24.01.29</t>
        </is>
      </c>
      <c r="U243" s="42" t="inlineStr">
        <is>
          <t>아파트</t>
        </is>
      </c>
    </row>
    <row r="244" hidden="1" ht="15" customHeight="1">
      <c r="A244" s="41" t="n">
        <v>240</v>
      </c>
      <c r="B244" s="42" t="inlineStr">
        <is>
          <t>서울특별시 서초구 서초동</t>
        </is>
      </c>
      <c r="C244" s="41" t="inlineStr">
        <is>
          <t>1506-88</t>
        </is>
      </c>
      <c r="D244" s="41" t="inlineStr">
        <is>
          <t>1506</t>
        </is>
      </c>
      <c r="E244" s="41" t="inlineStr">
        <is>
          <t>0088</t>
        </is>
      </c>
      <c r="F244" s="42" t="inlineStr">
        <is>
          <t>현대홈타운</t>
        </is>
      </c>
      <c r="G244" s="41" t="inlineStr">
        <is>
          <t>84.9700</t>
        </is>
      </c>
      <c r="H244" s="41" t="inlineStr">
        <is>
          <t>202309</t>
        </is>
      </c>
      <c r="I244" s="41" t="inlineStr">
        <is>
          <t>15</t>
        </is>
      </c>
      <c r="J244" s="41" t="inlineStr">
        <is>
          <t>160,000</t>
        </is>
      </c>
      <c r="K244" s="41" t="inlineStr">
        <is>
          <t>102</t>
        </is>
      </c>
      <c r="L244" s="41" t="inlineStr">
        <is>
          <t>10</t>
        </is>
      </c>
      <c r="M244" s="41" t="inlineStr">
        <is>
          <t>-</t>
        </is>
      </c>
      <c r="N244" s="41" t="inlineStr">
        <is>
          <t>-</t>
        </is>
      </c>
      <c r="O244" s="41" t="inlineStr">
        <is>
          <t>2005</t>
        </is>
      </c>
      <c r="P244" s="42" t="inlineStr">
        <is>
          <t>반포대로23길 71</t>
        </is>
      </c>
      <c r="Q244" s="41" t="inlineStr">
        <is>
          <t>-</t>
        </is>
      </c>
      <c r="R244" s="42" t="inlineStr">
        <is>
          <t>중개거래</t>
        </is>
      </c>
      <c r="S244" s="42" t="inlineStr">
        <is>
          <t>서울 서초구</t>
        </is>
      </c>
      <c r="T244" s="41" t="inlineStr">
        <is>
          <t>23.12.22</t>
        </is>
      </c>
      <c r="U244" s="42" t="inlineStr">
        <is>
          <t>아파트</t>
        </is>
      </c>
    </row>
    <row r="245" hidden="1" ht="15" customHeight="1">
      <c r="A245" s="41" t="n">
        <v>241</v>
      </c>
      <c r="B245" s="42" t="inlineStr">
        <is>
          <t>서울특별시 서초구 서초동</t>
        </is>
      </c>
      <c r="C245" s="41" t="inlineStr">
        <is>
          <t>1685-3</t>
        </is>
      </c>
      <c r="D245" s="41" t="inlineStr">
        <is>
          <t>1685</t>
        </is>
      </c>
      <c r="E245" s="41" t="inlineStr">
        <is>
          <t>0003</t>
        </is>
      </c>
      <c r="F245" s="42" t="inlineStr">
        <is>
          <t>아크로비스타</t>
        </is>
      </c>
      <c r="G245" s="41" t="inlineStr">
        <is>
          <t>138.9600</t>
        </is>
      </c>
      <c r="H245" s="41" t="inlineStr">
        <is>
          <t>202309</t>
        </is>
      </c>
      <c r="I245" s="41" t="inlineStr">
        <is>
          <t>15</t>
        </is>
      </c>
      <c r="J245" s="41" t="inlineStr">
        <is>
          <t>265,000</t>
        </is>
      </c>
      <c r="K245" s="41" t="inlineStr">
        <is>
          <t>B</t>
        </is>
      </c>
      <c r="L245" s="41" t="inlineStr">
        <is>
          <t>21</t>
        </is>
      </c>
      <c r="M245" s="41" t="inlineStr">
        <is>
          <t>-</t>
        </is>
      </c>
      <c r="N245" s="41" t="inlineStr">
        <is>
          <t>-</t>
        </is>
      </c>
      <c r="O245" s="41" t="inlineStr">
        <is>
          <t>2004</t>
        </is>
      </c>
      <c r="P245" s="42" t="inlineStr">
        <is>
          <t>서초중앙로 188</t>
        </is>
      </c>
      <c r="Q245" s="41" t="inlineStr">
        <is>
          <t>-</t>
        </is>
      </c>
      <c r="R245" s="42" t="inlineStr">
        <is>
          <t>중개거래</t>
        </is>
      </c>
      <c r="S245" s="42" t="inlineStr">
        <is>
          <t>서울 서초구</t>
        </is>
      </c>
      <c r="T245" s="41" t="inlineStr">
        <is>
          <t>23.12.18</t>
        </is>
      </c>
      <c r="U245" s="42" t="inlineStr">
        <is>
          <t>아파트</t>
        </is>
      </c>
    </row>
    <row r="246" hidden="1" ht="15" customHeight="1">
      <c r="A246" s="41" t="n">
        <v>242</v>
      </c>
      <c r="B246" s="42" t="inlineStr">
        <is>
          <t>서울특별시 서초구 서초동</t>
        </is>
      </c>
      <c r="C246" s="41" t="inlineStr">
        <is>
          <t>1436-14</t>
        </is>
      </c>
      <c r="D246" s="41" t="inlineStr">
        <is>
          <t>1436</t>
        </is>
      </c>
      <c r="E246" s="41" t="inlineStr">
        <is>
          <t>0014</t>
        </is>
      </c>
      <c r="F246" s="42" t="inlineStr">
        <is>
          <t>서초동아이파크</t>
        </is>
      </c>
      <c r="G246" s="41" t="inlineStr">
        <is>
          <t>156.5300</t>
        </is>
      </c>
      <c r="H246" s="41" t="inlineStr">
        <is>
          <t>202309</t>
        </is>
      </c>
      <c r="I246" s="41" t="inlineStr">
        <is>
          <t>12</t>
        </is>
      </c>
      <c r="J246" s="41" t="inlineStr">
        <is>
          <t>199,000</t>
        </is>
      </c>
      <c r="K246" s="41" t="inlineStr">
        <is>
          <t>103</t>
        </is>
      </c>
      <c r="L246" s="41" t="inlineStr">
        <is>
          <t>1</t>
        </is>
      </c>
      <c r="M246" s="41" t="inlineStr">
        <is>
          <t>-</t>
        </is>
      </c>
      <c r="N246" s="41" t="inlineStr">
        <is>
          <t>-</t>
        </is>
      </c>
      <c r="O246" s="41" t="inlineStr">
        <is>
          <t>2003</t>
        </is>
      </c>
      <c r="P246" s="42" t="inlineStr">
        <is>
          <t>효령로68길 38</t>
        </is>
      </c>
      <c r="Q246" s="41" t="inlineStr">
        <is>
          <t>-</t>
        </is>
      </c>
      <c r="R246" s="42" t="inlineStr">
        <is>
          <t>중개거래</t>
        </is>
      </c>
      <c r="S246" s="42" t="inlineStr">
        <is>
          <t>서울 서초구</t>
        </is>
      </c>
      <c r="T246" s="41" t="inlineStr">
        <is>
          <t>24.03.12</t>
        </is>
      </c>
      <c r="U246" s="42" t="inlineStr">
        <is>
          <t>아파트</t>
        </is>
      </c>
    </row>
    <row r="247" hidden="1" ht="15" customHeight="1">
      <c r="A247" s="41" t="n">
        <v>243</v>
      </c>
      <c r="B247" s="42" t="inlineStr">
        <is>
          <t>서울특별시 서초구 서초동</t>
        </is>
      </c>
      <c r="C247" s="41" t="inlineStr">
        <is>
          <t>1593-7</t>
        </is>
      </c>
      <c r="D247" s="41" t="inlineStr">
        <is>
          <t>1593</t>
        </is>
      </c>
      <c r="E247" s="41" t="inlineStr">
        <is>
          <t>0007</t>
        </is>
      </c>
      <c r="F247" s="42" t="inlineStr">
        <is>
          <t>서초이오빌</t>
        </is>
      </c>
      <c r="G247" s="41" t="inlineStr">
        <is>
          <t>36.6600</t>
        </is>
      </c>
      <c r="H247" s="41" t="inlineStr">
        <is>
          <t>202309</t>
        </is>
      </c>
      <c r="I247" s="41" t="inlineStr">
        <is>
          <t>11</t>
        </is>
      </c>
      <c r="J247" s="41" t="inlineStr">
        <is>
          <t>38,800</t>
        </is>
      </c>
      <c r="K247" s="41" t="inlineStr">
        <is>
          <t>-</t>
        </is>
      </c>
      <c r="L247" s="41" t="inlineStr">
        <is>
          <t>11</t>
        </is>
      </c>
      <c r="M247" s="41" t="inlineStr">
        <is>
          <t>-</t>
        </is>
      </c>
      <c r="N247" s="41" t="inlineStr">
        <is>
          <t>-</t>
        </is>
      </c>
      <c r="O247" s="41" t="inlineStr">
        <is>
          <t>2003</t>
        </is>
      </c>
      <c r="P247" s="42" t="inlineStr">
        <is>
          <t>효령로53길 45</t>
        </is>
      </c>
      <c r="Q247" s="41" t="inlineStr">
        <is>
          <t>-</t>
        </is>
      </c>
      <c r="R247" s="42" t="inlineStr">
        <is>
          <t>중개거래</t>
        </is>
      </c>
      <c r="S247" s="42" t="inlineStr">
        <is>
          <t>서울 서초구</t>
        </is>
      </c>
      <c r="T247" s="41" t="inlineStr">
        <is>
          <t>23.11.03</t>
        </is>
      </c>
      <c r="U247" s="42" t="inlineStr">
        <is>
          <t>아파트</t>
        </is>
      </c>
    </row>
    <row r="248" hidden="1" ht="15" customHeight="1">
      <c r="A248" s="41" t="n">
        <v>244</v>
      </c>
      <c r="B248" s="42" t="inlineStr">
        <is>
          <t>서울특별시 서초구 서초동</t>
        </is>
      </c>
      <c r="C248" s="41" t="inlineStr">
        <is>
          <t>1338</t>
        </is>
      </c>
      <c r="D248" s="41" t="inlineStr">
        <is>
          <t>1338</t>
        </is>
      </c>
      <c r="E248" s="41" t="inlineStr">
        <is>
          <t>0000</t>
        </is>
      </c>
      <c r="F248" s="42" t="inlineStr">
        <is>
          <t>현대이에스에이아파트</t>
        </is>
      </c>
      <c r="G248" s="41" t="inlineStr">
        <is>
          <t>144.2600</t>
        </is>
      </c>
      <c r="H248" s="41" t="inlineStr">
        <is>
          <t>202309</t>
        </is>
      </c>
      <c r="I248" s="41" t="inlineStr">
        <is>
          <t>11</t>
        </is>
      </c>
      <c r="J248" s="41" t="inlineStr">
        <is>
          <t>150,000</t>
        </is>
      </c>
      <c r="K248" s="41" t="inlineStr">
        <is>
          <t>-</t>
        </is>
      </c>
      <c r="L248" s="41" t="inlineStr">
        <is>
          <t>17</t>
        </is>
      </c>
      <c r="M248" s="41" t="inlineStr">
        <is>
          <t>-</t>
        </is>
      </c>
      <c r="N248" s="41" t="inlineStr">
        <is>
          <t>-</t>
        </is>
      </c>
      <c r="O248" s="41" t="inlineStr">
        <is>
          <t>2002</t>
        </is>
      </c>
      <c r="P248" s="42" t="inlineStr">
        <is>
          <t>효령로77길 20</t>
        </is>
      </c>
      <c r="Q248" s="41" t="inlineStr">
        <is>
          <t>-</t>
        </is>
      </c>
      <c r="R248" s="42" t="inlineStr">
        <is>
          <t>중개거래</t>
        </is>
      </c>
      <c r="S248" s="42" t="inlineStr">
        <is>
          <t>서울 서초구</t>
        </is>
      </c>
      <c r="T248" s="41" t="inlineStr">
        <is>
          <t>23.11.24</t>
        </is>
      </c>
      <c r="U248" s="42" t="inlineStr">
        <is>
          <t>아파트</t>
        </is>
      </c>
    </row>
    <row r="249" hidden="1" ht="15" customHeight="1">
      <c r="A249" s="41" t="n">
        <v>245</v>
      </c>
      <c r="B249" s="42" t="inlineStr">
        <is>
          <t>서울특별시 서초구 서초동</t>
        </is>
      </c>
      <c r="C249" s="41" t="inlineStr">
        <is>
          <t>1350-13</t>
        </is>
      </c>
      <c r="D249" s="41" t="inlineStr">
        <is>
          <t>1350</t>
        </is>
      </c>
      <c r="E249" s="41" t="inlineStr">
        <is>
          <t>0013</t>
        </is>
      </c>
      <c r="F249" s="42" t="inlineStr">
        <is>
          <t>동원베네스트아파트</t>
        </is>
      </c>
      <c r="G249" s="41" t="inlineStr">
        <is>
          <t>84.9000</t>
        </is>
      </c>
      <c r="H249" s="41" t="inlineStr">
        <is>
          <t>202309</t>
        </is>
      </c>
      <c r="I249" s="41" t="inlineStr">
        <is>
          <t>11</t>
        </is>
      </c>
      <c r="J249" s="41" t="inlineStr">
        <is>
          <t>160,000</t>
        </is>
      </c>
      <c r="K249" s="41" t="inlineStr">
        <is>
          <t>101</t>
        </is>
      </c>
      <c r="L249" s="41" t="inlineStr">
        <is>
          <t>7</t>
        </is>
      </c>
      <c r="M249" s="41" t="inlineStr">
        <is>
          <t>-</t>
        </is>
      </c>
      <c r="N249" s="41" t="inlineStr">
        <is>
          <t>-</t>
        </is>
      </c>
      <c r="O249" s="41" t="inlineStr">
        <is>
          <t>2002</t>
        </is>
      </c>
      <c r="P249" s="42" t="inlineStr">
        <is>
          <t>효령로74길 57</t>
        </is>
      </c>
      <c r="Q249" s="41" t="inlineStr">
        <is>
          <t>-</t>
        </is>
      </c>
      <c r="R249" s="42" t="inlineStr">
        <is>
          <t>중개거래</t>
        </is>
      </c>
      <c r="S249" s="42" t="inlineStr">
        <is>
          <t>서울 서초구</t>
        </is>
      </c>
      <c r="T249" s="41" t="inlineStr">
        <is>
          <t>23.11.01</t>
        </is>
      </c>
      <c r="U249" s="42" t="inlineStr">
        <is>
          <t>아파트</t>
        </is>
      </c>
    </row>
    <row r="250" hidden="1" ht="15" customHeight="1">
      <c r="A250" s="41" t="n">
        <v>246</v>
      </c>
      <c r="B250" s="42" t="inlineStr">
        <is>
          <t>서울특별시 서초구 서초동</t>
        </is>
      </c>
      <c r="C250" s="41" t="inlineStr">
        <is>
          <t>1757</t>
        </is>
      </c>
      <c r="D250" s="41" t="inlineStr">
        <is>
          <t>1757</t>
        </is>
      </c>
      <c r="E250" s="41" t="inlineStr">
        <is>
          <t>0000</t>
        </is>
      </c>
      <c r="F250" s="42" t="inlineStr">
        <is>
          <t>서초그랑자이</t>
        </is>
      </c>
      <c r="G250" s="41" t="inlineStr">
        <is>
          <t>84.5100</t>
        </is>
      </c>
      <c r="H250" s="41" t="inlineStr">
        <is>
          <t>202309</t>
        </is>
      </c>
      <c r="I250" s="41" t="inlineStr">
        <is>
          <t>06</t>
        </is>
      </c>
      <c r="J250" s="41" t="inlineStr">
        <is>
          <t>310,000</t>
        </is>
      </c>
      <c r="K250" s="41" t="inlineStr">
        <is>
          <t>102동</t>
        </is>
      </c>
      <c r="L250" s="41" t="inlineStr">
        <is>
          <t>31</t>
        </is>
      </c>
      <c r="M250" s="41" t="inlineStr">
        <is>
          <t>-</t>
        </is>
      </c>
      <c r="N250" s="41" t="inlineStr">
        <is>
          <t>-</t>
        </is>
      </c>
      <c r="O250" s="41" t="inlineStr">
        <is>
          <t>2021</t>
        </is>
      </c>
      <c r="P250" s="42" t="inlineStr">
        <is>
          <t>효령로 391</t>
        </is>
      </c>
      <c r="Q250" s="41" t="inlineStr">
        <is>
          <t>-</t>
        </is>
      </c>
      <c r="R250" s="42" t="inlineStr">
        <is>
          <t>중개거래</t>
        </is>
      </c>
      <c r="S250" s="42" t="inlineStr">
        <is>
          <t>서울 서초구</t>
        </is>
      </c>
      <c r="T250" s="41" t="inlineStr">
        <is>
          <t>23.12.21</t>
        </is>
      </c>
      <c r="U250" s="42" t="inlineStr">
        <is>
          <t>아파트</t>
        </is>
      </c>
    </row>
    <row r="251" hidden="1" ht="15" customHeight="1">
      <c r="A251" s="41" t="n">
        <v>247</v>
      </c>
      <c r="B251" s="42" t="inlineStr">
        <is>
          <t>서울특별시 서초구 서초동</t>
        </is>
      </c>
      <c r="C251" s="41" t="inlineStr">
        <is>
          <t>1754</t>
        </is>
      </c>
      <c r="D251" s="41" t="inlineStr">
        <is>
          <t>1754</t>
        </is>
      </c>
      <c r="E251" s="41" t="inlineStr">
        <is>
          <t>0000</t>
        </is>
      </c>
      <c r="F251" s="42" t="inlineStr">
        <is>
          <t>래미안서초에스티지S</t>
        </is>
      </c>
      <c r="G251" s="41" t="inlineStr">
        <is>
          <t>134.2700</t>
        </is>
      </c>
      <c r="H251" s="41" t="inlineStr">
        <is>
          <t>202309</t>
        </is>
      </c>
      <c r="I251" s="41" t="inlineStr">
        <is>
          <t>06</t>
        </is>
      </c>
      <c r="J251" s="41" t="inlineStr">
        <is>
          <t>395,000</t>
        </is>
      </c>
      <c r="K251" s="41" t="inlineStr">
        <is>
          <t>205</t>
        </is>
      </c>
      <c r="L251" s="41" t="inlineStr">
        <is>
          <t>23</t>
        </is>
      </c>
      <c r="M251" s="41" t="inlineStr">
        <is>
          <t>-</t>
        </is>
      </c>
      <c r="N251" s="41" t="inlineStr">
        <is>
          <t>-</t>
        </is>
      </c>
      <c r="O251" s="41" t="inlineStr">
        <is>
          <t>2018</t>
        </is>
      </c>
      <c r="P251" s="42" t="inlineStr">
        <is>
          <t>서운로 104</t>
        </is>
      </c>
      <c r="Q251" s="41" t="inlineStr">
        <is>
          <t>-</t>
        </is>
      </c>
      <c r="R251" s="42" t="inlineStr">
        <is>
          <t>중개거래</t>
        </is>
      </c>
      <c r="S251" s="42" t="inlineStr">
        <is>
          <t>서울 서초구</t>
        </is>
      </c>
      <c r="T251" s="41" t="inlineStr">
        <is>
          <t>24.01.02</t>
        </is>
      </c>
      <c r="U251" s="42" t="inlineStr">
        <is>
          <t>아파트</t>
        </is>
      </c>
    </row>
    <row r="252" hidden="1" ht="15" customHeight="1">
      <c r="A252" s="41" t="n">
        <v>248</v>
      </c>
      <c r="B252" s="42" t="inlineStr">
        <is>
          <t>서울특별시 서초구 서초동</t>
        </is>
      </c>
      <c r="C252" s="41" t="inlineStr">
        <is>
          <t>1333</t>
        </is>
      </c>
      <c r="D252" s="41" t="inlineStr">
        <is>
          <t>1333</t>
        </is>
      </c>
      <c r="E252" s="41" t="inlineStr">
        <is>
          <t>0000</t>
        </is>
      </c>
      <c r="F252" s="42" t="inlineStr">
        <is>
          <t>신동아아파트(1차)</t>
        </is>
      </c>
      <c r="G252" s="41" t="inlineStr">
        <is>
          <t>75.8600</t>
        </is>
      </c>
      <c r="H252" s="41" t="inlineStr">
        <is>
          <t>202309</t>
        </is>
      </c>
      <c r="I252" s="41" t="inlineStr">
        <is>
          <t>04</t>
        </is>
      </c>
      <c r="J252" s="41" t="inlineStr">
        <is>
          <t>180,000</t>
        </is>
      </c>
      <c r="K252" s="41" t="inlineStr">
        <is>
          <t>1</t>
        </is>
      </c>
      <c r="L252" s="41" t="inlineStr">
        <is>
          <t>9</t>
        </is>
      </c>
      <c r="M252" s="41" t="inlineStr">
        <is>
          <t>-</t>
        </is>
      </c>
      <c r="N252" s="41" t="inlineStr">
        <is>
          <t>-</t>
        </is>
      </c>
      <c r="O252" s="41" t="inlineStr">
        <is>
          <t>1978</t>
        </is>
      </c>
      <c r="P252" s="42" t="inlineStr">
        <is>
          <t>사임당로 137</t>
        </is>
      </c>
      <c r="Q252" s="41" t="inlineStr">
        <is>
          <t>-</t>
        </is>
      </c>
      <c r="R252" s="42" t="inlineStr">
        <is>
          <t>중개거래</t>
        </is>
      </c>
      <c r="S252" s="42" t="inlineStr">
        <is>
          <t>서울 서초구</t>
        </is>
      </c>
      <c r="T252" s="41" t="inlineStr">
        <is>
          <t>23.11.15</t>
        </is>
      </c>
      <c r="U252" s="42" t="inlineStr">
        <is>
          <t>아파트</t>
        </is>
      </c>
    </row>
    <row r="253" hidden="1" ht="15" customHeight="1">
      <c r="A253" s="41" t="n">
        <v>249</v>
      </c>
      <c r="B253" s="42" t="inlineStr">
        <is>
          <t>서울특별시 서초구 서초동</t>
        </is>
      </c>
      <c r="C253" s="41" t="inlineStr">
        <is>
          <t>1757</t>
        </is>
      </c>
      <c r="D253" s="41" t="inlineStr">
        <is>
          <t>1757</t>
        </is>
      </c>
      <c r="E253" s="41" t="inlineStr">
        <is>
          <t>0000</t>
        </is>
      </c>
      <c r="F253" s="42" t="inlineStr">
        <is>
          <t>서초그랑자이</t>
        </is>
      </c>
      <c r="G253" s="41" t="inlineStr">
        <is>
          <t>90.7200</t>
        </is>
      </c>
      <c r="H253" s="41" t="inlineStr">
        <is>
          <t>202309</t>
        </is>
      </c>
      <c r="I253" s="41" t="inlineStr">
        <is>
          <t>04</t>
        </is>
      </c>
      <c r="J253" s="41" t="inlineStr">
        <is>
          <t>326,000</t>
        </is>
      </c>
      <c r="K253" s="41" t="inlineStr">
        <is>
          <t>102동</t>
        </is>
      </c>
      <c r="L253" s="41" t="inlineStr">
        <is>
          <t>27</t>
        </is>
      </c>
      <c r="M253" s="41" t="inlineStr">
        <is>
          <t>-</t>
        </is>
      </c>
      <c r="N253" s="41" t="inlineStr">
        <is>
          <t>-</t>
        </is>
      </c>
      <c r="O253" s="41" t="inlineStr">
        <is>
          <t>2021</t>
        </is>
      </c>
      <c r="P253" s="42" t="inlineStr">
        <is>
          <t>효령로 391</t>
        </is>
      </c>
      <c r="Q253" s="41" t="inlineStr">
        <is>
          <t>-</t>
        </is>
      </c>
      <c r="R253" s="42" t="inlineStr">
        <is>
          <t>중개거래</t>
        </is>
      </c>
      <c r="S253" s="42" t="inlineStr">
        <is>
          <t>서울 서초구</t>
        </is>
      </c>
      <c r="T253" s="41" t="inlineStr">
        <is>
          <t>24.04.09</t>
        </is>
      </c>
      <c r="U253" s="42" t="inlineStr">
        <is>
          <t>아파트</t>
        </is>
      </c>
    </row>
    <row r="254" hidden="1" ht="15" customHeight="1">
      <c r="A254" s="41" t="n">
        <v>250</v>
      </c>
      <c r="B254" s="42" t="inlineStr">
        <is>
          <t>서울특별시 서초구 서초동</t>
        </is>
      </c>
      <c r="C254" s="41" t="inlineStr">
        <is>
          <t>1311-10</t>
        </is>
      </c>
      <c r="D254" s="41" t="inlineStr">
        <is>
          <t>1311</t>
        </is>
      </c>
      <c r="E254" s="41" t="inlineStr">
        <is>
          <t>0010</t>
        </is>
      </c>
      <c r="F254" s="42" t="inlineStr">
        <is>
          <t>서초푸르지오써밋</t>
        </is>
      </c>
      <c r="G254" s="41" t="inlineStr">
        <is>
          <t>120.9800</t>
        </is>
      </c>
      <c r="H254" s="41" t="inlineStr">
        <is>
          <t>202309</t>
        </is>
      </c>
      <c r="I254" s="41" t="inlineStr">
        <is>
          <t>02</t>
        </is>
      </c>
      <c r="J254" s="41" t="inlineStr">
        <is>
          <t>326,000</t>
        </is>
      </c>
      <c r="K254" s="41" t="inlineStr">
        <is>
          <t>201</t>
        </is>
      </c>
      <c r="L254" s="41" t="inlineStr">
        <is>
          <t>15</t>
        </is>
      </c>
      <c r="M254" s="41" t="inlineStr">
        <is>
          <t>-</t>
        </is>
      </c>
      <c r="N254" s="41" t="inlineStr">
        <is>
          <t>-</t>
        </is>
      </c>
      <c r="O254" s="41" t="inlineStr">
        <is>
          <t>2017</t>
        </is>
      </c>
      <c r="P254" s="42" t="inlineStr">
        <is>
          <t>서운로 212</t>
        </is>
      </c>
      <c r="Q254" s="41" t="inlineStr">
        <is>
          <t>-</t>
        </is>
      </c>
      <c r="R254" s="42" t="inlineStr">
        <is>
          <t>중개거래</t>
        </is>
      </c>
      <c r="S254" s="42" t="inlineStr">
        <is>
          <t>서울 강남구 서울 서초구</t>
        </is>
      </c>
      <c r="T254" s="41" t="inlineStr">
        <is>
          <t>23.10.27</t>
        </is>
      </c>
      <c r="U254" s="42" t="inlineStr">
        <is>
          <t>아파트</t>
        </is>
      </c>
    </row>
    <row r="255" hidden="1" ht="15" customHeight="1">
      <c r="A255" s="41" t="n">
        <v>251</v>
      </c>
      <c r="B255" s="42" t="inlineStr">
        <is>
          <t>서울특별시 서초구 서초동</t>
        </is>
      </c>
      <c r="C255" s="41" t="inlineStr">
        <is>
          <t>1311-10</t>
        </is>
      </c>
      <c r="D255" s="41" t="inlineStr">
        <is>
          <t>1311</t>
        </is>
      </c>
      <c r="E255" s="41" t="inlineStr">
        <is>
          <t>0010</t>
        </is>
      </c>
      <c r="F255" s="42" t="inlineStr">
        <is>
          <t>서초푸르지오써밋</t>
        </is>
      </c>
      <c r="G255" s="41" t="inlineStr">
        <is>
          <t>120.9800</t>
        </is>
      </c>
      <c r="H255" s="41" t="inlineStr">
        <is>
          <t>202309</t>
        </is>
      </c>
      <c r="I255" s="41" t="inlineStr">
        <is>
          <t>02</t>
        </is>
      </c>
      <c r="J255" s="41" t="inlineStr">
        <is>
          <t>329,000</t>
        </is>
      </c>
      <c r="K255" s="41" t="inlineStr">
        <is>
          <t>202</t>
        </is>
      </c>
      <c r="L255" s="41" t="inlineStr">
        <is>
          <t>8</t>
        </is>
      </c>
      <c r="M255" s="41" t="inlineStr">
        <is>
          <t>-</t>
        </is>
      </c>
      <c r="N255" s="41" t="inlineStr">
        <is>
          <t>-</t>
        </is>
      </c>
      <c r="O255" s="41" t="inlineStr">
        <is>
          <t>2017</t>
        </is>
      </c>
      <c r="P255" s="42" t="inlineStr">
        <is>
          <t>서운로 212</t>
        </is>
      </c>
      <c r="Q255" s="41" t="inlineStr">
        <is>
          <t>-</t>
        </is>
      </c>
      <c r="R255" s="42" t="inlineStr">
        <is>
          <t>중개거래</t>
        </is>
      </c>
      <c r="S255" s="42" t="inlineStr">
        <is>
          <t>서울 서초구</t>
        </is>
      </c>
      <c r="T255" s="41" t="inlineStr">
        <is>
          <t>24.01.10</t>
        </is>
      </c>
      <c r="U255" s="42" t="inlineStr">
        <is>
          <t>아파트</t>
        </is>
      </c>
    </row>
    <row r="256" hidden="1" ht="15" customHeight="1">
      <c r="A256" s="41" t="n">
        <v>252</v>
      </c>
      <c r="B256" s="42" t="inlineStr">
        <is>
          <t>서울특별시 서초구 서초동</t>
        </is>
      </c>
      <c r="C256" s="41" t="inlineStr">
        <is>
          <t>1333</t>
        </is>
      </c>
      <c r="D256" s="41" t="inlineStr">
        <is>
          <t>1333</t>
        </is>
      </c>
      <c r="E256" s="41" t="inlineStr">
        <is>
          <t>0000</t>
        </is>
      </c>
      <c r="F256" s="42" t="inlineStr">
        <is>
          <t>신동아아파트(1차)</t>
        </is>
      </c>
      <c r="G256" s="41" t="inlineStr">
        <is>
          <t>101.6000</t>
        </is>
      </c>
      <c r="H256" s="41" t="inlineStr">
        <is>
          <t>202309</t>
        </is>
      </c>
      <c r="I256" s="41" t="inlineStr">
        <is>
          <t>01</t>
        </is>
      </c>
      <c r="J256" s="41" t="inlineStr">
        <is>
          <t>228,000</t>
        </is>
      </c>
      <c r="K256" s="41" t="inlineStr">
        <is>
          <t>3</t>
        </is>
      </c>
      <c r="L256" s="41" t="inlineStr">
        <is>
          <t>11</t>
        </is>
      </c>
      <c r="M256" s="41" t="inlineStr">
        <is>
          <t>-</t>
        </is>
      </c>
      <c r="N256" s="41" t="inlineStr">
        <is>
          <t>-</t>
        </is>
      </c>
      <c r="O256" s="41" t="inlineStr">
        <is>
          <t>1978</t>
        </is>
      </c>
      <c r="P256" s="42" t="inlineStr">
        <is>
          <t>사임당로 137</t>
        </is>
      </c>
      <c r="Q256" s="41" t="inlineStr">
        <is>
          <t>-</t>
        </is>
      </c>
      <c r="R256" s="42" t="inlineStr">
        <is>
          <t>중개거래</t>
        </is>
      </c>
      <c r="S256" s="42" t="inlineStr">
        <is>
          <t>서울 관악구 서울 서초구</t>
        </is>
      </c>
      <c r="T256" s="41" t="inlineStr">
        <is>
          <t>23.11.15</t>
        </is>
      </c>
      <c r="U256" s="42" t="inlineStr">
        <is>
          <t>아파트</t>
        </is>
      </c>
    </row>
    <row r="257" hidden="1" ht="15" customHeight="1">
      <c r="A257" s="41" t="n">
        <v>253</v>
      </c>
      <c r="B257" s="42" t="inlineStr">
        <is>
          <t>서울특별시 서초구 서초동</t>
        </is>
      </c>
      <c r="C257" s="41" t="inlineStr">
        <is>
          <t>1648-2</t>
        </is>
      </c>
      <c r="D257" s="41" t="inlineStr">
        <is>
          <t>1648</t>
        </is>
      </c>
      <c r="E257" s="41" t="inlineStr">
        <is>
          <t>0002</t>
        </is>
      </c>
      <c r="F257" s="42" t="inlineStr">
        <is>
          <t>서초현대</t>
        </is>
      </c>
      <c r="G257" s="41" t="inlineStr">
        <is>
          <t>54.4500</t>
        </is>
      </c>
      <c r="H257" s="41" t="inlineStr">
        <is>
          <t>202309</t>
        </is>
      </c>
      <c r="I257" s="41" t="inlineStr">
        <is>
          <t>01</t>
        </is>
      </c>
      <c r="J257" s="41" t="inlineStr">
        <is>
          <t>125,000</t>
        </is>
      </c>
      <c r="K257" s="41" t="inlineStr">
        <is>
          <t>102</t>
        </is>
      </c>
      <c r="L257" s="41" t="inlineStr">
        <is>
          <t>5</t>
        </is>
      </c>
      <c r="M257" s="41" t="inlineStr">
        <is>
          <t>-</t>
        </is>
      </c>
      <c r="N257" s="41" t="inlineStr">
        <is>
          <t>-</t>
        </is>
      </c>
      <c r="O257" s="41" t="inlineStr">
        <is>
          <t>1999</t>
        </is>
      </c>
      <c r="P257" s="42" t="inlineStr">
        <is>
          <t>사임당로19길 10</t>
        </is>
      </c>
      <c r="Q257" s="41" t="inlineStr">
        <is>
          <t>-</t>
        </is>
      </c>
      <c r="R257" s="42" t="inlineStr">
        <is>
          <t>중개거래</t>
        </is>
      </c>
      <c r="S257" s="42" t="inlineStr">
        <is>
          <t>서울 서초구</t>
        </is>
      </c>
      <c r="T257" s="41" t="inlineStr">
        <is>
          <t>23.12.08</t>
        </is>
      </c>
      <c r="U257" s="42" t="inlineStr">
        <is>
          <t>아파트</t>
        </is>
      </c>
    </row>
    <row r="258" hidden="1" ht="15" customHeight="1">
      <c r="A258" s="41" t="n">
        <v>254</v>
      </c>
      <c r="B258" s="42" t="inlineStr">
        <is>
          <t>서울특별시 서초구 서초동</t>
        </is>
      </c>
      <c r="C258" s="41" t="inlineStr">
        <is>
          <t>1301-6</t>
        </is>
      </c>
      <c r="D258" s="41" t="inlineStr">
        <is>
          <t>1301</t>
        </is>
      </c>
      <c r="E258" s="41" t="inlineStr">
        <is>
          <t>0006</t>
        </is>
      </c>
      <c r="F258" s="42" t="inlineStr">
        <is>
          <t>래미안서초스위트</t>
        </is>
      </c>
      <c r="G258" s="41" t="inlineStr">
        <is>
          <t>59.9958</t>
        </is>
      </c>
      <c r="H258" s="41" t="inlineStr">
        <is>
          <t>202308</t>
        </is>
      </c>
      <c r="I258" s="41" t="inlineStr">
        <is>
          <t>30</t>
        </is>
      </c>
      <c r="J258" s="41" t="inlineStr">
        <is>
          <t>196,500</t>
        </is>
      </c>
      <c r="K258" s="41" t="inlineStr">
        <is>
          <t>101</t>
        </is>
      </c>
      <c r="L258" s="41" t="inlineStr">
        <is>
          <t>17</t>
        </is>
      </c>
      <c r="M258" s="41" t="inlineStr">
        <is>
          <t>-</t>
        </is>
      </c>
      <c r="N258" s="41" t="inlineStr">
        <is>
          <t>-</t>
        </is>
      </c>
      <c r="O258" s="41" t="inlineStr">
        <is>
          <t>2009</t>
        </is>
      </c>
      <c r="P258" s="42" t="inlineStr">
        <is>
          <t>서운로 221</t>
        </is>
      </c>
      <c r="Q258" s="41" t="inlineStr">
        <is>
          <t>-</t>
        </is>
      </c>
      <c r="R258" s="42" t="inlineStr">
        <is>
          <t>중개거래</t>
        </is>
      </c>
      <c r="S258" s="42" t="inlineStr">
        <is>
          <t>서울 서초구</t>
        </is>
      </c>
      <c r="T258" s="41" t="inlineStr">
        <is>
          <t>23.11.28</t>
        </is>
      </c>
      <c r="U258" s="42" t="inlineStr">
        <is>
          <t>아파트</t>
        </is>
      </c>
    </row>
    <row r="259" hidden="1" ht="15" customHeight="1">
      <c r="A259" s="41" t="n">
        <v>255</v>
      </c>
      <c r="B259" s="42" t="inlineStr">
        <is>
          <t>서울특별시 서초구 서초동</t>
        </is>
      </c>
      <c r="C259" s="41" t="inlineStr">
        <is>
          <t>1687</t>
        </is>
      </c>
      <c r="D259" s="41" t="inlineStr">
        <is>
          <t>1687</t>
        </is>
      </c>
      <c r="E259" s="41" t="inlineStr">
        <is>
          <t>0000</t>
        </is>
      </c>
      <c r="F259" s="42" t="inlineStr">
        <is>
          <t>유원서초</t>
        </is>
      </c>
      <c r="G259" s="41" t="inlineStr">
        <is>
          <t>84.8200</t>
        </is>
      </c>
      <c r="H259" s="41" t="inlineStr">
        <is>
          <t>202308</t>
        </is>
      </c>
      <c r="I259" s="41" t="inlineStr">
        <is>
          <t>29</t>
        </is>
      </c>
      <c r="J259" s="41" t="inlineStr">
        <is>
          <t>193,000</t>
        </is>
      </c>
      <c r="K259" s="41" t="inlineStr">
        <is>
          <t>101</t>
        </is>
      </c>
      <c r="L259" s="41" t="inlineStr">
        <is>
          <t>4</t>
        </is>
      </c>
      <c r="M259" s="41" t="inlineStr">
        <is>
          <t>-</t>
        </is>
      </c>
      <c r="N259" s="41" t="inlineStr">
        <is>
          <t>-</t>
        </is>
      </c>
      <c r="O259" s="41" t="inlineStr">
        <is>
          <t>1993</t>
        </is>
      </c>
      <c r="P259" s="42" t="inlineStr">
        <is>
          <t>서초중앙로24길 43</t>
        </is>
      </c>
      <c r="Q259" s="41" t="inlineStr">
        <is>
          <t>-</t>
        </is>
      </c>
      <c r="R259" s="42" t="inlineStr">
        <is>
          <t>중개거래</t>
        </is>
      </c>
      <c r="S259" s="42" t="inlineStr">
        <is>
          <t>서울 서초구</t>
        </is>
      </c>
      <c r="T259" s="41" t="inlineStr">
        <is>
          <t>23.11.30</t>
        </is>
      </c>
      <c r="U259" s="42" t="inlineStr">
        <is>
          <t>아파트</t>
        </is>
      </c>
    </row>
    <row r="260" hidden="1" ht="15" customHeight="1">
      <c r="A260" s="41" t="n">
        <v>256</v>
      </c>
      <c r="B260" s="42" t="inlineStr">
        <is>
          <t>서울특별시 서초구 서초동</t>
        </is>
      </c>
      <c r="C260" s="41" t="inlineStr">
        <is>
          <t>1625-7</t>
        </is>
      </c>
      <c r="D260" s="41" t="inlineStr">
        <is>
          <t>1625</t>
        </is>
      </c>
      <c r="E260" s="41" t="inlineStr">
        <is>
          <t>0007</t>
        </is>
      </c>
      <c r="F260" s="42" t="inlineStr">
        <is>
          <t>티에스프리우스</t>
        </is>
      </c>
      <c r="G260" s="41" t="inlineStr">
        <is>
          <t>77.7800</t>
        </is>
      </c>
      <c r="H260" s="41" t="inlineStr">
        <is>
          <t>202308</t>
        </is>
      </c>
      <c r="I260" s="41" t="inlineStr">
        <is>
          <t>28</t>
        </is>
      </c>
      <c r="J260" s="41" t="inlineStr">
        <is>
          <t>117,500</t>
        </is>
      </c>
      <c r="K260" s="41" t="inlineStr">
        <is>
          <t>-</t>
        </is>
      </c>
      <c r="L260" s="41" t="inlineStr">
        <is>
          <t>6</t>
        </is>
      </c>
      <c r="M260" s="41" t="inlineStr">
        <is>
          <t>-</t>
        </is>
      </c>
      <c r="N260" s="41" t="inlineStr">
        <is>
          <t>-</t>
        </is>
      </c>
      <c r="O260" s="41" t="inlineStr">
        <is>
          <t>2004</t>
        </is>
      </c>
      <c r="P260" s="42" t="inlineStr">
        <is>
          <t>서초중앙로12길 19</t>
        </is>
      </c>
      <c r="Q260" s="41" t="inlineStr">
        <is>
          <t>-</t>
        </is>
      </c>
      <c r="R260" s="42" t="inlineStr">
        <is>
          <t>중개거래</t>
        </is>
      </c>
      <c r="S260" s="42" t="inlineStr">
        <is>
          <t>서울 서초구</t>
        </is>
      </c>
      <c r="T260" s="41" t="inlineStr">
        <is>
          <t>23.10.17</t>
        </is>
      </c>
      <c r="U260" s="42" t="inlineStr">
        <is>
          <t>아파트</t>
        </is>
      </c>
    </row>
    <row r="261" hidden="1" ht="15" customHeight="1">
      <c r="A261" s="41" t="n">
        <v>257</v>
      </c>
      <c r="B261" s="42" t="inlineStr">
        <is>
          <t>서울특별시 서초구 서초동</t>
        </is>
      </c>
      <c r="C261" s="41" t="inlineStr">
        <is>
          <t>1757</t>
        </is>
      </c>
      <c r="D261" s="41" t="inlineStr">
        <is>
          <t>1757</t>
        </is>
      </c>
      <c r="E261" s="41" t="inlineStr">
        <is>
          <t>0000</t>
        </is>
      </c>
      <c r="F261" s="42" t="inlineStr">
        <is>
          <t>서초그랑자이</t>
        </is>
      </c>
      <c r="G261" s="41" t="inlineStr">
        <is>
          <t>59.9800</t>
        </is>
      </c>
      <c r="H261" s="41" t="inlineStr">
        <is>
          <t>202308</t>
        </is>
      </c>
      <c r="I261" s="41" t="inlineStr">
        <is>
          <t>27</t>
        </is>
      </c>
      <c r="J261" s="41" t="inlineStr">
        <is>
          <t>227,000</t>
        </is>
      </c>
      <c r="K261" s="41" t="inlineStr">
        <is>
          <t>105동</t>
        </is>
      </c>
      <c r="L261" s="41" t="inlineStr">
        <is>
          <t>6</t>
        </is>
      </c>
      <c r="M261" s="41" t="inlineStr">
        <is>
          <t>-</t>
        </is>
      </c>
      <c r="N261" s="41" t="inlineStr">
        <is>
          <t>-</t>
        </is>
      </c>
      <c r="O261" s="41" t="inlineStr">
        <is>
          <t>2021</t>
        </is>
      </c>
      <c r="P261" s="42" t="inlineStr">
        <is>
          <t>효령로 391</t>
        </is>
      </c>
      <c r="Q261" s="41" t="inlineStr">
        <is>
          <t>-</t>
        </is>
      </c>
      <c r="R261" s="42" t="inlineStr">
        <is>
          <t>중개거래</t>
        </is>
      </c>
      <c r="S261" s="42" t="inlineStr">
        <is>
          <t>서울 서초구</t>
        </is>
      </c>
      <c r="T261" s="41" t="inlineStr">
        <is>
          <t>23.11.27</t>
        </is>
      </c>
      <c r="U261" s="42" t="inlineStr">
        <is>
          <t>아파트</t>
        </is>
      </c>
    </row>
    <row r="262" hidden="1" ht="15" customHeight="1">
      <c r="A262" s="41" t="n">
        <v>258</v>
      </c>
      <c r="B262" s="42" t="inlineStr">
        <is>
          <t>서울특별시 서초구 서초동</t>
        </is>
      </c>
      <c r="C262" s="41" t="inlineStr">
        <is>
          <t>1347-20</t>
        </is>
      </c>
      <c r="D262" s="41" t="inlineStr">
        <is>
          <t>1347</t>
        </is>
      </c>
      <c r="E262" s="41" t="inlineStr">
        <is>
          <t>0020</t>
        </is>
      </c>
      <c r="F262" s="42" t="inlineStr">
        <is>
          <t>서초벽산블루밍</t>
        </is>
      </c>
      <c r="G262" s="41" t="inlineStr">
        <is>
          <t>84.3900</t>
        </is>
      </c>
      <c r="H262" s="41" t="inlineStr">
        <is>
          <t>202308</t>
        </is>
      </c>
      <c r="I262" s="41" t="inlineStr">
        <is>
          <t>26</t>
        </is>
      </c>
      <c r="J262" s="41" t="inlineStr">
        <is>
          <t>163,500</t>
        </is>
      </c>
      <c r="K262" s="41" t="inlineStr">
        <is>
          <t>101</t>
        </is>
      </c>
      <c r="L262" s="41" t="inlineStr">
        <is>
          <t>6</t>
        </is>
      </c>
      <c r="M262" s="41" t="inlineStr">
        <is>
          <t>-</t>
        </is>
      </c>
      <c r="N262" s="41" t="inlineStr">
        <is>
          <t>-</t>
        </is>
      </c>
      <c r="O262" s="41" t="inlineStr">
        <is>
          <t>2006</t>
        </is>
      </c>
      <c r="P262" s="42" t="inlineStr">
        <is>
          <t>효령로74길 56</t>
        </is>
      </c>
      <c r="Q262" s="41" t="inlineStr">
        <is>
          <t>-</t>
        </is>
      </c>
      <c r="R262" s="42" t="inlineStr">
        <is>
          <t>중개거래</t>
        </is>
      </c>
      <c r="S262" s="42" t="inlineStr">
        <is>
          <t>서울 서초구</t>
        </is>
      </c>
      <c r="T262" s="41" t="inlineStr">
        <is>
          <t>23.11.23</t>
        </is>
      </c>
      <c r="U262" s="42" t="inlineStr">
        <is>
          <t>아파트</t>
        </is>
      </c>
    </row>
    <row r="263" hidden="1" ht="15" customHeight="1">
      <c r="A263" s="41" t="n">
        <v>259</v>
      </c>
      <c r="B263" s="42" t="inlineStr">
        <is>
          <t>서울특별시 서초구 서초동</t>
        </is>
      </c>
      <c r="C263" s="41" t="inlineStr">
        <is>
          <t>1326-17</t>
        </is>
      </c>
      <c r="D263" s="41" t="inlineStr">
        <is>
          <t>1326</t>
        </is>
      </c>
      <c r="E263" s="41" t="inlineStr">
        <is>
          <t>0017</t>
        </is>
      </c>
      <c r="F263" s="42" t="inlineStr">
        <is>
          <t>우성아파트</t>
        </is>
      </c>
      <c r="G263" s="41" t="inlineStr">
        <is>
          <t>59.9300</t>
        </is>
      </c>
      <c r="H263" s="41" t="inlineStr">
        <is>
          <t>202308</t>
        </is>
      </c>
      <c r="I263" s="41" t="inlineStr">
        <is>
          <t>26</t>
        </is>
      </c>
      <c r="J263" s="41" t="inlineStr">
        <is>
          <t>160,000</t>
        </is>
      </c>
      <c r="K263" s="41" t="inlineStr">
        <is>
          <t>501</t>
        </is>
      </c>
      <c r="L263" s="41" t="inlineStr">
        <is>
          <t>21</t>
        </is>
      </c>
      <c r="M263" s="41" t="inlineStr">
        <is>
          <t>-</t>
        </is>
      </c>
      <c r="N263" s="41" t="inlineStr">
        <is>
          <t>-</t>
        </is>
      </c>
      <c r="O263" s="41" t="inlineStr">
        <is>
          <t>1998</t>
        </is>
      </c>
      <c r="P263" s="42" t="inlineStr">
        <is>
          <t>서초대로74길 30</t>
        </is>
      </c>
      <c r="Q263" s="41" t="inlineStr">
        <is>
          <t>-</t>
        </is>
      </c>
      <c r="R263" s="42" t="inlineStr">
        <is>
          <t>중개거래</t>
        </is>
      </c>
      <c r="S263" s="42" t="inlineStr">
        <is>
          <t>서울 서초구</t>
        </is>
      </c>
      <c r="T263" s="41" t="inlineStr">
        <is>
          <t>24.02.13</t>
        </is>
      </c>
      <c r="U263" s="42" t="inlineStr">
        <is>
          <t>아파트</t>
        </is>
      </c>
    </row>
    <row r="264" hidden="1" ht="15" customHeight="1">
      <c r="A264" s="41" t="n">
        <v>260</v>
      </c>
      <c r="B264" s="42" t="inlineStr">
        <is>
          <t>서울특별시 서초구 서초동</t>
        </is>
      </c>
      <c r="C264" s="41" t="inlineStr">
        <is>
          <t>1333</t>
        </is>
      </c>
      <c r="D264" s="41" t="inlineStr">
        <is>
          <t>1333</t>
        </is>
      </c>
      <c r="E264" s="41" t="inlineStr">
        <is>
          <t>0000</t>
        </is>
      </c>
      <c r="F264" s="42" t="inlineStr">
        <is>
          <t>신동아아파트(1차)</t>
        </is>
      </c>
      <c r="G264" s="41" t="inlineStr">
        <is>
          <t>75.8600</t>
        </is>
      </c>
      <c r="H264" s="41" t="inlineStr">
        <is>
          <t>202308</t>
        </is>
      </c>
      <c r="I264" s="41" t="inlineStr">
        <is>
          <t>26</t>
        </is>
      </c>
      <c r="J264" s="41" t="inlineStr">
        <is>
          <t>180,000</t>
        </is>
      </c>
      <c r="K264" s="41" t="inlineStr">
        <is>
          <t>1</t>
        </is>
      </c>
      <c r="L264" s="41" t="inlineStr">
        <is>
          <t>9</t>
        </is>
      </c>
      <c r="M264" s="41" t="inlineStr">
        <is>
          <t>-</t>
        </is>
      </c>
      <c r="N264" s="41" t="inlineStr">
        <is>
          <t>-</t>
        </is>
      </c>
      <c r="O264" s="41" t="inlineStr">
        <is>
          <t>1978</t>
        </is>
      </c>
      <c r="P264" s="42" t="inlineStr">
        <is>
          <t>사임당로 137</t>
        </is>
      </c>
      <c r="Q264" s="41" t="inlineStr">
        <is>
          <t>-</t>
        </is>
      </c>
      <c r="R264" s="42" t="inlineStr">
        <is>
          <t>중개거래</t>
        </is>
      </c>
      <c r="S264" s="42" t="inlineStr">
        <is>
          <t>서울 서초구</t>
        </is>
      </c>
      <c r="T264" s="41" t="inlineStr">
        <is>
          <t>23.11.23</t>
        </is>
      </c>
      <c r="U264" s="42" t="inlineStr">
        <is>
          <t>아파트</t>
        </is>
      </c>
    </row>
    <row r="265" hidden="1" ht="15" customHeight="1">
      <c r="A265" s="41" t="n">
        <v>261</v>
      </c>
      <c r="B265" s="42" t="inlineStr">
        <is>
          <t>서울특별시 서초구 서초동</t>
        </is>
      </c>
      <c r="C265" s="41" t="inlineStr">
        <is>
          <t>1333</t>
        </is>
      </c>
      <c r="D265" s="41" t="inlineStr">
        <is>
          <t>1333</t>
        </is>
      </c>
      <c r="E265" s="41" t="inlineStr">
        <is>
          <t>0000</t>
        </is>
      </c>
      <c r="F265" s="42" t="inlineStr">
        <is>
          <t>신동아아파트(1차)</t>
        </is>
      </c>
      <c r="G265" s="41" t="inlineStr">
        <is>
          <t>102.2100</t>
        </is>
      </c>
      <c r="H265" s="41" t="inlineStr">
        <is>
          <t>202308</t>
        </is>
      </c>
      <c r="I265" s="41" t="inlineStr">
        <is>
          <t>26</t>
        </is>
      </c>
      <c r="J265" s="41" t="inlineStr">
        <is>
          <t>223,800</t>
        </is>
      </c>
      <c r="K265" s="41" t="inlineStr">
        <is>
          <t>5</t>
        </is>
      </c>
      <c r="L265" s="41" t="inlineStr">
        <is>
          <t>3</t>
        </is>
      </c>
      <c r="M265" s="41" t="inlineStr">
        <is>
          <t>-</t>
        </is>
      </c>
      <c r="N265" s="41" t="inlineStr">
        <is>
          <t>-</t>
        </is>
      </c>
      <c r="O265" s="41" t="inlineStr">
        <is>
          <t>1978</t>
        </is>
      </c>
      <c r="P265" s="42" t="inlineStr">
        <is>
          <t>사임당로 130</t>
        </is>
      </c>
      <c r="Q265" s="41" t="inlineStr">
        <is>
          <t>-</t>
        </is>
      </c>
      <c r="R265" s="42" t="inlineStr">
        <is>
          <t>중개거래</t>
        </is>
      </c>
      <c r="S265" s="42" t="inlineStr">
        <is>
          <t>서울 서초구</t>
        </is>
      </c>
      <c r="T265" s="41" t="inlineStr">
        <is>
          <t>23.11.16</t>
        </is>
      </c>
      <c r="U265" s="42" t="inlineStr">
        <is>
          <t>아파트</t>
        </is>
      </c>
    </row>
    <row r="266" hidden="1" ht="15" customHeight="1">
      <c r="A266" s="41" t="n">
        <v>262</v>
      </c>
      <c r="B266" s="42" t="inlineStr">
        <is>
          <t>서울특별시 서초구 서초동</t>
        </is>
      </c>
      <c r="C266" s="41" t="inlineStr">
        <is>
          <t>1301-6</t>
        </is>
      </c>
      <c r="D266" s="41" t="inlineStr">
        <is>
          <t>1301</t>
        </is>
      </c>
      <c r="E266" s="41" t="inlineStr">
        <is>
          <t>0006</t>
        </is>
      </c>
      <c r="F266" s="42" t="inlineStr">
        <is>
          <t>래미안서초스위트</t>
        </is>
      </c>
      <c r="G266" s="41" t="inlineStr">
        <is>
          <t>95.8079</t>
        </is>
      </c>
      <c r="H266" s="41" t="inlineStr">
        <is>
          <t>202308</t>
        </is>
      </c>
      <c r="I266" s="41" t="inlineStr">
        <is>
          <t>26</t>
        </is>
      </c>
      <c r="J266" s="41" t="inlineStr">
        <is>
          <t>250,000</t>
        </is>
      </c>
      <c r="K266" s="41" t="inlineStr">
        <is>
          <t>103</t>
        </is>
      </c>
      <c r="L266" s="41" t="inlineStr">
        <is>
          <t>12</t>
        </is>
      </c>
      <c r="M266" s="41" t="inlineStr">
        <is>
          <t>-</t>
        </is>
      </c>
      <c r="N266" s="41" t="inlineStr">
        <is>
          <t>-</t>
        </is>
      </c>
      <c r="O266" s="41" t="inlineStr">
        <is>
          <t>2009</t>
        </is>
      </c>
      <c r="P266" s="42" t="inlineStr">
        <is>
          <t>서운로 221</t>
        </is>
      </c>
      <c r="Q266" s="41" t="inlineStr">
        <is>
          <t>-</t>
        </is>
      </c>
      <c r="R266" s="42" t="inlineStr">
        <is>
          <t>중개거래</t>
        </is>
      </c>
      <c r="S266" s="42" t="inlineStr">
        <is>
          <t>서울 서초구</t>
        </is>
      </c>
      <c r="T266" s="41" t="inlineStr">
        <is>
          <t>23.11.10</t>
        </is>
      </c>
      <c r="U266" s="42" t="inlineStr">
        <is>
          <t>아파트</t>
        </is>
      </c>
    </row>
    <row r="267" hidden="1" ht="15" customHeight="1">
      <c r="A267" s="41" t="n">
        <v>263</v>
      </c>
      <c r="B267" s="42" t="inlineStr">
        <is>
          <t>서울특별시 서초구 서초동</t>
        </is>
      </c>
      <c r="C267" s="41" t="inlineStr">
        <is>
          <t>1648-2</t>
        </is>
      </c>
      <c r="D267" s="41" t="inlineStr">
        <is>
          <t>1648</t>
        </is>
      </c>
      <c r="E267" s="41" t="inlineStr">
        <is>
          <t>0002</t>
        </is>
      </c>
      <c r="F267" s="42" t="inlineStr">
        <is>
          <t>서초현대</t>
        </is>
      </c>
      <c r="G267" s="41" t="inlineStr">
        <is>
          <t>53.0100</t>
        </is>
      </c>
      <c r="H267" s="41" t="inlineStr">
        <is>
          <t>202308</t>
        </is>
      </c>
      <c r="I267" s="41" t="inlineStr">
        <is>
          <t>26</t>
        </is>
      </c>
      <c r="J267" s="41" t="inlineStr">
        <is>
          <t>125,000</t>
        </is>
      </c>
      <c r="K267" s="41" t="inlineStr">
        <is>
          <t>102</t>
        </is>
      </c>
      <c r="L267" s="41" t="inlineStr">
        <is>
          <t>9</t>
        </is>
      </c>
      <c r="M267" s="41" t="inlineStr">
        <is>
          <t>-</t>
        </is>
      </c>
      <c r="N267" s="41" t="inlineStr">
        <is>
          <t>-</t>
        </is>
      </c>
      <c r="O267" s="41" t="inlineStr">
        <is>
          <t>1999</t>
        </is>
      </c>
      <c r="P267" s="42" t="inlineStr">
        <is>
          <t>사임당로19길 10</t>
        </is>
      </c>
      <c r="Q267" s="41" t="inlineStr">
        <is>
          <t>-</t>
        </is>
      </c>
      <c r="R267" s="42" t="inlineStr">
        <is>
          <t>중개거래</t>
        </is>
      </c>
      <c r="S267" s="42" t="inlineStr">
        <is>
          <t>서울 서초구</t>
        </is>
      </c>
      <c r="T267" s="41" t="inlineStr">
        <is>
          <t>23.11.20</t>
        </is>
      </c>
      <c r="U267" s="42" t="inlineStr">
        <is>
          <t>아파트</t>
        </is>
      </c>
    </row>
    <row r="268" hidden="1" ht="15" customHeight="1">
      <c r="A268" s="41" t="n">
        <v>264</v>
      </c>
      <c r="B268" s="42" t="inlineStr">
        <is>
          <t>서울특별시 서초구 서초동</t>
        </is>
      </c>
      <c r="C268" s="41" t="inlineStr">
        <is>
          <t>1757</t>
        </is>
      </c>
      <c r="D268" s="41" t="inlineStr">
        <is>
          <t>1757</t>
        </is>
      </c>
      <c r="E268" s="41" t="inlineStr">
        <is>
          <t>0000</t>
        </is>
      </c>
      <c r="F268" s="42" t="inlineStr">
        <is>
          <t>서초그랑자이</t>
        </is>
      </c>
      <c r="G268" s="41" t="inlineStr">
        <is>
          <t>59.9800</t>
        </is>
      </c>
      <c r="H268" s="41" t="inlineStr">
        <is>
          <t>202308</t>
        </is>
      </c>
      <c r="I268" s="41" t="inlineStr">
        <is>
          <t>26</t>
        </is>
      </c>
      <c r="J268" s="41" t="inlineStr">
        <is>
          <t>227,000</t>
        </is>
      </c>
      <c r="K268" s="41" t="inlineStr">
        <is>
          <t>103동</t>
        </is>
      </c>
      <c r="L268" s="41" t="inlineStr">
        <is>
          <t>30</t>
        </is>
      </c>
      <c r="M268" s="41" t="inlineStr">
        <is>
          <t>-</t>
        </is>
      </c>
      <c r="N268" s="41" t="inlineStr">
        <is>
          <t>-</t>
        </is>
      </c>
      <c r="O268" s="41" t="inlineStr">
        <is>
          <t>2021</t>
        </is>
      </c>
      <c r="P268" s="42" t="inlineStr">
        <is>
          <t>효령로 391</t>
        </is>
      </c>
      <c r="Q268" s="41" t="inlineStr">
        <is>
          <t>-</t>
        </is>
      </c>
      <c r="R268" s="42" t="inlineStr">
        <is>
          <t>중개거래</t>
        </is>
      </c>
      <c r="S268" s="42" t="inlineStr">
        <is>
          <t>서울 서초구</t>
        </is>
      </c>
      <c r="T268" s="41" t="inlineStr">
        <is>
          <t>24.01.30</t>
        </is>
      </c>
      <c r="U268" s="42" t="inlineStr">
        <is>
          <t>아파트</t>
        </is>
      </c>
    </row>
    <row r="269" hidden="1" ht="15" customHeight="1">
      <c r="A269" s="41" t="n">
        <v>265</v>
      </c>
      <c r="B269" s="42" t="inlineStr">
        <is>
          <t>서울특별시 서초구 서초동</t>
        </is>
      </c>
      <c r="C269" s="41" t="inlineStr">
        <is>
          <t>1344-13</t>
        </is>
      </c>
      <c r="D269" s="41" t="inlineStr">
        <is>
          <t>1344</t>
        </is>
      </c>
      <c r="E269" s="41" t="inlineStr">
        <is>
          <t>0013</t>
        </is>
      </c>
      <c r="F269" s="42" t="inlineStr">
        <is>
          <t>서초트라팰리스</t>
        </is>
      </c>
      <c r="G269" s="41" t="inlineStr">
        <is>
          <t>73.4200</t>
        </is>
      </c>
      <c r="H269" s="41" t="inlineStr">
        <is>
          <t>202308</t>
        </is>
      </c>
      <c r="I269" s="41" t="inlineStr">
        <is>
          <t>25</t>
        </is>
      </c>
      <c r="J269" s="41" t="inlineStr">
        <is>
          <t>117,500</t>
        </is>
      </c>
      <c r="K269" s="41" t="inlineStr">
        <is>
          <t>B</t>
        </is>
      </c>
      <c r="L269" s="41" t="inlineStr">
        <is>
          <t>8</t>
        </is>
      </c>
      <c r="M269" s="41" t="inlineStr">
        <is>
          <t>-</t>
        </is>
      </c>
      <c r="N269" s="41" t="inlineStr">
        <is>
          <t>-</t>
        </is>
      </c>
      <c r="O269" s="41" t="inlineStr">
        <is>
          <t>2005</t>
        </is>
      </c>
      <c r="P269" s="42" t="inlineStr">
        <is>
          <t>효령로72길 57</t>
        </is>
      </c>
      <c r="Q269" s="41" t="inlineStr">
        <is>
          <t>-</t>
        </is>
      </c>
      <c r="R269" s="42" t="inlineStr">
        <is>
          <t>중개거래</t>
        </is>
      </c>
      <c r="S269" s="42" t="inlineStr">
        <is>
          <t>서울 서초구</t>
        </is>
      </c>
      <c r="T269" s="41" t="inlineStr">
        <is>
          <t>23.12.01</t>
        </is>
      </c>
      <c r="U269" s="42" t="inlineStr">
        <is>
          <t>아파트</t>
        </is>
      </c>
    </row>
    <row r="270" hidden="1" ht="15" customHeight="1">
      <c r="A270" s="41" t="n">
        <v>266</v>
      </c>
      <c r="B270" s="42" t="inlineStr">
        <is>
          <t>서울특별시 서초구 서초동</t>
        </is>
      </c>
      <c r="C270" s="41" t="inlineStr">
        <is>
          <t>1330</t>
        </is>
      </c>
      <c r="D270" s="41" t="inlineStr">
        <is>
          <t>1330</t>
        </is>
      </c>
      <c r="E270" s="41" t="inlineStr">
        <is>
          <t>0000</t>
        </is>
      </c>
      <c r="F270" s="42" t="inlineStr">
        <is>
          <t>서초동삼성쉐르빌2</t>
        </is>
      </c>
      <c r="G270" s="41" t="inlineStr">
        <is>
          <t>35.1700</t>
        </is>
      </c>
      <c r="H270" s="41" t="inlineStr">
        <is>
          <t>202308</t>
        </is>
      </c>
      <c r="I270" s="41" t="inlineStr">
        <is>
          <t>24</t>
        </is>
      </c>
      <c r="J270" s="41" t="inlineStr">
        <is>
          <t>30,000</t>
        </is>
      </c>
      <c r="K270" s="41" t="inlineStr">
        <is>
          <t>-</t>
        </is>
      </c>
      <c r="L270" s="41" t="inlineStr">
        <is>
          <t>7</t>
        </is>
      </c>
      <c r="M270" s="41" t="inlineStr">
        <is>
          <t>-</t>
        </is>
      </c>
      <c r="N270" s="41" t="inlineStr">
        <is>
          <t>-</t>
        </is>
      </c>
      <c r="O270" s="41" t="inlineStr">
        <is>
          <t>2002</t>
        </is>
      </c>
      <c r="P270" s="42" t="inlineStr">
        <is>
          <t>강남대로53길 11</t>
        </is>
      </c>
      <c r="Q270" s="41" t="inlineStr">
        <is>
          <t>20230926</t>
        </is>
      </c>
      <c r="R270" s="42" t="inlineStr">
        <is>
          <t>중개거래</t>
        </is>
      </c>
      <c r="S270" s="42" t="inlineStr">
        <is>
          <t>서울 강남구 서울 서초구</t>
        </is>
      </c>
      <c r="T270" s="41" t="inlineStr">
        <is>
          <t>-</t>
        </is>
      </c>
      <c r="U270" s="42" t="inlineStr">
        <is>
          <t>아파트</t>
        </is>
      </c>
    </row>
    <row r="271" hidden="1" ht="15" customHeight="1">
      <c r="A271" s="41" t="n">
        <v>267</v>
      </c>
      <c r="B271" s="42" t="inlineStr">
        <is>
          <t>서울특별시 서초구 서초동</t>
        </is>
      </c>
      <c r="C271" s="41" t="inlineStr">
        <is>
          <t>1685</t>
        </is>
      </c>
      <c r="D271" s="41" t="inlineStr">
        <is>
          <t>1685</t>
        </is>
      </c>
      <c r="E271" s="41" t="inlineStr">
        <is>
          <t>0000</t>
        </is>
      </c>
      <c r="F271" s="42" t="inlineStr">
        <is>
          <t>삼풍아파트</t>
        </is>
      </c>
      <c r="G271" s="41" t="inlineStr">
        <is>
          <t>130.2300</t>
        </is>
      </c>
      <c r="H271" s="41" t="inlineStr">
        <is>
          <t>202308</t>
        </is>
      </c>
      <c r="I271" s="41" t="inlineStr">
        <is>
          <t>24</t>
        </is>
      </c>
      <c r="J271" s="41" t="inlineStr">
        <is>
          <t>320,000</t>
        </is>
      </c>
      <c r="K271" s="41" t="inlineStr">
        <is>
          <t>11</t>
        </is>
      </c>
      <c r="L271" s="41" t="inlineStr">
        <is>
          <t>4</t>
        </is>
      </c>
      <c r="M271" s="41" t="inlineStr">
        <is>
          <t>-</t>
        </is>
      </c>
      <c r="N271" s="41" t="inlineStr">
        <is>
          <t>-</t>
        </is>
      </c>
      <c r="O271" s="41" t="inlineStr">
        <is>
          <t>1988</t>
        </is>
      </c>
      <c r="P271" s="42" t="inlineStr">
        <is>
          <t>서초중앙로 200</t>
        </is>
      </c>
      <c r="Q271" s="41" t="inlineStr">
        <is>
          <t>-</t>
        </is>
      </c>
      <c r="R271" s="42" t="inlineStr">
        <is>
          <t>중개거래</t>
        </is>
      </c>
      <c r="S271" s="42" t="inlineStr">
        <is>
          <t>서울 서초구</t>
        </is>
      </c>
      <c r="T271" s="41" t="inlineStr">
        <is>
          <t>24.01.08</t>
        </is>
      </c>
      <c r="U271" s="42" t="inlineStr">
        <is>
          <t>아파트</t>
        </is>
      </c>
    </row>
    <row r="272" hidden="1" ht="15" customHeight="1">
      <c r="A272" s="41" t="n">
        <v>268</v>
      </c>
      <c r="B272" s="42" t="inlineStr">
        <is>
          <t>서울특별시 서초구 서초동</t>
        </is>
      </c>
      <c r="C272" s="41" t="inlineStr">
        <is>
          <t>1362-10</t>
        </is>
      </c>
      <c r="D272" s="41" t="inlineStr">
        <is>
          <t>1362</t>
        </is>
      </c>
      <c r="E272" s="41" t="inlineStr">
        <is>
          <t>0010</t>
        </is>
      </c>
      <c r="F272" s="42" t="inlineStr">
        <is>
          <t>서초노블레스아파트</t>
        </is>
      </c>
      <c r="G272" s="41" t="inlineStr">
        <is>
          <t>28.8500</t>
        </is>
      </c>
      <c r="H272" s="41" t="inlineStr">
        <is>
          <t>202308</t>
        </is>
      </c>
      <c r="I272" s="41" t="inlineStr">
        <is>
          <t>24</t>
        </is>
      </c>
      <c r="J272" s="41" t="inlineStr">
        <is>
          <t>50,500</t>
        </is>
      </c>
      <c r="K272" s="41" t="inlineStr">
        <is>
          <t>-</t>
        </is>
      </c>
      <c r="L272" s="41" t="inlineStr">
        <is>
          <t>14</t>
        </is>
      </c>
      <c r="M272" s="41" t="inlineStr">
        <is>
          <t>-</t>
        </is>
      </c>
      <c r="N272" s="41" t="inlineStr">
        <is>
          <t>-</t>
        </is>
      </c>
      <c r="O272" s="41" t="inlineStr">
        <is>
          <t>2019</t>
        </is>
      </c>
      <c r="P272" s="42" t="inlineStr">
        <is>
          <t>강남대로39길 15-11</t>
        </is>
      </c>
      <c r="Q272" s="41" t="inlineStr">
        <is>
          <t>-</t>
        </is>
      </c>
      <c r="R272" s="42" t="inlineStr">
        <is>
          <t>직거래</t>
        </is>
      </c>
      <c r="S272" s="41" t="inlineStr">
        <is>
          <t>-</t>
        </is>
      </c>
      <c r="T272" s="41" t="inlineStr">
        <is>
          <t>23.08.24</t>
        </is>
      </c>
      <c r="U272" s="42" t="inlineStr">
        <is>
          <t>아파트</t>
        </is>
      </c>
    </row>
    <row r="273" hidden="1" ht="15" customHeight="1">
      <c r="A273" s="41" t="n">
        <v>269</v>
      </c>
      <c r="B273" s="42" t="inlineStr">
        <is>
          <t>서울특별시 서초구 서초동</t>
        </is>
      </c>
      <c r="C273" s="41" t="inlineStr">
        <is>
          <t>1445-14</t>
        </is>
      </c>
      <c r="D273" s="41" t="inlineStr">
        <is>
          <t>1445</t>
        </is>
      </c>
      <c r="E273" s="41" t="inlineStr">
        <is>
          <t>0014</t>
        </is>
      </c>
      <c r="F273" s="42" t="inlineStr">
        <is>
          <t>더샵서초</t>
        </is>
      </c>
      <c r="G273" s="41" t="inlineStr">
        <is>
          <t>136.0200</t>
        </is>
      </c>
      <c r="H273" s="41" t="inlineStr">
        <is>
          <t>202308</t>
        </is>
      </c>
      <c r="I273" s="41" t="inlineStr">
        <is>
          <t>24</t>
        </is>
      </c>
      <c r="J273" s="41" t="inlineStr">
        <is>
          <t>235,000</t>
        </is>
      </c>
      <c r="K273" s="41" t="inlineStr">
        <is>
          <t>101</t>
        </is>
      </c>
      <c r="L273" s="41" t="inlineStr">
        <is>
          <t>24</t>
        </is>
      </c>
      <c r="M273" s="41" t="inlineStr">
        <is>
          <t>-</t>
        </is>
      </c>
      <c r="N273" s="41" t="inlineStr">
        <is>
          <t>-</t>
        </is>
      </c>
      <c r="O273" s="41" t="inlineStr">
        <is>
          <t>2006</t>
        </is>
      </c>
      <c r="P273" s="42" t="inlineStr">
        <is>
          <t>서초중앙로2길 21</t>
        </is>
      </c>
      <c r="Q273" s="41" t="inlineStr">
        <is>
          <t>-</t>
        </is>
      </c>
      <c r="R273" s="42" t="inlineStr">
        <is>
          <t>중개거래</t>
        </is>
      </c>
      <c r="S273" s="42" t="inlineStr">
        <is>
          <t>서울 서초구</t>
        </is>
      </c>
      <c r="T273" s="41" t="inlineStr">
        <is>
          <t>24.02.15</t>
        </is>
      </c>
      <c r="U273" s="42" t="inlineStr">
        <is>
          <t>아파트</t>
        </is>
      </c>
    </row>
    <row r="274" hidden="1" ht="15" customHeight="1">
      <c r="A274" s="41" t="n">
        <v>270</v>
      </c>
      <c r="B274" s="42" t="inlineStr">
        <is>
          <t>서울특별시 서초구 서초동</t>
        </is>
      </c>
      <c r="C274" s="41" t="inlineStr">
        <is>
          <t>1362</t>
        </is>
      </c>
      <c r="D274" s="41" t="inlineStr">
        <is>
          <t>1362</t>
        </is>
      </c>
      <c r="E274" s="41" t="inlineStr">
        <is>
          <t>0000</t>
        </is>
      </c>
      <c r="F274" s="42" t="inlineStr">
        <is>
          <t>두산위브(1362)</t>
        </is>
      </c>
      <c r="G274" s="41" t="inlineStr">
        <is>
          <t>73.0800</t>
        </is>
      </c>
      <c r="H274" s="41" t="inlineStr">
        <is>
          <t>202308</t>
        </is>
      </c>
      <c r="I274" s="41" t="inlineStr">
        <is>
          <t>23</t>
        </is>
      </c>
      <c r="J274" s="41" t="inlineStr">
        <is>
          <t>115,000</t>
        </is>
      </c>
      <c r="K274" s="41" t="inlineStr">
        <is>
          <t>-</t>
        </is>
      </c>
      <c r="L274" s="41" t="inlineStr">
        <is>
          <t>7</t>
        </is>
      </c>
      <c r="M274" s="41" t="inlineStr">
        <is>
          <t>-</t>
        </is>
      </c>
      <c r="N274" s="41" t="inlineStr">
        <is>
          <t>-</t>
        </is>
      </c>
      <c r="O274" s="41" t="inlineStr">
        <is>
          <t>2005</t>
        </is>
      </c>
      <c r="P274" s="42" t="inlineStr">
        <is>
          <t>강남대로39길 5</t>
        </is>
      </c>
      <c r="Q274" s="41" t="inlineStr">
        <is>
          <t>-</t>
        </is>
      </c>
      <c r="R274" s="42" t="inlineStr">
        <is>
          <t>중개거래</t>
        </is>
      </c>
      <c r="S274" s="42" t="inlineStr">
        <is>
          <t>서울 강남구</t>
        </is>
      </c>
      <c r="T274" s="41" t="inlineStr">
        <is>
          <t>23.12.01</t>
        </is>
      </c>
      <c r="U274" s="42" t="inlineStr">
        <is>
          <t>아파트</t>
        </is>
      </c>
    </row>
    <row r="275" hidden="1" ht="15" customHeight="1">
      <c r="A275" s="41" t="n">
        <v>271</v>
      </c>
      <c r="B275" s="42" t="inlineStr">
        <is>
          <t>서울특별시 서초구 서초동</t>
        </is>
      </c>
      <c r="C275" s="41" t="inlineStr">
        <is>
          <t>1311-10</t>
        </is>
      </c>
      <c r="D275" s="41" t="inlineStr">
        <is>
          <t>1311</t>
        </is>
      </c>
      <c r="E275" s="41" t="inlineStr">
        <is>
          <t>0010</t>
        </is>
      </c>
      <c r="F275" s="42" t="inlineStr">
        <is>
          <t>서초푸르지오써밋</t>
        </is>
      </c>
      <c r="G275" s="41" t="inlineStr">
        <is>
          <t>59.9200</t>
        </is>
      </c>
      <c r="H275" s="41" t="inlineStr">
        <is>
          <t>202308</t>
        </is>
      </c>
      <c r="I275" s="41" t="inlineStr">
        <is>
          <t>23</t>
        </is>
      </c>
      <c r="J275" s="41" t="inlineStr">
        <is>
          <t>211,000</t>
        </is>
      </c>
      <c r="K275" s="41" t="inlineStr">
        <is>
          <t>102</t>
        </is>
      </c>
      <c r="L275" s="41" t="inlineStr">
        <is>
          <t>23</t>
        </is>
      </c>
      <c r="M275" s="41" t="inlineStr">
        <is>
          <t>-</t>
        </is>
      </c>
      <c r="N275" s="41" t="inlineStr">
        <is>
          <t>-</t>
        </is>
      </c>
      <c r="O275" s="41" t="inlineStr">
        <is>
          <t>2017</t>
        </is>
      </c>
      <c r="P275" s="42" t="inlineStr">
        <is>
          <t>서운로 201</t>
        </is>
      </c>
      <c r="Q275" s="41" t="inlineStr">
        <is>
          <t>-</t>
        </is>
      </c>
      <c r="R275" s="42" t="inlineStr">
        <is>
          <t>중개거래</t>
        </is>
      </c>
      <c r="S275" s="42" t="inlineStr">
        <is>
          <t>서울 서초구</t>
        </is>
      </c>
      <c r="T275" s="41" t="inlineStr">
        <is>
          <t>23.11.10</t>
        </is>
      </c>
      <c r="U275" s="42" t="inlineStr">
        <is>
          <t>아파트</t>
        </is>
      </c>
    </row>
    <row r="276" hidden="1" ht="15" customHeight="1">
      <c r="A276" s="41" t="n">
        <v>272</v>
      </c>
      <c r="B276" s="42" t="inlineStr">
        <is>
          <t>서울특별시 서초구 서초동</t>
        </is>
      </c>
      <c r="C276" s="41" t="inlineStr">
        <is>
          <t>1333</t>
        </is>
      </c>
      <c r="D276" s="41" t="inlineStr">
        <is>
          <t>1333</t>
        </is>
      </c>
      <c r="E276" s="41" t="inlineStr">
        <is>
          <t>0000</t>
        </is>
      </c>
      <c r="F276" s="42" t="inlineStr">
        <is>
          <t>신동아아파트(1차)</t>
        </is>
      </c>
      <c r="G276" s="41" t="inlineStr">
        <is>
          <t>132.1000</t>
        </is>
      </c>
      <c r="H276" s="41" t="inlineStr">
        <is>
          <t>202308</t>
        </is>
      </c>
      <c r="I276" s="41" t="inlineStr">
        <is>
          <t>23</t>
        </is>
      </c>
      <c r="J276" s="41" t="inlineStr">
        <is>
          <t>270,000</t>
        </is>
      </c>
      <c r="K276" s="41" t="inlineStr">
        <is>
          <t>2</t>
        </is>
      </c>
      <c r="L276" s="41" t="inlineStr">
        <is>
          <t>13</t>
        </is>
      </c>
      <c r="M276" s="41" t="inlineStr">
        <is>
          <t>-</t>
        </is>
      </c>
      <c r="N276" s="41" t="inlineStr">
        <is>
          <t>-</t>
        </is>
      </c>
      <c r="O276" s="41" t="inlineStr">
        <is>
          <t>1978</t>
        </is>
      </c>
      <c r="P276" s="42" t="inlineStr">
        <is>
          <t>사임당로 137</t>
        </is>
      </c>
      <c r="Q276" s="41" t="inlineStr">
        <is>
          <t>-</t>
        </is>
      </c>
      <c r="R276" s="42" t="inlineStr">
        <is>
          <t>중개거래</t>
        </is>
      </c>
      <c r="S276" s="42" t="inlineStr">
        <is>
          <t>서울 서초구</t>
        </is>
      </c>
      <c r="T276" s="41" t="inlineStr">
        <is>
          <t>23.10.24</t>
        </is>
      </c>
      <c r="U276" s="42" t="inlineStr">
        <is>
          <t>아파트</t>
        </is>
      </c>
    </row>
    <row r="277" hidden="1" ht="15" customHeight="1">
      <c r="A277" s="41" t="n">
        <v>273</v>
      </c>
      <c r="B277" s="42" t="inlineStr">
        <is>
          <t>서울특별시 서초구 서초동</t>
        </is>
      </c>
      <c r="C277" s="41" t="inlineStr">
        <is>
          <t>1333</t>
        </is>
      </c>
      <c r="D277" s="41" t="inlineStr">
        <is>
          <t>1333</t>
        </is>
      </c>
      <c r="E277" s="41" t="inlineStr">
        <is>
          <t>0000</t>
        </is>
      </c>
      <c r="F277" s="42" t="inlineStr">
        <is>
          <t>신동아아파트(1차)</t>
        </is>
      </c>
      <c r="G277" s="41" t="inlineStr">
        <is>
          <t>76.2100</t>
        </is>
      </c>
      <c r="H277" s="41" t="inlineStr">
        <is>
          <t>202308</t>
        </is>
      </c>
      <c r="I277" s="41" t="inlineStr">
        <is>
          <t>23</t>
        </is>
      </c>
      <c r="J277" s="41" t="inlineStr">
        <is>
          <t>178,000</t>
        </is>
      </c>
      <c r="K277" s="41" t="inlineStr">
        <is>
          <t>3</t>
        </is>
      </c>
      <c r="L277" s="41" t="inlineStr">
        <is>
          <t>5</t>
        </is>
      </c>
      <c r="M277" s="41" t="inlineStr">
        <is>
          <t>-</t>
        </is>
      </c>
      <c r="N277" s="41" t="inlineStr">
        <is>
          <t>-</t>
        </is>
      </c>
      <c r="O277" s="41" t="inlineStr">
        <is>
          <t>1978</t>
        </is>
      </c>
      <c r="P277" s="42" t="inlineStr">
        <is>
          <t>사임당로 137</t>
        </is>
      </c>
      <c r="Q277" s="41" t="inlineStr">
        <is>
          <t>-</t>
        </is>
      </c>
      <c r="R277" s="42" t="inlineStr">
        <is>
          <t>중개거래</t>
        </is>
      </c>
      <c r="S277" s="42" t="inlineStr">
        <is>
          <t>서울 서초구</t>
        </is>
      </c>
      <c r="T277" s="41" t="inlineStr">
        <is>
          <t>23.11.15</t>
        </is>
      </c>
      <c r="U277" s="42" t="inlineStr">
        <is>
          <t>아파트</t>
        </is>
      </c>
    </row>
    <row r="278" hidden="1" ht="15" customHeight="1">
      <c r="A278" s="41" t="n">
        <v>274</v>
      </c>
      <c r="B278" s="42" t="inlineStr">
        <is>
          <t>서울특별시 서초구 서초동</t>
        </is>
      </c>
      <c r="C278" s="41" t="inlineStr">
        <is>
          <t>1685</t>
        </is>
      </c>
      <c r="D278" s="41" t="inlineStr">
        <is>
          <t>1685</t>
        </is>
      </c>
      <c r="E278" s="41" t="inlineStr">
        <is>
          <t>0000</t>
        </is>
      </c>
      <c r="F278" s="42" t="inlineStr">
        <is>
          <t>삼풍아파트</t>
        </is>
      </c>
      <c r="G278" s="41" t="inlineStr">
        <is>
          <t>163.8100</t>
        </is>
      </c>
      <c r="H278" s="41" t="inlineStr">
        <is>
          <t>202308</t>
        </is>
      </c>
      <c r="I278" s="41" t="inlineStr">
        <is>
          <t>23</t>
        </is>
      </c>
      <c r="J278" s="41" t="inlineStr">
        <is>
          <t>370,000</t>
        </is>
      </c>
      <c r="K278" s="41" t="inlineStr">
        <is>
          <t>23</t>
        </is>
      </c>
      <c r="L278" s="41" t="inlineStr">
        <is>
          <t>8</t>
        </is>
      </c>
      <c r="M278" s="41" t="inlineStr">
        <is>
          <t>-</t>
        </is>
      </c>
      <c r="N278" s="41" t="inlineStr">
        <is>
          <t>-</t>
        </is>
      </c>
      <c r="O278" s="41" t="inlineStr">
        <is>
          <t>1988</t>
        </is>
      </c>
      <c r="P278" s="42" t="inlineStr">
        <is>
          <t>서초중앙로 200</t>
        </is>
      </c>
      <c r="Q278" s="41" t="inlineStr">
        <is>
          <t>-</t>
        </is>
      </c>
      <c r="R278" s="42" t="inlineStr">
        <is>
          <t>중개거래</t>
        </is>
      </c>
      <c r="S278" s="42" t="inlineStr">
        <is>
          <t>서울 서초구</t>
        </is>
      </c>
      <c r="T278" s="41" t="inlineStr">
        <is>
          <t>23.11.09</t>
        </is>
      </c>
      <c r="U278" s="42" t="inlineStr">
        <is>
          <t>아파트</t>
        </is>
      </c>
    </row>
    <row r="279" hidden="1" ht="15" customHeight="1">
      <c r="A279" s="41" t="n">
        <v>275</v>
      </c>
      <c r="B279" s="42" t="inlineStr">
        <is>
          <t>서울특별시 서초구 서초동</t>
        </is>
      </c>
      <c r="C279" s="41" t="inlineStr">
        <is>
          <t>1347-20</t>
        </is>
      </c>
      <c r="D279" s="41" t="inlineStr">
        <is>
          <t>1347</t>
        </is>
      </c>
      <c r="E279" s="41" t="inlineStr">
        <is>
          <t>0020</t>
        </is>
      </c>
      <c r="F279" s="42" t="inlineStr">
        <is>
          <t>서초벽산블루밍</t>
        </is>
      </c>
      <c r="G279" s="41" t="inlineStr">
        <is>
          <t>84.3900</t>
        </is>
      </c>
      <c r="H279" s="41" t="inlineStr">
        <is>
          <t>202308</t>
        </is>
      </c>
      <c r="I279" s="41" t="inlineStr">
        <is>
          <t>22</t>
        </is>
      </c>
      <c r="J279" s="41" t="inlineStr">
        <is>
          <t>156,000</t>
        </is>
      </c>
      <c r="K279" s="41" t="inlineStr">
        <is>
          <t>101</t>
        </is>
      </c>
      <c r="L279" s="41" t="inlineStr">
        <is>
          <t>8</t>
        </is>
      </c>
      <c r="M279" s="41" t="inlineStr">
        <is>
          <t>-</t>
        </is>
      </c>
      <c r="N279" s="41" t="inlineStr">
        <is>
          <t>-</t>
        </is>
      </c>
      <c r="O279" s="41" t="inlineStr">
        <is>
          <t>2006</t>
        </is>
      </c>
      <c r="P279" s="42" t="inlineStr">
        <is>
          <t>효령로74길 56</t>
        </is>
      </c>
      <c r="Q279" s="41" t="inlineStr">
        <is>
          <t>-</t>
        </is>
      </c>
      <c r="R279" s="42" t="inlineStr">
        <is>
          <t>중개거래</t>
        </is>
      </c>
      <c r="S279" s="42" t="inlineStr">
        <is>
          <t>서울 강남구 서울 서초구</t>
        </is>
      </c>
      <c r="T279" s="41" t="inlineStr">
        <is>
          <t>23.11.21</t>
        </is>
      </c>
      <c r="U279" s="42" t="inlineStr">
        <is>
          <t>아파트</t>
        </is>
      </c>
    </row>
    <row r="280" hidden="1" ht="15" customHeight="1">
      <c r="A280" s="41" t="n">
        <v>276</v>
      </c>
      <c r="B280" s="42" t="inlineStr">
        <is>
          <t>서울특별시 서초구 서초동</t>
        </is>
      </c>
      <c r="C280" s="41" t="inlineStr">
        <is>
          <t>1326-17</t>
        </is>
      </c>
      <c r="D280" s="41" t="inlineStr">
        <is>
          <t>1326</t>
        </is>
      </c>
      <c r="E280" s="41" t="inlineStr">
        <is>
          <t>0017</t>
        </is>
      </c>
      <c r="F280" s="42" t="inlineStr">
        <is>
          <t>우성아파트</t>
        </is>
      </c>
      <c r="G280" s="41" t="inlineStr">
        <is>
          <t>59.9300</t>
        </is>
      </c>
      <c r="H280" s="41" t="inlineStr">
        <is>
          <t>202308</t>
        </is>
      </c>
      <c r="I280" s="41" t="inlineStr">
        <is>
          <t>22</t>
        </is>
      </c>
      <c r="J280" s="41" t="inlineStr">
        <is>
          <t>160,000</t>
        </is>
      </c>
      <c r="K280" s="41" t="inlineStr">
        <is>
          <t>501</t>
        </is>
      </c>
      <c r="L280" s="41" t="inlineStr">
        <is>
          <t>5</t>
        </is>
      </c>
      <c r="M280" s="41" t="inlineStr">
        <is>
          <t>-</t>
        </is>
      </c>
      <c r="N280" s="41" t="inlineStr">
        <is>
          <t>-</t>
        </is>
      </c>
      <c r="O280" s="41" t="inlineStr">
        <is>
          <t>1998</t>
        </is>
      </c>
      <c r="P280" s="42" t="inlineStr">
        <is>
          <t>서초대로74길 30</t>
        </is>
      </c>
      <c r="Q280" s="41" t="inlineStr">
        <is>
          <t>-</t>
        </is>
      </c>
      <c r="R280" s="42" t="inlineStr">
        <is>
          <t>중개거래</t>
        </is>
      </c>
      <c r="S280" s="42" t="inlineStr">
        <is>
          <t>서울 서초구</t>
        </is>
      </c>
      <c r="T280" s="41" t="inlineStr">
        <is>
          <t>23.11.15</t>
        </is>
      </c>
      <c r="U280" s="42" t="inlineStr">
        <is>
          <t>아파트</t>
        </is>
      </c>
    </row>
    <row r="281" hidden="1" ht="15" customHeight="1">
      <c r="A281" s="41" t="n">
        <v>277</v>
      </c>
      <c r="B281" s="42" t="inlineStr">
        <is>
          <t>서울특별시 서초구 서초동</t>
        </is>
      </c>
      <c r="C281" s="41" t="inlineStr">
        <is>
          <t>1333</t>
        </is>
      </c>
      <c r="D281" s="41" t="inlineStr">
        <is>
          <t>1333</t>
        </is>
      </c>
      <c r="E281" s="41" t="inlineStr">
        <is>
          <t>0000</t>
        </is>
      </c>
      <c r="F281" s="42" t="inlineStr">
        <is>
          <t>신동아아파트(1차)</t>
        </is>
      </c>
      <c r="G281" s="41" t="inlineStr">
        <is>
          <t>76.2100</t>
        </is>
      </c>
      <c r="H281" s="41" t="inlineStr">
        <is>
          <t>202308</t>
        </is>
      </c>
      <c r="I281" s="41" t="inlineStr">
        <is>
          <t>22</t>
        </is>
      </c>
      <c r="J281" s="41" t="inlineStr">
        <is>
          <t>174,000</t>
        </is>
      </c>
      <c r="K281" s="41" t="inlineStr">
        <is>
          <t>3</t>
        </is>
      </c>
      <c r="L281" s="41" t="inlineStr">
        <is>
          <t>6</t>
        </is>
      </c>
      <c r="M281" s="41" t="inlineStr">
        <is>
          <t>-</t>
        </is>
      </c>
      <c r="N281" s="41" t="inlineStr">
        <is>
          <t>-</t>
        </is>
      </c>
      <c r="O281" s="41" t="inlineStr">
        <is>
          <t>1978</t>
        </is>
      </c>
      <c r="P281" s="42" t="inlineStr">
        <is>
          <t>사임당로 137</t>
        </is>
      </c>
      <c r="Q281" s="41" t="inlineStr">
        <is>
          <t>-</t>
        </is>
      </c>
      <c r="R281" s="42" t="inlineStr">
        <is>
          <t>중개거래</t>
        </is>
      </c>
      <c r="S281" s="42" t="inlineStr">
        <is>
          <t>서울 서초구</t>
        </is>
      </c>
      <c r="T281" s="41" t="inlineStr">
        <is>
          <t>23.12.05</t>
        </is>
      </c>
      <c r="U281" s="42" t="inlineStr">
        <is>
          <t>아파트</t>
        </is>
      </c>
    </row>
    <row r="282" hidden="1" ht="15" customHeight="1">
      <c r="A282" s="41" t="n">
        <v>278</v>
      </c>
      <c r="B282" s="42" t="inlineStr">
        <is>
          <t>서울특별시 서초구 서초동</t>
        </is>
      </c>
      <c r="C282" s="41" t="inlineStr">
        <is>
          <t>1667-2</t>
        </is>
      </c>
      <c r="D282" s="41" t="inlineStr">
        <is>
          <t>1667</t>
        </is>
      </c>
      <c r="E282" s="41" t="inlineStr">
        <is>
          <t>0002</t>
        </is>
      </c>
      <c r="F282" s="42" t="inlineStr">
        <is>
          <t>서초예성그린캐슬</t>
        </is>
      </c>
      <c r="G282" s="41" t="inlineStr">
        <is>
          <t>105.4900</t>
        </is>
      </c>
      <c r="H282" s="41" t="inlineStr">
        <is>
          <t>202308</t>
        </is>
      </c>
      <c r="I282" s="41" t="inlineStr">
        <is>
          <t>20</t>
        </is>
      </c>
      <c r="J282" s="41" t="inlineStr">
        <is>
          <t>103,500</t>
        </is>
      </c>
      <c r="K282" s="41" t="inlineStr">
        <is>
          <t>-</t>
        </is>
      </c>
      <c r="L282" s="41" t="inlineStr">
        <is>
          <t>2</t>
        </is>
      </c>
      <c r="M282" s="41" t="inlineStr">
        <is>
          <t>-</t>
        </is>
      </c>
      <c r="N282" s="41" t="inlineStr">
        <is>
          <t>-</t>
        </is>
      </c>
      <c r="O282" s="41" t="inlineStr">
        <is>
          <t>2003</t>
        </is>
      </c>
      <c r="P282" s="42" t="inlineStr">
        <is>
          <t>서초대로58길 26</t>
        </is>
      </c>
      <c r="Q282" s="41" t="inlineStr">
        <is>
          <t>-</t>
        </is>
      </c>
      <c r="R282" s="42" t="inlineStr">
        <is>
          <t>중개거래</t>
        </is>
      </c>
      <c r="S282" s="42" t="inlineStr">
        <is>
          <t>서울 서초구</t>
        </is>
      </c>
      <c r="T282" s="41" t="inlineStr">
        <is>
          <t>24.04.16</t>
        </is>
      </c>
      <c r="U282" s="42" t="inlineStr">
        <is>
          <t>아파트</t>
        </is>
      </c>
    </row>
    <row r="283" hidden="1" ht="15" customHeight="1">
      <c r="A283" s="41" t="n">
        <v>279</v>
      </c>
      <c r="B283" s="42" t="inlineStr">
        <is>
          <t>서울특별시 서초구 서초동</t>
        </is>
      </c>
      <c r="C283" s="41" t="inlineStr">
        <is>
          <t>1312-3</t>
        </is>
      </c>
      <c r="D283" s="41" t="inlineStr">
        <is>
          <t>1312</t>
        </is>
      </c>
      <c r="E283" s="41" t="inlineStr">
        <is>
          <t>0003</t>
        </is>
      </c>
      <c r="F283" s="42" t="inlineStr">
        <is>
          <t>롯데캐슬클래식</t>
        </is>
      </c>
      <c r="G283" s="41" t="inlineStr">
        <is>
          <t>74.3000</t>
        </is>
      </c>
      <c r="H283" s="41" t="inlineStr">
        <is>
          <t>202308</t>
        </is>
      </c>
      <c r="I283" s="41" t="inlineStr">
        <is>
          <t>19</t>
        </is>
      </c>
      <c r="J283" s="41" t="inlineStr">
        <is>
          <t>200,000</t>
        </is>
      </c>
      <c r="K283" s="41" t="inlineStr">
        <is>
          <t>114</t>
        </is>
      </c>
      <c r="L283" s="41" t="inlineStr">
        <is>
          <t>9</t>
        </is>
      </c>
      <c r="M283" s="41" t="inlineStr">
        <is>
          <t>-</t>
        </is>
      </c>
      <c r="N283" s="41" t="inlineStr">
        <is>
          <t>-</t>
        </is>
      </c>
      <c r="O283" s="41" t="inlineStr">
        <is>
          <t>2006</t>
        </is>
      </c>
      <c r="P283" s="42" t="inlineStr">
        <is>
          <t>서운로 200</t>
        </is>
      </c>
      <c r="Q283" s="41" t="inlineStr">
        <is>
          <t>-</t>
        </is>
      </c>
      <c r="R283" s="42" t="inlineStr">
        <is>
          <t>중개거래</t>
        </is>
      </c>
      <c r="S283" s="42" t="inlineStr">
        <is>
          <t>서울 서초구</t>
        </is>
      </c>
      <c r="T283" s="41" t="inlineStr">
        <is>
          <t>23.09.22</t>
        </is>
      </c>
      <c r="U283" s="42" t="inlineStr">
        <is>
          <t>아파트</t>
        </is>
      </c>
    </row>
    <row r="284" hidden="1" ht="15" customHeight="1">
      <c r="A284" s="41" t="n">
        <v>280</v>
      </c>
      <c r="B284" s="42" t="inlineStr">
        <is>
          <t>서울특별시 서초구 서초동</t>
        </is>
      </c>
      <c r="C284" s="41" t="inlineStr">
        <is>
          <t>1671-5</t>
        </is>
      </c>
      <c r="D284" s="41" t="inlineStr">
        <is>
          <t>1671</t>
        </is>
      </c>
      <c r="E284" s="41" t="inlineStr">
        <is>
          <t>0005</t>
        </is>
      </c>
      <c r="F284" s="42" t="inlineStr">
        <is>
          <t>대림서초리시온</t>
        </is>
      </c>
      <c r="G284" s="41" t="inlineStr">
        <is>
          <t>45.7200</t>
        </is>
      </c>
      <c r="H284" s="41" t="inlineStr">
        <is>
          <t>202308</t>
        </is>
      </c>
      <c r="I284" s="41" t="inlineStr">
        <is>
          <t>19</t>
        </is>
      </c>
      <c r="J284" s="41" t="inlineStr">
        <is>
          <t>44,000</t>
        </is>
      </c>
      <c r="K284" s="41" t="inlineStr">
        <is>
          <t>-</t>
        </is>
      </c>
      <c r="L284" s="41" t="inlineStr">
        <is>
          <t>3</t>
        </is>
      </c>
      <c r="M284" s="41" t="inlineStr">
        <is>
          <t>-</t>
        </is>
      </c>
      <c r="N284" s="41" t="inlineStr">
        <is>
          <t>-</t>
        </is>
      </c>
      <c r="O284" s="41" t="inlineStr">
        <is>
          <t>2003</t>
        </is>
      </c>
      <c r="P284" s="42" t="inlineStr">
        <is>
          <t>서초중앙로22길 25</t>
        </is>
      </c>
      <c r="Q284" s="41" t="inlineStr">
        <is>
          <t>-</t>
        </is>
      </c>
      <c r="R284" s="42" t="inlineStr">
        <is>
          <t>중개거래</t>
        </is>
      </c>
      <c r="S284" s="42" t="inlineStr">
        <is>
          <t>서울 서초구</t>
        </is>
      </c>
      <c r="T284" s="41" t="inlineStr">
        <is>
          <t>23.11.01</t>
        </is>
      </c>
      <c r="U284" s="42" t="inlineStr">
        <is>
          <t>아파트</t>
        </is>
      </c>
    </row>
    <row r="285" hidden="1" ht="15" customHeight="1">
      <c r="A285" s="41" t="n">
        <v>281</v>
      </c>
      <c r="B285" s="42" t="inlineStr">
        <is>
          <t>서울특별시 서초구 서초동</t>
        </is>
      </c>
      <c r="C285" s="41" t="inlineStr">
        <is>
          <t>1757</t>
        </is>
      </c>
      <c r="D285" s="41" t="inlineStr">
        <is>
          <t>1757</t>
        </is>
      </c>
      <c r="E285" s="41" t="inlineStr">
        <is>
          <t>0000</t>
        </is>
      </c>
      <c r="F285" s="42" t="inlineStr">
        <is>
          <t>서초그랑자이</t>
        </is>
      </c>
      <c r="G285" s="41" t="inlineStr">
        <is>
          <t>100.3100</t>
        </is>
      </c>
      <c r="H285" s="41" t="inlineStr">
        <is>
          <t>202308</t>
        </is>
      </c>
      <c r="I285" s="41" t="inlineStr">
        <is>
          <t>19</t>
        </is>
      </c>
      <c r="J285" s="41" t="inlineStr">
        <is>
          <t>345,000</t>
        </is>
      </c>
      <c r="K285" s="41" t="inlineStr">
        <is>
          <t>108동</t>
        </is>
      </c>
      <c r="L285" s="41" t="inlineStr">
        <is>
          <t>24</t>
        </is>
      </c>
      <c r="M285" s="41" t="inlineStr">
        <is>
          <t>-</t>
        </is>
      </c>
      <c r="N285" s="41" t="inlineStr">
        <is>
          <t>-</t>
        </is>
      </c>
      <c r="O285" s="41" t="inlineStr">
        <is>
          <t>2021</t>
        </is>
      </c>
      <c r="P285" s="42" t="inlineStr">
        <is>
          <t>효령로 391</t>
        </is>
      </c>
      <c r="Q285" s="41" t="inlineStr">
        <is>
          <t>-</t>
        </is>
      </c>
      <c r="R285" s="42" t="inlineStr">
        <is>
          <t>중개거래</t>
        </is>
      </c>
      <c r="S285" s="42" t="inlineStr">
        <is>
          <t>서울 서초구</t>
        </is>
      </c>
      <c r="T285" s="41" t="inlineStr">
        <is>
          <t>23.08.28</t>
        </is>
      </c>
      <c r="U285" s="42" t="inlineStr">
        <is>
          <t>아파트</t>
        </is>
      </c>
    </row>
    <row r="286" hidden="1" ht="15" customHeight="1">
      <c r="A286" s="41" t="n">
        <v>282</v>
      </c>
      <c r="B286" s="42" t="inlineStr">
        <is>
          <t>서울특별시 서초구 서초동</t>
        </is>
      </c>
      <c r="C286" s="41" t="inlineStr">
        <is>
          <t>1311-10</t>
        </is>
      </c>
      <c r="D286" s="41" t="inlineStr">
        <is>
          <t>1311</t>
        </is>
      </c>
      <c r="E286" s="41" t="inlineStr">
        <is>
          <t>0010</t>
        </is>
      </c>
      <c r="F286" s="42" t="inlineStr">
        <is>
          <t>서초푸르지오써밋</t>
        </is>
      </c>
      <c r="G286" s="41" t="inlineStr">
        <is>
          <t>104.4000</t>
        </is>
      </c>
      <c r="H286" s="41" t="inlineStr">
        <is>
          <t>202308</t>
        </is>
      </c>
      <c r="I286" s="41" t="inlineStr">
        <is>
          <t>19</t>
        </is>
      </c>
      <c r="J286" s="41" t="inlineStr">
        <is>
          <t>286,000</t>
        </is>
      </c>
      <c r="K286" s="41" t="inlineStr">
        <is>
          <t>103</t>
        </is>
      </c>
      <c r="L286" s="41" t="inlineStr">
        <is>
          <t>4</t>
        </is>
      </c>
      <c r="M286" s="41" t="inlineStr">
        <is>
          <t>-</t>
        </is>
      </c>
      <c r="N286" s="41" t="inlineStr">
        <is>
          <t>-</t>
        </is>
      </c>
      <c r="O286" s="41" t="inlineStr">
        <is>
          <t>2017</t>
        </is>
      </c>
      <c r="P286" s="42" t="inlineStr">
        <is>
          <t>서운로 201</t>
        </is>
      </c>
      <c r="Q286" s="41" t="inlineStr">
        <is>
          <t>-</t>
        </is>
      </c>
      <c r="R286" s="42" t="inlineStr">
        <is>
          <t>중개거래</t>
        </is>
      </c>
      <c r="S286" s="42" t="inlineStr">
        <is>
          <t>서울 서초구</t>
        </is>
      </c>
      <c r="T286" s="41" t="inlineStr">
        <is>
          <t>24.02.27</t>
        </is>
      </c>
      <c r="U286" s="42" t="inlineStr">
        <is>
          <t>아파트</t>
        </is>
      </c>
    </row>
    <row r="287" hidden="1" ht="15" customHeight="1">
      <c r="A287" s="41" t="n">
        <v>283</v>
      </c>
      <c r="B287" s="42" t="inlineStr">
        <is>
          <t>서울특별시 서초구 서초동</t>
        </is>
      </c>
      <c r="C287" s="41" t="inlineStr">
        <is>
          <t>1656-4</t>
        </is>
      </c>
      <c r="D287" s="41" t="inlineStr">
        <is>
          <t>1656</t>
        </is>
      </c>
      <c r="E287" s="41" t="inlineStr">
        <is>
          <t>0004</t>
        </is>
      </c>
      <c r="F287" s="42" t="inlineStr">
        <is>
          <t>롯데캐슬메디치</t>
        </is>
      </c>
      <c r="G287" s="41" t="inlineStr">
        <is>
          <t>124.1800</t>
        </is>
      </c>
      <c r="H287" s="41" t="inlineStr">
        <is>
          <t>202308</t>
        </is>
      </c>
      <c r="I287" s="41" t="inlineStr">
        <is>
          <t>19</t>
        </is>
      </c>
      <c r="J287" s="41" t="inlineStr">
        <is>
          <t>183,000</t>
        </is>
      </c>
      <c r="K287" s="42" t="inlineStr">
        <is>
          <t>서초동롯데캐슬메디치</t>
        </is>
      </c>
      <c r="L287" s="41" t="inlineStr">
        <is>
          <t>11</t>
        </is>
      </c>
      <c r="M287" s="41" t="inlineStr">
        <is>
          <t>-</t>
        </is>
      </c>
      <c r="N287" s="41" t="inlineStr">
        <is>
          <t>-</t>
        </is>
      </c>
      <c r="O287" s="41" t="inlineStr">
        <is>
          <t>2010</t>
        </is>
      </c>
      <c r="P287" s="42" t="inlineStr">
        <is>
          <t>서초중앙로 110</t>
        </is>
      </c>
      <c r="Q287" s="41" t="inlineStr">
        <is>
          <t>-</t>
        </is>
      </c>
      <c r="R287" s="42" t="inlineStr">
        <is>
          <t>중개거래</t>
        </is>
      </c>
      <c r="S287" s="42" t="inlineStr">
        <is>
          <t>서울 강남구 서울 서초구</t>
        </is>
      </c>
      <c r="T287" s="41" t="inlineStr">
        <is>
          <t>23.12.29</t>
        </is>
      </c>
      <c r="U287" s="42" t="inlineStr">
        <is>
          <t>아파트</t>
        </is>
      </c>
    </row>
    <row r="288" hidden="1" ht="15" customHeight="1">
      <c r="A288" s="41" t="n">
        <v>284</v>
      </c>
      <c r="B288" s="42" t="inlineStr">
        <is>
          <t>서울특별시 서초구 서초동</t>
        </is>
      </c>
      <c r="C288" s="41" t="inlineStr">
        <is>
          <t>1327-29</t>
        </is>
      </c>
      <c r="D288" s="41" t="inlineStr">
        <is>
          <t>1327</t>
        </is>
      </c>
      <c r="E288" s="41" t="inlineStr">
        <is>
          <t>0029</t>
        </is>
      </c>
      <c r="F288" s="42" t="inlineStr">
        <is>
          <t>서초파라곤</t>
        </is>
      </c>
      <c r="G288" s="41" t="inlineStr">
        <is>
          <t>84.9800</t>
        </is>
      </c>
      <c r="H288" s="41" t="inlineStr">
        <is>
          <t>202308</t>
        </is>
      </c>
      <c r="I288" s="41" t="inlineStr">
        <is>
          <t>19</t>
        </is>
      </c>
      <c r="J288" s="41" t="inlineStr">
        <is>
          <t>122,500</t>
        </is>
      </c>
      <c r="K288" s="42" t="inlineStr">
        <is>
          <t>케이티파라곤</t>
        </is>
      </c>
      <c r="L288" s="41" t="inlineStr">
        <is>
          <t>11</t>
        </is>
      </c>
      <c r="M288" s="41" t="inlineStr">
        <is>
          <t>-</t>
        </is>
      </c>
      <c r="N288" s="41" t="inlineStr">
        <is>
          <t>-</t>
        </is>
      </c>
      <c r="O288" s="41" t="inlineStr">
        <is>
          <t>2005</t>
        </is>
      </c>
      <c r="P288" s="42" t="inlineStr">
        <is>
          <t>서초대로74길 29</t>
        </is>
      </c>
      <c r="Q288" s="41" t="inlineStr">
        <is>
          <t>-</t>
        </is>
      </c>
      <c r="R288" s="42" t="inlineStr">
        <is>
          <t>중개거래</t>
        </is>
      </c>
      <c r="S288" s="42" t="inlineStr">
        <is>
          <t>서울 서초구</t>
        </is>
      </c>
      <c r="T288" s="41" t="inlineStr">
        <is>
          <t>23.11.30</t>
        </is>
      </c>
      <c r="U288" s="42" t="inlineStr">
        <is>
          <t>아파트</t>
        </is>
      </c>
    </row>
    <row r="289" hidden="1" ht="15" customHeight="1">
      <c r="A289" s="41" t="n">
        <v>285</v>
      </c>
      <c r="B289" s="42" t="inlineStr">
        <is>
          <t>서울특별시 서초구 서초동</t>
        </is>
      </c>
      <c r="C289" s="41" t="inlineStr">
        <is>
          <t>1350-13</t>
        </is>
      </c>
      <c r="D289" s="41" t="inlineStr">
        <is>
          <t>1350</t>
        </is>
      </c>
      <c r="E289" s="41" t="inlineStr">
        <is>
          <t>0013</t>
        </is>
      </c>
      <c r="F289" s="42" t="inlineStr">
        <is>
          <t>동원베네스트아파트</t>
        </is>
      </c>
      <c r="G289" s="41" t="inlineStr">
        <is>
          <t>84.9000</t>
        </is>
      </c>
      <c r="H289" s="41" t="inlineStr">
        <is>
          <t>202308</t>
        </is>
      </c>
      <c r="I289" s="41" t="inlineStr">
        <is>
          <t>18</t>
        </is>
      </c>
      <c r="J289" s="41" t="inlineStr">
        <is>
          <t>123,000</t>
        </is>
      </c>
      <c r="K289" s="41" t="inlineStr">
        <is>
          <t>102</t>
        </is>
      </c>
      <c r="L289" s="41" t="inlineStr">
        <is>
          <t>2</t>
        </is>
      </c>
      <c r="M289" s="41" t="inlineStr">
        <is>
          <t>-</t>
        </is>
      </c>
      <c r="N289" s="41" t="inlineStr">
        <is>
          <t>-</t>
        </is>
      </c>
      <c r="O289" s="41" t="inlineStr">
        <is>
          <t>2002</t>
        </is>
      </c>
      <c r="P289" s="42" t="inlineStr">
        <is>
          <t>서운로9길 63</t>
        </is>
      </c>
      <c r="Q289" s="41" t="inlineStr">
        <is>
          <t>-</t>
        </is>
      </c>
      <c r="R289" s="42" t="inlineStr">
        <is>
          <t>직거래</t>
        </is>
      </c>
      <c r="S289" s="41" t="inlineStr">
        <is>
          <t>-</t>
        </is>
      </c>
      <c r="T289" s="41" t="inlineStr">
        <is>
          <t>23.11.22</t>
        </is>
      </c>
      <c r="U289" s="42" t="inlineStr">
        <is>
          <t>아파트</t>
        </is>
      </c>
    </row>
    <row r="290" hidden="1" ht="15" customHeight="1">
      <c r="A290" s="41" t="n">
        <v>286</v>
      </c>
      <c r="B290" s="42" t="inlineStr">
        <is>
          <t>서울특별시 서초구 서초동</t>
        </is>
      </c>
      <c r="C290" s="41" t="inlineStr">
        <is>
          <t>1310-4</t>
        </is>
      </c>
      <c r="D290" s="41" t="inlineStr">
        <is>
          <t>1310</t>
        </is>
      </c>
      <c r="E290" s="41" t="inlineStr">
        <is>
          <t>0004</t>
        </is>
      </c>
      <c r="F290" s="42" t="inlineStr">
        <is>
          <t>서초두산위브트레지움</t>
        </is>
      </c>
      <c r="G290" s="41" t="inlineStr">
        <is>
          <t>130.3000</t>
        </is>
      </c>
      <c r="H290" s="41" t="inlineStr">
        <is>
          <t>202308</t>
        </is>
      </c>
      <c r="I290" s="41" t="inlineStr">
        <is>
          <t>17</t>
        </is>
      </c>
      <c r="J290" s="41" t="inlineStr">
        <is>
          <t>264,000</t>
        </is>
      </c>
      <c r="K290" s="41" t="inlineStr">
        <is>
          <t>101</t>
        </is>
      </c>
      <c r="L290" s="41" t="inlineStr">
        <is>
          <t>7</t>
        </is>
      </c>
      <c r="M290" s="41" t="inlineStr">
        <is>
          <t>-</t>
        </is>
      </c>
      <c r="N290" s="41" t="inlineStr">
        <is>
          <t>-</t>
        </is>
      </c>
      <c r="O290" s="41" t="inlineStr">
        <is>
          <t>2008</t>
        </is>
      </c>
      <c r="P290" s="42" t="inlineStr">
        <is>
          <t>서운로 194</t>
        </is>
      </c>
      <c r="Q290" s="41" t="inlineStr">
        <is>
          <t>-</t>
        </is>
      </c>
      <c r="R290" s="42" t="inlineStr">
        <is>
          <t>중개거래</t>
        </is>
      </c>
      <c r="S290" s="42" t="inlineStr">
        <is>
          <t>서울 서초구</t>
        </is>
      </c>
      <c r="T290" s="41" t="inlineStr">
        <is>
          <t>23.10.31</t>
        </is>
      </c>
      <c r="U290" s="42" t="inlineStr">
        <is>
          <t>아파트</t>
        </is>
      </c>
    </row>
    <row r="291" hidden="1" ht="15" customHeight="1">
      <c r="A291" s="41" t="n">
        <v>287</v>
      </c>
      <c r="B291" s="42" t="inlineStr">
        <is>
          <t>서울특별시 서초구 서초동</t>
        </is>
      </c>
      <c r="C291" s="41" t="inlineStr">
        <is>
          <t>1593-7</t>
        </is>
      </c>
      <c r="D291" s="41" t="inlineStr">
        <is>
          <t>1593</t>
        </is>
      </c>
      <c r="E291" s="41" t="inlineStr">
        <is>
          <t>0007</t>
        </is>
      </c>
      <c r="F291" s="42" t="inlineStr">
        <is>
          <t>서초이오빌</t>
        </is>
      </c>
      <c r="G291" s="41" t="inlineStr">
        <is>
          <t>36.6600</t>
        </is>
      </c>
      <c r="H291" s="41" t="inlineStr">
        <is>
          <t>202308</t>
        </is>
      </c>
      <c r="I291" s="41" t="inlineStr">
        <is>
          <t>16</t>
        </is>
      </c>
      <c r="J291" s="41" t="inlineStr">
        <is>
          <t>31,000</t>
        </is>
      </c>
      <c r="K291" s="41" t="inlineStr">
        <is>
          <t>-</t>
        </is>
      </c>
      <c r="L291" s="41" t="inlineStr">
        <is>
          <t>5</t>
        </is>
      </c>
      <c r="M291" s="41" t="inlineStr">
        <is>
          <t>-</t>
        </is>
      </c>
      <c r="N291" s="41" t="inlineStr">
        <is>
          <t>-</t>
        </is>
      </c>
      <c r="O291" s="41" t="inlineStr">
        <is>
          <t>2003</t>
        </is>
      </c>
      <c r="P291" s="42" t="inlineStr">
        <is>
          <t>효령로53길 45</t>
        </is>
      </c>
      <c r="Q291" s="41" t="inlineStr">
        <is>
          <t>-</t>
        </is>
      </c>
      <c r="R291" s="42" t="inlineStr">
        <is>
          <t>중개거래</t>
        </is>
      </c>
      <c r="S291" s="42" t="inlineStr">
        <is>
          <t>서울 서초구</t>
        </is>
      </c>
      <c r="T291" s="41" t="inlineStr">
        <is>
          <t>23.09.07</t>
        </is>
      </c>
      <c r="U291" s="42" t="inlineStr">
        <is>
          <t>아파트</t>
        </is>
      </c>
    </row>
    <row r="292" hidden="1" ht="15" customHeight="1">
      <c r="A292" s="41" t="n">
        <v>288</v>
      </c>
      <c r="B292" s="42" t="inlineStr">
        <is>
          <t>서울특별시 서초구 서초동</t>
        </is>
      </c>
      <c r="C292" s="41" t="inlineStr">
        <is>
          <t>1687</t>
        </is>
      </c>
      <c r="D292" s="41" t="inlineStr">
        <is>
          <t>1687</t>
        </is>
      </c>
      <c r="E292" s="41" t="inlineStr">
        <is>
          <t>0000</t>
        </is>
      </c>
      <c r="F292" s="42" t="inlineStr">
        <is>
          <t>유원서초</t>
        </is>
      </c>
      <c r="G292" s="41" t="inlineStr">
        <is>
          <t>84.8700</t>
        </is>
      </c>
      <c r="H292" s="41" t="inlineStr">
        <is>
          <t>202308</t>
        </is>
      </c>
      <c r="I292" s="41" t="inlineStr">
        <is>
          <t>16</t>
        </is>
      </c>
      <c r="J292" s="41" t="inlineStr">
        <is>
          <t>191,000</t>
        </is>
      </c>
      <c r="K292" s="41" t="inlineStr">
        <is>
          <t>103</t>
        </is>
      </c>
      <c r="L292" s="41" t="inlineStr">
        <is>
          <t>12</t>
        </is>
      </c>
      <c r="M292" s="41" t="inlineStr">
        <is>
          <t>-</t>
        </is>
      </c>
      <c r="N292" s="41" t="inlineStr">
        <is>
          <t>-</t>
        </is>
      </c>
      <c r="O292" s="41" t="inlineStr">
        <is>
          <t>1993</t>
        </is>
      </c>
      <c r="P292" s="42" t="inlineStr">
        <is>
          <t>서초중앙로24길 43</t>
        </is>
      </c>
      <c r="Q292" s="41" t="inlineStr">
        <is>
          <t>-</t>
        </is>
      </c>
      <c r="R292" s="42" t="inlineStr">
        <is>
          <t>중개거래</t>
        </is>
      </c>
      <c r="S292" s="42" t="inlineStr">
        <is>
          <t>서울 서초구</t>
        </is>
      </c>
      <c r="T292" s="41" t="inlineStr">
        <is>
          <t>23.12.19</t>
        </is>
      </c>
      <c r="U292" s="42" t="inlineStr">
        <is>
          <t>아파트</t>
        </is>
      </c>
    </row>
    <row r="293" hidden="1" ht="15" customHeight="1">
      <c r="A293" s="41" t="n">
        <v>289</v>
      </c>
      <c r="B293" s="42" t="inlineStr">
        <is>
          <t>서울특별시 서초구 서초동</t>
        </is>
      </c>
      <c r="C293" s="41" t="inlineStr">
        <is>
          <t>1330</t>
        </is>
      </c>
      <c r="D293" s="41" t="inlineStr">
        <is>
          <t>1330</t>
        </is>
      </c>
      <c r="E293" s="41" t="inlineStr">
        <is>
          <t>0000</t>
        </is>
      </c>
      <c r="F293" s="42" t="inlineStr">
        <is>
          <t>서초동삼성쉐르빌2</t>
        </is>
      </c>
      <c r="G293" s="41" t="inlineStr">
        <is>
          <t>35.2200</t>
        </is>
      </c>
      <c r="H293" s="41" t="inlineStr">
        <is>
          <t>202308</t>
        </is>
      </c>
      <c r="I293" s="41" t="inlineStr">
        <is>
          <t>15</t>
        </is>
      </c>
      <c r="J293" s="41" t="inlineStr">
        <is>
          <t>33,500</t>
        </is>
      </c>
      <c r="K293" s="41" t="inlineStr">
        <is>
          <t>-</t>
        </is>
      </c>
      <c r="L293" s="41" t="inlineStr">
        <is>
          <t>13</t>
        </is>
      </c>
      <c r="M293" s="41" t="inlineStr">
        <is>
          <t>-</t>
        </is>
      </c>
      <c r="N293" s="41" t="inlineStr">
        <is>
          <t>-</t>
        </is>
      </c>
      <c r="O293" s="41" t="inlineStr">
        <is>
          <t>2002</t>
        </is>
      </c>
      <c r="P293" s="42" t="inlineStr">
        <is>
          <t>강남대로53길 11</t>
        </is>
      </c>
      <c r="Q293" s="41" t="inlineStr">
        <is>
          <t>-</t>
        </is>
      </c>
      <c r="R293" s="42" t="inlineStr">
        <is>
          <t>중개거래</t>
        </is>
      </c>
      <c r="S293" s="42" t="inlineStr">
        <is>
          <t>서울 강남구 서울 서초구</t>
        </is>
      </c>
      <c r="T293" s="41" t="inlineStr">
        <is>
          <t>23.09.04</t>
        </is>
      </c>
      <c r="U293" s="42" t="inlineStr">
        <is>
          <t>아파트</t>
        </is>
      </c>
    </row>
    <row r="294" hidden="1" ht="15" customHeight="1">
      <c r="A294" s="41" t="n">
        <v>290</v>
      </c>
      <c r="B294" s="42" t="inlineStr">
        <is>
          <t>서울특별시 서초구 서초동</t>
        </is>
      </c>
      <c r="C294" s="41" t="inlineStr">
        <is>
          <t>1476-18</t>
        </is>
      </c>
      <c r="D294" s="41" t="inlineStr">
        <is>
          <t>1476</t>
        </is>
      </c>
      <c r="E294" s="41" t="inlineStr">
        <is>
          <t>0018</t>
        </is>
      </c>
      <c r="F294" s="42" t="inlineStr">
        <is>
          <t>더샾오데움(103동)</t>
        </is>
      </c>
      <c r="G294" s="41" t="inlineStr">
        <is>
          <t>171.0360</t>
        </is>
      </c>
      <c r="H294" s="41" t="inlineStr">
        <is>
          <t>202308</t>
        </is>
      </c>
      <c r="I294" s="41" t="inlineStr">
        <is>
          <t>15</t>
        </is>
      </c>
      <c r="J294" s="41" t="inlineStr">
        <is>
          <t>247,000</t>
        </is>
      </c>
      <c r="K294" s="41" t="inlineStr">
        <is>
          <t>103</t>
        </is>
      </c>
      <c r="L294" s="41" t="inlineStr">
        <is>
          <t>3</t>
        </is>
      </c>
      <c r="M294" s="41" t="inlineStr">
        <is>
          <t>-</t>
        </is>
      </c>
      <c r="N294" s="41" t="inlineStr">
        <is>
          <t>-</t>
        </is>
      </c>
      <c r="O294" s="41" t="inlineStr">
        <is>
          <t>2005</t>
        </is>
      </c>
      <c r="P294" s="42" t="inlineStr">
        <is>
          <t>반포대로7길 45</t>
        </is>
      </c>
      <c r="Q294" s="41" t="inlineStr">
        <is>
          <t>-</t>
        </is>
      </c>
      <c r="R294" s="42" t="inlineStr">
        <is>
          <t>중개거래</t>
        </is>
      </c>
      <c r="S294" s="42" t="inlineStr">
        <is>
          <t>서울 서초구</t>
        </is>
      </c>
      <c r="T294" s="41" t="inlineStr">
        <is>
          <t>23.11.16</t>
        </is>
      </c>
      <c r="U294" s="42" t="inlineStr">
        <is>
          <t>아파트</t>
        </is>
      </c>
    </row>
    <row r="295" hidden="1" ht="15" customHeight="1">
      <c r="A295" s="41" t="n">
        <v>291</v>
      </c>
      <c r="B295" s="42" t="inlineStr">
        <is>
          <t>서울특별시 서초구 서초동</t>
        </is>
      </c>
      <c r="C295" s="41" t="inlineStr">
        <is>
          <t>1582-3</t>
        </is>
      </c>
      <c r="D295" s="41" t="inlineStr">
        <is>
          <t>1582</t>
        </is>
      </c>
      <c r="E295" s="41" t="inlineStr">
        <is>
          <t>0003</t>
        </is>
      </c>
      <c r="F295" s="42" t="inlineStr">
        <is>
          <t>서초센트럴IPARK</t>
        </is>
      </c>
      <c r="G295" s="41" t="inlineStr">
        <is>
          <t>80.5154</t>
        </is>
      </c>
      <c r="H295" s="41" t="inlineStr">
        <is>
          <t>202308</t>
        </is>
      </c>
      <c r="I295" s="41" t="inlineStr">
        <is>
          <t>14</t>
        </is>
      </c>
      <c r="J295" s="41" t="inlineStr">
        <is>
          <t>208,000</t>
        </is>
      </c>
      <c r="K295" s="41" t="inlineStr">
        <is>
          <t>-</t>
        </is>
      </c>
      <c r="L295" s="41" t="inlineStr">
        <is>
          <t>32</t>
        </is>
      </c>
      <c r="M295" s="41" t="inlineStr">
        <is>
          <t>-</t>
        </is>
      </c>
      <c r="N295" s="41" t="inlineStr">
        <is>
          <t>-</t>
        </is>
      </c>
      <c r="O295" s="41" t="inlineStr">
        <is>
          <t>2020</t>
        </is>
      </c>
      <c r="P295" s="42" t="inlineStr">
        <is>
          <t>반포대로18길 36</t>
        </is>
      </c>
      <c r="Q295" s="41" t="inlineStr">
        <is>
          <t>20240130</t>
        </is>
      </c>
      <c r="R295" s="42" t="inlineStr">
        <is>
          <t>중개거래</t>
        </is>
      </c>
      <c r="S295" s="42" t="inlineStr">
        <is>
          <t>서울 서초구</t>
        </is>
      </c>
      <c r="T295" s="41" t="inlineStr">
        <is>
          <t>-</t>
        </is>
      </c>
      <c r="U295" s="42" t="inlineStr">
        <is>
          <t>아파트</t>
        </is>
      </c>
    </row>
    <row r="296" hidden="1" ht="15" customHeight="1">
      <c r="A296" s="41" t="n">
        <v>292</v>
      </c>
      <c r="B296" s="42" t="inlineStr">
        <is>
          <t>서울특별시 서초구 서초동</t>
        </is>
      </c>
      <c r="C296" s="41" t="inlineStr">
        <is>
          <t>1757</t>
        </is>
      </c>
      <c r="D296" s="41" t="inlineStr">
        <is>
          <t>1757</t>
        </is>
      </c>
      <c r="E296" s="41" t="inlineStr">
        <is>
          <t>0000</t>
        </is>
      </c>
      <c r="F296" s="42" t="inlineStr">
        <is>
          <t>서초그랑자이</t>
        </is>
      </c>
      <c r="G296" s="41" t="inlineStr">
        <is>
          <t>59.9900</t>
        </is>
      </c>
      <c r="H296" s="41" t="inlineStr">
        <is>
          <t>202308</t>
        </is>
      </c>
      <c r="I296" s="41" t="inlineStr">
        <is>
          <t>14</t>
        </is>
      </c>
      <c r="J296" s="41" t="inlineStr">
        <is>
          <t>224,000</t>
        </is>
      </c>
      <c r="K296" s="41" t="inlineStr">
        <is>
          <t>108동</t>
        </is>
      </c>
      <c r="L296" s="41" t="inlineStr">
        <is>
          <t>23</t>
        </is>
      </c>
      <c r="M296" s="41" t="inlineStr">
        <is>
          <t>-</t>
        </is>
      </c>
      <c r="N296" s="41" t="inlineStr">
        <is>
          <t>-</t>
        </is>
      </c>
      <c r="O296" s="41" t="inlineStr">
        <is>
          <t>2021</t>
        </is>
      </c>
      <c r="P296" s="42" t="inlineStr">
        <is>
          <t>효령로 391</t>
        </is>
      </c>
      <c r="Q296" s="41" t="inlineStr">
        <is>
          <t>-</t>
        </is>
      </c>
      <c r="R296" s="42" t="inlineStr">
        <is>
          <t>중개거래</t>
        </is>
      </c>
      <c r="S296" s="42" t="inlineStr">
        <is>
          <t>서울 서초구</t>
        </is>
      </c>
      <c r="T296" s="41" t="inlineStr">
        <is>
          <t>23.10.10</t>
        </is>
      </c>
      <c r="U296" s="42" t="inlineStr">
        <is>
          <t>아파트</t>
        </is>
      </c>
    </row>
    <row r="297" hidden="1" ht="15" customHeight="1">
      <c r="A297" s="41" t="n">
        <v>293</v>
      </c>
      <c r="B297" s="42" t="inlineStr">
        <is>
          <t>서울특별시 서초구 서초동</t>
        </is>
      </c>
      <c r="C297" s="41" t="inlineStr">
        <is>
          <t>1754</t>
        </is>
      </c>
      <c r="D297" s="41" t="inlineStr">
        <is>
          <t>1754</t>
        </is>
      </c>
      <c r="E297" s="41" t="inlineStr">
        <is>
          <t>0000</t>
        </is>
      </c>
      <c r="F297" s="42" t="inlineStr">
        <is>
          <t>래미안서초에스티지S</t>
        </is>
      </c>
      <c r="G297" s="41" t="inlineStr">
        <is>
          <t>84.1700</t>
        </is>
      </c>
      <c r="H297" s="41" t="inlineStr">
        <is>
          <t>202308</t>
        </is>
      </c>
      <c r="I297" s="41" t="inlineStr">
        <is>
          <t>14</t>
        </is>
      </c>
      <c r="J297" s="41" t="inlineStr">
        <is>
          <t>258,000</t>
        </is>
      </c>
      <c r="K297" s="41" t="inlineStr">
        <is>
          <t>202</t>
        </is>
      </c>
      <c r="L297" s="41" t="inlineStr">
        <is>
          <t>13</t>
        </is>
      </c>
      <c r="M297" s="41" t="inlineStr">
        <is>
          <t>-</t>
        </is>
      </c>
      <c r="N297" s="41" t="inlineStr">
        <is>
          <t>-</t>
        </is>
      </c>
      <c r="O297" s="41" t="inlineStr">
        <is>
          <t>2018</t>
        </is>
      </c>
      <c r="P297" s="42" t="inlineStr">
        <is>
          <t>서운로 104</t>
        </is>
      </c>
      <c r="Q297" s="41" t="inlineStr">
        <is>
          <t>-</t>
        </is>
      </c>
      <c r="R297" s="42" t="inlineStr">
        <is>
          <t>중개거래</t>
        </is>
      </c>
      <c r="S297" s="42" t="inlineStr">
        <is>
          <t>서울 서초구</t>
        </is>
      </c>
      <c r="T297" s="41" t="inlineStr">
        <is>
          <t>23.11.13</t>
        </is>
      </c>
      <c r="U297" s="42" t="inlineStr">
        <is>
          <t>아파트</t>
        </is>
      </c>
    </row>
    <row r="298" hidden="1" ht="15" customHeight="1">
      <c r="A298" s="41" t="n">
        <v>294</v>
      </c>
      <c r="B298" s="42" t="inlineStr">
        <is>
          <t>서울특별시 서초구 서초동</t>
        </is>
      </c>
      <c r="C298" s="41" t="inlineStr">
        <is>
          <t>1311-10</t>
        </is>
      </c>
      <c r="D298" s="41" t="inlineStr">
        <is>
          <t>1311</t>
        </is>
      </c>
      <c r="E298" s="41" t="inlineStr">
        <is>
          <t>0010</t>
        </is>
      </c>
      <c r="F298" s="42" t="inlineStr">
        <is>
          <t>서초푸르지오써밋</t>
        </is>
      </c>
      <c r="G298" s="41" t="inlineStr">
        <is>
          <t>84.9500</t>
        </is>
      </c>
      <c r="H298" s="41" t="inlineStr">
        <is>
          <t>202308</t>
        </is>
      </c>
      <c r="I298" s="41" t="inlineStr">
        <is>
          <t>12</t>
        </is>
      </c>
      <c r="J298" s="41" t="inlineStr">
        <is>
          <t>259,500</t>
        </is>
      </c>
      <c r="K298" s="41" t="inlineStr">
        <is>
          <t>105</t>
        </is>
      </c>
      <c r="L298" s="41" t="inlineStr">
        <is>
          <t>25</t>
        </is>
      </c>
      <c r="M298" s="41" t="inlineStr">
        <is>
          <t>-</t>
        </is>
      </c>
      <c r="N298" s="41" t="inlineStr">
        <is>
          <t>-</t>
        </is>
      </c>
      <c r="O298" s="41" t="inlineStr">
        <is>
          <t>2017</t>
        </is>
      </c>
      <c r="P298" s="42" t="inlineStr">
        <is>
          <t>서운로 201</t>
        </is>
      </c>
      <c r="Q298" s="41" t="inlineStr">
        <is>
          <t>-</t>
        </is>
      </c>
      <c r="R298" s="42" t="inlineStr">
        <is>
          <t>중개거래</t>
        </is>
      </c>
      <c r="S298" s="42" t="inlineStr">
        <is>
          <t>서울 서초구</t>
        </is>
      </c>
      <c r="T298" s="41" t="inlineStr">
        <is>
          <t>24.02.16</t>
        </is>
      </c>
      <c r="U298" s="42" t="inlineStr">
        <is>
          <t>아파트</t>
        </is>
      </c>
    </row>
    <row r="299" hidden="1" ht="15" customHeight="1">
      <c r="A299" s="41" t="n">
        <v>295</v>
      </c>
      <c r="B299" s="42" t="inlineStr">
        <is>
          <t>서울특별시 서초구 서초동</t>
        </is>
      </c>
      <c r="C299" s="41" t="inlineStr">
        <is>
          <t>1363-25</t>
        </is>
      </c>
      <c r="D299" s="41" t="inlineStr">
        <is>
          <t>1363</t>
        </is>
      </c>
      <c r="E299" s="41" t="inlineStr">
        <is>
          <t>0025</t>
        </is>
      </c>
      <c r="F299" s="42" t="inlineStr">
        <is>
          <t>한라비발디스튜디오193</t>
        </is>
      </c>
      <c r="G299" s="41" t="inlineStr">
        <is>
          <t>25.7500</t>
        </is>
      </c>
      <c r="H299" s="41" t="inlineStr">
        <is>
          <t>202308</t>
        </is>
      </c>
      <c r="I299" s="41" t="inlineStr">
        <is>
          <t>12</t>
        </is>
      </c>
      <c r="J299" s="41" t="inlineStr">
        <is>
          <t>31,000</t>
        </is>
      </c>
      <c r="K299" s="42" t="inlineStr">
        <is>
          <t>한라비발디스튜디오193</t>
        </is>
      </c>
      <c r="L299" s="41" t="inlineStr">
        <is>
          <t>10</t>
        </is>
      </c>
      <c r="M299" s="41" t="inlineStr">
        <is>
          <t>-</t>
        </is>
      </c>
      <c r="N299" s="41" t="inlineStr">
        <is>
          <t>-</t>
        </is>
      </c>
      <c r="O299" s="41" t="inlineStr">
        <is>
          <t>2013</t>
        </is>
      </c>
      <c r="P299" s="42" t="inlineStr">
        <is>
          <t>강남대로39길 15-10</t>
        </is>
      </c>
      <c r="Q299" s="41" t="inlineStr">
        <is>
          <t>-</t>
        </is>
      </c>
      <c r="R299" s="42" t="inlineStr">
        <is>
          <t>직거래</t>
        </is>
      </c>
      <c r="S299" s="41" t="inlineStr">
        <is>
          <t>-</t>
        </is>
      </c>
      <c r="T299" s="41" t="inlineStr">
        <is>
          <t>23.09.25</t>
        </is>
      </c>
      <c r="U299" s="42" t="inlineStr">
        <is>
          <t>아파트</t>
        </is>
      </c>
    </row>
    <row r="300" hidden="1" ht="15" customHeight="1">
      <c r="A300" s="41" t="n">
        <v>296</v>
      </c>
      <c r="B300" s="42" t="inlineStr">
        <is>
          <t>서울특별시 서초구 서초동</t>
        </is>
      </c>
      <c r="C300" s="41" t="inlineStr">
        <is>
          <t>1685-3</t>
        </is>
      </c>
      <c r="D300" s="41" t="inlineStr">
        <is>
          <t>1685</t>
        </is>
      </c>
      <c r="E300" s="41" t="inlineStr">
        <is>
          <t>0003</t>
        </is>
      </c>
      <c r="F300" s="42" t="inlineStr">
        <is>
          <t>아크로비스타</t>
        </is>
      </c>
      <c r="G300" s="41" t="inlineStr">
        <is>
          <t>174.7800</t>
        </is>
      </c>
      <c r="H300" s="41" t="inlineStr">
        <is>
          <t>202308</t>
        </is>
      </c>
      <c r="I300" s="41" t="inlineStr">
        <is>
          <t>11</t>
        </is>
      </c>
      <c r="J300" s="41" t="inlineStr">
        <is>
          <t>340,000</t>
        </is>
      </c>
      <c r="K300" s="41" t="inlineStr">
        <is>
          <t>C</t>
        </is>
      </c>
      <c r="L300" s="41" t="inlineStr">
        <is>
          <t>37</t>
        </is>
      </c>
      <c r="M300" s="41" t="inlineStr">
        <is>
          <t>-</t>
        </is>
      </c>
      <c r="N300" s="41" t="inlineStr">
        <is>
          <t>-</t>
        </is>
      </c>
      <c r="O300" s="41" t="inlineStr">
        <is>
          <t>2004</t>
        </is>
      </c>
      <c r="P300" s="42" t="inlineStr">
        <is>
          <t>서초중앙로 188</t>
        </is>
      </c>
      <c r="Q300" s="41" t="inlineStr">
        <is>
          <t>-</t>
        </is>
      </c>
      <c r="R300" s="42" t="inlineStr">
        <is>
          <t>중개거래</t>
        </is>
      </c>
      <c r="S300" s="42" t="inlineStr">
        <is>
          <t>서울 서초구</t>
        </is>
      </c>
      <c r="T300" s="41" t="inlineStr">
        <is>
          <t>24.02.19</t>
        </is>
      </c>
      <c r="U300" s="42" t="inlineStr">
        <is>
          <t>아파트</t>
        </is>
      </c>
    </row>
    <row r="301" hidden="1" ht="15" customHeight="1">
      <c r="A301" s="41" t="n">
        <v>297</v>
      </c>
      <c r="B301" s="42" t="inlineStr">
        <is>
          <t>서울특별시 서초구 서초동</t>
        </is>
      </c>
      <c r="C301" s="41" t="inlineStr">
        <is>
          <t>1333</t>
        </is>
      </c>
      <c r="D301" s="41" t="inlineStr">
        <is>
          <t>1333</t>
        </is>
      </c>
      <c r="E301" s="41" t="inlineStr">
        <is>
          <t>0000</t>
        </is>
      </c>
      <c r="F301" s="42" t="inlineStr">
        <is>
          <t>신동아아파트(1차)</t>
        </is>
      </c>
      <c r="G301" s="41" t="inlineStr">
        <is>
          <t>75.8600</t>
        </is>
      </c>
      <c r="H301" s="41" t="inlineStr">
        <is>
          <t>202308</t>
        </is>
      </c>
      <c r="I301" s="41" t="inlineStr">
        <is>
          <t>11</t>
        </is>
      </c>
      <c r="J301" s="41" t="inlineStr">
        <is>
          <t>170,000</t>
        </is>
      </c>
      <c r="K301" s="41" t="inlineStr">
        <is>
          <t>7</t>
        </is>
      </c>
      <c r="L301" s="41" t="inlineStr">
        <is>
          <t>2</t>
        </is>
      </c>
      <c r="M301" s="41" t="inlineStr">
        <is>
          <t>-</t>
        </is>
      </c>
      <c r="N301" s="41" t="inlineStr">
        <is>
          <t>-</t>
        </is>
      </c>
      <c r="O301" s="41" t="inlineStr">
        <is>
          <t>1978</t>
        </is>
      </c>
      <c r="P301" s="42" t="inlineStr">
        <is>
          <t>사임당로 130</t>
        </is>
      </c>
      <c r="Q301" s="41" t="inlineStr">
        <is>
          <t>-</t>
        </is>
      </c>
      <c r="R301" s="42" t="inlineStr">
        <is>
          <t>중개거래</t>
        </is>
      </c>
      <c r="S301" s="42" t="inlineStr">
        <is>
          <t>서울 서초구</t>
        </is>
      </c>
      <c r="T301" s="41" t="inlineStr">
        <is>
          <t>23.11.27</t>
        </is>
      </c>
      <c r="U301" s="42" t="inlineStr">
        <is>
          <t>아파트</t>
        </is>
      </c>
    </row>
    <row r="302" hidden="1" ht="15" customHeight="1">
      <c r="A302" s="41" t="n">
        <v>298</v>
      </c>
      <c r="B302" s="42" t="inlineStr">
        <is>
          <t>서울특별시 서초구 서초동</t>
        </is>
      </c>
      <c r="C302" s="41" t="inlineStr">
        <is>
          <t>1498-5</t>
        </is>
      </c>
      <c r="D302" s="41" t="inlineStr">
        <is>
          <t>1498</t>
        </is>
      </c>
      <c r="E302" s="41" t="inlineStr">
        <is>
          <t>0005</t>
        </is>
      </c>
      <c r="F302" s="42" t="inlineStr">
        <is>
          <t>마제스타시티(힐스테이트서리풀101,102동)</t>
        </is>
      </c>
      <c r="G302" s="41" t="inlineStr">
        <is>
          <t>59.9500</t>
        </is>
      </c>
      <c r="H302" s="41" t="inlineStr">
        <is>
          <t>202308</t>
        </is>
      </c>
      <c r="I302" s="41" t="inlineStr">
        <is>
          <t>09</t>
        </is>
      </c>
      <c r="J302" s="41" t="inlineStr">
        <is>
          <t>190,000</t>
        </is>
      </c>
      <c r="K302" s="42" t="inlineStr">
        <is>
          <t>힐스테이트 서리풀 101동</t>
        </is>
      </c>
      <c r="L302" s="41" t="inlineStr">
        <is>
          <t>17</t>
        </is>
      </c>
      <c r="M302" s="41" t="inlineStr">
        <is>
          <t>-</t>
        </is>
      </c>
      <c r="N302" s="41" t="inlineStr">
        <is>
          <t>-</t>
        </is>
      </c>
      <c r="O302" s="41" t="inlineStr">
        <is>
          <t>2017</t>
        </is>
      </c>
      <c r="P302" s="42" t="inlineStr">
        <is>
          <t>서초대로38길 12</t>
        </is>
      </c>
      <c r="Q302" s="41" t="inlineStr">
        <is>
          <t>-</t>
        </is>
      </c>
      <c r="R302" s="42" t="inlineStr">
        <is>
          <t>중개거래</t>
        </is>
      </c>
      <c r="S302" s="42" t="inlineStr">
        <is>
          <t>서울 강남구 서울 서초구</t>
        </is>
      </c>
      <c r="T302" s="41" t="inlineStr">
        <is>
          <t>24.02.02</t>
        </is>
      </c>
      <c r="U302" s="42" t="inlineStr">
        <is>
          <t>아파트</t>
        </is>
      </c>
    </row>
    <row r="303" hidden="1" ht="15" customHeight="1">
      <c r="A303" s="41" t="n">
        <v>299</v>
      </c>
      <c r="B303" s="42" t="inlineStr">
        <is>
          <t>서울특별시 서초구 서초동</t>
        </is>
      </c>
      <c r="C303" s="41" t="inlineStr">
        <is>
          <t>1333</t>
        </is>
      </c>
      <c r="D303" s="41" t="inlineStr">
        <is>
          <t>1333</t>
        </is>
      </c>
      <c r="E303" s="41" t="inlineStr">
        <is>
          <t>0000</t>
        </is>
      </c>
      <c r="F303" s="42" t="inlineStr">
        <is>
          <t>신동아아파트(1차)</t>
        </is>
      </c>
      <c r="G303" s="41" t="inlineStr">
        <is>
          <t>86.6100</t>
        </is>
      </c>
      <c r="H303" s="41" t="inlineStr">
        <is>
          <t>202308</t>
        </is>
      </c>
      <c r="I303" s="41" t="inlineStr">
        <is>
          <t>08</t>
        </is>
      </c>
      <c r="J303" s="41" t="inlineStr">
        <is>
          <t>210,000</t>
        </is>
      </c>
      <c r="K303" s="41" t="inlineStr">
        <is>
          <t>7</t>
        </is>
      </c>
      <c r="L303" s="41" t="inlineStr">
        <is>
          <t>9</t>
        </is>
      </c>
      <c r="M303" s="41" t="inlineStr">
        <is>
          <t>-</t>
        </is>
      </c>
      <c r="N303" s="41" t="inlineStr">
        <is>
          <t>-</t>
        </is>
      </c>
      <c r="O303" s="41" t="inlineStr">
        <is>
          <t>1978</t>
        </is>
      </c>
      <c r="P303" s="42" t="inlineStr">
        <is>
          <t>사임당로 130</t>
        </is>
      </c>
      <c r="Q303" s="41" t="inlineStr">
        <is>
          <t>-</t>
        </is>
      </c>
      <c r="R303" s="42" t="inlineStr">
        <is>
          <t>중개거래</t>
        </is>
      </c>
      <c r="S303" s="42" t="inlineStr">
        <is>
          <t>서울 서초구</t>
        </is>
      </c>
      <c r="T303" s="41" t="inlineStr">
        <is>
          <t>23.11.03</t>
        </is>
      </c>
      <c r="U303" s="42" t="inlineStr">
        <is>
          <t>아파트</t>
        </is>
      </c>
    </row>
    <row r="304" hidden="1" ht="15" customHeight="1">
      <c r="A304" s="41" t="n">
        <v>300</v>
      </c>
      <c r="B304" s="42" t="inlineStr">
        <is>
          <t>서울특별시 서초구 서초동</t>
        </is>
      </c>
      <c r="C304" s="41" t="inlineStr">
        <is>
          <t>1310-4</t>
        </is>
      </c>
      <c r="D304" s="41" t="inlineStr">
        <is>
          <t>1310</t>
        </is>
      </c>
      <c r="E304" s="41" t="inlineStr">
        <is>
          <t>0004</t>
        </is>
      </c>
      <c r="F304" s="42" t="inlineStr">
        <is>
          <t>서초두산위브트레지움</t>
        </is>
      </c>
      <c r="G304" s="41" t="inlineStr">
        <is>
          <t>84.9600</t>
        </is>
      </c>
      <c r="H304" s="41" t="inlineStr">
        <is>
          <t>202308</t>
        </is>
      </c>
      <c r="I304" s="41" t="inlineStr">
        <is>
          <t>07</t>
        </is>
      </c>
      <c r="J304" s="41" t="inlineStr">
        <is>
          <t>219,000</t>
        </is>
      </c>
      <c r="K304" s="41" t="inlineStr">
        <is>
          <t>101</t>
        </is>
      </c>
      <c r="L304" s="41" t="inlineStr">
        <is>
          <t>10</t>
        </is>
      </c>
      <c r="M304" s="41" t="inlineStr">
        <is>
          <t>-</t>
        </is>
      </c>
      <c r="N304" s="41" t="inlineStr">
        <is>
          <t>-</t>
        </is>
      </c>
      <c r="O304" s="41" t="inlineStr">
        <is>
          <t>2008</t>
        </is>
      </c>
      <c r="P304" s="42" t="inlineStr">
        <is>
          <t>서운로 194</t>
        </is>
      </c>
      <c r="Q304" s="41" t="inlineStr">
        <is>
          <t>-</t>
        </is>
      </c>
      <c r="R304" s="42" t="inlineStr">
        <is>
          <t>중개거래</t>
        </is>
      </c>
      <c r="S304" s="42" t="inlineStr">
        <is>
          <t>서울 서초구</t>
        </is>
      </c>
      <c r="T304" s="41" t="inlineStr">
        <is>
          <t>23.08.18</t>
        </is>
      </c>
      <c r="U304" s="42" t="inlineStr">
        <is>
          <t>아파트</t>
        </is>
      </c>
    </row>
    <row r="305" hidden="1" ht="15" customHeight="1">
      <c r="A305" s="41" t="n">
        <v>301</v>
      </c>
      <c r="B305" s="42" t="inlineStr">
        <is>
          <t>서울특별시 서초구 서초동</t>
        </is>
      </c>
      <c r="C305" s="41" t="inlineStr">
        <is>
          <t>1333</t>
        </is>
      </c>
      <c r="D305" s="41" t="inlineStr">
        <is>
          <t>1333</t>
        </is>
      </c>
      <c r="E305" s="41" t="inlineStr">
        <is>
          <t>0000</t>
        </is>
      </c>
      <c r="F305" s="42" t="inlineStr">
        <is>
          <t>신동아아파트(1차)</t>
        </is>
      </c>
      <c r="G305" s="41" t="inlineStr">
        <is>
          <t>77.2000</t>
        </is>
      </c>
      <c r="H305" s="41" t="inlineStr">
        <is>
          <t>202308</t>
        </is>
      </c>
      <c r="I305" s="41" t="inlineStr">
        <is>
          <t>07</t>
        </is>
      </c>
      <c r="J305" s="41" t="inlineStr">
        <is>
          <t>170,500</t>
        </is>
      </c>
      <c r="K305" s="41" t="inlineStr">
        <is>
          <t>7</t>
        </is>
      </c>
      <c r="L305" s="41" t="inlineStr">
        <is>
          <t>1</t>
        </is>
      </c>
      <c r="M305" s="41" t="inlineStr">
        <is>
          <t>-</t>
        </is>
      </c>
      <c r="N305" s="41" t="inlineStr">
        <is>
          <t>-</t>
        </is>
      </c>
      <c r="O305" s="41" t="inlineStr">
        <is>
          <t>1978</t>
        </is>
      </c>
      <c r="P305" s="42" t="inlineStr">
        <is>
          <t>사임당로 130</t>
        </is>
      </c>
      <c r="Q305" s="41" t="inlineStr">
        <is>
          <t>-</t>
        </is>
      </c>
      <c r="R305" s="42" t="inlineStr">
        <is>
          <t>중개거래</t>
        </is>
      </c>
      <c r="S305" s="42" t="inlineStr">
        <is>
          <t>서울 서초구</t>
        </is>
      </c>
      <c r="T305" s="41" t="inlineStr">
        <is>
          <t>23.11.16</t>
        </is>
      </c>
      <c r="U305" s="42" t="inlineStr">
        <is>
          <t>아파트</t>
        </is>
      </c>
    </row>
    <row r="306" hidden="1" ht="15" customHeight="1">
      <c r="A306" s="41" t="n">
        <v>302</v>
      </c>
      <c r="B306" s="42" t="inlineStr">
        <is>
          <t>서울특별시 서초구 서초동</t>
        </is>
      </c>
      <c r="C306" s="41" t="inlineStr">
        <is>
          <t>1582-3</t>
        </is>
      </c>
      <c r="D306" s="41" t="inlineStr">
        <is>
          <t>1582</t>
        </is>
      </c>
      <c r="E306" s="41" t="inlineStr">
        <is>
          <t>0003</t>
        </is>
      </c>
      <c r="F306" s="42" t="inlineStr">
        <is>
          <t>서초센트럴IPARK</t>
        </is>
      </c>
      <c r="G306" s="41" t="inlineStr">
        <is>
          <t>80.5154</t>
        </is>
      </c>
      <c r="H306" s="41" t="inlineStr">
        <is>
          <t>202308</t>
        </is>
      </c>
      <c r="I306" s="41" t="inlineStr">
        <is>
          <t>07</t>
        </is>
      </c>
      <c r="J306" s="41" t="inlineStr">
        <is>
          <t>168,000</t>
        </is>
      </c>
      <c r="K306" s="41" t="inlineStr">
        <is>
          <t>101동</t>
        </is>
      </c>
      <c r="L306" s="41" t="inlineStr">
        <is>
          <t>16</t>
        </is>
      </c>
      <c r="M306" s="41" t="inlineStr">
        <is>
          <t>-</t>
        </is>
      </c>
      <c r="N306" s="41" t="inlineStr">
        <is>
          <t>-</t>
        </is>
      </c>
      <c r="O306" s="41" t="inlineStr">
        <is>
          <t>2020</t>
        </is>
      </c>
      <c r="P306" s="42" t="inlineStr">
        <is>
          <t>반포대로18길 36</t>
        </is>
      </c>
      <c r="Q306" s="41" t="inlineStr">
        <is>
          <t>-</t>
        </is>
      </c>
      <c r="R306" s="42" t="inlineStr">
        <is>
          <t>중개거래</t>
        </is>
      </c>
      <c r="S306" s="42" t="inlineStr">
        <is>
          <t>서울 서초구</t>
        </is>
      </c>
      <c r="T306" s="41" t="inlineStr">
        <is>
          <t>23.10.20</t>
        </is>
      </c>
      <c r="U306" s="42" t="inlineStr">
        <is>
          <t>아파트</t>
        </is>
      </c>
    </row>
    <row r="307" hidden="1" ht="15" customHeight="1">
      <c r="A307" s="41" t="n">
        <v>303</v>
      </c>
      <c r="B307" s="42" t="inlineStr">
        <is>
          <t>서울특별시 서초구 서초동</t>
        </is>
      </c>
      <c r="C307" s="41" t="inlineStr">
        <is>
          <t>1648-2</t>
        </is>
      </c>
      <c r="D307" s="41" t="inlineStr">
        <is>
          <t>1648</t>
        </is>
      </c>
      <c r="E307" s="41" t="inlineStr">
        <is>
          <t>0002</t>
        </is>
      </c>
      <c r="F307" s="42" t="inlineStr">
        <is>
          <t>서초현대</t>
        </is>
      </c>
      <c r="G307" s="41" t="inlineStr">
        <is>
          <t>114.8400</t>
        </is>
      </c>
      <c r="H307" s="41" t="inlineStr">
        <is>
          <t>202308</t>
        </is>
      </c>
      <c r="I307" s="41" t="inlineStr">
        <is>
          <t>05</t>
        </is>
      </c>
      <c r="J307" s="41" t="inlineStr">
        <is>
          <t>207,000</t>
        </is>
      </c>
      <c r="K307" s="41" t="inlineStr">
        <is>
          <t>102</t>
        </is>
      </c>
      <c r="L307" s="41" t="inlineStr">
        <is>
          <t>7</t>
        </is>
      </c>
      <c r="M307" s="41" t="inlineStr">
        <is>
          <t>-</t>
        </is>
      </c>
      <c r="N307" s="41" t="inlineStr">
        <is>
          <t>-</t>
        </is>
      </c>
      <c r="O307" s="41" t="inlineStr">
        <is>
          <t>1999</t>
        </is>
      </c>
      <c r="P307" s="42" t="inlineStr">
        <is>
          <t>사임당로19길 10</t>
        </is>
      </c>
      <c r="Q307" s="41" t="inlineStr">
        <is>
          <t>-</t>
        </is>
      </c>
      <c r="R307" s="42" t="inlineStr">
        <is>
          <t>중개거래</t>
        </is>
      </c>
      <c r="S307" s="42" t="inlineStr">
        <is>
          <t>서울 서초구</t>
        </is>
      </c>
      <c r="T307" s="41" t="inlineStr">
        <is>
          <t>23.10.31</t>
        </is>
      </c>
      <c r="U307" s="42" t="inlineStr">
        <is>
          <t>아파트</t>
        </is>
      </c>
    </row>
    <row r="308" hidden="1" ht="15" customHeight="1">
      <c r="A308" s="41" t="n">
        <v>304</v>
      </c>
      <c r="B308" s="42" t="inlineStr">
        <is>
          <t>서울특별시 서초구 서초동</t>
        </is>
      </c>
      <c r="C308" s="41" t="inlineStr">
        <is>
          <t>1315</t>
        </is>
      </c>
      <c r="D308" s="41" t="inlineStr">
        <is>
          <t>1315</t>
        </is>
      </c>
      <c r="E308" s="41" t="inlineStr">
        <is>
          <t>0000</t>
        </is>
      </c>
      <c r="F308" s="42" t="inlineStr">
        <is>
          <t>진흥아파트</t>
        </is>
      </c>
      <c r="G308" s="41" t="inlineStr">
        <is>
          <t>101.3200</t>
        </is>
      </c>
      <c r="H308" s="41" t="inlineStr">
        <is>
          <t>202308</t>
        </is>
      </c>
      <c r="I308" s="41" t="inlineStr">
        <is>
          <t>05</t>
        </is>
      </c>
      <c r="J308" s="41" t="inlineStr">
        <is>
          <t>223,000</t>
        </is>
      </c>
      <c r="K308" s="41" t="inlineStr">
        <is>
          <t>2</t>
        </is>
      </c>
      <c r="L308" s="41" t="inlineStr">
        <is>
          <t>7</t>
        </is>
      </c>
      <c r="M308" s="41" t="inlineStr">
        <is>
          <t>-</t>
        </is>
      </c>
      <c r="N308" s="41" t="inlineStr">
        <is>
          <t>-</t>
        </is>
      </c>
      <c r="O308" s="41" t="inlineStr">
        <is>
          <t>1979</t>
        </is>
      </c>
      <c r="P308" s="42" t="inlineStr">
        <is>
          <t>서초대로 385</t>
        </is>
      </c>
      <c r="Q308" s="41" t="inlineStr">
        <is>
          <t>-</t>
        </is>
      </c>
      <c r="R308" s="42" t="inlineStr">
        <is>
          <t>중개거래</t>
        </is>
      </c>
      <c r="S308" s="42" t="inlineStr">
        <is>
          <t>서울 서초구</t>
        </is>
      </c>
      <c r="T308" s="41" t="inlineStr">
        <is>
          <t>23.10.30</t>
        </is>
      </c>
      <c r="U308" s="42" t="inlineStr">
        <is>
          <t>아파트</t>
        </is>
      </c>
    </row>
    <row r="309" hidden="1" ht="15" customHeight="1">
      <c r="A309" s="41" t="n">
        <v>305</v>
      </c>
      <c r="B309" s="42" t="inlineStr">
        <is>
          <t>서울특별시 서초구 서초동</t>
        </is>
      </c>
      <c r="C309" s="41" t="inlineStr">
        <is>
          <t>1333</t>
        </is>
      </c>
      <c r="D309" s="41" t="inlineStr">
        <is>
          <t>1333</t>
        </is>
      </c>
      <c r="E309" s="41" t="inlineStr">
        <is>
          <t>0000</t>
        </is>
      </c>
      <c r="F309" s="42" t="inlineStr">
        <is>
          <t>신동아아파트(1차)</t>
        </is>
      </c>
      <c r="G309" s="41" t="inlineStr">
        <is>
          <t>76.2100</t>
        </is>
      </c>
      <c r="H309" s="41" t="inlineStr">
        <is>
          <t>202308</t>
        </is>
      </c>
      <c r="I309" s="41" t="inlineStr">
        <is>
          <t>05</t>
        </is>
      </c>
      <c r="J309" s="41" t="inlineStr">
        <is>
          <t>174,500</t>
        </is>
      </c>
      <c r="K309" s="41" t="inlineStr">
        <is>
          <t>3</t>
        </is>
      </c>
      <c r="L309" s="41" t="inlineStr">
        <is>
          <t>10</t>
        </is>
      </c>
      <c r="M309" s="41" t="inlineStr">
        <is>
          <t>-</t>
        </is>
      </c>
      <c r="N309" s="41" t="inlineStr">
        <is>
          <t>-</t>
        </is>
      </c>
      <c r="O309" s="41" t="inlineStr">
        <is>
          <t>1978</t>
        </is>
      </c>
      <c r="P309" s="42" t="inlineStr">
        <is>
          <t>사임당로 137</t>
        </is>
      </c>
      <c r="Q309" s="41" t="inlineStr">
        <is>
          <t>-</t>
        </is>
      </c>
      <c r="R309" s="42" t="inlineStr">
        <is>
          <t>중개거래</t>
        </is>
      </c>
      <c r="S309" s="42" t="inlineStr">
        <is>
          <t>서울 서초구</t>
        </is>
      </c>
      <c r="T309" s="41" t="inlineStr">
        <is>
          <t>23.11.22</t>
        </is>
      </c>
      <c r="U309" s="42" t="inlineStr">
        <is>
          <t>아파트</t>
        </is>
      </c>
    </row>
    <row r="310" hidden="1" ht="15" customHeight="1">
      <c r="A310" s="41" t="n">
        <v>306</v>
      </c>
      <c r="B310" s="42" t="inlineStr">
        <is>
          <t>서울특별시 서초구 서초동</t>
        </is>
      </c>
      <c r="C310" s="41" t="inlineStr">
        <is>
          <t>1757</t>
        </is>
      </c>
      <c r="D310" s="41" t="inlineStr">
        <is>
          <t>1757</t>
        </is>
      </c>
      <c r="E310" s="41" t="inlineStr">
        <is>
          <t>0000</t>
        </is>
      </c>
      <c r="F310" s="42" t="inlineStr">
        <is>
          <t>서초그랑자이</t>
        </is>
      </c>
      <c r="G310" s="41" t="inlineStr">
        <is>
          <t>84.5100</t>
        </is>
      </c>
      <c r="H310" s="41" t="inlineStr">
        <is>
          <t>202308</t>
        </is>
      </c>
      <c r="I310" s="41" t="inlineStr">
        <is>
          <t>05</t>
        </is>
      </c>
      <c r="J310" s="41" t="inlineStr">
        <is>
          <t>301,000</t>
        </is>
      </c>
      <c r="K310" s="41" t="inlineStr">
        <is>
          <t>102동</t>
        </is>
      </c>
      <c r="L310" s="41" t="inlineStr">
        <is>
          <t>15</t>
        </is>
      </c>
      <c r="M310" s="41" t="inlineStr">
        <is>
          <t>-</t>
        </is>
      </c>
      <c r="N310" s="41" t="inlineStr">
        <is>
          <t>-</t>
        </is>
      </c>
      <c r="O310" s="41" t="inlineStr">
        <is>
          <t>2021</t>
        </is>
      </c>
      <c r="P310" s="42" t="inlineStr">
        <is>
          <t>효령로 391</t>
        </is>
      </c>
      <c r="Q310" s="41" t="inlineStr">
        <is>
          <t>-</t>
        </is>
      </c>
      <c r="R310" s="42" t="inlineStr">
        <is>
          <t>중개거래</t>
        </is>
      </c>
      <c r="S310" s="42" t="inlineStr">
        <is>
          <t>서울 서초구</t>
        </is>
      </c>
      <c r="T310" s="41" t="inlineStr">
        <is>
          <t>23.08.31</t>
        </is>
      </c>
      <c r="U310" s="42" t="inlineStr">
        <is>
          <t>아파트</t>
        </is>
      </c>
    </row>
    <row r="311" hidden="1" ht="15" customHeight="1">
      <c r="A311" s="41" t="n">
        <v>307</v>
      </c>
      <c r="B311" s="42" t="inlineStr">
        <is>
          <t>서울특별시 서초구 서초동</t>
        </is>
      </c>
      <c r="C311" s="41" t="inlineStr">
        <is>
          <t>1757</t>
        </is>
      </c>
      <c r="D311" s="41" t="inlineStr">
        <is>
          <t>1757</t>
        </is>
      </c>
      <c r="E311" s="41" t="inlineStr">
        <is>
          <t>0000</t>
        </is>
      </c>
      <c r="F311" s="42" t="inlineStr">
        <is>
          <t>서초그랑자이</t>
        </is>
      </c>
      <c r="G311" s="41" t="inlineStr">
        <is>
          <t>59.9800</t>
        </is>
      </c>
      <c r="H311" s="41" t="inlineStr">
        <is>
          <t>202308</t>
        </is>
      </c>
      <c r="I311" s="41" t="inlineStr">
        <is>
          <t>03</t>
        </is>
      </c>
      <c r="J311" s="41" t="inlineStr">
        <is>
          <t>227,500</t>
        </is>
      </c>
      <c r="K311" s="41" t="inlineStr">
        <is>
          <t>105동</t>
        </is>
      </c>
      <c r="L311" s="41" t="inlineStr">
        <is>
          <t>13</t>
        </is>
      </c>
      <c r="M311" s="41" t="inlineStr">
        <is>
          <t>-</t>
        </is>
      </c>
      <c r="N311" s="41" t="inlineStr">
        <is>
          <t>-</t>
        </is>
      </c>
      <c r="O311" s="41" t="inlineStr">
        <is>
          <t>2021</t>
        </is>
      </c>
      <c r="P311" s="42" t="inlineStr">
        <is>
          <t>효령로 391</t>
        </is>
      </c>
      <c r="Q311" s="41" t="inlineStr">
        <is>
          <t>-</t>
        </is>
      </c>
      <c r="R311" s="42" t="inlineStr">
        <is>
          <t>중개거래</t>
        </is>
      </c>
      <c r="S311" s="42" t="inlineStr">
        <is>
          <t>서울 서초구</t>
        </is>
      </c>
      <c r="T311" s="41" t="inlineStr">
        <is>
          <t>23.10.30</t>
        </is>
      </c>
      <c r="U311" s="42" t="inlineStr">
        <is>
          <t>아파트</t>
        </is>
      </c>
    </row>
    <row r="312" hidden="1" ht="15" customHeight="1">
      <c r="A312" s="41" t="n">
        <v>308</v>
      </c>
      <c r="B312" s="42" t="inlineStr">
        <is>
          <t>서울특별시 서초구 서초동</t>
        </is>
      </c>
      <c r="C312" s="41" t="inlineStr">
        <is>
          <t>1671-5</t>
        </is>
      </c>
      <c r="D312" s="41" t="inlineStr">
        <is>
          <t>1671</t>
        </is>
      </c>
      <c r="E312" s="41" t="inlineStr">
        <is>
          <t>0005</t>
        </is>
      </c>
      <c r="F312" s="42" t="inlineStr">
        <is>
          <t>대림서초리시온</t>
        </is>
      </c>
      <c r="G312" s="41" t="inlineStr">
        <is>
          <t>49.9200</t>
        </is>
      </c>
      <c r="H312" s="41" t="inlineStr">
        <is>
          <t>202308</t>
        </is>
      </c>
      <c r="I312" s="41" t="inlineStr">
        <is>
          <t>03</t>
        </is>
      </c>
      <c r="J312" s="41" t="inlineStr">
        <is>
          <t>50,250</t>
        </is>
      </c>
      <c r="K312" s="41" t="inlineStr">
        <is>
          <t>-</t>
        </is>
      </c>
      <c r="L312" s="41" t="inlineStr">
        <is>
          <t>4</t>
        </is>
      </c>
      <c r="M312" s="41" t="inlineStr">
        <is>
          <t>-</t>
        </is>
      </c>
      <c r="N312" s="41" t="inlineStr">
        <is>
          <t>-</t>
        </is>
      </c>
      <c r="O312" s="41" t="inlineStr">
        <is>
          <t>2003</t>
        </is>
      </c>
      <c r="P312" s="42" t="inlineStr">
        <is>
          <t>서초중앙로22길 25</t>
        </is>
      </c>
      <c r="Q312" s="41" t="inlineStr">
        <is>
          <t>-</t>
        </is>
      </c>
      <c r="R312" s="42" t="inlineStr">
        <is>
          <t>중개거래</t>
        </is>
      </c>
      <c r="S312" s="42" t="inlineStr">
        <is>
          <t>서울 서초구</t>
        </is>
      </c>
      <c r="T312" s="41" t="inlineStr">
        <is>
          <t>23.11.01</t>
        </is>
      </c>
      <c r="U312" s="42" t="inlineStr">
        <is>
          <t>아파트</t>
        </is>
      </c>
    </row>
    <row r="313" hidden="1" ht="15" customHeight="1">
      <c r="A313" s="41" t="n">
        <v>309</v>
      </c>
      <c r="B313" s="42" t="inlineStr">
        <is>
          <t>서울특별시 서초구 서초동</t>
        </is>
      </c>
      <c r="C313" s="41" t="inlineStr">
        <is>
          <t>1333</t>
        </is>
      </c>
      <c r="D313" s="41" t="inlineStr">
        <is>
          <t>1333</t>
        </is>
      </c>
      <c r="E313" s="41" t="inlineStr">
        <is>
          <t>0000</t>
        </is>
      </c>
      <c r="F313" s="42" t="inlineStr">
        <is>
          <t>신동아아파트(1차)</t>
        </is>
      </c>
      <c r="G313" s="41" t="inlineStr">
        <is>
          <t>101.6000</t>
        </is>
      </c>
      <c r="H313" s="41" t="inlineStr">
        <is>
          <t>202308</t>
        </is>
      </c>
      <c r="I313" s="41" t="inlineStr">
        <is>
          <t>03</t>
        </is>
      </c>
      <c r="J313" s="41" t="inlineStr">
        <is>
          <t>223,500</t>
        </is>
      </c>
      <c r="K313" s="41" t="inlineStr">
        <is>
          <t>3</t>
        </is>
      </c>
      <c r="L313" s="41" t="inlineStr">
        <is>
          <t>13</t>
        </is>
      </c>
      <c r="M313" s="41" t="inlineStr">
        <is>
          <t>-</t>
        </is>
      </c>
      <c r="N313" s="41" t="inlineStr">
        <is>
          <t>-</t>
        </is>
      </c>
      <c r="O313" s="41" t="inlineStr">
        <is>
          <t>1978</t>
        </is>
      </c>
      <c r="P313" s="42" t="inlineStr">
        <is>
          <t>사임당로 137</t>
        </is>
      </c>
      <c r="Q313" s="41" t="inlineStr">
        <is>
          <t>-</t>
        </is>
      </c>
      <c r="R313" s="42" t="inlineStr">
        <is>
          <t>중개거래</t>
        </is>
      </c>
      <c r="S313" s="42" t="inlineStr">
        <is>
          <t>서울 서초구 서울 성동구</t>
        </is>
      </c>
      <c r="T313" s="41" t="inlineStr">
        <is>
          <t>23.10.30</t>
        </is>
      </c>
      <c r="U313" s="42" t="inlineStr">
        <is>
          <t>아파트</t>
        </is>
      </c>
    </row>
    <row r="314" hidden="1" ht="15" customHeight="1">
      <c r="A314" s="41" t="n">
        <v>310</v>
      </c>
      <c r="B314" s="42" t="inlineStr">
        <is>
          <t>서울특별시 서초구 서초동</t>
        </is>
      </c>
      <c r="C314" s="41" t="inlineStr">
        <is>
          <t>1648-2</t>
        </is>
      </c>
      <c r="D314" s="41" t="inlineStr">
        <is>
          <t>1648</t>
        </is>
      </c>
      <c r="E314" s="41" t="inlineStr">
        <is>
          <t>0002</t>
        </is>
      </c>
      <c r="F314" s="42" t="inlineStr">
        <is>
          <t>서초현대</t>
        </is>
      </c>
      <c r="G314" s="41" t="inlineStr">
        <is>
          <t>84.7800</t>
        </is>
      </c>
      <c r="H314" s="41" t="inlineStr">
        <is>
          <t>202308</t>
        </is>
      </c>
      <c r="I314" s="41" t="inlineStr">
        <is>
          <t>03</t>
        </is>
      </c>
      <c r="J314" s="41" t="inlineStr">
        <is>
          <t>160,000</t>
        </is>
      </c>
      <c r="K314" s="41" t="inlineStr">
        <is>
          <t>101</t>
        </is>
      </c>
      <c r="L314" s="41" t="inlineStr">
        <is>
          <t>3</t>
        </is>
      </c>
      <c r="M314" s="41" t="inlineStr">
        <is>
          <t>-</t>
        </is>
      </c>
      <c r="N314" s="41" t="inlineStr">
        <is>
          <t>-</t>
        </is>
      </c>
      <c r="O314" s="41" t="inlineStr">
        <is>
          <t>1999</t>
        </is>
      </c>
      <c r="P314" s="42" t="inlineStr">
        <is>
          <t>사임당로19길 10</t>
        </is>
      </c>
      <c r="Q314" s="41" t="inlineStr">
        <is>
          <t>-</t>
        </is>
      </c>
      <c r="R314" s="42" t="inlineStr">
        <is>
          <t>중개거래</t>
        </is>
      </c>
      <c r="S314" s="42" t="inlineStr">
        <is>
          <t>서울 서초구</t>
        </is>
      </c>
      <c r="T314" s="41" t="inlineStr">
        <is>
          <t>23.12.15</t>
        </is>
      </c>
      <c r="U314" s="42" t="inlineStr">
        <is>
          <t>아파트</t>
        </is>
      </c>
    </row>
    <row r="315" hidden="1" ht="15" customHeight="1">
      <c r="A315" s="41" t="n">
        <v>311</v>
      </c>
      <c r="B315" s="42" t="inlineStr">
        <is>
          <t>서울특별시 서초구 서초동</t>
        </is>
      </c>
      <c r="C315" s="41" t="inlineStr">
        <is>
          <t>1757</t>
        </is>
      </c>
      <c r="D315" s="41" t="inlineStr">
        <is>
          <t>1757</t>
        </is>
      </c>
      <c r="E315" s="41" t="inlineStr">
        <is>
          <t>0000</t>
        </is>
      </c>
      <c r="F315" s="42" t="inlineStr">
        <is>
          <t>서초그랑자이</t>
        </is>
      </c>
      <c r="G315" s="41" t="inlineStr">
        <is>
          <t>84.8400</t>
        </is>
      </c>
      <c r="H315" s="41" t="inlineStr">
        <is>
          <t>202308</t>
        </is>
      </c>
      <c r="I315" s="41" t="inlineStr">
        <is>
          <t>03</t>
        </is>
      </c>
      <c r="J315" s="41" t="inlineStr">
        <is>
          <t>297,000</t>
        </is>
      </c>
      <c r="K315" s="41" t="inlineStr">
        <is>
          <t>104동</t>
        </is>
      </c>
      <c r="L315" s="41" t="inlineStr">
        <is>
          <t>20</t>
        </is>
      </c>
      <c r="M315" s="41" t="inlineStr">
        <is>
          <t>-</t>
        </is>
      </c>
      <c r="N315" s="41" t="inlineStr">
        <is>
          <t>-</t>
        </is>
      </c>
      <c r="O315" s="41" t="inlineStr">
        <is>
          <t>2021</t>
        </is>
      </c>
      <c r="P315" s="42" t="inlineStr">
        <is>
          <t>효령로 391</t>
        </is>
      </c>
      <c r="Q315" s="41" t="inlineStr">
        <is>
          <t>-</t>
        </is>
      </c>
      <c r="R315" s="42" t="inlineStr">
        <is>
          <t>중개거래</t>
        </is>
      </c>
      <c r="S315" s="42" t="inlineStr">
        <is>
          <t>서울 서초구</t>
        </is>
      </c>
      <c r="T315" s="41" t="inlineStr">
        <is>
          <t>24.01.17</t>
        </is>
      </c>
      <c r="U315" s="42" t="inlineStr">
        <is>
          <t>아파트</t>
        </is>
      </c>
    </row>
    <row r="316" hidden="1" ht="15" customHeight="1">
      <c r="A316" s="41" t="n">
        <v>312</v>
      </c>
      <c r="B316" s="42" t="inlineStr">
        <is>
          <t>서울특별시 서초구 서초동</t>
        </is>
      </c>
      <c r="C316" s="41" t="inlineStr">
        <is>
          <t>1648-2</t>
        </is>
      </c>
      <c r="D316" s="41" t="inlineStr">
        <is>
          <t>1648</t>
        </is>
      </c>
      <c r="E316" s="41" t="inlineStr">
        <is>
          <t>0002</t>
        </is>
      </c>
      <c r="F316" s="42" t="inlineStr">
        <is>
          <t>서초현대</t>
        </is>
      </c>
      <c r="G316" s="41" t="inlineStr">
        <is>
          <t>53.0100</t>
        </is>
      </c>
      <c r="H316" s="41" t="inlineStr">
        <is>
          <t>202308</t>
        </is>
      </c>
      <c r="I316" s="41" t="inlineStr">
        <is>
          <t>01</t>
        </is>
      </c>
      <c r="J316" s="41" t="inlineStr">
        <is>
          <t>120,500</t>
        </is>
      </c>
      <c r="K316" s="41" t="inlineStr">
        <is>
          <t>102</t>
        </is>
      </c>
      <c r="L316" s="41" t="inlineStr">
        <is>
          <t>3</t>
        </is>
      </c>
      <c r="M316" s="41" t="inlineStr">
        <is>
          <t>-</t>
        </is>
      </c>
      <c r="N316" s="41" t="inlineStr">
        <is>
          <t>-</t>
        </is>
      </c>
      <c r="O316" s="41" t="inlineStr">
        <is>
          <t>1999</t>
        </is>
      </c>
      <c r="P316" s="42" t="inlineStr">
        <is>
          <t>사임당로19길 10</t>
        </is>
      </c>
      <c r="Q316" s="41" t="inlineStr">
        <is>
          <t>-</t>
        </is>
      </c>
      <c r="R316" s="42" t="inlineStr">
        <is>
          <t>중개거래</t>
        </is>
      </c>
      <c r="S316" s="42" t="inlineStr">
        <is>
          <t>서울 서초구</t>
        </is>
      </c>
      <c r="T316" s="41" t="inlineStr">
        <is>
          <t>23.10.16</t>
        </is>
      </c>
      <c r="U316" s="42" t="inlineStr">
        <is>
          <t>아파트</t>
        </is>
      </c>
    </row>
    <row r="317" hidden="1" ht="15" customHeight="1">
      <c r="A317" s="41" t="n">
        <v>313</v>
      </c>
      <c r="B317" s="42" t="inlineStr">
        <is>
          <t>서울특별시 서초구 서초동</t>
        </is>
      </c>
      <c r="C317" s="41" t="inlineStr">
        <is>
          <t>1333</t>
        </is>
      </c>
      <c r="D317" s="41" t="inlineStr">
        <is>
          <t>1333</t>
        </is>
      </c>
      <c r="E317" s="41" t="inlineStr">
        <is>
          <t>0000</t>
        </is>
      </c>
      <c r="F317" s="42" t="inlineStr">
        <is>
          <t>신동아아파트(1차)</t>
        </is>
      </c>
      <c r="G317" s="41" t="inlineStr">
        <is>
          <t>86.6100</t>
        </is>
      </c>
      <c r="H317" s="41" t="inlineStr">
        <is>
          <t>202307</t>
        </is>
      </c>
      <c r="I317" s="41" t="inlineStr">
        <is>
          <t>31</t>
        </is>
      </c>
      <c r="J317" s="41" t="inlineStr">
        <is>
          <t>207,900</t>
        </is>
      </c>
      <c r="K317" s="41" t="inlineStr">
        <is>
          <t>7</t>
        </is>
      </c>
      <c r="L317" s="41" t="inlineStr">
        <is>
          <t>8</t>
        </is>
      </c>
      <c r="M317" s="41" t="inlineStr">
        <is>
          <t>-</t>
        </is>
      </c>
      <c r="N317" s="41" t="inlineStr">
        <is>
          <t>-</t>
        </is>
      </c>
      <c r="O317" s="41" t="inlineStr">
        <is>
          <t>1978</t>
        </is>
      </c>
      <c r="P317" s="42" t="inlineStr">
        <is>
          <t>사임당로 130</t>
        </is>
      </c>
      <c r="Q317" s="41" t="inlineStr">
        <is>
          <t>-</t>
        </is>
      </c>
      <c r="R317" s="42" t="inlineStr">
        <is>
          <t>중개거래</t>
        </is>
      </c>
      <c r="S317" s="42" t="inlineStr">
        <is>
          <t>서울 서초구</t>
        </is>
      </c>
      <c r="T317" s="41" t="inlineStr">
        <is>
          <t>23.11.28</t>
        </is>
      </c>
      <c r="U317" s="42" t="inlineStr">
        <is>
          <t>아파트</t>
        </is>
      </c>
    </row>
    <row r="318" hidden="1" ht="15" customHeight="1">
      <c r="A318" s="41" t="n">
        <v>314</v>
      </c>
      <c r="B318" s="42" t="inlineStr">
        <is>
          <t>서울특별시 서초구 서초동</t>
        </is>
      </c>
      <c r="C318" s="41" t="inlineStr">
        <is>
          <t>1312-3</t>
        </is>
      </c>
      <c r="D318" s="41" t="inlineStr">
        <is>
          <t>1312</t>
        </is>
      </c>
      <c r="E318" s="41" t="inlineStr">
        <is>
          <t>0003</t>
        </is>
      </c>
      <c r="F318" s="42" t="inlineStr">
        <is>
          <t>롯데캐슬클래식</t>
        </is>
      </c>
      <c r="G318" s="41" t="inlineStr">
        <is>
          <t>84.9800</t>
        </is>
      </c>
      <c r="H318" s="41" t="inlineStr">
        <is>
          <t>202307</t>
        </is>
      </c>
      <c r="I318" s="41" t="inlineStr">
        <is>
          <t>30</t>
        </is>
      </c>
      <c r="J318" s="41" t="inlineStr">
        <is>
          <t>220,000</t>
        </is>
      </c>
      <c r="K318" s="41" t="inlineStr">
        <is>
          <t>101</t>
        </is>
      </c>
      <c r="L318" s="41" t="inlineStr">
        <is>
          <t>15</t>
        </is>
      </c>
      <c r="M318" s="41" t="inlineStr">
        <is>
          <t>-</t>
        </is>
      </c>
      <c r="N318" s="41" t="inlineStr">
        <is>
          <t>-</t>
        </is>
      </c>
      <c r="O318" s="41" t="inlineStr">
        <is>
          <t>2006</t>
        </is>
      </c>
      <c r="P318" s="42" t="inlineStr">
        <is>
          <t>서운로 197</t>
        </is>
      </c>
      <c r="Q318" s="41" t="inlineStr">
        <is>
          <t>-</t>
        </is>
      </c>
      <c r="R318" s="42" t="inlineStr">
        <is>
          <t>중개거래</t>
        </is>
      </c>
      <c r="S318" s="42" t="inlineStr">
        <is>
          <t>서울 서초구</t>
        </is>
      </c>
      <c r="T318" s="41" t="inlineStr">
        <is>
          <t>23.12.11</t>
        </is>
      </c>
      <c r="U318" s="42" t="inlineStr">
        <is>
          <t>아파트</t>
        </is>
      </c>
    </row>
    <row r="319" hidden="1" ht="15" customHeight="1">
      <c r="A319" s="41" t="n">
        <v>315</v>
      </c>
      <c r="B319" s="42" t="inlineStr">
        <is>
          <t>서울특별시 서초구 서초동</t>
        </is>
      </c>
      <c r="C319" s="41" t="inlineStr">
        <is>
          <t>1582-3</t>
        </is>
      </c>
      <c r="D319" s="41" t="inlineStr">
        <is>
          <t>1582</t>
        </is>
      </c>
      <c r="E319" s="41" t="inlineStr">
        <is>
          <t>0003</t>
        </is>
      </c>
      <c r="F319" s="42" t="inlineStr">
        <is>
          <t>서초센트럴IPARK</t>
        </is>
      </c>
      <c r="G319" s="41" t="inlineStr">
        <is>
          <t>80.5981</t>
        </is>
      </c>
      <c r="H319" s="41" t="inlineStr">
        <is>
          <t>202307</t>
        </is>
      </c>
      <c r="I319" s="41" t="inlineStr">
        <is>
          <t>29</t>
        </is>
      </c>
      <c r="J319" s="41" t="inlineStr">
        <is>
          <t>150,000</t>
        </is>
      </c>
      <c r="K319" s="41" t="inlineStr">
        <is>
          <t>101동</t>
        </is>
      </c>
      <c r="L319" s="41" t="inlineStr">
        <is>
          <t>6</t>
        </is>
      </c>
      <c r="M319" s="41" t="inlineStr">
        <is>
          <t>-</t>
        </is>
      </c>
      <c r="N319" s="41" t="inlineStr">
        <is>
          <t>-</t>
        </is>
      </c>
      <c r="O319" s="41" t="inlineStr">
        <is>
          <t>2020</t>
        </is>
      </c>
      <c r="P319" s="42" t="inlineStr">
        <is>
          <t>반포대로18길 36</t>
        </is>
      </c>
      <c r="Q319" s="41" t="inlineStr">
        <is>
          <t>-</t>
        </is>
      </c>
      <c r="R319" s="42" t="inlineStr">
        <is>
          <t>중개거래</t>
        </is>
      </c>
      <c r="S319" s="42" t="inlineStr">
        <is>
          <t>서울 서초구</t>
        </is>
      </c>
      <c r="T319" s="41" t="inlineStr">
        <is>
          <t>23.08.22</t>
        </is>
      </c>
      <c r="U319" s="42" t="inlineStr">
        <is>
          <t>아파트</t>
        </is>
      </c>
    </row>
    <row r="320" hidden="1" ht="15" customHeight="1">
      <c r="A320" s="41" t="n">
        <v>316</v>
      </c>
      <c r="B320" s="42" t="inlineStr">
        <is>
          <t>서울특별시 서초구 서초동</t>
        </is>
      </c>
      <c r="C320" s="41" t="inlineStr">
        <is>
          <t>1330</t>
        </is>
      </c>
      <c r="D320" s="41" t="inlineStr">
        <is>
          <t>1330</t>
        </is>
      </c>
      <c r="E320" s="41" t="inlineStr">
        <is>
          <t>0000</t>
        </is>
      </c>
      <c r="F320" s="42" t="inlineStr">
        <is>
          <t>서초동삼성쉐르빌2</t>
        </is>
      </c>
      <c r="G320" s="41" t="inlineStr">
        <is>
          <t>35.2200</t>
        </is>
      </c>
      <c r="H320" s="41" t="inlineStr">
        <is>
          <t>202307</t>
        </is>
      </c>
      <c r="I320" s="41" t="inlineStr">
        <is>
          <t>29</t>
        </is>
      </c>
      <c r="J320" s="41" t="inlineStr">
        <is>
          <t>30,000</t>
        </is>
      </c>
      <c r="K320" s="41" t="inlineStr">
        <is>
          <t>-</t>
        </is>
      </c>
      <c r="L320" s="41" t="inlineStr">
        <is>
          <t>6</t>
        </is>
      </c>
      <c r="M320" s="41" t="inlineStr">
        <is>
          <t>-</t>
        </is>
      </c>
      <c r="N320" s="41" t="inlineStr">
        <is>
          <t>-</t>
        </is>
      </c>
      <c r="O320" s="41" t="inlineStr">
        <is>
          <t>2002</t>
        </is>
      </c>
      <c r="P320" s="42" t="inlineStr">
        <is>
          <t>강남대로53길 11</t>
        </is>
      </c>
      <c r="Q320" s="41" t="inlineStr">
        <is>
          <t>-</t>
        </is>
      </c>
      <c r="R320" s="42" t="inlineStr">
        <is>
          <t>중개거래</t>
        </is>
      </c>
      <c r="S320" s="42" t="inlineStr">
        <is>
          <t>서울 서초구</t>
        </is>
      </c>
      <c r="T320" s="41" t="inlineStr">
        <is>
          <t>23.10.30</t>
        </is>
      </c>
      <c r="U320" s="42" t="inlineStr">
        <is>
          <t>아파트</t>
        </is>
      </c>
    </row>
    <row r="321" hidden="1" ht="15" customHeight="1">
      <c r="A321" s="41" t="n">
        <v>317</v>
      </c>
      <c r="B321" s="42" t="inlineStr">
        <is>
          <t>서울특별시 서초구 서초동</t>
        </is>
      </c>
      <c r="C321" s="41" t="inlineStr">
        <is>
          <t>1687</t>
        </is>
      </c>
      <c r="D321" s="41" t="inlineStr">
        <is>
          <t>1687</t>
        </is>
      </c>
      <c r="E321" s="41" t="inlineStr">
        <is>
          <t>0000</t>
        </is>
      </c>
      <c r="F321" s="42" t="inlineStr">
        <is>
          <t>유원서초</t>
        </is>
      </c>
      <c r="G321" s="41" t="inlineStr">
        <is>
          <t>84.8200</t>
        </is>
      </c>
      <c r="H321" s="41" t="inlineStr">
        <is>
          <t>202307</t>
        </is>
      </c>
      <c r="I321" s="41" t="inlineStr">
        <is>
          <t>29</t>
        </is>
      </c>
      <c r="J321" s="41" t="inlineStr">
        <is>
          <t>175,500</t>
        </is>
      </c>
      <c r="K321" s="41" t="inlineStr">
        <is>
          <t>104</t>
        </is>
      </c>
      <c r="L321" s="41" t="inlineStr">
        <is>
          <t>10</t>
        </is>
      </c>
      <c r="M321" s="41" t="inlineStr">
        <is>
          <t>-</t>
        </is>
      </c>
      <c r="N321" s="41" t="inlineStr">
        <is>
          <t>-</t>
        </is>
      </c>
      <c r="O321" s="41" t="inlineStr">
        <is>
          <t>1993</t>
        </is>
      </c>
      <c r="P321" s="42" t="inlineStr">
        <is>
          <t>서초중앙로24길 43</t>
        </is>
      </c>
      <c r="Q321" s="41" t="inlineStr">
        <is>
          <t>-</t>
        </is>
      </c>
      <c r="R321" s="42" t="inlineStr">
        <is>
          <t>중개거래</t>
        </is>
      </c>
      <c r="S321" s="42" t="inlineStr">
        <is>
          <t>서울 서초구</t>
        </is>
      </c>
      <c r="T321" s="41" t="inlineStr">
        <is>
          <t>23.10.04</t>
        </is>
      </c>
      <c r="U321" s="42" t="inlineStr">
        <is>
          <t>아파트</t>
        </is>
      </c>
    </row>
    <row r="322" hidden="1" ht="15" customHeight="1">
      <c r="A322" s="41" t="n">
        <v>318</v>
      </c>
      <c r="B322" s="42" t="inlineStr">
        <is>
          <t>서울특별시 서초구 서초동</t>
        </is>
      </c>
      <c r="C322" s="41" t="inlineStr">
        <is>
          <t>1685</t>
        </is>
      </c>
      <c r="D322" s="41" t="inlineStr">
        <is>
          <t>1685</t>
        </is>
      </c>
      <c r="E322" s="41" t="inlineStr">
        <is>
          <t>0000</t>
        </is>
      </c>
      <c r="F322" s="42" t="inlineStr">
        <is>
          <t>삼풍아파트</t>
        </is>
      </c>
      <c r="G322" s="41" t="inlineStr">
        <is>
          <t>79.4700</t>
        </is>
      </c>
      <c r="H322" s="41" t="inlineStr">
        <is>
          <t>202307</t>
        </is>
      </c>
      <c r="I322" s="41" t="inlineStr">
        <is>
          <t>29</t>
        </is>
      </c>
      <c r="J322" s="41" t="inlineStr">
        <is>
          <t>247,000</t>
        </is>
      </c>
      <c r="K322" s="41" t="inlineStr">
        <is>
          <t>1</t>
        </is>
      </c>
      <c r="L322" s="41" t="inlineStr">
        <is>
          <t>12</t>
        </is>
      </c>
      <c r="M322" s="41" t="inlineStr">
        <is>
          <t>-</t>
        </is>
      </c>
      <c r="N322" s="41" t="inlineStr">
        <is>
          <t>-</t>
        </is>
      </c>
      <c r="O322" s="41" t="inlineStr">
        <is>
          <t>1988</t>
        </is>
      </c>
      <c r="P322" s="42" t="inlineStr">
        <is>
          <t>서초중앙로 200</t>
        </is>
      </c>
      <c r="Q322" s="41" t="inlineStr">
        <is>
          <t>-</t>
        </is>
      </c>
      <c r="R322" s="42" t="inlineStr">
        <is>
          <t>중개거래</t>
        </is>
      </c>
      <c r="S322" s="42" t="inlineStr">
        <is>
          <t>서울 강남구 서울 서초구</t>
        </is>
      </c>
      <c r="T322" s="41" t="inlineStr">
        <is>
          <t>23.09.15</t>
        </is>
      </c>
      <c r="U322" s="42" t="inlineStr">
        <is>
          <t>아파트</t>
        </is>
      </c>
    </row>
    <row r="323" hidden="1" ht="15" customHeight="1">
      <c r="A323" s="41" t="n">
        <v>319</v>
      </c>
      <c r="B323" s="42" t="inlineStr">
        <is>
          <t>서울특별시 서초구 서초동</t>
        </is>
      </c>
      <c r="C323" s="41" t="inlineStr">
        <is>
          <t>1344-22</t>
        </is>
      </c>
      <c r="D323" s="41" t="inlineStr">
        <is>
          <t>1344</t>
        </is>
      </c>
      <c r="E323" s="41" t="inlineStr">
        <is>
          <t>0022</t>
        </is>
      </c>
      <c r="F323" s="42" t="inlineStr">
        <is>
          <t>서초자연인아파트(101동)</t>
        </is>
      </c>
      <c r="G323" s="41" t="inlineStr">
        <is>
          <t>34.3500</t>
        </is>
      </c>
      <c r="H323" s="41" t="inlineStr">
        <is>
          <t>202307</t>
        </is>
      </c>
      <c r="I323" s="41" t="inlineStr">
        <is>
          <t>29</t>
        </is>
      </c>
      <c r="J323" s="41" t="inlineStr">
        <is>
          <t>41,000</t>
        </is>
      </c>
      <c r="K323" s="41" t="inlineStr">
        <is>
          <t>1</t>
        </is>
      </c>
      <c r="L323" s="41" t="inlineStr">
        <is>
          <t>6</t>
        </is>
      </c>
      <c r="M323" s="41" t="inlineStr">
        <is>
          <t>-</t>
        </is>
      </c>
      <c r="N323" s="41" t="inlineStr">
        <is>
          <t>-</t>
        </is>
      </c>
      <c r="O323" s="41" t="inlineStr">
        <is>
          <t>2012</t>
        </is>
      </c>
      <c r="P323" s="42" t="inlineStr">
        <is>
          <t>서운로9길 18</t>
        </is>
      </c>
      <c r="Q323" s="41" t="inlineStr">
        <is>
          <t>-</t>
        </is>
      </c>
      <c r="R323" s="42" t="inlineStr">
        <is>
          <t>중개거래</t>
        </is>
      </c>
      <c r="S323" s="42" t="inlineStr">
        <is>
          <t>서울 서초구</t>
        </is>
      </c>
      <c r="T323" s="41" t="inlineStr">
        <is>
          <t>23.11.17</t>
        </is>
      </c>
      <c r="U323" s="42" t="inlineStr">
        <is>
          <t>아파트</t>
        </is>
      </c>
    </row>
    <row r="324" hidden="1" ht="15" customHeight="1">
      <c r="A324" s="41" t="n">
        <v>320</v>
      </c>
      <c r="B324" s="42" t="inlineStr">
        <is>
          <t>서울특별시 서초구 서초동</t>
        </is>
      </c>
      <c r="C324" s="41" t="inlineStr">
        <is>
          <t>1363-25</t>
        </is>
      </c>
      <c r="D324" s="41" t="inlineStr">
        <is>
          <t>1363</t>
        </is>
      </c>
      <c r="E324" s="41" t="inlineStr">
        <is>
          <t>0025</t>
        </is>
      </c>
      <c r="F324" s="42" t="inlineStr">
        <is>
          <t>한라비발디스튜디오193</t>
        </is>
      </c>
      <c r="G324" s="41" t="inlineStr">
        <is>
          <t>19.9900</t>
        </is>
      </c>
      <c r="H324" s="41" t="inlineStr">
        <is>
          <t>202307</t>
        </is>
      </c>
      <c r="I324" s="41" t="inlineStr">
        <is>
          <t>28</t>
        </is>
      </c>
      <c r="J324" s="41" t="inlineStr">
        <is>
          <t>25,700</t>
        </is>
      </c>
      <c r="K324" s="42" t="inlineStr">
        <is>
          <t>한라비발디스튜디오193</t>
        </is>
      </c>
      <c r="L324" s="41" t="inlineStr">
        <is>
          <t>6</t>
        </is>
      </c>
      <c r="M324" s="41" t="inlineStr">
        <is>
          <t>-</t>
        </is>
      </c>
      <c r="N324" s="41" t="inlineStr">
        <is>
          <t>-</t>
        </is>
      </c>
      <c r="O324" s="41" t="inlineStr">
        <is>
          <t>2013</t>
        </is>
      </c>
      <c r="P324" s="42" t="inlineStr">
        <is>
          <t>강남대로39길 15-10</t>
        </is>
      </c>
      <c r="Q324" s="41" t="inlineStr">
        <is>
          <t>-</t>
        </is>
      </c>
      <c r="R324" s="42" t="inlineStr">
        <is>
          <t>중개거래</t>
        </is>
      </c>
      <c r="S324" s="42" t="inlineStr">
        <is>
          <t>서울 서초구</t>
        </is>
      </c>
      <c r="T324" s="41" t="inlineStr">
        <is>
          <t>23.08.18</t>
        </is>
      </c>
      <c r="U324" s="42" t="inlineStr">
        <is>
          <t>아파트</t>
        </is>
      </c>
    </row>
    <row r="325" hidden="1" ht="15" customHeight="1">
      <c r="A325" s="41" t="n">
        <v>321</v>
      </c>
      <c r="B325" s="42" t="inlineStr">
        <is>
          <t>서울특별시 서초구 서초동</t>
        </is>
      </c>
      <c r="C325" s="41" t="inlineStr">
        <is>
          <t>1620-20</t>
        </is>
      </c>
      <c r="D325" s="41" t="inlineStr">
        <is>
          <t>1620</t>
        </is>
      </c>
      <c r="E325" s="41" t="inlineStr">
        <is>
          <t>0020</t>
        </is>
      </c>
      <c r="F325" s="42" t="inlineStr">
        <is>
          <t>서초동롯데캐슬리버티</t>
        </is>
      </c>
      <c r="G325" s="41" t="inlineStr">
        <is>
          <t>125.7900</t>
        </is>
      </c>
      <c r="H325" s="41" t="inlineStr">
        <is>
          <t>202307</t>
        </is>
      </c>
      <c r="I325" s="41" t="inlineStr">
        <is>
          <t>28</t>
        </is>
      </c>
      <c r="J325" s="41" t="inlineStr">
        <is>
          <t>197,000</t>
        </is>
      </c>
      <c r="K325" s="41" t="inlineStr">
        <is>
          <t>-</t>
        </is>
      </c>
      <c r="L325" s="41" t="inlineStr">
        <is>
          <t>6</t>
        </is>
      </c>
      <c r="M325" s="41" t="inlineStr">
        <is>
          <t>-</t>
        </is>
      </c>
      <c r="N325" s="41" t="inlineStr">
        <is>
          <t>-</t>
        </is>
      </c>
      <c r="O325" s="41" t="inlineStr">
        <is>
          <t>2005</t>
        </is>
      </c>
      <c r="P325" s="42" t="inlineStr">
        <is>
          <t>사임당로10길 39</t>
        </is>
      </c>
      <c r="Q325" s="41" t="inlineStr">
        <is>
          <t>20231018</t>
        </is>
      </c>
      <c r="R325" s="42" t="inlineStr">
        <is>
          <t>중개거래</t>
        </is>
      </c>
      <c r="S325" s="42" t="inlineStr">
        <is>
          <t>서울 서초구</t>
        </is>
      </c>
      <c r="T325" s="41" t="inlineStr">
        <is>
          <t>-</t>
        </is>
      </c>
      <c r="U325" s="42" t="inlineStr">
        <is>
          <t>아파트</t>
        </is>
      </c>
    </row>
    <row r="326" hidden="1" ht="15" customHeight="1">
      <c r="A326" s="41" t="n">
        <v>322</v>
      </c>
      <c r="B326" s="42" t="inlineStr">
        <is>
          <t>서울특별시 서초구 서초동</t>
        </is>
      </c>
      <c r="C326" s="41" t="inlineStr">
        <is>
          <t>1620-20</t>
        </is>
      </c>
      <c r="D326" s="41" t="inlineStr">
        <is>
          <t>1620</t>
        </is>
      </c>
      <c r="E326" s="41" t="inlineStr">
        <is>
          <t>0020</t>
        </is>
      </c>
      <c r="F326" s="42" t="inlineStr">
        <is>
          <t>서초동롯데캐슬리버티</t>
        </is>
      </c>
      <c r="G326" s="41" t="inlineStr">
        <is>
          <t>125.7900</t>
        </is>
      </c>
      <c r="H326" s="41" t="inlineStr">
        <is>
          <t>202307</t>
        </is>
      </c>
      <c r="I326" s="41" t="inlineStr">
        <is>
          <t>28</t>
        </is>
      </c>
      <c r="J326" s="41" t="inlineStr">
        <is>
          <t>197,000</t>
        </is>
      </c>
      <c r="K326" s="41" t="inlineStr">
        <is>
          <t>102</t>
        </is>
      </c>
      <c r="L326" s="41" t="inlineStr">
        <is>
          <t>6</t>
        </is>
      </c>
      <c r="M326" s="41" t="inlineStr">
        <is>
          <t>-</t>
        </is>
      </c>
      <c r="N326" s="41" t="inlineStr">
        <is>
          <t>-</t>
        </is>
      </c>
      <c r="O326" s="41" t="inlineStr">
        <is>
          <t>2005</t>
        </is>
      </c>
      <c r="P326" s="42" t="inlineStr">
        <is>
          <t>사임당로10길 39</t>
        </is>
      </c>
      <c r="Q326" s="41" t="inlineStr">
        <is>
          <t>-</t>
        </is>
      </c>
      <c r="R326" s="42" t="inlineStr">
        <is>
          <t>중개거래</t>
        </is>
      </c>
      <c r="S326" s="42" t="inlineStr">
        <is>
          <t>서울 서초구</t>
        </is>
      </c>
      <c r="T326" s="41" t="inlineStr">
        <is>
          <t>23.10.23</t>
        </is>
      </c>
      <c r="U326" s="42" t="inlineStr">
        <is>
          <t>아파트</t>
        </is>
      </c>
    </row>
    <row r="327" hidden="1" ht="15" customHeight="1">
      <c r="A327" s="41" t="n">
        <v>323</v>
      </c>
      <c r="B327" s="42" t="inlineStr">
        <is>
          <t>서울특별시 서초구 서초동</t>
        </is>
      </c>
      <c r="C327" s="41" t="inlineStr">
        <is>
          <t>1333</t>
        </is>
      </c>
      <c r="D327" s="41" t="inlineStr">
        <is>
          <t>1333</t>
        </is>
      </c>
      <c r="E327" s="41" t="inlineStr">
        <is>
          <t>0000</t>
        </is>
      </c>
      <c r="F327" s="42" t="inlineStr">
        <is>
          <t>신동아아파트(1차)</t>
        </is>
      </c>
      <c r="G327" s="41" t="inlineStr">
        <is>
          <t>75.8600</t>
        </is>
      </c>
      <c r="H327" s="41" t="inlineStr">
        <is>
          <t>202307</t>
        </is>
      </c>
      <c r="I327" s="41" t="inlineStr">
        <is>
          <t>28</t>
        </is>
      </c>
      <c r="J327" s="41" t="inlineStr">
        <is>
          <t>175,000</t>
        </is>
      </c>
      <c r="K327" s="41" t="inlineStr">
        <is>
          <t>7</t>
        </is>
      </c>
      <c r="L327" s="41" t="inlineStr">
        <is>
          <t>10</t>
        </is>
      </c>
      <c r="M327" s="41" t="inlineStr">
        <is>
          <t>-</t>
        </is>
      </c>
      <c r="N327" s="41" t="inlineStr">
        <is>
          <t>-</t>
        </is>
      </c>
      <c r="O327" s="41" t="inlineStr">
        <is>
          <t>1978</t>
        </is>
      </c>
      <c r="P327" s="42" t="inlineStr">
        <is>
          <t>사임당로 130</t>
        </is>
      </c>
      <c r="Q327" s="41" t="inlineStr">
        <is>
          <t>-</t>
        </is>
      </c>
      <c r="R327" s="42" t="inlineStr">
        <is>
          <t>중개거래</t>
        </is>
      </c>
      <c r="S327" s="42" t="inlineStr">
        <is>
          <t>서울 서초구</t>
        </is>
      </c>
      <c r="T327" s="41" t="inlineStr">
        <is>
          <t>23.10.17</t>
        </is>
      </c>
      <c r="U327" s="42" t="inlineStr">
        <is>
          <t>아파트</t>
        </is>
      </c>
    </row>
    <row r="328" hidden="1" ht="15" customHeight="1">
      <c r="A328" s="41" t="n">
        <v>324</v>
      </c>
      <c r="B328" s="42" t="inlineStr">
        <is>
          <t>서울특별시 서초구 서초동</t>
        </is>
      </c>
      <c r="C328" s="41" t="inlineStr">
        <is>
          <t>1362-10</t>
        </is>
      </c>
      <c r="D328" s="41" t="inlineStr">
        <is>
          <t>1362</t>
        </is>
      </c>
      <c r="E328" s="41" t="inlineStr">
        <is>
          <t>0010</t>
        </is>
      </c>
      <c r="F328" s="42" t="inlineStr">
        <is>
          <t>서초노블레스아파트</t>
        </is>
      </c>
      <c r="G328" s="41" t="inlineStr">
        <is>
          <t>29.4700</t>
        </is>
      </c>
      <c r="H328" s="41" t="inlineStr">
        <is>
          <t>202307</t>
        </is>
      </c>
      <c r="I328" s="41" t="inlineStr">
        <is>
          <t>28</t>
        </is>
      </c>
      <c r="J328" s="41" t="inlineStr">
        <is>
          <t>49,700</t>
        </is>
      </c>
      <c r="K328" s="41" t="inlineStr">
        <is>
          <t>-</t>
        </is>
      </c>
      <c r="L328" s="41" t="inlineStr">
        <is>
          <t>7</t>
        </is>
      </c>
      <c r="M328" s="41" t="inlineStr">
        <is>
          <t>-</t>
        </is>
      </c>
      <c r="N328" s="41" t="inlineStr">
        <is>
          <t>-</t>
        </is>
      </c>
      <c r="O328" s="41" t="inlineStr">
        <is>
          <t>2019</t>
        </is>
      </c>
      <c r="P328" s="42" t="inlineStr">
        <is>
          <t>강남대로39길 15-11</t>
        </is>
      </c>
      <c r="Q328" s="41" t="inlineStr">
        <is>
          <t>-</t>
        </is>
      </c>
      <c r="R328" s="42" t="inlineStr">
        <is>
          <t>중개거래</t>
        </is>
      </c>
      <c r="S328" s="42" t="inlineStr">
        <is>
          <t>서울 강남구</t>
        </is>
      </c>
      <c r="T328" s="41" t="inlineStr">
        <is>
          <t>23.11.30</t>
        </is>
      </c>
      <c r="U328" s="42" t="inlineStr">
        <is>
          <t>아파트</t>
        </is>
      </c>
    </row>
    <row r="329" hidden="1" ht="15" customHeight="1">
      <c r="A329" s="41" t="n">
        <v>325</v>
      </c>
      <c r="B329" s="42" t="inlineStr">
        <is>
          <t>서울특별시 서초구 서초동</t>
        </is>
      </c>
      <c r="C329" s="41" t="inlineStr">
        <is>
          <t>1754</t>
        </is>
      </c>
      <c r="D329" s="41" t="inlineStr">
        <is>
          <t>1754</t>
        </is>
      </c>
      <c r="E329" s="41" t="inlineStr">
        <is>
          <t>0000</t>
        </is>
      </c>
      <c r="F329" s="42" t="inlineStr">
        <is>
          <t>래미안서초에스티지S</t>
        </is>
      </c>
      <c r="G329" s="41" t="inlineStr">
        <is>
          <t>84.9600</t>
        </is>
      </c>
      <c r="H329" s="41" t="inlineStr">
        <is>
          <t>202307</t>
        </is>
      </c>
      <c r="I329" s="41" t="inlineStr">
        <is>
          <t>27</t>
        </is>
      </c>
      <c r="J329" s="41" t="inlineStr">
        <is>
          <t>255,000</t>
        </is>
      </c>
      <c r="K329" s="41" t="inlineStr">
        <is>
          <t>203</t>
        </is>
      </c>
      <c r="L329" s="41" t="inlineStr">
        <is>
          <t>16</t>
        </is>
      </c>
      <c r="M329" s="41" t="inlineStr">
        <is>
          <t>-</t>
        </is>
      </c>
      <c r="N329" s="41" t="inlineStr">
        <is>
          <t>-</t>
        </is>
      </c>
      <c r="O329" s="41" t="inlineStr">
        <is>
          <t>2018</t>
        </is>
      </c>
      <c r="P329" s="42" t="inlineStr">
        <is>
          <t>서운로 104</t>
        </is>
      </c>
      <c r="Q329" s="41" t="inlineStr">
        <is>
          <t>-</t>
        </is>
      </c>
      <c r="R329" s="42" t="inlineStr">
        <is>
          <t>중개거래</t>
        </is>
      </c>
      <c r="S329" s="42" t="inlineStr">
        <is>
          <t>서울 서초구</t>
        </is>
      </c>
      <c r="T329" s="41" t="inlineStr">
        <is>
          <t>23.09.25</t>
        </is>
      </c>
      <c r="U329" s="42" t="inlineStr">
        <is>
          <t>아파트</t>
        </is>
      </c>
    </row>
    <row r="330" hidden="1" ht="15" customHeight="1">
      <c r="A330" s="41" t="n">
        <v>326</v>
      </c>
      <c r="B330" s="42" t="inlineStr">
        <is>
          <t>서울특별시 서초구 서초동</t>
        </is>
      </c>
      <c r="C330" s="41" t="inlineStr">
        <is>
          <t>1647-1</t>
        </is>
      </c>
      <c r="D330" s="41" t="inlineStr">
        <is>
          <t>1647</t>
        </is>
      </c>
      <c r="E330" s="41" t="inlineStr">
        <is>
          <t>0001</t>
        </is>
      </c>
      <c r="F330" s="42" t="inlineStr">
        <is>
          <t>롯데캐슬스파</t>
        </is>
      </c>
      <c r="G330" s="41" t="inlineStr">
        <is>
          <t>194.5100</t>
        </is>
      </c>
      <c r="H330" s="41" t="inlineStr">
        <is>
          <t>202307</t>
        </is>
      </c>
      <c r="I330" s="41" t="inlineStr">
        <is>
          <t>27</t>
        </is>
      </c>
      <c r="J330" s="41" t="inlineStr">
        <is>
          <t>197,000</t>
        </is>
      </c>
      <c r="K330" s="41" t="inlineStr">
        <is>
          <t>101</t>
        </is>
      </c>
      <c r="L330" s="41" t="inlineStr">
        <is>
          <t>1</t>
        </is>
      </c>
      <c r="M330" s="41" t="inlineStr">
        <is>
          <t>-</t>
        </is>
      </c>
      <c r="N330" s="41" t="inlineStr">
        <is>
          <t>-</t>
        </is>
      </c>
      <c r="O330" s="41" t="inlineStr">
        <is>
          <t>2003</t>
        </is>
      </c>
      <c r="P330" s="42" t="inlineStr">
        <is>
          <t>사임당로23길 12</t>
        </is>
      </c>
      <c r="Q330" s="41" t="inlineStr">
        <is>
          <t>-</t>
        </is>
      </c>
      <c r="R330" s="42" t="inlineStr">
        <is>
          <t>중개거래</t>
        </is>
      </c>
      <c r="S330" s="42" t="inlineStr">
        <is>
          <t>서울 서초구</t>
        </is>
      </c>
      <c r="T330" s="41" t="inlineStr">
        <is>
          <t>23.10.04</t>
        </is>
      </c>
      <c r="U330" s="42" t="inlineStr">
        <is>
          <t>아파트</t>
        </is>
      </c>
    </row>
    <row r="331" hidden="1" ht="15" customHeight="1">
      <c r="A331" s="41" t="n">
        <v>327</v>
      </c>
      <c r="B331" s="42" t="inlineStr">
        <is>
          <t>서울특별시 서초구 서초동</t>
        </is>
      </c>
      <c r="C331" s="41" t="inlineStr">
        <is>
          <t>1620-20</t>
        </is>
      </c>
      <c r="D331" s="41" t="inlineStr">
        <is>
          <t>1620</t>
        </is>
      </c>
      <c r="E331" s="41" t="inlineStr">
        <is>
          <t>0020</t>
        </is>
      </c>
      <c r="F331" s="42" t="inlineStr">
        <is>
          <t>서초동롯데캐슬리버티</t>
        </is>
      </c>
      <c r="G331" s="41" t="inlineStr">
        <is>
          <t>117.8700</t>
        </is>
      </c>
      <c r="H331" s="41" t="inlineStr">
        <is>
          <t>202307</t>
        </is>
      </c>
      <c r="I331" s="41" t="inlineStr">
        <is>
          <t>27</t>
        </is>
      </c>
      <c r="J331" s="41" t="inlineStr">
        <is>
          <t>200,000</t>
        </is>
      </c>
      <c r="K331" s="41" t="inlineStr">
        <is>
          <t>101</t>
        </is>
      </c>
      <c r="L331" s="41" t="inlineStr">
        <is>
          <t>8</t>
        </is>
      </c>
      <c r="M331" s="41" t="inlineStr">
        <is>
          <t>-</t>
        </is>
      </c>
      <c r="N331" s="41" t="inlineStr">
        <is>
          <t>-</t>
        </is>
      </c>
      <c r="O331" s="41" t="inlineStr">
        <is>
          <t>2005</t>
        </is>
      </c>
      <c r="P331" s="42" t="inlineStr">
        <is>
          <t>사임당로10길 39</t>
        </is>
      </c>
      <c r="Q331" s="41" t="inlineStr">
        <is>
          <t>-</t>
        </is>
      </c>
      <c r="R331" s="42" t="inlineStr">
        <is>
          <t>중개거래</t>
        </is>
      </c>
      <c r="S331" s="42" t="inlineStr">
        <is>
          <t>서울 서초구</t>
        </is>
      </c>
      <c r="T331" s="41" t="inlineStr">
        <is>
          <t>23.10.31</t>
        </is>
      </c>
      <c r="U331" s="42" t="inlineStr">
        <is>
          <t>아파트</t>
        </is>
      </c>
    </row>
    <row r="332" hidden="1" ht="15" customHeight="1">
      <c r="A332" s="41" t="n">
        <v>328</v>
      </c>
      <c r="B332" s="42" t="inlineStr">
        <is>
          <t>서울특별시 서초구 서초동</t>
        </is>
      </c>
      <c r="C332" s="41" t="inlineStr">
        <is>
          <t>1648-2</t>
        </is>
      </c>
      <c r="D332" s="41" t="inlineStr">
        <is>
          <t>1648</t>
        </is>
      </c>
      <c r="E332" s="41" t="inlineStr">
        <is>
          <t>0002</t>
        </is>
      </c>
      <c r="F332" s="42" t="inlineStr">
        <is>
          <t>서초현대</t>
        </is>
      </c>
      <c r="G332" s="41" t="inlineStr">
        <is>
          <t>54.4500</t>
        </is>
      </c>
      <c r="H332" s="41" t="inlineStr">
        <is>
          <t>202307</t>
        </is>
      </c>
      <c r="I332" s="41" t="inlineStr">
        <is>
          <t>27</t>
        </is>
      </c>
      <c r="J332" s="41" t="inlineStr">
        <is>
          <t>122,000</t>
        </is>
      </c>
      <c r="K332" s="41" t="inlineStr">
        <is>
          <t>102</t>
        </is>
      </c>
      <c r="L332" s="41" t="inlineStr">
        <is>
          <t>15</t>
        </is>
      </c>
      <c r="M332" s="41" t="inlineStr">
        <is>
          <t>-</t>
        </is>
      </c>
      <c r="N332" s="41" t="inlineStr">
        <is>
          <t>-</t>
        </is>
      </c>
      <c r="O332" s="41" t="inlineStr">
        <is>
          <t>1999</t>
        </is>
      </c>
      <c r="P332" s="42" t="inlineStr">
        <is>
          <t>사임당로19길 10</t>
        </is>
      </c>
      <c r="Q332" s="41" t="inlineStr">
        <is>
          <t>-</t>
        </is>
      </c>
      <c r="R332" s="42" t="inlineStr">
        <is>
          <t>중개거래</t>
        </is>
      </c>
      <c r="S332" s="42" t="inlineStr">
        <is>
          <t>서울 서초구</t>
        </is>
      </c>
      <c r="T332" s="41" t="inlineStr">
        <is>
          <t>23.12.08</t>
        </is>
      </c>
      <c r="U332" s="42" t="inlineStr">
        <is>
          <t>아파트</t>
        </is>
      </c>
    </row>
    <row r="333" hidden="1" ht="15" customHeight="1">
      <c r="A333" s="41" t="n">
        <v>329</v>
      </c>
      <c r="B333" s="42" t="inlineStr">
        <is>
          <t>서울특별시 서초구 서초동</t>
        </is>
      </c>
      <c r="C333" s="41" t="inlineStr">
        <is>
          <t>1685</t>
        </is>
      </c>
      <c r="D333" s="41" t="inlineStr">
        <is>
          <t>1685</t>
        </is>
      </c>
      <c r="E333" s="41" t="inlineStr">
        <is>
          <t>0000</t>
        </is>
      </c>
      <c r="F333" s="42" t="inlineStr">
        <is>
          <t>삼풍아파트</t>
        </is>
      </c>
      <c r="G333" s="41" t="inlineStr">
        <is>
          <t>165.9200</t>
        </is>
      </c>
      <c r="H333" s="41" t="inlineStr">
        <is>
          <t>202307</t>
        </is>
      </c>
      <c r="I333" s="41" t="inlineStr">
        <is>
          <t>27</t>
        </is>
      </c>
      <c r="J333" s="41" t="inlineStr">
        <is>
          <t>400,000</t>
        </is>
      </c>
      <c r="K333" s="41" t="inlineStr">
        <is>
          <t>18</t>
        </is>
      </c>
      <c r="L333" s="41" t="inlineStr">
        <is>
          <t>15</t>
        </is>
      </c>
      <c r="M333" s="41" t="inlineStr">
        <is>
          <t>-</t>
        </is>
      </c>
      <c r="N333" s="41" t="inlineStr">
        <is>
          <t>-</t>
        </is>
      </c>
      <c r="O333" s="41" t="inlineStr">
        <is>
          <t>1988</t>
        </is>
      </c>
      <c r="P333" s="42" t="inlineStr">
        <is>
          <t>서초중앙로 200</t>
        </is>
      </c>
      <c r="Q333" s="41" t="inlineStr">
        <is>
          <t>-</t>
        </is>
      </c>
      <c r="R333" s="42" t="inlineStr">
        <is>
          <t>중개거래</t>
        </is>
      </c>
      <c r="S333" s="42" t="inlineStr">
        <is>
          <t>서울 서초구</t>
        </is>
      </c>
      <c r="T333" s="41" t="inlineStr">
        <is>
          <t>23.10.23</t>
        </is>
      </c>
      <c r="U333" s="42" t="inlineStr">
        <is>
          <t>아파트</t>
        </is>
      </c>
    </row>
    <row r="334" hidden="1" ht="15" customHeight="1">
      <c r="A334" s="41" t="n">
        <v>330</v>
      </c>
      <c r="B334" s="42" t="inlineStr">
        <is>
          <t>서울특별시 서초구 서초동</t>
        </is>
      </c>
      <c r="C334" s="41" t="inlineStr">
        <is>
          <t>1685</t>
        </is>
      </c>
      <c r="D334" s="41" t="inlineStr">
        <is>
          <t>1685</t>
        </is>
      </c>
      <c r="E334" s="41" t="inlineStr">
        <is>
          <t>0000</t>
        </is>
      </c>
      <c r="F334" s="42" t="inlineStr">
        <is>
          <t>삼풍아파트</t>
        </is>
      </c>
      <c r="G334" s="41" t="inlineStr">
        <is>
          <t>165.9200</t>
        </is>
      </c>
      <c r="H334" s="41" t="inlineStr">
        <is>
          <t>202307</t>
        </is>
      </c>
      <c r="I334" s="41" t="inlineStr">
        <is>
          <t>27</t>
        </is>
      </c>
      <c r="J334" s="41" t="inlineStr">
        <is>
          <t>400,000</t>
        </is>
      </c>
      <c r="K334" s="41" t="inlineStr">
        <is>
          <t>-</t>
        </is>
      </c>
      <c r="L334" s="41" t="inlineStr">
        <is>
          <t>15</t>
        </is>
      </c>
      <c r="M334" s="41" t="inlineStr">
        <is>
          <t>-</t>
        </is>
      </c>
      <c r="N334" s="41" t="inlineStr">
        <is>
          <t>-</t>
        </is>
      </c>
      <c r="O334" s="41" t="inlineStr">
        <is>
          <t>1988</t>
        </is>
      </c>
      <c r="P334" s="42" t="inlineStr">
        <is>
          <t>서초중앙로 200</t>
        </is>
      </c>
      <c r="Q334" s="41" t="inlineStr">
        <is>
          <t>20230821</t>
        </is>
      </c>
      <c r="R334" s="42" t="inlineStr">
        <is>
          <t>중개거래</t>
        </is>
      </c>
      <c r="S334" s="42" t="inlineStr">
        <is>
          <t>서울 서초구</t>
        </is>
      </c>
      <c r="T334" s="41" t="inlineStr">
        <is>
          <t>-</t>
        </is>
      </c>
      <c r="U334" s="42" t="inlineStr">
        <is>
          <t>아파트</t>
        </is>
      </c>
    </row>
    <row r="335" hidden="1" ht="15" customHeight="1">
      <c r="A335" s="41" t="n">
        <v>331</v>
      </c>
      <c r="B335" s="42" t="inlineStr">
        <is>
          <t>서울특별시 서초구 서초동</t>
        </is>
      </c>
      <c r="C335" s="41" t="inlineStr">
        <is>
          <t>1312-3</t>
        </is>
      </c>
      <c r="D335" s="41" t="inlineStr">
        <is>
          <t>1312</t>
        </is>
      </c>
      <c r="E335" s="41" t="inlineStr">
        <is>
          <t>0003</t>
        </is>
      </c>
      <c r="F335" s="42" t="inlineStr">
        <is>
          <t>롯데캐슬클래식</t>
        </is>
      </c>
      <c r="G335" s="41" t="inlineStr">
        <is>
          <t>120.1800</t>
        </is>
      </c>
      <c r="H335" s="41" t="inlineStr">
        <is>
          <t>202307</t>
        </is>
      </c>
      <c r="I335" s="41" t="inlineStr">
        <is>
          <t>27</t>
        </is>
      </c>
      <c r="J335" s="41" t="inlineStr">
        <is>
          <t>287,000</t>
        </is>
      </c>
      <c r="K335" s="41" t="inlineStr">
        <is>
          <t>113</t>
        </is>
      </c>
      <c r="L335" s="41" t="inlineStr">
        <is>
          <t>13</t>
        </is>
      </c>
      <c r="M335" s="41" t="inlineStr">
        <is>
          <t>-</t>
        </is>
      </c>
      <c r="N335" s="41" t="inlineStr">
        <is>
          <t>-</t>
        </is>
      </c>
      <c r="O335" s="41" t="inlineStr">
        <is>
          <t>2006</t>
        </is>
      </c>
      <c r="P335" s="42" t="inlineStr">
        <is>
          <t>서운로 200</t>
        </is>
      </c>
      <c r="Q335" s="41" t="inlineStr">
        <is>
          <t>-</t>
        </is>
      </c>
      <c r="R335" s="42" t="inlineStr">
        <is>
          <t>중개거래</t>
        </is>
      </c>
      <c r="S335" s="42" t="inlineStr">
        <is>
          <t>서울 서초구</t>
        </is>
      </c>
      <c r="T335" s="41" t="inlineStr">
        <is>
          <t>23.11.30</t>
        </is>
      </c>
      <c r="U335" s="42" t="inlineStr">
        <is>
          <t>아파트</t>
        </is>
      </c>
    </row>
    <row r="336" hidden="1" ht="15" customHeight="1">
      <c r="A336" s="41" t="n">
        <v>332</v>
      </c>
      <c r="B336" s="42" t="inlineStr">
        <is>
          <t>서울특별시 서초구 서초동</t>
        </is>
      </c>
      <c r="C336" s="41" t="inlineStr">
        <is>
          <t>1333</t>
        </is>
      </c>
      <c r="D336" s="41" t="inlineStr">
        <is>
          <t>1333</t>
        </is>
      </c>
      <c r="E336" s="41" t="inlineStr">
        <is>
          <t>0000</t>
        </is>
      </c>
      <c r="F336" s="42" t="inlineStr">
        <is>
          <t>신동아아파트(1차)</t>
        </is>
      </c>
      <c r="G336" s="41" t="inlineStr">
        <is>
          <t>132.1000</t>
        </is>
      </c>
      <c r="H336" s="41" t="inlineStr">
        <is>
          <t>202307</t>
        </is>
      </c>
      <c r="I336" s="41" t="inlineStr">
        <is>
          <t>24</t>
        </is>
      </c>
      <c r="J336" s="41" t="inlineStr">
        <is>
          <t>272,000</t>
        </is>
      </c>
      <c r="K336" s="41" t="inlineStr">
        <is>
          <t>6</t>
        </is>
      </c>
      <c r="L336" s="41" t="inlineStr">
        <is>
          <t>6</t>
        </is>
      </c>
      <c r="M336" s="41" t="inlineStr">
        <is>
          <t>-</t>
        </is>
      </c>
      <c r="N336" s="41" t="inlineStr">
        <is>
          <t>-</t>
        </is>
      </c>
      <c r="O336" s="41" t="inlineStr">
        <is>
          <t>1978</t>
        </is>
      </c>
      <c r="P336" s="42" t="inlineStr">
        <is>
          <t>사임당로 130</t>
        </is>
      </c>
      <c r="Q336" s="41" t="inlineStr">
        <is>
          <t>-</t>
        </is>
      </c>
      <c r="R336" s="42" t="inlineStr">
        <is>
          <t>중개거래</t>
        </is>
      </c>
      <c r="S336" s="42" t="inlineStr">
        <is>
          <t>서울 강남구 서울 서초구</t>
        </is>
      </c>
      <c r="T336" s="41" t="inlineStr">
        <is>
          <t>23.10.31</t>
        </is>
      </c>
      <c r="U336" s="42" t="inlineStr">
        <is>
          <t>아파트</t>
        </is>
      </c>
    </row>
    <row r="337" hidden="1" ht="15" customHeight="1">
      <c r="A337" s="41" t="n">
        <v>333</v>
      </c>
      <c r="B337" s="42" t="inlineStr">
        <is>
          <t>서울특별시 서초구 서초동</t>
        </is>
      </c>
      <c r="C337" s="41" t="inlineStr">
        <is>
          <t>1350-13</t>
        </is>
      </c>
      <c r="D337" s="41" t="inlineStr">
        <is>
          <t>1350</t>
        </is>
      </c>
      <c r="E337" s="41" t="inlineStr">
        <is>
          <t>0013</t>
        </is>
      </c>
      <c r="F337" s="42" t="inlineStr">
        <is>
          <t>동원베네스트아파트</t>
        </is>
      </c>
      <c r="G337" s="41" t="inlineStr">
        <is>
          <t>84.9000</t>
        </is>
      </c>
      <c r="H337" s="41" t="inlineStr">
        <is>
          <t>202307</t>
        </is>
      </c>
      <c r="I337" s="41" t="inlineStr">
        <is>
          <t>23</t>
        </is>
      </c>
      <c r="J337" s="41" t="inlineStr">
        <is>
          <t>160,000</t>
        </is>
      </c>
      <c r="K337" s="41" t="inlineStr">
        <is>
          <t>102</t>
        </is>
      </c>
      <c r="L337" s="41" t="inlineStr">
        <is>
          <t>8</t>
        </is>
      </c>
      <c r="M337" s="41" t="inlineStr">
        <is>
          <t>-</t>
        </is>
      </c>
      <c r="N337" s="41" t="inlineStr">
        <is>
          <t>-</t>
        </is>
      </c>
      <c r="O337" s="41" t="inlineStr">
        <is>
          <t>2002</t>
        </is>
      </c>
      <c r="P337" s="42" t="inlineStr">
        <is>
          <t>서운로9길 63</t>
        </is>
      </c>
      <c r="Q337" s="41" t="inlineStr">
        <is>
          <t>-</t>
        </is>
      </c>
      <c r="R337" s="42" t="inlineStr">
        <is>
          <t>중개거래</t>
        </is>
      </c>
      <c r="S337" s="42" t="inlineStr">
        <is>
          <t>서울 서초구</t>
        </is>
      </c>
      <c r="T337" s="41" t="inlineStr">
        <is>
          <t>23.10.16</t>
        </is>
      </c>
      <c r="U337" s="42" t="inlineStr">
        <is>
          <t>아파트</t>
        </is>
      </c>
    </row>
    <row r="338" hidden="1" ht="15" customHeight="1">
      <c r="A338" s="41" t="n">
        <v>334</v>
      </c>
      <c r="B338" s="42" t="inlineStr">
        <is>
          <t>서울특별시 서초구 서초동</t>
        </is>
      </c>
      <c r="C338" s="41" t="inlineStr">
        <is>
          <t>1757</t>
        </is>
      </c>
      <c r="D338" s="41" t="inlineStr">
        <is>
          <t>1757</t>
        </is>
      </c>
      <c r="E338" s="41" t="inlineStr">
        <is>
          <t>0000</t>
        </is>
      </c>
      <c r="F338" s="42" t="inlineStr">
        <is>
          <t>서초그랑자이</t>
        </is>
      </c>
      <c r="G338" s="41" t="inlineStr">
        <is>
          <t>119.4100</t>
        </is>
      </c>
      <c r="H338" s="41" t="inlineStr">
        <is>
          <t>202307</t>
        </is>
      </c>
      <c r="I338" s="41" t="inlineStr">
        <is>
          <t>23</t>
        </is>
      </c>
      <c r="J338" s="41" t="inlineStr">
        <is>
          <t>405,000</t>
        </is>
      </c>
      <c r="K338" s="41" t="inlineStr">
        <is>
          <t>106동</t>
        </is>
      </c>
      <c r="L338" s="41" t="inlineStr">
        <is>
          <t>27</t>
        </is>
      </c>
      <c r="M338" s="41" t="inlineStr">
        <is>
          <t>-</t>
        </is>
      </c>
      <c r="N338" s="41" t="inlineStr">
        <is>
          <t>-</t>
        </is>
      </c>
      <c r="O338" s="41" t="inlineStr">
        <is>
          <t>2021</t>
        </is>
      </c>
      <c r="P338" s="42" t="inlineStr">
        <is>
          <t>효령로 391</t>
        </is>
      </c>
      <c r="Q338" s="41" t="inlineStr">
        <is>
          <t>-</t>
        </is>
      </c>
      <c r="R338" s="42" t="inlineStr">
        <is>
          <t>중개거래</t>
        </is>
      </c>
      <c r="S338" s="42" t="inlineStr">
        <is>
          <t>서울 서초구</t>
        </is>
      </c>
      <c r="T338" s="41" t="inlineStr">
        <is>
          <t>23.10.10</t>
        </is>
      </c>
      <c r="U338" s="42" t="inlineStr">
        <is>
          <t>아파트</t>
        </is>
      </c>
    </row>
    <row r="339" hidden="1" ht="15" customHeight="1">
      <c r="A339" s="41" t="n">
        <v>335</v>
      </c>
      <c r="B339" s="42" t="inlineStr">
        <is>
          <t>서울특별시 서초구 서초동</t>
        </is>
      </c>
      <c r="C339" s="41" t="inlineStr">
        <is>
          <t>1685</t>
        </is>
      </c>
      <c r="D339" s="41" t="inlineStr">
        <is>
          <t>1685</t>
        </is>
      </c>
      <c r="E339" s="41" t="inlineStr">
        <is>
          <t>0000</t>
        </is>
      </c>
      <c r="F339" s="42" t="inlineStr">
        <is>
          <t>삼풍아파트</t>
        </is>
      </c>
      <c r="G339" s="41" t="inlineStr">
        <is>
          <t>130.7300</t>
        </is>
      </c>
      <c r="H339" s="41" t="inlineStr">
        <is>
          <t>202307</t>
        </is>
      </c>
      <c r="I339" s="41" t="inlineStr">
        <is>
          <t>22</t>
        </is>
      </c>
      <c r="J339" s="41" t="inlineStr">
        <is>
          <t>330,000</t>
        </is>
      </c>
      <c r="K339" s="41" t="inlineStr">
        <is>
          <t>19</t>
        </is>
      </c>
      <c r="L339" s="41" t="inlineStr">
        <is>
          <t>15</t>
        </is>
      </c>
      <c r="M339" s="41" t="inlineStr">
        <is>
          <t>-</t>
        </is>
      </c>
      <c r="N339" s="41" t="inlineStr">
        <is>
          <t>-</t>
        </is>
      </c>
      <c r="O339" s="41" t="inlineStr">
        <is>
          <t>1988</t>
        </is>
      </c>
      <c r="P339" s="42" t="inlineStr">
        <is>
          <t>서초중앙로 200</t>
        </is>
      </c>
      <c r="Q339" s="41" t="inlineStr">
        <is>
          <t>-</t>
        </is>
      </c>
      <c r="R339" s="42" t="inlineStr">
        <is>
          <t>중개거래</t>
        </is>
      </c>
      <c r="S339" s="42" t="inlineStr">
        <is>
          <t>서울 서초구</t>
        </is>
      </c>
      <c r="T339" s="41" t="inlineStr">
        <is>
          <t>23.10.31</t>
        </is>
      </c>
      <c r="U339" s="42" t="inlineStr">
        <is>
          <t>아파트</t>
        </is>
      </c>
    </row>
    <row r="340" hidden="1" ht="15" customHeight="1">
      <c r="A340" s="41" t="n">
        <v>336</v>
      </c>
      <c r="B340" s="42" t="inlineStr">
        <is>
          <t>서울특별시 서초구 서초동</t>
        </is>
      </c>
      <c r="C340" s="41" t="inlineStr">
        <is>
          <t>1687</t>
        </is>
      </c>
      <c r="D340" s="41" t="inlineStr">
        <is>
          <t>1687</t>
        </is>
      </c>
      <c r="E340" s="41" t="inlineStr">
        <is>
          <t>0000</t>
        </is>
      </c>
      <c r="F340" s="42" t="inlineStr">
        <is>
          <t>유원서초</t>
        </is>
      </c>
      <c r="G340" s="41" t="inlineStr">
        <is>
          <t>84.8200</t>
        </is>
      </c>
      <c r="H340" s="41" t="inlineStr">
        <is>
          <t>202307</t>
        </is>
      </c>
      <c r="I340" s="41" t="inlineStr">
        <is>
          <t>22</t>
        </is>
      </c>
      <c r="J340" s="41" t="inlineStr">
        <is>
          <t>196,000</t>
        </is>
      </c>
      <c r="K340" s="41" t="inlineStr">
        <is>
          <t>102</t>
        </is>
      </c>
      <c r="L340" s="41" t="inlineStr">
        <is>
          <t>14</t>
        </is>
      </c>
      <c r="M340" s="41" t="inlineStr">
        <is>
          <t>-</t>
        </is>
      </c>
      <c r="N340" s="41" t="inlineStr">
        <is>
          <t>-</t>
        </is>
      </c>
      <c r="O340" s="41" t="inlineStr">
        <is>
          <t>1993</t>
        </is>
      </c>
      <c r="P340" s="42" t="inlineStr">
        <is>
          <t>서초중앙로24길 43</t>
        </is>
      </c>
      <c r="Q340" s="41" t="inlineStr">
        <is>
          <t>-</t>
        </is>
      </c>
      <c r="R340" s="42" t="inlineStr">
        <is>
          <t>중개거래</t>
        </is>
      </c>
      <c r="S340" s="42" t="inlineStr">
        <is>
          <t>서울 서초구</t>
        </is>
      </c>
      <c r="T340" s="41" t="inlineStr">
        <is>
          <t>23.10.31</t>
        </is>
      </c>
      <c r="U340" s="42" t="inlineStr">
        <is>
          <t>아파트</t>
        </is>
      </c>
    </row>
    <row r="341" hidden="1" ht="15" customHeight="1">
      <c r="A341" s="41" t="n">
        <v>337</v>
      </c>
      <c r="B341" s="42" t="inlineStr">
        <is>
          <t>서울특별시 서초구 서초동</t>
        </is>
      </c>
      <c r="C341" s="41" t="inlineStr">
        <is>
          <t>1648-2</t>
        </is>
      </c>
      <c r="D341" s="41" t="inlineStr">
        <is>
          <t>1648</t>
        </is>
      </c>
      <c r="E341" s="41" t="inlineStr">
        <is>
          <t>0002</t>
        </is>
      </c>
      <c r="F341" s="42" t="inlineStr">
        <is>
          <t>서초현대</t>
        </is>
      </c>
      <c r="G341" s="41" t="inlineStr">
        <is>
          <t>54.4500</t>
        </is>
      </c>
      <c r="H341" s="41" t="inlineStr">
        <is>
          <t>202307</t>
        </is>
      </c>
      <c r="I341" s="41" t="inlineStr">
        <is>
          <t>22</t>
        </is>
      </c>
      <c r="J341" s="41" t="inlineStr">
        <is>
          <t>119,900</t>
        </is>
      </c>
      <c r="K341" s="41" t="inlineStr">
        <is>
          <t>102</t>
        </is>
      </c>
      <c r="L341" s="41" t="inlineStr">
        <is>
          <t>4</t>
        </is>
      </c>
      <c r="M341" s="41" t="inlineStr">
        <is>
          <t>-</t>
        </is>
      </c>
      <c r="N341" s="41" t="inlineStr">
        <is>
          <t>-</t>
        </is>
      </c>
      <c r="O341" s="41" t="inlineStr">
        <is>
          <t>1999</t>
        </is>
      </c>
      <c r="P341" s="42" t="inlineStr">
        <is>
          <t>사임당로19길 10</t>
        </is>
      </c>
      <c r="Q341" s="41" t="inlineStr">
        <is>
          <t>-</t>
        </is>
      </c>
      <c r="R341" s="42" t="inlineStr">
        <is>
          <t>중개거래</t>
        </is>
      </c>
      <c r="S341" s="42" t="inlineStr">
        <is>
          <t>서울 서초구</t>
        </is>
      </c>
      <c r="T341" s="41" t="inlineStr">
        <is>
          <t>23.11.15</t>
        </is>
      </c>
      <c r="U341" s="42" t="inlineStr">
        <is>
          <t>아파트</t>
        </is>
      </c>
    </row>
    <row r="342" hidden="1" ht="15" customHeight="1">
      <c r="A342" s="41" t="n">
        <v>338</v>
      </c>
      <c r="B342" s="42" t="inlineStr">
        <is>
          <t>서울특별시 서초구 서초동</t>
        </is>
      </c>
      <c r="C342" s="41" t="inlineStr">
        <is>
          <t>1445-4</t>
        </is>
      </c>
      <c r="D342" s="41" t="inlineStr">
        <is>
          <t>1445</t>
        </is>
      </c>
      <c r="E342" s="41" t="inlineStr">
        <is>
          <t>0004</t>
        </is>
      </c>
      <c r="F342" s="42" t="inlineStr">
        <is>
          <t>래미안서초유니빌</t>
        </is>
      </c>
      <c r="G342" s="41" t="inlineStr">
        <is>
          <t>35.3830</t>
        </is>
      </c>
      <c r="H342" s="41" t="inlineStr">
        <is>
          <t>202307</t>
        </is>
      </c>
      <c r="I342" s="41" t="inlineStr">
        <is>
          <t>21</t>
        </is>
      </c>
      <c r="J342" s="41" t="inlineStr">
        <is>
          <t>39,000</t>
        </is>
      </c>
      <c r="K342" s="42" t="inlineStr">
        <is>
          <t>래미안 서초유니빌</t>
        </is>
      </c>
      <c r="L342" s="41" t="inlineStr">
        <is>
          <t>15</t>
        </is>
      </c>
      <c r="M342" s="41" t="inlineStr">
        <is>
          <t>-</t>
        </is>
      </c>
      <c r="N342" s="41" t="inlineStr">
        <is>
          <t>-</t>
        </is>
      </c>
      <c r="O342" s="41" t="inlineStr">
        <is>
          <t>2003</t>
        </is>
      </c>
      <c r="P342" s="42" t="inlineStr">
        <is>
          <t>서초중앙로 26</t>
        </is>
      </c>
      <c r="Q342" s="41" t="inlineStr">
        <is>
          <t>-</t>
        </is>
      </c>
      <c r="R342" s="42" t="inlineStr">
        <is>
          <t>중개거래</t>
        </is>
      </c>
      <c r="S342" s="42" t="inlineStr">
        <is>
          <t>서울 구로구</t>
        </is>
      </c>
      <c r="T342" s="41" t="inlineStr">
        <is>
          <t>23.09.04</t>
        </is>
      </c>
      <c r="U342" s="42" t="inlineStr">
        <is>
          <t>아파트</t>
        </is>
      </c>
    </row>
    <row r="343" hidden="1" ht="15" customHeight="1">
      <c r="A343" s="41" t="n">
        <v>339</v>
      </c>
      <c r="B343" s="42" t="inlineStr">
        <is>
          <t>서울특별시 서초구 서초동</t>
        </is>
      </c>
      <c r="C343" s="41" t="inlineStr">
        <is>
          <t>1316-15</t>
        </is>
      </c>
      <c r="D343" s="41" t="inlineStr">
        <is>
          <t>1316</t>
        </is>
      </c>
      <c r="E343" s="41" t="inlineStr">
        <is>
          <t>0015</t>
        </is>
      </c>
      <c r="F343" s="42" t="inlineStr">
        <is>
          <t>현대성우주상복합아파트</t>
        </is>
      </c>
      <c r="G343" s="41" t="inlineStr">
        <is>
          <t>150.8500</t>
        </is>
      </c>
      <c r="H343" s="41" t="inlineStr">
        <is>
          <t>202307</t>
        </is>
      </c>
      <c r="I343" s="41" t="inlineStr">
        <is>
          <t>20</t>
        </is>
      </c>
      <c r="J343" s="41" t="inlineStr">
        <is>
          <t>165,000</t>
        </is>
      </c>
      <c r="K343" s="41" t="inlineStr">
        <is>
          <t>-</t>
        </is>
      </c>
      <c r="L343" s="41" t="inlineStr">
        <is>
          <t>5</t>
        </is>
      </c>
      <c r="M343" s="41" t="inlineStr">
        <is>
          <t>-</t>
        </is>
      </c>
      <c r="N343" s="41" t="inlineStr">
        <is>
          <t>-</t>
        </is>
      </c>
      <c r="O343" s="41" t="inlineStr">
        <is>
          <t>2002</t>
        </is>
      </c>
      <c r="P343" s="42" t="inlineStr">
        <is>
          <t>강남대로61길 23</t>
        </is>
      </c>
      <c r="Q343" s="41" t="inlineStr">
        <is>
          <t>-</t>
        </is>
      </c>
      <c r="R343" s="42" t="inlineStr">
        <is>
          <t>중개거래</t>
        </is>
      </c>
      <c r="S343" s="42" t="inlineStr">
        <is>
          <t>서울 서초구</t>
        </is>
      </c>
      <c r="T343" s="41" t="inlineStr">
        <is>
          <t>23.07.27</t>
        </is>
      </c>
      <c r="U343" s="42" t="inlineStr">
        <is>
          <t>아파트</t>
        </is>
      </c>
    </row>
    <row r="344" hidden="1" ht="15" customHeight="1">
      <c r="A344" s="41" t="n">
        <v>340</v>
      </c>
      <c r="B344" s="42" t="inlineStr">
        <is>
          <t>서울특별시 서초구 서초동</t>
        </is>
      </c>
      <c r="C344" s="41" t="inlineStr">
        <is>
          <t>1685-3</t>
        </is>
      </c>
      <c r="D344" s="41" t="inlineStr">
        <is>
          <t>1685</t>
        </is>
      </c>
      <c r="E344" s="41" t="inlineStr">
        <is>
          <t>0003</t>
        </is>
      </c>
      <c r="F344" s="42" t="inlineStr">
        <is>
          <t>아크로비스타</t>
        </is>
      </c>
      <c r="G344" s="41" t="inlineStr">
        <is>
          <t>138.9600</t>
        </is>
      </c>
      <c r="H344" s="41" t="inlineStr">
        <is>
          <t>202307</t>
        </is>
      </c>
      <c r="I344" s="41" t="inlineStr">
        <is>
          <t>19</t>
        </is>
      </c>
      <c r="J344" s="41" t="inlineStr">
        <is>
          <t>248,000</t>
        </is>
      </c>
      <c r="K344" s="41" t="inlineStr">
        <is>
          <t>B</t>
        </is>
      </c>
      <c r="L344" s="41" t="inlineStr">
        <is>
          <t>18</t>
        </is>
      </c>
      <c r="M344" s="41" t="inlineStr">
        <is>
          <t>-</t>
        </is>
      </c>
      <c r="N344" s="41" t="inlineStr">
        <is>
          <t>-</t>
        </is>
      </c>
      <c r="O344" s="41" t="inlineStr">
        <is>
          <t>2004</t>
        </is>
      </c>
      <c r="P344" s="42" t="inlineStr">
        <is>
          <t>서초중앙로 188</t>
        </is>
      </c>
      <c r="Q344" s="41" t="inlineStr">
        <is>
          <t>-</t>
        </is>
      </c>
      <c r="R344" s="42" t="inlineStr">
        <is>
          <t>중개거래</t>
        </is>
      </c>
      <c r="S344" s="42" t="inlineStr">
        <is>
          <t>서울 강남구 서울 서초구</t>
        </is>
      </c>
      <c r="T344" s="41" t="inlineStr">
        <is>
          <t>23.08.21</t>
        </is>
      </c>
      <c r="U344" s="42" t="inlineStr">
        <is>
          <t>아파트</t>
        </is>
      </c>
    </row>
    <row r="345" hidden="1" ht="15" customHeight="1">
      <c r="A345" s="41" t="n">
        <v>341</v>
      </c>
      <c r="B345" s="42" t="inlineStr">
        <is>
          <t>서울특별시 서초구 서초동</t>
        </is>
      </c>
      <c r="C345" s="41" t="inlineStr">
        <is>
          <t>1333</t>
        </is>
      </c>
      <c r="D345" s="41" t="inlineStr">
        <is>
          <t>1333</t>
        </is>
      </c>
      <c r="E345" s="41" t="inlineStr">
        <is>
          <t>0000</t>
        </is>
      </c>
      <c r="F345" s="42" t="inlineStr">
        <is>
          <t>신동아아파트(1차)</t>
        </is>
      </c>
      <c r="G345" s="41" t="inlineStr">
        <is>
          <t>86.6100</t>
        </is>
      </c>
      <c r="H345" s="41" t="inlineStr">
        <is>
          <t>202307</t>
        </is>
      </c>
      <c r="I345" s="41" t="inlineStr">
        <is>
          <t>19</t>
        </is>
      </c>
      <c r="J345" s="41" t="inlineStr">
        <is>
          <t>211,000</t>
        </is>
      </c>
      <c r="K345" s="41" t="inlineStr">
        <is>
          <t>7</t>
        </is>
      </c>
      <c r="L345" s="41" t="inlineStr">
        <is>
          <t>6</t>
        </is>
      </c>
      <c r="M345" s="41" t="inlineStr">
        <is>
          <t>-</t>
        </is>
      </c>
      <c r="N345" s="41" t="inlineStr">
        <is>
          <t>-</t>
        </is>
      </c>
      <c r="O345" s="41" t="inlineStr">
        <is>
          <t>1978</t>
        </is>
      </c>
      <c r="P345" s="42" t="inlineStr">
        <is>
          <t>사임당로 130</t>
        </is>
      </c>
      <c r="Q345" s="41" t="inlineStr">
        <is>
          <t>-</t>
        </is>
      </c>
      <c r="R345" s="42" t="inlineStr">
        <is>
          <t>중개거래</t>
        </is>
      </c>
      <c r="S345" s="42" t="inlineStr">
        <is>
          <t>서울 서초구</t>
        </is>
      </c>
      <c r="T345" s="41" t="inlineStr">
        <is>
          <t>23.10.12</t>
        </is>
      </c>
      <c r="U345" s="42" t="inlineStr">
        <is>
          <t>아파트</t>
        </is>
      </c>
    </row>
    <row r="346" hidden="1" ht="15" customHeight="1">
      <c r="A346" s="41" t="n">
        <v>342</v>
      </c>
      <c r="B346" s="42" t="inlineStr">
        <is>
          <t>서울특별시 서초구 서초동</t>
        </is>
      </c>
      <c r="C346" s="41" t="inlineStr">
        <is>
          <t>1642-34</t>
        </is>
      </c>
      <c r="D346" s="41" t="inlineStr">
        <is>
          <t>1642</t>
        </is>
      </c>
      <c r="E346" s="41" t="inlineStr">
        <is>
          <t>0034</t>
        </is>
      </c>
      <c r="F346" s="42" t="inlineStr">
        <is>
          <t>래미안서초7차</t>
        </is>
      </c>
      <c r="G346" s="41" t="inlineStr">
        <is>
          <t>148.0800</t>
        </is>
      </c>
      <c r="H346" s="41" t="inlineStr">
        <is>
          <t>202307</t>
        </is>
      </c>
      <c r="I346" s="41" t="inlineStr">
        <is>
          <t>19</t>
        </is>
      </c>
      <c r="J346" s="41" t="inlineStr">
        <is>
          <t>190,000</t>
        </is>
      </c>
      <c r="K346" s="41" t="inlineStr">
        <is>
          <t>101</t>
        </is>
      </c>
      <c r="L346" s="41" t="inlineStr">
        <is>
          <t>4</t>
        </is>
      </c>
      <c r="M346" s="41" t="inlineStr">
        <is>
          <t>-</t>
        </is>
      </c>
      <c r="N346" s="41" t="inlineStr">
        <is>
          <t>-</t>
        </is>
      </c>
      <c r="O346" s="41" t="inlineStr">
        <is>
          <t>2006</t>
        </is>
      </c>
      <c r="P346" s="42" t="inlineStr">
        <is>
          <t>사임당로17길 80</t>
        </is>
      </c>
      <c r="Q346" s="41" t="inlineStr">
        <is>
          <t>-</t>
        </is>
      </c>
      <c r="R346" s="42" t="inlineStr">
        <is>
          <t>중개거래</t>
        </is>
      </c>
      <c r="S346" s="42" t="inlineStr">
        <is>
          <t>서울 서초구</t>
        </is>
      </c>
      <c r="T346" s="41" t="inlineStr">
        <is>
          <t>24.01.25</t>
        </is>
      </c>
      <c r="U346" s="42" t="inlineStr">
        <is>
          <t>아파트</t>
        </is>
      </c>
    </row>
    <row r="347" hidden="1" ht="15" customHeight="1">
      <c r="A347" s="41" t="n">
        <v>343</v>
      </c>
      <c r="B347" s="42" t="inlineStr">
        <is>
          <t>서울특별시 서초구 서초동</t>
        </is>
      </c>
      <c r="C347" s="41" t="inlineStr">
        <is>
          <t>1593-7</t>
        </is>
      </c>
      <c r="D347" s="41" t="inlineStr">
        <is>
          <t>1593</t>
        </is>
      </c>
      <c r="E347" s="41" t="inlineStr">
        <is>
          <t>0007</t>
        </is>
      </c>
      <c r="F347" s="42" t="inlineStr">
        <is>
          <t>서초이오빌</t>
        </is>
      </c>
      <c r="G347" s="41" t="inlineStr">
        <is>
          <t>50.7700</t>
        </is>
      </c>
      <c r="H347" s="41" t="inlineStr">
        <is>
          <t>202307</t>
        </is>
      </c>
      <c r="I347" s="41" t="inlineStr">
        <is>
          <t>18</t>
        </is>
      </c>
      <c r="J347" s="41" t="inlineStr">
        <is>
          <t>49,500</t>
        </is>
      </c>
      <c r="K347" s="41" t="inlineStr">
        <is>
          <t>-</t>
        </is>
      </c>
      <c r="L347" s="41" t="inlineStr">
        <is>
          <t>15</t>
        </is>
      </c>
      <c r="M347" s="41" t="inlineStr">
        <is>
          <t>-</t>
        </is>
      </c>
      <c r="N347" s="41" t="inlineStr">
        <is>
          <t>-</t>
        </is>
      </c>
      <c r="O347" s="41" t="inlineStr">
        <is>
          <t>2003</t>
        </is>
      </c>
      <c r="P347" s="42" t="inlineStr">
        <is>
          <t>효령로53길 45</t>
        </is>
      </c>
      <c r="Q347" s="41" t="inlineStr">
        <is>
          <t>-</t>
        </is>
      </c>
      <c r="R347" s="42" t="inlineStr">
        <is>
          <t>중개거래</t>
        </is>
      </c>
      <c r="S347" s="42" t="inlineStr">
        <is>
          <t>서울 서초구</t>
        </is>
      </c>
      <c r="T347" s="41" t="inlineStr">
        <is>
          <t>23.09.18</t>
        </is>
      </c>
      <c r="U347" s="42" t="inlineStr">
        <is>
          <t>아파트</t>
        </is>
      </c>
    </row>
    <row r="348" hidden="1" ht="15" customHeight="1">
      <c r="A348" s="41" t="n">
        <v>344</v>
      </c>
      <c r="B348" s="42" t="inlineStr">
        <is>
          <t>서울특별시 서초구 서초동</t>
        </is>
      </c>
      <c r="C348" s="41" t="inlineStr">
        <is>
          <t>1312-3</t>
        </is>
      </c>
      <c r="D348" s="41" t="inlineStr">
        <is>
          <t>1312</t>
        </is>
      </c>
      <c r="E348" s="41" t="inlineStr">
        <is>
          <t>0003</t>
        </is>
      </c>
      <c r="F348" s="42" t="inlineStr">
        <is>
          <t>롯데캐슬클래식</t>
        </is>
      </c>
      <c r="G348" s="41" t="inlineStr">
        <is>
          <t>84.9800</t>
        </is>
      </c>
      <c r="H348" s="41" t="inlineStr">
        <is>
          <t>202307</t>
        </is>
      </c>
      <c r="I348" s="41" t="inlineStr">
        <is>
          <t>18</t>
        </is>
      </c>
      <c r="J348" s="41" t="inlineStr">
        <is>
          <t>222,500</t>
        </is>
      </c>
      <c r="K348" s="41" t="inlineStr">
        <is>
          <t>101</t>
        </is>
      </c>
      <c r="L348" s="41" t="inlineStr">
        <is>
          <t>11</t>
        </is>
      </c>
      <c r="M348" s="41" t="inlineStr">
        <is>
          <t>-</t>
        </is>
      </c>
      <c r="N348" s="41" t="inlineStr">
        <is>
          <t>-</t>
        </is>
      </c>
      <c r="O348" s="41" t="inlineStr">
        <is>
          <t>2006</t>
        </is>
      </c>
      <c r="P348" s="42" t="inlineStr">
        <is>
          <t>서운로 197</t>
        </is>
      </c>
      <c r="Q348" s="41" t="inlineStr">
        <is>
          <t>-</t>
        </is>
      </c>
      <c r="R348" s="42" t="inlineStr">
        <is>
          <t>중개거래</t>
        </is>
      </c>
      <c r="S348" s="42" t="inlineStr">
        <is>
          <t>서울 서초구</t>
        </is>
      </c>
      <c r="T348" s="41" t="inlineStr">
        <is>
          <t>23.09.18</t>
        </is>
      </c>
      <c r="U348" s="42" t="inlineStr">
        <is>
          <t>아파트</t>
        </is>
      </c>
    </row>
    <row r="349" hidden="1" ht="15" customHeight="1">
      <c r="A349" s="41" t="n">
        <v>345</v>
      </c>
      <c r="B349" s="42" t="inlineStr">
        <is>
          <t>서울특별시 서초구 서초동</t>
        </is>
      </c>
      <c r="C349" s="41" t="inlineStr">
        <is>
          <t>1446-11</t>
        </is>
      </c>
      <c r="D349" s="41" t="inlineStr">
        <is>
          <t>1446</t>
        </is>
      </c>
      <c r="E349" s="41" t="inlineStr">
        <is>
          <t>0011</t>
        </is>
      </c>
      <c r="F349" s="42" t="inlineStr">
        <is>
          <t>현대슈퍼빌</t>
        </is>
      </c>
      <c r="G349" s="41" t="inlineStr">
        <is>
          <t>223.7200</t>
        </is>
      </c>
      <c r="H349" s="41" t="inlineStr">
        <is>
          <t>202307</t>
        </is>
      </c>
      <c r="I349" s="41" t="inlineStr">
        <is>
          <t>16</t>
        </is>
      </c>
      <c r="J349" s="41" t="inlineStr">
        <is>
          <t>370,000</t>
        </is>
      </c>
      <c r="K349" s="41" t="inlineStr">
        <is>
          <t>B</t>
        </is>
      </c>
      <c r="L349" s="41" t="inlineStr">
        <is>
          <t>29</t>
        </is>
      </c>
      <c r="M349" s="41" t="inlineStr">
        <is>
          <t>-</t>
        </is>
      </c>
      <c r="N349" s="41" t="inlineStr">
        <is>
          <t>-</t>
        </is>
      </c>
      <c r="O349" s="41" t="inlineStr">
        <is>
          <t>2003</t>
        </is>
      </c>
      <c r="P349" s="42" t="inlineStr">
        <is>
          <t>서초중앙로 15</t>
        </is>
      </c>
      <c r="Q349" s="41" t="inlineStr">
        <is>
          <t>-</t>
        </is>
      </c>
      <c r="R349" s="42" t="inlineStr">
        <is>
          <t>중개거래</t>
        </is>
      </c>
      <c r="S349" s="42" t="inlineStr">
        <is>
          <t>서울 서초구</t>
        </is>
      </c>
      <c r="T349" s="41" t="inlineStr">
        <is>
          <t>23.12.18</t>
        </is>
      </c>
      <c r="U349" s="42" t="inlineStr">
        <is>
          <t>아파트</t>
        </is>
      </c>
    </row>
    <row r="350" hidden="1" ht="15" customHeight="1">
      <c r="A350" s="41" t="n">
        <v>346</v>
      </c>
      <c r="B350" s="42" t="inlineStr">
        <is>
          <t>서울특별시 서초구 서초동</t>
        </is>
      </c>
      <c r="C350" s="41" t="inlineStr">
        <is>
          <t>1445-4</t>
        </is>
      </c>
      <c r="D350" s="41" t="inlineStr">
        <is>
          <t>1445</t>
        </is>
      </c>
      <c r="E350" s="41" t="inlineStr">
        <is>
          <t>0004</t>
        </is>
      </c>
      <c r="F350" s="42" t="inlineStr">
        <is>
          <t>래미안서초유니빌</t>
        </is>
      </c>
      <c r="G350" s="41" t="inlineStr">
        <is>
          <t>36.8380</t>
        </is>
      </c>
      <c r="H350" s="41" t="inlineStr">
        <is>
          <t>202307</t>
        </is>
      </c>
      <c r="I350" s="41" t="inlineStr">
        <is>
          <t>15</t>
        </is>
      </c>
      <c r="J350" s="41" t="inlineStr">
        <is>
          <t>39,500</t>
        </is>
      </c>
      <c r="K350" s="42" t="inlineStr">
        <is>
          <t>래미안 서초유니빌</t>
        </is>
      </c>
      <c r="L350" s="41" t="inlineStr">
        <is>
          <t>5</t>
        </is>
      </c>
      <c r="M350" s="41" t="inlineStr">
        <is>
          <t>-</t>
        </is>
      </c>
      <c r="N350" s="41" t="inlineStr">
        <is>
          <t>-</t>
        </is>
      </c>
      <c r="O350" s="41" t="inlineStr">
        <is>
          <t>2003</t>
        </is>
      </c>
      <c r="P350" s="42" t="inlineStr">
        <is>
          <t>서초중앙로 26</t>
        </is>
      </c>
      <c r="Q350" s="41" t="inlineStr">
        <is>
          <t>-</t>
        </is>
      </c>
      <c r="R350" s="42" t="inlineStr">
        <is>
          <t>중개거래</t>
        </is>
      </c>
      <c r="S350" s="42" t="inlineStr">
        <is>
          <t>서울 서초구</t>
        </is>
      </c>
      <c r="T350" s="41" t="inlineStr">
        <is>
          <t>23.11.17</t>
        </is>
      </c>
      <c r="U350" s="42" t="inlineStr">
        <is>
          <t>아파트</t>
        </is>
      </c>
    </row>
    <row r="351" hidden="1" ht="15" customHeight="1">
      <c r="A351" s="41" t="n">
        <v>347</v>
      </c>
      <c r="B351" s="42" t="inlineStr">
        <is>
          <t>서울특별시 서초구 서초동</t>
        </is>
      </c>
      <c r="C351" s="41" t="inlineStr">
        <is>
          <t>1344-22</t>
        </is>
      </c>
      <c r="D351" s="41" t="inlineStr">
        <is>
          <t>1344</t>
        </is>
      </c>
      <c r="E351" s="41" t="inlineStr">
        <is>
          <t>0022</t>
        </is>
      </c>
      <c r="F351" s="42" t="inlineStr">
        <is>
          <t>서초자연인아파트(101동)</t>
        </is>
      </c>
      <c r="G351" s="41" t="inlineStr">
        <is>
          <t>36.0400</t>
        </is>
      </c>
      <c r="H351" s="41" t="inlineStr">
        <is>
          <t>202307</t>
        </is>
      </c>
      <c r="I351" s="41" t="inlineStr">
        <is>
          <t>13</t>
        </is>
      </c>
      <c r="J351" s="41" t="inlineStr">
        <is>
          <t>40,500</t>
        </is>
      </c>
      <c r="K351" s="41" t="inlineStr">
        <is>
          <t>1</t>
        </is>
      </c>
      <c r="L351" s="41" t="inlineStr">
        <is>
          <t>6</t>
        </is>
      </c>
      <c r="M351" s="41" t="inlineStr">
        <is>
          <t>-</t>
        </is>
      </c>
      <c r="N351" s="41" t="inlineStr">
        <is>
          <t>-</t>
        </is>
      </c>
      <c r="O351" s="41" t="inlineStr">
        <is>
          <t>2012</t>
        </is>
      </c>
      <c r="P351" s="42" t="inlineStr">
        <is>
          <t>서운로9길 18</t>
        </is>
      </c>
      <c r="Q351" s="41" t="inlineStr">
        <is>
          <t>-</t>
        </is>
      </c>
      <c r="R351" s="42" t="inlineStr">
        <is>
          <t>중개거래</t>
        </is>
      </c>
      <c r="S351" s="42" t="inlineStr">
        <is>
          <t>서울 서초구</t>
        </is>
      </c>
      <c r="T351" s="41" t="inlineStr">
        <is>
          <t>23.10.18</t>
        </is>
      </c>
      <c r="U351" s="42" t="inlineStr">
        <is>
          <t>아파트</t>
        </is>
      </c>
    </row>
    <row r="352" hidden="1" ht="15" customHeight="1">
      <c r="A352" s="41" t="n">
        <v>348</v>
      </c>
      <c r="B352" s="42" t="inlineStr">
        <is>
          <t>서울특별시 서초구 서초동</t>
        </is>
      </c>
      <c r="C352" s="41" t="inlineStr">
        <is>
          <t>1333</t>
        </is>
      </c>
      <c r="D352" s="41" t="inlineStr">
        <is>
          <t>1333</t>
        </is>
      </c>
      <c r="E352" s="41" t="inlineStr">
        <is>
          <t>0000</t>
        </is>
      </c>
      <c r="F352" s="42" t="inlineStr">
        <is>
          <t>신동아아파트(1차)</t>
        </is>
      </c>
      <c r="G352" s="41" t="inlineStr">
        <is>
          <t>76.2100</t>
        </is>
      </c>
      <c r="H352" s="41" t="inlineStr">
        <is>
          <t>202307</t>
        </is>
      </c>
      <c r="I352" s="41" t="inlineStr">
        <is>
          <t>13</t>
        </is>
      </c>
      <c r="J352" s="41" t="inlineStr">
        <is>
          <t>169,500</t>
        </is>
      </c>
      <c r="K352" s="41" t="inlineStr">
        <is>
          <t>3</t>
        </is>
      </c>
      <c r="L352" s="41" t="inlineStr">
        <is>
          <t>4</t>
        </is>
      </c>
      <c r="M352" s="41" t="inlineStr">
        <is>
          <t>-</t>
        </is>
      </c>
      <c r="N352" s="41" t="inlineStr">
        <is>
          <t>-</t>
        </is>
      </c>
      <c r="O352" s="41" t="inlineStr">
        <is>
          <t>1978</t>
        </is>
      </c>
      <c r="P352" s="42" t="inlineStr">
        <is>
          <t>사임당로 137</t>
        </is>
      </c>
      <c r="Q352" s="41" t="inlineStr">
        <is>
          <t>-</t>
        </is>
      </c>
      <c r="R352" s="42" t="inlineStr">
        <is>
          <t>중개거래</t>
        </is>
      </c>
      <c r="S352" s="42" t="inlineStr">
        <is>
          <t>서울 서초구</t>
        </is>
      </c>
      <c r="T352" s="41" t="inlineStr">
        <is>
          <t>23.11.14</t>
        </is>
      </c>
      <c r="U352" s="42" t="inlineStr">
        <is>
          <t>아파트</t>
        </is>
      </c>
    </row>
    <row r="353" hidden="1" ht="15" customHeight="1">
      <c r="A353" s="41" t="n">
        <v>349</v>
      </c>
      <c r="B353" s="42" t="inlineStr">
        <is>
          <t>서울특별시 서초구 서초동</t>
        </is>
      </c>
      <c r="C353" s="41" t="inlineStr">
        <is>
          <t>1311-10</t>
        </is>
      </c>
      <c r="D353" s="41" t="inlineStr">
        <is>
          <t>1311</t>
        </is>
      </c>
      <c r="E353" s="41" t="inlineStr">
        <is>
          <t>0010</t>
        </is>
      </c>
      <c r="F353" s="42" t="inlineStr">
        <is>
          <t>서초푸르지오써밋</t>
        </is>
      </c>
      <c r="G353" s="41" t="inlineStr">
        <is>
          <t>84.9500</t>
        </is>
      </c>
      <c r="H353" s="41" t="inlineStr">
        <is>
          <t>202307</t>
        </is>
      </c>
      <c r="I353" s="41" t="inlineStr">
        <is>
          <t>12</t>
        </is>
      </c>
      <c r="J353" s="41" t="inlineStr">
        <is>
          <t>246,000</t>
        </is>
      </c>
      <c r="K353" s="41" t="inlineStr">
        <is>
          <t>103</t>
        </is>
      </c>
      <c r="L353" s="41" t="inlineStr">
        <is>
          <t>16</t>
        </is>
      </c>
      <c r="M353" s="41" t="inlineStr">
        <is>
          <t>-</t>
        </is>
      </c>
      <c r="N353" s="41" t="inlineStr">
        <is>
          <t>-</t>
        </is>
      </c>
      <c r="O353" s="41" t="inlineStr">
        <is>
          <t>2017</t>
        </is>
      </c>
      <c r="P353" s="42" t="inlineStr">
        <is>
          <t>서운로 201</t>
        </is>
      </c>
      <c r="Q353" s="41" t="inlineStr">
        <is>
          <t>-</t>
        </is>
      </c>
      <c r="R353" s="42" t="inlineStr">
        <is>
          <t>중개거래</t>
        </is>
      </c>
      <c r="S353" s="42" t="inlineStr">
        <is>
          <t>서울 서초구</t>
        </is>
      </c>
      <c r="T353" s="41" t="inlineStr">
        <is>
          <t>23.10.23</t>
        </is>
      </c>
      <c r="U353" s="42" t="inlineStr">
        <is>
          <t>아파트</t>
        </is>
      </c>
    </row>
    <row r="354" hidden="1" ht="15" customHeight="1">
      <c r="A354" s="41" t="n">
        <v>350</v>
      </c>
      <c r="B354" s="42" t="inlineStr">
        <is>
          <t>서울특별시 서초구 서초동</t>
        </is>
      </c>
      <c r="C354" s="41" t="inlineStr">
        <is>
          <t>1648-2</t>
        </is>
      </c>
      <c r="D354" s="41" t="inlineStr">
        <is>
          <t>1648</t>
        </is>
      </c>
      <c r="E354" s="41" t="inlineStr">
        <is>
          <t>0002</t>
        </is>
      </c>
      <c r="F354" s="42" t="inlineStr">
        <is>
          <t>서초현대</t>
        </is>
      </c>
      <c r="G354" s="41" t="inlineStr">
        <is>
          <t>84.6900</t>
        </is>
      </c>
      <c r="H354" s="41" t="inlineStr">
        <is>
          <t>202307</t>
        </is>
      </c>
      <c r="I354" s="41" t="inlineStr">
        <is>
          <t>11</t>
        </is>
      </c>
      <c r="J354" s="41" t="inlineStr">
        <is>
          <t>155,000</t>
        </is>
      </c>
      <c r="K354" s="41" t="inlineStr">
        <is>
          <t>101</t>
        </is>
      </c>
      <c r="L354" s="41" t="inlineStr">
        <is>
          <t>2</t>
        </is>
      </c>
      <c r="M354" s="41" t="inlineStr">
        <is>
          <t>-</t>
        </is>
      </c>
      <c r="N354" s="41" t="inlineStr">
        <is>
          <t>-</t>
        </is>
      </c>
      <c r="O354" s="41" t="inlineStr">
        <is>
          <t>1999</t>
        </is>
      </c>
      <c r="P354" s="42" t="inlineStr">
        <is>
          <t>사임당로19길 10</t>
        </is>
      </c>
      <c r="Q354" s="41" t="inlineStr">
        <is>
          <t>-</t>
        </is>
      </c>
      <c r="R354" s="42" t="inlineStr">
        <is>
          <t>중개거래</t>
        </is>
      </c>
      <c r="S354" s="42" t="inlineStr">
        <is>
          <t>서울 서초구</t>
        </is>
      </c>
      <c r="T354" s="41" t="inlineStr">
        <is>
          <t>23.11.10</t>
        </is>
      </c>
      <c r="U354" s="42" t="inlineStr">
        <is>
          <t>아파트</t>
        </is>
      </c>
    </row>
    <row r="355" hidden="1" ht="15" customHeight="1">
      <c r="A355" s="41" t="n">
        <v>351</v>
      </c>
      <c r="B355" s="42" t="inlineStr">
        <is>
          <t>서울특별시 서초구 서초동</t>
        </is>
      </c>
      <c r="C355" s="41" t="inlineStr">
        <is>
          <t>1682</t>
        </is>
      </c>
      <c r="D355" s="41" t="inlineStr">
        <is>
          <t>1682</t>
        </is>
      </c>
      <c r="E355" s="41" t="inlineStr">
        <is>
          <t>0000</t>
        </is>
      </c>
      <c r="F355" s="42" t="inlineStr">
        <is>
          <t>서초래미안</t>
        </is>
      </c>
      <c r="G355" s="41" t="inlineStr">
        <is>
          <t>111.3200</t>
        </is>
      </c>
      <c r="H355" s="41" t="inlineStr">
        <is>
          <t>202307</t>
        </is>
      </c>
      <c r="I355" s="41" t="inlineStr">
        <is>
          <t>11</t>
        </is>
      </c>
      <c r="J355" s="41" t="inlineStr">
        <is>
          <t>270,000</t>
        </is>
      </c>
      <c r="K355" s="41" t="inlineStr">
        <is>
          <t>108</t>
        </is>
      </c>
      <c r="L355" s="41" t="inlineStr">
        <is>
          <t>18</t>
        </is>
      </c>
      <c r="M355" s="41" t="inlineStr">
        <is>
          <t>-</t>
        </is>
      </c>
      <c r="N355" s="41" t="inlineStr">
        <is>
          <t>-</t>
        </is>
      </c>
      <c r="O355" s="41" t="inlineStr">
        <is>
          <t>2003</t>
        </is>
      </c>
      <c r="P355" s="42" t="inlineStr">
        <is>
          <t>서초대로65길 13-10</t>
        </is>
      </c>
      <c r="Q355" s="41" t="inlineStr">
        <is>
          <t>-</t>
        </is>
      </c>
      <c r="R355" s="42" t="inlineStr">
        <is>
          <t>중개거래</t>
        </is>
      </c>
      <c r="S355" s="42" t="inlineStr">
        <is>
          <t>서울 서초구</t>
        </is>
      </c>
      <c r="T355" s="41" t="inlineStr">
        <is>
          <t>23.09.19</t>
        </is>
      </c>
      <c r="U355" s="42" t="inlineStr">
        <is>
          <t>아파트</t>
        </is>
      </c>
    </row>
    <row r="356" hidden="1" ht="15" customHeight="1">
      <c r="A356" s="41" t="n">
        <v>352</v>
      </c>
      <c r="B356" s="42" t="inlineStr">
        <is>
          <t>서울특별시 서초구 서초동</t>
        </is>
      </c>
      <c r="C356" s="41" t="inlineStr">
        <is>
          <t>1542-1</t>
        </is>
      </c>
      <c r="D356" s="41" t="inlineStr">
        <is>
          <t>1542</t>
        </is>
      </c>
      <c r="E356" s="41" t="inlineStr">
        <is>
          <t>0001</t>
        </is>
      </c>
      <c r="F356" s="42" t="inlineStr">
        <is>
          <t>동일하이빌</t>
        </is>
      </c>
      <c r="G356" s="41" t="inlineStr">
        <is>
          <t>100.4500</t>
        </is>
      </c>
      <c r="H356" s="41" t="inlineStr">
        <is>
          <t>202307</t>
        </is>
      </c>
      <c r="I356" s="41" t="inlineStr">
        <is>
          <t>11</t>
        </is>
      </c>
      <c r="J356" s="41" t="inlineStr">
        <is>
          <t>165,000</t>
        </is>
      </c>
      <c r="K356" s="41" t="inlineStr">
        <is>
          <t>101동</t>
        </is>
      </c>
      <c r="L356" s="41" t="inlineStr">
        <is>
          <t>11</t>
        </is>
      </c>
      <c r="M356" s="41" t="inlineStr">
        <is>
          <t>-</t>
        </is>
      </c>
      <c r="N356" s="41" t="inlineStr">
        <is>
          <t>-</t>
        </is>
      </c>
      <c r="O356" s="41" t="inlineStr">
        <is>
          <t>2006</t>
        </is>
      </c>
      <c r="P356" s="42" t="inlineStr">
        <is>
          <t>서초대로 240</t>
        </is>
      </c>
      <c r="Q356" s="41" t="inlineStr">
        <is>
          <t>-</t>
        </is>
      </c>
      <c r="R356" s="42" t="inlineStr">
        <is>
          <t>중개거래</t>
        </is>
      </c>
      <c r="S356" s="42" t="inlineStr">
        <is>
          <t>서울 서초구</t>
        </is>
      </c>
      <c r="T356" s="41" t="inlineStr">
        <is>
          <t>23.09.14</t>
        </is>
      </c>
      <c r="U356" s="42" t="inlineStr">
        <is>
          <t>아파트</t>
        </is>
      </c>
    </row>
    <row r="357" hidden="1" ht="15" customHeight="1">
      <c r="A357" s="41" t="n">
        <v>353</v>
      </c>
      <c r="B357" s="42" t="inlineStr">
        <is>
          <t>서울특별시 서초구 서초동</t>
        </is>
      </c>
      <c r="C357" s="41" t="inlineStr">
        <is>
          <t>1685-3</t>
        </is>
      </c>
      <c r="D357" s="41" t="inlineStr">
        <is>
          <t>1685</t>
        </is>
      </c>
      <c r="E357" s="41" t="inlineStr">
        <is>
          <t>0003</t>
        </is>
      </c>
      <c r="F357" s="42" t="inlineStr">
        <is>
          <t>아크로비스타</t>
        </is>
      </c>
      <c r="G357" s="41" t="inlineStr">
        <is>
          <t>165.2700</t>
        </is>
      </c>
      <c r="H357" s="41" t="inlineStr">
        <is>
          <t>202307</t>
        </is>
      </c>
      <c r="I357" s="41" t="inlineStr">
        <is>
          <t>09</t>
        </is>
      </c>
      <c r="J357" s="41" t="inlineStr">
        <is>
          <t>320,000</t>
        </is>
      </c>
      <c r="K357" s="41" t="inlineStr">
        <is>
          <t>C</t>
        </is>
      </c>
      <c r="L357" s="41" t="inlineStr">
        <is>
          <t>17</t>
        </is>
      </c>
      <c r="M357" s="41" t="inlineStr">
        <is>
          <t>-</t>
        </is>
      </c>
      <c r="N357" s="41" t="inlineStr">
        <is>
          <t>-</t>
        </is>
      </c>
      <c r="O357" s="41" t="inlineStr">
        <is>
          <t>2004</t>
        </is>
      </c>
      <c r="P357" s="42" t="inlineStr">
        <is>
          <t>서초중앙로 188</t>
        </is>
      </c>
      <c r="Q357" s="41" t="inlineStr">
        <is>
          <t>-</t>
        </is>
      </c>
      <c r="R357" s="42" t="inlineStr">
        <is>
          <t>중개거래</t>
        </is>
      </c>
      <c r="S357" s="42" t="inlineStr">
        <is>
          <t>서울 서초구</t>
        </is>
      </c>
      <c r="T357" s="41" t="inlineStr">
        <is>
          <t>23.09.11</t>
        </is>
      </c>
      <c r="U357" s="42" t="inlineStr">
        <is>
          <t>아파트</t>
        </is>
      </c>
    </row>
    <row r="358" hidden="1" ht="15" customHeight="1">
      <c r="A358" s="41" t="n">
        <v>354</v>
      </c>
      <c r="B358" s="42" t="inlineStr">
        <is>
          <t>서울특별시 서초구 서초동</t>
        </is>
      </c>
      <c r="C358" s="41" t="inlineStr">
        <is>
          <t>1687</t>
        </is>
      </c>
      <c r="D358" s="41" t="inlineStr">
        <is>
          <t>1687</t>
        </is>
      </c>
      <c r="E358" s="41" t="inlineStr">
        <is>
          <t>0000</t>
        </is>
      </c>
      <c r="F358" s="42" t="inlineStr">
        <is>
          <t>유원서초</t>
        </is>
      </c>
      <c r="G358" s="41" t="inlineStr">
        <is>
          <t>84.8200</t>
        </is>
      </c>
      <c r="H358" s="41" t="inlineStr">
        <is>
          <t>202307</t>
        </is>
      </c>
      <c r="I358" s="41" t="inlineStr">
        <is>
          <t>09</t>
        </is>
      </c>
      <c r="J358" s="41" t="inlineStr">
        <is>
          <t>170,000</t>
        </is>
      </c>
      <c r="K358" s="41" t="inlineStr">
        <is>
          <t>102</t>
        </is>
      </c>
      <c r="L358" s="41" t="inlineStr">
        <is>
          <t>1</t>
        </is>
      </c>
      <c r="M358" s="41" t="inlineStr">
        <is>
          <t>-</t>
        </is>
      </c>
      <c r="N358" s="41" t="inlineStr">
        <is>
          <t>-</t>
        </is>
      </c>
      <c r="O358" s="41" t="inlineStr">
        <is>
          <t>1993</t>
        </is>
      </c>
      <c r="P358" s="42" t="inlineStr">
        <is>
          <t>서초중앙로24길 43</t>
        </is>
      </c>
      <c r="Q358" s="41" t="inlineStr">
        <is>
          <t>-</t>
        </is>
      </c>
      <c r="R358" s="42" t="inlineStr">
        <is>
          <t>중개거래</t>
        </is>
      </c>
      <c r="S358" s="42" t="inlineStr">
        <is>
          <t>서울 동대문구</t>
        </is>
      </c>
      <c r="T358" s="41" t="inlineStr">
        <is>
          <t>24.01.31</t>
        </is>
      </c>
      <c r="U358" s="42" t="inlineStr">
        <is>
          <t>아파트</t>
        </is>
      </c>
    </row>
    <row r="359" hidden="1" ht="15" customHeight="1">
      <c r="A359" s="41" t="n">
        <v>355</v>
      </c>
      <c r="B359" s="42" t="inlineStr">
        <is>
          <t>서울특별시 서초구 서초동</t>
        </is>
      </c>
      <c r="C359" s="41" t="inlineStr">
        <is>
          <t>1337-3</t>
        </is>
      </c>
      <c r="D359" s="41" t="inlineStr">
        <is>
          <t>1337</t>
        </is>
      </c>
      <c r="E359" s="41" t="inlineStr">
        <is>
          <t>0003</t>
        </is>
      </c>
      <c r="F359" s="41" t="inlineStr">
        <is>
          <t>urbanplace</t>
        </is>
      </c>
      <c r="G359" s="41" t="inlineStr">
        <is>
          <t>20.9980</t>
        </is>
      </c>
      <c r="H359" s="41" t="inlineStr">
        <is>
          <t>202307</t>
        </is>
      </c>
      <c r="I359" s="41" t="inlineStr">
        <is>
          <t>09</t>
        </is>
      </c>
      <c r="J359" s="41" t="inlineStr">
        <is>
          <t>19,500</t>
        </is>
      </c>
      <c r="K359" s="41" t="inlineStr">
        <is>
          <t>1</t>
        </is>
      </c>
      <c r="L359" s="41" t="inlineStr">
        <is>
          <t>3</t>
        </is>
      </c>
      <c r="M359" s="41" t="inlineStr">
        <is>
          <t>-</t>
        </is>
      </c>
      <c r="N359" s="41" t="inlineStr">
        <is>
          <t>-</t>
        </is>
      </c>
      <c r="O359" s="41" t="inlineStr">
        <is>
          <t>2014</t>
        </is>
      </c>
      <c r="P359" s="42" t="inlineStr">
        <is>
          <t>효령로77길 30</t>
        </is>
      </c>
      <c r="Q359" s="41" t="inlineStr">
        <is>
          <t>-</t>
        </is>
      </c>
      <c r="R359" s="42" t="inlineStr">
        <is>
          <t>중개거래</t>
        </is>
      </c>
      <c r="S359" s="42" t="inlineStr">
        <is>
          <t>서울 서초구</t>
        </is>
      </c>
      <c r="T359" s="41" t="inlineStr">
        <is>
          <t>23.07.19</t>
        </is>
      </c>
      <c r="U359" s="42" t="inlineStr">
        <is>
          <t>아파트</t>
        </is>
      </c>
    </row>
    <row r="360" hidden="1" ht="15" customHeight="1">
      <c r="A360" s="41" t="n">
        <v>356</v>
      </c>
      <c r="B360" s="42" t="inlineStr">
        <is>
          <t>서울특별시 서초구 서초동</t>
        </is>
      </c>
      <c r="C360" s="41" t="inlineStr">
        <is>
          <t>1333</t>
        </is>
      </c>
      <c r="D360" s="41" t="inlineStr">
        <is>
          <t>1333</t>
        </is>
      </c>
      <c r="E360" s="41" t="inlineStr">
        <is>
          <t>0000</t>
        </is>
      </c>
      <c r="F360" s="42" t="inlineStr">
        <is>
          <t>신동아아파트(1차)</t>
        </is>
      </c>
      <c r="G360" s="41" t="inlineStr">
        <is>
          <t>86.6100</t>
        </is>
      </c>
      <c r="H360" s="41" t="inlineStr">
        <is>
          <t>202307</t>
        </is>
      </c>
      <c r="I360" s="41" t="inlineStr">
        <is>
          <t>08</t>
        </is>
      </c>
      <c r="J360" s="41" t="inlineStr">
        <is>
          <t>200,000</t>
        </is>
      </c>
      <c r="K360" s="41" t="inlineStr">
        <is>
          <t>7</t>
        </is>
      </c>
      <c r="L360" s="41" t="inlineStr">
        <is>
          <t>4</t>
        </is>
      </c>
      <c r="M360" s="41" t="inlineStr">
        <is>
          <t>-</t>
        </is>
      </c>
      <c r="N360" s="41" t="inlineStr">
        <is>
          <t>-</t>
        </is>
      </c>
      <c r="O360" s="41" t="inlineStr">
        <is>
          <t>1978</t>
        </is>
      </c>
      <c r="P360" s="42" t="inlineStr">
        <is>
          <t>사임당로 130</t>
        </is>
      </c>
      <c r="Q360" s="41" t="inlineStr">
        <is>
          <t>-</t>
        </is>
      </c>
      <c r="R360" s="42" t="inlineStr">
        <is>
          <t>중개거래</t>
        </is>
      </c>
      <c r="S360" s="42" t="inlineStr">
        <is>
          <t>서울 서초구</t>
        </is>
      </c>
      <c r="T360" s="41" t="inlineStr">
        <is>
          <t>23.09.06</t>
        </is>
      </c>
      <c r="U360" s="42" t="inlineStr">
        <is>
          <t>아파트</t>
        </is>
      </c>
    </row>
    <row r="361" hidden="1" ht="15" customHeight="1">
      <c r="A361" s="41" t="n">
        <v>357</v>
      </c>
      <c r="B361" s="42" t="inlineStr">
        <is>
          <t>서울특별시 서초구 서초동</t>
        </is>
      </c>
      <c r="C361" s="41" t="inlineStr">
        <is>
          <t>1446-11</t>
        </is>
      </c>
      <c r="D361" s="41" t="inlineStr">
        <is>
          <t>1446</t>
        </is>
      </c>
      <c r="E361" s="41" t="inlineStr">
        <is>
          <t>0011</t>
        </is>
      </c>
      <c r="F361" s="42" t="inlineStr">
        <is>
          <t>현대슈퍼빌</t>
        </is>
      </c>
      <c r="G361" s="41" t="inlineStr">
        <is>
          <t>185.0200</t>
        </is>
      </c>
      <c r="H361" s="41" t="inlineStr">
        <is>
          <t>202307</t>
        </is>
      </c>
      <c r="I361" s="41" t="inlineStr">
        <is>
          <t>08</t>
        </is>
      </c>
      <c r="J361" s="41" t="inlineStr">
        <is>
          <t>282,000</t>
        </is>
      </c>
      <c r="K361" s="41" t="inlineStr">
        <is>
          <t>C</t>
        </is>
      </c>
      <c r="L361" s="41" t="inlineStr">
        <is>
          <t>6</t>
        </is>
      </c>
      <c r="M361" s="41" t="inlineStr">
        <is>
          <t>-</t>
        </is>
      </c>
      <c r="N361" s="41" t="inlineStr">
        <is>
          <t>-</t>
        </is>
      </c>
      <c r="O361" s="41" t="inlineStr">
        <is>
          <t>2003</t>
        </is>
      </c>
      <c r="P361" s="42" t="inlineStr">
        <is>
          <t>서초중앙로 15</t>
        </is>
      </c>
      <c r="Q361" s="41" t="inlineStr">
        <is>
          <t>-</t>
        </is>
      </c>
      <c r="R361" s="42" t="inlineStr">
        <is>
          <t>중개거래</t>
        </is>
      </c>
      <c r="S361" s="42" t="inlineStr">
        <is>
          <t>서울 서초구</t>
        </is>
      </c>
      <c r="T361" s="41" t="inlineStr">
        <is>
          <t>24.02.15</t>
        </is>
      </c>
      <c r="U361" s="42" t="inlineStr">
        <is>
          <t>아파트</t>
        </is>
      </c>
    </row>
    <row r="362" hidden="1" ht="15" customHeight="1">
      <c r="A362" s="41" t="n">
        <v>358</v>
      </c>
      <c r="B362" s="42" t="inlineStr">
        <is>
          <t>서울특별시 서초구 서초동</t>
        </is>
      </c>
      <c r="C362" s="41" t="inlineStr">
        <is>
          <t>1687</t>
        </is>
      </c>
      <c r="D362" s="41" t="inlineStr">
        <is>
          <t>1687</t>
        </is>
      </c>
      <c r="E362" s="41" t="inlineStr">
        <is>
          <t>0000</t>
        </is>
      </c>
      <c r="F362" s="42" t="inlineStr">
        <is>
          <t>유원서초</t>
        </is>
      </c>
      <c r="G362" s="41" t="inlineStr">
        <is>
          <t>84.8200</t>
        </is>
      </c>
      <c r="H362" s="41" t="inlineStr">
        <is>
          <t>202307</t>
        </is>
      </c>
      <c r="I362" s="41" t="inlineStr">
        <is>
          <t>08</t>
        </is>
      </c>
      <c r="J362" s="41" t="inlineStr">
        <is>
          <t>174,500</t>
        </is>
      </c>
      <c r="K362" s="41" t="inlineStr">
        <is>
          <t>101</t>
        </is>
      </c>
      <c r="L362" s="41" t="inlineStr">
        <is>
          <t>4</t>
        </is>
      </c>
      <c r="M362" s="41" t="inlineStr">
        <is>
          <t>-</t>
        </is>
      </c>
      <c r="N362" s="41" t="inlineStr">
        <is>
          <t>-</t>
        </is>
      </c>
      <c r="O362" s="41" t="inlineStr">
        <is>
          <t>1993</t>
        </is>
      </c>
      <c r="P362" s="42" t="inlineStr">
        <is>
          <t>서초중앙로24길 43</t>
        </is>
      </c>
      <c r="Q362" s="41" t="inlineStr">
        <is>
          <t>-</t>
        </is>
      </c>
      <c r="R362" s="42" t="inlineStr">
        <is>
          <t>중개거래</t>
        </is>
      </c>
      <c r="S362" s="42" t="inlineStr">
        <is>
          <t>서울 서초구</t>
        </is>
      </c>
      <c r="T362" s="41" t="inlineStr">
        <is>
          <t>23.07.31</t>
        </is>
      </c>
      <c r="U362" s="42" t="inlineStr">
        <is>
          <t>아파트</t>
        </is>
      </c>
    </row>
    <row r="363" hidden="1" ht="15" customHeight="1">
      <c r="A363" s="41" t="n">
        <v>359</v>
      </c>
      <c r="B363" s="42" t="inlineStr">
        <is>
          <t>서울특별시 서초구 서초동</t>
        </is>
      </c>
      <c r="C363" s="41" t="inlineStr">
        <is>
          <t>1326-17</t>
        </is>
      </c>
      <c r="D363" s="41" t="inlineStr">
        <is>
          <t>1326</t>
        </is>
      </c>
      <c r="E363" s="41" t="inlineStr">
        <is>
          <t>0017</t>
        </is>
      </c>
      <c r="F363" s="42" t="inlineStr">
        <is>
          <t>우성아파트</t>
        </is>
      </c>
      <c r="G363" s="41" t="inlineStr">
        <is>
          <t>59.9300</t>
        </is>
      </c>
      <c r="H363" s="41" t="inlineStr">
        <is>
          <t>202307</t>
        </is>
      </c>
      <c r="I363" s="41" t="inlineStr">
        <is>
          <t>08</t>
        </is>
      </c>
      <c r="J363" s="41" t="inlineStr">
        <is>
          <t>149,000</t>
        </is>
      </c>
      <c r="K363" s="41" t="inlineStr">
        <is>
          <t>501</t>
        </is>
      </c>
      <c r="L363" s="41" t="inlineStr">
        <is>
          <t>15</t>
        </is>
      </c>
      <c r="M363" s="41" t="inlineStr">
        <is>
          <t>-</t>
        </is>
      </c>
      <c r="N363" s="41" t="inlineStr">
        <is>
          <t>-</t>
        </is>
      </c>
      <c r="O363" s="41" t="inlineStr">
        <is>
          <t>1998</t>
        </is>
      </c>
      <c r="P363" s="42" t="inlineStr">
        <is>
          <t>서초대로74길 30</t>
        </is>
      </c>
      <c r="Q363" s="41" t="inlineStr">
        <is>
          <t>-</t>
        </is>
      </c>
      <c r="R363" s="42" t="inlineStr">
        <is>
          <t>중개거래</t>
        </is>
      </c>
      <c r="S363" s="42" t="inlineStr">
        <is>
          <t>서울 서초구</t>
        </is>
      </c>
      <c r="T363" s="41" t="inlineStr">
        <is>
          <t>23.07.21</t>
        </is>
      </c>
      <c r="U363" s="42" t="inlineStr">
        <is>
          <t>아파트</t>
        </is>
      </c>
    </row>
    <row r="364" hidden="1" ht="15" customHeight="1">
      <c r="A364" s="41" t="n">
        <v>360</v>
      </c>
      <c r="B364" s="42" t="inlineStr">
        <is>
          <t>서울특별시 서초구 서초동</t>
        </is>
      </c>
      <c r="C364" s="41" t="inlineStr">
        <is>
          <t>1445-13</t>
        </is>
      </c>
      <c r="D364" s="41" t="inlineStr">
        <is>
          <t>1445</t>
        </is>
      </c>
      <c r="E364" s="41" t="inlineStr">
        <is>
          <t>0013</t>
        </is>
      </c>
      <c r="F364" s="42" t="inlineStr">
        <is>
          <t>서초쌍용플래티넘</t>
        </is>
      </c>
      <c r="G364" s="41" t="inlineStr">
        <is>
          <t>56.0000</t>
        </is>
      </c>
      <c r="H364" s="41" t="inlineStr">
        <is>
          <t>202307</t>
        </is>
      </c>
      <c r="I364" s="41" t="inlineStr">
        <is>
          <t>08</t>
        </is>
      </c>
      <c r="J364" s="41" t="inlineStr">
        <is>
          <t>74,500</t>
        </is>
      </c>
      <c r="K364" s="42" t="inlineStr">
        <is>
          <t>서초쌍용플래티넘</t>
        </is>
      </c>
      <c r="L364" s="41" t="inlineStr">
        <is>
          <t>12</t>
        </is>
      </c>
      <c r="M364" s="41" t="inlineStr">
        <is>
          <t>-</t>
        </is>
      </c>
      <c r="N364" s="41" t="inlineStr">
        <is>
          <t>-</t>
        </is>
      </c>
      <c r="O364" s="41" t="inlineStr">
        <is>
          <t>2006</t>
        </is>
      </c>
      <c r="P364" s="42" t="inlineStr">
        <is>
          <t>서초중앙로 18</t>
        </is>
      </c>
      <c r="Q364" s="41" t="inlineStr">
        <is>
          <t>-</t>
        </is>
      </c>
      <c r="R364" s="42" t="inlineStr">
        <is>
          <t>중개거래</t>
        </is>
      </c>
      <c r="S364" s="42" t="inlineStr">
        <is>
          <t>서울 서초구</t>
        </is>
      </c>
      <c r="T364" s="41" t="inlineStr">
        <is>
          <t>23.10.16</t>
        </is>
      </c>
      <c r="U364" s="42" t="inlineStr">
        <is>
          <t>아파트</t>
        </is>
      </c>
    </row>
    <row r="365" hidden="1" ht="15" customHeight="1">
      <c r="A365" s="41" t="n">
        <v>361</v>
      </c>
      <c r="B365" s="42" t="inlineStr">
        <is>
          <t>서울특별시 서초구 서초동</t>
        </is>
      </c>
      <c r="C365" s="41" t="inlineStr">
        <is>
          <t>1491-3</t>
        </is>
      </c>
      <c r="D365" s="41" t="inlineStr">
        <is>
          <t>1491</t>
        </is>
      </c>
      <c r="E365" s="41" t="inlineStr">
        <is>
          <t>0003</t>
        </is>
      </c>
      <c r="F365" s="42" t="inlineStr">
        <is>
          <t>서초8차상지리츠빌</t>
        </is>
      </c>
      <c r="G365" s="41" t="inlineStr">
        <is>
          <t>141.1200</t>
        </is>
      </c>
      <c r="H365" s="41" t="inlineStr">
        <is>
          <t>202307</t>
        </is>
      </c>
      <c r="I365" s="41" t="inlineStr">
        <is>
          <t>07</t>
        </is>
      </c>
      <c r="J365" s="41" t="inlineStr">
        <is>
          <t>199,000</t>
        </is>
      </c>
      <c r="K365" s="41" t="inlineStr">
        <is>
          <t>-</t>
        </is>
      </c>
      <c r="L365" s="41" t="inlineStr">
        <is>
          <t>1</t>
        </is>
      </c>
      <c r="M365" s="41" t="inlineStr">
        <is>
          <t>-</t>
        </is>
      </c>
      <c r="N365" s="41" t="inlineStr">
        <is>
          <t>-</t>
        </is>
      </c>
      <c r="O365" s="41" t="inlineStr">
        <is>
          <t>2006</t>
        </is>
      </c>
      <c r="P365" s="42" t="inlineStr">
        <is>
          <t>명달로13길 7</t>
        </is>
      </c>
      <c r="Q365" s="41" t="inlineStr">
        <is>
          <t>-</t>
        </is>
      </c>
      <c r="R365" s="42" t="inlineStr">
        <is>
          <t>중개거래</t>
        </is>
      </c>
      <c r="S365" s="42" t="inlineStr">
        <is>
          <t>서울 서초구</t>
        </is>
      </c>
      <c r="T365" s="41" t="inlineStr">
        <is>
          <t>23.10.31</t>
        </is>
      </c>
      <c r="U365" s="42" t="inlineStr">
        <is>
          <t>아파트</t>
        </is>
      </c>
    </row>
    <row r="366" hidden="1" ht="15" customHeight="1">
      <c r="A366" s="41" t="n">
        <v>362</v>
      </c>
      <c r="B366" s="42" t="inlineStr">
        <is>
          <t>서울특별시 서초구 서초동</t>
        </is>
      </c>
      <c r="C366" s="41" t="inlineStr">
        <is>
          <t>1582-3</t>
        </is>
      </c>
      <c r="D366" s="41" t="inlineStr">
        <is>
          <t>1582</t>
        </is>
      </c>
      <c r="E366" s="41" t="inlineStr">
        <is>
          <t>0003</t>
        </is>
      </c>
      <c r="F366" s="42" t="inlineStr">
        <is>
          <t>서초센트럴IPARK</t>
        </is>
      </c>
      <c r="G366" s="41" t="inlineStr">
        <is>
          <t>80.5004</t>
        </is>
      </c>
      <c r="H366" s="41" t="inlineStr">
        <is>
          <t>202307</t>
        </is>
      </c>
      <c r="I366" s="41" t="inlineStr">
        <is>
          <t>07</t>
        </is>
      </c>
      <c r="J366" s="41" t="inlineStr">
        <is>
          <t>160,000</t>
        </is>
      </c>
      <c r="K366" s="41" t="inlineStr">
        <is>
          <t>102동</t>
        </is>
      </c>
      <c r="L366" s="41" t="inlineStr">
        <is>
          <t>8</t>
        </is>
      </c>
      <c r="M366" s="41" t="inlineStr">
        <is>
          <t>-</t>
        </is>
      </c>
      <c r="N366" s="41" t="inlineStr">
        <is>
          <t>-</t>
        </is>
      </c>
      <c r="O366" s="41" t="inlineStr">
        <is>
          <t>2020</t>
        </is>
      </c>
      <c r="P366" s="42" t="inlineStr">
        <is>
          <t>반포대로18길 36</t>
        </is>
      </c>
      <c r="Q366" s="41" t="inlineStr">
        <is>
          <t>-</t>
        </is>
      </c>
      <c r="R366" s="42" t="inlineStr">
        <is>
          <t>중개거래</t>
        </is>
      </c>
      <c r="S366" s="42" t="inlineStr">
        <is>
          <t>서울 서초구</t>
        </is>
      </c>
      <c r="T366" s="41" t="inlineStr">
        <is>
          <t>23.11.29</t>
        </is>
      </c>
      <c r="U366" s="42" t="inlineStr">
        <is>
          <t>아파트</t>
        </is>
      </c>
    </row>
    <row r="367" hidden="1" ht="15" customHeight="1">
      <c r="A367" s="41" t="n">
        <v>363</v>
      </c>
      <c r="B367" s="42" t="inlineStr">
        <is>
          <t>서울특별시 서초구 서초동</t>
        </is>
      </c>
      <c r="C367" s="41" t="inlineStr">
        <is>
          <t>1754</t>
        </is>
      </c>
      <c r="D367" s="41" t="inlineStr">
        <is>
          <t>1754</t>
        </is>
      </c>
      <c r="E367" s="41" t="inlineStr">
        <is>
          <t>0000</t>
        </is>
      </c>
      <c r="F367" s="42" t="inlineStr">
        <is>
          <t>래미안서초에스티지S</t>
        </is>
      </c>
      <c r="G367" s="41" t="inlineStr">
        <is>
          <t>111.0100</t>
        </is>
      </c>
      <c r="H367" s="41" t="inlineStr">
        <is>
          <t>202307</t>
        </is>
      </c>
      <c r="I367" s="41" t="inlineStr">
        <is>
          <t>07</t>
        </is>
      </c>
      <c r="J367" s="41" t="inlineStr">
        <is>
          <t>304,000</t>
        </is>
      </c>
      <c r="K367" s="41" t="inlineStr">
        <is>
          <t>203</t>
        </is>
      </c>
      <c r="L367" s="41" t="inlineStr">
        <is>
          <t>2</t>
        </is>
      </c>
      <c r="M367" s="41" t="inlineStr">
        <is>
          <t>-</t>
        </is>
      </c>
      <c r="N367" s="41" t="inlineStr">
        <is>
          <t>-</t>
        </is>
      </c>
      <c r="O367" s="41" t="inlineStr">
        <is>
          <t>2018</t>
        </is>
      </c>
      <c r="P367" s="42" t="inlineStr">
        <is>
          <t>서운로 104</t>
        </is>
      </c>
      <c r="Q367" s="41" t="inlineStr">
        <is>
          <t>-</t>
        </is>
      </c>
      <c r="R367" s="42" t="inlineStr">
        <is>
          <t>중개거래</t>
        </is>
      </c>
      <c r="S367" s="42" t="inlineStr">
        <is>
          <t>서울 서초구</t>
        </is>
      </c>
      <c r="T367" s="41" t="inlineStr">
        <is>
          <t>24.03.27</t>
        </is>
      </c>
      <c r="U367" s="42" t="inlineStr">
        <is>
          <t>아파트</t>
        </is>
      </c>
    </row>
    <row r="368" hidden="1" ht="15" customHeight="1">
      <c r="A368" s="41" t="n">
        <v>364</v>
      </c>
      <c r="B368" s="42" t="inlineStr">
        <is>
          <t>서울특별시 서초구 서초동</t>
        </is>
      </c>
      <c r="C368" s="41" t="inlineStr">
        <is>
          <t>1483-18</t>
        </is>
      </c>
      <c r="D368" s="41" t="inlineStr">
        <is>
          <t>1483</t>
        </is>
      </c>
      <c r="E368" s="41" t="inlineStr">
        <is>
          <t>0018</t>
        </is>
      </c>
      <c r="F368" s="42" t="inlineStr">
        <is>
          <t>더샾오데움(101,102동)</t>
        </is>
      </c>
      <c r="G368" s="41" t="inlineStr">
        <is>
          <t>207.2280</t>
        </is>
      </c>
      <c r="H368" s="41" t="inlineStr">
        <is>
          <t>202307</t>
        </is>
      </c>
      <c r="I368" s="41" t="inlineStr">
        <is>
          <t>07</t>
        </is>
      </c>
      <c r="J368" s="41" t="inlineStr">
        <is>
          <t>240,000</t>
        </is>
      </c>
      <c r="K368" s="41" t="inlineStr">
        <is>
          <t>102</t>
        </is>
      </c>
      <c r="L368" s="41" t="inlineStr">
        <is>
          <t>1</t>
        </is>
      </c>
      <c r="M368" s="41" t="inlineStr">
        <is>
          <t>-</t>
        </is>
      </c>
      <c r="N368" s="41" t="inlineStr">
        <is>
          <t>-</t>
        </is>
      </c>
      <c r="O368" s="41" t="inlineStr">
        <is>
          <t>2005</t>
        </is>
      </c>
      <c r="P368" s="42" t="inlineStr">
        <is>
          <t>효령로46길 21</t>
        </is>
      </c>
      <c r="Q368" s="41" t="inlineStr">
        <is>
          <t>-</t>
        </is>
      </c>
      <c r="R368" s="42" t="inlineStr">
        <is>
          <t>중개거래</t>
        </is>
      </c>
      <c r="S368" s="42" t="inlineStr">
        <is>
          <t>서울 서초구</t>
        </is>
      </c>
      <c r="T368" s="41" t="inlineStr">
        <is>
          <t>23.08.17</t>
        </is>
      </c>
      <c r="U368" s="42" t="inlineStr">
        <is>
          <t>아파트</t>
        </is>
      </c>
    </row>
    <row r="369" hidden="1" ht="15" customHeight="1">
      <c r="A369" s="41" t="n">
        <v>365</v>
      </c>
      <c r="B369" s="42" t="inlineStr">
        <is>
          <t>서울특별시 서초구 서초동</t>
        </is>
      </c>
      <c r="C369" s="41" t="inlineStr">
        <is>
          <t>1333</t>
        </is>
      </c>
      <c r="D369" s="41" t="inlineStr">
        <is>
          <t>1333</t>
        </is>
      </c>
      <c r="E369" s="41" t="inlineStr">
        <is>
          <t>0000</t>
        </is>
      </c>
      <c r="F369" s="42" t="inlineStr">
        <is>
          <t>신동아아파트(1차)</t>
        </is>
      </c>
      <c r="G369" s="41" t="inlineStr">
        <is>
          <t>77.7800</t>
        </is>
      </c>
      <c r="H369" s="41" t="inlineStr">
        <is>
          <t>202307</t>
        </is>
      </c>
      <c r="I369" s="41" t="inlineStr">
        <is>
          <t>06</t>
        </is>
      </c>
      <c r="J369" s="41" t="inlineStr">
        <is>
          <t>170,500</t>
        </is>
      </c>
      <c r="K369" s="41" t="inlineStr">
        <is>
          <t>3</t>
        </is>
      </c>
      <c r="L369" s="41" t="inlineStr">
        <is>
          <t>1</t>
        </is>
      </c>
      <c r="M369" s="41" t="inlineStr">
        <is>
          <t>-</t>
        </is>
      </c>
      <c r="N369" s="41" t="inlineStr">
        <is>
          <t>-</t>
        </is>
      </c>
      <c r="O369" s="41" t="inlineStr">
        <is>
          <t>1978</t>
        </is>
      </c>
      <c r="P369" s="42" t="inlineStr">
        <is>
          <t>사임당로 137</t>
        </is>
      </c>
      <c r="Q369" s="41" t="inlineStr">
        <is>
          <t>-</t>
        </is>
      </c>
      <c r="R369" s="42" t="inlineStr">
        <is>
          <t>중개거래</t>
        </is>
      </c>
      <c r="S369" s="42" t="inlineStr">
        <is>
          <t>서울 서초구</t>
        </is>
      </c>
      <c r="T369" s="41" t="inlineStr">
        <is>
          <t>23.11.17</t>
        </is>
      </c>
      <c r="U369" s="42" t="inlineStr">
        <is>
          <t>아파트</t>
        </is>
      </c>
    </row>
    <row r="370" hidden="1" ht="15" customHeight="1">
      <c r="A370" s="41" t="n">
        <v>366</v>
      </c>
      <c r="B370" s="42" t="inlineStr">
        <is>
          <t>서울특별시 서초구 서초동</t>
        </is>
      </c>
      <c r="C370" s="41" t="inlineStr">
        <is>
          <t>1496-24</t>
        </is>
      </c>
      <c r="D370" s="41" t="inlineStr">
        <is>
          <t>1496</t>
        </is>
      </c>
      <c r="E370" s="41" t="inlineStr">
        <is>
          <t>0024</t>
        </is>
      </c>
      <c r="F370" s="42" t="inlineStr">
        <is>
          <t>트라움하우스3</t>
        </is>
      </c>
      <c r="G370" s="41" t="inlineStr">
        <is>
          <t>273.8600</t>
        </is>
      </c>
      <c r="H370" s="41" t="inlineStr">
        <is>
          <t>202307</t>
        </is>
      </c>
      <c r="I370" s="41" t="inlineStr">
        <is>
          <t>06</t>
        </is>
      </c>
      <c r="J370" s="41" t="inlineStr">
        <is>
          <t>590,000</t>
        </is>
      </c>
      <c r="K370" s="41" t="inlineStr">
        <is>
          <t>-</t>
        </is>
      </c>
      <c r="L370" s="41" t="inlineStr">
        <is>
          <t>8</t>
        </is>
      </c>
      <c r="M370" s="41" t="inlineStr">
        <is>
          <t>-</t>
        </is>
      </c>
      <c r="N370" s="41" t="inlineStr">
        <is>
          <t>-</t>
        </is>
      </c>
      <c r="O370" s="41" t="inlineStr">
        <is>
          <t>2002</t>
        </is>
      </c>
      <c r="P370" s="42" t="inlineStr">
        <is>
          <t>명달로 97-14</t>
        </is>
      </c>
      <c r="Q370" s="41" t="inlineStr">
        <is>
          <t>-</t>
        </is>
      </c>
      <c r="R370" s="42" t="inlineStr">
        <is>
          <t>중개거래</t>
        </is>
      </c>
      <c r="S370" s="42" t="inlineStr">
        <is>
          <t>서울 서초구</t>
        </is>
      </c>
      <c r="T370" s="41" t="inlineStr">
        <is>
          <t>23.11.01</t>
        </is>
      </c>
      <c r="U370" s="42" t="inlineStr">
        <is>
          <t>아파트</t>
        </is>
      </c>
    </row>
    <row r="371" hidden="1" ht="15" customHeight="1">
      <c r="A371" s="41" t="n">
        <v>367</v>
      </c>
      <c r="B371" s="42" t="inlineStr">
        <is>
          <t>서울특별시 서초구 서초동</t>
        </is>
      </c>
      <c r="C371" s="41" t="inlineStr">
        <is>
          <t>1326-17</t>
        </is>
      </c>
      <c r="D371" s="41" t="inlineStr">
        <is>
          <t>1326</t>
        </is>
      </c>
      <c r="E371" s="41" t="inlineStr">
        <is>
          <t>0017</t>
        </is>
      </c>
      <c r="F371" s="42" t="inlineStr">
        <is>
          <t>우성아파트</t>
        </is>
      </c>
      <c r="G371" s="41" t="inlineStr">
        <is>
          <t>59.9300</t>
        </is>
      </c>
      <c r="H371" s="41" t="inlineStr">
        <is>
          <t>202307</t>
        </is>
      </c>
      <c r="I371" s="41" t="inlineStr">
        <is>
          <t>05</t>
        </is>
      </c>
      <c r="J371" s="41" t="inlineStr">
        <is>
          <t>144,000</t>
        </is>
      </c>
      <c r="K371" s="41" t="inlineStr">
        <is>
          <t>501</t>
        </is>
      </c>
      <c r="L371" s="41" t="inlineStr">
        <is>
          <t>6</t>
        </is>
      </c>
      <c r="M371" s="41" t="inlineStr">
        <is>
          <t>-</t>
        </is>
      </c>
      <c r="N371" s="41" t="inlineStr">
        <is>
          <t>-</t>
        </is>
      </c>
      <c r="O371" s="41" t="inlineStr">
        <is>
          <t>1998</t>
        </is>
      </c>
      <c r="P371" s="42" t="inlineStr">
        <is>
          <t>서초대로74길 30</t>
        </is>
      </c>
      <c r="Q371" s="41" t="inlineStr">
        <is>
          <t>-</t>
        </is>
      </c>
      <c r="R371" s="42" t="inlineStr">
        <is>
          <t>중개거래</t>
        </is>
      </c>
      <c r="S371" s="42" t="inlineStr">
        <is>
          <t>서울 서초구</t>
        </is>
      </c>
      <c r="T371" s="41" t="inlineStr">
        <is>
          <t>23.10.20</t>
        </is>
      </c>
      <c r="U371" s="42" t="inlineStr">
        <is>
          <t>아파트</t>
        </is>
      </c>
    </row>
    <row r="372" hidden="1" ht="15" customHeight="1">
      <c r="A372" s="41" t="n">
        <v>368</v>
      </c>
      <c r="B372" s="42" t="inlineStr">
        <is>
          <t>서울특별시 서초구 서초동</t>
        </is>
      </c>
      <c r="C372" s="41" t="inlineStr">
        <is>
          <t>1333</t>
        </is>
      </c>
      <c r="D372" s="41" t="inlineStr">
        <is>
          <t>1333</t>
        </is>
      </c>
      <c r="E372" s="41" t="inlineStr">
        <is>
          <t>0000</t>
        </is>
      </c>
      <c r="F372" s="42" t="inlineStr">
        <is>
          <t>신동아아파트(1차)</t>
        </is>
      </c>
      <c r="G372" s="41" t="inlineStr">
        <is>
          <t>102.2100</t>
        </is>
      </c>
      <c r="H372" s="41" t="inlineStr">
        <is>
          <t>202307</t>
        </is>
      </c>
      <c r="I372" s="41" t="inlineStr">
        <is>
          <t>04</t>
        </is>
      </c>
      <c r="J372" s="41" t="inlineStr">
        <is>
          <t>225,000</t>
        </is>
      </c>
      <c r="K372" s="41" t="inlineStr">
        <is>
          <t>-</t>
        </is>
      </c>
      <c r="L372" s="41" t="inlineStr">
        <is>
          <t>6</t>
        </is>
      </c>
      <c r="M372" s="41" t="inlineStr">
        <is>
          <t>-</t>
        </is>
      </c>
      <c r="N372" s="41" t="inlineStr">
        <is>
          <t>-</t>
        </is>
      </c>
      <c r="O372" s="41" t="inlineStr">
        <is>
          <t>1978</t>
        </is>
      </c>
      <c r="P372" s="42" t="inlineStr">
        <is>
          <t>사임당로 130</t>
        </is>
      </c>
      <c r="Q372" s="41" t="inlineStr">
        <is>
          <t>20231023</t>
        </is>
      </c>
      <c r="R372" s="42" t="inlineStr">
        <is>
          <t>중개거래</t>
        </is>
      </c>
      <c r="S372" s="42" t="inlineStr">
        <is>
          <t>서울 서초구</t>
        </is>
      </c>
      <c r="T372" s="41" t="inlineStr">
        <is>
          <t>-</t>
        </is>
      </c>
      <c r="U372" s="42" t="inlineStr">
        <is>
          <t>아파트</t>
        </is>
      </c>
    </row>
    <row r="373" hidden="1" ht="15" customHeight="1">
      <c r="A373" s="41" t="n">
        <v>369</v>
      </c>
      <c r="B373" s="42" t="inlineStr">
        <is>
          <t>서울특별시 서초구 서초동</t>
        </is>
      </c>
      <c r="C373" s="41" t="inlineStr">
        <is>
          <t>1333</t>
        </is>
      </c>
      <c r="D373" s="41" t="inlineStr">
        <is>
          <t>1333</t>
        </is>
      </c>
      <c r="E373" s="41" t="inlineStr">
        <is>
          <t>0000</t>
        </is>
      </c>
      <c r="F373" s="42" t="inlineStr">
        <is>
          <t>신동아아파트(1차)</t>
        </is>
      </c>
      <c r="G373" s="41" t="inlineStr">
        <is>
          <t>132.1000</t>
        </is>
      </c>
      <c r="H373" s="41" t="inlineStr">
        <is>
          <t>202307</t>
        </is>
      </c>
      <c r="I373" s="41" t="inlineStr">
        <is>
          <t>04</t>
        </is>
      </c>
      <c r="J373" s="41" t="inlineStr">
        <is>
          <t>268,000</t>
        </is>
      </c>
      <c r="K373" s="41" t="inlineStr">
        <is>
          <t>2</t>
        </is>
      </c>
      <c r="L373" s="41" t="inlineStr">
        <is>
          <t>3</t>
        </is>
      </c>
      <c r="M373" s="41" t="inlineStr">
        <is>
          <t>-</t>
        </is>
      </c>
      <c r="N373" s="41" t="inlineStr">
        <is>
          <t>-</t>
        </is>
      </c>
      <c r="O373" s="41" t="inlineStr">
        <is>
          <t>1978</t>
        </is>
      </c>
      <c r="P373" s="42" t="inlineStr">
        <is>
          <t>사임당로 137</t>
        </is>
      </c>
      <c r="Q373" s="41" t="inlineStr">
        <is>
          <t>-</t>
        </is>
      </c>
      <c r="R373" s="42" t="inlineStr">
        <is>
          <t>중개거래</t>
        </is>
      </c>
      <c r="S373" s="42" t="inlineStr">
        <is>
          <t>서울 서초구</t>
        </is>
      </c>
      <c r="T373" s="41" t="inlineStr">
        <is>
          <t>23.08.14</t>
        </is>
      </c>
      <c r="U373" s="42" t="inlineStr">
        <is>
          <t>아파트</t>
        </is>
      </c>
    </row>
    <row r="374" hidden="1" ht="15" customHeight="1">
      <c r="A374" s="41" t="n">
        <v>370</v>
      </c>
      <c r="B374" s="42" t="inlineStr">
        <is>
          <t>서울특별시 서초구 서초동</t>
        </is>
      </c>
      <c r="C374" s="41" t="inlineStr">
        <is>
          <t>1333</t>
        </is>
      </c>
      <c r="D374" s="41" t="inlineStr">
        <is>
          <t>1333</t>
        </is>
      </c>
      <c r="E374" s="41" t="inlineStr">
        <is>
          <t>0000</t>
        </is>
      </c>
      <c r="F374" s="42" t="inlineStr">
        <is>
          <t>신동아아파트(1차)</t>
        </is>
      </c>
      <c r="G374" s="41" t="inlineStr">
        <is>
          <t>101.6000</t>
        </is>
      </c>
      <c r="H374" s="41" t="inlineStr">
        <is>
          <t>202307</t>
        </is>
      </c>
      <c r="I374" s="41" t="inlineStr">
        <is>
          <t>04</t>
        </is>
      </c>
      <c r="J374" s="41" t="inlineStr">
        <is>
          <t>224,000</t>
        </is>
      </c>
      <c r="K374" s="41" t="inlineStr">
        <is>
          <t>3</t>
        </is>
      </c>
      <c r="L374" s="41" t="inlineStr">
        <is>
          <t>12</t>
        </is>
      </c>
      <c r="M374" s="41" t="inlineStr">
        <is>
          <t>-</t>
        </is>
      </c>
      <c r="N374" s="41" t="inlineStr">
        <is>
          <t>-</t>
        </is>
      </c>
      <c r="O374" s="41" t="inlineStr">
        <is>
          <t>1978</t>
        </is>
      </c>
      <c r="P374" s="42" t="inlineStr">
        <is>
          <t>사임당로 137</t>
        </is>
      </c>
      <c r="Q374" s="41" t="inlineStr">
        <is>
          <t>-</t>
        </is>
      </c>
      <c r="R374" s="42" t="inlineStr">
        <is>
          <t>중개거래</t>
        </is>
      </c>
      <c r="S374" s="42" t="inlineStr">
        <is>
          <t>서울 서초구</t>
        </is>
      </c>
      <c r="T374" s="41" t="inlineStr">
        <is>
          <t>23.08.07</t>
        </is>
      </c>
      <c r="U374" s="42" t="inlineStr">
        <is>
          <t>아파트</t>
        </is>
      </c>
    </row>
    <row r="375" hidden="1" ht="15" customHeight="1">
      <c r="A375" s="41" t="n">
        <v>371</v>
      </c>
      <c r="B375" s="42" t="inlineStr">
        <is>
          <t>서울특별시 서초구 서초동</t>
        </is>
      </c>
      <c r="C375" s="41" t="inlineStr">
        <is>
          <t>1330</t>
        </is>
      </c>
      <c r="D375" s="41" t="inlineStr">
        <is>
          <t>1330</t>
        </is>
      </c>
      <c r="E375" s="41" t="inlineStr">
        <is>
          <t>0000</t>
        </is>
      </c>
      <c r="F375" s="42" t="inlineStr">
        <is>
          <t>서초동삼성쉐르빌2</t>
        </is>
      </c>
      <c r="G375" s="41" t="inlineStr">
        <is>
          <t>70.4900</t>
        </is>
      </c>
      <c r="H375" s="41" t="inlineStr">
        <is>
          <t>202307</t>
        </is>
      </c>
      <c r="I375" s="41" t="inlineStr">
        <is>
          <t>04</t>
        </is>
      </c>
      <c r="J375" s="41" t="inlineStr">
        <is>
          <t>88,000</t>
        </is>
      </c>
      <c r="K375" s="41" t="inlineStr">
        <is>
          <t>-</t>
        </is>
      </c>
      <c r="L375" s="41" t="inlineStr">
        <is>
          <t>4</t>
        </is>
      </c>
      <c r="M375" s="41" t="inlineStr">
        <is>
          <t>-</t>
        </is>
      </c>
      <c r="N375" s="41" t="inlineStr">
        <is>
          <t>-</t>
        </is>
      </c>
      <c r="O375" s="41" t="inlineStr">
        <is>
          <t>2002</t>
        </is>
      </c>
      <c r="P375" s="42" t="inlineStr">
        <is>
          <t>강남대로53길 11</t>
        </is>
      </c>
      <c r="Q375" s="41" t="inlineStr">
        <is>
          <t>-</t>
        </is>
      </c>
      <c r="R375" s="42" t="inlineStr">
        <is>
          <t>중개거래</t>
        </is>
      </c>
      <c r="S375" s="42" t="inlineStr">
        <is>
          <t>서울 서초구</t>
        </is>
      </c>
      <c r="T375" s="41" t="inlineStr">
        <is>
          <t>23.07.26</t>
        </is>
      </c>
      <c r="U375" s="42" t="inlineStr">
        <is>
          <t>아파트</t>
        </is>
      </c>
    </row>
    <row r="376" hidden="1" ht="15" customHeight="1">
      <c r="A376" s="41" t="n">
        <v>372</v>
      </c>
      <c r="B376" s="42" t="inlineStr">
        <is>
          <t>서울특별시 서초구 서초동</t>
        </is>
      </c>
      <c r="C376" s="41" t="inlineStr">
        <is>
          <t>1333</t>
        </is>
      </c>
      <c r="D376" s="41" t="inlineStr">
        <is>
          <t>1333</t>
        </is>
      </c>
      <c r="E376" s="41" t="inlineStr">
        <is>
          <t>0000</t>
        </is>
      </c>
      <c r="F376" s="42" t="inlineStr">
        <is>
          <t>신동아아파트(1차)</t>
        </is>
      </c>
      <c r="G376" s="41" t="inlineStr">
        <is>
          <t>102.2100</t>
        </is>
      </c>
      <c r="H376" s="41" t="inlineStr">
        <is>
          <t>202307</t>
        </is>
      </c>
      <c r="I376" s="41" t="inlineStr">
        <is>
          <t>04</t>
        </is>
      </c>
      <c r="J376" s="41" t="inlineStr">
        <is>
          <t>225,000</t>
        </is>
      </c>
      <c r="K376" s="41" t="inlineStr">
        <is>
          <t>5</t>
        </is>
      </c>
      <c r="L376" s="41" t="inlineStr">
        <is>
          <t>6</t>
        </is>
      </c>
      <c r="M376" s="41" t="inlineStr">
        <is>
          <t>-</t>
        </is>
      </c>
      <c r="N376" s="41" t="inlineStr">
        <is>
          <t>-</t>
        </is>
      </c>
      <c r="O376" s="41" t="inlineStr">
        <is>
          <t>1978</t>
        </is>
      </c>
      <c r="P376" s="42" t="inlineStr">
        <is>
          <t>사임당로 130</t>
        </is>
      </c>
      <c r="Q376" s="41" t="inlineStr">
        <is>
          <t>-</t>
        </is>
      </c>
      <c r="R376" s="42" t="inlineStr">
        <is>
          <t>중개거래</t>
        </is>
      </c>
      <c r="S376" s="42" t="inlineStr">
        <is>
          <t>서울 서초구</t>
        </is>
      </c>
      <c r="T376" s="41" t="inlineStr">
        <is>
          <t>23.10.31</t>
        </is>
      </c>
      <c r="U376" s="42" t="inlineStr">
        <is>
          <t>아파트</t>
        </is>
      </c>
    </row>
    <row r="377" hidden="1" ht="15" customHeight="1">
      <c r="A377" s="41" t="n">
        <v>373</v>
      </c>
      <c r="B377" s="42" t="inlineStr">
        <is>
          <t>서울특별시 서초구 서초동</t>
        </is>
      </c>
      <c r="C377" s="41" t="inlineStr">
        <is>
          <t>1681-8</t>
        </is>
      </c>
      <c r="D377" s="41" t="inlineStr">
        <is>
          <t>1681</t>
        </is>
      </c>
      <c r="E377" s="41" t="inlineStr">
        <is>
          <t>0008</t>
        </is>
      </c>
      <c r="F377" s="42" t="inlineStr">
        <is>
          <t>서초롯데캐슬프레지던트</t>
        </is>
      </c>
      <c r="G377" s="41" t="inlineStr">
        <is>
          <t>84.9700</t>
        </is>
      </c>
      <c r="H377" s="41" t="inlineStr">
        <is>
          <t>202307</t>
        </is>
      </c>
      <c r="I377" s="41" t="inlineStr">
        <is>
          <t>03</t>
        </is>
      </c>
      <c r="J377" s="41" t="inlineStr">
        <is>
          <t>215,000</t>
        </is>
      </c>
      <c r="K377" s="41" t="inlineStr">
        <is>
          <t>103</t>
        </is>
      </c>
      <c r="L377" s="41" t="inlineStr">
        <is>
          <t>28</t>
        </is>
      </c>
      <c r="M377" s="41" t="inlineStr">
        <is>
          <t>-</t>
        </is>
      </c>
      <c r="N377" s="41" t="inlineStr">
        <is>
          <t>-</t>
        </is>
      </c>
      <c r="O377" s="41" t="inlineStr">
        <is>
          <t>2014</t>
        </is>
      </c>
      <c r="P377" s="42" t="inlineStr">
        <is>
          <t>서초중앙로24길 57</t>
        </is>
      </c>
      <c r="Q377" s="41" t="inlineStr">
        <is>
          <t>-</t>
        </is>
      </c>
      <c r="R377" s="42" t="inlineStr">
        <is>
          <t>중개거래</t>
        </is>
      </c>
      <c r="S377" s="42" t="inlineStr">
        <is>
          <t>서울 서초구</t>
        </is>
      </c>
      <c r="T377" s="41" t="inlineStr">
        <is>
          <t>23.10.06</t>
        </is>
      </c>
      <c r="U377" s="42" t="inlineStr">
        <is>
          <t>아파트</t>
        </is>
      </c>
    </row>
    <row r="378" hidden="1" ht="15" customHeight="1">
      <c r="A378" s="41" t="n">
        <v>374</v>
      </c>
      <c r="B378" s="42" t="inlineStr">
        <is>
          <t>서울특별시 서초구 서초동</t>
        </is>
      </c>
      <c r="C378" s="41" t="inlineStr">
        <is>
          <t>1593-7</t>
        </is>
      </c>
      <c r="D378" s="41" t="inlineStr">
        <is>
          <t>1593</t>
        </is>
      </c>
      <c r="E378" s="41" t="inlineStr">
        <is>
          <t>0007</t>
        </is>
      </c>
      <c r="F378" s="42" t="inlineStr">
        <is>
          <t>서초이오빌</t>
        </is>
      </c>
      <c r="G378" s="41" t="inlineStr">
        <is>
          <t>43.2000</t>
        </is>
      </c>
      <c r="H378" s="41" t="inlineStr">
        <is>
          <t>202307</t>
        </is>
      </c>
      <c r="I378" s="41" t="inlineStr">
        <is>
          <t>03</t>
        </is>
      </c>
      <c r="J378" s="41" t="inlineStr">
        <is>
          <t>40,500</t>
        </is>
      </c>
      <c r="K378" s="41" t="inlineStr">
        <is>
          <t>-</t>
        </is>
      </c>
      <c r="L378" s="41" t="inlineStr">
        <is>
          <t>6</t>
        </is>
      </c>
      <c r="M378" s="41" t="inlineStr">
        <is>
          <t>-</t>
        </is>
      </c>
      <c r="N378" s="41" t="inlineStr">
        <is>
          <t>-</t>
        </is>
      </c>
      <c r="O378" s="41" t="inlineStr">
        <is>
          <t>2003</t>
        </is>
      </c>
      <c r="P378" s="42" t="inlineStr">
        <is>
          <t>효령로53길 45</t>
        </is>
      </c>
      <c r="Q378" s="41" t="inlineStr">
        <is>
          <t>-</t>
        </is>
      </c>
      <c r="R378" s="42" t="inlineStr">
        <is>
          <t>중개거래</t>
        </is>
      </c>
      <c r="S378" s="42" t="inlineStr">
        <is>
          <t>서울 서초구</t>
        </is>
      </c>
      <c r="T378" s="41" t="inlineStr">
        <is>
          <t>23.09.11</t>
        </is>
      </c>
      <c r="U378" s="42" t="inlineStr">
        <is>
          <t>아파트</t>
        </is>
      </c>
    </row>
    <row r="379" hidden="1" ht="15" customHeight="1">
      <c r="A379" s="41" t="n">
        <v>375</v>
      </c>
      <c r="B379" s="42" t="inlineStr">
        <is>
          <t>서울특별시 서초구 서초동</t>
        </is>
      </c>
      <c r="C379" s="41" t="inlineStr">
        <is>
          <t>1687</t>
        </is>
      </c>
      <c r="D379" s="41" t="inlineStr">
        <is>
          <t>1687</t>
        </is>
      </c>
      <c r="E379" s="41" t="inlineStr">
        <is>
          <t>0000</t>
        </is>
      </c>
      <c r="F379" s="42" t="inlineStr">
        <is>
          <t>유원서초</t>
        </is>
      </c>
      <c r="G379" s="41" t="inlineStr">
        <is>
          <t>84.8200</t>
        </is>
      </c>
      <c r="H379" s="41" t="inlineStr">
        <is>
          <t>202307</t>
        </is>
      </c>
      <c r="I379" s="41" t="inlineStr">
        <is>
          <t>03</t>
        </is>
      </c>
      <c r="J379" s="41" t="inlineStr">
        <is>
          <t>179,000</t>
        </is>
      </c>
      <c r="K379" s="41" t="inlineStr">
        <is>
          <t>102</t>
        </is>
      </c>
      <c r="L379" s="41" t="inlineStr">
        <is>
          <t>2</t>
        </is>
      </c>
      <c r="M379" s="41" t="inlineStr">
        <is>
          <t>-</t>
        </is>
      </c>
      <c r="N379" s="41" t="inlineStr">
        <is>
          <t>-</t>
        </is>
      </c>
      <c r="O379" s="41" t="inlineStr">
        <is>
          <t>1993</t>
        </is>
      </c>
      <c r="P379" s="42" t="inlineStr">
        <is>
          <t>서초중앙로24길 43</t>
        </is>
      </c>
      <c r="Q379" s="41" t="inlineStr">
        <is>
          <t>-</t>
        </is>
      </c>
      <c r="R379" s="42" t="inlineStr">
        <is>
          <t>중개거래</t>
        </is>
      </c>
      <c r="S379" s="42" t="inlineStr">
        <is>
          <t>서울 서초구</t>
        </is>
      </c>
      <c r="T379" s="41" t="inlineStr">
        <is>
          <t>23.10.20</t>
        </is>
      </c>
      <c r="U379" s="42" t="inlineStr">
        <is>
          <t>아파트</t>
        </is>
      </c>
    </row>
    <row r="380" hidden="1" ht="15" customHeight="1">
      <c r="A380" s="41" t="n">
        <v>376</v>
      </c>
      <c r="B380" s="42" t="inlineStr">
        <is>
          <t>서울특별시 서초구 서초동</t>
        </is>
      </c>
      <c r="C380" s="41" t="inlineStr">
        <is>
          <t>1685</t>
        </is>
      </c>
      <c r="D380" s="41" t="inlineStr">
        <is>
          <t>1685</t>
        </is>
      </c>
      <c r="E380" s="41" t="inlineStr">
        <is>
          <t>0000</t>
        </is>
      </c>
      <c r="F380" s="42" t="inlineStr">
        <is>
          <t>삼풍아파트</t>
        </is>
      </c>
      <c r="G380" s="41" t="inlineStr">
        <is>
          <t>130.7300</t>
        </is>
      </c>
      <c r="H380" s="41" t="inlineStr">
        <is>
          <t>202307</t>
        </is>
      </c>
      <c r="I380" s="41" t="inlineStr">
        <is>
          <t>03</t>
        </is>
      </c>
      <c r="J380" s="41" t="inlineStr">
        <is>
          <t>328,000</t>
        </is>
      </c>
      <c r="K380" s="41" t="inlineStr">
        <is>
          <t>16</t>
        </is>
      </c>
      <c r="L380" s="41" t="inlineStr">
        <is>
          <t>6</t>
        </is>
      </c>
      <c r="M380" s="41" t="inlineStr">
        <is>
          <t>-</t>
        </is>
      </c>
      <c r="N380" s="41" t="inlineStr">
        <is>
          <t>-</t>
        </is>
      </c>
      <c r="O380" s="41" t="inlineStr">
        <is>
          <t>1988</t>
        </is>
      </c>
      <c r="P380" s="42" t="inlineStr">
        <is>
          <t>서초중앙로 200</t>
        </is>
      </c>
      <c r="Q380" s="41" t="inlineStr">
        <is>
          <t>-</t>
        </is>
      </c>
      <c r="R380" s="42" t="inlineStr">
        <is>
          <t>중개거래</t>
        </is>
      </c>
      <c r="S380" s="42" t="inlineStr">
        <is>
          <t>서울 서초구</t>
        </is>
      </c>
      <c r="T380" s="41" t="inlineStr">
        <is>
          <t>23.10.30</t>
        </is>
      </c>
      <c r="U380" s="42" t="inlineStr">
        <is>
          <t>아파트</t>
        </is>
      </c>
    </row>
    <row r="381" hidden="1" ht="15" customHeight="1">
      <c r="A381" s="41" t="n">
        <v>377</v>
      </c>
      <c r="B381" s="42" t="inlineStr">
        <is>
          <t>서울특별시 서초구 서초동</t>
        </is>
      </c>
      <c r="C381" s="41" t="inlineStr">
        <is>
          <t>1685-3</t>
        </is>
      </c>
      <c r="D381" s="41" t="inlineStr">
        <is>
          <t>1685</t>
        </is>
      </c>
      <c r="E381" s="41" t="inlineStr">
        <is>
          <t>0003</t>
        </is>
      </c>
      <c r="F381" s="42" t="inlineStr">
        <is>
          <t>아크로비스타</t>
        </is>
      </c>
      <c r="G381" s="41" t="inlineStr">
        <is>
          <t>152.3300</t>
        </is>
      </c>
      <c r="H381" s="41" t="inlineStr">
        <is>
          <t>202307</t>
        </is>
      </c>
      <c r="I381" s="41" t="inlineStr">
        <is>
          <t>03</t>
        </is>
      </c>
      <c r="J381" s="41" t="inlineStr">
        <is>
          <t>275,000</t>
        </is>
      </c>
      <c r="K381" s="41" t="inlineStr">
        <is>
          <t>C</t>
        </is>
      </c>
      <c r="L381" s="41" t="inlineStr">
        <is>
          <t>20</t>
        </is>
      </c>
      <c r="M381" s="41" t="inlineStr">
        <is>
          <t>-</t>
        </is>
      </c>
      <c r="N381" s="41" t="inlineStr">
        <is>
          <t>-</t>
        </is>
      </c>
      <c r="O381" s="41" t="inlineStr">
        <is>
          <t>2004</t>
        </is>
      </c>
      <c r="P381" s="42" t="inlineStr">
        <is>
          <t>서초중앙로 188</t>
        </is>
      </c>
      <c r="Q381" s="41" t="inlineStr">
        <is>
          <t>-</t>
        </is>
      </c>
      <c r="R381" s="42" t="inlineStr">
        <is>
          <t>중개거래</t>
        </is>
      </c>
      <c r="S381" s="42" t="inlineStr">
        <is>
          <t>서울 서초구</t>
        </is>
      </c>
      <c r="T381" s="41" t="inlineStr">
        <is>
          <t>23.09.25</t>
        </is>
      </c>
      <c r="U381" s="42" t="inlineStr">
        <is>
          <t>아파트</t>
        </is>
      </c>
    </row>
    <row r="382" hidden="1" ht="15" customHeight="1">
      <c r="A382" s="41" t="n">
        <v>378</v>
      </c>
      <c r="B382" s="42" t="inlineStr">
        <is>
          <t>서울특별시 서초구 서초동</t>
        </is>
      </c>
      <c r="C382" s="41" t="inlineStr">
        <is>
          <t>1685-3</t>
        </is>
      </c>
      <c r="D382" s="41" t="inlineStr">
        <is>
          <t>1685</t>
        </is>
      </c>
      <c r="E382" s="41" t="inlineStr">
        <is>
          <t>0003</t>
        </is>
      </c>
      <c r="F382" s="42" t="inlineStr">
        <is>
          <t>아크로비스타</t>
        </is>
      </c>
      <c r="G382" s="41" t="inlineStr">
        <is>
          <t>137.9800</t>
        </is>
      </c>
      <c r="H382" s="41" t="inlineStr">
        <is>
          <t>202307</t>
        </is>
      </c>
      <c r="I382" s="41" t="inlineStr">
        <is>
          <t>03</t>
        </is>
      </c>
      <c r="J382" s="41" t="inlineStr">
        <is>
          <t>245,000</t>
        </is>
      </c>
      <c r="K382" s="41" t="inlineStr">
        <is>
          <t>A</t>
        </is>
      </c>
      <c r="L382" s="41" t="inlineStr">
        <is>
          <t>17</t>
        </is>
      </c>
      <c r="M382" s="41" t="inlineStr">
        <is>
          <t>-</t>
        </is>
      </c>
      <c r="N382" s="41" t="inlineStr">
        <is>
          <t>-</t>
        </is>
      </c>
      <c r="O382" s="41" t="inlineStr">
        <is>
          <t>2004</t>
        </is>
      </c>
      <c r="P382" s="42" t="inlineStr">
        <is>
          <t>서초중앙로 188</t>
        </is>
      </c>
      <c r="Q382" s="41" t="inlineStr">
        <is>
          <t>-</t>
        </is>
      </c>
      <c r="R382" s="42" t="inlineStr">
        <is>
          <t>중개거래</t>
        </is>
      </c>
      <c r="S382" s="42" t="inlineStr">
        <is>
          <t>서울 서초구</t>
        </is>
      </c>
      <c r="T382" s="41" t="inlineStr">
        <is>
          <t>23.08.31</t>
        </is>
      </c>
      <c r="U382" s="42" t="inlineStr">
        <is>
          <t>아파트</t>
        </is>
      </c>
    </row>
    <row r="383" hidden="1" ht="15" customHeight="1">
      <c r="A383" s="41" t="n">
        <v>379</v>
      </c>
      <c r="B383" s="42" t="inlineStr">
        <is>
          <t>서울특별시 서초구 서초동</t>
        </is>
      </c>
      <c r="C383" s="41" t="inlineStr">
        <is>
          <t>1685-3</t>
        </is>
      </c>
      <c r="D383" s="41" t="inlineStr">
        <is>
          <t>1685</t>
        </is>
      </c>
      <c r="E383" s="41" t="inlineStr">
        <is>
          <t>0003</t>
        </is>
      </c>
      <c r="F383" s="42" t="inlineStr">
        <is>
          <t>아크로비스타</t>
        </is>
      </c>
      <c r="G383" s="41" t="inlineStr">
        <is>
          <t>149.8400</t>
        </is>
      </c>
      <c r="H383" s="41" t="inlineStr">
        <is>
          <t>202307</t>
        </is>
      </c>
      <c r="I383" s="41" t="inlineStr">
        <is>
          <t>03</t>
        </is>
      </c>
      <c r="J383" s="41" t="inlineStr">
        <is>
          <t>286,000</t>
        </is>
      </c>
      <c r="K383" s="41" t="inlineStr">
        <is>
          <t>A</t>
        </is>
      </c>
      <c r="L383" s="41" t="inlineStr">
        <is>
          <t>29</t>
        </is>
      </c>
      <c r="M383" s="41" t="inlineStr">
        <is>
          <t>-</t>
        </is>
      </c>
      <c r="N383" s="41" t="inlineStr">
        <is>
          <t>-</t>
        </is>
      </c>
      <c r="O383" s="41" t="inlineStr">
        <is>
          <t>2004</t>
        </is>
      </c>
      <c r="P383" s="42" t="inlineStr">
        <is>
          <t>서초중앙로 188</t>
        </is>
      </c>
      <c r="Q383" s="41" t="inlineStr">
        <is>
          <t>-</t>
        </is>
      </c>
      <c r="R383" s="42" t="inlineStr">
        <is>
          <t>중개거래</t>
        </is>
      </c>
      <c r="S383" s="42" t="inlineStr">
        <is>
          <t>서울 서초구</t>
        </is>
      </c>
      <c r="T383" s="41" t="inlineStr">
        <is>
          <t>23.07.03</t>
        </is>
      </c>
      <c r="U383" s="42" t="inlineStr">
        <is>
          <t>아파트</t>
        </is>
      </c>
    </row>
    <row r="384" hidden="1" ht="15" customHeight="1">
      <c r="A384" s="41" t="n">
        <v>380</v>
      </c>
      <c r="B384" s="42" t="inlineStr">
        <is>
          <t>서울특별시 서초구 서초동</t>
        </is>
      </c>
      <c r="C384" s="41" t="inlineStr">
        <is>
          <t>1338-1</t>
        </is>
      </c>
      <c r="D384" s="41" t="inlineStr">
        <is>
          <t>1338</t>
        </is>
      </c>
      <c r="E384" s="41" t="inlineStr">
        <is>
          <t>0001</t>
        </is>
      </c>
      <c r="F384" s="42" t="inlineStr">
        <is>
          <t>풍림아이원플러스</t>
        </is>
      </c>
      <c r="G384" s="41" t="inlineStr">
        <is>
          <t>28.6660</t>
        </is>
      </c>
      <c r="H384" s="41" t="inlineStr">
        <is>
          <t>202307</t>
        </is>
      </c>
      <c r="I384" s="41" t="inlineStr">
        <is>
          <t>03</t>
        </is>
      </c>
      <c r="J384" s="41" t="inlineStr">
        <is>
          <t>29,900</t>
        </is>
      </c>
      <c r="K384" s="42" t="inlineStr">
        <is>
          <t>풍림아이원플러스</t>
        </is>
      </c>
      <c r="L384" s="41" t="inlineStr">
        <is>
          <t>15</t>
        </is>
      </c>
      <c r="M384" s="41" t="inlineStr">
        <is>
          <t>-</t>
        </is>
      </c>
      <c r="N384" s="41" t="inlineStr">
        <is>
          <t>-</t>
        </is>
      </c>
      <c r="O384" s="41" t="inlineStr">
        <is>
          <t>2004</t>
        </is>
      </c>
      <c r="P384" s="42" t="inlineStr">
        <is>
          <t>효령로77길 14</t>
        </is>
      </c>
      <c r="Q384" s="41" t="inlineStr">
        <is>
          <t>-</t>
        </is>
      </c>
      <c r="R384" s="42" t="inlineStr">
        <is>
          <t>중개거래</t>
        </is>
      </c>
      <c r="S384" s="42" t="inlineStr">
        <is>
          <t>서울 서초구</t>
        </is>
      </c>
      <c r="T384" s="41" t="inlineStr">
        <is>
          <t>23.09.26</t>
        </is>
      </c>
      <c r="U384" s="42" t="inlineStr">
        <is>
          <t>아파트</t>
        </is>
      </c>
    </row>
    <row r="385" hidden="1" ht="15" customHeight="1">
      <c r="A385" s="41" t="n">
        <v>381</v>
      </c>
      <c r="B385" s="42" t="inlineStr">
        <is>
          <t>서울특별시 서초구 서초동</t>
        </is>
      </c>
      <c r="C385" s="41" t="inlineStr">
        <is>
          <t>1333</t>
        </is>
      </c>
      <c r="D385" s="41" t="inlineStr">
        <is>
          <t>1333</t>
        </is>
      </c>
      <c r="E385" s="41" t="inlineStr">
        <is>
          <t>0000</t>
        </is>
      </c>
      <c r="F385" s="42" t="inlineStr">
        <is>
          <t>신동아아파트(1차)</t>
        </is>
      </c>
      <c r="G385" s="41" t="inlineStr">
        <is>
          <t>86.6100</t>
        </is>
      </c>
      <c r="H385" s="41" t="inlineStr">
        <is>
          <t>202307</t>
        </is>
      </c>
      <c r="I385" s="41" t="inlineStr">
        <is>
          <t>02</t>
        </is>
      </c>
      <c r="J385" s="41" t="inlineStr">
        <is>
          <t>203,000</t>
        </is>
      </c>
      <c r="K385" s="41" t="inlineStr">
        <is>
          <t>7</t>
        </is>
      </c>
      <c r="L385" s="41" t="inlineStr">
        <is>
          <t>7</t>
        </is>
      </c>
      <c r="M385" s="41" t="inlineStr">
        <is>
          <t>-</t>
        </is>
      </c>
      <c r="N385" s="41" t="inlineStr">
        <is>
          <t>-</t>
        </is>
      </c>
      <c r="O385" s="41" t="inlineStr">
        <is>
          <t>1978</t>
        </is>
      </c>
      <c r="P385" s="42" t="inlineStr">
        <is>
          <t>사임당로 130</t>
        </is>
      </c>
      <c r="Q385" s="41" t="inlineStr">
        <is>
          <t>-</t>
        </is>
      </c>
      <c r="R385" s="42" t="inlineStr">
        <is>
          <t>중개거래</t>
        </is>
      </c>
      <c r="S385" s="42" t="inlineStr">
        <is>
          <t>서울 서초구</t>
        </is>
      </c>
      <c r="T385" s="41" t="inlineStr">
        <is>
          <t>23.09.07</t>
        </is>
      </c>
      <c r="U385" s="42" t="inlineStr">
        <is>
          <t>아파트</t>
        </is>
      </c>
    </row>
    <row r="386" hidden="1" ht="15" customHeight="1">
      <c r="A386" s="41" t="n">
        <v>382</v>
      </c>
      <c r="B386" s="42" t="inlineStr">
        <is>
          <t>서울특별시 서초구 서초동</t>
        </is>
      </c>
      <c r="C386" s="41" t="inlineStr">
        <is>
          <t>1520-9</t>
        </is>
      </c>
      <c r="D386" s="41" t="inlineStr">
        <is>
          <t>1520</t>
        </is>
      </c>
      <c r="E386" s="41" t="inlineStr">
        <is>
          <t>0009</t>
        </is>
      </c>
      <c r="F386" s="42" t="inlineStr">
        <is>
          <t>레미안서초6차(1520-9)</t>
        </is>
      </c>
      <c r="G386" s="41" t="inlineStr">
        <is>
          <t>169.4100</t>
        </is>
      </c>
      <c r="H386" s="41" t="inlineStr">
        <is>
          <t>202307</t>
        </is>
      </c>
      <c r="I386" s="41" t="inlineStr">
        <is>
          <t>01</t>
        </is>
      </c>
      <c r="J386" s="41" t="inlineStr">
        <is>
          <t>242,000</t>
        </is>
      </c>
      <c r="K386" s="41" t="inlineStr">
        <is>
          <t>601</t>
        </is>
      </c>
      <c r="L386" s="41" t="inlineStr">
        <is>
          <t>6</t>
        </is>
      </c>
      <c r="M386" s="41" t="inlineStr">
        <is>
          <t>-</t>
        </is>
      </c>
      <c r="N386" s="41" t="inlineStr">
        <is>
          <t>-</t>
        </is>
      </c>
      <c r="O386" s="41" t="inlineStr">
        <is>
          <t>2006</t>
        </is>
      </c>
      <c r="P386" s="42" t="inlineStr">
        <is>
          <t>반포대로21길 74</t>
        </is>
      </c>
      <c r="Q386" s="41" t="inlineStr">
        <is>
          <t>-</t>
        </is>
      </c>
      <c r="R386" s="42" t="inlineStr">
        <is>
          <t>중개거래</t>
        </is>
      </c>
      <c r="S386" s="42" t="inlineStr">
        <is>
          <t>서울 강동구 서울 용산구</t>
        </is>
      </c>
      <c r="T386" s="41" t="inlineStr">
        <is>
          <t>24.01.05</t>
        </is>
      </c>
      <c r="U386" s="42" t="inlineStr">
        <is>
          <t>아파트</t>
        </is>
      </c>
    </row>
    <row r="387" hidden="1" ht="15" customHeight="1">
      <c r="A387" s="41" t="n">
        <v>383</v>
      </c>
      <c r="B387" s="42" t="inlineStr">
        <is>
          <t>서울특별시 서초구 서초동</t>
        </is>
      </c>
      <c r="C387" s="41" t="inlineStr">
        <is>
          <t>1616-10</t>
        </is>
      </c>
      <c r="D387" s="41" t="inlineStr">
        <is>
          <t>1616</t>
        </is>
      </c>
      <c r="E387" s="41" t="inlineStr">
        <is>
          <t>0010</t>
        </is>
      </c>
      <c r="F387" s="42" t="inlineStr">
        <is>
          <t>서초극동스타클래스</t>
        </is>
      </c>
      <c r="G387" s="41" t="inlineStr">
        <is>
          <t>84.3000</t>
        </is>
      </c>
      <c r="H387" s="41" t="inlineStr">
        <is>
          <t>202307</t>
        </is>
      </c>
      <c r="I387" s="41" t="inlineStr">
        <is>
          <t>01</t>
        </is>
      </c>
      <c r="J387" s="41" t="inlineStr">
        <is>
          <t>157,500</t>
        </is>
      </c>
      <c r="K387" s="41" t="inlineStr">
        <is>
          <t>101</t>
        </is>
      </c>
      <c r="L387" s="41" t="inlineStr">
        <is>
          <t>12</t>
        </is>
      </c>
      <c r="M387" s="41" t="inlineStr">
        <is>
          <t>-</t>
        </is>
      </c>
      <c r="N387" s="41" t="inlineStr">
        <is>
          <t>-</t>
        </is>
      </c>
      <c r="O387" s="41" t="inlineStr">
        <is>
          <t>2003</t>
        </is>
      </c>
      <c r="P387" s="42" t="inlineStr">
        <is>
          <t>서리풀4길 43</t>
        </is>
      </c>
      <c r="Q387" s="41" t="inlineStr">
        <is>
          <t>-</t>
        </is>
      </c>
      <c r="R387" s="42" t="inlineStr">
        <is>
          <t>중개거래</t>
        </is>
      </c>
      <c r="S387" s="42" t="inlineStr">
        <is>
          <t>서울 서초구</t>
        </is>
      </c>
      <c r="T387" s="41" t="inlineStr">
        <is>
          <t>23.08.31</t>
        </is>
      </c>
      <c r="U387" s="42" t="inlineStr">
        <is>
          <t>아파트</t>
        </is>
      </c>
    </row>
    <row r="388" hidden="1" ht="15" customHeight="1">
      <c r="A388" s="41" t="n">
        <v>384</v>
      </c>
      <c r="B388" s="42" t="inlineStr">
        <is>
          <t>서울특별시 서초구 서초동</t>
        </is>
      </c>
      <c r="C388" s="41" t="inlineStr">
        <is>
          <t>1344-4</t>
        </is>
      </c>
      <c r="D388" s="41" t="inlineStr">
        <is>
          <t>1344</t>
        </is>
      </c>
      <c r="E388" s="41" t="inlineStr">
        <is>
          <t>0004</t>
        </is>
      </c>
      <c r="F388" s="42" t="inlineStr">
        <is>
          <t>서초동프레스티지아파트</t>
        </is>
      </c>
      <c r="G388" s="41" t="inlineStr">
        <is>
          <t>55.1000</t>
        </is>
      </c>
      <c r="H388" s="41" t="inlineStr">
        <is>
          <t>202307</t>
        </is>
      </c>
      <c r="I388" s="41" t="inlineStr">
        <is>
          <t>01</t>
        </is>
      </c>
      <c r="J388" s="41" t="inlineStr">
        <is>
          <t>90,000</t>
        </is>
      </c>
      <c r="K388" s="41" t="inlineStr">
        <is>
          <t>-</t>
        </is>
      </c>
      <c r="L388" s="41" t="inlineStr">
        <is>
          <t>10</t>
        </is>
      </c>
      <c r="M388" s="41" t="inlineStr">
        <is>
          <t>-</t>
        </is>
      </c>
      <c r="N388" s="41" t="inlineStr">
        <is>
          <t>-</t>
        </is>
      </c>
      <c r="O388" s="41" t="inlineStr">
        <is>
          <t>2017</t>
        </is>
      </c>
      <c r="P388" s="42" t="inlineStr">
        <is>
          <t>서운로11길 17</t>
        </is>
      </c>
      <c r="Q388" s="41" t="inlineStr">
        <is>
          <t>-</t>
        </is>
      </c>
      <c r="R388" s="42" t="inlineStr">
        <is>
          <t>중개거래</t>
        </is>
      </c>
      <c r="S388" s="42" t="inlineStr">
        <is>
          <t>서울 서초구</t>
        </is>
      </c>
      <c r="T388" s="41" t="inlineStr">
        <is>
          <t>23.08.31</t>
        </is>
      </c>
      <c r="U388" s="42" t="inlineStr">
        <is>
          <t>아파트</t>
        </is>
      </c>
    </row>
    <row r="389" hidden="1" ht="15" customHeight="1">
      <c r="A389" s="41" t="n">
        <v>385</v>
      </c>
      <c r="B389" s="42" t="inlineStr">
        <is>
          <t>서울특별시 서초구 서초동</t>
        </is>
      </c>
      <c r="C389" s="41" t="inlineStr">
        <is>
          <t>1333</t>
        </is>
      </c>
      <c r="D389" s="41" t="inlineStr">
        <is>
          <t>1333</t>
        </is>
      </c>
      <c r="E389" s="41" t="inlineStr">
        <is>
          <t>0000</t>
        </is>
      </c>
      <c r="F389" s="42" t="inlineStr">
        <is>
          <t>신동아아파트(1차)</t>
        </is>
      </c>
      <c r="G389" s="41" t="inlineStr">
        <is>
          <t>86.6100</t>
        </is>
      </c>
      <c r="H389" s="41" t="inlineStr">
        <is>
          <t>202306</t>
        </is>
      </c>
      <c r="I389" s="41" t="inlineStr">
        <is>
          <t>30</t>
        </is>
      </c>
      <c r="J389" s="41" t="inlineStr">
        <is>
          <t>200,000</t>
        </is>
      </c>
      <c r="K389" s="41" t="inlineStr">
        <is>
          <t>7</t>
        </is>
      </c>
      <c r="L389" s="41" t="inlineStr">
        <is>
          <t>10</t>
        </is>
      </c>
      <c r="M389" s="41" t="inlineStr">
        <is>
          <t>-</t>
        </is>
      </c>
      <c r="N389" s="41" t="inlineStr">
        <is>
          <t>-</t>
        </is>
      </c>
      <c r="O389" s="41" t="inlineStr">
        <is>
          <t>1978</t>
        </is>
      </c>
      <c r="P389" s="42" t="inlineStr">
        <is>
          <t>사임당로 130</t>
        </is>
      </c>
      <c r="Q389" s="41" t="inlineStr">
        <is>
          <t>-</t>
        </is>
      </c>
      <c r="R389" s="42" t="inlineStr">
        <is>
          <t>중개거래</t>
        </is>
      </c>
      <c r="S389" s="42" t="inlineStr">
        <is>
          <t>서울 서초구</t>
        </is>
      </c>
      <c r="T389" s="41" t="inlineStr">
        <is>
          <t>23.11.16</t>
        </is>
      </c>
      <c r="U389" s="42" t="inlineStr">
        <is>
          <t>아파트</t>
        </is>
      </c>
    </row>
    <row r="390" hidden="1" ht="15" customHeight="1">
      <c r="A390" s="41" t="n">
        <v>386</v>
      </c>
      <c r="B390" s="42" t="inlineStr">
        <is>
          <t>서울특별시 서초구 서초동</t>
        </is>
      </c>
      <c r="C390" s="41" t="inlineStr">
        <is>
          <t>1333</t>
        </is>
      </c>
      <c r="D390" s="41" t="inlineStr">
        <is>
          <t>1333</t>
        </is>
      </c>
      <c r="E390" s="41" t="inlineStr">
        <is>
          <t>0000</t>
        </is>
      </c>
      <c r="F390" s="42" t="inlineStr">
        <is>
          <t>신동아아파트(1차)</t>
        </is>
      </c>
      <c r="G390" s="41" t="inlineStr">
        <is>
          <t>75.8600</t>
        </is>
      </c>
      <c r="H390" s="41" t="inlineStr">
        <is>
          <t>202306</t>
        </is>
      </c>
      <c r="I390" s="41" t="inlineStr">
        <is>
          <t>28</t>
        </is>
      </c>
      <c r="J390" s="41" t="inlineStr">
        <is>
          <t>176,500</t>
        </is>
      </c>
      <c r="K390" s="41" t="inlineStr">
        <is>
          <t>7</t>
        </is>
      </c>
      <c r="L390" s="41" t="inlineStr">
        <is>
          <t>9</t>
        </is>
      </c>
      <c r="M390" s="41" t="inlineStr">
        <is>
          <t>-</t>
        </is>
      </c>
      <c r="N390" s="41" t="inlineStr">
        <is>
          <t>-</t>
        </is>
      </c>
      <c r="O390" s="41" t="inlineStr">
        <is>
          <t>1978</t>
        </is>
      </c>
      <c r="P390" s="42" t="inlineStr">
        <is>
          <t>사임당로 130</t>
        </is>
      </c>
      <c r="Q390" s="41" t="inlineStr">
        <is>
          <t>-</t>
        </is>
      </c>
      <c r="R390" s="42" t="inlineStr">
        <is>
          <t>중개거래</t>
        </is>
      </c>
      <c r="S390" s="42" t="inlineStr">
        <is>
          <t>서울 서초구</t>
        </is>
      </c>
      <c r="T390" s="41" t="inlineStr">
        <is>
          <t>23.10.13</t>
        </is>
      </c>
      <c r="U390" s="42" t="inlineStr">
        <is>
          <t>아파트</t>
        </is>
      </c>
    </row>
    <row r="391" hidden="1" ht="15" customHeight="1">
      <c r="A391" s="41" t="n">
        <v>387</v>
      </c>
      <c r="B391" s="42" t="inlineStr">
        <is>
          <t>서울특별시 서초구 서초동</t>
        </is>
      </c>
      <c r="C391" s="41" t="inlineStr">
        <is>
          <t>1315</t>
        </is>
      </c>
      <c r="D391" s="41" t="inlineStr">
        <is>
          <t>1315</t>
        </is>
      </c>
      <c r="E391" s="41" t="inlineStr">
        <is>
          <t>0000</t>
        </is>
      </c>
      <c r="F391" s="42" t="inlineStr">
        <is>
          <t>진흥아파트</t>
        </is>
      </c>
      <c r="G391" s="41" t="inlineStr">
        <is>
          <t>101.3200</t>
        </is>
      </c>
      <c r="H391" s="41" t="inlineStr">
        <is>
          <t>202306</t>
        </is>
      </c>
      <c r="I391" s="41" t="inlineStr">
        <is>
          <t>28</t>
        </is>
      </c>
      <c r="J391" s="41" t="inlineStr">
        <is>
          <t>225,000</t>
        </is>
      </c>
      <c r="K391" s="41" t="inlineStr">
        <is>
          <t>2</t>
        </is>
      </c>
      <c r="L391" s="41" t="inlineStr">
        <is>
          <t>8</t>
        </is>
      </c>
      <c r="M391" s="41" t="inlineStr">
        <is>
          <t>-</t>
        </is>
      </c>
      <c r="N391" s="41" t="inlineStr">
        <is>
          <t>-</t>
        </is>
      </c>
      <c r="O391" s="41" t="inlineStr">
        <is>
          <t>1979</t>
        </is>
      </c>
      <c r="P391" s="42" t="inlineStr">
        <is>
          <t>서초대로 385</t>
        </is>
      </c>
      <c r="Q391" s="41" t="inlineStr">
        <is>
          <t>-</t>
        </is>
      </c>
      <c r="R391" s="42" t="inlineStr">
        <is>
          <t>중개거래</t>
        </is>
      </c>
      <c r="S391" s="42" t="inlineStr">
        <is>
          <t>서울 서초구</t>
        </is>
      </c>
      <c r="T391" s="41" t="inlineStr">
        <is>
          <t>23.09.15</t>
        </is>
      </c>
      <c r="U391" s="42" t="inlineStr">
        <is>
          <t>아파트</t>
        </is>
      </c>
    </row>
    <row r="392" hidden="1" ht="15" customHeight="1">
      <c r="A392" s="41" t="n">
        <v>388</v>
      </c>
      <c r="B392" s="42" t="inlineStr">
        <is>
          <t>서울특별시 서초구 서초동</t>
        </is>
      </c>
      <c r="C392" s="41" t="inlineStr">
        <is>
          <t>1533</t>
        </is>
      </c>
      <c r="D392" s="41" t="inlineStr">
        <is>
          <t>1533</t>
        </is>
      </c>
      <c r="E392" s="41" t="inlineStr">
        <is>
          <t>0000</t>
        </is>
      </c>
      <c r="F392" s="42" t="inlineStr">
        <is>
          <t>서초한신리빙타워</t>
        </is>
      </c>
      <c r="G392" s="41" t="inlineStr">
        <is>
          <t>42.5500</t>
        </is>
      </c>
      <c r="H392" s="41" t="inlineStr">
        <is>
          <t>202306</t>
        </is>
      </c>
      <c r="I392" s="41" t="inlineStr">
        <is>
          <t>28</t>
        </is>
      </c>
      <c r="J392" s="41" t="inlineStr">
        <is>
          <t>66,000</t>
        </is>
      </c>
      <c r="K392" s="41" t="inlineStr">
        <is>
          <t>-</t>
        </is>
      </c>
      <c r="L392" s="41" t="inlineStr">
        <is>
          <t>7</t>
        </is>
      </c>
      <c r="M392" s="41" t="inlineStr">
        <is>
          <t>-</t>
        </is>
      </c>
      <c r="N392" s="41" t="inlineStr">
        <is>
          <t>-</t>
        </is>
      </c>
      <c r="O392" s="41" t="inlineStr">
        <is>
          <t>1999</t>
        </is>
      </c>
      <c r="P392" s="42" t="inlineStr">
        <is>
          <t>효령로 237</t>
        </is>
      </c>
      <c r="Q392" s="41" t="inlineStr">
        <is>
          <t>-</t>
        </is>
      </c>
      <c r="R392" s="42" t="inlineStr">
        <is>
          <t>중개거래</t>
        </is>
      </c>
      <c r="S392" s="42" t="inlineStr">
        <is>
          <t>서울 서초구</t>
        </is>
      </c>
      <c r="T392" s="41" t="inlineStr">
        <is>
          <t>23.07.19</t>
        </is>
      </c>
      <c r="U392" s="42" t="inlineStr">
        <is>
          <t>아파트</t>
        </is>
      </c>
    </row>
    <row r="393" hidden="1" ht="15" customHeight="1">
      <c r="A393" s="41" t="n">
        <v>389</v>
      </c>
      <c r="B393" s="42" t="inlineStr">
        <is>
          <t>서울특별시 서초구 서초동</t>
        </is>
      </c>
      <c r="C393" s="41" t="inlineStr">
        <is>
          <t>1648-2</t>
        </is>
      </c>
      <c r="D393" s="41" t="inlineStr">
        <is>
          <t>1648</t>
        </is>
      </c>
      <c r="E393" s="41" t="inlineStr">
        <is>
          <t>0002</t>
        </is>
      </c>
      <c r="F393" s="42" t="inlineStr">
        <is>
          <t>서초현대</t>
        </is>
      </c>
      <c r="G393" s="41" t="inlineStr">
        <is>
          <t>84.7800</t>
        </is>
      </c>
      <c r="H393" s="41" t="inlineStr">
        <is>
          <t>202306</t>
        </is>
      </c>
      <c r="I393" s="41" t="inlineStr">
        <is>
          <t>26</t>
        </is>
      </c>
      <c r="J393" s="41" t="inlineStr">
        <is>
          <t>160,000</t>
        </is>
      </c>
      <c r="K393" s="41" t="inlineStr">
        <is>
          <t>101</t>
        </is>
      </c>
      <c r="L393" s="41" t="inlineStr">
        <is>
          <t>5</t>
        </is>
      </c>
      <c r="M393" s="41" t="inlineStr">
        <is>
          <t>-</t>
        </is>
      </c>
      <c r="N393" s="41" t="inlineStr">
        <is>
          <t>-</t>
        </is>
      </c>
      <c r="O393" s="41" t="inlineStr">
        <is>
          <t>1999</t>
        </is>
      </c>
      <c r="P393" s="42" t="inlineStr">
        <is>
          <t>사임당로19길 10</t>
        </is>
      </c>
      <c r="Q393" s="41" t="inlineStr">
        <is>
          <t>-</t>
        </is>
      </c>
      <c r="R393" s="42" t="inlineStr">
        <is>
          <t>중개거래</t>
        </is>
      </c>
      <c r="S393" s="42" t="inlineStr">
        <is>
          <t>서울 서초구</t>
        </is>
      </c>
      <c r="T393" s="41" t="inlineStr">
        <is>
          <t>23.09.20</t>
        </is>
      </c>
      <c r="U393" s="42" t="inlineStr">
        <is>
          <t>아파트</t>
        </is>
      </c>
    </row>
    <row r="394" hidden="1" ht="15" customHeight="1">
      <c r="A394" s="41" t="n">
        <v>390</v>
      </c>
      <c r="B394" s="42" t="inlineStr">
        <is>
          <t>서울특별시 서초구 서초동</t>
        </is>
      </c>
      <c r="C394" s="41" t="inlineStr">
        <is>
          <t>1616-10</t>
        </is>
      </c>
      <c r="D394" s="41" t="inlineStr">
        <is>
          <t>1616</t>
        </is>
      </c>
      <c r="E394" s="41" t="inlineStr">
        <is>
          <t>0010</t>
        </is>
      </c>
      <c r="F394" s="42" t="inlineStr">
        <is>
          <t>서초극동스타클래스</t>
        </is>
      </c>
      <c r="G394" s="41" t="inlineStr">
        <is>
          <t>124.0900</t>
        </is>
      </c>
      <c r="H394" s="41" t="inlineStr">
        <is>
          <t>202306</t>
        </is>
      </c>
      <c r="I394" s="41" t="inlineStr">
        <is>
          <t>26</t>
        </is>
      </c>
      <c r="J394" s="41" t="inlineStr">
        <is>
          <t>158,500</t>
        </is>
      </c>
      <c r="K394" s="41" t="inlineStr">
        <is>
          <t>101</t>
        </is>
      </c>
      <c r="L394" s="41" t="inlineStr">
        <is>
          <t>3</t>
        </is>
      </c>
      <c r="M394" s="41" t="inlineStr">
        <is>
          <t>-</t>
        </is>
      </c>
      <c r="N394" s="41" t="inlineStr">
        <is>
          <t>-</t>
        </is>
      </c>
      <c r="O394" s="41" t="inlineStr">
        <is>
          <t>2003</t>
        </is>
      </c>
      <c r="P394" s="42" t="inlineStr">
        <is>
          <t>서리풀4길 43</t>
        </is>
      </c>
      <c r="Q394" s="41" t="inlineStr">
        <is>
          <t>-</t>
        </is>
      </c>
      <c r="R394" s="42" t="inlineStr">
        <is>
          <t>중개거래</t>
        </is>
      </c>
      <c r="S394" s="42" t="inlineStr">
        <is>
          <t>서울 강남구</t>
        </is>
      </c>
      <c r="T394" s="41" t="inlineStr">
        <is>
          <t>23.11.29</t>
        </is>
      </c>
      <c r="U394" s="42" t="inlineStr">
        <is>
          <t>아파트</t>
        </is>
      </c>
    </row>
    <row r="395" hidden="1" ht="15" customHeight="1">
      <c r="A395" s="41" t="n">
        <v>391</v>
      </c>
      <c r="B395" s="42" t="inlineStr">
        <is>
          <t>서울특별시 서초구 서초동</t>
        </is>
      </c>
      <c r="C395" s="41" t="inlineStr">
        <is>
          <t>1487-63</t>
        </is>
      </c>
      <c r="D395" s="41" t="inlineStr">
        <is>
          <t>1487</t>
        </is>
      </c>
      <c r="E395" s="41" t="inlineStr">
        <is>
          <t>0063</t>
        </is>
      </c>
      <c r="F395" s="42" t="inlineStr">
        <is>
          <t>서초1차e-편한세상</t>
        </is>
      </c>
      <c r="G395" s="41" t="inlineStr">
        <is>
          <t>130.5300</t>
        </is>
      </c>
      <c r="H395" s="41" t="inlineStr">
        <is>
          <t>202306</t>
        </is>
      </c>
      <c r="I395" s="41" t="inlineStr">
        <is>
          <t>26</t>
        </is>
      </c>
      <c r="J395" s="41" t="inlineStr">
        <is>
          <t>230,000</t>
        </is>
      </c>
      <c r="K395" s="41" t="inlineStr">
        <is>
          <t>101</t>
        </is>
      </c>
      <c r="L395" s="41" t="inlineStr">
        <is>
          <t>8</t>
        </is>
      </c>
      <c r="M395" s="41" t="inlineStr">
        <is>
          <t>-</t>
        </is>
      </c>
      <c r="N395" s="41" t="inlineStr">
        <is>
          <t>-</t>
        </is>
      </c>
      <c r="O395" s="41" t="inlineStr">
        <is>
          <t>2004</t>
        </is>
      </c>
      <c r="P395" s="42" t="inlineStr">
        <is>
          <t>명달로6길 31</t>
        </is>
      </c>
      <c r="Q395" s="41" t="inlineStr">
        <is>
          <t>-</t>
        </is>
      </c>
      <c r="R395" s="42" t="inlineStr">
        <is>
          <t>중개거래</t>
        </is>
      </c>
      <c r="S395" s="42" t="inlineStr">
        <is>
          <t>서울 서초구</t>
        </is>
      </c>
      <c r="T395" s="41" t="inlineStr">
        <is>
          <t>23.08.16</t>
        </is>
      </c>
      <c r="U395" s="42" t="inlineStr">
        <is>
          <t>아파트</t>
        </is>
      </c>
    </row>
    <row r="396" hidden="1" ht="15" customHeight="1">
      <c r="A396" s="41" t="n">
        <v>392</v>
      </c>
      <c r="B396" s="42" t="inlineStr">
        <is>
          <t>서울특별시 서초구 서초동</t>
        </is>
      </c>
      <c r="C396" s="41" t="inlineStr">
        <is>
          <t>1685</t>
        </is>
      </c>
      <c r="D396" s="41" t="inlineStr">
        <is>
          <t>1685</t>
        </is>
      </c>
      <c r="E396" s="41" t="inlineStr">
        <is>
          <t>0000</t>
        </is>
      </c>
      <c r="F396" s="42" t="inlineStr">
        <is>
          <t>삼풍아파트</t>
        </is>
      </c>
      <c r="G396" s="41" t="inlineStr">
        <is>
          <t>79.4700</t>
        </is>
      </c>
      <c r="H396" s="41" t="inlineStr">
        <is>
          <t>202306</t>
        </is>
      </c>
      <c r="I396" s="41" t="inlineStr">
        <is>
          <t>23</t>
        </is>
      </c>
      <c r="J396" s="41" t="inlineStr">
        <is>
          <t>228,000</t>
        </is>
      </c>
      <c r="K396" s="41" t="inlineStr">
        <is>
          <t>6</t>
        </is>
      </c>
      <c r="L396" s="41" t="inlineStr">
        <is>
          <t>4</t>
        </is>
      </c>
      <c r="M396" s="41" t="inlineStr">
        <is>
          <t>-</t>
        </is>
      </c>
      <c r="N396" s="41" t="inlineStr">
        <is>
          <t>-</t>
        </is>
      </c>
      <c r="O396" s="41" t="inlineStr">
        <is>
          <t>1988</t>
        </is>
      </c>
      <c r="P396" s="42" t="inlineStr">
        <is>
          <t>서초중앙로 200</t>
        </is>
      </c>
      <c r="Q396" s="41" t="inlineStr">
        <is>
          <t>-</t>
        </is>
      </c>
      <c r="R396" s="42" t="inlineStr">
        <is>
          <t>중개거래</t>
        </is>
      </c>
      <c r="S396" s="42" t="inlineStr">
        <is>
          <t>서울 서초구</t>
        </is>
      </c>
      <c r="T396" s="41" t="inlineStr">
        <is>
          <t>23.08.29</t>
        </is>
      </c>
      <c r="U396" s="42" t="inlineStr">
        <is>
          <t>아파트</t>
        </is>
      </c>
    </row>
    <row r="397" hidden="1" ht="15" customHeight="1">
      <c r="A397" s="41" t="n">
        <v>393</v>
      </c>
      <c r="B397" s="42" t="inlineStr">
        <is>
          <t>서울특별시 서초구 서초동</t>
        </is>
      </c>
      <c r="C397" s="41" t="inlineStr">
        <is>
          <t>1311-10</t>
        </is>
      </c>
      <c r="D397" s="41" t="inlineStr">
        <is>
          <t>1311</t>
        </is>
      </c>
      <c r="E397" s="41" t="inlineStr">
        <is>
          <t>0010</t>
        </is>
      </c>
      <c r="F397" s="42" t="inlineStr">
        <is>
          <t>서초푸르지오써밋</t>
        </is>
      </c>
      <c r="G397" s="41" t="inlineStr">
        <is>
          <t>84.9500</t>
        </is>
      </c>
      <c r="H397" s="41" t="inlineStr">
        <is>
          <t>202306</t>
        </is>
      </c>
      <c r="I397" s="41" t="inlineStr">
        <is>
          <t>23</t>
        </is>
      </c>
      <c r="J397" s="41" t="inlineStr">
        <is>
          <t>258,000</t>
        </is>
      </c>
      <c r="K397" s="41" t="inlineStr">
        <is>
          <t>105</t>
        </is>
      </c>
      <c r="L397" s="41" t="inlineStr">
        <is>
          <t>11</t>
        </is>
      </c>
      <c r="M397" s="41" t="inlineStr">
        <is>
          <t>-</t>
        </is>
      </c>
      <c r="N397" s="41" t="inlineStr">
        <is>
          <t>-</t>
        </is>
      </c>
      <c r="O397" s="41" t="inlineStr">
        <is>
          <t>2017</t>
        </is>
      </c>
      <c r="P397" s="42" t="inlineStr">
        <is>
          <t>서운로 201</t>
        </is>
      </c>
      <c r="Q397" s="41" t="inlineStr">
        <is>
          <t>-</t>
        </is>
      </c>
      <c r="R397" s="42" t="inlineStr">
        <is>
          <t>중개거래</t>
        </is>
      </c>
      <c r="S397" s="42" t="inlineStr">
        <is>
          <t>서울 서초구</t>
        </is>
      </c>
      <c r="T397" s="41" t="inlineStr">
        <is>
          <t>23.12.29</t>
        </is>
      </c>
      <c r="U397" s="42" t="inlineStr">
        <is>
          <t>아파트</t>
        </is>
      </c>
    </row>
    <row r="398" hidden="1" ht="15" customHeight="1">
      <c r="A398" s="41" t="n">
        <v>394</v>
      </c>
      <c r="B398" s="42" t="inlineStr">
        <is>
          <t>서울특별시 서초구 서초동</t>
        </is>
      </c>
      <c r="C398" s="41" t="inlineStr">
        <is>
          <t>1682</t>
        </is>
      </c>
      <c r="D398" s="41" t="inlineStr">
        <is>
          <t>1682</t>
        </is>
      </c>
      <c r="E398" s="41" t="inlineStr">
        <is>
          <t>0000</t>
        </is>
      </c>
      <c r="F398" s="42" t="inlineStr">
        <is>
          <t>서초래미안</t>
        </is>
      </c>
      <c r="G398" s="41" t="inlineStr">
        <is>
          <t>84.9500</t>
        </is>
      </c>
      <c r="H398" s="41" t="inlineStr">
        <is>
          <t>202306</t>
        </is>
      </c>
      <c r="I398" s="41" t="inlineStr">
        <is>
          <t>22</t>
        </is>
      </c>
      <c r="J398" s="41" t="inlineStr">
        <is>
          <t>199,000</t>
        </is>
      </c>
      <c r="K398" s="41" t="inlineStr">
        <is>
          <t>105</t>
        </is>
      </c>
      <c r="L398" s="41" t="inlineStr">
        <is>
          <t>11</t>
        </is>
      </c>
      <c r="M398" s="41" t="inlineStr">
        <is>
          <t>-</t>
        </is>
      </c>
      <c r="N398" s="41" t="inlineStr">
        <is>
          <t>-</t>
        </is>
      </c>
      <c r="O398" s="41" t="inlineStr">
        <is>
          <t>2003</t>
        </is>
      </c>
      <c r="P398" s="42" t="inlineStr">
        <is>
          <t>서초대로65길 13-10</t>
        </is>
      </c>
      <c r="Q398" s="41" t="inlineStr">
        <is>
          <t>-</t>
        </is>
      </c>
      <c r="R398" s="42" t="inlineStr">
        <is>
          <t>중개거래</t>
        </is>
      </c>
      <c r="S398" s="42" t="inlineStr">
        <is>
          <t>서울 서초구</t>
        </is>
      </c>
      <c r="T398" s="41" t="inlineStr">
        <is>
          <t>23.09.27</t>
        </is>
      </c>
      <c r="U398" s="42" t="inlineStr">
        <is>
          <t>아파트</t>
        </is>
      </c>
    </row>
    <row r="399" hidden="1" ht="15" customHeight="1">
      <c r="A399" s="41" t="n">
        <v>395</v>
      </c>
      <c r="B399" s="42" t="inlineStr">
        <is>
          <t>서울특별시 서초구 서초동</t>
        </is>
      </c>
      <c r="C399" s="41" t="inlineStr">
        <is>
          <t>1647-1</t>
        </is>
      </c>
      <c r="D399" s="41" t="inlineStr">
        <is>
          <t>1647</t>
        </is>
      </c>
      <c r="E399" s="41" t="inlineStr">
        <is>
          <t>0001</t>
        </is>
      </c>
      <c r="F399" s="42" t="inlineStr">
        <is>
          <t>롯데캐슬스파</t>
        </is>
      </c>
      <c r="G399" s="41" t="inlineStr">
        <is>
          <t>194.5100</t>
        </is>
      </c>
      <c r="H399" s="41" t="inlineStr">
        <is>
          <t>202306</t>
        </is>
      </c>
      <c r="I399" s="41" t="inlineStr">
        <is>
          <t>21</t>
        </is>
      </c>
      <c r="J399" s="41" t="inlineStr">
        <is>
          <t>210,000</t>
        </is>
      </c>
      <c r="K399" s="41" t="inlineStr">
        <is>
          <t>101</t>
        </is>
      </c>
      <c r="L399" s="41" t="inlineStr">
        <is>
          <t>14</t>
        </is>
      </c>
      <c r="M399" s="41" t="inlineStr">
        <is>
          <t>-</t>
        </is>
      </c>
      <c r="N399" s="41" t="inlineStr">
        <is>
          <t>-</t>
        </is>
      </c>
      <c r="O399" s="41" t="inlineStr">
        <is>
          <t>2003</t>
        </is>
      </c>
      <c r="P399" s="42" t="inlineStr">
        <is>
          <t>사임당로23길 12</t>
        </is>
      </c>
      <c r="Q399" s="41" t="inlineStr">
        <is>
          <t>-</t>
        </is>
      </c>
      <c r="R399" s="42" t="inlineStr">
        <is>
          <t>중개거래</t>
        </is>
      </c>
      <c r="S399" s="42" t="inlineStr">
        <is>
          <t>서울 서초구</t>
        </is>
      </c>
      <c r="T399" s="41" t="inlineStr">
        <is>
          <t>23.08.30</t>
        </is>
      </c>
      <c r="U399" s="42" t="inlineStr">
        <is>
          <t>아파트</t>
        </is>
      </c>
    </row>
    <row r="400" hidden="1" ht="15" customHeight="1">
      <c r="A400" s="41" t="n">
        <v>396</v>
      </c>
      <c r="B400" s="42" t="inlineStr">
        <is>
          <t>서울특별시 서초구 서초동</t>
        </is>
      </c>
      <c r="C400" s="41" t="inlineStr">
        <is>
          <t>1445-4</t>
        </is>
      </c>
      <c r="D400" s="41" t="inlineStr">
        <is>
          <t>1445</t>
        </is>
      </c>
      <c r="E400" s="41" t="inlineStr">
        <is>
          <t>0004</t>
        </is>
      </c>
      <c r="F400" s="42" t="inlineStr">
        <is>
          <t>래미안서초유니빌</t>
        </is>
      </c>
      <c r="G400" s="41" t="inlineStr">
        <is>
          <t>45.2550</t>
        </is>
      </c>
      <c r="H400" s="41" t="inlineStr">
        <is>
          <t>202306</t>
        </is>
      </c>
      <c r="I400" s="41" t="inlineStr">
        <is>
          <t>20</t>
        </is>
      </c>
      <c r="J400" s="41" t="inlineStr">
        <is>
          <t>48,000</t>
        </is>
      </c>
      <c r="K400" s="42" t="inlineStr">
        <is>
          <t>래미안 서초유니빌</t>
        </is>
      </c>
      <c r="L400" s="41" t="inlineStr">
        <is>
          <t>5</t>
        </is>
      </c>
      <c r="M400" s="41" t="inlineStr">
        <is>
          <t>-</t>
        </is>
      </c>
      <c r="N400" s="41" t="inlineStr">
        <is>
          <t>-</t>
        </is>
      </c>
      <c r="O400" s="41" t="inlineStr">
        <is>
          <t>2003</t>
        </is>
      </c>
      <c r="P400" s="42" t="inlineStr">
        <is>
          <t>서초중앙로 26</t>
        </is>
      </c>
      <c r="Q400" s="41" t="inlineStr">
        <is>
          <t>-</t>
        </is>
      </c>
      <c r="R400" s="42" t="inlineStr">
        <is>
          <t>중개거래</t>
        </is>
      </c>
      <c r="S400" s="42" t="inlineStr">
        <is>
          <t>서울 강남구 서울 서초구</t>
        </is>
      </c>
      <c r="T400" s="41" t="inlineStr">
        <is>
          <t>23.09.12</t>
        </is>
      </c>
      <c r="U400" s="42" t="inlineStr">
        <is>
          <t>아파트</t>
        </is>
      </c>
    </row>
    <row r="401" hidden="1" ht="15" customHeight="1">
      <c r="A401" s="41" t="n">
        <v>397</v>
      </c>
      <c r="B401" s="42" t="inlineStr">
        <is>
          <t>서울특별시 서초구 서초동</t>
        </is>
      </c>
      <c r="C401" s="41" t="inlineStr">
        <is>
          <t>1445-4</t>
        </is>
      </c>
      <c r="D401" s="41" t="inlineStr">
        <is>
          <t>1445</t>
        </is>
      </c>
      <c r="E401" s="41" t="inlineStr">
        <is>
          <t>0004</t>
        </is>
      </c>
      <c r="F401" s="42" t="inlineStr">
        <is>
          <t>래미안서초유니빌</t>
        </is>
      </c>
      <c r="G401" s="41" t="inlineStr">
        <is>
          <t>45.2550</t>
        </is>
      </c>
      <c r="H401" s="41" t="inlineStr">
        <is>
          <t>202306</t>
        </is>
      </c>
      <c r="I401" s="41" t="inlineStr">
        <is>
          <t>20</t>
        </is>
      </c>
      <c r="J401" s="41" t="inlineStr">
        <is>
          <t>46,500</t>
        </is>
      </c>
      <c r="K401" s="42" t="inlineStr">
        <is>
          <t>래미안 서초유니빌</t>
        </is>
      </c>
      <c r="L401" s="41" t="inlineStr">
        <is>
          <t>5</t>
        </is>
      </c>
      <c r="M401" s="41" t="inlineStr">
        <is>
          <t>-</t>
        </is>
      </c>
      <c r="N401" s="41" t="inlineStr">
        <is>
          <t>-</t>
        </is>
      </c>
      <c r="O401" s="41" t="inlineStr">
        <is>
          <t>2003</t>
        </is>
      </c>
      <c r="P401" s="42" t="inlineStr">
        <is>
          <t>서초중앙로 26</t>
        </is>
      </c>
      <c r="Q401" s="41" t="inlineStr">
        <is>
          <t>-</t>
        </is>
      </c>
      <c r="R401" s="42" t="inlineStr">
        <is>
          <t>중개거래</t>
        </is>
      </c>
      <c r="S401" s="42" t="inlineStr">
        <is>
          <t>서울 서초구</t>
        </is>
      </c>
      <c r="T401" s="41" t="inlineStr">
        <is>
          <t>23.07.21</t>
        </is>
      </c>
      <c r="U401" s="42" t="inlineStr">
        <is>
          <t>아파트</t>
        </is>
      </c>
    </row>
    <row r="402" hidden="1" ht="15" customHeight="1">
      <c r="A402" s="41" t="n">
        <v>398</v>
      </c>
      <c r="B402" s="42" t="inlineStr">
        <is>
          <t>서울특별시 서초구 서초동</t>
        </is>
      </c>
      <c r="C402" s="41" t="inlineStr">
        <is>
          <t>1685</t>
        </is>
      </c>
      <c r="D402" s="41" t="inlineStr">
        <is>
          <t>1685</t>
        </is>
      </c>
      <c r="E402" s="41" t="inlineStr">
        <is>
          <t>0000</t>
        </is>
      </c>
      <c r="F402" s="42" t="inlineStr">
        <is>
          <t>삼풍아파트</t>
        </is>
      </c>
      <c r="G402" s="41" t="inlineStr">
        <is>
          <t>130.2300</t>
        </is>
      </c>
      <c r="H402" s="41" t="inlineStr">
        <is>
          <t>202306</t>
        </is>
      </c>
      <c r="I402" s="41" t="inlineStr">
        <is>
          <t>20</t>
        </is>
      </c>
      <c r="J402" s="41" t="inlineStr">
        <is>
          <t>305,000</t>
        </is>
      </c>
      <c r="K402" s="41" t="inlineStr">
        <is>
          <t>12</t>
        </is>
      </c>
      <c r="L402" s="41" t="inlineStr">
        <is>
          <t>12</t>
        </is>
      </c>
      <c r="M402" s="41" t="inlineStr">
        <is>
          <t>-</t>
        </is>
      </c>
      <c r="N402" s="41" t="inlineStr">
        <is>
          <t>-</t>
        </is>
      </c>
      <c r="O402" s="41" t="inlineStr">
        <is>
          <t>1988</t>
        </is>
      </c>
      <c r="P402" s="42" t="inlineStr">
        <is>
          <t>서초중앙로 200</t>
        </is>
      </c>
      <c r="Q402" s="41" t="inlineStr">
        <is>
          <t>-</t>
        </is>
      </c>
      <c r="R402" s="42" t="inlineStr">
        <is>
          <t>중개거래</t>
        </is>
      </c>
      <c r="S402" s="42" t="inlineStr">
        <is>
          <t>서울 서초구</t>
        </is>
      </c>
      <c r="T402" s="41" t="inlineStr">
        <is>
          <t>23.07.05</t>
        </is>
      </c>
      <c r="U402" s="42" t="inlineStr">
        <is>
          <t>아파트</t>
        </is>
      </c>
    </row>
    <row r="403" hidden="1" ht="15" customHeight="1">
      <c r="A403" s="41" t="n">
        <v>399</v>
      </c>
      <c r="B403" s="42" t="inlineStr">
        <is>
          <t>서울특별시 서초구 서초동</t>
        </is>
      </c>
      <c r="C403" s="41" t="inlineStr">
        <is>
          <t>1333</t>
        </is>
      </c>
      <c r="D403" s="41" t="inlineStr">
        <is>
          <t>1333</t>
        </is>
      </c>
      <c r="E403" s="41" t="inlineStr">
        <is>
          <t>0000</t>
        </is>
      </c>
      <c r="F403" s="42" t="inlineStr">
        <is>
          <t>신동아아파트(1차)</t>
        </is>
      </c>
      <c r="G403" s="41" t="inlineStr">
        <is>
          <t>75.8600</t>
        </is>
      </c>
      <c r="H403" s="41" t="inlineStr">
        <is>
          <t>202306</t>
        </is>
      </c>
      <c r="I403" s="41" t="inlineStr">
        <is>
          <t>19</t>
        </is>
      </c>
      <c r="J403" s="41" t="inlineStr">
        <is>
          <t>174,000</t>
        </is>
      </c>
      <c r="K403" s="41" t="inlineStr">
        <is>
          <t>7</t>
        </is>
      </c>
      <c r="L403" s="41" t="inlineStr">
        <is>
          <t>8</t>
        </is>
      </c>
      <c r="M403" s="41" t="inlineStr">
        <is>
          <t>-</t>
        </is>
      </c>
      <c r="N403" s="41" t="inlineStr">
        <is>
          <t>-</t>
        </is>
      </c>
      <c r="O403" s="41" t="inlineStr">
        <is>
          <t>1978</t>
        </is>
      </c>
      <c r="P403" s="42" t="inlineStr">
        <is>
          <t>사임당로 130</t>
        </is>
      </c>
      <c r="Q403" s="41" t="inlineStr">
        <is>
          <t>-</t>
        </is>
      </c>
      <c r="R403" s="42" t="inlineStr">
        <is>
          <t>중개거래</t>
        </is>
      </c>
      <c r="S403" s="42" t="inlineStr">
        <is>
          <t>서울 서초구 서울 송파구</t>
        </is>
      </c>
      <c r="T403" s="41" t="inlineStr">
        <is>
          <t>23.08.30</t>
        </is>
      </c>
      <c r="U403" s="42" t="inlineStr">
        <is>
          <t>아파트</t>
        </is>
      </c>
    </row>
    <row r="404" hidden="1" ht="15" customHeight="1">
      <c r="A404" s="41" t="n">
        <v>400</v>
      </c>
      <c r="B404" s="42" t="inlineStr">
        <is>
          <t>서울특별시 서초구 서초동</t>
        </is>
      </c>
      <c r="C404" s="41" t="inlineStr">
        <is>
          <t>1648-2</t>
        </is>
      </c>
      <c r="D404" s="41" t="inlineStr">
        <is>
          <t>1648</t>
        </is>
      </c>
      <c r="E404" s="41" t="inlineStr">
        <is>
          <t>0002</t>
        </is>
      </c>
      <c r="F404" s="42" t="inlineStr">
        <is>
          <t>서초현대</t>
        </is>
      </c>
      <c r="G404" s="41" t="inlineStr">
        <is>
          <t>84.6900</t>
        </is>
      </c>
      <c r="H404" s="41" t="inlineStr">
        <is>
          <t>202306</t>
        </is>
      </c>
      <c r="I404" s="41" t="inlineStr">
        <is>
          <t>19</t>
        </is>
      </c>
      <c r="J404" s="41" t="inlineStr">
        <is>
          <t>157,500</t>
        </is>
      </c>
      <c r="K404" s="41" t="inlineStr">
        <is>
          <t>101</t>
        </is>
      </c>
      <c r="L404" s="41" t="inlineStr">
        <is>
          <t>7</t>
        </is>
      </c>
      <c r="M404" s="41" t="inlineStr">
        <is>
          <t>-</t>
        </is>
      </c>
      <c r="N404" s="41" t="inlineStr">
        <is>
          <t>-</t>
        </is>
      </c>
      <c r="O404" s="41" t="inlineStr">
        <is>
          <t>1999</t>
        </is>
      </c>
      <c r="P404" s="42" t="inlineStr">
        <is>
          <t>사임당로19길 10</t>
        </is>
      </c>
      <c r="Q404" s="41" t="inlineStr">
        <is>
          <t>-</t>
        </is>
      </c>
      <c r="R404" s="42" t="inlineStr">
        <is>
          <t>중개거래</t>
        </is>
      </c>
      <c r="S404" s="42" t="inlineStr">
        <is>
          <t>서울 서초구</t>
        </is>
      </c>
      <c r="T404" s="41" t="inlineStr">
        <is>
          <t>23.12.18</t>
        </is>
      </c>
      <c r="U404" s="42" t="inlineStr">
        <is>
          <t>아파트</t>
        </is>
      </c>
    </row>
    <row r="405" hidden="1" ht="15" customHeight="1">
      <c r="A405" s="41" t="n">
        <v>401</v>
      </c>
      <c r="B405" s="42" t="inlineStr">
        <is>
          <t>서울특별시 서초구 서초동</t>
        </is>
      </c>
      <c r="C405" s="41" t="inlineStr">
        <is>
          <t>1301-6</t>
        </is>
      </c>
      <c r="D405" s="41" t="inlineStr">
        <is>
          <t>1301</t>
        </is>
      </c>
      <c r="E405" s="41" t="inlineStr">
        <is>
          <t>0006</t>
        </is>
      </c>
      <c r="F405" s="42" t="inlineStr">
        <is>
          <t>래미안서초스위트</t>
        </is>
      </c>
      <c r="G405" s="41" t="inlineStr">
        <is>
          <t>95.8079</t>
        </is>
      </c>
      <c r="H405" s="41" t="inlineStr">
        <is>
          <t>202306</t>
        </is>
      </c>
      <c r="I405" s="41" t="inlineStr">
        <is>
          <t>19</t>
        </is>
      </c>
      <c r="J405" s="41" t="inlineStr">
        <is>
          <t>244,500</t>
        </is>
      </c>
      <c r="K405" s="41" t="inlineStr">
        <is>
          <t>103</t>
        </is>
      </c>
      <c r="L405" s="41" t="inlineStr">
        <is>
          <t>9</t>
        </is>
      </c>
      <c r="M405" s="41" t="inlineStr">
        <is>
          <t>-</t>
        </is>
      </c>
      <c r="N405" s="41" t="inlineStr">
        <is>
          <t>-</t>
        </is>
      </c>
      <c r="O405" s="41" t="inlineStr">
        <is>
          <t>2009</t>
        </is>
      </c>
      <c r="P405" s="42" t="inlineStr">
        <is>
          <t>서운로 221</t>
        </is>
      </c>
      <c r="Q405" s="41" t="inlineStr">
        <is>
          <t>-</t>
        </is>
      </c>
      <c r="R405" s="42" t="inlineStr">
        <is>
          <t>중개거래</t>
        </is>
      </c>
      <c r="S405" s="42" t="inlineStr">
        <is>
          <t>서울 서초구</t>
        </is>
      </c>
      <c r="T405" s="41" t="inlineStr">
        <is>
          <t>23.08.31</t>
        </is>
      </c>
      <c r="U405" s="42" t="inlineStr">
        <is>
          <t>아파트</t>
        </is>
      </c>
    </row>
    <row r="406" hidden="1" ht="15" customHeight="1">
      <c r="A406" s="41" t="n">
        <v>402</v>
      </c>
      <c r="B406" s="42" t="inlineStr">
        <is>
          <t>서울특별시 서초구 서초동</t>
        </is>
      </c>
      <c r="C406" s="41" t="inlineStr">
        <is>
          <t>1757</t>
        </is>
      </c>
      <c r="D406" s="41" t="inlineStr">
        <is>
          <t>1757</t>
        </is>
      </c>
      <c r="E406" s="41" t="inlineStr">
        <is>
          <t>0000</t>
        </is>
      </c>
      <c r="F406" s="42" t="inlineStr">
        <is>
          <t>서초그랑자이</t>
        </is>
      </c>
      <c r="G406" s="41" t="inlineStr">
        <is>
          <t>59.9800</t>
        </is>
      </c>
      <c r="H406" s="41" t="inlineStr">
        <is>
          <t>202306</t>
        </is>
      </c>
      <c r="I406" s="41" t="inlineStr">
        <is>
          <t>17</t>
        </is>
      </c>
      <c r="J406" s="41" t="inlineStr">
        <is>
          <t>221,500</t>
        </is>
      </c>
      <c r="K406" s="41" t="inlineStr">
        <is>
          <t>103동</t>
        </is>
      </c>
      <c r="L406" s="41" t="inlineStr">
        <is>
          <t>15</t>
        </is>
      </c>
      <c r="M406" s="41" t="inlineStr">
        <is>
          <t>-</t>
        </is>
      </c>
      <c r="N406" s="41" t="inlineStr">
        <is>
          <t>-</t>
        </is>
      </c>
      <c r="O406" s="41" t="inlineStr">
        <is>
          <t>2021</t>
        </is>
      </c>
      <c r="P406" s="42" t="inlineStr">
        <is>
          <t>효령로 391</t>
        </is>
      </c>
      <c r="Q406" s="41" t="inlineStr">
        <is>
          <t>-</t>
        </is>
      </c>
      <c r="R406" s="42" t="inlineStr">
        <is>
          <t>중개거래</t>
        </is>
      </c>
      <c r="S406" s="42" t="inlineStr">
        <is>
          <t>서울 서초구</t>
        </is>
      </c>
      <c r="T406" s="41" t="inlineStr">
        <is>
          <t>23.10.31</t>
        </is>
      </c>
      <c r="U406" s="42" t="inlineStr">
        <is>
          <t>아파트</t>
        </is>
      </c>
    </row>
    <row r="407" hidden="1" ht="15" customHeight="1">
      <c r="A407" s="41" t="n">
        <v>403</v>
      </c>
      <c r="B407" s="42" t="inlineStr">
        <is>
          <t>서울특별시 서초구 서초동</t>
        </is>
      </c>
      <c r="C407" s="41" t="inlineStr">
        <is>
          <t>1757</t>
        </is>
      </c>
      <c r="D407" s="41" t="inlineStr">
        <is>
          <t>1757</t>
        </is>
      </c>
      <c r="E407" s="41" t="inlineStr">
        <is>
          <t>0000</t>
        </is>
      </c>
      <c r="F407" s="42" t="inlineStr">
        <is>
          <t>서초그랑자이</t>
        </is>
      </c>
      <c r="G407" s="41" t="inlineStr">
        <is>
          <t>100.3100</t>
        </is>
      </c>
      <c r="H407" s="41" t="inlineStr">
        <is>
          <t>202306</t>
        </is>
      </c>
      <c r="I407" s="41" t="inlineStr">
        <is>
          <t>17</t>
        </is>
      </c>
      <c r="J407" s="41" t="inlineStr">
        <is>
          <t>340,000</t>
        </is>
      </c>
      <c r="K407" s="41" t="inlineStr">
        <is>
          <t>106동</t>
        </is>
      </c>
      <c r="L407" s="41" t="inlineStr">
        <is>
          <t>14</t>
        </is>
      </c>
      <c r="M407" s="41" t="inlineStr">
        <is>
          <t>-</t>
        </is>
      </c>
      <c r="N407" s="41" t="inlineStr">
        <is>
          <t>-</t>
        </is>
      </c>
      <c r="O407" s="41" t="inlineStr">
        <is>
          <t>2021</t>
        </is>
      </c>
      <c r="P407" s="42" t="inlineStr">
        <is>
          <t>효령로 391</t>
        </is>
      </c>
      <c r="Q407" s="41" t="inlineStr">
        <is>
          <t>-</t>
        </is>
      </c>
      <c r="R407" s="42" t="inlineStr">
        <is>
          <t>중개거래</t>
        </is>
      </c>
      <c r="S407" s="42" t="inlineStr">
        <is>
          <t>서울 서초구</t>
        </is>
      </c>
      <c r="T407" s="41" t="inlineStr">
        <is>
          <t>23.07.12</t>
        </is>
      </c>
      <c r="U407" s="42" t="inlineStr">
        <is>
          <t>아파트</t>
        </is>
      </c>
    </row>
    <row r="408" hidden="1" ht="15" customHeight="1">
      <c r="A408" s="41" t="n">
        <v>404</v>
      </c>
      <c r="B408" s="42" t="inlineStr">
        <is>
          <t>서울특별시 서초구 서초동</t>
        </is>
      </c>
      <c r="C408" s="41" t="inlineStr">
        <is>
          <t>1344-13</t>
        </is>
      </c>
      <c r="D408" s="41" t="inlineStr">
        <is>
          <t>1344</t>
        </is>
      </c>
      <c r="E408" s="41" t="inlineStr">
        <is>
          <t>0013</t>
        </is>
      </c>
      <c r="F408" s="42" t="inlineStr">
        <is>
          <t>서초트라팰리스</t>
        </is>
      </c>
      <c r="G408" s="41" t="inlineStr">
        <is>
          <t>116.3000</t>
        </is>
      </c>
      <c r="H408" s="41" t="inlineStr">
        <is>
          <t>202306</t>
        </is>
      </c>
      <c r="I408" s="41" t="inlineStr">
        <is>
          <t>16</t>
        </is>
      </c>
      <c r="J408" s="41" t="inlineStr">
        <is>
          <t>200,000</t>
        </is>
      </c>
      <c r="K408" s="41" t="inlineStr">
        <is>
          <t>C</t>
        </is>
      </c>
      <c r="L408" s="41" t="inlineStr">
        <is>
          <t>11</t>
        </is>
      </c>
      <c r="M408" s="41" t="inlineStr">
        <is>
          <t>-</t>
        </is>
      </c>
      <c r="N408" s="41" t="inlineStr">
        <is>
          <t>-</t>
        </is>
      </c>
      <c r="O408" s="41" t="inlineStr">
        <is>
          <t>2005</t>
        </is>
      </c>
      <c r="P408" s="42" t="inlineStr">
        <is>
          <t>효령로72길 57</t>
        </is>
      </c>
      <c r="Q408" s="41" t="inlineStr">
        <is>
          <t>-</t>
        </is>
      </c>
      <c r="R408" s="42" t="inlineStr">
        <is>
          <t>중개거래</t>
        </is>
      </c>
      <c r="S408" s="42" t="inlineStr">
        <is>
          <t>서울 서초구</t>
        </is>
      </c>
      <c r="T408" s="41" t="inlineStr">
        <is>
          <t>23.07.18</t>
        </is>
      </c>
      <c r="U408" s="42" t="inlineStr">
        <is>
          <t>아파트</t>
        </is>
      </c>
    </row>
    <row r="409" hidden="1" ht="15" customHeight="1">
      <c r="A409" s="41" t="n">
        <v>405</v>
      </c>
      <c r="B409" s="42" t="inlineStr">
        <is>
          <t>서울특별시 서초구 서초동</t>
        </is>
      </c>
      <c r="C409" s="41" t="inlineStr">
        <is>
          <t>1333</t>
        </is>
      </c>
      <c r="D409" s="41" t="inlineStr">
        <is>
          <t>1333</t>
        </is>
      </c>
      <c r="E409" s="41" t="inlineStr">
        <is>
          <t>0000</t>
        </is>
      </c>
      <c r="F409" s="42" t="inlineStr">
        <is>
          <t>신동아아파트(1차)</t>
        </is>
      </c>
      <c r="G409" s="41" t="inlineStr">
        <is>
          <t>88.6800</t>
        </is>
      </c>
      <c r="H409" s="41" t="inlineStr">
        <is>
          <t>202306</t>
        </is>
      </c>
      <c r="I409" s="41" t="inlineStr">
        <is>
          <t>15</t>
        </is>
      </c>
      <c r="J409" s="41" t="inlineStr">
        <is>
          <t>204,500</t>
        </is>
      </c>
      <c r="K409" s="41" t="inlineStr">
        <is>
          <t>1</t>
        </is>
      </c>
      <c r="L409" s="41" t="inlineStr">
        <is>
          <t>12</t>
        </is>
      </c>
      <c r="M409" s="41" t="inlineStr">
        <is>
          <t>-</t>
        </is>
      </c>
      <c r="N409" s="41" t="inlineStr">
        <is>
          <t>-</t>
        </is>
      </c>
      <c r="O409" s="41" t="inlineStr">
        <is>
          <t>1978</t>
        </is>
      </c>
      <c r="P409" s="42" t="inlineStr">
        <is>
          <t>사임당로 137</t>
        </is>
      </c>
      <c r="Q409" s="41" t="inlineStr">
        <is>
          <t>-</t>
        </is>
      </c>
      <c r="R409" s="42" t="inlineStr">
        <is>
          <t>중개거래</t>
        </is>
      </c>
      <c r="S409" s="42" t="inlineStr">
        <is>
          <t>서울 서초구</t>
        </is>
      </c>
      <c r="T409" s="41" t="inlineStr">
        <is>
          <t>23.10.31</t>
        </is>
      </c>
      <c r="U409" s="42" t="inlineStr">
        <is>
          <t>아파트</t>
        </is>
      </c>
    </row>
    <row r="410" hidden="1" ht="15" customHeight="1">
      <c r="A410" s="41" t="n">
        <v>406</v>
      </c>
      <c r="B410" s="42" t="inlineStr">
        <is>
          <t>서울특별시 서초구 서초동</t>
        </is>
      </c>
      <c r="C410" s="41" t="inlineStr">
        <is>
          <t>1668-1</t>
        </is>
      </c>
      <c r="D410" s="41" t="inlineStr">
        <is>
          <t>1668</t>
        </is>
      </c>
      <c r="E410" s="41" t="inlineStr">
        <is>
          <t>0001</t>
        </is>
      </c>
      <c r="F410" s="42" t="inlineStr">
        <is>
          <t>서초태동스위트</t>
        </is>
      </c>
      <c r="G410" s="41" t="inlineStr">
        <is>
          <t>100.0200</t>
        </is>
      </c>
      <c r="H410" s="41" t="inlineStr">
        <is>
          <t>202306</t>
        </is>
      </c>
      <c r="I410" s="41" t="inlineStr">
        <is>
          <t>15</t>
        </is>
      </c>
      <c r="J410" s="41" t="inlineStr">
        <is>
          <t>97,000</t>
        </is>
      </c>
      <c r="K410" s="41" t="inlineStr">
        <is>
          <t>-</t>
        </is>
      </c>
      <c r="L410" s="41" t="inlineStr">
        <is>
          <t>4</t>
        </is>
      </c>
      <c r="M410" s="41" t="inlineStr">
        <is>
          <t>-</t>
        </is>
      </c>
      <c r="N410" s="41" t="inlineStr">
        <is>
          <t>-</t>
        </is>
      </c>
      <c r="O410" s="41" t="inlineStr">
        <is>
          <t>2001</t>
        </is>
      </c>
      <c r="P410" s="42" t="inlineStr">
        <is>
          <t>서초중앙로22길 78</t>
        </is>
      </c>
      <c r="Q410" s="41" t="inlineStr">
        <is>
          <t>-</t>
        </is>
      </c>
      <c r="R410" s="42" t="inlineStr">
        <is>
          <t>중개거래</t>
        </is>
      </c>
      <c r="S410" s="42" t="inlineStr">
        <is>
          <t>서울 서초구</t>
        </is>
      </c>
      <c r="T410" s="41" t="inlineStr">
        <is>
          <t>23.06.30</t>
        </is>
      </c>
      <c r="U410" s="42" t="inlineStr">
        <is>
          <t>아파트</t>
        </is>
      </c>
    </row>
    <row r="411" hidden="1" ht="15" customHeight="1">
      <c r="A411" s="41" t="n">
        <v>407</v>
      </c>
      <c r="B411" s="42" t="inlineStr">
        <is>
          <t>서울특별시 서초구 서초동</t>
        </is>
      </c>
      <c r="C411" s="41" t="inlineStr">
        <is>
          <t>1311-10</t>
        </is>
      </c>
      <c r="D411" s="41" t="inlineStr">
        <is>
          <t>1311</t>
        </is>
      </c>
      <c r="E411" s="41" t="inlineStr">
        <is>
          <t>0010</t>
        </is>
      </c>
      <c r="F411" s="42" t="inlineStr">
        <is>
          <t>서초푸르지오써밋</t>
        </is>
      </c>
      <c r="G411" s="41" t="inlineStr">
        <is>
          <t>120.8600</t>
        </is>
      </c>
      <c r="H411" s="41" t="inlineStr">
        <is>
          <t>202306</t>
        </is>
      </c>
      <c r="I411" s="41" t="inlineStr">
        <is>
          <t>14</t>
        </is>
      </c>
      <c r="J411" s="41" t="inlineStr">
        <is>
          <t>319,000</t>
        </is>
      </c>
      <c r="K411" s="41" t="inlineStr">
        <is>
          <t>202</t>
        </is>
      </c>
      <c r="L411" s="41" t="inlineStr">
        <is>
          <t>4</t>
        </is>
      </c>
      <c r="M411" s="41" t="inlineStr">
        <is>
          <t>-</t>
        </is>
      </c>
      <c r="N411" s="41" t="inlineStr">
        <is>
          <t>-</t>
        </is>
      </c>
      <c r="O411" s="41" t="inlineStr">
        <is>
          <t>2017</t>
        </is>
      </c>
      <c r="P411" s="42" t="inlineStr">
        <is>
          <t>서운로 212</t>
        </is>
      </c>
      <c r="Q411" s="41" t="inlineStr">
        <is>
          <t>-</t>
        </is>
      </c>
      <c r="R411" s="42" t="inlineStr">
        <is>
          <t>중개거래</t>
        </is>
      </c>
      <c r="S411" s="42" t="inlineStr">
        <is>
          <t>서울 서초구</t>
        </is>
      </c>
      <c r="T411" s="41" t="inlineStr">
        <is>
          <t>23.07.31</t>
        </is>
      </c>
      <c r="U411" s="42" t="inlineStr">
        <is>
          <t>아파트</t>
        </is>
      </c>
    </row>
    <row r="412" hidden="1" ht="15" customHeight="1">
      <c r="A412" s="41" t="n">
        <v>408</v>
      </c>
      <c r="B412" s="42" t="inlineStr">
        <is>
          <t>서울특별시 서초구 서초동</t>
        </is>
      </c>
      <c r="C412" s="41" t="inlineStr">
        <is>
          <t>1315</t>
        </is>
      </c>
      <c r="D412" s="41" t="inlineStr">
        <is>
          <t>1315</t>
        </is>
      </c>
      <c r="E412" s="41" t="inlineStr">
        <is>
          <t>0000</t>
        </is>
      </c>
      <c r="F412" s="42" t="inlineStr">
        <is>
          <t>진흥아파트</t>
        </is>
      </c>
      <c r="G412" s="41" t="inlineStr">
        <is>
          <t>101.3200</t>
        </is>
      </c>
      <c r="H412" s="41" t="inlineStr">
        <is>
          <t>202306</t>
        </is>
      </c>
      <c r="I412" s="41" t="inlineStr">
        <is>
          <t>14</t>
        </is>
      </c>
      <c r="J412" s="41" t="inlineStr">
        <is>
          <t>216,000</t>
        </is>
      </c>
      <c r="K412" s="41" t="inlineStr">
        <is>
          <t>1</t>
        </is>
      </c>
      <c r="L412" s="41" t="inlineStr">
        <is>
          <t>10</t>
        </is>
      </c>
      <c r="M412" s="41" t="inlineStr">
        <is>
          <t>-</t>
        </is>
      </c>
      <c r="N412" s="41" t="inlineStr">
        <is>
          <t>-</t>
        </is>
      </c>
      <c r="O412" s="41" t="inlineStr">
        <is>
          <t>1979</t>
        </is>
      </c>
      <c r="P412" s="42" t="inlineStr">
        <is>
          <t>서초대로 385</t>
        </is>
      </c>
      <c r="Q412" s="41" t="inlineStr">
        <is>
          <t>-</t>
        </is>
      </c>
      <c r="R412" s="42" t="inlineStr">
        <is>
          <t>중개거래</t>
        </is>
      </c>
      <c r="S412" s="42" t="inlineStr">
        <is>
          <t>서울 서초구</t>
        </is>
      </c>
      <c r="T412" s="41" t="inlineStr">
        <is>
          <t>23.07.27</t>
        </is>
      </c>
      <c r="U412" s="42" t="inlineStr">
        <is>
          <t>아파트</t>
        </is>
      </c>
    </row>
    <row r="413" hidden="1" ht="15" customHeight="1">
      <c r="A413" s="41" t="n">
        <v>409</v>
      </c>
      <c r="B413" s="42" t="inlineStr">
        <is>
          <t>서울특별시 서초구 서초동</t>
        </is>
      </c>
      <c r="C413" s="41" t="inlineStr">
        <is>
          <t>1466-17</t>
        </is>
      </c>
      <c r="D413" s="41" t="inlineStr">
        <is>
          <t>1466</t>
        </is>
      </c>
      <c r="E413" s="41" t="inlineStr">
        <is>
          <t>0017</t>
        </is>
      </c>
      <c r="F413" s="42" t="inlineStr">
        <is>
          <t>서초네스피아B</t>
        </is>
      </c>
      <c r="G413" s="41" t="inlineStr">
        <is>
          <t>100.4100</t>
        </is>
      </c>
      <c r="H413" s="41" t="inlineStr">
        <is>
          <t>202306</t>
        </is>
      </c>
      <c r="I413" s="41" t="inlineStr">
        <is>
          <t>14</t>
        </is>
      </c>
      <c r="J413" s="41" t="inlineStr">
        <is>
          <t>98,000</t>
        </is>
      </c>
      <c r="K413" s="41" t="inlineStr">
        <is>
          <t>-</t>
        </is>
      </c>
      <c r="L413" s="41" t="inlineStr">
        <is>
          <t>3</t>
        </is>
      </c>
      <c r="M413" s="41" t="inlineStr">
        <is>
          <t>-</t>
        </is>
      </c>
      <c r="N413" s="41" t="inlineStr">
        <is>
          <t>-</t>
        </is>
      </c>
      <c r="O413" s="41" t="inlineStr">
        <is>
          <t>2005</t>
        </is>
      </c>
      <c r="P413" s="42" t="inlineStr">
        <is>
          <t>명달로4길 68</t>
        </is>
      </c>
      <c r="Q413" s="41" t="inlineStr">
        <is>
          <t>-</t>
        </is>
      </c>
      <c r="R413" s="42" t="inlineStr">
        <is>
          <t>중개거래</t>
        </is>
      </c>
      <c r="S413" s="42" t="inlineStr">
        <is>
          <t>서울 서초구</t>
        </is>
      </c>
      <c r="T413" s="41" t="inlineStr">
        <is>
          <t>23.10.12</t>
        </is>
      </c>
      <c r="U413" s="42" t="inlineStr">
        <is>
          <t>아파트</t>
        </is>
      </c>
    </row>
    <row r="414" hidden="1" ht="15" customHeight="1">
      <c r="A414" s="41" t="n">
        <v>410</v>
      </c>
      <c r="B414" s="42" t="inlineStr">
        <is>
          <t>서울특별시 서초구 서초동</t>
        </is>
      </c>
      <c r="C414" s="41" t="inlineStr">
        <is>
          <t>1316-31</t>
        </is>
      </c>
      <c r="D414" s="41" t="inlineStr">
        <is>
          <t>1316</t>
        </is>
      </c>
      <c r="E414" s="41" t="inlineStr">
        <is>
          <t>0031</t>
        </is>
      </c>
      <c r="F414" s="42" t="inlineStr">
        <is>
          <t>밀라텔쉐르빌</t>
        </is>
      </c>
      <c r="G414" s="41" t="inlineStr">
        <is>
          <t>50.2800</t>
        </is>
      </c>
      <c r="H414" s="41" t="inlineStr">
        <is>
          <t>202306</t>
        </is>
      </c>
      <c r="I414" s="41" t="inlineStr">
        <is>
          <t>13</t>
        </is>
      </c>
      <c r="J414" s="41" t="inlineStr">
        <is>
          <t>69,500</t>
        </is>
      </c>
      <c r="K414" s="41" t="inlineStr">
        <is>
          <t>-</t>
        </is>
      </c>
      <c r="L414" s="41" t="inlineStr">
        <is>
          <t>15</t>
        </is>
      </c>
      <c r="M414" s="41" t="inlineStr">
        <is>
          <t>-</t>
        </is>
      </c>
      <c r="N414" s="41" t="inlineStr">
        <is>
          <t>-</t>
        </is>
      </c>
      <c r="O414" s="41" t="inlineStr">
        <is>
          <t>2001</t>
        </is>
      </c>
      <c r="P414" s="42" t="inlineStr">
        <is>
          <t>강남대로61길 17</t>
        </is>
      </c>
      <c r="Q414" s="41" t="inlineStr">
        <is>
          <t>-</t>
        </is>
      </c>
      <c r="R414" s="42" t="inlineStr">
        <is>
          <t>중개거래</t>
        </is>
      </c>
      <c r="S414" s="42" t="inlineStr">
        <is>
          <t>서울 서초구</t>
        </is>
      </c>
      <c r="T414" s="41" t="inlineStr">
        <is>
          <t>23.08.30</t>
        </is>
      </c>
      <c r="U414" s="42" t="inlineStr">
        <is>
          <t>아파트</t>
        </is>
      </c>
    </row>
    <row r="415" hidden="1" ht="15" customHeight="1">
      <c r="A415" s="41" t="n">
        <v>411</v>
      </c>
      <c r="B415" s="42" t="inlineStr">
        <is>
          <t>서울특별시 서초구 서초동</t>
        </is>
      </c>
      <c r="C415" s="41" t="inlineStr">
        <is>
          <t>1332-13</t>
        </is>
      </c>
      <c r="D415" s="41" t="inlineStr">
        <is>
          <t>1332</t>
        </is>
      </c>
      <c r="E415" s="41" t="inlineStr">
        <is>
          <t>0013</t>
        </is>
      </c>
      <c r="F415" s="42" t="inlineStr">
        <is>
          <t>래미안서초에스티지</t>
        </is>
      </c>
      <c r="G415" s="41" t="inlineStr">
        <is>
          <t>83.6000</t>
        </is>
      </c>
      <c r="H415" s="41" t="inlineStr">
        <is>
          <t>202306</t>
        </is>
      </c>
      <c r="I415" s="41" t="inlineStr">
        <is>
          <t>13</t>
        </is>
      </c>
      <c r="J415" s="41" t="inlineStr">
        <is>
          <t>230,000</t>
        </is>
      </c>
      <c r="K415" s="41" t="inlineStr">
        <is>
          <t>104동</t>
        </is>
      </c>
      <c r="L415" s="41" t="inlineStr">
        <is>
          <t>4</t>
        </is>
      </c>
      <c r="M415" s="41" t="inlineStr">
        <is>
          <t>-</t>
        </is>
      </c>
      <c r="N415" s="41" t="inlineStr">
        <is>
          <t>-</t>
        </is>
      </c>
      <c r="O415" s="41" t="inlineStr">
        <is>
          <t>2016</t>
        </is>
      </c>
      <c r="P415" s="42" t="inlineStr">
        <is>
          <t>서운로 107</t>
        </is>
      </c>
      <c r="Q415" s="41" t="inlineStr">
        <is>
          <t>-</t>
        </is>
      </c>
      <c r="R415" s="42" t="inlineStr">
        <is>
          <t>중개거래</t>
        </is>
      </c>
      <c r="S415" s="42" t="inlineStr">
        <is>
          <t>서울 서초구</t>
        </is>
      </c>
      <c r="T415" s="41" t="inlineStr">
        <is>
          <t>23.08.17</t>
        </is>
      </c>
      <c r="U415" s="42" t="inlineStr">
        <is>
          <t>아파트</t>
        </is>
      </c>
    </row>
    <row r="416" hidden="1" ht="15" customHeight="1">
      <c r="A416" s="41" t="n">
        <v>412</v>
      </c>
      <c r="B416" s="42" t="inlineStr">
        <is>
          <t>서울특별시 서초구 서초동</t>
        </is>
      </c>
      <c r="C416" s="41" t="inlineStr">
        <is>
          <t>1333</t>
        </is>
      </c>
      <c r="D416" s="41" t="inlineStr">
        <is>
          <t>1333</t>
        </is>
      </c>
      <c r="E416" s="41" t="inlineStr">
        <is>
          <t>0000</t>
        </is>
      </c>
      <c r="F416" s="42" t="inlineStr">
        <is>
          <t>신동아아파트(1차)</t>
        </is>
      </c>
      <c r="G416" s="41" t="inlineStr">
        <is>
          <t>102.6600</t>
        </is>
      </c>
      <c r="H416" s="41" t="inlineStr">
        <is>
          <t>202306</t>
        </is>
      </c>
      <c r="I416" s="41" t="inlineStr">
        <is>
          <t>11</t>
        </is>
      </c>
      <c r="J416" s="41" t="inlineStr">
        <is>
          <t>204,000</t>
        </is>
      </c>
      <c r="K416" s="41" t="inlineStr">
        <is>
          <t>3</t>
        </is>
      </c>
      <c r="L416" s="41" t="inlineStr">
        <is>
          <t>1</t>
        </is>
      </c>
      <c r="M416" s="41" t="inlineStr">
        <is>
          <t>-</t>
        </is>
      </c>
      <c r="N416" s="41" t="inlineStr">
        <is>
          <t>-</t>
        </is>
      </c>
      <c r="O416" s="41" t="inlineStr">
        <is>
          <t>1978</t>
        </is>
      </c>
      <c r="P416" s="42" t="inlineStr">
        <is>
          <t>사임당로 137</t>
        </is>
      </c>
      <c r="Q416" s="41" t="inlineStr">
        <is>
          <t>-</t>
        </is>
      </c>
      <c r="R416" s="42" t="inlineStr">
        <is>
          <t>중개거래</t>
        </is>
      </c>
      <c r="S416" s="42" t="inlineStr">
        <is>
          <t>서울 서초구</t>
        </is>
      </c>
      <c r="T416" s="41" t="inlineStr">
        <is>
          <t>23.07.19</t>
        </is>
      </c>
      <c r="U416" s="42" t="inlineStr">
        <is>
          <t>아파트</t>
        </is>
      </c>
    </row>
    <row r="417" hidden="1" ht="15" customHeight="1">
      <c r="A417" s="41" t="n">
        <v>413</v>
      </c>
      <c r="B417" s="42" t="inlineStr">
        <is>
          <t>서울특별시 서초구 서초동</t>
        </is>
      </c>
      <c r="C417" s="41" t="inlineStr">
        <is>
          <t>1456-2</t>
        </is>
      </c>
      <c r="D417" s="41" t="inlineStr">
        <is>
          <t>1456</t>
        </is>
      </c>
      <c r="E417" s="41" t="inlineStr">
        <is>
          <t>0002</t>
        </is>
      </c>
      <c r="F417" s="42" t="inlineStr">
        <is>
          <t>경남아너스빌201동</t>
        </is>
      </c>
      <c r="G417" s="41" t="inlineStr">
        <is>
          <t>84.9500</t>
        </is>
      </c>
      <c r="H417" s="41" t="inlineStr">
        <is>
          <t>202306</t>
        </is>
      </c>
      <c r="I417" s="41" t="inlineStr">
        <is>
          <t>11</t>
        </is>
      </c>
      <c r="J417" s="41" t="inlineStr">
        <is>
          <t>169,500</t>
        </is>
      </c>
      <c r="K417" s="41" t="inlineStr">
        <is>
          <t>201동</t>
        </is>
      </c>
      <c r="L417" s="41" t="inlineStr">
        <is>
          <t>12</t>
        </is>
      </c>
      <c r="M417" s="41" t="inlineStr">
        <is>
          <t>-</t>
        </is>
      </c>
      <c r="N417" s="41" t="inlineStr">
        <is>
          <t>-</t>
        </is>
      </c>
      <c r="O417" s="41" t="inlineStr">
        <is>
          <t>2006</t>
        </is>
      </c>
      <c r="P417" s="42" t="inlineStr">
        <is>
          <t>반포대로10길 42</t>
        </is>
      </c>
      <c r="Q417" s="41" t="inlineStr">
        <is>
          <t>-</t>
        </is>
      </c>
      <c r="R417" s="42" t="inlineStr">
        <is>
          <t>중개거래</t>
        </is>
      </c>
      <c r="S417" s="42" t="inlineStr">
        <is>
          <t>서울 서초구</t>
        </is>
      </c>
      <c r="T417" s="41" t="inlineStr">
        <is>
          <t>23.09.07</t>
        </is>
      </c>
      <c r="U417" s="42" t="inlineStr">
        <is>
          <t>아파트</t>
        </is>
      </c>
    </row>
    <row r="418" hidden="1" ht="15" customHeight="1">
      <c r="A418" s="41" t="n">
        <v>414</v>
      </c>
      <c r="B418" s="42" t="inlineStr">
        <is>
          <t>서울특별시 서초구 서초동</t>
        </is>
      </c>
      <c r="C418" s="41" t="inlineStr">
        <is>
          <t>1333</t>
        </is>
      </c>
      <c r="D418" s="41" t="inlineStr">
        <is>
          <t>1333</t>
        </is>
      </c>
      <c r="E418" s="41" t="inlineStr">
        <is>
          <t>0000</t>
        </is>
      </c>
      <c r="F418" s="42" t="inlineStr">
        <is>
          <t>신동아아파트(1차)</t>
        </is>
      </c>
      <c r="G418" s="41" t="inlineStr">
        <is>
          <t>132.1000</t>
        </is>
      </c>
      <c r="H418" s="41" t="inlineStr">
        <is>
          <t>202306</t>
        </is>
      </c>
      <c r="I418" s="41" t="inlineStr">
        <is>
          <t>10</t>
        </is>
      </c>
      <c r="J418" s="41" t="inlineStr">
        <is>
          <t>271,000</t>
        </is>
      </c>
      <c r="K418" s="41" t="inlineStr">
        <is>
          <t>2</t>
        </is>
      </c>
      <c r="L418" s="41" t="inlineStr">
        <is>
          <t>11</t>
        </is>
      </c>
      <c r="M418" s="41" t="inlineStr">
        <is>
          <t>-</t>
        </is>
      </c>
      <c r="N418" s="41" t="inlineStr">
        <is>
          <t>-</t>
        </is>
      </c>
      <c r="O418" s="41" t="inlineStr">
        <is>
          <t>1978</t>
        </is>
      </c>
      <c r="P418" s="42" t="inlineStr">
        <is>
          <t>사임당로 137</t>
        </is>
      </c>
      <c r="Q418" s="41" t="inlineStr">
        <is>
          <t>-</t>
        </is>
      </c>
      <c r="R418" s="42" t="inlineStr">
        <is>
          <t>중개거래</t>
        </is>
      </c>
      <c r="S418" s="42" t="inlineStr">
        <is>
          <t>서울 서초구</t>
        </is>
      </c>
      <c r="T418" s="41" t="inlineStr">
        <is>
          <t>23.09.20</t>
        </is>
      </c>
      <c r="U418" s="42" t="inlineStr">
        <is>
          <t>아파트</t>
        </is>
      </c>
    </row>
    <row r="419" hidden="1" ht="15" customHeight="1">
      <c r="A419" s="41" t="n">
        <v>415</v>
      </c>
      <c r="B419" s="42" t="inlineStr">
        <is>
          <t>서울특별시 서초구 서초동</t>
        </is>
      </c>
      <c r="C419" s="41" t="inlineStr">
        <is>
          <t>1333</t>
        </is>
      </c>
      <c r="D419" s="41" t="inlineStr">
        <is>
          <t>1333</t>
        </is>
      </c>
      <c r="E419" s="41" t="inlineStr">
        <is>
          <t>0000</t>
        </is>
      </c>
      <c r="F419" s="42" t="inlineStr">
        <is>
          <t>신동아아파트(1차)</t>
        </is>
      </c>
      <c r="G419" s="41" t="inlineStr">
        <is>
          <t>101.6000</t>
        </is>
      </c>
      <c r="H419" s="41" t="inlineStr">
        <is>
          <t>202306</t>
        </is>
      </c>
      <c r="I419" s="41" t="inlineStr">
        <is>
          <t>10</t>
        </is>
      </c>
      <c r="J419" s="41" t="inlineStr">
        <is>
          <t>220,000</t>
        </is>
      </c>
      <c r="K419" s="41" t="inlineStr">
        <is>
          <t>3</t>
        </is>
      </c>
      <c r="L419" s="41" t="inlineStr">
        <is>
          <t>13</t>
        </is>
      </c>
      <c r="M419" s="41" t="inlineStr">
        <is>
          <t>-</t>
        </is>
      </c>
      <c r="N419" s="41" t="inlineStr">
        <is>
          <t>-</t>
        </is>
      </c>
      <c r="O419" s="41" t="inlineStr">
        <is>
          <t>1978</t>
        </is>
      </c>
      <c r="P419" s="42" t="inlineStr">
        <is>
          <t>사임당로 137</t>
        </is>
      </c>
      <c r="Q419" s="41" t="inlineStr">
        <is>
          <t>-</t>
        </is>
      </c>
      <c r="R419" s="42" t="inlineStr">
        <is>
          <t>중개거래</t>
        </is>
      </c>
      <c r="S419" s="42" t="inlineStr">
        <is>
          <t>서울 서초구</t>
        </is>
      </c>
      <c r="T419" s="41" t="inlineStr">
        <is>
          <t>23.10.31</t>
        </is>
      </c>
      <c r="U419" s="42" t="inlineStr">
        <is>
          <t>아파트</t>
        </is>
      </c>
    </row>
    <row r="420" hidden="1" ht="15" customHeight="1">
      <c r="A420" s="41" t="n">
        <v>416</v>
      </c>
      <c r="B420" s="42" t="inlineStr">
        <is>
          <t>서울특별시 서초구 서초동</t>
        </is>
      </c>
      <c r="C420" s="41" t="inlineStr">
        <is>
          <t>1593-7</t>
        </is>
      </c>
      <c r="D420" s="41" t="inlineStr">
        <is>
          <t>1593</t>
        </is>
      </c>
      <c r="E420" s="41" t="inlineStr">
        <is>
          <t>0007</t>
        </is>
      </c>
      <c r="F420" s="42" t="inlineStr">
        <is>
          <t>서초이오빌</t>
        </is>
      </c>
      <c r="G420" s="41" t="inlineStr">
        <is>
          <t>45.9600</t>
        </is>
      </c>
      <c r="H420" s="41" t="inlineStr">
        <is>
          <t>202306</t>
        </is>
      </c>
      <c r="I420" s="41" t="inlineStr">
        <is>
          <t>09</t>
        </is>
      </c>
      <c r="J420" s="41" t="inlineStr">
        <is>
          <t>41,000</t>
        </is>
      </c>
      <c r="K420" s="41" t="inlineStr">
        <is>
          <t>-</t>
        </is>
      </c>
      <c r="L420" s="41" t="inlineStr">
        <is>
          <t>22</t>
        </is>
      </c>
      <c r="M420" s="41" t="inlineStr">
        <is>
          <t>-</t>
        </is>
      </c>
      <c r="N420" s="41" t="inlineStr">
        <is>
          <t>-</t>
        </is>
      </c>
      <c r="O420" s="41" t="inlineStr">
        <is>
          <t>2003</t>
        </is>
      </c>
      <c r="P420" s="42" t="inlineStr">
        <is>
          <t>효령로53길 45</t>
        </is>
      </c>
      <c r="Q420" s="41" t="inlineStr">
        <is>
          <t>-</t>
        </is>
      </c>
      <c r="R420" s="42" t="inlineStr">
        <is>
          <t>중개거래</t>
        </is>
      </c>
      <c r="S420" s="42" t="inlineStr">
        <is>
          <t>서울 서초구</t>
        </is>
      </c>
      <c r="T420" s="41" t="inlineStr">
        <is>
          <t>23.09.14</t>
        </is>
      </c>
      <c r="U420" s="42" t="inlineStr">
        <is>
          <t>아파트</t>
        </is>
      </c>
    </row>
    <row r="421" hidden="1" ht="15" customHeight="1">
      <c r="A421" s="41" t="n">
        <v>417</v>
      </c>
      <c r="B421" s="42" t="inlineStr">
        <is>
          <t>서울특별시 서초구 서초동</t>
        </is>
      </c>
      <c r="C421" s="41" t="inlineStr">
        <is>
          <t>1531-6</t>
        </is>
      </c>
      <c r="D421" s="41" t="inlineStr">
        <is>
          <t>1531</t>
        </is>
      </c>
      <c r="E421" s="41" t="inlineStr">
        <is>
          <t>0006</t>
        </is>
      </c>
      <c r="F421" s="42" t="inlineStr">
        <is>
          <t>예림</t>
        </is>
      </c>
      <c r="G421" s="41" t="inlineStr">
        <is>
          <t>84.1600</t>
        </is>
      </c>
      <c r="H421" s="41" t="inlineStr">
        <is>
          <t>202306</t>
        </is>
      </c>
      <c r="I421" s="41" t="inlineStr">
        <is>
          <t>09</t>
        </is>
      </c>
      <c r="J421" s="41" t="inlineStr">
        <is>
          <t>87,000</t>
        </is>
      </c>
      <c r="K421" s="41" t="inlineStr">
        <is>
          <t>-</t>
        </is>
      </c>
      <c r="L421" s="41" t="inlineStr">
        <is>
          <t>3</t>
        </is>
      </c>
      <c r="M421" s="41" t="inlineStr">
        <is>
          <t>-</t>
        </is>
      </c>
      <c r="N421" s="41" t="inlineStr">
        <is>
          <t>-</t>
        </is>
      </c>
      <c r="O421" s="41" t="inlineStr">
        <is>
          <t>2003</t>
        </is>
      </c>
      <c r="P421" s="42" t="inlineStr">
        <is>
          <t>효령로47길 18</t>
        </is>
      </c>
      <c r="Q421" s="41" t="inlineStr">
        <is>
          <t>-</t>
        </is>
      </c>
      <c r="R421" s="42" t="inlineStr">
        <is>
          <t>직거래</t>
        </is>
      </c>
      <c r="S421" s="41" t="inlineStr">
        <is>
          <t>-</t>
        </is>
      </c>
      <c r="T421" s="41" t="inlineStr">
        <is>
          <t>23.08.21</t>
        </is>
      </c>
      <c r="U421" s="42" t="inlineStr">
        <is>
          <t>아파트</t>
        </is>
      </c>
    </row>
    <row r="422" hidden="1" ht="15" customHeight="1">
      <c r="A422" s="41" t="n">
        <v>418</v>
      </c>
      <c r="B422" s="42" t="inlineStr">
        <is>
          <t>서울특별시 서초구 서초동</t>
        </is>
      </c>
      <c r="C422" s="41" t="inlineStr">
        <is>
          <t>1333</t>
        </is>
      </c>
      <c r="D422" s="41" t="inlineStr">
        <is>
          <t>1333</t>
        </is>
      </c>
      <c r="E422" s="41" t="inlineStr">
        <is>
          <t>0000</t>
        </is>
      </c>
      <c r="F422" s="42" t="inlineStr">
        <is>
          <t>신동아아파트(1차)</t>
        </is>
      </c>
      <c r="G422" s="41" t="inlineStr">
        <is>
          <t>102.2100</t>
        </is>
      </c>
      <c r="H422" s="41" t="inlineStr">
        <is>
          <t>202306</t>
        </is>
      </c>
      <c r="I422" s="41" t="inlineStr">
        <is>
          <t>09</t>
        </is>
      </c>
      <c r="J422" s="41" t="inlineStr">
        <is>
          <t>215,000</t>
        </is>
      </c>
      <c r="K422" s="41" t="inlineStr">
        <is>
          <t>5</t>
        </is>
      </c>
      <c r="L422" s="41" t="inlineStr">
        <is>
          <t>4</t>
        </is>
      </c>
      <c r="M422" s="41" t="inlineStr">
        <is>
          <t>-</t>
        </is>
      </c>
      <c r="N422" s="41" t="inlineStr">
        <is>
          <t>-</t>
        </is>
      </c>
      <c r="O422" s="41" t="inlineStr">
        <is>
          <t>1978</t>
        </is>
      </c>
      <c r="P422" s="42" t="inlineStr">
        <is>
          <t>사임당로 130</t>
        </is>
      </c>
      <c r="Q422" s="41" t="inlineStr">
        <is>
          <t>-</t>
        </is>
      </c>
      <c r="R422" s="42" t="inlineStr">
        <is>
          <t>중개거래</t>
        </is>
      </c>
      <c r="S422" s="42" t="inlineStr">
        <is>
          <t>서울 서초구</t>
        </is>
      </c>
      <c r="T422" s="41" t="inlineStr">
        <is>
          <t>23.09.08</t>
        </is>
      </c>
      <c r="U422" s="42" t="inlineStr">
        <is>
          <t>아파트</t>
        </is>
      </c>
    </row>
    <row r="423" hidden="1" ht="15" customHeight="1">
      <c r="A423" s="41" t="n">
        <v>419</v>
      </c>
      <c r="B423" s="42" t="inlineStr">
        <is>
          <t>서울특별시 서초구 서초동</t>
        </is>
      </c>
      <c r="C423" s="41" t="inlineStr">
        <is>
          <t>1593-7</t>
        </is>
      </c>
      <c r="D423" s="41" t="inlineStr">
        <is>
          <t>1593</t>
        </is>
      </c>
      <c r="E423" s="41" t="inlineStr">
        <is>
          <t>0007</t>
        </is>
      </c>
      <c r="F423" s="42" t="inlineStr">
        <is>
          <t>서초이오빌</t>
        </is>
      </c>
      <c r="G423" s="41" t="inlineStr">
        <is>
          <t>36.6600</t>
        </is>
      </c>
      <c r="H423" s="41" t="inlineStr">
        <is>
          <t>202306</t>
        </is>
      </c>
      <c r="I423" s="41" t="inlineStr">
        <is>
          <t>08</t>
        </is>
      </c>
      <c r="J423" s="41" t="inlineStr">
        <is>
          <t>29,600</t>
        </is>
      </c>
      <c r="K423" s="41" t="inlineStr">
        <is>
          <t>-</t>
        </is>
      </c>
      <c r="L423" s="41" t="inlineStr">
        <is>
          <t>14</t>
        </is>
      </c>
      <c r="M423" s="41" t="inlineStr">
        <is>
          <t>-</t>
        </is>
      </c>
      <c r="N423" s="41" t="inlineStr">
        <is>
          <t>-</t>
        </is>
      </c>
      <c r="O423" s="41" t="inlineStr">
        <is>
          <t>2003</t>
        </is>
      </c>
      <c r="P423" s="42" t="inlineStr">
        <is>
          <t>효령로53길 45</t>
        </is>
      </c>
      <c r="Q423" s="41" t="inlineStr">
        <is>
          <t>-</t>
        </is>
      </c>
      <c r="R423" s="42" t="inlineStr">
        <is>
          <t>직거래</t>
        </is>
      </c>
      <c r="S423" s="41" t="inlineStr">
        <is>
          <t>-</t>
        </is>
      </c>
      <c r="T423" s="41" t="inlineStr">
        <is>
          <t>23.06.20</t>
        </is>
      </c>
      <c r="U423" s="42" t="inlineStr">
        <is>
          <t>아파트</t>
        </is>
      </c>
    </row>
    <row r="424" hidden="1" ht="15" customHeight="1">
      <c r="A424" s="41" t="n">
        <v>420</v>
      </c>
      <c r="B424" s="42" t="inlineStr">
        <is>
          <t>서울특별시 서초구 서초동</t>
        </is>
      </c>
      <c r="C424" s="41" t="inlineStr">
        <is>
          <t>1445-13</t>
        </is>
      </c>
      <c r="D424" s="41" t="inlineStr">
        <is>
          <t>1445</t>
        </is>
      </c>
      <c r="E424" s="41" t="inlineStr">
        <is>
          <t>0013</t>
        </is>
      </c>
      <c r="F424" s="42" t="inlineStr">
        <is>
          <t>서초쌍용플래티넘</t>
        </is>
      </c>
      <c r="G424" s="41" t="inlineStr">
        <is>
          <t>68.2100</t>
        </is>
      </c>
      <c r="H424" s="41" t="inlineStr">
        <is>
          <t>202306</t>
        </is>
      </c>
      <c r="I424" s="41" t="inlineStr">
        <is>
          <t>08</t>
        </is>
      </c>
      <c r="J424" s="41" t="inlineStr">
        <is>
          <t>104,000</t>
        </is>
      </c>
      <c r="K424" s="42" t="inlineStr">
        <is>
          <t>서초쌍용플래티넘</t>
        </is>
      </c>
      <c r="L424" s="41" t="inlineStr">
        <is>
          <t>12</t>
        </is>
      </c>
      <c r="M424" s="41" t="inlineStr">
        <is>
          <t>-</t>
        </is>
      </c>
      <c r="N424" s="41" t="inlineStr">
        <is>
          <t>-</t>
        </is>
      </c>
      <c r="O424" s="41" t="inlineStr">
        <is>
          <t>2006</t>
        </is>
      </c>
      <c r="P424" s="42" t="inlineStr">
        <is>
          <t>서초중앙로 18</t>
        </is>
      </c>
      <c r="Q424" s="41" t="inlineStr">
        <is>
          <t>-</t>
        </is>
      </c>
      <c r="R424" s="42" t="inlineStr">
        <is>
          <t>중개거래</t>
        </is>
      </c>
      <c r="S424" s="42" t="inlineStr">
        <is>
          <t>서울 강남구 서울 서초구</t>
        </is>
      </c>
      <c r="T424" s="41" t="inlineStr">
        <is>
          <t>23.09.07</t>
        </is>
      </c>
      <c r="U424" s="42" t="inlineStr">
        <is>
          <t>아파트</t>
        </is>
      </c>
    </row>
    <row r="425" hidden="1" ht="15" customHeight="1">
      <c r="A425" s="41" t="n">
        <v>421</v>
      </c>
      <c r="B425" s="42" t="inlineStr">
        <is>
          <t>서울특별시 서초구 서초동</t>
        </is>
      </c>
      <c r="C425" s="41" t="inlineStr">
        <is>
          <t>1671-5</t>
        </is>
      </c>
      <c r="D425" s="41" t="inlineStr">
        <is>
          <t>1671</t>
        </is>
      </c>
      <c r="E425" s="41" t="inlineStr">
        <is>
          <t>0005</t>
        </is>
      </c>
      <c r="F425" s="42" t="inlineStr">
        <is>
          <t>대림서초리시온</t>
        </is>
      </c>
      <c r="G425" s="41" t="inlineStr">
        <is>
          <t>45.7200</t>
        </is>
      </c>
      <c r="H425" s="41" t="inlineStr">
        <is>
          <t>202306</t>
        </is>
      </c>
      <c r="I425" s="41" t="inlineStr">
        <is>
          <t>07</t>
        </is>
      </c>
      <c r="J425" s="41" t="inlineStr">
        <is>
          <t>52,200</t>
        </is>
      </c>
      <c r="K425" s="41" t="inlineStr">
        <is>
          <t>-</t>
        </is>
      </c>
      <c r="L425" s="41" t="inlineStr">
        <is>
          <t>9</t>
        </is>
      </c>
      <c r="M425" s="41" t="inlineStr">
        <is>
          <t>-</t>
        </is>
      </c>
      <c r="N425" s="41" t="inlineStr">
        <is>
          <t>-</t>
        </is>
      </c>
      <c r="O425" s="41" t="inlineStr">
        <is>
          <t>2003</t>
        </is>
      </c>
      <c r="P425" s="42" t="inlineStr">
        <is>
          <t>서초중앙로22길 25</t>
        </is>
      </c>
      <c r="Q425" s="41" t="inlineStr">
        <is>
          <t>-</t>
        </is>
      </c>
      <c r="R425" s="42" t="inlineStr">
        <is>
          <t>중개거래</t>
        </is>
      </c>
      <c r="S425" s="42" t="inlineStr">
        <is>
          <t>서울 서초구</t>
        </is>
      </c>
      <c r="T425" s="41" t="inlineStr">
        <is>
          <t>23.07.05</t>
        </is>
      </c>
      <c r="U425" s="42" t="inlineStr">
        <is>
          <t>아파트</t>
        </is>
      </c>
    </row>
    <row r="426" hidden="1" ht="15" customHeight="1">
      <c r="A426" s="41" t="n">
        <v>422</v>
      </c>
      <c r="B426" s="42" t="inlineStr">
        <is>
          <t>서울특별시 서초구 서초동</t>
        </is>
      </c>
      <c r="C426" s="41" t="inlineStr">
        <is>
          <t>1687</t>
        </is>
      </c>
      <c r="D426" s="41" t="inlineStr">
        <is>
          <t>1687</t>
        </is>
      </c>
      <c r="E426" s="41" t="inlineStr">
        <is>
          <t>0000</t>
        </is>
      </c>
      <c r="F426" s="42" t="inlineStr">
        <is>
          <t>유원서초</t>
        </is>
      </c>
      <c r="G426" s="41" t="inlineStr">
        <is>
          <t>84.8200</t>
        </is>
      </c>
      <c r="H426" s="41" t="inlineStr">
        <is>
          <t>202306</t>
        </is>
      </c>
      <c r="I426" s="41" t="inlineStr">
        <is>
          <t>07</t>
        </is>
      </c>
      <c r="J426" s="41" t="inlineStr">
        <is>
          <t>178,500</t>
        </is>
      </c>
      <c r="K426" s="41" t="inlineStr">
        <is>
          <t>101</t>
        </is>
      </c>
      <c r="L426" s="41" t="inlineStr">
        <is>
          <t>12</t>
        </is>
      </c>
      <c r="M426" s="41" t="inlineStr">
        <is>
          <t>-</t>
        </is>
      </c>
      <c r="N426" s="41" t="inlineStr">
        <is>
          <t>-</t>
        </is>
      </c>
      <c r="O426" s="41" t="inlineStr">
        <is>
          <t>1993</t>
        </is>
      </c>
      <c r="P426" s="42" t="inlineStr">
        <is>
          <t>서초중앙로24길 43</t>
        </is>
      </c>
      <c r="Q426" s="41" t="inlineStr">
        <is>
          <t>-</t>
        </is>
      </c>
      <c r="R426" s="42" t="inlineStr">
        <is>
          <t>중개거래</t>
        </is>
      </c>
      <c r="S426" s="42" t="inlineStr">
        <is>
          <t>서울 서초구</t>
        </is>
      </c>
      <c r="T426" s="41" t="inlineStr">
        <is>
          <t>23.09.15</t>
        </is>
      </c>
      <c r="U426" s="42" t="inlineStr">
        <is>
          <t>아파트</t>
        </is>
      </c>
    </row>
    <row r="427" hidden="1" ht="15" customHeight="1">
      <c r="A427" s="41" t="n">
        <v>423</v>
      </c>
      <c r="B427" s="42" t="inlineStr">
        <is>
          <t>서울특별시 서초구 서초동</t>
        </is>
      </c>
      <c r="C427" s="41" t="inlineStr">
        <is>
          <t>1311-10</t>
        </is>
      </c>
      <c r="D427" s="41" t="inlineStr">
        <is>
          <t>1311</t>
        </is>
      </c>
      <c r="E427" s="41" t="inlineStr">
        <is>
          <t>0010</t>
        </is>
      </c>
      <c r="F427" s="42" t="inlineStr">
        <is>
          <t>서초푸르지오써밋</t>
        </is>
      </c>
      <c r="G427" s="41" t="inlineStr">
        <is>
          <t>59.9200</t>
        </is>
      </c>
      <c r="H427" s="41" t="inlineStr">
        <is>
          <t>202306</t>
        </is>
      </c>
      <c r="I427" s="41" t="inlineStr">
        <is>
          <t>06</t>
        </is>
      </c>
      <c r="J427" s="41" t="inlineStr">
        <is>
          <t>198,000</t>
        </is>
      </c>
      <c r="K427" s="41" t="inlineStr">
        <is>
          <t>102</t>
        </is>
      </c>
      <c r="L427" s="41" t="inlineStr">
        <is>
          <t>4</t>
        </is>
      </c>
      <c r="M427" s="41" t="inlineStr">
        <is>
          <t>-</t>
        </is>
      </c>
      <c r="N427" s="41" t="inlineStr">
        <is>
          <t>-</t>
        </is>
      </c>
      <c r="O427" s="41" t="inlineStr">
        <is>
          <t>2017</t>
        </is>
      </c>
      <c r="P427" s="42" t="inlineStr">
        <is>
          <t>서운로 201</t>
        </is>
      </c>
      <c r="Q427" s="41" t="inlineStr">
        <is>
          <t>-</t>
        </is>
      </c>
      <c r="R427" s="42" t="inlineStr">
        <is>
          <t>중개거래</t>
        </is>
      </c>
      <c r="S427" s="42" t="inlineStr">
        <is>
          <t>서울 서초구</t>
        </is>
      </c>
      <c r="T427" s="41" t="inlineStr">
        <is>
          <t>23.08.17</t>
        </is>
      </c>
      <c r="U427" s="42" t="inlineStr">
        <is>
          <t>아파트</t>
        </is>
      </c>
    </row>
    <row r="428" hidden="1" ht="15" customHeight="1">
      <c r="A428" s="41" t="n">
        <v>424</v>
      </c>
      <c r="B428" s="42" t="inlineStr">
        <is>
          <t>서울특별시 서초구 서초동</t>
        </is>
      </c>
      <c r="C428" s="41" t="inlineStr">
        <is>
          <t>1754</t>
        </is>
      </c>
      <c r="D428" s="41" t="inlineStr">
        <is>
          <t>1754</t>
        </is>
      </c>
      <c r="E428" s="41" t="inlineStr">
        <is>
          <t>0000</t>
        </is>
      </c>
      <c r="F428" s="42" t="inlineStr">
        <is>
          <t>래미안서초에스티지S</t>
        </is>
      </c>
      <c r="G428" s="41" t="inlineStr">
        <is>
          <t>84.1700</t>
        </is>
      </c>
      <c r="H428" s="41" t="inlineStr">
        <is>
          <t>202306</t>
        </is>
      </c>
      <c r="I428" s="41" t="inlineStr">
        <is>
          <t>06</t>
        </is>
      </c>
      <c r="J428" s="41" t="inlineStr">
        <is>
          <t>247,700</t>
        </is>
      </c>
      <c r="K428" s="41" t="inlineStr">
        <is>
          <t>204</t>
        </is>
      </c>
      <c r="L428" s="41" t="inlineStr">
        <is>
          <t>14</t>
        </is>
      </c>
      <c r="M428" s="41" t="inlineStr">
        <is>
          <t>-</t>
        </is>
      </c>
      <c r="N428" s="41" t="inlineStr">
        <is>
          <t>-</t>
        </is>
      </c>
      <c r="O428" s="41" t="inlineStr">
        <is>
          <t>2018</t>
        </is>
      </c>
      <c r="P428" s="42" t="inlineStr">
        <is>
          <t>서운로 104</t>
        </is>
      </c>
      <c r="Q428" s="41" t="inlineStr">
        <is>
          <t>-</t>
        </is>
      </c>
      <c r="R428" s="42" t="inlineStr">
        <is>
          <t>중개거래</t>
        </is>
      </c>
      <c r="S428" s="42" t="inlineStr">
        <is>
          <t>서울 서초구</t>
        </is>
      </c>
      <c r="T428" s="41" t="inlineStr">
        <is>
          <t>23.08.11</t>
        </is>
      </c>
      <c r="U428" s="42" t="inlineStr">
        <is>
          <t>아파트</t>
        </is>
      </c>
    </row>
    <row r="429" hidden="1" ht="15" customHeight="1">
      <c r="A429" s="41" t="n">
        <v>425</v>
      </c>
      <c r="B429" s="42" t="inlineStr">
        <is>
          <t>서울특별시 서초구 서초동</t>
        </is>
      </c>
      <c r="C429" s="41" t="inlineStr">
        <is>
          <t>1311-10</t>
        </is>
      </c>
      <c r="D429" s="41" t="inlineStr">
        <is>
          <t>1311</t>
        </is>
      </c>
      <c r="E429" s="41" t="inlineStr">
        <is>
          <t>0010</t>
        </is>
      </c>
      <c r="F429" s="42" t="inlineStr">
        <is>
          <t>서초푸르지오써밋</t>
        </is>
      </c>
      <c r="G429" s="41" t="inlineStr">
        <is>
          <t>59.9200</t>
        </is>
      </c>
      <c r="H429" s="41" t="inlineStr">
        <is>
          <t>202306</t>
        </is>
      </c>
      <c r="I429" s="41" t="inlineStr">
        <is>
          <t>06</t>
        </is>
      </c>
      <c r="J429" s="41" t="inlineStr">
        <is>
          <t>210,000</t>
        </is>
      </c>
      <c r="K429" s="41" t="inlineStr">
        <is>
          <t>104</t>
        </is>
      </c>
      <c r="L429" s="41" t="inlineStr">
        <is>
          <t>21</t>
        </is>
      </c>
      <c r="M429" s="41" t="inlineStr">
        <is>
          <t>-</t>
        </is>
      </c>
      <c r="N429" s="41" t="inlineStr">
        <is>
          <t>-</t>
        </is>
      </c>
      <c r="O429" s="41" t="inlineStr">
        <is>
          <t>2017</t>
        </is>
      </c>
      <c r="P429" s="42" t="inlineStr">
        <is>
          <t>서운로 201</t>
        </is>
      </c>
      <c r="Q429" s="41" t="inlineStr">
        <is>
          <t>-</t>
        </is>
      </c>
      <c r="R429" s="42" t="inlineStr">
        <is>
          <t>중개거래</t>
        </is>
      </c>
      <c r="S429" s="42" t="inlineStr">
        <is>
          <t>서울 마포구 서울 서초구</t>
        </is>
      </c>
      <c r="T429" s="41" t="inlineStr">
        <is>
          <t>23.09.22</t>
        </is>
      </c>
      <c r="U429" s="42" t="inlineStr">
        <is>
          <t>아파트</t>
        </is>
      </c>
    </row>
    <row r="430" hidden="1" ht="15" customHeight="1">
      <c r="A430" s="41" t="n">
        <v>426</v>
      </c>
      <c r="B430" s="42" t="inlineStr">
        <is>
          <t>서울특별시 서초구 서초동</t>
        </is>
      </c>
      <c r="C430" s="41" t="inlineStr">
        <is>
          <t>1311-10</t>
        </is>
      </c>
      <c r="D430" s="41" t="inlineStr">
        <is>
          <t>1311</t>
        </is>
      </c>
      <c r="E430" s="41" t="inlineStr">
        <is>
          <t>0010</t>
        </is>
      </c>
      <c r="F430" s="42" t="inlineStr">
        <is>
          <t>서초푸르지오써밋</t>
        </is>
      </c>
      <c r="G430" s="41" t="inlineStr">
        <is>
          <t>104.4000</t>
        </is>
      </c>
      <c r="H430" s="41" t="inlineStr">
        <is>
          <t>202306</t>
        </is>
      </c>
      <c r="I430" s="41" t="inlineStr">
        <is>
          <t>06</t>
        </is>
      </c>
      <c r="J430" s="41" t="inlineStr">
        <is>
          <t>285,000</t>
        </is>
      </c>
      <c r="K430" s="41" t="inlineStr">
        <is>
          <t>101</t>
        </is>
      </c>
      <c r="L430" s="41" t="inlineStr">
        <is>
          <t>14</t>
        </is>
      </c>
      <c r="M430" s="41" t="inlineStr">
        <is>
          <t>-</t>
        </is>
      </c>
      <c r="N430" s="41" t="inlineStr">
        <is>
          <t>-</t>
        </is>
      </c>
      <c r="O430" s="41" t="inlineStr">
        <is>
          <t>2017</t>
        </is>
      </c>
      <c r="P430" s="42" t="inlineStr">
        <is>
          <t>서운로 201</t>
        </is>
      </c>
      <c r="Q430" s="41" t="inlineStr">
        <is>
          <t>-</t>
        </is>
      </c>
      <c r="R430" s="42" t="inlineStr">
        <is>
          <t>중개거래</t>
        </is>
      </c>
      <c r="S430" s="42" t="inlineStr">
        <is>
          <t>서울 서초구</t>
        </is>
      </c>
      <c r="T430" s="41" t="inlineStr">
        <is>
          <t>23.08.17</t>
        </is>
      </c>
      <c r="U430" s="42" t="inlineStr">
        <is>
          <t>아파트</t>
        </is>
      </c>
    </row>
    <row r="431" hidden="1" ht="15" customHeight="1">
      <c r="A431" s="41" t="n">
        <v>427</v>
      </c>
      <c r="B431" s="42" t="inlineStr">
        <is>
          <t>서울특별시 서초구 서초동</t>
        </is>
      </c>
      <c r="C431" s="41" t="inlineStr">
        <is>
          <t>1445-13</t>
        </is>
      </c>
      <c r="D431" s="41" t="inlineStr">
        <is>
          <t>1445</t>
        </is>
      </c>
      <c r="E431" s="41" t="inlineStr">
        <is>
          <t>0013</t>
        </is>
      </c>
      <c r="F431" s="42" t="inlineStr">
        <is>
          <t>서초쌍용플래티넘</t>
        </is>
      </c>
      <c r="G431" s="41" t="inlineStr">
        <is>
          <t>56.0000</t>
        </is>
      </c>
      <c r="H431" s="41" t="inlineStr">
        <is>
          <t>202306</t>
        </is>
      </c>
      <c r="I431" s="41" t="inlineStr">
        <is>
          <t>06</t>
        </is>
      </c>
      <c r="J431" s="41" t="inlineStr">
        <is>
          <t>72,500</t>
        </is>
      </c>
      <c r="K431" s="42" t="inlineStr">
        <is>
          <t>서초쌍용플래티넘</t>
        </is>
      </c>
      <c r="L431" s="41" t="inlineStr">
        <is>
          <t>15</t>
        </is>
      </c>
      <c r="M431" s="41" t="inlineStr">
        <is>
          <t>-</t>
        </is>
      </c>
      <c r="N431" s="41" t="inlineStr">
        <is>
          <t>-</t>
        </is>
      </c>
      <c r="O431" s="41" t="inlineStr">
        <is>
          <t>2006</t>
        </is>
      </c>
      <c r="P431" s="42" t="inlineStr">
        <is>
          <t>서초중앙로 18</t>
        </is>
      </c>
      <c r="Q431" s="41" t="inlineStr">
        <is>
          <t>-</t>
        </is>
      </c>
      <c r="R431" s="42" t="inlineStr">
        <is>
          <t>중개거래</t>
        </is>
      </c>
      <c r="S431" s="42" t="inlineStr">
        <is>
          <t>서울 서초구</t>
        </is>
      </c>
      <c r="T431" s="41" t="inlineStr">
        <is>
          <t>23.08.03</t>
        </is>
      </c>
      <c r="U431" s="42" t="inlineStr">
        <is>
          <t>아파트</t>
        </is>
      </c>
    </row>
    <row r="432" hidden="1" ht="15" customHeight="1">
      <c r="A432" s="41" t="n">
        <v>428</v>
      </c>
      <c r="B432" s="42" t="inlineStr">
        <is>
          <t>서울특별시 서초구 서초동</t>
        </is>
      </c>
      <c r="C432" s="41" t="inlineStr">
        <is>
          <t>1681-8</t>
        </is>
      </c>
      <c r="D432" s="41" t="inlineStr">
        <is>
          <t>1681</t>
        </is>
      </c>
      <c r="E432" s="41" t="inlineStr">
        <is>
          <t>0008</t>
        </is>
      </c>
      <c r="F432" s="42" t="inlineStr">
        <is>
          <t>서초롯데캐슬프레지던트</t>
        </is>
      </c>
      <c r="G432" s="41" t="inlineStr">
        <is>
          <t>84.9700</t>
        </is>
      </c>
      <c r="H432" s="41" t="inlineStr">
        <is>
          <t>202306</t>
        </is>
      </c>
      <c r="I432" s="41" t="inlineStr">
        <is>
          <t>05</t>
        </is>
      </c>
      <c r="J432" s="41" t="inlineStr">
        <is>
          <t>210,000</t>
        </is>
      </c>
      <c r="K432" s="41" t="inlineStr">
        <is>
          <t>103</t>
        </is>
      </c>
      <c r="L432" s="41" t="inlineStr">
        <is>
          <t>17</t>
        </is>
      </c>
      <c r="M432" s="41" t="inlineStr">
        <is>
          <t>-</t>
        </is>
      </c>
      <c r="N432" s="41" t="inlineStr">
        <is>
          <t>-</t>
        </is>
      </c>
      <c r="O432" s="41" t="inlineStr">
        <is>
          <t>2014</t>
        </is>
      </c>
      <c r="P432" s="42" t="inlineStr">
        <is>
          <t>서초중앙로24길 57</t>
        </is>
      </c>
      <c r="Q432" s="41" t="inlineStr">
        <is>
          <t>-</t>
        </is>
      </c>
      <c r="R432" s="42" t="inlineStr">
        <is>
          <t>중개거래</t>
        </is>
      </c>
      <c r="S432" s="42" t="inlineStr">
        <is>
          <t>서울 서초구</t>
        </is>
      </c>
      <c r="T432" s="41" t="inlineStr">
        <is>
          <t>23.09.07</t>
        </is>
      </c>
      <c r="U432" s="42" t="inlineStr">
        <is>
          <t>아파트</t>
        </is>
      </c>
    </row>
    <row r="433" hidden="1" ht="15" customHeight="1">
      <c r="A433" s="41" t="n">
        <v>429</v>
      </c>
      <c r="B433" s="42" t="inlineStr">
        <is>
          <t>서울특별시 서초구 서초동</t>
        </is>
      </c>
      <c r="C433" s="41" t="inlineStr">
        <is>
          <t>1685-3</t>
        </is>
      </c>
      <c r="D433" s="41" t="inlineStr">
        <is>
          <t>1685</t>
        </is>
      </c>
      <c r="E433" s="41" t="inlineStr">
        <is>
          <t>0003</t>
        </is>
      </c>
      <c r="F433" s="42" t="inlineStr">
        <is>
          <t>아크로비스타</t>
        </is>
      </c>
      <c r="G433" s="41" t="inlineStr">
        <is>
          <t>138.9600</t>
        </is>
      </c>
      <c r="H433" s="41" t="inlineStr">
        <is>
          <t>202306</t>
        </is>
      </c>
      <c r="I433" s="41" t="inlineStr">
        <is>
          <t>05</t>
        </is>
      </c>
      <c r="J433" s="41" t="inlineStr">
        <is>
          <t>260,000</t>
        </is>
      </c>
      <c r="K433" s="41" t="inlineStr">
        <is>
          <t>C</t>
        </is>
      </c>
      <c r="L433" s="41" t="inlineStr">
        <is>
          <t>20</t>
        </is>
      </c>
      <c r="M433" s="41" t="inlineStr">
        <is>
          <t>-</t>
        </is>
      </c>
      <c r="N433" s="41" t="inlineStr">
        <is>
          <t>-</t>
        </is>
      </c>
      <c r="O433" s="41" t="inlineStr">
        <is>
          <t>2004</t>
        </is>
      </c>
      <c r="P433" s="42" t="inlineStr">
        <is>
          <t>서초중앙로 188</t>
        </is>
      </c>
      <c r="Q433" s="41" t="inlineStr">
        <is>
          <t>-</t>
        </is>
      </c>
      <c r="R433" s="42" t="inlineStr">
        <is>
          <t>중개거래</t>
        </is>
      </c>
      <c r="S433" s="42" t="inlineStr">
        <is>
          <t>서울 서초구</t>
        </is>
      </c>
      <c r="T433" s="41" t="inlineStr">
        <is>
          <t>23.11.27</t>
        </is>
      </c>
      <c r="U433" s="42" t="inlineStr">
        <is>
          <t>아파트</t>
        </is>
      </c>
    </row>
    <row r="434" hidden="1" ht="15" customHeight="1">
      <c r="A434" s="41" t="n">
        <v>430</v>
      </c>
      <c r="B434" s="42" t="inlineStr">
        <is>
          <t>서울특별시 서초구 서초동</t>
        </is>
      </c>
      <c r="C434" s="41" t="inlineStr">
        <is>
          <t>1687</t>
        </is>
      </c>
      <c r="D434" s="41" t="inlineStr">
        <is>
          <t>1687</t>
        </is>
      </c>
      <c r="E434" s="41" t="inlineStr">
        <is>
          <t>0000</t>
        </is>
      </c>
      <c r="F434" s="42" t="inlineStr">
        <is>
          <t>유원서초</t>
        </is>
      </c>
      <c r="G434" s="41" t="inlineStr">
        <is>
          <t>84.8200</t>
        </is>
      </c>
      <c r="H434" s="41" t="inlineStr">
        <is>
          <t>202306</t>
        </is>
      </c>
      <c r="I434" s="41" t="inlineStr">
        <is>
          <t>03</t>
        </is>
      </c>
      <c r="J434" s="41" t="inlineStr">
        <is>
          <t>175,000</t>
        </is>
      </c>
      <c r="K434" s="41" t="inlineStr">
        <is>
          <t>101</t>
        </is>
      </c>
      <c r="L434" s="41" t="inlineStr">
        <is>
          <t>8</t>
        </is>
      </c>
      <c r="M434" s="41" t="inlineStr">
        <is>
          <t>-</t>
        </is>
      </c>
      <c r="N434" s="41" t="inlineStr">
        <is>
          <t>-</t>
        </is>
      </c>
      <c r="O434" s="41" t="inlineStr">
        <is>
          <t>1993</t>
        </is>
      </c>
      <c r="P434" s="42" t="inlineStr">
        <is>
          <t>서초중앙로24길 43</t>
        </is>
      </c>
      <c r="Q434" s="41" t="inlineStr">
        <is>
          <t>-</t>
        </is>
      </c>
      <c r="R434" s="42" t="inlineStr">
        <is>
          <t>중개거래</t>
        </is>
      </c>
      <c r="S434" s="42" t="inlineStr">
        <is>
          <t>서울 서초구</t>
        </is>
      </c>
      <c r="T434" s="41" t="inlineStr">
        <is>
          <t>23.08.24</t>
        </is>
      </c>
      <c r="U434" s="42" t="inlineStr">
        <is>
          <t>아파트</t>
        </is>
      </c>
    </row>
    <row r="435" hidden="1" ht="15" customHeight="1">
      <c r="A435" s="41" t="n">
        <v>431</v>
      </c>
      <c r="B435" s="42" t="inlineStr">
        <is>
          <t>서울특별시 서초구 서초동</t>
        </is>
      </c>
      <c r="C435" s="41" t="inlineStr">
        <is>
          <t>1687</t>
        </is>
      </c>
      <c r="D435" s="41" t="inlineStr">
        <is>
          <t>1687</t>
        </is>
      </c>
      <c r="E435" s="41" t="inlineStr">
        <is>
          <t>0000</t>
        </is>
      </c>
      <c r="F435" s="42" t="inlineStr">
        <is>
          <t>유원서초</t>
        </is>
      </c>
      <c r="G435" s="41" t="inlineStr">
        <is>
          <t>84.8200</t>
        </is>
      </c>
      <c r="H435" s="41" t="inlineStr">
        <is>
          <t>202306</t>
        </is>
      </c>
      <c r="I435" s="41" t="inlineStr">
        <is>
          <t>02</t>
        </is>
      </c>
      <c r="J435" s="41" t="inlineStr">
        <is>
          <t>174,000</t>
        </is>
      </c>
      <c r="K435" s="41" t="inlineStr">
        <is>
          <t>102</t>
        </is>
      </c>
      <c r="L435" s="41" t="inlineStr">
        <is>
          <t>6</t>
        </is>
      </c>
      <c r="M435" s="41" t="inlineStr">
        <is>
          <t>-</t>
        </is>
      </c>
      <c r="N435" s="41" t="inlineStr">
        <is>
          <t>-</t>
        </is>
      </c>
      <c r="O435" s="41" t="inlineStr">
        <is>
          <t>1993</t>
        </is>
      </c>
      <c r="P435" s="42" t="inlineStr">
        <is>
          <t>서초중앙로24길 43</t>
        </is>
      </c>
      <c r="Q435" s="41" t="inlineStr">
        <is>
          <t>-</t>
        </is>
      </c>
      <c r="R435" s="42" t="inlineStr">
        <is>
          <t>중개거래</t>
        </is>
      </c>
      <c r="S435" s="42" t="inlineStr">
        <is>
          <t>서울 서초구</t>
        </is>
      </c>
      <c r="T435" s="41" t="inlineStr">
        <is>
          <t>23.09.11</t>
        </is>
      </c>
      <c r="U435" s="42" t="inlineStr">
        <is>
          <t>아파트</t>
        </is>
      </c>
    </row>
    <row r="436" hidden="1" ht="15" customHeight="1">
      <c r="A436" s="41" t="n">
        <v>432</v>
      </c>
      <c r="B436" s="42" t="inlineStr">
        <is>
          <t>서울특별시 서초구 서초동</t>
        </is>
      </c>
      <c r="C436" s="41" t="inlineStr">
        <is>
          <t>1326-17</t>
        </is>
      </c>
      <c r="D436" s="41" t="inlineStr">
        <is>
          <t>1326</t>
        </is>
      </c>
      <c r="E436" s="41" t="inlineStr">
        <is>
          <t>0017</t>
        </is>
      </c>
      <c r="F436" s="42" t="inlineStr">
        <is>
          <t>우성아파트</t>
        </is>
      </c>
      <c r="G436" s="41" t="inlineStr">
        <is>
          <t>59.9300</t>
        </is>
      </c>
      <c r="H436" s="41" t="inlineStr">
        <is>
          <t>202306</t>
        </is>
      </c>
      <c r="I436" s="41" t="inlineStr">
        <is>
          <t>02</t>
        </is>
      </c>
      <c r="J436" s="41" t="inlineStr">
        <is>
          <t>131,000</t>
        </is>
      </c>
      <c r="K436" s="41" t="inlineStr">
        <is>
          <t>501</t>
        </is>
      </c>
      <c r="L436" s="41" t="inlineStr">
        <is>
          <t>4</t>
        </is>
      </c>
      <c r="M436" s="41" t="inlineStr">
        <is>
          <t>-</t>
        </is>
      </c>
      <c r="N436" s="41" t="inlineStr">
        <is>
          <t>-</t>
        </is>
      </c>
      <c r="O436" s="41" t="inlineStr">
        <is>
          <t>1998</t>
        </is>
      </c>
      <c r="P436" s="42" t="inlineStr">
        <is>
          <t>서초대로74길 30</t>
        </is>
      </c>
      <c r="Q436" s="41" t="inlineStr">
        <is>
          <t>-</t>
        </is>
      </c>
      <c r="R436" s="42" t="inlineStr">
        <is>
          <t>중개거래</t>
        </is>
      </c>
      <c r="S436" s="42" t="inlineStr">
        <is>
          <t>서울 서초구</t>
        </is>
      </c>
      <c r="T436" s="41" t="inlineStr">
        <is>
          <t>23.08.18</t>
        </is>
      </c>
      <c r="U436" s="42" t="inlineStr">
        <is>
          <t>아파트</t>
        </is>
      </c>
    </row>
    <row r="437" hidden="1" ht="15" customHeight="1">
      <c r="A437" s="41" t="n">
        <v>433</v>
      </c>
      <c r="B437" s="42" t="inlineStr">
        <is>
          <t>서울특별시 서초구 서초동</t>
        </is>
      </c>
      <c r="C437" s="41" t="inlineStr">
        <is>
          <t>1333</t>
        </is>
      </c>
      <c r="D437" s="41" t="inlineStr">
        <is>
          <t>1333</t>
        </is>
      </c>
      <c r="E437" s="41" t="inlineStr">
        <is>
          <t>0000</t>
        </is>
      </c>
      <c r="F437" s="42" t="inlineStr">
        <is>
          <t>신동아아파트(1차)</t>
        </is>
      </c>
      <c r="G437" s="41" t="inlineStr">
        <is>
          <t>86.6100</t>
        </is>
      </c>
      <c r="H437" s="41" t="inlineStr">
        <is>
          <t>202306</t>
        </is>
      </c>
      <c r="I437" s="41" t="inlineStr">
        <is>
          <t>02</t>
        </is>
      </c>
      <c r="J437" s="41" t="inlineStr">
        <is>
          <t>195,000</t>
        </is>
      </c>
      <c r="K437" s="41" t="inlineStr">
        <is>
          <t>7</t>
        </is>
      </c>
      <c r="L437" s="41" t="inlineStr">
        <is>
          <t>10</t>
        </is>
      </c>
      <c r="M437" s="41" t="inlineStr">
        <is>
          <t>-</t>
        </is>
      </c>
      <c r="N437" s="41" t="inlineStr">
        <is>
          <t>-</t>
        </is>
      </c>
      <c r="O437" s="41" t="inlineStr">
        <is>
          <t>1978</t>
        </is>
      </c>
      <c r="P437" s="42" t="inlineStr">
        <is>
          <t>사임당로 130</t>
        </is>
      </c>
      <c r="Q437" s="41" t="inlineStr">
        <is>
          <t>-</t>
        </is>
      </c>
      <c r="R437" s="42" t="inlineStr">
        <is>
          <t>중개거래</t>
        </is>
      </c>
      <c r="S437" s="42" t="inlineStr">
        <is>
          <t>서울 서초구</t>
        </is>
      </c>
      <c r="T437" s="41" t="inlineStr">
        <is>
          <t>23.09.18</t>
        </is>
      </c>
      <c r="U437" s="42" t="inlineStr">
        <is>
          <t>아파트</t>
        </is>
      </c>
    </row>
    <row r="438" hidden="1" ht="15" customHeight="1">
      <c r="A438" s="41" t="n">
        <v>434</v>
      </c>
      <c r="B438" s="42" t="inlineStr">
        <is>
          <t>서울특별시 서초구 서초동</t>
        </is>
      </c>
      <c r="C438" s="41" t="inlineStr">
        <is>
          <t>1685</t>
        </is>
      </c>
      <c r="D438" s="41" t="inlineStr">
        <is>
          <t>1685</t>
        </is>
      </c>
      <c r="E438" s="41" t="inlineStr">
        <is>
          <t>0000</t>
        </is>
      </c>
      <c r="F438" s="42" t="inlineStr">
        <is>
          <t>삼풍아파트</t>
        </is>
      </c>
      <c r="G438" s="41" t="inlineStr">
        <is>
          <t>130.7300</t>
        </is>
      </c>
      <c r="H438" s="41" t="inlineStr">
        <is>
          <t>202306</t>
        </is>
      </c>
      <c r="I438" s="41" t="inlineStr">
        <is>
          <t>02</t>
        </is>
      </c>
      <c r="J438" s="41" t="inlineStr">
        <is>
          <t>305,000</t>
        </is>
      </c>
      <c r="K438" s="41" t="inlineStr">
        <is>
          <t>10</t>
        </is>
      </c>
      <c r="L438" s="41" t="inlineStr">
        <is>
          <t>14</t>
        </is>
      </c>
      <c r="M438" s="41" t="inlineStr">
        <is>
          <t>-</t>
        </is>
      </c>
      <c r="N438" s="41" t="inlineStr">
        <is>
          <t>-</t>
        </is>
      </c>
      <c r="O438" s="41" t="inlineStr">
        <is>
          <t>1988</t>
        </is>
      </c>
      <c r="P438" s="42" t="inlineStr">
        <is>
          <t>서초중앙로 200</t>
        </is>
      </c>
      <c r="Q438" s="41" t="inlineStr">
        <is>
          <t>-</t>
        </is>
      </c>
      <c r="R438" s="42" t="inlineStr">
        <is>
          <t>중개거래</t>
        </is>
      </c>
      <c r="S438" s="42" t="inlineStr">
        <is>
          <t>서울 서초구</t>
        </is>
      </c>
      <c r="T438" s="41" t="inlineStr">
        <is>
          <t>23.09.04</t>
        </is>
      </c>
      <c r="U438" s="42" t="inlineStr">
        <is>
          <t>아파트</t>
        </is>
      </c>
    </row>
    <row r="439" hidden="1" ht="15" customHeight="1">
      <c r="A439" s="41" t="n">
        <v>435</v>
      </c>
      <c r="B439" s="42" t="inlineStr">
        <is>
          <t>서울특별시 서초구 서초동</t>
        </is>
      </c>
      <c r="C439" s="41" t="inlineStr">
        <is>
          <t>1326-17</t>
        </is>
      </c>
      <c r="D439" s="41" t="inlineStr">
        <is>
          <t>1326</t>
        </is>
      </c>
      <c r="E439" s="41" t="inlineStr">
        <is>
          <t>0017</t>
        </is>
      </c>
      <c r="F439" s="42" t="inlineStr">
        <is>
          <t>우성아파트</t>
        </is>
      </c>
      <c r="G439" s="41" t="inlineStr">
        <is>
          <t>59.9300</t>
        </is>
      </c>
      <c r="H439" s="41" t="inlineStr">
        <is>
          <t>202306</t>
        </is>
      </c>
      <c r="I439" s="41" t="inlineStr">
        <is>
          <t>01</t>
        </is>
      </c>
      <c r="J439" s="41" t="inlineStr">
        <is>
          <t>131,000</t>
        </is>
      </c>
      <c r="K439" s="41" t="inlineStr">
        <is>
          <t>501</t>
        </is>
      </c>
      <c r="L439" s="41" t="inlineStr">
        <is>
          <t>4</t>
        </is>
      </c>
      <c r="M439" s="41" t="inlineStr">
        <is>
          <t>-</t>
        </is>
      </c>
      <c r="N439" s="41" t="inlineStr">
        <is>
          <t>-</t>
        </is>
      </c>
      <c r="O439" s="41" t="inlineStr">
        <is>
          <t>1998</t>
        </is>
      </c>
      <c r="P439" s="42" t="inlineStr">
        <is>
          <t>서초대로74길 30</t>
        </is>
      </c>
      <c r="Q439" s="41" t="inlineStr">
        <is>
          <t>-</t>
        </is>
      </c>
      <c r="R439" s="42" t="inlineStr">
        <is>
          <t>중개거래</t>
        </is>
      </c>
      <c r="S439" s="42" t="inlineStr">
        <is>
          <t>서울 강남구 서울 서초구</t>
        </is>
      </c>
      <c r="T439" s="41" t="inlineStr">
        <is>
          <t>23.06.15</t>
        </is>
      </c>
      <c r="U439" s="42" t="inlineStr">
        <is>
          <t>아파트</t>
        </is>
      </c>
    </row>
    <row r="440" hidden="1" ht="15" customHeight="1">
      <c r="A440" s="41" t="n">
        <v>436</v>
      </c>
      <c r="B440" s="42" t="inlineStr">
        <is>
          <t>서울특별시 서초구 서초동</t>
        </is>
      </c>
      <c r="C440" s="41" t="inlineStr">
        <is>
          <t>1671-5</t>
        </is>
      </c>
      <c r="D440" s="41" t="inlineStr">
        <is>
          <t>1671</t>
        </is>
      </c>
      <c r="E440" s="41" t="inlineStr">
        <is>
          <t>0005</t>
        </is>
      </c>
      <c r="F440" s="42" t="inlineStr">
        <is>
          <t>대림서초리시온</t>
        </is>
      </c>
      <c r="G440" s="41" t="inlineStr">
        <is>
          <t>49.9200</t>
        </is>
      </c>
      <c r="H440" s="41" t="inlineStr">
        <is>
          <t>202306</t>
        </is>
      </c>
      <c r="I440" s="41" t="inlineStr">
        <is>
          <t>01</t>
        </is>
      </c>
      <c r="J440" s="41" t="inlineStr">
        <is>
          <t>49,700</t>
        </is>
      </c>
      <c r="K440" s="41" t="inlineStr">
        <is>
          <t>-</t>
        </is>
      </c>
      <c r="L440" s="41" t="inlineStr">
        <is>
          <t>5</t>
        </is>
      </c>
      <c r="M440" s="41" t="inlineStr">
        <is>
          <t>-</t>
        </is>
      </c>
      <c r="N440" s="41" t="inlineStr">
        <is>
          <t>-</t>
        </is>
      </c>
      <c r="O440" s="41" t="inlineStr">
        <is>
          <t>2003</t>
        </is>
      </c>
      <c r="P440" s="42" t="inlineStr">
        <is>
          <t>서초중앙로22길 25</t>
        </is>
      </c>
      <c r="Q440" s="41" t="inlineStr">
        <is>
          <t>-</t>
        </is>
      </c>
      <c r="R440" s="42" t="inlineStr">
        <is>
          <t>중개거래</t>
        </is>
      </c>
      <c r="S440" s="42" t="inlineStr">
        <is>
          <t>서울 서초구</t>
        </is>
      </c>
      <c r="T440" s="41" t="inlineStr">
        <is>
          <t>23.09.20</t>
        </is>
      </c>
      <c r="U440" s="42" t="inlineStr">
        <is>
          <t>아파트</t>
        </is>
      </c>
    </row>
    <row r="441" hidden="1" ht="15" customHeight="1">
      <c r="A441" s="41" t="n">
        <v>437</v>
      </c>
      <c r="B441" s="42" t="inlineStr">
        <is>
          <t>서울특별시 서초구 서초동</t>
        </is>
      </c>
      <c r="C441" s="41" t="inlineStr">
        <is>
          <t>1312-3</t>
        </is>
      </c>
      <c r="D441" s="41" t="inlineStr">
        <is>
          <t>1312</t>
        </is>
      </c>
      <c r="E441" s="41" t="inlineStr">
        <is>
          <t>0003</t>
        </is>
      </c>
      <c r="F441" s="42" t="inlineStr">
        <is>
          <t>롯데캐슬클래식</t>
        </is>
      </c>
      <c r="G441" s="41" t="inlineStr">
        <is>
          <t>84.9800</t>
        </is>
      </c>
      <c r="H441" s="41" t="inlineStr">
        <is>
          <t>202305</t>
        </is>
      </c>
      <c r="I441" s="41" t="inlineStr">
        <is>
          <t>31</t>
        </is>
      </c>
      <c r="J441" s="41" t="inlineStr">
        <is>
          <t>222,500</t>
        </is>
      </c>
      <c r="K441" s="41" t="inlineStr">
        <is>
          <t>101</t>
        </is>
      </c>
      <c r="L441" s="41" t="inlineStr">
        <is>
          <t>16</t>
        </is>
      </c>
      <c r="M441" s="41" t="inlineStr">
        <is>
          <t>-</t>
        </is>
      </c>
      <c r="N441" s="41" t="inlineStr">
        <is>
          <t>-</t>
        </is>
      </c>
      <c r="O441" s="41" t="inlineStr">
        <is>
          <t>2006</t>
        </is>
      </c>
      <c r="P441" s="42" t="inlineStr">
        <is>
          <t>서운로 197</t>
        </is>
      </c>
      <c r="Q441" s="41" t="inlineStr">
        <is>
          <t>-</t>
        </is>
      </c>
      <c r="R441" s="42" t="inlineStr">
        <is>
          <t>중개거래</t>
        </is>
      </c>
      <c r="S441" s="42" t="inlineStr">
        <is>
          <t>경기 의정부시 서울 서초구</t>
        </is>
      </c>
      <c r="T441" s="41" t="inlineStr">
        <is>
          <t>23.09.07</t>
        </is>
      </c>
      <c r="U441" s="42" t="inlineStr">
        <is>
          <t>아파트</t>
        </is>
      </c>
    </row>
    <row r="442" hidden="1" ht="15" customHeight="1">
      <c r="A442" s="41" t="n">
        <v>438</v>
      </c>
      <c r="B442" s="42" t="inlineStr">
        <is>
          <t>서울특별시 서초구 서초동</t>
        </is>
      </c>
      <c r="C442" s="41" t="inlineStr">
        <is>
          <t>1333</t>
        </is>
      </c>
      <c r="D442" s="41" t="inlineStr">
        <is>
          <t>1333</t>
        </is>
      </c>
      <c r="E442" s="41" t="inlineStr">
        <is>
          <t>0000</t>
        </is>
      </c>
      <c r="F442" s="42" t="inlineStr">
        <is>
          <t>신동아아파트(1차)</t>
        </is>
      </c>
      <c r="G442" s="41" t="inlineStr">
        <is>
          <t>101.6000</t>
        </is>
      </c>
      <c r="H442" s="41" t="inlineStr">
        <is>
          <t>202305</t>
        </is>
      </c>
      <c r="I442" s="41" t="inlineStr">
        <is>
          <t>31</t>
        </is>
      </c>
      <c r="J442" s="41" t="inlineStr">
        <is>
          <t>216,000</t>
        </is>
      </c>
      <c r="K442" s="41" t="inlineStr">
        <is>
          <t>3</t>
        </is>
      </c>
      <c r="L442" s="41" t="inlineStr">
        <is>
          <t>7</t>
        </is>
      </c>
      <c r="M442" s="41" t="inlineStr">
        <is>
          <t>-</t>
        </is>
      </c>
      <c r="N442" s="41" t="inlineStr">
        <is>
          <t>-</t>
        </is>
      </c>
      <c r="O442" s="41" t="inlineStr">
        <is>
          <t>1978</t>
        </is>
      </c>
      <c r="P442" s="42" t="inlineStr">
        <is>
          <t>사임당로 137</t>
        </is>
      </c>
      <c r="Q442" s="41" t="inlineStr">
        <is>
          <t>-</t>
        </is>
      </c>
      <c r="R442" s="42" t="inlineStr">
        <is>
          <t>중개거래</t>
        </is>
      </c>
      <c r="S442" s="42" t="inlineStr">
        <is>
          <t>서울 서초구</t>
        </is>
      </c>
      <c r="T442" s="41" t="inlineStr">
        <is>
          <t>23.08.21</t>
        </is>
      </c>
      <c r="U442" s="42" t="inlineStr">
        <is>
          <t>아파트</t>
        </is>
      </c>
    </row>
    <row r="443" hidden="1" ht="15" customHeight="1">
      <c r="A443" s="41" t="n">
        <v>439</v>
      </c>
      <c r="B443" s="42" t="inlineStr">
        <is>
          <t>서울특별시 서초구 서초동</t>
        </is>
      </c>
      <c r="C443" s="41" t="inlineStr">
        <is>
          <t>1754</t>
        </is>
      </c>
      <c r="D443" s="41" t="inlineStr">
        <is>
          <t>1754</t>
        </is>
      </c>
      <c r="E443" s="41" t="inlineStr">
        <is>
          <t>0000</t>
        </is>
      </c>
      <c r="F443" s="42" t="inlineStr">
        <is>
          <t>래미안서초에스티지S</t>
        </is>
      </c>
      <c r="G443" s="41" t="inlineStr">
        <is>
          <t>84.9600</t>
        </is>
      </c>
      <c r="H443" s="41" t="inlineStr">
        <is>
          <t>202305</t>
        </is>
      </c>
      <c r="I443" s="41" t="inlineStr">
        <is>
          <t>30</t>
        </is>
      </c>
      <c r="J443" s="41" t="inlineStr">
        <is>
          <t>243,500</t>
        </is>
      </c>
      <c r="K443" s="41" t="inlineStr">
        <is>
          <t>201</t>
        </is>
      </c>
      <c r="L443" s="41" t="inlineStr">
        <is>
          <t>7</t>
        </is>
      </c>
      <c r="M443" s="41" t="inlineStr">
        <is>
          <t>-</t>
        </is>
      </c>
      <c r="N443" s="41" t="inlineStr">
        <is>
          <t>-</t>
        </is>
      </c>
      <c r="O443" s="41" t="inlineStr">
        <is>
          <t>2018</t>
        </is>
      </c>
      <c r="P443" s="42" t="inlineStr">
        <is>
          <t>서운로 104</t>
        </is>
      </c>
      <c r="Q443" s="41" t="inlineStr">
        <is>
          <t>-</t>
        </is>
      </c>
      <c r="R443" s="42" t="inlineStr">
        <is>
          <t>중개거래</t>
        </is>
      </c>
      <c r="S443" s="42" t="inlineStr">
        <is>
          <t>서울 서초구</t>
        </is>
      </c>
      <c r="T443" s="41" t="inlineStr">
        <is>
          <t>23.09.11</t>
        </is>
      </c>
      <c r="U443" s="42" t="inlineStr">
        <is>
          <t>아파트</t>
        </is>
      </c>
    </row>
    <row r="444" hidden="1" ht="15" customHeight="1">
      <c r="A444" s="41" t="n">
        <v>440</v>
      </c>
      <c r="B444" s="42" t="inlineStr">
        <is>
          <t>서울특별시 서초구 서초동</t>
        </is>
      </c>
      <c r="C444" s="41" t="inlineStr">
        <is>
          <t>1754</t>
        </is>
      </c>
      <c r="D444" s="41" t="inlineStr">
        <is>
          <t>1754</t>
        </is>
      </c>
      <c r="E444" s="41" t="inlineStr">
        <is>
          <t>0000</t>
        </is>
      </c>
      <c r="F444" s="42" t="inlineStr">
        <is>
          <t>래미안서초에스티지S</t>
        </is>
      </c>
      <c r="G444" s="41" t="inlineStr">
        <is>
          <t>84.9600</t>
        </is>
      </c>
      <c r="H444" s="41" t="inlineStr">
        <is>
          <t>202305</t>
        </is>
      </c>
      <c r="I444" s="41" t="inlineStr">
        <is>
          <t>29</t>
        </is>
      </c>
      <c r="J444" s="41" t="inlineStr">
        <is>
          <t>244,000</t>
        </is>
      </c>
      <c r="K444" s="41" t="inlineStr">
        <is>
          <t>201</t>
        </is>
      </c>
      <c r="L444" s="41" t="inlineStr">
        <is>
          <t>8</t>
        </is>
      </c>
      <c r="M444" s="41" t="inlineStr">
        <is>
          <t>-</t>
        </is>
      </c>
      <c r="N444" s="41" t="inlineStr">
        <is>
          <t>-</t>
        </is>
      </c>
      <c r="O444" s="41" t="inlineStr">
        <is>
          <t>2018</t>
        </is>
      </c>
      <c r="P444" s="42" t="inlineStr">
        <is>
          <t>서운로 104</t>
        </is>
      </c>
      <c r="Q444" s="41" t="inlineStr">
        <is>
          <t>-</t>
        </is>
      </c>
      <c r="R444" s="42" t="inlineStr">
        <is>
          <t>중개거래</t>
        </is>
      </c>
      <c r="S444" s="42" t="inlineStr">
        <is>
          <t>서울 서초구</t>
        </is>
      </c>
      <c r="T444" s="41" t="inlineStr">
        <is>
          <t>23.09.26</t>
        </is>
      </c>
      <c r="U444" s="42" t="inlineStr">
        <is>
          <t>아파트</t>
        </is>
      </c>
    </row>
    <row r="445" hidden="1" ht="15" customHeight="1">
      <c r="A445" s="41" t="n">
        <v>441</v>
      </c>
      <c r="B445" s="42" t="inlineStr">
        <is>
          <t>서울특별시 서초구 서초동</t>
        </is>
      </c>
      <c r="C445" s="41" t="inlineStr">
        <is>
          <t>1326-17</t>
        </is>
      </c>
      <c r="D445" s="41" t="inlineStr">
        <is>
          <t>1326</t>
        </is>
      </c>
      <c r="E445" s="41" t="inlineStr">
        <is>
          <t>0017</t>
        </is>
      </c>
      <c r="F445" s="42" t="inlineStr">
        <is>
          <t>우성아파트</t>
        </is>
      </c>
      <c r="G445" s="41" t="inlineStr">
        <is>
          <t>84.9300</t>
        </is>
      </c>
      <c r="H445" s="41" t="inlineStr">
        <is>
          <t>202305</t>
        </is>
      </c>
      <c r="I445" s="41" t="inlineStr">
        <is>
          <t>28</t>
        </is>
      </c>
      <c r="J445" s="41" t="inlineStr">
        <is>
          <t>190,000</t>
        </is>
      </c>
      <c r="K445" s="41" t="inlineStr">
        <is>
          <t>501</t>
        </is>
      </c>
      <c r="L445" s="41" t="inlineStr">
        <is>
          <t>8</t>
        </is>
      </c>
      <c r="M445" s="41" t="inlineStr">
        <is>
          <t>-</t>
        </is>
      </c>
      <c r="N445" s="41" t="inlineStr">
        <is>
          <t>-</t>
        </is>
      </c>
      <c r="O445" s="41" t="inlineStr">
        <is>
          <t>1998</t>
        </is>
      </c>
      <c r="P445" s="42" t="inlineStr">
        <is>
          <t>서초대로74길 30</t>
        </is>
      </c>
      <c r="Q445" s="41" t="inlineStr">
        <is>
          <t>-</t>
        </is>
      </c>
      <c r="R445" s="42" t="inlineStr">
        <is>
          <t>중개거래</t>
        </is>
      </c>
      <c r="S445" s="42" t="inlineStr">
        <is>
          <t>서울 강남구 서울 서초구</t>
        </is>
      </c>
      <c r="T445" s="41" t="inlineStr">
        <is>
          <t>23.10.20</t>
        </is>
      </c>
      <c r="U445" s="42" t="inlineStr">
        <is>
          <t>아파트</t>
        </is>
      </c>
    </row>
    <row r="446" hidden="1" ht="15" customHeight="1">
      <c r="A446" s="41" t="n">
        <v>442</v>
      </c>
      <c r="B446" s="42" t="inlineStr">
        <is>
          <t>서울특별시 서초구 서초동</t>
        </is>
      </c>
      <c r="C446" s="41" t="inlineStr">
        <is>
          <t>1675-11</t>
        </is>
      </c>
      <c r="D446" s="41" t="inlineStr">
        <is>
          <t>1675</t>
        </is>
      </c>
      <c r="E446" s="41" t="inlineStr">
        <is>
          <t>0011</t>
        </is>
      </c>
      <c r="F446" s="42" t="inlineStr">
        <is>
          <t>서초대우아이빌</t>
        </is>
      </c>
      <c r="G446" s="41" t="inlineStr">
        <is>
          <t>37.7770</t>
        </is>
      </c>
      <c r="H446" s="41" t="inlineStr">
        <is>
          <t>202305</t>
        </is>
      </c>
      <c r="I446" s="41" t="inlineStr">
        <is>
          <t>27</t>
        </is>
      </c>
      <c r="J446" s="41" t="inlineStr">
        <is>
          <t>32,300</t>
        </is>
      </c>
      <c r="K446" s="42" t="inlineStr">
        <is>
          <t>서초 대우아이빌</t>
        </is>
      </c>
      <c r="L446" s="41" t="inlineStr">
        <is>
          <t>10</t>
        </is>
      </c>
      <c r="M446" s="41" t="inlineStr">
        <is>
          <t>-</t>
        </is>
      </c>
      <c r="N446" s="41" t="inlineStr">
        <is>
          <t>-</t>
        </is>
      </c>
      <c r="O446" s="41" t="inlineStr">
        <is>
          <t>2003</t>
        </is>
      </c>
      <c r="P446" s="42" t="inlineStr">
        <is>
          <t>서초대로58길 10</t>
        </is>
      </c>
      <c r="Q446" s="41" t="inlineStr">
        <is>
          <t>-</t>
        </is>
      </c>
      <c r="R446" s="42" t="inlineStr">
        <is>
          <t>중개거래</t>
        </is>
      </c>
      <c r="S446" s="42" t="inlineStr">
        <is>
          <t>서울 서초구</t>
        </is>
      </c>
      <c r="T446" s="41" t="inlineStr">
        <is>
          <t>23.08.21</t>
        </is>
      </c>
      <c r="U446" s="42" t="inlineStr">
        <is>
          <t>아파트</t>
        </is>
      </c>
    </row>
    <row r="447" hidden="1" ht="15" customHeight="1">
      <c r="A447" s="41" t="n">
        <v>443</v>
      </c>
      <c r="B447" s="42" t="inlineStr">
        <is>
          <t>서울특별시 서초구 서초동</t>
        </is>
      </c>
      <c r="C447" s="41" t="inlineStr">
        <is>
          <t>1682</t>
        </is>
      </c>
      <c r="D447" s="41" t="inlineStr">
        <is>
          <t>1682</t>
        </is>
      </c>
      <c r="E447" s="41" t="inlineStr">
        <is>
          <t>0000</t>
        </is>
      </c>
      <c r="F447" s="42" t="inlineStr">
        <is>
          <t>서초래미안</t>
        </is>
      </c>
      <c r="G447" s="41" t="inlineStr">
        <is>
          <t>111.3200</t>
        </is>
      </c>
      <c r="H447" s="41" t="inlineStr">
        <is>
          <t>202305</t>
        </is>
      </c>
      <c r="I447" s="41" t="inlineStr">
        <is>
          <t>27</t>
        </is>
      </c>
      <c r="J447" s="41" t="inlineStr">
        <is>
          <t>210,000</t>
        </is>
      </c>
      <c r="K447" s="41" t="inlineStr">
        <is>
          <t>103</t>
        </is>
      </c>
      <c r="L447" s="41" t="inlineStr">
        <is>
          <t>2</t>
        </is>
      </c>
      <c r="M447" s="41" t="inlineStr">
        <is>
          <t>-</t>
        </is>
      </c>
      <c r="N447" s="41" t="inlineStr">
        <is>
          <t>-</t>
        </is>
      </c>
      <c r="O447" s="41" t="inlineStr">
        <is>
          <t>2003</t>
        </is>
      </c>
      <c r="P447" s="42" t="inlineStr">
        <is>
          <t>서초대로65길 13-10</t>
        </is>
      </c>
      <c r="Q447" s="41" t="inlineStr">
        <is>
          <t>-</t>
        </is>
      </c>
      <c r="R447" s="42" t="inlineStr">
        <is>
          <t>중개거래</t>
        </is>
      </c>
      <c r="S447" s="42" t="inlineStr">
        <is>
          <t>서울 서초구</t>
        </is>
      </c>
      <c r="T447" s="41" t="inlineStr">
        <is>
          <t>23.11.30</t>
        </is>
      </c>
      <c r="U447" s="42" t="inlineStr">
        <is>
          <t>아파트</t>
        </is>
      </c>
    </row>
    <row r="448" hidden="1" ht="15" customHeight="1">
      <c r="A448" s="41" t="n">
        <v>444</v>
      </c>
      <c r="B448" s="42" t="inlineStr">
        <is>
          <t>서울특별시 서초구 서초동</t>
        </is>
      </c>
      <c r="C448" s="41" t="inlineStr">
        <is>
          <t>1445-4</t>
        </is>
      </c>
      <c r="D448" s="41" t="inlineStr">
        <is>
          <t>1445</t>
        </is>
      </c>
      <c r="E448" s="41" t="inlineStr">
        <is>
          <t>0004</t>
        </is>
      </c>
      <c r="F448" s="42" t="inlineStr">
        <is>
          <t>래미안서초유니빌</t>
        </is>
      </c>
      <c r="G448" s="41" t="inlineStr">
        <is>
          <t>56.3440</t>
        </is>
      </c>
      <c r="H448" s="41" t="inlineStr">
        <is>
          <t>202305</t>
        </is>
      </c>
      <c r="I448" s="41" t="inlineStr">
        <is>
          <t>26</t>
        </is>
      </c>
      <c r="J448" s="41" t="inlineStr">
        <is>
          <t>60,000</t>
        </is>
      </c>
      <c r="K448" s="41" t="inlineStr">
        <is>
          <t>-</t>
        </is>
      </c>
      <c r="L448" s="41" t="inlineStr">
        <is>
          <t>4</t>
        </is>
      </c>
      <c r="M448" s="41" t="inlineStr">
        <is>
          <t>-</t>
        </is>
      </c>
      <c r="N448" s="41" t="inlineStr">
        <is>
          <t>-</t>
        </is>
      </c>
      <c r="O448" s="41" t="inlineStr">
        <is>
          <t>2003</t>
        </is>
      </c>
      <c r="P448" s="42" t="inlineStr">
        <is>
          <t>서초중앙로 26</t>
        </is>
      </c>
      <c r="Q448" s="41" t="inlineStr">
        <is>
          <t>20230608</t>
        </is>
      </c>
      <c r="R448" s="42" t="inlineStr">
        <is>
          <t>직거래</t>
        </is>
      </c>
      <c r="S448" s="41" t="inlineStr">
        <is>
          <t>-</t>
        </is>
      </c>
      <c r="T448" s="41" t="inlineStr">
        <is>
          <t>-</t>
        </is>
      </c>
      <c r="U448" s="42" t="inlineStr">
        <is>
          <t>아파트</t>
        </is>
      </c>
    </row>
    <row r="449" hidden="1" ht="15" customHeight="1">
      <c r="A449" s="41" t="n">
        <v>445</v>
      </c>
      <c r="B449" s="42" t="inlineStr">
        <is>
          <t>서울특별시 서초구 서초동</t>
        </is>
      </c>
      <c r="C449" s="41" t="inlineStr">
        <is>
          <t>1755</t>
        </is>
      </c>
      <c r="D449" s="41" t="inlineStr">
        <is>
          <t>1755</t>
        </is>
      </c>
      <c r="E449" s="41" t="inlineStr">
        <is>
          <t>0000</t>
        </is>
      </c>
      <c r="F449" s="42" t="inlineStr">
        <is>
          <t>래미안 리더스원</t>
        </is>
      </c>
      <c r="G449" s="41" t="inlineStr">
        <is>
          <t>114.7000</t>
        </is>
      </c>
      <c r="H449" s="41" t="inlineStr">
        <is>
          <t>202305</t>
        </is>
      </c>
      <c r="I449" s="41" t="inlineStr">
        <is>
          <t>26</t>
        </is>
      </c>
      <c r="J449" s="41" t="inlineStr">
        <is>
          <t>360,000</t>
        </is>
      </c>
      <c r="K449" s="41" t="inlineStr">
        <is>
          <t>107동</t>
        </is>
      </c>
      <c r="L449" s="41" t="inlineStr">
        <is>
          <t>4</t>
        </is>
      </c>
      <c r="M449" s="41" t="inlineStr">
        <is>
          <t>-</t>
        </is>
      </c>
      <c r="N449" s="41" t="inlineStr">
        <is>
          <t>-</t>
        </is>
      </c>
      <c r="O449" s="41" t="inlineStr">
        <is>
          <t>2020</t>
        </is>
      </c>
      <c r="P449" s="42" t="inlineStr">
        <is>
          <t>서운로 62</t>
        </is>
      </c>
      <c r="Q449" s="41" t="inlineStr">
        <is>
          <t>-</t>
        </is>
      </c>
      <c r="R449" s="42" t="inlineStr">
        <is>
          <t>중개거래</t>
        </is>
      </c>
      <c r="S449" s="42" t="inlineStr">
        <is>
          <t>서울 서초구</t>
        </is>
      </c>
      <c r="T449" s="41" t="inlineStr">
        <is>
          <t>23.07.05</t>
        </is>
      </c>
      <c r="U449" s="42" t="inlineStr">
        <is>
          <t>아파트</t>
        </is>
      </c>
    </row>
    <row r="450" hidden="1" ht="15" customHeight="1">
      <c r="A450" s="41" t="n">
        <v>446</v>
      </c>
      <c r="B450" s="42" t="inlineStr">
        <is>
          <t>서울특별시 서초구 서초동</t>
        </is>
      </c>
      <c r="C450" s="41" t="inlineStr">
        <is>
          <t>1755</t>
        </is>
      </c>
      <c r="D450" s="41" t="inlineStr">
        <is>
          <t>1755</t>
        </is>
      </c>
      <c r="E450" s="41" t="inlineStr">
        <is>
          <t>0000</t>
        </is>
      </c>
      <c r="F450" s="42" t="inlineStr">
        <is>
          <t>래미안 리더스원</t>
        </is>
      </c>
      <c r="G450" s="41" t="inlineStr">
        <is>
          <t>74.9300</t>
        </is>
      </c>
      <c r="H450" s="41" t="inlineStr">
        <is>
          <t>202305</t>
        </is>
      </c>
      <c r="I450" s="41" t="inlineStr">
        <is>
          <t>25</t>
        </is>
      </c>
      <c r="J450" s="41" t="inlineStr">
        <is>
          <t>240,000</t>
        </is>
      </c>
      <c r="K450" s="41" t="inlineStr">
        <is>
          <t>108동</t>
        </is>
      </c>
      <c r="L450" s="41" t="inlineStr">
        <is>
          <t>23</t>
        </is>
      </c>
      <c r="M450" s="41" t="inlineStr">
        <is>
          <t>-</t>
        </is>
      </c>
      <c r="N450" s="41" t="inlineStr">
        <is>
          <t>-</t>
        </is>
      </c>
      <c r="O450" s="41" t="inlineStr">
        <is>
          <t>2020</t>
        </is>
      </c>
      <c r="P450" s="42" t="inlineStr">
        <is>
          <t>서운로 62</t>
        </is>
      </c>
      <c r="Q450" s="41" t="inlineStr">
        <is>
          <t>-</t>
        </is>
      </c>
      <c r="R450" s="42" t="inlineStr">
        <is>
          <t>중개거래</t>
        </is>
      </c>
      <c r="S450" s="42" t="inlineStr">
        <is>
          <t>서울 서초구</t>
        </is>
      </c>
      <c r="T450" s="41" t="inlineStr">
        <is>
          <t>24.05.10</t>
        </is>
      </c>
      <c r="U450" s="42" t="inlineStr">
        <is>
          <t>아파트</t>
        </is>
      </c>
    </row>
    <row r="451" hidden="1" ht="15" customHeight="1">
      <c r="A451" s="41" t="n">
        <v>447</v>
      </c>
      <c r="B451" s="42" t="inlineStr">
        <is>
          <t>서울특별시 서초구 서초동</t>
        </is>
      </c>
      <c r="C451" s="41" t="inlineStr">
        <is>
          <t>1755</t>
        </is>
      </c>
      <c r="D451" s="41" t="inlineStr">
        <is>
          <t>1755</t>
        </is>
      </c>
      <c r="E451" s="41" t="inlineStr">
        <is>
          <t>0000</t>
        </is>
      </c>
      <c r="F451" s="42" t="inlineStr">
        <is>
          <t>래미안 리더스원</t>
        </is>
      </c>
      <c r="G451" s="41" t="inlineStr">
        <is>
          <t>74.9300</t>
        </is>
      </c>
      <c r="H451" s="41" t="inlineStr">
        <is>
          <t>202305</t>
        </is>
      </c>
      <c r="I451" s="41" t="inlineStr">
        <is>
          <t>25</t>
        </is>
      </c>
      <c r="J451" s="41" t="inlineStr">
        <is>
          <t>240,000</t>
        </is>
      </c>
      <c r="K451" s="41" t="inlineStr">
        <is>
          <t>-</t>
        </is>
      </c>
      <c r="L451" s="41" t="inlineStr">
        <is>
          <t>23</t>
        </is>
      </c>
      <c r="M451" s="41" t="inlineStr">
        <is>
          <t>-</t>
        </is>
      </c>
      <c r="N451" s="41" t="inlineStr">
        <is>
          <t>-</t>
        </is>
      </c>
      <c r="O451" s="41" t="inlineStr">
        <is>
          <t>2020</t>
        </is>
      </c>
      <c r="P451" s="42" t="inlineStr">
        <is>
          <t>서운로 62</t>
        </is>
      </c>
      <c r="Q451" s="41" t="inlineStr">
        <is>
          <t>20240509</t>
        </is>
      </c>
      <c r="R451" s="42" t="inlineStr">
        <is>
          <t>중개거래</t>
        </is>
      </c>
      <c r="S451" s="42" t="inlineStr">
        <is>
          <t>서울 서초구</t>
        </is>
      </c>
      <c r="T451" s="41" t="inlineStr">
        <is>
          <t>-</t>
        </is>
      </c>
      <c r="U451" s="42" t="inlineStr">
        <is>
          <t>아파트</t>
        </is>
      </c>
    </row>
    <row r="452" hidden="1" ht="15" customHeight="1">
      <c r="A452" s="41" t="n">
        <v>448</v>
      </c>
      <c r="B452" s="42" t="inlineStr">
        <is>
          <t>서울특별시 서초구 서초동</t>
        </is>
      </c>
      <c r="C452" s="41" t="inlineStr">
        <is>
          <t>1333</t>
        </is>
      </c>
      <c r="D452" s="41" t="inlineStr">
        <is>
          <t>1333</t>
        </is>
      </c>
      <c r="E452" s="41" t="inlineStr">
        <is>
          <t>0000</t>
        </is>
      </c>
      <c r="F452" s="42" t="inlineStr">
        <is>
          <t>신동아아파트(1차)</t>
        </is>
      </c>
      <c r="G452" s="41" t="inlineStr">
        <is>
          <t>132.1000</t>
        </is>
      </c>
      <c r="H452" s="41" t="inlineStr">
        <is>
          <t>202305</t>
        </is>
      </c>
      <c r="I452" s="41" t="inlineStr">
        <is>
          <t>23</t>
        </is>
      </c>
      <c r="J452" s="41" t="inlineStr">
        <is>
          <t>265,000</t>
        </is>
      </c>
      <c r="K452" s="41" t="inlineStr">
        <is>
          <t>2</t>
        </is>
      </c>
      <c r="L452" s="41" t="inlineStr">
        <is>
          <t>11</t>
        </is>
      </c>
      <c r="M452" s="41" t="inlineStr">
        <is>
          <t>-</t>
        </is>
      </c>
      <c r="N452" s="41" t="inlineStr">
        <is>
          <t>-</t>
        </is>
      </c>
      <c r="O452" s="41" t="inlineStr">
        <is>
          <t>1978</t>
        </is>
      </c>
      <c r="P452" s="42" t="inlineStr">
        <is>
          <t>사임당로 137</t>
        </is>
      </c>
      <c r="Q452" s="41" t="inlineStr">
        <is>
          <t>-</t>
        </is>
      </c>
      <c r="R452" s="42" t="inlineStr">
        <is>
          <t>중개거래</t>
        </is>
      </c>
      <c r="S452" s="42" t="inlineStr">
        <is>
          <t>서울 강남구 서울 서초구</t>
        </is>
      </c>
      <c r="T452" s="41" t="inlineStr">
        <is>
          <t>23.06.27</t>
        </is>
      </c>
      <c r="U452" s="42" t="inlineStr">
        <is>
          <t>아파트</t>
        </is>
      </c>
    </row>
    <row r="453" hidden="1" ht="15" customHeight="1">
      <c r="A453" s="41" t="n">
        <v>449</v>
      </c>
      <c r="B453" s="42" t="inlineStr">
        <is>
          <t>서울특별시 서초구 서초동</t>
        </is>
      </c>
      <c r="C453" s="41" t="inlineStr">
        <is>
          <t>1326-17</t>
        </is>
      </c>
      <c r="D453" s="41" t="inlineStr">
        <is>
          <t>1326</t>
        </is>
      </c>
      <c r="E453" s="41" t="inlineStr">
        <is>
          <t>0017</t>
        </is>
      </c>
      <c r="F453" s="42" t="inlineStr">
        <is>
          <t>우성아파트</t>
        </is>
      </c>
      <c r="G453" s="41" t="inlineStr">
        <is>
          <t>59.9300</t>
        </is>
      </c>
      <c r="H453" s="41" t="inlineStr">
        <is>
          <t>202305</t>
        </is>
      </c>
      <c r="I453" s="41" t="inlineStr">
        <is>
          <t>23</t>
        </is>
      </c>
      <c r="J453" s="41" t="inlineStr">
        <is>
          <t>131,000</t>
        </is>
      </c>
      <c r="K453" s="41" t="inlineStr">
        <is>
          <t>501</t>
        </is>
      </c>
      <c r="L453" s="41" t="inlineStr">
        <is>
          <t>16</t>
        </is>
      </c>
      <c r="M453" s="41" t="inlineStr">
        <is>
          <t>-</t>
        </is>
      </c>
      <c r="N453" s="41" t="inlineStr">
        <is>
          <t>-</t>
        </is>
      </c>
      <c r="O453" s="41" t="inlineStr">
        <is>
          <t>1998</t>
        </is>
      </c>
      <c r="P453" s="42" t="inlineStr">
        <is>
          <t>서초대로74길 30</t>
        </is>
      </c>
      <c r="Q453" s="41" t="inlineStr">
        <is>
          <t>-</t>
        </is>
      </c>
      <c r="R453" s="42" t="inlineStr">
        <is>
          <t>중개거래</t>
        </is>
      </c>
      <c r="S453" s="42" t="inlineStr">
        <is>
          <t>서울 서초구</t>
        </is>
      </c>
      <c r="T453" s="41" t="inlineStr">
        <is>
          <t>23.08.29</t>
        </is>
      </c>
      <c r="U453" s="42" t="inlineStr">
        <is>
          <t>아파트</t>
        </is>
      </c>
    </row>
    <row r="454" hidden="1" ht="15" customHeight="1">
      <c r="A454" s="41" t="n">
        <v>450</v>
      </c>
      <c r="B454" s="42" t="inlineStr">
        <is>
          <t>서울특별시 서초구 서초동</t>
        </is>
      </c>
      <c r="C454" s="41" t="inlineStr">
        <is>
          <t>1333</t>
        </is>
      </c>
      <c r="D454" s="41" t="inlineStr">
        <is>
          <t>1333</t>
        </is>
      </c>
      <c r="E454" s="41" t="inlineStr">
        <is>
          <t>0000</t>
        </is>
      </c>
      <c r="F454" s="42" t="inlineStr">
        <is>
          <t>신동아아파트(1차)</t>
        </is>
      </c>
      <c r="G454" s="41" t="inlineStr">
        <is>
          <t>88.6800</t>
        </is>
      </c>
      <c r="H454" s="41" t="inlineStr">
        <is>
          <t>202305</t>
        </is>
      </c>
      <c r="I454" s="41" t="inlineStr">
        <is>
          <t>23</t>
        </is>
      </c>
      <c r="J454" s="41" t="inlineStr">
        <is>
          <t>184,000</t>
        </is>
      </c>
      <c r="K454" s="41" t="inlineStr">
        <is>
          <t>1</t>
        </is>
      </c>
      <c r="L454" s="41" t="inlineStr">
        <is>
          <t>6</t>
        </is>
      </c>
      <c r="M454" s="41" t="inlineStr">
        <is>
          <t>-</t>
        </is>
      </c>
      <c r="N454" s="41" t="inlineStr">
        <is>
          <t>-</t>
        </is>
      </c>
      <c r="O454" s="41" t="inlineStr">
        <is>
          <t>1978</t>
        </is>
      </c>
      <c r="P454" s="42" t="inlineStr">
        <is>
          <t>사임당로 137</t>
        </is>
      </c>
      <c r="Q454" s="41" t="inlineStr">
        <is>
          <t>-</t>
        </is>
      </c>
      <c r="R454" s="42" t="inlineStr">
        <is>
          <t>중개거래</t>
        </is>
      </c>
      <c r="S454" s="42" t="inlineStr">
        <is>
          <t>서울 서초구</t>
        </is>
      </c>
      <c r="T454" s="41" t="inlineStr">
        <is>
          <t>23.08.30</t>
        </is>
      </c>
      <c r="U454" s="42" t="inlineStr">
        <is>
          <t>아파트</t>
        </is>
      </c>
    </row>
    <row r="455" hidden="1" ht="15" customHeight="1">
      <c r="A455" s="41" t="n">
        <v>451</v>
      </c>
      <c r="B455" s="42" t="inlineStr">
        <is>
          <t>서울특별시 서초구 서초동</t>
        </is>
      </c>
      <c r="C455" s="41" t="inlineStr">
        <is>
          <t>1757</t>
        </is>
      </c>
      <c r="D455" s="41" t="inlineStr">
        <is>
          <t>1757</t>
        </is>
      </c>
      <c r="E455" s="41" t="inlineStr">
        <is>
          <t>0000</t>
        </is>
      </c>
      <c r="F455" s="42" t="inlineStr">
        <is>
          <t>서초그랑자이</t>
        </is>
      </c>
      <c r="G455" s="41" t="inlineStr">
        <is>
          <t>84.5100</t>
        </is>
      </c>
      <c r="H455" s="41" t="inlineStr">
        <is>
          <t>202305</t>
        </is>
      </c>
      <c r="I455" s="41" t="inlineStr">
        <is>
          <t>23</t>
        </is>
      </c>
      <c r="J455" s="41" t="inlineStr">
        <is>
          <t>299,000</t>
        </is>
      </c>
      <c r="K455" s="41" t="inlineStr">
        <is>
          <t>109동</t>
        </is>
      </c>
      <c r="L455" s="41" t="inlineStr">
        <is>
          <t>28</t>
        </is>
      </c>
      <c r="M455" s="41" t="inlineStr">
        <is>
          <t>-</t>
        </is>
      </c>
      <c r="N455" s="41" t="inlineStr">
        <is>
          <t>-</t>
        </is>
      </c>
      <c r="O455" s="41" t="inlineStr">
        <is>
          <t>2021</t>
        </is>
      </c>
      <c r="P455" s="42" t="inlineStr">
        <is>
          <t>효령로 391</t>
        </is>
      </c>
      <c r="Q455" s="41" t="inlineStr">
        <is>
          <t>-</t>
        </is>
      </c>
      <c r="R455" s="42" t="inlineStr">
        <is>
          <t>중개거래</t>
        </is>
      </c>
      <c r="S455" s="42" t="inlineStr">
        <is>
          <t>대전 서구 서울 서초구</t>
        </is>
      </c>
      <c r="T455" s="41" t="inlineStr">
        <is>
          <t>23.07.31</t>
        </is>
      </c>
      <c r="U455" s="42" t="inlineStr">
        <is>
          <t>아파트</t>
        </is>
      </c>
    </row>
    <row r="456" hidden="1" ht="15" customHeight="1">
      <c r="A456" s="41" t="n">
        <v>452</v>
      </c>
      <c r="B456" s="42" t="inlineStr">
        <is>
          <t>서울특별시 서초구 서초동</t>
        </is>
      </c>
      <c r="C456" s="41" t="inlineStr">
        <is>
          <t>1681-8</t>
        </is>
      </c>
      <c r="D456" s="41" t="inlineStr">
        <is>
          <t>1681</t>
        </is>
      </c>
      <c r="E456" s="41" t="inlineStr">
        <is>
          <t>0008</t>
        </is>
      </c>
      <c r="F456" s="42" t="inlineStr">
        <is>
          <t>서초롯데캐슬프레지던트</t>
        </is>
      </c>
      <c r="G456" s="41" t="inlineStr">
        <is>
          <t>84.9700</t>
        </is>
      </c>
      <c r="H456" s="41" t="inlineStr">
        <is>
          <t>202305</t>
        </is>
      </c>
      <c r="I456" s="41" t="inlineStr">
        <is>
          <t>22</t>
        </is>
      </c>
      <c r="J456" s="41" t="inlineStr">
        <is>
          <t>214,000</t>
        </is>
      </c>
      <c r="K456" s="41" t="inlineStr">
        <is>
          <t>103</t>
        </is>
      </c>
      <c r="L456" s="41" t="inlineStr">
        <is>
          <t>9</t>
        </is>
      </c>
      <c r="M456" s="41" t="inlineStr">
        <is>
          <t>-</t>
        </is>
      </c>
      <c r="N456" s="41" t="inlineStr">
        <is>
          <t>-</t>
        </is>
      </c>
      <c r="O456" s="41" t="inlineStr">
        <is>
          <t>2014</t>
        </is>
      </c>
      <c r="P456" s="42" t="inlineStr">
        <is>
          <t>서초중앙로24길 57</t>
        </is>
      </c>
      <c r="Q456" s="41" t="inlineStr">
        <is>
          <t>-</t>
        </is>
      </c>
      <c r="R456" s="42" t="inlineStr">
        <is>
          <t>중개거래</t>
        </is>
      </c>
      <c r="S456" s="42" t="inlineStr">
        <is>
          <t>서울 서초구</t>
        </is>
      </c>
      <c r="T456" s="41" t="inlineStr">
        <is>
          <t>23.09.01</t>
        </is>
      </c>
      <c r="U456" s="42" t="inlineStr">
        <is>
          <t>아파트</t>
        </is>
      </c>
    </row>
    <row r="457" hidden="1" ht="15" customHeight="1">
      <c r="A457" s="41" t="n">
        <v>453</v>
      </c>
      <c r="B457" s="42" t="inlineStr">
        <is>
          <t>서울특별시 서초구 서초동</t>
        </is>
      </c>
      <c r="C457" s="41" t="inlineStr">
        <is>
          <t>1446-11</t>
        </is>
      </c>
      <c r="D457" s="41" t="inlineStr">
        <is>
          <t>1446</t>
        </is>
      </c>
      <c r="E457" s="41" t="inlineStr">
        <is>
          <t>0011</t>
        </is>
      </c>
      <c r="F457" s="42" t="inlineStr">
        <is>
          <t>현대슈퍼빌</t>
        </is>
      </c>
      <c r="G457" s="41" t="inlineStr">
        <is>
          <t>153.9300</t>
        </is>
      </c>
      <c r="H457" s="41" t="inlineStr">
        <is>
          <t>202305</t>
        </is>
      </c>
      <c r="I457" s="41" t="inlineStr">
        <is>
          <t>22</t>
        </is>
      </c>
      <c r="J457" s="41" t="inlineStr">
        <is>
          <t>249,000</t>
        </is>
      </c>
      <c r="K457" s="41" t="inlineStr">
        <is>
          <t>D</t>
        </is>
      </c>
      <c r="L457" s="41" t="inlineStr">
        <is>
          <t>5</t>
        </is>
      </c>
      <c r="M457" s="41" t="inlineStr">
        <is>
          <t>-</t>
        </is>
      </c>
      <c r="N457" s="41" t="inlineStr">
        <is>
          <t>-</t>
        </is>
      </c>
      <c r="O457" s="41" t="inlineStr">
        <is>
          <t>2003</t>
        </is>
      </c>
      <c r="P457" s="42" t="inlineStr">
        <is>
          <t>서초중앙로 15</t>
        </is>
      </c>
      <c r="Q457" s="41" t="inlineStr">
        <is>
          <t>-</t>
        </is>
      </c>
      <c r="R457" s="42" t="inlineStr">
        <is>
          <t>중개거래</t>
        </is>
      </c>
      <c r="S457" s="42" t="inlineStr">
        <is>
          <t>서울 서초구</t>
        </is>
      </c>
      <c r="T457" s="41" t="inlineStr">
        <is>
          <t>23.11.20</t>
        </is>
      </c>
      <c r="U457" s="42" t="inlineStr">
        <is>
          <t>아파트</t>
        </is>
      </c>
    </row>
    <row r="458" hidden="1" ht="15" customHeight="1">
      <c r="A458" s="41" t="n">
        <v>454</v>
      </c>
      <c r="B458" s="42" t="inlineStr">
        <is>
          <t>서울특별시 서초구 서초동</t>
        </is>
      </c>
      <c r="C458" s="41" t="inlineStr">
        <is>
          <t>1687</t>
        </is>
      </c>
      <c r="D458" s="41" t="inlineStr">
        <is>
          <t>1687</t>
        </is>
      </c>
      <c r="E458" s="41" t="inlineStr">
        <is>
          <t>0000</t>
        </is>
      </c>
      <c r="F458" s="42" t="inlineStr">
        <is>
          <t>유원서초</t>
        </is>
      </c>
      <c r="G458" s="41" t="inlineStr">
        <is>
          <t>84.8200</t>
        </is>
      </c>
      <c r="H458" s="41" t="inlineStr">
        <is>
          <t>202305</t>
        </is>
      </c>
      <c r="I458" s="41" t="inlineStr">
        <is>
          <t>22</t>
        </is>
      </c>
      <c r="J458" s="41" t="inlineStr">
        <is>
          <t>173,800</t>
        </is>
      </c>
      <c r="K458" s="41" t="inlineStr">
        <is>
          <t>101</t>
        </is>
      </c>
      <c r="L458" s="41" t="inlineStr">
        <is>
          <t>13</t>
        </is>
      </c>
      <c r="M458" s="41" t="inlineStr">
        <is>
          <t>-</t>
        </is>
      </c>
      <c r="N458" s="41" t="inlineStr">
        <is>
          <t>-</t>
        </is>
      </c>
      <c r="O458" s="41" t="inlineStr">
        <is>
          <t>1993</t>
        </is>
      </c>
      <c r="P458" s="42" t="inlineStr">
        <is>
          <t>서초중앙로24길 43</t>
        </is>
      </c>
      <c r="Q458" s="41" t="inlineStr">
        <is>
          <t>-</t>
        </is>
      </c>
      <c r="R458" s="42" t="inlineStr">
        <is>
          <t>중개거래</t>
        </is>
      </c>
      <c r="S458" s="42" t="inlineStr">
        <is>
          <t>서울 서초구 서울 영등포구</t>
        </is>
      </c>
      <c r="T458" s="41" t="inlineStr">
        <is>
          <t>23.08.17</t>
        </is>
      </c>
      <c r="U458" s="42" t="inlineStr">
        <is>
          <t>아파트</t>
        </is>
      </c>
    </row>
    <row r="459" hidden="1" ht="15" customHeight="1">
      <c r="A459" s="41" t="n">
        <v>455</v>
      </c>
      <c r="B459" s="42" t="inlineStr">
        <is>
          <t>서울특별시 서초구 서초동</t>
        </is>
      </c>
      <c r="C459" s="41" t="inlineStr">
        <is>
          <t>1685-3</t>
        </is>
      </c>
      <c r="D459" s="41" t="inlineStr">
        <is>
          <t>1685</t>
        </is>
      </c>
      <c r="E459" s="41" t="inlineStr">
        <is>
          <t>0003</t>
        </is>
      </c>
      <c r="F459" s="42" t="inlineStr">
        <is>
          <t>아크로비스타</t>
        </is>
      </c>
      <c r="G459" s="41" t="inlineStr">
        <is>
          <t>138.9600</t>
        </is>
      </c>
      <c r="H459" s="41" t="inlineStr">
        <is>
          <t>202305</t>
        </is>
      </c>
      <c r="I459" s="41" t="inlineStr">
        <is>
          <t>22</t>
        </is>
      </c>
      <c r="J459" s="41" t="inlineStr">
        <is>
          <t>257,000</t>
        </is>
      </c>
      <c r="K459" s="41" t="inlineStr">
        <is>
          <t>B</t>
        </is>
      </c>
      <c r="L459" s="41" t="inlineStr">
        <is>
          <t>18</t>
        </is>
      </c>
      <c r="M459" s="41" t="inlineStr">
        <is>
          <t>-</t>
        </is>
      </c>
      <c r="N459" s="41" t="inlineStr">
        <is>
          <t>-</t>
        </is>
      </c>
      <c r="O459" s="41" t="inlineStr">
        <is>
          <t>2004</t>
        </is>
      </c>
      <c r="P459" s="42" t="inlineStr">
        <is>
          <t>서초중앙로 188</t>
        </is>
      </c>
      <c r="Q459" s="41" t="inlineStr">
        <is>
          <t>-</t>
        </is>
      </c>
      <c r="R459" s="42" t="inlineStr">
        <is>
          <t>중개거래</t>
        </is>
      </c>
      <c r="S459" s="42" t="inlineStr">
        <is>
          <t>서울 서초구</t>
        </is>
      </c>
      <c r="T459" s="41" t="inlineStr">
        <is>
          <t>23.10.31</t>
        </is>
      </c>
      <c r="U459" s="42" t="inlineStr">
        <is>
          <t>아파트</t>
        </is>
      </c>
    </row>
    <row r="460" hidden="1" ht="15" customHeight="1">
      <c r="A460" s="41" t="n">
        <v>456</v>
      </c>
      <c r="B460" s="42" t="inlineStr">
        <is>
          <t>서울특별시 서초구 서초동</t>
        </is>
      </c>
      <c r="C460" s="41" t="inlineStr">
        <is>
          <t>1685-3</t>
        </is>
      </c>
      <c r="D460" s="41" t="inlineStr">
        <is>
          <t>1685</t>
        </is>
      </c>
      <c r="E460" s="41" t="inlineStr">
        <is>
          <t>0003</t>
        </is>
      </c>
      <c r="F460" s="42" t="inlineStr">
        <is>
          <t>아크로비스타</t>
        </is>
      </c>
      <c r="G460" s="41" t="inlineStr">
        <is>
          <t>138.9600</t>
        </is>
      </c>
      <c r="H460" s="41" t="inlineStr">
        <is>
          <t>202305</t>
        </is>
      </c>
      <c r="I460" s="41" t="inlineStr">
        <is>
          <t>22</t>
        </is>
      </c>
      <c r="J460" s="41" t="inlineStr">
        <is>
          <t>257,000</t>
        </is>
      </c>
      <c r="K460" s="41" t="inlineStr">
        <is>
          <t>-</t>
        </is>
      </c>
      <c r="L460" s="41" t="inlineStr">
        <is>
          <t>18</t>
        </is>
      </c>
      <c r="M460" s="41" t="inlineStr">
        <is>
          <t>-</t>
        </is>
      </c>
      <c r="N460" s="41" t="inlineStr">
        <is>
          <t>-</t>
        </is>
      </c>
      <c r="O460" s="41" t="inlineStr">
        <is>
          <t>2004</t>
        </is>
      </c>
      <c r="P460" s="42" t="inlineStr">
        <is>
          <t>서초중앙로 188</t>
        </is>
      </c>
      <c r="Q460" s="41" t="inlineStr">
        <is>
          <t>20230823</t>
        </is>
      </c>
      <c r="R460" s="42" t="inlineStr">
        <is>
          <t>중개거래</t>
        </is>
      </c>
      <c r="S460" s="42" t="inlineStr">
        <is>
          <t>서울 서초구</t>
        </is>
      </c>
      <c r="T460" s="41" t="inlineStr">
        <is>
          <t>-</t>
        </is>
      </c>
      <c r="U460" s="42" t="inlineStr">
        <is>
          <t>아파트</t>
        </is>
      </c>
    </row>
    <row r="461" hidden="1" ht="15" customHeight="1">
      <c r="A461" s="41" t="n">
        <v>457</v>
      </c>
      <c r="B461" s="42" t="inlineStr">
        <is>
          <t>서울특별시 서초구 서초동</t>
        </is>
      </c>
      <c r="C461" s="41" t="inlineStr">
        <is>
          <t>1757</t>
        </is>
      </c>
      <c r="D461" s="41" t="inlineStr">
        <is>
          <t>1757</t>
        </is>
      </c>
      <c r="E461" s="41" t="inlineStr">
        <is>
          <t>0000</t>
        </is>
      </c>
      <c r="F461" s="42" t="inlineStr">
        <is>
          <t>서초그랑자이</t>
        </is>
      </c>
      <c r="G461" s="41" t="inlineStr">
        <is>
          <t>84.5100</t>
        </is>
      </c>
      <c r="H461" s="41" t="inlineStr">
        <is>
          <t>202305</t>
        </is>
      </c>
      <c r="I461" s="41" t="inlineStr">
        <is>
          <t>22</t>
        </is>
      </c>
      <c r="J461" s="41" t="inlineStr">
        <is>
          <t>291,000</t>
        </is>
      </c>
      <c r="K461" s="41" t="inlineStr">
        <is>
          <t>108동</t>
        </is>
      </c>
      <c r="L461" s="41" t="inlineStr">
        <is>
          <t>25</t>
        </is>
      </c>
      <c r="M461" s="41" t="inlineStr">
        <is>
          <t>-</t>
        </is>
      </c>
      <c r="N461" s="41" t="inlineStr">
        <is>
          <t>-</t>
        </is>
      </c>
      <c r="O461" s="41" t="inlineStr">
        <is>
          <t>2021</t>
        </is>
      </c>
      <c r="P461" s="42" t="inlineStr">
        <is>
          <t>효령로 391</t>
        </is>
      </c>
      <c r="Q461" s="41" t="inlineStr">
        <is>
          <t>-</t>
        </is>
      </c>
      <c r="R461" s="42" t="inlineStr">
        <is>
          <t>중개거래</t>
        </is>
      </c>
      <c r="S461" s="42" t="inlineStr">
        <is>
          <t>서울 서초구</t>
        </is>
      </c>
      <c r="T461" s="41" t="inlineStr">
        <is>
          <t>23.08.10</t>
        </is>
      </c>
      <c r="U461" s="42" t="inlineStr">
        <is>
          <t>아파트</t>
        </is>
      </c>
    </row>
    <row r="462" hidden="1" ht="15" customHeight="1">
      <c r="A462" s="41" t="n">
        <v>458</v>
      </c>
      <c r="B462" s="42" t="inlineStr">
        <is>
          <t>서울특별시 서초구 서초동</t>
        </is>
      </c>
      <c r="C462" s="41" t="inlineStr">
        <is>
          <t>1685</t>
        </is>
      </c>
      <c r="D462" s="41" t="inlineStr">
        <is>
          <t>1685</t>
        </is>
      </c>
      <c r="E462" s="41" t="inlineStr">
        <is>
          <t>0000</t>
        </is>
      </c>
      <c r="F462" s="42" t="inlineStr">
        <is>
          <t>삼풍아파트</t>
        </is>
      </c>
      <c r="G462" s="41" t="inlineStr">
        <is>
          <t>79.4700</t>
        </is>
      </c>
      <c r="H462" s="41" t="inlineStr">
        <is>
          <t>202305</t>
        </is>
      </c>
      <c r="I462" s="41" t="inlineStr">
        <is>
          <t>20</t>
        </is>
      </c>
      <c r="J462" s="41" t="inlineStr">
        <is>
          <t>208,000</t>
        </is>
      </c>
      <c r="K462" s="41" t="inlineStr">
        <is>
          <t>5</t>
        </is>
      </c>
      <c r="L462" s="41" t="inlineStr">
        <is>
          <t>7</t>
        </is>
      </c>
      <c r="M462" s="41" t="inlineStr">
        <is>
          <t>-</t>
        </is>
      </c>
      <c r="N462" s="41" t="inlineStr">
        <is>
          <t>-</t>
        </is>
      </c>
      <c r="O462" s="41" t="inlineStr">
        <is>
          <t>1988</t>
        </is>
      </c>
      <c r="P462" s="42" t="inlineStr">
        <is>
          <t>서초중앙로 200</t>
        </is>
      </c>
      <c r="Q462" s="41" t="inlineStr">
        <is>
          <t>-</t>
        </is>
      </c>
      <c r="R462" s="42" t="inlineStr">
        <is>
          <t>중개거래</t>
        </is>
      </c>
      <c r="S462" s="42" t="inlineStr">
        <is>
          <t>서울 서초구</t>
        </is>
      </c>
      <c r="T462" s="41" t="inlineStr">
        <is>
          <t>23.07.27</t>
        </is>
      </c>
      <c r="U462" s="42" t="inlineStr">
        <is>
          <t>아파트</t>
        </is>
      </c>
    </row>
    <row r="463" hidden="1" ht="15" customHeight="1">
      <c r="A463" s="41" t="n">
        <v>459</v>
      </c>
      <c r="B463" s="42" t="inlineStr">
        <is>
          <t>서울특별시 서초구 서초동</t>
        </is>
      </c>
      <c r="C463" s="41" t="inlineStr">
        <is>
          <t>1333</t>
        </is>
      </c>
      <c r="D463" s="41" t="inlineStr">
        <is>
          <t>1333</t>
        </is>
      </c>
      <c r="E463" s="41" t="inlineStr">
        <is>
          <t>0000</t>
        </is>
      </c>
      <c r="F463" s="42" t="inlineStr">
        <is>
          <t>신동아아파트(1차)</t>
        </is>
      </c>
      <c r="G463" s="41" t="inlineStr">
        <is>
          <t>86.6100</t>
        </is>
      </c>
      <c r="H463" s="41" t="inlineStr">
        <is>
          <t>202305</t>
        </is>
      </c>
      <c r="I463" s="41" t="inlineStr">
        <is>
          <t>18</t>
        </is>
      </c>
      <c r="J463" s="41" t="inlineStr">
        <is>
          <t>186,500</t>
        </is>
      </c>
      <c r="K463" s="41" t="inlineStr">
        <is>
          <t>-</t>
        </is>
      </c>
      <c r="L463" s="41" t="inlineStr">
        <is>
          <t>13</t>
        </is>
      </c>
      <c r="M463" s="41" t="inlineStr">
        <is>
          <t>-</t>
        </is>
      </c>
      <c r="N463" s="41" t="inlineStr">
        <is>
          <t>-</t>
        </is>
      </c>
      <c r="O463" s="41" t="inlineStr">
        <is>
          <t>1978</t>
        </is>
      </c>
      <c r="P463" s="42" t="inlineStr">
        <is>
          <t>사임당로 130</t>
        </is>
      </c>
      <c r="Q463" s="41" t="inlineStr">
        <is>
          <t>20230608</t>
        </is>
      </c>
      <c r="R463" s="42" t="inlineStr">
        <is>
          <t>중개거래</t>
        </is>
      </c>
      <c r="S463" s="42" t="inlineStr">
        <is>
          <t>서울 서초구</t>
        </is>
      </c>
      <c r="T463" s="41" t="inlineStr">
        <is>
          <t>-</t>
        </is>
      </c>
      <c r="U463" s="42" t="inlineStr">
        <is>
          <t>아파트</t>
        </is>
      </c>
    </row>
    <row r="464" hidden="1" ht="15" customHeight="1">
      <c r="A464" s="41" t="n">
        <v>460</v>
      </c>
      <c r="B464" s="42" t="inlineStr">
        <is>
          <t>서울특별시 서초구 서초동</t>
        </is>
      </c>
      <c r="C464" s="41" t="inlineStr">
        <is>
          <t>1333</t>
        </is>
      </c>
      <c r="D464" s="41" t="inlineStr">
        <is>
          <t>1333</t>
        </is>
      </c>
      <c r="E464" s="41" t="inlineStr">
        <is>
          <t>0000</t>
        </is>
      </c>
      <c r="F464" s="42" t="inlineStr">
        <is>
          <t>신동아아파트(1차)</t>
        </is>
      </c>
      <c r="G464" s="41" t="inlineStr">
        <is>
          <t>86.6100</t>
        </is>
      </c>
      <c r="H464" s="41" t="inlineStr">
        <is>
          <t>202305</t>
        </is>
      </c>
      <c r="I464" s="41" t="inlineStr">
        <is>
          <t>18</t>
        </is>
      </c>
      <c r="J464" s="41" t="inlineStr">
        <is>
          <t>186,500</t>
        </is>
      </c>
      <c r="K464" s="41" t="inlineStr">
        <is>
          <t>7</t>
        </is>
      </c>
      <c r="L464" s="41" t="inlineStr">
        <is>
          <t>13</t>
        </is>
      </c>
      <c r="M464" s="41" t="inlineStr">
        <is>
          <t>-</t>
        </is>
      </c>
      <c r="N464" s="41" t="inlineStr">
        <is>
          <t>-</t>
        </is>
      </c>
      <c r="O464" s="41" t="inlineStr">
        <is>
          <t>1978</t>
        </is>
      </c>
      <c r="P464" s="42" t="inlineStr">
        <is>
          <t>사임당로 130</t>
        </is>
      </c>
      <c r="Q464" s="41" t="inlineStr">
        <is>
          <t>-</t>
        </is>
      </c>
      <c r="R464" s="42" t="inlineStr">
        <is>
          <t>중개거래</t>
        </is>
      </c>
      <c r="S464" s="42" t="inlineStr">
        <is>
          <t>서울 서초구</t>
        </is>
      </c>
      <c r="T464" s="41" t="inlineStr">
        <is>
          <t>23.08.18</t>
        </is>
      </c>
      <c r="U464" s="42" t="inlineStr">
        <is>
          <t>아파트</t>
        </is>
      </c>
    </row>
    <row r="465" hidden="1" ht="15" customHeight="1">
      <c r="A465" s="41" t="n">
        <v>461</v>
      </c>
      <c r="B465" s="42" t="inlineStr">
        <is>
          <t>서울특별시 서초구 서초동</t>
        </is>
      </c>
      <c r="C465" s="41" t="inlineStr">
        <is>
          <t>1642-14</t>
        </is>
      </c>
      <c r="D465" s="41" t="inlineStr">
        <is>
          <t>1642</t>
        </is>
      </c>
      <c r="E465" s="41" t="inlineStr">
        <is>
          <t>0014</t>
        </is>
      </c>
      <c r="F465" s="42" t="inlineStr">
        <is>
          <t>서초롯데캐슬84</t>
        </is>
      </c>
      <c r="G465" s="41" t="inlineStr">
        <is>
          <t>208.6300</t>
        </is>
      </c>
      <c r="H465" s="41" t="inlineStr">
        <is>
          <t>202305</t>
        </is>
      </c>
      <c r="I465" s="41" t="inlineStr">
        <is>
          <t>18</t>
        </is>
      </c>
      <c r="J465" s="41" t="inlineStr">
        <is>
          <t>207,101</t>
        </is>
      </c>
      <c r="K465" s="41" t="inlineStr">
        <is>
          <t>101</t>
        </is>
      </c>
      <c r="L465" s="41" t="inlineStr">
        <is>
          <t>9</t>
        </is>
      </c>
      <c r="M465" s="41" t="inlineStr">
        <is>
          <t>-</t>
        </is>
      </c>
      <c r="N465" s="41" t="inlineStr">
        <is>
          <t>-</t>
        </is>
      </c>
      <c r="O465" s="41" t="inlineStr">
        <is>
          <t>2001</t>
        </is>
      </c>
      <c r="P465" s="42" t="inlineStr">
        <is>
          <t>사임당로17길 90</t>
        </is>
      </c>
      <c r="Q465" s="41" t="inlineStr">
        <is>
          <t>-</t>
        </is>
      </c>
      <c r="R465" s="42" t="inlineStr">
        <is>
          <t>직거래</t>
        </is>
      </c>
      <c r="S465" s="41" t="inlineStr">
        <is>
          <t>-</t>
        </is>
      </c>
      <c r="T465" s="41" t="inlineStr">
        <is>
          <t>23.06.26</t>
        </is>
      </c>
      <c r="U465" s="42" t="inlineStr">
        <is>
          <t>아파트</t>
        </is>
      </c>
    </row>
    <row r="466" hidden="1" ht="15" customHeight="1">
      <c r="A466" s="41" t="n">
        <v>462</v>
      </c>
      <c r="B466" s="42" t="inlineStr">
        <is>
          <t>서울특별시 서초구 서초동</t>
        </is>
      </c>
      <c r="C466" s="41" t="inlineStr">
        <is>
          <t>1687</t>
        </is>
      </c>
      <c r="D466" s="41" t="inlineStr">
        <is>
          <t>1687</t>
        </is>
      </c>
      <c r="E466" s="41" t="inlineStr">
        <is>
          <t>0000</t>
        </is>
      </c>
      <c r="F466" s="42" t="inlineStr">
        <is>
          <t>유원서초</t>
        </is>
      </c>
      <c r="G466" s="41" t="inlineStr">
        <is>
          <t>84.8200</t>
        </is>
      </c>
      <c r="H466" s="41" t="inlineStr">
        <is>
          <t>202305</t>
        </is>
      </c>
      <c r="I466" s="41" t="inlineStr">
        <is>
          <t>17</t>
        </is>
      </c>
      <c r="J466" s="41" t="inlineStr">
        <is>
          <t>173,500</t>
        </is>
      </c>
      <c r="K466" s="41" t="inlineStr">
        <is>
          <t>102</t>
        </is>
      </c>
      <c r="L466" s="41" t="inlineStr">
        <is>
          <t>12</t>
        </is>
      </c>
      <c r="M466" s="41" t="inlineStr">
        <is>
          <t>-</t>
        </is>
      </c>
      <c r="N466" s="41" t="inlineStr">
        <is>
          <t>-</t>
        </is>
      </c>
      <c r="O466" s="41" t="inlineStr">
        <is>
          <t>1993</t>
        </is>
      </c>
      <c r="P466" s="42" t="inlineStr">
        <is>
          <t>서초중앙로24길 43</t>
        </is>
      </c>
      <c r="Q466" s="41" t="inlineStr">
        <is>
          <t>-</t>
        </is>
      </c>
      <c r="R466" s="42" t="inlineStr">
        <is>
          <t>중개거래</t>
        </is>
      </c>
      <c r="S466" s="42" t="inlineStr">
        <is>
          <t>서울 서초구</t>
        </is>
      </c>
      <c r="T466" s="41" t="inlineStr">
        <is>
          <t>23.08.14</t>
        </is>
      </c>
      <c r="U466" s="42" t="inlineStr">
        <is>
          <t>아파트</t>
        </is>
      </c>
    </row>
    <row r="467" hidden="1" ht="15" customHeight="1">
      <c r="A467" s="41" t="n">
        <v>463</v>
      </c>
      <c r="B467" s="42" t="inlineStr">
        <is>
          <t>서울특별시 서초구 서초동</t>
        </is>
      </c>
      <c r="C467" s="41" t="inlineStr">
        <is>
          <t>1682</t>
        </is>
      </c>
      <c r="D467" s="41" t="inlineStr">
        <is>
          <t>1682</t>
        </is>
      </c>
      <c r="E467" s="41" t="inlineStr">
        <is>
          <t>0000</t>
        </is>
      </c>
      <c r="F467" s="42" t="inlineStr">
        <is>
          <t>서초래미안</t>
        </is>
      </c>
      <c r="G467" s="41" t="inlineStr">
        <is>
          <t>126.3100</t>
        </is>
      </c>
      <c r="H467" s="41" t="inlineStr">
        <is>
          <t>202305</t>
        </is>
      </c>
      <c r="I467" s="41" t="inlineStr">
        <is>
          <t>17</t>
        </is>
      </c>
      <c r="J467" s="41" t="inlineStr">
        <is>
          <t>253,000</t>
        </is>
      </c>
      <c r="K467" s="41" t="inlineStr">
        <is>
          <t>109</t>
        </is>
      </c>
      <c r="L467" s="41" t="inlineStr">
        <is>
          <t>3</t>
        </is>
      </c>
      <c r="M467" s="41" t="inlineStr">
        <is>
          <t>-</t>
        </is>
      </c>
      <c r="N467" s="41" t="inlineStr">
        <is>
          <t>-</t>
        </is>
      </c>
      <c r="O467" s="41" t="inlineStr">
        <is>
          <t>2003</t>
        </is>
      </c>
      <c r="P467" s="42" t="inlineStr">
        <is>
          <t>서초대로65길 13-10</t>
        </is>
      </c>
      <c r="Q467" s="41" t="inlineStr">
        <is>
          <t>-</t>
        </is>
      </c>
      <c r="R467" s="42" t="inlineStr">
        <is>
          <t>중개거래</t>
        </is>
      </c>
      <c r="S467" s="42" t="inlineStr">
        <is>
          <t>서울 서초구</t>
        </is>
      </c>
      <c r="T467" s="41" t="inlineStr">
        <is>
          <t>23.07.14</t>
        </is>
      </c>
      <c r="U467" s="42" t="inlineStr">
        <is>
          <t>아파트</t>
        </is>
      </c>
    </row>
    <row r="468" hidden="1" ht="15" customHeight="1">
      <c r="A468" s="41" t="n">
        <v>464</v>
      </c>
      <c r="B468" s="42" t="inlineStr">
        <is>
          <t>서울특별시 서초구 서초동</t>
        </is>
      </c>
      <c r="C468" s="41" t="inlineStr">
        <is>
          <t>1687</t>
        </is>
      </c>
      <c r="D468" s="41" t="inlineStr">
        <is>
          <t>1687</t>
        </is>
      </c>
      <c r="E468" s="41" t="inlineStr">
        <is>
          <t>0000</t>
        </is>
      </c>
      <c r="F468" s="42" t="inlineStr">
        <is>
          <t>유원서초</t>
        </is>
      </c>
      <c r="G468" s="41" t="inlineStr">
        <is>
          <t>84.8200</t>
        </is>
      </c>
      <c r="H468" s="41" t="inlineStr">
        <is>
          <t>202305</t>
        </is>
      </c>
      <c r="I468" s="41" t="inlineStr">
        <is>
          <t>17</t>
        </is>
      </c>
      <c r="J468" s="41" t="inlineStr">
        <is>
          <t>145,000</t>
        </is>
      </c>
      <c r="K468" s="41" t="inlineStr">
        <is>
          <t>-</t>
        </is>
      </c>
      <c r="L468" s="41" t="inlineStr">
        <is>
          <t>4</t>
        </is>
      </c>
      <c r="M468" s="41" t="inlineStr">
        <is>
          <t>-</t>
        </is>
      </c>
      <c r="N468" s="41" t="inlineStr">
        <is>
          <t>-</t>
        </is>
      </c>
      <c r="O468" s="41" t="inlineStr">
        <is>
          <t>1993</t>
        </is>
      </c>
      <c r="P468" s="42" t="inlineStr">
        <is>
          <t>서초중앙로24길 43</t>
        </is>
      </c>
      <c r="Q468" s="41" t="inlineStr">
        <is>
          <t>20230629</t>
        </is>
      </c>
      <c r="R468" s="42" t="inlineStr">
        <is>
          <t>중개거래</t>
        </is>
      </c>
      <c r="S468" s="42" t="inlineStr">
        <is>
          <t>서울 구로구</t>
        </is>
      </c>
      <c r="T468" s="41" t="inlineStr">
        <is>
          <t>-</t>
        </is>
      </c>
      <c r="U468" s="42" t="inlineStr">
        <is>
          <t>아파트</t>
        </is>
      </c>
    </row>
    <row r="469" hidden="1" ht="15" customHeight="1">
      <c r="A469" s="41" t="n">
        <v>465</v>
      </c>
      <c r="B469" s="42" t="inlineStr">
        <is>
          <t>서울특별시 서초구 서초동</t>
        </is>
      </c>
      <c r="C469" s="41" t="inlineStr">
        <is>
          <t>1333</t>
        </is>
      </c>
      <c r="D469" s="41" t="inlineStr">
        <is>
          <t>1333</t>
        </is>
      </c>
      <c r="E469" s="41" t="inlineStr">
        <is>
          <t>0000</t>
        </is>
      </c>
      <c r="F469" s="42" t="inlineStr">
        <is>
          <t>신동아아파트(1차)</t>
        </is>
      </c>
      <c r="G469" s="41" t="inlineStr">
        <is>
          <t>86.6100</t>
        </is>
      </c>
      <c r="H469" s="41" t="inlineStr">
        <is>
          <t>202305</t>
        </is>
      </c>
      <c r="I469" s="41" t="inlineStr">
        <is>
          <t>17</t>
        </is>
      </c>
      <c r="J469" s="41" t="inlineStr">
        <is>
          <t>187,000</t>
        </is>
      </c>
      <c r="K469" s="41" t="inlineStr">
        <is>
          <t>7</t>
        </is>
      </c>
      <c r="L469" s="41" t="inlineStr">
        <is>
          <t>3</t>
        </is>
      </c>
      <c r="M469" s="41" t="inlineStr">
        <is>
          <t>-</t>
        </is>
      </c>
      <c r="N469" s="41" t="inlineStr">
        <is>
          <t>-</t>
        </is>
      </c>
      <c r="O469" s="41" t="inlineStr">
        <is>
          <t>1978</t>
        </is>
      </c>
      <c r="P469" s="42" t="inlineStr">
        <is>
          <t>사임당로 130</t>
        </is>
      </c>
      <c r="Q469" s="41" t="inlineStr">
        <is>
          <t>-</t>
        </is>
      </c>
      <c r="R469" s="42" t="inlineStr">
        <is>
          <t>중개거래</t>
        </is>
      </c>
      <c r="S469" s="42" t="inlineStr">
        <is>
          <t>서울 서초구</t>
        </is>
      </c>
      <c r="T469" s="41" t="inlineStr">
        <is>
          <t>23.09.18</t>
        </is>
      </c>
      <c r="U469" s="42" t="inlineStr">
        <is>
          <t>아파트</t>
        </is>
      </c>
    </row>
    <row r="470" hidden="1" ht="15" customHeight="1">
      <c r="A470" s="41" t="n">
        <v>466</v>
      </c>
      <c r="B470" s="42" t="inlineStr">
        <is>
          <t>서울특별시 서초구 서초동</t>
        </is>
      </c>
      <c r="C470" s="41" t="inlineStr">
        <is>
          <t>1685</t>
        </is>
      </c>
      <c r="D470" s="41" t="inlineStr">
        <is>
          <t>1685</t>
        </is>
      </c>
      <c r="E470" s="41" t="inlineStr">
        <is>
          <t>0000</t>
        </is>
      </c>
      <c r="F470" s="42" t="inlineStr">
        <is>
          <t>삼풍아파트</t>
        </is>
      </c>
      <c r="G470" s="41" t="inlineStr">
        <is>
          <t>79.4700</t>
        </is>
      </c>
      <c r="H470" s="41" t="inlineStr">
        <is>
          <t>202305</t>
        </is>
      </c>
      <c r="I470" s="41" t="inlineStr">
        <is>
          <t>17</t>
        </is>
      </c>
      <c r="J470" s="41" t="inlineStr">
        <is>
          <t>220,000</t>
        </is>
      </c>
      <c r="K470" s="41" t="inlineStr">
        <is>
          <t>8</t>
        </is>
      </c>
      <c r="L470" s="41" t="inlineStr">
        <is>
          <t>9</t>
        </is>
      </c>
      <c r="M470" s="41" t="inlineStr">
        <is>
          <t>-</t>
        </is>
      </c>
      <c r="N470" s="41" t="inlineStr">
        <is>
          <t>-</t>
        </is>
      </c>
      <c r="O470" s="41" t="inlineStr">
        <is>
          <t>1988</t>
        </is>
      </c>
      <c r="P470" s="42" t="inlineStr">
        <is>
          <t>서초중앙로 200</t>
        </is>
      </c>
      <c r="Q470" s="41" t="inlineStr">
        <is>
          <t>-</t>
        </is>
      </c>
      <c r="R470" s="42" t="inlineStr">
        <is>
          <t>중개거래</t>
        </is>
      </c>
      <c r="S470" s="42" t="inlineStr">
        <is>
          <t>서울 서초구</t>
        </is>
      </c>
      <c r="T470" s="41" t="inlineStr">
        <is>
          <t>23.08.31</t>
        </is>
      </c>
      <c r="U470" s="42" t="inlineStr">
        <is>
          <t>아파트</t>
        </is>
      </c>
    </row>
    <row r="471" hidden="1" ht="15" customHeight="1">
      <c r="A471" s="41" t="n">
        <v>467</v>
      </c>
      <c r="B471" s="42" t="inlineStr">
        <is>
          <t>서울특별시 서초구 서초동</t>
        </is>
      </c>
      <c r="C471" s="41" t="inlineStr">
        <is>
          <t>1754</t>
        </is>
      </c>
      <c r="D471" s="41" t="inlineStr">
        <is>
          <t>1754</t>
        </is>
      </c>
      <c r="E471" s="41" t="inlineStr">
        <is>
          <t>0000</t>
        </is>
      </c>
      <c r="F471" s="42" t="inlineStr">
        <is>
          <t>래미안서초에스티지S</t>
        </is>
      </c>
      <c r="G471" s="41" t="inlineStr">
        <is>
          <t>84.8000</t>
        </is>
      </c>
      <c r="H471" s="41" t="inlineStr">
        <is>
          <t>202305</t>
        </is>
      </c>
      <c r="I471" s="41" t="inlineStr">
        <is>
          <t>17</t>
        </is>
      </c>
      <c r="J471" s="41" t="inlineStr">
        <is>
          <t>235,000</t>
        </is>
      </c>
      <c r="K471" s="41" t="inlineStr">
        <is>
          <t>201</t>
        </is>
      </c>
      <c r="L471" s="41" t="inlineStr">
        <is>
          <t>4</t>
        </is>
      </c>
      <c r="M471" s="41" t="inlineStr">
        <is>
          <t>-</t>
        </is>
      </c>
      <c r="N471" s="41" t="inlineStr">
        <is>
          <t>-</t>
        </is>
      </c>
      <c r="O471" s="41" t="inlineStr">
        <is>
          <t>2018</t>
        </is>
      </c>
      <c r="P471" s="42" t="inlineStr">
        <is>
          <t>서운로 104</t>
        </is>
      </c>
      <c r="Q471" s="41" t="inlineStr">
        <is>
          <t>-</t>
        </is>
      </c>
      <c r="R471" s="42" t="inlineStr">
        <is>
          <t>중개거래</t>
        </is>
      </c>
      <c r="S471" s="42" t="inlineStr">
        <is>
          <t>서울 서초구</t>
        </is>
      </c>
      <c r="T471" s="41" t="inlineStr">
        <is>
          <t>23.08.16</t>
        </is>
      </c>
      <c r="U471" s="42" t="inlineStr">
        <is>
          <t>아파트</t>
        </is>
      </c>
    </row>
    <row r="472" hidden="1" ht="15" customHeight="1">
      <c r="A472" s="41" t="n">
        <v>468</v>
      </c>
      <c r="B472" s="42" t="inlineStr">
        <is>
          <t>서울특별시 서초구 서초동</t>
        </is>
      </c>
      <c r="C472" s="41" t="inlineStr">
        <is>
          <t>1311-10</t>
        </is>
      </c>
      <c r="D472" s="41" t="inlineStr">
        <is>
          <t>1311</t>
        </is>
      </c>
      <c r="E472" s="41" t="inlineStr">
        <is>
          <t>0010</t>
        </is>
      </c>
      <c r="F472" s="42" t="inlineStr">
        <is>
          <t>서초푸르지오써밋</t>
        </is>
      </c>
      <c r="G472" s="41" t="inlineStr">
        <is>
          <t>84.9300</t>
        </is>
      </c>
      <c r="H472" s="41" t="inlineStr">
        <is>
          <t>202305</t>
        </is>
      </c>
      <c r="I472" s="41" t="inlineStr">
        <is>
          <t>17</t>
        </is>
      </c>
      <c r="J472" s="41" t="inlineStr">
        <is>
          <t>250,000</t>
        </is>
      </c>
      <c r="K472" s="41" t="inlineStr">
        <is>
          <t>105</t>
        </is>
      </c>
      <c r="L472" s="41" t="inlineStr">
        <is>
          <t>28</t>
        </is>
      </c>
      <c r="M472" s="41" t="inlineStr">
        <is>
          <t>-</t>
        </is>
      </c>
      <c r="N472" s="41" t="inlineStr">
        <is>
          <t>-</t>
        </is>
      </c>
      <c r="O472" s="41" t="inlineStr">
        <is>
          <t>2017</t>
        </is>
      </c>
      <c r="P472" s="42" t="inlineStr">
        <is>
          <t>서운로 201</t>
        </is>
      </c>
      <c r="Q472" s="41" t="inlineStr">
        <is>
          <t>-</t>
        </is>
      </c>
      <c r="R472" s="42" t="inlineStr">
        <is>
          <t>중개거래</t>
        </is>
      </c>
      <c r="S472" s="42" t="inlineStr">
        <is>
          <t>서울 서초구</t>
        </is>
      </c>
      <c r="T472" s="41" t="inlineStr">
        <is>
          <t>23.08.31</t>
        </is>
      </c>
      <c r="U472" s="42" t="inlineStr">
        <is>
          <t>아파트</t>
        </is>
      </c>
    </row>
    <row r="473" hidden="1" ht="15" customHeight="1">
      <c r="A473" s="41" t="n">
        <v>469</v>
      </c>
      <c r="B473" s="42" t="inlineStr">
        <is>
          <t>서울특별시 서초구 서초동</t>
        </is>
      </c>
      <c r="C473" s="41" t="inlineStr">
        <is>
          <t>1757</t>
        </is>
      </c>
      <c r="D473" s="41" t="inlineStr">
        <is>
          <t>1757</t>
        </is>
      </c>
      <c r="E473" s="41" t="inlineStr">
        <is>
          <t>0000</t>
        </is>
      </c>
      <c r="F473" s="42" t="inlineStr">
        <is>
          <t>서초그랑자이</t>
        </is>
      </c>
      <c r="G473" s="41" t="inlineStr">
        <is>
          <t>59.9800</t>
        </is>
      </c>
      <c r="H473" s="41" t="inlineStr">
        <is>
          <t>202305</t>
        </is>
      </c>
      <c r="I473" s="41" t="inlineStr">
        <is>
          <t>16</t>
        </is>
      </c>
      <c r="J473" s="41" t="inlineStr">
        <is>
          <t>215,000</t>
        </is>
      </c>
      <c r="K473" s="41" t="inlineStr">
        <is>
          <t>105동</t>
        </is>
      </c>
      <c r="L473" s="41" t="inlineStr">
        <is>
          <t>15</t>
        </is>
      </c>
      <c r="M473" s="41" t="inlineStr">
        <is>
          <t>-</t>
        </is>
      </c>
      <c r="N473" s="41" t="inlineStr">
        <is>
          <t>-</t>
        </is>
      </c>
      <c r="O473" s="41" t="inlineStr">
        <is>
          <t>2021</t>
        </is>
      </c>
      <c r="P473" s="42" t="inlineStr">
        <is>
          <t>효령로 391</t>
        </is>
      </c>
      <c r="Q473" s="41" t="inlineStr">
        <is>
          <t>-</t>
        </is>
      </c>
      <c r="R473" s="42" t="inlineStr">
        <is>
          <t>중개거래</t>
        </is>
      </c>
      <c r="S473" s="42" t="inlineStr">
        <is>
          <t>서울 서초구</t>
        </is>
      </c>
      <c r="T473" s="41" t="inlineStr">
        <is>
          <t>23.08.31</t>
        </is>
      </c>
      <c r="U473" s="42" t="inlineStr">
        <is>
          <t>아파트</t>
        </is>
      </c>
    </row>
    <row r="474" hidden="1" ht="15" customHeight="1">
      <c r="A474" s="41" t="n">
        <v>470</v>
      </c>
      <c r="B474" s="42" t="inlineStr">
        <is>
          <t>서울특별시 서초구 서초동</t>
        </is>
      </c>
      <c r="C474" s="41" t="inlineStr">
        <is>
          <t>1593-7</t>
        </is>
      </c>
      <c r="D474" s="41" t="inlineStr">
        <is>
          <t>1593</t>
        </is>
      </c>
      <c r="E474" s="41" t="inlineStr">
        <is>
          <t>0007</t>
        </is>
      </c>
      <c r="F474" s="42" t="inlineStr">
        <is>
          <t>서초이오빌</t>
        </is>
      </c>
      <c r="G474" s="41" t="inlineStr">
        <is>
          <t>36.6600</t>
        </is>
      </c>
      <c r="H474" s="41" t="inlineStr">
        <is>
          <t>202305</t>
        </is>
      </c>
      <c r="I474" s="41" t="inlineStr">
        <is>
          <t>16</t>
        </is>
      </c>
      <c r="J474" s="41" t="inlineStr">
        <is>
          <t>31,500</t>
        </is>
      </c>
      <c r="K474" s="41" t="inlineStr">
        <is>
          <t>-</t>
        </is>
      </c>
      <c r="L474" s="41" t="inlineStr">
        <is>
          <t>9</t>
        </is>
      </c>
      <c r="M474" s="41" t="inlineStr">
        <is>
          <t>-</t>
        </is>
      </c>
      <c r="N474" s="41" t="inlineStr">
        <is>
          <t>-</t>
        </is>
      </c>
      <c r="O474" s="41" t="inlineStr">
        <is>
          <t>2003</t>
        </is>
      </c>
      <c r="P474" s="42" t="inlineStr">
        <is>
          <t>효령로53길 45</t>
        </is>
      </c>
      <c r="Q474" s="41" t="inlineStr">
        <is>
          <t>-</t>
        </is>
      </c>
      <c r="R474" s="42" t="inlineStr">
        <is>
          <t>중개거래</t>
        </is>
      </c>
      <c r="S474" s="42" t="inlineStr">
        <is>
          <t>서울 서초구</t>
        </is>
      </c>
      <c r="T474" s="41" t="inlineStr">
        <is>
          <t>23.07.24</t>
        </is>
      </c>
      <c r="U474" s="42" t="inlineStr">
        <is>
          <t>아파트</t>
        </is>
      </c>
    </row>
    <row r="475" hidden="1" ht="15" customHeight="1">
      <c r="A475" s="41" t="n">
        <v>471</v>
      </c>
      <c r="B475" s="42" t="inlineStr">
        <is>
          <t>서울특별시 서초구 서초동</t>
        </is>
      </c>
      <c r="C475" s="41" t="inlineStr">
        <is>
          <t>1496-24</t>
        </is>
      </c>
      <c r="D475" s="41" t="inlineStr">
        <is>
          <t>1496</t>
        </is>
      </c>
      <c r="E475" s="41" t="inlineStr">
        <is>
          <t>0024</t>
        </is>
      </c>
      <c r="F475" s="42" t="inlineStr">
        <is>
          <t>트라움하우스3</t>
        </is>
      </c>
      <c r="G475" s="41" t="inlineStr">
        <is>
          <t>273.8600</t>
        </is>
      </c>
      <c r="H475" s="41" t="inlineStr">
        <is>
          <t>202305</t>
        </is>
      </c>
      <c r="I475" s="41" t="inlineStr">
        <is>
          <t>16</t>
        </is>
      </c>
      <c r="J475" s="41" t="inlineStr">
        <is>
          <t>555,000</t>
        </is>
      </c>
      <c r="K475" s="41" t="inlineStr">
        <is>
          <t>-</t>
        </is>
      </c>
      <c r="L475" s="41" t="inlineStr">
        <is>
          <t>7</t>
        </is>
      </c>
      <c r="M475" s="41" t="inlineStr">
        <is>
          <t>-</t>
        </is>
      </c>
      <c r="N475" s="41" t="inlineStr">
        <is>
          <t>-</t>
        </is>
      </c>
      <c r="O475" s="41" t="inlineStr">
        <is>
          <t>2002</t>
        </is>
      </c>
      <c r="P475" s="42" t="inlineStr">
        <is>
          <t>명달로 97-14</t>
        </is>
      </c>
      <c r="Q475" s="41" t="inlineStr">
        <is>
          <t>-</t>
        </is>
      </c>
      <c r="R475" s="42" t="inlineStr">
        <is>
          <t>중개거래</t>
        </is>
      </c>
      <c r="S475" s="42" t="inlineStr">
        <is>
          <t>서울 강남구 서울 송파구</t>
        </is>
      </c>
      <c r="T475" s="41" t="inlineStr">
        <is>
          <t>23.07.19</t>
        </is>
      </c>
      <c r="U475" s="42" t="inlineStr">
        <is>
          <t>아파트</t>
        </is>
      </c>
    </row>
    <row r="476" hidden="1" ht="15" customHeight="1">
      <c r="A476" s="41" t="n">
        <v>472</v>
      </c>
      <c r="B476" s="42" t="inlineStr">
        <is>
          <t>서울특별시 서초구 서초동</t>
        </is>
      </c>
      <c r="C476" s="41" t="inlineStr">
        <is>
          <t>1445-14</t>
        </is>
      </c>
      <c r="D476" s="41" t="inlineStr">
        <is>
          <t>1445</t>
        </is>
      </c>
      <c r="E476" s="41" t="inlineStr">
        <is>
          <t>0014</t>
        </is>
      </c>
      <c r="F476" s="42" t="inlineStr">
        <is>
          <t>더샵서초</t>
        </is>
      </c>
      <c r="G476" s="41" t="inlineStr">
        <is>
          <t>30.3900</t>
        </is>
      </c>
      <c r="H476" s="41" t="inlineStr">
        <is>
          <t>202305</t>
        </is>
      </c>
      <c r="I476" s="41" t="inlineStr">
        <is>
          <t>16</t>
        </is>
      </c>
      <c r="J476" s="41" t="inlineStr">
        <is>
          <t>62,000</t>
        </is>
      </c>
      <c r="K476" s="41" t="inlineStr">
        <is>
          <t>103</t>
        </is>
      </c>
      <c r="L476" s="41" t="inlineStr">
        <is>
          <t>31</t>
        </is>
      </c>
      <c r="M476" s="41" t="inlineStr">
        <is>
          <t>-</t>
        </is>
      </c>
      <c r="N476" s="41" t="inlineStr">
        <is>
          <t>-</t>
        </is>
      </c>
      <c r="O476" s="41" t="inlineStr">
        <is>
          <t>2006</t>
        </is>
      </c>
      <c r="P476" s="42" t="inlineStr">
        <is>
          <t>서초중앙로2길 21</t>
        </is>
      </c>
      <c r="Q476" s="41" t="inlineStr">
        <is>
          <t>-</t>
        </is>
      </c>
      <c r="R476" s="42" t="inlineStr">
        <is>
          <t>중개거래</t>
        </is>
      </c>
      <c r="S476" s="42" t="inlineStr">
        <is>
          <t>서울 서초구</t>
        </is>
      </c>
      <c r="T476" s="41" t="inlineStr">
        <is>
          <t>23.07.31</t>
        </is>
      </c>
      <c r="U476" s="42" t="inlineStr">
        <is>
          <t>아파트</t>
        </is>
      </c>
    </row>
    <row r="477" hidden="1" ht="15" customHeight="1">
      <c r="A477" s="41" t="n">
        <v>473</v>
      </c>
      <c r="B477" s="42" t="inlineStr">
        <is>
          <t>서울특별시 서초구 서초동</t>
        </is>
      </c>
      <c r="C477" s="41" t="inlineStr">
        <is>
          <t>1312-3</t>
        </is>
      </c>
      <c r="D477" s="41" t="inlineStr">
        <is>
          <t>1312</t>
        </is>
      </c>
      <c r="E477" s="41" t="inlineStr">
        <is>
          <t>0003</t>
        </is>
      </c>
      <c r="F477" s="42" t="inlineStr">
        <is>
          <t>롯데캐슬클래식</t>
        </is>
      </c>
      <c r="G477" s="41" t="inlineStr">
        <is>
          <t>84.9800</t>
        </is>
      </c>
      <c r="H477" s="41" t="inlineStr">
        <is>
          <t>202305</t>
        </is>
      </c>
      <c r="I477" s="41" t="inlineStr">
        <is>
          <t>15</t>
        </is>
      </c>
      <c r="J477" s="41" t="inlineStr">
        <is>
          <t>189,550</t>
        </is>
      </c>
      <c r="K477" s="41" t="inlineStr">
        <is>
          <t>102</t>
        </is>
      </c>
      <c r="L477" s="41" t="inlineStr">
        <is>
          <t>16</t>
        </is>
      </c>
      <c r="M477" s="41" t="inlineStr">
        <is>
          <t>-</t>
        </is>
      </c>
      <c r="N477" s="41" t="inlineStr">
        <is>
          <t>-</t>
        </is>
      </c>
      <c r="O477" s="41" t="inlineStr">
        <is>
          <t>2006</t>
        </is>
      </c>
      <c r="P477" s="42" t="inlineStr">
        <is>
          <t>서운로 197</t>
        </is>
      </c>
      <c r="Q477" s="41" t="inlineStr">
        <is>
          <t>-</t>
        </is>
      </c>
      <c r="R477" s="42" t="inlineStr">
        <is>
          <t>직거래</t>
        </is>
      </c>
      <c r="S477" s="41" t="inlineStr">
        <is>
          <t>-</t>
        </is>
      </c>
      <c r="T477" s="41" t="inlineStr">
        <is>
          <t>23.05.30</t>
        </is>
      </c>
      <c r="U477" s="42" t="inlineStr">
        <is>
          <t>아파트</t>
        </is>
      </c>
    </row>
    <row r="478" hidden="1" ht="15" customHeight="1">
      <c r="A478" s="41" t="n">
        <v>474</v>
      </c>
      <c r="B478" s="42" t="inlineStr">
        <is>
          <t>서울특별시 서초구 서초동</t>
        </is>
      </c>
      <c r="C478" s="41" t="inlineStr">
        <is>
          <t>1333</t>
        </is>
      </c>
      <c r="D478" s="41" t="inlineStr">
        <is>
          <t>1333</t>
        </is>
      </c>
      <c r="E478" s="41" t="inlineStr">
        <is>
          <t>0000</t>
        </is>
      </c>
      <c r="F478" s="42" t="inlineStr">
        <is>
          <t>신동아아파트(1차)</t>
        </is>
      </c>
      <c r="G478" s="41" t="inlineStr">
        <is>
          <t>132.1000</t>
        </is>
      </c>
      <c r="H478" s="41" t="inlineStr">
        <is>
          <t>202305</t>
        </is>
      </c>
      <c r="I478" s="41" t="inlineStr">
        <is>
          <t>13</t>
        </is>
      </c>
      <c r="J478" s="41" t="inlineStr">
        <is>
          <t>269,000</t>
        </is>
      </c>
      <c r="K478" s="41" t="inlineStr">
        <is>
          <t>2</t>
        </is>
      </c>
      <c r="L478" s="41" t="inlineStr">
        <is>
          <t>11</t>
        </is>
      </c>
      <c r="M478" s="41" t="inlineStr">
        <is>
          <t>-</t>
        </is>
      </c>
      <c r="N478" s="41" t="inlineStr">
        <is>
          <t>-</t>
        </is>
      </c>
      <c r="O478" s="41" t="inlineStr">
        <is>
          <t>1978</t>
        </is>
      </c>
      <c r="P478" s="42" t="inlineStr">
        <is>
          <t>사임당로 137</t>
        </is>
      </c>
      <c r="Q478" s="41" t="inlineStr">
        <is>
          <t>-</t>
        </is>
      </c>
      <c r="R478" s="42" t="inlineStr">
        <is>
          <t>중개거래</t>
        </is>
      </c>
      <c r="S478" s="42" t="inlineStr">
        <is>
          <t>서울 서초구</t>
        </is>
      </c>
      <c r="T478" s="41" t="inlineStr">
        <is>
          <t>23.07.26</t>
        </is>
      </c>
      <c r="U478" s="42" t="inlineStr">
        <is>
          <t>아파트</t>
        </is>
      </c>
    </row>
    <row r="479" hidden="1" ht="15" customHeight="1">
      <c r="A479" s="41" t="n">
        <v>475</v>
      </c>
      <c r="B479" s="42" t="inlineStr">
        <is>
          <t>서울특별시 서초구 서초동</t>
        </is>
      </c>
      <c r="C479" s="41" t="inlineStr">
        <is>
          <t>1311-10</t>
        </is>
      </c>
      <c r="D479" s="41" t="inlineStr">
        <is>
          <t>1311</t>
        </is>
      </c>
      <c r="E479" s="41" t="inlineStr">
        <is>
          <t>0010</t>
        </is>
      </c>
      <c r="F479" s="42" t="inlineStr">
        <is>
          <t>서초푸르지오써밋</t>
        </is>
      </c>
      <c r="G479" s="41" t="inlineStr">
        <is>
          <t>74.9300</t>
        </is>
      </c>
      <c r="H479" s="41" t="inlineStr">
        <is>
          <t>202305</t>
        </is>
      </c>
      <c r="I479" s="41" t="inlineStr">
        <is>
          <t>12</t>
        </is>
      </c>
      <c r="J479" s="41" t="inlineStr">
        <is>
          <t>222,000</t>
        </is>
      </c>
      <c r="K479" s="41" t="inlineStr">
        <is>
          <t>104</t>
        </is>
      </c>
      <c r="L479" s="41" t="inlineStr">
        <is>
          <t>29</t>
        </is>
      </c>
      <c r="M479" s="41" t="inlineStr">
        <is>
          <t>-</t>
        </is>
      </c>
      <c r="N479" s="41" t="inlineStr">
        <is>
          <t>-</t>
        </is>
      </c>
      <c r="O479" s="41" t="inlineStr">
        <is>
          <t>2017</t>
        </is>
      </c>
      <c r="P479" s="42" t="inlineStr">
        <is>
          <t>서운로 201</t>
        </is>
      </c>
      <c r="Q479" s="41" t="inlineStr">
        <is>
          <t>-</t>
        </is>
      </c>
      <c r="R479" s="42" t="inlineStr">
        <is>
          <t>중개거래</t>
        </is>
      </c>
      <c r="S479" s="42" t="inlineStr">
        <is>
          <t>서울 서초구</t>
        </is>
      </c>
      <c r="T479" s="41" t="inlineStr">
        <is>
          <t>23.06.26</t>
        </is>
      </c>
      <c r="U479" s="42" t="inlineStr">
        <is>
          <t>아파트</t>
        </is>
      </c>
    </row>
    <row r="480" hidden="1" ht="15" customHeight="1">
      <c r="A480" s="41" t="n">
        <v>476</v>
      </c>
      <c r="B480" s="42" t="inlineStr">
        <is>
          <t>서울특별시 서초구 서초동</t>
        </is>
      </c>
      <c r="C480" s="41" t="inlineStr">
        <is>
          <t>1755</t>
        </is>
      </c>
      <c r="D480" s="41" t="inlineStr">
        <is>
          <t>1755</t>
        </is>
      </c>
      <c r="E480" s="41" t="inlineStr">
        <is>
          <t>0000</t>
        </is>
      </c>
      <c r="F480" s="42" t="inlineStr">
        <is>
          <t>래미안 리더스원</t>
        </is>
      </c>
      <c r="G480" s="41" t="inlineStr">
        <is>
          <t>84.9400</t>
        </is>
      </c>
      <c r="H480" s="41" t="inlineStr">
        <is>
          <t>202305</t>
        </is>
      </c>
      <c r="I480" s="41" t="inlineStr">
        <is>
          <t>10</t>
        </is>
      </c>
      <c r="J480" s="41" t="inlineStr">
        <is>
          <t>264,000</t>
        </is>
      </c>
      <c r="K480" s="41" t="inlineStr">
        <is>
          <t>111동</t>
        </is>
      </c>
      <c r="L480" s="41" t="inlineStr">
        <is>
          <t>22</t>
        </is>
      </c>
      <c r="M480" s="41" t="inlineStr">
        <is>
          <t>-</t>
        </is>
      </c>
      <c r="N480" s="41" t="inlineStr">
        <is>
          <t>-</t>
        </is>
      </c>
      <c r="O480" s="41" t="inlineStr">
        <is>
          <t>2020</t>
        </is>
      </c>
      <c r="P480" s="42" t="inlineStr">
        <is>
          <t>서운로 62</t>
        </is>
      </c>
      <c r="Q480" s="41" t="inlineStr">
        <is>
          <t>-</t>
        </is>
      </c>
      <c r="R480" s="42" t="inlineStr">
        <is>
          <t>중개거래</t>
        </is>
      </c>
      <c r="S480" s="42" t="inlineStr">
        <is>
          <t>서울 서초구</t>
        </is>
      </c>
      <c r="T480" s="41" t="inlineStr">
        <is>
          <t>23.08.31</t>
        </is>
      </c>
      <c r="U480" s="42" t="inlineStr">
        <is>
          <t>아파트</t>
        </is>
      </c>
    </row>
    <row r="481" hidden="1" ht="15" customHeight="1">
      <c r="A481" s="41" t="n">
        <v>477</v>
      </c>
      <c r="B481" s="42" t="inlineStr">
        <is>
          <t>서울특별시 서초구 서초동</t>
        </is>
      </c>
      <c r="C481" s="41" t="inlineStr">
        <is>
          <t>1636-1</t>
        </is>
      </c>
      <c r="D481" s="41" t="inlineStr">
        <is>
          <t>1636</t>
        </is>
      </c>
      <c r="E481" s="41" t="inlineStr">
        <is>
          <t>0001</t>
        </is>
      </c>
      <c r="F481" s="42" t="inlineStr">
        <is>
          <t>서초한일</t>
        </is>
      </c>
      <c r="G481" s="41" t="inlineStr">
        <is>
          <t>84.9800</t>
        </is>
      </c>
      <c r="H481" s="41" t="inlineStr">
        <is>
          <t>202305</t>
        </is>
      </c>
      <c r="I481" s="41" t="inlineStr">
        <is>
          <t>09</t>
        </is>
      </c>
      <c r="J481" s="41" t="inlineStr">
        <is>
          <t>110,500</t>
        </is>
      </c>
      <c r="K481" s="41" t="inlineStr">
        <is>
          <t>101</t>
        </is>
      </c>
      <c r="L481" s="41" t="inlineStr">
        <is>
          <t>1</t>
        </is>
      </c>
      <c r="M481" s="41" t="inlineStr">
        <is>
          <t>-</t>
        </is>
      </c>
      <c r="N481" s="41" t="inlineStr">
        <is>
          <t>-</t>
        </is>
      </c>
      <c r="O481" s="41" t="inlineStr">
        <is>
          <t>1997</t>
        </is>
      </c>
      <c r="P481" s="42" t="inlineStr">
        <is>
          <t>서초대로64길 31</t>
        </is>
      </c>
      <c r="Q481" s="41" t="inlineStr">
        <is>
          <t>-</t>
        </is>
      </c>
      <c r="R481" s="42" t="inlineStr">
        <is>
          <t>중개거래</t>
        </is>
      </c>
      <c r="S481" s="42" t="inlineStr">
        <is>
          <t>서울 서초구</t>
        </is>
      </c>
      <c r="T481" s="41" t="inlineStr">
        <is>
          <t>23.06.09</t>
        </is>
      </c>
      <c r="U481" s="42" t="inlineStr">
        <is>
          <t>아파트</t>
        </is>
      </c>
    </row>
    <row r="482" hidden="1" ht="15" customHeight="1">
      <c r="A482" s="41" t="n">
        <v>478</v>
      </c>
      <c r="B482" s="42" t="inlineStr">
        <is>
          <t>서울특별시 서초구 서초동</t>
        </is>
      </c>
      <c r="C482" s="41" t="inlineStr">
        <is>
          <t>1338-1</t>
        </is>
      </c>
      <c r="D482" s="41" t="inlineStr">
        <is>
          <t>1338</t>
        </is>
      </c>
      <c r="E482" s="41" t="inlineStr">
        <is>
          <t>0001</t>
        </is>
      </c>
      <c r="F482" s="42" t="inlineStr">
        <is>
          <t>풍림아이원플러스</t>
        </is>
      </c>
      <c r="G482" s="41" t="inlineStr">
        <is>
          <t>35.9030</t>
        </is>
      </c>
      <c r="H482" s="41" t="inlineStr">
        <is>
          <t>202305</t>
        </is>
      </c>
      <c r="I482" s="41" t="inlineStr">
        <is>
          <t>08</t>
        </is>
      </c>
      <c r="J482" s="41" t="inlineStr">
        <is>
          <t>36,000</t>
        </is>
      </c>
      <c r="K482" s="42" t="inlineStr">
        <is>
          <t>풍림아이원플러스</t>
        </is>
      </c>
      <c r="L482" s="41" t="inlineStr">
        <is>
          <t>11</t>
        </is>
      </c>
      <c r="M482" s="41" t="inlineStr">
        <is>
          <t>-</t>
        </is>
      </c>
      <c r="N482" s="41" t="inlineStr">
        <is>
          <t>-</t>
        </is>
      </c>
      <c r="O482" s="41" t="inlineStr">
        <is>
          <t>2004</t>
        </is>
      </c>
      <c r="P482" s="42" t="inlineStr">
        <is>
          <t>효령로77길 14</t>
        </is>
      </c>
      <c r="Q482" s="41" t="inlineStr">
        <is>
          <t>-</t>
        </is>
      </c>
      <c r="R482" s="42" t="inlineStr">
        <is>
          <t>중개거래</t>
        </is>
      </c>
      <c r="S482" s="42" t="inlineStr">
        <is>
          <t>서울 서초구</t>
        </is>
      </c>
      <c r="T482" s="41" t="inlineStr">
        <is>
          <t>23.06.26</t>
        </is>
      </c>
      <c r="U482" s="42" t="inlineStr">
        <is>
          <t>아파트</t>
        </is>
      </c>
    </row>
    <row r="483" hidden="1" ht="15" customHeight="1">
      <c r="A483" s="41" t="n">
        <v>479</v>
      </c>
      <c r="B483" s="42" t="inlineStr">
        <is>
          <t>서울특별시 서초구 서초동</t>
        </is>
      </c>
      <c r="C483" s="41" t="inlineStr">
        <is>
          <t>1685</t>
        </is>
      </c>
      <c r="D483" s="41" t="inlineStr">
        <is>
          <t>1685</t>
        </is>
      </c>
      <c r="E483" s="41" t="inlineStr">
        <is>
          <t>0000</t>
        </is>
      </c>
      <c r="F483" s="42" t="inlineStr">
        <is>
          <t>삼풍아파트</t>
        </is>
      </c>
      <c r="G483" s="41" t="inlineStr">
        <is>
          <t>79.4700</t>
        </is>
      </c>
      <c r="H483" s="41" t="inlineStr">
        <is>
          <t>202305</t>
        </is>
      </c>
      <c r="I483" s="41" t="inlineStr">
        <is>
          <t>08</t>
        </is>
      </c>
      <c r="J483" s="41" t="inlineStr">
        <is>
          <t>212,000</t>
        </is>
      </c>
      <c r="K483" s="41" t="inlineStr">
        <is>
          <t>9</t>
        </is>
      </c>
      <c r="L483" s="41" t="inlineStr">
        <is>
          <t>6</t>
        </is>
      </c>
      <c r="M483" s="41" t="inlineStr">
        <is>
          <t>-</t>
        </is>
      </c>
      <c r="N483" s="41" t="inlineStr">
        <is>
          <t>-</t>
        </is>
      </c>
      <c r="O483" s="41" t="inlineStr">
        <is>
          <t>1988</t>
        </is>
      </c>
      <c r="P483" s="42" t="inlineStr">
        <is>
          <t>서초중앙로 200</t>
        </is>
      </c>
      <c r="Q483" s="41" t="inlineStr">
        <is>
          <t>-</t>
        </is>
      </c>
      <c r="R483" s="42" t="inlineStr">
        <is>
          <t>중개거래</t>
        </is>
      </c>
      <c r="S483" s="42" t="inlineStr">
        <is>
          <t>서울 서초구</t>
        </is>
      </c>
      <c r="T483" s="41" t="inlineStr">
        <is>
          <t>23.07.18</t>
        </is>
      </c>
      <c r="U483" s="42" t="inlineStr">
        <is>
          <t>아파트</t>
        </is>
      </c>
    </row>
    <row r="484" hidden="1" ht="15" customHeight="1">
      <c r="A484" s="41" t="n">
        <v>480</v>
      </c>
      <c r="B484" s="42" t="inlineStr">
        <is>
          <t>서울특별시 서초구 서초동</t>
        </is>
      </c>
      <c r="C484" s="41" t="inlineStr">
        <is>
          <t>1755</t>
        </is>
      </c>
      <c r="D484" s="41" t="inlineStr">
        <is>
          <t>1755</t>
        </is>
      </c>
      <c r="E484" s="41" t="inlineStr">
        <is>
          <t>0000</t>
        </is>
      </c>
      <c r="F484" s="42" t="inlineStr">
        <is>
          <t>래미안 리더스원</t>
        </is>
      </c>
      <c r="G484" s="41" t="inlineStr">
        <is>
          <t>114.7000</t>
        </is>
      </c>
      <c r="H484" s="41" t="inlineStr">
        <is>
          <t>202305</t>
        </is>
      </c>
      <c r="I484" s="41" t="inlineStr">
        <is>
          <t>07</t>
        </is>
      </c>
      <c r="J484" s="41" t="inlineStr">
        <is>
          <t>350,000</t>
        </is>
      </c>
      <c r="K484" s="41" t="inlineStr">
        <is>
          <t>109동</t>
        </is>
      </c>
      <c r="L484" s="41" t="inlineStr">
        <is>
          <t>14</t>
        </is>
      </c>
      <c r="M484" s="41" t="inlineStr">
        <is>
          <t>-</t>
        </is>
      </c>
      <c r="N484" s="41" t="inlineStr">
        <is>
          <t>-</t>
        </is>
      </c>
      <c r="O484" s="41" t="inlineStr">
        <is>
          <t>2020</t>
        </is>
      </c>
      <c r="P484" s="42" t="inlineStr">
        <is>
          <t>서운로 62</t>
        </is>
      </c>
      <c r="Q484" s="41" t="inlineStr">
        <is>
          <t>-</t>
        </is>
      </c>
      <c r="R484" s="42" t="inlineStr">
        <is>
          <t>중개거래</t>
        </is>
      </c>
      <c r="S484" s="42" t="inlineStr">
        <is>
          <t>서울 서초구</t>
        </is>
      </c>
      <c r="T484" s="41" t="inlineStr">
        <is>
          <t>23.07.04</t>
        </is>
      </c>
      <c r="U484" s="42" t="inlineStr">
        <is>
          <t>아파트</t>
        </is>
      </c>
    </row>
    <row r="485" hidden="1" ht="15" customHeight="1">
      <c r="A485" s="41" t="n">
        <v>481</v>
      </c>
      <c r="B485" s="42" t="inlineStr">
        <is>
          <t>서울특별시 서초구 서초동</t>
        </is>
      </c>
      <c r="C485" s="41" t="inlineStr">
        <is>
          <t>1355-24</t>
        </is>
      </c>
      <c r="D485" s="41" t="inlineStr">
        <is>
          <t>1355</t>
        </is>
      </c>
      <c r="E485" s="41" t="inlineStr">
        <is>
          <t>0024</t>
        </is>
      </c>
      <c r="F485" s="42" t="inlineStr">
        <is>
          <t>우정에쉐르</t>
        </is>
      </c>
      <c r="G485" s="41" t="inlineStr">
        <is>
          <t>77.3900</t>
        </is>
      </c>
      <c r="H485" s="41" t="inlineStr">
        <is>
          <t>202305</t>
        </is>
      </c>
      <c r="I485" s="41" t="inlineStr">
        <is>
          <t>06</t>
        </is>
      </c>
      <c r="J485" s="41" t="inlineStr">
        <is>
          <t>96,500</t>
        </is>
      </c>
      <c r="K485" s="41" t="inlineStr">
        <is>
          <t>-</t>
        </is>
      </c>
      <c r="L485" s="41" t="inlineStr">
        <is>
          <t>3</t>
        </is>
      </c>
      <c r="M485" s="41" t="inlineStr">
        <is>
          <t>-</t>
        </is>
      </c>
      <c r="N485" s="41" t="inlineStr">
        <is>
          <t>-</t>
        </is>
      </c>
      <c r="O485" s="41" t="inlineStr">
        <is>
          <t>2004</t>
        </is>
      </c>
      <c r="P485" s="42" t="inlineStr">
        <is>
          <t>서운로3길 29</t>
        </is>
      </c>
      <c r="Q485" s="41" t="inlineStr">
        <is>
          <t>-</t>
        </is>
      </c>
      <c r="R485" s="42" t="inlineStr">
        <is>
          <t>중개거래</t>
        </is>
      </c>
      <c r="S485" s="42" t="inlineStr">
        <is>
          <t>서울 서초구</t>
        </is>
      </c>
      <c r="T485" s="41" t="inlineStr">
        <is>
          <t>23.10.13</t>
        </is>
      </c>
      <c r="U485" s="42" t="inlineStr">
        <is>
          <t>아파트</t>
        </is>
      </c>
    </row>
    <row r="486" hidden="1" ht="15" customHeight="1">
      <c r="A486" s="41" t="n">
        <v>482</v>
      </c>
      <c r="B486" s="42" t="inlineStr">
        <is>
          <t>서울특별시 서초구 서초동</t>
        </is>
      </c>
      <c r="C486" s="41" t="inlineStr">
        <is>
          <t>1584-6</t>
        </is>
      </c>
      <c r="D486" s="41" t="inlineStr">
        <is>
          <t>1584</t>
        </is>
      </c>
      <c r="E486" s="41" t="inlineStr">
        <is>
          <t>0006</t>
        </is>
      </c>
      <c r="F486" s="41" t="inlineStr">
        <is>
          <t>DK밸리뷰시티</t>
        </is>
      </c>
      <c r="G486" s="41" t="inlineStr">
        <is>
          <t>28.1400</t>
        </is>
      </c>
      <c r="H486" s="41" t="inlineStr">
        <is>
          <t>202305</t>
        </is>
      </c>
      <c r="I486" s="41" t="inlineStr">
        <is>
          <t>06</t>
        </is>
      </c>
      <c r="J486" s="41" t="inlineStr">
        <is>
          <t>44,000</t>
        </is>
      </c>
      <c r="K486" s="41" t="inlineStr">
        <is>
          <t>2동</t>
        </is>
      </c>
      <c r="L486" s="41" t="inlineStr">
        <is>
          <t>13</t>
        </is>
      </c>
      <c r="M486" s="41" t="inlineStr">
        <is>
          <t>-</t>
        </is>
      </c>
      <c r="N486" s="41" t="inlineStr">
        <is>
          <t>-</t>
        </is>
      </c>
      <c r="O486" s="41" t="inlineStr">
        <is>
          <t>2019</t>
        </is>
      </c>
      <c r="P486" s="42" t="inlineStr">
        <is>
          <t>반포대로14길 14</t>
        </is>
      </c>
      <c r="Q486" s="41" t="inlineStr">
        <is>
          <t>-</t>
        </is>
      </c>
      <c r="R486" s="42" t="inlineStr">
        <is>
          <t>중개거래</t>
        </is>
      </c>
      <c r="S486" s="42" t="inlineStr">
        <is>
          <t>서울 서초구</t>
        </is>
      </c>
      <c r="T486" s="41" t="inlineStr">
        <is>
          <t>23.06.09</t>
        </is>
      </c>
      <c r="U486" s="42" t="inlineStr">
        <is>
          <t>아파트</t>
        </is>
      </c>
    </row>
    <row r="487" hidden="1" ht="15" customHeight="1">
      <c r="A487" s="41" t="n">
        <v>483</v>
      </c>
      <c r="B487" s="42" t="inlineStr">
        <is>
          <t>서울특별시 서초구 서초동</t>
        </is>
      </c>
      <c r="C487" s="41" t="inlineStr">
        <is>
          <t>1755</t>
        </is>
      </c>
      <c r="D487" s="41" t="inlineStr">
        <is>
          <t>1755</t>
        </is>
      </c>
      <c r="E487" s="41" t="inlineStr">
        <is>
          <t>0000</t>
        </is>
      </c>
      <c r="F487" s="42" t="inlineStr">
        <is>
          <t>래미안 리더스원</t>
        </is>
      </c>
      <c r="G487" s="41" t="inlineStr">
        <is>
          <t>84.9400</t>
        </is>
      </c>
      <c r="H487" s="41" t="inlineStr">
        <is>
          <t>202305</t>
        </is>
      </c>
      <c r="I487" s="41" t="inlineStr">
        <is>
          <t>05</t>
        </is>
      </c>
      <c r="J487" s="41" t="inlineStr">
        <is>
          <t>262,000</t>
        </is>
      </c>
      <c r="K487" s="41" t="inlineStr">
        <is>
          <t>105동</t>
        </is>
      </c>
      <c r="L487" s="41" t="inlineStr">
        <is>
          <t>11</t>
        </is>
      </c>
      <c r="M487" s="41" t="inlineStr">
        <is>
          <t>-</t>
        </is>
      </c>
      <c r="N487" s="41" t="inlineStr">
        <is>
          <t>-</t>
        </is>
      </c>
      <c r="O487" s="41" t="inlineStr">
        <is>
          <t>2020</t>
        </is>
      </c>
      <c r="P487" s="42" t="inlineStr">
        <is>
          <t>서운로 62</t>
        </is>
      </c>
      <c r="Q487" s="41" t="inlineStr">
        <is>
          <t>-</t>
        </is>
      </c>
      <c r="R487" s="42" t="inlineStr">
        <is>
          <t>중개거래</t>
        </is>
      </c>
      <c r="S487" s="42" t="inlineStr">
        <is>
          <t>서울 서초구</t>
        </is>
      </c>
      <c r="T487" s="41" t="inlineStr">
        <is>
          <t>23.11.10</t>
        </is>
      </c>
      <c r="U487" s="42" t="inlineStr">
        <is>
          <t>아파트</t>
        </is>
      </c>
    </row>
    <row r="488" hidden="1" ht="15" customHeight="1">
      <c r="A488" s="41" t="n">
        <v>484</v>
      </c>
      <c r="B488" s="42" t="inlineStr">
        <is>
          <t>서울특별시 서초구 서초동</t>
        </is>
      </c>
      <c r="C488" s="41" t="inlineStr">
        <is>
          <t>1326-17</t>
        </is>
      </c>
      <c r="D488" s="41" t="inlineStr">
        <is>
          <t>1326</t>
        </is>
      </c>
      <c r="E488" s="41" t="inlineStr">
        <is>
          <t>0017</t>
        </is>
      </c>
      <c r="F488" s="42" t="inlineStr">
        <is>
          <t>우성아파트</t>
        </is>
      </c>
      <c r="G488" s="41" t="inlineStr">
        <is>
          <t>59.9300</t>
        </is>
      </c>
      <c r="H488" s="41" t="inlineStr">
        <is>
          <t>202305</t>
        </is>
      </c>
      <c r="I488" s="41" t="inlineStr">
        <is>
          <t>04</t>
        </is>
      </c>
      <c r="J488" s="41" t="inlineStr">
        <is>
          <t>131,000</t>
        </is>
      </c>
      <c r="K488" s="41" t="inlineStr">
        <is>
          <t>501</t>
        </is>
      </c>
      <c r="L488" s="41" t="inlineStr">
        <is>
          <t>21</t>
        </is>
      </c>
      <c r="M488" s="41" t="inlineStr">
        <is>
          <t>-</t>
        </is>
      </c>
      <c r="N488" s="41" t="inlineStr">
        <is>
          <t>-</t>
        </is>
      </c>
      <c r="O488" s="41" t="inlineStr">
        <is>
          <t>1998</t>
        </is>
      </c>
      <c r="P488" s="42" t="inlineStr">
        <is>
          <t>서초대로74길 30</t>
        </is>
      </c>
      <c r="Q488" s="41" t="inlineStr">
        <is>
          <t>-</t>
        </is>
      </c>
      <c r="R488" s="42" t="inlineStr">
        <is>
          <t>중개거래</t>
        </is>
      </c>
      <c r="S488" s="42" t="inlineStr">
        <is>
          <t>서울 서초구</t>
        </is>
      </c>
      <c r="T488" s="41" t="inlineStr">
        <is>
          <t>23.09.22</t>
        </is>
      </c>
      <c r="U488" s="42" t="inlineStr">
        <is>
          <t>아파트</t>
        </is>
      </c>
    </row>
    <row r="489" hidden="1" ht="15" customHeight="1">
      <c r="A489" s="41" t="n">
        <v>485</v>
      </c>
      <c r="B489" s="42" t="inlineStr">
        <is>
          <t>서울특별시 서초구 서초동</t>
        </is>
      </c>
      <c r="C489" s="41" t="inlineStr">
        <is>
          <t>1311-10</t>
        </is>
      </c>
      <c r="D489" s="41" t="inlineStr">
        <is>
          <t>1311</t>
        </is>
      </c>
      <c r="E489" s="41" t="inlineStr">
        <is>
          <t>0010</t>
        </is>
      </c>
      <c r="F489" s="42" t="inlineStr">
        <is>
          <t>서초푸르지오써밋</t>
        </is>
      </c>
      <c r="G489" s="41" t="inlineStr">
        <is>
          <t>84.9300</t>
        </is>
      </c>
      <c r="H489" s="41" t="inlineStr">
        <is>
          <t>202305</t>
        </is>
      </c>
      <c r="I489" s="41" t="inlineStr">
        <is>
          <t>03</t>
        </is>
      </c>
      <c r="J489" s="41" t="inlineStr">
        <is>
          <t>247,500</t>
        </is>
      </c>
      <c r="K489" s="41" t="inlineStr">
        <is>
          <t>105</t>
        </is>
      </c>
      <c r="L489" s="41" t="inlineStr">
        <is>
          <t>27</t>
        </is>
      </c>
      <c r="M489" s="41" t="inlineStr">
        <is>
          <t>-</t>
        </is>
      </c>
      <c r="N489" s="41" t="inlineStr">
        <is>
          <t>-</t>
        </is>
      </c>
      <c r="O489" s="41" t="inlineStr">
        <is>
          <t>2017</t>
        </is>
      </c>
      <c r="P489" s="42" t="inlineStr">
        <is>
          <t>서운로 201</t>
        </is>
      </c>
      <c r="Q489" s="41" t="inlineStr">
        <is>
          <t>-</t>
        </is>
      </c>
      <c r="R489" s="42" t="inlineStr">
        <is>
          <t>중개거래</t>
        </is>
      </c>
      <c r="S489" s="42" t="inlineStr">
        <is>
          <t>서울 서초구</t>
        </is>
      </c>
      <c r="T489" s="41" t="inlineStr">
        <is>
          <t>23.07.06</t>
        </is>
      </c>
      <c r="U489" s="42" t="inlineStr">
        <is>
          <t>아파트</t>
        </is>
      </c>
    </row>
    <row r="490" hidden="1" ht="15" customHeight="1">
      <c r="A490" s="41" t="n">
        <v>486</v>
      </c>
      <c r="B490" s="42" t="inlineStr">
        <is>
          <t>서울특별시 서초구 서초동</t>
        </is>
      </c>
      <c r="C490" s="41" t="inlineStr">
        <is>
          <t>1675-11</t>
        </is>
      </c>
      <c r="D490" s="41" t="inlineStr">
        <is>
          <t>1675</t>
        </is>
      </c>
      <c r="E490" s="41" t="inlineStr">
        <is>
          <t>0011</t>
        </is>
      </c>
      <c r="F490" s="42" t="inlineStr">
        <is>
          <t>서초대우아이빌</t>
        </is>
      </c>
      <c r="G490" s="41" t="inlineStr">
        <is>
          <t>29.8410</t>
        </is>
      </c>
      <c r="H490" s="41" t="inlineStr">
        <is>
          <t>202305</t>
        </is>
      </c>
      <c r="I490" s="41" t="inlineStr">
        <is>
          <t>03</t>
        </is>
      </c>
      <c r="J490" s="41" t="inlineStr">
        <is>
          <t>25,000</t>
        </is>
      </c>
      <c r="K490" s="42" t="inlineStr">
        <is>
          <t>서초 대우아이빌</t>
        </is>
      </c>
      <c r="L490" s="41" t="inlineStr">
        <is>
          <t>15</t>
        </is>
      </c>
      <c r="M490" s="41" t="inlineStr">
        <is>
          <t>-</t>
        </is>
      </c>
      <c r="N490" s="41" t="inlineStr">
        <is>
          <t>-</t>
        </is>
      </c>
      <c r="O490" s="41" t="inlineStr">
        <is>
          <t>2003</t>
        </is>
      </c>
      <c r="P490" s="42" t="inlineStr">
        <is>
          <t>서초대로58길 10</t>
        </is>
      </c>
      <c r="Q490" s="41" t="inlineStr">
        <is>
          <t>-</t>
        </is>
      </c>
      <c r="R490" s="42" t="inlineStr">
        <is>
          <t>중개거래</t>
        </is>
      </c>
      <c r="S490" s="42" t="inlineStr">
        <is>
          <t>서울 서초구</t>
        </is>
      </c>
      <c r="T490" s="41" t="inlineStr">
        <is>
          <t>23.05.25</t>
        </is>
      </c>
      <c r="U490" s="42" t="inlineStr">
        <is>
          <t>아파트</t>
        </is>
      </c>
    </row>
    <row r="491" hidden="1" ht="15" customHeight="1">
      <c r="A491" s="41" t="n">
        <v>487</v>
      </c>
      <c r="B491" s="42" t="inlineStr">
        <is>
          <t>서울특별시 서초구 서초동</t>
        </is>
      </c>
      <c r="C491" s="41" t="inlineStr">
        <is>
          <t>1446-11</t>
        </is>
      </c>
      <c r="D491" s="41" t="inlineStr">
        <is>
          <t>1446</t>
        </is>
      </c>
      <c r="E491" s="41" t="inlineStr">
        <is>
          <t>0011</t>
        </is>
      </c>
      <c r="F491" s="42" t="inlineStr">
        <is>
          <t>현대슈퍼빌</t>
        </is>
      </c>
      <c r="G491" s="41" t="inlineStr">
        <is>
          <t>164.8700</t>
        </is>
      </c>
      <c r="H491" s="41" t="inlineStr">
        <is>
          <t>202305</t>
        </is>
      </c>
      <c r="I491" s="41" t="inlineStr">
        <is>
          <t>03</t>
        </is>
      </c>
      <c r="J491" s="41" t="inlineStr">
        <is>
          <t>257,000</t>
        </is>
      </c>
      <c r="K491" s="41" t="inlineStr">
        <is>
          <t>B</t>
        </is>
      </c>
      <c r="L491" s="41" t="inlineStr">
        <is>
          <t>6</t>
        </is>
      </c>
      <c r="M491" s="41" t="inlineStr">
        <is>
          <t>-</t>
        </is>
      </c>
      <c r="N491" s="41" t="inlineStr">
        <is>
          <t>-</t>
        </is>
      </c>
      <c r="O491" s="41" t="inlineStr">
        <is>
          <t>2003</t>
        </is>
      </c>
      <c r="P491" s="42" t="inlineStr">
        <is>
          <t>서초중앙로 15</t>
        </is>
      </c>
      <c r="Q491" s="41" t="inlineStr">
        <is>
          <t>-</t>
        </is>
      </c>
      <c r="R491" s="42" t="inlineStr">
        <is>
          <t>중개거래</t>
        </is>
      </c>
      <c r="S491" s="42" t="inlineStr">
        <is>
          <t>서울 서초구</t>
        </is>
      </c>
      <c r="T491" s="41" t="inlineStr">
        <is>
          <t>23.07.03</t>
        </is>
      </c>
      <c r="U491" s="42" t="inlineStr">
        <is>
          <t>아파트</t>
        </is>
      </c>
    </row>
    <row r="492" hidden="1" ht="15" customHeight="1">
      <c r="A492" s="41" t="n">
        <v>488</v>
      </c>
      <c r="B492" s="42" t="inlineStr">
        <is>
          <t>서울특별시 서초구 서초동</t>
        </is>
      </c>
      <c r="C492" s="41" t="inlineStr">
        <is>
          <t>1333</t>
        </is>
      </c>
      <c r="D492" s="41" t="inlineStr">
        <is>
          <t>1333</t>
        </is>
      </c>
      <c r="E492" s="41" t="inlineStr">
        <is>
          <t>0000</t>
        </is>
      </c>
      <c r="F492" s="42" t="inlineStr">
        <is>
          <t>신동아아파트(1차)</t>
        </is>
      </c>
      <c r="G492" s="41" t="inlineStr">
        <is>
          <t>86.6100</t>
        </is>
      </c>
      <c r="H492" s="41" t="inlineStr">
        <is>
          <t>202305</t>
        </is>
      </c>
      <c r="I492" s="41" t="inlineStr">
        <is>
          <t>03</t>
        </is>
      </c>
      <c r="J492" s="41" t="inlineStr">
        <is>
          <t>181,500</t>
        </is>
      </c>
      <c r="K492" s="41" t="inlineStr">
        <is>
          <t>7</t>
        </is>
      </c>
      <c r="L492" s="41" t="inlineStr">
        <is>
          <t>4</t>
        </is>
      </c>
      <c r="M492" s="41" t="inlineStr">
        <is>
          <t>-</t>
        </is>
      </c>
      <c r="N492" s="41" t="inlineStr">
        <is>
          <t>-</t>
        </is>
      </c>
      <c r="O492" s="41" t="inlineStr">
        <is>
          <t>1978</t>
        </is>
      </c>
      <c r="P492" s="42" t="inlineStr">
        <is>
          <t>사임당로 130</t>
        </is>
      </c>
      <c r="Q492" s="41" t="inlineStr">
        <is>
          <t>-</t>
        </is>
      </c>
      <c r="R492" s="42" t="inlineStr">
        <is>
          <t>중개거래</t>
        </is>
      </c>
      <c r="S492" s="42" t="inlineStr">
        <is>
          <t>서울 서초구</t>
        </is>
      </c>
      <c r="T492" s="41" t="inlineStr">
        <is>
          <t>23.08.30</t>
        </is>
      </c>
      <c r="U492" s="42" t="inlineStr">
        <is>
          <t>아파트</t>
        </is>
      </c>
    </row>
    <row r="493" hidden="1" ht="15" customHeight="1">
      <c r="A493" s="41" t="n">
        <v>489</v>
      </c>
      <c r="B493" s="42" t="inlineStr">
        <is>
          <t>서울특별시 서초구 서초동</t>
        </is>
      </c>
      <c r="C493" s="41" t="inlineStr">
        <is>
          <t>1311-10</t>
        </is>
      </c>
      <c r="D493" s="41" t="inlineStr">
        <is>
          <t>1311</t>
        </is>
      </c>
      <c r="E493" s="41" t="inlineStr">
        <is>
          <t>0010</t>
        </is>
      </c>
      <c r="F493" s="42" t="inlineStr">
        <is>
          <t>서초푸르지오써밋</t>
        </is>
      </c>
      <c r="G493" s="41" t="inlineStr">
        <is>
          <t>59.9200</t>
        </is>
      </c>
      <c r="H493" s="41" t="inlineStr">
        <is>
          <t>202305</t>
        </is>
      </c>
      <c r="I493" s="41" t="inlineStr">
        <is>
          <t>03</t>
        </is>
      </c>
      <c r="J493" s="41" t="inlineStr">
        <is>
          <t>202,500</t>
        </is>
      </c>
      <c r="K493" s="41" t="inlineStr">
        <is>
          <t>104</t>
        </is>
      </c>
      <c r="L493" s="41" t="inlineStr">
        <is>
          <t>17</t>
        </is>
      </c>
      <c r="M493" s="41" t="inlineStr">
        <is>
          <t>-</t>
        </is>
      </c>
      <c r="N493" s="41" t="inlineStr">
        <is>
          <t>-</t>
        </is>
      </c>
      <c r="O493" s="41" t="inlineStr">
        <is>
          <t>2017</t>
        </is>
      </c>
      <c r="P493" s="42" t="inlineStr">
        <is>
          <t>서운로 201</t>
        </is>
      </c>
      <c r="Q493" s="41" t="inlineStr">
        <is>
          <t>-</t>
        </is>
      </c>
      <c r="R493" s="42" t="inlineStr">
        <is>
          <t>중개거래</t>
        </is>
      </c>
      <c r="S493" s="42" t="inlineStr">
        <is>
          <t>서울 서초구</t>
        </is>
      </c>
      <c r="T493" s="41" t="inlineStr">
        <is>
          <t>23.07.05</t>
        </is>
      </c>
      <c r="U493" s="42" t="inlineStr">
        <is>
          <t>아파트</t>
        </is>
      </c>
    </row>
    <row r="494" hidden="1" ht="15" customHeight="1">
      <c r="A494" s="41" t="n">
        <v>490</v>
      </c>
      <c r="B494" s="42" t="inlineStr">
        <is>
          <t>서울특별시 서초구 서초동</t>
        </is>
      </c>
      <c r="C494" s="41" t="inlineStr">
        <is>
          <t>1755</t>
        </is>
      </c>
      <c r="D494" s="41" t="inlineStr">
        <is>
          <t>1755</t>
        </is>
      </c>
      <c r="E494" s="41" t="inlineStr">
        <is>
          <t>0000</t>
        </is>
      </c>
      <c r="F494" s="42" t="inlineStr">
        <is>
          <t>래미안 리더스원</t>
        </is>
      </c>
      <c r="G494" s="41" t="inlineStr">
        <is>
          <t>114.7000</t>
        </is>
      </c>
      <c r="H494" s="41" t="inlineStr">
        <is>
          <t>202305</t>
        </is>
      </c>
      <c r="I494" s="41" t="inlineStr">
        <is>
          <t>02</t>
        </is>
      </c>
      <c r="J494" s="41" t="inlineStr">
        <is>
          <t>345,000</t>
        </is>
      </c>
      <c r="K494" s="41" t="inlineStr">
        <is>
          <t>109동</t>
        </is>
      </c>
      <c r="L494" s="41" t="inlineStr">
        <is>
          <t>4</t>
        </is>
      </c>
      <c r="M494" s="41" t="inlineStr">
        <is>
          <t>-</t>
        </is>
      </c>
      <c r="N494" s="41" t="inlineStr">
        <is>
          <t>-</t>
        </is>
      </c>
      <c r="O494" s="41" t="inlineStr">
        <is>
          <t>2020</t>
        </is>
      </c>
      <c r="P494" s="42" t="inlineStr">
        <is>
          <t>서운로 62</t>
        </is>
      </c>
      <c r="Q494" s="41" t="inlineStr">
        <is>
          <t>-</t>
        </is>
      </c>
      <c r="R494" s="42" t="inlineStr">
        <is>
          <t>중개거래</t>
        </is>
      </c>
      <c r="S494" s="42" t="inlineStr">
        <is>
          <t>서울 서초구</t>
        </is>
      </c>
      <c r="T494" s="41" t="inlineStr">
        <is>
          <t>23.08.04</t>
        </is>
      </c>
      <c r="U494" s="42" t="inlineStr">
        <is>
          <t>아파트</t>
        </is>
      </c>
    </row>
    <row r="495" hidden="1" ht="15" customHeight="1">
      <c r="A495" s="41" t="n">
        <v>491</v>
      </c>
      <c r="B495" s="42" t="inlineStr">
        <is>
          <t>서울특별시 서초구 서초동</t>
        </is>
      </c>
      <c r="C495" s="41" t="inlineStr">
        <is>
          <t>1326-17</t>
        </is>
      </c>
      <c r="D495" s="41" t="inlineStr">
        <is>
          <t>1326</t>
        </is>
      </c>
      <c r="E495" s="41" t="inlineStr">
        <is>
          <t>0017</t>
        </is>
      </c>
      <c r="F495" s="42" t="inlineStr">
        <is>
          <t>우성아파트</t>
        </is>
      </c>
      <c r="G495" s="41" t="inlineStr">
        <is>
          <t>76.6700</t>
        </is>
      </c>
      <c r="H495" s="41" t="inlineStr">
        <is>
          <t>202305</t>
        </is>
      </c>
      <c r="I495" s="41" t="inlineStr">
        <is>
          <t>02</t>
        </is>
      </c>
      <c r="J495" s="41" t="inlineStr">
        <is>
          <t>181,000</t>
        </is>
      </c>
      <c r="K495" s="41" t="inlineStr">
        <is>
          <t>501</t>
        </is>
      </c>
      <c r="L495" s="41" t="inlineStr">
        <is>
          <t>17</t>
        </is>
      </c>
      <c r="M495" s="41" t="inlineStr">
        <is>
          <t>-</t>
        </is>
      </c>
      <c r="N495" s="41" t="inlineStr">
        <is>
          <t>-</t>
        </is>
      </c>
      <c r="O495" s="41" t="inlineStr">
        <is>
          <t>1998</t>
        </is>
      </c>
      <c r="P495" s="42" t="inlineStr">
        <is>
          <t>서초대로74길 30</t>
        </is>
      </c>
      <c r="Q495" s="41" t="inlineStr">
        <is>
          <t>-</t>
        </is>
      </c>
      <c r="R495" s="42" t="inlineStr">
        <is>
          <t>중개거래</t>
        </is>
      </c>
      <c r="S495" s="42" t="inlineStr">
        <is>
          <t>서울 강남구 서울 서초구</t>
        </is>
      </c>
      <c r="T495" s="41" t="inlineStr">
        <is>
          <t>23.06.30</t>
        </is>
      </c>
      <c r="U495" s="42" t="inlineStr">
        <is>
          <t>아파트</t>
        </is>
      </c>
    </row>
    <row r="496" hidden="1" ht="15" customHeight="1">
      <c r="A496" s="41" t="n">
        <v>492</v>
      </c>
      <c r="B496" s="42" t="inlineStr">
        <is>
          <t>서울특별시 서초구 서초동</t>
        </is>
      </c>
      <c r="C496" s="41" t="inlineStr">
        <is>
          <t>1301-6</t>
        </is>
      </c>
      <c r="D496" s="41" t="inlineStr">
        <is>
          <t>1301</t>
        </is>
      </c>
      <c r="E496" s="41" t="inlineStr">
        <is>
          <t>0006</t>
        </is>
      </c>
      <c r="F496" s="42" t="inlineStr">
        <is>
          <t>래미안서초스위트</t>
        </is>
      </c>
      <c r="G496" s="41" t="inlineStr">
        <is>
          <t>84.9571</t>
        </is>
      </c>
      <c r="H496" s="41" t="inlineStr">
        <is>
          <t>202305</t>
        </is>
      </c>
      <c r="I496" s="41" t="inlineStr">
        <is>
          <t>01</t>
        </is>
      </c>
      <c r="J496" s="41" t="inlineStr">
        <is>
          <t>221,500</t>
        </is>
      </c>
      <c r="K496" s="41" t="inlineStr">
        <is>
          <t>102</t>
        </is>
      </c>
      <c r="L496" s="41" t="inlineStr">
        <is>
          <t>3</t>
        </is>
      </c>
      <c r="M496" s="41" t="inlineStr">
        <is>
          <t>-</t>
        </is>
      </c>
      <c r="N496" s="41" t="inlineStr">
        <is>
          <t>-</t>
        </is>
      </c>
      <c r="O496" s="41" t="inlineStr">
        <is>
          <t>2009</t>
        </is>
      </c>
      <c r="P496" s="42" t="inlineStr">
        <is>
          <t>서운로 221</t>
        </is>
      </c>
      <c r="Q496" s="41" t="inlineStr">
        <is>
          <t>-</t>
        </is>
      </c>
      <c r="R496" s="42" t="inlineStr">
        <is>
          <t>중개거래</t>
        </is>
      </c>
      <c r="S496" s="42" t="inlineStr">
        <is>
          <t>서울 서초구</t>
        </is>
      </c>
      <c r="T496" s="41" t="inlineStr">
        <is>
          <t>23.08.31</t>
        </is>
      </c>
      <c r="U496" s="42" t="inlineStr">
        <is>
          <t>아파트</t>
        </is>
      </c>
    </row>
    <row r="497" hidden="1" ht="15" customHeight="1">
      <c r="A497" s="41" t="n">
        <v>493</v>
      </c>
      <c r="B497" s="42" t="inlineStr">
        <is>
          <t>서울특별시 서초구 서초동</t>
        </is>
      </c>
      <c r="C497" s="41" t="inlineStr">
        <is>
          <t>1755</t>
        </is>
      </c>
      <c r="D497" s="41" t="inlineStr">
        <is>
          <t>1755</t>
        </is>
      </c>
      <c r="E497" s="41" t="inlineStr">
        <is>
          <t>0000</t>
        </is>
      </c>
      <c r="F497" s="42" t="inlineStr">
        <is>
          <t>래미안 리더스원</t>
        </is>
      </c>
      <c r="G497" s="41" t="inlineStr">
        <is>
          <t>84.9400</t>
        </is>
      </c>
      <c r="H497" s="41" t="inlineStr">
        <is>
          <t>202304</t>
        </is>
      </c>
      <c r="I497" s="41" t="inlineStr">
        <is>
          <t>30</t>
        </is>
      </c>
      <c r="J497" s="41" t="inlineStr">
        <is>
          <t>266,000</t>
        </is>
      </c>
      <c r="K497" s="41" t="inlineStr">
        <is>
          <t>108동</t>
        </is>
      </c>
      <c r="L497" s="41" t="inlineStr">
        <is>
          <t>7</t>
        </is>
      </c>
      <c r="M497" s="41" t="inlineStr">
        <is>
          <t>-</t>
        </is>
      </c>
      <c r="N497" s="41" t="inlineStr">
        <is>
          <t>-</t>
        </is>
      </c>
      <c r="O497" s="41" t="inlineStr">
        <is>
          <t>2020</t>
        </is>
      </c>
      <c r="P497" s="42" t="inlineStr">
        <is>
          <t>서운로 62</t>
        </is>
      </c>
      <c r="Q497" s="41" t="inlineStr">
        <is>
          <t>-</t>
        </is>
      </c>
      <c r="R497" s="42" t="inlineStr">
        <is>
          <t>중개거래</t>
        </is>
      </c>
      <c r="S497" s="42" t="inlineStr">
        <is>
          <t>서울 서초구</t>
        </is>
      </c>
      <c r="T497" s="41" t="inlineStr">
        <is>
          <t>23.07.28</t>
        </is>
      </c>
      <c r="U497" s="42" t="inlineStr">
        <is>
          <t>아파트</t>
        </is>
      </c>
    </row>
    <row r="498" hidden="1" ht="15" customHeight="1">
      <c r="A498" s="41" t="n">
        <v>494</v>
      </c>
      <c r="B498" s="42" t="inlineStr">
        <is>
          <t>서울특별시 서초구 서초동</t>
        </is>
      </c>
      <c r="C498" s="41" t="inlineStr">
        <is>
          <t>1312-3</t>
        </is>
      </c>
      <c r="D498" s="41" t="inlineStr">
        <is>
          <t>1312</t>
        </is>
      </c>
      <c r="E498" s="41" t="inlineStr">
        <is>
          <t>0003</t>
        </is>
      </c>
      <c r="F498" s="42" t="inlineStr">
        <is>
          <t>롯데캐슬클래식</t>
        </is>
      </c>
      <c r="G498" s="41" t="inlineStr">
        <is>
          <t>84.9800</t>
        </is>
      </c>
      <c r="H498" s="41" t="inlineStr">
        <is>
          <t>202304</t>
        </is>
      </c>
      <c r="I498" s="41" t="inlineStr">
        <is>
          <t>29</t>
        </is>
      </c>
      <c r="J498" s="41" t="inlineStr">
        <is>
          <t>217,000</t>
        </is>
      </c>
      <c r="K498" s="41" t="inlineStr">
        <is>
          <t>101</t>
        </is>
      </c>
      <c r="L498" s="41" t="inlineStr">
        <is>
          <t>4</t>
        </is>
      </c>
      <c r="M498" s="41" t="inlineStr">
        <is>
          <t>-</t>
        </is>
      </c>
      <c r="N498" s="41" t="inlineStr">
        <is>
          <t>-</t>
        </is>
      </c>
      <c r="O498" s="41" t="inlineStr">
        <is>
          <t>2006</t>
        </is>
      </c>
      <c r="P498" s="42" t="inlineStr">
        <is>
          <t>서운로 197</t>
        </is>
      </c>
      <c r="Q498" s="41" t="inlineStr">
        <is>
          <t>-</t>
        </is>
      </c>
      <c r="R498" s="42" t="inlineStr">
        <is>
          <t>중개거래</t>
        </is>
      </c>
      <c r="S498" s="42" t="inlineStr">
        <is>
          <t>서울 서초구</t>
        </is>
      </c>
      <c r="T498" s="41" t="inlineStr">
        <is>
          <t>23.10.27</t>
        </is>
      </c>
      <c r="U498" s="42" t="inlineStr">
        <is>
          <t>아파트</t>
        </is>
      </c>
    </row>
    <row r="499" hidden="1" ht="15" customHeight="1">
      <c r="A499" s="41" t="n">
        <v>495</v>
      </c>
      <c r="B499" s="42" t="inlineStr">
        <is>
          <t>서울특별시 서초구 서초동</t>
        </is>
      </c>
      <c r="C499" s="41" t="inlineStr">
        <is>
          <t>1326-17</t>
        </is>
      </c>
      <c r="D499" s="41" t="inlineStr">
        <is>
          <t>1326</t>
        </is>
      </c>
      <c r="E499" s="41" t="inlineStr">
        <is>
          <t>0017</t>
        </is>
      </c>
      <c r="F499" s="42" t="inlineStr">
        <is>
          <t>우성아파트</t>
        </is>
      </c>
      <c r="G499" s="41" t="inlineStr">
        <is>
          <t>59.9300</t>
        </is>
      </c>
      <c r="H499" s="41" t="inlineStr">
        <is>
          <t>202304</t>
        </is>
      </c>
      <c r="I499" s="41" t="inlineStr">
        <is>
          <t>28</t>
        </is>
      </c>
      <c r="J499" s="41" t="inlineStr">
        <is>
          <t>132,500</t>
        </is>
      </c>
      <c r="K499" s="41" t="inlineStr">
        <is>
          <t>501</t>
        </is>
      </c>
      <c r="L499" s="41" t="inlineStr">
        <is>
          <t>9</t>
        </is>
      </c>
      <c r="M499" s="41" t="inlineStr">
        <is>
          <t>-</t>
        </is>
      </c>
      <c r="N499" s="41" t="inlineStr">
        <is>
          <t>-</t>
        </is>
      </c>
      <c r="O499" s="41" t="inlineStr">
        <is>
          <t>1998</t>
        </is>
      </c>
      <c r="P499" s="42" t="inlineStr">
        <is>
          <t>서초대로74길 30</t>
        </is>
      </c>
      <c r="Q499" s="41" t="inlineStr">
        <is>
          <t>-</t>
        </is>
      </c>
      <c r="R499" s="42" t="inlineStr">
        <is>
          <t>중개거래</t>
        </is>
      </c>
      <c r="S499" s="42" t="inlineStr">
        <is>
          <t>서울 서초구</t>
        </is>
      </c>
      <c r="T499" s="41" t="inlineStr">
        <is>
          <t>23.06.28</t>
        </is>
      </c>
      <c r="U499" s="42" t="inlineStr">
        <is>
          <t>아파트</t>
        </is>
      </c>
    </row>
    <row r="500" hidden="1" ht="15" customHeight="1">
      <c r="A500" s="41" t="n">
        <v>496</v>
      </c>
      <c r="B500" s="42" t="inlineStr">
        <is>
          <t>서울특별시 서초구 서초동</t>
        </is>
      </c>
      <c r="C500" s="41" t="inlineStr">
        <is>
          <t>1506-88</t>
        </is>
      </c>
      <c r="D500" s="41" t="inlineStr">
        <is>
          <t>1506</t>
        </is>
      </c>
      <c r="E500" s="41" t="inlineStr">
        <is>
          <t>0088</t>
        </is>
      </c>
      <c r="F500" s="42" t="inlineStr">
        <is>
          <t>현대홈타운</t>
        </is>
      </c>
      <c r="G500" s="41" t="inlineStr">
        <is>
          <t>134.1900</t>
        </is>
      </c>
      <c r="H500" s="41" t="inlineStr">
        <is>
          <t>202304</t>
        </is>
      </c>
      <c r="I500" s="41" t="inlineStr">
        <is>
          <t>28</t>
        </is>
      </c>
      <c r="J500" s="41" t="inlineStr">
        <is>
          <t>182,500</t>
        </is>
      </c>
      <c r="K500" s="41" t="inlineStr">
        <is>
          <t>101</t>
        </is>
      </c>
      <c r="L500" s="41" t="inlineStr">
        <is>
          <t>11</t>
        </is>
      </c>
      <c r="M500" s="41" t="inlineStr">
        <is>
          <t>-</t>
        </is>
      </c>
      <c r="N500" s="41" t="inlineStr">
        <is>
          <t>-</t>
        </is>
      </c>
      <c r="O500" s="41" t="inlineStr">
        <is>
          <t>2005</t>
        </is>
      </c>
      <c r="P500" s="42" t="inlineStr">
        <is>
          <t>반포대로23길 71</t>
        </is>
      </c>
      <c r="Q500" s="41" t="inlineStr">
        <is>
          <t>-</t>
        </is>
      </c>
      <c r="R500" s="42" t="inlineStr">
        <is>
          <t>중개거래</t>
        </is>
      </c>
      <c r="S500" s="42" t="inlineStr">
        <is>
          <t>서울 관악구</t>
        </is>
      </c>
      <c r="T500" s="41" t="inlineStr">
        <is>
          <t>23.05.16</t>
        </is>
      </c>
      <c r="U500" s="42" t="inlineStr">
        <is>
          <t>아파트</t>
        </is>
      </c>
    </row>
    <row r="501" hidden="1" ht="15" customHeight="1">
      <c r="A501" s="41" t="n">
        <v>497</v>
      </c>
      <c r="B501" s="42" t="inlineStr">
        <is>
          <t>서울특별시 서초구 서초동</t>
        </is>
      </c>
      <c r="C501" s="41" t="inlineStr">
        <is>
          <t>1616-10</t>
        </is>
      </c>
      <c r="D501" s="41" t="inlineStr">
        <is>
          <t>1616</t>
        </is>
      </c>
      <c r="E501" s="41" t="inlineStr">
        <is>
          <t>0010</t>
        </is>
      </c>
      <c r="F501" s="42" t="inlineStr">
        <is>
          <t>서초극동스타클래스</t>
        </is>
      </c>
      <c r="G501" s="41" t="inlineStr">
        <is>
          <t>109.9700</t>
        </is>
      </c>
      <c r="H501" s="41" t="inlineStr">
        <is>
          <t>202304</t>
        </is>
      </c>
      <c r="I501" s="41" t="inlineStr">
        <is>
          <t>28</t>
        </is>
      </c>
      <c r="J501" s="41" t="inlineStr">
        <is>
          <t>180,000</t>
        </is>
      </c>
      <c r="K501" s="41" t="inlineStr">
        <is>
          <t>101</t>
        </is>
      </c>
      <c r="L501" s="41" t="inlineStr">
        <is>
          <t>6</t>
        </is>
      </c>
      <c r="M501" s="41" t="inlineStr">
        <is>
          <t>-</t>
        </is>
      </c>
      <c r="N501" s="41" t="inlineStr">
        <is>
          <t>-</t>
        </is>
      </c>
      <c r="O501" s="41" t="inlineStr">
        <is>
          <t>2003</t>
        </is>
      </c>
      <c r="P501" s="42" t="inlineStr">
        <is>
          <t>서리풀4길 43</t>
        </is>
      </c>
      <c r="Q501" s="41" t="inlineStr">
        <is>
          <t>-</t>
        </is>
      </c>
      <c r="R501" s="42" t="inlineStr">
        <is>
          <t>중개거래</t>
        </is>
      </c>
      <c r="S501" s="42" t="inlineStr">
        <is>
          <t>서울 서초구</t>
        </is>
      </c>
      <c r="T501" s="41" t="inlineStr">
        <is>
          <t>23.08.28</t>
        </is>
      </c>
      <c r="U501" s="42" t="inlineStr">
        <is>
          <t>아파트</t>
        </is>
      </c>
    </row>
    <row r="502" hidden="1" ht="15" customHeight="1">
      <c r="A502" s="41" t="n">
        <v>498</v>
      </c>
      <c r="B502" s="42" t="inlineStr">
        <is>
          <t>서울특별시 서초구 서초동</t>
        </is>
      </c>
      <c r="C502" s="41" t="inlineStr">
        <is>
          <t>1343-9</t>
        </is>
      </c>
      <c r="D502" s="41" t="inlineStr">
        <is>
          <t>1343</t>
        </is>
      </c>
      <c r="E502" s="41" t="inlineStr">
        <is>
          <t>0009</t>
        </is>
      </c>
      <c r="F502" s="42" t="inlineStr">
        <is>
          <t>서초아트빌</t>
        </is>
      </c>
      <c r="G502" s="41" t="inlineStr">
        <is>
          <t>45.0600</t>
        </is>
      </c>
      <c r="H502" s="41" t="inlineStr">
        <is>
          <t>202304</t>
        </is>
      </c>
      <c r="I502" s="41" t="inlineStr">
        <is>
          <t>28</t>
        </is>
      </c>
      <c r="J502" s="41" t="inlineStr">
        <is>
          <t>38,500</t>
        </is>
      </c>
      <c r="K502" s="41" t="inlineStr">
        <is>
          <t>-</t>
        </is>
      </c>
      <c r="L502" s="41" t="inlineStr">
        <is>
          <t>4</t>
        </is>
      </c>
      <c r="M502" s="41" t="inlineStr">
        <is>
          <t>-</t>
        </is>
      </c>
      <c r="N502" s="41" t="inlineStr">
        <is>
          <t>-</t>
        </is>
      </c>
      <c r="O502" s="41" t="inlineStr">
        <is>
          <t>2003</t>
        </is>
      </c>
      <c r="P502" s="42" t="inlineStr">
        <is>
          <t>서운로11길 41</t>
        </is>
      </c>
      <c r="Q502" s="41" t="inlineStr">
        <is>
          <t>-</t>
        </is>
      </c>
      <c r="R502" s="42" t="inlineStr">
        <is>
          <t>중개거래</t>
        </is>
      </c>
      <c r="S502" s="42" t="inlineStr">
        <is>
          <t>서울 서초구</t>
        </is>
      </c>
      <c r="T502" s="41" t="inlineStr">
        <is>
          <t>23.05.25</t>
        </is>
      </c>
      <c r="U502" s="42" t="inlineStr">
        <is>
          <t>아파트</t>
        </is>
      </c>
    </row>
    <row r="503" hidden="1" ht="15" customHeight="1">
      <c r="A503" s="41" t="n">
        <v>499</v>
      </c>
      <c r="B503" s="42" t="inlineStr">
        <is>
          <t>서울특별시 서초구 서초동</t>
        </is>
      </c>
      <c r="C503" s="41" t="inlineStr">
        <is>
          <t>1311-10</t>
        </is>
      </c>
      <c r="D503" s="41" t="inlineStr">
        <is>
          <t>1311</t>
        </is>
      </c>
      <c r="E503" s="41" t="inlineStr">
        <is>
          <t>0010</t>
        </is>
      </c>
      <c r="F503" s="42" t="inlineStr">
        <is>
          <t>서초푸르지오써밋</t>
        </is>
      </c>
      <c r="G503" s="41" t="inlineStr">
        <is>
          <t>59.9500</t>
        </is>
      </c>
      <c r="H503" s="41" t="inlineStr">
        <is>
          <t>202304</t>
        </is>
      </c>
      <c r="I503" s="41" t="inlineStr">
        <is>
          <t>28</t>
        </is>
      </c>
      <c r="J503" s="41" t="inlineStr">
        <is>
          <t>198,000</t>
        </is>
      </c>
      <c r="K503" s="41" t="inlineStr">
        <is>
          <t>201</t>
        </is>
      </c>
      <c r="L503" s="41" t="inlineStr">
        <is>
          <t>6</t>
        </is>
      </c>
      <c r="M503" s="41" t="inlineStr">
        <is>
          <t>-</t>
        </is>
      </c>
      <c r="N503" s="41" t="inlineStr">
        <is>
          <t>-</t>
        </is>
      </c>
      <c r="O503" s="41" t="inlineStr">
        <is>
          <t>2017</t>
        </is>
      </c>
      <c r="P503" s="42" t="inlineStr">
        <is>
          <t>서운로 212</t>
        </is>
      </c>
      <c r="Q503" s="41" t="inlineStr">
        <is>
          <t>-</t>
        </is>
      </c>
      <c r="R503" s="42" t="inlineStr">
        <is>
          <t>중개거래</t>
        </is>
      </c>
      <c r="S503" s="42" t="inlineStr">
        <is>
          <t>서울 서초구</t>
        </is>
      </c>
      <c r="T503" s="41" t="inlineStr">
        <is>
          <t>23.07.31</t>
        </is>
      </c>
      <c r="U503" s="42" t="inlineStr">
        <is>
          <t>아파트</t>
        </is>
      </c>
    </row>
    <row r="504" hidden="1" ht="15" customHeight="1">
      <c r="A504" s="41" t="n">
        <v>500</v>
      </c>
      <c r="B504" s="42" t="inlineStr">
        <is>
          <t>서울특별시 서초구 서초동</t>
        </is>
      </c>
      <c r="C504" s="41" t="inlineStr">
        <is>
          <t>1656-4</t>
        </is>
      </c>
      <c r="D504" s="41" t="inlineStr">
        <is>
          <t>1656</t>
        </is>
      </c>
      <c r="E504" s="41" t="inlineStr">
        <is>
          <t>0004</t>
        </is>
      </c>
      <c r="F504" s="42" t="inlineStr">
        <is>
          <t>롯데캐슬메디치</t>
        </is>
      </c>
      <c r="G504" s="41" t="inlineStr">
        <is>
          <t>103.2400</t>
        </is>
      </c>
      <c r="H504" s="41" t="inlineStr">
        <is>
          <t>202304</t>
        </is>
      </c>
      <c r="I504" s="41" t="inlineStr">
        <is>
          <t>28</t>
        </is>
      </c>
      <c r="J504" s="41" t="inlineStr">
        <is>
          <t>164,000</t>
        </is>
      </c>
      <c r="K504" s="42" t="inlineStr">
        <is>
          <t>서초동롯데캐슬메디치</t>
        </is>
      </c>
      <c r="L504" s="41" t="inlineStr">
        <is>
          <t>14</t>
        </is>
      </c>
      <c r="M504" s="41" t="inlineStr">
        <is>
          <t>-</t>
        </is>
      </c>
      <c r="N504" s="41" t="inlineStr">
        <is>
          <t>-</t>
        </is>
      </c>
      <c r="O504" s="41" t="inlineStr">
        <is>
          <t>2010</t>
        </is>
      </c>
      <c r="P504" s="42" t="inlineStr">
        <is>
          <t>서초중앙로 110</t>
        </is>
      </c>
      <c r="Q504" s="41" t="inlineStr">
        <is>
          <t>-</t>
        </is>
      </c>
      <c r="R504" s="42" t="inlineStr">
        <is>
          <t>중개거래</t>
        </is>
      </c>
      <c r="S504" s="42" t="inlineStr">
        <is>
          <t>서울 서초구</t>
        </is>
      </c>
      <c r="T504" s="41" t="inlineStr">
        <is>
          <t>23.06.21</t>
        </is>
      </c>
      <c r="U504" s="42" t="inlineStr">
        <is>
          <t>아파트</t>
        </is>
      </c>
    </row>
    <row r="505" hidden="1" ht="15" customHeight="1">
      <c r="A505" s="41" t="n">
        <v>501</v>
      </c>
      <c r="B505" s="42" t="inlineStr">
        <is>
          <t>서울특별시 서초구 서초동</t>
        </is>
      </c>
      <c r="C505" s="41" t="inlineStr">
        <is>
          <t>1754</t>
        </is>
      </c>
      <c r="D505" s="41" t="inlineStr">
        <is>
          <t>1754</t>
        </is>
      </c>
      <c r="E505" s="41" t="inlineStr">
        <is>
          <t>0000</t>
        </is>
      </c>
      <c r="F505" s="42" t="inlineStr">
        <is>
          <t>래미안서초에스티지S</t>
        </is>
      </c>
      <c r="G505" s="41" t="inlineStr">
        <is>
          <t>84.9600</t>
        </is>
      </c>
      <c r="H505" s="41" t="inlineStr">
        <is>
          <t>202304</t>
        </is>
      </c>
      <c r="I505" s="41" t="inlineStr">
        <is>
          <t>26</t>
        </is>
      </c>
      <c r="J505" s="41" t="inlineStr">
        <is>
          <t>239,500</t>
        </is>
      </c>
      <c r="K505" s="41" t="inlineStr">
        <is>
          <t>201</t>
        </is>
      </c>
      <c r="L505" s="41" t="inlineStr">
        <is>
          <t>29</t>
        </is>
      </c>
      <c r="M505" s="41" t="inlineStr">
        <is>
          <t>-</t>
        </is>
      </c>
      <c r="N505" s="41" t="inlineStr">
        <is>
          <t>-</t>
        </is>
      </c>
      <c r="O505" s="41" t="inlineStr">
        <is>
          <t>2018</t>
        </is>
      </c>
      <c r="P505" s="42" t="inlineStr">
        <is>
          <t>서운로 104</t>
        </is>
      </c>
      <c r="Q505" s="41" t="inlineStr">
        <is>
          <t>-</t>
        </is>
      </c>
      <c r="R505" s="42" t="inlineStr">
        <is>
          <t>중개거래</t>
        </is>
      </c>
      <c r="S505" s="42" t="inlineStr">
        <is>
          <t>서울 서초구</t>
        </is>
      </c>
      <c r="T505" s="41" t="inlineStr">
        <is>
          <t>23.08.31</t>
        </is>
      </c>
      <c r="U505" s="42" t="inlineStr">
        <is>
          <t>아파트</t>
        </is>
      </c>
    </row>
    <row r="506" hidden="1" ht="15" customHeight="1">
      <c r="A506" s="41" t="n">
        <v>502</v>
      </c>
      <c r="B506" s="42" t="inlineStr">
        <is>
          <t>서울특별시 서초구 서초동</t>
        </is>
      </c>
      <c r="C506" s="41" t="inlineStr">
        <is>
          <t>1344-13</t>
        </is>
      </c>
      <c r="D506" s="41" t="inlineStr">
        <is>
          <t>1344</t>
        </is>
      </c>
      <c r="E506" s="41" t="inlineStr">
        <is>
          <t>0013</t>
        </is>
      </c>
      <c r="F506" s="42" t="inlineStr">
        <is>
          <t>서초트라팰리스</t>
        </is>
      </c>
      <c r="G506" s="41" t="inlineStr">
        <is>
          <t>133.0500</t>
        </is>
      </c>
      <c r="H506" s="41" t="inlineStr">
        <is>
          <t>202304</t>
        </is>
      </c>
      <c r="I506" s="41" t="inlineStr">
        <is>
          <t>26</t>
        </is>
      </c>
      <c r="J506" s="41" t="inlineStr">
        <is>
          <t>182,000</t>
        </is>
      </c>
      <c r="K506" s="41" t="inlineStr">
        <is>
          <t>C</t>
        </is>
      </c>
      <c r="L506" s="41" t="inlineStr">
        <is>
          <t>8</t>
        </is>
      </c>
      <c r="M506" s="41" t="inlineStr">
        <is>
          <t>-</t>
        </is>
      </c>
      <c r="N506" s="41" t="inlineStr">
        <is>
          <t>-</t>
        </is>
      </c>
      <c r="O506" s="41" t="inlineStr">
        <is>
          <t>2005</t>
        </is>
      </c>
      <c r="P506" s="42" t="inlineStr">
        <is>
          <t>효령로72길 57</t>
        </is>
      </c>
      <c r="Q506" s="41" t="inlineStr">
        <is>
          <t>-</t>
        </is>
      </c>
      <c r="R506" s="42" t="inlineStr">
        <is>
          <t>중개거래</t>
        </is>
      </c>
      <c r="S506" s="42" t="inlineStr">
        <is>
          <t>서울 관악구</t>
        </is>
      </c>
      <c r="T506" s="41" t="inlineStr">
        <is>
          <t>23.05.09</t>
        </is>
      </c>
      <c r="U506" s="42" t="inlineStr">
        <is>
          <t>아파트</t>
        </is>
      </c>
    </row>
    <row r="507" hidden="1" ht="15" customHeight="1">
      <c r="A507" s="41" t="n">
        <v>503</v>
      </c>
      <c r="B507" s="42" t="inlineStr">
        <is>
          <t>서울특별시 서초구 서초동</t>
        </is>
      </c>
      <c r="C507" s="41" t="inlineStr">
        <is>
          <t>1560-9</t>
        </is>
      </c>
      <c r="D507" s="41" t="inlineStr">
        <is>
          <t>1560</t>
        </is>
      </c>
      <c r="E507" s="41" t="inlineStr">
        <is>
          <t>0009</t>
        </is>
      </c>
      <c r="F507" s="42" t="inlineStr">
        <is>
          <t>서초우방유쉘</t>
        </is>
      </c>
      <c r="G507" s="41" t="inlineStr">
        <is>
          <t>84.8500</t>
        </is>
      </c>
      <c r="H507" s="41" t="inlineStr">
        <is>
          <t>202304</t>
        </is>
      </c>
      <c r="I507" s="41" t="inlineStr">
        <is>
          <t>25</t>
        </is>
      </c>
      <c r="J507" s="41" t="inlineStr">
        <is>
          <t>120,000</t>
        </is>
      </c>
      <c r="K507" s="41" t="inlineStr">
        <is>
          <t>101</t>
        </is>
      </c>
      <c r="L507" s="41" t="inlineStr">
        <is>
          <t>2</t>
        </is>
      </c>
      <c r="M507" s="41" t="inlineStr">
        <is>
          <t>-</t>
        </is>
      </c>
      <c r="N507" s="41" t="inlineStr">
        <is>
          <t>-</t>
        </is>
      </c>
      <c r="O507" s="41" t="inlineStr">
        <is>
          <t>2006</t>
        </is>
      </c>
      <c r="P507" s="42" t="inlineStr">
        <is>
          <t>서초대로46길 62</t>
        </is>
      </c>
      <c r="Q507" s="41" t="inlineStr">
        <is>
          <t>-</t>
        </is>
      </c>
      <c r="R507" s="42" t="inlineStr">
        <is>
          <t>중개거래</t>
        </is>
      </c>
      <c r="S507" s="42" t="inlineStr">
        <is>
          <t>경기 성남분당구 서울 서초구</t>
        </is>
      </c>
      <c r="T507" s="41" t="inlineStr">
        <is>
          <t>23.07.12</t>
        </is>
      </c>
      <c r="U507" s="42" t="inlineStr">
        <is>
          <t>아파트</t>
        </is>
      </c>
    </row>
    <row r="508" hidden="1" ht="15" customHeight="1">
      <c r="A508" s="41" t="n">
        <v>504</v>
      </c>
      <c r="B508" s="42" t="inlineStr">
        <is>
          <t>서울특별시 서초구 서초동</t>
        </is>
      </c>
      <c r="C508" s="41" t="inlineStr">
        <is>
          <t>1685</t>
        </is>
      </c>
      <c r="D508" s="41" t="inlineStr">
        <is>
          <t>1685</t>
        </is>
      </c>
      <c r="E508" s="41" t="inlineStr">
        <is>
          <t>0000</t>
        </is>
      </c>
      <c r="F508" s="42" t="inlineStr">
        <is>
          <t>삼풍아파트</t>
        </is>
      </c>
      <c r="G508" s="41" t="inlineStr">
        <is>
          <t>79.4700</t>
        </is>
      </c>
      <c r="H508" s="41" t="inlineStr">
        <is>
          <t>202304</t>
        </is>
      </c>
      <c r="I508" s="41" t="inlineStr">
        <is>
          <t>25</t>
        </is>
      </c>
      <c r="J508" s="41" t="inlineStr">
        <is>
          <t>210,000</t>
        </is>
      </c>
      <c r="K508" s="41" t="inlineStr">
        <is>
          <t>8</t>
        </is>
      </c>
      <c r="L508" s="41" t="inlineStr">
        <is>
          <t>13</t>
        </is>
      </c>
      <c r="M508" s="41" t="inlineStr">
        <is>
          <t>-</t>
        </is>
      </c>
      <c r="N508" s="41" t="inlineStr">
        <is>
          <t>-</t>
        </is>
      </c>
      <c r="O508" s="41" t="inlineStr">
        <is>
          <t>1988</t>
        </is>
      </c>
      <c r="P508" s="42" t="inlineStr">
        <is>
          <t>서초중앙로 200</t>
        </is>
      </c>
      <c r="Q508" s="41" t="inlineStr">
        <is>
          <t>-</t>
        </is>
      </c>
      <c r="R508" s="42" t="inlineStr">
        <is>
          <t>중개거래</t>
        </is>
      </c>
      <c r="S508" s="42" t="inlineStr">
        <is>
          <t>서울 서초구</t>
        </is>
      </c>
      <c r="T508" s="41" t="inlineStr">
        <is>
          <t>23.07.28</t>
        </is>
      </c>
      <c r="U508" s="42" t="inlineStr">
        <is>
          <t>아파트</t>
        </is>
      </c>
    </row>
    <row r="509" hidden="1" ht="15" customHeight="1">
      <c r="A509" s="41" t="n">
        <v>505</v>
      </c>
      <c r="B509" s="42" t="inlineStr">
        <is>
          <t>서울특별시 서초구 서초동</t>
        </is>
      </c>
      <c r="C509" s="41" t="inlineStr">
        <is>
          <t>1757</t>
        </is>
      </c>
      <c r="D509" s="41" t="inlineStr">
        <is>
          <t>1757</t>
        </is>
      </c>
      <c r="E509" s="41" t="inlineStr">
        <is>
          <t>0000</t>
        </is>
      </c>
      <c r="F509" s="42" t="inlineStr">
        <is>
          <t>서초그랑자이</t>
        </is>
      </c>
      <c r="G509" s="41" t="inlineStr">
        <is>
          <t>84.8400</t>
        </is>
      </c>
      <c r="H509" s="41" t="inlineStr">
        <is>
          <t>202304</t>
        </is>
      </c>
      <c r="I509" s="41" t="inlineStr">
        <is>
          <t>25</t>
        </is>
      </c>
      <c r="J509" s="41" t="inlineStr">
        <is>
          <t>335,000</t>
        </is>
      </c>
      <c r="K509" s="41" t="inlineStr">
        <is>
          <t>104동</t>
        </is>
      </c>
      <c r="L509" s="41" t="inlineStr">
        <is>
          <t>14</t>
        </is>
      </c>
      <c r="M509" s="41" t="inlineStr">
        <is>
          <t>-</t>
        </is>
      </c>
      <c r="N509" s="41" t="inlineStr">
        <is>
          <t>-</t>
        </is>
      </c>
      <c r="O509" s="41" t="inlineStr">
        <is>
          <t>2021</t>
        </is>
      </c>
      <c r="P509" s="42" t="inlineStr">
        <is>
          <t>효령로 391</t>
        </is>
      </c>
      <c r="Q509" s="41" t="inlineStr">
        <is>
          <t>-</t>
        </is>
      </c>
      <c r="R509" s="42" t="inlineStr">
        <is>
          <t>중개거래</t>
        </is>
      </c>
      <c r="S509" s="42" t="inlineStr">
        <is>
          <t>서울 구로구 서울 서초구</t>
        </is>
      </c>
      <c r="T509" s="41" t="inlineStr">
        <is>
          <t>23.05.03</t>
        </is>
      </c>
      <c r="U509" s="42" t="inlineStr">
        <is>
          <t>아파트</t>
        </is>
      </c>
    </row>
    <row r="510" hidden="1" ht="15" customHeight="1">
      <c r="A510" s="41" t="n">
        <v>506</v>
      </c>
      <c r="B510" s="42" t="inlineStr">
        <is>
          <t>서울특별시 서초구 서초동</t>
        </is>
      </c>
      <c r="C510" s="41" t="inlineStr">
        <is>
          <t>1685</t>
        </is>
      </c>
      <c r="D510" s="41" t="inlineStr">
        <is>
          <t>1685</t>
        </is>
      </c>
      <c r="E510" s="41" t="inlineStr">
        <is>
          <t>0000</t>
        </is>
      </c>
      <c r="F510" s="42" t="inlineStr">
        <is>
          <t>삼풍아파트</t>
        </is>
      </c>
      <c r="G510" s="41" t="inlineStr">
        <is>
          <t>130.7300</t>
        </is>
      </c>
      <c r="H510" s="41" t="inlineStr">
        <is>
          <t>202304</t>
        </is>
      </c>
      <c r="I510" s="41" t="inlineStr">
        <is>
          <t>24</t>
        </is>
      </c>
      <c r="J510" s="41" t="inlineStr">
        <is>
          <t>295,000</t>
        </is>
      </c>
      <c r="K510" s="41" t="inlineStr">
        <is>
          <t>10</t>
        </is>
      </c>
      <c r="L510" s="41" t="inlineStr">
        <is>
          <t>14</t>
        </is>
      </c>
      <c r="M510" s="41" t="inlineStr">
        <is>
          <t>-</t>
        </is>
      </c>
      <c r="N510" s="41" t="inlineStr">
        <is>
          <t>-</t>
        </is>
      </c>
      <c r="O510" s="41" t="inlineStr">
        <is>
          <t>1988</t>
        </is>
      </c>
      <c r="P510" s="42" t="inlineStr">
        <is>
          <t>서초중앙로 200</t>
        </is>
      </c>
      <c r="Q510" s="41" t="inlineStr">
        <is>
          <t>-</t>
        </is>
      </c>
      <c r="R510" s="42" t="inlineStr">
        <is>
          <t>중개거래</t>
        </is>
      </c>
      <c r="S510" s="42" t="inlineStr">
        <is>
          <t>서울 서초구</t>
        </is>
      </c>
      <c r="T510" s="41" t="inlineStr">
        <is>
          <t>23.07.31</t>
        </is>
      </c>
      <c r="U510" s="42" t="inlineStr">
        <is>
          <t>아파트</t>
        </is>
      </c>
    </row>
    <row r="511" hidden="1" ht="15" customHeight="1">
      <c r="A511" s="41" t="n">
        <v>507</v>
      </c>
      <c r="B511" s="42" t="inlineStr">
        <is>
          <t>서울특별시 서초구 서초동</t>
        </is>
      </c>
      <c r="C511" s="41" t="inlineStr">
        <is>
          <t>1593-7</t>
        </is>
      </c>
      <c r="D511" s="41" t="inlineStr">
        <is>
          <t>1593</t>
        </is>
      </c>
      <c r="E511" s="41" t="inlineStr">
        <is>
          <t>0007</t>
        </is>
      </c>
      <c r="F511" s="42" t="inlineStr">
        <is>
          <t>서초이오빌</t>
        </is>
      </c>
      <c r="G511" s="41" t="inlineStr">
        <is>
          <t>36.6600</t>
        </is>
      </c>
      <c r="H511" s="41" t="inlineStr">
        <is>
          <t>202304</t>
        </is>
      </c>
      <c r="I511" s="41" t="inlineStr">
        <is>
          <t>24</t>
        </is>
      </c>
      <c r="J511" s="41" t="inlineStr">
        <is>
          <t>38,000</t>
        </is>
      </c>
      <c r="K511" s="41" t="inlineStr">
        <is>
          <t>-</t>
        </is>
      </c>
      <c r="L511" s="41" t="inlineStr">
        <is>
          <t>14</t>
        </is>
      </c>
      <c r="M511" s="41" t="inlineStr">
        <is>
          <t>-</t>
        </is>
      </c>
      <c r="N511" s="41" t="inlineStr">
        <is>
          <t>-</t>
        </is>
      </c>
      <c r="O511" s="41" t="inlineStr">
        <is>
          <t>2003</t>
        </is>
      </c>
      <c r="P511" s="42" t="inlineStr">
        <is>
          <t>효령로53길 45</t>
        </is>
      </c>
      <c r="Q511" s="41" t="inlineStr">
        <is>
          <t>-</t>
        </is>
      </c>
      <c r="R511" s="42" t="inlineStr">
        <is>
          <t>중개거래</t>
        </is>
      </c>
      <c r="S511" s="42" t="inlineStr">
        <is>
          <t>서울 서초구</t>
        </is>
      </c>
      <c r="T511" s="41" t="inlineStr">
        <is>
          <t>23.05.31</t>
        </is>
      </c>
      <c r="U511" s="42" t="inlineStr">
        <is>
          <t>아파트</t>
        </is>
      </c>
    </row>
    <row r="512" hidden="1" ht="15" customHeight="1">
      <c r="A512" s="41" t="n">
        <v>508</v>
      </c>
      <c r="B512" s="42" t="inlineStr">
        <is>
          <t>서울특별시 서초구 서초동</t>
        </is>
      </c>
      <c r="C512" s="41" t="inlineStr">
        <is>
          <t>1593-7</t>
        </is>
      </c>
      <c r="D512" s="41" t="inlineStr">
        <is>
          <t>1593</t>
        </is>
      </c>
      <c r="E512" s="41" t="inlineStr">
        <is>
          <t>0007</t>
        </is>
      </c>
      <c r="F512" s="42" t="inlineStr">
        <is>
          <t>서초이오빌</t>
        </is>
      </c>
      <c r="G512" s="41" t="inlineStr">
        <is>
          <t>36.6600</t>
        </is>
      </c>
      <c r="H512" s="41" t="inlineStr">
        <is>
          <t>202304</t>
        </is>
      </c>
      <c r="I512" s="41" t="inlineStr">
        <is>
          <t>24</t>
        </is>
      </c>
      <c r="J512" s="41" t="inlineStr">
        <is>
          <t>33,500</t>
        </is>
      </c>
      <c r="K512" s="41" t="inlineStr">
        <is>
          <t>-</t>
        </is>
      </c>
      <c r="L512" s="41" t="inlineStr">
        <is>
          <t>23</t>
        </is>
      </c>
      <c r="M512" s="41" t="inlineStr">
        <is>
          <t>-</t>
        </is>
      </c>
      <c r="N512" s="41" t="inlineStr">
        <is>
          <t>-</t>
        </is>
      </c>
      <c r="O512" s="41" t="inlineStr">
        <is>
          <t>2003</t>
        </is>
      </c>
      <c r="P512" s="42" t="inlineStr">
        <is>
          <t>효령로53길 45</t>
        </is>
      </c>
      <c r="Q512" s="41" t="inlineStr">
        <is>
          <t>-</t>
        </is>
      </c>
      <c r="R512" s="42" t="inlineStr">
        <is>
          <t>중개거래</t>
        </is>
      </c>
      <c r="S512" s="42" t="inlineStr">
        <is>
          <t>서울 서초구</t>
        </is>
      </c>
      <c r="T512" s="41" t="inlineStr">
        <is>
          <t>23.05.23</t>
        </is>
      </c>
      <c r="U512" s="42" t="inlineStr">
        <is>
          <t>아파트</t>
        </is>
      </c>
    </row>
    <row r="513" hidden="1" ht="15" customHeight="1">
      <c r="A513" s="41" t="n">
        <v>509</v>
      </c>
      <c r="B513" s="42" t="inlineStr">
        <is>
          <t>서울특별시 서초구 서초동</t>
        </is>
      </c>
      <c r="C513" s="41" t="inlineStr">
        <is>
          <t>1685</t>
        </is>
      </c>
      <c r="D513" s="41" t="inlineStr">
        <is>
          <t>1685</t>
        </is>
      </c>
      <c r="E513" s="41" t="inlineStr">
        <is>
          <t>0000</t>
        </is>
      </c>
      <c r="F513" s="42" t="inlineStr">
        <is>
          <t>삼풍아파트</t>
        </is>
      </c>
      <c r="G513" s="41" t="inlineStr">
        <is>
          <t>79.4700</t>
        </is>
      </c>
      <c r="H513" s="41" t="inlineStr">
        <is>
          <t>202304</t>
        </is>
      </c>
      <c r="I513" s="41" t="inlineStr">
        <is>
          <t>24</t>
        </is>
      </c>
      <c r="J513" s="41" t="inlineStr">
        <is>
          <t>212,000</t>
        </is>
      </c>
      <c r="K513" s="41" t="inlineStr">
        <is>
          <t>6</t>
        </is>
      </c>
      <c r="L513" s="41" t="inlineStr">
        <is>
          <t>15</t>
        </is>
      </c>
      <c r="M513" s="41" t="inlineStr">
        <is>
          <t>-</t>
        </is>
      </c>
      <c r="N513" s="41" t="inlineStr">
        <is>
          <t>-</t>
        </is>
      </c>
      <c r="O513" s="41" t="inlineStr">
        <is>
          <t>1988</t>
        </is>
      </c>
      <c r="P513" s="42" t="inlineStr">
        <is>
          <t>서초중앙로 200</t>
        </is>
      </c>
      <c r="Q513" s="41" t="inlineStr">
        <is>
          <t>-</t>
        </is>
      </c>
      <c r="R513" s="42" t="inlineStr">
        <is>
          <t>중개거래</t>
        </is>
      </c>
      <c r="S513" s="42" t="inlineStr">
        <is>
          <t>서울 서초구</t>
        </is>
      </c>
      <c r="T513" s="41" t="inlineStr">
        <is>
          <t>23.07.31</t>
        </is>
      </c>
      <c r="U513" s="42" t="inlineStr">
        <is>
          <t>아파트</t>
        </is>
      </c>
    </row>
    <row r="514" hidden="1" ht="15" customHeight="1">
      <c r="A514" s="41" t="n">
        <v>510</v>
      </c>
      <c r="B514" s="42" t="inlineStr">
        <is>
          <t>서울특별시 서초구 서초동</t>
        </is>
      </c>
      <c r="C514" s="41" t="inlineStr">
        <is>
          <t>1312-3</t>
        </is>
      </c>
      <c r="D514" s="41" t="inlineStr">
        <is>
          <t>1312</t>
        </is>
      </c>
      <c r="E514" s="41" t="inlineStr">
        <is>
          <t>0003</t>
        </is>
      </c>
      <c r="F514" s="42" t="inlineStr">
        <is>
          <t>롯데캐슬클래식</t>
        </is>
      </c>
      <c r="G514" s="41" t="inlineStr">
        <is>
          <t>74.3000</t>
        </is>
      </c>
      <c r="H514" s="41" t="inlineStr">
        <is>
          <t>202304</t>
        </is>
      </c>
      <c r="I514" s="41" t="inlineStr">
        <is>
          <t>22</t>
        </is>
      </c>
      <c r="J514" s="41" t="inlineStr">
        <is>
          <t>183,900</t>
        </is>
      </c>
      <c r="K514" s="41" t="inlineStr">
        <is>
          <t>112</t>
        </is>
      </c>
      <c r="L514" s="41" t="inlineStr">
        <is>
          <t>2</t>
        </is>
      </c>
      <c r="M514" s="41" t="inlineStr">
        <is>
          <t>-</t>
        </is>
      </c>
      <c r="N514" s="41" t="inlineStr">
        <is>
          <t>-</t>
        </is>
      </c>
      <c r="O514" s="41" t="inlineStr">
        <is>
          <t>2006</t>
        </is>
      </c>
      <c r="P514" s="42" t="inlineStr">
        <is>
          <t>서운로 200</t>
        </is>
      </c>
      <c r="Q514" s="41" t="inlineStr">
        <is>
          <t>-</t>
        </is>
      </c>
      <c r="R514" s="42" t="inlineStr">
        <is>
          <t>중개거래</t>
        </is>
      </c>
      <c r="S514" s="42" t="inlineStr">
        <is>
          <t>서울 서초구</t>
        </is>
      </c>
      <c r="T514" s="41" t="inlineStr">
        <is>
          <t>23.10.04</t>
        </is>
      </c>
      <c r="U514" s="42" t="inlineStr">
        <is>
          <t>아파트</t>
        </is>
      </c>
    </row>
    <row r="515" hidden="1" ht="15" customHeight="1">
      <c r="A515" s="41" t="n">
        <v>511</v>
      </c>
      <c r="B515" s="42" t="inlineStr">
        <is>
          <t>서울특별시 서초구 서초동</t>
        </is>
      </c>
      <c r="C515" s="41" t="inlineStr">
        <is>
          <t>1616-10</t>
        </is>
      </c>
      <c r="D515" s="41" t="inlineStr">
        <is>
          <t>1616</t>
        </is>
      </c>
      <c r="E515" s="41" t="inlineStr">
        <is>
          <t>0010</t>
        </is>
      </c>
      <c r="F515" s="42" t="inlineStr">
        <is>
          <t>서초극동스타클래스</t>
        </is>
      </c>
      <c r="G515" s="41" t="inlineStr">
        <is>
          <t>84.3000</t>
        </is>
      </c>
      <c r="H515" s="41" t="inlineStr">
        <is>
          <t>202304</t>
        </is>
      </c>
      <c r="I515" s="41" t="inlineStr">
        <is>
          <t>22</t>
        </is>
      </c>
      <c r="J515" s="41" t="inlineStr">
        <is>
          <t>149,500</t>
        </is>
      </c>
      <c r="K515" s="41" t="inlineStr">
        <is>
          <t>101</t>
        </is>
      </c>
      <c r="L515" s="41" t="inlineStr">
        <is>
          <t>9</t>
        </is>
      </c>
      <c r="M515" s="41" t="inlineStr">
        <is>
          <t>-</t>
        </is>
      </c>
      <c r="N515" s="41" t="inlineStr">
        <is>
          <t>-</t>
        </is>
      </c>
      <c r="O515" s="41" t="inlineStr">
        <is>
          <t>2003</t>
        </is>
      </c>
      <c r="P515" s="42" t="inlineStr">
        <is>
          <t>서리풀4길 43</t>
        </is>
      </c>
      <c r="Q515" s="41" t="inlineStr">
        <is>
          <t>-</t>
        </is>
      </c>
      <c r="R515" s="42" t="inlineStr">
        <is>
          <t>중개거래</t>
        </is>
      </c>
      <c r="S515" s="42" t="inlineStr">
        <is>
          <t>서울 마포구 서울 서초구</t>
        </is>
      </c>
      <c r="T515" s="41" t="inlineStr">
        <is>
          <t>23.06.30</t>
        </is>
      </c>
      <c r="U515" s="42" t="inlineStr">
        <is>
          <t>아파트</t>
        </is>
      </c>
    </row>
    <row r="516" hidden="1" ht="15" customHeight="1">
      <c r="A516" s="41" t="n">
        <v>512</v>
      </c>
      <c r="B516" s="42" t="inlineStr">
        <is>
          <t>서울특별시 서초구 서초동</t>
        </is>
      </c>
      <c r="C516" s="41" t="inlineStr">
        <is>
          <t>1685</t>
        </is>
      </c>
      <c r="D516" s="41" t="inlineStr">
        <is>
          <t>1685</t>
        </is>
      </c>
      <c r="E516" s="41" t="inlineStr">
        <is>
          <t>0000</t>
        </is>
      </c>
      <c r="F516" s="42" t="inlineStr">
        <is>
          <t>삼풍아파트</t>
        </is>
      </c>
      <c r="G516" s="41" t="inlineStr">
        <is>
          <t>79.4700</t>
        </is>
      </c>
      <c r="H516" s="41" t="inlineStr">
        <is>
          <t>202304</t>
        </is>
      </c>
      <c r="I516" s="41" t="inlineStr">
        <is>
          <t>22</t>
        </is>
      </c>
      <c r="J516" s="41" t="inlineStr">
        <is>
          <t>210,000</t>
        </is>
      </c>
      <c r="K516" s="41" t="inlineStr">
        <is>
          <t>9</t>
        </is>
      </c>
      <c r="L516" s="41" t="inlineStr">
        <is>
          <t>11</t>
        </is>
      </c>
      <c r="M516" s="41" t="inlineStr">
        <is>
          <t>-</t>
        </is>
      </c>
      <c r="N516" s="41" t="inlineStr">
        <is>
          <t>-</t>
        </is>
      </c>
      <c r="O516" s="41" t="inlineStr">
        <is>
          <t>1988</t>
        </is>
      </c>
      <c r="P516" s="42" t="inlineStr">
        <is>
          <t>서초중앙로 200</t>
        </is>
      </c>
      <c r="Q516" s="41" t="inlineStr">
        <is>
          <t>-</t>
        </is>
      </c>
      <c r="R516" s="42" t="inlineStr">
        <is>
          <t>중개거래</t>
        </is>
      </c>
      <c r="S516" s="42" t="inlineStr">
        <is>
          <t>서울 서초구</t>
        </is>
      </c>
      <c r="T516" s="41" t="inlineStr">
        <is>
          <t>23.08.23</t>
        </is>
      </c>
      <c r="U516" s="42" t="inlineStr">
        <is>
          <t>아파트</t>
        </is>
      </c>
    </row>
    <row r="517" hidden="1" ht="15" customHeight="1">
      <c r="A517" s="41" t="n">
        <v>513</v>
      </c>
      <c r="B517" s="42" t="inlineStr">
        <is>
          <t>서울특별시 서초구 서초동</t>
        </is>
      </c>
      <c r="C517" s="41" t="inlineStr">
        <is>
          <t>1312-3</t>
        </is>
      </c>
      <c r="D517" s="41" t="inlineStr">
        <is>
          <t>1312</t>
        </is>
      </c>
      <c r="E517" s="41" t="inlineStr">
        <is>
          <t>0003</t>
        </is>
      </c>
      <c r="F517" s="42" t="inlineStr">
        <is>
          <t>롯데캐슬클래식</t>
        </is>
      </c>
      <c r="G517" s="41" t="inlineStr">
        <is>
          <t>74.3000</t>
        </is>
      </c>
      <c r="H517" s="41" t="inlineStr">
        <is>
          <t>202304</t>
        </is>
      </c>
      <c r="I517" s="41" t="inlineStr">
        <is>
          <t>22</t>
        </is>
      </c>
      <c r="J517" s="41" t="inlineStr">
        <is>
          <t>180,000</t>
        </is>
      </c>
      <c r="K517" s="41" t="inlineStr">
        <is>
          <t>114</t>
        </is>
      </c>
      <c r="L517" s="41" t="inlineStr">
        <is>
          <t>3</t>
        </is>
      </c>
      <c r="M517" s="41" t="inlineStr">
        <is>
          <t>-</t>
        </is>
      </c>
      <c r="N517" s="41" t="inlineStr">
        <is>
          <t>-</t>
        </is>
      </c>
      <c r="O517" s="41" t="inlineStr">
        <is>
          <t>2006</t>
        </is>
      </c>
      <c r="P517" s="42" t="inlineStr">
        <is>
          <t>서운로 200</t>
        </is>
      </c>
      <c r="Q517" s="41" t="inlineStr">
        <is>
          <t>-</t>
        </is>
      </c>
      <c r="R517" s="42" t="inlineStr">
        <is>
          <t>중개거래</t>
        </is>
      </c>
      <c r="S517" s="42" t="inlineStr">
        <is>
          <t>서울 서초구</t>
        </is>
      </c>
      <c r="T517" s="41" t="inlineStr">
        <is>
          <t>23.08.17</t>
        </is>
      </c>
      <c r="U517" s="42" t="inlineStr">
        <is>
          <t>아파트</t>
        </is>
      </c>
    </row>
    <row r="518" hidden="1" ht="15" customHeight="1">
      <c r="A518" s="41" t="n">
        <v>514</v>
      </c>
      <c r="B518" s="42" t="inlineStr">
        <is>
          <t>서울특별시 서초구 서초동</t>
        </is>
      </c>
      <c r="C518" s="41" t="inlineStr">
        <is>
          <t>1312-3</t>
        </is>
      </c>
      <c r="D518" s="41" t="inlineStr">
        <is>
          <t>1312</t>
        </is>
      </c>
      <c r="E518" s="41" t="inlineStr">
        <is>
          <t>0003</t>
        </is>
      </c>
      <c r="F518" s="42" t="inlineStr">
        <is>
          <t>롯데캐슬클래식</t>
        </is>
      </c>
      <c r="G518" s="41" t="inlineStr">
        <is>
          <t>84.9800</t>
        </is>
      </c>
      <c r="H518" s="41" t="inlineStr">
        <is>
          <t>202304</t>
        </is>
      </c>
      <c r="I518" s="41" t="inlineStr">
        <is>
          <t>22</t>
        </is>
      </c>
      <c r="J518" s="41" t="inlineStr">
        <is>
          <t>217,500</t>
        </is>
      </c>
      <c r="K518" s="41" t="inlineStr">
        <is>
          <t>101</t>
        </is>
      </c>
      <c r="L518" s="41" t="inlineStr">
        <is>
          <t>14</t>
        </is>
      </c>
      <c r="M518" s="41" t="inlineStr">
        <is>
          <t>-</t>
        </is>
      </c>
      <c r="N518" s="41" t="inlineStr">
        <is>
          <t>-</t>
        </is>
      </c>
      <c r="O518" s="41" t="inlineStr">
        <is>
          <t>2006</t>
        </is>
      </c>
      <c r="P518" s="42" t="inlineStr">
        <is>
          <t>서운로 197</t>
        </is>
      </c>
      <c r="Q518" s="41" t="inlineStr">
        <is>
          <t>-</t>
        </is>
      </c>
      <c r="R518" s="42" t="inlineStr">
        <is>
          <t>중개거래</t>
        </is>
      </c>
      <c r="S518" s="42" t="inlineStr">
        <is>
          <t>서울 서초구</t>
        </is>
      </c>
      <c r="T518" s="41" t="inlineStr">
        <is>
          <t>23.07.11</t>
        </is>
      </c>
      <c r="U518" s="42" t="inlineStr">
        <is>
          <t>아파트</t>
        </is>
      </c>
    </row>
    <row r="519" hidden="1" ht="15" customHeight="1">
      <c r="A519" s="41" t="n">
        <v>515</v>
      </c>
      <c r="B519" s="42" t="inlineStr">
        <is>
          <t>서울특별시 서초구 서초동</t>
        </is>
      </c>
      <c r="C519" s="41" t="inlineStr">
        <is>
          <t>1301-6</t>
        </is>
      </c>
      <c r="D519" s="41" t="inlineStr">
        <is>
          <t>1301</t>
        </is>
      </c>
      <c r="E519" s="41" t="inlineStr">
        <is>
          <t>0006</t>
        </is>
      </c>
      <c r="F519" s="42" t="inlineStr">
        <is>
          <t>래미안서초스위트</t>
        </is>
      </c>
      <c r="G519" s="41" t="inlineStr">
        <is>
          <t>95.7555</t>
        </is>
      </c>
      <c r="H519" s="41" t="inlineStr">
        <is>
          <t>202304</t>
        </is>
      </c>
      <c r="I519" s="41" t="inlineStr">
        <is>
          <t>20</t>
        </is>
      </c>
      <c r="J519" s="41" t="inlineStr">
        <is>
          <t>229,000</t>
        </is>
      </c>
      <c r="K519" s="41" t="inlineStr">
        <is>
          <t>101</t>
        </is>
      </c>
      <c r="L519" s="41" t="inlineStr">
        <is>
          <t>20</t>
        </is>
      </c>
      <c r="M519" s="41" t="inlineStr">
        <is>
          <t>-</t>
        </is>
      </c>
      <c r="N519" s="41" t="inlineStr">
        <is>
          <t>-</t>
        </is>
      </c>
      <c r="O519" s="41" t="inlineStr">
        <is>
          <t>2009</t>
        </is>
      </c>
      <c r="P519" s="42" t="inlineStr">
        <is>
          <t>서운로 221</t>
        </is>
      </c>
      <c r="Q519" s="41" t="inlineStr">
        <is>
          <t>-</t>
        </is>
      </c>
      <c r="R519" s="42" t="inlineStr">
        <is>
          <t>중개거래</t>
        </is>
      </c>
      <c r="S519" s="42" t="inlineStr">
        <is>
          <t>서울 서초구</t>
        </is>
      </c>
      <c r="T519" s="41" t="inlineStr">
        <is>
          <t>23.07.14</t>
        </is>
      </c>
      <c r="U519" s="42" t="inlineStr">
        <is>
          <t>아파트</t>
        </is>
      </c>
    </row>
    <row r="520" hidden="1" ht="15" customHeight="1">
      <c r="A520" s="41" t="n">
        <v>516</v>
      </c>
      <c r="B520" s="42" t="inlineStr">
        <is>
          <t>서울특별시 서초구 서초동</t>
        </is>
      </c>
      <c r="C520" s="41" t="inlineStr">
        <is>
          <t>1757</t>
        </is>
      </c>
      <c r="D520" s="41" t="inlineStr">
        <is>
          <t>1757</t>
        </is>
      </c>
      <c r="E520" s="41" t="inlineStr">
        <is>
          <t>0000</t>
        </is>
      </c>
      <c r="F520" s="42" t="inlineStr">
        <is>
          <t>서초그랑자이</t>
        </is>
      </c>
      <c r="G520" s="41" t="inlineStr">
        <is>
          <t>59.9800</t>
        </is>
      </c>
      <c r="H520" s="41" t="inlineStr">
        <is>
          <t>202304</t>
        </is>
      </c>
      <c r="I520" s="41" t="inlineStr">
        <is>
          <t>20</t>
        </is>
      </c>
      <c r="J520" s="41" t="inlineStr">
        <is>
          <t>209,500</t>
        </is>
      </c>
      <c r="K520" s="41" t="inlineStr">
        <is>
          <t>104동</t>
        </is>
      </c>
      <c r="L520" s="41" t="inlineStr">
        <is>
          <t>9</t>
        </is>
      </c>
      <c r="M520" s="41" t="inlineStr">
        <is>
          <t>-</t>
        </is>
      </c>
      <c r="N520" s="41" t="inlineStr">
        <is>
          <t>-</t>
        </is>
      </c>
      <c r="O520" s="41" t="inlineStr">
        <is>
          <t>2021</t>
        </is>
      </c>
      <c r="P520" s="42" t="inlineStr">
        <is>
          <t>효령로 391</t>
        </is>
      </c>
      <c r="Q520" s="41" t="inlineStr">
        <is>
          <t>-</t>
        </is>
      </c>
      <c r="R520" s="42" t="inlineStr">
        <is>
          <t>직거래</t>
        </is>
      </c>
      <c r="S520" s="41" t="inlineStr">
        <is>
          <t>-</t>
        </is>
      </c>
      <c r="T520" s="41" t="inlineStr">
        <is>
          <t>24.03.06</t>
        </is>
      </c>
      <c r="U520" s="42" t="inlineStr">
        <is>
          <t>아파트</t>
        </is>
      </c>
    </row>
    <row r="521" hidden="1" ht="15" customHeight="1">
      <c r="A521" s="41" t="n">
        <v>517</v>
      </c>
      <c r="B521" s="42" t="inlineStr">
        <is>
          <t>서울특별시 서초구 서초동</t>
        </is>
      </c>
      <c r="C521" s="41" t="inlineStr">
        <is>
          <t>1687</t>
        </is>
      </c>
      <c r="D521" s="41" t="inlineStr">
        <is>
          <t>1687</t>
        </is>
      </c>
      <c r="E521" s="41" t="inlineStr">
        <is>
          <t>0000</t>
        </is>
      </c>
      <c r="F521" s="42" t="inlineStr">
        <is>
          <t>유원서초</t>
        </is>
      </c>
      <c r="G521" s="41" t="inlineStr">
        <is>
          <t>84.8200</t>
        </is>
      </c>
      <c r="H521" s="41" t="inlineStr">
        <is>
          <t>202304</t>
        </is>
      </c>
      <c r="I521" s="41" t="inlineStr">
        <is>
          <t>19</t>
        </is>
      </c>
      <c r="J521" s="41" t="inlineStr">
        <is>
          <t>170,000</t>
        </is>
      </c>
      <c r="K521" s="41" t="inlineStr">
        <is>
          <t>103</t>
        </is>
      </c>
      <c r="L521" s="41" t="inlineStr">
        <is>
          <t>5</t>
        </is>
      </c>
      <c r="M521" s="41" t="inlineStr">
        <is>
          <t>-</t>
        </is>
      </c>
      <c r="N521" s="41" t="inlineStr">
        <is>
          <t>-</t>
        </is>
      </c>
      <c r="O521" s="41" t="inlineStr">
        <is>
          <t>1993</t>
        </is>
      </c>
      <c r="P521" s="42" t="inlineStr">
        <is>
          <t>서초중앙로24길 43</t>
        </is>
      </c>
      <c r="Q521" s="41" t="inlineStr">
        <is>
          <t>-</t>
        </is>
      </c>
      <c r="R521" s="42" t="inlineStr">
        <is>
          <t>중개거래</t>
        </is>
      </c>
      <c r="S521" s="42" t="inlineStr">
        <is>
          <t>서울 서초구</t>
        </is>
      </c>
      <c r="T521" s="41" t="inlineStr">
        <is>
          <t>23.06.21</t>
        </is>
      </c>
      <c r="U521" s="42" t="inlineStr">
        <is>
          <t>아파트</t>
        </is>
      </c>
    </row>
    <row r="522" hidden="1" ht="15" customHeight="1">
      <c r="A522" s="41" t="n">
        <v>518</v>
      </c>
      <c r="B522" s="42" t="inlineStr">
        <is>
          <t>서울특별시 서초구 서초동</t>
        </is>
      </c>
      <c r="C522" s="41" t="inlineStr">
        <is>
          <t>1685</t>
        </is>
      </c>
      <c r="D522" s="41" t="inlineStr">
        <is>
          <t>1685</t>
        </is>
      </c>
      <c r="E522" s="41" t="inlineStr">
        <is>
          <t>0000</t>
        </is>
      </c>
      <c r="F522" s="42" t="inlineStr">
        <is>
          <t>삼풍아파트</t>
        </is>
      </c>
      <c r="G522" s="41" t="inlineStr">
        <is>
          <t>79.4700</t>
        </is>
      </c>
      <c r="H522" s="41" t="inlineStr">
        <is>
          <t>202304</t>
        </is>
      </c>
      <c r="I522" s="41" t="inlineStr">
        <is>
          <t>18</t>
        </is>
      </c>
      <c r="J522" s="41" t="inlineStr">
        <is>
          <t>239,000</t>
        </is>
      </c>
      <c r="K522" s="41" t="inlineStr">
        <is>
          <t>3</t>
        </is>
      </c>
      <c r="L522" s="41" t="inlineStr">
        <is>
          <t>10</t>
        </is>
      </c>
      <c r="M522" s="41" t="inlineStr">
        <is>
          <t>-</t>
        </is>
      </c>
      <c r="N522" s="41" t="inlineStr">
        <is>
          <t>-</t>
        </is>
      </c>
      <c r="O522" s="41" t="inlineStr">
        <is>
          <t>1988</t>
        </is>
      </c>
      <c r="P522" s="42" t="inlineStr">
        <is>
          <t>서초중앙로 200</t>
        </is>
      </c>
      <c r="Q522" s="41" t="inlineStr">
        <is>
          <t>-</t>
        </is>
      </c>
      <c r="R522" s="42" t="inlineStr">
        <is>
          <t>중개거래</t>
        </is>
      </c>
      <c r="S522" s="42" t="inlineStr">
        <is>
          <t>서울 서초구</t>
        </is>
      </c>
      <c r="T522" s="41" t="inlineStr">
        <is>
          <t>23.06.27</t>
        </is>
      </c>
      <c r="U522" s="42" t="inlineStr">
        <is>
          <t>아파트</t>
        </is>
      </c>
    </row>
    <row r="523" hidden="1" ht="15" customHeight="1">
      <c r="A523" s="41" t="n">
        <v>519</v>
      </c>
      <c r="B523" s="42" t="inlineStr">
        <is>
          <t>서울특별시 서초구 서초동</t>
        </is>
      </c>
      <c r="C523" s="41" t="inlineStr">
        <is>
          <t>1644</t>
        </is>
      </c>
      <c r="D523" s="41" t="inlineStr">
        <is>
          <t>1644</t>
        </is>
      </c>
      <c r="E523" s="41" t="inlineStr">
        <is>
          <t>0000</t>
        </is>
      </c>
      <c r="F523" s="42" t="inlineStr">
        <is>
          <t>현대서초3</t>
        </is>
      </c>
      <c r="G523" s="41" t="inlineStr">
        <is>
          <t>84.4900</t>
        </is>
      </c>
      <c r="H523" s="41" t="inlineStr">
        <is>
          <t>202304</t>
        </is>
      </c>
      <c r="I523" s="41" t="inlineStr">
        <is>
          <t>18</t>
        </is>
      </c>
      <c r="J523" s="41" t="inlineStr">
        <is>
          <t>143,000</t>
        </is>
      </c>
      <c r="K523" s="41" t="inlineStr">
        <is>
          <t>301</t>
        </is>
      </c>
      <c r="L523" s="41" t="inlineStr">
        <is>
          <t>8</t>
        </is>
      </c>
      <c r="M523" s="41" t="inlineStr">
        <is>
          <t>-</t>
        </is>
      </c>
      <c r="N523" s="41" t="inlineStr">
        <is>
          <t>-</t>
        </is>
      </c>
      <c r="O523" s="41" t="inlineStr">
        <is>
          <t>1997</t>
        </is>
      </c>
      <c r="P523" s="42" t="inlineStr">
        <is>
          <t>사임당로23길 58</t>
        </is>
      </c>
      <c r="Q523" s="41" t="inlineStr">
        <is>
          <t>-</t>
        </is>
      </c>
      <c r="R523" s="42" t="inlineStr">
        <is>
          <t>중개거래</t>
        </is>
      </c>
      <c r="S523" s="42" t="inlineStr">
        <is>
          <t>서울 서초구</t>
        </is>
      </c>
      <c r="T523" s="41" t="inlineStr">
        <is>
          <t>23.08.28</t>
        </is>
      </c>
      <c r="U523" s="42" t="inlineStr">
        <is>
          <t>아파트</t>
        </is>
      </c>
    </row>
    <row r="524" hidden="1" ht="15" customHeight="1">
      <c r="A524" s="41" t="n">
        <v>520</v>
      </c>
      <c r="B524" s="42" t="inlineStr">
        <is>
          <t>서울특별시 서초구 서초동</t>
        </is>
      </c>
      <c r="C524" s="41" t="inlineStr">
        <is>
          <t>1668-1</t>
        </is>
      </c>
      <c r="D524" s="41" t="inlineStr">
        <is>
          <t>1668</t>
        </is>
      </c>
      <c r="E524" s="41" t="inlineStr">
        <is>
          <t>0001</t>
        </is>
      </c>
      <c r="F524" s="42" t="inlineStr">
        <is>
          <t>서초태동스위트</t>
        </is>
      </c>
      <c r="G524" s="41" t="inlineStr">
        <is>
          <t>100.0200</t>
        </is>
      </c>
      <c r="H524" s="41" t="inlineStr">
        <is>
          <t>202304</t>
        </is>
      </c>
      <c r="I524" s="41" t="inlineStr">
        <is>
          <t>18</t>
        </is>
      </c>
      <c r="J524" s="41" t="inlineStr">
        <is>
          <t>97,000</t>
        </is>
      </c>
      <c r="K524" s="41" t="inlineStr">
        <is>
          <t>-</t>
        </is>
      </c>
      <c r="L524" s="41" t="inlineStr">
        <is>
          <t>4</t>
        </is>
      </c>
      <c r="M524" s="41" t="inlineStr">
        <is>
          <t>-</t>
        </is>
      </c>
      <c r="N524" s="41" t="inlineStr">
        <is>
          <t>-</t>
        </is>
      </c>
      <c r="O524" s="41" t="inlineStr">
        <is>
          <t>2001</t>
        </is>
      </c>
      <c r="P524" s="42" t="inlineStr">
        <is>
          <t>서초중앙로22길 78</t>
        </is>
      </c>
      <c r="Q524" s="41" t="inlineStr">
        <is>
          <t>20230615</t>
        </is>
      </c>
      <c r="R524" s="42" t="inlineStr">
        <is>
          <t>중개거래</t>
        </is>
      </c>
      <c r="S524" s="42" t="inlineStr">
        <is>
          <t>서울 서초구</t>
        </is>
      </c>
      <c r="T524" s="41" t="inlineStr">
        <is>
          <t>-</t>
        </is>
      </c>
      <c r="U524" s="42" t="inlineStr">
        <is>
          <t>아파트</t>
        </is>
      </c>
    </row>
    <row r="525" hidden="1" ht="15" customHeight="1">
      <c r="A525" s="41" t="n">
        <v>521</v>
      </c>
      <c r="B525" s="42" t="inlineStr">
        <is>
          <t>서울특별시 서초구 서초동</t>
        </is>
      </c>
      <c r="C525" s="41" t="inlineStr">
        <is>
          <t>1326</t>
        </is>
      </c>
      <c r="D525" s="41" t="inlineStr">
        <is>
          <t>1326</t>
        </is>
      </c>
      <c r="E525" s="41" t="inlineStr">
        <is>
          <t>0000</t>
        </is>
      </c>
      <c r="F525" s="42" t="inlineStr">
        <is>
          <t>삼성서초가든스위트</t>
        </is>
      </c>
      <c r="G525" s="41" t="inlineStr">
        <is>
          <t>197.7900</t>
        </is>
      </c>
      <c r="H525" s="41" t="inlineStr">
        <is>
          <t>202304</t>
        </is>
      </c>
      <c r="I525" s="41" t="inlineStr">
        <is>
          <t>17</t>
        </is>
      </c>
      <c r="J525" s="41" t="inlineStr">
        <is>
          <t>370,000</t>
        </is>
      </c>
      <c r="K525" s="41" t="inlineStr">
        <is>
          <t>2</t>
        </is>
      </c>
      <c r="L525" s="41" t="inlineStr">
        <is>
          <t>17</t>
        </is>
      </c>
      <c r="M525" s="41" t="inlineStr">
        <is>
          <t>-</t>
        </is>
      </c>
      <c r="N525" s="41" t="inlineStr">
        <is>
          <t>-</t>
        </is>
      </c>
      <c r="O525" s="41" t="inlineStr">
        <is>
          <t>2000</t>
        </is>
      </c>
      <c r="P525" s="42" t="inlineStr">
        <is>
          <t>서운로 122</t>
        </is>
      </c>
      <c r="Q525" s="41" t="inlineStr">
        <is>
          <t>-</t>
        </is>
      </c>
      <c r="R525" s="42" t="inlineStr">
        <is>
          <t>직거래</t>
        </is>
      </c>
      <c r="S525" s="41" t="inlineStr">
        <is>
          <t>-</t>
        </is>
      </c>
      <c r="T525" s="41" t="inlineStr">
        <is>
          <t>23.08.14</t>
        </is>
      </c>
      <c r="U525" s="42" t="inlineStr">
        <is>
          <t>아파트</t>
        </is>
      </c>
    </row>
    <row r="526" hidden="1" ht="15" customHeight="1">
      <c r="A526" s="41" t="n">
        <v>522</v>
      </c>
      <c r="B526" s="42" t="inlineStr">
        <is>
          <t>서울특별시 서초구 서초동</t>
        </is>
      </c>
      <c r="C526" s="41" t="inlineStr">
        <is>
          <t>1492-13</t>
        </is>
      </c>
      <c r="D526" s="41" t="inlineStr">
        <is>
          <t>1492</t>
        </is>
      </c>
      <c r="E526" s="41" t="inlineStr">
        <is>
          <t>0013</t>
        </is>
      </c>
      <c r="F526" s="42" t="inlineStr">
        <is>
          <t>상지리츠빌(3)</t>
        </is>
      </c>
      <c r="G526" s="41" t="inlineStr">
        <is>
          <t>217.5200</t>
        </is>
      </c>
      <c r="H526" s="41" t="inlineStr">
        <is>
          <t>202304</t>
        </is>
      </c>
      <c r="I526" s="41" t="inlineStr">
        <is>
          <t>15</t>
        </is>
      </c>
      <c r="J526" s="41" t="inlineStr">
        <is>
          <t>234,500</t>
        </is>
      </c>
      <c r="K526" s="41" t="inlineStr">
        <is>
          <t>-</t>
        </is>
      </c>
      <c r="L526" s="41" t="inlineStr">
        <is>
          <t>3</t>
        </is>
      </c>
      <c r="M526" s="41" t="inlineStr">
        <is>
          <t>-</t>
        </is>
      </c>
      <c r="N526" s="41" t="inlineStr">
        <is>
          <t>-</t>
        </is>
      </c>
      <c r="O526" s="41" t="inlineStr">
        <is>
          <t>2004</t>
        </is>
      </c>
      <c r="P526" s="42" t="inlineStr">
        <is>
          <t>명달로13길 12</t>
        </is>
      </c>
      <c r="Q526" s="41" t="inlineStr">
        <is>
          <t>-</t>
        </is>
      </c>
      <c r="R526" s="42" t="inlineStr">
        <is>
          <t>중개거래</t>
        </is>
      </c>
      <c r="S526" s="42" t="inlineStr">
        <is>
          <t>서울 서초구</t>
        </is>
      </c>
      <c r="T526" s="41" t="inlineStr">
        <is>
          <t>23.06.27</t>
        </is>
      </c>
      <c r="U526" s="42" t="inlineStr">
        <is>
          <t>아파트</t>
        </is>
      </c>
    </row>
    <row r="527" hidden="1" ht="15" customHeight="1">
      <c r="A527" s="41" t="n">
        <v>523</v>
      </c>
      <c r="B527" s="42" t="inlineStr">
        <is>
          <t>서울특별시 서초구 서초동</t>
        </is>
      </c>
      <c r="C527" s="41" t="inlineStr">
        <is>
          <t>1333</t>
        </is>
      </c>
      <c r="D527" s="41" t="inlineStr">
        <is>
          <t>1333</t>
        </is>
      </c>
      <c r="E527" s="41" t="inlineStr">
        <is>
          <t>0000</t>
        </is>
      </c>
      <c r="F527" s="42" t="inlineStr">
        <is>
          <t>신동아아파트(1차)</t>
        </is>
      </c>
      <c r="G527" s="41" t="inlineStr">
        <is>
          <t>86.6100</t>
        </is>
      </c>
      <c r="H527" s="41" t="inlineStr">
        <is>
          <t>202304</t>
        </is>
      </c>
      <c r="I527" s="41" t="inlineStr">
        <is>
          <t>15</t>
        </is>
      </c>
      <c r="J527" s="41" t="inlineStr">
        <is>
          <t>183,500</t>
        </is>
      </c>
      <c r="K527" s="41" t="inlineStr">
        <is>
          <t>7</t>
        </is>
      </c>
      <c r="L527" s="41" t="inlineStr">
        <is>
          <t>4</t>
        </is>
      </c>
      <c r="M527" s="41" t="inlineStr">
        <is>
          <t>-</t>
        </is>
      </c>
      <c r="N527" s="41" t="inlineStr">
        <is>
          <t>-</t>
        </is>
      </c>
      <c r="O527" s="41" t="inlineStr">
        <is>
          <t>1978</t>
        </is>
      </c>
      <c r="P527" s="42" t="inlineStr">
        <is>
          <t>사임당로 130</t>
        </is>
      </c>
      <c r="Q527" s="41" t="inlineStr">
        <is>
          <t>-</t>
        </is>
      </c>
      <c r="R527" s="42" t="inlineStr">
        <is>
          <t>중개거래</t>
        </is>
      </c>
      <c r="S527" s="42" t="inlineStr">
        <is>
          <t>서울 서초구</t>
        </is>
      </c>
      <c r="T527" s="41" t="inlineStr">
        <is>
          <t>23.05.12</t>
        </is>
      </c>
      <c r="U527" s="42" t="inlineStr">
        <is>
          <t>아파트</t>
        </is>
      </c>
    </row>
    <row r="528" hidden="1" ht="15" customHeight="1">
      <c r="A528" s="41" t="n">
        <v>524</v>
      </c>
      <c r="B528" s="42" t="inlineStr">
        <is>
          <t>서울특별시 서초구 서초동</t>
        </is>
      </c>
      <c r="C528" s="41" t="inlineStr">
        <is>
          <t>1517-6</t>
        </is>
      </c>
      <c r="D528" s="41" t="inlineStr">
        <is>
          <t>1517</t>
        </is>
      </c>
      <c r="E528" s="41" t="inlineStr">
        <is>
          <t>0006</t>
        </is>
      </c>
      <c r="F528" s="42" t="inlineStr">
        <is>
          <t>상지리츠빌(10)</t>
        </is>
      </c>
      <c r="G528" s="41" t="inlineStr">
        <is>
          <t>189.5300</t>
        </is>
      </c>
      <c r="H528" s="41" t="inlineStr">
        <is>
          <t>202304</t>
        </is>
      </c>
      <c r="I528" s="41" t="inlineStr">
        <is>
          <t>15</t>
        </is>
      </c>
      <c r="J528" s="41" t="inlineStr">
        <is>
          <t>320,000</t>
        </is>
      </c>
      <c r="K528" s="41" t="inlineStr">
        <is>
          <t>-</t>
        </is>
      </c>
      <c r="L528" s="41" t="inlineStr">
        <is>
          <t>6</t>
        </is>
      </c>
      <c r="M528" s="41" t="inlineStr">
        <is>
          <t>-</t>
        </is>
      </c>
      <c r="N528" s="41" t="inlineStr">
        <is>
          <t>-</t>
        </is>
      </c>
      <c r="O528" s="41" t="inlineStr">
        <is>
          <t>2005</t>
        </is>
      </c>
      <c r="P528" s="42" t="inlineStr">
        <is>
          <t>명달로16길 17-5</t>
        </is>
      </c>
      <c r="Q528" s="41" t="inlineStr">
        <is>
          <t>-</t>
        </is>
      </c>
      <c r="R528" s="42" t="inlineStr">
        <is>
          <t>중개거래</t>
        </is>
      </c>
      <c r="S528" s="42" t="inlineStr">
        <is>
          <t>서울 강남구 서울 서초구</t>
        </is>
      </c>
      <c r="T528" s="41" t="inlineStr">
        <is>
          <t>23.10.12</t>
        </is>
      </c>
      <c r="U528" s="42" t="inlineStr">
        <is>
          <t>아파트</t>
        </is>
      </c>
    </row>
    <row r="529" hidden="1" ht="15" customHeight="1">
      <c r="A529" s="41" t="n">
        <v>525</v>
      </c>
      <c r="B529" s="42" t="inlineStr">
        <is>
          <t>서울특별시 서초구 서초동</t>
        </is>
      </c>
      <c r="C529" s="41" t="inlineStr">
        <is>
          <t>1656-4</t>
        </is>
      </c>
      <c r="D529" s="41" t="inlineStr">
        <is>
          <t>1656</t>
        </is>
      </c>
      <c r="E529" s="41" t="inlineStr">
        <is>
          <t>0004</t>
        </is>
      </c>
      <c r="F529" s="42" t="inlineStr">
        <is>
          <t>롯데캐슬메디치</t>
        </is>
      </c>
      <c r="G529" s="41" t="inlineStr">
        <is>
          <t>107.3600</t>
        </is>
      </c>
      <c r="H529" s="41" t="inlineStr">
        <is>
          <t>202304</t>
        </is>
      </c>
      <c r="I529" s="41" t="inlineStr">
        <is>
          <t>14</t>
        </is>
      </c>
      <c r="J529" s="41" t="inlineStr">
        <is>
          <t>165,000</t>
        </is>
      </c>
      <c r="K529" s="42" t="inlineStr">
        <is>
          <t>서초동롯데캐슬메디치</t>
        </is>
      </c>
      <c r="L529" s="41" t="inlineStr">
        <is>
          <t>10</t>
        </is>
      </c>
      <c r="M529" s="41" t="inlineStr">
        <is>
          <t>-</t>
        </is>
      </c>
      <c r="N529" s="41" t="inlineStr">
        <is>
          <t>-</t>
        </is>
      </c>
      <c r="O529" s="41" t="inlineStr">
        <is>
          <t>2010</t>
        </is>
      </c>
      <c r="P529" s="42" t="inlineStr">
        <is>
          <t>서초중앙로 110</t>
        </is>
      </c>
      <c r="Q529" s="41" t="inlineStr">
        <is>
          <t>-</t>
        </is>
      </c>
      <c r="R529" s="42" t="inlineStr">
        <is>
          <t>중개거래</t>
        </is>
      </c>
      <c r="S529" s="42" t="inlineStr">
        <is>
          <t>경기 성남분당구 서울 강남구</t>
        </is>
      </c>
      <c r="T529" s="41" t="inlineStr">
        <is>
          <t>23.05.19</t>
        </is>
      </c>
      <c r="U529" s="42" t="inlineStr">
        <is>
          <t>아파트</t>
        </is>
      </c>
    </row>
    <row r="530" hidden="1" ht="15" customHeight="1">
      <c r="A530" s="41" t="n">
        <v>526</v>
      </c>
      <c r="B530" s="42" t="inlineStr">
        <is>
          <t>서울특별시 서초구 서초동</t>
        </is>
      </c>
      <c r="C530" s="41" t="inlineStr">
        <is>
          <t>1326-17</t>
        </is>
      </c>
      <c r="D530" s="41" t="inlineStr">
        <is>
          <t>1326</t>
        </is>
      </c>
      <c r="E530" s="41" t="inlineStr">
        <is>
          <t>0017</t>
        </is>
      </c>
      <c r="F530" s="42" t="inlineStr">
        <is>
          <t>우성아파트</t>
        </is>
      </c>
      <c r="G530" s="41" t="inlineStr">
        <is>
          <t>59.9300</t>
        </is>
      </c>
      <c r="H530" s="41" t="inlineStr">
        <is>
          <t>202304</t>
        </is>
      </c>
      <c r="I530" s="41" t="inlineStr">
        <is>
          <t>14</t>
        </is>
      </c>
      <c r="J530" s="41" t="inlineStr">
        <is>
          <t>131,000</t>
        </is>
      </c>
      <c r="K530" s="41" t="inlineStr">
        <is>
          <t>501</t>
        </is>
      </c>
      <c r="L530" s="41" t="inlineStr">
        <is>
          <t>12</t>
        </is>
      </c>
      <c r="M530" s="41" t="inlineStr">
        <is>
          <t>-</t>
        </is>
      </c>
      <c r="N530" s="41" t="inlineStr">
        <is>
          <t>-</t>
        </is>
      </c>
      <c r="O530" s="41" t="inlineStr">
        <is>
          <t>1998</t>
        </is>
      </c>
      <c r="P530" s="42" t="inlineStr">
        <is>
          <t>서초대로74길 30</t>
        </is>
      </c>
      <c r="Q530" s="41" t="inlineStr">
        <is>
          <t>-</t>
        </is>
      </c>
      <c r="R530" s="42" t="inlineStr">
        <is>
          <t>중개거래</t>
        </is>
      </c>
      <c r="S530" s="42" t="inlineStr">
        <is>
          <t>서울 마포구 서울 서초구</t>
        </is>
      </c>
      <c r="T530" s="41" t="inlineStr">
        <is>
          <t>23.06.05</t>
        </is>
      </c>
      <c r="U530" s="42" t="inlineStr">
        <is>
          <t>아파트</t>
        </is>
      </c>
    </row>
    <row r="531" hidden="1" ht="15" customHeight="1">
      <c r="A531" s="41" t="n">
        <v>527</v>
      </c>
      <c r="B531" s="42" t="inlineStr">
        <is>
          <t>서울특별시 서초구 서초동</t>
        </is>
      </c>
      <c r="C531" s="41" t="inlineStr">
        <is>
          <t>1311-10</t>
        </is>
      </c>
      <c r="D531" s="41" t="inlineStr">
        <is>
          <t>1311</t>
        </is>
      </c>
      <c r="E531" s="41" t="inlineStr">
        <is>
          <t>0010</t>
        </is>
      </c>
      <c r="F531" s="42" t="inlineStr">
        <is>
          <t>서초푸르지오써밋</t>
        </is>
      </c>
      <c r="G531" s="41" t="inlineStr">
        <is>
          <t>84.9300</t>
        </is>
      </c>
      <c r="H531" s="41" t="inlineStr">
        <is>
          <t>202304</t>
        </is>
      </c>
      <c r="I531" s="41" t="inlineStr">
        <is>
          <t>13</t>
        </is>
      </c>
      <c r="J531" s="41" t="inlineStr">
        <is>
          <t>247,500</t>
        </is>
      </c>
      <c r="K531" s="41" t="inlineStr">
        <is>
          <t>105</t>
        </is>
      </c>
      <c r="L531" s="41" t="inlineStr">
        <is>
          <t>19</t>
        </is>
      </c>
      <c r="M531" s="41" t="inlineStr">
        <is>
          <t>-</t>
        </is>
      </c>
      <c r="N531" s="41" t="inlineStr">
        <is>
          <t>-</t>
        </is>
      </c>
      <c r="O531" s="41" t="inlineStr">
        <is>
          <t>2017</t>
        </is>
      </c>
      <c r="P531" s="42" t="inlineStr">
        <is>
          <t>서운로 201</t>
        </is>
      </c>
      <c r="Q531" s="41" t="inlineStr">
        <is>
          <t>-</t>
        </is>
      </c>
      <c r="R531" s="42" t="inlineStr">
        <is>
          <t>중개거래</t>
        </is>
      </c>
      <c r="S531" s="42" t="inlineStr">
        <is>
          <t>서울 서초구</t>
        </is>
      </c>
      <c r="T531" s="41" t="inlineStr">
        <is>
          <t>23.08.03</t>
        </is>
      </c>
      <c r="U531" s="42" t="inlineStr">
        <is>
          <t>아파트</t>
        </is>
      </c>
    </row>
    <row r="532" hidden="1" ht="15" customHeight="1">
      <c r="A532" s="41" t="n">
        <v>528</v>
      </c>
      <c r="B532" s="42" t="inlineStr">
        <is>
          <t>서울특별시 서초구 서초동</t>
        </is>
      </c>
      <c r="C532" s="41" t="inlineStr">
        <is>
          <t>1641-1</t>
        </is>
      </c>
      <c r="D532" s="41" t="inlineStr">
        <is>
          <t>1641</t>
        </is>
      </c>
      <c r="E532" s="41" t="inlineStr">
        <is>
          <t>0001</t>
        </is>
      </c>
      <c r="F532" s="42" t="inlineStr">
        <is>
          <t>서초삼성래미안</t>
        </is>
      </c>
      <c r="G532" s="41" t="inlineStr">
        <is>
          <t>84.9700</t>
        </is>
      </c>
      <c r="H532" s="41" t="inlineStr">
        <is>
          <t>202304</t>
        </is>
      </c>
      <c r="I532" s="41" t="inlineStr">
        <is>
          <t>12</t>
        </is>
      </c>
      <c r="J532" s="41" t="inlineStr">
        <is>
          <t>165,000</t>
        </is>
      </c>
      <c r="K532" s="41" t="inlineStr">
        <is>
          <t>103</t>
        </is>
      </c>
      <c r="L532" s="41" t="inlineStr">
        <is>
          <t>13</t>
        </is>
      </c>
      <c r="M532" s="41" t="inlineStr">
        <is>
          <t>-</t>
        </is>
      </c>
      <c r="N532" s="41" t="inlineStr">
        <is>
          <t>-</t>
        </is>
      </c>
      <c r="O532" s="41" t="inlineStr">
        <is>
          <t>2001</t>
        </is>
      </c>
      <c r="P532" s="42" t="inlineStr">
        <is>
          <t>사임당로17길 116</t>
        </is>
      </c>
      <c r="Q532" s="41" t="inlineStr">
        <is>
          <t>-</t>
        </is>
      </c>
      <c r="R532" s="42" t="inlineStr">
        <is>
          <t>중개거래</t>
        </is>
      </c>
      <c r="S532" s="42" t="inlineStr">
        <is>
          <t>서울 서초구</t>
        </is>
      </c>
      <c r="T532" s="41" t="inlineStr">
        <is>
          <t>23.05.12</t>
        </is>
      </c>
      <c r="U532" s="42" t="inlineStr">
        <is>
          <t>아파트</t>
        </is>
      </c>
    </row>
    <row r="533" hidden="1" ht="15" customHeight="1">
      <c r="A533" s="41" t="n">
        <v>529</v>
      </c>
      <c r="B533" s="42" t="inlineStr">
        <is>
          <t>서울특별시 서초구 서초동</t>
        </is>
      </c>
      <c r="C533" s="41" t="inlineStr">
        <is>
          <t>1451-89</t>
        </is>
      </c>
      <c r="D533" s="41" t="inlineStr">
        <is>
          <t>1451</t>
        </is>
      </c>
      <c r="E533" s="41" t="inlineStr">
        <is>
          <t>0089</t>
        </is>
      </c>
      <c r="F533" s="42" t="inlineStr">
        <is>
          <t>서초중흥S-클래스(도시형생활주택)</t>
        </is>
      </c>
      <c r="G533" s="41" t="inlineStr">
        <is>
          <t>22.3700</t>
        </is>
      </c>
      <c r="H533" s="41" t="inlineStr">
        <is>
          <t>202304</t>
        </is>
      </c>
      <c r="I533" s="41" t="inlineStr">
        <is>
          <t>11</t>
        </is>
      </c>
      <c r="J533" s="41" t="inlineStr">
        <is>
          <t>19,000</t>
        </is>
      </c>
      <c r="K533" s="41" t="inlineStr">
        <is>
          <t>1</t>
        </is>
      </c>
      <c r="L533" s="41" t="inlineStr">
        <is>
          <t>2</t>
        </is>
      </c>
      <c r="M533" s="41" t="inlineStr">
        <is>
          <t>-</t>
        </is>
      </c>
      <c r="N533" s="41" t="inlineStr">
        <is>
          <t>-</t>
        </is>
      </c>
      <c r="O533" s="41" t="inlineStr">
        <is>
          <t>2013</t>
        </is>
      </c>
      <c r="P533" s="42" t="inlineStr">
        <is>
          <t>효령로52길 63</t>
        </is>
      </c>
      <c r="Q533" s="41" t="inlineStr">
        <is>
          <t>-</t>
        </is>
      </c>
      <c r="R533" s="42" t="inlineStr">
        <is>
          <t>중개거래</t>
        </is>
      </c>
      <c r="S533" s="42" t="inlineStr">
        <is>
          <t>서울 서초구</t>
        </is>
      </c>
      <c r="T533" s="41" t="inlineStr">
        <is>
          <t>23.06.30</t>
        </is>
      </c>
      <c r="U533" s="42" t="inlineStr">
        <is>
          <t>아파트</t>
        </is>
      </c>
    </row>
    <row r="534" hidden="1" ht="15" customHeight="1">
      <c r="A534" s="41" t="n">
        <v>1</v>
      </c>
      <c r="B534" s="42" t="inlineStr">
        <is>
          <t>서울특별시 서초구 서초동</t>
        </is>
      </c>
      <c r="C534" s="41" t="inlineStr">
        <is>
          <t>1363-25</t>
        </is>
      </c>
      <c r="D534" s="41" t="inlineStr">
        <is>
          <t>1363</t>
        </is>
      </c>
      <c r="E534" s="41" t="inlineStr">
        <is>
          <t>0025</t>
        </is>
      </c>
      <c r="F534" s="42" t="inlineStr">
        <is>
          <t>한라비발디스튜디오193</t>
        </is>
      </c>
      <c r="G534" s="41" t="inlineStr">
        <is>
          <t>19.9900</t>
        </is>
      </c>
      <c r="H534" s="41" t="inlineStr">
        <is>
          <t>202504</t>
        </is>
      </c>
      <c r="I534" s="41" t="inlineStr">
        <is>
          <t>04</t>
        </is>
      </c>
      <c r="J534" s="41" t="inlineStr">
        <is>
          <t>26,000</t>
        </is>
      </c>
      <c r="K534" s="42" t="inlineStr">
        <is>
          <t>한라비발디스튜디오193</t>
        </is>
      </c>
      <c r="L534" s="41" t="inlineStr">
        <is>
          <t>11</t>
        </is>
      </c>
      <c r="M534" s="42" t="inlineStr">
        <is>
          <t>개인</t>
        </is>
      </c>
      <c r="N534" s="42" t="inlineStr">
        <is>
          <t>개인</t>
        </is>
      </c>
      <c r="O534" s="41" t="inlineStr">
        <is>
          <t>2013</t>
        </is>
      </c>
      <c r="P534" s="42" t="inlineStr">
        <is>
          <t>강남대로39길 15-10</t>
        </is>
      </c>
      <c r="Q534" s="41" t="inlineStr">
        <is>
          <t>-</t>
        </is>
      </c>
      <c r="R534" s="42" t="inlineStr">
        <is>
          <t>중개거래</t>
        </is>
      </c>
      <c r="S534" s="42" t="inlineStr">
        <is>
          <t>서울 강남구</t>
        </is>
      </c>
      <c r="T534" s="41" t="inlineStr">
        <is>
          <t>25.05.27</t>
        </is>
      </c>
      <c r="U534" s="42" t="inlineStr">
        <is>
          <t>아파트</t>
        </is>
      </c>
    </row>
    <row r="535" hidden="1" ht="15" customHeight="1">
      <c r="A535" s="41" t="n">
        <v>2</v>
      </c>
      <c r="B535" s="42" t="inlineStr">
        <is>
          <t>서울특별시 서초구 서초동</t>
        </is>
      </c>
      <c r="C535" s="41" t="inlineStr">
        <is>
          <t>1330</t>
        </is>
      </c>
      <c r="D535" s="41" t="inlineStr">
        <is>
          <t>1330</t>
        </is>
      </c>
      <c r="E535" s="41" t="inlineStr">
        <is>
          <t>0000</t>
        </is>
      </c>
      <c r="F535" s="42" t="inlineStr">
        <is>
          <t>서초동삼성쉐르빌2</t>
        </is>
      </c>
      <c r="G535" s="41" t="inlineStr">
        <is>
          <t>35.2200</t>
        </is>
      </c>
      <c r="H535" s="41" t="inlineStr">
        <is>
          <t>202504</t>
        </is>
      </c>
      <c r="I535" s="41" t="inlineStr">
        <is>
          <t>04</t>
        </is>
      </c>
      <c r="J535" s="41" t="inlineStr">
        <is>
          <t>30,000</t>
        </is>
      </c>
      <c r="K535" s="41" t="inlineStr">
        <is>
          <t>-</t>
        </is>
      </c>
      <c r="L535" s="41" t="inlineStr">
        <is>
          <t>13</t>
        </is>
      </c>
      <c r="M535" s="42" t="inlineStr">
        <is>
          <t>개인</t>
        </is>
      </c>
      <c r="N535" s="42" t="inlineStr">
        <is>
          <t>개인</t>
        </is>
      </c>
      <c r="O535" s="41" t="inlineStr">
        <is>
          <t>2002</t>
        </is>
      </c>
      <c r="P535" s="42" t="inlineStr">
        <is>
          <t>강남대로53길 11</t>
        </is>
      </c>
      <c r="Q535" s="41" t="inlineStr">
        <is>
          <t>-</t>
        </is>
      </c>
      <c r="R535" s="42" t="inlineStr">
        <is>
          <t>중개거래</t>
        </is>
      </c>
      <c r="S535" s="42" t="inlineStr">
        <is>
          <t>서울 서초구</t>
        </is>
      </c>
      <c r="T535" s="41" t="inlineStr">
        <is>
          <t>25.05.15</t>
        </is>
      </c>
      <c r="U535" s="42" t="inlineStr">
        <is>
          <t>아파트</t>
        </is>
      </c>
    </row>
    <row r="536" hidden="1" ht="15" customHeight="1">
      <c r="A536" s="41" t="n">
        <v>3</v>
      </c>
      <c r="B536" s="42" t="inlineStr">
        <is>
          <t>서울특별시 서초구 서초동</t>
        </is>
      </c>
      <c r="C536" s="41" t="inlineStr">
        <is>
          <t>1315</t>
        </is>
      </c>
      <c r="D536" s="41" t="inlineStr">
        <is>
          <t>1315</t>
        </is>
      </c>
      <c r="E536" s="41" t="inlineStr">
        <is>
          <t>0000</t>
        </is>
      </c>
      <c r="F536" s="42" t="inlineStr">
        <is>
          <t>진흥아파트</t>
        </is>
      </c>
      <c r="G536" s="41" t="inlineStr">
        <is>
          <t>101.3200</t>
        </is>
      </c>
      <c r="H536" s="41" t="inlineStr">
        <is>
          <t>202504</t>
        </is>
      </c>
      <c r="I536" s="41" t="inlineStr">
        <is>
          <t>03</t>
        </is>
      </c>
      <c r="J536" s="41" t="inlineStr">
        <is>
          <t>270,000</t>
        </is>
      </c>
      <c r="K536" s="41" t="inlineStr">
        <is>
          <t>2</t>
        </is>
      </c>
      <c r="L536" s="41" t="inlineStr">
        <is>
          <t>14</t>
        </is>
      </c>
      <c r="M536" s="42" t="inlineStr">
        <is>
          <t>개인</t>
        </is>
      </c>
      <c r="N536" s="42" t="inlineStr">
        <is>
          <t>개인</t>
        </is>
      </c>
      <c r="O536" s="41" t="inlineStr">
        <is>
          <t>1979</t>
        </is>
      </c>
      <c r="P536" s="42" t="inlineStr">
        <is>
          <t>서초대로 385</t>
        </is>
      </c>
      <c r="Q536" s="41" t="inlineStr">
        <is>
          <t>-</t>
        </is>
      </c>
      <c r="R536" s="42" t="inlineStr">
        <is>
          <t>중개거래</t>
        </is>
      </c>
      <c r="S536" s="42" t="inlineStr">
        <is>
          <t>서울 서초구</t>
        </is>
      </c>
      <c r="T536" s="41" t="inlineStr">
        <is>
          <t>25.09.04</t>
        </is>
      </c>
      <c r="U536" s="42" t="inlineStr">
        <is>
          <t>아파트</t>
        </is>
      </c>
    </row>
    <row r="537" hidden="1" ht="15" customHeight="1">
      <c r="A537" s="41" t="n">
        <v>4</v>
      </c>
      <c r="B537" s="42" t="inlineStr">
        <is>
          <t>서울특별시 서초구 서초동</t>
        </is>
      </c>
      <c r="C537" s="41" t="inlineStr">
        <is>
          <t>1315</t>
        </is>
      </c>
      <c r="D537" s="41" t="inlineStr">
        <is>
          <t>1315</t>
        </is>
      </c>
      <c r="E537" s="41" t="inlineStr">
        <is>
          <t>0000</t>
        </is>
      </c>
      <c r="F537" s="42" t="inlineStr">
        <is>
          <t>진흥아파트</t>
        </is>
      </c>
      <c r="G537" s="41" t="inlineStr">
        <is>
          <t>101.3200</t>
        </is>
      </c>
      <c r="H537" s="41" t="inlineStr">
        <is>
          <t>202503</t>
        </is>
      </c>
      <c r="I537" s="41" t="inlineStr">
        <is>
          <t>30</t>
        </is>
      </c>
      <c r="J537" s="41" t="inlineStr">
        <is>
          <t>275,000</t>
        </is>
      </c>
      <c r="K537" s="41" t="inlineStr">
        <is>
          <t>2</t>
        </is>
      </c>
      <c r="L537" s="41" t="inlineStr">
        <is>
          <t>14</t>
        </is>
      </c>
      <c r="M537" s="42" t="inlineStr">
        <is>
          <t>개인</t>
        </is>
      </c>
      <c r="N537" s="42" t="inlineStr">
        <is>
          <t>개인</t>
        </is>
      </c>
      <c r="O537" s="41" t="inlineStr">
        <is>
          <t>1979</t>
        </is>
      </c>
      <c r="P537" s="42" t="inlineStr">
        <is>
          <t>서초대로 385</t>
        </is>
      </c>
      <c r="Q537" s="41" t="inlineStr">
        <is>
          <t>-</t>
        </is>
      </c>
      <c r="R537" s="42" t="inlineStr">
        <is>
          <t>중개거래</t>
        </is>
      </c>
      <c r="S537" s="42" t="inlineStr">
        <is>
          <t>서울 서초구</t>
        </is>
      </c>
      <c r="T537" s="41" t="inlineStr">
        <is>
          <t>25.07.11</t>
        </is>
      </c>
      <c r="U537" s="42" t="inlineStr">
        <is>
          <t>아파트</t>
        </is>
      </c>
    </row>
    <row r="538" hidden="1" ht="15" customHeight="1">
      <c r="A538" s="41" t="n">
        <v>5</v>
      </c>
      <c r="B538" s="42" t="inlineStr">
        <is>
          <t>서울특별시 서초구 서초동</t>
        </is>
      </c>
      <c r="C538" s="41" t="inlineStr">
        <is>
          <t>1330</t>
        </is>
      </c>
      <c r="D538" s="41" t="inlineStr">
        <is>
          <t>1330</t>
        </is>
      </c>
      <c r="E538" s="41" t="inlineStr">
        <is>
          <t>0000</t>
        </is>
      </c>
      <c r="F538" s="42" t="inlineStr">
        <is>
          <t>서초동삼성쉐르빌2</t>
        </is>
      </c>
      <c r="G538" s="41" t="inlineStr">
        <is>
          <t>70.4900</t>
        </is>
      </c>
      <c r="H538" s="41" t="inlineStr">
        <is>
          <t>202503</t>
        </is>
      </c>
      <c r="I538" s="41" t="inlineStr">
        <is>
          <t>27</t>
        </is>
      </c>
      <c r="J538" s="41" t="inlineStr">
        <is>
          <t>95,000</t>
        </is>
      </c>
      <c r="K538" s="41" t="inlineStr">
        <is>
          <t>-</t>
        </is>
      </c>
      <c r="L538" s="41" t="inlineStr">
        <is>
          <t>21</t>
        </is>
      </c>
      <c r="M538" s="42" t="inlineStr">
        <is>
          <t>개인</t>
        </is>
      </c>
      <c r="N538" s="42" t="inlineStr">
        <is>
          <t>개인</t>
        </is>
      </c>
      <c r="O538" s="41" t="inlineStr">
        <is>
          <t>2002</t>
        </is>
      </c>
      <c r="P538" s="42" t="inlineStr">
        <is>
          <t>강남대로53길 11</t>
        </is>
      </c>
      <c r="Q538" s="41" t="inlineStr">
        <is>
          <t>-</t>
        </is>
      </c>
      <c r="R538" s="42" t="inlineStr">
        <is>
          <t>중개거래</t>
        </is>
      </c>
      <c r="S538" s="42" t="inlineStr">
        <is>
          <t>서울 서초구</t>
        </is>
      </c>
      <c r="T538" s="41" t="inlineStr">
        <is>
          <t>25.05.30</t>
        </is>
      </c>
      <c r="U538" s="42" t="inlineStr">
        <is>
          <t>아파트</t>
        </is>
      </c>
    </row>
    <row r="539" hidden="1" ht="15" customHeight="1">
      <c r="A539" s="41" t="n">
        <v>6</v>
      </c>
      <c r="B539" s="42" t="inlineStr">
        <is>
          <t>서울특별시 서초구 서초동</t>
        </is>
      </c>
      <c r="C539" s="41" t="inlineStr">
        <is>
          <t>1332-13</t>
        </is>
      </c>
      <c r="D539" s="41" t="inlineStr">
        <is>
          <t>1332</t>
        </is>
      </c>
      <c r="E539" s="41" t="inlineStr">
        <is>
          <t>0013</t>
        </is>
      </c>
      <c r="F539" s="42" t="inlineStr">
        <is>
          <t>래미안서초에스티지</t>
        </is>
      </c>
      <c r="G539" s="41" t="inlineStr">
        <is>
          <t>83.6000</t>
        </is>
      </c>
      <c r="H539" s="41" t="inlineStr">
        <is>
          <t>202503</t>
        </is>
      </c>
      <c r="I539" s="41" t="inlineStr">
        <is>
          <t>23</t>
        </is>
      </c>
      <c r="J539" s="41" t="inlineStr">
        <is>
          <t>306,000</t>
        </is>
      </c>
      <c r="K539" s="41" t="inlineStr">
        <is>
          <t>104동</t>
        </is>
      </c>
      <c r="L539" s="41" t="inlineStr">
        <is>
          <t>11</t>
        </is>
      </c>
      <c r="M539" s="42" t="inlineStr">
        <is>
          <t>개인</t>
        </is>
      </c>
      <c r="N539" s="42" t="inlineStr">
        <is>
          <t>개인</t>
        </is>
      </c>
      <c r="O539" s="41" t="inlineStr">
        <is>
          <t>2016</t>
        </is>
      </c>
      <c r="P539" s="42" t="inlineStr">
        <is>
          <t>서운로 107</t>
        </is>
      </c>
      <c r="Q539" s="41" t="inlineStr">
        <is>
          <t>-</t>
        </is>
      </c>
      <c r="R539" s="42" t="inlineStr">
        <is>
          <t>중개거래</t>
        </is>
      </c>
      <c r="S539" s="42" t="inlineStr">
        <is>
          <t>서울 서초구</t>
        </is>
      </c>
      <c r="T539" s="41" t="inlineStr">
        <is>
          <t>25.06.30</t>
        </is>
      </c>
      <c r="U539" s="42" t="inlineStr">
        <is>
          <t>아파트</t>
        </is>
      </c>
    </row>
    <row r="540" hidden="1" ht="15" customHeight="1">
      <c r="A540" s="41" t="n">
        <v>7</v>
      </c>
      <c r="B540" s="42" t="inlineStr">
        <is>
          <t>서울특별시 서초구 서초동</t>
        </is>
      </c>
      <c r="C540" s="41" t="inlineStr">
        <is>
          <t>1483-18</t>
        </is>
      </c>
      <c r="D540" s="41" t="inlineStr">
        <is>
          <t>1483</t>
        </is>
      </c>
      <c r="E540" s="41" t="inlineStr">
        <is>
          <t>0018</t>
        </is>
      </c>
      <c r="F540" s="42" t="inlineStr">
        <is>
          <t>더샾오데움(101,102동)</t>
        </is>
      </c>
      <c r="G540" s="41" t="inlineStr">
        <is>
          <t>205.1950</t>
        </is>
      </c>
      <c r="H540" s="41" t="inlineStr">
        <is>
          <t>202503</t>
        </is>
      </c>
      <c r="I540" s="41" t="inlineStr">
        <is>
          <t>23</t>
        </is>
      </c>
      <c r="J540" s="41" t="inlineStr">
        <is>
          <t>306,500</t>
        </is>
      </c>
      <c r="K540" s="41" t="inlineStr">
        <is>
          <t>102</t>
        </is>
      </c>
      <c r="L540" s="41" t="inlineStr">
        <is>
          <t>3</t>
        </is>
      </c>
      <c r="M540" s="42" t="inlineStr">
        <is>
          <t>개인</t>
        </is>
      </c>
      <c r="N540" s="42" t="inlineStr">
        <is>
          <t>개인</t>
        </is>
      </c>
      <c r="O540" s="41" t="inlineStr">
        <is>
          <t>2005</t>
        </is>
      </c>
      <c r="P540" s="42" t="inlineStr">
        <is>
          <t>효령로46길 21</t>
        </is>
      </c>
      <c r="Q540" s="41" t="inlineStr">
        <is>
          <t>-</t>
        </is>
      </c>
      <c r="R540" s="42" t="inlineStr">
        <is>
          <t>중개거래</t>
        </is>
      </c>
      <c r="S540" s="42" t="inlineStr">
        <is>
          <t>서울 강남구</t>
        </is>
      </c>
      <c r="T540" s="41" t="inlineStr">
        <is>
          <t>25.08.29</t>
        </is>
      </c>
      <c r="U540" s="42" t="inlineStr">
        <is>
          <t>아파트</t>
        </is>
      </c>
    </row>
    <row r="541" hidden="1" ht="15" customHeight="1">
      <c r="A541" s="41" t="n">
        <v>8</v>
      </c>
      <c r="B541" s="42" t="inlineStr">
        <is>
          <t>서울특별시 서초구 서초동</t>
        </is>
      </c>
      <c r="C541" s="41" t="inlineStr">
        <is>
          <t>1326-17</t>
        </is>
      </c>
      <c r="D541" s="41" t="inlineStr">
        <is>
          <t>1326</t>
        </is>
      </c>
      <c r="E541" s="41" t="inlineStr">
        <is>
          <t>0017</t>
        </is>
      </c>
      <c r="F541" s="42" t="inlineStr">
        <is>
          <t>우성아파트</t>
        </is>
      </c>
      <c r="G541" s="41" t="inlineStr">
        <is>
          <t>76.6700</t>
        </is>
      </c>
      <c r="H541" s="41" t="inlineStr">
        <is>
          <t>202503</t>
        </is>
      </c>
      <c r="I541" s="41" t="inlineStr">
        <is>
          <t>23</t>
        </is>
      </c>
      <c r="J541" s="41" t="inlineStr">
        <is>
          <t>215,000</t>
        </is>
      </c>
      <c r="K541" s="41" t="inlineStr">
        <is>
          <t>501</t>
        </is>
      </c>
      <c r="L541" s="41" t="inlineStr">
        <is>
          <t>10</t>
        </is>
      </c>
      <c r="M541" s="42" t="inlineStr">
        <is>
          <t>개인</t>
        </is>
      </c>
      <c r="N541" s="42" t="inlineStr">
        <is>
          <t>개인</t>
        </is>
      </c>
      <c r="O541" s="41" t="inlineStr">
        <is>
          <t>1998</t>
        </is>
      </c>
      <c r="P541" s="42" t="inlineStr">
        <is>
          <t>서초대로74길 30</t>
        </is>
      </c>
      <c r="Q541" s="41" t="inlineStr">
        <is>
          <t>-</t>
        </is>
      </c>
      <c r="R541" s="42" t="inlineStr">
        <is>
          <t>중개거래</t>
        </is>
      </c>
      <c r="S541" s="42" t="inlineStr">
        <is>
          <t>서울 서초구</t>
        </is>
      </c>
      <c r="T541" s="41" t="inlineStr">
        <is>
          <t>25.07.10</t>
        </is>
      </c>
      <c r="U541" s="42" t="inlineStr">
        <is>
          <t>아파트</t>
        </is>
      </c>
    </row>
    <row r="542" hidden="1" ht="15" customHeight="1">
      <c r="A542" s="41" t="n">
        <v>9</v>
      </c>
      <c r="B542" s="42" t="inlineStr">
        <is>
          <t>서울특별시 서초구 서초동</t>
        </is>
      </c>
      <c r="C542" s="41" t="inlineStr">
        <is>
          <t>1326-17</t>
        </is>
      </c>
      <c r="D542" s="41" t="inlineStr">
        <is>
          <t>1326</t>
        </is>
      </c>
      <c r="E542" s="41" t="inlineStr">
        <is>
          <t>0017</t>
        </is>
      </c>
      <c r="F542" s="42" t="inlineStr">
        <is>
          <t>우성아파트</t>
        </is>
      </c>
      <c r="G542" s="41" t="inlineStr">
        <is>
          <t>59.9300</t>
        </is>
      </c>
      <c r="H542" s="41" t="inlineStr">
        <is>
          <t>202503</t>
        </is>
      </c>
      <c r="I542" s="41" t="inlineStr">
        <is>
          <t>23</t>
        </is>
      </c>
      <c r="J542" s="41" t="inlineStr">
        <is>
          <t>178,500</t>
        </is>
      </c>
      <c r="K542" s="41" t="inlineStr">
        <is>
          <t>-</t>
        </is>
      </c>
      <c r="L542" s="41" t="inlineStr">
        <is>
          <t>7</t>
        </is>
      </c>
      <c r="M542" s="42" t="inlineStr">
        <is>
          <t>개인</t>
        </is>
      </c>
      <c r="N542" s="42" t="inlineStr">
        <is>
          <t>개인</t>
        </is>
      </c>
      <c r="O542" s="41" t="inlineStr">
        <is>
          <t>1998</t>
        </is>
      </c>
      <c r="P542" s="42" t="inlineStr">
        <is>
          <t>서초대로74길 30</t>
        </is>
      </c>
      <c r="Q542" s="41" t="inlineStr">
        <is>
          <t>-</t>
        </is>
      </c>
      <c r="R542" s="42" t="inlineStr">
        <is>
          <t>중개거래</t>
        </is>
      </c>
      <c r="S542" s="42" t="inlineStr">
        <is>
          <t>서울 서초구</t>
        </is>
      </c>
      <c r="T542" s="41" t="inlineStr">
        <is>
          <t>-</t>
        </is>
      </c>
      <c r="U542" s="42" t="inlineStr">
        <is>
          <t>아파트</t>
        </is>
      </c>
    </row>
    <row r="543" hidden="1" ht="15" customHeight="1">
      <c r="A543" s="41" t="n">
        <v>10</v>
      </c>
      <c r="B543" s="42" t="inlineStr">
        <is>
          <t>서울특별시 서초구 서초동</t>
        </is>
      </c>
      <c r="C543" s="41" t="inlineStr">
        <is>
          <t>1326-17</t>
        </is>
      </c>
      <c r="D543" s="41" t="inlineStr">
        <is>
          <t>1326</t>
        </is>
      </c>
      <c r="E543" s="41" t="inlineStr">
        <is>
          <t>0017</t>
        </is>
      </c>
      <c r="F543" s="42" t="inlineStr">
        <is>
          <t>우성아파트</t>
        </is>
      </c>
      <c r="G543" s="41" t="inlineStr">
        <is>
          <t>134.9100</t>
        </is>
      </c>
      <c r="H543" s="41" t="inlineStr">
        <is>
          <t>202503</t>
        </is>
      </c>
      <c r="I543" s="41" t="inlineStr">
        <is>
          <t>23</t>
        </is>
      </c>
      <c r="J543" s="41" t="inlineStr">
        <is>
          <t>290,000</t>
        </is>
      </c>
      <c r="K543" s="41" t="inlineStr">
        <is>
          <t>502</t>
        </is>
      </c>
      <c r="L543" s="41" t="inlineStr">
        <is>
          <t>18</t>
        </is>
      </c>
      <c r="M543" s="42" t="inlineStr">
        <is>
          <t>개인</t>
        </is>
      </c>
      <c r="N543" s="42" t="inlineStr">
        <is>
          <t>개인</t>
        </is>
      </c>
      <c r="O543" s="41" t="inlineStr">
        <is>
          <t>1998</t>
        </is>
      </c>
      <c r="P543" s="42" t="inlineStr">
        <is>
          <t>서초대로74길 30</t>
        </is>
      </c>
      <c r="Q543" s="41" t="inlineStr">
        <is>
          <t>-</t>
        </is>
      </c>
      <c r="R543" s="42" t="inlineStr">
        <is>
          <t>중개거래</t>
        </is>
      </c>
      <c r="S543" s="42" t="inlineStr">
        <is>
          <t>서울 서초구</t>
        </is>
      </c>
      <c r="T543" s="41" t="inlineStr">
        <is>
          <t>25.07.01</t>
        </is>
      </c>
      <c r="U543" s="42" t="inlineStr">
        <is>
          <t>아파트</t>
        </is>
      </c>
    </row>
    <row r="544" hidden="1" ht="15" customHeight="1">
      <c r="A544" s="41" t="n">
        <v>11</v>
      </c>
      <c r="B544" s="42" t="inlineStr">
        <is>
          <t>서울특별시 서초구 서초동</t>
        </is>
      </c>
      <c r="C544" s="41" t="inlineStr">
        <is>
          <t>1685</t>
        </is>
      </c>
      <c r="D544" s="41" t="inlineStr">
        <is>
          <t>1685</t>
        </is>
      </c>
      <c r="E544" s="41" t="inlineStr">
        <is>
          <t>0000</t>
        </is>
      </c>
      <c r="F544" s="42" t="inlineStr">
        <is>
          <t>삼풍아파트</t>
        </is>
      </c>
      <c r="G544" s="41" t="inlineStr">
        <is>
          <t>130.7300</t>
        </is>
      </c>
      <c r="H544" s="41" t="inlineStr">
        <is>
          <t>202503</t>
        </is>
      </c>
      <c r="I544" s="41" t="inlineStr">
        <is>
          <t>23</t>
        </is>
      </c>
      <c r="J544" s="41" t="inlineStr">
        <is>
          <t>390,000</t>
        </is>
      </c>
      <c r="K544" s="41" t="inlineStr">
        <is>
          <t>-</t>
        </is>
      </c>
      <c r="L544" s="41" t="inlineStr">
        <is>
          <t>8</t>
        </is>
      </c>
      <c r="M544" s="42" t="inlineStr">
        <is>
          <t>개인</t>
        </is>
      </c>
      <c r="N544" s="42" t="inlineStr">
        <is>
          <t>개인</t>
        </is>
      </c>
      <c r="O544" s="41" t="inlineStr">
        <is>
          <t>1988</t>
        </is>
      </c>
      <c r="P544" s="42" t="inlineStr">
        <is>
          <t>서초중앙로 200</t>
        </is>
      </c>
      <c r="Q544" s="41" t="inlineStr">
        <is>
          <t>-</t>
        </is>
      </c>
      <c r="R544" s="42" t="inlineStr">
        <is>
          <t>중개거래</t>
        </is>
      </c>
      <c r="S544" s="42" t="inlineStr">
        <is>
          <t>서울 서초구</t>
        </is>
      </c>
      <c r="T544" s="41" t="inlineStr">
        <is>
          <t>-</t>
        </is>
      </c>
      <c r="U544" s="42" t="inlineStr">
        <is>
          <t>아파트</t>
        </is>
      </c>
    </row>
    <row r="545" hidden="1" ht="15" customHeight="1">
      <c r="A545" s="41" t="n">
        <v>12</v>
      </c>
      <c r="B545" s="42" t="inlineStr">
        <is>
          <t>서울특별시 서초구 서초동</t>
        </is>
      </c>
      <c r="C545" s="41" t="inlineStr">
        <is>
          <t>1316-31</t>
        </is>
      </c>
      <c r="D545" s="41" t="inlineStr">
        <is>
          <t>1316</t>
        </is>
      </c>
      <c r="E545" s="41" t="inlineStr">
        <is>
          <t>0031</t>
        </is>
      </c>
      <c r="F545" s="42" t="inlineStr">
        <is>
          <t>밀라텔쉐르빌</t>
        </is>
      </c>
      <c r="G545" s="41" t="inlineStr">
        <is>
          <t>45.6200</t>
        </is>
      </c>
      <c r="H545" s="41" t="inlineStr">
        <is>
          <t>202503</t>
        </is>
      </c>
      <c r="I545" s="41" t="inlineStr">
        <is>
          <t>23</t>
        </is>
      </c>
      <c r="J545" s="41" t="inlineStr">
        <is>
          <t>62,000</t>
        </is>
      </c>
      <c r="K545" s="41" t="inlineStr">
        <is>
          <t>-</t>
        </is>
      </c>
      <c r="L545" s="41" t="inlineStr">
        <is>
          <t>16</t>
        </is>
      </c>
      <c r="M545" s="42" t="inlineStr">
        <is>
          <t>개인</t>
        </is>
      </c>
      <c r="N545" s="42" t="inlineStr">
        <is>
          <t>개인</t>
        </is>
      </c>
      <c r="O545" s="41" t="inlineStr">
        <is>
          <t>2001</t>
        </is>
      </c>
      <c r="P545" s="42" t="inlineStr">
        <is>
          <t>강남대로61길 17</t>
        </is>
      </c>
      <c r="Q545" s="41" t="inlineStr">
        <is>
          <t>-</t>
        </is>
      </c>
      <c r="R545" s="42" t="inlineStr">
        <is>
          <t>중개거래</t>
        </is>
      </c>
      <c r="S545" s="42" t="inlineStr">
        <is>
          <t>서울 서초구</t>
        </is>
      </c>
      <c r="T545" s="41" t="inlineStr">
        <is>
          <t>25.05.27</t>
        </is>
      </c>
      <c r="U545" s="42" t="inlineStr">
        <is>
          <t>아파트</t>
        </is>
      </c>
    </row>
    <row r="546" hidden="1" ht="15" customHeight="1">
      <c r="A546" s="41" t="n">
        <v>13</v>
      </c>
      <c r="B546" s="42" t="inlineStr">
        <is>
          <t>서울특별시 서초구 서초동</t>
        </is>
      </c>
      <c r="C546" s="41" t="inlineStr">
        <is>
          <t>1685-3</t>
        </is>
      </c>
      <c r="D546" s="41" t="inlineStr">
        <is>
          <t>1685</t>
        </is>
      </c>
      <c r="E546" s="41" t="inlineStr">
        <is>
          <t>0003</t>
        </is>
      </c>
      <c r="F546" s="42" t="inlineStr">
        <is>
          <t>아크로비스타</t>
        </is>
      </c>
      <c r="G546" s="41" t="inlineStr">
        <is>
          <t>138.9600</t>
        </is>
      </c>
      <c r="H546" s="41" t="inlineStr">
        <is>
          <t>202503</t>
        </is>
      </c>
      <c r="I546" s="41" t="inlineStr">
        <is>
          <t>23</t>
        </is>
      </c>
      <c r="J546" s="41" t="inlineStr">
        <is>
          <t>290,000</t>
        </is>
      </c>
      <c r="K546" s="41" t="inlineStr">
        <is>
          <t>B</t>
        </is>
      </c>
      <c r="L546" s="41" t="inlineStr">
        <is>
          <t>17</t>
        </is>
      </c>
      <c r="M546" s="42" t="inlineStr">
        <is>
          <t>개인</t>
        </is>
      </c>
      <c r="N546" s="42" t="inlineStr">
        <is>
          <t>개인</t>
        </is>
      </c>
      <c r="O546" s="41" t="inlineStr">
        <is>
          <t>2004</t>
        </is>
      </c>
      <c r="P546" s="42" t="inlineStr">
        <is>
          <t>서초중앙로 188</t>
        </is>
      </c>
      <c r="Q546" s="41" t="inlineStr">
        <is>
          <t>-</t>
        </is>
      </c>
      <c r="R546" s="42" t="inlineStr">
        <is>
          <t>중개거래</t>
        </is>
      </c>
      <c r="S546" s="42" t="inlineStr">
        <is>
          <t>서울 서초구</t>
        </is>
      </c>
      <c r="T546" s="41" t="inlineStr">
        <is>
          <t>25.08.29</t>
        </is>
      </c>
      <c r="U546" s="42" t="inlineStr">
        <is>
          <t>아파트</t>
        </is>
      </c>
    </row>
    <row r="547" hidden="1" ht="15" customHeight="1">
      <c r="A547" s="41" t="n">
        <v>14</v>
      </c>
      <c r="B547" s="42" t="inlineStr">
        <is>
          <t>서울특별시 서초구 서초동</t>
        </is>
      </c>
      <c r="C547" s="41" t="inlineStr">
        <is>
          <t>1685-3</t>
        </is>
      </c>
      <c r="D547" s="41" t="inlineStr">
        <is>
          <t>1685</t>
        </is>
      </c>
      <c r="E547" s="41" t="inlineStr">
        <is>
          <t>0003</t>
        </is>
      </c>
      <c r="F547" s="42" t="inlineStr">
        <is>
          <t>아크로비스타</t>
        </is>
      </c>
      <c r="G547" s="41" t="inlineStr">
        <is>
          <t>152.3300</t>
        </is>
      </c>
      <c r="H547" s="41" t="inlineStr">
        <is>
          <t>202503</t>
        </is>
      </c>
      <c r="I547" s="41" t="inlineStr">
        <is>
          <t>22</t>
        </is>
      </c>
      <c r="J547" s="41" t="inlineStr">
        <is>
          <t>332,000</t>
        </is>
      </c>
      <c r="K547" s="41" t="inlineStr">
        <is>
          <t>B</t>
        </is>
      </c>
      <c r="L547" s="41" t="inlineStr">
        <is>
          <t>18</t>
        </is>
      </c>
      <c r="M547" s="42" t="inlineStr">
        <is>
          <t>개인</t>
        </is>
      </c>
      <c r="N547" s="42" t="inlineStr">
        <is>
          <t>개인</t>
        </is>
      </c>
      <c r="O547" s="41" t="inlineStr">
        <is>
          <t>2004</t>
        </is>
      </c>
      <c r="P547" s="42" t="inlineStr">
        <is>
          <t>서초중앙로 188</t>
        </is>
      </c>
      <c r="Q547" s="41" t="inlineStr">
        <is>
          <t>-</t>
        </is>
      </c>
      <c r="R547" s="42" t="inlineStr">
        <is>
          <t>중개거래</t>
        </is>
      </c>
      <c r="S547" s="42" t="inlineStr">
        <is>
          <t>서울 서초구</t>
        </is>
      </c>
      <c r="T547" s="41" t="inlineStr">
        <is>
          <t>25.07.03</t>
        </is>
      </c>
      <c r="U547" s="42" t="inlineStr">
        <is>
          <t>아파트</t>
        </is>
      </c>
    </row>
    <row r="548" hidden="1" ht="15" customHeight="1">
      <c r="A548" s="41" t="n">
        <v>15</v>
      </c>
      <c r="B548" s="42" t="inlineStr">
        <is>
          <t>서울특별시 서초구 서초동</t>
        </is>
      </c>
      <c r="C548" s="41" t="inlineStr">
        <is>
          <t>1434-2</t>
        </is>
      </c>
      <c r="D548" s="41" t="inlineStr">
        <is>
          <t>1434</t>
        </is>
      </c>
      <c r="E548" s="41" t="inlineStr">
        <is>
          <t>0002</t>
        </is>
      </c>
      <c r="F548" s="42" t="inlineStr">
        <is>
          <t>신원아침도시(1434)</t>
        </is>
      </c>
      <c r="G548" s="41" t="inlineStr">
        <is>
          <t>83.0220</t>
        </is>
      </c>
      <c r="H548" s="41" t="inlineStr">
        <is>
          <t>202503</t>
        </is>
      </c>
      <c r="I548" s="41" t="inlineStr">
        <is>
          <t>22</t>
        </is>
      </c>
      <c r="J548" s="41" t="inlineStr">
        <is>
          <t>146,000</t>
        </is>
      </c>
      <c r="K548" s="41" t="inlineStr">
        <is>
          <t>-</t>
        </is>
      </c>
      <c r="L548" s="41" t="inlineStr">
        <is>
          <t>5</t>
        </is>
      </c>
      <c r="M548" s="42" t="inlineStr">
        <is>
          <t>개인</t>
        </is>
      </c>
      <c r="N548" s="42" t="inlineStr">
        <is>
          <t>개인</t>
        </is>
      </c>
      <c r="O548" s="41" t="inlineStr">
        <is>
          <t>2004</t>
        </is>
      </c>
      <c r="P548" s="42" t="inlineStr">
        <is>
          <t>남부순환로337가길 51-9</t>
        </is>
      </c>
      <c r="Q548" s="41" t="inlineStr">
        <is>
          <t>-</t>
        </is>
      </c>
      <c r="R548" s="42" t="inlineStr">
        <is>
          <t>중개거래</t>
        </is>
      </c>
      <c r="S548" s="42" t="inlineStr">
        <is>
          <t>서울 서초구</t>
        </is>
      </c>
      <c r="T548" s="41" t="inlineStr">
        <is>
          <t>25.07.08</t>
        </is>
      </c>
      <c r="U548" s="42" t="inlineStr">
        <is>
          <t>아파트</t>
        </is>
      </c>
    </row>
    <row r="549" hidden="1" ht="15" customHeight="1">
      <c r="A549" s="41" t="n">
        <v>16</v>
      </c>
      <c r="B549" s="42" t="inlineStr">
        <is>
          <t>서울특별시 서초구 서초동</t>
        </is>
      </c>
      <c r="C549" s="41" t="inlineStr">
        <is>
          <t>1757</t>
        </is>
      </c>
      <c r="D549" s="41" t="inlineStr">
        <is>
          <t>1757</t>
        </is>
      </c>
      <c r="E549" s="41" t="inlineStr">
        <is>
          <t>0000</t>
        </is>
      </c>
      <c r="F549" s="42" t="inlineStr">
        <is>
          <t>서초그랑자이</t>
        </is>
      </c>
      <c r="G549" s="41" t="inlineStr">
        <is>
          <t>100.3100</t>
        </is>
      </c>
      <c r="H549" s="41" t="inlineStr">
        <is>
          <t>202503</t>
        </is>
      </c>
      <c r="I549" s="41" t="inlineStr">
        <is>
          <t>22</t>
        </is>
      </c>
      <c r="J549" s="41" t="inlineStr">
        <is>
          <t>390,000</t>
        </is>
      </c>
      <c r="K549" s="41" t="inlineStr">
        <is>
          <t>106동</t>
        </is>
      </c>
      <c r="L549" s="41" t="inlineStr">
        <is>
          <t>27</t>
        </is>
      </c>
      <c r="M549" s="42" t="inlineStr">
        <is>
          <t>개인</t>
        </is>
      </c>
      <c r="N549" s="42" t="inlineStr">
        <is>
          <t>개인</t>
        </is>
      </c>
      <c r="O549" s="41" t="inlineStr">
        <is>
          <t>2021</t>
        </is>
      </c>
      <c r="P549" s="42" t="inlineStr">
        <is>
          <t>효령로 391</t>
        </is>
      </c>
      <c r="Q549" s="41" t="inlineStr">
        <is>
          <t>-</t>
        </is>
      </c>
      <c r="R549" s="42" t="inlineStr">
        <is>
          <t>중개거래</t>
        </is>
      </c>
      <c r="S549" s="42" t="inlineStr">
        <is>
          <t>서울 서초구</t>
        </is>
      </c>
      <c r="T549" s="41" t="inlineStr">
        <is>
          <t>25.10.30</t>
        </is>
      </c>
      <c r="U549" s="42" t="inlineStr">
        <is>
          <t>아파트</t>
        </is>
      </c>
    </row>
    <row r="550" hidden="1" ht="15" customHeight="1">
      <c r="A550" s="41" t="n">
        <v>17</v>
      </c>
      <c r="B550" s="42" t="inlineStr">
        <is>
          <t>서울특별시 서초구 서초동</t>
        </is>
      </c>
      <c r="C550" s="41" t="inlineStr">
        <is>
          <t>1757</t>
        </is>
      </c>
      <c r="D550" s="41" t="inlineStr">
        <is>
          <t>1757</t>
        </is>
      </c>
      <c r="E550" s="41" t="inlineStr">
        <is>
          <t>0000</t>
        </is>
      </c>
      <c r="F550" s="42" t="inlineStr">
        <is>
          <t>서초그랑자이</t>
        </is>
      </c>
      <c r="G550" s="41" t="inlineStr">
        <is>
          <t>84.5100</t>
        </is>
      </c>
      <c r="H550" s="41" t="inlineStr">
        <is>
          <t>202503</t>
        </is>
      </c>
      <c r="I550" s="41" t="inlineStr">
        <is>
          <t>22</t>
        </is>
      </c>
      <c r="J550" s="41" t="inlineStr">
        <is>
          <t>370,000</t>
        </is>
      </c>
      <c r="K550" s="41" t="inlineStr">
        <is>
          <t>101동</t>
        </is>
      </c>
      <c r="L550" s="41" t="inlineStr">
        <is>
          <t>19</t>
        </is>
      </c>
      <c r="M550" s="42" t="inlineStr">
        <is>
          <t>개인</t>
        </is>
      </c>
      <c r="N550" s="42" t="inlineStr">
        <is>
          <t>개인</t>
        </is>
      </c>
      <c r="O550" s="41" t="inlineStr">
        <is>
          <t>2021</t>
        </is>
      </c>
      <c r="P550" s="42" t="inlineStr">
        <is>
          <t>효령로 391</t>
        </is>
      </c>
      <c r="Q550" s="41" t="inlineStr">
        <is>
          <t>-</t>
        </is>
      </c>
      <c r="R550" s="42" t="inlineStr">
        <is>
          <t>중개거래</t>
        </is>
      </c>
      <c r="S550" s="42" t="inlineStr">
        <is>
          <t>서울 서초구</t>
        </is>
      </c>
      <c r="T550" s="41" t="inlineStr">
        <is>
          <t>25.07.24</t>
        </is>
      </c>
      <c r="U550" s="42" t="inlineStr">
        <is>
          <t>아파트</t>
        </is>
      </c>
    </row>
    <row r="551" hidden="1" ht="15" customHeight="1">
      <c r="A551" s="41" t="n">
        <v>18</v>
      </c>
      <c r="B551" s="42" t="inlineStr">
        <is>
          <t>서울특별시 서초구 서초동</t>
        </is>
      </c>
      <c r="C551" s="41" t="inlineStr">
        <is>
          <t>1582-3</t>
        </is>
      </c>
      <c r="D551" s="41" t="inlineStr">
        <is>
          <t>1582</t>
        </is>
      </c>
      <c r="E551" s="41" t="inlineStr">
        <is>
          <t>0003</t>
        </is>
      </c>
      <c r="F551" s="42" t="inlineStr">
        <is>
          <t>서초센트럴IPARK</t>
        </is>
      </c>
      <c r="G551" s="41" t="inlineStr">
        <is>
          <t>80.5154</t>
        </is>
      </c>
      <c r="H551" s="41" t="inlineStr">
        <is>
          <t>202503</t>
        </is>
      </c>
      <c r="I551" s="41" t="inlineStr">
        <is>
          <t>22</t>
        </is>
      </c>
      <c r="J551" s="41" t="inlineStr">
        <is>
          <t>164,000</t>
        </is>
      </c>
      <c r="K551" s="41" t="inlineStr">
        <is>
          <t>101동</t>
        </is>
      </c>
      <c r="L551" s="41" t="inlineStr">
        <is>
          <t>16</t>
        </is>
      </c>
      <c r="M551" s="42" t="inlineStr">
        <is>
          <t>개인</t>
        </is>
      </c>
      <c r="N551" s="42" t="inlineStr">
        <is>
          <t>개인</t>
        </is>
      </c>
      <c r="O551" s="41" t="inlineStr">
        <is>
          <t>2020</t>
        </is>
      </c>
      <c r="P551" s="42" t="inlineStr">
        <is>
          <t>반포대로18길 36</t>
        </is>
      </c>
      <c r="Q551" s="41" t="inlineStr">
        <is>
          <t>-</t>
        </is>
      </c>
      <c r="R551" s="42" t="inlineStr">
        <is>
          <t>중개거래</t>
        </is>
      </c>
      <c r="S551" s="42" t="inlineStr">
        <is>
          <t>서울 강남구, 서울 서초구</t>
        </is>
      </c>
      <c r="T551" s="41" t="inlineStr">
        <is>
          <t>25.07.21</t>
        </is>
      </c>
      <c r="U551" s="42" t="inlineStr">
        <is>
          <t>아파트</t>
        </is>
      </c>
    </row>
    <row r="552" hidden="1" ht="15" customHeight="1">
      <c r="A552" s="41" t="n">
        <v>19</v>
      </c>
      <c r="B552" s="42" t="inlineStr">
        <is>
          <t>서울특별시 서초구 서초동</t>
        </is>
      </c>
      <c r="C552" s="41" t="inlineStr">
        <is>
          <t>1754</t>
        </is>
      </c>
      <c r="D552" s="41" t="inlineStr">
        <is>
          <t>1754</t>
        </is>
      </c>
      <c r="E552" s="41" t="inlineStr">
        <is>
          <t>0000</t>
        </is>
      </c>
      <c r="F552" s="42" t="inlineStr">
        <is>
          <t>래미안서초에스티지S</t>
        </is>
      </c>
      <c r="G552" s="41" t="inlineStr">
        <is>
          <t>111.8900</t>
        </is>
      </c>
      <c r="H552" s="41" t="inlineStr">
        <is>
          <t>202503</t>
        </is>
      </c>
      <c r="I552" s="41" t="inlineStr">
        <is>
          <t>22</t>
        </is>
      </c>
      <c r="J552" s="41" t="inlineStr">
        <is>
          <t>360,000</t>
        </is>
      </c>
      <c r="K552" s="41" t="inlineStr">
        <is>
          <t>203</t>
        </is>
      </c>
      <c r="L552" s="41" t="inlineStr">
        <is>
          <t>6</t>
        </is>
      </c>
      <c r="M552" s="42" t="inlineStr">
        <is>
          <t>개인</t>
        </is>
      </c>
      <c r="N552" s="42" t="inlineStr">
        <is>
          <t>개인</t>
        </is>
      </c>
      <c r="O552" s="41" t="inlineStr">
        <is>
          <t>2018</t>
        </is>
      </c>
      <c r="P552" s="42" t="inlineStr">
        <is>
          <t>서운로 104</t>
        </is>
      </c>
      <c r="Q552" s="41" t="inlineStr">
        <is>
          <t>-</t>
        </is>
      </c>
      <c r="R552" s="42" t="inlineStr">
        <is>
          <t>중개거래</t>
        </is>
      </c>
      <c r="S552" s="42" t="inlineStr">
        <is>
          <t>서울 서초구</t>
        </is>
      </c>
      <c r="T552" s="41" t="inlineStr">
        <is>
          <t>25.05.29</t>
        </is>
      </c>
      <c r="U552" s="42" t="inlineStr">
        <is>
          <t>아파트</t>
        </is>
      </c>
    </row>
    <row r="553" hidden="1" ht="15" customHeight="1">
      <c r="A553" s="41" t="n">
        <v>20</v>
      </c>
      <c r="B553" s="42" t="inlineStr">
        <is>
          <t>서울특별시 서초구 서초동</t>
        </is>
      </c>
      <c r="C553" s="41" t="inlineStr">
        <is>
          <t>1498-5</t>
        </is>
      </c>
      <c r="D553" s="41" t="inlineStr">
        <is>
          <t>1498</t>
        </is>
      </c>
      <c r="E553" s="41" t="inlineStr">
        <is>
          <t>0005</t>
        </is>
      </c>
      <c r="F553" s="42" t="inlineStr">
        <is>
          <t>마제스타시티(힐스테이트서리풀101,102동)</t>
        </is>
      </c>
      <c r="G553" s="41" t="inlineStr">
        <is>
          <t>59.9700</t>
        </is>
      </c>
      <c r="H553" s="41" t="inlineStr">
        <is>
          <t>202503</t>
        </is>
      </c>
      <c r="I553" s="41" t="inlineStr">
        <is>
          <t>22</t>
        </is>
      </c>
      <c r="J553" s="41" t="inlineStr">
        <is>
          <t>142,000</t>
        </is>
      </c>
      <c r="K553" s="42" t="inlineStr">
        <is>
          <t>힐스테이트 서리풀 101동</t>
        </is>
      </c>
      <c r="L553" s="41" t="inlineStr">
        <is>
          <t>12</t>
        </is>
      </c>
      <c r="M553" s="42" t="inlineStr">
        <is>
          <t>개인</t>
        </is>
      </c>
      <c r="N553" s="42" t="inlineStr">
        <is>
          <t>개인</t>
        </is>
      </c>
      <c r="O553" s="41" t="inlineStr">
        <is>
          <t>2017</t>
        </is>
      </c>
      <c r="P553" s="42" t="inlineStr">
        <is>
          <t>서초대로38길 12</t>
        </is>
      </c>
      <c r="Q553" s="41" t="inlineStr">
        <is>
          <t>-</t>
        </is>
      </c>
      <c r="R553" s="42" t="inlineStr">
        <is>
          <t>중개거래</t>
        </is>
      </c>
      <c r="S553" s="42" t="inlineStr">
        <is>
          <t>서울 강남구</t>
        </is>
      </c>
      <c r="T553" s="41" t="inlineStr">
        <is>
          <t>25.06.18</t>
        </is>
      </c>
      <c r="U553" s="42" t="inlineStr">
        <is>
          <t>아파트</t>
        </is>
      </c>
    </row>
    <row r="554" hidden="1" ht="15" customHeight="1">
      <c r="A554" s="41" t="n">
        <v>21</v>
      </c>
      <c r="B554" s="42" t="inlineStr">
        <is>
          <t>서울특별시 서초구 서초동</t>
        </is>
      </c>
      <c r="C554" s="41" t="inlineStr">
        <is>
          <t>1332-13</t>
        </is>
      </c>
      <c r="D554" s="41" t="inlineStr">
        <is>
          <t>1332</t>
        </is>
      </c>
      <c r="E554" s="41" t="inlineStr">
        <is>
          <t>0013</t>
        </is>
      </c>
      <c r="F554" s="42" t="inlineStr">
        <is>
          <t>래미안서초에스티지</t>
        </is>
      </c>
      <c r="G554" s="41" t="inlineStr">
        <is>
          <t>139.9900</t>
        </is>
      </c>
      <c r="H554" s="41" t="inlineStr">
        <is>
          <t>202503</t>
        </is>
      </c>
      <c r="I554" s="41" t="inlineStr">
        <is>
          <t>22</t>
        </is>
      </c>
      <c r="J554" s="41" t="inlineStr">
        <is>
          <t>398,000</t>
        </is>
      </c>
      <c r="K554" s="41" t="inlineStr">
        <is>
          <t>101동</t>
        </is>
      </c>
      <c r="L554" s="41" t="inlineStr">
        <is>
          <t>26</t>
        </is>
      </c>
      <c r="M554" s="42" t="inlineStr">
        <is>
          <t>개인</t>
        </is>
      </c>
      <c r="N554" s="42" t="inlineStr">
        <is>
          <t>개인</t>
        </is>
      </c>
      <c r="O554" s="41" t="inlineStr">
        <is>
          <t>2016</t>
        </is>
      </c>
      <c r="P554" s="42" t="inlineStr">
        <is>
          <t>서운로 107</t>
        </is>
      </c>
      <c r="Q554" s="41" t="inlineStr">
        <is>
          <t>-</t>
        </is>
      </c>
      <c r="R554" s="42" t="inlineStr">
        <is>
          <t>중개거래</t>
        </is>
      </c>
      <c r="S554" s="42" t="inlineStr">
        <is>
          <t>서울 서초구</t>
        </is>
      </c>
      <c r="T554" s="41" t="inlineStr">
        <is>
          <t>25.06.30</t>
        </is>
      </c>
      <c r="U554" s="42" t="inlineStr">
        <is>
          <t>아파트</t>
        </is>
      </c>
    </row>
    <row r="555" hidden="1" ht="15" customHeight="1">
      <c r="A555" s="41" t="n">
        <v>22</v>
      </c>
      <c r="B555" s="42" t="inlineStr">
        <is>
          <t>서울특별시 서초구 서초동</t>
        </is>
      </c>
      <c r="C555" s="41" t="inlineStr">
        <is>
          <t>1682</t>
        </is>
      </c>
      <c r="D555" s="41" t="inlineStr">
        <is>
          <t>1682</t>
        </is>
      </c>
      <c r="E555" s="41" t="inlineStr">
        <is>
          <t>0000</t>
        </is>
      </c>
      <c r="F555" s="42" t="inlineStr">
        <is>
          <t>서초래미안</t>
        </is>
      </c>
      <c r="G555" s="41" t="inlineStr">
        <is>
          <t>111.3200</t>
        </is>
      </c>
      <c r="H555" s="41" t="inlineStr">
        <is>
          <t>202503</t>
        </is>
      </c>
      <c r="I555" s="41" t="inlineStr">
        <is>
          <t>22</t>
        </is>
      </c>
      <c r="J555" s="41" t="inlineStr">
        <is>
          <t>286,500</t>
        </is>
      </c>
      <c r="K555" s="41" t="inlineStr">
        <is>
          <t>103</t>
        </is>
      </c>
      <c r="L555" s="41" t="inlineStr">
        <is>
          <t>19</t>
        </is>
      </c>
      <c r="M555" s="42" t="inlineStr">
        <is>
          <t>개인</t>
        </is>
      </c>
      <c r="N555" s="42" t="inlineStr">
        <is>
          <t>개인</t>
        </is>
      </c>
      <c r="O555" s="41" t="inlineStr">
        <is>
          <t>2003</t>
        </is>
      </c>
      <c r="P555" s="42" t="inlineStr">
        <is>
          <t>서초대로65길 13-10</t>
        </is>
      </c>
      <c r="Q555" s="41" t="inlineStr">
        <is>
          <t>-</t>
        </is>
      </c>
      <c r="R555" s="42" t="inlineStr">
        <is>
          <t>중개거래</t>
        </is>
      </c>
      <c r="S555" s="42" t="inlineStr">
        <is>
          <t>서울 서초구</t>
        </is>
      </c>
      <c r="T555" s="41" t="inlineStr">
        <is>
          <t>25.06.24</t>
        </is>
      </c>
      <c r="U555" s="42" t="inlineStr">
        <is>
          <t>아파트</t>
        </is>
      </c>
    </row>
    <row r="556" hidden="1" ht="15" customHeight="1">
      <c r="A556" s="41" t="n">
        <v>23</v>
      </c>
      <c r="B556" s="42" t="inlineStr">
        <is>
          <t>서울특별시 서초구 서초동</t>
        </is>
      </c>
      <c r="C556" s="41" t="inlineStr">
        <is>
          <t>1682</t>
        </is>
      </c>
      <c r="D556" s="41" t="inlineStr">
        <is>
          <t>1682</t>
        </is>
      </c>
      <c r="E556" s="41" t="inlineStr">
        <is>
          <t>0000</t>
        </is>
      </c>
      <c r="F556" s="42" t="inlineStr">
        <is>
          <t>서초래미안</t>
        </is>
      </c>
      <c r="G556" s="41" t="inlineStr">
        <is>
          <t>126.3100</t>
        </is>
      </c>
      <c r="H556" s="41" t="inlineStr">
        <is>
          <t>202503</t>
        </is>
      </c>
      <c r="I556" s="41" t="inlineStr">
        <is>
          <t>22</t>
        </is>
      </c>
      <c r="J556" s="41" t="inlineStr">
        <is>
          <t>290,000</t>
        </is>
      </c>
      <c r="K556" s="41" t="inlineStr">
        <is>
          <t>-</t>
        </is>
      </c>
      <c r="L556" s="41" t="inlineStr">
        <is>
          <t>3</t>
        </is>
      </c>
      <c r="M556" s="42" t="inlineStr">
        <is>
          <t>개인</t>
        </is>
      </c>
      <c r="N556" s="42" t="inlineStr">
        <is>
          <t>개인</t>
        </is>
      </c>
      <c r="O556" s="41" t="inlineStr">
        <is>
          <t>2003</t>
        </is>
      </c>
      <c r="P556" s="42" t="inlineStr">
        <is>
          <t>서초대로65길 13-10</t>
        </is>
      </c>
      <c r="Q556" s="41" t="inlineStr">
        <is>
          <t>20250609</t>
        </is>
      </c>
      <c r="R556" s="42" t="inlineStr">
        <is>
          <t>중개거래</t>
        </is>
      </c>
      <c r="S556" s="42" t="inlineStr">
        <is>
          <t>서울 서초구</t>
        </is>
      </c>
      <c r="T556" s="41" t="inlineStr">
        <is>
          <t>-</t>
        </is>
      </c>
      <c r="U556" s="42" t="inlineStr">
        <is>
          <t>아파트</t>
        </is>
      </c>
    </row>
    <row r="557" hidden="1" ht="15" customHeight="1">
      <c r="A557" s="41" t="n">
        <v>24</v>
      </c>
      <c r="B557" s="42" t="inlineStr">
        <is>
          <t>서울특별시 서초구 서초동</t>
        </is>
      </c>
      <c r="C557" s="41" t="inlineStr">
        <is>
          <t>1682</t>
        </is>
      </c>
      <c r="D557" s="41" t="inlineStr">
        <is>
          <t>1682</t>
        </is>
      </c>
      <c r="E557" s="41" t="inlineStr">
        <is>
          <t>0000</t>
        </is>
      </c>
      <c r="F557" s="42" t="inlineStr">
        <is>
          <t>서초래미안</t>
        </is>
      </c>
      <c r="G557" s="41" t="inlineStr">
        <is>
          <t>126.3100</t>
        </is>
      </c>
      <c r="H557" s="41" t="inlineStr">
        <is>
          <t>202503</t>
        </is>
      </c>
      <c r="I557" s="41" t="inlineStr">
        <is>
          <t>22</t>
        </is>
      </c>
      <c r="J557" s="41" t="inlineStr">
        <is>
          <t>290,000</t>
        </is>
      </c>
      <c r="K557" s="41" t="inlineStr">
        <is>
          <t>110</t>
        </is>
      </c>
      <c r="L557" s="41" t="inlineStr">
        <is>
          <t>3</t>
        </is>
      </c>
      <c r="M557" s="42" t="inlineStr">
        <is>
          <t>개인</t>
        </is>
      </c>
      <c r="N557" s="42" t="inlineStr">
        <is>
          <t>개인</t>
        </is>
      </c>
      <c r="O557" s="41" t="inlineStr">
        <is>
          <t>2003</t>
        </is>
      </c>
      <c r="P557" s="42" t="inlineStr">
        <is>
          <t>서초대로65길 13-10</t>
        </is>
      </c>
      <c r="Q557" s="41" t="inlineStr">
        <is>
          <t>-</t>
        </is>
      </c>
      <c r="R557" s="42" t="inlineStr">
        <is>
          <t>중개거래</t>
        </is>
      </c>
      <c r="S557" s="42" t="inlineStr">
        <is>
          <t>서울 서초구</t>
        </is>
      </c>
      <c r="T557" s="41" t="inlineStr">
        <is>
          <t>25.07.28</t>
        </is>
      </c>
      <c r="U557" s="42" t="inlineStr">
        <is>
          <t>아파트</t>
        </is>
      </c>
    </row>
    <row r="558" hidden="1" ht="15" customHeight="1">
      <c r="A558" s="41" t="n">
        <v>25</v>
      </c>
      <c r="B558" s="42" t="inlineStr">
        <is>
          <t>서울특별시 서초구 서초동</t>
        </is>
      </c>
      <c r="C558" s="41" t="inlineStr">
        <is>
          <t>1446-11</t>
        </is>
      </c>
      <c r="D558" s="41" t="inlineStr">
        <is>
          <t>1446</t>
        </is>
      </c>
      <c r="E558" s="41" t="inlineStr">
        <is>
          <t>0011</t>
        </is>
      </c>
      <c r="F558" s="42" t="inlineStr">
        <is>
          <t>현대슈퍼빌</t>
        </is>
      </c>
      <c r="G558" s="41" t="inlineStr">
        <is>
          <t>153.9300</t>
        </is>
      </c>
      <c r="H558" s="41" t="inlineStr">
        <is>
          <t>202503</t>
        </is>
      </c>
      <c r="I558" s="41" t="inlineStr">
        <is>
          <t>22</t>
        </is>
      </c>
      <c r="J558" s="41" t="inlineStr">
        <is>
          <t>260,000</t>
        </is>
      </c>
      <c r="K558" s="41" t="inlineStr">
        <is>
          <t>D</t>
        </is>
      </c>
      <c r="L558" s="41" t="inlineStr">
        <is>
          <t>8</t>
        </is>
      </c>
      <c r="M558" s="42" t="inlineStr">
        <is>
          <t>개인</t>
        </is>
      </c>
      <c r="N558" s="42" t="inlineStr">
        <is>
          <t>개인</t>
        </is>
      </c>
      <c r="O558" s="41" t="inlineStr">
        <is>
          <t>2003</t>
        </is>
      </c>
      <c r="P558" s="42" t="inlineStr">
        <is>
          <t>서초중앙로 15</t>
        </is>
      </c>
      <c r="Q558" s="41" t="inlineStr">
        <is>
          <t>-</t>
        </is>
      </c>
      <c r="R558" s="42" t="inlineStr">
        <is>
          <t>중개거래</t>
        </is>
      </c>
      <c r="S558" s="42" t="inlineStr">
        <is>
          <t>서울 서초구</t>
        </is>
      </c>
      <c r="T558" s="41" t="inlineStr">
        <is>
          <t>25.06.30</t>
        </is>
      </c>
      <c r="U558" s="42" t="inlineStr">
        <is>
          <t>아파트</t>
        </is>
      </c>
    </row>
    <row r="559" hidden="1" ht="15" customHeight="1">
      <c r="A559" s="41" t="n">
        <v>26</v>
      </c>
      <c r="B559" s="42" t="inlineStr">
        <is>
          <t>서울특별시 서초구 서초동</t>
        </is>
      </c>
      <c r="C559" s="41" t="inlineStr">
        <is>
          <t>1346</t>
        </is>
      </c>
      <c r="D559" s="41" t="inlineStr">
        <is>
          <t>1346</t>
        </is>
      </c>
      <c r="E559" s="41" t="inlineStr">
        <is>
          <t>0000</t>
        </is>
      </c>
      <c r="F559" s="42" t="inlineStr">
        <is>
          <t>현대아파트</t>
        </is>
      </c>
      <c r="G559" s="41" t="inlineStr">
        <is>
          <t>84.3300</t>
        </is>
      </c>
      <c r="H559" s="41" t="inlineStr">
        <is>
          <t>202503</t>
        </is>
      </c>
      <c r="I559" s="41" t="inlineStr">
        <is>
          <t>22</t>
        </is>
      </c>
      <c r="J559" s="41" t="inlineStr">
        <is>
          <t>200,000</t>
        </is>
      </c>
      <c r="K559" s="41" t="inlineStr">
        <is>
          <t>20</t>
        </is>
      </c>
      <c r="L559" s="41" t="inlineStr">
        <is>
          <t>11</t>
        </is>
      </c>
      <c r="M559" s="42" t="inlineStr">
        <is>
          <t>개인</t>
        </is>
      </c>
      <c r="N559" s="42" t="inlineStr">
        <is>
          <t>개인</t>
        </is>
      </c>
      <c r="O559" s="41" t="inlineStr">
        <is>
          <t>1989</t>
        </is>
      </c>
      <c r="P559" s="42" t="inlineStr">
        <is>
          <t>효령로68길 13</t>
        </is>
      </c>
      <c r="Q559" s="41" t="inlineStr">
        <is>
          <t>-</t>
        </is>
      </c>
      <c r="R559" s="42" t="inlineStr">
        <is>
          <t>중개거래</t>
        </is>
      </c>
      <c r="S559" s="42" t="inlineStr">
        <is>
          <t>서울 서초구</t>
        </is>
      </c>
      <c r="T559" s="41" t="inlineStr">
        <is>
          <t>25.06.23</t>
        </is>
      </c>
      <c r="U559" s="42" t="inlineStr">
        <is>
          <t>아파트</t>
        </is>
      </c>
    </row>
    <row r="560" hidden="1" ht="15" customHeight="1">
      <c r="A560" s="41" t="n">
        <v>27</v>
      </c>
      <c r="B560" s="42" t="inlineStr">
        <is>
          <t>서울특별시 서초구 서초동</t>
        </is>
      </c>
      <c r="C560" s="41" t="inlineStr">
        <is>
          <t>1509-1</t>
        </is>
      </c>
      <c r="D560" s="41" t="inlineStr">
        <is>
          <t>1509</t>
        </is>
      </c>
      <c r="E560" s="41" t="inlineStr">
        <is>
          <t>0001</t>
        </is>
      </c>
      <c r="F560" s="42" t="inlineStr">
        <is>
          <t>서초한빛삼성</t>
        </is>
      </c>
      <c r="G560" s="41" t="inlineStr">
        <is>
          <t>99.0600</t>
        </is>
      </c>
      <c r="H560" s="41" t="inlineStr">
        <is>
          <t>202503</t>
        </is>
      </c>
      <c r="I560" s="41" t="inlineStr">
        <is>
          <t>22</t>
        </is>
      </c>
      <c r="J560" s="41" t="inlineStr">
        <is>
          <t>138,000</t>
        </is>
      </c>
      <c r="K560" s="41" t="inlineStr">
        <is>
          <t>102</t>
        </is>
      </c>
      <c r="L560" s="41" t="inlineStr">
        <is>
          <t>9</t>
        </is>
      </c>
      <c r="M560" s="42" t="inlineStr">
        <is>
          <t>개인</t>
        </is>
      </c>
      <c r="N560" s="42" t="inlineStr">
        <is>
          <t>개인</t>
        </is>
      </c>
      <c r="O560" s="41" t="inlineStr">
        <is>
          <t>1999</t>
        </is>
      </c>
      <c r="P560" s="42" t="inlineStr">
        <is>
          <t>서초대로40길 72</t>
        </is>
      </c>
      <c r="Q560" s="41" t="inlineStr">
        <is>
          <t>-</t>
        </is>
      </c>
      <c r="R560" s="42" t="inlineStr">
        <is>
          <t>중개거래</t>
        </is>
      </c>
      <c r="S560" s="42" t="inlineStr">
        <is>
          <t>서울 서초구</t>
        </is>
      </c>
      <c r="T560" s="41" t="inlineStr">
        <is>
          <t>25.06.05</t>
        </is>
      </c>
      <c r="U560" s="42" t="inlineStr">
        <is>
          <t>아파트</t>
        </is>
      </c>
    </row>
    <row r="561" hidden="1" ht="15" customHeight="1">
      <c r="A561" s="41" t="n">
        <v>28</v>
      </c>
      <c r="B561" s="42" t="inlineStr">
        <is>
          <t>서울특별시 서초구 서초동</t>
        </is>
      </c>
      <c r="C561" s="41" t="inlineStr">
        <is>
          <t>1684</t>
        </is>
      </c>
      <c r="D561" s="41" t="inlineStr">
        <is>
          <t>1684</t>
        </is>
      </c>
      <c r="E561" s="41" t="inlineStr">
        <is>
          <t>0000</t>
        </is>
      </c>
      <c r="F561" s="42" t="inlineStr">
        <is>
          <t>서초4현대</t>
        </is>
      </c>
      <c r="G561" s="41" t="inlineStr">
        <is>
          <t>64.2600</t>
        </is>
      </c>
      <c r="H561" s="41" t="inlineStr">
        <is>
          <t>202503</t>
        </is>
      </c>
      <c r="I561" s="41" t="inlineStr">
        <is>
          <t>22</t>
        </is>
      </c>
      <c r="J561" s="41" t="inlineStr">
        <is>
          <t>165,000</t>
        </is>
      </c>
      <c r="K561" s="41" t="inlineStr">
        <is>
          <t>201</t>
        </is>
      </c>
      <c r="L561" s="41" t="inlineStr">
        <is>
          <t>10</t>
        </is>
      </c>
      <c r="M561" s="42" t="inlineStr">
        <is>
          <t>개인</t>
        </is>
      </c>
      <c r="N561" s="42" t="inlineStr">
        <is>
          <t>개인</t>
        </is>
      </c>
      <c r="O561" s="41" t="inlineStr">
        <is>
          <t>2000</t>
        </is>
      </c>
      <c r="P561" s="42" t="inlineStr">
        <is>
          <t>고무래로 94</t>
        </is>
      </c>
      <c r="Q561" s="41" t="inlineStr">
        <is>
          <t>-</t>
        </is>
      </c>
      <c r="R561" s="42" t="inlineStr">
        <is>
          <t>중개거래</t>
        </is>
      </c>
      <c r="S561" s="42" t="inlineStr">
        <is>
          <t>서울 서초구</t>
        </is>
      </c>
      <c r="T561" s="41" t="inlineStr">
        <is>
          <t>25.11.05</t>
        </is>
      </c>
      <c r="U561" s="42" t="inlineStr">
        <is>
          <t>아파트</t>
        </is>
      </c>
    </row>
    <row r="562" hidden="1" ht="15" customHeight="1">
      <c r="A562" s="41" t="n">
        <v>29</v>
      </c>
      <c r="B562" s="42" t="inlineStr">
        <is>
          <t>서울특별시 서초구 서초동</t>
        </is>
      </c>
      <c r="C562" s="41" t="inlineStr">
        <is>
          <t>1684</t>
        </is>
      </c>
      <c r="D562" s="41" t="inlineStr">
        <is>
          <t>1684</t>
        </is>
      </c>
      <c r="E562" s="41" t="inlineStr">
        <is>
          <t>0000</t>
        </is>
      </c>
      <c r="F562" s="42" t="inlineStr">
        <is>
          <t>서초4현대</t>
        </is>
      </c>
      <c r="G562" s="41" t="inlineStr">
        <is>
          <t>52.3600</t>
        </is>
      </c>
      <c r="H562" s="41" t="inlineStr">
        <is>
          <t>202503</t>
        </is>
      </c>
      <c r="I562" s="41" t="inlineStr">
        <is>
          <t>22</t>
        </is>
      </c>
      <c r="J562" s="41" t="inlineStr">
        <is>
          <t>110,000</t>
        </is>
      </c>
      <c r="K562" s="41" t="inlineStr">
        <is>
          <t>101</t>
        </is>
      </c>
      <c r="L562" s="41" t="inlineStr">
        <is>
          <t>1</t>
        </is>
      </c>
      <c r="M562" s="42" t="inlineStr">
        <is>
          <t>개인</t>
        </is>
      </c>
      <c r="N562" s="42" t="inlineStr">
        <is>
          <t>개인</t>
        </is>
      </c>
      <c r="O562" s="41" t="inlineStr">
        <is>
          <t>2000</t>
        </is>
      </c>
      <c r="P562" s="42" t="inlineStr">
        <is>
          <t>고무래로 94</t>
        </is>
      </c>
      <c r="Q562" s="41" t="inlineStr">
        <is>
          <t>-</t>
        </is>
      </c>
      <c r="R562" s="42" t="inlineStr">
        <is>
          <t>중개거래</t>
        </is>
      </c>
      <c r="S562" s="42" t="inlineStr">
        <is>
          <t>서울 서초구</t>
        </is>
      </c>
      <c r="T562" s="41" t="inlineStr">
        <is>
          <t>25.07.31</t>
        </is>
      </c>
      <c r="U562" s="42" t="inlineStr">
        <is>
          <t>아파트</t>
        </is>
      </c>
    </row>
    <row r="563" hidden="1" ht="15" customHeight="1">
      <c r="A563" s="41" t="n">
        <v>30</v>
      </c>
      <c r="B563" s="42" t="inlineStr">
        <is>
          <t>서울특별시 서초구 서초동</t>
        </is>
      </c>
      <c r="C563" s="41" t="inlineStr">
        <is>
          <t>1685</t>
        </is>
      </c>
      <c r="D563" s="41" t="inlineStr">
        <is>
          <t>1685</t>
        </is>
      </c>
      <c r="E563" s="41" t="inlineStr">
        <is>
          <t>0000</t>
        </is>
      </c>
      <c r="F563" s="42" t="inlineStr">
        <is>
          <t>삼풍아파트</t>
        </is>
      </c>
      <c r="G563" s="41" t="inlineStr">
        <is>
          <t>79.4700</t>
        </is>
      </c>
      <c r="H563" s="41" t="inlineStr">
        <is>
          <t>202503</t>
        </is>
      </c>
      <c r="I563" s="41" t="inlineStr">
        <is>
          <t>22</t>
        </is>
      </c>
      <c r="J563" s="41" t="inlineStr">
        <is>
          <t>304,000</t>
        </is>
      </c>
      <c r="K563" s="41" t="inlineStr">
        <is>
          <t>-</t>
        </is>
      </c>
      <c r="L563" s="41" t="inlineStr">
        <is>
          <t>13</t>
        </is>
      </c>
      <c r="M563" s="42" t="inlineStr">
        <is>
          <t>개인</t>
        </is>
      </c>
      <c r="N563" s="42" t="inlineStr">
        <is>
          <t>개인</t>
        </is>
      </c>
      <c r="O563" s="41" t="inlineStr">
        <is>
          <t>1988</t>
        </is>
      </c>
      <c r="P563" s="42" t="inlineStr">
        <is>
          <t>서초중앙로 200</t>
        </is>
      </c>
      <c r="Q563" s="41" t="inlineStr">
        <is>
          <t>-</t>
        </is>
      </c>
      <c r="R563" s="42" t="inlineStr">
        <is>
          <t>중개거래</t>
        </is>
      </c>
      <c r="S563" s="42" t="inlineStr">
        <is>
          <t>서울 서초구</t>
        </is>
      </c>
      <c r="T563" s="41" t="inlineStr">
        <is>
          <t>-</t>
        </is>
      </c>
      <c r="U563" s="42" t="inlineStr">
        <is>
          <t>아파트</t>
        </is>
      </c>
    </row>
    <row r="564" hidden="1" ht="15" customHeight="1">
      <c r="A564" s="41" t="n">
        <v>31</v>
      </c>
      <c r="B564" s="42" t="inlineStr">
        <is>
          <t>서울특별시 서초구 서초동</t>
        </is>
      </c>
      <c r="C564" s="41" t="inlineStr">
        <is>
          <t>1685</t>
        </is>
      </c>
      <c r="D564" s="41" t="inlineStr">
        <is>
          <t>1685</t>
        </is>
      </c>
      <c r="E564" s="41" t="inlineStr">
        <is>
          <t>0000</t>
        </is>
      </c>
      <c r="F564" s="42" t="inlineStr">
        <is>
          <t>삼풍아파트</t>
        </is>
      </c>
      <c r="G564" s="41" t="inlineStr">
        <is>
          <t>79.4700</t>
        </is>
      </c>
      <c r="H564" s="41" t="inlineStr">
        <is>
          <t>202503</t>
        </is>
      </c>
      <c r="I564" s="41" t="inlineStr">
        <is>
          <t>22</t>
        </is>
      </c>
      <c r="J564" s="41" t="inlineStr">
        <is>
          <t>304,000</t>
        </is>
      </c>
      <c r="K564" s="41" t="inlineStr">
        <is>
          <t>6</t>
        </is>
      </c>
      <c r="L564" s="41" t="inlineStr">
        <is>
          <t>13</t>
        </is>
      </c>
      <c r="M564" s="42" t="inlineStr">
        <is>
          <t>개인</t>
        </is>
      </c>
      <c r="N564" s="42" t="inlineStr">
        <is>
          <t>개인</t>
        </is>
      </c>
      <c r="O564" s="41" t="inlineStr">
        <is>
          <t>1988</t>
        </is>
      </c>
      <c r="P564" s="42" t="inlineStr">
        <is>
          <t>서초중앙로 200</t>
        </is>
      </c>
      <c r="Q564" s="41" t="inlineStr">
        <is>
          <t>-</t>
        </is>
      </c>
      <c r="R564" s="42" t="inlineStr">
        <is>
          <t>중개거래</t>
        </is>
      </c>
      <c r="S564" s="42" t="inlineStr">
        <is>
          <t>서울 서초구</t>
        </is>
      </c>
      <c r="T564" s="41" t="inlineStr">
        <is>
          <t>25.07.31</t>
        </is>
      </c>
      <c r="U564" s="42" t="inlineStr">
        <is>
          <t>아파트</t>
        </is>
      </c>
    </row>
    <row r="565" hidden="1" ht="15" customHeight="1">
      <c r="A565" s="41" t="n">
        <v>32</v>
      </c>
      <c r="B565" s="42" t="inlineStr">
        <is>
          <t>서울특별시 서초구 서초동</t>
        </is>
      </c>
      <c r="C565" s="41" t="inlineStr">
        <is>
          <t>1685</t>
        </is>
      </c>
      <c r="D565" s="41" t="inlineStr">
        <is>
          <t>1685</t>
        </is>
      </c>
      <c r="E565" s="41" t="inlineStr">
        <is>
          <t>0000</t>
        </is>
      </c>
      <c r="F565" s="42" t="inlineStr">
        <is>
          <t>삼풍아파트</t>
        </is>
      </c>
      <c r="G565" s="41" t="inlineStr">
        <is>
          <t>130.7300</t>
        </is>
      </c>
      <c r="H565" s="41" t="inlineStr">
        <is>
          <t>202503</t>
        </is>
      </c>
      <c r="I565" s="41" t="inlineStr">
        <is>
          <t>22</t>
        </is>
      </c>
      <c r="J565" s="41" t="inlineStr">
        <is>
          <t>380,000</t>
        </is>
      </c>
      <c r="K565" s="41" t="inlineStr">
        <is>
          <t>13</t>
        </is>
      </c>
      <c r="L565" s="41" t="inlineStr">
        <is>
          <t>2</t>
        </is>
      </c>
      <c r="M565" s="42" t="inlineStr">
        <is>
          <t>개인</t>
        </is>
      </c>
      <c r="N565" s="42" t="inlineStr">
        <is>
          <t>개인</t>
        </is>
      </c>
      <c r="O565" s="41" t="inlineStr">
        <is>
          <t>1988</t>
        </is>
      </c>
      <c r="P565" s="42" t="inlineStr">
        <is>
          <t>서초중앙로 200</t>
        </is>
      </c>
      <c r="Q565" s="41" t="inlineStr">
        <is>
          <t>-</t>
        </is>
      </c>
      <c r="R565" s="42" t="inlineStr">
        <is>
          <t>중개거래</t>
        </is>
      </c>
      <c r="S565" s="42" t="inlineStr">
        <is>
          <t>서울 서초구</t>
        </is>
      </c>
      <c r="T565" s="41" t="inlineStr">
        <is>
          <t>25.07.31</t>
        </is>
      </c>
      <c r="U565" s="42" t="inlineStr">
        <is>
          <t>아파트</t>
        </is>
      </c>
    </row>
    <row r="566" hidden="1" ht="15" customHeight="1">
      <c r="A566" s="41" t="n">
        <v>33</v>
      </c>
      <c r="B566" s="42" t="inlineStr">
        <is>
          <t>서울특별시 서초구 서초동</t>
        </is>
      </c>
      <c r="C566" s="41" t="inlineStr">
        <is>
          <t>1641-1</t>
        </is>
      </c>
      <c r="D566" s="41" t="inlineStr">
        <is>
          <t>1641</t>
        </is>
      </c>
      <c r="E566" s="41" t="inlineStr">
        <is>
          <t>0001</t>
        </is>
      </c>
      <c r="F566" s="42" t="inlineStr">
        <is>
          <t>서초삼성래미안</t>
        </is>
      </c>
      <c r="G566" s="41" t="inlineStr">
        <is>
          <t>121.6600</t>
        </is>
      </c>
      <c r="H566" s="41" t="inlineStr">
        <is>
          <t>202503</t>
        </is>
      </c>
      <c r="I566" s="41" t="inlineStr">
        <is>
          <t>22</t>
        </is>
      </c>
      <c r="J566" s="41" t="inlineStr">
        <is>
          <t>240,000</t>
        </is>
      </c>
      <c r="K566" s="41" t="inlineStr">
        <is>
          <t>102</t>
        </is>
      </c>
      <c r="L566" s="41" t="inlineStr">
        <is>
          <t>3</t>
        </is>
      </c>
      <c r="M566" s="42" t="inlineStr">
        <is>
          <t>개인</t>
        </is>
      </c>
      <c r="N566" s="42" t="inlineStr">
        <is>
          <t>개인</t>
        </is>
      </c>
      <c r="O566" s="41" t="inlineStr">
        <is>
          <t>2001</t>
        </is>
      </c>
      <c r="P566" s="42" t="inlineStr">
        <is>
          <t>사임당로17길 116</t>
        </is>
      </c>
      <c r="Q566" s="41" t="inlineStr">
        <is>
          <t>-</t>
        </is>
      </c>
      <c r="R566" s="42" t="inlineStr">
        <is>
          <t>중개거래</t>
        </is>
      </c>
      <c r="S566" s="42" t="inlineStr">
        <is>
          <t>서울 서초구</t>
        </is>
      </c>
      <c r="T566" s="41" t="inlineStr">
        <is>
          <t>25.05.22</t>
        </is>
      </c>
      <c r="U566" s="42" t="inlineStr">
        <is>
          <t>아파트</t>
        </is>
      </c>
    </row>
    <row r="567" hidden="1" ht="15" customHeight="1">
      <c r="A567" s="41" t="n">
        <v>34</v>
      </c>
      <c r="B567" s="42" t="inlineStr">
        <is>
          <t>서울특별시 서초구 서초동</t>
        </is>
      </c>
      <c r="C567" s="41" t="inlineStr">
        <is>
          <t>1327</t>
        </is>
      </c>
      <c r="D567" s="41" t="inlineStr">
        <is>
          <t>1327</t>
        </is>
      </c>
      <c r="E567" s="41" t="inlineStr">
        <is>
          <t>0000</t>
        </is>
      </c>
      <c r="F567" s="42" t="inlineStr">
        <is>
          <t>서초타운트라팰리스</t>
        </is>
      </c>
      <c r="G567" s="41" t="inlineStr">
        <is>
          <t>82.9000</t>
        </is>
      </c>
      <c r="H567" s="41" t="inlineStr">
        <is>
          <t>202503</t>
        </is>
      </c>
      <c r="I567" s="41" t="inlineStr">
        <is>
          <t>22</t>
        </is>
      </c>
      <c r="J567" s="41" t="inlineStr">
        <is>
          <t>135,000</t>
        </is>
      </c>
      <c r="K567" s="42" t="inlineStr">
        <is>
          <t>서초 트라팰리스Ⅱ</t>
        </is>
      </c>
      <c r="L567" s="41" t="inlineStr">
        <is>
          <t>15</t>
        </is>
      </c>
      <c r="M567" s="42" t="inlineStr">
        <is>
          <t>개인</t>
        </is>
      </c>
      <c r="N567" s="42" t="inlineStr">
        <is>
          <t>개인</t>
        </is>
      </c>
      <c r="O567" s="41" t="inlineStr">
        <is>
          <t>2006</t>
        </is>
      </c>
      <c r="P567" s="42" t="inlineStr">
        <is>
          <t>서초대로74길 23</t>
        </is>
      </c>
      <c r="Q567" s="41" t="inlineStr">
        <is>
          <t>-</t>
        </is>
      </c>
      <c r="R567" s="42" t="inlineStr">
        <is>
          <t>중개거래</t>
        </is>
      </c>
      <c r="S567" s="42" t="inlineStr">
        <is>
          <t>서울 강남구, 서울 서초구</t>
        </is>
      </c>
      <c r="T567" s="41" t="inlineStr">
        <is>
          <t>25.07.01</t>
        </is>
      </c>
      <c r="U567" s="42" t="inlineStr">
        <is>
          <t>아파트</t>
        </is>
      </c>
    </row>
    <row r="568" hidden="1" ht="15" customHeight="1">
      <c r="A568" s="41" t="n">
        <v>35</v>
      </c>
      <c r="B568" s="42" t="inlineStr">
        <is>
          <t>서울특별시 서초구 서초동</t>
        </is>
      </c>
      <c r="C568" s="41" t="inlineStr">
        <is>
          <t>1327-29</t>
        </is>
      </c>
      <c r="D568" s="41" t="inlineStr">
        <is>
          <t>1327</t>
        </is>
      </c>
      <c r="E568" s="41" t="inlineStr">
        <is>
          <t>0029</t>
        </is>
      </c>
      <c r="F568" s="42" t="inlineStr">
        <is>
          <t>서초파라곤</t>
        </is>
      </c>
      <c r="G568" s="41" t="inlineStr">
        <is>
          <t>84.9800</t>
        </is>
      </c>
      <c r="H568" s="41" t="inlineStr">
        <is>
          <t>202503</t>
        </is>
      </c>
      <c r="I568" s="41" t="inlineStr">
        <is>
          <t>22</t>
        </is>
      </c>
      <c r="J568" s="41" t="inlineStr">
        <is>
          <t>114,500</t>
        </is>
      </c>
      <c r="K568" s="42" t="inlineStr">
        <is>
          <t>케이티파라곤</t>
        </is>
      </c>
      <c r="L568" s="41" t="inlineStr">
        <is>
          <t>12</t>
        </is>
      </c>
      <c r="M568" s="42" t="inlineStr">
        <is>
          <t>개인</t>
        </is>
      </c>
      <c r="N568" s="42" t="inlineStr">
        <is>
          <t>개인</t>
        </is>
      </c>
      <c r="O568" s="41" t="inlineStr">
        <is>
          <t>2005</t>
        </is>
      </c>
      <c r="P568" s="42" t="inlineStr">
        <is>
          <t>서초대로74길 29</t>
        </is>
      </c>
      <c r="Q568" s="41" t="inlineStr">
        <is>
          <t>-</t>
        </is>
      </c>
      <c r="R568" s="42" t="inlineStr">
        <is>
          <t>중개거래</t>
        </is>
      </c>
      <c r="S568" s="42" t="inlineStr">
        <is>
          <t>서울 서초구</t>
        </is>
      </c>
      <c r="T568" s="41" t="inlineStr">
        <is>
          <t>25.06.19</t>
        </is>
      </c>
      <c r="U568" s="42" t="inlineStr">
        <is>
          <t>아파트</t>
        </is>
      </c>
    </row>
    <row r="569" hidden="1" ht="15" customHeight="1">
      <c r="A569" s="41" t="n">
        <v>36</v>
      </c>
      <c r="B569" s="42" t="inlineStr">
        <is>
          <t>서울특별시 서초구 서초동</t>
        </is>
      </c>
      <c r="C569" s="41" t="inlineStr">
        <is>
          <t>1420-18</t>
        </is>
      </c>
      <c r="D569" s="41" t="inlineStr">
        <is>
          <t>1420</t>
        </is>
      </c>
      <c r="E569" s="41" t="inlineStr">
        <is>
          <t>0018</t>
        </is>
      </c>
      <c r="F569" s="42" t="inlineStr">
        <is>
          <t>신원아침도시(1420)</t>
        </is>
      </c>
      <c r="G569" s="41" t="inlineStr">
        <is>
          <t>84.3400</t>
        </is>
      </c>
      <c r="H569" s="41" t="inlineStr">
        <is>
          <t>202503</t>
        </is>
      </c>
      <c r="I569" s="41" t="inlineStr">
        <is>
          <t>22</t>
        </is>
      </c>
      <c r="J569" s="41" t="inlineStr">
        <is>
          <t>156,000</t>
        </is>
      </c>
      <c r="K569" s="41" t="inlineStr">
        <is>
          <t>101</t>
        </is>
      </c>
      <c r="L569" s="41" t="inlineStr">
        <is>
          <t>8</t>
        </is>
      </c>
      <c r="M569" s="42" t="inlineStr">
        <is>
          <t>개인</t>
        </is>
      </c>
      <c r="N569" s="42" t="inlineStr">
        <is>
          <t>개인</t>
        </is>
      </c>
      <c r="O569" s="41" t="inlineStr">
        <is>
          <t>2005</t>
        </is>
      </c>
      <c r="P569" s="42" t="inlineStr">
        <is>
          <t>남부순환로337가길 52</t>
        </is>
      </c>
      <c r="Q569" s="41" t="inlineStr">
        <is>
          <t>-</t>
        </is>
      </c>
      <c r="R569" s="42" t="inlineStr">
        <is>
          <t>중개거래</t>
        </is>
      </c>
      <c r="S569" s="42" t="inlineStr">
        <is>
          <t>서울 서초구</t>
        </is>
      </c>
      <c r="T569" s="41" t="inlineStr">
        <is>
          <t>25.06.13</t>
        </is>
      </c>
      <c r="U569" s="42" t="inlineStr">
        <is>
          <t>아파트</t>
        </is>
      </c>
    </row>
    <row r="570" hidden="1" ht="15" customHeight="1">
      <c r="A570" s="41" t="n">
        <v>37</v>
      </c>
      <c r="B570" s="42" t="inlineStr">
        <is>
          <t>서울특별시 서초구 서초동</t>
        </is>
      </c>
      <c r="C570" s="41" t="inlineStr">
        <is>
          <t>1656-4</t>
        </is>
      </c>
      <c r="D570" s="41" t="inlineStr">
        <is>
          <t>1656</t>
        </is>
      </c>
      <c r="E570" s="41" t="inlineStr">
        <is>
          <t>0004</t>
        </is>
      </c>
      <c r="F570" s="42" t="inlineStr">
        <is>
          <t>롯데캐슬메디치</t>
        </is>
      </c>
      <c r="G570" s="41" t="inlineStr">
        <is>
          <t>107.3600</t>
        </is>
      </c>
      <c r="H570" s="41" t="inlineStr">
        <is>
          <t>202503</t>
        </is>
      </c>
      <c r="I570" s="41" t="inlineStr">
        <is>
          <t>21</t>
        </is>
      </c>
      <c r="J570" s="41" t="inlineStr">
        <is>
          <t>185,000</t>
        </is>
      </c>
      <c r="K570" s="42" t="inlineStr">
        <is>
          <t>서초동롯데캐슬메디치</t>
        </is>
      </c>
      <c r="L570" s="41" t="inlineStr">
        <is>
          <t>14</t>
        </is>
      </c>
      <c r="M570" s="42" t="inlineStr">
        <is>
          <t>개인</t>
        </is>
      </c>
      <c r="N570" s="42" t="inlineStr">
        <is>
          <t>개인</t>
        </is>
      </c>
      <c r="O570" s="41" t="inlineStr">
        <is>
          <t>2010</t>
        </is>
      </c>
      <c r="P570" s="42" t="inlineStr">
        <is>
          <t>서초중앙로 110</t>
        </is>
      </c>
      <c r="Q570" s="41" t="inlineStr">
        <is>
          <t>-</t>
        </is>
      </c>
      <c r="R570" s="42" t="inlineStr">
        <is>
          <t>중개거래</t>
        </is>
      </c>
      <c r="S570" s="42" t="inlineStr">
        <is>
          <t>서울 서초구</t>
        </is>
      </c>
      <c r="T570" s="41" t="inlineStr">
        <is>
          <t>25.04.30</t>
        </is>
      </c>
      <c r="U570" s="42" t="inlineStr">
        <is>
          <t>아파트</t>
        </is>
      </c>
    </row>
    <row r="571" hidden="1" ht="15" customHeight="1">
      <c r="A571" s="41" t="n">
        <v>38</v>
      </c>
      <c r="B571" s="42" t="inlineStr">
        <is>
          <t>서울특별시 서초구 서초동</t>
        </is>
      </c>
      <c r="C571" s="41" t="inlineStr">
        <is>
          <t>1330</t>
        </is>
      </c>
      <c r="D571" s="41" t="inlineStr">
        <is>
          <t>1330</t>
        </is>
      </c>
      <c r="E571" s="41" t="inlineStr">
        <is>
          <t>0000</t>
        </is>
      </c>
      <c r="F571" s="42" t="inlineStr">
        <is>
          <t>서초동삼성쉐르빌2</t>
        </is>
      </c>
      <c r="G571" s="41" t="inlineStr">
        <is>
          <t>35.2200</t>
        </is>
      </c>
      <c r="H571" s="41" t="inlineStr">
        <is>
          <t>202503</t>
        </is>
      </c>
      <c r="I571" s="41" t="inlineStr">
        <is>
          <t>21</t>
        </is>
      </c>
      <c r="J571" s="41" t="inlineStr">
        <is>
          <t>27,000</t>
        </is>
      </c>
      <c r="K571" s="41" t="inlineStr">
        <is>
          <t>-</t>
        </is>
      </c>
      <c r="L571" s="41" t="inlineStr">
        <is>
          <t>13</t>
        </is>
      </c>
      <c r="M571" s="42" t="inlineStr">
        <is>
          <t>개인</t>
        </is>
      </c>
      <c r="N571" s="42" t="inlineStr">
        <is>
          <t>개인</t>
        </is>
      </c>
      <c r="O571" s="41" t="inlineStr">
        <is>
          <t>2002</t>
        </is>
      </c>
      <c r="P571" s="42" t="inlineStr">
        <is>
          <t>강남대로53길 11</t>
        </is>
      </c>
      <c r="Q571" s="41" t="inlineStr">
        <is>
          <t>-</t>
        </is>
      </c>
      <c r="R571" s="42" t="inlineStr">
        <is>
          <t>중개거래</t>
        </is>
      </c>
      <c r="S571" s="42" t="inlineStr">
        <is>
          <t>서울 서초구</t>
        </is>
      </c>
      <c r="T571" s="41" t="inlineStr">
        <is>
          <t>25.04.30</t>
        </is>
      </c>
      <c r="U571" s="42" t="inlineStr">
        <is>
          <t>아파트</t>
        </is>
      </c>
    </row>
    <row r="572" hidden="1" ht="15" customHeight="1">
      <c r="A572" s="41" t="n">
        <v>39</v>
      </c>
      <c r="B572" s="42" t="inlineStr">
        <is>
          <t>서울특별시 서초구 서초동</t>
        </is>
      </c>
      <c r="C572" s="41" t="inlineStr">
        <is>
          <t>1330</t>
        </is>
      </c>
      <c r="D572" s="41" t="inlineStr">
        <is>
          <t>1330</t>
        </is>
      </c>
      <c r="E572" s="41" t="inlineStr">
        <is>
          <t>0000</t>
        </is>
      </c>
      <c r="F572" s="42" t="inlineStr">
        <is>
          <t>서초동삼성쉐르빌2</t>
        </is>
      </c>
      <c r="G572" s="41" t="inlineStr">
        <is>
          <t>35.2300</t>
        </is>
      </c>
      <c r="H572" s="41" t="inlineStr">
        <is>
          <t>202503</t>
        </is>
      </c>
      <c r="I572" s="41" t="inlineStr">
        <is>
          <t>21</t>
        </is>
      </c>
      <c r="J572" s="41" t="inlineStr">
        <is>
          <t>35,000</t>
        </is>
      </c>
      <c r="K572" s="41" t="inlineStr">
        <is>
          <t>-</t>
        </is>
      </c>
      <c r="L572" s="41" t="inlineStr">
        <is>
          <t>20</t>
        </is>
      </c>
      <c r="M572" s="42" t="inlineStr">
        <is>
          <t>법인</t>
        </is>
      </c>
      <c r="N572" s="42" t="inlineStr">
        <is>
          <t>개인</t>
        </is>
      </c>
      <c r="O572" s="41" t="inlineStr">
        <is>
          <t>2002</t>
        </is>
      </c>
      <c r="P572" s="42" t="inlineStr">
        <is>
          <t>강남대로53길 11</t>
        </is>
      </c>
      <c r="Q572" s="41" t="inlineStr">
        <is>
          <t>-</t>
        </is>
      </c>
      <c r="R572" s="42" t="inlineStr">
        <is>
          <t>직거래</t>
        </is>
      </c>
      <c r="S572" s="41" t="inlineStr">
        <is>
          <t>-</t>
        </is>
      </c>
      <c r="T572" s="41" t="inlineStr">
        <is>
          <t>25.04.16</t>
        </is>
      </c>
      <c r="U572" s="42" t="inlineStr">
        <is>
          <t>아파트</t>
        </is>
      </c>
    </row>
    <row r="573" hidden="1" ht="15" customHeight="1">
      <c r="A573" s="41" t="n">
        <v>40</v>
      </c>
      <c r="B573" s="42" t="inlineStr">
        <is>
          <t>서울특별시 서초구 서초동</t>
        </is>
      </c>
      <c r="C573" s="41" t="inlineStr">
        <is>
          <t>1682</t>
        </is>
      </c>
      <c r="D573" s="41" t="inlineStr">
        <is>
          <t>1682</t>
        </is>
      </c>
      <c r="E573" s="41" t="inlineStr">
        <is>
          <t>0000</t>
        </is>
      </c>
      <c r="F573" s="42" t="inlineStr">
        <is>
          <t>서초래미안</t>
        </is>
      </c>
      <c r="G573" s="41" t="inlineStr">
        <is>
          <t>126.3100</t>
        </is>
      </c>
      <c r="H573" s="41" t="inlineStr">
        <is>
          <t>202503</t>
        </is>
      </c>
      <c r="I573" s="41" t="inlineStr">
        <is>
          <t>21</t>
        </is>
      </c>
      <c r="J573" s="41" t="inlineStr">
        <is>
          <t>288,000</t>
        </is>
      </c>
      <c r="K573" s="41" t="inlineStr">
        <is>
          <t>110</t>
        </is>
      </c>
      <c r="L573" s="41" t="inlineStr">
        <is>
          <t>13</t>
        </is>
      </c>
      <c r="M573" s="42" t="inlineStr">
        <is>
          <t>개인</t>
        </is>
      </c>
      <c r="N573" s="42" t="inlineStr">
        <is>
          <t>개인</t>
        </is>
      </c>
      <c r="O573" s="41" t="inlineStr">
        <is>
          <t>2003</t>
        </is>
      </c>
      <c r="P573" s="42" t="inlineStr">
        <is>
          <t>서초대로65길 13-10</t>
        </is>
      </c>
      <c r="Q573" s="41" t="inlineStr">
        <is>
          <t>-</t>
        </is>
      </c>
      <c r="R573" s="42" t="inlineStr">
        <is>
          <t>중개거래</t>
        </is>
      </c>
      <c r="S573" s="42" t="inlineStr">
        <is>
          <t>서울 서초구</t>
        </is>
      </c>
      <c r="T573" s="41" t="inlineStr">
        <is>
          <t>25.06.30</t>
        </is>
      </c>
      <c r="U573" s="42" t="inlineStr">
        <is>
          <t>아파트</t>
        </is>
      </c>
    </row>
    <row r="574" hidden="1" ht="15" customHeight="1">
      <c r="A574" s="41" t="n">
        <v>41</v>
      </c>
      <c r="B574" s="42" t="inlineStr">
        <is>
          <t>서울특별시 서초구 서초동</t>
        </is>
      </c>
      <c r="C574" s="41" t="inlineStr">
        <is>
          <t>1315</t>
        </is>
      </c>
      <c r="D574" s="41" t="inlineStr">
        <is>
          <t>1315</t>
        </is>
      </c>
      <c r="E574" s="41" t="inlineStr">
        <is>
          <t>0000</t>
        </is>
      </c>
      <c r="F574" s="42" t="inlineStr">
        <is>
          <t>진흥아파트</t>
        </is>
      </c>
      <c r="G574" s="41" t="inlineStr">
        <is>
          <t>101.3200</t>
        </is>
      </c>
      <c r="H574" s="41" t="inlineStr">
        <is>
          <t>202503</t>
        </is>
      </c>
      <c r="I574" s="41" t="inlineStr">
        <is>
          <t>21</t>
        </is>
      </c>
      <c r="J574" s="41" t="inlineStr">
        <is>
          <t>270,000</t>
        </is>
      </c>
      <c r="K574" s="41" t="inlineStr">
        <is>
          <t>2</t>
        </is>
      </c>
      <c r="L574" s="41" t="inlineStr">
        <is>
          <t>4</t>
        </is>
      </c>
      <c r="M574" s="42" t="inlineStr">
        <is>
          <t>개인</t>
        </is>
      </c>
      <c r="N574" s="42" t="inlineStr">
        <is>
          <t>개인</t>
        </is>
      </c>
      <c r="O574" s="41" t="inlineStr">
        <is>
          <t>1979</t>
        </is>
      </c>
      <c r="P574" s="42" t="inlineStr">
        <is>
          <t>서초대로 385</t>
        </is>
      </c>
      <c r="Q574" s="41" t="inlineStr">
        <is>
          <t>-</t>
        </is>
      </c>
      <c r="R574" s="42" t="inlineStr">
        <is>
          <t>중개거래</t>
        </is>
      </c>
      <c r="S574" s="42" t="inlineStr">
        <is>
          <t>서울 서초구</t>
        </is>
      </c>
      <c r="T574" s="41" t="inlineStr">
        <is>
          <t>25.06.24</t>
        </is>
      </c>
      <c r="U574" s="42" t="inlineStr">
        <is>
          <t>아파트</t>
        </is>
      </c>
    </row>
    <row r="575" hidden="1" ht="15" customHeight="1">
      <c r="A575" s="41" t="n">
        <v>42</v>
      </c>
      <c r="B575" s="42" t="inlineStr">
        <is>
          <t>서울특별시 서초구 서초동</t>
        </is>
      </c>
      <c r="C575" s="41" t="inlineStr">
        <is>
          <t>1315</t>
        </is>
      </c>
      <c r="D575" s="41" t="inlineStr">
        <is>
          <t>1315</t>
        </is>
      </c>
      <c r="E575" s="41" t="inlineStr">
        <is>
          <t>0000</t>
        </is>
      </c>
      <c r="F575" s="42" t="inlineStr">
        <is>
          <t>진흥아파트</t>
        </is>
      </c>
      <c r="G575" s="41" t="inlineStr">
        <is>
          <t>101.3200</t>
        </is>
      </c>
      <c r="H575" s="41" t="inlineStr">
        <is>
          <t>202503</t>
        </is>
      </c>
      <c r="I575" s="41" t="inlineStr">
        <is>
          <t>21</t>
        </is>
      </c>
      <c r="J575" s="41" t="inlineStr">
        <is>
          <t>270,000</t>
        </is>
      </c>
      <c r="K575" s="41" t="inlineStr">
        <is>
          <t>2</t>
        </is>
      </c>
      <c r="L575" s="41" t="inlineStr">
        <is>
          <t>4</t>
        </is>
      </c>
      <c r="M575" s="42" t="inlineStr">
        <is>
          <t>개인</t>
        </is>
      </c>
      <c r="N575" s="42" t="inlineStr">
        <is>
          <t>개인</t>
        </is>
      </c>
      <c r="O575" s="41" t="inlineStr">
        <is>
          <t>1979</t>
        </is>
      </c>
      <c r="P575" s="42" t="inlineStr">
        <is>
          <t>서초대로 385</t>
        </is>
      </c>
      <c r="Q575" s="41" t="inlineStr">
        <is>
          <t>-</t>
        </is>
      </c>
      <c r="R575" s="42" t="inlineStr">
        <is>
          <t>중개거래</t>
        </is>
      </c>
      <c r="S575" s="42" t="inlineStr">
        <is>
          <t>서울 서초구</t>
        </is>
      </c>
      <c r="T575" s="41" t="inlineStr">
        <is>
          <t>25.06.24</t>
        </is>
      </c>
      <c r="U575" s="42" t="inlineStr">
        <is>
          <t>아파트</t>
        </is>
      </c>
    </row>
    <row r="576" hidden="1" ht="15" customHeight="1">
      <c r="A576" s="41" t="n">
        <v>43</v>
      </c>
      <c r="B576" s="42" t="inlineStr">
        <is>
          <t>서울특별시 서초구 서초동</t>
        </is>
      </c>
      <c r="C576" s="41" t="inlineStr">
        <is>
          <t>1315</t>
        </is>
      </c>
      <c r="D576" s="41" t="inlineStr">
        <is>
          <t>1315</t>
        </is>
      </c>
      <c r="E576" s="41" t="inlineStr">
        <is>
          <t>0000</t>
        </is>
      </c>
      <c r="F576" s="42" t="inlineStr">
        <is>
          <t>진흥아파트</t>
        </is>
      </c>
      <c r="G576" s="41" t="inlineStr">
        <is>
          <t>101.3200</t>
        </is>
      </c>
      <c r="H576" s="41" t="inlineStr">
        <is>
          <t>202503</t>
        </is>
      </c>
      <c r="I576" s="41" t="inlineStr">
        <is>
          <t>21</t>
        </is>
      </c>
      <c r="J576" s="41" t="inlineStr">
        <is>
          <t>270,000</t>
        </is>
      </c>
      <c r="K576" s="41" t="inlineStr">
        <is>
          <t>-</t>
        </is>
      </c>
      <c r="L576" s="41" t="inlineStr">
        <is>
          <t>4</t>
        </is>
      </c>
      <c r="M576" s="42" t="inlineStr">
        <is>
          <t>개인</t>
        </is>
      </c>
      <c r="N576" s="42" t="inlineStr">
        <is>
          <t>개인</t>
        </is>
      </c>
      <c r="O576" s="41" t="inlineStr">
        <is>
          <t>1979</t>
        </is>
      </c>
      <c r="P576" s="42" t="inlineStr">
        <is>
          <t>서초대로 385</t>
        </is>
      </c>
      <c r="Q576" s="41" t="inlineStr">
        <is>
          <t>20250602</t>
        </is>
      </c>
      <c r="R576" s="42" t="inlineStr">
        <is>
          <t>중개거래</t>
        </is>
      </c>
      <c r="S576" s="42" t="inlineStr">
        <is>
          <t>서울 서초구</t>
        </is>
      </c>
      <c r="T576" s="41" t="inlineStr">
        <is>
          <t>-</t>
        </is>
      </c>
      <c r="U576" s="42" t="inlineStr">
        <is>
          <t>아파트</t>
        </is>
      </c>
    </row>
    <row r="577" hidden="1" ht="15" customHeight="1">
      <c r="A577" s="41" t="n">
        <v>44</v>
      </c>
      <c r="B577" s="42" t="inlineStr">
        <is>
          <t>서울특별시 서초구 서초동</t>
        </is>
      </c>
      <c r="C577" s="41" t="inlineStr">
        <is>
          <t>1687</t>
        </is>
      </c>
      <c r="D577" s="41" t="inlineStr">
        <is>
          <t>1687</t>
        </is>
      </c>
      <c r="E577" s="41" t="inlineStr">
        <is>
          <t>0000</t>
        </is>
      </c>
      <c r="F577" s="42" t="inlineStr">
        <is>
          <t>유원서초</t>
        </is>
      </c>
      <c r="G577" s="41" t="inlineStr">
        <is>
          <t>84.8700</t>
        </is>
      </c>
      <c r="H577" s="41" t="inlineStr">
        <is>
          <t>202503</t>
        </is>
      </c>
      <c r="I577" s="41" t="inlineStr">
        <is>
          <t>21</t>
        </is>
      </c>
      <c r="J577" s="41" t="inlineStr">
        <is>
          <t>215,000</t>
        </is>
      </c>
      <c r="K577" s="41" t="inlineStr">
        <is>
          <t>103</t>
        </is>
      </c>
      <c r="L577" s="41" t="inlineStr">
        <is>
          <t>2</t>
        </is>
      </c>
      <c r="M577" s="42" t="inlineStr">
        <is>
          <t>개인</t>
        </is>
      </c>
      <c r="N577" s="42" t="inlineStr">
        <is>
          <t>개인</t>
        </is>
      </c>
      <c r="O577" s="41" t="inlineStr">
        <is>
          <t>1993</t>
        </is>
      </c>
      <c r="P577" s="42" t="inlineStr">
        <is>
          <t>서초중앙로24길 43</t>
        </is>
      </c>
      <c r="Q577" s="41" t="inlineStr">
        <is>
          <t>-</t>
        </is>
      </c>
      <c r="R577" s="42" t="inlineStr">
        <is>
          <t>중개거래</t>
        </is>
      </c>
      <c r="S577" s="42" t="inlineStr">
        <is>
          <t>서울 서초구</t>
        </is>
      </c>
      <c r="T577" s="41" t="inlineStr">
        <is>
          <t>25.05.30</t>
        </is>
      </c>
      <c r="U577" s="42" t="inlineStr">
        <is>
          <t>아파트</t>
        </is>
      </c>
    </row>
    <row r="578" hidden="1" ht="15" customHeight="1">
      <c r="A578" s="41" t="n">
        <v>45</v>
      </c>
      <c r="B578" s="42" t="inlineStr">
        <is>
          <t>서울특별시 서초구 서초동</t>
        </is>
      </c>
      <c r="C578" s="41" t="inlineStr">
        <is>
          <t>1326-17</t>
        </is>
      </c>
      <c r="D578" s="41" t="inlineStr">
        <is>
          <t>1326</t>
        </is>
      </c>
      <c r="E578" s="41" t="inlineStr">
        <is>
          <t>0017</t>
        </is>
      </c>
      <c r="F578" s="42" t="inlineStr">
        <is>
          <t>우성아파트</t>
        </is>
      </c>
      <c r="G578" s="41" t="inlineStr">
        <is>
          <t>59.9300</t>
        </is>
      </c>
      <c r="H578" s="41" t="inlineStr">
        <is>
          <t>202503</t>
        </is>
      </c>
      <c r="I578" s="41" t="inlineStr">
        <is>
          <t>21</t>
        </is>
      </c>
      <c r="J578" s="41" t="inlineStr">
        <is>
          <t>178,000</t>
        </is>
      </c>
      <c r="K578" s="41" t="inlineStr">
        <is>
          <t>501</t>
        </is>
      </c>
      <c r="L578" s="41" t="inlineStr">
        <is>
          <t>21</t>
        </is>
      </c>
      <c r="M578" s="42" t="inlineStr">
        <is>
          <t>개인</t>
        </is>
      </c>
      <c r="N578" s="42" t="inlineStr">
        <is>
          <t>개인</t>
        </is>
      </c>
      <c r="O578" s="41" t="inlineStr">
        <is>
          <t>1998</t>
        </is>
      </c>
      <c r="P578" s="42" t="inlineStr">
        <is>
          <t>서초대로74길 30</t>
        </is>
      </c>
      <c r="Q578" s="41" t="inlineStr">
        <is>
          <t>-</t>
        </is>
      </c>
      <c r="R578" s="42" t="inlineStr">
        <is>
          <t>중개거래</t>
        </is>
      </c>
      <c r="S578" s="42" t="inlineStr">
        <is>
          <t>서울 강남구, 서울 서초구</t>
        </is>
      </c>
      <c r="T578" s="41" t="inlineStr">
        <is>
          <t>25.09.04</t>
        </is>
      </c>
      <c r="U578" s="42" t="inlineStr">
        <is>
          <t>아파트</t>
        </is>
      </c>
    </row>
    <row r="579" hidden="1" ht="15" customHeight="1">
      <c r="A579" s="41" t="n">
        <v>46</v>
      </c>
      <c r="B579" s="42" t="inlineStr">
        <is>
          <t>서울특별시 서초구 서초동</t>
        </is>
      </c>
      <c r="C579" s="41" t="inlineStr">
        <is>
          <t>1641-13</t>
        </is>
      </c>
      <c r="D579" s="41" t="inlineStr">
        <is>
          <t>1641</t>
        </is>
      </c>
      <c r="E579" s="41" t="inlineStr">
        <is>
          <t>0013</t>
        </is>
      </c>
      <c r="F579" s="42" t="inlineStr">
        <is>
          <t>아남</t>
        </is>
      </c>
      <c r="G579" s="41" t="inlineStr">
        <is>
          <t>71.1000</t>
        </is>
      </c>
      <c r="H579" s="41" t="inlineStr">
        <is>
          <t>202503</t>
        </is>
      </c>
      <c r="I579" s="41" t="inlineStr">
        <is>
          <t>21</t>
        </is>
      </c>
      <c r="J579" s="41" t="inlineStr">
        <is>
          <t>162,800</t>
        </is>
      </c>
      <c r="K579" s="41" t="inlineStr">
        <is>
          <t>1</t>
        </is>
      </c>
      <c r="L579" s="41" t="inlineStr">
        <is>
          <t>3</t>
        </is>
      </c>
      <c r="M579" s="42" t="inlineStr">
        <is>
          <t>개인</t>
        </is>
      </c>
      <c r="N579" s="42" t="inlineStr">
        <is>
          <t>개인</t>
        </is>
      </c>
      <c r="O579" s="41" t="inlineStr">
        <is>
          <t>1989</t>
        </is>
      </c>
      <c r="P579" s="42" t="inlineStr">
        <is>
          <t>사임당로23길 53</t>
        </is>
      </c>
      <c r="Q579" s="41" t="inlineStr">
        <is>
          <t>-</t>
        </is>
      </c>
      <c r="R579" s="42" t="inlineStr">
        <is>
          <t>중개거래</t>
        </is>
      </c>
      <c r="S579" s="42" t="inlineStr">
        <is>
          <t>서울 서초구</t>
        </is>
      </c>
      <c r="T579" s="41" t="inlineStr">
        <is>
          <t>25.05.28</t>
        </is>
      </c>
      <c r="U579" s="42" t="inlineStr">
        <is>
          <t>아파트</t>
        </is>
      </c>
    </row>
    <row r="580" hidden="1" ht="15" customHeight="1">
      <c r="A580" s="41" t="n">
        <v>47</v>
      </c>
      <c r="B580" s="42" t="inlineStr">
        <is>
          <t>서울특별시 서초구 서초동</t>
        </is>
      </c>
      <c r="C580" s="41" t="inlineStr">
        <is>
          <t>1648-2</t>
        </is>
      </c>
      <c r="D580" s="41" t="inlineStr">
        <is>
          <t>1648</t>
        </is>
      </c>
      <c r="E580" s="41" t="inlineStr">
        <is>
          <t>0002</t>
        </is>
      </c>
      <c r="F580" s="42" t="inlineStr">
        <is>
          <t>서초현대</t>
        </is>
      </c>
      <c r="G580" s="41" t="inlineStr">
        <is>
          <t>53.0100</t>
        </is>
      </c>
      <c r="H580" s="41" t="inlineStr">
        <is>
          <t>202503</t>
        </is>
      </c>
      <c r="I580" s="41" t="inlineStr">
        <is>
          <t>21</t>
        </is>
      </c>
      <c r="J580" s="41" t="inlineStr">
        <is>
          <t>123,000</t>
        </is>
      </c>
      <c r="K580" s="41" t="inlineStr">
        <is>
          <t>102</t>
        </is>
      </c>
      <c r="L580" s="41" t="inlineStr">
        <is>
          <t>8</t>
        </is>
      </c>
      <c r="M580" s="42" t="inlineStr">
        <is>
          <t>개인</t>
        </is>
      </c>
      <c r="N580" s="42" t="inlineStr">
        <is>
          <t>개인</t>
        </is>
      </c>
      <c r="O580" s="41" t="inlineStr">
        <is>
          <t>1999</t>
        </is>
      </c>
      <c r="P580" s="42" t="inlineStr">
        <is>
          <t>사임당로19길 10</t>
        </is>
      </c>
      <c r="Q580" s="41" t="inlineStr">
        <is>
          <t>-</t>
        </is>
      </c>
      <c r="R580" s="42" t="inlineStr">
        <is>
          <t>중개거래</t>
        </is>
      </c>
      <c r="S580" s="42" t="inlineStr">
        <is>
          <t>서울 서초구</t>
        </is>
      </c>
      <c r="T580" s="41" t="inlineStr">
        <is>
          <t>25.05.15</t>
        </is>
      </c>
      <c r="U580" s="42" t="inlineStr">
        <is>
          <t>아파트</t>
        </is>
      </c>
    </row>
    <row r="581" hidden="1" ht="15" customHeight="1">
      <c r="A581" s="41" t="n">
        <v>48</v>
      </c>
      <c r="B581" s="42" t="inlineStr">
        <is>
          <t>서울특별시 서초구 서초동</t>
        </is>
      </c>
      <c r="C581" s="41" t="inlineStr">
        <is>
          <t>1509-1</t>
        </is>
      </c>
      <c r="D581" s="41" t="inlineStr">
        <is>
          <t>1509</t>
        </is>
      </c>
      <c r="E581" s="41" t="inlineStr">
        <is>
          <t>0001</t>
        </is>
      </c>
      <c r="F581" s="42" t="inlineStr">
        <is>
          <t>서초한빛삼성</t>
        </is>
      </c>
      <c r="G581" s="41" t="inlineStr">
        <is>
          <t>59.5200</t>
        </is>
      </c>
      <c r="H581" s="41" t="inlineStr">
        <is>
          <t>202503</t>
        </is>
      </c>
      <c r="I581" s="41" t="inlineStr">
        <is>
          <t>21</t>
        </is>
      </c>
      <c r="J581" s="41" t="inlineStr">
        <is>
          <t>143,500</t>
        </is>
      </c>
      <c r="K581" s="41" t="inlineStr">
        <is>
          <t>102</t>
        </is>
      </c>
      <c r="L581" s="41" t="inlineStr">
        <is>
          <t>4</t>
        </is>
      </c>
      <c r="M581" s="42" t="inlineStr">
        <is>
          <t>개인</t>
        </is>
      </c>
      <c r="N581" s="42" t="inlineStr">
        <is>
          <t>개인</t>
        </is>
      </c>
      <c r="O581" s="41" t="inlineStr">
        <is>
          <t>1999</t>
        </is>
      </c>
      <c r="P581" s="42" t="inlineStr">
        <is>
          <t>서초대로40길 72</t>
        </is>
      </c>
      <c r="Q581" s="41" t="inlineStr">
        <is>
          <t>-</t>
        </is>
      </c>
      <c r="R581" s="42" t="inlineStr">
        <is>
          <t>중개거래</t>
        </is>
      </c>
      <c r="S581" s="42" t="inlineStr">
        <is>
          <t>서울 서초구</t>
        </is>
      </c>
      <c r="T581" s="41" t="inlineStr">
        <is>
          <t>25.05.30</t>
        </is>
      </c>
      <c r="U581" s="42" t="inlineStr">
        <is>
          <t>아파트</t>
        </is>
      </c>
    </row>
    <row r="582" hidden="1" ht="15" customHeight="1">
      <c r="A582" s="41" t="n">
        <v>49</v>
      </c>
      <c r="B582" s="42" t="inlineStr">
        <is>
          <t>서울특별시 서초구 서초동</t>
        </is>
      </c>
      <c r="C582" s="41" t="inlineStr">
        <is>
          <t>1321-6</t>
        </is>
      </c>
      <c r="D582" s="41" t="inlineStr">
        <is>
          <t>1321</t>
        </is>
      </c>
      <c r="E582" s="41" t="inlineStr">
        <is>
          <t>0006</t>
        </is>
      </c>
      <c r="F582" s="42" t="inlineStr">
        <is>
          <t>서초동아타워</t>
        </is>
      </c>
      <c r="G582" s="41" t="inlineStr">
        <is>
          <t>142.3100</t>
        </is>
      </c>
      <c r="H582" s="41" t="inlineStr">
        <is>
          <t>202503</t>
        </is>
      </c>
      <c r="I582" s="41" t="inlineStr">
        <is>
          <t>21</t>
        </is>
      </c>
      <c r="J582" s="41" t="inlineStr">
        <is>
          <t>150,000</t>
        </is>
      </c>
      <c r="K582" s="41" t="inlineStr">
        <is>
          <t>-</t>
        </is>
      </c>
      <c r="L582" s="41" t="inlineStr">
        <is>
          <t>11</t>
        </is>
      </c>
      <c r="M582" s="42" t="inlineStr">
        <is>
          <t>개인</t>
        </is>
      </c>
      <c r="N582" s="42" t="inlineStr">
        <is>
          <t>개인</t>
        </is>
      </c>
      <c r="O582" s="41" t="inlineStr">
        <is>
          <t>1996</t>
        </is>
      </c>
      <c r="P582" s="42" t="inlineStr">
        <is>
          <t>서운로 138</t>
        </is>
      </c>
      <c r="Q582" s="41" t="inlineStr">
        <is>
          <t>-</t>
        </is>
      </c>
      <c r="R582" s="42" t="inlineStr">
        <is>
          <t>직거래</t>
        </is>
      </c>
      <c r="S582" s="41" t="inlineStr">
        <is>
          <t>-</t>
        </is>
      </c>
      <c r="T582" s="41" t="inlineStr">
        <is>
          <t>25.05.14</t>
        </is>
      </c>
      <c r="U582" s="42" t="inlineStr">
        <is>
          <t>아파트</t>
        </is>
      </c>
    </row>
    <row r="583" hidden="1" ht="15" customHeight="1">
      <c r="A583" s="41" t="n">
        <v>50</v>
      </c>
      <c r="B583" s="42" t="inlineStr">
        <is>
          <t>서울특별시 서초구 서초동</t>
        </is>
      </c>
      <c r="C583" s="41" t="inlineStr">
        <is>
          <t>1685</t>
        </is>
      </c>
      <c r="D583" s="41" t="inlineStr">
        <is>
          <t>1685</t>
        </is>
      </c>
      <c r="E583" s="41" t="inlineStr">
        <is>
          <t>0000</t>
        </is>
      </c>
      <c r="F583" s="42" t="inlineStr">
        <is>
          <t>삼풍아파트</t>
        </is>
      </c>
      <c r="G583" s="41" t="inlineStr">
        <is>
          <t>79.4700</t>
        </is>
      </c>
      <c r="H583" s="41" t="inlineStr">
        <is>
          <t>202503</t>
        </is>
      </c>
      <c r="I583" s="41" t="inlineStr">
        <is>
          <t>21</t>
        </is>
      </c>
      <c r="J583" s="41" t="inlineStr">
        <is>
          <t>307,000</t>
        </is>
      </c>
      <c r="K583" s="41" t="inlineStr">
        <is>
          <t>6</t>
        </is>
      </c>
      <c r="L583" s="41" t="inlineStr">
        <is>
          <t>5</t>
        </is>
      </c>
      <c r="M583" s="42" t="inlineStr">
        <is>
          <t>개인</t>
        </is>
      </c>
      <c r="N583" s="42" t="inlineStr">
        <is>
          <t>개인</t>
        </is>
      </c>
      <c r="O583" s="41" t="inlineStr">
        <is>
          <t>1988</t>
        </is>
      </c>
      <c r="P583" s="42" t="inlineStr">
        <is>
          <t>서초중앙로 200</t>
        </is>
      </c>
      <c r="Q583" s="41" t="inlineStr">
        <is>
          <t>-</t>
        </is>
      </c>
      <c r="R583" s="42" t="inlineStr">
        <is>
          <t>중개거래</t>
        </is>
      </c>
      <c r="S583" s="42" t="inlineStr">
        <is>
          <t>서울 서초구</t>
        </is>
      </c>
      <c r="T583" s="41" t="inlineStr">
        <is>
          <t>25.06.26</t>
        </is>
      </c>
      <c r="U583" s="42" t="inlineStr">
        <is>
          <t>아파트</t>
        </is>
      </c>
    </row>
    <row r="584" hidden="1" ht="15" customHeight="1">
      <c r="A584" s="41" t="n">
        <v>51</v>
      </c>
      <c r="B584" s="42" t="inlineStr">
        <is>
          <t>서울특별시 서초구 서초동</t>
        </is>
      </c>
      <c r="C584" s="41" t="inlineStr">
        <is>
          <t>1685</t>
        </is>
      </c>
      <c r="D584" s="41" t="inlineStr">
        <is>
          <t>1685</t>
        </is>
      </c>
      <c r="E584" s="41" t="inlineStr">
        <is>
          <t>0000</t>
        </is>
      </c>
      <c r="F584" s="42" t="inlineStr">
        <is>
          <t>삼풍아파트</t>
        </is>
      </c>
      <c r="G584" s="41" t="inlineStr">
        <is>
          <t>165.9200</t>
        </is>
      </c>
      <c r="H584" s="41" t="inlineStr">
        <is>
          <t>202503</t>
        </is>
      </c>
      <c r="I584" s="41" t="inlineStr">
        <is>
          <t>21</t>
        </is>
      </c>
      <c r="J584" s="41" t="inlineStr">
        <is>
          <t>445,000</t>
        </is>
      </c>
      <c r="K584" s="41" t="inlineStr">
        <is>
          <t>18</t>
        </is>
      </c>
      <c r="L584" s="41" t="inlineStr">
        <is>
          <t>13</t>
        </is>
      </c>
      <c r="M584" s="42" t="inlineStr">
        <is>
          <t>개인</t>
        </is>
      </c>
      <c r="N584" s="42" t="inlineStr">
        <is>
          <t>개인</t>
        </is>
      </c>
      <c r="O584" s="41" t="inlineStr">
        <is>
          <t>1988</t>
        </is>
      </c>
      <c r="P584" s="42" t="inlineStr">
        <is>
          <t>서초중앙로 200</t>
        </is>
      </c>
      <c r="Q584" s="41" t="inlineStr">
        <is>
          <t>-</t>
        </is>
      </c>
      <c r="R584" s="42" t="inlineStr">
        <is>
          <t>중개거래</t>
        </is>
      </c>
      <c r="S584" s="42" t="inlineStr">
        <is>
          <t>경기 성남시 분당구, 서울 서초구</t>
        </is>
      </c>
      <c r="T584" s="41" t="inlineStr">
        <is>
          <t>25.07.31</t>
        </is>
      </c>
      <c r="U584" s="42" t="inlineStr">
        <is>
          <t>아파트</t>
        </is>
      </c>
    </row>
    <row r="585" hidden="1" ht="15" customHeight="1">
      <c r="A585" s="41" t="n">
        <v>52</v>
      </c>
      <c r="B585" s="42" t="inlineStr">
        <is>
          <t>서울특별시 서초구 서초동</t>
        </is>
      </c>
      <c r="C585" s="41" t="inlineStr">
        <is>
          <t>1757</t>
        </is>
      </c>
      <c r="D585" s="41" t="inlineStr">
        <is>
          <t>1757</t>
        </is>
      </c>
      <c r="E585" s="41" t="inlineStr">
        <is>
          <t>0000</t>
        </is>
      </c>
      <c r="F585" s="42" t="inlineStr">
        <is>
          <t>서초그랑자이</t>
        </is>
      </c>
      <c r="G585" s="41" t="inlineStr">
        <is>
          <t>115.7100</t>
        </is>
      </c>
      <c r="H585" s="41" t="inlineStr">
        <is>
          <t>202503</t>
        </is>
      </c>
      <c r="I585" s="41" t="inlineStr">
        <is>
          <t>21</t>
        </is>
      </c>
      <c r="J585" s="41" t="inlineStr">
        <is>
          <t>370,000</t>
        </is>
      </c>
      <c r="K585" s="41" t="inlineStr">
        <is>
          <t>103동</t>
        </is>
      </c>
      <c r="L585" s="41" t="inlineStr">
        <is>
          <t>32</t>
        </is>
      </c>
      <c r="M585" s="42" t="inlineStr">
        <is>
          <t>개인</t>
        </is>
      </c>
      <c r="N585" s="42" t="inlineStr">
        <is>
          <t>개인</t>
        </is>
      </c>
      <c r="O585" s="41" t="inlineStr">
        <is>
          <t>2021</t>
        </is>
      </c>
      <c r="P585" s="42" t="inlineStr">
        <is>
          <t>효령로 391</t>
        </is>
      </c>
      <c r="Q585" s="41" t="inlineStr">
        <is>
          <t>-</t>
        </is>
      </c>
      <c r="R585" s="42" t="inlineStr">
        <is>
          <t>직거래</t>
        </is>
      </c>
      <c r="S585" s="41" t="inlineStr">
        <is>
          <t>-</t>
        </is>
      </c>
      <c r="T585" s="41" t="inlineStr">
        <is>
          <t>25.05.30</t>
        </is>
      </c>
      <c r="U585" s="42" t="inlineStr">
        <is>
          <t>아파트</t>
        </is>
      </c>
    </row>
    <row r="586" hidden="1" ht="15" customHeight="1">
      <c r="A586" s="41" t="n">
        <v>53</v>
      </c>
      <c r="B586" s="42" t="inlineStr">
        <is>
          <t>서울특별시 서초구 서초동</t>
        </is>
      </c>
      <c r="C586" s="41" t="inlineStr">
        <is>
          <t>1327-29</t>
        </is>
      </c>
      <c r="D586" s="41" t="inlineStr">
        <is>
          <t>1327</t>
        </is>
      </c>
      <c r="E586" s="41" t="inlineStr">
        <is>
          <t>0029</t>
        </is>
      </c>
      <c r="F586" s="42" t="inlineStr">
        <is>
          <t>서초파라곤</t>
        </is>
      </c>
      <c r="G586" s="41" t="inlineStr">
        <is>
          <t>84.9800</t>
        </is>
      </c>
      <c r="H586" s="41" t="inlineStr">
        <is>
          <t>202503</t>
        </is>
      </c>
      <c r="I586" s="41" t="inlineStr">
        <is>
          <t>21</t>
        </is>
      </c>
      <c r="J586" s="41" t="inlineStr">
        <is>
          <t>120,000</t>
        </is>
      </c>
      <c r="K586" s="42" t="inlineStr">
        <is>
          <t>케이티파라곤</t>
        </is>
      </c>
      <c r="L586" s="41" t="inlineStr">
        <is>
          <t>12</t>
        </is>
      </c>
      <c r="M586" s="42" t="inlineStr">
        <is>
          <t>개인</t>
        </is>
      </c>
      <c r="N586" s="42" t="inlineStr">
        <is>
          <t>개인</t>
        </is>
      </c>
      <c r="O586" s="41" t="inlineStr">
        <is>
          <t>2005</t>
        </is>
      </c>
      <c r="P586" s="42" t="inlineStr">
        <is>
          <t>서초대로74길 29</t>
        </is>
      </c>
      <c r="Q586" s="41" t="inlineStr">
        <is>
          <t>-</t>
        </is>
      </c>
      <c r="R586" s="42" t="inlineStr">
        <is>
          <t>중개거래</t>
        </is>
      </c>
      <c r="S586" s="42" t="inlineStr">
        <is>
          <t>서울 강남구, 서울 서초구</t>
        </is>
      </c>
      <c r="T586" s="41" t="inlineStr">
        <is>
          <t>25.06.16</t>
        </is>
      </c>
      <c r="U586" s="42" t="inlineStr">
        <is>
          <t>아파트</t>
        </is>
      </c>
    </row>
    <row r="587" hidden="1" ht="15" customHeight="1">
      <c r="A587" s="41" t="n">
        <v>54</v>
      </c>
      <c r="B587" s="42" t="inlineStr">
        <is>
          <t>서울특별시 서초구 서초동</t>
        </is>
      </c>
      <c r="C587" s="41" t="inlineStr">
        <is>
          <t>1754</t>
        </is>
      </c>
      <c r="D587" s="41" t="inlineStr">
        <is>
          <t>1754</t>
        </is>
      </c>
      <c r="E587" s="41" t="inlineStr">
        <is>
          <t>0000</t>
        </is>
      </c>
      <c r="F587" s="42" t="inlineStr">
        <is>
          <t>래미안서초에스티지S</t>
        </is>
      </c>
      <c r="G587" s="41" t="inlineStr">
        <is>
          <t>84.8000</t>
        </is>
      </c>
      <c r="H587" s="41" t="inlineStr">
        <is>
          <t>202503</t>
        </is>
      </c>
      <c r="I587" s="41" t="inlineStr">
        <is>
          <t>21</t>
        </is>
      </c>
      <c r="J587" s="41" t="inlineStr">
        <is>
          <t>305,000</t>
        </is>
      </c>
      <c r="K587" s="41" t="inlineStr">
        <is>
          <t>204</t>
        </is>
      </c>
      <c r="L587" s="41" t="inlineStr">
        <is>
          <t>7</t>
        </is>
      </c>
      <c r="M587" s="42" t="inlineStr">
        <is>
          <t>개인</t>
        </is>
      </c>
      <c r="N587" s="42" t="inlineStr">
        <is>
          <t>개인</t>
        </is>
      </c>
      <c r="O587" s="41" t="inlineStr">
        <is>
          <t>2018</t>
        </is>
      </c>
      <c r="P587" s="42" t="inlineStr">
        <is>
          <t>서운로 104</t>
        </is>
      </c>
      <c r="Q587" s="41" t="inlineStr">
        <is>
          <t>-</t>
        </is>
      </c>
      <c r="R587" s="42" t="inlineStr">
        <is>
          <t>중개거래</t>
        </is>
      </c>
      <c r="S587" s="42" t="inlineStr">
        <is>
          <t>서울 서초구</t>
        </is>
      </c>
      <c r="T587" s="41" t="inlineStr">
        <is>
          <t>25.05.28</t>
        </is>
      </c>
      <c r="U587" s="42" t="inlineStr">
        <is>
          <t>아파트</t>
        </is>
      </c>
    </row>
    <row r="588" hidden="1" ht="15" customHeight="1">
      <c r="A588" s="41" t="n">
        <v>55</v>
      </c>
      <c r="B588" s="42" t="inlineStr">
        <is>
          <t>서울특별시 서초구 서초동</t>
        </is>
      </c>
      <c r="C588" s="41" t="inlineStr">
        <is>
          <t>1332-13</t>
        </is>
      </c>
      <c r="D588" s="41" t="inlineStr">
        <is>
          <t>1332</t>
        </is>
      </c>
      <c r="E588" s="41" t="inlineStr">
        <is>
          <t>0013</t>
        </is>
      </c>
      <c r="F588" s="42" t="inlineStr">
        <is>
          <t>래미안서초에스티지</t>
        </is>
      </c>
      <c r="G588" s="41" t="inlineStr">
        <is>
          <t>101.5500</t>
        </is>
      </c>
      <c r="H588" s="41" t="inlineStr">
        <is>
          <t>202503</t>
        </is>
      </c>
      <c r="I588" s="41" t="inlineStr">
        <is>
          <t>21</t>
        </is>
      </c>
      <c r="J588" s="41" t="inlineStr">
        <is>
          <t>330,000</t>
        </is>
      </c>
      <c r="K588" s="41" t="inlineStr">
        <is>
          <t>103동</t>
        </is>
      </c>
      <c r="L588" s="41" t="inlineStr">
        <is>
          <t>13</t>
        </is>
      </c>
      <c r="M588" s="42" t="inlineStr">
        <is>
          <t>개인</t>
        </is>
      </c>
      <c r="N588" s="42" t="inlineStr">
        <is>
          <t>개인</t>
        </is>
      </c>
      <c r="O588" s="41" t="inlineStr">
        <is>
          <t>2016</t>
        </is>
      </c>
      <c r="P588" s="42" t="inlineStr">
        <is>
          <t>서운로 107</t>
        </is>
      </c>
      <c r="Q588" s="41" t="inlineStr">
        <is>
          <t>-</t>
        </is>
      </c>
      <c r="R588" s="42" t="inlineStr">
        <is>
          <t>중개거래</t>
        </is>
      </c>
      <c r="S588" s="42" t="inlineStr">
        <is>
          <t>서울 서초구</t>
        </is>
      </c>
      <c r="T588" s="41" t="inlineStr">
        <is>
          <t>25.07.30</t>
        </is>
      </c>
      <c r="U588" s="42" t="inlineStr">
        <is>
          <t>아파트</t>
        </is>
      </c>
    </row>
    <row r="589" hidden="1" ht="15" customHeight="1">
      <c r="A589" s="41" t="n">
        <v>56</v>
      </c>
      <c r="B589" s="42" t="inlineStr">
        <is>
          <t>서울특별시 서초구 서초동</t>
        </is>
      </c>
      <c r="C589" s="41" t="inlineStr">
        <is>
          <t>1312-3</t>
        </is>
      </c>
      <c r="D589" s="41" t="inlineStr">
        <is>
          <t>1312</t>
        </is>
      </c>
      <c r="E589" s="41" t="inlineStr">
        <is>
          <t>0003</t>
        </is>
      </c>
      <c r="F589" s="42" t="inlineStr">
        <is>
          <t>롯데캐슬클래식</t>
        </is>
      </c>
      <c r="G589" s="41" t="inlineStr">
        <is>
          <t>84.9800</t>
        </is>
      </c>
      <c r="H589" s="41" t="inlineStr">
        <is>
          <t>202503</t>
        </is>
      </c>
      <c r="I589" s="41" t="inlineStr">
        <is>
          <t>20</t>
        </is>
      </c>
      <c r="J589" s="41" t="inlineStr">
        <is>
          <t>271,000</t>
        </is>
      </c>
      <c r="K589" s="41" t="inlineStr">
        <is>
          <t>103</t>
        </is>
      </c>
      <c r="L589" s="41" t="inlineStr">
        <is>
          <t>14</t>
        </is>
      </c>
      <c r="M589" s="42" t="inlineStr">
        <is>
          <t>개인</t>
        </is>
      </c>
      <c r="N589" s="42" t="inlineStr">
        <is>
          <t>개인</t>
        </is>
      </c>
      <c r="O589" s="41" t="inlineStr">
        <is>
          <t>2006</t>
        </is>
      </c>
      <c r="P589" s="42" t="inlineStr">
        <is>
          <t>서운로 197</t>
        </is>
      </c>
      <c r="Q589" s="41" t="inlineStr">
        <is>
          <t>-</t>
        </is>
      </c>
      <c r="R589" s="42" t="inlineStr">
        <is>
          <t>중개거래</t>
        </is>
      </c>
      <c r="S589" s="42" t="inlineStr">
        <is>
          <t>서울 서초구</t>
        </is>
      </c>
      <c r="T589" s="41" t="inlineStr">
        <is>
          <t>25.07.30</t>
        </is>
      </c>
      <c r="U589" s="42" t="inlineStr">
        <is>
          <t>아파트</t>
        </is>
      </c>
    </row>
    <row r="590" hidden="1" ht="15" customHeight="1">
      <c r="A590" s="41" t="n">
        <v>57</v>
      </c>
      <c r="B590" s="42" t="inlineStr">
        <is>
          <t>서울특별시 서초구 서초동</t>
        </is>
      </c>
      <c r="C590" s="41" t="inlineStr">
        <is>
          <t>1620-20</t>
        </is>
      </c>
      <c r="D590" s="41" t="inlineStr">
        <is>
          <t>1620</t>
        </is>
      </c>
      <c r="E590" s="41" t="inlineStr">
        <is>
          <t>0020</t>
        </is>
      </c>
      <c r="F590" s="42" t="inlineStr">
        <is>
          <t>서초동롯데캐슬리버티</t>
        </is>
      </c>
      <c r="G590" s="41" t="inlineStr">
        <is>
          <t>125.7900</t>
        </is>
      </c>
      <c r="H590" s="41" t="inlineStr">
        <is>
          <t>202503</t>
        </is>
      </c>
      <c r="I590" s="41" t="inlineStr">
        <is>
          <t>20</t>
        </is>
      </c>
      <c r="J590" s="41" t="inlineStr">
        <is>
          <t>215,000</t>
        </is>
      </c>
      <c r="K590" s="41" t="inlineStr">
        <is>
          <t>101</t>
        </is>
      </c>
      <c r="L590" s="41" t="inlineStr">
        <is>
          <t>5</t>
        </is>
      </c>
      <c r="M590" s="42" t="inlineStr">
        <is>
          <t>개인</t>
        </is>
      </c>
      <c r="N590" s="42" t="inlineStr">
        <is>
          <t>개인</t>
        </is>
      </c>
      <c r="O590" s="41" t="inlineStr">
        <is>
          <t>2005</t>
        </is>
      </c>
      <c r="P590" s="42" t="inlineStr">
        <is>
          <t>사임당로10길 39</t>
        </is>
      </c>
      <c r="Q590" s="41" t="inlineStr">
        <is>
          <t>-</t>
        </is>
      </c>
      <c r="R590" s="42" t="inlineStr">
        <is>
          <t>중개거래</t>
        </is>
      </c>
      <c r="S590" s="42" t="inlineStr">
        <is>
          <t>서울 서초구</t>
        </is>
      </c>
      <c r="T590" s="41" t="inlineStr">
        <is>
          <t>25.05.30</t>
        </is>
      </c>
      <c r="U590" s="42" t="inlineStr">
        <is>
          <t>아파트</t>
        </is>
      </c>
    </row>
    <row r="591" hidden="1" ht="15" customHeight="1">
      <c r="A591" s="41" t="n">
        <v>58</v>
      </c>
      <c r="B591" s="42" t="inlineStr">
        <is>
          <t>서울특별시 서초구 서초동</t>
        </is>
      </c>
      <c r="C591" s="41" t="inlineStr">
        <is>
          <t>1346</t>
        </is>
      </c>
      <c r="D591" s="41" t="inlineStr">
        <is>
          <t>1346</t>
        </is>
      </c>
      <c r="E591" s="41" t="inlineStr">
        <is>
          <t>0000</t>
        </is>
      </c>
      <c r="F591" s="42" t="inlineStr">
        <is>
          <t>현대아파트</t>
        </is>
      </c>
      <c r="G591" s="41" t="inlineStr">
        <is>
          <t>84.3300</t>
        </is>
      </c>
      <c r="H591" s="41" t="inlineStr">
        <is>
          <t>202503</t>
        </is>
      </c>
      <c r="I591" s="41" t="inlineStr">
        <is>
          <t>20</t>
        </is>
      </c>
      <c r="J591" s="41" t="inlineStr">
        <is>
          <t>195,000</t>
        </is>
      </c>
      <c r="K591" s="41" t="inlineStr">
        <is>
          <t>20</t>
        </is>
      </c>
      <c r="L591" s="41" t="inlineStr">
        <is>
          <t>10</t>
        </is>
      </c>
      <c r="M591" s="42" t="inlineStr">
        <is>
          <t>개인</t>
        </is>
      </c>
      <c r="N591" s="42" t="inlineStr">
        <is>
          <t>개인</t>
        </is>
      </c>
      <c r="O591" s="41" t="inlineStr">
        <is>
          <t>1989</t>
        </is>
      </c>
      <c r="P591" s="42" t="inlineStr">
        <is>
          <t>효령로68길 13</t>
        </is>
      </c>
      <c r="Q591" s="41" t="inlineStr">
        <is>
          <t>-</t>
        </is>
      </c>
      <c r="R591" s="42" t="inlineStr">
        <is>
          <t>중개거래</t>
        </is>
      </c>
      <c r="S591" s="42" t="inlineStr">
        <is>
          <t>서울 서초구</t>
        </is>
      </c>
      <c r="T591" s="41" t="inlineStr">
        <is>
          <t>25.07.28</t>
        </is>
      </c>
      <c r="U591" s="42" t="inlineStr">
        <is>
          <t>아파트</t>
        </is>
      </c>
    </row>
    <row r="592" hidden="1" ht="15" customHeight="1">
      <c r="A592" s="41" t="n">
        <v>59</v>
      </c>
      <c r="B592" s="42" t="inlineStr">
        <is>
          <t>서울특별시 서초구 서초동</t>
        </is>
      </c>
      <c r="C592" s="41" t="inlineStr">
        <is>
          <t>1687</t>
        </is>
      </c>
      <c r="D592" s="41" t="inlineStr">
        <is>
          <t>1687</t>
        </is>
      </c>
      <c r="E592" s="41" t="inlineStr">
        <is>
          <t>0000</t>
        </is>
      </c>
      <c r="F592" s="42" t="inlineStr">
        <is>
          <t>유원서초</t>
        </is>
      </c>
      <c r="G592" s="41" t="inlineStr">
        <is>
          <t>84.8200</t>
        </is>
      </c>
      <c r="H592" s="41" t="inlineStr">
        <is>
          <t>202503</t>
        </is>
      </c>
      <c r="I592" s="41" t="inlineStr">
        <is>
          <t>20</t>
        </is>
      </c>
      <c r="J592" s="41" t="inlineStr">
        <is>
          <t>210,000</t>
        </is>
      </c>
      <c r="K592" s="41" t="inlineStr">
        <is>
          <t>-</t>
        </is>
      </c>
      <c r="L592" s="41" t="inlineStr">
        <is>
          <t>6</t>
        </is>
      </c>
      <c r="M592" s="42" t="inlineStr">
        <is>
          <t>개인</t>
        </is>
      </c>
      <c r="N592" s="42" t="inlineStr">
        <is>
          <t>개인</t>
        </is>
      </c>
      <c r="O592" s="41" t="inlineStr">
        <is>
          <t>1993</t>
        </is>
      </c>
      <c r="P592" s="42" t="inlineStr">
        <is>
          <t>서초중앙로24길 43</t>
        </is>
      </c>
      <c r="Q592" s="41" t="inlineStr">
        <is>
          <t>-</t>
        </is>
      </c>
      <c r="R592" s="42" t="inlineStr">
        <is>
          <t>중개거래</t>
        </is>
      </c>
      <c r="S592" s="42" t="inlineStr">
        <is>
          <t>서울 서초구</t>
        </is>
      </c>
      <c r="T592" s="41" t="inlineStr">
        <is>
          <t>-</t>
        </is>
      </c>
      <c r="U592" s="42" t="inlineStr">
        <is>
          <t>아파트</t>
        </is>
      </c>
    </row>
    <row r="593" hidden="1" ht="15" customHeight="1">
      <c r="A593" s="41" t="n">
        <v>60</v>
      </c>
      <c r="B593" s="42" t="inlineStr">
        <is>
          <t>서울특별시 서초구 서초동</t>
        </is>
      </c>
      <c r="C593" s="41" t="inlineStr">
        <is>
          <t>1319-13</t>
        </is>
      </c>
      <c r="D593" s="41" t="inlineStr">
        <is>
          <t>1319</t>
        </is>
      </c>
      <c r="E593" s="41" t="inlineStr">
        <is>
          <t>0013</t>
        </is>
      </c>
      <c r="F593" s="42" t="inlineStr">
        <is>
          <t>서초현대타워아파트</t>
        </is>
      </c>
      <c r="G593" s="41" t="inlineStr">
        <is>
          <t>178.2100</t>
        </is>
      </c>
      <c r="H593" s="41" t="inlineStr">
        <is>
          <t>202503</t>
        </is>
      </c>
      <c r="I593" s="41" t="inlineStr">
        <is>
          <t>20</t>
        </is>
      </c>
      <c r="J593" s="41" t="inlineStr">
        <is>
          <t>150,000</t>
        </is>
      </c>
      <c r="K593" s="41" t="inlineStr">
        <is>
          <t>-</t>
        </is>
      </c>
      <c r="L593" s="41" t="inlineStr">
        <is>
          <t>18</t>
        </is>
      </c>
      <c r="M593" s="42" t="inlineStr">
        <is>
          <t>개인</t>
        </is>
      </c>
      <c r="N593" s="42" t="inlineStr">
        <is>
          <t>개인</t>
        </is>
      </c>
      <c r="O593" s="41" t="inlineStr">
        <is>
          <t>1997</t>
        </is>
      </c>
      <c r="P593" s="42" t="inlineStr">
        <is>
          <t>강남대로 375</t>
        </is>
      </c>
      <c r="Q593" s="41" t="inlineStr">
        <is>
          <t>-</t>
        </is>
      </c>
      <c r="R593" s="42" t="inlineStr">
        <is>
          <t>중개거래</t>
        </is>
      </c>
      <c r="S593" s="42" t="inlineStr">
        <is>
          <t>서울 강남구</t>
        </is>
      </c>
      <c r="T593" s="41" t="inlineStr">
        <is>
          <t>25.04.16</t>
        </is>
      </c>
      <c r="U593" s="42" t="inlineStr">
        <is>
          <t>아파트</t>
        </is>
      </c>
    </row>
    <row r="594" hidden="1" ht="15" customHeight="1">
      <c r="A594" s="41" t="n">
        <v>61</v>
      </c>
      <c r="B594" s="42" t="inlineStr">
        <is>
          <t>서울특별시 서초구 서초동</t>
        </is>
      </c>
      <c r="C594" s="41" t="inlineStr">
        <is>
          <t>1509-1</t>
        </is>
      </c>
      <c r="D594" s="41" t="inlineStr">
        <is>
          <t>1509</t>
        </is>
      </c>
      <c r="E594" s="41" t="inlineStr">
        <is>
          <t>0001</t>
        </is>
      </c>
      <c r="F594" s="42" t="inlineStr">
        <is>
          <t>서초한빛삼성</t>
        </is>
      </c>
      <c r="G594" s="41" t="inlineStr">
        <is>
          <t>59.5200</t>
        </is>
      </c>
      <c r="H594" s="41" t="inlineStr">
        <is>
          <t>202503</t>
        </is>
      </c>
      <c r="I594" s="41" t="inlineStr">
        <is>
          <t>20</t>
        </is>
      </c>
      <c r="J594" s="41" t="inlineStr">
        <is>
          <t>140,000</t>
        </is>
      </c>
      <c r="K594" s="41" t="inlineStr">
        <is>
          <t>102</t>
        </is>
      </c>
      <c r="L594" s="41" t="inlineStr">
        <is>
          <t>2</t>
        </is>
      </c>
      <c r="M594" s="42" t="inlineStr">
        <is>
          <t>개인</t>
        </is>
      </c>
      <c r="N594" s="42" t="inlineStr">
        <is>
          <t>개인</t>
        </is>
      </c>
      <c r="O594" s="41" t="inlineStr">
        <is>
          <t>1999</t>
        </is>
      </c>
      <c r="P594" s="42" t="inlineStr">
        <is>
          <t>서초대로40길 72</t>
        </is>
      </c>
      <c r="Q594" s="41" t="inlineStr">
        <is>
          <t>-</t>
        </is>
      </c>
      <c r="R594" s="42" t="inlineStr">
        <is>
          <t>중개거래</t>
        </is>
      </c>
      <c r="S594" s="42" t="inlineStr">
        <is>
          <t>서울 서초구</t>
        </is>
      </c>
      <c r="T594" s="41" t="inlineStr">
        <is>
          <t>25.05.16</t>
        </is>
      </c>
      <c r="U594" s="42" t="inlineStr">
        <is>
          <t>아파트</t>
        </is>
      </c>
    </row>
    <row r="595" hidden="1" ht="15" customHeight="1">
      <c r="A595" s="41" t="n">
        <v>62</v>
      </c>
      <c r="B595" s="42" t="inlineStr">
        <is>
          <t>서울특별시 서초구 서초동</t>
        </is>
      </c>
      <c r="C595" s="41" t="inlineStr">
        <is>
          <t>1684</t>
        </is>
      </c>
      <c r="D595" s="41" t="inlineStr">
        <is>
          <t>1684</t>
        </is>
      </c>
      <c r="E595" s="41" t="inlineStr">
        <is>
          <t>0000</t>
        </is>
      </c>
      <c r="F595" s="42" t="inlineStr">
        <is>
          <t>서초4현대</t>
        </is>
      </c>
      <c r="G595" s="41" t="inlineStr">
        <is>
          <t>84.9500</t>
        </is>
      </c>
      <c r="H595" s="41" t="inlineStr">
        <is>
          <t>202503</t>
        </is>
      </c>
      <c r="I595" s="41" t="inlineStr">
        <is>
          <t>20</t>
        </is>
      </c>
      <c r="J595" s="41" t="inlineStr">
        <is>
          <t>154,000</t>
        </is>
      </c>
      <c r="K595" s="41" t="inlineStr">
        <is>
          <t>101</t>
        </is>
      </c>
      <c r="L595" s="41" t="inlineStr">
        <is>
          <t>4</t>
        </is>
      </c>
      <c r="M595" s="42" t="inlineStr">
        <is>
          <t>개인</t>
        </is>
      </c>
      <c r="N595" s="42" t="inlineStr">
        <is>
          <t>개인</t>
        </is>
      </c>
      <c r="O595" s="41" t="inlineStr">
        <is>
          <t>2000</t>
        </is>
      </c>
      <c r="P595" s="42" t="inlineStr">
        <is>
          <t>고무래로 94</t>
        </is>
      </c>
      <c r="Q595" s="41" t="inlineStr">
        <is>
          <t>-</t>
        </is>
      </c>
      <c r="R595" s="42" t="inlineStr">
        <is>
          <t>직거래</t>
        </is>
      </c>
      <c r="S595" s="41" t="inlineStr">
        <is>
          <t>-</t>
        </is>
      </c>
      <c r="T595" s="41" t="inlineStr">
        <is>
          <t>25.03.21</t>
        </is>
      </c>
      <c r="U595" s="42" t="inlineStr">
        <is>
          <t>아파트</t>
        </is>
      </c>
    </row>
    <row r="596" hidden="1" ht="15" customHeight="1">
      <c r="A596" s="41" t="n">
        <v>63</v>
      </c>
      <c r="B596" s="42" t="inlineStr">
        <is>
          <t>서울특별시 서초구 서초동</t>
        </is>
      </c>
      <c r="C596" s="41" t="inlineStr">
        <is>
          <t>1641-1</t>
        </is>
      </c>
      <c r="D596" s="41" t="inlineStr">
        <is>
          <t>1641</t>
        </is>
      </c>
      <c r="E596" s="41" t="inlineStr">
        <is>
          <t>0001</t>
        </is>
      </c>
      <c r="F596" s="42" t="inlineStr">
        <is>
          <t>서초삼성래미안</t>
        </is>
      </c>
      <c r="G596" s="41" t="inlineStr">
        <is>
          <t>84.9700</t>
        </is>
      </c>
      <c r="H596" s="41" t="inlineStr">
        <is>
          <t>202503</t>
        </is>
      </c>
      <c r="I596" s="41" t="inlineStr">
        <is>
          <t>20</t>
        </is>
      </c>
      <c r="J596" s="41" t="inlineStr">
        <is>
          <t>197,000</t>
        </is>
      </c>
      <c r="K596" s="41" t="inlineStr">
        <is>
          <t>103</t>
        </is>
      </c>
      <c r="L596" s="41" t="inlineStr">
        <is>
          <t>7</t>
        </is>
      </c>
      <c r="M596" s="42" t="inlineStr">
        <is>
          <t>개인</t>
        </is>
      </c>
      <c r="N596" s="42" t="inlineStr">
        <is>
          <t>개인</t>
        </is>
      </c>
      <c r="O596" s="41" t="inlineStr">
        <is>
          <t>2001</t>
        </is>
      </c>
      <c r="P596" s="42" t="inlineStr">
        <is>
          <t>사임당로17길 116</t>
        </is>
      </c>
      <c r="Q596" s="41" t="inlineStr">
        <is>
          <t>-</t>
        </is>
      </c>
      <c r="R596" s="42" t="inlineStr">
        <is>
          <t>중개거래</t>
        </is>
      </c>
      <c r="S596" s="42" t="inlineStr">
        <is>
          <t>서울 서초구</t>
        </is>
      </c>
      <c r="T596" s="41" t="inlineStr">
        <is>
          <t>25.07.15</t>
        </is>
      </c>
      <c r="U596" s="42" t="inlineStr">
        <is>
          <t>아파트</t>
        </is>
      </c>
    </row>
    <row r="597" hidden="1" ht="15" customHeight="1">
      <c r="A597" s="41" t="n">
        <v>64</v>
      </c>
      <c r="B597" s="42" t="inlineStr">
        <is>
          <t>서울특별시 서초구 서초동</t>
        </is>
      </c>
      <c r="C597" s="41" t="inlineStr">
        <is>
          <t>1641-1</t>
        </is>
      </c>
      <c r="D597" s="41" t="inlineStr">
        <is>
          <t>1641</t>
        </is>
      </c>
      <c r="E597" s="41" t="inlineStr">
        <is>
          <t>0001</t>
        </is>
      </c>
      <c r="F597" s="42" t="inlineStr">
        <is>
          <t>서초삼성래미안</t>
        </is>
      </c>
      <c r="G597" s="41" t="inlineStr">
        <is>
          <t>121.6600</t>
        </is>
      </c>
      <c r="H597" s="41" t="inlineStr">
        <is>
          <t>202503</t>
        </is>
      </c>
      <c r="I597" s="41" t="inlineStr">
        <is>
          <t>20</t>
        </is>
      </c>
      <c r="J597" s="41" t="inlineStr">
        <is>
          <t>241,000</t>
        </is>
      </c>
      <c r="K597" s="41" t="inlineStr">
        <is>
          <t>101</t>
        </is>
      </c>
      <c r="L597" s="41" t="inlineStr">
        <is>
          <t>11</t>
        </is>
      </c>
      <c r="M597" s="42" t="inlineStr">
        <is>
          <t>개인</t>
        </is>
      </c>
      <c r="N597" s="42" t="inlineStr">
        <is>
          <t>개인</t>
        </is>
      </c>
      <c r="O597" s="41" t="inlineStr">
        <is>
          <t>2001</t>
        </is>
      </c>
      <c r="P597" s="42" t="inlineStr">
        <is>
          <t>사임당로17길 116</t>
        </is>
      </c>
      <c r="Q597" s="41" t="inlineStr">
        <is>
          <t>-</t>
        </is>
      </c>
      <c r="R597" s="42" t="inlineStr">
        <is>
          <t>중개거래</t>
        </is>
      </c>
      <c r="S597" s="42" t="inlineStr">
        <is>
          <t>서울 서초구</t>
        </is>
      </c>
      <c r="T597" s="41" t="inlineStr">
        <is>
          <t>25.07.15</t>
        </is>
      </c>
      <c r="U597" s="42" t="inlineStr">
        <is>
          <t>아파트</t>
        </is>
      </c>
    </row>
    <row r="598" hidden="1" ht="15" customHeight="1">
      <c r="A598" s="41" t="n">
        <v>65</v>
      </c>
      <c r="B598" s="42" t="inlineStr">
        <is>
          <t>서울특별시 서초구 서초동</t>
        </is>
      </c>
      <c r="C598" s="41" t="inlineStr">
        <is>
          <t>1582-16</t>
        </is>
      </c>
      <c r="D598" s="41" t="inlineStr">
        <is>
          <t>1582</t>
        </is>
      </c>
      <c r="E598" s="41" t="inlineStr">
        <is>
          <t>0016</t>
        </is>
      </c>
      <c r="F598" s="42" t="inlineStr">
        <is>
          <t>서초아트래디앙</t>
        </is>
      </c>
      <c r="G598" s="41" t="inlineStr">
        <is>
          <t>48.5000</t>
        </is>
      </c>
      <c r="H598" s="41" t="inlineStr">
        <is>
          <t>202503</t>
        </is>
      </c>
      <c r="I598" s="41" t="inlineStr">
        <is>
          <t>20</t>
        </is>
      </c>
      <c r="J598" s="41" t="inlineStr">
        <is>
          <t>147,500</t>
        </is>
      </c>
      <c r="K598" s="41" t="inlineStr">
        <is>
          <t>-</t>
        </is>
      </c>
      <c r="L598" s="41" t="inlineStr">
        <is>
          <t>13</t>
        </is>
      </c>
      <c r="M598" s="42" t="inlineStr">
        <is>
          <t>개인</t>
        </is>
      </c>
      <c r="N598" s="42" t="inlineStr">
        <is>
          <t>법인</t>
        </is>
      </c>
      <c r="O598" s="41" t="inlineStr">
        <is>
          <t>2023</t>
        </is>
      </c>
      <c r="P598" s="42" t="inlineStr">
        <is>
          <t>반포대로18길 13-3</t>
        </is>
      </c>
      <c r="Q598" s="41" t="inlineStr">
        <is>
          <t>-</t>
        </is>
      </c>
      <c r="R598" s="42" t="inlineStr">
        <is>
          <t>직거래</t>
        </is>
      </c>
      <c r="S598" s="41" t="inlineStr">
        <is>
          <t>-</t>
        </is>
      </c>
      <c r="T598" s="41" t="inlineStr">
        <is>
          <t>25.06.24</t>
        </is>
      </c>
      <c r="U598" s="42" t="inlineStr">
        <is>
          <t>아파트</t>
        </is>
      </c>
    </row>
    <row r="599" hidden="1" ht="15" customHeight="1">
      <c r="A599" s="41" t="n">
        <v>66</v>
      </c>
      <c r="B599" s="42" t="inlineStr">
        <is>
          <t>서울특별시 서초구 서초동</t>
        </is>
      </c>
      <c r="C599" s="41" t="inlineStr">
        <is>
          <t>1312-3</t>
        </is>
      </c>
      <c r="D599" s="41" t="inlineStr">
        <is>
          <t>1312</t>
        </is>
      </c>
      <c r="E599" s="41" t="inlineStr">
        <is>
          <t>0003</t>
        </is>
      </c>
      <c r="F599" s="42" t="inlineStr">
        <is>
          <t>롯데캐슬클래식</t>
        </is>
      </c>
      <c r="G599" s="41" t="inlineStr">
        <is>
          <t>74.3000</t>
        </is>
      </c>
      <c r="H599" s="41" t="inlineStr">
        <is>
          <t>202503</t>
        </is>
      </c>
      <c r="I599" s="41" t="inlineStr">
        <is>
          <t>19</t>
        </is>
      </c>
      <c r="J599" s="41" t="inlineStr">
        <is>
          <t>210,000</t>
        </is>
      </c>
      <c r="K599" s="41" t="inlineStr">
        <is>
          <t>114</t>
        </is>
      </c>
      <c r="L599" s="41" t="inlineStr">
        <is>
          <t>14</t>
        </is>
      </c>
      <c r="M599" s="42" t="inlineStr">
        <is>
          <t>개인</t>
        </is>
      </c>
      <c r="N599" s="42" t="inlineStr">
        <is>
          <t>개인</t>
        </is>
      </c>
      <c r="O599" s="41" t="inlineStr">
        <is>
          <t>2006</t>
        </is>
      </c>
      <c r="P599" s="42" t="inlineStr">
        <is>
          <t>서운로 200</t>
        </is>
      </c>
      <c r="Q599" s="41" t="inlineStr">
        <is>
          <t>-</t>
        </is>
      </c>
      <c r="R599" s="42" t="inlineStr">
        <is>
          <t>중개거래</t>
        </is>
      </c>
      <c r="S599" s="42" t="inlineStr">
        <is>
          <t>서울 서초구</t>
        </is>
      </c>
      <c r="T599" s="41" t="inlineStr">
        <is>
          <t>25.05.23</t>
        </is>
      </c>
      <c r="U599" s="42" t="inlineStr">
        <is>
          <t>아파트</t>
        </is>
      </c>
    </row>
    <row r="600" hidden="1" ht="15" customHeight="1">
      <c r="A600" s="41" t="n">
        <v>67</v>
      </c>
      <c r="B600" s="42" t="inlineStr">
        <is>
          <t>서울특별시 서초구 서초동</t>
        </is>
      </c>
      <c r="C600" s="41" t="inlineStr">
        <is>
          <t>1607-6</t>
        </is>
      </c>
      <c r="D600" s="41" t="inlineStr">
        <is>
          <t>1607</t>
        </is>
      </c>
      <c r="E600" s="41" t="inlineStr">
        <is>
          <t>0006</t>
        </is>
      </c>
      <c r="F600" s="42" t="inlineStr">
        <is>
          <t>풍림아이원(101동)</t>
        </is>
      </c>
      <c r="G600" s="41" t="inlineStr">
        <is>
          <t>119.5600</t>
        </is>
      </c>
      <c r="H600" s="41" t="inlineStr">
        <is>
          <t>202503</t>
        </is>
      </c>
      <c r="I600" s="41" t="inlineStr">
        <is>
          <t>19</t>
        </is>
      </c>
      <c r="J600" s="41" t="inlineStr">
        <is>
          <t>160,000</t>
        </is>
      </c>
      <c r="K600" s="42" t="inlineStr">
        <is>
          <t>서초동 풍림아이원아파트</t>
        </is>
      </c>
      <c r="L600" s="41" t="inlineStr">
        <is>
          <t>3</t>
        </is>
      </c>
      <c r="M600" s="42" t="inlineStr">
        <is>
          <t>개인</t>
        </is>
      </c>
      <c r="N600" s="42" t="inlineStr">
        <is>
          <t>개인</t>
        </is>
      </c>
      <c r="O600" s="41" t="inlineStr">
        <is>
          <t>2004</t>
        </is>
      </c>
      <c r="P600" s="42" t="inlineStr">
        <is>
          <t>효령로67길 20</t>
        </is>
      </c>
      <c r="Q600" s="41" t="inlineStr">
        <is>
          <t>-</t>
        </is>
      </c>
      <c r="R600" s="42" t="inlineStr">
        <is>
          <t>중개거래</t>
        </is>
      </c>
      <c r="S600" s="42" t="inlineStr">
        <is>
          <t>서울 강남구, 서울 서초구</t>
        </is>
      </c>
      <c r="T600" s="41" t="inlineStr">
        <is>
          <t>26.04.02</t>
        </is>
      </c>
      <c r="U600" s="42" t="inlineStr">
        <is>
          <t>아파트</t>
        </is>
      </c>
    </row>
    <row r="601" hidden="1" ht="15" customHeight="1">
      <c r="A601" s="41" t="n">
        <v>68</v>
      </c>
      <c r="B601" s="42" t="inlineStr">
        <is>
          <t>서울특별시 서초구 서초동</t>
        </is>
      </c>
      <c r="C601" s="41" t="inlineStr">
        <is>
          <t>1682</t>
        </is>
      </c>
      <c r="D601" s="41" t="inlineStr">
        <is>
          <t>1682</t>
        </is>
      </c>
      <c r="E601" s="41" t="inlineStr">
        <is>
          <t>0000</t>
        </is>
      </c>
      <c r="F601" s="42" t="inlineStr">
        <is>
          <t>서초래미안</t>
        </is>
      </c>
      <c r="G601" s="41" t="inlineStr">
        <is>
          <t>127.6600</t>
        </is>
      </c>
      <c r="H601" s="41" t="inlineStr">
        <is>
          <t>202503</t>
        </is>
      </c>
      <c r="I601" s="41" t="inlineStr">
        <is>
          <t>19</t>
        </is>
      </c>
      <c r="J601" s="41" t="inlineStr">
        <is>
          <t>300,000</t>
        </is>
      </c>
      <c r="K601" s="41" t="inlineStr">
        <is>
          <t>104</t>
        </is>
      </c>
      <c r="L601" s="41" t="inlineStr">
        <is>
          <t>24</t>
        </is>
      </c>
      <c r="M601" s="42" t="inlineStr">
        <is>
          <t>개인</t>
        </is>
      </c>
      <c r="N601" s="42" t="inlineStr">
        <is>
          <t>개인</t>
        </is>
      </c>
      <c r="O601" s="41" t="inlineStr">
        <is>
          <t>2003</t>
        </is>
      </c>
      <c r="P601" s="42" t="inlineStr">
        <is>
          <t>서초대로65길 13-10</t>
        </is>
      </c>
      <c r="Q601" s="41" t="inlineStr">
        <is>
          <t>-</t>
        </is>
      </c>
      <c r="R601" s="42" t="inlineStr">
        <is>
          <t>중개거래</t>
        </is>
      </c>
      <c r="S601" s="42" t="inlineStr">
        <is>
          <t>서울 서초구</t>
        </is>
      </c>
      <c r="T601" s="41" t="inlineStr">
        <is>
          <t>26.03.31</t>
        </is>
      </c>
      <c r="U601" s="42" t="inlineStr">
        <is>
          <t>아파트</t>
        </is>
      </c>
    </row>
    <row r="602" hidden="1" ht="15" customHeight="1">
      <c r="A602" s="41" t="n">
        <v>69</v>
      </c>
      <c r="B602" s="42" t="inlineStr">
        <is>
          <t>서울특별시 서초구 서초동</t>
        </is>
      </c>
      <c r="C602" s="41" t="inlineStr">
        <is>
          <t>1346</t>
        </is>
      </c>
      <c r="D602" s="41" t="inlineStr">
        <is>
          <t>1346</t>
        </is>
      </c>
      <c r="E602" s="41" t="inlineStr">
        <is>
          <t>0000</t>
        </is>
      </c>
      <c r="F602" s="42" t="inlineStr">
        <is>
          <t>현대아파트</t>
        </is>
      </c>
      <c r="G602" s="41" t="inlineStr">
        <is>
          <t>84.3300</t>
        </is>
      </c>
      <c r="H602" s="41" t="inlineStr">
        <is>
          <t>202503</t>
        </is>
      </c>
      <c r="I602" s="41" t="inlineStr">
        <is>
          <t>19</t>
        </is>
      </c>
      <c r="J602" s="41" t="inlineStr">
        <is>
          <t>192,000</t>
        </is>
      </c>
      <c r="K602" s="41" t="inlineStr">
        <is>
          <t>20</t>
        </is>
      </c>
      <c r="L602" s="41" t="inlineStr">
        <is>
          <t>13</t>
        </is>
      </c>
      <c r="M602" s="42" t="inlineStr">
        <is>
          <t>개인</t>
        </is>
      </c>
      <c r="N602" s="42" t="inlineStr">
        <is>
          <t>개인</t>
        </is>
      </c>
      <c r="O602" s="41" t="inlineStr">
        <is>
          <t>1989</t>
        </is>
      </c>
      <c r="P602" s="42" t="inlineStr">
        <is>
          <t>효령로68길 13</t>
        </is>
      </c>
      <c r="Q602" s="41" t="inlineStr">
        <is>
          <t>-</t>
        </is>
      </c>
      <c r="R602" s="42" t="inlineStr">
        <is>
          <t>중개거래</t>
        </is>
      </c>
      <c r="S602" s="42" t="inlineStr">
        <is>
          <t>서울 강남구, 서울 서초구</t>
        </is>
      </c>
      <c r="T602" s="41" t="inlineStr">
        <is>
          <t>25.04.30</t>
        </is>
      </c>
      <c r="U602" s="42" t="inlineStr">
        <is>
          <t>아파트</t>
        </is>
      </c>
    </row>
    <row r="603" hidden="1" ht="15" customHeight="1">
      <c r="A603" s="41" t="n">
        <v>70</v>
      </c>
      <c r="B603" s="42" t="inlineStr">
        <is>
          <t>서울특별시 서초구 서초동</t>
        </is>
      </c>
      <c r="C603" s="41" t="inlineStr">
        <is>
          <t>1684</t>
        </is>
      </c>
      <c r="D603" s="41" t="inlineStr">
        <is>
          <t>1684</t>
        </is>
      </c>
      <c r="E603" s="41" t="inlineStr">
        <is>
          <t>0000</t>
        </is>
      </c>
      <c r="F603" s="42" t="inlineStr">
        <is>
          <t>서초4현대</t>
        </is>
      </c>
      <c r="G603" s="41" t="inlineStr">
        <is>
          <t>84.9600</t>
        </is>
      </c>
      <c r="H603" s="41" t="inlineStr">
        <is>
          <t>202503</t>
        </is>
      </c>
      <c r="I603" s="41" t="inlineStr">
        <is>
          <t>19</t>
        </is>
      </c>
      <c r="J603" s="41" t="inlineStr">
        <is>
          <t>197,000</t>
        </is>
      </c>
      <c r="K603" s="41" t="inlineStr">
        <is>
          <t>101</t>
        </is>
      </c>
      <c r="L603" s="41" t="inlineStr">
        <is>
          <t>1</t>
        </is>
      </c>
      <c r="M603" s="42" t="inlineStr">
        <is>
          <t>개인</t>
        </is>
      </c>
      <c r="N603" s="42" t="inlineStr">
        <is>
          <t>개인</t>
        </is>
      </c>
      <c r="O603" s="41" t="inlineStr">
        <is>
          <t>2000</t>
        </is>
      </c>
      <c r="P603" s="42" t="inlineStr">
        <is>
          <t>고무래로 94</t>
        </is>
      </c>
      <c r="Q603" s="41" t="inlineStr">
        <is>
          <t>-</t>
        </is>
      </c>
      <c r="R603" s="42" t="inlineStr">
        <is>
          <t>중개거래</t>
        </is>
      </c>
      <c r="S603" s="42" t="inlineStr">
        <is>
          <t>서울 서초구</t>
        </is>
      </c>
      <c r="T603" s="41" t="inlineStr">
        <is>
          <t>25.06.30</t>
        </is>
      </c>
      <c r="U603" s="42" t="inlineStr">
        <is>
          <t>아파트</t>
        </is>
      </c>
    </row>
    <row r="604" hidden="1" ht="15" customHeight="1">
      <c r="A604" s="41" t="n">
        <v>71</v>
      </c>
      <c r="B604" s="42" t="inlineStr">
        <is>
          <t>서울특별시 서초구 서초동</t>
        </is>
      </c>
      <c r="C604" s="41" t="inlineStr">
        <is>
          <t>1518-6</t>
        </is>
      </c>
      <c r="D604" s="41" t="inlineStr">
        <is>
          <t>1518</t>
        </is>
      </c>
      <c r="E604" s="41" t="inlineStr">
        <is>
          <t>0006</t>
        </is>
      </c>
      <c r="F604" s="42" t="inlineStr">
        <is>
          <t>서초대림빌라트</t>
        </is>
      </c>
      <c r="G604" s="41" t="inlineStr">
        <is>
          <t>206.2700</t>
        </is>
      </c>
      <c r="H604" s="41" t="inlineStr">
        <is>
          <t>202503</t>
        </is>
      </c>
      <c r="I604" s="41" t="inlineStr">
        <is>
          <t>19</t>
        </is>
      </c>
      <c r="J604" s="41" t="inlineStr">
        <is>
          <t>181,000</t>
        </is>
      </c>
      <c r="K604" s="41" t="inlineStr">
        <is>
          <t>-</t>
        </is>
      </c>
      <c r="L604" s="41" t="inlineStr">
        <is>
          <t>5</t>
        </is>
      </c>
      <c r="M604" s="42" t="inlineStr">
        <is>
          <t>개인</t>
        </is>
      </c>
      <c r="N604" s="42" t="inlineStr">
        <is>
          <t>개인</t>
        </is>
      </c>
      <c r="O604" s="41" t="inlineStr">
        <is>
          <t>2004</t>
        </is>
      </c>
      <c r="P604" s="42" t="inlineStr">
        <is>
          <t>명달로16길 17-4</t>
        </is>
      </c>
      <c r="Q604" s="41" t="inlineStr">
        <is>
          <t>-</t>
        </is>
      </c>
      <c r="R604" s="42" t="inlineStr">
        <is>
          <t>직거래</t>
        </is>
      </c>
      <c r="S604" s="41" t="inlineStr">
        <is>
          <t>-</t>
        </is>
      </c>
      <c r="T604" s="41" t="inlineStr">
        <is>
          <t>25.04.17</t>
        </is>
      </c>
      <c r="U604" s="42" t="inlineStr">
        <is>
          <t>아파트</t>
        </is>
      </c>
    </row>
    <row r="605" hidden="1" ht="15" customHeight="1">
      <c r="A605" s="41" t="n">
        <v>72</v>
      </c>
      <c r="B605" s="42" t="inlineStr">
        <is>
          <t>서울특별시 서초구 서초동</t>
        </is>
      </c>
      <c r="C605" s="41" t="inlineStr">
        <is>
          <t>1338-1</t>
        </is>
      </c>
      <c r="D605" s="41" t="inlineStr">
        <is>
          <t>1338</t>
        </is>
      </c>
      <c r="E605" s="41" t="inlineStr">
        <is>
          <t>0001</t>
        </is>
      </c>
      <c r="F605" s="42" t="inlineStr">
        <is>
          <t>풍림아이원플러스</t>
        </is>
      </c>
      <c r="G605" s="41" t="inlineStr">
        <is>
          <t>35.9030</t>
        </is>
      </c>
      <c r="H605" s="41" t="inlineStr">
        <is>
          <t>202503</t>
        </is>
      </c>
      <c r="I605" s="41" t="inlineStr">
        <is>
          <t>19</t>
        </is>
      </c>
      <c r="J605" s="41" t="inlineStr">
        <is>
          <t>36,600</t>
        </is>
      </c>
      <c r="K605" s="42" t="inlineStr">
        <is>
          <t>풍림아이원플러스</t>
        </is>
      </c>
      <c r="L605" s="41" t="inlineStr">
        <is>
          <t>11</t>
        </is>
      </c>
      <c r="M605" s="42" t="inlineStr">
        <is>
          <t>개인</t>
        </is>
      </c>
      <c r="N605" s="42" t="inlineStr">
        <is>
          <t>개인</t>
        </is>
      </c>
      <c r="O605" s="41" t="inlineStr">
        <is>
          <t>2004</t>
        </is>
      </c>
      <c r="P605" s="42" t="inlineStr">
        <is>
          <t>효령로77길 14</t>
        </is>
      </c>
      <c r="Q605" s="41" t="inlineStr">
        <is>
          <t>-</t>
        </is>
      </c>
      <c r="R605" s="42" t="inlineStr">
        <is>
          <t>중개거래</t>
        </is>
      </c>
      <c r="S605" s="42" t="inlineStr">
        <is>
          <t>서울 강남구, 서울 서초구</t>
        </is>
      </c>
      <c r="T605" s="41" t="inlineStr">
        <is>
          <t>25.04.02</t>
        </is>
      </c>
      <c r="U605" s="42" t="inlineStr">
        <is>
          <t>아파트</t>
        </is>
      </c>
    </row>
    <row r="606" hidden="1" ht="15" customHeight="1">
      <c r="A606" s="41" t="n">
        <v>73</v>
      </c>
      <c r="B606" s="42" t="inlineStr">
        <is>
          <t>서울특별시 서초구 서초동</t>
        </is>
      </c>
      <c r="C606" s="41" t="inlineStr">
        <is>
          <t>1757</t>
        </is>
      </c>
      <c r="D606" s="41" t="inlineStr">
        <is>
          <t>1757</t>
        </is>
      </c>
      <c r="E606" s="41" t="inlineStr">
        <is>
          <t>0000</t>
        </is>
      </c>
      <c r="F606" s="42" t="inlineStr">
        <is>
          <t>서초그랑자이</t>
        </is>
      </c>
      <c r="G606" s="41" t="inlineStr">
        <is>
          <t>74.9800</t>
        </is>
      </c>
      <c r="H606" s="41" t="inlineStr">
        <is>
          <t>202503</t>
        </is>
      </c>
      <c r="I606" s="41" t="inlineStr">
        <is>
          <t>19</t>
        </is>
      </c>
      <c r="J606" s="41" t="inlineStr">
        <is>
          <t>320,000</t>
        </is>
      </c>
      <c r="K606" s="41" t="inlineStr">
        <is>
          <t>102동</t>
        </is>
      </c>
      <c r="L606" s="41" t="inlineStr">
        <is>
          <t>3</t>
        </is>
      </c>
      <c r="M606" s="42" t="inlineStr">
        <is>
          <t>개인</t>
        </is>
      </c>
      <c r="N606" s="42" t="inlineStr">
        <is>
          <t>개인</t>
        </is>
      </c>
      <c r="O606" s="41" t="inlineStr">
        <is>
          <t>2021</t>
        </is>
      </c>
      <c r="P606" s="42" t="inlineStr">
        <is>
          <t>효령로 391</t>
        </is>
      </c>
      <c r="Q606" s="41" t="inlineStr">
        <is>
          <t>-</t>
        </is>
      </c>
      <c r="R606" s="42" t="inlineStr">
        <is>
          <t>중개거래</t>
        </is>
      </c>
      <c r="S606" s="42" t="inlineStr">
        <is>
          <t>서울 서초구</t>
        </is>
      </c>
      <c r="T606" s="41" t="inlineStr">
        <is>
          <t>25.11.03</t>
        </is>
      </c>
      <c r="U606" s="42" t="inlineStr">
        <is>
          <t>아파트</t>
        </is>
      </c>
    </row>
    <row r="607" hidden="1" ht="15" customHeight="1">
      <c r="A607" s="41" t="n">
        <v>74</v>
      </c>
      <c r="B607" s="42" t="inlineStr">
        <is>
          <t>서울특별시 서초구 서초동</t>
        </is>
      </c>
      <c r="C607" s="41" t="inlineStr">
        <is>
          <t>1686-9</t>
        </is>
      </c>
      <c r="D607" s="41" t="inlineStr">
        <is>
          <t>1686</t>
        </is>
      </c>
      <c r="E607" s="41" t="inlineStr">
        <is>
          <t>0009</t>
        </is>
      </c>
      <c r="F607" s="42" t="inlineStr">
        <is>
          <t>서초교대e편한세상</t>
        </is>
      </c>
      <c r="G607" s="41" t="inlineStr">
        <is>
          <t>131.1600</t>
        </is>
      </c>
      <c r="H607" s="41" t="inlineStr">
        <is>
          <t>202503</t>
        </is>
      </c>
      <c r="I607" s="41" t="inlineStr">
        <is>
          <t>19</t>
        </is>
      </c>
      <c r="J607" s="41" t="inlineStr">
        <is>
          <t>351,000</t>
        </is>
      </c>
      <c r="K607" s="41" t="inlineStr">
        <is>
          <t>105</t>
        </is>
      </c>
      <c r="L607" s="41" t="inlineStr">
        <is>
          <t>5</t>
        </is>
      </c>
      <c r="M607" s="42" t="inlineStr">
        <is>
          <t>개인</t>
        </is>
      </c>
      <c r="N607" s="42" t="inlineStr">
        <is>
          <t>개인</t>
        </is>
      </c>
      <c r="O607" s="41" t="inlineStr">
        <is>
          <t>2010</t>
        </is>
      </c>
      <c r="P607" s="42" t="inlineStr">
        <is>
          <t>서초중앙로24길 33</t>
        </is>
      </c>
      <c r="Q607" s="41" t="inlineStr">
        <is>
          <t>-</t>
        </is>
      </c>
      <c r="R607" s="42" t="inlineStr">
        <is>
          <t>중개거래</t>
        </is>
      </c>
      <c r="S607" s="42" t="inlineStr">
        <is>
          <t>서울 강남구, 서울 서초구</t>
        </is>
      </c>
      <c r="T607" s="41" t="inlineStr">
        <is>
          <t>25.06.16</t>
        </is>
      </c>
      <c r="U607" s="42" t="inlineStr">
        <is>
          <t>아파트</t>
        </is>
      </c>
    </row>
    <row r="608" hidden="1" ht="15" customHeight="1">
      <c r="A608" s="41" t="n">
        <v>75</v>
      </c>
      <c r="B608" s="42" t="inlineStr">
        <is>
          <t>서울특별시 서초구 서초동</t>
        </is>
      </c>
      <c r="C608" s="41" t="inlineStr">
        <is>
          <t>1681-8</t>
        </is>
      </c>
      <c r="D608" s="41" t="inlineStr">
        <is>
          <t>1681</t>
        </is>
      </c>
      <c r="E608" s="41" t="inlineStr">
        <is>
          <t>0008</t>
        </is>
      </c>
      <c r="F608" s="42" t="inlineStr">
        <is>
          <t>서초롯데캐슬프레지던트</t>
        </is>
      </c>
      <c r="G608" s="41" t="inlineStr">
        <is>
          <t>84.9700</t>
        </is>
      </c>
      <c r="H608" s="41" t="inlineStr">
        <is>
          <t>202503</t>
        </is>
      </c>
      <c r="I608" s="41" t="inlineStr">
        <is>
          <t>18</t>
        </is>
      </c>
      <c r="J608" s="41" t="inlineStr">
        <is>
          <t>260,000</t>
        </is>
      </c>
      <c r="K608" s="41" t="inlineStr">
        <is>
          <t>103</t>
        </is>
      </c>
      <c r="L608" s="41" t="inlineStr">
        <is>
          <t>22</t>
        </is>
      </c>
      <c r="M608" s="42" t="inlineStr">
        <is>
          <t>개인</t>
        </is>
      </c>
      <c r="N608" s="42" t="inlineStr">
        <is>
          <t>개인</t>
        </is>
      </c>
      <c r="O608" s="41" t="inlineStr">
        <is>
          <t>2014</t>
        </is>
      </c>
      <c r="P608" s="42" t="inlineStr">
        <is>
          <t>서초중앙로24길 57</t>
        </is>
      </c>
      <c r="Q608" s="41" t="inlineStr">
        <is>
          <t>-</t>
        </is>
      </c>
      <c r="R608" s="42" t="inlineStr">
        <is>
          <t>중개거래</t>
        </is>
      </c>
      <c r="S608" s="42" t="inlineStr">
        <is>
          <t>서울 서초구</t>
        </is>
      </c>
      <c r="T608" s="41" t="inlineStr">
        <is>
          <t>25.07.15</t>
        </is>
      </c>
      <c r="U608" s="42" t="inlineStr">
        <is>
          <t>아파트</t>
        </is>
      </c>
    </row>
    <row r="609" hidden="1" ht="15" customHeight="1">
      <c r="A609" s="41" t="n">
        <v>76</v>
      </c>
      <c r="B609" s="42" t="inlineStr">
        <is>
          <t>서울특별시 서초구 서초동</t>
        </is>
      </c>
      <c r="C609" s="41" t="inlineStr">
        <is>
          <t>1338</t>
        </is>
      </c>
      <c r="D609" s="41" t="inlineStr">
        <is>
          <t>1338</t>
        </is>
      </c>
      <c r="E609" s="41" t="inlineStr">
        <is>
          <t>0000</t>
        </is>
      </c>
      <c r="F609" s="42" t="inlineStr">
        <is>
          <t>현대이에스에이아파트</t>
        </is>
      </c>
      <c r="G609" s="41" t="inlineStr">
        <is>
          <t>163.9500</t>
        </is>
      </c>
      <c r="H609" s="41" t="inlineStr">
        <is>
          <t>202503</t>
        </is>
      </c>
      <c r="I609" s="41" t="inlineStr">
        <is>
          <t>18</t>
        </is>
      </c>
      <c r="J609" s="41" t="inlineStr">
        <is>
          <t>163,500</t>
        </is>
      </c>
      <c r="K609" s="41" t="inlineStr">
        <is>
          <t>-</t>
        </is>
      </c>
      <c r="L609" s="41" t="inlineStr">
        <is>
          <t>7</t>
        </is>
      </c>
      <c r="M609" s="42" t="inlineStr">
        <is>
          <t>개인</t>
        </is>
      </c>
      <c r="N609" s="42" t="inlineStr">
        <is>
          <t>개인</t>
        </is>
      </c>
      <c r="O609" s="41" t="inlineStr">
        <is>
          <t>2002</t>
        </is>
      </c>
      <c r="P609" s="42" t="inlineStr">
        <is>
          <t>효령로77길 20</t>
        </is>
      </c>
      <c r="Q609" s="41" t="inlineStr">
        <is>
          <t>-</t>
        </is>
      </c>
      <c r="R609" s="42" t="inlineStr">
        <is>
          <t>중개거래</t>
        </is>
      </c>
      <c r="S609" s="42" t="inlineStr">
        <is>
          <t>서울 서초구</t>
        </is>
      </c>
      <c r="T609" s="41" t="inlineStr">
        <is>
          <t>25.04.25</t>
        </is>
      </c>
      <c r="U609" s="42" t="inlineStr">
        <is>
          <t>아파트</t>
        </is>
      </c>
    </row>
    <row r="610" hidden="1" ht="15" customHeight="1">
      <c r="A610" s="41" t="n">
        <v>77</v>
      </c>
      <c r="B610" s="42" t="inlineStr">
        <is>
          <t>서울특별시 서초구 서초동</t>
        </is>
      </c>
      <c r="C610" s="41" t="inlineStr">
        <is>
          <t>1685</t>
        </is>
      </c>
      <c r="D610" s="41" t="inlineStr">
        <is>
          <t>1685</t>
        </is>
      </c>
      <c r="E610" s="41" t="inlineStr">
        <is>
          <t>0000</t>
        </is>
      </c>
      <c r="F610" s="42" t="inlineStr">
        <is>
          <t>삼풍아파트</t>
        </is>
      </c>
      <c r="G610" s="41" t="inlineStr">
        <is>
          <t>79.4700</t>
        </is>
      </c>
      <c r="H610" s="41" t="inlineStr">
        <is>
          <t>202503</t>
        </is>
      </c>
      <c r="I610" s="41" t="inlineStr">
        <is>
          <t>18</t>
        </is>
      </c>
      <c r="J610" s="41" t="inlineStr">
        <is>
          <t>315,000</t>
        </is>
      </c>
      <c r="K610" s="41" t="inlineStr">
        <is>
          <t>8</t>
        </is>
      </c>
      <c r="L610" s="41" t="inlineStr">
        <is>
          <t>10</t>
        </is>
      </c>
      <c r="M610" s="42" t="inlineStr">
        <is>
          <t>개인</t>
        </is>
      </c>
      <c r="N610" s="42" t="inlineStr">
        <is>
          <t>개인</t>
        </is>
      </c>
      <c r="O610" s="41" t="inlineStr">
        <is>
          <t>1988</t>
        </is>
      </c>
      <c r="P610" s="42" t="inlineStr">
        <is>
          <t>서초중앙로 200</t>
        </is>
      </c>
      <c r="Q610" s="41" t="inlineStr">
        <is>
          <t>-</t>
        </is>
      </c>
      <c r="R610" s="42" t="inlineStr">
        <is>
          <t>중개거래</t>
        </is>
      </c>
      <c r="S610" s="42" t="inlineStr">
        <is>
          <t>서울 강남구, 서울 서초구</t>
        </is>
      </c>
      <c r="T610" s="41" t="inlineStr">
        <is>
          <t>25.07.31</t>
        </is>
      </c>
      <c r="U610" s="42" t="inlineStr">
        <is>
          <t>아파트</t>
        </is>
      </c>
    </row>
    <row r="611" hidden="1" ht="15" customHeight="1">
      <c r="A611" s="41" t="n">
        <v>78</v>
      </c>
      <c r="B611" s="42" t="inlineStr">
        <is>
          <t>서울특별시 서초구 서초동</t>
        </is>
      </c>
      <c r="C611" s="41" t="inlineStr">
        <is>
          <t>1754</t>
        </is>
      </c>
      <c r="D611" s="41" t="inlineStr">
        <is>
          <t>1754</t>
        </is>
      </c>
      <c r="E611" s="41" t="inlineStr">
        <is>
          <t>0000</t>
        </is>
      </c>
      <c r="F611" s="42" t="inlineStr">
        <is>
          <t>래미안서초에스티지S</t>
        </is>
      </c>
      <c r="G611" s="41" t="inlineStr">
        <is>
          <t>134.2700</t>
        </is>
      </c>
      <c r="H611" s="41" t="inlineStr">
        <is>
          <t>202503</t>
        </is>
      </c>
      <c r="I611" s="41" t="inlineStr">
        <is>
          <t>18</t>
        </is>
      </c>
      <c r="J611" s="41" t="inlineStr">
        <is>
          <t>430,000</t>
        </is>
      </c>
      <c r="K611" s="41" t="inlineStr">
        <is>
          <t>205</t>
        </is>
      </c>
      <c r="L611" s="41" t="inlineStr">
        <is>
          <t>3</t>
        </is>
      </c>
      <c r="M611" s="42" t="inlineStr">
        <is>
          <t>개인</t>
        </is>
      </c>
      <c r="N611" s="42" t="inlineStr">
        <is>
          <t>개인</t>
        </is>
      </c>
      <c r="O611" s="41" t="inlineStr">
        <is>
          <t>2018</t>
        </is>
      </c>
      <c r="P611" s="42" t="inlineStr">
        <is>
          <t>서운로 104</t>
        </is>
      </c>
      <c r="Q611" s="41" t="inlineStr">
        <is>
          <t>-</t>
        </is>
      </c>
      <c r="R611" s="42" t="inlineStr">
        <is>
          <t>중개거래</t>
        </is>
      </c>
      <c r="S611" s="42" t="inlineStr">
        <is>
          <t>서울 서초구</t>
        </is>
      </c>
      <c r="T611" s="41" t="inlineStr">
        <is>
          <t>25.06.24</t>
        </is>
      </c>
      <c r="U611" s="42" t="inlineStr">
        <is>
          <t>아파트</t>
        </is>
      </c>
    </row>
    <row r="612" hidden="1" ht="15" customHeight="1">
      <c r="A612" s="41" t="n">
        <v>79</v>
      </c>
      <c r="B612" s="42" t="inlineStr">
        <is>
          <t>서울특별시 서초구 서초동</t>
        </is>
      </c>
      <c r="C612" s="41" t="inlineStr">
        <is>
          <t>1337-3</t>
        </is>
      </c>
      <c r="D612" s="41" t="inlineStr">
        <is>
          <t>1337</t>
        </is>
      </c>
      <c r="E612" s="41" t="inlineStr">
        <is>
          <t>0003</t>
        </is>
      </c>
      <c r="F612" s="41" t="inlineStr">
        <is>
          <t>urbanplace</t>
        </is>
      </c>
      <c r="G612" s="41" t="inlineStr">
        <is>
          <t>20.4060</t>
        </is>
      </c>
      <c r="H612" s="41" t="inlineStr">
        <is>
          <t>202503</t>
        </is>
      </c>
      <c r="I612" s="41" t="inlineStr">
        <is>
          <t>18</t>
        </is>
      </c>
      <c r="J612" s="41" t="inlineStr">
        <is>
          <t>19,000</t>
        </is>
      </c>
      <c r="K612" s="41" t="inlineStr">
        <is>
          <t>1</t>
        </is>
      </c>
      <c r="L612" s="41" t="inlineStr">
        <is>
          <t>5</t>
        </is>
      </c>
      <c r="M612" s="42" t="inlineStr">
        <is>
          <t>개인</t>
        </is>
      </c>
      <c r="N612" s="42" t="inlineStr">
        <is>
          <t>개인</t>
        </is>
      </c>
      <c r="O612" s="41" t="inlineStr">
        <is>
          <t>2014</t>
        </is>
      </c>
      <c r="P612" s="42" t="inlineStr">
        <is>
          <t>효령로77길 30</t>
        </is>
      </c>
      <c r="Q612" s="41" t="inlineStr">
        <is>
          <t>-</t>
        </is>
      </c>
      <c r="R612" s="42" t="inlineStr">
        <is>
          <t>직거래</t>
        </is>
      </c>
      <c r="S612" s="41" t="inlineStr">
        <is>
          <t>-</t>
        </is>
      </c>
      <c r="T612" s="41" t="inlineStr">
        <is>
          <t>25.04.07</t>
        </is>
      </c>
      <c r="U612" s="42" t="inlineStr">
        <is>
          <t>아파트</t>
        </is>
      </c>
    </row>
    <row r="613" hidden="1" ht="15" customHeight="1">
      <c r="A613" s="41" t="n">
        <v>80</v>
      </c>
      <c r="B613" s="42" t="inlineStr">
        <is>
          <t>서울특별시 서초구 서초동</t>
        </is>
      </c>
      <c r="C613" s="41" t="inlineStr">
        <is>
          <t>1648-2</t>
        </is>
      </c>
      <c r="D613" s="41" t="inlineStr">
        <is>
          <t>1648</t>
        </is>
      </c>
      <c r="E613" s="41" t="inlineStr">
        <is>
          <t>0002</t>
        </is>
      </c>
      <c r="F613" s="42" t="inlineStr">
        <is>
          <t>서초현대</t>
        </is>
      </c>
      <c r="G613" s="41" t="inlineStr">
        <is>
          <t>84.7800</t>
        </is>
      </c>
      <c r="H613" s="41" t="inlineStr">
        <is>
          <t>202503</t>
        </is>
      </c>
      <c r="I613" s="41" t="inlineStr">
        <is>
          <t>17</t>
        </is>
      </c>
      <c r="J613" s="41" t="inlineStr">
        <is>
          <t>175,000</t>
        </is>
      </c>
      <c r="K613" s="41" t="inlineStr">
        <is>
          <t>101</t>
        </is>
      </c>
      <c r="L613" s="41" t="inlineStr">
        <is>
          <t>6</t>
        </is>
      </c>
      <c r="M613" s="42" t="inlineStr">
        <is>
          <t>개인</t>
        </is>
      </c>
      <c r="N613" s="42" t="inlineStr">
        <is>
          <t>개인</t>
        </is>
      </c>
      <c r="O613" s="41" t="inlineStr">
        <is>
          <t>1999</t>
        </is>
      </c>
      <c r="P613" s="42" t="inlineStr">
        <is>
          <t>사임당로19길 10</t>
        </is>
      </c>
      <c r="Q613" s="41" t="inlineStr">
        <is>
          <t>-</t>
        </is>
      </c>
      <c r="R613" s="42" t="inlineStr">
        <is>
          <t>중개거래</t>
        </is>
      </c>
      <c r="S613" s="42" t="inlineStr">
        <is>
          <t>서울 서초구</t>
        </is>
      </c>
      <c r="T613" s="41" t="inlineStr">
        <is>
          <t>25.05.30</t>
        </is>
      </c>
      <c r="U613" s="42" t="inlineStr">
        <is>
          <t>아파트</t>
        </is>
      </c>
    </row>
    <row r="614" hidden="1" ht="15" customHeight="1">
      <c r="A614" s="41" t="n">
        <v>81</v>
      </c>
      <c r="B614" s="42" t="inlineStr">
        <is>
          <t>서울특별시 서초구 서초동</t>
        </is>
      </c>
      <c r="C614" s="41" t="inlineStr">
        <is>
          <t>1506-88</t>
        </is>
      </c>
      <c r="D614" s="41" t="inlineStr">
        <is>
          <t>1506</t>
        </is>
      </c>
      <c r="E614" s="41" t="inlineStr">
        <is>
          <t>0088</t>
        </is>
      </c>
      <c r="F614" s="42" t="inlineStr">
        <is>
          <t>현대홈타운</t>
        </is>
      </c>
      <c r="G614" s="41" t="inlineStr">
        <is>
          <t>134.1900</t>
        </is>
      </c>
      <c r="H614" s="41" t="inlineStr">
        <is>
          <t>202503</t>
        </is>
      </c>
      <c r="I614" s="41" t="inlineStr">
        <is>
          <t>17</t>
        </is>
      </c>
      <c r="J614" s="41" t="inlineStr">
        <is>
          <t>209,000</t>
        </is>
      </c>
      <c r="K614" s="41" t="inlineStr">
        <is>
          <t>101</t>
        </is>
      </c>
      <c r="L614" s="41" t="inlineStr">
        <is>
          <t>6</t>
        </is>
      </c>
      <c r="M614" s="42" t="inlineStr">
        <is>
          <t>개인</t>
        </is>
      </c>
      <c r="N614" s="42" t="inlineStr">
        <is>
          <t>개인</t>
        </is>
      </c>
      <c r="O614" s="41" t="inlineStr">
        <is>
          <t>2005</t>
        </is>
      </c>
      <c r="P614" s="42" t="inlineStr">
        <is>
          <t>반포대로23길 71</t>
        </is>
      </c>
      <c r="Q614" s="41" t="inlineStr">
        <is>
          <t>-</t>
        </is>
      </c>
      <c r="R614" s="42" t="inlineStr">
        <is>
          <t>중개거래</t>
        </is>
      </c>
      <c r="S614" s="42" t="inlineStr">
        <is>
          <t>서울 동작구, 서울 서초구</t>
        </is>
      </c>
      <c r="T614" s="41" t="inlineStr">
        <is>
          <t>25.07.18</t>
        </is>
      </c>
      <c r="U614" s="42" t="inlineStr">
        <is>
          <t>아파트</t>
        </is>
      </c>
    </row>
    <row r="615" hidden="1" ht="15" customHeight="1">
      <c r="A615" s="41" t="n">
        <v>82</v>
      </c>
      <c r="B615" s="42" t="inlineStr">
        <is>
          <t>서울특별시 서초구 서초동</t>
        </is>
      </c>
      <c r="C615" s="41" t="inlineStr">
        <is>
          <t>1511-9</t>
        </is>
      </c>
      <c r="D615" s="41" t="inlineStr">
        <is>
          <t>1511</t>
        </is>
      </c>
      <c r="E615" s="41" t="inlineStr">
        <is>
          <t>0009</t>
        </is>
      </c>
      <c r="F615" s="42" t="inlineStr">
        <is>
          <t>한성</t>
        </is>
      </c>
      <c r="G615" s="41" t="inlineStr">
        <is>
          <t>94.2700</t>
        </is>
      </c>
      <c r="H615" s="41" t="inlineStr">
        <is>
          <t>202503</t>
        </is>
      </c>
      <c r="I615" s="41" t="inlineStr">
        <is>
          <t>17</t>
        </is>
      </c>
      <c r="J615" s="41" t="inlineStr">
        <is>
          <t>119,000</t>
        </is>
      </c>
      <c r="K615" s="41" t="inlineStr">
        <is>
          <t>-</t>
        </is>
      </c>
      <c r="L615" s="41" t="inlineStr">
        <is>
          <t>5</t>
        </is>
      </c>
      <c r="M615" s="42" t="inlineStr">
        <is>
          <t>개인</t>
        </is>
      </c>
      <c r="N615" s="42" t="inlineStr">
        <is>
          <t>개인</t>
        </is>
      </c>
      <c r="O615" s="41" t="inlineStr">
        <is>
          <t>2003</t>
        </is>
      </c>
      <c r="P615" s="42" t="inlineStr">
        <is>
          <t>반포대로21길 46</t>
        </is>
      </c>
      <c r="Q615" s="41" t="inlineStr">
        <is>
          <t>-</t>
        </is>
      </c>
      <c r="R615" s="42" t="inlineStr">
        <is>
          <t>중개거래</t>
        </is>
      </c>
      <c r="S615" s="42" t="inlineStr">
        <is>
          <t>서울 서초구</t>
        </is>
      </c>
      <c r="T615" s="41" t="inlineStr">
        <is>
          <t>25.06.10</t>
        </is>
      </c>
      <c r="U615" s="42" t="inlineStr">
        <is>
          <t>아파트</t>
        </is>
      </c>
    </row>
    <row r="616" hidden="1" ht="15" customHeight="1">
      <c r="A616" s="41" t="n">
        <v>83</v>
      </c>
      <c r="B616" s="42" t="inlineStr">
        <is>
          <t>서울특별시 서초구 서초동</t>
        </is>
      </c>
      <c r="C616" s="41" t="inlineStr">
        <is>
          <t>1456-2</t>
        </is>
      </c>
      <c r="D616" s="41" t="inlineStr">
        <is>
          <t>1456</t>
        </is>
      </c>
      <c r="E616" s="41" t="inlineStr">
        <is>
          <t>0002</t>
        </is>
      </c>
      <c r="F616" s="42" t="inlineStr">
        <is>
          <t>경남아너스빌201동</t>
        </is>
      </c>
      <c r="G616" s="41" t="inlineStr">
        <is>
          <t>84.9500</t>
        </is>
      </c>
      <c r="H616" s="41" t="inlineStr">
        <is>
          <t>202503</t>
        </is>
      </c>
      <c r="I616" s="41" t="inlineStr">
        <is>
          <t>17</t>
        </is>
      </c>
      <c r="J616" s="41" t="inlineStr">
        <is>
          <t>178,000</t>
        </is>
      </c>
      <c r="K616" s="41" t="inlineStr">
        <is>
          <t>201동</t>
        </is>
      </c>
      <c r="L616" s="41" t="inlineStr">
        <is>
          <t>9</t>
        </is>
      </c>
      <c r="M616" s="42" t="inlineStr">
        <is>
          <t>개인</t>
        </is>
      </c>
      <c r="N616" s="42" t="inlineStr">
        <is>
          <t>개인</t>
        </is>
      </c>
      <c r="O616" s="41" t="inlineStr">
        <is>
          <t>2006</t>
        </is>
      </c>
      <c r="P616" s="42" t="inlineStr">
        <is>
          <t>반포대로10길 42</t>
        </is>
      </c>
      <c r="Q616" s="41" t="inlineStr">
        <is>
          <t>-</t>
        </is>
      </c>
      <c r="R616" s="42" t="inlineStr">
        <is>
          <t>중개거래</t>
        </is>
      </c>
      <c r="S616" s="42" t="inlineStr">
        <is>
          <t>서울 서초구</t>
        </is>
      </c>
      <c r="T616" s="41" t="inlineStr">
        <is>
          <t>25.06.30</t>
        </is>
      </c>
      <c r="U616" s="42" t="inlineStr">
        <is>
          <t>아파트</t>
        </is>
      </c>
    </row>
    <row r="617" hidden="1" ht="15" customHeight="1">
      <c r="A617" s="41" t="n">
        <v>84</v>
      </c>
      <c r="B617" s="42" t="inlineStr">
        <is>
          <t>서울특별시 서초구 서초동</t>
        </is>
      </c>
      <c r="C617" s="41" t="inlineStr">
        <is>
          <t>1509-1</t>
        </is>
      </c>
      <c r="D617" s="41" t="inlineStr">
        <is>
          <t>1509</t>
        </is>
      </c>
      <c r="E617" s="41" t="inlineStr">
        <is>
          <t>0001</t>
        </is>
      </c>
      <c r="F617" s="42" t="inlineStr">
        <is>
          <t>서초한빛삼성</t>
        </is>
      </c>
      <c r="G617" s="41" t="inlineStr">
        <is>
          <t>59.5200</t>
        </is>
      </c>
      <c r="H617" s="41" t="inlineStr">
        <is>
          <t>202503</t>
        </is>
      </c>
      <c r="I617" s="41" t="inlineStr">
        <is>
          <t>16</t>
        </is>
      </c>
      <c r="J617" s="41" t="inlineStr">
        <is>
          <t>146,500</t>
        </is>
      </c>
      <c r="K617" s="41" t="inlineStr">
        <is>
          <t>101</t>
        </is>
      </c>
      <c r="L617" s="41" t="inlineStr">
        <is>
          <t>12</t>
        </is>
      </c>
      <c r="M617" s="42" t="inlineStr">
        <is>
          <t>개인</t>
        </is>
      </c>
      <c r="N617" s="42" t="inlineStr">
        <is>
          <t>개인</t>
        </is>
      </c>
      <c r="O617" s="41" t="inlineStr">
        <is>
          <t>1999</t>
        </is>
      </c>
      <c r="P617" s="42" t="inlineStr">
        <is>
          <t>서초대로40길 72</t>
        </is>
      </c>
      <c r="Q617" s="41" t="inlineStr">
        <is>
          <t>-</t>
        </is>
      </c>
      <c r="R617" s="42" t="inlineStr">
        <is>
          <t>중개거래</t>
        </is>
      </c>
      <c r="S617" s="42" t="inlineStr">
        <is>
          <t>서울 서초구</t>
        </is>
      </c>
      <c r="T617" s="41" t="inlineStr">
        <is>
          <t>25.04.30</t>
        </is>
      </c>
      <c r="U617" s="42" t="inlineStr">
        <is>
          <t>아파트</t>
        </is>
      </c>
    </row>
    <row r="618" hidden="1" ht="15" customHeight="1">
      <c r="A618" s="41" t="n">
        <v>85</v>
      </c>
      <c r="B618" s="42" t="inlineStr">
        <is>
          <t>서울특별시 서초구 서초동</t>
        </is>
      </c>
      <c r="C618" s="41" t="inlineStr">
        <is>
          <t>1346</t>
        </is>
      </c>
      <c r="D618" s="41" t="inlineStr">
        <is>
          <t>1346</t>
        </is>
      </c>
      <c r="E618" s="41" t="inlineStr">
        <is>
          <t>0000</t>
        </is>
      </c>
      <c r="F618" s="42" t="inlineStr">
        <is>
          <t>현대아파트</t>
        </is>
      </c>
      <c r="G618" s="41" t="inlineStr">
        <is>
          <t>62.0500</t>
        </is>
      </c>
      <c r="H618" s="41" t="inlineStr">
        <is>
          <t>202503</t>
        </is>
      </c>
      <c r="I618" s="41" t="inlineStr">
        <is>
          <t>16</t>
        </is>
      </c>
      <c r="J618" s="41" t="inlineStr">
        <is>
          <t>170,000</t>
        </is>
      </c>
      <c r="K618" s="41" t="inlineStr">
        <is>
          <t>10</t>
        </is>
      </c>
      <c r="L618" s="41" t="inlineStr">
        <is>
          <t>9</t>
        </is>
      </c>
      <c r="M618" s="42" t="inlineStr">
        <is>
          <t>개인</t>
        </is>
      </c>
      <c r="N618" s="42" t="inlineStr">
        <is>
          <t>개인</t>
        </is>
      </c>
      <c r="O618" s="41" t="inlineStr">
        <is>
          <t>1989</t>
        </is>
      </c>
      <c r="P618" s="42" t="inlineStr">
        <is>
          <t>효령로72길 14</t>
        </is>
      </c>
      <c r="Q618" s="41" t="inlineStr">
        <is>
          <t>-</t>
        </is>
      </c>
      <c r="R618" s="42" t="inlineStr">
        <is>
          <t>중개거래</t>
        </is>
      </c>
      <c r="S618" s="42" t="inlineStr">
        <is>
          <t>서울 서초구</t>
        </is>
      </c>
      <c r="T618" s="41" t="inlineStr">
        <is>
          <t>25.07.08</t>
        </is>
      </c>
      <c r="U618" s="42" t="inlineStr">
        <is>
          <t>아파트</t>
        </is>
      </c>
    </row>
    <row r="619" hidden="1" ht="15" customHeight="1">
      <c r="A619" s="41" t="n">
        <v>86</v>
      </c>
      <c r="B619" s="42" t="inlineStr">
        <is>
          <t>서울특별시 서초구 서초동</t>
        </is>
      </c>
      <c r="C619" s="41" t="inlineStr">
        <is>
          <t>1311-10</t>
        </is>
      </c>
      <c r="D619" s="41" t="inlineStr">
        <is>
          <t>1311</t>
        </is>
      </c>
      <c r="E619" s="41" t="inlineStr">
        <is>
          <t>0010</t>
        </is>
      </c>
      <c r="F619" s="42" t="inlineStr">
        <is>
          <t>서초푸르지오써밋</t>
        </is>
      </c>
      <c r="G619" s="41" t="inlineStr">
        <is>
          <t>120.8600</t>
        </is>
      </c>
      <c r="H619" s="41" t="inlineStr">
        <is>
          <t>202503</t>
        </is>
      </c>
      <c r="I619" s="41" t="inlineStr">
        <is>
          <t>16</t>
        </is>
      </c>
      <c r="J619" s="41" t="inlineStr">
        <is>
          <t>385,000</t>
        </is>
      </c>
      <c r="K619" s="41" t="inlineStr">
        <is>
          <t>202</t>
        </is>
      </c>
      <c r="L619" s="41" t="inlineStr">
        <is>
          <t>18</t>
        </is>
      </c>
      <c r="M619" s="42" t="inlineStr">
        <is>
          <t>개인</t>
        </is>
      </c>
      <c r="N619" s="42" t="inlineStr">
        <is>
          <t>개인</t>
        </is>
      </c>
      <c r="O619" s="41" t="inlineStr">
        <is>
          <t>2017</t>
        </is>
      </c>
      <c r="P619" s="42" t="inlineStr">
        <is>
          <t>서운로 212</t>
        </is>
      </c>
      <c r="Q619" s="41" t="inlineStr">
        <is>
          <t>-</t>
        </is>
      </c>
      <c r="R619" s="42" t="inlineStr">
        <is>
          <t>중개거래</t>
        </is>
      </c>
      <c r="S619" s="42" t="inlineStr">
        <is>
          <t>서울 서초구</t>
        </is>
      </c>
      <c r="T619" s="41" t="inlineStr">
        <is>
          <t>25.06.05</t>
        </is>
      </c>
      <c r="U619" s="42" t="inlineStr">
        <is>
          <t>아파트</t>
        </is>
      </c>
    </row>
    <row r="620" hidden="1" ht="15" customHeight="1">
      <c r="A620" s="41" t="n">
        <v>87</v>
      </c>
      <c r="B620" s="42" t="inlineStr">
        <is>
          <t>서울특별시 서초구 서초동</t>
        </is>
      </c>
      <c r="C620" s="41" t="inlineStr">
        <is>
          <t>1755</t>
        </is>
      </c>
      <c r="D620" s="41" t="inlineStr">
        <is>
          <t>1755</t>
        </is>
      </c>
      <c r="E620" s="41" t="inlineStr">
        <is>
          <t>0000</t>
        </is>
      </c>
      <c r="F620" s="42" t="inlineStr">
        <is>
          <t>래미안 리더스원</t>
        </is>
      </c>
      <c r="G620" s="41" t="inlineStr">
        <is>
          <t>84.9400</t>
        </is>
      </c>
      <c r="H620" s="41" t="inlineStr">
        <is>
          <t>202503</t>
        </is>
      </c>
      <c r="I620" s="41" t="inlineStr">
        <is>
          <t>15</t>
        </is>
      </c>
      <c r="J620" s="41" t="inlineStr">
        <is>
          <t>350,000</t>
        </is>
      </c>
      <c r="K620" s="41" t="inlineStr">
        <is>
          <t>101동</t>
        </is>
      </c>
      <c r="L620" s="41" t="inlineStr">
        <is>
          <t>5</t>
        </is>
      </c>
      <c r="M620" s="42" t="inlineStr">
        <is>
          <t>개인</t>
        </is>
      </c>
      <c r="N620" s="42" t="inlineStr">
        <is>
          <t>개인</t>
        </is>
      </c>
      <c r="O620" s="41" t="inlineStr">
        <is>
          <t>2020</t>
        </is>
      </c>
      <c r="P620" s="42" t="inlineStr">
        <is>
          <t>서운로 62</t>
        </is>
      </c>
      <c r="Q620" s="41" t="inlineStr">
        <is>
          <t>-</t>
        </is>
      </c>
      <c r="R620" s="42" t="inlineStr">
        <is>
          <t>중개거래</t>
        </is>
      </c>
      <c r="S620" s="42" t="inlineStr">
        <is>
          <t>서울 강남구, 서울 서초구</t>
        </is>
      </c>
      <c r="T620" s="41" t="inlineStr">
        <is>
          <t>25.08.20</t>
        </is>
      </c>
      <c r="U620" s="42" t="inlineStr">
        <is>
          <t>아파트</t>
        </is>
      </c>
    </row>
    <row r="621" hidden="1" ht="15" customHeight="1">
      <c r="A621" s="41" t="n">
        <v>88</v>
      </c>
      <c r="B621" s="42" t="inlineStr">
        <is>
          <t>서울특별시 서초구 서초동</t>
        </is>
      </c>
      <c r="C621" s="41" t="inlineStr">
        <is>
          <t>1675-11</t>
        </is>
      </c>
      <c r="D621" s="41" t="inlineStr">
        <is>
          <t>1675</t>
        </is>
      </c>
      <c r="E621" s="41" t="inlineStr">
        <is>
          <t>0011</t>
        </is>
      </c>
      <c r="F621" s="42" t="inlineStr">
        <is>
          <t>서초대우아이빌</t>
        </is>
      </c>
      <c r="G621" s="41" t="inlineStr">
        <is>
          <t>37.7770</t>
        </is>
      </c>
      <c r="H621" s="41" t="inlineStr">
        <is>
          <t>202503</t>
        </is>
      </c>
      <c r="I621" s="41" t="inlineStr">
        <is>
          <t>15</t>
        </is>
      </c>
      <c r="J621" s="41" t="inlineStr">
        <is>
          <t>33,000</t>
        </is>
      </c>
      <c r="K621" s="42" t="inlineStr">
        <is>
          <t>서초 대우아이빌</t>
        </is>
      </c>
      <c r="L621" s="41" t="inlineStr">
        <is>
          <t>10</t>
        </is>
      </c>
      <c r="M621" s="42" t="inlineStr">
        <is>
          <t>개인</t>
        </is>
      </c>
      <c r="N621" s="42" t="inlineStr">
        <is>
          <t>개인</t>
        </is>
      </c>
      <c r="O621" s="41" t="inlineStr">
        <is>
          <t>2003</t>
        </is>
      </c>
      <c r="P621" s="42" t="inlineStr">
        <is>
          <t>서초대로58길 10</t>
        </is>
      </c>
      <c r="Q621" s="41" t="inlineStr">
        <is>
          <t>-</t>
        </is>
      </c>
      <c r="R621" s="42" t="inlineStr">
        <is>
          <t>중개거래</t>
        </is>
      </c>
      <c r="S621" s="42" t="inlineStr">
        <is>
          <t>서울 서초구</t>
        </is>
      </c>
      <c r="T621" s="41" t="inlineStr">
        <is>
          <t>25.05.16</t>
        </is>
      </c>
      <c r="U621" s="42" t="inlineStr">
        <is>
          <t>아파트</t>
        </is>
      </c>
    </row>
    <row r="622" hidden="1" ht="15" customHeight="1">
      <c r="A622" s="41" t="n">
        <v>89</v>
      </c>
      <c r="B622" s="42" t="inlineStr">
        <is>
          <t>서울특별시 서초구 서초동</t>
        </is>
      </c>
      <c r="C622" s="41" t="inlineStr">
        <is>
          <t>1682</t>
        </is>
      </c>
      <c r="D622" s="41" t="inlineStr">
        <is>
          <t>1682</t>
        </is>
      </c>
      <c r="E622" s="41" t="inlineStr">
        <is>
          <t>0000</t>
        </is>
      </c>
      <c r="F622" s="42" t="inlineStr">
        <is>
          <t>서초래미안</t>
        </is>
      </c>
      <c r="G622" s="41" t="inlineStr">
        <is>
          <t>111.3200</t>
        </is>
      </c>
      <c r="H622" s="41" t="inlineStr">
        <is>
          <t>202503</t>
        </is>
      </c>
      <c r="I622" s="41" t="inlineStr">
        <is>
          <t>15</t>
        </is>
      </c>
      <c r="J622" s="41" t="inlineStr">
        <is>
          <t>288,000</t>
        </is>
      </c>
      <c r="K622" s="41" t="inlineStr">
        <is>
          <t>108</t>
        </is>
      </c>
      <c r="L622" s="41" t="inlineStr">
        <is>
          <t>13</t>
        </is>
      </c>
      <c r="M622" s="42" t="inlineStr">
        <is>
          <t>개인</t>
        </is>
      </c>
      <c r="N622" s="42" t="inlineStr">
        <is>
          <t>개인</t>
        </is>
      </c>
      <c r="O622" s="41" t="inlineStr">
        <is>
          <t>2003</t>
        </is>
      </c>
      <c r="P622" s="42" t="inlineStr">
        <is>
          <t>서초대로65길 13-10</t>
        </is>
      </c>
      <c r="Q622" s="41" t="inlineStr">
        <is>
          <t>-</t>
        </is>
      </c>
      <c r="R622" s="42" t="inlineStr">
        <is>
          <t>중개거래</t>
        </is>
      </c>
      <c r="S622" s="42" t="inlineStr">
        <is>
          <t>서울 서초구</t>
        </is>
      </c>
      <c r="T622" s="41" t="inlineStr">
        <is>
          <t>25.06.30</t>
        </is>
      </c>
      <c r="U622" s="42" t="inlineStr">
        <is>
          <t>아파트</t>
        </is>
      </c>
    </row>
    <row r="623" hidden="1" ht="15" customHeight="1">
      <c r="A623" s="41" t="n">
        <v>90</v>
      </c>
      <c r="B623" s="42" t="inlineStr">
        <is>
          <t>서울특별시 서초구 서초동</t>
        </is>
      </c>
      <c r="C623" s="41" t="inlineStr">
        <is>
          <t>1682</t>
        </is>
      </c>
      <c r="D623" s="41" t="inlineStr">
        <is>
          <t>1682</t>
        </is>
      </c>
      <c r="E623" s="41" t="inlineStr">
        <is>
          <t>0000</t>
        </is>
      </c>
      <c r="F623" s="42" t="inlineStr">
        <is>
          <t>서초래미안</t>
        </is>
      </c>
      <c r="G623" s="41" t="inlineStr">
        <is>
          <t>111.9200</t>
        </is>
      </c>
      <c r="H623" s="41" t="inlineStr">
        <is>
          <t>202503</t>
        </is>
      </c>
      <c r="I623" s="41" t="inlineStr">
        <is>
          <t>15</t>
        </is>
      </c>
      <c r="J623" s="41" t="inlineStr">
        <is>
          <t>265,000</t>
        </is>
      </c>
      <c r="K623" s="41" t="inlineStr">
        <is>
          <t>101</t>
        </is>
      </c>
      <c r="L623" s="41" t="inlineStr">
        <is>
          <t>19</t>
        </is>
      </c>
      <c r="M623" s="42" t="inlineStr">
        <is>
          <t>개인</t>
        </is>
      </c>
      <c r="N623" s="42" t="inlineStr">
        <is>
          <t>개인</t>
        </is>
      </c>
      <c r="O623" s="41" t="inlineStr">
        <is>
          <t>2003</t>
        </is>
      </c>
      <c r="P623" s="42" t="inlineStr">
        <is>
          <t>서초대로65길 13-10</t>
        </is>
      </c>
      <c r="Q623" s="41" t="inlineStr">
        <is>
          <t>-</t>
        </is>
      </c>
      <c r="R623" s="42" t="inlineStr">
        <is>
          <t>중개거래</t>
        </is>
      </c>
      <c r="S623" s="42" t="inlineStr">
        <is>
          <t>경기 과천시, 서울 서초구</t>
        </is>
      </c>
      <c r="T623" s="41" t="inlineStr">
        <is>
          <t>25.06.30</t>
        </is>
      </c>
      <c r="U623" s="42" t="inlineStr">
        <is>
          <t>아파트</t>
        </is>
      </c>
    </row>
    <row r="624" hidden="1" ht="15" customHeight="1">
      <c r="A624" s="41" t="n">
        <v>91</v>
      </c>
      <c r="B624" s="42" t="inlineStr">
        <is>
          <t>서울특별시 서초구 서초동</t>
        </is>
      </c>
      <c r="C624" s="41" t="inlineStr">
        <is>
          <t>1682</t>
        </is>
      </c>
      <c r="D624" s="41" t="inlineStr">
        <is>
          <t>1682</t>
        </is>
      </c>
      <c r="E624" s="41" t="inlineStr">
        <is>
          <t>0000</t>
        </is>
      </c>
      <c r="F624" s="42" t="inlineStr">
        <is>
          <t>서초래미안</t>
        </is>
      </c>
      <c r="G624" s="41" t="inlineStr">
        <is>
          <t>111.9200</t>
        </is>
      </c>
      <c r="H624" s="41" t="inlineStr">
        <is>
          <t>202503</t>
        </is>
      </c>
      <c r="I624" s="41" t="inlineStr">
        <is>
          <t>15</t>
        </is>
      </c>
      <c r="J624" s="41" t="inlineStr">
        <is>
          <t>266,000</t>
        </is>
      </c>
      <c r="K624" s="41" t="inlineStr">
        <is>
          <t>101</t>
        </is>
      </c>
      <c r="L624" s="41" t="inlineStr">
        <is>
          <t>3</t>
        </is>
      </c>
      <c r="M624" s="42" t="inlineStr">
        <is>
          <t>개인</t>
        </is>
      </c>
      <c r="N624" s="42" t="inlineStr">
        <is>
          <t>개인</t>
        </is>
      </c>
      <c r="O624" s="41" t="inlineStr">
        <is>
          <t>2003</t>
        </is>
      </c>
      <c r="P624" s="42" t="inlineStr">
        <is>
          <t>서초대로65길 13-10</t>
        </is>
      </c>
      <c r="Q624" s="41" t="inlineStr">
        <is>
          <t>-</t>
        </is>
      </c>
      <c r="R624" s="42" t="inlineStr">
        <is>
          <t>중개거래</t>
        </is>
      </c>
      <c r="S624" s="42" t="inlineStr">
        <is>
          <t>서울 서초구</t>
        </is>
      </c>
      <c r="T624" s="41" t="inlineStr">
        <is>
          <t>25.06.24</t>
        </is>
      </c>
      <c r="U624" s="42" t="inlineStr">
        <is>
          <t>아파트</t>
        </is>
      </c>
    </row>
    <row r="625" hidden="1" ht="15" customHeight="1">
      <c r="A625" s="41" t="n">
        <v>92</v>
      </c>
      <c r="B625" s="42" t="inlineStr">
        <is>
          <t>서울특별시 서초구 서초동</t>
        </is>
      </c>
      <c r="C625" s="41" t="inlineStr">
        <is>
          <t>1687</t>
        </is>
      </c>
      <c r="D625" s="41" t="inlineStr">
        <is>
          <t>1687</t>
        </is>
      </c>
      <c r="E625" s="41" t="inlineStr">
        <is>
          <t>0000</t>
        </is>
      </c>
      <c r="F625" s="42" t="inlineStr">
        <is>
          <t>유원서초</t>
        </is>
      </c>
      <c r="G625" s="41" t="inlineStr">
        <is>
          <t>84.8200</t>
        </is>
      </c>
      <c r="H625" s="41" t="inlineStr">
        <is>
          <t>202503</t>
        </is>
      </c>
      <c r="I625" s="41" t="inlineStr">
        <is>
          <t>15</t>
        </is>
      </c>
      <c r="J625" s="41" t="inlineStr">
        <is>
          <t>203,000</t>
        </is>
      </c>
      <c r="K625" s="41" t="inlineStr">
        <is>
          <t>102</t>
        </is>
      </c>
      <c r="L625" s="41" t="inlineStr">
        <is>
          <t>2</t>
        </is>
      </c>
      <c r="M625" s="42" t="inlineStr">
        <is>
          <t>개인</t>
        </is>
      </c>
      <c r="N625" s="42" t="inlineStr">
        <is>
          <t>개인</t>
        </is>
      </c>
      <c r="O625" s="41" t="inlineStr">
        <is>
          <t>1993</t>
        </is>
      </c>
      <c r="P625" s="42" t="inlineStr">
        <is>
          <t>서초중앙로24길 43</t>
        </is>
      </c>
      <c r="Q625" s="41" t="inlineStr">
        <is>
          <t>-</t>
        </is>
      </c>
      <c r="R625" s="42" t="inlineStr">
        <is>
          <t>중개거래</t>
        </is>
      </c>
      <c r="S625" s="42" t="inlineStr">
        <is>
          <t>서울 서초구, 서울 용산구</t>
        </is>
      </c>
      <c r="T625" s="41" t="inlineStr">
        <is>
          <t>25.05.09</t>
        </is>
      </c>
      <c r="U625" s="42" t="inlineStr">
        <is>
          <t>아파트</t>
        </is>
      </c>
    </row>
    <row r="626" hidden="1" ht="15" customHeight="1">
      <c r="A626" s="41" t="n">
        <v>93</v>
      </c>
      <c r="B626" s="42" t="inlineStr">
        <is>
          <t>서울특별시 서초구 서초동</t>
        </is>
      </c>
      <c r="C626" s="41" t="inlineStr">
        <is>
          <t>1641-1</t>
        </is>
      </c>
      <c r="D626" s="41" t="inlineStr">
        <is>
          <t>1641</t>
        </is>
      </c>
      <c r="E626" s="41" t="inlineStr">
        <is>
          <t>0001</t>
        </is>
      </c>
      <c r="F626" s="42" t="inlineStr">
        <is>
          <t>서초삼성래미안</t>
        </is>
      </c>
      <c r="G626" s="41" t="inlineStr">
        <is>
          <t>84.9700</t>
        </is>
      </c>
      <c r="H626" s="41" t="inlineStr">
        <is>
          <t>202503</t>
        </is>
      </c>
      <c r="I626" s="41" t="inlineStr">
        <is>
          <t>15</t>
        </is>
      </c>
      <c r="J626" s="41" t="inlineStr">
        <is>
          <t>193,000</t>
        </is>
      </c>
      <c r="K626" s="41" t="inlineStr">
        <is>
          <t>101</t>
        </is>
      </c>
      <c r="L626" s="41" t="inlineStr">
        <is>
          <t>4</t>
        </is>
      </c>
      <c r="M626" s="42" t="inlineStr">
        <is>
          <t>개인</t>
        </is>
      </c>
      <c r="N626" s="42" t="inlineStr">
        <is>
          <t>개인</t>
        </is>
      </c>
      <c r="O626" s="41" t="inlineStr">
        <is>
          <t>2001</t>
        </is>
      </c>
      <c r="P626" s="42" t="inlineStr">
        <is>
          <t>사임당로17길 116</t>
        </is>
      </c>
      <c r="Q626" s="41" t="inlineStr">
        <is>
          <t>-</t>
        </is>
      </c>
      <c r="R626" s="42" t="inlineStr">
        <is>
          <t>중개거래</t>
        </is>
      </c>
      <c r="S626" s="42" t="inlineStr">
        <is>
          <t>서울 서초구</t>
        </is>
      </c>
      <c r="T626" s="41" t="inlineStr">
        <is>
          <t>25.07.21</t>
        </is>
      </c>
      <c r="U626" s="42" t="inlineStr">
        <is>
          <t>아파트</t>
        </is>
      </c>
    </row>
    <row r="627" hidden="1" ht="15" customHeight="1">
      <c r="A627" s="41" t="n">
        <v>94</v>
      </c>
      <c r="B627" s="42" t="inlineStr">
        <is>
          <t>서울특별시 서초구 서초동</t>
        </is>
      </c>
      <c r="C627" s="41" t="inlineStr">
        <is>
          <t>1685-3</t>
        </is>
      </c>
      <c r="D627" s="41" t="inlineStr">
        <is>
          <t>1685</t>
        </is>
      </c>
      <c r="E627" s="41" t="inlineStr">
        <is>
          <t>0003</t>
        </is>
      </c>
      <c r="F627" s="42" t="inlineStr">
        <is>
          <t>아크로비스타</t>
        </is>
      </c>
      <c r="G627" s="41" t="inlineStr">
        <is>
          <t>138.9600</t>
        </is>
      </c>
      <c r="H627" s="41" t="inlineStr">
        <is>
          <t>202503</t>
        </is>
      </c>
      <c r="I627" s="41" t="inlineStr">
        <is>
          <t>15</t>
        </is>
      </c>
      <c r="J627" s="41" t="inlineStr">
        <is>
          <t>290,000</t>
        </is>
      </c>
      <c r="K627" s="41" t="inlineStr">
        <is>
          <t>C</t>
        </is>
      </c>
      <c r="L627" s="41" t="inlineStr">
        <is>
          <t>6</t>
        </is>
      </c>
      <c r="M627" s="42" t="inlineStr">
        <is>
          <t>개인</t>
        </is>
      </c>
      <c r="N627" s="42" t="inlineStr">
        <is>
          <t>개인</t>
        </is>
      </c>
      <c r="O627" s="41" t="inlineStr">
        <is>
          <t>2004</t>
        </is>
      </c>
      <c r="P627" s="42" t="inlineStr">
        <is>
          <t>서초중앙로 188</t>
        </is>
      </c>
      <c r="Q627" s="41" t="inlineStr">
        <is>
          <t>-</t>
        </is>
      </c>
      <c r="R627" s="42" t="inlineStr">
        <is>
          <t>중개거래</t>
        </is>
      </c>
      <c r="S627" s="42" t="inlineStr">
        <is>
          <t>서울 서초구</t>
        </is>
      </c>
      <c r="T627" s="41" t="inlineStr">
        <is>
          <t>25.05.30</t>
        </is>
      </c>
      <c r="U627" s="42" t="inlineStr">
        <is>
          <t>아파트</t>
        </is>
      </c>
    </row>
    <row r="628" hidden="1" ht="15" customHeight="1">
      <c r="A628" s="41" t="n">
        <v>95</v>
      </c>
      <c r="B628" s="42" t="inlineStr">
        <is>
          <t>서울특별시 서초구 서초동</t>
        </is>
      </c>
      <c r="C628" s="41" t="inlineStr">
        <is>
          <t>1755</t>
        </is>
      </c>
      <c r="D628" s="41" t="inlineStr">
        <is>
          <t>1755</t>
        </is>
      </c>
      <c r="E628" s="41" t="inlineStr">
        <is>
          <t>0000</t>
        </is>
      </c>
      <c r="F628" s="42" t="inlineStr">
        <is>
          <t>래미안 리더스원</t>
        </is>
      </c>
      <c r="G628" s="41" t="inlineStr">
        <is>
          <t>59.9700</t>
        </is>
      </c>
      <c r="H628" s="41" t="inlineStr">
        <is>
          <t>202503</t>
        </is>
      </c>
      <c r="I628" s="41" t="inlineStr">
        <is>
          <t>15</t>
        </is>
      </c>
      <c r="J628" s="41" t="inlineStr">
        <is>
          <t>288,000</t>
        </is>
      </c>
      <c r="K628" s="41" t="inlineStr">
        <is>
          <t>106동</t>
        </is>
      </c>
      <c r="L628" s="41" t="inlineStr">
        <is>
          <t>23</t>
        </is>
      </c>
      <c r="M628" s="42" t="inlineStr">
        <is>
          <t>개인</t>
        </is>
      </c>
      <c r="N628" s="42" t="inlineStr">
        <is>
          <t>개인</t>
        </is>
      </c>
      <c r="O628" s="41" t="inlineStr">
        <is>
          <t>2020</t>
        </is>
      </c>
      <c r="P628" s="42" t="inlineStr">
        <is>
          <t>서운로 62</t>
        </is>
      </c>
      <c r="Q628" s="41" t="inlineStr">
        <is>
          <t>-</t>
        </is>
      </c>
      <c r="R628" s="42" t="inlineStr">
        <is>
          <t>중개거래</t>
        </is>
      </c>
      <c r="S628" s="42" t="inlineStr">
        <is>
          <t>서울 서초구</t>
        </is>
      </c>
      <c r="T628" s="41" t="inlineStr">
        <is>
          <t>25.05.30</t>
        </is>
      </c>
      <c r="U628" s="42" t="inlineStr">
        <is>
          <t>아파트</t>
        </is>
      </c>
    </row>
    <row r="629" hidden="1" ht="15" customHeight="1">
      <c r="A629" s="41" t="n">
        <v>96</v>
      </c>
      <c r="B629" s="42" t="inlineStr">
        <is>
          <t>서울특별시 서초구 서초동</t>
        </is>
      </c>
      <c r="C629" s="41" t="inlineStr">
        <is>
          <t>1681-8</t>
        </is>
      </c>
      <c r="D629" s="41" t="inlineStr">
        <is>
          <t>1681</t>
        </is>
      </c>
      <c r="E629" s="41" t="inlineStr">
        <is>
          <t>0008</t>
        </is>
      </c>
      <c r="F629" s="42" t="inlineStr">
        <is>
          <t>서초롯데캐슬프레지던트</t>
        </is>
      </c>
      <c r="G629" s="41" t="inlineStr">
        <is>
          <t>84.9700</t>
        </is>
      </c>
      <c r="H629" s="41" t="inlineStr">
        <is>
          <t>202503</t>
        </is>
      </c>
      <c r="I629" s="41" t="inlineStr">
        <is>
          <t>15</t>
        </is>
      </c>
      <c r="J629" s="41" t="inlineStr">
        <is>
          <t>265,000</t>
        </is>
      </c>
      <c r="K629" s="41" t="inlineStr">
        <is>
          <t>103</t>
        </is>
      </c>
      <c r="L629" s="41" t="inlineStr">
        <is>
          <t>5</t>
        </is>
      </c>
      <c r="M629" s="42" t="inlineStr">
        <is>
          <t>개인</t>
        </is>
      </c>
      <c r="N629" s="42" t="inlineStr">
        <is>
          <t>개인</t>
        </is>
      </c>
      <c r="O629" s="41" t="inlineStr">
        <is>
          <t>2014</t>
        </is>
      </c>
      <c r="P629" s="42" t="inlineStr">
        <is>
          <t>서초중앙로24길 57</t>
        </is>
      </c>
      <c r="Q629" s="41" t="inlineStr">
        <is>
          <t>-</t>
        </is>
      </c>
      <c r="R629" s="42" t="inlineStr">
        <is>
          <t>중개거래</t>
        </is>
      </c>
      <c r="S629" s="42" t="inlineStr">
        <is>
          <t>서울 서초구</t>
        </is>
      </c>
      <c r="T629" s="41" t="inlineStr">
        <is>
          <t>25.06.30</t>
        </is>
      </c>
      <c r="U629" s="42" t="inlineStr">
        <is>
          <t>아파트</t>
        </is>
      </c>
    </row>
    <row r="630" hidden="1" ht="15" customHeight="1">
      <c r="A630" s="41" t="n">
        <v>97</v>
      </c>
      <c r="B630" s="42" t="inlineStr">
        <is>
          <t>서울특별시 서초구 서초동</t>
        </is>
      </c>
      <c r="C630" s="41" t="inlineStr">
        <is>
          <t>1321-6</t>
        </is>
      </c>
      <c r="D630" s="41" t="inlineStr">
        <is>
          <t>1321</t>
        </is>
      </c>
      <c r="E630" s="41" t="inlineStr">
        <is>
          <t>0006</t>
        </is>
      </c>
      <c r="F630" s="42" t="inlineStr">
        <is>
          <t>서초동아타워</t>
        </is>
      </c>
      <c r="G630" s="41" t="inlineStr">
        <is>
          <t>177.2600</t>
        </is>
      </c>
      <c r="H630" s="41" t="inlineStr">
        <is>
          <t>202503</t>
        </is>
      </c>
      <c r="I630" s="41" t="inlineStr">
        <is>
          <t>14</t>
        </is>
      </c>
      <c r="J630" s="41" t="inlineStr">
        <is>
          <t>180,000</t>
        </is>
      </c>
      <c r="K630" s="41" t="inlineStr">
        <is>
          <t>-</t>
        </is>
      </c>
      <c r="L630" s="41" t="inlineStr">
        <is>
          <t>7</t>
        </is>
      </c>
      <c r="M630" s="42" t="inlineStr">
        <is>
          <t>개인</t>
        </is>
      </c>
      <c r="N630" s="42" t="inlineStr">
        <is>
          <t>개인</t>
        </is>
      </c>
      <c r="O630" s="41" t="inlineStr">
        <is>
          <t>1996</t>
        </is>
      </c>
      <c r="P630" s="42" t="inlineStr">
        <is>
          <t>서운로 138</t>
        </is>
      </c>
      <c r="Q630" s="41" t="inlineStr">
        <is>
          <t>-</t>
        </is>
      </c>
      <c r="R630" s="42" t="inlineStr">
        <is>
          <t>중개거래</t>
        </is>
      </c>
      <c r="S630" s="42" t="inlineStr">
        <is>
          <t>서울 서초구</t>
        </is>
      </c>
      <c r="T630" s="41" t="inlineStr">
        <is>
          <t>25.07.15</t>
        </is>
      </c>
      <c r="U630" s="42" t="inlineStr">
        <is>
          <t>아파트</t>
        </is>
      </c>
    </row>
    <row r="631" hidden="1" ht="15" customHeight="1">
      <c r="A631" s="41" t="n">
        <v>98</v>
      </c>
      <c r="B631" s="42" t="inlineStr">
        <is>
          <t>서울특별시 서초구 서초동</t>
        </is>
      </c>
      <c r="C631" s="41" t="inlineStr">
        <is>
          <t>1496-24</t>
        </is>
      </c>
      <c r="D631" s="41" t="inlineStr">
        <is>
          <t>1496</t>
        </is>
      </c>
      <c r="E631" s="41" t="inlineStr">
        <is>
          <t>0024</t>
        </is>
      </c>
      <c r="F631" s="42" t="inlineStr">
        <is>
          <t>트라움하우스3</t>
        </is>
      </c>
      <c r="G631" s="41" t="inlineStr">
        <is>
          <t>273.8600</t>
        </is>
      </c>
      <c r="H631" s="41" t="inlineStr">
        <is>
          <t>202503</t>
        </is>
      </c>
      <c r="I631" s="41" t="inlineStr">
        <is>
          <t>14</t>
        </is>
      </c>
      <c r="J631" s="41" t="inlineStr">
        <is>
          <t>690,000</t>
        </is>
      </c>
      <c r="K631" s="41" t="inlineStr">
        <is>
          <t>-</t>
        </is>
      </c>
      <c r="L631" s="41" t="inlineStr">
        <is>
          <t>4</t>
        </is>
      </c>
      <c r="M631" s="42" t="inlineStr">
        <is>
          <t>개인</t>
        </is>
      </c>
      <c r="N631" s="42" t="inlineStr">
        <is>
          <t>개인</t>
        </is>
      </c>
      <c r="O631" s="41" t="inlineStr">
        <is>
          <t>2002</t>
        </is>
      </c>
      <c r="P631" s="42" t="inlineStr">
        <is>
          <t>명달로 97-14</t>
        </is>
      </c>
      <c r="Q631" s="41" t="inlineStr">
        <is>
          <t>-</t>
        </is>
      </c>
      <c r="R631" s="42" t="inlineStr">
        <is>
          <t>중개거래</t>
        </is>
      </c>
      <c r="S631" s="42" t="inlineStr">
        <is>
          <t>서울 서초구, 서울 영등포구</t>
        </is>
      </c>
      <c r="T631" s="41" t="inlineStr">
        <is>
          <t>25.06.25</t>
        </is>
      </c>
      <c r="U631" s="42" t="inlineStr">
        <is>
          <t>아파트</t>
        </is>
      </c>
    </row>
    <row r="632" hidden="1" ht="15" customHeight="1">
      <c r="A632" s="41" t="n">
        <v>99</v>
      </c>
      <c r="B632" s="42" t="inlineStr">
        <is>
          <t>서울특별시 서초구 서초동</t>
        </is>
      </c>
      <c r="C632" s="41" t="inlineStr">
        <is>
          <t>1582-16</t>
        </is>
      </c>
      <c r="D632" s="41" t="inlineStr">
        <is>
          <t>1582</t>
        </is>
      </c>
      <c r="E632" s="41" t="inlineStr">
        <is>
          <t>0016</t>
        </is>
      </c>
      <c r="F632" s="42" t="inlineStr">
        <is>
          <t>서초아트래디앙</t>
        </is>
      </c>
      <c r="G632" s="41" t="inlineStr">
        <is>
          <t>56.9200</t>
        </is>
      </c>
      <c r="H632" s="41" t="inlineStr">
        <is>
          <t>202503</t>
        </is>
      </c>
      <c r="I632" s="41" t="inlineStr">
        <is>
          <t>14</t>
        </is>
      </c>
      <c r="J632" s="41" t="inlineStr">
        <is>
          <t>147,500</t>
        </is>
      </c>
      <c r="K632" s="41" t="inlineStr">
        <is>
          <t>-</t>
        </is>
      </c>
      <c r="L632" s="41" t="inlineStr">
        <is>
          <t>9</t>
        </is>
      </c>
      <c r="M632" s="42" t="inlineStr">
        <is>
          <t>개인</t>
        </is>
      </c>
      <c r="N632" s="42" t="inlineStr">
        <is>
          <t>법인</t>
        </is>
      </c>
      <c r="O632" s="41" t="inlineStr">
        <is>
          <t>2023</t>
        </is>
      </c>
      <c r="P632" s="42" t="inlineStr">
        <is>
          <t>반포대로18길 13-3</t>
        </is>
      </c>
      <c r="Q632" s="41" t="inlineStr">
        <is>
          <t>-</t>
        </is>
      </c>
      <c r="R632" s="42" t="inlineStr">
        <is>
          <t>직거래</t>
        </is>
      </c>
      <c r="S632" s="41" t="inlineStr">
        <is>
          <t>-</t>
        </is>
      </c>
      <c r="T632" s="41" t="inlineStr">
        <is>
          <t>25.04.11</t>
        </is>
      </c>
      <c r="U632" s="42" t="inlineStr">
        <is>
          <t>아파트</t>
        </is>
      </c>
    </row>
    <row r="633" hidden="1" ht="15" customHeight="1">
      <c r="A633" s="41" t="n">
        <v>100</v>
      </c>
      <c r="B633" s="42" t="inlineStr">
        <is>
          <t>서울특별시 서초구 서초동</t>
        </is>
      </c>
      <c r="C633" s="41" t="inlineStr">
        <is>
          <t>1757</t>
        </is>
      </c>
      <c r="D633" s="41" t="inlineStr">
        <is>
          <t>1757</t>
        </is>
      </c>
      <c r="E633" s="41" t="inlineStr">
        <is>
          <t>0000</t>
        </is>
      </c>
      <c r="F633" s="42" t="inlineStr">
        <is>
          <t>서초그랑자이</t>
        </is>
      </c>
      <c r="G633" s="41" t="inlineStr">
        <is>
          <t>119.4100</t>
        </is>
      </c>
      <c r="H633" s="41" t="inlineStr">
        <is>
          <t>202503</t>
        </is>
      </c>
      <c r="I633" s="41" t="inlineStr">
        <is>
          <t>14</t>
        </is>
      </c>
      <c r="J633" s="41" t="inlineStr">
        <is>
          <t>450,000</t>
        </is>
      </c>
      <c r="K633" s="41" t="inlineStr">
        <is>
          <t>-</t>
        </is>
      </c>
      <c r="L633" s="41" t="inlineStr">
        <is>
          <t>17</t>
        </is>
      </c>
      <c r="M633" s="42" t="inlineStr">
        <is>
          <t>개인</t>
        </is>
      </c>
      <c r="N633" s="42" t="inlineStr">
        <is>
          <t>개인</t>
        </is>
      </c>
      <c r="O633" s="41" t="inlineStr">
        <is>
          <t>2021</t>
        </is>
      </c>
      <c r="P633" s="42" t="inlineStr">
        <is>
          <t>효령로 391</t>
        </is>
      </c>
      <c r="Q633" s="41" t="inlineStr">
        <is>
          <t>20250703</t>
        </is>
      </c>
      <c r="R633" s="42" t="inlineStr">
        <is>
          <t>중개거래</t>
        </is>
      </c>
      <c r="S633" s="42" t="inlineStr">
        <is>
          <t>서울 서초구</t>
        </is>
      </c>
      <c r="T633" s="41" t="inlineStr">
        <is>
          <t>-</t>
        </is>
      </c>
      <c r="U633" s="42" t="inlineStr">
        <is>
          <t>아파트</t>
        </is>
      </c>
    </row>
    <row r="634" hidden="1" ht="15" customHeight="1">
      <c r="A634" s="41" t="n">
        <v>101</v>
      </c>
      <c r="B634" s="42" t="inlineStr">
        <is>
          <t>서울특별시 서초구 서초동</t>
        </is>
      </c>
      <c r="C634" s="41" t="inlineStr">
        <is>
          <t>1757</t>
        </is>
      </c>
      <c r="D634" s="41" t="inlineStr">
        <is>
          <t>1757</t>
        </is>
      </c>
      <c r="E634" s="41" t="inlineStr">
        <is>
          <t>0000</t>
        </is>
      </c>
      <c r="F634" s="42" t="inlineStr">
        <is>
          <t>서초그랑자이</t>
        </is>
      </c>
      <c r="G634" s="41" t="inlineStr">
        <is>
          <t>119.4100</t>
        </is>
      </c>
      <c r="H634" s="41" t="inlineStr">
        <is>
          <t>202503</t>
        </is>
      </c>
      <c r="I634" s="41" t="inlineStr">
        <is>
          <t>14</t>
        </is>
      </c>
      <c r="J634" s="41" t="inlineStr">
        <is>
          <t>450,000</t>
        </is>
      </c>
      <c r="K634" s="41" t="inlineStr">
        <is>
          <t>107동</t>
        </is>
      </c>
      <c r="L634" s="41" t="inlineStr">
        <is>
          <t>17</t>
        </is>
      </c>
      <c r="M634" s="42" t="inlineStr">
        <is>
          <t>개인</t>
        </is>
      </c>
      <c r="N634" s="42" t="inlineStr">
        <is>
          <t>개인</t>
        </is>
      </c>
      <c r="O634" s="41" t="inlineStr">
        <is>
          <t>2021</t>
        </is>
      </c>
      <c r="P634" s="42" t="inlineStr">
        <is>
          <t>효령로 391</t>
        </is>
      </c>
      <c r="Q634" s="41" t="inlineStr">
        <is>
          <t>-</t>
        </is>
      </c>
      <c r="R634" s="42" t="inlineStr">
        <is>
          <t>중개거래</t>
        </is>
      </c>
      <c r="S634" s="42" t="inlineStr">
        <is>
          <t>서울 서초구</t>
        </is>
      </c>
      <c r="T634" s="41" t="inlineStr">
        <is>
          <t>25.08.05</t>
        </is>
      </c>
      <c r="U634" s="42" t="inlineStr">
        <is>
          <t>아파트</t>
        </is>
      </c>
    </row>
    <row r="635" hidden="1" ht="15" customHeight="1">
      <c r="A635" s="41" t="n">
        <v>102</v>
      </c>
      <c r="B635" s="42" t="inlineStr">
        <is>
          <t>서울특별시 서초구 서초동</t>
        </is>
      </c>
      <c r="C635" s="41" t="inlineStr">
        <is>
          <t>1757</t>
        </is>
      </c>
      <c r="D635" s="41" t="inlineStr">
        <is>
          <t>1757</t>
        </is>
      </c>
      <c r="E635" s="41" t="inlineStr">
        <is>
          <t>0000</t>
        </is>
      </c>
      <c r="F635" s="42" t="inlineStr">
        <is>
          <t>서초그랑자이</t>
        </is>
      </c>
      <c r="G635" s="41" t="inlineStr">
        <is>
          <t>119.4100</t>
        </is>
      </c>
      <c r="H635" s="41" t="inlineStr">
        <is>
          <t>202503</t>
        </is>
      </c>
      <c r="I635" s="41" t="inlineStr">
        <is>
          <t>14</t>
        </is>
      </c>
      <c r="J635" s="41" t="inlineStr">
        <is>
          <t>450,000</t>
        </is>
      </c>
      <c r="K635" s="41" t="inlineStr">
        <is>
          <t>-</t>
        </is>
      </c>
      <c r="L635" s="41" t="inlineStr">
        <is>
          <t>17</t>
        </is>
      </c>
      <c r="M635" s="42" t="inlineStr">
        <is>
          <t>개인</t>
        </is>
      </c>
      <c r="N635" s="42" t="inlineStr">
        <is>
          <t>개인</t>
        </is>
      </c>
      <c r="O635" s="41" t="inlineStr">
        <is>
          <t>2021</t>
        </is>
      </c>
      <c r="P635" s="42" t="inlineStr">
        <is>
          <t>효령로 391</t>
        </is>
      </c>
      <c r="Q635" s="41" t="inlineStr">
        <is>
          <t>20250623</t>
        </is>
      </c>
      <c r="R635" s="42" t="inlineStr">
        <is>
          <t>중개거래</t>
        </is>
      </c>
      <c r="S635" s="42" t="inlineStr">
        <is>
          <t>서울 서초구</t>
        </is>
      </c>
      <c r="T635" s="41" t="inlineStr">
        <is>
          <t>-</t>
        </is>
      </c>
      <c r="U635" s="42" t="inlineStr">
        <is>
          <t>아파트</t>
        </is>
      </c>
    </row>
    <row r="636" hidden="1" ht="15" customHeight="1">
      <c r="A636" s="41" t="n">
        <v>103</v>
      </c>
      <c r="B636" s="42" t="inlineStr">
        <is>
          <t>서울특별시 서초구 서초동</t>
        </is>
      </c>
      <c r="C636" s="41" t="inlineStr">
        <is>
          <t>1312-3</t>
        </is>
      </c>
      <c r="D636" s="41" t="inlineStr">
        <is>
          <t>1312</t>
        </is>
      </c>
      <c r="E636" s="41" t="inlineStr">
        <is>
          <t>0003</t>
        </is>
      </c>
      <c r="F636" s="42" t="inlineStr">
        <is>
          <t>롯데캐슬클래식</t>
        </is>
      </c>
      <c r="G636" s="41" t="inlineStr">
        <is>
          <t>133.4500</t>
        </is>
      </c>
      <c r="H636" s="41" t="inlineStr">
        <is>
          <t>202503</t>
        </is>
      </c>
      <c r="I636" s="41" t="inlineStr">
        <is>
          <t>14</t>
        </is>
      </c>
      <c r="J636" s="41" t="inlineStr">
        <is>
          <t>334,500</t>
        </is>
      </c>
      <c r="K636" s="41" t="inlineStr">
        <is>
          <t>105</t>
        </is>
      </c>
      <c r="L636" s="41" t="inlineStr">
        <is>
          <t>17</t>
        </is>
      </c>
      <c r="M636" s="42" t="inlineStr">
        <is>
          <t>개인</t>
        </is>
      </c>
      <c r="N636" s="42" t="inlineStr">
        <is>
          <t>개인</t>
        </is>
      </c>
      <c r="O636" s="41" t="inlineStr">
        <is>
          <t>2006</t>
        </is>
      </c>
      <c r="P636" s="42" t="inlineStr">
        <is>
          <t>서운로 197</t>
        </is>
      </c>
      <c r="Q636" s="41" t="inlineStr">
        <is>
          <t>-</t>
        </is>
      </c>
      <c r="R636" s="42" t="inlineStr">
        <is>
          <t>중개거래</t>
        </is>
      </c>
      <c r="S636" s="42" t="inlineStr">
        <is>
          <t>서울 서초구</t>
        </is>
      </c>
      <c r="T636" s="41" t="inlineStr">
        <is>
          <t>25.06.30</t>
        </is>
      </c>
      <c r="U636" s="42" t="inlineStr">
        <is>
          <t>아파트</t>
        </is>
      </c>
    </row>
    <row r="637" hidden="1" ht="15" customHeight="1">
      <c r="A637" s="41" t="n">
        <v>104</v>
      </c>
      <c r="B637" s="42" t="inlineStr">
        <is>
          <t>서울특별시 서초구 서초동</t>
        </is>
      </c>
      <c r="C637" s="41" t="inlineStr">
        <is>
          <t>1420-18</t>
        </is>
      </c>
      <c r="D637" s="41" t="inlineStr">
        <is>
          <t>1420</t>
        </is>
      </c>
      <c r="E637" s="41" t="inlineStr">
        <is>
          <t>0018</t>
        </is>
      </c>
      <c r="F637" s="42" t="inlineStr">
        <is>
          <t>신원아침도시(1420)</t>
        </is>
      </c>
      <c r="G637" s="41" t="inlineStr">
        <is>
          <t>84.3400</t>
        </is>
      </c>
      <c r="H637" s="41" t="inlineStr">
        <is>
          <t>202503</t>
        </is>
      </c>
      <c r="I637" s="41" t="inlineStr">
        <is>
          <t>13</t>
        </is>
      </c>
      <c r="J637" s="41" t="inlineStr">
        <is>
          <t>152,800</t>
        </is>
      </c>
      <c r="K637" s="41" t="inlineStr">
        <is>
          <t>101</t>
        </is>
      </c>
      <c r="L637" s="41" t="inlineStr">
        <is>
          <t>7</t>
        </is>
      </c>
      <c r="M637" s="42" t="inlineStr">
        <is>
          <t>개인</t>
        </is>
      </c>
      <c r="N637" s="42" t="inlineStr">
        <is>
          <t>개인</t>
        </is>
      </c>
      <c r="O637" s="41" t="inlineStr">
        <is>
          <t>2005</t>
        </is>
      </c>
      <c r="P637" s="42" t="inlineStr">
        <is>
          <t>남부순환로337가길 52</t>
        </is>
      </c>
      <c r="Q637" s="41" t="inlineStr">
        <is>
          <t>-</t>
        </is>
      </c>
      <c r="R637" s="42" t="inlineStr">
        <is>
          <t>중개거래</t>
        </is>
      </c>
      <c r="S637" s="42" t="inlineStr">
        <is>
          <t>서울 강남구, 서울 서초구</t>
        </is>
      </c>
      <c r="T637" s="41" t="inlineStr">
        <is>
          <t>25.07.18</t>
        </is>
      </c>
      <c r="U637" s="42" t="inlineStr">
        <is>
          <t>아파트</t>
        </is>
      </c>
    </row>
    <row r="638" hidden="1" ht="15" customHeight="1">
      <c r="A638" s="41" t="n">
        <v>105</v>
      </c>
      <c r="B638" s="42" t="inlineStr">
        <is>
          <t>서울특별시 서초구 서초동</t>
        </is>
      </c>
      <c r="C638" s="41" t="inlineStr">
        <is>
          <t>1332-13</t>
        </is>
      </c>
      <c r="D638" s="41" t="inlineStr">
        <is>
          <t>1332</t>
        </is>
      </c>
      <c r="E638" s="41" t="inlineStr">
        <is>
          <t>0013</t>
        </is>
      </c>
      <c r="F638" s="42" t="inlineStr">
        <is>
          <t>래미안서초에스티지</t>
        </is>
      </c>
      <c r="G638" s="41" t="inlineStr">
        <is>
          <t>125.7900</t>
        </is>
      </c>
      <c r="H638" s="41" t="inlineStr">
        <is>
          <t>202503</t>
        </is>
      </c>
      <c r="I638" s="41" t="inlineStr">
        <is>
          <t>13</t>
        </is>
      </c>
      <c r="J638" s="41" t="inlineStr">
        <is>
          <t>360,000</t>
        </is>
      </c>
      <c r="K638" s="41" t="inlineStr">
        <is>
          <t>101동</t>
        </is>
      </c>
      <c r="L638" s="41" t="inlineStr">
        <is>
          <t>12</t>
        </is>
      </c>
      <c r="M638" s="42" t="inlineStr">
        <is>
          <t>개인</t>
        </is>
      </c>
      <c r="N638" s="42" t="inlineStr">
        <is>
          <t>개인</t>
        </is>
      </c>
      <c r="O638" s="41" t="inlineStr">
        <is>
          <t>2016</t>
        </is>
      </c>
      <c r="P638" s="42" t="inlineStr">
        <is>
          <t>서운로 107</t>
        </is>
      </c>
      <c r="Q638" s="41" t="inlineStr">
        <is>
          <t>-</t>
        </is>
      </c>
      <c r="R638" s="42" t="inlineStr">
        <is>
          <t>중개거래</t>
        </is>
      </c>
      <c r="S638" s="42" t="inlineStr">
        <is>
          <t>서울 서초구</t>
        </is>
      </c>
      <c r="T638" s="41" t="inlineStr">
        <is>
          <t>25.08.22</t>
        </is>
      </c>
      <c r="U638" s="42" t="inlineStr">
        <is>
          <t>아파트</t>
        </is>
      </c>
    </row>
    <row r="639" hidden="1" ht="15" customHeight="1">
      <c r="A639" s="41" t="n">
        <v>106</v>
      </c>
      <c r="B639" s="42" t="inlineStr">
        <is>
          <t>서울특별시 서초구 서초동</t>
        </is>
      </c>
      <c r="C639" s="41" t="inlineStr">
        <is>
          <t>1420-18</t>
        </is>
      </c>
      <c r="D639" s="41" t="inlineStr">
        <is>
          <t>1420</t>
        </is>
      </c>
      <c r="E639" s="41" t="inlineStr">
        <is>
          <t>0018</t>
        </is>
      </c>
      <c r="F639" s="42" t="inlineStr">
        <is>
          <t>신원아침도시(1420)</t>
        </is>
      </c>
      <c r="G639" s="41" t="inlineStr">
        <is>
          <t>84.3400</t>
        </is>
      </c>
      <c r="H639" s="41" t="inlineStr">
        <is>
          <t>202503</t>
        </is>
      </c>
      <c r="I639" s="41" t="inlineStr">
        <is>
          <t>13</t>
        </is>
      </c>
      <c r="J639" s="41" t="inlineStr">
        <is>
          <t>152,800</t>
        </is>
      </c>
      <c r="K639" s="41" t="inlineStr">
        <is>
          <t>101</t>
        </is>
      </c>
      <c r="L639" s="41" t="inlineStr">
        <is>
          <t>7</t>
        </is>
      </c>
      <c r="M639" s="42" t="inlineStr">
        <is>
          <t>개인</t>
        </is>
      </c>
      <c r="N639" s="42" t="inlineStr">
        <is>
          <t>개인</t>
        </is>
      </c>
      <c r="O639" s="41" t="inlineStr">
        <is>
          <t>2005</t>
        </is>
      </c>
      <c r="P639" s="42" t="inlineStr">
        <is>
          <t>남부순환로337가길 52</t>
        </is>
      </c>
      <c r="Q639" s="41" t="inlineStr">
        <is>
          <t>-</t>
        </is>
      </c>
      <c r="R639" s="42" t="inlineStr">
        <is>
          <t>중개거래</t>
        </is>
      </c>
      <c r="S639" s="42" t="inlineStr">
        <is>
          <t>서울 강남구, 서울 서초구</t>
        </is>
      </c>
      <c r="T639" s="41" t="inlineStr">
        <is>
          <t>25.07.18</t>
        </is>
      </c>
      <c r="U639" s="42" t="inlineStr">
        <is>
          <t>아파트</t>
        </is>
      </c>
    </row>
    <row r="640" hidden="1" ht="15" customHeight="1">
      <c r="A640" s="41" t="n">
        <v>107</v>
      </c>
      <c r="B640" s="42" t="inlineStr">
        <is>
          <t>서울특별시 서초구 서초동</t>
        </is>
      </c>
      <c r="C640" s="41" t="inlineStr">
        <is>
          <t>1315</t>
        </is>
      </c>
      <c r="D640" s="41" t="inlineStr">
        <is>
          <t>1315</t>
        </is>
      </c>
      <c r="E640" s="41" t="inlineStr">
        <is>
          <t>0000</t>
        </is>
      </c>
      <c r="F640" s="42" t="inlineStr">
        <is>
          <t>진흥아파트</t>
        </is>
      </c>
      <c r="G640" s="41" t="inlineStr">
        <is>
          <t>131.0400</t>
        </is>
      </c>
      <c r="H640" s="41" t="inlineStr">
        <is>
          <t>202503</t>
        </is>
      </c>
      <c r="I640" s="41" t="inlineStr">
        <is>
          <t>12</t>
        </is>
      </c>
      <c r="J640" s="41" t="inlineStr">
        <is>
          <t>305,000</t>
        </is>
      </c>
      <c r="K640" s="41" t="inlineStr">
        <is>
          <t>8</t>
        </is>
      </c>
      <c r="L640" s="41" t="inlineStr">
        <is>
          <t>5</t>
        </is>
      </c>
      <c r="M640" s="42" t="inlineStr">
        <is>
          <t>개인</t>
        </is>
      </c>
      <c r="N640" s="42" t="inlineStr">
        <is>
          <t>개인</t>
        </is>
      </c>
      <c r="O640" s="41" t="inlineStr">
        <is>
          <t>1979</t>
        </is>
      </c>
      <c r="P640" s="42" t="inlineStr">
        <is>
          <t>서초대로 385</t>
        </is>
      </c>
      <c r="Q640" s="41" t="inlineStr">
        <is>
          <t>-</t>
        </is>
      </c>
      <c r="R640" s="42" t="inlineStr">
        <is>
          <t>중개거래</t>
        </is>
      </c>
      <c r="S640" s="42" t="inlineStr">
        <is>
          <t>서울 서초구</t>
        </is>
      </c>
      <c r="T640" s="41" t="inlineStr">
        <is>
          <t>25.06.19</t>
        </is>
      </c>
      <c r="U640" s="42" t="inlineStr">
        <is>
          <t>아파트</t>
        </is>
      </c>
    </row>
    <row r="641" hidden="1" ht="15" customHeight="1">
      <c r="A641" s="41" t="n">
        <v>108</v>
      </c>
      <c r="B641" s="42" t="inlineStr">
        <is>
          <t>서울특별시 서초구 서초동</t>
        </is>
      </c>
      <c r="C641" s="41" t="inlineStr">
        <is>
          <t>1315</t>
        </is>
      </c>
      <c r="D641" s="41" t="inlineStr">
        <is>
          <t>1315</t>
        </is>
      </c>
      <c r="E641" s="41" t="inlineStr">
        <is>
          <t>0000</t>
        </is>
      </c>
      <c r="F641" s="42" t="inlineStr">
        <is>
          <t>진흥아파트</t>
        </is>
      </c>
      <c r="G641" s="41" t="inlineStr">
        <is>
          <t>131.0400</t>
        </is>
      </c>
      <c r="H641" s="41" t="inlineStr">
        <is>
          <t>202503</t>
        </is>
      </c>
      <c r="I641" s="41" t="inlineStr">
        <is>
          <t>12</t>
        </is>
      </c>
      <c r="J641" s="41" t="inlineStr">
        <is>
          <t>305,000</t>
        </is>
      </c>
      <c r="K641" s="41" t="inlineStr">
        <is>
          <t>-</t>
        </is>
      </c>
      <c r="L641" s="41" t="inlineStr">
        <is>
          <t>5</t>
        </is>
      </c>
      <c r="M641" s="42" t="inlineStr">
        <is>
          <t>개인</t>
        </is>
      </c>
      <c r="N641" s="42" t="inlineStr">
        <is>
          <t>개인</t>
        </is>
      </c>
      <c r="O641" s="41" t="inlineStr">
        <is>
          <t>1979</t>
        </is>
      </c>
      <c r="P641" s="42" t="inlineStr">
        <is>
          <t>서초대로 385</t>
        </is>
      </c>
      <c r="Q641" s="41" t="inlineStr">
        <is>
          <t>20250617</t>
        </is>
      </c>
      <c r="R641" s="42" t="inlineStr">
        <is>
          <t>중개거래</t>
        </is>
      </c>
      <c r="S641" s="42" t="inlineStr">
        <is>
          <t>서울 서초구</t>
        </is>
      </c>
      <c r="T641" s="41" t="inlineStr">
        <is>
          <t>-</t>
        </is>
      </c>
      <c r="U641" s="42" t="inlineStr">
        <is>
          <t>아파트</t>
        </is>
      </c>
    </row>
    <row r="642" hidden="1" ht="15" customHeight="1">
      <c r="A642" s="41" t="n">
        <v>109</v>
      </c>
      <c r="B642" s="42" t="inlineStr">
        <is>
          <t>서울특별시 서초구 서초동</t>
        </is>
      </c>
      <c r="C642" s="41" t="inlineStr">
        <is>
          <t>1684</t>
        </is>
      </c>
      <c r="D642" s="41" t="inlineStr">
        <is>
          <t>1684</t>
        </is>
      </c>
      <c r="E642" s="41" t="inlineStr">
        <is>
          <t>0000</t>
        </is>
      </c>
      <c r="F642" s="42" t="inlineStr">
        <is>
          <t>서초4현대</t>
        </is>
      </c>
      <c r="G642" s="41" t="inlineStr">
        <is>
          <t>84.9500</t>
        </is>
      </c>
      <c r="H642" s="41" t="inlineStr">
        <is>
          <t>202503</t>
        </is>
      </c>
      <c r="I642" s="41" t="inlineStr">
        <is>
          <t>12</t>
        </is>
      </c>
      <c r="J642" s="41" t="inlineStr">
        <is>
          <t>193,000</t>
        </is>
      </c>
      <c r="K642" s="41" t="inlineStr">
        <is>
          <t>101</t>
        </is>
      </c>
      <c r="L642" s="41" t="inlineStr">
        <is>
          <t>1</t>
        </is>
      </c>
      <c r="M642" s="42" t="inlineStr">
        <is>
          <t>개인</t>
        </is>
      </c>
      <c r="N642" s="42" t="inlineStr">
        <is>
          <t>개인</t>
        </is>
      </c>
      <c r="O642" s="41" t="inlineStr">
        <is>
          <t>2000</t>
        </is>
      </c>
      <c r="P642" s="42" t="inlineStr">
        <is>
          <t>고무래로 94</t>
        </is>
      </c>
      <c r="Q642" s="41" t="inlineStr">
        <is>
          <t>-</t>
        </is>
      </c>
      <c r="R642" s="42" t="inlineStr">
        <is>
          <t>중개거래</t>
        </is>
      </c>
      <c r="S642" s="42" t="inlineStr">
        <is>
          <t>서울 서초구</t>
        </is>
      </c>
      <c r="T642" s="41" t="inlineStr">
        <is>
          <t>25.07.17</t>
        </is>
      </c>
      <c r="U642" s="42" t="inlineStr">
        <is>
          <t>아파트</t>
        </is>
      </c>
    </row>
    <row r="643" hidden="1" ht="15" customHeight="1">
      <c r="A643" s="41" t="n">
        <v>110</v>
      </c>
      <c r="B643" s="42" t="inlineStr">
        <is>
          <t>서울특별시 서초구 서초동</t>
        </is>
      </c>
      <c r="C643" s="41" t="inlineStr">
        <is>
          <t>1685</t>
        </is>
      </c>
      <c r="D643" s="41" t="inlineStr">
        <is>
          <t>1685</t>
        </is>
      </c>
      <c r="E643" s="41" t="inlineStr">
        <is>
          <t>0000</t>
        </is>
      </c>
      <c r="F643" s="42" t="inlineStr">
        <is>
          <t>삼풍아파트</t>
        </is>
      </c>
      <c r="G643" s="41" t="inlineStr">
        <is>
          <t>79.4700</t>
        </is>
      </c>
      <c r="H643" s="41" t="inlineStr">
        <is>
          <t>202503</t>
        </is>
      </c>
      <c r="I643" s="41" t="inlineStr">
        <is>
          <t>12</t>
        </is>
      </c>
      <c r="J643" s="41" t="inlineStr">
        <is>
          <t>298,000</t>
        </is>
      </c>
      <c r="K643" s="41" t="inlineStr">
        <is>
          <t>2</t>
        </is>
      </c>
      <c r="L643" s="41" t="inlineStr">
        <is>
          <t>2</t>
        </is>
      </c>
      <c r="M643" s="42" t="inlineStr">
        <is>
          <t>개인</t>
        </is>
      </c>
      <c r="N643" s="42" t="inlineStr">
        <is>
          <t>개인</t>
        </is>
      </c>
      <c r="O643" s="41" t="inlineStr">
        <is>
          <t>1988</t>
        </is>
      </c>
      <c r="P643" s="42" t="inlineStr">
        <is>
          <t>서초중앙로 200</t>
        </is>
      </c>
      <c r="Q643" s="41" t="inlineStr">
        <is>
          <t>-</t>
        </is>
      </c>
      <c r="R643" s="42" t="inlineStr">
        <is>
          <t>중개거래</t>
        </is>
      </c>
      <c r="S643" s="42" t="inlineStr">
        <is>
          <t>서울 서초구, 서울 양천구</t>
        </is>
      </c>
      <c r="T643" s="41" t="inlineStr">
        <is>
          <t>25.07.11</t>
        </is>
      </c>
      <c r="U643" s="42" t="inlineStr">
        <is>
          <t>아파트</t>
        </is>
      </c>
    </row>
    <row r="644" hidden="1" ht="15" customHeight="1">
      <c r="A644" s="41" t="n">
        <v>111</v>
      </c>
      <c r="B644" s="42" t="inlineStr">
        <is>
          <t>서울특별시 서초구 서초동</t>
        </is>
      </c>
      <c r="C644" s="41" t="inlineStr">
        <is>
          <t>1316-15</t>
        </is>
      </c>
      <c r="D644" s="41" t="inlineStr">
        <is>
          <t>1316</t>
        </is>
      </c>
      <c r="E644" s="41" t="inlineStr">
        <is>
          <t>0015</t>
        </is>
      </c>
      <c r="F644" s="42" t="inlineStr">
        <is>
          <t>현대성우주상복합아파트</t>
        </is>
      </c>
      <c r="G644" s="41" t="inlineStr">
        <is>
          <t>150.9500</t>
        </is>
      </c>
      <c r="H644" s="41" t="inlineStr">
        <is>
          <t>202503</t>
        </is>
      </c>
      <c r="I644" s="41" t="inlineStr">
        <is>
          <t>12</t>
        </is>
      </c>
      <c r="J644" s="41" t="inlineStr">
        <is>
          <t>185,800</t>
        </is>
      </c>
      <c r="K644" s="41" t="inlineStr">
        <is>
          <t>-</t>
        </is>
      </c>
      <c r="L644" s="41" t="inlineStr">
        <is>
          <t>21</t>
        </is>
      </c>
      <c r="M644" s="42" t="inlineStr">
        <is>
          <t>개인</t>
        </is>
      </c>
      <c r="N644" s="42" t="inlineStr">
        <is>
          <t>개인</t>
        </is>
      </c>
      <c r="O644" s="41" t="inlineStr">
        <is>
          <t>2002</t>
        </is>
      </c>
      <c r="P644" s="42" t="inlineStr">
        <is>
          <t>강남대로61길 23</t>
        </is>
      </c>
      <c r="Q644" s="41" t="inlineStr">
        <is>
          <t>-</t>
        </is>
      </c>
      <c r="R644" s="42" t="inlineStr">
        <is>
          <t>중개거래</t>
        </is>
      </c>
      <c r="S644" s="42" t="inlineStr">
        <is>
          <t>서울 서초구</t>
        </is>
      </c>
      <c r="T644" s="41" t="inlineStr">
        <is>
          <t>25.04.11</t>
        </is>
      </c>
      <c r="U644" s="42" t="inlineStr">
        <is>
          <t>아파트</t>
        </is>
      </c>
    </row>
    <row r="645" hidden="1" ht="15" customHeight="1">
      <c r="A645" s="41" t="n">
        <v>112</v>
      </c>
      <c r="B645" s="42" t="inlineStr">
        <is>
          <t>서울특별시 서초구 서초동</t>
        </is>
      </c>
      <c r="C645" s="41" t="inlineStr">
        <is>
          <t>1487-115</t>
        </is>
      </c>
      <c r="D645" s="41" t="inlineStr">
        <is>
          <t>1487</t>
        </is>
      </c>
      <c r="E645" s="41" t="inlineStr">
        <is>
          <t>0115</t>
        </is>
      </c>
      <c r="F645" s="42" t="inlineStr">
        <is>
          <t>연우</t>
        </is>
      </c>
      <c r="G645" s="41" t="inlineStr">
        <is>
          <t>80.5000</t>
        </is>
      </c>
      <c r="H645" s="41" t="inlineStr">
        <is>
          <t>202503</t>
        </is>
      </c>
      <c r="I645" s="41" t="inlineStr">
        <is>
          <t>12</t>
        </is>
      </c>
      <c r="J645" s="41" t="inlineStr">
        <is>
          <t>110,000</t>
        </is>
      </c>
      <c r="K645" s="41" t="inlineStr">
        <is>
          <t>1</t>
        </is>
      </c>
      <c r="L645" s="41" t="inlineStr">
        <is>
          <t>7</t>
        </is>
      </c>
      <c r="M645" s="42" t="inlineStr">
        <is>
          <t>개인</t>
        </is>
      </c>
      <c r="N645" s="42" t="inlineStr">
        <is>
          <t>개인</t>
        </is>
      </c>
      <c r="O645" s="41" t="inlineStr">
        <is>
          <t>2015</t>
        </is>
      </c>
      <c r="P645" s="42" t="inlineStr">
        <is>
          <t>명달로8길 8</t>
        </is>
      </c>
      <c r="Q645" s="41" t="inlineStr">
        <is>
          <t>-</t>
        </is>
      </c>
      <c r="R645" s="42" t="inlineStr">
        <is>
          <t>중개거래</t>
        </is>
      </c>
      <c r="S645" s="42" t="inlineStr">
        <is>
          <t>서울 서초구</t>
        </is>
      </c>
      <c r="T645" s="41" t="inlineStr">
        <is>
          <t>25.04.15</t>
        </is>
      </c>
      <c r="U645" s="42" t="inlineStr">
        <is>
          <t>아파트</t>
        </is>
      </c>
    </row>
    <row r="646" hidden="1" ht="15" customHeight="1">
      <c r="A646" s="41" t="n">
        <v>113</v>
      </c>
      <c r="B646" s="42" t="inlineStr">
        <is>
          <t>서울특별시 서초구 서초동</t>
        </is>
      </c>
      <c r="C646" s="41" t="inlineStr">
        <is>
          <t>1311-10</t>
        </is>
      </c>
      <c r="D646" s="41" t="inlineStr">
        <is>
          <t>1311</t>
        </is>
      </c>
      <c r="E646" s="41" t="inlineStr">
        <is>
          <t>0010</t>
        </is>
      </c>
      <c r="F646" s="42" t="inlineStr">
        <is>
          <t>서초푸르지오써밋</t>
        </is>
      </c>
      <c r="G646" s="41" t="inlineStr">
        <is>
          <t>97.7000</t>
        </is>
      </c>
      <c r="H646" s="41" t="inlineStr">
        <is>
          <t>202503</t>
        </is>
      </c>
      <c r="I646" s="41" t="inlineStr">
        <is>
          <t>12</t>
        </is>
      </c>
      <c r="J646" s="41" t="inlineStr">
        <is>
          <t>352,000</t>
        </is>
      </c>
      <c r="K646" s="41" t="inlineStr">
        <is>
          <t>202</t>
        </is>
      </c>
      <c r="L646" s="41" t="inlineStr">
        <is>
          <t>17</t>
        </is>
      </c>
      <c r="M646" s="42" t="inlineStr">
        <is>
          <t>개인</t>
        </is>
      </c>
      <c r="N646" s="42" t="inlineStr">
        <is>
          <t>개인</t>
        </is>
      </c>
      <c r="O646" s="41" t="inlineStr">
        <is>
          <t>2017</t>
        </is>
      </c>
      <c r="P646" s="42" t="inlineStr">
        <is>
          <t>서운로 212</t>
        </is>
      </c>
      <c r="Q646" s="41" t="inlineStr">
        <is>
          <t>-</t>
        </is>
      </c>
      <c r="R646" s="42" t="inlineStr">
        <is>
          <t>중개거래</t>
        </is>
      </c>
      <c r="S646" s="42" t="inlineStr">
        <is>
          <t>서울 강동구, 서울 서초구</t>
        </is>
      </c>
      <c r="T646" s="41" t="inlineStr">
        <is>
          <t>25.05.26</t>
        </is>
      </c>
      <c r="U646" s="42" t="inlineStr">
        <is>
          <t>아파트</t>
        </is>
      </c>
    </row>
    <row r="647" hidden="1" ht="15" customHeight="1">
      <c r="A647" s="41" t="n">
        <v>114</v>
      </c>
      <c r="B647" s="42" t="inlineStr">
        <is>
          <t>서울특별시 서초구 서초동</t>
        </is>
      </c>
      <c r="C647" s="41" t="inlineStr">
        <is>
          <t>1620-20</t>
        </is>
      </c>
      <c r="D647" s="41" t="inlineStr">
        <is>
          <t>1620</t>
        </is>
      </c>
      <c r="E647" s="41" t="inlineStr">
        <is>
          <t>0020</t>
        </is>
      </c>
      <c r="F647" s="42" t="inlineStr">
        <is>
          <t>서초동롯데캐슬리버티</t>
        </is>
      </c>
      <c r="G647" s="41" t="inlineStr">
        <is>
          <t>125.7900</t>
        </is>
      </c>
      <c r="H647" s="41" t="inlineStr">
        <is>
          <t>202503</t>
        </is>
      </c>
      <c r="I647" s="41" t="inlineStr">
        <is>
          <t>12</t>
        </is>
      </c>
      <c r="J647" s="41" t="inlineStr">
        <is>
          <t>205,000</t>
        </is>
      </c>
      <c r="K647" s="41" t="inlineStr">
        <is>
          <t>102</t>
        </is>
      </c>
      <c r="L647" s="41" t="inlineStr">
        <is>
          <t>2</t>
        </is>
      </c>
      <c r="M647" s="42" t="inlineStr">
        <is>
          <t>개인</t>
        </is>
      </c>
      <c r="N647" s="42" t="inlineStr">
        <is>
          <t>개인</t>
        </is>
      </c>
      <c r="O647" s="41" t="inlineStr">
        <is>
          <t>2005</t>
        </is>
      </c>
      <c r="P647" s="42" t="inlineStr">
        <is>
          <t>사임당로10길 39</t>
        </is>
      </c>
      <c r="Q647" s="41" t="inlineStr">
        <is>
          <t>-</t>
        </is>
      </c>
      <c r="R647" s="42" t="inlineStr">
        <is>
          <t>중개거래</t>
        </is>
      </c>
      <c r="S647" s="42" t="inlineStr">
        <is>
          <t>서울 서초구</t>
        </is>
      </c>
      <c r="T647" s="41" t="inlineStr">
        <is>
          <t>25.06.13</t>
        </is>
      </c>
      <c r="U647" s="42" t="inlineStr">
        <is>
          <t>아파트</t>
        </is>
      </c>
    </row>
    <row r="648" hidden="1" ht="15" customHeight="1">
      <c r="A648" s="41" t="n">
        <v>115</v>
      </c>
      <c r="B648" s="42" t="inlineStr">
        <is>
          <t>서울특별시 서초구 서초동</t>
        </is>
      </c>
      <c r="C648" s="41" t="inlineStr">
        <is>
          <t>1315</t>
        </is>
      </c>
      <c r="D648" s="41" t="inlineStr">
        <is>
          <t>1315</t>
        </is>
      </c>
      <c r="E648" s="41" t="inlineStr">
        <is>
          <t>0000</t>
        </is>
      </c>
      <c r="F648" s="42" t="inlineStr">
        <is>
          <t>진흥아파트</t>
        </is>
      </c>
      <c r="G648" s="41" t="inlineStr">
        <is>
          <t>160.4600</t>
        </is>
      </c>
      <c r="H648" s="41" t="inlineStr">
        <is>
          <t>202503</t>
        </is>
      </c>
      <c r="I648" s="41" t="inlineStr">
        <is>
          <t>12</t>
        </is>
      </c>
      <c r="J648" s="41" t="inlineStr">
        <is>
          <t>330,000</t>
        </is>
      </c>
      <c r="K648" s="41" t="inlineStr">
        <is>
          <t>5</t>
        </is>
      </c>
      <c r="L648" s="41" t="inlineStr">
        <is>
          <t>14</t>
        </is>
      </c>
      <c r="M648" s="42" t="inlineStr">
        <is>
          <t>개인</t>
        </is>
      </c>
      <c r="N648" s="42" t="inlineStr">
        <is>
          <t>개인</t>
        </is>
      </c>
      <c r="O648" s="41" t="inlineStr">
        <is>
          <t>1979</t>
        </is>
      </c>
      <c r="P648" s="42" t="inlineStr">
        <is>
          <t>서초대로 385</t>
        </is>
      </c>
      <c r="Q648" s="41" t="inlineStr">
        <is>
          <t>-</t>
        </is>
      </c>
      <c r="R648" s="42" t="inlineStr">
        <is>
          <t>중개거래</t>
        </is>
      </c>
      <c r="S648" s="42" t="inlineStr">
        <is>
          <t>서울 서초구</t>
        </is>
      </c>
      <c r="T648" s="41" t="inlineStr">
        <is>
          <t>25.04.18</t>
        </is>
      </c>
      <c r="U648" s="42" t="inlineStr">
        <is>
          <t>아파트</t>
        </is>
      </c>
    </row>
    <row r="649" hidden="1" ht="15" customHeight="1">
      <c r="A649" s="41" t="n">
        <v>116</v>
      </c>
      <c r="B649" s="42" t="inlineStr">
        <is>
          <t>서울특별시 서초구 서초동</t>
        </is>
      </c>
      <c r="C649" s="41" t="inlineStr">
        <is>
          <t>1312-3</t>
        </is>
      </c>
      <c r="D649" s="41" t="inlineStr">
        <is>
          <t>1312</t>
        </is>
      </c>
      <c r="E649" s="41" t="inlineStr">
        <is>
          <t>0003</t>
        </is>
      </c>
      <c r="F649" s="42" t="inlineStr">
        <is>
          <t>롯데캐슬클래식</t>
        </is>
      </c>
      <c r="G649" s="41" t="inlineStr">
        <is>
          <t>120.1800</t>
        </is>
      </c>
      <c r="H649" s="41" t="inlineStr">
        <is>
          <t>202503</t>
        </is>
      </c>
      <c r="I649" s="41" t="inlineStr">
        <is>
          <t>11</t>
        </is>
      </c>
      <c r="J649" s="41" t="inlineStr">
        <is>
          <t>305,000</t>
        </is>
      </c>
      <c r="K649" s="41" t="inlineStr">
        <is>
          <t>104</t>
        </is>
      </c>
      <c r="L649" s="41" t="inlineStr">
        <is>
          <t>3</t>
        </is>
      </c>
      <c r="M649" s="42" t="inlineStr">
        <is>
          <t>개인</t>
        </is>
      </c>
      <c r="N649" s="42" t="inlineStr">
        <is>
          <t>개인</t>
        </is>
      </c>
      <c r="O649" s="41" t="inlineStr">
        <is>
          <t>2006</t>
        </is>
      </c>
      <c r="P649" s="42" t="inlineStr">
        <is>
          <t>서운로 197</t>
        </is>
      </c>
      <c r="Q649" s="41" t="inlineStr">
        <is>
          <t>-</t>
        </is>
      </c>
      <c r="R649" s="42" t="inlineStr">
        <is>
          <t>중개거래</t>
        </is>
      </c>
      <c r="S649" s="42" t="inlineStr">
        <is>
          <t>서울 서초구</t>
        </is>
      </c>
      <c r="T649" s="41" t="inlineStr">
        <is>
          <t>25.07.24</t>
        </is>
      </c>
      <c r="U649" s="42" t="inlineStr">
        <is>
          <t>아파트</t>
        </is>
      </c>
    </row>
    <row r="650" hidden="1" ht="15" customHeight="1">
      <c r="A650" s="41" t="n">
        <v>117</v>
      </c>
      <c r="B650" s="42" t="inlineStr">
        <is>
          <t>서울특별시 서초구 서초동</t>
        </is>
      </c>
      <c r="C650" s="41" t="inlineStr">
        <is>
          <t>1446-11</t>
        </is>
      </c>
      <c r="D650" s="41" t="inlineStr">
        <is>
          <t>1446</t>
        </is>
      </c>
      <c r="E650" s="41" t="inlineStr">
        <is>
          <t>0011</t>
        </is>
      </c>
      <c r="F650" s="42" t="inlineStr">
        <is>
          <t>현대슈퍼빌</t>
        </is>
      </c>
      <c r="G650" s="41" t="inlineStr">
        <is>
          <t>153.9300</t>
        </is>
      </c>
      <c r="H650" s="41" t="inlineStr">
        <is>
          <t>202503</t>
        </is>
      </c>
      <c r="I650" s="41" t="inlineStr">
        <is>
          <t>11</t>
        </is>
      </c>
      <c r="J650" s="41" t="inlineStr">
        <is>
          <t>255,000</t>
        </is>
      </c>
      <c r="K650" s="41" t="inlineStr">
        <is>
          <t>D</t>
        </is>
      </c>
      <c r="L650" s="41" t="inlineStr">
        <is>
          <t>7</t>
        </is>
      </c>
      <c r="M650" s="42" t="inlineStr">
        <is>
          <t>개인</t>
        </is>
      </c>
      <c r="N650" s="42" t="inlineStr">
        <is>
          <t>개인</t>
        </is>
      </c>
      <c r="O650" s="41" t="inlineStr">
        <is>
          <t>2003</t>
        </is>
      </c>
      <c r="P650" s="42" t="inlineStr">
        <is>
          <t>서초중앙로 15</t>
        </is>
      </c>
      <c r="Q650" s="41" t="inlineStr">
        <is>
          <t>-</t>
        </is>
      </c>
      <c r="R650" s="42" t="inlineStr">
        <is>
          <t>중개거래</t>
        </is>
      </c>
      <c r="S650" s="42" t="inlineStr">
        <is>
          <t>서울 서초구</t>
        </is>
      </c>
      <c r="T650" s="41" t="inlineStr">
        <is>
          <t>25.05.23</t>
        </is>
      </c>
      <c r="U650" s="42" t="inlineStr">
        <is>
          <t>아파트</t>
        </is>
      </c>
    </row>
    <row r="651" hidden="1" ht="15" customHeight="1">
      <c r="A651" s="41" t="n">
        <v>118</v>
      </c>
      <c r="B651" s="42" t="inlineStr">
        <is>
          <t>서울특별시 서초구 서초동</t>
        </is>
      </c>
      <c r="C651" s="41" t="inlineStr">
        <is>
          <t>1495-2</t>
        </is>
      </c>
      <c r="D651" s="41" t="inlineStr">
        <is>
          <t>1495</t>
        </is>
      </c>
      <c r="E651" s="41" t="inlineStr">
        <is>
          <t>0002</t>
        </is>
      </c>
      <c r="F651" s="42" t="inlineStr">
        <is>
          <t>트라움하우스2</t>
        </is>
      </c>
      <c r="G651" s="41" t="inlineStr">
        <is>
          <t>266.5200</t>
        </is>
      </c>
      <c r="H651" s="41" t="inlineStr">
        <is>
          <t>202503</t>
        </is>
      </c>
      <c r="I651" s="41" t="inlineStr">
        <is>
          <t>11</t>
        </is>
      </c>
      <c r="J651" s="41" t="inlineStr">
        <is>
          <t>360,000</t>
        </is>
      </c>
      <c r="K651" s="41" t="inlineStr">
        <is>
          <t>-</t>
        </is>
      </c>
      <c r="L651" s="41" t="inlineStr">
        <is>
          <t>8</t>
        </is>
      </c>
      <c r="M651" s="42" t="inlineStr">
        <is>
          <t>개인</t>
        </is>
      </c>
      <c r="N651" s="42" t="inlineStr">
        <is>
          <t>개인</t>
        </is>
      </c>
      <c r="O651" s="41" t="inlineStr">
        <is>
          <t>1996</t>
        </is>
      </c>
      <c r="P651" s="42" t="inlineStr">
        <is>
          <t>명달로17길 32</t>
        </is>
      </c>
      <c r="Q651" s="41" t="inlineStr">
        <is>
          <t>-</t>
        </is>
      </c>
      <c r="R651" s="42" t="inlineStr">
        <is>
          <t>중개거래</t>
        </is>
      </c>
      <c r="S651" s="42" t="inlineStr">
        <is>
          <t>서울 서초구</t>
        </is>
      </c>
      <c r="T651" s="41" t="inlineStr">
        <is>
          <t>25.06.04</t>
        </is>
      </c>
      <c r="U651" s="42" t="inlineStr">
        <is>
          <t>아파트</t>
        </is>
      </c>
    </row>
    <row r="652" hidden="1" ht="15" customHeight="1">
      <c r="A652" s="41" t="n">
        <v>119</v>
      </c>
      <c r="B652" s="42" t="inlineStr">
        <is>
          <t>서울특별시 서초구 서초동</t>
        </is>
      </c>
      <c r="C652" s="41" t="inlineStr">
        <is>
          <t>1326-17</t>
        </is>
      </c>
      <c r="D652" s="41" t="inlineStr">
        <is>
          <t>1326</t>
        </is>
      </c>
      <c r="E652" s="41" t="inlineStr">
        <is>
          <t>0017</t>
        </is>
      </c>
      <c r="F652" s="42" t="inlineStr">
        <is>
          <t>우성아파트</t>
        </is>
      </c>
      <c r="G652" s="41" t="inlineStr">
        <is>
          <t>59.9300</t>
        </is>
      </c>
      <c r="H652" s="41" t="inlineStr">
        <is>
          <t>202503</t>
        </is>
      </c>
      <c r="I652" s="41" t="inlineStr">
        <is>
          <t>11</t>
        </is>
      </c>
      <c r="J652" s="41" t="inlineStr">
        <is>
          <t>175,500</t>
        </is>
      </c>
      <c r="K652" s="41" t="inlineStr">
        <is>
          <t>501</t>
        </is>
      </c>
      <c r="L652" s="41" t="inlineStr">
        <is>
          <t>15</t>
        </is>
      </c>
      <c r="M652" s="42" t="inlineStr">
        <is>
          <t>개인</t>
        </is>
      </c>
      <c r="N652" s="42" t="inlineStr">
        <is>
          <t>개인</t>
        </is>
      </c>
      <c r="O652" s="41" t="inlineStr">
        <is>
          <t>1998</t>
        </is>
      </c>
      <c r="P652" s="42" t="inlineStr">
        <is>
          <t>서초대로74길 30</t>
        </is>
      </c>
      <c r="Q652" s="41" t="inlineStr">
        <is>
          <t>-</t>
        </is>
      </c>
      <c r="R652" s="42" t="inlineStr">
        <is>
          <t>중개거래</t>
        </is>
      </c>
      <c r="S652" s="42" t="inlineStr">
        <is>
          <t>서울 서초구</t>
        </is>
      </c>
      <c r="T652" s="41" t="inlineStr">
        <is>
          <t>25.04.29</t>
        </is>
      </c>
      <c r="U652" s="42" t="inlineStr">
        <is>
          <t>아파트</t>
        </is>
      </c>
    </row>
    <row r="653" hidden="1" ht="15" customHeight="1">
      <c r="A653" s="41" t="n">
        <v>120</v>
      </c>
      <c r="B653" s="42" t="inlineStr">
        <is>
          <t>서울특별시 서초구 서초동</t>
        </is>
      </c>
      <c r="C653" s="41" t="inlineStr">
        <is>
          <t>1648-2</t>
        </is>
      </c>
      <c r="D653" s="41" t="inlineStr">
        <is>
          <t>1648</t>
        </is>
      </c>
      <c r="E653" s="41" t="inlineStr">
        <is>
          <t>0002</t>
        </is>
      </c>
      <c r="F653" s="42" t="inlineStr">
        <is>
          <t>서초현대</t>
        </is>
      </c>
      <c r="G653" s="41" t="inlineStr">
        <is>
          <t>53.0100</t>
        </is>
      </c>
      <c r="H653" s="41" t="inlineStr">
        <is>
          <t>202503</t>
        </is>
      </c>
      <c r="I653" s="41" t="inlineStr">
        <is>
          <t>11</t>
        </is>
      </c>
      <c r="J653" s="41" t="inlineStr">
        <is>
          <t>126,000</t>
        </is>
      </c>
      <c r="K653" s="41" t="inlineStr">
        <is>
          <t>102</t>
        </is>
      </c>
      <c r="L653" s="41" t="inlineStr">
        <is>
          <t>15</t>
        </is>
      </c>
      <c r="M653" s="42" t="inlineStr">
        <is>
          <t>개인</t>
        </is>
      </c>
      <c r="N653" s="42" t="inlineStr">
        <is>
          <t>개인</t>
        </is>
      </c>
      <c r="O653" s="41" t="inlineStr">
        <is>
          <t>1999</t>
        </is>
      </c>
      <c r="P653" s="42" t="inlineStr">
        <is>
          <t>사임당로19길 10</t>
        </is>
      </c>
      <c r="Q653" s="41" t="inlineStr">
        <is>
          <t>-</t>
        </is>
      </c>
      <c r="R653" s="42" t="inlineStr">
        <is>
          <t>중개거래</t>
        </is>
      </c>
      <c r="S653" s="42" t="inlineStr">
        <is>
          <t>서울 서초구</t>
        </is>
      </c>
      <c r="T653" s="41" t="inlineStr">
        <is>
          <t>25.04.18</t>
        </is>
      </c>
      <c r="U653" s="42" t="inlineStr">
        <is>
          <t>아파트</t>
        </is>
      </c>
    </row>
    <row r="654" hidden="1" ht="15" customHeight="1">
      <c r="A654" s="41" t="n">
        <v>121</v>
      </c>
      <c r="B654" s="42" t="inlineStr">
        <is>
          <t>서울특별시 서초구 서초동</t>
        </is>
      </c>
      <c r="C654" s="41" t="inlineStr">
        <is>
          <t>1754</t>
        </is>
      </c>
      <c r="D654" s="41" t="inlineStr">
        <is>
          <t>1754</t>
        </is>
      </c>
      <c r="E654" s="41" t="inlineStr">
        <is>
          <t>0000</t>
        </is>
      </c>
      <c r="F654" s="42" t="inlineStr">
        <is>
          <t>래미안서초에스티지S</t>
        </is>
      </c>
      <c r="G654" s="41" t="inlineStr">
        <is>
          <t>111.0100</t>
        </is>
      </c>
      <c r="H654" s="41" t="inlineStr">
        <is>
          <t>202503</t>
        </is>
      </c>
      <c r="I654" s="41" t="inlineStr">
        <is>
          <t>11</t>
        </is>
      </c>
      <c r="J654" s="41" t="inlineStr">
        <is>
          <t>260,000</t>
        </is>
      </c>
      <c r="K654" s="41" t="inlineStr">
        <is>
          <t>-</t>
        </is>
      </c>
      <c r="L654" s="41" t="inlineStr">
        <is>
          <t>11</t>
        </is>
      </c>
      <c r="M654" s="42" t="inlineStr">
        <is>
          <t>개인</t>
        </is>
      </c>
      <c r="N654" s="42" t="inlineStr">
        <is>
          <t>개인</t>
        </is>
      </c>
      <c r="O654" s="41" t="inlineStr">
        <is>
          <t>2018</t>
        </is>
      </c>
      <c r="P654" s="42" t="inlineStr">
        <is>
          <t>서운로 104</t>
        </is>
      </c>
      <c r="Q654" s="41" t="inlineStr">
        <is>
          <t>20260326</t>
        </is>
      </c>
      <c r="R654" s="42" t="inlineStr">
        <is>
          <t>직거래</t>
        </is>
      </c>
      <c r="S654" s="41" t="inlineStr">
        <is>
          <t>-</t>
        </is>
      </c>
      <c r="T654" s="41" t="inlineStr">
        <is>
          <t>-</t>
        </is>
      </c>
      <c r="U654" s="42" t="inlineStr">
        <is>
          <t>아파트</t>
        </is>
      </c>
    </row>
    <row r="655" hidden="1" ht="15" customHeight="1">
      <c r="A655" s="41" t="n">
        <v>122</v>
      </c>
      <c r="B655" s="42" t="inlineStr">
        <is>
          <t>서울특별시 서초구 서초동</t>
        </is>
      </c>
      <c r="C655" s="41" t="inlineStr">
        <is>
          <t>1754</t>
        </is>
      </c>
      <c r="D655" s="41" t="inlineStr">
        <is>
          <t>1754</t>
        </is>
      </c>
      <c r="E655" s="41" t="inlineStr">
        <is>
          <t>0000</t>
        </is>
      </c>
      <c r="F655" s="42" t="inlineStr">
        <is>
          <t>래미안서초에스티지S</t>
        </is>
      </c>
      <c r="G655" s="41" t="inlineStr">
        <is>
          <t>84.8000</t>
        </is>
      </c>
      <c r="H655" s="41" t="inlineStr">
        <is>
          <t>202503</t>
        </is>
      </c>
      <c r="I655" s="41" t="inlineStr">
        <is>
          <t>11</t>
        </is>
      </c>
      <c r="J655" s="41" t="inlineStr">
        <is>
          <t>310,000</t>
        </is>
      </c>
      <c r="K655" s="41" t="inlineStr">
        <is>
          <t>202</t>
        </is>
      </c>
      <c r="L655" s="41" t="inlineStr">
        <is>
          <t>4</t>
        </is>
      </c>
      <c r="M655" s="42" t="inlineStr">
        <is>
          <t>개인</t>
        </is>
      </c>
      <c r="N655" s="42" t="inlineStr">
        <is>
          <t>개인</t>
        </is>
      </c>
      <c r="O655" s="41" t="inlineStr">
        <is>
          <t>2018</t>
        </is>
      </c>
      <c r="P655" s="42" t="inlineStr">
        <is>
          <t>서운로 104</t>
        </is>
      </c>
      <c r="Q655" s="41" t="inlineStr">
        <is>
          <t>-</t>
        </is>
      </c>
      <c r="R655" s="42" t="inlineStr">
        <is>
          <t>중개거래</t>
        </is>
      </c>
      <c r="S655" s="42" t="inlineStr">
        <is>
          <t>서울 서초구</t>
        </is>
      </c>
      <c r="T655" s="41" t="inlineStr">
        <is>
          <t>25.05.28</t>
        </is>
      </c>
      <c r="U655" s="42" t="inlineStr">
        <is>
          <t>아파트</t>
        </is>
      </c>
    </row>
    <row r="656" hidden="1" ht="15" customHeight="1">
      <c r="A656" s="41" t="n">
        <v>123</v>
      </c>
      <c r="B656" s="42" t="inlineStr">
        <is>
          <t>서울특별시 서초구 서초동</t>
        </is>
      </c>
      <c r="C656" s="41" t="inlineStr">
        <is>
          <t>1301-6</t>
        </is>
      </c>
      <c r="D656" s="41" t="inlineStr">
        <is>
          <t>1301</t>
        </is>
      </c>
      <c r="E656" s="41" t="inlineStr">
        <is>
          <t>0006</t>
        </is>
      </c>
      <c r="F656" s="42" t="inlineStr">
        <is>
          <t>래미안서초스위트</t>
        </is>
      </c>
      <c r="G656" s="41" t="inlineStr">
        <is>
          <t>59.9958</t>
        </is>
      </c>
      <c r="H656" s="41" t="inlineStr">
        <is>
          <t>202503</t>
        </is>
      </c>
      <c r="I656" s="41" t="inlineStr">
        <is>
          <t>11</t>
        </is>
      </c>
      <c r="J656" s="41" t="inlineStr">
        <is>
          <t>237,000</t>
        </is>
      </c>
      <c r="K656" s="41" t="inlineStr">
        <is>
          <t>101</t>
        </is>
      </c>
      <c r="L656" s="41" t="inlineStr">
        <is>
          <t>31</t>
        </is>
      </c>
      <c r="M656" s="42" t="inlineStr">
        <is>
          <t>개인</t>
        </is>
      </c>
      <c r="N656" s="42" t="inlineStr">
        <is>
          <t>개인</t>
        </is>
      </c>
      <c r="O656" s="41" t="inlineStr">
        <is>
          <t>2009</t>
        </is>
      </c>
      <c r="P656" s="42" t="inlineStr">
        <is>
          <t>서운로 221</t>
        </is>
      </c>
      <c r="Q656" s="41" t="inlineStr">
        <is>
          <t>-</t>
        </is>
      </c>
      <c r="R656" s="42" t="inlineStr">
        <is>
          <t>중개거래</t>
        </is>
      </c>
      <c r="S656" s="42" t="inlineStr">
        <is>
          <t>서울 서초구</t>
        </is>
      </c>
      <c r="T656" s="41" t="inlineStr">
        <is>
          <t>25.06.10</t>
        </is>
      </c>
      <c r="U656" s="42" t="inlineStr">
        <is>
          <t>아파트</t>
        </is>
      </c>
    </row>
    <row r="657" hidden="1" ht="15" customHeight="1">
      <c r="A657" s="41" t="n">
        <v>124</v>
      </c>
      <c r="B657" s="42" t="inlineStr">
        <is>
          <t>서울특별시 서초구 서초동</t>
        </is>
      </c>
      <c r="C657" s="41" t="inlineStr">
        <is>
          <t>1344-13</t>
        </is>
      </c>
      <c r="D657" s="41" t="inlineStr">
        <is>
          <t>1344</t>
        </is>
      </c>
      <c r="E657" s="41" t="inlineStr">
        <is>
          <t>0013</t>
        </is>
      </c>
      <c r="F657" s="42" t="inlineStr">
        <is>
          <t>서초트라팰리스</t>
        </is>
      </c>
      <c r="G657" s="41" t="inlineStr">
        <is>
          <t>107.6900</t>
        </is>
      </c>
      <c r="H657" s="41" t="inlineStr">
        <is>
          <t>202503</t>
        </is>
      </c>
      <c r="I657" s="41" t="inlineStr">
        <is>
          <t>11</t>
        </is>
      </c>
      <c r="J657" s="41" t="inlineStr">
        <is>
          <t>188,000</t>
        </is>
      </c>
      <c r="K657" s="41" t="inlineStr">
        <is>
          <t>B</t>
        </is>
      </c>
      <c r="L657" s="41" t="inlineStr">
        <is>
          <t>6</t>
        </is>
      </c>
      <c r="M657" s="42" t="inlineStr">
        <is>
          <t>개인</t>
        </is>
      </c>
      <c r="N657" s="42" t="inlineStr">
        <is>
          <t>개인</t>
        </is>
      </c>
      <c r="O657" s="41" t="inlineStr">
        <is>
          <t>2005</t>
        </is>
      </c>
      <c r="P657" s="42" t="inlineStr">
        <is>
          <t>효령로72길 57</t>
        </is>
      </c>
      <c r="Q657" s="41" t="inlineStr">
        <is>
          <t>-</t>
        </is>
      </c>
      <c r="R657" s="42" t="inlineStr">
        <is>
          <t>중개거래</t>
        </is>
      </c>
      <c r="S657" s="42" t="inlineStr">
        <is>
          <t>서울 서초구</t>
        </is>
      </c>
      <c r="T657" s="41" t="inlineStr">
        <is>
          <t>25.03.28</t>
        </is>
      </c>
      <c r="U657" s="42" t="inlineStr">
        <is>
          <t>아파트</t>
        </is>
      </c>
    </row>
    <row r="658" hidden="1" ht="15" customHeight="1">
      <c r="A658" s="41" t="n">
        <v>125</v>
      </c>
      <c r="B658" s="42" t="inlineStr">
        <is>
          <t>서울특별시 서초구 서초동</t>
        </is>
      </c>
      <c r="C658" s="41" t="inlineStr">
        <is>
          <t>1522-1</t>
        </is>
      </c>
      <c r="D658" s="41" t="inlineStr">
        <is>
          <t>1522</t>
        </is>
      </c>
      <c r="E658" s="41" t="inlineStr">
        <is>
          <t>0001</t>
        </is>
      </c>
      <c r="F658" s="42" t="inlineStr">
        <is>
          <t>래미안서초5차</t>
        </is>
      </c>
      <c r="G658" s="41" t="inlineStr">
        <is>
          <t>120.2200</t>
        </is>
      </c>
      <c r="H658" s="41" t="inlineStr">
        <is>
          <t>202503</t>
        </is>
      </c>
      <c r="I658" s="41" t="inlineStr">
        <is>
          <t>10</t>
        </is>
      </c>
      <c r="J658" s="41" t="inlineStr">
        <is>
          <t>210,000</t>
        </is>
      </c>
      <c r="K658" s="41" t="inlineStr">
        <is>
          <t>501</t>
        </is>
      </c>
      <c r="L658" s="41" t="inlineStr">
        <is>
          <t>7</t>
        </is>
      </c>
      <c r="M658" s="42" t="inlineStr">
        <is>
          <t>개인</t>
        </is>
      </c>
      <c r="N658" s="42" t="inlineStr">
        <is>
          <t>개인</t>
        </is>
      </c>
      <c r="O658" s="41" t="inlineStr">
        <is>
          <t>2005</t>
        </is>
      </c>
      <c r="P658" s="42" t="inlineStr">
        <is>
          <t>반포대로21길 67</t>
        </is>
      </c>
      <c r="Q658" s="41" t="inlineStr">
        <is>
          <t>-</t>
        </is>
      </c>
      <c r="R658" s="42" t="inlineStr">
        <is>
          <t>중개거래</t>
        </is>
      </c>
      <c r="S658" s="42" t="inlineStr">
        <is>
          <t>서울 서초구</t>
        </is>
      </c>
      <c r="T658" s="41" t="inlineStr">
        <is>
          <t>25.06.10</t>
        </is>
      </c>
      <c r="U658" s="42" t="inlineStr">
        <is>
          <t>아파트</t>
        </is>
      </c>
    </row>
    <row r="659" hidden="1" ht="15" customHeight="1">
      <c r="A659" s="41" t="n">
        <v>126</v>
      </c>
      <c r="B659" s="42" t="inlineStr">
        <is>
          <t>서울특별시 서초구 서초동</t>
        </is>
      </c>
      <c r="C659" s="41" t="inlineStr">
        <is>
          <t>1682</t>
        </is>
      </c>
      <c r="D659" s="41" t="inlineStr">
        <is>
          <t>1682</t>
        </is>
      </c>
      <c r="E659" s="41" t="inlineStr">
        <is>
          <t>0000</t>
        </is>
      </c>
      <c r="F659" s="42" t="inlineStr">
        <is>
          <t>서초래미안</t>
        </is>
      </c>
      <c r="G659" s="41" t="inlineStr">
        <is>
          <t>84.9500</t>
        </is>
      </c>
      <c r="H659" s="41" t="inlineStr">
        <is>
          <t>202503</t>
        </is>
      </c>
      <c r="I659" s="41" t="inlineStr">
        <is>
          <t>10</t>
        </is>
      </c>
      <c r="J659" s="41" t="inlineStr">
        <is>
          <t>240,000</t>
        </is>
      </c>
      <c r="K659" s="41" t="inlineStr">
        <is>
          <t>112</t>
        </is>
      </c>
      <c r="L659" s="41" t="inlineStr">
        <is>
          <t>2</t>
        </is>
      </c>
      <c r="M659" s="42" t="inlineStr">
        <is>
          <t>개인</t>
        </is>
      </c>
      <c r="N659" s="42" t="inlineStr">
        <is>
          <t>개인</t>
        </is>
      </c>
      <c r="O659" s="41" t="inlineStr">
        <is>
          <t>2003</t>
        </is>
      </c>
      <c r="P659" s="42" t="inlineStr">
        <is>
          <t>서초대로65길 13-10</t>
        </is>
      </c>
      <c r="Q659" s="41" t="inlineStr">
        <is>
          <t>-</t>
        </is>
      </c>
      <c r="R659" s="42" t="inlineStr">
        <is>
          <t>중개거래</t>
        </is>
      </c>
      <c r="S659" s="42" t="inlineStr">
        <is>
          <t>서울 서초구</t>
        </is>
      </c>
      <c r="T659" s="41" t="inlineStr">
        <is>
          <t>25.05.19</t>
        </is>
      </c>
      <c r="U659" s="42" t="inlineStr">
        <is>
          <t>아파트</t>
        </is>
      </c>
    </row>
    <row r="660" hidden="1" ht="15" customHeight="1">
      <c r="A660" s="41" t="n">
        <v>127</v>
      </c>
      <c r="B660" s="42" t="inlineStr">
        <is>
          <t>서울특별시 서초구 서초동</t>
        </is>
      </c>
      <c r="C660" s="41" t="inlineStr">
        <is>
          <t>1755</t>
        </is>
      </c>
      <c r="D660" s="41" t="inlineStr">
        <is>
          <t>1755</t>
        </is>
      </c>
      <c r="E660" s="41" t="inlineStr">
        <is>
          <t>0000</t>
        </is>
      </c>
      <c r="F660" s="42" t="inlineStr">
        <is>
          <t>래미안 리더스원</t>
        </is>
      </c>
      <c r="G660" s="41" t="inlineStr">
        <is>
          <t>84.9400</t>
        </is>
      </c>
      <c r="H660" s="41" t="inlineStr">
        <is>
          <t>202503</t>
        </is>
      </c>
      <c r="I660" s="41" t="inlineStr">
        <is>
          <t>10</t>
        </is>
      </c>
      <c r="J660" s="41" t="inlineStr">
        <is>
          <t>345,000</t>
        </is>
      </c>
      <c r="K660" s="41" t="inlineStr">
        <is>
          <t>106동</t>
        </is>
      </c>
      <c r="L660" s="41" t="inlineStr">
        <is>
          <t>35</t>
        </is>
      </c>
      <c r="M660" s="42" t="inlineStr">
        <is>
          <t>개인</t>
        </is>
      </c>
      <c r="N660" s="42" t="inlineStr">
        <is>
          <t>개인</t>
        </is>
      </c>
      <c r="O660" s="41" t="inlineStr">
        <is>
          <t>2020</t>
        </is>
      </c>
      <c r="P660" s="42" t="inlineStr">
        <is>
          <t>서운로 62</t>
        </is>
      </c>
      <c r="Q660" s="41" t="inlineStr">
        <is>
          <t>-</t>
        </is>
      </c>
      <c r="R660" s="42" t="inlineStr">
        <is>
          <t>중개거래</t>
        </is>
      </c>
      <c r="S660" s="42" t="inlineStr">
        <is>
          <t>서울 서초구</t>
        </is>
      </c>
      <c r="T660" s="41" t="inlineStr">
        <is>
          <t>25.06.13</t>
        </is>
      </c>
      <c r="U660" s="42" t="inlineStr">
        <is>
          <t>아파트</t>
        </is>
      </c>
    </row>
    <row r="661" hidden="1" ht="15" customHeight="1">
      <c r="A661" s="41" t="n">
        <v>128</v>
      </c>
      <c r="B661" s="42" t="inlineStr">
        <is>
          <t>서울특별시 서초구 서초동</t>
        </is>
      </c>
      <c r="C661" s="41" t="inlineStr">
        <is>
          <t>1311-10</t>
        </is>
      </c>
      <c r="D661" s="41" t="inlineStr">
        <is>
          <t>1311</t>
        </is>
      </c>
      <c r="E661" s="41" t="inlineStr">
        <is>
          <t>0010</t>
        </is>
      </c>
      <c r="F661" s="42" t="inlineStr">
        <is>
          <t>서초푸르지오써밋</t>
        </is>
      </c>
      <c r="G661" s="41" t="inlineStr">
        <is>
          <t>120.8600</t>
        </is>
      </c>
      <c r="H661" s="41" t="inlineStr">
        <is>
          <t>202503</t>
        </is>
      </c>
      <c r="I661" s="41" t="inlineStr">
        <is>
          <t>10</t>
        </is>
      </c>
      <c r="J661" s="41" t="inlineStr">
        <is>
          <t>375,000</t>
        </is>
      </c>
      <c r="K661" s="41" t="inlineStr">
        <is>
          <t>-</t>
        </is>
      </c>
      <c r="L661" s="41" t="inlineStr">
        <is>
          <t>8</t>
        </is>
      </c>
      <c r="M661" s="42" t="inlineStr">
        <is>
          <t>개인</t>
        </is>
      </c>
      <c r="N661" s="42" t="inlineStr">
        <is>
          <t>개인</t>
        </is>
      </c>
      <c r="O661" s="41" t="inlineStr">
        <is>
          <t>2017</t>
        </is>
      </c>
      <c r="P661" s="42" t="inlineStr">
        <is>
          <t>서운로 212</t>
        </is>
      </c>
      <c r="Q661" s="41" t="inlineStr">
        <is>
          <t>-</t>
        </is>
      </c>
      <c r="R661" s="42" t="inlineStr">
        <is>
          <t>중개거래</t>
        </is>
      </c>
      <c r="S661" s="42" t="inlineStr">
        <is>
          <t>서울 서초구</t>
        </is>
      </c>
      <c r="T661" s="41" t="inlineStr">
        <is>
          <t>-</t>
        </is>
      </c>
      <c r="U661" s="42" t="inlineStr">
        <is>
          <t>아파트</t>
        </is>
      </c>
    </row>
    <row r="662" hidden="1" ht="15" customHeight="1">
      <c r="A662" s="41" t="n">
        <v>129</v>
      </c>
      <c r="B662" s="42" t="inlineStr">
        <is>
          <t>서울특별시 서초구 서초동</t>
        </is>
      </c>
      <c r="C662" s="41" t="inlineStr">
        <is>
          <t>1509-1</t>
        </is>
      </c>
      <c r="D662" s="41" t="inlineStr">
        <is>
          <t>1509</t>
        </is>
      </c>
      <c r="E662" s="41" t="inlineStr">
        <is>
          <t>0001</t>
        </is>
      </c>
      <c r="F662" s="42" t="inlineStr">
        <is>
          <t>서초한빛삼성</t>
        </is>
      </c>
      <c r="G662" s="41" t="inlineStr">
        <is>
          <t>99.0900</t>
        </is>
      </c>
      <c r="H662" s="41" t="inlineStr">
        <is>
          <t>202503</t>
        </is>
      </c>
      <c r="I662" s="41" t="inlineStr">
        <is>
          <t>10</t>
        </is>
      </c>
      <c r="J662" s="41" t="inlineStr">
        <is>
          <t>176,000</t>
        </is>
      </c>
      <c r="K662" s="41" t="inlineStr">
        <is>
          <t>102</t>
        </is>
      </c>
      <c r="L662" s="41" t="inlineStr">
        <is>
          <t>7</t>
        </is>
      </c>
      <c r="M662" s="42" t="inlineStr">
        <is>
          <t>개인</t>
        </is>
      </c>
      <c r="N662" s="42" t="inlineStr">
        <is>
          <t>개인</t>
        </is>
      </c>
      <c r="O662" s="41" t="inlineStr">
        <is>
          <t>1999</t>
        </is>
      </c>
      <c r="P662" s="42" t="inlineStr">
        <is>
          <t>서초대로40길 72</t>
        </is>
      </c>
      <c r="Q662" s="41" t="inlineStr">
        <is>
          <t>-</t>
        </is>
      </c>
      <c r="R662" s="42" t="inlineStr">
        <is>
          <t>중개거래</t>
        </is>
      </c>
      <c r="S662" s="42" t="inlineStr">
        <is>
          <t>서울 서초구, 서울 용산구</t>
        </is>
      </c>
      <c r="T662" s="41" t="inlineStr">
        <is>
          <t>25.03.17</t>
        </is>
      </c>
      <c r="U662" s="42" t="inlineStr">
        <is>
          <t>아파트</t>
        </is>
      </c>
    </row>
    <row r="663" hidden="1" ht="15" customHeight="1">
      <c r="A663" s="41" t="n">
        <v>130</v>
      </c>
      <c r="B663" s="42" t="inlineStr">
        <is>
          <t>서울특별시 서초구 서초동</t>
        </is>
      </c>
      <c r="C663" s="41" t="inlineStr">
        <is>
          <t>1757</t>
        </is>
      </c>
      <c r="D663" s="41" t="inlineStr">
        <is>
          <t>1757</t>
        </is>
      </c>
      <c r="E663" s="41" t="inlineStr">
        <is>
          <t>0000</t>
        </is>
      </c>
      <c r="F663" s="42" t="inlineStr">
        <is>
          <t>서초그랑자이</t>
        </is>
      </c>
      <c r="G663" s="41" t="inlineStr">
        <is>
          <t>59.9800</t>
        </is>
      </c>
      <c r="H663" s="41" t="inlineStr">
        <is>
          <t>202503</t>
        </is>
      </c>
      <c r="I663" s="41" t="inlineStr">
        <is>
          <t>09</t>
        </is>
      </c>
      <c r="J663" s="41" t="inlineStr">
        <is>
          <t>300,000</t>
        </is>
      </c>
      <c r="K663" s="41" t="inlineStr">
        <is>
          <t>105동</t>
        </is>
      </c>
      <c r="L663" s="41" t="inlineStr">
        <is>
          <t>25</t>
        </is>
      </c>
      <c r="M663" s="42" t="inlineStr">
        <is>
          <t>개인</t>
        </is>
      </c>
      <c r="N663" s="42" t="inlineStr">
        <is>
          <t>개인</t>
        </is>
      </c>
      <c r="O663" s="41" t="inlineStr">
        <is>
          <t>2021</t>
        </is>
      </c>
      <c r="P663" s="42" t="inlineStr">
        <is>
          <t>효령로 391</t>
        </is>
      </c>
      <c r="Q663" s="41" t="inlineStr">
        <is>
          <t>-</t>
        </is>
      </c>
      <c r="R663" s="42" t="inlineStr">
        <is>
          <t>중개거래</t>
        </is>
      </c>
      <c r="S663" s="42" t="inlineStr">
        <is>
          <t>서울 강남구, 서울 서초구</t>
        </is>
      </c>
      <c r="T663" s="41" t="inlineStr">
        <is>
          <t>25.08.29</t>
        </is>
      </c>
      <c r="U663" s="42" t="inlineStr">
        <is>
          <t>아파트</t>
        </is>
      </c>
    </row>
    <row r="664" hidden="1" ht="15" customHeight="1">
      <c r="A664" s="41" t="n">
        <v>131</v>
      </c>
      <c r="B664" s="42" t="inlineStr">
        <is>
          <t>서울특별시 서초구 서초동</t>
        </is>
      </c>
      <c r="C664" s="41" t="inlineStr">
        <is>
          <t>1685</t>
        </is>
      </c>
      <c r="D664" s="41" t="inlineStr">
        <is>
          <t>1685</t>
        </is>
      </c>
      <c r="E664" s="41" t="inlineStr">
        <is>
          <t>0000</t>
        </is>
      </c>
      <c r="F664" s="42" t="inlineStr">
        <is>
          <t>삼풍아파트</t>
        </is>
      </c>
      <c r="G664" s="41" t="inlineStr">
        <is>
          <t>130.7300</t>
        </is>
      </c>
      <c r="H664" s="41" t="inlineStr">
        <is>
          <t>202503</t>
        </is>
      </c>
      <c r="I664" s="41" t="inlineStr">
        <is>
          <t>09</t>
        </is>
      </c>
      <c r="J664" s="41" t="inlineStr">
        <is>
          <t>378,000</t>
        </is>
      </c>
      <c r="K664" s="41" t="inlineStr">
        <is>
          <t>14</t>
        </is>
      </c>
      <c r="L664" s="41" t="inlineStr">
        <is>
          <t>2</t>
        </is>
      </c>
      <c r="M664" s="42" t="inlineStr">
        <is>
          <t>개인</t>
        </is>
      </c>
      <c r="N664" s="42" t="inlineStr">
        <is>
          <t>개인</t>
        </is>
      </c>
      <c r="O664" s="41" t="inlineStr">
        <is>
          <t>1988</t>
        </is>
      </c>
      <c r="P664" s="42" t="inlineStr">
        <is>
          <t>서초중앙로 200</t>
        </is>
      </c>
      <c r="Q664" s="41" t="inlineStr">
        <is>
          <t>-</t>
        </is>
      </c>
      <c r="R664" s="42" t="inlineStr">
        <is>
          <t>중개거래</t>
        </is>
      </c>
      <c r="S664" s="42" t="inlineStr">
        <is>
          <t>서울 서초구</t>
        </is>
      </c>
      <c r="T664" s="41" t="inlineStr">
        <is>
          <t>25.07.08</t>
        </is>
      </c>
      <c r="U664" s="42" t="inlineStr">
        <is>
          <t>아파트</t>
        </is>
      </c>
    </row>
    <row r="665" hidden="1" ht="15" customHeight="1">
      <c r="A665" s="41" t="n">
        <v>132</v>
      </c>
      <c r="B665" s="42" t="inlineStr">
        <is>
          <t>서울특별시 서초구 서초동</t>
        </is>
      </c>
      <c r="C665" s="41" t="inlineStr">
        <is>
          <t>1682</t>
        </is>
      </c>
      <c r="D665" s="41" t="inlineStr">
        <is>
          <t>1682</t>
        </is>
      </c>
      <c r="E665" s="41" t="inlineStr">
        <is>
          <t>0000</t>
        </is>
      </c>
      <c r="F665" s="42" t="inlineStr">
        <is>
          <t>서초래미안</t>
        </is>
      </c>
      <c r="G665" s="41" t="inlineStr">
        <is>
          <t>84.9500</t>
        </is>
      </c>
      <c r="H665" s="41" t="inlineStr">
        <is>
          <t>202503</t>
        </is>
      </c>
      <c r="I665" s="41" t="inlineStr">
        <is>
          <t>08</t>
        </is>
      </c>
      <c r="J665" s="41" t="inlineStr">
        <is>
          <t>260,000</t>
        </is>
      </c>
      <c r="K665" s="41" t="inlineStr">
        <is>
          <t>111</t>
        </is>
      </c>
      <c r="L665" s="41" t="inlineStr">
        <is>
          <t>6</t>
        </is>
      </c>
      <c r="M665" s="42" t="inlineStr">
        <is>
          <t>개인</t>
        </is>
      </c>
      <c r="N665" s="42" t="inlineStr">
        <is>
          <t>개인</t>
        </is>
      </c>
      <c r="O665" s="41" t="inlineStr">
        <is>
          <t>2003</t>
        </is>
      </c>
      <c r="P665" s="42" t="inlineStr">
        <is>
          <t>서초대로65길 13-10</t>
        </is>
      </c>
      <c r="Q665" s="41" t="inlineStr">
        <is>
          <t>-</t>
        </is>
      </c>
      <c r="R665" s="42" t="inlineStr">
        <is>
          <t>중개거래</t>
        </is>
      </c>
      <c r="S665" s="42" t="inlineStr">
        <is>
          <t>서울 서초구</t>
        </is>
      </c>
      <c r="T665" s="41" t="inlineStr">
        <is>
          <t>25.07.07</t>
        </is>
      </c>
      <c r="U665" s="42" t="inlineStr">
        <is>
          <t>아파트</t>
        </is>
      </c>
    </row>
    <row r="666" hidden="1" ht="15" customHeight="1">
      <c r="A666" s="41" t="n">
        <v>133</v>
      </c>
      <c r="B666" s="42" t="inlineStr">
        <is>
          <t>서울특별시 서초구 서초동</t>
        </is>
      </c>
      <c r="C666" s="41" t="inlineStr">
        <is>
          <t>1682</t>
        </is>
      </c>
      <c r="D666" s="41" t="inlineStr">
        <is>
          <t>1682</t>
        </is>
      </c>
      <c r="E666" s="41" t="inlineStr">
        <is>
          <t>0000</t>
        </is>
      </c>
      <c r="F666" s="42" t="inlineStr">
        <is>
          <t>서초래미안</t>
        </is>
      </c>
      <c r="G666" s="41" t="inlineStr">
        <is>
          <t>111.3200</t>
        </is>
      </c>
      <c r="H666" s="41" t="inlineStr">
        <is>
          <t>202503</t>
        </is>
      </c>
      <c r="I666" s="41" t="inlineStr">
        <is>
          <t>08</t>
        </is>
      </c>
      <c r="J666" s="41" t="inlineStr">
        <is>
          <t>248,000</t>
        </is>
      </c>
      <c r="K666" s="41" t="inlineStr">
        <is>
          <t>102</t>
        </is>
      </c>
      <c r="L666" s="41" t="inlineStr">
        <is>
          <t>5</t>
        </is>
      </c>
      <c r="M666" s="42" t="inlineStr">
        <is>
          <t>개인</t>
        </is>
      </c>
      <c r="N666" s="42" t="inlineStr">
        <is>
          <t>개인</t>
        </is>
      </c>
      <c r="O666" s="41" t="inlineStr">
        <is>
          <t>2003</t>
        </is>
      </c>
      <c r="P666" s="42" t="inlineStr">
        <is>
          <t>서초대로65길 13-10</t>
        </is>
      </c>
      <c r="Q666" s="41" t="inlineStr">
        <is>
          <t>-</t>
        </is>
      </c>
      <c r="R666" s="42" t="inlineStr">
        <is>
          <t>중개거래</t>
        </is>
      </c>
      <c r="S666" s="42" t="inlineStr">
        <is>
          <t>서울 서초구</t>
        </is>
      </c>
      <c r="T666" s="41" t="inlineStr">
        <is>
          <t>25.04.30</t>
        </is>
      </c>
      <c r="U666" s="42" t="inlineStr">
        <is>
          <t>아파트</t>
        </is>
      </c>
    </row>
    <row r="667" hidden="1" ht="15" customHeight="1">
      <c r="A667" s="41" t="n">
        <v>134</v>
      </c>
      <c r="B667" s="42" t="inlineStr">
        <is>
          <t>서울특별시 서초구 서초동</t>
        </is>
      </c>
      <c r="C667" s="41" t="inlineStr">
        <is>
          <t>1682</t>
        </is>
      </c>
      <c r="D667" s="41" t="inlineStr">
        <is>
          <t>1682</t>
        </is>
      </c>
      <c r="E667" s="41" t="inlineStr">
        <is>
          <t>0000</t>
        </is>
      </c>
      <c r="F667" s="42" t="inlineStr">
        <is>
          <t>서초래미안</t>
        </is>
      </c>
      <c r="G667" s="41" t="inlineStr">
        <is>
          <t>111.3200</t>
        </is>
      </c>
      <c r="H667" s="41" t="inlineStr">
        <is>
          <t>202503</t>
        </is>
      </c>
      <c r="I667" s="41" t="inlineStr">
        <is>
          <t>08</t>
        </is>
      </c>
      <c r="J667" s="41" t="inlineStr">
        <is>
          <t>270,000</t>
        </is>
      </c>
      <c r="K667" s="41" t="inlineStr">
        <is>
          <t>102</t>
        </is>
      </c>
      <c r="L667" s="41" t="inlineStr">
        <is>
          <t>11</t>
        </is>
      </c>
      <c r="M667" s="42" t="inlineStr">
        <is>
          <t>개인</t>
        </is>
      </c>
      <c r="N667" s="42" t="inlineStr">
        <is>
          <t>개인</t>
        </is>
      </c>
      <c r="O667" s="41" t="inlineStr">
        <is>
          <t>2003</t>
        </is>
      </c>
      <c r="P667" s="42" t="inlineStr">
        <is>
          <t>서초대로65길 13-10</t>
        </is>
      </c>
      <c r="Q667" s="41" t="inlineStr">
        <is>
          <t>-</t>
        </is>
      </c>
      <c r="R667" s="42" t="inlineStr">
        <is>
          <t>중개거래</t>
        </is>
      </c>
      <c r="S667" s="42" t="inlineStr">
        <is>
          <t>서울 서초구</t>
        </is>
      </c>
      <c r="T667" s="41" t="inlineStr">
        <is>
          <t>25.07.01</t>
        </is>
      </c>
      <c r="U667" s="42" t="inlineStr">
        <is>
          <t>아파트</t>
        </is>
      </c>
    </row>
    <row r="668" hidden="1" ht="15" customHeight="1">
      <c r="A668" s="41" t="n">
        <v>135</v>
      </c>
      <c r="B668" s="42" t="inlineStr">
        <is>
          <t>서울특별시 서초구 서초동</t>
        </is>
      </c>
      <c r="C668" s="41" t="inlineStr">
        <is>
          <t>1682</t>
        </is>
      </c>
      <c r="D668" s="41" t="inlineStr">
        <is>
          <t>1682</t>
        </is>
      </c>
      <c r="E668" s="41" t="inlineStr">
        <is>
          <t>0000</t>
        </is>
      </c>
      <c r="F668" s="42" t="inlineStr">
        <is>
          <t>서초래미안</t>
        </is>
      </c>
      <c r="G668" s="41" t="inlineStr">
        <is>
          <t>111.3200</t>
        </is>
      </c>
      <c r="H668" s="41" t="inlineStr">
        <is>
          <t>202503</t>
        </is>
      </c>
      <c r="I668" s="41" t="inlineStr">
        <is>
          <t>08</t>
        </is>
      </c>
      <c r="J668" s="41" t="inlineStr">
        <is>
          <t>270,000</t>
        </is>
      </c>
      <c r="K668" s="41" t="inlineStr">
        <is>
          <t>102</t>
        </is>
      </c>
      <c r="L668" s="41" t="inlineStr">
        <is>
          <t>11</t>
        </is>
      </c>
      <c r="M668" s="42" t="inlineStr">
        <is>
          <t>개인</t>
        </is>
      </c>
      <c r="N668" s="42" t="inlineStr">
        <is>
          <t>개인</t>
        </is>
      </c>
      <c r="O668" s="41" t="inlineStr">
        <is>
          <t>2003</t>
        </is>
      </c>
      <c r="P668" s="42" t="inlineStr">
        <is>
          <t>서초대로65길 13-10</t>
        </is>
      </c>
      <c r="Q668" s="41" t="inlineStr">
        <is>
          <t>-</t>
        </is>
      </c>
      <c r="R668" s="42" t="inlineStr">
        <is>
          <t>중개거래</t>
        </is>
      </c>
      <c r="S668" s="42" t="inlineStr">
        <is>
          <t>서울 서초구</t>
        </is>
      </c>
      <c r="T668" s="41" t="inlineStr">
        <is>
          <t>25.07.01</t>
        </is>
      </c>
      <c r="U668" s="42" t="inlineStr">
        <is>
          <t>아파트</t>
        </is>
      </c>
    </row>
    <row r="669" hidden="1" ht="15" customHeight="1">
      <c r="A669" s="41" t="n">
        <v>136</v>
      </c>
      <c r="B669" s="42" t="inlineStr">
        <is>
          <t>서울특별시 서초구 서초동</t>
        </is>
      </c>
      <c r="C669" s="41" t="inlineStr">
        <is>
          <t>1682</t>
        </is>
      </c>
      <c r="D669" s="41" t="inlineStr">
        <is>
          <t>1682</t>
        </is>
      </c>
      <c r="E669" s="41" t="inlineStr">
        <is>
          <t>0000</t>
        </is>
      </c>
      <c r="F669" s="42" t="inlineStr">
        <is>
          <t>서초래미안</t>
        </is>
      </c>
      <c r="G669" s="41" t="inlineStr">
        <is>
          <t>84.9500</t>
        </is>
      </c>
      <c r="H669" s="41" t="inlineStr">
        <is>
          <t>202503</t>
        </is>
      </c>
      <c r="I669" s="41" t="inlineStr">
        <is>
          <t>08</t>
        </is>
      </c>
      <c r="J669" s="41" t="inlineStr">
        <is>
          <t>240,000</t>
        </is>
      </c>
      <c r="K669" s="41" t="inlineStr">
        <is>
          <t>113</t>
        </is>
      </c>
      <c r="L669" s="41" t="inlineStr">
        <is>
          <t>6</t>
        </is>
      </c>
      <c r="M669" s="42" t="inlineStr">
        <is>
          <t>개인</t>
        </is>
      </c>
      <c r="N669" s="42" t="inlineStr">
        <is>
          <t>개인</t>
        </is>
      </c>
      <c r="O669" s="41" t="inlineStr">
        <is>
          <t>2003</t>
        </is>
      </c>
      <c r="P669" s="42" t="inlineStr">
        <is>
          <t>서초대로65길 13-10</t>
        </is>
      </c>
      <c r="Q669" s="41" t="inlineStr">
        <is>
          <t>-</t>
        </is>
      </c>
      <c r="R669" s="42" t="inlineStr">
        <is>
          <t>중개거래</t>
        </is>
      </c>
      <c r="S669" s="42" t="inlineStr">
        <is>
          <t>서울 서초구</t>
        </is>
      </c>
      <c r="T669" s="41" t="inlineStr">
        <is>
          <t>25.06.09</t>
        </is>
      </c>
      <c r="U669" s="42" t="inlineStr">
        <is>
          <t>아파트</t>
        </is>
      </c>
    </row>
    <row r="670" hidden="1" ht="15" customHeight="1">
      <c r="A670" s="41" t="n">
        <v>137</v>
      </c>
      <c r="B670" s="42" t="inlineStr">
        <is>
          <t>서울특별시 서초구 서초동</t>
        </is>
      </c>
      <c r="C670" s="41" t="inlineStr">
        <is>
          <t>1682</t>
        </is>
      </c>
      <c r="D670" s="41" t="inlineStr">
        <is>
          <t>1682</t>
        </is>
      </c>
      <c r="E670" s="41" t="inlineStr">
        <is>
          <t>0000</t>
        </is>
      </c>
      <c r="F670" s="42" t="inlineStr">
        <is>
          <t>서초래미안</t>
        </is>
      </c>
      <c r="G670" s="41" t="inlineStr">
        <is>
          <t>84.9500</t>
        </is>
      </c>
      <c r="H670" s="41" t="inlineStr">
        <is>
          <t>202503</t>
        </is>
      </c>
      <c r="I670" s="41" t="inlineStr">
        <is>
          <t>08</t>
        </is>
      </c>
      <c r="J670" s="41" t="inlineStr">
        <is>
          <t>260,000</t>
        </is>
      </c>
      <c r="K670" s="41" t="inlineStr">
        <is>
          <t>-</t>
        </is>
      </c>
      <c r="L670" s="41" t="inlineStr">
        <is>
          <t>6</t>
        </is>
      </c>
      <c r="M670" s="42" t="inlineStr">
        <is>
          <t>개인</t>
        </is>
      </c>
      <c r="N670" s="42" t="inlineStr">
        <is>
          <t>개인</t>
        </is>
      </c>
      <c r="O670" s="41" t="inlineStr">
        <is>
          <t>2003</t>
        </is>
      </c>
      <c r="P670" s="42" t="inlineStr">
        <is>
          <t>서초대로65길 13-10</t>
        </is>
      </c>
      <c r="Q670" s="41" t="inlineStr">
        <is>
          <t>20250317</t>
        </is>
      </c>
      <c r="R670" s="42" t="inlineStr">
        <is>
          <t>중개거래</t>
        </is>
      </c>
      <c r="S670" s="42" t="inlineStr">
        <is>
          <t>서울 서초구</t>
        </is>
      </c>
      <c r="T670" s="41" t="inlineStr">
        <is>
          <t>-</t>
        </is>
      </c>
      <c r="U670" s="42" t="inlineStr">
        <is>
          <t>아파트</t>
        </is>
      </c>
    </row>
    <row r="671" hidden="1" ht="15" customHeight="1">
      <c r="A671" s="41" t="n">
        <v>138</v>
      </c>
      <c r="B671" s="42" t="inlineStr">
        <is>
          <t>서울특별시 서초구 서초동</t>
        </is>
      </c>
      <c r="C671" s="41" t="inlineStr">
        <is>
          <t>1346</t>
        </is>
      </c>
      <c r="D671" s="41" t="inlineStr">
        <is>
          <t>1346</t>
        </is>
      </c>
      <c r="E671" s="41" t="inlineStr">
        <is>
          <t>0000</t>
        </is>
      </c>
      <c r="F671" s="42" t="inlineStr">
        <is>
          <t>현대아파트</t>
        </is>
      </c>
      <c r="G671" s="41" t="inlineStr">
        <is>
          <t>84.3400</t>
        </is>
      </c>
      <c r="H671" s="41" t="inlineStr">
        <is>
          <t>202503</t>
        </is>
      </c>
      <c r="I671" s="41" t="inlineStr">
        <is>
          <t>08</t>
        </is>
      </c>
      <c r="J671" s="41" t="inlineStr">
        <is>
          <t>173,000</t>
        </is>
      </c>
      <c r="K671" s="41" t="inlineStr">
        <is>
          <t>21</t>
        </is>
      </c>
      <c r="L671" s="41" t="inlineStr">
        <is>
          <t>5</t>
        </is>
      </c>
      <c r="M671" s="42" t="inlineStr">
        <is>
          <t>개인</t>
        </is>
      </c>
      <c r="N671" s="42" t="inlineStr">
        <is>
          <t>개인</t>
        </is>
      </c>
      <c r="O671" s="41" t="inlineStr">
        <is>
          <t>1989</t>
        </is>
      </c>
      <c r="P671" s="42" t="inlineStr">
        <is>
          <t>효령로68길 13</t>
        </is>
      </c>
      <c r="Q671" s="41" t="inlineStr">
        <is>
          <t>-</t>
        </is>
      </c>
      <c r="R671" s="42" t="inlineStr">
        <is>
          <t>중개거래</t>
        </is>
      </c>
      <c r="S671" s="42" t="inlineStr">
        <is>
          <t>서울 서초구</t>
        </is>
      </c>
      <c r="T671" s="41" t="inlineStr">
        <is>
          <t>25.06.27</t>
        </is>
      </c>
      <c r="U671" s="42" t="inlineStr">
        <is>
          <t>아파트</t>
        </is>
      </c>
    </row>
    <row r="672" hidden="1" ht="15" customHeight="1">
      <c r="A672" s="41" t="n">
        <v>139</v>
      </c>
      <c r="B672" s="42" t="inlineStr">
        <is>
          <t>서울특별시 서초구 서초동</t>
        </is>
      </c>
      <c r="C672" s="41" t="inlineStr">
        <is>
          <t>1687</t>
        </is>
      </c>
      <c r="D672" s="41" t="inlineStr">
        <is>
          <t>1687</t>
        </is>
      </c>
      <c r="E672" s="41" t="inlineStr">
        <is>
          <t>0000</t>
        </is>
      </c>
      <c r="F672" s="42" t="inlineStr">
        <is>
          <t>유원서초</t>
        </is>
      </c>
      <c r="G672" s="41" t="inlineStr">
        <is>
          <t>84.8200</t>
        </is>
      </c>
      <c r="H672" s="41" t="inlineStr">
        <is>
          <t>202503</t>
        </is>
      </c>
      <c r="I672" s="41" t="inlineStr">
        <is>
          <t>08</t>
        </is>
      </c>
      <c r="J672" s="41" t="inlineStr">
        <is>
          <t>206,500</t>
        </is>
      </c>
      <c r="K672" s="41" t="inlineStr">
        <is>
          <t>102</t>
        </is>
      </c>
      <c r="L672" s="41" t="inlineStr">
        <is>
          <t>5</t>
        </is>
      </c>
      <c r="M672" s="42" t="inlineStr">
        <is>
          <t>개인</t>
        </is>
      </c>
      <c r="N672" s="42" t="inlineStr">
        <is>
          <t>개인</t>
        </is>
      </c>
      <c r="O672" s="41" t="inlineStr">
        <is>
          <t>1993</t>
        </is>
      </c>
      <c r="P672" s="42" t="inlineStr">
        <is>
          <t>서초중앙로24길 43</t>
        </is>
      </c>
      <c r="Q672" s="41" t="inlineStr">
        <is>
          <t>-</t>
        </is>
      </c>
      <c r="R672" s="42" t="inlineStr">
        <is>
          <t>중개거래</t>
        </is>
      </c>
      <c r="S672" s="42" t="inlineStr">
        <is>
          <t>서울 서초구</t>
        </is>
      </c>
      <c r="T672" s="41" t="inlineStr">
        <is>
          <t>25.06.04</t>
        </is>
      </c>
      <c r="U672" s="42" t="inlineStr">
        <is>
          <t>아파트</t>
        </is>
      </c>
    </row>
    <row r="673" hidden="1" ht="15" customHeight="1">
      <c r="A673" s="41" t="n">
        <v>140</v>
      </c>
      <c r="B673" s="42" t="inlineStr">
        <is>
          <t>서울특별시 서초구 서초동</t>
        </is>
      </c>
      <c r="C673" s="41" t="inlineStr">
        <is>
          <t>1685</t>
        </is>
      </c>
      <c r="D673" s="41" t="inlineStr">
        <is>
          <t>1685</t>
        </is>
      </c>
      <c r="E673" s="41" t="inlineStr">
        <is>
          <t>0000</t>
        </is>
      </c>
      <c r="F673" s="42" t="inlineStr">
        <is>
          <t>삼풍아파트</t>
        </is>
      </c>
      <c r="G673" s="41" t="inlineStr">
        <is>
          <t>79.4700</t>
        </is>
      </c>
      <c r="H673" s="41" t="inlineStr">
        <is>
          <t>202503</t>
        </is>
      </c>
      <c r="I673" s="41" t="inlineStr">
        <is>
          <t>08</t>
        </is>
      </c>
      <c r="J673" s="41" t="inlineStr">
        <is>
          <t>295,000</t>
        </is>
      </c>
      <c r="K673" s="41" t="inlineStr">
        <is>
          <t>8</t>
        </is>
      </c>
      <c r="L673" s="41" t="inlineStr">
        <is>
          <t>9</t>
        </is>
      </c>
      <c r="M673" s="42" t="inlineStr">
        <is>
          <t>개인</t>
        </is>
      </c>
      <c r="N673" s="42" t="inlineStr">
        <is>
          <t>개인</t>
        </is>
      </c>
      <c r="O673" s="41" t="inlineStr">
        <is>
          <t>1988</t>
        </is>
      </c>
      <c r="P673" s="42" t="inlineStr">
        <is>
          <t>서초중앙로 200</t>
        </is>
      </c>
      <c r="Q673" s="41" t="inlineStr">
        <is>
          <t>-</t>
        </is>
      </c>
      <c r="R673" s="42" t="inlineStr">
        <is>
          <t>중개거래</t>
        </is>
      </c>
      <c r="S673" s="42" t="inlineStr">
        <is>
          <t>서울 서초구</t>
        </is>
      </c>
      <c r="T673" s="41" t="inlineStr">
        <is>
          <t>25.06.26</t>
        </is>
      </c>
      <c r="U673" s="42" t="inlineStr">
        <is>
          <t>아파트</t>
        </is>
      </c>
    </row>
    <row r="674" hidden="1" ht="15" customHeight="1">
      <c r="A674" s="41" t="n">
        <v>141</v>
      </c>
      <c r="B674" s="42" t="inlineStr">
        <is>
          <t>서울특별시 서초구 서초동</t>
        </is>
      </c>
      <c r="C674" s="41" t="inlineStr">
        <is>
          <t>1529</t>
        </is>
      </c>
      <c r="D674" s="41" t="inlineStr">
        <is>
          <t>1529</t>
        </is>
      </c>
      <c r="E674" s="41" t="inlineStr">
        <is>
          <t>0000</t>
        </is>
      </c>
      <c r="F674" s="42" t="inlineStr">
        <is>
          <t>서초2차e-편한세상</t>
        </is>
      </c>
      <c r="G674" s="41" t="inlineStr">
        <is>
          <t>116.7450</t>
        </is>
      </c>
      <c r="H674" s="41" t="inlineStr">
        <is>
          <t>202503</t>
        </is>
      </c>
      <c r="I674" s="41" t="inlineStr">
        <is>
          <t>08</t>
        </is>
      </c>
      <c r="J674" s="41" t="inlineStr">
        <is>
          <t>205,000</t>
        </is>
      </c>
      <c r="K674" s="41" t="inlineStr">
        <is>
          <t>203</t>
        </is>
      </c>
      <c r="L674" s="41" t="inlineStr">
        <is>
          <t>2</t>
        </is>
      </c>
      <c r="M674" s="42" t="inlineStr">
        <is>
          <t>개인</t>
        </is>
      </c>
      <c r="N674" s="42" t="inlineStr">
        <is>
          <t>개인</t>
        </is>
      </c>
      <c r="O674" s="41" t="inlineStr">
        <is>
          <t>2005</t>
        </is>
      </c>
      <c r="P674" s="42" t="inlineStr">
        <is>
          <t>효령로49길 57</t>
        </is>
      </c>
      <c r="Q674" s="41" t="inlineStr">
        <is>
          <t>-</t>
        </is>
      </c>
      <c r="R674" s="42" t="inlineStr">
        <is>
          <t>중개거래</t>
        </is>
      </c>
      <c r="S674" s="42" t="inlineStr">
        <is>
          <t>서울 서초구</t>
        </is>
      </c>
      <c r="T674" s="41" t="inlineStr">
        <is>
          <t>25.06.13</t>
        </is>
      </c>
      <c r="U674" s="42" t="inlineStr">
        <is>
          <t>아파트</t>
        </is>
      </c>
    </row>
    <row r="675" hidden="1" ht="15" customHeight="1">
      <c r="A675" s="41" t="n">
        <v>142</v>
      </c>
      <c r="B675" s="42" t="inlineStr">
        <is>
          <t>서울특별시 서초구 서초동</t>
        </is>
      </c>
      <c r="C675" s="41" t="inlineStr">
        <is>
          <t>1527-10</t>
        </is>
      </c>
      <c r="D675" s="41" t="inlineStr">
        <is>
          <t>1527</t>
        </is>
      </c>
      <c r="E675" s="41" t="inlineStr">
        <is>
          <t>0010</t>
        </is>
      </c>
      <c r="F675" s="42" t="inlineStr">
        <is>
          <t>서초로즈힐</t>
        </is>
      </c>
      <c r="G675" s="41" t="inlineStr">
        <is>
          <t>116.2100</t>
        </is>
      </c>
      <c r="H675" s="41" t="inlineStr">
        <is>
          <t>202503</t>
        </is>
      </c>
      <c r="I675" s="41" t="inlineStr">
        <is>
          <t>08</t>
        </is>
      </c>
      <c r="J675" s="41" t="inlineStr">
        <is>
          <t>142,500</t>
        </is>
      </c>
      <c r="K675" s="42" t="inlineStr">
        <is>
          <t>서초로즈힐</t>
        </is>
      </c>
      <c r="L675" s="41" t="inlineStr">
        <is>
          <t>2</t>
        </is>
      </c>
      <c r="M675" s="42" t="inlineStr">
        <is>
          <t>개인</t>
        </is>
      </c>
      <c r="N675" s="42" t="inlineStr">
        <is>
          <t>개인</t>
        </is>
      </c>
      <c r="O675" s="41" t="inlineStr">
        <is>
          <t>2005</t>
        </is>
      </c>
      <c r="P675" s="42" t="inlineStr">
        <is>
          <t>효령로45길 15</t>
        </is>
      </c>
      <c r="Q675" s="41" t="inlineStr">
        <is>
          <t>-</t>
        </is>
      </c>
      <c r="R675" s="42" t="inlineStr">
        <is>
          <t>중개거래</t>
        </is>
      </c>
      <c r="S675" s="42" t="inlineStr">
        <is>
          <t>서울 서초구</t>
        </is>
      </c>
      <c r="T675" s="41" t="inlineStr">
        <is>
          <t>25.07.15</t>
        </is>
      </c>
      <c r="U675" s="42" t="inlineStr">
        <is>
          <t>아파트</t>
        </is>
      </c>
    </row>
    <row r="676" hidden="1" ht="15" customHeight="1">
      <c r="A676" s="41" t="n">
        <v>143</v>
      </c>
      <c r="B676" s="42" t="inlineStr">
        <is>
          <t>서울특별시 서초구 서초동</t>
        </is>
      </c>
      <c r="C676" s="41" t="inlineStr">
        <is>
          <t>1359</t>
        </is>
      </c>
      <c r="D676" s="41" t="inlineStr">
        <is>
          <t>1359</t>
        </is>
      </c>
      <c r="E676" s="41" t="inlineStr">
        <is>
          <t>0000</t>
        </is>
      </c>
      <c r="F676" s="42" t="inlineStr">
        <is>
          <t>서초동현대리츠빌</t>
        </is>
      </c>
      <c r="G676" s="41" t="inlineStr">
        <is>
          <t>163.5100</t>
        </is>
      </c>
      <c r="H676" s="41" t="inlineStr">
        <is>
          <t>202503</t>
        </is>
      </c>
      <c r="I676" s="41" t="inlineStr">
        <is>
          <t>08</t>
        </is>
      </c>
      <c r="J676" s="41" t="inlineStr">
        <is>
          <t>210,000</t>
        </is>
      </c>
      <c r="K676" s="41" t="inlineStr">
        <is>
          <t>101</t>
        </is>
      </c>
      <c r="L676" s="41" t="inlineStr">
        <is>
          <t>6</t>
        </is>
      </c>
      <c r="M676" s="42" t="inlineStr">
        <is>
          <t>개인</t>
        </is>
      </c>
      <c r="N676" s="42" t="inlineStr">
        <is>
          <t>개인</t>
        </is>
      </c>
      <c r="O676" s="41" t="inlineStr">
        <is>
          <t>2002</t>
        </is>
      </c>
      <c r="P676" s="42" t="inlineStr">
        <is>
          <t>강남대로43길 51</t>
        </is>
      </c>
      <c r="Q676" s="41" t="inlineStr">
        <is>
          <t>-</t>
        </is>
      </c>
      <c r="R676" s="42" t="inlineStr">
        <is>
          <t>중개거래</t>
        </is>
      </c>
      <c r="S676" s="42" t="inlineStr">
        <is>
          <t>서울 서초구</t>
        </is>
      </c>
      <c r="T676" s="41" t="inlineStr">
        <is>
          <t>25.03.20</t>
        </is>
      </c>
      <c r="U676" s="42" t="inlineStr">
        <is>
          <t>아파트</t>
        </is>
      </c>
    </row>
    <row r="677" hidden="1" ht="15" customHeight="1">
      <c r="A677" s="41" t="n">
        <v>144</v>
      </c>
      <c r="B677" s="42" t="inlineStr">
        <is>
          <t>서울특별시 서초구 서초동</t>
        </is>
      </c>
      <c r="C677" s="41" t="inlineStr">
        <is>
          <t>1755</t>
        </is>
      </c>
      <c r="D677" s="41" t="inlineStr">
        <is>
          <t>1755</t>
        </is>
      </c>
      <c r="E677" s="41" t="inlineStr">
        <is>
          <t>0000</t>
        </is>
      </c>
      <c r="F677" s="42" t="inlineStr">
        <is>
          <t>래미안 리더스원</t>
        </is>
      </c>
      <c r="G677" s="41" t="inlineStr">
        <is>
          <t>84.9400</t>
        </is>
      </c>
      <c r="H677" s="41" t="inlineStr">
        <is>
          <t>202503</t>
        </is>
      </c>
      <c r="I677" s="41" t="inlineStr">
        <is>
          <t>08</t>
        </is>
      </c>
      <c r="J677" s="41" t="inlineStr">
        <is>
          <t>337,500</t>
        </is>
      </c>
      <c r="K677" s="41" t="inlineStr">
        <is>
          <t>106동</t>
        </is>
      </c>
      <c r="L677" s="41" t="inlineStr">
        <is>
          <t>23</t>
        </is>
      </c>
      <c r="M677" s="42" t="inlineStr">
        <is>
          <t>개인</t>
        </is>
      </c>
      <c r="N677" s="42" t="inlineStr">
        <is>
          <t>개인</t>
        </is>
      </c>
      <c r="O677" s="41" t="inlineStr">
        <is>
          <t>2020</t>
        </is>
      </c>
      <c r="P677" s="42" t="inlineStr">
        <is>
          <t>서운로 62</t>
        </is>
      </c>
      <c r="Q677" s="41" t="inlineStr">
        <is>
          <t>-</t>
        </is>
      </c>
      <c r="R677" s="42" t="inlineStr">
        <is>
          <t>중개거래</t>
        </is>
      </c>
      <c r="S677" s="42" t="inlineStr">
        <is>
          <t>서울 서초구</t>
        </is>
      </c>
      <c r="T677" s="41" t="inlineStr">
        <is>
          <t>25.07.09</t>
        </is>
      </c>
      <c r="U677" s="42" t="inlineStr">
        <is>
          <t>아파트</t>
        </is>
      </c>
    </row>
    <row r="678" hidden="1" ht="15" customHeight="1">
      <c r="A678" s="41" t="n">
        <v>145</v>
      </c>
      <c r="B678" s="42" t="inlineStr">
        <is>
          <t>서울특별시 서초구 서초동</t>
        </is>
      </c>
      <c r="C678" s="41" t="inlineStr">
        <is>
          <t>1755</t>
        </is>
      </c>
      <c r="D678" s="41" t="inlineStr">
        <is>
          <t>1755</t>
        </is>
      </c>
      <c r="E678" s="41" t="inlineStr">
        <is>
          <t>0000</t>
        </is>
      </c>
      <c r="F678" s="42" t="inlineStr">
        <is>
          <t>래미안 리더스원</t>
        </is>
      </c>
      <c r="G678" s="41" t="inlineStr">
        <is>
          <t>59.9700</t>
        </is>
      </c>
      <c r="H678" s="41" t="inlineStr">
        <is>
          <t>202503</t>
        </is>
      </c>
      <c r="I678" s="41" t="inlineStr">
        <is>
          <t>08</t>
        </is>
      </c>
      <c r="J678" s="41" t="inlineStr">
        <is>
          <t>285,000</t>
        </is>
      </c>
      <c r="K678" s="41" t="inlineStr">
        <is>
          <t>110동</t>
        </is>
      </c>
      <c r="L678" s="41" t="inlineStr">
        <is>
          <t>21</t>
        </is>
      </c>
      <c r="M678" s="42" t="inlineStr">
        <is>
          <t>개인</t>
        </is>
      </c>
      <c r="N678" s="42" t="inlineStr">
        <is>
          <t>개인</t>
        </is>
      </c>
      <c r="O678" s="41" t="inlineStr">
        <is>
          <t>2020</t>
        </is>
      </c>
      <c r="P678" s="42" t="inlineStr">
        <is>
          <t>서운로 62</t>
        </is>
      </c>
      <c r="Q678" s="41" t="inlineStr">
        <is>
          <t>-</t>
        </is>
      </c>
      <c r="R678" s="42" t="inlineStr">
        <is>
          <t>중개거래</t>
        </is>
      </c>
      <c r="S678" s="42" t="inlineStr">
        <is>
          <t>서울 서초구</t>
        </is>
      </c>
      <c r="T678" s="41" t="inlineStr">
        <is>
          <t>25.06.30</t>
        </is>
      </c>
      <c r="U678" s="42" t="inlineStr">
        <is>
          <t>아파트</t>
        </is>
      </c>
    </row>
    <row r="679" hidden="1" ht="15" customHeight="1">
      <c r="A679" s="41" t="n">
        <v>146</v>
      </c>
      <c r="B679" s="42" t="inlineStr">
        <is>
          <t>서울특별시 서초구 서초동</t>
        </is>
      </c>
      <c r="C679" s="41" t="inlineStr">
        <is>
          <t>1755</t>
        </is>
      </c>
      <c r="D679" s="41" t="inlineStr">
        <is>
          <t>1755</t>
        </is>
      </c>
      <c r="E679" s="41" t="inlineStr">
        <is>
          <t>0000</t>
        </is>
      </c>
      <c r="F679" s="42" t="inlineStr">
        <is>
          <t>래미안 리더스원</t>
        </is>
      </c>
      <c r="G679" s="41" t="inlineStr">
        <is>
          <t>114.9400</t>
        </is>
      </c>
      <c r="H679" s="41" t="inlineStr">
        <is>
          <t>202503</t>
        </is>
      </c>
      <c r="I679" s="41" t="inlineStr">
        <is>
          <t>08</t>
        </is>
      </c>
      <c r="J679" s="41" t="inlineStr">
        <is>
          <t>399,900</t>
        </is>
      </c>
      <c r="K679" s="41" t="inlineStr">
        <is>
          <t>107동</t>
        </is>
      </c>
      <c r="L679" s="41" t="inlineStr">
        <is>
          <t>19</t>
        </is>
      </c>
      <c r="M679" s="42" t="inlineStr">
        <is>
          <t>개인</t>
        </is>
      </c>
      <c r="N679" s="42" t="inlineStr">
        <is>
          <t>개인</t>
        </is>
      </c>
      <c r="O679" s="41" t="inlineStr">
        <is>
          <t>2020</t>
        </is>
      </c>
      <c r="P679" s="42" t="inlineStr">
        <is>
          <t>서운로 62</t>
        </is>
      </c>
      <c r="Q679" s="41" t="inlineStr">
        <is>
          <t>-</t>
        </is>
      </c>
      <c r="R679" s="42" t="inlineStr">
        <is>
          <t>중개거래</t>
        </is>
      </c>
      <c r="S679" s="42" t="inlineStr">
        <is>
          <t>서울 서초구</t>
        </is>
      </c>
      <c r="T679" s="41" t="inlineStr">
        <is>
          <t>25.05.29</t>
        </is>
      </c>
      <c r="U679" s="42" t="inlineStr">
        <is>
          <t>아파트</t>
        </is>
      </c>
    </row>
    <row r="680" hidden="1" ht="15" customHeight="1">
      <c r="A680" s="41" t="n">
        <v>147</v>
      </c>
      <c r="B680" s="42" t="inlineStr">
        <is>
          <t>서울특별시 서초구 서초동</t>
        </is>
      </c>
      <c r="C680" s="41" t="inlineStr">
        <is>
          <t>1755</t>
        </is>
      </c>
      <c r="D680" s="41" t="inlineStr">
        <is>
          <t>1755</t>
        </is>
      </c>
      <c r="E680" s="41" t="inlineStr">
        <is>
          <t>0000</t>
        </is>
      </c>
      <c r="F680" s="42" t="inlineStr">
        <is>
          <t>래미안 리더스원</t>
        </is>
      </c>
      <c r="G680" s="41" t="inlineStr">
        <is>
          <t>84.9300</t>
        </is>
      </c>
      <c r="H680" s="41" t="inlineStr">
        <is>
          <t>202503</t>
        </is>
      </c>
      <c r="I680" s="41" t="inlineStr">
        <is>
          <t>08</t>
        </is>
      </c>
      <c r="J680" s="41" t="inlineStr">
        <is>
          <t>352,000</t>
        </is>
      </c>
      <c r="K680" s="41" t="inlineStr">
        <is>
          <t>111동</t>
        </is>
      </c>
      <c r="L680" s="41" t="inlineStr">
        <is>
          <t>17</t>
        </is>
      </c>
      <c r="M680" s="42" t="inlineStr">
        <is>
          <t>개인</t>
        </is>
      </c>
      <c r="N680" s="42" t="inlineStr">
        <is>
          <t>개인</t>
        </is>
      </c>
      <c r="O680" s="41" t="inlineStr">
        <is>
          <t>2020</t>
        </is>
      </c>
      <c r="P680" s="42" t="inlineStr">
        <is>
          <t>서운로 62</t>
        </is>
      </c>
      <c r="Q680" s="41" t="inlineStr">
        <is>
          <t>-</t>
        </is>
      </c>
      <c r="R680" s="42" t="inlineStr">
        <is>
          <t>중개거래</t>
        </is>
      </c>
      <c r="S680" s="42" t="inlineStr">
        <is>
          <t>서울 서초구</t>
        </is>
      </c>
      <c r="T680" s="41" t="inlineStr">
        <is>
          <t>25.05.30</t>
        </is>
      </c>
      <c r="U680" s="42" t="inlineStr">
        <is>
          <t>아파트</t>
        </is>
      </c>
    </row>
    <row r="681" hidden="1" ht="15" customHeight="1">
      <c r="A681" s="41" t="n">
        <v>148</v>
      </c>
      <c r="B681" s="42" t="inlineStr">
        <is>
          <t>서울특별시 서초구 서초동</t>
        </is>
      </c>
      <c r="C681" s="41" t="inlineStr">
        <is>
          <t>1311-10</t>
        </is>
      </c>
      <c r="D681" s="41" t="inlineStr">
        <is>
          <t>1311</t>
        </is>
      </c>
      <c r="E681" s="41" t="inlineStr">
        <is>
          <t>0010</t>
        </is>
      </c>
      <c r="F681" s="42" t="inlineStr">
        <is>
          <t>서초푸르지오써밋</t>
        </is>
      </c>
      <c r="G681" s="41" t="inlineStr">
        <is>
          <t>74.9600</t>
        </is>
      </c>
      <c r="H681" s="41" t="inlineStr">
        <is>
          <t>202503</t>
        </is>
      </c>
      <c r="I681" s="41" t="inlineStr">
        <is>
          <t>08</t>
        </is>
      </c>
      <c r="J681" s="41" t="inlineStr">
        <is>
          <t>297,500</t>
        </is>
      </c>
      <c r="K681" s="41" t="inlineStr">
        <is>
          <t>103</t>
        </is>
      </c>
      <c r="L681" s="41" t="inlineStr">
        <is>
          <t>7</t>
        </is>
      </c>
      <c r="M681" s="42" t="inlineStr">
        <is>
          <t>개인</t>
        </is>
      </c>
      <c r="N681" s="42" t="inlineStr">
        <is>
          <t>개인</t>
        </is>
      </c>
      <c r="O681" s="41" t="inlineStr">
        <is>
          <t>2017</t>
        </is>
      </c>
      <c r="P681" s="42" t="inlineStr">
        <is>
          <t>서운로 201</t>
        </is>
      </c>
      <c r="Q681" s="41" t="inlineStr">
        <is>
          <t>-</t>
        </is>
      </c>
      <c r="R681" s="42" t="inlineStr">
        <is>
          <t>중개거래</t>
        </is>
      </c>
      <c r="S681" s="42" t="inlineStr">
        <is>
          <t>서울 서초구</t>
        </is>
      </c>
      <c r="T681" s="41" t="inlineStr">
        <is>
          <t>25.09.01</t>
        </is>
      </c>
      <c r="U681" s="42" t="inlineStr">
        <is>
          <t>아파트</t>
        </is>
      </c>
    </row>
    <row r="682" hidden="1" ht="15" customHeight="1">
      <c r="A682" s="41" t="n">
        <v>149</v>
      </c>
      <c r="B682" s="42" t="inlineStr">
        <is>
          <t>서울특별시 서초구 서초동</t>
        </is>
      </c>
      <c r="C682" s="41" t="inlineStr">
        <is>
          <t>1445-14</t>
        </is>
      </c>
      <c r="D682" s="41" t="inlineStr">
        <is>
          <t>1445</t>
        </is>
      </c>
      <c r="E682" s="41" t="inlineStr">
        <is>
          <t>0014</t>
        </is>
      </c>
      <c r="F682" s="42" t="inlineStr">
        <is>
          <t>더샵서초</t>
        </is>
      </c>
      <c r="G682" s="41" t="inlineStr">
        <is>
          <t>152.9500</t>
        </is>
      </c>
      <c r="H682" s="41" t="inlineStr">
        <is>
          <t>202503</t>
        </is>
      </c>
      <c r="I682" s="41" t="inlineStr">
        <is>
          <t>08</t>
        </is>
      </c>
      <c r="J682" s="41" t="inlineStr">
        <is>
          <t>235,000</t>
        </is>
      </c>
      <c r="K682" s="41" t="inlineStr">
        <is>
          <t>102</t>
        </is>
      </c>
      <c r="L682" s="41" t="inlineStr">
        <is>
          <t>18</t>
        </is>
      </c>
      <c r="M682" s="42" t="inlineStr">
        <is>
          <t>개인</t>
        </is>
      </c>
      <c r="N682" s="42" t="inlineStr">
        <is>
          <t>개인</t>
        </is>
      </c>
      <c r="O682" s="41" t="inlineStr">
        <is>
          <t>2006</t>
        </is>
      </c>
      <c r="P682" s="42" t="inlineStr">
        <is>
          <t>서초중앙로2길 21</t>
        </is>
      </c>
      <c r="Q682" s="41" t="inlineStr">
        <is>
          <t>-</t>
        </is>
      </c>
      <c r="R682" s="42" t="inlineStr">
        <is>
          <t>중개거래</t>
        </is>
      </c>
      <c r="S682" s="42" t="inlineStr">
        <is>
          <t>서울 서초구</t>
        </is>
      </c>
      <c r="T682" s="41" t="inlineStr">
        <is>
          <t>25.06.27</t>
        </is>
      </c>
      <c r="U682" s="42" t="inlineStr">
        <is>
          <t>아파트</t>
        </is>
      </c>
    </row>
    <row r="683" hidden="1" ht="15" customHeight="1">
      <c r="A683" s="41" t="n">
        <v>150</v>
      </c>
      <c r="B683" s="42" t="inlineStr">
        <is>
          <t>서울특별시 서초구 서초동</t>
        </is>
      </c>
      <c r="C683" s="41" t="inlineStr">
        <is>
          <t>1344-13</t>
        </is>
      </c>
      <c r="D683" s="41" t="inlineStr">
        <is>
          <t>1344</t>
        </is>
      </c>
      <c r="E683" s="41" t="inlineStr">
        <is>
          <t>0013</t>
        </is>
      </c>
      <c r="F683" s="42" t="inlineStr">
        <is>
          <t>서초트라팰리스</t>
        </is>
      </c>
      <c r="G683" s="41" t="inlineStr">
        <is>
          <t>81.7600</t>
        </is>
      </c>
      <c r="H683" s="41" t="inlineStr">
        <is>
          <t>202503</t>
        </is>
      </c>
      <c r="I683" s="41" t="inlineStr">
        <is>
          <t>08</t>
        </is>
      </c>
      <c r="J683" s="41" t="inlineStr">
        <is>
          <t>148,000</t>
        </is>
      </c>
      <c r="K683" s="41" t="inlineStr">
        <is>
          <t>A</t>
        </is>
      </c>
      <c r="L683" s="41" t="inlineStr">
        <is>
          <t>8</t>
        </is>
      </c>
      <c r="M683" s="42" t="inlineStr">
        <is>
          <t>개인</t>
        </is>
      </c>
      <c r="N683" s="42" t="inlineStr">
        <is>
          <t>개인</t>
        </is>
      </c>
      <c r="O683" s="41" t="inlineStr">
        <is>
          <t>2005</t>
        </is>
      </c>
      <c r="P683" s="42" t="inlineStr">
        <is>
          <t>효령로72길 57</t>
        </is>
      </c>
      <c r="Q683" s="41" t="inlineStr">
        <is>
          <t>-</t>
        </is>
      </c>
      <c r="R683" s="42" t="inlineStr">
        <is>
          <t>중개거래</t>
        </is>
      </c>
      <c r="S683" s="42" t="inlineStr">
        <is>
          <t>서울 서초구</t>
        </is>
      </c>
      <c r="T683" s="41" t="inlineStr">
        <is>
          <t>25.06.09</t>
        </is>
      </c>
      <c r="U683" s="42" t="inlineStr">
        <is>
          <t>아파트</t>
        </is>
      </c>
    </row>
    <row r="684" hidden="1" ht="15" customHeight="1">
      <c r="A684" s="41" t="n">
        <v>151</v>
      </c>
      <c r="B684" s="42" t="inlineStr">
        <is>
          <t>서울특별시 서초구 서초동</t>
        </is>
      </c>
      <c r="C684" s="41" t="inlineStr">
        <is>
          <t>1446-11</t>
        </is>
      </c>
      <c r="D684" s="41" t="inlineStr">
        <is>
          <t>1446</t>
        </is>
      </c>
      <c r="E684" s="41" t="inlineStr">
        <is>
          <t>0011</t>
        </is>
      </c>
      <c r="F684" s="42" t="inlineStr">
        <is>
          <t>현대슈퍼빌</t>
        </is>
      </c>
      <c r="G684" s="41" t="inlineStr">
        <is>
          <t>164.8700</t>
        </is>
      </c>
      <c r="H684" s="41" t="inlineStr">
        <is>
          <t>202503</t>
        </is>
      </c>
      <c r="I684" s="41" t="inlineStr">
        <is>
          <t>07</t>
        </is>
      </c>
      <c r="J684" s="41" t="inlineStr">
        <is>
          <t>250,000</t>
        </is>
      </c>
      <c r="K684" s="41" t="inlineStr">
        <is>
          <t>A</t>
        </is>
      </c>
      <c r="L684" s="41" t="inlineStr">
        <is>
          <t>25</t>
        </is>
      </c>
      <c r="M684" s="42" t="inlineStr">
        <is>
          <t>개인</t>
        </is>
      </c>
      <c r="N684" s="42" t="inlineStr">
        <is>
          <t>개인</t>
        </is>
      </c>
      <c r="O684" s="41" t="inlineStr">
        <is>
          <t>2003</t>
        </is>
      </c>
      <c r="P684" s="42" t="inlineStr">
        <is>
          <t>서초중앙로 15</t>
        </is>
      </c>
      <c r="Q684" s="41" t="inlineStr">
        <is>
          <t>-</t>
        </is>
      </c>
      <c r="R684" s="42" t="inlineStr">
        <is>
          <t>중개거래</t>
        </is>
      </c>
      <c r="S684" s="42" t="inlineStr">
        <is>
          <t>서울 서초구</t>
        </is>
      </c>
      <c r="T684" s="41" t="inlineStr">
        <is>
          <t>25.05.16</t>
        </is>
      </c>
      <c r="U684" s="42" t="inlineStr">
        <is>
          <t>아파트</t>
        </is>
      </c>
    </row>
    <row r="685" hidden="1" ht="15" customHeight="1">
      <c r="A685" s="41" t="n">
        <v>152</v>
      </c>
      <c r="B685" s="42" t="inlineStr">
        <is>
          <t>서울특별시 서초구 서초동</t>
        </is>
      </c>
      <c r="C685" s="41" t="inlineStr">
        <is>
          <t>1687</t>
        </is>
      </c>
      <c r="D685" s="41" t="inlineStr">
        <is>
          <t>1687</t>
        </is>
      </c>
      <c r="E685" s="41" t="inlineStr">
        <is>
          <t>0000</t>
        </is>
      </c>
      <c r="F685" s="42" t="inlineStr">
        <is>
          <t>유원서초</t>
        </is>
      </c>
      <c r="G685" s="41" t="inlineStr">
        <is>
          <t>84.8200</t>
        </is>
      </c>
      <c r="H685" s="41" t="inlineStr">
        <is>
          <t>202503</t>
        </is>
      </c>
      <c r="I685" s="41" t="inlineStr">
        <is>
          <t>07</t>
        </is>
      </c>
      <c r="J685" s="41" t="inlineStr">
        <is>
          <t>217,000</t>
        </is>
      </c>
      <c r="K685" s="41" t="inlineStr">
        <is>
          <t>101</t>
        </is>
      </c>
      <c r="L685" s="41" t="inlineStr">
        <is>
          <t>12</t>
        </is>
      </c>
      <c r="M685" s="42" t="inlineStr">
        <is>
          <t>개인</t>
        </is>
      </c>
      <c r="N685" s="42" t="inlineStr">
        <is>
          <t>개인</t>
        </is>
      </c>
      <c r="O685" s="41" t="inlineStr">
        <is>
          <t>1993</t>
        </is>
      </c>
      <c r="P685" s="42" t="inlineStr">
        <is>
          <t>서초중앙로24길 43</t>
        </is>
      </c>
      <c r="Q685" s="41" t="inlineStr">
        <is>
          <t>-</t>
        </is>
      </c>
      <c r="R685" s="42" t="inlineStr">
        <is>
          <t>중개거래</t>
        </is>
      </c>
      <c r="S685" s="42" t="inlineStr">
        <is>
          <t>서울 서초구</t>
        </is>
      </c>
      <c r="T685" s="41" t="inlineStr">
        <is>
          <t>25.07.01</t>
        </is>
      </c>
      <c r="U685" s="42" t="inlineStr">
        <is>
          <t>아파트</t>
        </is>
      </c>
    </row>
    <row r="686" hidden="1" ht="15" customHeight="1">
      <c r="A686" s="41" t="n">
        <v>153</v>
      </c>
      <c r="B686" s="42" t="inlineStr">
        <is>
          <t>서울특별시 서초구 서초동</t>
        </is>
      </c>
      <c r="C686" s="41" t="inlineStr">
        <is>
          <t>1687</t>
        </is>
      </c>
      <c r="D686" s="41" t="inlineStr">
        <is>
          <t>1687</t>
        </is>
      </c>
      <c r="E686" s="41" t="inlineStr">
        <is>
          <t>0000</t>
        </is>
      </c>
      <c r="F686" s="42" t="inlineStr">
        <is>
          <t>유원서초</t>
        </is>
      </c>
      <c r="G686" s="41" t="inlineStr">
        <is>
          <t>84.8200</t>
        </is>
      </c>
      <c r="H686" s="41" t="inlineStr">
        <is>
          <t>202503</t>
        </is>
      </c>
      <c r="I686" s="41" t="inlineStr">
        <is>
          <t>07</t>
        </is>
      </c>
      <c r="J686" s="41" t="inlineStr">
        <is>
          <t>218,500</t>
        </is>
      </c>
      <c r="K686" s="41" t="inlineStr">
        <is>
          <t>103</t>
        </is>
      </c>
      <c r="L686" s="41" t="inlineStr">
        <is>
          <t>16</t>
        </is>
      </c>
      <c r="M686" s="42" t="inlineStr">
        <is>
          <t>개인</t>
        </is>
      </c>
      <c r="N686" s="42" t="inlineStr">
        <is>
          <t>개인</t>
        </is>
      </c>
      <c r="O686" s="41" t="inlineStr">
        <is>
          <t>1993</t>
        </is>
      </c>
      <c r="P686" s="42" t="inlineStr">
        <is>
          <t>서초중앙로24길 43</t>
        </is>
      </c>
      <c r="Q686" s="41" t="inlineStr">
        <is>
          <t>-</t>
        </is>
      </c>
      <c r="R686" s="42" t="inlineStr">
        <is>
          <t>중개거래</t>
        </is>
      </c>
      <c r="S686" s="42" t="inlineStr">
        <is>
          <t>서울 서초구</t>
        </is>
      </c>
      <c r="T686" s="41" t="inlineStr">
        <is>
          <t>25.06.25</t>
        </is>
      </c>
      <c r="U686" s="42" t="inlineStr">
        <is>
          <t>아파트</t>
        </is>
      </c>
    </row>
    <row r="687" hidden="1" ht="15" customHeight="1">
      <c r="A687" s="41" t="n">
        <v>154</v>
      </c>
      <c r="B687" s="42" t="inlineStr">
        <is>
          <t>서울특별시 서초구 서초동</t>
        </is>
      </c>
      <c r="C687" s="41" t="inlineStr">
        <is>
          <t>1641-3</t>
        </is>
      </c>
      <c r="D687" s="41" t="inlineStr">
        <is>
          <t>1641</t>
        </is>
      </c>
      <c r="E687" s="41" t="inlineStr">
        <is>
          <t>0003</t>
        </is>
      </c>
      <c r="F687" s="42" t="inlineStr">
        <is>
          <t>대성유니드</t>
        </is>
      </c>
      <c r="G687" s="41" t="inlineStr">
        <is>
          <t>84.9910</t>
        </is>
      </c>
      <c r="H687" s="41" t="inlineStr">
        <is>
          <t>202503</t>
        </is>
      </c>
      <c r="I687" s="41" t="inlineStr">
        <is>
          <t>07</t>
        </is>
      </c>
      <c r="J687" s="41" t="inlineStr">
        <is>
          <t>182,250</t>
        </is>
      </c>
      <c r="K687" s="41" t="inlineStr">
        <is>
          <t>101</t>
        </is>
      </c>
      <c r="L687" s="41" t="inlineStr">
        <is>
          <t>4</t>
        </is>
      </c>
      <c r="M687" s="42" t="inlineStr">
        <is>
          <t>개인</t>
        </is>
      </c>
      <c r="N687" s="42" t="inlineStr">
        <is>
          <t>개인</t>
        </is>
      </c>
      <c r="O687" s="41" t="inlineStr">
        <is>
          <t>2004</t>
        </is>
      </c>
      <c r="P687" s="42" t="inlineStr">
        <is>
          <t>서초대로64길 36</t>
        </is>
      </c>
      <c r="Q687" s="41" t="inlineStr">
        <is>
          <t>-</t>
        </is>
      </c>
      <c r="R687" s="42" t="inlineStr">
        <is>
          <t>중개거래</t>
        </is>
      </c>
      <c r="S687" s="42" t="inlineStr">
        <is>
          <t>서울 서초구</t>
        </is>
      </c>
      <c r="T687" s="41" t="inlineStr">
        <is>
          <t>25.06.13</t>
        </is>
      </c>
      <c r="U687" s="42" t="inlineStr">
        <is>
          <t>아파트</t>
        </is>
      </c>
    </row>
    <row r="688" hidden="1" ht="15" customHeight="1">
      <c r="A688" s="41" t="n">
        <v>155</v>
      </c>
      <c r="B688" s="42" t="inlineStr">
        <is>
          <t>서울특별시 서초구 서초동</t>
        </is>
      </c>
      <c r="C688" s="41" t="inlineStr">
        <is>
          <t>1757</t>
        </is>
      </c>
      <c r="D688" s="41" t="inlineStr">
        <is>
          <t>1757</t>
        </is>
      </c>
      <c r="E688" s="41" t="inlineStr">
        <is>
          <t>0000</t>
        </is>
      </c>
      <c r="F688" s="42" t="inlineStr">
        <is>
          <t>서초그랑자이</t>
        </is>
      </c>
      <c r="G688" s="41" t="inlineStr">
        <is>
          <t>100.3100</t>
        </is>
      </c>
      <c r="H688" s="41" t="inlineStr">
        <is>
          <t>202503</t>
        </is>
      </c>
      <c r="I688" s="41" t="inlineStr">
        <is>
          <t>06</t>
        </is>
      </c>
      <c r="J688" s="41" t="inlineStr">
        <is>
          <t>395,000</t>
        </is>
      </c>
      <c r="K688" s="41" t="inlineStr">
        <is>
          <t>104동</t>
        </is>
      </c>
      <c r="L688" s="41" t="inlineStr">
        <is>
          <t>25</t>
        </is>
      </c>
      <c r="M688" s="42" t="inlineStr">
        <is>
          <t>개인</t>
        </is>
      </c>
      <c r="N688" s="42" t="inlineStr">
        <is>
          <t>개인</t>
        </is>
      </c>
      <c r="O688" s="41" t="inlineStr">
        <is>
          <t>2021</t>
        </is>
      </c>
      <c r="P688" s="42" t="inlineStr">
        <is>
          <t>효령로 391</t>
        </is>
      </c>
      <c r="Q688" s="41" t="inlineStr">
        <is>
          <t>-</t>
        </is>
      </c>
      <c r="R688" s="42" t="inlineStr">
        <is>
          <t>중개거래</t>
        </is>
      </c>
      <c r="S688" s="42" t="inlineStr">
        <is>
          <t>서울 서초구</t>
        </is>
      </c>
      <c r="T688" s="41" t="inlineStr">
        <is>
          <t>25.05.30</t>
        </is>
      </c>
      <c r="U688" s="42" t="inlineStr">
        <is>
          <t>아파트</t>
        </is>
      </c>
    </row>
    <row r="689" hidden="1" ht="15" customHeight="1">
      <c r="A689" s="41" t="n">
        <v>156</v>
      </c>
      <c r="B689" s="42" t="inlineStr">
        <is>
          <t>서울특별시 서초구 서초동</t>
        </is>
      </c>
      <c r="C689" s="41" t="inlineStr">
        <is>
          <t>1312-3</t>
        </is>
      </c>
      <c r="D689" s="41" t="inlineStr">
        <is>
          <t>1312</t>
        </is>
      </c>
      <c r="E689" s="41" t="inlineStr">
        <is>
          <t>0003</t>
        </is>
      </c>
      <c r="F689" s="42" t="inlineStr">
        <is>
          <t>롯데캐슬클래식</t>
        </is>
      </c>
      <c r="G689" s="41" t="inlineStr">
        <is>
          <t>133.4500</t>
        </is>
      </c>
      <c r="H689" s="41" t="inlineStr">
        <is>
          <t>202503</t>
        </is>
      </c>
      <c r="I689" s="41" t="inlineStr">
        <is>
          <t>06</t>
        </is>
      </c>
      <c r="J689" s="41" t="inlineStr">
        <is>
          <t>327,000</t>
        </is>
      </c>
      <c r="K689" s="41" t="inlineStr">
        <is>
          <t>105</t>
        </is>
      </c>
      <c r="L689" s="41" t="inlineStr">
        <is>
          <t>18</t>
        </is>
      </c>
      <c r="M689" s="42" t="inlineStr">
        <is>
          <t>개인</t>
        </is>
      </c>
      <c r="N689" s="42" t="inlineStr">
        <is>
          <t>개인</t>
        </is>
      </c>
      <c r="O689" s="41" t="inlineStr">
        <is>
          <t>2006</t>
        </is>
      </c>
      <c r="P689" s="42" t="inlineStr">
        <is>
          <t>서운로 197</t>
        </is>
      </c>
      <c r="Q689" s="41" t="inlineStr">
        <is>
          <t>-</t>
        </is>
      </c>
      <c r="R689" s="42" t="inlineStr">
        <is>
          <t>중개거래</t>
        </is>
      </c>
      <c r="S689" s="42" t="inlineStr">
        <is>
          <t>서울 서초구</t>
        </is>
      </c>
      <c r="T689" s="41" t="inlineStr">
        <is>
          <t>25.06.27</t>
        </is>
      </c>
      <c r="U689" s="42" t="inlineStr">
        <is>
          <t>아파트</t>
        </is>
      </c>
    </row>
    <row r="690" hidden="1" ht="15" customHeight="1">
      <c r="A690" s="41" t="n">
        <v>157</v>
      </c>
      <c r="B690" s="42" t="inlineStr">
        <is>
          <t>서울특별시 서초구 서초동</t>
        </is>
      </c>
      <c r="C690" s="41" t="inlineStr">
        <is>
          <t>1754</t>
        </is>
      </c>
      <c r="D690" s="41" t="inlineStr">
        <is>
          <t>1754</t>
        </is>
      </c>
      <c r="E690" s="41" t="inlineStr">
        <is>
          <t>0000</t>
        </is>
      </c>
      <c r="F690" s="42" t="inlineStr">
        <is>
          <t>래미안서초에스티지S</t>
        </is>
      </c>
      <c r="G690" s="41" t="inlineStr">
        <is>
          <t>84.9600</t>
        </is>
      </c>
      <c r="H690" s="41" t="inlineStr">
        <is>
          <t>202503</t>
        </is>
      </c>
      <c r="I690" s="41" t="inlineStr">
        <is>
          <t>06</t>
        </is>
      </c>
      <c r="J690" s="41" t="inlineStr">
        <is>
          <t>315,000</t>
        </is>
      </c>
      <c r="K690" s="41" t="inlineStr">
        <is>
          <t>201</t>
        </is>
      </c>
      <c r="L690" s="41" t="inlineStr">
        <is>
          <t>30</t>
        </is>
      </c>
      <c r="M690" s="42" t="inlineStr">
        <is>
          <t>개인</t>
        </is>
      </c>
      <c r="N690" s="42" t="inlineStr">
        <is>
          <t>개인</t>
        </is>
      </c>
      <c r="O690" s="41" t="inlineStr">
        <is>
          <t>2018</t>
        </is>
      </c>
      <c r="P690" s="42" t="inlineStr">
        <is>
          <t>서운로 104</t>
        </is>
      </c>
      <c r="Q690" s="41" t="inlineStr">
        <is>
          <t>-</t>
        </is>
      </c>
      <c r="R690" s="42" t="inlineStr">
        <is>
          <t>중개거래</t>
        </is>
      </c>
      <c r="S690" s="42" t="inlineStr">
        <is>
          <t>서울 서초구</t>
        </is>
      </c>
      <c r="T690" s="41" t="inlineStr">
        <is>
          <t>25.06.17</t>
        </is>
      </c>
      <c r="U690" s="42" t="inlineStr">
        <is>
          <t>아파트</t>
        </is>
      </c>
    </row>
    <row r="691" hidden="1" ht="15" customHeight="1">
      <c r="A691" s="41" t="n">
        <v>158</v>
      </c>
      <c r="B691" s="42" t="inlineStr">
        <is>
          <t>서울특별시 서초구 서초동</t>
        </is>
      </c>
      <c r="C691" s="41" t="inlineStr">
        <is>
          <t>1346</t>
        </is>
      </c>
      <c r="D691" s="41" t="inlineStr">
        <is>
          <t>1346</t>
        </is>
      </c>
      <c r="E691" s="41" t="inlineStr">
        <is>
          <t>0000</t>
        </is>
      </c>
      <c r="F691" s="42" t="inlineStr">
        <is>
          <t>현대아파트</t>
        </is>
      </c>
      <c r="G691" s="41" t="inlineStr">
        <is>
          <t>84.3300</t>
        </is>
      </c>
      <c r="H691" s="41" t="inlineStr">
        <is>
          <t>202503</t>
        </is>
      </c>
      <c r="I691" s="41" t="inlineStr">
        <is>
          <t>06</t>
        </is>
      </c>
      <c r="J691" s="41" t="inlineStr">
        <is>
          <t>190,000</t>
        </is>
      </c>
      <c r="K691" s="41" t="inlineStr">
        <is>
          <t>21</t>
        </is>
      </c>
      <c r="L691" s="41" t="inlineStr">
        <is>
          <t>8</t>
        </is>
      </c>
      <c r="M691" s="42" t="inlineStr">
        <is>
          <t>개인</t>
        </is>
      </c>
      <c r="N691" s="42" t="inlineStr">
        <is>
          <t>개인</t>
        </is>
      </c>
      <c r="O691" s="41" t="inlineStr">
        <is>
          <t>1989</t>
        </is>
      </c>
      <c r="P691" s="42" t="inlineStr">
        <is>
          <t>효령로68길 13</t>
        </is>
      </c>
      <c r="Q691" s="41" t="inlineStr">
        <is>
          <t>-</t>
        </is>
      </c>
      <c r="R691" s="42" t="inlineStr">
        <is>
          <t>중개거래</t>
        </is>
      </c>
      <c r="S691" s="42" t="inlineStr">
        <is>
          <t>경기 남양주시, 서울 서초구</t>
        </is>
      </c>
      <c r="T691" s="41" t="inlineStr">
        <is>
          <t>25.04.30</t>
        </is>
      </c>
      <c r="U691" s="42" t="inlineStr">
        <is>
          <t>아파트</t>
        </is>
      </c>
    </row>
    <row r="692" hidden="1" ht="15" customHeight="1">
      <c r="A692" s="41" t="n">
        <v>159</v>
      </c>
      <c r="B692" s="42" t="inlineStr">
        <is>
          <t>서울특별시 서초구 서초동</t>
        </is>
      </c>
      <c r="C692" s="41" t="inlineStr">
        <is>
          <t>1346</t>
        </is>
      </c>
      <c r="D692" s="41" t="inlineStr">
        <is>
          <t>1346</t>
        </is>
      </c>
      <c r="E692" s="41" t="inlineStr">
        <is>
          <t>0000</t>
        </is>
      </c>
      <c r="F692" s="42" t="inlineStr">
        <is>
          <t>현대아파트</t>
        </is>
      </c>
      <c r="G692" s="41" t="inlineStr">
        <is>
          <t>84.3300</t>
        </is>
      </c>
      <c r="H692" s="41" t="inlineStr">
        <is>
          <t>202503</t>
        </is>
      </c>
      <c r="I692" s="41" t="inlineStr">
        <is>
          <t>06</t>
        </is>
      </c>
      <c r="J692" s="41" t="inlineStr">
        <is>
          <t>190,000</t>
        </is>
      </c>
      <c r="K692" s="41" t="inlineStr">
        <is>
          <t>-</t>
        </is>
      </c>
      <c r="L692" s="41" t="inlineStr">
        <is>
          <t>8</t>
        </is>
      </c>
      <c r="M692" s="42" t="inlineStr">
        <is>
          <t>개인</t>
        </is>
      </c>
      <c r="N692" s="42" t="inlineStr">
        <is>
          <t>개인</t>
        </is>
      </c>
      <c r="O692" s="41" t="inlineStr">
        <is>
          <t>1989</t>
        </is>
      </c>
      <c r="P692" s="42" t="inlineStr">
        <is>
          <t>효령로68길 13</t>
        </is>
      </c>
      <c r="Q692" s="41" t="inlineStr">
        <is>
          <t>20250401</t>
        </is>
      </c>
      <c r="R692" s="42" t="inlineStr">
        <is>
          <t>중개거래</t>
        </is>
      </c>
      <c r="S692" s="42" t="inlineStr">
        <is>
          <t>경기 남양주시, 서울 서초구</t>
        </is>
      </c>
      <c r="T692" s="41" t="inlineStr">
        <is>
          <t>-</t>
        </is>
      </c>
      <c r="U692" s="42" t="inlineStr">
        <is>
          <t>아파트</t>
        </is>
      </c>
    </row>
    <row r="693" hidden="1" ht="15" customHeight="1">
      <c r="A693" s="41" t="n">
        <v>160</v>
      </c>
      <c r="B693" s="42" t="inlineStr">
        <is>
          <t>서울특별시 서초구 서초동</t>
        </is>
      </c>
      <c r="C693" s="41" t="inlineStr">
        <is>
          <t>1685</t>
        </is>
      </c>
      <c r="D693" s="41" t="inlineStr">
        <is>
          <t>1685</t>
        </is>
      </c>
      <c r="E693" s="41" t="inlineStr">
        <is>
          <t>0000</t>
        </is>
      </c>
      <c r="F693" s="42" t="inlineStr">
        <is>
          <t>삼풍아파트</t>
        </is>
      </c>
      <c r="G693" s="41" t="inlineStr">
        <is>
          <t>79.4700</t>
        </is>
      </c>
      <c r="H693" s="41" t="inlineStr">
        <is>
          <t>202503</t>
        </is>
      </c>
      <c r="I693" s="41" t="inlineStr">
        <is>
          <t>06</t>
        </is>
      </c>
      <c r="J693" s="41" t="inlineStr">
        <is>
          <t>208,000</t>
        </is>
      </c>
      <c r="K693" s="41" t="inlineStr">
        <is>
          <t>5</t>
        </is>
      </c>
      <c r="L693" s="41" t="inlineStr">
        <is>
          <t>11</t>
        </is>
      </c>
      <c r="M693" s="42" t="inlineStr">
        <is>
          <t>개인</t>
        </is>
      </c>
      <c r="N693" s="42" t="inlineStr">
        <is>
          <t>개인</t>
        </is>
      </c>
      <c r="O693" s="41" t="inlineStr">
        <is>
          <t>1988</t>
        </is>
      </c>
      <c r="P693" s="42" t="inlineStr">
        <is>
          <t>서초중앙로 200</t>
        </is>
      </c>
      <c r="Q693" s="41" t="inlineStr">
        <is>
          <t>-</t>
        </is>
      </c>
      <c r="R693" s="42" t="inlineStr">
        <is>
          <t>직거래</t>
        </is>
      </c>
      <c r="S693" s="41" t="inlineStr">
        <is>
          <t>-</t>
        </is>
      </c>
      <c r="T693" s="41" t="inlineStr">
        <is>
          <t>25.07.21</t>
        </is>
      </c>
      <c r="U693" s="42" t="inlineStr">
        <is>
          <t>아파트</t>
        </is>
      </c>
    </row>
    <row r="694" hidden="1" ht="15" customHeight="1">
      <c r="A694" s="41" t="n">
        <v>161</v>
      </c>
      <c r="B694" s="42" t="inlineStr">
        <is>
          <t>서울특별시 서초구 서초동</t>
        </is>
      </c>
      <c r="C694" s="41" t="inlineStr">
        <is>
          <t>1685-3</t>
        </is>
      </c>
      <c r="D694" s="41" t="inlineStr">
        <is>
          <t>1685</t>
        </is>
      </c>
      <c r="E694" s="41" t="inlineStr">
        <is>
          <t>0003</t>
        </is>
      </c>
      <c r="F694" s="42" t="inlineStr">
        <is>
          <t>아크로비스타</t>
        </is>
      </c>
      <c r="G694" s="41" t="inlineStr">
        <is>
          <t>164.2100</t>
        </is>
      </c>
      <c r="H694" s="41" t="inlineStr">
        <is>
          <t>202503</t>
        </is>
      </c>
      <c r="I694" s="41" t="inlineStr">
        <is>
          <t>05</t>
        </is>
      </c>
      <c r="J694" s="41" t="inlineStr">
        <is>
          <t>330,000</t>
        </is>
      </c>
      <c r="K694" s="41" t="inlineStr">
        <is>
          <t>C</t>
        </is>
      </c>
      <c r="L694" s="41" t="inlineStr">
        <is>
          <t>9</t>
        </is>
      </c>
      <c r="M694" s="42" t="inlineStr">
        <is>
          <t>개인</t>
        </is>
      </c>
      <c r="N694" s="42" t="inlineStr">
        <is>
          <t>개인</t>
        </is>
      </c>
      <c r="O694" s="41" t="inlineStr">
        <is>
          <t>2004</t>
        </is>
      </c>
      <c r="P694" s="42" t="inlineStr">
        <is>
          <t>서초중앙로 188</t>
        </is>
      </c>
      <c r="Q694" s="41" t="inlineStr">
        <is>
          <t>-</t>
        </is>
      </c>
      <c r="R694" s="42" t="inlineStr">
        <is>
          <t>중개거래</t>
        </is>
      </c>
      <c r="S694" s="42" t="inlineStr">
        <is>
          <t>서울 서초구</t>
        </is>
      </c>
      <c r="T694" s="41" t="inlineStr">
        <is>
          <t>25.08.25</t>
        </is>
      </c>
      <c r="U694" s="42" t="inlineStr">
        <is>
          <t>아파트</t>
        </is>
      </c>
    </row>
    <row r="695" hidden="1" ht="15" customHeight="1">
      <c r="A695" s="41" t="n">
        <v>162</v>
      </c>
      <c r="B695" s="42" t="inlineStr">
        <is>
          <t>서울특별시 서초구 서초동</t>
        </is>
      </c>
      <c r="C695" s="41" t="inlineStr">
        <is>
          <t>1671-5</t>
        </is>
      </c>
      <c r="D695" s="41" t="inlineStr">
        <is>
          <t>1671</t>
        </is>
      </c>
      <c r="E695" s="41" t="inlineStr">
        <is>
          <t>0005</t>
        </is>
      </c>
      <c r="F695" s="42" t="inlineStr">
        <is>
          <t>대림서초리시온</t>
        </is>
      </c>
      <c r="G695" s="41" t="inlineStr">
        <is>
          <t>49.9200</t>
        </is>
      </c>
      <c r="H695" s="41" t="inlineStr">
        <is>
          <t>202503</t>
        </is>
      </c>
      <c r="I695" s="41" t="inlineStr">
        <is>
          <t>05</t>
        </is>
      </c>
      <c r="J695" s="41" t="inlineStr">
        <is>
          <t>53,400</t>
        </is>
      </c>
      <c r="K695" s="41" t="inlineStr">
        <is>
          <t>-</t>
        </is>
      </c>
      <c r="L695" s="41" t="inlineStr">
        <is>
          <t>6</t>
        </is>
      </c>
      <c r="M695" s="42" t="inlineStr">
        <is>
          <t>개인</t>
        </is>
      </c>
      <c r="N695" s="42" t="inlineStr">
        <is>
          <t>개인</t>
        </is>
      </c>
      <c r="O695" s="41" t="inlineStr">
        <is>
          <t>2003</t>
        </is>
      </c>
      <c r="P695" s="42" t="inlineStr">
        <is>
          <t>서초중앙로22길 25</t>
        </is>
      </c>
      <c r="Q695" s="41" t="inlineStr">
        <is>
          <t>-</t>
        </is>
      </c>
      <c r="R695" s="42" t="inlineStr">
        <is>
          <t>중개거래</t>
        </is>
      </c>
      <c r="S695" s="42" t="inlineStr">
        <is>
          <t>서울 서초구</t>
        </is>
      </c>
      <c r="T695" s="41" t="inlineStr">
        <is>
          <t>25.04.02</t>
        </is>
      </c>
      <c r="U695" s="42" t="inlineStr">
        <is>
          <t>아파트</t>
        </is>
      </c>
    </row>
    <row r="696" hidden="1" ht="15" customHeight="1">
      <c r="A696" s="41" t="n">
        <v>163</v>
      </c>
      <c r="B696" s="42" t="inlineStr">
        <is>
          <t>서울특별시 서초구 서초동</t>
        </is>
      </c>
      <c r="C696" s="41" t="inlineStr">
        <is>
          <t>1620-20</t>
        </is>
      </c>
      <c r="D696" s="41" t="inlineStr">
        <is>
          <t>1620</t>
        </is>
      </c>
      <c r="E696" s="41" t="inlineStr">
        <is>
          <t>0020</t>
        </is>
      </c>
      <c r="F696" s="42" t="inlineStr">
        <is>
          <t>서초동롯데캐슬리버티</t>
        </is>
      </c>
      <c r="G696" s="41" t="inlineStr">
        <is>
          <t>125.7900</t>
        </is>
      </c>
      <c r="H696" s="41" t="inlineStr">
        <is>
          <t>202503</t>
        </is>
      </c>
      <c r="I696" s="41" t="inlineStr">
        <is>
          <t>05</t>
        </is>
      </c>
      <c r="J696" s="41" t="inlineStr">
        <is>
          <t>197,500</t>
        </is>
      </c>
      <c r="K696" s="41" t="inlineStr">
        <is>
          <t>101</t>
        </is>
      </c>
      <c r="L696" s="41" t="inlineStr">
        <is>
          <t>2</t>
        </is>
      </c>
      <c r="M696" s="42" t="inlineStr">
        <is>
          <t>개인</t>
        </is>
      </c>
      <c r="N696" s="42" t="inlineStr">
        <is>
          <t>개인</t>
        </is>
      </c>
      <c r="O696" s="41" t="inlineStr">
        <is>
          <t>2005</t>
        </is>
      </c>
      <c r="P696" s="42" t="inlineStr">
        <is>
          <t>사임당로10길 39</t>
        </is>
      </c>
      <c r="Q696" s="41" t="inlineStr">
        <is>
          <t>-</t>
        </is>
      </c>
      <c r="R696" s="42" t="inlineStr">
        <is>
          <t>중개거래</t>
        </is>
      </c>
      <c r="S696" s="42" t="inlineStr">
        <is>
          <t>서울 강남구, 서울 서초구</t>
        </is>
      </c>
      <c r="T696" s="41" t="inlineStr">
        <is>
          <t>25.06.18</t>
        </is>
      </c>
      <c r="U696" s="42" t="inlineStr">
        <is>
          <t>아파트</t>
        </is>
      </c>
    </row>
    <row r="697" hidden="1" ht="15" customHeight="1">
      <c r="A697" s="41" t="n">
        <v>164</v>
      </c>
      <c r="B697" s="42" t="inlineStr">
        <is>
          <t>서울특별시 서초구 서초동</t>
        </is>
      </c>
      <c r="C697" s="41" t="inlineStr">
        <is>
          <t>1685</t>
        </is>
      </c>
      <c r="D697" s="41" t="inlineStr">
        <is>
          <t>1685</t>
        </is>
      </c>
      <c r="E697" s="41" t="inlineStr">
        <is>
          <t>0000</t>
        </is>
      </c>
      <c r="F697" s="42" t="inlineStr">
        <is>
          <t>삼풍아파트</t>
        </is>
      </c>
      <c r="G697" s="41" t="inlineStr">
        <is>
          <t>130.2300</t>
        </is>
      </c>
      <c r="H697" s="41" t="inlineStr">
        <is>
          <t>202503</t>
        </is>
      </c>
      <c r="I697" s="41" t="inlineStr">
        <is>
          <t>05</t>
        </is>
      </c>
      <c r="J697" s="41" t="inlineStr">
        <is>
          <t>380,000</t>
        </is>
      </c>
      <c r="K697" s="41" t="inlineStr">
        <is>
          <t>11</t>
        </is>
      </c>
      <c r="L697" s="41" t="inlineStr">
        <is>
          <t>13</t>
        </is>
      </c>
      <c r="M697" s="42" t="inlineStr">
        <is>
          <t>개인</t>
        </is>
      </c>
      <c r="N697" s="42" t="inlineStr">
        <is>
          <t>개인</t>
        </is>
      </c>
      <c r="O697" s="41" t="inlineStr">
        <is>
          <t>1988</t>
        </is>
      </c>
      <c r="P697" s="42" t="inlineStr">
        <is>
          <t>서초중앙로 200</t>
        </is>
      </c>
      <c r="Q697" s="41" t="inlineStr">
        <is>
          <t>-</t>
        </is>
      </c>
      <c r="R697" s="42" t="inlineStr">
        <is>
          <t>중개거래</t>
        </is>
      </c>
      <c r="S697" s="42" t="inlineStr">
        <is>
          <t>서울 서초구</t>
        </is>
      </c>
      <c r="T697" s="41" t="inlineStr">
        <is>
          <t>25.05.30</t>
        </is>
      </c>
      <c r="U697" s="42" t="inlineStr">
        <is>
          <t>아파트</t>
        </is>
      </c>
    </row>
    <row r="698" hidden="1" ht="15" customHeight="1">
      <c r="A698" s="41" t="n">
        <v>165</v>
      </c>
      <c r="B698" s="42" t="inlineStr">
        <is>
          <t>서울특별시 서초구 서초동</t>
        </is>
      </c>
      <c r="C698" s="41" t="inlineStr">
        <is>
          <t>1301-6</t>
        </is>
      </c>
      <c r="D698" s="41" t="inlineStr">
        <is>
          <t>1301</t>
        </is>
      </c>
      <c r="E698" s="41" t="inlineStr">
        <is>
          <t>0006</t>
        </is>
      </c>
      <c r="F698" s="42" t="inlineStr">
        <is>
          <t>래미안서초스위트</t>
        </is>
      </c>
      <c r="G698" s="41" t="inlineStr">
        <is>
          <t>84.9571</t>
        </is>
      </c>
      <c r="H698" s="41" t="inlineStr">
        <is>
          <t>202503</t>
        </is>
      </c>
      <c r="I698" s="41" t="inlineStr">
        <is>
          <t>05</t>
        </is>
      </c>
      <c r="J698" s="41" t="inlineStr">
        <is>
          <t>275,000</t>
        </is>
      </c>
      <c r="K698" s="41" t="inlineStr">
        <is>
          <t>102</t>
        </is>
      </c>
      <c r="L698" s="41" t="inlineStr">
        <is>
          <t>26</t>
        </is>
      </c>
      <c r="M698" s="42" t="inlineStr">
        <is>
          <t>개인</t>
        </is>
      </c>
      <c r="N698" s="42" t="inlineStr">
        <is>
          <t>개인</t>
        </is>
      </c>
      <c r="O698" s="41" t="inlineStr">
        <is>
          <t>2009</t>
        </is>
      </c>
      <c r="P698" s="42" t="inlineStr">
        <is>
          <t>서운로 221</t>
        </is>
      </c>
      <c r="Q698" s="41" t="inlineStr">
        <is>
          <t>-</t>
        </is>
      </c>
      <c r="R698" s="42" t="inlineStr">
        <is>
          <t>중개거래</t>
        </is>
      </c>
      <c r="S698" s="42" t="inlineStr">
        <is>
          <t>서울 서초구</t>
        </is>
      </c>
      <c r="T698" s="41" t="inlineStr">
        <is>
          <t>25.04.30</t>
        </is>
      </c>
      <c r="U698" s="42" t="inlineStr">
        <is>
          <t>아파트</t>
        </is>
      </c>
    </row>
    <row r="699" hidden="1" ht="15" customHeight="1">
      <c r="A699" s="41" t="n">
        <v>166</v>
      </c>
      <c r="B699" s="42" t="inlineStr">
        <is>
          <t>서울특별시 서초구 서초동</t>
        </is>
      </c>
      <c r="C699" s="41" t="inlineStr">
        <is>
          <t>1312-3</t>
        </is>
      </c>
      <c r="D699" s="41" t="inlineStr">
        <is>
          <t>1312</t>
        </is>
      </c>
      <c r="E699" s="41" t="inlineStr">
        <is>
          <t>0003</t>
        </is>
      </c>
      <c r="F699" s="42" t="inlineStr">
        <is>
          <t>롯데캐슬클래식</t>
        </is>
      </c>
      <c r="G699" s="41" t="inlineStr">
        <is>
          <t>74.3000</t>
        </is>
      </c>
      <c r="H699" s="41" t="inlineStr">
        <is>
          <t>202503</t>
        </is>
      </c>
      <c r="I699" s="41" t="inlineStr">
        <is>
          <t>04</t>
        </is>
      </c>
      <c r="J699" s="41" t="inlineStr">
        <is>
          <t>271,500</t>
        </is>
      </c>
      <c r="K699" s="41" t="inlineStr">
        <is>
          <t>112</t>
        </is>
      </c>
      <c r="L699" s="41" t="inlineStr">
        <is>
          <t>21</t>
        </is>
      </c>
      <c r="M699" s="42" t="inlineStr">
        <is>
          <t>개인</t>
        </is>
      </c>
      <c r="N699" s="42" t="inlineStr">
        <is>
          <t>개인</t>
        </is>
      </c>
      <c r="O699" s="41" t="inlineStr">
        <is>
          <t>2006</t>
        </is>
      </c>
      <c r="P699" s="42" t="inlineStr">
        <is>
          <t>서운로 200</t>
        </is>
      </c>
      <c r="Q699" s="41" t="inlineStr">
        <is>
          <t>-</t>
        </is>
      </c>
      <c r="R699" s="42" t="inlineStr">
        <is>
          <t>중개거래</t>
        </is>
      </c>
      <c r="S699" s="42" t="inlineStr">
        <is>
          <t>서울 서초구</t>
        </is>
      </c>
      <c r="T699" s="41" t="inlineStr">
        <is>
          <t>25.07.02</t>
        </is>
      </c>
      <c r="U699" s="42" t="inlineStr">
        <is>
          <t>아파트</t>
        </is>
      </c>
    </row>
    <row r="700" hidden="1" ht="15" customHeight="1">
      <c r="A700" s="41" t="n">
        <v>167</v>
      </c>
      <c r="B700" s="42" t="inlineStr">
        <is>
          <t>서울특별시 서초구 서초동</t>
        </is>
      </c>
      <c r="C700" s="41" t="inlineStr">
        <is>
          <t>1687</t>
        </is>
      </c>
      <c r="D700" s="41" t="inlineStr">
        <is>
          <t>1687</t>
        </is>
      </c>
      <c r="E700" s="41" t="inlineStr">
        <is>
          <t>0000</t>
        </is>
      </c>
      <c r="F700" s="42" t="inlineStr">
        <is>
          <t>유원서초</t>
        </is>
      </c>
      <c r="G700" s="41" t="inlineStr">
        <is>
          <t>84.8200</t>
        </is>
      </c>
      <c r="H700" s="41" t="inlineStr">
        <is>
          <t>202503</t>
        </is>
      </c>
      <c r="I700" s="41" t="inlineStr">
        <is>
          <t>04</t>
        </is>
      </c>
      <c r="J700" s="41" t="inlineStr">
        <is>
          <t>205,000</t>
        </is>
      </c>
      <c r="K700" s="41" t="inlineStr">
        <is>
          <t>101</t>
        </is>
      </c>
      <c r="L700" s="41" t="inlineStr">
        <is>
          <t>12</t>
        </is>
      </c>
      <c r="M700" s="42" t="inlineStr">
        <is>
          <t>개인</t>
        </is>
      </c>
      <c r="N700" s="42" t="inlineStr">
        <is>
          <t>개인</t>
        </is>
      </c>
      <c r="O700" s="41" t="inlineStr">
        <is>
          <t>1993</t>
        </is>
      </c>
      <c r="P700" s="42" t="inlineStr">
        <is>
          <t>서초중앙로24길 43</t>
        </is>
      </c>
      <c r="Q700" s="41" t="inlineStr">
        <is>
          <t>-</t>
        </is>
      </c>
      <c r="R700" s="42" t="inlineStr">
        <is>
          <t>중개거래</t>
        </is>
      </c>
      <c r="S700" s="42" t="inlineStr">
        <is>
          <t>서울 서초구</t>
        </is>
      </c>
      <c r="T700" s="41" t="inlineStr">
        <is>
          <t>25.05.30</t>
        </is>
      </c>
      <c r="U700" s="42" t="inlineStr">
        <is>
          <t>아파트</t>
        </is>
      </c>
    </row>
    <row r="701" hidden="1" ht="15" customHeight="1">
      <c r="A701" s="41" t="n">
        <v>168</v>
      </c>
      <c r="B701" s="42" t="inlineStr">
        <is>
          <t>서울특별시 서초구 서초동</t>
        </is>
      </c>
      <c r="C701" s="41" t="inlineStr">
        <is>
          <t>1685</t>
        </is>
      </c>
      <c r="D701" s="41" t="inlineStr">
        <is>
          <t>1685</t>
        </is>
      </c>
      <c r="E701" s="41" t="inlineStr">
        <is>
          <t>0000</t>
        </is>
      </c>
      <c r="F701" s="42" t="inlineStr">
        <is>
          <t>삼풍아파트</t>
        </is>
      </c>
      <c r="G701" s="41" t="inlineStr">
        <is>
          <t>79.4700</t>
        </is>
      </c>
      <c r="H701" s="41" t="inlineStr">
        <is>
          <t>202503</t>
        </is>
      </c>
      <c r="I701" s="41" t="inlineStr">
        <is>
          <t>04</t>
        </is>
      </c>
      <c r="J701" s="41" t="inlineStr">
        <is>
          <t>300,000</t>
        </is>
      </c>
      <c r="K701" s="41" t="inlineStr">
        <is>
          <t>2</t>
        </is>
      </c>
      <c r="L701" s="41" t="inlineStr">
        <is>
          <t>13</t>
        </is>
      </c>
      <c r="M701" s="42" t="inlineStr">
        <is>
          <t>개인</t>
        </is>
      </c>
      <c r="N701" s="42" t="inlineStr">
        <is>
          <t>개인</t>
        </is>
      </c>
      <c r="O701" s="41" t="inlineStr">
        <is>
          <t>1988</t>
        </is>
      </c>
      <c r="P701" s="42" t="inlineStr">
        <is>
          <t>서초중앙로 200</t>
        </is>
      </c>
      <c r="Q701" s="41" t="inlineStr">
        <is>
          <t>-</t>
        </is>
      </c>
      <c r="R701" s="42" t="inlineStr">
        <is>
          <t>중개거래</t>
        </is>
      </c>
      <c r="S701" s="42" t="inlineStr">
        <is>
          <t>서울 서초구</t>
        </is>
      </c>
      <c r="T701" s="41" t="inlineStr">
        <is>
          <t>25.06.27</t>
        </is>
      </c>
      <c r="U701" s="42" t="inlineStr">
        <is>
          <t>아파트</t>
        </is>
      </c>
    </row>
    <row r="702" hidden="1" ht="15" customHeight="1">
      <c r="A702" s="41" t="n">
        <v>169</v>
      </c>
      <c r="B702" s="42" t="inlineStr">
        <is>
          <t>서울특별시 서초구 서초동</t>
        </is>
      </c>
      <c r="C702" s="41" t="inlineStr">
        <is>
          <t>1685</t>
        </is>
      </c>
      <c r="D702" s="41" t="inlineStr">
        <is>
          <t>1685</t>
        </is>
      </c>
      <c r="E702" s="41" t="inlineStr">
        <is>
          <t>0000</t>
        </is>
      </c>
      <c r="F702" s="42" t="inlineStr">
        <is>
          <t>삼풍아파트</t>
        </is>
      </c>
      <c r="G702" s="41" t="inlineStr">
        <is>
          <t>79.4700</t>
        </is>
      </c>
      <c r="H702" s="41" t="inlineStr">
        <is>
          <t>202503</t>
        </is>
      </c>
      <c r="I702" s="41" t="inlineStr">
        <is>
          <t>04</t>
        </is>
      </c>
      <c r="J702" s="41" t="inlineStr">
        <is>
          <t>300,000</t>
        </is>
      </c>
      <c r="K702" s="41" t="inlineStr">
        <is>
          <t>7</t>
        </is>
      </c>
      <c r="L702" s="41" t="inlineStr">
        <is>
          <t>11</t>
        </is>
      </c>
      <c r="M702" s="42" t="inlineStr">
        <is>
          <t>개인</t>
        </is>
      </c>
      <c r="N702" s="42" t="inlineStr">
        <is>
          <t>개인</t>
        </is>
      </c>
      <c r="O702" s="41" t="inlineStr">
        <is>
          <t>1988</t>
        </is>
      </c>
      <c r="P702" s="42" t="inlineStr">
        <is>
          <t>서초중앙로 200</t>
        </is>
      </c>
      <c r="Q702" s="41" t="inlineStr">
        <is>
          <t>-</t>
        </is>
      </c>
      <c r="R702" s="42" t="inlineStr">
        <is>
          <t>중개거래</t>
        </is>
      </c>
      <c r="S702" s="42" t="inlineStr">
        <is>
          <t>서울 서초구</t>
        </is>
      </c>
      <c r="T702" s="41" t="inlineStr">
        <is>
          <t>25.06.16</t>
        </is>
      </c>
      <c r="U702" s="42" t="inlineStr">
        <is>
          <t>아파트</t>
        </is>
      </c>
    </row>
    <row r="703" hidden="1" ht="15" customHeight="1">
      <c r="A703" s="41" t="n">
        <v>170</v>
      </c>
      <c r="B703" s="42" t="inlineStr">
        <is>
          <t>서울특별시 서초구 서초동</t>
        </is>
      </c>
      <c r="C703" s="41" t="inlineStr">
        <is>
          <t>1685</t>
        </is>
      </c>
      <c r="D703" s="41" t="inlineStr">
        <is>
          <t>1685</t>
        </is>
      </c>
      <c r="E703" s="41" t="inlineStr">
        <is>
          <t>0000</t>
        </is>
      </c>
      <c r="F703" s="42" t="inlineStr">
        <is>
          <t>삼풍아파트</t>
        </is>
      </c>
      <c r="G703" s="41" t="inlineStr">
        <is>
          <t>79.4700</t>
        </is>
      </c>
      <c r="H703" s="41" t="inlineStr">
        <is>
          <t>202503</t>
        </is>
      </c>
      <c r="I703" s="41" t="inlineStr">
        <is>
          <t>04</t>
        </is>
      </c>
      <c r="J703" s="41" t="inlineStr">
        <is>
          <t>300,000</t>
        </is>
      </c>
      <c r="K703" s="41" t="inlineStr">
        <is>
          <t>-</t>
        </is>
      </c>
      <c r="L703" s="41" t="inlineStr">
        <is>
          <t>13</t>
        </is>
      </c>
      <c r="M703" s="42" t="inlineStr">
        <is>
          <t>개인</t>
        </is>
      </c>
      <c r="N703" s="42" t="inlineStr">
        <is>
          <t>개인</t>
        </is>
      </c>
      <c r="O703" s="41" t="inlineStr">
        <is>
          <t>1988</t>
        </is>
      </c>
      <c r="P703" s="42" t="inlineStr">
        <is>
          <t>서초중앙로 200</t>
        </is>
      </c>
      <c r="Q703" s="41" t="inlineStr">
        <is>
          <t>20250328</t>
        </is>
      </c>
      <c r="R703" s="42" t="inlineStr">
        <is>
          <t>중개거래</t>
        </is>
      </c>
      <c r="S703" s="42" t="inlineStr">
        <is>
          <t>서울 서초구</t>
        </is>
      </c>
      <c r="T703" s="41" t="inlineStr">
        <is>
          <t>-</t>
        </is>
      </c>
      <c r="U703" s="42" t="inlineStr">
        <is>
          <t>아파트</t>
        </is>
      </c>
    </row>
    <row r="704" hidden="1" ht="15" customHeight="1">
      <c r="A704" s="41" t="n">
        <v>171</v>
      </c>
      <c r="B704" s="42" t="inlineStr">
        <is>
          <t>서울특별시 서초구 서초동</t>
        </is>
      </c>
      <c r="C704" s="41" t="inlineStr">
        <is>
          <t>1685</t>
        </is>
      </c>
      <c r="D704" s="41" t="inlineStr">
        <is>
          <t>1685</t>
        </is>
      </c>
      <c r="E704" s="41" t="inlineStr">
        <is>
          <t>0000</t>
        </is>
      </c>
      <c r="F704" s="42" t="inlineStr">
        <is>
          <t>삼풍아파트</t>
        </is>
      </c>
      <c r="G704" s="41" t="inlineStr">
        <is>
          <t>130.2300</t>
        </is>
      </c>
      <c r="H704" s="41" t="inlineStr">
        <is>
          <t>202503</t>
        </is>
      </c>
      <c r="I704" s="41" t="inlineStr">
        <is>
          <t>04</t>
        </is>
      </c>
      <c r="J704" s="41" t="inlineStr">
        <is>
          <t>390,000</t>
        </is>
      </c>
      <c r="K704" s="41" t="inlineStr">
        <is>
          <t>24</t>
        </is>
      </c>
      <c r="L704" s="41" t="inlineStr">
        <is>
          <t>4</t>
        </is>
      </c>
      <c r="M704" s="42" t="inlineStr">
        <is>
          <t>개인</t>
        </is>
      </c>
      <c r="N704" s="42" t="inlineStr">
        <is>
          <t>개인</t>
        </is>
      </c>
      <c r="O704" s="41" t="inlineStr">
        <is>
          <t>1988</t>
        </is>
      </c>
      <c r="P704" s="42" t="inlineStr">
        <is>
          <t>서초중앙로 200</t>
        </is>
      </c>
      <c r="Q704" s="41" t="inlineStr">
        <is>
          <t>-</t>
        </is>
      </c>
      <c r="R704" s="42" t="inlineStr">
        <is>
          <t>중개거래</t>
        </is>
      </c>
      <c r="S704" s="42" t="inlineStr">
        <is>
          <t>서울 서초구</t>
        </is>
      </c>
      <c r="T704" s="41" t="inlineStr">
        <is>
          <t>25.07.29</t>
        </is>
      </c>
      <c r="U704" s="42" t="inlineStr">
        <is>
          <t>아파트</t>
        </is>
      </c>
    </row>
    <row r="705" hidden="1" ht="15" customHeight="1">
      <c r="A705" s="41" t="n">
        <v>172</v>
      </c>
      <c r="B705" s="42" t="inlineStr">
        <is>
          <t>서울특별시 서초구 서초동</t>
        </is>
      </c>
      <c r="C705" s="41" t="inlineStr">
        <is>
          <t>1641-1</t>
        </is>
      </c>
      <c r="D705" s="41" t="inlineStr">
        <is>
          <t>1641</t>
        </is>
      </c>
      <c r="E705" s="41" t="inlineStr">
        <is>
          <t>0001</t>
        </is>
      </c>
      <c r="F705" s="42" t="inlineStr">
        <is>
          <t>서초삼성래미안</t>
        </is>
      </c>
      <c r="G705" s="41" t="inlineStr">
        <is>
          <t>121.6600</t>
        </is>
      </c>
      <c r="H705" s="41" t="inlineStr">
        <is>
          <t>202503</t>
        </is>
      </c>
      <c r="I705" s="41" t="inlineStr">
        <is>
          <t>04</t>
        </is>
      </c>
      <c r="J705" s="41" t="inlineStr">
        <is>
          <t>233,000</t>
        </is>
      </c>
      <c r="K705" s="41" t="inlineStr">
        <is>
          <t>102</t>
        </is>
      </c>
      <c r="L705" s="41" t="inlineStr">
        <is>
          <t>12</t>
        </is>
      </c>
      <c r="M705" s="42" t="inlineStr">
        <is>
          <t>개인</t>
        </is>
      </c>
      <c r="N705" s="42" t="inlineStr">
        <is>
          <t>개인</t>
        </is>
      </c>
      <c r="O705" s="41" t="inlineStr">
        <is>
          <t>2001</t>
        </is>
      </c>
      <c r="P705" s="42" t="inlineStr">
        <is>
          <t>사임당로17길 116</t>
        </is>
      </c>
      <c r="Q705" s="41" t="inlineStr">
        <is>
          <t>-</t>
        </is>
      </c>
      <c r="R705" s="42" t="inlineStr">
        <is>
          <t>중개거래</t>
        </is>
      </c>
      <c r="S705" s="42" t="inlineStr">
        <is>
          <t>서울 서초구</t>
        </is>
      </c>
      <c r="T705" s="41" t="inlineStr">
        <is>
          <t>25.05.21</t>
        </is>
      </c>
      <c r="U705" s="42" t="inlineStr">
        <is>
          <t>아파트</t>
        </is>
      </c>
    </row>
    <row r="706" hidden="1" ht="15" customHeight="1">
      <c r="A706" s="41" t="n">
        <v>173</v>
      </c>
      <c r="B706" s="42" t="inlineStr">
        <is>
          <t>서울특별시 서초구 서초동</t>
        </is>
      </c>
      <c r="C706" s="41" t="inlineStr">
        <is>
          <t>1641-1</t>
        </is>
      </c>
      <c r="D706" s="41" t="inlineStr">
        <is>
          <t>1641</t>
        </is>
      </c>
      <c r="E706" s="41" t="inlineStr">
        <is>
          <t>0001</t>
        </is>
      </c>
      <c r="F706" s="42" t="inlineStr">
        <is>
          <t>서초삼성래미안</t>
        </is>
      </c>
      <c r="G706" s="41" t="inlineStr">
        <is>
          <t>84.8900</t>
        </is>
      </c>
      <c r="H706" s="41" t="inlineStr">
        <is>
          <t>202503</t>
        </is>
      </c>
      <c r="I706" s="41" t="inlineStr">
        <is>
          <t>04</t>
        </is>
      </c>
      <c r="J706" s="41" t="inlineStr">
        <is>
          <t>198,000</t>
        </is>
      </c>
      <c r="K706" s="41" t="inlineStr">
        <is>
          <t>101</t>
        </is>
      </c>
      <c r="L706" s="41" t="inlineStr">
        <is>
          <t>14</t>
        </is>
      </c>
      <c r="M706" s="42" t="inlineStr">
        <is>
          <t>개인</t>
        </is>
      </c>
      <c r="N706" s="42" t="inlineStr">
        <is>
          <t>개인</t>
        </is>
      </c>
      <c r="O706" s="41" t="inlineStr">
        <is>
          <t>2001</t>
        </is>
      </c>
      <c r="P706" s="42" t="inlineStr">
        <is>
          <t>사임당로17길 116</t>
        </is>
      </c>
      <c r="Q706" s="41" t="inlineStr">
        <is>
          <t>-</t>
        </is>
      </c>
      <c r="R706" s="42" t="inlineStr">
        <is>
          <t>중개거래</t>
        </is>
      </c>
      <c r="S706" s="42" t="inlineStr">
        <is>
          <t>서울 서초구</t>
        </is>
      </c>
      <c r="T706" s="41" t="inlineStr">
        <is>
          <t>25.05.21</t>
        </is>
      </c>
      <c r="U706" s="42" t="inlineStr">
        <is>
          <t>아파트</t>
        </is>
      </c>
    </row>
    <row r="707" hidden="1" ht="15" customHeight="1">
      <c r="A707" s="41" t="n">
        <v>174</v>
      </c>
      <c r="B707" s="42" t="inlineStr">
        <is>
          <t>서울특별시 서초구 서초동</t>
        </is>
      </c>
      <c r="C707" s="41" t="inlineStr">
        <is>
          <t>1529</t>
        </is>
      </c>
      <c r="D707" s="41" t="inlineStr">
        <is>
          <t>1529</t>
        </is>
      </c>
      <c r="E707" s="41" t="inlineStr">
        <is>
          <t>0000</t>
        </is>
      </c>
      <c r="F707" s="42" t="inlineStr">
        <is>
          <t>서초2차e-편한세상</t>
        </is>
      </c>
      <c r="G707" s="41" t="inlineStr">
        <is>
          <t>84.6700</t>
        </is>
      </c>
      <c r="H707" s="41" t="inlineStr">
        <is>
          <t>202503</t>
        </is>
      </c>
      <c r="I707" s="41" t="inlineStr">
        <is>
          <t>04</t>
        </is>
      </c>
      <c r="J707" s="41" t="inlineStr">
        <is>
          <t>190,000</t>
        </is>
      </c>
      <c r="K707" s="41" t="inlineStr">
        <is>
          <t>201</t>
        </is>
      </c>
      <c r="L707" s="41" t="inlineStr">
        <is>
          <t>8</t>
        </is>
      </c>
      <c r="M707" s="42" t="inlineStr">
        <is>
          <t>개인</t>
        </is>
      </c>
      <c r="N707" s="42" t="inlineStr">
        <is>
          <t>개인</t>
        </is>
      </c>
      <c r="O707" s="41" t="inlineStr">
        <is>
          <t>2005</t>
        </is>
      </c>
      <c r="P707" s="42" t="inlineStr">
        <is>
          <t>효령로49길 57</t>
        </is>
      </c>
      <c r="Q707" s="41" t="inlineStr">
        <is>
          <t>-</t>
        </is>
      </c>
      <c r="R707" s="42" t="inlineStr">
        <is>
          <t>중개거래</t>
        </is>
      </c>
      <c r="S707" s="42" t="inlineStr">
        <is>
          <t>서울 서초구</t>
        </is>
      </c>
      <c r="T707" s="41" t="inlineStr">
        <is>
          <t>25.07.31</t>
        </is>
      </c>
      <c r="U707" s="42" t="inlineStr">
        <is>
          <t>아파트</t>
        </is>
      </c>
    </row>
    <row r="708" hidden="1" ht="15" customHeight="1">
      <c r="A708" s="41" t="n">
        <v>175</v>
      </c>
      <c r="B708" s="42" t="inlineStr">
        <is>
          <t>서울특별시 서초구 서초동</t>
        </is>
      </c>
      <c r="C708" s="41" t="inlineStr">
        <is>
          <t>1301-6</t>
        </is>
      </c>
      <c r="D708" s="41" t="inlineStr">
        <is>
          <t>1301</t>
        </is>
      </c>
      <c r="E708" s="41" t="inlineStr">
        <is>
          <t>0006</t>
        </is>
      </c>
      <c r="F708" s="42" t="inlineStr">
        <is>
          <t>래미안서초스위트</t>
        </is>
      </c>
      <c r="G708" s="41" t="inlineStr">
        <is>
          <t>59.9958</t>
        </is>
      </c>
      <c r="H708" s="41" t="inlineStr">
        <is>
          <t>202503</t>
        </is>
      </c>
      <c r="I708" s="41" t="inlineStr">
        <is>
          <t>04</t>
        </is>
      </c>
      <c r="J708" s="41" t="inlineStr">
        <is>
          <t>145,000</t>
        </is>
      </c>
      <c r="K708" s="41" t="inlineStr">
        <is>
          <t>101</t>
        </is>
      </c>
      <c r="L708" s="41" t="inlineStr">
        <is>
          <t>25</t>
        </is>
      </c>
      <c r="M708" s="42" t="inlineStr">
        <is>
          <t>개인</t>
        </is>
      </c>
      <c r="N708" s="42" t="inlineStr">
        <is>
          <t>개인</t>
        </is>
      </c>
      <c r="O708" s="41" t="inlineStr">
        <is>
          <t>2009</t>
        </is>
      </c>
      <c r="P708" s="42" t="inlineStr">
        <is>
          <t>서운로 221</t>
        </is>
      </c>
      <c r="Q708" s="41" t="inlineStr">
        <is>
          <t>-</t>
        </is>
      </c>
      <c r="R708" s="42" t="inlineStr">
        <is>
          <t>직거래</t>
        </is>
      </c>
      <c r="S708" s="41" t="inlineStr">
        <is>
          <t>-</t>
        </is>
      </c>
      <c r="T708" s="41" t="inlineStr">
        <is>
          <t>25.03.26</t>
        </is>
      </c>
      <c r="U708" s="42" t="inlineStr">
        <is>
          <t>아파트</t>
        </is>
      </c>
    </row>
    <row r="709" hidden="1" ht="15" customHeight="1">
      <c r="A709" s="41" t="n">
        <v>176</v>
      </c>
      <c r="B709" s="42" t="inlineStr">
        <is>
          <t>서울특별시 서초구 서초동</t>
        </is>
      </c>
      <c r="C709" s="41" t="inlineStr">
        <is>
          <t>1444-7</t>
        </is>
      </c>
      <c r="D709" s="41" t="inlineStr">
        <is>
          <t>1444</t>
        </is>
      </c>
      <c r="E709" s="41" t="inlineStr">
        <is>
          <t>0007</t>
        </is>
      </c>
      <c r="F709" s="42" t="inlineStr">
        <is>
          <t>서초자이</t>
        </is>
      </c>
      <c r="G709" s="41" t="inlineStr">
        <is>
          <t>148.8300</t>
        </is>
      </c>
      <c r="H709" s="41" t="inlineStr">
        <is>
          <t>202503</t>
        </is>
      </c>
      <c r="I709" s="41" t="inlineStr">
        <is>
          <t>04</t>
        </is>
      </c>
      <c r="J709" s="41" t="inlineStr">
        <is>
          <t>273,000</t>
        </is>
      </c>
      <c r="K709" s="41" t="inlineStr">
        <is>
          <t>102</t>
        </is>
      </c>
      <c r="L709" s="41" t="inlineStr">
        <is>
          <t>3</t>
        </is>
      </c>
      <c r="M709" s="42" t="inlineStr">
        <is>
          <t>개인</t>
        </is>
      </c>
      <c r="N709" s="42" t="inlineStr">
        <is>
          <t>개인</t>
        </is>
      </c>
      <c r="O709" s="41" t="inlineStr">
        <is>
          <t>2006</t>
        </is>
      </c>
      <c r="P709" s="42" t="inlineStr">
        <is>
          <t>효령로68길 81</t>
        </is>
      </c>
      <c r="Q709" s="41" t="inlineStr">
        <is>
          <t>-</t>
        </is>
      </c>
      <c r="R709" s="42" t="inlineStr">
        <is>
          <t>중개거래</t>
        </is>
      </c>
      <c r="S709" s="42" t="inlineStr">
        <is>
          <t>서울 서초구</t>
        </is>
      </c>
      <c r="T709" s="41" t="inlineStr">
        <is>
          <t>25.05.15</t>
        </is>
      </c>
      <c r="U709" s="42" t="inlineStr">
        <is>
          <t>아파트</t>
        </is>
      </c>
    </row>
    <row r="710" hidden="1" ht="15" customHeight="1">
      <c r="A710" s="41" t="n">
        <v>177</v>
      </c>
      <c r="B710" s="42" t="inlineStr">
        <is>
          <t>서울특별시 서초구 서초동</t>
        </is>
      </c>
      <c r="C710" s="41" t="inlineStr">
        <is>
          <t>1301-6</t>
        </is>
      </c>
      <c r="D710" s="41" t="inlineStr">
        <is>
          <t>1301</t>
        </is>
      </c>
      <c r="E710" s="41" t="inlineStr">
        <is>
          <t>0006</t>
        </is>
      </c>
      <c r="F710" s="42" t="inlineStr">
        <is>
          <t>래미안서초스위트</t>
        </is>
      </c>
      <c r="G710" s="41" t="inlineStr">
        <is>
          <t>95.8079</t>
        </is>
      </c>
      <c r="H710" s="41" t="inlineStr">
        <is>
          <t>202503</t>
        </is>
      </c>
      <c r="I710" s="41" t="inlineStr">
        <is>
          <t>03</t>
        </is>
      </c>
      <c r="J710" s="41" t="inlineStr">
        <is>
          <t>289,000</t>
        </is>
      </c>
      <c r="K710" s="41" t="inlineStr">
        <is>
          <t>103</t>
        </is>
      </c>
      <c r="L710" s="41" t="inlineStr">
        <is>
          <t>18</t>
        </is>
      </c>
      <c r="M710" s="42" t="inlineStr">
        <is>
          <t>개인</t>
        </is>
      </c>
      <c r="N710" s="42" t="inlineStr">
        <is>
          <t>개인</t>
        </is>
      </c>
      <c r="O710" s="41" t="inlineStr">
        <is>
          <t>2009</t>
        </is>
      </c>
      <c r="P710" s="42" t="inlineStr">
        <is>
          <t>서운로 221</t>
        </is>
      </c>
      <c r="Q710" s="41" t="inlineStr">
        <is>
          <t>-</t>
        </is>
      </c>
      <c r="R710" s="42" t="inlineStr">
        <is>
          <t>중개거래</t>
        </is>
      </c>
      <c r="S710" s="42" t="inlineStr">
        <is>
          <t>서울 서초구</t>
        </is>
      </c>
      <c r="T710" s="41" t="inlineStr">
        <is>
          <t>25.05.30</t>
        </is>
      </c>
      <c r="U710" s="42" t="inlineStr">
        <is>
          <t>아파트</t>
        </is>
      </c>
    </row>
    <row r="711" hidden="1" ht="15" customHeight="1">
      <c r="A711" s="41" t="n">
        <v>178</v>
      </c>
      <c r="B711" s="42" t="inlineStr">
        <is>
          <t>서울특별시 서초구 서초동</t>
        </is>
      </c>
      <c r="C711" s="41" t="inlineStr">
        <is>
          <t>1641-13</t>
        </is>
      </c>
      <c r="D711" s="41" t="inlineStr">
        <is>
          <t>1641</t>
        </is>
      </c>
      <c r="E711" s="41" t="inlineStr">
        <is>
          <t>0013</t>
        </is>
      </c>
      <c r="F711" s="42" t="inlineStr">
        <is>
          <t>아남</t>
        </is>
      </c>
      <c r="G711" s="41" t="inlineStr">
        <is>
          <t>84.9600</t>
        </is>
      </c>
      <c r="H711" s="41" t="inlineStr">
        <is>
          <t>202503</t>
        </is>
      </c>
      <c r="I711" s="41" t="inlineStr">
        <is>
          <t>03</t>
        </is>
      </c>
      <c r="J711" s="41" t="inlineStr">
        <is>
          <t>175,000</t>
        </is>
      </c>
      <c r="K711" s="41" t="inlineStr">
        <is>
          <t>2</t>
        </is>
      </c>
      <c r="L711" s="41" t="inlineStr">
        <is>
          <t>5</t>
        </is>
      </c>
      <c r="M711" s="42" t="inlineStr">
        <is>
          <t>개인</t>
        </is>
      </c>
      <c r="N711" s="42" t="inlineStr">
        <is>
          <t>개인</t>
        </is>
      </c>
      <c r="O711" s="41" t="inlineStr">
        <is>
          <t>1989</t>
        </is>
      </c>
      <c r="P711" s="42" t="inlineStr">
        <is>
          <t>사임당로23길 53</t>
        </is>
      </c>
      <c r="Q711" s="41" t="inlineStr">
        <is>
          <t>-</t>
        </is>
      </c>
      <c r="R711" s="42" t="inlineStr">
        <is>
          <t>중개거래</t>
        </is>
      </c>
      <c r="S711" s="42" t="inlineStr">
        <is>
          <t>서울 서초구</t>
        </is>
      </c>
      <c r="T711" s="41" t="inlineStr">
        <is>
          <t>25.06.05</t>
        </is>
      </c>
      <c r="U711" s="42" t="inlineStr">
        <is>
          <t>아파트</t>
        </is>
      </c>
    </row>
    <row r="712" hidden="1" ht="15" customHeight="1">
      <c r="A712" s="41" t="n">
        <v>179</v>
      </c>
      <c r="B712" s="42" t="inlineStr">
        <is>
          <t>서울특별시 서초구 서초동</t>
        </is>
      </c>
      <c r="C712" s="41" t="inlineStr">
        <is>
          <t>1757</t>
        </is>
      </c>
      <c r="D712" s="41" t="inlineStr">
        <is>
          <t>1757</t>
        </is>
      </c>
      <c r="E712" s="41" t="inlineStr">
        <is>
          <t>0000</t>
        </is>
      </c>
      <c r="F712" s="42" t="inlineStr">
        <is>
          <t>서초그랑자이</t>
        </is>
      </c>
      <c r="G712" s="41" t="inlineStr">
        <is>
          <t>119.4100</t>
        </is>
      </c>
      <c r="H712" s="41" t="inlineStr">
        <is>
          <t>202503</t>
        </is>
      </c>
      <c r="I712" s="41" t="inlineStr">
        <is>
          <t>03</t>
        </is>
      </c>
      <c r="J712" s="41" t="inlineStr">
        <is>
          <t>440,000</t>
        </is>
      </c>
      <c r="K712" s="41" t="inlineStr">
        <is>
          <t>107동</t>
        </is>
      </c>
      <c r="L712" s="41" t="inlineStr">
        <is>
          <t>19</t>
        </is>
      </c>
      <c r="M712" s="42" t="inlineStr">
        <is>
          <t>개인</t>
        </is>
      </c>
      <c r="N712" s="42" t="inlineStr">
        <is>
          <t>개인</t>
        </is>
      </c>
      <c r="O712" s="41" t="inlineStr">
        <is>
          <t>2021</t>
        </is>
      </c>
      <c r="P712" s="42" t="inlineStr">
        <is>
          <t>효령로 391</t>
        </is>
      </c>
      <c r="Q712" s="41" t="inlineStr">
        <is>
          <t>-</t>
        </is>
      </c>
      <c r="R712" s="42" t="inlineStr">
        <is>
          <t>중개거래</t>
        </is>
      </c>
      <c r="S712" s="42" t="inlineStr">
        <is>
          <t>서울 서초구</t>
        </is>
      </c>
      <c r="T712" s="41" t="inlineStr">
        <is>
          <t>25.06.05</t>
        </is>
      </c>
      <c r="U712" s="42" t="inlineStr">
        <is>
          <t>아파트</t>
        </is>
      </c>
    </row>
    <row r="713" hidden="1" ht="15" customHeight="1">
      <c r="A713" s="41" t="n">
        <v>180</v>
      </c>
      <c r="B713" s="42" t="inlineStr">
        <is>
          <t>서울특별시 서초구 서초동</t>
        </is>
      </c>
      <c r="C713" s="41" t="inlineStr">
        <is>
          <t>1686-9</t>
        </is>
      </c>
      <c r="D713" s="41" t="inlineStr">
        <is>
          <t>1686</t>
        </is>
      </c>
      <c r="E713" s="41" t="inlineStr">
        <is>
          <t>0009</t>
        </is>
      </c>
      <c r="F713" s="42" t="inlineStr">
        <is>
          <t>서초교대e편한세상</t>
        </is>
      </c>
      <c r="G713" s="41" t="inlineStr">
        <is>
          <t>110.3200</t>
        </is>
      </c>
      <c r="H713" s="41" t="inlineStr">
        <is>
          <t>202503</t>
        </is>
      </c>
      <c r="I713" s="41" t="inlineStr">
        <is>
          <t>03</t>
        </is>
      </c>
      <c r="J713" s="41" t="inlineStr">
        <is>
          <t>308,000</t>
        </is>
      </c>
      <c r="K713" s="41" t="inlineStr">
        <is>
          <t>104</t>
        </is>
      </c>
      <c r="L713" s="41" t="inlineStr">
        <is>
          <t>10</t>
        </is>
      </c>
      <c r="M713" s="42" t="inlineStr">
        <is>
          <t>개인</t>
        </is>
      </c>
      <c r="N713" s="42" t="inlineStr">
        <is>
          <t>개인</t>
        </is>
      </c>
      <c r="O713" s="41" t="inlineStr">
        <is>
          <t>2010</t>
        </is>
      </c>
      <c r="P713" s="42" t="inlineStr">
        <is>
          <t>서초중앙로24길 33</t>
        </is>
      </c>
      <c r="Q713" s="41" t="inlineStr">
        <is>
          <t>-</t>
        </is>
      </c>
      <c r="R713" s="42" t="inlineStr">
        <is>
          <t>중개거래</t>
        </is>
      </c>
      <c r="S713" s="42" t="inlineStr">
        <is>
          <t>서울 서초구</t>
        </is>
      </c>
      <c r="T713" s="41" t="inlineStr">
        <is>
          <t>25.07.04</t>
        </is>
      </c>
      <c r="U713" s="42" t="inlineStr">
        <is>
          <t>아파트</t>
        </is>
      </c>
    </row>
    <row r="714" hidden="1" ht="15" customHeight="1">
      <c r="A714" s="41" t="n">
        <v>181</v>
      </c>
      <c r="B714" s="42" t="inlineStr">
        <is>
          <t>서울특별시 서초구 서초동</t>
        </is>
      </c>
      <c r="C714" s="41" t="inlineStr">
        <is>
          <t>1312-3</t>
        </is>
      </c>
      <c r="D714" s="41" t="inlineStr">
        <is>
          <t>1312</t>
        </is>
      </c>
      <c r="E714" s="41" t="inlineStr">
        <is>
          <t>0003</t>
        </is>
      </c>
      <c r="F714" s="42" t="inlineStr">
        <is>
          <t>롯데캐슬클래식</t>
        </is>
      </c>
      <c r="G714" s="41" t="inlineStr">
        <is>
          <t>133.4500</t>
        </is>
      </c>
      <c r="H714" s="41" t="inlineStr">
        <is>
          <t>202503</t>
        </is>
      </c>
      <c r="I714" s="41" t="inlineStr">
        <is>
          <t>03</t>
        </is>
      </c>
      <c r="J714" s="41" t="inlineStr">
        <is>
          <t>332,000</t>
        </is>
      </c>
      <c r="K714" s="41" t="inlineStr">
        <is>
          <t>105</t>
        </is>
      </c>
      <c r="L714" s="41" t="inlineStr">
        <is>
          <t>23</t>
        </is>
      </c>
      <c r="M714" s="42" t="inlineStr">
        <is>
          <t>개인</t>
        </is>
      </c>
      <c r="N714" s="42" t="inlineStr">
        <is>
          <t>개인</t>
        </is>
      </c>
      <c r="O714" s="41" t="inlineStr">
        <is>
          <t>2006</t>
        </is>
      </c>
      <c r="P714" s="42" t="inlineStr">
        <is>
          <t>서운로 197</t>
        </is>
      </c>
      <c r="Q714" s="41" t="inlineStr">
        <is>
          <t>-</t>
        </is>
      </c>
      <c r="R714" s="42" t="inlineStr">
        <is>
          <t>중개거래</t>
        </is>
      </c>
      <c r="S714" s="42" t="inlineStr">
        <is>
          <t>서울 서초구</t>
        </is>
      </c>
      <c r="T714" s="41" t="inlineStr">
        <is>
          <t>25.07.10</t>
        </is>
      </c>
      <c r="U714" s="42" t="inlineStr">
        <is>
          <t>아파트</t>
        </is>
      </c>
    </row>
    <row r="715" hidden="1" ht="15" customHeight="1">
      <c r="A715" s="41" t="n">
        <v>182</v>
      </c>
      <c r="B715" s="42" t="inlineStr">
        <is>
          <t>서울특별시 서초구 서초동</t>
        </is>
      </c>
      <c r="C715" s="41" t="inlineStr">
        <is>
          <t>1344-13</t>
        </is>
      </c>
      <c r="D715" s="41" t="inlineStr">
        <is>
          <t>1344</t>
        </is>
      </c>
      <c r="E715" s="41" t="inlineStr">
        <is>
          <t>0013</t>
        </is>
      </c>
      <c r="F715" s="42" t="inlineStr">
        <is>
          <t>서초트라팰리스</t>
        </is>
      </c>
      <c r="G715" s="41" t="inlineStr">
        <is>
          <t>95.5800</t>
        </is>
      </c>
      <c r="H715" s="41" t="inlineStr">
        <is>
          <t>202503</t>
        </is>
      </c>
      <c r="I715" s="41" t="inlineStr">
        <is>
          <t>03</t>
        </is>
      </c>
      <c r="J715" s="41" t="inlineStr">
        <is>
          <t>187,000</t>
        </is>
      </c>
      <c r="K715" s="41" t="inlineStr">
        <is>
          <t>A</t>
        </is>
      </c>
      <c r="L715" s="41" t="inlineStr">
        <is>
          <t>11</t>
        </is>
      </c>
      <c r="M715" s="42" t="inlineStr">
        <is>
          <t>개인</t>
        </is>
      </c>
      <c r="N715" s="42" t="inlineStr">
        <is>
          <t>개인</t>
        </is>
      </c>
      <c r="O715" s="41" t="inlineStr">
        <is>
          <t>2005</t>
        </is>
      </c>
      <c r="P715" s="42" t="inlineStr">
        <is>
          <t>효령로72길 57</t>
        </is>
      </c>
      <c r="Q715" s="41" t="inlineStr">
        <is>
          <t>-</t>
        </is>
      </c>
      <c r="R715" s="42" t="inlineStr">
        <is>
          <t>중개거래</t>
        </is>
      </c>
      <c r="S715" s="42" t="inlineStr">
        <is>
          <t>서울 서초구</t>
        </is>
      </c>
      <c r="T715" s="41" t="inlineStr">
        <is>
          <t>25.04.08</t>
        </is>
      </c>
      <c r="U715" s="42" t="inlineStr">
        <is>
          <t>아파트</t>
        </is>
      </c>
    </row>
    <row r="716" hidden="1" ht="15" customHeight="1">
      <c r="A716" s="41" t="n">
        <v>183</v>
      </c>
      <c r="B716" s="42" t="inlineStr">
        <is>
          <t>서울특별시 서초구 서초동</t>
        </is>
      </c>
      <c r="C716" s="41" t="inlineStr">
        <is>
          <t>1682</t>
        </is>
      </c>
      <c r="D716" s="41" t="inlineStr">
        <is>
          <t>1682</t>
        </is>
      </c>
      <c r="E716" s="41" t="inlineStr">
        <is>
          <t>0000</t>
        </is>
      </c>
      <c r="F716" s="42" t="inlineStr">
        <is>
          <t>서초래미안</t>
        </is>
      </c>
      <c r="G716" s="41" t="inlineStr">
        <is>
          <t>84.9500</t>
        </is>
      </c>
      <c r="H716" s="41" t="inlineStr">
        <is>
          <t>202503</t>
        </is>
      </c>
      <c r="I716" s="41" t="inlineStr">
        <is>
          <t>02</t>
        </is>
      </c>
      <c r="J716" s="41" t="inlineStr">
        <is>
          <t>243,000</t>
        </is>
      </c>
      <c r="K716" s="41" t="inlineStr">
        <is>
          <t>105</t>
        </is>
      </c>
      <c r="L716" s="41" t="inlineStr">
        <is>
          <t>18</t>
        </is>
      </c>
      <c r="M716" s="42" t="inlineStr">
        <is>
          <t>개인</t>
        </is>
      </c>
      <c r="N716" s="42" t="inlineStr">
        <is>
          <t>개인</t>
        </is>
      </c>
      <c r="O716" s="41" t="inlineStr">
        <is>
          <t>2003</t>
        </is>
      </c>
      <c r="P716" s="42" t="inlineStr">
        <is>
          <t>서초대로65길 13-10</t>
        </is>
      </c>
      <c r="Q716" s="41" t="inlineStr">
        <is>
          <t>-</t>
        </is>
      </c>
      <c r="R716" s="42" t="inlineStr">
        <is>
          <t>중개거래</t>
        </is>
      </c>
      <c r="S716" s="42" t="inlineStr">
        <is>
          <t>서울 서초구</t>
        </is>
      </c>
      <c r="T716" s="41" t="inlineStr">
        <is>
          <t>25.07.11</t>
        </is>
      </c>
      <c r="U716" s="42" t="inlineStr">
        <is>
          <t>아파트</t>
        </is>
      </c>
    </row>
    <row r="717" hidden="1" ht="15" customHeight="1">
      <c r="A717" s="41" t="n">
        <v>184</v>
      </c>
      <c r="B717" s="42" t="inlineStr">
        <is>
          <t>서울특별시 서초구 서초동</t>
        </is>
      </c>
      <c r="C717" s="41" t="inlineStr">
        <is>
          <t>1338</t>
        </is>
      </c>
      <c r="D717" s="41" t="inlineStr">
        <is>
          <t>1338</t>
        </is>
      </c>
      <c r="E717" s="41" t="inlineStr">
        <is>
          <t>0000</t>
        </is>
      </c>
      <c r="F717" s="42" t="inlineStr">
        <is>
          <t>현대이에스에이아파트</t>
        </is>
      </c>
      <c r="G717" s="41" t="inlineStr">
        <is>
          <t>163.9500</t>
        </is>
      </c>
      <c r="H717" s="41" t="inlineStr">
        <is>
          <t>202503</t>
        </is>
      </c>
      <c r="I717" s="41" t="inlineStr">
        <is>
          <t>01</t>
        </is>
      </c>
      <c r="J717" s="41" t="inlineStr">
        <is>
          <t>121,000</t>
        </is>
      </c>
      <c r="K717" s="41" t="inlineStr">
        <is>
          <t>-</t>
        </is>
      </c>
      <c r="L717" s="41" t="inlineStr">
        <is>
          <t>4</t>
        </is>
      </c>
      <c r="M717" s="42" t="inlineStr">
        <is>
          <t>개인</t>
        </is>
      </c>
      <c r="N717" s="42" t="inlineStr">
        <is>
          <t>개인</t>
        </is>
      </c>
      <c r="O717" s="41" t="inlineStr">
        <is>
          <t>2002</t>
        </is>
      </c>
      <c r="P717" s="42" t="inlineStr">
        <is>
          <t>효령로77길 20</t>
        </is>
      </c>
      <c r="Q717" s="41" t="inlineStr">
        <is>
          <t>-</t>
        </is>
      </c>
      <c r="R717" s="42" t="inlineStr">
        <is>
          <t>중개거래</t>
        </is>
      </c>
      <c r="S717" s="42" t="inlineStr">
        <is>
          <t>서울 송파구</t>
        </is>
      </c>
      <c r="T717" s="41" t="inlineStr">
        <is>
          <t>25.03.28</t>
        </is>
      </c>
      <c r="U717" s="42" t="inlineStr">
        <is>
          <t>아파트</t>
        </is>
      </c>
    </row>
    <row r="718" hidden="1" ht="15" customHeight="1">
      <c r="A718" s="41" t="n">
        <v>185</v>
      </c>
      <c r="B718" s="42" t="inlineStr">
        <is>
          <t>서울특별시 서초구 서초동</t>
        </is>
      </c>
      <c r="C718" s="41" t="inlineStr">
        <is>
          <t>1593-7</t>
        </is>
      </c>
      <c r="D718" s="41" t="inlineStr">
        <is>
          <t>1593</t>
        </is>
      </c>
      <c r="E718" s="41" t="inlineStr">
        <is>
          <t>0007</t>
        </is>
      </c>
      <c r="F718" s="42" t="inlineStr">
        <is>
          <t>서초이오빌</t>
        </is>
      </c>
      <c r="G718" s="41" t="inlineStr">
        <is>
          <t>45.9600</t>
        </is>
      </c>
      <c r="H718" s="41" t="inlineStr">
        <is>
          <t>202503</t>
        </is>
      </c>
      <c r="I718" s="41" t="inlineStr">
        <is>
          <t>01</t>
        </is>
      </c>
      <c r="J718" s="41" t="inlineStr">
        <is>
          <t>38,000</t>
        </is>
      </c>
      <c r="K718" s="41" t="inlineStr">
        <is>
          <t>-</t>
        </is>
      </c>
      <c r="L718" s="41" t="inlineStr">
        <is>
          <t>3</t>
        </is>
      </c>
      <c r="M718" s="42" t="inlineStr">
        <is>
          <t>개인</t>
        </is>
      </c>
      <c r="N718" s="42" t="inlineStr">
        <is>
          <t>개인</t>
        </is>
      </c>
      <c r="O718" s="41" t="inlineStr">
        <is>
          <t>2003</t>
        </is>
      </c>
      <c r="P718" s="42" t="inlineStr">
        <is>
          <t>효령로53길 45</t>
        </is>
      </c>
      <c r="Q718" s="41" t="inlineStr">
        <is>
          <t>-</t>
        </is>
      </c>
      <c r="R718" s="42" t="inlineStr">
        <is>
          <t>중개거래</t>
        </is>
      </c>
      <c r="S718" s="42" t="inlineStr">
        <is>
          <t>서울 서초구</t>
        </is>
      </c>
      <c r="T718" s="41" t="inlineStr">
        <is>
          <t>25.05.09</t>
        </is>
      </c>
      <c r="U718" s="42" t="inlineStr">
        <is>
          <t>아파트</t>
        </is>
      </c>
    </row>
    <row r="719" hidden="1" ht="15" customHeight="1">
      <c r="A719" s="41" t="n">
        <v>186</v>
      </c>
      <c r="B719" s="42" t="inlineStr">
        <is>
          <t>서울특별시 서초구 서초동</t>
        </is>
      </c>
      <c r="C719" s="41" t="inlineStr">
        <is>
          <t>1685</t>
        </is>
      </c>
      <c r="D719" s="41" t="inlineStr">
        <is>
          <t>1685</t>
        </is>
      </c>
      <c r="E719" s="41" t="inlineStr">
        <is>
          <t>0000</t>
        </is>
      </c>
      <c r="F719" s="42" t="inlineStr">
        <is>
          <t>삼풍아파트</t>
        </is>
      </c>
      <c r="G719" s="41" t="inlineStr">
        <is>
          <t>163.8100</t>
        </is>
      </c>
      <c r="H719" s="41" t="inlineStr">
        <is>
          <t>202503</t>
        </is>
      </c>
      <c r="I719" s="41" t="inlineStr">
        <is>
          <t>01</t>
        </is>
      </c>
      <c r="J719" s="41" t="inlineStr">
        <is>
          <t>430,000</t>
        </is>
      </c>
      <c r="K719" s="41" t="inlineStr">
        <is>
          <t>23</t>
        </is>
      </c>
      <c r="L719" s="41" t="inlineStr">
        <is>
          <t>3</t>
        </is>
      </c>
      <c r="M719" s="42" t="inlineStr">
        <is>
          <t>개인</t>
        </is>
      </c>
      <c r="N719" s="42" t="inlineStr">
        <is>
          <t>개인</t>
        </is>
      </c>
      <c r="O719" s="41" t="inlineStr">
        <is>
          <t>1988</t>
        </is>
      </c>
      <c r="P719" s="42" t="inlineStr">
        <is>
          <t>서초중앙로 200</t>
        </is>
      </c>
      <c r="Q719" s="41" t="inlineStr">
        <is>
          <t>-</t>
        </is>
      </c>
      <c r="R719" s="42" t="inlineStr">
        <is>
          <t>중개거래</t>
        </is>
      </c>
      <c r="S719" s="42" t="inlineStr">
        <is>
          <t>서울 서초구</t>
        </is>
      </c>
      <c r="T719" s="41" t="inlineStr">
        <is>
          <t>25.05.30</t>
        </is>
      </c>
      <c r="U719" s="42" t="inlineStr">
        <is>
          <t>아파트</t>
        </is>
      </c>
    </row>
    <row r="720" hidden="1" ht="15" customHeight="1">
      <c r="A720" s="41" t="n">
        <v>187</v>
      </c>
      <c r="B720" s="42" t="inlineStr">
        <is>
          <t>서울특별시 서초구 서초동</t>
        </is>
      </c>
      <c r="C720" s="41" t="inlineStr">
        <is>
          <t>1755</t>
        </is>
      </c>
      <c r="D720" s="41" t="inlineStr">
        <is>
          <t>1755</t>
        </is>
      </c>
      <c r="E720" s="41" t="inlineStr">
        <is>
          <t>0000</t>
        </is>
      </c>
      <c r="F720" s="42" t="inlineStr">
        <is>
          <t>래미안 리더스원</t>
        </is>
      </c>
      <c r="G720" s="41" t="inlineStr">
        <is>
          <t>59.9700</t>
        </is>
      </c>
      <c r="H720" s="41" t="inlineStr">
        <is>
          <t>202503</t>
        </is>
      </c>
      <c r="I720" s="41" t="inlineStr">
        <is>
          <t>01</t>
        </is>
      </c>
      <c r="J720" s="41" t="inlineStr">
        <is>
          <t>285,000</t>
        </is>
      </c>
      <c r="K720" s="41" t="inlineStr">
        <is>
          <t>112동</t>
        </is>
      </c>
      <c r="L720" s="41" t="inlineStr">
        <is>
          <t>22</t>
        </is>
      </c>
      <c r="M720" s="42" t="inlineStr">
        <is>
          <t>개인</t>
        </is>
      </c>
      <c r="N720" s="42" t="inlineStr">
        <is>
          <t>개인</t>
        </is>
      </c>
      <c r="O720" s="41" t="inlineStr">
        <is>
          <t>2020</t>
        </is>
      </c>
      <c r="P720" s="42" t="inlineStr">
        <is>
          <t>서운로 62</t>
        </is>
      </c>
      <c r="Q720" s="41" t="inlineStr">
        <is>
          <t>-</t>
        </is>
      </c>
      <c r="R720" s="42" t="inlineStr">
        <is>
          <t>중개거래</t>
        </is>
      </c>
      <c r="S720" s="42" t="inlineStr">
        <is>
          <t>서울 서초구</t>
        </is>
      </c>
      <c r="T720" s="41" t="inlineStr">
        <is>
          <t>25.06.11</t>
        </is>
      </c>
      <c r="U720" s="42" t="inlineStr">
        <is>
          <t>아파트</t>
        </is>
      </c>
    </row>
    <row r="721" hidden="1" ht="15" customHeight="1">
      <c r="A721" s="41" t="n">
        <v>188</v>
      </c>
      <c r="B721" s="42" t="inlineStr">
        <is>
          <t>서울특별시 서초구 서초동</t>
        </is>
      </c>
      <c r="C721" s="41" t="inlineStr">
        <is>
          <t>1344-2</t>
        </is>
      </c>
      <c r="D721" s="41" t="inlineStr">
        <is>
          <t>1344</t>
        </is>
      </c>
      <c r="E721" s="41" t="inlineStr">
        <is>
          <t>0002</t>
        </is>
      </c>
      <c r="F721" s="42" t="inlineStr">
        <is>
          <t>서초한양수자인</t>
        </is>
      </c>
      <c r="G721" s="41" t="inlineStr">
        <is>
          <t>84.3200</t>
        </is>
      </c>
      <c r="H721" s="41" t="inlineStr">
        <is>
          <t>202503</t>
        </is>
      </c>
      <c r="I721" s="41" t="inlineStr">
        <is>
          <t>01</t>
        </is>
      </c>
      <c r="J721" s="41" t="inlineStr">
        <is>
          <t>129,000</t>
        </is>
      </c>
      <c r="K721" s="42" t="inlineStr">
        <is>
          <t>서초수자인아파트</t>
        </is>
      </c>
      <c r="L721" s="41" t="inlineStr">
        <is>
          <t>5</t>
        </is>
      </c>
      <c r="M721" s="42" t="inlineStr">
        <is>
          <t>개인</t>
        </is>
      </c>
      <c r="N721" s="42" t="inlineStr">
        <is>
          <t>개인</t>
        </is>
      </c>
      <c r="O721" s="41" t="inlineStr">
        <is>
          <t>2013</t>
        </is>
      </c>
      <c r="P721" s="42" t="inlineStr">
        <is>
          <t>서운로11길 23</t>
        </is>
      </c>
      <c r="Q721" s="41" t="inlineStr">
        <is>
          <t>-</t>
        </is>
      </c>
      <c r="R721" s="42" t="inlineStr">
        <is>
          <t>중개거래</t>
        </is>
      </c>
      <c r="S721" s="42" t="inlineStr">
        <is>
          <t>서울 관악구, 서울 서초구</t>
        </is>
      </c>
      <c r="T721" s="41" t="inlineStr">
        <is>
          <t>25.05.29</t>
        </is>
      </c>
      <c r="U721" s="42" t="inlineStr">
        <is>
          <t>아파트</t>
        </is>
      </c>
    </row>
    <row r="722" hidden="1" ht="15" customHeight="1">
      <c r="A722" s="41" t="n">
        <v>189</v>
      </c>
      <c r="B722" s="42" t="inlineStr">
        <is>
          <t>서울특별시 서초구 서초동</t>
        </is>
      </c>
      <c r="C722" s="41" t="inlineStr">
        <is>
          <t>1686-9</t>
        </is>
      </c>
      <c r="D722" s="41" t="inlineStr">
        <is>
          <t>1686</t>
        </is>
      </c>
      <c r="E722" s="41" t="inlineStr">
        <is>
          <t>0009</t>
        </is>
      </c>
      <c r="F722" s="42" t="inlineStr">
        <is>
          <t>서초교대e편한세상</t>
        </is>
      </c>
      <c r="G722" s="41" t="inlineStr">
        <is>
          <t>110.3200</t>
        </is>
      </c>
      <c r="H722" s="41" t="inlineStr">
        <is>
          <t>202503</t>
        </is>
      </c>
      <c r="I722" s="41" t="inlineStr">
        <is>
          <t>01</t>
        </is>
      </c>
      <c r="J722" s="41" t="inlineStr">
        <is>
          <t>301,000</t>
        </is>
      </c>
      <c r="K722" s="41" t="inlineStr">
        <is>
          <t>104</t>
        </is>
      </c>
      <c r="L722" s="41" t="inlineStr">
        <is>
          <t>8</t>
        </is>
      </c>
      <c r="M722" s="42" t="inlineStr">
        <is>
          <t>개인</t>
        </is>
      </c>
      <c r="N722" s="42" t="inlineStr">
        <is>
          <t>개인</t>
        </is>
      </c>
      <c r="O722" s="41" t="inlineStr">
        <is>
          <t>2010</t>
        </is>
      </c>
      <c r="P722" s="42" t="inlineStr">
        <is>
          <t>서초중앙로24길 33</t>
        </is>
      </c>
      <c r="Q722" s="41" t="inlineStr">
        <is>
          <t>-</t>
        </is>
      </c>
      <c r="R722" s="42" t="inlineStr">
        <is>
          <t>중개거래</t>
        </is>
      </c>
      <c r="S722" s="42" t="inlineStr">
        <is>
          <t>서울 서초구</t>
        </is>
      </c>
      <c r="T722" s="41" t="inlineStr">
        <is>
          <t>25.09.30</t>
        </is>
      </c>
      <c r="U722" s="42" t="inlineStr">
        <is>
          <t>아파트</t>
        </is>
      </c>
    </row>
    <row r="723" hidden="1" ht="15" customHeight="1">
      <c r="A723" s="41" t="n">
        <v>190</v>
      </c>
      <c r="B723" s="42" t="inlineStr">
        <is>
          <t>서울특별시 서초구 서초동</t>
        </is>
      </c>
      <c r="C723" s="41" t="inlineStr">
        <is>
          <t>1344-13</t>
        </is>
      </c>
      <c r="D723" s="41" t="inlineStr">
        <is>
          <t>1344</t>
        </is>
      </c>
      <c r="E723" s="41" t="inlineStr">
        <is>
          <t>0013</t>
        </is>
      </c>
      <c r="F723" s="42" t="inlineStr">
        <is>
          <t>서초트라팰리스</t>
        </is>
      </c>
      <c r="G723" s="41" t="inlineStr">
        <is>
          <t>117.9800</t>
        </is>
      </c>
      <c r="H723" s="41" t="inlineStr">
        <is>
          <t>202503</t>
        </is>
      </c>
      <c r="I723" s="41" t="inlineStr">
        <is>
          <t>01</t>
        </is>
      </c>
      <c r="J723" s="41" t="inlineStr">
        <is>
          <t>219,000</t>
        </is>
      </c>
      <c r="K723" s="41" t="inlineStr">
        <is>
          <t>B</t>
        </is>
      </c>
      <c r="L723" s="41" t="inlineStr">
        <is>
          <t>4</t>
        </is>
      </c>
      <c r="M723" s="42" t="inlineStr">
        <is>
          <t>개인</t>
        </is>
      </c>
      <c r="N723" s="42" t="inlineStr">
        <is>
          <t>개인</t>
        </is>
      </c>
      <c r="O723" s="41" t="inlineStr">
        <is>
          <t>2005</t>
        </is>
      </c>
      <c r="P723" s="42" t="inlineStr">
        <is>
          <t>효령로72길 57</t>
        </is>
      </c>
      <c r="Q723" s="41" t="inlineStr">
        <is>
          <t>-</t>
        </is>
      </c>
      <c r="R723" s="42" t="inlineStr">
        <is>
          <t>중개거래</t>
        </is>
      </c>
      <c r="S723" s="42" t="inlineStr">
        <is>
          <t>서울 서초구</t>
        </is>
      </c>
      <c r="T723" s="41" t="inlineStr">
        <is>
          <t>25.07.11</t>
        </is>
      </c>
      <c r="U723" s="42" t="inlineStr">
        <is>
          <t>아파트</t>
        </is>
      </c>
    </row>
    <row r="724" hidden="1" ht="15" customHeight="1">
      <c r="A724" s="41" t="n">
        <v>191</v>
      </c>
      <c r="B724" s="42" t="inlineStr">
        <is>
          <t>서울특별시 서초구 서초동</t>
        </is>
      </c>
      <c r="C724" s="41" t="inlineStr">
        <is>
          <t>1686-9</t>
        </is>
      </c>
      <c r="D724" s="41" t="inlineStr">
        <is>
          <t>1686</t>
        </is>
      </c>
      <c r="E724" s="41" t="inlineStr">
        <is>
          <t>0009</t>
        </is>
      </c>
      <c r="F724" s="42" t="inlineStr">
        <is>
          <t>서초교대e편한세상</t>
        </is>
      </c>
      <c r="G724" s="41" t="inlineStr">
        <is>
          <t>59.9000</t>
        </is>
      </c>
      <c r="H724" s="41" t="inlineStr">
        <is>
          <t>202503</t>
        </is>
      </c>
      <c r="I724" s="41" t="inlineStr">
        <is>
          <t>01</t>
        </is>
      </c>
      <c r="J724" s="41" t="inlineStr">
        <is>
          <t>230,000</t>
        </is>
      </c>
      <c r="K724" s="41" t="inlineStr">
        <is>
          <t>104</t>
        </is>
      </c>
      <c r="L724" s="41" t="inlineStr">
        <is>
          <t>8</t>
        </is>
      </c>
      <c r="M724" s="42" t="inlineStr">
        <is>
          <t>개인</t>
        </is>
      </c>
      <c r="N724" s="42" t="inlineStr">
        <is>
          <t>개인</t>
        </is>
      </c>
      <c r="O724" s="41" t="inlineStr">
        <is>
          <t>2010</t>
        </is>
      </c>
      <c r="P724" s="42" t="inlineStr">
        <is>
          <t>서초중앙로24길 33</t>
        </is>
      </c>
      <c r="Q724" s="41" t="inlineStr">
        <is>
          <t>-</t>
        </is>
      </c>
      <c r="R724" s="42" t="inlineStr">
        <is>
          <t>중개거래</t>
        </is>
      </c>
      <c r="S724" s="42" t="inlineStr">
        <is>
          <t>서울 서초구</t>
        </is>
      </c>
      <c r="T724" s="41" t="inlineStr">
        <is>
          <t>25.06.02</t>
        </is>
      </c>
      <c r="U724" s="42" t="inlineStr">
        <is>
          <t>아파트</t>
        </is>
      </c>
    </row>
    <row r="725" hidden="1" ht="15" customHeight="1">
      <c r="A725" s="41" t="n">
        <v>192</v>
      </c>
      <c r="B725" s="42" t="inlineStr">
        <is>
          <t>서울특별시 서초구 서초동</t>
        </is>
      </c>
      <c r="C725" s="41" t="inlineStr">
        <is>
          <t>1754</t>
        </is>
      </c>
      <c r="D725" s="41" t="inlineStr">
        <is>
          <t>1754</t>
        </is>
      </c>
      <c r="E725" s="41" t="inlineStr">
        <is>
          <t>0000</t>
        </is>
      </c>
      <c r="F725" s="42" t="inlineStr">
        <is>
          <t>래미안서초에스티지S</t>
        </is>
      </c>
      <c r="G725" s="41" t="inlineStr">
        <is>
          <t>84.8000</t>
        </is>
      </c>
      <c r="H725" s="41" t="inlineStr">
        <is>
          <t>202502</t>
        </is>
      </c>
      <c r="I725" s="41" t="inlineStr">
        <is>
          <t>28</t>
        </is>
      </c>
      <c r="J725" s="41" t="inlineStr">
        <is>
          <t>300,000</t>
        </is>
      </c>
      <c r="K725" s="41" t="inlineStr">
        <is>
          <t>204</t>
        </is>
      </c>
      <c r="L725" s="41" t="inlineStr">
        <is>
          <t>21</t>
        </is>
      </c>
      <c r="M725" s="42" t="inlineStr">
        <is>
          <t>개인</t>
        </is>
      </c>
      <c r="N725" s="42" t="inlineStr">
        <is>
          <t>개인</t>
        </is>
      </c>
      <c r="O725" s="41" t="inlineStr">
        <is>
          <t>2018</t>
        </is>
      </c>
      <c r="P725" s="42" t="inlineStr">
        <is>
          <t>서운로 104</t>
        </is>
      </c>
      <c r="Q725" s="41" t="inlineStr">
        <is>
          <t>-</t>
        </is>
      </c>
      <c r="R725" s="42" t="inlineStr">
        <is>
          <t>중개거래</t>
        </is>
      </c>
      <c r="S725" s="42" t="inlineStr">
        <is>
          <t>서울 서초구</t>
        </is>
      </c>
      <c r="T725" s="41" t="inlineStr">
        <is>
          <t>25.05.29</t>
        </is>
      </c>
      <c r="U725" s="42" t="inlineStr">
        <is>
          <t>아파트</t>
        </is>
      </c>
    </row>
    <row r="726" hidden="1" ht="15" customHeight="1">
      <c r="A726" s="41" t="n">
        <v>193</v>
      </c>
      <c r="B726" s="42" t="inlineStr">
        <is>
          <t>서울특별시 서초구 서초동</t>
        </is>
      </c>
      <c r="C726" s="41" t="inlineStr">
        <is>
          <t>1682</t>
        </is>
      </c>
      <c r="D726" s="41" t="inlineStr">
        <is>
          <t>1682</t>
        </is>
      </c>
      <c r="E726" s="41" t="inlineStr">
        <is>
          <t>0000</t>
        </is>
      </c>
      <c r="F726" s="42" t="inlineStr">
        <is>
          <t>서초래미안</t>
        </is>
      </c>
      <c r="G726" s="41" t="inlineStr">
        <is>
          <t>84.9500</t>
        </is>
      </c>
      <c r="H726" s="41" t="inlineStr">
        <is>
          <t>202502</t>
        </is>
      </c>
      <c r="I726" s="41" t="inlineStr">
        <is>
          <t>28</t>
        </is>
      </c>
      <c r="J726" s="41" t="inlineStr">
        <is>
          <t>240,000</t>
        </is>
      </c>
      <c r="K726" s="41" t="inlineStr">
        <is>
          <t>104</t>
        </is>
      </c>
      <c r="L726" s="41" t="inlineStr">
        <is>
          <t>12</t>
        </is>
      </c>
      <c r="M726" s="42" t="inlineStr">
        <is>
          <t>개인</t>
        </is>
      </c>
      <c r="N726" s="42" t="inlineStr">
        <is>
          <t>개인</t>
        </is>
      </c>
      <c r="O726" s="41" t="inlineStr">
        <is>
          <t>2003</t>
        </is>
      </c>
      <c r="P726" s="42" t="inlineStr">
        <is>
          <t>서초대로65길 13-10</t>
        </is>
      </c>
      <c r="Q726" s="41" t="inlineStr">
        <is>
          <t>-</t>
        </is>
      </c>
      <c r="R726" s="42" t="inlineStr">
        <is>
          <t>중개거래</t>
        </is>
      </c>
      <c r="S726" s="42" t="inlineStr">
        <is>
          <t>서울 서초구</t>
        </is>
      </c>
      <c r="T726" s="41" t="inlineStr">
        <is>
          <t>25.07.08</t>
        </is>
      </c>
      <c r="U726" s="42" t="inlineStr">
        <is>
          <t>아파트</t>
        </is>
      </c>
    </row>
    <row r="727" hidden="1" ht="15" customHeight="1">
      <c r="A727" s="41" t="n">
        <v>194</v>
      </c>
      <c r="B727" s="42" t="inlineStr">
        <is>
          <t>서울특별시 서초구 서초동</t>
        </is>
      </c>
      <c r="C727" s="41" t="inlineStr">
        <is>
          <t>1636-1</t>
        </is>
      </c>
      <c r="D727" s="41" t="inlineStr">
        <is>
          <t>1636</t>
        </is>
      </c>
      <c r="E727" s="41" t="inlineStr">
        <is>
          <t>0001</t>
        </is>
      </c>
      <c r="F727" s="42" t="inlineStr">
        <is>
          <t>서초한일</t>
        </is>
      </c>
      <c r="G727" s="41" t="inlineStr">
        <is>
          <t>84.9800</t>
        </is>
      </c>
      <c r="H727" s="41" t="inlineStr">
        <is>
          <t>202502</t>
        </is>
      </c>
      <c r="I727" s="41" t="inlineStr">
        <is>
          <t>28</t>
        </is>
      </c>
      <c r="J727" s="41" t="inlineStr">
        <is>
          <t>149,500</t>
        </is>
      </c>
      <c r="K727" s="41" t="inlineStr">
        <is>
          <t>101</t>
        </is>
      </c>
      <c r="L727" s="41" t="inlineStr">
        <is>
          <t>2</t>
        </is>
      </c>
      <c r="M727" s="42" t="inlineStr">
        <is>
          <t>개인</t>
        </is>
      </c>
      <c r="N727" s="42" t="inlineStr">
        <is>
          <t>개인</t>
        </is>
      </c>
      <c r="O727" s="41" t="inlineStr">
        <is>
          <t>1997</t>
        </is>
      </c>
      <c r="P727" s="42" t="inlineStr">
        <is>
          <t>서초대로64길 31</t>
        </is>
      </c>
      <c r="Q727" s="41" t="inlineStr">
        <is>
          <t>-</t>
        </is>
      </c>
      <c r="R727" s="42" t="inlineStr">
        <is>
          <t>중개거래</t>
        </is>
      </c>
      <c r="S727" s="42" t="inlineStr">
        <is>
          <t>서울 강남구, 서울 서초구</t>
        </is>
      </c>
      <c r="T727" s="41" t="inlineStr">
        <is>
          <t>25.11.03</t>
        </is>
      </c>
      <c r="U727" s="42" t="inlineStr">
        <is>
          <t>아파트</t>
        </is>
      </c>
    </row>
    <row r="728" hidden="1" ht="15" customHeight="1">
      <c r="A728" s="41" t="n">
        <v>195</v>
      </c>
      <c r="B728" s="42" t="inlineStr">
        <is>
          <t>서울특별시 서초구 서초동</t>
        </is>
      </c>
      <c r="C728" s="41" t="inlineStr">
        <is>
          <t>1755</t>
        </is>
      </c>
      <c r="D728" s="41" t="inlineStr">
        <is>
          <t>1755</t>
        </is>
      </c>
      <c r="E728" s="41" t="inlineStr">
        <is>
          <t>0000</t>
        </is>
      </c>
      <c r="F728" s="42" t="inlineStr">
        <is>
          <t>래미안 리더스원</t>
        </is>
      </c>
      <c r="G728" s="41" t="inlineStr">
        <is>
          <t>84.9400</t>
        </is>
      </c>
      <c r="H728" s="41" t="inlineStr">
        <is>
          <t>202502</t>
        </is>
      </c>
      <c r="I728" s="41" t="inlineStr">
        <is>
          <t>28</t>
        </is>
      </c>
      <c r="J728" s="41" t="inlineStr">
        <is>
          <t>340,000</t>
        </is>
      </c>
      <c r="K728" s="41" t="inlineStr">
        <is>
          <t>106동</t>
        </is>
      </c>
      <c r="L728" s="41" t="inlineStr">
        <is>
          <t>31</t>
        </is>
      </c>
      <c r="M728" s="42" t="inlineStr">
        <is>
          <t>개인</t>
        </is>
      </c>
      <c r="N728" s="42" t="inlineStr">
        <is>
          <t>개인</t>
        </is>
      </c>
      <c r="O728" s="41" t="inlineStr">
        <is>
          <t>2020</t>
        </is>
      </c>
      <c r="P728" s="42" t="inlineStr">
        <is>
          <t>서운로 62</t>
        </is>
      </c>
      <c r="Q728" s="41" t="inlineStr">
        <is>
          <t>-</t>
        </is>
      </c>
      <c r="R728" s="42" t="inlineStr">
        <is>
          <t>중개거래</t>
        </is>
      </c>
      <c r="S728" s="42" t="inlineStr">
        <is>
          <t>서울 서초구</t>
        </is>
      </c>
      <c r="T728" s="41" t="inlineStr">
        <is>
          <t>25.05.20</t>
        </is>
      </c>
      <c r="U728" s="42" t="inlineStr">
        <is>
          <t>아파트</t>
        </is>
      </c>
    </row>
    <row r="729" hidden="1" ht="15" customHeight="1">
      <c r="A729" s="41" t="n">
        <v>196</v>
      </c>
      <c r="B729" s="42" t="inlineStr">
        <is>
          <t>서울특별시 서초구 서초동</t>
        </is>
      </c>
      <c r="C729" s="41" t="inlineStr">
        <is>
          <t>1582-3</t>
        </is>
      </c>
      <c r="D729" s="41" t="inlineStr">
        <is>
          <t>1582</t>
        </is>
      </c>
      <c r="E729" s="41" t="inlineStr">
        <is>
          <t>0003</t>
        </is>
      </c>
      <c r="F729" s="42" t="inlineStr">
        <is>
          <t>서초센트럴IPARK</t>
        </is>
      </c>
      <c r="G729" s="41" t="inlineStr">
        <is>
          <t>80.5332</t>
        </is>
      </c>
      <c r="H729" s="41" t="inlineStr">
        <is>
          <t>202502</t>
        </is>
      </c>
      <c r="I729" s="41" t="inlineStr">
        <is>
          <t>28</t>
        </is>
      </c>
      <c r="J729" s="41" t="inlineStr">
        <is>
          <t>165,000</t>
        </is>
      </c>
      <c r="K729" s="41" t="inlineStr">
        <is>
          <t>102동</t>
        </is>
      </c>
      <c r="L729" s="41" t="inlineStr">
        <is>
          <t>3</t>
        </is>
      </c>
      <c r="M729" s="42" t="inlineStr">
        <is>
          <t>개인</t>
        </is>
      </c>
      <c r="N729" s="42" t="inlineStr">
        <is>
          <t>개인</t>
        </is>
      </c>
      <c r="O729" s="41" t="inlineStr">
        <is>
          <t>2020</t>
        </is>
      </c>
      <c r="P729" s="42" t="inlineStr">
        <is>
          <t>반포대로18길 36</t>
        </is>
      </c>
      <c r="Q729" s="41" t="inlineStr">
        <is>
          <t>-</t>
        </is>
      </c>
      <c r="R729" s="42" t="inlineStr">
        <is>
          <t>중개거래</t>
        </is>
      </c>
      <c r="S729" s="42" t="inlineStr">
        <is>
          <t>서울 서초구</t>
        </is>
      </c>
      <c r="T729" s="41" t="inlineStr">
        <is>
          <t>25.05.20</t>
        </is>
      </c>
      <c r="U729" s="42" t="inlineStr">
        <is>
          <t>아파트</t>
        </is>
      </c>
    </row>
    <row r="730" hidden="1" ht="15" customHeight="1">
      <c r="A730" s="41" t="n">
        <v>197</v>
      </c>
      <c r="B730" s="42" t="inlineStr">
        <is>
          <t>서울특별시 서초구 서초동</t>
        </is>
      </c>
      <c r="C730" s="41" t="inlineStr">
        <is>
          <t>1312-3</t>
        </is>
      </c>
      <c r="D730" s="41" t="inlineStr">
        <is>
          <t>1312</t>
        </is>
      </c>
      <c r="E730" s="41" t="inlineStr">
        <is>
          <t>0003</t>
        </is>
      </c>
      <c r="F730" s="42" t="inlineStr">
        <is>
          <t>롯데캐슬클래식</t>
        </is>
      </c>
      <c r="G730" s="41" t="inlineStr">
        <is>
          <t>74.3000</t>
        </is>
      </c>
      <c r="H730" s="41" t="inlineStr">
        <is>
          <t>202502</t>
        </is>
      </c>
      <c r="I730" s="41" t="inlineStr">
        <is>
          <t>28</t>
        </is>
      </c>
      <c r="J730" s="41" t="inlineStr">
        <is>
          <t>248,000</t>
        </is>
      </c>
      <c r="K730" s="41" t="inlineStr">
        <is>
          <t>112</t>
        </is>
      </c>
      <c r="L730" s="41" t="inlineStr">
        <is>
          <t>17</t>
        </is>
      </c>
      <c r="M730" s="42" t="inlineStr">
        <is>
          <t>개인</t>
        </is>
      </c>
      <c r="N730" s="42" t="inlineStr">
        <is>
          <t>개인</t>
        </is>
      </c>
      <c r="O730" s="41" t="inlineStr">
        <is>
          <t>2006</t>
        </is>
      </c>
      <c r="P730" s="42" t="inlineStr">
        <is>
          <t>서운로 200</t>
        </is>
      </c>
      <c r="Q730" s="41" t="inlineStr">
        <is>
          <t>-</t>
        </is>
      </c>
      <c r="R730" s="42" t="inlineStr">
        <is>
          <t>중개거래</t>
        </is>
      </c>
      <c r="S730" s="42" t="inlineStr">
        <is>
          <t>서울 서초구</t>
        </is>
      </c>
      <c r="T730" s="41" t="inlineStr">
        <is>
          <t>25.10.15</t>
        </is>
      </c>
      <c r="U730" s="42" t="inlineStr">
        <is>
          <t>아파트</t>
        </is>
      </c>
    </row>
    <row r="731" hidden="1" ht="15" customHeight="1">
      <c r="A731" s="41" t="n">
        <v>198</v>
      </c>
      <c r="B731" s="42" t="inlineStr">
        <is>
          <t>서울특별시 서초구 서초동</t>
        </is>
      </c>
      <c r="C731" s="41" t="inlineStr">
        <is>
          <t>1686-9</t>
        </is>
      </c>
      <c r="D731" s="41" t="inlineStr">
        <is>
          <t>1686</t>
        </is>
      </c>
      <c r="E731" s="41" t="inlineStr">
        <is>
          <t>0009</t>
        </is>
      </c>
      <c r="F731" s="42" t="inlineStr">
        <is>
          <t>서초교대e편한세상</t>
        </is>
      </c>
      <c r="G731" s="41" t="inlineStr">
        <is>
          <t>110.3200</t>
        </is>
      </c>
      <c r="H731" s="41" t="inlineStr">
        <is>
          <t>202502</t>
        </is>
      </c>
      <c r="I731" s="41" t="inlineStr">
        <is>
          <t>27</t>
        </is>
      </c>
      <c r="J731" s="41" t="inlineStr">
        <is>
          <t>306,000</t>
        </is>
      </c>
      <c r="K731" s="41" t="inlineStr">
        <is>
          <t>106</t>
        </is>
      </c>
      <c r="L731" s="41" t="inlineStr">
        <is>
          <t>10</t>
        </is>
      </c>
      <c r="M731" s="42" t="inlineStr">
        <is>
          <t>개인</t>
        </is>
      </c>
      <c r="N731" s="42" t="inlineStr">
        <is>
          <t>개인</t>
        </is>
      </c>
      <c r="O731" s="41" t="inlineStr">
        <is>
          <t>2010</t>
        </is>
      </c>
      <c r="P731" s="42" t="inlineStr">
        <is>
          <t>서초중앙로24길 33</t>
        </is>
      </c>
      <c r="Q731" s="41" t="inlineStr">
        <is>
          <t>-</t>
        </is>
      </c>
      <c r="R731" s="42" t="inlineStr">
        <is>
          <t>중개거래</t>
        </is>
      </c>
      <c r="S731" s="42" t="inlineStr">
        <is>
          <t>서울 서초구</t>
        </is>
      </c>
      <c r="T731" s="41" t="inlineStr">
        <is>
          <t>25.08.05</t>
        </is>
      </c>
      <c r="U731" s="42" t="inlineStr">
        <is>
          <t>아파트</t>
        </is>
      </c>
    </row>
    <row r="732" hidden="1" ht="15" customHeight="1">
      <c r="A732" s="41" t="n">
        <v>199</v>
      </c>
      <c r="B732" s="42" t="inlineStr">
        <is>
          <t>서울특별시 서초구 서초동</t>
        </is>
      </c>
      <c r="C732" s="41" t="inlineStr">
        <is>
          <t>1671-5</t>
        </is>
      </c>
      <c r="D732" s="41" t="inlineStr">
        <is>
          <t>1671</t>
        </is>
      </c>
      <c r="E732" s="41" t="inlineStr">
        <is>
          <t>0005</t>
        </is>
      </c>
      <c r="F732" s="42" t="inlineStr">
        <is>
          <t>대림서초리시온</t>
        </is>
      </c>
      <c r="G732" s="41" t="inlineStr">
        <is>
          <t>55.3200</t>
        </is>
      </c>
      <c r="H732" s="41" t="inlineStr">
        <is>
          <t>202502</t>
        </is>
      </c>
      <c r="I732" s="41" t="inlineStr">
        <is>
          <t>27</t>
        </is>
      </c>
      <c r="J732" s="41" t="inlineStr">
        <is>
          <t>65,000</t>
        </is>
      </c>
      <c r="K732" s="41" t="inlineStr">
        <is>
          <t>-</t>
        </is>
      </c>
      <c r="L732" s="41" t="inlineStr">
        <is>
          <t>10</t>
        </is>
      </c>
      <c r="M732" s="42" t="inlineStr">
        <is>
          <t>개인</t>
        </is>
      </c>
      <c r="N732" s="42" t="inlineStr">
        <is>
          <t>개인</t>
        </is>
      </c>
      <c r="O732" s="41" t="inlineStr">
        <is>
          <t>2003</t>
        </is>
      </c>
      <c r="P732" s="42" t="inlineStr">
        <is>
          <t>서초중앙로22길 25</t>
        </is>
      </c>
      <c r="Q732" s="41" t="inlineStr">
        <is>
          <t>-</t>
        </is>
      </c>
      <c r="R732" s="42" t="inlineStr">
        <is>
          <t>중개거래</t>
        </is>
      </c>
      <c r="S732" s="42" t="inlineStr">
        <is>
          <t>서울 서초구</t>
        </is>
      </c>
      <c r="T732" s="41" t="inlineStr">
        <is>
          <t>25.04.07</t>
        </is>
      </c>
      <c r="U732" s="42" t="inlineStr">
        <is>
          <t>아파트</t>
        </is>
      </c>
    </row>
    <row r="733" hidden="1" ht="15" customHeight="1">
      <c r="A733" s="41" t="n">
        <v>200</v>
      </c>
      <c r="B733" s="42" t="inlineStr">
        <is>
          <t>서울특별시 서초구 서초동</t>
        </is>
      </c>
      <c r="C733" s="41" t="inlineStr">
        <is>
          <t>1682</t>
        </is>
      </c>
      <c r="D733" s="41" t="inlineStr">
        <is>
          <t>1682</t>
        </is>
      </c>
      <c r="E733" s="41" t="inlineStr">
        <is>
          <t>0000</t>
        </is>
      </c>
      <c r="F733" s="42" t="inlineStr">
        <is>
          <t>서초래미안</t>
        </is>
      </c>
      <c r="G733" s="41" t="inlineStr">
        <is>
          <t>84.9500</t>
        </is>
      </c>
      <c r="H733" s="41" t="inlineStr">
        <is>
          <t>202502</t>
        </is>
      </c>
      <c r="I733" s="41" t="inlineStr">
        <is>
          <t>27</t>
        </is>
      </c>
      <c r="J733" s="41" t="inlineStr">
        <is>
          <t>240,000</t>
        </is>
      </c>
      <c r="K733" s="41" t="inlineStr">
        <is>
          <t>-</t>
        </is>
      </c>
      <c r="L733" s="41" t="inlineStr">
        <is>
          <t>12</t>
        </is>
      </c>
      <c r="M733" s="42" t="inlineStr">
        <is>
          <t>개인</t>
        </is>
      </c>
      <c r="N733" s="42" t="inlineStr">
        <is>
          <t>개인</t>
        </is>
      </c>
      <c r="O733" s="41" t="inlineStr">
        <is>
          <t>2003</t>
        </is>
      </c>
      <c r="P733" s="42" t="inlineStr">
        <is>
          <t>서초대로65길 13-10</t>
        </is>
      </c>
      <c r="Q733" s="41" t="inlineStr">
        <is>
          <t>20250228</t>
        </is>
      </c>
      <c r="R733" s="42" t="inlineStr">
        <is>
          <t>중개거래</t>
        </is>
      </c>
      <c r="S733" s="42" t="inlineStr">
        <is>
          <t>서울 서초구</t>
        </is>
      </c>
      <c r="T733" s="41" t="inlineStr">
        <is>
          <t>-</t>
        </is>
      </c>
      <c r="U733" s="42" t="inlineStr">
        <is>
          <t>아파트</t>
        </is>
      </c>
    </row>
    <row r="734" hidden="1" ht="15" customHeight="1">
      <c r="A734" s="41" t="n">
        <v>201</v>
      </c>
      <c r="B734" s="42" t="inlineStr">
        <is>
          <t>서울특별시 서초구 서초동</t>
        </is>
      </c>
      <c r="C734" s="41" t="inlineStr">
        <is>
          <t>1685</t>
        </is>
      </c>
      <c r="D734" s="41" t="inlineStr">
        <is>
          <t>1685</t>
        </is>
      </c>
      <c r="E734" s="41" t="inlineStr">
        <is>
          <t>0000</t>
        </is>
      </c>
      <c r="F734" s="42" t="inlineStr">
        <is>
          <t>삼풍아파트</t>
        </is>
      </c>
      <c r="G734" s="41" t="inlineStr">
        <is>
          <t>163.8100</t>
        </is>
      </c>
      <c r="H734" s="41" t="inlineStr">
        <is>
          <t>202502</t>
        </is>
      </c>
      <c r="I734" s="41" t="inlineStr">
        <is>
          <t>27</t>
        </is>
      </c>
      <c r="J734" s="41" t="inlineStr">
        <is>
          <t>425,000</t>
        </is>
      </c>
      <c r="K734" s="41" t="inlineStr">
        <is>
          <t>23</t>
        </is>
      </c>
      <c r="L734" s="41" t="inlineStr">
        <is>
          <t>9</t>
        </is>
      </c>
      <c r="M734" s="42" t="inlineStr">
        <is>
          <t>개인</t>
        </is>
      </c>
      <c r="N734" s="42" t="inlineStr">
        <is>
          <t>개인</t>
        </is>
      </c>
      <c r="O734" s="41" t="inlineStr">
        <is>
          <t>1988</t>
        </is>
      </c>
      <c r="P734" s="42" t="inlineStr">
        <is>
          <t>서초중앙로 200</t>
        </is>
      </c>
      <c r="Q734" s="41" t="inlineStr">
        <is>
          <t>-</t>
        </is>
      </c>
      <c r="R734" s="42" t="inlineStr">
        <is>
          <t>중개거래</t>
        </is>
      </c>
      <c r="S734" s="42" t="inlineStr">
        <is>
          <t>서울 서초구</t>
        </is>
      </c>
      <c r="T734" s="41" t="inlineStr">
        <is>
          <t>25.06.27</t>
        </is>
      </c>
      <c r="U734" s="42" t="inlineStr">
        <is>
          <t>아파트</t>
        </is>
      </c>
    </row>
    <row r="735" hidden="1" ht="15" customHeight="1">
      <c r="A735" s="41" t="n">
        <v>202</v>
      </c>
      <c r="B735" s="42" t="inlineStr">
        <is>
          <t>서울특별시 서초구 서초동</t>
        </is>
      </c>
      <c r="C735" s="41" t="inlineStr">
        <is>
          <t>1685</t>
        </is>
      </c>
      <c r="D735" s="41" t="inlineStr">
        <is>
          <t>1685</t>
        </is>
      </c>
      <c r="E735" s="41" t="inlineStr">
        <is>
          <t>0000</t>
        </is>
      </c>
      <c r="F735" s="42" t="inlineStr">
        <is>
          <t>삼풍아파트</t>
        </is>
      </c>
      <c r="G735" s="41" t="inlineStr">
        <is>
          <t>79.4700</t>
        </is>
      </c>
      <c r="H735" s="41" t="inlineStr">
        <is>
          <t>202502</t>
        </is>
      </c>
      <c r="I735" s="41" t="inlineStr">
        <is>
          <t>27</t>
        </is>
      </c>
      <c r="J735" s="41" t="inlineStr">
        <is>
          <t>273,000</t>
        </is>
      </c>
      <c r="K735" s="41" t="inlineStr">
        <is>
          <t>2</t>
        </is>
      </c>
      <c r="L735" s="41" t="inlineStr">
        <is>
          <t>1</t>
        </is>
      </c>
      <c r="M735" s="42" t="inlineStr">
        <is>
          <t>개인</t>
        </is>
      </c>
      <c r="N735" s="42" t="inlineStr">
        <is>
          <t>개인</t>
        </is>
      </c>
      <c r="O735" s="41" t="inlineStr">
        <is>
          <t>1988</t>
        </is>
      </c>
      <c r="P735" s="42" t="inlineStr">
        <is>
          <t>서초중앙로 200</t>
        </is>
      </c>
      <c r="Q735" s="41" t="inlineStr">
        <is>
          <t>-</t>
        </is>
      </c>
      <c r="R735" s="42" t="inlineStr">
        <is>
          <t>중개거래</t>
        </is>
      </c>
      <c r="S735" s="42" t="inlineStr">
        <is>
          <t>서울 서초구</t>
        </is>
      </c>
      <c r="T735" s="41" t="inlineStr">
        <is>
          <t>25.06.20</t>
        </is>
      </c>
      <c r="U735" s="42" t="inlineStr">
        <is>
          <t>아파트</t>
        </is>
      </c>
    </row>
    <row r="736" hidden="1" ht="15" customHeight="1">
      <c r="A736" s="41" t="n">
        <v>203</v>
      </c>
      <c r="B736" s="42" t="inlineStr">
        <is>
          <t>서울특별시 서초구 서초동</t>
        </is>
      </c>
      <c r="C736" s="41" t="inlineStr">
        <is>
          <t>1685-3</t>
        </is>
      </c>
      <c r="D736" s="41" t="inlineStr">
        <is>
          <t>1685</t>
        </is>
      </c>
      <c r="E736" s="41" t="inlineStr">
        <is>
          <t>0003</t>
        </is>
      </c>
      <c r="F736" s="42" t="inlineStr">
        <is>
          <t>아크로비스타</t>
        </is>
      </c>
      <c r="G736" s="41" t="inlineStr">
        <is>
          <t>137.9800</t>
        </is>
      </c>
      <c r="H736" s="41" t="inlineStr">
        <is>
          <t>202502</t>
        </is>
      </c>
      <c r="I736" s="41" t="inlineStr">
        <is>
          <t>27</t>
        </is>
      </c>
      <c r="J736" s="41" t="inlineStr">
        <is>
          <t>268,000</t>
        </is>
      </c>
      <c r="K736" s="41" t="inlineStr">
        <is>
          <t>A</t>
        </is>
      </c>
      <c r="L736" s="41" t="inlineStr">
        <is>
          <t>7</t>
        </is>
      </c>
      <c r="M736" s="42" t="inlineStr">
        <is>
          <t>개인</t>
        </is>
      </c>
      <c r="N736" s="42" t="inlineStr">
        <is>
          <t>개인</t>
        </is>
      </c>
      <c r="O736" s="41" t="inlineStr">
        <is>
          <t>2004</t>
        </is>
      </c>
      <c r="P736" s="42" t="inlineStr">
        <is>
          <t>서초중앙로 188</t>
        </is>
      </c>
      <c r="Q736" s="41" t="inlineStr">
        <is>
          <t>-</t>
        </is>
      </c>
      <c r="R736" s="42" t="inlineStr">
        <is>
          <t>중개거래</t>
        </is>
      </c>
      <c r="S736" s="42" t="inlineStr">
        <is>
          <t>서울 서초구</t>
        </is>
      </c>
      <c r="T736" s="41" t="inlineStr">
        <is>
          <t>25.06.05</t>
        </is>
      </c>
      <c r="U736" s="42" t="inlineStr">
        <is>
          <t>아파트</t>
        </is>
      </c>
    </row>
    <row r="737" hidden="1" ht="15" customHeight="1">
      <c r="A737" s="41" t="n">
        <v>204</v>
      </c>
      <c r="B737" s="42" t="inlineStr">
        <is>
          <t>서울특별시 서초구 서초동</t>
        </is>
      </c>
      <c r="C737" s="41" t="inlineStr">
        <is>
          <t>1757</t>
        </is>
      </c>
      <c r="D737" s="41" t="inlineStr">
        <is>
          <t>1757</t>
        </is>
      </c>
      <c r="E737" s="41" t="inlineStr">
        <is>
          <t>0000</t>
        </is>
      </c>
      <c r="F737" s="42" t="inlineStr">
        <is>
          <t>서초그랑자이</t>
        </is>
      </c>
      <c r="G737" s="41" t="inlineStr">
        <is>
          <t>84.5100</t>
        </is>
      </c>
      <c r="H737" s="41" t="inlineStr">
        <is>
          <t>202502</t>
        </is>
      </c>
      <c r="I737" s="41" t="inlineStr">
        <is>
          <t>27</t>
        </is>
      </c>
      <c r="J737" s="41" t="inlineStr">
        <is>
          <t>345,000</t>
        </is>
      </c>
      <c r="K737" s="41" t="inlineStr">
        <is>
          <t>108동</t>
        </is>
      </c>
      <c r="L737" s="41" t="inlineStr">
        <is>
          <t>9</t>
        </is>
      </c>
      <c r="M737" s="42" t="inlineStr">
        <is>
          <t>개인</t>
        </is>
      </c>
      <c r="N737" s="42" t="inlineStr">
        <is>
          <t>개인</t>
        </is>
      </c>
      <c r="O737" s="41" t="inlineStr">
        <is>
          <t>2021</t>
        </is>
      </c>
      <c r="P737" s="42" t="inlineStr">
        <is>
          <t>효령로 391</t>
        </is>
      </c>
      <c r="Q737" s="41" t="inlineStr">
        <is>
          <t>-</t>
        </is>
      </c>
      <c r="R737" s="42" t="inlineStr">
        <is>
          <t>중개거래</t>
        </is>
      </c>
      <c r="S737" s="42" t="inlineStr">
        <is>
          <t>서울 서초구</t>
        </is>
      </c>
      <c r="T737" s="41" t="inlineStr">
        <is>
          <t>25.06.09</t>
        </is>
      </c>
      <c r="U737" s="42" t="inlineStr">
        <is>
          <t>아파트</t>
        </is>
      </c>
    </row>
    <row r="738" hidden="1" ht="15" customHeight="1">
      <c r="A738" s="41" t="n">
        <v>205</v>
      </c>
      <c r="B738" s="42" t="inlineStr">
        <is>
          <t>서울특별시 서초구 서초동</t>
        </is>
      </c>
      <c r="C738" s="41" t="inlineStr">
        <is>
          <t>1755</t>
        </is>
      </c>
      <c r="D738" s="41" t="inlineStr">
        <is>
          <t>1755</t>
        </is>
      </c>
      <c r="E738" s="41" t="inlineStr">
        <is>
          <t>0000</t>
        </is>
      </c>
      <c r="F738" s="42" t="inlineStr">
        <is>
          <t>래미안 리더스원</t>
        </is>
      </c>
      <c r="G738" s="41" t="inlineStr">
        <is>
          <t>84.9300</t>
        </is>
      </c>
      <c r="H738" s="41" t="inlineStr">
        <is>
          <t>202502</t>
        </is>
      </c>
      <c r="I738" s="41" t="inlineStr">
        <is>
          <t>27</t>
        </is>
      </c>
      <c r="J738" s="41" t="inlineStr">
        <is>
          <t>350,000</t>
        </is>
      </c>
      <c r="K738" s="41" t="inlineStr">
        <is>
          <t>106동</t>
        </is>
      </c>
      <c r="L738" s="41" t="inlineStr">
        <is>
          <t>24</t>
        </is>
      </c>
      <c r="M738" s="42" t="inlineStr">
        <is>
          <t>개인</t>
        </is>
      </c>
      <c r="N738" s="42" t="inlineStr">
        <is>
          <t>개인</t>
        </is>
      </c>
      <c r="O738" s="41" t="inlineStr">
        <is>
          <t>2020</t>
        </is>
      </c>
      <c r="P738" s="42" t="inlineStr">
        <is>
          <t>서운로 62</t>
        </is>
      </c>
      <c r="Q738" s="41" t="inlineStr">
        <is>
          <t>-</t>
        </is>
      </c>
      <c r="R738" s="42" t="inlineStr">
        <is>
          <t>중개거래</t>
        </is>
      </c>
      <c r="S738" s="42" t="inlineStr">
        <is>
          <t>서울 서초구</t>
        </is>
      </c>
      <c r="T738" s="41" t="inlineStr">
        <is>
          <t>25.06.30</t>
        </is>
      </c>
      <c r="U738" s="42" t="inlineStr">
        <is>
          <t>아파트</t>
        </is>
      </c>
    </row>
    <row r="739" hidden="1" ht="15" customHeight="1">
      <c r="A739" s="41" t="n">
        <v>206</v>
      </c>
      <c r="B739" s="42" t="inlineStr">
        <is>
          <t>서울특별시 서초구 서초동</t>
        </is>
      </c>
      <c r="C739" s="41" t="inlineStr">
        <is>
          <t>1755</t>
        </is>
      </c>
      <c r="D739" s="41" t="inlineStr">
        <is>
          <t>1755</t>
        </is>
      </c>
      <c r="E739" s="41" t="inlineStr">
        <is>
          <t>0000</t>
        </is>
      </c>
      <c r="F739" s="42" t="inlineStr">
        <is>
          <t>래미안 리더스원</t>
        </is>
      </c>
      <c r="G739" s="41" t="inlineStr">
        <is>
          <t>114.7000</t>
        </is>
      </c>
      <c r="H739" s="41" t="inlineStr">
        <is>
          <t>202502</t>
        </is>
      </c>
      <c r="I739" s="41" t="inlineStr">
        <is>
          <t>27</t>
        </is>
      </c>
      <c r="J739" s="41" t="inlineStr">
        <is>
          <t>390,000</t>
        </is>
      </c>
      <c r="K739" s="41" t="inlineStr">
        <is>
          <t>109동</t>
        </is>
      </c>
      <c r="L739" s="41" t="inlineStr">
        <is>
          <t>8</t>
        </is>
      </c>
      <c r="M739" s="42" t="inlineStr">
        <is>
          <t>개인</t>
        </is>
      </c>
      <c r="N739" s="42" t="inlineStr">
        <is>
          <t>개인</t>
        </is>
      </c>
      <c r="O739" s="41" t="inlineStr">
        <is>
          <t>2020</t>
        </is>
      </c>
      <c r="P739" s="42" t="inlineStr">
        <is>
          <t>서운로 62</t>
        </is>
      </c>
      <c r="Q739" s="41" t="inlineStr">
        <is>
          <t>-</t>
        </is>
      </c>
      <c r="R739" s="42" t="inlineStr">
        <is>
          <t>중개거래</t>
        </is>
      </c>
      <c r="S739" s="42" t="inlineStr">
        <is>
          <t>서울 서초구</t>
        </is>
      </c>
      <c r="T739" s="41" t="inlineStr">
        <is>
          <t>25.05.27</t>
        </is>
      </c>
      <c r="U739" s="42" t="inlineStr">
        <is>
          <t>아파트</t>
        </is>
      </c>
    </row>
    <row r="740" hidden="1" ht="15" customHeight="1">
      <c r="A740" s="41" t="n">
        <v>207</v>
      </c>
      <c r="B740" s="42" t="inlineStr">
        <is>
          <t>서울특별시 서초구 서초동</t>
        </is>
      </c>
      <c r="C740" s="41" t="inlineStr">
        <is>
          <t>1311-10</t>
        </is>
      </c>
      <c r="D740" s="41" t="inlineStr">
        <is>
          <t>1311</t>
        </is>
      </c>
      <c r="E740" s="41" t="inlineStr">
        <is>
          <t>0010</t>
        </is>
      </c>
      <c r="F740" s="42" t="inlineStr">
        <is>
          <t>서초푸르지오써밋</t>
        </is>
      </c>
      <c r="G740" s="41" t="inlineStr">
        <is>
          <t>84.9500</t>
        </is>
      </c>
      <c r="H740" s="41" t="inlineStr">
        <is>
          <t>202502</t>
        </is>
      </c>
      <c r="I740" s="41" t="inlineStr">
        <is>
          <t>27</t>
        </is>
      </c>
      <c r="J740" s="41" t="inlineStr">
        <is>
          <t>330,000</t>
        </is>
      </c>
      <c r="K740" s="41" t="inlineStr">
        <is>
          <t>103</t>
        </is>
      </c>
      <c r="L740" s="41" t="inlineStr">
        <is>
          <t>21</t>
        </is>
      </c>
      <c r="M740" s="42" t="inlineStr">
        <is>
          <t>개인</t>
        </is>
      </c>
      <c r="N740" s="42" t="inlineStr">
        <is>
          <t>개인</t>
        </is>
      </c>
      <c r="O740" s="41" t="inlineStr">
        <is>
          <t>2017</t>
        </is>
      </c>
      <c r="P740" s="42" t="inlineStr">
        <is>
          <t>서운로 201</t>
        </is>
      </c>
      <c r="Q740" s="41" t="inlineStr">
        <is>
          <t>-</t>
        </is>
      </c>
      <c r="R740" s="42" t="inlineStr">
        <is>
          <t>중개거래</t>
        </is>
      </c>
      <c r="S740" s="42" t="inlineStr">
        <is>
          <t>서울 서초구</t>
        </is>
      </c>
      <c r="T740" s="41" t="inlineStr">
        <is>
          <t>25.06.30</t>
        </is>
      </c>
      <c r="U740" s="42" t="inlineStr">
        <is>
          <t>아파트</t>
        </is>
      </c>
    </row>
    <row r="741" hidden="1" ht="15" customHeight="1">
      <c r="A741" s="41" t="n">
        <v>208</v>
      </c>
      <c r="B741" s="42" t="inlineStr">
        <is>
          <t>서울특별시 서초구 서초동</t>
        </is>
      </c>
      <c r="C741" s="41" t="inlineStr">
        <is>
          <t>1311-10</t>
        </is>
      </c>
      <c r="D741" s="41" t="inlineStr">
        <is>
          <t>1311</t>
        </is>
      </c>
      <c r="E741" s="41" t="inlineStr">
        <is>
          <t>0010</t>
        </is>
      </c>
      <c r="F741" s="42" t="inlineStr">
        <is>
          <t>서초푸르지오써밋</t>
        </is>
      </c>
      <c r="G741" s="41" t="inlineStr">
        <is>
          <t>120.8600</t>
        </is>
      </c>
      <c r="H741" s="41" t="inlineStr">
        <is>
          <t>202502</t>
        </is>
      </c>
      <c r="I741" s="41" t="inlineStr">
        <is>
          <t>27</t>
        </is>
      </c>
      <c r="J741" s="41" t="inlineStr">
        <is>
          <t>365,000</t>
        </is>
      </c>
      <c r="K741" s="41" t="inlineStr">
        <is>
          <t>202</t>
        </is>
      </c>
      <c r="L741" s="41" t="inlineStr">
        <is>
          <t>16</t>
        </is>
      </c>
      <c r="M741" s="42" t="inlineStr">
        <is>
          <t>개인</t>
        </is>
      </c>
      <c r="N741" s="42" t="inlineStr">
        <is>
          <t>개인</t>
        </is>
      </c>
      <c r="O741" s="41" t="inlineStr">
        <is>
          <t>2017</t>
        </is>
      </c>
      <c r="P741" s="42" t="inlineStr">
        <is>
          <t>서운로 212</t>
        </is>
      </c>
      <c r="Q741" s="41" t="inlineStr">
        <is>
          <t>-</t>
        </is>
      </c>
      <c r="R741" s="42" t="inlineStr">
        <is>
          <t>중개거래</t>
        </is>
      </c>
      <c r="S741" s="42" t="inlineStr">
        <is>
          <t>서울 서초구</t>
        </is>
      </c>
      <c r="T741" s="41" t="inlineStr">
        <is>
          <t>25.08.13</t>
        </is>
      </c>
      <c r="U741" s="42" t="inlineStr">
        <is>
          <t>아파트</t>
        </is>
      </c>
    </row>
    <row r="742" hidden="1" ht="15" customHeight="1">
      <c r="A742" s="41" t="n">
        <v>209</v>
      </c>
      <c r="B742" s="42" t="inlineStr">
        <is>
          <t>서울특별시 서초구 서초동</t>
        </is>
      </c>
      <c r="C742" s="41" t="inlineStr">
        <is>
          <t>1444-7</t>
        </is>
      </c>
      <c r="D742" s="41" t="inlineStr">
        <is>
          <t>1444</t>
        </is>
      </c>
      <c r="E742" s="41" t="inlineStr">
        <is>
          <t>0007</t>
        </is>
      </c>
      <c r="F742" s="42" t="inlineStr">
        <is>
          <t>서초자이</t>
        </is>
      </c>
      <c r="G742" s="41" t="inlineStr">
        <is>
          <t>148.8300</t>
        </is>
      </c>
      <c r="H742" s="41" t="inlineStr">
        <is>
          <t>202502</t>
        </is>
      </c>
      <c r="I742" s="41" t="inlineStr">
        <is>
          <t>27</t>
        </is>
      </c>
      <c r="J742" s="41" t="inlineStr">
        <is>
          <t>260,000</t>
        </is>
      </c>
      <c r="K742" s="41" t="inlineStr">
        <is>
          <t>102</t>
        </is>
      </c>
      <c r="L742" s="41" t="inlineStr">
        <is>
          <t>3</t>
        </is>
      </c>
      <c r="M742" s="42" t="inlineStr">
        <is>
          <t>개인</t>
        </is>
      </c>
      <c r="N742" s="42" t="inlineStr">
        <is>
          <t>개인</t>
        </is>
      </c>
      <c r="O742" s="41" t="inlineStr">
        <is>
          <t>2006</t>
        </is>
      </c>
      <c r="P742" s="42" t="inlineStr">
        <is>
          <t>효령로68길 81</t>
        </is>
      </c>
      <c r="Q742" s="41" t="inlineStr">
        <is>
          <t>-</t>
        </is>
      </c>
      <c r="R742" s="42" t="inlineStr">
        <is>
          <t>중개거래</t>
        </is>
      </c>
      <c r="S742" s="42" t="inlineStr">
        <is>
          <t>서울 서초구, 서울 송파구</t>
        </is>
      </c>
      <c r="T742" s="41" t="inlineStr">
        <is>
          <t>25.05.26</t>
        </is>
      </c>
      <c r="U742" s="42" t="inlineStr">
        <is>
          <t>아파트</t>
        </is>
      </c>
    </row>
    <row r="743" hidden="1" ht="15" customHeight="1">
      <c r="A743" s="41" t="n">
        <v>210</v>
      </c>
      <c r="B743" s="42" t="inlineStr">
        <is>
          <t>서울특별시 서초구 서초동</t>
        </is>
      </c>
      <c r="C743" s="41" t="inlineStr">
        <is>
          <t>1679-6</t>
        </is>
      </c>
      <c r="D743" s="41" t="inlineStr">
        <is>
          <t>1679</t>
        </is>
      </c>
      <c r="E743" s="41" t="inlineStr">
        <is>
          <t>0006</t>
        </is>
      </c>
      <c r="F743" s="42" t="inlineStr">
        <is>
          <t>서초동에지앙</t>
        </is>
      </c>
      <c r="G743" s="41" t="inlineStr">
        <is>
          <t>136.8900</t>
        </is>
      </c>
      <c r="H743" s="41" t="inlineStr">
        <is>
          <t>202502</t>
        </is>
      </c>
      <c r="I743" s="41" t="inlineStr">
        <is>
          <t>27</t>
        </is>
      </c>
      <c r="J743" s="41" t="inlineStr">
        <is>
          <t>124,000</t>
        </is>
      </c>
      <c r="K743" s="42" t="inlineStr">
        <is>
          <t>서초 에지앙</t>
        </is>
      </c>
      <c r="L743" s="41" t="inlineStr">
        <is>
          <t>7</t>
        </is>
      </c>
      <c r="M743" s="42" t="inlineStr">
        <is>
          <t>개인</t>
        </is>
      </c>
      <c r="N743" s="42" t="inlineStr">
        <is>
          <t>개인</t>
        </is>
      </c>
      <c r="O743" s="41" t="inlineStr">
        <is>
          <t>2006</t>
        </is>
      </c>
      <c r="P743" s="42" t="inlineStr">
        <is>
          <t>서초대로64길 13</t>
        </is>
      </c>
      <c r="Q743" s="41" t="inlineStr">
        <is>
          <t>-</t>
        </is>
      </c>
      <c r="R743" s="42" t="inlineStr">
        <is>
          <t>중개거래</t>
        </is>
      </c>
      <c r="S743" s="42" t="inlineStr">
        <is>
          <t>서울 서초구</t>
        </is>
      </c>
      <c r="T743" s="41" t="inlineStr">
        <is>
          <t>25.04.09</t>
        </is>
      </c>
      <c r="U743" s="42" t="inlineStr">
        <is>
          <t>아파트</t>
        </is>
      </c>
    </row>
    <row r="744" hidden="1" ht="15" customHeight="1">
      <c r="A744" s="41" t="n">
        <v>211</v>
      </c>
      <c r="B744" s="42" t="inlineStr">
        <is>
          <t>서울특별시 서초구 서초동</t>
        </is>
      </c>
      <c r="C744" s="41" t="inlineStr">
        <is>
          <t>1319-13</t>
        </is>
      </c>
      <c r="D744" s="41" t="inlineStr">
        <is>
          <t>1319</t>
        </is>
      </c>
      <c r="E744" s="41" t="inlineStr">
        <is>
          <t>0013</t>
        </is>
      </c>
      <c r="F744" s="42" t="inlineStr">
        <is>
          <t>서초현대타워아파트</t>
        </is>
      </c>
      <c r="G744" s="41" t="inlineStr">
        <is>
          <t>179.0300</t>
        </is>
      </c>
      <c r="H744" s="41" t="inlineStr">
        <is>
          <t>202502</t>
        </is>
      </c>
      <c r="I744" s="41" t="inlineStr">
        <is>
          <t>26</t>
        </is>
      </c>
      <c r="J744" s="41" t="inlineStr">
        <is>
          <t>198,000</t>
        </is>
      </c>
      <c r="K744" s="41" t="inlineStr">
        <is>
          <t>-</t>
        </is>
      </c>
      <c r="L744" s="41" t="inlineStr">
        <is>
          <t>26</t>
        </is>
      </c>
      <c r="M744" s="42" t="inlineStr">
        <is>
          <t>개인</t>
        </is>
      </c>
      <c r="N744" s="42" t="inlineStr">
        <is>
          <t>개인</t>
        </is>
      </c>
      <c r="O744" s="41" t="inlineStr">
        <is>
          <t>1997</t>
        </is>
      </c>
      <c r="P744" s="42" t="inlineStr">
        <is>
          <t>강남대로 375</t>
        </is>
      </c>
      <c r="Q744" s="41" t="inlineStr">
        <is>
          <t>-</t>
        </is>
      </c>
      <c r="R744" s="42" t="inlineStr">
        <is>
          <t>중개거래</t>
        </is>
      </c>
      <c r="S744" s="42" t="inlineStr">
        <is>
          <t>서울 강남구, 서울 서초구</t>
        </is>
      </c>
      <c r="T744" s="41" t="inlineStr">
        <is>
          <t>25.05.15</t>
        </is>
      </c>
      <c r="U744" s="42" t="inlineStr">
        <is>
          <t>아파트</t>
        </is>
      </c>
    </row>
    <row r="745" hidden="1" ht="15" customHeight="1">
      <c r="A745" s="41" t="n">
        <v>212</v>
      </c>
      <c r="B745" s="42" t="inlineStr">
        <is>
          <t>서울특별시 서초구 서초동</t>
        </is>
      </c>
      <c r="C745" s="41" t="inlineStr">
        <is>
          <t>1685</t>
        </is>
      </c>
      <c r="D745" s="41" t="inlineStr">
        <is>
          <t>1685</t>
        </is>
      </c>
      <c r="E745" s="41" t="inlineStr">
        <is>
          <t>0000</t>
        </is>
      </c>
      <c r="F745" s="42" t="inlineStr">
        <is>
          <t>삼풍아파트</t>
        </is>
      </c>
      <c r="G745" s="41" t="inlineStr">
        <is>
          <t>79.4700</t>
        </is>
      </c>
      <c r="H745" s="41" t="inlineStr">
        <is>
          <t>202502</t>
        </is>
      </c>
      <c r="I745" s="41" t="inlineStr">
        <is>
          <t>26</t>
        </is>
      </c>
      <c r="J745" s="41" t="inlineStr">
        <is>
          <t>300,000</t>
        </is>
      </c>
      <c r="K745" s="41" t="inlineStr">
        <is>
          <t>9</t>
        </is>
      </c>
      <c r="L745" s="41" t="inlineStr">
        <is>
          <t>15</t>
        </is>
      </c>
      <c r="M745" s="42" t="inlineStr">
        <is>
          <t>개인</t>
        </is>
      </c>
      <c r="N745" s="42" t="inlineStr">
        <is>
          <t>개인</t>
        </is>
      </c>
      <c r="O745" s="41" t="inlineStr">
        <is>
          <t>1988</t>
        </is>
      </c>
      <c r="P745" s="42" t="inlineStr">
        <is>
          <t>서초중앙로 200</t>
        </is>
      </c>
      <c r="Q745" s="41" t="inlineStr">
        <is>
          <t>-</t>
        </is>
      </c>
      <c r="R745" s="42" t="inlineStr">
        <is>
          <t>중개거래</t>
        </is>
      </c>
      <c r="S745" s="42" t="inlineStr">
        <is>
          <t>서울 강남구, 서울 서초구</t>
        </is>
      </c>
      <c r="T745" s="41" t="inlineStr">
        <is>
          <t>25.06.30</t>
        </is>
      </c>
      <c r="U745" s="42" t="inlineStr">
        <is>
          <t>아파트</t>
        </is>
      </c>
    </row>
    <row r="746" hidden="1" ht="15" customHeight="1">
      <c r="A746" s="41" t="n">
        <v>213</v>
      </c>
      <c r="B746" s="42" t="inlineStr">
        <is>
          <t>서울특별시 서초구 서초동</t>
        </is>
      </c>
      <c r="C746" s="41" t="inlineStr">
        <is>
          <t>1757</t>
        </is>
      </c>
      <c r="D746" s="41" t="inlineStr">
        <is>
          <t>1757</t>
        </is>
      </c>
      <c r="E746" s="41" t="inlineStr">
        <is>
          <t>0000</t>
        </is>
      </c>
      <c r="F746" s="42" t="inlineStr">
        <is>
          <t>서초그랑자이</t>
        </is>
      </c>
      <c r="G746" s="41" t="inlineStr">
        <is>
          <t>74.9100</t>
        </is>
      </c>
      <c r="H746" s="41" t="inlineStr">
        <is>
          <t>202502</t>
        </is>
      </c>
      <c r="I746" s="41" t="inlineStr">
        <is>
          <t>26</t>
        </is>
      </c>
      <c r="J746" s="41" t="inlineStr">
        <is>
          <t>315,000</t>
        </is>
      </c>
      <c r="K746" s="41" t="inlineStr">
        <is>
          <t>105동</t>
        </is>
      </c>
      <c r="L746" s="41" t="inlineStr">
        <is>
          <t>28</t>
        </is>
      </c>
      <c r="M746" s="42" t="inlineStr">
        <is>
          <t>개인</t>
        </is>
      </c>
      <c r="N746" s="42" t="inlineStr">
        <is>
          <t>개인</t>
        </is>
      </c>
      <c r="O746" s="41" t="inlineStr">
        <is>
          <t>2021</t>
        </is>
      </c>
      <c r="P746" s="42" t="inlineStr">
        <is>
          <t>효령로 391</t>
        </is>
      </c>
      <c r="Q746" s="41" t="inlineStr">
        <is>
          <t>-</t>
        </is>
      </c>
      <c r="R746" s="42" t="inlineStr">
        <is>
          <t>중개거래</t>
        </is>
      </c>
      <c r="S746" s="42" t="inlineStr">
        <is>
          <t>서울 강남구, 서울 서초구</t>
        </is>
      </c>
      <c r="T746" s="41" t="inlineStr">
        <is>
          <t>25.05.21</t>
        </is>
      </c>
      <c r="U746" s="42" t="inlineStr">
        <is>
          <t>아파트</t>
        </is>
      </c>
    </row>
    <row r="747" hidden="1" ht="15" customHeight="1">
      <c r="A747" s="41" t="n">
        <v>214</v>
      </c>
      <c r="B747" s="42" t="inlineStr">
        <is>
          <t>서울특별시 서초구 서초동</t>
        </is>
      </c>
      <c r="C747" s="41" t="inlineStr">
        <is>
          <t>1582-3</t>
        </is>
      </c>
      <c r="D747" s="41" t="inlineStr">
        <is>
          <t>1582</t>
        </is>
      </c>
      <c r="E747" s="41" t="inlineStr">
        <is>
          <t>0003</t>
        </is>
      </c>
      <c r="F747" s="42" t="inlineStr">
        <is>
          <t>서초센트럴IPARK</t>
        </is>
      </c>
      <c r="G747" s="41" t="inlineStr">
        <is>
          <t>80.5154</t>
        </is>
      </c>
      <c r="H747" s="41" t="inlineStr">
        <is>
          <t>202502</t>
        </is>
      </c>
      <c r="I747" s="41" t="inlineStr">
        <is>
          <t>26</t>
        </is>
      </c>
      <c r="J747" s="41" t="inlineStr">
        <is>
          <t>167,000</t>
        </is>
      </c>
      <c r="K747" s="41" t="inlineStr">
        <is>
          <t>102동</t>
        </is>
      </c>
      <c r="L747" s="41" t="inlineStr">
        <is>
          <t>6</t>
        </is>
      </c>
      <c r="M747" s="42" t="inlineStr">
        <is>
          <t>개인</t>
        </is>
      </c>
      <c r="N747" s="42" t="inlineStr">
        <is>
          <t>개인</t>
        </is>
      </c>
      <c r="O747" s="41" t="inlineStr">
        <is>
          <t>2020</t>
        </is>
      </c>
      <c r="P747" s="42" t="inlineStr">
        <is>
          <t>반포대로18길 36</t>
        </is>
      </c>
      <c r="Q747" s="41" t="inlineStr">
        <is>
          <t>-</t>
        </is>
      </c>
      <c r="R747" s="42" t="inlineStr">
        <is>
          <t>중개거래</t>
        </is>
      </c>
      <c r="S747" s="42" t="inlineStr">
        <is>
          <t>서울 서초구</t>
        </is>
      </c>
      <c r="T747" s="41" t="inlineStr">
        <is>
          <t>25.06.30</t>
        </is>
      </c>
      <c r="U747" s="42" t="inlineStr">
        <is>
          <t>아파트</t>
        </is>
      </c>
    </row>
    <row r="748" hidden="1" ht="15" customHeight="1">
      <c r="A748" s="41" t="n">
        <v>215</v>
      </c>
      <c r="B748" s="42" t="inlineStr">
        <is>
          <t>서울특별시 서초구 서초동</t>
        </is>
      </c>
      <c r="C748" s="41" t="inlineStr">
        <is>
          <t>1582-3</t>
        </is>
      </c>
      <c r="D748" s="41" t="inlineStr">
        <is>
          <t>1582</t>
        </is>
      </c>
      <c r="E748" s="41" t="inlineStr">
        <is>
          <t>0003</t>
        </is>
      </c>
      <c r="F748" s="42" t="inlineStr">
        <is>
          <t>서초센트럴IPARK</t>
        </is>
      </c>
      <c r="G748" s="41" t="inlineStr">
        <is>
          <t>80.5154</t>
        </is>
      </c>
      <c r="H748" s="41" t="inlineStr">
        <is>
          <t>202502</t>
        </is>
      </c>
      <c r="I748" s="41" t="inlineStr">
        <is>
          <t>26</t>
        </is>
      </c>
      <c r="J748" s="41" t="inlineStr">
        <is>
          <t>167,000</t>
        </is>
      </c>
      <c r="K748" s="41" t="inlineStr">
        <is>
          <t>102동</t>
        </is>
      </c>
      <c r="L748" s="41" t="inlineStr">
        <is>
          <t>6</t>
        </is>
      </c>
      <c r="M748" s="42" t="inlineStr">
        <is>
          <t>개인</t>
        </is>
      </c>
      <c r="N748" s="42" t="inlineStr">
        <is>
          <t>개인</t>
        </is>
      </c>
      <c r="O748" s="41" t="inlineStr">
        <is>
          <t>2020</t>
        </is>
      </c>
      <c r="P748" s="42" t="inlineStr">
        <is>
          <t>반포대로18길 36</t>
        </is>
      </c>
      <c r="Q748" s="41" t="inlineStr">
        <is>
          <t>-</t>
        </is>
      </c>
      <c r="R748" s="42" t="inlineStr">
        <is>
          <t>중개거래</t>
        </is>
      </c>
      <c r="S748" s="42" t="inlineStr">
        <is>
          <t>서울 서초구</t>
        </is>
      </c>
      <c r="T748" s="41" t="inlineStr">
        <is>
          <t>25.06.30</t>
        </is>
      </c>
      <c r="U748" s="42" t="inlineStr">
        <is>
          <t>아파트</t>
        </is>
      </c>
    </row>
    <row r="749" hidden="1" ht="15" customHeight="1">
      <c r="A749" s="41" t="n">
        <v>216</v>
      </c>
      <c r="B749" s="42" t="inlineStr">
        <is>
          <t>서울특별시 서초구 서초동</t>
        </is>
      </c>
      <c r="C749" s="41" t="inlineStr">
        <is>
          <t>1754</t>
        </is>
      </c>
      <c r="D749" s="41" t="inlineStr">
        <is>
          <t>1754</t>
        </is>
      </c>
      <c r="E749" s="41" t="inlineStr">
        <is>
          <t>0000</t>
        </is>
      </c>
      <c r="F749" s="42" t="inlineStr">
        <is>
          <t>래미안서초에스티지S</t>
        </is>
      </c>
      <c r="G749" s="41" t="inlineStr">
        <is>
          <t>84.8000</t>
        </is>
      </c>
      <c r="H749" s="41" t="inlineStr">
        <is>
          <t>202502</t>
        </is>
      </c>
      <c r="I749" s="41" t="inlineStr">
        <is>
          <t>26</t>
        </is>
      </c>
      <c r="J749" s="41" t="inlineStr">
        <is>
          <t>300,000</t>
        </is>
      </c>
      <c r="K749" s="41" t="inlineStr">
        <is>
          <t>204</t>
        </is>
      </c>
      <c r="L749" s="41" t="inlineStr">
        <is>
          <t>8</t>
        </is>
      </c>
      <c r="M749" s="42" t="inlineStr">
        <is>
          <t>개인</t>
        </is>
      </c>
      <c r="N749" s="42" t="inlineStr">
        <is>
          <t>개인</t>
        </is>
      </c>
      <c r="O749" s="41" t="inlineStr">
        <is>
          <t>2018</t>
        </is>
      </c>
      <c r="P749" s="42" t="inlineStr">
        <is>
          <t>서운로 104</t>
        </is>
      </c>
      <c r="Q749" s="41" t="inlineStr">
        <is>
          <t>-</t>
        </is>
      </c>
      <c r="R749" s="42" t="inlineStr">
        <is>
          <t>중개거래</t>
        </is>
      </c>
      <c r="S749" s="42" t="inlineStr">
        <is>
          <t>서울 서초구</t>
        </is>
      </c>
      <c r="T749" s="41" t="inlineStr">
        <is>
          <t>25.07.31</t>
        </is>
      </c>
      <c r="U749" s="42" t="inlineStr">
        <is>
          <t>아파트</t>
        </is>
      </c>
    </row>
    <row r="750" hidden="1" ht="15" customHeight="1">
      <c r="A750" s="41" t="n">
        <v>217</v>
      </c>
      <c r="B750" s="42" t="inlineStr">
        <is>
          <t>서울특별시 서초구 서초동</t>
        </is>
      </c>
      <c r="C750" s="41" t="inlineStr">
        <is>
          <t>1301-6</t>
        </is>
      </c>
      <c r="D750" s="41" t="inlineStr">
        <is>
          <t>1301</t>
        </is>
      </c>
      <c r="E750" s="41" t="inlineStr">
        <is>
          <t>0006</t>
        </is>
      </c>
      <c r="F750" s="42" t="inlineStr">
        <is>
          <t>래미안서초스위트</t>
        </is>
      </c>
      <c r="G750" s="41" t="inlineStr">
        <is>
          <t>95.6580</t>
        </is>
      </c>
      <c r="H750" s="41" t="inlineStr">
        <is>
          <t>202502</t>
        </is>
      </c>
      <c r="I750" s="41" t="inlineStr">
        <is>
          <t>26</t>
        </is>
      </c>
      <c r="J750" s="41" t="inlineStr">
        <is>
          <t>281,000</t>
        </is>
      </c>
      <c r="K750" s="41" t="inlineStr">
        <is>
          <t>103</t>
        </is>
      </c>
      <c r="L750" s="41" t="inlineStr">
        <is>
          <t>19</t>
        </is>
      </c>
      <c r="M750" s="42" t="inlineStr">
        <is>
          <t>개인</t>
        </is>
      </c>
      <c r="N750" s="42" t="inlineStr">
        <is>
          <t>개인</t>
        </is>
      </c>
      <c r="O750" s="41" t="inlineStr">
        <is>
          <t>2009</t>
        </is>
      </c>
      <c r="P750" s="42" t="inlineStr">
        <is>
          <t>서운로 221</t>
        </is>
      </c>
      <c r="Q750" s="41" t="inlineStr">
        <is>
          <t>-</t>
        </is>
      </c>
      <c r="R750" s="42" t="inlineStr">
        <is>
          <t>중개거래</t>
        </is>
      </c>
      <c r="S750" s="42" t="inlineStr">
        <is>
          <t>서울 서초구</t>
        </is>
      </c>
      <c r="T750" s="41" t="inlineStr">
        <is>
          <t>25.05.30</t>
        </is>
      </c>
      <c r="U750" s="42" t="inlineStr">
        <is>
          <t>아파트</t>
        </is>
      </c>
    </row>
    <row r="751" hidden="1" ht="15" customHeight="1">
      <c r="A751" s="41" t="n">
        <v>218</v>
      </c>
      <c r="B751" s="42" t="inlineStr">
        <is>
          <t>서울특별시 서초구 서초동</t>
        </is>
      </c>
      <c r="C751" s="41" t="inlineStr">
        <is>
          <t>1757</t>
        </is>
      </c>
      <c r="D751" s="41" t="inlineStr">
        <is>
          <t>1757</t>
        </is>
      </c>
      <c r="E751" s="41" t="inlineStr">
        <is>
          <t>0000</t>
        </is>
      </c>
      <c r="F751" s="42" t="inlineStr">
        <is>
          <t>서초그랑자이</t>
        </is>
      </c>
      <c r="G751" s="41" t="inlineStr">
        <is>
          <t>84.5100</t>
        </is>
      </c>
      <c r="H751" s="41" t="inlineStr">
        <is>
          <t>202502</t>
        </is>
      </c>
      <c r="I751" s="41" t="inlineStr">
        <is>
          <t>25</t>
        </is>
      </c>
      <c r="J751" s="41" t="inlineStr">
        <is>
          <t>340,000</t>
        </is>
      </c>
      <c r="K751" s="41" t="inlineStr">
        <is>
          <t>109동</t>
        </is>
      </c>
      <c r="L751" s="41" t="inlineStr">
        <is>
          <t>34</t>
        </is>
      </c>
      <c r="M751" s="42" t="inlineStr">
        <is>
          <t>개인</t>
        </is>
      </c>
      <c r="N751" s="42" t="inlineStr">
        <is>
          <t>개인</t>
        </is>
      </c>
      <c r="O751" s="41" t="inlineStr">
        <is>
          <t>2021</t>
        </is>
      </c>
      <c r="P751" s="42" t="inlineStr">
        <is>
          <t>효령로 391</t>
        </is>
      </c>
      <c r="Q751" s="41" t="inlineStr">
        <is>
          <t>-</t>
        </is>
      </c>
      <c r="R751" s="42" t="inlineStr">
        <is>
          <t>중개거래</t>
        </is>
      </c>
      <c r="S751" s="42" t="inlineStr">
        <is>
          <t>서울 서초구</t>
        </is>
      </c>
      <c r="T751" s="41" t="inlineStr">
        <is>
          <t>25.06.17</t>
        </is>
      </c>
      <c r="U751" s="42" t="inlineStr">
        <is>
          <t>아파트</t>
        </is>
      </c>
    </row>
    <row r="752" hidden="1" ht="15" customHeight="1">
      <c r="A752" s="41" t="n">
        <v>219</v>
      </c>
      <c r="B752" s="42" t="inlineStr">
        <is>
          <t>서울특별시 서초구 서초동</t>
        </is>
      </c>
      <c r="C752" s="41" t="inlineStr">
        <is>
          <t>1686-9</t>
        </is>
      </c>
      <c r="D752" s="41" t="inlineStr">
        <is>
          <t>1686</t>
        </is>
      </c>
      <c r="E752" s="41" t="inlineStr">
        <is>
          <t>0009</t>
        </is>
      </c>
      <c r="F752" s="42" t="inlineStr">
        <is>
          <t>서초교대e편한세상</t>
        </is>
      </c>
      <c r="G752" s="41" t="inlineStr">
        <is>
          <t>59.9000</t>
        </is>
      </c>
      <c r="H752" s="41" t="inlineStr">
        <is>
          <t>202502</t>
        </is>
      </c>
      <c r="I752" s="41" t="inlineStr">
        <is>
          <t>25</t>
        </is>
      </c>
      <c r="J752" s="41" t="inlineStr">
        <is>
          <t>220,000</t>
        </is>
      </c>
      <c r="K752" s="41" t="inlineStr">
        <is>
          <t>103</t>
        </is>
      </c>
      <c r="L752" s="41" t="inlineStr">
        <is>
          <t>7</t>
        </is>
      </c>
      <c r="M752" s="42" t="inlineStr">
        <is>
          <t>개인</t>
        </is>
      </c>
      <c r="N752" s="42" t="inlineStr">
        <is>
          <t>개인</t>
        </is>
      </c>
      <c r="O752" s="41" t="inlineStr">
        <is>
          <t>2010</t>
        </is>
      </c>
      <c r="P752" s="42" t="inlineStr">
        <is>
          <t>서초중앙로24길 33</t>
        </is>
      </c>
      <c r="Q752" s="41" t="inlineStr">
        <is>
          <t>-</t>
        </is>
      </c>
      <c r="R752" s="42" t="inlineStr">
        <is>
          <t>중개거래</t>
        </is>
      </c>
      <c r="S752" s="42" t="inlineStr">
        <is>
          <t>서울 서초구</t>
        </is>
      </c>
      <c r="T752" s="41" t="inlineStr">
        <is>
          <t>25.03.13</t>
        </is>
      </c>
      <c r="U752" s="42" t="inlineStr">
        <is>
          <t>아파트</t>
        </is>
      </c>
    </row>
    <row r="753" hidden="1" ht="15" customHeight="1">
      <c r="A753" s="41" t="n">
        <v>220</v>
      </c>
      <c r="B753" s="42" t="inlineStr">
        <is>
          <t>서울특별시 서초구 서초동</t>
        </is>
      </c>
      <c r="C753" s="41" t="inlineStr">
        <is>
          <t>1326</t>
        </is>
      </c>
      <c r="D753" s="41" t="inlineStr">
        <is>
          <t>1326</t>
        </is>
      </c>
      <c r="E753" s="41" t="inlineStr">
        <is>
          <t>0000</t>
        </is>
      </c>
      <c r="F753" s="42" t="inlineStr">
        <is>
          <t>삼성서초가든스위트</t>
        </is>
      </c>
      <c r="G753" s="41" t="inlineStr">
        <is>
          <t>244.8300</t>
        </is>
      </c>
      <c r="H753" s="41" t="inlineStr">
        <is>
          <t>202502</t>
        </is>
      </c>
      <c r="I753" s="41" t="inlineStr">
        <is>
          <t>25</t>
        </is>
      </c>
      <c r="J753" s="41" t="inlineStr">
        <is>
          <t>460,000</t>
        </is>
      </c>
      <c r="K753" s="41" t="inlineStr">
        <is>
          <t>3</t>
        </is>
      </c>
      <c r="L753" s="41" t="inlineStr">
        <is>
          <t>4</t>
        </is>
      </c>
      <c r="M753" s="42" t="inlineStr">
        <is>
          <t>개인</t>
        </is>
      </c>
      <c r="N753" s="42" t="inlineStr">
        <is>
          <t>법인</t>
        </is>
      </c>
      <c r="O753" s="41" t="inlineStr">
        <is>
          <t>2000</t>
        </is>
      </c>
      <c r="P753" s="42" t="inlineStr">
        <is>
          <t>서운로 122</t>
        </is>
      </c>
      <c r="Q753" s="41" t="inlineStr">
        <is>
          <t>-</t>
        </is>
      </c>
      <c r="R753" s="42" t="inlineStr">
        <is>
          <t>중개거래</t>
        </is>
      </c>
      <c r="S753" s="42" t="inlineStr">
        <is>
          <t>서울 서초구</t>
        </is>
      </c>
      <c r="T753" s="41" t="inlineStr">
        <is>
          <t>25.04.09</t>
        </is>
      </c>
      <c r="U753" s="42" t="inlineStr">
        <is>
          <t>아파트</t>
        </is>
      </c>
    </row>
    <row r="754" hidden="1" ht="15" customHeight="1">
      <c r="A754" s="41" t="n">
        <v>221</v>
      </c>
      <c r="B754" s="42" t="inlineStr">
        <is>
          <t>서울특별시 서초구 서초동</t>
        </is>
      </c>
      <c r="C754" s="41" t="inlineStr">
        <is>
          <t>1685-3</t>
        </is>
      </c>
      <c r="D754" s="41" t="inlineStr">
        <is>
          <t>1685</t>
        </is>
      </c>
      <c r="E754" s="41" t="inlineStr">
        <is>
          <t>0003</t>
        </is>
      </c>
      <c r="F754" s="42" t="inlineStr">
        <is>
          <t>아크로비스타</t>
        </is>
      </c>
      <c r="G754" s="41" t="inlineStr">
        <is>
          <t>138.9600</t>
        </is>
      </c>
      <c r="H754" s="41" t="inlineStr">
        <is>
          <t>202502</t>
        </is>
      </c>
      <c r="I754" s="41" t="inlineStr">
        <is>
          <t>25</t>
        </is>
      </c>
      <c r="J754" s="41" t="inlineStr">
        <is>
          <t>260,000</t>
        </is>
      </c>
      <c r="K754" s="41" t="inlineStr">
        <is>
          <t>C</t>
        </is>
      </c>
      <c r="L754" s="41" t="inlineStr">
        <is>
          <t>29</t>
        </is>
      </c>
      <c r="M754" s="42" t="inlineStr">
        <is>
          <t>개인</t>
        </is>
      </c>
      <c r="N754" s="42" t="inlineStr">
        <is>
          <t>개인</t>
        </is>
      </c>
      <c r="O754" s="41" t="inlineStr">
        <is>
          <t>2004</t>
        </is>
      </c>
      <c r="P754" s="42" t="inlineStr">
        <is>
          <t>서초중앙로 188</t>
        </is>
      </c>
      <c r="Q754" s="41" t="inlineStr">
        <is>
          <t>-</t>
        </is>
      </c>
      <c r="R754" s="42" t="inlineStr">
        <is>
          <t>직거래</t>
        </is>
      </c>
      <c r="S754" s="41" t="inlineStr">
        <is>
          <t>-</t>
        </is>
      </c>
      <c r="T754" s="41" t="inlineStr">
        <is>
          <t>25.02.26</t>
        </is>
      </c>
      <c r="U754" s="42" t="inlineStr">
        <is>
          <t>아파트</t>
        </is>
      </c>
    </row>
    <row r="755" hidden="1" ht="15" customHeight="1">
      <c r="A755" s="41" t="n">
        <v>222</v>
      </c>
      <c r="B755" s="42" t="inlineStr">
        <is>
          <t>서울특별시 서초구 서초동</t>
        </is>
      </c>
      <c r="C755" s="41" t="inlineStr">
        <is>
          <t>1755</t>
        </is>
      </c>
      <c r="D755" s="41" t="inlineStr">
        <is>
          <t>1755</t>
        </is>
      </c>
      <c r="E755" s="41" t="inlineStr">
        <is>
          <t>0000</t>
        </is>
      </c>
      <c r="F755" s="42" t="inlineStr">
        <is>
          <t>래미안 리더스원</t>
        </is>
      </c>
      <c r="G755" s="41" t="inlineStr">
        <is>
          <t>84.9400</t>
        </is>
      </c>
      <c r="H755" s="41" t="inlineStr">
        <is>
          <t>202502</t>
        </is>
      </c>
      <c r="I755" s="41" t="inlineStr">
        <is>
          <t>24</t>
        </is>
      </c>
      <c r="J755" s="41" t="inlineStr">
        <is>
          <t>347,000</t>
        </is>
      </c>
      <c r="K755" s="41" t="inlineStr">
        <is>
          <t>104동</t>
        </is>
      </c>
      <c r="L755" s="41" t="inlineStr">
        <is>
          <t>7</t>
        </is>
      </c>
      <c r="M755" s="42" t="inlineStr">
        <is>
          <t>개인</t>
        </is>
      </c>
      <c r="N755" s="42" t="inlineStr">
        <is>
          <t>개인</t>
        </is>
      </c>
      <c r="O755" s="41" t="inlineStr">
        <is>
          <t>2020</t>
        </is>
      </c>
      <c r="P755" s="42" t="inlineStr">
        <is>
          <t>서운로 62</t>
        </is>
      </c>
      <c r="Q755" s="41" t="inlineStr">
        <is>
          <t>-</t>
        </is>
      </c>
      <c r="R755" s="42" t="inlineStr">
        <is>
          <t>중개거래</t>
        </is>
      </c>
      <c r="S755" s="42" t="inlineStr">
        <is>
          <t>서울 서초구</t>
        </is>
      </c>
      <c r="T755" s="41" t="inlineStr">
        <is>
          <t>25.06.20</t>
        </is>
      </c>
      <c r="U755" s="42" t="inlineStr">
        <is>
          <t>아파트</t>
        </is>
      </c>
    </row>
    <row r="756" hidden="1" ht="15" customHeight="1">
      <c r="A756" s="41" t="n">
        <v>223</v>
      </c>
      <c r="B756" s="42" t="inlineStr">
        <is>
          <t>서울특별시 서초구 서초동</t>
        </is>
      </c>
      <c r="C756" s="41" t="inlineStr">
        <is>
          <t>1755</t>
        </is>
      </c>
      <c r="D756" s="41" t="inlineStr">
        <is>
          <t>1755</t>
        </is>
      </c>
      <c r="E756" s="41" t="inlineStr">
        <is>
          <t>0000</t>
        </is>
      </c>
      <c r="F756" s="42" t="inlineStr">
        <is>
          <t>래미안 리더스원</t>
        </is>
      </c>
      <c r="G756" s="41" t="inlineStr">
        <is>
          <t>84.9400</t>
        </is>
      </c>
      <c r="H756" s="41" t="inlineStr">
        <is>
          <t>202502</t>
        </is>
      </c>
      <c r="I756" s="41" t="inlineStr">
        <is>
          <t>24</t>
        </is>
      </c>
      <c r="J756" s="41" t="inlineStr">
        <is>
          <t>350,000</t>
        </is>
      </c>
      <c r="K756" s="41" t="inlineStr">
        <is>
          <t>111동</t>
        </is>
      </c>
      <c r="L756" s="41" t="inlineStr">
        <is>
          <t>19</t>
        </is>
      </c>
      <c r="M756" s="42" t="inlineStr">
        <is>
          <t>개인</t>
        </is>
      </c>
      <c r="N756" s="42" t="inlineStr">
        <is>
          <t>개인</t>
        </is>
      </c>
      <c r="O756" s="41" t="inlineStr">
        <is>
          <t>2020</t>
        </is>
      </c>
      <c r="P756" s="42" t="inlineStr">
        <is>
          <t>서운로 62</t>
        </is>
      </c>
      <c r="Q756" s="41" t="inlineStr">
        <is>
          <t>-</t>
        </is>
      </c>
      <c r="R756" s="42" t="inlineStr">
        <is>
          <t>중개거래</t>
        </is>
      </c>
      <c r="S756" s="42" t="inlineStr">
        <is>
          <t>서울 서초구</t>
        </is>
      </c>
      <c r="T756" s="41" t="inlineStr">
        <is>
          <t>25.05.20</t>
        </is>
      </c>
      <c r="U756" s="42" t="inlineStr">
        <is>
          <t>아파트</t>
        </is>
      </c>
    </row>
    <row r="757" hidden="1" ht="15" customHeight="1">
      <c r="A757" s="41" t="n">
        <v>224</v>
      </c>
      <c r="B757" s="42" t="inlineStr">
        <is>
          <t>서울특별시 서초구 서초동</t>
        </is>
      </c>
      <c r="C757" s="41" t="inlineStr">
        <is>
          <t>1312-3</t>
        </is>
      </c>
      <c r="D757" s="41" t="inlineStr">
        <is>
          <t>1312</t>
        </is>
      </c>
      <c r="E757" s="41" t="inlineStr">
        <is>
          <t>0003</t>
        </is>
      </c>
      <c r="F757" s="42" t="inlineStr">
        <is>
          <t>롯데캐슬클래식</t>
        </is>
      </c>
      <c r="G757" s="41" t="inlineStr">
        <is>
          <t>84.9800</t>
        </is>
      </c>
      <c r="H757" s="41" t="inlineStr">
        <is>
          <t>202502</t>
        </is>
      </c>
      <c r="I757" s="41" t="inlineStr">
        <is>
          <t>24</t>
        </is>
      </c>
      <c r="J757" s="41" t="inlineStr">
        <is>
          <t>280,000</t>
        </is>
      </c>
      <c r="K757" s="41" t="inlineStr">
        <is>
          <t>102</t>
        </is>
      </c>
      <c r="L757" s="41" t="inlineStr">
        <is>
          <t>18</t>
        </is>
      </c>
      <c r="M757" s="42" t="inlineStr">
        <is>
          <t>개인</t>
        </is>
      </c>
      <c r="N757" s="42" t="inlineStr">
        <is>
          <t>개인</t>
        </is>
      </c>
      <c r="O757" s="41" t="inlineStr">
        <is>
          <t>2006</t>
        </is>
      </c>
      <c r="P757" s="42" t="inlineStr">
        <is>
          <t>서운로 197</t>
        </is>
      </c>
      <c r="Q757" s="41" t="inlineStr">
        <is>
          <t>-</t>
        </is>
      </c>
      <c r="R757" s="42" t="inlineStr">
        <is>
          <t>중개거래</t>
        </is>
      </c>
      <c r="S757" s="42" t="inlineStr">
        <is>
          <t>서울 서초구</t>
        </is>
      </c>
      <c r="T757" s="41" t="inlineStr">
        <is>
          <t>25.05.29</t>
        </is>
      </c>
      <c r="U757" s="42" t="inlineStr">
        <is>
          <t>아파트</t>
        </is>
      </c>
    </row>
    <row r="758" hidden="1" ht="15" customHeight="1">
      <c r="A758" s="41" t="n">
        <v>225</v>
      </c>
      <c r="B758" s="42" t="inlineStr">
        <is>
          <t>서울특별시 서초구 서초동</t>
        </is>
      </c>
      <c r="C758" s="41" t="inlineStr">
        <is>
          <t>1311-10</t>
        </is>
      </c>
      <c r="D758" s="41" t="inlineStr">
        <is>
          <t>1311</t>
        </is>
      </c>
      <c r="E758" s="41" t="inlineStr">
        <is>
          <t>0010</t>
        </is>
      </c>
      <c r="F758" s="42" t="inlineStr">
        <is>
          <t>서초푸르지오써밋</t>
        </is>
      </c>
      <c r="G758" s="41" t="inlineStr">
        <is>
          <t>84.9500</t>
        </is>
      </c>
      <c r="H758" s="41" t="inlineStr">
        <is>
          <t>202502</t>
        </is>
      </c>
      <c r="I758" s="41" t="inlineStr">
        <is>
          <t>24</t>
        </is>
      </c>
      <c r="J758" s="41" t="inlineStr">
        <is>
          <t>319,500</t>
        </is>
      </c>
      <c r="K758" s="41" t="inlineStr">
        <is>
          <t>103</t>
        </is>
      </c>
      <c r="L758" s="41" t="inlineStr">
        <is>
          <t>28</t>
        </is>
      </c>
      <c r="M758" s="42" t="inlineStr">
        <is>
          <t>개인</t>
        </is>
      </c>
      <c r="N758" s="42" t="inlineStr">
        <is>
          <t>개인</t>
        </is>
      </c>
      <c r="O758" s="41" t="inlineStr">
        <is>
          <t>2017</t>
        </is>
      </c>
      <c r="P758" s="42" t="inlineStr">
        <is>
          <t>서운로 201</t>
        </is>
      </c>
      <c r="Q758" s="41" t="inlineStr">
        <is>
          <t>-</t>
        </is>
      </c>
      <c r="R758" s="42" t="inlineStr">
        <is>
          <t>중개거래</t>
        </is>
      </c>
      <c r="S758" s="42" t="inlineStr">
        <is>
          <t>서울 서초구</t>
        </is>
      </c>
      <c r="T758" s="41" t="inlineStr">
        <is>
          <t>25.12.29</t>
        </is>
      </c>
      <c r="U758" s="42" t="inlineStr">
        <is>
          <t>아파트</t>
        </is>
      </c>
    </row>
    <row r="759" hidden="1" ht="15" customHeight="1">
      <c r="A759" s="41" t="n">
        <v>226</v>
      </c>
      <c r="B759" s="42" t="inlineStr">
        <is>
          <t>서울특별시 서초구 서초동</t>
        </is>
      </c>
      <c r="C759" s="41" t="inlineStr">
        <is>
          <t>1529</t>
        </is>
      </c>
      <c r="D759" s="41" t="inlineStr">
        <is>
          <t>1529</t>
        </is>
      </c>
      <c r="E759" s="41" t="inlineStr">
        <is>
          <t>0000</t>
        </is>
      </c>
      <c r="F759" s="42" t="inlineStr">
        <is>
          <t>서초2차e-편한세상</t>
        </is>
      </c>
      <c r="G759" s="41" t="inlineStr">
        <is>
          <t>116.7450</t>
        </is>
      </c>
      <c r="H759" s="41" t="inlineStr">
        <is>
          <t>202502</t>
        </is>
      </c>
      <c r="I759" s="41" t="inlineStr">
        <is>
          <t>24</t>
        </is>
      </c>
      <c r="J759" s="41" t="inlineStr">
        <is>
          <t>208,000</t>
        </is>
      </c>
      <c r="K759" s="41" t="inlineStr">
        <is>
          <t>203</t>
        </is>
      </c>
      <c r="L759" s="41" t="inlineStr">
        <is>
          <t>9</t>
        </is>
      </c>
      <c r="M759" s="42" t="inlineStr">
        <is>
          <t>개인</t>
        </is>
      </c>
      <c r="N759" s="42" t="inlineStr">
        <is>
          <t>개인</t>
        </is>
      </c>
      <c r="O759" s="41" t="inlineStr">
        <is>
          <t>2005</t>
        </is>
      </c>
      <c r="P759" s="42" t="inlineStr">
        <is>
          <t>효령로49길 57</t>
        </is>
      </c>
      <c r="Q759" s="41" t="inlineStr">
        <is>
          <t>-</t>
        </is>
      </c>
      <c r="R759" s="42" t="inlineStr">
        <is>
          <t>중개거래</t>
        </is>
      </c>
      <c r="S759" s="42" t="inlineStr">
        <is>
          <t>서울 서초구</t>
        </is>
      </c>
      <c r="T759" s="41" t="inlineStr">
        <is>
          <t>25.05.02</t>
        </is>
      </c>
      <c r="U759" s="42" t="inlineStr">
        <is>
          <t>아파트</t>
        </is>
      </c>
    </row>
    <row r="760" hidden="1" ht="15" customHeight="1">
      <c r="A760" s="41" t="n">
        <v>227</v>
      </c>
      <c r="B760" s="42" t="inlineStr">
        <is>
          <t>서울특별시 서초구 서초동</t>
        </is>
      </c>
      <c r="C760" s="41" t="inlineStr">
        <is>
          <t>1757</t>
        </is>
      </c>
      <c r="D760" s="41" t="inlineStr">
        <is>
          <t>1757</t>
        </is>
      </c>
      <c r="E760" s="41" t="inlineStr">
        <is>
          <t>0000</t>
        </is>
      </c>
      <c r="F760" s="42" t="inlineStr">
        <is>
          <t>서초그랑자이</t>
        </is>
      </c>
      <c r="G760" s="41" t="inlineStr">
        <is>
          <t>100.3100</t>
        </is>
      </c>
      <c r="H760" s="41" t="inlineStr">
        <is>
          <t>202502</t>
        </is>
      </c>
      <c r="I760" s="41" t="inlineStr">
        <is>
          <t>24</t>
        </is>
      </c>
      <c r="J760" s="41" t="inlineStr">
        <is>
          <t>390,000</t>
        </is>
      </c>
      <c r="K760" s="41" t="inlineStr">
        <is>
          <t>108동</t>
        </is>
      </c>
      <c r="L760" s="41" t="inlineStr">
        <is>
          <t>25</t>
        </is>
      </c>
      <c r="M760" s="42" t="inlineStr">
        <is>
          <t>개인</t>
        </is>
      </c>
      <c r="N760" s="42" t="inlineStr">
        <is>
          <t>개인</t>
        </is>
      </c>
      <c r="O760" s="41" t="inlineStr">
        <is>
          <t>2021</t>
        </is>
      </c>
      <c r="P760" s="42" t="inlineStr">
        <is>
          <t>효령로 391</t>
        </is>
      </c>
      <c r="Q760" s="41" t="inlineStr">
        <is>
          <t>-</t>
        </is>
      </c>
      <c r="R760" s="42" t="inlineStr">
        <is>
          <t>중개거래</t>
        </is>
      </c>
      <c r="S760" s="42" t="inlineStr">
        <is>
          <t>서울 강남구</t>
        </is>
      </c>
      <c r="T760" s="41" t="inlineStr">
        <is>
          <t>25.05.12</t>
        </is>
      </c>
      <c r="U760" s="42" t="inlineStr">
        <is>
          <t>아파트</t>
        </is>
      </c>
    </row>
    <row r="761" hidden="1" ht="15" customHeight="1">
      <c r="A761" s="41" t="n">
        <v>228</v>
      </c>
      <c r="B761" s="42" t="inlineStr">
        <is>
          <t>서울특별시 서초구 서초동</t>
        </is>
      </c>
      <c r="C761" s="41" t="inlineStr">
        <is>
          <t>1757</t>
        </is>
      </c>
      <c r="D761" s="41" t="inlineStr">
        <is>
          <t>1757</t>
        </is>
      </c>
      <c r="E761" s="41" t="inlineStr">
        <is>
          <t>0000</t>
        </is>
      </c>
      <c r="F761" s="42" t="inlineStr">
        <is>
          <t>서초그랑자이</t>
        </is>
      </c>
      <c r="G761" s="41" t="inlineStr">
        <is>
          <t>84.5100</t>
        </is>
      </c>
      <c r="H761" s="41" t="inlineStr">
        <is>
          <t>202502</t>
        </is>
      </c>
      <c r="I761" s="41" t="inlineStr">
        <is>
          <t>24</t>
        </is>
      </c>
      <c r="J761" s="41" t="inlineStr">
        <is>
          <t>335,000</t>
        </is>
      </c>
      <c r="K761" s="41" t="inlineStr">
        <is>
          <t>101동</t>
        </is>
      </c>
      <c r="L761" s="41" t="inlineStr">
        <is>
          <t>16</t>
        </is>
      </c>
      <c r="M761" s="42" t="inlineStr">
        <is>
          <t>개인</t>
        </is>
      </c>
      <c r="N761" s="42" t="inlineStr">
        <is>
          <t>개인</t>
        </is>
      </c>
      <c r="O761" s="41" t="inlineStr">
        <is>
          <t>2021</t>
        </is>
      </c>
      <c r="P761" s="42" t="inlineStr">
        <is>
          <t>효령로 391</t>
        </is>
      </c>
      <c r="Q761" s="41" t="inlineStr">
        <is>
          <t>-</t>
        </is>
      </c>
      <c r="R761" s="42" t="inlineStr">
        <is>
          <t>중개거래</t>
        </is>
      </c>
      <c r="S761" s="42" t="inlineStr">
        <is>
          <t>서울 서초구</t>
        </is>
      </c>
      <c r="T761" s="41" t="inlineStr">
        <is>
          <t>25.07.29</t>
        </is>
      </c>
      <c r="U761" s="42" t="inlineStr">
        <is>
          <t>아파트</t>
        </is>
      </c>
    </row>
    <row r="762" hidden="1" ht="15" customHeight="1">
      <c r="A762" s="41" t="n">
        <v>229</v>
      </c>
      <c r="B762" s="42" t="inlineStr">
        <is>
          <t>서울특별시 서초구 서초동</t>
        </is>
      </c>
      <c r="C762" s="41" t="inlineStr">
        <is>
          <t>1754</t>
        </is>
      </c>
      <c r="D762" s="41" t="inlineStr">
        <is>
          <t>1754</t>
        </is>
      </c>
      <c r="E762" s="41" t="inlineStr">
        <is>
          <t>0000</t>
        </is>
      </c>
      <c r="F762" s="42" t="inlineStr">
        <is>
          <t>래미안서초에스티지S</t>
        </is>
      </c>
      <c r="G762" s="41" t="inlineStr">
        <is>
          <t>84.1700</t>
        </is>
      </c>
      <c r="H762" s="41" t="inlineStr">
        <is>
          <t>202502</t>
        </is>
      </c>
      <c r="I762" s="41" t="inlineStr">
        <is>
          <t>23</t>
        </is>
      </c>
      <c r="J762" s="41" t="inlineStr">
        <is>
          <t>292,500</t>
        </is>
      </c>
      <c r="K762" s="41" t="inlineStr">
        <is>
          <t>204</t>
        </is>
      </c>
      <c r="L762" s="41" t="inlineStr">
        <is>
          <t>6</t>
        </is>
      </c>
      <c r="M762" s="42" t="inlineStr">
        <is>
          <t>개인</t>
        </is>
      </c>
      <c r="N762" s="42" t="inlineStr">
        <is>
          <t>개인</t>
        </is>
      </c>
      <c r="O762" s="41" t="inlineStr">
        <is>
          <t>2018</t>
        </is>
      </c>
      <c r="P762" s="42" t="inlineStr">
        <is>
          <t>서운로 104</t>
        </is>
      </c>
      <c r="Q762" s="41" t="inlineStr">
        <is>
          <t>-</t>
        </is>
      </c>
      <c r="R762" s="42" t="inlineStr">
        <is>
          <t>중개거래</t>
        </is>
      </c>
      <c r="S762" s="42" t="inlineStr">
        <is>
          <t>서울 서초구</t>
        </is>
      </c>
      <c r="T762" s="41" t="inlineStr">
        <is>
          <t>25.05.23</t>
        </is>
      </c>
      <c r="U762" s="42" t="inlineStr">
        <is>
          <t>아파트</t>
        </is>
      </c>
    </row>
    <row r="763" hidden="1" ht="15" customHeight="1">
      <c r="A763" s="41" t="n">
        <v>230</v>
      </c>
      <c r="B763" s="42" t="inlineStr">
        <is>
          <t>서울특별시 서초구 서초동</t>
        </is>
      </c>
      <c r="C763" s="41" t="inlineStr">
        <is>
          <t>1609-1</t>
        </is>
      </c>
      <c r="D763" s="41" t="inlineStr">
        <is>
          <t>1609</t>
        </is>
      </c>
      <c r="E763" s="41" t="inlineStr">
        <is>
          <t>0001</t>
        </is>
      </c>
      <c r="F763" s="42" t="inlineStr">
        <is>
          <t>샹보르</t>
        </is>
      </c>
      <c r="G763" s="41" t="inlineStr">
        <is>
          <t>192.5700</t>
        </is>
      </c>
      <c r="H763" s="41" t="inlineStr">
        <is>
          <t>202502</t>
        </is>
      </c>
      <c r="I763" s="41" t="inlineStr">
        <is>
          <t>23</t>
        </is>
      </c>
      <c r="J763" s="41" t="inlineStr">
        <is>
          <t>197,500</t>
        </is>
      </c>
      <c r="K763" s="41" t="inlineStr">
        <is>
          <t>-</t>
        </is>
      </c>
      <c r="L763" s="41" t="inlineStr">
        <is>
          <t>8</t>
        </is>
      </c>
      <c r="M763" s="42" t="inlineStr">
        <is>
          <t>개인</t>
        </is>
      </c>
      <c r="N763" s="42" t="inlineStr">
        <is>
          <t>개인</t>
        </is>
      </c>
      <c r="O763" s="41" t="inlineStr">
        <is>
          <t>2002</t>
        </is>
      </c>
      <c r="P763" s="42" t="inlineStr">
        <is>
          <t>효령로67길 64</t>
        </is>
      </c>
      <c r="Q763" s="41" t="inlineStr">
        <is>
          <t>-</t>
        </is>
      </c>
      <c r="R763" s="42" t="inlineStr">
        <is>
          <t>중개거래</t>
        </is>
      </c>
      <c r="S763" s="42" t="inlineStr">
        <is>
          <t>서울 서초구</t>
        </is>
      </c>
      <c r="T763" s="41" t="inlineStr">
        <is>
          <t>25.05.30</t>
        </is>
      </c>
      <c r="U763" s="42" t="inlineStr">
        <is>
          <t>아파트</t>
        </is>
      </c>
    </row>
    <row r="764" hidden="1" ht="15" customHeight="1">
      <c r="A764" s="41" t="n">
        <v>231</v>
      </c>
      <c r="B764" s="42" t="inlineStr">
        <is>
          <t>서울특별시 서초구 서초동</t>
        </is>
      </c>
      <c r="C764" s="41" t="inlineStr">
        <is>
          <t>1346</t>
        </is>
      </c>
      <c r="D764" s="41" t="inlineStr">
        <is>
          <t>1346</t>
        </is>
      </c>
      <c r="E764" s="41" t="inlineStr">
        <is>
          <t>0000</t>
        </is>
      </c>
      <c r="F764" s="42" t="inlineStr">
        <is>
          <t>현대아파트</t>
        </is>
      </c>
      <c r="G764" s="41" t="inlineStr">
        <is>
          <t>84.3400</t>
        </is>
      </c>
      <c r="H764" s="41" t="inlineStr">
        <is>
          <t>202502</t>
        </is>
      </c>
      <c r="I764" s="41" t="inlineStr">
        <is>
          <t>23</t>
        </is>
      </c>
      <c r="J764" s="41" t="inlineStr">
        <is>
          <t>178,500</t>
        </is>
      </c>
      <c r="K764" s="41" t="inlineStr">
        <is>
          <t>20</t>
        </is>
      </c>
      <c r="L764" s="41" t="inlineStr">
        <is>
          <t>3</t>
        </is>
      </c>
      <c r="M764" s="42" t="inlineStr">
        <is>
          <t>개인</t>
        </is>
      </c>
      <c r="N764" s="42" t="inlineStr">
        <is>
          <t>개인</t>
        </is>
      </c>
      <c r="O764" s="41" t="inlineStr">
        <is>
          <t>1989</t>
        </is>
      </c>
      <c r="P764" s="42" t="inlineStr">
        <is>
          <t>효령로68길 13</t>
        </is>
      </c>
      <c r="Q764" s="41" t="inlineStr">
        <is>
          <t>-</t>
        </is>
      </c>
      <c r="R764" s="42" t="inlineStr">
        <is>
          <t>중개거래</t>
        </is>
      </c>
      <c r="S764" s="42" t="inlineStr">
        <is>
          <t>서울 서초구</t>
        </is>
      </c>
      <c r="T764" s="41" t="inlineStr">
        <is>
          <t>25.05.30</t>
        </is>
      </c>
      <c r="U764" s="42" t="inlineStr">
        <is>
          <t>아파트</t>
        </is>
      </c>
    </row>
    <row r="765" hidden="1" ht="15" customHeight="1">
      <c r="A765" s="41" t="n">
        <v>232</v>
      </c>
      <c r="B765" s="42" t="inlineStr">
        <is>
          <t>서울특별시 서초구 서초동</t>
        </is>
      </c>
      <c r="C765" s="41" t="inlineStr">
        <is>
          <t>1636-1</t>
        </is>
      </c>
      <c r="D765" s="41" t="inlineStr">
        <is>
          <t>1636</t>
        </is>
      </c>
      <c r="E765" s="41" t="inlineStr">
        <is>
          <t>0001</t>
        </is>
      </c>
      <c r="F765" s="42" t="inlineStr">
        <is>
          <t>서초한일</t>
        </is>
      </c>
      <c r="G765" s="41" t="inlineStr">
        <is>
          <t>84.9800</t>
        </is>
      </c>
      <c r="H765" s="41" t="inlineStr">
        <is>
          <t>202502</t>
        </is>
      </c>
      <c r="I765" s="41" t="inlineStr">
        <is>
          <t>23</t>
        </is>
      </c>
      <c r="J765" s="41" t="inlineStr">
        <is>
          <t>148,500</t>
        </is>
      </c>
      <c r="K765" s="41" t="inlineStr">
        <is>
          <t>101</t>
        </is>
      </c>
      <c r="L765" s="41" t="inlineStr">
        <is>
          <t>3</t>
        </is>
      </c>
      <c r="M765" s="42" t="inlineStr">
        <is>
          <t>개인</t>
        </is>
      </c>
      <c r="N765" s="42" t="inlineStr">
        <is>
          <t>개인</t>
        </is>
      </c>
      <c r="O765" s="41" t="inlineStr">
        <is>
          <t>1997</t>
        </is>
      </c>
      <c r="P765" s="42" t="inlineStr">
        <is>
          <t>서초대로64길 31</t>
        </is>
      </c>
      <c r="Q765" s="41" t="inlineStr">
        <is>
          <t>-</t>
        </is>
      </c>
      <c r="R765" s="42" t="inlineStr">
        <is>
          <t>중개거래</t>
        </is>
      </c>
      <c r="S765" s="42" t="inlineStr">
        <is>
          <t>서울 서초구</t>
        </is>
      </c>
      <c r="T765" s="41" t="inlineStr">
        <is>
          <t>25.03.31</t>
        </is>
      </c>
      <c r="U765" s="42" t="inlineStr">
        <is>
          <t>아파트</t>
        </is>
      </c>
    </row>
    <row r="766" hidden="1" ht="15" customHeight="1">
      <c r="A766" s="41" t="n">
        <v>233</v>
      </c>
      <c r="B766" s="42" t="inlineStr">
        <is>
          <t>서울특별시 서초구 서초동</t>
        </is>
      </c>
      <c r="C766" s="41" t="inlineStr">
        <is>
          <t>1609-6</t>
        </is>
      </c>
      <c r="D766" s="41" t="inlineStr">
        <is>
          <t>1609</t>
        </is>
      </c>
      <c r="E766" s="41" t="inlineStr">
        <is>
          <t>0006</t>
        </is>
      </c>
      <c r="F766" s="42" t="inlineStr">
        <is>
          <t>두진한아름</t>
        </is>
      </c>
      <c r="G766" s="41" t="inlineStr">
        <is>
          <t>84.9600</t>
        </is>
      </c>
      <c r="H766" s="41" t="inlineStr">
        <is>
          <t>202502</t>
        </is>
      </c>
      <c r="I766" s="41" t="inlineStr">
        <is>
          <t>23</t>
        </is>
      </c>
      <c r="J766" s="41" t="inlineStr">
        <is>
          <t>160,000</t>
        </is>
      </c>
      <c r="K766" s="41" t="inlineStr">
        <is>
          <t>-</t>
        </is>
      </c>
      <c r="L766" s="41" t="inlineStr">
        <is>
          <t>10</t>
        </is>
      </c>
      <c r="M766" s="42" t="inlineStr">
        <is>
          <t>개인</t>
        </is>
      </c>
      <c r="N766" s="42" t="inlineStr">
        <is>
          <t>개인</t>
        </is>
      </c>
      <c r="O766" s="41" t="inlineStr">
        <is>
          <t>1995</t>
        </is>
      </c>
      <c r="P766" s="42" t="inlineStr">
        <is>
          <t>효령로67길 52</t>
        </is>
      </c>
      <c r="Q766" s="41" t="inlineStr">
        <is>
          <t>-</t>
        </is>
      </c>
      <c r="R766" s="42" t="inlineStr">
        <is>
          <t>중개거래</t>
        </is>
      </c>
      <c r="S766" s="42" t="inlineStr">
        <is>
          <t>서울 강남구</t>
        </is>
      </c>
      <c r="T766" s="41" t="inlineStr">
        <is>
          <t>25.05.30</t>
        </is>
      </c>
      <c r="U766" s="42" t="inlineStr">
        <is>
          <t>아파트</t>
        </is>
      </c>
    </row>
    <row r="767" hidden="1" ht="15" customHeight="1">
      <c r="A767" s="41" t="n">
        <v>234</v>
      </c>
      <c r="B767" s="42" t="inlineStr">
        <is>
          <t>서울특별시 서초구 서초동</t>
        </is>
      </c>
      <c r="C767" s="41" t="inlineStr">
        <is>
          <t>1609-6</t>
        </is>
      </c>
      <c r="D767" s="41" t="inlineStr">
        <is>
          <t>1609</t>
        </is>
      </c>
      <c r="E767" s="41" t="inlineStr">
        <is>
          <t>0006</t>
        </is>
      </c>
      <c r="F767" s="42" t="inlineStr">
        <is>
          <t>두진한아름</t>
        </is>
      </c>
      <c r="G767" s="41" t="inlineStr">
        <is>
          <t>84.9600</t>
        </is>
      </c>
      <c r="H767" s="41" t="inlineStr">
        <is>
          <t>202502</t>
        </is>
      </c>
      <c r="I767" s="41" t="inlineStr">
        <is>
          <t>23</t>
        </is>
      </c>
      <c r="J767" s="41" t="inlineStr">
        <is>
          <t>160,000</t>
        </is>
      </c>
      <c r="K767" s="41" t="inlineStr">
        <is>
          <t>-</t>
        </is>
      </c>
      <c r="L767" s="41" t="inlineStr">
        <is>
          <t>10</t>
        </is>
      </c>
      <c r="M767" s="42" t="inlineStr">
        <is>
          <t>개인</t>
        </is>
      </c>
      <c r="N767" s="42" t="inlineStr">
        <is>
          <t>개인</t>
        </is>
      </c>
      <c r="O767" s="41" t="inlineStr">
        <is>
          <t>1995</t>
        </is>
      </c>
      <c r="P767" s="42" t="inlineStr">
        <is>
          <t>효령로67길 52</t>
        </is>
      </c>
      <c r="Q767" s="41" t="inlineStr">
        <is>
          <t>-</t>
        </is>
      </c>
      <c r="R767" s="42" t="inlineStr">
        <is>
          <t>중개거래</t>
        </is>
      </c>
      <c r="S767" s="42" t="inlineStr">
        <is>
          <t>서울 강남구</t>
        </is>
      </c>
      <c r="T767" s="41" t="inlineStr">
        <is>
          <t>25.05.30</t>
        </is>
      </c>
      <c r="U767" s="42" t="inlineStr">
        <is>
          <t>아파트</t>
        </is>
      </c>
    </row>
    <row r="768" hidden="1" ht="15" customHeight="1">
      <c r="A768" s="41" t="n">
        <v>235</v>
      </c>
      <c r="B768" s="42" t="inlineStr">
        <is>
          <t>서울특별시 서초구 서초동</t>
        </is>
      </c>
      <c r="C768" s="41" t="inlineStr">
        <is>
          <t>1755</t>
        </is>
      </c>
      <c r="D768" s="41" t="inlineStr">
        <is>
          <t>1755</t>
        </is>
      </c>
      <c r="E768" s="41" t="inlineStr">
        <is>
          <t>0000</t>
        </is>
      </c>
      <c r="F768" s="42" t="inlineStr">
        <is>
          <t>래미안 리더스원</t>
        </is>
      </c>
      <c r="G768" s="41" t="inlineStr">
        <is>
          <t>59.9700</t>
        </is>
      </c>
      <c r="H768" s="41" t="inlineStr">
        <is>
          <t>202502</t>
        </is>
      </c>
      <c r="I768" s="41" t="inlineStr">
        <is>
          <t>23</t>
        </is>
      </c>
      <c r="J768" s="41" t="inlineStr">
        <is>
          <t>274,500</t>
        </is>
      </c>
      <c r="K768" s="41" t="inlineStr">
        <is>
          <t>110동</t>
        </is>
      </c>
      <c r="L768" s="41" t="inlineStr">
        <is>
          <t>16</t>
        </is>
      </c>
      <c r="M768" s="42" t="inlineStr">
        <is>
          <t>개인</t>
        </is>
      </c>
      <c r="N768" s="42" t="inlineStr">
        <is>
          <t>개인</t>
        </is>
      </c>
      <c r="O768" s="41" t="inlineStr">
        <is>
          <t>2020</t>
        </is>
      </c>
      <c r="P768" s="42" t="inlineStr">
        <is>
          <t>서운로 62</t>
        </is>
      </c>
      <c r="Q768" s="41" t="inlineStr">
        <is>
          <t>-</t>
        </is>
      </c>
      <c r="R768" s="42" t="inlineStr">
        <is>
          <t>중개거래</t>
        </is>
      </c>
      <c r="S768" s="42" t="inlineStr">
        <is>
          <t>서울 서초구, 서울 성동구</t>
        </is>
      </c>
      <c r="T768" s="41" t="inlineStr">
        <is>
          <t>25.05.30</t>
        </is>
      </c>
      <c r="U768" s="42" t="inlineStr">
        <is>
          <t>아파트</t>
        </is>
      </c>
    </row>
    <row r="769" hidden="1" ht="15" customHeight="1">
      <c r="A769" s="41" t="n">
        <v>236</v>
      </c>
      <c r="B769" s="42" t="inlineStr">
        <is>
          <t>서울특별시 서초구 서초동</t>
        </is>
      </c>
      <c r="C769" s="41" t="inlineStr">
        <is>
          <t>1332-13</t>
        </is>
      </c>
      <c r="D769" s="41" t="inlineStr">
        <is>
          <t>1332</t>
        </is>
      </c>
      <c r="E769" s="41" t="inlineStr">
        <is>
          <t>0013</t>
        </is>
      </c>
      <c r="F769" s="42" t="inlineStr">
        <is>
          <t>래미안서초에스티지</t>
        </is>
      </c>
      <c r="G769" s="41" t="inlineStr">
        <is>
          <t>83.6000</t>
        </is>
      </c>
      <c r="H769" s="41" t="inlineStr">
        <is>
          <t>202502</t>
        </is>
      </c>
      <c r="I769" s="41" t="inlineStr">
        <is>
          <t>23</t>
        </is>
      </c>
      <c r="J769" s="41" t="inlineStr">
        <is>
          <t>284,000</t>
        </is>
      </c>
      <c r="K769" s="41" t="inlineStr">
        <is>
          <t>102동</t>
        </is>
      </c>
      <c r="L769" s="41" t="inlineStr">
        <is>
          <t>4</t>
        </is>
      </c>
      <c r="M769" s="42" t="inlineStr">
        <is>
          <t>개인</t>
        </is>
      </c>
      <c r="N769" s="42" t="inlineStr">
        <is>
          <t>개인</t>
        </is>
      </c>
      <c r="O769" s="41" t="inlineStr">
        <is>
          <t>2016</t>
        </is>
      </c>
      <c r="P769" s="42" t="inlineStr">
        <is>
          <t>서운로 107</t>
        </is>
      </c>
      <c r="Q769" s="41" t="inlineStr">
        <is>
          <t>-</t>
        </is>
      </c>
      <c r="R769" s="42" t="inlineStr">
        <is>
          <t>중개거래</t>
        </is>
      </c>
      <c r="S769" s="42" t="inlineStr">
        <is>
          <t>서울 서초구</t>
        </is>
      </c>
      <c r="T769" s="41" t="inlineStr">
        <is>
          <t>25.05.23</t>
        </is>
      </c>
      <c r="U769" s="42" t="inlineStr">
        <is>
          <t>아파트</t>
        </is>
      </c>
    </row>
    <row r="770" hidden="1" ht="15" customHeight="1">
      <c r="A770" s="41" t="n">
        <v>237</v>
      </c>
      <c r="B770" s="42" t="inlineStr">
        <is>
          <t>서울특별시 서초구 서초동</t>
        </is>
      </c>
      <c r="C770" s="41" t="inlineStr">
        <is>
          <t>1682</t>
        </is>
      </c>
      <c r="D770" s="41" t="inlineStr">
        <is>
          <t>1682</t>
        </is>
      </c>
      <c r="E770" s="41" t="inlineStr">
        <is>
          <t>0000</t>
        </is>
      </c>
      <c r="F770" s="42" t="inlineStr">
        <is>
          <t>서초래미안</t>
        </is>
      </c>
      <c r="G770" s="41" t="inlineStr">
        <is>
          <t>84.9700</t>
        </is>
      </c>
      <c r="H770" s="41" t="inlineStr">
        <is>
          <t>202502</t>
        </is>
      </c>
      <c r="I770" s="41" t="inlineStr">
        <is>
          <t>22</t>
        </is>
      </c>
      <c r="J770" s="41" t="inlineStr">
        <is>
          <t>240,000</t>
        </is>
      </c>
      <c r="K770" s="41" t="inlineStr">
        <is>
          <t>103</t>
        </is>
      </c>
      <c r="L770" s="41" t="inlineStr">
        <is>
          <t>17</t>
        </is>
      </c>
      <c r="M770" s="42" t="inlineStr">
        <is>
          <t>개인</t>
        </is>
      </c>
      <c r="N770" s="42" t="inlineStr">
        <is>
          <t>개인</t>
        </is>
      </c>
      <c r="O770" s="41" t="inlineStr">
        <is>
          <t>2003</t>
        </is>
      </c>
      <c r="P770" s="42" t="inlineStr">
        <is>
          <t>서초대로65길 13-10</t>
        </is>
      </c>
      <c r="Q770" s="41" t="inlineStr">
        <is>
          <t>-</t>
        </is>
      </c>
      <c r="R770" s="42" t="inlineStr">
        <is>
          <t>중개거래</t>
        </is>
      </c>
      <c r="S770" s="42" t="inlineStr">
        <is>
          <t>서울 서초구</t>
        </is>
      </c>
      <c r="T770" s="41" t="inlineStr">
        <is>
          <t>25.05.12</t>
        </is>
      </c>
      <c r="U770" s="42" t="inlineStr">
        <is>
          <t>아파트</t>
        </is>
      </c>
    </row>
    <row r="771" hidden="1" ht="15" customHeight="1">
      <c r="A771" s="41" t="n">
        <v>238</v>
      </c>
      <c r="B771" s="42" t="inlineStr">
        <is>
          <t>서울특별시 서초구 서초동</t>
        </is>
      </c>
      <c r="C771" s="41" t="inlineStr">
        <is>
          <t>1330</t>
        </is>
      </c>
      <c r="D771" s="41" t="inlineStr">
        <is>
          <t>1330</t>
        </is>
      </c>
      <c r="E771" s="41" t="inlineStr">
        <is>
          <t>0000</t>
        </is>
      </c>
      <c r="F771" s="42" t="inlineStr">
        <is>
          <t>서초동삼성쉐르빌2</t>
        </is>
      </c>
      <c r="G771" s="41" t="inlineStr">
        <is>
          <t>35.2200</t>
        </is>
      </c>
      <c r="H771" s="41" t="inlineStr">
        <is>
          <t>202502</t>
        </is>
      </c>
      <c r="I771" s="41" t="inlineStr">
        <is>
          <t>22</t>
        </is>
      </c>
      <c r="J771" s="41" t="inlineStr">
        <is>
          <t>29,000</t>
        </is>
      </c>
      <c r="K771" s="41" t="inlineStr">
        <is>
          <t>-</t>
        </is>
      </c>
      <c r="L771" s="41" t="inlineStr">
        <is>
          <t>3</t>
        </is>
      </c>
      <c r="M771" s="42" t="inlineStr">
        <is>
          <t>개인</t>
        </is>
      </c>
      <c r="N771" s="42" t="inlineStr">
        <is>
          <t>개인</t>
        </is>
      </c>
      <c r="O771" s="41" t="inlineStr">
        <is>
          <t>2002</t>
        </is>
      </c>
      <c r="P771" s="42" t="inlineStr">
        <is>
          <t>강남대로53길 11</t>
        </is>
      </c>
      <c r="Q771" s="41" t="inlineStr">
        <is>
          <t>-</t>
        </is>
      </c>
      <c r="R771" s="42" t="inlineStr">
        <is>
          <t>중개거래</t>
        </is>
      </c>
      <c r="S771" s="42" t="inlineStr">
        <is>
          <t>서울 서초구</t>
        </is>
      </c>
      <c r="T771" s="41" t="inlineStr">
        <is>
          <t>25.02.28</t>
        </is>
      </c>
      <c r="U771" s="42" t="inlineStr">
        <is>
          <t>아파트</t>
        </is>
      </c>
    </row>
    <row r="772" hidden="1" ht="15" customHeight="1">
      <c r="A772" s="41" t="n">
        <v>239</v>
      </c>
      <c r="B772" s="42" t="inlineStr">
        <is>
          <t>서울특별시 서초구 서초동</t>
        </is>
      </c>
      <c r="C772" s="41" t="inlineStr">
        <is>
          <t>1445-4</t>
        </is>
      </c>
      <c r="D772" s="41" t="inlineStr">
        <is>
          <t>1445</t>
        </is>
      </c>
      <c r="E772" s="41" t="inlineStr">
        <is>
          <t>0004</t>
        </is>
      </c>
      <c r="F772" s="42" t="inlineStr">
        <is>
          <t>래미안서초유니빌</t>
        </is>
      </c>
      <c r="G772" s="41" t="inlineStr">
        <is>
          <t>45.2550</t>
        </is>
      </c>
      <c r="H772" s="41" t="inlineStr">
        <is>
          <t>202502</t>
        </is>
      </c>
      <c r="I772" s="41" t="inlineStr">
        <is>
          <t>22</t>
        </is>
      </c>
      <c r="J772" s="41" t="inlineStr">
        <is>
          <t>45,000</t>
        </is>
      </c>
      <c r="K772" s="42" t="inlineStr">
        <is>
          <t>래미안 서초유니빌</t>
        </is>
      </c>
      <c r="L772" s="41" t="inlineStr">
        <is>
          <t>17</t>
        </is>
      </c>
      <c r="M772" s="42" t="inlineStr">
        <is>
          <t>개인</t>
        </is>
      </c>
      <c r="N772" s="42" t="inlineStr">
        <is>
          <t>개인</t>
        </is>
      </c>
      <c r="O772" s="41" t="inlineStr">
        <is>
          <t>2003</t>
        </is>
      </c>
      <c r="P772" s="42" t="inlineStr">
        <is>
          <t>서초중앙로 26</t>
        </is>
      </c>
      <c r="Q772" s="41" t="inlineStr">
        <is>
          <t>-</t>
        </is>
      </c>
      <c r="R772" s="42" t="inlineStr">
        <is>
          <t>중개거래</t>
        </is>
      </c>
      <c r="S772" s="42" t="inlineStr">
        <is>
          <t>서울 서초구</t>
        </is>
      </c>
      <c r="T772" s="41" t="inlineStr">
        <is>
          <t>25.04.15</t>
        </is>
      </c>
      <c r="U772" s="42" t="inlineStr">
        <is>
          <t>아파트</t>
        </is>
      </c>
    </row>
    <row r="773" hidden="1" ht="15" customHeight="1">
      <c r="A773" s="41" t="n">
        <v>240</v>
      </c>
      <c r="B773" s="42" t="inlineStr">
        <is>
          <t>서울특별시 서초구 서초동</t>
        </is>
      </c>
      <c r="C773" s="41" t="inlineStr">
        <is>
          <t>1326-17</t>
        </is>
      </c>
      <c r="D773" s="41" t="inlineStr">
        <is>
          <t>1326</t>
        </is>
      </c>
      <c r="E773" s="41" t="inlineStr">
        <is>
          <t>0017</t>
        </is>
      </c>
      <c r="F773" s="42" t="inlineStr">
        <is>
          <t>우성아파트</t>
        </is>
      </c>
      <c r="G773" s="41" t="inlineStr">
        <is>
          <t>59.9300</t>
        </is>
      </c>
      <c r="H773" s="41" t="inlineStr">
        <is>
          <t>202502</t>
        </is>
      </c>
      <c r="I773" s="41" t="inlineStr">
        <is>
          <t>22</t>
        </is>
      </c>
      <c r="J773" s="41" t="inlineStr">
        <is>
          <t>169,000</t>
        </is>
      </c>
      <c r="K773" s="41" t="inlineStr">
        <is>
          <t>501</t>
        </is>
      </c>
      <c r="L773" s="41" t="inlineStr">
        <is>
          <t>3</t>
        </is>
      </c>
      <c r="M773" s="42" t="inlineStr">
        <is>
          <t>개인</t>
        </is>
      </c>
      <c r="N773" s="42" t="inlineStr">
        <is>
          <t>개인</t>
        </is>
      </c>
      <c r="O773" s="41" t="inlineStr">
        <is>
          <t>1998</t>
        </is>
      </c>
      <c r="P773" s="42" t="inlineStr">
        <is>
          <t>서초대로74길 30</t>
        </is>
      </c>
      <c r="Q773" s="41" t="inlineStr">
        <is>
          <t>-</t>
        </is>
      </c>
      <c r="R773" s="42" t="inlineStr">
        <is>
          <t>중개거래</t>
        </is>
      </c>
      <c r="S773" s="42" t="inlineStr">
        <is>
          <t>서울 서초구</t>
        </is>
      </c>
      <c r="T773" s="41" t="inlineStr">
        <is>
          <t>25.04.02</t>
        </is>
      </c>
      <c r="U773" s="42" t="inlineStr">
        <is>
          <t>아파트</t>
        </is>
      </c>
    </row>
    <row r="774" hidden="1" ht="15" customHeight="1">
      <c r="A774" s="41" t="n">
        <v>241</v>
      </c>
      <c r="B774" s="42" t="inlineStr">
        <is>
          <t>서울특별시 서초구 서초동</t>
        </is>
      </c>
      <c r="C774" s="41" t="inlineStr">
        <is>
          <t>1509-1</t>
        </is>
      </c>
      <c r="D774" s="41" t="inlineStr">
        <is>
          <t>1509</t>
        </is>
      </c>
      <c r="E774" s="41" t="inlineStr">
        <is>
          <t>0001</t>
        </is>
      </c>
      <c r="F774" s="42" t="inlineStr">
        <is>
          <t>서초한빛삼성</t>
        </is>
      </c>
      <c r="G774" s="41" t="inlineStr">
        <is>
          <t>59.5200</t>
        </is>
      </c>
      <c r="H774" s="41" t="inlineStr">
        <is>
          <t>202502</t>
        </is>
      </c>
      <c r="I774" s="41" t="inlineStr">
        <is>
          <t>22</t>
        </is>
      </c>
      <c r="J774" s="41" t="inlineStr">
        <is>
          <t>146,750</t>
        </is>
      </c>
      <c r="K774" s="41" t="inlineStr">
        <is>
          <t>102</t>
        </is>
      </c>
      <c r="L774" s="41" t="inlineStr">
        <is>
          <t>16</t>
        </is>
      </c>
      <c r="M774" s="42" t="inlineStr">
        <is>
          <t>개인</t>
        </is>
      </c>
      <c r="N774" s="42" t="inlineStr">
        <is>
          <t>개인</t>
        </is>
      </c>
      <c r="O774" s="41" t="inlineStr">
        <is>
          <t>1999</t>
        </is>
      </c>
      <c r="P774" s="42" t="inlineStr">
        <is>
          <t>서초대로40길 72</t>
        </is>
      </c>
      <c r="Q774" s="41" t="inlineStr">
        <is>
          <t>-</t>
        </is>
      </c>
      <c r="R774" s="42" t="inlineStr">
        <is>
          <t>중개거래</t>
        </is>
      </c>
      <c r="S774" s="42" t="inlineStr">
        <is>
          <t>서울 서초구</t>
        </is>
      </c>
      <c r="T774" s="41" t="inlineStr">
        <is>
          <t>25.04.30</t>
        </is>
      </c>
      <c r="U774" s="42" t="inlineStr">
        <is>
          <t>아파트</t>
        </is>
      </c>
    </row>
    <row r="775" hidden="1" ht="15" customHeight="1">
      <c r="A775" s="41" t="n">
        <v>242</v>
      </c>
      <c r="B775" s="42" t="inlineStr">
        <is>
          <t>서울특별시 서초구 서초동</t>
        </is>
      </c>
      <c r="C775" s="41" t="inlineStr">
        <is>
          <t>1685</t>
        </is>
      </c>
      <c r="D775" s="41" t="inlineStr">
        <is>
          <t>1685</t>
        </is>
      </c>
      <c r="E775" s="41" t="inlineStr">
        <is>
          <t>0000</t>
        </is>
      </c>
      <c r="F775" s="42" t="inlineStr">
        <is>
          <t>삼풍아파트</t>
        </is>
      </c>
      <c r="G775" s="41" t="inlineStr">
        <is>
          <t>79.4700</t>
        </is>
      </c>
      <c r="H775" s="41" t="inlineStr">
        <is>
          <t>202502</t>
        </is>
      </c>
      <c r="I775" s="41" t="inlineStr">
        <is>
          <t>22</t>
        </is>
      </c>
      <c r="J775" s="41" t="inlineStr">
        <is>
          <t>277,000</t>
        </is>
      </c>
      <c r="K775" s="41" t="inlineStr">
        <is>
          <t>1</t>
        </is>
      </c>
      <c r="L775" s="41" t="inlineStr">
        <is>
          <t>3</t>
        </is>
      </c>
      <c r="M775" s="42" t="inlineStr">
        <is>
          <t>개인</t>
        </is>
      </c>
      <c r="N775" s="42" t="inlineStr">
        <is>
          <t>개인</t>
        </is>
      </c>
      <c r="O775" s="41" t="inlineStr">
        <is>
          <t>1988</t>
        </is>
      </c>
      <c r="P775" s="42" t="inlineStr">
        <is>
          <t>서초중앙로 200</t>
        </is>
      </c>
      <c r="Q775" s="41" t="inlineStr">
        <is>
          <t>-</t>
        </is>
      </c>
      <c r="R775" s="42" t="inlineStr">
        <is>
          <t>중개거래</t>
        </is>
      </c>
      <c r="S775" s="42" t="inlineStr">
        <is>
          <t>서울 서초구</t>
        </is>
      </c>
      <c r="T775" s="41" t="inlineStr">
        <is>
          <t>25.06.30</t>
        </is>
      </c>
      <c r="U775" s="42" t="inlineStr">
        <is>
          <t>아파트</t>
        </is>
      </c>
    </row>
    <row r="776" hidden="1" ht="15" customHeight="1">
      <c r="A776" s="41" t="n">
        <v>243</v>
      </c>
      <c r="B776" s="42" t="inlineStr">
        <is>
          <t>서울특별시 서초구 서초동</t>
        </is>
      </c>
      <c r="C776" s="41" t="inlineStr">
        <is>
          <t>1311-10</t>
        </is>
      </c>
      <c r="D776" s="41" t="inlineStr">
        <is>
          <t>1311</t>
        </is>
      </c>
      <c r="E776" s="41" t="inlineStr">
        <is>
          <t>0010</t>
        </is>
      </c>
      <c r="F776" s="42" t="inlineStr">
        <is>
          <t>서초푸르지오써밋</t>
        </is>
      </c>
      <c r="G776" s="41" t="inlineStr">
        <is>
          <t>59.9200</t>
        </is>
      </c>
      <c r="H776" s="41" t="inlineStr">
        <is>
          <t>202502</t>
        </is>
      </c>
      <c r="I776" s="41" t="inlineStr">
        <is>
          <t>22</t>
        </is>
      </c>
      <c r="J776" s="41" t="inlineStr">
        <is>
          <t>261,000</t>
        </is>
      </c>
      <c r="K776" s="41" t="inlineStr">
        <is>
          <t>-</t>
        </is>
      </c>
      <c r="L776" s="41" t="inlineStr">
        <is>
          <t>33</t>
        </is>
      </c>
      <c r="M776" s="42" t="inlineStr">
        <is>
          <t>개인</t>
        </is>
      </c>
      <c r="N776" s="42" t="inlineStr">
        <is>
          <t>개인</t>
        </is>
      </c>
      <c r="O776" s="41" t="inlineStr">
        <is>
          <t>2017</t>
        </is>
      </c>
      <c r="P776" s="42" t="inlineStr">
        <is>
          <t>서운로 201</t>
        </is>
      </c>
      <c r="Q776" s="41" t="inlineStr">
        <is>
          <t>20250509</t>
        </is>
      </c>
      <c r="R776" s="42" t="inlineStr">
        <is>
          <t>중개거래</t>
        </is>
      </c>
      <c r="S776" s="42" t="inlineStr">
        <is>
          <t>서울 서초구</t>
        </is>
      </c>
      <c r="T776" s="41" t="inlineStr">
        <is>
          <t>-</t>
        </is>
      </c>
      <c r="U776" s="42" t="inlineStr">
        <is>
          <t>아파트</t>
        </is>
      </c>
    </row>
    <row r="777" hidden="1" ht="15" customHeight="1">
      <c r="A777" s="41" t="n">
        <v>244</v>
      </c>
      <c r="B777" s="42" t="inlineStr">
        <is>
          <t>서울특별시 서초구 서초동</t>
        </is>
      </c>
      <c r="C777" s="41" t="inlineStr">
        <is>
          <t>1311-10</t>
        </is>
      </c>
      <c r="D777" s="41" t="inlineStr">
        <is>
          <t>1311</t>
        </is>
      </c>
      <c r="E777" s="41" t="inlineStr">
        <is>
          <t>0010</t>
        </is>
      </c>
      <c r="F777" s="42" t="inlineStr">
        <is>
          <t>서초푸르지오써밋</t>
        </is>
      </c>
      <c r="G777" s="41" t="inlineStr">
        <is>
          <t>59.9200</t>
        </is>
      </c>
      <c r="H777" s="41" t="inlineStr">
        <is>
          <t>202502</t>
        </is>
      </c>
      <c r="I777" s="41" t="inlineStr">
        <is>
          <t>22</t>
        </is>
      </c>
      <c r="J777" s="41" t="inlineStr">
        <is>
          <t>261,000</t>
        </is>
      </c>
      <c r="K777" s="41" t="inlineStr">
        <is>
          <t>105</t>
        </is>
      </c>
      <c r="L777" s="41" t="inlineStr">
        <is>
          <t>33</t>
        </is>
      </c>
      <c r="M777" s="42" t="inlineStr">
        <is>
          <t>개인</t>
        </is>
      </c>
      <c r="N777" s="42" t="inlineStr">
        <is>
          <t>개인</t>
        </is>
      </c>
      <c r="O777" s="41" t="inlineStr">
        <is>
          <t>2017</t>
        </is>
      </c>
      <c r="P777" s="42" t="inlineStr">
        <is>
          <t>서운로 201</t>
        </is>
      </c>
      <c r="Q777" s="41" t="inlineStr">
        <is>
          <t>-</t>
        </is>
      </c>
      <c r="R777" s="42" t="inlineStr">
        <is>
          <t>중개거래</t>
        </is>
      </c>
      <c r="S777" s="42" t="inlineStr">
        <is>
          <t>서울 서초구</t>
        </is>
      </c>
      <c r="T777" s="41" t="inlineStr">
        <is>
          <t>25.06.12</t>
        </is>
      </c>
      <c r="U777" s="42" t="inlineStr">
        <is>
          <t>아파트</t>
        </is>
      </c>
    </row>
    <row r="778" hidden="1" ht="15" customHeight="1">
      <c r="A778" s="41" t="n">
        <v>245</v>
      </c>
      <c r="B778" s="42" t="inlineStr">
        <is>
          <t>서울특별시 서초구 서초동</t>
        </is>
      </c>
      <c r="C778" s="41" t="inlineStr">
        <is>
          <t>1311-10</t>
        </is>
      </c>
      <c r="D778" s="41" t="inlineStr">
        <is>
          <t>1311</t>
        </is>
      </c>
      <c r="E778" s="41" t="inlineStr">
        <is>
          <t>0010</t>
        </is>
      </c>
      <c r="F778" s="42" t="inlineStr">
        <is>
          <t>서초푸르지오써밋</t>
        </is>
      </c>
      <c r="G778" s="41" t="inlineStr">
        <is>
          <t>59.9200</t>
        </is>
      </c>
      <c r="H778" s="41" t="inlineStr">
        <is>
          <t>202502</t>
        </is>
      </c>
      <c r="I778" s="41" t="inlineStr">
        <is>
          <t>22</t>
        </is>
      </c>
      <c r="J778" s="41" t="inlineStr">
        <is>
          <t>261,000</t>
        </is>
      </c>
      <c r="K778" s="41" t="inlineStr">
        <is>
          <t>105</t>
        </is>
      </c>
      <c r="L778" s="41" t="inlineStr">
        <is>
          <t>33</t>
        </is>
      </c>
      <c r="M778" s="42" t="inlineStr">
        <is>
          <t>개인</t>
        </is>
      </c>
      <c r="N778" s="42" t="inlineStr">
        <is>
          <t>개인</t>
        </is>
      </c>
      <c r="O778" s="41" t="inlineStr">
        <is>
          <t>2017</t>
        </is>
      </c>
      <c r="P778" s="42" t="inlineStr">
        <is>
          <t>서운로 201</t>
        </is>
      </c>
      <c r="Q778" s="41" t="inlineStr">
        <is>
          <t>-</t>
        </is>
      </c>
      <c r="R778" s="42" t="inlineStr">
        <is>
          <t>중개거래</t>
        </is>
      </c>
      <c r="S778" s="42" t="inlineStr">
        <is>
          <t>서울 서초구</t>
        </is>
      </c>
      <c r="T778" s="41" t="inlineStr">
        <is>
          <t>25.06.12</t>
        </is>
      </c>
      <c r="U778" s="42" t="inlineStr">
        <is>
          <t>아파트</t>
        </is>
      </c>
    </row>
    <row r="779" hidden="1" ht="15" customHeight="1">
      <c r="A779" s="41" t="n">
        <v>246</v>
      </c>
      <c r="B779" s="42" t="inlineStr">
        <is>
          <t>서울특별시 서초구 서초동</t>
        </is>
      </c>
      <c r="C779" s="41" t="inlineStr">
        <is>
          <t>1311-10</t>
        </is>
      </c>
      <c r="D779" s="41" t="inlineStr">
        <is>
          <t>1311</t>
        </is>
      </c>
      <c r="E779" s="41" t="inlineStr">
        <is>
          <t>0010</t>
        </is>
      </c>
      <c r="F779" s="42" t="inlineStr">
        <is>
          <t>서초푸르지오써밋</t>
        </is>
      </c>
      <c r="G779" s="41" t="inlineStr">
        <is>
          <t>84.9500</t>
        </is>
      </c>
      <c r="H779" s="41" t="inlineStr">
        <is>
          <t>202502</t>
        </is>
      </c>
      <c r="I779" s="41" t="inlineStr">
        <is>
          <t>22</t>
        </is>
      </c>
      <c r="J779" s="41" t="inlineStr">
        <is>
          <t>309,000</t>
        </is>
      </c>
      <c r="K779" s="41" t="inlineStr">
        <is>
          <t>103</t>
        </is>
      </c>
      <c r="L779" s="41" t="inlineStr">
        <is>
          <t>4</t>
        </is>
      </c>
      <c r="M779" s="42" t="inlineStr">
        <is>
          <t>개인</t>
        </is>
      </c>
      <c r="N779" s="42" t="inlineStr">
        <is>
          <t>개인</t>
        </is>
      </c>
      <c r="O779" s="41" t="inlineStr">
        <is>
          <t>2017</t>
        </is>
      </c>
      <c r="P779" s="42" t="inlineStr">
        <is>
          <t>서운로 201</t>
        </is>
      </c>
      <c r="Q779" s="41" t="inlineStr">
        <is>
          <t>-</t>
        </is>
      </c>
      <c r="R779" s="42" t="inlineStr">
        <is>
          <t>중개거래</t>
        </is>
      </c>
      <c r="S779" s="42" t="inlineStr">
        <is>
          <t>서울 강남구, 서울 서초구</t>
        </is>
      </c>
      <c r="T779" s="41" t="inlineStr">
        <is>
          <t>25.07.31</t>
        </is>
      </c>
      <c r="U779" s="42" t="inlineStr">
        <is>
          <t>아파트</t>
        </is>
      </c>
    </row>
    <row r="780" hidden="1" ht="15" customHeight="1">
      <c r="A780" s="41" t="n">
        <v>247</v>
      </c>
      <c r="B780" s="42" t="inlineStr">
        <is>
          <t>서울특별시 서초구 서초동</t>
        </is>
      </c>
      <c r="C780" s="41" t="inlineStr">
        <is>
          <t>1312-3</t>
        </is>
      </c>
      <c r="D780" s="41" t="inlineStr">
        <is>
          <t>1312</t>
        </is>
      </c>
      <c r="E780" s="41" t="inlineStr">
        <is>
          <t>0003</t>
        </is>
      </c>
      <c r="F780" s="42" t="inlineStr">
        <is>
          <t>롯데캐슬클래식</t>
        </is>
      </c>
      <c r="G780" s="41" t="inlineStr">
        <is>
          <t>74.3000</t>
        </is>
      </c>
      <c r="H780" s="41" t="inlineStr">
        <is>
          <t>202502</t>
        </is>
      </c>
      <c r="I780" s="41" t="inlineStr">
        <is>
          <t>22</t>
        </is>
      </c>
      <c r="J780" s="41" t="inlineStr">
        <is>
          <t>248,000</t>
        </is>
      </c>
      <c r="K780" s="41" t="inlineStr">
        <is>
          <t>114</t>
        </is>
      </c>
      <c r="L780" s="41" t="inlineStr">
        <is>
          <t>6</t>
        </is>
      </c>
      <c r="M780" s="42" t="inlineStr">
        <is>
          <t>개인</t>
        </is>
      </c>
      <c r="N780" s="42" t="inlineStr">
        <is>
          <t>개인</t>
        </is>
      </c>
      <c r="O780" s="41" t="inlineStr">
        <is>
          <t>2006</t>
        </is>
      </c>
      <c r="P780" s="42" t="inlineStr">
        <is>
          <t>서운로 200</t>
        </is>
      </c>
      <c r="Q780" s="41" t="inlineStr">
        <is>
          <t>-</t>
        </is>
      </c>
      <c r="R780" s="42" t="inlineStr">
        <is>
          <t>중개거래</t>
        </is>
      </c>
      <c r="S780" s="42" t="inlineStr">
        <is>
          <t>서울 서초구</t>
        </is>
      </c>
      <c r="T780" s="41" t="inlineStr">
        <is>
          <t>25.03.28</t>
        </is>
      </c>
      <c r="U780" s="42" t="inlineStr">
        <is>
          <t>아파트</t>
        </is>
      </c>
    </row>
    <row r="781" hidden="1" ht="15" customHeight="1">
      <c r="A781" s="41" t="n">
        <v>248</v>
      </c>
      <c r="B781" s="42" t="inlineStr">
        <is>
          <t>서울특별시 서초구 서초동</t>
        </is>
      </c>
      <c r="C781" s="41" t="inlineStr">
        <is>
          <t>1444-7</t>
        </is>
      </c>
      <c r="D781" s="41" t="inlineStr">
        <is>
          <t>1444</t>
        </is>
      </c>
      <c r="E781" s="41" t="inlineStr">
        <is>
          <t>0007</t>
        </is>
      </c>
      <c r="F781" s="42" t="inlineStr">
        <is>
          <t>서초자이</t>
        </is>
      </c>
      <c r="G781" s="41" t="inlineStr">
        <is>
          <t>84.9800</t>
        </is>
      </c>
      <c r="H781" s="41" t="inlineStr">
        <is>
          <t>202502</t>
        </is>
      </c>
      <c r="I781" s="41" t="inlineStr">
        <is>
          <t>22</t>
        </is>
      </c>
      <c r="J781" s="41" t="inlineStr">
        <is>
          <t>200,000</t>
        </is>
      </c>
      <c r="K781" s="41" t="inlineStr">
        <is>
          <t>104</t>
        </is>
      </c>
      <c r="L781" s="41" t="inlineStr">
        <is>
          <t>11</t>
        </is>
      </c>
      <c r="M781" s="42" t="inlineStr">
        <is>
          <t>개인</t>
        </is>
      </c>
      <c r="N781" s="42" t="inlineStr">
        <is>
          <t>개인</t>
        </is>
      </c>
      <c r="O781" s="41" t="inlineStr">
        <is>
          <t>2006</t>
        </is>
      </c>
      <c r="P781" s="42" t="inlineStr">
        <is>
          <t>효령로68길 81</t>
        </is>
      </c>
      <c r="Q781" s="41" t="inlineStr">
        <is>
          <t>-</t>
        </is>
      </c>
      <c r="R781" s="42" t="inlineStr">
        <is>
          <t>중개거래</t>
        </is>
      </c>
      <c r="S781" s="42" t="inlineStr">
        <is>
          <t>서울 서초구</t>
        </is>
      </c>
      <c r="T781" s="41" t="inlineStr">
        <is>
          <t>25.06.30</t>
        </is>
      </c>
      <c r="U781" s="42" t="inlineStr">
        <is>
          <t>아파트</t>
        </is>
      </c>
    </row>
    <row r="782" hidden="1" ht="15" customHeight="1">
      <c r="A782" s="41" t="n">
        <v>249</v>
      </c>
      <c r="B782" s="42" t="inlineStr">
        <is>
          <t>서울특별시 서초구 서초동</t>
        </is>
      </c>
      <c r="C782" s="41" t="inlineStr">
        <is>
          <t>1687</t>
        </is>
      </c>
      <c r="D782" s="41" t="inlineStr">
        <is>
          <t>1687</t>
        </is>
      </c>
      <c r="E782" s="41" t="inlineStr">
        <is>
          <t>0000</t>
        </is>
      </c>
      <c r="F782" s="42" t="inlineStr">
        <is>
          <t>유원서초</t>
        </is>
      </c>
      <c r="G782" s="41" t="inlineStr">
        <is>
          <t>84.8700</t>
        </is>
      </c>
      <c r="H782" s="41" t="inlineStr">
        <is>
          <t>202502</t>
        </is>
      </c>
      <c r="I782" s="41" t="inlineStr">
        <is>
          <t>21</t>
        </is>
      </c>
      <c r="J782" s="41" t="inlineStr">
        <is>
          <t>185,000</t>
        </is>
      </c>
      <c r="K782" s="41" t="inlineStr">
        <is>
          <t>103</t>
        </is>
      </c>
      <c r="L782" s="41" t="inlineStr">
        <is>
          <t>1</t>
        </is>
      </c>
      <c r="M782" s="42" t="inlineStr">
        <is>
          <t>개인</t>
        </is>
      </c>
      <c r="N782" s="42" t="inlineStr">
        <is>
          <t>개인</t>
        </is>
      </c>
      <c r="O782" s="41" t="inlineStr">
        <is>
          <t>1993</t>
        </is>
      </c>
      <c r="P782" s="42" t="inlineStr">
        <is>
          <t>서초중앙로24길 43</t>
        </is>
      </c>
      <c r="Q782" s="41" t="inlineStr">
        <is>
          <t>-</t>
        </is>
      </c>
      <c r="R782" s="42" t="inlineStr">
        <is>
          <t>중개거래</t>
        </is>
      </c>
      <c r="S782" s="42" t="inlineStr">
        <is>
          <t>서울 서초구</t>
        </is>
      </c>
      <c r="T782" s="41" t="inlineStr">
        <is>
          <t>25.05.30</t>
        </is>
      </c>
      <c r="U782" s="42" t="inlineStr">
        <is>
          <t>아파트</t>
        </is>
      </c>
    </row>
    <row r="783" hidden="1" ht="15" customHeight="1">
      <c r="A783" s="41" t="n">
        <v>250</v>
      </c>
      <c r="B783" s="42" t="inlineStr">
        <is>
          <t>서울특별시 서초구 서초동</t>
        </is>
      </c>
      <c r="C783" s="41" t="inlineStr">
        <is>
          <t>1754</t>
        </is>
      </c>
      <c r="D783" s="41" t="inlineStr">
        <is>
          <t>1754</t>
        </is>
      </c>
      <c r="E783" s="41" t="inlineStr">
        <is>
          <t>0000</t>
        </is>
      </c>
      <c r="F783" s="42" t="inlineStr">
        <is>
          <t>래미안서초에스티지S</t>
        </is>
      </c>
      <c r="G783" s="41" t="inlineStr">
        <is>
          <t>134.2700</t>
        </is>
      </c>
      <c r="H783" s="41" t="inlineStr">
        <is>
          <t>202502</t>
        </is>
      </c>
      <c r="I783" s="41" t="inlineStr">
        <is>
          <t>21</t>
        </is>
      </c>
      <c r="J783" s="41" t="inlineStr">
        <is>
          <t>382,500</t>
        </is>
      </c>
      <c r="K783" s="41" t="inlineStr">
        <is>
          <t>205</t>
        </is>
      </c>
      <c r="L783" s="41" t="inlineStr">
        <is>
          <t>15</t>
        </is>
      </c>
      <c r="M783" s="42" t="inlineStr">
        <is>
          <t>개인</t>
        </is>
      </c>
      <c r="N783" s="42" t="inlineStr">
        <is>
          <t>개인</t>
        </is>
      </c>
      <c r="O783" s="41" t="inlineStr">
        <is>
          <t>2018</t>
        </is>
      </c>
      <c r="P783" s="42" t="inlineStr">
        <is>
          <t>서운로 104</t>
        </is>
      </c>
      <c r="Q783" s="41" t="inlineStr">
        <is>
          <t>-</t>
        </is>
      </c>
      <c r="R783" s="42" t="inlineStr">
        <is>
          <t>중개거래</t>
        </is>
      </c>
      <c r="S783" s="42" t="inlineStr">
        <is>
          <t>서울 서초구</t>
        </is>
      </c>
      <c r="T783" s="41" t="inlineStr">
        <is>
          <t>25.02.24</t>
        </is>
      </c>
      <c r="U783" s="42" t="inlineStr">
        <is>
          <t>아파트</t>
        </is>
      </c>
    </row>
    <row r="784" hidden="1" ht="15" customHeight="1">
      <c r="A784" s="41" t="n">
        <v>251</v>
      </c>
      <c r="B784" s="42" t="inlineStr">
        <is>
          <t>서울특별시 서초구 서초동</t>
        </is>
      </c>
      <c r="C784" s="41" t="inlineStr">
        <is>
          <t>1686-9</t>
        </is>
      </c>
      <c r="D784" s="41" t="inlineStr">
        <is>
          <t>1686</t>
        </is>
      </c>
      <c r="E784" s="41" t="inlineStr">
        <is>
          <t>0009</t>
        </is>
      </c>
      <c r="F784" s="42" t="inlineStr">
        <is>
          <t>서초교대e편한세상</t>
        </is>
      </c>
      <c r="G784" s="41" t="inlineStr">
        <is>
          <t>136.4400</t>
        </is>
      </c>
      <c r="H784" s="41" t="inlineStr">
        <is>
          <t>202502</t>
        </is>
      </c>
      <c r="I784" s="41" t="inlineStr">
        <is>
          <t>21</t>
        </is>
      </c>
      <c r="J784" s="41" t="inlineStr">
        <is>
          <t>310,000</t>
        </is>
      </c>
      <c r="K784" s="41" t="inlineStr">
        <is>
          <t>106</t>
        </is>
      </c>
      <c r="L784" s="41" t="inlineStr">
        <is>
          <t>1</t>
        </is>
      </c>
      <c r="M784" s="42" t="inlineStr">
        <is>
          <t>개인</t>
        </is>
      </c>
      <c r="N784" s="42" t="inlineStr">
        <is>
          <t>개인</t>
        </is>
      </c>
      <c r="O784" s="41" t="inlineStr">
        <is>
          <t>2010</t>
        </is>
      </c>
      <c r="P784" s="42" t="inlineStr">
        <is>
          <t>서초중앙로24길 33</t>
        </is>
      </c>
      <c r="Q784" s="41" t="inlineStr">
        <is>
          <t>-</t>
        </is>
      </c>
      <c r="R784" s="42" t="inlineStr">
        <is>
          <t>중개거래</t>
        </is>
      </c>
      <c r="S784" s="42" t="inlineStr">
        <is>
          <t>서울 서초구</t>
        </is>
      </c>
      <c r="T784" s="41" t="inlineStr">
        <is>
          <t>26.03.03</t>
        </is>
      </c>
      <c r="U784" s="42" t="inlineStr">
        <is>
          <t>아파트</t>
        </is>
      </c>
    </row>
    <row r="785" hidden="1" ht="15" customHeight="1">
      <c r="A785" s="41" t="n">
        <v>252</v>
      </c>
      <c r="B785" s="42" t="inlineStr">
        <is>
          <t>서울특별시 서초구 서초동</t>
        </is>
      </c>
      <c r="C785" s="41" t="inlineStr">
        <is>
          <t>1685-3</t>
        </is>
      </c>
      <c r="D785" s="41" t="inlineStr">
        <is>
          <t>1685</t>
        </is>
      </c>
      <c r="E785" s="41" t="inlineStr">
        <is>
          <t>0003</t>
        </is>
      </c>
      <c r="F785" s="42" t="inlineStr">
        <is>
          <t>아크로비스타</t>
        </is>
      </c>
      <c r="G785" s="41" t="inlineStr">
        <is>
          <t>137.9800</t>
        </is>
      </c>
      <c r="H785" s="41" t="inlineStr">
        <is>
          <t>202502</t>
        </is>
      </c>
      <c r="I785" s="41" t="inlineStr">
        <is>
          <t>21</t>
        </is>
      </c>
      <c r="J785" s="41" t="inlineStr">
        <is>
          <t>274,800</t>
        </is>
      </c>
      <c r="K785" s="41" t="inlineStr">
        <is>
          <t>A</t>
        </is>
      </c>
      <c r="L785" s="41" t="inlineStr">
        <is>
          <t>3</t>
        </is>
      </c>
      <c r="M785" s="42" t="inlineStr">
        <is>
          <t>개인</t>
        </is>
      </c>
      <c r="N785" s="42" t="inlineStr">
        <is>
          <t>개인</t>
        </is>
      </c>
      <c r="O785" s="41" t="inlineStr">
        <is>
          <t>2004</t>
        </is>
      </c>
      <c r="P785" s="42" t="inlineStr">
        <is>
          <t>서초중앙로 188</t>
        </is>
      </c>
      <c r="Q785" s="41" t="inlineStr">
        <is>
          <t>-</t>
        </is>
      </c>
      <c r="R785" s="42" t="inlineStr">
        <is>
          <t>중개거래</t>
        </is>
      </c>
      <c r="S785" s="42" t="inlineStr">
        <is>
          <t>서울 서초구</t>
        </is>
      </c>
      <c r="T785" s="41" t="inlineStr">
        <is>
          <t>25.04.02</t>
        </is>
      </c>
      <c r="U785" s="42" t="inlineStr">
        <is>
          <t>아파트</t>
        </is>
      </c>
    </row>
    <row r="786" hidden="1" ht="15" customHeight="1">
      <c r="A786" s="41" t="n">
        <v>253</v>
      </c>
      <c r="B786" s="42" t="inlineStr">
        <is>
          <t>서울특별시 서초구 서초동</t>
        </is>
      </c>
      <c r="C786" s="41" t="inlineStr">
        <is>
          <t>1301-6</t>
        </is>
      </c>
      <c r="D786" s="41" t="inlineStr">
        <is>
          <t>1301</t>
        </is>
      </c>
      <c r="E786" s="41" t="inlineStr">
        <is>
          <t>0006</t>
        </is>
      </c>
      <c r="F786" s="42" t="inlineStr">
        <is>
          <t>래미안서초스위트</t>
        </is>
      </c>
      <c r="G786" s="41" t="inlineStr">
        <is>
          <t>95.6580</t>
        </is>
      </c>
      <c r="H786" s="41" t="inlineStr">
        <is>
          <t>202502</t>
        </is>
      </c>
      <c r="I786" s="41" t="inlineStr">
        <is>
          <t>21</t>
        </is>
      </c>
      <c r="J786" s="41" t="inlineStr">
        <is>
          <t>279,000</t>
        </is>
      </c>
      <c r="K786" s="41" t="inlineStr">
        <is>
          <t>103</t>
        </is>
      </c>
      <c r="L786" s="41" t="inlineStr">
        <is>
          <t>23</t>
        </is>
      </c>
      <c r="M786" s="42" t="inlineStr">
        <is>
          <t>개인</t>
        </is>
      </c>
      <c r="N786" s="42" t="inlineStr">
        <is>
          <t>개인</t>
        </is>
      </c>
      <c r="O786" s="41" t="inlineStr">
        <is>
          <t>2009</t>
        </is>
      </c>
      <c r="P786" s="42" t="inlineStr">
        <is>
          <t>서운로 221</t>
        </is>
      </c>
      <c r="Q786" s="41" t="inlineStr">
        <is>
          <t>-</t>
        </is>
      </c>
      <c r="R786" s="42" t="inlineStr">
        <is>
          <t>중개거래</t>
        </is>
      </c>
      <c r="S786" s="42" t="inlineStr">
        <is>
          <t>서울 서초구</t>
        </is>
      </c>
      <c r="T786" s="41" t="inlineStr">
        <is>
          <t>25.11.10</t>
        </is>
      </c>
      <c r="U786" s="42" t="inlineStr">
        <is>
          <t>아파트</t>
        </is>
      </c>
    </row>
    <row r="787" hidden="1" ht="15" customHeight="1">
      <c r="A787" s="41" t="n">
        <v>254</v>
      </c>
      <c r="B787" s="42" t="inlineStr">
        <is>
          <t>서울특별시 서초구 서초동</t>
        </is>
      </c>
      <c r="C787" s="41" t="inlineStr">
        <is>
          <t>1312-3</t>
        </is>
      </c>
      <c r="D787" s="41" t="inlineStr">
        <is>
          <t>1312</t>
        </is>
      </c>
      <c r="E787" s="41" t="inlineStr">
        <is>
          <t>0003</t>
        </is>
      </c>
      <c r="F787" s="42" t="inlineStr">
        <is>
          <t>롯데캐슬클래식</t>
        </is>
      </c>
      <c r="G787" s="41" t="inlineStr">
        <is>
          <t>84.9800</t>
        </is>
      </c>
      <c r="H787" s="41" t="inlineStr">
        <is>
          <t>202502</t>
        </is>
      </c>
      <c r="I787" s="41" t="inlineStr">
        <is>
          <t>21</t>
        </is>
      </c>
      <c r="J787" s="41" t="inlineStr">
        <is>
          <t>270,000</t>
        </is>
      </c>
      <c r="K787" s="41" t="inlineStr">
        <is>
          <t>102</t>
        </is>
      </c>
      <c r="L787" s="41" t="inlineStr">
        <is>
          <t>15</t>
        </is>
      </c>
      <c r="M787" s="42" t="inlineStr">
        <is>
          <t>개인</t>
        </is>
      </c>
      <c r="N787" s="42" t="inlineStr">
        <is>
          <t>개인</t>
        </is>
      </c>
      <c r="O787" s="41" t="inlineStr">
        <is>
          <t>2006</t>
        </is>
      </c>
      <c r="P787" s="42" t="inlineStr">
        <is>
          <t>서운로 197</t>
        </is>
      </c>
      <c r="Q787" s="41" t="inlineStr">
        <is>
          <t>-</t>
        </is>
      </c>
      <c r="R787" s="42" t="inlineStr">
        <is>
          <t>중개거래</t>
        </is>
      </c>
      <c r="S787" s="42" t="inlineStr">
        <is>
          <t>서울 서초구</t>
        </is>
      </c>
      <c r="T787" s="41" t="inlineStr">
        <is>
          <t>25.04.23</t>
        </is>
      </c>
      <c r="U787" s="42" t="inlineStr">
        <is>
          <t>아파트</t>
        </is>
      </c>
    </row>
    <row r="788" hidden="1" ht="15" customHeight="1">
      <c r="A788" s="41" t="n">
        <v>255</v>
      </c>
      <c r="B788" s="42" t="inlineStr">
        <is>
          <t>서울특별시 서초구 서초동</t>
        </is>
      </c>
      <c r="C788" s="41" t="inlineStr">
        <is>
          <t>1755</t>
        </is>
      </c>
      <c r="D788" s="41" t="inlineStr">
        <is>
          <t>1755</t>
        </is>
      </c>
      <c r="E788" s="41" t="inlineStr">
        <is>
          <t>0000</t>
        </is>
      </c>
      <c r="F788" s="42" t="inlineStr">
        <is>
          <t>래미안 리더스원</t>
        </is>
      </c>
      <c r="G788" s="41" t="inlineStr">
        <is>
          <t>74.9300</t>
        </is>
      </c>
      <c r="H788" s="41" t="inlineStr">
        <is>
          <t>202502</t>
        </is>
      </c>
      <c r="I788" s="41" t="inlineStr">
        <is>
          <t>20</t>
        </is>
      </c>
      <c r="J788" s="41" t="inlineStr">
        <is>
          <t>300,000</t>
        </is>
      </c>
      <c r="K788" s="41" t="inlineStr">
        <is>
          <t>108동</t>
        </is>
      </c>
      <c r="L788" s="41" t="inlineStr">
        <is>
          <t>17</t>
        </is>
      </c>
      <c r="M788" s="42" t="inlineStr">
        <is>
          <t>개인</t>
        </is>
      </c>
      <c r="N788" s="42" t="inlineStr">
        <is>
          <t>개인</t>
        </is>
      </c>
      <c r="O788" s="41" t="inlineStr">
        <is>
          <t>2020</t>
        </is>
      </c>
      <c r="P788" s="42" t="inlineStr">
        <is>
          <t>서운로 62</t>
        </is>
      </c>
      <c r="Q788" s="41" t="inlineStr">
        <is>
          <t>-</t>
        </is>
      </c>
      <c r="R788" s="42" t="inlineStr">
        <is>
          <t>중개거래</t>
        </is>
      </c>
      <c r="S788" s="42" t="inlineStr">
        <is>
          <t>서울 서초구</t>
        </is>
      </c>
      <c r="T788" s="41" t="inlineStr">
        <is>
          <t>25.03.20</t>
        </is>
      </c>
      <c r="U788" s="42" t="inlineStr">
        <is>
          <t>아파트</t>
        </is>
      </c>
    </row>
    <row r="789" hidden="1" ht="15" customHeight="1">
      <c r="A789" s="41" t="n">
        <v>256</v>
      </c>
      <c r="B789" s="42" t="inlineStr">
        <is>
          <t>서울특별시 서초구 서초동</t>
        </is>
      </c>
      <c r="C789" s="41" t="inlineStr">
        <is>
          <t>1755</t>
        </is>
      </c>
      <c r="D789" s="41" t="inlineStr">
        <is>
          <t>1755</t>
        </is>
      </c>
      <c r="E789" s="41" t="inlineStr">
        <is>
          <t>0000</t>
        </is>
      </c>
      <c r="F789" s="42" t="inlineStr">
        <is>
          <t>래미안 리더스원</t>
        </is>
      </c>
      <c r="G789" s="41" t="inlineStr">
        <is>
          <t>84.9400</t>
        </is>
      </c>
      <c r="H789" s="41" t="inlineStr">
        <is>
          <t>202502</t>
        </is>
      </c>
      <c r="I789" s="41" t="inlineStr">
        <is>
          <t>20</t>
        </is>
      </c>
      <c r="J789" s="41" t="inlineStr">
        <is>
          <t>349,000</t>
        </is>
      </c>
      <c r="K789" s="41" t="inlineStr">
        <is>
          <t>105동</t>
        </is>
      </c>
      <c r="L789" s="41" t="inlineStr">
        <is>
          <t>27</t>
        </is>
      </c>
      <c r="M789" s="42" t="inlineStr">
        <is>
          <t>개인</t>
        </is>
      </c>
      <c r="N789" s="42" t="inlineStr">
        <is>
          <t>개인</t>
        </is>
      </c>
      <c r="O789" s="41" t="inlineStr">
        <is>
          <t>2020</t>
        </is>
      </c>
      <c r="P789" s="42" t="inlineStr">
        <is>
          <t>서운로 62</t>
        </is>
      </c>
      <c r="Q789" s="41" t="inlineStr">
        <is>
          <t>-</t>
        </is>
      </c>
      <c r="R789" s="42" t="inlineStr">
        <is>
          <t>중개거래</t>
        </is>
      </c>
      <c r="S789" s="42" t="inlineStr">
        <is>
          <t>서울 서초구</t>
        </is>
      </c>
      <c r="T789" s="41" t="inlineStr">
        <is>
          <t>25.06.12</t>
        </is>
      </c>
      <c r="U789" s="42" t="inlineStr">
        <is>
          <t>아파트</t>
        </is>
      </c>
    </row>
    <row r="790" hidden="1" ht="15" customHeight="1">
      <c r="A790" s="41" t="n">
        <v>257</v>
      </c>
      <c r="B790" s="42" t="inlineStr">
        <is>
          <t>서울특별시 서초구 서초동</t>
        </is>
      </c>
      <c r="C790" s="41" t="inlineStr">
        <is>
          <t>1641-3</t>
        </is>
      </c>
      <c r="D790" s="41" t="inlineStr">
        <is>
          <t>1641</t>
        </is>
      </c>
      <c r="E790" s="41" t="inlineStr">
        <is>
          <t>0003</t>
        </is>
      </c>
      <c r="F790" s="42" t="inlineStr">
        <is>
          <t>대성유니드</t>
        </is>
      </c>
      <c r="G790" s="41" t="inlineStr">
        <is>
          <t>95.5500</t>
        </is>
      </c>
      <c r="H790" s="41" t="inlineStr">
        <is>
          <t>202502</t>
        </is>
      </c>
      <c r="I790" s="41" t="inlineStr">
        <is>
          <t>20</t>
        </is>
      </c>
      <c r="J790" s="41" t="inlineStr">
        <is>
          <t>189,000</t>
        </is>
      </c>
      <c r="K790" s="41" t="inlineStr">
        <is>
          <t>101</t>
        </is>
      </c>
      <c r="L790" s="41" t="inlineStr">
        <is>
          <t>4</t>
        </is>
      </c>
      <c r="M790" s="42" t="inlineStr">
        <is>
          <t>개인</t>
        </is>
      </c>
      <c r="N790" s="42" t="inlineStr">
        <is>
          <t>개인</t>
        </is>
      </c>
      <c r="O790" s="41" t="inlineStr">
        <is>
          <t>2004</t>
        </is>
      </c>
      <c r="P790" s="42" t="inlineStr">
        <is>
          <t>서초대로64길 36</t>
        </is>
      </c>
      <c r="Q790" s="41" t="inlineStr">
        <is>
          <t>-</t>
        </is>
      </c>
      <c r="R790" s="42" t="inlineStr">
        <is>
          <t>중개거래</t>
        </is>
      </c>
      <c r="S790" s="42" t="inlineStr">
        <is>
          <t>서울 서초구</t>
        </is>
      </c>
      <c r="T790" s="41" t="inlineStr">
        <is>
          <t>25.05.26</t>
        </is>
      </c>
      <c r="U790" s="42" t="inlineStr">
        <is>
          <t>아파트</t>
        </is>
      </c>
    </row>
    <row r="791" hidden="1" ht="15" customHeight="1">
      <c r="A791" s="41" t="n">
        <v>258</v>
      </c>
      <c r="B791" s="42" t="inlineStr">
        <is>
          <t>서울특별시 서초구 서초동</t>
        </is>
      </c>
      <c r="C791" s="41" t="inlineStr">
        <is>
          <t>1682</t>
        </is>
      </c>
      <c r="D791" s="41" t="inlineStr">
        <is>
          <t>1682</t>
        </is>
      </c>
      <c r="E791" s="41" t="inlineStr">
        <is>
          <t>0000</t>
        </is>
      </c>
      <c r="F791" s="42" t="inlineStr">
        <is>
          <t>서초래미안</t>
        </is>
      </c>
      <c r="G791" s="41" t="inlineStr">
        <is>
          <t>111.3200</t>
        </is>
      </c>
      <c r="H791" s="41" t="inlineStr">
        <is>
          <t>202502</t>
        </is>
      </c>
      <c r="I791" s="41" t="inlineStr">
        <is>
          <t>20</t>
        </is>
      </c>
      <c r="J791" s="41" t="inlineStr">
        <is>
          <t>270,000</t>
        </is>
      </c>
      <c r="K791" s="41" t="inlineStr">
        <is>
          <t>102</t>
        </is>
      </c>
      <c r="L791" s="41" t="inlineStr">
        <is>
          <t>11</t>
        </is>
      </c>
      <c r="M791" s="42" t="inlineStr">
        <is>
          <t>개인</t>
        </is>
      </c>
      <c r="N791" s="42" t="inlineStr">
        <is>
          <t>개인</t>
        </is>
      </c>
      <c r="O791" s="41" t="inlineStr">
        <is>
          <t>2003</t>
        </is>
      </c>
      <c r="P791" s="42" t="inlineStr">
        <is>
          <t>서초대로65길 13-10</t>
        </is>
      </c>
      <c r="Q791" s="41" t="inlineStr">
        <is>
          <t>-</t>
        </is>
      </c>
      <c r="R791" s="42" t="inlineStr">
        <is>
          <t>중개거래</t>
        </is>
      </c>
      <c r="S791" s="42" t="inlineStr">
        <is>
          <t>서울 서초구</t>
        </is>
      </c>
      <c r="T791" s="41" t="inlineStr">
        <is>
          <t>25.06.09</t>
        </is>
      </c>
      <c r="U791" s="42" t="inlineStr">
        <is>
          <t>아파트</t>
        </is>
      </c>
    </row>
    <row r="792" hidden="1" ht="15" customHeight="1">
      <c r="A792" s="41" t="n">
        <v>259</v>
      </c>
      <c r="B792" s="42" t="inlineStr">
        <is>
          <t>서울특별시 서초구 서초동</t>
        </is>
      </c>
      <c r="C792" s="41" t="inlineStr">
        <is>
          <t>1685</t>
        </is>
      </c>
      <c r="D792" s="41" t="inlineStr">
        <is>
          <t>1685</t>
        </is>
      </c>
      <c r="E792" s="41" t="inlineStr">
        <is>
          <t>0000</t>
        </is>
      </c>
      <c r="F792" s="42" t="inlineStr">
        <is>
          <t>삼풍아파트</t>
        </is>
      </c>
      <c r="G792" s="41" t="inlineStr">
        <is>
          <t>79.4700</t>
        </is>
      </c>
      <c r="H792" s="41" t="inlineStr">
        <is>
          <t>202502</t>
        </is>
      </c>
      <c r="I792" s="41" t="inlineStr">
        <is>
          <t>20</t>
        </is>
      </c>
      <c r="J792" s="41" t="inlineStr">
        <is>
          <t>278,000</t>
        </is>
      </c>
      <c r="K792" s="41" t="inlineStr">
        <is>
          <t>2</t>
        </is>
      </c>
      <c r="L792" s="41" t="inlineStr">
        <is>
          <t>15</t>
        </is>
      </c>
      <c r="M792" s="42" t="inlineStr">
        <is>
          <t>개인</t>
        </is>
      </c>
      <c r="N792" s="42" t="inlineStr">
        <is>
          <t>개인</t>
        </is>
      </c>
      <c r="O792" s="41" t="inlineStr">
        <is>
          <t>1988</t>
        </is>
      </c>
      <c r="P792" s="42" t="inlineStr">
        <is>
          <t>서초중앙로 200</t>
        </is>
      </c>
      <c r="Q792" s="41" t="inlineStr">
        <is>
          <t>-</t>
        </is>
      </c>
      <c r="R792" s="42" t="inlineStr">
        <is>
          <t>중개거래</t>
        </is>
      </c>
      <c r="S792" s="42" t="inlineStr">
        <is>
          <t>서울 서초구</t>
        </is>
      </c>
      <c r="T792" s="41" t="inlineStr">
        <is>
          <t>25.05.29</t>
        </is>
      </c>
      <c r="U792" s="42" t="inlineStr">
        <is>
          <t>아파트</t>
        </is>
      </c>
    </row>
    <row r="793" hidden="1" ht="15" customHeight="1">
      <c r="A793" s="41" t="n">
        <v>260</v>
      </c>
      <c r="B793" s="42" t="inlineStr">
        <is>
          <t>서울특별시 서초구 서초동</t>
        </is>
      </c>
      <c r="C793" s="41" t="inlineStr">
        <is>
          <t>1311-10</t>
        </is>
      </c>
      <c r="D793" s="41" t="inlineStr">
        <is>
          <t>1311</t>
        </is>
      </c>
      <c r="E793" s="41" t="inlineStr">
        <is>
          <t>0010</t>
        </is>
      </c>
      <c r="F793" s="42" t="inlineStr">
        <is>
          <t>서초푸르지오써밋</t>
        </is>
      </c>
      <c r="G793" s="41" t="inlineStr">
        <is>
          <t>84.9500</t>
        </is>
      </c>
      <c r="H793" s="41" t="inlineStr">
        <is>
          <t>202502</t>
        </is>
      </c>
      <c r="I793" s="41" t="inlineStr">
        <is>
          <t>19</t>
        </is>
      </c>
      <c r="J793" s="41" t="inlineStr">
        <is>
          <t>309,000</t>
        </is>
      </c>
      <c r="K793" s="41" t="inlineStr">
        <is>
          <t>103</t>
        </is>
      </c>
      <c r="L793" s="41" t="inlineStr">
        <is>
          <t>6</t>
        </is>
      </c>
      <c r="M793" s="42" t="inlineStr">
        <is>
          <t>개인</t>
        </is>
      </c>
      <c r="N793" s="42" t="inlineStr">
        <is>
          <t>개인</t>
        </is>
      </c>
      <c r="O793" s="41" t="inlineStr">
        <is>
          <t>2017</t>
        </is>
      </c>
      <c r="P793" s="42" t="inlineStr">
        <is>
          <t>서운로 201</t>
        </is>
      </c>
      <c r="Q793" s="41" t="inlineStr">
        <is>
          <t>-</t>
        </is>
      </c>
      <c r="R793" s="42" t="inlineStr">
        <is>
          <t>중개거래</t>
        </is>
      </c>
      <c r="S793" s="42" t="inlineStr">
        <is>
          <t>서울 강남구, 서울 서초구</t>
        </is>
      </c>
      <c r="T793" s="41" t="inlineStr">
        <is>
          <t>25.04.30</t>
        </is>
      </c>
      <c r="U793" s="42" t="inlineStr">
        <is>
          <t>아파트</t>
        </is>
      </c>
    </row>
    <row r="794" hidden="1" ht="15" customHeight="1">
      <c r="A794" s="41" t="n">
        <v>261</v>
      </c>
      <c r="B794" s="42" t="inlineStr">
        <is>
          <t>서울특별시 서초구 서초동</t>
        </is>
      </c>
      <c r="C794" s="41" t="inlineStr">
        <is>
          <t>1681-8</t>
        </is>
      </c>
      <c r="D794" s="41" t="inlineStr">
        <is>
          <t>1681</t>
        </is>
      </c>
      <c r="E794" s="41" t="inlineStr">
        <is>
          <t>0008</t>
        </is>
      </c>
      <c r="F794" s="42" t="inlineStr">
        <is>
          <t>서초롯데캐슬프레지던트</t>
        </is>
      </c>
      <c r="G794" s="41" t="inlineStr">
        <is>
          <t>119.1300</t>
        </is>
      </c>
      <c r="H794" s="41" t="inlineStr">
        <is>
          <t>202502</t>
        </is>
      </c>
      <c r="I794" s="41" t="inlineStr">
        <is>
          <t>19</t>
        </is>
      </c>
      <c r="J794" s="41" t="inlineStr">
        <is>
          <t>300,000</t>
        </is>
      </c>
      <c r="K794" s="41" t="inlineStr">
        <is>
          <t>102</t>
        </is>
      </c>
      <c r="L794" s="41" t="inlineStr">
        <is>
          <t>19</t>
        </is>
      </c>
      <c r="M794" s="42" t="inlineStr">
        <is>
          <t>개인</t>
        </is>
      </c>
      <c r="N794" s="42" t="inlineStr">
        <is>
          <t>개인</t>
        </is>
      </c>
      <c r="O794" s="41" t="inlineStr">
        <is>
          <t>2014</t>
        </is>
      </c>
      <c r="P794" s="42" t="inlineStr">
        <is>
          <t>서초중앙로24길 57</t>
        </is>
      </c>
      <c r="Q794" s="41" t="inlineStr">
        <is>
          <t>-</t>
        </is>
      </c>
      <c r="R794" s="42" t="inlineStr">
        <is>
          <t>중개거래</t>
        </is>
      </c>
      <c r="S794" s="42" t="inlineStr">
        <is>
          <t>서울 서초구, 서울 용산구</t>
        </is>
      </c>
      <c r="T794" s="41" t="inlineStr">
        <is>
          <t>25.04.03</t>
        </is>
      </c>
      <c r="U794" s="42" t="inlineStr">
        <is>
          <t>아파트</t>
        </is>
      </c>
    </row>
    <row r="795" hidden="1" ht="15" customHeight="1">
      <c r="A795" s="41" t="n">
        <v>262</v>
      </c>
      <c r="B795" s="42" t="inlineStr">
        <is>
          <t>서울특별시 서초구 서초동</t>
        </is>
      </c>
      <c r="C795" s="41" t="inlineStr">
        <is>
          <t>1363-25</t>
        </is>
      </c>
      <c r="D795" s="41" t="inlineStr">
        <is>
          <t>1363</t>
        </is>
      </c>
      <c r="E795" s="41" t="inlineStr">
        <is>
          <t>0025</t>
        </is>
      </c>
      <c r="F795" s="42" t="inlineStr">
        <is>
          <t>한라비발디스튜디오193</t>
        </is>
      </c>
      <c r="G795" s="41" t="inlineStr">
        <is>
          <t>19.9900</t>
        </is>
      </c>
      <c r="H795" s="41" t="inlineStr">
        <is>
          <t>202502</t>
        </is>
      </c>
      <c r="I795" s="41" t="inlineStr">
        <is>
          <t>19</t>
        </is>
      </c>
      <c r="J795" s="41" t="inlineStr">
        <is>
          <t>24,900</t>
        </is>
      </c>
      <c r="K795" s="42" t="inlineStr">
        <is>
          <t>한라비발디스튜디오193</t>
        </is>
      </c>
      <c r="L795" s="41" t="inlineStr">
        <is>
          <t>11</t>
        </is>
      </c>
      <c r="M795" s="42" t="inlineStr">
        <is>
          <t>개인</t>
        </is>
      </c>
      <c r="N795" s="42" t="inlineStr">
        <is>
          <t>개인</t>
        </is>
      </c>
      <c r="O795" s="41" t="inlineStr">
        <is>
          <t>2013</t>
        </is>
      </c>
      <c r="P795" s="42" t="inlineStr">
        <is>
          <t>강남대로39길 15-10</t>
        </is>
      </c>
      <c r="Q795" s="41" t="inlineStr">
        <is>
          <t>-</t>
        </is>
      </c>
      <c r="R795" s="42" t="inlineStr">
        <is>
          <t>중개거래</t>
        </is>
      </c>
      <c r="S795" s="42" t="inlineStr">
        <is>
          <t>서울 서초구</t>
        </is>
      </c>
      <c r="T795" s="41" t="inlineStr">
        <is>
          <t>25.03.13</t>
        </is>
      </c>
      <c r="U795" s="42" t="inlineStr">
        <is>
          <t>아파트</t>
        </is>
      </c>
    </row>
    <row r="796" hidden="1" ht="15" customHeight="1">
      <c r="A796" s="41" t="n">
        <v>263</v>
      </c>
      <c r="B796" s="42" t="inlineStr">
        <is>
          <t>서울특별시 서초구 서초동</t>
        </is>
      </c>
      <c r="C796" s="41" t="inlineStr">
        <is>
          <t>1682</t>
        </is>
      </c>
      <c r="D796" s="41" t="inlineStr">
        <is>
          <t>1682</t>
        </is>
      </c>
      <c r="E796" s="41" t="inlineStr">
        <is>
          <t>0000</t>
        </is>
      </c>
      <c r="F796" s="42" t="inlineStr">
        <is>
          <t>서초래미안</t>
        </is>
      </c>
      <c r="G796" s="41" t="inlineStr">
        <is>
          <t>111.3200</t>
        </is>
      </c>
      <c r="H796" s="41" t="inlineStr">
        <is>
          <t>202502</t>
        </is>
      </c>
      <c r="I796" s="41" t="inlineStr">
        <is>
          <t>19</t>
        </is>
      </c>
      <c r="J796" s="41" t="inlineStr">
        <is>
          <t>217,000</t>
        </is>
      </c>
      <c r="K796" s="41" t="inlineStr">
        <is>
          <t>106</t>
        </is>
      </c>
      <c r="L796" s="41" t="inlineStr">
        <is>
          <t>10</t>
        </is>
      </c>
      <c r="M796" s="42" t="inlineStr">
        <is>
          <t>개인</t>
        </is>
      </c>
      <c r="N796" s="42" t="inlineStr">
        <is>
          <t>개인</t>
        </is>
      </c>
      <c r="O796" s="41" t="inlineStr">
        <is>
          <t>2003</t>
        </is>
      </c>
      <c r="P796" s="42" t="inlineStr">
        <is>
          <t>서초대로65길 13-10</t>
        </is>
      </c>
      <c r="Q796" s="41" t="inlineStr">
        <is>
          <t>-</t>
        </is>
      </c>
      <c r="R796" s="42" t="inlineStr">
        <is>
          <t>직거래</t>
        </is>
      </c>
      <c r="S796" s="41" t="inlineStr">
        <is>
          <t>-</t>
        </is>
      </c>
      <c r="T796" s="41" t="inlineStr">
        <is>
          <t>25.05.15</t>
        </is>
      </c>
      <c r="U796" s="42" t="inlineStr">
        <is>
          <t>아파트</t>
        </is>
      </c>
    </row>
    <row r="797" hidden="1" ht="15" customHeight="1">
      <c r="A797" s="41" t="n">
        <v>264</v>
      </c>
      <c r="B797" s="42" t="inlineStr">
        <is>
          <t>서울특별시 서초구 서초동</t>
        </is>
      </c>
      <c r="C797" s="41" t="inlineStr">
        <is>
          <t>1685</t>
        </is>
      </c>
      <c r="D797" s="41" t="inlineStr">
        <is>
          <t>1685</t>
        </is>
      </c>
      <c r="E797" s="41" t="inlineStr">
        <is>
          <t>0000</t>
        </is>
      </c>
      <c r="F797" s="42" t="inlineStr">
        <is>
          <t>삼풍아파트</t>
        </is>
      </c>
      <c r="G797" s="41" t="inlineStr">
        <is>
          <t>79.4700</t>
        </is>
      </c>
      <c r="H797" s="41" t="inlineStr">
        <is>
          <t>202502</t>
        </is>
      </c>
      <c r="I797" s="41" t="inlineStr">
        <is>
          <t>19</t>
        </is>
      </c>
      <c r="J797" s="41" t="inlineStr">
        <is>
          <t>222,500</t>
        </is>
      </c>
      <c r="K797" s="41" t="inlineStr">
        <is>
          <t>7</t>
        </is>
      </c>
      <c r="L797" s="41" t="inlineStr">
        <is>
          <t>6</t>
        </is>
      </c>
      <c r="M797" s="42" t="inlineStr">
        <is>
          <t>개인</t>
        </is>
      </c>
      <c r="N797" s="42" t="inlineStr">
        <is>
          <t>개인</t>
        </is>
      </c>
      <c r="O797" s="41" t="inlineStr">
        <is>
          <t>1988</t>
        </is>
      </c>
      <c r="P797" s="42" t="inlineStr">
        <is>
          <t>서초중앙로 200</t>
        </is>
      </c>
      <c r="Q797" s="41" t="inlineStr">
        <is>
          <t>-</t>
        </is>
      </c>
      <c r="R797" s="42" t="inlineStr">
        <is>
          <t>직거래</t>
        </is>
      </c>
      <c r="S797" s="41" t="inlineStr">
        <is>
          <t>-</t>
        </is>
      </c>
      <c r="T797" s="41" t="inlineStr">
        <is>
          <t>25.03.14</t>
        </is>
      </c>
      <c r="U797" s="42" t="inlineStr">
        <is>
          <t>아파트</t>
        </is>
      </c>
    </row>
    <row r="798" hidden="1" ht="15" customHeight="1">
      <c r="A798" s="41" t="n">
        <v>265</v>
      </c>
      <c r="B798" s="42" t="inlineStr">
        <is>
          <t>서울특별시 서초구 서초동</t>
        </is>
      </c>
      <c r="C798" s="41" t="inlineStr">
        <is>
          <t>1757</t>
        </is>
      </c>
      <c r="D798" s="41" t="inlineStr">
        <is>
          <t>1757</t>
        </is>
      </c>
      <c r="E798" s="41" t="inlineStr">
        <is>
          <t>0000</t>
        </is>
      </c>
      <c r="F798" s="42" t="inlineStr">
        <is>
          <t>서초그랑자이</t>
        </is>
      </c>
      <c r="G798" s="41" t="inlineStr">
        <is>
          <t>119.4100</t>
        </is>
      </c>
      <c r="H798" s="41" t="inlineStr">
        <is>
          <t>202502</t>
        </is>
      </c>
      <c r="I798" s="41" t="inlineStr">
        <is>
          <t>19</t>
        </is>
      </c>
      <c r="J798" s="41" t="inlineStr">
        <is>
          <t>450,000</t>
        </is>
      </c>
      <c r="K798" s="41" t="inlineStr">
        <is>
          <t>106동</t>
        </is>
      </c>
      <c r="L798" s="41" t="inlineStr">
        <is>
          <t>19</t>
        </is>
      </c>
      <c r="M798" s="42" t="inlineStr">
        <is>
          <t>개인</t>
        </is>
      </c>
      <c r="N798" s="42" t="inlineStr">
        <is>
          <t>개인</t>
        </is>
      </c>
      <c r="O798" s="41" t="inlineStr">
        <is>
          <t>2021</t>
        </is>
      </c>
      <c r="P798" s="42" t="inlineStr">
        <is>
          <t>효령로 391</t>
        </is>
      </c>
      <c r="Q798" s="41" t="inlineStr">
        <is>
          <t>-</t>
        </is>
      </c>
      <c r="R798" s="42" t="inlineStr">
        <is>
          <t>중개거래</t>
        </is>
      </c>
      <c r="S798" s="42" t="inlineStr">
        <is>
          <t>서울 서초구</t>
        </is>
      </c>
      <c r="T798" s="41" t="inlineStr">
        <is>
          <t>25.04.01</t>
        </is>
      </c>
      <c r="U798" s="42" t="inlineStr">
        <is>
          <t>아파트</t>
        </is>
      </c>
    </row>
    <row r="799" hidden="1" ht="15" customHeight="1">
      <c r="A799" s="41" t="n">
        <v>266</v>
      </c>
      <c r="B799" s="42" t="inlineStr">
        <is>
          <t>서울특별시 서초구 서초동</t>
        </is>
      </c>
      <c r="C799" s="41" t="inlineStr">
        <is>
          <t>1311-10</t>
        </is>
      </c>
      <c r="D799" s="41" t="inlineStr">
        <is>
          <t>1311</t>
        </is>
      </c>
      <c r="E799" s="41" t="inlineStr">
        <is>
          <t>0010</t>
        </is>
      </c>
      <c r="F799" s="42" t="inlineStr">
        <is>
          <t>서초푸르지오써밋</t>
        </is>
      </c>
      <c r="G799" s="41" t="inlineStr">
        <is>
          <t>74.9600</t>
        </is>
      </c>
      <c r="H799" s="41" t="inlineStr">
        <is>
          <t>202502</t>
        </is>
      </c>
      <c r="I799" s="41" t="inlineStr">
        <is>
          <t>19</t>
        </is>
      </c>
      <c r="J799" s="41" t="inlineStr">
        <is>
          <t>270,000</t>
        </is>
      </c>
      <c r="K799" s="41" t="inlineStr">
        <is>
          <t>104</t>
        </is>
      </c>
      <c r="L799" s="41" t="inlineStr">
        <is>
          <t>2</t>
        </is>
      </c>
      <c r="M799" s="42" t="inlineStr">
        <is>
          <t>개인</t>
        </is>
      </c>
      <c r="N799" s="42" t="inlineStr">
        <is>
          <t>개인</t>
        </is>
      </c>
      <c r="O799" s="41" t="inlineStr">
        <is>
          <t>2017</t>
        </is>
      </c>
      <c r="P799" s="42" t="inlineStr">
        <is>
          <t>서운로 201</t>
        </is>
      </c>
      <c r="Q799" s="41" t="inlineStr">
        <is>
          <t>-</t>
        </is>
      </c>
      <c r="R799" s="42" t="inlineStr">
        <is>
          <t>중개거래</t>
        </is>
      </c>
      <c r="S799" s="42" t="inlineStr">
        <is>
          <t>서울 서초구</t>
        </is>
      </c>
      <c r="T799" s="41" t="inlineStr">
        <is>
          <t>25.05.30</t>
        </is>
      </c>
      <c r="U799" s="42" t="inlineStr">
        <is>
          <t>아파트</t>
        </is>
      </c>
    </row>
    <row r="800" hidden="1" ht="15" customHeight="1">
      <c r="A800" s="41" t="n">
        <v>267</v>
      </c>
      <c r="B800" s="42" t="inlineStr">
        <is>
          <t>서울특별시 서초구 서초동</t>
        </is>
      </c>
      <c r="C800" s="41" t="inlineStr">
        <is>
          <t>1685</t>
        </is>
      </c>
      <c r="D800" s="41" t="inlineStr">
        <is>
          <t>1685</t>
        </is>
      </c>
      <c r="E800" s="41" t="inlineStr">
        <is>
          <t>0000</t>
        </is>
      </c>
      <c r="F800" s="42" t="inlineStr">
        <is>
          <t>삼풍아파트</t>
        </is>
      </c>
      <c r="G800" s="41" t="inlineStr">
        <is>
          <t>79.4700</t>
        </is>
      </c>
      <c r="H800" s="41" t="inlineStr">
        <is>
          <t>202502</t>
        </is>
      </c>
      <c r="I800" s="41" t="inlineStr">
        <is>
          <t>18</t>
        </is>
      </c>
      <c r="J800" s="41" t="inlineStr">
        <is>
          <t>280,000</t>
        </is>
      </c>
      <c r="K800" s="41" t="inlineStr">
        <is>
          <t>9</t>
        </is>
      </c>
      <c r="L800" s="41" t="inlineStr">
        <is>
          <t>2</t>
        </is>
      </c>
      <c r="M800" s="42" t="inlineStr">
        <is>
          <t>개인</t>
        </is>
      </c>
      <c r="N800" s="42" t="inlineStr">
        <is>
          <t>개인</t>
        </is>
      </c>
      <c r="O800" s="41" t="inlineStr">
        <is>
          <t>1988</t>
        </is>
      </c>
      <c r="P800" s="42" t="inlineStr">
        <is>
          <t>서초중앙로 200</t>
        </is>
      </c>
      <c r="Q800" s="41" t="inlineStr">
        <is>
          <t>-</t>
        </is>
      </c>
      <c r="R800" s="42" t="inlineStr">
        <is>
          <t>중개거래</t>
        </is>
      </c>
      <c r="S800" s="42" t="inlineStr">
        <is>
          <t>서울 서초구</t>
        </is>
      </c>
      <c r="T800" s="41" t="inlineStr">
        <is>
          <t>25.05.21</t>
        </is>
      </c>
      <c r="U800" s="42" t="inlineStr">
        <is>
          <t>아파트</t>
        </is>
      </c>
    </row>
    <row r="801" hidden="1" ht="15" customHeight="1">
      <c r="A801" s="41" t="n">
        <v>268</v>
      </c>
      <c r="B801" s="42" t="inlineStr">
        <is>
          <t>서울특별시 서초구 서초동</t>
        </is>
      </c>
      <c r="C801" s="41" t="inlineStr">
        <is>
          <t>1332-13</t>
        </is>
      </c>
      <c r="D801" s="41" t="inlineStr">
        <is>
          <t>1332</t>
        </is>
      </c>
      <c r="E801" s="41" t="inlineStr">
        <is>
          <t>0013</t>
        </is>
      </c>
      <c r="F801" s="42" t="inlineStr">
        <is>
          <t>래미안서초에스티지</t>
        </is>
      </c>
      <c r="G801" s="41" t="inlineStr">
        <is>
          <t>83.6000</t>
        </is>
      </c>
      <c r="H801" s="41" t="inlineStr">
        <is>
          <t>202502</t>
        </is>
      </c>
      <c r="I801" s="41" t="inlineStr">
        <is>
          <t>18</t>
        </is>
      </c>
      <c r="J801" s="41" t="inlineStr">
        <is>
          <t>300,000</t>
        </is>
      </c>
      <c r="K801" s="41" t="inlineStr">
        <is>
          <t>101동</t>
        </is>
      </c>
      <c r="L801" s="41" t="inlineStr">
        <is>
          <t>21</t>
        </is>
      </c>
      <c r="M801" s="42" t="inlineStr">
        <is>
          <t>개인</t>
        </is>
      </c>
      <c r="N801" s="42" t="inlineStr">
        <is>
          <t>개인</t>
        </is>
      </c>
      <c r="O801" s="41" t="inlineStr">
        <is>
          <t>2016</t>
        </is>
      </c>
      <c r="P801" s="42" t="inlineStr">
        <is>
          <t>서운로 107</t>
        </is>
      </c>
      <c r="Q801" s="41" t="inlineStr">
        <is>
          <t>-</t>
        </is>
      </c>
      <c r="R801" s="42" t="inlineStr">
        <is>
          <t>중개거래</t>
        </is>
      </c>
      <c r="S801" s="42" t="inlineStr">
        <is>
          <t>서울 서초구</t>
        </is>
      </c>
      <c r="T801" s="41" t="inlineStr">
        <is>
          <t>25.03.31</t>
        </is>
      </c>
      <c r="U801" s="42" t="inlineStr">
        <is>
          <t>아파트</t>
        </is>
      </c>
    </row>
    <row r="802" hidden="1" ht="15" customHeight="1">
      <c r="A802" s="41" t="n">
        <v>269</v>
      </c>
      <c r="B802" s="42" t="inlineStr">
        <is>
          <t>서울특별시 서초구 서초동</t>
        </is>
      </c>
      <c r="C802" s="41" t="inlineStr">
        <is>
          <t>1311-10</t>
        </is>
      </c>
      <c r="D802" s="41" t="inlineStr">
        <is>
          <t>1311</t>
        </is>
      </c>
      <c r="E802" s="41" t="inlineStr">
        <is>
          <t>0010</t>
        </is>
      </c>
      <c r="F802" s="42" t="inlineStr">
        <is>
          <t>서초푸르지오써밋</t>
        </is>
      </c>
      <c r="G802" s="41" t="inlineStr">
        <is>
          <t>97.7000</t>
        </is>
      </c>
      <c r="H802" s="41" t="inlineStr">
        <is>
          <t>202502</t>
        </is>
      </c>
      <c r="I802" s="41" t="inlineStr">
        <is>
          <t>18</t>
        </is>
      </c>
      <c r="J802" s="41" t="inlineStr">
        <is>
          <t>325,000</t>
        </is>
      </c>
      <c r="K802" s="41" t="inlineStr">
        <is>
          <t>201</t>
        </is>
      </c>
      <c r="L802" s="41" t="inlineStr">
        <is>
          <t>15</t>
        </is>
      </c>
      <c r="M802" s="42" t="inlineStr">
        <is>
          <t>개인</t>
        </is>
      </c>
      <c r="N802" s="42" t="inlineStr">
        <is>
          <t>개인</t>
        </is>
      </c>
      <c r="O802" s="41" t="inlineStr">
        <is>
          <t>2017</t>
        </is>
      </c>
      <c r="P802" s="42" t="inlineStr">
        <is>
          <t>서운로 212</t>
        </is>
      </c>
      <c r="Q802" s="41" t="inlineStr">
        <is>
          <t>-</t>
        </is>
      </c>
      <c r="R802" s="42" t="inlineStr">
        <is>
          <t>중개거래</t>
        </is>
      </c>
      <c r="S802" s="42" t="inlineStr">
        <is>
          <t>서울 서초구</t>
        </is>
      </c>
      <c r="T802" s="41" t="inlineStr">
        <is>
          <t>25.04.22</t>
        </is>
      </c>
      <c r="U802" s="42" t="inlineStr">
        <is>
          <t>아파트</t>
        </is>
      </c>
    </row>
    <row r="803" hidden="1" ht="15" customHeight="1">
      <c r="A803" s="41" t="n">
        <v>270</v>
      </c>
      <c r="B803" s="42" t="inlineStr">
        <is>
          <t>서울특별시 서초구 서초동</t>
        </is>
      </c>
      <c r="C803" s="41" t="inlineStr">
        <is>
          <t>1332-13</t>
        </is>
      </c>
      <c r="D803" s="41" t="inlineStr">
        <is>
          <t>1332</t>
        </is>
      </c>
      <c r="E803" s="41" t="inlineStr">
        <is>
          <t>0013</t>
        </is>
      </c>
      <c r="F803" s="42" t="inlineStr">
        <is>
          <t>래미안서초에스티지</t>
        </is>
      </c>
      <c r="G803" s="41" t="inlineStr">
        <is>
          <t>83.6000</t>
        </is>
      </c>
      <c r="H803" s="41" t="inlineStr">
        <is>
          <t>202502</t>
        </is>
      </c>
      <c r="I803" s="41" t="inlineStr">
        <is>
          <t>18</t>
        </is>
      </c>
      <c r="J803" s="41" t="inlineStr">
        <is>
          <t>295,000</t>
        </is>
      </c>
      <c r="K803" s="41" t="inlineStr">
        <is>
          <t>101동</t>
        </is>
      </c>
      <c r="L803" s="41" t="inlineStr">
        <is>
          <t>15</t>
        </is>
      </c>
      <c r="M803" s="42" t="inlineStr">
        <is>
          <t>개인</t>
        </is>
      </c>
      <c r="N803" s="42" t="inlineStr">
        <is>
          <t>개인</t>
        </is>
      </c>
      <c r="O803" s="41" t="inlineStr">
        <is>
          <t>2016</t>
        </is>
      </c>
      <c r="P803" s="42" t="inlineStr">
        <is>
          <t>서운로 107</t>
        </is>
      </c>
      <c r="Q803" s="41" t="inlineStr">
        <is>
          <t>-</t>
        </is>
      </c>
      <c r="R803" s="42" t="inlineStr">
        <is>
          <t>중개거래</t>
        </is>
      </c>
      <c r="S803" s="42" t="inlineStr">
        <is>
          <t>서울 서초구</t>
        </is>
      </c>
      <c r="T803" s="41" t="inlineStr">
        <is>
          <t>25.07.04</t>
        </is>
      </c>
      <c r="U803" s="42" t="inlineStr">
        <is>
          <t>아파트</t>
        </is>
      </c>
    </row>
    <row r="804" hidden="1" ht="15" customHeight="1">
      <c r="A804" s="41" t="n">
        <v>271</v>
      </c>
      <c r="B804" s="42" t="inlineStr">
        <is>
          <t>서울특별시 서초구 서초동</t>
        </is>
      </c>
      <c r="C804" s="41" t="inlineStr">
        <is>
          <t>1350-13</t>
        </is>
      </c>
      <c r="D804" s="41" t="inlineStr">
        <is>
          <t>1350</t>
        </is>
      </c>
      <c r="E804" s="41" t="inlineStr">
        <is>
          <t>0013</t>
        </is>
      </c>
      <c r="F804" s="42" t="inlineStr">
        <is>
          <t>동원베네스트아파트</t>
        </is>
      </c>
      <c r="G804" s="41" t="inlineStr">
        <is>
          <t>84.9000</t>
        </is>
      </c>
      <c r="H804" s="41" t="inlineStr">
        <is>
          <t>202502</t>
        </is>
      </c>
      <c r="I804" s="41" t="inlineStr">
        <is>
          <t>18</t>
        </is>
      </c>
      <c r="J804" s="41" t="inlineStr">
        <is>
          <t>154,700</t>
        </is>
      </c>
      <c r="K804" s="41" t="inlineStr">
        <is>
          <t>101</t>
        </is>
      </c>
      <c r="L804" s="41" t="inlineStr">
        <is>
          <t>5</t>
        </is>
      </c>
      <c r="M804" s="42" t="inlineStr">
        <is>
          <t>개인</t>
        </is>
      </c>
      <c r="N804" s="42" t="inlineStr">
        <is>
          <t>개인</t>
        </is>
      </c>
      <c r="O804" s="41" t="inlineStr">
        <is>
          <t>2002</t>
        </is>
      </c>
      <c r="P804" s="42" t="inlineStr">
        <is>
          <t>효령로74길 57</t>
        </is>
      </c>
      <c r="Q804" s="41" t="inlineStr">
        <is>
          <t>-</t>
        </is>
      </c>
      <c r="R804" s="42" t="inlineStr">
        <is>
          <t>중개거래</t>
        </is>
      </c>
      <c r="S804" s="42" t="inlineStr">
        <is>
          <t>서울 서초구</t>
        </is>
      </c>
      <c r="T804" s="41" t="inlineStr">
        <is>
          <t>25.04.22</t>
        </is>
      </c>
      <c r="U804" s="42" t="inlineStr">
        <is>
          <t>아파트</t>
        </is>
      </c>
    </row>
    <row r="805" hidden="1" ht="15" customHeight="1">
      <c r="A805" s="41" t="n">
        <v>272</v>
      </c>
      <c r="B805" s="42" t="inlineStr">
        <is>
          <t>서울특별시 서초구 서초동</t>
        </is>
      </c>
      <c r="C805" s="41" t="inlineStr">
        <is>
          <t>1685</t>
        </is>
      </c>
      <c r="D805" s="41" t="inlineStr">
        <is>
          <t>1685</t>
        </is>
      </c>
      <c r="E805" s="41" t="inlineStr">
        <is>
          <t>0000</t>
        </is>
      </c>
      <c r="F805" s="42" t="inlineStr">
        <is>
          <t>삼풍아파트</t>
        </is>
      </c>
      <c r="G805" s="41" t="inlineStr">
        <is>
          <t>130.7300</t>
        </is>
      </c>
      <c r="H805" s="41" t="inlineStr">
        <is>
          <t>202502</t>
        </is>
      </c>
      <c r="I805" s="41" t="inlineStr">
        <is>
          <t>18</t>
        </is>
      </c>
      <c r="J805" s="41" t="inlineStr">
        <is>
          <t>390,000</t>
        </is>
      </c>
      <c r="K805" s="41" t="inlineStr">
        <is>
          <t>16</t>
        </is>
      </c>
      <c r="L805" s="41" t="inlineStr">
        <is>
          <t>6</t>
        </is>
      </c>
      <c r="M805" s="42" t="inlineStr">
        <is>
          <t>개인</t>
        </is>
      </c>
      <c r="N805" s="42" t="inlineStr">
        <is>
          <t>개인</t>
        </is>
      </c>
      <c r="O805" s="41" t="inlineStr">
        <is>
          <t>1988</t>
        </is>
      </c>
      <c r="P805" s="42" t="inlineStr">
        <is>
          <t>서초중앙로 200</t>
        </is>
      </c>
      <c r="Q805" s="41" t="inlineStr">
        <is>
          <t>-</t>
        </is>
      </c>
      <c r="R805" s="42" t="inlineStr">
        <is>
          <t>중개거래</t>
        </is>
      </c>
      <c r="S805" s="42" t="inlineStr">
        <is>
          <t>서울 서초구</t>
        </is>
      </c>
      <c r="T805" s="41" t="inlineStr">
        <is>
          <t>25.05.09</t>
        </is>
      </c>
      <c r="U805" s="42" t="inlineStr">
        <is>
          <t>아파트</t>
        </is>
      </c>
    </row>
    <row r="806" hidden="1" ht="15" customHeight="1">
      <c r="A806" s="41" t="n">
        <v>273</v>
      </c>
      <c r="B806" s="42" t="inlineStr">
        <is>
          <t>서울특별시 서초구 서초동</t>
        </is>
      </c>
      <c r="C806" s="41" t="inlineStr">
        <is>
          <t>1757</t>
        </is>
      </c>
      <c r="D806" s="41" t="inlineStr">
        <is>
          <t>1757</t>
        </is>
      </c>
      <c r="E806" s="41" t="inlineStr">
        <is>
          <t>0000</t>
        </is>
      </c>
      <c r="F806" s="42" t="inlineStr">
        <is>
          <t>서초그랑자이</t>
        </is>
      </c>
      <c r="G806" s="41" t="inlineStr">
        <is>
          <t>59.9800</t>
        </is>
      </c>
      <c r="H806" s="41" t="inlineStr">
        <is>
          <t>202502</t>
        </is>
      </c>
      <c r="I806" s="41" t="inlineStr">
        <is>
          <t>18</t>
        </is>
      </c>
      <c r="J806" s="41" t="inlineStr">
        <is>
          <t>275,000</t>
        </is>
      </c>
      <c r="K806" s="41" t="inlineStr">
        <is>
          <t>105동</t>
        </is>
      </c>
      <c r="L806" s="41" t="inlineStr">
        <is>
          <t>9</t>
        </is>
      </c>
      <c r="M806" s="42" t="inlineStr">
        <is>
          <t>개인</t>
        </is>
      </c>
      <c r="N806" s="42" t="inlineStr">
        <is>
          <t>개인</t>
        </is>
      </c>
      <c r="O806" s="41" t="inlineStr">
        <is>
          <t>2021</t>
        </is>
      </c>
      <c r="P806" s="42" t="inlineStr">
        <is>
          <t>효령로 391</t>
        </is>
      </c>
      <c r="Q806" s="41" t="inlineStr">
        <is>
          <t>-</t>
        </is>
      </c>
      <c r="R806" s="42" t="inlineStr">
        <is>
          <t>중개거래</t>
        </is>
      </c>
      <c r="S806" s="42" t="inlineStr">
        <is>
          <t>서울 강남구, 서울 서초구</t>
        </is>
      </c>
      <c r="T806" s="41" t="inlineStr">
        <is>
          <t>25.05.26</t>
        </is>
      </c>
      <c r="U806" s="42" t="inlineStr">
        <is>
          <t>아파트</t>
        </is>
      </c>
    </row>
    <row r="807" hidden="1" ht="15" customHeight="1">
      <c r="A807" s="41" t="n">
        <v>274</v>
      </c>
      <c r="B807" s="42" t="inlineStr">
        <is>
          <t>서울특별시 서초구 서초동</t>
        </is>
      </c>
      <c r="C807" s="41" t="inlineStr">
        <is>
          <t>1311-10</t>
        </is>
      </c>
      <c r="D807" s="41" t="inlineStr">
        <is>
          <t>1311</t>
        </is>
      </c>
      <c r="E807" s="41" t="inlineStr">
        <is>
          <t>0010</t>
        </is>
      </c>
      <c r="F807" s="42" t="inlineStr">
        <is>
          <t>서초푸르지오써밋</t>
        </is>
      </c>
      <c r="G807" s="41" t="inlineStr">
        <is>
          <t>74.9600</t>
        </is>
      </c>
      <c r="H807" s="41" t="inlineStr">
        <is>
          <t>202502</t>
        </is>
      </c>
      <c r="I807" s="41" t="inlineStr">
        <is>
          <t>17</t>
        </is>
      </c>
      <c r="J807" s="41" t="inlineStr">
        <is>
          <t>281,000</t>
        </is>
      </c>
      <c r="K807" s="41" t="inlineStr">
        <is>
          <t>-</t>
        </is>
      </c>
      <c r="L807" s="41" t="inlineStr">
        <is>
          <t>17</t>
        </is>
      </c>
      <c r="M807" s="42" t="inlineStr">
        <is>
          <t>개인</t>
        </is>
      </c>
      <c r="N807" s="42" t="inlineStr">
        <is>
          <t>개인</t>
        </is>
      </c>
      <c r="O807" s="41" t="inlineStr">
        <is>
          <t>2017</t>
        </is>
      </c>
      <c r="P807" s="42" t="inlineStr">
        <is>
          <t>서운로 201</t>
        </is>
      </c>
      <c r="Q807" s="41" t="inlineStr">
        <is>
          <t>20250319</t>
        </is>
      </c>
      <c r="R807" s="42" t="inlineStr">
        <is>
          <t>중개거래</t>
        </is>
      </c>
      <c r="S807" s="42" t="inlineStr">
        <is>
          <t>서울 서초구</t>
        </is>
      </c>
      <c r="T807" s="41" t="inlineStr">
        <is>
          <t>-</t>
        </is>
      </c>
      <c r="U807" s="42" t="inlineStr">
        <is>
          <t>아파트</t>
        </is>
      </c>
    </row>
    <row r="808" hidden="1" ht="15" customHeight="1">
      <c r="A808" s="41" t="n">
        <v>275</v>
      </c>
      <c r="B808" s="42" t="inlineStr">
        <is>
          <t>서울특별시 서초구 서초동</t>
        </is>
      </c>
      <c r="C808" s="41" t="inlineStr">
        <is>
          <t>1682</t>
        </is>
      </c>
      <c r="D808" s="41" t="inlineStr">
        <is>
          <t>1682</t>
        </is>
      </c>
      <c r="E808" s="41" t="inlineStr">
        <is>
          <t>0000</t>
        </is>
      </c>
      <c r="F808" s="42" t="inlineStr">
        <is>
          <t>서초래미안</t>
        </is>
      </c>
      <c r="G808" s="41" t="inlineStr">
        <is>
          <t>96.8700</t>
        </is>
      </c>
      <c r="H808" s="41" t="inlineStr">
        <is>
          <t>202502</t>
        </is>
      </c>
      <c r="I808" s="41" t="inlineStr">
        <is>
          <t>17</t>
        </is>
      </c>
      <c r="J808" s="41" t="inlineStr">
        <is>
          <t>242,000</t>
        </is>
      </c>
      <c r="K808" s="41" t="inlineStr">
        <is>
          <t>104</t>
        </is>
      </c>
      <c r="L808" s="41" t="inlineStr">
        <is>
          <t>10</t>
        </is>
      </c>
      <c r="M808" s="42" t="inlineStr">
        <is>
          <t>개인</t>
        </is>
      </c>
      <c r="N808" s="42" t="inlineStr">
        <is>
          <t>개인</t>
        </is>
      </c>
      <c r="O808" s="41" t="inlineStr">
        <is>
          <t>2003</t>
        </is>
      </c>
      <c r="P808" s="42" t="inlineStr">
        <is>
          <t>서초대로65길 13-10</t>
        </is>
      </c>
      <c r="Q808" s="41" t="inlineStr">
        <is>
          <t>-</t>
        </is>
      </c>
      <c r="R808" s="42" t="inlineStr">
        <is>
          <t>중개거래</t>
        </is>
      </c>
      <c r="S808" s="42" t="inlineStr">
        <is>
          <t>서울 서초구</t>
        </is>
      </c>
      <c r="T808" s="41" t="inlineStr">
        <is>
          <t>25.05.02</t>
        </is>
      </c>
      <c r="U808" s="42" t="inlineStr">
        <is>
          <t>아파트</t>
        </is>
      </c>
    </row>
    <row r="809" hidden="1" ht="15" customHeight="1">
      <c r="A809" s="41" t="n">
        <v>276</v>
      </c>
      <c r="B809" s="42" t="inlineStr">
        <is>
          <t>서울특별시 서초구 서초동</t>
        </is>
      </c>
      <c r="C809" s="41" t="inlineStr">
        <is>
          <t>1682</t>
        </is>
      </c>
      <c r="D809" s="41" t="inlineStr">
        <is>
          <t>1682</t>
        </is>
      </c>
      <c r="E809" s="41" t="inlineStr">
        <is>
          <t>0000</t>
        </is>
      </c>
      <c r="F809" s="42" t="inlineStr">
        <is>
          <t>서초래미안</t>
        </is>
      </c>
      <c r="G809" s="41" t="inlineStr">
        <is>
          <t>84.9500</t>
        </is>
      </c>
      <c r="H809" s="41" t="inlineStr">
        <is>
          <t>202502</t>
        </is>
      </c>
      <c r="I809" s="41" t="inlineStr">
        <is>
          <t>17</t>
        </is>
      </c>
      <c r="J809" s="41" t="inlineStr">
        <is>
          <t>238,000</t>
        </is>
      </c>
      <c r="K809" s="41" t="inlineStr">
        <is>
          <t>104</t>
        </is>
      </c>
      <c r="L809" s="41" t="inlineStr">
        <is>
          <t>20</t>
        </is>
      </c>
      <c r="M809" s="42" t="inlineStr">
        <is>
          <t>개인</t>
        </is>
      </c>
      <c r="N809" s="42" t="inlineStr">
        <is>
          <t>개인</t>
        </is>
      </c>
      <c r="O809" s="41" t="inlineStr">
        <is>
          <t>2003</t>
        </is>
      </c>
      <c r="P809" s="42" t="inlineStr">
        <is>
          <t>서초대로65길 13-10</t>
        </is>
      </c>
      <c r="Q809" s="41" t="inlineStr">
        <is>
          <t>-</t>
        </is>
      </c>
      <c r="R809" s="42" t="inlineStr">
        <is>
          <t>중개거래</t>
        </is>
      </c>
      <c r="S809" s="42" t="inlineStr">
        <is>
          <t>서울 서초구</t>
        </is>
      </c>
      <c r="T809" s="41" t="inlineStr">
        <is>
          <t>25.06.02</t>
        </is>
      </c>
      <c r="U809" s="42" t="inlineStr">
        <is>
          <t>아파트</t>
        </is>
      </c>
    </row>
    <row r="810" hidden="1" ht="15" customHeight="1">
      <c r="A810" s="41" t="n">
        <v>277</v>
      </c>
      <c r="B810" s="42" t="inlineStr">
        <is>
          <t>서울특별시 서초구 서초동</t>
        </is>
      </c>
      <c r="C810" s="41" t="inlineStr">
        <is>
          <t>1682</t>
        </is>
      </c>
      <c r="D810" s="41" t="inlineStr">
        <is>
          <t>1682</t>
        </is>
      </c>
      <c r="E810" s="41" t="inlineStr">
        <is>
          <t>0000</t>
        </is>
      </c>
      <c r="F810" s="42" t="inlineStr">
        <is>
          <t>서초래미안</t>
        </is>
      </c>
      <c r="G810" s="41" t="inlineStr">
        <is>
          <t>111.9200</t>
        </is>
      </c>
      <c r="H810" s="41" t="inlineStr">
        <is>
          <t>202502</t>
        </is>
      </c>
      <c r="I810" s="41" t="inlineStr">
        <is>
          <t>17</t>
        </is>
      </c>
      <c r="J810" s="41" t="inlineStr">
        <is>
          <t>253,000</t>
        </is>
      </c>
      <c r="K810" s="41" t="inlineStr">
        <is>
          <t>101</t>
        </is>
      </c>
      <c r="L810" s="41" t="inlineStr">
        <is>
          <t>5</t>
        </is>
      </c>
      <c r="M810" s="42" t="inlineStr">
        <is>
          <t>개인</t>
        </is>
      </c>
      <c r="N810" s="42" t="inlineStr">
        <is>
          <t>개인</t>
        </is>
      </c>
      <c r="O810" s="41" t="inlineStr">
        <is>
          <t>2003</t>
        </is>
      </c>
      <c r="P810" s="42" t="inlineStr">
        <is>
          <t>서초대로65길 13-10</t>
        </is>
      </c>
      <c r="Q810" s="41" t="inlineStr">
        <is>
          <t>-</t>
        </is>
      </c>
      <c r="R810" s="42" t="inlineStr">
        <is>
          <t>중개거래</t>
        </is>
      </c>
      <c r="S810" s="42" t="inlineStr">
        <is>
          <t>서울 서초구</t>
        </is>
      </c>
      <c r="T810" s="41" t="inlineStr">
        <is>
          <t>25.03.07</t>
        </is>
      </c>
      <c r="U810" s="42" t="inlineStr">
        <is>
          <t>아파트</t>
        </is>
      </c>
    </row>
    <row r="811" hidden="1" ht="15" customHeight="1">
      <c r="A811" s="41" t="n">
        <v>278</v>
      </c>
      <c r="B811" s="42" t="inlineStr">
        <is>
          <t>서울특별시 서초구 서초동</t>
        </is>
      </c>
      <c r="C811" s="41" t="inlineStr">
        <is>
          <t>1685</t>
        </is>
      </c>
      <c r="D811" s="41" t="inlineStr">
        <is>
          <t>1685</t>
        </is>
      </c>
      <c r="E811" s="41" t="inlineStr">
        <is>
          <t>0000</t>
        </is>
      </c>
      <c r="F811" s="42" t="inlineStr">
        <is>
          <t>삼풍아파트</t>
        </is>
      </c>
      <c r="G811" s="41" t="inlineStr">
        <is>
          <t>163.8100</t>
        </is>
      </c>
      <c r="H811" s="41" t="inlineStr">
        <is>
          <t>202502</t>
        </is>
      </c>
      <c r="I811" s="41" t="inlineStr">
        <is>
          <t>17</t>
        </is>
      </c>
      <c r="J811" s="41" t="inlineStr">
        <is>
          <t>400,000</t>
        </is>
      </c>
      <c r="K811" s="41" t="inlineStr">
        <is>
          <t>21</t>
        </is>
      </c>
      <c r="L811" s="41" t="inlineStr">
        <is>
          <t>2</t>
        </is>
      </c>
      <c r="M811" s="42" t="inlineStr">
        <is>
          <t>개인</t>
        </is>
      </c>
      <c r="N811" s="42" t="inlineStr">
        <is>
          <t>개인</t>
        </is>
      </c>
      <c r="O811" s="41" t="inlineStr">
        <is>
          <t>1988</t>
        </is>
      </c>
      <c r="P811" s="42" t="inlineStr">
        <is>
          <t>서초중앙로 200</t>
        </is>
      </c>
      <c r="Q811" s="41" t="inlineStr">
        <is>
          <t>-</t>
        </is>
      </c>
      <c r="R811" s="42" t="inlineStr">
        <is>
          <t>중개거래</t>
        </is>
      </c>
      <c r="S811" s="42" t="inlineStr">
        <is>
          <t>서울 서초구</t>
        </is>
      </c>
      <c r="T811" s="41" t="inlineStr">
        <is>
          <t>25.06.02</t>
        </is>
      </c>
      <c r="U811" s="42" t="inlineStr">
        <is>
          <t>아파트</t>
        </is>
      </c>
    </row>
    <row r="812" hidden="1" ht="15" customHeight="1">
      <c r="A812" s="41" t="n">
        <v>279</v>
      </c>
      <c r="B812" s="42" t="inlineStr">
        <is>
          <t>서울특별시 서초구 서초동</t>
        </is>
      </c>
      <c r="C812" s="41" t="inlineStr">
        <is>
          <t>1757</t>
        </is>
      </c>
      <c r="D812" s="41" t="inlineStr">
        <is>
          <t>1757</t>
        </is>
      </c>
      <c r="E812" s="41" t="inlineStr">
        <is>
          <t>0000</t>
        </is>
      </c>
      <c r="F812" s="42" t="inlineStr">
        <is>
          <t>서초그랑자이</t>
        </is>
      </c>
      <c r="G812" s="41" t="inlineStr">
        <is>
          <t>119.4100</t>
        </is>
      </c>
      <c r="H812" s="41" t="inlineStr">
        <is>
          <t>202502</t>
        </is>
      </c>
      <c r="I812" s="41" t="inlineStr">
        <is>
          <t>17</t>
        </is>
      </c>
      <c r="J812" s="41" t="inlineStr">
        <is>
          <t>430,000</t>
        </is>
      </c>
      <c r="K812" s="41" t="inlineStr">
        <is>
          <t>107동</t>
        </is>
      </c>
      <c r="L812" s="41" t="inlineStr">
        <is>
          <t>16</t>
        </is>
      </c>
      <c r="M812" s="42" t="inlineStr">
        <is>
          <t>개인</t>
        </is>
      </c>
      <c r="N812" s="42" t="inlineStr">
        <is>
          <t>개인</t>
        </is>
      </c>
      <c r="O812" s="41" t="inlineStr">
        <is>
          <t>2021</t>
        </is>
      </c>
      <c r="P812" s="42" t="inlineStr">
        <is>
          <t>효령로 391</t>
        </is>
      </c>
      <c r="Q812" s="41" t="inlineStr">
        <is>
          <t>-</t>
        </is>
      </c>
      <c r="R812" s="42" t="inlineStr">
        <is>
          <t>중개거래</t>
        </is>
      </c>
      <c r="S812" s="42" t="inlineStr">
        <is>
          <t>서울 동작구, 서울 서초구</t>
        </is>
      </c>
      <c r="T812" s="41" t="inlineStr">
        <is>
          <t>25.06.16</t>
        </is>
      </c>
      <c r="U812" s="42" t="inlineStr">
        <is>
          <t>아파트</t>
        </is>
      </c>
    </row>
    <row r="813" hidden="1" ht="15" customHeight="1">
      <c r="A813" s="41" t="n">
        <v>280</v>
      </c>
      <c r="B813" s="42" t="inlineStr">
        <is>
          <t>서울특별시 서초구 서초동</t>
        </is>
      </c>
      <c r="C813" s="41" t="inlineStr">
        <is>
          <t>1311-10</t>
        </is>
      </c>
      <c r="D813" s="41" t="inlineStr">
        <is>
          <t>1311</t>
        </is>
      </c>
      <c r="E813" s="41" t="inlineStr">
        <is>
          <t>0010</t>
        </is>
      </c>
      <c r="F813" s="42" t="inlineStr">
        <is>
          <t>서초푸르지오써밋</t>
        </is>
      </c>
      <c r="G813" s="41" t="inlineStr">
        <is>
          <t>74.9600</t>
        </is>
      </c>
      <c r="H813" s="41" t="inlineStr">
        <is>
          <t>202502</t>
        </is>
      </c>
      <c r="I813" s="41" t="inlineStr">
        <is>
          <t>17</t>
        </is>
      </c>
      <c r="J813" s="41" t="inlineStr">
        <is>
          <t>281,000</t>
        </is>
      </c>
      <c r="K813" s="41" t="inlineStr">
        <is>
          <t>103</t>
        </is>
      </c>
      <c r="L813" s="41" t="inlineStr">
        <is>
          <t>17</t>
        </is>
      </c>
      <c r="M813" s="42" t="inlineStr">
        <is>
          <t>개인</t>
        </is>
      </c>
      <c r="N813" s="42" t="inlineStr">
        <is>
          <t>개인</t>
        </is>
      </c>
      <c r="O813" s="41" t="inlineStr">
        <is>
          <t>2017</t>
        </is>
      </c>
      <c r="P813" s="42" t="inlineStr">
        <is>
          <t>서운로 201</t>
        </is>
      </c>
      <c r="Q813" s="41" t="inlineStr">
        <is>
          <t>-</t>
        </is>
      </c>
      <c r="R813" s="42" t="inlineStr">
        <is>
          <t>중개거래</t>
        </is>
      </c>
      <c r="S813" s="42" t="inlineStr">
        <is>
          <t>서울 서초구</t>
        </is>
      </c>
      <c r="T813" s="41" t="inlineStr">
        <is>
          <t>25.05.07</t>
        </is>
      </c>
      <c r="U813" s="42" t="inlineStr">
        <is>
          <t>아파트</t>
        </is>
      </c>
    </row>
    <row r="814" hidden="1" ht="15" customHeight="1">
      <c r="A814" s="41" t="n">
        <v>281</v>
      </c>
      <c r="B814" s="42" t="inlineStr">
        <is>
          <t>서울특별시 서초구 서초동</t>
        </is>
      </c>
      <c r="C814" s="41" t="inlineStr">
        <is>
          <t>1311-10</t>
        </is>
      </c>
      <c r="D814" s="41" t="inlineStr">
        <is>
          <t>1311</t>
        </is>
      </c>
      <c r="E814" s="41" t="inlineStr">
        <is>
          <t>0010</t>
        </is>
      </c>
      <c r="F814" s="42" t="inlineStr">
        <is>
          <t>서초푸르지오써밋</t>
        </is>
      </c>
      <c r="G814" s="41" t="inlineStr">
        <is>
          <t>84.9500</t>
        </is>
      </c>
      <c r="H814" s="41" t="inlineStr">
        <is>
          <t>202502</t>
        </is>
      </c>
      <c r="I814" s="41" t="inlineStr">
        <is>
          <t>17</t>
        </is>
      </c>
      <c r="J814" s="41" t="inlineStr">
        <is>
          <t>302,000</t>
        </is>
      </c>
      <c r="K814" s="41" t="inlineStr">
        <is>
          <t>102</t>
        </is>
      </c>
      <c r="L814" s="41" t="inlineStr">
        <is>
          <t>6</t>
        </is>
      </c>
      <c r="M814" s="42" t="inlineStr">
        <is>
          <t>개인</t>
        </is>
      </c>
      <c r="N814" s="42" t="inlineStr">
        <is>
          <t>개인</t>
        </is>
      </c>
      <c r="O814" s="41" t="inlineStr">
        <is>
          <t>2017</t>
        </is>
      </c>
      <c r="P814" s="42" t="inlineStr">
        <is>
          <t>서운로 201</t>
        </is>
      </c>
      <c r="Q814" s="41" t="inlineStr">
        <is>
          <t>-</t>
        </is>
      </c>
      <c r="R814" s="42" t="inlineStr">
        <is>
          <t>중개거래</t>
        </is>
      </c>
      <c r="S814" s="42" t="inlineStr">
        <is>
          <t>서울 서초구</t>
        </is>
      </c>
      <c r="T814" s="41" t="inlineStr">
        <is>
          <t>25.10.28</t>
        </is>
      </c>
      <c r="U814" s="42" t="inlineStr">
        <is>
          <t>아파트</t>
        </is>
      </c>
    </row>
    <row r="815" hidden="1" ht="15" customHeight="1">
      <c r="A815" s="41" t="n">
        <v>282</v>
      </c>
      <c r="B815" s="42" t="inlineStr">
        <is>
          <t>서울특별시 서초구 서초동</t>
        </is>
      </c>
      <c r="C815" s="41" t="inlineStr">
        <is>
          <t>1312-3</t>
        </is>
      </c>
      <c r="D815" s="41" t="inlineStr">
        <is>
          <t>1312</t>
        </is>
      </c>
      <c r="E815" s="41" t="inlineStr">
        <is>
          <t>0003</t>
        </is>
      </c>
      <c r="F815" s="42" t="inlineStr">
        <is>
          <t>롯데캐슬클래식</t>
        </is>
      </c>
      <c r="G815" s="41" t="inlineStr">
        <is>
          <t>74.3000</t>
        </is>
      </c>
      <c r="H815" s="41" t="inlineStr">
        <is>
          <t>202502</t>
        </is>
      </c>
      <c r="I815" s="41" t="inlineStr">
        <is>
          <t>17</t>
        </is>
      </c>
      <c r="J815" s="41" t="inlineStr">
        <is>
          <t>240,000</t>
        </is>
      </c>
      <c r="K815" s="41" t="inlineStr">
        <is>
          <t>114</t>
        </is>
      </c>
      <c r="L815" s="41" t="inlineStr">
        <is>
          <t>22</t>
        </is>
      </c>
      <c r="M815" s="42" t="inlineStr">
        <is>
          <t>개인</t>
        </is>
      </c>
      <c r="N815" s="42" t="inlineStr">
        <is>
          <t>개인</t>
        </is>
      </c>
      <c r="O815" s="41" t="inlineStr">
        <is>
          <t>2006</t>
        </is>
      </c>
      <c r="P815" s="42" t="inlineStr">
        <is>
          <t>서운로 200</t>
        </is>
      </c>
      <c r="Q815" s="41" t="inlineStr">
        <is>
          <t>-</t>
        </is>
      </c>
      <c r="R815" s="42" t="inlineStr">
        <is>
          <t>중개거래</t>
        </is>
      </c>
      <c r="S815" s="42" t="inlineStr">
        <is>
          <t>서울 서초구</t>
        </is>
      </c>
      <c r="T815" s="41" t="inlineStr">
        <is>
          <t>25.05.29</t>
        </is>
      </c>
      <c r="U815" s="42" t="inlineStr">
        <is>
          <t>아파트</t>
        </is>
      </c>
    </row>
    <row r="816" hidden="1" ht="15" customHeight="1">
      <c r="A816" s="41" t="n">
        <v>283</v>
      </c>
      <c r="B816" s="42" t="inlineStr">
        <is>
          <t>서울특별시 서초구 서초동</t>
        </is>
      </c>
      <c r="C816" s="41" t="inlineStr">
        <is>
          <t>1312-3</t>
        </is>
      </c>
      <c r="D816" s="41" t="inlineStr">
        <is>
          <t>1312</t>
        </is>
      </c>
      <c r="E816" s="41" t="inlineStr">
        <is>
          <t>0003</t>
        </is>
      </c>
      <c r="F816" s="42" t="inlineStr">
        <is>
          <t>롯데캐슬클래식</t>
        </is>
      </c>
      <c r="G816" s="41" t="inlineStr">
        <is>
          <t>120.1800</t>
        </is>
      </c>
      <c r="H816" s="41" t="inlineStr">
        <is>
          <t>202502</t>
        </is>
      </c>
      <c r="I816" s="41" t="inlineStr">
        <is>
          <t>17</t>
        </is>
      </c>
      <c r="J816" s="41" t="inlineStr">
        <is>
          <t>330,000</t>
        </is>
      </c>
      <c r="K816" s="41" t="inlineStr">
        <is>
          <t>113</t>
        </is>
      </c>
      <c r="L816" s="41" t="inlineStr">
        <is>
          <t>18</t>
        </is>
      </c>
      <c r="M816" s="42" t="inlineStr">
        <is>
          <t>개인</t>
        </is>
      </c>
      <c r="N816" s="42" t="inlineStr">
        <is>
          <t>개인</t>
        </is>
      </c>
      <c r="O816" s="41" t="inlineStr">
        <is>
          <t>2006</t>
        </is>
      </c>
      <c r="P816" s="42" t="inlineStr">
        <is>
          <t>서운로 200</t>
        </is>
      </c>
      <c r="Q816" s="41" t="inlineStr">
        <is>
          <t>-</t>
        </is>
      </c>
      <c r="R816" s="42" t="inlineStr">
        <is>
          <t>중개거래</t>
        </is>
      </c>
      <c r="S816" s="42" t="inlineStr">
        <is>
          <t>서울 동대문구, 서울 서초구</t>
        </is>
      </c>
      <c r="T816" s="41" t="inlineStr">
        <is>
          <t>25.08.04</t>
        </is>
      </c>
      <c r="U816" s="42" t="inlineStr">
        <is>
          <t>아파트</t>
        </is>
      </c>
    </row>
    <row r="817" hidden="1" ht="15" customHeight="1">
      <c r="A817" s="41" t="n">
        <v>284</v>
      </c>
      <c r="B817" s="42" t="inlineStr">
        <is>
          <t>서울특별시 서초구 서초동</t>
        </is>
      </c>
      <c r="C817" s="41" t="inlineStr">
        <is>
          <t>1757</t>
        </is>
      </c>
      <c r="D817" s="41" t="inlineStr">
        <is>
          <t>1757</t>
        </is>
      </c>
      <c r="E817" s="41" t="inlineStr">
        <is>
          <t>0000</t>
        </is>
      </c>
      <c r="F817" s="42" t="inlineStr">
        <is>
          <t>서초그랑자이</t>
        </is>
      </c>
      <c r="G817" s="41" t="inlineStr">
        <is>
          <t>59.9900</t>
        </is>
      </c>
      <c r="H817" s="41" t="inlineStr">
        <is>
          <t>202502</t>
        </is>
      </c>
      <c r="I817" s="41" t="inlineStr">
        <is>
          <t>16</t>
        </is>
      </c>
      <c r="J817" s="41" t="inlineStr">
        <is>
          <t>270,000</t>
        </is>
      </c>
      <c r="K817" s="41" t="inlineStr">
        <is>
          <t>108동</t>
        </is>
      </c>
      <c r="L817" s="41" t="inlineStr">
        <is>
          <t>24</t>
        </is>
      </c>
      <c r="M817" s="42" t="inlineStr">
        <is>
          <t>개인</t>
        </is>
      </c>
      <c r="N817" s="42" t="inlineStr">
        <is>
          <t>개인</t>
        </is>
      </c>
      <c r="O817" s="41" t="inlineStr">
        <is>
          <t>2021</t>
        </is>
      </c>
      <c r="P817" s="42" t="inlineStr">
        <is>
          <t>효령로 391</t>
        </is>
      </c>
      <c r="Q817" s="41" t="inlineStr">
        <is>
          <t>-</t>
        </is>
      </c>
      <c r="R817" s="42" t="inlineStr">
        <is>
          <t>중개거래</t>
        </is>
      </c>
      <c r="S817" s="42" t="inlineStr">
        <is>
          <t>서울 서초구</t>
        </is>
      </c>
      <c r="T817" s="41" t="inlineStr">
        <is>
          <t>25.05.09</t>
        </is>
      </c>
      <c r="U817" s="42" t="inlineStr">
        <is>
          <t>아파트</t>
        </is>
      </c>
    </row>
    <row r="818" hidden="1" ht="15" customHeight="1">
      <c r="A818" s="41" t="n">
        <v>285</v>
      </c>
      <c r="B818" s="42" t="inlineStr">
        <is>
          <t>서울특별시 서초구 서초동</t>
        </is>
      </c>
      <c r="C818" s="41" t="inlineStr">
        <is>
          <t>1757</t>
        </is>
      </c>
      <c r="D818" s="41" t="inlineStr">
        <is>
          <t>1757</t>
        </is>
      </c>
      <c r="E818" s="41" t="inlineStr">
        <is>
          <t>0000</t>
        </is>
      </c>
      <c r="F818" s="42" t="inlineStr">
        <is>
          <t>서초그랑자이</t>
        </is>
      </c>
      <c r="G818" s="41" t="inlineStr">
        <is>
          <t>100.4100</t>
        </is>
      </c>
      <c r="H818" s="41" t="inlineStr">
        <is>
          <t>202502</t>
        </is>
      </c>
      <c r="I818" s="41" t="inlineStr">
        <is>
          <t>16</t>
        </is>
      </c>
      <c r="J818" s="41" t="inlineStr">
        <is>
          <t>360,000</t>
        </is>
      </c>
      <c r="K818" s="41" t="inlineStr">
        <is>
          <t>106동</t>
        </is>
      </c>
      <c r="L818" s="41" t="inlineStr">
        <is>
          <t>13</t>
        </is>
      </c>
      <c r="M818" s="42" t="inlineStr">
        <is>
          <t>개인</t>
        </is>
      </c>
      <c r="N818" s="42" t="inlineStr">
        <is>
          <t>개인</t>
        </is>
      </c>
      <c r="O818" s="41" t="inlineStr">
        <is>
          <t>2021</t>
        </is>
      </c>
      <c r="P818" s="42" t="inlineStr">
        <is>
          <t>효령로 391</t>
        </is>
      </c>
      <c r="Q818" s="41" t="inlineStr">
        <is>
          <t>-</t>
        </is>
      </c>
      <c r="R818" s="42" t="inlineStr">
        <is>
          <t>중개거래</t>
        </is>
      </c>
      <c r="S818" s="42" t="inlineStr">
        <is>
          <t>서울 서초구</t>
        </is>
      </c>
      <c r="T818" s="41" t="inlineStr">
        <is>
          <t>25.03.17</t>
        </is>
      </c>
      <c r="U818" s="42" t="inlineStr">
        <is>
          <t>아파트</t>
        </is>
      </c>
    </row>
    <row r="819" hidden="1" ht="15" customHeight="1">
      <c r="A819" s="41" t="n">
        <v>286</v>
      </c>
      <c r="B819" s="42" t="inlineStr">
        <is>
          <t>서울특별시 서초구 서초동</t>
        </is>
      </c>
      <c r="C819" s="41" t="inlineStr">
        <is>
          <t>1686-9</t>
        </is>
      </c>
      <c r="D819" s="41" t="inlineStr">
        <is>
          <t>1686</t>
        </is>
      </c>
      <c r="E819" s="41" t="inlineStr">
        <is>
          <t>0009</t>
        </is>
      </c>
      <c r="F819" s="42" t="inlineStr">
        <is>
          <t>서초교대e편한세상</t>
        </is>
      </c>
      <c r="G819" s="41" t="inlineStr">
        <is>
          <t>84.9400</t>
        </is>
      </c>
      <c r="H819" s="41" t="inlineStr">
        <is>
          <t>202502</t>
        </is>
      </c>
      <c r="I819" s="41" t="inlineStr">
        <is>
          <t>16</t>
        </is>
      </c>
      <c r="J819" s="41" t="inlineStr">
        <is>
          <t>271,000</t>
        </is>
      </c>
      <c r="K819" s="41" t="inlineStr">
        <is>
          <t>103</t>
        </is>
      </c>
      <c r="L819" s="41" t="inlineStr">
        <is>
          <t>12</t>
        </is>
      </c>
      <c r="M819" s="42" t="inlineStr">
        <is>
          <t>개인</t>
        </is>
      </c>
      <c r="N819" s="42" t="inlineStr">
        <is>
          <t>개인</t>
        </is>
      </c>
      <c r="O819" s="41" t="inlineStr">
        <is>
          <t>2010</t>
        </is>
      </c>
      <c r="P819" s="42" t="inlineStr">
        <is>
          <t>서초중앙로24길 33</t>
        </is>
      </c>
      <c r="Q819" s="41" t="inlineStr">
        <is>
          <t>-</t>
        </is>
      </c>
      <c r="R819" s="42" t="inlineStr">
        <is>
          <t>중개거래</t>
        </is>
      </c>
      <c r="S819" s="42" t="inlineStr">
        <is>
          <t>서울 서초구</t>
        </is>
      </c>
      <c r="T819" s="41" t="inlineStr">
        <is>
          <t>25.06.16</t>
        </is>
      </c>
      <c r="U819" s="42" t="inlineStr">
        <is>
          <t>아파트</t>
        </is>
      </c>
    </row>
    <row r="820" hidden="1" ht="15" customHeight="1">
      <c r="A820" s="41" t="n">
        <v>287</v>
      </c>
      <c r="B820" s="42" t="inlineStr">
        <is>
          <t>서울특별시 서초구 서초동</t>
        </is>
      </c>
      <c r="C820" s="41" t="inlineStr">
        <is>
          <t>1648-2</t>
        </is>
      </c>
      <c r="D820" s="41" t="inlineStr">
        <is>
          <t>1648</t>
        </is>
      </c>
      <c r="E820" s="41" t="inlineStr">
        <is>
          <t>0002</t>
        </is>
      </c>
      <c r="F820" s="42" t="inlineStr">
        <is>
          <t>서초현대</t>
        </is>
      </c>
      <c r="G820" s="41" t="inlineStr">
        <is>
          <t>53.0100</t>
        </is>
      </c>
      <c r="H820" s="41" t="inlineStr">
        <is>
          <t>202502</t>
        </is>
      </c>
      <c r="I820" s="41" t="inlineStr">
        <is>
          <t>16</t>
        </is>
      </c>
      <c r="J820" s="41" t="inlineStr">
        <is>
          <t>126,000</t>
        </is>
      </c>
      <c r="K820" s="41" t="inlineStr">
        <is>
          <t>102</t>
        </is>
      </c>
      <c r="L820" s="41" t="inlineStr">
        <is>
          <t>8</t>
        </is>
      </c>
      <c r="M820" s="42" t="inlineStr">
        <is>
          <t>개인</t>
        </is>
      </c>
      <c r="N820" s="42" t="inlineStr">
        <is>
          <t>개인</t>
        </is>
      </c>
      <c r="O820" s="41" t="inlineStr">
        <is>
          <t>1999</t>
        </is>
      </c>
      <c r="P820" s="42" t="inlineStr">
        <is>
          <t>사임당로19길 10</t>
        </is>
      </c>
      <c r="Q820" s="41" t="inlineStr">
        <is>
          <t>-</t>
        </is>
      </c>
      <c r="R820" s="42" t="inlineStr">
        <is>
          <t>중개거래</t>
        </is>
      </c>
      <c r="S820" s="42" t="inlineStr">
        <is>
          <t>서울 서초구</t>
        </is>
      </c>
      <c r="T820" s="41" t="inlineStr">
        <is>
          <t>25.05.14</t>
        </is>
      </c>
      <c r="U820" s="42" t="inlineStr">
        <is>
          <t>아파트</t>
        </is>
      </c>
    </row>
    <row r="821" hidden="1" ht="15" customHeight="1">
      <c r="A821" s="41" t="n">
        <v>288</v>
      </c>
      <c r="B821" s="42" t="inlineStr">
        <is>
          <t>서울특별시 서초구 서초동</t>
        </is>
      </c>
      <c r="C821" s="41" t="inlineStr">
        <is>
          <t>1509-1</t>
        </is>
      </c>
      <c r="D821" s="41" t="inlineStr">
        <is>
          <t>1509</t>
        </is>
      </c>
      <c r="E821" s="41" t="inlineStr">
        <is>
          <t>0001</t>
        </is>
      </c>
      <c r="F821" s="42" t="inlineStr">
        <is>
          <t>서초한빛삼성</t>
        </is>
      </c>
      <c r="G821" s="41" t="inlineStr">
        <is>
          <t>99.0600</t>
        </is>
      </c>
      <c r="H821" s="41" t="inlineStr">
        <is>
          <t>202502</t>
        </is>
      </c>
      <c r="I821" s="41" t="inlineStr">
        <is>
          <t>15</t>
        </is>
      </c>
      <c r="J821" s="41" t="inlineStr">
        <is>
          <t>170,000</t>
        </is>
      </c>
      <c r="K821" s="41" t="inlineStr">
        <is>
          <t>102</t>
        </is>
      </c>
      <c r="L821" s="41" t="inlineStr">
        <is>
          <t>2</t>
        </is>
      </c>
      <c r="M821" s="42" t="inlineStr">
        <is>
          <t>개인</t>
        </is>
      </c>
      <c r="N821" s="42" t="inlineStr">
        <is>
          <t>개인</t>
        </is>
      </c>
      <c r="O821" s="41" t="inlineStr">
        <is>
          <t>1999</t>
        </is>
      </c>
      <c r="P821" s="42" t="inlineStr">
        <is>
          <t>서초대로40길 72</t>
        </is>
      </c>
      <c r="Q821" s="41" t="inlineStr">
        <is>
          <t>-</t>
        </is>
      </c>
      <c r="R821" s="42" t="inlineStr">
        <is>
          <t>중개거래</t>
        </is>
      </c>
      <c r="S821" s="42" t="inlineStr">
        <is>
          <t>서울 서초구</t>
        </is>
      </c>
      <c r="T821" s="41" t="inlineStr">
        <is>
          <t>25.12.23</t>
        </is>
      </c>
      <c r="U821" s="42" t="inlineStr">
        <is>
          <t>아파트</t>
        </is>
      </c>
    </row>
    <row r="822" hidden="1" ht="15" customHeight="1">
      <c r="A822" s="41" t="n">
        <v>289</v>
      </c>
      <c r="B822" s="42" t="inlineStr">
        <is>
          <t>서울특별시 서초구 서초동</t>
        </is>
      </c>
      <c r="C822" s="41" t="inlineStr">
        <is>
          <t>1685</t>
        </is>
      </c>
      <c r="D822" s="41" t="inlineStr">
        <is>
          <t>1685</t>
        </is>
      </c>
      <c r="E822" s="41" t="inlineStr">
        <is>
          <t>0000</t>
        </is>
      </c>
      <c r="F822" s="42" t="inlineStr">
        <is>
          <t>삼풍아파트</t>
        </is>
      </c>
      <c r="G822" s="41" t="inlineStr">
        <is>
          <t>130.2300</t>
        </is>
      </c>
      <c r="H822" s="41" t="inlineStr">
        <is>
          <t>202502</t>
        </is>
      </c>
      <c r="I822" s="41" t="inlineStr">
        <is>
          <t>15</t>
        </is>
      </c>
      <c r="J822" s="41" t="inlineStr">
        <is>
          <t>385,000</t>
        </is>
      </c>
      <c r="K822" s="41" t="inlineStr">
        <is>
          <t>24</t>
        </is>
      </c>
      <c r="L822" s="41" t="inlineStr">
        <is>
          <t>8</t>
        </is>
      </c>
      <c r="M822" s="42" t="inlineStr">
        <is>
          <t>개인</t>
        </is>
      </c>
      <c r="N822" s="42" t="inlineStr">
        <is>
          <t>개인</t>
        </is>
      </c>
      <c r="O822" s="41" t="inlineStr">
        <is>
          <t>1988</t>
        </is>
      </c>
      <c r="P822" s="42" t="inlineStr">
        <is>
          <t>서초중앙로 200</t>
        </is>
      </c>
      <c r="Q822" s="41" t="inlineStr">
        <is>
          <t>-</t>
        </is>
      </c>
      <c r="R822" s="42" t="inlineStr">
        <is>
          <t>중개거래</t>
        </is>
      </c>
      <c r="S822" s="42" t="inlineStr">
        <is>
          <t>서울 서초구</t>
        </is>
      </c>
      <c r="T822" s="41" t="inlineStr">
        <is>
          <t>25.05.30</t>
        </is>
      </c>
      <c r="U822" s="42" t="inlineStr">
        <is>
          <t>아파트</t>
        </is>
      </c>
    </row>
    <row r="823" hidden="1" ht="15" customHeight="1">
      <c r="A823" s="41" t="n">
        <v>290</v>
      </c>
      <c r="B823" s="42" t="inlineStr">
        <is>
          <t>서울특별시 서초구 서초동</t>
        </is>
      </c>
      <c r="C823" s="41" t="inlineStr">
        <is>
          <t>1757</t>
        </is>
      </c>
      <c r="D823" s="41" t="inlineStr">
        <is>
          <t>1757</t>
        </is>
      </c>
      <c r="E823" s="41" t="inlineStr">
        <is>
          <t>0000</t>
        </is>
      </c>
      <c r="F823" s="42" t="inlineStr">
        <is>
          <t>서초그랑자이</t>
        </is>
      </c>
      <c r="G823" s="41" t="inlineStr">
        <is>
          <t>84.5100</t>
        </is>
      </c>
      <c r="H823" s="41" t="inlineStr">
        <is>
          <t>202502</t>
        </is>
      </c>
      <c r="I823" s="41" t="inlineStr">
        <is>
          <t>15</t>
        </is>
      </c>
      <c r="J823" s="41" t="inlineStr">
        <is>
          <t>335,000</t>
        </is>
      </c>
      <c r="K823" s="41" t="inlineStr">
        <is>
          <t>108동</t>
        </is>
      </c>
      <c r="L823" s="41" t="inlineStr">
        <is>
          <t>6</t>
        </is>
      </c>
      <c r="M823" s="42" t="inlineStr">
        <is>
          <t>개인</t>
        </is>
      </c>
      <c r="N823" s="42" t="inlineStr">
        <is>
          <t>개인</t>
        </is>
      </c>
      <c r="O823" s="41" t="inlineStr">
        <is>
          <t>2021</t>
        </is>
      </c>
      <c r="P823" s="42" t="inlineStr">
        <is>
          <t>효령로 391</t>
        </is>
      </c>
      <c r="Q823" s="41" t="inlineStr">
        <is>
          <t>-</t>
        </is>
      </c>
      <c r="R823" s="42" t="inlineStr">
        <is>
          <t>중개거래</t>
        </is>
      </c>
      <c r="S823" s="42" t="inlineStr">
        <is>
          <t>서울 서초구</t>
        </is>
      </c>
      <c r="T823" s="41" t="inlineStr">
        <is>
          <t>25.05.07</t>
        </is>
      </c>
      <c r="U823" s="42" t="inlineStr">
        <is>
          <t>아파트</t>
        </is>
      </c>
    </row>
    <row r="824" hidden="1" ht="15" customHeight="1">
      <c r="A824" s="41" t="n">
        <v>291</v>
      </c>
      <c r="B824" s="42" t="inlineStr">
        <is>
          <t>서울특별시 서초구 서초동</t>
        </is>
      </c>
      <c r="C824" s="41" t="inlineStr">
        <is>
          <t>1757</t>
        </is>
      </c>
      <c r="D824" s="41" t="inlineStr">
        <is>
          <t>1757</t>
        </is>
      </c>
      <c r="E824" s="41" t="inlineStr">
        <is>
          <t>0000</t>
        </is>
      </c>
      <c r="F824" s="42" t="inlineStr">
        <is>
          <t>서초그랑자이</t>
        </is>
      </c>
      <c r="G824" s="41" t="inlineStr">
        <is>
          <t>100.3100</t>
        </is>
      </c>
      <c r="H824" s="41" t="inlineStr">
        <is>
          <t>202502</t>
        </is>
      </c>
      <c r="I824" s="41" t="inlineStr">
        <is>
          <t>15</t>
        </is>
      </c>
      <c r="J824" s="41" t="inlineStr">
        <is>
          <t>390,000</t>
        </is>
      </c>
      <c r="K824" s="41" t="inlineStr">
        <is>
          <t>108동</t>
        </is>
      </c>
      <c r="L824" s="41" t="inlineStr">
        <is>
          <t>22</t>
        </is>
      </c>
      <c r="M824" s="42" t="inlineStr">
        <is>
          <t>개인</t>
        </is>
      </c>
      <c r="N824" s="42" t="inlineStr">
        <is>
          <t>개인</t>
        </is>
      </c>
      <c r="O824" s="41" t="inlineStr">
        <is>
          <t>2021</t>
        </is>
      </c>
      <c r="P824" s="42" t="inlineStr">
        <is>
          <t>효령로 391</t>
        </is>
      </c>
      <c r="Q824" s="41" t="inlineStr">
        <is>
          <t>-</t>
        </is>
      </c>
      <c r="R824" s="42" t="inlineStr">
        <is>
          <t>중개거래</t>
        </is>
      </c>
      <c r="S824" s="42" t="inlineStr">
        <is>
          <t>서울 서초구</t>
        </is>
      </c>
      <c r="T824" s="41" t="inlineStr">
        <is>
          <t>25.03.31</t>
        </is>
      </c>
      <c r="U824" s="42" t="inlineStr">
        <is>
          <t>아파트</t>
        </is>
      </c>
    </row>
    <row r="825" hidden="1" ht="15" customHeight="1">
      <c r="A825" s="41" t="n">
        <v>292</v>
      </c>
      <c r="B825" s="42" t="inlineStr">
        <is>
          <t>서울특별시 서초구 서초동</t>
        </is>
      </c>
      <c r="C825" s="41" t="inlineStr">
        <is>
          <t>1755</t>
        </is>
      </c>
      <c r="D825" s="41" t="inlineStr">
        <is>
          <t>1755</t>
        </is>
      </c>
      <c r="E825" s="41" t="inlineStr">
        <is>
          <t>0000</t>
        </is>
      </c>
      <c r="F825" s="42" t="inlineStr">
        <is>
          <t>래미안 리더스원</t>
        </is>
      </c>
      <c r="G825" s="41" t="inlineStr">
        <is>
          <t>84.9400</t>
        </is>
      </c>
      <c r="H825" s="41" t="inlineStr">
        <is>
          <t>202502</t>
        </is>
      </c>
      <c r="I825" s="41" t="inlineStr">
        <is>
          <t>15</t>
        </is>
      </c>
      <c r="J825" s="41" t="inlineStr">
        <is>
          <t>337,000</t>
        </is>
      </c>
      <c r="K825" s="41" t="inlineStr">
        <is>
          <t>103동</t>
        </is>
      </c>
      <c r="L825" s="41" t="inlineStr">
        <is>
          <t>13</t>
        </is>
      </c>
      <c r="M825" s="42" t="inlineStr">
        <is>
          <t>개인</t>
        </is>
      </c>
      <c r="N825" s="42" t="inlineStr">
        <is>
          <t>개인</t>
        </is>
      </c>
      <c r="O825" s="41" t="inlineStr">
        <is>
          <t>2020</t>
        </is>
      </c>
      <c r="P825" s="42" t="inlineStr">
        <is>
          <t>서운로 62</t>
        </is>
      </c>
      <c r="Q825" s="41" t="inlineStr">
        <is>
          <t>-</t>
        </is>
      </c>
      <c r="R825" s="42" t="inlineStr">
        <is>
          <t>중개거래</t>
        </is>
      </c>
      <c r="S825" s="42" t="inlineStr">
        <is>
          <t>서울 강남구, 서울 서초구</t>
        </is>
      </c>
      <c r="T825" s="41" t="inlineStr">
        <is>
          <t>25.06.30</t>
        </is>
      </c>
      <c r="U825" s="42" t="inlineStr">
        <is>
          <t>아파트</t>
        </is>
      </c>
    </row>
    <row r="826" hidden="1" ht="15" customHeight="1">
      <c r="A826" s="41" t="n">
        <v>293</v>
      </c>
      <c r="B826" s="42" t="inlineStr">
        <is>
          <t>서울특별시 서초구 서초동</t>
        </is>
      </c>
      <c r="C826" s="41" t="inlineStr">
        <is>
          <t>1755</t>
        </is>
      </c>
      <c r="D826" s="41" t="inlineStr">
        <is>
          <t>1755</t>
        </is>
      </c>
      <c r="E826" s="41" t="inlineStr">
        <is>
          <t>0000</t>
        </is>
      </c>
      <c r="F826" s="42" t="inlineStr">
        <is>
          <t>래미안 리더스원</t>
        </is>
      </c>
      <c r="G826" s="41" t="inlineStr">
        <is>
          <t>59.9700</t>
        </is>
      </c>
      <c r="H826" s="41" t="inlineStr">
        <is>
          <t>202502</t>
        </is>
      </c>
      <c r="I826" s="41" t="inlineStr">
        <is>
          <t>15</t>
        </is>
      </c>
      <c r="J826" s="41" t="inlineStr">
        <is>
          <t>265,000</t>
        </is>
      </c>
      <c r="K826" s="41" t="inlineStr">
        <is>
          <t>112동</t>
        </is>
      </c>
      <c r="L826" s="41" t="inlineStr">
        <is>
          <t>18</t>
        </is>
      </c>
      <c r="M826" s="42" t="inlineStr">
        <is>
          <t>개인</t>
        </is>
      </c>
      <c r="N826" s="42" t="inlineStr">
        <is>
          <t>개인</t>
        </is>
      </c>
      <c r="O826" s="41" t="inlineStr">
        <is>
          <t>2020</t>
        </is>
      </c>
      <c r="P826" s="42" t="inlineStr">
        <is>
          <t>서운로 62</t>
        </is>
      </c>
      <c r="Q826" s="41" t="inlineStr">
        <is>
          <t>-</t>
        </is>
      </c>
      <c r="R826" s="42" t="inlineStr">
        <is>
          <t>중개거래</t>
        </is>
      </c>
      <c r="S826" s="42" t="inlineStr">
        <is>
          <t>서울 서초구</t>
        </is>
      </c>
      <c r="T826" s="41" t="inlineStr">
        <is>
          <t>25.05.28</t>
        </is>
      </c>
      <c r="U826" s="42" t="inlineStr">
        <is>
          <t>아파트</t>
        </is>
      </c>
    </row>
    <row r="827" hidden="1" ht="15" customHeight="1">
      <c r="A827" s="41" t="n">
        <v>294</v>
      </c>
      <c r="B827" s="42" t="inlineStr">
        <is>
          <t>서울특별시 서초구 서초동</t>
        </is>
      </c>
      <c r="C827" s="41" t="inlineStr">
        <is>
          <t>1754</t>
        </is>
      </c>
      <c r="D827" s="41" t="inlineStr">
        <is>
          <t>1754</t>
        </is>
      </c>
      <c r="E827" s="41" t="inlineStr">
        <is>
          <t>0000</t>
        </is>
      </c>
      <c r="F827" s="42" t="inlineStr">
        <is>
          <t>래미안서초에스티지S</t>
        </is>
      </c>
      <c r="G827" s="41" t="inlineStr">
        <is>
          <t>84.8000</t>
        </is>
      </c>
      <c r="H827" s="41" t="inlineStr">
        <is>
          <t>202502</t>
        </is>
      </c>
      <c r="I827" s="41" t="inlineStr">
        <is>
          <t>15</t>
        </is>
      </c>
      <c r="J827" s="41" t="inlineStr">
        <is>
          <t>300,000</t>
        </is>
      </c>
      <c r="K827" s="41" t="inlineStr">
        <is>
          <t>202</t>
        </is>
      </c>
      <c r="L827" s="41" t="inlineStr">
        <is>
          <t>25</t>
        </is>
      </c>
      <c r="M827" s="42" t="inlineStr">
        <is>
          <t>개인</t>
        </is>
      </c>
      <c r="N827" s="42" t="inlineStr">
        <is>
          <t>개인</t>
        </is>
      </c>
      <c r="O827" s="41" t="inlineStr">
        <is>
          <t>2018</t>
        </is>
      </c>
      <c r="P827" s="42" t="inlineStr">
        <is>
          <t>서운로 104</t>
        </is>
      </c>
      <c r="Q827" s="41" t="inlineStr">
        <is>
          <t>-</t>
        </is>
      </c>
      <c r="R827" s="42" t="inlineStr">
        <is>
          <t>중개거래</t>
        </is>
      </c>
      <c r="S827" s="42" t="inlineStr">
        <is>
          <t>서울 서초구</t>
        </is>
      </c>
      <c r="T827" s="41" t="inlineStr">
        <is>
          <t>25.05.29</t>
        </is>
      </c>
      <c r="U827" s="42" t="inlineStr">
        <is>
          <t>아파트</t>
        </is>
      </c>
    </row>
    <row r="828" hidden="1" ht="15" customHeight="1">
      <c r="A828" s="41" t="n">
        <v>295</v>
      </c>
      <c r="B828" s="42" t="inlineStr">
        <is>
          <t>서울특별시 서초구 서초동</t>
        </is>
      </c>
      <c r="C828" s="41" t="inlineStr">
        <is>
          <t>1301-6</t>
        </is>
      </c>
      <c r="D828" s="41" t="inlineStr">
        <is>
          <t>1301</t>
        </is>
      </c>
      <c r="E828" s="41" t="inlineStr">
        <is>
          <t>0006</t>
        </is>
      </c>
      <c r="F828" s="42" t="inlineStr">
        <is>
          <t>래미안서초스위트</t>
        </is>
      </c>
      <c r="G828" s="41" t="inlineStr">
        <is>
          <t>59.9958</t>
        </is>
      </c>
      <c r="H828" s="41" t="inlineStr">
        <is>
          <t>202502</t>
        </is>
      </c>
      <c r="I828" s="41" t="inlineStr">
        <is>
          <t>15</t>
        </is>
      </c>
      <c r="J828" s="41" t="inlineStr">
        <is>
          <t>230,000</t>
        </is>
      </c>
      <c r="K828" s="41" t="inlineStr">
        <is>
          <t>101</t>
        </is>
      </c>
      <c r="L828" s="41" t="inlineStr">
        <is>
          <t>26</t>
        </is>
      </c>
      <c r="M828" s="42" t="inlineStr">
        <is>
          <t>개인</t>
        </is>
      </c>
      <c r="N828" s="42" t="inlineStr">
        <is>
          <t>개인</t>
        </is>
      </c>
      <c r="O828" s="41" t="inlineStr">
        <is>
          <t>2009</t>
        </is>
      </c>
      <c r="P828" s="42" t="inlineStr">
        <is>
          <t>서운로 221</t>
        </is>
      </c>
      <c r="Q828" s="41" t="inlineStr">
        <is>
          <t>-</t>
        </is>
      </c>
      <c r="R828" s="42" t="inlineStr">
        <is>
          <t>중개거래</t>
        </is>
      </c>
      <c r="S828" s="42" t="inlineStr">
        <is>
          <t>서울 서초구</t>
        </is>
      </c>
      <c r="T828" s="41" t="inlineStr">
        <is>
          <t>25.06.17</t>
        </is>
      </c>
      <c r="U828" s="42" t="inlineStr">
        <is>
          <t>아파트</t>
        </is>
      </c>
    </row>
    <row r="829" hidden="1" ht="15" customHeight="1">
      <c r="A829" s="41" t="n">
        <v>296</v>
      </c>
      <c r="B829" s="42" t="inlineStr">
        <is>
          <t>서울특별시 서초구 서초동</t>
        </is>
      </c>
      <c r="C829" s="41" t="inlineStr">
        <is>
          <t>1301-6</t>
        </is>
      </c>
      <c r="D829" s="41" t="inlineStr">
        <is>
          <t>1301</t>
        </is>
      </c>
      <c r="E829" s="41" t="inlineStr">
        <is>
          <t>0006</t>
        </is>
      </c>
      <c r="F829" s="42" t="inlineStr">
        <is>
          <t>래미안서초스위트</t>
        </is>
      </c>
      <c r="G829" s="41" t="inlineStr">
        <is>
          <t>59.9958</t>
        </is>
      </c>
      <c r="H829" s="41" t="inlineStr">
        <is>
          <t>202502</t>
        </is>
      </c>
      <c r="I829" s="41" t="inlineStr">
        <is>
          <t>15</t>
        </is>
      </c>
      <c r="J829" s="41" t="inlineStr">
        <is>
          <t>230,000</t>
        </is>
      </c>
      <c r="K829" s="41" t="inlineStr">
        <is>
          <t>101</t>
        </is>
      </c>
      <c r="L829" s="41" t="inlineStr">
        <is>
          <t>26</t>
        </is>
      </c>
      <c r="M829" s="42" t="inlineStr">
        <is>
          <t>개인</t>
        </is>
      </c>
      <c r="N829" s="42" t="inlineStr">
        <is>
          <t>개인</t>
        </is>
      </c>
      <c r="O829" s="41" t="inlineStr">
        <is>
          <t>2009</t>
        </is>
      </c>
      <c r="P829" s="42" t="inlineStr">
        <is>
          <t>서운로 221</t>
        </is>
      </c>
      <c r="Q829" s="41" t="inlineStr">
        <is>
          <t>-</t>
        </is>
      </c>
      <c r="R829" s="42" t="inlineStr">
        <is>
          <t>중개거래</t>
        </is>
      </c>
      <c r="S829" s="42" t="inlineStr">
        <is>
          <t>서울 서초구</t>
        </is>
      </c>
      <c r="T829" s="41" t="inlineStr">
        <is>
          <t>25.06.17</t>
        </is>
      </c>
      <c r="U829" s="42" t="inlineStr">
        <is>
          <t>아파트</t>
        </is>
      </c>
    </row>
    <row r="830" hidden="1" ht="15" customHeight="1">
      <c r="A830" s="41" t="n">
        <v>297</v>
      </c>
      <c r="B830" s="42" t="inlineStr">
        <is>
          <t>서울특별시 서초구 서초동</t>
        </is>
      </c>
      <c r="C830" s="41" t="inlineStr">
        <is>
          <t>1312-3</t>
        </is>
      </c>
      <c r="D830" s="41" t="inlineStr">
        <is>
          <t>1312</t>
        </is>
      </c>
      <c r="E830" s="41" t="inlineStr">
        <is>
          <t>0003</t>
        </is>
      </c>
      <c r="F830" s="42" t="inlineStr">
        <is>
          <t>롯데캐슬클래식</t>
        </is>
      </c>
      <c r="G830" s="41" t="inlineStr">
        <is>
          <t>120.1800</t>
        </is>
      </c>
      <c r="H830" s="41" t="inlineStr">
        <is>
          <t>202502</t>
        </is>
      </c>
      <c r="I830" s="41" t="inlineStr">
        <is>
          <t>15</t>
        </is>
      </c>
      <c r="J830" s="41" t="inlineStr">
        <is>
          <t>316,000</t>
        </is>
      </c>
      <c r="K830" s="41" t="inlineStr">
        <is>
          <t>104</t>
        </is>
      </c>
      <c r="L830" s="41" t="inlineStr">
        <is>
          <t>21</t>
        </is>
      </c>
      <c r="M830" s="42" t="inlineStr">
        <is>
          <t>개인</t>
        </is>
      </c>
      <c r="N830" s="42" t="inlineStr">
        <is>
          <t>개인</t>
        </is>
      </c>
      <c r="O830" s="41" t="inlineStr">
        <is>
          <t>2006</t>
        </is>
      </c>
      <c r="P830" s="42" t="inlineStr">
        <is>
          <t>서운로 197</t>
        </is>
      </c>
      <c r="Q830" s="41" t="inlineStr">
        <is>
          <t>-</t>
        </is>
      </c>
      <c r="R830" s="42" t="inlineStr">
        <is>
          <t>중개거래</t>
        </is>
      </c>
      <c r="S830" s="42" t="inlineStr">
        <is>
          <t>서울 서초구</t>
        </is>
      </c>
      <c r="T830" s="41" t="inlineStr">
        <is>
          <t>25.05.20</t>
        </is>
      </c>
      <c r="U830" s="42" t="inlineStr">
        <is>
          <t>아파트</t>
        </is>
      </c>
    </row>
    <row r="831" hidden="1" ht="15" customHeight="1">
      <c r="A831" s="41" t="n">
        <v>298</v>
      </c>
      <c r="B831" s="42" t="inlineStr">
        <is>
          <t>서울특별시 서초구 서초동</t>
        </is>
      </c>
      <c r="C831" s="41" t="inlineStr">
        <is>
          <t>1301-6</t>
        </is>
      </c>
      <c r="D831" s="41" t="inlineStr">
        <is>
          <t>1301</t>
        </is>
      </c>
      <c r="E831" s="41" t="inlineStr">
        <is>
          <t>0006</t>
        </is>
      </c>
      <c r="F831" s="42" t="inlineStr">
        <is>
          <t>래미안서초스위트</t>
        </is>
      </c>
      <c r="G831" s="41" t="inlineStr">
        <is>
          <t>95.8079</t>
        </is>
      </c>
      <c r="H831" s="41" t="inlineStr">
        <is>
          <t>202502</t>
        </is>
      </c>
      <c r="I831" s="41" t="inlineStr">
        <is>
          <t>15</t>
        </is>
      </c>
      <c r="J831" s="41" t="inlineStr">
        <is>
          <t>272,000</t>
        </is>
      </c>
      <c r="K831" s="41" t="inlineStr">
        <is>
          <t>103</t>
        </is>
      </c>
      <c r="L831" s="41" t="inlineStr">
        <is>
          <t>19</t>
        </is>
      </c>
      <c r="M831" s="42" t="inlineStr">
        <is>
          <t>개인</t>
        </is>
      </c>
      <c r="N831" s="42" t="inlineStr">
        <is>
          <t>개인</t>
        </is>
      </c>
      <c r="O831" s="41" t="inlineStr">
        <is>
          <t>2009</t>
        </is>
      </c>
      <c r="P831" s="42" t="inlineStr">
        <is>
          <t>서운로 221</t>
        </is>
      </c>
      <c r="Q831" s="41" t="inlineStr">
        <is>
          <t>-</t>
        </is>
      </c>
      <c r="R831" s="42" t="inlineStr">
        <is>
          <t>중개거래</t>
        </is>
      </c>
      <c r="S831" s="42" t="inlineStr">
        <is>
          <t>서울 서초구</t>
        </is>
      </c>
      <c r="T831" s="41" t="inlineStr">
        <is>
          <t>25.08.01</t>
        </is>
      </c>
      <c r="U831" s="42" t="inlineStr">
        <is>
          <t>아파트</t>
        </is>
      </c>
    </row>
    <row r="832" hidden="1" ht="15" customHeight="1">
      <c r="A832" s="41" t="n">
        <v>299</v>
      </c>
      <c r="B832" s="42" t="inlineStr">
        <is>
          <t>서울특별시 서초구 서초동</t>
        </is>
      </c>
      <c r="C832" s="41" t="inlineStr">
        <is>
          <t>1330</t>
        </is>
      </c>
      <c r="D832" s="41" t="inlineStr">
        <is>
          <t>1330</t>
        </is>
      </c>
      <c r="E832" s="41" t="inlineStr">
        <is>
          <t>0000</t>
        </is>
      </c>
      <c r="F832" s="42" t="inlineStr">
        <is>
          <t>서초동삼성쉐르빌2</t>
        </is>
      </c>
      <c r="G832" s="41" t="inlineStr">
        <is>
          <t>35.1700</t>
        </is>
      </c>
      <c r="H832" s="41" t="inlineStr">
        <is>
          <t>202502</t>
        </is>
      </c>
      <c r="I832" s="41" t="inlineStr">
        <is>
          <t>15</t>
        </is>
      </c>
      <c r="J832" s="41" t="inlineStr">
        <is>
          <t>31,000</t>
        </is>
      </c>
      <c r="K832" s="41" t="inlineStr">
        <is>
          <t>-</t>
        </is>
      </c>
      <c r="L832" s="41" t="inlineStr">
        <is>
          <t>4</t>
        </is>
      </c>
      <c r="M832" s="42" t="inlineStr">
        <is>
          <t>개인</t>
        </is>
      </c>
      <c r="N832" s="42" t="inlineStr">
        <is>
          <t>개인</t>
        </is>
      </c>
      <c r="O832" s="41" t="inlineStr">
        <is>
          <t>2002</t>
        </is>
      </c>
      <c r="P832" s="42" t="inlineStr">
        <is>
          <t>강남대로53길 11</t>
        </is>
      </c>
      <c r="Q832" s="41" t="inlineStr">
        <is>
          <t>-</t>
        </is>
      </c>
      <c r="R832" s="42" t="inlineStr">
        <is>
          <t>중개거래</t>
        </is>
      </c>
      <c r="S832" s="42" t="inlineStr">
        <is>
          <t>서울 서초구</t>
        </is>
      </c>
      <c r="T832" s="41" t="inlineStr">
        <is>
          <t>25.02.17</t>
        </is>
      </c>
      <c r="U832" s="42" t="inlineStr">
        <is>
          <t>아파트</t>
        </is>
      </c>
    </row>
    <row r="833" hidden="1" ht="15" customHeight="1">
      <c r="A833" s="41" t="n">
        <v>300</v>
      </c>
      <c r="B833" s="42" t="inlineStr">
        <is>
          <t>서울특별시 서초구 서초동</t>
        </is>
      </c>
      <c r="C833" s="41" t="inlineStr">
        <is>
          <t>1682</t>
        </is>
      </c>
      <c r="D833" s="41" t="inlineStr">
        <is>
          <t>1682</t>
        </is>
      </c>
      <c r="E833" s="41" t="inlineStr">
        <is>
          <t>0000</t>
        </is>
      </c>
      <c r="F833" s="42" t="inlineStr">
        <is>
          <t>서초래미안</t>
        </is>
      </c>
      <c r="G833" s="41" t="inlineStr">
        <is>
          <t>126.3100</t>
        </is>
      </c>
      <c r="H833" s="41" t="inlineStr">
        <is>
          <t>202502</t>
        </is>
      </c>
      <c r="I833" s="41" t="inlineStr">
        <is>
          <t>15</t>
        </is>
      </c>
      <c r="J833" s="41" t="inlineStr">
        <is>
          <t>295,000</t>
        </is>
      </c>
      <c r="K833" s="41" t="inlineStr">
        <is>
          <t>110</t>
        </is>
      </c>
      <c r="L833" s="41" t="inlineStr">
        <is>
          <t>19</t>
        </is>
      </c>
      <c r="M833" s="42" t="inlineStr">
        <is>
          <t>개인</t>
        </is>
      </c>
      <c r="N833" s="42" t="inlineStr">
        <is>
          <t>개인</t>
        </is>
      </c>
      <c r="O833" s="41" t="inlineStr">
        <is>
          <t>2003</t>
        </is>
      </c>
      <c r="P833" s="42" t="inlineStr">
        <is>
          <t>서초대로65길 13-10</t>
        </is>
      </c>
      <c r="Q833" s="41" t="inlineStr">
        <is>
          <t>-</t>
        </is>
      </c>
      <c r="R833" s="42" t="inlineStr">
        <is>
          <t>중개거래</t>
        </is>
      </c>
      <c r="S833" s="42" t="inlineStr">
        <is>
          <t>서울 서초구</t>
        </is>
      </c>
      <c r="T833" s="41" t="inlineStr">
        <is>
          <t>25.05.12</t>
        </is>
      </c>
      <c r="U833" s="42" t="inlineStr">
        <is>
          <t>아파트</t>
        </is>
      </c>
    </row>
    <row r="834" hidden="1" ht="15" customHeight="1">
      <c r="A834" s="41" t="n">
        <v>301</v>
      </c>
      <c r="B834" s="42" t="inlineStr">
        <is>
          <t>서울특별시 서초구 서초동</t>
        </is>
      </c>
      <c r="C834" s="41" t="inlineStr">
        <is>
          <t>1445-4</t>
        </is>
      </c>
      <c r="D834" s="41" t="inlineStr">
        <is>
          <t>1445</t>
        </is>
      </c>
      <c r="E834" s="41" t="inlineStr">
        <is>
          <t>0004</t>
        </is>
      </c>
      <c r="F834" s="42" t="inlineStr">
        <is>
          <t>래미안서초유니빌</t>
        </is>
      </c>
      <c r="G834" s="41" t="inlineStr">
        <is>
          <t>47.3570</t>
        </is>
      </c>
      <c r="H834" s="41" t="inlineStr">
        <is>
          <t>202502</t>
        </is>
      </c>
      <c r="I834" s="41" t="inlineStr">
        <is>
          <t>15</t>
        </is>
      </c>
      <c r="J834" s="41" t="inlineStr">
        <is>
          <t>45,000</t>
        </is>
      </c>
      <c r="K834" s="42" t="inlineStr">
        <is>
          <t>래미안 서초유니빌</t>
        </is>
      </c>
      <c r="L834" s="41" t="inlineStr">
        <is>
          <t>10</t>
        </is>
      </c>
      <c r="M834" s="42" t="inlineStr">
        <is>
          <t>개인</t>
        </is>
      </c>
      <c r="N834" s="42" t="inlineStr">
        <is>
          <t>개인</t>
        </is>
      </c>
      <c r="O834" s="41" t="inlineStr">
        <is>
          <t>2003</t>
        </is>
      </c>
      <c r="P834" s="42" t="inlineStr">
        <is>
          <t>서초중앙로 26</t>
        </is>
      </c>
      <c r="Q834" s="41" t="inlineStr">
        <is>
          <t>-</t>
        </is>
      </c>
      <c r="R834" s="42" t="inlineStr">
        <is>
          <t>중개거래</t>
        </is>
      </c>
      <c r="S834" s="42" t="inlineStr">
        <is>
          <t>서울 서초구</t>
        </is>
      </c>
      <c r="T834" s="41" t="inlineStr">
        <is>
          <t>25.05.30</t>
        </is>
      </c>
      <c r="U834" s="42" t="inlineStr">
        <is>
          <t>아파트</t>
        </is>
      </c>
    </row>
    <row r="835" hidden="1" ht="15" customHeight="1">
      <c r="A835" s="41" t="n">
        <v>302</v>
      </c>
      <c r="B835" s="42" t="inlineStr">
        <is>
          <t>서울특별시 서초구 서초동</t>
        </is>
      </c>
      <c r="C835" s="41" t="inlineStr">
        <is>
          <t>1686-9</t>
        </is>
      </c>
      <c r="D835" s="41" t="inlineStr">
        <is>
          <t>1686</t>
        </is>
      </c>
      <c r="E835" s="41" t="inlineStr">
        <is>
          <t>0009</t>
        </is>
      </c>
      <c r="F835" s="42" t="inlineStr">
        <is>
          <t>서초교대e편한세상</t>
        </is>
      </c>
      <c r="G835" s="41" t="inlineStr">
        <is>
          <t>84.9700</t>
        </is>
      </c>
      <c r="H835" s="41" t="inlineStr">
        <is>
          <t>202502</t>
        </is>
      </c>
      <c r="I835" s="41" t="inlineStr">
        <is>
          <t>14</t>
        </is>
      </c>
      <c r="J835" s="41" t="inlineStr">
        <is>
          <t>270,000</t>
        </is>
      </c>
      <c r="K835" s="41" t="inlineStr">
        <is>
          <t>105</t>
        </is>
      </c>
      <c r="L835" s="41" t="inlineStr">
        <is>
          <t>4</t>
        </is>
      </c>
      <c r="M835" s="42" t="inlineStr">
        <is>
          <t>개인</t>
        </is>
      </c>
      <c r="N835" s="42" t="inlineStr">
        <is>
          <t>개인</t>
        </is>
      </c>
      <c r="O835" s="41" t="inlineStr">
        <is>
          <t>2010</t>
        </is>
      </c>
      <c r="P835" s="42" t="inlineStr">
        <is>
          <t>서초중앙로24길 33</t>
        </is>
      </c>
      <c r="Q835" s="41" t="inlineStr">
        <is>
          <t>-</t>
        </is>
      </c>
      <c r="R835" s="42" t="inlineStr">
        <is>
          <t>중개거래</t>
        </is>
      </c>
      <c r="S835" s="42" t="inlineStr">
        <is>
          <t>서울 서초구</t>
        </is>
      </c>
      <c r="T835" s="41" t="inlineStr">
        <is>
          <t>25.06.25</t>
        </is>
      </c>
      <c r="U835" s="42" t="inlineStr">
        <is>
          <t>아파트</t>
        </is>
      </c>
    </row>
    <row r="836" hidden="1" ht="15" customHeight="1">
      <c r="A836" s="41" t="n">
        <v>303</v>
      </c>
      <c r="B836" s="42" t="inlineStr">
        <is>
          <t>서울특별시 서초구 서초동</t>
        </is>
      </c>
      <c r="C836" s="41" t="inlineStr">
        <is>
          <t>1330</t>
        </is>
      </c>
      <c r="D836" s="41" t="inlineStr">
        <is>
          <t>1330</t>
        </is>
      </c>
      <c r="E836" s="41" t="inlineStr">
        <is>
          <t>0000</t>
        </is>
      </c>
      <c r="F836" s="42" t="inlineStr">
        <is>
          <t>서초동삼성쉐르빌2</t>
        </is>
      </c>
      <c r="G836" s="41" t="inlineStr">
        <is>
          <t>35.1700</t>
        </is>
      </c>
      <c r="H836" s="41" t="inlineStr">
        <is>
          <t>202502</t>
        </is>
      </c>
      <c r="I836" s="41" t="inlineStr">
        <is>
          <t>14</t>
        </is>
      </c>
      <c r="J836" s="41" t="inlineStr">
        <is>
          <t>31,000</t>
        </is>
      </c>
      <c r="K836" s="41" t="inlineStr">
        <is>
          <t>-</t>
        </is>
      </c>
      <c r="L836" s="41" t="inlineStr">
        <is>
          <t>4</t>
        </is>
      </c>
      <c r="M836" s="42" t="inlineStr">
        <is>
          <t>개인</t>
        </is>
      </c>
      <c r="N836" s="42" t="inlineStr">
        <is>
          <t>개인</t>
        </is>
      </c>
      <c r="O836" s="41" t="inlineStr">
        <is>
          <t>2002</t>
        </is>
      </c>
      <c r="P836" s="42" t="inlineStr">
        <is>
          <t>강남대로53길 11</t>
        </is>
      </c>
      <c r="Q836" s="41" t="inlineStr">
        <is>
          <t>20250215</t>
        </is>
      </c>
      <c r="R836" s="42" t="inlineStr">
        <is>
          <t>중개거래</t>
        </is>
      </c>
      <c r="S836" s="42" t="inlineStr">
        <is>
          <t>서울 서초구</t>
        </is>
      </c>
      <c r="T836" s="41" t="inlineStr">
        <is>
          <t>-</t>
        </is>
      </c>
      <c r="U836" s="42" t="inlineStr">
        <is>
          <t>아파트</t>
        </is>
      </c>
    </row>
    <row r="837" hidden="1" ht="15" customHeight="1">
      <c r="A837" s="41" t="n">
        <v>304</v>
      </c>
      <c r="B837" s="42" t="inlineStr">
        <is>
          <t>서울특별시 서초구 서초동</t>
        </is>
      </c>
      <c r="C837" s="41" t="inlineStr">
        <is>
          <t>1682</t>
        </is>
      </c>
      <c r="D837" s="41" t="inlineStr">
        <is>
          <t>1682</t>
        </is>
      </c>
      <c r="E837" s="41" t="inlineStr">
        <is>
          <t>0000</t>
        </is>
      </c>
      <c r="F837" s="42" t="inlineStr">
        <is>
          <t>서초래미안</t>
        </is>
      </c>
      <c r="G837" s="41" t="inlineStr">
        <is>
          <t>84.9500</t>
        </is>
      </c>
      <c r="H837" s="41" t="inlineStr">
        <is>
          <t>202502</t>
        </is>
      </c>
      <c r="I837" s="41" t="inlineStr">
        <is>
          <t>14</t>
        </is>
      </c>
      <c r="J837" s="41" t="inlineStr">
        <is>
          <t>238,000</t>
        </is>
      </c>
      <c r="K837" s="41" t="inlineStr">
        <is>
          <t>113</t>
        </is>
      </c>
      <c r="L837" s="41" t="inlineStr">
        <is>
          <t>9</t>
        </is>
      </c>
      <c r="M837" s="42" t="inlineStr">
        <is>
          <t>개인</t>
        </is>
      </c>
      <c r="N837" s="42" t="inlineStr">
        <is>
          <t>개인</t>
        </is>
      </c>
      <c r="O837" s="41" t="inlineStr">
        <is>
          <t>2003</t>
        </is>
      </c>
      <c r="P837" s="42" t="inlineStr">
        <is>
          <t>서초대로65길 13-10</t>
        </is>
      </c>
      <c r="Q837" s="41" t="inlineStr">
        <is>
          <t>-</t>
        </is>
      </c>
      <c r="R837" s="42" t="inlineStr">
        <is>
          <t>중개거래</t>
        </is>
      </c>
      <c r="S837" s="42" t="inlineStr">
        <is>
          <t>서울 서초구</t>
        </is>
      </c>
      <c r="T837" s="41" t="inlineStr">
        <is>
          <t>25.05.02</t>
        </is>
      </c>
      <c r="U837" s="42" t="inlineStr">
        <is>
          <t>아파트</t>
        </is>
      </c>
    </row>
    <row r="838" hidden="1" ht="15" customHeight="1">
      <c r="A838" s="41" t="n">
        <v>305</v>
      </c>
      <c r="B838" s="42" t="inlineStr">
        <is>
          <t>서울특별시 서초구 서초동</t>
        </is>
      </c>
      <c r="C838" s="41" t="inlineStr">
        <is>
          <t>1685</t>
        </is>
      </c>
      <c r="D838" s="41" t="inlineStr">
        <is>
          <t>1685</t>
        </is>
      </c>
      <c r="E838" s="41" t="inlineStr">
        <is>
          <t>0000</t>
        </is>
      </c>
      <c r="F838" s="42" t="inlineStr">
        <is>
          <t>삼풍아파트</t>
        </is>
      </c>
      <c r="G838" s="41" t="inlineStr">
        <is>
          <t>165.9200</t>
        </is>
      </c>
      <c r="H838" s="41" t="inlineStr">
        <is>
          <t>202502</t>
        </is>
      </c>
      <c r="I838" s="41" t="inlineStr">
        <is>
          <t>14</t>
        </is>
      </c>
      <c r="J838" s="41" t="inlineStr">
        <is>
          <t>410,000</t>
        </is>
      </c>
      <c r="K838" s="41" t="inlineStr">
        <is>
          <t>18</t>
        </is>
      </c>
      <c r="L838" s="41" t="inlineStr">
        <is>
          <t>15</t>
        </is>
      </c>
      <c r="M838" s="42" t="inlineStr">
        <is>
          <t>개인</t>
        </is>
      </c>
      <c r="N838" s="42" t="inlineStr">
        <is>
          <t>개인</t>
        </is>
      </c>
      <c r="O838" s="41" t="inlineStr">
        <is>
          <t>1988</t>
        </is>
      </c>
      <c r="P838" s="42" t="inlineStr">
        <is>
          <t>서초중앙로 200</t>
        </is>
      </c>
      <c r="Q838" s="41" t="inlineStr">
        <is>
          <t>-</t>
        </is>
      </c>
      <c r="R838" s="42" t="inlineStr">
        <is>
          <t>중개거래</t>
        </is>
      </c>
      <c r="S838" s="42" t="inlineStr">
        <is>
          <t>서울 서초구</t>
        </is>
      </c>
      <c r="T838" s="41" t="inlineStr">
        <is>
          <t>25.07.31</t>
        </is>
      </c>
      <c r="U838" s="42" t="inlineStr">
        <is>
          <t>아파트</t>
        </is>
      </c>
    </row>
    <row r="839" hidden="1" ht="15" customHeight="1">
      <c r="A839" s="41" t="n">
        <v>306</v>
      </c>
      <c r="B839" s="42" t="inlineStr">
        <is>
          <t>서울특별시 서초구 서초동</t>
        </is>
      </c>
      <c r="C839" s="41" t="inlineStr">
        <is>
          <t>1641-1</t>
        </is>
      </c>
      <c r="D839" s="41" t="inlineStr">
        <is>
          <t>1641</t>
        </is>
      </c>
      <c r="E839" s="41" t="inlineStr">
        <is>
          <t>0001</t>
        </is>
      </c>
      <c r="F839" s="42" t="inlineStr">
        <is>
          <t>서초삼성래미안</t>
        </is>
      </c>
      <c r="G839" s="41" t="inlineStr">
        <is>
          <t>121.6600</t>
        </is>
      </c>
      <c r="H839" s="41" t="inlineStr">
        <is>
          <t>202502</t>
        </is>
      </c>
      <c r="I839" s="41" t="inlineStr">
        <is>
          <t>14</t>
        </is>
      </c>
      <c r="J839" s="41" t="inlineStr">
        <is>
          <t>165,000</t>
        </is>
      </c>
      <c r="K839" s="41" t="inlineStr">
        <is>
          <t>101</t>
        </is>
      </c>
      <c r="L839" s="41" t="inlineStr">
        <is>
          <t>16</t>
        </is>
      </c>
      <c r="M839" s="42" t="inlineStr">
        <is>
          <t>개인</t>
        </is>
      </c>
      <c r="N839" s="42" t="inlineStr">
        <is>
          <t>개인</t>
        </is>
      </c>
      <c r="O839" s="41" t="inlineStr">
        <is>
          <t>2001</t>
        </is>
      </c>
      <c r="P839" s="42" t="inlineStr">
        <is>
          <t>사임당로17길 116</t>
        </is>
      </c>
      <c r="Q839" s="41" t="inlineStr">
        <is>
          <t>-</t>
        </is>
      </c>
      <c r="R839" s="42" t="inlineStr">
        <is>
          <t>직거래</t>
        </is>
      </c>
      <c r="S839" s="41" t="inlineStr">
        <is>
          <t>-</t>
        </is>
      </c>
      <c r="T839" s="41" t="inlineStr">
        <is>
          <t>25.03.26</t>
        </is>
      </c>
      <c r="U839" s="42" t="inlineStr">
        <is>
          <t>아파트</t>
        </is>
      </c>
    </row>
    <row r="840" hidden="1" ht="15" customHeight="1">
      <c r="A840" s="41" t="n">
        <v>307</v>
      </c>
      <c r="B840" s="42" t="inlineStr">
        <is>
          <t>서울특별시 서초구 서초동</t>
        </is>
      </c>
      <c r="C840" s="41" t="inlineStr">
        <is>
          <t>1648-2</t>
        </is>
      </c>
      <c r="D840" s="41" t="inlineStr">
        <is>
          <t>1648</t>
        </is>
      </c>
      <c r="E840" s="41" t="inlineStr">
        <is>
          <t>0002</t>
        </is>
      </c>
      <c r="F840" s="42" t="inlineStr">
        <is>
          <t>서초현대</t>
        </is>
      </c>
      <c r="G840" s="41" t="inlineStr">
        <is>
          <t>53.0100</t>
        </is>
      </c>
      <c r="H840" s="41" t="inlineStr">
        <is>
          <t>202502</t>
        </is>
      </c>
      <c r="I840" s="41" t="inlineStr">
        <is>
          <t>13</t>
        </is>
      </c>
      <c r="J840" s="41" t="inlineStr">
        <is>
          <t>118,000</t>
        </is>
      </c>
      <c r="K840" s="41" t="inlineStr">
        <is>
          <t>102</t>
        </is>
      </c>
      <c r="L840" s="41" t="inlineStr">
        <is>
          <t>2</t>
        </is>
      </c>
      <c r="M840" s="42" t="inlineStr">
        <is>
          <t>개인</t>
        </is>
      </c>
      <c r="N840" s="42" t="inlineStr">
        <is>
          <t>개인</t>
        </is>
      </c>
      <c r="O840" s="41" t="inlineStr">
        <is>
          <t>1999</t>
        </is>
      </c>
      <c r="P840" s="42" t="inlineStr">
        <is>
          <t>사임당로19길 10</t>
        </is>
      </c>
      <c r="Q840" s="41" t="inlineStr">
        <is>
          <t>-</t>
        </is>
      </c>
      <c r="R840" s="42" t="inlineStr">
        <is>
          <t>중개거래</t>
        </is>
      </c>
      <c r="S840" s="42" t="inlineStr">
        <is>
          <t>서울 서초구</t>
        </is>
      </c>
      <c r="T840" s="41" t="inlineStr">
        <is>
          <t>25.03.28</t>
        </is>
      </c>
      <c r="U840" s="42" t="inlineStr">
        <is>
          <t>아파트</t>
        </is>
      </c>
    </row>
    <row r="841" hidden="1" ht="15" customHeight="1">
      <c r="A841" s="41" t="n">
        <v>308</v>
      </c>
      <c r="B841" s="42" t="inlineStr">
        <is>
          <t>서울특별시 서초구 서초동</t>
        </is>
      </c>
      <c r="C841" s="41" t="inlineStr">
        <is>
          <t>1641-1</t>
        </is>
      </c>
      <c r="D841" s="41" t="inlineStr">
        <is>
          <t>1641</t>
        </is>
      </c>
      <c r="E841" s="41" t="inlineStr">
        <is>
          <t>0001</t>
        </is>
      </c>
      <c r="F841" s="42" t="inlineStr">
        <is>
          <t>서초삼성래미안</t>
        </is>
      </c>
      <c r="G841" s="41" t="inlineStr">
        <is>
          <t>84.9700</t>
        </is>
      </c>
      <c r="H841" s="41" t="inlineStr">
        <is>
          <t>202502</t>
        </is>
      </c>
      <c r="I841" s="41" t="inlineStr">
        <is>
          <t>12</t>
        </is>
      </c>
      <c r="J841" s="41" t="inlineStr">
        <is>
          <t>187,000</t>
        </is>
      </c>
      <c r="K841" s="41" t="inlineStr">
        <is>
          <t>103</t>
        </is>
      </c>
      <c r="L841" s="41" t="inlineStr">
        <is>
          <t>4</t>
        </is>
      </c>
      <c r="M841" s="42" t="inlineStr">
        <is>
          <t>개인</t>
        </is>
      </c>
      <c r="N841" s="42" t="inlineStr">
        <is>
          <t>개인</t>
        </is>
      </c>
      <c r="O841" s="41" t="inlineStr">
        <is>
          <t>2001</t>
        </is>
      </c>
      <c r="P841" s="42" t="inlineStr">
        <is>
          <t>사임당로17길 116</t>
        </is>
      </c>
      <c r="Q841" s="41" t="inlineStr">
        <is>
          <t>-</t>
        </is>
      </c>
      <c r="R841" s="42" t="inlineStr">
        <is>
          <t>중개거래</t>
        </is>
      </c>
      <c r="S841" s="42" t="inlineStr">
        <is>
          <t>서울 서초구</t>
        </is>
      </c>
      <c r="T841" s="41" t="inlineStr">
        <is>
          <t>25.03.20</t>
        </is>
      </c>
      <c r="U841" s="42" t="inlineStr">
        <is>
          <t>아파트</t>
        </is>
      </c>
    </row>
    <row r="842" hidden="1" ht="15" customHeight="1">
      <c r="A842" s="41" t="n">
        <v>309</v>
      </c>
      <c r="B842" s="42" t="inlineStr">
        <is>
          <t>서울특별시 서초구 서초동</t>
        </is>
      </c>
      <c r="C842" s="41" t="inlineStr">
        <is>
          <t>1315</t>
        </is>
      </c>
      <c r="D842" s="41" t="inlineStr">
        <is>
          <t>1315</t>
        </is>
      </c>
      <c r="E842" s="41" t="inlineStr">
        <is>
          <t>0000</t>
        </is>
      </c>
      <c r="F842" s="42" t="inlineStr">
        <is>
          <t>진흥아파트</t>
        </is>
      </c>
      <c r="G842" s="41" t="inlineStr">
        <is>
          <t>131.0400</t>
        </is>
      </c>
      <c r="H842" s="41" t="inlineStr">
        <is>
          <t>202502</t>
        </is>
      </c>
      <c r="I842" s="41" t="inlineStr">
        <is>
          <t>12</t>
        </is>
      </c>
      <c r="J842" s="41" t="inlineStr">
        <is>
          <t>295,000</t>
        </is>
      </c>
      <c r="K842" s="41" t="inlineStr">
        <is>
          <t>8</t>
        </is>
      </c>
      <c r="L842" s="41" t="inlineStr">
        <is>
          <t>6</t>
        </is>
      </c>
      <c r="M842" s="42" t="inlineStr">
        <is>
          <t>개인</t>
        </is>
      </c>
      <c r="N842" s="42" t="inlineStr">
        <is>
          <t>개인</t>
        </is>
      </c>
      <c r="O842" s="41" t="inlineStr">
        <is>
          <t>1979</t>
        </is>
      </c>
      <c r="P842" s="42" t="inlineStr">
        <is>
          <t>서초대로 385</t>
        </is>
      </c>
      <c r="Q842" s="41" t="inlineStr">
        <is>
          <t>-</t>
        </is>
      </c>
      <c r="R842" s="42" t="inlineStr">
        <is>
          <t>중개거래</t>
        </is>
      </c>
      <c r="S842" s="42" t="inlineStr">
        <is>
          <t>서울 서초구</t>
        </is>
      </c>
      <c r="T842" s="41" t="inlineStr">
        <is>
          <t>25.04.30</t>
        </is>
      </c>
      <c r="U842" s="42" t="inlineStr">
        <is>
          <t>아파트</t>
        </is>
      </c>
    </row>
    <row r="843" hidden="1" ht="15" customHeight="1">
      <c r="A843" s="41" t="n">
        <v>310</v>
      </c>
      <c r="B843" s="42" t="inlineStr">
        <is>
          <t>서울특별시 서초구 서초동</t>
        </is>
      </c>
      <c r="C843" s="41" t="inlineStr">
        <is>
          <t>1755</t>
        </is>
      </c>
      <c r="D843" s="41" t="inlineStr">
        <is>
          <t>1755</t>
        </is>
      </c>
      <c r="E843" s="41" t="inlineStr">
        <is>
          <t>0000</t>
        </is>
      </c>
      <c r="F843" s="42" t="inlineStr">
        <is>
          <t>래미안 리더스원</t>
        </is>
      </c>
      <c r="G843" s="41" t="inlineStr">
        <is>
          <t>114.9400</t>
        </is>
      </c>
      <c r="H843" s="41" t="inlineStr">
        <is>
          <t>202502</t>
        </is>
      </c>
      <c r="I843" s="41" t="inlineStr">
        <is>
          <t>12</t>
        </is>
      </c>
      <c r="J843" s="41" t="inlineStr">
        <is>
          <t>395,000</t>
        </is>
      </c>
      <c r="K843" s="41" t="inlineStr">
        <is>
          <t>107동</t>
        </is>
      </c>
      <c r="L843" s="41" t="inlineStr">
        <is>
          <t>14</t>
        </is>
      </c>
      <c r="M843" s="42" t="inlineStr">
        <is>
          <t>개인</t>
        </is>
      </c>
      <c r="N843" s="42" t="inlineStr">
        <is>
          <t>개인</t>
        </is>
      </c>
      <c r="O843" s="41" t="inlineStr">
        <is>
          <t>2020</t>
        </is>
      </c>
      <c r="P843" s="42" t="inlineStr">
        <is>
          <t>서운로 62</t>
        </is>
      </c>
      <c r="Q843" s="41" t="inlineStr">
        <is>
          <t>-</t>
        </is>
      </c>
      <c r="R843" s="42" t="inlineStr">
        <is>
          <t>중개거래</t>
        </is>
      </c>
      <c r="S843" s="42" t="inlineStr">
        <is>
          <t>서울 강남구, 서울 서초구</t>
        </is>
      </c>
      <c r="T843" s="41" t="inlineStr">
        <is>
          <t>25.08.05</t>
        </is>
      </c>
      <c r="U843" s="42" t="inlineStr">
        <is>
          <t>아파트</t>
        </is>
      </c>
    </row>
    <row r="844" hidden="1" ht="15" customHeight="1">
      <c r="A844" s="41" t="n">
        <v>311</v>
      </c>
      <c r="B844" s="42" t="inlineStr">
        <is>
          <t>서울특별시 서초구 서초동</t>
        </is>
      </c>
      <c r="C844" s="41" t="inlineStr">
        <is>
          <t>1684</t>
        </is>
      </c>
      <c r="D844" s="41" t="inlineStr">
        <is>
          <t>1684</t>
        </is>
      </c>
      <c r="E844" s="41" t="inlineStr">
        <is>
          <t>0000</t>
        </is>
      </c>
      <c r="F844" s="42" t="inlineStr">
        <is>
          <t>서초4현대</t>
        </is>
      </c>
      <c r="G844" s="41" t="inlineStr">
        <is>
          <t>52.3600</t>
        </is>
      </c>
      <c r="H844" s="41" t="inlineStr">
        <is>
          <t>202502</t>
        </is>
      </c>
      <c r="I844" s="41" t="inlineStr">
        <is>
          <t>11</t>
        </is>
      </c>
      <c r="J844" s="41" t="inlineStr">
        <is>
          <t>114,000</t>
        </is>
      </c>
      <c r="K844" s="41" t="inlineStr">
        <is>
          <t>101</t>
        </is>
      </c>
      <c r="L844" s="41" t="inlineStr">
        <is>
          <t>9</t>
        </is>
      </c>
      <c r="M844" s="42" t="inlineStr">
        <is>
          <t>개인</t>
        </is>
      </c>
      <c r="N844" s="42" t="inlineStr">
        <is>
          <t>개인</t>
        </is>
      </c>
      <c r="O844" s="41" t="inlineStr">
        <is>
          <t>2000</t>
        </is>
      </c>
      <c r="P844" s="42" t="inlineStr">
        <is>
          <t>고무래로 94</t>
        </is>
      </c>
      <c r="Q844" s="41" t="inlineStr">
        <is>
          <t>-</t>
        </is>
      </c>
      <c r="R844" s="42" t="inlineStr">
        <is>
          <t>중개거래</t>
        </is>
      </c>
      <c r="S844" s="42" t="inlineStr">
        <is>
          <t>서울 서초구</t>
        </is>
      </c>
      <c r="T844" s="41" t="inlineStr">
        <is>
          <t>25.05.08</t>
        </is>
      </c>
      <c r="U844" s="42" t="inlineStr">
        <is>
          <t>아파트</t>
        </is>
      </c>
    </row>
    <row r="845" hidden="1" ht="15" customHeight="1">
      <c r="A845" s="41" t="n">
        <v>312</v>
      </c>
      <c r="B845" s="42" t="inlineStr">
        <is>
          <t>서울특별시 서초구 서초동</t>
        </is>
      </c>
      <c r="C845" s="41" t="inlineStr">
        <is>
          <t>1641-1</t>
        </is>
      </c>
      <c r="D845" s="41" t="inlineStr">
        <is>
          <t>1641</t>
        </is>
      </c>
      <c r="E845" s="41" t="inlineStr">
        <is>
          <t>0001</t>
        </is>
      </c>
      <c r="F845" s="42" t="inlineStr">
        <is>
          <t>서초삼성래미안</t>
        </is>
      </c>
      <c r="G845" s="41" t="inlineStr">
        <is>
          <t>84.9700</t>
        </is>
      </c>
      <c r="H845" s="41" t="inlineStr">
        <is>
          <t>202502</t>
        </is>
      </c>
      <c r="I845" s="41" t="inlineStr">
        <is>
          <t>11</t>
        </is>
      </c>
      <c r="J845" s="41" t="inlineStr">
        <is>
          <t>176,000</t>
        </is>
      </c>
      <c r="K845" s="41" t="inlineStr">
        <is>
          <t>103</t>
        </is>
      </c>
      <c r="L845" s="41" t="inlineStr">
        <is>
          <t>2</t>
        </is>
      </c>
      <c r="M845" s="42" t="inlineStr">
        <is>
          <t>개인</t>
        </is>
      </c>
      <c r="N845" s="42" t="inlineStr">
        <is>
          <t>개인</t>
        </is>
      </c>
      <c r="O845" s="41" t="inlineStr">
        <is>
          <t>2001</t>
        </is>
      </c>
      <c r="P845" s="42" t="inlineStr">
        <is>
          <t>사임당로17길 116</t>
        </is>
      </c>
      <c r="Q845" s="41" t="inlineStr">
        <is>
          <t>-</t>
        </is>
      </c>
      <c r="R845" s="42" t="inlineStr">
        <is>
          <t>중개거래</t>
        </is>
      </c>
      <c r="S845" s="42" t="inlineStr">
        <is>
          <t>서울 서초구</t>
        </is>
      </c>
      <c r="T845" s="41" t="inlineStr">
        <is>
          <t>25.06.09</t>
        </is>
      </c>
      <c r="U845" s="42" t="inlineStr">
        <is>
          <t>아파트</t>
        </is>
      </c>
    </row>
    <row r="846" hidden="1" ht="15" customHeight="1">
      <c r="A846" s="41" t="n">
        <v>313</v>
      </c>
      <c r="B846" s="42" t="inlineStr">
        <is>
          <t>서울특별시 서초구 서초동</t>
        </is>
      </c>
      <c r="C846" s="41" t="inlineStr">
        <is>
          <t>1344-13</t>
        </is>
      </c>
      <c r="D846" s="41" t="inlineStr">
        <is>
          <t>1344</t>
        </is>
      </c>
      <c r="E846" s="41" t="inlineStr">
        <is>
          <t>0013</t>
        </is>
      </c>
      <c r="F846" s="42" t="inlineStr">
        <is>
          <t>서초트라팰리스</t>
        </is>
      </c>
      <c r="G846" s="41" t="inlineStr">
        <is>
          <t>81.7600</t>
        </is>
      </c>
      <c r="H846" s="41" t="inlineStr">
        <is>
          <t>202502</t>
        </is>
      </c>
      <c r="I846" s="41" t="inlineStr">
        <is>
          <t>10</t>
        </is>
      </c>
      <c r="J846" s="41" t="inlineStr">
        <is>
          <t>149,000</t>
        </is>
      </c>
      <c r="K846" s="41" t="inlineStr">
        <is>
          <t>A</t>
        </is>
      </c>
      <c r="L846" s="41" t="inlineStr">
        <is>
          <t>7</t>
        </is>
      </c>
      <c r="M846" s="42" t="inlineStr">
        <is>
          <t>개인</t>
        </is>
      </c>
      <c r="N846" s="42" t="inlineStr">
        <is>
          <t>개인</t>
        </is>
      </c>
      <c r="O846" s="41" t="inlineStr">
        <is>
          <t>2005</t>
        </is>
      </c>
      <c r="P846" s="42" t="inlineStr">
        <is>
          <t>효령로72길 57</t>
        </is>
      </c>
      <c r="Q846" s="41" t="inlineStr">
        <is>
          <t>-</t>
        </is>
      </c>
      <c r="R846" s="42" t="inlineStr">
        <is>
          <t>중개거래</t>
        </is>
      </c>
      <c r="S846" s="42" t="inlineStr">
        <is>
          <t>서울 서초구</t>
        </is>
      </c>
      <c r="T846" s="41" t="inlineStr">
        <is>
          <t>25.04.29</t>
        </is>
      </c>
      <c r="U846" s="42" t="inlineStr">
        <is>
          <t>아파트</t>
        </is>
      </c>
    </row>
    <row r="847" hidden="1" ht="15" customHeight="1">
      <c r="A847" s="41" t="n">
        <v>314</v>
      </c>
      <c r="B847" s="42" t="inlineStr">
        <is>
          <t>서울특별시 서초구 서초동</t>
        </is>
      </c>
      <c r="C847" s="41" t="inlineStr">
        <is>
          <t>1311-10</t>
        </is>
      </c>
      <c r="D847" s="41" t="inlineStr">
        <is>
          <t>1311</t>
        </is>
      </c>
      <c r="E847" s="41" t="inlineStr">
        <is>
          <t>0010</t>
        </is>
      </c>
      <c r="F847" s="42" t="inlineStr">
        <is>
          <t>서초푸르지오써밋</t>
        </is>
      </c>
      <c r="G847" s="41" t="inlineStr">
        <is>
          <t>97.7000</t>
        </is>
      </c>
      <c r="H847" s="41" t="inlineStr">
        <is>
          <t>202502</t>
        </is>
      </c>
      <c r="I847" s="41" t="inlineStr">
        <is>
          <t>09</t>
        </is>
      </c>
      <c r="J847" s="41" t="inlineStr">
        <is>
          <t>320,000</t>
        </is>
      </c>
      <c r="K847" s="41" t="inlineStr">
        <is>
          <t>202</t>
        </is>
      </c>
      <c r="L847" s="41" t="inlineStr">
        <is>
          <t>21</t>
        </is>
      </c>
      <c r="M847" s="42" t="inlineStr">
        <is>
          <t>개인</t>
        </is>
      </c>
      <c r="N847" s="42" t="inlineStr">
        <is>
          <t>개인</t>
        </is>
      </c>
      <c r="O847" s="41" t="inlineStr">
        <is>
          <t>2017</t>
        </is>
      </c>
      <c r="P847" s="42" t="inlineStr">
        <is>
          <t>서운로 212</t>
        </is>
      </c>
      <c r="Q847" s="41" t="inlineStr">
        <is>
          <t>-</t>
        </is>
      </c>
      <c r="R847" s="42" t="inlineStr">
        <is>
          <t>중개거래</t>
        </is>
      </c>
      <c r="S847" s="42" t="inlineStr">
        <is>
          <t>서울 서초구</t>
        </is>
      </c>
      <c r="T847" s="41" t="inlineStr">
        <is>
          <t>25.04.25</t>
        </is>
      </c>
      <c r="U847" s="42" t="inlineStr">
        <is>
          <t>아파트</t>
        </is>
      </c>
    </row>
    <row r="848" hidden="1" ht="15" customHeight="1">
      <c r="A848" s="41" t="n">
        <v>315</v>
      </c>
      <c r="B848" s="42" t="inlineStr">
        <is>
          <t>서울특별시 서초구 서초동</t>
        </is>
      </c>
      <c r="C848" s="41" t="inlineStr">
        <is>
          <t>1757</t>
        </is>
      </c>
      <c r="D848" s="41" t="inlineStr">
        <is>
          <t>1757</t>
        </is>
      </c>
      <c r="E848" s="41" t="inlineStr">
        <is>
          <t>0000</t>
        </is>
      </c>
      <c r="F848" s="42" t="inlineStr">
        <is>
          <t>서초그랑자이</t>
        </is>
      </c>
      <c r="G848" s="41" t="inlineStr">
        <is>
          <t>119.4100</t>
        </is>
      </c>
      <c r="H848" s="41" t="inlineStr">
        <is>
          <t>202502</t>
        </is>
      </c>
      <c r="I848" s="41" t="inlineStr">
        <is>
          <t>08</t>
        </is>
      </c>
      <c r="J848" s="41" t="inlineStr">
        <is>
          <t>430,000</t>
        </is>
      </c>
      <c r="K848" s="41" t="inlineStr">
        <is>
          <t>107동</t>
        </is>
      </c>
      <c r="L848" s="41" t="inlineStr">
        <is>
          <t>21</t>
        </is>
      </c>
      <c r="M848" s="42" t="inlineStr">
        <is>
          <t>개인</t>
        </is>
      </c>
      <c r="N848" s="42" t="inlineStr">
        <is>
          <t>개인</t>
        </is>
      </c>
      <c r="O848" s="41" t="inlineStr">
        <is>
          <t>2021</t>
        </is>
      </c>
      <c r="P848" s="42" t="inlineStr">
        <is>
          <t>효령로 391</t>
        </is>
      </c>
      <c r="Q848" s="41" t="inlineStr">
        <is>
          <t>-</t>
        </is>
      </c>
      <c r="R848" s="42" t="inlineStr">
        <is>
          <t>중개거래</t>
        </is>
      </c>
      <c r="S848" s="42" t="inlineStr">
        <is>
          <t>서울 강남구, 서울 서초구</t>
        </is>
      </c>
      <c r="T848" s="41" t="inlineStr">
        <is>
          <t>25.05.09</t>
        </is>
      </c>
      <c r="U848" s="42" t="inlineStr">
        <is>
          <t>아파트</t>
        </is>
      </c>
    </row>
    <row r="849" hidden="1" ht="15" customHeight="1">
      <c r="A849" s="41" t="n">
        <v>316</v>
      </c>
      <c r="B849" s="42" t="inlineStr">
        <is>
          <t>서울특별시 서초구 서초동</t>
        </is>
      </c>
      <c r="C849" s="41" t="inlineStr">
        <is>
          <t>1757</t>
        </is>
      </c>
      <c r="D849" s="41" t="inlineStr">
        <is>
          <t>1757</t>
        </is>
      </c>
      <c r="E849" s="41" t="inlineStr">
        <is>
          <t>0000</t>
        </is>
      </c>
      <c r="F849" s="42" t="inlineStr">
        <is>
          <t>서초그랑자이</t>
        </is>
      </c>
      <c r="G849" s="41" t="inlineStr">
        <is>
          <t>119.4100</t>
        </is>
      </c>
      <c r="H849" s="41" t="inlineStr">
        <is>
          <t>202502</t>
        </is>
      </c>
      <c r="I849" s="41" t="inlineStr">
        <is>
          <t>08</t>
        </is>
      </c>
      <c r="J849" s="41" t="inlineStr">
        <is>
          <t>415,000</t>
        </is>
      </c>
      <c r="K849" s="41" t="inlineStr">
        <is>
          <t>107동</t>
        </is>
      </c>
      <c r="L849" s="41" t="inlineStr">
        <is>
          <t>10</t>
        </is>
      </c>
      <c r="M849" s="42" t="inlineStr">
        <is>
          <t>개인</t>
        </is>
      </c>
      <c r="N849" s="42" t="inlineStr">
        <is>
          <t>개인</t>
        </is>
      </c>
      <c r="O849" s="41" t="inlineStr">
        <is>
          <t>2021</t>
        </is>
      </c>
      <c r="P849" s="42" t="inlineStr">
        <is>
          <t>효령로 391</t>
        </is>
      </c>
      <c r="Q849" s="41" t="inlineStr">
        <is>
          <t>-</t>
        </is>
      </c>
      <c r="R849" s="42" t="inlineStr">
        <is>
          <t>중개거래</t>
        </is>
      </c>
      <c r="S849" s="42" t="inlineStr">
        <is>
          <t>경기 수원시 영통구, 서울 서초구</t>
        </is>
      </c>
      <c r="T849" s="41" t="inlineStr">
        <is>
          <t>25.03.07</t>
        </is>
      </c>
      <c r="U849" s="42" t="inlineStr">
        <is>
          <t>아파트</t>
        </is>
      </c>
    </row>
    <row r="850" hidden="1" ht="15" customHeight="1">
      <c r="A850" s="41" t="n">
        <v>317</v>
      </c>
      <c r="B850" s="42" t="inlineStr">
        <is>
          <t>서울특별시 서초구 서초동</t>
        </is>
      </c>
      <c r="C850" s="41" t="inlineStr">
        <is>
          <t>1755</t>
        </is>
      </c>
      <c r="D850" s="41" t="inlineStr">
        <is>
          <t>1755</t>
        </is>
      </c>
      <c r="E850" s="41" t="inlineStr">
        <is>
          <t>0000</t>
        </is>
      </c>
      <c r="F850" s="42" t="inlineStr">
        <is>
          <t>래미안 리더스원</t>
        </is>
      </c>
      <c r="G850" s="41" t="inlineStr">
        <is>
          <t>74.9000</t>
        </is>
      </c>
      <c r="H850" s="41" t="inlineStr">
        <is>
          <t>202502</t>
        </is>
      </c>
      <c r="I850" s="41" t="inlineStr">
        <is>
          <t>08</t>
        </is>
      </c>
      <c r="J850" s="41" t="inlineStr">
        <is>
          <t>290,000</t>
        </is>
      </c>
      <c r="K850" s="41" t="inlineStr">
        <is>
          <t>108동</t>
        </is>
      </c>
      <c r="L850" s="41" t="inlineStr">
        <is>
          <t>4</t>
        </is>
      </c>
      <c r="M850" s="42" t="inlineStr">
        <is>
          <t>개인</t>
        </is>
      </c>
      <c r="N850" s="42" t="inlineStr">
        <is>
          <t>개인</t>
        </is>
      </c>
      <c r="O850" s="41" t="inlineStr">
        <is>
          <t>2020</t>
        </is>
      </c>
      <c r="P850" s="42" t="inlineStr">
        <is>
          <t>서운로 62</t>
        </is>
      </c>
      <c r="Q850" s="41" t="inlineStr">
        <is>
          <t>-</t>
        </is>
      </c>
      <c r="R850" s="42" t="inlineStr">
        <is>
          <t>중개거래</t>
        </is>
      </c>
      <c r="S850" s="42" t="inlineStr">
        <is>
          <t>서울 서초구</t>
        </is>
      </c>
      <c r="T850" s="41" t="inlineStr">
        <is>
          <t>25.09.01</t>
        </is>
      </c>
      <c r="U850" s="42" t="inlineStr">
        <is>
          <t>아파트</t>
        </is>
      </c>
    </row>
    <row r="851" hidden="1" ht="15" customHeight="1">
      <c r="A851" s="41" t="n">
        <v>318</v>
      </c>
      <c r="B851" s="42" t="inlineStr">
        <is>
          <t>서울특별시 서초구 서초동</t>
        </is>
      </c>
      <c r="C851" s="41" t="inlineStr">
        <is>
          <t>1311-10</t>
        </is>
      </c>
      <c r="D851" s="41" t="inlineStr">
        <is>
          <t>1311</t>
        </is>
      </c>
      <c r="E851" s="41" t="inlineStr">
        <is>
          <t>0010</t>
        </is>
      </c>
      <c r="F851" s="42" t="inlineStr">
        <is>
          <t>서초푸르지오써밋</t>
        </is>
      </c>
      <c r="G851" s="41" t="inlineStr">
        <is>
          <t>59.6200</t>
        </is>
      </c>
      <c r="H851" s="41" t="inlineStr">
        <is>
          <t>202502</t>
        </is>
      </c>
      <c r="I851" s="41" t="inlineStr">
        <is>
          <t>08</t>
        </is>
      </c>
      <c r="J851" s="41" t="inlineStr">
        <is>
          <t>249,000</t>
        </is>
      </c>
      <c r="K851" s="41" t="inlineStr">
        <is>
          <t>102</t>
        </is>
      </c>
      <c r="L851" s="41" t="inlineStr">
        <is>
          <t>34</t>
        </is>
      </c>
      <c r="M851" s="42" t="inlineStr">
        <is>
          <t>개인</t>
        </is>
      </c>
      <c r="N851" s="42" t="inlineStr">
        <is>
          <t>개인</t>
        </is>
      </c>
      <c r="O851" s="41" t="inlineStr">
        <is>
          <t>2017</t>
        </is>
      </c>
      <c r="P851" s="42" t="inlineStr">
        <is>
          <t>서운로 201</t>
        </is>
      </c>
      <c r="Q851" s="41" t="inlineStr">
        <is>
          <t>-</t>
        </is>
      </c>
      <c r="R851" s="42" t="inlineStr">
        <is>
          <t>중개거래</t>
        </is>
      </c>
      <c r="S851" s="42" t="inlineStr">
        <is>
          <t>서울 서초구</t>
        </is>
      </c>
      <c r="T851" s="41" t="inlineStr">
        <is>
          <t>25.04.18</t>
        </is>
      </c>
      <c r="U851" s="42" t="inlineStr">
        <is>
          <t>아파트</t>
        </is>
      </c>
    </row>
    <row r="852" hidden="1" ht="15" customHeight="1">
      <c r="A852" s="41" t="n">
        <v>319</v>
      </c>
      <c r="B852" s="42" t="inlineStr">
        <is>
          <t>서울특별시 서초구 서초동</t>
        </is>
      </c>
      <c r="C852" s="41" t="inlineStr">
        <is>
          <t>1560-9</t>
        </is>
      </c>
      <c r="D852" s="41" t="inlineStr">
        <is>
          <t>1560</t>
        </is>
      </c>
      <c r="E852" s="41" t="inlineStr">
        <is>
          <t>0009</t>
        </is>
      </c>
      <c r="F852" s="42" t="inlineStr">
        <is>
          <t>서초우방유쉘</t>
        </is>
      </c>
      <c r="G852" s="41" t="inlineStr">
        <is>
          <t>84.9500</t>
        </is>
      </c>
      <c r="H852" s="41" t="inlineStr">
        <is>
          <t>202502</t>
        </is>
      </c>
      <c r="I852" s="41" t="inlineStr">
        <is>
          <t>08</t>
        </is>
      </c>
      <c r="J852" s="41" t="inlineStr">
        <is>
          <t>142,500</t>
        </is>
      </c>
      <c r="K852" s="41" t="inlineStr">
        <is>
          <t>101</t>
        </is>
      </c>
      <c r="L852" s="41" t="inlineStr">
        <is>
          <t>7</t>
        </is>
      </c>
      <c r="M852" s="42" t="inlineStr">
        <is>
          <t>개인</t>
        </is>
      </c>
      <c r="N852" s="42" t="inlineStr">
        <is>
          <t>개인</t>
        </is>
      </c>
      <c r="O852" s="41" t="inlineStr">
        <is>
          <t>2006</t>
        </is>
      </c>
      <c r="P852" s="42" t="inlineStr">
        <is>
          <t>서초대로46길 62</t>
        </is>
      </c>
      <c r="Q852" s="41" t="inlineStr">
        <is>
          <t>-</t>
        </is>
      </c>
      <c r="R852" s="42" t="inlineStr">
        <is>
          <t>중개거래</t>
        </is>
      </c>
      <c r="S852" s="42" t="inlineStr">
        <is>
          <t>서울 관악구, 서울 서초구</t>
        </is>
      </c>
      <c r="T852" s="41" t="inlineStr">
        <is>
          <t>25.04.01</t>
        </is>
      </c>
      <c r="U852" s="42" t="inlineStr">
        <is>
          <t>아파트</t>
        </is>
      </c>
    </row>
    <row r="853" hidden="1" ht="15" customHeight="1">
      <c r="A853" s="41" t="n">
        <v>320</v>
      </c>
      <c r="B853" s="42" t="inlineStr">
        <is>
          <t>서울특별시 서초구 서초동</t>
        </is>
      </c>
      <c r="C853" s="41" t="inlineStr">
        <is>
          <t>1685</t>
        </is>
      </c>
      <c r="D853" s="41" t="inlineStr">
        <is>
          <t>1685</t>
        </is>
      </c>
      <c r="E853" s="41" t="inlineStr">
        <is>
          <t>0000</t>
        </is>
      </c>
      <c r="F853" s="42" t="inlineStr">
        <is>
          <t>삼풍아파트</t>
        </is>
      </c>
      <c r="G853" s="41" t="inlineStr">
        <is>
          <t>79.4700</t>
        </is>
      </c>
      <c r="H853" s="41" t="inlineStr">
        <is>
          <t>202502</t>
        </is>
      </c>
      <c r="I853" s="41" t="inlineStr">
        <is>
          <t>07</t>
        </is>
      </c>
      <c r="J853" s="41" t="inlineStr">
        <is>
          <t>269,000</t>
        </is>
      </c>
      <c r="K853" s="41" t="inlineStr">
        <is>
          <t>1</t>
        </is>
      </c>
      <c r="L853" s="41" t="inlineStr">
        <is>
          <t>9</t>
        </is>
      </c>
      <c r="M853" s="42" t="inlineStr">
        <is>
          <t>개인</t>
        </is>
      </c>
      <c r="N853" s="42" t="inlineStr">
        <is>
          <t>개인</t>
        </is>
      </c>
      <c r="O853" s="41" t="inlineStr">
        <is>
          <t>1988</t>
        </is>
      </c>
      <c r="P853" s="42" t="inlineStr">
        <is>
          <t>서초중앙로 200</t>
        </is>
      </c>
      <c r="Q853" s="41" t="inlineStr">
        <is>
          <t>-</t>
        </is>
      </c>
      <c r="R853" s="42" t="inlineStr">
        <is>
          <t>중개거래</t>
        </is>
      </c>
      <c r="S853" s="42" t="inlineStr">
        <is>
          <t>서울 서초구</t>
        </is>
      </c>
      <c r="T853" s="41" t="inlineStr">
        <is>
          <t>25.04.25</t>
        </is>
      </c>
      <c r="U853" s="42" t="inlineStr">
        <is>
          <t>아파트</t>
        </is>
      </c>
    </row>
    <row r="854" hidden="1" ht="15" customHeight="1">
      <c r="A854" s="41" t="n">
        <v>321</v>
      </c>
      <c r="B854" s="42" t="inlineStr">
        <is>
          <t>서울특별시 서초구 서초동</t>
        </is>
      </c>
      <c r="C854" s="41" t="inlineStr">
        <is>
          <t>1755</t>
        </is>
      </c>
      <c r="D854" s="41" t="inlineStr">
        <is>
          <t>1755</t>
        </is>
      </c>
      <c r="E854" s="41" t="inlineStr">
        <is>
          <t>0000</t>
        </is>
      </c>
      <c r="F854" s="42" t="inlineStr">
        <is>
          <t>래미안 리더스원</t>
        </is>
      </c>
      <c r="G854" s="41" t="inlineStr">
        <is>
          <t>59.9600</t>
        </is>
      </c>
      <c r="H854" s="41" t="inlineStr">
        <is>
          <t>202502</t>
        </is>
      </c>
      <c r="I854" s="41" t="inlineStr">
        <is>
          <t>07</t>
        </is>
      </c>
      <c r="J854" s="41" t="inlineStr">
        <is>
          <t>269,000</t>
        </is>
      </c>
      <c r="K854" s="41" t="inlineStr">
        <is>
          <t>110동</t>
        </is>
      </c>
      <c r="L854" s="41" t="inlineStr">
        <is>
          <t>29</t>
        </is>
      </c>
      <c r="M854" s="42" t="inlineStr">
        <is>
          <t>개인</t>
        </is>
      </c>
      <c r="N854" s="42" t="inlineStr">
        <is>
          <t>개인</t>
        </is>
      </c>
      <c r="O854" s="41" t="inlineStr">
        <is>
          <t>2020</t>
        </is>
      </c>
      <c r="P854" s="42" t="inlineStr">
        <is>
          <t>서운로 62</t>
        </is>
      </c>
      <c r="Q854" s="41" t="inlineStr">
        <is>
          <t>-</t>
        </is>
      </c>
      <c r="R854" s="42" t="inlineStr">
        <is>
          <t>중개거래</t>
        </is>
      </c>
      <c r="S854" s="42" t="inlineStr">
        <is>
          <t>서울 서초구</t>
        </is>
      </c>
      <c r="T854" s="41" t="inlineStr">
        <is>
          <t>25.05.29</t>
        </is>
      </c>
      <c r="U854" s="42" t="inlineStr">
        <is>
          <t>아파트</t>
        </is>
      </c>
    </row>
    <row r="855" hidden="1" ht="15" customHeight="1">
      <c r="A855" s="41" t="n">
        <v>322</v>
      </c>
      <c r="B855" s="42" t="inlineStr">
        <is>
          <t>서울특별시 서초구 서초동</t>
        </is>
      </c>
      <c r="C855" s="41" t="inlineStr">
        <is>
          <t>1754</t>
        </is>
      </c>
      <c r="D855" s="41" t="inlineStr">
        <is>
          <t>1754</t>
        </is>
      </c>
      <c r="E855" s="41" t="inlineStr">
        <is>
          <t>0000</t>
        </is>
      </c>
      <c r="F855" s="42" t="inlineStr">
        <is>
          <t>래미안서초에스티지S</t>
        </is>
      </c>
      <c r="G855" s="41" t="inlineStr">
        <is>
          <t>84.8000</t>
        </is>
      </c>
      <c r="H855" s="41" t="inlineStr">
        <is>
          <t>202502</t>
        </is>
      </c>
      <c r="I855" s="41" t="inlineStr">
        <is>
          <t>06</t>
        </is>
      </c>
      <c r="J855" s="41" t="inlineStr">
        <is>
          <t>300,000</t>
        </is>
      </c>
      <c r="K855" s="41" t="inlineStr">
        <is>
          <t>201</t>
        </is>
      </c>
      <c r="L855" s="41" t="inlineStr">
        <is>
          <t>11</t>
        </is>
      </c>
      <c r="M855" s="42" t="inlineStr">
        <is>
          <t>개인</t>
        </is>
      </c>
      <c r="N855" s="42" t="inlineStr">
        <is>
          <t>개인</t>
        </is>
      </c>
      <c r="O855" s="41" t="inlineStr">
        <is>
          <t>2018</t>
        </is>
      </c>
      <c r="P855" s="42" t="inlineStr">
        <is>
          <t>서운로 104</t>
        </is>
      </c>
      <c r="Q855" s="41" t="inlineStr">
        <is>
          <t>-</t>
        </is>
      </c>
      <c r="R855" s="42" t="inlineStr">
        <is>
          <t>중개거래</t>
        </is>
      </c>
      <c r="S855" s="42" t="inlineStr">
        <is>
          <t>서울 서초구</t>
        </is>
      </c>
      <c r="T855" s="41" t="inlineStr">
        <is>
          <t>25.05.28</t>
        </is>
      </c>
      <c r="U855" s="42" t="inlineStr">
        <is>
          <t>아파트</t>
        </is>
      </c>
    </row>
    <row r="856" hidden="1" ht="15" customHeight="1">
      <c r="A856" s="41" t="n">
        <v>323</v>
      </c>
      <c r="B856" s="42" t="inlineStr">
        <is>
          <t>서울특별시 서초구 서초동</t>
        </is>
      </c>
      <c r="C856" s="41" t="inlineStr">
        <is>
          <t>1445-4</t>
        </is>
      </c>
      <c r="D856" s="41" t="inlineStr">
        <is>
          <t>1445</t>
        </is>
      </c>
      <c r="E856" s="41" t="inlineStr">
        <is>
          <t>0004</t>
        </is>
      </c>
      <c r="F856" s="42" t="inlineStr">
        <is>
          <t>래미안서초유니빌</t>
        </is>
      </c>
      <c r="G856" s="41" t="inlineStr">
        <is>
          <t>45.2550</t>
        </is>
      </c>
      <c r="H856" s="41" t="inlineStr">
        <is>
          <t>202502</t>
        </is>
      </c>
      <c r="I856" s="41" t="inlineStr">
        <is>
          <t>06</t>
        </is>
      </c>
      <c r="J856" s="41" t="inlineStr">
        <is>
          <t>51,000</t>
        </is>
      </c>
      <c r="K856" s="42" t="inlineStr">
        <is>
          <t>래미안 서초유니빌</t>
        </is>
      </c>
      <c r="L856" s="41" t="inlineStr">
        <is>
          <t>15</t>
        </is>
      </c>
      <c r="M856" s="42" t="inlineStr">
        <is>
          <t>개인</t>
        </is>
      </c>
      <c r="N856" s="42" t="inlineStr">
        <is>
          <t>개인</t>
        </is>
      </c>
      <c r="O856" s="41" t="inlineStr">
        <is>
          <t>2003</t>
        </is>
      </c>
      <c r="P856" s="42" t="inlineStr">
        <is>
          <t>서초중앙로 26</t>
        </is>
      </c>
      <c r="Q856" s="41" t="inlineStr">
        <is>
          <t>-</t>
        </is>
      </c>
      <c r="R856" s="42" t="inlineStr">
        <is>
          <t>중개거래</t>
        </is>
      </c>
      <c r="S856" s="42" t="inlineStr">
        <is>
          <t>서울 서초구</t>
        </is>
      </c>
      <c r="T856" s="41" t="inlineStr">
        <is>
          <t>25.04.07</t>
        </is>
      </c>
      <c r="U856" s="42" t="inlineStr">
        <is>
          <t>아파트</t>
        </is>
      </c>
    </row>
    <row r="857" hidden="1" ht="15" customHeight="1">
      <c r="A857" s="41" t="n">
        <v>324</v>
      </c>
      <c r="B857" s="42" t="inlineStr">
        <is>
          <t>서울특별시 서초구 서초동</t>
        </is>
      </c>
      <c r="C857" s="41" t="inlineStr">
        <is>
          <t>1685</t>
        </is>
      </c>
      <c r="D857" s="41" t="inlineStr">
        <is>
          <t>1685</t>
        </is>
      </c>
      <c r="E857" s="41" t="inlineStr">
        <is>
          <t>0000</t>
        </is>
      </c>
      <c r="F857" s="42" t="inlineStr">
        <is>
          <t>삼풍아파트</t>
        </is>
      </c>
      <c r="G857" s="41" t="inlineStr">
        <is>
          <t>163.8100</t>
        </is>
      </c>
      <c r="H857" s="41" t="inlineStr">
        <is>
          <t>202502</t>
        </is>
      </c>
      <c r="I857" s="41" t="inlineStr">
        <is>
          <t>06</t>
        </is>
      </c>
      <c r="J857" s="41" t="inlineStr">
        <is>
          <t>405,000</t>
        </is>
      </c>
      <c r="K857" s="41" t="inlineStr">
        <is>
          <t>22</t>
        </is>
      </c>
      <c r="L857" s="41" t="inlineStr">
        <is>
          <t>10</t>
        </is>
      </c>
      <c r="M857" s="42" t="inlineStr">
        <is>
          <t>개인</t>
        </is>
      </c>
      <c r="N857" s="42" t="inlineStr">
        <is>
          <t>개인</t>
        </is>
      </c>
      <c r="O857" s="41" t="inlineStr">
        <is>
          <t>1988</t>
        </is>
      </c>
      <c r="P857" s="42" t="inlineStr">
        <is>
          <t>서초중앙로 200</t>
        </is>
      </c>
      <c r="Q857" s="41" t="inlineStr">
        <is>
          <t>-</t>
        </is>
      </c>
      <c r="R857" s="42" t="inlineStr">
        <is>
          <t>중개거래</t>
        </is>
      </c>
      <c r="S857" s="42" t="inlineStr">
        <is>
          <t>서울 서초구</t>
        </is>
      </c>
      <c r="T857" s="41" t="inlineStr">
        <is>
          <t>25.04.10</t>
        </is>
      </c>
      <c r="U857" s="42" t="inlineStr">
        <is>
          <t>아파트</t>
        </is>
      </c>
    </row>
    <row r="858" hidden="1" ht="15" customHeight="1">
      <c r="A858" s="41" t="n">
        <v>325</v>
      </c>
      <c r="B858" s="42" t="inlineStr">
        <is>
          <t>서울특별시 서초구 서초동</t>
        </is>
      </c>
      <c r="C858" s="41" t="inlineStr">
        <is>
          <t>1582-3</t>
        </is>
      </c>
      <c r="D858" s="41" t="inlineStr">
        <is>
          <t>1582</t>
        </is>
      </c>
      <c r="E858" s="41" t="inlineStr">
        <is>
          <t>0003</t>
        </is>
      </c>
      <c r="F858" s="42" t="inlineStr">
        <is>
          <t>서초센트럴IPARK</t>
        </is>
      </c>
      <c r="G858" s="41" t="inlineStr">
        <is>
          <t>80.5004</t>
        </is>
      </c>
      <c r="H858" s="41" t="inlineStr">
        <is>
          <t>202502</t>
        </is>
      </c>
      <c r="I858" s="41" t="inlineStr">
        <is>
          <t>05</t>
        </is>
      </c>
      <c r="J858" s="41" t="inlineStr">
        <is>
          <t>190,000</t>
        </is>
      </c>
      <c r="K858" s="41" t="inlineStr">
        <is>
          <t>-</t>
        </is>
      </c>
      <c r="L858" s="41" t="inlineStr">
        <is>
          <t>9</t>
        </is>
      </c>
      <c r="M858" s="42" t="inlineStr">
        <is>
          <t>개인</t>
        </is>
      </c>
      <c r="N858" s="42" t="inlineStr">
        <is>
          <t>개인</t>
        </is>
      </c>
      <c r="O858" s="41" t="inlineStr">
        <is>
          <t>2020</t>
        </is>
      </c>
      <c r="P858" s="42" t="inlineStr">
        <is>
          <t>반포대로18길 36</t>
        </is>
      </c>
      <c r="Q858" s="41" t="inlineStr">
        <is>
          <t>20250729</t>
        </is>
      </c>
      <c r="R858" s="42" t="inlineStr">
        <is>
          <t>중개거래</t>
        </is>
      </c>
      <c r="S858" s="42" t="inlineStr">
        <is>
          <t>경기 포천시</t>
        </is>
      </c>
      <c r="T858" s="41" t="inlineStr">
        <is>
          <t>-</t>
        </is>
      </c>
      <c r="U858" s="42" t="inlineStr">
        <is>
          <t>아파트</t>
        </is>
      </c>
    </row>
    <row r="859" hidden="1" ht="15" customHeight="1">
      <c r="A859" s="41" t="n">
        <v>326</v>
      </c>
      <c r="B859" s="42" t="inlineStr">
        <is>
          <t>서울특별시 서초구 서초동</t>
        </is>
      </c>
      <c r="C859" s="41" t="inlineStr">
        <is>
          <t>1641-1</t>
        </is>
      </c>
      <c r="D859" s="41" t="inlineStr">
        <is>
          <t>1641</t>
        </is>
      </c>
      <c r="E859" s="41" t="inlineStr">
        <is>
          <t>0001</t>
        </is>
      </c>
      <c r="F859" s="42" t="inlineStr">
        <is>
          <t>서초삼성래미안</t>
        </is>
      </c>
      <c r="G859" s="41" t="inlineStr">
        <is>
          <t>121.6600</t>
        </is>
      </c>
      <c r="H859" s="41" t="inlineStr">
        <is>
          <t>202502</t>
        </is>
      </c>
      <c r="I859" s="41" t="inlineStr">
        <is>
          <t>05</t>
        </is>
      </c>
      <c r="J859" s="41" t="inlineStr">
        <is>
          <t>232,000</t>
        </is>
      </c>
      <c r="K859" s="41" t="inlineStr">
        <is>
          <t>102</t>
        </is>
      </c>
      <c r="L859" s="41" t="inlineStr">
        <is>
          <t>14</t>
        </is>
      </c>
      <c r="M859" s="42" t="inlineStr">
        <is>
          <t>개인</t>
        </is>
      </c>
      <c r="N859" s="42" t="inlineStr">
        <is>
          <t>개인</t>
        </is>
      </c>
      <c r="O859" s="41" t="inlineStr">
        <is>
          <t>2001</t>
        </is>
      </c>
      <c r="P859" s="42" t="inlineStr">
        <is>
          <t>사임당로17길 116</t>
        </is>
      </c>
      <c r="Q859" s="41" t="inlineStr">
        <is>
          <t>-</t>
        </is>
      </c>
      <c r="R859" s="42" t="inlineStr">
        <is>
          <t>중개거래</t>
        </is>
      </c>
      <c r="S859" s="42" t="inlineStr">
        <is>
          <t>서울 서초구</t>
        </is>
      </c>
      <c r="T859" s="41" t="inlineStr">
        <is>
          <t>25.07.15</t>
        </is>
      </c>
      <c r="U859" s="42" t="inlineStr">
        <is>
          <t>아파트</t>
        </is>
      </c>
    </row>
    <row r="860" hidden="1" ht="15" customHeight="1">
      <c r="A860" s="41" t="n">
        <v>327</v>
      </c>
      <c r="B860" s="42" t="inlineStr">
        <is>
          <t>서울특별시 서초구 서초동</t>
        </is>
      </c>
      <c r="C860" s="41" t="inlineStr">
        <is>
          <t>1754</t>
        </is>
      </c>
      <c r="D860" s="41" t="inlineStr">
        <is>
          <t>1754</t>
        </is>
      </c>
      <c r="E860" s="41" t="inlineStr">
        <is>
          <t>0000</t>
        </is>
      </c>
      <c r="F860" s="42" t="inlineStr">
        <is>
          <t>래미안서초에스티지S</t>
        </is>
      </c>
      <c r="G860" s="41" t="inlineStr">
        <is>
          <t>84.9600</t>
        </is>
      </c>
      <c r="H860" s="41" t="inlineStr">
        <is>
          <t>202502</t>
        </is>
      </c>
      <c r="I860" s="41" t="inlineStr">
        <is>
          <t>05</t>
        </is>
      </c>
      <c r="J860" s="41" t="inlineStr">
        <is>
          <t>291,000</t>
        </is>
      </c>
      <c r="K860" s="41" t="inlineStr">
        <is>
          <t>201</t>
        </is>
      </c>
      <c r="L860" s="41" t="inlineStr">
        <is>
          <t>28</t>
        </is>
      </c>
      <c r="M860" s="42" t="inlineStr">
        <is>
          <t>개인</t>
        </is>
      </c>
      <c r="N860" s="42" t="inlineStr">
        <is>
          <t>개인</t>
        </is>
      </c>
      <c r="O860" s="41" t="inlineStr">
        <is>
          <t>2018</t>
        </is>
      </c>
      <c r="P860" s="42" t="inlineStr">
        <is>
          <t>서운로 104</t>
        </is>
      </c>
      <c r="Q860" s="41" t="inlineStr">
        <is>
          <t>-</t>
        </is>
      </c>
      <c r="R860" s="42" t="inlineStr">
        <is>
          <t>중개거래</t>
        </is>
      </c>
      <c r="S860" s="42" t="inlineStr">
        <is>
          <t>서울 서초구</t>
        </is>
      </c>
      <c r="T860" s="41" t="inlineStr">
        <is>
          <t>25.04.10</t>
        </is>
      </c>
      <c r="U860" s="42" t="inlineStr">
        <is>
          <t>아파트</t>
        </is>
      </c>
    </row>
    <row r="861" hidden="1" ht="15" customHeight="1">
      <c r="A861" s="41" t="n">
        <v>328</v>
      </c>
      <c r="B861" s="42" t="inlineStr">
        <is>
          <t>서울특별시 서초구 서초동</t>
        </is>
      </c>
      <c r="C861" s="41" t="inlineStr">
        <is>
          <t>1757</t>
        </is>
      </c>
      <c r="D861" s="41" t="inlineStr">
        <is>
          <t>1757</t>
        </is>
      </c>
      <c r="E861" s="41" t="inlineStr">
        <is>
          <t>0000</t>
        </is>
      </c>
      <c r="F861" s="42" t="inlineStr">
        <is>
          <t>서초그랑자이</t>
        </is>
      </c>
      <c r="G861" s="41" t="inlineStr">
        <is>
          <t>119.4100</t>
        </is>
      </c>
      <c r="H861" s="41" t="inlineStr">
        <is>
          <t>202502</t>
        </is>
      </c>
      <c r="I861" s="41" t="inlineStr">
        <is>
          <t>04</t>
        </is>
      </c>
      <c r="J861" s="41" t="inlineStr">
        <is>
          <t>425,000</t>
        </is>
      </c>
      <c r="K861" s="41" t="inlineStr">
        <is>
          <t>107동</t>
        </is>
      </c>
      <c r="L861" s="41" t="inlineStr">
        <is>
          <t>21</t>
        </is>
      </c>
      <c r="M861" s="42" t="inlineStr">
        <is>
          <t>개인</t>
        </is>
      </c>
      <c r="N861" s="42" t="inlineStr">
        <is>
          <t>개인</t>
        </is>
      </c>
      <c r="O861" s="41" t="inlineStr">
        <is>
          <t>2021</t>
        </is>
      </c>
      <c r="P861" s="42" t="inlineStr">
        <is>
          <t>효령로 391</t>
        </is>
      </c>
      <c r="Q861" s="41" t="inlineStr">
        <is>
          <t>-</t>
        </is>
      </c>
      <c r="R861" s="42" t="inlineStr">
        <is>
          <t>중개거래</t>
        </is>
      </c>
      <c r="S861" s="42" t="inlineStr">
        <is>
          <t>서울 서초구</t>
        </is>
      </c>
      <c r="T861" s="41" t="inlineStr">
        <is>
          <t>25.04.29</t>
        </is>
      </c>
      <c r="U861" s="42" t="inlineStr">
        <is>
          <t>아파트</t>
        </is>
      </c>
    </row>
    <row r="862" hidden="1" ht="15" customHeight="1">
      <c r="A862" s="41" t="n">
        <v>329</v>
      </c>
      <c r="B862" s="42" t="inlineStr">
        <is>
          <t>서울특별시 서초구 서초동</t>
        </is>
      </c>
      <c r="C862" s="41" t="inlineStr">
        <is>
          <t>1315</t>
        </is>
      </c>
      <c r="D862" s="41" t="inlineStr">
        <is>
          <t>1315</t>
        </is>
      </c>
      <c r="E862" s="41" t="inlineStr">
        <is>
          <t>0000</t>
        </is>
      </c>
      <c r="F862" s="42" t="inlineStr">
        <is>
          <t>진흥아파트</t>
        </is>
      </c>
      <c r="G862" s="41" t="inlineStr">
        <is>
          <t>131.0400</t>
        </is>
      </c>
      <c r="H862" s="41" t="inlineStr">
        <is>
          <t>202502</t>
        </is>
      </c>
      <c r="I862" s="41" t="inlineStr">
        <is>
          <t>04</t>
        </is>
      </c>
      <c r="J862" s="41" t="inlineStr">
        <is>
          <t>303,000</t>
        </is>
      </c>
      <c r="K862" s="41" t="inlineStr">
        <is>
          <t>8</t>
        </is>
      </c>
      <c r="L862" s="41" t="inlineStr">
        <is>
          <t>12</t>
        </is>
      </c>
      <c r="M862" s="42" t="inlineStr">
        <is>
          <t>개인</t>
        </is>
      </c>
      <c r="N862" s="42" t="inlineStr">
        <is>
          <t>개인</t>
        </is>
      </c>
      <c r="O862" s="41" t="inlineStr">
        <is>
          <t>1979</t>
        </is>
      </c>
      <c r="P862" s="42" t="inlineStr">
        <is>
          <t>서초대로 385</t>
        </is>
      </c>
      <c r="Q862" s="41" t="inlineStr">
        <is>
          <t>-</t>
        </is>
      </c>
      <c r="R862" s="42" t="inlineStr">
        <is>
          <t>중개거래</t>
        </is>
      </c>
      <c r="S862" s="42" t="inlineStr">
        <is>
          <t>서울 서초구</t>
        </is>
      </c>
      <c r="T862" s="41" t="inlineStr">
        <is>
          <t>25.05.02</t>
        </is>
      </c>
      <c r="U862" s="42" t="inlineStr">
        <is>
          <t>아파트</t>
        </is>
      </c>
    </row>
    <row r="863" hidden="1" ht="15" customHeight="1">
      <c r="A863" s="41" t="n">
        <v>330</v>
      </c>
      <c r="B863" s="42" t="inlineStr">
        <is>
          <t>서울특별시 서초구 서초동</t>
        </is>
      </c>
      <c r="C863" s="41" t="inlineStr">
        <is>
          <t>1685</t>
        </is>
      </c>
      <c r="D863" s="41" t="inlineStr">
        <is>
          <t>1685</t>
        </is>
      </c>
      <c r="E863" s="41" t="inlineStr">
        <is>
          <t>0000</t>
        </is>
      </c>
      <c r="F863" s="42" t="inlineStr">
        <is>
          <t>삼풍아파트</t>
        </is>
      </c>
      <c r="G863" s="41" t="inlineStr">
        <is>
          <t>163.8100</t>
        </is>
      </c>
      <c r="H863" s="41" t="inlineStr">
        <is>
          <t>202502</t>
        </is>
      </c>
      <c r="I863" s="41" t="inlineStr">
        <is>
          <t>04</t>
        </is>
      </c>
      <c r="J863" s="41" t="inlineStr">
        <is>
          <t>400,000</t>
        </is>
      </c>
      <c r="K863" s="41" t="inlineStr">
        <is>
          <t>23</t>
        </is>
      </c>
      <c r="L863" s="41" t="inlineStr">
        <is>
          <t>1</t>
        </is>
      </c>
      <c r="M863" s="42" t="inlineStr">
        <is>
          <t>개인</t>
        </is>
      </c>
      <c r="N863" s="42" t="inlineStr">
        <is>
          <t>개인</t>
        </is>
      </c>
      <c r="O863" s="41" t="inlineStr">
        <is>
          <t>1988</t>
        </is>
      </c>
      <c r="P863" s="42" t="inlineStr">
        <is>
          <t>서초중앙로 200</t>
        </is>
      </c>
      <c r="Q863" s="41" t="inlineStr">
        <is>
          <t>-</t>
        </is>
      </c>
      <c r="R863" s="42" t="inlineStr">
        <is>
          <t>중개거래</t>
        </is>
      </c>
      <c r="S863" s="42" t="inlineStr">
        <is>
          <t>서울 서초구</t>
        </is>
      </c>
      <c r="T863" s="41" t="inlineStr">
        <is>
          <t>25.04.29</t>
        </is>
      </c>
      <c r="U863" s="42" t="inlineStr">
        <is>
          <t>아파트</t>
        </is>
      </c>
    </row>
    <row r="864" hidden="1" ht="15" customHeight="1">
      <c r="A864" s="41" t="n">
        <v>331</v>
      </c>
      <c r="B864" s="42" t="inlineStr">
        <is>
          <t>서울특별시 서초구 서초동</t>
        </is>
      </c>
      <c r="C864" s="41" t="inlineStr">
        <is>
          <t>1685-3</t>
        </is>
      </c>
      <c r="D864" s="41" t="inlineStr">
        <is>
          <t>1685</t>
        </is>
      </c>
      <c r="E864" s="41" t="inlineStr">
        <is>
          <t>0003</t>
        </is>
      </c>
      <c r="F864" s="42" t="inlineStr">
        <is>
          <t>아크로비스타</t>
        </is>
      </c>
      <c r="G864" s="41" t="inlineStr">
        <is>
          <t>161.9400</t>
        </is>
      </c>
      <c r="H864" s="41" t="inlineStr">
        <is>
          <t>202502</t>
        </is>
      </c>
      <c r="I864" s="41" t="inlineStr">
        <is>
          <t>04</t>
        </is>
      </c>
      <c r="J864" s="41" t="inlineStr">
        <is>
          <t>349,000</t>
        </is>
      </c>
      <c r="K864" s="41" t="inlineStr">
        <is>
          <t>B</t>
        </is>
      </c>
      <c r="L864" s="41" t="inlineStr">
        <is>
          <t>13</t>
        </is>
      </c>
      <c r="M864" s="42" t="inlineStr">
        <is>
          <t>개인</t>
        </is>
      </c>
      <c r="N864" s="42" t="inlineStr">
        <is>
          <t>개인</t>
        </is>
      </c>
      <c r="O864" s="41" t="inlineStr">
        <is>
          <t>2004</t>
        </is>
      </c>
      <c r="P864" s="42" t="inlineStr">
        <is>
          <t>서초중앙로 188</t>
        </is>
      </c>
      <c r="Q864" s="41" t="inlineStr">
        <is>
          <t>-</t>
        </is>
      </c>
      <c r="R864" s="42" t="inlineStr">
        <is>
          <t>중개거래</t>
        </is>
      </c>
      <c r="S864" s="42" t="inlineStr">
        <is>
          <t>서울 서초구</t>
        </is>
      </c>
      <c r="T864" s="41" t="inlineStr">
        <is>
          <t>25.04.29</t>
        </is>
      </c>
      <c r="U864" s="42" t="inlineStr">
        <is>
          <t>아파트</t>
        </is>
      </c>
    </row>
    <row r="865" hidden="1" ht="15" customHeight="1">
      <c r="A865" s="41" t="n">
        <v>332</v>
      </c>
      <c r="B865" s="42" t="inlineStr">
        <is>
          <t>서울특별시 서초구 서초동</t>
        </is>
      </c>
      <c r="C865" s="41" t="inlineStr">
        <is>
          <t>1755</t>
        </is>
      </c>
      <c r="D865" s="41" t="inlineStr">
        <is>
          <t>1755</t>
        </is>
      </c>
      <c r="E865" s="41" t="inlineStr">
        <is>
          <t>0000</t>
        </is>
      </c>
      <c r="F865" s="42" t="inlineStr">
        <is>
          <t>래미안 리더스원</t>
        </is>
      </c>
      <c r="G865" s="41" t="inlineStr">
        <is>
          <t>135.8300</t>
        </is>
      </c>
      <c r="H865" s="41" t="inlineStr">
        <is>
          <t>202502</t>
        </is>
      </c>
      <c r="I865" s="41" t="inlineStr">
        <is>
          <t>04</t>
        </is>
      </c>
      <c r="J865" s="41" t="inlineStr">
        <is>
          <t>470,000</t>
        </is>
      </c>
      <c r="K865" s="41" t="inlineStr">
        <is>
          <t>102동</t>
        </is>
      </c>
      <c r="L865" s="41" t="inlineStr">
        <is>
          <t>11</t>
        </is>
      </c>
      <c r="M865" s="42" t="inlineStr">
        <is>
          <t>개인</t>
        </is>
      </c>
      <c r="N865" s="42" t="inlineStr">
        <is>
          <t>개인</t>
        </is>
      </c>
      <c r="O865" s="41" t="inlineStr">
        <is>
          <t>2020</t>
        </is>
      </c>
      <c r="P865" s="42" t="inlineStr">
        <is>
          <t>서운로 62</t>
        </is>
      </c>
      <c r="Q865" s="41" t="inlineStr">
        <is>
          <t>-</t>
        </is>
      </c>
      <c r="R865" s="42" t="inlineStr">
        <is>
          <t>중개거래</t>
        </is>
      </c>
      <c r="S865" s="42" t="inlineStr">
        <is>
          <t>서울 서초구</t>
        </is>
      </c>
      <c r="T865" s="41" t="inlineStr">
        <is>
          <t>25.03.20</t>
        </is>
      </c>
      <c r="U865" s="42" t="inlineStr">
        <is>
          <t>아파트</t>
        </is>
      </c>
    </row>
    <row r="866" hidden="1" ht="15" customHeight="1">
      <c r="A866" s="41" t="n">
        <v>333</v>
      </c>
      <c r="B866" s="42" t="inlineStr">
        <is>
          <t>서울특별시 서초구 서초동</t>
        </is>
      </c>
      <c r="C866" s="41" t="inlineStr">
        <is>
          <t>1757</t>
        </is>
      </c>
      <c r="D866" s="41" t="inlineStr">
        <is>
          <t>1757</t>
        </is>
      </c>
      <c r="E866" s="41" t="inlineStr">
        <is>
          <t>0000</t>
        </is>
      </c>
      <c r="F866" s="42" t="inlineStr">
        <is>
          <t>서초그랑자이</t>
        </is>
      </c>
      <c r="G866" s="41" t="inlineStr">
        <is>
          <t>119.4100</t>
        </is>
      </c>
      <c r="H866" s="41" t="inlineStr">
        <is>
          <t>202502</t>
        </is>
      </c>
      <c r="I866" s="41" t="inlineStr">
        <is>
          <t>03</t>
        </is>
      </c>
      <c r="J866" s="41" t="inlineStr">
        <is>
          <t>450,000</t>
        </is>
      </c>
      <c r="K866" s="41" t="inlineStr">
        <is>
          <t>106동</t>
        </is>
      </c>
      <c r="L866" s="41" t="inlineStr">
        <is>
          <t>30</t>
        </is>
      </c>
      <c r="M866" s="42" t="inlineStr">
        <is>
          <t>개인</t>
        </is>
      </c>
      <c r="N866" s="42" t="inlineStr">
        <is>
          <t>개인</t>
        </is>
      </c>
      <c r="O866" s="41" t="inlineStr">
        <is>
          <t>2021</t>
        </is>
      </c>
      <c r="P866" s="42" t="inlineStr">
        <is>
          <t>효령로 391</t>
        </is>
      </c>
      <c r="Q866" s="41" t="inlineStr">
        <is>
          <t>-</t>
        </is>
      </c>
      <c r="R866" s="42" t="inlineStr">
        <is>
          <t>중개거래</t>
        </is>
      </c>
      <c r="S866" s="42" t="inlineStr">
        <is>
          <t>경기 고양시 덕양구, 서울 서초구</t>
        </is>
      </c>
      <c r="T866" s="41" t="inlineStr">
        <is>
          <t>25.03.05</t>
        </is>
      </c>
      <c r="U866" s="42" t="inlineStr">
        <is>
          <t>아파트</t>
        </is>
      </c>
    </row>
    <row r="867" hidden="1" ht="15" customHeight="1">
      <c r="A867" s="41" t="n">
        <v>334</v>
      </c>
      <c r="B867" s="42" t="inlineStr">
        <is>
          <t>서울특별시 서초구 서초동</t>
        </is>
      </c>
      <c r="C867" s="41" t="inlineStr">
        <is>
          <t>1685</t>
        </is>
      </c>
      <c r="D867" s="41" t="inlineStr">
        <is>
          <t>1685</t>
        </is>
      </c>
      <c r="E867" s="41" t="inlineStr">
        <is>
          <t>0000</t>
        </is>
      </c>
      <c r="F867" s="42" t="inlineStr">
        <is>
          <t>삼풍아파트</t>
        </is>
      </c>
      <c r="G867" s="41" t="inlineStr">
        <is>
          <t>163.8100</t>
        </is>
      </c>
      <c r="H867" s="41" t="inlineStr">
        <is>
          <t>202502</t>
        </is>
      </c>
      <c r="I867" s="41" t="inlineStr">
        <is>
          <t>03</t>
        </is>
      </c>
      <c r="J867" s="41" t="inlineStr">
        <is>
          <t>410,000</t>
        </is>
      </c>
      <c r="K867" s="41" t="inlineStr">
        <is>
          <t>22</t>
        </is>
      </c>
      <c r="L867" s="41" t="inlineStr">
        <is>
          <t>9</t>
        </is>
      </c>
      <c r="M867" s="42" t="inlineStr">
        <is>
          <t>개인</t>
        </is>
      </c>
      <c r="N867" s="42" t="inlineStr">
        <is>
          <t>개인</t>
        </is>
      </c>
      <c r="O867" s="41" t="inlineStr">
        <is>
          <t>1988</t>
        </is>
      </c>
      <c r="P867" s="42" t="inlineStr">
        <is>
          <t>서초중앙로 200</t>
        </is>
      </c>
      <c r="Q867" s="41" t="inlineStr">
        <is>
          <t>-</t>
        </is>
      </c>
      <c r="R867" s="42" t="inlineStr">
        <is>
          <t>중개거래</t>
        </is>
      </c>
      <c r="S867" s="42" t="inlineStr">
        <is>
          <t>서울 서초구</t>
        </is>
      </c>
      <c r="T867" s="41" t="inlineStr">
        <is>
          <t>25.06.27</t>
        </is>
      </c>
      <c r="U867" s="42" t="inlineStr">
        <is>
          <t>아파트</t>
        </is>
      </c>
    </row>
    <row r="868" hidden="1" ht="15" customHeight="1">
      <c r="A868" s="41" t="n">
        <v>335</v>
      </c>
      <c r="B868" s="42" t="inlineStr">
        <is>
          <t>서울특별시 서초구 서초동</t>
        </is>
      </c>
      <c r="C868" s="41" t="inlineStr">
        <is>
          <t>1467-37</t>
        </is>
      </c>
      <c r="D868" s="41" t="inlineStr">
        <is>
          <t>1467</t>
        </is>
      </c>
      <c r="E868" s="41" t="inlineStr">
        <is>
          <t>0037</t>
        </is>
      </c>
      <c r="F868" s="42" t="inlineStr">
        <is>
          <t>서초3차e편한세상</t>
        </is>
      </c>
      <c r="G868" s="41" t="inlineStr">
        <is>
          <t>158.2400</t>
        </is>
      </c>
      <c r="H868" s="41" t="inlineStr">
        <is>
          <t>202502</t>
        </is>
      </c>
      <c r="I868" s="41" t="inlineStr">
        <is>
          <t>03</t>
        </is>
      </c>
      <c r="J868" s="41" t="inlineStr">
        <is>
          <t>160,000</t>
        </is>
      </c>
      <c r="K868" s="41" t="inlineStr">
        <is>
          <t>505</t>
        </is>
      </c>
      <c r="L868" s="41" t="inlineStr">
        <is>
          <t>11</t>
        </is>
      </c>
      <c r="M868" s="42" t="inlineStr">
        <is>
          <t>개인</t>
        </is>
      </c>
      <c r="N868" s="42" t="inlineStr">
        <is>
          <t>개인</t>
        </is>
      </c>
      <c r="O868" s="41" t="inlineStr">
        <is>
          <t>2005</t>
        </is>
      </c>
      <c r="P868" s="42" t="inlineStr">
        <is>
          <t>남부순환로 2343-10</t>
        </is>
      </c>
      <c r="Q868" s="41" t="inlineStr">
        <is>
          <t>-</t>
        </is>
      </c>
      <c r="R868" s="42" t="inlineStr">
        <is>
          <t>직거래</t>
        </is>
      </c>
      <c r="S868" s="41" t="inlineStr">
        <is>
          <t>-</t>
        </is>
      </c>
      <c r="T868" s="41" t="inlineStr">
        <is>
          <t>25.02.13</t>
        </is>
      </c>
      <c r="U868" s="42" t="inlineStr">
        <is>
          <t>아파트</t>
        </is>
      </c>
    </row>
    <row r="869" hidden="1" ht="15" customHeight="1">
      <c r="A869" s="41" t="n">
        <v>336</v>
      </c>
      <c r="B869" s="42" t="inlineStr">
        <is>
          <t>서울특별시 서초구 서초동</t>
        </is>
      </c>
      <c r="C869" s="41" t="inlineStr">
        <is>
          <t>1757</t>
        </is>
      </c>
      <c r="D869" s="41" t="inlineStr">
        <is>
          <t>1757</t>
        </is>
      </c>
      <c r="E869" s="41" t="inlineStr">
        <is>
          <t>0000</t>
        </is>
      </c>
      <c r="F869" s="42" t="inlineStr">
        <is>
          <t>서초그랑자이</t>
        </is>
      </c>
      <c r="G869" s="41" t="inlineStr">
        <is>
          <t>84.5100</t>
        </is>
      </c>
      <c r="H869" s="41" t="inlineStr">
        <is>
          <t>202502</t>
        </is>
      </c>
      <c r="I869" s="41" t="inlineStr">
        <is>
          <t>01</t>
        </is>
      </c>
      <c r="J869" s="41" t="inlineStr">
        <is>
          <t>345,000</t>
        </is>
      </c>
      <c r="K869" s="41" t="inlineStr">
        <is>
          <t>102동</t>
        </is>
      </c>
      <c r="L869" s="41" t="inlineStr">
        <is>
          <t>28</t>
        </is>
      </c>
      <c r="M869" s="42" t="inlineStr">
        <is>
          <t>개인</t>
        </is>
      </c>
      <c r="N869" s="42" t="inlineStr">
        <is>
          <t>개인</t>
        </is>
      </c>
      <c r="O869" s="41" t="inlineStr">
        <is>
          <t>2021</t>
        </is>
      </c>
      <c r="P869" s="42" t="inlineStr">
        <is>
          <t>효령로 391</t>
        </is>
      </c>
      <c r="Q869" s="41" t="inlineStr">
        <is>
          <t>-</t>
        </is>
      </c>
      <c r="R869" s="42" t="inlineStr">
        <is>
          <t>중개거래</t>
        </is>
      </c>
      <c r="S869" s="42" t="inlineStr">
        <is>
          <t>서울 서초구</t>
        </is>
      </c>
      <c r="T869" s="41" t="inlineStr">
        <is>
          <t>25.04.30</t>
        </is>
      </c>
      <c r="U869" s="42" t="inlineStr">
        <is>
          <t>아파트</t>
        </is>
      </c>
    </row>
    <row r="870" hidden="1" ht="15" customHeight="1">
      <c r="A870" s="41" t="n">
        <v>337</v>
      </c>
      <c r="B870" s="42" t="inlineStr">
        <is>
          <t>서울특별시 서초구 서초동</t>
        </is>
      </c>
      <c r="C870" s="41" t="inlineStr">
        <is>
          <t>1330</t>
        </is>
      </c>
      <c r="D870" s="41" t="inlineStr">
        <is>
          <t>1330</t>
        </is>
      </c>
      <c r="E870" s="41" t="inlineStr">
        <is>
          <t>0000</t>
        </is>
      </c>
      <c r="F870" s="42" t="inlineStr">
        <is>
          <t>서초동삼성쉐르빌2</t>
        </is>
      </c>
      <c r="G870" s="41" t="inlineStr">
        <is>
          <t>35.2200</t>
        </is>
      </c>
      <c r="H870" s="41" t="inlineStr">
        <is>
          <t>202502</t>
        </is>
      </c>
      <c r="I870" s="41" t="inlineStr">
        <is>
          <t>01</t>
        </is>
      </c>
      <c r="J870" s="41" t="inlineStr">
        <is>
          <t>31,000</t>
        </is>
      </c>
      <c r="K870" s="41" t="inlineStr">
        <is>
          <t>-</t>
        </is>
      </c>
      <c r="L870" s="41" t="inlineStr">
        <is>
          <t>9</t>
        </is>
      </c>
      <c r="M870" s="42" t="inlineStr">
        <is>
          <t>개인</t>
        </is>
      </c>
      <c r="N870" s="42" t="inlineStr">
        <is>
          <t>개인</t>
        </is>
      </c>
      <c r="O870" s="41" t="inlineStr">
        <is>
          <t>2002</t>
        </is>
      </c>
      <c r="P870" s="42" t="inlineStr">
        <is>
          <t>강남대로53길 11</t>
        </is>
      </c>
      <c r="Q870" s="41" t="inlineStr">
        <is>
          <t>-</t>
        </is>
      </c>
      <c r="R870" s="42" t="inlineStr">
        <is>
          <t>중개거래</t>
        </is>
      </c>
      <c r="S870" s="42" t="inlineStr">
        <is>
          <t>서울 서초구</t>
        </is>
      </c>
      <c r="T870" s="41" t="inlineStr">
        <is>
          <t>25.02.20</t>
        </is>
      </c>
      <c r="U870" s="42" t="inlineStr">
        <is>
          <t>아파트</t>
        </is>
      </c>
    </row>
    <row r="871" hidden="1" ht="15" customHeight="1">
      <c r="A871" s="41" t="n">
        <v>338</v>
      </c>
      <c r="B871" s="42" t="inlineStr">
        <is>
          <t>서울특별시 서초구 서초동</t>
        </is>
      </c>
      <c r="C871" s="41" t="inlineStr">
        <is>
          <t>1326-17</t>
        </is>
      </c>
      <c r="D871" s="41" t="inlineStr">
        <is>
          <t>1326</t>
        </is>
      </c>
      <c r="E871" s="41" t="inlineStr">
        <is>
          <t>0017</t>
        </is>
      </c>
      <c r="F871" s="42" t="inlineStr">
        <is>
          <t>우성아파트</t>
        </is>
      </c>
      <c r="G871" s="41" t="inlineStr">
        <is>
          <t>59.9300</t>
        </is>
      </c>
      <c r="H871" s="41" t="inlineStr">
        <is>
          <t>202502</t>
        </is>
      </c>
      <c r="I871" s="41" t="inlineStr">
        <is>
          <t>01</t>
        </is>
      </c>
      <c r="J871" s="41" t="inlineStr">
        <is>
          <t>168,000</t>
        </is>
      </c>
      <c r="K871" s="41" t="inlineStr">
        <is>
          <t>501</t>
        </is>
      </c>
      <c r="L871" s="41" t="inlineStr">
        <is>
          <t>12</t>
        </is>
      </c>
      <c r="M871" s="42" t="inlineStr">
        <is>
          <t>개인</t>
        </is>
      </c>
      <c r="N871" s="42" t="inlineStr">
        <is>
          <t>개인</t>
        </is>
      </c>
      <c r="O871" s="41" t="inlineStr">
        <is>
          <t>1998</t>
        </is>
      </c>
      <c r="P871" s="42" t="inlineStr">
        <is>
          <t>서초대로74길 30</t>
        </is>
      </c>
      <c r="Q871" s="41" t="inlineStr">
        <is>
          <t>-</t>
        </is>
      </c>
      <c r="R871" s="42" t="inlineStr">
        <is>
          <t>중개거래</t>
        </is>
      </c>
      <c r="S871" s="42" t="inlineStr">
        <is>
          <t>서울 서초구</t>
        </is>
      </c>
      <c r="T871" s="41" t="inlineStr">
        <is>
          <t>25.05.30</t>
        </is>
      </c>
      <c r="U871" s="42" t="inlineStr">
        <is>
          <t>아파트</t>
        </is>
      </c>
    </row>
    <row r="872" hidden="1" ht="15" customHeight="1">
      <c r="A872" s="41" t="n">
        <v>339</v>
      </c>
      <c r="B872" s="42" t="inlineStr">
        <is>
          <t>서울특별시 서초구 서초동</t>
        </is>
      </c>
      <c r="C872" s="41" t="inlineStr">
        <is>
          <t>1754</t>
        </is>
      </c>
      <c r="D872" s="41" t="inlineStr">
        <is>
          <t>1754</t>
        </is>
      </c>
      <c r="E872" s="41" t="inlineStr">
        <is>
          <t>0000</t>
        </is>
      </c>
      <c r="F872" s="42" t="inlineStr">
        <is>
          <t>래미안서초에스티지S</t>
        </is>
      </c>
      <c r="G872" s="41" t="inlineStr">
        <is>
          <t>84.8000</t>
        </is>
      </c>
      <c r="H872" s="41" t="inlineStr">
        <is>
          <t>202502</t>
        </is>
      </c>
      <c r="I872" s="41" t="inlineStr">
        <is>
          <t>01</t>
        </is>
      </c>
      <c r="J872" s="41" t="inlineStr">
        <is>
          <t>305,000</t>
        </is>
      </c>
      <c r="K872" s="41" t="inlineStr">
        <is>
          <t>204</t>
        </is>
      </c>
      <c r="L872" s="41" t="inlineStr">
        <is>
          <t>17</t>
        </is>
      </c>
      <c r="M872" s="42" t="inlineStr">
        <is>
          <t>개인</t>
        </is>
      </c>
      <c r="N872" s="42" t="inlineStr">
        <is>
          <t>개인</t>
        </is>
      </c>
      <c r="O872" s="41" t="inlineStr">
        <is>
          <t>2018</t>
        </is>
      </c>
      <c r="P872" s="42" t="inlineStr">
        <is>
          <t>서운로 104</t>
        </is>
      </c>
      <c r="Q872" s="41" t="inlineStr">
        <is>
          <t>-</t>
        </is>
      </c>
      <c r="R872" s="42" t="inlineStr">
        <is>
          <t>중개거래</t>
        </is>
      </c>
      <c r="S872" s="42" t="inlineStr">
        <is>
          <t>서울 강서구, 서울 서초구</t>
        </is>
      </c>
      <c r="T872" s="41" t="inlineStr">
        <is>
          <t>25.05.20</t>
        </is>
      </c>
      <c r="U872" s="42" t="inlineStr">
        <is>
          <t>아파트</t>
        </is>
      </c>
    </row>
    <row r="873" hidden="1" ht="15" customHeight="1">
      <c r="A873" s="41" t="n">
        <v>340</v>
      </c>
      <c r="B873" s="42" t="inlineStr">
        <is>
          <t>서울특별시 서초구 서초동</t>
        </is>
      </c>
      <c r="C873" s="41" t="inlineStr">
        <is>
          <t>1641-13</t>
        </is>
      </c>
      <c r="D873" s="41" t="inlineStr">
        <is>
          <t>1641</t>
        </is>
      </c>
      <c r="E873" s="41" t="inlineStr">
        <is>
          <t>0013</t>
        </is>
      </c>
      <c r="F873" s="42" t="inlineStr">
        <is>
          <t>아남</t>
        </is>
      </c>
      <c r="G873" s="41" t="inlineStr">
        <is>
          <t>84.9600</t>
        </is>
      </c>
      <c r="H873" s="41" t="inlineStr">
        <is>
          <t>202501</t>
        </is>
      </c>
      <c r="I873" s="41" t="inlineStr">
        <is>
          <t>30</t>
        </is>
      </c>
      <c r="J873" s="41" t="inlineStr">
        <is>
          <t>172,000</t>
        </is>
      </c>
      <c r="K873" s="41" t="inlineStr">
        <is>
          <t>2</t>
        </is>
      </c>
      <c r="L873" s="41" t="inlineStr">
        <is>
          <t>9</t>
        </is>
      </c>
      <c r="M873" s="42" t="inlineStr">
        <is>
          <t>개인</t>
        </is>
      </c>
      <c r="N873" s="42" t="inlineStr">
        <is>
          <t>개인</t>
        </is>
      </c>
      <c r="O873" s="41" t="inlineStr">
        <is>
          <t>1989</t>
        </is>
      </c>
      <c r="P873" s="42" t="inlineStr">
        <is>
          <t>사임당로23길 53</t>
        </is>
      </c>
      <c r="Q873" s="41" t="inlineStr">
        <is>
          <t>-</t>
        </is>
      </c>
      <c r="R873" s="42" t="inlineStr">
        <is>
          <t>중개거래</t>
        </is>
      </c>
      <c r="S873" s="42" t="inlineStr">
        <is>
          <t>서울 서초구</t>
        </is>
      </c>
      <c r="T873" s="41" t="inlineStr">
        <is>
          <t>25.04.10</t>
        </is>
      </c>
      <c r="U873" s="42" t="inlineStr">
        <is>
          <t>아파트</t>
        </is>
      </c>
    </row>
    <row r="874" hidden="1" ht="15" customHeight="1">
      <c r="A874" s="41" t="n">
        <v>341</v>
      </c>
      <c r="B874" s="42" t="inlineStr">
        <is>
          <t>서울특별시 서초구 서초동</t>
        </is>
      </c>
      <c r="C874" s="41" t="inlineStr">
        <is>
          <t>1312-3</t>
        </is>
      </c>
      <c r="D874" s="41" t="inlineStr">
        <is>
          <t>1312</t>
        </is>
      </c>
      <c r="E874" s="41" t="inlineStr">
        <is>
          <t>0003</t>
        </is>
      </c>
      <c r="F874" s="42" t="inlineStr">
        <is>
          <t>롯데캐슬클래식</t>
        </is>
      </c>
      <c r="G874" s="41" t="inlineStr">
        <is>
          <t>84.9800</t>
        </is>
      </c>
      <c r="H874" s="41" t="inlineStr">
        <is>
          <t>202501</t>
        </is>
      </c>
      <c r="I874" s="41" t="inlineStr">
        <is>
          <t>27</t>
        </is>
      </c>
      <c r="J874" s="41" t="inlineStr">
        <is>
          <t>268,000</t>
        </is>
      </c>
      <c r="K874" s="41" t="inlineStr">
        <is>
          <t>102</t>
        </is>
      </c>
      <c r="L874" s="41" t="inlineStr">
        <is>
          <t>5</t>
        </is>
      </c>
      <c r="M874" s="42" t="inlineStr">
        <is>
          <t>개인</t>
        </is>
      </c>
      <c r="N874" s="42" t="inlineStr">
        <is>
          <t>개인</t>
        </is>
      </c>
      <c r="O874" s="41" t="inlineStr">
        <is>
          <t>2006</t>
        </is>
      </c>
      <c r="P874" s="42" t="inlineStr">
        <is>
          <t>서운로 197</t>
        </is>
      </c>
      <c r="Q874" s="41" t="inlineStr">
        <is>
          <t>-</t>
        </is>
      </c>
      <c r="R874" s="42" t="inlineStr">
        <is>
          <t>중개거래</t>
        </is>
      </c>
      <c r="S874" s="42" t="inlineStr">
        <is>
          <t>서울 서초구</t>
        </is>
      </c>
      <c r="T874" s="41" t="inlineStr">
        <is>
          <t>25.04.30</t>
        </is>
      </c>
      <c r="U874" s="42" t="inlineStr">
        <is>
          <t>아파트</t>
        </is>
      </c>
    </row>
    <row r="875" hidden="1" ht="15" customHeight="1">
      <c r="A875" s="41" t="n">
        <v>342</v>
      </c>
      <c r="B875" s="42" t="inlineStr">
        <is>
          <t>서울특별시 서초구 서초동</t>
        </is>
      </c>
      <c r="C875" s="41" t="inlineStr">
        <is>
          <t>1755</t>
        </is>
      </c>
      <c r="D875" s="41" t="inlineStr">
        <is>
          <t>1755</t>
        </is>
      </c>
      <c r="E875" s="41" t="inlineStr">
        <is>
          <t>0000</t>
        </is>
      </c>
      <c r="F875" s="42" t="inlineStr">
        <is>
          <t>래미안 리더스원</t>
        </is>
      </c>
      <c r="G875" s="41" t="inlineStr">
        <is>
          <t>59.9600</t>
        </is>
      </c>
      <c r="H875" s="41" t="inlineStr">
        <is>
          <t>202501</t>
        </is>
      </c>
      <c r="I875" s="41" t="inlineStr">
        <is>
          <t>25</t>
        </is>
      </c>
      <c r="J875" s="41" t="inlineStr">
        <is>
          <t>262,000</t>
        </is>
      </c>
      <c r="K875" s="41" t="inlineStr">
        <is>
          <t>112동</t>
        </is>
      </c>
      <c r="L875" s="41" t="inlineStr">
        <is>
          <t>13</t>
        </is>
      </c>
      <c r="M875" s="42" t="inlineStr">
        <is>
          <t>개인</t>
        </is>
      </c>
      <c r="N875" s="42" t="inlineStr">
        <is>
          <t>개인</t>
        </is>
      </c>
      <c r="O875" s="41" t="inlineStr">
        <is>
          <t>2020</t>
        </is>
      </c>
      <c r="P875" s="42" t="inlineStr">
        <is>
          <t>서운로 62</t>
        </is>
      </c>
      <c r="Q875" s="41" t="inlineStr">
        <is>
          <t>-</t>
        </is>
      </c>
      <c r="R875" s="42" t="inlineStr">
        <is>
          <t>중개거래</t>
        </is>
      </c>
      <c r="S875" s="42" t="inlineStr">
        <is>
          <t>서울 서초구</t>
        </is>
      </c>
      <c r="T875" s="41" t="inlineStr">
        <is>
          <t>25.05.15</t>
        </is>
      </c>
      <c r="U875" s="42" t="inlineStr">
        <is>
          <t>아파트</t>
        </is>
      </c>
    </row>
    <row r="876" hidden="1" ht="15" customHeight="1">
      <c r="A876" s="41" t="n">
        <v>343</v>
      </c>
      <c r="B876" s="42" t="inlineStr">
        <is>
          <t>서울특별시 서초구 서초동</t>
        </is>
      </c>
      <c r="C876" s="41" t="inlineStr">
        <is>
          <t>1682</t>
        </is>
      </c>
      <c r="D876" s="41" t="inlineStr">
        <is>
          <t>1682</t>
        </is>
      </c>
      <c r="E876" s="41" t="inlineStr">
        <is>
          <t>0000</t>
        </is>
      </c>
      <c r="F876" s="42" t="inlineStr">
        <is>
          <t>서초래미안</t>
        </is>
      </c>
      <c r="G876" s="41" t="inlineStr">
        <is>
          <t>96.8700</t>
        </is>
      </c>
      <c r="H876" s="41" t="inlineStr">
        <is>
          <t>202501</t>
        </is>
      </c>
      <c r="I876" s="41" t="inlineStr">
        <is>
          <t>25</t>
        </is>
      </c>
      <c r="J876" s="41" t="inlineStr">
        <is>
          <t>233,000</t>
        </is>
      </c>
      <c r="K876" s="41" t="inlineStr">
        <is>
          <t>103</t>
        </is>
      </c>
      <c r="L876" s="41" t="inlineStr">
        <is>
          <t>15</t>
        </is>
      </c>
      <c r="M876" s="42" t="inlineStr">
        <is>
          <t>개인</t>
        </is>
      </c>
      <c r="N876" s="42" t="inlineStr">
        <is>
          <t>개인</t>
        </is>
      </c>
      <c r="O876" s="41" t="inlineStr">
        <is>
          <t>2003</t>
        </is>
      </c>
      <c r="P876" s="42" t="inlineStr">
        <is>
          <t>서초대로65길 13-10</t>
        </is>
      </c>
      <c r="Q876" s="41" t="inlineStr">
        <is>
          <t>-</t>
        </is>
      </c>
      <c r="R876" s="42" t="inlineStr">
        <is>
          <t>중개거래</t>
        </is>
      </c>
      <c r="S876" s="42" t="inlineStr">
        <is>
          <t>서울 서초구</t>
        </is>
      </c>
      <c r="T876" s="41" t="inlineStr">
        <is>
          <t>25.03.14</t>
        </is>
      </c>
      <c r="U876" s="42" t="inlineStr">
        <is>
          <t>아파트</t>
        </is>
      </c>
    </row>
    <row r="877" hidden="1" ht="15" customHeight="1">
      <c r="A877" s="41" t="n">
        <v>344</v>
      </c>
      <c r="B877" s="42" t="inlineStr">
        <is>
          <t>서울특별시 서초구 서초동</t>
        </is>
      </c>
      <c r="C877" s="41" t="inlineStr">
        <is>
          <t>1315</t>
        </is>
      </c>
      <c r="D877" s="41" t="inlineStr">
        <is>
          <t>1315</t>
        </is>
      </c>
      <c r="E877" s="41" t="inlineStr">
        <is>
          <t>0000</t>
        </is>
      </c>
      <c r="F877" s="42" t="inlineStr">
        <is>
          <t>진흥아파트</t>
        </is>
      </c>
      <c r="G877" s="41" t="inlineStr">
        <is>
          <t>101.3200</t>
        </is>
      </c>
      <c r="H877" s="41" t="inlineStr">
        <is>
          <t>202501</t>
        </is>
      </c>
      <c r="I877" s="41" t="inlineStr">
        <is>
          <t>25</t>
        </is>
      </c>
      <c r="J877" s="41" t="inlineStr">
        <is>
          <t>256,000</t>
        </is>
      </c>
      <c r="K877" s="41" t="inlineStr">
        <is>
          <t>3</t>
        </is>
      </c>
      <c r="L877" s="41" t="inlineStr">
        <is>
          <t>5</t>
        </is>
      </c>
      <c r="M877" s="42" t="inlineStr">
        <is>
          <t>개인</t>
        </is>
      </c>
      <c r="N877" s="42" t="inlineStr">
        <is>
          <t>개인</t>
        </is>
      </c>
      <c r="O877" s="41" t="inlineStr">
        <is>
          <t>1979</t>
        </is>
      </c>
      <c r="P877" s="42" t="inlineStr">
        <is>
          <t>서초대로 385</t>
        </is>
      </c>
      <c r="Q877" s="41" t="inlineStr">
        <is>
          <t>-</t>
        </is>
      </c>
      <c r="R877" s="42" t="inlineStr">
        <is>
          <t>중개거래</t>
        </is>
      </c>
      <c r="S877" s="42" t="inlineStr">
        <is>
          <t>서울 서초구</t>
        </is>
      </c>
      <c r="T877" s="41" t="inlineStr">
        <is>
          <t>25.04.15</t>
        </is>
      </c>
      <c r="U877" s="42" t="inlineStr">
        <is>
          <t>아파트</t>
        </is>
      </c>
    </row>
    <row r="878" hidden="1" ht="15" customHeight="1">
      <c r="A878" s="41" t="n">
        <v>345</v>
      </c>
      <c r="B878" s="42" t="inlineStr">
        <is>
          <t>서울특별시 서초구 서초동</t>
        </is>
      </c>
      <c r="C878" s="41" t="inlineStr">
        <is>
          <t>1641-13</t>
        </is>
      </c>
      <c r="D878" s="41" t="inlineStr">
        <is>
          <t>1641</t>
        </is>
      </c>
      <c r="E878" s="41" t="inlineStr">
        <is>
          <t>0013</t>
        </is>
      </c>
      <c r="F878" s="42" t="inlineStr">
        <is>
          <t>아남</t>
        </is>
      </c>
      <c r="G878" s="41" t="inlineStr">
        <is>
          <t>84.9600</t>
        </is>
      </c>
      <c r="H878" s="41" t="inlineStr">
        <is>
          <t>202501</t>
        </is>
      </c>
      <c r="I878" s="41" t="inlineStr">
        <is>
          <t>25</t>
        </is>
      </c>
      <c r="J878" s="41" t="inlineStr">
        <is>
          <t>169,000</t>
        </is>
      </c>
      <c r="K878" s="41" t="inlineStr">
        <is>
          <t>2</t>
        </is>
      </c>
      <c r="L878" s="41" t="inlineStr">
        <is>
          <t>9</t>
        </is>
      </c>
      <c r="M878" s="42" t="inlineStr">
        <is>
          <t>개인</t>
        </is>
      </c>
      <c r="N878" s="42" t="inlineStr">
        <is>
          <t>개인</t>
        </is>
      </c>
      <c r="O878" s="41" t="inlineStr">
        <is>
          <t>1989</t>
        </is>
      </c>
      <c r="P878" s="42" t="inlineStr">
        <is>
          <t>사임당로23길 53</t>
        </is>
      </c>
      <c r="Q878" s="41" t="inlineStr">
        <is>
          <t>-</t>
        </is>
      </c>
      <c r="R878" s="42" t="inlineStr">
        <is>
          <t>중개거래</t>
        </is>
      </c>
      <c r="S878" s="42" t="inlineStr">
        <is>
          <t>서울 서초구</t>
        </is>
      </c>
      <c r="T878" s="41" t="inlineStr">
        <is>
          <t>25.04.18</t>
        </is>
      </c>
      <c r="U878" s="42" t="inlineStr">
        <is>
          <t>아파트</t>
        </is>
      </c>
    </row>
    <row r="879" hidden="1" ht="15" customHeight="1">
      <c r="A879" s="41" t="n">
        <v>346</v>
      </c>
      <c r="B879" s="42" t="inlineStr">
        <is>
          <t>서울특별시 서초구 서초동</t>
        </is>
      </c>
      <c r="C879" s="41" t="inlineStr">
        <is>
          <t>1641-1</t>
        </is>
      </c>
      <c r="D879" s="41" t="inlineStr">
        <is>
          <t>1641</t>
        </is>
      </c>
      <c r="E879" s="41" t="inlineStr">
        <is>
          <t>0001</t>
        </is>
      </c>
      <c r="F879" s="42" t="inlineStr">
        <is>
          <t>서초삼성래미안</t>
        </is>
      </c>
      <c r="G879" s="41" t="inlineStr">
        <is>
          <t>84.9700</t>
        </is>
      </c>
      <c r="H879" s="41" t="inlineStr">
        <is>
          <t>202501</t>
        </is>
      </c>
      <c r="I879" s="41" t="inlineStr">
        <is>
          <t>25</t>
        </is>
      </c>
      <c r="J879" s="41" t="inlineStr">
        <is>
          <t>187,000</t>
        </is>
      </c>
      <c r="K879" s="41" t="inlineStr">
        <is>
          <t>101</t>
        </is>
      </c>
      <c r="L879" s="41" t="inlineStr">
        <is>
          <t>7</t>
        </is>
      </c>
      <c r="M879" s="42" t="inlineStr">
        <is>
          <t>개인</t>
        </is>
      </c>
      <c r="N879" s="42" t="inlineStr">
        <is>
          <t>개인</t>
        </is>
      </c>
      <c r="O879" s="41" t="inlineStr">
        <is>
          <t>2001</t>
        </is>
      </c>
      <c r="P879" s="42" t="inlineStr">
        <is>
          <t>사임당로17길 116</t>
        </is>
      </c>
      <c r="Q879" s="41" t="inlineStr">
        <is>
          <t>-</t>
        </is>
      </c>
      <c r="R879" s="42" t="inlineStr">
        <is>
          <t>중개거래</t>
        </is>
      </c>
      <c r="S879" s="42" t="inlineStr">
        <is>
          <t>서울 서초구</t>
        </is>
      </c>
      <c r="T879" s="41" t="inlineStr">
        <is>
          <t>25.03.28</t>
        </is>
      </c>
      <c r="U879" s="42" t="inlineStr">
        <is>
          <t>아파트</t>
        </is>
      </c>
    </row>
    <row r="880" hidden="1" ht="15" customHeight="1">
      <c r="A880" s="41" t="n">
        <v>347</v>
      </c>
      <c r="B880" s="42" t="inlineStr">
        <is>
          <t>서울특별시 서초구 서초동</t>
        </is>
      </c>
      <c r="C880" s="41" t="inlineStr">
        <is>
          <t>1755</t>
        </is>
      </c>
      <c r="D880" s="41" t="inlineStr">
        <is>
          <t>1755</t>
        </is>
      </c>
      <c r="E880" s="41" t="inlineStr">
        <is>
          <t>0000</t>
        </is>
      </c>
      <c r="F880" s="42" t="inlineStr">
        <is>
          <t>래미안 리더스원</t>
        </is>
      </c>
      <c r="G880" s="41" t="inlineStr">
        <is>
          <t>114.9400</t>
        </is>
      </c>
      <c r="H880" s="41" t="inlineStr">
        <is>
          <t>202501</t>
        </is>
      </c>
      <c r="I880" s="41" t="inlineStr">
        <is>
          <t>24</t>
        </is>
      </c>
      <c r="J880" s="41" t="inlineStr">
        <is>
          <t>390,000</t>
        </is>
      </c>
      <c r="K880" s="41" t="inlineStr">
        <is>
          <t>109동</t>
        </is>
      </c>
      <c r="L880" s="41" t="inlineStr">
        <is>
          <t>15</t>
        </is>
      </c>
      <c r="M880" s="42" t="inlineStr">
        <is>
          <t>개인</t>
        </is>
      </c>
      <c r="N880" s="42" t="inlineStr">
        <is>
          <t>개인</t>
        </is>
      </c>
      <c r="O880" s="41" t="inlineStr">
        <is>
          <t>2020</t>
        </is>
      </c>
      <c r="P880" s="42" t="inlineStr">
        <is>
          <t>서운로 62</t>
        </is>
      </c>
      <c r="Q880" s="41" t="inlineStr">
        <is>
          <t>-</t>
        </is>
      </c>
      <c r="R880" s="42" t="inlineStr">
        <is>
          <t>중개거래</t>
        </is>
      </c>
      <c r="S880" s="42" t="inlineStr">
        <is>
          <t>서울 서초구</t>
        </is>
      </c>
      <c r="T880" s="41" t="inlineStr">
        <is>
          <t>25.03.19</t>
        </is>
      </c>
      <c r="U880" s="42" t="inlineStr">
        <is>
          <t>아파트</t>
        </is>
      </c>
    </row>
    <row r="881" hidden="1" ht="15" customHeight="1">
      <c r="A881" s="41" t="n">
        <v>348</v>
      </c>
      <c r="B881" s="42" t="inlineStr">
        <is>
          <t>서울특별시 서초구 서초동</t>
        </is>
      </c>
      <c r="C881" s="41" t="inlineStr">
        <is>
          <t>1593-7</t>
        </is>
      </c>
      <c r="D881" s="41" t="inlineStr">
        <is>
          <t>1593</t>
        </is>
      </c>
      <c r="E881" s="41" t="inlineStr">
        <is>
          <t>0007</t>
        </is>
      </c>
      <c r="F881" s="42" t="inlineStr">
        <is>
          <t>서초이오빌</t>
        </is>
      </c>
      <c r="G881" s="41" t="inlineStr">
        <is>
          <t>45.9600</t>
        </is>
      </c>
      <c r="H881" s="41" t="inlineStr">
        <is>
          <t>202501</t>
        </is>
      </c>
      <c r="I881" s="41" t="inlineStr">
        <is>
          <t>24</t>
        </is>
      </c>
      <c r="J881" s="41" t="inlineStr">
        <is>
          <t>42,000</t>
        </is>
      </c>
      <c r="K881" s="41" t="inlineStr">
        <is>
          <t>-</t>
        </is>
      </c>
      <c r="L881" s="41" t="inlineStr">
        <is>
          <t>23</t>
        </is>
      </c>
      <c r="M881" s="42" t="inlineStr">
        <is>
          <t>개인</t>
        </is>
      </c>
      <c r="N881" s="42" t="inlineStr">
        <is>
          <t>개인</t>
        </is>
      </c>
      <c r="O881" s="41" t="inlineStr">
        <is>
          <t>2003</t>
        </is>
      </c>
      <c r="P881" s="42" t="inlineStr">
        <is>
          <t>효령로53길 45</t>
        </is>
      </c>
      <c r="Q881" s="41" t="inlineStr">
        <is>
          <t>-</t>
        </is>
      </c>
      <c r="R881" s="42" t="inlineStr">
        <is>
          <t>중개거래</t>
        </is>
      </c>
      <c r="S881" s="42" t="inlineStr">
        <is>
          <t>서울 서초구</t>
        </is>
      </c>
      <c r="T881" s="41" t="inlineStr">
        <is>
          <t>26.03.10</t>
        </is>
      </c>
      <c r="U881" s="42" t="inlineStr">
        <is>
          <t>아파트</t>
        </is>
      </c>
    </row>
    <row r="882" hidden="1" ht="15" customHeight="1">
      <c r="A882" s="41" t="n">
        <v>349</v>
      </c>
      <c r="B882" s="42" t="inlineStr">
        <is>
          <t>서울특별시 서초구 서초동</t>
        </is>
      </c>
      <c r="C882" s="41" t="inlineStr">
        <is>
          <t>1755</t>
        </is>
      </c>
      <c r="D882" s="41" t="inlineStr">
        <is>
          <t>1755</t>
        </is>
      </c>
      <c r="E882" s="41" t="inlineStr">
        <is>
          <t>0000</t>
        </is>
      </c>
      <c r="F882" s="42" t="inlineStr">
        <is>
          <t>래미안 리더스원</t>
        </is>
      </c>
      <c r="G882" s="41" t="inlineStr">
        <is>
          <t>84.9400</t>
        </is>
      </c>
      <c r="H882" s="41" t="inlineStr">
        <is>
          <t>202501</t>
        </is>
      </c>
      <c r="I882" s="41" t="inlineStr">
        <is>
          <t>22</t>
        </is>
      </c>
      <c r="J882" s="41" t="inlineStr">
        <is>
          <t>318,000</t>
        </is>
      </c>
      <c r="K882" s="41" t="inlineStr">
        <is>
          <t>111동</t>
        </is>
      </c>
      <c r="L882" s="41" t="inlineStr">
        <is>
          <t>6</t>
        </is>
      </c>
      <c r="M882" s="42" t="inlineStr">
        <is>
          <t>개인</t>
        </is>
      </c>
      <c r="N882" s="42" t="inlineStr">
        <is>
          <t>개인</t>
        </is>
      </c>
      <c r="O882" s="41" t="inlineStr">
        <is>
          <t>2020</t>
        </is>
      </c>
      <c r="P882" s="42" t="inlineStr">
        <is>
          <t>서운로 62</t>
        </is>
      </c>
      <c r="Q882" s="41" t="inlineStr">
        <is>
          <t>-</t>
        </is>
      </c>
      <c r="R882" s="42" t="inlineStr">
        <is>
          <t>중개거래</t>
        </is>
      </c>
      <c r="S882" s="42" t="inlineStr">
        <is>
          <t>서울 서초구</t>
        </is>
      </c>
      <c r="T882" s="41" t="inlineStr">
        <is>
          <t>25.02.26</t>
        </is>
      </c>
      <c r="U882" s="42" t="inlineStr">
        <is>
          <t>아파트</t>
        </is>
      </c>
    </row>
    <row r="883" hidden="1" ht="15" customHeight="1">
      <c r="A883" s="41" t="n">
        <v>350</v>
      </c>
      <c r="B883" s="42" t="inlineStr">
        <is>
          <t>서울특별시 서초구 서초동</t>
        </is>
      </c>
      <c r="C883" s="41" t="inlineStr">
        <is>
          <t>1593-7</t>
        </is>
      </c>
      <c r="D883" s="41" t="inlineStr">
        <is>
          <t>1593</t>
        </is>
      </c>
      <c r="E883" s="41" t="inlineStr">
        <is>
          <t>0007</t>
        </is>
      </c>
      <c r="F883" s="42" t="inlineStr">
        <is>
          <t>서초이오빌</t>
        </is>
      </c>
      <c r="G883" s="41" t="inlineStr">
        <is>
          <t>45.9600</t>
        </is>
      </c>
      <c r="H883" s="41" t="inlineStr">
        <is>
          <t>202501</t>
        </is>
      </c>
      <c r="I883" s="41" t="inlineStr">
        <is>
          <t>22</t>
        </is>
      </c>
      <c r="J883" s="41" t="inlineStr">
        <is>
          <t>39,500</t>
        </is>
      </c>
      <c r="K883" s="41" t="inlineStr">
        <is>
          <t>-</t>
        </is>
      </c>
      <c r="L883" s="41" t="inlineStr">
        <is>
          <t>8</t>
        </is>
      </c>
      <c r="M883" s="42" t="inlineStr">
        <is>
          <t>개인</t>
        </is>
      </c>
      <c r="N883" s="42" t="inlineStr">
        <is>
          <t>개인</t>
        </is>
      </c>
      <c r="O883" s="41" t="inlineStr">
        <is>
          <t>2003</t>
        </is>
      </c>
      <c r="P883" s="42" t="inlineStr">
        <is>
          <t>효령로53길 45</t>
        </is>
      </c>
      <c r="Q883" s="41" t="inlineStr">
        <is>
          <t>-</t>
        </is>
      </c>
      <c r="R883" s="42" t="inlineStr">
        <is>
          <t>중개거래</t>
        </is>
      </c>
      <c r="S883" s="42" t="inlineStr">
        <is>
          <t>서울 서초구</t>
        </is>
      </c>
      <c r="T883" s="41" t="inlineStr">
        <is>
          <t>25.02.14</t>
        </is>
      </c>
      <c r="U883" s="42" t="inlineStr">
        <is>
          <t>아파트</t>
        </is>
      </c>
    </row>
    <row r="884" hidden="1" ht="15" customHeight="1">
      <c r="A884" s="41" t="n">
        <v>351</v>
      </c>
      <c r="B884" s="42" t="inlineStr">
        <is>
          <t>서울특별시 서초구 서초동</t>
        </is>
      </c>
      <c r="C884" s="41" t="inlineStr">
        <is>
          <t>1685-3</t>
        </is>
      </c>
      <c r="D884" s="41" t="inlineStr">
        <is>
          <t>1685</t>
        </is>
      </c>
      <c r="E884" s="41" t="inlineStr">
        <is>
          <t>0003</t>
        </is>
      </c>
      <c r="F884" s="42" t="inlineStr">
        <is>
          <t>아크로비스타</t>
        </is>
      </c>
      <c r="G884" s="41" t="inlineStr">
        <is>
          <t>161.9400</t>
        </is>
      </c>
      <c r="H884" s="41" t="inlineStr">
        <is>
          <t>202501</t>
        </is>
      </c>
      <c r="I884" s="41" t="inlineStr">
        <is>
          <t>22</t>
        </is>
      </c>
      <c r="J884" s="41" t="inlineStr">
        <is>
          <t>328,000</t>
        </is>
      </c>
      <c r="K884" s="41" t="inlineStr">
        <is>
          <t>B</t>
        </is>
      </c>
      <c r="L884" s="41" t="inlineStr">
        <is>
          <t>9</t>
        </is>
      </c>
      <c r="M884" s="42" t="inlineStr">
        <is>
          <t>개인</t>
        </is>
      </c>
      <c r="N884" s="42" t="inlineStr">
        <is>
          <t>개인</t>
        </is>
      </c>
      <c r="O884" s="41" t="inlineStr">
        <is>
          <t>2004</t>
        </is>
      </c>
      <c r="P884" s="42" t="inlineStr">
        <is>
          <t>서초중앙로 188</t>
        </is>
      </c>
      <c r="Q884" s="41" t="inlineStr">
        <is>
          <t>-</t>
        </is>
      </c>
      <c r="R884" s="42" t="inlineStr">
        <is>
          <t>중개거래</t>
        </is>
      </c>
      <c r="S884" s="42" t="inlineStr">
        <is>
          <t>서울 서초구</t>
        </is>
      </c>
      <c r="T884" s="41" t="inlineStr">
        <is>
          <t>25.06.16</t>
        </is>
      </c>
      <c r="U884" s="42" t="inlineStr">
        <is>
          <t>아파트</t>
        </is>
      </c>
    </row>
    <row r="885" hidden="1" ht="15" customHeight="1">
      <c r="A885" s="41" t="n">
        <v>352</v>
      </c>
      <c r="B885" s="42" t="inlineStr">
        <is>
          <t>서울특별시 서초구 서초동</t>
        </is>
      </c>
      <c r="C885" s="41" t="inlineStr">
        <is>
          <t>1582-3</t>
        </is>
      </c>
      <c r="D885" s="41" t="inlineStr">
        <is>
          <t>1582</t>
        </is>
      </c>
      <c r="E885" s="41" t="inlineStr">
        <is>
          <t>0003</t>
        </is>
      </c>
      <c r="F885" s="42" t="inlineStr">
        <is>
          <t>서초센트럴IPARK</t>
        </is>
      </c>
      <c r="G885" s="41" t="inlineStr">
        <is>
          <t>80.5154</t>
        </is>
      </c>
      <c r="H885" s="41" t="inlineStr">
        <is>
          <t>202501</t>
        </is>
      </c>
      <c r="I885" s="41" t="inlineStr">
        <is>
          <t>22</t>
        </is>
      </c>
      <c r="J885" s="41" t="inlineStr">
        <is>
          <t>173,000</t>
        </is>
      </c>
      <c r="K885" s="41" t="inlineStr">
        <is>
          <t>101동</t>
        </is>
      </c>
      <c r="L885" s="41" t="inlineStr">
        <is>
          <t>25</t>
        </is>
      </c>
      <c r="M885" s="42" t="inlineStr">
        <is>
          <t>개인</t>
        </is>
      </c>
      <c r="N885" s="42" t="inlineStr">
        <is>
          <t>개인</t>
        </is>
      </c>
      <c r="O885" s="41" t="inlineStr">
        <is>
          <t>2020</t>
        </is>
      </c>
      <c r="P885" s="42" t="inlineStr">
        <is>
          <t>반포대로18길 36</t>
        </is>
      </c>
      <c r="Q885" s="41" t="inlineStr">
        <is>
          <t>-</t>
        </is>
      </c>
      <c r="R885" s="42" t="inlineStr">
        <is>
          <t>중개거래</t>
        </is>
      </c>
      <c r="S885" s="42" t="inlineStr">
        <is>
          <t>서울 동대문구, 서울 서초구</t>
        </is>
      </c>
      <c r="T885" s="41" t="inlineStr">
        <is>
          <t>25.06.30</t>
        </is>
      </c>
      <c r="U885" s="42" t="inlineStr">
        <is>
          <t>아파트</t>
        </is>
      </c>
    </row>
    <row r="886" hidden="1" ht="15" customHeight="1">
      <c r="A886" s="41" t="n">
        <v>353</v>
      </c>
      <c r="B886" s="42" t="inlineStr">
        <is>
          <t>서울특별시 서초구 서초동</t>
        </is>
      </c>
      <c r="C886" s="41" t="inlineStr">
        <is>
          <t>1311-10</t>
        </is>
      </c>
      <c r="D886" s="41" t="inlineStr">
        <is>
          <t>1311</t>
        </is>
      </c>
      <c r="E886" s="41" t="inlineStr">
        <is>
          <t>0010</t>
        </is>
      </c>
      <c r="F886" s="42" t="inlineStr">
        <is>
          <t>서초푸르지오써밋</t>
        </is>
      </c>
      <c r="G886" s="41" t="inlineStr">
        <is>
          <t>74.9600</t>
        </is>
      </c>
      <c r="H886" s="41" t="inlineStr">
        <is>
          <t>202501</t>
        </is>
      </c>
      <c r="I886" s="41" t="inlineStr">
        <is>
          <t>22</t>
        </is>
      </c>
      <c r="J886" s="41" t="inlineStr">
        <is>
          <t>279,000</t>
        </is>
      </c>
      <c r="K886" s="41" t="inlineStr">
        <is>
          <t>104</t>
        </is>
      </c>
      <c r="L886" s="41" t="inlineStr">
        <is>
          <t>13</t>
        </is>
      </c>
      <c r="M886" s="42" t="inlineStr">
        <is>
          <t>개인</t>
        </is>
      </c>
      <c r="N886" s="42" t="inlineStr">
        <is>
          <t>개인</t>
        </is>
      </c>
      <c r="O886" s="41" t="inlineStr">
        <is>
          <t>2017</t>
        </is>
      </c>
      <c r="P886" s="42" t="inlineStr">
        <is>
          <t>서운로 201</t>
        </is>
      </c>
      <c r="Q886" s="41" t="inlineStr">
        <is>
          <t>-</t>
        </is>
      </c>
      <c r="R886" s="42" t="inlineStr">
        <is>
          <t>중개거래</t>
        </is>
      </c>
      <c r="S886" s="42" t="inlineStr">
        <is>
          <t>서울 서초구</t>
        </is>
      </c>
      <c r="T886" s="41" t="inlineStr">
        <is>
          <t>25.04.14</t>
        </is>
      </c>
      <c r="U886" s="42" t="inlineStr">
        <is>
          <t>아파트</t>
        </is>
      </c>
    </row>
    <row r="887" hidden="1" ht="15" customHeight="1">
      <c r="A887" s="41" t="n">
        <v>354</v>
      </c>
      <c r="B887" s="42" t="inlineStr">
        <is>
          <t>서울특별시 서초구 서초동</t>
        </is>
      </c>
      <c r="C887" s="41" t="inlineStr">
        <is>
          <t>1301-6</t>
        </is>
      </c>
      <c r="D887" s="41" t="inlineStr">
        <is>
          <t>1301</t>
        </is>
      </c>
      <c r="E887" s="41" t="inlineStr">
        <is>
          <t>0006</t>
        </is>
      </c>
      <c r="F887" s="42" t="inlineStr">
        <is>
          <t>래미안서초스위트</t>
        </is>
      </c>
      <c r="G887" s="41" t="inlineStr">
        <is>
          <t>59.9958</t>
        </is>
      </c>
      <c r="H887" s="41" t="inlineStr">
        <is>
          <t>202501</t>
        </is>
      </c>
      <c r="I887" s="41" t="inlineStr">
        <is>
          <t>22</t>
        </is>
      </c>
      <c r="J887" s="41" t="inlineStr">
        <is>
          <t>215,000</t>
        </is>
      </c>
      <c r="K887" s="41" t="inlineStr">
        <is>
          <t>101</t>
        </is>
      </c>
      <c r="L887" s="41" t="inlineStr">
        <is>
          <t>3</t>
        </is>
      </c>
      <c r="M887" s="42" t="inlineStr">
        <is>
          <t>개인</t>
        </is>
      </c>
      <c r="N887" s="42" t="inlineStr">
        <is>
          <t>개인</t>
        </is>
      </c>
      <c r="O887" s="41" t="inlineStr">
        <is>
          <t>2009</t>
        </is>
      </c>
      <c r="P887" s="42" t="inlineStr">
        <is>
          <t>서운로 221</t>
        </is>
      </c>
      <c r="Q887" s="41" t="inlineStr">
        <is>
          <t>-</t>
        </is>
      </c>
      <c r="R887" s="42" t="inlineStr">
        <is>
          <t>중개거래</t>
        </is>
      </c>
      <c r="S887" s="42" t="inlineStr">
        <is>
          <t>서울 서초구</t>
        </is>
      </c>
      <c r="T887" s="41" t="inlineStr">
        <is>
          <t>25.05.07</t>
        </is>
      </c>
      <c r="U887" s="42" t="inlineStr">
        <is>
          <t>아파트</t>
        </is>
      </c>
    </row>
    <row r="888" hidden="1" ht="15" customHeight="1">
      <c r="A888" s="41" t="n">
        <v>355</v>
      </c>
      <c r="B888" s="42" t="inlineStr">
        <is>
          <t>서울특별시 서초구 서초동</t>
        </is>
      </c>
      <c r="C888" s="41" t="inlineStr">
        <is>
          <t>1445-14</t>
        </is>
      </c>
      <c r="D888" s="41" t="inlineStr">
        <is>
          <t>1445</t>
        </is>
      </c>
      <c r="E888" s="41" t="inlineStr">
        <is>
          <t>0014</t>
        </is>
      </c>
      <c r="F888" s="42" t="inlineStr">
        <is>
          <t>더샵서초</t>
        </is>
      </c>
      <c r="G888" s="41" t="inlineStr">
        <is>
          <t>33.0600</t>
        </is>
      </c>
      <c r="H888" s="41" t="inlineStr">
        <is>
          <t>202501</t>
        </is>
      </c>
      <c r="I888" s="41" t="inlineStr">
        <is>
          <t>22</t>
        </is>
      </c>
      <c r="J888" s="41" t="inlineStr">
        <is>
          <t>63,000</t>
        </is>
      </c>
      <c r="K888" s="41" t="inlineStr">
        <is>
          <t>103</t>
        </is>
      </c>
      <c r="L888" s="41" t="inlineStr">
        <is>
          <t>26</t>
        </is>
      </c>
      <c r="M888" s="42" t="inlineStr">
        <is>
          <t>개인</t>
        </is>
      </c>
      <c r="N888" s="42" t="inlineStr">
        <is>
          <t>개인</t>
        </is>
      </c>
      <c r="O888" s="41" t="inlineStr">
        <is>
          <t>2006</t>
        </is>
      </c>
      <c r="P888" s="42" t="inlineStr">
        <is>
          <t>서초중앙로2길 21</t>
        </is>
      </c>
      <c r="Q888" s="41" t="inlineStr">
        <is>
          <t>-</t>
        </is>
      </c>
      <c r="R888" s="42" t="inlineStr">
        <is>
          <t>중개거래</t>
        </is>
      </c>
      <c r="S888" s="42" t="inlineStr">
        <is>
          <t>서울 서초구</t>
        </is>
      </c>
      <c r="T888" s="41" t="inlineStr">
        <is>
          <t>25.02.26</t>
        </is>
      </c>
      <c r="U888" s="42" t="inlineStr">
        <is>
          <t>아파트</t>
        </is>
      </c>
    </row>
    <row r="889" hidden="1" ht="15" customHeight="1">
      <c r="A889" s="41" t="n">
        <v>356</v>
      </c>
      <c r="B889" s="42" t="inlineStr">
        <is>
          <t>서울특별시 서초구 서초동</t>
        </is>
      </c>
      <c r="C889" s="41" t="inlineStr">
        <is>
          <t>1593-7</t>
        </is>
      </c>
      <c r="D889" s="41" t="inlineStr">
        <is>
          <t>1593</t>
        </is>
      </c>
      <c r="E889" s="41" t="inlineStr">
        <is>
          <t>0007</t>
        </is>
      </c>
      <c r="F889" s="42" t="inlineStr">
        <is>
          <t>서초이오빌</t>
        </is>
      </c>
      <c r="G889" s="41" t="inlineStr">
        <is>
          <t>36.6600</t>
        </is>
      </c>
      <c r="H889" s="41" t="inlineStr">
        <is>
          <t>202501</t>
        </is>
      </c>
      <c r="I889" s="41" t="inlineStr">
        <is>
          <t>21</t>
        </is>
      </c>
      <c r="J889" s="41" t="inlineStr">
        <is>
          <t>32,400</t>
        </is>
      </c>
      <c r="K889" s="41" t="inlineStr">
        <is>
          <t>-</t>
        </is>
      </c>
      <c r="L889" s="41" t="inlineStr">
        <is>
          <t>19</t>
        </is>
      </c>
      <c r="M889" s="42" t="inlineStr">
        <is>
          <t>개인</t>
        </is>
      </c>
      <c r="N889" s="42" t="inlineStr">
        <is>
          <t>개인</t>
        </is>
      </c>
      <c r="O889" s="41" t="inlineStr">
        <is>
          <t>2003</t>
        </is>
      </c>
      <c r="P889" s="42" t="inlineStr">
        <is>
          <t>효령로53길 45</t>
        </is>
      </c>
      <c r="Q889" s="41" t="inlineStr">
        <is>
          <t>-</t>
        </is>
      </c>
      <c r="R889" s="42" t="inlineStr">
        <is>
          <t>중개거래</t>
        </is>
      </c>
      <c r="S889" s="42" t="inlineStr">
        <is>
          <t>서울 서초구</t>
        </is>
      </c>
      <c r="T889" s="41" t="inlineStr">
        <is>
          <t>25.02.20</t>
        </is>
      </c>
      <c r="U889" s="42" t="inlineStr">
        <is>
          <t>아파트</t>
        </is>
      </c>
    </row>
    <row r="890" hidden="1" ht="15" customHeight="1">
      <c r="A890" s="41" t="n">
        <v>357</v>
      </c>
      <c r="B890" s="42" t="inlineStr">
        <is>
          <t>서울특별시 서초구 서초동</t>
        </is>
      </c>
      <c r="C890" s="41" t="inlineStr">
        <is>
          <t>1311-10</t>
        </is>
      </c>
      <c r="D890" s="41" t="inlineStr">
        <is>
          <t>1311</t>
        </is>
      </c>
      <c r="E890" s="41" t="inlineStr">
        <is>
          <t>0010</t>
        </is>
      </c>
      <c r="F890" s="42" t="inlineStr">
        <is>
          <t>서초푸르지오써밋</t>
        </is>
      </c>
      <c r="G890" s="41" t="inlineStr">
        <is>
          <t>104.1100</t>
        </is>
      </c>
      <c r="H890" s="41" t="inlineStr">
        <is>
          <t>202501</t>
        </is>
      </c>
      <c r="I890" s="41" t="inlineStr">
        <is>
          <t>20</t>
        </is>
      </c>
      <c r="J890" s="41" t="inlineStr">
        <is>
          <t>329,000</t>
        </is>
      </c>
      <c r="K890" s="41" t="inlineStr">
        <is>
          <t>202</t>
        </is>
      </c>
      <c r="L890" s="41" t="inlineStr">
        <is>
          <t>18</t>
        </is>
      </c>
      <c r="M890" s="42" t="inlineStr">
        <is>
          <t>개인</t>
        </is>
      </c>
      <c r="N890" s="42" t="inlineStr">
        <is>
          <t>개인</t>
        </is>
      </c>
      <c r="O890" s="41" t="inlineStr">
        <is>
          <t>2017</t>
        </is>
      </c>
      <c r="P890" s="42" t="inlineStr">
        <is>
          <t>서운로 212</t>
        </is>
      </c>
      <c r="Q890" s="41" t="inlineStr">
        <is>
          <t>-</t>
        </is>
      </c>
      <c r="R890" s="42" t="inlineStr">
        <is>
          <t>중개거래</t>
        </is>
      </c>
      <c r="S890" s="42" t="inlineStr">
        <is>
          <t>서울 서초구</t>
        </is>
      </c>
      <c r="T890" s="41" t="inlineStr">
        <is>
          <t>25.04.02</t>
        </is>
      </c>
      <c r="U890" s="42" t="inlineStr">
        <is>
          <t>아파트</t>
        </is>
      </c>
    </row>
    <row r="891" hidden="1" ht="15" customHeight="1">
      <c r="A891" s="41" t="n">
        <v>358</v>
      </c>
      <c r="B891" s="42" t="inlineStr">
        <is>
          <t>서울특별시 서초구 서초동</t>
        </is>
      </c>
      <c r="C891" s="41" t="inlineStr">
        <is>
          <t>1467-37</t>
        </is>
      </c>
      <c r="D891" s="41" t="inlineStr">
        <is>
          <t>1467</t>
        </is>
      </c>
      <c r="E891" s="41" t="inlineStr">
        <is>
          <t>0037</t>
        </is>
      </c>
      <c r="F891" s="42" t="inlineStr">
        <is>
          <t>서초3차e편한세상</t>
        </is>
      </c>
      <c r="G891" s="41" t="inlineStr">
        <is>
          <t>158.2400</t>
        </is>
      </c>
      <c r="H891" s="41" t="inlineStr">
        <is>
          <t>202501</t>
        </is>
      </c>
      <c r="I891" s="41" t="inlineStr">
        <is>
          <t>18</t>
        </is>
      </c>
      <c r="J891" s="41" t="inlineStr">
        <is>
          <t>248,000</t>
        </is>
      </c>
      <c r="K891" s="41" t="inlineStr">
        <is>
          <t>505</t>
        </is>
      </c>
      <c r="L891" s="41" t="inlineStr">
        <is>
          <t>15</t>
        </is>
      </c>
      <c r="M891" s="42" t="inlineStr">
        <is>
          <t>개인</t>
        </is>
      </c>
      <c r="N891" s="42" t="inlineStr">
        <is>
          <t>개인</t>
        </is>
      </c>
      <c r="O891" s="41" t="inlineStr">
        <is>
          <t>2005</t>
        </is>
      </c>
      <c r="P891" s="42" t="inlineStr">
        <is>
          <t>남부순환로 2343-10</t>
        </is>
      </c>
      <c r="Q891" s="41" t="inlineStr">
        <is>
          <t>-</t>
        </is>
      </c>
      <c r="R891" s="42" t="inlineStr">
        <is>
          <t>중개거래</t>
        </is>
      </c>
      <c r="S891" s="42" t="inlineStr">
        <is>
          <t>서울 강남구, 서울 서초구</t>
        </is>
      </c>
      <c r="T891" s="41" t="inlineStr">
        <is>
          <t>25.03.25</t>
        </is>
      </c>
      <c r="U891" s="42" t="inlineStr">
        <is>
          <t>아파트</t>
        </is>
      </c>
    </row>
    <row r="892" hidden="1" ht="15" customHeight="1">
      <c r="A892" s="41" t="n">
        <v>359</v>
      </c>
      <c r="B892" s="42" t="inlineStr">
        <is>
          <t>서울특별시 서초구 서초동</t>
        </is>
      </c>
      <c r="C892" s="41" t="inlineStr">
        <is>
          <t>1620-20</t>
        </is>
      </c>
      <c r="D892" s="41" t="inlineStr">
        <is>
          <t>1620</t>
        </is>
      </c>
      <c r="E892" s="41" t="inlineStr">
        <is>
          <t>0020</t>
        </is>
      </c>
      <c r="F892" s="42" t="inlineStr">
        <is>
          <t>서초동롯데캐슬리버티</t>
        </is>
      </c>
      <c r="G892" s="41" t="inlineStr">
        <is>
          <t>84.9900</t>
        </is>
      </c>
      <c r="H892" s="41" t="inlineStr">
        <is>
          <t>202501</t>
        </is>
      </c>
      <c r="I892" s="41" t="inlineStr">
        <is>
          <t>18</t>
        </is>
      </c>
      <c r="J892" s="41" t="inlineStr">
        <is>
          <t>173,000</t>
        </is>
      </c>
      <c r="K892" s="41" t="inlineStr">
        <is>
          <t>102</t>
        </is>
      </c>
      <c r="L892" s="41" t="inlineStr">
        <is>
          <t>7</t>
        </is>
      </c>
      <c r="M892" s="42" t="inlineStr">
        <is>
          <t>개인</t>
        </is>
      </c>
      <c r="N892" s="42" t="inlineStr">
        <is>
          <t>개인</t>
        </is>
      </c>
      <c r="O892" s="41" t="inlineStr">
        <is>
          <t>2005</t>
        </is>
      </c>
      <c r="P892" s="42" t="inlineStr">
        <is>
          <t>사임당로10길 39</t>
        </is>
      </c>
      <c r="Q892" s="41" t="inlineStr">
        <is>
          <t>-</t>
        </is>
      </c>
      <c r="R892" s="42" t="inlineStr">
        <is>
          <t>중개거래</t>
        </is>
      </c>
      <c r="S892" s="42" t="inlineStr">
        <is>
          <t>서울 강서구</t>
        </is>
      </c>
      <c r="T892" s="41" t="inlineStr">
        <is>
          <t>25.03.07</t>
        </is>
      </c>
      <c r="U892" s="42" t="inlineStr">
        <is>
          <t>아파트</t>
        </is>
      </c>
    </row>
    <row r="893" hidden="1" ht="15" customHeight="1">
      <c r="A893" s="41" t="n">
        <v>360</v>
      </c>
      <c r="B893" s="42" t="inlineStr">
        <is>
          <t>서울특별시 서초구 서초동</t>
        </is>
      </c>
      <c r="C893" s="41" t="inlineStr">
        <is>
          <t>1685</t>
        </is>
      </c>
      <c r="D893" s="41" t="inlineStr">
        <is>
          <t>1685</t>
        </is>
      </c>
      <c r="E893" s="41" t="inlineStr">
        <is>
          <t>0000</t>
        </is>
      </c>
      <c r="F893" s="42" t="inlineStr">
        <is>
          <t>삼풍아파트</t>
        </is>
      </c>
      <c r="G893" s="41" t="inlineStr">
        <is>
          <t>79.4700</t>
        </is>
      </c>
      <c r="H893" s="41" t="inlineStr">
        <is>
          <t>202501</t>
        </is>
      </c>
      <c r="I893" s="41" t="inlineStr">
        <is>
          <t>18</t>
        </is>
      </c>
      <c r="J893" s="41" t="inlineStr">
        <is>
          <t>280,000</t>
        </is>
      </c>
      <c r="K893" s="41" t="inlineStr">
        <is>
          <t>7</t>
        </is>
      </c>
      <c r="L893" s="41" t="inlineStr">
        <is>
          <t>8</t>
        </is>
      </c>
      <c r="M893" s="42" t="inlineStr">
        <is>
          <t>개인</t>
        </is>
      </c>
      <c r="N893" s="42" t="inlineStr">
        <is>
          <t>개인</t>
        </is>
      </c>
      <c r="O893" s="41" t="inlineStr">
        <is>
          <t>1988</t>
        </is>
      </c>
      <c r="P893" s="42" t="inlineStr">
        <is>
          <t>서초중앙로 200</t>
        </is>
      </c>
      <c r="Q893" s="41" t="inlineStr">
        <is>
          <t>-</t>
        </is>
      </c>
      <c r="R893" s="42" t="inlineStr">
        <is>
          <t>중개거래</t>
        </is>
      </c>
      <c r="S893" s="42" t="inlineStr">
        <is>
          <t>서울 서초구</t>
        </is>
      </c>
      <c r="T893" s="41" t="inlineStr">
        <is>
          <t>25.03.26</t>
        </is>
      </c>
      <c r="U893" s="42" t="inlineStr">
        <is>
          <t>아파트</t>
        </is>
      </c>
    </row>
    <row r="894" hidden="1" ht="15" customHeight="1">
      <c r="A894" s="41" t="n">
        <v>361</v>
      </c>
      <c r="B894" s="42" t="inlineStr">
        <is>
          <t>서울특별시 서초구 서초동</t>
        </is>
      </c>
      <c r="C894" s="41" t="inlineStr">
        <is>
          <t>1312-3</t>
        </is>
      </c>
      <c r="D894" s="41" t="inlineStr">
        <is>
          <t>1312</t>
        </is>
      </c>
      <c r="E894" s="41" t="inlineStr">
        <is>
          <t>0003</t>
        </is>
      </c>
      <c r="F894" s="42" t="inlineStr">
        <is>
          <t>롯데캐슬클래식</t>
        </is>
      </c>
      <c r="G894" s="41" t="inlineStr">
        <is>
          <t>84.9800</t>
        </is>
      </c>
      <c r="H894" s="41" t="inlineStr">
        <is>
          <t>202501</t>
        </is>
      </c>
      <c r="I894" s="41" t="inlineStr">
        <is>
          <t>18</t>
        </is>
      </c>
      <c r="J894" s="41" t="inlineStr">
        <is>
          <t>240,000</t>
        </is>
      </c>
      <c r="K894" s="41" t="inlineStr">
        <is>
          <t>110</t>
        </is>
      </c>
      <c r="L894" s="41" t="inlineStr">
        <is>
          <t>1</t>
        </is>
      </c>
      <c r="M894" s="42" t="inlineStr">
        <is>
          <t>개인</t>
        </is>
      </c>
      <c r="N894" s="42" t="inlineStr">
        <is>
          <t>개인</t>
        </is>
      </c>
      <c r="O894" s="41" t="inlineStr">
        <is>
          <t>2006</t>
        </is>
      </c>
      <c r="P894" s="42" t="inlineStr">
        <is>
          <t>서운로 197</t>
        </is>
      </c>
      <c r="Q894" s="41" t="inlineStr">
        <is>
          <t>-</t>
        </is>
      </c>
      <c r="R894" s="42" t="inlineStr">
        <is>
          <t>중개거래</t>
        </is>
      </c>
      <c r="S894" s="42" t="inlineStr">
        <is>
          <t>서울 서초구</t>
        </is>
      </c>
      <c r="T894" s="41" t="inlineStr">
        <is>
          <t>25.05.20</t>
        </is>
      </c>
      <c r="U894" s="42" t="inlineStr">
        <is>
          <t>아파트</t>
        </is>
      </c>
    </row>
    <row r="895" hidden="1" ht="15" customHeight="1">
      <c r="A895" s="41" t="n">
        <v>362</v>
      </c>
      <c r="B895" s="42" t="inlineStr">
        <is>
          <t>서울특별시 서초구 서초동</t>
        </is>
      </c>
      <c r="C895" s="41" t="inlineStr">
        <is>
          <t>1445-4</t>
        </is>
      </c>
      <c r="D895" s="41" t="inlineStr">
        <is>
          <t>1445</t>
        </is>
      </c>
      <c r="E895" s="41" t="inlineStr">
        <is>
          <t>0004</t>
        </is>
      </c>
      <c r="F895" s="42" t="inlineStr">
        <is>
          <t>래미안서초유니빌</t>
        </is>
      </c>
      <c r="G895" s="41" t="inlineStr">
        <is>
          <t>36.8380</t>
        </is>
      </c>
      <c r="H895" s="41" t="inlineStr">
        <is>
          <t>202501</t>
        </is>
      </c>
      <c r="I895" s="41" t="inlineStr">
        <is>
          <t>17</t>
        </is>
      </c>
      <c r="J895" s="41" t="inlineStr">
        <is>
          <t>37,000</t>
        </is>
      </c>
      <c r="K895" s="42" t="inlineStr">
        <is>
          <t>래미안 서초유니빌</t>
        </is>
      </c>
      <c r="L895" s="41" t="inlineStr">
        <is>
          <t>4</t>
        </is>
      </c>
      <c r="M895" s="42" t="inlineStr">
        <is>
          <t>개인</t>
        </is>
      </c>
      <c r="N895" s="42" t="inlineStr">
        <is>
          <t>개인</t>
        </is>
      </c>
      <c r="O895" s="41" t="inlineStr">
        <is>
          <t>2003</t>
        </is>
      </c>
      <c r="P895" s="42" t="inlineStr">
        <is>
          <t>서초중앙로 26</t>
        </is>
      </c>
      <c r="Q895" s="41" t="inlineStr">
        <is>
          <t>-</t>
        </is>
      </c>
      <c r="R895" s="42" t="inlineStr">
        <is>
          <t>중개거래</t>
        </is>
      </c>
      <c r="S895" s="42" t="inlineStr">
        <is>
          <t>서울 서초구</t>
        </is>
      </c>
      <c r="T895" s="41" t="inlineStr">
        <is>
          <t>25.03.20</t>
        </is>
      </c>
      <c r="U895" s="42" t="inlineStr">
        <is>
          <t>아파트</t>
        </is>
      </c>
    </row>
    <row r="896" hidden="1" ht="15" customHeight="1">
      <c r="A896" s="41" t="n">
        <v>363</v>
      </c>
      <c r="B896" s="42" t="inlineStr">
        <is>
          <t>서울특별시 서초구 서초동</t>
        </is>
      </c>
      <c r="C896" s="41" t="inlineStr">
        <is>
          <t>1593-7</t>
        </is>
      </c>
      <c r="D896" s="41" t="inlineStr">
        <is>
          <t>1593</t>
        </is>
      </c>
      <c r="E896" s="41" t="inlineStr">
        <is>
          <t>0007</t>
        </is>
      </c>
      <c r="F896" s="42" t="inlineStr">
        <is>
          <t>서초이오빌</t>
        </is>
      </c>
      <c r="G896" s="41" t="inlineStr">
        <is>
          <t>36.6600</t>
        </is>
      </c>
      <c r="H896" s="41" t="inlineStr">
        <is>
          <t>202501</t>
        </is>
      </c>
      <c r="I896" s="41" t="inlineStr">
        <is>
          <t>17</t>
        </is>
      </c>
      <c r="J896" s="41" t="inlineStr">
        <is>
          <t>30,500</t>
        </is>
      </c>
      <c r="K896" s="41" t="inlineStr">
        <is>
          <t>-</t>
        </is>
      </c>
      <c r="L896" s="41" t="inlineStr">
        <is>
          <t>12</t>
        </is>
      </c>
      <c r="M896" s="42" t="inlineStr">
        <is>
          <t>개인</t>
        </is>
      </c>
      <c r="N896" s="42" t="inlineStr">
        <is>
          <t>개인</t>
        </is>
      </c>
      <c r="O896" s="41" t="inlineStr">
        <is>
          <t>2003</t>
        </is>
      </c>
      <c r="P896" s="42" t="inlineStr">
        <is>
          <t>효령로53길 45</t>
        </is>
      </c>
      <c r="Q896" s="41" t="inlineStr">
        <is>
          <t>-</t>
        </is>
      </c>
      <c r="R896" s="42" t="inlineStr">
        <is>
          <t>중개거래</t>
        </is>
      </c>
      <c r="S896" s="42" t="inlineStr">
        <is>
          <t>서울 서초구</t>
        </is>
      </c>
      <c r="T896" s="41" t="inlineStr">
        <is>
          <t>25.06.02</t>
        </is>
      </c>
      <c r="U896" s="42" t="inlineStr">
        <is>
          <t>아파트</t>
        </is>
      </c>
    </row>
    <row r="897" hidden="1" ht="15" customHeight="1">
      <c r="A897" s="41" t="n">
        <v>364</v>
      </c>
      <c r="B897" s="42" t="inlineStr">
        <is>
          <t>서울특별시 서초구 서초동</t>
        </is>
      </c>
      <c r="C897" s="41" t="inlineStr">
        <is>
          <t>1584-6</t>
        </is>
      </c>
      <c r="D897" s="41" t="inlineStr">
        <is>
          <t>1584</t>
        </is>
      </c>
      <c r="E897" s="41" t="inlineStr">
        <is>
          <t>0006</t>
        </is>
      </c>
      <c r="F897" s="41" t="inlineStr">
        <is>
          <t>DK밸리뷰시티</t>
        </is>
      </c>
      <c r="G897" s="41" t="inlineStr">
        <is>
          <t>26.5900</t>
        </is>
      </c>
      <c r="H897" s="41" t="inlineStr">
        <is>
          <t>202501</t>
        </is>
      </c>
      <c r="I897" s="41" t="inlineStr">
        <is>
          <t>17</t>
        </is>
      </c>
      <c r="J897" s="41" t="inlineStr">
        <is>
          <t>39,500</t>
        </is>
      </c>
      <c r="K897" s="41" t="inlineStr">
        <is>
          <t>2동</t>
        </is>
      </c>
      <c r="L897" s="41" t="inlineStr">
        <is>
          <t>7</t>
        </is>
      </c>
      <c r="M897" s="42" t="inlineStr">
        <is>
          <t>개인</t>
        </is>
      </c>
      <c r="N897" s="42" t="inlineStr">
        <is>
          <t>개인</t>
        </is>
      </c>
      <c r="O897" s="41" t="inlineStr">
        <is>
          <t>2019</t>
        </is>
      </c>
      <c r="P897" s="42" t="inlineStr">
        <is>
          <t>반포대로14길 14</t>
        </is>
      </c>
      <c r="Q897" s="41" t="inlineStr">
        <is>
          <t>-</t>
        </is>
      </c>
      <c r="R897" s="42" t="inlineStr">
        <is>
          <t>중개거래</t>
        </is>
      </c>
      <c r="S897" s="42" t="inlineStr">
        <is>
          <t>서울 서초구</t>
        </is>
      </c>
      <c r="T897" s="41" t="inlineStr">
        <is>
          <t>25.04.18</t>
        </is>
      </c>
      <c r="U897" s="42" t="inlineStr">
        <is>
          <t>아파트</t>
        </is>
      </c>
    </row>
    <row r="898" hidden="1" ht="15" customHeight="1">
      <c r="A898" s="41" t="n">
        <v>365</v>
      </c>
      <c r="B898" s="42" t="inlineStr">
        <is>
          <t>서울특별시 서초구 서초동</t>
        </is>
      </c>
      <c r="C898" s="41" t="inlineStr">
        <is>
          <t>1330</t>
        </is>
      </c>
      <c r="D898" s="41" t="inlineStr">
        <is>
          <t>1330</t>
        </is>
      </c>
      <c r="E898" s="41" t="inlineStr">
        <is>
          <t>0000</t>
        </is>
      </c>
      <c r="F898" s="42" t="inlineStr">
        <is>
          <t>서초동삼성쉐르빌2</t>
        </is>
      </c>
      <c r="G898" s="41" t="inlineStr">
        <is>
          <t>35.2200</t>
        </is>
      </c>
      <c r="H898" s="41" t="inlineStr">
        <is>
          <t>202501</t>
        </is>
      </c>
      <c r="I898" s="41" t="inlineStr">
        <is>
          <t>16</t>
        </is>
      </c>
      <c r="J898" s="41" t="inlineStr">
        <is>
          <t>30,500</t>
        </is>
      </c>
      <c r="K898" s="41" t="inlineStr">
        <is>
          <t>-</t>
        </is>
      </c>
      <c r="L898" s="41" t="inlineStr">
        <is>
          <t>7</t>
        </is>
      </c>
      <c r="M898" s="42" t="inlineStr">
        <is>
          <t>개인</t>
        </is>
      </c>
      <c r="N898" s="42" t="inlineStr">
        <is>
          <t>개인</t>
        </is>
      </c>
      <c r="O898" s="41" t="inlineStr">
        <is>
          <t>2002</t>
        </is>
      </c>
      <c r="P898" s="42" t="inlineStr">
        <is>
          <t>강남대로53길 11</t>
        </is>
      </c>
      <c r="Q898" s="41" t="inlineStr">
        <is>
          <t>-</t>
        </is>
      </c>
      <c r="R898" s="42" t="inlineStr">
        <is>
          <t>중개거래</t>
        </is>
      </c>
      <c r="S898" s="42" t="inlineStr">
        <is>
          <t>서울 서초구</t>
        </is>
      </c>
      <c r="T898" s="41" t="inlineStr">
        <is>
          <t>25.01.31</t>
        </is>
      </c>
      <c r="U898" s="42" t="inlineStr">
        <is>
          <t>아파트</t>
        </is>
      </c>
    </row>
    <row r="899" hidden="1" ht="15" customHeight="1">
      <c r="A899" s="41" t="n">
        <v>366</v>
      </c>
      <c r="B899" s="42" t="inlineStr">
        <is>
          <t>서울특별시 서초구 서초동</t>
        </is>
      </c>
      <c r="C899" s="41" t="inlineStr">
        <is>
          <t>1677-1</t>
        </is>
      </c>
      <c r="D899" s="41" t="inlineStr">
        <is>
          <t>1677</t>
        </is>
      </c>
      <c r="E899" s="41" t="inlineStr">
        <is>
          <t>0001</t>
        </is>
      </c>
      <c r="F899" s="42" t="inlineStr">
        <is>
          <t>브라운스톤서초(1677-1)</t>
        </is>
      </c>
      <c r="G899" s="41" t="inlineStr">
        <is>
          <t>84.2300</t>
        </is>
      </c>
      <c r="H899" s="41" t="inlineStr">
        <is>
          <t>202501</t>
        </is>
      </c>
      <c r="I899" s="41" t="inlineStr">
        <is>
          <t>16</t>
        </is>
      </c>
      <c r="J899" s="41" t="inlineStr">
        <is>
          <t>133,000</t>
        </is>
      </c>
      <c r="K899" s="42" t="inlineStr">
        <is>
          <t>브라운스톤</t>
        </is>
      </c>
      <c r="L899" s="41" t="inlineStr">
        <is>
          <t>12</t>
        </is>
      </c>
      <c r="M899" s="42" t="inlineStr">
        <is>
          <t>개인</t>
        </is>
      </c>
      <c r="N899" s="42" t="inlineStr">
        <is>
          <t>개인</t>
        </is>
      </c>
      <c r="O899" s="41" t="inlineStr">
        <is>
          <t>2006</t>
        </is>
      </c>
      <c r="P899" s="42" t="inlineStr">
        <is>
          <t>서초대로 334</t>
        </is>
      </c>
      <c r="Q899" s="41" t="inlineStr">
        <is>
          <t>-</t>
        </is>
      </c>
      <c r="R899" s="42" t="inlineStr">
        <is>
          <t>중개거래</t>
        </is>
      </c>
      <c r="S899" s="42" t="inlineStr">
        <is>
          <t>서울 서초구</t>
        </is>
      </c>
      <c r="T899" s="41" t="inlineStr">
        <is>
          <t>25.03.31</t>
        </is>
      </c>
      <c r="U899" s="42" t="inlineStr">
        <is>
          <t>아파트</t>
        </is>
      </c>
    </row>
    <row r="900" hidden="1" ht="15" customHeight="1">
      <c r="A900" s="41" t="n">
        <v>367</v>
      </c>
      <c r="B900" s="42" t="inlineStr">
        <is>
          <t>서울특별시 서초구 서초동</t>
        </is>
      </c>
      <c r="C900" s="41" t="inlineStr">
        <is>
          <t>1582-16</t>
        </is>
      </c>
      <c r="D900" s="41" t="inlineStr">
        <is>
          <t>1582</t>
        </is>
      </c>
      <c r="E900" s="41" t="inlineStr">
        <is>
          <t>0016</t>
        </is>
      </c>
      <c r="F900" s="42" t="inlineStr">
        <is>
          <t>서초아트래디앙</t>
        </is>
      </c>
      <c r="G900" s="41" t="inlineStr">
        <is>
          <t>56.9200</t>
        </is>
      </c>
      <c r="H900" s="41" t="inlineStr">
        <is>
          <t>202501</t>
        </is>
      </c>
      <c r="I900" s="41" t="inlineStr">
        <is>
          <t>14</t>
        </is>
      </c>
      <c r="J900" s="41" t="inlineStr">
        <is>
          <t>147,500</t>
        </is>
      </c>
      <c r="K900" s="41" t="inlineStr">
        <is>
          <t>-</t>
        </is>
      </c>
      <c r="L900" s="41" t="inlineStr">
        <is>
          <t>10</t>
        </is>
      </c>
      <c r="M900" s="42" t="inlineStr">
        <is>
          <t>개인</t>
        </is>
      </c>
      <c r="N900" s="42" t="inlineStr">
        <is>
          <t>개인</t>
        </is>
      </c>
      <c r="O900" s="41" t="inlineStr">
        <is>
          <t>2023</t>
        </is>
      </c>
      <c r="P900" s="42" t="inlineStr">
        <is>
          <t>반포대로18길 13-3</t>
        </is>
      </c>
      <c r="Q900" s="41" t="inlineStr">
        <is>
          <t>-</t>
        </is>
      </c>
      <c r="R900" s="42" t="inlineStr">
        <is>
          <t>직거래</t>
        </is>
      </c>
      <c r="S900" s="41" t="inlineStr">
        <is>
          <t>-</t>
        </is>
      </c>
      <c r="T900" s="41" t="inlineStr">
        <is>
          <t>25.08.29</t>
        </is>
      </c>
      <c r="U900" s="42" t="inlineStr">
        <is>
          <t>아파트</t>
        </is>
      </c>
    </row>
    <row r="901" hidden="1" ht="15" customHeight="1">
      <c r="A901" s="41" t="n">
        <v>368</v>
      </c>
      <c r="B901" s="42" t="inlineStr">
        <is>
          <t>서울특별시 서초구 서초동</t>
        </is>
      </c>
      <c r="C901" s="41" t="inlineStr">
        <is>
          <t>1682</t>
        </is>
      </c>
      <c r="D901" s="41" t="inlineStr">
        <is>
          <t>1682</t>
        </is>
      </c>
      <c r="E901" s="41" t="inlineStr">
        <is>
          <t>0000</t>
        </is>
      </c>
      <c r="F901" s="42" t="inlineStr">
        <is>
          <t>서초래미안</t>
        </is>
      </c>
      <c r="G901" s="41" t="inlineStr">
        <is>
          <t>111.3200</t>
        </is>
      </c>
      <c r="H901" s="41" t="inlineStr">
        <is>
          <t>202501</t>
        </is>
      </c>
      <c r="I901" s="41" t="inlineStr">
        <is>
          <t>14</t>
        </is>
      </c>
      <c r="J901" s="41" t="inlineStr">
        <is>
          <t>255,000</t>
        </is>
      </c>
      <c r="K901" s="41" t="inlineStr">
        <is>
          <t>112</t>
        </is>
      </c>
      <c r="L901" s="41" t="inlineStr">
        <is>
          <t>13</t>
        </is>
      </c>
      <c r="M901" s="42" t="inlineStr">
        <is>
          <t>개인</t>
        </is>
      </c>
      <c r="N901" s="42" t="inlineStr">
        <is>
          <t>개인</t>
        </is>
      </c>
      <c r="O901" s="41" t="inlineStr">
        <is>
          <t>2003</t>
        </is>
      </c>
      <c r="P901" s="42" t="inlineStr">
        <is>
          <t>서초대로65길 13-10</t>
        </is>
      </c>
      <c r="Q901" s="41" t="inlineStr">
        <is>
          <t>-</t>
        </is>
      </c>
      <c r="R901" s="42" t="inlineStr">
        <is>
          <t>중개거래</t>
        </is>
      </c>
      <c r="S901" s="42" t="inlineStr">
        <is>
          <t>서울 서초구</t>
        </is>
      </c>
      <c r="T901" s="41" t="inlineStr">
        <is>
          <t>25.04.11</t>
        </is>
      </c>
      <c r="U901" s="42" t="inlineStr">
        <is>
          <t>아파트</t>
        </is>
      </c>
    </row>
    <row r="902" hidden="1" ht="15" customHeight="1">
      <c r="A902" s="41" t="n">
        <v>369</v>
      </c>
      <c r="B902" s="42" t="inlineStr">
        <is>
          <t>서울특별시 서초구 서초동</t>
        </is>
      </c>
      <c r="C902" s="41" t="inlineStr">
        <is>
          <t>1332-13</t>
        </is>
      </c>
      <c r="D902" s="41" t="inlineStr">
        <is>
          <t>1332</t>
        </is>
      </c>
      <c r="E902" s="41" t="inlineStr">
        <is>
          <t>0013</t>
        </is>
      </c>
      <c r="F902" s="42" t="inlineStr">
        <is>
          <t>래미안서초에스티지</t>
        </is>
      </c>
      <c r="G902" s="41" t="inlineStr">
        <is>
          <t>83.6000</t>
        </is>
      </c>
      <c r="H902" s="41" t="inlineStr">
        <is>
          <t>202501</t>
        </is>
      </c>
      <c r="I902" s="41" t="inlineStr">
        <is>
          <t>14</t>
        </is>
      </c>
      <c r="J902" s="41" t="inlineStr">
        <is>
          <t>287,000</t>
        </is>
      </c>
      <c r="K902" s="41" t="inlineStr">
        <is>
          <t>104동</t>
        </is>
      </c>
      <c r="L902" s="41" t="inlineStr">
        <is>
          <t>14</t>
        </is>
      </c>
      <c r="M902" s="42" t="inlineStr">
        <is>
          <t>개인</t>
        </is>
      </c>
      <c r="N902" s="42" t="inlineStr">
        <is>
          <t>개인</t>
        </is>
      </c>
      <c r="O902" s="41" t="inlineStr">
        <is>
          <t>2016</t>
        </is>
      </c>
      <c r="P902" s="42" t="inlineStr">
        <is>
          <t>서운로 107</t>
        </is>
      </c>
      <c r="Q902" s="41" t="inlineStr">
        <is>
          <t>-</t>
        </is>
      </c>
      <c r="R902" s="42" t="inlineStr">
        <is>
          <t>중개거래</t>
        </is>
      </c>
      <c r="S902" s="42" t="inlineStr">
        <is>
          <t>서울 강서구, 서울 서초구</t>
        </is>
      </c>
      <c r="T902" s="41" t="inlineStr">
        <is>
          <t>25.03.31</t>
        </is>
      </c>
      <c r="U902" s="42" t="inlineStr">
        <is>
          <t>아파트</t>
        </is>
      </c>
    </row>
    <row r="903" hidden="1" ht="15" customHeight="1">
      <c r="A903" s="41" t="n">
        <v>370</v>
      </c>
      <c r="B903" s="42" t="inlineStr">
        <is>
          <t>서울특별시 서초구 서초동</t>
        </is>
      </c>
      <c r="C903" s="41" t="inlineStr">
        <is>
          <t>1682</t>
        </is>
      </c>
      <c r="D903" s="41" t="inlineStr">
        <is>
          <t>1682</t>
        </is>
      </c>
      <c r="E903" s="41" t="inlineStr">
        <is>
          <t>0000</t>
        </is>
      </c>
      <c r="F903" s="42" t="inlineStr">
        <is>
          <t>서초래미안</t>
        </is>
      </c>
      <c r="G903" s="41" t="inlineStr">
        <is>
          <t>126.3100</t>
        </is>
      </c>
      <c r="H903" s="41" t="inlineStr">
        <is>
          <t>202501</t>
        </is>
      </c>
      <c r="I903" s="41" t="inlineStr">
        <is>
          <t>13</t>
        </is>
      </c>
      <c r="J903" s="41" t="inlineStr">
        <is>
          <t>288,500</t>
        </is>
      </c>
      <c r="K903" s="41" t="inlineStr">
        <is>
          <t>-</t>
        </is>
      </c>
      <c r="L903" s="41" t="inlineStr">
        <is>
          <t>22</t>
        </is>
      </c>
      <c r="M903" s="42" t="inlineStr">
        <is>
          <t>개인</t>
        </is>
      </c>
      <c r="N903" s="42" t="inlineStr">
        <is>
          <t>개인</t>
        </is>
      </c>
      <c r="O903" s="41" t="inlineStr">
        <is>
          <t>2003</t>
        </is>
      </c>
      <c r="P903" s="42" t="inlineStr">
        <is>
          <t>서초대로65길 13-10</t>
        </is>
      </c>
      <c r="Q903" s="41" t="inlineStr">
        <is>
          <t>20250114</t>
        </is>
      </c>
      <c r="R903" s="42" t="inlineStr">
        <is>
          <t>중개거래</t>
        </is>
      </c>
      <c r="S903" s="42" t="inlineStr">
        <is>
          <t>서울 서초구</t>
        </is>
      </c>
      <c r="T903" s="41" t="inlineStr">
        <is>
          <t>-</t>
        </is>
      </c>
      <c r="U903" s="42" t="inlineStr">
        <is>
          <t>아파트</t>
        </is>
      </c>
    </row>
    <row r="904" hidden="1" ht="15" customHeight="1">
      <c r="A904" s="41" t="n">
        <v>371</v>
      </c>
      <c r="B904" s="42" t="inlineStr">
        <is>
          <t>서울특별시 서초구 서초동</t>
        </is>
      </c>
      <c r="C904" s="41" t="inlineStr">
        <is>
          <t>1682</t>
        </is>
      </c>
      <c r="D904" s="41" t="inlineStr">
        <is>
          <t>1682</t>
        </is>
      </c>
      <c r="E904" s="41" t="inlineStr">
        <is>
          <t>0000</t>
        </is>
      </c>
      <c r="F904" s="42" t="inlineStr">
        <is>
          <t>서초래미안</t>
        </is>
      </c>
      <c r="G904" s="41" t="inlineStr">
        <is>
          <t>126.3100</t>
        </is>
      </c>
      <c r="H904" s="41" t="inlineStr">
        <is>
          <t>202501</t>
        </is>
      </c>
      <c r="I904" s="41" t="inlineStr">
        <is>
          <t>13</t>
        </is>
      </c>
      <c r="J904" s="41" t="inlineStr">
        <is>
          <t>288,500</t>
        </is>
      </c>
      <c r="K904" s="41" t="inlineStr">
        <is>
          <t>109</t>
        </is>
      </c>
      <c r="L904" s="41" t="inlineStr">
        <is>
          <t>22</t>
        </is>
      </c>
      <c r="M904" s="42" t="inlineStr">
        <is>
          <t>개인</t>
        </is>
      </c>
      <c r="N904" s="42" t="inlineStr">
        <is>
          <t>개인</t>
        </is>
      </c>
      <c r="O904" s="41" t="inlineStr">
        <is>
          <t>2003</t>
        </is>
      </c>
      <c r="P904" s="42" t="inlineStr">
        <is>
          <t>서초대로65길 13-10</t>
        </is>
      </c>
      <c r="Q904" s="41" t="inlineStr">
        <is>
          <t>-</t>
        </is>
      </c>
      <c r="R904" s="42" t="inlineStr">
        <is>
          <t>중개거래</t>
        </is>
      </c>
      <c r="S904" s="42" t="inlineStr">
        <is>
          <t>서울 서초구</t>
        </is>
      </c>
      <c r="T904" s="41" t="inlineStr">
        <is>
          <t>25.02.10</t>
        </is>
      </c>
      <c r="U904" s="42" t="inlineStr">
        <is>
          <t>아파트</t>
        </is>
      </c>
    </row>
    <row r="905" hidden="1" ht="15" customHeight="1">
      <c r="A905" s="41" t="n">
        <v>372</v>
      </c>
      <c r="B905" s="42" t="inlineStr">
        <is>
          <t>서울특별시 서초구 서초동</t>
        </is>
      </c>
      <c r="C905" s="41" t="inlineStr">
        <is>
          <t>1685</t>
        </is>
      </c>
      <c r="D905" s="41" t="inlineStr">
        <is>
          <t>1685</t>
        </is>
      </c>
      <c r="E905" s="41" t="inlineStr">
        <is>
          <t>0000</t>
        </is>
      </c>
      <c r="F905" s="42" t="inlineStr">
        <is>
          <t>삼풍아파트</t>
        </is>
      </c>
      <c r="G905" s="41" t="inlineStr">
        <is>
          <t>163.8100</t>
        </is>
      </c>
      <c r="H905" s="41" t="inlineStr">
        <is>
          <t>202501</t>
        </is>
      </c>
      <c r="I905" s="41" t="inlineStr">
        <is>
          <t>13</t>
        </is>
      </c>
      <c r="J905" s="41" t="inlineStr">
        <is>
          <t>398,000</t>
        </is>
      </c>
      <c r="K905" s="41" t="inlineStr">
        <is>
          <t>22</t>
        </is>
      </c>
      <c r="L905" s="41" t="inlineStr">
        <is>
          <t>7</t>
        </is>
      </c>
      <c r="M905" s="42" t="inlineStr">
        <is>
          <t>개인</t>
        </is>
      </c>
      <c r="N905" s="42" t="inlineStr">
        <is>
          <t>개인</t>
        </is>
      </c>
      <c r="O905" s="41" t="inlineStr">
        <is>
          <t>1988</t>
        </is>
      </c>
      <c r="P905" s="42" t="inlineStr">
        <is>
          <t>서초중앙로 200</t>
        </is>
      </c>
      <c r="Q905" s="41" t="inlineStr">
        <is>
          <t>-</t>
        </is>
      </c>
      <c r="R905" s="42" t="inlineStr">
        <is>
          <t>중개거래</t>
        </is>
      </c>
      <c r="S905" s="42" t="inlineStr">
        <is>
          <t>서울 서초구</t>
        </is>
      </c>
      <c r="T905" s="41" t="inlineStr">
        <is>
          <t>25.04.07</t>
        </is>
      </c>
      <c r="U905" s="42" t="inlineStr">
        <is>
          <t>아파트</t>
        </is>
      </c>
    </row>
    <row r="906" hidden="1" ht="15" customHeight="1">
      <c r="A906" s="41" t="n">
        <v>373</v>
      </c>
      <c r="B906" s="42" t="inlineStr">
        <is>
          <t>서울특별시 서초구 서초동</t>
        </is>
      </c>
      <c r="C906" s="41" t="inlineStr">
        <is>
          <t>1506-46</t>
        </is>
      </c>
      <c r="D906" s="41" t="inlineStr">
        <is>
          <t>1506</t>
        </is>
      </c>
      <c r="E906" s="41" t="inlineStr">
        <is>
          <t>0046</t>
        </is>
      </c>
      <c r="F906" s="42" t="inlineStr">
        <is>
          <t>서초프레스턴</t>
        </is>
      </c>
      <c r="G906" s="41" t="inlineStr">
        <is>
          <t>244.4200</t>
        </is>
      </c>
      <c r="H906" s="41" t="inlineStr">
        <is>
          <t>202501</t>
        </is>
      </c>
      <c r="I906" s="41" t="inlineStr">
        <is>
          <t>11</t>
        </is>
      </c>
      <c r="J906" s="41" t="inlineStr">
        <is>
          <t>285,000</t>
        </is>
      </c>
      <c r="K906" s="41" t="inlineStr">
        <is>
          <t>-</t>
        </is>
      </c>
      <c r="L906" s="41" t="inlineStr">
        <is>
          <t>2</t>
        </is>
      </c>
      <c r="M906" s="42" t="inlineStr">
        <is>
          <t>개인</t>
        </is>
      </c>
      <c r="N906" s="42" t="inlineStr">
        <is>
          <t>개인</t>
        </is>
      </c>
      <c r="O906" s="41" t="inlineStr">
        <is>
          <t>2005</t>
        </is>
      </c>
      <c r="P906" s="42" t="inlineStr">
        <is>
          <t>명달로22길 81</t>
        </is>
      </c>
      <c r="Q906" s="41" t="inlineStr">
        <is>
          <t>-</t>
        </is>
      </c>
      <c r="R906" s="42" t="inlineStr">
        <is>
          <t>중개거래</t>
        </is>
      </c>
      <c r="S906" s="42" t="inlineStr">
        <is>
          <t>서울 서초구</t>
        </is>
      </c>
      <c r="T906" s="41" t="inlineStr">
        <is>
          <t>25.05.02</t>
        </is>
      </c>
      <c r="U906" s="42" t="inlineStr">
        <is>
          <t>아파트</t>
        </is>
      </c>
    </row>
    <row r="907" hidden="1" ht="15" customHeight="1">
      <c r="A907" s="41" t="n">
        <v>374</v>
      </c>
      <c r="B907" s="42" t="inlineStr">
        <is>
          <t>서울특별시 서초구 서초동</t>
        </is>
      </c>
      <c r="C907" s="41" t="inlineStr">
        <is>
          <t>1754</t>
        </is>
      </c>
      <c r="D907" s="41" t="inlineStr">
        <is>
          <t>1754</t>
        </is>
      </c>
      <c r="E907" s="41" t="inlineStr">
        <is>
          <t>0000</t>
        </is>
      </c>
      <c r="F907" s="42" t="inlineStr">
        <is>
          <t>래미안서초에스티지S</t>
        </is>
      </c>
      <c r="G907" s="41" t="inlineStr">
        <is>
          <t>84.1700</t>
        </is>
      </c>
      <c r="H907" s="41" t="inlineStr">
        <is>
          <t>202501</t>
        </is>
      </c>
      <c r="I907" s="41" t="inlineStr">
        <is>
          <t>11</t>
        </is>
      </c>
      <c r="J907" s="41" t="inlineStr">
        <is>
          <t>292,000</t>
        </is>
      </c>
      <c r="K907" s="41" t="inlineStr">
        <is>
          <t>-</t>
        </is>
      </c>
      <c r="L907" s="41" t="inlineStr">
        <is>
          <t>24</t>
        </is>
      </c>
      <c r="M907" s="42" t="inlineStr">
        <is>
          <t>개인</t>
        </is>
      </c>
      <c r="N907" s="42" t="inlineStr">
        <is>
          <t>개인</t>
        </is>
      </c>
      <c r="O907" s="41" t="inlineStr">
        <is>
          <t>2018</t>
        </is>
      </c>
      <c r="P907" s="42" t="inlineStr">
        <is>
          <t>서운로 104</t>
        </is>
      </c>
      <c r="Q907" s="41" t="inlineStr">
        <is>
          <t>20250203</t>
        </is>
      </c>
      <c r="R907" s="42" t="inlineStr">
        <is>
          <t>중개거래</t>
        </is>
      </c>
      <c r="S907" s="42" t="inlineStr">
        <is>
          <t>서울 서초구</t>
        </is>
      </c>
      <c r="T907" s="41" t="inlineStr">
        <is>
          <t>-</t>
        </is>
      </c>
      <c r="U907" s="42" t="inlineStr">
        <is>
          <t>아파트</t>
        </is>
      </c>
    </row>
    <row r="908" hidden="1" ht="15" customHeight="1">
      <c r="A908" s="41" t="n">
        <v>375</v>
      </c>
      <c r="B908" s="42" t="inlineStr">
        <is>
          <t>서울특별시 서초구 서초동</t>
        </is>
      </c>
      <c r="C908" s="41" t="inlineStr">
        <is>
          <t>1754</t>
        </is>
      </c>
      <c r="D908" s="41" t="inlineStr">
        <is>
          <t>1754</t>
        </is>
      </c>
      <c r="E908" s="41" t="inlineStr">
        <is>
          <t>0000</t>
        </is>
      </c>
      <c r="F908" s="42" t="inlineStr">
        <is>
          <t>래미안서초에스티지S</t>
        </is>
      </c>
      <c r="G908" s="41" t="inlineStr">
        <is>
          <t>84.1700</t>
        </is>
      </c>
      <c r="H908" s="41" t="inlineStr">
        <is>
          <t>202501</t>
        </is>
      </c>
      <c r="I908" s="41" t="inlineStr">
        <is>
          <t>11</t>
        </is>
      </c>
      <c r="J908" s="41" t="inlineStr">
        <is>
          <t>292,000</t>
        </is>
      </c>
      <c r="K908" s="41" t="inlineStr">
        <is>
          <t>202</t>
        </is>
      </c>
      <c r="L908" s="41" t="inlineStr">
        <is>
          <t>24</t>
        </is>
      </c>
      <c r="M908" s="42" t="inlineStr">
        <is>
          <t>개인</t>
        </is>
      </c>
      <c r="N908" s="42" t="inlineStr">
        <is>
          <t>개인</t>
        </is>
      </c>
      <c r="O908" s="41" t="inlineStr">
        <is>
          <t>2018</t>
        </is>
      </c>
      <c r="P908" s="42" t="inlineStr">
        <is>
          <t>서운로 104</t>
        </is>
      </c>
      <c r="Q908" s="41" t="inlineStr">
        <is>
          <t>-</t>
        </is>
      </c>
      <c r="R908" s="42" t="inlineStr">
        <is>
          <t>중개거래</t>
        </is>
      </c>
      <c r="S908" s="42" t="inlineStr">
        <is>
          <t>서울 서초구</t>
        </is>
      </c>
      <c r="T908" s="41" t="inlineStr">
        <is>
          <t>25.03.12</t>
        </is>
      </c>
      <c r="U908" s="42" t="inlineStr">
        <is>
          <t>아파트</t>
        </is>
      </c>
    </row>
    <row r="909" hidden="1" ht="15" customHeight="1">
      <c r="A909" s="41" t="n">
        <v>376</v>
      </c>
      <c r="B909" s="42" t="inlineStr">
        <is>
          <t>서울특별시 서초구 서초동</t>
        </is>
      </c>
      <c r="C909" s="41" t="inlineStr">
        <is>
          <t>1363-25</t>
        </is>
      </c>
      <c r="D909" s="41" t="inlineStr">
        <is>
          <t>1363</t>
        </is>
      </c>
      <c r="E909" s="41" t="inlineStr">
        <is>
          <t>0025</t>
        </is>
      </c>
      <c r="F909" s="42" t="inlineStr">
        <is>
          <t>한라비발디스튜디오193</t>
        </is>
      </c>
      <c r="G909" s="41" t="inlineStr">
        <is>
          <t>19.9900</t>
        </is>
      </c>
      <c r="H909" s="41" t="inlineStr">
        <is>
          <t>202501</t>
        </is>
      </c>
      <c r="I909" s="41" t="inlineStr">
        <is>
          <t>11</t>
        </is>
      </c>
      <c r="J909" s="41" t="inlineStr">
        <is>
          <t>25,500</t>
        </is>
      </c>
      <c r="K909" s="42" t="inlineStr">
        <is>
          <t>한라비발디스튜디오193</t>
        </is>
      </c>
      <c r="L909" s="41" t="inlineStr">
        <is>
          <t>9</t>
        </is>
      </c>
      <c r="M909" s="42" t="inlineStr">
        <is>
          <t>개인</t>
        </is>
      </c>
      <c r="N909" s="42" t="inlineStr">
        <is>
          <t>개인</t>
        </is>
      </c>
      <c r="O909" s="41" t="inlineStr">
        <is>
          <t>2013</t>
        </is>
      </c>
      <c r="P909" s="42" t="inlineStr">
        <is>
          <t>강남대로39길 15-10</t>
        </is>
      </c>
      <c r="Q909" s="41" t="inlineStr">
        <is>
          <t>-</t>
        </is>
      </c>
      <c r="R909" s="42" t="inlineStr">
        <is>
          <t>중개거래</t>
        </is>
      </c>
      <c r="S909" s="42" t="inlineStr">
        <is>
          <t>서울 서초구</t>
        </is>
      </c>
      <c r="T909" s="41" t="inlineStr">
        <is>
          <t>25.02.21</t>
        </is>
      </c>
      <c r="U909" s="42" t="inlineStr">
        <is>
          <t>아파트</t>
        </is>
      </c>
    </row>
    <row r="910" hidden="1" ht="15" customHeight="1">
      <c r="A910" s="41" t="n">
        <v>377</v>
      </c>
      <c r="B910" s="42" t="inlineStr">
        <is>
          <t>서울특별시 서초구 서초동</t>
        </is>
      </c>
      <c r="C910" s="41" t="inlineStr">
        <is>
          <t>1344-13</t>
        </is>
      </c>
      <c r="D910" s="41" t="inlineStr">
        <is>
          <t>1344</t>
        </is>
      </c>
      <c r="E910" s="41" t="inlineStr">
        <is>
          <t>0013</t>
        </is>
      </c>
      <c r="F910" s="42" t="inlineStr">
        <is>
          <t>서초트라팰리스</t>
        </is>
      </c>
      <c r="G910" s="41" t="inlineStr">
        <is>
          <t>125.4100</t>
        </is>
      </c>
      <c r="H910" s="41" t="inlineStr">
        <is>
          <t>202501</t>
        </is>
      </c>
      <c r="I910" s="41" t="inlineStr">
        <is>
          <t>11</t>
        </is>
      </c>
      <c r="J910" s="41" t="inlineStr">
        <is>
          <t>205,000</t>
        </is>
      </c>
      <c r="K910" s="41" t="inlineStr">
        <is>
          <t>A</t>
        </is>
      </c>
      <c r="L910" s="41" t="inlineStr">
        <is>
          <t>6</t>
        </is>
      </c>
      <c r="M910" s="42" t="inlineStr">
        <is>
          <t>개인</t>
        </is>
      </c>
      <c r="N910" s="42" t="inlineStr">
        <is>
          <t>개인</t>
        </is>
      </c>
      <c r="O910" s="41" t="inlineStr">
        <is>
          <t>2005</t>
        </is>
      </c>
      <c r="P910" s="42" t="inlineStr">
        <is>
          <t>효령로72길 57</t>
        </is>
      </c>
      <c r="Q910" s="41" t="inlineStr">
        <is>
          <t>-</t>
        </is>
      </c>
      <c r="R910" s="42" t="inlineStr">
        <is>
          <t>중개거래</t>
        </is>
      </c>
      <c r="S910" s="42" t="inlineStr">
        <is>
          <t>서울 서초구</t>
        </is>
      </c>
      <c r="T910" s="41" t="inlineStr">
        <is>
          <t>25.06.13</t>
        </is>
      </c>
      <c r="U910" s="42" t="inlineStr">
        <is>
          <t>아파트</t>
        </is>
      </c>
    </row>
    <row r="911" hidden="1" ht="15" customHeight="1">
      <c r="A911" s="41" t="n">
        <v>378</v>
      </c>
      <c r="B911" s="42" t="inlineStr">
        <is>
          <t>서울특별시 서초구 서초동</t>
        </is>
      </c>
      <c r="C911" s="41" t="inlineStr">
        <is>
          <t>1346</t>
        </is>
      </c>
      <c r="D911" s="41" t="inlineStr">
        <is>
          <t>1346</t>
        </is>
      </c>
      <c r="E911" s="41" t="inlineStr">
        <is>
          <t>0000</t>
        </is>
      </c>
      <c r="F911" s="42" t="inlineStr">
        <is>
          <t>현대아파트</t>
        </is>
      </c>
      <c r="G911" s="41" t="inlineStr">
        <is>
          <t>84.3400</t>
        </is>
      </c>
      <c r="H911" s="41" t="inlineStr">
        <is>
          <t>202501</t>
        </is>
      </c>
      <c r="I911" s="41" t="inlineStr">
        <is>
          <t>10</t>
        </is>
      </c>
      <c r="J911" s="41" t="inlineStr">
        <is>
          <t>179,500</t>
        </is>
      </c>
      <c r="K911" s="41" t="inlineStr">
        <is>
          <t>21</t>
        </is>
      </c>
      <c r="L911" s="41" t="inlineStr">
        <is>
          <t>6</t>
        </is>
      </c>
      <c r="M911" s="42" t="inlineStr">
        <is>
          <t>개인</t>
        </is>
      </c>
      <c r="N911" s="42" t="inlineStr">
        <is>
          <t>개인</t>
        </is>
      </c>
      <c r="O911" s="41" t="inlineStr">
        <is>
          <t>1989</t>
        </is>
      </c>
      <c r="P911" s="42" t="inlineStr">
        <is>
          <t>효령로68길 13</t>
        </is>
      </c>
      <c r="Q911" s="41" t="inlineStr">
        <is>
          <t>-</t>
        </is>
      </c>
      <c r="R911" s="42" t="inlineStr">
        <is>
          <t>중개거래</t>
        </is>
      </c>
      <c r="S911" s="42" t="inlineStr">
        <is>
          <t>서울 서초구</t>
        </is>
      </c>
      <c r="T911" s="41" t="inlineStr">
        <is>
          <t>25.04.30</t>
        </is>
      </c>
      <c r="U911" s="42" t="inlineStr">
        <is>
          <t>아파트</t>
        </is>
      </c>
    </row>
    <row r="912" hidden="1" ht="15" customHeight="1">
      <c r="A912" s="41" t="n">
        <v>379</v>
      </c>
      <c r="B912" s="42" t="inlineStr">
        <is>
          <t>서울특별시 서초구 서초동</t>
        </is>
      </c>
      <c r="C912" s="41" t="inlineStr">
        <is>
          <t>1757</t>
        </is>
      </c>
      <c r="D912" s="41" t="inlineStr">
        <is>
          <t>1757</t>
        </is>
      </c>
      <c r="E912" s="41" t="inlineStr">
        <is>
          <t>0000</t>
        </is>
      </c>
      <c r="F912" s="42" t="inlineStr">
        <is>
          <t>서초그랑자이</t>
        </is>
      </c>
      <c r="G912" s="41" t="inlineStr">
        <is>
          <t>59.9800</t>
        </is>
      </c>
      <c r="H912" s="41" t="inlineStr">
        <is>
          <t>202501</t>
        </is>
      </c>
      <c r="I912" s="41" t="inlineStr">
        <is>
          <t>10</t>
        </is>
      </c>
      <c r="J912" s="41" t="inlineStr">
        <is>
          <t>258,000</t>
        </is>
      </c>
      <c r="K912" s="41" t="inlineStr">
        <is>
          <t>105동</t>
        </is>
      </c>
      <c r="L912" s="41" t="inlineStr">
        <is>
          <t>2</t>
        </is>
      </c>
      <c r="M912" s="42" t="inlineStr">
        <is>
          <t>개인</t>
        </is>
      </c>
      <c r="N912" s="42" t="inlineStr">
        <is>
          <t>개인</t>
        </is>
      </c>
      <c r="O912" s="41" t="inlineStr">
        <is>
          <t>2021</t>
        </is>
      </c>
      <c r="P912" s="42" t="inlineStr">
        <is>
          <t>효령로 391</t>
        </is>
      </c>
      <c r="Q912" s="41" t="inlineStr">
        <is>
          <t>-</t>
        </is>
      </c>
      <c r="R912" s="42" t="inlineStr">
        <is>
          <t>중개거래</t>
        </is>
      </c>
      <c r="S912" s="42" t="inlineStr">
        <is>
          <t>서울 강남구, 서울 서초구</t>
        </is>
      </c>
      <c r="T912" s="41" t="inlineStr">
        <is>
          <t>25.03.31</t>
        </is>
      </c>
      <c r="U912" s="42" t="inlineStr">
        <is>
          <t>아파트</t>
        </is>
      </c>
    </row>
    <row r="913" hidden="1" ht="15" customHeight="1">
      <c r="A913" s="41" t="n">
        <v>380</v>
      </c>
      <c r="B913" s="42" t="inlineStr">
        <is>
          <t>서울특별시 서초구 서초동</t>
        </is>
      </c>
      <c r="C913" s="41" t="inlineStr">
        <is>
          <t>1315</t>
        </is>
      </c>
      <c r="D913" s="41" t="inlineStr">
        <is>
          <t>1315</t>
        </is>
      </c>
      <c r="E913" s="41" t="inlineStr">
        <is>
          <t>0000</t>
        </is>
      </c>
      <c r="F913" s="42" t="inlineStr">
        <is>
          <t>진흥아파트</t>
        </is>
      </c>
      <c r="G913" s="41" t="inlineStr">
        <is>
          <t>160.4600</t>
        </is>
      </c>
      <c r="H913" s="41" t="inlineStr">
        <is>
          <t>202501</t>
        </is>
      </c>
      <c r="I913" s="41" t="inlineStr">
        <is>
          <t>09</t>
        </is>
      </c>
      <c r="J913" s="41" t="inlineStr">
        <is>
          <t>325,000</t>
        </is>
      </c>
      <c r="K913" s="41" t="inlineStr">
        <is>
          <t>6</t>
        </is>
      </c>
      <c r="L913" s="41" t="inlineStr">
        <is>
          <t>15</t>
        </is>
      </c>
      <c r="M913" s="42" t="inlineStr">
        <is>
          <t>개인</t>
        </is>
      </c>
      <c r="N913" s="42" t="inlineStr">
        <is>
          <t>개인</t>
        </is>
      </c>
      <c r="O913" s="41" t="inlineStr">
        <is>
          <t>1979</t>
        </is>
      </c>
      <c r="P913" s="42" t="inlineStr">
        <is>
          <t>서초대로 385</t>
        </is>
      </c>
      <c r="Q913" s="41" t="inlineStr">
        <is>
          <t>-</t>
        </is>
      </c>
      <c r="R913" s="42" t="inlineStr">
        <is>
          <t>중개거래</t>
        </is>
      </c>
      <c r="S913" s="42" t="inlineStr">
        <is>
          <t>서울 서초구</t>
        </is>
      </c>
      <c r="T913" s="41" t="inlineStr">
        <is>
          <t>25.02.27</t>
        </is>
      </c>
      <c r="U913" s="42" t="inlineStr">
        <is>
          <t>아파트</t>
        </is>
      </c>
    </row>
    <row r="914" hidden="1" ht="15" customHeight="1">
      <c r="A914" s="41" t="n">
        <v>381</v>
      </c>
      <c r="B914" s="42" t="inlineStr">
        <is>
          <t>서울특별시 서초구 서초동</t>
        </is>
      </c>
      <c r="C914" s="41" t="inlineStr">
        <is>
          <t>1445-13</t>
        </is>
      </c>
      <c r="D914" s="41" t="inlineStr">
        <is>
          <t>1445</t>
        </is>
      </c>
      <c r="E914" s="41" t="inlineStr">
        <is>
          <t>0013</t>
        </is>
      </c>
      <c r="F914" s="42" t="inlineStr">
        <is>
          <t>서초쌍용플래티넘</t>
        </is>
      </c>
      <c r="G914" s="41" t="inlineStr">
        <is>
          <t>56.0000</t>
        </is>
      </c>
      <c r="H914" s="41" t="inlineStr">
        <is>
          <t>202501</t>
        </is>
      </c>
      <c r="I914" s="41" t="inlineStr">
        <is>
          <t>09</t>
        </is>
      </c>
      <c r="J914" s="41" t="inlineStr">
        <is>
          <t>72,500</t>
        </is>
      </c>
      <c r="K914" s="42" t="inlineStr">
        <is>
          <t>서초쌍용플래티넘</t>
        </is>
      </c>
      <c r="L914" s="41" t="inlineStr">
        <is>
          <t>20</t>
        </is>
      </c>
      <c r="M914" s="42" t="inlineStr">
        <is>
          <t>개인</t>
        </is>
      </c>
      <c r="N914" s="42" t="inlineStr">
        <is>
          <t>개인</t>
        </is>
      </c>
      <c r="O914" s="41" t="inlineStr">
        <is>
          <t>2006</t>
        </is>
      </c>
      <c r="P914" s="42" t="inlineStr">
        <is>
          <t>서초중앙로 18</t>
        </is>
      </c>
      <c r="Q914" s="41" t="inlineStr">
        <is>
          <t>-</t>
        </is>
      </c>
      <c r="R914" s="42" t="inlineStr">
        <is>
          <t>중개거래</t>
        </is>
      </c>
      <c r="S914" s="42" t="inlineStr">
        <is>
          <t>서울 서초구</t>
        </is>
      </c>
      <c r="T914" s="41" t="inlineStr">
        <is>
          <t>25.02.25</t>
        </is>
      </c>
      <c r="U914" s="42" t="inlineStr">
        <is>
          <t>아파트</t>
        </is>
      </c>
    </row>
    <row r="915" hidden="1" ht="15" customHeight="1">
      <c r="A915" s="41" t="n">
        <v>382</v>
      </c>
      <c r="B915" s="42" t="inlineStr">
        <is>
          <t>서울특별시 서초구 서초동</t>
        </is>
      </c>
      <c r="C915" s="41" t="inlineStr">
        <is>
          <t>1757</t>
        </is>
      </c>
      <c r="D915" s="41" t="inlineStr">
        <is>
          <t>1757</t>
        </is>
      </c>
      <c r="E915" s="41" t="inlineStr">
        <is>
          <t>0000</t>
        </is>
      </c>
      <c r="F915" s="42" t="inlineStr">
        <is>
          <t>서초그랑자이</t>
        </is>
      </c>
      <c r="G915" s="41" t="inlineStr">
        <is>
          <t>119.4100</t>
        </is>
      </c>
      <c r="H915" s="41" t="inlineStr">
        <is>
          <t>202501</t>
        </is>
      </c>
      <c r="I915" s="41" t="inlineStr">
        <is>
          <t>08</t>
        </is>
      </c>
      <c r="J915" s="41" t="inlineStr">
        <is>
          <t>417,000</t>
        </is>
      </c>
      <c r="K915" s="41" t="inlineStr">
        <is>
          <t>107동</t>
        </is>
      </c>
      <c r="L915" s="41" t="inlineStr">
        <is>
          <t>4</t>
        </is>
      </c>
      <c r="M915" s="42" t="inlineStr">
        <is>
          <t>개인</t>
        </is>
      </c>
      <c r="N915" s="42" t="inlineStr">
        <is>
          <t>개인</t>
        </is>
      </c>
      <c r="O915" s="41" t="inlineStr">
        <is>
          <t>2021</t>
        </is>
      </c>
      <c r="P915" s="42" t="inlineStr">
        <is>
          <t>효령로 391</t>
        </is>
      </c>
      <c r="Q915" s="41" t="inlineStr">
        <is>
          <t>-</t>
        </is>
      </c>
      <c r="R915" s="42" t="inlineStr">
        <is>
          <t>중개거래</t>
        </is>
      </c>
      <c r="S915" s="42" t="inlineStr">
        <is>
          <t>서울 강남구, 서울 서초구</t>
        </is>
      </c>
      <c r="T915" s="41" t="inlineStr">
        <is>
          <t>25.02.19</t>
        </is>
      </c>
      <c r="U915" s="42" t="inlineStr">
        <is>
          <t>아파트</t>
        </is>
      </c>
    </row>
    <row r="916" hidden="1" ht="15" customHeight="1">
      <c r="A916" s="41" t="n">
        <v>383</v>
      </c>
      <c r="B916" s="42" t="inlineStr">
        <is>
          <t>서울특별시 서초구 서초동</t>
        </is>
      </c>
      <c r="C916" s="41" t="inlineStr">
        <is>
          <t>1338-1</t>
        </is>
      </c>
      <c r="D916" s="41" t="inlineStr">
        <is>
          <t>1338</t>
        </is>
      </c>
      <c r="E916" s="41" t="inlineStr">
        <is>
          <t>0001</t>
        </is>
      </c>
      <c r="F916" s="42" t="inlineStr">
        <is>
          <t>풍림아이원플러스</t>
        </is>
      </c>
      <c r="G916" s="41" t="inlineStr">
        <is>
          <t>41.0760</t>
        </is>
      </c>
      <c r="H916" s="41" t="inlineStr">
        <is>
          <t>202501</t>
        </is>
      </c>
      <c r="I916" s="41" t="inlineStr">
        <is>
          <t>08</t>
        </is>
      </c>
      <c r="J916" s="41" t="inlineStr">
        <is>
          <t>58,000</t>
        </is>
      </c>
      <c r="K916" s="42" t="inlineStr">
        <is>
          <t>풍림아이원플러스</t>
        </is>
      </c>
      <c r="L916" s="41" t="inlineStr">
        <is>
          <t>14</t>
        </is>
      </c>
      <c r="M916" s="42" t="inlineStr">
        <is>
          <t>개인</t>
        </is>
      </c>
      <c r="N916" s="42" t="inlineStr">
        <is>
          <t>개인</t>
        </is>
      </c>
      <c r="O916" s="41" t="inlineStr">
        <is>
          <t>2004</t>
        </is>
      </c>
      <c r="P916" s="42" t="inlineStr">
        <is>
          <t>효령로77길 14</t>
        </is>
      </c>
      <c r="Q916" s="41" t="inlineStr">
        <is>
          <t>-</t>
        </is>
      </c>
      <c r="R916" s="42" t="inlineStr">
        <is>
          <t>중개거래</t>
        </is>
      </c>
      <c r="S916" s="42" t="inlineStr">
        <is>
          <t>서울 강남구</t>
        </is>
      </c>
      <c r="T916" s="41" t="inlineStr">
        <is>
          <t>25.02.27</t>
        </is>
      </c>
      <c r="U916" s="42" t="inlineStr">
        <is>
          <t>아파트</t>
        </is>
      </c>
    </row>
    <row r="917" hidden="1" ht="15" customHeight="1">
      <c r="A917" s="41" t="n">
        <v>384</v>
      </c>
      <c r="B917" s="42" t="inlineStr">
        <is>
          <t>서울특별시 서초구 서초동</t>
        </is>
      </c>
      <c r="C917" s="41" t="inlineStr">
        <is>
          <t>1687</t>
        </is>
      </c>
      <c r="D917" s="41" t="inlineStr">
        <is>
          <t>1687</t>
        </is>
      </c>
      <c r="E917" s="41" t="inlineStr">
        <is>
          <t>0000</t>
        </is>
      </c>
      <c r="F917" s="42" t="inlineStr">
        <is>
          <t>유원서초</t>
        </is>
      </c>
      <c r="G917" s="41" t="inlineStr">
        <is>
          <t>84.8200</t>
        </is>
      </c>
      <c r="H917" s="41" t="inlineStr">
        <is>
          <t>202501</t>
        </is>
      </c>
      <c r="I917" s="41" t="inlineStr">
        <is>
          <t>07</t>
        </is>
      </c>
      <c r="J917" s="41" t="inlineStr">
        <is>
          <t>204,000</t>
        </is>
      </c>
      <c r="K917" s="41" t="inlineStr">
        <is>
          <t>103</t>
        </is>
      </c>
      <c r="L917" s="41" t="inlineStr">
        <is>
          <t>13</t>
        </is>
      </c>
      <c r="M917" s="42" t="inlineStr">
        <is>
          <t>개인</t>
        </is>
      </c>
      <c r="N917" s="42" t="inlineStr">
        <is>
          <t>개인</t>
        </is>
      </c>
      <c r="O917" s="41" t="inlineStr">
        <is>
          <t>1993</t>
        </is>
      </c>
      <c r="P917" s="42" t="inlineStr">
        <is>
          <t>서초중앙로24길 43</t>
        </is>
      </c>
      <c r="Q917" s="41" t="inlineStr">
        <is>
          <t>-</t>
        </is>
      </c>
      <c r="R917" s="42" t="inlineStr">
        <is>
          <t>중개거래</t>
        </is>
      </c>
      <c r="S917" s="42" t="inlineStr">
        <is>
          <t>서울 서초구</t>
        </is>
      </c>
      <c r="T917" s="41" t="inlineStr">
        <is>
          <t>25.03.31</t>
        </is>
      </c>
      <c r="U917" s="42" t="inlineStr">
        <is>
          <t>아파트</t>
        </is>
      </c>
    </row>
    <row r="918" hidden="1" ht="15" customHeight="1">
      <c r="A918" s="41" t="n">
        <v>385</v>
      </c>
      <c r="B918" s="42" t="inlineStr">
        <is>
          <t>서울특별시 서초구 서초동</t>
        </is>
      </c>
      <c r="C918" s="41" t="inlineStr">
        <is>
          <t>1330</t>
        </is>
      </c>
      <c r="D918" s="41" t="inlineStr">
        <is>
          <t>1330</t>
        </is>
      </c>
      <c r="E918" s="41" t="inlineStr">
        <is>
          <t>0000</t>
        </is>
      </c>
      <c r="F918" s="42" t="inlineStr">
        <is>
          <t>서초동삼성쉐르빌2</t>
        </is>
      </c>
      <c r="G918" s="41" t="inlineStr">
        <is>
          <t>35.2200</t>
        </is>
      </c>
      <c r="H918" s="41" t="inlineStr">
        <is>
          <t>202501</t>
        </is>
      </c>
      <c r="I918" s="41" t="inlineStr">
        <is>
          <t>06</t>
        </is>
      </c>
      <c r="J918" s="41" t="inlineStr">
        <is>
          <t>30,100</t>
        </is>
      </c>
      <c r="K918" s="41" t="inlineStr">
        <is>
          <t>-</t>
        </is>
      </c>
      <c r="L918" s="41" t="inlineStr">
        <is>
          <t>13</t>
        </is>
      </c>
      <c r="M918" s="42" t="inlineStr">
        <is>
          <t>개인</t>
        </is>
      </c>
      <c r="N918" s="42" t="inlineStr">
        <is>
          <t>개인</t>
        </is>
      </c>
      <c r="O918" s="41" t="inlineStr">
        <is>
          <t>2002</t>
        </is>
      </c>
      <c r="P918" s="42" t="inlineStr">
        <is>
          <t>강남대로53길 11</t>
        </is>
      </c>
      <c r="Q918" s="41" t="inlineStr">
        <is>
          <t>-</t>
        </is>
      </c>
      <c r="R918" s="42" t="inlineStr">
        <is>
          <t>중개거래</t>
        </is>
      </c>
      <c r="S918" s="42" t="inlineStr">
        <is>
          <t>서울 서초구</t>
        </is>
      </c>
      <c r="T918" s="41" t="inlineStr">
        <is>
          <t>25.02.24</t>
        </is>
      </c>
      <c r="U918" s="42" t="inlineStr">
        <is>
          <t>아파트</t>
        </is>
      </c>
    </row>
    <row r="919" hidden="1" ht="15" customHeight="1">
      <c r="A919" s="41" t="n">
        <v>386</v>
      </c>
      <c r="B919" s="42" t="inlineStr">
        <is>
          <t>서울특별시 서초구 서초동</t>
        </is>
      </c>
      <c r="C919" s="41" t="inlineStr">
        <is>
          <t>1685</t>
        </is>
      </c>
      <c r="D919" s="41" t="inlineStr">
        <is>
          <t>1685</t>
        </is>
      </c>
      <c r="E919" s="41" t="inlineStr">
        <is>
          <t>0000</t>
        </is>
      </c>
      <c r="F919" s="42" t="inlineStr">
        <is>
          <t>삼풍아파트</t>
        </is>
      </c>
      <c r="G919" s="41" t="inlineStr">
        <is>
          <t>165.9200</t>
        </is>
      </c>
      <c r="H919" s="41" t="inlineStr">
        <is>
          <t>202501</t>
        </is>
      </c>
      <c r="I919" s="41" t="inlineStr">
        <is>
          <t>06</t>
        </is>
      </c>
      <c r="J919" s="41" t="inlineStr">
        <is>
          <t>379,000</t>
        </is>
      </c>
      <c r="K919" s="41" t="inlineStr">
        <is>
          <t>17</t>
        </is>
      </c>
      <c r="L919" s="41" t="inlineStr">
        <is>
          <t>1</t>
        </is>
      </c>
      <c r="M919" s="42" t="inlineStr">
        <is>
          <t>개인</t>
        </is>
      </c>
      <c r="N919" s="42" t="inlineStr">
        <is>
          <t>개인</t>
        </is>
      </c>
      <c r="O919" s="41" t="inlineStr">
        <is>
          <t>1988</t>
        </is>
      </c>
      <c r="P919" s="42" t="inlineStr">
        <is>
          <t>서초중앙로 200</t>
        </is>
      </c>
      <c r="Q919" s="41" t="inlineStr">
        <is>
          <t>-</t>
        </is>
      </c>
      <c r="R919" s="42" t="inlineStr">
        <is>
          <t>중개거래</t>
        </is>
      </c>
      <c r="S919" s="42" t="inlineStr">
        <is>
          <t>서울 서초구</t>
        </is>
      </c>
      <c r="T919" s="41" t="inlineStr">
        <is>
          <t>25.05.07</t>
        </is>
      </c>
      <c r="U919" s="42" t="inlineStr">
        <is>
          <t>아파트</t>
        </is>
      </c>
    </row>
    <row r="920" hidden="1" ht="15" customHeight="1">
      <c r="A920" s="41" t="n">
        <v>387</v>
      </c>
      <c r="B920" s="42" t="inlineStr">
        <is>
          <t>서울특별시 서초구 서초동</t>
        </is>
      </c>
      <c r="C920" s="41" t="inlineStr">
        <is>
          <t>1498-5</t>
        </is>
      </c>
      <c r="D920" s="41" t="inlineStr">
        <is>
          <t>1498</t>
        </is>
      </c>
      <c r="E920" s="41" t="inlineStr">
        <is>
          <t>0005</t>
        </is>
      </c>
      <c r="F920" s="42" t="inlineStr">
        <is>
          <t>마제스타시티(힐스테이트서리풀101,102동)</t>
        </is>
      </c>
      <c r="G920" s="41" t="inlineStr">
        <is>
          <t>59.9700</t>
        </is>
      </c>
      <c r="H920" s="41" t="inlineStr">
        <is>
          <t>202501</t>
        </is>
      </c>
      <c r="I920" s="41" t="inlineStr">
        <is>
          <t>05</t>
        </is>
      </c>
      <c r="J920" s="41" t="inlineStr">
        <is>
          <t>185,000</t>
        </is>
      </c>
      <c r="K920" s="42" t="inlineStr">
        <is>
          <t>힐스테이트 서리풀 101동</t>
        </is>
      </c>
      <c r="L920" s="41" t="inlineStr">
        <is>
          <t>3</t>
        </is>
      </c>
      <c r="M920" s="42" t="inlineStr">
        <is>
          <t>개인</t>
        </is>
      </c>
      <c r="N920" s="42" t="inlineStr">
        <is>
          <t>개인</t>
        </is>
      </c>
      <c r="O920" s="41" t="inlineStr">
        <is>
          <t>2017</t>
        </is>
      </c>
      <c r="P920" s="42" t="inlineStr">
        <is>
          <t>서초대로38길 12</t>
        </is>
      </c>
      <c r="Q920" s="41" t="inlineStr">
        <is>
          <t>-</t>
        </is>
      </c>
      <c r="R920" s="42" t="inlineStr">
        <is>
          <t>중개거래</t>
        </is>
      </c>
      <c r="S920" s="42" t="inlineStr">
        <is>
          <t>서울 서초구</t>
        </is>
      </c>
      <c r="T920" s="41" t="inlineStr">
        <is>
          <t>25.01.14</t>
        </is>
      </c>
      <c r="U920" s="42" t="inlineStr">
        <is>
          <t>아파트</t>
        </is>
      </c>
    </row>
    <row r="921" hidden="1" ht="15" customHeight="1">
      <c r="A921" s="41" t="n">
        <v>388</v>
      </c>
      <c r="B921" s="42" t="inlineStr">
        <is>
          <t>서울특별시 서초구 서초동</t>
        </is>
      </c>
      <c r="C921" s="41" t="inlineStr">
        <is>
          <t>1510-15</t>
        </is>
      </c>
      <c r="D921" s="41" t="inlineStr">
        <is>
          <t>1510</t>
        </is>
      </c>
      <c r="E921" s="41" t="inlineStr">
        <is>
          <t>0015</t>
        </is>
      </c>
      <c r="F921" s="42" t="inlineStr">
        <is>
          <t>서초화원그랑빌</t>
        </is>
      </c>
      <c r="G921" s="41" t="inlineStr">
        <is>
          <t>79.7000</t>
        </is>
      </c>
      <c r="H921" s="41" t="inlineStr">
        <is>
          <t>202501</t>
        </is>
      </c>
      <c r="I921" s="41" t="inlineStr">
        <is>
          <t>04</t>
        </is>
      </c>
      <c r="J921" s="41" t="inlineStr">
        <is>
          <t>115,000</t>
        </is>
      </c>
      <c r="K921" s="41" t="inlineStr">
        <is>
          <t>-</t>
        </is>
      </c>
      <c r="L921" s="41" t="inlineStr">
        <is>
          <t>6</t>
        </is>
      </c>
      <c r="M921" s="42" t="inlineStr">
        <is>
          <t>개인</t>
        </is>
      </c>
      <c r="N921" s="42" t="inlineStr">
        <is>
          <t>개인</t>
        </is>
      </c>
      <c r="O921" s="41" t="inlineStr">
        <is>
          <t>2002</t>
        </is>
      </c>
      <c r="P921" s="42" t="inlineStr">
        <is>
          <t>반포대로21길 27</t>
        </is>
      </c>
      <c r="Q921" s="41" t="inlineStr">
        <is>
          <t>-</t>
        </is>
      </c>
      <c r="R921" s="42" t="inlineStr">
        <is>
          <t>중개거래</t>
        </is>
      </c>
      <c r="S921" s="42" t="inlineStr">
        <is>
          <t>서울 서초구</t>
        </is>
      </c>
      <c r="T921" s="41" t="inlineStr">
        <is>
          <t>25.04.16</t>
        </is>
      </c>
      <c r="U921" s="42" t="inlineStr">
        <is>
          <t>아파트</t>
        </is>
      </c>
    </row>
    <row r="922" hidden="1" ht="15" customHeight="1">
      <c r="A922" s="41" t="n">
        <v>389</v>
      </c>
      <c r="B922" s="42" t="inlineStr">
        <is>
          <t>서울특별시 서초구 서초동</t>
        </is>
      </c>
      <c r="C922" s="41" t="inlineStr">
        <is>
          <t>1620-20</t>
        </is>
      </c>
      <c r="D922" s="41" t="inlineStr">
        <is>
          <t>1620</t>
        </is>
      </c>
      <c r="E922" s="41" t="inlineStr">
        <is>
          <t>0020</t>
        </is>
      </c>
      <c r="F922" s="42" t="inlineStr">
        <is>
          <t>서초동롯데캐슬리버티</t>
        </is>
      </c>
      <c r="G922" s="41" t="inlineStr">
        <is>
          <t>125.7900</t>
        </is>
      </c>
      <c r="H922" s="41" t="inlineStr">
        <is>
          <t>202501</t>
        </is>
      </c>
      <c r="I922" s="41" t="inlineStr">
        <is>
          <t>02</t>
        </is>
      </c>
      <c r="J922" s="41" t="inlineStr">
        <is>
          <t>197,000</t>
        </is>
      </c>
      <c r="K922" s="41" t="inlineStr">
        <is>
          <t>101</t>
        </is>
      </c>
      <c r="L922" s="41" t="inlineStr">
        <is>
          <t>4</t>
        </is>
      </c>
      <c r="M922" s="42" t="inlineStr">
        <is>
          <t>개인</t>
        </is>
      </c>
      <c r="N922" s="42" t="inlineStr">
        <is>
          <t>개인</t>
        </is>
      </c>
      <c r="O922" s="41" t="inlineStr">
        <is>
          <t>2005</t>
        </is>
      </c>
      <c r="P922" s="42" t="inlineStr">
        <is>
          <t>사임당로10길 39</t>
        </is>
      </c>
      <c r="Q922" s="41" t="inlineStr">
        <is>
          <t>-</t>
        </is>
      </c>
      <c r="R922" s="42" t="inlineStr">
        <is>
          <t>중개거래</t>
        </is>
      </c>
      <c r="S922" s="42" t="inlineStr">
        <is>
          <t>서울 서초구</t>
        </is>
      </c>
      <c r="T922" s="41" t="inlineStr">
        <is>
          <t>25.04.30</t>
        </is>
      </c>
      <c r="U922" s="42" t="inlineStr">
        <is>
          <t>아파트</t>
        </is>
      </c>
    </row>
    <row r="923" hidden="1" ht="15" customHeight="1">
      <c r="A923" s="41" t="n">
        <v>390</v>
      </c>
      <c r="B923" s="42" t="inlineStr">
        <is>
          <t>서울특별시 서초구 서초동</t>
        </is>
      </c>
      <c r="C923" s="41" t="inlineStr">
        <is>
          <t>1685</t>
        </is>
      </c>
      <c r="D923" s="41" t="inlineStr">
        <is>
          <t>1685</t>
        </is>
      </c>
      <c r="E923" s="41" t="inlineStr">
        <is>
          <t>0000</t>
        </is>
      </c>
      <c r="F923" s="42" t="inlineStr">
        <is>
          <t>삼풍아파트</t>
        </is>
      </c>
      <c r="G923" s="41" t="inlineStr">
        <is>
          <t>79.4700</t>
        </is>
      </c>
      <c r="H923" s="41" t="inlineStr">
        <is>
          <t>202501</t>
        </is>
      </c>
      <c r="I923" s="41" t="inlineStr">
        <is>
          <t>01</t>
        </is>
      </c>
      <c r="J923" s="41" t="inlineStr">
        <is>
          <t>278,000</t>
        </is>
      </c>
      <c r="K923" s="41" t="inlineStr">
        <is>
          <t>9</t>
        </is>
      </c>
      <c r="L923" s="41" t="inlineStr">
        <is>
          <t>15</t>
        </is>
      </c>
      <c r="M923" s="42" t="inlineStr">
        <is>
          <t>개인</t>
        </is>
      </c>
      <c r="N923" s="42" t="inlineStr">
        <is>
          <t>개인</t>
        </is>
      </c>
      <c r="O923" s="41" t="inlineStr">
        <is>
          <t>1988</t>
        </is>
      </c>
      <c r="P923" s="42" t="inlineStr">
        <is>
          <t>서초중앙로 200</t>
        </is>
      </c>
      <c r="Q923" s="41" t="inlineStr">
        <is>
          <t>-</t>
        </is>
      </c>
      <c r="R923" s="42" t="inlineStr">
        <is>
          <t>중개거래</t>
        </is>
      </c>
      <c r="S923" s="42" t="inlineStr">
        <is>
          <t>서울 서초구</t>
        </is>
      </c>
      <c r="T923" s="41" t="inlineStr">
        <is>
          <t>25.04.11</t>
        </is>
      </c>
      <c r="U923" s="42" t="inlineStr">
        <is>
          <t>아파트</t>
        </is>
      </c>
    </row>
    <row r="924" hidden="1" ht="15" customHeight="1">
      <c r="A924" s="41" t="n">
        <v>391</v>
      </c>
      <c r="B924" s="42" t="inlineStr">
        <is>
          <t>서울특별시 서초구 서초동</t>
        </is>
      </c>
      <c r="C924" s="41" t="inlineStr">
        <is>
          <t>1755</t>
        </is>
      </c>
      <c r="D924" s="41" t="inlineStr">
        <is>
          <t>1755</t>
        </is>
      </c>
      <c r="E924" s="41" t="inlineStr">
        <is>
          <t>0000</t>
        </is>
      </c>
      <c r="F924" s="42" t="inlineStr">
        <is>
          <t>래미안 리더스원</t>
        </is>
      </c>
      <c r="G924" s="41" t="inlineStr">
        <is>
          <t>59.9700</t>
        </is>
      </c>
      <c r="H924" s="41" t="inlineStr">
        <is>
          <t>202412</t>
        </is>
      </c>
      <c r="I924" s="41" t="inlineStr">
        <is>
          <t>31</t>
        </is>
      </c>
      <c r="J924" s="41" t="inlineStr">
        <is>
          <t>270,000</t>
        </is>
      </c>
      <c r="K924" s="41" t="inlineStr">
        <is>
          <t>112동</t>
        </is>
      </c>
      <c r="L924" s="41" t="inlineStr">
        <is>
          <t>13</t>
        </is>
      </c>
      <c r="M924" s="42" t="inlineStr">
        <is>
          <t>개인</t>
        </is>
      </c>
      <c r="N924" s="42" t="inlineStr">
        <is>
          <t>개인</t>
        </is>
      </c>
      <c r="O924" s="41" t="inlineStr">
        <is>
          <t>2020</t>
        </is>
      </c>
      <c r="P924" s="42" t="inlineStr">
        <is>
          <t>서운로 62</t>
        </is>
      </c>
      <c r="Q924" s="41" t="inlineStr">
        <is>
          <t>-</t>
        </is>
      </c>
      <c r="R924" s="42" t="inlineStr">
        <is>
          <t>중개거래</t>
        </is>
      </c>
      <c r="S924" s="42" t="inlineStr">
        <is>
          <t>서울 서초구</t>
        </is>
      </c>
      <c r="T924" s="41" t="inlineStr">
        <is>
          <t>25.02.28</t>
        </is>
      </c>
      <c r="U924" s="42" t="inlineStr">
        <is>
          <t>아파트</t>
        </is>
      </c>
    </row>
    <row r="925" hidden="1" ht="15" customHeight="1">
      <c r="A925" s="41" t="n">
        <v>392</v>
      </c>
      <c r="B925" s="42" t="inlineStr">
        <is>
          <t>서울특별시 서초구 서초동</t>
        </is>
      </c>
      <c r="C925" s="41" t="inlineStr">
        <is>
          <t>1315</t>
        </is>
      </c>
      <c r="D925" s="41" t="inlineStr">
        <is>
          <t>1315</t>
        </is>
      </c>
      <c r="E925" s="41" t="inlineStr">
        <is>
          <t>0000</t>
        </is>
      </c>
      <c r="F925" s="42" t="inlineStr">
        <is>
          <t>진흥아파트</t>
        </is>
      </c>
      <c r="G925" s="41" t="inlineStr">
        <is>
          <t>160.4600</t>
        </is>
      </c>
      <c r="H925" s="41" t="inlineStr">
        <is>
          <t>202412</t>
        </is>
      </c>
      <c r="I925" s="41" t="inlineStr">
        <is>
          <t>30</t>
        </is>
      </c>
      <c r="J925" s="41" t="inlineStr">
        <is>
          <t>339,000</t>
        </is>
      </c>
      <c r="K925" s="41" t="inlineStr">
        <is>
          <t>5</t>
        </is>
      </c>
      <c r="L925" s="41" t="inlineStr">
        <is>
          <t>8</t>
        </is>
      </c>
      <c r="M925" s="42" t="inlineStr">
        <is>
          <t>개인</t>
        </is>
      </c>
      <c r="N925" s="42" t="inlineStr">
        <is>
          <t>개인</t>
        </is>
      </c>
      <c r="O925" s="41" t="inlineStr">
        <is>
          <t>1979</t>
        </is>
      </c>
      <c r="P925" s="42" t="inlineStr">
        <is>
          <t>서초대로 385</t>
        </is>
      </c>
      <c r="Q925" s="41" t="inlineStr">
        <is>
          <t>-</t>
        </is>
      </c>
      <c r="R925" s="42" t="inlineStr">
        <is>
          <t>중개거래</t>
        </is>
      </c>
      <c r="S925" s="42" t="inlineStr">
        <is>
          <t>서울 서초구</t>
        </is>
      </c>
      <c r="T925" s="41" t="inlineStr">
        <is>
          <t>25.02.27</t>
        </is>
      </c>
      <c r="U925" s="42" t="inlineStr">
        <is>
          <t>아파트</t>
        </is>
      </c>
    </row>
    <row r="926" hidden="1" ht="15" customHeight="1">
      <c r="A926" s="41" t="n">
        <v>393</v>
      </c>
      <c r="B926" s="42" t="inlineStr">
        <is>
          <t>서울특별시 서초구 서초동</t>
        </is>
      </c>
      <c r="C926" s="41" t="inlineStr">
        <is>
          <t>1675-11</t>
        </is>
      </c>
      <c r="D926" s="41" t="inlineStr">
        <is>
          <t>1675</t>
        </is>
      </c>
      <c r="E926" s="41" t="inlineStr">
        <is>
          <t>0011</t>
        </is>
      </c>
      <c r="F926" s="42" t="inlineStr">
        <is>
          <t>서초대우아이빌</t>
        </is>
      </c>
      <c r="G926" s="41" t="inlineStr">
        <is>
          <t>21.0570</t>
        </is>
      </c>
      <c r="H926" s="41" t="inlineStr">
        <is>
          <t>202412</t>
        </is>
      </c>
      <c r="I926" s="41" t="inlineStr">
        <is>
          <t>30</t>
        </is>
      </c>
      <c r="J926" s="41" t="inlineStr">
        <is>
          <t>11,000</t>
        </is>
      </c>
      <c r="K926" s="42" t="inlineStr">
        <is>
          <t>서초 대우아이빌</t>
        </is>
      </c>
      <c r="L926" s="41" t="inlineStr">
        <is>
          <t>12</t>
        </is>
      </c>
      <c r="M926" s="42" t="inlineStr">
        <is>
          <t>개인</t>
        </is>
      </c>
      <c r="N926" s="42" t="inlineStr">
        <is>
          <t>개인</t>
        </is>
      </c>
      <c r="O926" s="41" t="inlineStr">
        <is>
          <t>2003</t>
        </is>
      </c>
      <c r="P926" s="42" t="inlineStr">
        <is>
          <t>서초대로58길 10</t>
        </is>
      </c>
      <c r="Q926" s="41" t="inlineStr">
        <is>
          <t>-</t>
        </is>
      </c>
      <c r="R926" s="42" t="inlineStr">
        <is>
          <t>직거래</t>
        </is>
      </c>
      <c r="S926" s="41" t="inlineStr">
        <is>
          <t>-</t>
        </is>
      </c>
      <c r="T926" s="41" t="inlineStr">
        <is>
          <t>25.01.17</t>
        </is>
      </c>
      <c r="U926" s="42" t="inlineStr">
        <is>
          <t>아파트</t>
        </is>
      </c>
    </row>
    <row r="927" hidden="1" ht="15" customHeight="1">
      <c r="A927" s="41" t="n">
        <v>394</v>
      </c>
      <c r="B927" s="42" t="inlineStr">
        <is>
          <t>서울특별시 서초구 서초동</t>
        </is>
      </c>
      <c r="C927" s="41" t="inlineStr">
        <is>
          <t>1682</t>
        </is>
      </c>
      <c r="D927" s="41" t="inlineStr">
        <is>
          <t>1682</t>
        </is>
      </c>
      <c r="E927" s="41" t="inlineStr">
        <is>
          <t>0000</t>
        </is>
      </c>
      <c r="F927" s="42" t="inlineStr">
        <is>
          <t>서초래미안</t>
        </is>
      </c>
      <c r="G927" s="41" t="inlineStr">
        <is>
          <t>111.3200</t>
        </is>
      </c>
      <c r="H927" s="41" t="inlineStr">
        <is>
          <t>202412</t>
        </is>
      </c>
      <c r="I927" s="41" t="inlineStr">
        <is>
          <t>30</t>
        </is>
      </c>
      <c r="J927" s="41" t="inlineStr">
        <is>
          <t>277,000</t>
        </is>
      </c>
      <c r="K927" s="41" t="inlineStr">
        <is>
          <t>109</t>
        </is>
      </c>
      <c r="L927" s="41" t="inlineStr">
        <is>
          <t>7</t>
        </is>
      </c>
      <c r="M927" s="42" t="inlineStr">
        <is>
          <t>개인</t>
        </is>
      </c>
      <c r="N927" s="42" t="inlineStr">
        <is>
          <t>개인</t>
        </is>
      </c>
      <c r="O927" s="41" t="inlineStr">
        <is>
          <t>2003</t>
        </is>
      </c>
      <c r="P927" s="42" t="inlineStr">
        <is>
          <t>서초대로65길 13-10</t>
        </is>
      </c>
      <c r="Q927" s="41" t="inlineStr">
        <is>
          <t>-</t>
        </is>
      </c>
      <c r="R927" s="42" t="inlineStr">
        <is>
          <t>중개거래</t>
        </is>
      </c>
      <c r="S927" s="42" t="inlineStr">
        <is>
          <t>서울 서초구</t>
        </is>
      </c>
      <c r="T927" s="41" t="inlineStr">
        <is>
          <t>25.03.07</t>
        </is>
      </c>
      <c r="U927" s="42" t="inlineStr">
        <is>
          <t>아파트</t>
        </is>
      </c>
    </row>
    <row r="928" hidden="1" ht="15" customHeight="1">
      <c r="A928" s="41" t="n">
        <v>395</v>
      </c>
      <c r="B928" s="42" t="inlineStr">
        <is>
          <t>서울특별시 서초구 서초동</t>
        </is>
      </c>
      <c r="C928" s="41" t="inlineStr">
        <is>
          <t>1311-10</t>
        </is>
      </c>
      <c r="D928" s="41" t="inlineStr">
        <is>
          <t>1311</t>
        </is>
      </c>
      <c r="E928" s="41" t="inlineStr">
        <is>
          <t>0010</t>
        </is>
      </c>
      <c r="F928" s="42" t="inlineStr">
        <is>
          <t>서초푸르지오써밋</t>
        </is>
      </c>
      <c r="G928" s="41" t="inlineStr">
        <is>
          <t>84.9300</t>
        </is>
      </c>
      <c r="H928" s="41" t="inlineStr">
        <is>
          <t>202412</t>
        </is>
      </c>
      <c r="I928" s="41" t="inlineStr">
        <is>
          <t>29</t>
        </is>
      </c>
      <c r="J928" s="41" t="inlineStr">
        <is>
          <t>304,000</t>
        </is>
      </c>
      <c r="K928" s="41" t="inlineStr">
        <is>
          <t>104</t>
        </is>
      </c>
      <c r="L928" s="41" t="inlineStr">
        <is>
          <t>9</t>
        </is>
      </c>
      <c r="M928" s="42" t="inlineStr">
        <is>
          <t>개인</t>
        </is>
      </c>
      <c r="N928" s="42" t="inlineStr">
        <is>
          <t>개인</t>
        </is>
      </c>
      <c r="O928" s="41" t="inlineStr">
        <is>
          <t>2017</t>
        </is>
      </c>
      <c r="P928" s="42" t="inlineStr">
        <is>
          <t>서운로 201</t>
        </is>
      </c>
      <c r="Q928" s="41" t="inlineStr">
        <is>
          <t>-</t>
        </is>
      </c>
      <c r="R928" s="42" t="inlineStr">
        <is>
          <t>중개거래</t>
        </is>
      </c>
      <c r="S928" s="42" t="inlineStr">
        <is>
          <t>서울 서초구</t>
        </is>
      </c>
      <c r="T928" s="41" t="inlineStr">
        <is>
          <t>25.05.15</t>
        </is>
      </c>
      <c r="U928" s="42" t="inlineStr">
        <is>
          <t>아파트</t>
        </is>
      </c>
    </row>
    <row r="929" hidden="1" ht="15" customHeight="1">
      <c r="A929" s="41" t="n">
        <v>396</v>
      </c>
      <c r="B929" s="42" t="inlineStr">
        <is>
          <t>서울특별시 서초구 서초동</t>
        </is>
      </c>
      <c r="C929" s="41" t="inlineStr">
        <is>
          <t>1685-3</t>
        </is>
      </c>
      <c r="D929" s="41" t="inlineStr">
        <is>
          <t>1685</t>
        </is>
      </c>
      <c r="E929" s="41" t="inlineStr">
        <is>
          <t>0003</t>
        </is>
      </c>
      <c r="F929" s="42" t="inlineStr">
        <is>
          <t>아크로비스타</t>
        </is>
      </c>
      <c r="G929" s="41" t="inlineStr">
        <is>
          <t>137.9800</t>
        </is>
      </c>
      <c r="H929" s="41" t="inlineStr">
        <is>
          <t>202412</t>
        </is>
      </c>
      <c r="I929" s="41" t="inlineStr">
        <is>
          <t>27</t>
        </is>
      </c>
      <c r="J929" s="41" t="inlineStr">
        <is>
          <t>279,000</t>
        </is>
      </c>
      <c r="K929" s="41" t="inlineStr">
        <is>
          <t>A</t>
        </is>
      </c>
      <c r="L929" s="41" t="inlineStr">
        <is>
          <t>18</t>
        </is>
      </c>
      <c r="M929" s="42" t="inlineStr">
        <is>
          <t>개인</t>
        </is>
      </c>
      <c r="N929" s="42" t="inlineStr">
        <is>
          <t>개인</t>
        </is>
      </c>
      <c r="O929" s="41" t="inlineStr">
        <is>
          <t>2004</t>
        </is>
      </c>
      <c r="P929" s="42" t="inlineStr">
        <is>
          <t>서초중앙로 188</t>
        </is>
      </c>
      <c r="Q929" s="41" t="inlineStr">
        <is>
          <t>-</t>
        </is>
      </c>
      <c r="R929" s="42" t="inlineStr">
        <is>
          <t>중개거래</t>
        </is>
      </c>
      <c r="S929" s="42" t="inlineStr">
        <is>
          <t>서울 서초구</t>
        </is>
      </c>
      <c r="T929" s="41" t="inlineStr">
        <is>
          <t>25.05.07</t>
        </is>
      </c>
      <c r="U929" s="42" t="inlineStr">
        <is>
          <t>아파트</t>
        </is>
      </c>
    </row>
    <row r="930" hidden="1" ht="15" customHeight="1">
      <c r="A930" s="41" t="n">
        <v>397</v>
      </c>
      <c r="B930" s="42" t="inlineStr">
        <is>
          <t>서울특별시 서초구 서초동</t>
        </is>
      </c>
      <c r="C930" s="41" t="inlineStr">
        <is>
          <t>1467-97</t>
        </is>
      </c>
      <c r="D930" s="41" t="inlineStr">
        <is>
          <t>1467</t>
        </is>
      </c>
      <c r="E930" s="41" t="inlineStr">
        <is>
          <t>0097</t>
        </is>
      </c>
      <c r="F930" s="42" t="inlineStr">
        <is>
          <t>서초금호어울림</t>
        </is>
      </c>
      <c r="G930" s="41" t="inlineStr">
        <is>
          <t>146.1300</t>
        </is>
      </c>
      <c r="H930" s="41" t="inlineStr">
        <is>
          <t>202412</t>
        </is>
      </c>
      <c r="I930" s="41" t="inlineStr">
        <is>
          <t>27</t>
        </is>
      </c>
      <c r="J930" s="41" t="inlineStr">
        <is>
          <t>198,000</t>
        </is>
      </c>
      <c r="K930" s="41" t="inlineStr">
        <is>
          <t>101</t>
        </is>
      </c>
      <c r="L930" s="41" t="inlineStr">
        <is>
          <t>13</t>
        </is>
      </c>
      <c r="M930" s="42" t="inlineStr">
        <is>
          <t>개인</t>
        </is>
      </c>
      <c r="N930" s="42" t="inlineStr">
        <is>
          <t>개인</t>
        </is>
      </c>
      <c r="O930" s="41" t="inlineStr">
        <is>
          <t>2001</t>
        </is>
      </c>
      <c r="P930" s="42" t="inlineStr">
        <is>
          <t>명달로 10</t>
        </is>
      </c>
      <c r="Q930" s="41" t="inlineStr">
        <is>
          <t>-</t>
        </is>
      </c>
      <c r="R930" s="42" t="inlineStr">
        <is>
          <t>중개거래</t>
        </is>
      </c>
      <c r="S930" s="42" t="inlineStr">
        <is>
          <t>서울 서초구</t>
        </is>
      </c>
      <c r="T930" s="41" t="inlineStr">
        <is>
          <t>25.05.20</t>
        </is>
      </c>
      <c r="U930" s="42" t="inlineStr">
        <is>
          <t>아파트</t>
        </is>
      </c>
    </row>
    <row r="931" hidden="1" ht="15" customHeight="1">
      <c r="A931" s="41" t="n">
        <v>398</v>
      </c>
      <c r="B931" s="42" t="inlineStr">
        <is>
          <t>서울특별시 서초구 서초동</t>
        </is>
      </c>
      <c r="C931" s="41" t="inlineStr">
        <is>
          <t>1337-3</t>
        </is>
      </c>
      <c r="D931" s="41" t="inlineStr">
        <is>
          <t>1337</t>
        </is>
      </c>
      <c r="E931" s="41" t="inlineStr">
        <is>
          <t>0003</t>
        </is>
      </c>
      <c r="F931" s="41" t="inlineStr">
        <is>
          <t>urbanplace</t>
        </is>
      </c>
      <c r="G931" s="41" t="inlineStr">
        <is>
          <t>20.3340</t>
        </is>
      </c>
      <c r="H931" s="41" t="inlineStr">
        <is>
          <t>202412</t>
        </is>
      </c>
      <c r="I931" s="41" t="inlineStr">
        <is>
          <t>27</t>
        </is>
      </c>
      <c r="J931" s="41" t="inlineStr">
        <is>
          <t>19,700</t>
        </is>
      </c>
      <c r="K931" s="41" t="inlineStr">
        <is>
          <t>1</t>
        </is>
      </c>
      <c r="L931" s="41" t="inlineStr">
        <is>
          <t>7</t>
        </is>
      </c>
      <c r="M931" s="42" t="inlineStr">
        <is>
          <t>개인</t>
        </is>
      </c>
      <c r="N931" s="42" t="inlineStr">
        <is>
          <t>개인</t>
        </is>
      </c>
      <c r="O931" s="41" t="inlineStr">
        <is>
          <t>2014</t>
        </is>
      </c>
      <c r="P931" s="42" t="inlineStr">
        <is>
          <t>효령로77길 30</t>
        </is>
      </c>
      <c r="Q931" s="41" t="inlineStr">
        <is>
          <t>-</t>
        </is>
      </c>
      <c r="R931" s="42" t="inlineStr">
        <is>
          <t>직거래</t>
        </is>
      </c>
      <c r="S931" s="41" t="inlineStr">
        <is>
          <t>-</t>
        </is>
      </c>
      <c r="T931" s="41" t="inlineStr">
        <is>
          <t>25.01.20</t>
        </is>
      </c>
      <c r="U931" s="42" t="inlineStr">
        <is>
          <t>아파트</t>
        </is>
      </c>
    </row>
    <row r="932" hidden="1" ht="15" customHeight="1">
      <c r="A932" s="41" t="n">
        <v>399</v>
      </c>
      <c r="B932" s="42" t="inlineStr">
        <is>
          <t>서울특별시 서초구 서초동</t>
        </is>
      </c>
      <c r="C932" s="41" t="inlineStr">
        <is>
          <t>1656-4</t>
        </is>
      </c>
      <c r="D932" s="41" t="inlineStr">
        <is>
          <t>1656</t>
        </is>
      </c>
      <c r="E932" s="41" t="inlineStr">
        <is>
          <t>0004</t>
        </is>
      </c>
      <c r="F932" s="42" t="inlineStr">
        <is>
          <t>롯데캐슬메디치</t>
        </is>
      </c>
      <c r="G932" s="41" t="inlineStr">
        <is>
          <t>124.1800</t>
        </is>
      </c>
      <c r="H932" s="41" t="inlineStr">
        <is>
          <t>202412</t>
        </is>
      </c>
      <c r="I932" s="41" t="inlineStr">
        <is>
          <t>26</t>
        </is>
      </c>
      <c r="J932" s="41" t="inlineStr">
        <is>
          <t>185,500</t>
        </is>
      </c>
      <c r="K932" s="42" t="inlineStr">
        <is>
          <t>서초동롯데캐슬메디치</t>
        </is>
      </c>
      <c r="L932" s="41" t="inlineStr">
        <is>
          <t>10</t>
        </is>
      </c>
      <c r="M932" s="42" t="inlineStr">
        <is>
          <t>개인</t>
        </is>
      </c>
      <c r="N932" s="42" t="inlineStr">
        <is>
          <t>개인</t>
        </is>
      </c>
      <c r="O932" s="41" t="inlineStr">
        <is>
          <t>2010</t>
        </is>
      </c>
      <c r="P932" s="42" t="inlineStr">
        <is>
          <t>서초중앙로 110</t>
        </is>
      </c>
      <c r="Q932" s="41" t="inlineStr">
        <is>
          <t>-</t>
        </is>
      </c>
      <c r="R932" s="42" t="inlineStr">
        <is>
          <t>중개거래</t>
        </is>
      </c>
      <c r="S932" s="42" t="inlineStr">
        <is>
          <t>서울 서초구</t>
        </is>
      </c>
      <c r="T932" s="41" t="inlineStr">
        <is>
          <t>25.01.24</t>
        </is>
      </c>
      <c r="U932" s="42" t="inlineStr">
        <is>
          <t>아파트</t>
        </is>
      </c>
    </row>
    <row r="933" hidden="1" ht="15" customHeight="1">
      <c r="A933" s="41" t="n">
        <v>400</v>
      </c>
      <c r="B933" s="42" t="inlineStr">
        <is>
          <t>서울특별시 서초구 서초동</t>
        </is>
      </c>
      <c r="C933" s="41" t="inlineStr">
        <is>
          <t>1315</t>
        </is>
      </c>
      <c r="D933" s="41" t="inlineStr">
        <is>
          <t>1315</t>
        </is>
      </c>
      <c r="E933" s="41" t="inlineStr">
        <is>
          <t>0000</t>
        </is>
      </c>
      <c r="F933" s="42" t="inlineStr">
        <is>
          <t>진흥아파트</t>
        </is>
      </c>
      <c r="G933" s="41" t="inlineStr">
        <is>
          <t>131.0400</t>
        </is>
      </c>
      <c r="H933" s="41" t="inlineStr">
        <is>
          <t>202412</t>
        </is>
      </c>
      <c r="I933" s="41" t="inlineStr">
        <is>
          <t>26</t>
        </is>
      </c>
      <c r="J933" s="41" t="inlineStr">
        <is>
          <t>301,000</t>
        </is>
      </c>
      <c r="K933" s="41" t="inlineStr">
        <is>
          <t>8</t>
        </is>
      </c>
      <c r="L933" s="41" t="inlineStr">
        <is>
          <t>8</t>
        </is>
      </c>
      <c r="M933" s="42" t="inlineStr">
        <is>
          <t>개인</t>
        </is>
      </c>
      <c r="N933" s="42" t="inlineStr">
        <is>
          <t>개인</t>
        </is>
      </c>
      <c r="O933" s="41" t="inlineStr">
        <is>
          <t>1979</t>
        </is>
      </c>
      <c r="P933" s="42" t="inlineStr">
        <is>
          <t>서초대로 385</t>
        </is>
      </c>
      <c r="Q933" s="41" t="inlineStr">
        <is>
          <t>-</t>
        </is>
      </c>
      <c r="R933" s="42" t="inlineStr">
        <is>
          <t>중개거래</t>
        </is>
      </c>
      <c r="S933" s="42" t="inlineStr">
        <is>
          <t>서울 서초구</t>
        </is>
      </c>
      <c r="T933" s="41" t="inlineStr">
        <is>
          <t>25.04.04</t>
        </is>
      </c>
      <c r="U933" s="42" t="inlineStr">
        <is>
          <t>아파트</t>
        </is>
      </c>
    </row>
    <row r="934" hidden="1" ht="15" customHeight="1">
      <c r="A934" s="41" t="n">
        <v>401</v>
      </c>
      <c r="B934" s="42" t="inlineStr">
        <is>
          <t>서울특별시 서초구 서초동</t>
        </is>
      </c>
      <c r="C934" s="41" t="inlineStr">
        <is>
          <t>1685-3</t>
        </is>
      </c>
      <c r="D934" s="41" t="inlineStr">
        <is>
          <t>1685</t>
        </is>
      </c>
      <c r="E934" s="41" t="inlineStr">
        <is>
          <t>0003</t>
        </is>
      </c>
      <c r="F934" s="42" t="inlineStr">
        <is>
          <t>아크로비스타</t>
        </is>
      </c>
      <c r="G934" s="41" t="inlineStr">
        <is>
          <t>138.9600</t>
        </is>
      </c>
      <c r="H934" s="41" t="inlineStr">
        <is>
          <t>202412</t>
        </is>
      </c>
      <c r="I934" s="41" t="inlineStr">
        <is>
          <t>26</t>
        </is>
      </c>
      <c r="J934" s="41" t="inlineStr">
        <is>
          <t>287,500</t>
        </is>
      </c>
      <c r="K934" s="41" t="inlineStr">
        <is>
          <t>B</t>
        </is>
      </c>
      <c r="L934" s="41" t="inlineStr">
        <is>
          <t>27</t>
        </is>
      </c>
      <c r="M934" s="42" t="inlineStr">
        <is>
          <t>개인</t>
        </is>
      </c>
      <c r="N934" s="42" t="inlineStr">
        <is>
          <t>개인</t>
        </is>
      </c>
      <c r="O934" s="41" t="inlineStr">
        <is>
          <t>2004</t>
        </is>
      </c>
      <c r="P934" s="42" t="inlineStr">
        <is>
          <t>서초중앙로 188</t>
        </is>
      </c>
      <c r="Q934" s="41" t="inlineStr">
        <is>
          <t>-</t>
        </is>
      </c>
      <c r="R934" s="42" t="inlineStr">
        <is>
          <t>중개거래</t>
        </is>
      </c>
      <c r="S934" s="42" t="inlineStr">
        <is>
          <t>서울 서초구</t>
        </is>
      </c>
      <c r="T934" s="41" t="inlineStr">
        <is>
          <t>25.02.18</t>
        </is>
      </c>
      <c r="U934" s="42" t="inlineStr">
        <is>
          <t>아파트</t>
        </is>
      </c>
    </row>
    <row r="935" hidden="1" ht="15" customHeight="1">
      <c r="A935" s="41" t="n">
        <v>402</v>
      </c>
      <c r="B935" s="42" t="inlineStr">
        <is>
          <t>서울특별시 서초구 서초동</t>
        </is>
      </c>
      <c r="C935" s="41" t="inlineStr">
        <is>
          <t>1755</t>
        </is>
      </c>
      <c r="D935" s="41" t="inlineStr">
        <is>
          <t>1755</t>
        </is>
      </c>
      <c r="E935" s="41" t="inlineStr">
        <is>
          <t>0000</t>
        </is>
      </c>
      <c r="F935" s="42" t="inlineStr">
        <is>
          <t>래미안 리더스원</t>
        </is>
      </c>
      <c r="G935" s="41" t="inlineStr">
        <is>
          <t>84.9300</t>
        </is>
      </c>
      <c r="H935" s="41" t="inlineStr">
        <is>
          <t>202412</t>
        </is>
      </c>
      <c r="I935" s="41" t="inlineStr">
        <is>
          <t>24</t>
        </is>
      </c>
      <c r="J935" s="41" t="inlineStr">
        <is>
          <t>320,000</t>
        </is>
      </c>
      <c r="K935" s="41" t="inlineStr">
        <is>
          <t>105동</t>
        </is>
      </c>
      <c r="L935" s="41" t="inlineStr">
        <is>
          <t>12</t>
        </is>
      </c>
      <c r="M935" s="42" t="inlineStr">
        <is>
          <t>개인</t>
        </is>
      </c>
      <c r="N935" s="42" t="inlineStr">
        <is>
          <t>개인</t>
        </is>
      </c>
      <c r="O935" s="41" t="inlineStr">
        <is>
          <t>2020</t>
        </is>
      </c>
      <c r="P935" s="42" t="inlineStr">
        <is>
          <t>서운로 62</t>
        </is>
      </c>
      <c r="Q935" s="41" t="inlineStr">
        <is>
          <t>-</t>
        </is>
      </c>
      <c r="R935" s="42" t="inlineStr">
        <is>
          <t>중개거래</t>
        </is>
      </c>
      <c r="S935" s="42" t="inlineStr">
        <is>
          <t>서울 서초구</t>
        </is>
      </c>
      <c r="T935" s="41" t="inlineStr">
        <is>
          <t>25.04.16</t>
        </is>
      </c>
      <c r="U935" s="42" t="inlineStr">
        <is>
          <t>아파트</t>
        </is>
      </c>
    </row>
    <row r="936" hidden="1" ht="15" customHeight="1">
      <c r="A936" s="41" t="n">
        <v>403</v>
      </c>
      <c r="B936" s="42" t="inlineStr">
        <is>
          <t>서울특별시 서초구 서초동</t>
        </is>
      </c>
      <c r="C936" s="41" t="inlineStr">
        <is>
          <t>1641-1</t>
        </is>
      </c>
      <c r="D936" s="41" t="inlineStr">
        <is>
          <t>1641</t>
        </is>
      </c>
      <c r="E936" s="41" t="inlineStr">
        <is>
          <t>0001</t>
        </is>
      </c>
      <c r="F936" s="42" t="inlineStr">
        <is>
          <t>서초삼성래미안</t>
        </is>
      </c>
      <c r="G936" s="41" t="inlineStr">
        <is>
          <t>84.9700</t>
        </is>
      </c>
      <c r="H936" s="41" t="inlineStr">
        <is>
          <t>202412</t>
        </is>
      </c>
      <c r="I936" s="41" t="inlineStr">
        <is>
          <t>24</t>
        </is>
      </c>
      <c r="J936" s="41" t="inlineStr">
        <is>
          <t>185,000</t>
        </is>
      </c>
      <c r="K936" s="41" t="inlineStr">
        <is>
          <t>103</t>
        </is>
      </c>
      <c r="L936" s="41" t="inlineStr">
        <is>
          <t>2</t>
        </is>
      </c>
      <c r="M936" s="42" t="inlineStr">
        <is>
          <t>개인</t>
        </is>
      </c>
      <c r="N936" s="42" t="inlineStr">
        <is>
          <t>개인</t>
        </is>
      </c>
      <c r="O936" s="41" t="inlineStr">
        <is>
          <t>2001</t>
        </is>
      </c>
      <c r="P936" s="42" t="inlineStr">
        <is>
          <t>사임당로17길 116</t>
        </is>
      </c>
      <c r="Q936" s="41" t="inlineStr">
        <is>
          <t>-</t>
        </is>
      </c>
      <c r="R936" s="42" t="inlineStr">
        <is>
          <t>중개거래</t>
        </is>
      </c>
      <c r="S936" s="42" t="inlineStr">
        <is>
          <t>서울 서초구</t>
        </is>
      </c>
      <c r="T936" s="41" t="inlineStr">
        <is>
          <t>25.02.25</t>
        </is>
      </c>
      <c r="U936" s="42" t="inlineStr">
        <is>
          <t>아파트</t>
        </is>
      </c>
    </row>
    <row r="937" hidden="1" ht="15" customHeight="1">
      <c r="A937" s="41" t="n">
        <v>404</v>
      </c>
      <c r="B937" s="42" t="inlineStr">
        <is>
          <t>서울특별시 서초구 서초동</t>
        </is>
      </c>
      <c r="C937" s="41" t="inlineStr">
        <is>
          <t>1529</t>
        </is>
      </c>
      <c r="D937" s="41" t="inlineStr">
        <is>
          <t>1529</t>
        </is>
      </c>
      <c r="E937" s="41" t="inlineStr">
        <is>
          <t>0000</t>
        </is>
      </c>
      <c r="F937" s="42" t="inlineStr">
        <is>
          <t>서초2차e-편한세상</t>
        </is>
      </c>
      <c r="G937" s="41" t="inlineStr">
        <is>
          <t>116.7450</t>
        </is>
      </c>
      <c r="H937" s="41" t="inlineStr">
        <is>
          <t>202412</t>
        </is>
      </c>
      <c r="I937" s="41" t="inlineStr">
        <is>
          <t>24</t>
        </is>
      </c>
      <c r="J937" s="41" t="inlineStr">
        <is>
          <t>210,000</t>
        </is>
      </c>
      <c r="K937" s="41" t="inlineStr">
        <is>
          <t>202</t>
        </is>
      </c>
      <c r="L937" s="41" t="inlineStr">
        <is>
          <t>13</t>
        </is>
      </c>
      <c r="M937" s="42" t="inlineStr">
        <is>
          <t>개인</t>
        </is>
      </c>
      <c r="N937" s="42" t="inlineStr">
        <is>
          <t>개인</t>
        </is>
      </c>
      <c r="O937" s="41" t="inlineStr">
        <is>
          <t>2005</t>
        </is>
      </c>
      <c r="P937" s="42" t="inlineStr">
        <is>
          <t>효령로49길 57</t>
        </is>
      </c>
      <c r="Q937" s="41" t="inlineStr">
        <is>
          <t>-</t>
        </is>
      </c>
      <c r="R937" s="42" t="inlineStr">
        <is>
          <t>중개거래</t>
        </is>
      </c>
      <c r="S937" s="42" t="inlineStr">
        <is>
          <t>서울 서초구</t>
        </is>
      </c>
      <c r="T937" s="41" t="inlineStr">
        <is>
          <t>25.02.21</t>
        </is>
      </c>
      <c r="U937" s="42" t="inlineStr">
        <is>
          <t>아파트</t>
        </is>
      </c>
    </row>
    <row r="938" hidden="1" ht="15" customHeight="1">
      <c r="A938" s="41" t="n">
        <v>405</v>
      </c>
      <c r="B938" s="42" t="inlineStr">
        <is>
          <t>서울특별시 서초구 서초동</t>
        </is>
      </c>
      <c r="C938" s="41" t="inlineStr">
        <is>
          <t>1755</t>
        </is>
      </c>
      <c r="D938" s="41" t="inlineStr">
        <is>
          <t>1755</t>
        </is>
      </c>
      <c r="E938" s="41" t="inlineStr">
        <is>
          <t>0000</t>
        </is>
      </c>
      <c r="F938" s="42" t="inlineStr">
        <is>
          <t>래미안 리더스원</t>
        </is>
      </c>
      <c r="G938" s="41" t="inlineStr">
        <is>
          <t>59.9700</t>
        </is>
      </c>
      <c r="H938" s="41" t="inlineStr">
        <is>
          <t>202412</t>
        </is>
      </c>
      <c r="I938" s="41" t="inlineStr">
        <is>
          <t>24</t>
        </is>
      </c>
      <c r="J938" s="41" t="inlineStr">
        <is>
          <t>270,000</t>
        </is>
      </c>
      <c r="K938" s="41" t="inlineStr">
        <is>
          <t>110동</t>
        </is>
      </c>
      <c r="L938" s="41" t="inlineStr">
        <is>
          <t>26</t>
        </is>
      </c>
      <c r="M938" s="42" t="inlineStr">
        <is>
          <t>개인</t>
        </is>
      </c>
      <c r="N938" s="42" t="inlineStr">
        <is>
          <t>개인</t>
        </is>
      </c>
      <c r="O938" s="41" t="inlineStr">
        <is>
          <t>2020</t>
        </is>
      </c>
      <c r="P938" s="42" t="inlineStr">
        <is>
          <t>서운로 62</t>
        </is>
      </c>
      <c r="Q938" s="41" t="inlineStr">
        <is>
          <t>-</t>
        </is>
      </c>
      <c r="R938" s="42" t="inlineStr">
        <is>
          <t>중개거래</t>
        </is>
      </c>
      <c r="S938" s="42" t="inlineStr">
        <is>
          <t>서울 서초구</t>
        </is>
      </c>
      <c r="T938" s="41" t="inlineStr">
        <is>
          <t>25.05.23</t>
        </is>
      </c>
      <c r="U938" s="42" t="inlineStr">
        <is>
          <t>아파트</t>
        </is>
      </c>
    </row>
    <row r="939" hidden="1" ht="15" customHeight="1">
      <c r="A939" s="41" t="n">
        <v>406</v>
      </c>
      <c r="B939" s="42" t="inlineStr">
        <is>
          <t>서울특별시 서초구 서초동</t>
        </is>
      </c>
      <c r="C939" s="41" t="inlineStr">
        <is>
          <t>1311-10</t>
        </is>
      </c>
      <c r="D939" s="41" t="inlineStr">
        <is>
          <t>1311</t>
        </is>
      </c>
      <c r="E939" s="41" t="inlineStr">
        <is>
          <t>0010</t>
        </is>
      </c>
      <c r="F939" s="42" t="inlineStr">
        <is>
          <t>서초푸르지오써밋</t>
        </is>
      </c>
      <c r="G939" s="41" t="inlineStr">
        <is>
          <t>104.1100</t>
        </is>
      </c>
      <c r="H939" s="41" t="inlineStr">
        <is>
          <t>202412</t>
        </is>
      </c>
      <c r="I939" s="41" t="inlineStr">
        <is>
          <t>24</t>
        </is>
      </c>
      <c r="J939" s="41" t="inlineStr">
        <is>
          <t>327,000</t>
        </is>
      </c>
      <c r="K939" s="41" t="inlineStr">
        <is>
          <t>202</t>
        </is>
      </c>
      <c r="L939" s="41" t="inlineStr">
        <is>
          <t>10</t>
        </is>
      </c>
      <c r="M939" s="42" t="inlineStr">
        <is>
          <t>개인</t>
        </is>
      </c>
      <c r="N939" s="42" t="inlineStr">
        <is>
          <t>개인</t>
        </is>
      </c>
      <c r="O939" s="41" t="inlineStr">
        <is>
          <t>2017</t>
        </is>
      </c>
      <c r="P939" s="42" t="inlineStr">
        <is>
          <t>서운로 212</t>
        </is>
      </c>
      <c r="Q939" s="41" t="inlineStr">
        <is>
          <t>-</t>
        </is>
      </c>
      <c r="R939" s="42" t="inlineStr">
        <is>
          <t>중개거래</t>
        </is>
      </c>
      <c r="S939" s="42" t="inlineStr">
        <is>
          <t>서울 서초구</t>
        </is>
      </c>
      <c r="T939" s="41" t="inlineStr">
        <is>
          <t>25.03.28</t>
        </is>
      </c>
      <c r="U939" s="42" t="inlineStr">
        <is>
          <t>아파트</t>
        </is>
      </c>
    </row>
    <row r="940" hidden="1" ht="15" customHeight="1">
      <c r="A940" s="41" t="n">
        <v>407</v>
      </c>
      <c r="B940" s="42" t="inlineStr">
        <is>
          <t>서울특별시 서초구 서초동</t>
        </is>
      </c>
      <c r="C940" s="41" t="inlineStr">
        <is>
          <t>1337-3</t>
        </is>
      </c>
      <c r="D940" s="41" t="inlineStr">
        <is>
          <t>1337</t>
        </is>
      </c>
      <c r="E940" s="41" t="inlineStr">
        <is>
          <t>0003</t>
        </is>
      </c>
      <c r="F940" s="41" t="inlineStr">
        <is>
          <t>urbanplace</t>
        </is>
      </c>
      <c r="G940" s="41" t="inlineStr">
        <is>
          <t>20.3440</t>
        </is>
      </c>
      <c r="H940" s="41" t="inlineStr">
        <is>
          <t>202412</t>
        </is>
      </c>
      <c r="I940" s="41" t="inlineStr">
        <is>
          <t>23</t>
        </is>
      </c>
      <c r="J940" s="41" t="inlineStr">
        <is>
          <t>19,850</t>
        </is>
      </c>
      <c r="K940" s="41" t="inlineStr">
        <is>
          <t>1</t>
        </is>
      </c>
      <c r="L940" s="41" t="inlineStr">
        <is>
          <t>6</t>
        </is>
      </c>
      <c r="M940" s="42" t="inlineStr">
        <is>
          <t>개인</t>
        </is>
      </c>
      <c r="N940" s="42" t="inlineStr">
        <is>
          <t>개인</t>
        </is>
      </c>
      <c r="O940" s="41" t="inlineStr">
        <is>
          <t>2014</t>
        </is>
      </c>
      <c r="P940" s="42" t="inlineStr">
        <is>
          <t>효령로77길 30</t>
        </is>
      </c>
      <c r="Q940" s="41" t="inlineStr">
        <is>
          <t>-</t>
        </is>
      </c>
      <c r="R940" s="42" t="inlineStr">
        <is>
          <t>중개거래</t>
        </is>
      </c>
      <c r="S940" s="42" t="inlineStr">
        <is>
          <t>서울 서초구</t>
        </is>
      </c>
      <c r="T940" s="41" t="inlineStr">
        <is>
          <t>25.02.07</t>
        </is>
      </c>
      <c r="U940" s="42" t="inlineStr">
        <is>
          <t>아파트</t>
        </is>
      </c>
    </row>
    <row r="941" hidden="1" ht="15" customHeight="1">
      <c r="A941" s="41" t="n">
        <v>408</v>
      </c>
      <c r="B941" s="42" t="inlineStr">
        <is>
          <t>서울특별시 서초구 서초동</t>
        </is>
      </c>
      <c r="C941" s="41" t="inlineStr">
        <is>
          <t>1757</t>
        </is>
      </c>
      <c r="D941" s="41" t="inlineStr">
        <is>
          <t>1757</t>
        </is>
      </c>
      <c r="E941" s="41" t="inlineStr">
        <is>
          <t>0000</t>
        </is>
      </c>
      <c r="F941" s="42" t="inlineStr">
        <is>
          <t>서초그랑자이</t>
        </is>
      </c>
      <c r="G941" s="41" t="inlineStr">
        <is>
          <t>84.5100</t>
        </is>
      </c>
      <c r="H941" s="41" t="inlineStr">
        <is>
          <t>202412</t>
        </is>
      </c>
      <c r="I941" s="41" t="inlineStr">
        <is>
          <t>23</t>
        </is>
      </c>
      <c r="J941" s="41" t="inlineStr">
        <is>
          <t>338,000</t>
        </is>
      </c>
      <c r="K941" s="41" t="inlineStr">
        <is>
          <t>108동</t>
        </is>
      </c>
      <c r="L941" s="41" t="inlineStr">
        <is>
          <t>24</t>
        </is>
      </c>
      <c r="M941" s="42" t="inlineStr">
        <is>
          <t>개인</t>
        </is>
      </c>
      <c r="N941" s="42" t="inlineStr">
        <is>
          <t>개인</t>
        </is>
      </c>
      <c r="O941" s="41" t="inlineStr">
        <is>
          <t>2021</t>
        </is>
      </c>
      <c r="P941" s="42" t="inlineStr">
        <is>
          <t>효령로 391</t>
        </is>
      </c>
      <c r="Q941" s="41" t="inlineStr">
        <is>
          <t>-</t>
        </is>
      </c>
      <c r="R941" s="42" t="inlineStr">
        <is>
          <t>중개거래</t>
        </is>
      </c>
      <c r="S941" s="42" t="inlineStr">
        <is>
          <t>서울 서초구</t>
        </is>
      </c>
      <c r="T941" s="41" t="inlineStr">
        <is>
          <t>25.04.22</t>
        </is>
      </c>
      <c r="U941" s="42" t="inlineStr">
        <is>
          <t>아파트</t>
        </is>
      </c>
    </row>
    <row r="942" hidden="1" ht="15" customHeight="1">
      <c r="A942" s="41" t="n">
        <v>409</v>
      </c>
      <c r="B942" s="42" t="inlineStr">
        <is>
          <t>서울특별시 서초구 서초동</t>
        </is>
      </c>
      <c r="C942" s="41" t="inlineStr">
        <is>
          <t>1648-2</t>
        </is>
      </c>
      <c r="D942" s="41" t="inlineStr">
        <is>
          <t>1648</t>
        </is>
      </c>
      <c r="E942" s="41" t="inlineStr">
        <is>
          <t>0002</t>
        </is>
      </c>
      <c r="F942" s="42" t="inlineStr">
        <is>
          <t>서초현대</t>
        </is>
      </c>
      <c r="G942" s="41" t="inlineStr">
        <is>
          <t>54.4500</t>
        </is>
      </c>
      <c r="H942" s="41" t="inlineStr">
        <is>
          <t>202412</t>
        </is>
      </c>
      <c r="I942" s="41" t="inlineStr">
        <is>
          <t>21</t>
        </is>
      </c>
      <c r="J942" s="41" t="inlineStr">
        <is>
          <t>125,000</t>
        </is>
      </c>
      <c r="K942" s="41" t="inlineStr">
        <is>
          <t>-</t>
        </is>
      </c>
      <c r="L942" s="41" t="inlineStr">
        <is>
          <t>12</t>
        </is>
      </c>
      <c r="M942" s="42" t="inlineStr">
        <is>
          <t>개인</t>
        </is>
      </c>
      <c r="N942" s="42" t="inlineStr">
        <is>
          <t>개인</t>
        </is>
      </c>
      <c r="O942" s="41" t="inlineStr">
        <is>
          <t>1999</t>
        </is>
      </c>
      <c r="P942" s="42" t="inlineStr">
        <is>
          <t>사임당로19길 10</t>
        </is>
      </c>
      <c r="Q942" s="41" t="inlineStr">
        <is>
          <t>-</t>
        </is>
      </c>
      <c r="R942" s="42" t="inlineStr">
        <is>
          <t>중개거래</t>
        </is>
      </c>
      <c r="S942" s="42" t="inlineStr">
        <is>
          <t>서울 서초구</t>
        </is>
      </c>
      <c r="T942" s="41" t="inlineStr">
        <is>
          <t>-</t>
        </is>
      </c>
      <c r="U942" s="42" t="inlineStr">
        <is>
          <t>아파트</t>
        </is>
      </c>
    </row>
    <row r="943" hidden="1" ht="15" customHeight="1">
      <c r="A943" s="41" t="n">
        <v>410</v>
      </c>
      <c r="B943" s="42" t="inlineStr">
        <is>
          <t>서울특별시 서초구 서초동</t>
        </is>
      </c>
      <c r="C943" s="41" t="inlineStr">
        <is>
          <t>1332-13</t>
        </is>
      </c>
      <c r="D943" s="41" t="inlineStr">
        <is>
          <t>1332</t>
        </is>
      </c>
      <c r="E943" s="41" t="inlineStr">
        <is>
          <t>0013</t>
        </is>
      </c>
      <c r="F943" s="42" t="inlineStr">
        <is>
          <t>래미안서초에스티지</t>
        </is>
      </c>
      <c r="G943" s="41" t="inlineStr">
        <is>
          <t>83.6000</t>
        </is>
      </c>
      <c r="H943" s="41" t="inlineStr">
        <is>
          <t>202412</t>
        </is>
      </c>
      <c r="I943" s="41" t="inlineStr">
        <is>
          <t>21</t>
        </is>
      </c>
      <c r="J943" s="41" t="inlineStr">
        <is>
          <t>285,000</t>
        </is>
      </c>
      <c r="K943" s="41" t="inlineStr">
        <is>
          <t>102동</t>
        </is>
      </c>
      <c r="L943" s="41" t="inlineStr">
        <is>
          <t>6</t>
        </is>
      </c>
      <c r="M943" s="42" t="inlineStr">
        <is>
          <t>개인</t>
        </is>
      </c>
      <c r="N943" s="42" t="inlineStr">
        <is>
          <t>개인</t>
        </is>
      </c>
      <c r="O943" s="41" t="inlineStr">
        <is>
          <t>2016</t>
        </is>
      </c>
      <c r="P943" s="42" t="inlineStr">
        <is>
          <t>서운로 107</t>
        </is>
      </c>
      <c r="Q943" s="41" t="inlineStr">
        <is>
          <t>-</t>
        </is>
      </c>
      <c r="R943" s="42" t="inlineStr">
        <is>
          <t>중개거래</t>
        </is>
      </c>
      <c r="S943" s="42" t="inlineStr">
        <is>
          <t>서울 강남구, 서울 서초구</t>
        </is>
      </c>
      <c r="T943" s="41" t="inlineStr">
        <is>
          <t>25.04.10</t>
        </is>
      </c>
      <c r="U943" s="42" t="inlineStr">
        <is>
          <t>아파트</t>
        </is>
      </c>
    </row>
    <row r="944" hidden="1" ht="15" customHeight="1">
      <c r="A944" s="41" t="n">
        <v>411</v>
      </c>
      <c r="B944" s="42" t="inlineStr">
        <is>
          <t>서울특별시 서초구 서초동</t>
        </is>
      </c>
      <c r="C944" s="41" t="inlineStr">
        <is>
          <t>1312-3</t>
        </is>
      </c>
      <c r="D944" s="41" t="inlineStr">
        <is>
          <t>1312</t>
        </is>
      </c>
      <c r="E944" s="41" t="inlineStr">
        <is>
          <t>0003</t>
        </is>
      </c>
      <c r="F944" s="42" t="inlineStr">
        <is>
          <t>롯데캐슬클래식</t>
        </is>
      </c>
      <c r="G944" s="41" t="inlineStr">
        <is>
          <t>84.9800</t>
        </is>
      </c>
      <c r="H944" s="41" t="inlineStr">
        <is>
          <t>202412</t>
        </is>
      </c>
      <c r="I944" s="41" t="inlineStr">
        <is>
          <t>20</t>
        </is>
      </c>
      <c r="J944" s="41" t="inlineStr">
        <is>
          <t>265,000</t>
        </is>
      </c>
      <c r="K944" s="41" t="inlineStr">
        <is>
          <t>102</t>
        </is>
      </c>
      <c r="L944" s="41" t="inlineStr">
        <is>
          <t>14</t>
        </is>
      </c>
      <c r="M944" s="42" t="inlineStr">
        <is>
          <t>개인</t>
        </is>
      </c>
      <c r="N944" s="42" t="inlineStr">
        <is>
          <t>개인</t>
        </is>
      </c>
      <c r="O944" s="41" t="inlineStr">
        <is>
          <t>2006</t>
        </is>
      </c>
      <c r="P944" s="42" t="inlineStr">
        <is>
          <t>서운로 197</t>
        </is>
      </c>
      <c r="Q944" s="41" t="inlineStr">
        <is>
          <t>-</t>
        </is>
      </c>
      <c r="R944" s="42" t="inlineStr">
        <is>
          <t>중개거래</t>
        </is>
      </c>
      <c r="S944" s="42" t="inlineStr">
        <is>
          <t>서울 서초구</t>
        </is>
      </c>
      <c r="T944" s="41" t="inlineStr">
        <is>
          <t>25.03.06</t>
        </is>
      </c>
      <c r="U944" s="42" t="inlineStr">
        <is>
          <t>아파트</t>
        </is>
      </c>
    </row>
    <row r="945" hidden="1" ht="15" customHeight="1">
      <c r="A945" s="41" t="n">
        <v>412</v>
      </c>
      <c r="B945" s="42" t="inlineStr">
        <is>
          <t>서울특별시 서초구 서초동</t>
        </is>
      </c>
      <c r="C945" s="41" t="inlineStr">
        <is>
          <t>1311-10</t>
        </is>
      </c>
      <c r="D945" s="41" t="inlineStr">
        <is>
          <t>1311</t>
        </is>
      </c>
      <c r="E945" s="41" t="inlineStr">
        <is>
          <t>0010</t>
        </is>
      </c>
      <c r="F945" s="42" t="inlineStr">
        <is>
          <t>서초푸르지오써밋</t>
        </is>
      </c>
      <c r="G945" s="41" t="inlineStr">
        <is>
          <t>74.9600</t>
        </is>
      </c>
      <c r="H945" s="41" t="inlineStr">
        <is>
          <t>202412</t>
        </is>
      </c>
      <c r="I945" s="41" t="inlineStr">
        <is>
          <t>20</t>
        </is>
      </c>
      <c r="J945" s="41" t="inlineStr">
        <is>
          <t>280,000</t>
        </is>
      </c>
      <c r="K945" s="41" t="inlineStr">
        <is>
          <t>103</t>
        </is>
      </c>
      <c r="L945" s="41" t="inlineStr">
        <is>
          <t>10</t>
        </is>
      </c>
      <c r="M945" s="42" t="inlineStr">
        <is>
          <t>개인</t>
        </is>
      </c>
      <c r="N945" s="42" t="inlineStr">
        <is>
          <t>개인</t>
        </is>
      </c>
      <c r="O945" s="41" t="inlineStr">
        <is>
          <t>2017</t>
        </is>
      </c>
      <c r="P945" s="42" t="inlineStr">
        <is>
          <t>서운로 201</t>
        </is>
      </c>
      <c r="Q945" s="41" t="inlineStr">
        <is>
          <t>-</t>
        </is>
      </c>
      <c r="R945" s="42" t="inlineStr">
        <is>
          <t>중개거래</t>
        </is>
      </c>
      <c r="S945" s="42" t="inlineStr">
        <is>
          <t>서울 서초구</t>
        </is>
      </c>
      <c r="T945" s="41" t="inlineStr">
        <is>
          <t>25.02.24</t>
        </is>
      </c>
      <c r="U945" s="42" t="inlineStr">
        <is>
          <t>아파트</t>
        </is>
      </c>
    </row>
    <row r="946" hidden="1" ht="15" customHeight="1">
      <c r="A946" s="41" t="n">
        <v>413</v>
      </c>
      <c r="B946" s="42" t="inlineStr">
        <is>
          <t>서울특별시 서초구 서초동</t>
        </is>
      </c>
      <c r="C946" s="41" t="inlineStr">
        <is>
          <t>1755</t>
        </is>
      </c>
      <c r="D946" s="41" t="inlineStr">
        <is>
          <t>1755</t>
        </is>
      </c>
      <c r="E946" s="41" t="inlineStr">
        <is>
          <t>0000</t>
        </is>
      </c>
      <c r="F946" s="42" t="inlineStr">
        <is>
          <t>래미안 리더스원</t>
        </is>
      </c>
      <c r="G946" s="41" t="inlineStr">
        <is>
          <t>59.9700</t>
        </is>
      </c>
      <c r="H946" s="41" t="inlineStr">
        <is>
          <t>202412</t>
        </is>
      </c>
      <c r="I946" s="41" t="inlineStr">
        <is>
          <t>19</t>
        </is>
      </c>
      <c r="J946" s="41" t="inlineStr">
        <is>
          <t>268,000</t>
        </is>
      </c>
      <c r="K946" s="41" t="inlineStr">
        <is>
          <t>110동</t>
        </is>
      </c>
      <c r="L946" s="41" t="inlineStr">
        <is>
          <t>12</t>
        </is>
      </c>
      <c r="M946" s="42" t="inlineStr">
        <is>
          <t>개인</t>
        </is>
      </c>
      <c r="N946" s="42" t="inlineStr">
        <is>
          <t>개인</t>
        </is>
      </c>
      <c r="O946" s="41" t="inlineStr">
        <is>
          <t>2020</t>
        </is>
      </c>
      <c r="P946" s="42" t="inlineStr">
        <is>
          <t>서운로 62</t>
        </is>
      </c>
      <c r="Q946" s="41" t="inlineStr">
        <is>
          <t>-</t>
        </is>
      </c>
      <c r="R946" s="42" t="inlineStr">
        <is>
          <t>중개거래</t>
        </is>
      </c>
      <c r="S946" s="42" t="inlineStr">
        <is>
          <t>서울 서초구</t>
        </is>
      </c>
      <c r="T946" s="41" t="inlineStr">
        <is>
          <t>25.02.20</t>
        </is>
      </c>
      <c r="U946" s="42" t="inlineStr">
        <is>
          <t>아파트</t>
        </is>
      </c>
    </row>
    <row r="947" hidden="1" ht="15" customHeight="1">
      <c r="A947" s="41" t="n">
        <v>414</v>
      </c>
      <c r="B947" s="42" t="inlineStr">
        <is>
          <t>서울특별시 서초구 서초동</t>
        </is>
      </c>
      <c r="C947" s="41" t="inlineStr">
        <is>
          <t>1337-22</t>
        </is>
      </c>
      <c r="D947" s="41" t="inlineStr">
        <is>
          <t>1337</t>
        </is>
      </c>
      <c r="E947" s="41" t="inlineStr">
        <is>
          <t>0022</t>
        </is>
      </c>
      <c r="F947" s="42" t="inlineStr">
        <is>
          <t>서초동대우디오빌프라임</t>
        </is>
      </c>
      <c r="G947" s="41" t="inlineStr">
        <is>
          <t>84.9700</t>
        </is>
      </c>
      <c r="H947" s="41" t="inlineStr">
        <is>
          <t>202412</t>
        </is>
      </c>
      <c r="I947" s="41" t="inlineStr">
        <is>
          <t>18</t>
        </is>
      </c>
      <c r="J947" s="41" t="inlineStr">
        <is>
          <t>115,000</t>
        </is>
      </c>
      <c r="K947" s="42" t="inlineStr">
        <is>
          <t>서초동대우디오빌프라임</t>
        </is>
      </c>
      <c r="L947" s="41" t="inlineStr">
        <is>
          <t>12</t>
        </is>
      </c>
      <c r="M947" s="42" t="inlineStr">
        <is>
          <t>개인</t>
        </is>
      </c>
      <c r="N947" s="42" t="inlineStr">
        <is>
          <t>개인</t>
        </is>
      </c>
      <c r="O947" s="41" t="inlineStr">
        <is>
          <t>2005</t>
        </is>
      </c>
      <c r="P947" s="42" t="inlineStr">
        <is>
          <t>강남대로 321</t>
        </is>
      </c>
      <c r="Q947" s="41" t="inlineStr">
        <is>
          <t>-</t>
        </is>
      </c>
      <c r="R947" s="42" t="inlineStr">
        <is>
          <t>중개거래</t>
        </is>
      </c>
      <c r="S947" s="42" t="inlineStr">
        <is>
          <t>서울 서초구</t>
        </is>
      </c>
      <c r="T947" s="41" t="inlineStr">
        <is>
          <t>25.05.15</t>
        </is>
      </c>
      <c r="U947" s="42" t="inlineStr">
        <is>
          <t>아파트</t>
        </is>
      </c>
    </row>
    <row r="948" hidden="1" ht="15" customHeight="1">
      <c r="A948" s="41" t="n">
        <v>415</v>
      </c>
      <c r="B948" s="42" t="inlineStr">
        <is>
          <t>서울특별시 서초구 서초동</t>
        </is>
      </c>
      <c r="C948" s="41" t="inlineStr">
        <is>
          <t>1682</t>
        </is>
      </c>
      <c r="D948" s="41" t="inlineStr">
        <is>
          <t>1682</t>
        </is>
      </c>
      <c r="E948" s="41" t="inlineStr">
        <is>
          <t>0000</t>
        </is>
      </c>
      <c r="F948" s="42" t="inlineStr">
        <is>
          <t>서초래미안</t>
        </is>
      </c>
      <c r="G948" s="41" t="inlineStr">
        <is>
          <t>84.9700</t>
        </is>
      </c>
      <c r="H948" s="41" t="inlineStr">
        <is>
          <t>202412</t>
        </is>
      </c>
      <c r="I948" s="41" t="inlineStr">
        <is>
          <t>18</t>
        </is>
      </c>
      <c r="J948" s="41" t="inlineStr">
        <is>
          <t>236,000</t>
        </is>
      </c>
      <c r="K948" s="41" t="inlineStr">
        <is>
          <t>103</t>
        </is>
      </c>
      <c r="L948" s="41" t="inlineStr">
        <is>
          <t>19</t>
        </is>
      </c>
      <c r="M948" s="42" t="inlineStr">
        <is>
          <t>개인</t>
        </is>
      </c>
      <c r="N948" s="42" t="inlineStr">
        <is>
          <t>개인</t>
        </is>
      </c>
      <c r="O948" s="41" t="inlineStr">
        <is>
          <t>2003</t>
        </is>
      </c>
      <c r="P948" s="42" t="inlineStr">
        <is>
          <t>서초대로65길 13-10</t>
        </is>
      </c>
      <c r="Q948" s="41" t="inlineStr">
        <is>
          <t>-</t>
        </is>
      </c>
      <c r="R948" s="42" t="inlineStr">
        <is>
          <t>중개거래</t>
        </is>
      </c>
      <c r="S948" s="42" t="inlineStr">
        <is>
          <t>서울 동작구, 서울 서초구</t>
        </is>
      </c>
      <c r="T948" s="41" t="inlineStr">
        <is>
          <t>25.02.17</t>
        </is>
      </c>
      <c r="U948" s="42" t="inlineStr">
        <is>
          <t>아파트</t>
        </is>
      </c>
    </row>
    <row r="949" hidden="1" ht="15" customHeight="1">
      <c r="A949" s="41" t="n">
        <v>416</v>
      </c>
      <c r="B949" s="42" t="inlineStr">
        <is>
          <t>서울특별시 서초구 서초동</t>
        </is>
      </c>
      <c r="C949" s="41" t="inlineStr">
        <is>
          <t>1615-10</t>
        </is>
      </c>
      <c r="D949" s="41" t="inlineStr">
        <is>
          <t>1615</t>
        </is>
      </c>
      <c r="E949" s="41" t="inlineStr">
        <is>
          <t>0010</t>
        </is>
      </c>
      <c r="F949" s="42" t="inlineStr">
        <is>
          <t>극동스타클래스2</t>
        </is>
      </c>
      <c r="G949" s="41" t="inlineStr">
        <is>
          <t>59.9700</t>
        </is>
      </c>
      <c r="H949" s="41" t="inlineStr">
        <is>
          <t>202412</t>
        </is>
      </c>
      <c r="I949" s="41" t="inlineStr">
        <is>
          <t>17</t>
        </is>
      </c>
      <c r="J949" s="41" t="inlineStr">
        <is>
          <t>129,000</t>
        </is>
      </c>
      <c r="K949" s="41" t="inlineStr">
        <is>
          <t>201</t>
        </is>
      </c>
      <c r="L949" s="41" t="inlineStr">
        <is>
          <t>7</t>
        </is>
      </c>
      <c r="M949" s="42" t="inlineStr">
        <is>
          <t>개인</t>
        </is>
      </c>
      <c r="N949" s="42" t="inlineStr">
        <is>
          <t>개인</t>
        </is>
      </c>
      <c r="O949" s="41" t="inlineStr">
        <is>
          <t>2006</t>
        </is>
      </c>
      <c r="P949" s="42" t="inlineStr">
        <is>
          <t>효령로67길 35</t>
        </is>
      </c>
      <c r="Q949" s="41" t="inlineStr">
        <is>
          <t>-</t>
        </is>
      </c>
      <c r="R949" s="42" t="inlineStr">
        <is>
          <t>중개거래</t>
        </is>
      </c>
      <c r="S949" s="42" t="inlineStr">
        <is>
          <t>서울 서초구</t>
        </is>
      </c>
      <c r="T949" s="41" t="inlineStr">
        <is>
          <t>25.02.03</t>
        </is>
      </c>
      <c r="U949" s="42" t="inlineStr">
        <is>
          <t>아파트</t>
        </is>
      </c>
    </row>
    <row r="950" hidden="1" ht="15" customHeight="1">
      <c r="A950" s="41" t="n">
        <v>417</v>
      </c>
      <c r="B950" s="42" t="inlineStr">
        <is>
          <t>서울특별시 서초구 서초동</t>
        </is>
      </c>
      <c r="C950" s="41" t="inlineStr">
        <is>
          <t>1301-6</t>
        </is>
      </c>
      <c r="D950" s="41" t="inlineStr">
        <is>
          <t>1301</t>
        </is>
      </c>
      <c r="E950" s="41" t="inlineStr">
        <is>
          <t>0006</t>
        </is>
      </c>
      <c r="F950" s="42" t="inlineStr">
        <is>
          <t>래미안서초스위트</t>
        </is>
      </c>
      <c r="G950" s="41" t="inlineStr">
        <is>
          <t>84.9571</t>
        </is>
      </c>
      <c r="H950" s="41" t="inlineStr">
        <is>
          <t>202412</t>
        </is>
      </c>
      <c r="I950" s="41" t="inlineStr">
        <is>
          <t>14</t>
        </is>
      </c>
      <c r="J950" s="41" t="inlineStr">
        <is>
          <t>269,000</t>
        </is>
      </c>
      <c r="K950" s="41" t="inlineStr">
        <is>
          <t>101</t>
        </is>
      </c>
      <c r="L950" s="41" t="inlineStr">
        <is>
          <t>11</t>
        </is>
      </c>
      <c r="M950" s="42" t="inlineStr">
        <is>
          <t>개인</t>
        </is>
      </c>
      <c r="N950" s="42" t="inlineStr">
        <is>
          <t>개인</t>
        </is>
      </c>
      <c r="O950" s="41" t="inlineStr">
        <is>
          <t>2009</t>
        </is>
      </c>
      <c r="P950" s="42" t="inlineStr">
        <is>
          <t>서운로 221</t>
        </is>
      </c>
      <c r="Q950" s="41" t="inlineStr">
        <is>
          <t>-</t>
        </is>
      </c>
      <c r="R950" s="42" t="inlineStr">
        <is>
          <t>중개거래</t>
        </is>
      </c>
      <c r="S950" s="42" t="inlineStr">
        <is>
          <t>서울 서초구</t>
        </is>
      </c>
      <c r="T950" s="41" t="inlineStr">
        <is>
          <t>25.03.17</t>
        </is>
      </c>
      <c r="U950" s="42" t="inlineStr">
        <is>
          <t>아파트</t>
        </is>
      </c>
    </row>
    <row r="951" hidden="1" ht="15" customHeight="1">
      <c r="A951" s="41" t="n">
        <v>418</v>
      </c>
      <c r="B951" s="42" t="inlineStr">
        <is>
          <t>서울특별시 서초구 서초동</t>
        </is>
      </c>
      <c r="C951" s="41" t="inlineStr">
        <is>
          <t>1303-35</t>
        </is>
      </c>
      <c r="D951" s="41" t="inlineStr">
        <is>
          <t>1303</t>
        </is>
      </c>
      <c r="E951" s="41" t="inlineStr">
        <is>
          <t>0035</t>
        </is>
      </c>
      <c r="F951" s="42" t="inlineStr">
        <is>
          <t>강남태영데시앙루브</t>
        </is>
      </c>
      <c r="G951" s="41" t="inlineStr">
        <is>
          <t>84.4700</t>
        </is>
      </c>
      <c r="H951" s="41" t="inlineStr">
        <is>
          <t>202412</t>
        </is>
      </c>
      <c r="I951" s="41" t="inlineStr">
        <is>
          <t>14</t>
        </is>
      </c>
      <c r="J951" s="41" t="inlineStr">
        <is>
          <t>140,000</t>
        </is>
      </c>
      <c r="K951" s="41" t="inlineStr">
        <is>
          <t>B동</t>
        </is>
      </c>
      <c r="L951" s="41" t="inlineStr">
        <is>
          <t>12</t>
        </is>
      </c>
      <c r="M951" s="42" t="inlineStr">
        <is>
          <t>개인</t>
        </is>
      </c>
      <c r="N951" s="42" t="inlineStr">
        <is>
          <t>개인</t>
        </is>
      </c>
      <c r="O951" s="41" t="inlineStr">
        <is>
          <t>2005</t>
        </is>
      </c>
      <c r="P951" s="42" t="inlineStr">
        <is>
          <t>강남대로 455</t>
        </is>
      </c>
      <c r="Q951" s="41" t="inlineStr">
        <is>
          <t>-</t>
        </is>
      </c>
      <c r="R951" s="42" t="inlineStr">
        <is>
          <t>중개거래</t>
        </is>
      </c>
      <c r="S951" s="42" t="inlineStr">
        <is>
          <t>서울 서초구</t>
        </is>
      </c>
      <c r="T951" s="41" t="inlineStr">
        <is>
          <t>25.03.07</t>
        </is>
      </c>
      <c r="U951" s="42" t="inlineStr">
        <is>
          <t>아파트</t>
        </is>
      </c>
    </row>
    <row r="952" hidden="1" ht="15" customHeight="1">
      <c r="A952" s="41" t="n">
        <v>419</v>
      </c>
      <c r="B952" s="42" t="inlineStr">
        <is>
          <t>서울특별시 서초구 서초동</t>
        </is>
      </c>
      <c r="C952" s="41" t="inlineStr">
        <is>
          <t>1445-14</t>
        </is>
      </c>
      <c r="D952" s="41" t="inlineStr">
        <is>
          <t>1445</t>
        </is>
      </c>
      <c r="E952" s="41" t="inlineStr">
        <is>
          <t>0014</t>
        </is>
      </c>
      <c r="F952" s="42" t="inlineStr">
        <is>
          <t>더샵서초</t>
        </is>
      </c>
      <c r="G952" s="41" t="inlineStr">
        <is>
          <t>30.3900</t>
        </is>
      </c>
      <c r="H952" s="41" t="inlineStr">
        <is>
          <t>202412</t>
        </is>
      </c>
      <c r="I952" s="41" t="inlineStr">
        <is>
          <t>14</t>
        </is>
      </c>
      <c r="J952" s="41" t="inlineStr">
        <is>
          <t>58,000</t>
        </is>
      </c>
      <c r="K952" s="41" t="inlineStr">
        <is>
          <t>103</t>
        </is>
      </c>
      <c r="L952" s="41" t="inlineStr">
        <is>
          <t>27</t>
        </is>
      </c>
      <c r="M952" s="42" t="inlineStr">
        <is>
          <t>개인</t>
        </is>
      </c>
      <c r="N952" s="42" t="inlineStr">
        <is>
          <t>개인</t>
        </is>
      </c>
      <c r="O952" s="41" t="inlineStr">
        <is>
          <t>2006</t>
        </is>
      </c>
      <c r="P952" s="42" t="inlineStr">
        <is>
          <t>서초중앙로2길 21</t>
        </is>
      </c>
      <c r="Q952" s="41" t="inlineStr">
        <is>
          <t>-</t>
        </is>
      </c>
      <c r="R952" s="42" t="inlineStr">
        <is>
          <t>중개거래</t>
        </is>
      </c>
      <c r="S952" s="42" t="inlineStr">
        <is>
          <t>서울 구로구, 서울 서초구</t>
        </is>
      </c>
      <c r="T952" s="41" t="inlineStr">
        <is>
          <t>25.02.27</t>
        </is>
      </c>
      <c r="U952" s="42" t="inlineStr">
        <is>
          <t>아파트</t>
        </is>
      </c>
    </row>
    <row r="953" hidden="1" ht="15" customHeight="1">
      <c r="A953" s="41" t="n">
        <v>420</v>
      </c>
      <c r="B953" s="42" t="inlineStr">
        <is>
          <t>서울특별시 서초구 서초동</t>
        </is>
      </c>
      <c r="C953" s="41" t="inlineStr">
        <is>
          <t>1685</t>
        </is>
      </c>
      <c r="D953" s="41" t="inlineStr">
        <is>
          <t>1685</t>
        </is>
      </c>
      <c r="E953" s="41" t="inlineStr">
        <is>
          <t>0000</t>
        </is>
      </c>
      <c r="F953" s="42" t="inlineStr">
        <is>
          <t>삼풍아파트</t>
        </is>
      </c>
      <c r="G953" s="41" t="inlineStr">
        <is>
          <t>79.4700</t>
        </is>
      </c>
      <c r="H953" s="41" t="inlineStr">
        <is>
          <t>202412</t>
        </is>
      </c>
      <c r="I953" s="41" t="inlineStr">
        <is>
          <t>13</t>
        </is>
      </c>
      <c r="J953" s="41" t="inlineStr">
        <is>
          <t>229,000</t>
        </is>
      </c>
      <c r="K953" s="41" t="inlineStr">
        <is>
          <t>8</t>
        </is>
      </c>
      <c r="L953" s="41" t="inlineStr">
        <is>
          <t>15</t>
        </is>
      </c>
      <c r="M953" s="42" t="inlineStr">
        <is>
          <t>개인</t>
        </is>
      </c>
      <c r="N953" s="42" t="inlineStr">
        <is>
          <t>개인</t>
        </is>
      </c>
      <c r="O953" s="41" t="inlineStr">
        <is>
          <t>1988</t>
        </is>
      </c>
      <c r="P953" s="42" t="inlineStr">
        <is>
          <t>서초중앙로 200</t>
        </is>
      </c>
      <c r="Q953" s="41" t="inlineStr">
        <is>
          <t>-</t>
        </is>
      </c>
      <c r="R953" s="42" t="inlineStr">
        <is>
          <t>중개거래</t>
        </is>
      </c>
      <c r="S953" s="42" t="inlineStr">
        <is>
          <t>서울 서초구</t>
        </is>
      </c>
      <c r="T953" s="41" t="inlineStr">
        <is>
          <t>24.12.16</t>
        </is>
      </c>
      <c r="U953" s="42" t="inlineStr">
        <is>
          <t>아파트</t>
        </is>
      </c>
    </row>
    <row r="954" hidden="1" ht="15" customHeight="1">
      <c r="A954" s="41" t="n">
        <v>421</v>
      </c>
      <c r="B954" s="42" t="inlineStr">
        <is>
          <t>서울특별시 서초구 서초동</t>
        </is>
      </c>
      <c r="C954" s="41" t="inlineStr">
        <is>
          <t>1687</t>
        </is>
      </c>
      <c r="D954" s="41" t="inlineStr">
        <is>
          <t>1687</t>
        </is>
      </c>
      <c r="E954" s="41" t="inlineStr">
        <is>
          <t>0000</t>
        </is>
      </c>
      <c r="F954" s="42" t="inlineStr">
        <is>
          <t>유원서초</t>
        </is>
      </c>
      <c r="G954" s="41" t="inlineStr">
        <is>
          <t>84.8700</t>
        </is>
      </c>
      <c r="H954" s="41" t="inlineStr">
        <is>
          <t>202412</t>
        </is>
      </c>
      <c r="I954" s="41" t="inlineStr">
        <is>
          <t>13</t>
        </is>
      </c>
      <c r="J954" s="41" t="inlineStr">
        <is>
          <t>202,000</t>
        </is>
      </c>
      <c r="K954" s="41" t="inlineStr">
        <is>
          <t>103</t>
        </is>
      </c>
      <c r="L954" s="41" t="inlineStr">
        <is>
          <t>3</t>
        </is>
      </c>
      <c r="M954" s="42" t="inlineStr">
        <is>
          <t>개인</t>
        </is>
      </c>
      <c r="N954" s="42" t="inlineStr">
        <is>
          <t>개인</t>
        </is>
      </c>
      <c r="O954" s="41" t="inlineStr">
        <is>
          <t>1993</t>
        </is>
      </c>
      <c r="P954" s="42" t="inlineStr">
        <is>
          <t>서초중앙로24길 43</t>
        </is>
      </c>
      <c r="Q954" s="41" t="inlineStr">
        <is>
          <t>-</t>
        </is>
      </c>
      <c r="R954" s="42" t="inlineStr">
        <is>
          <t>중개거래</t>
        </is>
      </c>
      <c r="S954" s="42" t="inlineStr">
        <is>
          <t>서울 서초구</t>
        </is>
      </c>
      <c r="T954" s="41" t="inlineStr">
        <is>
          <t>25.03.06</t>
        </is>
      </c>
      <c r="U954" s="42" t="inlineStr">
        <is>
          <t>아파트</t>
        </is>
      </c>
    </row>
    <row r="955" hidden="1" ht="15" customHeight="1">
      <c r="A955" s="41" t="n">
        <v>422</v>
      </c>
      <c r="B955" s="42" t="inlineStr">
        <is>
          <t>서울특별시 서초구 서초동</t>
        </is>
      </c>
      <c r="C955" s="41" t="inlineStr">
        <is>
          <t>1444-7</t>
        </is>
      </c>
      <c r="D955" s="41" t="inlineStr">
        <is>
          <t>1444</t>
        </is>
      </c>
      <c r="E955" s="41" t="inlineStr">
        <is>
          <t>0007</t>
        </is>
      </c>
      <c r="F955" s="42" t="inlineStr">
        <is>
          <t>서초자이</t>
        </is>
      </c>
      <c r="G955" s="41" t="inlineStr">
        <is>
          <t>133.4700</t>
        </is>
      </c>
      <c r="H955" s="41" t="inlineStr">
        <is>
          <t>202412</t>
        </is>
      </c>
      <c r="I955" s="41" t="inlineStr">
        <is>
          <t>13</t>
        </is>
      </c>
      <c r="J955" s="41" t="inlineStr">
        <is>
          <t>250,000</t>
        </is>
      </c>
      <c r="K955" s="41" t="inlineStr">
        <is>
          <t>101</t>
        </is>
      </c>
      <c r="L955" s="41" t="inlineStr">
        <is>
          <t>17</t>
        </is>
      </c>
      <c r="M955" s="42" t="inlineStr">
        <is>
          <t>개인</t>
        </is>
      </c>
      <c r="N955" s="42" t="inlineStr">
        <is>
          <t>개인</t>
        </is>
      </c>
      <c r="O955" s="41" t="inlineStr">
        <is>
          <t>2006</t>
        </is>
      </c>
      <c r="P955" s="42" t="inlineStr">
        <is>
          <t>효령로68길 81</t>
        </is>
      </c>
      <c r="Q955" s="41" t="inlineStr">
        <is>
          <t>-</t>
        </is>
      </c>
      <c r="R955" s="42" t="inlineStr">
        <is>
          <t>중개거래</t>
        </is>
      </c>
      <c r="S955" s="42" t="inlineStr">
        <is>
          <t>서울 서초구</t>
        </is>
      </c>
      <c r="T955" s="41" t="inlineStr">
        <is>
          <t>25.03.12</t>
        </is>
      </c>
      <c r="U955" s="42" t="inlineStr">
        <is>
          <t>아파트</t>
        </is>
      </c>
    </row>
    <row r="956" hidden="1" ht="15" customHeight="1">
      <c r="A956" s="41" t="n">
        <v>423</v>
      </c>
      <c r="B956" s="42" t="inlineStr">
        <is>
          <t>서울특별시 서초구 서초동</t>
        </is>
      </c>
      <c r="C956" s="41" t="inlineStr">
        <is>
          <t>1337-22</t>
        </is>
      </c>
      <c r="D956" s="41" t="inlineStr">
        <is>
          <t>1337</t>
        </is>
      </c>
      <c r="E956" s="41" t="inlineStr">
        <is>
          <t>0022</t>
        </is>
      </c>
      <c r="F956" s="42" t="inlineStr">
        <is>
          <t>서초동대우디오빌프라임</t>
        </is>
      </c>
      <c r="G956" s="41" t="inlineStr">
        <is>
          <t>81.9700</t>
        </is>
      </c>
      <c r="H956" s="41" t="inlineStr">
        <is>
          <t>202412</t>
        </is>
      </c>
      <c r="I956" s="41" t="inlineStr">
        <is>
          <t>11</t>
        </is>
      </c>
      <c r="J956" s="41" t="inlineStr">
        <is>
          <t>100,000</t>
        </is>
      </c>
      <c r="K956" s="42" t="inlineStr">
        <is>
          <t>서초동대우디오빌프라임</t>
        </is>
      </c>
      <c r="L956" s="41" t="inlineStr">
        <is>
          <t>11</t>
        </is>
      </c>
      <c r="M956" s="42" t="inlineStr">
        <is>
          <t>개인</t>
        </is>
      </c>
      <c r="N956" s="42" t="inlineStr">
        <is>
          <t>개인</t>
        </is>
      </c>
      <c r="O956" s="41" t="inlineStr">
        <is>
          <t>2005</t>
        </is>
      </c>
      <c r="P956" s="42" t="inlineStr">
        <is>
          <t>강남대로 321</t>
        </is>
      </c>
      <c r="Q956" s="41" t="inlineStr">
        <is>
          <t>-</t>
        </is>
      </c>
      <c r="R956" s="42" t="inlineStr">
        <is>
          <t>직거래</t>
        </is>
      </c>
      <c r="S956" s="41" t="inlineStr">
        <is>
          <t>-</t>
        </is>
      </c>
      <c r="T956" s="41" t="inlineStr">
        <is>
          <t>24.12.12</t>
        </is>
      </c>
      <c r="U956" s="42" t="inlineStr">
        <is>
          <t>아파트</t>
        </is>
      </c>
    </row>
    <row r="957" hidden="1" ht="15" customHeight="1">
      <c r="A957" s="41" t="n">
        <v>424</v>
      </c>
      <c r="B957" s="42" t="inlineStr">
        <is>
          <t>서울특별시 서초구 서초동</t>
        </is>
      </c>
      <c r="C957" s="41" t="inlineStr">
        <is>
          <t>1671-5</t>
        </is>
      </c>
      <c r="D957" s="41" t="inlineStr">
        <is>
          <t>1671</t>
        </is>
      </c>
      <c r="E957" s="41" t="inlineStr">
        <is>
          <t>0005</t>
        </is>
      </c>
      <c r="F957" s="42" t="inlineStr">
        <is>
          <t>대림서초리시온</t>
        </is>
      </c>
      <c r="G957" s="41" t="inlineStr">
        <is>
          <t>40.2600</t>
        </is>
      </c>
      <c r="H957" s="41" t="inlineStr">
        <is>
          <t>202412</t>
        </is>
      </c>
      <c r="I957" s="41" t="inlineStr">
        <is>
          <t>10</t>
        </is>
      </c>
      <c r="J957" s="41" t="inlineStr">
        <is>
          <t>39,500</t>
        </is>
      </c>
      <c r="K957" s="41" t="inlineStr">
        <is>
          <t>-</t>
        </is>
      </c>
      <c r="L957" s="41" t="inlineStr">
        <is>
          <t>10</t>
        </is>
      </c>
      <c r="M957" s="42" t="inlineStr">
        <is>
          <t>개인</t>
        </is>
      </c>
      <c r="N957" s="42" t="inlineStr">
        <is>
          <t>개인</t>
        </is>
      </c>
      <c r="O957" s="41" t="inlineStr">
        <is>
          <t>2003</t>
        </is>
      </c>
      <c r="P957" s="42" t="inlineStr">
        <is>
          <t>서초중앙로22길 25</t>
        </is>
      </c>
      <c r="Q957" s="41" t="inlineStr">
        <is>
          <t>-</t>
        </is>
      </c>
      <c r="R957" s="42" t="inlineStr">
        <is>
          <t>중개거래</t>
        </is>
      </c>
      <c r="S957" s="42" t="inlineStr">
        <is>
          <t>서울 서초구</t>
        </is>
      </c>
      <c r="T957" s="41" t="inlineStr">
        <is>
          <t>-</t>
        </is>
      </c>
      <c r="U957" s="42" t="inlineStr">
        <is>
          <t>아파트</t>
        </is>
      </c>
    </row>
    <row r="958" hidden="1" ht="15" customHeight="1">
      <c r="A958" s="41" t="n">
        <v>425</v>
      </c>
      <c r="B958" s="42" t="inlineStr">
        <is>
          <t>서울특별시 서초구 서초동</t>
        </is>
      </c>
      <c r="C958" s="41" t="inlineStr">
        <is>
          <t>1303-35</t>
        </is>
      </c>
      <c r="D958" s="41" t="inlineStr">
        <is>
          <t>1303</t>
        </is>
      </c>
      <c r="E958" s="41" t="inlineStr">
        <is>
          <t>0035</t>
        </is>
      </c>
      <c r="F958" s="42" t="inlineStr">
        <is>
          <t>강남태영데시앙루브</t>
        </is>
      </c>
      <c r="G958" s="41" t="inlineStr">
        <is>
          <t>84.4300</t>
        </is>
      </c>
      <c r="H958" s="41" t="inlineStr">
        <is>
          <t>202412</t>
        </is>
      </c>
      <c r="I958" s="41" t="inlineStr">
        <is>
          <t>10</t>
        </is>
      </c>
      <c r="J958" s="41" t="inlineStr">
        <is>
          <t>130,000</t>
        </is>
      </c>
      <c r="K958" s="41" t="inlineStr">
        <is>
          <t>B동</t>
        </is>
      </c>
      <c r="L958" s="41" t="inlineStr">
        <is>
          <t>14</t>
        </is>
      </c>
      <c r="M958" s="42" t="inlineStr">
        <is>
          <t>개인</t>
        </is>
      </c>
      <c r="N958" s="42" t="inlineStr">
        <is>
          <t>개인</t>
        </is>
      </c>
      <c r="O958" s="41" t="inlineStr">
        <is>
          <t>2005</t>
        </is>
      </c>
      <c r="P958" s="42" t="inlineStr">
        <is>
          <t>강남대로 455</t>
        </is>
      </c>
      <c r="Q958" s="41" t="inlineStr">
        <is>
          <t>-</t>
        </is>
      </c>
      <c r="R958" s="42" t="inlineStr">
        <is>
          <t>중개거래</t>
        </is>
      </c>
      <c r="S958" s="42" t="inlineStr">
        <is>
          <t>서울 강남구</t>
        </is>
      </c>
      <c r="T958" s="41" t="inlineStr">
        <is>
          <t>25.02.27</t>
        </is>
      </c>
      <c r="U958" s="42" t="inlineStr">
        <is>
          <t>아파트</t>
        </is>
      </c>
    </row>
    <row r="959" hidden="1" ht="15" customHeight="1">
      <c r="A959" s="41" t="n">
        <v>426</v>
      </c>
      <c r="B959" s="42" t="inlineStr">
        <is>
          <t>서울특별시 서초구 서초동</t>
        </is>
      </c>
      <c r="C959" s="41" t="inlineStr">
        <is>
          <t>1303-35</t>
        </is>
      </c>
      <c r="D959" s="41" t="inlineStr">
        <is>
          <t>1303</t>
        </is>
      </c>
      <c r="E959" s="41" t="inlineStr">
        <is>
          <t>0035</t>
        </is>
      </c>
      <c r="F959" s="42" t="inlineStr">
        <is>
          <t>강남태영데시앙루브</t>
        </is>
      </c>
      <c r="G959" s="41" t="inlineStr">
        <is>
          <t>84.4300</t>
        </is>
      </c>
      <c r="H959" s="41" t="inlineStr">
        <is>
          <t>202412</t>
        </is>
      </c>
      <c r="I959" s="41" t="inlineStr">
        <is>
          <t>10</t>
        </is>
      </c>
      <c r="J959" s="41" t="inlineStr">
        <is>
          <t>130,000</t>
        </is>
      </c>
      <c r="K959" s="41" t="inlineStr">
        <is>
          <t>-</t>
        </is>
      </c>
      <c r="L959" s="41" t="inlineStr">
        <is>
          <t>14</t>
        </is>
      </c>
      <c r="M959" s="42" t="inlineStr">
        <is>
          <t>개인</t>
        </is>
      </c>
      <c r="N959" s="42" t="inlineStr">
        <is>
          <t>개인</t>
        </is>
      </c>
      <c r="O959" s="41" t="inlineStr">
        <is>
          <t>2005</t>
        </is>
      </c>
      <c r="P959" s="42" t="inlineStr">
        <is>
          <t>강남대로 455</t>
        </is>
      </c>
      <c r="Q959" s="41" t="inlineStr">
        <is>
          <t>20250227</t>
        </is>
      </c>
      <c r="R959" s="42" t="inlineStr">
        <is>
          <t>중개거래</t>
        </is>
      </c>
      <c r="S959" s="42" t="inlineStr">
        <is>
          <t>서울 강남구</t>
        </is>
      </c>
      <c r="T959" s="41" t="inlineStr">
        <is>
          <t>-</t>
        </is>
      </c>
      <c r="U959" s="42" t="inlineStr">
        <is>
          <t>아파트</t>
        </is>
      </c>
    </row>
    <row r="960" hidden="1" ht="15" customHeight="1">
      <c r="A960" s="41" t="n">
        <v>427</v>
      </c>
      <c r="B960" s="42" t="inlineStr">
        <is>
          <t>서울특별시 서초구 서초동</t>
        </is>
      </c>
      <c r="C960" s="41" t="inlineStr">
        <is>
          <t>1685-3</t>
        </is>
      </c>
      <c r="D960" s="41" t="inlineStr">
        <is>
          <t>1685</t>
        </is>
      </c>
      <c r="E960" s="41" t="inlineStr">
        <is>
          <t>0003</t>
        </is>
      </c>
      <c r="F960" s="42" t="inlineStr">
        <is>
          <t>아크로비스타</t>
        </is>
      </c>
      <c r="G960" s="41" t="inlineStr">
        <is>
          <t>174.7800</t>
        </is>
      </c>
      <c r="H960" s="41" t="inlineStr">
        <is>
          <t>202412</t>
        </is>
      </c>
      <c r="I960" s="41" t="inlineStr">
        <is>
          <t>09</t>
        </is>
      </c>
      <c r="J960" s="41" t="inlineStr">
        <is>
          <t>380,000</t>
        </is>
      </c>
      <c r="K960" s="41" t="inlineStr">
        <is>
          <t>C</t>
        </is>
      </c>
      <c r="L960" s="41" t="inlineStr">
        <is>
          <t>24</t>
        </is>
      </c>
      <c r="M960" s="42" t="inlineStr">
        <is>
          <t>개인</t>
        </is>
      </c>
      <c r="N960" s="42" t="inlineStr">
        <is>
          <t>개인</t>
        </is>
      </c>
      <c r="O960" s="41" t="inlineStr">
        <is>
          <t>2004</t>
        </is>
      </c>
      <c r="P960" s="42" t="inlineStr">
        <is>
          <t>서초중앙로 188</t>
        </is>
      </c>
      <c r="Q960" s="41" t="inlineStr">
        <is>
          <t>-</t>
        </is>
      </c>
      <c r="R960" s="42" t="inlineStr">
        <is>
          <t>중개거래</t>
        </is>
      </c>
      <c r="S960" s="42" t="inlineStr">
        <is>
          <t>서울 서초구</t>
        </is>
      </c>
      <c r="T960" s="41" t="inlineStr">
        <is>
          <t>25.02.10</t>
        </is>
      </c>
      <c r="U960" s="42" t="inlineStr">
        <is>
          <t>아파트</t>
        </is>
      </c>
    </row>
    <row r="961" hidden="1" ht="15" customHeight="1">
      <c r="A961" s="41" t="n">
        <v>428</v>
      </c>
      <c r="B961" s="42" t="inlineStr">
        <is>
          <t>서울특별시 서초구 서초동</t>
        </is>
      </c>
      <c r="C961" s="41" t="inlineStr">
        <is>
          <t>1682</t>
        </is>
      </c>
      <c r="D961" s="41" t="inlineStr">
        <is>
          <t>1682</t>
        </is>
      </c>
      <c r="E961" s="41" t="inlineStr">
        <is>
          <t>0000</t>
        </is>
      </c>
      <c r="F961" s="42" t="inlineStr">
        <is>
          <t>서초래미안</t>
        </is>
      </c>
      <c r="G961" s="41" t="inlineStr">
        <is>
          <t>84.9500</t>
        </is>
      </c>
      <c r="H961" s="41" t="inlineStr">
        <is>
          <t>202412</t>
        </is>
      </c>
      <c r="I961" s="41" t="inlineStr">
        <is>
          <t>08</t>
        </is>
      </c>
      <c r="J961" s="41" t="inlineStr">
        <is>
          <t>238,000</t>
        </is>
      </c>
      <c r="K961" s="41" t="inlineStr">
        <is>
          <t>113</t>
        </is>
      </c>
      <c r="L961" s="41" t="inlineStr">
        <is>
          <t>7</t>
        </is>
      </c>
      <c r="M961" s="42" t="inlineStr">
        <is>
          <t>개인</t>
        </is>
      </c>
      <c r="N961" s="42" t="inlineStr">
        <is>
          <t>개인</t>
        </is>
      </c>
      <c r="O961" s="41" t="inlineStr">
        <is>
          <t>2003</t>
        </is>
      </c>
      <c r="P961" s="42" t="inlineStr">
        <is>
          <t>서초대로65길 13-10</t>
        </is>
      </c>
      <c r="Q961" s="41" t="inlineStr">
        <is>
          <t>-</t>
        </is>
      </c>
      <c r="R961" s="42" t="inlineStr">
        <is>
          <t>중개거래</t>
        </is>
      </c>
      <c r="S961" s="42" t="inlineStr">
        <is>
          <t>서울 서초구</t>
        </is>
      </c>
      <c r="T961" s="41" t="inlineStr">
        <is>
          <t>25.02.21</t>
        </is>
      </c>
      <c r="U961" s="42" t="inlineStr">
        <is>
          <t>아파트</t>
        </is>
      </c>
    </row>
    <row r="962" hidden="1" ht="15" customHeight="1">
      <c r="A962" s="41" t="n">
        <v>429</v>
      </c>
      <c r="B962" s="42" t="inlineStr">
        <is>
          <t>서울특별시 서초구 서초동</t>
        </is>
      </c>
      <c r="C962" s="41" t="inlineStr">
        <is>
          <t>1625-7</t>
        </is>
      </c>
      <c r="D962" s="41" t="inlineStr">
        <is>
          <t>1625</t>
        </is>
      </c>
      <c r="E962" s="41" t="inlineStr">
        <is>
          <t>0007</t>
        </is>
      </c>
      <c r="F962" s="42" t="inlineStr">
        <is>
          <t>티에스프리우스</t>
        </is>
      </c>
      <c r="G962" s="41" t="inlineStr">
        <is>
          <t>108.3400</t>
        </is>
      </c>
      <c r="H962" s="41" t="inlineStr">
        <is>
          <t>202412</t>
        </is>
      </c>
      <c r="I962" s="41" t="inlineStr">
        <is>
          <t>07</t>
        </is>
      </c>
      <c r="J962" s="41" t="inlineStr">
        <is>
          <t>130,000</t>
        </is>
      </c>
      <c r="K962" s="41" t="inlineStr">
        <is>
          <t>-</t>
        </is>
      </c>
      <c r="L962" s="41" t="inlineStr">
        <is>
          <t>1</t>
        </is>
      </c>
      <c r="M962" s="42" t="inlineStr">
        <is>
          <t>개인</t>
        </is>
      </c>
      <c r="N962" s="42" t="inlineStr">
        <is>
          <t>개인</t>
        </is>
      </c>
      <c r="O962" s="41" t="inlineStr">
        <is>
          <t>2004</t>
        </is>
      </c>
      <c r="P962" s="42" t="inlineStr">
        <is>
          <t>서초중앙로12길 19</t>
        </is>
      </c>
      <c r="Q962" s="41" t="inlineStr">
        <is>
          <t>-</t>
        </is>
      </c>
      <c r="R962" s="42" t="inlineStr">
        <is>
          <t>중개거래</t>
        </is>
      </c>
      <c r="S962" s="42" t="inlineStr">
        <is>
          <t>서울 서초구, 서울 종로구</t>
        </is>
      </c>
      <c r="T962" s="41" t="inlineStr">
        <is>
          <t>25.02.11</t>
        </is>
      </c>
      <c r="U962" s="42" t="inlineStr">
        <is>
          <t>아파트</t>
        </is>
      </c>
    </row>
    <row r="963" hidden="1" ht="15" customHeight="1">
      <c r="A963" s="41" t="n">
        <v>430</v>
      </c>
      <c r="B963" s="42" t="inlineStr">
        <is>
          <t>서울특별시 서초구 서초동</t>
        </is>
      </c>
      <c r="C963" s="41" t="inlineStr">
        <is>
          <t>1593-7</t>
        </is>
      </c>
      <c r="D963" s="41" t="inlineStr">
        <is>
          <t>1593</t>
        </is>
      </c>
      <c r="E963" s="41" t="inlineStr">
        <is>
          <t>0007</t>
        </is>
      </c>
      <c r="F963" s="42" t="inlineStr">
        <is>
          <t>서초이오빌</t>
        </is>
      </c>
      <c r="G963" s="41" t="inlineStr">
        <is>
          <t>43.2000</t>
        </is>
      </c>
      <c r="H963" s="41" t="inlineStr">
        <is>
          <t>202412</t>
        </is>
      </c>
      <c r="I963" s="41" t="inlineStr">
        <is>
          <t>07</t>
        </is>
      </c>
      <c r="J963" s="41" t="inlineStr">
        <is>
          <t>40,500</t>
        </is>
      </c>
      <c r="K963" s="41" t="inlineStr">
        <is>
          <t>-</t>
        </is>
      </c>
      <c r="L963" s="41" t="inlineStr">
        <is>
          <t>6</t>
        </is>
      </c>
      <c r="M963" s="42" t="inlineStr">
        <is>
          <t>개인</t>
        </is>
      </c>
      <c r="N963" s="42" t="inlineStr">
        <is>
          <t>개인</t>
        </is>
      </c>
      <c r="O963" s="41" t="inlineStr">
        <is>
          <t>2003</t>
        </is>
      </c>
      <c r="P963" s="42" t="inlineStr">
        <is>
          <t>효령로53길 45</t>
        </is>
      </c>
      <c r="Q963" s="41" t="inlineStr">
        <is>
          <t>-</t>
        </is>
      </c>
      <c r="R963" s="42" t="inlineStr">
        <is>
          <t>중개거래</t>
        </is>
      </c>
      <c r="S963" s="42" t="inlineStr">
        <is>
          <t>서울 서초구</t>
        </is>
      </c>
      <c r="T963" s="41" t="inlineStr">
        <is>
          <t>25.02.27</t>
        </is>
      </c>
      <c r="U963" s="42" t="inlineStr">
        <is>
          <t>아파트</t>
        </is>
      </c>
    </row>
    <row r="964" hidden="1" ht="15" customHeight="1">
      <c r="A964" s="41" t="n">
        <v>431</v>
      </c>
      <c r="B964" s="42" t="inlineStr">
        <is>
          <t>서울특별시 서초구 서초동</t>
        </is>
      </c>
      <c r="C964" s="41" t="inlineStr">
        <is>
          <t>1758</t>
        </is>
      </c>
      <c r="D964" s="41" t="inlineStr">
        <is>
          <t>1758</t>
        </is>
      </c>
      <c r="E964" s="41" t="inlineStr">
        <is>
          <t>0000</t>
        </is>
      </c>
      <c r="F964" s="42" t="inlineStr">
        <is>
          <t>서초자이르네</t>
        </is>
      </c>
      <c r="G964" s="41" t="inlineStr">
        <is>
          <t>50.6300</t>
        </is>
      </c>
      <c r="H964" s="41" t="inlineStr">
        <is>
          <t>202412</t>
        </is>
      </c>
      <c r="I964" s="41" t="inlineStr">
        <is>
          <t>07</t>
        </is>
      </c>
      <c r="J964" s="41" t="inlineStr">
        <is>
          <t>114,000</t>
        </is>
      </c>
      <c r="K964" s="41" t="inlineStr">
        <is>
          <t>102</t>
        </is>
      </c>
      <c r="L964" s="41" t="inlineStr">
        <is>
          <t>4</t>
        </is>
      </c>
      <c r="M964" s="42" t="inlineStr">
        <is>
          <t>개인</t>
        </is>
      </c>
      <c r="N964" s="42" t="inlineStr">
        <is>
          <t>개인</t>
        </is>
      </c>
      <c r="O964" s="41" t="inlineStr">
        <is>
          <t>2022</t>
        </is>
      </c>
      <c r="P964" s="42" t="inlineStr">
        <is>
          <t>남부순환로323길 33</t>
        </is>
      </c>
      <c r="Q964" s="41" t="inlineStr">
        <is>
          <t>-</t>
        </is>
      </c>
      <c r="R964" s="42" t="inlineStr">
        <is>
          <t>중개거래</t>
        </is>
      </c>
      <c r="S964" s="42" t="inlineStr">
        <is>
          <t>서울 강남구, 서울 서초구</t>
        </is>
      </c>
      <c r="T964" s="41" t="inlineStr">
        <is>
          <t>25.02.27</t>
        </is>
      </c>
      <c r="U964" s="42" t="inlineStr">
        <is>
          <t>아파트</t>
        </is>
      </c>
    </row>
    <row r="965" hidden="1" ht="15" customHeight="1">
      <c r="A965" s="41" t="n">
        <v>432</v>
      </c>
      <c r="B965" s="42" t="inlineStr">
        <is>
          <t>서울특별시 서초구 서초동</t>
        </is>
      </c>
      <c r="C965" s="41" t="inlineStr">
        <is>
          <t>1641-13</t>
        </is>
      </c>
      <c r="D965" s="41" t="inlineStr">
        <is>
          <t>1641</t>
        </is>
      </c>
      <c r="E965" s="41" t="inlineStr">
        <is>
          <t>0013</t>
        </is>
      </c>
      <c r="F965" s="42" t="inlineStr">
        <is>
          <t>아남</t>
        </is>
      </c>
      <c r="G965" s="41" t="inlineStr">
        <is>
          <t>84.9600</t>
        </is>
      </c>
      <c r="H965" s="41" t="inlineStr">
        <is>
          <t>202412</t>
        </is>
      </c>
      <c r="I965" s="41" t="inlineStr">
        <is>
          <t>06</t>
        </is>
      </c>
      <c r="J965" s="41" t="inlineStr">
        <is>
          <t>172,000</t>
        </is>
      </c>
      <c r="K965" s="41" t="inlineStr">
        <is>
          <t>2</t>
        </is>
      </c>
      <c r="L965" s="41" t="inlineStr">
        <is>
          <t>6</t>
        </is>
      </c>
      <c r="M965" s="42" t="inlineStr">
        <is>
          <t>개인</t>
        </is>
      </c>
      <c r="N965" s="42" t="inlineStr">
        <is>
          <t>개인</t>
        </is>
      </c>
      <c r="O965" s="41" t="inlineStr">
        <is>
          <t>1989</t>
        </is>
      </c>
      <c r="P965" s="42" t="inlineStr">
        <is>
          <t>사임당로23길 53</t>
        </is>
      </c>
      <c r="Q965" s="41" t="inlineStr">
        <is>
          <t>-</t>
        </is>
      </c>
      <c r="R965" s="42" t="inlineStr">
        <is>
          <t>중개거래</t>
        </is>
      </c>
      <c r="S965" s="42" t="inlineStr">
        <is>
          <t>서울 서초구</t>
        </is>
      </c>
      <c r="T965" s="41" t="inlineStr">
        <is>
          <t>25.02.28</t>
        </is>
      </c>
      <c r="U965" s="42" t="inlineStr">
        <is>
          <t>아파트</t>
        </is>
      </c>
    </row>
    <row r="966" hidden="1" ht="15" customHeight="1">
      <c r="A966" s="41" t="n">
        <v>433</v>
      </c>
      <c r="B966" s="42" t="inlineStr">
        <is>
          <t>서울특별시 서초구 서초동</t>
        </is>
      </c>
      <c r="C966" s="41" t="inlineStr">
        <is>
          <t>1757</t>
        </is>
      </c>
      <c r="D966" s="41" t="inlineStr">
        <is>
          <t>1757</t>
        </is>
      </c>
      <c r="E966" s="41" t="inlineStr">
        <is>
          <t>0000</t>
        </is>
      </c>
      <c r="F966" s="42" t="inlineStr">
        <is>
          <t>서초그랑자이</t>
        </is>
      </c>
      <c r="G966" s="41" t="inlineStr">
        <is>
          <t>59.9800</t>
        </is>
      </c>
      <c r="H966" s="41" t="inlineStr">
        <is>
          <t>202412</t>
        </is>
      </c>
      <c r="I966" s="41" t="inlineStr">
        <is>
          <t>05</t>
        </is>
      </c>
      <c r="J966" s="41" t="inlineStr">
        <is>
          <t>270,000</t>
        </is>
      </c>
      <c r="K966" s="41" t="inlineStr">
        <is>
          <t>105동</t>
        </is>
      </c>
      <c r="L966" s="41" t="inlineStr">
        <is>
          <t>8</t>
        </is>
      </c>
      <c r="M966" s="42" t="inlineStr">
        <is>
          <t>개인</t>
        </is>
      </c>
      <c r="N966" s="42" t="inlineStr">
        <is>
          <t>개인</t>
        </is>
      </c>
      <c r="O966" s="41" t="inlineStr">
        <is>
          <t>2021</t>
        </is>
      </c>
      <c r="P966" s="42" t="inlineStr">
        <is>
          <t>효령로 391</t>
        </is>
      </c>
      <c r="Q966" s="41" t="inlineStr">
        <is>
          <t>-</t>
        </is>
      </c>
      <c r="R966" s="42" t="inlineStr">
        <is>
          <t>중개거래</t>
        </is>
      </c>
      <c r="S966" s="42" t="inlineStr">
        <is>
          <t>서울 서초구</t>
        </is>
      </c>
      <c r="T966" s="41" t="inlineStr">
        <is>
          <t>25.02.17</t>
        </is>
      </c>
      <c r="U966" s="42" t="inlineStr">
        <is>
          <t>아파트</t>
        </is>
      </c>
    </row>
    <row r="967" hidden="1" ht="15" customHeight="1">
      <c r="A967" s="41" t="n">
        <v>434</v>
      </c>
      <c r="B967" s="42" t="inlineStr">
        <is>
          <t>서울특별시 서초구 서초동</t>
        </is>
      </c>
      <c r="C967" s="41" t="inlineStr">
        <is>
          <t>1757</t>
        </is>
      </c>
      <c r="D967" s="41" t="inlineStr">
        <is>
          <t>1757</t>
        </is>
      </c>
      <c r="E967" s="41" t="inlineStr">
        <is>
          <t>0000</t>
        </is>
      </c>
      <c r="F967" s="42" t="inlineStr">
        <is>
          <t>서초그랑자이</t>
        </is>
      </c>
      <c r="G967" s="41" t="inlineStr">
        <is>
          <t>84.5100</t>
        </is>
      </c>
      <c r="H967" s="41" t="inlineStr">
        <is>
          <t>202412</t>
        </is>
      </c>
      <c r="I967" s="41" t="inlineStr">
        <is>
          <t>04</t>
        </is>
      </c>
      <c r="J967" s="41" t="inlineStr">
        <is>
          <t>340,000</t>
        </is>
      </c>
      <c r="K967" s="41" t="inlineStr">
        <is>
          <t>101동</t>
        </is>
      </c>
      <c r="L967" s="41" t="inlineStr">
        <is>
          <t>18</t>
        </is>
      </c>
      <c r="M967" s="42" t="inlineStr">
        <is>
          <t>개인</t>
        </is>
      </c>
      <c r="N967" s="42" t="inlineStr">
        <is>
          <t>개인</t>
        </is>
      </c>
      <c r="O967" s="41" t="inlineStr">
        <is>
          <t>2021</t>
        </is>
      </c>
      <c r="P967" s="42" t="inlineStr">
        <is>
          <t>효령로 391</t>
        </is>
      </c>
      <c r="Q967" s="41" t="inlineStr">
        <is>
          <t>-</t>
        </is>
      </c>
      <c r="R967" s="42" t="inlineStr">
        <is>
          <t>중개거래</t>
        </is>
      </c>
      <c r="S967" s="42" t="inlineStr">
        <is>
          <t>서울 서초구</t>
        </is>
      </c>
      <c r="T967" s="41" t="inlineStr">
        <is>
          <t>25.04.21</t>
        </is>
      </c>
      <c r="U967" s="42" t="inlineStr">
        <is>
          <t>아파트</t>
        </is>
      </c>
    </row>
    <row r="968" hidden="1" ht="15" customHeight="1">
      <c r="A968" s="41" t="n">
        <v>435</v>
      </c>
      <c r="B968" s="42" t="inlineStr">
        <is>
          <t>서울특별시 서초구 서초동</t>
        </is>
      </c>
      <c r="C968" s="41" t="inlineStr">
        <is>
          <t>1755</t>
        </is>
      </c>
      <c r="D968" s="41" t="inlineStr">
        <is>
          <t>1755</t>
        </is>
      </c>
      <c r="E968" s="41" t="inlineStr">
        <is>
          <t>0000</t>
        </is>
      </c>
      <c r="F968" s="42" t="inlineStr">
        <is>
          <t>래미안 리더스원</t>
        </is>
      </c>
      <c r="G968" s="41" t="inlineStr">
        <is>
          <t>84.9400</t>
        </is>
      </c>
      <c r="H968" s="41" t="inlineStr">
        <is>
          <t>202412</t>
        </is>
      </c>
      <c r="I968" s="41" t="inlineStr">
        <is>
          <t>04</t>
        </is>
      </c>
      <c r="J968" s="41" t="inlineStr">
        <is>
          <t>325,000</t>
        </is>
      </c>
      <c r="K968" s="41" t="inlineStr">
        <is>
          <t>105동</t>
        </is>
      </c>
      <c r="L968" s="41" t="inlineStr">
        <is>
          <t>23</t>
        </is>
      </c>
      <c r="M968" s="42" t="inlineStr">
        <is>
          <t>개인</t>
        </is>
      </c>
      <c r="N968" s="42" t="inlineStr">
        <is>
          <t>개인</t>
        </is>
      </c>
      <c r="O968" s="41" t="inlineStr">
        <is>
          <t>2020</t>
        </is>
      </c>
      <c r="P968" s="42" t="inlineStr">
        <is>
          <t>서운로 62</t>
        </is>
      </c>
      <c r="Q968" s="41" t="inlineStr">
        <is>
          <t>-</t>
        </is>
      </c>
      <c r="R968" s="42" t="inlineStr">
        <is>
          <t>중개거래</t>
        </is>
      </c>
      <c r="S968" s="42" t="inlineStr">
        <is>
          <t>서울 서초구</t>
        </is>
      </c>
      <c r="T968" s="41" t="inlineStr">
        <is>
          <t>25.01.03</t>
        </is>
      </c>
      <c r="U968" s="42" t="inlineStr">
        <is>
          <t>아파트</t>
        </is>
      </c>
    </row>
    <row r="969" hidden="1" ht="15" customHeight="1">
      <c r="A969" s="41" t="n">
        <v>436</v>
      </c>
      <c r="B969" s="42" t="inlineStr">
        <is>
          <t>서울특별시 서초구 서초동</t>
        </is>
      </c>
      <c r="C969" s="41" t="inlineStr">
        <is>
          <t>1641-13</t>
        </is>
      </c>
      <c r="D969" s="41" t="inlineStr">
        <is>
          <t>1641</t>
        </is>
      </c>
      <c r="E969" s="41" t="inlineStr">
        <is>
          <t>0013</t>
        </is>
      </c>
      <c r="F969" s="42" t="inlineStr">
        <is>
          <t>아남</t>
        </is>
      </c>
      <c r="G969" s="41" t="inlineStr">
        <is>
          <t>71.1000</t>
        </is>
      </c>
      <c r="H969" s="41" t="inlineStr">
        <is>
          <t>202412</t>
        </is>
      </c>
      <c r="I969" s="41" t="inlineStr">
        <is>
          <t>03</t>
        </is>
      </c>
      <c r="J969" s="41" t="inlineStr">
        <is>
          <t>160,000</t>
        </is>
      </c>
      <c r="K969" s="41" t="inlineStr">
        <is>
          <t>1</t>
        </is>
      </c>
      <c r="L969" s="41" t="inlineStr">
        <is>
          <t>7</t>
        </is>
      </c>
      <c r="M969" s="42" t="inlineStr">
        <is>
          <t>개인</t>
        </is>
      </c>
      <c r="N969" s="42" t="inlineStr">
        <is>
          <t>개인</t>
        </is>
      </c>
      <c r="O969" s="41" t="inlineStr">
        <is>
          <t>1989</t>
        </is>
      </c>
      <c r="P969" s="42" t="inlineStr">
        <is>
          <t>사임당로23길 53</t>
        </is>
      </c>
      <c r="Q969" s="41" t="inlineStr">
        <is>
          <t>-</t>
        </is>
      </c>
      <c r="R969" s="42" t="inlineStr">
        <is>
          <t>중개거래</t>
        </is>
      </c>
      <c r="S969" s="42" t="inlineStr">
        <is>
          <t>서울 서초구</t>
        </is>
      </c>
      <c r="T969" s="41" t="inlineStr">
        <is>
          <t>25.02.26</t>
        </is>
      </c>
      <c r="U969" s="42" t="inlineStr">
        <is>
          <t>아파트</t>
        </is>
      </c>
    </row>
    <row r="970" hidden="1" ht="15" customHeight="1">
      <c r="A970" s="41" t="n">
        <v>437</v>
      </c>
      <c r="B970" s="42" t="inlineStr">
        <is>
          <t>서울특별시 서초구 서초동</t>
        </is>
      </c>
      <c r="C970" s="41" t="inlineStr">
        <is>
          <t>1682</t>
        </is>
      </c>
      <c r="D970" s="41" t="inlineStr">
        <is>
          <t>1682</t>
        </is>
      </c>
      <c r="E970" s="41" t="inlineStr">
        <is>
          <t>0000</t>
        </is>
      </c>
      <c r="F970" s="42" t="inlineStr">
        <is>
          <t>서초래미안</t>
        </is>
      </c>
      <c r="G970" s="41" t="inlineStr">
        <is>
          <t>111.3200</t>
        </is>
      </c>
      <c r="H970" s="41" t="inlineStr">
        <is>
          <t>202412</t>
        </is>
      </c>
      <c r="I970" s="41" t="inlineStr">
        <is>
          <t>03</t>
        </is>
      </c>
      <c r="J970" s="41" t="inlineStr">
        <is>
          <t>263,000</t>
        </is>
      </c>
      <c r="K970" s="41" t="inlineStr">
        <is>
          <t>102</t>
        </is>
      </c>
      <c r="L970" s="41" t="inlineStr">
        <is>
          <t>16</t>
        </is>
      </c>
      <c r="M970" s="42" t="inlineStr">
        <is>
          <t>개인</t>
        </is>
      </c>
      <c r="N970" s="42" t="inlineStr">
        <is>
          <t>개인</t>
        </is>
      </c>
      <c r="O970" s="41" t="inlineStr">
        <is>
          <t>2003</t>
        </is>
      </c>
      <c r="P970" s="42" t="inlineStr">
        <is>
          <t>서초대로65길 13-10</t>
        </is>
      </c>
      <c r="Q970" s="41" t="inlineStr">
        <is>
          <t>-</t>
        </is>
      </c>
      <c r="R970" s="42" t="inlineStr">
        <is>
          <t>중개거래</t>
        </is>
      </c>
      <c r="S970" s="42" t="inlineStr">
        <is>
          <t>서울 강남구, 서울 서초구</t>
        </is>
      </c>
      <c r="T970" s="41" t="inlineStr">
        <is>
          <t>25.02.04</t>
        </is>
      </c>
      <c r="U970" s="42" t="inlineStr">
        <is>
          <t>아파트</t>
        </is>
      </c>
    </row>
    <row r="971" hidden="1" ht="15" customHeight="1">
      <c r="A971" s="41" t="n">
        <v>438</v>
      </c>
      <c r="B971" s="42" t="inlineStr">
        <is>
          <t>서울특별시 서초구 서초동</t>
        </is>
      </c>
      <c r="C971" s="41" t="inlineStr">
        <is>
          <t>1682</t>
        </is>
      </c>
      <c r="D971" s="41" t="inlineStr">
        <is>
          <t>1682</t>
        </is>
      </c>
      <c r="E971" s="41" t="inlineStr">
        <is>
          <t>0000</t>
        </is>
      </c>
      <c r="F971" s="42" t="inlineStr">
        <is>
          <t>서초래미안</t>
        </is>
      </c>
      <c r="G971" s="41" t="inlineStr">
        <is>
          <t>111.3200</t>
        </is>
      </c>
      <c r="H971" s="41" t="inlineStr">
        <is>
          <t>202412</t>
        </is>
      </c>
      <c r="I971" s="41" t="inlineStr">
        <is>
          <t>03</t>
        </is>
      </c>
      <c r="J971" s="41" t="inlineStr">
        <is>
          <t>265,000</t>
        </is>
      </c>
      <c r="K971" s="41" t="inlineStr">
        <is>
          <t>103</t>
        </is>
      </c>
      <c r="L971" s="41" t="inlineStr">
        <is>
          <t>5</t>
        </is>
      </c>
      <c r="M971" s="42" t="inlineStr">
        <is>
          <t>개인</t>
        </is>
      </c>
      <c r="N971" s="42" t="inlineStr">
        <is>
          <t>개인</t>
        </is>
      </c>
      <c r="O971" s="41" t="inlineStr">
        <is>
          <t>2003</t>
        </is>
      </c>
      <c r="P971" s="42" t="inlineStr">
        <is>
          <t>서초대로65길 13-10</t>
        </is>
      </c>
      <c r="Q971" s="41" t="inlineStr">
        <is>
          <t>-</t>
        </is>
      </c>
      <c r="R971" s="42" t="inlineStr">
        <is>
          <t>중개거래</t>
        </is>
      </c>
      <c r="S971" s="42" t="inlineStr">
        <is>
          <t>서울 강남구, 서울 서초구</t>
        </is>
      </c>
      <c r="T971" s="41" t="inlineStr">
        <is>
          <t>25.03.31</t>
        </is>
      </c>
      <c r="U971" s="42" t="inlineStr">
        <is>
          <t>아파트</t>
        </is>
      </c>
    </row>
    <row r="972" hidden="1" ht="15" customHeight="1">
      <c r="A972" s="41" t="n">
        <v>439</v>
      </c>
      <c r="B972" s="42" t="inlineStr">
        <is>
          <t>서울특별시 서초구 서초동</t>
        </is>
      </c>
      <c r="C972" s="41" t="inlineStr">
        <is>
          <t>1687</t>
        </is>
      </c>
      <c r="D972" s="41" t="inlineStr">
        <is>
          <t>1687</t>
        </is>
      </c>
      <c r="E972" s="41" t="inlineStr">
        <is>
          <t>0000</t>
        </is>
      </c>
      <c r="F972" s="42" t="inlineStr">
        <is>
          <t>유원서초</t>
        </is>
      </c>
      <c r="G972" s="41" t="inlineStr">
        <is>
          <t>84.8700</t>
        </is>
      </c>
      <c r="H972" s="41" t="inlineStr">
        <is>
          <t>202412</t>
        </is>
      </c>
      <c r="I972" s="41" t="inlineStr">
        <is>
          <t>03</t>
        </is>
      </c>
      <c r="J972" s="41" t="inlineStr">
        <is>
          <t>201,500</t>
        </is>
      </c>
      <c r="K972" s="41" t="inlineStr">
        <is>
          <t>103</t>
        </is>
      </c>
      <c r="L972" s="41" t="inlineStr">
        <is>
          <t>4</t>
        </is>
      </c>
      <c r="M972" s="42" t="inlineStr">
        <is>
          <t>개인</t>
        </is>
      </c>
      <c r="N972" s="42" t="inlineStr">
        <is>
          <t>개인</t>
        </is>
      </c>
      <c r="O972" s="41" t="inlineStr">
        <is>
          <t>1993</t>
        </is>
      </c>
      <c r="P972" s="42" t="inlineStr">
        <is>
          <t>서초중앙로24길 43</t>
        </is>
      </c>
      <c r="Q972" s="41" t="inlineStr">
        <is>
          <t>-</t>
        </is>
      </c>
      <c r="R972" s="42" t="inlineStr">
        <is>
          <t>중개거래</t>
        </is>
      </c>
      <c r="S972" s="42" t="inlineStr">
        <is>
          <t>서울 서초구</t>
        </is>
      </c>
      <c r="T972" s="41" t="inlineStr">
        <is>
          <t>25.02.26</t>
        </is>
      </c>
      <c r="U972" s="42" t="inlineStr">
        <is>
          <t>아파트</t>
        </is>
      </c>
    </row>
    <row r="973" hidden="1" ht="15" customHeight="1">
      <c r="A973" s="41" t="n">
        <v>440</v>
      </c>
      <c r="B973" s="42" t="inlineStr">
        <is>
          <t>서울특별시 서초구 서초동</t>
        </is>
      </c>
      <c r="C973" s="41" t="inlineStr">
        <is>
          <t>1754</t>
        </is>
      </c>
      <c r="D973" s="41" t="inlineStr">
        <is>
          <t>1754</t>
        </is>
      </c>
      <c r="E973" s="41" t="inlineStr">
        <is>
          <t>0000</t>
        </is>
      </c>
      <c r="F973" s="42" t="inlineStr">
        <is>
          <t>래미안서초에스티지S</t>
        </is>
      </c>
      <c r="G973" s="41" t="inlineStr">
        <is>
          <t>84.8000</t>
        </is>
      </c>
      <c r="H973" s="41" t="inlineStr">
        <is>
          <t>202412</t>
        </is>
      </c>
      <c r="I973" s="41" t="inlineStr">
        <is>
          <t>03</t>
        </is>
      </c>
      <c r="J973" s="41" t="inlineStr">
        <is>
          <t>294,000</t>
        </is>
      </c>
      <c r="K973" s="41" t="inlineStr">
        <is>
          <t>201</t>
        </is>
      </c>
      <c r="L973" s="41" t="inlineStr">
        <is>
          <t>7</t>
        </is>
      </c>
      <c r="M973" s="42" t="inlineStr">
        <is>
          <t>개인</t>
        </is>
      </c>
      <c r="N973" s="42" t="inlineStr">
        <is>
          <t>개인</t>
        </is>
      </c>
      <c r="O973" s="41" t="inlineStr">
        <is>
          <t>2018</t>
        </is>
      </c>
      <c r="P973" s="42" t="inlineStr">
        <is>
          <t>서운로 104</t>
        </is>
      </c>
      <c r="Q973" s="41" t="inlineStr">
        <is>
          <t>-</t>
        </is>
      </c>
      <c r="R973" s="42" t="inlineStr">
        <is>
          <t>중개거래</t>
        </is>
      </c>
      <c r="S973" s="42" t="inlineStr">
        <is>
          <t>서울 강남구, 서울 서초구</t>
        </is>
      </c>
      <c r="T973" s="41" t="inlineStr">
        <is>
          <t>25.03.13</t>
        </is>
      </c>
      <c r="U973" s="42" t="inlineStr">
        <is>
          <t>아파트</t>
        </is>
      </c>
    </row>
    <row r="974" hidden="1" ht="15" customHeight="1">
      <c r="A974" s="41" t="n">
        <v>441</v>
      </c>
      <c r="B974" s="42" t="inlineStr">
        <is>
          <t>서울특별시 서초구 서초동</t>
        </is>
      </c>
      <c r="C974" s="41" t="inlineStr">
        <is>
          <t>1593-7</t>
        </is>
      </c>
      <c r="D974" s="41" t="inlineStr">
        <is>
          <t>1593</t>
        </is>
      </c>
      <c r="E974" s="41" t="inlineStr">
        <is>
          <t>0007</t>
        </is>
      </c>
      <c r="F974" s="42" t="inlineStr">
        <is>
          <t>서초이오빌</t>
        </is>
      </c>
      <c r="G974" s="41" t="inlineStr">
        <is>
          <t>58.4800</t>
        </is>
      </c>
      <c r="H974" s="41" t="inlineStr">
        <is>
          <t>202412</t>
        </is>
      </c>
      <c r="I974" s="41" t="inlineStr">
        <is>
          <t>02</t>
        </is>
      </c>
      <c r="J974" s="41" t="inlineStr">
        <is>
          <t>71,000</t>
        </is>
      </c>
      <c r="K974" s="41" t="inlineStr">
        <is>
          <t>-</t>
        </is>
      </c>
      <c r="L974" s="41" t="inlineStr">
        <is>
          <t>14</t>
        </is>
      </c>
      <c r="M974" s="42" t="inlineStr">
        <is>
          <t>개인</t>
        </is>
      </c>
      <c r="N974" s="42" t="inlineStr">
        <is>
          <t>개인</t>
        </is>
      </c>
      <c r="O974" s="41" t="inlineStr">
        <is>
          <t>2003</t>
        </is>
      </c>
      <c r="P974" s="42" t="inlineStr">
        <is>
          <t>효령로53길 45</t>
        </is>
      </c>
      <c r="Q974" s="41" t="inlineStr">
        <is>
          <t>20241210</t>
        </is>
      </c>
      <c r="R974" s="42" t="inlineStr">
        <is>
          <t>중개거래</t>
        </is>
      </c>
      <c r="S974" s="42" t="inlineStr">
        <is>
          <t>서울 서초구</t>
        </is>
      </c>
      <c r="T974" s="41" t="inlineStr">
        <is>
          <t>-</t>
        </is>
      </c>
      <c r="U974" s="42" t="inlineStr">
        <is>
          <t>아파트</t>
        </is>
      </c>
    </row>
    <row r="975" hidden="1" ht="15" customHeight="1">
      <c r="A975" s="41" t="n">
        <v>442</v>
      </c>
      <c r="B975" s="42" t="inlineStr">
        <is>
          <t>서울특별시 서초구 서초동</t>
        </is>
      </c>
      <c r="C975" s="41" t="inlineStr">
        <is>
          <t>1312-3</t>
        </is>
      </c>
      <c r="D975" s="41" t="inlineStr">
        <is>
          <t>1312</t>
        </is>
      </c>
      <c r="E975" s="41" t="inlineStr">
        <is>
          <t>0003</t>
        </is>
      </c>
      <c r="F975" s="42" t="inlineStr">
        <is>
          <t>롯데캐슬클래식</t>
        </is>
      </c>
      <c r="G975" s="41" t="inlineStr">
        <is>
          <t>120.1800</t>
        </is>
      </c>
      <c r="H975" s="41" t="inlineStr">
        <is>
          <t>202412</t>
        </is>
      </c>
      <c r="I975" s="41" t="inlineStr">
        <is>
          <t>02</t>
        </is>
      </c>
      <c r="J975" s="41" t="inlineStr">
        <is>
          <t>305,000</t>
        </is>
      </c>
      <c r="K975" s="41" t="inlineStr">
        <is>
          <t>108</t>
        </is>
      </c>
      <c r="L975" s="41" t="inlineStr">
        <is>
          <t>23</t>
        </is>
      </c>
      <c r="M975" s="42" t="inlineStr">
        <is>
          <t>법인</t>
        </is>
      </c>
      <c r="N975" s="42" t="inlineStr">
        <is>
          <t>개인</t>
        </is>
      </c>
      <c r="O975" s="41" t="inlineStr">
        <is>
          <t>2006</t>
        </is>
      </c>
      <c r="P975" s="42" t="inlineStr">
        <is>
          <t>서운로 197</t>
        </is>
      </c>
      <c r="Q975" s="41" t="inlineStr">
        <is>
          <t>-</t>
        </is>
      </c>
      <c r="R975" s="42" t="inlineStr">
        <is>
          <t>중개거래</t>
        </is>
      </c>
      <c r="S975" s="42" t="inlineStr">
        <is>
          <t>서울 서초구</t>
        </is>
      </c>
      <c r="T975" s="41" t="inlineStr">
        <is>
          <t>25.02.12</t>
        </is>
      </c>
      <c r="U975" s="42" t="inlineStr">
        <is>
          <t>아파트</t>
        </is>
      </c>
    </row>
    <row r="976" hidden="1" ht="15" customHeight="1">
      <c r="A976" s="41" t="n">
        <v>443</v>
      </c>
      <c r="B976" s="42" t="inlineStr">
        <is>
          <t>서울특별시 서초구 서초동</t>
        </is>
      </c>
      <c r="C976" s="41" t="inlineStr">
        <is>
          <t>1755</t>
        </is>
      </c>
      <c r="D976" s="41" t="inlineStr">
        <is>
          <t>1755</t>
        </is>
      </c>
      <c r="E976" s="41" t="inlineStr">
        <is>
          <t>0000</t>
        </is>
      </c>
      <c r="F976" s="42" t="inlineStr">
        <is>
          <t>래미안 리더스원</t>
        </is>
      </c>
      <c r="G976" s="41" t="inlineStr">
        <is>
          <t>135.8300</t>
        </is>
      </c>
      <c r="H976" s="41" t="inlineStr">
        <is>
          <t>202411</t>
        </is>
      </c>
      <c r="I976" s="41" t="inlineStr">
        <is>
          <t>30</t>
        </is>
      </c>
      <c r="J976" s="41" t="inlineStr">
        <is>
          <t>450,000</t>
        </is>
      </c>
      <c r="K976" s="41" t="inlineStr">
        <is>
          <t>102동</t>
        </is>
      </c>
      <c r="L976" s="41" t="inlineStr">
        <is>
          <t>13</t>
        </is>
      </c>
      <c r="M976" s="42" t="inlineStr">
        <is>
          <t>개인</t>
        </is>
      </c>
      <c r="N976" s="42" t="inlineStr">
        <is>
          <t>개인</t>
        </is>
      </c>
      <c r="O976" s="41" t="inlineStr">
        <is>
          <t>2020</t>
        </is>
      </c>
      <c r="P976" s="42" t="inlineStr">
        <is>
          <t>서운로 62</t>
        </is>
      </c>
      <c r="Q976" s="41" t="inlineStr">
        <is>
          <t>-</t>
        </is>
      </c>
      <c r="R976" s="42" t="inlineStr">
        <is>
          <t>중개거래</t>
        </is>
      </c>
      <c r="S976" s="42" t="inlineStr">
        <is>
          <t>서울 서초구</t>
        </is>
      </c>
      <c r="T976" s="41" t="inlineStr">
        <is>
          <t>25.03.26</t>
        </is>
      </c>
      <c r="U976" s="42" t="inlineStr">
        <is>
          <t>아파트</t>
        </is>
      </c>
    </row>
    <row r="977" hidden="1" ht="15" customHeight="1">
      <c r="A977" s="41" t="n">
        <v>444</v>
      </c>
      <c r="B977" s="42" t="inlineStr">
        <is>
          <t>서울특별시 서초구 서초동</t>
        </is>
      </c>
      <c r="C977" s="41" t="inlineStr">
        <is>
          <t>1685-3</t>
        </is>
      </c>
      <c r="D977" s="41" t="inlineStr">
        <is>
          <t>1685</t>
        </is>
      </c>
      <c r="E977" s="41" t="inlineStr">
        <is>
          <t>0003</t>
        </is>
      </c>
      <c r="F977" s="42" t="inlineStr">
        <is>
          <t>아크로비스타</t>
        </is>
      </c>
      <c r="G977" s="41" t="inlineStr">
        <is>
          <t>134.9700</t>
        </is>
      </c>
      <c r="H977" s="41" t="inlineStr">
        <is>
          <t>202411</t>
        </is>
      </c>
      <c r="I977" s="41" t="inlineStr">
        <is>
          <t>30</t>
        </is>
      </c>
      <c r="J977" s="41" t="inlineStr">
        <is>
          <t>265,000</t>
        </is>
      </c>
      <c r="K977" s="41" t="inlineStr">
        <is>
          <t>A</t>
        </is>
      </c>
      <c r="L977" s="41" t="inlineStr">
        <is>
          <t>7</t>
        </is>
      </c>
      <c r="M977" s="42" t="inlineStr">
        <is>
          <t>개인</t>
        </is>
      </c>
      <c r="N977" s="42" t="inlineStr">
        <is>
          <t>개인</t>
        </is>
      </c>
      <c r="O977" s="41" t="inlineStr">
        <is>
          <t>2004</t>
        </is>
      </c>
      <c r="P977" s="42" t="inlineStr">
        <is>
          <t>서초중앙로 188</t>
        </is>
      </c>
      <c r="Q977" s="41" t="inlineStr">
        <is>
          <t>-</t>
        </is>
      </c>
      <c r="R977" s="42" t="inlineStr">
        <is>
          <t>중개거래</t>
        </is>
      </c>
      <c r="S977" s="42" t="inlineStr">
        <is>
          <t>서울 서초구</t>
        </is>
      </c>
      <c r="T977" s="41" t="inlineStr">
        <is>
          <t>25.02.04</t>
        </is>
      </c>
      <c r="U977" s="42" t="inlineStr">
        <is>
          <t>아파트</t>
        </is>
      </c>
    </row>
    <row r="978" hidden="1" ht="15" customHeight="1">
      <c r="A978" s="41" t="n">
        <v>445</v>
      </c>
      <c r="B978" s="42" t="inlineStr">
        <is>
          <t>서울특별시 서초구 서초동</t>
        </is>
      </c>
      <c r="C978" s="41" t="inlineStr">
        <is>
          <t>1685-3</t>
        </is>
      </c>
      <c r="D978" s="41" t="inlineStr">
        <is>
          <t>1685</t>
        </is>
      </c>
      <c r="E978" s="41" t="inlineStr">
        <is>
          <t>0003</t>
        </is>
      </c>
      <c r="F978" s="42" t="inlineStr">
        <is>
          <t>아크로비스타</t>
        </is>
      </c>
      <c r="G978" s="41" t="inlineStr">
        <is>
          <t>164.2100</t>
        </is>
      </c>
      <c r="H978" s="41" t="inlineStr">
        <is>
          <t>202411</t>
        </is>
      </c>
      <c r="I978" s="41" t="inlineStr">
        <is>
          <t>30</t>
        </is>
      </c>
      <c r="J978" s="41" t="inlineStr">
        <is>
          <t>340,000</t>
        </is>
      </c>
      <c r="K978" s="41" t="inlineStr">
        <is>
          <t>B</t>
        </is>
      </c>
      <c r="L978" s="41" t="inlineStr">
        <is>
          <t>19</t>
        </is>
      </c>
      <c r="M978" s="42" t="inlineStr">
        <is>
          <t>개인</t>
        </is>
      </c>
      <c r="N978" s="42" t="inlineStr">
        <is>
          <t>개인</t>
        </is>
      </c>
      <c r="O978" s="41" t="inlineStr">
        <is>
          <t>2004</t>
        </is>
      </c>
      <c r="P978" s="42" t="inlineStr">
        <is>
          <t>서초중앙로 188</t>
        </is>
      </c>
      <c r="Q978" s="41" t="inlineStr">
        <is>
          <t>-</t>
        </is>
      </c>
      <c r="R978" s="42" t="inlineStr">
        <is>
          <t>중개거래</t>
        </is>
      </c>
      <c r="S978" s="42" t="inlineStr">
        <is>
          <t>서울 서초구</t>
        </is>
      </c>
      <c r="T978" s="41" t="inlineStr">
        <is>
          <t>25.06.05</t>
        </is>
      </c>
      <c r="U978" s="42" t="inlineStr">
        <is>
          <t>아파트</t>
        </is>
      </c>
    </row>
    <row r="979" hidden="1" ht="15" customHeight="1">
      <c r="A979" s="41" t="n">
        <v>446</v>
      </c>
      <c r="B979" s="42" t="inlineStr">
        <is>
          <t>서울특별시 서초구 서초동</t>
        </is>
      </c>
      <c r="C979" s="41" t="inlineStr">
        <is>
          <t>1582-3</t>
        </is>
      </c>
      <c r="D979" s="41" t="inlineStr">
        <is>
          <t>1582</t>
        </is>
      </c>
      <c r="E979" s="41" t="inlineStr">
        <is>
          <t>0003</t>
        </is>
      </c>
      <c r="F979" s="42" t="inlineStr">
        <is>
          <t>서초센트럴IPARK</t>
        </is>
      </c>
      <c r="G979" s="41" t="inlineStr">
        <is>
          <t>80.5154</t>
        </is>
      </c>
      <c r="H979" s="41" t="inlineStr">
        <is>
          <t>202411</t>
        </is>
      </c>
      <c r="I979" s="41" t="inlineStr">
        <is>
          <t>30</t>
        </is>
      </c>
      <c r="J979" s="41" t="inlineStr">
        <is>
          <t>170,000</t>
        </is>
      </c>
      <c r="K979" s="41" t="inlineStr">
        <is>
          <t>102동</t>
        </is>
      </c>
      <c r="L979" s="41" t="inlineStr">
        <is>
          <t>9</t>
        </is>
      </c>
      <c r="M979" s="42" t="inlineStr">
        <is>
          <t>개인</t>
        </is>
      </c>
      <c r="N979" s="42" t="inlineStr">
        <is>
          <t>개인</t>
        </is>
      </c>
      <c r="O979" s="41" t="inlineStr">
        <is>
          <t>2020</t>
        </is>
      </c>
      <c r="P979" s="42" t="inlineStr">
        <is>
          <t>반포대로18길 36</t>
        </is>
      </c>
      <c r="Q979" s="41" t="inlineStr">
        <is>
          <t>-</t>
        </is>
      </c>
      <c r="R979" s="42" t="inlineStr">
        <is>
          <t>중개거래</t>
        </is>
      </c>
      <c r="S979" s="42" t="inlineStr">
        <is>
          <t>서울 서초구</t>
        </is>
      </c>
      <c r="T979" s="41" t="inlineStr">
        <is>
          <t>25.02.21</t>
        </is>
      </c>
      <c r="U979" s="42" t="inlineStr">
        <is>
          <t>아파트</t>
        </is>
      </c>
    </row>
    <row r="980" hidden="1" ht="15" customHeight="1">
      <c r="A980" s="41" t="n">
        <v>447</v>
      </c>
      <c r="B980" s="42" t="inlineStr">
        <is>
          <t>서울특별시 서초구 서초동</t>
        </is>
      </c>
      <c r="C980" s="41" t="inlineStr">
        <is>
          <t>1685-3</t>
        </is>
      </c>
      <c r="D980" s="41" t="inlineStr">
        <is>
          <t>1685</t>
        </is>
      </c>
      <c r="E980" s="41" t="inlineStr">
        <is>
          <t>0003</t>
        </is>
      </c>
      <c r="F980" s="42" t="inlineStr">
        <is>
          <t>아크로비스타</t>
        </is>
      </c>
      <c r="G980" s="41" t="inlineStr">
        <is>
          <t>152.3300</t>
        </is>
      </c>
      <c r="H980" s="41" t="inlineStr">
        <is>
          <t>202411</t>
        </is>
      </c>
      <c r="I980" s="41" t="inlineStr">
        <is>
          <t>29</t>
        </is>
      </c>
      <c r="J980" s="41" t="inlineStr">
        <is>
          <t>295,000</t>
        </is>
      </c>
      <c r="K980" s="41" t="inlineStr">
        <is>
          <t>B</t>
        </is>
      </c>
      <c r="L980" s="41" t="inlineStr">
        <is>
          <t>12</t>
        </is>
      </c>
      <c r="M980" s="42" t="inlineStr">
        <is>
          <t>개인</t>
        </is>
      </c>
      <c r="N980" s="42" t="inlineStr">
        <is>
          <t>개인</t>
        </is>
      </c>
      <c r="O980" s="41" t="inlineStr">
        <is>
          <t>2004</t>
        </is>
      </c>
      <c r="P980" s="42" t="inlineStr">
        <is>
          <t>서초중앙로 188</t>
        </is>
      </c>
      <c r="Q980" s="41" t="inlineStr">
        <is>
          <t>-</t>
        </is>
      </c>
      <c r="R980" s="42" t="inlineStr">
        <is>
          <t>중개거래</t>
        </is>
      </c>
      <c r="S980" s="42" t="inlineStr">
        <is>
          <t>서울 서초구</t>
        </is>
      </c>
      <c r="T980" s="41" t="inlineStr">
        <is>
          <t>25.02.21</t>
        </is>
      </c>
      <c r="U980" s="42" t="inlineStr">
        <is>
          <t>아파트</t>
        </is>
      </c>
    </row>
    <row r="981" hidden="1" ht="15" customHeight="1">
      <c r="A981" s="41" t="n">
        <v>448</v>
      </c>
      <c r="B981" s="42" t="inlineStr">
        <is>
          <t>서울특별시 서초구 서초동</t>
        </is>
      </c>
      <c r="C981" s="41" t="inlineStr">
        <is>
          <t>1668-1</t>
        </is>
      </c>
      <c r="D981" s="41" t="inlineStr">
        <is>
          <t>1668</t>
        </is>
      </c>
      <c r="E981" s="41" t="inlineStr">
        <is>
          <t>0001</t>
        </is>
      </c>
      <c r="F981" s="42" t="inlineStr">
        <is>
          <t>서초태동스위트</t>
        </is>
      </c>
      <c r="G981" s="41" t="inlineStr">
        <is>
          <t>82.9400</t>
        </is>
      </c>
      <c r="H981" s="41" t="inlineStr">
        <is>
          <t>202411</t>
        </is>
      </c>
      <c r="I981" s="41" t="inlineStr">
        <is>
          <t>29</t>
        </is>
      </c>
      <c r="J981" s="41" t="inlineStr">
        <is>
          <t>102,000</t>
        </is>
      </c>
      <c r="K981" s="41" t="inlineStr">
        <is>
          <t>-</t>
        </is>
      </c>
      <c r="L981" s="41" t="inlineStr">
        <is>
          <t>4</t>
        </is>
      </c>
      <c r="M981" s="42" t="inlineStr">
        <is>
          <t>개인</t>
        </is>
      </c>
      <c r="N981" s="42" t="inlineStr">
        <is>
          <t>개인</t>
        </is>
      </c>
      <c r="O981" s="41" t="inlineStr">
        <is>
          <t>2001</t>
        </is>
      </c>
      <c r="P981" s="42" t="inlineStr">
        <is>
          <t>서초중앙로22길 78</t>
        </is>
      </c>
      <c r="Q981" s="41" t="inlineStr">
        <is>
          <t>-</t>
        </is>
      </c>
      <c r="R981" s="42" t="inlineStr">
        <is>
          <t>중개거래</t>
        </is>
      </c>
      <c r="S981" s="42" t="inlineStr">
        <is>
          <t>서울 서초구</t>
        </is>
      </c>
      <c r="T981" s="41" t="inlineStr">
        <is>
          <t>25.02.21</t>
        </is>
      </c>
      <c r="U981" s="42" t="inlineStr">
        <is>
          <t>아파트</t>
        </is>
      </c>
    </row>
    <row r="982" hidden="1" ht="15" customHeight="1">
      <c r="A982" s="41" t="n">
        <v>449</v>
      </c>
      <c r="B982" s="42" t="inlineStr">
        <is>
          <t>서울특별시 서초구 서초동</t>
        </is>
      </c>
      <c r="C982" s="41" t="inlineStr">
        <is>
          <t>1685</t>
        </is>
      </c>
      <c r="D982" s="41" t="inlineStr">
        <is>
          <t>1685</t>
        </is>
      </c>
      <c r="E982" s="41" t="inlineStr">
        <is>
          <t>0000</t>
        </is>
      </c>
      <c r="F982" s="42" t="inlineStr">
        <is>
          <t>삼풍아파트</t>
        </is>
      </c>
      <c r="G982" s="41" t="inlineStr">
        <is>
          <t>165.9200</t>
        </is>
      </c>
      <c r="H982" s="41" t="inlineStr">
        <is>
          <t>202411</t>
        </is>
      </c>
      <c r="I982" s="41" t="inlineStr">
        <is>
          <t>28</t>
        </is>
      </c>
      <c r="J982" s="41" t="inlineStr">
        <is>
          <t>400,000</t>
        </is>
      </c>
      <c r="K982" s="41" t="inlineStr">
        <is>
          <t>18</t>
        </is>
      </c>
      <c r="L982" s="41" t="inlineStr">
        <is>
          <t>3</t>
        </is>
      </c>
      <c r="M982" s="42" t="inlineStr">
        <is>
          <t>개인</t>
        </is>
      </c>
      <c r="N982" s="42" t="inlineStr">
        <is>
          <t>개인</t>
        </is>
      </c>
      <c r="O982" s="41" t="inlineStr">
        <is>
          <t>1988</t>
        </is>
      </c>
      <c r="P982" s="42" t="inlineStr">
        <is>
          <t>서초중앙로 200</t>
        </is>
      </c>
      <c r="Q982" s="41" t="inlineStr">
        <is>
          <t>-</t>
        </is>
      </c>
      <c r="R982" s="42" t="inlineStr">
        <is>
          <t>중개거래</t>
        </is>
      </c>
      <c r="S982" s="42" t="inlineStr">
        <is>
          <t>서울 서초구</t>
        </is>
      </c>
      <c r="T982" s="41" t="inlineStr">
        <is>
          <t>25.07.31</t>
        </is>
      </c>
      <c r="U982" s="42" t="inlineStr">
        <is>
          <t>아파트</t>
        </is>
      </c>
    </row>
    <row r="983" hidden="1" ht="15" customHeight="1">
      <c r="A983" s="41" t="n">
        <v>450</v>
      </c>
      <c r="B983" s="42" t="inlineStr">
        <is>
          <t>서울특별시 서초구 서초동</t>
        </is>
      </c>
      <c r="C983" s="41" t="inlineStr">
        <is>
          <t>1311-10</t>
        </is>
      </c>
      <c r="D983" s="41" t="inlineStr">
        <is>
          <t>1311</t>
        </is>
      </c>
      <c r="E983" s="41" t="inlineStr">
        <is>
          <t>0010</t>
        </is>
      </c>
      <c r="F983" s="42" t="inlineStr">
        <is>
          <t>서초푸르지오써밋</t>
        </is>
      </c>
      <c r="G983" s="41" t="inlineStr">
        <is>
          <t>74.9300</t>
        </is>
      </c>
      <c r="H983" s="41" t="inlineStr">
        <is>
          <t>202411</t>
        </is>
      </c>
      <c r="I983" s="41" t="inlineStr">
        <is>
          <t>27</t>
        </is>
      </c>
      <c r="J983" s="41" t="inlineStr">
        <is>
          <t>275,000</t>
        </is>
      </c>
      <c r="K983" s="41" t="inlineStr">
        <is>
          <t>104</t>
        </is>
      </c>
      <c r="L983" s="41" t="inlineStr">
        <is>
          <t>30</t>
        </is>
      </c>
      <c r="M983" s="42" t="inlineStr">
        <is>
          <t>개인</t>
        </is>
      </c>
      <c r="N983" s="42" t="inlineStr">
        <is>
          <t>개인</t>
        </is>
      </c>
      <c r="O983" s="41" t="inlineStr">
        <is>
          <t>2017</t>
        </is>
      </c>
      <c r="P983" s="42" t="inlineStr">
        <is>
          <t>서운로 201</t>
        </is>
      </c>
      <c r="Q983" s="41" t="inlineStr">
        <is>
          <t>-</t>
        </is>
      </c>
      <c r="R983" s="42" t="inlineStr">
        <is>
          <t>중개거래</t>
        </is>
      </c>
      <c r="S983" s="42" t="inlineStr">
        <is>
          <t>서울 서초구</t>
        </is>
      </c>
      <c r="T983" s="41" t="inlineStr">
        <is>
          <t>25.03.07</t>
        </is>
      </c>
      <c r="U983" s="42" t="inlineStr">
        <is>
          <t>아파트</t>
        </is>
      </c>
    </row>
    <row r="984" hidden="1" ht="15" customHeight="1">
      <c r="A984" s="41" t="n">
        <v>451</v>
      </c>
      <c r="B984" s="42" t="inlineStr">
        <is>
          <t>서울특별시 서초구 서초동</t>
        </is>
      </c>
      <c r="C984" s="41" t="inlineStr">
        <is>
          <t>1311-10</t>
        </is>
      </c>
      <c r="D984" s="41" t="inlineStr">
        <is>
          <t>1311</t>
        </is>
      </c>
      <c r="E984" s="41" t="inlineStr">
        <is>
          <t>0010</t>
        </is>
      </c>
      <c r="F984" s="42" t="inlineStr">
        <is>
          <t>서초푸르지오써밋</t>
        </is>
      </c>
      <c r="G984" s="41" t="inlineStr">
        <is>
          <t>74.9300</t>
        </is>
      </c>
      <c r="H984" s="41" t="inlineStr">
        <is>
          <t>202411</t>
        </is>
      </c>
      <c r="I984" s="41" t="inlineStr">
        <is>
          <t>27</t>
        </is>
      </c>
      <c r="J984" s="41" t="inlineStr">
        <is>
          <t>275,000</t>
        </is>
      </c>
      <c r="K984" s="41" t="inlineStr">
        <is>
          <t>104</t>
        </is>
      </c>
      <c r="L984" s="41" t="inlineStr">
        <is>
          <t>30</t>
        </is>
      </c>
      <c r="M984" s="42" t="inlineStr">
        <is>
          <t>개인</t>
        </is>
      </c>
      <c r="N984" s="42" t="inlineStr">
        <is>
          <t>개인</t>
        </is>
      </c>
      <c r="O984" s="41" t="inlineStr">
        <is>
          <t>2017</t>
        </is>
      </c>
      <c r="P984" s="42" t="inlineStr">
        <is>
          <t>서운로 201</t>
        </is>
      </c>
      <c r="Q984" s="41" t="inlineStr">
        <is>
          <t>-</t>
        </is>
      </c>
      <c r="R984" s="42" t="inlineStr">
        <is>
          <t>중개거래</t>
        </is>
      </c>
      <c r="S984" s="42" t="inlineStr">
        <is>
          <t>서울 서초구</t>
        </is>
      </c>
      <c r="T984" s="41" t="inlineStr">
        <is>
          <t>25.03.07</t>
        </is>
      </c>
      <c r="U984" s="42" t="inlineStr">
        <is>
          <t>아파트</t>
        </is>
      </c>
    </row>
    <row r="985" hidden="1" ht="15" customHeight="1">
      <c r="A985" s="41" t="n">
        <v>452</v>
      </c>
      <c r="B985" s="42" t="inlineStr">
        <is>
          <t>서울특별시 서초구 서초동</t>
        </is>
      </c>
      <c r="C985" s="41" t="inlineStr">
        <is>
          <t>1311-10</t>
        </is>
      </c>
      <c r="D985" s="41" t="inlineStr">
        <is>
          <t>1311</t>
        </is>
      </c>
      <c r="E985" s="41" t="inlineStr">
        <is>
          <t>0010</t>
        </is>
      </c>
      <c r="F985" s="42" t="inlineStr">
        <is>
          <t>서초푸르지오써밋</t>
        </is>
      </c>
      <c r="G985" s="41" t="inlineStr">
        <is>
          <t>74.9300</t>
        </is>
      </c>
      <c r="H985" s="41" t="inlineStr">
        <is>
          <t>202411</t>
        </is>
      </c>
      <c r="I985" s="41" t="inlineStr">
        <is>
          <t>27</t>
        </is>
      </c>
      <c r="J985" s="41" t="inlineStr">
        <is>
          <t>275,000</t>
        </is>
      </c>
      <c r="K985" s="41" t="inlineStr">
        <is>
          <t>-</t>
        </is>
      </c>
      <c r="L985" s="41" t="inlineStr">
        <is>
          <t>30</t>
        </is>
      </c>
      <c r="M985" s="42" t="inlineStr">
        <is>
          <t>개인</t>
        </is>
      </c>
      <c r="N985" s="42" t="inlineStr">
        <is>
          <t>개인</t>
        </is>
      </c>
      <c r="O985" s="41" t="inlineStr">
        <is>
          <t>2017</t>
        </is>
      </c>
      <c r="P985" s="42" t="inlineStr">
        <is>
          <t>서운로 201</t>
        </is>
      </c>
      <c r="Q985" s="41" t="inlineStr">
        <is>
          <t>20250217</t>
        </is>
      </c>
      <c r="R985" s="42" t="inlineStr">
        <is>
          <t>중개거래</t>
        </is>
      </c>
      <c r="S985" s="42" t="inlineStr">
        <is>
          <t>서울 서초구</t>
        </is>
      </c>
      <c r="T985" s="41" t="inlineStr">
        <is>
          <t>-</t>
        </is>
      </c>
      <c r="U985" s="42" t="inlineStr">
        <is>
          <t>아파트</t>
        </is>
      </c>
    </row>
    <row r="986" hidden="1" ht="15" customHeight="1">
      <c r="A986" s="41" t="n">
        <v>453</v>
      </c>
      <c r="B986" s="42" t="inlineStr">
        <is>
          <t>서울특별시 서초구 서초동</t>
        </is>
      </c>
      <c r="C986" s="41" t="inlineStr">
        <is>
          <t>1445-14</t>
        </is>
      </c>
      <c r="D986" s="41" t="inlineStr">
        <is>
          <t>1445</t>
        </is>
      </c>
      <c r="E986" s="41" t="inlineStr">
        <is>
          <t>0014</t>
        </is>
      </c>
      <c r="F986" s="42" t="inlineStr">
        <is>
          <t>더샵서초</t>
        </is>
      </c>
      <c r="G986" s="41" t="inlineStr">
        <is>
          <t>33.0600</t>
        </is>
      </c>
      <c r="H986" s="41" t="inlineStr">
        <is>
          <t>202411</t>
        </is>
      </c>
      <c r="I986" s="41" t="inlineStr">
        <is>
          <t>26</t>
        </is>
      </c>
      <c r="J986" s="41" t="inlineStr">
        <is>
          <t>63,900</t>
        </is>
      </c>
      <c r="K986" s="41" t="inlineStr">
        <is>
          <t>103</t>
        </is>
      </c>
      <c r="L986" s="41" t="inlineStr">
        <is>
          <t>28</t>
        </is>
      </c>
      <c r="M986" s="42" t="inlineStr">
        <is>
          <t>개인</t>
        </is>
      </c>
      <c r="N986" s="42" t="inlineStr">
        <is>
          <t>개인</t>
        </is>
      </c>
      <c r="O986" s="41" t="inlineStr">
        <is>
          <t>2006</t>
        </is>
      </c>
      <c r="P986" s="42" t="inlineStr">
        <is>
          <t>서초중앙로2길 21</t>
        </is>
      </c>
      <c r="Q986" s="41" t="inlineStr">
        <is>
          <t>-</t>
        </is>
      </c>
      <c r="R986" s="42" t="inlineStr">
        <is>
          <t>중개거래</t>
        </is>
      </c>
      <c r="S986" s="42" t="inlineStr">
        <is>
          <t>서울 서초구</t>
        </is>
      </c>
      <c r="T986" s="41" t="inlineStr">
        <is>
          <t>24.12.09</t>
        </is>
      </c>
      <c r="U986" s="42" t="inlineStr">
        <is>
          <t>아파트</t>
        </is>
      </c>
    </row>
    <row r="987" hidden="1" ht="15" customHeight="1">
      <c r="A987" s="41" t="n">
        <v>454</v>
      </c>
      <c r="B987" s="42" t="inlineStr">
        <is>
          <t>서울특별시 서초구 서초동</t>
        </is>
      </c>
      <c r="C987" s="41" t="inlineStr">
        <is>
          <t>1682</t>
        </is>
      </c>
      <c r="D987" s="41" t="inlineStr">
        <is>
          <t>1682</t>
        </is>
      </c>
      <c r="E987" s="41" t="inlineStr">
        <is>
          <t>0000</t>
        </is>
      </c>
      <c r="F987" s="42" t="inlineStr">
        <is>
          <t>서초래미안</t>
        </is>
      </c>
      <c r="G987" s="41" t="inlineStr">
        <is>
          <t>111.3200</t>
        </is>
      </c>
      <c r="H987" s="41" t="inlineStr">
        <is>
          <t>202411</t>
        </is>
      </c>
      <c r="I987" s="41" t="inlineStr">
        <is>
          <t>26</t>
        </is>
      </c>
      <c r="J987" s="41" t="inlineStr">
        <is>
          <t>247,000</t>
        </is>
      </c>
      <c r="K987" s="41" t="inlineStr">
        <is>
          <t>106</t>
        </is>
      </c>
      <c r="L987" s="41" t="inlineStr">
        <is>
          <t>27</t>
        </is>
      </c>
      <c r="M987" s="42" t="inlineStr">
        <is>
          <t>개인</t>
        </is>
      </c>
      <c r="N987" s="42" t="inlineStr">
        <is>
          <t>개인</t>
        </is>
      </c>
      <c r="O987" s="41" t="inlineStr">
        <is>
          <t>2003</t>
        </is>
      </c>
      <c r="P987" s="42" t="inlineStr">
        <is>
          <t>서초대로65길 13-10</t>
        </is>
      </c>
      <c r="Q987" s="41" t="inlineStr">
        <is>
          <t>-</t>
        </is>
      </c>
      <c r="R987" s="42" t="inlineStr">
        <is>
          <t>중개거래</t>
        </is>
      </c>
      <c r="S987" s="42" t="inlineStr">
        <is>
          <t>서울 서초구, 충북 청주시 청원구</t>
        </is>
      </c>
      <c r="T987" s="41" t="inlineStr">
        <is>
          <t>25.01.07</t>
        </is>
      </c>
      <c r="U987" s="42" t="inlineStr">
        <is>
          <t>아파트</t>
        </is>
      </c>
    </row>
    <row r="988" hidden="1" ht="15" customHeight="1">
      <c r="A988" s="41" t="n">
        <v>455</v>
      </c>
      <c r="B988" s="42" t="inlineStr">
        <is>
          <t>서울특별시 서초구 서초동</t>
        </is>
      </c>
      <c r="C988" s="41" t="inlineStr">
        <is>
          <t>1593-7</t>
        </is>
      </c>
      <c r="D988" s="41" t="inlineStr">
        <is>
          <t>1593</t>
        </is>
      </c>
      <c r="E988" s="41" t="inlineStr">
        <is>
          <t>0007</t>
        </is>
      </c>
      <c r="F988" s="42" t="inlineStr">
        <is>
          <t>서초이오빌</t>
        </is>
      </c>
      <c r="G988" s="41" t="inlineStr">
        <is>
          <t>58.4800</t>
        </is>
      </c>
      <c r="H988" s="41" t="inlineStr">
        <is>
          <t>202411</t>
        </is>
      </c>
      <c r="I988" s="41" t="inlineStr">
        <is>
          <t>26</t>
        </is>
      </c>
      <c r="J988" s="41" t="inlineStr">
        <is>
          <t>71,000</t>
        </is>
      </c>
      <c r="K988" s="41" t="inlineStr">
        <is>
          <t>-</t>
        </is>
      </c>
      <c r="L988" s="41" t="inlineStr">
        <is>
          <t>14</t>
        </is>
      </c>
      <c r="M988" s="42" t="inlineStr">
        <is>
          <t>개인</t>
        </is>
      </c>
      <c r="N988" s="42" t="inlineStr">
        <is>
          <t>개인</t>
        </is>
      </c>
      <c r="O988" s="41" t="inlineStr">
        <is>
          <t>2003</t>
        </is>
      </c>
      <c r="P988" s="42" t="inlineStr">
        <is>
          <t>효령로53길 45</t>
        </is>
      </c>
      <c r="Q988" s="41" t="inlineStr">
        <is>
          <t>-</t>
        </is>
      </c>
      <c r="R988" s="42" t="inlineStr">
        <is>
          <t>중개거래</t>
        </is>
      </c>
      <c r="S988" s="42" t="inlineStr">
        <is>
          <t>서울 서초구</t>
        </is>
      </c>
      <c r="T988" s="41" t="inlineStr">
        <is>
          <t>24.12.11</t>
        </is>
      </c>
      <c r="U988" s="42" t="inlineStr">
        <is>
          <t>아파트</t>
        </is>
      </c>
    </row>
    <row r="989" hidden="1" ht="15" customHeight="1">
      <c r="A989" s="41" t="n">
        <v>456</v>
      </c>
      <c r="B989" s="42" t="inlineStr">
        <is>
          <t>서울특별시 서초구 서초동</t>
        </is>
      </c>
      <c r="C989" s="41" t="inlineStr">
        <is>
          <t>1445-4</t>
        </is>
      </c>
      <c r="D989" s="41" t="inlineStr">
        <is>
          <t>1445</t>
        </is>
      </c>
      <c r="E989" s="41" t="inlineStr">
        <is>
          <t>0004</t>
        </is>
      </c>
      <c r="F989" s="42" t="inlineStr">
        <is>
          <t>래미안서초유니빌</t>
        </is>
      </c>
      <c r="G989" s="41" t="inlineStr">
        <is>
          <t>49.7440</t>
        </is>
      </c>
      <c r="H989" s="41" t="inlineStr">
        <is>
          <t>202411</t>
        </is>
      </c>
      <c r="I989" s="41" t="inlineStr">
        <is>
          <t>25</t>
        </is>
      </c>
      <c r="J989" s="41" t="inlineStr">
        <is>
          <t>45,000</t>
        </is>
      </c>
      <c r="K989" s="42" t="inlineStr">
        <is>
          <t>래미안 서초유니빌</t>
        </is>
      </c>
      <c r="L989" s="41" t="inlineStr">
        <is>
          <t>20</t>
        </is>
      </c>
      <c r="M989" s="42" t="inlineStr">
        <is>
          <t>개인</t>
        </is>
      </c>
      <c r="N989" s="42" t="inlineStr">
        <is>
          <t>개인</t>
        </is>
      </c>
      <c r="O989" s="41" t="inlineStr">
        <is>
          <t>2003</t>
        </is>
      </c>
      <c r="P989" s="42" t="inlineStr">
        <is>
          <t>서초중앙로 26</t>
        </is>
      </c>
      <c r="Q989" s="41" t="inlineStr">
        <is>
          <t>-</t>
        </is>
      </c>
      <c r="R989" s="42" t="inlineStr">
        <is>
          <t>중개거래</t>
        </is>
      </c>
      <c r="S989" s="42" t="inlineStr">
        <is>
          <t>서울 영등포구</t>
        </is>
      </c>
      <c r="T989" s="41" t="inlineStr">
        <is>
          <t>24.11.29</t>
        </is>
      </c>
      <c r="U989" s="42" t="inlineStr">
        <is>
          <t>아파트</t>
        </is>
      </c>
    </row>
    <row r="990" hidden="1" ht="15" customHeight="1">
      <c r="A990" s="41" t="n">
        <v>457</v>
      </c>
      <c r="B990" s="42" t="inlineStr">
        <is>
          <t>서울특별시 서초구 서초동</t>
        </is>
      </c>
      <c r="C990" s="41" t="inlineStr">
        <is>
          <t>1582-3</t>
        </is>
      </c>
      <c r="D990" s="41" t="inlineStr">
        <is>
          <t>1582</t>
        </is>
      </c>
      <c r="E990" s="41" t="inlineStr">
        <is>
          <t>0003</t>
        </is>
      </c>
      <c r="F990" s="42" t="inlineStr">
        <is>
          <t>서초센트럴IPARK</t>
        </is>
      </c>
      <c r="G990" s="41" t="inlineStr">
        <is>
          <t>80.5098</t>
        </is>
      </c>
      <c r="H990" s="41" t="inlineStr">
        <is>
          <t>202411</t>
        </is>
      </c>
      <c r="I990" s="41" t="inlineStr">
        <is>
          <t>24</t>
        </is>
      </c>
      <c r="J990" s="41" t="inlineStr">
        <is>
          <t>176,000</t>
        </is>
      </c>
      <c r="K990" s="41" t="inlineStr">
        <is>
          <t>102동</t>
        </is>
      </c>
      <c r="L990" s="41" t="inlineStr">
        <is>
          <t>18</t>
        </is>
      </c>
      <c r="M990" s="42" t="inlineStr">
        <is>
          <t>개인</t>
        </is>
      </c>
      <c r="N990" s="42" t="inlineStr">
        <is>
          <t>개인</t>
        </is>
      </c>
      <c r="O990" s="41" t="inlineStr">
        <is>
          <t>2020</t>
        </is>
      </c>
      <c r="P990" s="42" t="inlineStr">
        <is>
          <t>반포대로18길 36</t>
        </is>
      </c>
      <c r="Q990" s="41" t="inlineStr">
        <is>
          <t>-</t>
        </is>
      </c>
      <c r="R990" s="42" t="inlineStr">
        <is>
          <t>중개거래</t>
        </is>
      </c>
      <c r="S990" s="42" t="inlineStr">
        <is>
          <t>서울 서초구</t>
        </is>
      </c>
      <c r="T990" s="41" t="inlineStr">
        <is>
          <t>25.03.28</t>
        </is>
      </c>
      <c r="U990" s="42" t="inlineStr">
        <is>
          <t>아파트</t>
        </is>
      </c>
    </row>
    <row r="991" hidden="1" ht="15" customHeight="1">
      <c r="A991" s="41" t="n">
        <v>458</v>
      </c>
      <c r="B991" s="42" t="inlineStr">
        <is>
          <t>서울특별시 서초구 서초동</t>
        </is>
      </c>
      <c r="C991" s="41" t="inlineStr">
        <is>
          <t>1467-97</t>
        </is>
      </c>
      <c r="D991" s="41" t="inlineStr">
        <is>
          <t>1467</t>
        </is>
      </c>
      <c r="E991" s="41" t="inlineStr">
        <is>
          <t>0097</t>
        </is>
      </c>
      <c r="F991" s="42" t="inlineStr">
        <is>
          <t>서초금호어울림</t>
        </is>
      </c>
      <c r="G991" s="41" t="inlineStr">
        <is>
          <t>124.3500</t>
        </is>
      </c>
      <c r="H991" s="41" t="inlineStr">
        <is>
          <t>202411</t>
        </is>
      </c>
      <c r="I991" s="41" t="inlineStr">
        <is>
          <t>24</t>
        </is>
      </c>
      <c r="J991" s="41" t="inlineStr">
        <is>
          <t>179,000</t>
        </is>
      </c>
      <c r="K991" s="41" t="inlineStr">
        <is>
          <t>-</t>
        </is>
      </c>
      <c r="L991" s="41" t="inlineStr">
        <is>
          <t>15</t>
        </is>
      </c>
      <c r="M991" s="42" t="inlineStr">
        <is>
          <t>개인</t>
        </is>
      </c>
      <c r="N991" s="42" t="inlineStr">
        <is>
          <t>개인</t>
        </is>
      </c>
      <c r="O991" s="41" t="inlineStr">
        <is>
          <t>2001</t>
        </is>
      </c>
      <c r="P991" s="42" t="inlineStr">
        <is>
          <t>명달로 10</t>
        </is>
      </c>
      <c r="Q991" s="41" t="inlineStr">
        <is>
          <t>20250213</t>
        </is>
      </c>
      <c r="R991" s="42" t="inlineStr">
        <is>
          <t>중개거래</t>
        </is>
      </c>
      <c r="S991" s="42" t="inlineStr">
        <is>
          <t>서울 마포구, 서울 서초구</t>
        </is>
      </c>
      <c r="T991" s="41" t="inlineStr">
        <is>
          <t>-</t>
        </is>
      </c>
      <c r="U991" s="42" t="inlineStr">
        <is>
          <t>아파트</t>
        </is>
      </c>
    </row>
    <row r="992" hidden="1" ht="15" customHeight="1">
      <c r="A992" s="41" t="n">
        <v>459</v>
      </c>
      <c r="B992" s="42" t="inlineStr">
        <is>
          <t>서울특별시 서초구 서초동</t>
        </is>
      </c>
      <c r="C992" s="41" t="inlineStr">
        <is>
          <t>1684</t>
        </is>
      </c>
      <c r="D992" s="41" t="inlineStr">
        <is>
          <t>1684</t>
        </is>
      </c>
      <c r="E992" s="41" t="inlineStr">
        <is>
          <t>0000</t>
        </is>
      </c>
      <c r="F992" s="42" t="inlineStr">
        <is>
          <t>서초4현대</t>
        </is>
      </c>
      <c r="G992" s="41" t="inlineStr">
        <is>
          <t>64.2600</t>
        </is>
      </c>
      <c r="H992" s="41" t="inlineStr">
        <is>
          <t>202411</t>
        </is>
      </c>
      <c r="I992" s="41" t="inlineStr">
        <is>
          <t>23</t>
        </is>
      </c>
      <c r="J992" s="41" t="inlineStr">
        <is>
          <t>165,000</t>
        </is>
      </c>
      <c r="K992" s="41" t="inlineStr">
        <is>
          <t>201</t>
        </is>
      </c>
      <c r="L992" s="41" t="inlineStr">
        <is>
          <t>1</t>
        </is>
      </c>
      <c r="M992" s="42" t="inlineStr">
        <is>
          <t>개인</t>
        </is>
      </c>
      <c r="N992" s="42" t="inlineStr">
        <is>
          <t>개인</t>
        </is>
      </c>
      <c r="O992" s="41" t="inlineStr">
        <is>
          <t>2000</t>
        </is>
      </c>
      <c r="P992" s="42" t="inlineStr">
        <is>
          <t>고무래로 94</t>
        </is>
      </c>
      <c r="Q992" s="41" t="inlineStr">
        <is>
          <t>-</t>
        </is>
      </c>
      <c r="R992" s="42" t="inlineStr">
        <is>
          <t>중개거래</t>
        </is>
      </c>
      <c r="S992" s="42" t="inlineStr">
        <is>
          <t>서울 서초구, 서울 양천구</t>
        </is>
      </c>
      <c r="T992" s="41" t="inlineStr">
        <is>
          <t>25.01.22</t>
        </is>
      </c>
      <c r="U992" s="42" t="inlineStr">
        <is>
          <t>아파트</t>
        </is>
      </c>
    </row>
    <row r="993" hidden="1" ht="15" customHeight="1">
      <c r="A993" s="41" t="n">
        <v>460</v>
      </c>
      <c r="B993" s="42" t="inlineStr">
        <is>
          <t>서울특별시 서초구 서초동</t>
        </is>
      </c>
      <c r="C993" s="41" t="inlineStr">
        <is>
          <t>1316-15</t>
        </is>
      </c>
      <c r="D993" s="41" t="inlineStr">
        <is>
          <t>1316</t>
        </is>
      </c>
      <c r="E993" s="41" t="inlineStr">
        <is>
          <t>0015</t>
        </is>
      </c>
      <c r="F993" s="42" t="inlineStr">
        <is>
          <t>현대성우주상복합아파트</t>
        </is>
      </c>
      <c r="G993" s="41" t="inlineStr">
        <is>
          <t>150.9500</t>
        </is>
      </c>
      <c r="H993" s="41" t="inlineStr">
        <is>
          <t>202411</t>
        </is>
      </c>
      <c r="I993" s="41" t="inlineStr">
        <is>
          <t>23</t>
        </is>
      </c>
      <c r="J993" s="41" t="inlineStr">
        <is>
          <t>175,000</t>
        </is>
      </c>
      <c r="K993" s="41" t="inlineStr">
        <is>
          <t>-</t>
        </is>
      </c>
      <c r="L993" s="41" t="inlineStr">
        <is>
          <t>23</t>
        </is>
      </c>
      <c r="M993" s="42" t="inlineStr">
        <is>
          <t>개인</t>
        </is>
      </c>
      <c r="N993" s="42" t="inlineStr">
        <is>
          <t>개인</t>
        </is>
      </c>
      <c r="O993" s="41" t="inlineStr">
        <is>
          <t>2002</t>
        </is>
      </c>
      <c r="P993" s="42" t="inlineStr">
        <is>
          <t>강남대로61길 23</t>
        </is>
      </c>
      <c r="Q993" s="41" t="inlineStr">
        <is>
          <t>-</t>
        </is>
      </c>
      <c r="R993" s="42" t="inlineStr">
        <is>
          <t>중개거래</t>
        </is>
      </c>
      <c r="S993" s="42" t="inlineStr">
        <is>
          <t>서울 서초구</t>
        </is>
      </c>
      <c r="T993" s="41" t="inlineStr">
        <is>
          <t>25.02.26</t>
        </is>
      </c>
      <c r="U993" s="42" t="inlineStr">
        <is>
          <t>아파트</t>
        </is>
      </c>
    </row>
    <row r="994" hidden="1" ht="15" customHeight="1">
      <c r="A994" s="41" t="n">
        <v>461</v>
      </c>
      <c r="B994" s="42" t="inlineStr">
        <is>
          <t>서울특별시 서초구 서초동</t>
        </is>
      </c>
      <c r="C994" s="41" t="inlineStr">
        <is>
          <t>1451-89</t>
        </is>
      </c>
      <c r="D994" s="41" t="inlineStr">
        <is>
          <t>1451</t>
        </is>
      </c>
      <c r="E994" s="41" t="inlineStr">
        <is>
          <t>0089</t>
        </is>
      </c>
      <c r="F994" s="42" t="inlineStr">
        <is>
          <t>서초중흥S-클래스(도시형생활주택)</t>
        </is>
      </c>
      <c r="G994" s="41" t="inlineStr">
        <is>
          <t>22.3700</t>
        </is>
      </c>
      <c r="H994" s="41" t="inlineStr">
        <is>
          <t>202411</t>
        </is>
      </c>
      <c r="I994" s="41" t="inlineStr">
        <is>
          <t>23</t>
        </is>
      </c>
      <c r="J994" s="41" t="inlineStr">
        <is>
          <t>20,400</t>
        </is>
      </c>
      <c r="K994" s="41" t="inlineStr">
        <is>
          <t>1</t>
        </is>
      </c>
      <c r="L994" s="41" t="inlineStr">
        <is>
          <t>7</t>
        </is>
      </c>
      <c r="M994" s="42" t="inlineStr">
        <is>
          <t>개인</t>
        </is>
      </c>
      <c r="N994" s="42" t="inlineStr">
        <is>
          <t>개인</t>
        </is>
      </c>
      <c r="O994" s="41" t="inlineStr">
        <is>
          <t>2013</t>
        </is>
      </c>
      <c r="P994" s="42" t="inlineStr">
        <is>
          <t>효령로52길 63</t>
        </is>
      </c>
      <c r="Q994" s="41" t="inlineStr">
        <is>
          <t>-</t>
        </is>
      </c>
      <c r="R994" s="42" t="inlineStr">
        <is>
          <t>중개거래</t>
        </is>
      </c>
      <c r="S994" s="42" t="inlineStr">
        <is>
          <t>서울 서초구</t>
        </is>
      </c>
      <c r="T994" s="41" t="inlineStr">
        <is>
          <t>25.02.04</t>
        </is>
      </c>
      <c r="U994" s="42" t="inlineStr">
        <is>
          <t>아파트</t>
        </is>
      </c>
    </row>
    <row r="995" hidden="1" ht="15" customHeight="1">
      <c r="A995" s="41" t="n">
        <v>462</v>
      </c>
      <c r="B995" s="42" t="inlineStr">
        <is>
          <t>서울특별시 서초구 서초동</t>
        </is>
      </c>
      <c r="C995" s="41" t="inlineStr">
        <is>
          <t>1332-13</t>
        </is>
      </c>
      <c r="D995" s="41" t="inlineStr">
        <is>
          <t>1332</t>
        </is>
      </c>
      <c r="E995" s="41" t="inlineStr">
        <is>
          <t>0013</t>
        </is>
      </c>
      <c r="F995" s="42" t="inlineStr">
        <is>
          <t>래미안서초에스티지</t>
        </is>
      </c>
      <c r="G995" s="41" t="inlineStr">
        <is>
          <t>83.6000</t>
        </is>
      </c>
      <c r="H995" s="41" t="inlineStr">
        <is>
          <t>202411</t>
        </is>
      </c>
      <c r="I995" s="41" t="inlineStr">
        <is>
          <t>23</t>
        </is>
      </c>
      <c r="J995" s="41" t="inlineStr">
        <is>
          <t>279,000</t>
        </is>
      </c>
      <c r="K995" s="41" t="inlineStr">
        <is>
          <t>104동</t>
        </is>
      </c>
      <c r="L995" s="41" t="inlineStr">
        <is>
          <t>10</t>
        </is>
      </c>
      <c r="M995" s="42" t="inlineStr">
        <is>
          <t>개인</t>
        </is>
      </c>
      <c r="N995" s="42" t="inlineStr">
        <is>
          <t>개인</t>
        </is>
      </c>
      <c r="O995" s="41" t="inlineStr">
        <is>
          <t>2016</t>
        </is>
      </c>
      <c r="P995" s="42" t="inlineStr">
        <is>
          <t>서운로 107</t>
        </is>
      </c>
      <c r="Q995" s="41" t="inlineStr">
        <is>
          <t>-</t>
        </is>
      </c>
      <c r="R995" s="42" t="inlineStr">
        <is>
          <t>중개거래</t>
        </is>
      </c>
      <c r="S995" s="42" t="inlineStr">
        <is>
          <t>서울 서초구</t>
        </is>
      </c>
      <c r="T995" s="41" t="inlineStr">
        <is>
          <t>25.02.14</t>
        </is>
      </c>
      <c r="U995" s="42" t="inlineStr">
        <is>
          <t>아파트</t>
        </is>
      </c>
    </row>
    <row r="996" hidden="1" ht="15" customHeight="1">
      <c r="A996" s="41" t="n">
        <v>463</v>
      </c>
      <c r="B996" s="42" t="inlineStr">
        <is>
          <t>서울특별시 서초구 서초동</t>
        </is>
      </c>
      <c r="C996" s="41" t="inlineStr">
        <is>
          <t>1593-7</t>
        </is>
      </c>
      <c r="D996" s="41" t="inlineStr">
        <is>
          <t>1593</t>
        </is>
      </c>
      <c r="E996" s="41" t="inlineStr">
        <is>
          <t>0007</t>
        </is>
      </c>
      <c r="F996" s="42" t="inlineStr">
        <is>
          <t>서초이오빌</t>
        </is>
      </c>
      <c r="G996" s="41" t="inlineStr">
        <is>
          <t>50.7700</t>
        </is>
      </c>
      <c r="H996" s="41" t="inlineStr">
        <is>
          <t>202411</t>
        </is>
      </c>
      <c r="I996" s="41" t="inlineStr">
        <is>
          <t>23</t>
        </is>
      </c>
      <c r="J996" s="41" t="inlineStr">
        <is>
          <t>59,900</t>
        </is>
      </c>
      <c r="K996" s="41" t="inlineStr">
        <is>
          <t>-</t>
        </is>
      </c>
      <c r="L996" s="41" t="inlineStr">
        <is>
          <t>8</t>
        </is>
      </c>
      <c r="M996" s="42" t="inlineStr">
        <is>
          <t>개인</t>
        </is>
      </c>
      <c r="N996" s="42" t="inlineStr">
        <is>
          <t>개인</t>
        </is>
      </c>
      <c r="O996" s="41" t="inlineStr">
        <is>
          <t>2003</t>
        </is>
      </c>
      <c r="P996" s="42" t="inlineStr">
        <is>
          <t>효령로53길 45</t>
        </is>
      </c>
      <c r="Q996" s="41" t="inlineStr">
        <is>
          <t>-</t>
        </is>
      </c>
      <c r="R996" s="42" t="inlineStr">
        <is>
          <t>중개거래</t>
        </is>
      </c>
      <c r="S996" s="42" t="inlineStr">
        <is>
          <t>경기 광명시</t>
        </is>
      </c>
      <c r="T996" s="41" t="inlineStr">
        <is>
          <t>25.01.22</t>
        </is>
      </c>
      <c r="U996" s="42" t="inlineStr">
        <is>
          <t>아파트</t>
        </is>
      </c>
    </row>
    <row r="997" hidden="1" ht="15" customHeight="1">
      <c r="A997" s="41" t="n">
        <v>464</v>
      </c>
      <c r="B997" s="42" t="inlineStr">
        <is>
          <t>서울특별시 서초구 서초동</t>
        </is>
      </c>
      <c r="C997" s="41" t="inlineStr">
        <is>
          <t>1350-13</t>
        </is>
      </c>
      <c r="D997" s="41" t="inlineStr">
        <is>
          <t>1350</t>
        </is>
      </c>
      <c r="E997" s="41" t="inlineStr">
        <is>
          <t>0013</t>
        </is>
      </c>
      <c r="F997" s="42" t="inlineStr">
        <is>
          <t>동원베네스트아파트</t>
        </is>
      </c>
      <c r="G997" s="41" t="inlineStr">
        <is>
          <t>84.9000</t>
        </is>
      </c>
      <c r="H997" s="41" t="inlineStr">
        <is>
          <t>202411</t>
        </is>
      </c>
      <c r="I997" s="41" t="inlineStr">
        <is>
          <t>23</t>
        </is>
      </c>
      <c r="J997" s="41" t="inlineStr">
        <is>
          <t>153,000</t>
        </is>
      </c>
      <c r="K997" s="41" t="inlineStr">
        <is>
          <t>102</t>
        </is>
      </c>
      <c r="L997" s="41" t="inlineStr">
        <is>
          <t>4</t>
        </is>
      </c>
      <c r="M997" s="42" t="inlineStr">
        <is>
          <t>개인</t>
        </is>
      </c>
      <c r="N997" s="42" t="inlineStr">
        <is>
          <t>개인</t>
        </is>
      </c>
      <c r="O997" s="41" t="inlineStr">
        <is>
          <t>2002</t>
        </is>
      </c>
      <c r="P997" s="42" t="inlineStr">
        <is>
          <t>서운로9길 63</t>
        </is>
      </c>
      <c r="Q997" s="41" t="inlineStr">
        <is>
          <t>-</t>
        </is>
      </c>
      <c r="R997" s="42" t="inlineStr">
        <is>
          <t>중개거래</t>
        </is>
      </c>
      <c r="S997" s="42" t="inlineStr">
        <is>
          <t>서울 서초구</t>
        </is>
      </c>
      <c r="T997" s="41" t="inlineStr">
        <is>
          <t>25.03.14</t>
        </is>
      </c>
      <c r="U997" s="42" t="inlineStr">
        <is>
          <t>아파트</t>
        </is>
      </c>
    </row>
    <row r="998" hidden="1" ht="15" customHeight="1">
      <c r="A998" s="41" t="n">
        <v>465</v>
      </c>
      <c r="B998" s="42" t="inlineStr">
        <is>
          <t>서울특별시 서초구 서초동</t>
        </is>
      </c>
      <c r="C998" s="41" t="inlineStr">
        <is>
          <t>1641-1</t>
        </is>
      </c>
      <c r="D998" s="41" t="inlineStr">
        <is>
          <t>1641</t>
        </is>
      </c>
      <c r="E998" s="41" t="inlineStr">
        <is>
          <t>0001</t>
        </is>
      </c>
      <c r="F998" s="42" t="inlineStr">
        <is>
          <t>서초삼성래미안</t>
        </is>
      </c>
      <c r="G998" s="41" t="inlineStr">
        <is>
          <t>84.9700</t>
        </is>
      </c>
      <c r="H998" s="41" t="inlineStr">
        <is>
          <t>202411</t>
        </is>
      </c>
      <c r="I998" s="41" t="inlineStr">
        <is>
          <t>21</t>
        </is>
      </c>
      <c r="J998" s="41" t="inlineStr">
        <is>
          <t>191,500</t>
        </is>
      </c>
      <c r="K998" s="41" t="inlineStr">
        <is>
          <t>101</t>
        </is>
      </c>
      <c r="L998" s="41" t="inlineStr">
        <is>
          <t>16</t>
        </is>
      </c>
      <c r="M998" s="42" t="inlineStr">
        <is>
          <t>개인</t>
        </is>
      </c>
      <c r="N998" s="42" t="inlineStr">
        <is>
          <t>개인</t>
        </is>
      </c>
      <c r="O998" s="41" t="inlineStr">
        <is>
          <t>2001</t>
        </is>
      </c>
      <c r="P998" s="42" t="inlineStr">
        <is>
          <t>사임당로17길 116</t>
        </is>
      </c>
      <c r="Q998" s="41" t="inlineStr">
        <is>
          <t>-</t>
        </is>
      </c>
      <c r="R998" s="42" t="inlineStr">
        <is>
          <t>중개거래</t>
        </is>
      </c>
      <c r="S998" s="42" t="inlineStr">
        <is>
          <t>서울 서초구</t>
        </is>
      </c>
      <c r="T998" s="41" t="inlineStr">
        <is>
          <t>25.05.09</t>
        </is>
      </c>
      <c r="U998" s="42" t="inlineStr">
        <is>
          <t>아파트</t>
        </is>
      </c>
    </row>
    <row r="999" hidden="1" ht="15" customHeight="1">
      <c r="A999" s="41" t="n">
        <v>466</v>
      </c>
      <c r="B999" s="42" t="inlineStr">
        <is>
          <t>서울특별시 서초구 서초동</t>
        </is>
      </c>
      <c r="C999" s="41" t="inlineStr">
        <is>
          <t>1509-1</t>
        </is>
      </c>
      <c r="D999" s="41" t="inlineStr">
        <is>
          <t>1509</t>
        </is>
      </c>
      <c r="E999" s="41" t="inlineStr">
        <is>
          <t>0001</t>
        </is>
      </c>
      <c r="F999" s="42" t="inlineStr">
        <is>
          <t>서초한빛삼성</t>
        </is>
      </c>
      <c r="G999" s="41" t="inlineStr">
        <is>
          <t>59.5200</t>
        </is>
      </c>
      <c r="H999" s="41" t="inlineStr">
        <is>
          <t>202411</t>
        </is>
      </c>
      <c r="I999" s="41" t="inlineStr">
        <is>
          <t>21</t>
        </is>
      </c>
      <c r="J999" s="41" t="inlineStr">
        <is>
          <t>139,500</t>
        </is>
      </c>
      <c r="K999" s="41" t="inlineStr">
        <is>
          <t>102</t>
        </is>
      </c>
      <c r="L999" s="41" t="inlineStr">
        <is>
          <t>1</t>
        </is>
      </c>
      <c r="M999" s="42" t="inlineStr">
        <is>
          <t>개인</t>
        </is>
      </c>
      <c r="N999" s="42" t="inlineStr">
        <is>
          <t>개인</t>
        </is>
      </c>
      <c r="O999" s="41" t="inlineStr">
        <is>
          <t>1999</t>
        </is>
      </c>
      <c r="P999" s="42" t="inlineStr">
        <is>
          <t>서초대로40길 72</t>
        </is>
      </c>
      <c r="Q999" s="41" t="inlineStr">
        <is>
          <t>-</t>
        </is>
      </c>
      <c r="R999" s="42" t="inlineStr">
        <is>
          <t>중개거래</t>
        </is>
      </c>
      <c r="S999" s="42" t="inlineStr">
        <is>
          <t>서울 서초구</t>
        </is>
      </c>
      <c r="T999" s="41" t="inlineStr">
        <is>
          <t>25.02.26</t>
        </is>
      </c>
      <c r="U999" s="42" t="inlineStr">
        <is>
          <t>아파트</t>
        </is>
      </c>
    </row>
    <row r="1000" hidden="1" ht="15" customHeight="1">
      <c r="A1000" s="41" t="n">
        <v>467</v>
      </c>
      <c r="B1000" s="42" t="inlineStr">
        <is>
          <t>서울특별시 서초구 서초동</t>
        </is>
      </c>
      <c r="C1000" s="41" t="inlineStr">
        <is>
          <t>1641-1</t>
        </is>
      </c>
      <c r="D1000" s="41" t="inlineStr">
        <is>
          <t>1641</t>
        </is>
      </c>
      <c r="E1000" s="41" t="inlineStr">
        <is>
          <t>0001</t>
        </is>
      </c>
      <c r="F1000" s="42" t="inlineStr">
        <is>
          <t>서초삼성래미안</t>
        </is>
      </c>
      <c r="G1000" s="41" t="inlineStr">
        <is>
          <t>84.9700</t>
        </is>
      </c>
      <c r="H1000" s="41" t="inlineStr">
        <is>
          <t>202411</t>
        </is>
      </c>
      <c r="I1000" s="41" t="inlineStr">
        <is>
          <t>21</t>
        </is>
      </c>
      <c r="J1000" s="41" t="inlineStr">
        <is>
          <t>186,200</t>
        </is>
      </c>
      <c r="K1000" s="41" t="inlineStr">
        <is>
          <t>103</t>
        </is>
      </c>
      <c r="L1000" s="41" t="inlineStr">
        <is>
          <t>10</t>
        </is>
      </c>
      <c r="M1000" s="42" t="inlineStr">
        <is>
          <t>개인</t>
        </is>
      </c>
      <c r="N1000" s="42" t="inlineStr">
        <is>
          <t>개인</t>
        </is>
      </c>
      <c r="O1000" s="41" t="inlineStr">
        <is>
          <t>2001</t>
        </is>
      </c>
      <c r="P1000" s="42" t="inlineStr">
        <is>
          <t>사임당로17길 116</t>
        </is>
      </c>
      <c r="Q1000" s="41" t="inlineStr">
        <is>
          <t>-</t>
        </is>
      </c>
      <c r="R1000" s="42" t="inlineStr">
        <is>
          <t>중개거래</t>
        </is>
      </c>
      <c r="S1000" s="42" t="inlineStr">
        <is>
          <t>서울 서초구</t>
        </is>
      </c>
      <c r="T1000" s="41" t="inlineStr">
        <is>
          <t>25.02.24</t>
        </is>
      </c>
      <c r="U1000" s="42" t="inlineStr">
        <is>
          <t>아파트</t>
        </is>
      </c>
    </row>
    <row r="1001" hidden="1" ht="15" customHeight="1">
      <c r="A1001" s="41" t="n">
        <v>468</v>
      </c>
      <c r="B1001" s="42" t="inlineStr">
        <is>
          <t>서울특별시 서초구 서초동</t>
        </is>
      </c>
      <c r="C1001" s="41" t="inlineStr">
        <is>
          <t>1757</t>
        </is>
      </c>
      <c r="D1001" s="41" t="inlineStr">
        <is>
          <t>1757</t>
        </is>
      </c>
      <c r="E1001" s="41" t="inlineStr">
        <is>
          <t>0000</t>
        </is>
      </c>
      <c r="F1001" s="42" t="inlineStr">
        <is>
          <t>서초그랑자이</t>
        </is>
      </c>
      <c r="G1001" s="41" t="inlineStr">
        <is>
          <t>84.5100</t>
        </is>
      </c>
      <c r="H1001" s="41" t="inlineStr">
        <is>
          <t>202411</t>
        </is>
      </c>
      <c r="I1001" s="41" t="inlineStr">
        <is>
          <t>20</t>
        </is>
      </c>
      <c r="J1001" s="41" t="inlineStr">
        <is>
          <t>330,000</t>
        </is>
      </c>
      <c r="K1001" s="41" t="inlineStr">
        <is>
          <t>103동</t>
        </is>
      </c>
      <c r="L1001" s="41" t="inlineStr">
        <is>
          <t>10</t>
        </is>
      </c>
      <c r="M1001" s="42" t="inlineStr">
        <is>
          <t>개인</t>
        </is>
      </c>
      <c r="N1001" s="42" t="inlineStr">
        <is>
          <t>개인</t>
        </is>
      </c>
      <c r="O1001" s="41" t="inlineStr">
        <is>
          <t>2021</t>
        </is>
      </c>
      <c r="P1001" s="42" t="inlineStr">
        <is>
          <t>효령로 391</t>
        </is>
      </c>
      <c r="Q1001" s="41" t="inlineStr">
        <is>
          <t>-</t>
        </is>
      </c>
      <c r="R1001" s="42" t="inlineStr">
        <is>
          <t>중개거래</t>
        </is>
      </c>
      <c r="S1001" s="42" t="inlineStr">
        <is>
          <t>서울 서초구</t>
        </is>
      </c>
      <c r="T1001" s="41" t="inlineStr">
        <is>
          <t>25.02.12</t>
        </is>
      </c>
      <c r="U1001" s="42" t="inlineStr">
        <is>
          <t>아파트</t>
        </is>
      </c>
    </row>
    <row r="1002" hidden="1" ht="15" customHeight="1">
      <c r="A1002" s="41" t="n">
        <v>469</v>
      </c>
      <c r="B1002" s="42" t="inlineStr">
        <is>
          <t>서울특별시 서초구 서초동</t>
        </is>
      </c>
      <c r="C1002" s="41" t="inlineStr">
        <is>
          <t>1446-11</t>
        </is>
      </c>
      <c r="D1002" s="41" t="inlineStr">
        <is>
          <t>1446</t>
        </is>
      </c>
      <c r="E1002" s="41" t="inlineStr">
        <is>
          <t>0011</t>
        </is>
      </c>
      <c r="F1002" s="42" t="inlineStr">
        <is>
          <t>현대슈퍼빌</t>
        </is>
      </c>
      <c r="G1002" s="41" t="inlineStr">
        <is>
          <t>164.8700</t>
        </is>
      </c>
      <c r="H1002" s="41" t="inlineStr">
        <is>
          <t>202411</t>
        </is>
      </c>
      <c r="I1002" s="41" t="inlineStr">
        <is>
          <t>20</t>
        </is>
      </c>
      <c r="J1002" s="41" t="inlineStr">
        <is>
          <t>279,000</t>
        </is>
      </c>
      <c r="K1002" s="41" t="inlineStr">
        <is>
          <t>B</t>
        </is>
      </c>
      <c r="L1002" s="41" t="inlineStr">
        <is>
          <t>14</t>
        </is>
      </c>
      <c r="M1002" s="42" t="inlineStr">
        <is>
          <t>개인</t>
        </is>
      </c>
      <c r="N1002" s="42" t="inlineStr">
        <is>
          <t>개인</t>
        </is>
      </c>
      <c r="O1002" s="41" t="inlineStr">
        <is>
          <t>2003</t>
        </is>
      </c>
      <c r="P1002" s="42" t="inlineStr">
        <is>
          <t>서초중앙로 15</t>
        </is>
      </c>
      <c r="Q1002" s="41" t="inlineStr">
        <is>
          <t>-</t>
        </is>
      </c>
      <c r="R1002" s="42" t="inlineStr">
        <is>
          <t>중개거래</t>
        </is>
      </c>
      <c r="S1002" s="42" t="inlineStr">
        <is>
          <t>서울 서초구</t>
        </is>
      </c>
      <c r="T1002" s="41" t="inlineStr">
        <is>
          <t>25.02.07</t>
        </is>
      </c>
      <c r="U1002" s="42" t="inlineStr">
        <is>
          <t>아파트</t>
        </is>
      </c>
    </row>
    <row r="1003" hidden="1" ht="15" customHeight="1">
      <c r="A1003" s="41" t="n">
        <v>470</v>
      </c>
      <c r="B1003" s="42" t="inlineStr">
        <is>
          <t>서울특별시 서초구 서초동</t>
        </is>
      </c>
      <c r="C1003" s="41" t="inlineStr">
        <is>
          <t>1467-97</t>
        </is>
      </c>
      <c r="D1003" s="41" t="inlineStr">
        <is>
          <t>1467</t>
        </is>
      </c>
      <c r="E1003" s="41" t="inlineStr">
        <is>
          <t>0097</t>
        </is>
      </c>
      <c r="F1003" s="42" t="inlineStr">
        <is>
          <t>서초금호어울림</t>
        </is>
      </c>
      <c r="G1003" s="41" t="inlineStr">
        <is>
          <t>124.3500</t>
        </is>
      </c>
      <c r="H1003" s="41" t="inlineStr">
        <is>
          <t>202411</t>
        </is>
      </c>
      <c r="I1003" s="41" t="inlineStr">
        <is>
          <t>20</t>
        </is>
      </c>
      <c r="J1003" s="41" t="inlineStr">
        <is>
          <t>179,000</t>
        </is>
      </c>
      <c r="K1003" s="41" t="inlineStr">
        <is>
          <t>101</t>
        </is>
      </c>
      <c r="L1003" s="41" t="inlineStr">
        <is>
          <t>15</t>
        </is>
      </c>
      <c r="M1003" s="42" t="inlineStr">
        <is>
          <t>개인</t>
        </is>
      </c>
      <c r="N1003" s="42" t="inlineStr">
        <is>
          <t>개인</t>
        </is>
      </c>
      <c r="O1003" s="41" t="inlineStr">
        <is>
          <t>2001</t>
        </is>
      </c>
      <c r="P1003" s="42" t="inlineStr">
        <is>
          <t>명달로 10</t>
        </is>
      </c>
      <c r="Q1003" s="41" t="inlineStr">
        <is>
          <t>-</t>
        </is>
      </c>
      <c r="R1003" s="42" t="inlineStr">
        <is>
          <t>중개거래</t>
        </is>
      </c>
      <c r="S1003" s="42" t="inlineStr">
        <is>
          <t>서울 마포구, 서울 서초구</t>
        </is>
      </c>
      <c r="T1003" s="41" t="inlineStr">
        <is>
          <t>25.02.14</t>
        </is>
      </c>
      <c r="U1003" s="42" t="inlineStr">
        <is>
          <t>아파트</t>
        </is>
      </c>
    </row>
    <row r="1004" hidden="1" ht="15" customHeight="1">
      <c r="A1004" s="41" t="n">
        <v>471</v>
      </c>
      <c r="B1004" s="42" t="inlineStr">
        <is>
          <t>서울특별시 서초구 서초동</t>
        </is>
      </c>
      <c r="C1004" s="41" t="inlineStr">
        <is>
          <t>1685-3</t>
        </is>
      </c>
      <c r="D1004" s="41" t="inlineStr">
        <is>
          <t>1685</t>
        </is>
      </c>
      <c r="E1004" s="41" t="inlineStr">
        <is>
          <t>0003</t>
        </is>
      </c>
      <c r="F1004" s="42" t="inlineStr">
        <is>
          <t>아크로비스타</t>
        </is>
      </c>
      <c r="G1004" s="41" t="inlineStr">
        <is>
          <t>205.0700</t>
        </is>
      </c>
      <c r="H1004" s="41" t="inlineStr">
        <is>
          <t>202411</t>
        </is>
      </c>
      <c r="I1004" s="41" t="inlineStr">
        <is>
          <t>20</t>
        </is>
      </c>
      <c r="J1004" s="41" t="inlineStr">
        <is>
          <t>410,000</t>
        </is>
      </c>
      <c r="K1004" s="41" t="inlineStr">
        <is>
          <t>C</t>
        </is>
      </c>
      <c r="L1004" s="41" t="inlineStr">
        <is>
          <t>11</t>
        </is>
      </c>
      <c r="M1004" s="42" t="inlineStr">
        <is>
          <t>개인</t>
        </is>
      </c>
      <c r="N1004" s="42" t="inlineStr">
        <is>
          <t>개인</t>
        </is>
      </c>
      <c r="O1004" s="41" t="inlineStr">
        <is>
          <t>2004</t>
        </is>
      </c>
      <c r="P1004" s="42" t="inlineStr">
        <is>
          <t>서초중앙로 188</t>
        </is>
      </c>
      <c r="Q1004" s="41" t="inlineStr">
        <is>
          <t>-</t>
        </is>
      </c>
      <c r="R1004" s="42" t="inlineStr">
        <is>
          <t>중개거래</t>
        </is>
      </c>
      <c r="S1004" s="42" t="inlineStr">
        <is>
          <t>서울 서초구</t>
        </is>
      </c>
      <c r="T1004" s="41" t="inlineStr">
        <is>
          <t>25.01.17</t>
        </is>
      </c>
      <c r="U1004" s="42" t="inlineStr">
        <is>
          <t>아파트</t>
        </is>
      </c>
    </row>
    <row r="1005" hidden="1" ht="15" customHeight="1">
      <c r="A1005" s="41" t="n">
        <v>472</v>
      </c>
      <c r="B1005" s="42" t="inlineStr">
        <is>
          <t>서울특별시 서초구 서초동</t>
        </is>
      </c>
      <c r="C1005" s="41" t="inlineStr">
        <is>
          <t>1682</t>
        </is>
      </c>
      <c r="D1005" s="41" t="inlineStr">
        <is>
          <t>1682</t>
        </is>
      </c>
      <c r="E1005" s="41" t="inlineStr">
        <is>
          <t>0000</t>
        </is>
      </c>
      <c r="F1005" s="42" t="inlineStr">
        <is>
          <t>서초래미안</t>
        </is>
      </c>
      <c r="G1005" s="41" t="inlineStr">
        <is>
          <t>111.3200</t>
        </is>
      </c>
      <c r="H1005" s="41" t="inlineStr">
        <is>
          <t>202411</t>
        </is>
      </c>
      <c r="I1005" s="41" t="inlineStr">
        <is>
          <t>19</t>
        </is>
      </c>
      <c r="J1005" s="41" t="inlineStr">
        <is>
          <t>278,000</t>
        </is>
      </c>
      <c r="K1005" s="41" t="inlineStr">
        <is>
          <t>108</t>
        </is>
      </c>
      <c r="L1005" s="41" t="inlineStr">
        <is>
          <t>11</t>
        </is>
      </c>
      <c r="M1005" s="42" t="inlineStr">
        <is>
          <t>개인</t>
        </is>
      </c>
      <c r="N1005" s="42" t="inlineStr">
        <is>
          <t>개인</t>
        </is>
      </c>
      <c r="O1005" s="41" t="inlineStr">
        <is>
          <t>2003</t>
        </is>
      </c>
      <c r="P1005" s="42" t="inlineStr">
        <is>
          <t>서초대로65길 13-10</t>
        </is>
      </c>
      <c r="Q1005" s="41" t="inlineStr">
        <is>
          <t>-</t>
        </is>
      </c>
      <c r="R1005" s="42" t="inlineStr">
        <is>
          <t>중개거래</t>
        </is>
      </c>
      <c r="S1005" s="42" t="inlineStr">
        <is>
          <t>서울 서초구</t>
        </is>
      </c>
      <c r="T1005" s="41" t="inlineStr">
        <is>
          <t>25.02.12</t>
        </is>
      </c>
      <c r="U1005" s="42" t="inlineStr">
        <is>
          <t>아파트</t>
        </is>
      </c>
    </row>
    <row r="1006" hidden="1" ht="15" customHeight="1">
      <c r="A1006" s="41" t="n">
        <v>473</v>
      </c>
      <c r="B1006" s="42" t="inlineStr">
        <is>
          <t>서울특별시 서초구 서초동</t>
        </is>
      </c>
      <c r="C1006" s="41" t="inlineStr">
        <is>
          <t>1757</t>
        </is>
      </c>
      <c r="D1006" s="41" t="inlineStr">
        <is>
          <t>1757</t>
        </is>
      </c>
      <c r="E1006" s="41" t="inlineStr">
        <is>
          <t>0000</t>
        </is>
      </c>
      <c r="F1006" s="42" t="inlineStr">
        <is>
          <t>서초그랑자이</t>
        </is>
      </c>
      <c r="G1006" s="41" t="inlineStr">
        <is>
          <t>84.5100</t>
        </is>
      </c>
      <c r="H1006" s="41" t="inlineStr">
        <is>
          <t>202411</t>
        </is>
      </c>
      <c r="I1006" s="41" t="inlineStr">
        <is>
          <t>18</t>
        </is>
      </c>
      <c r="J1006" s="41" t="inlineStr">
        <is>
          <t>342,000</t>
        </is>
      </c>
      <c r="K1006" s="41" t="inlineStr">
        <is>
          <t>108동</t>
        </is>
      </c>
      <c r="L1006" s="41" t="inlineStr">
        <is>
          <t>35</t>
        </is>
      </c>
      <c r="M1006" s="42" t="inlineStr">
        <is>
          <t>개인</t>
        </is>
      </c>
      <c r="N1006" s="42" t="inlineStr">
        <is>
          <t>개인</t>
        </is>
      </c>
      <c r="O1006" s="41" t="inlineStr">
        <is>
          <t>2021</t>
        </is>
      </c>
      <c r="P1006" s="42" t="inlineStr">
        <is>
          <t>효령로 391</t>
        </is>
      </c>
      <c r="Q1006" s="41" t="inlineStr">
        <is>
          <t>-</t>
        </is>
      </c>
      <c r="R1006" s="42" t="inlineStr">
        <is>
          <t>중개거래</t>
        </is>
      </c>
      <c r="S1006" s="42" t="inlineStr">
        <is>
          <t>서울 서초구</t>
        </is>
      </c>
      <c r="T1006" s="41" t="inlineStr">
        <is>
          <t>25.02.12</t>
        </is>
      </c>
      <c r="U1006" s="42" t="inlineStr">
        <is>
          <t>아파트</t>
        </is>
      </c>
    </row>
    <row r="1007" hidden="1" ht="14.25" customHeight="1">
      <c r="A1007" s="41" t="n">
        <v>474</v>
      </c>
      <c r="B1007" s="42" t="inlineStr">
        <is>
          <t>서울특별시 서초구 서초동</t>
        </is>
      </c>
      <c r="C1007" s="41" t="inlineStr">
        <is>
          <t>1346</t>
        </is>
      </c>
      <c r="D1007" s="41" t="inlineStr">
        <is>
          <t>1346</t>
        </is>
      </c>
      <c r="E1007" s="41" t="inlineStr">
        <is>
          <t>0000</t>
        </is>
      </c>
      <c r="F1007" s="42" t="inlineStr">
        <is>
          <t>현대아파트</t>
        </is>
      </c>
      <c r="G1007" s="41" t="inlineStr">
        <is>
          <t>84.3400</t>
        </is>
      </c>
      <c r="H1007" s="41" t="inlineStr">
        <is>
          <t>202411</t>
        </is>
      </c>
      <c r="I1007" s="41" t="inlineStr">
        <is>
          <t>18</t>
        </is>
      </c>
      <c r="J1007" s="41" t="inlineStr">
        <is>
          <t>180,000</t>
        </is>
      </c>
      <c r="K1007" s="41" t="inlineStr">
        <is>
          <t>20</t>
        </is>
      </c>
      <c r="L1007" s="41" t="inlineStr">
        <is>
          <t>3</t>
        </is>
      </c>
      <c r="M1007" s="42" t="inlineStr">
        <is>
          <t>개인</t>
        </is>
      </c>
      <c r="N1007" s="42" t="inlineStr">
        <is>
          <t>개인</t>
        </is>
      </c>
      <c r="O1007" s="41" t="inlineStr">
        <is>
          <t>1989</t>
        </is>
      </c>
      <c r="P1007" s="42" t="inlineStr">
        <is>
          <t>효령로68길 13</t>
        </is>
      </c>
      <c r="Q1007" s="41" t="inlineStr">
        <is>
          <t>-</t>
        </is>
      </c>
      <c r="R1007" s="42" t="inlineStr">
        <is>
          <t>중개거래</t>
        </is>
      </c>
      <c r="S1007" s="42" t="inlineStr">
        <is>
          <t>서울 서초구</t>
        </is>
      </c>
      <c r="T1007" s="41" t="inlineStr">
        <is>
          <t>25.02.28</t>
        </is>
      </c>
      <c r="U1007" s="42" t="inlineStr">
        <is>
          <t>아파트</t>
        </is>
      </c>
    </row>
    <row r="1008" hidden="1" ht="14.25" customHeight="1">
      <c r="A1008" s="41" t="n">
        <v>475</v>
      </c>
      <c r="B1008" s="42" t="inlineStr">
        <is>
          <t>서울특별시 서초구 서초동</t>
        </is>
      </c>
      <c r="C1008" s="41" t="inlineStr">
        <is>
          <t>1641-1</t>
        </is>
      </c>
      <c r="D1008" s="41" t="inlineStr">
        <is>
          <t>1641</t>
        </is>
      </c>
      <c r="E1008" s="41" t="inlineStr">
        <is>
          <t>0001</t>
        </is>
      </c>
      <c r="F1008" s="42" t="inlineStr">
        <is>
          <t>서초삼성래미안</t>
        </is>
      </c>
      <c r="G1008" s="41" t="inlineStr">
        <is>
          <t>150.2500</t>
        </is>
      </c>
      <c r="H1008" s="41" t="inlineStr">
        <is>
          <t>202411</t>
        </is>
      </c>
      <c r="I1008" s="41" t="inlineStr">
        <is>
          <t>18</t>
        </is>
      </c>
      <c r="J1008" s="41" t="inlineStr">
        <is>
          <t>232,000</t>
        </is>
      </c>
      <c r="K1008" s="41" t="inlineStr">
        <is>
          <t>103</t>
        </is>
      </c>
      <c r="L1008" s="41" t="inlineStr">
        <is>
          <t>2</t>
        </is>
      </c>
      <c r="M1008" s="42" t="inlineStr">
        <is>
          <t>개인</t>
        </is>
      </c>
      <c r="N1008" s="42" t="inlineStr">
        <is>
          <t>개인</t>
        </is>
      </c>
      <c r="O1008" s="41" t="inlineStr">
        <is>
          <t>2001</t>
        </is>
      </c>
      <c r="P1008" s="42" t="inlineStr">
        <is>
          <t>사임당로17길 116</t>
        </is>
      </c>
      <c r="Q1008" s="41" t="inlineStr">
        <is>
          <t>-</t>
        </is>
      </c>
      <c r="R1008" s="42" t="inlineStr">
        <is>
          <t>중개거래</t>
        </is>
      </c>
      <c r="S1008" s="42" t="inlineStr">
        <is>
          <t>서울 서초구</t>
        </is>
      </c>
      <c r="T1008" s="41" t="inlineStr">
        <is>
          <t>25.01.20</t>
        </is>
      </c>
      <c r="U1008" s="42" t="inlineStr">
        <is>
          <t>아파트</t>
        </is>
      </c>
    </row>
    <row r="1009" hidden="1" ht="14.25" customHeight="1">
      <c r="A1009" s="41" t="n">
        <v>476</v>
      </c>
      <c r="B1009" s="42" t="inlineStr">
        <is>
          <t>서울특별시 서초구 서초동</t>
        </is>
      </c>
      <c r="C1009" s="41" t="inlineStr">
        <is>
          <t>1641-1</t>
        </is>
      </c>
      <c r="D1009" s="41" t="inlineStr">
        <is>
          <t>1641</t>
        </is>
      </c>
      <c r="E1009" s="41" t="inlineStr">
        <is>
          <t>0001</t>
        </is>
      </c>
      <c r="F1009" s="42" t="inlineStr">
        <is>
          <t>서초삼성래미안</t>
        </is>
      </c>
      <c r="G1009" s="41" t="inlineStr">
        <is>
          <t>121.6600</t>
        </is>
      </c>
      <c r="H1009" s="41" t="inlineStr">
        <is>
          <t>202411</t>
        </is>
      </c>
      <c r="I1009" s="41" t="inlineStr">
        <is>
          <t>18</t>
        </is>
      </c>
      <c r="J1009" s="41" t="inlineStr">
        <is>
          <t>232,000</t>
        </is>
      </c>
      <c r="K1009" s="41" t="inlineStr">
        <is>
          <t>101</t>
        </is>
      </c>
      <c r="L1009" s="41" t="inlineStr">
        <is>
          <t>12</t>
        </is>
      </c>
      <c r="M1009" s="42" t="inlineStr">
        <is>
          <t>개인</t>
        </is>
      </c>
      <c r="N1009" s="42" t="inlineStr">
        <is>
          <t>개인</t>
        </is>
      </c>
      <c r="O1009" s="41" t="inlineStr">
        <is>
          <t>2001</t>
        </is>
      </c>
      <c r="P1009" s="42" t="inlineStr">
        <is>
          <t>사임당로17길 116</t>
        </is>
      </c>
      <c r="Q1009" s="41" t="inlineStr">
        <is>
          <t>-</t>
        </is>
      </c>
      <c r="R1009" s="42" t="inlineStr">
        <is>
          <t>중개거래</t>
        </is>
      </c>
      <c r="S1009" s="42" t="inlineStr">
        <is>
          <t>서울 서초구</t>
        </is>
      </c>
      <c r="T1009" s="41" t="inlineStr">
        <is>
          <t>25.01.20</t>
        </is>
      </c>
      <c r="U1009" s="42" t="inlineStr">
        <is>
          <t>아파트</t>
        </is>
      </c>
    </row>
    <row r="1010" hidden="1" ht="14.25" customHeight="1">
      <c r="A1010" s="41" t="n">
        <v>477</v>
      </c>
      <c r="B1010" s="42" t="inlineStr">
        <is>
          <t>서울특별시 서초구 서초동</t>
        </is>
      </c>
      <c r="C1010" s="41" t="inlineStr">
        <is>
          <t>1344-13</t>
        </is>
      </c>
      <c r="D1010" s="41" t="inlineStr">
        <is>
          <t>1344</t>
        </is>
      </c>
      <c r="E1010" s="41" t="inlineStr">
        <is>
          <t>0013</t>
        </is>
      </c>
      <c r="F1010" s="42" t="inlineStr">
        <is>
          <t>서초트라팰리스</t>
        </is>
      </c>
      <c r="G1010" s="41" t="inlineStr">
        <is>
          <t>95.5800</t>
        </is>
      </c>
      <c r="H1010" s="41" t="inlineStr">
        <is>
          <t>202411</t>
        </is>
      </c>
      <c r="I1010" s="41" t="inlineStr">
        <is>
          <t>18</t>
        </is>
      </c>
      <c r="J1010" s="41" t="inlineStr">
        <is>
          <t>179,000</t>
        </is>
      </c>
      <c r="K1010" s="41" t="inlineStr">
        <is>
          <t>A</t>
        </is>
      </c>
      <c r="L1010" s="41" t="inlineStr">
        <is>
          <t>10</t>
        </is>
      </c>
      <c r="M1010" s="42" t="inlineStr">
        <is>
          <t>개인</t>
        </is>
      </c>
      <c r="N1010" s="42" t="inlineStr">
        <is>
          <t>개인</t>
        </is>
      </c>
      <c r="O1010" s="41" t="inlineStr">
        <is>
          <t>2005</t>
        </is>
      </c>
      <c r="P1010" s="42" t="inlineStr">
        <is>
          <t>효령로72길 57</t>
        </is>
      </c>
      <c r="Q1010" s="41" t="inlineStr">
        <is>
          <t>-</t>
        </is>
      </c>
      <c r="R1010" s="42" t="inlineStr">
        <is>
          <t>중개거래</t>
        </is>
      </c>
      <c r="S1010" s="42" t="inlineStr">
        <is>
          <t>서울 서초구</t>
        </is>
      </c>
      <c r="T1010" s="41" t="inlineStr">
        <is>
          <t>25.02.12</t>
        </is>
      </c>
      <c r="U1010" s="42" t="inlineStr">
        <is>
          <t>아파트</t>
        </is>
      </c>
    </row>
    <row r="1011" hidden="1" ht="14.25" customHeight="1">
      <c r="A1011" s="41" t="n">
        <v>478</v>
      </c>
      <c r="B1011" s="42" t="inlineStr">
        <is>
          <t>서울특별시 서초구 서초동</t>
        </is>
      </c>
      <c r="C1011" s="41" t="inlineStr">
        <is>
          <t>1685</t>
        </is>
      </c>
      <c r="D1011" s="41" t="inlineStr">
        <is>
          <t>1685</t>
        </is>
      </c>
      <c r="E1011" s="41" t="inlineStr">
        <is>
          <t>0000</t>
        </is>
      </c>
      <c r="F1011" s="42" t="inlineStr">
        <is>
          <t>삼풍아파트</t>
        </is>
      </c>
      <c r="G1011" s="41" t="inlineStr">
        <is>
          <t>163.8100</t>
        </is>
      </c>
      <c r="H1011" s="41" t="inlineStr">
        <is>
          <t>202411</t>
        </is>
      </c>
      <c r="I1011" s="41" t="inlineStr">
        <is>
          <t>16</t>
        </is>
      </c>
      <c r="J1011" s="41" t="inlineStr">
        <is>
          <t>390,000</t>
        </is>
      </c>
      <c r="K1011" s="41" t="inlineStr">
        <is>
          <t>21</t>
        </is>
      </c>
      <c r="L1011" s="41" t="inlineStr">
        <is>
          <t>14</t>
        </is>
      </c>
      <c r="M1011" s="42" t="inlineStr">
        <is>
          <t>개인</t>
        </is>
      </c>
      <c r="N1011" s="42" t="inlineStr">
        <is>
          <t>개인</t>
        </is>
      </c>
      <c r="O1011" s="41" t="inlineStr">
        <is>
          <t>1988</t>
        </is>
      </c>
      <c r="P1011" s="42" t="inlineStr">
        <is>
          <t>서초중앙로 200</t>
        </is>
      </c>
      <c r="Q1011" s="41" t="inlineStr">
        <is>
          <t>-</t>
        </is>
      </c>
      <c r="R1011" s="42" t="inlineStr">
        <is>
          <t>중개거래</t>
        </is>
      </c>
      <c r="S1011" s="42" t="inlineStr">
        <is>
          <t>서울 서초구</t>
        </is>
      </c>
      <c r="T1011" s="41" t="inlineStr">
        <is>
          <t>25.03.11</t>
        </is>
      </c>
      <c r="U1011" s="42" t="inlineStr">
        <is>
          <t>아파트</t>
        </is>
      </c>
    </row>
    <row r="1012" hidden="1" ht="14.25" customHeight="1">
      <c r="A1012" s="41" t="n">
        <v>479</v>
      </c>
      <c r="B1012" s="42" t="inlineStr">
        <is>
          <t>서울특별시 서초구 서초동</t>
        </is>
      </c>
      <c r="C1012" s="41" t="inlineStr">
        <is>
          <t>1682</t>
        </is>
      </c>
      <c r="D1012" s="41" t="inlineStr">
        <is>
          <t>1682</t>
        </is>
      </c>
      <c r="E1012" s="41" t="inlineStr">
        <is>
          <t>0000</t>
        </is>
      </c>
      <c r="F1012" s="42" t="inlineStr">
        <is>
          <t>서초래미안</t>
        </is>
      </c>
      <c r="G1012" s="41" t="inlineStr">
        <is>
          <t>84.9700</t>
        </is>
      </c>
      <c r="H1012" s="41" t="inlineStr">
        <is>
          <t>202411</t>
        </is>
      </c>
      <c r="I1012" s="41" t="inlineStr">
        <is>
          <t>16</t>
        </is>
      </c>
      <c r="J1012" s="41" t="inlineStr">
        <is>
          <t>231,000</t>
        </is>
      </c>
      <c r="K1012" s="41" t="inlineStr">
        <is>
          <t>103</t>
        </is>
      </c>
      <c r="L1012" s="41" t="inlineStr">
        <is>
          <t>18</t>
        </is>
      </c>
      <c r="M1012" s="42" t="inlineStr">
        <is>
          <t>개인</t>
        </is>
      </c>
      <c r="N1012" s="42" t="inlineStr">
        <is>
          <t>개인</t>
        </is>
      </c>
      <c r="O1012" s="41" t="inlineStr">
        <is>
          <t>2003</t>
        </is>
      </c>
      <c r="P1012" s="42" t="inlineStr">
        <is>
          <t>서초대로65길 13-10</t>
        </is>
      </c>
      <c r="Q1012" s="41" t="inlineStr">
        <is>
          <t>-</t>
        </is>
      </c>
      <c r="R1012" s="42" t="inlineStr">
        <is>
          <t>중개거래</t>
        </is>
      </c>
      <c r="S1012" s="42" t="inlineStr">
        <is>
          <t>서울 서초구</t>
        </is>
      </c>
      <c r="T1012" s="41" t="inlineStr">
        <is>
          <t>25.03.07</t>
        </is>
      </c>
      <c r="U1012" s="42" t="inlineStr">
        <is>
          <t>아파트</t>
        </is>
      </c>
    </row>
    <row r="1013" hidden="1" ht="14.25" customHeight="1">
      <c r="A1013" s="41" t="n">
        <v>480</v>
      </c>
      <c r="B1013" s="42" t="inlineStr">
        <is>
          <t>서울특별시 서초구 서초동</t>
        </is>
      </c>
      <c r="C1013" s="41" t="inlineStr">
        <is>
          <t>1346</t>
        </is>
      </c>
      <c r="D1013" s="41" t="inlineStr">
        <is>
          <t>1346</t>
        </is>
      </c>
      <c r="E1013" s="41" t="inlineStr">
        <is>
          <t>0000</t>
        </is>
      </c>
      <c r="F1013" s="42" t="inlineStr">
        <is>
          <t>현대아파트</t>
        </is>
      </c>
      <c r="G1013" s="41" t="inlineStr">
        <is>
          <t>84.3300</t>
        </is>
      </c>
      <c r="H1013" s="41" t="inlineStr">
        <is>
          <t>202411</t>
        </is>
      </c>
      <c r="I1013" s="41" t="inlineStr">
        <is>
          <t>16</t>
        </is>
      </c>
      <c r="J1013" s="41" t="inlineStr">
        <is>
          <t>176,500</t>
        </is>
      </c>
      <c r="K1013" s="41" t="inlineStr">
        <is>
          <t>20</t>
        </is>
      </c>
      <c r="L1013" s="41" t="inlineStr">
        <is>
          <t>13</t>
        </is>
      </c>
      <c r="M1013" s="42" t="inlineStr">
        <is>
          <t>개인</t>
        </is>
      </c>
      <c r="N1013" s="42" t="inlineStr">
        <is>
          <t>개인</t>
        </is>
      </c>
      <c r="O1013" s="41" t="inlineStr">
        <is>
          <t>1989</t>
        </is>
      </c>
      <c r="P1013" s="42" t="inlineStr">
        <is>
          <t>효령로68길 13</t>
        </is>
      </c>
      <c r="Q1013" s="41" t="inlineStr">
        <is>
          <t>-</t>
        </is>
      </c>
      <c r="R1013" s="42" t="inlineStr">
        <is>
          <t>중개거래</t>
        </is>
      </c>
      <c r="S1013" s="42" t="inlineStr">
        <is>
          <t>서울 서초구</t>
        </is>
      </c>
      <c r="T1013" s="41" t="inlineStr">
        <is>
          <t>25.02.12</t>
        </is>
      </c>
      <c r="U1013" s="42" t="inlineStr">
        <is>
          <t>아파트</t>
        </is>
      </c>
    </row>
    <row r="1014" hidden="1" ht="14.25" customHeight="1">
      <c r="A1014" s="41" t="n">
        <v>481</v>
      </c>
      <c r="B1014" s="42" t="inlineStr">
        <is>
          <t>서울특별시 서초구 서초동</t>
        </is>
      </c>
      <c r="C1014" s="41" t="inlineStr">
        <is>
          <t>1648-2</t>
        </is>
      </c>
      <c r="D1014" s="41" t="inlineStr">
        <is>
          <t>1648</t>
        </is>
      </c>
      <c r="E1014" s="41" t="inlineStr">
        <is>
          <t>0002</t>
        </is>
      </c>
      <c r="F1014" s="42" t="inlineStr">
        <is>
          <t>서초현대</t>
        </is>
      </c>
      <c r="G1014" s="41" t="inlineStr">
        <is>
          <t>54.4500</t>
        </is>
      </c>
      <c r="H1014" s="41" t="inlineStr">
        <is>
          <t>202411</t>
        </is>
      </c>
      <c r="I1014" s="41" t="inlineStr">
        <is>
          <t>16</t>
        </is>
      </c>
      <c r="J1014" s="41" t="inlineStr">
        <is>
          <t>125,000</t>
        </is>
      </c>
      <c r="K1014" s="41" t="inlineStr">
        <is>
          <t>102</t>
        </is>
      </c>
      <c r="L1014" s="41" t="inlineStr">
        <is>
          <t>14</t>
        </is>
      </c>
      <c r="M1014" s="42" t="inlineStr">
        <is>
          <t>개인</t>
        </is>
      </c>
      <c r="N1014" s="42" t="inlineStr">
        <is>
          <t>개인</t>
        </is>
      </c>
      <c r="O1014" s="41" t="inlineStr">
        <is>
          <t>1999</t>
        </is>
      </c>
      <c r="P1014" s="42" t="inlineStr">
        <is>
          <t>사임당로19길 10</t>
        </is>
      </c>
      <c r="Q1014" s="41" t="inlineStr">
        <is>
          <t>-</t>
        </is>
      </c>
      <c r="R1014" s="42" t="inlineStr">
        <is>
          <t>중개거래</t>
        </is>
      </c>
      <c r="S1014" s="42" t="inlineStr">
        <is>
          <t>서울 서초구</t>
        </is>
      </c>
      <c r="T1014" s="41" t="inlineStr">
        <is>
          <t>25.02.10</t>
        </is>
      </c>
      <c r="U1014" s="42" t="inlineStr">
        <is>
          <t>아파트</t>
        </is>
      </c>
    </row>
    <row r="1015" hidden="1" ht="14.25" customHeight="1">
      <c r="A1015" s="41" t="n">
        <v>482</v>
      </c>
      <c r="B1015" s="42" t="inlineStr">
        <is>
          <t>서울특별시 서초구 서초동</t>
        </is>
      </c>
      <c r="C1015" s="41" t="inlineStr">
        <is>
          <t>1636-1</t>
        </is>
      </c>
      <c r="D1015" s="41" t="inlineStr">
        <is>
          <t>1636</t>
        </is>
      </c>
      <c r="E1015" s="41" t="inlineStr">
        <is>
          <t>0001</t>
        </is>
      </c>
      <c r="F1015" s="42" t="inlineStr">
        <is>
          <t>서초한일</t>
        </is>
      </c>
      <c r="G1015" s="41" t="inlineStr">
        <is>
          <t>59.9600</t>
        </is>
      </c>
      <c r="H1015" s="41" t="inlineStr">
        <is>
          <t>202411</t>
        </is>
      </c>
      <c r="I1015" s="41" t="inlineStr">
        <is>
          <t>16</t>
        </is>
      </c>
      <c r="J1015" s="41" t="inlineStr">
        <is>
          <t>125,500</t>
        </is>
      </c>
      <c r="K1015" s="41" t="inlineStr">
        <is>
          <t>101</t>
        </is>
      </c>
      <c r="L1015" s="41" t="inlineStr">
        <is>
          <t>5</t>
        </is>
      </c>
      <c r="M1015" s="42" t="inlineStr">
        <is>
          <t>개인</t>
        </is>
      </c>
      <c r="N1015" s="42" t="inlineStr">
        <is>
          <t>개인</t>
        </is>
      </c>
      <c r="O1015" s="41" t="inlineStr">
        <is>
          <t>1997</t>
        </is>
      </c>
      <c r="P1015" s="42" t="inlineStr">
        <is>
          <t>서초대로64길 31</t>
        </is>
      </c>
      <c r="Q1015" s="41" t="inlineStr">
        <is>
          <t>-</t>
        </is>
      </c>
      <c r="R1015" s="42" t="inlineStr">
        <is>
          <t>중개거래</t>
        </is>
      </c>
      <c r="S1015" s="42" t="inlineStr">
        <is>
          <t>서울 서초구</t>
        </is>
      </c>
      <c r="T1015" s="41" t="inlineStr">
        <is>
          <t>25.01.16</t>
        </is>
      </c>
      <c r="U1015" s="42" t="inlineStr">
        <is>
          <t>아파트</t>
        </is>
      </c>
    </row>
    <row r="1016" hidden="1" ht="14.25" customHeight="1">
      <c r="A1016" s="41" t="n">
        <v>483</v>
      </c>
      <c r="B1016" s="42" t="inlineStr">
        <is>
          <t>서울특별시 서초구 서초동</t>
        </is>
      </c>
      <c r="C1016" s="41" t="inlineStr">
        <is>
          <t>1685</t>
        </is>
      </c>
      <c r="D1016" s="41" t="inlineStr">
        <is>
          <t>1685</t>
        </is>
      </c>
      <c r="E1016" s="41" t="inlineStr">
        <is>
          <t>0000</t>
        </is>
      </c>
      <c r="F1016" s="42" t="inlineStr">
        <is>
          <t>삼풍아파트</t>
        </is>
      </c>
      <c r="G1016" s="41" t="inlineStr">
        <is>
          <t>163.8100</t>
        </is>
      </c>
      <c r="H1016" s="41" t="inlineStr">
        <is>
          <t>202411</t>
        </is>
      </c>
      <c r="I1016" s="41" t="inlineStr">
        <is>
          <t>16</t>
        </is>
      </c>
      <c r="J1016" s="41" t="inlineStr">
        <is>
          <t>390,000</t>
        </is>
      </c>
      <c r="K1016" s="41" t="inlineStr">
        <is>
          <t>-</t>
        </is>
      </c>
      <c r="L1016" s="41" t="inlineStr">
        <is>
          <t>14</t>
        </is>
      </c>
      <c r="M1016" s="42" t="inlineStr">
        <is>
          <t>개인</t>
        </is>
      </c>
      <c r="N1016" s="42" t="inlineStr">
        <is>
          <t>개인</t>
        </is>
      </c>
      <c r="O1016" s="41" t="inlineStr">
        <is>
          <t>1988</t>
        </is>
      </c>
      <c r="P1016" s="42" t="inlineStr">
        <is>
          <t>서초중앙로 200</t>
        </is>
      </c>
      <c r="Q1016" s="41" t="inlineStr">
        <is>
          <t>20250227</t>
        </is>
      </c>
      <c r="R1016" s="42" t="inlineStr">
        <is>
          <t>중개거래</t>
        </is>
      </c>
      <c r="S1016" s="42" t="inlineStr">
        <is>
          <t>서울 서초구</t>
        </is>
      </c>
      <c r="T1016" s="41" t="inlineStr">
        <is>
          <t>-</t>
        </is>
      </c>
      <c r="U1016" s="42" t="inlineStr">
        <is>
          <t>아파트</t>
        </is>
      </c>
    </row>
    <row r="1017" hidden="1" ht="14.25" customHeight="1">
      <c r="A1017" s="41" t="n">
        <v>484</v>
      </c>
      <c r="B1017" s="42" t="inlineStr">
        <is>
          <t>서울특별시 서초구 서초동</t>
        </is>
      </c>
      <c r="C1017" s="41" t="inlineStr">
        <is>
          <t>1682</t>
        </is>
      </c>
      <c r="D1017" s="41" t="inlineStr">
        <is>
          <t>1682</t>
        </is>
      </c>
      <c r="E1017" s="41" t="inlineStr">
        <is>
          <t>0000</t>
        </is>
      </c>
      <c r="F1017" s="42" t="inlineStr">
        <is>
          <t>서초래미안</t>
        </is>
      </c>
      <c r="G1017" s="41" t="inlineStr">
        <is>
          <t>111.3200</t>
        </is>
      </c>
      <c r="H1017" s="41" t="inlineStr">
        <is>
          <t>202411</t>
        </is>
      </c>
      <c r="I1017" s="41" t="inlineStr">
        <is>
          <t>15</t>
        </is>
      </c>
      <c r="J1017" s="41" t="inlineStr">
        <is>
          <t>240,000</t>
        </is>
      </c>
      <c r="K1017" s="41" t="inlineStr">
        <is>
          <t>103</t>
        </is>
      </c>
      <c r="L1017" s="41" t="inlineStr">
        <is>
          <t>14</t>
        </is>
      </c>
      <c r="M1017" s="42" t="inlineStr">
        <is>
          <t>개인</t>
        </is>
      </c>
      <c r="N1017" s="42" t="inlineStr">
        <is>
          <t>개인</t>
        </is>
      </c>
      <c r="O1017" s="41" t="inlineStr">
        <is>
          <t>2003</t>
        </is>
      </c>
      <c r="P1017" s="42" t="inlineStr">
        <is>
          <t>서초대로65길 13-10</t>
        </is>
      </c>
      <c r="Q1017" s="41" t="inlineStr">
        <is>
          <t>-</t>
        </is>
      </c>
      <c r="R1017" s="42" t="inlineStr">
        <is>
          <t>중개거래</t>
        </is>
      </c>
      <c r="S1017" s="42" t="inlineStr">
        <is>
          <t>경기 용인시 수지구, 서울 서초구</t>
        </is>
      </c>
      <c r="T1017" s="41" t="inlineStr">
        <is>
          <t>24.11.25</t>
        </is>
      </c>
      <c r="U1017" s="42" t="inlineStr">
        <is>
          <t>아파트</t>
        </is>
      </c>
    </row>
    <row r="1018" hidden="1" ht="14.25" customHeight="1">
      <c r="A1018" s="41" t="n">
        <v>485</v>
      </c>
      <c r="B1018" s="42" t="inlineStr">
        <is>
          <t>서울특별시 서초구 서초동</t>
        </is>
      </c>
      <c r="C1018" s="41" t="inlineStr">
        <is>
          <t>1686-9</t>
        </is>
      </c>
      <c r="D1018" s="41" t="inlineStr">
        <is>
          <t>1686</t>
        </is>
      </c>
      <c r="E1018" s="41" t="inlineStr">
        <is>
          <t>0009</t>
        </is>
      </c>
      <c r="F1018" s="42" t="inlineStr">
        <is>
          <t>서초교대e편한세상</t>
        </is>
      </c>
      <c r="G1018" s="41" t="inlineStr">
        <is>
          <t>59.9000</t>
        </is>
      </c>
      <c r="H1018" s="41" t="inlineStr">
        <is>
          <t>202411</t>
        </is>
      </c>
      <c r="I1018" s="41" t="inlineStr">
        <is>
          <t>15</t>
        </is>
      </c>
      <c r="J1018" s="41" t="inlineStr">
        <is>
          <t>220,000</t>
        </is>
      </c>
      <c r="K1018" s="41" t="inlineStr">
        <is>
          <t>-</t>
        </is>
      </c>
      <c r="L1018" s="41" t="inlineStr">
        <is>
          <t>7</t>
        </is>
      </c>
      <c r="M1018" s="42" t="inlineStr">
        <is>
          <t>개인</t>
        </is>
      </c>
      <c r="N1018" s="42" t="inlineStr">
        <is>
          <t>개인</t>
        </is>
      </c>
      <c r="O1018" s="41" t="inlineStr">
        <is>
          <t>2010</t>
        </is>
      </c>
      <c r="P1018" s="42" t="inlineStr">
        <is>
          <t>서초중앙로24길 33</t>
        </is>
      </c>
      <c r="Q1018" s="41" t="inlineStr">
        <is>
          <t>20250225</t>
        </is>
      </c>
      <c r="R1018" s="42" t="inlineStr">
        <is>
          <t>중개거래</t>
        </is>
      </c>
      <c r="S1018" s="42" t="inlineStr">
        <is>
          <t>서울 서초구</t>
        </is>
      </c>
      <c r="T1018" s="41" t="inlineStr">
        <is>
          <t>-</t>
        </is>
      </c>
      <c r="U1018" s="42" t="inlineStr">
        <is>
          <t>아파트</t>
        </is>
      </c>
    </row>
    <row r="1019" hidden="1" ht="14.25" customHeight="1">
      <c r="A1019" s="41" t="n">
        <v>486</v>
      </c>
      <c r="B1019" s="42" t="inlineStr">
        <is>
          <t>서울특별시 서초구 서초동</t>
        </is>
      </c>
      <c r="C1019" s="41" t="inlineStr">
        <is>
          <t>1467-97</t>
        </is>
      </c>
      <c r="D1019" s="41" t="inlineStr">
        <is>
          <t>1467</t>
        </is>
      </c>
      <c r="E1019" s="41" t="inlineStr">
        <is>
          <t>0097</t>
        </is>
      </c>
      <c r="F1019" s="42" t="inlineStr">
        <is>
          <t>서초금호어울림</t>
        </is>
      </c>
      <c r="G1019" s="41" t="inlineStr">
        <is>
          <t>124.3500</t>
        </is>
      </c>
      <c r="H1019" s="41" t="inlineStr">
        <is>
          <t>202411</t>
        </is>
      </c>
      <c r="I1019" s="41" t="inlineStr">
        <is>
          <t>14</t>
        </is>
      </c>
      <c r="J1019" s="41" t="inlineStr">
        <is>
          <t>180,000</t>
        </is>
      </c>
      <c r="K1019" s="41" t="inlineStr">
        <is>
          <t>101</t>
        </is>
      </c>
      <c r="L1019" s="41" t="inlineStr">
        <is>
          <t>10</t>
        </is>
      </c>
      <c r="M1019" s="42" t="inlineStr">
        <is>
          <t>개인</t>
        </is>
      </c>
      <c r="N1019" s="42" t="inlineStr">
        <is>
          <t>개인</t>
        </is>
      </c>
      <c r="O1019" s="41" t="inlineStr">
        <is>
          <t>2001</t>
        </is>
      </c>
      <c r="P1019" s="42" t="inlineStr">
        <is>
          <t>명달로 10</t>
        </is>
      </c>
      <c r="Q1019" s="41" t="inlineStr">
        <is>
          <t>-</t>
        </is>
      </c>
      <c r="R1019" s="42" t="inlineStr">
        <is>
          <t>중개거래</t>
        </is>
      </c>
      <c r="S1019" s="42" t="inlineStr">
        <is>
          <t>서울 서초구</t>
        </is>
      </c>
      <c r="T1019" s="41" t="inlineStr">
        <is>
          <t>25.02.24</t>
        </is>
      </c>
      <c r="U1019" s="42" t="inlineStr">
        <is>
          <t>아파트</t>
        </is>
      </c>
    </row>
    <row r="1020" hidden="1" ht="14.25" customHeight="1">
      <c r="A1020" s="41" t="n">
        <v>487</v>
      </c>
      <c r="B1020" s="42" t="inlineStr">
        <is>
          <t>서울특별시 서초구 서초동</t>
        </is>
      </c>
      <c r="C1020" s="41" t="inlineStr">
        <is>
          <t>1346</t>
        </is>
      </c>
      <c r="D1020" s="41" t="inlineStr">
        <is>
          <t>1346</t>
        </is>
      </c>
      <c r="E1020" s="41" t="inlineStr">
        <is>
          <t>0000</t>
        </is>
      </c>
      <c r="F1020" s="42" t="inlineStr">
        <is>
          <t>현대아파트</t>
        </is>
      </c>
      <c r="G1020" s="41" t="inlineStr">
        <is>
          <t>84.3300</t>
        </is>
      </c>
      <c r="H1020" s="41" t="inlineStr">
        <is>
          <t>202411</t>
        </is>
      </c>
      <c r="I1020" s="41" t="inlineStr">
        <is>
          <t>14</t>
        </is>
      </c>
      <c r="J1020" s="41" t="inlineStr">
        <is>
          <t>180,000</t>
        </is>
      </c>
      <c r="K1020" s="41" t="inlineStr">
        <is>
          <t>21</t>
        </is>
      </c>
      <c r="L1020" s="41" t="inlineStr">
        <is>
          <t>15</t>
        </is>
      </c>
      <c r="M1020" s="42" t="inlineStr">
        <is>
          <t>개인</t>
        </is>
      </c>
      <c r="N1020" s="42" t="inlineStr">
        <is>
          <t>개인</t>
        </is>
      </c>
      <c r="O1020" s="41" t="inlineStr">
        <is>
          <t>1989</t>
        </is>
      </c>
      <c r="P1020" s="42" t="inlineStr">
        <is>
          <t>효령로68길 13</t>
        </is>
      </c>
      <c r="Q1020" s="41" t="inlineStr">
        <is>
          <t>-</t>
        </is>
      </c>
      <c r="R1020" s="42" t="inlineStr">
        <is>
          <t>중개거래</t>
        </is>
      </c>
      <c r="S1020" s="42" t="inlineStr">
        <is>
          <t>서울 서초구</t>
        </is>
      </c>
      <c r="T1020" s="41" t="inlineStr">
        <is>
          <t>25.02.06</t>
        </is>
      </c>
      <c r="U1020" s="42" t="inlineStr">
        <is>
          <t>아파트</t>
        </is>
      </c>
    </row>
    <row r="1021" hidden="1" ht="14.25" customHeight="1">
      <c r="A1021" s="41" t="n">
        <v>488</v>
      </c>
      <c r="B1021" s="42" t="inlineStr">
        <is>
          <t>서울특별시 서초구 서초동</t>
        </is>
      </c>
      <c r="C1021" s="41" t="inlineStr">
        <is>
          <t>1609-6</t>
        </is>
      </c>
      <c r="D1021" s="41" t="inlineStr">
        <is>
          <t>1609</t>
        </is>
      </c>
      <c r="E1021" s="41" t="inlineStr">
        <is>
          <t>0006</t>
        </is>
      </c>
      <c r="F1021" s="42" t="inlineStr">
        <is>
          <t>두진한아름</t>
        </is>
      </c>
      <c r="G1021" s="41" t="inlineStr">
        <is>
          <t>59.6100</t>
        </is>
      </c>
      <c r="H1021" s="41" t="inlineStr">
        <is>
          <t>202411</t>
        </is>
      </c>
      <c r="I1021" s="41" t="inlineStr">
        <is>
          <t>14</t>
        </is>
      </c>
      <c r="J1021" s="41" t="inlineStr">
        <is>
          <t>76,450</t>
        </is>
      </c>
      <c r="K1021" s="41" t="inlineStr">
        <is>
          <t>-</t>
        </is>
      </c>
      <c r="L1021" s="41" t="inlineStr">
        <is>
          <t>4</t>
        </is>
      </c>
      <c r="M1021" s="42" t="inlineStr">
        <is>
          <t>개인</t>
        </is>
      </c>
      <c r="N1021" s="42" t="inlineStr">
        <is>
          <t>개인</t>
        </is>
      </c>
      <c r="O1021" s="41" t="inlineStr">
        <is>
          <t>1995</t>
        </is>
      </c>
      <c r="P1021" s="42" t="inlineStr">
        <is>
          <t>효령로67길 52</t>
        </is>
      </c>
      <c r="Q1021" s="41" t="inlineStr">
        <is>
          <t>-</t>
        </is>
      </c>
      <c r="R1021" s="42" t="inlineStr">
        <is>
          <t>직거래</t>
        </is>
      </c>
      <c r="S1021" s="41" t="inlineStr">
        <is>
          <t>-</t>
        </is>
      </c>
      <c r="T1021" s="41" t="inlineStr">
        <is>
          <t>24.11.21</t>
        </is>
      </c>
      <c r="U1021" s="42" t="inlineStr">
        <is>
          <t>아파트</t>
        </is>
      </c>
    </row>
    <row r="1022" hidden="1" ht="14.25" customHeight="1">
      <c r="A1022" s="41" t="n">
        <v>489</v>
      </c>
      <c r="B1022" s="42" t="inlineStr">
        <is>
          <t>서울특별시 서초구 서초동</t>
        </is>
      </c>
      <c r="C1022" s="41" t="inlineStr">
        <is>
          <t>1338-1</t>
        </is>
      </c>
      <c r="D1022" s="41" t="inlineStr">
        <is>
          <t>1338</t>
        </is>
      </c>
      <c r="E1022" s="41" t="inlineStr">
        <is>
          <t>0001</t>
        </is>
      </c>
      <c r="F1022" s="42" t="inlineStr">
        <is>
          <t>풍림아이원플러스</t>
        </is>
      </c>
      <c r="G1022" s="41" t="inlineStr">
        <is>
          <t>35.9030</t>
        </is>
      </c>
      <c r="H1022" s="41" t="inlineStr">
        <is>
          <t>202411</t>
        </is>
      </c>
      <c r="I1022" s="41" t="inlineStr">
        <is>
          <t>14</t>
        </is>
      </c>
      <c r="J1022" s="41" t="inlineStr">
        <is>
          <t>36,600</t>
        </is>
      </c>
      <c r="K1022" s="42" t="inlineStr">
        <is>
          <t>풍림아이원플러스</t>
        </is>
      </c>
      <c r="L1022" s="41" t="inlineStr">
        <is>
          <t>11</t>
        </is>
      </c>
      <c r="M1022" s="42" t="inlineStr">
        <is>
          <t>개인</t>
        </is>
      </c>
      <c r="N1022" s="42" t="inlineStr">
        <is>
          <t>개인</t>
        </is>
      </c>
      <c r="O1022" s="41" t="inlineStr">
        <is>
          <t>2004</t>
        </is>
      </c>
      <c r="P1022" s="42" t="inlineStr">
        <is>
          <t>효령로77길 14</t>
        </is>
      </c>
      <c r="Q1022" s="41" t="inlineStr">
        <is>
          <t>-</t>
        </is>
      </c>
      <c r="R1022" s="42" t="inlineStr">
        <is>
          <t>중개거래</t>
        </is>
      </c>
      <c r="S1022" s="42" t="inlineStr">
        <is>
          <t>서울 서초구</t>
        </is>
      </c>
      <c r="T1022" s="41" t="inlineStr">
        <is>
          <t>25.02.19</t>
        </is>
      </c>
      <c r="U1022" s="42" t="inlineStr">
        <is>
          <t>아파트</t>
        </is>
      </c>
    </row>
    <row r="1023" hidden="1" ht="14.25" customHeight="1">
      <c r="A1023" s="41" t="n">
        <v>490</v>
      </c>
      <c r="B1023" s="42" t="inlineStr">
        <is>
          <t>서울특별시 서초구 서초동</t>
        </is>
      </c>
      <c r="C1023" s="41" t="inlineStr">
        <is>
          <t>1315</t>
        </is>
      </c>
      <c r="D1023" s="41" t="inlineStr">
        <is>
          <t>1315</t>
        </is>
      </c>
      <c r="E1023" s="41" t="inlineStr">
        <is>
          <t>0000</t>
        </is>
      </c>
      <c r="F1023" s="42" t="inlineStr">
        <is>
          <t>진흥아파트</t>
        </is>
      </c>
      <c r="G1023" s="41" t="inlineStr">
        <is>
          <t>101.3200</t>
        </is>
      </c>
      <c r="H1023" s="41" t="inlineStr">
        <is>
          <t>202411</t>
        </is>
      </c>
      <c r="I1023" s="41" t="inlineStr">
        <is>
          <t>13</t>
        </is>
      </c>
      <c r="J1023" s="41" t="inlineStr">
        <is>
          <t>260,000</t>
        </is>
      </c>
      <c r="K1023" s="41" t="inlineStr">
        <is>
          <t>2</t>
        </is>
      </c>
      <c r="L1023" s="41" t="inlineStr">
        <is>
          <t>6</t>
        </is>
      </c>
      <c r="M1023" s="42" t="inlineStr">
        <is>
          <t>개인</t>
        </is>
      </c>
      <c r="N1023" s="42" t="inlineStr">
        <is>
          <t>개인</t>
        </is>
      </c>
      <c r="O1023" s="41" t="inlineStr">
        <is>
          <t>1979</t>
        </is>
      </c>
      <c r="P1023" s="42" t="inlineStr">
        <is>
          <t>서초대로 385</t>
        </is>
      </c>
      <c r="Q1023" s="41" t="inlineStr">
        <is>
          <t>-</t>
        </is>
      </c>
      <c r="R1023" s="42" t="inlineStr">
        <is>
          <t>중개거래</t>
        </is>
      </c>
      <c r="S1023" s="42" t="inlineStr">
        <is>
          <t>부산 해운대구, 서울 서초구</t>
        </is>
      </c>
      <c r="T1023" s="41" t="inlineStr">
        <is>
          <t>25.03.31</t>
        </is>
      </c>
      <c r="U1023" s="42" t="inlineStr">
        <is>
          <t>아파트</t>
        </is>
      </c>
    </row>
    <row r="1024" hidden="1" ht="14.25" customHeight="1">
      <c r="A1024" s="41" t="n">
        <v>491</v>
      </c>
      <c r="B1024" s="42" t="inlineStr">
        <is>
          <t>서울특별시 서초구 서초동</t>
        </is>
      </c>
      <c r="C1024" s="41" t="inlineStr">
        <is>
          <t>1682</t>
        </is>
      </c>
      <c r="D1024" s="41" t="inlineStr">
        <is>
          <t>1682</t>
        </is>
      </c>
      <c r="E1024" s="41" t="inlineStr">
        <is>
          <t>0000</t>
        </is>
      </c>
      <c r="F1024" s="42" t="inlineStr">
        <is>
          <t>서초래미안</t>
        </is>
      </c>
      <c r="G1024" s="41" t="inlineStr">
        <is>
          <t>111.3200</t>
        </is>
      </c>
      <c r="H1024" s="41" t="inlineStr">
        <is>
          <t>202411</t>
        </is>
      </c>
      <c r="I1024" s="41" t="inlineStr">
        <is>
          <t>13</t>
        </is>
      </c>
      <c r="J1024" s="41" t="inlineStr">
        <is>
          <t>255,000</t>
        </is>
      </c>
      <c r="K1024" s="41" t="inlineStr">
        <is>
          <t>102</t>
        </is>
      </c>
      <c r="L1024" s="41" t="inlineStr">
        <is>
          <t>20</t>
        </is>
      </c>
      <c r="M1024" s="42" t="inlineStr">
        <is>
          <t>개인</t>
        </is>
      </c>
      <c r="N1024" s="42" t="inlineStr">
        <is>
          <t>개인</t>
        </is>
      </c>
      <c r="O1024" s="41" t="inlineStr">
        <is>
          <t>2003</t>
        </is>
      </c>
      <c r="P1024" s="42" t="inlineStr">
        <is>
          <t>서초대로65길 13-10</t>
        </is>
      </c>
      <c r="Q1024" s="41" t="inlineStr">
        <is>
          <t>-</t>
        </is>
      </c>
      <c r="R1024" s="42" t="inlineStr">
        <is>
          <t>중개거래</t>
        </is>
      </c>
      <c r="S1024" s="42" t="inlineStr">
        <is>
          <t>서울 서초구</t>
        </is>
      </c>
      <c r="T1024" s="41" t="inlineStr">
        <is>
          <t>25.02.20</t>
        </is>
      </c>
      <c r="U1024" s="42" t="inlineStr">
        <is>
          <t>아파트</t>
        </is>
      </c>
    </row>
    <row r="1025" hidden="1" ht="14.25" customHeight="1">
      <c r="A1025" s="41" t="n">
        <v>492</v>
      </c>
      <c r="B1025" s="42" t="inlineStr">
        <is>
          <t>서울특별시 서초구 서초동</t>
        </is>
      </c>
      <c r="C1025" s="41" t="inlineStr">
        <is>
          <t>1685</t>
        </is>
      </c>
      <c r="D1025" s="41" t="inlineStr">
        <is>
          <t>1685</t>
        </is>
      </c>
      <c r="E1025" s="41" t="inlineStr">
        <is>
          <t>0000</t>
        </is>
      </c>
      <c r="F1025" s="42" t="inlineStr">
        <is>
          <t>삼풍아파트</t>
        </is>
      </c>
      <c r="G1025" s="41" t="inlineStr">
        <is>
          <t>165.9200</t>
        </is>
      </c>
      <c r="H1025" s="41" t="inlineStr">
        <is>
          <t>202411</t>
        </is>
      </c>
      <c r="I1025" s="41" t="inlineStr">
        <is>
          <t>13</t>
        </is>
      </c>
      <c r="J1025" s="41" t="inlineStr">
        <is>
          <t>419,000</t>
        </is>
      </c>
      <c r="K1025" s="41" t="inlineStr">
        <is>
          <t>-</t>
        </is>
      </c>
      <c r="L1025" s="41" t="inlineStr">
        <is>
          <t>9</t>
        </is>
      </c>
      <c r="M1025" s="42" t="inlineStr">
        <is>
          <t>개인</t>
        </is>
      </c>
      <c r="N1025" s="42" t="inlineStr">
        <is>
          <t>개인</t>
        </is>
      </c>
      <c r="O1025" s="41" t="inlineStr">
        <is>
          <t>1988</t>
        </is>
      </c>
      <c r="P1025" s="42" t="inlineStr">
        <is>
          <t>서초중앙로 200</t>
        </is>
      </c>
      <c r="Q1025" s="41" t="inlineStr">
        <is>
          <t>-</t>
        </is>
      </c>
      <c r="R1025" s="42" t="inlineStr">
        <is>
          <t>중개거래</t>
        </is>
      </c>
      <c r="S1025" s="42" t="inlineStr">
        <is>
          <t>서울 서초구</t>
        </is>
      </c>
      <c r="T1025" s="41" t="inlineStr">
        <is>
          <t>-</t>
        </is>
      </c>
      <c r="U1025" s="42" t="inlineStr">
        <is>
          <t>아파트</t>
        </is>
      </c>
    </row>
    <row r="1026" hidden="1" ht="14.25" customHeight="1">
      <c r="A1026" s="41" t="n">
        <v>493</v>
      </c>
      <c r="B1026" s="42" t="inlineStr">
        <is>
          <t>서울특별시 서초구 서초동</t>
        </is>
      </c>
      <c r="C1026" s="41" t="inlineStr">
        <is>
          <t>1346</t>
        </is>
      </c>
      <c r="D1026" s="41" t="inlineStr">
        <is>
          <t>1346</t>
        </is>
      </c>
      <c r="E1026" s="41" t="inlineStr">
        <is>
          <t>0000</t>
        </is>
      </c>
      <c r="F1026" s="42" t="inlineStr">
        <is>
          <t>현대아파트</t>
        </is>
      </c>
      <c r="G1026" s="41" t="inlineStr">
        <is>
          <t>84.3400</t>
        </is>
      </c>
      <c r="H1026" s="41" t="inlineStr">
        <is>
          <t>202411</t>
        </is>
      </c>
      <c r="I1026" s="41" t="inlineStr">
        <is>
          <t>12</t>
        </is>
      </c>
      <c r="J1026" s="41" t="inlineStr">
        <is>
          <t>174,000</t>
        </is>
      </c>
      <c r="K1026" s="41" t="inlineStr">
        <is>
          <t>21</t>
        </is>
      </c>
      <c r="L1026" s="41" t="inlineStr">
        <is>
          <t>5</t>
        </is>
      </c>
      <c r="M1026" s="42" t="inlineStr">
        <is>
          <t>개인</t>
        </is>
      </c>
      <c r="N1026" s="42" t="inlineStr">
        <is>
          <t>개인</t>
        </is>
      </c>
      <c r="O1026" s="41" t="inlineStr">
        <is>
          <t>1989</t>
        </is>
      </c>
      <c r="P1026" s="42" t="inlineStr">
        <is>
          <t>효령로68길 13</t>
        </is>
      </c>
      <c r="Q1026" s="41" t="inlineStr">
        <is>
          <t>-</t>
        </is>
      </c>
      <c r="R1026" s="42" t="inlineStr">
        <is>
          <t>중개거래</t>
        </is>
      </c>
      <c r="S1026" s="42" t="inlineStr">
        <is>
          <t>서울 서초구</t>
        </is>
      </c>
      <c r="T1026" s="41" t="inlineStr">
        <is>
          <t>25.02.26</t>
        </is>
      </c>
      <c r="U1026" s="42" t="inlineStr">
        <is>
          <t>아파트</t>
        </is>
      </c>
    </row>
    <row r="1027" hidden="1" ht="14.25" customHeight="1">
      <c r="A1027" s="41" t="n">
        <v>494</v>
      </c>
      <c r="B1027" s="42" t="inlineStr">
        <is>
          <t>서울특별시 서초구 서초동</t>
        </is>
      </c>
      <c r="C1027" s="41" t="inlineStr">
        <is>
          <t>1330</t>
        </is>
      </c>
      <c r="D1027" s="41" t="inlineStr">
        <is>
          <t>1330</t>
        </is>
      </c>
      <c r="E1027" s="41" t="inlineStr">
        <is>
          <t>0000</t>
        </is>
      </c>
      <c r="F1027" s="42" t="inlineStr">
        <is>
          <t>서초동삼성쉐르빌2</t>
        </is>
      </c>
      <c r="G1027" s="41" t="inlineStr">
        <is>
          <t>35.2200</t>
        </is>
      </c>
      <c r="H1027" s="41" t="inlineStr">
        <is>
          <t>202411</t>
        </is>
      </c>
      <c r="I1027" s="41" t="inlineStr">
        <is>
          <t>11</t>
        </is>
      </c>
      <c r="J1027" s="41" t="inlineStr">
        <is>
          <t>31,350</t>
        </is>
      </c>
      <c r="K1027" s="41" t="inlineStr">
        <is>
          <t>-</t>
        </is>
      </c>
      <c r="L1027" s="41" t="inlineStr">
        <is>
          <t>4</t>
        </is>
      </c>
      <c r="M1027" s="42" t="inlineStr">
        <is>
          <t>개인</t>
        </is>
      </c>
      <c r="N1027" s="42" t="inlineStr">
        <is>
          <t>개인</t>
        </is>
      </c>
      <c r="O1027" s="41" t="inlineStr">
        <is>
          <t>2002</t>
        </is>
      </c>
      <c r="P1027" s="42" t="inlineStr">
        <is>
          <t>강남대로53길 11</t>
        </is>
      </c>
      <c r="Q1027" s="41" t="inlineStr">
        <is>
          <t>-</t>
        </is>
      </c>
      <c r="R1027" s="42" t="inlineStr">
        <is>
          <t>직거래</t>
        </is>
      </c>
      <c r="S1027" s="41" t="inlineStr">
        <is>
          <t>-</t>
        </is>
      </c>
      <c r="T1027" s="41" t="inlineStr">
        <is>
          <t>24.11.25</t>
        </is>
      </c>
      <c r="U1027" s="42" t="inlineStr">
        <is>
          <t>아파트</t>
        </is>
      </c>
    </row>
    <row r="1028" hidden="1" ht="14.25" customHeight="1">
      <c r="A1028" s="41" t="n">
        <v>495</v>
      </c>
      <c r="B1028" s="42" t="inlineStr">
        <is>
          <t>서울특별시 서초구 서초동</t>
        </is>
      </c>
      <c r="C1028" s="41" t="inlineStr">
        <is>
          <t>1641-13</t>
        </is>
      </c>
      <c r="D1028" s="41" t="inlineStr">
        <is>
          <t>1641</t>
        </is>
      </c>
      <c r="E1028" s="41" t="inlineStr">
        <is>
          <t>0013</t>
        </is>
      </c>
      <c r="F1028" s="42" t="inlineStr">
        <is>
          <t>아남</t>
        </is>
      </c>
      <c r="G1028" s="41" t="inlineStr">
        <is>
          <t>84.9600</t>
        </is>
      </c>
      <c r="H1028" s="41" t="inlineStr">
        <is>
          <t>202411</t>
        </is>
      </c>
      <c r="I1028" s="41" t="inlineStr">
        <is>
          <t>11</t>
        </is>
      </c>
      <c r="J1028" s="41" t="inlineStr">
        <is>
          <t>179,000</t>
        </is>
      </c>
      <c r="K1028" s="41" t="inlineStr">
        <is>
          <t>2</t>
        </is>
      </c>
      <c r="L1028" s="41" t="inlineStr">
        <is>
          <t>11</t>
        </is>
      </c>
      <c r="M1028" s="42" t="inlineStr">
        <is>
          <t>개인</t>
        </is>
      </c>
      <c r="N1028" s="42" t="inlineStr">
        <is>
          <t>개인</t>
        </is>
      </c>
      <c r="O1028" s="41" t="inlineStr">
        <is>
          <t>1989</t>
        </is>
      </c>
      <c r="P1028" s="42" t="inlineStr">
        <is>
          <t>사임당로23길 53</t>
        </is>
      </c>
      <c r="Q1028" s="41" t="inlineStr">
        <is>
          <t>-</t>
        </is>
      </c>
      <c r="R1028" s="42" t="inlineStr">
        <is>
          <t>중개거래</t>
        </is>
      </c>
      <c r="S1028" s="42" t="inlineStr">
        <is>
          <t>서울 서초구</t>
        </is>
      </c>
      <c r="T1028" s="41" t="inlineStr">
        <is>
          <t>25.01.09</t>
        </is>
      </c>
      <c r="U1028" s="42" t="inlineStr">
        <is>
          <t>아파트</t>
        </is>
      </c>
    </row>
    <row r="1029" hidden="1" ht="14.25" customHeight="1">
      <c r="A1029" s="41" t="n">
        <v>496</v>
      </c>
      <c r="B1029" s="42" t="inlineStr">
        <is>
          <t>서울특별시 서초구 서초동</t>
        </is>
      </c>
      <c r="C1029" s="41" t="inlineStr">
        <is>
          <t>1582-3</t>
        </is>
      </c>
      <c r="D1029" s="41" t="inlineStr">
        <is>
          <t>1582</t>
        </is>
      </c>
      <c r="E1029" s="41" t="inlineStr">
        <is>
          <t>0003</t>
        </is>
      </c>
      <c r="F1029" s="42" t="inlineStr">
        <is>
          <t>서초센트럴IPARK</t>
        </is>
      </c>
      <c r="G1029" s="41" t="inlineStr">
        <is>
          <t>80.5154</t>
        </is>
      </c>
      <c r="H1029" s="41" t="inlineStr">
        <is>
          <t>202411</t>
        </is>
      </c>
      <c r="I1029" s="41" t="inlineStr">
        <is>
          <t>10</t>
        </is>
      </c>
      <c r="J1029" s="41" t="inlineStr">
        <is>
          <t>193,500</t>
        </is>
      </c>
      <c r="K1029" s="41" t="inlineStr">
        <is>
          <t>102동</t>
        </is>
      </c>
      <c r="L1029" s="41" t="inlineStr">
        <is>
          <t>30</t>
        </is>
      </c>
      <c r="M1029" s="42" t="inlineStr">
        <is>
          <t>개인</t>
        </is>
      </c>
      <c r="N1029" s="42" t="inlineStr">
        <is>
          <t>개인</t>
        </is>
      </c>
      <c r="O1029" s="41" t="inlineStr">
        <is>
          <t>2020</t>
        </is>
      </c>
      <c r="P1029" s="42" t="inlineStr">
        <is>
          <t>반포대로18길 36</t>
        </is>
      </c>
      <c r="Q1029" s="41" t="inlineStr">
        <is>
          <t>-</t>
        </is>
      </c>
      <c r="R1029" s="42" t="inlineStr">
        <is>
          <t>중개거래</t>
        </is>
      </c>
      <c r="S1029" s="42" t="inlineStr">
        <is>
          <t>서울 서초구</t>
        </is>
      </c>
      <c r="T1029" s="41" t="inlineStr">
        <is>
          <t>24.12.09</t>
        </is>
      </c>
      <c r="U1029" s="42" t="inlineStr">
        <is>
          <t>아파트</t>
        </is>
      </c>
    </row>
    <row r="1030" hidden="1" ht="14.25" customHeight="1">
      <c r="A1030" s="41" t="n">
        <v>497</v>
      </c>
      <c r="B1030" s="42" t="inlineStr">
        <is>
          <t>서울특별시 서초구 서초동</t>
        </is>
      </c>
      <c r="C1030" s="41" t="inlineStr">
        <is>
          <t>1682</t>
        </is>
      </c>
      <c r="D1030" s="41" t="inlineStr">
        <is>
          <t>1682</t>
        </is>
      </c>
      <c r="E1030" s="41" t="inlineStr">
        <is>
          <t>0000</t>
        </is>
      </c>
      <c r="F1030" s="42" t="inlineStr">
        <is>
          <t>서초래미안</t>
        </is>
      </c>
      <c r="G1030" s="41" t="inlineStr">
        <is>
          <t>111.3200</t>
        </is>
      </c>
      <c r="H1030" s="41" t="inlineStr">
        <is>
          <t>202411</t>
        </is>
      </c>
      <c r="I1030" s="41" t="inlineStr">
        <is>
          <t>09</t>
        </is>
      </c>
      <c r="J1030" s="41" t="inlineStr">
        <is>
          <t>270,000</t>
        </is>
      </c>
      <c r="K1030" s="41" t="inlineStr">
        <is>
          <t>109</t>
        </is>
      </c>
      <c r="L1030" s="41" t="inlineStr">
        <is>
          <t>17</t>
        </is>
      </c>
      <c r="M1030" s="42" t="inlineStr">
        <is>
          <t>개인</t>
        </is>
      </c>
      <c r="N1030" s="42" t="inlineStr">
        <is>
          <t>개인</t>
        </is>
      </c>
      <c r="O1030" s="41" t="inlineStr">
        <is>
          <t>2003</t>
        </is>
      </c>
      <c r="P1030" s="42" t="inlineStr">
        <is>
          <t>서초대로65길 13-10</t>
        </is>
      </c>
      <c r="Q1030" s="41" t="inlineStr">
        <is>
          <t>-</t>
        </is>
      </c>
      <c r="R1030" s="42" t="inlineStr">
        <is>
          <t>중개거래</t>
        </is>
      </c>
      <c r="S1030" s="42" t="inlineStr">
        <is>
          <t>서울 서초구</t>
        </is>
      </c>
      <c r="T1030" s="41" t="inlineStr">
        <is>
          <t>25.02.26</t>
        </is>
      </c>
      <c r="U1030" s="42" t="inlineStr">
        <is>
          <t>아파트</t>
        </is>
      </c>
    </row>
    <row r="1031" hidden="1" ht="14.25" customHeight="1">
      <c r="A1031" s="41" t="n">
        <v>498</v>
      </c>
      <c r="B1031" s="42" t="inlineStr">
        <is>
          <t>서울특별시 서초구 서초동</t>
        </is>
      </c>
      <c r="C1031" s="41" t="inlineStr">
        <is>
          <t>1685-3</t>
        </is>
      </c>
      <c r="D1031" s="41" t="inlineStr">
        <is>
          <t>1685</t>
        </is>
      </c>
      <c r="E1031" s="41" t="inlineStr">
        <is>
          <t>0003</t>
        </is>
      </c>
      <c r="F1031" s="42" t="inlineStr">
        <is>
          <t>아크로비스타</t>
        </is>
      </c>
      <c r="G1031" s="41" t="inlineStr">
        <is>
          <t>174.7800</t>
        </is>
      </c>
      <c r="H1031" s="41" t="inlineStr">
        <is>
          <t>202411</t>
        </is>
      </c>
      <c r="I1031" s="41" t="inlineStr">
        <is>
          <t>08</t>
        </is>
      </c>
      <c r="J1031" s="41" t="inlineStr">
        <is>
          <t>347,500</t>
        </is>
      </c>
      <c r="K1031" s="41" t="inlineStr">
        <is>
          <t>B</t>
        </is>
      </c>
      <c r="L1031" s="41" t="inlineStr">
        <is>
          <t>18</t>
        </is>
      </c>
      <c r="M1031" s="42" t="inlineStr">
        <is>
          <t>개인</t>
        </is>
      </c>
      <c r="N1031" s="42" t="inlineStr">
        <is>
          <t>개인</t>
        </is>
      </c>
      <c r="O1031" s="41" t="inlineStr">
        <is>
          <t>2004</t>
        </is>
      </c>
      <c r="P1031" s="42" t="inlineStr">
        <is>
          <t>서초중앙로 188</t>
        </is>
      </c>
      <c r="Q1031" s="41" t="inlineStr">
        <is>
          <t>-</t>
        </is>
      </c>
      <c r="R1031" s="42" t="inlineStr">
        <is>
          <t>중개거래</t>
        </is>
      </c>
      <c r="S1031" s="42" t="inlineStr">
        <is>
          <t>서울 강남구</t>
        </is>
      </c>
      <c r="T1031" s="41" t="inlineStr">
        <is>
          <t>24.11.25</t>
        </is>
      </c>
      <c r="U1031" s="42" t="inlineStr">
        <is>
          <t>아파트</t>
        </is>
      </c>
    </row>
    <row r="1032" hidden="1" ht="14.25" customHeight="1">
      <c r="A1032" s="41" t="n">
        <v>499</v>
      </c>
      <c r="B1032" s="42" t="inlineStr">
        <is>
          <t>서울특별시 서초구 서초동</t>
        </is>
      </c>
      <c r="C1032" s="41" t="inlineStr">
        <is>
          <t>1685-3</t>
        </is>
      </c>
      <c r="D1032" s="41" t="inlineStr">
        <is>
          <t>1685</t>
        </is>
      </c>
      <c r="E1032" s="41" t="inlineStr">
        <is>
          <t>0003</t>
        </is>
      </c>
      <c r="F1032" s="42" t="inlineStr">
        <is>
          <t>아크로비스타</t>
        </is>
      </c>
      <c r="G1032" s="41" t="inlineStr">
        <is>
          <t>174.7800</t>
        </is>
      </c>
      <c r="H1032" s="41" t="inlineStr">
        <is>
          <t>202411</t>
        </is>
      </c>
      <c r="I1032" s="41" t="inlineStr">
        <is>
          <t>08</t>
        </is>
      </c>
      <c r="J1032" s="41" t="inlineStr">
        <is>
          <t>347,500</t>
        </is>
      </c>
      <c r="K1032" s="41" t="inlineStr">
        <is>
          <t>-</t>
        </is>
      </c>
      <c r="L1032" s="41" t="inlineStr">
        <is>
          <t>18</t>
        </is>
      </c>
      <c r="M1032" s="42" t="inlineStr">
        <is>
          <t>개인</t>
        </is>
      </c>
      <c r="N1032" s="42" t="inlineStr">
        <is>
          <t>개인</t>
        </is>
      </c>
      <c r="O1032" s="41" t="inlineStr">
        <is>
          <t>2004</t>
        </is>
      </c>
      <c r="P1032" s="42" t="inlineStr">
        <is>
          <t>서초중앙로 188</t>
        </is>
      </c>
      <c r="Q1032" s="41" t="inlineStr">
        <is>
          <t>20241125</t>
        </is>
      </c>
      <c r="R1032" s="42" t="inlineStr">
        <is>
          <t>중개거래</t>
        </is>
      </c>
      <c r="S1032" s="42" t="inlineStr">
        <is>
          <t>서울 강남구</t>
        </is>
      </c>
      <c r="T1032" s="41" t="inlineStr">
        <is>
          <t>-</t>
        </is>
      </c>
      <c r="U1032" s="42" t="inlineStr">
        <is>
          <t>아파트</t>
        </is>
      </c>
    </row>
    <row r="1033" hidden="1" ht="14.25" customHeight="1">
      <c r="A1033" s="41" t="n">
        <v>500</v>
      </c>
      <c r="B1033" s="42" t="inlineStr">
        <is>
          <t>서울특별시 서초구 서초동</t>
        </is>
      </c>
      <c r="C1033" s="41" t="inlineStr">
        <is>
          <t>1467-62</t>
        </is>
      </c>
      <c r="D1033" s="41" t="inlineStr">
        <is>
          <t>1467</t>
        </is>
      </c>
      <c r="E1033" s="41" t="inlineStr">
        <is>
          <t>0062</t>
        </is>
      </c>
      <c r="F1033" s="42" t="inlineStr">
        <is>
          <t>서초5차e편한세상</t>
        </is>
      </c>
      <c r="G1033" s="41" t="inlineStr">
        <is>
          <t>158.2400</t>
        </is>
      </c>
      <c r="H1033" s="41" t="inlineStr">
        <is>
          <t>202411</t>
        </is>
      </c>
      <c r="I1033" s="41" t="inlineStr">
        <is>
          <t>08</t>
        </is>
      </c>
      <c r="J1033" s="41" t="inlineStr">
        <is>
          <t>205,000</t>
        </is>
      </c>
      <c r="K1033" s="41" t="inlineStr">
        <is>
          <t>502</t>
        </is>
      </c>
      <c r="L1033" s="41" t="inlineStr">
        <is>
          <t>2</t>
        </is>
      </c>
      <c r="M1033" s="42" t="inlineStr">
        <is>
          <t>개인</t>
        </is>
      </c>
      <c r="N1033" s="42" t="inlineStr">
        <is>
          <t>개인</t>
        </is>
      </c>
      <c r="O1033" s="41" t="inlineStr">
        <is>
          <t>2005</t>
        </is>
      </c>
      <c r="P1033" s="42" t="inlineStr">
        <is>
          <t>명달로4길 30</t>
        </is>
      </c>
      <c r="Q1033" s="41" t="inlineStr">
        <is>
          <t>-</t>
        </is>
      </c>
      <c r="R1033" s="42" t="inlineStr">
        <is>
          <t>중개거래</t>
        </is>
      </c>
      <c r="S1033" s="42" t="inlineStr">
        <is>
          <t>서울 성동구</t>
        </is>
      </c>
      <c r="T1033" s="41" t="inlineStr">
        <is>
          <t>25.02.28</t>
        </is>
      </c>
      <c r="U1033" s="42" t="inlineStr">
        <is>
          <t>아파트</t>
        </is>
      </c>
    </row>
    <row r="1034" hidden="1" ht="14.25" customHeight="1">
      <c r="A1034" s="41" t="n">
        <v>501</v>
      </c>
      <c r="B1034" s="42" t="inlineStr">
        <is>
          <t>서울특별시 서초구 서초동</t>
        </is>
      </c>
      <c r="C1034" s="41" t="inlineStr">
        <is>
          <t>1333</t>
        </is>
      </c>
      <c r="D1034" s="41" t="inlineStr">
        <is>
          <t>1333</t>
        </is>
      </c>
      <c r="E1034" s="41" t="inlineStr">
        <is>
          <t>0000</t>
        </is>
      </c>
      <c r="F1034" s="42" t="inlineStr">
        <is>
          <t>신동아아파트(1차)</t>
        </is>
      </c>
      <c r="G1034" s="41" t="inlineStr">
        <is>
          <t>75.8600</t>
        </is>
      </c>
      <c r="H1034" s="41" t="inlineStr">
        <is>
          <t>202411</t>
        </is>
      </c>
      <c r="I1034" s="41" t="inlineStr">
        <is>
          <t>07</t>
        </is>
      </c>
      <c r="J1034" s="41" t="inlineStr">
        <is>
          <t>216,500</t>
        </is>
      </c>
      <c r="K1034" s="41" t="inlineStr">
        <is>
          <t>7</t>
        </is>
      </c>
      <c r="L1034" s="41" t="inlineStr">
        <is>
          <t>13</t>
        </is>
      </c>
      <c r="M1034" s="42" t="inlineStr">
        <is>
          <t>개인</t>
        </is>
      </c>
      <c r="N1034" s="42" t="inlineStr">
        <is>
          <t>개인</t>
        </is>
      </c>
      <c r="O1034" s="41" t="inlineStr">
        <is>
          <t>1978</t>
        </is>
      </c>
      <c r="P1034" s="42" t="inlineStr">
        <is>
          <t>사임당로 130</t>
        </is>
      </c>
      <c r="Q1034" s="41" t="inlineStr">
        <is>
          <t>-</t>
        </is>
      </c>
      <c r="R1034" s="42" t="inlineStr">
        <is>
          <t>중개거래</t>
        </is>
      </c>
      <c r="S1034" s="42" t="inlineStr">
        <is>
          <t>서울 서초구</t>
        </is>
      </c>
      <c r="T1034" s="41" t="inlineStr">
        <is>
          <t>24.11.20</t>
        </is>
      </c>
      <c r="U1034" s="42" t="inlineStr">
        <is>
          <t>아파트</t>
        </is>
      </c>
    </row>
    <row r="1035" hidden="1" ht="14.25" customHeight="1">
      <c r="A1035" s="41" t="n">
        <v>502</v>
      </c>
      <c r="B1035" s="42" t="inlineStr">
        <is>
          <t>서울특별시 서초구 서초동</t>
        </is>
      </c>
      <c r="C1035" s="41" t="inlineStr">
        <is>
          <t>1315</t>
        </is>
      </c>
      <c r="D1035" s="41" t="inlineStr">
        <is>
          <t>1315</t>
        </is>
      </c>
      <c r="E1035" s="41" t="inlineStr">
        <is>
          <t>0000</t>
        </is>
      </c>
      <c r="F1035" s="42" t="inlineStr">
        <is>
          <t>진흥아파트</t>
        </is>
      </c>
      <c r="G1035" s="41" t="inlineStr">
        <is>
          <t>160.4600</t>
        </is>
      </c>
      <c r="H1035" s="41" t="inlineStr">
        <is>
          <t>202411</t>
        </is>
      </c>
      <c r="I1035" s="41" t="inlineStr">
        <is>
          <t>07</t>
        </is>
      </c>
      <c r="J1035" s="41" t="inlineStr">
        <is>
          <t>338,000</t>
        </is>
      </c>
      <c r="K1035" s="41" t="inlineStr">
        <is>
          <t>5</t>
        </is>
      </c>
      <c r="L1035" s="41" t="inlineStr">
        <is>
          <t>9</t>
        </is>
      </c>
      <c r="M1035" s="42" t="inlineStr">
        <is>
          <t>개인</t>
        </is>
      </c>
      <c r="N1035" s="42" t="inlineStr">
        <is>
          <t>개인</t>
        </is>
      </c>
      <c r="O1035" s="41" t="inlineStr">
        <is>
          <t>1979</t>
        </is>
      </c>
      <c r="P1035" s="42" t="inlineStr">
        <is>
          <t>서초대로 385</t>
        </is>
      </c>
      <c r="Q1035" s="41" t="inlineStr">
        <is>
          <t>-</t>
        </is>
      </c>
      <c r="R1035" s="42" t="inlineStr">
        <is>
          <t>중개거래</t>
        </is>
      </c>
      <c r="S1035" s="42" t="inlineStr">
        <is>
          <t>서울 서초구</t>
        </is>
      </c>
      <c r="T1035" s="41" t="inlineStr">
        <is>
          <t>25.01.15</t>
        </is>
      </c>
      <c r="U1035" s="42" t="inlineStr">
        <is>
          <t>아파트</t>
        </is>
      </c>
    </row>
    <row r="1036" hidden="1" ht="14.25" customHeight="1">
      <c r="A1036" s="41" t="n">
        <v>503</v>
      </c>
      <c r="B1036" s="42" t="inlineStr">
        <is>
          <t>서울특별시 서초구 서초동</t>
        </is>
      </c>
      <c r="C1036" s="41" t="inlineStr">
        <is>
          <t>1681-8</t>
        </is>
      </c>
      <c r="D1036" s="41" t="inlineStr">
        <is>
          <t>1681</t>
        </is>
      </c>
      <c r="E1036" s="41" t="inlineStr">
        <is>
          <t>0008</t>
        </is>
      </c>
      <c r="F1036" s="42" t="inlineStr">
        <is>
          <t>서초롯데캐슬프레지던트</t>
        </is>
      </c>
      <c r="G1036" s="41" t="inlineStr">
        <is>
          <t>119.1300</t>
        </is>
      </c>
      <c r="H1036" s="41" t="inlineStr">
        <is>
          <t>202411</t>
        </is>
      </c>
      <c r="I1036" s="41" t="inlineStr">
        <is>
          <t>07</t>
        </is>
      </c>
      <c r="J1036" s="41" t="inlineStr">
        <is>
          <t>266,900</t>
        </is>
      </c>
      <c r="K1036" s="41" t="inlineStr">
        <is>
          <t>102</t>
        </is>
      </c>
      <c r="L1036" s="41" t="inlineStr">
        <is>
          <t>5</t>
        </is>
      </c>
      <c r="M1036" s="42" t="inlineStr">
        <is>
          <t>개인</t>
        </is>
      </c>
      <c r="N1036" s="42" t="inlineStr">
        <is>
          <t>개인</t>
        </is>
      </c>
      <c r="O1036" s="41" t="inlineStr">
        <is>
          <t>2014</t>
        </is>
      </c>
      <c r="P1036" s="42" t="inlineStr">
        <is>
          <t>서초중앙로24길 57</t>
        </is>
      </c>
      <c r="Q1036" s="41" t="inlineStr">
        <is>
          <t>-</t>
        </is>
      </c>
      <c r="R1036" s="42" t="inlineStr">
        <is>
          <t>중개거래</t>
        </is>
      </c>
      <c r="S1036" s="42" t="inlineStr">
        <is>
          <t>서울 서초구</t>
        </is>
      </c>
      <c r="T1036" s="41" t="inlineStr">
        <is>
          <t>25.02.17</t>
        </is>
      </c>
      <c r="U1036" s="42" t="inlineStr">
        <is>
          <t>아파트</t>
        </is>
      </c>
    </row>
    <row r="1037" hidden="1" ht="14.25" customHeight="1">
      <c r="A1037" s="41" t="n">
        <v>504</v>
      </c>
      <c r="B1037" s="42" t="inlineStr">
        <is>
          <t>서울특별시 서초구 서초동</t>
        </is>
      </c>
      <c r="C1037" s="41" t="inlineStr">
        <is>
          <t>1445-4</t>
        </is>
      </c>
      <c r="D1037" s="41" t="inlineStr">
        <is>
          <t>1445</t>
        </is>
      </c>
      <c r="E1037" s="41" t="inlineStr">
        <is>
          <t>0004</t>
        </is>
      </c>
      <c r="F1037" s="42" t="inlineStr">
        <is>
          <t>래미안서초유니빌</t>
        </is>
      </c>
      <c r="G1037" s="41" t="inlineStr">
        <is>
          <t>45.2550</t>
        </is>
      </c>
      <c r="H1037" s="41" t="inlineStr">
        <is>
          <t>202411</t>
        </is>
      </c>
      <c r="I1037" s="41" t="inlineStr">
        <is>
          <t>06</t>
        </is>
      </c>
      <c r="J1037" s="41" t="inlineStr">
        <is>
          <t>45,000</t>
        </is>
      </c>
      <c r="K1037" s="42" t="inlineStr">
        <is>
          <t>래미안 서초유니빌</t>
        </is>
      </c>
      <c r="L1037" s="41" t="inlineStr">
        <is>
          <t>8</t>
        </is>
      </c>
      <c r="M1037" s="42" t="inlineStr">
        <is>
          <t>개인</t>
        </is>
      </c>
      <c r="N1037" s="42" t="inlineStr">
        <is>
          <t>개인</t>
        </is>
      </c>
      <c r="O1037" s="41" t="inlineStr">
        <is>
          <t>2003</t>
        </is>
      </c>
      <c r="P1037" s="42" t="inlineStr">
        <is>
          <t>서초중앙로 26</t>
        </is>
      </c>
      <c r="Q1037" s="41" t="inlineStr">
        <is>
          <t>-</t>
        </is>
      </c>
      <c r="R1037" s="42" t="inlineStr">
        <is>
          <t>중개거래</t>
        </is>
      </c>
      <c r="S1037" s="42" t="inlineStr">
        <is>
          <t>서울 서초구</t>
        </is>
      </c>
      <c r="T1037" s="41" t="inlineStr">
        <is>
          <t>25.03.05</t>
        </is>
      </c>
      <c r="U1037" s="42" t="inlineStr">
        <is>
          <t>아파트</t>
        </is>
      </c>
    </row>
    <row r="1038" hidden="1" ht="14.25" customHeight="1">
      <c r="A1038" s="41" t="n">
        <v>505</v>
      </c>
      <c r="B1038" s="42" t="inlineStr">
        <is>
          <t>서울특별시 서초구 서초동</t>
        </is>
      </c>
      <c r="C1038" s="41" t="inlineStr">
        <is>
          <t>1687</t>
        </is>
      </c>
      <c r="D1038" s="41" t="inlineStr">
        <is>
          <t>1687</t>
        </is>
      </c>
      <c r="E1038" s="41" t="inlineStr">
        <is>
          <t>0000</t>
        </is>
      </c>
      <c r="F1038" s="42" t="inlineStr">
        <is>
          <t>유원서초</t>
        </is>
      </c>
      <c r="G1038" s="41" t="inlineStr">
        <is>
          <t>84.8700</t>
        </is>
      </c>
      <c r="H1038" s="41" t="inlineStr">
        <is>
          <t>202411</t>
        </is>
      </c>
      <c r="I1038" s="41" t="inlineStr">
        <is>
          <t>06</t>
        </is>
      </c>
      <c r="J1038" s="41" t="inlineStr">
        <is>
          <t>203,000</t>
        </is>
      </c>
      <c r="K1038" s="41" t="inlineStr">
        <is>
          <t>103</t>
        </is>
      </c>
      <c r="L1038" s="41" t="inlineStr">
        <is>
          <t>12</t>
        </is>
      </c>
      <c r="M1038" s="42" t="inlineStr">
        <is>
          <t>개인</t>
        </is>
      </c>
      <c r="N1038" s="42" t="inlineStr">
        <is>
          <t>개인</t>
        </is>
      </c>
      <c r="O1038" s="41" t="inlineStr">
        <is>
          <t>1993</t>
        </is>
      </c>
      <c r="P1038" s="42" t="inlineStr">
        <is>
          <t>서초중앙로24길 43</t>
        </is>
      </c>
      <c r="Q1038" s="41" t="inlineStr">
        <is>
          <t>-</t>
        </is>
      </c>
      <c r="R1038" s="42" t="inlineStr">
        <is>
          <t>중개거래</t>
        </is>
      </c>
      <c r="S1038" s="42" t="inlineStr">
        <is>
          <t>서울 서초구</t>
        </is>
      </c>
      <c r="T1038" s="41" t="inlineStr">
        <is>
          <t>25.02.24</t>
        </is>
      </c>
      <c r="U1038" s="42" t="inlineStr">
        <is>
          <t>아파트</t>
        </is>
      </c>
    </row>
    <row r="1039" hidden="1" ht="14.25" customHeight="1">
      <c r="A1039" s="41" t="n">
        <v>506</v>
      </c>
      <c r="B1039" s="42" t="inlineStr">
        <is>
          <t>서울특별시 서초구 서초동</t>
        </is>
      </c>
      <c r="C1039" s="41" t="inlineStr">
        <is>
          <t>1593-7</t>
        </is>
      </c>
      <c r="D1039" s="41" t="inlineStr">
        <is>
          <t>1593</t>
        </is>
      </c>
      <c r="E1039" s="41" t="inlineStr">
        <is>
          <t>0007</t>
        </is>
      </c>
      <c r="F1039" s="42" t="inlineStr">
        <is>
          <t>서초이오빌</t>
        </is>
      </c>
      <c r="G1039" s="41" t="inlineStr">
        <is>
          <t>36.6600</t>
        </is>
      </c>
      <c r="H1039" s="41" t="inlineStr">
        <is>
          <t>202411</t>
        </is>
      </c>
      <c r="I1039" s="41" t="inlineStr">
        <is>
          <t>05</t>
        </is>
      </c>
      <c r="J1039" s="41" t="inlineStr">
        <is>
          <t>29,900</t>
        </is>
      </c>
      <c r="K1039" s="41" t="inlineStr">
        <is>
          <t>-</t>
        </is>
      </c>
      <c r="L1039" s="41" t="inlineStr">
        <is>
          <t>11</t>
        </is>
      </c>
      <c r="M1039" s="42" t="inlineStr">
        <is>
          <t>개인</t>
        </is>
      </c>
      <c r="N1039" s="42" t="inlineStr">
        <is>
          <t>개인</t>
        </is>
      </c>
      <c r="O1039" s="41" t="inlineStr">
        <is>
          <t>2003</t>
        </is>
      </c>
      <c r="P1039" s="42" t="inlineStr">
        <is>
          <t>효령로53길 45</t>
        </is>
      </c>
      <c r="Q1039" s="41" t="inlineStr">
        <is>
          <t>-</t>
        </is>
      </c>
      <c r="R1039" s="42" t="inlineStr">
        <is>
          <t>중개거래</t>
        </is>
      </c>
      <c r="S1039" s="42" t="inlineStr">
        <is>
          <t>서울 서초구</t>
        </is>
      </c>
      <c r="T1039" s="41" t="inlineStr">
        <is>
          <t>25.01.10</t>
        </is>
      </c>
      <c r="U1039" s="42" t="inlineStr">
        <is>
          <t>아파트</t>
        </is>
      </c>
    </row>
    <row r="1040" hidden="1" ht="14.25" customHeight="1">
      <c r="A1040" s="41" t="n">
        <v>507</v>
      </c>
      <c r="B1040" s="42" t="inlineStr">
        <is>
          <t>서울특별시 서초구 서초동</t>
        </is>
      </c>
      <c r="C1040" s="41" t="inlineStr">
        <is>
          <t>1685</t>
        </is>
      </c>
      <c r="D1040" s="41" t="inlineStr">
        <is>
          <t>1685</t>
        </is>
      </c>
      <c r="E1040" s="41" t="inlineStr">
        <is>
          <t>0000</t>
        </is>
      </c>
      <c r="F1040" s="42" t="inlineStr">
        <is>
          <t>삼풍아파트</t>
        </is>
      </c>
      <c r="G1040" s="41" t="inlineStr">
        <is>
          <t>130.2300</t>
        </is>
      </c>
      <c r="H1040" s="41" t="inlineStr">
        <is>
          <t>202411</t>
        </is>
      </c>
      <c r="I1040" s="41" t="inlineStr">
        <is>
          <t>04</t>
        </is>
      </c>
      <c r="J1040" s="41" t="inlineStr">
        <is>
          <t>369,500</t>
        </is>
      </c>
      <c r="K1040" s="41" t="inlineStr">
        <is>
          <t>12</t>
        </is>
      </c>
      <c r="L1040" s="41" t="inlineStr">
        <is>
          <t>10</t>
        </is>
      </c>
      <c r="M1040" s="42" t="inlineStr">
        <is>
          <t>개인</t>
        </is>
      </c>
      <c r="N1040" s="42" t="inlineStr">
        <is>
          <t>개인</t>
        </is>
      </c>
      <c r="O1040" s="41" t="inlineStr">
        <is>
          <t>1988</t>
        </is>
      </c>
      <c r="P1040" s="42" t="inlineStr">
        <is>
          <t>서초중앙로 200</t>
        </is>
      </c>
      <c r="Q1040" s="41" t="inlineStr">
        <is>
          <t>-</t>
        </is>
      </c>
      <c r="R1040" s="42" t="inlineStr">
        <is>
          <t>중개거래</t>
        </is>
      </c>
      <c r="S1040" s="42" t="inlineStr">
        <is>
          <t>서울 서초구</t>
        </is>
      </c>
      <c r="T1040" s="41" t="inlineStr">
        <is>
          <t>25.01.08</t>
        </is>
      </c>
      <c r="U1040" s="42" t="inlineStr">
        <is>
          <t>아파트</t>
        </is>
      </c>
    </row>
    <row r="1041" hidden="1" ht="14.25" customHeight="1">
      <c r="A1041" s="41" t="n">
        <v>508</v>
      </c>
      <c r="B1041" s="42" t="inlineStr">
        <is>
          <t>서울특별시 서초구 서초동</t>
        </is>
      </c>
      <c r="C1041" s="41" t="inlineStr">
        <is>
          <t>1301-6</t>
        </is>
      </c>
      <c r="D1041" s="41" t="inlineStr">
        <is>
          <t>1301</t>
        </is>
      </c>
      <c r="E1041" s="41" t="inlineStr">
        <is>
          <t>0006</t>
        </is>
      </c>
      <c r="F1041" s="42" t="inlineStr">
        <is>
          <t>래미안서초스위트</t>
        </is>
      </c>
      <c r="G1041" s="41" t="inlineStr">
        <is>
          <t>84.9571</t>
        </is>
      </c>
      <c r="H1041" s="41" t="inlineStr">
        <is>
          <t>202411</t>
        </is>
      </c>
      <c r="I1041" s="41" t="inlineStr">
        <is>
          <t>03</t>
        </is>
      </c>
      <c r="J1041" s="41" t="inlineStr">
        <is>
          <t>257,500</t>
        </is>
      </c>
      <c r="K1041" s="41" t="inlineStr">
        <is>
          <t>-</t>
        </is>
      </c>
      <c r="L1041" s="41" t="inlineStr">
        <is>
          <t>6</t>
        </is>
      </c>
      <c r="M1041" s="42" t="inlineStr">
        <is>
          <t>개인</t>
        </is>
      </c>
      <c r="N1041" s="42" t="inlineStr">
        <is>
          <t>개인</t>
        </is>
      </c>
      <c r="O1041" s="41" t="inlineStr">
        <is>
          <t>2009</t>
        </is>
      </c>
      <c r="P1041" s="42" t="inlineStr">
        <is>
          <t>서운로 221</t>
        </is>
      </c>
      <c r="Q1041" s="41" t="inlineStr">
        <is>
          <t>20241231</t>
        </is>
      </c>
      <c r="R1041" s="42" t="inlineStr">
        <is>
          <t>중개거래</t>
        </is>
      </c>
      <c r="S1041" s="42" t="inlineStr">
        <is>
          <t>서울 서초구</t>
        </is>
      </c>
      <c r="T1041" s="41" t="inlineStr">
        <is>
          <t>-</t>
        </is>
      </c>
      <c r="U1041" s="42" t="inlineStr">
        <is>
          <t>아파트</t>
        </is>
      </c>
    </row>
    <row r="1042" hidden="1" ht="14.25" customHeight="1">
      <c r="A1042" s="41" t="n">
        <v>509</v>
      </c>
      <c r="B1042" s="42" t="inlineStr">
        <is>
          <t>서울특별시 서초구 서초동</t>
        </is>
      </c>
      <c r="C1042" s="41" t="inlineStr">
        <is>
          <t>1301-6</t>
        </is>
      </c>
      <c r="D1042" s="41" t="inlineStr">
        <is>
          <t>1301</t>
        </is>
      </c>
      <c r="E1042" s="41" t="inlineStr">
        <is>
          <t>0006</t>
        </is>
      </c>
      <c r="F1042" s="42" t="inlineStr">
        <is>
          <t>래미안서초스위트</t>
        </is>
      </c>
      <c r="G1042" s="41" t="inlineStr">
        <is>
          <t>84.9571</t>
        </is>
      </c>
      <c r="H1042" s="41" t="inlineStr">
        <is>
          <t>202411</t>
        </is>
      </c>
      <c r="I1042" s="41" t="inlineStr">
        <is>
          <t>03</t>
        </is>
      </c>
      <c r="J1042" s="41" t="inlineStr">
        <is>
          <t>257,500</t>
        </is>
      </c>
      <c r="K1042" s="41" t="inlineStr">
        <is>
          <t>102</t>
        </is>
      </c>
      <c r="L1042" s="41" t="inlineStr">
        <is>
          <t>6</t>
        </is>
      </c>
      <c r="M1042" s="42" t="inlineStr">
        <is>
          <t>개인</t>
        </is>
      </c>
      <c r="N1042" s="42" t="inlineStr">
        <is>
          <t>개인</t>
        </is>
      </c>
      <c r="O1042" s="41" t="inlineStr">
        <is>
          <t>2009</t>
        </is>
      </c>
      <c r="P1042" s="42" t="inlineStr">
        <is>
          <t>서운로 221</t>
        </is>
      </c>
      <c r="Q1042" s="41" t="inlineStr">
        <is>
          <t>-</t>
        </is>
      </c>
      <c r="R1042" s="42" t="inlineStr">
        <is>
          <t>중개거래</t>
        </is>
      </c>
      <c r="S1042" s="42" t="inlineStr">
        <is>
          <t>서울 서초구</t>
        </is>
      </c>
      <c r="T1042" s="41" t="inlineStr">
        <is>
          <t>25.05.07</t>
        </is>
      </c>
      <c r="U1042" s="42" t="inlineStr">
        <is>
          <t>아파트</t>
        </is>
      </c>
    </row>
    <row r="1043" hidden="1" ht="14.25" customHeight="1">
      <c r="A1043" s="41" t="n">
        <v>510</v>
      </c>
      <c r="B1043" s="42" t="inlineStr">
        <is>
          <t>서울특별시 서초구 서초동</t>
        </is>
      </c>
      <c r="C1043" s="41" t="inlineStr">
        <is>
          <t>1615-10</t>
        </is>
      </c>
      <c r="D1043" s="41" t="inlineStr">
        <is>
          <t>1615</t>
        </is>
      </c>
      <c r="E1043" s="41" t="inlineStr">
        <is>
          <t>0010</t>
        </is>
      </c>
      <c r="F1043" s="42" t="inlineStr">
        <is>
          <t>극동스타클래스2</t>
        </is>
      </c>
      <c r="G1043" s="41" t="inlineStr">
        <is>
          <t>81.0650</t>
        </is>
      </c>
      <c r="H1043" s="41" t="inlineStr">
        <is>
          <t>202411</t>
        </is>
      </c>
      <c r="I1043" s="41" t="inlineStr">
        <is>
          <t>03</t>
        </is>
      </c>
      <c r="J1043" s="41" t="inlineStr">
        <is>
          <t>150,000</t>
        </is>
      </c>
      <c r="K1043" s="41" t="inlineStr">
        <is>
          <t>202</t>
        </is>
      </c>
      <c r="L1043" s="41" t="inlineStr">
        <is>
          <t>4</t>
        </is>
      </c>
      <c r="M1043" s="42" t="inlineStr">
        <is>
          <t>개인</t>
        </is>
      </c>
      <c r="N1043" s="42" t="inlineStr">
        <is>
          <t>개인</t>
        </is>
      </c>
      <c r="O1043" s="41" t="inlineStr">
        <is>
          <t>2006</t>
        </is>
      </c>
      <c r="P1043" s="42" t="inlineStr">
        <is>
          <t>효령로67길 35</t>
        </is>
      </c>
      <c r="Q1043" s="41" t="inlineStr">
        <is>
          <t>-</t>
        </is>
      </c>
      <c r="R1043" s="42" t="inlineStr">
        <is>
          <t>중개거래</t>
        </is>
      </c>
      <c r="S1043" s="42" t="inlineStr">
        <is>
          <t>서울 서초구</t>
        </is>
      </c>
      <c r="T1043" s="41" t="inlineStr">
        <is>
          <t>25.01.23</t>
        </is>
      </c>
      <c r="U1043" s="42" t="inlineStr">
        <is>
          <t>아파트</t>
        </is>
      </c>
    </row>
    <row r="1044" hidden="1" ht="14.25" customHeight="1">
      <c r="A1044" s="41" t="n">
        <v>511</v>
      </c>
      <c r="B1044" s="42" t="inlineStr">
        <is>
          <t>서울특별시 서초구 서초동</t>
        </is>
      </c>
      <c r="C1044" s="41" t="inlineStr">
        <is>
          <t>1582-3</t>
        </is>
      </c>
      <c r="D1044" s="41" t="inlineStr">
        <is>
          <t>1582</t>
        </is>
      </c>
      <c r="E1044" s="41" t="inlineStr">
        <is>
          <t>0003</t>
        </is>
      </c>
      <c r="F1044" s="42" t="inlineStr">
        <is>
          <t>서초센트럴IPARK</t>
        </is>
      </c>
      <c r="G1044" s="41" t="inlineStr">
        <is>
          <t>80.5981</t>
        </is>
      </c>
      <c r="H1044" s="41" t="inlineStr">
        <is>
          <t>202411</t>
        </is>
      </c>
      <c r="I1044" s="41" t="inlineStr">
        <is>
          <t>02</t>
        </is>
      </c>
      <c r="J1044" s="41" t="inlineStr">
        <is>
          <t>166,000</t>
        </is>
      </c>
      <c r="K1044" s="41" t="inlineStr">
        <is>
          <t>101동</t>
        </is>
      </c>
      <c r="L1044" s="41" t="inlineStr">
        <is>
          <t>22</t>
        </is>
      </c>
      <c r="M1044" s="42" t="inlineStr">
        <is>
          <t>개인</t>
        </is>
      </c>
      <c r="N1044" s="42" t="inlineStr">
        <is>
          <t>개인</t>
        </is>
      </c>
      <c r="O1044" s="41" t="inlineStr">
        <is>
          <t>2020</t>
        </is>
      </c>
      <c r="P1044" s="42" t="inlineStr">
        <is>
          <t>반포대로18길 36</t>
        </is>
      </c>
      <c r="Q1044" s="41" t="inlineStr">
        <is>
          <t>-</t>
        </is>
      </c>
      <c r="R1044" s="42" t="inlineStr">
        <is>
          <t>중개거래</t>
        </is>
      </c>
      <c r="S1044" s="42" t="inlineStr">
        <is>
          <t>서울 서초구</t>
        </is>
      </c>
      <c r="T1044" s="41" t="inlineStr">
        <is>
          <t>24.12.30</t>
        </is>
      </c>
      <c r="U1044" s="42" t="inlineStr">
        <is>
          <t>아파트</t>
        </is>
      </c>
    </row>
    <row r="1045" hidden="1" ht="14.25" customHeight="1">
      <c r="A1045" s="41" t="n">
        <v>512</v>
      </c>
      <c r="B1045" s="42" t="inlineStr">
        <is>
          <t>서울특별시 서초구 서초동</t>
        </is>
      </c>
      <c r="C1045" s="41" t="inlineStr">
        <is>
          <t>1593-7</t>
        </is>
      </c>
      <c r="D1045" s="41" t="inlineStr">
        <is>
          <t>1593</t>
        </is>
      </c>
      <c r="E1045" s="41" t="inlineStr">
        <is>
          <t>0007</t>
        </is>
      </c>
      <c r="F1045" s="42" t="inlineStr">
        <is>
          <t>서초이오빌</t>
        </is>
      </c>
      <c r="G1045" s="41" t="inlineStr">
        <is>
          <t>36.6600</t>
        </is>
      </c>
      <c r="H1045" s="41" t="inlineStr">
        <is>
          <t>202411</t>
        </is>
      </c>
      <c r="I1045" s="41" t="inlineStr">
        <is>
          <t>02</t>
        </is>
      </c>
      <c r="J1045" s="41" t="inlineStr">
        <is>
          <t>29,300</t>
        </is>
      </c>
      <c r="K1045" s="41" t="inlineStr">
        <is>
          <t>-</t>
        </is>
      </c>
      <c r="L1045" s="41" t="inlineStr">
        <is>
          <t>9</t>
        </is>
      </c>
      <c r="M1045" s="42" t="inlineStr">
        <is>
          <t>개인</t>
        </is>
      </c>
      <c r="N1045" s="42" t="inlineStr">
        <is>
          <t>개인</t>
        </is>
      </c>
      <c r="O1045" s="41" t="inlineStr">
        <is>
          <t>2003</t>
        </is>
      </c>
      <c r="P1045" s="42" t="inlineStr">
        <is>
          <t>효령로53길 45</t>
        </is>
      </c>
      <c r="Q1045" s="41" t="inlineStr">
        <is>
          <t>-</t>
        </is>
      </c>
      <c r="R1045" s="42" t="inlineStr">
        <is>
          <t>직거래</t>
        </is>
      </c>
      <c r="S1045" s="41" t="inlineStr">
        <is>
          <t>-</t>
        </is>
      </c>
      <c r="T1045" s="41" t="inlineStr">
        <is>
          <t>25.05.30</t>
        </is>
      </c>
      <c r="U1045" s="42" t="inlineStr">
        <is>
          <t>아파트</t>
        </is>
      </c>
    </row>
    <row r="1046" hidden="1" ht="14.25" customHeight="1">
      <c r="A1046" s="41" t="n">
        <v>513</v>
      </c>
      <c r="B1046" s="42" t="inlineStr">
        <is>
          <t>서울특별시 서초구 서초동</t>
        </is>
      </c>
      <c r="C1046" s="41" t="inlineStr">
        <is>
          <t>1685</t>
        </is>
      </c>
      <c r="D1046" s="41" t="inlineStr">
        <is>
          <t>1685</t>
        </is>
      </c>
      <c r="E1046" s="41" t="inlineStr">
        <is>
          <t>0000</t>
        </is>
      </c>
      <c r="F1046" s="42" t="inlineStr">
        <is>
          <t>삼풍아파트</t>
        </is>
      </c>
      <c r="G1046" s="41" t="inlineStr">
        <is>
          <t>130.7300</t>
        </is>
      </c>
      <c r="H1046" s="41" t="inlineStr">
        <is>
          <t>202411</t>
        </is>
      </c>
      <c r="I1046" s="41" t="inlineStr">
        <is>
          <t>02</t>
        </is>
      </c>
      <c r="J1046" s="41" t="inlineStr">
        <is>
          <t>346,000</t>
        </is>
      </c>
      <c r="K1046" s="41" t="inlineStr">
        <is>
          <t>19</t>
        </is>
      </c>
      <c r="L1046" s="41" t="inlineStr">
        <is>
          <t>1</t>
        </is>
      </c>
      <c r="M1046" s="42" t="inlineStr">
        <is>
          <t>개인</t>
        </is>
      </c>
      <c r="N1046" s="42" t="inlineStr">
        <is>
          <t>개인</t>
        </is>
      </c>
      <c r="O1046" s="41" t="inlineStr">
        <is>
          <t>1988</t>
        </is>
      </c>
      <c r="P1046" s="42" t="inlineStr">
        <is>
          <t>서초중앙로 200</t>
        </is>
      </c>
      <c r="Q1046" s="41" t="inlineStr">
        <is>
          <t>-</t>
        </is>
      </c>
      <c r="R1046" s="42" t="inlineStr">
        <is>
          <t>중개거래</t>
        </is>
      </c>
      <c r="S1046" s="42" t="inlineStr">
        <is>
          <t>서울 서초구</t>
        </is>
      </c>
      <c r="T1046" s="41" t="inlineStr">
        <is>
          <t>25.01.20</t>
        </is>
      </c>
      <c r="U1046" s="42" t="inlineStr">
        <is>
          <t>아파트</t>
        </is>
      </c>
    </row>
    <row r="1047" hidden="1" ht="14.25" customHeight="1">
      <c r="A1047" s="41" t="n">
        <v>514</v>
      </c>
      <c r="B1047" s="42" t="inlineStr">
        <is>
          <t>서울특별시 서초구 서초동</t>
        </is>
      </c>
      <c r="C1047" s="41" t="inlineStr">
        <is>
          <t>1685</t>
        </is>
      </c>
      <c r="D1047" s="41" t="inlineStr">
        <is>
          <t>1685</t>
        </is>
      </c>
      <c r="E1047" s="41" t="inlineStr">
        <is>
          <t>0000</t>
        </is>
      </c>
      <c r="F1047" s="42" t="inlineStr">
        <is>
          <t>삼풍아파트</t>
        </is>
      </c>
      <c r="G1047" s="41" t="inlineStr">
        <is>
          <t>165.9200</t>
        </is>
      </c>
      <c r="H1047" s="41" t="inlineStr">
        <is>
          <t>202411</t>
        </is>
      </c>
      <c r="I1047" s="41" t="inlineStr">
        <is>
          <t>02</t>
        </is>
      </c>
      <c r="J1047" s="41" t="inlineStr">
        <is>
          <t>400,000</t>
        </is>
      </c>
      <c r="K1047" s="41" t="inlineStr">
        <is>
          <t>18</t>
        </is>
      </c>
      <c r="L1047" s="41" t="inlineStr">
        <is>
          <t>2</t>
        </is>
      </c>
      <c r="M1047" s="42" t="inlineStr">
        <is>
          <t>개인</t>
        </is>
      </c>
      <c r="N1047" s="42" t="inlineStr">
        <is>
          <t>개인</t>
        </is>
      </c>
      <c r="O1047" s="41" t="inlineStr">
        <is>
          <t>1988</t>
        </is>
      </c>
      <c r="P1047" s="42" t="inlineStr">
        <is>
          <t>서초중앙로 200</t>
        </is>
      </c>
      <c r="Q1047" s="41" t="inlineStr">
        <is>
          <t>-</t>
        </is>
      </c>
      <c r="R1047" s="42" t="inlineStr">
        <is>
          <t>중개거래</t>
        </is>
      </c>
      <c r="S1047" s="42" t="inlineStr">
        <is>
          <t>서울 서초구</t>
        </is>
      </c>
      <c r="T1047" s="41" t="inlineStr">
        <is>
          <t>25.02.20</t>
        </is>
      </c>
      <c r="U1047" s="42" t="inlineStr">
        <is>
          <t>아파트</t>
        </is>
      </c>
    </row>
    <row r="1048" hidden="1" ht="14.25" customHeight="1">
      <c r="A1048" s="41" t="n">
        <v>515</v>
      </c>
      <c r="B1048" s="42" t="inlineStr">
        <is>
          <t>서울특별시 서초구 서초동</t>
        </is>
      </c>
      <c r="C1048" s="41" t="inlineStr">
        <is>
          <t>1332-13</t>
        </is>
      </c>
      <c r="D1048" s="41" t="inlineStr">
        <is>
          <t>1332</t>
        </is>
      </c>
      <c r="E1048" s="41" t="inlineStr">
        <is>
          <t>0013</t>
        </is>
      </c>
      <c r="F1048" s="42" t="inlineStr">
        <is>
          <t>래미안서초에스티지</t>
        </is>
      </c>
      <c r="G1048" s="41" t="inlineStr">
        <is>
          <t>83.6000</t>
        </is>
      </c>
      <c r="H1048" s="41" t="inlineStr">
        <is>
          <t>202411</t>
        </is>
      </c>
      <c r="I1048" s="41" t="inlineStr">
        <is>
          <t>02</t>
        </is>
      </c>
      <c r="J1048" s="41" t="inlineStr">
        <is>
          <t>285,000</t>
        </is>
      </c>
      <c r="K1048" s="41" t="inlineStr">
        <is>
          <t>101동</t>
        </is>
      </c>
      <c r="L1048" s="41" t="inlineStr">
        <is>
          <t>18</t>
        </is>
      </c>
      <c r="M1048" s="42" t="inlineStr">
        <is>
          <t>개인</t>
        </is>
      </c>
      <c r="N1048" s="42" t="inlineStr">
        <is>
          <t>개인</t>
        </is>
      </c>
      <c r="O1048" s="41" t="inlineStr">
        <is>
          <t>2016</t>
        </is>
      </c>
      <c r="P1048" s="42" t="inlineStr">
        <is>
          <t>서운로 107</t>
        </is>
      </c>
      <c r="Q1048" s="41" t="inlineStr">
        <is>
          <t>-</t>
        </is>
      </c>
      <c r="R1048" s="42" t="inlineStr">
        <is>
          <t>중개거래</t>
        </is>
      </c>
      <c r="S1048" s="42" t="inlineStr">
        <is>
          <t>서울 서초구</t>
        </is>
      </c>
      <c r="T1048" s="41" t="inlineStr">
        <is>
          <t>25.02.21</t>
        </is>
      </c>
      <c r="U1048" s="42" t="inlineStr">
        <is>
          <t>아파트</t>
        </is>
      </c>
    </row>
    <row r="1049" hidden="1" ht="14.25" customHeight="1">
      <c r="A1049" s="41" t="n">
        <v>516</v>
      </c>
      <c r="B1049" s="42" t="inlineStr">
        <is>
          <t>서울특별시 서초구 서초동</t>
        </is>
      </c>
      <c r="C1049" s="41" t="inlineStr">
        <is>
          <t>1326-17</t>
        </is>
      </c>
      <c r="D1049" s="41" t="inlineStr">
        <is>
          <t>1326</t>
        </is>
      </c>
      <c r="E1049" s="41" t="inlineStr">
        <is>
          <t>0017</t>
        </is>
      </c>
      <c r="F1049" s="42" t="inlineStr">
        <is>
          <t>우성아파트</t>
        </is>
      </c>
      <c r="G1049" s="41" t="inlineStr">
        <is>
          <t>84.9300</t>
        </is>
      </c>
      <c r="H1049" s="41" t="inlineStr">
        <is>
          <t>202410</t>
        </is>
      </c>
      <c r="I1049" s="41" t="inlineStr">
        <is>
          <t>31</t>
        </is>
      </c>
      <c r="J1049" s="41" t="inlineStr">
        <is>
          <t>195,000</t>
        </is>
      </c>
      <c r="K1049" s="41" t="inlineStr">
        <is>
          <t>501</t>
        </is>
      </c>
      <c r="L1049" s="41" t="inlineStr">
        <is>
          <t>12</t>
        </is>
      </c>
      <c r="M1049" s="42" t="inlineStr">
        <is>
          <t>개인</t>
        </is>
      </c>
      <c r="N1049" s="42" t="inlineStr">
        <is>
          <t>개인</t>
        </is>
      </c>
      <c r="O1049" s="41" t="inlineStr">
        <is>
          <t>1998</t>
        </is>
      </c>
      <c r="P1049" s="42" t="inlineStr">
        <is>
          <t>서초대로74길 30</t>
        </is>
      </c>
      <c r="Q1049" s="41" t="inlineStr">
        <is>
          <t>-</t>
        </is>
      </c>
      <c r="R1049" s="42" t="inlineStr">
        <is>
          <t>중개거래</t>
        </is>
      </c>
      <c r="S1049" s="42" t="inlineStr">
        <is>
          <t>서울 서초구</t>
        </is>
      </c>
      <c r="T1049" s="41" t="inlineStr">
        <is>
          <t>25.05.08</t>
        </is>
      </c>
      <c r="U1049" s="42" t="inlineStr">
        <is>
          <t>아파트</t>
        </is>
      </c>
    </row>
    <row r="1050" hidden="1" ht="14.25" customHeight="1">
      <c r="A1050" s="41" t="n">
        <v>517</v>
      </c>
      <c r="B1050" s="42" t="inlineStr">
        <is>
          <t>서울특별시 서초구 서초동</t>
        </is>
      </c>
      <c r="C1050" s="41" t="inlineStr">
        <is>
          <t>1671-5</t>
        </is>
      </c>
      <c r="D1050" s="41" t="inlineStr">
        <is>
          <t>1671</t>
        </is>
      </c>
      <c r="E1050" s="41" t="inlineStr">
        <is>
          <t>0005</t>
        </is>
      </c>
      <c r="F1050" s="42" t="inlineStr">
        <is>
          <t>대림서초리시온</t>
        </is>
      </c>
      <c r="G1050" s="41" t="inlineStr">
        <is>
          <t>49.9200</t>
        </is>
      </c>
      <c r="H1050" s="41" t="inlineStr">
        <is>
          <t>202410</t>
        </is>
      </c>
      <c r="I1050" s="41" t="inlineStr">
        <is>
          <t>31</t>
        </is>
      </c>
      <c r="J1050" s="41" t="inlineStr">
        <is>
          <t>49,000</t>
        </is>
      </c>
      <c r="K1050" s="41" t="inlineStr">
        <is>
          <t>-</t>
        </is>
      </c>
      <c r="L1050" s="41" t="inlineStr">
        <is>
          <t>5</t>
        </is>
      </c>
      <c r="M1050" s="42" t="inlineStr">
        <is>
          <t>개인</t>
        </is>
      </c>
      <c r="N1050" s="42" t="inlineStr">
        <is>
          <t>개인</t>
        </is>
      </c>
      <c r="O1050" s="41" t="inlineStr">
        <is>
          <t>2003</t>
        </is>
      </c>
      <c r="P1050" s="42" t="inlineStr">
        <is>
          <t>서초중앙로22길 25</t>
        </is>
      </c>
      <c r="Q1050" s="41" t="inlineStr">
        <is>
          <t>-</t>
        </is>
      </c>
      <c r="R1050" s="42" t="inlineStr">
        <is>
          <t>중개거래</t>
        </is>
      </c>
      <c r="S1050" s="42" t="inlineStr">
        <is>
          <t>서울 서초구</t>
        </is>
      </c>
      <c r="T1050" s="41" t="inlineStr">
        <is>
          <t>25.02.28</t>
        </is>
      </c>
      <c r="U1050" s="42" t="inlineStr">
        <is>
          <t>아파트</t>
        </is>
      </c>
    </row>
    <row r="1051" hidden="1" ht="14.25" customHeight="1">
      <c r="A1051" s="41" t="n">
        <v>518</v>
      </c>
      <c r="B1051" s="42" t="inlineStr">
        <is>
          <t>서울특별시 서초구 서초동</t>
        </is>
      </c>
      <c r="C1051" s="41" t="inlineStr">
        <is>
          <t>1620-20</t>
        </is>
      </c>
      <c r="D1051" s="41" t="inlineStr">
        <is>
          <t>1620</t>
        </is>
      </c>
      <c r="E1051" s="41" t="inlineStr">
        <is>
          <t>0020</t>
        </is>
      </c>
      <c r="F1051" s="42" t="inlineStr">
        <is>
          <t>서초동롯데캐슬리버티</t>
        </is>
      </c>
      <c r="G1051" s="41" t="inlineStr">
        <is>
          <t>125.7900</t>
        </is>
      </c>
      <c r="H1051" s="41" t="inlineStr">
        <is>
          <t>202410</t>
        </is>
      </c>
      <c r="I1051" s="41" t="inlineStr">
        <is>
          <t>31</t>
        </is>
      </c>
      <c r="J1051" s="41" t="inlineStr">
        <is>
          <t>187,000</t>
        </is>
      </c>
      <c r="K1051" s="41" t="inlineStr">
        <is>
          <t>101</t>
        </is>
      </c>
      <c r="L1051" s="41" t="inlineStr">
        <is>
          <t>2</t>
        </is>
      </c>
      <c r="M1051" s="42" t="inlineStr">
        <is>
          <t>개인</t>
        </is>
      </c>
      <c r="N1051" s="42" t="inlineStr">
        <is>
          <t>개인</t>
        </is>
      </c>
      <c r="O1051" s="41" t="inlineStr">
        <is>
          <t>2005</t>
        </is>
      </c>
      <c r="P1051" s="42" t="inlineStr">
        <is>
          <t>사임당로10길 39</t>
        </is>
      </c>
      <c r="Q1051" s="41" t="inlineStr">
        <is>
          <t>-</t>
        </is>
      </c>
      <c r="R1051" s="42" t="inlineStr">
        <is>
          <t>중개거래</t>
        </is>
      </c>
      <c r="S1051" s="42" t="inlineStr">
        <is>
          <t>서울 강남구, 서울 서초구</t>
        </is>
      </c>
      <c r="T1051" s="41" t="inlineStr">
        <is>
          <t>25.02.03</t>
        </is>
      </c>
      <c r="U1051" s="42" t="inlineStr">
        <is>
          <t>아파트</t>
        </is>
      </c>
    </row>
    <row r="1052" hidden="1" ht="14.25" customHeight="1">
      <c r="A1052" s="41" t="n">
        <v>519</v>
      </c>
      <c r="B1052" s="42" t="inlineStr">
        <is>
          <t>서울특별시 서초구 서초동</t>
        </is>
      </c>
      <c r="C1052" s="41" t="inlineStr">
        <is>
          <t>1363-25</t>
        </is>
      </c>
      <c r="D1052" s="41" t="inlineStr">
        <is>
          <t>1363</t>
        </is>
      </c>
      <c r="E1052" s="41" t="inlineStr">
        <is>
          <t>0025</t>
        </is>
      </c>
      <c r="F1052" s="42" t="inlineStr">
        <is>
          <t>한라비발디스튜디오193</t>
        </is>
      </c>
      <c r="G1052" s="41" t="inlineStr">
        <is>
          <t>19.9900</t>
        </is>
      </c>
      <c r="H1052" s="41" t="inlineStr">
        <is>
          <t>202410</t>
        </is>
      </c>
      <c r="I1052" s="41" t="inlineStr">
        <is>
          <t>31</t>
        </is>
      </c>
      <c r="J1052" s="41" t="inlineStr">
        <is>
          <t>26,000</t>
        </is>
      </c>
      <c r="K1052" s="42" t="inlineStr">
        <is>
          <t>한라비발디스튜디오193</t>
        </is>
      </c>
      <c r="L1052" s="41" t="inlineStr">
        <is>
          <t>7</t>
        </is>
      </c>
      <c r="M1052" s="42" t="inlineStr">
        <is>
          <t>개인</t>
        </is>
      </c>
      <c r="N1052" s="42" t="inlineStr">
        <is>
          <t>개인</t>
        </is>
      </c>
      <c r="O1052" s="41" t="inlineStr">
        <is>
          <t>2013</t>
        </is>
      </c>
      <c r="P1052" s="42" t="inlineStr">
        <is>
          <t>강남대로39길 15-10</t>
        </is>
      </c>
      <c r="Q1052" s="41" t="inlineStr">
        <is>
          <t>-</t>
        </is>
      </c>
      <c r="R1052" s="42" t="inlineStr">
        <is>
          <t>중개거래</t>
        </is>
      </c>
      <c r="S1052" s="42" t="inlineStr">
        <is>
          <t>서울 서초구</t>
        </is>
      </c>
      <c r="T1052" s="41" t="inlineStr">
        <is>
          <t>25.01.06</t>
        </is>
      </c>
      <c r="U1052" s="42" t="inlineStr">
        <is>
          <t>아파트</t>
        </is>
      </c>
    </row>
    <row r="1053" hidden="1" ht="14.25" customHeight="1">
      <c r="A1053" s="41" t="n">
        <v>520</v>
      </c>
      <c r="B1053" s="42" t="inlineStr">
        <is>
          <t>서울특별시 서초구 서초동</t>
        </is>
      </c>
      <c r="C1053" s="41" t="inlineStr">
        <is>
          <t>1685</t>
        </is>
      </c>
      <c r="D1053" s="41" t="inlineStr">
        <is>
          <t>1685</t>
        </is>
      </c>
      <c r="E1053" s="41" t="inlineStr">
        <is>
          <t>0000</t>
        </is>
      </c>
      <c r="F1053" s="42" t="inlineStr">
        <is>
          <t>삼풍아파트</t>
        </is>
      </c>
      <c r="G1053" s="41" t="inlineStr">
        <is>
          <t>79.4700</t>
        </is>
      </c>
      <c r="H1053" s="41" t="inlineStr">
        <is>
          <t>202410</t>
        </is>
      </c>
      <c r="I1053" s="41" t="inlineStr">
        <is>
          <t>30</t>
        </is>
      </c>
      <c r="J1053" s="41" t="inlineStr">
        <is>
          <t>272,000</t>
        </is>
      </c>
      <c r="K1053" s="41" t="inlineStr">
        <is>
          <t>5</t>
        </is>
      </c>
      <c r="L1053" s="41" t="inlineStr">
        <is>
          <t>3</t>
        </is>
      </c>
      <c r="M1053" s="42" t="inlineStr">
        <is>
          <t>개인</t>
        </is>
      </c>
      <c r="N1053" s="42" t="inlineStr">
        <is>
          <t>법인</t>
        </is>
      </c>
      <c r="O1053" s="41" t="inlineStr">
        <is>
          <t>1988</t>
        </is>
      </c>
      <c r="P1053" s="42" t="inlineStr">
        <is>
          <t>서초중앙로 200</t>
        </is>
      </c>
      <c r="Q1053" s="41" t="inlineStr">
        <is>
          <t>-</t>
        </is>
      </c>
      <c r="R1053" s="42" t="inlineStr">
        <is>
          <t>중개거래</t>
        </is>
      </c>
      <c r="S1053" s="42" t="inlineStr">
        <is>
          <t>서울 서초구</t>
        </is>
      </c>
      <c r="T1053" s="41" t="inlineStr">
        <is>
          <t>25.01.31</t>
        </is>
      </c>
      <c r="U1053" s="42" t="inlineStr">
        <is>
          <t>아파트</t>
        </is>
      </c>
    </row>
    <row r="1054" hidden="1" ht="14.25" customHeight="1">
      <c r="A1054" s="41" t="n">
        <v>521</v>
      </c>
      <c r="B1054" s="42" t="inlineStr">
        <is>
          <t>서울특별시 서초구 서초동</t>
        </is>
      </c>
      <c r="C1054" s="41" t="inlineStr">
        <is>
          <t>1487-145</t>
        </is>
      </c>
      <c r="D1054" s="41" t="inlineStr">
        <is>
          <t>1487</t>
        </is>
      </c>
      <c r="E1054" s="41" t="inlineStr">
        <is>
          <t>0145</t>
        </is>
      </c>
      <c r="F1054" s="42" t="inlineStr">
        <is>
          <t>래미안서초3차</t>
        </is>
      </c>
      <c r="G1054" s="41" t="inlineStr">
        <is>
          <t>180.2700</t>
        </is>
      </c>
      <c r="H1054" s="41" t="inlineStr">
        <is>
          <t>202410</t>
        </is>
      </c>
      <c r="I1054" s="41" t="inlineStr">
        <is>
          <t>29</t>
        </is>
      </c>
      <c r="J1054" s="41" t="inlineStr">
        <is>
          <t>200,000</t>
        </is>
      </c>
      <c r="K1054" s="41" t="inlineStr">
        <is>
          <t>101</t>
        </is>
      </c>
      <c r="L1054" s="41" t="inlineStr">
        <is>
          <t>10</t>
        </is>
      </c>
      <c r="M1054" s="42" t="inlineStr">
        <is>
          <t>개인</t>
        </is>
      </c>
      <c r="N1054" s="42" t="inlineStr">
        <is>
          <t>개인</t>
        </is>
      </c>
      <c r="O1054" s="41" t="inlineStr">
        <is>
          <t>2005</t>
        </is>
      </c>
      <c r="P1054" s="42" t="inlineStr">
        <is>
          <t>명달로6길 24</t>
        </is>
      </c>
      <c r="Q1054" s="41" t="inlineStr">
        <is>
          <t>-</t>
        </is>
      </c>
      <c r="R1054" s="42" t="inlineStr">
        <is>
          <t>중개거래</t>
        </is>
      </c>
      <c r="S1054" s="42" t="inlineStr">
        <is>
          <t>서울 서초구</t>
        </is>
      </c>
      <c r="T1054" s="41" t="inlineStr">
        <is>
          <t>24.11.28</t>
        </is>
      </c>
      <c r="U1054" s="42" t="inlineStr">
        <is>
          <t>아파트</t>
        </is>
      </c>
    </row>
    <row r="1055" hidden="1" ht="14.25" customHeight="1">
      <c r="A1055" s="41" t="n">
        <v>522</v>
      </c>
      <c r="B1055" s="42" t="inlineStr">
        <is>
          <t>서울특별시 서초구 서초동</t>
        </is>
      </c>
      <c r="C1055" s="41" t="inlineStr">
        <is>
          <t>1685</t>
        </is>
      </c>
      <c r="D1055" s="41" t="inlineStr">
        <is>
          <t>1685</t>
        </is>
      </c>
      <c r="E1055" s="41" t="inlineStr">
        <is>
          <t>0000</t>
        </is>
      </c>
      <c r="F1055" s="42" t="inlineStr">
        <is>
          <t>삼풍아파트</t>
        </is>
      </c>
      <c r="G1055" s="41" t="inlineStr">
        <is>
          <t>79.4700</t>
        </is>
      </c>
      <c r="H1055" s="41" t="inlineStr">
        <is>
          <t>202410</t>
        </is>
      </c>
      <c r="I1055" s="41" t="inlineStr">
        <is>
          <t>28</t>
        </is>
      </c>
      <c r="J1055" s="41" t="inlineStr">
        <is>
          <t>270,000</t>
        </is>
      </c>
      <c r="K1055" s="41" t="inlineStr">
        <is>
          <t>5</t>
        </is>
      </c>
      <c r="L1055" s="41" t="inlineStr">
        <is>
          <t>6</t>
        </is>
      </c>
      <c r="M1055" s="42" t="inlineStr">
        <is>
          <t>개인</t>
        </is>
      </c>
      <c r="N1055" s="42" t="inlineStr">
        <is>
          <t>개인</t>
        </is>
      </c>
      <c r="O1055" s="41" t="inlineStr">
        <is>
          <t>1988</t>
        </is>
      </c>
      <c r="P1055" s="42" t="inlineStr">
        <is>
          <t>서초중앙로 200</t>
        </is>
      </c>
      <c r="Q1055" s="41" t="inlineStr">
        <is>
          <t>-</t>
        </is>
      </c>
      <c r="R1055" s="42" t="inlineStr">
        <is>
          <t>중개거래</t>
        </is>
      </c>
      <c r="S1055" s="42" t="inlineStr">
        <is>
          <t>서울 서초구</t>
        </is>
      </c>
      <c r="T1055" s="41" t="inlineStr">
        <is>
          <t>24.12.31</t>
        </is>
      </c>
      <c r="U1055" s="42" t="inlineStr">
        <is>
          <t>아파트</t>
        </is>
      </c>
    </row>
    <row r="1056" hidden="1" ht="14.25" customHeight="1">
      <c r="A1056" s="41" t="n">
        <v>523</v>
      </c>
      <c r="B1056" s="42" t="inlineStr">
        <is>
          <t>서울특별시 서초구 서초동</t>
        </is>
      </c>
      <c r="C1056" s="41" t="inlineStr">
        <is>
          <t>1445-13</t>
        </is>
      </c>
      <c r="D1056" s="41" t="inlineStr">
        <is>
          <t>1445</t>
        </is>
      </c>
      <c r="E1056" s="41" t="inlineStr">
        <is>
          <t>0013</t>
        </is>
      </c>
      <c r="F1056" s="42" t="inlineStr">
        <is>
          <t>서초쌍용플래티넘</t>
        </is>
      </c>
      <c r="G1056" s="41" t="inlineStr">
        <is>
          <t>72.4700</t>
        </is>
      </c>
      <c r="H1056" s="41" t="inlineStr">
        <is>
          <t>202410</t>
        </is>
      </c>
      <c r="I1056" s="41" t="inlineStr">
        <is>
          <t>28</t>
        </is>
      </c>
      <c r="J1056" s="41" t="inlineStr">
        <is>
          <t>103,000</t>
        </is>
      </c>
      <c r="K1056" s="42" t="inlineStr">
        <is>
          <t>서초쌍용플래티넘</t>
        </is>
      </c>
      <c r="L1056" s="41" t="inlineStr">
        <is>
          <t>16</t>
        </is>
      </c>
      <c r="M1056" s="42" t="inlineStr">
        <is>
          <t>개인</t>
        </is>
      </c>
      <c r="N1056" s="42" t="inlineStr">
        <is>
          <t>개인</t>
        </is>
      </c>
      <c r="O1056" s="41" t="inlineStr">
        <is>
          <t>2006</t>
        </is>
      </c>
      <c r="P1056" s="42" t="inlineStr">
        <is>
          <t>서초중앙로 18</t>
        </is>
      </c>
      <c r="Q1056" s="41" t="inlineStr">
        <is>
          <t>-</t>
        </is>
      </c>
      <c r="R1056" s="42" t="inlineStr">
        <is>
          <t>중개거래</t>
        </is>
      </c>
      <c r="S1056" s="42" t="inlineStr">
        <is>
          <t>서울 서초구</t>
        </is>
      </c>
      <c r="T1056" s="41" t="inlineStr">
        <is>
          <t>25.01.31</t>
        </is>
      </c>
      <c r="U1056" s="42" t="inlineStr">
        <is>
          <t>아파트</t>
        </is>
      </c>
    </row>
    <row r="1057" hidden="1" ht="14.25" customHeight="1">
      <c r="A1057" s="41" t="n">
        <v>524</v>
      </c>
      <c r="B1057" s="42" t="inlineStr">
        <is>
          <t>서울특별시 서초구 서초동</t>
        </is>
      </c>
      <c r="C1057" s="41" t="inlineStr">
        <is>
          <t>1682</t>
        </is>
      </c>
      <c r="D1057" s="41" t="inlineStr">
        <is>
          <t>1682</t>
        </is>
      </c>
      <c r="E1057" s="41" t="inlineStr">
        <is>
          <t>0000</t>
        </is>
      </c>
      <c r="F1057" s="42" t="inlineStr">
        <is>
          <t>서초래미안</t>
        </is>
      </c>
      <c r="G1057" s="41" t="inlineStr">
        <is>
          <t>84.9700</t>
        </is>
      </c>
      <c r="H1057" s="41" t="inlineStr">
        <is>
          <t>202410</t>
        </is>
      </c>
      <c r="I1057" s="41" t="inlineStr">
        <is>
          <t>26</t>
        </is>
      </c>
      <c r="J1057" s="41" t="inlineStr">
        <is>
          <t>230,000</t>
        </is>
      </c>
      <c r="K1057" s="41" t="inlineStr">
        <is>
          <t>102</t>
        </is>
      </c>
      <c r="L1057" s="41" t="inlineStr">
        <is>
          <t>20</t>
        </is>
      </c>
      <c r="M1057" s="42" t="inlineStr">
        <is>
          <t>개인</t>
        </is>
      </c>
      <c r="N1057" s="42" t="inlineStr">
        <is>
          <t>개인</t>
        </is>
      </c>
      <c r="O1057" s="41" t="inlineStr">
        <is>
          <t>2003</t>
        </is>
      </c>
      <c r="P1057" s="42" t="inlineStr">
        <is>
          <t>서초대로65길 13-10</t>
        </is>
      </c>
      <c r="Q1057" s="41" t="inlineStr">
        <is>
          <t>-</t>
        </is>
      </c>
      <c r="R1057" s="42" t="inlineStr">
        <is>
          <t>중개거래</t>
        </is>
      </c>
      <c r="S1057" s="42" t="inlineStr">
        <is>
          <t>서울 서초구</t>
        </is>
      </c>
      <c r="T1057" s="41" t="inlineStr">
        <is>
          <t>25.02.03</t>
        </is>
      </c>
      <c r="U1057" s="42" t="inlineStr">
        <is>
          <t>아파트</t>
        </is>
      </c>
    </row>
    <row r="1058" hidden="1" ht="14.25" customHeight="1">
      <c r="A1058" s="41" t="n">
        <v>525</v>
      </c>
      <c r="B1058" s="42" t="inlineStr">
        <is>
          <t>서울특별시 서초구 서초동</t>
        </is>
      </c>
      <c r="C1058" s="41" t="inlineStr">
        <is>
          <t>1754</t>
        </is>
      </c>
      <c r="D1058" s="41" t="inlineStr">
        <is>
          <t>1754</t>
        </is>
      </c>
      <c r="E1058" s="41" t="inlineStr">
        <is>
          <t>0000</t>
        </is>
      </c>
      <c r="F1058" s="42" t="inlineStr">
        <is>
          <t>래미안서초에스티지S</t>
        </is>
      </c>
      <c r="G1058" s="41" t="inlineStr">
        <is>
          <t>111.0100</t>
        </is>
      </c>
      <c r="H1058" s="41" t="inlineStr">
        <is>
          <t>202410</t>
        </is>
      </c>
      <c r="I1058" s="41" t="inlineStr">
        <is>
          <t>26</t>
        </is>
      </c>
      <c r="J1058" s="41" t="inlineStr">
        <is>
          <t>332,500</t>
        </is>
      </c>
      <c r="K1058" s="41" t="inlineStr">
        <is>
          <t>203</t>
        </is>
      </c>
      <c r="L1058" s="41" t="inlineStr">
        <is>
          <t>6</t>
        </is>
      </c>
      <c r="M1058" s="42" t="inlineStr">
        <is>
          <t>개인</t>
        </is>
      </c>
      <c r="N1058" s="42" t="inlineStr">
        <is>
          <t>개인</t>
        </is>
      </c>
      <c r="O1058" s="41" t="inlineStr">
        <is>
          <t>2018</t>
        </is>
      </c>
      <c r="P1058" s="42" t="inlineStr">
        <is>
          <t>서운로 104</t>
        </is>
      </c>
      <c r="Q1058" s="41" t="inlineStr">
        <is>
          <t>-</t>
        </is>
      </c>
      <c r="R1058" s="42" t="inlineStr">
        <is>
          <t>중개거래</t>
        </is>
      </c>
      <c r="S1058" s="42" t="inlineStr">
        <is>
          <t>서울 서초구</t>
        </is>
      </c>
      <c r="T1058" s="41" t="inlineStr">
        <is>
          <t>25.01.02</t>
        </is>
      </c>
      <c r="U1058" s="42" t="inlineStr">
        <is>
          <t>아파트</t>
        </is>
      </c>
    </row>
    <row r="1059" hidden="1" ht="14.25" customHeight="1">
      <c r="A1059" s="41" t="n">
        <v>526</v>
      </c>
      <c r="B1059" s="42" t="inlineStr">
        <is>
          <t>서울특별시 서초구 서초동</t>
        </is>
      </c>
      <c r="C1059" s="41" t="inlineStr">
        <is>
          <t>1315</t>
        </is>
      </c>
      <c r="D1059" s="41" t="inlineStr">
        <is>
          <t>1315</t>
        </is>
      </c>
      <c r="E1059" s="41" t="inlineStr">
        <is>
          <t>0000</t>
        </is>
      </c>
      <c r="F1059" s="42" t="inlineStr">
        <is>
          <t>진흥아파트</t>
        </is>
      </c>
      <c r="G1059" s="41" t="inlineStr">
        <is>
          <t>131.0700</t>
        </is>
      </c>
      <c r="H1059" s="41" t="inlineStr">
        <is>
          <t>202410</t>
        </is>
      </c>
      <c r="I1059" s="41" t="inlineStr">
        <is>
          <t>25</t>
        </is>
      </c>
      <c r="J1059" s="41" t="inlineStr">
        <is>
          <t>301,000</t>
        </is>
      </c>
      <c r="K1059" s="41" t="inlineStr">
        <is>
          <t>7</t>
        </is>
      </c>
      <c r="L1059" s="41" t="inlineStr">
        <is>
          <t>15</t>
        </is>
      </c>
      <c r="M1059" s="42" t="inlineStr">
        <is>
          <t>개인</t>
        </is>
      </c>
      <c r="N1059" s="42" t="inlineStr">
        <is>
          <t>개인</t>
        </is>
      </c>
      <c r="O1059" s="41" t="inlineStr">
        <is>
          <t>1979</t>
        </is>
      </c>
      <c r="P1059" s="42" t="inlineStr">
        <is>
          <t>서초대로 385</t>
        </is>
      </c>
      <c r="Q1059" s="41" t="inlineStr">
        <is>
          <t>-</t>
        </is>
      </c>
      <c r="R1059" s="42" t="inlineStr">
        <is>
          <t>중개거래</t>
        </is>
      </c>
      <c r="S1059" s="42" t="inlineStr">
        <is>
          <t>서울 서초구</t>
        </is>
      </c>
      <c r="T1059" s="41" t="inlineStr">
        <is>
          <t>25.01.10</t>
        </is>
      </c>
      <c r="U1059" s="42" t="inlineStr">
        <is>
          <t>아파트</t>
        </is>
      </c>
    </row>
    <row r="1060" hidden="1" ht="14.25" customHeight="1">
      <c r="A1060" s="41" t="n">
        <v>527</v>
      </c>
      <c r="B1060" s="42" t="inlineStr">
        <is>
          <t>서울특별시 서초구 서초동</t>
        </is>
      </c>
      <c r="C1060" s="41" t="inlineStr">
        <is>
          <t>1685-3</t>
        </is>
      </c>
      <c r="D1060" s="41" t="inlineStr">
        <is>
          <t>1685</t>
        </is>
      </c>
      <c r="E1060" s="41" t="inlineStr">
        <is>
          <t>0003</t>
        </is>
      </c>
      <c r="F1060" s="42" t="inlineStr">
        <is>
          <t>아크로비스타</t>
        </is>
      </c>
      <c r="G1060" s="41" t="inlineStr">
        <is>
          <t>164.2100</t>
        </is>
      </c>
      <c r="H1060" s="41" t="inlineStr">
        <is>
          <t>202410</t>
        </is>
      </c>
      <c r="I1060" s="41" t="inlineStr">
        <is>
          <t>25</t>
        </is>
      </c>
      <c r="J1060" s="41" t="inlineStr">
        <is>
          <t>332,000</t>
        </is>
      </c>
      <c r="K1060" s="41" t="inlineStr">
        <is>
          <t>B</t>
        </is>
      </c>
      <c r="L1060" s="41" t="inlineStr">
        <is>
          <t>7</t>
        </is>
      </c>
      <c r="M1060" s="42" t="inlineStr">
        <is>
          <t>개인</t>
        </is>
      </c>
      <c r="N1060" s="42" t="inlineStr">
        <is>
          <t>개인</t>
        </is>
      </c>
      <c r="O1060" s="41" t="inlineStr">
        <is>
          <t>2004</t>
        </is>
      </c>
      <c r="P1060" s="42" t="inlineStr">
        <is>
          <t>서초중앙로 188</t>
        </is>
      </c>
      <c r="Q1060" s="41" t="inlineStr">
        <is>
          <t>-</t>
        </is>
      </c>
      <c r="R1060" s="42" t="inlineStr">
        <is>
          <t>중개거래</t>
        </is>
      </c>
      <c r="S1060" s="42" t="inlineStr">
        <is>
          <t>서울 서초구</t>
        </is>
      </c>
      <c r="T1060" s="41" t="inlineStr">
        <is>
          <t>25.02.28</t>
        </is>
      </c>
      <c r="U1060" s="42" t="inlineStr">
        <is>
          <t>아파트</t>
        </is>
      </c>
    </row>
    <row r="1061" hidden="1" ht="14.25" customHeight="1">
      <c r="A1061" s="41" t="n">
        <v>528</v>
      </c>
      <c r="B1061" s="42" t="inlineStr">
        <is>
          <t>서울특별시 서초구 서초동</t>
        </is>
      </c>
      <c r="C1061" s="41" t="inlineStr">
        <is>
          <t>1671-5</t>
        </is>
      </c>
      <c r="D1061" s="41" t="inlineStr">
        <is>
          <t>1671</t>
        </is>
      </c>
      <c r="E1061" s="41" t="inlineStr">
        <is>
          <t>0005</t>
        </is>
      </c>
      <c r="F1061" s="42" t="inlineStr">
        <is>
          <t>대림서초리시온</t>
        </is>
      </c>
      <c r="G1061" s="41" t="inlineStr">
        <is>
          <t>49.9200</t>
        </is>
      </c>
      <c r="H1061" s="41" t="inlineStr">
        <is>
          <t>202410</t>
        </is>
      </c>
      <c r="I1061" s="41" t="inlineStr">
        <is>
          <t>23</t>
        </is>
      </c>
      <c r="J1061" s="41" t="inlineStr">
        <is>
          <t>55,300</t>
        </is>
      </c>
      <c r="K1061" s="41" t="inlineStr">
        <is>
          <t>-</t>
        </is>
      </c>
      <c r="L1061" s="41" t="inlineStr">
        <is>
          <t>7</t>
        </is>
      </c>
      <c r="M1061" s="42" t="inlineStr">
        <is>
          <t>개인</t>
        </is>
      </c>
      <c r="N1061" s="42" t="inlineStr">
        <is>
          <t>개인</t>
        </is>
      </c>
      <c r="O1061" s="41" t="inlineStr">
        <is>
          <t>2003</t>
        </is>
      </c>
      <c r="P1061" s="42" t="inlineStr">
        <is>
          <t>서초중앙로22길 25</t>
        </is>
      </c>
      <c r="Q1061" s="41" t="inlineStr">
        <is>
          <t>-</t>
        </is>
      </c>
      <c r="R1061" s="42" t="inlineStr">
        <is>
          <t>중개거래</t>
        </is>
      </c>
      <c r="S1061" s="42" t="inlineStr">
        <is>
          <t>서울 서초구</t>
        </is>
      </c>
      <c r="T1061" s="41" t="inlineStr">
        <is>
          <t>25.03.14</t>
        </is>
      </c>
      <c r="U1061" s="42" t="inlineStr">
        <is>
          <t>아파트</t>
        </is>
      </c>
    </row>
    <row r="1062" hidden="1" ht="14.25" customHeight="1">
      <c r="A1062" s="41" t="n">
        <v>529</v>
      </c>
      <c r="B1062" s="42" t="inlineStr">
        <is>
          <t>서울특별시 서초구 서초동</t>
        </is>
      </c>
      <c r="C1062" s="41" t="inlineStr">
        <is>
          <t>1682</t>
        </is>
      </c>
      <c r="D1062" s="41" t="inlineStr">
        <is>
          <t>1682</t>
        </is>
      </c>
      <c r="E1062" s="41" t="inlineStr">
        <is>
          <t>0000</t>
        </is>
      </c>
      <c r="F1062" s="42" t="inlineStr">
        <is>
          <t>서초래미안</t>
        </is>
      </c>
      <c r="G1062" s="41" t="inlineStr">
        <is>
          <t>84.9700</t>
        </is>
      </c>
      <c r="H1062" s="41" t="inlineStr">
        <is>
          <t>202410</t>
        </is>
      </c>
      <c r="I1062" s="41" t="inlineStr">
        <is>
          <t>23</t>
        </is>
      </c>
      <c r="J1062" s="41" t="inlineStr">
        <is>
          <t>230,000</t>
        </is>
      </c>
      <c r="K1062" s="41" t="inlineStr">
        <is>
          <t>103</t>
        </is>
      </c>
      <c r="L1062" s="41" t="inlineStr">
        <is>
          <t>21</t>
        </is>
      </c>
      <c r="M1062" s="42" t="inlineStr">
        <is>
          <t>개인</t>
        </is>
      </c>
      <c r="N1062" s="42" t="inlineStr">
        <is>
          <t>개인</t>
        </is>
      </c>
      <c r="O1062" s="41" t="inlineStr">
        <is>
          <t>2003</t>
        </is>
      </c>
      <c r="P1062" s="42" t="inlineStr">
        <is>
          <t>서초대로65길 13-10</t>
        </is>
      </c>
      <c r="Q1062" s="41" t="inlineStr">
        <is>
          <t>-</t>
        </is>
      </c>
      <c r="R1062" s="42" t="inlineStr">
        <is>
          <t>중개거래</t>
        </is>
      </c>
      <c r="S1062" s="42" t="inlineStr">
        <is>
          <t>서울 서초구</t>
        </is>
      </c>
      <c r="T1062" s="41" t="inlineStr">
        <is>
          <t>25.03.31</t>
        </is>
      </c>
      <c r="U1062" s="42" t="inlineStr">
        <is>
          <t>아파트</t>
        </is>
      </c>
    </row>
    <row r="1063" hidden="1" ht="14.25" customHeight="1">
      <c r="A1063" s="41" t="n">
        <v>530</v>
      </c>
      <c r="B1063" s="42" t="inlineStr">
        <is>
          <t>서울특별시 서초구 서초동</t>
        </is>
      </c>
      <c r="C1063" s="41" t="inlineStr">
        <is>
          <t>1326-17</t>
        </is>
      </c>
      <c r="D1063" s="41" t="inlineStr">
        <is>
          <t>1326</t>
        </is>
      </c>
      <c r="E1063" s="41" t="inlineStr">
        <is>
          <t>0017</t>
        </is>
      </c>
      <c r="F1063" s="42" t="inlineStr">
        <is>
          <t>우성아파트</t>
        </is>
      </c>
      <c r="G1063" s="41" t="inlineStr">
        <is>
          <t>59.9300</t>
        </is>
      </c>
      <c r="H1063" s="41" t="inlineStr">
        <is>
          <t>202410</t>
        </is>
      </c>
      <c r="I1063" s="41" t="inlineStr">
        <is>
          <t>22</t>
        </is>
      </c>
      <c r="J1063" s="41" t="inlineStr">
        <is>
          <t>170,000</t>
        </is>
      </c>
      <c r="K1063" s="41" t="inlineStr">
        <is>
          <t>501</t>
        </is>
      </c>
      <c r="L1063" s="41" t="inlineStr">
        <is>
          <t>1</t>
        </is>
      </c>
      <c r="M1063" s="42" t="inlineStr">
        <is>
          <t>개인</t>
        </is>
      </c>
      <c r="N1063" s="42" t="inlineStr">
        <is>
          <t>개인</t>
        </is>
      </c>
      <c r="O1063" s="41" t="inlineStr">
        <is>
          <t>1998</t>
        </is>
      </c>
      <c r="P1063" s="42" t="inlineStr">
        <is>
          <t>서초대로74길 30</t>
        </is>
      </c>
      <c r="Q1063" s="41" t="inlineStr">
        <is>
          <t>-</t>
        </is>
      </c>
      <c r="R1063" s="42" t="inlineStr">
        <is>
          <t>중개거래</t>
        </is>
      </c>
      <c r="S1063" s="42" t="inlineStr">
        <is>
          <t>서울 서초구</t>
        </is>
      </c>
      <c r="T1063" s="41" t="inlineStr">
        <is>
          <t>25.02.03</t>
        </is>
      </c>
      <c r="U1063" s="42" t="inlineStr">
        <is>
          <t>아파트</t>
        </is>
      </c>
    </row>
    <row r="1064" hidden="1" ht="14.25" customHeight="1">
      <c r="A1064" s="41" t="n">
        <v>531</v>
      </c>
      <c r="B1064" s="42" t="inlineStr">
        <is>
          <t>서울특별시 서초구 서초동</t>
        </is>
      </c>
      <c r="C1064" s="41" t="inlineStr">
        <is>
          <t>1492-4</t>
        </is>
      </c>
      <c r="D1064" s="41" t="inlineStr">
        <is>
          <t>1492</t>
        </is>
      </c>
      <c r="E1064" s="41" t="inlineStr">
        <is>
          <t>0004</t>
        </is>
      </c>
      <c r="F1064" s="42" t="inlineStr">
        <is>
          <t>브라운스톤로얄스위트서초</t>
        </is>
      </c>
      <c r="G1064" s="41" t="inlineStr">
        <is>
          <t>139.5400</t>
        </is>
      </c>
      <c r="H1064" s="41" t="inlineStr">
        <is>
          <t>202410</t>
        </is>
      </c>
      <c r="I1064" s="41" t="inlineStr">
        <is>
          <t>22</t>
        </is>
      </c>
      <c r="J1064" s="41" t="inlineStr">
        <is>
          <t>185,000</t>
        </is>
      </c>
      <c r="K1064" s="41" t="inlineStr">
        <is>
          <t>-</t>
        </is>
      </c>
      <c r="L1064" s="41" t="inlineStr">
        <is>
          <t>3</t>
        </is>
      </c>
      <c r="M1064" s="42" t="inlineStr">
        <is>
          <t>개인</t>
        </is>
      </c>
      <c r="N1064" s="42" t="inlineStr">
        <is>
          <t>개인</t>
        </is>
      </c>
      <c r="O1064" s="41" t="inlineStr">
        <is>
          <t>2005</t>
        </is>
      </c>
      <c r="P1064" s="42" t="inlineStr">
        <is>
          <t>명달로15길 5</t>
        </is>
      </c>
      <c r="Q1064" s="41" t="inlineStr">
        <is>
          <t>-</t>
        </is>
      </c>
      <c r="R1064" s="42" t="inlineStr">
        <is>
          <t>중개거래</t>
        </is>
      </c>
      <c r="S1064" s="42" t="inlineStr">
        <is>
          <t>서울 강남구, 서울 서초구</t>
        </is>
      </c>
      <c r="T1064" s="41" t="inlineStr">
        <is>
          <t>24.12.02</t>
        </is>
      </c>
      <c r="U1064" s="42" t="inlineStr">
        <is>
          <t>아파트</t>
        </is>
      </c>
    </row>
    <row r="1065" hidden="1" ht="14.25" customHeight="1">
      <c r="A1065" s="41" t="n">
        <v>532</v>
      </c>
      <c r="B1065" s="42" t="inlineStr">
        <is>
          <t>서울특별시 서초구 서초동</t>
        </is>
      </c>
      <c r="C1065" s="41" t="inlineStr">
        <is>
          <t>1620-20</t>
        </is>
      </c>
      <c r="D1065" s="41" t="inlineStr">
        <is>
          <t>1620</t>
        </is>
      </c>
      <c r="E1065" s="41" t="inlineStr">
        <is>
          <t>0020</t>
        </is>
      </c>
      <c r="F1065" s="42" t="inlineStr">
        <is>
          <t>서초동롯데캐슬리버티</t>
        </is>
      </c>
      <c r="G1065" s="41" t="inlineStr">
        <is>
          <t>125.7900</t>
        </is>
      </c>
      <c r="H1065" s="41" t="inlineStr">
        <is>
          <t>202410</t>
        </is>
      </c>
      <c r="I1065" s="41" t="inlineStr">
        <is>
          <t>22</t>
        </is>
      </c>
      <c r="J1065" s="41" t="inlineStr">
        <is>
          <t>195,000</t>
        </is>
      </c>
      <c r="K1065" s="41" t="inlineStr">
        <is>
          <t>101</t>
        </is>
      </c>
      <c r="L1065" s="41" t="inlineStr">
        <is>
          <t>2</t>
        </is>
      </c>
      <c r="M1065" s="42" t="inlineStr">
        <is>
          <t>개인</t>
        </is>
      </c>
      <c r="N1065" s="42" t="inlineStr">
        <is>
          <t>개인</t>
        </is>
      </c>
      <c r="O1065" s="41" t="inlineStr">
        <is>
          <t>2005</t>
        </is>
      </c>
      <c r="P1065" s="42" t="inlineStr">
        <is>
          <t>사임당로10길 39</t>
        </is>
      </c>
      <c r="Q1065" s="41" t="inlineStr">
        <is>
          <t>-</t>
        </is>
      </c>
      <c r="R1065" s="42" t="inlineStr">
        <is>
          <t>중개거래</t>
        </is>
      </c>
      <c r="S1065" s="42" t="inlineStr">
        <is>
          <t>서울 서초구</t>
        </is>
      </c>
      <c r="T1065" s="41" t="inlineStr">
        <is>
          <t>24.12.30</t>
        </is>
      </c>
      <c r="U1065" s="42" t="inlineStr">
        <is>
          <t>아파트</t>
        </is>
      </c>
    </row>
    <row r="1066" hidden="1" ht="14.25" customHeight="1">
      <c r="A1066" s="41" t="n">
        <v>533</v>
      </c>
      <c r="B1066" s="42" t="inlineStr">
        <is>
          <t>서울특별시 서초구 서초동</t>
        </is>
      </c>
      <c r="C1066" s="41" t="inlineStr">
        <is>
          <t>1685</t>
        </is>
      </c>
      <c r="D1066" s="41" t="inlineStr">
        <is>
          <t>1685</t>
        </is>
      </c>
      <c r="E1066" s="41" t="inlineStr">
        <is>
          <t>0000</t>
        </is>
      </c>
      <c r="F1066" s="42" t="inlineStr">
        <is>
          <t>삼풍아파트</t>
        </is>
      </c>
      <c r="G1066" s="41" t="inlineStr">
        <is>
          <t>130.7300</t>
        </is>
      </c>
      <c r="H1066" s="41" t="inlineStr">
        <is>
          <t>202410</t>
        </is>
      </c>
      <c r="I1066" s="41" t="inlineStr">
        <is>
          <t>20</t>
        </is>
      </c>
      <c r="J1066" s="41" t="inlineStr">
        <is>
          <t>370,000</t>
        </is>
      </c>
      <c r="K1066" s="41" t="inlineStr">
        <is>
          <t>10</t>
        </is>
      </c>
      <c r="L1066" s="41" t="inlineStr">
        <is>
          <t>13</t>
        </is>
      </c>
      <c r="M1066" s="42" t="inlineStr">
        <is>
          <t>개인</t>
        </is>
      </c>
      <c r="N1066" s="42" t="inlineStr">
        <is>
          <t>개인</t>
        </is>
      </c>
      <c r="O1066" s="41" t="inlineStr">
        <is>
          <t>1988</t>
        </is>
      </c>
      <c r="P1066" s="42" t="inlineStr">
        <is>
          <t>서초중앙로 200</t>
        </is>
      </c>
      <c r="Q1066" s="41" t="inlineStr">
        <is>
          <t>-</t>
        </is>
      </c>
      <c r="R1066" s="42" t="inlineStr">
        <is>
          <t>중개거래</t>
        </is>
      </c>
      <c r="S1066" s="42" t="inlineStr">
        <is>
          <t>서울 서초구</t>
        </is>
      </c>
      <c r="T1066" s="41" t="inlineStr">
        <is>
          <t>25.02.27</t>
        </is>
      </c>
      <c r="U1066" s="42" t="inlineStr">
        <is>
          <t>아파트</t>
        </is>
      </c>
    </row>
    <row r="1067" hidden="1" ht="14.25" customHeight="1">
      <c r="A1067" s="41" t="n">
        <v>534</v>
      </c>
      <c r="B1067" s="42" t="inlineStr">
        <is>
          <t>서울특별시 서초구 서초동</t>
        </is>
      </c>
      <c r="C1067" s="41" t="inlineStr">
        <is>
          <t>1685</t>
        </is>
      </c>
      <c r="D1067" s="41" t="inlineStr">
        <is>
          <t>1685</t>
        </is>
      </c>
      <c r="E1067" s="41" t="inlineStr">
        <is>
          <t>0000</t>
        </is>
      </c>
      <c r="F1067" s="42" t="inlineStr">
        <is>
          <t>삼풍아파트</t>
        </is>
      </c>
      <c r="G1067" s="41" t="inlineStr">
        <is>
          <t>79.4700</t>
        </is>
      </c>
      <c r="H1067" s="41" t="inlineStr">
        <is>
          <t>202410</t>
        </is>
      </c>
      <c r="I1067" s="41" t="inlineStr">
        <is>
          <t>20</t>
        </is>
      </c>
      <c r="J1067" s="41" t="inlineStr">
        <is>
          <t>280,000</t>
        </is>
      </c>
      <c r="K1067" s="41" t="inlineStr">
        <is>
          <t>8</t>
        </is>
      </c>
      <c r="L1067" s="41" t="inlineStr">
        <is>
          <t>12</t>
        </is>
      </c>
      <c r="M1067" s="42" t="inlineStr">
        <is>
          <t>개인</t>
        </is>
      </c>
      <c r="N1067" s="42" t="inlineStr">
        <is>
          <t>개인</t>
        </is>
      </c>
      <c r="O1067" s="41" t="inlineStr">
        <is>
          <t>1988</t>
        </is>
      </c>
      <c r="P1067" s="42" t="inlineStr">
        <is>
          <t>서초중앙로 200</t>
        </is>
      </c>
      <c r="Q1067" s="41" t="inlineStr">
        <is>
          <t>-</t>
        </is>
      </c>
      <c r="R1067" s="42" t="inlineStr">
        <is>
          <t>중개거래</t>
        </is>
      </c>
      <c r="S1067" s="42" t="inlineStr">
        <is>
          <t>경기 수원시 팔달구, 서울 서초구</t>
        </is>
      </c>
      <c r="T1067" s="41" t="inlineStr">
        <is>
          <t>25.02.27</t>
        </is>
      </c>
      <c r="U1067" s="42" t="inlineStr">
        <is>
          <t>아파트</t>
        </is>
      </c>
    </row>
    <row r="1068" hidden="1" ht="14.25" customHeight="1">
      <c r="A1068" s="41" t="n">
        <v>535</v>
      </c>
      <c r="B1068" s="42" t="inlineStr">
        <is>
          <t>서울특별시 서초구 서초동</t>
        </is>
      </c>
      <c r="C1068" s="41" t="inlineStr">
        <is>
          <t>1754</t>
        </is>
      </c>
      <c r="D1068" s="41" t="inlineStr">
        <is>
          <t>1754</t>
        </is>
      </c>
      <c r="E1068" s="41" t="inlineStr">
        <is>
          <t>0000</t>
        </is>
      </c>
      <c r="F1068" s="42" t="inlineStr">
        <is>
          <t>래미안서초에스티지S</t>
        </is>
      </c>
      <c r="G1068" s="41" t="inlineStr">
        <is>
          <t>84.9600</t>
        </is>
      </c>
      <c r="H1068" s="41" t="inlineStr">
        <is>
          <t>202410</t>
        </is>
      </c>
      <c r="I1068" s="41" t="inlineStr">
        <is>
          <t>19</t>
        </is>
      </c>
      <c r="J1068" s="41" t="inlineStr">
        <is>
          <t>286,000</t>
        </is>
      </c>
      <c r="K1068" s="41" t="inlineStr">
        <is>
          <t>201</t>
        </is>
      </c>
      <c r="L1068" s="41" t="inlineStr">
        <is>
          <t>18</t>
        </is>
      </c>
      <c r="M1068" s="42" t="inlineStr">
        <is>
          <t>개인</t>
        </is>
      </c>
      <c r="N1068" s="42" t="inlineStr">
        <is>
          <t>개인</t>
        </is>
      </c>
      <c r="O1068" s="41" t="inlineStr">
        <is>
          <t>2018</t>
        </is>
      </c>
      <c r="P1068" s="42" t="inlineStr">
        <is>
          <t>서운로 104</t>
        </is>
      </c>
      <c r="Q1068" s="41" t="inlineStr">
        <is>
          <t>-</t>
        </is>
      </c>
      <c r="R1068" s="42" t="inlineStr">
        <is>
          <t>중개거래</t>
        </is>
      </c>
      <c r="S1068" s="42" t="inlineStr">
        <is>
          <t>서울 서초구</t>
        </is>
      </c>
      <c r="T1068" s="41" t="inlineStr">
        <is>
          <t>25.01.24</t>
        </is>
      </c>
      <c r="U1068" s="42" t="inlineStr">
        <is>
          <t>아파트</t>
        </is>
      </c>
    </row>
    <row r="1069" hidden="1" ht="14.25" customHeight="1">
      <c r="A1069" s="41" t="n">
        <v>536</v>
      </c>
      <c r="B1069" s="42" t="inlineStr">
        <is>
          <t>서울특별시 서초구 서초동</t>
        </is>
      </c>
      <c r="C1069" s="41" t="inlineStr">
        <is>
          <t>1446-11</t>
        </is>
      </c>
      <c r="D1069" s="41" t="inlineStr">
        <is>
          <t>1446</t>
        </is>
      </c>
      <c r="E1069" s="41" t="inlineStr">
        <is>
          <t>0011</t>
        </is>
      </c>
      <c r="F1069" s="42" t="inlineStr">
        <is>
          <t>현대슈퍼빌</t>
        </is>
      </c>
      <c r="G1069" s="41" t="inlineStr">
        <is>
          <t>153.9300</t>
        </is>
      </c>
      <c r="H1069" s="41" t="inlineStr">
        <is>
          <t>202410</t>
        </is>
      </c>
      <c r="I1069" s="41" t="inlineStr">
        <is>
          <t>18</t>
        </is>
      </c>
      <c r="J1069" s="41" t="inlineStr">
        <is>
          <t>269,000</t>
        </is>
      </c>
      <c r="K1069" s="41" t="inlineStr">
        <is>
          <t>C</t>
        </is>
      </c>
      <c r="L1069" s="41" t="inlineStr">
        <is>
          <t>6</t>
        </is>
      </c>
      <c r="M1069" s="42" t="inlineStr">
        <is>
          <t>개인</t>
        </is>
      </c>
      <c r="N1069" s="42" t="inlineStr">
        <is>
          <t>개인</t>
        </is>
      </c>
      <c r="O1069" s="41" t="inlineStr">
        <is>
          <t>2003</t>
        </is>
      </c>
      <c r="P1069" s="42" t="inlineStr">
        <is>
          <t>서초중앙로 15</t>
        </is>
      </c>
      <c r="Q1069" s="41" t="inlineStr">
        <is>
          <t>-</t>
        </is>
      </c>
      <c r="R1069" s="42" t="inlineStr">
        <is>
          <t>중개거래</t>
        </is>
      </c>
      <c r="S1069" s="42" t="inlineStr">
        <is>
          <t>서울 서초구</t>
        </is>
      </c>
      <c r="T1069" s="41" t="inlineStr">
        <is>
          <t>24.11.18</t>
        </is>
      </c>
      <c r="U1069" s="42" t="inlineStr">
        <is>
          <t>아파트</t>
        </is>
      </c>
    </row>
    <row r="1070" hidden="1" ht="14.25" customHeight="1">
      <c r="A1070" s="41" t="n">
        <v>537</v>
      </c>
      <c r="B1070" s="42" t="inlineStr">
        <is>
          <t>서울특별시 서초구 서초동</t>
        </is>
      </c>
      <c r="C1070" s="41" t="inlineStr">
        <is>
          <t>1445-14</t>
        </is>
      </c>
      <c r="D1070" s="41" t="inlineStr">
        <is>
          <t>1445</t>
        </is>
      </c>
      <c r="E1070" s="41" t="inlineStr">
        <is>
          <t>0014</t>
        </is>
      </c>
      <c r="F1070" s="42" t="inlineStr">
        <is>
          <t>더샵서초</t>
        </is>
      </c>
      <c r="G1070" s="41" t="inlineStr">
        <is>
          <t>30.3900</t>
        </is>
      </c>
      <c r="H1070" s="41" t="inlineStr">
        <is>
          <t>202410</t>
        </is>
      </c>
      <c r="I1070" s="41" t="inlineStr">
        <is>
          <t>18</t>
        </is>
      </c>
      <c r="J1070" s="41" t="inlineStr">
        <is>
          <t>58,000</t>
        </is>
      </c>
      <c r="K1070" s="41" t="inlineStr">
        <is>
          <t>103</t>
        </is>
      </c>
      <c r="L1070" s="41" t="inlineStr">
        <is>
          <t>31</t>
        </is>
      </c>
      <c r="M1070" s="42" t="inlineStr">
        <is>
          <t>개인</t>
        </is>
      </c>
      <c r="N1070" s="42" t="inlineStr">
        <is>
          <t>개인</t>
        </is>
      </c>
      <c r="O1070" s="41" t="inlineStr">
        <is>
          <t>2006</t>
        </is>
      </c>
      <c r="P1070" s="42" t="inlineStr">
        <is>
          <t>서초중앙로2길 21</t>
        </is>
      </c>
      <c r="Q1070" s="41" t="inlineStr">
        <is>
          <t>-</t>
        </is>
      </c>
      <c r="R1070" s="42" t="inlineStr">
        <is>
          <t>중개거래</t>
        </is>
      </c>
      <c r="S1070" s="42" t="inlineStr">
        <is>
          <t>서울 서초구, 서울 중구</t>
        </is>
      </c>
      <c r="T1070" s="41" t="inlineStr">
        <is>
          <t>24.11.19</t>
        </is>
      </c>
      <c r="U1070" s="42" t="inlineStr">
        <is>
          <t>아파트</t>
        </is>
      </c>
    </row>
    <row r="1071" hidden="1" ht="14.25" customHeight="1">
      <c r="A1071" s="41" t="n">
        <v>538</v>
      </c>
      <c r="B1071" s="42" t="inlineStr">
        <is>
          <t>서울특별시 서초구 서초동</t>
        </is>
      </c>
      <c r="C1071" s="41" t="inlineStr">
        <is>
          <t>1677-11</t>
        </is>
      </c>
      <c r="D1071" s="41" t="inlineStr">
        <is>
          <t>1677</t>
        </is>
      </c>
      <c r="E1071" s="41" t="inlineStr">
        <is>
          <t>0011</t>
        </is>
      </c>
      <c r="F1071" s="42" t="inlineStr">
        <is>
          <t>삼환바우스</t>
        </is>
      </c>
      <c r="G1071" s="41" t="inlineStr">
        <is>
          <t>84.7400</t>
        </is>
      </c>
      <c r="H1071" s="41" t="inlineStr">
        <is>
          <t>202410</t>
        </is>
      </c>
      <c r="I1071" s="41" t="inlineStr">
        <is>
          <t>17</t>
        </is>
      </c>
      <c r="J1071" s="41" t="inlineStr">
        <is>
          <t>130,000</t>
        </is>
      </c>
      <c r="K1071" s="41" t="inlineStr">
        <is>
          <t>1</t>
        </is>
      </c>
      <c r="L1071" s="41" t="inlineStr">
        <is>
          <t>10</t>
        </is>
      </c>
      <c r="M1071" s="42" t="inlineStr">
        <is>
          <t>개인</t>
        </is>
      </c>
      <c r="N1071" s="42" t="inlineStr">
        <is>
          <t>개인</t>
        </is>
      </c>
      <c r="O1071" s="41" t="inlineStr">
        <is>
          <t>2006</t>
        </is>
      </c>
      <c r="P1071" s="42" t="inlineStr">
        <is>
          <t>서초대로 340</t>
        </is>
      </c>
      <c r="Q1071" s="41" t="inlineStr">
        <is>
          <t>-</t>
        </is>
      </c>
      <c r="R1071" s="42" t="inlineStr">
        <is>
          <t>중개거래</t>
        </is>
      </c>
      <c r="S1071" s="42" t="inlineStr">
        <is>
          <t>서울 서초구</t>
        </is>
      </c>
      <c r="T1071" s="41" t="inlineStr">
        <is>
          <t>25.05.09</t>
        </is>
      </c>
      <c r="U1071" s="42" t="inlineStr">
        <is>
          <t>아파트</t>
        </is>
      </c>
    </row>
    <row r="1072" hidden="1" ht="14.25" customHeight="1">
      <c r="A1072" s="41" t="n">
        <v>539</v>
      </c>
      <c r="B1072" s="42" t="inlineStr">
        <is>
          <t>서울특별시 서초구 서초동</t>
        </is>
      </c>
      <c r="C1072" s="41" t="inlineStr">
        <is>
          <t>1685-3</t>
        </is>
      </c>
      <c r="D1072" s="41" t="inlineStr">
        <is>
          <t>1685</t>
        </is>
      </c>
      <c r="E1072" s="41" t="inlineStr">
        <is>
          <t>0003</t>
        </is>
      </c>
      <c r="F1072" s="42" t="inlineStr">
        <is>
          <t>아크로비스타</t>
        </is>
      </c>
      <c r="G1072" s="41" t="inlineStr">
        <is>
          <t>138.9600</t>
        </is>
      </c>
      <c r="H1072" s="41" t="inlineStr">
        <is>
          <t>202410</t>
        </is>
      </c>
      <c r="I1072" s="41" t="inlineStr">
        <is>
          <t>17</t>
        </is>
      </c>
      <c r="J1072" s="41" t="inlineStr">
        <is>
          <t>300,000</t>
        </is>
      </c>
      <c r="K1072" s="41" t="inlineStr">
        <is>
          <t>C</t>
        </is>
      </c>
      <c r="L1072" s="41" t="inlineStr">
        <is>
          <t>22</t>
        </is>
      </c>
      <c r="M1072" s="42" t="inlineStr">
        <is>
          <t>개인</t>
        </is>
      </c>
      <c r="N1072" s="42" t="inlineStr">
        <is>
          <t>개인</t>
        </is>
      </c>
      <c r="O1072" s="41" t="inlineStr">
        <is>
          <t>2004</t>
        </is>
      </c>
      <c r="P1072" s="42" t="inlineStr">
        <is>
          <t>서초중앙로 188</t>
        </is>
      </c>
      <c r="Q1072" s="41" t="inlineStr">
        <is>
          <t>-</t>
        </is>
      </c>
      <c r="R1072" s="42" t="inlineStr">
        <is>
          <t>중개거래</t>
        </is>
      </c>
      <c r="S1072" s="42" t="inlineStr">
        <is>
          <t>경기 안양시 만안구, 서울 서초구</t>
        </is>
      </c>
      <c r="T1072" s="41" t="inlineStr">
        <is>
          <t>25.02.27</t>
        </is>
      </c>
      <c r="U1072" s="42" t="inlineStr">
        <is>
          <t>아파트</t>
        </is>
      </c>
    </row>
    <row r="1073" hidden="1" ht="14.25" customHeight="1">
      <c r="A1073" s="41" t="n">
        <v>540</v>
      </c>
      <c r="B1073" s="42" t="inlineStr">
        <is>
          <t>서울특별시 서초구 서초동</t>
        </is>
      </c>
      <c r="C1073" s="41" t="inlineStr">
        <is>
          <t>1686-9</t>
        </is>
      </c>
      <c r="D1073" s="41" t="inlineStr">
        <is>
          <t>1686</t>
        </is>
      </c>
      <c r="E1073" s="41" t="inlineStr">
        <is>
          <t>0009</t>
        </is>
      </c>
      <c r="F1073" s="42" t="inlineStr">
        <is>
          <t>서초교대e편한세상</t>
        </is>
      </c>
      <c r="G1073" s="41" t="inlineStr">
        <is>
          <t>110.3200</t>
        </is>
      </c>
      <c r="H1073" s="41" t="inlineStr">
        <is>
          <t>202410</t>
        </is>
      </c>
      <c r="I1073" s="41" t="inlineStr">
        <is>
          <t>17</t>
        </is>
      </c>
      <c r="J1073" s="41" t="inlineStr">
        <is>
          <t>301,000</t>
        </is>
      </c>
      <c r="K1073" s="41" t="inlineStr">
        <is>
          <t>106</t>
        </is>
      </c>
      <c r="L1073" s="41" t="inlineStr">
        <is>
          <t>20</t>
        </is>
      </c>
      <c r="M1073" s="42" t="inlineStr">
        <is>
          <t>개인</t>
        </is>
      </c>
      <c r="N1073" s="42" t="inlineStr">
        <is>
          <t>개인</t>
        </is>
      </c>
      <c r="O1073" s="41" t="inlineStr">
        <is>
          <t>2010</t>
        </is>
      </c>
      <c r="P1073" s="42" t="inlineStr">
        <is>
          <t>서초중앙로24길 33</t>
        </is>
      </c>
      <c r="Q1073" s="41" t="inlineStr">
        <is>
          <t>-</t>
        </is>
      </c>
      <c r="R1073" s="42" t="inlineStr">
        <is>
          <t>중개거래</t>
        </is>
      </c>
      <c r="S1073" s="42" t="inlineStr">
        <is>
          <t>서울 서초구</t>
        </is>
      </c>
      <c r="T1073" s="41" t="inlineStr">
        <is>
          <t>25.02.05</t>
        </is>
      </c>
      <c r="U1073" s="42" t="inlineStr">
        <is>
          <t>아파트</t>
        </is>
      </c>
    </row>
    <row r="1074" hidden="1" ht="14.25" customHeight="1">
      <c r="A1074" s="41" t="n">
        <v>541</v>
      </c>
      <c r="B1074" s="42" t="inlineStr">
        <is>
          <t>서울특별시 서초구 서초동</t>
        </is>
      </c>
      <c r="C1074" s="41" t="inlineStr">
        <is>
          <t>1346</t>
        </is>
      </c>
      <c r="D1074" s="41" t="inlineStr">
        <is>
          <t>1346</t>
        </is>
      </c>
      <c r="E1074" s="41" t="inlineStr">
        <is>
          <t>0000</t>
        </is>
      </c>
      <c r="F1074" s="42" t="inlineStr">
        <is>
          <t>현대아파트</t>
        </is>
      </c>
      <c r="G1074" s="41" t="inlineStr">
        <is>
          <t>84.3400</t>
        </is>
      </c>
      <c r="H1074" s="41" t="inlineStr">
        <is>
          <t>202410</t>
        </is>
      </c>
      <c r="I1074" s="41" t="inlineStr">
        <is>
          <t>16</t>
        </is>
      </c>
      <c r="J1074" s="41" t="inlineStr">
        <is>
          <t>175,000</t>
        </is>
      </c>
      <c r="K1074" s="41" t="inlineStr">
        <is>
          <t>21</t>
        </is>
      </c>
      <c r="L1074" s="41" t="inlineStr">
        <is>
          <t>4</t>
        </is>
      </c>
      <c r="M1074" s="42" t="inlineStr">
        <is>
          <t>개인</t>
        </is>
      </c>
      <c r="N1074" s="42" t="inlineStr">
        <is>
          <t>개인</t>
        </is>
      </c>
      <c r="O1074" s="41" t="inlineStr">
        <is>
          <t>1989</t>
        </is>
      </c>
      <c r="P1074" s="42" t="inlineStr">
        <is>
          <t>효령로68길 13</t>
        </is>
      </c>
      <c r="Q1074" s="41" t="inlineStr">
        <is>
          <t>-</t>
        </is>
      </c>
      <c r="R1074" s="42" t="inlineStr">
        <is>
          <t>중개거래</t>
        </is>
      </c>
      <c r="S1074" s="42" t="inlineStr">
        <is>
          <t>서울 서초구</t>
        </is>
      </c>
      <c r="T1074" s="41" t="inlineStr">
        <is>
          <t>25.02.28</t>
        </is>
      </c>
      <c r="U1074" s="42" t="inlineStr">
        <is>
          <t>아파트</t>
        </is>
      </c>
    </row>
    <row r="1075" hidden="1" ht="14.25" customHeight="1">
      <c r="A1075" s="41" t="n">
        <v>542</v>
      </c>
      <c r="B1075" s="42" t="inlineStr">
        <is>
          <t>서울특별시 서초구 서초동</t>
        </is>
      </c>
      <c r="C1075" s="41" t="inlineStr">
        <is>
          <t>1755</t>
        </is>
      </c>
      <c r="D1075" s="41" t="inlineStr">
        <is>
          <t>1755</t>
        </is>
      </c>
      <c r="E1075" s="41" t="inlineStr">
        <is>
          <t>0000</t>
        </is>
      </c>
      <c r="F1075" s="42" t="inlineStr">
        <is>
          <t>래미안 리더스원</t>
        </is>
      </c>
      <c r="G1075" s="41" t="inlineStr">
        <is>
          <t>114.9400</t>
        </is>
      </c>
      <c r="H1075" s="41" t="inlineStr">
        <is>
          <t>202410</t>
        </is>
      </c>
      <c r="I1075" s="41" t="inlineStr">
        <is>
          <t>15</t>
        </is>
      </c>
      <c r="J1075" s="41" t="inlineStr">
        <is>
          <t>388,000</t>
        </is>
      </c>
      <c r="K1075" s="41" t="inlineStr">
        <is>
          <t>109동</t>
        </is>
      </c>
      <c r="L1075" s="41" t="inlineStr">
        <is>
          <t>19</t>
        </is>
      </c>
      <c r="M1075" s="42" t="inlineStr">
        <is>
          <t>개인</t>
        </is>
      </c>
      <c r="N1075" s="42" t="inlineStr">
        <is>
          <t>개인</t>
        </is>
      </c>
      <c r="O1075" s="41" t="inlineStr">
        <is>
          <t>2020</t>
        </is>
      </c>
      <c r="P1075" s="42" t="inlineStr">
        <is>
          <t>서운로 62</t>
        </is>
      </c>
      <c r="Q1075" s="41" t="inlineStr">
        <is>
          <t>-</t>
        </is>
      </c>
      <c r="R1075" s="42" t="inlineStr">
        <is>
          <t>중개거래</t>
        </is>
      </c>
      <c r="S1075" s="42" t="inlineStr">
        <is>
          <t>서울 강남구, 서울 서초구</t>
        </is>
      </c>
      <c r="T1075" s="41" t="inlineStr">
        <is>
          <t>25.01.09</t>
        </is>
      </c>
      <c r="U1075" s="42" t="inlineStr">
        <is>
          <t>아파트</t>
        </is>
      </c>
    </row>
    <row r="1076" hidden="1" ht="14.25" customHeight="1">
      <c r="A1076" s="41" t="n">
        <v>543</v>
      </c>
      <c r="B1076" s="42" t="inlineStr">
        <is>
          <t>서울특별시 서초구 서초동</t>
        </is>
      </c>
      <c r="C1076" s="41" t="inlineStr">
        <is>
          <t>1311-10</t>
        </is>
      </c>
      <c r="D1076" s="41" t="inlineStr">
        <is>
          <t>1311</t>
        </is>
      </c>
      <c r="E1076" s="41" t="inlineStr">
        <is>
          <t>0010</t>
        </is>
      </c>
      <c r="F1076" s="42" t="inlineStr">
        <is>
          <t>서초푸르지오써밋</t>
        </is>
      </c>
      <c r="G1076" s="41" t="inlineStr">
        <is>
          <t>59.6200</t>
        </is>
      </c>
      <c r="H1076" s="41" t="inlineStr">
        <is>
          <t>202410</t>
        </is>
      </c>
      <c r="I1076" s="41" t="inlineStr">
        <is>
          <t>15</t>
        </is>
      </c>
      <c r="J1076" s="41" t="inlineStr">
        <is>
          <t>248,000</t>
        </is>
      </c>
      <c r="K1076" s="41" t="inlineStr">
        <is>
          <t>105</t>
        </is>
      </c>
      <c r="L1076" s="41" t="inlineStr">
        <is>
          <t>20</t>
        </is>
      </c>
      <c r="M1076" s="42" t="inlineStr">
        <is>
          <t>개인</t>
        </is>
      </c>
      <c r="N1076" s="42" t="inlineStr">
        <is>
          <t>개인</t>
        </is>
      </c>
      <c r="O1076" s="41" t="inlineStr">
        <is>
          <t>2017</t>
        </is>
      </c>
      <c r="P1076" s="42" t="inlineStr">
        <is>
          <t>서운로 201</t>
        </is>
      </c>
      <c r="Q1076" s="41" t="inlineStr">
        <is>
          <t>-</t>
        </is>
      </c>
      <c r="R1076" s="42" t="inlineStr">
        <is>
          <t>중개거래</t>
        </is>
      </c>
      <c r="S1076" s="42" t="inlineStr">
        <is>
          <t>서울 서초구</t>
        </is>
      </c>
      <c r="T1076" s="41" t="inlineStr">
        <is>
          <t>24.12.11</t>
        </is>
      </c>
      <c r="U1076" s="42" t="inlineStr">
        <is>
          <t>아파트</t>
        </is>
      </c>
    </row>
    <row r="1077" hidden="1" ht="14.25" customHeight="1">
      <c r="A1077" s="41" t="n">
        <v>544</v>
      </c>
      <c r="B1077" s="42" t="inlineStr">
        <is>
          <t>서울특별시 서초구 반포동</t>
        </is>
      </c>
      <c r="C1077" s="41" t="inlineStr">
        <is>
          <t>1342</t>
        </is>
      </c>
      <c r="D1077" s="41" t="inlineStr">
        <is>
          <t>1342</t>
        </is>
      </c>
      <c r="E1077" s="41" t="inlineStr">
        <is>
          <t>0000</t>
        </is>
      </c>
      <c r="F1077" s="42" t="inlineStr">
        <is>
          <t>반포써밋</t>
        </is>
      </c>
      <c r="G1077" s="41" t="inlineStr">
        <is>
          <t>106.5110</t>
        </is>
      </c>
      <c r="H1077" s="41" t="inlineStr">
        <is>
          <t>202410</t>
        </is>
      </c>
      <c r="I1077" s="41" t="inlineStr">
        <is>
          <t>14</t>
        </is>
      </c>
      <c r="J1077" s="41" t="inlineStr">
        <is>
          <t>380,000</t>
        </is>
      </c>
      <c r="K1077" s="41" t="inlineStr">
        <is>
          <t>-</t>
        </is>
      </c>
      <c r="L1077" s="41" t="inlineStr">
        <is>
          <t>23</t>
        </is>
      </c>
      <c r="M1077" s="42" t="inlineStr">
        <is>
          <t>개인</t>
        </is>
      </c>
      <c r="N1077" s="42" t="inlineStr">
        <is>
          <t>개인</t>
        </is>
      </c>
      <c r="O1077" s="41" t="inlineStr">
        <is>
          <t>2018</t>
        </is>
      </c>
      <c r="P1077" s="42" t="inlineStr">
        <is>
          <t>고무래로 89</t>
        </is>
      </c>
      <c r="Q1077" s="41" t="inlineStr">
        <is>
          <t>20250707</t>
        </is>
      </c>
      <c r="R1077" s="42" t="inlineStr">
        <is>
          <t>중개거래</t>
        </is>
      </c>
      <c r="S1077" s="42" t="inlineStr">
        <is>
          <t>서울 서초구, 인천 연수구</t>
        </is>
      </c>
      <c r="T1077" s="41" t="inlineStr">
        <is>
          <t>-</t>
        </is>
      </c>
      <c r="U1077" s="42" t="inlineStr">
        <is>
          <t>아파트</t>
        </is>
      </c>
    </row>
    <row r="1078" hidden="1" ht="14.25" customHeight="1">
      <c r="A1078" s="41" t="n">
        <v>545</v>
      </c>
      <c r="B1078" s="42" t="inlineStr">
        <is>
          <t>서울특별시 서초구 서초동</t>
        </is>
      </c>
      <c r="C1078" s="41" t="inlineStr">
        <is>
          <t>1312-3</t>
        </is>
      </c>
      <c r="D1078" s="41" t="inlineStr">
        <is>
          <t>1312</t>
        </is>
      </c>
      <c r="E1078" s="41" t="inlineStr">
        <is>
          <t>0003</t>
        </is>
      </c>
      <c r="F1078" s="42" t="inlineStr">
        <is>
          <t>롯데캐슬클래식</t>
        </is>
      </c>
      <c r="G1078" s="41" t="inlineStr">
        <is>
          <t>84.9800</t>
        </is>
      </c>
      <c r="H1078" s="41" t="inlineStr">
        <is>
          <t>202410</t>
        </is>
      </c>
      <c r="I1078" s="41" t="inlineStr">
        <is>
          <t>14</t>
        </is>
      </c>
      <c r="J1078" s="41" t="inlineStr">
        <is>
          <t>264,000</t>
        </is>
      </c>
      <c r="K1078" s="41" t="inlineStr">
        <is>
          <t>101</t>
        </is>
      </c>
      <c r="L1078" s="41" t="inlineStr">
        <is>
          <t>23</t>
        </is>
      </c>
      <c r="M1078" s="42" t="inlineStr">
        <is>
          <t>개인</t>
        </is>
      </c>
      <c r="N1078" s="42" t="inlineStr">
        <is>
          <t>개인</t>
        </is>
      </c>
      <c r="O1078" s="41" t="inlineStr">
        <is>
          <t>2006</t>
        </is>
      </c>
      <c r="P1078" s="42" t="inlineStr">
        <is>
          <t>서운로 197</t>
        </is>
      </c>
      <c r="Q1078" s="41" t="inlineStr">
        <is>
          <t>-</t>
        </is>
      </c>
      <c r="R1078" s="42" t="inlineStr">
        <is>
          <t>중개거래</t>
        </is>
      </c>
      <c r="S1078" s="42" t="inlineStr">
        <is>
          <t>서울 서초구</t>
        </is>
      </c>
      <c r="T1078" s="41" t="inlineStr">
        <is>
          <t>25.04.14</t>
        </is>
      </c>
      <c r="U1078" s="42" t="inlineStr">
        <is>
          <t>아파트</t>
        </is>
      </c>
    </row>
    <row r="1079" hidden="1" ht="14.25" customHeight="1">
      <c r="A1079" s="41" t="n">
        <v>546</v>
      </c>
      <c r="B1079" s="42" t="inlineStr">
        <is>
          <t>서울특별시 서초구 서초동</t>
        </is>
      </c>
      <c r="C1079" s="41" t="inlineStr">
        <is>
          <t>1687</t>
        </is>
      </c>
      <c r="D1079" s="41" t="inlineStr">
        <is>
          <t>1687</t>
        </is>
      </c>
      <c r="E1079" s="41" t="inlineStr">
        <is>
          <t>0000</t>
        </is>
      </c>
      <c r="F1079" s="42" t="inlineStr">
        <is>
          <t>유원서초</t>
        </is>
      </c>
      <c r="G1079" s="41" t="inlineStr">
        <is>
          <t>84.8700</t>
        </is>
      </c>
      <c r="H1079" s="41" t="inlineStr">
        <is>
          <t>202410</t>
        </is>
      </c>
      <c r="I1079" s="41" t="inlineStr">
        <is>
          <t>12</t>
        </is>
      </c>
      <c r="J1079" s="41" t="inlineStr">
        <is>
          <t>208,000</t>
        </is>
      </c>
      <c r="K1079" s="41" t="inlineStr">
        <is>
          <t>102</t>
        </is>
      </c>
      <c r="L1079" s="41" t="inlineStr">
        <is>
          <t>15</t>
        </is>
      </c>
      <c r="M1079" s="42" t="inlineStr">
        <is>
          <t>개인</t>
        </is>
      </c>
      <c r="N1079" s="42" t="inlineStr">
        <is>
          <t>개인</t>
        </is>
      </c>
      <c r="O1079" s="41" t="inlineStr">
        <is>
          <t>1993</t>
        </is>
      </c>
      <c r="P1079" s="42" t="inlineStr">
        <is>
          <t>서초중앙로24길 43</t>
        </is>
      </c>
      <c r="Q1079" s="41" t="inlineStr">
        <is>
          <t>-</t>
        </is>
      </c>
      <c r="R1079" s="42" t="inlineStr">
        <is>
          <t>중개거래</t>
        </is>
      </c>
      <c r="S1079" s="42" t="inlineStr">
        <is>
          <t>서울 서초구</t>
        </is>
      </c>
      <c r="T1079" s="41" t="inlineStr">
        <is>
          <t>25.01.10</t>
        </is>
      </c>
      <c r="U1079" s="42" t="inlineStr">
        <is>
          <t>아파트</t>
        </is>
      </c>
    </row>
    <row r="1080" hidden="1" ht="14.25" customHeight="1">
      <c r="A1080" s="41" t="n">
        <v>547</v>
      </c>
      <c r="B1080" s="42" t="inlineStr">
        <is>
          <t>서울특별시 서초구 서초동</t>
        </is>
      </c>
      <c r="C1080" s="41" t="inlineStr">
        <is>
          <t>1681-8</t>
        </is>
      </c>
      <c r="D1080" s="41" t="inlineStr">
        <is>
          <t>1681</t>
        </is>
      </c>
      <c r="E1080" s="41" t="inlineStr">
        <is>
          <t>0008</t>
        </is>
      </c>
      <c r="F1080" s="42" t="inlineStr">
        <is>
          <t>서초롯데캐슬프레지던트</t>
        </is>
      </c>
      <c r="G1080" s="41" t="inlineStr">
        <is>
          <t>119.1300</t>
        </is>
      </c>
      <c r="H1080" s="41" t="inlineStr">
        <is>
          <t>202410</t>
        </is>
      </c>
      <c r="I1080" s="41" t="inlineStr">
        <is>
          <t>11</t>
        </is>
      </c>
      <c r="J1080" s="41" t="inlineStr">
        <is>
          <t>266,900</t>
        </is>
      </c>
      <c r="K1080" s="41" t="inlineStr">
        <is>
          <t>-</t>
        </is>
      </c>
      <c r="L1080" s="41" t="inlineStr">
        <is>
          <t>5</t>
        </is>
      </c>
      <c r="M1080" s="42" t="inlineStr">
        <is>
          <t>개인</t>
        </is>
      </c>
      <c r="N1080" s="42" t="inlineStr">
        <is>
          <t>개인</t>
        </is>
      </c>
      <c r="O1080" s="41" t="inlineStr">
        <is>
          <t>2014</t>
        </is>
      </c>
      <c r="P1080" s="42" t="inlineStr">
        <is>
          <t>서초중앙로24길 57</t>
        </is>
      </c>
      <c r="Q1080" s="41" t="inlineStr">
        <is>
          <t>20241107</t>
        </is>
      </c>
      <c r="R1080" s="42" t="inlineStr">
        <is>
          <t>중개거래</t>
        </is>
      </c>
      <c r="S1080" s="42" t="inlineStr">
        <is>
          <t>서울 서초구</t>
        </is>
      </c>
      <c r="T1080" s="41" t="inlineStr">
        <is>
          <t>-</t>
        </is>
      </c>
      <c r="U1080" s="42" t="inlineStr">
        <is>
          <t>아파트</t>
        </is>
      </c>
    </row>
    <row r="1081" hidden="1" ht="14.25" customHeight="1">
      <c r="A1081" s="41" t="n">
        <v>548</v>
      </c>
      <c r="B1081" s="42" t="inlineStr">
        <is>
          <t>서울특별시 서초구 서초동</t>
        </is>
      </c>
      <c r="C1081" s="41" t="inlineStr">
        <is>
          <t>1671-5</t>
        </is>
      </c>
      <c r="D1081" s="41" t="inlineStr">
        <is>
          <t>1671</t>
        </is>
      </c>
      <c r="E1081" s="41" t="inlineStr">
        <is>
          <t>0005</t>
        </is>
      </c>
      <c r="F1081" s="42" t="inlineStr">
        <is>
          <t>대림서초리시온</t>
        </is>
      </c>
      <c r="G1081" s="41" t="inlineStr">
        <is>
          <t>45.7200</t>
        </is>
      </c>
      <c r="H1081" s="41" t="inlineStr">
        <is>
          <t>202410</t>
        </is>
      </c>
      <c r="I1081" s="41" t="inlineStr">
        <is>
          <t>11</t>
        </is>
      </c>
      <c r="J1081" s="41" t="inlineStr">
        <is>
          <t>48,200</t>
        </is>
      </c>
      <c r="K1081" s="41" t="inlineStr">
        <is>
          <t>-</t>
        </is>
      </c>
      <c r="L1081" s="41" t="inlineStr">
        <is>
          <t>9</t>
        </is>
      </c>
      <c r="M1081" s="42" t="inlineStr">
        <is>
          <t>개인</t>
        </is>
      </c>
      <c r="N1081" s="42" t="inlineStr">
        <is>
          <t>개인</t>
        </is>
      </c>
      <c r="O1081" s="41" t="inlineStr">
        <is>
          <t>2003</t>
        </is>
      </c>
      <c r="P1081" s="42" t="inlineStr">
        <is>
          <t>서초중앙로22길 25</t>
        </is>
      </c>
      <c r="Q1081" s="41" t="inlineStr">
        <is>
          <t>-</t>
        </is>
      </c>
      <c r="R1081" s="42" t="inlineStr">
        <is>
          <t>중개거래</t>
        </is>
      </c>
      <c r="S1081" s="42" t="inlineStr">
        <is>
          <t>서울 서초구</t>
        </is>
      </c>
      <c r="T1081" s="41" t="inlineStr">
        <is>
          <t>25.01.06</t>
        </is>
      </c>
      <c r="U1081" s="42" t="inlineStr">
        <is>
          <t>아파트</t>
        </is>
      </c>
    </row>
    <row r="1082" hidden="1" ht="14.25" customHeight="1">
      <c r="A1082" s="41" t="n">
        <v>549</v>
      </c>
      <c r="B1082" s="42" t="inlineStr">
        <is>
          <t>서울특별시 서초구 서초동</t>
        </is>
      </c>
      <c r="C1082" s="41" t="inlineStr">
        <is>
          <t>1509-1</t>
        </is>
      </c>
      <c r="D1082" s="41" t="inlineStr">
        <is>
          <t>1509</t>
        </is>
      </c>
      <c r="E1082" s="41" t="inlineStr">
        <is>
          <t>0001</t>
        </is>
      </c>
      <c r="F1082" s="42" t="inlineStr">
        <is>
          <t>서초한빛삼성</t>
        </is>
      </c>
      <c r="G1082" s="41" t="inlineStr">
        <is>
          <t>59.5200</t>
        </is>
      </c>
      <c r="H1082" s="41" t="inlineStr">
        <is>
          <t>202410</t>
        </is>
      </c>
      <c r="I1082" s="41" t="inlineStr">
        <is>
          <t>11</t>
        </is>
      </c>
      <c r="J1082" s="41" t="inlineStr">
        <is>
          <t>146,500</t>
        </is>
      </c>
      <c r="K1082" s="41" t="inlineStr">
        <is>
          <t>101</t>
        </is>
      </c>
      <c r="L1082" s="41" t="inlineStr">
        <is>
          <t>13</t>
        </is>
      </c>
      <c r="M1082" s="42" t="inlineStr">
        <is>
          <t>개인</t>
        </is>
      </c>
      <c r="N1082" s="42" t="inlineStr">
        <is>
          <t>개인</t>
        </is>
      </c>
      <c r="O1082" s="41" t="inlineStr">
        <is>
          <t>1999</t>
        </is>
      </c>
      <c r="P1082" s="42" t="inlineStr">
        <is>
          <t>서초대로40길 72</t>
        </is>
      </c>
      <c r="Q1082" s="41" t="inlineStr">
        <is>
          <t>-</t>
        </is>
      </c>
      <c r="R1082" s="42" t="inlineStr">
        <is>
          <t>중개거래</t>
        </is>
      </c>
      <c r="S1082" s="42" t="inlineStr">
        <is>
          <t>서울 서초구, 서울 영등포구</t>
        </is>
      </c>
      <c r="T1082" s="41" t="inlineStr">
        <is>
          <t>24.12.16</t>
        </is>
      </c>
      <c r="U1082" s="42" t="inlineStr">
        <is>
          <t>아파트</t>
        </is>
      </c>
    </row>
    <row r="1083" hidden="1" ht="14.25" customHeight="1">
      <c r="A1083" s="41" t="n">
        <v>550</v>
      </c>
      <c r="B1083" s="42" t="inlineStr">
        <is>
          <t>서울특별시 서초구 서초동</t>
        </is>
      </c>
      <c r="C1083" s="41" t="inlineStr">
        <is>
          <t>1312-3</t>
        </is>
      </c>
      <c r="D1083" s="41" t="inlineStr">
        <is>
          <t>1312</t>
        </is>
      </c>
      <c r="E1083" s="41" t="inlineStr">
        <is>
          <t>0003</t>
        </is>
      </c>
      <c r="F1083" s="42" t="inlineStr">
        <is>
          <t>롯데캐슬클래식</t>
        </is>
      </c>
      <c r="G1083" s="41" t="inlineStr">
        <is>
          <t>120.1800</t>
        </is>
      </c>
      <c r="H1083" s="41" t="inlineStr">
        <is>
          <t>202410</t>
        </is>
      </c>
      <c r="I1083" s="41" t="inlineStr">
        <is>
          <t>08</t>
        </is>
      </c>
      <c r="J1083" s="41" t="inlineStr">
        <is>
          <t>297,000</t>
        </is>
      </c>
      <c r="K1083" s="41" t="inlineStr">
        <is>
          <t>108</t>
        </is>
      </c>
      <c r="L1083" s="41" t="inlineStr">
        <is>
          <t>24</t>
        </is>
      </c>
      <c r="M1083" s="42" t="inlineStr">
        <is>
          <t>개인</t>
        </is>
      </c>
      <c r="N1083" s="42" t="inlineStr">
        <is>
          <t>개인</t>
        </is>
      </c>
      <c r="O1083" s="41" t="inlineStr">
        <is>
          <t>2006</t>
        </is>
      </c>
      <c r="P1083" s="42" t="inlineStr">
        <is>
          <t>서운로 197</t>
        </is>
      </c>
      <c r="Q1083" s="41" t="inlineStr">
        <is>
          <t>-</t>
        </is>
      </c>
      <c r="R1083" s="42" t="inlineStr">
        <is>
          <t>중개거래</t>
        </is>
      </c>
      <c r="S1083" s="42" t="inlineStr">
        <is>
          <t>서울 서초구</t>
        </is>
      </c>
      <c r="T1083" s="41" t="inlineStr">
        <is>
          <t>25.02.07</t>
        </is>
      </c>
      <c r="U1083" s="42" t="inlineStr">
        <is>
          <t>아파트</t>
        </is>
      </c>
    </row>
    <row r="1084" hidden="1" ht="14.25" customHeight="1">
      <c r="A1084" s="41" t="n">
        <v>551</v>
      </c>
      <c r="B1084" s="42" t="inlineStr">
        <is>
          <t>서울특별시 서초구 서초동</t>
        </is>
      </c>
      <c r="C1084" s="41" t="inlineStr">
        <is>
          <t>1333</t>
        </is>
      </c>
      <c r="D1084" s="41" t="inlineStr">
        <is>
          <t>1333</t>
        </is>
      </c>
      <c r="E1084" s="41" t="inlineStr">
        <is>
          <t>0000</t>
        </is>
      </c>
      <c r="F1084" s="42" t="inlineStr">
        <is>
          <t>신동아아파트(1차)</t>
        </is>
      </c>
      <c r="G1084" s="41" t="inlineStr">
        <is>
          <t>102.2100</t>
        </is>
      </c>
      <c r="H1084" s="41" t="inlineStr">
        <is>
          <t>202410</t>
        </is>
      </c>
      <c r="I1084" s="41" t="inlineStr">
        <is>
          <t>08</t>
        </is>
      </c>
      <c r="J1084" s="41" t="inlineStr">
        <is>
          <t>255,000</t>
        </is>
      </c>
      <c r="K1084" s="41" t="inlineStr">
        <is>
          <t>5</t>
        </is>
      </c>
      <c r="L1084" s="41" t="inlineStr">
        <is>
          <t>7</t>
        </is>
      </c>
      <c r="M1084" s="42" t="inlineStr">
        <is>
          <t>개인</t>
        </is>
      </c>
      <c r="N1084" s="42" t="inlineStr">
        <is>
          <t>개인</t>
        </is>
      </c>
      <c r="O1084" s="41" t="inlineStr">
        <is>
          <t>1978</t>
        </is>
      </c>
      <c r="P1084" s="42" t="inlineStr">
        <is>
          <t>사임당로 130</t>
        </is>
      </c>
      <c r="Q1084" s="41" t="inlineStr">
        <is>
          <t>-</t>
        </is>
      </c>
      <c r="R1084" s="42" t="inlineStr">
        <is>
          <t>중개거래</t>
        </is>
      </c>
      <c r="S1084" s="42" t="inlineStr">
        <is>
          <t>서울 서초구</t>
        </is>
      </c>
      <c r="T1084" s="41" t="inlineStr">
        <is>
          <t>24.11.28</t>
        </is>
      </c>
      <c r="U1084" s="42" t="inlineStr">
        <is>
          <t>아파트</t>
        </is>
      </c>
    </row>
    <row r="1085" hidden="1" ht="14.25" customHeight="1">
      <c r="A1085" s="41" t="n">
        <v>552</v>
      </c>
      <c r="B1085" s="42" t="inlineStr">
        <is>
          <t>서울특별시 서초구 서초동</t>
        </is>
      </c>
      <c r="C1085" s="41" t="inlineStr">
        <is>
          <t>1685</t>
        </is>
      </c>
      <c r="D1085" s="41" t="inlineStr">
        <is>
          <t>1685</t>
        </is>
      </c>
      <c r="E1085" s="41" t="inlineStr">
        <is>
          <t>0000</t>
        </is>
      </c>
      <c r="F1085" s="42" t="inlineStr">
        <is>
          <t>삼풍아파트</t>
        </is>
      </c>
      <c r="G1085" s="41" t="inlineStr">
        <is>
          <t>79.4700</t>
        </is>
      </c>
      <c r="H1085" s="41" t="inlineStr">
        <is>
          <t>202410</t>
        </is>
      </c>
      <c r="I1085" s="41" t="inlineStr">
        <is>
          <t>08</t>
        </is>
      </c>
      <c r="J1085" s="41" t="inlineStr">
        <is>
          <t>269,000</t>
        </is>
      </c>
      <c r="K1085" s="41" t="inlineStr">
        <is>
          <t>6</t>
        </is>
      </c>
      <c r="L1085" s="41" t="inlineStr">
        <is>
          <t>2</t>
        </is>
      </c>
      <c r="M1085" s="42" t="inlineStr">
        <is>
          <t>개인</t>
        </is>
      </c>
      <c r="N1085" s="42" t="inlineStr">
        <is>
          <t>개인</t>
        </is>
      </c>
      <c r="O1085" s="41" t="inlineStr">
        <is>
          <t>1988</t>
        </is>
      </c>
      <c r="P1085" s="42" t="inlineStr">
        <is>
          <t>서초중앙로 200</t>
        </is>
      </c>
      <c r="Q1085" s="41" t="inlineStr">
        <is>
          <t>-</t>
        </is>
      </c>
      <c r="R1085" s="42" t="inlineStr">
        <is>
          <t>중개거래</t>
        </is>
      </c>
      <c r="S1085" s="42" t="inlineStr">
        <is>
          <t>서울 서초구</t>
        </is>
      </c>
      <c r="T1085" s="41" t="inlineStr">
        <is>
          <t>25.01.24</t>
        </is>
      </c>
      <c r="U1085" s="42" t="inlineStr">
        <is>
          <t>아파트</t>
        </is>
      </c>
    </row>
    <row r="1086" hidden="1" ht="14.25" customHeight="1">
      <c r="A1086" s="41" t="n">
        <v>553</v>
      </c>
      <c r="B1086" s="42" t="inlineStr">
        <is>
          <t>서울특별시 서초구 서초동</t>
        </is>
      </c>
      <c r="C1086" s="41" t="inlineStr">
        <is>
          <t>1755</t>
        </is>
      </c>
      <c r="D1086" s="41" t="inlineStr">
        <is>
          <t>1755</t>
        </is>
      </c>
      <c r="E1086" s="41" t="inlineStr">
        <is>
          <t>0000</t>
        </is>
      </c>
      <c r="F1086" s="42" t="inlineStr">
        <is>
          <t>래미안 리더스원</t>
        </is>
      </c>
      <c r="G1086" s="41" t="inlineStr">
        <is>
          <t>59.9700</t>
        </is>
      </c>
      <c r="H1086" s="41" t="inlineStr">
        <is>
          <t>202410</t>
        </is>
      </c>
      <c r="I1086" s="41" t="inlineStr">
        <is>
          <t>08</t>
        </is>
      </c>
      <c r="J1086" s="41" t="inlineStr">
        <is>
          <t>269,000</t>
        </is>
      </c>
      <c r="K1086" s="41" t="inlineStr">
        <is>
          <t>106동</t>
        </is>
      </c>
      <c r="L1086" s="41" t="inlineStr">
        <is>
          <t>13</t>
        </is>
      </c>
      <c r="M1086" s="42" t="inlineStr">
        <is>
          <t>개인</t>
        </is>
      </c>
      <c r="N1086" s="42" t="inlineStr">
        <is>
          <t>개인</t>
        </is>
      </c>
      <c r="O1086" s="41" t="inlineStr">
        <is>
          <t>2020</t>
        </is>
      </c>
      <c r="P1086" s="42" t="inlineStr">
        <is>
          <t>서운로 62</t>
        </is>
      </c>
      <c r="Q1086" s="41" t="inlineStr">
        <is>
          <t>-</t>
        </is>
      </c>
      <c r="R1086" s="42" t="inlineStr">
        <is>
          <t>중개거래</t>
        </is>
      </c>
      <c r="S1086" s="42" t="inlineStr">
        <is>
          <t>서울 서초구</t>
        </is>
      </c>
      <c r="T1086" s="41" t="inlineStr">
        <is>
          <t>25.02.06</t>
        </is>
      </c>
      <c r="U1086" s="42" t="inlineStr">
        <is>
          <t>아파트</t>
        </is>
      </c>
    </row>
    <row r="1087" hidden="1" ht="14.25" customHeight="1">
      <c r="A1087" s="41" t="n">
        <v>554</v>
      </c>
      <c r="B1087" s="42" t="inlineStr">
        <is>
          <t>서울특별시 서초구 서초동</t>
        </is>
      </c>
      <c r="C1087" s="41" t="inlineStr">
        <is>
          <t>1560-9</t>
        </is>
      </c>
      <c r="D1087" s="41" t="inlineStr">
        <is>
          <t>1560</t>
        </is>
      </c>
      <c r="E1087" s="41" t="inlineStr">
        <is>
          <t>0009</t>
        </is>
      </c>
      <c r="F1087" s="42" t="inlineStr">
        <is>
          <t>서초우방유쉘</t>
        </is>
      </c>
      <c r="G1087" s="41" t="inlineStr">
        <is>
          <t>84.8500</t>
        </is>
      </c>
      <c r="H1087" s="41" t="inlineStr">
        <is>
          <t>202410</t>
        </is>
      </c>
      <c r="I1087" s="41" t="inlineStr">
        <is>
          <t>05</t>
        </is>
      </c>
      <c r="J1087" s="41" t="inlineStr">
        <is>
          <t>128,000</t>
        </is>
      </c>
      <c r="K1087" s="41" t="inlineStr">
        <is>
          <t>101</t>
        </is>
      </c>
      <c r="L1087" s="41" t="inlineStr">
        <is>
          <t>1</t>
        </is>
      </c>
      <c r="M1087" s="42" t="inlineStr">
        <is>
          <t>개인</t>
        </is>
      </c>
      <c r="N1087" s="42" t="inlineStr">
        <is>
          <t>개인</t>
        </is>
      </c>
      <c r="O1087" s="41" t="inlineStr">
        <is>
          <t>2006</t>
        </is>
      </c>
      <c r="P1087" s="42" t="inlineStr">
        <is>
          <t>서초대로46길 62</t>
        </is>
      </c>
      <c r="Q1087" s="41" t="inlineStr">
        <is>
          <t>-</t>
        </is>
      </c>
      <c r="R1087" s="42" t="inlineStr">
        <is>
          <t>중개거래</t>
        </is>
      </c>
      <c r="S1087" s="42" t="inlineStr">
        <is>
          <t>서울 서초구</t>
        </is>
      </c>
      <c r="T1087" s="41" t="inlineStr">
        <is>
          <t>24.12.10</t>
        </is>
      </c>
      <c r="U1087" s="42" t="inlineStr">
        <is>
          <t>아파트</t>
        </is>
      </c>
    </row>
    <row r="1088" hidden="1" ht="14.25" customHeight="1">
      <c r="A1088" s="41" t="n">
        <v>555</v>
      </c>
      <c r="B1088" s="42" t="inlineStr">
        <is>
          <t>서울특별시 서초구 서초동</t>
        </is>
      </c>
      <c r="C1088" s="41" t="inlineStr">
        <is>
          <t>1686-9</t>
        </is>
      </c>
      <c r="D1088" s="41" t="inlineStr">
        <is>
          <t>1686</t>
        </is>
      </c>
      <c r="E1088" s="41" t="inlineStr">
        <is>
          <t>0009</t>
        </is>
      </c>
      <c r="F1088" s="42" t="inlineStr">
        <is>
          <t>서초교대e편한세상</t>
        </is>
      </c>
      <c r="G1088" s="41" t="inlineStr">
        <is>
          <t>84.9700</t>
        </is>
      </c>
      <c r="H1088" s="41" t="inlineStr">
        <is>
          <t>202410</t>
        </is>
      </c>
      <c r="I1088" s="41" t="inlineStr">
        <is>
          <t>04</t>
        </is>
      </c>
      <c r="J1088" s="41" t="inlineStr">
        <is>
          <t>257,000</t>
        </is>
      </c>
      <c r="K1088" s="41" t="inlineStr">
        <is>
          <t>102</t>
        </is>
      </c>
      <c r="L1088" s="41" t="inlineStr">
        <is>
          <t>15</t>
        </is>
      </c>
      <c r="M1088" s="42" t="inlineStr">
        <is>
          <t>개인</t>
        </is>
      </c>
      <c r="N1088" s="42" t="inlineStr">
        <is>
          <t>개인</t>
        </is>
      </c>
      <c r="O1088" s="41" t="inlineStr">
        <is>
          <t>2010</t>
        </is>
      </c>
      <c r="P1088" s="42" t="inlineStr">
        <is>
          <t>서초중앙로24길 33</t>
        </is>
      </c>
      <c r="Q1088" s="41" t="inlineStr">
        <is>
          <t>-</t>
        </is>
      </c>
      <c r="R1088" s="42" t="inlineStr">
        <is>
          <t>중개거래</t>
        </is>
      </c>
      <c r="S1088" s="42" t="inlineStr">
        <is>
          <t>서울 서초구</t>
        </is>
      </c>
      <c r="T1088" s="41" t="inlineStr">
        <is>
          <t>25.01.15</t>
        </is>
      </c>
      <c r="U1088" s="42" t="inlineStr">
        <is>
          <t>아파트</t>
        </is>
      </c>
    </row>
    <row r="1089" hidden="1" ht="14.25" customHeight="1">
      <c r="A1089" s="41" t="n">
        <v>556</v>
      </c>
      <c r="B1089" s="42" t="inlineStr">
        <is>
          <t>서울특별시 서초구 서초동</t>
        </is>
      </c>
      <c r="C1089" s="41" t="inlineStr">
        <is>
          <t>1687</t>
        </is>
      </c>
      <c r="D1089" s="41" t="inlineStr">
        <is>
          <t>1687</t>
        </is>
      </c>
      <c r="E1089" s="41" t="inlineStr">
        <is>
          <t>0000</t>
        </is>
      </c>
      <c r="F1089" s="42" t="inlineStr">
        <is>
          <t>유원서초</t>
        </is>
      </c>
      <c r="G1089" s="41" t="inlineStr">
        <is>
          <t>84.8200</t>
        </is>
      </c>
      <c r="H1089" s="41" t="inlineStr">
        <is>
          <t>202410</t>
        </is>
      </c>
      <c r="I1089" s="41" t="inlineStr">
        <is>
          <t>04</t>
        </is>
      </c>
      <c r="J1089" s="41" t="inlineStr">
        <is>
          <t>199,000</t>
        </is>
      </c>
      <c r="K1089" s="41" t="inlineStr">
        <is>
          <t>103</t>
        </is>
      </c>
      <c r="L1089" s="41" t="inlineStr">
        <is>
          <t>3</t>
        </is>
      </c>
      <c r="M1089" s="42" t="inlineStr">
        <is>
          <t>개인</t>
        </is>
      </c>
      <c r="N1089" s="42" t="inlineStr">
        <is>
          <t>개인</t>
        </is>
      </c>
      <c r="O1089" s="41" t="inlineStr">
        <is>
          <t>1993</t>
        </is>
      </c>
      <c r="P1089" s="42" t="inlineStr">
        <is>
          <t>서초중앙로24길 43</t>
        </is>
      </c>
      <c r="Q1089" s="41" t="inlineStr">
        <is>
          <t>-</t>
        </is>
      </c>
      <c r="R1089" s="42" t="inlineStr">
        <is>
          <t>중개거래</t>
        </is>
      </c>
      <c r="S1089" s="42" t="inlineStr">
        <is>
          <t>서울 서초구</t>
        </is>
      </c>
      <c r="T1089" s="41" t="inlineStr">
        <is>
          <t>25.03.07</t>
        </is>
      </c>
      <c r="U1089" s="42" t="inlineStr">
        <is>
          <t>아파트</t>
        </is>
      </c>
    </row>
    <row r="1090" hidden="1" ht="14.25" customHeight="1">
      <c r="A1090" s="41" t="n">
        <v>557</v>
      </c>
      <c r="B1090" s="42" t="inlineStr">
        <is>
          <t>서울특별시 서초구 서초동</t>
        </is>
      </c>
      <c r="C1090" s="41" t="inlineStr">
        <is>
          <t>1685-3</t>
        </is>
      </c>
      <c r="D1090" s="41" t="inlineStr">
        <is>
          <t>1685</t>
        </is>
      </c>
      <c r="E1090" s="41" t="inlineStr">
        <is>
          <t>0003</t>
        </is>
      </c>
      <c r="F1090" s="42" t="inlineStr">
        <is>
          <t>아크로비스타</t>
        </is>
      </c>
      <c r="G1090" s="41" t="inlineStr">
        <is>
          <t>138.9600</t>
        </is>
      </c>
      <c r="H1090" s="41" t="inlineStr">
        <is>
          <t>202410</t>
        </is>
      </c>
      <c r="I1090" s="41" t="inlineStr">
        <is>
          <t>03</t>
        </is>
      </c>
      <c r="J1090" s="41" t="inlineStr">
        <is>
          <t>295,000</t>
        </is>
      </c>
      <c r="K1090" s="41" t="inlineStr">
        <is>
          <t>C</t>
        </is>
      </c>
      <c r="L1090" s="41" t="inlineStr">
        <is>
          <t>21</t>
        </is>
      </c>
      <c r="M1090" s="42" t="inlineStr">
        <is>
          <t>개인</t>
        </is>
      </c>
      <c r="N1090" s="42" t="inlineStr">
        <is>
          <t>개인</t>
        </is>
      </c>
      <c r="O1090" s="41" t="inlineStr">
        <is>
          <t>2004</t>
        </is>
      </c>
      <c r="P1090" s="42" t="inlineStr">
        <is>
          <t>서초중앙로 188</t>
        </is>
      </c>
      <c r="Q1090" s="41" t="inlineStr">
        <is>
          <t>-</t>
        </is>
      </c>
      <c r="R1090" s="42" t="inlineStr">
        <is>
          <t>중개거래</t>
        </is>
      </c>
      <c r="S1090" s="42" t="inlineStr">
        <is>
          <t>서울 서초구</t>
        </is>
      </c>
      <c r="T1090" s="41" t="inlineStr">
        <is>
          <t>25.02.13</t>
        </is>
      </c>
      <c r="U1090" s="42" t="inlineStr">
        <is>
          <t>아파트</t>
        </is>
      </c>
    </row>
    <row r="1091" hidden="1" ht="14.25" customHeight="1">
      <c r="A1091" s="41" t="n">
        <v>558</v>
      </c>
      <c r="B1091" s="42" t="inlineStr">
        <is>
          <t>서울특별시 서초구 서초동</t>
        </is>
      </c>
      <c r="C1091" s="41" t="inlineStr">
        <is>
          <t>1484-8</t>
        </is>
      </c>
      <c r="D1091" s="41" t="inlineStr">
        <is>
          <t>1484</t>
        </is>
      </c>
      <c r="E1091" s="41" t="inlineStr">
        <is>
          <t>0008</t>
        </is>
      </c>
      <c r="F1091" s="42" t="inlineStr">
        <is>
          <t>대상파크빌</t>
        </is>
      </c>
      <c r="G1091" s="41" t="inlineStr">
        <is>
          <t>64.0800</t>
        </is>
      </c>
      <c r="H1091" s="41" t="inlineStr">
        <is>
          <t>202410</t>
        </is>
      </c>
      <c r="I1091" s="41" t="inlineStr">
        <is>
          <t>02</t>
        </is>
      </c>
      <c r="J1091" s="41" t="inlineStr">
        <is>
          <t>95,500</t>
        </is>
      </c>
      <c r="K1091" s="41" t="inlineStr">
        <is>
          <t>1</t>
        </is>
      </c>
      <c r="L1091" s="41" t="inlineStr">
        <is>
          <t>6</t>
        </is>
      </c>
      <c r="M1091" s="42" t="inlineStr">
        <is>
          <t>개인</t>
        </is>
      </c>
      <c r="N1091" s="42" t="inlineStr">
        <is>
          <t>개인</t>
        </is>
      </c>
      <c r="O1091" s="41" t="inlineStr">
        <is>
          <t>2006</t>
        </is>
      </c>
      <c r="P1091" s="42" t="inlineStr">
        <is>
          <t>남부순환로317길 66</t>
        </is>
      </c>
      <c r="Q1091" s="41" t="inlineStr">
        <is>
          <t>-</t>
        </is>
      </c>
      <c r="R1091" s="42" t="inlineStr">
        <is>
          <t>중개거래</t>
        </is>
      </c>
      <c r="S1091" s="42" t="inlineStr">
        <is>
          <t>서울 서초구</t>
        </is>
      </c>
      <c r="T1091" s="41" t="inlineStr">
        <is>
          <t>25.01.03</t>
        </is>
      </c>
      <c r="U1091" s="42" t="inlineStr">
        <is>
          <t>아파트</t>
        </is>
      </c>
    </row>
    <row r="1092" hidden="1" ht="14.25" customHeight="1">
      <c r="A1092" s="41" t="n">
        <v>559</v>
      </c>
      <c r="B1092" s="42" t="inlineStr">
        <is>
          <t>서울특별시 서초구 서초동</t>
        </is>
      </c>
      <c r="C1092" s="41" t="inlineStr">
        <is>
          <t>1444-7</t>
        </is>
      </c>
      <c r="D1092" s="41" t="inlineStr">
        <is>
          <t>1444</t>
        </is>
      </c>
      <c r="E1092" s="41" t="inlineStr">
        <is>
          <t>0007</t>
        </is>
      </c>
      <c r="F1092" s="42" t="inlineStr">
        <is>
          <t>서초자이</t>
        </is>
      </c>
      <c r="G1092" s="41" t="inlineStr">
        <is>
          <t>84.9800</t>
        </is>
      </c>
      <c r="H1092" s="41" t="inlineStr">
        <is>
          <t>202410</t>
        </is>
      </c>
      <c r="I1092" s="41" t="inlineStr">
        <is>
          <t>02</t>
        </is>
      </c>
      <c r="J1092" s="41" t="inlineStr">
        <is>
          <t>191,000</t>
        </is>
      </c>
      <c r="K1092" s="41" t="inlineStr">
        <is>
          <t>104</t>
        </is>
      </c>
      <c r="L1092" s="41" t="inlineStr">
        <is>
          <t>16</t>
        </is>
      </c>
      <c r="M1092" s="42" t="inlineStr">
        <is>
          <t>개인</t>
        </is>
      </c>
      <c r="N1092" s="42" t="inlineStr">
        <is>
          <t>개인</t>
        </is>
      </c>
      <c r="O1092" s="41" t="inlineStr">
        <is>
          <t>2006</t>
        </is>
      </c>
      <c r="P1092" s="42" t="inlineStr">
        <is>
          <t>효령로68길 81</t>
        </is>
      </c>
      <c r="Q1092" s="41" t="inlineStr">
        <is>
          <t>-</t>
        </is>
      </c>
      <c r="R1092" s="42" t="inlineStr">
        <is>
          <t>중개거래</t>
        </is>
      </c>
      <c r="S1092" s="42" t="inlineStr">
        <is>
          <t>서울 서초구</t>
        </is>
      </c>
      <c r="T1092" s="41" t="inlineStr">
        <is>
          <t>24.12.12</t>
        </is>
      </c>
      <c r="U1092" s="42" t="inlineStr">
        <is>
          <t>아파트</t>
        </is>
      </c>
    </row>
    <row r="1093" hidden="1" ht="14.25" customHeight="1">
      <c r="A1093" s="41" t="n">
        <v>560</v>
      </c>
      <c r="B1093" s="42" t="inlineStr">
        <is>
          <t>서울특별시 서초구 서초동</t>
        </is>
      </c>
      <c r="C1093" s="41" t="inlineStr">
        <is>
          <t>1675-10</t>
        </is>
      </c>
      <c r="D1093" s="41" t="inlineStr">
        <is>
          <t>1675</t>
        </is>
      </c>
      <c r="E1093" s="41" t="inlineStr">
        <is>
          <t>0010</t>
        </is>
      </c>
      <c r="F1093" s="42" t="inlineStr">
        <is>
          <t>지에스타워</t>
        </is>
      </c>
      <c r="G1093" s="41" t="inlineStr">
        <is>
          <t>24.2200</t>
        </is>
      </c>
      <c r="H1093" s="41" t="inlineStr">
        <is>
          <t>202410</t>
        </is>
      </c>
      <c r="I1093" s="41" t="inlineStr">
        <is>
          <t>02</t>
        </is>
      </c>
      <c r="J1093" s="41" t="inlineStr">
        <is>
          <t>41,500</t>
        </is>
      </c>
      <c r="K1093" s="42" t="inlineStr">
        <is>
          <t>주건축물제1동</t>
        </is>
      </c>
      <c r="L1093" s="41" t="inlineStr">
        <is>
          <t>11</t>
        </is>
      </c>
      <c r="M1093" s="42" t="inlineStr">
        <is>
          <t>개인</t>
        </is>
      </c>
      <c r="N1093" s="42" t="inlineStr">
        <is>
          <t>개인</t>
        </is>
      </c>
      <c r="O1093" s="41" t="inlineStr">
        <is>
          <t>2022</t>
        </is>
      </c>
      <c r="P1093" s="42" t="inlineStr">
        <is>
          <t>서초대로58길 18</t>
        </is>
      </c>
      <c r="Q1093" s="41" t="inlineStr">
        <is>
          <t>-</t>
        </is>
      </c>
      <c r="R1093" s="42" t="inlineStr">
        <is>
          <t>중개거래</t>
        </is>
      </c>
      <c r="S1093" s="42" t="inlineStr">
        <is>
          <t>서울 서초구</t>
        </is>
      </c>
      <c r="T1093" s="41" t="inlineStr">
        <is>
          <t>24.11.29</t>
        </is>
      </c>
      <c r="U1093" s="42" t="inlineStr">
        <is>
          <t>아파트</t>
        </is>
      </c>
    </row>
    <row r="1094" hidden="1" ht="14.25" customHeight="1">
      <c r="A1094" s="41" t="n">
        <v>561</v>
      </c>
      <c r="B1094" s="42" t="inlineStr">
        <is>
          <t>서울특별시 서초구 서초동</t>
        </is>
      </c>
      <c r="C1094" s="41" t="inlineStr">
        <is>
          <t>1684</t>
        </is>
      </c>
      <c r="D1094" s="41" t="inlineStr">
        <is>
          <t>1684</t>
        </is>
      </c>
      <c r="E1094" s="41" t="inlineStr">
        <is>
          <t>0000</t>
        </is>
      </c>
      <c r="F1094" s="42" t="inlineStr">
        <is>
          <t>서초4현대</t>
        </is>
      </c>
      <c r="G1094" s="41" t="inlineStr">
        <is>
          <t>52.3600</t>
        </is>
      </c>
      <c r="H1094" s="41" t="inlineStr">
        <is>
          <t>202410</t>
        </is>
      </c>
      <c r="I1094" s="41" t="inlineStr">
        <is>
          <t>01</t>
        </is>
      </c>
      <c r="J1094" s="41" t="inlineStr">
        <is>
          <t>116,000</t>
        </is>
      </c>
      <c r="K1094" s="41" t="inlineStr">
        <is>
          <t>101</t>
        </is>
      </c>
      <c r="L1094" s="41" t="inlineStr">
        <is>
          <t>7</t>
        </is>
      </c>
      <c r="M1094" s="42" t="inlineStr">
        <is>
          <t>개인</t>
        </is>
      </c>
      <c r="N1094" s="42" t="inlineStr">
        <is>
          <t>개인</t>
        </is>
      </c>
      <c r="O1094" s="41" t="inlineStr">
        <is>
          <t>2000</t>
        </is>
      </c>
      <c r="P1094" s="42" t="inlineStr">
        <is>
          <t>고무래로 94</t>
        </is>
      </c>
      <c r="Q1094" s="41" t="inlineStr">
        <is>
          <t>-</t>
        </is>
      </c>
      <c r="R1094" s="42" t="inlineStr">
        <is>
          <t>중개거래</t>
        </is>
      </c>
      <c r="S1094" s="42" t="inlineStr">
        <is>
          <t>서울 서초구</t>
        </is>
      </c>
      <c r="T1094" s="41" t="inlineStr">
        <is>
          <t>24.12.31</t>
        </is>
      </c>
      <c r="U1094" s="42" t="inlineStr">
        <is>
          <t>아파트</t>
        </is>
      </c>
    </row>
    <row r="1095" hidden="1" ht="14.25" customHeight="1">
      <c r="A1095" s="41" t="n">
        <v>562</v>
      </c>
      <c r="B1095" s="42" t="inlineStr">
        <is>
          <t>서울특별시 서초구 서초동</t>
        </is>
      </c>
      <c r="C1095" s="41" t="inlineStr">
        <is>
          <t>1677-1</t>
        </is>
      </c>
      <c r="D1095" s="41" t="inlineStr">
        <is>
          <t>1677</t>
        </is>
      </c>
      <c r="E1095" s="41" t="inlineStr">
        <is>
          <t>0001</t>
        </is>
      </c>
      <c r="F1095" s="42" t="inlineStr">
        <is>
          <t>브라운스톤서초(1677-1)</t>
        </is>
      </c>
      <c r="G1095" s="41" t="inlineStr">
        <is>
          <t>84.2300</t>
        </is>
      </c>
      <c r="H1095" s="41" t="inlineStr">
        <is>
          <t>202410</t>
        </is>
      </c>
      <c r="I1095" s="41" t="inlineStr">
        <is>
          <t>01</t>
        </is>
      </c>
      <c r="J1095" s="41" t="inlineStr">
        <is>
          <t>130,000</t>
        </is>
      </c>
      <c r="K1095" s="42" t="inlineStr">
        <is>
          <t>브라운스톤</t>
        </is>
      </c>
      <c r="L1095" s="41" t="inlineStr">
        <is>
          <t>15</t>
        </is>
      </c>
      <c r="M1095" s="42" t="inlineStr">
        <is>
          <t>개인</t>
        </is>
      </c>
      <c r="N1095" s="42" t="inlineStr">
        <is>
          <t>개인</t>
        </is>
      </c>
      <c r="O1095" s="41" t="inlineStr">
        <is>
          <t>2006</t>
        </is>
      </c>
      <c r="P1095" s="42" t="inlineStr">
        <is>
          <t>서초대로 334</t>
        </is>
      </c>
      <c r="Q1095" s="41" t="inlineStr">
        <is>
          <t>-</t>
        </is>
      </c>
      <c r="R1095" s="42" t="inlineStr">
        <is>
          <t>중개거래</t>
        </is>
      </c>
      <c r="S1095" s="42" t="inlineStr">
        <is>
          <t>서울 서초구</t>
        </is>
      </c>
      <c r="T1095" s="41" t="inlineStr">
        <is>
          <t>24.11.12</t>
        </is>
      </c>
      <c r="U1095" s="42" t="inlineStr">
        <is>
          <t>아파트</t>
        </is>
      </c>
    </row>
    <row r="1096" hidden="1" ht="14.25" customHeight="1">
      <c r="A1096" s="41" t="n">
        <v>563</v>
      </c>
      <c r="B1096" s="42" t="inlineStr">
        <is>
          <t>서울특별시 서초구 서초동</t>
        </is>
      </c>
      <c r="C1096" s="41" t="inlineStr">
        <is>
          <t>1681-8</t>
        </is>
      </c>
      <c r="D1096" s="41" t="inlineStr">
        <is>
          <t>1681</t>
        </is>
      </c>
      <c r="E1096" s="41" t="inlineStr">
        <is>
          <t>0008</t>
        </is>
      </c>
      <c r="F1096" s="42" t="inlineStr">
        <is>
          <t>서초롯데캐슬프레지던트</t>
        </is>
      </c>
      <c r="G1096" s="41" t="inlineStr">
        <is>
          <t>84.9700</t>
        </is>
      </c>
      <c r="H1096" s="41" t="inlineStr">
        <is>
          <t>202410</t>
        </is>
      </c>
      <c r="I1096" s="41" t="inlineStr">
        <is>
          <t>01</t>
        </is>
      </c>
      <c r="J1096" s="41" t="inlineStr">
        <is>
          <t>240,000</t>
        </is>
      </c>
      <c r="K1096" s="41" t="inlineStr">
        <is>
          <t>103</t>
        </is>
      </c>
      <c r="L1096" s="41" t="inlineStr">
        <is>
          <t>8</t>
        </is>
      </c>
      <c r="M1096" s="42" t="inlineStr">
        <is>
          <t>개인</t>
        </is>
      </c>
      <c r="N1096" s="42" t="inlineStr">
        <is>
          <t>개인</t>
        </is>
      </c>
      <c r="O1096" s="41" t="inlineStr">
        <is>
          <t>2014</t>
        </is>
      </c>
      <c r="P1096" s="42" t="inlineStr">
        <is>
          <t>서초중앙로24길 57</t>
        </is>
      </c>
      <c r="Q1096" s="41" t="inlineStr">
        <is>
          <t>-</t>
        </is>
      </c>
      <c r="R1096" s="42" t="inlineStr">
        <is>
          <t>중개거래</t>
        </is>
      </c>
      <c r="S1096" s="42" t="inlineStr">
        <is>
          <t>서울 서초구</t>
        </is>
      </c>
      <c r="T1096" s="41" t="inlineStr">
        <is>
          <t>24.12.26</t>
        </is>
      </c>
      <c r="U1096" s="42" t="inlineStr">
        <is>
          <t>아파트</t>
        </is>
      </c>
    </row>
    <row r="1097" hidden="1" ht="14.25" customHeight="1">
      <c r="A1097" s="41" t="n">
        <v>564</v>
      </c>
      <c r="B1097" s="42" t="inlineStr">
        <is>
          <t>서울특별시 서초구 서초동</t>
        </is>
      </c>
      <c r="C1097" s="41" t="inlineStr">
        <is>
          <t>1509-1</t>
        </is>
      </c>
      <c r="D1097" s="41" t="inlineStr">
        <is>
          <t>1509</t>
        </is>
      </c>
      <c r="E1097" s="41" t="inlineStr">
        <is>
          <t>0001</t>
        </is>
      </c>
      <c r="F1097" s="42" t="inlineStr">
        <is>
          <t>서초한빛삼성</t>
        </is>
      </c>
      <c r="G1097" s="41" t="inlineStr">
        <is>
          <t>99.0900</t>
        </is>
      </c>
      <c r="H1097" s="41" t="inlineStr">
        <is>
          <t>202410</t>
        </is>
      </c>
      <c r="I1097" s="41" t="inlineStr">
        <is>
          <t>01</t>
        </is>
      </c>
      <c r="J1097" s="41" t="inlineStr">
        <is>
          <t>176,000</t>
        </is>
      </c>
      <c r="K1097" s="41" t="inlineStr">
        <is>
          <t>-</t>
        </is>
      </c>
      <c r="L1097" s="41" t="inlineStr">
        <is>
          <t>7</t>
        </is>
      </c>
      <c r="M1097" s="42" t="inlineStr">
        <is>
          <t>개인</t>
        </is>
      </c>
      <c r="N1097" s="42" t="inlineStr">
        <is>
          <t>개인</t>
        </is>
      </c>
      <c r="O1097" s="41" t="inlineStr">
        <is>
          <t>1999</t>
        </is>
      </c>
      <c r="P1097" s="42" t="inlineStr">
        <is>
          <t>서초대로40길 72</t>
        </is>
      </c>
      <c r="Q1097" s="41" t="inlineStr">
        <is>
          <t>20250310</t>
        </is>
      </c>
      <c r="R1097" s="42" t="inlineStr">
        <is>
          <t>중개거래</t>
        </is>
      </c>
      <c r="S1097" s="42" t="inlineStr">
        <is>
          <t>서울 서초구, 서울 용산구</t>
        </is>
      </c>
      <c r="T1097" s="41" t="inlineStr">
        <is>
          <t>-</t>
        </is>
      </c>
      <c r="U1097" s="42" t="inlineStr">
        <is>
          <t>아파트</t>
        </is>
      </c>
    </row>
    <row r="1098" hidden="1" ht="14.25" customHeight="1">
      <c r="A1098" s="41" t="n">
        <v>565</v>
      </c>
      <c r="B1098" s="42" t="inlineStr">
        <is>
          <t>서울특별시 서초구 서초동</t>
        </is>
      </c>
      <c r="C1098" s="41" t="inlineStr">
        <is>
          <t>1671-5</t>
        </is>
      </c>
      <c r="D1098" s="41" t="inlineStr">
        <is>
          <t>1671</t>
        </is>
      </c>
      <c r="E1098" s="41" t="inlineStr">
        <is>
          <t>0005</t>
        </is>
      </c>
      <c r="F1098" s="42" t="inlineStr">
        <is>
          <t>대림서초리시온</t>
        </is>
      </c>
      <c r="G1098" s="41" t="inlineStr">
        <is>
          <t>49.9200</t>
        </is>
      </c>
      <c r="H1098" s="41" t="inlineStr">
        <is>
          <t>202410</t>
        </is>
      </c>
      <c r="I1098" s="41" t="inlineStr">
        <is>
          <t>01</t>
        </is>
      </c>
      <c r="J1098" s="41" t="inlineStr">
        <is>
          <t>53,000</t>
        </is>
      </c>
      <c r="K1098" s="41" t="inlineStr">
        <is>
          <t>-</t>
        </is>
      </c>
      <c r="L1098" s="41" t="inlineStr">
        <is>
          <t>3</t>
        </is>
      </c>
      <c r="M1098" s="42" t="inlineStr">
        <is>
          <t>개인</t>
        </is>
      </c>
      <c r="N1098" s="42" t="inlineStr">
        <is>
          <t>개인</t>
        </is>
      </c>
      <c r="O1098" s="41" t="inlineStr">
        <is>
          <t>2003</t>
        </is>
      </c>
      <c r="P1098" s="42" t="inlineStr">
        <is>
          <t>서초중앙로22길 25</t>
        </is>
      </c>
      <c r="Q1098" s="41" t="inlineStr">
        <is>
          <t>-</t>
        </is>
      </c>
      <c r="R1098" s="42" t="inlineStr">
        <is>
          <t>중개거래</t>
        </is>
      </c>
      <c r="S1098" s="42" t="inlineStr">
        <is>
          <t>서울 서초구</t>
        </is>
      </c>
      <c r="T1098" s="41" t="inlineStr">
        <is>
          <t>24.12.19</t>
        </is>
      </c>
      <c r="U1098" s="42" t="inlineStr">
        <is>
          <t>아파트</t>
        </is>
      </c>
    </row>
    <row r="1099" hidden="1" ht="14.25" customHeight="1">
      <c r="A1099" s="41" t="n">
        <v>566</v>
      </c>
      <c r="B1099" s="42" t="inlineStr">
        <is>
          <t>서울특별시 서초구 서초동</t>
        </is>
      </c>
      <c r="C1099" s="41" t="inlineStr">
        <is>
          <t>1685</t>
        </is>
      </c>
      <c r="D1099" s="41" t="inlineStr">
        <is>
          <t>1685</t>
        </is>
      </c>
      <c r="E1099" s="41" t="inlineStr">
        <is>
          <t>0000</t>
        </is>
      </c>
      <c r="F1099" s="42" t="inlineStr">
        <is>
          <t>삼풍아파트</t>
        </is>
      </c>
      <c r="G1099" s="41" t="inlineStr">
        <is>
          <t>130.7300</t>
        </is>
      </c>
      <c r="H1099" s="41" t="inlineStr">
        <is>
          <t>202409</t>
        </is>
      </c>
      <c r="I1099" s="41" t="inlineStr">
        <is>
          <t>30</t>
        </is>
      </c>
      <c r="J1099" s="41" t="inlineStr">
        <is>
          <t>325,000</t>
        </is>
      </c>
      <c r="K1099" s="41" t="inlineStr">
        <is>
          <t>10</t>
        </is>
      </c>
      <c r="L1099" s="41" t="inlineStr">
        <is>
          <t>1</t>
        </is>
      </c>
      <c r="M1099" s="42" t="inlineStr">
        <is>
          <t>개인</t>
        </is>
      </c>
      <c r="N1099" s="42" t="inlineStr">
        <is>
          <t>개인</t>
        </is>
      </c>
      <c r="O1099" s="41" t="inlineStr">
        <is>
          <t>1988</t>
        </is>
      </c>
      <c r="P1099" s="42" t="inlineStr">
        <is>
          <t>서초중앙로 200</t>
        </is>
      </c>
      <c r="Q1099" s="41" t="inlineStr">
        <is>
          <t>-</t>
        </is>
      </c>
      <c r="R1099" s="42" t="inlineStr">
        <is>
          <t>중개거래</t>
        </is>
      </c>
      <c r="S1099" s="42" t="inlineStr">
        <is>
          <t>서울 서초구</t>
        </is>
      </c>
      <c r="T1099" s="41" t="inlineStr">
        <is>
          <t>24.10.07</t>
        </is>
      </c>
      <c r="U1099" s="42" t="inlineStr">
        <is>
          <t>아파트</t>
        </is>
      </c>
    </row>
    <row r="1100" hidden="1" ht="14.25" customHeight="1">
      <c r="A1100" s="41" t="n">
        <v>567</v>
      </c>
      <c r="B1100" s="42" t="inlineStr">
        <is>
          <t>서울특별시 서초구 서초동</t>
        </is>
      </c>
      <c r="C1100" s="41" t="inlineStr">
        <is>
          <t>1316-15</t>
        </is>
      </c>
      <c r="D1100" s="41" t="inlineStr">
        <is>
          <t>1316</t>
        </is>
      </c>
      <c r="E1100" s="41" t="inlineStr">
        <is>
          <t>0015</t>
        </is>
      </c>
      <c r="F1100" s="42" t="inlineStr">
        <is>
          <t>현대성우주상복합아파트</t>
        </is>
      </c>
      <c r="G1100" s="41" t="inlineStr">
        <is>
          <t>174.3400</t>
        </is>
      </c>
      <c r="H1100" s="41" t="inlineStr">
        <is>
          <t>202409</t>
        </is>
      </c>
      <c r="I1100" s="41" t="inlineStr">
        <is>
          <t>30</t>
        </is>
      </c>
      <c r="J1100" s="41" t="inlineStr">
        <is>
          <t>180,000</t>
        </is>
      </c>
      <c r="K1100" s="41" t="inlineStr">
        <is>
          <t>-</t>
        </is>
      </c>
      <c r="L1100" s="41" t="inlineStr">
        <is>
          <t>3</t>
        </is>
      </c>
      <c r="M1100" s="42" t="inlineStr">
        <is>
          <t>개인</t>
        </is>
      </c>
      <c r="N1100" s="42" t="inlineStr">
        <is>
          <t>개인</t>
        </is>
      </c>
      <c r="O1100" s="41" t="inlineStr">
        <is>
          <t>2002</t>
        </is>
      </c>
      <c r="P1100" s="42" t="inlineStr">
        <is>
          <t>강남대로61길 23</t>
        </is>
      </c>
      <c r="Q1100" s="41" t="inlineStr">
        <is>
          <t>-</t>
        </is>
      </c>
      <c r="R1100" s="42" t="inlineStr">
        <is>
          <t>중개거래</t>
        </is>
      </c>
      <c r="S1100" s="42" t="inlineStr">
        <is>
          <t>서울 서초구</t>
        </is>
      </c>
      <c r="T1100" s="41" t="inlineStr">
        <is>
          <t>24.10.10</t>
        </is>
      </c>
      <c r="U1100" s="42" t="inlineStr">
        <is>
          <t>아파트</t>
        </is>
      </c>
    </row>
    <row r="1101" hidden="1" ht="14.25" customHeight="1">
      <c r="A1101" s="41" t="n">
        <v>568</v>
      </c>
      <c r="B1101" s="42" t="inlineStr">
        <is>
          <t>서울특별시 서초구 서초동</t>
        </is>
      </c>
      <c r="C1101" s="41" t="inlineStr">
        <is>
          <t>1338</t>
        </is>
      </c>
      <c r="D1101" s="41" t="inlineStr">
        <is>
          <t>1338</t>
        </is>
      </c>
      <c r="E1101" s="41" t="inlineStr">
        <is>
          <t>0000</t>
        </is>
      </c>
      <c r="F1101" s="42" t="inlineStr">
        <is>
          <t>현대이에스에이아파트</t>
        </is>
      </c>
      <c r="G1101" s="41" t="inlineStr">
        <is>
          <t>144.2600</t>
        </is>
      </c>
      <c r="H1101" s="41" t="inlineStr">
        <is>
          <t>202409</t>
        </is>
      </c>
      <c r="I1101" s="41" t="inlineStr">
        <is>
          <t>29</t>
        </is>
      </c>
      <c r="J1101" s="41" t="inlineStr">
        <is>
          <t>157,000</t>
        </is>
      </c>
      <c r="K1101" s="41" t="inlineStr">
        <is>
          <t>-</t>
        </is>
      </c>
      <c r="L1101" s="41" t="inlineStr">
        <is>
          <t>17</t>
        </is>
      </c>
      <c r="M1101" s="42" t="inlineStr">
        <is>
          <t>개인</t>
        </is>
      </c>
      <c r="N1101" s="42" t="inlineStr">
        <is>
          <t>개인</t>
        </is>
      </c>
      <c r="O1101" s="41" t="inlineStr">
        <is>
          <t>2002</t>
        </is>
      </c>
      <c r="P1101" s="42" t="inlineStr">
        <is>
          <t>효령로77길 20</t>
        </is>
      </c>
      <c r="Q1101" s="41" t="inlineStr">
        <is>
          <t>-</t>
        </is>
      </c>
      <c r="R1101" s="42" t="inlineStr">
        <is>
          <t>중개거래</t>
        </is>
      </c>
      <c r="S1101" s="42" t="inlineStr">
        <is>
          <t>서울 서초구</t>
        </is>
      </c>
      <c r="T1101" s="41" t="inlineStr">
        <is>
          <t>24.11.28</t>
        </is>
      </c>
      <c r="U1101" s="42" t="inlineStr">
        <is>
          <t>아파트</t>
        </is>
      </c>
    </row>
    <row r="1102" hidden="1" ht="14.25" customHeight="1">
      <c r="A1102" s="41" t="n">
        <v>569</v>
      </c>
      <c r="B1102" s="42" t="inlineStr">
        <is>
          <t>서울특별시 서초구 서초동</t>
        </is>
      </c>
      <c r="C1102" s="41" t="inlineStr">
        <is>
          <t>1671-5</t>
        </is>
      </c>
      <c r="D1102" s="41" t="inlineStr">
        <is>
          <t>1671</t>
        </is>
      </c>
      <c r="E1102" s="41" t="inlineStr">
        <is>
          <t>0005</t>
        </is>
      </c>
      <c r="F1102" s="42" t="inlineStr">
        <is>
          <t>대림서초리시온</t>
        </is>
      </c>
      <c r="G1102" s="41" t="inlineStr">
        <is>
          <t>36.4800</t>
        </is>
      </c>
      <c r="H1102" s="41" t="inlineStr">
        <is>
          <t>202409</t>
        </is>
      </c>
      <c r="I1102" s="41" t="inlineStr">
        <is>
          <t>28</t>
        </is>
      </c>
      <c r="J1102" s="41" t="inlineStr">
        <is>
          <t>43,000</t>
        </is>
      </c>
      <c r="K1102" s="41" t="inlineStr">
        <is>
          <t>-</t>
        </is>
      </c>
      <c r="L1102" s="41" t="inlineStr">
        <is>
          <t>10</t>
        </is>
      </c>
      <c r="M1102" s="42" t="inlineStr">
        <is>
          <t>개인</t>
        </is>
      </c>
      <c r="N1102" s="42" t="inlineStr">
        <is>
          <t>개인</t>
        </is>
      </c>
      <c r="O1102" s="41" t="inlineStr">
        <is>
          <t>2003</t>
        </is>
      </c>
      <c r="P1102" s="42" t="inlineStr">
        <is>
          <t>서초중앙로22길 25</t>
        </is>
      </c>
      <c r="Q1102" s="41" t="inlineStr">
        <is>
          <t>-</t>
        </is>
      </c>
      <c r="R1102" s="42" t="inlineStr">
        <is>
          <t>중개거래</t>
        </is>
      </c>
      <c r="S1102" s="42" t="inlineStr">
        <is>
          <t>서울 서초구</t>
        </is>
      </c>
      <c r="T1102" s="41" t="inlineStr">
        <is>
          <t>24.11.08</t>
        </is>
      </c>
      <c r="U1102" s="42" t="inlineStr">
        <is>
          <t>아파트</t>
        </is>
      </c>
    </row>
    <row r="1103" hidden="1" ht="14.25" customHeight="1">
      <c r="A1103" s="41" t="n">
        <v>570</v>
      </c>
      <c r="B1103" s="42" t="inlineStr">
        <is>
          <t>서울특별시 서초구 서초동</t>
        </is>
      </c>
      <c r="C1103" s="41" t="inlineStr">
        <is>
          <t>1682</t>
        </is>
      </c>
      <c r="D1103" s="41" t="inlineStr">
        <is>
          <t>1682</t>
        </is>
      </c>
      <c r="E1103" s="41" t="inlineStr">
        <is>
          <t>0000</t>
        </is>
      </c>
      <c r="F1103" s="42" t="inlineStr">
        <is>
          <t>서초래미안</t>
        </is>
      </c>
      <c r="G1103" s="41" t="inlineStr">
        <is>
          <t>127.6600</t>
        </is>
      </c>
      <c r="H1103" s="41" t="inlineStr">
        <is>
          <t>202409</t>
        </is>
      </c>
      <c r="I1103" s="41" t="inlineStr">
        <is>
          <t>27</t>
        </is>
      </c>
      <c r="J1103" s="41" t="inlineStr">
        <is>
          <t>287,000</t>
        </is>
      </c>
      <c r="K1103" s="41" t="inlineStr">
        <is>
          <t>104</t>
        </is>
      </c>
      <c r="L1103" s="41" t="inlineStr">
        <is>
          <t>23</t>
        </is>
      </c>
      <c r="M1103" s="42" t="inlineStr">
        <is>
          <t>개인</t>
        </is>
      </c>
      <c r="N1103" s="42" t="inlineStr">
        <is>
          <t>개인</t>
        </is>
      </c>
      <c r="O1103" s="41" t="inlineStr">
        <is>
          <t>2003</t>
        </is>
      </c>
      <c r="P1103" s="42" t="inlineStr">
        <is>
          <t>서초대로65길 13-10</t>
        </is>
      </c>
      <c r="Q1103" s="41" t="inlineStr">
        <is>
          <t>-</t>
        </is>
      </c>
      <c r="R1103" s="42" t="inlineStr">
        <is>
          <t>중개거래</t>
        </is>
      </c>
      <c r="S1103" s="42" t="inlineStr">
        <is>
          <t>서울 서초구</t>
        </is>
      </c>
      <c r="T1103" s="41" t="inlineStr">
        <is>
          <t>25.03.31</t>
        </is>
      </c>
      <c r="U1103" s="42" t="inlineStr">
        <is>
          <t>아파트</t>
        </is>
      </c>
    </row>
    <row r="1104" hidden="1" ht="14.25" customHeight="1">
      <c r="A1104" s="41" t="n">
        <v>571</v>
      </c>
      <c r="B1104" s="42" t="inlineStr">
        <is>
          <t>서울특별시 서초구 서초동</t>
        </is>
      </c>
      <c r="C1104" s="41" t="inlineStr">
        <is>
          <t>1330</t>
        </is>
      </c>
      <c r="D1104" s="41" t="inlineStr">
        <is>
          <t>1330</t>
        </is>
      </c>
      <c r="E1104" s="41" t="inlineStr">
        <is>
          <t>0000</t>
        </is>
      </c>
      <c r="F1104" s="42" t="inlineStr">
        <is>
          <t>서초동삼성쉐르빌2</t>
        </is>
      </c>
      <c r="G1104" s="41" t="inlineStr">
        <is>
          <t>70.4900</t>
        </is>
      </c>
      <c r="H1104" s="41" t="inlineStr">
        <is>
          <t>202409</t>
        </is>
      </c>
      <c r="I1104" s="41" t="inlineStr">
        <is>
          <t>27</t>
        </is>
      </c>
      <c r="J1104" s="41" t="inlineStr">
        <is>
          <t>92,500</t>
        </is>
      </c>
      <c r="K1104" s="41" t="inlineStr">
        <is>
          <t>-</t>
        </is>
      </c>
      <c r="L1104" s="41" t="inlineStr">
        <is>
          <t>16</t>
        </is>
      </c>
      <c r="M1104" s="42" t="inlineStr">
        <is>
          <t>개인</t>
        </is>
      </c>
      <c r="N1104" s="42" t="inlineStr">
        <is>
          <t>개인</t>
        </is>
      </c>
      <c r="O1104" s="41" t="inlineStr">
        <is>
          <t>2002</t>
        </is>
      </c>
      <c r="P1104" s="42" t="inlineStr">
        <is>
          <t>강남대로53길 11</t>
        </is>
      </c>
      <c r="Q1104" s="41" t="inlineStr">
        <is>
          <t>-</t>
        </is>
      </c>
      <c r="R1104" s="42" t="inlineStr">
        <is>
          <t>중개거래</t>
        </is>
      </c>
      <c r="S1104" s="42" t="inlineStr">
        <is>
          <t>서울 서초구</t>
        </is>
      </c>
      <c r="T1104" s="41" t="inlineStr">
        <is>
          <t>24.09.30</t>
        </is>
      </c>
      <c r="U1104" s="42" t="inlineStr">
        <is>
          <t>아파트</t>
        </is>
      </c>
    </row>
    <row r="1105" hidden="1" ht="14.25" customHeight="1">
      <c r="A1105" s="41" t="n">
        <v>572</v>
      </c>
      <c r="B1105" s="42" t="inlineStr">
        <is>
          <t>서울특별시 서초구 서초동</t>
        </is>
      </c>
      <c r="C1105" s="41" t="inlineStr">
        <is>
          <t>1337-3</t>
        </is>
      </c>
      <c r="D1105" s="41" t="inlineStr">
        <is>
          <t>1337</t>
        </is>
      </c>
      <c r="E1105" s="41" t="inlineStr">
        <is>
          <t>0003</t>
        </is>
      </c>
      <c r="F1105" s="41" t="inlineStr">
        <is>
          <t>urbanplace</t>
        </is>
      </c>
      <c r="G1105" s="41" t="inlineStr">
        <is>
          <t>20.9980</t>
        </is>
      </c>
      <c r="H1105" s="41" t="inlineStr">
        <is>
          <t>202409</t>
        </is>
      </c>
      <c r="I1105" s="41" t="inlineStr">
        <is>
          <t>26</t>
        </is>
      </c>
      <c r="J1105" s="41" t="inlineStr">
        <is>
          <t>19,000</t>
        </is>
      </c>
      <c r="K1105" s="41" t="inlineStr">
        <is>
          <t>1</t>
        </is>
      </c>
      <c r="L1105" s="41" t="inlineStr">
        <is>
          <t>7</t>
        </is>
      </c>
      <c r="M1105" s="42" t="inlineStr">
        <is>
          <t>개인</t>
        </is>
      </c>
      <c r="N1105" s="42" t="inlineStr">
        <is>
          <t>개인</t>
        </is>
      </c>
      <c r="O1105" s="41" t="inlineStr">
        <is>
          <t>2014</t>
        </is>
      </c>
      <c r="P1105" s="42" t="inlineStr">
        <is>
          <t>효령로77길 30</t>
        </is>
      </c>
      <c r="Q1105" s="41" t="inlineStr">
        <is>
          <t>-</t>
        </is>
      </c>
      <c r="R1105" s="42" t="inlineStr">
        <is>
          <t>중개거래</t>
        </is>
      </c>
      <c r="S1105" s="42" t="inlineStr">
        <is>
          <t>서울 서초구</t>
        </is>
      </c>
      <c r="T1105" s="41" t="inlineStr">
        <is>
          <t>24.10.02</t>
        </is>
      </c>
      <c r="U1105" s="42" t="inlineStr">
        <is>
          <t>아파트</t>
        </is>
      </c>
    </row>
    <row r="1106" hidden="1" ht="14.25" customHeight="1">
      <c r="A1106" s="41" t="n">
        <v>573</v>
      </c>
      <c r="B1106" s="42" t="inlineStr">
        <is>
          <t>서울특별시 서초구 서초동</t>
        </is>
      </c>
      <c r="C1106" s="41" t="inlineStr">
        <is>
          <t>1333</t>
        </is>
      </c>
      <c r="D1106" s="41" t="inlineStr">
        <is>
          <t>1333</t>
        </is>
      </c>
      <c r="E1106" s="41" t="inlineStr">
        <is>
          <t>0000</t>
        </is>
      </c>
      <c r="F1106" s="42" t="inlineStr">
        <is>
          <t>신동아아파트(1차)</t>
        </is>
      </c>
      <c r="G1106" s="41" t="inlineStr">
        <is>
          <t>88.6800</t>
        </is>
      </c>
      <c r="H1106" s="41" t="inlineStr">
        <is>
          <t>202409</t>
        </is>
      </c>
      <c r="I1106" s="41" t="inlineStr">
        <is>
          <t>24</t>
        </is>
      </c>
      <c r="J1106" s="41" t="inlineStr">
        <is>
          <t>245,000</t>
        </is>
      </c>
      <c r="K1106" s="41" t="inlineStr">
        <is>
          <t>1</t>
        </is>
      </c>
      <c r="L1106" s="41" t="inlineStr">
        <is>
          <t>7</t>
        </is>
      </c>
      <c r="M1106" s="42" t="inlineStr">
        <is>
          <t>개인</t>
        </is>
      </c>
      <c r="N1106" s="42" t="inlineStr">
        <is>
          <t>개인</t>
        </is>
      </c>
      <c r="O1106" s="41" t="inlineStr">
        <is>
          <t>1978</t>
        </is>
      </c>
      <c r="P1106" s="42" t="inlineStr">
        <is>
          <t>사임당로 137</t>
        </is>
      </c>
      <c r="Q1106" s="41" t="inlineStr">
        <is>
          <t>-</t>
        </is>
      </c>
      <c r="R1106" s="42" t="inlineStr">
        <is>
          <t>중개거래</t>
        </is>
      </c>
      <c r="S1106" s="42" t="inlineStr">
        <is>
          <t>서울 서초구</t>
        </is>
      </c>
      <c r="T1106" s="41" t="inlineStr">
        <is>
          <t>24.11.08</t>
        </is>
      </c>
      <c r="U1106" s="42" t="inlineStr">
        <is>
          <t>아파트</t>
        </is>
      </c>
    </row>
    <row r="1107" hidden="1" ht="14.25" customHeight="1">
      <c r="A1107" s="41" t="n">
        <v>574</v>
      </c>
      <c r="B1107" s="42" t="inlineStr">
        <is>
          <t>서울특별시 서초구 서초동</t>
        </is>
      </c>
      <c r="C1107" s="41" t="inlineStr">
        <is>
          <t>1682</t>
        </is>
      </c>
      <c r="D1107" s="41" t="inlineStr">
        <is>
          <t>1682</t>
        </is>
      </c>
      <c r="E1107" s="41" t="inlineStr">
        <is>
          <t>0000</t>
        </is>
      </c>
      <c r="F1107" s="42" t="inlineStr">
        <is>
          <t>서초래미안</t>
        </is>
      </c>
      <c r="G1107" s="41" t="inlineStr">
        <is>
          <t>126.3100</t>
        </is>
      </c>
      <c r="H1107" s="41" t="inlineStr">
        <is>
          <t>202409</t>
        </is>
      </c>
      <c r="I1107" s="41" t="inlineStr">
        <is>
          <t>23</t>
        </is>
      </c>
      <c r="J1107" s="41" t="inlineStr">
        <is>
          <t>272,000</t>
        </is>
      </c>
      <c r="K1107" s="41" t="inlineStr">
        <is>
          <t>110</t>
        </is>
      </c>
      <c r="L1107" s="41" t="inlineStr">
        <is>
          <t>2</t>
        </is>
      </c>
      <c r="M1107" s="42" t="inlineStr">
        <is>
          <t>개인</t>
        </is>
      </c>
      <c r="N1107" s="42" t="inlineStr">
        <is>
          <t>개인</t>
        </is>
      </c>
      <c r="O1107" s="41" t="inlineStr">
        <is>
          <t>2003</t>
        </is>
      </c>
      <c r="P1107" s="42" t="inlineStr">
        <is>
          <t>서초대로65길 13-10</t>
        </is>
      </c>
      <c r="Q1107" s="41" t="inlineStr">
        <is>
          <t>-</t>
        </is>
      </c>
      <c r="R1107" s="42" t="inlineStr">
        <is>
          <t>중개거래</t>
        </is>
      </c>
      <c r="S1107" s="42" t="inlineStr">
        <is>
          <t>서울 서초구</t>
        </is>
      </c>
      <c r="T1107" s="41" t="inlineStr">
        <is>
          <t>25.01.15</t>
        </is>
      </c>
      <c r="U1107" s="42" t="inlineStr">
        <is>
          <t>아파트</t>
        </is>
      </c>
    </row>
    <row r="1108" hidden="1" ht="14.25" customHeight="1">
      <c r="A1108" s="41" t="n">
        <v>575</v>
      </c>
      <c r="B1108" s="42" t="inlineStr">
        <is>
          <t>서울특별시 서초구 서초동</t>
        </is>
      </c>
      <c r="C1108" s="41" t="inlineStr">
        <is>
          <t>1685</t>
        </is>
      </c>
      <c r="D1108" s="41" t="inlineStr">
        <is>
          <t>1685</t>
        </is>
      </c>
      <c r="E1108" s="41" t="inlineStr">
        <is>
          <t>0000</t>
        </is>
      </c>
      <c r="F1108" s="42" t="inlineStr">
        <is>
          <t>삼풍아파트</t>
        </is>
      </c>
      <c r="G1108" s="41" t="inlineStr">
        <is>
          <t>130.7300</t>
        </is>
      </c>
      <c r="H1108" s="41" t="inlineStr">
        <is>
          <t>202409</t>
        </is>
      </c>
      <c r="I1108" s="41" t="inlineStr">
        <is>
          <t>23</t>
        </is>
      </c>
      <c r="J1108" s="41" t="inlineStr">
        <is>
          <t>347,000</t>
        </is>
      </c>
      <c r="K1108" s="41" t="inlineStr">
        <is>
          <t>19</t>
        </is>
      </c>
      <c r="L1108" s="41" t="inlineStr">
        <is>
          <t>2</t>
        </is>
      </c>
      <c r="M1108" s="42" t="inlineStr">
        <is>
          <t>개인</t>
        </is>
      </c>
      <c r="N1108" s="42" t="inlineStr">
        <is>
          <t>개인</t>
        </is>
      </c>
      <c r="O1108" s="41" t="inlineStr">
        <is>
          <t>1988</t>
        </is>
      </c>
      <c r="P1108" s="42" t="inlineStr">
        <is>
          <t>서초중앙로 200</t>
        </is>
      </c>
      <c r="Q1108" s="41" t="inlineStr">
        <is>
          <t>-</t>
        </is>
      </c>
      <c r="R1108" s="42" t="inlineStr">
        <is>
          <t>중개거래</t>
        </is>
      </c>
      <c r="S1108" s="42" t="inlineStr">
        <is>
          <t>서울 서초구</t>
        </is>
      </c>
      <c r="T1108" s="41" t="inlineStr">
        <is>
          <t>25.01.23</t>
        </is>
      </c>
      <c r="U1108" s="42" t="inlineStr">
        <is>
          <t>아파트</t>
        </is>
      </c>
    </row>
    <row r="1109" hidden="1" ht="14.25" customHeight="1">
      <c r="A1109" s="41" t="n">
        <v>576</v>
      </c>
      <c r="B1109" s="42" t="inlineStr">
        <is>
          <t>서울특별시 서초구 서초동</t>
        </is>
      </c>
      <c r="C1109" s="41" t="inlineStr">
        <is>
          <t>1487-115</t>
        </is>
      </c>
      <c r="D1109" s="41" t="inlineStr">
        <is>
          <t>1487</t>
        </is>
      </c>
      <c r="E1109" s="41" t="inlineStr">
        <is>
          <t>0115</t>
        </is>
      </c>
      <c r="F1109" s="42" t="inlineStr">
        <is>
          <t>연우</t>
        </is>
      </c>
      <c r="G1109" s="41" t="inlineStr">
        <is>
          <t>89.3500</t>
        </is>
      </c>
      <c r="H1109" s="41" t="inlineStr">
        <is>
          <t>202409</t>
        </is>
      </c>
      <c r="I1109" s="41" t="inlineStr">
        <is>
          <t>21</t>
        </is>
      </c>
      <c r="J1109" s="41" t="inlineStr">
        <is>
          <t>100,000</t>
        </is>
      </c>
      <c r="K1109" s="41" t="inlineStr">
        <is>
          <t>1</t>
        </is>
      </c>
      <c r="L1109" s="41" t="inlineStr">
        <is>
          <t>6</t>
        </is>
      </c>
      <c r="M1109" s="42" t="inlineStr">
        <is>
          <t>개인</t>
        </is>
      </c>
      <c r="N1109" s="42" t="inlineStr">
        <is>
          <t>개인</t>
        </is>
      </c>
      <c r="O1109" s="41" t="inlineStr">
        <is>
          <t>2015</t>
        </is>
      </c>
      <c r="P1109" s="42" t="inlineStr">
        <is>
          <t>명달로8길 8</t>
        </is>
      </c>
      <c r="Q1109" s="41" t="inlineStr">
        <is>
          <t>-</t>
        </is>
      </c>
      <c r="R1109" s="42" t="inlineStr">
        <is>
          <t>중개거래</t>
        </is>
      </c>
      <c r="S1109" s="42" t="inlineStr">
        <is>
          <t>서울 서초구</t>
        </is>
      </c>
      <c r="T1109" s="41" t="inlineStr">
        <is>
          <t>24.10.31</t>
        </is>
      </c>
      <c r="U1109" s="42" t="inlineStr">
        <is>
          <t>아파트</t>
        </is>
      </c>
    </row>
    <row r="1110" hidden="1" ht="14.25" customHeight="1">
      <c r="A1110" s="41" t="n">
        <v>577</v>
      </c>
      <c r="B1110" s="42" t="inlineStr">
        <is>
          <t>서울특별시 서초구 서초동</t>
        </is>
      </c>
      <c r="C1110" s="41" t="inlineStr">
        <is>
          <t>1682</t>
        </is>
      </c>
      <c r="D1110" s="41" t="inlineStr">
        <is>
          <t>1682</t>
        </is>
      </c>
      <c r="E1110" s="41" t="inlineStr">
        <is>
          <t>0000</t>
        </is>
      </c>
      <c r="F1110" s="42" t="inlineStr">
        <is>
          <t>서초래미안</t>
        </is>
      </c>
      <c r="G1110" s="41" t="inlineStr">
        <is>
          <t>84.9500</t>
        </is>
      </c>
      <c r="H1110" s="41" t="inlineStr">
        <is>
          <t>202409</t>
        </is>
      </c>
      <c r="I1110" s="41" t="inlineStr">
        <is>
          <t>21</t>
        </is>
      </c>
      <c r="J1110" s="41" t="inlineStr">
        <is>
          <t>230,000</t>
        </is>
      </c>
      <c r="K1110" s="41" t="inlineStr">
        <is>
          <t>104</t>
        </is>
      </c>
      <c r="L1110" s="41" t="inlineStr">
        <is>
          <t>5</t>
        </is>
      </c>
      <c r="M1110" s="42" t="inlineStr">
        <is>
          <t>개인</t>
        </is>
      </c>
      <c r="N1110" s="42" t="inlineStr">
        <is>
          <t>개인</t>
        </is>
      </c>
      <c r="O1110" s="41" t="inlineStr">
        <is>
          <t>2003</t>
        </is>
      </c>
      <c r="P1110" s="42" t="inlineStr">
        <is>
          <t>서초대로65길 13-10</t>
        </is>
      </c>
      <c r="Q1110" s="41" t="inlineStr">
        <is>
          <t>-</t>
        </is>
      </c>
      <c r="R1110" s="42" t="inlineStr">
        <is>
          <t>중개거래</t>
        </is>
      </c>
      <c r="S1110" s="42" t="inlineStr">
        <is>
          <t>서울 서초구</t>
        </is>
      </c>
      <c r="T1110" s="41" t="inlineStr">
        <is>
          <t>25.02.28</t>
        </is>
      </c>
      <c r="U1110" s="42" t="inlineStr">
        <is>
          <t>아파트</t>
        </is>
      </c>
    </row>
    <row r="1111" hidden="1" ht="14.25" customHeight="1">
      <c r="A1111" s="41" t="n">
        <v>578</v>
      </c>
      <c r="B1111" s="42" t="inlineStr">
        <is>
          <t>서울특별시 서초구 서초동</t>
        </is>
      </c>
      <c r="C1111" s="41" t="inlineStr">
        <is>
          <t>1757</t>
        </is>
      </c>
      <c r="D1111" s="41" t="inlineStr">
        <is>
          <t>1757</t>
        </is>
      </c>
      <c r="E1111" s="41" t="inlineStr">
        <is>
          <t>0000</t>
        </is>
      </c>
      <c r="F1111" s="42" t="inlineStr">
        <is>
          <t>서초그랑자이</t>
        </is>
      </c>
      <c r="G1111" s="41" t="inlineStr">
        <is>
          <t>119.4100</t>
        </is>
      </c>
      <c r="H1111" s="41" t="inlineStr">
        <is>
          <t>202409</t>
        </is>
      </c>
      <c r="I1111" s="41" t="inlineStr">
        <is>
          <t>21</t>
        </is>
      </c>
      <c r="J1111" s="41" t="inlineStr">
        <is>
          <t>425,000</t>
        </is>
      </c>
      <c r="K1111" s="41" t="inlineStr">
        <is>
          <t>106동</t>
        </is>
      </c>
      <c r="L1111" s="41" t="inlineStr">
        <is>
          <t>22</t>
        </is>
      </c>
      <c r="M1111" s="42" t="inlineStr">
        <is>
          <t>개인</t>
        </is>
      </c>
      <c r="N1111" s="42" t="inlineStr">
        <is>
          <t>개인</t>
        </is>
      </c>
      <c r="O1111" s="41" t="inlineStr">
        <is>
          <t>2021</t>
        </is>
      </c>
      <c r="P1111" s="42" t="inlineStr">
        <is>
          <t>효령로 391</t>
        </is>
      </c>
      <c r="Q1111" s="41" t="inlineStr">
        <is>
          <t>-</t>
        </is>
      </c>
      <c r="R1111" s="42" t="inlineStr">
        <is>
          <t>중개거래</t>
        </is>
      </c>
      <c r="S1111" s="42" t="inlineStr">
        <is>
          <t>서울 강남구, 서울 서초구</t>
        </is>
      </c>
      <c r="T1111" s="41" t="inlineStr">
        <is>
          <t>24.09.26</t>
        </is>
      </c>
      <c r="U1111" s="42" t="inlineStr">
        <is>
          <t>아파트</t>
        </is>
      </c>
    </row>
    <row r="1112" hidden="1" ht="14.25" customHeight="1">
      <c r="A1112" s="41" t="n">
        <v>579</v>
      </c>
      <c r="B1112" s="42" t="inlineStr">
        <is>
          <t>서울특별시 서초구 서초동</t>
        </is>
      </c>
      <c r="C1112" s="41" t="inlineStr">
        <is>
          <t>1755</t>
        </is>
      </c>
      <c r="D1112" s="41" t="inlineStr">
        <is>
          <t>1755</t>
        </is>
      </c>
      <c r="E1112" s="41" t="inlineStr">
        <is>
          <t>0000</t>
        </is>
      </c>
      <c r="F1112" s="42" t="inlineStr">
        <is>
          <t>래미안 리더스원</t>
        </is>
      </c>
      <c r="G1112" s="41" t="inlineStr">
        <is>
          <t>114.9400</t>
        </is>
      </c>
      <c r="H1112" s="41" t="inlineStr">
        <is>
          <t>202409</t>
        </is>
      </c>
      <c r="I1112" s="41" t="inlineStr">
        <is>
          <t>21</t>
        </is>
      </c>
      <c r="J1112" s="41" t="inlineStr">
        <is>
          <t>390,000</t>
        </is>
      </c>
      <c r="K1112" s="41" t="inlineStr">
        <is>
          <t>107동</t>
        </is>
      </c>
      <c r="L1112" s="41" t="inlineStr">
        <is>
          <t>16</t>
        </is>
      </c>
      <c r="M1112" s="42" t="inlineStr">
        <is>
          <t>개인</t>
        </is>
      </c>
      <c r="N1112" s="42" t="inlineStr">
        <is>
          <t>개인</t>
        </is>
      </c>
      <c r="O1112" s="41" t="inlineStr">
        <is>
          <t>2020</t>
        </is>
      </c>
      <c r="P1112" s="42" t="inlineStr">
        <is>
          <t>서운로 62</t>
        </is>
      </c>
      <c r="Q1112" s="41" t="inlineStr">
        <is>
          <t>-</t>
        </is>
      </c>
      <c r="R1112" s="42" t="inlineStr">
        <is>
          <t>중개거래</t>
        </is>
      </c>
      <c r="S1112" s="42" t="inlineStr">
        <is>
          <t>서울 서초구</t>
        </is>
      </c>
      <c r="T1112" s="41" t="inlineStr">
        <is>
          <t>24.10.17</t>
        </is>
      </c>
      <c r="U1112" s="42" t="inlineStr">
        <is>
          <t>아파트</t>
        </is>
      </c>
    </row>
    <row r="1113" hidden="1" ht="14.25" customHeight="1">
      <c r="A1113" s="41" t="n">
        <v>580</v>
      </c>
      <c r="B1113" s="42" t="inlineStr">
        <is>
          <t>서울특별시 서초구 서초동</t>
        </is>
      </c>
      <c r="C1113" s="41" t="inlineStr">
        <is>
          <t>1301-6</t>
        </is>
      </c>
      <c r="D1113" s="41" t="inlineStr">
        <is>
          <t>1301</t>
        </is>
      </c>
      <c r="E1113" s="41" t="inlineStr">
        <is>
          <t>0006</t>
        </is>
      </c>
      <c r="F1113" s="42" t="inlineStr">
        <is>
          <t>래미안서초스위트</t>
        </is>
      </c>
      <c r="G1113" s="41" t="inlineStr">
        <is>
          <t>95.7555</t>
        </is>
      </c>
      <c r="H1113" s="41" t="inlineStr">
        <is>
          <t>202409</t>
        </is>
      </c>
      <c r="I1113" s="41" t="inlineStr">
        <is>
          <t>21</t>
        </is>
      </c>
      <c r="J1113" s="41" t="inlineStr">
        <is>
          <t>272,500</t>
        </is>
      </c>
      <c r="K1113" s="41" t="inlineStr">
        <is>
          <t>102</t>
        </is>
      </c>
      <c r="L1113" s="41" t="inlineStr">
        <is>
          <t>16</t>
        </is>
      </c>
      <c r="M1113" s="42" t="inlineStr">
        <is>
          <t>개인</t>
        </is>
      </c>
      <c r="N1113" s="42" t="inlineStr">
        <is>
          <t>개인</t>
        </is>
      </c>
      <c r="O1113" s="41" t="inlineStr">
        <is>
          <t>2009</t>
        </is>
      </c>
      <c r="P1113" s="42" t="inlineStr">
        <is>
          <t>서운로 221</t>
        </is>
      </c>
      <c r="Q1113" s="41" t="inlineStr">
        <is>
          <t>-</t>
        </is>
      </c>
      <c r="R1113" s="42" t="inlineStr">
        <is>
          <t>중개거래</t>
        </is>
      </c>
      <c r="S1113" s="42" t="inlineStr">
        <is>
          <t>서울 서초구</t>
        </is>
      </c>
      <c r="T1113" s="41" t="inlineStr">
        <is>
          <t>25.01.10</t>
        </is>
      </c>
      <c r="U1113" s="42" t="inlineStr">
        <is>
          <t>아파트</t>
        </is>
      </c>
    </row>
    <row r="1114" hidden="1" ht="14.25" customHeight="1">
      <c r="A1114" s="41" t="n">
        <v>581</v>
      </c>
      <c r="B1114" s="42" t="inlineStr">
        <is>
          <t>서울특별시 서초구 서초동</t>
        </is>
      </c>
      <c r="C1114" s="41" t="inlineStr">
        <is>
          <t>1642-34</t>
        </is>
      </c>
      <c r="D1114" s="41" t="inlineStr">
        <is>
          <t>1642</t>
        </is>
      </c>
      <c r="E1114" s="41" t="inlineStr">
        <is>
          <t>0034</t>
        </is>
      </c>
      <c r="F1114" s="42" t="inlineStr">
        <is>
          <t>래미안서초7차</t>
        </is>
      </c>
      <c r="G1114" s="41" t="inlineStr">
        <is>
          <t>110.6800</t>
        </is>
      </c>
      <c r="H1114" s="41" t="inlineStr">
        <is>
          <t>202409</t>
        </is>
      </c>
      <c r="I1114" s="41" t="inlineStr">
        <is>
          <t>20</t>
        </is>
      </c>
      <c r="J1114" s="41" t="inlineStr">
        <is>
          <t>185,000</t>
        </is>
      </c>
      <c r="K1114" s="41" t="inlineStr">
        <is>
          <t>102</t>
        </is>
      </c>
      <c r="L1114" s="41" t="inlineStr">
        <is>
          <t>1</t>
        </is>
      </c>
      <c r="M1114" s="42" t="inlineStr">
        <is>
          <t>개인</t>
        </is>
      </c>
      <c r="N1114" s="42" t="inlineStr">
        <is>
          <t>개인</t>
        </is>
      </c>
      <c r="O1114" s="41" t="inlineStr">
        <is>
          <t>2006</t>
        </is>
      </c>
      <c r="P1114" s="42" t="inlineStr">
        <is>
          <t>사임당로17길 80</t>
        </is>
      </c>
      <c r="Q1114" s="41" t="inlineStr">
        <is>
          <t>-</t>
        </is>
      </c>
      <c r="R1114" s="42" t="inlineStr">
        <is>
          <t>중개거래</t>
        </is>
      </c>
      <c r="S1114" s="42" t="inlineStr">
        <is>
          <t>서울 서초구</t>
        </is>
      </c>
      <c r="T1114" s="41" t="inlineStr">
        <is>
          <t>24.12.20</t>
        </is>
      </c>
      <c r="U1114" s="42" t="inlineStr">
        <is>
          <t>아파트</t>
        </is>
      </c>
    </row>
    <row r="1115" hidden="1" ht="14.25" customHeight="1">
      <c r="A1115" s="41" t="n">
        <v>582</v>
      </c>
      <c r="B1115" s="42" t="inlineStr">
        <is>
          <t>서울특별시 서초구 서초동</t>
        </is>
      </c>
      <c r="C1115" s="41" t="inlineStr">
        <is>
          <t>1445-4</t>
        </is>
      </c>
      <c r="D1115" s="41" t="inlineStr">
        <is>
          <t>1445</t>
        </is>
      </c>
      <c r="E1115" s="41" t="inlineStr">
        <is>
          <t>0004</t>
        </is>
      </c>
      <c r="F1115" s="42" t="inlineStr">
        <is>
          <t>래미안서초유니빌</t>
        </is>
      </c>
      <c r="G1115" s="41" t="inlineStr">
        <is>
          <t>45.2550</t>
        </is>
      </c>
      <c r="H1115" s="41" t="inlineStr">
        <is>
          <t>202409</t>
        </is>
      </c>
      <c r="I1115" s="41" t="inlineStr">
        <is>
          <t>20</t>
        </is>
      </c>
      <c r="J1115" s="41" t="inlineStr">
        <is>
          <t>45,000</t>
        </is>
      </c>
      <c r="K1115" s="42" t="inlineStr">
        <is>
          <t>래미안 서초유니빌</t>
        </is>
      </c>
      <c r="L1115" s="41" t="inlineStr">
        <is>
          <t>4</t>
        </is>
      </c>
      <c r="M1115" s="42" t="inlineStr">
        <is>
          <t>개인</t>
        </is>
      </c>
      <c r="N1115" s="42" t="inlineStr">
        <is>
          <t>개인</t>
        </is>
      </c>
      <c r="O1115" s="41" t="inlineStr">
        <is>
          <t>2003</t>
        </is>
      </c>
      <c r="P1115" s="42" t="inlineStr">
        <is>
          <t>서초중앙로 26</t>
        </is>
      </c>
      <c r="Q1115" s="41" t="inlineStr">
        <is>
          <t>-</t>
        </is>
      </c>
      <c r="R1115" s="42" t="inlineStr">
        <is>
          <t>중개거래</t>
        </is>
      </c>
      <c r="S1115" s="42" t="inlineStr">
        <is>
          <t>서울 서초구</t>
        </is>
      </c>
      <c r="T1115" s="41" t="inlineStr">
        <is>
          <t>24.11.08</t>
        </is>
      </c>
      <c r="U1115" s="42" t="inlineStr">
        <is>
          <t>아파트</t>
        </is>
      </c>
    </row>
    <row r="1116" hidden="1" ht="14.25" customHeight="1">
      <c r="A1116" s="41" t="n">
        <v>583</v>
      </c>
      <c r="B1116" s="42" t="inlineStr">
        <is>
          <t>서울특별시 서초구 서초동</t>
        </is>
      </c>
      <c r="C1116" s="41" t="inlineStr">
        <is>
          <t>1675-11</t>
        </is>
      </c>
      <c r="D1116" s="41" t="inlineStr">
        <is>
          <t>1675</t>
        </is>
      </c>
      <c r="E1116" s="41" t="inlineStr">
        <is>
          <t>0011</t>
        </is>
      </c>
      <c r="F1116" s="42" t="inlineStr">
        <is>
          <t>서초대우아이빌</t>
        </is>
      </c>
      <c r="G1116" s="41" t="inlineStr">
        <is>
          <t>50.2120</t>
        </is>
      </c>
      <c r="H1116" s="41" t="inlineStr">
        <is>
          <t>202409</t>
        </is>
      </c>
      <c r="I1116" s="41" t="inlineStr">
        <is>
          <t>18</t>
        </is>
      </c>
      <c r="J1116" s="41" t="inlineStr">
        <is>
          <t>52,000</t>
        </is>
      </c>
      <c r="K1116" s="42" t="inlineStr">
        <is>
          <t>서초 대우아이빌</t>
        </is>
      </c>
      <c r="L1116" s="41" t="inlineStr">
        <is>
          <t>8</t>
        </is>
      </c>
      <c r="M1116" s="42" t="inlineStr">
        <is>
          <t>개인</t>
        </is>
      </c>
      <c r="N1116" s="42" t="inlineStr">
        <is>
          <t>개인</t>
        </is>
      </c>
      <c r="O1116" s="41" t="inlineStr">
        <is>
          <t>2003</t>
        </is>
      </c>
      <c r="P1116" s="42" t="inlineStr">
        <is>
          <t>서초대로58길 10</t>
        </is>
      </c>
      <c r="Q1116" s="41" t="inlineStr">
        <is>
          <t>-</t>
        </is>
      </c>
      <c r="R1116" s="42" t="inlineStr">
        <is>
          <t>중개거래</t>
        </is>
      </c>
      <c r="S1116" s="42" t="inlineStr">
        <is>
          <t>서울 서초구</t>
        </is>
      </c>
      <c r="T1116" s="41" t="inlineStr">
        <is>
          <t>24.11.29</t>
        </is>
      </c>
      <c r="U1116" s="42" t="inlineStr">
        <is>
          <t>아파트</t>
        </is>
      </c>
    </row>
    <row r="1117" hidden="1" ht="14.25" customHeight="1">
      <c r="A1117" s="41" t="n">
        <v>584</v>
      </c>
      <c r="B1117" s="42" t="inlineStr">
        <is>
          <t>서울특별시 서초구 서초동</t>
        </is>
      </c>
      <c r="C1117" s="41" t="inlineStr">
        <is>
          <t>1686-9</t>
        </is>
      </c>
      <c r="D1117" s="41" t="inlineStr">
        <is>
          <t>1686</t>
        </is>
      </c>
      <c r="E1117" s="41" t="inlineStr">
        <is>
          <t>0009</t>
        </is>
      </c>
      <c r="F1117" s="42" t="inlineStr">
        <is>
          <t>서초교대e편한세상</t>
        </is>
      </c>
      <c r="G1117" s="41" t="inlineStr">
        <is>
          <t>59.9000</t>
        </is>
      </c>
      <c r="H1117" s="41" t="inlineStr">
        <is>
          <t>202409</t>
        </is>
      </c>
      <c r="I1117" s="41" t="inlineStr">
        <is>
          <t>14</t>
        </is>
      </c>
      <c r="J1117" s="41" t="inlineStr">
        <is>
          <t>215,000</t>
        </is>
      </c>
      <c r="K1117" s="41" t="inlineStr">
        <is>
          <t>105</t>
        </is>
      </c>
      <c r="L1117" s="41" t="inlineStr">
        <is>
          <t>7</t>
        </is>
      </c>
      <c r="M1117" s="42" t="inlineStr">
        <is>
          <t>개인</t>
        </is>
      </c>
      <c r="N1117" s="42" t="inlineStr">
        <is>
          <t>개인</t>
        </is>
      </c>
      <c r="O1117" s="41" t="inlineStr">
        <is>
          <t>2010</t>
        </is>
      </c>
      <c r="P1117" s="42" t="inlineStr">
        <is>
          <t>서초중앙로24길 33</t>
        </is>
      </c>
      <c r="Q1117" s="41" t="inlineStr">
        <is>
          <t>-</t>
        </is>
      </c>
      <c r="R1117" s="42" t="inlineStr">
        <is>
          <t>중개거래</t>
        </is>
      </c>
      <c r="S1117" s="42" t="inlineStr">
        <is>
          <t>서울 서초구</t>
        </is>
      </c>
      <c r="T1117" s="41" t="inlineStr">
        <is>
          <t>25.02.14</t>
        </is>
      </c>
      <c r="U1117" s="42" t="inlineStr">
        <is>
          <t>아파트</t>
        </is>
      </c>
    </row>
    <row r="1118" hidden="1" ht="14.25" customHeight="1">
      <c r="A1118" s="41" t="n">
        <v>585</v>
      </c>
      <c r="B1118" s="42" t="inlineStr">
        <is>
          <t>서울특별시 서초구 서초동</t>
        </is>
      </c>
      <c r="C1118" s="41" t="inlineStr">
        <is>
          <t>1333</t>
        </is>
      </c>
      <c r="D1118" s="41" t="inlineStr">
        <is>
          <t>1333</t>
        </is>
      </c>
      <c r="E1118" s="41" t="inlineStr">
        <is>
          <t>0000</t>
        </is>
      </c>
      <c r="F1118" s="42" t="inlineStr">
        <is>
          <t>신동아아파트(1차)</t>
        </is>
      </c>
      <c r="G1118" s="41" t="inlineStr">
        <is>
          <t>132.1000</t>
        </is>
      </c>
      <c r="H1118" s="41" t="inlineStr">
        <is>
          <t>202409</t>
        </is>
      </c>
      <c r="I1118" s="41" t="inlineStr">
        <is>
          <t>14</t>
        </is>
      </c>
      <c r="J1118" s="41" t="inlineStr">
        <is>
          <t>297,500</t>
        </is>
      </c>
      <c r="K1118" s="41" t="inlineStr">
        <is>
          <t>2</t>
        </is>
      </c>
      <c r="L1118" s="41" t="inlineStr">
        <is>
          <t>12</t>
        </is>
      </c>
      <c r="M1118" s="42" t="inlineStr">
        <is>
          <t>개인</t>
        </is>
      </c>
      <c r="N1118" s="42" t="inlineStr">
        <is>
          <t>개인</t>
        </is>
      </c>
      <c r="O1118" s="41" t="inlineStr">
        <is>
          <t>1978</t>
        </is>
      </c>
      <c r="P1118" s="42" t="inlineStr">
        <is>
          <t>사임당로 137</t>
        </is>
      </c>
      <c r="Q1118" s="41" t="inlineStr">
        <is>
          <t>-</t>
        </is>
      </c>
      <c r="R1118" s="42" t="inlineStr">
        <is>
          <t>중개거래</t>
        </is>
      </c>
      <c r="S1118" s="42" t="inlineStr">
        <is>
          <t>서울 서초구</t>
        </is>
      </c>
      <c r="T1118" s="41" t="inlineStr">
        <is>
          <t>24.10.31</t>
        </is>
      </c>
      <c r="U1118" s="42" t="inlineStr">
        <is>
          <t>아파트</t>
        </is>
      </c>
    </row>
    <row r="1119" hidden="1" ht="14.25" customHeight="1">
      <c r="A1119" s="41" t="n">
        <v>586</v>
      </c>
      <c r="B1119" s="42" t="inlineStr">
        <is>
          <t>서울특별시 서초구 서초동</t>
        </is>
      </c>
      <c r="C1119" s="41" t="inlineStr">
        <is>
          <t>1755</t>
        </is>
      </c>
      <c r="D1119" s="41" t="inlineStr">
        <is>
          <t>1755</t>
        </is>
      </c>
      <c r="E1119" s="41" t="inlineStr">
        <is>
          <t>0000</t>
        </is>
      </c>
      <c r="F1119" s="42" t="inlineStr">
        <is>
          <t>래미안 리더스원</t>
        </is>
      </c>
      <c r="G1119" s="41" t="inlineStr">
        <is>
          <t>59.9700</t>
        </is>
      </c>
      <c r="H1119" s="41" t="inlineStr">
        <is>
          <t>202409</t>
        </is>
      </c>
      <c r="I1119" s="41" t="inlineStr">
        <is>
          <t>14</t>
        </is>
      </c>
      <c r="J1119" s="41" t="inlineStr">
        <is>
          <t>270,000</t>
        </is>
      </c>
      <c r="K1119" s="41" t="inlineStr">
        <is>
          <t>110동</t>
        </is>
      </c>
      <c r="L1119" s="41" t="inlineStr">
        <is>
          <t>14</t>
        </is>
      </c>
      <c r="M1119" s="42" t="inlineStr">
        <is>
          <t>개인</t>
        </is>
      </c>
      <c r="N1119" s="42" t="inlineStr">
        <is>
          <t>개인</t>
        </is>
      </c>
      <c r="O1119" s="41" t="inlineStr">
        <is>
          <t>2020</t>
        </is>
      </c>
      <c r="P1119" s="42" t="inlineStr">
        <is>
          <t>서운로 62</t>
        </is>
      </c>
      <c r="Q1119" s="41" t="inlineStr">
        <is>
          <t>-</t>
        </is>
      </c>
      <c r="R1119" s="42" t="inlineStr">
        <is>
          <t>중개거래</t>
        </is>
      </c>
      <c r="S1119" s="42" t="inlineStr">
        <is>
          <t>서울 강남구, 서울 서초구</t>
        </is>
      </c>
      <c r="T1119" s="41" t="inlineStr">
        <is>
          <t>24.12.12</t>
        </is>
      </c>
      <c r="U1119" s="42" t="inlineStr">
        <is>
          <t>아파트</t>
        </is>
      </c>
    </row>
    <row r="1120" hidden="1" ht="14.25" customHeight="1">
      <c r="A1120" s="41" t="n">
        <v>587</v>
      </c>
      <c r="B1120" s="42" t="inlineStr">
        <is>
          <t>서울특별시 서초구 서초동</t>
        </is>
      </c>
      <c r="C1120" s="41" t="inlineStr">
        <is>
          <t>1686-9</t>
        </is>
      </c>
      <c r="D1120" s="41" t="inlineStr">
        <is>
          <t>1686</t>
        </is>
      </c>
      <c r="E1120" s="41" t="inlineStr">
        <is>
          <t>0009</t>
        </is>
      </c>
      <c r="F1120" s="42" t="inlineStr">
        <is>
          <t>서초교대e편한세상</t>
        </is>
      </c>
      <c r="G1120" s="41" t="inlineStr">
        <is>
          <t>84.9700</t>
        </is>
      </c>
      <c r="H1120" s="41" t="inlineStr">
        <is>
          <t>202409</t>
        </is>
      </c>
      <c r="I1120" s="41" t="inlineStr">
        <is>
          <t>14</t>
        </is>
      </c>
      <c r="J1120" s="41" t="inlineStr">
        <is>
          <t>243,000</t>
        </is>
      </c>
      <c r="K1120" s="41" t="inlineStr">
        <is>
          <t>101</t>
        </is>
      </c>
      <c r="L1120" s="41" t="inlineStr">
        <is>
          <t>2</t>
        </is>
      </c>
      <c r="M1120" s="42" t="inlineStr">
        <is>
          <t>개인</t>
        </is>
      </c>
      <c r="N1120" s="42" t="inlineStr">
        <is>
          <t>개인</t>
        </is>
      </c>
      <c r="O1120" s="41" t="inlineStr">
        <is>
          <t>2010</t>
        </is>
      </c>
      <c r="P1120" s="42" t="inlineStr">
        <is>
          <t>서초중앙로24길 33</t>
        </is>
      </c>
      <c r="Q1120" s="41" t="inlineStr">
        <is>
          <t>-</t>
        </is>
      </c>
      <c r="R1120" s="42" t="inlineStr">
        <is>
          <t>중개거래</t>
        </is>
      </c>
      <c r="S1120" s="42" t="inlineStr">
        <is>
          <t>서울 서초구</t>
        </is>
      </c>
      <c r="T1120" s="41" t="inlineStr">
        <is>
          <t>25.02.14</t>
        </is>
      </c>
      <c r="U1120" s="42" t="inlineStr">
        <is>
          <t>아파트</t>
        </is>
      </c>
    </row>
    <row r="1121" hidden="1" ht="14.25" customHeight="1">
      <c r="A1121" s="41" t="n">
        <v>588</v>
      </c>
      <c r="B1121" s="42" t="inlineStr">
        <is>
          <t>서울특별시 서초구 서초동</t>
        </is>
      </c>
      <c r="C1121" s="41" t="inlineStr">
        <is>
          <t>1685-3</t>
        </is>
      </c>
      <c r="D1121" s="41" t="inlineStr">
        <is>
          <t>1685</t>
        </is>
      </c>
      <c r="E1121" s="41" t="inlineStr">
        <is>
          <t>0003</t>
        </is>
      </c>
      <c r="F1121" s="42" t="inlineStr">
        <is>
          <t>아크로비스타</t>
        </is>
      </c>
      <c r="G1121" s="41" t="inlineStr">
        <is>
          <t>149.1700</t>
        </is>
      </c>
      <c r="H1121" s="41" t="inlineStr">
        <is>
          <t>202409</t>
        </is>
      </c>
      <c r="I1121" s="41" t="inlineStr">
        <is>
          <t>13</t>
        </is>
      </c>
      <c r="J1121" s="41" t="inlineStr">
        <is>
          <t>329,000</t>
        </is>
      </c>
      <c r="K1121" s="41" t="inlineStr">
        <is>
          <t>C</t>
        </is>
      </c>
      <c r="L1121" s="41" t="inlineStr">
        <is>
          <t>27</t>
        </is>
      </c>
      <c r="M1121" s="42" t="inlineStr">
        <is>
          <t>개인</t>
        </is>
      </c>
      <c r="N1121" s="42" t="inlineStr">
        <is>
          <t>개인</t>
        </is>
      </c>
      <c r="O1121" s="41" t="inlineStr">
        <is>
          <t>2004</t>
        </is>
      </c>
      <c r="P1121" s="42" t="inlineStr">
        <is>
          <t>서초중앙로 188</t>
        </is>
      </c>
      <c r="Q1121" s="41" t="inlineStr">
        <is>
          <t>-</t>
        </is>
      </c>
      <c r="R1121" s="42" t="inlineStr">
        <is>
          <t>중개거래</t>
        </is>
      </c>
      <c r="S1121" s="42" t="inlineStr">
        <is>
          <t>서울 서초구</t>
        </is>
      </c>
      <c r="T1121" s="41" t="inlineStr">
        <is>
          <t>25.01.15</t>
        </is>
      </c>
      <c r="U1121" s="42" t="inlineStr">
        <is>
          <t>아파트</t>
        </is>
      </c>
    </row>
    <row r="1122" hidden="1" ht="14.25" customHeight="1">
      <c r="A1122" s="41" t="n">
        <v>589</v>
      </c>
      <c r="B1122" s="42" t="inlineStr">
        <is>
          <t>서울특별시 서초구 서초동</t>
        </is>
      </c>
      <c r="C1122" s="41" t="inlineStr">
        <is>
          <t>1346</t>
        </is>
      </c>
      <c r="D1122" s="41" t="inlineStr">
        <is>
          <t>1346</t>
        </is>
      </c>
      <c r="E1122" s="41" t="inlineStr">
        <is>
          <t>0000</t>
        </is>
      </c>
      <c r="F1122" s="42" t="inlineStr">
        <is>
          <t>현대아파트</t>
        </is>
      </c>
      <c r="G1122" s="41" t="inlineStr">
        <is>
          <t>84.3400</t>
        </is>
      </c>
      <c r="H1122" s="41" t="inlineStr">
        <is>
          <t>202409</t>
        </is>
      </c>
      <c r="I1122" s="41" t="inlineStr">
        <is>
          <t>13</t>
        </is>
      </c>
      <c r="J1122" s="41" t="inlineStr">
        <is>
          <t>175,000</t>
        </is>
      </c>
      <c r="K1122" s="41" t="inlineStr">
        <is>
          <t>21</t>
        </is>
      </c>
      <c r="L1122" s="41" t="inlineStr">
        <is>
          <t>3</t>
        </is>
      </c>
      <c r="M1122" s="42" t="inlineStr">
        <is>
          <t>개인</t>
        </is>
      </c>
      <c r="N1122" s="42" t="inlineStr">
        <is>
          <t>개인</t>
        </is>
      </c>
      <c r="O1122" s="41" t="inlineStr">
        <is>
          <t>1989</t>
        </is>
      </c>
      <c r="P1122" s="42" t="inlineStr">
        <is>
          <t>효령로68길 13</t>
        </is>
      </c>
      <c r="Q1122" s="41" t="inlineStr">
        <is>
          <t>-</t>
        </is>
      </c>
      <c r="R1122" s="42" t="inlineStr">
        <is>
          <t>중개거래</t>
        </is>
      </c>
      <c r="S1122" s="42" t="inlineStr">
        <is>
          <t>서울 서초구</t>
        </is>
      </c>
      <c r="T1122" s="41" t="inlineStr">
        <is>
          <t>24.12.30</t>
        </is>
      </c>
      <c r="U1122" s="42" t="inlineStr">
        <is>
          <t>아파트</t>
        </is>
      </c>
    </row>
    <row r="1123" hidden="1" ht="14.25" customHeight="1">
      <c r="A1123" s="41" t="n">
        <v>590</v>
      </c>
      <c r="B1123" s="42" t="inlineStr">
        <is>
          <t>서울특별시 서초구 서초동</t>
        </is>
      </c>
      <c r="C1123" s="41" t="inlineStr">
        <is>
          <t>1685</t>
        </is>
      </c>
      <c r="D1123" s="41" t="inlineStr">
        <is>
          <t>1685</t>
        </is>
      </c>
      <c r="E1123" s="41" t="inlineStr">
        <is>
          <t>0000</t>
        </is>
      </c>
      <c r="F1123" s="42" t="inlineStr">
        <is>
          <t>삼풍아파트</t>
        </is>
      </c>
      <c r="G1123" s="41" t="inlineStr">
        <is>
          <t>79.4700</t>
        </is>
      </c>
      <c r="H1123" s="41" t="inlineStr">
        <is>
          <t>202409</t>
        </is>
      </c>
      <c r="I1123" s="41" t="inlineStr">
        <is>
          <t>13</t>
        </is>
      </c>
      <c r="J1123" s="41" t="inlineStr">
        <is>
          <t>275,000</t>
        </is>
      </c>
      <c r="K1123" s="41" t="inlineStr">
        <is>
          <t>9</t>
        </is>
      </c>
      <c r="L1123" s="41" t="inlineStr">
        <is>
          <t>11</t>
        </is>
      </c>
      <c r="M1123" s="42" t="inlineStr">
        <is>
          <t>개인</t>
        </is>
      </c>
      <c r="N1123" s="42" t="inlineStr">
        <is>
          <t>개인</t>
        </is>
      </c>
      <c r="O1123" s="41" t="inlineStr">
        <is>
          <t>1988</t>
        </is>
      </c>
      <c r="P1123" s="42" t="inlineStr">
        <is>
          <t>서초중앙로 200</t>
        </is>
      </c>
      <c r="Q1123" s="41" t="inlineStr">
        <is>
          <t>-</t>
        </is>
      </c>
      <c r="R1123" s="42" t="inlineStr">
        <is>
          <t>중개거래</t>
        </is>
      </c>
      <c r="S1123" s="42" t="inlineStr">
        <is>
          <t>서울 서초구</t>
        </is>
      </c>
      <c r="T1123" s="41" t="inlineStr">
        <is>
          <t>25.01.15</t>
        </is>
      </c>
      <c r="U1123" s="42" t="inlineStr">
        <is>
          <t>아파트</t>
        </is>
      </c>
    </row>
    <row r="1124" hidden="1" ht="14.25" customHeight="1">
      <c r="A1124" s="41" t="n">
        <v>591</v>
      </c>
      <c r="B1124" s="42" t="inlineStr">
        <is>
          <t>서울특별시 서초구 서초동</t>
        </is>
      </c>
      <c r="C1124" s="41" t="inlineStr">
        <is>
          <t>1685</t>
        </is>
      </c>
      <c r="D1124" s="41" t="inlineStr">
        <is>
          <t>1685</t>
        </is>
      </c>
      <c r="E1124" s="41" t="inlineStr">
        <is>
          <t>0000</t>
        </is>
      </c>
      <c r="F1124" s="42" t="inlineStr">
        <is>
          <t>삼풍아파트</t>
        </is>
      </c>
      <c r="G1124" s="41" t="inlineStr">
        <is>
          <t>79.4700</t>
        </is>
      </c>
      <c r="H1124" s="41" t="inlineStr">
        <is>
          <t>202409</t>
        </is>
      </c>
      <c r="I1124" s="41" t="inlineStr">
        <is>
          <t>13</t>
        </is>
      </c>
      <c r="J1124" s="41" t="inlineStr">
        <is>
          <t>275,000</t>
        </is>
      </c>
      <c r="K1124" s="41" t="inlineStr">
        <is>
          <t>-</t>
        </is>
      </c>
      <c r="L1124" s="41" t="inlineStr">
        <is>
          <t>11</t>
        </is>
      </c>
      <c r="M1124" s="42" t="inlineStr">
        <is>
          <t>개인</t>
        </is>
      </c>
      <c r="N1124" s="42" t="inlineStr">
        <is>
          <t>개인</t>
        </is>
      </c>
      <c r="O1124" s="41" t="inlineStr">
        <is>
          <t>1988</t>
        </is>
      </c>
      <c r="P1124" s="42" t="inlineStr">
        <is>
          <t>서초중앙로 200</t>
        </is>
      </c>
      <c r="Q1124" s="41" t="inlineStr">
        <is>
          <t>20240913</t>
        </is>
      </c>
      <c r="R1124" s="42" t="inlineStr">
        <is>
          <t>중개거래</t>
        </is>
      </c>
      <c r="S1124" s="42" t="inlineStr">
        <is>
          <t>서울 서초구</t>
        </is>
      </c>
      <c r="T1124" s="41" t="inlineStr">
        <is>
          <t>-</t>
        </is>
      </c>
      <c r="U1124" s="42" t="inlineStr">
        <is>
          <t>아파트</t>
        </is>
      </c>
    </row>
    <row r="1125" hidden="1" ht="14.25" customHeight="1">
      <c r="A1125" s="41" t="n">
        <v>592</v>
      </c>
      <c r="B1125" s="42" t="inlineStr">
        <is>
          <t>서울특별시 서초구 서초동</t>
        </is>
      </c>
      <c r="C1125" s="41" t="inlineStr">
        <is>
          <t>1311-10</t>
        </is>
      </c>
      <c r="D1125" s="41" t="inlineStr">
        <is>
          <t>1311</t>
        </is>
      </c>
      <c r="E1125" s="41" t="inlineStr">
        <is>
          <t>0010</t>
        </is>
      </c>
      <c r="F1125" s="42" t="inlineStr">
        <is>
          <t>서초푸르지오써밋</t>
        </is>
      </c>
      <c r="G1125" s="41" t="inlineStr">
        <is>
          <t>120.8600</t>
        </is>
      </c>
      <c r="H1125" s="41" t="inlineStr">
        <is>
          <t>202409</t>
        </is>
      </c>
      <c r="I1125" s="41" t="inlineStr">
        <is>
          <t>13</t>
        </is>
      </c>
      <c r="J1125" s="41" t="inlineStr">
        <is>
          <t>360,000</t>
        </is>
      </c>
      <c r="K1125" s="41" t="inlineStr">
        <is>
          <t>201</t>
        </is>
      </c>
      <c r="L1125" s="41" t="inlineStr">
        <is>
          <t>14</t>
        </is>
      </c>
      <c r="M1125" s="42" t="inlineStr">
        <is>
          <t>개인</t>
        </is>
      </c>
      <c r="N1125" s="42" t="inlineStr">
        <is>
          <t>개인</t>
        </is>
      </c>
      <c r="O1125" s="41" t="inlineStr">
        <is>
          <t>2017</t>
        </is>
      </c>
      <c r="P1125" s="42" t="inlineStr">
        <is>
          <t>서운로 212</t>
        </is>
      </c>
      <c r="Q1125" s="41" t="inlineStr">
        <is>
          <t>-</t>
        </is>
      </c>
      <c r="R1125" s="42" t="inlineStr">
        <is>
          <t>중개거래</t>
        </is>
      </c>
      <c r="S1125" s="42" t="inlineStr">
        <is>
          <t>서울 서초구</t>
        </is>
      </c>
      <c r="T1125" s="41" t="inlineStr">
        <is>
          <t>25.01.16</t>
        </is>
      </c>
      <c r="U1125" s="42" t="inlineStr">
        <is>
          <t>아파트</t>
        </is>
      </c>
    </row>
    <row r="1126" hidden="1" ht="14.25" customHeight="1">
      <c r="A1126" s="41" t="n">
        <v>593</v>
      </c>
      <c r="B1126" s="42" t="inlineStr">
        <is>
          <t>서울특별시 서초구 서초동</t>
        </is>
      </c>
      <c r="C1126" s="41" t="inlineStr">
        <is>
          <t>1446-11</t>
        </is>
      </c>
      <c r="D1126" s="41" t="inlineStr">
        <is>
          <t>1446</t>
        </is>
      </c>
      <c r="E1126" s="41" t="inlineStr">
        <is>
          <t>0011</t>
        </is>
      </c>
      <c r="F1126" s="42" t="inlineStr">
        <is>
          <t>현대슈퍼빌</t>
        </is>
      </c>
      <c r="G1126" s="41" t="inlineStr">
        <is>
          <t>214.9200</t>
        </is>
      </c>
      <c r="H1126" s="41" t="inlineStr">
        <is>
          <t>202409</t>
        </is>
      </c>
      <c r="I1126" s="41" t="inlineStr">
        <is>
          <t>12</t>
        </is>
      </c>
      <c r="J1126" s="41" t="inlineStr">
        <is>
          <t>315,000</t>
        </is>
      </c>
      <c r="K1126" s="41" t="inlineStr">
        <is>
          <t>B</t>
        </is>
      </c>
      <c r="L1126" s="41" t="inlineStr">
        <is>
          <t>3</t>
        </is>
      </c>
      <c r="M1126" s="42" t="inlineStr">
        <is>
          <t>개인</t>
        </is>
      </c>
      <c r="N1126" s="42" t="inlineStr">
        <is>
          <t>개인</t>
        </is>
      </c>
      <c r="O1126" s="41" t="inlineStr">
        <is>
          <t>2003</t>
        </is>
      </c>
      <c r="P1126" s="42" t="inlineStr">
        <is>
          <t>서초중앙로 15</t>
        </is>
      </c>
      <c r="Q1126" s="41" t="inlineStr">
        <is>
          <t>-</t>
        </is>
      </c>
      <c r="R1126" s="42" t="inlineStr">
        <is>
          <t>중개거래</t>
        </is>
      </c>
      <c r="S1126" s="42" t="inlineStr">
        <is>
          <t>서울 서초구</t>
        </is>
      </c>
      <c r="T1126" s="41" t="inlineStr">
        <is>
          <t>25.02.28</t>
        </is>
      </c>
      <c r="U1126" s="42" t="inlineStr">
        <is>
          <t>아파트</t>
        </is>
      </c>
    </row>
    <row r="1127" hidden="1" ht="14.25" customHeight="1">
      <c r="A1127" s="41" t="n">
        <v>594</v>
      </c>
      <c r="B1127" s="42" t="inlineStr">
        <is>
          <t>서울특별시 서초구 서초동</t>
        </is>
      </c>
      <c r="C1127" s="41" t="inlineStr">
        <is>
          <t>1641-13</t>
        </is>
      </c>
      <c r="D1127" s="41" t="inlineStr">
        <is>
          <t>1641</t>
        </is>
      </c>
      <c r="E1127" s="41" t="inlineStr">
        <is>
          <t>0013</t>
        </is>
      </c>
      <c r="F1127" s="42" t="inlineStr">
        <is>
          <t>아남</t>
        </is>
      </c>
      <c r="G1127" s="41" t="inlineStr">
        <is>
          <t>71.1000</t>
        </is>
      </c>
      <c r="H1127" s="41" t="inlineStr">
        <is>
          <t>202409</t>
        </is>
      </c>
      <c r="I1127" s="41" t="inlineStr">
        <is>
          <t>12</t>
        </is>
      </c>
      <c r="J1127" s="41" t="inlineStr">
        <is>
          <t>152,000</t>
        </is>
      </c>
      <c r="K1127" s="41" t="inlineStr">
        <is>
          <t>1</t>
        </is>
      </c>
      <c r="L1127" s="41" t="inlineStr">
        <is>
          <t>12</t>
        </is>
      </c>
      <c r="M1127" s="42" t="inlineStr">
        <is>
          <t>개인</t>
        </is>
      </c>
      <c r="N1127" s="42" t="inlineStr">
        <is>
          <t>개인</t>
        </is>
      </c>
      <c r="O1127" s="41" t="inlineStr">
        <is>
          <t>1989</t>
        </is>
      </c>
      <c r="P1127" s="42" t="inlineStr">
        <is>
          <t>사임당로23길 53</t>
        </is>
      </c>
      <c r="Q1127" s="41" t="inlineStr">
        <is>
          <t>-</t>
        </is>
      </c>
      <c r="R1127" s="42" t="inlineStr">
        <is>
          <t>중개거래</t>
        </is>
      </c>
      <c r="S1127" s="42" t="inlineStr">
        <is>
          <t>서울 강남구, 서울 서초구</t>
        </is>
      </c>
      <c r="T1127" s="41" t="inlineStr">
        <is>
          <t>25.01.10</t>
        </is>
      </c>
      <c r="U1127" s="42" t="inlineStr">
        <is>
          <t>아파트</t>
        </is>
      </c>
    </row>
    <row r="1128" hidden="1" ht="14.25" customHeight="1">
      <c r="A1128" s="41" t="n">
        <v>595</v>
      </c>
      <c r="B1128" s="42" t="inlineStr">
        <is>
          <t>서울특별시 서초구 서초동</t>
        </is>
      </c>
      <c r="C1128" s="41" t="inlineStr">
        <is>
          <t>1757</t>
        </is>
      </c>
      <c r="D1128" s="41" t="inlineStr">
        <is>
          <t>1757</t>
        </is>
      </c>
      <c r="E1128" s="41" t="inlineStr">
        <is>
          <t>0000</t>
        </is>
      </c>
      <c r="F1128" s="42" t="inlineStr">
        <is>
          <t>서초그랑자이</t>
        </is>
      </c>
      <c r="G1128" s="41" t="inlineStr">
        <is>
          <t>100.3100</t>
        </is>
      </c>
      <c r="H1128" s="41" t="inlineStr">
        <is>
          <t>202409</t>
        </is>
      </c>
      <c r="I1128" s="41" t="inlineStr">
        <is>
          <t>11</t>
        </is>
      </c>
      <c r="J1128" s="41" t="inlineStr">
        <is>
          <t>370,000</t>
        </is>
      </c>
      <c r="K1128" s="41" t="inlineStr">
        <is>
          <t>108동</t>
        </is>
      </c>
      <c r="L1128" s="41" t="inlineStr">
        <is>
          <t>21</t>
        </is>
      </c>
      <c r="M1128" s="42" t="inlineStr">
        <is>
          <t>개인</t>
        </is>
      </c>
      <c r="N1128" s="42" t="inlineStr">
        <is>
          <t>개인</t>
        </is>
      </c>
      <c r="O1128" s="41" t="inlineStr">
        <is>
          <t>2021</t>
        </is>
      </c>
      <c r="P1128" s="42" t="inlineStr">
        <is>
          <t>효령로 391</t>
        </is>
      </c>
      <c r="Q1128" s="41" t="inlineStr">
        <is>
          <t>-</t>
        </is>
      </c>
      <c r="R1128" s="42" t="inlineStr">
        <is>
          <t>중개거래</t>
        </is>
      </c>
      <c r="S1128" s="42" t="inlineStr">
        <is>
          <t>서울 강남구, 서울 서초구</t>
        </is>
      </c>
      <c r="T1128" s="41" t="inlineStr">
        <is>
          <t>24.11.18</t>
        </is>
      </c>
      <c r="U1128" s="42" t="inlineStr">
        <is>
          <t>아파트</t>
        </is>
      </c>
    </row>
    <row r="1129" hidden="1" ht="14.25" customHeight="1">
      <c r="A1129" s="41" t="n">
        <v>596</v>
      </c>
      <c r="B1129" s="42" t="inlineStr">
        <is>
          <t>서울특별시 서초구 서초동</t>
        </is>
      </c>
      <c r="C1129" s="41" t="inlineStr">
        <is>
          <t>1685-3</t>
        </is>
      </c>
      <c r="D1129" s="41" t="inlineStr">
        <is>
          <t>1685</t>
        </is>
      </c>
      <c r="E1129" s="41" t="inlineStr">
        <is>
          <t>0003</t>
        </is>
      </c>
      <c r="F1129" s="42" t="inlineStr">
        <is>
          <t>아크로비스타</t>
        </is>
      </c>
      <c r="G1129" s="41" t="inlineStr">
        <is>
          <t>205.0700</t>
        </is>
      </c>
      <c r="H1129" s="41" t="inlineStr">
        <is>
          <t>202409</t>
        </is>
      </c>
      <c r="I1129" s="41" t="inlineStr">
        <is>
          <t>11</t>
        </is>
      </c>
      <c r="J1129" s="41" t="inlineStr">
        <is>
          <t>447,000</t>
        </is>
      </c>
      <c r="K1129" s="41" t="inlineStr">
        <is>
          <t>B</t>
        </is>
      </c>
      <c r="L1129" s="41" t="inlineStr">
        <is>
          <t>30</t>
        </is>
      </c>
      <c r="M1129" s="42" t="inlineStr">
        <is>
          <t>개인</t>
        </is>
      </c>
      <c r="N1129" s="42" t="inlineStr">
        <is>
          <t>개인</t>
        </is>
      </c>
      <c r="O1129" s="41" t="inlineStr">
        <is>
          <t>2004</t>
        </is>
      </c>
      <c r="P1129" s="42" t="inlineStr">
        <is>
          <t>서초중앙로 188</t>
        </is>
      </c>
      <c r="Q1129" s="41" t="inlineStr">
        <is>
          <t>-</t>
        </is>
      </c>
      <c r="R1129" s="42" t="inlineStr">
        <is>
          <t>중개거래</t>
        </is>
      </c>
      <c r="S1129" s="42" t="inlineStr">
        <is>
          <t>서울 서초구</t>
        </is>
      </c>
      <c r="T1129" s="41" t="inlineStr">
        <is>
          <t>25.01.10</t>
        </is>
      </c>
      <c r="U1129" s="42" t="inlineStr">
        <is>
          <t>아파트</t>
        </is>
      </c>
    </row>
    <row r="1130" hidden="1" ht="14.25" customHeight="1">
      <c r="A1130" s="41" t="n">
        <v>597</v>
      </c>
      <c r="B1130" s="42" t="inlineStr">
        <is>
          <t>서울특별시 서초구 서초동</t>
        </is>
      </c>
      <c r="C1130" s="41" t="inlineStr">
        <is>
          <t>1757</t>
        </is>
      </c>
      <c r="D1130" s="41" t="inlineStr">
        <is>
          <t>1757</t>
        </is>
      </c>
      <c r="E1130" s="41" t="inlineStr">
        <is>
          <t>0000</t>
        </is>
      </c>
      <c r="F1130" s="42" t="inlineStr">
        <is>
          <t>서초그랑자이</t>
        </is>
      </c>
      <c r="G1130" s="41" t="inlineStr">
        <is>
          <t>84.5100</t>
        </is>
      </c>
      <c r="H1130" s="41" t="inlineStr">
        <is>
          <t>202409</t>
        </is>
      </c>
      <c r="I1130" s="41" t="inlineStr">
        <is>
          <t>11</t>
        </is>
      </c>
      <c r="J1130" s="41" t="inlineStr">
        <is>
          <t>335,000</t>
        </is>
      </c>
      <c r="K1130" s="41" t="inlineStr">
        <is>
          <t>102동</t>
        </is>
      </c>
      <c r="L1130" s="41" t="inlineStr">
        <is>
          <t>13</t>
        </is>
      </c>
      <c r="M1130" s="42" t="inlineStr">
        <is>
          <t>개인</t>
        </is>
      </c>
      <c r="N1130" s="42" t="inlineStr">
        <is>
          <t>개인</t>
        </is>
      </c>
      <c r="O1130" s="41" t="inlineStr">
        <is>
          <t>2021</t>
        </is>
      </c>
      <c r="P1130" s="42" t="inlineStr">
        <is>
          <t>효령로 391</t>
        </is>
      </c>
      <c r="Q1130" s="41" t="inlineStr">
        <is>
          <t>-</t>
        </is>
      </c>
      <c r="R1130" s="42" t="inlineStr">
        <is>
          <t>중개거래</t>
        </is>
      </c>
      <c r="S1130" s="42" t="inlineStr">
        <is>
          <t>서울 서초구</t>
        </is>
      </c>
      <c r="T1130" s="41" t="inlineStr">
        <is>
          <t>25.02.28</t>
        </is>
      </c>
      <c r="U1130" s="42" t="inlineStr">
        <is>
          <t>아파트</t>
        </is>
      </c>
    </row>
    <row r="1131" hidden="1" ht="14.25" customHeight="1">
      <c r="A1131" s="41" t="n">
        <v>598</v>
      </c>
      <c r="B1131" s="42" t="inlineStr">
        <is>
          <t>서울특별시 서초구 서초동</t>
        </is>
      </c>
      <c r="C1131" s="41" t="inlineStr">
        <is>
          <t>1332-13</t>
        </is>
      </c>
      <c r="D1131" s="41" t="inlineStr">
        <is>
          <t>1332</t>
        </is>
      </c>
      <c r="E1131" s="41" t="inlineStr">
        <is>
          <t>0013</t>
        </is>
      </c>
      <c r="F1131" s="42" t="inlineStr">
        <is>
          <t>래미안서초에스티지</t>
        </is>
      </c>
      <c r="G1131" s="41" t="inlineStr">
        <is>
          <t>83.6000</t>
        </is>
      </c>
      <c r="H1131" s="41" t="inlineStr">
        <is>
          <t>202409</t>
        </is>
      </c>
      <c r="I1131" s="41" t="inlineStr">
        <is>
          <t>10</t>
        </is>
      </c>
      <c r="J1131" s="41" t="inlineStr">
        <is>
          <t>288,000</t>
        </is>
      </c>
      <c r="K1131" s="41" t="inlineStr">
        <is>
          <t>102동</t>
        </is>
      </c>
      <c r="L1131" s="41" t="inlineStr">
        <is>
          <t>22</t>
        </is>
      </c>
      <c r="M1131" s="42" t="inlineStr">
        <is>
          <t>개인</t>
        </is>
      </c>
      <c r="N1131" s="42" t="inlineStr">
        <is>
          <t>개인</t>
        </is>
      </c>
      <c r="O1131" s="41" t="inlineStr">
        <is>
          <t>2016</t>
        </is>
      </c>
      <c r="P1131" s="42" t="inlineStr">
        <is>
          <t>서운로 107</t>
        </is>
      </c>
      <c r="Q1131" s="41" t="inlineStr">
        <is>
          <t>-</t>
        </is>
      </c>
      <c r="R1131" s="42" t="inlineStr">
        <is>
          <t>중개거래</t>
        </is>
      </c>
      <c r="S1131" s="42" t="inlineStr">
        <is>
          <t>서울 강남구, 서울 서초구</t>
        </is>
      </c>
      <c r="T1131" s="41" t="inlineStr">
        <is>
          <t>25.01.03</t>
        </is>
      </c>
      <c r="U1131" s="42" t="inlineStr">
        <is>
          <t>아파트</t>
        </is>
      </c>
    </row>
    <row r="1132" hidden="1" ht="14.25" customHeight="1">
      <c r="A1132" s="41" t="n">
        <v>599</v>
      </c>
      <c r="B1132" s="42" t="inlineStr">
        <is>
          <t>서울특별시 서초구 서초동</t>
        </is>
      </c>
      <c r="C1132" s="41" t="inlineStr">
        <is>
          <t>1671-5</t>
        </is>
      </c>
      <c r="D1132" s="41" t="inlineStr">
        <is>
          <t>1671</t>
        </is>
      </c>
      <c r="E1132" s="41" t="inlineStr">
        <is>
          <t>0005</t>
        </is>
      </c>
      <c r="F1132" s="42" t="inlineStr">
        <is>
          <t>대림서초리시온</t>
        </is>
      </c>
      <c r="G1132" s="41" t="inlineStr">
        <is>
          <t>49.9200</t>
        </is>
      </c>
      <c r="H1132" s="41" t="inlineStr">
        <is>
          <t>202409</t>
        </is>
      </c>
      <c r="I1132" s="41" t="inlineStr">
        <is>
          <t>10</t>
        </is>
      </c>
      <c r="J1132" s="41" t="inlineStr">
        <is>
          <t>53,000</t>
        </is>
      </c>
      <c r="K1132" s="41" t="inlineStr">
        <is>
          <t>-</t>
        </is>
      </c>
      <c r="L1132" s="41" t="inlineStr">
        <is>
          <t>5</t>
        </is>
      </c>
      <c r="M1132" s="42" t="inlineStr">
        <is>
          <t>개인</t>
        </is>
      </c>
      <c r="N1132" s="42" t="inlineStr">
        <is>
          <t>개인</t>
        </is>
      </c>
      <c r="O1132" s="41" t="inlineStr">
        <is>
          <t>2003</t>
        </is>
      </c>
      <c r="P1132" s="42" t="inlineStr">
        <is>
          <t>서초중앙로22길 25</t>
        </is>
      </c>
      <c r="Q1132" s="41" t="inlineStr">
        <is>
          <t>-</t>
        </is>
      </c>
      <c r="R1132" s="42" t="inlineStr">
        <is>
          <t>중개거래</t>
        </is>
      </c>
      <c r="S1132" s="42" t="inlineStr">
        <is>
          <t>서울 서초구</t>
        </is>
      </c>
      <c r="T1132" s="41" t="inlineStr">
        <is>
          <t>24.10.07</t>
        </is>
      </c>
      <c r="U1132" s="42" t="inlineStr">
        <is>
          <t>아파트</t>
        </is>
      </c>
    </row>
    <row r="1133" hidden="1" ht="14.25" customHeight="1">
      <c r="A1133" s="41" t="n">
        <v>600</v>
      </c>
      <c r="B1133" s="42" t="inlineStr">
        <is>
          <t>서울특별시 서초구 서초동</t>
        </is>
      </c>
      <c r="C1133" s="41" t="inlineStr">
        <is>
          <t>1667-2</t>
        </is>
      </c>
      <c r="D1133" s="41" t="inlineStr">
        <is>
          <t>1667</t>
        </is>
      </c>
      <c r="E1133" s="41" t="inlineStr">
        <is>
          <t>0002</t>
        </is>
      </c>
      <c r="F1133" s="42" t="inlineStr">
        <is>
          <t>서초예성그린캐슬</t>
        </is>
      </c>
      <c r="G1133" s="41" t="inlineStr">
        <is>
          <t>105.4900</t>
        </is>
      </c>
      <c r="H1133" s="41" t="inlineStr">
        <is>
          <t>202409</t>
        </is>
      </c>
      <c r="I1133" s="41" t="inlineStr">
        <is>
          <t>10</t>
        </is>
      </c>
      <c r="J1133" s="41" t="inlineStr">
        <is>
          <t>125,000</t>
        </is>
      </c>
      <c r="K1133" s="41" t="inlineStr">
        <is>
          <t>-</t>
        </is>
      </c>
      <c r="L1133" s="41" t="inlineStr">
        <is>
          <t>3</t>
        </is>
      </c>
      <c r="M1133" s="42" t="inlineStr">
        <is>
          <t>개인</t>
        </is>
      </c>
      <c r="N1133" s="42" t="inlineStr">
        <is>
          <t>개인</t>
        </is>
      </c>
      <c r="O1133" s="41" t="inlineStr">
        <is>
          <t>2003</t>
        </is>
      </c>
      <c r="P1133" s="42" t="inlineStr">
        <is>
          <t>서초대로58길 26</t>
        </is>
      </c>
      <c r="Q1133" s="41" t="inlineStr">
        <is>
          <t>-</t>
        </is>
      </c>
      <c r="R1133" s="42" t="inlineStr">
        <is>
          <t>중개거래</t>
        </is>
      </c>
      <c r="S1133" s="42" t="inlineStr">
        <is>
          <t>서울 서초구</t>
        </is>
      </c>
      <c r="T1133" s="41" t="inlineStr">
        <is>
          <t>24.10.14</t>
        </is>
      </c>
      <c r="U1133" s="42" t="inlineStr">
        <is>
          <t>아파트</t>
        </is>
      </c>
    </row>
    <row r="1134" hidden="1" ht="14.25" customHeight="1">
      <c r="A1134" s="41" t="n">
        <v>601</v>
      </c>
      <c r="B1134" s="42" t="inlineStr">
        <is>
          <t>서울특별시 서초구 서초동</t>
        </is>
      </c>
      <c r="C1134" s="41" t="inlineStr">
        <is>
          <t>1593-7</t>
        </is>
      </c>
      <c r="D1134" s="41" t="inlineStr">
        <is>
          <t>1593</t>
        </is>
      </c>
      <c r="E1134" s="41" t="inlineStr">
        <is>
          <t>0007</t>
        </is>
      </c>
      <c r="F1134" s="42" t="inlineStr">
        <is>
          <t>서초이오빌</t>
        </is>
      </c>
      <c r="G1134" s="41" t="inlineStr">
        <is>
          <t>45.9600</t>
        </is>
      </c>
      <c r="H1134" s="41" t="inlineStr">
        <is>
          <t>202409</t>
        </is>
      </c>
      <c r="I1134" s="41" t="inlineStr">
        <is>
          <t>10</t>
        </is>
      </c>
      <c r="J1134" s="41" t="inlineStr">
        <is>
          <t>40,500</t>
        </is>
      </c>
      <c r="K1134" s="41" t="inlineStr">
        <is>
          <t>-</t>
        </is>
      </c>
      <c r="L1134" s="41" t="inlineStr">
        <is>
          <t>11</t>
        </is>
      </c>
      <c r="M1134" s="42" t="inlineStr">
        <is>
          <t>개인</t>
        </is>
      </c>
      <c r="N1134" s="42" t="inlineStr">
        <is>
          <t>개인</t>
        </is>
      </c>
      <c r="O1134" s="41" t="inlineStr">
        <is>
          <t>2003</t>
        </is>
      </c>
      <c r="P1134" s="42" t="inlineStr">
        <is>
          <t>효령로53길 45</t>
        </is>
      </c>
      <c r="Q1134" s="41" t="inlineStr">
        <is>
          <t>-</t>
        </is>
      </c>
      <c r="R1134" s="42" t="inlineStr">
        <is>
          <t>중개거래</t>
        </is>
      </c>
      <c r="S1134" s="42" t="inlineStr">
        <is>
          <t>서울 서초구</t>
        </is>
      </c>
      <c r="T1134" s="41" t="inlineStr">
        <is>
          <t>25.01.10</t>
        </is>
      </c>
      <c r="U1134" s="42" t="inlineStr">
        <is>
          <t>아파트</t>
        </is>
      </c>
    </row>
    <row r="1135" hidden="1" ht="14.25" customHeight="1">
      <c r="A1135" s="41" t="n">
        <v>602</v>
      </c>
      <c r="B1135" s="42" t="inlineStr">
        <is>
          <t>서울특별시 서초구 서초동</t>
        </is>
      </c>
      <c r="C1135" s="41" t="inlineStr">
        <is>
          <t>1687</t>
        </is>
      </c>
      <c r="D1135" s="41" t="inlineStr">
        <is>
          <t>1687</t>
        </is>
      </c>
      <c r="E1135" s="41" t="inlineStr">
        <is>
          <t>0000</t>
        </is>
      </c>
      <c r="F1135" s="42" t="inlineStr">
        <is>
          <t>유원서초</t>
        </is>
      </c>
      <c r="G1135" s="41" t="inlineStr">
        <is>
          <t>84.8700</t>
        </is>
      </c>
      <c r="H1135" s="41" t="inlineStr">
        <is>
          <t>202409</t>
        </is>
      </c>
      <c r="I1135" s="41" t="inlineStr">
        <is>
          <t>10</t>
        </is>
      </c>
      <c r="J1135" s="41" t="inlineStr">
        <is>
          <t>205,000</t>
        </is>
      </c>
      <c r="K1135" s="41" t="inlineStr">
        <is>
          <t>102</t>
        </is>
      </c>
      <c r="L1135" s="41" t="inlineStr">
        <is>
          <t>14</t>
        </is>
      </c>
      <c r="M1135" s="42" t="inlineStr">
        <is>
          <t>개인</t>
        </is>
      </c>
      <c r="N1135" s="42" t="inlineStr">
        <is>
          <t>개인</t>
        </is>
      </c>
      <c r="O1135" s="41" t="inlineStr">
        <is>
          <t>1993</t>
        </is>
      </c>
      <c r="P1135" s="42" t="inlineStr">
        <is>
          <t>서초중앙로24길 43</t>
        </is>
      </c>
      <c r="Q1135" s="41" t="inlineStr">
        <is>
          <t>-</t>
        </is>
      </c>
      <c r="R1135" s="42" t="inlineStr">
        <is>
          <t>중개거래</t>
        </is>
      </c>
      <c r="S1135" s="42" t="inlineStr">
        <is>
          <t>서울 서초구</t>
        </is>
      </c>
      <c r="T1135" s="41" t="inlineStr">
        <is>
          <t>25.01.10</t>
        </is>
      </c>
      <c r="U1135" s="42" t="inlineStr">
        <is>
          <t>아파트</t>
        </is>
      </c>
    </row>
    <row r="1136" hidden="1" ht="14.25" customHeight="1">
      <c r="A1136" s="41" t="n">
        <v>603</v>
      </c>
      <c r="B1136" s="42" t="inlineStr">
        <is>
          <t>서울특별시 서초구 서초동</t>
        </is>
      </c>
      <c r="C1136" s="41" t="inlineStr">
        <is>
          <t>1582-3</t>
        </is>
      </c>
      <c r="D1136" s="41" t="inlineStr">
        <is>
          <t>1582</t>
        </is>
      </c>
      <c r="E1136" s="41" t="inlineStr">
        <is>
          <t>0003</t>
        </is>
      </c>
      <c r="F1136" s="42" t="inlineStr">
        <is>
          <t>서초센트럴IPARK</t>
        </is>
      </c>
      <c r="G1136" s="41" t="inlineStr">
        <is>
          <t>80.5332</t>
        </is>
      </c>
      <c r="H1136" s="41" t="inlineStr">
        <is>
          <t>202409</t>
        </is>
      </c>
      <c r="I1136" s="41" t="inlineStr">
        <is>
          <t>10</t>
        </is>
      </c>
      <c r="J1136" s="41" t="inlineStr">
        <is>
          <t>165,000</t>
        </is>
      </c>
      <c r="K1136" s="41" t="inlineStr">
        <is>
          <t>101동</t>
        </is>
      </c>
      <c r="L1136" s="41" t="inlineStr">
        <is>
          <t>4</t>
        </is>
      </c>
      <c r="M1136" s="42" t="inlineStr">
        <is>
          <t>개인</t>
        </is>
      </c>
      <c r="N1136" s="42" t="inlineStr">
        <is>
          <t>개인</t>
        </is>
      </c>
      <c r="O1136" s="41" t="inlineStr">
        <is>
          <t>2020</t>
        </is>
      </c>
      <c r="P1136" s="42" t="inlineStr">
        <is>
          <t>반포대로18길 36</t>
        </is>
      </c>
      <c r="Q1136" s="41" t="inlineStr">
        <is>
          <t>-</t>
        </is>
      </c>
      <c r="R1136" s="42" t="inlineStr">
        <is>
          <t>중개거래</t>
        </is>
      </c>
      <c r="S1136" s="42" t="inlineStr">
        <is>
          <t>서울 노원구, 서울 서초구</t>
        </is>
      </c>
      <c r="T1136" s="41" t="inlineStr">
        <is>
          <t>24.11.29</t>
        </is>
      </c>
      <c r="U1136" s="42" t="inlineStr">
        <is>
          <t>아파트</t>
        </is>
      </c>
    </row>
    <row r="1137" hidden="1" ht="14.25" customHeight="1">
      <c r="A1137" s="41" t="n">
        <v>604</v>
      </c>
      <c r="B1137" s="42" t="inlineStr">
        <is>
          <t>서울특별시 서초구 서초동</t>
        </is>
      </c>
      <c r="C1137" s="41" t="inlineStr">
        <is>
          <t>1529</t>
        </is>
      </c>
      <c r="D1137" s="41" t="inlineStr">
        <is>
          <t>1529</t>
        </is>
      </c>
      <c r="E1137" s="41" t="inlineStr">
        <is>
          <t>0000</t>
        </is>
      </c>
      <c r="F1137" s="42" t="inlineStr">
        <is>
          <t>서초2차e-편한세상</t>
        </is>
      </c>
      <c r="G1137" s="41" t="inlineStr">
        <is>
          <t>84.6700</t>
        </is>
      </c>
      <c r="H1137" s="41" t="inlineStr">
        <is>
          <t>202409</t>
        </is>
      </c>
      <c r="I1137" s="41" t="inlineStr">
        <is>
          <t>09</t>
        </is>
      </c>
      <c r="J1137" s="41" t="inlineStr">
        <is>
          <t>192,000</t>
        </is>
      </c>
      <c r="K1137" s="41" t="inlineStr">
        <is>
          <t>201</t>
        </is>
      </c>
      <c r="L1137" s="41" t="inlineStr">
        <is>
          <t>5</t>
        </is>
      </c>
      <c r="M1137" s="42" t="inlineStr">
        <is>
          <t>개인</t>
        </is>
      </c>
      <c r="N1137" s="42" t="inlineStr">
        <is>
          <t>개인</t>
        </is>
      </c>
      <c r="O1137" s="41" t="inlineStr">
        <is>
          <t>2005</t>
        </is>
      </c>
      <c r="P1137" s="42" t="inlineStr">
        <is>
          <t>효령로49길 57</t>
        </is>
      </c>
      <c r="Q1137" s="41" t="inlineStr">
        <is>
          <t>-</t>
        </is>
      </c>
      <c r="R1137" s="42" t="inlineStr">
        <is>
          <t>중개거래</t>
        </is>
      </c>
      <c r="S1137" s="42" t="inlineStr">
        <is>
          <t>서울 서초구</t>
        </is>
      </c>
      <c r="T1137" s="41" t="inlineStr">
        <is>
          <t>25.02.24</t>
        </is>
      </c>
      <c r="U1137" s="42" t="inlineStr">
        <is>
          <t>아파트</t>
        </is>
      </c>
    </row>
    <row r="1138" hidden="1" ht="14.25" customHeight="1">
      <c r="A1138" s="41" t="n">
        <v>605</v>
      </c>
      <c r="B1138" s="42" t="inlineStr">
        <is>
          <t>서울특별시 서초구 서초동</t>
        </is>
      </c>
      <c r="C1138" s="41" t="inlineStr">
        <is>
          <t>1682</t>
        </is>
      </c>
      <c r="D1138" s="41" t="inlineStr">
        <is>
          <t>1682</t>
        </is>
      </c>
      <c r="E1138" s="41" t="inlineStr">
        <is>
          <t>0000</t>
        </is>
      </c>
      <c r="F1138" s="42" t="inlineStr">
        <is>
          <t>서초래미안</t>
        </is>
      </c>
      <c r="G1138" s="41" t="inlineStr">
        <is>
          <t>84.9700</t>
        </is>
      </c>
      <c r="H1138" s="41" t="inlineStr">
        <is>
          <t>202409</t>
        </is>
      </c>
      <c r="I1138" s="41" t="inlineStr">
        <is>
          <t>09</t>
        </is>
      </c>
      <c r="J1138" s="41" t="inlineStr">
        <is>
          <t>235,000</t>
        </is>
      </c>
      <c r="K1138" s="41" t="inlineStr">
        <is>
          <t>103</t>
        </is>
      </c>
      <c r="L1138" s="41" t="inlineStr">
        <is>
          <t>26</t>
        </is>
      </c>
      <c r="M1138" s="42" t="inlineStr">
        <is>
          <t>개인</t>
        </is>
      </c>
      <c r="N1138" s="42" t="inlineStr">
        <is>
          <t>개인</t>
        </is>
      </c>
      <c r="O1138" s="41" t="inlineStr">
        <is>
          <t>2003</t>
        </is>
      </c>
      <c r="P1138" s="42" t="inlineStr">
        <is>
          <t>서초대로65길 13-10</t>
        </is>
      </c>
      <c r="Q1138" s="41" t="inlineStr">
        <is>
          <t>-</t>
        </is>
      </c>
      <c r="R1138" s="42" t="inlineStr">
        <is>
          <t>중개거래</t>
        </is>
      </c>
      <c r="S1138" s="42" t="inlineStr">
        <is>
          <t>서울 서초구</t>
        </is>
      </c>
      <c r="T1138" s="41" t="inlineStr">
        <is>
          <t>25.01.15</t>
        </is>
      </c>
      <c r="U1138" s="42" t="inlineStr">
        <is>
          <t>아파트</t>
        </is>
      </c>
    </row>
    <row r="1139" hidden="1" ht="14.25" customHeight="1">
      <c r="A1139" s="41" t="n">
        <v>606</v>
      </c>
      <c r="B1139" s="42" t="inlineStr">
        <is>
          <t>서울특별시 서초구 서초동</t>
        </is>
      </c>
      <c r="C1139" s="41" t="inlineStr">
        <is>
          <t>1685</t>
        </is>
      </c>
      <c r="D1139" s="41" t="inlineStr">
        <is>
          <t>1685</t>
        </is>
      </c>
      <c r="E1139" s="41" t="inlineStr">
        <is>
          <t>0000</t>
        </is>
      </c>
      <c r="F1139" s="42" t="inlineStr">
        <is>
          <t>삼풍아파트</t>
        </is>
      </c>
      <c r="G1139" s="41" t="inlineStr">
        <is>
          <t>79.4700</t>
        </is>
      </c>
      <c r="H1139" s="41" t="inlineStr">
        <is>
          <t>202409</t>
        </is>
      </c>
      <c r="I1139" s="41" t="inlineStr">
        <is>
          <t>09</t>
        </is>
      </c>
      <c r="J1139" s="41" t="inlineStr">
        <is>
          <t>275,000</t>
        </is>
      </c>
      <c r="K1139" s="41" t="inlineStr">
        <is>
          <t>7</t>
        </is>
      </c>
      <c r="L1139" s="41" t="inlineStr">
        <is>
          <t>8</t>
        </is>
      </c>
      <c r="M1139" s="42" t="inlineStr">
        <is>
          <t>개인</t>
        </is>
      </c>
      <c r="N1139" s="42" t="inlineStr">
        <is>
          <t>개인</t>
        </is>
      </c>
      <c r="O1139" s="41" t="inlineStr">
        <is>
          <t>1988</t>
        </is>
      </c>
      <c r="P1139" s="42" t="inlineStr">
        <is>
          <t>서초중앙로 200</t>
        </is>
      </c>
      <c r="Q1139" s="41" t="inlineStr">
        <is>
          <t>-</t>
        </is>
      </c>
      <c r="R1139" s="42" t="inlineStr">
        <is>
          <t>중개거래</t>
        </is>
      </c>
      <c r="S1139" s="42" t="inlineStr">
        <is>
          <t>서울 서초구</t>
        </is>
      </c>
      <c r="T1139" s="41" t="inlineStr">
        <is>
          <t>25.02.28</t>
        </is>
      </c>
      <c r="U1139" s="42" t="inlineStr">
        <is>
          <t>아파트</t>
        </is>
      </c>
    </row>
    <row r="1140" hidden="1" ht="14.25" customHeight="1">
      <c r="A1140" s="41" t="n">
        <v>607</v>
      </c>
      <c r="B1140" s="42" t="inlineStr">
        <is>
          <t>서울특별시 서초구 서초동</t>
        </is>
      </c>
      <c r="C1140" s="41" t="inlineStr">
        <is>
          <t>1757</t>
        </is>
      </c>
      <c r="D1140" s="41" t="inlineStr">
        <is>
          <t>1757</t>
        </is>
      </c>
      <c r="E1140" s="41" t="inlineStr">
        <is>
          <t>0000</t>
        </is>
      </c>
      <c r="F1140" s="42" t="inlineStr">
        <is>
          <t>서초그랑자이</t>
        </is>
      </c>
      <c r="G1140" s="41" t="inlineStr">
        <is>
          <t>100.4100</t>
        </is>
      </c>
      <c r="H1140" s="41" t="inlineStr">
        <is>
          <t>202409</t>
        </is>
      </c>
      <c r="I1140" s="41" t="inlineStr">
        <is>
          <t>09</t>
        </is>
      </c>
      <c r="J1140" s="41" t="inlineStr">
        <is>
          <t>368,000</t>
        </is>
      </c>
      <c r="K1140" s="41" t="inlineStr">
        <is>
          <t>106동</t>
        </is>
      </c>
      <c r="L1140" s="41" t="inlineStr">
        <is>
          <t>14</t>
        </is>
      </c>
      <c r="M1140" s="42" t="inlineStr">
        <is>
          <t>개인</t>
        </is>
      </c>
      <c r="N1140" s="42" t="inlineStr">
        <is>
          <t>개인</t>
        </is>
      </c>
      <c r="O1140" s="41" t="inlineStr">
        <is>
          <t>2021</t>
        </is>
      </c>
      <c r="P1140" s="42" t="inlineStr">
        <is>
          <t>효령로 391</t>
        </is>
      </c>
      <c r="Q1140" s="41" t="inlineStr">
        <is>
          <t>-</t>
        </is>
      </c>
      <c r="R1140" s="42" t="inlineStr">
        <is>
          <t>중개거래</t>
        </is>
      </c>
      <c r="S1140" s="42" t="inlineStr">
        <is>
          <t>서울 서초구</t>
        </is>
      </c>
      <c r="T1140" s="41" t="inlineStr">
        <is>
          <t>25.02.28</t>
        </is>
      </c>
      <c r="U1140" s="42" t="inlineStr">
        <is>
          <t>아파트</t>
        </is>
      </c>
    </row>
    <row r="1141" hidden="1" ht="14.25" customHeight="1">
      <c r="A1141" s="41" t="n">
        <v>608</v>
      </c>
      <c r="B1141" s="42" t="inlineStr">
        <is>
          <t>서울특별시 서초구 서초동</t>
        </is>
      </c>
      <c r="C1141" s="41" t="inlineStr">
        <is>
          <t>1301-6</t>
        </is>
      </c>
      <c r="D1141" s="41" t="inlineStr">
        <is>
          <t>1301</t>
        </is>
      </c>
      <c r="E1141" s="41" t="inlineStr">
        <is>
          <t>0006</t>
        </is>
      </c>
      <c r="F1141" s="42" t="inlineStr">
        <is>
          <t>래미안서초스위트</t>
        </is>
      </c>
      <c r="G1141" s="41" t="inlineStr">
        <is>
          <t>59.9958</t>
        </is>
      </c>
      <c r="H1141" s="41" t="inlineStr">
        <is>
          <t>202409</t>
        </is>
      </c>
      <c r="I1141" s="41" t="inlineStr">
        <is>
          <t>07</t>
        </is>
      </c>
      <c r="J1141" s="41" t="inlineStr">
        <is>
          <t>220,000</t>
        </is>
      </c>
      <c r="K1141" s="41" t="inlineStr">
        <is>
          <t>101</t>
        </is>
      </c>
      <c r="L1141" s="41" t="inlineStr">
        <is>
          <t>28</t>
        </is>
      </c>
      <c r="M1141" s="42" t="inlineStr">
        <is>
          <t>개인</t>
        </is>
      </c>
      <c r="N1141" s="42" t="inlineStr">
        <is>
          <t>개인</t>
        </is>
      </c>
      <c r="O1141" s="41" t="inlineStr">
        <is>
          <t>2009</t>
        </is>
      </c>
      <c r="P1141" s="42" t="inlineStr">
        <is>
          <t>서운로 221</t>
        </is>
      </c>
      <c r="Q1141" s="41" t="inlineStr">
        <is>
          <t>-</t>
        </is>
      </c>
      <c r="R1141" s="42" t="inlineStr">
        <is>
          <t>중개거래</t>
        </is>
      </c>
      <c r="S1141" s="42" t="inlineStr">
        <is>
          <t>서울 강남구, 서울 서초구</t>
        </is>
      </c>
      <c r="T1141" s="41" t="inlineStr">
        <is>
          <t>24.12.13</t>
        </is>
      </c>
      <c r="U1141" s="42" t="inlineStr">
        <is>
          <t>아파트</t>
        </is>
      </c>
    </row>
    <row r="1142" hidden="1" ht="14.25" customHeight="1">
      <c r="A1142" s="41" t="n">
        <v>609</v>
      </c>
      <c r="B1142" s="42" t="inlineStr">
        <is>
          <t>서울특별시 서초구 서초동</t>
        </is>
      </c>
      <c r="C1142" s="41" t="inlineStr">
        <is>
          <t>1513-5</t>
        </is>
      </c>
      <c r="D1142" s="41" t="inlineStr">
        <is>
          <t>1513</t>
        </is>
      </c>
      <c r="E1142" s="41" t="inlineStr">
        <is>
          <t>0005</t>
        </is>
      </c>
      <c r="F1142" s="42" t="inlineStr">
        <is>
          <t>스위트빌</t>
        </is>
      </c>
      <c r="G1142" s="41" t="inlineStr">
        <is>
          <t>84.6600</t>
        </is>
      </c>
      <c r="H1142" s="41" t="inlineStr">
        <is>
          <t>202409</t>
        </is>
      </c>
      <c r="I1142" s="41" t="inlineStr">
        <is>
          <t>07</t>
        </is>
      </c>
      <c r="J1142" s="41" t="inlineStr">
        <is>
          <t>110,000</t>
        </is>
      </c>
      <c r="K1142" s="41" t="inlineStr">
        <is>
          <t>-</t>
        </is>
      </c>
      <c r="L1142" s="41" t="inlineStr">
        <is>
          <t>4</t>
        </is>
      </c>
      <c r="M1142" s="42" t="inlineStr">
        <is>
          <t>개인</t>
        </is>
      </c>
      <c r="N1142" s="42" t="inlineStr">
        <is>
          <t>개인</t>
        </is>
      </c>
      <c r="O1142" s="41" t="inlineStr">
        <is>
          <t>2003</t>
        </is>
      </c>
      <c r="P1142" s="42" t="inlineStr">
        <is>
          <t>명달로20길 39</t>
        </is>
      </c>
      <c r="Q1142" s="41" t="inlineStr">
        <is>
          <t>-</t>
        </is>
      </c>
      <c r="R1142" s="42" t="inlineStr">
        <is>
          <t>중개거래</t>
        </is>
      </c>
      <c r="S1142" s="42" t="inlineStr">
        <is>
          <t>서울 서초구</t>
        </is>
      </c>
      <c r="T1142" s="41" t="inlineStr">
        <is>
          <t>25.03.19</t>
        </is>
      </c>
      <c r="U1142" s="42" t="inlineStr">
        <is>
          <t>아파트</t>
        </is>
      </c>
    </row>
    <row r="1143" hidden="1" ht="14.25" customHeight="1">
      <c r="A1143" s="41" t="n">
        <v>610</v>
      </c>
      <c r="B1143" s="42" t="inlineStr">
        <is>
          <t>서울특별시 서초구 서초동</t>
        </is>
      </c>
      <c r="C1143" s="41" t="inlineStr">
        <is>
          <t>1641-1</t>
        </is>
      </c>
      <c r="D1143" s="41" t="inlineStr">
        <is>
          <t>1641</t>
        </is>
      </c>
      <c r="E1143" s="41" t="inlineStr">
        <is>
          <t>0001</t>
        </is>
      </c>
      <c r="F1143" s="42" t="inlineStr">
        <is>
          <t>서초삼성래미안</t>
        </is>
      </c>
      <c r="G1143" s="41" t="inlineStr">
        <is>
          <t>84.9700</t>
        </is>
      </c>
      <c r="H1143" s="41" t="inlineStr">
        <is>
          <t>202409</t>
        </is>
      </c>
      <c r="I1143" s="41" t="inlineStr">
        <is>
          <t>07</t>
        </is>
      </c>
      <c r="J1143" s="41" t="inlineStr">
        <is>
          <t>184,000</t>
        </is>
      </c>
      <c r="K1143" s="41" t="inlineStr">
        <is>
          <t>103</t>
        </is>
      </c>
      <c r="L1143" s="41" t="inlineStr">
        <is>
          <t>9</t>
        </is>
      </c>
      <c r="M1143" s="42" t="inlineStr">
        <is>
          <t>개인</t>
        </is>
      </c>
      <c r="N1143" s="42" t="inlineStr">
        <is>
          <t>개인</t>
        </is>
      </c>
      <c r="O1143" s="41" t="inlineStr">
        <is>
          <t>2001</t>
        </is>
      </c>
      <c r="P1143" s="42" t="inlineStr">
        <is>
          <t>사임당로17길 116</t>
        </is>
      </c>
      <c r="Q1143" s="41" t="inlineStr">
        <is>
          <t>-</t>
        </is>
      </c>
      <c r="R1143" s="42" t="inlineStr">
        <is>
          <t>중개거래</t>
        </is>
      </c>
      <c r="S1143" s="42" t="inlineStr">
        <is>
          <t>서울 서초구</t>
        </is>
      </c>
      <c r="T1143" s="41" t="inlineStr">
        <is>
          <t>24.12.06</t>
        </is>
      </c>
      <c r="U1143" s="42" t="inlineStr">
        <is>
          <t>아파트</t>
        </is>
      </c>
    </row>
    <row r="1144" hidden="1" ht="14.25" customHeight="1">
      <c r="A1144" s="41" t="n">
        <v>611</v>
      </c>
      <c r="B1144" s="42" t="inlineStr">
        <is>
          <t>서울특별시 서초구 서초동</t>
        </is>
      </c>
      <c r="C1144" s="41" t="inlineStr">
        <is>
          <t>1755</t>
        </is>
      </c>
      <c r="D1144" s="41" t="inlineStr">
        <is>
          <t>1755</t>
        </is>
      </c>
      <c r="E1144" s="41" t="inlineStr">
        <is>
          <t>0000</t>
        </is>
      </c>
      <c r="F1144" s="42" t="inlineStr">
        <is>
          <t>래미안 리더스원</t>
        </is>
      </c>
      <c r="G1144" s="41" t="inlineStr">
        <is>
          <t>59.9700</t>
        </is>
      </c>
      <c r="H1144" s="41" t="inlineStr">
        <is>
          <t>202409</t>
        </is>
      </c>
      <c r="I1144" s="41" t="inlineStr">
        <is>
          <t>07</t>
        </is>
      </c>
      <c r="J1144" s="41" t="inlineStr">
        <is>
          <t>262,000</t>
        </is>
      </c>
      <c r="K1144" s="41" t="inlineStr">
        <is>
          <t>110동</t>
        </is>
      </c>
      <c r="L1144" s="41" t="inlineStr">
        <is>
          <t>18</t>
        </is>
      </c>
      <c r="M1144" s="42" t="inlineStr">
        <is>
          <t>개인</t>
        </is>
      </c>
      <c r="N1144" s="42" t="inlineStr">
        <is>
          <t>개인</t>
        </is>
      </c>
      <c r="O1144" s="41" t="inlineStr">
        <is>
          <t>2020</t>
        </is>
      </c>
      <c r="P1144" s="42" t="inlineStr">
        <is>
          <t>서운로 62</t>
        </is>
      </c>
      <c r="Q1144" s="41" t="inlineStr">
        <is>
          <t>-</t>
        </is>
      </c>
      <c r="R1144" s="42" t="inlineStr">
        <is>
          <t>중개거래</t>
        </is>
      </c>
      <c r="S1144" s="42" t="inlineStr">
        <is>
          <t>서울 서초구</t>
        </is>
      </c>
      <c r="T1144" s="41" t="inlineStr">
        <is>
          <t>24.11.18</t>
        </is>
      </c>
      <c r="U1144" s="42" t="inlineStr">
        <is>
          <t>아파트</t>
        </is>
      </c>
    </row>
    <row r="1145" hidden="1" ht="14.25" customHeight="1">
      <c r="A1145" s="41" t="n">
        <v>612</v>
      </c>
      <c r="B1145" s="42" t="inlineStr">
        <is>
          <t>서울특별시 서초구 서초동</t>
        </is>
      </c>
      <c r="C1145" s="41" t="inlineStr">
        <is>
          <t>1671-5</t>
        </is>
      </c>
      <c r="D1145" s="41" t="inlineStr">
        <is>
          <t>1671</t>
        </is>
      </c>
      <c r="E1145" s="41" t="inlineStr">
        <is>
          <t>0005</t>
        </is>
      </c>
      <c r="F1145" s="42" t="inlineStr">
        <is>
          <t>대림서초리시온</t>
        </is>
      </c>
      <c r="G1145" s="41" t="inlineStr">
        <is>
          <t>49.9200</t>
        </is>
      </c>
      <c r="H1145" s="41" t="inlineStr">
        <is>
          <t>202409</t>
        </is>
      </c>
      <c r="I1145" s="41" t="inlineStr">
        <is>
          <t>06</t>
        </is>
      </c>
      <c r="J1145" s="41" t="inlineStr">
        <is>
          <t>53,000</t>
        </is>
      </c>
      <c r="K1145" s="41" t="inlineStr">
        <is>
          <t>-</t>
        </is>
      </c>
      <c r="L1145" s="41" t="inlineStr">
        <is>
          <t>8</t>
        </is>
      </c>
      <c r="M1145" s="42" t="inlineStr">
        <is>
          <t>개인</t>
        </is>
      </c>
      <c r="N1145" s="42" t="inlineStr">
        <is>
          <t>개인</t>
        </is>
      </c>
      <c r="O1145" s="41" t="inlineStr">
        <is>
          <t>2003</t>
        </is>
      </c>
      <c r="P1145" s="42" t="inlineStr">
        <is>
          <t>서초중앙로22길 25</t>
        </is>
      </c>
      <c r="Q1145" s="41" t="inlineStr">
        <is>
          <t>-</t>
        </is>
      </c>
      <c r="R1145" s="42" t="inlineStr">
        <is>
          <t>중개거래</t>
        </is>
      </c>
      <c r="S1145" s="42" t="inlineStr">
        <is>
          <t>서울 서초구</t>
        </is>
      </c>
      <c r="T1145" s="41" t="inlineStr">
        <is>
          <t>24.09.27</t>
        </is>
      </c>
      <c r="U1145" s="42" t="inlineStr">
        <is>
          <t>아파트</t>
        </is>
      </c>
    </row>
    <row r="1146" hidden="1" ht="14.25" customHeight="1">
      <c r="A1146" s="41" t="n">
        <v>613</v>
      </c>
      <c r="B1146" s="42" t="inlineStr">
        <is>
          <t>서울특별시 서초구 서초동</t>
        </is>
      </c>
      <c r="C1146" s="41" t="inlineStr">
        <is>
          <t>1641-1</t>
        </is>
      </c>
      <c r="D1146" s="41" t="inlineStr">
        <is>
          <t>1641</t>
        </is>
      </c>
      <c r="E1146" s="41" t="inlineStr">
        <is>
          <t>0001</t>
        </is>
      </c>
      <c r="F1146" s="42" t="inlineStr">
        <is>
          <t>서초삼성래미안</t>
        </is>
      </c>
      <c r="G1146" s="41" t="inlineStr">
        <is>
          <t>84.8900</t>
        </is>
      </c>
      <c r="H1146" s="41" t="inlineStr">
        <is>
          <t>202409</t>
        </is>
      </c>
      <c r="I1146" s="41" t="inlineStr">
        <is>
          <t>05</t>
        </is>
      </c>
      <c r="J1146" s="41" t="inlineStr">
        <is>
          <t>190,500</t>
        </is>
      </c>
      <c r="K1146" s="41" t="inlineStr">
        <is>
          <t>101</t>
        </is>
      </c>
      <c r="L1146" s="41" t="inlineStr">
        <is>
          <t>3</t>
        </is>
      </c>
      <c r="M1146" s="42" t="inlineStr">
        <is>
          <t>개인</t>
        </is>
      </c>
      <c r="N1146" s="42" t="inlineStr">
        <is>
          <t>개인</t>
        </is>
      </c>
      <c r="O1146" s="41" t="inlineStr">
        <is>
          <t>2001</t>
        </is>
      </c>
      <c r="P1146" s="42" t="inlineStr">
        <is>
          <t>사임당로17길 116</t>
        </is>
      </c>
      <c r="Q1146" s="41" t="inlineStr">
        <is>
          <t>-</t>
        </is>
      </c>
      <c r="R1146" s="42" t="inlineStr">
        <is>
          <t>중개거래</t>
        </is>
      </c>
      <c r="S1146" s="42" t="inlineStr">
        <is>
          <t>서울 서초구</t>
        </is>
      </c>
      <c r="T1146" s="41" t="inlineStr">
        <is>
          <t>24.09.30</t>
        </is>
      </c>
      <c r="U1146" s="42" t="inlineStr">
        <is>
          <t>아파트</t>
        </is>
      </c>
    </row>
    <row r="1147" hidden="1" ht="14.25" customHeight="1">
      <c r="A1147" s="41" t="n">
        <v>614</v>
      </c>
      <c r="B1147" s="42" t="inlineStr">
        <is>
          <t>서울특별시 서초구 서초동</t>
        </is>
      </c>
      <c r="C1147" s="41" t="inlineStr">
        <is>
          <t>1330</t>
        </is>
      </c>
      <c r="D1147" s="41" t="inlineStr">
        <is>
          <t>1330</t>
        </is>
      </c>
      <c r="E1147" s="41" t="inlineStr">
        <is>
          <t>0000</t>
        </is>
      </c>
      <c r="F1147" s="42" t="inlineStr">
        <is>
          <t>서초동삼성쉐르빌2</t>
        </is>
      </c>
      <c r="G1147" s="41" t="inlineStr">
        <is>
          <t>35.2200</t>
        </is>
      </c>
      <c r="H1147" s="41" t="inlineStr">
        <is>
          <t>202409</t>
        </is>
      </c>
      <c r="I1147" s="41" t="inlineStr">
        <is>
          <t>05</t>
        </is>
      </c>
      <c r="J1147" s="41" t="inlineStr">
        <is>
          <t>27,500</t>
        </is>
      </c>
      <c r="K1147" s="41" t="inlineStr">
        <is>
          <t>-</t>
        </is>
      </c>
      <c r="L1147" s="41" t="inlineStr">
        <is>
          <t>3</t>
        </is>
      </c>
      <c r="M1147" s="42" t="inlineStr">
        <is>
          <t>개인</t>
        </is>
      </c>
      <c r="N1147" s="42" t="inlineStr">
        <is>
          <t>개인</t>
        </is>
      </c>
      <c r="O1147" s="41" t="inlineStr">
        <is>
          <t>2002</t>
        </is>
      </c>
      <c r="P1147" s="42" t="inlineStr">
        <is>
          <t>강남대로53길 11</t>
        </is>
      </c>
      <c r="Q1147" s="41" t="inlineStr">
        <is>
          <t>-</t>
        </is>
      </c>
      <c r="R1147" s="42" t="inlineStr">
        <is>
          <t>직거래</t>
        </is>
      </c>
      <c r="S1147" s="41" t="inlineStr">
        <is>
          <t>-</t>
        </is>
      </c>
      <c r="T1147" s="41" t="inlineStr">
        <is>
          <t>24.09.06</t>
        </is>
      </c>
      <c r="U1147" s="42" t="inlineStr">
        <is>
          <t>아파트</t>
        </is>
      </c>
    </row>
    <row r="1148" hidden="1" ht="14.25" customHeight="1">
      <c r="A1148" s="41" t="n">
        <v>615</v>
      </c>
      <c r="B1148" s="42" t="inlineStr">
        <is>
          <t>서울특별시 서초구 서초동</t>
        </is>
      </c>
      <c r="C1148" s="41" t="inlineStr">
        <is>
          <t>1757</t>
        </is>
      </c>
      <c r="D1148" s="41" t="inlineStr">
        <is>
          <t>1757</t>
        </is>
      </c>
      <c r="E1148" s="41" t="inlineStr">
        <is>
          <t>0000</t>
        </is>
      </c>
      <c r="F1148" s="42" t="inlineStr">
        <is>
          <t>서초그랑자이</t>
        </is>
      </c>
      <c r="G1148" s="41" t="inlineStr">
        <is>
          <t>119.4100</t>
        </is>
      </c>
      <c r="H1148" s="41" t="inlineStr">
        <is>
          <t>202409</t>
        </is>
      </c>
      <c r="I1148" s="41" t="inlineStr">
        <is>
          <t>03</t>
        </is>
      </c>
      <c r="J1148" s="41" t="inlineStr">
        <is>
          <t>430,000</t>
        </is>
      </c>
      <c r="K1148" s="41" t="inlineStr">
        <is>
          <t>106동</t>
        </is>
      </c>
      <c r="L1148" s="41" t="inlineStr">
        <is>
          <t>31</t>
        </is>
      </c>
      <c r="M1148" s="42" t="inlineStr">
        <is>
          <t>개인</t>
        </is>
      </c>
      <c r="N1148" s="42" t="inlineStr">
        <is>
          <t>개인</t>
        </is>
      </c>
      <c r="O1148" s="41" t="inlineStr">
        <is>
          <t>2021</t>
        </is>
      </c>
      <c r="P1148" s="42" t="inlineStr">
        <is>
          <t>효령로 391</t>
        </is>
      </c>
      <c r="Q1148" s="41" t="inlineStr">
        <is>
          <t>-</t>
        </is>
      </c>
      <c r="R1148" s="42" t="inlineStr">
        <is>
          <t>중개거래</t>
        </is>
      </c>
      <c r="S1148" s="42" t="inlineStr">
        <is>
          <t>서울 서초구</t>
        </is>
      </c>
      <c r="T1148" s="41" t="inlineStr">
        <is>
          <t>24.12.02</t>
        </is>
      </c>
      <c r="U1148" s="42" t="inlineStr">
        <is>
          <t>아파트</t>
        </is>
      </c>
    </row>
    <row r="1149" hidden="1" ht="14.25" customHeight="1">
      <c r="A1149" s="41" t="n">
        <v>616</v>
      </c>
      <c r="B1149" s="42" t="inlineStr">
        <is>
          <t>서울특별시 서초구 서초동</t>
        </is>
      </c>
      <c r="C1149" s="41" t="inlineStr">
        <is>
          <t>1312-3</t>
        </is>
      </c>
      <c r="D1149" s="41" t="inlineStr">
        <is>
          <t>1312</t>
        </is>
      </c>
      <c r="E1149" s="41" t="inlineStr">
        <is>
          <t>0003</t>
        </is>
      </c>
      <c r="F1149" s="42" t="inlineStr">
        <is>
          <t>롯데캐슬클래식</t>
        </is>
      </c>
      <c r="G1149" s="41" t="inlineStr">
        <is>
          <t>120.1800</t>
        </is>
      </c>
      <c r="H1149" s="41" t="inlineStr">
        <is>
          <t>202408</t>
        </is>
      </c>
      <c r="I1149" s="41" t="inlineStr">
        <is>
          <t>31</t>
        </is>
      </c>
      <c r="J1149" s="41" t="inlineStr">
        <is>
          <t>296,000</t>
        </is>
      </c>
      <c r="K1149" s="41" t="inlineStr">
        <is>
          <t>108</t>
        </is>
      </c>
      <c r="L1149" s="41" t="inlineStr">
        <is>
          <t>6</t>
        </is>
      </c>
      <c r="M1149" s="42" t="inlineStr">
        <is>
          <t>개인</t>
        </is>
      </c>
      <c r="N1149" s="42" t="inlineStr">
        <is>
          <t>개인</t>
        </is>
      </c>
      <c r="O1149" s="41" t="inlineStr">
        <is>
          <t>2006</t>
        </is>
      </c>
      <c r="P1149" s="42" t="inlineStr">
        <is>
          <t>서운로 197</t>
        </is>
      </c>
      <c r="Q1149" s="41" t="inlineStr">
        <is>
          <t>-</t>
        </is>
      </c>
      <c r="R1149" s="42" t="inlineStr">
        <is>
          <t>중개거래</t>
        </is>
      </c>
      <c r="S1149" s="42" t="inlineStr">
        <is>
          <t>경기 성남시 분당구, 서울 서초구</t>
        </is>
      </c>
      <c r="T1149" s="41" t="inlineStr">
        <is>
          <t>24.10.30</t>
        </is>
      </c>
      <c r="U1149" s="42" t="inlineStr">
        <is>
          <t>아파트</t>
        </is>
      </c>
    </row>
    <row r="1150" hidden="1" ht="14.25" customHeight="1">
      <c r="A1150" s="41" t="n">
        <v>617</v>
      </c>
      <c r="B1150" s="42" t="inlineStr">
        <is>
          <t>서울특별시 서초구 서초동</t>
        </is>
      </c>
      <c r="C1150" s="41" t="inlineStr">
        <is>
          <t>1682</t>
        </is>
      </c>
      <c r="D1150" s="41" t="inlineStr">
        <is>
          <t>1682</t>
        </is>
      </c>
      <c r="E1150" s="41" t="inlineStr">
        <is>
          <t>0000</t>
        </is>
      </c>
      <c r="F1150" s="42" t="inlineStr">
        <is>
          <t>서초래미안</t>
        </is>
      </c>
      <c r="G1150" s="41" t="inlineStr">
        <is>
          <t>111.3200</t>
        </is>
      </c>
      <c r="H1150" s="41" t="inlineStr">
        <is>
          <t>202408</t>
        </is>
      </c>
      <c r="I1150" s="41" t="inlineStr">
        <is>
          <t>31</t>
        </is>
      </c>
      <c r="J1150" s="41" t="inlineStr">
        <is>
          <t>264,500</t>
        </is>
      </c>
      <c r="K1150" s="41" t="inlineStr">
        <is>
          <t>108</t>
        </is>
      </c>
      <c r="L1150" s="41" t="inlineStr">
        <is>
          <t>24</t>
        </is>
      </c>
      <c r="M1150" s="42" t="inlineStr">
        <is>
          <t>개인</t>
        </is>
      </c>
      <c r="N1150" s="42" t="inlineStr">
        <is>
          <t>개인</t>
        </is>
      </c>
      <c r="O1150" s="41" t="inlineStr">
        <is>
          <t>2003</t>
        </is>
      </c>
      <c r="P1150" s="42" t="inlineStr">
        <is>
          <t>서초대로65길 13-10</t>
        </is>
      </c>
      <c r="Q1150" s="41" t="inlineStr">
        <is>
          <t>-</t>
        </is>
      </c>
      <c r="R1150" s="42" t="inlineStr">
        <is>
          <t>중개거래</t>
        </is>
      </c>
      <c r="S1150" s="42" t="inlineStr">
        <is>
          <t>서울 서초구</t>
        </is>
      </c>
      <c r="T1150" s="41" t="inlineStr">
        <is>
          <t>24.11.27</t>
        </is>
      </c>
      <c r="U1150" s="42" t="inlineStr">
        <is>
          <t>아파트</t>
        </is>
      </c>
    </row>
    <row r="1151" hidden="1" ht="14.25" customHeight="1">
      <c r="A1151" s="41" t="n">
        <v>618</v>
      </c>
      <c r="B1151" s="42" t="inlineStr">
        <is>
          <t>서울특별시 서초구 서초동</t>
        </is>
      </c>
      <c r="C1151" s="41" t="inlineStr">
        <is>
          <t>1754</t>
        </is>
      </c>
      <c r="D1151" s="41" t="inlineStr">
        <is>
          <t>1754</t>
        </is>
      </c>
      <c r="E1151" s="41" t="inlineStr">
        <is>
          <t>0000</t>
        </is>
      </c>
      <c r="F1151" s="42" t="inlineStr">
        <is>
          <t>래미안서초에스티지S</t>
        </is>
      </c>
      <c r="G1151" s="41" t="inlineStr">
        <is>
          <t>84.8000</t>
        </is>
      </c>
      <c r="H1151" s="41" t="inlineStr">
        <is>
          <t>202408</t>
        </is>
      </c>
      <c r="I1151" s="41" t="inlineStr">
        <is>
          <t>31</t>
        </is>
      </c>
      <c r="J1151" s="41" t="inlineStr">
        <is>
          <t>289,000</t>
        </is>
      </c>
      <c r="K1151" s="41" t="inlineStr">
        <is>
          <t>205</t>
        </is>
      </c>
      <c r="L1151" s="41" t="inlineStr">
        <is>
          <t>6</t>
        </is>
      </c>
      <c r="M1151" s="42" t="inlineStr">
        <is>
          <t>개인</t>
        </is>
      </c>
      <c r="N1151" s="42" t="inlineStr">
        <is>
          <t>개인</t>
        </is>
      </c>
      <c r="O1151" s="41" t="inlineStr">
        <is>
          <t>2018</t>
        </is>
      </c>
      <c r="P1151" s="42" t="inlineStr">
        <is>
          <t>서운로 104</t>
        </is>
      </c>
      <c r="Q1151" s="41" t="inlineStr">
        <is>
          <t>-</t>
        </is>
      </c>
      <c r="R1151" s="42" t="inlineStr">
        <is>
          <t>중개거래</t>
        </is>
      </c>
      <c r="S1151" s="42" t="inlineStr">
        <is>
          <t>서울 서초구</t>
        </is>
      </c>
      <c r="T1151" s="41" t="inlineStr">
        <is>
          <t>24.12.31</t>
        </is>
      </c>
      <c r="U1151" s="42" t="inlineStr">
        <is>
          <t>아파트</t>
        </is>
      </c>
    </row>
    <row r="1152" hidden="1" ht="14.25" customHeight="1">
      <c r="A1152" s="41" t="n">
        <v>619</v>
      </c>
      <c r="B1152" s="42" t="inlineStr">
        <is>
          <t>서울특별시 서초구 서초동</t>
        </is>
      </c>
      <c r="C1152" s="41" t="inlineStr">
        <is>
          <t>1344-13</t>
        </is>
      </c>
      <c r="D1152" s="41" t="inlineStr">
        <is>
          <t>1344</t>
        </is>
      </c>
      <c r="E1152" s="41" t="inlineStr">
        <is>
          <t>0013</t>
        </is>
      </c>
      <c r="F1152" s="42" t="inlineStr">
        <is>
          <t>서초트라팰리스</t>
        </is>
      </c>
      <c r="G1152" s="41" t="inlineStr">
        <is>
          <t>81.7600</t>
        </is>
      </c>
      <c r="H1152" s="41" t="inlineStr">
        <is>
          <t>202408</t>
        </is>
      </c>
      <c r="I1152" s="41" t="inlineStr">
        <is>
          <t>31</t>
        </is>
      </c>
      <c r="J1152" s="41" t="inlineStr">
        <is>
          <t>155,000</t>
        </is>
      </c>
      <c r="K1152" s="41" t="inlineStr">
        <is>
          <t>A</t>
        </is>
      </c>
      <c r="L1152" s="41" t="inlineStr">
        <is>
          <t>17</t>
        </is>
      </c>
      <c r="M1152" s="42" t="inlineStr">
        <is>
          <t>개인</t>
        </is>
      </c>
      <c r="N1152" s="42" t="inlineStr">
        <is>
          <t>개인</t>
        </is>
      </c>
      <c r="O1152" s="41" t="inlineStr">
        <is>
          <t>2005</t>
        </is>
      </c>
      <c r="P1152" s="42" t="inlineStr">
        <is>
          <t>효령로72길 57</t>
        </is>
      </c>
      <c r="Q1152" s="41" t="inlineStr">
        <is>
          <t>-</t>
        </is>
      </c>
      <c r="R1152" s="42" t="inlineStr">
        <is>
          <t>중개거래</t>
        </is>
      </c>
      <c r="S1152" s="42" t="inlineStr">
        <is>
          <t>서울 서초구</t>
        </is>
      </c>
      <c r="T1152" s="41" t="inlineStr">
        <is>
          <t>25.01.06</t>
        </is>
      </c>
      <c r="U1152" s="42" t="inlineStr">
        <is>
          <t>아파트</t>
        </is>
      </c>
    </row>
    <row r="1153" hidden="1" ht="14.25" customHeight="1">
      <c r="A1153" s="41" t="n">
        <v>620</v>
      </c>
      <c r="B1153" s="42" t="inlineStr">
        <is>
          <t>서울특별시 서초구 서초동</t>
        </is>
      </c>
      <c r="C1153" s="41" t="inlineStr">
        <is>
          <t>1685</t>
        </is>
      </c>
      <c r="D1153" s="41" t="inlineStr">
        <is>
          <t>1685</t>
        </is>
      </c>
      <c r="E1153" s="41" t="inlineStr">
        <is>
          <t>0000</t>
        </is>
      </c>
      <c r="F1153" s="42" t="inlineStr">
        <is>
          <t>삼풍아파트</t>
        </is>
      </c>
      <c r="G1153" s="41" t="inlineStr">
        <is>
          <t>79.4700</t>
        </is>
      </c>
      <c r="H1153" s="41" t="inlineStr">
        <is>
          <t>202408</t>
        </is>
      </c>
      <c r="I1153" s="41" t="inlineStr">
        <is>
          <t>30</t>
        </is>
      </c>
      <c r="J1153" s="41" t="inlineStr">
        <is>
          <t>268,000</t>
        </is>
      </c>
      <c r="K1153" s="41" t="inlineStr">
        <is>
          <t>7</t>
        </is>
      </c>
      <c r="L1153" s="41" t="inlineStr">
        <is>
          <t>11</t>
        </is>
      </c>
      <c r="M1153" s="42" t="inlineStr">
        <is>
          <t>개인</t>
        </is>
      </c>
      <c r="N1153" s="42" t="inlineStr">
        <is>
          <t>개인</t>
        </is>
      </c>
      <c r="O1153" s="41" t="inlineStr">
        <is>
          <t>1988</t>
        </is>
      </c>
      <c r="P1153" s="42" t="inlineStr">
        <is>
          <t>서초중앙로 200</t>
        </is>
      </c>
      <c r="Q1153" s="41" t="inlineStr">
        <is>
          <t>-</t>
        </is>
      </c>
      <c r="R1153" s="42" t="inlineStr">
        <is>
          <t>중개거래</t>
        </is>
      </c>
      <c r="S1153" s="42" t="inlineStr">
        <is>
          <t>서울 서초구</t>
        </is>
      </c>
      <c r="T1153" s="41" t="inlineStr">
        <is>
          <t>24.12.12</t>
        </is>
      </c>
      <c r="U1153" s="42" t="inlineStr">
        <is>
          <t>아파트</t>
        </is>
      </c>
    </row>
    <row r="1154" hidden="1" ht="14.25" customHeight="1">
      <c r="A1154" s="41" t="n">
        <v>621</v>
      </c>
      <c r="B1154" s="42" t="inlineStr">
        <is>
          <t>서울특별시 서초구 서초동</t>
        </is>
      </c>
      <c r="C1154" s="41" t="inlineStr">
        <is>
          <t>1682</t>
        </is>
      </c>
      <c r="D1154" s="41" t="inlineStr">
        <is>
          <t>1682</t>
        </is>
      </c>
      <c r="E1154" s="41" t="inlineStr">
        <is>
          <t>0000</t>
        </is>
      </c>
      <c r="F1154" s="42" t="inlineStr">
        <is>
          <t>서초래미안</t>
        </is>
      </c>
      <c r="G1154" s="41" t="inlineStr">
        <is>
          <t>111.3200</t>
        </is>
      </c>
      <c r="H1154" s="41" t="inlineStr">
        <is>
          <t>202408</t>
        </is>
      </c>
      <c r="I1154" s="41" t="inlineStr">
        <is>
          <t>30</t>
        </is>
      </c>
      <c r="J1154" s="41" t="inlineStr">
        <is>
          <t>260,000</t>
        </is>
      </c>
      <c r="K1154" s="41" t="inlineStr">
        <is>
          <t>108</t>
        </is>
      </c>
      <c r="L1154" s="41" t="inlineStr">
        <is>
          <t>16</t>
        </is>
      </c>
      <c r="M1154" s="42" t="inlineStr">
        <is>
          <t>개인</t>
        </is>
      </c>
      <c r="N1154" s="42" t="inlineStr">
        <is>
          <t>개인</t>
        </is>
      </c>
      <c r="O1154" s="41" t="inlineStr">
        <is>
          <t>2003</t>
        </is>
      </c>
      <c r="P1154" s="42" t="inlineStr">
        <is>
          <t>서초대로65길 13-10</t>
        </is>
      </c>
      <c r="Q1154" s="41" t="inlineStr">
        <is>
          <t>-</t>
        </is>
      </c>
      <c r="R1154" s="42" t="inlineStr">
        <is>
          <t>직거래</t>
        </is>
      </c>
      <c r="S1154" s="41" t="inlineStr">
        <is>
          <t>-</t>
        </is>
      </c>
      <c r="T1154" s="41" t="inlineStr">
        <is>
          <t>24.12.30</t>
        </is>
      </c>
      <c r="U1154" s="42" t="inlineStr">
        <is>
          <t>아파트</t>
        </is>
      </c>
    </row>
    <row r="1155" hidden="1" ht="14.25" customHeight="1">
      <c r="A1155" s="41" t="n">
        <v>622</v>
      </c>
      <c r="B1155" s="42" t="inlineStr">
        <is>
          <t>서울특별시 서초구 서초동</t>
        </is>
      </c>
      <c r="C1155" s="41" t="inlineStr">
        <is>
          <t>1641-13</t>
        </is>
      </c>
      <c r="D1155" s="41" t="inlineStr">
        <is>
          <t>1641</t>
        </is>
      </c>
      <c r="E1155" s="41" t="inlineStr">
        <is>
          <t>0013</t>
        </is>
      </c>
      <c r="F1155" s="42" t="inlineStr">
        <is>
          <t>아남</t>
        </is>
      </c>
      <c r="G1155" s="41" t="inlineStr">
        <is>
          <t>84.3800</t>
        </is>
      </c>
      <c r="H1155" s="41" t="inlineStr">
        <is>
          <t>202408</t>
        </is>
      </c>
      <c r="I1155" s="41" t="inlineStr">
        <is>
          <t>30</t>
        </is>
      </c>
      <c r="J1155" s="41" t="inlineStr">
        <is>
          <t>170,000</t>
        </is>
      </c>
      <c r="K1155" s="41" t="inlineStr">
        <is>
          <t>2</t>
        </is>
      </c>
      <c r="L1155" s="41" t="inlineStr">
        <is>
          <t>7</t>
        </is>
      </c>
      <c r="M1155" s="42" t="inlineStr">
        <is>
          <t>기타</t>
        </is>
      </c>
      <c r="N1155" s="42" t="inlineStr">
        <is>
          <t>기타</t>
        </is>
      </c>
      <c r="O1155" s="41" t="inlineStr">
        <is>
          <t>1989</t>
        </is>
      </c>
      <c r="P1155" s="42" t="inlineStr">
        <is>
          <t>사임당로23길 53</t>
        </is>
      </c>
      <c r="Q1155" s="41" t="inlineStr">
        <is>
          <t>-</t>
        </is>
      </c>
      <c r="R1155" s="42" t="inlineStr">
        <is>
          <t>중개거래</t>
        </is>
      </c>
      <c r="S1155" s="42" t="inlineStr">
        <is>
          <t>서울 서초구</t>
        </is>
      </c>
      <c r="T1155" s="41" t="inlineStr">
        <is>
          <t>25.02.28</t>
        </is>
      </c>
      <c r="U1155" s="42" t="inlineStr">
        <is>
          <t>아파트</t>
        </is>
      </c>
    </row>
    <row r="1156" ht="14.25" customHeight="1">
      <c r="A1156" s="41" t="n">
        <v>623</v>
      </c>
      <c r="B1156" s="42" t="inlineStr">
        <is>
          <t>서울특별시 서초구 서초동</t>
        </is>
      </c>
      <c r="C1156" s="41" t="inlineStr">
        <is>
          <t>1454-29</t>
        </is>
      </c>
      <c r="D1156" s="41" t="inlineStr">
        <is>
          <t>1454</t>
        </is>
      </c>
      <c r="E1156" s="41" t="inlineStr">
        <is>
          <t>0029</t>
        </is>
      </c>
      <c r="F1156" s="42" t="inlineStr">
        <is>
          <t>서초한신</t>
        </is>
      </c>
      <c r="G1156" s="41" t="inlineStr">
        <is>
          <t>84.9900</t>
        </is>
      </c>
      <c r="H1156" s="41" t="inlineStr">
        <is>
          <t>202408</t>
        </is>
      </c>
      <c r="I1156" s="41" t="inlineStr">
        <is>
          <t>30</t>
        </is>
      </c>
      <c r="J1156" s="41" t="inlineStr">
        <is>
          <t>145,000</t>
        </is>
      </c>
      <c r="K1156" s="41" t="inlineStr">
        <is>
          <t>101</t>
        </is>
      </c>
      <c r="L1156" s="41" t="inlineStr">
        <is>
          <t>9</t>
        </is>
      </c>
      <c r="M1156" s="42" t="inlineStr">
        <is>
          <t>개인</t>
        </is>
      </c>
      <c r="N1156" s="42" t="inlineStr">
        <is>
          <t>개인</t>
        </is>
      </c>
      <c r="O1156" s="41" t="inlineStr">
        <is>
          <t>2001</t>
        </is>
      </c>
      <c r="P1156" s="42" t="inlineStr">
        <is>
          <t>남부순환로323길 38-15</t>
        </is>
      </c>
      <c r="Q1156" s="41" t="inlineStr">
        <is>
          <t>-</t>
        </is>
      </c>
      <c r="R1156" s="42" t="inlineStr">
        <is>
          <t>직거래</t>
        </is>
      </c>
      <c r="S1156" s="41" t="inlineStr">
        <is>
          <t>-</t>
        </is>
      </c>
      <c r="T1156" s="41" t="inlineStr">
        <is>
          <t>25.06.20</t>
        </is>
      </c>
      <c r="U1156" s="42" t="inlineStr">
        <is>
          <t>아파트</t>
        </is>
      </c>
    </row>
    <row r="1157" hidden="1" ht="14.25" customHeight="1">
      <c r="A1157" s="41" t="n">
        <v>624</v>
      </c>
      <c r="B1157" s="42" t="inlineStr">
        <is>
          <t>서울특별시 서초구 서초동</t>
        </is>
      </c>
      <c r="C1157" s="41" t="inlineStr">
        <is>
          <t>1685</t>
        </is>
      </c>
      <c r="D1157" s="41" t="inlineStr">
        <is>
          <t>1685</t>
        </is>
      </c>
      <c r="E1157" s="41" t="inlineStr">
        <is>
          <t>0000</t>
        </is>
      </c>
      <c r="F1157" s="42" t="inlineStr">
        <is>
          <t>삼풍아파트</t>
        </is>
      </c>
      <c r="G1157" s="41" t="inlineStr">
        <is>
          <t>163.8100</t>
        </is>
      </c>
      <c r="H1157" s="41" t="inlineStr">
        <is>
          <t>202408</t>
        </is>
      </c>
      <c r="I1157" s="41" t="inlineStr">
        <is>
          <t>30</t>
        </is>
      </c>
      <c r="J1157" s="41" t="inlineStr">
        <is>
          <t>392,000</t>
        </is>
      </c>
      <c r="K1157" s="41" t="inlineStr">
        <is>
          <t>23</t>
        </is>
      </c>
      <c r="L1157" s="41" t="inlineStr">
        <is>
          <t>1</t>
        </is>
      </c>
      <c r="M1157" s="42" t="inlineStr">
        <is>
          <t>개인</t>
        </is>
      </c>
      <c r="N1157" s="42" t="inlineStr">
        <is>
          <t>개인</t>
        </is>
      </c>
      <c r="O1157" s="41" t="inlineStr">
        <is>
          <t>1988</t>
        </is>
      </c>
      <c r="P1157" s="42" t="inlineStr">
        <is>
          <t>서초중앙로 200</t>
        </is>
      </c>
      <c r="Q1157" s="41" t="inlineStr">
        <is>
          <t>-</t>
        </is>
      </c>
      <c r="R1157" s="42" t="inlineStr">
        <is>
          <t>중개거래</t>
        </is>
      </c>
      <c r="S1157" s="42" t="inlineStr">
        <is>
          <t>서울 종로구</t>
        </is>
      </c>
      <c r="T1157" s="41" t="inlineStr">
        <is>
          <t>25.01.24</t>
        </is>
      </c>
      <c r="U1157" s="42" t="inlineStr">
        <is>
          <t>아파트</t>
        </is>
      </c>
    </row>
    <row r="1158" hidden="1" ht="14.25" customHeight="1">
      <c r="A1158" s="41" t="n">
        <v>625</v>
      </c>
      <c r="B1158" s="42" t="inlineStr">
        <is>
          <t>서울특별시 서초구 서초동</t>
        </is>
      </c>
      <c r="C1158" s="41" t="inlineStr">
        <is>
          <t>1593-7</t>
        </is>
      </c>
      <c r="D1158" s="41" t="inlineStr">
        <is>
          <t>1593</t>
        </is>
      </c>
      <c r="E1158" s="41" t="inlineStr">
        <is>
          <t>0007</t>
        </is>
      </c>
      <c r="F1158" s="42" t="inlineStr">
        <is>
          <t>서초이오빌</t>
        </is>
      </c>
      <c r="G1158" s="41" t="inlineStr">
        <is>
          <t>36.6600</t>
        </is>
      </c>
      <c r="H1158" s="41" t="inlineStr">
        <is>
          <t>202408</t>
        </is>
      </c>
      <c r="I1158" s="41" t="inlineStr">
        <is>
          <t>29</t>
        </is>
      </c>
      <c r="J1158" s="41" t="inlineStr">
        <is>
          <t>32,000</t>
        </is>
      </c>
      <c r="K1158" s="41" t="inlineStr">
        <is>
          <t>-</t>
        </is>
      </c>
      <c r="L1158" s="41" t="inlineStr">
        <is>
          <t>7</t>
        </is>
      </c>
      <c r="M1158" s="42" t="inlineStr">
        <is>
          <t>개인</t>
        </is>
      </c>
      <c r="N1158" s="42" t="inlineStr">
        <is>
          <t>개인</t>
        </is>
      </c>
      <c r="O1158" s="41" t="inlineStr">
        <is>
          <t>2003</t>
        </is>
      </c>
      <c r="P1158" s="42" t="inlineStr">
        <is>
          <t>효령로53길 45</t>
        </is>
      </c>
      <c r="Q1158" s="41" t="inlineStr">
        <is>
          <t>-</t>
        </is>
      </c>
      <c r="R1158" s="42" t="inlineStr">
        <is>
          <t>중개거래</t>
        </is>
      </c>
      <c r="S1158" s="42" t="inlineStr">
        <is>
          <t>서울 서초구</t>
        </is>
      </c>
      <c r="T1158" s="41" t="inlineStr">
        <is>
          <t>24.09.27</t>
        </is>
      </c>
      <c r="U1158" s="42" t="inlineStr">
        <is>
          <t>아파트</t>
        </is>
      </c>
    </row>
    <row r="1159" hidden="1" ht="14.25" customHeight="1">
      <c r="A1159" s="41" t="n">
        <v>626</v>
      </c>
      <c r="B1159" s="42" t="inlineStr">
        <is>
          <t>서울특별시 서초구 서초동</t>
        </is>
      </c>
      <c r="C1159" s="41" t="inlineStr">
        <is>
          <t>1666-14</t>
        </is>
      </c>
      <c r="D1159" s="41" t="inlineStr">
        <is>
          <t>1666</t>
        </is>
      </c>
      <c r="E1159" s="41" t="inlineStr">
        <is>
          <t>0014</t>
        </is>
      </c>
      <c r="F1159" s="42" t="inlineStr">
        <is>
          <t>서초녹원</t>
        </is>
      </c>
      <c r="G1159" s="41" t="inlineStr">
        <is>
          <t>59.7800</t>
        </is>
      </c>
      <c r="H1159" s="41" t="inlineStr">
        <is>
          <t>202408</t>
        </is>
      </c>
      <c r="I1159" s="41" t="inlineStr">
        <is>
          <t>28</t>
        </is>
      </c>
      <c r="J1159" s="41" t="inlineStr">
        <is>
          <t>111,000</t>
        </is>
      </c>
      <c r="K1159" s="41" t="inlineStr">
        <is>
          <t>-</t>
        </is>
      </c>
      <c r="L1159" s="41" t="inlineStr">
        <is>
          <t>3</t>
        </is>
      </c>
      <c r="M1159" s="42" t="inlineStr">
        <is>
          <t>개인</t>
        </is>
      </c>
      <c r="N1159" s="42" t="inlineStr">
        <is>
          <t>개인</t>
        </is>
      </c>
      <c r="O1159" s="41" t="inlineStr">
        <is>
          <t>1997</t>
        </is>
      </c>
      <c r="P1159" s="42" t="inlineStr">
        <is>
          <t>사임당로17길 83</t>
        </is>
      </c>
      <c r="Q1159" s="41" t="inlineStr">
        <is>
          <t>-</t>
        </is>
      </c>
      <c r="R1159" s="42" t="inlineStr">
        <is>
          <t>중개거래</t>
        </is>
      </c>
      <c r="S1159" s="42" t="inlineStr">
        <is>
          <t>서울 서초구</t>
        </is>
      </c>
      <c r="T1159" s="41" t="inlineStr">
        <is>
          <t>24.11.11</t>
        </is>
      </c>
      <c r="U1159" s="42" t="inlineStr">
        <is>
          <t>아파트</t>
        </is>
      </c>
    </row>
    <row r="1160" hidden="1" ht="14.25" customHeight="1">
      <c r="A1160" s="41" t="n">
        <v>627</v>
      </c>
      <c r="B1160" s="42" t="inlineStr">
        <is>
          <t>서울특별시 서초구 서초동</t>
        </is>
      </c>
      <c r="C1160" s="41" t="inlineStr">
        <is>
          <t>1687</t>
        </is>
      </c>
      <c r="D1160" s="41" t="inlineStr">
        <is>
          <t>1687</t>
        </is>
      </c>
      <c r="E1160" s="41" t="inlineStr">
        <is>
          <t>0000</t>
        </is>
      </c>
      <c r="F1160" s="42" t="inlineStr">
        <is>
          <t>유원서초</t>
        </is>
      </c>
      <c r="G1160" s="41" t="inlineStr">
        <is>
          <t>84.8200</t>
        </is>
      </c>
      <c r="H1160" s="41" t="inlineStr">
        <is>
          <t>202408</t>
        </is>
      </c>
      <c r="I1160" s="41" t="inlineStr">
        <is>
          <t>28</t>
        </is>
      </c>
      <c r="J1160" s="41" t="inlineStr">
        <is>
          <t>195,000</t>
        </is>
      </c>
      <c r="K1160" s="41" t="inlineStr">
        <is>
          <t>101</t>
        </is>
      </c>
      <c r="L1160" s="41" t="inlineStr">
        <is>
          <t>5</t>
        </is>
      </c>
      <c r="M1160" s="42" t="inlineStr">
        <is>
          <t>개인</t>
        </is>
      </c>
      <c r="N1160" s="42" t="inlineStr">
        <is>
          <t>개인</t>
        </is>
      </c>
      <c r="O1160" s="41" t="inlineStr">
        <is>
          <t>1993</t>
        </is>
      </c>
      <c r="P1160" s="42" t="inlineStr">
        <is>
          <t>서초중앙로24길 43</t>
        </is>
      </c>
      <c r="Q1160" s="41" t="inlineStr">
        <is>
          <t>-</t>
        </is>
      </c>
      <c r="R1160" s="42" t="inlineStr">
        <is>
          <t>중개거래</t>
        </is>
      </c>
      <c r="S1160" s="42" t="inlineStr">
        <is>
          <t>서울 서초구</t>
        </is>
      </c>
      <c r="T1160" s="41" t="inlineStr">
        <is>
          <t>24.11.25</t>
        </is>
      </c>
      <c r="U1160" s="42" t="inlineStr">
        <is>
          <t>아파트</t>
        </is>
      </c>
    </row>
    <row r="1161" hidden="1" ht="14.25" customHeight="1">
      <c r="A1161" s="41" t="n">
        <v>628</v>
      </c>
      <c r="B1161" s="42" t="inlineStr">
        <is>
          <t>서울특별시 서초구 서초동</t>
        </is>
      </c>
      <c r="C1161" s="41" t="inlineStr">
        <is>
          <t>1498-5</t>
        </is>
      </c>
      <c r="D1161" s="41" t="inlineStr">
        <is>
          <t>1498</t>
        </is>
      </c>
      <c r="E1161" s="41" t="inlineStr">
        <is>
          <t>0005</t>
        </is>
      </c>
      <c r="F1161" s="42" t="inlineStr">
        <is>
          <t>마제스타시티(힐스테이트서리풀101,102동)</t>
        </is>
      </c>
      <c r="G1161" s="41" t="inlineStr">
        <is>
          <t>59.9700</t>
        </is>
      </c>
      <c r="H1161" s="41" t="inlineStr">
        <is>
          <t>202408</t>
        </is>
      </c>
      <c r="I1161" s="41" t="inlineStr">
        <is>
          <t>27</t>
        </is>
      </c>
      <c r="J1161" s="41" t="inlineStr">
        <is>
          <t>174,000</t>
        </is>
      </c>
      <c r="K1161" s="42" t="inlineStr">
        <is>
          <t>힐스테이트 서리풀 101동</t>
        </is>
      </c>
      <c r="L1161" s="41" t="inlineStr">
        <is>
          <t>6</t>
        </is>
      </c>
      <c r="M1161" s="42" t="inlineStr">
        <is>
          <t>개인</t>
        </is>
      </c>
      <c r="N1161" s="42" t="inlineStr">
        <is>
          <t>개인</t>
        </is>
      </c>
      <c r="O1161" s="41" t="inlineStr">
        <is>
          <t>2017</t>
        </is>
      </c>
      <c r="P1161" s="42" t="inlineStr">
        <is>
          <t>서초대로38길 12</t>
        </is>
      </c>
      <c r="Q1161" s="41" t="inlineStr">
        <is>
          <t>-</t>
        </is>
      </c>
      <c r="R1161" s="42" t="inlineStr">
        <is>
          <t>중개거래</t>
        </is>
      </c>
      <c r="S1161" s="42" t="inlineStr">
        <is>
          <t>서울 강남구</t>
        </is>
      </c>
      <c r="T1161" s="41" t="inlineStr">
        <is>
          <t>25.02.03</t>
        </is>
      </c>
      <c r="U1161" s="42" t="inlineStr">
        <is>
          <t>아파트</t>
        </is>
      </c>
    </row>
    <row r="1162" hidden="1" ht="14.25" customHeight="1">
      <c r="A1162" s="41" t="n">
        <v>629</v>
      </c>
      <c r="B1162" s="42" t="inlineStr">
        <is>
          <t>서울특별시 서초구 서초동</t>
        </is>
      </c>
      <c r="C1162" s="41" t="inlineStr">
        <is>
          <t>1315</t>
        </is>
      </c>
      <c r="D1162" s="41" t="inlineStr">
        <is>
          <t>1315</t>
        </is>
      </c>
      <c r="E1162" s="41" t="inlineStr">
        <is>
          <t>0000</t>
        </is>
      </c>
      <c r="F1162" s="42" t="inlineStr">
        <is>
          <t>진흥아파트</t>
        </is>
      </c>
      <c r="G1162" s="41" t="inlineStr">
        <is>
          <t>101.3200</t>
        </is>
      </c>
      <c r="H1162" s="41" t="inlineStr">
        <is>
          <t>202408</t>
        </is>
      </c>
      <c r="I1162" s="41" t="inlineStr">
        <is>
          <t>26</t>
        </is>
      </c>
      <c r="J1162" s="41" t="inlineStr">
        <is>
          <t>236,000</t>
        </is>
      </c>
      <c r="K1162" s="41" t="inlineStr">
        <is>
          <t>-</t>
        </is>
      </c>
      <c r="L1162" s="41" t="inlineStr">
        <is>
          <t>8</t>
        </is>
      </c>
      <c r="M1162" s="42" t="inlineStr">
        <is>
          <t>개인</t>
        </is>
      </c>
      <c r="N1162" s="42" t="inlineStr">
        <is>
          <t>개인</t>
        </is>
      </c>
      <c r="O1162" s="41" t="inlineStr">
        <is>
          <t>1979</t>
        </is>
      </c>
      <c r="P1162" s="42" t="inlineStr">
        <is>
          <t>서초대로 385</t>
        </is>
      </c>
      <c r="Q1162" s="41" t="inlineStr">
        <is>
          <t>20240827</t>
        </is>
      </c>
      <c r="R1162" s="42" t="inlineStr">
        <is>
          <t>중개거래</t>
        </is>
      </c>
      <c r="S1162" s="42" t="inlineStr">
        <is>
          <t>서울 서초구</t>
        </is>
      </c>
      <c r="T1162" s="41" t="inlineStr">
        <is>
          <t>-</t>
        </is>
      </c>
      <c r="U1162" s="42" t="inlineStr">
        <is>
          <t>아파트</t>
        </is>
      </c>
    </row>
    <row r="1163" hidden="1" ht="14.25" customHeight="1">
      <c r="A1163" s="41" t="n">
        <v>630</v>
      </c>
      <c r="B1163" s="42" t="inlineStr">
        <is>
          <t>서울특별시 서초구 서초동</t>
        </is>
      </c>
      <c r="C1163" s="41" t="inlineStr">
        <is>
          <t>1446-11</t>
        </is>
      </c>
      <c r="D1163" s="41" t="inlineStr">
        <is>
          <t>1446</t>
        </is>
      </c>
      <c r="E1163" s="41" t="inlineStr">
        <is>
          <t>0011</t>
        </is>
      </c>
      <c r="F1163" s="42" t="inlineStr">
        <is>
          <t>현대슈퍼빌</t>
        </is>
      </c>
      <c r="G1163" s="41" t="inlineStr">
        <is>
          <t>164.8700</t>
        </is>
      </c>
      <c r="H1163" s="41" t="inlineStr">
        <is>
          <t>202408</t>
        </is>
      </c>
      <c r="I1163" s="41" t="inlineStr">
        <is>
          <t>26</t>
        </is>
      </c>
      <c r="J1163" s="41" t="inlineStr">
        <is>
          <t>263,000</t>
        </is>
      </c>
      <c r="K1163" s="41" t="inlineStr">
        <is>
          <t>B</t>
        </is>
      </c>
      <c r="L1163" s="41" t="inlineStr">
        <is>
          <t>4</t>
        </is>
      </c>
      <c r="M1163" s="42" t="inlineStr">
        <is>
          <t>개인</t>
        </is>
      </c>
      <c r="N1163" s="42" t="inlineStr">
        <is>
          <t>개인</t>
        </is>
      </c>
      <c r="O1163" s="41" t="inlineStr">
        <is>
          <t>2003</t>
        </is>
      </c>
      <c r="P1163" s="42" t="inlineStr">
        <is>
          <t>서초중앙로 15</t>
        </is>
      </c>
      <c r="Q1163" s="41" t="inlineStr">
        <is>
          <t>-</t>
        </is>
      </c>
      <c r="R1163" s="42" t="inlineStr">
        <is>
          <t>중개거래</t>
        </is>
      </c>
      <c r="S1163" s="42" t="inlineStr">
        <is>
          <t>서울 서초구</t>
        </is>
      </c>
      <c r="T1163" s="41" t="inlineStr">
        <is>
          <t>24.10.15</t>
        </is>
      </c>
      <c r="U1163" s="42" t="inlineStr">
        <is>
          <t>아파트</t>
        </is>
      </c>
    </row>
    <row r="1164" hidden="1" ht="14.25" customHeight="1">
      <c r="A1164" s="41" t="n">
        <v>631</v>
      </c>
      <c r="B1164" s="42" t="inlineStr">
        <is>
          <t>서울특별시 서초구 서초동</t>
        </is>
      </c>
      <c r="C1164" s="41" t="inlineStr">
        <is>
          <t>1315</t>
        </is>
      </c>
      <c r="D1164" s="41" t="inlineStr">
        <is>
          <t>1315</t>
        </is>
      </c>
      <c r="E1164" s="41" t="inlineStr">
        <is>
          <t>0000</t>
        </is>
      </c>
      <c r="F1164" s="42" t="inlineStr">
        <is>
          <t>진흥아파트</t>
        </is>
      </c>
      <c r="G1164" s="41" t="inlineStr">
        <is>
          <t>101.3200</t>
        </is>
      </c>
      <c r="H1164" s="41" t="inlineStr">
        <is>
          <t>202408</t>
        </is>
      </c>
      <c r="I1164" s="41" t="inlineStr">
        <is>
          <t>26</t>
        </is>
      </c>
      <c r="J1164" s="41" t="inlineStr">
        <is>
          <t>236,000</t>
        </is>
      </c>
      <c r="K1164" s="41" t="inlineStr">
        <is>
          <t>1</t>
        </is>
      </c>
      <c r="L1164" s="41" t="inlineStr">
        <is>
          <t>8</t>
        </is>
      </c>
      <c r="M1164" s="42" t="inlineStr">
        <is>
          <t>개인</t>
        </is>
      </c>
      <c r="N1164" s="42" t="inlineStr">
        <is>
          <t>개인</t>
        </is>
      </c>
      <c r="O1164" s="41" t="inlineStr">
        <is>
          <t>1979</t>
        </is>
      </c>
      <c r="P1164" s="42" t="inlineStr">
        <is>
          <t>서초대로 385</t>
        </is>
      </c>
      <c r="Q1164" s="41" t="inlineStr">
        <is>
          <t>-</t>
        </is>
      </c>
      <c r="R1164" s="42" t="inlineStr">
        <is>
          <t>중개거래</t>
        </is>
      </c>
      <c r="S1164" s="42" t="inlineStr">
        <is>
          <t>서울 서초구</t>
        </is>
      </c>
      <c r="T1164" s="41" t="inlineStr">
        <is>
          <t>24.11.08</t>
        </is>
      </c>
      <c r="U1164" s="42" t="inlineStr">
        <is>
          <t>아파트</t>
        </is>
      </c>
    </row>
    <row r="1165" hidden="1" ht="14.25" customHeight="1">
      <c r="A1165" s="41" t="n">
        <v>632</v>
      </c>
      <c r="B1165" s="42" t="inlineStr">
        <is>
          <t>서울특별시 서초구 서초동</t>
        </is>
      </c>
      <c r="C1165" s="41" t="inlineStr">
        <is>
          <t>1315</t>
        </is>
      </c>
      <c r="D1165" s="41" t="inlineStr">
        <is>
          <t>1315</t>
        </is>
      </c>
      <c r="E1165" s="41" t="inlineStr">
        <is>
          <t>0000</t>
        </is>
      </c>
      <c r="F1165" s="42" t="inlineStr">
        <is>
          <t>진흥아파트</t>
        </is>
      </c>
      <c r="G1165" s="41" t="inlineStr">
        <is>
          <t>101.3200</t>
        </is>
      </c>
      <c r="H1165" s="41" t="inlineStr">
        <is>
          <t>202408</t>
        </is>
      </c>
      <c r="I1165" s="41" t="inlineStr">
        <is>
          <t>26</t>
        </is>
      </c>
      <c r="J1165" s="41" t="inlineStr">
        <is>
          <t>236,000</t>
        </is>
      </c>
      <c r="K1165" s="41" t="inlineStr">
        <is>
          <t>-</t>
        </is>
      </c>
      <c r="L1165" s="41" t="inlineStr">
        <is>
          <t>8</t>
        </is>
      </c>
      <c r="M1165" s="42" t="inlineStr">
        <is>
          <t>개인</t>
        </is>
      </c>
      <c r="N1165" s="42" t="inlineStr">
        <is>
          <t>개인</t>
        </is>
      </c>
      <c r="O1165" s="41" t="inlineStr">
        <is>
          <t>1979</t>
        </is>
      </c>
      <c r="P1165" s="42" t="inlineStr">
        <is>
          <t>서초대로 385</t>
        </is>
      </c>
      <c r="Q1165" s="41" t="inlineStr">
        <is>
          <t>20240827</t>
        </is>
      </c>
      <c r="R1165" s="42" t="inlineStr">
        <is>
          <t>중개거래</t>
        </is>
      </c>
      <c r="S1165" s="42" t="inlineStr">
        <is>
          <t>서울 서초구</t>
        </is>
      </c>
      <c r="T1165" s="41" t="inlineStr">
        <is>
          <t>-</t>
        </is>
      </c>
      <c r="U1165" s="42" t="inlineStr">
        <is>
          <t>아파트</t>
        </is>
      </c>
    </row>
    <row r="1166" hidden="1" ht="14.25" customHeight="1">
      <c r="A1166" s="41" t="n">
        <v>633</v>
      </c>
      <c r="B1166" s="42" t="inlineStr">
        <is>
          <t>서울특별시 서초구 서초동</t>
        </is>
      </c>
      <c r="C1166" s="41" t="inlineStr">
        <is>
          <t>1315</t>
        </is>
      </c>
      <c r="D1166" s="41" t="inlineStr">
        <is>
          <t>1315</t>
        </is>
      </c>
      <c r="E1166" s="41" t="inlineStr">
        <is>
          <t>0000</t>
        </is>
      </c>
      <c r="F1166" s="42" t="inlineStr">
        <is>
          <t>진흥아파트</t>
        </is>
      </c>
      <c r="G1166" s="41" t="inlineStr">
        <is>
          <t>101.3200</t>
        </is>
      </c>
      <c r="H1166" s="41" t="inlineStr">
        <is>
          <t>202408</t>
        </is>
      </c>
      <c r="I1166" s="41" t="inlineStr">
        <is>
          <t>26</t>
        </is>
      </c>
      <c r="J1166" s="41" t="inlineStr">
        <is>
          <t>236,000</t>
        </is>
      </c>
      <c r="K1166" s="41" t="inlineStr">
        <is>
          <t>-</t>
        </is>
      </c>
      <c r="L1166" s="41" t="inlineStr">
        <is>
          <t>8</t>
        </is>
      </c>
      <c r="M1166" s="42" t="inlineStr">
        <is>
          <t>개인</t>
        </is>
      </c>
      <c r="N1166" s="42" t="inlineStr">
        <is>
          <t>개인</t>
        </is>
      </c>
      <c r="O1166" s="41" t="inlineStr">
        <is>
          <t>1979</t>
        </is>
      </c>
      <c r="P1166" s="42" t="inlineStr">
        <is>
          <t>서초대로 385</t>
        </is>
      </c>
      <c r="Q1166" s="41" t="inlineStr">
        <is>
          <t>20240826</t>
        </is>
      </c>
      <c r="R1166" s="42" t="inlineStr">
        <is>
          <t>중개거래</t>
        </is>
      </c>
      <c r="S1166" s="42" t="inlineStr">
        <is>
          <t>서울 서초구</t>
        </is>
      </c>
      <c r="T1166" s="41" t="inlineStr">
        <is>
          <t>-</t>
        </is>
      </c>
      <c r="U1166" s="42" t="inlineStr">
        <is>
          <t>아파트</t>
        </is>
      </c>
    </row>
    <row r="1167" hidden="1" ht="14.25" customHeight="1">
      <c r="A1167" s="41" t="n">
        <v>634</v>
      </c>
      <c r="B1167" s="42" t="inlineStr">
        <is>
          <t>서울특별시 서초구 서초동</t>
        </is>
      </c>
      <c r="C1167" s="41" t="inlineStr">
        <is>
          <t>1311-10</t>
        </is>
      </c>
      <c r="D1167" s="41" t="inlineStr">
        <is>
          <t>1311</t>
        </is>
      </c>
      <c r="E1167" s="41" t="inlineStr">
        <is>
          <t>0010</t>
        </is>
      </c>
      <c r="F1167" s="42" t="inlineStr">
        <is>
          <t>서초푸르지오써밋</t>
        </is>
      </c>
      <c r="G1167" s="41" t="inlineStr">
        <is>
          <t>84.9300</t>
        </is>
      </c>
      <c r="H1167" s="41" t="inlineStr">
        <is>
          <t>202408</t>
        </is>
      </c>
      <c r="I1167" s="41" t="inlineStr">
        <is>
          <t>26</t>
        </is>
      </c>
      <c r="J1167" s="41" t="inlineStr">
        <is>
          <t>310,000</t>
        </is>
      </c>
      <c r="K1167" s="41" t="inlineStr">
        <is>
          <t>105</t>
        </is>
      </c>
      <c r="L1167" s="41" t="inlineStr">
        <is>
          <t>11</t>
        </is>
      </c>
      <c r="M1167" s="42" t="inlineStr">
        <is>
          <t>개인</t>
        </is>
      </c>
      <c r="N1167" s="42" t="inlineStr">
        <is>
          <t>개인</t>
        </is>
      </c>
      <c r="O1167" s="41" t="inlineStr">
        <is>
          <t>2017</t>
        </is>
      </c>
      <c r="P1167" s="42" t="inlineStr">
        <is>
          <t>서운로 201</t>
        </is>
      </c>
      <c r="Q1167" s="41" t="inlineStr">
        <is>
          <t>-</t>
        </is>
      </c>
      <c r="R1167" s="42" t="inlineStr">
        <is>
          <t>중개거래</t>
        </is>
      </c>
      <c r="S1167" s="42" t="inlineStr">
        <is>
          <t>서울 서초구</t>
        </is>
      </c>
      <c r="T1167" s="41" t="inlineStr">
        <is>
          <t>25.01.24</t>
        </is>
      </c>
      <c r="U1167" s="42" t="inlineStr">
        <is>
          <t>아파트</t>
        </is>
      </c>
    </row>
    <row r="1168" hidden="1" ht="14.25" customHeight="1">
      <c r="A1168" s="41" t="n">
        <v>635</v>
      </c>
      <c r="B1168" s="42" t="inlineStr">
        <is>
          <t>서울특별시 서초구 서초동</t>
        </is>
      </c>
      <c r="C1168" s="41" t="inlineStr">
        <is>
          <t>1677-11</t>
        </is>
      </c>
      <c r="D1168" s="41" t="inlineStr">
        <is>
          <t>1677</t>
        </is>
      </c>
      <c r="E1168" s="41" t="inlineStr">
        <is>
          <t>0011</t>
        </is>
      </c>
      <c r="F1168" s="42" t="inlineStr">
        <is>
          <t>삼환바우스</t>
        </is>
      </c>
      <c r="G1168" s="41" t="inlineStr">
        <is>
          <t>84.9800</t>
        </is>
      </c>
      <c r="H1168" s="41" t="inlineStr">
        <is>
          <t>202408</t>
        </is>
      </c>
      <c r="I1168" s="41" t="inlineStr">
        <is>
          <t>26</t>
        </is>
      </c>
      <c r="J1168" s="41" t="inlineStr">
        <is>
          <t>123,000</t>
        </is>
      </c>
      <c r="K1168" s="41" t="inlineStr">
        <is>
          <t>1</t>
        </is>
      </c>
      <c r="L1168" s="41" t="inlineStr">
        <is>
          <t>15</t>
        </is>
      </c>
      <c r="M1168" s="42" t="inlineStr">
        <is>
          <t>개인</t>
        </is>
      </c>
      <c r="N1168" s="42" t="inlineStr">
        <is>
          <t>개인</t>
        </is>
      </c>
      <c r="O1168" s="41" t="inlineStr">
        <is>
          <t>2006</t>
        </is>
      </c>
      <c r="P1168" s="42" t="inlineStr">
        <is>
          <t>서초대로 340</t>
        </is>
      </c>
      <c r="Q1168" s="41" t="inlineStr">
        <is>
          <t>-</t>
        </is>
      </c>
      <c r="R1168" s="42" t="inlineStr">
        <is>
          <t>중개거래</t>
        </is>
      </c>
      <c r="S1168" s="42" t="inlineStr">
        <is>
          <t>서울 서초구</t>
        </is>
      </c>
      <c r="T1168" s="41" t="inlineStr">
        <is>
          <t>24.11.12</t>
        </is>
      </c>
      <c r="U1168" s="42" t="inlineStr">
        <is>
          <t>아파트</t>
        </is>
      </c>
    </row>
    <row r="1169" hidden="1" ht="14.25" customHeight="1">
      <c r="A1169" s="41" t="n">
        <v>636</v>
      </c>
      <c r="B1169" s="42" t="inlineStr">
        <is>
          <t>서울특별시 서초구 서초동</t>
        </is>
      </c>
      <c r="C1169" s="41" t="inlineStr">
        <is>
          <t>1757</t>
        </is>
      </c>
      <c r="D1169" s="41" t="inlineStr">
        <is>
          <t>1757</t>
        </is>
      </c>
      <c r="E1169" s="41" t="inlineStr">
        <is>
          <t>0000</t>
        </is>
      </c>
      <c r="F1169" s="42" t="inlineStr">
        <is>
          <t>서초그랑자이</t>
        </is>
      </c>
      <c r="G1169" s="41" t="inlineStr">
        <is>
          <t>59.9800</t>
        </is>
      </c>
      <c r="H1169" s="41" t="inlineStr">
        <is>
          <t>202408</t>
        </is>
      </c>
      <c r="I1169" s="41" t="inlineStr">
        <is>
          <t>24</t>
        </is>
      </c>
      <c r="J1169" s="41" t="inlineStr">
        <is>
          <t>265,000</t>
        </is>
      </c>
      <c r="K1169" s="41" t="inlineStr">
        <is>
          <t>105동</t>
        </is>
      </c>
      <c r="L1169" s="41" t="inlineStr">
        <is>
          <t>30</t>
        </is>
      </c>
      <c r="M1169" s="42" t="inlineStr">
        <is>
          <t>개인</t>
        </is>
      </c>
      <c r="N1169" s="42" t="inlineStr">
        <is>
          <t>개인</t>
        </is>
      </c>
      <c r="O1169" s="41" t="inlineStr">
        <is>
          <t>2021</t>
        </is>
      </c>
      <c r="P1169" s="42" t="inlineStr">
        <is>
          <t>효령로 391</t>
        </is>
      </c>
      <c r="Q1169" s="41" t="inlineStr">
        <is>
          <t>-</t>
        </is>
      </c>
      <c r="R1169" s="42" t="inlineStr">
        <is>
          <t>중개거래</t>
        </is>
      </c>
      <c r="S1169" s="42" t="inlineStr">
        <is>
          <t>서울 서초구</t>
        </is>
      </c>
      <c r="T1169" s="41" t="inlineStr">
        <is>
          <t>24.12.23</t>
        </is>
      </c>
      <c r="U1169" s="42" t="inlineStr">
        <is>
          <t>아파트</t>
        </is>
      </c>
    </row>
    <row r="1170" hidden="1" ht="14.25" customHeight="1">
      <c r="A1170" s="41" t="n">
        <v>637</v>
      </c>
      <c r="B1170" s="42" t="inlineStr">
        <is>
          <t>서울특별시 서초구 서초동</t>
        </is>
      </c>
      <c r="C1170" s="41" t="inlineStr">
        <is>
          <t>1498-5</t>
        </is>
      </c>
      <c r="D1170" s="41" t="inlineStr">
        <is>
          <t>1498</t>
        </is>
      </c>
      <c r="E1170" s="41" t="inlineStr">
        <is>
          <t>0005</t>
        </is>
      </c>
      <c r="F1170" s="42" t="inlineStr">
        <is>
          <t>마제스타시티(힐스테이트서리풀101,102동)</t>
        </is>
      </c>
      <c r="G1170" s="41" t="inlineStr">
        <is>
          <t>59.9500</t>
        </is>
      </c>
      <c r="H1170" s="41" t="inlineStr">
        <is>
          <t>202408</t>
        </is>
      </c>
      <c r="I1170" s="41" t="inlineStr">
        <is>
          <t>24</t>
        </is>
      </c>
      <c r="J1170" s="41" t="inlineStr">
        <is>
          <t>190,000</t>
        </is>
      </c>
      <c r="K1170" s="42" t="inlineStr">
        <is>
          <t>힐스테이트 서리풀 101동</t>
        </is>
      </c>
      <c r="L1170" s="41" t="inlineStr">
        <is>
          <t>20</t>
        </is>
      </c>
      <c r="M1170" s="42" t="inlineStr">
        <is>
          <t>개인</t>
        </is>
      </c>
      <c r="N1170" s="42" t="inlineStr">
        <is>
          <t>개인</t>
        </is>
      </c>
      <c r="O1170" s="41" t="inlineStr">
        <is>
          <t>2017</t>
        </is>
      </c>
      <c r="P1170" s="42" t="inlineStr">
        <is>
          <t>서초대로38길 12</t>
        </is>
      </c>
      <c r="Q1170" s="41" t="inlineStr">
        <is>
          <t>-</t>
        </is>
      </c>
      <c r="R1170" s="42" t="inlineStr">
        <is>
          <t>중개거래</t>
        </is>
      </c>
      <c r="S1170" s="42" t="inlineStr">
        <is>
          <t>서울 강남구, 서울 서초구</t>
        </is>
      </c>
      <c r="T1170" s="41" t="inlineStr">
        <is>
          <t>24.12.05</t>
        </is>
      </c>
      <c r="U1170" s="42" t="inlineStr">
        <is>
          <t>아파트</t>
        </is>
      </c>
    </row>
    <row r="1171" hidden="1" ht="14.25" customHeight="1">
      <c r="A1171" s="41" t="n">
        <v>638</v>
      </c>
      <c r="B1171" s="42" t="inlineStr">
        <is>
          <t>서울특별시 서초구 서초동</t>
        </is>
      </c>
      <c r="C1171" s="41" t="inlineStr">
        <is>
          <t>1338-1</t>
        </is>
      </c>
      <c r="D1171" s="41" t="inlineStr">
        <is>
          <t>1338</t>
        </is>
      </c>
      <c r="E1171" s="41" t="inlineStr">
        <is>
          <t>0001</t>
        </is>
      </c>
      <c r="F1171" s="42" t="inlineStr">
        <is>
          <t>풍림아이원플러스</t>
        </is>
      </c>
      <c r="G1171" s="41" t="inlineStr">
        <is>
          <t>27.6430</t>
        </is>
      </c>
      <c r="H1171" s="41" t="inlineStr">
        <is>
          <t>202408</t>
        </is>
      </c>
      <c r="I1171" s="41" t="inlineStr">
        <is>
          <t>23</t>
        </is>
      </c>
      <c r="J1171" s="41" t="inlineStr">
        <is>
          <t>29,400</t>
        </is>
      </c>
      <c r="K1171" s="42" t="inlineStr">
        <is>
          <t>풍림아이원플러스</t>
        </is>
      </c>
      <c r="L1171" s="41" t="inlineStr">
        <is>
          <t>13</t>
        </is>
      </c>
      <c r="M1171" s="42" t="inlineStr">
        <is>
          <t>개인</t>
        </is>
      </c>
      <c r="N1171" s="42" t="inlineStr">
        <is>
          <t>개인</t>
        </is>
      </c>
      <c r="O1171" s="41" t="inlineStr">
        <is>
          <t>2004</t>
        </is>
      </c>
      <c r="P1171" s="42" t="inlineStr">
        <is>
          <t>효령로77길 14</t>
        </is>
      </c>
      <c r="Q1171" s="41" t="inlineStr">
        <is>
          <t>-</t>
        </is>
      </c>
      <c r="R1171" s="42" t="inlineStr">
        <is>
          <t>중개거래</t>
        </is>
      </c>
      <c r="S1171" s="42" t="inlineStr">
        <is>
          <t>서울 서초구</t>
        </is>
      </c>
      <c r="T1171" s="41" t="inlineStr">
        <is>
          <t>24.10.18</t>
        </is>
      </c>
      <c r="U1171" s="42" t="inlineStr">
        <is>
          <t>아파트</t>
        </is>
      </c>
    </row>
    <row r="1172" hidden="1" ht="14.25" customHeight="1">
      <c r="A1172" s="41" t="n">
        <v>639</v>
      </c>
      <c r="B1172" s="42" t="inlineStr">
        <is>
          <t>서울특별시 서초구 서초동</t>
        </is>
      </c>
      <c r="C1172" s="41" t="inlineStr">
        <is>
          <t>1338-1</t>
        </is>
      </c>
      <c r="D1172" s="41" t="inlineStr">
        <is>
          <t>1338</t>
        </is>
      </c>
      <c r="E1172" s="41" t="inlineStr">
        <is>
          <t>0001</t>
        </is>
      </c>
      <c r="F1172" s="42" t="inlineStr">
        <is>
          <t>풍림아이원플러스</t>
        </is>
      </c>
      <c r="G1172" s="41" t="inlineStr">
        <is>
          <t>27.6430</t>
        </is>
      </c>
      <c r="H1172" s="41" t="inlineStr">
        <is>
          <t>202408</t>
        </is>
      </c>
      <c r="I1172" s="41" t="inlineStr">
        <is>
          <t>23</t>
        </is>
      </c>
      <c r="J1172" s="41" t="inlineStr">
        <is>
          <t>29,400</t>
        </is>
      </c>
      <c r="K1172" s="41" t="inlineStr">
        <is>
          <t>-</t>
        </is>
      </c>
      <c r="L1172" s="41" t="inlineStr">
        <is>
          <t>13</t>
        </is>
      </c>
      <c r="M1172" s="42" t="inlineStr">
        <is>
          <t>개인</t>
        </is>
      </c>
      <c r="N1172" s="42" t="inlineStr">
        <is>
          <t>개인</t>
        </is>
      </c>
      <c r="O1172" s="41" t="inlineStr">
        <is>
          <t>2004</t>
        </is>
      </c>
      <c r="P1172" s="42" t="inlineStr">
        <is>
          <t>효령로77길 14</t>
        </is>
      </c>
      <c r="Q1172" s="41" t="inlineStr">
        <is>
          <t>20240920</t>
        </is>
      </c>
      <c r="R1172" s="42" t="inlineStr">
        <is>
          <t>중개거래</t>
        </is>
      </c>
      <c r="S1172" s="42" t="inlineStr">
        <is>
          <t>서울 서초구</t>
        </is>
      </c>
      <c r="T1172" s="41" t="inlineStr">
        <is>
          <t>-</t>
        </is>
      </c>
      <c r="U1172" s="42" t="inlineStr">
        <is>
          <t>아파트</t>
        </is>
      </c>
    </row>
    <row r="1173" hidden="1" ht="14.25" customHeight="1">
      <c r="A1173" s="41" t="n">
        <v>640</v>
      </c>
      <c r="B1173" s="42" t="inlineStr">
        <is>
          <t>서울특별시 서초구 서초동</t>
        </is>
      </c>
      <c r="C1173" s="41" t="inlineStr">
        <is>
          <t>1338-1</t>
        </is>
      </c>
      <c r="D1173" s="41" t="inlineStr">
        <is>
          <t>1338</t>
        </is>
      </c>
      <c r="E1173" s="41" t="inlineStr">
        <is>
          <t>0001</t>
        </is>
      </c>
      <c r="F1173" s="42" t="inlineStr">
        <is>
          <t>풍림아이원플러스</t>
        </is>
      </c>
      <c r="G1173" s="41" t="inlineStr">
        <is>
          <t>27.6430</t>
        </is>
      </c>
      <c r="H1173" s="41" t="inlineStr">
        <is>
          <t>202408</t>
        </is>
      </c>
      <c r="I1173" s="41" t="inlineStr">
        <is>
          <t>23</t>
        </is>
      </c>
      <c r="J1173" s="41" t="inlineStr">
        <is>
          <t>29,400</t>
        </is>
      </c>
      <c r="K1173" s="41" t="inlineStr">
        <is>
          <t>-</t>
        </is>
      </c>
      <c r="L1173" s="41" t="inlineStr">
        <is>
          <t>13</t>
        </is>
      </c>
      <c r="M1173" s="42" t="inlineStr">
        <is>
          <t>개인</t>
        </is>
      </c>
      <c r="N1173" s="42" t="inlineStr">
        <is>
          <t>개인</t>
        </is>
      </c>
      <c r="O1173" s="41" t="inlineStr">
        <is>
          <t>2004</t>
        </is>
      </c>
      <c r="P1173" s="42" t="inlineStr">
        <is>
          <t>효령로77길 14</t>
        </is>
      </c>
      <c r="Q1173" s="41" t="inlineStr">
        <is>
          <t>20240905</t>
        </is>
      </c>
      <c r="R1173" s="42" t="inlineStr">
        <is>
          <t>중개거래</t>
        </is>
      </c>
      <c r="S1173" s="42" t="inlineStr">
        <is>
          <t>서울 서초구</t>
        </is>
      </c>
      <c r="T1173" s="41" t="inlineStr">
        <is>
          <t>-</t>
        </is>
      </c>
      <c r="U1173" s="42" t="inlineStr">
        <is>
          <t>아파트</t>
        </is>
      </c>
    </row>
    <row r="1174" hidden="1" ht="14.25" customHeight="1">
      <c r="A1174" s="41" t="n">
        <v>641</v>
      </c>
      <c r="B1174" s="42" t="inlineStr">
        <is>
          <t>서울특별시 서초구 서초동</t>
        </is>
      </c>
      <c r="C1174" s="41" t="inlineStr">
        <is>
          <t>1446-11</t>
        </is>
      </c>
      <c r="D1174" s="41" t="inlineStr">
        <is>
          <t>1446</t>
        </is>
      </c>
      <c r="E1174" s="41" t="inlineStr">
        <is>
          <t>0011</t>
        </is>
      </c>
      <c r="F1174" s="42" t="inlineStr">
        <is>
          <t>현대슈퍼빌</t>
        </is>
      </c>
      <c r="G1174" s="41" t="inlineStr">
        <is>
          <t>164.8700</t>
        </is>
      </c>
      <c r="H1174" s="41" t="inlineStr">
        <is>
          <t>202408</t>
        </is>
      </c>
      <c r="I1174" s="41" t="inlineStr">
        <is>
          <t>23</t>
        </is>
      </c>
      <c r="J1174" s="41" t="inlineStr">
        <is>
          <t>255,000</t>
        </is>
      </c>
      <c r="K1174" s="41" t="inlineStr">
        <is>
          <t>A</t>
        </is>
      </c>
      <c r="L1174" s="41" t="inlineStr">
        <is>
          <t>13</t>
        </is>
      </c>
      <c r="M1174" s="42" t="inlineStr">
        <is>
          <t>개인</t>
        </is>
      </c>
      <c r="N1174" s="42" t="inlineStr">
        <is>
          <t>개인</t>
        </is>
      </c>
      <c r="O1174" s="41" t="inlineStr">
        <is>
          <t>2003</t>
        </is>
      </c>
      <c r="P1174" s="42" t="inlineStr">
        <is>
          <t>서초중앙로 15</t>
        </is>
      </c>
      <c r="Q1174" s="41" t="inlineStr">
        <is>
          <t>-</t>
        </is>
      </c>
      <c r="R1174" s="42" t="inlineStr">
        <is>
          <t>중개거래</t>
        </is>
      </c>
      <c r="S1174" s="42" t="inlineStr">
        <is>
          <t>서울 강남구, 서울 서초구</t>
        </is>
      </c>
      <c r="T1174" s="41" t="inlineStr">
        <is>
          <t>24.12.13</t>
        </is>
      </c>
      <c r="U1174" s="42" t="inlineStr">
        <is>
          <t>아파트</t>
        </is>
      </c>
    </row>
    <row r="1175" hidden="1" ht="14.25" customHeight="1">
      <c r="A1175" s="41" t="n">
        <v>642</v>
      </c>
      <c r="B1175" s="42" t="inlineStr">
        <is>
          <t>서울특별시 서초구 서초동</t>
        </is>
      </c>
      <c r="C1175" s="41" t="inlineStr">
        <is>
          <t>1755</t>
        </is>
      </c>
      <c r="D1175" s="41" t="inlineStr">
        <is>
          <t>1755</t>
        </is>
      </c>
      <c r="E1175" s="41" t="inlineStr">
        <is>
          <t>0000</t>
        </is>
      </c>
      <c r="F1175" s="42" t="inlineStr">
        <is>
          <t>래미안 리더스원</t>
        </is>
      </c>
      <c r="G1175" s="41" t="inlineStr">
        <is>
          <t>59.9700</t>
        </is>
      </c>
      <c r="H1175" s="41" t="inlineStr">
        <is>
          <t>202408</t>
        </is>
      </c>
      <c r="I1175" s="41" t="inlineStr">
        <is>
          <t>23</t>
        </is>
      </c>
      <c r="J1175" s="41" t="inlineStr">
        <is>
          <t>276,000</t>
        </is>
      </c>
      <c r="K1175" s="41" t="inlineStr">
        <is>
          <t>110동</t>
        </is>
      </c>
      <c r="L1175" s="41" t="inlineStr">
        <is>
          <t>17</t>
        </is>
      </c>
      <c r="M1175" s="42" t="inlineStr">
        <is>
          <t>개인</t>
        </is>
      </c>
      <c r="N1175" s="42" t="inlineStr">
        <is>
          <t>개인</t>
        </is>
      </c>
      <c r="O1175" s="41" t="inlineStr">
        <is>
          <t>2020</t>
        </is>
      </c>
      <c r="P1175" s="42" t="inlineStr">
        <is>
          <t>서운로 62</t>
        </is>
      </c>
      <c r="Q1175" s="41" t="inlineStr">
        <is>
          <t>-</t>
        </is>
      </c>
      <c r="R1175" s="42" t="inlineStr">
        <is>
          <t>중개거래</t>
        </is>
      </c>
      <c r="S1175" s="42" t="inlineStr">
        <is>
          <t>서울 서초구</t>
        </is>
      </c>
      <c r="T1175" s="41" t="inlineStr">
        <is>
          <t>24.09.30</t>
        </is>
      </c>
      <c r="U1175" s="42" t="inlineStr">
        <is>
          <t>아파트</t>
        </is>
      </c>
    </row>
    <row r="1176" hidden="1" ht="14.25" customHeight="1">
      <c r="A1176" s="41" t="n">
        <v>643</v>
      </c>
      <c r="B1176" s="42" t="inlineStr">
        <is>
          <t>서울특별시 서초구 서초동</t>
        </is>
      </c>
      <c r="C1176" s="41" t="inlineStr">
        <is>
          <t>1593-7</t>
        </is>
      </c>
      <c r="D1176" s="41" t="inlineStr">
        <is>
          <t>1593</t>
        </is>
      </c>
      <c r="E1176" s="41" t="inlineStr">
        <is>
          <t>0007</t>
        </is>
      </c>
      <c r="F1176" s="42" t="inlineStr">
        <is>
          <t>서초이오빌</t>
        </is>
      </c>
      <c r="G1176" s="41" t="inlineStr">
        <is>
          <t>45.9600</t>
        </is>
      </c>
      <c r="H1176" s="41" t="inlineStr">
        <is>
          <t>202408</t>
        </is>
      </c>
      <c r="I1176" s="41" t="inlineStr">
        <is>
          <t>21</t>
        </is>
      </c>
      <c r="J1176" s="41" t="inlineStr">
        <is>
          <t>32,000</t>
        </is>
      </c>
      <c r="K1176" s="41" t="inlineStr">
        <is>
          <t>-</t>
        </is>
      </c>
      <c r="L1176" s="41" t="inlineStr">
        <is>
          <t>4</t>
        </is>
      </c>
      <c r="M1176" s="42" t="inlineStr">
        <is>
          <t>개인</t>
        </is>
      </c>
      <c r="N1176" s="42" t="inlineStr">
        <is>
          <t>개인</t>
        </is>
      </c>
      <c r="O1176" s="41" t="inlineStr">
        <is>
          <t>2003</t>
        </is>
      </c>
      <c r="P1176" s="42" t="inlineStr">
        <is>
          <t>효령로53길 45</t>
        </is>
      </c>
      <c r="Q1176" s="41" t="inlineStr">
        <is>
          <t>-</t>
        </is>
      </c>
      <c r="R1176" s="42" t="inlineStr">
        <is>
          <t>직거래</t>
        </is>
      </c>
      <c r="S1176" s="41" t="inlineStr">
        <is>
          <t>-</t>
        </is>
      </c>
      <c r="T1176" s="41" t="inlineStr">
        <is>
          <t>24.09.10</t>
        </is>
      </c>
      <c r="U1176" s="42" t="inlineStr">
        <is>
          <t>아파트</t>
        </is>
      </c>
    </row>
    <row r="1177" hidden="1" ht="14.25" customHeight="1">
      <c r="A1177" s="41" t="n">
        <v>644</v>
      </c>
      <c r="B1177" s="42" t="inlineStr">
        <is>
          <t>서울특별시 서초구 서초동</t>
        </is>
      </c>
      <c r="C1177" s="41" t="inlineStr">
        <is>
          <t>1671-5</t>
        </is>
      </c>
      <c r="D1177" s="41" t="inlineStr">
        <is>
          <t>1671</t>
        </is>
      </c>
      <c r="E1177" s="41" t="inlineStr">
        <is>
          <t>0005</t>
        </is>
      </c>
      <c r="F1177" s="42" t="inlineStr">
        <is>
          <t>대림서초리시온</t>
        </is>
      </c>
      <c r="G1177" s="41" t="inlineStr">
        <is>
          <t>49.9200</t>
        </is>
      </c>
      <c r="H1177" s="41" t="inlineStr">
        <is>
          <t>202408</t>
        </is>
      </c>
      <c r="I1177" s="41" t="inlineStr">
        <is>
          <t>21</t>
        </is>
      </c>
      <c r="J1177" s="41" t="inlineStr">
        <is>
          <t>53,500</t>
        </is>
      </c>
      <c r="K1177" s="41" t="inlineStr">
        <is>
          <t>-</t>
        </is>
      </c>
      <c r="L1177" s="41" t="inlineStr">
        <is>
          <t>8</t>
        </is>
      </c>
      <c r="M1177" s="42" t="inlineStr">
        <is>
          <t>개인</t>
        </is>
      </c>
      <c r="N1177" s="42" t="inlineStr">
        <is>
          <t>개인</t>
        </is>
      </c>
      <c r="O1177" s="41" t="inlineStr">
        <is>
          <t>2003</t>
        </is>
      </c>
      <c r="P1177" s="42" t="inlineStr">
        <is>
          <t>서초중앙로22길 25</t>
        </is>
      </c>
      <c r="Q1177" s="41" t="inlineStr">
        <is>
          <t>-</t>
        </is>
      </c>
      <c r="R1177" s="42" t="inlineStr">
        <is>
          <t>중개거래</t>
        </is>
      </c>
      <c r="S1177" s="42" t="inlineStr">
        <is>
          <t>서울 서초구</t>
        </is>
      </c>
      <c r="T1177" s="41" t="inlineStr">
        <is>
          <t>24.09.27</t>
        </is>
      </c>
      <c r="U1177" s="42" t="inlineStr">
        <is>
          <t>아파트</t>
        </is>
      </c>
    </row>
    <row r="1178" hidden="1" ht="14.25" customHeight="1">
      <c r="A1178" s="41" t="n">
        <v>645</v>
      </c>
      <c r="B1178" s="42" t="inlineStr">
        <is>
          <t>서울특별시 서초구 서초동</t>
        </is>
      </c>
      <c r="C1178" s="41" t="inlineStr">
        <is>
          <t>1445-4</t>
        </is>
      </c>
      <c r="D1178" s="41" t="inlineStr">
        <is>
          <t>1445</t>
        </is>
      </c>
      <c r="E1178" s="41" t="inlineStr">
        <is>
          <t>0004</t>
        </is>
      </c>
      <c r="F1178" s="42" t="inlineStr">
        <is>
          <t>래미안서초유니빌</t>
        </is>
      </c>
      <c r="G1178" s="41" t="inlineStr">
        <is>
          <t>43.6240</t>
        </is>
      </c>
      <c r="H1178" s="41" t="inlineStr">
        <is>
          <t>202408</t>
        </is>
      </c>
      <c r="I1178" s="41" t="inlineStr">
        <is>
          <t>21</t>
        </is>
      </c>
      <c r="J1178" s="41" t="inlineStr">
        <is>
          <t>47,000</t>
        </is>
      </c>
      <c r="K1178" s="42" t="inlineStr">
        <is>
          <t>래미안 서초유니빌</t>
        </is>
      </c>
      <c r="L1178" s="41" t="inlineStr">
        <is>
          <t>19</t>
        </is>
      </c>
      <c r="M1178" s="42" t="inlineStr">
        <is>
          <t>개인</t>
        </is>
      </c>
      <c r="N1178" s="42" t="inlineStr">
        <is>
          <t>개인</t>
        </is>
      </c>
      <c r="O1178" s="41" t="inlineStr">
        <is>
          <t>2003</t>
        </is>
      </c>
      <c r="P1178" s="42" t="inlineStr">
        <is>
          <t>서초중앙로 26</t>
        </is>
      </c>
      <c r="Q1178" s="41" t="inlineStr">
        <is>
          <t>-</t>
        </is>
      </c>
      <c r="R1178" s="42" t="inlineStr">
        <is>
          <t>중개거래</t>
        </is>
      </c>
      <c r="S1178" s="42" t="inlineStr">
        <is>
          <t>서울 서초구</t>
        </is>
      </c>
      <c r="T1178" s="41" t="inlineStr">
        <is>
          <t>24.10.08</t>
        </is>
      </c>
      <c r="U1178" s="42" t="inlineStr">
        <is>
          <t>아파트</t>
        </is>
      </c>
    </row>
    <row r="1179" hidden="1" ht="14.25" customHeight="1">
      <c r="A1179" s="41" t="n">
        <v>646</v>
      </c>
      <c r="B1179" s="42" t="inlineStr">
        <is>
          <t>서울특별시 서초구 서초동</t>
        </is>
      </c>
      <c r="C1179" s="41" t="inlineStr">
        <is>
          <t>1338-1</t>
        </is>
      </c>
      <c r="D1179" s="41" t="inlineStr">
        <is>
          <t>1338</t>
        </is>
      </c>
      <c r="E1179" s="41" t="inlineStr">
        <is>
          <t>0001</t>
        </is>
      </c>
      <c r="F1179" s="42" t="inlineStr">
        <is>
          <t>풍림아이원플러스</t>
        </is>
      </c>
      <c r="G1179" s="41" t="inlineStr">
        <is>
          <t>35.9030</t>
        </is>
      </c>
      <c r="H1179" s="41" t="inlineStr">
        <is>
          <t>202408</t>
        </is>
      </c>
      <c r="I1179" s="41" t="inlineStr">
        <is>
          <t>20</t>
        </is>
      </c>
      <c r="J1179" s="41" t="inlineStr">
        <is>
          <t>36,500</t>
        </is>
      </c>
      <c r="K1179" s="42" t="inlineStr">
        <is>
          <t>풍림아이원플러스</t>
        </is>
      </c>
      <c r="L1179" s="41" t="inlineStr">
        <is>
          <t>11</t>
        </is>
      </c>
      <c r="M1179" s="42" t="inlineStr">
        <is>
          <t>개인</t>
        </is>
      </c>
      <c r="N1179" s="42" t="inlineStr">
        <is>
          <t>개인</t>
        </is>
      </c>
      <c r="O1179" s="41" t="inlineStr">
        <is>
          <t>2004</t>
        </is>
      </c>
      <c r="P1179" s="42" t="inlineStr">
        <is>
          <t>효령로77길 14</t>
        </is>
      </c>
      <c r="Q1179" s="41" t="inlineStr">
        <is>
          <t>-</t>
        </is>
      </c>
      <c r="R1179" s="42" t="inlineStr">
        <is>
          <t>중개거래</t>
        </is>
      </c>
      <c r="S1179" s="42" t="inlineStr">
        <is>
          <t>서울 서초구</t>
        </is>
      </c>
      <c r="T1179" s="41" t="inlineStr">
        <is>
          <t>24.09.30</t>
        </is>
      </c>
      <c r="U1179" s="42" t="inlineStr">
        <is>
          <t>아파트</t>
        </is>
      </c>
    </row>
    <row r="1180" hidden="1" ht="14.25" customHeight="1">
      <c r="A1180" s="41" t="n">
        <v>647</v>
      </c>
      <c r="B1180" s="42" t="inlineStr">
        <is>
          <t>서울특별시 서초구 서초동</t>
        </is>
      </c>
      <c r="C1180" s="41" t="inlineStr">
        <is>
          <t>1682</t>
        </is>
      </c>
      <c r="D1180" s="41" t="inlineStr">
        <is>
          <t>1682</t>
        </is>
      </c>
      <c r="E1180" s="41" t="inlineStr">
        <is>
          <t>0000</t>
        </is>
      </c>
      <c r="F1180" s="42" t="inlineStr">
        <is>
          <t>서초래미안</t>
        </is>
      </c>
      <c r="G1180" s="41" t="inlineStr">
        <is>
          <t>84.9700</t>
        </is>
      </c>
      <c r="H1180" s="41" t="inlineStr">
        <is>
          <t>202408</t>
        </is>
      </c>
      <c r="I1180" s="41" t="inlineStr">
        <is>
          <t>20</t>
        </is>
      </c>
      <c r="J1180" s="41" t="inlineStr">
        <is>
          <t>230,000</t>
        </is>
      </c>
      <c r="K1180" s="41" t="inlineStr">
        <is>
          <t>103</t>
        </is>
      </c>
      <c r="L1180" s="41" t="inlineStr">
        <is>
          <t>13</t>
        </is>
      </c>
      <c r="M1180" s="42" t="inlineStr">
        <is>
          <t>개인</t>
        </is>
      </c>
      <c r="N1180" s="42" t="inlineStr">
        <is>
          <t>개인</t>
        </is>
      </c>
      <c r="O1180" s="41" t="inlineStr">
        <is>
          <t>2003</t>
        </is>
      </c>
      <c r="P1180" s="42" t="inlineStr">
        <is>
          <t>서초대로65길 13-10</t>
        </is>
      </c>
      <c r="Q1180" s="41" t="inlineStr">
        <is>
          <t>-</t>
        </is>
      </c>
      <c r="R1180" s="42" t="inlineStr">
        <is>
          <t>중개거래</t>
        </is>
      </c>
      <c r="S1180" s="42" t="inlineStr">
        <is>
          <t>서울 서초구</t>
        </is>
      </c>
      <c r="T1180" s="41" t="inlineStr">
        <is>
          <t>24.09.30</t>
        </is>
      </c>
      <c r="U1180" s="42" t="inlineStr">
        <is>
          <t>아파트</t>
        </is>
      </c>
    </row>
    <row r="1181" hidden="1" ht="14.25" customHeight="1">
      <c r="A1181" s="41" t="n">
        <v>648</v>
      </c>
      <c r="B1181" s="42" t="inlineStr">
        <is>
          <t>서울특별시 서초구 서초동</t>
        </is>
      </c>
      <c r="C1181" s="41" t="inlineStr">
        <is>
          <t>1582-3</t>
        </is>
      </c>
      <c r="D1181" s="41" t="inlineStr">
        <is>
          <t>1582</t>
        </is>
      </c>
      <c r="E1181" s="41" t="inlineStr">
        <is>
          <t>0003</t>
        </is>
      </c>
      <c r="F1181" s="42" t="inlineStr">
        <is>
          <t>서초센트럴IPARK</t>
        </is>
      </c>
      <c r="G1181" s="41" t="inlineStr">
        <is>
          <t>80.5981</t>
        </is>
      </c>
      <c r="H1181" s="41" t="inlineStr">
        <is>
          <t>202408</t>
        </is>
      </c>
      <c r="I1181" s="41" t="inlineStr">
        <is>
          <t>20</t>
        </is>
      </c>
      <c r="J1181" s="41" t="inlineStr">
        <is>
          <t>169,000</t>
        </is>
      </c>
      <c r="K1181" s="41" t="inlineStr">
        <is>
          <t>101동</t>
        </is>
      </c>
      <c r="L1181" s="41" t="inlineStr">
        <is>
          <t>5</t>
        </is>
      </c>
      <c r="M1181" s="42" t="inlineStr">
        <is>
          <t>개인</t>
        </is>
      </c>
      <c r="N1181" s="42" t="inlineStr">
        <is>
          <t>개인</t>
        </is>
      </c>
      <c r="O1181" s="41" t="inlineStr">
        <is>
          <t>2020</t>
        </is>
      </c>
      <c r="P1181" s="42" t="inlineStr">
        <is>
          <t>반포대로18길 36</t>
        </is>
      </c>
      <c r="Q1181" s="41" t="inlineStr">
        <is>
          <t>-</t>
        </is>
      </c>
      <c r="R1181" s="42" t="inlineStr">
        <is>
          <t>중개거래</t>
        </is>
      </c>
      <c r="S1181" s="42" t="inlineStr">
        <is>
          <t>서울 서초구</t>
        </is>
      </c>
      <c r="T1181" s="41" t="inlineStr">
        <is>
          <t>24.11.04</t>
        </is>
      </c>
      <c r="U1181" s="42" t="inlineStr">
        <is>
          <t>아파트</t>
        </is>
      </c>
    </row>
    <row r="1182" hidden="1" ht="14.25" customHeight="1">
      <c r="A1182" s="41" t="n">
        <v>649</v>
      </c>
      <c r="B1182" s="42" t="inlineStr">
        <is>
          <t>서울특별시 서초구 서초동</t>
        </is>
      </c>
      <c r="C1182" s="41" t="inlineStr">
        <is>
          <t>1346</t>
        </is>
      </c>
      <c r="D1182" s="41" t="inlineStr">
        <is>
          <t>1346</t>
        </is>
      </c>
      <c r="E1182" s="41" t="inlineStr">
        <is>
          <t>0000</t>
        </is>
      </c>
      <c r="F1182" s="42" t="inlineStr">
        <is>
          <t>현대아파트</t>
        </is>
      </c>
      <c r="G1182" s="41" t="inlineStr">
        <is>
          <t>84.3300</t>
        </is>
      </c>
      <c r="H1182" s="41" t="inlineStr">
        <is>
          <t>202408</t>
        </is>
      </c>
      <c r="I1182" s="41" t="inlineStr">
        <is>
          <t>19</t>
        </is>
      </c>
      <c r="J1182" s="41" t="inlineStr">
        <is>
          <t>175,000</t>
        </is>
      </c>
      <c r="K1182" s="41" t="inlineStr">
        <is>
          <t>20</t>
        </is>
      </c>
      <c r="L1182" s="41" t="inlineStr">
        <is>
          <t>9</t>
        </is>
      </c>
      <c r="M1182" s="42" t="inlineStr">
        <is>
          <t>개인</t>
        </is>
      </c>
      <c r="N1182" s="42" t="inlineStr">
        <is>
          <t>개인</t>
        </is>
      </c>
      <c r="O1182" s="41" t="inlineStr">
        <is>
          <t>1989</t>
        </is>
      </c>
      <c r="P1182" s="42" t="inlineStr">
        <is>
          <t>효령로68길 13</t>
        </is>
      </c>
      <c r="Q1182" s="41" t="inlineStr">
        <is>
          <t>-</t>
        </is>
      </c>
      <c r="R1182" s="42" t="inlineStr">
        <is>
          <t>중개거래</t>
        </is>
      </c>
      <c r="S1182" s="42" t="inlineStr">
        <is>
          <t>서울 마포구, 서울 서초구</t>
        </is>
      </c>
      <c r="T1182" s="41" t="inlineStr">
        <is>
          <t>24.11.08</t>
        </is>
      </c>
      <c r="U1182" s="42" t="inlineStr">
        <is>
          <t>아파트</t>
        </is>
      </c>
    </row>
    <row r="1183" hidden="1" ht="14.25" customHeight="1">
      <c r="A1183" s="41" t="n">
        <v>650</v>
      </c>
      <c r="B1183" s="42" t="inlineStr">
        <is>
          <t>서울특별시 서초구 서초동</t>
        </is>
      </c>
      <c r="C1183" s="41" t="inlineStr">
        <is>
          <t>1445-4</t>
        </is>
      </c>
      <c r="D1183" s="41" t="inlineStr">
        <is>
          <t>1445</t>
        </is>
      </c>
      <c r="E1183" s="41" t="inlineStr">
        <is>
          <t>0004</t>
        </is>
      </c>
      <c r="F1183" s="42" t="inlineStr">
        <is>
          <t>래미안서초유니빌</t>
        </is>
      </c>
      <c r="G1183" s="41" t="inlineStr">
        <is>
          <t>49.7450</t>
        </is>
      </c>
      <c r="H1183" s="41" t="inlineStr">
        <is>
          <t>202408</t>
        </is>
      </c>
      <c r="I1183" s="41" t="inlineStr">
        <is>
          <t>19</t>
        </is>
      </c>
      <c r="J1183" s="41" t="inlineStr">
        <is>
          <t>63,000</t>
        </is>
      </c>
      <c r="K1183" s="42" t="inlineStr">
        <is>
          <t>래미안 서초유니빌</t>
        </is>
      </c>
      <c r="L1183" s="41" t="inlineStr">
        <is>
          <t>4</t>
        </is>
      </c>
      <c r="M1183" s="42" t="inlineStr">
        <is>
          <t>개인</t>
        </is>
      </c>
      <c r="N1183" s="42" t="inlineStr">
        <is>
          <t>개인</t>
        </is>
      </c>
      <c r="O1183" s="41" t="inlineStr">
        <is>
          <t>2003</t>
        </is>
      </c>
      <c r="P1183" s="42" t="inlineStr">
        <is>
          <t>서초중앙로 26</t>
        </is>
      </c>
      <c r="Q1183" s="41" t="inlineStr">
        <is>
          <t>-</t>
        </is>
      </c>
      <c r="R1183" s="42" t="inlineStr">
        <is>
          <t>중개거래</t>
        </is>
      </c>
      <c r="S1183" s="42" t="inlineStr">
        <is>
          <t>서울 서초구</t>
        </is>
      </c>
      <c r="T1183" s="41" t="inlineStr">
        <is>
          <t>25.01.02</t>
        </is>
      </c>
      <c r="U1183" s="42" t="inlineStr">
        <is>
          <t>아파트</t>
        </is>
      </c>
    </row>
    <row r="1184" hidden="1" ht="14.25" customHeight="1">
      <c r="A1184" s="41" t="n">
        <v>651</v>
      </c>
      <c r="B1184" s="42" t="inlineStr">
        <is>
          <t>서울특별시 서초구 서초동</t>
        </is>
      </c>
      <c r="C1184" s="41" t="inlineStr">
        <is>
          <t>1445-4</t>
        </is>
      </c>
      <c r="D1184" s="41" t="inlineStr">
        <is>
          <t>1445</t>
        </is>
      </c>
      <c r="E1184" s="41" t="inlineStr">
        <is>
          <t>0004</t>
        </is>
      </c>
      <c r="F1184" s="42" t="inlineStr">
        <is>
          <t>래미안서초유니빌</t>
        </is>
      </c>
      <c r="G1184" s="41" t="inlineStr">
        <is>
          <t>45.2550</t>
        </is>
      </c>
      <c r="H1184" s="41" t="inlineStr">
        <is>
          <t>202408</t>
        </is>
      </c>
      <c r="I1184" s="41" t="inlineStr">
        <is>
          <t>19</t>
        </is>
      </c>
      <c r="J1184" s="41" t="inlineStr">
        <is>
          <t>47,500</t>
        </is>
      </c>
      <c r="K1184" s="42" t="inlineStr">
        <is>
          <t>래미안 서초유니빌</t>
        </is>
      </c>
      <c r="L1184" s="41" t="inlineStr">
        <is>
          <t>9</t>
        </is>
      </c>
      <c r="M1184" s="42" t="inlineStr">
        <is>
          <t>개인</t>
        </is>
      </c>
      <c r="N1184" s="42" t="inlineStr">
        <is>
          <t>개인</t>
        </is>
      </c>
      <c r="O1184" s="41" t="inlineStr">
        <is>
          <t>2003</t>
        </is>
      </c>
      <c r="P1184" s="42" t="inlineStr">
        <is>
          <t>서초중앙로 26</t>
        </is>
      </c>
      <c r="Q1184" s="41" t="inlineStr">
        <is>
          <t>-</t>
        </is>
      </c>
      <c r="R1184" s="42" t="inlineStr">
        <is>
          <t>중개거래</t>
        </is>
      </c>
      <c r="S1184" s="42" t="inlineStr">
        <is>
          <t>서울 서초구</t>
        </is>
      </c>
      <c r="T1184" s="41" t="inlineStr">
        <is>
          <t>24.10.29</t>
        </is>
      </c>
      <c r="U1184" s="42" t="inlineStr">
        <is>
          <t>아파트</t>
        </is>
      </c>
    </row>
    <row r="1185" hidden="1" ht="14.25" customHeight="1">
      <c r="A1185" s="41" t="n">
        <v>652</v>
      </c>
      <c r="B1185" s="42" t="inlineStr">
        <is>
          <t>서울특별시 서초구 서초동</t>
        </is>
      </c>
      <c r="C1185" s="41" t="inlineStr">
        <is>
          <t>1755</t>
        </is>
      </c>
      <c r="D1185" s="41" t="inlineStr">
        <is>
          <t>1755</t>
        </is>
      </c>
      <c r="E1185" s="41" t="inlineStr">
        <is>
          <t>0000</t>
        </is>
      </c>
      <c r="F1185" s="42" t="inlineStr">
        <is>
          <t>래미안 리더스원</t>
        </is>
      </c>
      <c r="G1185" s="41" t="inlineStr">
        <is>
          <t>135.8300</t>
        </is>
      </c>
      <c r="H1185" s="41" t="inlineStr">
        <is>
          <t>202408</t>
        </is>
      </c>
      <c r="I1185" s="41" t="inlineStr">
        <is>
          <t>19</t>
        </is>
      </c>
      <c r="J1185" s="41" t="inlineStr">
        <is>
          <t>459,000</t>
        </is>
      </c>
      <c r="K1185" s="41" t="inlineStr">
        <is>
          <t>102동</t>
        </is>
      </c>
      <c r="L1185" s="41" t="inlineStr">
        <is>
          <t>20</t>
        </is>
      </c>
      <c r="M1185" s="42" t="inlineStr">
        <is>
          <t>개인</t>
        </is>
      </c>
      <c r="N1185" s="42" t="inlineStr">
        <is>
          <t>개인</t>
        </is>
      </c>
      <c r="O1185" s="41" t="inlineStr">
        <is>
          <t>2020</t>
        </is>
      </c>
      <c r="P1185" s="42" t="inlineStr">
        <is>
          <t>서운로 62</t>
        </is>
      </c>
      <c r="Q1185" s="41" t="inlineStr">
        <is>
          <t>-</t>
        </is>
      </c>
      <c r="R1185" s="42" t="inlineStr">
        <is>
          <t>중개거래</t>
        </is>
      </c>
      <c r="S1185" s="42" t="inlineStr">
        <is>
          <t>서울 서초구</t>
        </is>
      </c>
      <c r="T1185" s="41" t="inlineStr">
        <is>
          <t>24.09.10</t>
        </is>
      </c>
      <c r="U1185" s="42" t="inlineStr">
        <is>
          <t>아파트</t>
        </is>
      </c>
    </row>
    <row r="1186" hidden="1" ht="14.25" customHeight="1">
      <c r="A1186" s="41" t="n">
        <v>653</v>
      </c>
      <c r="B1186" s="42" t="inlineStr">
        <is>
          <t>서울특별시 서초구 서초동</t>
        </is>
      </c>
      <c r="C1186" s="41" t="inlineStr">
        <is>
          <t>1326-17</t>
        </is>
      </c>
      <c r="D1186" s="41" t="inlineStr">
        <is>
          <t>1326</t>
        </is>
      </c>
      <c r="E1186" s="41" t="inlineStr">
        <is>
          <t>0017</t>
        </is>
      </c>
      <c r="F1186" s="42" t="inlineStr">
        <is>
          <t>우성아파트</t>
        </is>
      </c>
      <c r="G1186" s="41" t="inlineStr">
        <is>
          <t>57.2600</t>
        </is>
      </c>
      <c r="H1186" s="41" t="inlineStr">
        <is>
          <t>202408</t>
        </is>
      </c>
      <c r="I1186" s="41" t="inlineStr">
        <is>
          <t>18</t>
        </is>
      </c>
      <c r="J1186" s="41" t="inlineStr">
        <is>
          <t>165,000</t>
        </is>
      </c>
      <c r="K1186" s="41" t="inlineStr">
        <is>
          <t>501</t>
        </is>
      </c>
      <c r="L1186" s="41" t="inlineStr">
        <is>
          <t>22</t>
        </is>
      </c>
      <c r="M1186" s="42" t="inlineStr">
        <is>
          <t>개인</t>
        </is>
      </c>
      <c r="N1186" s="42" t="inlineStr">
        <is>
          <t>개인</t>
        </is>
      </c>
      <c r="O1186" s="41" t="inlineStr">
        <is>
          <t>1998</t>
        </is>
      </c>
      <c r="P1186" s="42" t="inlineStr">
        <is>
          <t>서초대로74길 30</t>
        </is>
      </c>
      <c r="Q1186" s="41" t="inlineStr">
        <is>
          <t>-</t>
        </is>
      </c>
      <c r="R1186" s="42" t="inlineStr">
        <is>
          <t>중개거래</t>
        </is>
      </c>
      <c r="S1186" s="42" t="inlineStr">
        <is>
          <t>서울 서초구</t>
        </is>
      </c>
      <c r="T1186" s="41" t="inlineStr">
        <is>
          <t>24.10.25</t>
        </is>
      </c>
      <c r="U1186" s="42" t="inlineStr">
        <is>
          <t>아파트</t>
        </is>
      </c>
    </row>
    <row r="1187" hidden="1" ht="14.25" customHeight="1">
      <c r="A1187" s="41" t="n">
        <v>654</v>
      </c>
      <c r="B1187" s="42" t="inlineStr">
        <is>
          <t>서울특별시 서초구 서초동</t>
        </is>
      </c>
      <c r="C1187" s="41" t="inlineStr">
        <is>
          <t>1467-97</t>
        </is>
      </c>
      <c r="D1187" s="41" t="inlineStr">
        <is>
          <t>1467</t>
        </is>
      </c>
      <c r="E1187" s="41" t="inlineStr">
        <is>
          <t>0097</t>
        </is>
      </c>
      <c r="F1187" s="42" t="inlineStr">
        <is>
          <t>서초금호어울림</t>
        </is>
      </c>
      <c r="G1187" s="41" t="inlineStr">
        <is>
          <t>146.1300</t>
        </is>
      </c>
      <c r="H1187" s="41" t="inlineStr">
        <is>
          <t>202408</t>
        </is>
      </c>
      <c r="I1187" s="41" t="inlineStr">
        <is>
          <t>18</t>
        </is>
      </c>
      <c r="J1187" s="41" t="inlineStr">
        <is>
          <t>197,000</t>
        </is>
      </c>
      <c r="K1187" s="41" t="inlineStr">
        <is>
          <t>101</t>
        </is>
      </c>
      <c r="L1187" s="41" t="inlineStr">
        <is>
          <t>11</t>
        </is>
      </c>
      <c r="M1187" s="42" t="inlineStr">
        <is>
          <t>개인</t>
        </is>
      </c>
      <c r="N1187" s="42" t="inlineStr">
        <is>
          <t>법인</t>
        </is>
      </c>
      <c r="O1187" s="41" t="inlineStr">
        <is>
          <t>2001</t>
        </is>
      </c>
      <c r="P1187" s="42" t="inlineStr">
        <is>
          <t>명달로 10</t>
        </is>
      </c>
      <c r="Q1187" s="41" t="inlineStr">
        <is>
          <t>-</t>
        </is>
      </c>
      <c r="R1187" s="42" t="inlineStr">
        <is>
          <t>중개거래</t>
        </is>
      </c>
      <c r="S1187" s="42" t="inlineStr">
        <is>
          <t>서울 서초구</t>
        </is>
      </c>
      <c r="T1187" s="41" t="inlineStr">
        <is>
          <t>25.02.28</t>
        </is>
      </c>
      <c r="U1187" s="42" t="inlineStr">
        <is>
          <t>아파트</t>
        </is>
      </c>
    </row>
    <row r="1188" hidden="1" ht="14.25" customHeight="1">
      <c r="A1188" s="41" t="n">
        <v>655</v>
      </c>
      <c r="B1188" s="42" t="inlineStr">
        <is>
          <t>서울특별시 서초구 서초동</t>
        </is>
      </c>
      <c r="C1188" s="41" t="inlineStr">
        <is>
          <t>1311-10</t>
        </is>
      </c>
      <c r="D1188" s="41" t="inlineStr">
        <is>
          <t>1311</t>
        </is>
      </c>
      <c r="E1188" s="41" t="inlineStr">
        <is>
          <t>0010</t>
        </is>
      </c>
      <c r="F1188" s="42" t="inlineStr">
        <is>
          <t>서초푸르지오써밋</t>
        </is>
      </c>
      <c r="G1188" s="41" t="inlineStr">
        <is>
          <t>104.1900</t>
        </is>
      </c>
      <c r="H1188" s="41" t="inlineStr">
        <is>
          <t>202408</t>
        </is>
      </c>
      <c r="I1188" s="41" t="inlineStr">
        <is>
          <t>17</t>
        </is>
      </c>
      <c r="J1188" s="41" t="inlineStr">
        <is>
          <t>323,000</t>
        </is>
      </c>
      <c r="K1188" s="41" t="inlineStr">
        <is>
          <t>202</t>
        </is>
      </c>
      <c r="L1188" s="41" t="inlineStr">
        <is>
          <t>9</t>
        </is>
      </c>
      <c r="M1188" s="42" t="inlineStr">
        <is>
          <t>개인</t>
        </is>
      </c>
      <c r="N1188" s="42" t="inlineStr">
        <is>
          <t>개인</t>
        </is>
      </c>
      <c r="O1188" s="41" t="inlineStr">
        <is>
          <t>2017</t>
        </is>
      </c>
      <c r="P1188" s="42" t="inlineStr">
        <is>
          <t>서운로 212</t>
        </is>
      </c>
      <c r="Q1188" s="41" t="inlineStr">
        <is>
          <t>-</t>
        </is>
      </c>
      <c r="R1188" s="42" t="inlineStr">
        <is>
          <t>중개거래</t>
        </is>
      </c>
      <c r="S1188" s="42" t="inlineStr">
        <is>
          <t>서울 서초구</t>
        </is>
      </c>
      <c r="T1188" s="41" t="inlineStr">
        <is>
          <t>24.12.31</t>
        </is>
      </c>
      <c r="U1188" s="42" t="inlineStr">
        <is>
          <t>아파트</t>
        </is>
      </c>
    </row>
    <row r="1189" hidden="1" ht="14.25" customHeight="1">
      <c r="A1189" s="41" t="n">
        <v>656</v>
      </c>
      <c r="B1189" s="42" t="inlineStr">
        <is>
          <t>서울특별시 서초구 서초동</t>
        </is>
      </c>
      <c r="C1189" s="41" t="inlineStr">
        <is>
          <t>1684</t>
        </is>
      </c>
      <c r="D1189" s="41" t="inlineStr">
        <is>
          <t>1684</t>
        </is>
      </c>
      <c r="E1189" s="41" t="inlineStr">
        <is>
          <t>0000</t>
        </is>
      </c>
      <c r="F1189" s="42" t="inlineStr">
        <is>
          <t>서초4현대</t>
        </is>
      </c>
      <c r="G1189" s="41" t="inlineStr">
        <is>
          <t>84.9500</t>
        </is>
      </c>
      <c r="H1189" s="41" t="inlineStr">
        <is>
          <t>202408</t>
        </is>
      </c>
      <c r="I1189" s="41" t="inlineStr">
        <is>
          <t>17</t>
        </is>
      </c>
      <c r="J1189" s="41" t="inlineStr">
        <is>
          <t>203,000</t>
        </is>
      </c>
      <c r="K1189" s="41" t="inlineStr">
        <is>
          <t>101</t>
        </is>
      </c>
      <c r="L1189" s="41" t="inlineStr">
        <is>
          <t>10</t>
        </is>
      </c>
      <c r="M1189" s="42" t="inlineStr">
        <is>
          <t>개인</t>
        </is>
      </c>
      <c r="N1189" s="42" t="inlineStr">
        <is>
          <t>개인</t>
        </is>
      </c>
      <c r="O1189" s="41" t="inlineStr">
        <is>
          <t>2000</t>
        </is>
      </c>
      <c r="P1189" s="42" t="inlineStr">
        <is>
          <t>고무래로 94</t>
        </is>
      </c>
      <c r="Q1189" s="41" t="inlineStr">
        <is>
          <t>-</t>
        </is>
      </c>
      <c r="R1189" s="42" t="inlineStr">
        <is>
          <t>중개거래</t>
        </is>
      </c>
      <c r="S1189" s="42" t="inlineStr">
        <is>
          <t>서울 서초구</t>
        </is>
      </c>
      <c r="T1189" s="41" t="inlineStr">
        <is>
          <t>24.12.19</t>
        </is>
      </c>
      <c r="U1189" s="42" t="inlineStr">
        <is>
          <t>아파트</t>
        </is>
      </c>
    </row>
    <row r="1190" hidden="1" ht="14.25" customHeight="1">
      <c r="A1190" s="41" t="n">
        <v>657</v>
      </c>
      <c r="B1190" s="42" t="inlineStr">
        <is>
          <t>서울특별시 서초구 서초동</t>
        </is>
      </c>
      <c r="C1190" s="41" t="inlineStr">
        <is>
          <t>1625-7</t>
        </is>
      </c>
      <c r="D1190" s="41" t="inlineStr">
        <is>
          <t>1625</t>
        </is>
      </c>
      <c r="E1190" s="41" t="inlineStr">
        <is>
          <t>0007</t>
        </is>
      </c>
      <c r="F1190" s="42" t="inlineStr">
        <is>
          <t>티에스프리우스</t>
        </is>
      </c>
      <c r="G1190" s="41" t="inlineStr">
        <is>
          <t>108.3400</t>
        </is>
      </c>
      <c r="H1190" s="41" t="inlineStr">
        <is>
          <t>202408</t>
        </is>
      </c>
      <c r="I1190" s="41" t="inlineStr">
        <is>
          <t>17</t>
        </is>
      </c>
      <c r="J1190" s="41" t="inlineStr">
        <is>
          <t>140,000</t>
        </is>
      </c>
      <c r="K1190" s="41" t="inlineStr">
        <is>
          <t>-</t>
        </is>
      </c>
      <c r="L1190" s="41" t="inlineStr">
        <is>
          <t>2</t>
        </is>
      </c>
      <c r="M1190" s="42" t="inlineStr">
        <is>
          <t>개인</t>
        </is>
      </c>
      <c r="N1190" s="42" t="inlineStr">
        <is>
          <t>개인</t>
        </is>
      </c>
      <c r="O1190" s="41" t="inlineStr">
        <is>
          <t>2004</t>
        </is>
      </c>
      <c r="P1190" s="42" t="inlineStr">
        <is>
          <t>서초중앙로12길 19</t>
        </is>
      </c>
      <c r="Q1190" s="41" t="inlineStr">
        <is>
          <t>-</t>
        </is>
      </c>
      <c r="R1190" s="42" t="inlineStr">
        <is>
          <t>중개거래</t>
        </is>
      </c>
      <c r="S1190" s="42" t="inlineStr">
        <is>
          <t>서울 서초구</t>
        </is>
      </c>
      <c r="T1190" s="41" t="inlineStr">
        <is>
          <t>24.11.18</t>
        </is>
      </c>
      <c r="U1190" s="42" t="inlineStr">
        <is>
          <t>아파트</t>
        </is>
      </c>
    </row>
    <row r="1191" hidden="1" ht="14.25" customHeight="1">
      <c r="A1191" s="41" t="n">
        <v>658</v>
      </c>
      <c r="B1191" s="42" t="inlineStr">
        <is>
          <t>서울특별시 서초구 서초동</t>
        </is>
      </c>
      <c r="C1191" s="41" t="inlineStr">
        <is>
          <t>1685-3</t>
        </is>
      </c>
      <c r="D1191" s="41" t="inlineStr">
        <is>
          <t>1685</t>
        </is>
      </c>
      <c r="E1191" s="41" t="inlineStr">
        <is>
          <t>0003</t>
        </is>
      </c>
      <c r="F1191" s="42" t="inlineStr">
        <is>
          <t>아크로비스타</t>
        </is>
      </c>
      <c r="G1191" s="41" t="inlineStr">
        <is>
          <t>161.9400</t>
        </is>
      </c>
      <c r="H1191" s="41" t="inlineStr">
        <is>
          <t>202408</t>
        </is>
      </c>
      <c r="I1191" s="41" t="inlineStr">
        <is>
          <t>17</t>
        </is>
      </c>
      <c r="J1191" s="41" t="inlineStr">
        <is>
          <t>310,000</t>
        </is>
      </c>
      <c r="K1191" s="41" t="inlineStr">
        <is>
          <t>B</t>
        </is>
      </c>
      <c r="L1191" s="41" t="inlineStr">
        <is>
          <t>22</t>
        </is>
      </c>
      <c r="M1191" s="42" t="inlineStr">
        <is>
          <t>개인</t>
        </is>
      </c>
      <c r="N1191" s="42" t="inlineStr">
        <is>
          <t>개인</t>
        </is>
      </c>
      <c r="O1191" s="41" t="inlineStr">
        <is>
          <t>2004</t>
        </is>
      </c>
      <c r="P1191" s="42" t="inlineStr">
        <is>
          <t>서초중앙로 188</t>
        </is>
      </c>
      <c r="Q1191" s="41" t="inlineStr">
        <is>
          <t>-</t>
        </is>
      </c>
      <c r="R1191" s="42" t="inlineStr">
        <is>
          <t>중개거래</t>
        </is>
      </c>
      <c r="S1191" s="42" t="inlineStr">
        <is>
          <t>서울 서초구</t>
        </is>
      </c>
      <c r="T1191" s="41" t="inlineStr">
        <is>
          <t>24.09.23</t>
        </is>
      </c>
      <c r="U1191" s="42" t="inlineStr">
        <is>
          <t>아파트</t>
        </is>
      </c>
    </row>
    <row r="1192" hidden="1" ht="14.25" customHeight="1">
      <c r="A1192" s="41" t="n">
        <v>659</v>
      </c>
      <c r="B1192" s="42" t="inlineStr">
        <is>
          <t>서울특별시 서초구 서초동</t>
        </is>
      </c>
      <c r="C1192" s="41" t="inlineStr">
        <is>
          <t>1755</t>
        </is>
      </c>
      <c r="D1192" s="41" t="inlineStr">
        <is>
          <t>1755</t>
        </is>
      </c>
      <c r="E1192" s="41" t="inlineStr">
        <is>
          <t>0000</t>
        </is>
      </c>
      <c r="F1192" s="42" t="inlineStr">
        <is>
          <t>래미안 리더스원</t>
        </is>
      </c>
      <c r="G1192" s="41" t="inlineStr">
        <is>
          <t>114.9400</t>
        </is>
      </c>
      <c r="H1192" s="41" t="inlineStr">
        <is>
          <t>202408</t>
        </is>
      </c>
      <c r="I1192" s="41" t="inlineStr">
        <is>
          <t>17</t>
        </is>
      </c>
      <c r="J1192" s="41" t="inlineStr">
        <is>
          <t>385,000</t>
        </is>
      </c>
      <c r="K1192" s="41" t="inlineStr">
        <is>
          <t>109동</t>
        </is>
      </c>
      <c r="L1192" s="41" t="inlineStr">
        <is>
          <t>30</t>
        </is>
      </c>
      <c r="M1192" s="42" t="inlineStr">
        <is>
          <t>개인</t>
        </is>
      </c>
      <c r="N1192" s="42" t="inlineStr">
        <is>
          <t>개인</t>
        </is>
      </c>
      <c r="O1192" s="41" t="inlineStr">
        <is>
          <t>2020</t>
        </is>
      </c>
      <c r="P1192" s="42" t="inlineStr">
        <is>
          <t>서운로 62</t>
        </is>
      </c>
      <c r="Q1192" s="41" t="inlineStr">
        <is>
          <t>-</t>
        </is>
      </c>
      <c r="R1192" s="42" t="inlineStr">
        <is>
          <t>중개거래</t>
        </is>
      </c>
      <c r="S1192" s="42" t="inlineStr">
        <is>
          <t>서울 서초구</t>
        </is>
      </c>
      <c r="T1192" s="41" t="inlineStr">
        <is>
          <t>25.01.09</t>
        </is>
      </c>
      <c r="U1192" s="42" t="inlineStr">
        <is>
          <t>아파트</t>
        </is>
      </c>
    </row>
    <row r="1193" hidden="1" ht="14.25" customHeight="1">
      <c r="A1193" s="41" t="n">
        <v>660</v>
      </c>
      <c r="B1193" s="42" t="inlineStr">
        <is>
          <t>서울특별시 서초구 서초동</t>
        </is>
      </c>
      <c r="C1193" s="41" t="inlineStr">
        <is>
          <t>1311-10</t>
        </is>
      </c>
      <c r="D1193" s="41" t="inlineStr">
        <is>
          <t>1311</t>
        </is>
      </c>
      <c r="E1193" s="41" t="inlineStr">
        <is>
          <t>0010</t>
        </is>
      </c>
      <c r="F1193" s="42" t="inlineStr">
        <is>
          <t>서초푸르지오써밋</t>
        </is>
      </c>
      <c r="G1193" s="41" t="inlineStr">
        <is>
          <t>97.7000</t>
        </is>
      </c>
      <c r="H1193" s="41" t="inlineStr">
        <is>
          <t>202408</t>
        </is>
      </c>
      <c r="I1193" s="41" t="inlineStr">
        <is>
          <t>17</t>
        </is>
      </c>
      <c r="J1193" s="41" t="inlineStr">
        <is>
          <t>318,000</t>
        </is>
      </c>
      <c r="K1193" s="41" t="inlineStr">
        <is>
          <t>201</t>
        </is>
      </c>
      <c r="L1193" s="41" t="inlineStr">
        <is>
          <t>9</t>
        </is>
      </c>
      <c r="M1193" s="42" t="inlineStr">
        <is>
          <t>개인</t>
        </is>
      </c>
      <c r="N1193" s="42" t="inlineStr">
        <is>
          <t>개인</t>
        </is>
      </c>
      <c r="O1193" s="41" t="inlineStr">
        <is>
          <t>2017</t>
        </is>
      </c>
      <c r="P1193" s="42" t="inlineStr">
        <is>
          <t>서운로 212</t>
        </is>
      </c>
      <c r="Q1193" s="41" t="inlineStr">
        <is>
          <t>-</t>
        </is>
      </c>
      <c r="R1193" s="42" t="inlineStr">
        <is>
          <t>중개거래</t>
        </is>
      </c>
      <c r="S1193" s="42" t="inlineStr">
        <is>
          <t>서울 서초구</t>
        </is>
      </c>
      <c r="T1193" s="41" t="inlineStr">
        <is>
          <t>25.01.03</t>
        </is>
      </c>
      <c r="U1193" s="42" t="inlineStr">
        <is>
          <t>아파트</t>
        </is>
      </c>
    </row>
    <row r="1194" hidden="1" ht="14.25" customHeight="1">
      <c r="A1194" s="41" t="n">
        <v>661</v>
      </c>
      <c r="B1194" s="42" t="inlineStr">
        <is>
          <t>서울특별시 서초구 서초동</t>
        </is>
      </c>
      <c r="C1194" s="41" t="inlineStr">
        <is>
          <t>1312-3</t>
        </is>
      </c>
      <c r="D1194" s="41" t="inlineStr">
        <is>
          <t>1312</t>
        </is>
      </c>
      <c r="E1194" s="41" t="inlineStr">
        <is>
          <t>0003</t>
        </is>
      </c>
      <c r="F1194" s="42" t="inlineStr">
        <is>
          <t>롯데캐슬클래식</t>
        </is>
      </c>
      <c r="G1194" s="41" t="inlineStr">
        <is>
          <t>74.3000</t>
        </is>
      </c>
      <c r="H1194" s="41" t="inlineStr">
        <is>
          <t>202408</t>
        </is>
      </c>
      <c r="I1194" s="41" t="inlineStr">
        <is>
          <t>17</t>
        </is>
      </c>
      <c r="J1194" s="41" t="inlineStr">
        <is>
          <t>232,000</t>
        </is>
      </c>
      <c r="K1194" s="41" t="inlineStr">
        <is>
          <t>114</t>
        </is>
      </c>
      <c r="L1194" s="41" t="inlineStr">
        <is>
          <t>16</t>
        </is>
      </c>
      <c r="M1194" s="42" t="inlineStr">
        <is>
          <t>개인</t>
        </is>
      </c>
      <c r="N1194" s="42" t="inlineStr">
        <is>
          <t>개인</t>
        </is>
      </c>
      <c r="O1194" s="41" t="inlineStr">
        <is>
          <t>2006</t>
        </is>
      </c>
      <c r="P1194" s="42" t="inlineStr">
        <is>
          <t>서운로 200</t>
        </is>
      </c>
      <c r="Q1194" s="41" t="inlineStr">
        <is>
          <t>-</t>
        </is>
      </c>
      <c r="R1194" s="42" t="inlineStr">
        <is>
          <t>중개거래</t>
        </is>
      </c>
      <c r="S1194" s="42" t="inlineStr">
        <is>
          <t>서울 서초구</t>
        </is>
      </c>
      <c r="T1194" s="41" t="inlineStr">
        <is>
          <t>25.01.09</t>
        </is>
      </c>
      <c r="U1194" s="42" t="inlineStr">
        <is>
          <t>아파트</t>
        </is>
      </c>
    </row>
    <row r="1195" hidden="1" ht="14.25" customHeight="1">
      <c r="A1195" s="41" t="n">
        <v>662</v>
      </c>
      <c r="B1195" s="42" t="inlineStr">
        <is>
          <t>서울특별시 서초구 서초동</t>
        </is>
      </c>
      <c r="C1195" s="41" t="inlineStr">
        <is>
          <t>1755</t>
        </is>
      </c>
      <c r="D1195" s="41" t="inlineStr">
        <is>
          <t>1755</t>
        </is>
      </c>
      <c r="E1195" s="41" t="inlineStr">
        <is>
          <t>0000</t>
        </is>
      </c>
      <c r="F1195" s="42" t="inlineStr">
        <is>
          <t>래미안 리더스원</t>
        </is>
      </c>
      <c r="G1195" s="41" t="inlineStr">
        <is>
          <t>84.9400</t>
        </is>
      </c>
      <c r="H1195" s="41" t="inlineStr">
        <is>
          <t>202408</t>
        </is>
      </c>
      <c r="I1195" s="41" t="inlineStr">
        <is>
          <t>16</t>
        </is>
      </c>
      <c r="J1195" s="41" t="inlineStr">
        <is>
          <t>330,000</t>
        </is>
      </c>
      <c r="K1195" s="41" t="inlineStr">
        <is>
          <t>108동</t>
        </is>
      </c>
      <c r="L1195" s="41" t="inlineStr">
        <is>
          <t>20</t>
        </is>
      </c>
      <c r="M1195" s="42" t="inlineStr">
        <is>
          <t>개인</t>
        </is>
      </c>
      <c r="N1195" s="42" t="inlineStr">
        <is>
          <t>개인</t>
        </is>
      </c>
      <c r="O1195" s="41" t="inlineStr">
        <is>
          <t>2020</t>
        </is>
      </c>
      <c r="P1195" s="42" t="inlineStr">
        <is>
          <t>서운로 62</t>
        </is>
      </c>
      <c r="Q1195" s="41" t="inlineStr">
        <is>
          <t>-</t>
        </is>
      </c>
      <c r="R1195" s="42" t="inlineStr">
        <is>
          <t>중개거래</t>
        </is>
      </c>
      <c r="S1195" s="42" t="inlineStr">
        <is>
          <t>서울 강남구, 서울 서초구</t>
        </is>
      </c>
      <c r="T1195" s="41" t="inlineStr">
        <is>
          <t>24.12.30</t>
        </is>
      </c>
      <c r="U1195" s="42" t="inlineStr">
        <is>
          <t>아파트</t>
        </is>
      </c>
    </row>
    <row r="1196" hidden="1" ht="14.25" customHeight="1">
      <c r="A1196" s="41" t="n">
        <v>663</v>
      </c>
      <c r="B1196" s="42" t="inlineStr">
        <is>
          <t>서울특별시 서초구 서초동</t>
        </is>
      </c>
      <c r="C1196" s="41" t="inlineStr">
        <is>
          <t>1687</t>
        </is>
      </c>
      <c r="D1196" s="41" t="inlineStr">
        <is>
          <t>1687</t>
        </is>
      </c>
      <c r="E1196" s="41" t="inlineStr">
        <is>
          <t>0000</t>
        </is>
      </c>
      <c r="F1196" s="42" t="inlineStr">
        <is>
          <t>유원서초</t>
        </is>
      </c>
      <c r="G1196" s="41" t="inlineStr">
        <is>
          <t>84.8200</t>
        </is>
      </c>
      <c r="H1196" s="41" t="inlineStr">
        <is>
          <t>202408</t>
        </is>
      </c>
      <c r="I1196" s="41" t="inlineStr">
        <is>
          <t>16</t>
        </is>
      </c>
      <c r="J1196" s="41" t="inlineStr">
        <is>
          <t>198,000</t>
        </is>
      </c>
      <c r="K1196" s="41" t="inlineStr">
        <is>
          <t>102</t>
        </is>
      </c>
      <c r="L1196" s="41" t="inlineStr">
        <is>
          <t>12</t>
        </is>
      </c>
      <c r="M1196" s="42" t="inlineStr">
        <is>
          <t>개인</t>
        </is>
      </c>
      <c r="N1196" s="42" t="inlineStr">
        <is>
          <t>개인</t>
        </is>
      </c>
      <c r="O1196" s="41" t="inlineStr">
        <is>
          <t>1993</t>
        </is>
      </c>
      <c r="P1196" s="42" t="inlineStr">
        <is>
          <t>서초중앙로24길 43</t>
        </is>
      </c>
      <c r="Q1196" s="41" t="inlineStr">
        <is>
          <t>-</t>
        </is>
      </c>
      <c r="R1196" s="42" t="inlineStr">
        <is>
          <t>중개거래</t>
        </is>
      </c>
      <c r="S1196" s="42" t="inlineStr">
        <is>
          <t>서울 서초구</t>
        </is>
      </c>
      <c r="T1196" s="41" t="inlineStr">
        <is>
          <t>25.01.21</t>
        </is>
      </c>
      <c r="U1196" s="42" t="inlineStr">
        <is>
          <t>아파트</t>
        </is>
      </c>
    </row>
    <row r="1197" hidden="1" ht="14.25" customHeight="1">
      <c r="A1197" s="41" t="n">
        <v>664</v>
      </c>
      <c r="B1197" s="42" t="inlineStr">
        <is>
          <t>서울특별시 서초구 서초동</t>
        </is>
      </c>
      <c r="C1197" s="41" t="inlineStr">
        <is>
          <t>1333</t>
        </is>
      </c>
      <c r="D1197" s="41" t="inlineStr">
        <is>
          <t>1333</t>
        </is>
      </c>
      <c r="E1197" s="41" t="inlineStr">
        <is>
          <t>0000</t>
        </is>
      </c>
      <c r="F1197" s="42" t="inlineStr">
        <is>
          <t>신동아아파트(1차)</t>
        </is>
      </c>
      <c r="G1197" s="41" t="inlineStr">
        <is>
          <t>101.6000</t>
        </is>
      </c>
      <c r="H1197" s="41" t="inlineStr">
        <is>
          <t>202408</t>
        </is>
      </c>
      <c r="I1197" s="41" t="inlineStr">
        <is>
          <t>16</t>
        </is>
      </c>
      <c r="J1197" s="41" t="inlineStr">
        <is>
          <t>250,000</t>
        </is>
      </c>
      <c r="K1197" s="41" t="inlineStr">
        <is>
          <t>3</t>
        </is>
      </c>
      <c r="L1197" s="41" t="inlineStr">
        <is>
          <t>8</t>
        </is>
      </c>
      <c r="M1197" s="42" t="inlineStr">
        <is>
          <t>개인</t>
        </is>
      </c>
      <c r="N1197" s="42" t="inlineStr">
        <is>
          <t>개인</t>
        </is>
      </c>
      <c r="O1197" s="41" t="inlineStr">
        <is>
          <t>1978</t>
        </is>
      </c>
      <c r="P1197" s="42" t="inlineStr">
        <is>
          <t>사임당로 137</t>
        </is>
      </c>
      <c r="Q1197" s="41" t="inlineStr">
        <is>
          <t>-</t>
        </is>
      </c>
      <c r="R1197" s="42" t="inlineStr">
        <is>
          <t>중개거래</t>
        </is>
      </c>
      <c r="S1197" s="42" t="inlineStr">
        <is>
          <t>서울 서초구, 서울 송파구</t>
        </is>
      </c>
      <c r="T1197" s="41" t="inlineStr">
        <is>
          <t>24.10.30</t>
        </is>
      </c>
      <c r="U1197" s="42" t="inlineStr">
        <is>
          <t>아파트</t>
        </is>
      </c>
    </row>
    <row r="1198" hidden="1" ht="14.25" customHeight="1">
      <c r="A1198" s="41" t="n">
        <v>665</v>
      </c>
      <c r="B1198" s="42" t="inlineStr">
        <is>
          <t>서울특별시 서초구 서초동</t>
        </is>
      </c>
      <c r="C1198" s="41" t="inlineStr">
        <is>
          <t>1583-10</t>
        </is>
      </c>
      <c r="D1198" s="41" t="inlineStr">
        <is>
          <t>1583</t>
        </is>
      </c>
      <c r="E1198" s="41" t="inlineStr">
        <is>
          <t>0010</t>
        </is>
      </c>
      <c r="F1198" s="42" t="inlineStr">
        <is>
          <t>서초아트자이</t>
        </is>
      </c>
      <c r="G1198" s="41" t="inlineStr">
        <is>
          <t>144.3141</t>
        </is>
      </c>
      <c r="H1198" s="41" t="inlineStr">
        <is>
          <t>202408</t>
        </is>
      </c>
      <c r="I1198" s="41" t="inlineStr">
        <is>
          <t>16</t>
        </is>
      </c>
      <c r="J1198" s="41" t="inlineStr">
        <is>
          <t>240,000</t>
        </is>
      </c>
      <c r="K1198" s="41" t="inlineStr">
        <is>
          <t>103</t>
        </is>
      </c>
      <c r="L1198" s="41" t="inlineStr">
        <is>
          <t>8</t>
        </is>
      </c>
      <c r="M1198" s="42" t="inlineStr">
        <is>
          <t>개인</t>
        </is>
      </c>
      <c r="N1198" s="42" t="inlineStr">
        <is>
          <t>개인</t>
        </is>
      </c>
      <c r="O1198" s="41" t="inlineStr">
        <is>
          <t>2009</t>
        </is>
      </c>
      <c r="P1198" s="42" t="inlineStr">
        <is>
          <t>반포대로 58</t>
        </is>
      </c>
      <c r="Q1198" s="41" t="inlineStr">
        <is>
          <t>-</t>
        </is>
      </c>
      <c r="R1198" s="42" t="inlineStr">
        <is>
          <t>중개거래</t>
        </is>
      </c>
      <c r="S1198" s="42" t="inlineStr">
        <is>
          <t>서울 동작구, 서울 서초구</t>
        </is>
      </c>
      <c r="T1198" s="41" t="inlineStr">
        <is>
          <t>24.12.10</t>
        </is>
      </c>
      <c r="U1198" s="42" t="inlineStr">
        <is>
          <t>아파트</t>
        </is>
      </c>
    </row>
    <row r="1199" hidden="1" ht="14.25" customHeight="1">
      <c r="A1199" s="41" t="n">
        <v>666</v>
      </c>
      <c r="B1199" s="42" t="inlineStr">
        <is>
          <t>서울특별시 서초구 서초동</t>
        </is>
      </c>
      <c r="C1199" s="41" t="inlineStr">
        <is>
          <t>1685</t>
        </is>
      </c>
      <c r="D1199" s="41" t="inlineStr">
        <is>
          <t>1685</t>
        </is>
      </c>
      <c r="E1199" s="41" t="inlineStr">
        <is>
          <t>0000</t>
        </is>
      </c>
      <c r="F1199" s="42" t="inlineStr">
        <is>
          <t>삼풍아파트</t>
        </is>
      </c>
      <c r="G1199" s="41" t="inlineStr">
        <is>
          <t>79.4700</t>
        </is>
      </c>
      <c r="H1199" s="41" t="inlineStr">
        <is>
          <t>202408</t>
        </is>
      </c>
      <c r="I1199" s="41" t="inlineStr">
        <is>
          <t>15</t>
        </is>
      </c>
      <c r="J1199" s="41" t="inlineStr">
        <is>
          <t>250,000</t>
        </is>
      </c>
      <c r="K1199" s="41" t="inlineStr">
        <is>
          <t>3</t>
        </is>
      </c>
      <c r="L1199" s="41" t="inlineStr">
        <is>
          <t>2</t>
        </is>
      </c>
      <c r="M1199" s="42" t="inlineStr">
        <is>
          <t>개인</t>
        </is>
      </c>
      <c r="N1199" s="42" t="inlineStr">
        <is>
          <t>개인</t>
        </is>
      </c>
      <c r="O1199" s="41" t="inlineStr">
        <is>
          <t>1988</t>
        </is>
      </c>
      <c r="P1199" s="42" t="inlineStr">
        <is>
          <t>서초중앙로 200</t>
        </is>
      </c>
      <c r="Q1199" s="41" t="inlineStr">
        <is>
          <t>-</t>
        </is>
      </c>
      <c r="R1199" s="42" t="inlineStr">
        <is>
          <t>중개거래</t>
        </is>
      </c>
      <c r="S1199" s="42" t="inlineStr">
        <is>
          <t>서울 서초구</t>
        </is>
      </c>
      <c r="T1199" s="41" t="inlineStr">
        <is>
          <t>24.11.29</t>
        </is>
      </c>
      <c r="U1199" s="42" t="inlineStr">
        <is>
          <t>아파트</t>
        </is>
      </c>
    </row>
    <row r="1200" hidden="1" ht="14.25" customHeight="1">
      <c r="A1200" s="41" t="n">
        <v>667</v>
      </c>
      <c r="B1200" s="42" t="inlineStr">
        <is>
          <t>서울특별시 서초구 서초동</t>
        </is>
      </c>
      <c r="C1200" s="41" t="inlineStr">
        <is>
          <t>1671-5</t>
        </is>
      </c>
      <c r="D1200" s="41" t="inlineStr">
        <is>
          <t>1671</t>
        </is>
      </c>
      <c r="E1200" s="41" t="inlineStr">
        <is>
          <t>0005</t>
        </is>
      </c>
      <c r="F1200" s="42" t="inlineStr">
        <is>
          <t>대림서초리시온</t>
        </is>
      </c>
      <c r="G1200" s="41" t="inlineStr">
        <is>
          <t>49.9200</t>
        </is>
      </c>
      <c r="H1200" s="41" t="inlineStr">
        <is>
          <t>202408</t>
        </is>
      </c>
      <c r="I1200" s="41" t="inlineStr">
        <is>
          <t>15</t>
        </is>
      </c>
      <c r="J1200" s="41" t="inlineStr">
        <is>
          <t>53,000</t>
        </is>
      </c>
      <c r="K1200" s="41" t="inlineStr">
        <is>
          <t>-</t>
        </is>
      </c>
      <c r="L1200" s="41" t="inlineStr">
        <is>
          <t>6</t>
        </is>
      </c>
      <c r="M1200" s="42" t="inlineStr">
        <is>
          <t>개인</t>
        </is>
      </c>
      <c r="N1200" s="42" t="inlineStr">
        <is>
          <t>개인</t>
        </is>
      </c>
      <c r="O1200" s="41" t="inlineStr">
        <is>
          <t>2003</t>
        </is>
      </c>
      <c r="P1200" s="42" t="inlineStr">
        <is>
          <t>서초중앙로22길 25</t>
        </is>
      </c>
      <c r="Q1200" s="41" t="inlineStr">
        <is>
          <t>-</t>
        </is>
      </c>
      <c r="R1200" s="42" t="inlineStr">
        <is>
          <t>중개거래</t>
        </is>
      </c>
      <c r="S1200" s="42" t="inlineStr">
        <is>
          <t>서울 서초구</t>
        </is>
      </c>
      <c r="T1200" s="41" t="inlineStr">
        <is>
          <t>24.11.05</t>
        </is>
      </c>
      <c r="U1200" s="42" t="inlineStr">
        <is>
          <t>아파트</t>
        </is>
      </c>
    </row>
    <row r="1201" hidden="1" ht="14.25" customHeight="1">
      <c r="A1201" s="41" t="n">
        <v>668</v>
      </c>
      <c r="B1201" s="42" t="inlineStr">
        <is>
          <t>서울특별시 서초구 서초동</t>
        </is>
      </c>
      <c r="C1201" s="41" t="inlineStr">
        <is>
          <t>1755</t>
        </is>
      </c>
      <c r="D1201" s="41" t="inlineStr">
        <is>
          <t>1755</t>
        </is>
      </c>
      <c r="E1201" s="41" t="inlineStr">
        <is>
          <t>0000</t>
        </is>
      </c>
      <c r="F1201" s="42" t="inlineStr">
        <is>
          <t>래미안 리더스원</t>
        </is>
      </c>
      <c r="G1201" s="41" t="inlineStr">
        <is>
          <t>84.9400</t>
        </is>
      </c>
      <c r="H1201" s="41" t="inlineStr">
        <is>
          <t>202408</t>
        </is>
      </c>
      <c r="I1201" s="41" t="inlineStr">
        <is>
          <t>14</t>
        </is>
      </c>
      <c r="J1201" s="41" t="inlineStr">
        <is>
          <t>329,000</t>
        </is>
      </c>
      <c r="K1201" s="41" t="inlineStr">
        <is>
          <t>103동</t>
        </is>
      </c>
      <c r="L1201" s="41" t="inlineStr">
        <is>
          <t>14</t>
        </is>
      </c>
      <c r="M1201" s="42" t="inlineStr">
        <is>
          <t>개인</t>
        </is>
      </c>
      <c r="N1201" s="42" t="inlineStr">
        <is>
          <t>개인</t>
        </is>
      </c>
      <c r="O1201" s="41" t="inlineStr">
        <is>
          <t>2020</t>
        </is>
      </c>
      <c r="P1201" s="42" t="inlineStr">
        <is>
          <t>서운로 62</t>
        </is>
      </c>
      <c r="Q1201" s="41" t="inlineStr">
        <is>
          <t>-</t>
        </is>
      </c>
      <c r="R1201" s="42" t="inlineStr">
        <is>
          <t>중개거래</t>
        </is>
      </c>
      <c r="S1201" s="42" t="inlineStr">
        <is>
          <t>서울 서초구</t>
        </is>
      </c>
      <c r="T1201" s="41" t="inlineStr">
        <is>
          <t>25.01.16</t>
        </is>
      </c>
      <c r="U1201" s="42" t="inlineStr">
        <is>
          <t>아파트</t>
        </is>
      </c>
    </row>
    <row r="1202" hidden="1" ht="14.25" customHeight="1">
      <c r="A1202" s="41" t="n">
        <v>669</v>
      </c>
      <c r="B1202" s="42" t="inlineStr">
        <is>
          <t>서울특별시 서초구 서초동</t>
        </is>
      </c>
      <c r="C1202" s="41" t="inlineStr">
        <is>
          <t>1584-6</t>
        </is>
      </c>
      <c r="D1202" s="41" t="inlineStr">
        <is>
          <t>1584</t>
        </is>
      </c>
      <c r="E1202" s="41" t="inlineStr">
        <is>
          <t>0006</t>
        </is>
      </c>
      <c r="F1202" s="41" t="inlineStr">
        <is>
          <t>DK밸리뷰시티</t>
        </is>
      </c>
      <c r="G1202" s="41" t="inlineStr">
        <is>
          <t>28.1400</t>
        </is>
      </c>
      <c r="H1202" s="41" t="inlineStr">
        <is>
          <t>202408</t>
        </is>
      </c>
      <c r="I1202" s="41" t="inlineStr">
        <is>
          <t>14</t>
        </is>
      </c>
      <c r="J1202" s="41" t="inlineStr">
        <is>
          <t>45,000</t>
        </is>
      </c>
      <c r="K1202" s="41" t="inlineStr">
        <is>
          <t>2동</t>
        </is>
      </c>
      <c r="L1202" s="41" t="inlineStr">
        <is>
          <t>6</t>
        </is>
      </c>
      <c r="M1202" s="42" t="inlineStr">
        <is>
          <t>개인</t>
        </is>
      </c>
      <c r="N1202" s="42" t="inlineStr">
        <is>
          <t>개인</t>
        </is>
      </c>
      <c r="O1202" s="41" t="inlineStr">
        <is>
          <t>2019</t>
        </is>
      </c>
      <c r="P1202" s="42" t="inlineStr">
        <is>
          <t>반포대로14길 14</t>
        </is>
      </c>
      <c r="Q1202" s="41" t="inlineStr">
        <is>
          <t>-</t>
        </is>
      </c>
      <c r="R1202" s="42" t="inlineStr">
        <is>
          <t>중개거래</t>
        </is>
      </c>
      <c r="S1202" s="42" t="inlineStr">
        <is>
          <t>서울 강남구</t>
        </is>
      </c>
      <c r="T1202" s="41" t="inlineStr">
        <is>
          <t>24.08.30</t>
        </is>
      </c>
      <c r="U1202" s="42" t="inlineStr">
        <is>
          <t>아파트</t>
        </is>
      </c>
    </row>
    <row r="1203" hidden="1" ht="14.25" customHeight="1">
      <c r="A1203" s="41" t="n">
        <v>670</v>
      </c>
      <c r="B1203" s="42" t="inlineStr">
        <is>
          <t>서울특별시 서초구 서초동</t>
        </is>
      </c>
      <c r="C1203" s="41" t="inlineStr">
        <is>
          <t>1648-2</t>
        </is>
      </c>
      <c r="D1203" s="41" t="inlineStr">
        <is>
          <t>1648</t>
        </is>
      </c>
      <c r="E1203" s="41" t="inlineStr">
        <is>
          <t>0002</t>
        </is>
      </c>
      <c r="F1203" s="42" t="inlineStr">
        <is>
          <t>서초현대</t>
        </is>
      </c>
      <c r="G1203" s="41" t="inlineStr">
        <is>
          <t>59.4000</t>
        </is>
      </c>
      <c r="H1203" s="41" t="inlineStr">
        <is>
          <t>202408</t>
        </is>
      </c>
      <c r="I1203" s="41" t="inlineStr">
        <is>
          <t>14</t>
        </is>
      </c>
      <c r="J1203" s="41" t="inlineStr">
        <is>
          <t>137,000</t>
        </is>
      </c>
      <c r="K1203" s="41" t="inlineStr">
        <is>
          <t>102</t>
        </is>
      </c>
      <c r="L1203" s="41" t="inlineStr">
        <is>
          <t>1</t>
        </is>
      </c>
      <c r="M1203" s="42" t="inlineStr">
        <is>
          <t>개인</t>
        </is>
      </c>
      <c r="N1203" s="42" t="inlineStr">
        <is>
          <t>개인</t>
        </is>
      </c>
      <c r="O1203" s="41" t="inlineStr">
        <is>
          <t>1999</t>
        </is>
      </c>
      <c r="P1203" s="42" t="inlineStr">
        <is>
          <t>사임당로19길 10</t>
        </is>
      </c>
      <c r="Q1203" s="41" t="inlineStr">
        <is>
          <t>-</t>
        </is>
      </c>
      <c r="R1203" s="42" t="inlineStr">
        <is>
          <t>중개거래</t>
        </is>
      </c>
      <c r="S1203" s="42" t="inlineStr">
        <is>
          <t>서울 서초구</t>
        </is>
      </c>
      <c r="T1203" s="41" t="inlineStr">
        <is>
          <t>25.03.19</t>
        </is>
      </c>
      <c r="U1203" s="42" t="inlineStr">
        <is>
          <t>아파트</t>
        </is>
      </c>
    </row>
    <row r="1204" hidden="1" ht="14.25" customHeight="1">
      <c r="A1204" s="41" t="n">
        <v>671</v>
      </c>
      <c r="B1204" s="42" t="inlineStr">
        <is>
          <t>서울특별시 서초구 서초동</t>
        </is>
      </c>
      <c r="C1204" s="41" t="inlineStr">
        <is>
          <t>1757</t>
        </is>
      </c>
      <c r="D1204" s="41" t="inlineStr">
        <is>
          <t>1757</t>
        </is>
      </c>
      <c r="E1204" s="41" t="inlineStr">
        <is>
          <t>0000</t>
        </is>
      </c>
      <c r="F1204" s="42" t="inlineStr">
        <is>
          <t>서초그랑자이</t>
        </is>
      </c>
      <c r="G1204" s="41" t="inlineStr">
        <is>
          <t>84.5100</t>
        </is>
      </c>
      <c r="H1204" s="41" t="inlineStr">
        <is>
          <t>202408</t>
        </is>
      </c>
      <c r="I1204" s="41" t="inlineStr">
        <is>
          <t>13</t>
        </is>
      </c>
      <c r="J1204" s="41" t="inlineStr">
        <is>
          <t>332,000</t>
        </is>
      </c>
      <c r="K1204" s="41" t="inlineStr">
        <is>
          <t>104동</t>
        </is>
      </c>
      <c r="L1204" s="41" t="inlineStr">
        <is>
          <t>14</t>
        </is>
      </c>
      <c r="M1204" s="42" t="inlineStr">
        <is>
          <t>개인</t>
        </is>
      </c>
      <c r="N1204" s="42" t="inlineStr">
        <is>
          <t>기타</t>
        </is>
      </c>
      <c r="O1204" s="41" t="inlineStr">
        <is>
          <t>2021</t>
        </is>
      </c>
      <c r="P1204" s="42" t="inlineStr">
        <is>
          <t>효령로 391</t>
        </is>
      </c>
      <c r="Q1204" s="41" t="inlineStr">
        <is>
          <t>-</t>
        </is>
      </c>
      <c r="R1204" s="42" t="inlineStr">
        <is>
          <t>중개거래</t>
        </is>
      </c>
      <c r="S1204" s="42" t="inlineStr">
        <is>
          <t>서울 서초구</t>
        </is>
      </c>
      <c r="T1204" s="41" t="inlineStr">
        <is>
          <t>25.02.11</t>
        </is>
      </c>
      <c r="U1204" s="42" t="inlineStr">
        <is>
          <t>아파트</t>
        </is>
      </c>
    </row>
    <row r="1205" hidden="1" ht="14.25" customHeight="1">
      <c r="A1205" s="41" t="n">
        <v>672</v>
      </c>
      <c r="B1205" s="42" t="inlineStr">
        <is>
          <t>서울특별시 서초구 서초동</t>
        </is>
      </c>
      <c r="C1205" s="41" t="inlineStr">
        <is>
          <t>1344-23</t>
        </is>
      </c>
      <c r="D1205" s="41" t="inlineStr">
        <is>
          <t>1344</t>
        </is>
      </c>
      <c r="E1205" s="41" t="inlineStr">
        <is>
          <t>0023</t>
        </is>
      </c>
      <c r="F1205" s="42" t="inlineStr">
        <is>
          <t>서초자연인아파트(102동)</t>
        </is>
      </c>
      <c r="G1205" s="41" t="inlineStr">
        <is>
          <t>27.3800</t>
        </is>
      </c>
      <c r="H1205" s="41" t="inlineStr">
        <is>
          <t>202408</t>
        </is>
      </c>
      <c r="I1205" s="41" t="inlineStr">
        <is>
          <t>13</t>
        </is>
      </c>
      <c r="J1205" s="41" t="inlineStr">
        <is>
          <t>28,000</t>
        </is>
      </c>
      <c r="K1205" s="41" t="inlineStr">
        <is>
          <t>-</t>
        </is>
      </c>
      <c r="L1205" s="41" t="inlineStr">
        <is>
          <t>9</t>
        </is>
      </c>
      <c r="M1205" s="42" t="inlineStr">
        <is>
          <t>개인</t>
        </is>
      </c>
      <c r="N1205" s="42" t="inlineStr">
        <is>
          <t>법인</t>
        </is>
      </c>
      <c r="O1205" s="41" t="inlineStr">
        <is>
          <t>2013</t>
        </is>
      </c>
      <c r="P1205" s="42" t="inlineStr">
        <is>
          <t>서운로9길 18</t>
        </is>
      </c>
      <c r="Q1205" s="41" t="inlineStr">
        <is>
          <t>-</t>
        </is>
      </c>
      <c r="R1205" s="42" t="inlineStr">
        <is>
          <t>중개거래</t>
        </is>
      </c>
      <c r="S1205" s="42" t="inlineStr">
        <is>
          <t>서울 서초구</t>
        </is>
      </c>
      <c r="T1205" s="41" t="inlineStr">
        <is>
          <t>24.09.20</t>
        </is>
      </c>
      <c r="U1205" s="42" t="inlineStr">
        <is>
          <t>아파트</t>
        </is>
      </c>
    </row>
    <row r="1206" hidden="1" ht="14.25" customHeight="1">
      <c r="A1206" s="41" t="n">
        <v>673</v>
      </c>
      <c r="B1206" s="42" t="inlineStr">
        <is>
          <t>서울특별시 서초구 서초동</t>
        </is>
      </c>
      <c r="C1206" s="41" t="inlineStr">
        <is>
          <t>1757</t>
        </is>
      </c>
      <c r="D1206" s="41" t="inlineStr">
        <is>
          <t>1757</t>
        </is>
      </c>
      <c r="E1206" s="41" t="inlineStr">
        <is>
          <t>0000</t>
        </is>
      </c>
      <c r="F1206" s="42" t="inlineStr">
        <is>
          <t>서초그랑자이</t>
        </is>
      </c>
      <c r="G1206" s="41" t="inlineStr">
        <is>
          <t>84.5100</t>
        </is>
      </c>
      <c r="H1206" s="41" t="inlineStr">
        <is>
          <t>202408</t>
        </is>
      </c>
      <c r="I1206" s="41" t="inlineStr">
        <is>
          <t>13</t>
        </is>
      </c>
      <c r="J1206" s="41" t="inlineStr">
        <is>
          <t>332,000</t>
        </is>
      </c>
      <c r="K1206" s="41" t="inlineStr">
        <is>
          <t>-</t>
        </is>
      </c>
      <c r="L1206" s="41" t="inlineStr">
        <is>
          <t>14</t>
        </is>
      </c>
      <c r="M1206" s="42" t="inlineStr">
        <is>
          <t>개인</t>
        </is>
      </c>
      <c r="N1206" s="42" t="inlineStr">
        <is>
          <t>기타</t>
        </is>
      </c>
      <c r="O1206" s="41" t="inlineStr">
        <is>
          <t>2021</t>
        </is>
      </c>
      <c r="P1206" s="42" t="inlineStr">
        <is>
          <t>효령로 391</t>
        </is>
      </c>
      <c r="Q1206" s="41" t="inlineStr">
        <is>
          <t>20241213</t>
        </is>
      </c>
      <c r="R1206" s="42" t="inlineStr">
        <is>
          <t>중개거래</t>
        </is>
      </c>
      <c r="S1206" s="42" t="inlineStr">
        <is>
          <t>서울 서초구</t>
        </is>
      </c>
      <c r="T1206" s="41" t="inlineStr">
        <is>
          <t>-</t>
        </is>
      </c>
      <c r="U1206" s="42" t="inlineStr">
        <is>
          <t>아파트</t>
        </is>
      </c>
    </row>
    <row r="1207" hidden="1" ht="14.25" customHeight="1">
      <c r="A1207" s="41" t="n">
        <v>674</v>
      </c>
      <c r="B1207" s="42" t="inlineStr">
        <is>
          <t>서울특별시 서초구 서초동</t>
        </is>
      </c>
      <c r="C1207" s="41" t="inlineStr">
        <is>
          <t>1671-5</t>
        </is>
      </c>
      <c r="D1207" s="41" t="inlineStr">
        <is>
          <t>1671</t>
        </is>
      </c>
      <c r="E1207" s="41" t="inlineStr">
        <is>
          <t>0005</t>
        </is>
      </c>
      <c r="F1207" s="42" t="inlineStr">
        <is>
          <t>대림서초리시온</t>
        </is>
      </c>
      <c r="G1207" s="41" t="inlineStr">
        <is>
          <t>49.9200</t>
        </is>
      </c>
      <c r="H1207" s="41" t="inlineStr">
        <is>
          <t>202408</t>
        </is>
      </c>
      <c r="I1207" s="41" t="inlineStr">
        <is>
          <t>13</t>
        </is>
      </c>
      <c r="J1207" s="41" t="inlineStr">
        <is>
          <t>54,000</t>
        </is>
      </c>
      <c r="K1207" s="41" t="inlineStr">
        <is>
          <t>-</t>
        </is>
      </c>
      <c r="L1207" s="41" t="inlineStr">
        <is>
          <t>7</t>
        </is>
      </c>
      <c r="M1207" s="42" t="inlineStr">
        <is>
          <t>개인</t>
        </is>
      </c>
      <c r="N1207" s="42" t="inlineStr">
        <is>
          <t>개인</t>
        </is>
      </c>
      <c r="O1207" s="41" t="inlineStr">
        <is>
          <t>2003</t>
        </is>
      </c>
      <c r="P1207" s="42" t="inlineStr">
        <is>
          <t>서초중앙로22길 25</t>
        </is>
      </c>
      <c r="Q1207" s="41" t="inlineStr">
        <is>
          <t>20240913</t>
        </is>
      </c>
      <c r="R1207" s="42" t="inlineStr">
        <is>
          <t>중개거래</t>
        </is>
      </c>
      <c r="S1207" s="42" t="inlineStr">
        <is>
          <t>서울 서초구</t>
        </is>
      </c>
      <c r="T1207" s="41" t="inlineStr">
        <is>
          <t>-</t>
        </is>
      </c>
      <c r="U1207" s="42" t="inlineStr">
        <is>
          <t>아파트</t>
        </is>
      </c>
    </row>
    <row r="1208" hidden="1" ht="14.25" customHeight="1">
      <c r="A1208" s="41" t="n">
        <v>675</v>
      </c>
      <c r="B1208" s="42" t="inlineStr">
        <is>
          <t>서울특별시 서초구 서초동</t>
        </is>
      </c>
      <c r="C1208" s="41" t="inlineStr">
        <is>
          <t>1685</t>
        </is>
      </c>
      <c r="D1208" s="41" t="inlineStr">
        <is>
          <t>1685</t>
        </is>
      </c>
      <c r="E1208" s="41" t="inlineStr">
        <is>
          <t>0000</t>
        </is>
      </c>
      <c r="F1208" s="42" t="inlineStr">
        <is>
          <t>삼풍아파트</t>
        </is>
      </c>
      <c r="G1208" s="41" t="inlineStr">
        <is>
          <t>79.4700</t>
        </is>
      </c>
      <c r="H1208" s="41" t="inlineStr">
        <is>
          <t>202408</t>
        </is>
      </c>
      <c r="I1208" s="41" t="inlineStr">
        <is>
          <t>13</t>
        </is>
      </c>
      <c r="J1208" s="41" t="inlineStr">
        <is>
          <t>266,000</t>
        </is>
      </c>
      <c r="K1208" s="41" t="inlineStr">
        <is>
          <t>6</t>
        </is>
      </c>
      <c r="L1208" s="41" t="inlineStr">
        <is>
          <t>12</t>
        </is>
      </c>
      <c r="M1208" s="42" t="inlineStr">
        <is>
          <t>개인</t>
        </is>
      </c>
      <c r="N1208" s="42" t="inlineStr">
        <is>
          <t>개인</t>
        </is>
      </c>
      <c r="O1208" s="41" t="inlineStr">
        <is>
          <t>1988</t>
        </is>
      </c>
      <c r="P1208" s="42" t="inlineStr">
        <is>
          <t>서초중앙로 200</t>
        </is>
      </c>
      <c r="Q1208" s="41" t="inlineStr">
        <is>
          <t>-</t>
        </is>
      </c>
      <c r="R1208" s="42" t="inlineStr">
        <is>
          <t>중개거래</t>
        </is>
      </c>
      <c r="S1208" s="42" t="inlineStr">
        <is>
          <t>서울 서초구</t>
        </is>
      </c>
      <c r="T1208" s="41" t="inlineStr">
        <is>
          <t>24.10.31</t>
        </is>
      </c>
      <c r="U1208" s="42" t="inlineStr">
        <is>
          <t>아파트</t>
        </is>
      </c>
    </row>
    <row r="1209" hidden="1" ht="14.25" customHeight="1">
      <c r="A1209" s="41" t="n">
        <v>676</v>
      </c>
      <c r="B1209" s="42" t="inlineStr">
        <is>
          <t>서울특별시 서초구 서초동</t>
        </is>
      </c>
      <c r="C1209" s="41" t="inlineStr">
        <is>
          <t>1685</t>
        </is>
      </c>
      <c r="D1209" s="41" t="inlineStr">
        <is>
          <t>1685</t>
        </is>
      </c>
      <c r="E1209" s="41" t="inlineStr">
        <is>
          <t>0000</t>
        </is>
      </c>
      <c r="F1209" s="42" t="inlineStr">
        <is>
          <t>삼풍아파트</t>
        </is>
      </c>
      <c r="G1209" s="41" t="inlineStr">
        <is>
          <t>79.4700</t>
        </is>
      </c>
      <c r="H1209" s="41" t="inlineStr">
        <is>
          <t>202408</t>
        </is>
      </c>
      <c r="I1209" s="41" t="inlineStr">
        <is>
          <t>12</t>
        </is>
      </c>
      <c r="J1209" s="41" t="inlineStr">
        <is>
          <t>259,500</t>
        </is>
      </c>
      <c r="K1209" s="41" t="inlineStr">
        <is>
          <t>5</t>
        </is>
      </c>
      <c r="L1209" s="41" t="inlineStr">
        <is>
          <t>3</t>
        </is>
      </c>
      <c r="M1209" s="42" t="inlineStr">
        <is>
          <t>개인</t>
        </is>
      </c>
      <c r="N1209" s="42" t="inlineStr">
        <is>
          <t>개인</t>
        </is>
      </c>
      <c r="O1209" s="41" t="inlineStr">
        <is>
          <t>1988</t>
        </is>
      </c>
      <c r="P1209" s="42" t="inlineStr">
        <is>
          <t>서초중앙로 200</t>
        </is>
      </c>
      <c r="Q1209" s="41" t="inlineStr">
        <is>
          <t>-</t>
        </is>
      </c>
      <c r="R1209" s="42" t="inlineStr">
        <is>
          <t>중개거래</t>
        </is>
      </c>
      <c r="S1209" s="42" t="inlineStr">
        <is>
          <t>서울 서초구</t>
        </is>
      </c>
      <c r="T1209" s="41" t="inlineStr">
        <is>
          <t>24.11.29</t>
        </is>
      </c>
      <c r="U1209" s="42" t="inlineStr">
        <is>
          <t>아파트</t>
        </is>
      </c>
    </row>
    <row r="1210" hidden="1" ht="14.25" customHeight="1">
      <c r="A1210" s="41" t="n">
        <v>677</v>
      </c>
      <c r="B1210" s="42" t="inlineStr">
        <is>
          <t>서울특별시 서초구 서초동</t>
        </is>
      </c>
      <c r="C1210" s="41" t="inlineStr">
        <is>
          <t>1682</t>
        </is>
      </c>
      <c r="D1210" s="41" t="inlineStr">
        <is>
          <t>1682</t>
        </is>
      </c>
      <c r="E1210" s="41" t="inlineStr">
        <is>
          <t>0000</t>
        </is>
      </c>
      <c r="F1210" s="42" t="inlineStr">
        <is>
          <t>서초래미안</t>
        </is>
      </c>
      <c r="G1210" s="41" t="inlineStr">
        <is>
          <t>84.9700</t>
        </is>
      </c>
      <c r="H1210" s="41" t="inlineStr">
        <is>
          <t>202408</t>
        </is>
      </c>
      <c r="I1210" s="41" t="inlineStr">
        <is>
          <t>12</t>
        </is>
      </c>
      <c r="J1210" s="41" t="inlineStr">
        <is>
          <t>223,000</t>
        </is>
      </c>
      <c r="K1210" s="41" t="inlineStr">
        <is>
          <t>102</t>
        </is>
      </c>
      <c r="L1210" s="41" t="inlineStr">
        <is>
          <t>8</t>
        </is>
      </c>
      <c r="M1210" s="42" t="inlineStr">
        <is>
          <t>개인</t>
        </is>
      </c>
      <c r="N1210" s="42" t="inlineStr">
        <is>
          <t>개인</t>
        </is>
      </c>
      <c r="O1210" s="41" t="inlineStr">
        <is>
          <t>2003</t>
        </is>
      </c>
      <c r="P1210" s="42" t="inlineStr">
        <is>
          <t>서초대로65길 13-10</t>
        </is>
      </c>
      <c r="Q1210" s="41" t="inlineStr">
        <is>
          <t>-</t>
        </is>
      </c>
      <c r="R1210" s="42" t="inlineStr">
        <is>
          <t>중개거래</t>
        </is>
      </c>
      <c r="S1210" s="42" t="inlineStr">
        <is>
          <t>서울 서초구</t>
        </is>
      </c>
      <c r="T1210" s="41" t="inlineStr">
        <is>
          <t>24.12.30</t>
        </is>
      </c>
      <c r="U1210" s="42" t="inlineStr">
        <is>
          <t>아파트</t>
        </is>
      </c>
    </row>
    <row r="1211" hidden="1" ht="14.25" customHeight="1">
      <c r="A1211" s="41" t="n">
        <v>678</v>
      </c>
      <c r="B1211" s="42" t="inlineStr">
        <is>
          <t>서울특별시 서초구 서초동</t>
        </is>
      </c>
      <c r="C1211" s="41" t="inlineStr">
        <is>
          <t>1620-20</t>
        </is>
      </c>
      <c r="D1211" s="41" t="inlineStr">
        <is>
          <t>1620</t>
        </is>
      </c>
      <c r="E1211" s="41" t="inlineStr">
        <is>
          <t>0020</t>
        </is>
      </c>
      <c r="F1211" s="42" t="inlineStr">
        <is>
          <t>서초동롯데캐슬리버티</t>
        </is>
      </c>
      <c r="G1211" s="41" t="inlineStr">
        <is>
          <t>125.7900</t>
        </is>
      </c>
      <c r="H1211" s="41" t="inlineStr">
        <is>
          <t>202408</t>
        </is>
      </c>
      <c r="I1211" s="41" t="inlineStr">
        <is>
          <t>12</t>
        </is>
      </c>
      <c r="J1211" s="41" t="inlineStr">
        <is>
          <t>195,000</t>
        </is>
      </c>
      <c r="K1211" s="41" t="inlineStr">
        <is>
          <t>102</t>
        </is>
      </c>
      <c r="L1211" s="41" t="inlineStr">
        <is>
          <t>7</t>
        </is>
      </c>
      <c r="M1211" s="42" t="inlineStr">
        <is>
          <t>개인</t>
        </is>
      </c>
      <c r="N1211" s="42" t="inlineStr">
        <is>
          <t>개인</t>
        </is>
      </c>
      <c r="O1211" s="41" t="inlineStr">
        <is>
          <t>2005</t>
        </is>
      </c>
      <c r="P1211" s="42" t="inlineStr">
        <is>
          <t>사임당로10길 39</t>
        </is>
      </c>
      <c r="Q1211" s="41" t="inlineStr">
        <is>
          <t>-</t>
        </is>
      </c>
      <c r="R1211" s="42" t="inlineStr">
        <is>
          <t>중개거래</t>
        </is>
      </c>
      <c r="S1211" s="42" t="inlineStr">
        <is>
          <t>서울 서초구</t>
        </is>
      </c>
      <c r="T1211" s="41" t="inlineStr">
        <is>
          <t>24.12.24</t>
        </is>
      </c>
      <c r="U1211" s="42" t="inlineStr">
        <is>
          <t>아파트</t>
        </is>
      </c>
    </row>
    <row r="1212" hidden="1" ht="14.25" customHeight="1">
      <c r="A1212" s="41" t="n">
        <v>679</v>
      </c>
      <c r="B1212" s="42" t="inlineStr">
        <is>
          <t>서울특별시 서초구 서초동</t>
        </is>
      </c>
      <c r="C1212" s="41" t="inlineStr">
        <is>
          <t>1685</t>
        </is>
      </c>
      <c r="D1212" s="41" t="inlineStr">
        <is>
          <t>1685</t>
        </is>
      </c>
      <c r="E1212" s="41" t="inlineStr">
        <is>
          <t>0000</t>
        </is>
      </c>
      <c r="F1212" s="42" t="inlineStr">
        <is>
          <t>삼풍아파트</t>
        </is>
      </c>
      <c r="G1212" s="41" t="inlineStr">
        <is>
          <t>130.7300</t>
        </is>
      </c>
      <c r="H1212" s="41" t="inlineStr">
        <is>
          <t>202408</t>
        </is>
      </c>
      <c r="I1212" s="41" t="inlineStr">
        <is>
          <t>12</t>
        </is>
      </c>
      <c r="J1212" s="41" t="inlineStr">
        <is>
          <t>360,000</t>
        </is>
      </c>
      <c r="K1212" s="41" t="inlineStr">
        <is>
          <t>10</t>
        </is>
      </c>
      <c r="L1212" s="41" t="inlineStr">
        <is>
          <t>9</t>
        </is>
      </c>
      <c r="M1212" s="42" t="inlineStr">
        <is>
          <t>개인</t>
        </is>
      </c>
      <c r="N1212" s="42" t="inlineStr">
        <is>
          <t>개인</t>
        </is>
      </c>
      <c r="O1212" s="41" t="inlineStr">
        <is>
          <t>1988</t>
        </is>
      </c>
      <c r="P1212" s="42" t="inlineStr">
        <is>
          <t>서초중앙로 200</t>
        </is>
      </c>
      <c r="Q1212" s="41" t="inlineStr">
        <is>
          <t>-</t>
        </is>
      </c>
      <c r="R1212" s="42" t="inlineStr">
        <is>
          <t>중개거래</t>
        </is>
      </c>
      <c r="S1212" s="42" t="inlineStr">
        <is>
          <t>서울 서초구</t>
        </is>
      </c>
      <c r="T1212" s="41" t="inlineStr">
        <is>
          <t>24.11.19</t>
        </is>
      </c>
      <c r="U1212" s="42" t="inlineStr">
        <is>
          <t>아파트</t>
        </is>
      </c>
    </row>
    <row r="1213" hidden="1" ht="14.25" customHeight="1">
      <c r="A1213" s="41" t="n">
        <v>680</v>
      </c>
      <c r="B1213" s="42" t="inlineStr">
        <is>
          <t>서울특별시 서초구 서초동</t>
        </is>
      </c>
      <c r="C1213" s="41" t="inlineStr">
        <is>
          <t>1327</t>
        </is>
      </c>
      <c r="D1213" s="41" t="inlineStr">
        <is>
          <t>1327</t>
        </is>
      </c>
      <c r="E1213" s="41" t="inlineStr">
        <is>
          <t>0000</t>
        </is>
      </c>
      <c r="F1213" s="42" t="inlineStr">
        <is>
          <t>서초타운트라팰리스</t>
        </is>
      </c>
      <c r="G1213" s="41" t="inlineStr">
        <is>
          <t>82.9000</t>
        </is>
      </c>
      <c r="H1213" s="41" t="inlineStr">
        <is>
          <t>202408</t>
        </is>
      </c>
      <c r="I1213" s="41" t="inlineStr">
        <is>
          <t>11</t>
        </is>
      </c>
      <c r="J1213" s="41" t="inlineStr">
        <is>
          <t>123,000</t>
        </is>
      </c>
      <c r="K1213" s="42" t="inlineStr">
        <is>
          <t>서초 트라팰리스Ⅱ</t>
        </is>
      </c>
      <c r="L1213" s="41" t="inlineStr">
        <is>
          <t>12</t>
        </is>
      </c>
      <c r="M1213" s="42" t="inlineStr">
        <is>
          <t>개인</t>
        </is>
      </c>
      <c r="N1213" s="42" t="inlineStr">
        <is>
          <t>개인</t>
        </is>
      </c>
      <c r="O1213" s="41" t="inlineStr">
        <is>
          <t>2006</t>
        </is>
      </c>
      <c r="P1213" s="42" t="inlineStr">
        <is>
          <t>서초대로74길 23</t>
        </is>
      </c>
      <c r="Q1213" s="41" t="inlineStr">
        <is>
          <t>-</t>
        </is>
      </c>
      <c r="R1213" s="42" t="inlineStr">
        <is>
          <t>중개거래</t>
        </is>
      </c>
      <c r="S1213" s="42" t="inlineStr">
        <is>
          <t>서울 서초구</t>
        </is>
      </c>
      <c r="T1213" s="41" t="inlineStr">
        <is>
          <t>24.12.26</t>
        </is>
      </c>
      <c r="U1213" s="42" t="inlineStr">
        <is>
          <t>아파트</t>
        </is>
      </c>
    </row>
    <row r="1214" hidden="1" ht="14.25" customHeight="1">
      <c r="A1214" s="41" t="n">
        <v>681</v>
      </c>
      <c r="B1214" s="42" t="inlineStr">
        <is>
          <t>서울특별시 서초구 서초동</t>
        </is>
      </c>
      <c r="C1214" s="41" t="inlineStr">
        <is>
          <t>1346</t>
        </is>
      </c>
      <c r="D1214" s="41" t="inlineStr">
        <is>
          <t>1346</t>
        </is>
      </c>
      <c r="E1214" s="41" t="inlineStr">
        <is>
          <t>0000</t>
        </is>
      </c>
      <c r="F1214" s="42" t="inlineStr">
        <is>
          <t>현대아파트</t>
        </is>
      </c>
      <c r="G1214" s="41" t="inlineStr">
        <is>
          <t>84.3300</t>
        </is>
      </c>
      <c r="H1214" s="41" t="inlineStr">
        <is>
          <t>202408</t>
        </is>
      </c>
      <c r="I1214" s="41" t="inlineStr">
        <is>
          <t>10</t>
        </is>
      </c>
      <c r="J1214" s="41" t="inlineStr">
        <is>
          <t>150,000</t>
        </is>
      </c>
      <c r="K1214" s="41" t="inlineStr">
        <is>
          <t>10</t>
        </is>
      </c>
      <c r="L1214" s="41" t="inlineStr">
        <is>
          <t>10</t>
        </is>
      </c>
      <c r="M1214" s="42" t="inlineStr">
        <is>
          <t>개인</t>
        </is>
      </c>
      <c r="N1214" s="42" t="inlineStr">
        <is>
          <t>개인</t>
        </is>
      </c>
      <c r="O1214" s="41" t="inlineStr">
        <is>
          <t>1989</t>
        </is>
      </c>
      <c r="P1214" s="42" t="inlineStr">
        <is>
          <t>효령로72길 14</t>
        </is>
      </c>
      <c r="Q1214" s="41" t="inlineStr">
        <is>
          <t>-</t>
        </is>
      </c>
      <c r="R1214" s="42" t="inlineStr">
        <is>
          <t>직거래</t>
        </is>
      </c>
      <c r="S1214" s="41" t="inlineStr">
        <is>
          <t>-</t>
        </is>
      </c>
      <c r="T1214" s="41" t="inlineStr">
        <is>
          <t>24.09.06</t>
        </is>
      </c>
      <c r="U1214" s="42" t="inlineStr">
        <is>
          <t>아파트</t>
        </is>
      </c>
    </row>
    <row r="1215" hidden="1" ht="14.25" customHeight="1">
      <c r="A1215" s="41" t="n">
        <v>682</v>
      </c>
      <c r="B1215" s="42" t="inlineStr">
        <is>
          <t>서울특별시 서초구 서초동</t>
        </is>
      </c>
      <c r="C1215" s="41" t="inlineStr">
        <is>
          <t>1330</t>
        </is>
      </c>
      <c r="D1215" s="41" t="inlineStr">
        <is>
          <t>1330</t>
        </is>
      </c>
      <c r="E1215" s="41" t="inlineStr">
        <is>
          <t>0000</t>
        </is>
      </c>
      <c r="F1215" s="42" t="inlineStr">
        <is>
          <t>서초동삼성쉐르빌2</t>
        </is>
      </c>
      <c r="G1215" s="41" t="inlineStr">
        <is>
          <t>35.2200</t>
        </is>
      </c>
      <c r="H1215" s="41" t="inlineStr">
        <is>
          <t>202408</t>
        </is>
      </c>
      <c r="I1215" s="41" t="inlineStr">
        <is>
          <t>10</t>
        </is>
      </c>
      <c r="J1215" s="41" t="inlineStr">
        <is>
          <t>31,900</t>
        </is>
      </c>
      <c r="K1215" s="41" t="inlineStr">
        <is>
          <t>-</t>
        </is>
      </c>
      <c r="L1215" s="41" t="inlineStr">
        <is>
          <t>3</t>
        </is>
      </c>
      <c r="M1215" s="42" t="inlineStr">
        <is>
          <t>개인</t>
        </is>
      </c>
      <c r="N1215" s="42" t="inlineStr">
        <is>
          <t>개인</t>
        </is>
      </c>
      <c r="O1215" s="41" t="inlineStr">
        <is>
          <t>2002</t>
        </is>
      </c>
      <c r="P1215" s="42" t="inlineStr">
        <is>
          <t>강남대로53길 11</t>
        </is>
      </c>
      <c r="Q1215" s="41" t="inlineStr">
        <is>
          <t>-</t>
        </is>
      </c>
      <c r="R1215" s="42" t="inlineStr">
        <is>
          <t>중개거래</t>
        </is>
      </c>
      <c r="S1215" s="42" t="inlineStr">
        <is>
          <t>서울 서초구</t>
        </is>
      </c>
      <c r="T1215" s="41" t="inlineStr">
        <is>
          <t>24.09.26</t>
        </is>
      </c>
      <c r="U1215" s="42" t="inlineStr">
        <is>
          <t>아파트</t>
        </is>
      </c>
    </row>
    <row r="1216" hidden="1" ht="14.25" customHeight="1">
      <c r="A1216" s="41" t="n">
        <v>683</v>
      </c>
      <c r="B1216" s="42" t="inlineStr">
        <is>
          <t>서울특별시 서초구 서초동</t>
        </is>
      </c>
      <c r="C1216" s="41" t="inlineStr">
        <is>
          <t>1686-9</t>
        </is>
      </c>
      <c r="D1216" s="41" t="inlineStr">
        <is>
          <t>1686</t>
        </is>
      </c>
      <c r="E1216" s="41" t="inlineStr">
        <is>
          <t>0009</t>
        </is>
      </c>
      <c r="F1216" s="42" t="inlineStr">
        <is>
          <t>서초교대e편한세상</t>
        </is>
      </c>
      <c r="G1216" s="41" t="inlineStr">
        <is>
          <t>84.9700</t>
        </is>
      </c>
      <c r="H1216" s="41" t="inlineStr">
        <is>
          <t>202408</t>
        </is>
      </c>
      <c r="I1216" s="41" t="inlineStr">
        <is>
          <t>10</t>
        </is>
      </c>
      <c r="J1216" s="41" t="inlineStr">
        <is>
          <t>250,000</t>
        </is>
      </c>
      <c r="K1216" s="41" t="inlineStr">
        <is>
          <t>103</t>
        </is>
      </c>
      <c r="L1216" s="41" t="inlineStr">
        <is>
          <t>13</t>
        </is>
      </c>
      <c r="M1216" s="42" t="inlineStr">
        <is>
          <t>개인</t>
        </is>
      </c>
      <c r="N1216" s="42" t="inlineStr">
        <is>
          <t>개인</t>
        </is>
      </c>
      <c r="O1216" s="41" t="inlineStr">
        <is>
          <t>2010</t>
        </is>
      </c>
      <c r="P1216" s="42" t="inlineStr">
        <is>
          <t>서초중앙로24길 33</t>
        </is>
      </c>
      <c r="Q1216" s="41" t="inlineStr">
        <is>
          <t>-</t>
        </is>
      </c>
      <c r="R1216" s="42" t="inlineStr">
        <is>
          <t>중개거래</t>
        </is>
      </c>
      <c r="S1216" s="42" t="inlineStr">
        <is>
          <t>서울 서초구</t>
        </is>
      </c>
      <c r="T1216" s="41" t="inlineStr">
        <is>
          <t>24.08.28</t>
        </is>
      </c>
      <c r="U1216" s="42" t="inlineStr">
        <is>
          <t>아파트</t>
        </is>
      </c>
    </row>
    <row r="1217" hidden="1" ht="14.25" customHeight="1">
      <c r="A1217" s="41" t="n">
        <v>684</v>
      </c>
      <c r="B1217" s="42" t="inlineStr">
        <is>
          <t>서울특별시 서초구 서초동</t>
        </is>
      </c>
      <c r="C1217" s="41" t="inlineStr">
        <is>
          <t>1685-3</t>
        </is>
      </c>
      <c r="D1217" s="41" t="inlineStr">
        <is>
          <t>1685</t>
        </is>
      </c>
      <c r="E1217" s="41" t="inlineStr">
        <is>
          <t>0003</t>
        </is>
      </c>
      <c r="F1217" s="42" t="inlineStr">
        <is>
          <t>아크로비스타</t>
        </is>
      </c>
      <c r="G1217" s="41" t="inlineStr">
        <is>
          <t>207.1000</t>
        </is>
      </c>
      <c r="H1217" s="41" t="inlineStr">
        <is>
          <t>202408</t>
        </is>
      </c>
      <c r="I1217" s="41" t="inlineStr">
        <is>
          <t>09</t>
        </is>
      </c>
      <c r="J1217" s="41" t="inlineStr">
        <is>
          <t>600,000</t>
        </is>
      </c>
      <c r="K1217" s="41" t="inlineStr">
        <is>
          <t>C</t>
        </is>
      </c>
      <c r="L1217" s="41" t="inlineStr">
        <is>
          <t>25</t>
        </is>
      </c>
      <c r="M1217" s="42" t="inlineStr">
        <is>
          <t>개인</t>
        </is>
      </c>
      <c r="N1217" s="42" t="inlineStr">
        <is>
          <t>개인</t>
        </is>
      </c>
      <c r="O1217" s="41" t="inlineStr">
        <is>
          <t>2004</t>
        </is>
      </c>
      <c r="P1217" s="42" t="inlineStr">
        <is>
          <t>서초중앙로 188</t>
        </is>
      </c>
      <c r="Q1217" s="41" t="inlineStr">
        <is>
          <t>-</t>
        </is>
      </c>
      <c r="R1217" s="42" t="inlineStr">
        <is>
          <t>중개거래</t>
        </is>
      </c>
      <c r="S1217" s="42" t="inlineStr">
        <is>
          <t>서울 서초구</t>
        </is>
      </c>
      <c r="T1217" s="41" t="inlineStr">
        <is>
          <t>24.10.16</t>
        </is>
      </c>
      <c r="U1217" s="42" t="inlineStr">
        <is>
          <t>아파트</t>
        </is>
      </c>
    </row>
    <row r="1218" hidden="1" ht="14.25" customHeight="1">
      <c r="A1218" s="41" t="n">
        <v>685</v>
      </c>
      <c r="B1218" s="42" t="inlineStr">
        <is>
          <t>서울특별시 서초구 서초동</t>
        </is>
      </c>
      <c r="C1218" s="41" t="inlineStr">
        <is>
          <t>1685</t>
        </is>
      </c>
      <c r="D1218" s="41" t="inlineStr">
        <is>
          <t>1685</t>
        </is>
      </c>
      <c r="E1218" s="41" t="inlineStr">
        <is>
          <t>0000</t>
        </is>
      </c>
      <c r="F1218" s="42" t="inlineStr">
        <is>
          <t>삼풍아파트</t>
        </is>
      </c>
      <c r="G1218" s="41" t="inlineStr">
        <is>
          <t>79.4700</t>
        </is>
      </c>
      <c r="H1218" s="41" t="inlineStr">
        <is>
          <t>202408</t>
        </is>
      </c>
      <c r="I1218" s="41" t="inlineStr">
        <is>
          <t>09</t>
        </is>
      </c>
      <c r="J1218" s="41" t="inlineStr">
        <is>
          <t>258,000</t>
        </is>
      </c>
      <c r="K1218" s="41" t="inlineStr">
        <is>
          <t>3</t>
        </is>
      </c>
      <c r="L1218" s="41" t="inlineStr">
        <is>
          <t>2</t>
        </is>
      </c>
      <c r="M1218" s="42" t="inlineStr">
        <is>
          <t>개인</t>
        </is>
      </c>
      <c r="N1218" s="42" t="inlineStr">
        <is>
          <t>개인</t>
        </is>
      </c>
      <c r="O1218" s="41" t="inlineStr">
        <is>
          <t>1988</t>
        </is>
      </c>
      <c r="P1218" s="42" t="inlineStr">
        <is>
          <t>서초중앙로 200</t>
        </is>
      </c>
      <c r="Q1218" s="41" t="inlineStr">
        <is>
          <t>-</t>
        </is>
      </c>
      <c r="R1218" s="42" t="inlineStr">
        <is>
          <t>중개거래</t>
        </is>
      </c>
      <c r="S1218" s="42" t="inlineStr">
        <is>
          <t>서울 서초구</t>
        </is>
      </c>
      <c r="T1218" s="41" t="inlineStr">
        <is>
          <t>24.09.30</t>
        </is>
      </c>
      <c r="U1218" s="42" t="inlineStr">
        <is>
          <t>아파트</t>
        </is>
      </c>
    </row>
    <row r="1219" hidden="1" ht="14.25" customHeight="1">
      <c r="A1219" s="41" t="n">
        <v>686</v>
      </c>
      <c r="B1219" s="42" t="inlineStr">
        <is>
          <t>서울특별시 서초구 서초동</t>
        </is>
      </c>
      <c r="C1219" s="41" t="inlineStr">
        <is>
          <t>1301-6</t>
        </is>
      </c>
      <c r="D1219" s="41" t="inlineStr">
        <is>
          <t>1301</t>
        </is>
      </c>
      <c r="E1219" s="41" t="inlineStr">
        <is>
          <t>0006</t>
        </is>
      </c>
      <c r="F1219" s="42" t="inlineStr">
        <is>
          <t>래미안서초스위트</t>
        </is>
      </c>
      <c r="G1219" s="41" t="inlineStr">
        <is>
          <t>59.9958</t>
        </is>
      </c>
      <c r="H1219" s="41" t="inlineStr">
        <is>
          <t>202408</t>
        </is>
      </c>
      <c r="I1219" s="41" t="inlineStr">
        <is>
          <t>09</t>
        </is>
      </c>
      <c r="J1219" s="41" t="inlineStr">
        <is>
          <t>216,000</t>
        </is>
      </c>
      <c r="K1219" s="41" t="inlineStr">
        <is>
          <t>101</t>
        </is>
      </c>
      <c r="L1219" s="41" t="inlineStr">
        <is>
          <t>23</t>
        </is>
      </c>
      <c r="M1219" s="42" t="inlineStr">
        <is>
          <t>개인</t>
        </is>
      </c>
      <c r="N1219" s="42" t="inlineStr">
        <is>
          <t>개인</t>
        </is>
      </c>
      <c r="O1219" s="41" t="inlineStr">
        <is>
          <t>2009</t>
        </is>
      </c>
      <c r="P1219" s="42" t="inlineStr">
        <is>
          <t>서운로 221</t>
        </is>
      </c>
      <c r="Q1219" s="41" t="inlineStr">
        <is>
          <t>-</t>
        </is>
      </c>
      <c r="R1219" s="42" t="inlineStr">
        <is>
          <t>중개거래</t>
        </is>
      </c>
      <c r="S1219" s="42" t="inlineStr">
        <is>
          <t>서울 서초구</t>
        </is>
      </c>
      <c r="T1219" s="41" t="inlineStr">
        <is>
          <t>24.10.02</t>
        </is>
      </c>
      <c r="U1219" s="42" t="inlineStr">
        <is>
          <t>아파트</t>
        </is>
      </c>
    </row>
    <row r="1220" hidden="1" ht="14.25" customHeight="1">
      <c r="A1220" s="41" t="n">
        <v>687</v>
      </c>
      <c r="B1220" s="42" t="inlineStr">
        <is>
          <t>서울특별시 서초구 서초동</t>
        </is>
      </c>
      <c r="C1220" s="41" t="inlineStr">
        <is>
          <t>1757</t>
        </is>
      </c>
      <c r="D1220" s="41" t="inlineStr">
        <is>
          <t>1757</t>
        </is>
      </c>
      <c r="E1220" s="41" t="inlineStr">
        <is>
          <t>0000</t>
        </is>
      </c>
      <c r="F1220" s="42" t="inlineStr">
        <is>
          <t>서초그랑자이</t>
        </is>
      </c>
      <c r="G1220" s="41" t="inlineStr">
        <is>
          <t>119.4100</t>
        </is>
      </c>
      <c r="H1220" s="41" t="inlineStr">
        <is>
          <t>202408</t>
        </is>
      </c>
      <c r="I1220" s="41" t="inlineStr">
        <is>
          <t>08</t>
        </is>
      </c>
      <c r="J1220" s="41" t="inlineStr">
        <is>
          <t>420,000</t>
        </is>
      </c>
      <c r="K1220" s="41" t="inlineStr">
        <is>
          <t>107동</t>
        </is>
      </c>
      <c r="L1220" s="41" t="inlineStr">
        <is>
          <t>4</t>
        </is>
      </c>
      <c r="M1220" s="42" t="inlineStr">
        <is>
          <t>개인</t>
        </is>
      </c>
      <c r="N1220" s="42" t="inlineStr">
        <is>
          <t>개인</t>
        </is>
      </c>
      <c r="O1220" s="41" t="inlineStr">
        <is>
          <t>2021</t>
        </is>
      </c>
      <c r="P1220" s="42" t="inlineStr">
        <is>
          <t>효령로 391</t>
        </is>
      </c>
      <c r="Q1220" s="41" t="inlineStr">
        <is>
          <t>-</t>
        </is>
      </c>
      <c r="R1220" s="42" t="inlineStr">
        <is>
          <t>중개거래</t>
        </is>
      </c>
      <c r="S1220" s="42" t="inlineStr">
        <is>
          <t>서울 서초구</t>
        </is>
      </c>
      <c r="T1220" s="41" t="inlineStr">
        <is>
          <t>24.11.28</t>
        </is>
      </c>
      <c r="U1220" s="42" t="inlineStr">
        <is>
          <t>아파트</t>
        </is>
      </c>
    </row>
    <row r="1221" hidden="1" ht="14.25" customHeight="1">
      <c r="A1221" s="41" t="n">
        <v>688</v>
      </c>
      <c r="B1221" s="42" t="inlineStr">
        <is>
          <t>서울특별시 서초구 서초동</t>
        </is>
      </c>
      <c r="C1221" s="41" t="inlineStr">
        <is>
          <t>1687</t>
        </is>
      </c>
      <c r="D1221" s="41" t="inlineStr">
        <is>
          <t>1687</t>
        </is>
      </c>
      <c r="E1221" s="41" t="inlineStr">
        <is>
          <t>0000</t>
        </is>
      </c>
      <c r="F1221" s="42" t="inlineStr">
        <is>
          <t>유원서초</t>
        </is>
      </c>
      <c r="G1221" s="41" t="inlineStr">
        <is>
          <t>84.8200</t>
        </is>
      </c>
      <c r="H1221" s="41" t="inlineStr">
        <is>
          <t>202408</t>
        </is>
      </c>
      <c r="I1221" s="41" t="inlineStr">
        <is>
          <t>08</t>
        </is>
      </c>
      <c r="J1221" s="41" t="inlineStr">
        <is>
          <t>190,000</t>
        </is>
      </c>
      <c r="K1221" s="41" t="inlineStr">
        <is>
          <t>101</t>
        </is>
      </c>
      <c r="L1221" s="41" t="inlineStr">
        <is>
          <t>6</t>
        </is>
      </c>
      <c r="M1221" s="42" t="inlineStr">
        <is>
          <t>개인</t>
        </is>
      </c>
      <c r="N1221" s="42" t="inlineStr">
        <is>
          <t>개인</t>
        </is>
      </c>
      <c r="O1221" s="41" t="inlineStr">
        <is>
          <t>1993</t>
        </is>
      </c>
      <c r="P1221" s="42" t="inlineStr">
        <is>
          <t>서초중앙로24길 43</t>
        </is>
      </c>
      <c r="Q1221" s="41" t="inlineStr">
        <is>
          <t>-</t>
        </is>
      </c>
      <c r="R1221" s="42" t="inlineStr">
        <is>
          <t>중개거래</t>
        </is>
      </c>
      <c r="S1221" s="42" t="inlineStr">
        <is>
          <t>서울 서초구</t>
        </is>
      </c>
      <c r="T1221" s="41" t="inlineStr">
        <is>
          <t>24.10.29</t>
        </is>
      </c>
      <c r="U1221" s="42" t="inlineStr">
        <is>
          <t>아파트</t>
        </is>
      </c>
    </row>
    <row r="1222" hidden="1" ht="14.25" customHeight="1">
      <c r="A1222" s="41" t="n">
        <v>689</v>
      </c>
      <c r="B1222" s="42" t="inlineStr">
        <is>
          <t>서울특별시 서초구 서초동</t>
        </is>
      </c>
      <c r="C1222" s="41" t="inlineStr">
        <is>
          <t>1757</t>
        </is>
      </c>
      <c r="D1222" s="41" t="inlineStr">
        <is>
          <t>1757</t>
        </is>
      </c>
      <c r="E1222" s="41" t="inlineStr">
        <is>
          <t>0000</t>
        </is>
      </c>
      <c r="F1222" s="42" t="inlineStr">
        <is>
          <t>서초그랑자이</t>
        </is>
      </c>
      <c r="G1222" s="41" t="inlineStr">
        <is>
          <t>119.4100</t>
        </is>
      </c>
      <c r="H1222" s="41" t="inlineStr">
        <is>
          <t>202408</t>
        </is>
      </c>
      <c r="I1222" s="41" t="inlineStr">
        <is>
          <t>08</t>
        </is>
      </c>
      <c r="J1222" s="41" t="inlineStr">
        <is>
          <t>430,000</t>
        </is>
      </c>
      <c r="K1222" s="41" t="inlineStr">
        <is>
          <t>107동</t>
        </is>
      </c>
      <c r="L1222" s="41" t="inlineStr">
        <is>
          <t>11</t>
        </is>
      </c>
      <c r="M1222" s="42" t="inlineStr">
        <is>
          <t>개인</t>
        </is>
      </c>
      <c r="N1222" s="42" t="inlineStr">
        <is>
          <t>개인</t>
        </is>
      </c>
      <c r="O1222" s="41" t="inlineStr">
        <is>
          <t>2021</t>
        </is>
      </c>
      <c r="P1222" s="42" t="inlineStr">
        <is>
          <t>효령로 391</t>
        </is>
      </c>
      <c r="Q1222" s="41" t="inlineStr">
        <is>
          <t>-</t>
        </is>
      </c>
      <c r="R1222" s="42" t="inlineStr">
        <is>
          <t>중개거래</t>
        </is>
      </c>
      <c r="S1222" s="42" t="inlineStr">
        <is>
          <t>서울 강남구, 서울 서초구</t>
        </is>
      </c>
      <c r="T1222" s="41" t="inlineStr">
        <is>
          <t>24.10.18</t>
        </is>
      </c>
      <c r="U1222" s="42" t="inlineStr">
        <is>
          <t>아파트</t>
        </is>
      </c>
    </row>
    <row r="1223" hidden="1" ht="14.25" customHeight="1">
      <c r="A1223" s="41" t="n">
        <v>690</v>
      </c>
      <c r="B1223" s="42" t="inlineStr">
        <is>
          <t>서울특별시 서초구 서초동</t>
        </is>
      </c>
      <c r="C1223" s="41" t="inlineStr">
        <is>
          <t>1315</t>
        </is>
      </c>
      <c r="D1223" s="41" t="inlineStr">
        <is>
          <t>1315</t>
        </is>
      </c>
      <c r="E1223" s="41" t="inlineStr">
        <is>
          <t>0000</t>
        </is>
      </c>
      <c r="F1223" s="42" t="inlineStr">
        <is>
          <t>진흥아파트</t>
        </is>
      </c>
      <c r="G1223" s="41" t="inlineStr">
        <is>
          <t>160.4600</t>
        </is>
      </c>
      <c r="H1223" s="41" t="inlineStr">
        <is>
          <t>202408</t>
        </is>
      </c>
      <c r="I1223" s="41" t="inlineStr">
        <is>
          <t>07</t>
        </is>
      </c>
      <c r="J1223" s="41" t="inlineStr">
        <is>
          <t>330,000</t>
        </is>
      </c>
      <c r="K1223" s="41" t="inlineStr">
        <is>
          <t>-</t>
        </is>
      </c>
      <c r="L1223" s="41" t="inlineStr">
        <is>
          <t>5</t>
        </is>
      </c>
      <c r="M1223" s="42" t="inlineStr">
        <is>
          <t>개인</t>
        </is>
      </c>
      <c r="N1223" s="42" t="inlineStr">
        <is>
          <t>개인</t>
        </is>
      </c>
      <c r="O1223" s="41" t="inlineStr">
        <is>
          <t>1979</t>
        </is>
      </c>
      <c r="P1223" s="42" t="inlineStr">
        <is>
          <t>서초대로 385</t>
        </is>
      </c>
      <c r="Q1223" s="41" t="inlineStr">
        <is>
          <t>20241204</t>
        </is>
      </c>
      <c r="R1223" s="42" t="inlineStr">
        <is>
          <t>중개거래</t>
        </is>
      </c>
      <c r="S1223" s="42" t="inlineStr">
        <is>
          <t>서울 서초구</t>
        </is>
      </c>
      <c r="T1223" s="41" t="inlineStr">
        <is>
          <t>-</t>
        </is>
      </c>
      <c r="U1223" s="42" t="inlineStr">
        <is>
          <t>아파트</t>
        </is>
      </c>
    </row>
    <row r="1224" hidden="1" ht="14.25" customHeight="1">
      <c r="A1224" s="41" t="n">
        <v>691</v>
      </c>
      <c r="B1224" s="42" t="inlineStr">
        <is>
          <t>서울특별시 서초구 서초동</t>
        </is>
      </c>
      <c r="C1224" s="41" t="inlineStr">
        <is>
          <t>1315</t>
        </is>
      </c>
      <c r="D1224" s="41" t="inlineStr">
        <is>
          <t>1315</t>
        </is>
      </c>
      <c r="E1224" s="41" t="inlineStr">
        <is>
          <t>0000</t>
        </is>
      </c>
      <c r="F1224" s="42" t="inlineStr">
        <is>
          <t>진흥아파트</t>
        </is>
      </c>
      <c r="G1224" s="41" t="inlineStr">
        <is>
          <t>160.4600</t>
        </is>
      </c>
      <c r="H1224" s="41" t="inlineStr">
        <is>
          <t>202408</t>
        </is>
      </c>
      <c r="I1224" s="41" t="inlineStr">
        <is>
          <t>07</t>
        </is>
      </c>
      <c r="J1224" s="41" t="inlineStr">
        <is>
          <t>330,000</t>
        </is>
      </c>
      <c r="K1224" s="41" t="inlineStr">
        <is>
          <t>6</t>
        </is>
      </c>
      <c r="L1224" s="41" t="inlineStr">
        <is>
          <t>5</t>
        </is>
      </c>
      <c r="M1224" s="42" t="inlineStr">
        <is>
          <t>개인</t>
        </is>
      </c>
      <c r="N1224" s="42" t="inlineStr">
        <is>
          <t>개인</t>
        </is>
      </c>
      <c r="O1224" s="41" t="inlineStr">
        <is>
          <t>1979</t>
        </is>
      </c>
      <c r="P1224" s="42" t="inlineStr">
        <is>
          <t>서초대로 385</t>
        </is>
      </c>
      <c r="Q1224" s="41" t="inlineStr">
        <is>
          <t>-</t>
        </is>
      </c>
      <c r="R1224" s="42" t="inlineStr">
        <is>
          <t>중개거래</t>
        </is>
      </c>
      <c r="S1224" s="42" t="inlineStr">
        <is>
          <t>서울 서초구</t>
        </is>
      </c>
      <c r="T1224" s="41" t="inlineStr">
        <is>
          <t>24.12.04</t>
        </is>
      </c>
      <c r="U1224" s="42" t="inlineStr">
        <is>
          <t>아파트</t>
        </is>
      </c>
    </row>
    <row r="1225" hidden="1" ht="14.25" customHeight="1">
      <c r="A1225" s="41" t="n">
        <v>692</v>
      </c>
      <c r="B1225" s="42" t="inlineStr">
        <is>
          <t>서울특별시 서초구 서초동</t>
        </is>
      </c>
      <c r="C1225" s="41" t="inlineStr">
        <is>
          <t>1641-1</t>
        </is>
      </c>
      <c r="D1225" s="41" t="inlineStr">
        <is>
          <t>1641</t>
        </is>
      </c>
      <c r="E1225" s="41" t="inlineStr">
        <is>
          <t>0001</t>
        </is>
      </c>
      <c r="F1225" s="42" t="inlineStr">
        <is>
          <t>서초삼성래미안</t>
        </is>
      </c>
      <c r="G1225" s="41" t="inlineStr">
        <is>
          <t>121.6600</t>
        </is>
      </c>
      <c r="H1225" s="41" t="inlineStr">
        <is>
          <t>202408</t>
        </is>
      </c>
      <c r="I1225" s="41" t="inlineStr">
        <is>
          <t>07</t>
        </is>
      </c>
      <c r="J1225" s="41" t="inlineStr">
        <is>
          <t>230,000</t>
        </is>
      </c>
      <c r="K1225" s="41" t="inlineStr">
        <is>
          <t>102</t>
        </is>
      </c>
      <c r="L1225" s="41" t="inlineStr">
        <is>
          <t>11</t>
        </is>
      </c>
      <c r="M1225" s="42" t="inlineStr">
        <is>
          <t>개인</t>
        </is>
      </c>
      <c r="N1225" s="42" t="inlineStr">
        <is>
          <t>개인</t>
        </is>
      </c>
      <c r="O1225" s="41" t="inlineStr">
        <is>
          <t>2001</t>
        </is>
      </c>
      <c r="P1225" s="42" t="inlineStr">
        <is>
          <t>사임당로17길 116</t>
        </is>
      </c>
      <c r="Q1225" s="41" t="inlineStr">
        <is>
          <t>-</t>
        </is>
      </c>
      <c r="R1225" s="42" t="inlineStr">
        <is>
          <t>중개거래</t>
        </is>
      </c>
      <c r="S1225" s="42" t="inlineStr">
        <is>
          <t>서울 서초구</t>
        </is>
      </c>
      <c r="T1225" s="41" t="inlineStr">
        <is>
          <t>24.09.25</t>
        </is>
      </c>
      <c r="U1225" s="42" t="inlineStr">
        <is>
          <t>아파트</t>
        </is>
      </c>
    </row>
    <row r="1226" hidden="1" ht="14.25" customHeight="1">
      <c r="A1226" s="41" t="n">
        <v>693</v>
      </c>
      <c r="B1226" s="42" t="inlineStr">
        <is>
          <t>서울특별시 서초구 서초동</t>
        </is>
      </c>
      <c r="C1226" s="41" t="inlineStr">
        <is>
          <t>1620-20</t>
        </is>
      </c>
      <c r="D1226" s="41" t="inlineStr">
        <is>
          <t>1620</t>
        </is>
      </c>
      <c r="E1226" s="41" t="inlineStr">
        <is>
          <t>0020</t>
        </is>
      </c>
      <c r="F1226" s="42" t="inlineStr">
        <is>
          <t>서초동롯데캐슬리버티</t>
        </is>
      </c>
      <c r="G1226" s="41" t="inlineStr">
        <is>
          <t>125.7900</t>
        </is>
      </c>
      <c r="H1226" s="41" t="inlineStr">
        <is>
          <t>202408</t>
        </is>
      </c>
      <c r="I1226" s="41" t="inlineStr">
        <is>
          <t>06</t>
        </is>
      </c>
      <c r="J1226" s="41" t="inlineStr">
        <is>
          <t>208,000</t>
        </is>
      </c>
      <c r="K1226" s="41" t="inlineStr">
        <is>
          <t>-</t>
        </is>
      </c>
      <c r="L1226" s="41" t="inlineStr">
        <is>
          <t>10</t>
        </is>
      </c>
      <c r="M1226" s="42" t="inlineStr">
        <is>
          <t>기타</t>
        </is>
      </c>
      <c r="N1226" s="42" t="inlineStr">
        <is>
          <t>개인</t>
        </is>
      </c>
      <c r="O1226" s="41" t="inlineStr">
        <is>
          <t>2005</t>
        </is>
      </c>
      <c r="P1226" s="42" t="inlineStr">
        <is>
          <t>사임당로10길 39</t>
        </is>
      </c>
      <c r="Q1226" s="41" t="inlineStr">
        <is>
          <t>20241213</t>
        </is>
      </c>
      <c r="R1226" s="42" t="inlineStr">
        <is>
          <t>중개거래</t>
        </is>
      </c>
      <c r="S1226" s="42" t="inlineStr">
        <is>
          <t>서울 서초구</t>
        </is>
      </c>
      <c r="T1226" s="41" t="inlineStr">
        <is>
          <t>-</t>
        </is>
      </c>
      <c r="U1226" s="42" t="inlineStr">
        <is>
          <t>아파트</t>
        </is>
      </c>
    </row>
    <row r="1227" hidden="1" ht="14.25" customHeight="1">
      <c r="A1227" s="41" t="n">
        <v>694</v>
      </c>
      <c r="B1227" s="42" t="inlineStr">
        <is>
          <t>서울특별시 서초구 서초동</t>
        </is>
      </c>
      <c r="C1227" s="41" t="inlineStr">
        <is>
          <t>1593-7</t>
        </is>
      </c>
      <c r="D1227" s="41" t="inlineStr">
        <is>
          <t>1593</t>
        </is>
      </c>
      <c r="E1227" s="41" t="inlineStr">
        <is>
          <t>0007</t>
        </is>
      </c>
      <c r="F1227" s="42" t="inlineStr">
        <is>
          <t>서초이오빌</t>
        </is>
      </c>
      <c r="G1227" s="41" t="inlineStr">
        <is>
          <t>43.2000</t>
        </is>
      </c>
      <c r="H1227" s="41" t="inlineStr">
        <is>
          <t>202408</t>
        </is>
      </c>
      <c r="I1227" s="41" t="inlineStr">
        <is>
          <t>06</t>
        </is>
      </c>
      <c r="J1227" s="41" t="inlineStr">
        <is>
          <t>39,000</t>
        </is>
      </c>
      <c r="K1227" s="41" t="inlineStr">
        <is>
          <t>-</t>
        </is>
      </c>
      <c r="L1227" s="41" t="inlineStr">
        <is>
          <t>11</t>
        </is>
      </c>
      <c r="M1227" s="42" t="inlineStr">
        <is>
          <t>개인</t>
        </is>
      </c>
      <c r="N1227" s="42" t="inlineStr">
        <is>
          <t>개인</t>
        </is>
      </c>
      <c r="O1227" s="41" t="inlineStr">
        <is>
          <t>2003</t>
        </is>
      </c>
      <c r="P1227" s="42" t="inlineStr">
        <is>
          <t>효령로53길 45</t>
        </is>
      </c>
      <c r="Q1227" s="41" t="inlineStr">
        <is>
          <t>-</t>
        </is>
      </c>
      <c r="R1227" s="42" t="inlineStr">
        <is>
          <t>중개거래</t>
        </is>
      </c>
      <c r="S1227" s="42" t="inlineStr">
        <is>
          <t>서울 강남구, 서울 서초구</t>
        </is>
      </c>
      <c r="T1227" s="41" t="inlineStr">
        <is>
          <t>24.11.20</t>
        </is>
      </c>
      <c r="U1227" s="42" t="inlineStr">
        <is>
          <t>아파트</t>
        </is>
      </c>
    </row>
    <row r="1228" hidden="1" ht="14.25" customHeight="1">
      <c r="A1228" s="41" t="n">
        <v>695</v>
      </c>
      <c r="B1228" s="42" t="inlineStr">
        <is>
          <t>서울특별시 서초구 서초동</t>
        </is>
      </c>
      <c r="C1228" s="41" t="inlineStr">
        <is>
          <t>1620-20</t>
        </is>
      </c>
      <c r="D1228" s="41" t="inlineStr">
        <is>
          <t>1620</t>
        </is>
      </c>
      <c r="E1228" s="41" t="inlineStr">
        <is>
          <t>0020</t>
        </is>
      </c>
      <c r="F1228" s="42" t="inlineStr">
        <is>
          <t>서초동롯데캐슬리버티</t>
        </is>
      </c>
      <c r="G1228" s="41" t="inlineStr">
        <is>
          <t>125.7900</t>
        </is>
      </c>
      <c r="H1228" s="41" t="inlineStr">
        <is>
          <t>202408</t>
        </is>
      </c>
      <c r="I1228" s="41" t="inlineStr">
        <is>
          <t>06</t>
        </is>
      </c>
      <c r="J1228" s="41" t="inlineStr">
        <is>
          <t>208,000</t>
        </is>
      </c>
      <c r="K1228" s="41" t="inlineStr">
        <is>
          <t>102</t>
        </is>
      </c>
      <c r="L1228" s="41" t="inlineStr">
        <is>
          <t>10</t>
        </is>
      </c>
      <c r="M1228" s="42" t="inlineStr">
        <is>
          <t>기타</t>
        </is>
      </c>
      <c r="N1228" s="42" t="inlineStr">
        <is>
          <t>개인</t>
        </is>
      </c>
      <c r="O1228" s="41" t="inlineStr">
        <is>
          <t>2005</t>
        </is>
      </c>
      <c r="P1228" s="42" t="inlineStr">
        <is>
          <t>사임당로10길 39</t>
        </is>
      </c>
      <c r="Q1228" s="41" t="inlineStr">
        <is>
          <t>-</t>
        </is>
      </c>
      <c r="R1228" s="42" t="inlineStr">
        <is>
          <t>중개거래</t>
        </is>
      </c>
      <c r="S1228" s="42" t="inlineStr">
        <is>
          <t>서울 서초구</t>
        </is>
      </c>
      <c r="T1228" s="41" t="inlineStr">
        <is>
          <t>24.12.23</t>
        </is>
      </c>
      <c r="U1228" s="42" t="inlineStr">
        <is>
          <t>아파트</t>
        </is>
      </c>
    </row>
    <row r="1229" hidden="1" ht="14.25" customHeight="1">
      <c r="A1229" s="41" t="n">
        <v>696</v>
      </c>
      <c r="B1229" s="42" t="inlineStr">
        <is>
          <t>서울특별시 서초구 서초동</t>
        </is>
      </c>
      <c r="C1229" s="41" t="inlineStr">
        <is>
          <t>1346</t>
        </is>
      </c>
      <c r="D1229" s="41" t="inlineStr">
        <is>
          <t>1346</t>
        </is>
      </c>
      <c r="E1229" s="41" t="inlineStr">
        <is>
          <t>0000</t>
        </is>
      </c>
      <c r="F1229" s="42" t="inlineStr">
        <is>
          <t>현대아파트</t>
        </is>
      </c>
      <c r="G1229" s="41" t="inlineStr">
        <is>
          <t>84.3400</t>
        </is>
      </c>
      <c r="H1229" s="41" t="inlineStr">
        <is>
          <t>202408</t>
        </is>
      </c>
      <c r="I1229" s="41" t="inlineStr">
        <is>
          <t>06</t>
        </is>
      </c>
      <c r="J1229" s="41" t="inlineStr">
        <is>
          <t>170,000</t>
        </is>
      </c>
      <c r="K1229" s="41" t="inlineStr">
        <is>
          <t>11</t>
        </is>
      </c>
      <c r="L1229" s="41" t="inlineStr">
        <is>
          <t>3</t>
        </is>
      </c>
      <c r="M1229" s="42" t="inlineStr">
        <is>
          <t>개인</t>
        </is>
      </c>
      <c r="N1229" s="42" t="inlineStr">
        <is>
          <t>개인</t>
        </is>
      </c>
      <c r="O1229" s="41" t="inlineStr">
        <is>
          <t>1989</t>
        </is>
      </c>
      <c r="P1229" s="42" t="inlineStr">
        <is>
          <t>효령로72길 14</t>
        </is>
      </c>
      <c r="Q1229" s="41" t="inlineStr">
        <is>
          <t>-</t>
        </is>
      </c>
      <c r="R1229" s="42" t="inlineStr">
        <is>
          <t>중개거래</t>
        </is>
      </c>
      <c r="S1229" s="42" t="inlineStr">
        <is>
          <t>서울 서초구</t>
        </is>
      </c>
      <c r="T1229" s="41" t="inlineStr">
        <is>
          <t>24.11.29</t>
        </is>
      </c>
      <c r="U1229" s="42" t="inlineStr">
        <is>
          <t>아파트</t>
        </is>
      </c>
    </row>
    <row r="1230" hidden="1" ht="14.25" customHeight="1">
      <c r="A1230" s="41" t="n">
        <v>697</v>
      </c>
      <c r="B1230" s="42" t="inlineStr">
        <is>
          <t>서울특별시 서초구 서초동</t>
        </is>
      </c>
      <c r="C1230" s="41" t="inlineStr">
        <is>
          <t>1333</t>
        </is>
      </c>
      <c r="D1230" s="41" t="inlineStr">
        <is>
          <t>1333</t>
        </is>
      </c>
      <c r="E1230" s="41" t="inlineStr">
        <is>
          <t>0000</t>
        </is>
      </c>
      <c r="F1230" s="42" t="inlineStr">
        <is>
          <t>신동아아파트(1차)</t>
        </is>
      </c>
      <c r="G1230" s="41" t="inlineStr">
        <is>
          <t>101.6000</t>
        </is>
      </c>
      <c r="H1230" s="41" t="inlineStr">
        <is>
          <t>202408</t>
        </is>
      </c>
      <c r="I1230" s="41" t="inlineStr">
        <is>
          <t>05</t>
        </is>
      </c>
      <c r="J1230" s="41" t="inlineStr">
        <is>
          <t>250,000</t>
        </is>
      </c>
      <c r="K1230" s="41" t="inlineStr">
        <is>
          <t>3</t>
        </is>
      </c>
      <c r="L1230" s="41" t="inlineStr">
        <is>
          <t>10</t>
        </is>
      </c>
      <c r="M1230" s="42" t="inlineStr">
        <is>
          <t>개인</t>
        </is>
      </c>
      <c r="N1230" s="42" t="inlineStr">
        <is>
          <t>개인</t>
        </is>
      </c>
      <c r="O1230" s="41" t="inlineStr">
        <is>
          <t>1978</t>
        </is>
      </c>
      <c r="P1230" s="42" t="inlineStr">
        <is>
          <t>사임당로 137</t>
        </is>
      </c>
      <c r="Q1230" s="41" t="inlineStr">
        <is>
          <t>-</t>
        </is>
      </c>
      <c r="R1230" s="42" t="inlineStr">
        <is>
          <t>중개거래</t>
        </is>
      </c>
      <c r="S1230" s="42" t="inlineStr">
        <is>
          <t>서울 서초구</t>
        </is>
      </c>
      <c r="T1230" s="41" t="inlineStr">
        <is>
          <t>24.11.28</t>
        </is>
      </c>
      <c r="U1230" s="42" t="inlineStr">
        <is>
          <t>아파트</t>
        </is>
      </c>
    </row>
    <row r="1231" hidden="1" ht="14.25" customHeight="1">
      <c r="A1231" s="41" t="n">
        <v>698</v>
      </c>
      <c r="B1231" s="42" t="inlineStr">
        <is>
          <t>서울특별시 서초구 서초동</t>
        </is>
      </c>
      <c r="C1231" s="41" t="inlineStr">
        <is>
          <t>1686-9</t>
        </is>
      </c>
      <c r="D1231" s="41" t="inlineStr">
        <is>
          <t>1686</t>
        </is>
      </c>
      <c r="E1231" s="41" t="inlineStr">
        <is>
          <t>0009</t>
        </is>
      </c>
      <c r="F1231" s="42" t="inlineStr">
        <is>
          <t>서초교대e편한세상</t>
        </is>
      </c>
      <c r="G1231" s="41" t="inlineStr">
        <is>
          <t>84.9700</t>
        </is>
      </c>
      <c r="H1231" s="41" t="inlineStr">
        <is>
          <t>202408</t>
        </is>
      </c>
      <c r="I1231" s="41" t="inlineStr">
        <is>
          <t>05</t>
        </is>
      </c>
      <c r="J1231" s="41" t="inlineStr">
        <is>
          <t>182,000</t>
        </is>
      </c>
      <c r="K1231" s="41" t="inlineStr">
        <is>
          <t>101</t>
        </is>
      </c>
      <c r="L1231" s="41" t="inlineStr">
        <is>
          <t>13</t>
        </is>
      </c>
      <c r="M1231" s="42" t="inlineStr">
        <is>
          <t>개인</t>
        </is>
      </c>
      <c r="N1231" s="42" t="inlineStr">
        <is>
          <t>개인</t>
        </is>
      </c>
      <c r="O1231" s="41" t="inlineStr">
        <is>
          <t>2010</t>
        </is>
      </c>
      <c r="P1231" s="42" t="inlineStr">
        <is>
          <t>서초중앙로24길 33</t>
        </is>
      </c>
      <c r="Q1231" s="41" t="inlineStr">
        <is>
          <t>-</t>
        </is>
      </c>
      <c r="R1231" s="42" t="inlineStr">
        <is>
          <t>직거래</t>
        </is>
      </c>
      <c r="S1231" s="41" t="inlineStr">
        <is>
          <t>-</t>
        </is>
      </c>
      <c r="T1231" s="41" t="inlineStr">
        <is>
          <t>24.09.12</t>
        </is>
      </c>
      <c r="U1231" s="42" t="inlineStr">
        <is>
          <t>아파트</t>
        </is>
      </c>
    </row>
    <row r="1232" hidden="1" ht="14.25" customHeight="1">
      <c r="A1232" s="41" t="n">
        <v>699</v>
      </c>
      <c r="B1232" s="42" t="inlineStr">
        <is>
          <t>서울특별시 서초구 서초동</t>
        </is>
      </c>
      <c r="C1232" s="41" t="inlineStr">
        <is>
          <t>1315</t>
        </is>
      </c>
      <c r="D1232" s="41" t="inlineStr">
        <is>
          <t>1315</t>
        </is>
      </c>
      <c r="E1232" s="41" t="inlineStr">
        <is>
          <t>0000</t>
        </is>
      </c>
      <c r="F1232" s="42" t="inlineStr">
        <is>
          <t>진흥아파트</t>
        </is>
      </c>
      <c r="G1232" s="41" t="inlineStr">
        <is>
          <t>131.0700</t>
        </is>
      </c>
      <c r="H1232" s="41" t="inlineStr">
        <is>
          <t>202408</t>
        </is>
      </c>
      <c r="I1232" s="41" t="inlineStr">
        <is>
          <t>05</t>
        </is>
      </c>
      <c r="J1232" s="41" t="inlineStr">
        <is>
          <t>292,000</t>
        </is>
      </c>
      <c r="K1232" s="41" t="inlineStr">
        <is>
          <t>7</t>
        </is>
      </c>
      <c r="L1232" s="41" t="inlineStr">
        <is>
          <t>11</t>
        </is>
      </c>
      <c r="M1232" s="42" t="inlineStr">
        <is>
          <t>개인</t>
        </is>
      </c>
      <c r="N1232" s="42" t="inlineStr">
        <is>
          <t>개인</t>
        </is>
      </c>
      <c r="O1232" s="41" t="inlineStr">
        <is>
          <t>1979</t>
        </is>
      </c>
      <c r="P1232" s="42" t="inlineStr">
        <is>
          <t>서초대로 385</t>
        </is>
      </c>
      <c r="Q1232" s="41" t="inlineStr">
        <is>
          <t>-</t>
        </is>
      </c>
      <c r="R1232" s="42" t="inlineStr">
        <is>
          <t>중개거래</t>
        </is>
      </c>
      <c r="S1232" s="42" t="inlineStr">
        <is>
          <t>서울 서초구</t>
        </is>
      </c>
      <c r="T1232" s="41" t="inlineStr">
        <is>
          <t>24.11.29</t>
        </is>
      </c>
      <c r="U1232" s="42" t="inlineStr">
        <is>
          <t>아파트</t>
        </is>
      </c>
    </row>
    <row r="1233" hidden="1" ht="14.25" customHeight="1">
      <c r="A1233" s="41" t="n">
        <v>700</v>
      </c>
      <c r="B1233" s="42" t="inlineStr">
        <is>
          <t>서울특별시 서초구 서초동</t>
        </is>
      </c>
      <c r="C1233" s="41" t="inlineStr">
        <is>
          <t>1685</t>
        </is>
      </c>
      <c r="D1233" s="41" t="inlineStr">
        <is>
          <t>1685</t>
        </is>
      </c>
      <c r="E1233" s="41" t="inlineStr">
        <is>
          <t>0000</t>
        </is>
      </c>
      <c r="F1233" s="42" t="inlineStr">
        <is>
          <t>삼풍아파트</t>
        </is>
      </c>
      <c r="G1233" s="41" t="inlineStr">
        <is>
          <t>130.7300</t>
        </is>
      </c>
      <c r="H1233" s="41" t="inlineStr">
        <is>
          <t>202408</t>
        </is>
      </c>
      <c r="I1233" s="41" t="inlineStr">
        <is>
          <t>05</t>
        </is>
      </c>
      <c r="J1233" s="41" t="inlineStr">
        <is>
          <t>350,000</t>
        </is>
      </c>
      <c r="K1233" s="41" t="inlineStr">
        <is>
          <t>16</t>
        </is>
      </c>
      <c r="L1233" s="41" t="inlineStr">
        <is>
          <t>7</t>
        </is>
      </c>
      <c r="M1233" s="42" t="inlineStr">
        <is>
          <t>개인</t>
        </is>
      </c>
      <c r="N1233" s="42" t="inlineStr">
        <is>
          <t>개인</t>
        </is>
      </c>
      <c r="O1233" s="41" t="inlineStr">
        <is>
          <t>1988</t>
        </is>
      </c>
      <c r="P1233" s="42" t="inlineStr">
        <is>
          <t>서초중앙로 200</t>
        </is>
      </c>
      <c r="Q1233" s="41" t="inlineStr">
        <is>
          <t>-</t>
        </is>
      </c>
      <c r="R1233" s="42" t="inlineStr">
        <is>
          <t>중개거래</t>
        </is>
      </c>
      <c r="S1233" s="42" t="inlineStr">
        <is>
          <t>서울 서초구</t>
        </is>
      </c>
      <c r="T1233" s="41" t="inlineStr">
        <is>
          <t>24.11.29</t>
        </is>
      </c>
      <c r="U1233" s="42" t="inlineStr">
        <is>
          <t>아파트</t>
        </is>
      </c>
    </row>
    <row r="1234" hidden="1" ht="14.25" customHeight="1">
      <c r="A1234" s="41" t="n">
        <v>701</v>
      </c>
      <c r="B1234" s="42" t="inlineStr">
        <is>
          <t>서울특별시 서초구 서초동</t>
        </is>
      </c>
      <c r="C1234" s="41" t="inlineStr">
        <is>
          <t>1685</t>
        </is>
      </c>
      <c r="D1234" s="41" t="inlineStr">
        <is>
          <t>1685</t>
        </is>
      </c>
      <c r="E1234" s="41" t="inlineStr">
        <is>
          <t>0000</t>
        </is>
      </c>
      <c r="F1234" s="42" t="inlineStr">
        <is>
          <t>삼풍아파트</t>
        </is>
      </c>
      <c r="G1234" s="41" t="inlineStr">
        <is>
          <t>163.8100</t>
        </is>
      </c>
      <c r="H1234" s="41" t="inlineStr">
        <is>
          <t>202408</t>
        </is>
      </c>
      <c r="I1234" s="41" t="inlineStr">
        <is>
          <t>03</t>
        </is>
      </c>
      <c r="J1234" s="41" t="inlineStr">
        <is>
          <t>410,000</t>
        </is>
      </c>
      <c r="K1234" s="41" t="inlineStr">
        <is>
          <t>23</t>
        </is>
      </c>
      <c r="L1234" s="41" t="inlineStr">
        <is>
          <t>13</t>
        </is>
      </c>
      <c r="M1234" s="42" t="inlineStr">
        <is>
          <t>개인</t>
        </is>
      </c>
      <c r="N1234" s="42" t="inlineStr">
        <is>
          <t>개인</t>
        </is>
      </c>
      <c r="O1234" s="41" t="inlineStr">
        <is>
          <t>1988</t>
        </is>
      </c>
      <c r="P1234" s="42" t="inlineStr">
        <is>
          <t>서초중앙로 200</t>
        </is>
      </c>
      <c r="Q1234" s="41" t="inlineStr">
        <is>
          <t>-</t>
        </is>
      </c>
      <c r="R1234" s="42" t="inlineStr">
        <is>
          <t>중개거래</t>
        </is>
      </c>
      <c r="S1234" s="42" t="inlineStr">
        <is>
          <t>서울 서초구</t>
        </is>
      </c>
      <c r="T1234" s="41" t="inlineStr">
        <is>
          <t>25.01.02</t>
        </is>
      </c>
      <c r="U1234" s="42" t="inlineStr">
        <is>
          <t>아파트</t>
        </is>
      </c>
    </row>
    <row r="1235" hidden="1" ht="14.25" customHeight="1">
      <c r="A1235" s="41" t="n">
        <v>702</v>
      </c>
      <c r="B1235" s="42" t="inlineStr">
        <is>
          <t>서울특별시 서초구 서초동</t>
        </is>
      </c>
      <c r="C1235" s="41" t="inlineStr">
        <is>
          <t>1682</t>
        </is>
      </c>
      <c r="D1235" s="41" t="inlineStr">
        <is>
          <t>1682</t>
        </is>
      </c>
      <c r="E1235" s="41" t="inlineStr">
        <is>
          <t>0000</t>
        </is>
      </c>
      <c r="F1235" s="42" t="inlineStr">
        <is>
          <t>서초래미안</t>
        </is>
      </c>
      <c r="G1235" s="41" t="inlineStr">
        <is>
          <t>126.3100</t>
        </is>
      </c>
      <c r="H1235" s="41" t="inlineStr">
        <is>
          <t>202408</t>
        </is>
      </c>
      <c r="I1235" s="41" t="inlineStr">
        <is>
          <t>03</t>
        </is>
      </c>
      <c r="J1235" s="41" t="inlineStr">
        <is>
          <t>300,000</t>
        </is>
      </c>
      <c r="K1235" s="41" t="inlineStr">
        <is>
          <t>109</t>
        </is>
      </c>
      <c r="L1235" s="41" t="inlineStr">
        <is>
          <t>17</t>
        </is>
      </c>
      <c r="M1235" s="42" t="inlineStr">
        <is>
          <t>개인</t>
        </is>
      </c>
      <c r="N1235" s="42" t="inlineStr">
        <is>
          <t>개인</t>
        </is>
      </c>
      <c r="O1235" s="41" t="inlineStr">
        <is>
          <t>2003</t>
        </is>
      </c>
      <c r="P1235" s="42" t="inlineStr">
        <is>
          <t>서초대로65길 13-10</t>
        </is>
      </c>
      <c r="Q1235" s="41" t="inlineStr">
        <is>
          <t>-</t>
        </is>
      </c>
      <c r="R1235" s="42" t="inlineStr">
        <is>
          <t>중개거래</t>
        </is>
      </c>
      <c r="S1235" s="42" t="inlineStr">
        <is>
          <t>서울 서초구, 서울 양천구</t>
        </is>
      </c>
      <c r="T1235" s="41" t="inlineStr">
        <is>
          <t>24.12.30</t>
        </is>
      </c>
      <c r="U1235" s="42" t="inlineStr">
        <is>
          <t>아파트</t>
        </is>
      </c>
    </row>
    <row r="1236" hidden="1" ht="14.25" customHeight="1">
      <c r="A1236" s="41" t="n">
        <v>703</v>
      </c>
      <c r="B1236" s="42" t="inlineStr">
        <is>
          <t>서울특별시 서초구 서초동</t>
        </is>
      </c>
      <c r="C1236" s="41" t="inlineStr">
        <is>
          <t>1445-4</t>
        </is>
      </c>
      <c r="D1236" s="41" t="inlineStr">
        <is>
          <t>1445</t>
        </is>
      </c>
      <c r="E1236" s="41" t="inlineStr">
        <is>
          <t>0004</t>
        </is>
      </c>
      <c r="F1236" s="42" t="inlineStr">
        <is>
          <t>래미안서초유니빌</t>
        </is>
      </c>
      <c r="G1236" s="41" t="inlineStr">
        <is>
          <t>45.2550</t>
        </is>
      </c>
      <c r="H1236" s="41" t="inlineStr">
        <is>
          <t>202408</t>
        </is>
      </c>
      <c r="I1236" s="41" t="inlineStr">
        <is>
          <t>03</t>
        </is>
      </c>
      <c r="J1236" s="41" t="inlineStr">
        <is>
          <t>52,000</t>
        </is>
      </c>
      <c r="K1236" s="42" t="inlineStr">
        <is>
          <t>래미안 서초유니빌</t>
        </is>
      </c>
      <c r="L1236" s="41" t="inlineStr">
        <is>
          <t>12</t>
        </is>
      </c>
      <c r="M1236" s="42" t="inlineStr">
        <is>
          <t>개인</t>
        </is>
      </c>
      <c r="N1236" s="42" t="inlineStr">
        <is>
          <t>개인</t>
        </is>
      </c>
      <c r="O1236" s="41" t="inlineStr">
        <is>
          <t>2003</t>
        </is>
      </c>
      <c r="P1236" s="42" t="inlineStr">
        <is>
          <t>서초중앙로 26</t>
        </is>
      </c>
      <c r="Q1236" s="41" t="inlineStr">
        <is>
          <t>-</t>
        </is>
      </c>
      <c r="R1236" s="42" t="inlineStr">
        <is>
          <t>중개거래</t>
        </is>
      </c>
      <c r="S1236" s="42" t="inlineStr">
        <is>
          <t>서울 서초구</t>
        </is>
      </c>
      <c r="T1236" s="41" t="inlineStr">
        <is>
          <t>24.10.29</t>
        </is>
      </c>
      <c r="U1236" s="42" t="inlineStr">
        <is>
          <t>아파트</t>
        </is>
      </c>
    </row>
    <row r="1237" hidden="1" ht="14.25" customHeight="1">
      <c r="A1237" s="41" t="n">
        <v>704</v>
      </c>
      <c r="B1237" s="42" t="inlineStr">
        <is>
          <t>서울특별시 서초구 서초동</t>
        </is>
      </c>
      <c r="C1237" s="41" t="inlineStr">
        <is>
          <t>1685</t>
        </is>
      </c>
      <c r="D1237" s="41" t="inlineStr">
        <is>
          <t>1685</t>
        </is>
      </c>
      <c r="E1237" s="41" t="inlineStr">
        <is>
          <t>0000</t>
        </is>
      </c>
      <c r="F1237" s="42" t="inlineStr">
        <is>
          <t>삼풍아파트</t>
        </is>
      </c>
      <c r="G1237" s="41" t="inlineStr">
        <is>
          <t>79.4700</t>
        </is>
      </c>
      <c r="H1237" s="41" t="inlineStr">
        <is>
          <t>202408</t>
        </is>
      </c>
      <c r="I1237" s="41" t="inlineStr">
        <is>
          <t>03</t>
        </is>
      </c>
      <c r="J1237" s="41" t="inlineStr">
        <is>
          <t>257,000</t>
        </is>
      </c>
      <c r="K1237" s="41" t="inlineStr">
        <is>
          <t>6</t>
        </is>
      </c>
      <c r="L1237" s="41" t="inlineStr">
        <is>
          <t>12</t>
        </is>
      </c>
      <c r="M1237" s="42" t="inlineStr">
        <is>
          <t>개인</t>
        </is>
      </c>
      <c r="N1237" s="42" t="inlineStr">
        <is>
          <t>개인</t>
        </is>
      </c>
      <c r="O1237" s="41" t="inlineStr">
        <is>
          <t>1988</t>
        </is>
      </c>
      <c r="P1237" s="42" t="inlineStr">
        <is>
          <t>서초중앙로 200</t>
        </is>
      </c>
      <c r="Q1237" s="41" t="inlineStr">
        <is>
          <t>-</t>
        </is>
      </c>
      <c r="R1237" s="42" t="inlineStr">
        <is>
          <t>중개거래</t>
        </is>
      </c>
      <c r="S1237" s="42" t="inlineStr">
        <is>
          <t>서울 서초구</t>
        </is>
      </c>
      <c r="T1237" s="41" t="inlineStr">
        <is>
          <t>24.10.29</t>
        </is>
      </c>
      <c r="U1237" s="42" t="inlineStr">
        <is>
          <t>아파트</t>
        </is>
      </c>
    </row>
    <row r="1238" hidden="1" ht="14.25" customHeight="1">
      <c r="A1238" s="41" t="n">
        <v>705</v>
      </c>
      <c r="B1238" s="42" t="inlineStr">
        <is>
          <t>서울특별시 서초구 서초동</t>
        </is>
      </c>
      <c r="C1238" s="41" t="inlineStr">
        <is>
          <t>1513-2</t>
        </is>
      </c>
      <c r="D1238" s="41" t="inlineStr">
        <is>
          <t>1513</t>
        </is>
      </c>
      <c r="E1238" s="41" t="inlineStr">
        <is>
          <t>0002</t>
        </is>
      </c>
      <c r="F1238" s="41" t="inlineStr">
        <is>
          <t>N-Suite(1513-2)</t>
        </is>
      </c>
      <c r="G1238" s="41" t="inlineStr">
        <is>
          <t>112.3500</t>
        </is>
      </c>
      <c r="H1238" s="41" t="inlineStr">
        <is>
          <t>202408</t>
        </is>
      </c>
      <c r="I1238" s="41" t="inlineStr">
        <is>
          <t>03</t>
        </is>
      </c>
      <c r="J1238" s="41" t="inlineStr">
        <is>
          <t>135,000</t>
        </is>
      </c>
      <c r="K1238" s="41" t="inlineStr">
        <is>
          <t>2차</t>
        </is>
      </c>
      <c r="L1238" s="41" t="inlineStr">
        <is>
          <t>4</t>
        </is>
      </c>
      <c r="M1238" s="42" t="inlineStr">
        <is>
          <t>개인</t>
        </is>
      </c>
      <c r="N1238" s="42" t="inlineStr">
        <is>
          <t>개인</t>
        </is>
      </c>
      <c r="O1238" s="41" t="inlineStr">
        <is>
          <t>2004</t>
        </is>
      </c>
      <c r="P1238" s="42" t="inlineStr">
        <is>
          <t>명달로22길 42</t>
        </is>
      </c>
      <c r="Q1238" s="41" t="inlineStr">
        <is>
          <t>-</t>
        </is>
      </c>
      <c r="R1238" s="42" t="inlineStr">
        <is>
          <t>중개거래</t>
        </is>
      </c>
      <c r="S1238" s="42" t="inlineStr">
        <is>
          <t>서울 서초구</t>
        </is>
      </c>
      <c r="T1238" s="41" t="inlineStr">
        <is>
          <t>24.09.27</t>
        </is>
      </c>
      <c r="U1238" s="42" t="inlineStr">
        <is>
          <t>아파트</t>
        </is>
      </c>
    </row>
    <row r="1239" hidden="1" ht="14.25" customHeight="1">
      <c r="A1239" s="41" t="n">
        <v>706</v>
      </c>
      <c r="B1239" s="42" t="inlineStr">
        <is>
          <t>서울특별시 서초구 서초동</t>
        </is>
      </c>
      <c r="C1239" s="41" t="inlineStr">
        <is>
          <t>1312-3</t>
        </is>
      </c>
      <c r="D1239" s="41" t="inlineStr">
        <is>
          <t>1312</t>
        </is>
      </c>
      <c r="E1239" s="41" t="inlineStr">
        <is>
          <t>0003</t>
        </is>
      </c>
      <c r="F1239" s="42" t="inlineStr">
        <is>
          <t>롯데캐슬클래식</t>
        </is>
      </c>
      <c r="G1239" s="41" t="inlineStr">
        <is>
          <t>84.9800</t>
        </is>
      </c>
      <c r="H1239" s="41" t="inlineStr">
        <is>
          <t>202408</t>
        </is>
      </c>
      <c r="I1239" s="41" t="inlineStr">
        <is>
          <t>03</t>
        </is>
      </c>
      <c r="J1239" s="41" t="inlineStr">
        <is>
          <t>260,000</t>
        </is>
      </c>
      <c r="K1239" s="41" t="inlineStr">
        <is>
          <t>101</t>
        </is>
      </c>
      <c r="L1239" s="41" t="inlineStr">
        <is>
          <t>18</t>
        </is>
      </c>
      <c r="M1239" s="42" t="inlineStr">
        <is>
          <t>개인</t>
        </is>
      </c>
      <c r="N1239" s="42" t="inlineStr">
        <is>
          <t>개인</t>
        </is>
      </c>
      <c r="O1239" s="41" t="inlineStr">
        <is>
          <t>2006</t>
        </is>
      </c>
      <c r="P1239" s="42" t="inlineStr">
        <is>
          <t>서운로 197</t>
        </is>
      </c>
      <c r="Q1239" s="41" t="inlineStr">
        <is>
          <t>-</t>
        </is>
      </c>
      <c r="R1239" s="42" t="inlineStr">
        <is>
          <t>중개거래</t>
        </is>
      </c>
      <c r="S1239" s="42" t="inlineStr">
        <is>
          <t>서울 서초구</t>
        </is>
      </c>
      <c r="T1239" s="41" t="inlineStr">
        <is>
          <t>24.10.07</t>
        </is>
      </c>
      <c r="U1239" s="42" t="inlineStr">
        <is>
          <t>아파트</t>
        </is>
      </c>
    </row>
    <row r="1240" hidden="1" ht="14.25" customHeight="1">
      <c r="A1240" s="41" t="n">
        <v>707</v>
      </c>
      <c r="B1240" s="42" t="inlineStr">
        <is>
          <t>서울특별시 서초구 서초동</t>
        </is>
      </c>
      <c r="C1240" s="41" t="inlineStr">
        <is>
          <t>1641-1</t>
        </is>
      </c>
      <c r="D1240" s="41" t="inlineStr">
        <is>
          <t>1641</t>
        </is>
      </c>
      <c r="E1240" s="41" t="inlineStr">
        <is>
          <t>0001</t>
        </is>
      </c>
      <c r="F1240" s="42" t="inlineStr">
        <is>
          <t>서초삼성래미안</t>
        </is>
      </c>
      <c r="G1240" s="41" t="inlineStr">
        <is>
          <t>121.6600</t>
        </is>
      </c>
      <c r="H1240" s="41" t="inlineStr">
        <is>
          <t>202408</t>
        </is>
      </c>
      <c r="I1240" s="41" t="inlineStr">
        <is>
          <t>02</t>
        </is>
      </c>
      <c r="J1240" s="41" t="inlineStr">
        <is>
          <t>232,000</t>
        </is>
      </c>
      <c r="K1240" s="41" t="inlineStr">
        <is>
          <t>102</t>
        </is>
      </c>
      <c r="L1240" s="41" t="inlineStr">
        <is>
          <t>9</t>
        </is>
      </c>
      <c r="M1240" s="42" t="inlineStr">
        <is>
          <t>개인</t>
        </is>
      </c>
      <c r="N1240" s="42" t="inlineStr">
        <is>
          <t>개인</t>
        </is>
      </c>
      <c r="O1240" s="41" t="inlineStr">
        <is>
          <t>2001</t>
        </is>
      </c>
      <c r="P1240" s="42" t="inlineStr">
        <is>
          <t>사임당로17길 116</t>
        </is>
      </c>
      <c r="Q1240" s="41" t="inlineStr">
        <is>
          <t>-</t>
        </is>
      </c>
      <c r="R1240" s="42" t="inlineStr">
        <is>
          <t>중개거래</t>
        </is>
      </c>
      <c r="S1240" s="42" t="inlineStr">
        <is>
          <t>서울 서초구</t>
        </is>
      </c>
      <c r="T1240" s="41" t="inlineStr">
        <is>
          <t>24.10.22</t>
        </is>
      </c>
      <c r="U1240" s="42" t="inlineStr">
        <is>
          <t>아파트</t>
        </is>
      </c>
    </row>
    <row r="1241" hidden="1" ht="14.25" customHeight="1">
      <c r="A1241" s="41" t="n">
        <v>708</v>
      </c>
      <c r="B1241" s="42" t="inlineStr">
        <is>
          <t>서울특별시 서초구 서초동</t>
        </is>
      </c>
      <c r="C1241" s="41" t="inlineStr">
        <is>
          <t>1682</t>
        </is>
      </c>
      <c r="D1241" s="41" t="inlineStr">
        <is>
          <t>1682</t>
        </is>
      </c>
      <c r="E1241" s="41" t="inlineStr">
        <is>
          <t>0000</t>
        </is>
      </c>
      <c r="F1241" s="42" t="inlineStr">
        <is>
          <t>서초래미안</t>
        </is>
      </c>
      <c r="G1241" s="41" t="inlineStr">
        <is>
          <t>111.3200</t>
        </is>
      </c>
      <c r="H1241" s="41" t="inlineStr">
        <is>
          <t>202408</t>
        </is>
      </c>
      <c r="I1241" s="41" t="inlineStr">
        <is>
          <t>02</t>
        </is>
      </c>
      <c r="J1241" s="41" t="inlineStr">
        <is>
          <t>247,500</t>
        </is>
      </c>
      <c r="K1241" s="41" t="inlineStr">
        <is>
          <t>112</t>
        </is>
      </c>
      <c r="L1241" s="41" t="inlineStr">
        <is>
          <t>10</t>
        </is>
      </c>
      <c r="M1241" s="42" t="inlineStr">
        <is>
          <t>개인</t>
        </is>
      </c>
      <c r="N1241" s="42" t="inlineStr">
        <is>
          <t>개인</t>
        </is>
      </c>
      <c r="O1241" s="41" t="inlineStr">
        <is>
          <t>2003</t>
        </is>
      </c>
      <c r="P1241" s="42" t="inlineStr">
        <is>
          <t>서초대로65길 13-10</t>
        </is>
      </c>
      <c r="Q1241" s="41" t="inlineStr">
        <is>
          <t>-</t>
        </is>
      </c>
      <c r="R1241" s="42" t="inlineStr">
        <is>
          <t>중개거래</t>
        </is>
      </c>
      <c r="S1241" s="42" t="inlineStr">
        <is>
          <t>서울 서초구</t>
        </is>
      </c>
      <c r="T1241" s="41" t="inlineStr">
        <is>
          <t>24.11.08</t>
        </is>
      </c>
      <c r="U1241" s="42" t="inlineStr">
        <is>
          <t>아파트</t>
        </is>
      </c>
    </row>
    <row r="1242" hidden="1" ht="14.25" customHeight="1">
      <c r="A1242" s="41" t="n">
        <v>709</v>
      </c>
      <c r="B1242" s="42" t="inlineStr">
        <is>
          <t>서울특별시 서초구 서초동</t>
        </is>
      </c>
      <c r="C1242" s="41" t="inlineStr">
        <is>
          <t>1350-13</t>
        </is>
      </c>
      <c r="D1242" s="41" t="inlineStr">
        <is>
          <t>1350</t>
        </is>
      </c>
      <c r="E1242" s="41" t="inlineStr">
        <is>
          <t>0013</t>
        </is>
      </c>
      <c r="F1242" s="42" t="inlineStr">
        <is>
          <t>동원베네스트아파트</t>
        </is>
      </c>
      <c r="G1242" s="41" t="inlineStr">
        <is>
          <t>84.9000</t>
        </is>
      </c>
      <c r="H1242" s="41" t="inlineStr">
        <is>
          <t>202408</t>
        </is>
      </c>
      <c r="I1242" s="41" t="inlineStr">
        <is>
          <t>01</t>
        </is>
      </c>
      <c r="J1242" s="41" t="inlineStr">
        <is>
          <t>152,000</t>
        </is>
      </c>
      <c r="K1242" s="41" t="inlineStr">
        <is>
          <t>101</t>
        </is>
      </c>
      <c r="L1242" s="41" t="inlineStr">
        <is>
          <t>3</t>
        </is>
      </c>
      <c r="M1242" s="42" t="inlineStr">
        <is>
          <t>개인</t>
        </is>
      </c>
      <c r="N1242" s="42" t="inlineStr">
        <is>
          <t>개인</t>
        </is>
      </c>
      <c r="O1242" s="41" t="inlineStr">
        <is>
          <t>2002</t>
        </is>
      </c>
      <c r="P1242" s="42" t="inlineStr">
        <is>
          <t>효령로74길 57</t>
        </is>
      </c>
      <c r="Q1242" s="41" t="inlineStr">
        <is>
          <t>-</t>
        </is>
      </c>
      <c r="R1242" s="42" t="inlineStr">
        <is>
          <t>중개거래</t>
        </is>
      </c>
      <c r="S1242" s="42" t="inlineStr">
        <is>
          <t>서울 서초구</t>
        </is>
      </c>
      <c r="T1242" s="41" t="inlineStr">
        <is>
          <t>24.09.20</t>
        </is>
      </c>
      <c r="U1242" s="42" t="inlineStr">
        <is>
          <t>아파트</t>
        </is>
      </c>
    </row>
    <row r="1243" hidden="1" ht="14.25" customHeight="1">
      <c r="A1243" s="41" t="n">
        <v>710</v>
      </c>
      <c r="B1243" s="42" t="inlineStr">
        <is>
          <t>서울특별시 서초구 서초동</t>
        </is>
      </c>
      <c r="C1243" s="41" t="inlineStr">
        <is>
          <t>1509-1</t>
        </is>
      </c>
      <c r="D1243" s="41" t="inlineStr">
        <is>
          <t>1509</t>
        </is>
      </c>
      <c r="E1243" s="41" t="inlineStr">
        <is>
          <t>0001</t>
        </is>
      </c>
      <c r="F1243" s="42" t="inlineStr">
        <is>
          <t>서초한빛삼성</t>
        </is>
      </c>
      <c r="G1243" s="41" t="inlineStr">
        <is>
          <t>110.5900</t>
        </is>
      </c>
      <c r="H1243" s="41" t="inlineStr">
        <is>
          <t>202408</t>
        </is>
      </c>
      <c r="I1243" s="41" t="inlineStr">
        <is>
          <t>01</t>
        </is>
      </c>
      <c r="J1243" s="41" t="inlineStr">
        <is>
          <t>190,000</t>
        </is>
      </c>
      <c r="K1243" s="41" t="inlineStr">
        <is>
          <t>101</t>
        </is>
      </c>
      <c r="L1243" s="41" t="inlineStr">
        <is>
          <t>4</t>
        </is>
      </c>
      <c r="M1243" s="42" t="inlineStr">
        <is>
          <t>개인</t>
        </is>
      </c>
      <c r="N1243" s="42" t="inlineStr">
        <is>
          <t>개인</t>
        </is>
      </c>
      <c r="O1243" s="41" t="inlineStr">
        <is>
          <t>1999</t>
        </is>
      </c>
      <c r="P1243" s="42" t="inlineStr">
        <is>
          <t>서초대로40길 72</t>
        </is>
      </c>
      <c r="Q1243" s="41" t="inlineStr">
        <is>
          <t>-</t>
        </is>
      </c>
      <c r="R1243" s="42" t="inlineStr">
        <is>
          <t>중개거래</t>
        </is>
      </c>
      <c r="S1243" s="42" t="inlineStr">
        <is>
          <t>서울 서초구</t>
        </is>
      </c>
      <c r="T1243" s="41" t="inlineStr">
        <is>
          <t>24.11.27</t>
        </is>
      </c>
      <c r="U1243" s="42" t="inlineStr">
        <is>
          <t>아파트</t>
        </is>
      </c>
    </row>
    <row r="1244" hidden="1" ht="14.25" customHeight="1">
      <c r="A1244" s="41" t="n">
        <v>711</v>
      </c>
      <c r="B1244" s="42" t="inlineStr">
        <is>
          <t>서울특별시 서초구 서초동</t>
        </is>
      </c>
      <c r="C1244" s="41" t="inlineStr">
        <is>
          <t>1582-3</t>
        </is>
      </c>
      <c r="D1244" s="41" t="inlineStr">
        <is>
          <t>1582</t>
        </is>
      </c>
      <c r="E1244" s="41" t="inlineStr">
        <is>
          <t>0003</t>
        </is>
      </c>
      <c r="F1244" s="42" t="inlineStr">
        <is>
          <t>서초센트럴IPARK</t>
        </is>
      </c>
      <c r="G1244" s="41" t="inlineStr">
        <is>
          <t>80.5154</t>
        </is>
      </c>
      <c r="H1244" s="41" t="inlineStr">
        <is>
          <t>202408</t>
        </is>
      </c>
      <c r="I1244" s="41" t="inlineStr">
        <is>
          <t>01</t>
        </is>
      </c>
      <c r="J1244" s="41" t="inlineStr">
        <is>
          <t>165,000</t>
        </is>
      </c>
      <c r="K1244" s="41" t="inlineStr">
        <is>
          <t>102동</t>
        </is>
      </c>
      <c r="L1244" s="41" t="inlineStr">
        <is>
          <t>7</t>
        </is>
      </c>
      <c r="M1244" s="42" t="inlineStr">
        <is>
          <t>개인</t>
        </is>
      </c>
      <c r="N1244" s="42" t="inlineStr">
        <is>
          <t>개인</t>
        </is>
      </c>
      <c r="O1244" s="41" t="inlineStr">
        <is>
          <t>2020</t>
        </is>
      </c>
      <c r="P1244" s="42" t="inlineStr">
        <is>
          <t>반포대로18길 36</t>
        </is>
      </c>
      <c r="Q1244" s="41" t="inlineStr">
        <is>
          <t>-</t>
        </is>
      </c>
      <c r="R1244" s="42" t="inlineStr">
        <is>
          <t>중개거래</t>
        </is>
      </c>
      <c r="S1244" s="42" t="inlineStr">
        <is>
          <t>서울 서초구</t>
        </is>
      </c>
      <c r="T1244" s="41" t="inlineStr">
        <is>
          <t>24.11.05</t>
        </is>
      </c>
      <c r="U1244" s="42" t="inlineStr">
        <is>
          <t>아파트</t>
        </is>
      </c>
    </row>
    <row r="1245" hidden="1" ht="14.25" customHeight="1">
      <c r="A1245" s="41" t="n">
        <v>712</v>
      </c>
      <c r="B1245" s="42" t="inlineStr">
        <is>
          <t>서울특별시 서초구 서초동</t>
        </is>
      </c>
      <c r="C1245" s="41" t="inlineStr">
        <is>
          <t>1506-46</t>
        </is>
      </c>
      <c r="D1245" s="41" t="inlineStr">
        <is>
          <t>1506</t>
        </is>
      </c>
      <c r="E1245" s="41" t="inlineStr">
        <is>
          <t>0046</t>
        </is>
      </c>
      <c r="F1245" s="42" t="inlineStr">
        <is>
          <t>서초프레스턴</t>
        </is>
      </c>
      <c r="G1245" s="41" t="inlineStr">
        <is>
          <t>244.4200</t>
        </is>
      </c>
      <c r="H1245" s="41" t="inlineStr">
        <is>
          <t>202408</t>
        </is>
      </c>
      <c r="I1245" s="41" t="inlineStr">
        <is>
          <t>01</t>
        </is>
      </c>
      <c r="J1245" s="41" t="inlineStr">
        <is>
          <t>292,000</t>
        </is>
      </c>
      <c r="K1245" s="41" t="inlineStr">
        <is>
          <t>-</t>
        </is>
      </c>
      <c r="L1245" s="41" t="inlineStr">
        <is>
          <t>5</t>
        </is>
      </c>
      <c r="M1245" s="42" t="inlineStr">
        <is>
          <t>개인</t>
        </is>
      </c>
      <c r="N1245" s="42" t="inlineStr">
        <is>
          <t>개인</t>
        </is>
      </c>
      <c r="O1245" s="41" t="inlineStr">
        <is>
          <t>2005</t>
        </is>
      </c>
      <c r="P1245" s="42" t="inlineStr">
        <is>
          <t>명달로22길 81</t>
        </is>
      </c>
      <c r="Q1245" s="41" t="inlineStr">
        <is>
          <t>-</t>
        </is>
      </c>
      <c r="R1245" s="42" t="inlineStr">
        <is>
          <t>중개거래</t>
        </is>
      </c>
      <c r="S1245" s="42" t="inlineStr">
        <is>
          <t>서울 강남구</t>
        </is>
      </c>
      <c r="T1245" s="41" t="inlineStr">
        <is>
          <t>24.10.02</t>
        </is>
      </c>
      <c r="U1245" s="42" t="inlineStr">
        <is>
          <t>아파트</t>
        </is>
      </c>
    </row>
    <row r="1246" hidden="1" ht="14.25" customHeight="1">
      <c r="A1246" s="41" t="n">
        <v>713</v>
      </c>
      <c r="B1246" s="42" t="inlineStr">
        <is>
          <t>서울특별시 서초구 서초동</t>
        </is>
      </c>
      <c r="C1246" s="41" t="inlineStr">
        <is>
          <t>1498-5</t>
        </is>
      </c>
      <c r="D1246" s="41" t="inlineStr">
        <is>
          <t>1498</t>
        </is>
      </c>
      <c r="E1246" s="41" t="inlineStr">
        <is>
          <t>0005</t>
        </is>
      </c>
      <c r="F1246" s="42" t="inlineStr">
        <is>
          <t>마제스타시티(힐스테이트서리풀101,102동)</t>
        </is>
      </c>
      <c r="G1246" s="41" t="inlineStr">
        <is>
          <t>59.9500</t>
        </is>
      </c>
      <c r="H1246" s="41" t="inlineStr">
        <is>
          <t>202408</t>
        </is>
      </c>
      <c r="I1246" s="41" t="inlineStr">
        <is>
          <t>01</t>
        </is>
      </c>
      <c r="J1246" s="41" t="inlineStr">
        <is>
          <t>196,000</t>
        </is>
      </c>
      <c r="K1246" s="42" t="inlineStr">
        <is>
          <t>힐스테이트 서리풀 101동</t>
        </is>
      </c>
      <c r="L1246" s="41" t="inlineStr">
        <is>
          <t>22</t>
        </is>
      </c>
      <c r="M1246" s="42" t="inlineStr">
        <is>
          <t>개인</t>
        </is>
      </c>
      <c r="N1246" s="42" t="inlineStr">
        <is>
          <t>개인</t>
        </is>
      </c>
      <c r="O1246" s="41" t="inlineStr">
        <is>
          <t>2017</t>
        </is>
      </c>
      <c r="P1246" s="42" t="inlineStr">
        <is>
          <t>서초대로38길 12</t>
        </is>
      </c>
      <c r="Q1246" s="41" t="inlineStr">
        <is>
          <t>-</t>
        </is>
      </c>
      <c r="R1246" s="42" t="inlineStr">
        <is>
          <t>중개거래</t>
        </is>
      </c>
      <c r="S1246" s="42" t="inlineStr">
        <is>
          <t>서울 서초구</t>
        </is>
      </c>
      <c r="T1246" s="41" t="inlineStr">
        <is>
          <t>24.11.01</t>
        </is>
      </c>
      <c r="U1246" s="42" t="inlineStr">
        <is>
          <t>아파트</t>
        </is>
      </c>
    </row>
    <row r="1247" hidden="1" ht="14.25" customHeight="1">
      <c r="A1247" s="41" t="n">
        <v>714</v>
      </c>
      <c r="B1247" s="42" t="inlineStr">
        <is>
          <t>서울특별시 서초구 서초동</t>
        </is>
      </c>
      <c r="C1247" s="41" t="inlineStr">
        <is>
          <t>1675-11</t>
        </is>
      </c>
      <c r="D1247" s="41" t="inlineStr">
        <is>
          <t>1675</t>
        </is>
      </c>
      <c r="E1247" s="41" t="inlineStr">
        <is>
          <t>0011</t>
        </is>
      </c>
      <c r="F1247" s="42" t="inlineStr">
        <is>
          <t>서초대우아이빌</t>
        </is>
      </c>
      <c r="G1247" s="41" t="inlineStr">
        <is>
          <t>65.0880</t>
        </is>
      </c>
      <c r="H1247" s="41" t="inlineStr">
        <is>
          <t>202408</t>
        </is>
      </c>
      <c r="I1247" s="41" t="inlineStr">
        <is>
          <t>01</t>
        </is>
      </c>
      <c r="J1247" s="41" t="inlineStr">
        <is>
          <t>79,000</t>
        </is>
      </c>
      <c r="K1247" s="42" t="inlineStr">
        <is>
          <t>서초 대우아이빌</t>
        </is>
      </c>
      <c r="L1247" s="41" t="inlineStr">
        <is>
          <t>13</t>
        </is>
      </c>
      <c r="M1247" s="42" t="inlineStr">
        <is>
          <t>개인</t>
        </is>
      </c>
      <c r="N1247" s="42" t="inlineStr">
        <is>
          <t>개인</t>
        </is>
      </c>
      <c r="O1247" s="41" t="inlineStr">
        <is>
          <t>2003</t>
        </is>
      </c>
      <c r="P1247" s="42" t="inlineStr">
        <is>
          <t>서초대로58길 10</t>
        </is>
      </c>
      <c r="Q1247" s="41" t="inlineStr">
        <is>
          <t>-</t>
        </is>
      </c>
      <c r="R1247" s="42" t="inlineStr">
        <is>
          <t>중개거래</t>
        </is>
      </c>
      <c r="S1247" s="42" t="inlineStr">
        <is>
          <t>서울 서초구</t>
        </is>
      </c>
      <c r="T1247" s="41" t="inlineStr">
        <is>
          <t>24.09.30</t>
        </is>
      </c>
      <c r="U1247" s="42" t="inlineStr">
        <is>
          <t>아파트</t>
        </is>
      </c>
    </row>
    <row r="1248" hidden="1" ht="14.25" customHeight="1">
      <c r="A1248" s="41" t="n">
        <v>715</v>
      </c>
      <c r="B1248" s="42" t="inlineStr">
        <is>
          <t>서울특별시 서초구 서초동</t>
        </is>
      </c>
      <c r="C1248" s="41" t="inlineStr">
        <is>
          <t>1681-8</t>
        </is>
      </c>
      <c r="D1248" s="41" t="inlineStr">
        <is>
          <t>1681</t>
        </is>
      </c>
      <c r="E1248" s="41" t="inlineStr">
        <is>
          <t>0008</t>
        </is>
      </c>
      <c r="F1248" s="42" t="inlineStr">
        <is>
          <t>서초롯데캐슬프레지던트</t>
        </is>
      </c>
      <c r="G1248" s="41" t="inlineStr">
        <is>
          <t>84.9700</t>
        </is>
      </c>
      <c r="H1248" s="41" t="inlineStr">
        <is>
          <t>202407</t>
        </is>
      </c>
      <c r="I1248" s="41" t="inlineStr">
        <is>
          <t>31</t>
        </is>
      </c>
      <c r="J1248" s="41" t="inlineStr">
        <is>
          <t>242,000</t>
        </is>
      </c>
      <c r="K1248" s="41" t="inlineStr">
        <is>
          <t>103</t>
        </is>
      </c>
      <c r="L1248" s="41" t="inlineStr">
        <is>
          <t>7</t>
        </is>
      </c>
      <c r="M1248" s="42" t="inlineStr">
        <is>
          <t>개인</t>
        </is>
      </c>
      <c r="N1248" s="42" t="inlineStr">
        <is>
          <t>개인</t>
        </is>
      </c>
      <c r="O1248" s="41" t="inlineStr">
        <is>
          <t>2014</t>
        </is>
      </c>
      <c r="P1248" s="42" t="inlineStr">
        <is>
          <t>서초중앙로24길 57</t>
        </is>
      </c>
      <c r="Q1248" s="41" t="inlineStr">
        <is>
          <t>-</t>
        </is>
      </c>
      <c r="R1248" s="42" t="inlineStr">
        <is>
          <t>중개거래</t>
        </is>
      </c>
      <c r="S1248" s="42" t="inlineStr">
        <is>
          <t>서울 서초구</t>
        </is>
      </c>
      <c r="T1248" s="41" t="inlineStr">
        <is>
          <t>25.01.10</t>
        </is>
      </c>
      <c r="U1248" s="42" t="inlineStr">
        <is>
          <t>아파트</t>
        </is>
      </c>
    </row>
    <row r="1249" hidden="1" ht="14.25" customHeight="1">
      <c r="A1249" s="41" t="n">
        <v>716</v>
      </c>
      <c r="B1249" s="42" t="inlineStr">
        <is>
          <t>서울특별시 서초구 서초동</t>
        </is>
      </c>
      <c r="C1249" s="41" t="inlineStr">
        <is>
          <t>1682</t>
        </is>
      </c>
      <c r="D1249" s="41" t="inlineStr">
        <is>
          <t>1682</t>
        </is>
      </c>
      <c r="E1249" s="41" t="inlineStr">
        <is>
          <t>0000</t>
        </is>
      </c>
      <c r="F1249" s="42" t="inlineStr">
        <is>
          <t>서초래미안</t>
        </is>
      </c>
      <c r="G1249" s="41" t="inlineStr">
        <is>
          <t>84.9500</t>
        </is>
      </c>
      <c r="H1249" s="41" t="inlineStr">
        <is>
          <t>202407</t>
        </is>
      </c>
      <c r="I1249" s="41" t="inlineStr">
        <is>
          <t>31</t>
        </is>
      </c>
      <c r="J1249" s="41" t="inlineStr">
        <is>
          <t>230,000</t>
        </is>
      </c>
      <c r="K1249" s="41" t="inlineStr">
        <is>
          <t>113</t>
        </is>
      </c>
      <c r="L1249" s="41" t="inlineStr">
        <is>
          <t>5</t>
        </is>
      </c>
      <c r="M1249" s="42" t="inlineStr">
        <is>
          <t>개인</t>
        </is>
      </c>
      <c r="N1249" s="42" t="inlineStr">
        <is>
          <t>개인</t>
        </is>
      </c>
      <c r="O1249" s="41" t="inlineStr">
        <is>
          <t>2003</t>
        </is>
      </c>
      <c r="P1249" s="42" t="inlineStr">
        <is>
          <t>서초대로65길 13-10</t>
        </is>
      </c>
      <c r="Q1249" s="41" t="inlineStr">
        <is>
          <t>-</t>
        </is>
      </c>
      <c r="R1249" s="42" t="inlineStr">
        <is>
          <t>중개거래</t>
        </is>
      </c>
      <c r="S1249" s="42" t="inlineStr">
        <is>
          <t>서울 서초구</t>
        </is>
      </c>
      <c r="T1249" s="41" t="inlineStr">
        <is>
          <t>24.11.08</t>
        </is>
      </c>
      <c r="U1249" s="42" t="inlineStr">
        <is>
          <t>아파트</t>
        </is>
      </c>
    </row>
    <row r="1250" hidden="1" ht="14.25" customHeight="1">
      <c r="A1250" s="41" t="n">
        <v>717</v>
      </c>
      <c r="B1250" s="42" t="inlineStr">
        <is>
          <t>서울특별시 서초구 서초동</t>
        </is>
      </c>
      <c r="C1250" s="41" t="inlineStr">
        <is>
          <t>1648-2</t>
        </is>
      </c>
      <c r="D1250" s="41" t="inlineStr">
        <is>
          <t>1648</t>
        </is>
      </c>
      <c r="E1250" s="41" t="inlineStr">
        <is>
          <t>0002</t>
        </is>
      </c>
      <c r="F1250" s="42" t="inlineStr">
        <is>
          <t>서초현대</t>
        </is>
      </c>
      <c r="G1250" s="41" t="inlineStr">
        <is>
          <t>84.6900</t>
        </is>
      </c>
      <c r="H1250" s="41" t="inlineStr">
        <is>
          <t>202407</t>
        </is>
      </c>
      <c r="I1250" s="41" t="inlineStr">
        <is>
          <t>31</t>
        </is>
      </c>
      <c r="J1250" s="41" t="inlineStr">
        <is>
          <t>170,000</t>
        </is>
      </c>
      <c r="K1250" s="41" t="inlineStr">
        <is>
          <t>101</t>
        </is>
      </c>
      <c r="L1250" s="41" t="inlineStr">
        <is>
          <t>9</t>
        </is>
      </c>
      <c r="M1250" s="42" t="inlineStr">
        <is>
          <t>개인</t>
        </is>
      </c>
      <c r="N1250" s="42" t="inlineStr">
        <is>
          <t>개인</t>
        </is>
      </c>
      <c r="O1250" s="41" t="inlineStr">
        <is>
          <t>1999</t>
        </is>
      </c>
      <c r="P1250" s="42" t="inlineStr">
        <is>
          <t>사임당로19길 10</t>
        </is>
      </c>
      <c r="Q1250" s="41" t="inlineStr">
        <is>
          <t>-</t>
        </is>
      </c>
      <c r="R1250" s="42" t="inlineStr">
        <is>
          <t>중개거래</t>
        </is>
      </c>
      <c r="S1250" s="42" t="inlineStr">
        <is>
          <t>서울 서초구</t>
        </is>
      </c>
      <c r="T1250" s="41" t="inlineStr">
        <is>
          <t>24.10.24</t>
        </is>
      </c>
      <c r="U1250" s="42" t="inlineStr">
        <is>
          <t>아파트</t>
        </is>
      </c>
    </row>
    <row r="1251" hidden="1" ht="14.25" customHeight="1">
      <c r="A1251" s="41" t="n">
        <v>718</v>
      </c>
      <c r="B1251" s="42" t="inlineStr">
        <is>
          <t>서울특별시 서초구 서초동</t>
        </is>
      </c>
      <c r="C1251" s="41" t="inlineStr">
        <is>
          <t>1757</t>
        </is>
      </c>
      <c r="D1251" s="41" t="inlineStr">
        <is>
          <t>1757</t>
        </is>
      </c>
      <c r="E1251" s="41" t="inlineStr">
        <is>
          <t>0000</t>
        </is>
      </c>
      <c r="F1251" s="42" t="inlineStr">
        <is>
          <t>서초그랑자이</t>
        </is>
      </c>
      <c r="G1251" s="41" t="inlineStr">
        <is>
          <t>119.4100</t>
        </is>
      </c>
      <c r="H1251" s="41" t="inlineStr">
        <is>
          <t>202407</t>
        </is>
      </c>
      <c r="I1251" s="41" t="inlineStr">
        <is>
          <t>31</t>
        </is>
      </c>
      <c r="J1251" s="41" t="inlineStr">
        <is>
          <t>402,000</t>
        </is>
      </c>
      <c r="K1251" s="41" t="inlineStr">
        <is>
          <t>107동</t>
        </is>
      </c>
      <c r="L1251" s="41" t="inlineStr">
        <is>
          <t>9</t>
        </is>
      </c>
      <c r="M1251" s="42" t="inlineStr">
        <is>
          <t>개인</t>
        </is>
      </c>
      <c r="N1251" s="42" t="inlineStr">
        <is>
          <t>개인</t>
        </is>
      </c>
      <c r="O1251" s="41" t="inlineStr">
        <is>
          <t>2021</t>
        </is>
      </c>
      <c r="P1251" s="42" t="inlineStr">
        <is>
          <t>효령로 391</t>
        </is>
      </c>
      <c r="Q1251" s="41" t="inlineStr">
        <is>
          <t>-</t>
        </is>
      </c>
      <c r="R1251" s="42" t="inlineStr">
        <is>
          <t>중개거래</t>
        </is>
      </c>
      <c r="S1251" s="42" t="inlineStr">
        <is>
          <t>서울 서초구</t>
        </is>
      </c>
      <c r="T1251" s="41" t="inlineStr">
        <is>
          <t>24.11.28</t>
        </is>
      </c>
      <c r="U1251" s="42" t="inlineStr">
        <is>
          <t>아파트</t>
        </is>
      </c>
    </row>
    <row r="1252" hidden="1" ht="14.25" customHeight="1">
      <c r="A1252" s="41" t="n">
        <v>719</v>
      </c>
      <c r="B1252" s="42" t="inlineStr">
        <is>
          <t>서울특별시 서초구 서초동</t>
        </is>
      </c>
      <c r="C1252" s="41" t="inlineStr">
        <is>
          <t>1311-10</t>
        </is>
      </c>
      <c r="D1252" s="41" t="inlineStr">
        <is>
          <t>1311</t>
        </is>
      </c>
      <c r="E1252" s="41" t="inlineStr">
        <is>
          <t>0010</t>
        </is>
      </c>
      <c r="F1252" s="42" t="inlineStr">
        <is>
          <t>서초푸르지오써밋</t>
        </is>
      </c>
      <c r="G1252" s="41" t="inlineStr">
        <is>
          <t>59.9200</t>
        </is>
      </c>
      <c r="H1252" s="41" t="inlineStr">
        <is>
          <t>202407</t>
        </is>
      </c>
      <c r="I1252" s="41" t="inlineStr">
        <is>
          <t>31</t>
        </is>
      </c>
      <c r="J1252" s="41" t="inlineStr">
        <is>
          <t>250,000</t>
        </is>
      </c>
      <c r="K1252" s="41" t="inlineStr">
        <is>
          <t>105</t>
        </is>
      </c>
      <c r="L1252" s="41" t="inlineStr">
        <is>
          <t>18</t>
        </is>
      </c>
      <c r="M1252" s="42" t="inlineStr">
        <is>
          <t>개인</t>
        </is>
      </c>
      <c r="N1252" s="42" t="inlineStr">
        <is>
          <t>개인</t>
        </is>
      </c>
      <c r="O1252" s="41" t="inlineStr">
        <is>
          <t>2017</t>
        </is>
      </c>
      <c r="P1252" s="42" t="inlineStr">
        <is>
          <t>서운로 201</t>
        </is>
      </c>
      <c r="Q1252" s="41" t="inlineStr">
        <is>
          <t>-</t>
        </is>
      </c>
      <c r="R1252" s="42" t="inlineStr">
        <is>
          <t>중개거래</t>
        </is>
      </c>
      <c r="S1252" s="42" t="inlineStr">
        <is>
          <t>서울 서초구</t>
        </is>
      </c>
      <c r="T1252" s="41" t="inlineStr">
        <is>
          <t>24.10.30</t>
        </is>
      </c>
      <c r="U1252" s="42" t="inlineStr">
        <is>
          <t>아파트</t>
        </is>
      </c>
    </row>
    <row r="1253" hidden="1" ht="14.25" customHeight="1">
      <c r="A1253" s="41" t="n">
        <v>720</v>
      </c>
      <c r="B1253" s="42" t="inlineStr">
        <is>
          <t>서울특별시 서초구 서초동</t>
        </is>
      </c>
      <c r="C1253" s="41" t="inlineStr">
        <is>
          <t>1686-9</t>
        </is>
      </c>
      <c r="D1253" s="41" t="inlineStr">
        <is>
          <t>1686</t>
        </is>
      </c>
      <c r="E1253" s="41" t="inlineStr">
        <is>
          <t>0009</t>
        </is>
      </c>
      <c r="F1253" s="42" t="inlineStr">
        <is>
          <t>서초교대e편한세상</t>
        </is>
      </c>
      <c r="G1253" s="41" t="inlineStr">
        <is>
          <t>84.9700</t>
        </is>
      </c>
      <c r="H1253" s="41" t="inlineStr">
        <is>
          <t>202407</t>
        </is>
      </c>
      <c r="I1253" s="41" t="inlineStr">
        <is>
          <t>31</t>
        </is>
      </c>
      <c r="J1253" s="41" t="inlineStr">
        <is>
          <t>250,500</t>
        </is>
      </c>
      <c r="K1253" s="41" t="inlineStr">
        <is>
          <t>101</t>
        </is>
      </c>
      <c r="L1253" s="41" t="inlineStr">
        <is>
          <t>5</t>
        </is>
      </c>
      <c r="M1253" s="42" t="inlineStr">
        <is>
          <t>개인</t>
        </is>
      </c>
      <c r="N1253" s="42" t="inlineStr">
        <is>
          <t>개인</t>
        </is>
      </c>
      <c r="O1253" s="41" t="inlineStr">
        <is>
          <t>2010</t>
        </is>
      </c>
      <c r="P1253" s="42" t="inlineStr">
        <is>
          <t>서초중앙로24길 33</t>
        </is>
      </c>
      <c r="Q1253" s="41" t="inlineStr">
        <is>
          <t>-</t>
        </is>
      </c>
      <c r="R1253" s="42" t="inlineStr">
        <is>
          <t>중개거래</t>
        </is>
      </c>
      <c r="S1253" s="42" t="inlineStr">
        <is>
          <t>서울 서초구</t>
        </is>
      </c>
      <c r="T1253" s="41" t="inlineStr">
        <is>
          <t>25.02.27</t>
        </is>
      </c>
      <c r="U1253" s="42" t="inlineStr">
        <is>
          <t>아파트</t>
        </is>
      </c>
    </row>
    <row r="1254" hidden="1" ht="14.25" customHeight="1">
      <c r="A1254" s="41" t="n">
        <v>721</v>
      </c>
      <c r="B1254" s="42" t="inlineStr">
        <is>
          <t>서울특별시 서초구 서초동</t>
        </is>
      </c>
      <c r="C1254" s="41" t="inlineStr">
        <is>
          <t>1332-13</t>
        </is>
      </c>
      <c r="D1254" s="41" t="inlineStr">
        <is>
          <t>1332</t>
        </is>
      </c>
      <c r="E1254" s="41" t="inlineStr">
        <is>
          <t>0013</t>
        </is>
      </c>
      <c r="F1254" s="42" t="inlineStr">
        <is>
          <t>래미안서초에스티지</t>
        </is>
      </c>
      <c r="G1254" s="41" t="inlineStr">
        <is>
          <t>83.9900</t>
        </is>
      </c>
      <c r="H1254" s="41" t="inlineStr">
        <is>
          <t>202407</t>
        </is>
      </c>
      <c r="I1254" s="41" t="inlineStr">
        <is>
          <t>30</t>
        </is>
      </c>
      <c r="J1254" s="41" t="inlineStr">
        <is>
          <t>280,000</t>
        </is>
      </c>
      <c r="K1254" s="41" t="inlineStr">
        <is>
          <t>102동</t>
        </is>
      </c>
      <c r="L1254" s="41" t="inlineStr">
        <is>
          <t>17</t>
        </is>
      </c>
      <c r="M1254" s="42" t="inlineStr">
        <is>
          <t>개인</t>
        </is>
      </c>
      <c r="N1254" s="42" t="inlineStr">
        <is>
          <t>개인</t>
        </is>
      </c>
      <c r="O1254" s="41" t="inlineStr">
        <is>
          <t>2016</t>
        </is>
      </c>
      <c r="P1254" s="42" t="inlineStr">
        <is>
          <t>서운로 107</t>
        </is>
      </c>
      <c r="Q1254" s="41" t="inlineStr">
        <is>
          <t>-</t>
        </is>
      </c>
      <c r="R1254" s="42" t="inlineStr">
        <is>
          <t>중개거래</t>
        </is>
      </c>
      <c r="S1254" s="42" t="inlineStr">
        <is>
          <t>서울 서초구</t>
        </is>
      </c>
      <c r="T1254" s="41" t="inlineStr">
        <is>
          <t>25.03.05</t>
        </is>
      </c>
      <c r="U1254" s="42" t="inlineStr">
        <is>
          <t>아파트</t>
        </is>
      </c>
    </row>
    <row r="1255" hidden="1" ht="14.25" customHeight="1">
      <c r="A1255" s="41" t="n">
        <v>722</v>
      </c>
      <c r="B1255" s="42" t="inlineStr">
        <is>
          <t>서울특별시 서초구 서초동</t>
        </is>
      </c>
      <c r="C1255" s="41" t="inlineStr">
        <is>
          <t>1593-7</t>
        </is>
      </c>
      <c r="D1255" s="41" t="inlineStr">
        <is>
          <t>1593</t>
        </is>
      </c>
      <c r="E1255" s="41" t="inlineStr">
        <is>
          <t>0007</t>
        </is>
      </c>
      <c r="F1255" s="42" t="inlineStr">
        <is>
          <t>서초이오빌</t>
        </is>
      </c>
      <c r="G1255" s="41" t="inlineStr">
        <is>
          <t>43.2000</t>
        </is>
      </c>
      <c r="H1255" s="41" t="inlineStr">
        <is>
          <t>202407</t>
        </is>
      </c>
      <c r="I1255" s="41" t="inlineStr">
        <is>
          <t>30</t>
        </is>
      </c>
      <c r="J1255" s="41" t="inlineStr">
        <is>
          <t>39,000</t>
        </is>
      </c>
      <c r="K1255" s="41" t="inlineStr">
        <is>
          <t>-</t>
        </is>
      </c>
      <c r="L1255" s="41" t="inlineStr">
        <is>
          <t>4</t>
        </is>
      </c>
      <c r="M1255" s="42" t="inlineStr">
        <is>
          <t>개인</t>
        </is>
      </c>
      <c r="N1255" s="42" t="inlineStr">
        <is>
          <t>개인</t>
        </is>
      </c>
      <c r="O1255" s="41" t="inlineStr">
        <is>
          <t>2003</t>
        </is>
      </c>
      <c r="P1255" s="42" t="inlineStr">
        <is>
          <t>효령로53길 45</t>
        </is>
      </c>
      <c r="Q1255" s="41" t="inlineStr">
        <is>
          <t>-</t>
        </is>
      </c>
      <c r="R1255" s="42" t="inlineStr">
        <is>
          <t>중개거래</t>
        </is>
      </c>
      <c r="S1255" s="42" t="inlineStr">
        <is>
          <t>서울 서초구</t>
        </is>
      </c>
      <c r="T1255" s="41" t="inlineStr">
        <is>
          <t>24.09.30</t>
        </is>
      </c>
      <c r="U1255" s="42" t="inlineStr">
        <is>
          <t>아파트</t>
        </is>
      </c>
    </row>
    <row r="1256" hidden="1" ht="14.25" customHeight="1">
      <c r="A1256" s="41" t="n">
        <v>723</v>
      </c>
      <c r="B1256" s="42" t="inlineStr">
        <is>
          <t>서울특별시 서초구 서초동</t>
        </is>
      </c>
      <c r="C1256" s="41" t="inlineStr">
        <is>
          <t>1312-3</t>
        </is>
      </c>
      <c r="D1256" s="41" t="inlineStr">
        <is>
          <t>1312</t>
        </is>
      </c>
      <c r="E1256" s="41" t="inlineStr">
        <is>
          <t>0003</t>
        </is>
      </c>
      <c r="F1256" s="42" t="inlineStr">
        <is>
          <t>롯데캐슬클래식</t>
        </is>
      </c>
      <c r="G1256" s="41" t="inlineStr">
        <is>
          <t>74.3000</t>
        </is>
      </c>
      <c r="H1256" s="41" t="inlineStr">
        <is>
          <t>202407</t>
        </is>
      </c>
      <c r="I1256" s="41" t="inlineStr">
        <is>
          <t>30</t>
        </is>
      </c>
      <c r="J1256" s="41" t="inlineStr">
        <is>
          <t>232,500</t>
        </is>
      </c>
      <c r="K1256" s="41" t="inlineStr">
        <is>
          <t>114</t>
        </is>
      </c>
      <c r="L1256" s="41" t="inlineStr">
        <is>
          <t>4</t>
        </is>
      </c>
      <c r="M1256" s="42" t="inlineStr">
        <is>
          <t>개인</t>
        </is>
      </c>
      <c r="N1256" s="42" t="inlineStr">
        <is>
          <t>개인</t>
        </is>
      </c>
      <c r="O1256" s="41" t="inlineStr">
        <is>
          <t>2006</t>
        </is>
      </c>
      <c r="P1256" s="42" t="inlineStr">
        <is>
          <t>서운로 200</t>
        </is>
      </c>
      <c r="Q1256" s="41" t="inlineStr">
        <is>
          <t>-</t>
        </is>
      </c>
      <c r="R1256" s="42" t="inlineStr">
        <is>
          <t>중개거래</t>
        </is>
      </c>
      <c r="S1256" s="42" t="inlineStr">
        <is>
          <t>서울 서초구</t>
        </is>
      </c>
      <c r="T1256" s="41" t="inlineStr">
        <is>
          <t>24.10.15</t>
        </is>
      </c>
      <c r="U1256" s="42" t="inlineStr">
        <is>
          <t>아파트</t>
        </is>
      </c>
    </row>
    <row r="1257" hidden="1" ht="14.25" customHeight="1">
      <c r="A1257" s="41" t="n">
        <v>724</v>
      </c>
      <c r="B1257" s="42" t="inlineStr">
        <is>
          <t>서울특별시 서초구 서초동</t>
        </is>
      </c>
      <c r="C1257" s="41" t="inlineStr">
        <is>
          <t>1686-9</t>
        </is>
      </c>
      <c r="D1257" s="41" t="inlineStr">
        <is>
          <t>1686</t>
        </is>
      </c>
      <c r="E1257" s="41" t="inlineStr">
        <is>
          <t>0009</t>
        </is>
      </c>
      <c r="F1257" s="42" t="inlineStr">
        <is>
          <t>서초교대e편한세상</t>
        </is>
      </c>
      <c r="G1257" s="41" t="inlineStr">
        <is>
          <t>84.9700</t>
        </is>
      </c>
      <c r="H1257" s="41" t="inlineStr">
        <is>
          <t>202407</t>
        </is>
      </c>
      <c r="I1257" s="41" t="inlineStr">
        <is>
          <t>29</t>
        </is>
      </c>
      <c r="J1257" s="41" t="inlineStr">
        <is>
          <t>249,000</t>
        </is>
      </c>
      <c r="K1257" s="41" t="inlineStr">
        <is>
          <t>105</t>
        </is>
      </c>
      <c r="L1257" s="41" t="inlineStr">
        <is>
          <t>17</t>
        </is>
      </c>
      <c r="M1257" s="42" t="inlineStr">
        <is>
          <t>개인</t>
        </is>
      </c>
      <c r="N1257" s="42" t="inlineStr">
        <is>
          <t>개인</t>
        </is>
      </c>
      <c r="O1257" s="41" t="inlineStr">
        <is>
          <t>2010</t>
        </is>
      </c>
      <c r="P1257" s="42" t="inlineStr">
        <is>
          <t>서초중앙로24길 33</t>
        </is>
      </c>
      <c r="Q1257" s="41" t="inlineStr">
        <is>
          <t>-</t>
        </is>
      </c>
      <c r="R1257" s="42" t="inlineStr">
        <is>
          <t>중개거래</t>
        </is>
      </c>
      <c r="S1257" s="42" t="inlineStr">
        <is>
          <t>서울 서초구</t>
        </is>
      </c>
      <c r="T1257" s="41" t="inlineStr">
        <is>
          <t>24.09.05</t>
        </is>
      </c>
      <c r="U1257" s="42" t="inlineStr">
        <is>
          <t>아파트</t>
        </is>
      </c>
    </row>
    <row r="1258" hidden="1" ht="14.25" customHeight="1">
      <c r="A1258" s="41" t="n">
        <v>725</v>
      </c>
      <c r="B1258" s="42" t="inlineStr">
        <is>
          <t>서울특별시 서초구 서초동</t>
        </is>
      </c>
      <c r="C1258" s="41" t="inlineStr">
        <is>
          <t>1333</t>
        </is>
      </c>
      <c r="D1258" s="41" t="inlineStr">
        <is>
          <t>1333</t>
        </is>
      </c>
      <c r="E1258" s="41" t="inlineStr">
        <is>
          <t>0000</t>
        </is>
      </c>
      <c r="F1258" s="42" t="inlineStr">
        <is>
          <t>신동아아파트(1차)</t>
        </is>
      </c>
      <c r="G1258" s="41" t="inlineStr">
        <is>
          <t>76.2100</t>
        </is>
      </c>
      <c r="H1258" s="41" t="inlineStr">
        <is>
          <t>202407</t>
        </is>
      </c>
      <c r="I1258" s="41" t="inlineStr">
        <is>
          <t>29</t>
        </is>
      </c>
      <c r="J1258" s="41" t="inlineStr">
        <is>
          <t>203,000</t>
        </is>
      </c>
      <c r="K1258" s="41" t="inlineStr">
        <is>
          <t>3</t>
        </is>
      </c>
      <c r="L1258" s="41" t="inlineStr">
        <is>
          <t>12</t>
        </is>
      </c>
      <c r="M1258" s="42" t="inlineStr">
        <is>
          <t>개인</t>
        </is>
      </c>
      <c r="N1258" s="42" t="inlineStr">
        <is>
          <t>개인</t>
        </is>
      </c>
      <c r="O1258" s="41" t="inlineStr">
        <is>
          <t>1978</t>
        </is>
      </c>
      <c r="P1258" s="42" t="inlineStr">
        <is>
          <t>사임당로 137</t>
        </is>
      </c>
      <c r="Q1258" s="41" t="inlineStr">
        <is>
          <t>-</t>
        </is>
      </c>
      <c r="R1258" s="42" t="inlineStr">
        <is>
          <t>중개거래</t>
        </is>
      </c>
      <c r="S1258" s="42" t="inlineStr">
        <is>
          <t>서울 서초구</t>
        </is>
      </c>
      <c r="T1258" s="41" t="inlineStr">
        <is>
          <t>24.09.30</t>
        </is>
      </c>
      <c r="U1258" s="42" t="inlineStr">
        <is>
          <t>아파트</t>
        </is>
      </c>
    </row>
    <row r="1259" hidden="1" ht="14.25" customHeight="1">
      <c r="A1259" s="41" t="n">
        <v>726</v>
      </c>
      <c r="B1259" s="42" t="inlineStr">
        <is>
          <t>서울특별시 서초구 서초동</t>
        </is>
      </c>
      <c r="C1259" s="41" t="inlineStr">
        <is>
          <t>1755</t>
        </is>
      </c>
      <c r="D1259" s="41" t="inlineStr">
        <is>
          <t>1755</t>
        </is>
      </c>
      <c r="E1259" s="41" t="inlineStr">
        <is>
          <t>0000</t>
        </is>
      </c>
      <c r="F1259" s="42" t="inlineStr">
        <is>
          <t>래미안 리더스원</t>
        </is>
      </c>
      <c r="G1259" s="41" t="inlineStr">
        <is>
          <t>84.9400</t>
        </is>
      </c>
      <c r="H1259" s="41" t="inlineStr">
        <is>
          <t>202407</t>
        </is>
      </c>
      <c r="I1259" s="41" t="inlineStr">
        <is>
          <t>29</t>
        </is>
      </c>
      <c r="J1259" s="41" t="inlineStr">
        <is>
          <t>330,000</t>
        </is>
      </c>
      <c r="K1259" s="41" t="inlineStr">
        <is>
          <t>104동</t>
        </is>
      </c>
      <c r="L1259" s="41" t="inlineStr">
        <is>
          <t>27</t>
        </is>
      </c>
      <c r="M1259" s="42" t="inlineStr">
        <is>
          <t>개인</t>
        </is>
      </c>
      <c r="N1259" s="42" t="inlineStr">
        <is>
          <t>개인</t>
        </is>
      </c>
      <c r="O1259" s="41" t="inlineStr">
        <is>
          <t>2020</t>
        </is>
      </c>
      <c r="P1259" s="42" t="inlineStr">
        <is>
          <t>서운로 62</t>
        </is>
      </c>
      <c r="Q1259" s="41" t="inlineStr">
        <is>
          <t>-</t>
        </is>
      </c>
      <c r="R1259" s="42" t="inlineStr">
        <is>
          <t>중개거래</t>
        </is>
      </c>
      <c r="S1259" s="42" t="inlineStr">
        <is>
          <t>서울 서초구</t>
        </is>
      </c>
      <c r="T1259" s="41" t="inlineStr">
        <is>
          <t>24.11.20</t>
        </is>
      </c>
      <c r="U1259" s="42" t="inlineStr">
        <is>
          <t>아파트</t>
        </is>
      </c>
    </row>
    <row r="1260" hidden="1" ht="14.25" customHeight="1">
      <c r="A1260" s="41" t="n">
        <v>727</v>
      </c>
      <c r="B1260" s="42" t="inlineStr">
        <is>
          <t>서울특별시 서초구 서초동</t>
        </is>
      </c>
      <c r="C1260" s="41" t="inlineStr">
        <is>
          <t>1311-10</t>
        </is>
      </c>
      <c r="D1260" s="41" t="inlineStr">
        <is>
          <t>1311</t>
        </is>
      </c>
      <c r="E1260" s="41" t="inlineStr">
        <is>
          <t>0010</t>
        </is>
      </c>
      <c r="F1260" s="42" t="inlineStr">
        <is>
          <t>서초푸르지오써밋</t>
        </is>
      </c>
      <c r="G1260" s="41" t="inlineStr">
        <is>
          <t>120.9800</t>
        </is>
      </c>
      <c r="H1260" s="41" t="inlineStr">
        <is>
          <t>202407</t>
        </is>
      </c>
      <c r="I1260" s="41" t="inlineStr">
        <is>
          <t>29</t>
        </is>
      </c>
      <c r="J1260" s="41" t="inlineStr">
        <is>
          <t>355,000</t>
        </is>
      </c>
      <c r="K1260" s="41" t="inlineStr">
        <is>
          <t>202</t>
        </is>
      </c>
      <c r="L1260" s="41" t="inlineStr">
        <is>
          <t>20</t>
        </is>
      </c>
      <c r="M1260" s="42" t="inlineStr">
        <is>
          <t>개인</t>
        </is>
      </c>
      <c r="N1260" s="42" t="inlineStr">
        <is>
          <t>개인</t>
        </is>
      </c>
      <c r="O1260" s="41" t="inlineStr">
        <is>
          <t>2017</t>
        </is>
      </c>
      <c r="P1260" s="42" t="inlineStr">
        <is>
          <t>서운로 212</t>
        </is>
      </c>
      <c r="Q1260" s="41" t="inlineStr">
        <is>
          <t>-</t>
        </is>
      </c>
      <c r="R1260" s="42" t="inlineStr">
        <is>
          <t>중개거래</t>
        </is>
      </c>
      <c r="S1260" s="42" t="inlineStr">
        <is>
          <t>서울 서초구</t>
        </is>
      </c>
      <c r="T1260" s="41" t="inlineStr">
        <is>
          <t>25.02.24</t>
        </is>
      </c>
      <c r="U1260" s="42" t="inlineStr">
        <is>
          <t>아파트</t>
        </is>
      </c>
    </row>
    <row r="1261" hidden="1" ht="14.25" customHeight="1">
      <c r="A1261" s="41" t="n">
        <v>728</v>
      </c>
      <c r="B1261" s="42" t="inlineStr">
        <is>
          <t>서울특별시 서초구 서초동</t>
        </is>
      </c>
      <c r="C1261" s="41" t="inlineStr">
        <is>
          <t>1344-13</t>
        </is>
      </c>
      <c r="D1261" s="41" t="inlineStr">
        <is>
          <t>1344</t>
        </is>
      </c>
      <c r="E1261" s="41" t="inlineStr">
        <is>
          <t>0013</t>
        </is>
      </c>
      <c r="F1261" s="42" t="inlineStr">
        <is>
          <t>서초트라팰리스</t>
        </is>
      </c>
      <c r="G1261" s="41" t="inlineStr">
        <is>
          <t>73.4200</t>
        </is>
      </c>
      <c r="H1261" s="41" t="inlineStr">
        <is>
          <t>202407</t>
        </is>
      </c>
      <c r="I1261" s="41" t="inlineStr">
        <is>
          <t>29</t>
        </is>
      </c>
      <c r="J1261" s="41" t="inlineStr">
        <is>
          <t>115,000</t>
        </is>
      </c>
      <c r="K1261" s="41" t="inlineStr">
        <is>
          <t>B</t>
        </is>
      </c>
      <c r="L1261" s="41" t="inlineStr">
        <is>
          <t>4</t>
        </is>
      </c>
      <c r="M1261" s="42" t="inlineStr">
        <is>
          <t>개인</t>
        </is>
      </c>
      <c r="N1261" s="42" t="inlineStr">
        <is>
          <t>개인</t>
        </is>
      </c>
      <c r="O1261" s="41" t="inlineStr">
        <is>
          <t>2005</t>
        </is>
      </c>
      <c r="P1261" s="42" t="inlineStr">
        <is>
          <t>효령로72길 57</t>
        </is>
      </c>
      <c r="Q1261" s="41" t="inlineStr">
        <is>
          <t>-</t>
        </is>
      </c>
      <c r="R1261" s="42" t="inlineStr">
        <is>
          <t>중개거래</t>
        </is>
      </c>
      <c r="S1261" s="42" t="inlineStr">
        <is>
          <t>서울 서초구</t>
        </is>
      </c>
      <c r="T1261" s="41" t="inlineStr">
        <is>
          <t>24.11.29</t>
        </is>
      </c>
      <c r="U1261" s="42" t="inlineStr">
        <is>
          <t>아파트</t>
        </is>
      </c>
    </row>
    <row r="1262" hidden="1" ht="14.25" customHeight="1">
      <c r="A1262" s="41" t="n">
        <v>729</v>
      </c>
      <c r="B1262" s="42" t="inlineStr">
        <is>
          <t>서울특별시 서초구 서초동</t>
        </is>
      </c>
      <c r="C1262" s="41" t="inlineStr">
        <is>
          <t>1682</t>
        </is>
      </c>
      <c r="D1262" s="41" t="inlineStr">
        <is>
          <t>1682</t>
        </is>
      </c>
      <c r="E1262" s="41" t="inlineStr">
        <is>
          <t>0000</t>
        </is>
      </c>
      <c r="F1262" s="42" t="inlineStr">
        <is>
          <t>서초래미안</t>
        </is>
      </c>
      <c r="G1262" s="41" t="inlineStr">
        <is>
          <t>84.9500</t>
        </is>
      </c>
      <c r="H1262" s="41" t="inlineStr">
        <is>
          <t>202407</t>
        </is>
      </c>
      <c r="I1262" s="41" t="inlineStr">
        <is>
          <t>28</t>
        </is>
      </c>
      <c r="J1262" s="41" t="inlineStr">
        <is>
          <t>233,000</t>
        </is>
      </c>
      <c r="K1262" s="41" t="inlineStr">
        <is>
          <t>113</t>
        </is>
      </c>
      <c r="L1262" s="41" t="inlineStr">
        <is>
          <t>13</t>
        </is>
      </c>
      <c r="M1262" s="42" t="inlineStr">
        <is>
          <t>개인</t>
        </is>
      </c>
      <c r="N1262" s="42" t="inlineStr">
        <is>
          <t>개인</t>
        </is>
      </c>
      <c r="O1262" s="41" t="inlineStr">
        <is>
          <t>2003</t>
        </is>
      </c>
      <c r="P1262" s="42" t="inlineStr">
        <is>
          <t>서초대로65길 13-10</t>
        </is>
      </c>
      <c r="Q1262" s="41" t="inlineStr">
        <is>
          <t>-</t>
        </is>
      </c>
      <c r="R1262" s="42" t="inlineStr">
        <is>
          <t>중개거래</t>
        </is>
      </c>
      <c r="S1262" s="42" t="inlineStr">
        <is>
          <t>서울 서초구</t>
        </is>
      </c>
      <c r="T1262" s="41" t="inlineStr">
        <is>
          <t>24.11.28</t>
        </is>
      </c>
      <c r="U1262" s="42" t="inlineStr">
        <is>
          <t>아파트</t>
        </is>
      </c>
    </row>
    <row r="1263" hidden="1" ht="14.25" customHeight="1">
      <c r="A1263" s="41" t="n">
        <v>730</v>
      </c>
      <c r="B1263" s="42" t="inlineStr">
        <is>
          <t>서울특별시 서초구 서초동</t>
        </is>
      </c>
      <c r="C1263" s="41" t="inlineStr">
        <is>
          <t>1685</t>
        </is>
      </c>
      <c r="D1263" s="41" t="inlineStr">
        <is>
          <t>1685</t>
        </is>
      </c>
      <c r="E1263" s="41" t="inlineStr">
        <is>
          <t>0000</t>
        </is>
      </c>
      <c r="F1263" s="42" t="inlineStr">
        <is>
          <t>삼풍아파트</t>
        </is>
      </c>
      <c r="G1263" s="41" t="inlineStr">
        <is>
          <t>165.9200</t>
        </is>
      </c>
      <c r="H1263" s="41" t="inlineStr">
        <is>
          <t>202407</t>
        </is>
      </c>
      <c r="I1263" s="41" t="inlineStr">
        <is>
          <t>28</t>
        </is>
      </c>
      <c r="J1263" s="41" t="inlineStr">
        <is>
          <t>400,000</t>
        </is>
      </c>
      <c r="K1263" s="41" t="inlineStr">
        <is>
          <t>18</t>
        </is>
      </c>
      <c r="L1263" s="41" t="inlineStr">
        <is>
          <t>13</t>
        </is>
      </c>
      <c r="M1263" s="42" t="inlineStr">
        <is>
          <t>개인</t>
        </is>
      </c>
      <c r="N1263" s="42" t="inlineStr">
        <is>
          <t>개인</t>
        </is>
      </c>
      <c r="O1263" s="41" t="inlineStr">
        <is>
          <t>1988</t>
        </is>
      </c>
      <c r="P1263" s="42" t="inlineStr">
        <is>
          <t>서초중앙로 200</t>
        </is>
      </c>
      <c r="Q1263" s="41" t="inlineStr">
        <is>
          <t>-</t>
        </is>
      </c>
      <c r="R1263" s="42" t="inlineStr">
        <is>
          <t>중개거래</t>
        </is>
      </c>
      <c r="S1263" s="42" t="inlineStr">
        <is>
          <t>서울 서초구</t>
        </is>
      </c>
      <c r="T1263" s="41" t="inlineStr">
        <is>
          <t>24.10.24</t>
        </is>
      </c>
      <c r="U1263" s="42" t="inlineStr">
        <is>
          <t>아파트</t>
        </is>
      </c>
    </row>
    <row r="1264" hidden="1" ht="14.25" customHeight="1">
      <c r="A1264" s="41" t="n">
        <v>731</v>
      </c>
      <c r="B1264" s="42" t="inlineStr">
        <is>
          <t>서울특별시 서초구 서초동</t>
        </is>
      </c>
      <c r="C1264" s="41" t="inlineStr">
        <is>
          <t>1757</t>
        </is>
      </c>
      <c r="D1264" s="41" t="inlineStr">
        <is>
          <t>1757</t>
        </is>
      </c>
      <c r="E1264" s="41" t="inlineStr">
        <is>
          <t>0000</t>
        </is>
      </c>
      <c r="F1264" s="42" t="inlineStr">
        <is>
          <t>서초그랑자이</t>
        </is>
      </c>
      <c r="G1264" s="41" t="inlineStr">
        <is>
          <t>59.9800</t>
        </is>
      </c>
      <c r="H1264" s="41" t="inlineStr">
        <is>
          <t>202407</t>
        </is>
      </c>
      <c r="I1264" s="41" t="inlineStr">
        <is>
          <t>27</t>
        </is>
      </c>
      <c r="J1264" s="41" t="inlineStr">
        <is>
          <t>250,000</t>
        </is>
      </c>
      <c r="K1264" s="41" t="inlineStr">
        <is>
          <t>105동</t>
        </is>
      </c>
      <c r="L1264" s="41" t="inlineStr">
        <is>
          <t>2</t>
        </is>
      </c>
      <c r="M1264" s="42" t="inlineStr">
        <is>
          <t>개인</t>
        </is>
      </c>
      <c r="N1264" s="42" t="inlineStr">
        <is>
          <t>개인</t>
        </is>
      </c>
      <c r="O1264" s="41" t="inlineStr">
        <is>
          <t>2021</t>
        </is>
      </c>
      <c r="P1264" s="42" t="inlineStr">
        <is>
          <t>효령로 391</t>
        </is>
      </c>
      <c r="Q1264" s="41" t="inlineStr">
        <is>
          <t>-</t>
        </is>
      </c>
      <c r="R1264" s="42" t="inlineStr">
        <is>
          <t>중개거래</t>
        </is>
      </c>
      <c r="S1264" s="42" t="inlineStr">
        <is>
          <t>서울 서초구</t>
        </is>
      </c>
      <c r="T1264" s="41" t="inlineStr">
        <is>
          <t>24.11.01</t>
        </is>
      </c>
      <c r="U1264" s="42" t="inlineStr">
        <is>
          <t>아파트</t>
        </is>
      </c>
    </row>
    <row r="1265" hidden="1" ht="14.25" customHeight="1">
      <c r="A1265" s="41" t="n">
        <v>732</v>
      </c>
      <c r="B1265" s="42" t="inlineStr">
        <is>
          <t>서울특별시 서초구 서초동</t>
        </is>
      </c>
      <c r="C1265" s="41" t="inlineStr">
        <is>
          <t>1682</t>
        </is>
      </c>
      <c r="D1265" s="41" t="inlineStr">
        <is>
          <t>1682</t>
        </is>
      </c>
      <c r="E1265" s="41" t="inlineStr">
        <is>
          <t>0000</t>
        </is>
      </c>
      <c r="F1265" s="42" t="inlineStr">
        <is>
          <t>서초래미안</t>
        </is>
      </c>
      <c r="G1265" s="41" t="inlineStr">
        <is>
          <t>127.6600</t>
        </is>
      </c>
      <c r="H1265" s="41" t="inlineStr">
        <is>
          <t>202407</t>
        </is>
      </c>
      <c r="I1265" s="41" t="inlineStr">
        <is>
          <t>27</t>
        </is>
      </c>
      <c r="J1265" s="41" t="inlineStr">
        <is>
          <t>255,000</t>
        </is>
      </c>
      <c r="K1265" s="41" t="inlineStr">
        <is>
          <t>104</t>
        </is>
      </c>
      <c r="L1265" s="41" t="inlineStr">
        <is>
          <t>20</t>
        </is>
      </c>
      <c r="M1265" s="42" t="inlineStr">
        <is>
          <t>개인</t>
        </is>
      </c>
      <c r="N1265" s="42" t="inlineStr">
        <is>
          <t>개인</t>
        </is>
      </c>
      <c r="O1265" s="41" t="inlineStr">
        <is>
          <t>2003</t>
        </is>
      </c>
      <c r="P1265" s="42" t="inlineStr">
        <is>
          <t>서초대로65길 13-10</t>
        </is>
      </c>
      <c r="Q1265" s="41" t="inlineStr">
        <is>
          <t>-</t>
        </is>
      </c>
      <c r="R1265" s="42" t="inlineStr">
        <is>
          <t>중개거래</t>
        </is>
      </c>
      <c r="S1265" s="42" t="inlineStr">
        <is>
          <t>경기 용인시 처인구, 서울 서초구</t>
        </is>
      </c>
      <c r="T1265" s="41" t="inlineStr">
        <is>
          <t>24.09.26</t>
        </is>
      </c>
      <c r="U1265" s="42" t="inlineStr">
        <is>
          <t>아파트</t>
        </is>
      </c>
    </row>
    <row r="1266" hidden="1" ht="14.25" customHeight="1">
      <c r="A1266" s="41" t="n">
        <v>733</v>
      </c>
      <c r="B1266" s="42" t="inlineStr">
        <is>
          <t>서울특별시 서초구 서초동</t>
        </is>
      </c>
      <c r="C1266" s="41" t="inlineStr">
        <is>
          <t>1445-4</t>
        </is>
      </c>
      <c r="D1266" s="41" t="inlineStr">
        <is>
          <t>1445</t>
        </is>
      </c>
      <c r="E1266" s="41" t="inlineStr">
        <is>
          <t>0004</t>
        </is>
      </c>
      <c r="F1266" s="42" t="inlineStr">
        <is>
          <t>래미안서초유니빌</t>
        </is>
      </c>
      <c r="G1266" s="41" t="inlineStr">
        <is>
          <t>58.6010</t>
        </is>
      </c>
      <c r="H1266" s="41" t="inlineStr">
        <is>
          <t>202407</t>
        </is>
      </c>
      <c r="I1266" s="41" t="inlineStr">
        <is>
          <t>27</t>
        </is>
      </c>
      <c r="J1266" s="41" t="inlineStr">
        <is>
          <t>73,000</t>
        </is>
      </c>
      <c r="K1266" s="42" t="inlineStr">
        <is>
          <t>래미안 서초유니빌</t>
        </is>
      </c>
      <c r="L1266" s="41" t="inlineStr">
        <is>
          <t>13</t>
        </is>
      </c>
      <c r="M1266" s="42" t="inlineStr">
        <is>
          <t>개인</t>
        </is>
      </c>
      <c r="N1266" s="42" t="inlineStr">
        <is>
          <t>개인</t>
        </is>
      </c>
      <c r="O1266" s="41" t="inlineStr">
        <is>
          <t>2003</t>
        </is>
      </c>
      <c r="P1266" s="42" t="inlineStr">
        <is>
          <t>서초중앙로 26</t>
        </is>
      </c>
      <c r="Q1266" s="41" t="inlineStr">
        <is>
          <t>-</t>
        </is>
      </c>
      <c r="R1266" s="42" t="inlineStr">
        <is>
          <t>중개거래</t>
        </is>
      </c>
      <c r="S1266" s="42" t="inlineStr">
        <is>
          <t>서울 서초구</t>
        </is>
      </c>
      <c r="T1266" s="41" t="inlineStr">
        <is>
          <t>24.11.29</t>
        </is>
      </c>
      <c r="U1266" s="42" t="inlineStr">
        <is>
          <t>아파트</t>
        </is>
      </c>
    </row>
    <row r="1267" hidden="1" ht="14.25" customHeight="1">
      <c r="A1267" s="41" t="n">
        <v>734</v>
      </c>
      <c r="B1267" s="42" t="inlineStr">
        <is>
          <t>서울특별시 서초구 서초동</t>
        </is>
      </c>
      <c r="C1267" s="41" t="inlineStr">
        <is>
          <t>1333</t>
        </is>
      </c>
      <c r="D1267" s="41" t="inlineStr">
        <is>
          <t>1333</t>
        </is>
      </c>
      <c r="E1267" s="41" t="inlineStr">
        <is>
          <t>0000</t>
        </is>
      </c>
      <c r="F1267" s="42" t="inlineStr">
        <is>
          <t>신동아아파트(1차)</t>
        </is>
      </c>
      <c r="G1267" s="41" t="inlineStr">
        <is>
          <t>86.6100</t>
        </is>
      </c>
      <c r="H1267" s="41" t="inlineStr">
        <is>
          <t>202407</t>
        </is>
      </c>
      <c r="I1267" s="41" t="inlineStr">
        <is>
          <t>27</t>
        </is>
      </c>
      <c r="J1267" s="41" t="inlineStr">
        <is>
          <t>225,000</t>
        </is>
      </c>
      <c r="K1267" s="41" t="inlineStr">
        <is>
          <t>7</t>
        </is>
      </c>
      <c r="L1267" s="41" t="inlineStr">
        <is>
          <t>2</t>
        </is>
      </c>
      <c r="M1267" s="42" t="inlineStr">
        <is>
          <t>개인</t>
        </is>
      </c>
      <c r="N1267" s="42" t="inlineStr">
        <is>
          <t>개인</t>
        </is>
      </c>
      <c r="O1267" s="41" t="inlineStr">
        <is>
          <t>1978</t>
        </is>
      </c>
      <c r="P1267" s="42" t="inlineStr">
        <is>
          <t>사임당로 130</t>
        </is>
      </c>
      <c r="Q1267" s="41" t="inlineStr">
        <is>
          <t>-</t>
        </is>
      </c>
      <c r="R1267" s="42" t="inlineStr">
        <is>
          <t>중개거래</t>
        </is>
      </c>
      <c r="S1267" s="42" t="inlineStr">
        <is>
          <t>서울 서초구</t>
        </is>
      </c>
      <c r="T1267" s="41" t="inlineStr">
        <is>
          <t>24.09.30</t>
        </is>
      </c>
      <c r="U1267" s="42" t="inlineStr">
        <is>
          <t>아파트</t>
        </is>
      </c>
    </row>
    <row r="1268" hidden="1" ht="14.25" customHeight="1">
      <c r="A1268" s="41" t="n">
        <v>735</v>
      </c>
      <c r="B1268" s="42" t="inlineStr">
        <is>
          <t>서울특별시 서초구 서초동</t>
        </is>
      </c>
      <c r="C1268" s="41" t="inlineStr">
        <is>
          <t>1333</t>
        </is>
      </c>
      <c r="D1268" s="41" t="inlineStr">
        <is>
          <t>1333</t>
        </is>
      </c>
      <c r="E1268" s="41" t="inlineStr">
        <is>
          <t>0000</t>
        </is>
      </c>
      <c r="F1268" s="42" t="inlineStr">
        <is>
          <t>신동아아파트(1차)</t>
        </is>
      </c>
      <c r="G1268" s="41" t="inlineStr">
        <is>
          <t>86.6100</t>
        </is>
      </c>
      <c r="H1268" s="41" t="inlineStr">
        <is>
          <t>202407</t>
        </is>
      </c>
      <c r="I1268" s="41" t="inlineStr">
        <is>
          <t>27</t>
        </is>
      </c>
      <c r="J1268" s="41" t="inlineStr">
        <is>
          <t>225,000</t>
        </is>
      </c>
      <c r="K1268" s="41" t="inlineStr">
        <is>
          <t>-</t>
        </is>
      </c>
      <c r="L1268" s="41" t="inlineStr">
        <is>
          <t>2</t>
        </is>
      </c>
      <c r="M1268" s="42" t="inlineStr">
        <is>
          <t>개인</t>
        </is>
      </c>
      <c r="N1268" s="42" t="inlineStr">
        <is>
          <t>개인</t>
        </is>
      </c>
      <c r="O1268" s="41" t="inlineStr">
        <is>
          <t>1978</t>
        </is>
      </c>
      <c r="P1268" s="42" t="inlineStr">
        <is>
          <t>사임당로 130</t>
        </is>
      </c>
      <c r="Q1268" s="41" t="inlineStr">
        <is>
          <t>20240829</t>
        </is>
      </c>
      <c r="R1268" s="42" t="inlineStr">
        <is>
          <t>중개거래</t>
        </is>
      </c>
      <c r="S1268" s="42" t="inlineStr">
        <is>
          <t>서울 서초구</t>
        </is>
      </c>
      <c r="T1268" s="41" t="inlineStr">
        <is>
          <t>-</t>
        </is>
      </c>
      <c r="U1268" s="42" t="inlineStr">
        <is>
          <t>아파트</t>
        </is>
      </c>
    </row>
    <row r="1269" hidden="1" ht="14.25" customHeight="1">
      <c r="A1269" s="41" t="n">
        <v>736</v>
      </c>
      <c r="B1269" s="42" t="inlineStr">
        <is>
          <t>서울특별시 서초구 서초동</t>
        </is>
      </c>
      <c r="C1269" s="41" t="inlineStr">
        <is>
          <t>1685</t>
        </is>
      </c>
      <c r="D1269" s="41" t="inlineStr">
        <is>
          <t>1685</t>
        </is>
      </c>
      <c r="E1269" s="41" t="inlineStr">
        <is>
          <t>0000</t>
        </is>
      </c>
      <c r="F1269" s="42" t="inlineStr">
        <is>
          <t>삼풍아파트</t>
        </is>
      </c>
      <c r="G1269" s="41" t="inlineStr">
        <is>
          <t>130.7300</t>
        </is>
      </c>
      <c r="H1269" s="41" t="inlineStr">
        <is>
          <t>202407</t>
        </is>
      </c>
      <c r="I1269" s="41" t="inlineStr">
        <is>
          <t>27</t>
        </is>
      </c>
      <c r="J1269" s="41" t="inlineStr">
        <is>
          <t>345,000</t>
        </is>
      </c>
      <c r="K1269" s="41" t="inlineStr">
        <is>
          <t>19</t>
        </is>
      </c>
      <c r="L1269" s="41" t="inlineStr">
        <is>
          <t>5</t>
        </is>
      </c>
      <c r="M1269" s="42" t="inlineStr">
        <is>
          <t>개인</t>
        </is>
      </c>
      <c r="N1269" s="42" t="inlineStr">
        <is>
          <t>개인</t>
        </is>
      </c>
      <c r="O1269" s="41" t="inlineStr">
        <is>
          <t>1988</t>
        </is>
      </c>
      <c r="P1269" s="42" t="inlineStr">
        <is>
          <t>서초중앙로 200</t>
        </is>
      </c>
      <c r="Q1269" s="41" t="inlineStr">
        <is>
          <t>-</t>
        </is>
      </c>
      <c r="R1269" s="42" t="inlineStr">
        <is>
          <t>중개거래</t>
        </is>
      </c>
      <c r="S1269" s="42" t="inlineStr">
        <is>
          <t>서울 서초구</t>
        </is>
      </c>
      <c r="T1269" s="41" t="inlineStr">
        <is>
          <t>25.02.28</t>
        </is>
      </c>
      <c r="U1269" s="42" t="inlineStr">
        <is>
          <t>아파트</t>
        </is>
      </c>
    </row>
    <row r="1270" hidden="1" ht="14.25" customHeight="1">
      <c r="A1270" s="41" t="n">
        <v>737</v>
      </c>
      <c r="B1270" s="42" t="inlineStr">
        <is>
          <t>서울특별시 서초구 서초동</t>
        </is>
      </c>
      <c r="C1270" s="41" t="inlineStr">
        <is>
          <t>1529</t>
        </is>
      </c>
      <c r="D1270" s="41" t="inlineStr">
        <is>
          <t>1529</t>
        </is>
      </c>
      <c r="E1270" s="41" t="inlineStr">
        <is>
          <t>0000</t>
        </is>
      </c>
      <c r="F1270" s="42" t="inlineStr">
        <is>
          <t>서초2차e-편한세상</t>
        </is>
      </c>
      <c r="G1270" s="41" t="inlineStr">
        <is>
          <t>123.1180</t>
        </is>
      </c>
      <c r="H1270" s="41" t="inlineStr">
        <is>
          <t>202407</t>
        </is>
      </c>
      <c r="I1270" s="41" t="inlineStr">
        <is>
          <t>27</t>
        </is>
      </c>
      <c r="J1270" s="41" t="inlineStr">
        <is>
          <t>209,000</t>
        </is>
      </c>
      <c r="K1270" s="41" t="inlineStr">
        <is>
          <t>202</t>
        </is>
      </c>
      <c r="L1270" s="41" t="inlineStr">
        <is>
          <t>9</t>
        </is>
      </c>
      <c r="M1270" s="42" t="inlineStr">
        <is>
          <t>개인</t>
        </is>
      </c>
      <c r="N1270" s="42" t="inlineStr">
        <is>
          <t>개인</t>
        </is>
      </c>
      <c r="O1270" s="41" t="inlineStr">
        <is>
          <t>2005</t>
        </is>
      </c>
      <c r="P1270" s="42" t="inlineStr">
        <is>
          <t>효령로49길 57</t>
        </is>
      </c>
      <c r="Q1270" s="41" t="inlineStr">
        <is>
          <t>-</t>
        </is>
      </c>
      <c r="R1270" s="42" t="inlineStr">
        <is>
          <t>중개거래</t>
        </is>
      </c>
      <c r="S1270" s="42" t="inlineStr">
        <is>
          <t>서울 서초구</t>
        </is>
      </c>
      <c r="T1270" s="41" t="inlineStr">
        <is>
          <t>24.10.16</t>
        </is>
      </c>
      <c r="U1270" s="42" t="inlineStr">
        <is>
          <t>아파트</t>
        </is>
      </c>
    </row>
    <row r="1271" hidden="1" ht="14.25" customHeight="1">
      <c r="A1271" s="41" t="n">
        <v>738</v>
      </c>
      <c r="B1271" s="42" t="inlineStr">
        <is>
          <t>서울특별시 서초구 서초동</t>
        </is>
      </c>
      <c r="C1271" s="41" t="inlineStr">
        <is>
          <t>1316-15</t>
        </is>
      </c>
      <c r="D1271" s="41" t="inlineStr">
        <is>
          <t>1316</t>
        </is>
      </c>
      <c r="E1271" s="41" t="inlineStr">
        <is>
          <t>0015</t>
        </is>
      </c>
      <c r="F1271" s="42" t="inlineStr">
        <is>
          <t>현대성우주상복합아파트</t>
        </is>
      </c>
      <c r="G1271" s="41" t="inlineStr">
        <is>
          <t>161.9100</t>
        </is>
      </c>
      <c r="H1271" s="41" t="inlineStr">
        <is>
          <t>202407</t>
        </is>
      </c>
      <c r="I1271" s="41" t="inlineStr">
        <is>
          <t>27</t>
        </is>
      </c>
      <c r="J1271" s="41" t="inlineStr">
        <is>
          <t>192,000</t>
        </is>
      </c>
      <c r="K1271" s="41" t="inlineStr">
        <is>
          <t>-</t>
        </is>
      </c>
      <c r="L1271" s="41" t="inlineStr">
        <is>
          <t>18</t>
        </is>
      </c>
      <c r="M1271" s="42" t="inlineStr">
        <is>
          <t>개인</t>
        </is>
      </c>
      <c r="N1271" s="42" t="inlineStr">
        <is>
          <t>개인</t>
        </is>
      </c>
      <c r="O1271" s="41" t="inlineStr">
        <is>
          <t>2002</t>
        </is>
      </c>
      <c r="P1271" s="42" t="inlineStr">
        <is>
          <t>강남대로61길 23</t>
        </is>
      </c>
      <c r="Q1271" s="41" t="inlineStr">
        <is>
          <t>-</t>
        </is>
      </c>
      <c r="R1271" s="42" t="inlineStr">
        <is>
          <t>중개거래</t>
        </is>
      </c>
      <c r="S1271" s="42" t="inlineStr">
        <is>
          <t>서울 서초구</t>
        </is>
      </c>
      <c r="T1271" s="41" t="inlineStr">
        <is>
          <t>24.11.04</t>
        </is>
      </c>
      <c r="U1271" s="42" t="inlineStr">
        <is>
          <t>아파트</t>
        </is>
      </c>
    </row>
    <row r="1272" hidden="1" ht="14.25" customHeight="1">
      <c r="A1272" s="41" t="n">
        <v>739</v>
      </c>
      <c r="B1272" s="42" t="inlineStr">
        <is>
          <t>서울특별시 서초구 서초동</t>
        </is>
      </c>
      <c r="C1272" s="41" t="inlineStr">
        <is>
          <t>1582-3</t>
        </is>
      </c>
      <c r="D1272" s="41" t="inlineStr">
        <is>
          <t>1582</t>
        </is>
      </c>
      <c r="E1272" s="41" t="inlineStr">
        <is>
          <t>0003</t>
        </is>
      </c>
      <c r="F1272" s="42" t="inlineStr">
        <is>
          <t>서초센트럴IPARK</t>
        </is>
      </c>
      <c r="G1272" s="41" t="inlineStr">
        <is>
          <t>80.5332</t>
        </is>
      </c>
      <c r="H1272" s="41" t="inlineStr">
        <is>
          <t>202407</t>
        </is>
      </c>
      <c r="I1272" s="41" t="inlineStr">
        <is>
          <t>27</t>
        </is>
      </c>
      <c r="J1272" s="41" t="inlineStr">
        <is>
          <t>190,000</t>
        </is>
      </c>
      <c r="K1272" s="41" t="inlineStr">
        <is>
          <t>102동</t>
        </is>
      </c>
      <c r="L1272" s="41" t="inlineStr">
        <is>
          <t>27</t>
        </is>
      </c>
      <c r="M1272" s="42" t="inlineStr">
        <is>
          <t>개인</t>
        </is>
      </c>
      <c r="N1272" s="42" t="inlineStr">
        <is>
          <t>개인</t>
        </is>
      </c>
      <c r="O1272" s="41" t="inlineStr">
        <is>
          <t>2020</t>
        </is>
      </c>
      <c r="P1272" s="42" t="inlineStr">
        <is>
          <t>반포대로18길 36</t>
        </is>
      </c>
      <c r="Q1272" s="41" t="inlineStr">
        <is>
          <t>-</t>
        </is>
      </c>
      <c r="R1272" s="42" t="inlineStr">
        <is>
          <t>중개거래</t>
        </is>
      </c>
      <c r="S1272" s="42" t="inlineStr">
        <is>
          <t>서울 서초구</t>
        </is>
      </c>
      <c r="T1272" s="41" t="inlineStr">
        <is>
          <t>25.01.02</t>
        </is>
      </c>
      <c r="U1272" s="42" t="inlineStr">
        <is>
          <t>아파트</t>
        </is>
      </c>
    </row>
    <row r="1273" hidden="1" ht="14.25" customHeight="1">
      <c r="A1273" s="41" t="n">
        <v>740</v>
      </c>
      <c r="B1273" s="42" t="inlineStr">
        <is>
          <t>서울특별시 서초구 서초동</t>
        </is>
      </c>
      <c r="C1273" s="41" t="inlineStr">
        <is>
          <t>1582-3</t>
        </is>
      </c>
      <c r="D1273" s="41" t="inlineStr">
        <is>
          <t>1582</t>
        </is>
      </c>
      <c r="E1273" s="41" t="inlineStr">
        <is>
          <t>0003</t>
        </is>
      </c>
      <c r="F1273" s="42" t="inlineStr">
        <is>
          <t>서초센트럴IPARK</t>
        </is>
      </c>
      <c r="G1273" s="41" t="inlineStr">
        <is>
          <t>80.5332</t>
        </is>
      </c>
      <c r="H1273" s="41" t="inlineStr">
        <is>
          <t>202407</t>
        </is>
      </c>
      <c r="I1273" s="41" t="inlineStr">
        <is>
          <t>27</t>
        </is>
      </c>
      <c r="J1273" s="41" t="inlineStr">
        <is>
          <t>168,000</t>
        </is>
      </c>
      <c r="K1273" s="41" t="inlineStr">
        <is>
          <t>101동</t>
        </is>
      </c>
      <c r="L1273" s="41" t="inlineStr">
        <is>
          <t>4</t>
        </is>
      </c>
      <c r="M1273" s="42" t="inlineStr">
        <is>
          <t>개인</t>
        </is>
      </c>
      <c r="N1273" s="42" t="inlineStr">
        <is>
          <t>개인</t>
        </is>
      </c>
      <c r="O1273" s="41" t="inlineStr">
        <is>
          <t>2020</t>
        </is>
      </c>
      <c r="P1273" s="42" t="inlineStr">
        <is>
          <t>반포대로18길 36</t>
        </is>
      </c>
      <c r="Q1273" s="41" t="inlineStr">
        <is>
          <t>-</t>
        </is>
      </c>
      <c r="R1273" s="42" t="inlineStr">
        <is>
          <t>중개거래</t>
        </is>
      </c>
      <c r="S1273" s="42" t="inlineStr">
        <is>
          <t>서울 서초구</t>
        </is>
      </c>
      <c r="T1273" s="41" t="inlineStr">
        <is>
          <t>24.10.30</t>
        </is>
      </c>
      <c r="U1273" s="42" t="inlineStr">
        <is>
          <t>아파트</t>
        </is>
      </c>
    </row>
    <row r="1274" hidden="1" ht="14.25" customHeight="1">
      <c r="A1274" s="41" t="n">
        <v>741</v>
      </c>
      <c r="B1274" s="42" t="inlineStr">
        <is>
          <t>서울특별시 서초구 서초동</t>
        </is>
      </c>
      <c r="C1274" s="41" t="inlineStr">
        <is>
          <t>1444-7</t>
        </is>
      </c>
      <c r="D1274" s="41" t="inlineStr">
        <is>
          <t>1444</t>
        </is>
      </c>
      <c r="E1274" s="41" t="inlineStr">
        <is>
          <t>0007</t>
        </is>
      </c>
      <c r="F1274" s="42" t="inlineStr">
        <is>
          <t>서초자이</t>
        </is>
      </c>
      <c r="G1274" s="41" t="inlineStr">
        <is>
          <t>116.8500</t>
        </is>
      </c>
      <c r="H1274" s="41" t="inlineStr">
        <is>
          <t>202407</t>
        </is>
      </c>
      <c r="I1274" s="41" t="inlineStr">
        <is>
          <t>27</t>
        </is>
      </c>
      <c r="J1274" s="41" t="inlineStr">
        <is>
          <t>233,000</t>
        </is>
      </c>
      <c r="K1274" s="41" t="inlineStr">
        <is>
          <t>103</t>
        </is>
      </c>
      <c r="L1274" s="41" t="inlineStr">
        <is>
          <t>4</t>
        </is>
      </c>
      <c r="M1274" s="42" t="inlineStr">
        <is>
          <t>개인</t>
        </is>
      </c>
      <c r="N1274" s="42" t="inlineStr">
        <is>
          <t>개인</t>
        </is>
      </c>
      <c r="O1274" s="41" t="inlineStr">
        <is>
          <t>2006</t>
        </is>
      </c>
      <c r="P1274" s="42" t="inlineStr">
        <is>
          <t>효령로68길 81</t>
        </is>
      </c>
      <c r="Q1274" s="41" t="inlineStr">
        <is>
          <t>-</t>
        </is>
      </c>
      <c r="R1274" s="42" t="inlineStr">
        <is>
          <t>중개거래</t>
        </is>
      </c>
      <c r="S1274" s="42" t="inlineStr">
        <is>
          <t>서울 서초구</t>
        </is>
      </c>
      <c r="T1274" s="41" t="inlineStr">
        <is>
          <t>24.09.30</t>
        </is>
      </c>
      <c r="U1274" s="42" t="inlineStr">
        <is>
          <t>아파트</t>
        </is>
      </c>
    </row>
    <row r="1275" hidden="1" ht="14.25" customHeight="1">
      <c r="A1275" s="41" t="n">
        <v>742</v>
      </c>
      <c r="B1275" s="42" t="inlineStr">
        <is>
          <t>서울특별시 서초구 서초동</t>
        </is>
      </c>
      <c r="C1275" s="41" t="inlineStr">
        <is>
          <t>1492-5</t>
        </is>
      </c>
      <c r="D1275" s="41" t="inlineStr">
        <is>
          <t>1492</t>
        </is>
      </c>
      <c r="E1275" s="41" t="inlineStr">
        <is>
          <t>0005</t>
        </is>
      </c>
      <c r="F1275" s="42" t="inlineStr">
        <is>
          <t>서초트레져</t>
        </is>
      </c>
      <c r="G1275" s="41" t="inlineStr">
        <is>
          <t>216.0800</t>
        </is>
      </c>
      <c r="H1275" s="41" t="inlineStr">
        <is>
          <t>202407</t>
        </is>
      </c>
      <c r="I1275" s="41" t="inlineStr">
        <is>
          <t>27</t>
        </is>
      </c>
      <c r="J1275" s="41" t="inlineStr">
        <is>
          <t>220,000</t>
        </is>
      </c>
      <c r="K1275" s="41" t="inlineStr">
        <is>
          <t>-</t>
        </is>
      </c>
      <c r="L1275" s="41" t="inlineStr">
        <is>
          <t>3</t>
        </is>
      </c>
      <c r="M1275" s="42" t="inlineStr">
        <is>
          <t>개인</t>
        </is>
      </c>
      <c r="N1275" s="42" t="inlineStr">
        <is>
          <t>개인</t>
        </is>
      </c>
      <c r="O1275" s="41" t="inlineStr">
        <is>
          <t>2005</t>
        </is>
      </c>
      <c r="P1275" s="42" t="inlineStr">
        <is>
          <t>명달로 79</t>
        </is>
      </c>
      <c r="Q1275" s="41" t="inlineStr">
        <is>
          <t>-</t>
        </is>
      </c>
      <c r="R1275" s="42" t="inlineStr">
        <is>
          <t>중개거래</t>
        </is>
      </c>
      <c r="S1275" s="42" t="inlineStr">
        <is>
          <t>서울 서초구</t>
        </is>
      </c>
      <c r="T1275" s="41" t="inlineStr">
        <is>
          <t>24.11.29</t>
        </is>
      </c>
      <c r="U1275" s="42" t="inlineStr">
        <is>
          <t>아파트</t>
        </is>
      </c>
    </row>
    <row r="1276" hidden="1" ht="14.25" customHeight="1">
      <c r="A1276" s="41" t="n">
        <v>743</v>
      </c>
      <c r="B1276" s="42" t="inlineStr">
        <is>
          <t>서울특별시 서초구 서초동</t>
        </is>
      </c>
      <c r="C1276" s="41" t="inlineStr">
        <is>
          <t>1346</t>
        </is>
      </c>
      <c r="D1276" s="41" t="inlineStr">
        <is>
          <t>1346</t>
        </is>
      </c>
      <c r="E1276" s="41" t="inlineStr">
        <is>
          <t>0000</t>
        </is>
      </c>
      <c r="F1276" s="42" t="inlineStr">
        <is>
          <t>현대아파트</t>
        </is>
      </c>
      <c r="G1276" s="41" t="inlineStr">
        <is>
          <t>84.3400</t>
        </is>
      </c>
      <c r="H1276" s="41" t="inlineStr">
        <is>
          <t>202407</t>
        </is>
      </c>
      <c r="I1276" s="41" t="inlineStr">
        <is>
          <t>26</t>
        </is>
      </c>
      <c r="J1276" s="41" t="inlineStr">
        <is>
          <t>174,500</t>
        </is>
      </c>
      <c r="K1276" s="41" t="inlineStr">
        <is>
          <t>20</t>
        </is>
      </c>
      <c r="L1276" s="41" t="inlineStr">
        <is>
          <t>5</t>
        </is>
      </c>
      <c r="M1276" s="42" t="inlineStr">
        <is>
          <t>개인</t>
        </is>
      </c>
      <c r="N1276" s="42" t="inlineStr">
        <is>
          <t>개인</t>
        </is>
      </c>
      <c r="O1276" s="41" t="inlineStr">
        <is>
          <t>1989</t>
        </is>
      </c>
      <c r="P1276" s="42" t="inlineStr">
        <is>
          <t>효령로68길 13</t>
        </is>
      </c>
      <c r="Q1276" s="41" t="inlineStr">
        <is>
          <t>-</t>
        </is>
      </c>
      <c r="R1276" s="42" t="inlineStr">
        <is>
          <t>중개거래</t>
        </is>
      </c>
      <c r="S1276" s="42" t="inlineStr">
        <is>
          <t>서울 서초구</t>
        </is>
      </c>
      <c r="T1276" s="41" t="inlineStr">
        <is>
          <t>24.08.26</t>
        </is>
      </c>
      <c r="U1276" s="42" t="inlineStr">
        <is>
          <t>아파트</t>
        </is>
      </c>
    </row>
    <row r="1277" hidden="1" ht="14.25" customHeight="1">
      <c r="A1277" s="41" t="n">
        <v>744</v>
      </c>
      <c r="B1277" s="42" t="inlineStr">
        <is>
          <t>서울특별시 서초구 서초동</t>
        </is>
      </c>
      <c r="C1277" s="41" t="inlineStr">
        <is>
          <t>1467-3</t>
        </is>
      </c>
      <c r="D1277" s="41" t="inlineStr">
        <is>
          <t>1467</t>
        </is>
      </c>
      <c r="E1277" s="41" t="inlineStr">
        <is>
          <t>0003</t>
        </is>
      </c>
      <c r="F1277" s="42" t="inlineStr">
        <is>
          <t>서초대우</t>
        </is>
      </c>
      <c r="G1277" s="41" t="inlineStr">
        <is>
          <t>188.4700</t>
        </is>
      </c>
      <c r="H1277" s="41" t="inlineStr">
        <is>
          <t>202407</t>
        </is>
      </c>
      <c r="I1277" s="41" t="inlineStr">
        <is>
          <t>26</t>
        </is>
      </c>
      <c r="J1277" s="41" t="inlineStr">
        <is>
          <t>186,000</t>
        </is>
      </c>
      <c r="K1277" s="41" t="inlineStr">
        <is>
          <t>-</t>
        </is>
      </c>
      <c r="L1277" s="41" t="inlineStr">
        <is>
          <t>9</t>
        </is>
      </c>
      <c r="M1277" s="42" t="inlineStr">
        <is>
          <t>개인</t>
        </is>
      </c>
      <c r="N1277" s="42" t="inlineStr">
        <is>
          <t>개인</t>
        </is>
      </c>
      <c r="O1277" s="41" t="inlineStr">
        <is>
          <t>2000</t>
        </is>
      </c>
      <c r="P1277" s="42" t="inlineStr">
        <is>
          <t>명달로 20</t>
        </is>
      </c>
      <c r="Q1277" s="41" t="inlineStr">
        <is>
          <t>-</t>
        </is>
      </c>
      <c r="R1277" s="42" t="inlineStr">
        <is>
          <t>중개거래</t>
        </is>
      </c>
      <c r="S1277" s="42" t="inlineStr">
        <is>
          <t>서울 서초구</t>
        </is>
      </c>
      <c r="T1277" s="41" t="inlineStr">
        <is>
          <t>24.10.31</t>
        </is>
      </c>
      <c r="U1277" s="42" t="inlineStr">
        <is>
          <t>아파트</t>
        </is>
      </c>
    </row>
    <row r="1278" hidden="1" ht="14.25" customHeight="1">
      <c r="A1278" s="41" t="n">
        <v>745</v>
      </c>
      <c r="B1278" s="42" t="inlineStr">
        <is>
          <t>서울특별시 서초구 서초동</t>
        </is>
      </c>
      <c r="C1278" s="41" t="inlineStr">
        <is>
          <t>1685</t>
        </is>
      </c>
      <c r="D1278" s="41" t="inlineStr">
        <is>
          <t>1685</t>
        </is>
      </c>
      <c r="E1278" s="41" t="inlineStr">
        <is>
          <t>0000</t>
        </is>
      </c>
      <c r="F1278" s="42" t="inlineStr">
        <is>
          <t>삼풍아파트</t>
        </is>
      </c>
      <c r="G1278" s="41" t="inlineStr">
        <is>
          <t>163.8100</t>
        </is>
      </c>
      <c r="H1278" s="41" t="inlineStr">
        <is>
          <t>202407</t>
        </is>
      </c>
      <c r="I1278" s="41" t="inlineStr">
        <is>
          <t>26</t>
        </is>
      </c>
      <c r="J1278" s="41" t="inlineStr">
        <is>
          <t>398,000</t>
        </is>
      </c>
      <c r="K1278" s="41" t="inlineStr">
        <is>
          <t>23</t>
        </is>
      </c>
      <c r="L1278" s="41" t="inlineStr">
        <is>
          <t>11</t>
        </is>
      </c>
      <c r="M1278" s="42" t="inlineStr">
        <is>
          <t>개인</t>
        </is>
      </c>
      <c r="N1278" s="42" t="inlineStr">
        <is>
          <t>개인</t>
        </is>
      </c>
      <c r="O1278" s="41" t="inlineStr">
        <is>
          <t>1988</t>
        </is>
      </c>
      <c r="P1278" s="42" t="inlineStr">
        <is>
          <t>서초중앙로 200</t>
        </is>
      </c>
      <c r="Q1278" s="41" t="inlineStr">
        <is>
          <t>-</t>
        </is>
      </c>
      <c r="R1278" s="42" t="inlineStr">
        <is>
          <t>중개거래</t>
        </is>
      </c>
      <c r="S1278" s="42" t="inlineStr">
        <is>
          <t>서울 서초구</t>
        </is>
      </c>
      <c r="T1278" s="41" t="inlineStr">
        <is>
          <t>24.11.20</t>
        </is>
      </c>
      <c r="U1278" s="42" t="inlineStr">
        <is>
          <t>아파트</t>
        </is>
      </c>
    </row>
    <row r="1279" hidden="1" ht="14.25" customHeight="1">
      <c r="A1279" s="41" t="n">
        <v>746</v>
      </c>
      <c r="B1279" s="42" t="inlineStr">
        <is>
          <t>서울특별시 서초구 서초동</t>
        </is>
      </c>
      <c r="C1279" s="41" t="inlineStr">
        <is>
          <t>1476-18</t>
        </is>
      </c>
      <c r="D1279" s="41" t="inlineStr">
        <is>
          <t>1476</t>
        </is>
      </c>
      <c r="E1279" s="41" t="inlineStr">
        <is>
          <t>0018</t>
        </is>
      </c>
      <c r="F1279" s="42" t="inlineStr">
        <is>
          <t>더샾오데움(103동)</t>
        </is>
      </c>
      <c r="G1279" s="41" t="inlineStr">
        <is>
          <t>171.0360</t>
        </is>
      </c>
      <c r="H1279" s="41" t="inlineStr">
        <is>
          <t>202407</t>
        </is>
      </c>
      <c r="I1279" s="41" t="inlineStr">
        <is>
          <t>25</t>
        </is>
      </c>
      <c r="J1279" s="41" t="inlineStr">
        <is>
          <t>230,000</t>
        </is>
      </c>
      <c r="K1279" s="41" t="inlineStr">
        <is>
          <t>103</t>
        </is>
      </c>
      <c r="L1279" s="41" t="inlineStr">
        <is>
          <t>2</t>
        </is>
      </c>
      <c r="M1279" s="42" t="inlineStr">
        <is>
          <t>개인</t>
        </is>
      </c>
      <c r="N1279" s="42" t="inlineStr">
        <is>
          <t>개인</t>
        </is>
      </c>
      <c r="O1279" s="41" t="inlineStr">
        <is>
          <t>2005</t>
        </is>
      </c>
      <c r="P1279" s="42" t="inlineStr">
        <is>
          <t>반포대로7길 45</t>
        </is>
      </c>
      <c r="Q1279" s="41" t="inlineStr">
        <is>
          <t>-</t>
        </is>
      </c>
      <c r="R1279" s="42" t="inlineStr">
        <is>
          <t>중개거래</t>
        </is>
      </c>
      <c r="S1279" s="42" t="inlineStr">
        <is>
          <t>서울 서초구</t>
        </is>
      </c>
      <c r="T1279" s="41" t="inlineStr">
        <is>
          <t>24.08.30</t>
        </is>
      </c>
      <c r="U1279" s="42" t="inlineStr">
        <is>
          <t>아파트</t>
        </is>
      </c>
    </row>
    <row r="1280" hidden="1" ht="14.25" customHeight="1">
      <c r="A1280" s="41" t="n">
        <v>747</v>
      </c>
      <c r="B1280" s="42" t="inlineStr">
        <is>
          <t>서울특별시 서초구 서초동</t>
        </is>
      </c>
      <c r="C1280" s="41" t="inlineStr">
        <is>
          <t>1685</t>
        </is>
      </c>
      <c r="D1280" s="41" t="inlineStr">
        <is>
          <t>1685</t>
        </is>
      </c>
      <c r="E1280" s="41" t="inlineStr">
        <is>
          <t>0000</t>
        </is>
      </c>
      <c r="F1280" s="42" t="inlineStr">
        <is>
          <t>삼풍아파트</t>
        </is>
      </c>
      <c r="G1280" s="41" t="inlineStr">
        <is>
          <t>79.4700</t>
        </is>
      </c>
      <c r="H1280" s="41" t="inlineStr">
        <is>
          <t>202407</t>
        </is>
      </c>
      <c r="I1280" s="41" t="inlineStr">
        <is>
          <t>25</t>
        </is>
      </c>
      <c r="J1280" s="41" t="inlineStr">
        <is>
          <t>255,000</t>
        </is>
      </c>
      <c r="K1280" s="41" t="inlineStr">
        <is>
          <t>5</t>
        </is>
      </c>
      <c r="L1280" s="41" t="inlineStr">
        <is>
          <t>14</t>
        </is>
      </c>
      <c r="M1280" s="42" t="inlineStr">
        <is>
          <t>개인</t>
        </is>
      </c>
      <c r="N1280" s="42" t="inlineStr">
        <is>
          <t>개인</t>
        </is>
      </c>
      <c r="O1280" s="41" t="inlineStr">
        <is>
          <t>1988</t>
        </is>
      </c>
      <c r="P1280" s="42" t="inlineStr">
        <is>
          <t>서초중앙로 200</t>
        </is>
      </c>
      <c r="Q1280" s="41" t="inlineStr">
        <is>
          <t>-</t>
        </is>
      </c>
      <c r="R1280" s="42" t="inlineStr">
        <is>
          <t>중개거래</t>
        </is>
      </c>
      <c r="S1280" s="42" t="inlineStr">
        <is>
          <t>서울 서초구</t>
        </is>
      </c>
      <c r="T1280" s="41" t="inlineStr">
        <is>
          <t>24.11.06</t>
        </is>
      </c>
      <c r="U1280" s="42" t="inlineStr">
        <is>
          <t>아파트</t>
        </is>
      </c>
    </row>
    <row r="1281" hidden="1" ht="14.25" customHeight="1">
      <c r="A1281" s="41" t="n">
        <v>748</v>
      </c>
      <c r="B1281" s="42" t="inlineStr">
        <is>
          <t>서울특별시 서초구 서초동</t>
        </is>
      </c>
      <c r="C1281" s="41" t="inlineStr">
        <is>
          <t>1642-34</t>
        </is>
      </c>
      <c r="D1281" s="41" t="inlineStr">
        <is>
          <t>1642</t>
        </is>
      </c>
      <c r="E1281" s="41" t="inlineStr">
        <is>
          <t>0034</t>
        </is>
      </c>
      <c r="F1281" s="42" t="inlineStr">
        <is>
          <t>래미안서초7차</t>
        </is>
      </c>
      <c r="G1281" s="41" t="inlineStr">
        <is>
          <t>110.6800</t>
        </is>
      </c>
      <c r="H1281" s="41" t="inlineStr">
        <is>
          <t>202407</t>
        </is>
      </c>
      <c r="I1281" s="41" t="inlineStr">
        <is>
          <t>25</t>
        </is>
      </c>
      <c r="J1281" s="41" t="inlineStr">
        <is>
          <t>192,000</t>
        </is>
      </c>
      <c r="K1281" s="41" t="inlineStr">
        <is>
          <t>102</t>
        </is>
      </c>
      <c r="L1281" s="41" t="inlineStr">
        <is>
          <t>11</t>
        </is>
      </c>
      <c r="M1281" s="42" t="inlineStr">
        <is>
          <t>개인</t>
        </is>
      </c>
      <c r="N1281" s="42" t="inlineStr">
        <is>
          <t>개인</t>
        </is>
      </c>
      <c r="O1281" s="41" t="inlineStr">
        <is>
          <t>2006</t>
        </is>
      </c>
      <c r="P1281" s="42" t="inlineStr">
        <is>
          <t>사임당로17길 80</t>
        </is>
      </c>
      <c r="Q1281" s="41" t="inlineStr">
        <is>
          <t>-</t>
        </is>
      </c>
      <c r="R1281" s="42" t="inlineStr">
        <is>
          <t>중개거래</t>
        </is>
      </c>
      <c r="S1281" s="42" t="inlineStr">
        <is>
          <t>서울 서초구</t>
        </is>
      </c>
      <c r="T1281" s="41" t="inlineStr">
        <is>
          <t>24.10.28</t>
        </is>
      </c>
      <c r="U1281" s="42" t="inlineStr">
        <is>
          <t>아파트</t>
        </is>
      </c>
    </row>
    <row r="1282" hidden="1" ht="14.25" customHeight="1">
      <c r="A1282" s="41" t="n">
        <v>749</v>
      </c>
      <c r="B1282" s="42" t="inlineStr">
        <is>
          <t>서울특별시 서초구 서초동</t>
        </is>
      </c>
      <c r="C1282" s="41" t="inlineStr">
        <is>
          <t>1326</t>
        </is>
      </c>
      <c r="D1282" s="41" t="inlineStr">
        <is>
          <t>1326</t>
        </is>
      </c>
      <c r="E1282" s="41" t="inlineStr">
        <is>
          <t>0000</t>
        </is>
      </c>
      <c r="F1282" s="42" t="inlineStr">
        <is>
          <t>삼성서초가든스위트</t>
        </is>
      </c>
      <c r="G1282" s="41" t="inlineStr">
        <is>
          <t>197.7900</t>
        </is>
      </c>
      <c r="H1282" s="41" t="inlineStr">
        <is>
          <t>202407</t>
        </is>
      </c>
      <c r="I1282" s="41" t="inlineStr">
        <is>
          <t>24</t>
        </is>
      </c>
      <c r="J1282" s="41" t="inlineStr">
        <is>
          <t>400,000</t>
        </is>
      </c>
      <c r="K1282" s="41" t="inlineStr">
        <is>
          <t>2</t>
        </is>
      </c>
      <c r="L1282" s="41" t="inlineStr">
        <is>
          <t>12</t>
        </is>
      </c>
      <c r="M1282" s="42" t="inlineStr">
        <is>
          <t>개인</t>
        </is>
      </c>
      <c r="N1282" s="42" t="inlineStr">
        <is>
          <t>개인</t>
        </is>
      </c>
      <c r="O1282" s="41" t="inlineStr">
        <is>
          <t>2000</t>
        </is>
      </c>
      <c r="P1282" s="42" t="inlineStr">
        <is>
          <t>서운로 122</t>
        </is>
      </c>
      <c r="Q1282" s="41" t="inlineStr">
        <is>
          <t>-</t>
        </is>
      </c>
      <c r="R1282" s="42" t="inlineStr">
        <is>
          <t>중개거래</t>
        </is>
      </c>
      <c r="S1282" s="42" t="inlineStr">
        <is>
          <t>서울 서초구</t>
        </is>
      </c>
      <c r="T1282" s="41" t="inlineStr">
        <is>
          <t>24.11.04</t>
        </is>
      </c>
      <c r="U1282" s="42" t="inlineStr">
        <is>
          <t>아파트</t>
        </is>
      </c>
    </row>
    <row r="1283" hidden="1" ht="14.25" customHeight="1">
      <c r="A1283" s="41" t="n">
        <v>750</v>
      </c>
      <c r="B1283" s="42" t="inlineStr">
        <is>
          <t>서울특별시 서초구 서초동</t>
        </is>
      </c>
      <c r="C1283" s="41" t="inlineStr">
        <is>
          <t>1445-13</t>
        </is>
      </c>
      <c r="D1283" s="41" t="inlineStr">
        <is>
          <t>1445</t>
        </is>
      </c>
      <c r="E1283" s="41" t="inlineStr">
        <is>
          <t>0013</t>
        </is>
      </c>
      <c r="F1283" s="42" t="inlineStr">
        <is>
          <t>서초쌍용플래티넘</t>
        </is>
      </c>
      <c r="G1283" s="41" t="inlineStr">
        <is>
          <t>68.2100</t>
        </is>
      </c>
      <c r="H1283" s="41" t="inlineStr">
        <is>
          <t>202407</t>
        </is>
      </c>
      <c r="I1283" s="41" t="inlineStr">
        <is>
          <t>24</t>
        </is>
      </c>
      <c r="J1283" s="41" t="inlineStr">
        <is>
          <t>90,000</t>
        </is>
      </c>
      <c r="K1283" s="42" t="inlineStr">
        <is>
          <t>서초쌍용플래티넘</t>
        </is>
      </c>
      <c r="L1283" s="41" t="inlineStr">
        <is>
          <t>12</t>
        </is>
      </c>
      <c r="M1283" s="42" t="inlineStr">
        <is>
          <t>개인</t>
        </is>
      </c>
      <c r="N1283" s="42" t="inlineStr">
        <is>
          <t>개인</t>
        </is>
      </c>
      <c r="O1283" s="41" t="inlineStr">
        <is>
          <t>2006</t>
        </is>
      </c>
      <c r="P1283" s="42" t="inlineStr">
        <is>
          <t>서초중앙로 18</t>
        </is>
      </c>
      <c r="Q1283" s="41" t="inlineStr">
        <is>
          <t>-</t>
        </is>
      </c>
      <c r="R1283" s="42" t="inlineStr">
        <is>
          <t>중개거래</t>
        </is>
      </c>
      <c r="S1283" s="42" t="inlineStr">
        <is>
          <t>서울 서초구</t>
        </is>
      </c>
      <c r="T1283" s="41" t="inlineStr">
        <is>
          <t>24.10.17</t>
        </is>
      </c>
      <c r="U1283" s="42" t="inlineStr">
        <is>
          <t>아파트</t>
        </is>
      </c>
    </row>
    <row r="1284" hidden="1" ht="14.25" customHeight="1">
      <c r="A1284" s="41" t="n">
        <v>751</v>
      </c>
      <c r="B1284" s="42" t="inlineStr">
        <is>
          <t>서울특별시 서초구 서초동</t>
        </is>
      </c>
      <c r="C1284" s="41" t="inlineStr">
        <is>
          <t>1326-17</t>
        </is>
      </c>
      <c r="D1284" s="41" t="inlineStr">
        <is>
          <t>1326</t>
        </is>
      </c>
      <c r="E1284" s="41" t="inlineStr">
        <is>
          <t>0017</t>
        </is>
      </c>
      <c r="F1284" s="42" t="inlineStr">
        <is>
          <t>우성아파트</t>
        </is>
      </c>
      <c r="G1284" s="41" t="inlineStr">
        <is>
          <t>76.6700</t>
        </is>
      </c>
      <c r="H1284" s="41" t="inlineStr">
        <is>
          <t>202407</t>
        </is>
      </c>
      <c r="I1284" s="41" t="inlineStr">
        <is>
          <t>23</t>
        </is>
      </c>
      <c r="J1284" s="41" t="inlineStr">
        <is>
          <t>197,000</t>
        </is>
      </c>
      <c r="K1284" s="41" t="inlineStr">
        <is>
          <t>501</t>
        </is>
      </c>
      <c r="L1284" s="41" t="inlineStr">
        <is>
          <t>13</t>
        </is>
      </c>
      <c r="M1284" s="42" t="inlineStr">
        <is>
          <t>개인</t>
        </is>
      </c>
      <c r="N1284" s="42" t="inlineStr">
        <is>
          <t>개인</t>
        </is>
      </c>
      <c r="O1284" s="41" t="inlineStr">
        <is>
          <t>1998</t>
        </is>
      </c>
      <c r="P1284" s="42" t="inlineStr">
        <is>
          <t>서초대로74길 30</t>
        </is>
      </c>
      <c r="Q1284" s="41" t="inlineStr">
        <is>
          <t>-</t>
        </is>
      </c>
      <c r="R1284" s="42" t="inlineStr">
        <is>
          <t>중개거래</t>
        </is>
      </c>
      <c r="S1284" s="42" t="inlineStr">
        <is>
          <t>서울 강남구</t>
        </is>
      </c>
      <c r="T1284" s="41" t="inlineStr">
        <is>
          <t>24.11.29</t>
        </is>
      </c>
      <c r="U1284" s="42" t="inlineStr">
        <is>
          <t>아파트</t>
        </is>
      </c>
    </row>
    <row r="1285" hidden="1" ht="14.25" customHeight="1">
      <c r="A1285" s="41" t="n">
        <v>752</v>
      </c>
      <c r="B1285" s="42" t="inlineStr">
        <is>
          <t>서울특별시 서초구 서초동</t>
        </is>
      </c>
      <c r="C1285" s="41" t="inlineStr">
        <is>
          <t>1682</t>
        </is>
      </c>
      <c r="D1285" s="41" t="inlineStr">
        <is>
          <t>1682</t>
        </is>
      </c>
      <c r="E1285" s="41" t="inlineStr">
        <is>
          <t>0000</t>
        </is>
      </c>
      <c r="F1285" s="42" t="inlineStr">
        <is>
          <t>서초래미안</t>
        </is>
      </c>
      <c r="G1285" s="41" t="inlineStr">
        <is>
          <t>111.3200</t>
        </is>
      </c>
      <c r="H1285" s="41" t="inlineStr">
        <is>
          <t>202407</t>
        </is>
      </c>
      <c r="I1285" s="41" t="inlineStr">
        <is>
          <t>23</t>
        </is>
      </c>
      <c r="J1285" s="41" t="inlineStr">
        <is>
          <t>261,000</t>
        </is>
      </c>
      <c r="K1285" s="41" t="inlineStr">
        <is>
          <t>108</t>
        </is>
      </c>
      <c r="L1285" s="41" t="inlineStr">
        <is>
          <t>7</t>
        </is>
      </c>
      <c r="M1285" s="42" t="inlineStr">
        <is>
          <t>개인</t>
        </is>
      </c>
      <c r="N1285" s="42" t="inlineStr">
        <is>
          <t>개인</t>
        </is>
      </c>
      <c r="O1285" s="41" t="inlineStr">
        <is>
          <t>2003</t>
        </is>
      </c>
      <c r="P1285" s="42" t="inlineStr">
        <is>
          <t>서초대로65길 13-10</t>
        </is>
      </c>
      <c r="Q1285" s="41" t="inlineStr">
        <is>
          <t>-</t>
        </is>
      </c>
      <c r="R1285" s="42" t="inlineStr">
        <is>
          <t>중개거래</t>
        </is>
      </c>
      <c r="S1285" s="42" t="inlineStr">
        <is>
          <t>서울 서초구</t>
        </is>
      </c>
      <c r="T1285" s="41" t="inlineStr">
        <is>
          <t>24.12.30</t>
        </is>
      </c>
      <c r="U1285" s="42" t="inlineStr">
        <is>
          <t>아파트</t>
        </is>
      </c>
    </row>
    <row r="1286" hidden="1" ht="14.25" customHeight="1">
      <c r="A1286" s="41" t="n">
        <v>753</v>
      </c>
      <c r="B1286" s="42" t="inlineStr">
        <is>
          <t>서울특별시 서초구 서초동</t>
        </is>
      </c>
      <c r="C1286" s="41" t="inlineStr">
        <is>
          <t>1685</t>
        </is>
      </c>
      <c r="D1286" s="41" t="inlineStr">
        <is>
          <t>1685</t>
        </is>
      </c>
      <c r="E1286" s="41" t="inlineStr">
        <is>
          <t>0000</t>
        </is>
      </c>
      <c r="F1286" s="42" t="inlineStr">
        <is>
          <t>삼풍아파트</t>
        </is>
      </c>
      <c r="G1286" s="41" t="inlineStr">
        <is>
          <t>130.7300</t>
        </is>
      </c>
      <c r="H1286" s="41" t="inlineStr">
        <is>
          <t>202407</t>
        </is>
      </c>
      <c r="I1286" s="41" t="inlineStr">
        <is>
          <t>23</t>
        </is>
      </c>
      <c r="J1286" s="41" t="inlineStr">
        <is>
          <t>349,000</t>
        </is>
      </c>
      <c r="K1286" s="41" t="inlineStr">
        <is>
          <t>19</t>
        </is>
      </c>
      <c r="L1286" s="41" t="inlineStr">
        <is>
          <t>12</t>
        </is>
      </c>
      <c r="M1286" s="42" t="inlineStr">
        <is>
          <t>개인</t>
        </is>
      </c>
      <c r="N1286" s="42" t="inlineStr">
        <is>
          <t>개인</t>
        </is>
      </c>
      <c r="O1286" s="41" t="inlineStr">
        <is>
          <t>1988</t>
        </is>
      </c>
      <c r="P1286" s="42" t="inlineStr">
        <is>
          <t>서초중앙로 200</t>
        </is>
      </c>
      <c r="Q1286" s="41" t="inlineStr">
        <is>
          <t>-</t>
        </is>
      </c>
      <c r="R1286" s="42" t="inlineStr">
        <is>
          <t>중개거래</t>
        </is>
      </c>
      <c r="S1286" s="42" t="inlineStr">
        <is>
          <t>서울 서초구</t>
        </is>
      </c>
      <c r="T1286" s="41" t="inlineStr">
        <is>
          <t>24.12.02</t>
        </is>
      </c>
      <c r="U1286" s="42" t="inlineStr">
        <is>
          <t>아파트</t>
        </is>
      </c>
    </row>
    <row r="1287" hidden="1" ht="14.25" customHeight="1">
      <c r="A1287" s="41" t="n">
        <v>754</v>
      </c>
      <c r="B1287" s="42" t="inlineStr">
        <is>
          <t>서울특별시 서초구 서초동</t>
        </is>
      </c>
      <c r="C1287" s="41" t="inlineStr">
        <is>
          <t>1510-15</t>
        </is>
      </c>
      <c r="D1287" s="41" t="inlineStr">
        <is>
          <t>1510</t>
        </is>
      </c>
      <c r="E1287" s="41" t="inlineStr">
        <is>
          <t>0015</t>
        </is>
      </c>
      <c r="F1287" s="42" t="inlineStr">
        <is>
          <t>서초화원그랑빌</t>
        </is>
      </c>
      <c r="G1287" s="41" t="inlineStr">
        <is>
          <t>78.9400</t>
        </is>
      </c>
      <c r="H1287" s="41" t="inlineStr">
        <is>
          <t>202407</t>
        </is>
      </c>
      <c r="I1287" s="41" t="inlineStr">
        <is>
          <t>22</t>
        </is>
      </c>
      <c r="J1287" s="41" t="inlineStr">
        <is>
          <t>104,000</t>
        </is>
      </c>
      <c r="K1287" s="41" t="inlineStr">
        <is>
          <t>-</t>
        </is>
      </c>
      <c r="L1287" s="41" t="inlineStr">
        <is>
          <t>2</t>
        </is>
      </c>
      <c r="M1287" s="42" t="inlineStr">
        <is>
          <t>개인</t>
        </is>
      </c>
      <c r="N1287" s="42" t="inlineStr">
        <is>
          <t>개인</t>
        </is>
      </c>
      <c r="O1287" s="41" t="inlineStr">
        <is>
          <t>2002</t>
        </is>
      </c>
      <c r="P1287" s="42" t="inlineStr">
        <is>
          <t>반포대로21길 27</t>
        </is>
      </c>
      <c r="Q1287" s="41" t="inlineStr">
        <is>
          <t>-</t>
        </is>
      </c>
      <c r="R1287" s="42" t="inlineStr">
        <is>
          <t>중개거래</t>
        </is>
      </c>
      <c r="S1287" s="42" t="inlineStr">
        <is>
          <t>서울 서초구</t>
        </is>
      </c>
      <c r="T1287" s="41" t="inlineStr">
        <is>
          <t>24.11.13</t>
        </is>
      </c>
      <c r="U1287" s="42" t="inlineStr">
        <is>
          <t>아파트</t>
        </is>
      </c>
    </row>
    <row r="1288" hidden="1" ht="14.25" customHeight="1">
      <c r="A1288" s="41" t="n">
        <v>755</v>
      </c>
      <c r="B1288" s="42" t="inlineStr">
        <is>
          <t>서울특별시 서초구 서초동</t>
        </is>
      </c>
      <c r="C1288" s="41" t="inlineStr">
        <is>
          <t>1755</t>
        </is>
      </c>
      <c r="D1288" s="41" t="inlineStr">
        <is>
          <t>1755</t>
        </is>
      </c>
      <c r="E1288" s="41" t="inlineStr">
        <is>
          <t>0000</t>
        </is>
      </c>
      <c r="F1288" s="42" t="inlineStr">
        <is>
          <t>래미안 리더스원</t>
        </is>
      </c>
      <c r="G1288" s="41" t="inlineStr">
        <is>
          <t>84.9400</t>
        </is>
      </c>
      <c r="H1288" s="41" t="inlineStr">
        <is>
          <t>202407</t>
        </is>
      </c>
      <c r="I1288" s="41" t="inlineStr">
        <is>
          <t>22</t>
        </is>
      </c>
      <c r="J1288" s="41" t="inlineStr">
        <is>
          <t>312,000</t>
        </is>
      </c>
      <c r="K1288" s="41" t="inlineStr">
        <is>
          <t>105동</t>
        </is>
      </c>
      <c r="L1288" s="41" t="inlineStr">
        <is>
          <t>26</t>
        </is>
      </c>
      <c r="M1288" s="42" t="inlineStr">
        <is>
          <t>개인</t>
        </is>
      </c>
      <c r="N1288" s="42" t="inlineStr">
        <is>
          <t>개인</t>
        </is>
      </c>
      <c r="O1288" s="41" t="inlineStr">
        <is>
          <t>2020</t>
        </is>
      </c>
      <c r="P1288" s="42" t="inlineStr">
        <is>
          <t>서운로 62</t>
        </is>
      </c>
      <c r="Q1288" s="41" t="inlineStr">
        <is>
          <t>-</t>
        </is>
      </c>
      <c r="R1288" s="42" t="inlineStr">
        <is>
          <t>중개거래</t>
        </is>
      </c>
      <c r="S1288" s="42" t="inlineStr">
        <is>
          <t>서울 서초구</t>
        </is>
      </c>
      <c r="T1288" s="41" t="inlineStr">
        <is>
          <t>24.11.29</t>
        </is>
      </c>
      <c r="U1288" s="42" t="inlineStr">
        <is>
          <t>아파트</t>
        </is>
      </c>
    </row>
    <row r="1289" hidden="1" ht="14.25" customHeight="1">
      <c r="A1289" s="41" t="n">
        <v>756</v>
      </c>
      <c r="B1289" s="42" t="inlineStr">
        <is>
          <t>서울특별시 서초구 서초동</t>
        </is>
      </c>
      <c r="C1289" s="41" t="inlineStr">
        <is>
          <t>1582-3</t>
        </is>
      </c>
      <c r="D1289" s="41" t="inlineStr">
        <is>
          <t>1582</t>
        </is>
      </c>
      <c r="E1289" s="41" t="inlineStr">
        <is>
          <t>0003</t>
        </is>
      </c>
      <c r="F1289" s="42" t="inlineStr">
        <is>
          <t>서초센트럴IPARK</t>
        </is>
      </c>
      <c r="G1289" s="41" t="inlineStr">
        <is>
          <t>80.5004</t>
        </is>
      </c>
      <c r="H1289" s="41" t="inlineStr">
        <is>
          <t>202407</t>
        </is>
      </c>
      <c r="I1289" s="41" t="inlineStr">
        <is>
          <t>21</t>
        </is>
      </c>
      <c r="J1289" s="41" t="inlineStr">
        <is>
          <t>172,000</t>
        </is>
      </c>
      <c r="K1289" s="41" t="inlineStr">
        <is>
          <t>102동</t>
        </is>
      </c>
      <c r="L1289" s="41" t="inlineStr">
        <is>
          <t>15</t>
        </is>
      </c>
      <c r="M1289" s="42" t="inlineStr">
        <is>
          <t>개인</t>
        </is>
      </c>
      <c r="N1289" s="42" t="inlineStr">
        <is>
          <t>개인</t>
        </is>
      </c>
      <c r="O1289" s="41" t="inlineStr">
        <is>
          <t>2020</t>
        </is>
      </c>
      <c r="P1289" s="42" t="inlineStr">
        <is>
          <t>반포대로18길 36</t>
        </is>
      </c>
      <c r="Q1289" s="41" t="inlineStr">
        <is>
          <t>-</t>
        </is>
      </c>
      <c r="R1289" s="42" t="inlineStr">
        <is>
          <t>중개거래</t>
        </is>
      </c>
      <c r="S1289" s="42" t="inlineStr">
        <is>
          <t>서울 강남구, 서울 서초구</t>
        </is>
      </c>
      <c r="T1289" s="41" t="inlineStr">
        <is>
          <t>24.10.30</t>
        </is>
      </c>
      <c r="U1289" s="42" t="inlineStr">
        <is>
          <t>아파트</t>
        </is>
      </c>
    </row>
    <row r="1290" hidden="1" ht="14.25" customHeight="1">
      <c r="A1290" s="41" t="n">
        <v>757</v>
      </c>
      <c r="B1290" s="42" t="inlineStr">
        <is>
          <t>서울특별시 서초구 서초동</t>
        </is>
      </c>
      <c r="C1290" s="41" t="inlineStr">
        <is>
          <t>1326-17</t>
        </is>
      </c>
      <c r="D1290" s="41" t="inlineStr">
        <is>
          <t>1326</t>
        </is>
      </c>
      <c r="E1290" s="41" t="inlineStr">
        <is>
          <t>0017</t>
        </is>
      </c>
      <c r="F1290" s="42" t="inlineStr">
        <is>
          <t>우성아파트</t>
        </is>
      </c>
      <c r="G1290" s="41" t="inlineStr">
        <is>
          <t>59.9300</t>
        </is>
      </c>
      <c r="H1290" s="41" t="inlineStr">
        <is>
          <t>202407</t>
        </is>
      </c>
      <c r="I1290" s="41" t="inlineStr">
        <is>
          <t>21</t>
        </is>
      </c>
      <c r="J1290" s="41" t="inlineStr">
        <is>
          <t>163,000</t>
        </is>
      </c>
      <c r="K1290" s="41" t="inlineStr">
        <is>
          <t>501</t>
        </is>
      </c>
      <c r="L1290" s="41" t="inlineStr">
        <is>
          <t>17</t>
        </is>
      </c>
      <c r="M1290" s="42" t="inlineStr">
        <is>
          <t>개인</t>
        </is>
      </c>
      <c r="N1290" s="42" t="inlineStr">
        <is>
          <t>개인</t>
        </is>
      </c>
      <c r="O1290" s="41" t="inlineStr">
        <is>
          <t>1998</t>
        </is>
      </c>
      <c r="P1290" s="42" t="inlineStr">
        <is>
          <t>서초대로74길 30</t>
        </is>
      </c>
      <c r="Q1290" s="41" t="inlineStr">
        <is>
          <t>-</t>
        </is>
      </c>
      <c r="R1290" s="42" t="inlineStr">
        <is>
          <t>중개거래</t>
        </is>
      </c>
      <c r="S1290" s="42" t="inlineStr">
        <is>
          <t>서울 서초구</t>
        </is>
      </c>
      <c r="T1290" s="41" t="inlineStr">
        <is>
          <t>24.11.15</t>
        </is>
      </c>
      <c r="U1290" s="42" t="inlineStr">
        <is>
          <t>아파트</t>
        </is>
      </c>
    </row>
    <row r="1291" hidden="1" ht="14.25" customHeight="1">
      <c r="A1291" s="41" t="n">
        <v>758</v>
      </c>
      <c r="B1291" s="42" t="inlineStr">
        <is>
          <t>서울특별시 서초구 서초동</t>
        </is>
      </c>
      <c r="C1291" s="41" t="inlineStr">
        <is>
          <t>1311-10</t>
        </is>
      </c>
      <c r="D1291" s="41" t="inlineStr">
        <is>
          <t>1311</t>
        </is>
      </c>
      <c r="E1291" s="41" t="inlineStr">
        <is>
          <t>0010</t>
        </is>
      </c>
      <c r="F1291" s="42" t="inlineStr">
        <is>
          <t>서초푸르지오써밋</t>
        </is>
      </c>
      <c r="G1291" s="41" t="inlineStr">
        <is>
          <t>84.9300</t>
        </is>
      </c>
      <c r="H1291" s="41" t="inlineStr">
        <is>
          <t>202407</t>
        </is>
      </c>
      <c r="I1291" s="41" t="inlineStr">
        <is>
          <t>21</t>
        </is>
      </c>
      <c r="J1291" s="41" t="inlineStr">
        <is>
          <t>294,000</t>
        </is>
      </c>
      <c r="K1291" s="41" t="inlineStr">
        <is>
          <t>104</t>
        </is>
      </c>
      <c r="L1291" s="41" t="inlineStr">
        <is>
          <t>3</t>
        </is>
      </c>
      <c r="M1291" s="42" t="inlineStr">
        <is>
          <t>개인</t>
        </is>
      </c>
      <c r="N1291" s="42" t="inlineStr">
        <is>
          <t>개인</t>
        </is>
      </c>
      <c r="O1291" s="41" t="inlineStr">
        <is>
          <t>2017</t>
        </is>
      </c>
      <c r="P1291" s="42" t="inlineStr">
        <is>
          <t>서운로 201</t>
        </is>
      </c>
      <c r="Q1291" s="41" t="inlineStr">
        <is>
          <t>-</t>
        </is>
      </c>
      <c r="R1291" s="42" t="inlineStr">
        <is>
          <t>중개거래</t>
        </is>
      </c>
      <c r="S1291" s="42" t="inlineStr">
        <is>
          <t>서울 서초구</t>
        </is>
      </c>
      <c r="T1291" s="41" t="inlineStr">
        <is>
          <t>24.10.28</t>
        </is>
      </c>
      <c r="U1291" s="42" t="inlineStr">
        <is>
          <t>아파트</t>
        </is>
      </c>
    </row>
    <row r="1292" hidden="1" ht="14.25" customHeight="1">
      <c r="A1292" s="41" t="n">
        <v>759</v>
      </c>
      <c r="B1292" s="42" t="inlineStr">
        <is>
          <t>서울특별시 서초구 서초동</t>
        </is>
      </c>
      <c r="C1292" s="41" t="inlineStr">
        <is>
          <t>1641-1</t>
        </is>
      </c>
      <c r="D1292" s="41" t="inlineStr">
        <is>
          <t>1641</t>
        </is>
      </c>
      <c r="E1292" s="41" t="inlineStr">
        <is>
          <t>0001</t>
        </is>
      </c>
      <c r="F1292" s="42" t="inlineStr">
        <is>
          <t>서초삼성래미안</t>
        </is>
      </c>
      <c r="G1292" s="41" t="inlineStr">
        <is>
          <t>84.9700</t>
        </is>
      </c>
      <c r="H1292" s="41" t="inlineStr">
        <is>
          <t>202407</t>
        </is>
      </c>
      <c r="I1292" s="41" t="inlineStr">
        <is>
          <t>20</t>
        </is>
      </c>
      <c r="J1292" s="41" t="inlineStr">
        <is>
          <t>187,500</t>
        </is>
      </c>
      <c r="K1292" s="41" t="inlineStr">
        <is>
          <t>103</t>
        </is>
      </c>
      <c r="L1292" s="41" t="inlineStr">
        <is>
          <t>9</t>
        </is>
      </c>
      <c r="M1292" s="42" t="inlineStr">
        <is>
          <t>개인</t>
        </is>
      </c>
      <c r="N1292" s="42" t="inlineStr">
        <is>
          <t>개인</t>
        </is>
      </c>
      <c r="O1292" s="41" t="inlineStr">
        <is>
          <t>2001</t>
        </is>
      </c>
      <c r="P1292" s="42" t="inlineStr">
        <is>
          <t>사임당로17길 116</t>
        </is>
      </c>
      <c r="Q1292" s="41" t="inlineStr">
        <is>
          <t>-</t>
        </is>
      </c>
      <c r="R1292" s="42" t="inlineStr">
        <is>
          <t>중개거래</t>
        </is>
      </c>
      <c r="S1292" s="42" t="inlineStr">
        <is>
          <t>서울 강남구, 서울 서초구</t>
        </is>
      </c>
      <c r="T1292" s="41" t="inlineStr">
        <is>
          <t>24.10.07</t>
        </is>
      </c>
      <c r="U1292" s="42" t="inlineStr">
        <is>
          <t>아파트</t>
        </is>
      </c>
    </row>
    <row r="1293" hidden="1" ht="14.25" customHeight="1">
      <c r="A1293" s="41" t="n">
        <v>760</v>
      </c>
      <c r="B1293" s="42" t="inlineStr">
        <is>
          <t>서울특별시 서초구 서초동</t>
        </is>
      </c>
      <c r="C1293" s="41" t="inlineStr">
        <is>
          <t>1330</t>
        </is>
      </c>
      <c r="D1293" s="41" t="inlineStr">
        <is>
          <t>1330</t>
        </is>
      </c>
      <c r="E1293" s="41" t="inlineStr">
        <is>
          <t>0000</t>
        </is>
      </c>
      <c r="F1293" s="42" t="inlineStr">
        <is>
          <t>서초동삼성쉐르빌2</t>
        </is>
      </c>
      <c r="G1293" s="41" t="inlineStr">
        <is>
          <t>70.4900</t>
        </is>
      </c>
      <c r="H1293" s="41" t="inlineStr">
        <is>
          <t>202407</t>
        </is>
      </c>
      <c r="I1293" s="41" t="inlineStr">
        <is>
          <t>20</t>
        </is>
      </c>
      <c r="J1293" s="41" t="inlineStr">
        <is>
          <t>94,500</t>
        </is>
      </c>
      <c r="K1293" s="41" t="inlineStr">
        <is>
          <t>-</t>
        </is>
      </c>
      <c r="L1293" s="41" t="inlineStr">
        <is>
          <t>9</t>
        </is>
      </c>
      <c r="M1293" s="42" t="inlineStr">
        <is>
          <t>개인</t>
        </is>
      </c>
      <c r="N1293" s="42" t="inlineStr">
        <is>
          <t>개인</t>
        </is>
      </c>
      <c r="O1293" s="41" t="inlineStr">
        <is>
          <t>2002</t>
        </is>
      </c>
      <c r="P1293" s="42" t="inlineStr">
        <is>
          <t>강남대로53길 11</t>
        </is>
      </c>
      <c r="Q1293" s="41" t="inlineStr">
        <is>
          <t>-</t>
        </is>
      </c>
      <c r="R1293" s="42" t="inlineStr">
        <is>
          <t>중개거래</t>
        </is>
      </c>
      <c r="S1293" s="42" t="inlineStr">
        <is>
          <t>서울 강남구</t>
        </is>
      </c>
      <c r="T1293" s="41" t="inlineStr">
        <is>
          <t>24.10.24</t>
        </is>
      </c>
      <c r="U1293" s="42" t="inlineStr">
        <is>
          <t>아파트</t>
        </is>
      </c>
    </row>
    <row r="1294" hidden="1" ht="14.25" customHeight="1">
      <c r="A1294" s="41" t="n">
        <v>761</v>
      </c>
      <c r="B1294" s="42" t="inlineStr">
        <is>
          <t>서울특별시 서초구 서초동</t>
        </is>
      </c>
      <c r="C1294" s="41" t="inlineStr">
        <is>
          <t>1334-1</t>
        </is>
      </c>
      <c r="D1294" s="41" t="inlineStr">
        <is>
          <t>1334</t>
        </is>
      </c>
      <c r="E1294" s="41" t="inlineStr">
        <is>
          <t>0001</t>
        </is>
      </c>
      <c r="F1294" s="42" t="inlineStr">
        <is>
          <t>신동아아파트(2차)</t>
        </is>
      </c>
      <c r="G1294" s="41" t="inlineStr">
        <is>
          <t>166.1000</t>
        </is>
      </c>
      <c r="H1294" s="41" t="inlineStr">
        <is>
          <t>202407</t>
        </is>
      </c>
      <c r="I1294" s="41" t="inlineStr">
        <is>
          <t>20</t>
        </is>
      </c>
      <c r="J1294" s="41" t="inlineStr">
        <is>
          <t>328,000</t>
        </is>
      </c>
      <c r="K1294" s="41" t="inlineStr">
        <is>
          <t>8</t>
        </is>
      </c>
      <c r="L1294" s="41" t="inlineStr">
        <is>
          <t>11</t>
        </is>
      </c>
      <c r="M1294" s="42" t="inlineStr">
        <is>
          <t>개인</t>
        </is>
      </c>
      <c r="N1294" s="42" t="inlineStr">
        <is>
          <t>개인</t>
        </is>
      </c>
      <c r="O1294" s="41" t="inlineStr">
        <is>
          <t>1979</t>
        </is>
      </c>
      <c r="P1294" s="42" t="inlineStr">
        <is>
          <t>사임당로 130</t>
        </is>
      </c>
      <c r="Q1294" s="41" t="inlineStr">
        <is>
          <t>-</t>
        </is>
      </c>
      <c r="R1294" s="42" t="inlineStr">
        <is>
          <t>중개거래</t>
        </is>
      </c>
      <c r="S1294" s="42" t="inlineStr">
        <is>
          <t>서울 서초구</t>
        </is>
      </c>
      <c r="T1294" s="41" t="inlineStr">
        <is>
          <t>24.09.24</t>
        </is>
      </c>
      <c r="U1294" s="42" t="inlineStr">
        <is>
          <t>아파트</t>
        </is>
      </c>
    </row>
    <row r="1295" hidden="1" ht="14.25" customHeight="1">
      <c r="A1295" s="41" t="n">
        <v>762</v>
      </c>
      <c r="B1295" s="42" t="inlineStr">
        <is>
          <t>서울특별시 서초구 서초동</t>
        </is>
      </c>
      <c r="C1295" s="41" t="inlineStr">
        <is>
          <t>1685</t>
        </is>
      </c>
      <c r="D1295" s="41" t="inlineStr">
        <is>
          <t>1685</t>
        </is>
      </c>
      <c r="E1295" s="41" t="inlineStr">
        <is>
          <t>0000</t>
        </is>
      </c>
      <c r="F1295" s="42" t="inlineStr">
        <is>
          <t>삼풍아파트</t>
        </is>
      </c>
      <c r="G1295" s="41" t="inlineStr">
        <is>
          <t>79.4700</t>
        </is>
      </c>
      <c r="H1295" s="41" t="inlineStr">
        <is>
          <t>202407</t>
        </is>
      </c>
      <c r="I1295" s="41" t="inlineStr">
        <is>
          <t>20</t>
        </is>
      </c>
      <c r="J1295" s="41" t="inlineStr">
        <is>
          <t>250,000</t>
        </is>
      </c>
      <c r="K1295" s="41" t="inlineStr">
        <is>
          <t>6</t>
        </is>
      </c>
      <c r="L1295" s="41" t="inlineStr">
        <is>
          <t>4</t>
        </is>
      </c>
      <c r="M1295" s="42" t="inlineStr">
        <is>
          <t>개인</t>
        </is>
      </c>
      <c r="N1295" s="42" t="inlineStr">
        <is>
          <t>개인</t>
        </is>
      </c>
      <c r="O1295" s="41" t="inlineStr">
        <is>
          <t>1988</t>
        </is>
      </c>
      <c r="P1295" s="42" t="inlineStr">
        <is>
          <t>서초중앙로 200</t>
        </is>
      </c>
      <c r="Q1295" s="41" t="inlineStr">
        <is>
          <t>-</t>
        </is>
      </c>
      <c r="R1295" s="42" t="inlineStr">
        <is>
          <t>중개거래</t>
        </is>
      </c>
      <c r="S1295" s="42" t="inlineStr">
        <is>
          <t>서울 서초구</t>
        </is>
      </c>
      <c r="T1295" s="41" t="inlineStr">
        <is>
          <t>24.11.11</t>
        </is>
      </c>
      <c r="U1295" s="42" t="inlineStr">
        <is>
          <t>아파트</t>
        </is>
      </c>
    </row>
    <row r="1296" hidden="1" ht="14.25" customHeight="1">
      <c r="A1296" s="41" t="n">
        <v>763</v>
      </c>
      <c r="B1296" s="42" t="inlineStr">
        <is>
          <t>서울특별시 서초구 서초동</t>
        </is>
      </c>
      <c r="C1296" s="41" t="inlineStr">
        <is>
          <t>1685</t>
        </is>
      </c>
      <c r="D1296" s="41" t="inlineStr">
        <is>
          <t>1685</t>
        </is>
      </c>
      <c r="E1296" s="41" t="inlineStr">
        <is>
          <t>0000</t>
        </is>
      </c>
      <c r="F1296" s="42" t="inlineStr">
        <is>
          <t>삼풍아파트</t>
        </is>
      </c>
      <c r="G1296" s="41" t="inlineStr">
        <is>
          <t>163.8100</t>
        </is>
      </c>
      <c r="H1296" s="41" t="inlineStr">
        <is>
          <t>202407</t>
        </is>
      </c>
      <c r="I1296" s="41" t="inlineStr">
        <is>
          <t>20</t>
        </is>
      </c>
      <c r="J1296" s="41" t="inlineStr">
        <is>
          <t>398,000</t>
        </is>
      </c>
      <c r="K1296" s="41" t="inlineStr">
        <is>
          <t>23</t>
        </is>
      </c>
      <c r="L1296" s="41" t="inlineStr">
        <is>
          <t>10</t>
        </is>
      </c>
      <c r="M1296" s="42" t="inlineStr">
        <is>
          <t>개인</t>
        </is>
      </c>
      <c r="N1296" s="42" t="inlineStr">
        <is>
          <t>개인</t>
        </is>
      </c>
      <c r="O1296" s="41" t="inlineStr">
        <is>
          <t>1988</t>
        </is>
      </c>
      <c r="P1296" s="42" t="inlineStr">
        <is>
          <t>서초중앙로 200</t>
        </is>
      </c>
      <c r="Q1296" s="41" t="inlineStr">
        <is>
          <t>-</t>
        </is>
      </c>
      <c r="R1296" s="42" t="inlineStr">
        <is>
          <t>중개거래</t>
        </is>
      </c>
      <c r="S1296" s="42" t="inlineStr">
        <is>
          <t>서울 서초구</t>
        </is>
      </c>
      <c r="T1296" s="41" t="inlineStr">
        <is>
          <t>24.11.11</t>
        </is>
      </c>
      <c r="U1296" s="42" t="inlineStr">
        <is>
          <t>아파트</t>
        </is>
      </c>
    </row>
    <row r="1297" hidden="1" ht="14.25" customHeight="1">
      <c r="A1297" s="41" t="n">
        <v>764</v>
      </c>
      <c r="B1297" s="42" t="inlineStr">
        <is>
          <t>서울특별시 서초구 서초동</t>
        </is>
      </c>
      <c r="C1297" s="41" t="inlineStr">
        <is>
          <t>1311-10</t>
        </is>
      </c>
      <c r="D1297" s="41" t="inlineStr">
        <is>
          <t>1311</t>
        </is>
      </c>
      <c r="E1297" s="41" t="inlineStr">
        <is>
          <t>0010</t>
        </is>
      </c>
      <c r="F1297" s="42" t="inlineStr">
        <is>
          <t>서초푸르지오써밋</t>
        </is>
      </c>
      <c r="G1297" s="41" t="inlineStr">
        <is>
          <t>84.9300</t>
        </is>
      </c>
      <c r="H1297" s="41" t="inlineStr">
        <is>
          <t>202407</t>
        </is>
      </c>
      <c r="I1297" s="41" t="inlineStr">
        <is>
          <t>20</t>
        </is>
      </c>
      <c r="J1297" s="41" t="inlineStr">
        <is>
          <t>298,500</t>
        </is>
      </c>
      <c r="K1297" s="41" t="inlineStr">
        <is>
          <t>104</t>
        </is>
      </c>
      <c r="L1297" s="41" t="inlineStr">
        <is>
          <t>15</t>
        </is>
      </c>
      <c r="M1297" s="42" t="inlineStr">
        <is>
          <t>개인</t>
        </is>
      </c>
      <c r="N1297" s="42" t="inlineStr">
        <is>
          <t>개인</t>
        </is>
      </c>
      <c r="O1297" s="41" t="inlineStr">
        <is>
          <t>2017</t>
        </is>
      </c>
      <c r="P1297" s="42" t="inlineStr">
        <is>
          <t>서운로 201</t>
        </is>
      </c>
      <c r="Q1297" s="41" t="inlineStr">
        <is>
          <t>-</t>
        </is>
      </c>
      <c r="R1297" s="42" t="inlineStr">
        <is>
          <t>중개거래</t>
        </is>
      </c>
      <c r="S1297" s="42" t="inlineStr">
        <is>
          <t>서울 서초구</t>
        </is>
      </c>
      <c r="T1297" s="41" t="inlineStr">
        <is>
          <t>24.10.02</t>
        </is>
      </c>
      <c r="U1297" s="42" t="inlineStr">
        <is>
          <t>아파트</t>
        </is>
      </c>
    </row>
    <row r="1298" hidden="1" ht="14.25" customHeight="1">
      <c r="A1298" s="41" t="n">
        <v>765</v>
      </c>
      <c r="B1298" s="42" t="inlineStr">
        <is>
          <t>서울특별시 서초구 서초동</t>
        </is>
      </c>
      <c r="C1298" s="41" t="inlineStr">
        <is>
          <t>1337-22</t>
        </is>
      </c>
      <c r="D1298" s="41" t="inlineStr">
        <is>
          <t>1337</t>
        </is>
      </c>
      <c r="E1298" s="41" t="inlineStr">
        <is>
          <t>0022</t>
        </is>
      </c>
      <c r="F1298" s="42" t="inlineStr">
        <is>
          <t>서초동대우디오빌프라임</t>
        </is>
      </c>
      <c r="G1298" s="41" t="inlineStr">
        <is>
          <t>81.9700</t>
        </is>
      </c>
      <c r="H1298" s="41" t="inlineStr">
        <is>
          <t>202407</t>
        </is>
      </c>
      <c r="I1298" s="41" t="inlineStr">
        <is>
          <t>19</t>
        </is>
      </c>
      <c r="J1298" s="41" t="inlineStr">
        <is>
          <t>110,000</t>
        </is>
      </c>
      <c r="K1298" s="42" t="inlineStr">
        <is>
          <t>서초동대우디오빌프라임</t>
        </is>
      </c>
      <c r="L1298" s="41" t="inlineStr">
        <is>
          <t>15</t>
        </is>
      </c>
      <c r="M1298" s="42" t="inlineStr">
        <is>
          <t>개인</t>
        </is>
      </c>
      <c r="N1298" s="42" t="inlineStr">
        <is>
          <t>개인</t>
        </is>
      </c>
      <c r="O1298" s="41" t="inlineStr">
        <is>
          <t>2005</t>
        </is>
      </c>
      <c r="P1298" s="42" t="inlineStr">
        <is>
          <t>강남대로 321</t>
        </is>
      </c>
      <c r="Q1298" s="41" t="inlineStr">
        <is>
          <t>-</t>
        </is>
      </c>
      <c r="R1298" s="42" t="inlineStr">
        <is>
          <t>중개거래</t>
        </is>
      </c>
      <c r="S1298" s="42" t="inlineStr">
        <is>
          <t>서울 서초구</t>
        </is>
      </c>
      <c r="T1298" s="41" t="inlineStr">
        <is>
          <t>24.08.16</t>
        </is>
      </c>
      <c r="U1298" s="42" t="inlineStr">
        <is>
          <t>아파트</t>
        </is>
      </c>
    </row>
    <row r="1299" hidden="1" ht="14.25" customHeight="1">
      <c r="A1299" s="41" t="n">
        <v>766</v>
      </c>
      <c r="B1299" s="42" t="inlineStr">
        <is>
          <t>서울특별시 서초구 서초동</t>
        </is>
      </c>
      <c r="C1299" s="41" t="inlineStr">
        <is>
          <t>1315</t>
        </is>
      </c>
      <c r="D1299" s="41" t="inlineStr">
        <is>
          <t>1315</t>
        </is>
      </c>
      <c r="E1299" s="41" t="inlineStr">
        <is>
          <t>0000</t>
        </is>
      </c>
      <c r="F1299" s="42" t="inlineStr">
        <is>
          <t>진흥아파트</t>
        </is>
      </c>
      <c r="G1299" s="41" t="inlineStr">
        <is>
          <t>101.3200</t>
        </is>
      </c>
      <c r="H1299" s="41" t="inlineStr">
        <is>
          <t>202407</t>
        </is>
      </c>
      <c r="I1299" s="41" t="inlineStr">
        <is>
          <t>19</t>
        </is>
      </c>
      <c r="J1299" s="41" t="inlineStr">
        <is>
          <t>215,000</t>
        </is>
      </c>
      <c r="K1299" s="41" t="inlineStr">
        <is>
          <t>2</t>
        </is>
      </c>
      <c r="L1299" s="41" t="inlineStr">
        <is>
          <t>3</t>
        </is>
      </c>
      <c r="M1299" s="42" t="inlineStr">
        <is>
          <t>개인</t>
        </is>
      </c>
      <c r="N1299" s="42" t="inlineStr">
        <is>
          <t>개인</t>
        </is>
      </c>
      <c r="O1299" s="41" t="inlineStr">
        <is>
          <t>1979</t>
        </is>
      </c>
      <c r="P1299" s="42" t="inlineStr">
        <is>
          <t>서초대로 385</t>
        </is>
      </c>
      <c r="Q1299" s="41" t="inlineStr">
        <is>
          <t>-</t>
        </is>
      </c>
      <c r="R1299" s="42" t="inlineStr">
        <is>
          <t>중개거래</t>
        </is>
      </c>
      <c r="S1299" s="42" t="inlineStr">
        <is>
          <t>서울 서초구</t>
        </is>
      </c>
      <c r="T1299" s="41" t="inlineStr">
        <is>
          <t>24.09.24</t>
        </is>
      </c>
      <c r="U1299" s="42" t="inlineStr">
        <is>
          <t>아파트</t>
        </is>
      </c>
    </row>
    <row r="1300" hidden="1" ht="14.25" customHeight="1">
      <c r="A1300" s="41" t="n">
        <v>767</v>
      </c>
      <c r="B1300" s="42" t="inlineStr">
        <is>
          <t>서울특별시 서초구 서초동</t>
        </is>
      </c>
      <c r="C1300" s="41" t="inlineStr">
        <is>
          <t>1685</t>
        </is>
      </c>
      <c r="D1300" s="41" t="inlineStr">
        <is>
          <t>1685</t>
        </is>
      </c>
      <c r="E1300" s="41" t="inlineStr">
        <is>
          <t>0000</t>
        </is>
      </c>
      <c r="F1300" s="42" t="inlineStr">
        <is>
          <t>삼풍아파트</t>
        </is>
      </c>
      <c r="G1300" s="41" t="inlineStr">
        <is>
          <t>79.4700</t>
        </is>
      </c>
      <c r="H1300" s="41" t="inlineStr">
        <is>
          <t>202407</t>
        </is>
      </c>
      <c r="I1300" s="41" t="inlineStr">
        <is>
          <t>19</t>
        </is>
      </c>
      <c r="J1300" s="41" t="inlineStr">
        <is>
          <t>248,000</t>
        </is>
      </c>
      <c r="K1300" s="41" t="inlineStr">
        <is>
          <t>1</t>
        </is>
      </c>
      <c r="L1300" s="41" t="inlineStr">
        <is>
          <t>15</t>
        </is>
      </c>
      <c r="M1300" s="42" t="inlineStr">
        <is>
          <t>개인</t>
        </is>
      </c>
      <c r="N1300" s="42" t="inlineStr">
        <is>
          <t>개인</t>
        </is>
      </c>
      <c r="O1300" s="41" t="inlineStr">
        <is>
          <t>1988</t>
        </is>
      </c>
      <c r="P1300" s="42" t="inlineStr">
        <is>
          <t>서초중앙로 200</t>
        </is>
      </c>
      <c r="Q1300" s="41" t="inlineStr">
        <is>
          <t>-</t>
        </is>
      </c>
      <c r="R1300" s="42" t="inlineStr">
        <is>
          <t>중개거래</t>
        </is>
      </c>
      <c r="S1300" s="42" t="inlineStr">
        <is>
          <t>서울 서초구</t>
        </is>
      </c>
      <c r="T1300" s="41" t="inlineStr">
        <is>
          <t>24.11.26</t>
        </is>
      </c>
      <c r="U1300" s="42" t="inlineStr">
        <is>
          <t>아파트</t>
        </is>
      </c>
    </row>
    <row r="1301" hidden="1" ht="14.25" customHeight="1">
      <c r="A1301" s="41" t="n">
        <v>768</v>
      </c>
      <c r="B1301" s="42" t="inlineStr">
        <is>
          <t>서울특별시 서초구 서초동</t>
        </is>
      </c>
      <c r="C1301" s="41" t="inlineStr">
        <is>
          <t>1312-3</t>
        </is>
      </c>
      <c r="D1301" s="41" t="inlineStr">
        <is>
          <t>1312</t>
        </is>
      </c>
      <c r="E1301" s="41" t="inlineStr">
        <is>
          <t>0003</t>
        </is>
      </c>
      <c r="F1301" s="42" t="inlineStr">
        <is>
          <t>롯데캐슬클래식</t>
        </is>
      </c>
      <c r="G1301" s="41" t="inlineStr">
        <is>
          <t>74.3000</t>
        </is>
      </c>
      <c r="H1301" s="41" t="inlineStr">
        <is>
          <t>202407</t>
        </is>
      </c>
      <c r="I1301" s="41" t="inlineStr">
        <is>
          <t>19</t>
        </is>
      </c>
      <c r="J1301" s="41" t="inlineStr">
        <is>
          <t>235,000</t>
        </is>
      </c>
      <c r="K1301" s="41" t="inlineStr">
        <is>
          <t>112</t>
        </is>
      </c>
      <c r="L1301" s="41" t="inlineStr">
        <is>
          <t>18</t>
        </is>
      </c>
      <c r="M1301" s="42" t="inlineStr">
        <is>
          <t>개인</t>
        </is>
      </c>
      <c r="N1301" s="42" t="inlineStr">
        <is>
          <t>개인</t>
        </is>
      </c>
      <c r="O1301" s="41" t="inlineStr">
        <is>
          <t>2006</t>
        </is>
      </c>
      <c r="P1301" s="42" t="inlineStr">
        <is>
          <t>서운로 200</t>
        </is>
      </c>
      <c r="Q1301" s="41" t="inlineStr">
        <is>
          <t>-</t>
        </is>
      </c>
      <c r="R1301" s="42" t="inlineStr">
        <is>
          <t>중개거래</t>
        </is>
      </c>
      <c r="S1301" s="42" t="inlineStr">
        <is>
          <t>서울 서초구</t>
        </is>
      </c>
      <c r="T1301" s="41" t="inlineStr">
        <is>
          <t>24.10.25</t>
        </is>
      </c>
      <c r="U1301" s="42" t="inlineStr">
        <is>
          <t>아파트</t>
        </is>
      </c>
    </row>
    <row r="1302" hidden="1" ht="14.25" customHeight="1">
      <c r="A1302" s="41" t="n">
        <v>769</v>
      </c>
      <c r="B1302" s="42" t="inlineStr">
        <is>
          <t>서울특별시 서초구 서초동</t>
        </is>
      </c>
      <c r="C1302" s="41" t="inlineStr">
        <is>
          <t>1559-1</t>
        </is>
      </c>
      <c r="D1302" s="41" t="inlineStr">
        <is>
          <t>1559</t>
        </is>
      </c>
      <c r="E1302" s="41" t="inlineStr">
        <is>
          <t>0001</t>
        </is>
      </c>
      <c r="F1302" s="42" t="inlineStr">
        <is>
          <t>제이씨라디앙</t>
        </is>
      </c>
      <c r="G1302" s="41" t="inlineStr">
        <is>
          <t>82.5900</t>
        </is>
      </c>
      <c r="H1302" s="41" t="inlineStr">
        <is>
          <t>202407</t>
        </is>
      </c>
      <c r="I1302" s="41" t="inlineStr">
        <is>
          <t>19</t>
        </is>
      </c>
      <c r="J1302" s="41" t="inlineStr">
        <is>
          <t>103,500</t>
        </is>
      </c>
      <c r="K1302" s="41" t="inlineStr">
        <is>
          <t>-</t>
        </is>
      </c>
      <c r="L1302" s="41" t="inlineStr">
        <is>
          <t>7</t>
        </is>
      </c>
      <c r="M1302" s="42" t="inlineStr">
        <is>
          <t>개인</t>
        </is>
      </c>
      <c r="N1302" s="42" t="inlineStr">
        <is>
          <t>개인</t>
        </is>
      </c>
      <c r="O1302" s="41" t="inlineStr">
        <is>
          <t>2005</t>
        </is>
      </c>
      <c r="P1302" s="42" t="inlineStr">
        <is>
          <t>반포대로22길 54</t>
        </is>
      </c>
      <c r="Q1302" s="41" t="inlineStr">
        <is>
          <t>-</t>
        </is>
      </c>
      <c r="R1302" s="42" t="inlineStr">
        <is>
          <t>중개거래</t>
        </is>
      </c>
      <c r="S1302" s="42" t="inlineStr">
        <is>
          <t>서울 서초구</t>
        </is>
      </c>
      <c r="T1302" s="41" t="inlineStr">
        <is>
          <t>24.08.13</t>
        </is>
      </c>
      <c r="U1302" s="42" t="inlineStr">
        <is>
          <t>아파트</t>
        </is>
      </c>
    </row>
    <row r="1303" hidden="1" ht="14.25" customHeight="1">
      <c r="A1303" s="41" t="n">
        <v>770</v>
      </c>
      <c r="B1303" s="42" t="inlineStr">
        <is>
          <t>서울특별시 서초구 서초동</t>
        </is>
      </c>
      <c r="C1303" s="41" t="inlineStr">
        <is>
          <t>1312-3</t>
        </is>
      </c>
      <c r="D1303" s="41" t="inlineStr">
        <is>
          <t>1312</t>
        </is>
      </c>
      <c r="E1303" s="41" t="inlineStr">
        <is>
          <t>0003</t>
        </is>
      </c>
      <c r="F1303" s="42" t="inlineStr">
        <is>
          <t>롯데캐슬클래식</t>
        </is>
      </c>
      <c r="G1303" s="41" t="inlineStr">
        <is>
          <t>84.9800</t>
        </is>
      </c>
      <c r="H1303" s="41" t="inlineStr">
        <is>
          <t>202407</t>
        </is>
      </c>
      <c r="I1303" s="41" t="inlineStr">
        <is>
          <t>18</t>
        </is>
      </c>
      <c r="J1303" s="41" t="inlineStr">
        <is>
          <t>250,000</t>
        </is>
      </c>
      <c r="K1303" s="41" t="inlineStr">
        <is>
          <t>101</t>
        </is>
      </c>
      <c r="L1303" s="41" t="inlineStr">
        <is>
          <t>23</t>
        </is>
      </c>
      <c r="M1303" s="42" t="inlineStr">
        <is>
          <t>개인</t>
        </is>
      </c>
      <c r="N1303" s="42" t="inlineStr">
        <is>
          <t>개인</t>
        </is>
      </c>
      <c r="O1303" s="41" t="inlineStr">
        <is>
          <t>2006</t>
        </is>
      </c>
      <c r="P1303" s="42" t="inlineStr">
        <is>
          <t>서운로 197</t>
        </is>
      </c>
      <c r="Q1303" s="41" t="inlineStr">
        <is>
          <t>-</t>
        </is>
      </c>
      <c r="R1303" s="42" t="inlineStr">
        <is>
          <t>중개거래</t>
        </is>
      </c>
      <c r="S1303" s="42" t="inlineStr">
        <is>
          <t>서울 서초구</t>
        </is>
      </c>
      <c r="T1303" s="41" t="inlineStr">
        <is>
          <t>24.12.27</t>
        </is>
      </c>
      <c r="U1303" s="42" t="inlineStr">
        <is>
          <t>아파트</t>
        </is>
      </c>
    </row>
    <row r="1304" hidden="1" ht="14.25" customHeight="1">
      <c r="A1304" s="41" t="n">
        <v>771</v>
      </c>
      <c r="B1304" s="42" t="inlineStr">
        <is>
          <t>서울특별시 서초구 서초동</t>
        </is>
      </c>
      <c r="C1304" s="41" t="inlineStr">
        <is>
          <t>1477-1</t>
        </is>
      </c>
      <c r="D1304" s="41" t="inlineStr">
        <is>
          <t>1477</t>
        </is>
      </c>
      <c r="E1304" s="41" t="inlineStr">
        <is>
          <t>0001</t>
        </is>
      </c>
      <c r="F1304" s="42" t="inlineStr">
        <is>
          <t>아이파크빌</t>
        </is>
      </c>
      <c r="G1304" s="41" t="inlineStr">
        <is>
          <t>226.1900</t>
        </is>
      </c>
      <c r="H1304" s="41" t="inlineStr">
        <is>
          <t>202407</t>
        </is>
      </c>
      <c r="I1304" s="41" t="inlineStr">
        <is>
          <t>18</t>
        </is>
      </c>
      <c r="J1304" s="41" t="inlineStr">
        <is>
          <t>345,000</t>
        </is>
      </c>
      <c r="K1304" s="41" t="inlineStr">
        <is>
          <t>102</t>
        </is>
      </c>
      <c r="L1304" s="41" t="inlineStr">
        <is>
          <t>7</t>
        </is>
      </c>
      <c r="M1304" s="42" t="inlineStr">
        <is>
          <t>법인</t>
        </is>
      </c>
      <c r="N1304" s="42" t="inlineStr">
        <is>
          <t>개인</t>
        </is>
      </c>
      <c r="O1304" s="41" t="inlineStr">
        <is>
          <t>2001</t>
        </is>
      </c>
      <c r="P1304" s="42" t="inlineStr">
        <is>
          <t>반포대로5길 65</t>
        </is>
      </c>
      <c r="Q1304" s="41" t="inlineStr">
        <is>
          <t>-</t>
        </is>
      </c>
      <c r="R1304" s="42" t="inlineStr">
        <is>
          <t>중개거래</t>
        </is>
      </c>
      <c r="S1304" s="42" t="inlineStr">
        <is>
          <t>서울 서초구</t>
        </is>
      </c>
      <c r="T1304" s="41" t="inlineStr">
        <is>
          <t>24.09.02</t>
        </is>
      </c>
      <c r="U1304" s="42" t="inlineStr">
        <is>
          <t>아파트</t>
        </is>
      </c>
    </row>
    <row r="1305" hidden="1" ht="14.25" customHeight="1">
      <c r="A1305" s="41" t="n">
        <v>772</v>
      </c>
      <c r="B1305" s="42" t="inlineStr">
        <is>
          <t>서울특별시 서초구 서초동</t>
        </is>
      </c>
      <c r="C1305" s="41" t="inlineStr">
        <is>
          <t>1446-11</t>
        </is>
      </c>
      <c r="D1305" s="41" t="inlineStr">
        <is>
          <t>1446</t>
        </is>
      </c>
      <c r="E1305" s="41" t="inlineStr">
        <is>
          <t>0011</t>
        </is>
      </c>
      <c r="F1305" s="42" t="inlineStr">
        <is>
          <t>현대슈퍼빌</t>
        </is>
      </c>
      <c r="G1305" s="41" t="inlineStr">
        <is>
          <t>147.8600</t>
        </is>
      </c>
      <c r="H1305" s="41" t="inlineStr">
        <is>
          <t>202407</t>
        </is>
      </c>
      <c r="I1305" s="41" t="inlineStr">
        <is>
          <t>17</t>
        </is>
      </c>
      <c r="J1305" s="41" t="inlineStr">
        <is>
          <t>245,000</t>
        </is>
      </c>
      <c r="K1305" s="41" t="inlineStr">
        <is>
          <t>C</t>
        </is>
      </c>
      <c r="L1305" s="41" t="inlineStr">
        <is>
          <t>6</t>
        </is>
      </c>
      <c r="M1305" s="42" t="inlineStr">
        <is>
          <t>개인</t>
        </is>
      </c>
      <c r="N1305" s="42" t="inlineStr">
        <is>
          <t>개인</t>
        </is>
      </c>
      <c r="O1305" s="41" t="inlineStr">
        <is>
          <t>2003</t>
        </is>
      </c>
      <c r="P1305" s="42" t="inlineStr">
        <is>
          <t>서초중앙로 15</t>
        </is>
      </c>
      <c r="Q1305" s="41" t="inlineStr">
        <is>
          <t>-</t>
        </is>
      </c>
      <c r="R1305" s="42" t="inlineStr">
        <is>
          <t>중개거래</t>
        </is>
      </c>
      <c r="S1305" s="42" t="inlineStr">
        <is>
          <t>서울 서초구</t>
        </is>
      </c>
      <c r="T1305" s="41" t="inlineStr">
        <is>
          <t>24.10.07</t>
        </is>
      </c>
      <c r="U1305" s="42" t="inlineStr">
        <is>
          <t>아파트</t>
        </is>
      </c>
    </row>
    <row r="1306" hidden="1" ht="14.25" customHeight="1">
      <c r="A1306" s="41" t="n">
        <v>773</v>
      </c>
      <c r="B1306" s="42" t="inlineStr">
        <is>
          <t>서울특별시 서초구 서초동</t>
        </is>
      </c>
      <c r="C1306" s="41" t="inlineStr">
        <is>
          <t>1667-2</t>
        </is>
      </c>
      <c r="D1306" s="41" t="inlineStr">
        <is>
          <t>1667</t>
        </is>
      </c>
      <c r="E1306" s="41" t="inlineStr">
        <is>
          <t>0002</t>
        </is>
      </c>
      <c r="F1306" s="42" t="inlineStr">
        <is>
          <t>서초예성그린캐슬</t>
        </is>
      </c>
      <c r="G1306" s="41" t="inlineStr">
        <is>
          <t>105.4900</t>
        </is>
      </c>
      <c r="H1306" s="41" t="inlineStr">
        <is>
          <t>202407</t>
        </is>
      </c>
      <c r="I1306" s="41" t="inlineStr">
        <is>
          <t>17</t>
        </is>
      </c>
      <c r="J1306" s="41" t="inlineStr">
        <is>
          <t>110,000</t>
        </is>
      </c>
      <c r="K1306" s="41" t="inlineStr">
        <is>
          <t>-</t>
        </is>
      </c>
      <c r="L1306" s="41" t="inlineStr">
        <is>
          <t>6</t>
        </is>
      </c>
      <c r="M1306" s="42" t="inlineStr">
        <is>
          <t>개인</t>
        </is>
      </c>
      <c r="N1306" s="42" t="inlineStr">
        <is>
          <t>개인</t>
        </is>
      </c>
      <c r="O1306" s="41" t="inlineStr">
        <is>
          <t>2003</t>
        </is>
      </c>
      <c r="P1306" s="42" t="inlineStr">
        <is>
          <t>서초대로58길 26</t>
        </is>
      </c>
      <c r="Q1306" s="41" t="inlineStr">
        <is>
          <t>-</t>
        </is>
      </c>
      <c r="R1306" s="42" t="inlineStr">
        <is>
          <t>중개거래</t>
        </is>
      </c>
      <c r="S1306" s="42" t="inlineStr">
        <is>
          <t>서울 서초구</t>
        </is>
      </c>
      <c r="T1306" s="41" t="inlineStr">
        <is>
          <t>25.01.06</t>
        </is>
      </c>
      <c r="U1306" s="42" t="inlineStr">
        <is>
          <t>아파트</t>
        </is>
      </c>
    </row>
    <row r="1307" hidden="1" ht="14.25" customHeight="1">
      <c r="A1307" s="41" t="n">
        <v>774</v>
      </c>
      <c r="B1307" s="42" t="inlineStr">
        <is>
          <t>서울특별시 서초구 서초동</t>
        </is>
      </c>
      <c r="C1307" s="41" t="inlineStr">
        <is>
          <t>1333</t>
        </is>
      </c>
      <c r="D1307" s="41" t="inlineStr">
        <is>
          <t>1333</t>
        </is>
      </c>
      <c r="E1307" s="41" t="inlineStr">
        <is>
          <t>0000</t>
        </is>
      </c>
      <c r="F1307" s="42" t="inlineStr">
        <is>
          <t>신동아아파트(1차)</t>
        </is>
      </c>
      <c r="G1307" s="41" t="inlineStr">
        <is>
          <t>86.6100</t>
        </is>
      </c>
      <c r="H1307" s="41" t="inlineStr">
        <is>
          <t>202407</t>
        </is>
      </c>
      <c r="I1307" s="41" t="inlineStr">
        <is>
          <t>17</t>
        </is>
      </c>
      <c r="J1307" s="41" t="inlineStr">
        <is>
          <t>219,000</t>
        </is>
      </c>
      <c r="K1307" s="41" t="inlineStr">
        <is>
          <t>7</t>
        </is>
      </c>
      <c r="L1307" s="41" t="inlineStr">
        <is>
          <t>4</t>
        </is>
      </c>
      <c r="M1307" s="42" t="inlineStr">
        <is>
          <t>개인</t>
        </is>
      </c>
      <c r="N1307" s="42" t="inlineStr">
        <is>
          <t>개인</t>
        </is>
      </c>
      <c r="O1307" s="41" t="inlineStr">
        <is>
          <t>1978</t>
        </is>
      </c>
      <c r="P1307" s="42" t="inlineStr">
        <is>
          <t>사임당로 130</t>
        </is>
      </c>
      <c r="Q1307" s="41" t="inlineStr">
        <is>
          <t>-</t>
        </is>
      </c>
      <c r="R1307" s="42" t="inlineStr">
        <is>
          <t>중개거래</t>
        </is>
      </c>
      <c r="S1307" s="42" t="inlineStr">
        <is>
          <t>서울 서초구</t>
        </is>
      </c>
      <c r="T1307" s="41" t="inlineStr">
        <is>
          <t>24.08.29</t>
        </is>
      </c>
      <c r="U1307" s="42" t="inlineStr">
        <is>
          <t>아파트</t>
        </is>
      </c>
    </row>
    <row r="1308" hidden="1" ht="14.25" customHeight="1">
      <c r="A1308" s="41" t="n">
        <v>775</v>
      </c>
      <c r="B1308" s="42" t="inlineStr">
        <is>
          <t>서울특별시 서초구 서초동</t>
        </is>
      </c>
      <c r="C1308" s="41" t="inlineStr">
        <is>
          <t>1686-9</t>
        </is>
      </c>
      <c r="D1308" s="41" t="inlineStr">
        <is>
          <t>1686</t>
        </is>
      </c>
      <c r="E1308" s="41" t="inlineStr">
        <is>
          <t>0009</t>
        </is>
      </c>
      <c r="F1308" s="42" t="inlineStr">
        <is>
          <t>서초교대e편한세상</t>
        </is>
      </c>
      <c r="G1308" s="41" t="inlineStr">
        <is>
          <t>59.9000</t>
        </is>
      </c>
      <c r="H1308" s="41" t="inlineStr">
        <is>
          <t>202407</t>
        </is>
      </c>
      <c r="I1308" s="41" t="inlineStr">
        <is>
          <t>17</t>
        </is>
      </c>
      <c r="J1308" s="41" t="inlineStr">
        <is>
          <t>207,000</t>
        </is>
      </c>
      <c r="K1308" s="41" t="inlineStr">
        <is>
          <t>103</t>
        </is>
      </c>
      <c r="L1308" s="41" t="inlineStr">
        <is>
          <t>8</t>
        </is>
      </c>
      <c r="M1308" s="42" t="inlineStr">
        <is>
          <t>개인</t>
        </is>
      </c>
      <c r="N1308" s="42" t="inlineStr">
        <is>
          <t>개인</t>
        </is>
      </c>
      <c r="O1308" s="41" t="inlineStr">
        <is>
          <t>2010</t>
        </is>
      </c>
      <c r="P1308" s="42" t="inlineStr">
        <is>
          <t>서초중앙로24길 33</t>
        </is>
      </c>
      <c r="Q1308" s="41" t="inlineStr">
        <is>
          <t>-</t>
        </is>
      </c>
      <c r="R1308" s="42" t="inlineStr">
        <is>
          <t>중개거래</t>
        </is>
      </c>
      <c r="S1308" s="42" t="inlineStr">
        <is>
          <t>서울 서초구</t>
        </is>
      </c>
      <c r="T1308" s="41" t="inlineStr">
        <is>
          <t>24.10.31</t>
        </is>
      </c>
      <c r="U1308" s="42" t="inlineStr">
        <is>
          <t>아파트</t>
        </is>
      </c>
    </row>
    <row r="1309" hidden="1" ht="14.25" customHeight="1">
      <c r="A1309" s="41" t="n">
        <v>776</v>
      </c>
      <c r="B1309" s="42" t="inlineStr">
        <is>
          <t>서울특별시 서초구 서초동</t>
        </is>
      </c>
      <c r="C1309" s="41" t="inlineStr">
        <is>
          <t>1312-3</t>
        </is>
      </c>
      <c r="D1309" s="41" t="inlineStr">
        <is>
          <t>1312</t>
        </is>
      </c>
      <c r="E1309" s="41" t="inlineStr">
        <is>
          <t>0003</t>
        </is>
      </c>
      <c r="F1309" s="42" t="inlineStr">
        <is>
          <t>롯데캐슬클래식</t>
        </is>
      </c>
      <c r="G1309" s="41" t="inlineStr">
        <is>
          <t>133.4500</t>
        </is>
      </c>
      <c r="H1309" s="41" t="inlineStr">
        <is>
          <t>202407</t>
        </is>
      </c>
      <c r="I1309" s="41" t="inlineStr">
        <is>
          <t>17</t>
        </is>
      </c>
      <c r="J1309" s="41" t="inlineStr">
        <is>
          <t>320,000</t>
        </is>
      </c>
      <c r="K1309" s="41" t="inlineStr">
        <is>
          <t>109</t>
        </is>
      </c>
      <c r="L1309" s="41" t="inlineStr">
        <is>
          <t>3</t>
        </is>
      </c>
      <c r="M1309" s="42" t="inlineStr">
        <is>
          <t>개인</t>
        </is>
      </c>
      <c r="N1309" s="42" t="inlineStr">
        <is>
          <t>개인</t>
        </is>
      </c>
      <c r="O1309" s="41" t="inlineStr">
        <is>
          <t>2006</t>
        </is>
      </c>
      <c r="P1309" s="42" t="inlineStr">
        <is>
          <t>서운로 197</t>
        </is>
      </c>
      <c r="Q1309" s="41" t="inlineStr">
        <is>
          <t>-</t>
        </is>
      </c>
      <c r="R1309" s="42" t="inlineStr">
        <is>
          <t>중개거래</t>
        </is>
      </c>
      <c r="S1309" s="42" t="inlineStr">
        <is>
          <t>서울 서초구</t>
        </is>
      </c>
      <c r="T1309" s="41" t="inlineStr">
        <is>
          <t>24.12.02</t>
        </is>
      </c>
      <c r="U1309" s="42" t="inlineStr">
        <is>
          <t>아파트</t>
        </is>
      </c>
    </row>
    <row r="1310" hidden="1" ht="14.25" customHeight="1">
      <c r="A1310" s="41" t="n">
        <v>777</v>
      </c>
      <c r="B1310" s="42" t="inlineStr">
        <is>
          <t>서울특별시 서초구 서초동</t>
        </is>
      </c>
      <c r="C1310" s="41" t="inlineStr">
        <is>
          <t>1686-9</t>
        </is>
      </c>
      <c r="D1310" s="41" t="inlineStr">
        <is>
          <t>1686</t>
        </is>
      </c>
      <c r="E1310" s="41" t="inlineStr">
        <is>
          <t>0009</t>
        </is>
      </c>
      <c r="F1310" s="42" t="inlineStr">
        <is>
          <t>서초교대e편한세상</t>
        </is>
      </c>
      <c r="G1310" s="41" t="inlineStr">
        <is>
          <t>59.9000</t>
        </is>
      </c>
      <c r="H1310" s="41" t="inlineStr">
        <is>
          <t>202407</t>
        </is>
      </c>
      <c r="I1310" s="41" t="inlineStr">
        <is>
          <t>16</t>
        </is>
      </c>
      <c r="J1310" s="41" t="inlineStr">
        <is>
          <t>188,500</t>
        </is>
      </c>
      <c r="K1310" s="41" t="inlineStr">
        <is>
          <t>105</t>
        </is>
      </c>
      <c r="L1310" s="41" t="inlineStr">
        <is>
          <t>1</t>
        </is>
      </c>
      <c r="M1310" s="42" t="inlineStr">
        <is>
          <t>개인</t>
        </is>
      </c>
      <c r="N1310" s="42" t="inlineStr">
        <is>
          <t>개인</t>
        </is>
      </c>
      <c r="O1310" s="41" t="inlineStr">
        <is>
          <t>2010</t>
        </is>
      </c>
      <c r="P1310" s="42" t="inlineStr">
        <is>
          <t>서초중앙로24길 33</t>
        </is>
      </c>
      <c r="Q1310" s="41" t="inlineStr">
        <is>
          <t>-</t>
        </is>
      </c>
      <c r="R1310" s="42" t="inlineStr">
        <is>
          <t>중개거래</t>
        </is>
      </c>
      <c r="S1310" s="42" t="inlineStr">
        <is>
          <t>서울 서초구</t>
        </is>
      </c>
      <c r="T1310" s="41" t="inlineStr">
        <is>
          <t>24.10.31</t>
        </is>
      </c>
      <c r="U1310" s="42" t="inlineStr">
        <is>
          <t>아파트</t>
        </is>
      </c>
    </row>
    <row r="1311" hidden="1" ht="14.25" customHeight="1">
      <c r="A1311" s="41" t="n">
        <v>778</v>
      </c>
      <c r="B1311" s="42" t="inlineStr">
        <is>
          <t>서울특별시 서초구 서초동</t>
        </is>
      </c>
      <c r="C1311" s="41" t="inlineStr">
        <is>
          <t>1644</t>
        </is>
      </c>
      <c r="D1311" s="41" t="inlineStr">
        <is>
          <t>1644</t>
        </is>
      </c>
      <c r="E1311" s="41" t="inlineStr">
        <is>
          <t>0000</t>
        </is>
      </c>
      <c r="F1311" s="42" t="inlineStr">
        <is>
          <t>현대서초3</t>
        </is>
      </c>
      <c r="G1311" s="41" t="inlineStr">
        <is>
          <t>84.4900</t>
        </is>
      </c>
      <c r="H1311" s="41" t="inlineStr">
        <is>
          <t>202407</t>
        </is>
      </c>
      <c r="I1311" s="41" t="inlineStr">
        <is>
          <t>16</t>
        </is>
      </c>
      <c r="J1311" s="41" t="inlineStr">
        <is>
          <t>170,000</t>
        </is>
      </c>
      <c r="K1311" s="41" t="inlineStr">
        <is>
          <t>301</t>
        </is>
      </c>
      <c r="L1311" s="41" t="inlineStr">
        <is>
          <t>6</t>
        </is>
      </c>
      <c r="M1311" s="42" t="inlineStr">
        <is>
          <t>개인</t>
        </is>
      </c>
      <c r="N1311" s="42" t="inlineStr">
        <is>
          <t>개인</t>
        </is>
      </c>
      <c r="O1311" s="41" t="inlineStr">
        <is>
          <t>1997</t>
        </is>
      </c>
      <c r="P1311" s="42" t="inlineStr">
        <is>
          <t>사임당로23길 58</t>
        </is>
      </c>
      <c r="Q1311" s="41" t="inlineStr">
        <is>
          <t>-</t>
        </is>
      </c>
      <c r="R1311" s="42" t="inlineStr">
        <is>
          <t>중개거래</t>
        </is>
      </c>
      <c r="S1311" s="42" t="inlineStr">
        <is>
          <t>서울 서초구</t>
        </is>
      </c>
      <c r="T1311" s="41" t="inlineStr">
        <is>
          <t>24.11.08</t>
        </is>
      </c>
      <c r="U1311" s="42" t="inlineStr">
        <is>
          <t>아파트</t>
        </is>
      </c>
    </row>
    <row r="1312" hidden="1" ht="14.25" customHeight="1">
      <c r="A1312" s="41" t="n">
        <v>779</v>
      </c>
      <c r="B1312" s="42" t="inlineStr">
        <is>
          <t>서울특별시 서초구 서초동</t>
        </is>
      </c>
      <c r="C1312" s="41" t="inlineStr">
        <is>
          <t>1685</t>
        </is>
      </c>
      <c r="D1312" s="41" t="inlineStr">
        <is>
          <t>1685</t>
        </is>
      </c>
      <c r="E1312" s="41" t="inlineStr">
        <is>
          <t>0000</t>
        </is>
      </c>
      <c r="F1312" s="42" t="inlineStr">
        <is>
          <t>삼풍아파트</t>
        </is>
      </c>
      <c r="G1312" s="41" t="inlineStr">
        <is>
          <t>130.2300</t>
        </is>
      </c>
      <c r="H1312" s="41" t="inlineStr">
        <is>
          <t>202407</t>
        </is>
      </c>
      <c r="I1312" s="41" t="inlineStr">
        <is>
          <t>16</t>
        </is>
      </c>
      <c r="J1312" s="41" t="inlineStr">
        <is>
          <t>340,000</t>
        </is>
      </c>
      <c r="K1312" s="41" t="inlineStr">
        <is>
          <t>12</t>
        </is>
      </c>
      <c r="L1312" s="41" t="inlineStr">
        <is>
          <t>3</t>
        </is>
      </c>
      <c r="M1312" s="42" t="inlineStr">
        <is>
          <t>개인</t>
        </is>
      </c>
      <c r="N1312" s="42" t="inlineStr">
        <is>
          <t>개인</t>
        </is>
      </c>
      <c r="O1312" s="41" t="inlineStr">
        <is>
          <t>1988</t>
        </is>
      </c>
      <c r="P1312" s="42" t="inlineStr">
        <is>
          <t>서초중앙로 200</t>
        </is>
      </c>
      <c r="Q1312" s="41" t="inlineStr">
        <is>
          <t>-</t>
        </is>
      </c>
      <c r="R1312" s="42" t="inlineStr">
        <is>
          <t>중개거래</t>
        </is>
      </c>
      <c r="S1312" s="42" t="inlineStr">
        <is>
          <t>서울 서대문구, 서울 서초구</t>
        </is>
      </c>
      <c r="T1312" s="41" t="inlineStr">
        <is>
          <t>24.11.29</t>
        </is>
      </c>
      <c r="U1312" s="42" t="inlineStr">
        <is>
          <t>아파트</t>
        </is>
      </c>
    </row>
    <row r="1313" hidden="1" ht="14.25" customHeight="1">
      <c r="A1313" s="41" t="n">
        <v>780</v>
      </c>
      <c r="B1313" s="42" t="inlineStr">
        <is>
          <t>서울특별시 서초구 서초동</t>
        </is>
      </c>
      <c r="C1313" s="41" t="inlineStr">
        <is>
          <t>1754</t>
        </is>
      </c>
      <c r="D1313" s="41" t="inlineStr">
        <is>
          <t>1754</t>
        </is>
      </c>
      <c r="E1313" s="41" t="inlineStr">
        <is>
          <t>0000</t>
        </is>
      </c>
      <c r="F1313" s="42" t="inlineStr">
        <is>
          <t>래미안서초에스티지S</t>
        </is>
      </c>
      <c r="G1313" s="41" t="inlineStr">
        <is>
          <t>111.8900</t>
        </is>
      </c>
      <c r="H1313" s="41" t="inlineStr">
        <is>
          <t>202407</t>
        </is>
      </c>
      <c r="I1313" s="41" t="inlineStr">
        <is>
          <t>15</t>
        </is>
      </c>
      <c r="J1313" s="41" t="inlineStr">
        <is>
          <t>330,000</t>
        </is>
      </c>
      <c r="K1313" s="41" t="inlineStr">
        <is>
          <t>203</t>
        </is>
      </c>
      <c r="L1313" s="41" t="inlineStr">
        <is>
          <t>8</t>
        </is>
      </c>
      <c r="M1313" s="42" t="inlineStr">
        <is>
          <t>개인</t>
        </is>
      </c>
      <c r="N1313" s="42" t="inlineStr">
        <is>
          <t>개인</t>
        </is>
      </c>
      <c r="O1313" s="41" t="inlineStr">
        <is>
          <t>2018</t>
        </is>
      </c>
      <c r="P1313" s="42" t="inlineStr">
        <is>
          <t>서운로 104</t>
        </is>
      </c>
      <c r="Q1313" s="41" t="inlineStr">
        <is>
          <t>-</t>
        </is>
      </c>
      <c r="R1313" s="42" t="inlineStr">
        <is>
          <t>중개거래</t>
        </is>
      </c>
      <c r="S1313" s="42" t="inlineStr">
        <is>
          <t>서울 서초구</t>
        </is>
      </c>
      <c r="T1313" s="41" t="inlineStr">
        <is>
          <t>24.10.21</t>
        </is>
      </c>
      <c r="U1313" s="42" t="inlineStr">
        <is>
          <t>아파트</t>
        </is>
      </c>
    </row>
    <row r="1314" hidden="1" ht="14.25" customHeight="1">
      <c r="A1314" s="41" t="n">
        <v>781</v>
      </c>
      <c r="B1314" s="42" t="inlineStr">
        <is>
          <t>서울특별시 서초구 서초동</t>
        </is>
      </c>
      <c r="C1314" s="41" t="inlineStr">
        <is>
          <t>1593-7</t>
        </is>
      </c>
      <c r="D1314" s="41" t="inlineStr">
        <is>
          <t>1593</t>
        </is>
      </c>
      <c r="E1314" s="41" t="inlineStr">
        <is>
          <t>0007</t>
        </is>
      </c>
      <c r="F1314" s="42" t="inlineStr">
        <is>
          <t>서초이오빌</t>
        </is>
      </c>
      <c r="G1314" s="41" t="inlineStr">
        <is>
          <t>45.9600</t>
        </is>
      </c>
      <c r="H1314" s="41" t="inlineStr">
        <is>
          <t>202407</t>
        </is>
      </c>
      <c r="I1314" s="41" t="inlineStr">
        <is>
          <t>15</t>
        </is>
      </c>
      <c r="J1314" s="41" t="inlineStr">
        <is>
          <t>41,500</t>
        </is>
      </c>
      <c r="K1314" s="41" t="inlineStr">
        <is>
          <t>-</t>
        </is>
      </c>
      <c r="L1314" s="41" t="inlineStr">
        <is>
          <t>3</t>
        </is>
      </c>
      <c r="M1314" s="42" t="inlineStr">
        <is>
          <t>개인</t>
        </is>
      </c>
      <c r="N1314" s="42" t="inlineStr">
        <is>
          <t>개인</t>
        </is>
      </c>
      <c r="O1314" s="41" t="inlineStr">
        <is>
          <t>2003</t>
        </is>
      </c>
      <c r="P1314" s="42" t="inlineStr">
        <is>
          <t>효령로53길 45</t>
        </is>
      </c>
      <c r="Q1314" s="41" t="inlineStr">
        <is>
          <t>-</t>
        </is>
      </c>
      <c r="R1314" s="42" t="inlineStr">
        <is>
          <t>중개거래</t>
        </is>
      </c>
      <c r="S1314" s="42" t="inlineStr">
        <is>
          <t>서울 서초구</t>
        </is>
      </c>
      <c r="T1314" s="41" t="inlineStr">
        <is>
          <t>24.08.05</t>
        </is>
      </c>
      <c r="U1314" s="42" t="inlineStr">
        <is>
          <t>아파트</t>
        </is>
      </c>
    </row>
    <row r="1315" hidden="1" ht="14.25" customHeight="1">
      <c r="A1315" s="41" t="n">
        <v>782</v>
      </c>
      <c r="B1315" s="42" t="inlineStr">
        <is>
          <t>서울특별시 서초구 서초동</t>
        </is>
      </c>
      <c r="C1315" s="41" t="inlineStr">
        <is>
          <t>1755</t>
        </is>
      </c>
      <c r="D1315" s="41" t="inlineStr">
        <is>
          <t>1755</t>
        </is>
      </c>
      <c r="E1315" s="41" t="inlineStr">
        <is>
          <t>0000</t>
        </is>
      </c>
      <c r="F1315" s="42" t="inlineStr">
        <is>
          <t>래미안 리더스원</t>
        </is>
      </c>
      <c r="G1315" s="41" t="inlineStr">
        <is>
          <t>84.9300</t>
        </is>
      </c>
      <c r="H1315" s="41" t="inlineStr">
        <is>
          <t>202407</t>
        </is>
      </c>
      <c r="I1315" s="41" t="inlineStr">
        <is>
          <t>15</t>
        </is>
      </c>
      <c r="J1315" s="41" t="inlineStr">
        <is>
          <t>320,000</t>
        </is>
      </c>
      <c r="K1315" s="41" t="inlineStr">
        <is>
          <t>111동</t>
        </is>
      </c>
      <c r="L1315" s="41" t="inlineStr">
        <is>
          <t>4</t>
        </is>
      </c>
      <c r="M1315" s="42" t="inlineStr">
        <is>
          <t>개인</t>
        </is>
      </c>
      <c r="N1315" s="42" t="inlineStr">
        <is>
          <t>개인</t>
        </is>
      </c>
      <c r="O1315" s="41" t="inlineStr">
        <is>
          <t>2020</t>
        </is>
      </c>
      <c r="P1315" s="42" t="inlineStr">
        <is>
          <t>서운로 62</t>
        </is>
      </c>
      <c r="Q1315" s="41" t="inlineStr">
        <is>
          <t>-</t>
        </is>
      </c>
      <c r="R1315" s="42" t="inlineStr">
        <is>
          <t>중개거래</t>
        </is>
      </c>
      <c r="S1315" s="42" t="inlineStr">
        <is>
          <t>서울 서초구, 서울 성동구</t>
        </is>
      </c>
      <c r="T1315" s="41" t="inlineStr">
        <is>
          <t>24.11.07</t>
        </is>
      </c>
      <c r="U1315" s="42" t="inlineStr">
        <is>
          <t>아파트</t>
        </is>
      </c>
    </row>
    <row r="1316" hidden="1" ht="14.25" customHeight="1">
      <c r="A1316" s="41" t="n">
        <v>783</v>
      </c>
      <c r="B1316" s="42" t="inlineStr">
        <is>
          <t>서울특별시 서초구 서초동</t>
        </is>
      </c>
      <c r="C1316" s="41" t="inlineStr">
        <is>
          <t>1754</t>
        </is>
      </c>
      <c r="D1316" s="41" t="inlineStr">
        <is>
          <t>1754</t>
        </is>
      </c>
      <c r="E1316" s="41" t="inlineStr">
        <is>
          <t>0000</t>
        </is>
      </c>
      <c r="F1316" s="42" t="inlineStr">
        <is>
          <t>래미안서초에스티지S</t>
        </is>
      </c>
      <c r="G1316" s="41" t="inlineStr">
        <is>
          <t>84.9600</t>
        </is>
      </c>
      <c r="H1316" s="41" t="inlineStr">
        <is>
          <t>202407</t>
        </is>
      </c>
      <c r="I1316" s="41" t="inlineStr">
        <is>
          <t>15</t>
        </is>
      </c>
      <c r="J1316" s="41" t="inlineStr">
        <is>
          <t>280,000</t>
        </is>
      </c>
      <c r="K1316" s="41" t="inlineStr">
        <is>
          <t>203</t>
        </is>
      </c>
      <c r="L1316" s="41" t="inlineStr">
        <is>
          <t>22</t>
        </is>
      </c>
      <c r="M1316" s="42" t="inlineStr">
        <is>
          <t>개인</t>
        </is>
      </c>
      <c r="N1316" s="42" t="inlineStr">
        <is>
          <t>개인</t>
        </is>
      </c>
      <c r="O1316" s="41" t="inlineStr">
        <is>
          <t>2018</t>
        </is>
      </c>
      <c r="P1316" s="42" t="inlineStr">
        <is>
          <t>서운로 104</t>
        </is>
      </c>
      <c r="Q1316" s="41" t="inlineStr">
        <is>
          <t>-</t>
        </is>
      </c>
      <c r="R1316" s="42" t="inlineStr">
        <is>
          <t>중개거래</t>
        </is>
      </c>
      <c r="S1316" s="42" t="inlineStr">
        <is>
          <t>서울 강남구, 서울 서초구</t>
        </is>
      </c>
      <c r="T1316" s="41" t="inlineStr">
        <is>
          <t>24.11.11</t>
        </is>
      </c>
      <c r="U1316" s="42" t="inlineStr">
        <is>
          <t>아파트</t>
        </is>
      </c>
    </row>
    <row r="1317" hidden="1" ht="14.25" customHeight="1">
      <c r="A1317" s="41" t="n">
        <v>784</v>
      </c>
      <c r="B1317" s="42" t="inlineStr">
        <is>
          <t>서울특별시 서초구 서초동</t>
        </is>
      </c>
      <c r="C1317" s="41" t="inlineStr">
        <is>
          <t>1755</t>
        </is>
      </c>
      <c r="D1317" s="41" t="inlineStr">
        <is>
          <t>1755</t>
        </is>
      </c>
      <c r="E1317" s="41" t="inlineStr">
        <is>
          <t>0000</t>
        </is>
      </c>
      <c r="F1317" s="42" t="inlineStr">
        <is>
          <t>래미안 리더스원</t>
        </is>
      </c>
      <c r="G1317" s="41" t="inlineStr">
        <is>
          <t>84.9300</t>
        </is>
      </c>
      <c r="H1317" s="41" t="inlineStr">
        <is>
          <t>202407</t>
        </is>
      </c>
      <c r="I1317" s="41" t="inlineStr">
        <is>
          <t>14</t>
        </is>
      </c>
      <c r="J1317" s="41" t="inlineStr">
        <is>
          <t>322,000</t>
        </is>
      </c>
      <c r="K1317" s="41" t="inlineStr">
        <is>
          <t>-</t>
        </is>
      </c>
      <c r="L1317" s="41" t="inlineStr">
        <is>
          <t>9</t>
        </is>
      </c>
      <c r="M1317" s="42" t="inlineStr">
        <is>
          <t>개인</t>
        </is>
      </c>
      <c r="N1317" s="42" t="inlineStr">
        <is>
          <t>개인</t>
        </is>
      </c>
      <c r="O1317" s="41" t="inlineStr">
        <is>
          <t>2020</t>
        </is>
      </c>
      <c r="P1317" s="42" t="inlineStr">
        <is>
          <t>서운로 62</t>
        </is>
      </c>
      <c r="Q1317" s="41" t="inlineStr">
        <is>
          <t>20241024</t>
        </is>
      </c>
      <c r="R1317" s="42" t="inlineStr">
        <is>
          <t>중개거래</t>
        </is>
      </c>
      <c r="S1317" s="42" t="inlineStr">
        <is>
          <t>서울 서초구</t>
        </is>
      </c>
      <c r="T1317" s="41" t="inlineStr">
        <is>
          <t>-</t>
        </is>
      </c>
      <c r="U1317" s="42" t="inlineStr">
        <is>
          <t>아파트</t>
        </is>
      </c>
    </row>
    <row r="1318" hidden="1" ht="14.25" customHeight="1">
      <c r="A1318" s="41" t="n">
        <v>785</v>
      </c>
      <c r="B1318" s="42" t="inlineStr">
        <is>
          <t>서울특별시 서초구 서초동</t>
        </is>
      </c>
      <c r="C1318" s="41" t="inlineStr">
        <is>
          <t>1755</t>
        </is>
      </c>
      <c r="D1318" s="41" t="inlineStr">
        <is>
          <t>1755</t>
        </is>
      </c>
      <c r="E1318" s="41" t="inlineStr">
        <is>
          <t>0000</t>
        </is>
      </c>
      <c r="F1318" s="42" t="inlineStr">
        <is>
          <t>래미안 리더스원</t>
        </is>
      </c>
      <c r="G1318" s="41" t="inlineStr">
        <is>
          <t>84.9300</t>
        </is>
      </c>
      <c r="H1318" s="41" t="inlineStr">
        <is>
          <t>202407</t>
        </is>
      </c>
      <c r="I1318" s="41" t="inlineStr">
        <is>
          <t>14</t>
        </is>
      </c>
      <c r="J1318" s="41" t="inlineStr">
        <is>
          <t>322,000</t>
        </is>
      </c>
      <c r="K1318" s="41" t="inlineStr">
        <is>
          <t>101동</t>
        </is>
      </c>
      <c r="L1318" s="41" t="inlineStr">
        <is>
          <t>9</t>
        </is>
      </c>
      <c r="M1318" s="42" t="inlineStr">
        <is>
          <t>개인</t>
        </is>
      </c>
      <c r="N1318" s="42" t="inlineStr">
        <is>
          <t>개인</t>
        </is>
      </c>
      <c r="O1318" s="41" t="inlineStr">
        <is>
          <t>2020</t>
        </is>
      </c>
      <c r="P1318" s="42" t="inlineStr">
        <is>
          <t>서운로 62</t>
        </is>
      </c>
      <c r="Q1318" s="41" t="inlineStr">
        <is>
          <t>-</t>
        </is>
      </c>
      <c r="R1318" s="42" t="inlineStr">
        <is>
          <t>중개거래</t>
        </is>
      </c>
      <c r="S1318" s="42" t="inlineStr">
        <is>
          <t>서울 서초구</t>
        </is>
      </c>
      <c r="T1318" s="41" t="inlineStr">
        <is>
          <t>24.10.25</t>
        </is>
      </c>
      <c r="U1318" s="42" t="inlineStr">
        <is>
          <t>아파트</t>
        </is>
      </c>
    </row>
    <row r="1319" hidden="1" ht="14.25" customHeight="1">
      <c r="A1319" s="41" t="n">
        <v>786</v>
      </c>
      <c r="B1319" s="42" t="inlineStr">
        <is>
          <t>서울특별시 서초구 서초동</t>
        </is>
      </c>
      <c r="C1319" s="41" t="inlineStr">
        <is>
          <t>1686-9</t>
        </is>
      </c>
      <c r="D1319" s="41" t="inlineStr">
        <is>
          <t>1686</t>
        </is>
      </c>
      <c r="E1319" s="41" t="inlineStr">
        <is>
          <t>0009</t>
        </is>
      </c>
      <c r="F1319" s="42" t="inlineStr">
        <is>
          <t>서초교대e편한세상</t>
        </is>
      </c>
      <c r="G1319" s="41" t="inlineStr">
        <is>
          <t>84.6800</t>
        </is>
      </c>
      <c r="H1319" s="41" t="inlineStr">
        <is>
          <t>202407</t>
        </is>
      </c>
      <c r="I1319" s="41" t="inlineStr">
        <is>
          <t>14</t>
        </is>
      </c>
      <c r="J1319" s="41" t="inlineStr">
        <is>
          <t>248,000</t>
        </is>
      </c>
      <c r="K1319" s="41" t="inlineStr">
        <is>
          <t>101</t>
        </is>
      </c>
      <c r="L1319" s="41" t="inlineStr">
        <is>
          <t>13</t>
        </is>
      </c>
      <c r="M1319" s="42" t="inlineStr">
        <is>
          <t>개인</t>
        </is>
      </c>
      <c r="N1319" s="42" t="inlineStr">
        <is>
          <t>개인</t>
        </is>
      </c>
      <c r="O1319" s="41" t="inlineStr">
        <is>
          <t>2010</t>
        </is>
      </c>
      <c r="P1319" s="42" t="inlineStr">
        <is>
          <t>서초중앙로24길 33</t>
        </is>
      </c>
      <c r="Q1319" s="41" t="inlineStr">
        <is>
          <t>-</t>
        </is>
      </c>
      <c r="R1319" s="42" t="inlineStr">
        <is>
          <t>중개거래</t>
        </is>
      </c>
      <c r="S1319" s="42" t="inlineStr">
        <is>
          <t>서울 서초구</t>
        </is>
      </c>
      <c r="T1319" s="41" t="inlineStr">
        <is>
          <t>24.10.21</t>
        </is>
      </c>
      <c r="U1319" s="42" t="inlineStr">
        <is>
          <t>아파트</t>
        </is>
      </c>
    </row>
    <row r="1320" hidden="1" ht="14.25" customHeight="1">
      <c r="A1320" s="41" t="n">
        <v>787</v>
      </c>
      <c r="B1320" s="42" t="inlineStr">
        <is>
          <t>서울특별시 서초구 서초동</t>
        </is>
      </c>
      <c r="C1320" s="41" t="inlineStr">
        <is>
          <t>1686-9</t>
        </is>
      </c>
      <c r="D1320" s="41" t="inlineStr">
        <is>
          <t>1686</t>
        </is>
      </c>
      <c r="E1320" s="41" t="inlineStr">
        <is>
          <t>0009</t>
        </is>
      </c>
      <c r="F1320" s="42" t="inlineStr">
        <is>
          <t>서초교대e편한세상</t>
        </is>
      </c>
      <c r="G1320" s="41" t="inlineStr">
        <is>
          <t>84.9300</t>
        </is>
      </c>
      <c r="H1320" s="41" t="inlineStr">
        <is>
          <t>202407</t>
        </is>
      </c>
      <c r="I1320" s="41" t="inlineStr">
        <is>
          <t>13</t>
        </is>
      </c>
      <c r="J1320" s="41" t="inlineStr">
        <is>
          <t>249,000</t>
        </is>
      </c>
      <c r="K1320" s="41" t="inlineStr">
        <is>
          <t>102</t>
        </is>
      </c>
      <c r="L1320" s="41" t="inlineStr">
        <is>
          <t>9</t>
        </is>
      </c>
      <c r="M1320" s="42" t="inlineStr">
        <is>
          <t>개인</t>
        </is>
      </c>
      <c r="N1320" s="42" t="inlineStr">
        <is>
          <t>개인</t>
        </is>
      </c>
      <c r="O1320" s="41" t="inlineStr">
        <is>
          <t>2010</t>
        </is>
      </c>
      <c r="P1320" s="42" t="inlineStr">
        <is>
          <t>서초중앙로24길 33</t>
        </is>
      </c>
      <c r="Q1320" s="41" t="inlineStr">
        <is>
          <t>-</t>
        </is>
      </c>
      <c r="R1320" s="42" t="inlineStr">
        <is>
          <t>중개거래</t>
        </is>
      </c>
      <c r="S1320" s="42" t="inlineStr">
        <is>
          <t>서울 강남구, 서울 서초구</t>
        </is>
      </c>
      <c r="T1320" s="41" t="inlineStr">
        <is>
          <t>24.10.21</t>
        </is>
      </c>
      <c r="U1320" s="42" t="inlineStr">
        <is>
          <t>아파트</t>
        </is>
      </c>
    </row>
    <row r="1321" hidden="1" ht="14.25" customHeight="1">
      <c r="A1321" s="41" t="n">
        <v>788</v>
      </c>
      <c r="B1321" s="42" t="inlineStr">
        <is>
          <t>서울특별시 서초구 서초동</t>
        </is>
      </c>
      <c r="C1321" s="41" t="inlineStr">
        <is>
          <t>1671-5</t>
        </is>
      </c>
      <c r="D1321" s="41" t="inlineStr">
        <is>
          <t>1671</t>
        </is>
      </c>
      <c r="E1321" s="41" t="inlineStr">
        <is>
          <t>0005</t>
        </is>
      </c>
      <c r="F1321" s="42" t="inlineStr">
        <is>
          <t>대림서초리시온</t>
        </is>
      </c>
      <c r="G1321" s="41" t="inlineStr">
        <is>
          <t>33.5400</t>
        </is>
      </c>
      <c r="H1321" s="41" t="inlineStr">
        <is>
          <t>202407</t>
        </is>
      </c>
      <c r="I1321" s="41" t="inlineStr">
        <is>
          <t>13</t>
        </is>
      </c>
      <c r="J1321" s="41" t="inlineStr">
        <is>
          <t>34,900</t>
        </is>
      </c>
      <c r="K1321" s="41" t="inlineStr">
        <is>
          <t>-</t>
        </is>
      </c>
      <c r="L1321" s="41" t="inlineStr">
        <is>
          <t>11</t>
        </is>
      </c>
      <c r="M1321" s="42" t="inlineStr">
        <is>
          <t>개인</t>
        </is>
      </c>
      <c r="N1321" s="42" t="inlineStr">
        <is>
          <t>개인</t>
        </is>
      </c>
      <c r="O1321" s="41" t="inlineStr">
        <is>
          <t>2003</t>
        </is>
      </c>
      <c r="P1321" s="42" t="inlineStr">
        <is>
          <t>서초중앙로22길 25</t>
        </is>
      </c>
      <c r="Q1321" s="41" t="inlineStr">
        <is>
          <t>-</t>
        </is>
      </c>
      <c r="R1321" s="42" t="inlineStr">
        <is>
          <t>중개거래</t>
        </is>
      </c>
      <c r="S1321" s="42" t="inlineStr">
        <is>
          <t>서울 서초구</t>
        </is>
      </c>
      <c r="T1321" s="41" t="inlineStr">
        <is>
          <t>24.08.27</t>
        </is>
      </c>
      <c r="U1321" s="42" t="inlineStr">
        <is>
          <t>아파트</t>
        </is>
      </c>
    </row>
    <row r="1322" hidden="1" ht="14.25" customHeight="1">
      <c r="A1322" s="41" t="n">
        <v>789</v>
      </c>
      <c r="B1322" s="42" t="inlineStr">
        <is>
          <t>서울특별시 서초구 서초동</t>
        </is>
      </c>
      <c r="C1322" s="41" t="inlineStr">
        <is>
          <t>1682</t>
        </is>
      </c>
      <c r="D1322" s="41" t="inlineStr">
        <is>
          <t>1682</t>
        </is>
      </c>
      <c r="E1322" s="41" t="inlineStr">
        <is>
          <t>0000</t>
        </is>
      </c>
      <c r="F1322" s="42" t="inlineStr">
        <is>
          <t>서초래미안</t>
        </is>
      </c>
      <c r="G1322" s="41" t="inlineStr">
        <is>
          <t>111.3200</t>
        </is>
      </c>
      <c r="H1322" s="41" t="inlineStr">
        <is>
          <t>202407</t>
        </is>
      </c>
      <c r="I1322" s="41" t="inlineStr">
        <is>
          <t>13</t>
        </is>
      </c>
      <c r="J1322" s="41" t="inlineStr">
        <is>
          <t>249,500</t>
        </is>
      </c>
      <c r="K1322" s="41" t="inlineStr">
        <is>
          <t>106</t>
        </is>
      </c>
      <c r="L1322" s="41" t="inlineStr">
        <is>
          <t>16</t>
        </is>
      </c>
      <c r="M1322" s="42" t="inlineStr">
        <is>
          <t>개인</t>
        </is>
      </c>
      <c r="N1322" s="42" t="inlineStr">
        <is>
          <t>개인</t>
        </is>
      </c>
      <c r="O1322" s="41" t="inlineStr">
        <is>
          <t>2003</t>
        </is>
      </c>
      <c r="P1322" s="42" t="inlineStr">
        <is>
          <t>서초대로65길 13-10</t>
        </is>
      </c>
      <c r="Q1322" s="41" t="inlineStr">
        <is>
          <t>-</t>
        </is>
      </c>
      <c r="R1322" s="42" t="inlineStr">
        <is>
          <t>중개거래</t>
        </is>
      </c>
      <c r="S1322" s="42" t="inlineStr">
        <is>
          <t>서울 서초구</t>
        </is>
      </c>
      <c r="T1322" s="41" t="inlineStr">
        <is>
          <t>24.11.15</t>
        </is>
      </c>
      <c r="U1322" s="42" t="inlineStr">
        <is>
          <t>아파트</t>
        </is>
      </c>
    </row>
    <row r="1323" hidden="1" ht="14.25" customHeight="1">
      <c r="A1323" s="41" t="n">
        <v>790</v>
      </c>
      <c r="B1323" s="42" t="inlineStr">
        <is>
          <t>서울특별시 서초구 서초동</t>
        </is>
      </c>
      <c r="C1323" s="41" t="inlineStr">
        <is>
          <t>1445-4</t>
        </is>
      </c>
      <c r="D1323" s="41" t="inlineStr">
        <is>
          <t>1445</t>
        </is>
      </c>
      <c r="E1323" s="41" t="inlineStr">
        <is>
          <t>0004</t>
        </is>
      </c>
      <c r="F1323" s="42" t="inlineStr">
        <is>
          <t>래미안서초유니빌</t>
        </is>
      </c>
      <c r="G1323" s="41" t="inlineStr">
        <is>
          <t>36.8380</t>
        </is>
      </c>
      <c r="H1323" s="41" t="inlineStr">
        <is>
          <t>202407</t>
        </is>
      </c>
      <c r="I1323" s="41" t="inlineStr">
        <is>
          <t>13</t>
        </is>
      </c>
      <c r="J1323" s="41" t="inlineStr">
        <is>
          <t>40,000</t>
        </is>
      </c>
      <c r="K1323" s="42" t="inlineStr">
        <is>
          <t>래미안 서초유니빌</t>
        </is>
      </c>
      <c r="L1323" s="41" t="inlineStr">
        <is>
          <t>10</t>
        </is>
      </c>
      <c r="M1323" s="42" t="inlineStr">
        <is>
          <t>개인</t>
        </is>
      </c>
      <c r="N1323" s="42" t="inlineStr">
        <is>
          <t>개인</t>
        </is>
      </c>
      <c r="O1323" s="41" t="inlineStr">
        <is>
          <t>2003</t>
        </is>
      </c>
      <c r="P1323" s="42" t="inlineStr">
        <is>
          <t>서초중앙로 26</t>
        </is>
      </c>
      <c r="Q1323" s="41" t="inlineStr">
        <is>
          <t>-</t>
        </is>
      </c>
      <c r="R1323" s="42" t="inlineStr">
        <is>
          <t>중개거래</t>
        </is>
      </c>
      <c r="S1323" s="42" t="inlineStr">
        <is>
          <t>서울 서초구</t>
        </is>
      </c>
      <c r="T1323" s="41" t="inlineStr">
        <is>
          <t>24.09.30</t>
        </is>
      </c>
      <c r="U1323" s="42" t="inlineStr">
        <is>
          <t>아파트</t>
        </is>
      </c>
    </row>
    <row r="1324" hidden="1" ht="14.25" customHeight="1">
      <c r="A1324" s="41" t="n">
        <v>791</v>
      </c>
      <c r="B1324" s="42" t="inlineStr">
        <is>
          <t>서울특별시 서초구 서초동</t>
        </is>
      </c>
      <c r="C1324" s="41" t="inlineStr">
        <is>
          <t>1687</t>
        </is>
      </c>
      <c r="D1324" s="41" t="inlineStr">
        <is>
          <t>1687</t>
        </is>
      </c>
      <c r="E1324" s="41" t="inlineStr">
        <is>
          <t>0000</t>
        </is>
      </c>
      <c r="F1324" s="42" t="inlineStr">
        <is>
          <t>유원서초</t>
        </is>
      </c>
      <c r="G1324" s="41" t="inlineStr">
        <is>
          <t>84.8200</t>
        </is>
      </c>
      <c r="H1324" s="41" t="inlineStr">
        <is>
          <t>202407</t>
        </is>
      </c>
      <c r="I1324" s="41" t="inlineStr">
        <is>
          <t>13</t>
        </is>
      </c>
      <c r="J1324" s="41" t="inlineStr">
        <is>
          <t>189,000</t>
        </is>
      </c>
      <c r="K1324" s="41" t="inlineStr">
        <is>
          <t>102</t>
        </is>
      </c>
      <c r="L1324" s="41" t="inlineStr">
        <is>
          <t>2</t>
        </is>
      </c>
      <c r="M1324" s="42" t="inlineStr">
        <is>
          <t>개인</t>
        </is>
      </c>
      <c r="N1324" s="42" t="inlineStr">
        <is>
          <t>개인</t>
        </is>
      </c>
      <c r="O1324" s="41" t="inlineStr">
        <is>
          <t>1993</t>
        </is>
      </c>
      <c r="P1324" s="42" t="inlineStr">
        <is>
          <t>서초중앙로24길 43</t>
        </is>
      </c>
      <c r="Q1324" s="41" t="inlineStr">
        <is>
          <t>-</t>
        </is>
      </c>
      <c r="R1324" s="42" t="inlineStr">
        <is>
          <t>중개거래</t>
        </is>
      </c>
      <c r="S1324" s="42" t="inlineStr">
        <is>
          <t>서울 서초구</t>
        </is>
      </c>
      <c r="T1324" s="41" t="inlineStr">
        <is>
          <t>24.09.30</t>
        </is>
      </c>
      <c r="U1324" s="42" t="inlineStr">
        <is>
          <t>아파트</t>
        </is>
      </c>
    </row>
    <row r="1325" hidden="1" ht="14.25" customHeight="1">
      <c r="A1325" s="41" t="n">
        <v>792</v>
      </c>
      <c r="B1325" s="42" t="inlineStr">
        <is>
          <t>서울특별시 서초구 서초동</t>
        </is>
      </c>
      <c r="C1325" s="41" t="inlineStr">
        <is>
          <t>1333</t>
        </is>
      </c>
      <c r="D1325" s="41" t="inlineStr">
        <is>
          <t>1333</t>
        </is>
      </c>
      <c r="E1325" s="41" t="inlineStr">
        <is>
          <t>0000</t>
        </is>
      </c>
      <c r="F1325" s="42" t="inlineStr">
        <is>
          <t>신동아아파트(1차)</t>
        </is>
      </c>
      <c r="G1325" s="41" t="inlineStr">
        <is>
          <t>89.7300</t>
        </is>
      </c>
      <c r="H1325" s="41" t="inlineStr">
        <is>
          <t>202407</t>
        </is>
      </c>
      <c r="I1325" s="41" t="inlineStr">
        <is>
          <t>13</t>
        </is>
      </c>
      <c r="J1325" s="41" t="inlineStr">
        <is>
          <t>215,000</t>
        </is>
      </c>
      <c r="K1325" s="41" t="inlineStr">
        <is>
          <t>1</t>
        </is>
      </c>
      <c r="L1325" s="41" t="inlineStr">
        <is>
          <t>1</t>
        </is>
      </c>
      <c r="M1325" s="42" t="inlineStr">
        <is>
          <t>개인</t>
        </is>
      </c>
      <c r="N1325" s="42" t="inlineStr">
        <is>
          <t>개인</t>
        </is>
      </c>
      <c r="O1325" s="41" t="inlineStr">
        <is>
          <t>1978</t>
        </is>
      </c>
      <c r="P1325" s="42" t="inlineStr">
        <is>
          <t>사임당로 137</t>
        </is>
      </c>
      <c r="Q1325" s="41" t="inlineStr">
        <is>
          <t>-</t>
        </is>
      </c>
      <c r="R1325" s="42" t="inlineStr">
        <is>
          <t>중개거래</t>
        </is>
      </c>
      <c r="S1325" s="42" t="inlineStr">
        <is>
          <t>서울 서초구</t>
        </is>
      </c>
      <c r="T1325" s="41" t="inlineStr">
        <is>
          <t>24.09.27</t>
        </is>
      </c>
      <c r="U1325" s="42" t="inlineStr">
        <is>
          <t>아파트</t>
        </is>
      </c>
    </row>
    <row r="1326" hidden="1" ht="14.25" customHeight="1">
      <c r="A1326" s="41" t="n">
        <v>793</v>
      </c>
      <c r="B1326" s="42" t="inlineStr">
        <is>
          <t>서울특별시 서초구 서초동</t>
        </is>
      </c>
      <c r="C1326" s="41" t="inlineStr">
        <is>
          <t>1684</t>
        </is>
      </c>
      <c r="D1326" s="41" t="inlineStr">
        <is>
          <t>1684</t>
        </is>
      </c>
      <c r="E1326" s="41" t="inlineStr">
        <is>
          <t>0000</t>
        </is>
      </c>
      <c r="F1326" s="42" t="inlineStr">
        <is>
          <t>서초4현대</t>
        </is>
      </c>
      <c r="G1326" s="41" t="inlineStr">
        <is>
          <t>84.9900</t>
        </is>
      </c>
      <c r="H1326" s="41" t="inlineStr">
        <is>
          <t>202407</t>
        </is>
      </c>
      <c r="I1326" s="41" t="inlineStr">
        <is>
          <t>13</t>
        </is>
      </c>
      <c r="J1326" s="41" t="inlineStr">
        <is>
          <t>197,700</t>
        </is>
      </c>
      <c r="K1326" s="41" t="inlineStr">
        <is>
          <t>301</t>
        </is>
      </c>
      <c r="L1326" s="41" t="inlineStr">
        <is>
          <t>10</t>
        </is>
      </c>
      <c r="M1326" s="42" t="inlineStr">
        <is>
          <t>개인</t>
        </is>
      </c>
      <c r="N1326" s="42" t="inlineStr">
        <is>
          <t>개인</t>
        </is>
      </c>
      <c r="O1326" s="41" t="inlineStr">
        <is>
          <t>2000</t>
        </is>
      </c>
      <c r="P1326" s="42" t="inlineStr">
        <is>
          <t>고무래로 94</t>
        </is>
      </c>
      <c r="Q1326" s="41" t="inlineStr">
        <is>
          <t>-</t>
        </is>
      </c>
      <c r="R1326" s="42" t="inlineStr">
        <is>
          <t>중개거래</t>
        </is>
      </c>
      <c r="S1326" s="42" t="inlineStr">
        <is>
          <t>서울 서초구</t>
        </is>
      </c>
      <c r="T1326" s="41" t="inlineStr">
        <is>
          <t>24.11.01</t>
        </is>
      </c>
      <c r="U1326" s="42" t="inlineStr">
        <is>
          <t>아파트</t>
        </is>
      </c>
    </row>
    <row r="1327" hidden="1" ht="14.25" customHeight="1">
      <c r="A1327" s="41" t="n">
        <v>794</v>
      </c>
      <c r="B1327" s="42" t="inlineStr">
        <is>
          <t>서울특별시 서초구 서초동</t>
        </is>
      </c>
      <c r="C1327" s="41" t="inlineStr">
        <is>
          <t>1498-5</t>
        </is>
      </c>
      <c r="D1327" s="41" t="inlineStr">
        <is>
          <t>1498</t>
        </is>
      </c>
      <c r="E1327" s="41" t="inlineStr">
        <is>
          <t>0005</t>
        </is>
      </c>
      <c r="F1327" s="42" t="inlineStr">
        <is>
          <t>마제스타시티(힐스테이트서리풀101,102동)</t>
        </is>
      </c>
      <c r="G1327" s="41" t="inlineStr">
        <is>
          <t>59.9500</t>
        </is>
      </c>
      <c r="H1327" s="41" t="inlineStr">
        <is>
          <t>202407</t>
        </is>
      </c>
      <c r="I1327" s="41" t="inlineStr">
        <is>
          <t>13</t>
        </is>
      </c>
      <c r="J1327" s="41" t="inlineStr">
        <is>
          <t>184,000</t>
        </is>
      </c>
      <c r="K1327" s="42" t="inlineStr">
        <is>
          <t>힐스테이트 서리풀 101동</t>
        </is>
      </c>
      <c r="L1327" s="41" t="inlineStr">
        <is>
          <t>3</t>
        </is>
      </c>
      <c r="M1327" s="42" t="inlineStr">
        <is>
          <t>개인</t>
        </is>
      </c>
      <c r="N1327" s="42" t="inlineStr">
        <is>
          <t>개인</t>
        </is>
      </c>
      <c r="O1327" s="41" t="inlineStr">
        <is>
          <t>2017</t>
        </is>
      </c>
      <c r="P1327" s="42" t="inlineStr">
        <is>
          <t>서초대로38길 12</t>
        </is>
      </c>
      <c r="Q1327" s="41" t="inlineStr">
        <is>
          <t>-</t>
        </is>
      </c>
      <c r="R1327" s="42" t="inlineStr">
        <is>
          <t>중개거래</t>
        </is>
      </c>
      <c r="S1327" s="42" t="inlineStr">
        <is>
          <t>서울 서초구</t>
        </is>
      </c>
      <c r="T1327" s="41" t="inlineStr">
        <is>
          <t>24.09.23</t>
        </is>
      </c>
      <c r="U1327" s="42" t="inlineStr">
        <is>
          <t>아파트</t>
        </is>
      </c>
    </row>
    <row r="1328" hidden="1" ht="14.25" customHeight="1">
      <c r="A1328" s="41" t="n">
        <v>795</v>
      </c>
      <c r="B1328" s="42" t="inlineStr">
        <is>
          <t>서울특별시 서초구 서초동</t>
        </is>
      </c>
      <c r="C1328" s="41" t="inlineStr">
        <is>
          <t>1686-9</t>
        </is>
      </c>
      <c r="D1328" s="41" t="inlineStr">
        <is>
          <t>1686</t>
        </is>
      </c>
      <c r="E1328" s="41" t="inlineStr">
        <is>
          <t>0009</t>
        </is>
      </c>
      <c r="F1328" s="42" t="inlineStr">
        <is>
          <t>서초교대e편한세상</t>
        </is>
      </c>
      <c r="G1328" s="41" t="inlineStr">
        <is>
          <t>110.3200</t>
        </is>
      </c>
      <c r="H1328" s="41" t="inlineStr">
        <is>
          <t>202407</t>
        </is>
      </c>
      <c r="I1328" s="41" t="inlineStr">
        <is>
          <t>13</t>
        </is>
      </c>
      <c r="J1328" s="41" t="inlineStr">
        <is>
          <t>297,000</t>
        </is>
      </c>
      <c r="K1328" s="41" t="inlineStr">
        <is>
          <t>104</t>
        </is>
      </c>
      <c r="L1328" s="41" t="inlineStr">
        <is>
          <t>11</t>
        </is>
      </c>
      <c r="M1328" s="42" t="inlineStr">
        <is>
          <t>개인</t>
        </is>
      </c>
      <c r="N1328" s="42" t="inlineStr">
        <is>
          <t>개인</t>
        </is>
      </c>
      <c r="O1328" s="41" t="inlineStr">
        <is>
          <t>2010</t>
        </is>
      </c>
      <c r="P1328" s="42" t="inlineStr">
        <is>
          <t>서초중앙로24길 33</t>
        </is>
      </c>
      <c r="Q1328" s="41" t="inlineStr">
        <is>
          <t>-</t>
        </is>
      </c>
      <c r="R1328" s="42" t="inlineStr">
        <is>
          <t>중개거래</t>
        </is>
      </c>
      <c r="S1328" s="42" t="inlineStr">
        <is>
          <t>서울 서초구</t>
        </is>
      </c>
      <c r="T1328" s="41" t="inlineStr">
        <is>
          <t>24.10.21</t>
        </is>
      </c>
      <c r="U1328" s="42" t="inlineStr">
        <is>
          <t>아파트</t>
        </is>
      </c>
    </row>
    <row r="1329" hidden="1" ht="14.25" customHeight="1">
      <c r="A1329" s="41" t="n">
        <v>796</v>
      </c>
      <c r="B1329" s="42" t="inlineStr">
        <is>
          <t>서울특별시 서초구 서초동</t>
        </is>
      </c>
      <c r="C1329" s="41" t="inlineStr">
        <is>
          <t>1517-6</t>
        </is>
      </c>
      <c r="D1329" s="41" t="inlineStr">
        <is>
          <t>1517</t>
        </is>
      </c>
      <c r="E1329" s="41" t="inlineStr">
        <is>
          <t>0006</t>
        </is>
      </c>
      <c r="F1329" s="42" t="inlineStr">
        <is>
          <t>상지리츠빌(10)</t>
        </is>
      </c>
      <c r="G1329" s="41" t="inlineStr">
        <is>
          <t>197.0700</t>
        </is>
      </c>
      <c r="H1329" s="41" t="inlineStr">
        <is>
          <t>202407</t>
        </is>
      </c>
      <c r="I1329" s="41" t="inlineStr">
        <is>
          <t>12</t>
        </is>
      </c>
      <c r="J1329" s="41" t="inlineStr">
        <is>
          <t>380,000</t>
        </is>
      </c>
      <c r="K1329" s="41" t="inlineStr">
        <is>
          <t>-</t>
        </is>
      </c>
      <c r="L1329" s="41" t="inlineStr">
        <is>
          <t>6</t>
        </is>
      </c>
      <c r="M1329" s="42" t="inlineStr">
        <is>
          <t>개인</t>
        </is>
      </c>
      <c r="N1329" s="42" t="inlineStr">
        <is>
          <t>개인</t>
        </is>
      </c>
      <c r="O1329" s="41" t="inlineStr">
        <is>
          <t>2005</t>
        </is>
      </c>
      <c r="P1329" s="42" t="inlineStr">
        <is>
          <t>명달로16길 17-5</t>
        </is>
      </c>
      <c r="Q1329" s="41" t="inlineStr">
        <is>
          <t>-</t>
        </is>
      </c>
      <c r="R1329" s="42" t="inlineStr">
        <is>
          <t>중개거래</t>
        </is>
      </c>
      <c r="S1329" s="42" t="inlineStr">
        <is>
          <t>서울 서초구</t>
        </is>
      </c>
      <c r="T1329" s="41" t="inlineStr">
        <is>
          <t>25.04.30</t>
        </is>
      </c>
      <c r="U1329" s="42" t="inlineStr">
        <is>
          <t>아파트</t>
        </is>
      </c>
    </row>
    <row r="1330" hidden="1" ht="14.25" customHeight="1">
      <c r="A1330" s="41" t="n">
        <v>797</v>
      </c>
      <c r="B1330" s="42" t="inlineStr">
        <is>
          <t>서울특별시 서초구 서초동</t>
        </is>
      </c>
      <c r="C1330" s="41" t="inlineStr">
        <is>
          <t>1682</t>
        </is>
      </c>
      <c r="D1330" s="41" t="inlineStr">
        <is>
          <t>1682</t>
        </is>
      </c>
      <c r="E1330" s="41" t="inlineStr">
        <is>
          <t>0000</t>
        </is>
      </c>
      <c r="F1330" s="42" t="inlineStr">
        <is>
          <t>서초래미안</t>
        </is>
      </c>
      <c r="G1330" s="41" t="inlineStr">
        <is>
          <t>111.3200</t>
        </is>
      </c>
      <c r="H1330" s="41" t="inlineStr">
        <is>
          <t>202407</t>
        </is>
      </c>
      <c r="I1330" s="41" t="inlineStr">
        <is>
          <t>12</t>
        </is>
      </c>
      <c r="J1330" s="41" t="inlineStr">
        <is>
          <t>244,000</t>
        </is>
      </c>
      <c r="K1330" s="41" t="inlineStr">
        <is>
          <t>105</t>
        </is>
      </c>
      <c r="L1330" s="41" t="inlineStr">
        <is>
          <t>14</t>
        </is>
      </c>
      <c r="M1330" s="42" t="inlineStr">
        <is>
          <t>개인</t>
        </is>
      </c>
      <c r="N1330" s="42" t="inlineStr">
        <is>
          <t>개인</t>
        </is>
      </c>
      <c r="O1330" s="41" t="inlineStr">
        <is>
          <t>2003</t>
        </is>
      </c>
      <c r="P1330" s="42" t="inlineStr">
        <is>
          <t>서초대로65길 13-10</t>
        </is>
      </c>
      <c r="Q1330" s="41" t="inlineStr">
        <is>
          <t>-</t>
        </is>
      </c>
      <c r="R1330" s="42" t="inlineStr">
        <is>
          <t>중개거래</t>
        </is>
      </c>
      <c r="S1330" s="42" t="inlineStr">
        <is>
          <t>서울 서초구</t>
        </is>
      </c>
      <c r="T1330" s="41" t="inlineStr">
        <is>
          <t>24.10.31</t>
        </is>
      </c>
      <c r="U1330" s="42" t="inlineStr">
        <is>
          <t>아파트</t>
        </is>
      </c>
    </row>
    <row r="1331" hidden="1" ht="14.25" customHeight="1">
      <c r="A1331" s="41" t="n">
        <v>798</v>
      </c>
      <c r="B1331" s="42" t="inlineStr">
        <is>
          <t>서울특별시 서초구 서초동</t>
        </is>
      </c>
      <c r="C1331" s="41" t="inlineStr">
        <is>
          <t>1510-15</t>
        </is>
      </c>
      <c r="D1331" s="41" t="inlineStr">
        <is>
          <t>1510</t>
        </is>
      </c>
      <c r="E1331" s="41" t="inlineStr">
        <is>
          <t>0015</t>
        </is>
      </c>
      <c r="F1331" s="42" t="inlineStr">
        <is>
          <t>서초화원그랑빌</t>
        </is>
      </c>
      <c r="G1331" s="41" t="inlineStr">
        <is>
          <t>81.8800</t>
        </is>
      </c>
      <c r="H1331" s="41" t="inlineStr">
        <is>
          <t>202407</t>
        </is>
      </c>
      <c r="I1331" s="41" t="inlineStr">
        <is>
          <t>12</t>
        </is>
      </c>
      <c r="J1331" s="41" t="inlineStr">
        <is>
          <t>104,000</t>
        </is>
      </c>
      <c r="K1331" s="41" t="inlineStr">
        <is>
          <t>-</t>
        </is>
      </c>
      <c r="L1331" s="41" t="inlineStr">
        <is>
          <t>5</t>
        </is>
      </c>
      <c r="M1331" s="42" t="inlineStr">
        <is>
          <t>개인</t>
        </is>
      </c>
      <c r="N1331" s="42" t="inlineStr">
        <is>
          <t>개인</t>
        </is>
      </c>
      <c r="O1331" s="41" t="inlineStr">
        <is>
          <t>2002</t>
        </is>
      </c>
      <c r="P1331" s="42" t="inlineStr">
        <is>
          <t>반포대로21길 27</t>
        </is>
      </c>
      <c r="Q1331" s="41" t="inlineStr">
        <is>
          <t>-</t>
        </is>
      </c>
      <c r="R1331" s="42" t="inlineStr">
        <is>
          <t>중개거래</t>
        </is>
      </c>
      <c r="S1331" s="42" t="inlineStr">
        <is>
          <t>서울 서초구</t>
        </is>
      </c>
      <c r="T1331" s="41" t="inlineStr">
        <is>
          <t>24.08.12</t>
        </is>
      </c>
      <c r="U1331" s="42" t="inlineStr">
        <is>
          <t>아파트</t>
        </is>
      </c>
    </row>
    <row r="1332" hidden="1" ht="14.25" customHeight="1">
      <c r="A1332" s="41" t="n">
        <v>799</v>
      </c>
      <c r="B1332" s="42" t="inlineStr">
        <is>
          <t>서울특별시 서초구 서초동</t>
        </is>
      </c>
      <c r="C1332" s="41" t="inlineStr">
        <is>
          <t>1755</t>
        </is>
      </c>
      <c r="D1332" s="41" t="inlineStr">
        <is>
          <t>1755</t>
        </is>
      </c>
      <c r="E1332" s="41" t="inlineStr">
        <is>
          <t>0000</t>
        </is>
      </c>
      <c r="F1332" s="42" t="inlineStr">
        <is>
          <t>래미안 리더스원</t>
        </is>
      </c>
      <c r="G1332" s="41" t="inlineStr">
        <is>
          <t>59.9700</t>
        </is>
      </c>
      <c r="H1332" s="41" t="inlineStr">
        <is>
          <t>202407</t>
        </is>
      </c>
      <c r="I1332" s="41" t="inlineStr">
        <is>
          <t>12</t>
        </is>
      </c>
      <c r="J1332" s="41" t="inlineStr">
        <is>
          <t>265,000</t>
        </is>
      </c>
      <c r="K1332" s="41" t="inlineStr">
        <is>
          <t>112동</t>
        </is>
      </c>
      <c r="L1332" s="41" t="inlineStr">
        <is>
          <t>19</t>
        </is>
      </c>
      <c r="M1332" s="42" t="inlineStr">
        <is>
          <t>개인</t>
        </is>
      </c>
      <c r="N1332" s="42" t="inlineStr">
        <is>
          <t>개인</t>
        </is>
      </c>
      <c r="O1332" s="41" t="inlineStr">
        <is>
          <t>2020</t>
        </is>
      </c>
      <c r="P1332" s="42" t="inlineStr">
        <is>
          <t>서운로 62</t>
        </is>
      </c>
      <c r="Q1332" s="41" t="inlineStr">
        <is>
          <t>-</t>
        </is>
      </c>
      <c r="R1332" s="42" t="inlineStr">
        <is>
          <t>중개거래</t>
        </is>
      </c>
      <c r="S1332" s="42" t="inlineStr">
        <is>
          <t>서울 서초구</t>
        </is>
      </c>
      <c r="T1332" s="41" t="inlineStr">
        <is>
          <t>24.11.29</t>
        </is>
      </c>
      <c r="U1332" s="42" t="inlineStr">
        <is>
          <t>아파트</t>
        </is>
      </c>
    </row>
    <row r="1333" hidden="1" ht="14.25" customHeight="1">
      <c r="A1333" s="41" t="n">
        <v>800</v>
      </c>
      <c r="B1333" s="42" t="inlineStr">
        <is>
          <t>서울특별시 서초구 서초동</t>
        </is>
      </c>
      <c r="C1333" s="41" t="inlineStr">
        <is>
          <t>1486-17</t>
        </is>
      </c>
      <c r="D1333" s="41" t="inlineStr">
        <is>
          <t>1486</t>
        </is>
      </c>
      <c r="E1333" s="41" t="inlineStr">
        <is>
          <t>0017</t>
        </is>
      </c>
      <c r="F1333" s="42" t="inlineStr">
        <is>
          <t>비버리캐슬</t>
        </is>
      </c>
      <c r="G1333" s="41" t="inlineStr">
        <is>
          <t>49.0900</t>
        </is>
      </c>
      <c r="H1333" s="41" t="inlineStr">
        <is>
          <t>202407</t>
        </is>
      </c>
      <c r="I1333" s="41" t="inlineStr">
        <is>
          <t>12</t>
        </is>
      </c>
      <c r="J1333" s="41" t="inlineStr">
        <is>
          <t>100,000</t>
        </is>
      </c>
      <c r="K1333" s="41" t="inlineStr">
        <is>
          <t>-</t>
        </is>
      </c>
      <c r="L1333" s="41" t="inlineStr">
        <is>
          <t>8</t>
        </is>
      </c>
      <c r="M1333" s="42" t="inlineStr">
        <is>
          <t>개인</t>
        </is>
      </c>
      <c r="N1333" s="42" t="inlineStr">
        <is>
          <t>개인</t>
        </is>
      </c>
      <c r="O1333" s="41" t="inlineStr">
        <is>
          <t>2020</t>
        </is>
      </c>
      <c r="P1333" s="42" t="inlineStr">
        <is>
          <t>반포대로9길 70</t>
        </is>
      </c>
      <c r="Q1333" s="41" t="inlineStr">
        <is>
          <t>-</t>
        </is>
      </c>
      <c r="R1333" s="42" t="inlineStr">
        <is>
          <t>직거래</t>
        </is>
      </c>
      <c r="S1333" s="41" t="inlineStr">
        <is>
          <t>-</t>
        </is>
      </c>
      <c r="T1333" s="41" t="inlineStr">
        <is>
          <t>24.07.15</t>
        </is>
      </c>
      <c r="U1333" s="42" t="inlineStr">
        <is>
          <t>아파트</t>
        </is>
      </c>
    </row>
    <row r="1334" hidden="1" ht="14.25" customHeight="1">
      <c r="A1334" s="41" t="n">
        <v>801</v>
      </c>
      <c r="B1334" s="42" t="inlineStr">
        <is>
          <t>서울특별시 서초구 서초동</t>
        </is>
      </c>
      <c r="C1334" s="41" t="inlineStr">
        <is>
          <t>1754</t>
        </is>
      </c>
      <c r="D1334" s="41" t="inlineStr">
        <is>
          <t>1754</t>
        </is>
      </c>
      <c r="E1334" s="41" t="inlineStr">
        <is>
          <t>0000</t>
        </is>
      </c>
      <c r="F1334" s="42" t="inlineStr">
        <is>
          <t>래미안서초에스티지S</t>
        </is>
      </c>
      <c r="G1334" s="41" t="inlineStr">
        <is>
          <t>111.0100</t>
        </is>
      </c>
      <c r="H1334" s="41" t="inlineStr">
        <is>
          <t>202407</t>
        </is>
      </c>
      <c r="I1334" s="41" t="inlineStr">
        <is>
          <t>12</t>
        </is>
      </c>
      <c r="J1334" s="41" t="inlineStr">
        <is>
          <t>307,000</t>
        </is>
      </c>
      <c r="K1334" s="41" t="inlineStr">
        <is>
          <t>203</t>
        </is>
      </c>
      <c r="L1334" s="41" t="inlineStr">
        <is>
          <t>4</t>
        </is>
      </c>
      <c r="M1334" s="42" t="inlineStr">
        <is>
          <t>개인</t>
        </is>
      </c>
      <c r="N1334" s="42" t="inlineStr">
        <is>
          <t>개인</t>
        </is>
      </c>
      <c r="O1334" s="41" t="inlineStr">
        <is>
          <t>2018</t>
        </is>
      </c>
      <c r="P1334" s="42" t="inlineStr">
        <is>
          <t>서운로 104</t>
        </is>
      </c>
      <c r="Q1334" s="41" t="inlineStr">
        <is>
          <t>-</t>
        </is>
      </c>
      <c r="R1334" s="42" t="inlineStr">
        <is>
          <t>중개거래</t>
        </is>
      </c>
      <c r="S1334" s="42" t="inlineStr">
        <is>
          <t>서울 서초구</t>
        </is>
      </c>
      <c r="T1334" s="41" t="inlineStr">
        <is>
          <t>24.07.19</t>
        </is>
      </c>
      <c r="U1334" s="42" t="inlineStr">
        <is>
          <t>아파트</t>
        </is>
      </c>
    </row>
    <row r="1335" hidden="1" ht="14.25" customHeight="1">
      <c r="A1335" s="41" t="n">
        <v>802</v>
      </c>
      <c r="B1335" s="42" t="inlineStr">
        <is>
          <t>서울특별시 서초구 서초동</t>
        </is>
      </c>
      <c r="C1335" s="41" t="inlineStr">
        <is>
          <t>1517-6</t>
        </is>
      </c>
      <c r="D1335" s="41" t="inlineStr">
        <is>
          <t>1517</t>
        </is>
      </c>
      <c r="E1335" s="41" t="inlineStr">
        <is>
          <t>0006</t>
        </is>
      </c>
      <c r="F1335" s="42" t="inlineStr">
        <is>
          <t>상지리츠빌(10)</t>
        </is>
      </c>
      <c r="G1335" s="41" t="inlineStr">
        <is>
          <t>197.0700</t>
        </is>
      </c>
      <c r="H1335" s="41" t="inlineStr">
        <is>
          <t>202407</t>
        </is>
      </c>
      <c r="I1335" s="41" t="inlineStr">
        <is>
          <t>12</t>
        </is>
      </c>
      <c r="J1335" s="41" t="inlineStr">
        <is>
          <t>380,000</t>
        </is>
      </c>
      <c r="K1335" s="41" t="inlineStr">
        <is>
          <t>-</t>
        </is>
      </c>
      <c r="L1335" s="41" t="inlineStr">
        <is>
          <t>6</t>
        </is>
      </c>
      <c r="M1335" s="42" t="inlineStr">
        <is>
          <t>개인</t>
        </is>
      </c>
      <c r="N1335" s="42" t="inlineStr">
        <is>
          <t>개인</t>
        </is>
      </c>
      <c r="O1335" s="41" t="inlineStr">
        <is>
          <t>2005</t>
        </is>
      </c>
      <c r="P1335" s="42" t="inlineStr">
        <is>
          <t>명달로16길 17-5</t>
        </is>
      </c>
      <c r="Q1335" s="41" t="inlineStr">
        <is>
          <t>20240712</t>
        </is>
      </c>
      <c r="R1335" s="42" t="inlineStr">
        <is>
          <t>중개거래</t>
        </is>
      </c>
      <c r="S1335" s="42" t="inlineStr">
        <is>
          <t>서울 서초구</t>
        </is>
      </c>
      <c r="T1335" s="41" t="inlineStr">
        <is>
          <t>-</t>
        </is>
      </c>
      <c r="U1335" s="42" t="inlineStr">
        <is>
          <t>아파트</t>
        </is>
      </c>
    </row>
    <row r="1336" hidden="1" ht="14.25" customHeight="1">
      <c r="A1336" s="41" t="n">
        <v>803</v>
      </c>
      <c r="B1336" s="42" t="inlineStr">
        <is>
          <t>서울특별시 서초구 서초동</t>
        </is>
      </c>
      <c r="C1336" s="41" t="inlineStr">
        <is>
          <t>1330</t>
        </is>
      </c>
      <c r="D1336" s="41" t="inlineStr">
        <is>
          <t>1330</t>
        </is>
      </c>
      <c r="E1336" s="41" t="inlineStr">
        <is>
          <t>0000</t>
        </is>
      </c>
      <c r="F1336" s="42" t="inlineStr">
        <is>
          <t>서초동삼성쉐르빌2</t>
        </is>
      </c>
      <c r="G1336" s="41" t="inlineStr">
        <is>
          <t>52.8300</t>
        </is>
      </c>
      <c r="H1336" s="41" t="inlineStr">
        <is>
          <t>202407</t>
        </is>
      </c>
      <c r="I1336" s="41" t="inlineStr">
        <is>
          <t>11</t>
        </is>
      </c>
      <c r="J1336" s="41" t="inlineStr">
        <is>
          <t>54,600</t>
        </is>
      </c>
      <c r="K1336" s="41" t="inlineStr">
        <is>
          <t>-</t>
        </is>
      </c>
      <c r="L1336" s="41" t="inlineStr">
        <is>
          <t>8</t>
        </is>
      </c>
      <c r="M1336" s="42" t="inlineStr">
        <is>
          <t>개인</t>
        </is>
      </c>
      <c r="N1336" s="42" t="inlineStr">
        <is>
          <t>개인</t>
        </is>
      </c>
      <c r="O1336" s="41" t="inlineStr">
        <is>
          <t>2002</t>
        </is>
      </c>
      <c r="P1336" s="42" t="inlineStr">
        <is>
          <t>강남대로53길 11</t>
        </is>
      </c>
      <c r="Q1336" s="41" t="inlineStr">
        <is>
          <t>-</t>
        </is>
      </c>
      <c r="R1336" s="42" t="inlineStr">
        <is>
          <t>중개거래</t>
        </is>
      </c>
      <c r="S1336" s="42" t="inlineStr">
        <is>
          <t>서울 서초구</t>
        </is>
      </c>
      <c r="T1336" s="41" t="inlineStr">
        <is>
          <t>24.08.14</t>
        </is>
      </c>
      <c r="U1336" s="42" t="inlineStr">
        <is>
          <t>아파트</t>
        </is>
      </c>
    </row>
    <row r="1337" hidden="1" ht="14.25" customHeight="1">
      <c r="A1337" s="41" t="n">
        <v>804</v>
      </c>
      <c r="B1337" s="42" t="inlineStr">
        <is>
          <t>서울특별시 서초구 서초동</t>
        </is>
      </c>
      <c r="C1337" s="41" t="inlineStr">
        <is>
          <t>1315</t>
        </is>
      </c>
      <c r="D1337" s="41" t="inlineStr">
        <is>
          <t>1315</t>
        </is>
      </c>
      <c r="E1337" s="41" t="inlineStr">
        <is>
          <t>0000</t>
        </is>
      </c>
      <c r="F1337" s="42" t="inlineStr">
        <is>
          <t>진흥아파트</t>
        </is>
      </c>
      <c r="G1337" s="41" t="inlineStr">
        <is>
          <t>131.0400</t>
        </is>
      </c>
      <c r="H1337" s="41" t="inlineStr">
        <is>
          <t>202407</t>
        </is>
      </c>
      <c r="I1337" s="41" t="inlineStr">
        <is>
          <t>11</t>
        </is>
      </c>
      <c r="J1337" s="41" t="inlineStr">
        <is>
          <t>285,000</t>
        </is>
      </c>
      <c r="K1337" s="41" t="inlineStr">
        <is>
          <t>8</t>
        </is>
      </c>
      <c r="L1337" s="41" t="inlineStr">
        <is>
          <t>13</t>
        </is>
      </c>
      <c r="M1337" s="42" t="inlineStr">
        <is>
          <t>개인</t>
        </is>
      </c>
      <c r="N1337" s="42" t="inlineStr">
        <is>
          <t>법인</t>
        </is>
      </c>
      <c r="O1337" s="41" t="inlineStr">
        <is>
          <t>1979</t>
        </is>
      </c>
      <c r="P1337" s="42" t="inlineStr">
        <is>
          <t>서초대로 385</t>
        </is>
      </c>
      <c r="Q1337" s="41" t="inlineStr">
        <is>
          <t>-</t>
        </is>
      </c>
      <c r="R1337" s="42" t="inlineStr">
        <is>
          <t>중개거래</t>
        </is>
      </c>
      <c r="S1337" s="42" t="inlineStr">
        <is>
          <t>서울 서초구</t>
        </is>
      </c>
      <c r="T1337" s="41" t="inlineStr">
        <is>
          <t>24.10.04</t>
        </is>
      </c>
      <c r="U1337" s="42" t="inlineStr">
        <is>
          <t>아파트</t>
        </is>
      </c>
    </row>
    <row r="1338" hidden="1" ht="14.25" customHeight="1">
      <c r="A1338" s="41" t="n">
        <v>805</v>
      </c>
      <c r="B1338" s="42" t="inlineStr">
        <is>
          <t>서울특별시 서초구 서초동</t>
        </is>
      </c>
      <c r="C1338" s="41" t="inlineStr">
        <is>
          <t>1311-10</t>
        </is>
      </c>
      <c r="D1338" s="41" t="inlineStr">
        <is>
          <t>1311</t>
        </is>
      </c>
      <c r="E1338" s="41" t="inlineStr">
        <is>
          <t>0010</t>
        </is>
      </c>
      <c r="F1338" s="42" t="inlineStr">
        <is>
          <t>서초푸르지오써밋</t>
        </is>
      </c>
      <c r="G1338" s="41" t="inlineStr">
        <is>
          <t>104.4000</t>
        </is>
      </c>
      <c r="H1338" s="41" t="inlineStr">
        <is>
          <t>202407</t>
        </is>
      </c>
      <c r="I1338" s="41" t="inlineStr">
        <is>
          <t>10</t>
        </is>
      </c>
      <c r="J1338" s="41" t="inlineStr">
        <is>
          <t>325,000</t>
        </is>
      </c>
      <c r="K1338" s="41" t="inlineStr">
        <is>
          <t>101</t>
        </is>
      </c>
      <c r="L1338" s="41" t="inlineStr">
        <is>
          <t>8</t>
        </is>
      </c>
      <c r="M1338" s="42" t="inlineStr">
        <is>
          <t>개인</t>
        </is>
      </c>
      <c r="N1338" s="42" t="inlineStr">
        <is>
          <t>개인</t>
        </is>
      </c>
      <c r="O1338" s="41" t="inlineStr">
        <is>
          <t>2017</t>
        </is>
      </c>
      <c r="P1338" s="42" t="inlineStr">
        <is>
          <t>서운로 201</t>
        </is>
      </c>
      <c r="Q1338" s="41" t="inlineStr">
        <is>
          <t>-</t>
        </is>
      </c>
      <c r="R1338" s="42" t="inlineStr">
        <is>
          <t>중개거래</t>
        </is>
      </c>
      <c r="S1338" s="42" t="inlineStr">
        <is>
          <t>서울 서초구</t>
        </is>
      </c>
      <c r="T1338" s="41" t="inlineStr">
        <is>
          <t>24.09.03</t>
        </is>
      </c>
      <c r="U1338" s="42" t="inlineStr">
        <is>
          <t>아파트</t>
        </is>
      </c>
    </row>
    <row r="1339" hidden="1" ht="14.25" customHeight="1">
      <c r="A1339" s="41" t="n">
        <v>806</v>
      </c>
      <c r="B1339" s="42" t="inlineStr">
        <is>
          <t>서울특별시 서초구 서초동</t>
        </is>
      </c>
      <c r="C1339" s="41" t="inlineStr">
        <is>
          <t>1685</t>
        </is>
      </c>
      <c r="D1339" s="41" t="inlineStr">
        <is>
          <t>1685</t>
        </is>
      </c>
      <c r="E1339" s="41" t="inlineStr">
        <is>
          <t>0000</t>
        </is>
      </c>
      <c r="F1339" s="42" t="inlineStr">
        <is>
          <t>삼풍아파트</t>
        </is>
      </c>
      <c r="G1339" s="41" t="inlineStr">
        <is>
          <t>79.4700</t>
        </is>
      </c>
      <c r="H1339" s="41" t="inlineStr">
        <is>
          <t>202407</t>
        </is>
      </c>
      <c r="I1339" s="41" t="inlineStr">
        <is>
          <t>10</t>
        </is>
      </c>
      <c r="J1339" s="41" t="inlineStr">
        <is>
          <t>248,000</t>
        </is>
      </c>
      <c r="K1339" s="41" t="inlineStr">
        <is>
          <t>5</t>
        </is>
      </c>
      <c r="L1339" s="41" t="inlineStr">
        <is>
          <t>12</t>
        </is>
      </c>
      <c r="M1339" s="42" t="inlineStr">
        <is>
          <t>개인</t>
        </is>
      </c>
      <c r="N1339" s="42" t="inlineStr">
        <is>
          <t>개인</t>
        </is>
      </c>
      <c r="O1339" s="41" t="inlineStr">
        <is>
          <t>1988</t>
        </is>
      </c>
      <c r="P1339" s="42" t="inlineStr">
        <is>
          <t>서초중앙로 200</t>
        </is>
      </c>
      <c r="Q1339" s="41" t="inlineStr">
        <is>
          <t>-</t>
        </is>
      </c>
      <c r="R1339" s="42" t="inlineStr">
        <is>
          <t>중개거래</t>
        </is>
      </c>
      <c r="S1339" s="42" t="inlineStr">
        <is>
          <t>서울 서초구</t>
        </is>
      </c>
      <c r="T1339" s="41" t="inlineStr">
        <is>
          <t>24.10.31</t>
        </is>
      </c>
      <c r="U1339" s="42" t="inlineStr">
        <is>
          <t>아파트</t>
        </is>
      </c>
    </row>
    <row r="1340" hidden="1" ht="14.25" customHeight="1">
      <c r="A1340" s="41" t="n">
        <v>807</v>
      </c>
      <c r="B1340" s="42" t="inlineStr">
        <is>
          <t>서울특별시 서초구 서초동</t>
        </is>
      </c>
      <c r="C1340" s="41" t="inlineStr">
        <is>
          <t>1685</t>
        </is>
      </c>
      <c r="D1340" s="41" t="inlineStr">
        <is>
          <t>1685</t>
        </is>
      </c>
      <c r="E1340" s="41" t="inlineStr">
        <is>
          <t>0000</t>
        </is>
      </c>
      <c r="F1340" s="42" t="inlineStr">
        <is>
          <t>삼풍아파트</t>
        </is>
      </c>
      <c r="G1340" s="41" t="inlineStr">
        <is>
          <t>130.7300</t>
        </is>
      </c>
      <c r="H1340" s="41" t="inlineStr">
        <is>
          <t>202407</t>
        </is>
      </c>
      <c r="I1340" s="41" t="inlineStr">
        <is>
          <t>10</t>
        </is>
      </c>
      <c r="J1340" s="41" t="inlineStr">
        <is>
          <t>350,000</t>
        </is>
      </c>
      <c r="K1340" s="41" t="inlineStr">
        <is>
          <t>16</t>
        </is>
      </c>
      <c r="L1340" s="41" t="inlineStr">
        <is>
          <t>10</t>
        </is>
      </c>
      <c r="M1340" s="42" t="inlineStr">
        <is>
          <t>개인</t>
        </is>
      </c>
      <c r="N1340" s="42" t="inlineStr">
        <is>
          <t>개인</t>
        </is>
      </c>
      <c r="O1340" s="41" t="inlineStr">
        <is>
          <t>1988</t>
        </is>
      </c>
      <c r="P1340" s="42" t="inlineStr">
        <is>
          <t>서초중앙로 200</t>
        </is>
      </c>
      <c r="Q1340" s="41" t="inlineStr">
        <is>
          <t>-</t>
        </is>
      </c>
      <c r="R1340" s="42" t="inlineStr">
        <is>
          <t>중개거래</t>
        </is>
      </c>
      <c r="S1340" s="42" t="inlineStr">
        <is>
          <t>서울 서초구</t>
        </is>
      </c>
      <c r="T1340" s="41" t="inlineStr">
        <is>
          <t>24.10.22</t>
        </is>
      </c>
      <c r="U1340" s="42" t="inlineStr">
        <is>
          <t>아파트</t>
        </is>
      </c>
    </row>
    <row r="1341" hidden="1" ht="14.25" customHeight="1">
      <c r="A1341" s="41" t="n">
        <v>808</v>
      </c>
      <c r="B1341" s="42" t="inlineStr">
        <is>
          <t>서울특별시 서초구 서초동</t>
        </is>
      </c>
      <c r="C1341" s="41" t="inlineStr">
        <is>
          <t>1685-3</t>
        </is>
      </c>
      <c r="D1341" s="41" t="inlineStr">
        <is>
          <t>1685</t>
        </is>
      </c>
      <c r="E1341" s="41" t="inlineStr">
        <is>
          <t>0003</t>
        </is>
      </c>
      <c r="F1341" s="42" t="inlineStr">
        <is>
          <t>아크로비스타</t>
        </is>
      </c>
      <c r="G1341" s="41" t="inlineStr">
        <is>
          <t>138.9600</t>
        </is>
      </c>
      <c r="H1341" s="41" t="inlineStr">
        <is>
          <t>202407</t>
        </is>
      </c>
      <c r="I1341" s="41" t="inlineStr">
        <is>
          <t>10</t>
        </is>
      </c>
      <c r="J1341" s="41" t="inlineStr">
        <is>
          <t>285,000</t>
        </is>
      </c>
      <c r="K1341" s="41" t="inlineStr">
        <is>
          <t>C</t>
        </is>
      </c>
      <c r="L1341" s="41" t="inlineStr">
        <is>
          <t>30</t>
        </is>
      </c>
      <c r="M1341" s="42" t="inlineStr">
        <is>
          <t>개인</t>
        </is>
      </c>
      <c r="N1341" s="42" t="inlineStr">
        <is>
          <t>개인</t>
        </is>
      </c>
      <c r="O1341" s="41" t="inlineStr">
        <is>
          <t>2004</t>
        </is>
      </c>
      <c r="P1341" s="42" t="inlineStr">
        <is>
          <t>서초중앙로 188</t>
        </is>
      </c>
      <c r="Q1341" s="41" t="inlineStr">
        <is>
          <t>-</t>
        </is>
      </c>
      <c r="R1341" s="42" t="inlineStr">
        <is>
          <t>중개거래</t>
        </is>
      </c>
      <c r="S1341" s="42" t="inlineStr">
        <is>
          <t>서울 서초구</t>
        </is>
      </c>
      <c r="T1341" s="41" t="inlineStr">
        <is>
          <t>24.11.18</t>
        </is>
      </c>
      <c r="U1341" s="42" t="inlineStr">
        <is>
          <t>아파트</t>
        </is>
      </c>
    </row>
    <row r="1342" hidden="1" ht="14.25" customHeight="1">
      <c r="A1342" s="41" t="n">
        <v>809</v>
      </c>
      <c r="B1342" s="42" t="inlineStr">
        <is>
          <t>서울특별시 서초구 서초동</t>
        </is>
      </c>
      <c r="C1342" s="41" t="inlineStr">
        <is>
          <t>1312-3</t>
        </is>
      </c>
      <c r="D1342" s="41" t="inlineStr">
        <is>
          <t>1312</t>
        </is>
      </c>
      <c r="E1342" s="41" t="inlineStr">
        <is>
          <t>0003</t>
        </is>
      </c>
      <c r="F1342" s="42" t="inlineStr">
        <is>
          <t>롯데캐슬클래식</t>
        </is>
      </c>
      <c r="G1342" s="41" t="inlineStr">
        <is>
          <t>84.9800</t>
        </is>
      </c>
      <c r="H1342" s="41" t="inlineStr">
        <is>
          <t>202407</t>
        </is>
      </c>
      <c r="I1342" s="41" t="inlineStr">
        <is>
          <t>10</t>
        </is>
      </c>
      <c r="J1342" s="41" t="inlineStr">
        <is>
          <t>250,000</t>
        </is>
      </c>
      <c r="K1342" s="41" t="inlineStr">
        <is>
          <t>101</t>
        </is>
      </c>
      <c r="L1342" s="41" t="inlineStr">
        <is>
          <t>21</t>
        </is>
      </c>
      <c r="M1342" s="42" t="inlineStr">
        <is>
          <t>개인</t>
        </is>
      </c>
      <c r="N1342" s="42" t="inlineStr">
        <is>
          <t>개인</t>
        </is>
      </c>
      <c r="O1342" s="41" t="inlineStr">
        <is>
          <t>2006</t>
        </is>
      </c>
      <c r="P1342" s="42" t="inlineStr">
        <is>
          <t>서운로 197</t>
        </is>
      </c>
      <c r="Q1342" s="41" t="inlineStr">
        <is>
          <t>-</t>
        </is>
      </c>
      <c r="R1342" s="42" t="inlineStr">
        <is>
          <t>중개거래</t>
        </is>
      </c>
      <c r="S1342" s="42" t="inlineStr">
        <is>
          <t>서울 서초구</t>
        </is>
      </c>
      <c r="T1342" s="41" t="inlineStr">
        <is>
          <t>24.10.30</t>
        </is>
      </c>
      <c r="U1342" s="42" t="inlineStr">
        <is>
          <t>아파트</t>
        </is>
      </c>
    </row>
    <row r="1343" hidden="1" ht="14.25" customHeight="1">
      <c r="A1343" s="41" t="n">
        <v>810</v>
      </c>
      <c r="B1343" s="42" t="inlineStr">
        <is>
          <t>서울특별시 서초구 서초동</t>
        </is>
      </c>
      <c r="C1343" s="41" t="inlineStr">
        <is>
          <t>1301-6</t>
        </is>
      </c>
      <c r="D1343" s="41" t="inlineStr">
        <is>
          <t>1301</t>
        </is>
      </c>
      <c r="E1343" s="41" t="inlineStr">
        <is>
          <t>0006</t>
        </is>
      </c>
      <c r="F1343" s="42" t="inlineStr">
        <is>
          <t>래미안서초스위트</t>
        </is>
      </c>
      <c r="G1343" s="41" t="inlineStr">
        <is>
          <t>95.7555</t>
        </is>
      </c>
      <c r="H1343" s="41" t="inlineStr">
        <is>
          <t>202407</t>
        </is>
      </c>
      <c r="I1343" s="41" t="inlineStr">
        <is>
          <t>09</t>
        </is>
      </c>
      <c r="J1343" s="41" t="inlineStr">
        <is>
          <t>259,000</t>
        </is>
      </c>
      <c r="K1343" s="41" t="inlineStr">
        <is>
          <t>102</t>
        </is>
      </c>
      <c r="L1343" s="41" t="inlineStr">
        <is>
          <t>29</t>
        </is>
      </c>
      <c r="M1343" s="42" t="inlineStr">
        <is>
          <t>개인</t>
        </is>
      </c>
      <c r="N1343" s="42" t="inlineStr">
        <is>
          <t>개인</t>
        </is>
      </c>
      <c r="O1343" s="41" t="inlineStr">
        <is>
          <t>2009</t>
        </is>
      </c>
      <c r="P1343" s="42" t="inlineStr">
        <is>
          <t>서운로 221</t>
        </is>
      </c>
      <c r="Q1343" s="41" t="inlineStr">
        <is>
          <t>-</t>
        </is>
      </c>
      <c r="R1343" s="42" t="inlineStr">
        <is>
          <t>중개거래</t>
        </is>
      </c>
      <c r="S1343" s="42" t="inlineStr">
        <is>
          <t>서울 서초구</t>
        </is>
      </c>
      <c r="T1343" s="41" t="inlineStr">
        <is>
          <t>24.09.13</t>
        </is>
      </c>
      <c r="U1343" s="42" t="inlineStr">
        <is>
          <t>아파트</t>
        </is>
      </c>
    </row>
    <row r="1344" hidden="1" ht="14.25" customHeight="1">
      <c r="A1344" s="41" t="n">
        <v>811</v>
      </c>
      <c r="B1344" s="42" t="inlineStr">
        <is>
          <t>서울특별시 서초구 서초동</t>
        </is>
      </c>
      <c r="C1344" s="41" t="inlineStr">
        <is>
          <t>1445-4</t>
        </is>
      </c>
      <c r="D1344" s="41" t="inlineStr">
        <is>
          <t>1445</t>
        </is>
      </c>
      <c r="E1344" s="41" t="inlineStr">
        <is>
          <t>0004</t>
        </is>
      </c>
      <c r="F1344" s="42" t="inlineStr">
        <is>
          <t>래미안서초유니빌</t>
        </is>
      </c>
      <c r="G1344" s="41" t="inlineStr">
        <is>
          <t>45.2550</t>
        </is>
      </c>
      <c r="H1344" s="41" t="inlineStr">
        <is>
          <t>202407</t>
        </is>
      </c>
      <c r="I1344" s="41" t="inlineStr">
        <is>
          <t>09</t>
        </is>
      </c>
      <c r="J1344" s="41" t="inlineStr">
        <is>
          <t>46,500</t>
        </is>
      </c>
      <c r="K1344" s="42" t="inlineStr">
        <is>
          <t>래미안 서초유니빌</t>
        </is>
      </c>
      <c r="L1344" s="41" t="inlineStr">
        <is>
          <t>9</t>
        </is>
      </c>
      <c r="M1344" s="42" t="inlineStr">
        <is>
          <t>개인</t>
        </is>
      </c>
      <c r="N1344" s="42" t="inlineStr">
        <is>
          <t>개인</t>
        </is>
      </c>
      <c r="O1344" s="41" t="inlineStr">
        <is>
          <t>2003</t>
        </is>
      </c>
      <c r="P1344" s="42" t="inlineStr">
        <is>
          <t>서초중앙로 26</t>
        </is>
      </c>
      <c r="Q1344" s="41" t="inlineStr">
        <is>
          <t>-</t>
        </is>
      </c>
      <c r="R1344" s="42" t="inlineStr">
        <is>
          <t>중개거래</t>
        </is>
      </c>
      <c r="S1344" s="42" t="inlineStr">
        <is>
          <t>서울 서초구</t>
        </is>
      </c>
      <c r="T1344" s="41" t="inlineStr">
        <is>
          <t>24.08.05</t>
        </is>
      </c>
      <c r="U1344" s="42" t="inlineStr">
        <is>
          <t>아파트</t>
        </is>
      </c>
    </row>
    <row r="1345" hidden="1" ht="14.25" customHeight="1">
      <c r="A1345" s="41" t="n">
        <v>812</v>
      </c>
      <c r="B1345" s="42" t="inlineStr">
        <is>
          <t>서울특별시 서초구 서초동</t>
        </is>
      </c>
      <c r="C1345" s="41" t="inlineStr">
        <is>
          <t>1333</t>
        </is>
      </c>
      <c r="D1345" s="41" t="inlineStr">
        <is>
          <t>1333</t>
        </is>
      </c>
      <c r="E1345" s="41" t="inlineStr">
        <is>
          <t>0000</t>
        </is>
      </c>
      <c r="F1345" s="42" t="inlineStr">
        <is>
          <t>신동아아파트(1차)</t>
        </is>
      </c>
      <c r="G1345" s="41" t="inlineStr">
        <is>
          <t>157.2000</t>
        </is>
      </c>
      <c r="H1345" s="41" t="inlineStr">
        <is>
          <t>202407</t>
        </is>
      </c>
      <c r="I1345" s="41" t="inlineStr">
        <is>
          <t>09</t>
        </is>
      </c>
      <c r="J1345" s="41" t="inlineStr">
        <is>
          <t>309,000</t>
        </is>
      </c>
      <c r="K1345" s="41" t="inlineStr">
        <is>
          <t>6</t>
        </is>
      </c>
      <c r="L1345" s="41" t="inlineStr">
        <is>
          <t>8</t>
        </is>
      </c>
      <c r="M1345" s="42" t="inlineStr">
        <is>
          <t>개인</t>
        </is>
      </c>
      <c r="N1345" s="42" t="inlineStr">
        <is>
          <t>개인</t>
        </is>
      </c>
      <c r="O1345" s="41" t="inlineStr">
        <is>
          <t>1978</t>
        </is>
      </c>
      <c r="P1345" s="42" t="inlineStr">
        <is>
          <t>사임당로 130</t>
        </is>
      </c>
      <c r="Q1345" s="41" t="inlineStr">
        <is>
          <t>-</t>
        </is>
      </c>
      <c r="R1345" s="42" t="inlineStr">
        <is>
          <t>중개거래</t>
        </is>
      </c>
      <c r="S1345" s="42" t="inlineStr">
        <is>
          <t>서울 서초구</t>
        </is>
      </c>
      <c r="T1345" s="41" t="inlineStr">
        <is>
          <t>24.09.26</t>
        </is>
      </c>
      <c r="U1345" s="42" t="inlineStr">
        <is>
          <t>아파트</t>
        </is>
      </c>
    </row>
    <row r="1346" hidden="1" ht="14.25" customHeight="1">
      <c r="A1346" s="41" t="n">
        <v>813</v>
      </c>
      <c r="B1346" s="42" t="inlineStr">
        <is>
          <t>서울특별시 서초구 서초동</t>
        </is>
      </c>
      <c r="C1346" s="41" t="inlineStr">
        <is>
          <t>1333</t>
        </is>
      </c>
      <c r="D1346" s="41" t="inlineStr">
        <is>
          <t>1333</t>
        </is>
      </c>
      <c r="E1346" s="41" t="inlineStr">
        <is>
          <t>0000</t>
        </is>
      </c>
      <c r="F1346" s="42" t="inlineStr">
        <is>
          <t>신동아아파트(1차)</t>
        </is>
      </c>
      <c r="G1346" s="41" t="inlineStr">
        <is>
          <t>132.1000</t>
        </is>
      </c>
      <c r="H1346" s="41" t="inlineStr">
        <is>
          <t>202407</t>
        </is>
      </c>
      <c r="I1346" s="41" t="inlineStr">
        <is>
          <t>09</t>
        </is>
      </c>
      <c r="J1346" s="41" t="inlineStr">
        <is>
          <t>269,000</t>
        </is>
      </c>
      <c r="K1346" s="41" t="inlineStr">
        <is>
          <t>6</t>
        </is>
      </c>
      <c r="L1346" s="41" t="inlineStr">
        <is>
          <t>12</t>
        </is>
      </c>
      <c r="M1346" s="42" t="inlineStr">
        <is>
          <t>개인</t>
        </is>
      </c>
      <c r="N1346" s="42" t="inlineStr">
        <is>
          <t>개인</t>
        </is>
      </c>
      <c r="O1346" s="41" t="inlineStr">
        <is>
          <t>1978</t>
        </is>
      </c>
      <c r="P1346" s="42" t="inlineStr">
        <is>
          <t>사임당로 130</t>
        </is>
      </c>
      <c r="Q1346" s="41" t="inlineStr">
        <is>
          <t>-</t>
        </is>
      </c>
      <c r="R1346" s="42" t="inlineStr">
        <is>
          <t>중개거래</t>
        </is>
      </c>
      <c r="S1346" s="42" t="inlineStr">
        <is>
          <t>서울 서초구</t>
        </is>
      </c>
      <c r="T1346" s="41" t="inlineStr">
        <is>
          <t>24.08.22</t>
        </is>
      </c>
      <c r="U1346" s="42" t="inlineStr">
        <is>
          <t>아파트</t>
        </is>
      </c>
    </row>
    <row r="1347" hidden="1" ht="14.25" customHeight="1">
      <c r="A1347" s="41" t="n">
        <v>814</v>
      </c>
      <c r="B1347" s="42" t="inlineStr">
        <is>
          <t>서울특별시 서초구 서초동</t>
        </is>
      </c>
      <c r="C1347" s="41" t="inlineStr">
        <is>
          <t>1685</t>
        </is>
      </c>
      <c r="D1347" s="41" t="inlineStr">
        <is>
          <t>1685</t>
        </is>
      </c>
      <c r="E1347" s="41" t="inlineStr">
        <is>
          <t>0000</t>
        </is>
      </c>
      <c r="F1347" s="42" t="inlineStr">
        <is>
          <t>삼풍아파트</t>
        </is>
      </c>
      <c r="G1347" s="41" t="inlineStr">
        <is>
          <t>79.4700</t>
        </is>
      </c>
      <c r="H1347" s="41" t="inlineStr">
        <is>
          <t>202407</t>
        </is>
      </c>
      <c r="I1347" s="41" t="inlineStr">
        <is>
          <t>09</t>
        </is>
      </c>
      <c r="J1347" s="41" t="inlineStr">
        <is>
          <t>242,000</t>
        </is>
      </c>
      <c r="K1347" s="41" t="inlineStr">
        <is>
          <t>6</t>
        </is>
      </c>
      <c r="L1347" s="41" t="inlineStr">
        <is>
          <t>1</t>
        </is>
      </c>
      <c r="M1347" s="42" t="inlineStr">
        <is>
          <t>개인</t>
        </is>
      </c>
      <c r="N1347" s="42" t="inlineStr">
        <is>
          <t>개인</t>
        </is>
      </c>
      <c r="O1347" s="41" t="inlineStr">
        <is>
          <t>1988</t>
        </is>
      </c>
      <c r="P1347" s="42" t="inlineStr">
        <is>
          <t>서초중앙로 200</t>
        </is>
      </c>
      <c r="Q1347" s="41" t="inlineStr">
        <is>
          <t>-</t>
        </is>
      </c>
      <c r="R1347" s="42" t="inlineStr">
        <is>
          <t>중개거래</t>
        </is>
      </c>
      <c r="S1347" s="42" t="inlineStr">
        <is>
          <t>서울 서초구</t>
        </is>
      </c>
      <c r="T1347" s="41" t="inlineStr">
        <is>
          <t>24.11.29</t>
        </is>
      </c>
      <c r="U1347" s="42" t="inlineStr">
        <is>
          <t>아파트</t>
        </is>
      </c>
    </row>
    <row r="1348" hidden="1" ht="14.25" customHeight="1">
      <c r="A1348" s="41" t="n">
        <v>815</v>
      </c>
      <c r="B1348" s="42" t="inlineStr">
        <is>
          <t>서울특별시 서초구 서초동</t>
        </is>
      </c>
      <c r="C1348" s="41" t="inlineStr">
        <is>
          <t>1755</t>
        </is>
      </c>
      <c r="D1348" s="41" t="inlineStr">
        <is>
          <t>1755</t>
        </is>
      </c>
      <c r="E1348" s="41" t="inlineStr">
        <is>
          <t>0000</t>
        </is>
      </c>
      <c r="F1348" s="42" t="inlineStr">
        <is>
          <t>래미안 리더스원</t>
        </is>
      </c>
      <c r="G1348" s="41" t="inlineStr">
        <is>
          <t>84.9400</t>
        </is>
      </c>
      <c r="H1348" s="41" t="inlineStr">
        <is>
          <t>202407</t>
        </is>
      </c>
      <c r="I1348" s="41" t="inlineStr">
        <is>
          <t>09</t>
        </is>
      </c>
      <c r="J1348" s="41" t="inlineStr">
        <is>
          <t>318,000</t>
        </is>
      </c>
      <c r="K1348" s="41" t="inlineStr">
        <is>
          <t>105동</t>
        </is>
      </c>
      <c r="L1348" s="41" t="inlineStr">
        <is>
          <t>26</t>
        </is>
      </c>
      <c r="M1348" s="42" t="inlineStr">
        <is>
          <t>개인</t>
        </is>
      </c>
      <c r="N1348" s="42" t="inlineStr">
        <is>
          <t>개인</t>
        </is>
      </c>
      <c r="O1348" s="41" t="inlineStr">
        <is>
          <t>2020</t>
        </is>
      </c>
      <c r="P1348" s="42" t="inlineStr">
        <is>
          <t>서운로 62</t>
        </is>
      </c>
      <c r="Q1348" s="41" t="inlineStr">
        <is>
          <t>-</t>
        </is>
      </c>
      <c r="R1348" s="42" t="inlineStr">
        <is>
          <t>중개거래</t>
        </is>
      </c>
      <c r="S1348" s="42" t="inlineStr">
        <is>
          <t>서울 서초구</t>
        </is>
      </c>
      <c r="T1348" s="41" t="inlineStr">
        <is>
          <t>24.12.10</t>
        </is>
      </c>
      <c r="U1348" s="42" t="inlineStr">
        <is>
          <t>아파트</t>
        </is>
      </c>
    </row>
    <row r="1349" hidden="1" ht="14.25" customHeight="1">
      <c r="A1349" s="41" t="n">
        <v>816</v>
      </c>
      <c r="B1349" s="42" t="inlineStr">
        <is>
          <t>서울특별시 서초구 서초동</t>
        </is>
      </c>
      <c r="C1349" s="41" t="inlineStr">
        <is>
          <t>1363-25</t>
        </is>
      </c>
      <c r="D1349" s="41" t="inlineStr">
        <is>
          <t>1363</t>
        </is>
      </c>
      <c r="E1349" s="41" t="inlineStr">
        <is>
          <t>0025</t>
        </is>
      </c>
      <c r="F1349" s="42" t="inlineStr">
        <is>
          <t>한라비발디스튜디오193</t>
        </is>
      </c>
      <c r="G1349" s="41" t="inlineStr">
        <is>
          <t>19.9900</t>
        </is>
      </c>
      <c r="H1349" s="41" t="inlineStr">
        <is>
          <t>202407</t>
        </is>
      </c>
      <c r="I1349" s="41" t="inlineStr">
        <is>
          <t>09</t>
        </is>
      </c>
      <c r="J1349" s="41" t="inlineStr">
        <is>
          <t>25,000</t>
        </is>
      </c>
      <c r="K1349" s="42" t="inlineStr">
        <is>
          <t>한라비발디스튜디오193</t>
        </is>
      </c>
      <c r="L1349" s="41" t="inlineStr">
        <is>
          <t>7</t>
        </is>
      </c>
      <c r="M1349" s="42" t="inlineStr">
        <is>
          <t>개인</t>
        </is>
      </c>
      <c r="N1349" s="42" t="inlineStr">
        <is>
          <t>개인</t>
        </is>
      </c>
      <c r="O1349" s="41" t="inlineStr">
        <is>
          <t>2013</t>
        </is>
      </c>
      <c r="P1349" s="42" t="inlineStr">
        <is>
          <t>강남대로39길 15-10</t>
        </is>
      </c>
      <c r="Q1349" s="41" t="inlineStr">
        <is>
          <t>-</t>
        </is>
      </c>
      <c r="R1349" s="42" t="inlineStr">
        <is>
          <t>중개거래</t>
        </is>
      </c>
      <c r="S1349" s="42" t="inlineStr">
        <is>
          <t>서울 서초구</t>
        </is>
      </c>
      <c r="T1349" s="41" t="inlineStr">
        <is>
          <t>24.07.09</t>
        </is>
      </c>
      <c r="U1349" s="42" t="inlineStr">
        <is>
          <t>아파트</t>
        </is>
      </c>
    </row>
    <row r="1350" hidden="1" ht="14.25" customHeight="1">
      <c r="A1350" s="41" t="n">
        <v>817</v>
      </c>
      <c r="B1350" s="42" t="inlineStr">
        <is>
          <t>서울특별시 서초구 서초동</t>
        </is>
      </c>
      <c r="C1350" s="41" t="inlineStr">
        <is>
          <t>1359-50</t>
        </is>
      </c>
      <c r="D1350" s="41" t="inlineStr">
        <is>
          <t>1359</t>
        </is>
      </c>
      <c r="E1350" s="41" t="inlineStr">
        <is>
          <t>0050</t>
        </is>
      </c>
      <c r="F1350" s="42" t="inlineStr">
        <is>
          <t>롯데캐슬쥬피터</t>
        </is>
      </c>
      <c r="G1350" s="41" t="inlineStr">
        <is>
          <t>99.2300</t>
        </is>
      </c>
      <c r="H1350" s="41" t="inlineStr">
        <is>
          <t>202407</t>
        </is>
      </c>
      <c r="I1350" s="41" t="inlineStr">
        <is>
          <t>08</t>
        </is>
      </c>
      <c r="J1350" s="41" t="inlineStr">
        <is>
          <t>173,500</t>
        </is>
      </c>
      <c r="K1350" s="41" t="inlineStr">
        <is>
          <t>101</t>
        </is>
      </c>
      <c r="L1350" s="41" t="inlineStr">
        <is>
          <t>12</t>
        </is>
      </c>
      <c r="M1350" s="42" t="inlineStr">
        <is>
          <t>개인</t>
        </is>
      </c>
      <c r="N1350" s="42" t="inlineStr">
        <is>
          <t>개인</t>
        </is>
      </c>
      <c r="O1350" s="41" t="inlineStr">
        <is>
          <t>2003</t>
        </is>
      </c>
      <c r="P1350" s="42" t="inlineStr">
        <is>
          <t>서운로6길 15-20</t>
        </is>
      </c>
      <c r="Q1350" s="41" t="inlineStr">
        <is>
          <t>-</t>
        </is>
      </c>
      <c r="R1350" s="42" t="inlineStr">
        <is>
          <t>중개거래</t>
        </is>
      </c>
      <c r="S1350" s="42" t="inlineStr">
        <is>
          <t>서울 서초구</t>
        </is>
      </c>
      <c r="T1350" s="41" t="inlineStr">
        <is>
          <t>24.10.04</t>
        </is>
      </c>
      <c r="U1350" s="42" t="inlineStr">
        <is>
          <t>아파트</t>
        </is>
      </c>
    </row>
    <row r="1351" hidden="1" ht="14.25" customHeight="1">
      <c r="A1351" s="41" t="n">
        <v>818</v>
      </c>
      <c r="B1351" s="42" t="inlineStr">
        <is>
          <t>서울특별시 서초구 서초동</t>
        </is>
      </c>
      <c r="C1351" s="41" t="inlineStr">
        <is>
          <t>1641-1</t>
        </is>
      </c>
      <c r="D1351" s="41" t="inlineStr">
        <is>
          <t>1641</t>
        </is>
      </c>
      <c r="E1351" s="41" t="inlineStr">
        <is>
          <t>0001</t>
        </is>
      </c>
      <c r="F1351" s="42" t="inlineStr">
        <is>
          <t>서초삼성래미안</t>
        </is>
      </c>
      <c r="G1351" s="41" t="inlineStr">
        <is>
          <t>84.9700</t>
        </is>
      </c>
      <c r="H1351" s="41" t="inlineStr">
        <is>
          <t>202407</t>
        </is>
      </c>
      <c r="I1351" s="41" t="inlineStr">
        <is>
          <t>08</t>
        </is>
      </c>
      <c r="J1351" s="41" t="inlineStr">
        <is>
          <t>186,000</t>
        </is>
      </c>
      <c r="K1351" s="41" t="inlineStr">
        <is>
          <t>103</t>
        </is>
      </c>
      <c r="L1351" s="41" t="inlineStr">
        <is>
          <t>7</t>
        </is>
      </c>
      <c r="M1351" s="42" t="inlineStr">
        <is>
          <t>개인</t>
        </is>
      </c>
      <c r="N1351" s="42" t="inlineStr">
        <is>
          <t>개인</t>
        </is>
      </c>
      <c r="O1351" s="41" t="inlineStr">
        <is>
          <t>2001</t>
        </is>
      </c>
      <c r="P1351" s="42" t="inlineStr">
        <is>
          <t>사임당로17길 116</t>
        </is>
      </c>
      <c r="Q1351" s="41" t="inlineStr">
        <is>
          <t>-</t>
        </is>
      </c>
      <c r="R1351" s="42" t="inlineStr">
        <is>
          <t>중개거래</t>
        </is>
      </c>
      <c r="S1351" s="42" t="inlineStr">
        <is>
          <t>서울 서초구</t>
        </is>
      </c>
      <c r="T1351" s="41" t="inlineStr">
        <is>
          <t>24.10.31</t>
        </is>
      </c>
      <c r="U1351" s="42" t="inlineStr">
        <is>
          <t>아파트</t>
        </is>
      </c>
    </row>
    <row r="1352" hidden="1" ht="14.25" customHeight="1">
      <c r="A1352" s="41" t="n">
        <v>819</v>
      </c>
      <c r="B1352" s="42" t="inlineStr">
        <is>
          <t>서울특별시 서초구 서초동</t>
        </is>
      </c>
      <c r="C1352" s="41" t="inlineStr">
        <is>
          <t>1686-9</t>
        </is>
      </c>
      <c r="D1352" s="41" t="inlineStr">
        <is>
          <t>1686</t>
        </is>
      </c>
      <c r="E1352" s="41" t="inlineStr">
        <is>
          <t>0009</t>
        </is>
      </c>
      <c r="F1352" s="42" t="inlineStr">
        <is>
          <t>서초교대e편한세상</t>
        </is>
      </c>
      <c r="G1352" s="41" t="inlineStr">
        <is>
          <t>84.9700</t>
        </is>
      </c>
      <c r="H1352" s="41" t="inlineStr">
        <is>
          <t>202407</t>
        </is>
      </c>
      <c r="I1352" s="41" t="inlineStr">
        <is>
          <t>07</t>
        </is>
      </c>
      <c r="J1352" s="41" t="inlineStr">
        <is>
          <t>244,000</t>
        </is>
      </c>
      <c r="K1352" s="41" t="inlineStr">
        <is>
          <t>102</t>
        </is>
      </c>
      <c r="L1352" s="41" t="inlineStr">
        <is>
          <t>10</t>
        </is>
      </c>
      <c r="M1352" s="42" t="inlineStr">
        <is>
          <t>개인</t>
        </is>
      </c>
      <c r="N1352" s="42" t="inlineStr">
        <is>
          <t>개인</t>
        </is>
      </c>
      <c r="O1352" s="41" t="inlineStr">
        <is>
          <t>2010</t>
        </is>
      </c>
      <c r="P1352" s="42" t="inlineStr">
        <is>
          <t>서초중앙로24길 33</t>
        </is>
      </c>
      <c r="Q1352" s="41" t="inlineStr">
        <is>
          <t>-</t>
        </is>
      </c>
      <c r="R1352" s="42" t="inlineStr">
        <is>
          <t>중개거래</t>
        </is>
      </c>
      <c r="S1352" s="42" t="inlineStr">
        <is>
          <t>서울 서초구</t>
        </is>
      </c>
      <c r="T1352" s="41" t="inlineStr">
        <is>
          <t>24.09.30</t>
        </is>
      </c>
      <c r="U1352" s="42" t="inlineStr">
        <is>
          <t>아파트</t>
        </is>
      </c>
    </row>
    <row r="1353" hidden="1" ht="14.25" customHeight="1">
      <c r="A1353" s="41" t="n">
        <v>820</v>
      </c>
      <c r="B1353" s="42" t="inlineStr">
        <is>
          <t>서울특별시 서초구 서초동</t>
        </is>
      </c>
      <c r="C1353" s="41" t="inlineStr">
        <is>
          <t>1333</t>
        </is>
      </c>
      <c r="D1353" s="41" t="inlineStr">
        <is>
          <t>1333</t>
        </is>
      </c>
      <c r="E1353" s="41" t="inlineStr">
        <is>
          <t>0000</t>
        </is>
      </c>
      <c r="F1353" s="42" t="inlineStr">
        <is>
          <t>신동아아파트(1차)</t>
        </is>
      </c>
      <c r="G1353" s="41" t="inlineStr">
        <is>
          <t>76.2100</t>
        </is>
      </c>
      <c r="H1353" s="41" t="inlineStr">
        <is>
          <t>202407</t>
        </is>
      </c>
      <c r="I1353" s="41" t="inlineStr">
        <is>
          <t>07</t>
        </is>
      </c>
      <c r="J1353" s="41" t="inlineStr">
        <is>
          <t>195,000</t>
        </is>
      </c>
      <c r="K1353" s="41" t="inlineStr">
        <is>
          <t>3</t>
        </is>
      </c>
      <c r="L1353" s="41" t="inlineStr">
        <is>
          <t>9</t>
        </is>
      </c>
      <c r="M1353" s="42" t="inlineStr">
        <is>
          <t>개인</t>
        </is>
      </c>
      <c r="N1353" s="42" t="inlineStr">
        <is>
          <t>개인</t>
        </is>
      </c>
      <c r="O1353" s="41" t="inlineStr">
        <is>
          <t>1978</t>
        </is>
      </c>
      <c r="P1353" s="42" t="inlineStr">
        <is>
          <t>사임당로 137</t>
        </is>
      </c>
      <c r="Q1353" s="41" t="inlineStr">
        <is>
          <t>-</t>
        </is>
      </c>
      <c r="R1353" s="42" t="inlineStr">
        <is>
          <t>중개거래</t>
        </is>
      </c>
      <c r="S1353" s="42" t="inlineStr">
        <is>
          <t>서울 서초구</t>
        </is>
      </c>
      <c r="T1353" s="41" t="inlineStr">
        <is>
          <t>24.10.30</t>
        </is>
      </c>
      <c r="U1353" s="42" t="inlineStr">
        <is>
          <t>아파트</t>
        </is>
      </c>
    </row>
    <row r="1354" hidden="1" ht="14.25" customHeight="1">
      <c r="A1354" s="41" t="n">
        <v>821</v>
      </c>
      <c r="B1354" s="42" t="inlineStr">
        <is>
          <t>서울특별시 서초구 서초동</t>
        </is>
      </c>
      <c r="C1354" s="41" t="inlineStr">
        <is>
          <t>1312-3</t>
        </is>
      </c>
      <c r="D1354" s="41" t="inlineStr">
        <is>
          <t>1312</t>
        </is>
      </c>
      <c r="E1354" s="41" t="inlineStr">
        <is>
          <t>0003</t>
        </is>
      </c>
      <c r="F1354" s="42" t="inlineStr">
        <is>
          <t>롯데캐슬클래식</t>
        </is>
      </c>
      <c r="G1354" s="41" t="inlineStr">
        <is>
          <t>84.9800</t>
        </is>
      </c>
      <c r="H1354" s="41" t="inlineStr">
        <is>
          <t>202407</t>
        </is>
      </c>
      <c r="I1354" s="41" t="inlineStr">
        <is>
          <t>07</t>
        </is>
      </c>
      <c r="J1354" s="41" t="inlineStr">
        <is>
          <t>228,000</t>
        </is>
      </c>
      <c r="K1354" s="41" t="inlineStr">
        <is>
          <t>101</t>
        </is>
      </c>
      <c r="L1354" s="41" t="inlineStr">
        <is>
          <t>1</t>
        </is>
      </c>
      <c r="M1354" s="42" t="inlineStr">
        <is>
          <t>개인</t>
        </is>
      </c>
      <c r="N1354" s="42" t="inlineStr">
        <is>
          <t>개인</t>
        </is>
      </c>
      <c r="O1354" s="41" t="inlineStr">
        <is>
          <t>2006</t>
        </is>
      </c>
      <c r="P1354" s="42" t="inlineStr">
        <is>
          <t>서운로 197</t>
        </is>
      </c>
      <c r="Q1354" s="41" t="inlineStr">
        <is>
          <t>-</t>
        </is>
      </c>
      <c r="R1354" s="42" t="inlineStr">
        <is>
          <t>중개거래</t>
        </is>
      </c>
      <c r="S1354" s="42" t="inlineStr">
        <is>
          <t>서울 서초구</t>
        </is>
      </c>
      <c r="T1354" s="41" t="inlineStr">
        <is>
          <t>24.10.21</t>
        </is>
      </c>
      <c r="U1354" s="42" t="inlineStr">
        <is>
          <t>아파트</t>
        </is>
      </c>
    </row>
    <row r="1355" hidden="1" ht="14.25" customHeight="1">
      <c r="A1355" s="41" t="n">
        <v>822</v>
      </c>
      <c r="B1355" s="42" t="inlineStr">
        <is>
          <t>서울특별시 서초구 서초동</t>
        </is>
      </c>
      <c r="C1355" s="41" t="inlineStr">
        <is>
          <t>1686-9</t>
        </is>
      </c>
      <c r="D1355" s="41" t="inlineStr">
        <is>
          <t>1686</t>
        </is>
      </c>
      <c r="E1355" s="41" t="inlineStr">
        <is>
          <t>0009</t>
        </is>
      </c>
      <c r="F1355" s="42" t="inlineStr">
        <is>
          <t>서초교대e편한세상</t>
        </is>
      </c>
      <c r="G1355" s="41" t="inlineStr">
        <is>
          <t>59.9000</t>
        </is>
      </c>
      <c r="H1355" s="41" t="inlineStr">
        <is>
          <t>202407</t>
        </is>
      </c>
      <c r="I1355" s="41" t="inlineStr">
        <is>
          <t>06</t>
        </is>
      </c>
      <c r="J1355" s="41" t="inlineStr">
        <is>
          <t>204,500</t>
        </is>
      </c>
      <c r="K1355" s="41" t="inlineStr">
        <is>
          <t>105</t>
        </is>
      </c>
      <c r="L1355" s="41" t="inlineStr">
        <is>
          <t>8</t>
        </is>
      </c>
      <c r="M1355" s="42" t="inlineStr">
        <is>
          <t>개인</t>
        </is>
      </c>
      <c r="N1355" s="42" t="inlineStr">
        <is>
          <t>개인</t>
        </is>
      </c>
      <c r="O1355" s="41" t="inlineStr">
        <is>
          <t>2010</t>
        </is>
      </c>
      <c r="P1355" s="42" t="inlineStr">
        <is>
          <t>서초중앙로24길 33</t>
        </is>
      </c>
      <c r="Q1355" s="41" t="inlineStr">
        <is>
          <t>-</t>
        </is>
      </c>
      <c r="R1355" s="42" t="inlineStr">
        <is>
          <t>중개거래</t>
        </is>
      </c>
      <c r="S1355" s="42" t="inlineStr">
        <is>
          <t>서울 서초구</t>
        </is>
      </c>
      <c r="T1355" s="41" t="inlineStr">
        <is>
          <t>24.10.31</t>
        </is>
      </c>
      <c r="U1355" s="42" t="inlineStr">
        <is>
          <t>아파트</t>
        </is>
      </c>
    </row>
    <row r="1356" hidden="1" ht="14.25" customHeight="1">
      <c r="A1356" s="41" t="n">
        <v>823</v>
      </c>
      <c r="B1356" s="42" t="inlineStr">
        <is>
          <t>서울특별시 서초구 서초동</t>
        </is>
      </c>
      <c r="C1356" s="41" t="inlineStr">
        <is>
          <t>1315</t>
        </is>
      </c>
      <c r="D1356" s="41" t="inlineStr">
        <is>
          <t>1315</t>
        </is>
      </c>
      <c r="E1356" s="41" t="inlineStr">
        <is>
          <t>0000</t>
        </is>
      </c>
      <c r="F1356" s="42" t="inlineStr">
        <is>
          <t>진흥아파트</t>
        </is>
      </c>
      <c r="G1356" s="41" t="inlineStr">
        <is>
          <t>101.3200</t>
        </is>
      </c>
      <c r="H1356" s="41" t="inlineStr">
        <is>
          <t>202407</t>
        </is>
      </c>
      <c r="I1356" s="41" t="inlineStr">
        <is>
          <t>06</t>
        </is>
      </c>
      <c r="J1356" s="41" t="inlineStr">
        <is>
          <t>215,000</t>
        </is>
      </c>
      <c r="K1356" s="41" t="inlineStr">
        <is>
          <t>2</t>
        </is>
      </c>
      <c r="L1356" s="41" t="inlineStr">
        <is>
          <t>6</t>
        </is>
      </c>
      <c r="M1356" s="42" t="inlineStr">
        <is>
          <t>개인</t>
        </is>
      </c>
      <c r="N1356" s="42" t="inlineStr">
        <is>
          <t>개인</t>
        </is>
      </c>
      <c r="O1356" s="41" t="inlineStr">
        <is>
          <t>1979</t>
        </is>
      </c>
      <c r="P1356" s="42" t="inlineStr">
        <is>
          <t>서초대로 385</t>
        </is>
      </c>
      <c r="Q1356" s="41" t="inlineStr">
        <is>
          <t>-</t>
        </is>
      </c>
      <c r="R1356" s="42" t="inlineStr">
        <is>
          <t>중개거래</t>
        </is>
      </c>
      <c r="S1356" s="42" t="inlineStr">
        <is>
          <t>서울 서초구</t>
        </is>
      </c>
      <c r="T1356" s="41" t="inlineStr">
        <is>
          <t>24.10.02</t>
        </is>
      </c>
      <c r="U1356" s="42" t="inlineStr">
        <is>
          <t>아파트</t>
        </is>
      </c>
    </row>
    <row r="1357" hidden="1" ht="14.25" customHeight="1">
      <c r="A1357" s="41" t="n">
        <v>824</v>
      </c>
      <c r="B1357" s="42" t="inlineStr">
        <is>
          <t>서울특별시 서초구 서초동</t>
        </is>
      </c>
      <c r="C1357" s="41" t="inlineStr">
        <is>
          <t>1315</t>
        </is>
      </c>
      <c r="D1357" s="41" t="inlineStr">
        <is>
          <t>1315</t>
        </is>
      </c>
      <c r="E1357" s="41" t="inlineStr">
        <is>
          <t>0000</t>
        </is>
      </c>
      <c r="F1357" s="42" t="inlineStr">
        <is>
          <t>진흥아파트</t>
        </is>
      </c>
      <c r="G1357" s="41" t="inlineStr">
        <is>
          <t>101.3200</t>
        </is>
      </c>
      <c r="H1357" s="41" t="inlineStr">
        <is>
          <t>202407</t>
        </is>
      </c>
      <c r="I1357" s="41" t="inlineStr">
        <is>
          <t>06</t>
        </is>
      </c>
      <c r="J1357" s="41" t="inlineStr">
        <is>
          <t>219,000</t>
        </is>
      </c>
      <c r="K1357" s="41" t="inlineStr">
        <is>
          <t>3</t>
        </is>
      </c>
      <c r="L1357" s="41" t="inlineStr">
        <is>
          <t>2</t>
        </is>
      </c>
      <c r="M1357" s="42" t="inlineStr">
        <is>
          <t>개인</t>
        </is>
      </c>
      <c r="N1357" s="42" t="inlineStr">
        <is>
          <t>개인</t>
        </is>
      </c>
      <c r="O1357" s="41" t="inlineStr">
        <is>
          <t>1979</t>
        </is>
      </c>
      <c r="P1357" s="42" t="inlineStr">
        <is>
          <t>서초대로 385</t>
        </is>
      </c>
      <c r="Q1357" s="41" t="inlineStr">
        <is>
          <t>-</t>
        </is>
      </c>
      <c r="R1357" s="42" t="inlineStr">
        <is>
          <t>중개거래</t>
        </is>
      </c>
      <c r="S1357" s="42" t="inlineStr">
        <is>
          <t>서울 서초구</t>
        </is>
      </c>
      <c r="T1357" s="41" t="inlineStr">
        <is>
          <t>24.08.19</t>
        </is>
      </c>
      <c r="U1357" s="42" t="inlineStr">
        <is>
          <t>아파트</t>
        </is>
      </c>
    </row>
    <row r="1358" hidden="1" ht="14.25" customHeight="1">
      <c r="A1358" s="41" t="n">
        <v>825</v>
      </c>
      <c r="B1358" s="42" t="inlineStr">
        <is>
          <t>서울특별시 서초구 서초동</t>
        </is>
      </c>
      <c r="C1358" s="41" t="inlineStr">
        <is>
          <t>1315</t>
        </is>
      </c>
      <c r="D1358" s="41" t="inlineStr">
        <is>
          <t>1315</t>
        </is>
      </c>
      <c r="E1358" s="41" t="inlineStr">
        <is>
          <t>0000</t>
        </is>
      </c>
      <c r="F1358" s="42" t="inlineStr">
        <is>
          <t>진흥아파트</t>
        </is>
      </c>
      <c r="G1358" s="41" t="inlineStr">
        <is>
          <t>131.0400</t>
        </is>
      </c>
      <c r="H1358" s="41" t="inlineStr">
        <is>
          <t>202407</t>
        </is>
      </c>
      <c r="I1358" s="41" t="inlineStr">
        <is>
          <t>06</t>
        </is>
      </c>
      <c r="J1358" s="41" t="inlineStr">
        <is>
          <t>270,000</t>
        </is>
      </c>
      <c r="K1358" s="41" t="inlineStr">
        <is>
          <t>8</t>
        </is>
      </c>
      <c r="L1358" s="41" t="inlineStr">
        <is>
          <t>2</t>
        </is>
      </c>
      <c r="M1358" s="42" t="inlineStr">
        <is>
          <t>개인</t>
        </is>
      </c>
      <c r="N1358" s="42" t="inlineStr">
        <is>
          <t>개인</t>
        </is>
      </c>
      <c r="O1358" s="41" t="inlineStr">
        <is>
          <t>1979</t>
        </is>
      </c>
      <c r="P1358" s="42" t="inlineStr">
        <is>
          <t>서초대로 385</t>
        </is>
      </c>
      <c r="Q1358" s="41" t="inlineStr">
        <is>
          <t>-</t>
        </is>
      </c>
      <c r="R1358" s="42" t="inlineStr">
        <is>
          <t>중개거래</t>
        </is>
      </c>
      <c r="S1358" s="42" t="inlineStr">
        <is>
          <t>서울 서초구</t>
        </is>
      </c>
      <c r="T1358" s="41" t="inlineStr">
        <is>
          <t>24.09.13</t>
        </is>
      </c>
      <c r="U1358" s="42" t="inlineStr">
        <is>
          <t>아파트</t>
        </is>
      </c>
    </row>
    <row r="1359" hidden="1" ht="14.25" customHeight="1">
      <c r="A1359" s="41" t="n">
        <v>826</v>
      </c>
      <c r="B1359" s="42" t="inlineStr">
        <is>
          <t>서울특별시 서초구 서초동</t>
        </is>
      </c>
      <c r="C1359" s="41" t="inlineStr">
        <is>
          <t>1333</t>
        </is>
      </c>
      <c r="D1359" s="41" t="inlineStr">
        <is>
          <t>1333</t>
        </is>
      </c>
      <c r="E1359" s="41" t="inlineStr">
        <is>
          <t>0000</t>
        </is>
      </c>
      <c r="F1359" s="42" t="inlineStr">
        <is>
          <t>신동아아파트(1차)</t>
        </is>
      </c>
      <c r="G1359" s="41" t="inlineStr">
        <is>
          <t>86.6100</t>
        </is>
      </c>
      <c r="H1359" s="41" t="inlineStr">
        <is>
          <t>202407</t>
        </is>
      </c>
      <c r="I1359" s="41" t="inlineStr">
        <is>
          <t>06</t>
        </is>
      </c>
      <c r="J1359" s="41" t="inlineStr">
        <is>
          <t>230,000</t>
        </is>
      </c>
      <c r="K1359" s="41" t="inlineStr">
        <is>
          <t>7</t>
        </is>
      </c>
      <c r="L1359" s="41" t="inlineStr">
        <is>
          <t>13</t>
        </is>
      </c>
      <c r="M1359" s="42" t="inlineStr">
        <is>
          <t>개인</t>
        </is>
      </c>
      <c r="N1359" s="42" t="inlineStr">
        <is>
          <t>개인</t>
        </is>
      </c>
      <c r="O1359" s="41" t="inlineStr">
        <is>
          <t>1978</t>
        </is>
      </c>
      <c r="P1359" s="42" t="inlineStr">
        <is>
          <t>사임당로 130</t>
        </is>
      </c>
      <c r="Q1359" s="41" t="inlineStr">
        <is>
          <t>-</t>
        </is>
      </c>
      <c r="R1359" s="42" t="inlineStr">
        <is>
          <t>중개거래</t>
        </is>
      </c>
      <c r="S1359" s="42" t="inlineStr">
        <is>
          <t>서울 서초구</t>
        </is>
      </c>
      <c r="T1359" s="41" t="inlineStr">
        <is>
          <t>24.09.26</t>
        </is>
      </c>
      <c r="U1359" s="42" t="inlineStr">
        <is>
          <t>아파트</t>
        </is>
      </c>
    </row>
    <row r="1360" hidden="1" ht="14.25" customHeight="1">
      <c r="A1360" s="41" t="n">
        <v>827</v>
      </c>
      <c r="B1360" s="42" t="inlineStr">
        <is>
          <t>서울특별시 서초구 서초동</t>
        </is>
      </c>
      <c r="C1360" s="41" t="inlineStr">
        <is>
          <t>1685</t>
        </is>
      </c>
      <c r="D1360" s="41" t="inlineStr">
        <is>
          <t>1685</t>
        </is>
      </c>
      <c r="E1360" s="41" t="inlineStr">
        <is>
          <t>0000</t>
        </is>
      </c>
      <c r="F1360" s="42" t="inlineStr">
        <is>
          <t>삼풍아파트</t>
        </is>
      </c>
      <c r="G1360" s="41" t="inlineStr">
        <is>
          <t>163.8100</t>
        </is>
      </c>
      <c r="H1360" s="41" t="inlineStr">
        <is>
          <t>202407</t>
        </is>
      </c>
      <c r="I1360" s="41" t="inlineStr">
        <is>
          <t>06</t>
        </is>
      </c>
      <c r="J1360" s="41" t="inlineStr">
        <is>
          <t>398,000</t>
        </is>
      </c>
      <c r="K1360" s="41" t="inlineStr">
        <is>
          <t>-</t>
        </is>
      </c>
      <c r="L1360" s="41" t="inlineStr">
        <is>
          <t>11</t>
        </is>
      </c>
      <c r="M1360" s="42" t="inlineStr">
        <is>
          <t>개인</t>
        </is>
      </c>
      <c r="N1360" s="42" t="inlineStr">
        <is>
          <t>개인</t>
        </is>
      </c>
      <c r="O1360" s="41" t="inlineStr">
        <is>
          <t>1988</t>
        </is>
      </c>
      <c r="P1360" s="42" t="inlineStr">
        <is>
          <t>서초중앙로 200</t>
        </is>
      </c>
      <c r="Q1360" s="41" t="inlineStr">
        <is>
          <t>20241120</t>
        </is>
      </c>
      <c r="R1360" s="42" t="inlineStr">
        <is>
          <t>중개거래</t>
        </is>
      </c>
      <c r="S1360" s="42" t="inlineStr">
        <is>
          <t>서울 서초구</t>
        </is>
      </c>
      <c r="T1360" s="41" t="inlineStr">
        <is>
          <t>-</t>
        </is>
      </c>
      <c r="U1360" s="42" t="inlineStr">
        <is>
          <t>아파트</t>
        </is>
      </c>
    </row>
    <row r="1361" hidden="1" ht="14.25" customHeight="1">
      <c r="A1361" s="41" t="n">
        <v>828</v>
      </c>
      <c r="B1361" s="42" t="inlineStr">
        <is>
          <t>서울특별시 서초구 서초동</t>
        </is>
      </c>
      <c r="C1361" s="41" t="inlineStr">
        <is>
          <t>1685</t>
        </is>
      </c>
      <c r="D1361" s="41" t="inlineStr">
        <is>
          <t>1685</t>
        </is>
      </c>
      <c r="E1361" s="41" t="inlineStr">
        <is>
          <t>0000</t>
        </is>
      </c>
      <c r="F1361" s="42" t="inlineStr">
        <is>
          <t>삼풍아파트</t>
        </is>
      </c>
      <c r="G1361" s="41" t="inlineStr">
        <is>
          <t>130.7300</t>
        </is>
      </c>
      <c r="H1361" s="41" t="inlineStr">
        <is>
          <t>202407</t>
        </is>
      </c>
      <c r="I1361" s="41" t="inlineStr">
        <is>
          <t>06</t>
        </is>
      </c>
      <c r="J1361" s="41" t="inlineStr">
        <is>
          <t>333,000</t>
        </is>
      </c>
      <c r="K1361" s="41" t="inlineStr">
        <is>
          <t>19</t>
        </is>
      </c>
      <c r="L1361" s="41" t="inlineStr">
        <is>
          <t>15</t>
        </is>
      </c>
      <c r="M1361" s="42" t="inlineStr">
        <is>
          <t>개인</t>
        </is>
      </c>
      <c r="N1361" s="42" t="inlineStr">
        <is>
          <t>개인</t>
        </is>
      </c>
      <c r="O1361" s="41" t="inlineStr">
        <is>
          <t>1988</t>
        </is>
      </c>
      <c r="P1361" s="42" t="inlineStr">
        <is>
          <t>서초중앙로 200</t>
        </is>
      </c>
      <c r="Q1361" s="41" t="inlineStr">
        <is>
          <t>-</t>
        </is>
      </c>
      <c r="R1361" s="42" t="inlineStr">
        <is>
          <t>중개거래</t>
        </is>
      </c>
      <c r="S1361" s="42" t="inlineStr">
        <is>
          <t>서울 서초구</t>
        </is>
      </c>
      <c r="T1361" s="41" t="inlineStr">
        <is>
          <t>24.10.31</t>
        </is>
      </c>
      <c r="U1361" s="42" t="inlineStr">
        <is>
          <t>아파트</t>
        </is>
      </c>
    </row>
    <row r="1362" hidden="1" ht="14.25" customHeight="1">
      <c r="A1362" s="41" t="n">
        <v>829</v>
      </c>
      <c r="B1362" s="42" t="inlineStr">
        <is>
          <t>서울특별시 서초구 서초동</t>
        </is>
      </c>
      <c r="C1362" s="41" t="inlineStr">
        <is>
          <t>1685</t>
        </is>
      </c>
      <c r="D1362" s="41" t="inlineStr">
        <is>
          <t>1685</t>
        </is>
      </c>
      <c r="E1362" s="41" t="inlineStr">
        <is>
          <t>0000</t>
        </is>
      </c>
      <c r="F1362" s="42" t="inlineStr">
        <is>
          <t>삼풍아파트</t>
        </is>
      </c>
      <c r="G1362" s="41" t="inlineStr">
        <is>
          <t>163.8100</t>
        </is>
      </c>
      <c r="H1362" s="41" t="inlineStr">
        <is>
          <t>202407</t>
        </is>
      </c>
      <c r="I1362" s="41" t="inlineStr">
        <is>
          <t>06</t>
        </is>
      </c>
      <c r="J1362" s="41" t="inlineStr">
        <is>
          <t>380,000</t>
        </is>
      </c>
      <c r="K1362" s="41" t="inlineStr">
        <is>
          <t>23</t>
        </is>
      </c>
      <c r="L1362" s="41" t="inlineStr">
        <is>
          <t>13</t>
        </is>
      </c>
      <c r="M1362" s="42" t="inlineStr">
        <is>
          <t>개인</t>
        </is>
      </c>
      <c r="N1362" s="42" t="inlineStr">
        <is>
          <t>개인</t>
        </is>
      </c>
      <c r="O1362" s="41" t="inlineStr">
        <is>
          <t>1988</t>
        </is>
      </c>
      <c r="P1362" s="42" t="inlineStr">
        <is>
          <t>서초중앙로 200</t>
        </is>
      </c>
      <c r="Q1362" s="41" t="inlineStr">
        <is>
          <t>-</t>
        </is>
      </c>
      <c r="R1362" s="42" t="inlineStr">
        <is>
          <t>중개거래</t>
        </is>
      </c>
      <c r="S1362" s="42" t="inlineStr">
        <is>
          <t>서울 서초구</t>
        </is>
      </c>
      <c r="T1362" s="41" t="inlineStr">
        <is>
          <t>24.09.02</t>
        </is>
      </c>
      <c r="U1362" s="42" t="inlineStr">
        <is>
          <t>아파트</t>
        </is>
      </c>
    </row>
    <row r="1363" hidden="1" ht="14.25" customHeight="1">
      <c r="A1363" s="41" t="n">
        <v>830</v>
      </c>
      <c r="B1363" s="42" t="inlineStr">
        <is>
          <t>서울특별시 서초구 서초동</t>
        </is>
      </c>
      <c r="C1363" s="41" t="inlineStr">
        <is>
          <t>1754</t>
        </is>
      </c>
      <c r="D1363" s="41" t="inlineStr">
        <is>
          <t>1754</t>
        </is>
      </c>
      <c r="E1363" s="41" t="inlineStr">
        <is>
          <t>0000</t>
        </is>
      </c>
      <c r="F1363" s="42" t="inlineStr">
        <is>
          <t>래미안서초에스티지S</t>
        </is>
      </c>
      <c r="G1363" s="41" t="inlineStr">
        <is>
          <t>134.2700</t>
        </is>
      </c>
      <c r="H1363" s="41" t="inlineStr">
        <is>
          <t>202407</t>
        </is>
      </c>
      <c r="I1363" s="41" t="inlineStr">
        <is>
          <t>06</t>
        </is>
      </c>
      <c r="J1363" s="41" t="inlineStr">
        <is>
          <t>392,500</t>
        </is>
      </c>
      <c r="K1363" s="41" t="inlineStr">
        <is>
          <t>205</t>
        </is>
      </c>
      <c r="L1363" s="41" t="inlineStr">
        <is>
          <t>27</t>
        </is>
      </c>
      <c r="M1363" s="42" t="inlineStr">
        <is>
          <t>개인</t>
        </is>
      </c>
      <c r="N1363" s="42" t="inlineStr">
        <is>
          <t>개인</t>
        </is>
      </c>
      <c r="O1363" s="41" t="inlineStr">
        <is>
          <t>2018</t>
        </is>
      </c>
      <c r="P1363" s="42" t="inlineStr">
        <is>
          <t>서운로 104</t>
        </is>
      </c>
      <c r="Q1363" s="41" t="inlineStr">
        <is>
          <t>-</t>
        </is>
      </c>
      <c r="R1363" s="42" t="inlineStr">
        <is>
          <t>중개거래</t>
        </is>
      </c>
      <c r="S1363" s="42" t="inlineStr">
        <is>
          <t>서울 서초구</t>
        </is>
      </c>
      <c r="T1363" s="41" t="inlineStr">
        <is>
          <t>24.10.18</t>
        </is>
      </c>
      <c r="U1363" s="42" t="inlineStr">
        <is>
          <t>아파트</t>
        </is>
      </c>
    </row>
    <row r="1364" hidden="1" ht="14.25" customHeight="1">
      <c r="A1364" s="41" t="n">
        <v>831</v>
      </c>
      <c r="B1364" s="42" t="inlineStr">
        <is>
          <t>서울특별시 서초구 서초동</t>
        </is>
      </c>
      <c r="C1364" s="41" t="inlineStr">
        <is>
          <t>1332-13</t>
        </is>
      </c>
      <c r="D1364" s="41" t="inlineStr">
        <is>
          <t>1332</t>
        </is>
      </c>
      <c r="E1364" s="41" t="inlineStr">
        <is>
          <t>0013</t>
        </is>
      </c>
      <c r="F1364" s="42" t="inlineStr">
        <is>
          <t>래미안서초에스티지</t>
        </is>
      </c>
      <c r="G1364" s="41" t="inlineStr">
        <is>
          <t>83.6000</t>
        </is>
      </c>
      <c r="H1364" s="41" t="inlineStr">
        <is>
          <t>202407</t>
        </is>
      </c>
      <c r="I1364" s="41" t="inlineStr">
        <is>
          <t>06</t>
        </is>
      </c>
      <c r="J1364" s="41" t="inlineStr">
        <is>
          <t>261,500</t>
        </is>
      </c>
      <c r="K1364" s="41" t="inlineStr">
        <is>
          <t>101동</t>
        </is>
      </c>
      <c r="L1364" s="41" t="inlineStr">
        <is>
          <t>2</t>
        </is>
      </c>
      <c r="M1364" s="42" t="inlineStr">
        <is>
          <t>개인</t>
        </is>
      </c>
      <c r="N1364" s="42" t="inlineStr">
        <is>
          <t>개인</t>
        </is>
      </c>
      <c r="O1364" s="41" t="inlineStr">
        <is>
          <t>2016</t>
        </is>
      </c>
      <c r="P1364" s="42" t="inlineStr">
        <is>
          <t>서운로 107</t>
        </is>
      </c>
      <c r="Q1364" s="41" t="inlineStr">
        <is>
          <t>-</t>
        </is>
      </c>
      <c r="R1364" s="42" t="inlineStr">
        <is>
          <t>중개거래</t>
        </is>
      </c>
      <c r="S1364" s="42" t="inlineStr">
        <is>
          <t>서울 서초구</t>
        </is>
      </c>
      <c r="T1364" s="41" t="inlineStr">
        <is>
          <t>24.11.06</t>
        </is>
      </c>
      <c r="U1364" s="42" t="inlineStr">
        <is>
          <t>아파트</t>
        </is>
      </c>
    </row>
    <row r="1365" hidden="1" ht="14.25" customHeight="1">
      <c r="A1365" s="41" t="n">
        <v>832</v>
      </c>
      <c r="B1365" s="42" t="inlineStr">
        <is>
          <t>서울특별시 서초구 서초동</t>
        </is>
      </c>
      <c r="C1365" s="41" t="inlineStr">
        <is>
          <t>1332-13</t>
        </is>
      </c>
      <c r="D1365" s="41" t="inlineStr">
        <is>
          <t>1332</t>
        </is>
      </c>
      <c r="E1365" s="41" t="inlineStr">
        <is>
          <t>0013</t>
        </is>
      </c>
      <c r="F1365" s="42" t="inlineStr">
        <is>
          <t>래미안서초에스티지</t>
        </is>
      </c>
      <c r="G1365" s="41" t="inlineStr">
        <is>
          <t>83.6000</t>
        </is>
      </c>
      <c r="H1365" s="41" t="inlineStr">
        <is>
          <t>202407</t>
        </is>
      </c>
      <c r="I1365" s="41" t="inlineStr">
        <is>
          <t>06</t>
        </is>
      </c>
      <c r="J1365" s="41" t="inlineStr">
        <is>
          <t>275,000</t>
        </is>
      </c>
      <c r="K1365" s="41" t="inlineStr">
        <is>
          <t>102동</t>
        </is>
      </c>
      <c r="L1365" s="41" t="inlineStr">
        <is>
          <t>14</t>
        </is>
      </c>
      <c r="M1365" s="42" t="inlineStr">
        <is>
          <t>개인</t>
        </is>
      </c>
      <c r="N1365" s="42" t="inlineStr">
        <is>
          <t>개인</t>
        </is>
      </c>
      <c r="O1365" s="41" t="inlineStr">
        <is>
          <t>2016</t>
        </is>
      </c>
      <c r="P1365" s="42" t="inlineStr">
        <is>
          <t>서운로 107</t>
        </is>
      </c>
      <c r="Q1365" s="41" t="inlineStr">
        <is>
          <t>-</t>
        </is>
      </c>
      <c r="R1365" s="42" t="inlineStr">
        <is>
          <t>중개거래</t>
        </is>
      </c>
      <c r="S1365" s="42" t="inlineStr">
        <is>
          <t>서울 서초구</t>
        </is>
      </c>
      <c r="T1365" s="41" t="inlineStr">
        <is>
          <t>24.09.30</t>
        </is>
      </c>
      <c r="U1365" s="42" t="inlineStr">
        <is>
          <t>아파트</t>
        </is>
      </c>
    </row>
    <row r="1366" hidden="1" ht="14.25" customHeight="1">
      <c r="A1366" s="41" t="n">
        <v>833</v>
      </c>
      <c r="B1366" s="42" t="inlineStr">
        <is>
          <t>서울특별시 서초구 서초동</t>
        </is>
      </c>
      <c r="C1366" s="41" t="inlineStr">
        <is>
          <t>1686-9</t>
        </is>
      </c>
      <c r="D1366" s="41" t="inlineStr">
        <is>
          <t>1686</t>
        </is>
      </c>
      <c r="E1366" s="41" t="inlineStr">
        <is>
          <t>0009</t>
        </is>
      </c>
      <c r="F1366" s="42" t="inlineStr">
        <is>
          <t>서초교대e편한세상</t>
        </is>
      </c>
      <c r="G1366" s="41" t="inlineStr">
        <is>
          <t>59.9000</t>
        </is>
      </c>
      <c r="H1366" s="41" t="inlineStr">
        <is>
          <t>202407</t>
        </is>
      </c>
      <c r="I1366" s="41" t="inlineStr">
        <is>
          <t>06</t>
        </is>
      </c>
      <c r="J1366" s="41" t="inlineStr">
        <is>
          <t>194,500</t>
        </is>
      </c>
      <c r="K1366" s="41" t="inlineStr">
        <is>
          <t>105</t>
        </is>
      </c>
      <c r="L1366" s="41" t="inlineStr">
        <is>
          <t>4</t>
        </is>
      </c>
      <c r="M1366" s="42" t="inlineStr">
        <is>
          <t>개인</t>
        </is>
      </c>
      <c r="N1366" s="42" t="inlineStr">
        <is>
          <t>개인</t>
        </is>
      </c>
      <c r="O1366" s="41" t="inlineStr">
        <is>
          <t>2010</t>
        </is>
      </c>
      <c r="P1366" s="42" t="inlineStr">
        <is>
          <t>서초중앙로24길 33</t>
        </is>
      </c>
      <c r="Q1366" s="41" t="inlineStr">
        <is>
          <t>-</t>
        </is>
      </c>
      <c r="R1366" s="42" t="inlineStr">
        <is>
          <t>중개거래</t>
        </is>
      </c>
      <c r="S1366" s="42" t="inlineStr">
        <is>
          <t>서울 서초구</t>
        </is>
      </c>
      <c r="T1366" s="41" t="inlineStr">
        <is>
          <t>24.08.30</t>
        </is>
      </c>
      <c r="U1366" s="42" t="inlineStr">
        <is>
          <t>아파트</t>
        </is>
      </c>
    </row>
    <row r="1367" hidden="1" ht="14.25" customHeight="1">
      <c r="A1367" s="41" t="n">
        <v>834</v>
      </c>
      <c r="B1367" s="42" t="inlineStr">
        <is>
          <t>서울특별시 서초구 서초동</t>
        </is>
      </c>
      <c r="C1367" s="41" t="inlineStr">
        <is>
          <t>1757</t>
        </is>
      </c>
      <c r="D1367" s="41" t="inlineStr">
        <is>
          <t>1757</t>
        </is>
      </c>
      <c r="E1367" s="41" t="inlineStr">
        <is>
          <t>0000</t>
        </is>
      </c>
      <c r="F1367" s="42" t="inlineStr">
        <is>
          <t>서초그랑자이</t>
        </is>
      </c>
      <c r="G1367" s="41" t="inlineStr">
        <is>
          <t>119.4100</t>
        </is>
      </c>
      <c r="H1367" s="41" t="inlineStr">
        <is>
          <t>202407</t>
        </is>
      </c>
      <c r="I1367" s="41" t="inlineStr">
        <is>
          <t>05</t>
        </is>
      </c>
      <c r="J1367" s="41" t="inlineStr">
        <is>
          <t>412,000</t>
        </is>
      </c>
      <c r="K1367" s="41" t="inlineStr">
        <is>
          <t>107동</t>
        </is>
      </c>
      <c r="L1367" s="41" t="inlineStr">
        <is>
          <t>19</t>
        </is>
      </c>
      <c r="M1367" s="42" t="inlineStr">
        <is>
          <t>개인</t>
        </is>
      </c>
      <c r="N1367" s="42" t="inlineStr">
        <is>
          <t>개인</t>
        </is>
      </c>
      <c r="O1367" s="41" t="inlineStr">
        <is>
          <t>2021</t>
        </is>
      </c>
      <c r="P1367" s="42" t="inlineStr">
        <is>
          <t>효령로 391</t>
        </is>
      </c>
      <c r="Q1367" s="41" t="inlineStr">
        <is>
          <t>-</t>
        </is>
      </c>
      <c r="R1367" s="42" t="inlineStr">
        <is>
          <t>중개거래</t>
        </is>
      </c>
      <c r="S1367" s="42" t="inlineStr">
        <is>
          <t>서울 서초구</t>
        </is>
      </c>
      <c r="T1367" s="41" t="inlineStr">
        <is>
          <t>25.01.03</t>
        </is>
      </c>
      <c r="U1367" s="42" t="inlineStr">
        <is>
          <t>아파트</t>
        </is>
      </c>
    </row>
    <row r="1368" hidden="1" ht="14.25" customHeight="1">
      <c r="A1368" s="41" t="n">
        <v>835</v>
      </c>
      <c r="B1368" s="42" t="inlineStr">
        <is>
          <t>서울특별시 서초구 서초동</t>
        </is>
      </c>
      <c r="C1368" s="41" t="inlineStr">
        <is>
          <t>1445-4</t>
        </is>
      </c>
      <c r="D1368" s="41" t="inlineStr">
        <is>
          <t>1445</t>
        </is>
      </c>
      <c r="E1368" s="41" t="inlineStr">
        <is>
          <t>0004</t>
        </is>
      </c>
      <c r="F1368" s="42" t="inlineStr">
        <is>
          <t>래미안서초유니빌</t>
        </is>
      </c>
      <c r="G1368" s="41" t="inlineStr">
        <is>
          <t>45.2550</t>
        </is>
      </c>
      <c r="H1368" s="41" t="inlineStr">
        <is>
          <t>202407</t>
        </is>
      </c>
      <c r="I1368" s="41" t="inlineStr">
        <is>
          <t>05</t>
        </is>
      </c>
      <c r="J1368" s="41" t="inlineStr">
        <is>
          <t>50,000</t>
        </is>
      </c>
      <c r="K1368" s="42" t="inlineStr">
        <is>
          <t>래미안 서초유니빌</t>
        </is>
      </c>
      <c r="L1368" s="41" t="inlineStr">
        <is>
          <t>18</t>
        </is>
      </c>
      <c r="M1368" s="42" t="inlineStr">
        <is>
          <t>개인</t>
        </is>
      </c>
      <c r="N1368" s="42" t="inlineStr">
        <is>
          <t>개인</t>
        </is>
      </c>
      <c r="O1368" s="41" t="inlineStr">
        <is>
          <t>2003</t>
        </is>
      </c>
      <c r="P1368" s="42" t="inlineStr">
        <is>
          <t>서초중앙로 26</t>
        </is>
      </c>
      <c r="Q1368" s="41" t="inlineStr">
        <is>
          <t>-</t>
        </is>
      </c>
      <c r="R1368" s="42" t="inlineStr">
        <is>
          <t>중개거래</t>
        </is>
      </c>
      <c r="S1368" s="42" t="inlineStr">
        <is>
          <t>서울 서초구</t>
        </is>
      </c>
      <c r="T1368" s="41" t="inlineStr">
        <is>
          <t>24.08.28</t>
        </is>
      </c>
      <c r="U1368" s="42" t="inlineStr">
        <is>
          <t>아파트</t>
        </is>
      </c>
    </row>
    <row r="1369" hidden="1" ht="14.25" customHeight="1">
      <c r="A1369" s="41" t="n">
        <v>836</v>
      </c>
      <c r="B1369" s="42" t="inlineStr">
        <is>
          <t>서울특별시 서초구 서초동</t>
        </is>
      </c>
      <c r="C1369" s="41" t="inlineStr">
        <is>
          <t>1315</t>
        </is>
      </c>
      <c r="D1369" s="41" t="inlineStr">
        <is>
          <t>1315</t>
        </is>
      </c>
      <c r="E1369" s="41" t="inlineStr">
        <is>
          <t>0000</t>
        </is>
      </c>
      <c r="F1369" s="42" t="inlineStr">
        <is>
          <t>진흥아파트</t>
        </is>
      </c>
      <c r="G1369" s="41" t="inlineStr">
        <is>
          <t>101.3200</t>
        </is>
      </c>
      <c r="H1369" s="41" t="inlineStr">
        <is>
          <t>202407</t>
        </is>
      </c>
      <c r="I1369" s="41" t="inlineStr">
        <is>
          <t>05</t>
        </is>
      </c>
      <c r="J1369" s="41" t="inlineStr">
        <is>
          <t>220,000</t>
        </is>
      </c>
      <c r="K1369" s="41" t="inlineStr">
        <is>
          <t>2</t>
        </is>
      </c>
      <c r="L1369" s="41" t="inlineStr">
        <is>
          <t>13</t>
        </is>
      </c>
      <c r="M1369" s="42" t="inlineStr">
        <is>
          <t>개인</t>
        </is>
      </c>
      <c r="N1369" s="42" t="inlineStr">
        <is>
          <t>개인</t>
        </is>
      </c>
      <c r="O1369" s="41" t="inlineStr">
        <is>
          <t>1979</t>
        </is>
      </c>
      <c r="P1369" s="42" t="inlineStr">
        <is>
          <t>서초대로 385</t>
        </is>
      </c>
      <c r="Q1369" s="41" t="inlineStr">
        <is>
          <t>-</t>
        </is>
      </c>
      <c r="R1369" s="42" t="inlineStr">
        <is>
          <t>중개거래</t>
        </is>
      </c>
      <c r="S1369" s="42" t="inlineStr">
        <is>
          <t>서울 서초구</t>
        </is>
      </c>
      <c r="T1369" s="41" t="inlineStr">
        <is>
          <t>24.09.30</t>
        </is>
      </c>
      <c r="U1369" s="42" t="inlineStr">
        <is>
          <t>아파트</t>
        </is>
      </c>
    </row>
    <row r="1370" hidden="1" ht="14.25" customHeight="1">
      <c r="A1370" s="41" t="n">
        <v>837</v>
      </c>
      <c r="B1370" s="42" t="inlineStr">
        <is>
          <t>서울특별시 서초구 서초동</t>
        </is>
      </c>
      <c r="C1370" s="41" t="inlineStr">
        <is>
          <t>1533</t>
        </is>
      </c>
      <c r="D1370" s="41" t="inlineStr">
        <is>
          <t>1533</t>
        </is>
      </c>
      <c r="E1370" s="41" t="inlineStr">
        <is>
          <t>0000</t>
        </is>
      </c>
      <c r="F1370" s="42" t="inlineStr">
        <is>
          <t>서초한신리빙타워</t>
        </is>
      </c>
      <c r="G1370" s="41" t="inlineStr">
        <is>
          <t>42.5500</t>
        </is>
      </c>
      <c r="H1370" s="41" t="inlineStr">
        <is>
          <t>202407</t>
        </is>
      </c>
      <c r="I1370" s="41" t="inlineStr">
        <is>
          <t>05</t>
        </is>
      </c>
      <c r="J1370" s="41" t="inlineStr">
        <is>
          <t>56,000</t>
        </is>
      </c>
      <c r="K1370" s="41" t="inlineStr">
        <is>
          <t>-</t>
        </is>
      </c>
      <c r="L1370" s="41" t="inlineStr">
        <is>
          <t>12</t>
        </is>
      </c>
      <c r="M1370" s="42" t="inlineStr">
        <is>
          <t>개인</t>
        </is>
      </c>
      <c r="N1370" s="42" t="inlineStr">
        <is>
          <t>개인</t>
        </is>
      </c>
      <c r="O1370" s="41" t="inlineStr">
        <is>
          <t>1999</t>
        </is>
      </c>
      <c r="P1370" s="42" t="inlineStr">
        <is>
          <t>효령로 237</t>
        </is>
      </c>
      <c r="Q1370" s="41" t="inlineStr">
        <is>
          <t>-</t>
        </is>
      </c>
      <c r="R1370" s="42" t="inlineStr">
        <is>
          <t>직거래</t>
        </is>
      </c>
      <c r="S1370" s="41" t="inlineStr">
        <is>
          <t>-</t>
        </is>
      </c>
      <c r="T1370" s="41" t="inlineStr">
        <is>
          <t>24.07.05</t>
        </is>
      </c>
      <c r="U1370" s="42" t="inlineStr">
        <is>
          <t>아파트</t>
        </is>
      </c>
    </row>
    <row r="1371" hidden="1" ht="14.25" customHeight="1">
      <c r="A1371" s="41" t="n">
        <v>838</v>
      </c>
      <c r="B1371" s="42" t="inlineStr">
        <is>
          <t>서울특별시 서초구 서초동</t>
        </is>
      </c>
      <c r="C1371" s="41" t="inlineStr">
        <is>
          <t>1685-3</t>
        </is>
      </c>
      <c r="D1371" s="41" t="inlineStr">
        <is>
          <t>1685</t>
        </is>
      </c>
      <c r="E1371" s="41" t="inlineStr">
        <is>
          <t>0003</t>
        </is>
      </c>
      <c r="F1371" s="42" t="inlineStr">
        <is>
          <t>아크로비스타</t>
        </is>
      </c>
      <c r="G1371" s="41" t="inlineStr">
        <is>
          <t>149.8400</t>
        </is>
      </c>
      <c r="H1371" s="41" t="inlineStr">
        <is>
          <t>202407</t>
        </is>
      </c>
      <c r="I1371" s="41" t="inlineStr">
        <is>
          <t>05</t>
        </is>
      </c>
      <c r="J1371" s="41" t="inlineStr">
        <is>
          <t>310,000</t>
        </is>
      </c>
      <c r="K1371" s="41" t="inlineStr">
        <is>
          <t>A</t>
        </is>
      </c>
      <c r="L1371" s="41" t="inlineStr">
        <is>
          <t>27</t>
        </is>
      </c>
      <c r="M1371" s="42" t="inlineStr">
        <is>
          <t>개인</t>
        </is>
      </c>
      <c r="N1371" s="42" t="inlineStr">
        <is>
          <t>개인</t>
        </is>
      </c>
      <c r="O1371" s="41" t="inlineStr">
        <is>
          <t>2004</t>
        </is>
      </c>
      <c r="P1371" s="42" t="inlineStr">
        <is>
          <t>서초중앙로 188</t>
        </is>
      </c>
      <c r="Q1371" s="41" t="inlineStr">
        <is>
          <t>-</t>
        </is>
      </c>
      <c r="R1371" s="42" t="inlineStr">
        <is>
          <t>중개거래</t>
        </is>
      </c>
      <c r="S1371" s="42" t="inlineStr">
        <is>
          <t>서울 서초구</t>
        </is>
      </c>
      <c r="T1371" s="41" t="inlineStr">
        <is>
          <t>24.09.02</t>
        </is>
      </c>
      <c r="U1371" s="42" t="inlineStr">
        <is>
          <t>아파트</t>
        </is>
      </c>
    </row>
    <row r="1372" hidden="1" ht="14.25" customHeight="1">
      <c r="A1372" s="41" t="n">
        <v>839</v>
      </c>
      <c r="B1372" s="42" t="inlineStr">
        <is>
          <t>서울특별시 서초구 서초동</t>
        </is>
      </c>
      <c r="C1372" s="41" t="inlineStr">
        <is>
          <t>1757</t>
        </is>
      </c>
      <c r="D1372" s="41" t="inlineStr">
        <is>
          <t>1757</t>
        </is>
      </c>
      <c r="E1372" s="41" t="inlineStr">
        <is>
          <t>0000</t>
        </is>
      </c>
      <c r="F1372" s="42" t="inlineStr">
        <is>
          <t>서초그랑자이</t>
        </is>
      </c>
      <c r="G1372" s="41" t="inlineStr">
        <is>
          <t>100.3100</t>
        </is>
      </c>
      <c r="H1372" s="41" t="inlineStr">
        <is>
          <t>202407</t>
        </is>
      </c>
      <c r="I1372" s="41" t="inlineStr">
        <is>
          <t>05</t>
        </is>
      </c>
      <c r="J1372" s="41" t="inlineStr">
        <is>
          <t>359,000</t>
        </is>
      </c>
      <c r="K1372" s="41" t="inlineStr">
        <is>
          <t>104동</t>
        </is>
      </c>
      <c r="L1372" s="41" t="inlineStr">
        <is>
          <t>12</t>
        </is>
      </c>
      <c r="M1372" s="42" t="inlineStr">
        <is>
          <t>개인</t>
        </is>
      </c>
      <c r="N1372" s="42" t="inlineStr">
        <is>
          <t>개인</t>
        </is>
      </c>
      <c r="O1372" s="41" t="inlineStr">
        <is>
          <t>2021</t>
        </is>
      </c>
      <c r="P1372" s="42" t="inlineStr">
        <is>
          <t>효령로 391</t>
        </is>
      </c>
      <c r="Q1372" s="41" t="inlineStr">
        <is>
          <t>-</t>
        </is>
      </c>
      <c r="R1372" s="42" t="inlineStr">
        <is>
          <t>중개거래</t>
        </is>
      </c>
      <c r="S1372" s="42" t="inlineStr">
        <is>
          <t>서울 서초구</t>
        </is>
      </c>
      <c r="T1372" s="41" t="inlineStr">
        <is>
          <t>24.10.30</t>
        </is>
      </c>
      <c r="U1372" s="42" t="inlineStr">
        <is>
          <t>아파트</t>
        </is>
      </c>
    </row>
    <row r="1373" hidden="1" ht="14.25" customHeight="1">
      <c r="A1373" s="41" t="n">
        <v>840</v>
      </c>
      <c r="B1373" s="42" t="inlineStr">
        <is>
          <t>서울특별시 서초구 서초동</t>
        </is>
      </c>
      <c r="C1373" s="41" t="inlineStr">
        <is>
          <t>1757</t>
        </is>
      </c>
      <c r="D1373" s="41" t="inlineStr">
        <is>
          <t>1757</t>
        </is>
      </c>
      <c r="E1373" s="41" t="inlineStr">
        <is>
          <t>0000</t>
        </is>
      </c>
      <c r="F1373" s="42" t="inlineStr">
        <is>
          <t>서초그랑자이</t>
        </is>
      </c>
      <c r="G1373" s="41" t="inlineStr">
        <is>
          <t>100.3100</t>
        </is>
      </c>
      <c r="H1373" s="41" t="inlineStr">
        <is>
          <t>202407</t>
        </is>
      </c>
      <c r="I1373" s="41" t="inlineStr">
        <is>
          <t>05</t>
        </is>
      </c>
      <c r="J1373" s="41" t="inlineStr">
        <is>
          <t>361,000</t>
        </is>
      </c>
      <c r="K1373" s="41" t="inlineStr">
        <is>
          <t>106동</t>
        </is>
      </c>
      <c r="L1373" s="41" t="inlineStr">
        <is>
          <t>15</t>
        </is>
      </c>
      <c r="M1373" s="42" t="inlineStr">
        <is>
          <t>개인</t>
        </is>
      </c>
      <c r="N1373" s="42" t="inlineStr">
        <is>
          <t>개인</t>
        </is>
      </c>
      <c r="O1373" s="41" t="inlineStr">
        <is>
          <t>2021</t>
        </is>
      </c>
      <c r="P1373" s="42" t="inlineStr">
        <is>
          <t>효령로 391</t>
        </is>
      </c>
      <c r="Q1373" s="41" t="inlineStr">
        <is>
          <t>-</t>
        </is>
      </c>
      <c r="R1373" s="42" t="inlineStr">
        <is>
          <t>중개거래</t>
        </is>
      </c>
      <c r="S1373" s="42" t="inlineStr">
        <is>
          <t>서울 서초구</t>
        </is>
      </c>
      <c r="T1373" s="41" t="inlineStr">
        <is>
          <t>24.11.29</t>
        </is>
      </c>
      <c r="U1373" s="42" t="inlineStr">
        <is>
          <t>아파트</t>
        </is>
      </c>
    </row>
    <row r="1374" hidden="1" ht="14.25" customHeight="1">
      <c r="A1374" s="41" t="n">
        <v>841</v>
      </c>
      <c r="B1374" s="42" t="inlineStr">
        <is>
          <t>서울특별시 서초구 서초동</t>
        </is>
      </c>
      <c r="C1374" s="41" t="inlineStr">
        <is>
          <t>1685-3</t>
        </is>
      </c>
      <c r="D1374" s="41" t="inlineStr">
        <is>
          <t>1685</t>
        </is>
      </c>
      <c r="E1374" s="41" t="inlineStr">
        <is>
          <t>0003</t>
        </is>
      </c>
      <c r="F1374" s="42" t="inlineStr">
        <is>
          <t>아크로비스타</t>
        </is>
      </c>
      <c r="G1374" s="41" t="inlineStr">
        <is>
          <t>205.0700</t>
        </is>
      </c>
      <c r="H1374" s="41" t="inlineStr">
        <is>
          <t>202407</t>
        </is>
      </c>
      <c r="I1374" s="41" t="inlineStr">
        <is>
          <t>05</t>
        </is>
      </c>
      <c r="J1374" s="41" t="inlineStr">
        <is>
          <t>410,000</t>
        </is>
      </c>
      <c r="K1374" s="41" t="inlineStr">
        <is>
          <t>B</t>
        </is>
      </c>
      <c r="L1374" s="41" t="inlineStr">
        <is>
          <t>24</t>
        </is>
      </c>
      <c r="M1374" s="42" t="inlineStr">
        <is>
          <t>개인</t>
        </is>
      </c>
      <c r="N1374" s="42" t="inlineStr">
        <is>
          <t>개인</t>
        </is>
      </c>
      <c r="O1374" s="41" t="inlineStr">
        <is>
          <t>2004</t>
        </is>
      </c>
      <c r="P1374" s="42" t="inlineStr">
        <is>
          <t>서초중앙로 188</t>
        </is>
      </c>
      <c r="Q1374" s="41" t="inlineStr">
        <is>
          <t>-</t>
        </is>
      </c>
      <c r="R1374" s="42" t="inlineStr">
        <is>
          <t>중개거래</t>
        </is>
      </c>
      <c r="S1374" s="42" t="inlineStr">
        <is>
          <t>서울 서초구</t>
        </is>
      </c>
      <c r="T1374" s="41" t="inlineStr">
        <is>
          <t>24.09.02</t>
        </is>
      </c>
      <c r="U1374" s="42" t="inlineStr">
        <is>
          <t>아파트</t>
        </is>
      </c>
    </row>
    <row r="1375" hidden="1" ht="14.25" customHeight="1">
      <c r="A1375" s="41" t="n">
        <v>842</v>
      </c>
      <c r="B1375" s="42" t="inlineStr">
        <is>
          <t>서울특별시 서초구 서초동</t>
        </is>
      </c>
      <c r="C1375" s="41" t="inlineStr">
        <is>
          <t>1755</t>
        </is>
      </c>
      <c r="D1375" s="41" t="inlineStr">
        <is>
          <t>1755</t>
        </is>
      </c>
      <c r="E1375" s="41" t="inlineStr">
        <is>
          <t>0000</t>
        </is>
      </c>
      <c r="F1375" s="42" t="inlineStr">
        <is>
          <t>래미안 리더스원</t>
        </is>
      </c>
      <c r="G1375" s="41" t="inlineStr">
        <is>
          <t>84.9400</t>
        </is>
      </c>
      <c r="H1375" s="41" t="inlineStr">
        <is>
          <t>202407</t>
        </is>
      </c>
      <c r="I1375" s="41" t="inlineStr">
        <is>
          <t>04</t>
        </is>
      </c>
      <c r="J1375" s="41" t="inlineStr">
        <is>
          <t>320,000</t>
        </is>
      </c>
      <c r="K1375" s="41" t="inlineStr">
        <is>
          <t>104동</t>
        </is>
      </c>
      <c r="L1375" s="41" t="inlineStr">
        <is>
          <t>14</t>
        </is>
      </c>
      <c r="M1375" s="42" t="inlineStr">
        <is>
          <t>개인</t>
        </is>
      </c>
      <c r="N1375" s="42" t="inlineStr">
        <is>
          <t>개인</t>
        </is>
      </c>
      <c r="O1375" s="41" t="inlineStr">
        <is>
          <t>2020</t>
        </is>
      </c>
      <c r="P1375" s="42" t="inlineStr">
        <is>
          <t>서운로 62</t>
        </is>
      </c>
      <c r="Q1375" s="41" t="inlineStr">
        <is>
          <t>-</t>
        </is>
      </c>
      <c r="R1375" s="42" t="inlineStr">
        <is>
          <t>중개거래</t>
        </is>
      </c>
      <c r="S1375" s="42" t="inlineStr">
        <is>
          <t>서울 강남구, 서울 서초구</t>
        </is>
      </c>
      <c r="T1375" s="41" t="inlineStr">
        <is>
          <t>24.11.01</t>
        </is>
      </c>
      <c r="U1375" s="42" t="inlineStr">
        <is>
          <t>아파트</t>
        </is>
      </c>
    </row>
    <row r="1376" hidden="1" ht="14.25" customHeight="1">
      <c r="A1376" s="41" t="n">
        <v>843</v>
      </c>
      <c r="B1376" s="42" t="inlineStr">
        <is>
          <t>서울특별시 서초구 서초동</t>
        </is>
      </c>
      <c r="C1376" s="41" t="inlineStr">
        <is>
          <t>1330</t>
        </is>
      </c>
      <c r="D1376" s="41" t="inlineStr">
        <is>
          <t>1330</t>
        </is>
      </c>
      <c r="E1376" s="41" t="inlineStr">
        <is>
          <t>0000</t>
        </is>
      </c>
      <c r="F1376" s="42" t="inlineStr">
        <is>
          <t>서초동삼성쉐르빌2</t>
        </is>
      </c>
      <c r="G1376" s="41" t="inlineStr">
        <is>
          <t>70.4900</t>
        </is>
      </c>
      <c r="H1376" s="41" t="inlineStr">
        <is>
          <t>202407</t>
        </is>
      </c>
      <c r="I1376" s="41" t="inlineStr">
        <is>
          <t>04</t>
        </is>
      </c>
      <c r="J1376" s="41" t="inlineStr">
        <is>
          <t>92,000</t>
        </is>
      </c>
      <c r="K1376" s="41" t="inlineStr">
        <is>
          <t>-</t>
        </is>
      </c>
      <c r="L1376" s="41" t="inlineStr">
        <is>
          <t>14</t>
        </is>
      </c>
      <c r="M1376" s="42" t="inlineStr">
        <is>
          <t>개인</t>
        </is>
      </c>
      <c r="N1376" s="42" t="inlineStr">
        <is>
          <t>개인</t>
        </is>
      </c>
      <c r="O1376" s="41" t="inlineStr">
        <is>
          <t>2002</t>
        </is>
      </c>
      <c r="P1376" s="42" t="inlineStr">
        <is>
          <t>강남대로53길 11</t>
        </is>
      </c>
      <c r="Q1376" s="41" t="inlineStr">
        <is>
          <t>-</t>
        </is>
      </c>
      <c r="R1376" s="42" t="inlineStr">
        <is>
          <t>중개거래</t>
        </is>
      </c>
      <c r="S1376" s="42" t="inlineStr">
        <is>
          <t>서울 서초구</t>
        </is>
      </c>
      <c r="T1376" s="41" t="inlineStr">
        <is>
          <t>24.10.31</t>
        </is>
      </c>
      <c r="U1376" s="42" t="inlineStr">
        <is>
          <t>아파트</t>
        </is>
      </c>
    </row>
    <row r="1377" hidden="1" ht="14.25" customHeight="1">
      <c r="A1377" s="41" t="n">
        <v>844</v>
      </c>
      <c r="B1377" s="42" t="inlineStr">
        <is>
          <t>서울특별시 서초구 서초동</t>
        </is>
      </c>
      <c r="C1377" s="41" t="inlineStr">
        <is>
          <t>1445-4</t>
        </is>
      </c>
      <c r="D1377" s="41" t="inlineStr">
        <is>
          <t>1445</t>
        </is>
      </c>
      <c r="E1377" s="41" t="inlineStr">
        <is>
          <t>0004</t>
        </is>
      </c>
      <c r="F1377" s="42" t="inlineStr">
        <is>
          <t>래미안서초유니빌</t>
        </is>
      </c>
      <c r="G1377" s="41" t="inlineStr">
        <is>
          <t>45.2550</t>
        </is>
      </c>
      <c r="H1377" s="41" t="inlineStr">
        <is>
          <t>202407</t>
        </is>
      </c>
      <c r="I1377" s="41" t="inlineStr">
        <is>
          <t>04</t>
        </is>
      </c>
      <c r="J1377" s="41" t="inlineStr">
        <is>
          <t>56,000</t>
        </is>
      </c>
      <c r="K1377" s="42" t="inlineStr">
        <is>
          <t>래미안 서초유니빌</t>
        </is>
      </c>
      <c r="L1377" s="41" t="inlineStr">
        <is>
          <t>11</t>
        </is>
      </c>
      <c r="M1377" s="42" t="inlineStr">
        <is>
          <t>개인</t>
        </is>
      </c>
      <c r="N1377" s="42" t="inlineStr">
        <is>
          <t>개인</t>
        </is>
      </c>
      <c r="O1377" s="41" t="inlineStr">
        <is>
          <t>2003</t>
        </is>
      </c>
      <c r="P1377" s="42" t="inlineStr">
        <is>
          <t>서초중앙로 26</t>
        </is>
      </c>
      <c r="Q1377" s="41" t="inlineStr">
        <is>
          <t>-</t>
        </is>
      </c>
      <c r="R1377" s="42" t="inlineStr">
        <is>
          <t>중개거래</t>
        </is>
      </c>
      <c r="S1377" s="42" t="inlineStr">
        <is>
          <t>서울 서초구</t>
        </is>
      </c>
      <c r="T1377" s="41" t="inlineStr">
        <is>
          <t>24.09.04</t>
        </is>
      </c>
      <c r="U1377" s="42" t="inlineStr">
        <is>
          <t>아파트</t>
        </is>
      </c>
    </row>
    <row r="1378" hidden="1" ht="14.25" customHeight="1">
      <c r="A1378" s="41" t="n">
        <v>845</v>
      </c>
      <c r="B1378" s="42" t="inlineStr">
        <is>
          <t>서울특별시 서초구 서초동</t>
        </is>
      </c>
      <c r="C1378" s="41" t="inlineStr">
        <is>
          <t>1685</t>
        </is>
      </c>
      <c r="D1378" s="41" t="inlineStr">
        <is>
          <t>1685</t>
        </is>
      </c>
      <c r="E1378" s="41" t="inlineStr">
        <is>
          <t>0000</t>
        </is>
      </c>
      <c r="F1378" s="42" t="inlineStr">
        <is>
          <t>삼풍아파트</t>
        </is>
      </c>
      <c r="G1378" s="41" t="inlineStr">
        <is>
          <t>130.7300</t>
        </is>
      </c>
      <c r="H1378" s="41" t="inlineStr">
        <is>
          <t>202407</t>
        </is>
      </c>
      <c r="I1378" s="41" t="inlineStr">
        <is>
          <t>04</t>
        </is>
      </c>
      <c r="J1378" s="41" t="inlineStr">
        <is>
          <t>340,000</t>
        </is>
      </c>
      <c r="K1378" s="41" t="inlineStr">
        <is>
          <t>10</t>
        </is>
      </c>
      <c r="L1378" s="41" t="inlineStr">
        <is>
          <t>7</t>
        </is>
      </c>
      <c r="M1378" s="42" t="inlineStr">
        <is>
          <t>개인</t>
        </is>
      </c>
      <c r="N1378" s="42" t="inlineStr">
        <is>
          <t>개인</t>
        </is>
      </c>
      <c r="O1378" s="41" t="inlineStr">
        <is>
          <t>1988</t>
        </is>
      </c>
      <c r="P1378" s="42" t="inlineStr">
        <is>
          <t>서초중앙로 200</t>
        </is>
      </c>
      <c r="Q1378" s="41" t="inlineStr">
        <is>
          <t>-</t>
        </is>
      </c>
      <c r="R1378" s="42" t="inlineStr">
        <is>
          <t>중개거래</t>
        </is>
      </c>
      <c r="S1378" s="42" t="inlineStr">
        <is>
          <t>서울 서초구</t>
        </is>
      </c>
      <c r="T1378" s="41" t="inlineStr">
        <is>
          <t>24.10.25</t>
        </is>
      </c>
      <c r="U1378" s="42" t="inlineStr">
        <is>
          <t>아파트</t>
        </is>
      </c>
    </row>
    <row r="1379" hidden="1" ht="14.25" customHeight="1">
      <c r="A1379" s="41" t="n">
        <v>846</v>
      </c>
      <c r="B1379" s="42" t="inlineStr">
        <is>
          <t>서울특별시 서초구 서초동</t>
        </is>
      </c>
      <c r="C1379" s="41" t="inlineStr">
        <is>
          <t>1332-13</t>
        </is>
      </c>
      <c r="D1379" s="41" t="inlineStr">
        <is>
          <t>1332</t>
        </is>
      </c>
      <c r="E1379" s="41" t="inlineStr">
        <is>
          <t>0013</t>
        </is>
      </c>
      <c r="F1379" s="42" t="inlineStr">
        <is>
          <t>래미안서초에스티지</t>
        </is>
      </c>
      <c r="G1379" s="41" t="inlineStr">
        <is>
          <t>83.6000</t>
        </is>
      </c>
      <c r="H1379" s="41" t="inlineStr">
        <is>
          <t>202407</t>
        </is>
      </c>
      <c r="I1379" s="41" t="inlineStr">
        <is>
          <t>04</t>
        </is>
      </c>
      <c r="J1379" s="41" t="inlineStr">
        <is>
          <t>250,000</t>
        </is>
      </c>
      <c r="K1379" s="41" t="inlineStr">
        <is>
          <t>102동</t>
        </is>
      </c>
      <c r="L1379" s="41" t="inlineStr">
        <is>
          <t>2</t>
        </is>
      </c>
      <c r="M1379" s="42" t="inlineStr">
        <is>
          <t>개인</t>
        </is>
      </c>
      <c r="N1379" s="42" t="inlineStr">
        <is>
          <t>개인</t>
        </is>
      </c>
      <c r="O1379" s="41" t="inlineStr">
        <is>
          <t>2016</t>
        </is>
      </c>
      <c r="P1379" s="42" t="inlineStr">
        <is>
          <t>서운로 107</t>
        </is>
      </c>
      <c r="Q1379" s="41" t="inlineStr">
        <is>
          <t>-</t>
        </is>
      </c>
      <c r="R1379" s="42" t="inlineStr">
        <is>
          <t>중개거래</t>
        </is>
      </c>
      <c r="S1379" s="42" t="inlineStr">
        <is>
          <t>서울 서초구</t>
        </is>
      </c>
      <c r="T1379" s="41" t="inlineStr">
        <is>
          <t>24.07.15</t>
        </is>
      </c>
      <c r="U1379" s="42" t="inlineStr">
        <is>
          <t>아파트</t>
        </is>
      </c>
    </row>
    <row r="1380" hidden="1" ht="14.25" customHeight="1">
      <c r="A1380" s="41" t="n">
        <v>847</v>
      </c>
      <c r="B1380" s="42" t="inlineStr">
        <is>
          <t>서울특별시 서초구 서초동</t>
        </is>
      </c>
      <c r="C1380" s="41" t="inlineStr">
        <is>
          <t>1682</t>
        </is>
      </c>
      <c r="D1380" s="41" t="inlineStr">
        <is>
          <t>1682</t>
        </is>
      </c>
      <c r="E1380" s="41" t="inlineStr">
        <is>
          <t>0000</t>
        </is>
      </c>
      <c r="F1380" s="42" t="inlineStr">
        <is>
          <t>서초래미안</t>
        </is>
      </c>
      <c r="G1380" s="41" t="inlineStr">
        <is>
          <t>111.3200</t>
        </is>
      </c>
      <c r="H1380" s="41" t="inlineStr">
        <is>
          <t>202407</t>
        </is>
      </c>
      <c r="I1380" s="41" t="inlineStr">
        <is>
          <t>03</t>
        </is>
      </c>
      <c r="J1380" s="41" t="inlineStr">
        <is>
          <t>249,000</t>
        </is>
      </c>
      <c r="K1380" s="41" t="inlineStr">
        <is>
          <t>106</t>
        </is>
      </c>
      <c r="L1380" s="41" t="inlineStr">
        <is>
          <t>23</t>
        </is>
      </c>
      <c r="M1380" s="42" t="inlineStr">
        <is>
          <t>개인</t>
        </is>
      </c>
      <c r="N1380" s="42" t="inlineStr">
        <is>
          <t>개인</t>
        </is>
      </c>
      <c r="O1380" s="41" t="inlineStr">
        <is>
          <t>2003</t>
        </is>
      </c>
      <c r="P1380" s="42" t="inlineStr">
        <is>
          <t>서초대로65길 13-10</t>
        </is>
      </c>
      <c r="Q1380" s="41" t="inlineStr">
        <is>
          <t>-</t>
        </is>
      </c>
      <c r="R1380" s="42" t="inlineStr">
        <is>
          <t>중개거래</t>
        </is>
      </c>
      <c r="S1380" s="42" t="inlineStr">
        <is>
          <t>서울 서초구</t>
        </is>
      </c>
      <c r="T1380" s="41" t="inlineStr">
        <is>
          <t>24.09.30</t>
        </is>
      </c>
      <c r="U1380" s="42" t="inlineStr">
        <is>
          <t>아파트</t>
        </is>
      </c>
    </row>
    <row r="1381" hidden="1" ht="14.25" customHeight="1">
      <c r="A1381" s="41" t="n">
        <v>848</v>
      </c>
      <c r="B1381" s="42" t="inlineStr">
        <is>
          <t>서울특별시 서초구 서초동</t>
        </is>
      </c>
      <c r="C1381" s="41" t="inlineStr">
        <is>
          <t>1757</t>
        </is>
      </c>
      <c r="D1381" s="41" t="inlineStr">
        <is>
          <t>1757</t>
        </is>
      </c>
      <c r="E1381" s="41" t="inlineStr">
        <is>
          <t>0000</t>
        </is>
      </c>
      <c r="F1381" s="42" t="inlineStr">
        <is>
          <t>서초그랑자이</t>
        </is>
      </c>
      <c r="G1381" s="41" t="inlineStr">
        <is>
          <t>84.5100</t>
        </is>
      </c>
      <c r="H1381" s="41" t="inlineStr">
        <is>
          <t>202407</t>
        </is>
      </c>
      <c r="I1381" s="41" t="inlineStr">
        <is>
          <t>03</t>
        </is>
      </c>
      <c r="J1381" s="41" t="inlineStr">
        <is>
          <t>328,000</t>
        </is>
      </c>
      <c r="K1381" s="41" t="inlineStr">
        <is>
          <t>108동</t>
        </is>
      </c>
      <c r="L1381" s="41" t="inlineStr">
        <is>
          <t>17</t>
        </is>
      </c>
      <c r="M1381" s="42" t="inlineStr">
        <is>
          <t>개인</t>
        </is>
      </c>
      <c r="N1381" s="42" t="inlineStr">
        <is>
          <t>개인</t>
        </is>
      </c>
      <c r="O1381" s="41" t="inlineStr">
        <is>
          <t>2021</t>
        </is>
      </c>
      <c r="P1381" s="42" t="inlineStr">
        <is>
          <t>효령로 391</t>
        </is>
      </c>
      <c r="Q1381" s="41" t="inlineStr">
        <is>
          <t>-</t>
        </is>
      </c>
      <c r="R1381" s="42" t="inlineStr">
        <is>
          <t>중개거래</t>
        </is>
      </c>
      <c r="S1381" s="42" t="inlineStr">
        <is>
          <t>서울 서초구</t>
        </is>
      </c>
      <c r="T1381" s="41" t="inlineStr">
        <is>
          <t>24.10.31</t>
        </is>
      </c>
      <c r="U1381" s="42" t="inlineStr">
        <is>
          <t>아파트</t>
        </is>
      </c>
    </row>
    <row r="1382" hidden="1" ht="14.25" customHeight="1">
      <c r="A1382" s="41" t="n">
        <v>849</v>
      </c>
      <c r="B1382" s="42" t="inlineStr">
        <is>
          <t>서울특별시 서초구 서초동</t>
        </is>
      </c>
      <c r="C1382" s="41" t="inlineStr">
        <is>
          <t>1755</t>
        </is>
      </c>
      <c r="D1382" s="41" t="inlineStr">
        <is>
          <t>1755</t>
        </is>
      </c>
      <c r="E1382" s="41" t="inlineStr">
        <is>
          <t>0000</t>
        </is>
      </c>
      <c r="F1382" s="42" t="inlineStr">
        <is>
          <t>래미안 리더스원</t>
        </is>
      </c>
      <c r="G1382" s="41" t="inlineStr">
        <is>
          <t>84.9400</t>
        </is>
      </c>
      <c r="H1382" s="41" t="inlineStr">
        <is>
          <t>202407</t>
        </is>
      </c>
      <c r="I1382" s="41" t="inlineStr">
        <is>
          <t>03</t>
        </is>
      </c>
      <c r="J1382" s="41" t="inlineStr">
        <is>
          <t>315,000</t>
        </is>
      </c>
      <c r="K1382" s="41" t="inlineStr">
        <is>
          <t>103동</t>
        </is>
      </c>
      <c r="L1382" s="41" t="inlineStr">
        <is>
          <t>12</t>
        </is>
      </c>
      <c r="M1382" s="42" t="inlineStr">
        <is>
          <t>개인</t>
        </is>
      </c>
      <c r="N1382" s="42" t="inlineStr">
        <is>
          <t>개인</t>
        </is>
      </c>
      <c r="O1382" s="41" t="inlineStr">
        <is>
          <t>2020</t>
        </is>
      </c>
      <c r="P1382" s="42" t="inlineStr">
        <is>
          <t>서운로 62</t>
        </is>
      </c>
      <c r="Q1382" s="41" t="inlineStr">
        <is>
          <t>-</t>
        </is>
      </c>
      <c r="R1382" s="42" t="inlineStr">
        <is>
          <t>중개거래</t>
        </is>
      </c>
      <c r="S1382" s="42" t="inlineStr">
        <is>
          <t>서울 서초구</t>
        </is>
      </c>
      <c r="T1382" s="41" t="inlineStr">
        <is>
          <t>24.12.02</t>
        </is>
      </c>
      <c r="U1382" s="42" t="inlineStr">
        <is>
          <t>아파트</t>
        </is>
      </c>
    </row>
    <row r="1383" hidden="1" ht="14.25" customHeight="1">
      <c r="A1383" s="41" t="n">
        <v>850</v>
      </c>
      <c r="B1383" s="42" t="inlineStr">
        <is>
          <t>서울특별시 서초구 서초동</t>
        </is>
      </c>
      <c r="C1383" s="41" t="inlineStr">
        <is>
          <t>1685</t>
        </is>
      </c>
      <c r="D1383" s="41" t="inlineStr">
        <is>
          <t>1685</t>
        </is>
      </c>
      <c r="E1383" s="41" t="inlineStr">
        <is>
          <t>0000</t>
        </is>
      </c>
      <c r="F1383" s="42" t="inlineStr">
        <is>
          <t>삼풍아파트</t>
        </is>
      </c>
      <c r="G1383" s="41" t="inlineStr">
        <is>
          <t>130.2300</t>
        </is>
      </c>
      <c r="H1383" s="41" t="inlineStr">
        <is>
          <t>202407</t>
        </is>
      </c>
      <c r="I1383" s="41" t="inlineStr">
        <is>
          <t>02</t>
        </is>
      </c>
      <c r="J1383" s="41" t="inlineStr">
        <is>
          <t>328,000</t>
        </is>
      </c>
      <c r="K1383" s="41" t="inlineStr">
        <is>
          <t>11</t>
        </is>
      </c>
      <c r="L1383" s="41" t="inlineStr">
        <is>
          <t>3</t>
        </is>
      </c>
      <c r="M1383" s="42" t="inlineStr">
        <is>
          <t>개인</t>
        </is>
      </c>
      <c r="N1383" s="42" t="inlineStr">
        <is>
          <t>개인</t>
        </is>
      </c>
      <c r="O1383" s="41" t="inlineStr">
        <is>
          <t>1988</t>
        </is>
      </c>
      <c r="P1383" s="42" t="inlineStr">
        <is>
          <t>서초중앙로 200</t>
        </is>
      </c>
      <c r="Q1383" s="41" t="inlineStr">
        <is>
          <t>-</t>
        </is>
      </c>
      <c r="R1383" s="42" t="inlineStr">
        <is>
          <t>중개거래</t>
        </is>
      </c>
      <c r="S1383" s="42" t="inlineStr">
        <is>
          <t>서울 서초구</t>
        </is>
      </c>
      <c r="T1383" s="41" t="inlineStr">
        <is>
          <t>24.11.15</t>
        </is>
      </c>
      <c r="U1383" s="42" t="inlineStr">
        <is>
          <t>아파트</t>
        </is>
      </c>
    </row>
    <row r="1384" hidden="1" ht="14.25" customHeight="1">
      <c r="A1384" s="41" t="n">
        <v>851</v>
      </c>
      <c r="B1384" s="42" t="inlineStr">
        <is>
          <t>서울특별시 서초구 서초동</t>
        </is>
      </c>
      <c r="C1384" s="41" t="inlineStr">
        <is>
          <t>1685</t>
        </is>
      </c>
      <c r="D1384" s="41" t="inlineStr">
        <is>
          <t>1685</t>
        </is>
      </c>
      <c r="E1384" s="41" t="inlineStr">
        <is>
          <t>0000</t>
        </is>
      </c>
      <c r="F1384" s="42" t="inlineStr">
        <is>
          <t>삼풍아파트</t>
        </is>
      </c>
      <c r="G1384" s="41" t="inlineStr">
        <is>
          <t>79.4700</t>
        </is>
      </c>
      <c r="H1384" s="41" t="inlineStr">
        <is>
          <t>202407</t>
        </is>
      </c>
      <c r="I1384" s="41" t="inlineStr">
        <is>
          <t>02</t>
        </is>
      </c>
      <c r="J1384" s="41" t="inlineStr">
        <is>
          <t>245,000</t>
        </is>
      </c>
      <c r="K1384" s="41" t="inlineStr">
        <is>
          <t>2</t>
        </is>
      </c>
      <c r="L1384" s="41" t="inlineStr">
        <is>
          <t>12</t>
        </is>
      </c>
      <c r="M1384" s="42" t="inlineStr">
        <is>
          <t>개인</t>
        </is>
      </c>
      <c r="N1384" s="42" t="inlineStr">
        <is>
          <t>개인</t>
        </is>
      </c>
      <c r="O1384" s="41" t="inlineStr">
        <is>
          <t>1988</t>
        </is>
      </c>
      <c r="P1384" s="42" t="inlineStr">
        <is>
          <t>서초중앙로 200</t>
        </is>
      </c>
      <c r="Q1384" s="41" t="inlineStr">
        <is>
          <t>-</t>
        </is>
      </c>
      <c r="R1384" s="42" t="inlineStr">
        <is>
          <t>중개거래</t>
        </is>
      </c>
      <c r="S1384" s="42" t="inlineStr">
        <is>
          <t>서울 서초구</t>
        </is>
      </c>
      <c r="T1384" s="41" t="inlineStr">
        <is>
          <t>24.11.15</t>
        </is>
      </c>
      <c r="U1384" s="42" t="inlineStr">
        <is>
          <t>아파트</t>
        </is>
      </c>
    </row>
    <row r="1385" hidden="1" ht="14.25" customHeight="1">
      <c r="A1385" s="41" t="n">
        <v>852</v>
      </c>
      <c r="B1385" s="42" t="inlineStr">
        <is>
          <t>서울특별시 서초구 서초동</t>
        </is>
      </c>
      <c r="C1385" s="41" t="inlineStr">
        <is>
          <t>1755</t>
        </is>
      </c>
      <c r="D1385" s="41" t="inlineStr">
        <is>
          <t>1755</t>
        </is>
      </c>
      <c r="E1385" s="41" t="inlineStr">
        <is>
          <t>0000</t>
        </is>
      </c>
      <c r="F1385" s="42" t="inlineStr">
        <is>
          <t>래미안 리더스원</t>
        </is>
      </c>
      <c r="G1385" s="41" t="inlineStr">
        <is>
          <t>84.9400</t>
        </is>
      </c>
      <c r="H1385" s="41" t="inlineStr">
        <is>
          <t>202407</t>
        </is>
      </c>
      <c r="I1385" s="41" t="inlineStr">
        <is>
          <t>02</t>
        </is>
      </c>
      <c r="J1385" s="41" t="inlineStr">
        <is>
          <t>305,000</t>
        </is>
      </c>
      <c r="K1385" s="41" t="inlineStr">
        <is>
          <t>106동</t>
        </is>
      </c>
      <c r="L1385" s="41" t="inlineStr">
        <is>
          <t>3</t>
        </is>
      </c>
      <c r="M1385" s="42" t="inlineStr">
        <is>
          <t>개인</t>
        </is>
      </c>
      <c r="N1385" s="42" t="inlineStr">
        <is>
          <t>개인</t>
        </is>
      </c>
      <c r="O1385" s="41" t="inlineStr">
        <is>
          <t>2020</t>
        </is>
      </c>
      <c r="P1385" s="42" t="inlineStr">
        <is>
          <t>서운로 62</t>
        </is>
      </c>
      <c r="Q1385" s="41" t="inlineStr">
        <is>
          <t>-</t>
        </is>
      </c>
      <c r="R1385" s="42" t="inlineStr">
        <is>
          <t>중개거래</t>
        </is>
      </c>
      <c r="S1385" s="42" t="inlineStr">
        <is>
          <t>서울 서초구</t>
        </is>
      </c>
      <c r="T1385" s="41" t="inlineStr">
        <is>
          <t>24.10.07</t>
        </is>
      </c>
      <c r="U1385" s="42" t="inlineStr">
        <is>
          <t>아파트</t>
        </is>
      </c>
    </row>
    <row r="1386" hidden="1" ht="14.25" customHeight="1">
      <c r="A1386" s="41" t="n">
        <v>853</v>
      </c>
      <c r="B1386" s="42" t="inlineStr">
        <is>
          <t>서울특별시 서초구 서초동</t>
        </is>
      </c>
      <c r="C1386" s="41" t="inlineStr">
        <is>
          <t>1311-10</t>
        </is>
      </c>
      <c r="D1386" s="41" t="inlineStr">
        <is>
          <t>1311</t>
        </is>
      </c>
      <c r="E1386" s="41" t="inlineStr">
        <is>
          <t>0010</t>
        </is>
      </c>
      <c r="F1386" s="42" t="inlineStr">
        <is>
          <t>서초푸르지오써밋</t>
        </is>
      </c>
      <c r="G1386" s="41" t="inlineStr">
        <is>
          <t>97.7000</t>
        </is>
      </c>
      <c r="H1386" s="41" t="inlineStr">
        <is>
          <t>202407</t>
        </is>
      </c>
      <c r="I1386" s="41" t="inlineStr">
        <is>
          <t>02</t>
        </is>
      </c>
      <c r="J1386" s="41" t="inlineStr">
        <is>
          <t>297,000</t>
        </is>
      </c>
      <c r="K1386" s="41" t="inlineStr">
        <is>
          <t>201</t>
        </is>
      </c>
      <c r="L1386" s="41" t="inlineStr">
        <is>
          <t>5</t>
        </is>
      </c>
      <c r="M1386" s="42" t="inlineStr">
        <is>
          <t>개인</t>
        </is>
      </c>
      <c r="N1386" s="42" t="inlineStr">
        <is>
          <t>개인</t>
        </is>
      </c>
      <c r="O1386" s="41" t="inlineStr">
        <is>
          <t>2017</t>
        </is>
      </c>
      <c r="P1386" s="42" t="inlineStr">
        <is>
          <t>서운로 212</t>
        </is>
      </c>
      <c r="Q1386" s="41" t="inlineStr">
        <is>
          <t>-</t>
        </is>
      </c>
      <c r="R1386" s="42" t="inlineStr">
        <is>
          <t>중개거래</t>
        </is>
      </c>
      <c r="S1386" s="42" t="inlineStr">
        <is>
          <t>서울 서초구</t>
        </is>
      </c>
      <c r="T1386" s="41" t="inlineStr">
        <is>
          <t>24.09.25</t>
        </is>
      </c>
      <c r="U1386" s="42" t="inlineStr">
        <is>
          <t>아파트</t>
        </is>
      </c>
    </row>
    <row r="1387" hidden="1" ht="14.25" customHeight="1">
      <c r="A1387" s="41" t="n">
        <v>854</v>
      </c>
      <c r="B1387" s="42" t="inlineStr">
        <is>
          <t>서울특별시 서초구 서초동</t>
        </is>
      </c>
      <c r="C1387" s="41" t="inlineStr">
        <is>
          <t>1311-10</t>
        </is>
      </c>
      <c r="D1387" s="41" t="inlineStr">
        <is>
          <t>1311</t>
        </is>
      </c>
      <c r="E1387" s="41" t="inlineStr">
        <is>
          <t>0010</t>
        </is>
      </c>
      <c r="F1387" s="42" t="inlineStr">
        <is>
          <t>서초푸르지오써밋</t>
        </is>
      </c>
      <c r="G1387" s="41" t="inlineStr">
        <is>
          <t>104.4000</t>
        </is>
      </c>
      <c r="H1387" s="41" t="inlineStr">
        <is>
          <t>202407</t>
        </is>
      </c>
      <c r="I1387" s="41" t="inlineStr">
        <is>
          <t>02</t>
        </is>
      </c>
      <c r="J1387" s="41" t="inlineStr">
        <is>
          <t>297,000</t>
        </is>
      </c>
      <c r="K1387" s="41" t="inlineStr">
        <is>
          <t>103</t>
        </is>
      </c>
      <c r="L1387" s="41" t="inlineStr">
        <is>
          <t>2</t>
        </is>
      </c>
      <c r="M1387" s="42" t="inlineStr">
        <is>
          <t>개인</t>
        </is>
      </c>
      <c r="N1387" s="42" t="inlineStr">
        <is>
          <t>개인</t>
        </is>
      </c>
      <c r="O1387" s="41" t="inlineStr">
        <is>
          <t>2017</t>
        </is>
      </c>
      <c r="P1387" s="42" t="inlineStr">
        <is>
          <t>서운로 201</t>
        </is>
      </c>
      <c r="Q1387" s="41" t="inlineStr">
        <is>
          <t>-</t>
        </is>
      </c>
      <c r="R1387" s="42" t="inlineStr">
        <is>
          <t>중개거래</t>
        </is>
      </c>
      <c r="S1387" s="42" t="inlineStr">
        <is>
          <t>서울 서초구</t>
        </is>
      </c>
      <c r="T1387" s="41" t="inlineStr">
        <is>
          <t>24.10.31</t>
        </is>
      </c>
      <c r="U1387" s="42" t="inlineStr">
        <is>
          <t>아파트</t>
        </is>
      </c>
    </row>
    <row r="1388" hidden="1" ht="14.25" customHeight="1">
      <c r="A1388" s="41" t="n">
        <v>855</v>
      </c>
      <c r="B1388" s="42" t="inlineStr">
        <is>
          <t>서울특별시 서초구 서초동</t>
        </is>
      </c>
      <c r="C1388" s="41" t="inlineStr">
        <is>
          <t>1495-1</t>
        </is>
      </c>
      <c r="D1388" s="41" t="inlineStr">
        <is>
          <t>1495</t>
        </is>
      </c>
      <c r="E1388" s="41" t="inlineStr">
        <is>
          <t>0001</t>
        </is>
      </c>
      <c r="F1388" s="42" t="inlineStr">
        <is>
          <t>현대빌라트</t>
        </is>
      </c>
      <c r="G1388" s="41" t="inlineStr">
        <is>
          <t>164.8300</t>
        </is>
      </c>
      <c r="H1388" s="41" t="inlineStr">
        <is>
          <t>202407</t>
        </is>
      </c>
      <c r="I1388" s="41" t="inlineStr">
        <is>
          <t>02</t>
        </is>
      </c>
      <c r="J1388" s="41" t="inlineStr">
        <is>
          <t>195,000</t>
        </is>
      </c>
      <c r="K1388" s="41" t="inlineStr">
        <is>
          <t>-</t>
        </is>
      </c>
      <c r="L1388" s="41" t="inlineStr">
        <is>
          <t>2</t>
        </is>
      </c>
      <c r="M1388" s="42" t="inlineStr">
        <is>
          <t>개인</t>
        </is>
      </c>
      <c r="N1388" s="42" t="inlineStr">
        <is>
          <t>개인</t>
        </is>
      </c>
      <c r="O1388" s="41" t="inlineStr">
        <is>
          <t>1994</t>
        </is>
      </c>
      <c r="P1388" s="42" t="inlineStr">
        <is>
          <t>명달로17길 40</t>
        </is>
      </c>
      <c r="Q1388" s="41" t="inlineStr">
        <is>
          <t>-</t>
        </is>
      </c>
      <c r="R1388" s="42" t="inlineStr">
        <is>
          <t>중개거래</t>
        </is>
      </c>
      <c r="S1388" s="42" t="inlineStr">
        <is>
          <t>서울 서초구</t>
        </is>
      </c>
      <c r="T1388" s="41" t="inlineStr">
        <is>
          <t>25.02.24</t>
        </is>
      </c>
      <c r="U1388" s="42" t="inlineStr">
        <is>
          <t>아파트</t>
        </is>
      </c>
    </row>
    <row r="1389" hidden="1" ht="14.25" customHeight="1">
      <c r="A1389" s="41" t="n">
        <v>856</v>
      </c>
      <c r="B1389" s="42" t="inlineStr">
        <is>
          <t>서울특별시 서초구 서초동</t>
        </is>
      </c>
      <c r="C1389" s="41" t="inlineStr">
        <is>
          <t>1315</t>
        </is>
      </c>
      <c r="D1389" s="41" t="inlineStr">
        <is>
          <t>1315</t>
        </is>
      </c>
      <c r="E1389" s="41" t="inlineStr">
        <is>
          <t>0000</t>
        </is>
      </c>
      <c r="F1389" s="42" t="inlineStr">
        <is>
          <t>진흥아파트</t>
        </is>
      </c>
      <c r="G1389" s="41" t="inlineStr">
        <is>
          <t>131.0400</t>
        </is>
      </c>
      <c r="H1389" s="41" t="inlineStr">
        <is>
          <t>202407</t>
        </is>
      </c>
      <c r="I1389" s="41" t="inlineStr">
        <is>
          <t>02</t>
        </is>
      </c>
      <c r="J1389" s="41" t="inlineStr">
        <is>
          <t>273,000</t>
        </is>
      </c>
      <c r="K1389" s="41" t="inlineStr">
        <is>
          <t>8</t>
        </is>
      </c>
      <c r="L1389" s="41" t="inlineStr">
        <is>
          <t>2</t>
        </is>
      </c>
      <c r="M1389" s="42" t="inlineStr">
        <is>
          <t>개인</t>
        </is>
      </c>
      <c r="N1389" s="42" t="inlineStr">
        <is>
          <t>개인</t>
        </is>
      </c>
      <c r="O1389" s="41" t="inlineStr">
        <is>
          <t>1979</t>
        </is>
      </c>
      <c r="P1389" s="42" t="inlineStr">
        <is>
          <t>서초대로 385</t>
        </is>
      </c>
      <c r="Q1389" s="41" t="inlineStr">
        <is>
          <t>-</t>
        </is>
      </c>
      <c r="R1389" s="42" t="inlineStr">
        <is>
          <t>중개거래</t>
        </is>
      </c>
      <c r="S1389" s="42" t="inlineStr">
        <is>
          <t>서울 서초구</t>
        </is>
      </c>
      <c r="T1389" s="41" t="inlineStr">
        <is>
          <t>24.09.23</t>
        </is>
      </c>
      <c r="U1389" s="42" t="inlineStr">
        <is>
          <t>아파트</t>
        </is>
      </c>
    </row>
    <row r="1390" hidden="1" ht="14.25" customHeight="1">
      <c r="A1390" s="41" t="n">
        <v>857</v>
      </c>
      <c r="B1390" s="42" t="inlineStr">
        <is>
          <t>서울특별시 서초구 서초동</t>
        </is>
      </c>
      <c r="C1390" s="41" t="inlineStr">
        <is>
          <t>1757</t>
        </is>
      </c>
      <c r="D1390" s="41" t="inlineStr">
        <is>
          <t>1757</t>
        </is>
      </c>
      <c r="E1390" s="41" t="inlineStr">
        <is>
          <t>0000</t>
        </is>
      </c>
      <c r="F1390" s="42" t="inlineStr">
        <is>
          <t>서초그랑자이</t>
        </is>
      </c>
      <c r="G1390" s="41" t="inlineStr">
        <is>
          <t>59.9900</t>
        </is>
      </c>
      <c r="H1390" s="41" t="inlineStr">
        <is>
          <t>202407</t>
        </is>
      </c>
      <c r="I1390" s="41" t="inlineStr">
        <is>
          <t>01</t>
        </is>
      </c>
      <c r="J1390" s="41" t="inlineStr">
        <is>
          <t>247,000</t>
        </is>
      </c>
      <c r="K1390" s="41" t="inlineStr">
        <is>
          <t>108동</t>
        </is>
      </c>
      <c r="L1390" s="41" t="inlineStr">
        <is>
          <t>22</t>
        </is>
      </c>
      <c r="M1390" s="42" t="inlineStr">
        <is>
          <t>개인</t>
        </is>
      </c>
      <c r="N1390" s="42" t="inlineStr">
        <is>
          <t>개인</t>
        </is>
      </c>
      <c r="O1390" s="41" t="inlineStr">
        <is>
          <t>2021</t>
        </is>
      </c>
      <c r="P1390" s="42" t="inlineStr">
        <is>
          <t>효령로 391</t>
        </is>
      </c>
      <c r="Q1390" s="41" t="inlineStr">
        <is>
          <t>-</t>
        </is>
      </c>
      <c r="R1390" s="42" t="inlineStr">
        <is>
          <t>중개거래</t>
        </is>
      </c>
      <c r="S1390" s="42" t="inlineStr">
        <is>
          <t>서울 서초구</t>
        </is>
      </c>
      <c r="T1390" s="41" t="inlineStr">
        <is>
          <t>24.10.31</t>
        </is>
      </c>
      <c r="U1390" s="42" t="inlineStr">
        <is>
          <t>아파트</t>
        </is>
      </c>
    </row>
    <row r="1391" hidden="1" ht="14.25" customHeight="1">
      <c r="A1391" s="41" t="n">
        <v>858</v>
      </c>
      <c r="B1391" s="42" t="inlineStr">
        <is>
          <t>서울특별시 서초구 서초동</t>
        </is>
      </c>
      <c r="C1391" s="41" t="inlineStr">
        <is>
          <t>1511-9</t>
        </is>
      </c>
      <c r="D1391" s="41" t="inlineStr">
        <is>
          <t>1511</t>
        </is>
      </c>
      <c r="E1391" s="41" t="inlineStr">
        <is>
          <t>0009</t>
        </is>
      </c>
      <c r="F1391" s="42" t="inlineStr">
        <is>
          <t>한성</t>
        </is>
      </c>
      <c r="G1391" s="41" t="inlineStr">
        <is>
          <t>94.2700</t>
        </is>
      </c>
      <c r="H1391" s="41" t="inlineStr">
        <is>
          <t>202407</t>
        </is>
      </c>
      <c r="I1391" s="41" t="inlineStr">
        <is>
          <t>01</t>
        </is>
      </c>
      <c r="J1391" s="41" t="inlineStr">
        <is>
          <t>112,000</t>
        </is>
      </c>
      <c r="K1391" s="41" t="inlineStr">
        <is>
          <t>-</t>
        </is>
      </c>
      <c r="L1391" s="41" t="inlineStr">
        <is>
          <t>4</t>
        </is>
      </c>
      <c r="M1391" s="42" t="inlineStr">
        <is>
          <t>개인</t>
        </is>
      </c>
      <c r="N1391" s="42" t="inlineStr">
        <is>
          <t>개인</t>
        </is>
      </c>
      <c r="O1391" s="41" t="inlineStr">
        <is>
          <t>2003</t>
        </is>
      </c>
      <c r="P1391" s="42" t="inlineStr">
        <is>
          <t>반포대로21길 46</t>
        </is>
      </c>
      <c r="Q1391" s="41" t="inlineStr">
        <is>
          <t>-</t>
        </is>
      </c>
      <c r="R1391" s="42" t="inlineStr">
        <is>
          <t>중개거래</t>
        </is>
      </c>
      <c r="S1391" s="42" t="inlineStr">
        <is>
          <t>서울 서초구</t>
        </is>
      </c>
      <c r="T1391" s="41" t="inlineStr">
        <is>
          <t>24.11.11</t>
        </is>
      </c>
      <c r="U1391" s="42" t="inlineStr">
        <is>
          <t>아파트</t>
        </is>
      </c>
    </row>
    <row r="1392" hidden="1" ht="14.25" customHeight="1">
      <c r="A1392" s="41" t="n">
        <v>859</v>
      </c>
      <c r="B1392" s="42" t="inlineStr">
        <is>
          <t>서울특별시 서초구 서초동</t>
        </is>
      </c>
      <c r="C1392" s="41" t="inlineStr">
        <is>
          <t>1346</t>
        </is>
      </c>
      <c r="D1392" s="41" t="inlineStr">
        <is>
          <t>1346</t>
        </is>
      </c>
      <c r="E1392" s="41" t="inlineStr">
        <is>
          <t>0000</t>
        </is>
      </c>
      <c r="F1392" s="42" t="inlineStr">
        <is>
          <t>현대아파트</t>
        </is>
      </c>
      <c r="G1392" s="41" t="inlineStr">
        <is>
          <t>62.0500</t>
        </is>
      </c>
      <c r="H1392" s="41" t="inlineStr">
        <is>
          <t>202407</t>
        </is>
      </c>
      <c r="I1392" s="41" t="inlineStr">
        <is>
          <t>01</t>
        </is>
      </c>
      <c r="J1392" s="41" t="inlineStr">
        <is>
          <t>142,000</t>
        </is>
      </c>
      <c r="K1392" s="41" t="inlineStr">
        <is>
          <t>10</t>
        </is>
      </c>
      <c r="L1392" s="41" t="inlineStr">
        <is>
          <t>1</t>
        </is>
      </c>
      <c r="M1392" s="42" t="inlineStr">
        <is>
          <t>개인</t>
        </is>
      </c>
      <c r="N1392" s="42" t="inlineStr">
        <is>
          <t>개인</t>
        </is>
      </c>
      <c r="O1392" s="41" t="inlineStr">
        <is>
          <t>1989</t>
        </is>
      </c>
      <c r="P1392" s="42" t="inlineStr">
        <is>
          <t>효령로72길 14</t>
        </is>
      </c>
      <c r="Q1392" s="41" t="inlineStr">
        <is>
          <t>-</t>
        </is>
      </c>
      <c r="R1392" s="42" t="inlineStr">
        <is>
          <t>중개거래</t>
        </is>
      </c>
      <c r="S1392" s="42" t="inlineStr">
        <is>
          <t>서울 서초구</t>
        </is>
      </c>
      <c r="T1392" s="41" t="inlineStr">
        <is>
          <t>24.09.30</t>
        </is>
      </c>
      <c r="U1392" s="42" t="inlineStr">
        <is>
          <t>아파트</t>
        </is>
      </c>
    </row>
    <row r="1393" hidden="1" ht="14.25" customHeight="1">
      <c r="A1393" s="41" t="n">
        <v>860</v>
      </c>
      <c r="B1393" s="42" t="inlineStr">
        <is>
          <t>서울특별시 서초구 서초동</t>
        </is>
      </c>
      <c r="C1393" s="41" t="inlineStr">
        <is>
          <t>1333</t>
        </is>
      </c>
      <c r="D1393" s="41" t="inlineStr">
        <is>
          <t>1333</t>
        </is>
      </c>
      <c r="E1393" s="41" t="inlineStr">
        <is>
          <t>0000</t>
        </is>
      </c>
      <c r="F1393" s="42" t="inlineStr">
        <is>
          <t>신동아아파트(1차)</t>
        </is>
      </c>
      <c r="G1393" s="41" t="inlineStr">
        <is>
          <t>76.2100</t>
        </is>
      </c>
      <c r="H1393" s="41" t="inlineStr">
        <is>
          <t>202407</t>
        </is>
      </c>
      <c r="I1393" s="41" t="inlineStr">
        <is>
          <t>01</t>
        </is>
      </c>
      <c r="J1393" s="41" t="inlineStr">
        <is>
          <t>193,000</t>
        </is>
      </c>
      <c r="K1393" s="41" t="inlineStr">
        <is>
          <t>3</t>
        </is>
      </c>
      <c r="L1393" s="41" t="inlineStr">
        <is>
          <t>7</t>
        </is>
      </c>
      <c r="M1393" s="42" t="inlineStr">
        <is>
          <t>개인</t>
        </is>
      </c>
      <c r="N1393" s="42" t="inlineStr">
        <is>
          <t>개인</t>
        </is>
      </c>
      <c r="O1393" s="41" t="inlineStr">
        <is>
          <t>1978</t>
        </is>
      </c>
      <c r="P1393" s="42" t="inlineStr">
        <is>
          <t>사임당로 137</t>
        </is>
      </c>
      <c r="Q1393" s="41" t="inlineStr">
        <is>
          <t>-</t>
        </is>
      </c>
      <c r="R1393" s="42" t="inlineStr">
        <is>
          <t>중개거래</t>
        </is>
      </c>
      <c r="S1393" s="42" t="inlineStr">
        <is>
          <t>서울 서초구</t>
        </is>
      </c>
      <c r="T1393" s="41" t="inlineStr">
        <is>
          <t>24.08.21</t>
        </is>
      </c>
      <c r="U1393" s="42" t="inlineStr">
        <is>
          <t>아파트</t>
        </is>
      </c>
    </row>
    <row r="1394" hidden="1" ht="14.25" customHeight="1">
      <c r="A1394" s="41" t="n">
        <v>861</v>
      </c>
      <c r="B1394" s="42" t="inlineStr">
        <is>
          <t>서울특별시 서초구 서초동</t>
        </is>
      </c>
      <c r="C1394" s="41" t="inlineStr">
        <is>
          <t>1333</t>
        </is>
      </c>
      <c r="D1394" s="41" t="inlineStr">
        <is>
          <t>1333</t>
        </is>
      </c>
      <c r="E1394" s="41" t="inlineStr">
        <is>
          <t>0000</t>
        </is>
      </c>
      <c r="F1394" s="42" t="inlineStr">
        <is>
          <t>신동아아파트(1차)</t>
        </is>
      </c>
      <c r="G1394" s="41" t="inlineStr">
        <is>
          <t>86.6100</t>
        </is>
      </c>
      <c r="H1394" s="41" t="inlineStr">
        <is>
          <t>202407</t>
        </is>
      </c>
      <c r="I1394" s="41" t="inlineStr">
        <is>
          <t>01</t>
        </is>
      </c>
      <c r="J1394" s="41" t="inlineStr">
        <is>
          <t>215,000</t>
        </is>
      </c>
      <c r="K1394" s="41" t="inlineStr">
        <is>
          <t>7</t>
        </is>
      </c>
      <c r="L1394" s="41" t="inlineStr">
        <is>
          <t>2</t>
        </is>
      </c>
      <c r="M1394" s="42" t="inlineStr">
        <is>
          <t>개인</t>
        </is>
      </c>
      <c r="N1394" s="42" t="inlineStr">
        <is>
          <t>개인</t>
        </is>
      </c>
      <c r="O1394" s="41" t="inlineStr">
        <is>
          <t>1978</t>
        </is>
      </c>
      <c r="P1394" s="42" t="inlineStr">
        <is>
          <t>사임당로 130</t>
        </is>
      </c>
      <c r="Q1394" s="41" t="inlineStr">
        <is>
          <t>-</t>
        </is>
      </c>
      <c r="R1394" s="42" t="inlineStr">
        <is>
          <t>중개거래</t>
        </is>
      </c>
      <c r="S1394" s="42" t="inlineStr">
        <is>
          <t>서울 서초구</t>
        </is>
      </c>
      <c r="T1394" s="41" t="inlineStr">
        <is>
          <t>24.09.30</t>
        </is>
      </c>
      <c r="U1394" s="42" t="inlineStr">
        <is>
          <t>아파트</t>
        </is>
      </c>
    </row>
    <row r="1395" hidden="1" ht="14.25" customHeight="1">
      <c r="A1395" s="41" t="n">
        <v>862</v>
      </c>
      <c r="B1395" s="42" t="inlineStr">
        <is>
          <t>서울특별시 서초구 서초동</t>
        </is>
      </c>
      <c r="C1395" s="41" t="inlineStr">
        <is>
          <t>1636-1</t>
        </is>
      </c>
      <c r="D1395" s="41" t="inlineStr">
        <is>
          <t>1636</t>
        </is>
      </c>
      <c r="E1395" s="41" t="inlineStr">
        <is>
          <t>0001</t>
        </is>
      </c>
      <c r="F1395" s="42" t="inlineStr">
        <is>
          <t>서초한일</t>
        </is>
      </c>
      <c r="G1395" s="41" t="inlineStr">
        <is>
          <t>84.9800</t>
        </is>
      </c>
      <c r="H1395" s="41" t="inlineStr">
        <is>
          <t>202407</t>
        </is>
      </c>
      <c r="I1395" s="41" t="inlineStr">
        <is>
          <t>01</t>
        </is>
      </c>
      <c r="J1395" s="41" t="inlineStr">
        <is>
          <t>122,500</t>
        </is>
      </c>
      <c r="K1395" s="41" t="inlineStr">
        <is>
          <t>101</t>
        </is>
      </c>
      <c r="L1395" s="41" t="inlineStr">
        <is>
          <t>1</t>
        </is>
      </c>
      <c r="M1395" s="42" t="inlineStr">
        <is>
          <t>개인</t>
        </is>
      </c>
      <c r="N1395" s="42" t="inlineStr">
        <is>
          <t>개인</t>
        </is>
      </c>
      <c r="O1395" s="41" t="inlineStr">
        <is>
          <t>1997</t>
        </is>
      </c>
      <c r="P1395" s="42" t="inlineStr">
        <is>
          <t>서초대로64길 31</t>
        </is>
      </c>
      <c r="Q1395" s="41" t="inlineStr">
        <is>
          <t>-</t>
        </is>
      </c>
      <c r="R1395" s="42" t="inlineStr">
        <is>
          <t>중개거래</t>
        </is>
      </c>
      <c r="S1395" s="42" t="inlineStr">
        <is>
          <t>서울 서초구</t>
        </is>
      </c>
      <c r="T1395" s="41" t="inlineStr">
        <is>
          <t>24.09.12</t>
        </is>
      </c>
      <c r="U1395" s="42" t="inlineStr">
        <is>
          <t>아파트</t>
        </is>
      </c>
    </row>
    <row r="1396" hidden="1" ht="14.25" customHeight="1">
      <c r="A1396" s="41" t="n">
        <v>863</v>
      </c>
      <c r="B1396" s="42" t="inlineStr">
        <is>
          <t>서울특별시 서초구 서초동</t>
        </is>
      </c>
      <c r="C1396" s="41" t="inlineStr">
        <is>
          <t>1467-3</t>
        </is>
      </c>
      <c r="D1396" s="41" t="inlineStr">
        <is>
          <t>1467</t>
        </is>
      </c>
      <c r="E1396" s="41" t="inlineStr">
        <is>
          <t>0003</t>
        </is>
      </c>
      <c r="F1396" s="42" t="inlineStr">
        <is>
          <t>서초대우</t>
        </is>
      </c>
      <c r="G1396" s="41" t="inlineStr">
        <is>
          <t>185.0900</t>
        </is>
      </c>
      <c r="H1396" s="41" t="inlineStr">
        <is>
          <t>202407</t>
        </is>
      </c>
      <c r="I1396" s="41" t="inlineStr">
        <is>
          <t>01</t>
        </is>
      </c>
      <c r="J1396" s="41" t="inlineStr">
        <is>
          <t>177,000</t>
        </is>
      </c>
      <c r="K1396" s="41" t="inlineStr">
        <is>
          <t>-</t>
        </is>
      </c>
      <c r="L1396" s="41" t="inlineStr">
        <is>
          <t>12</t>
        </is>
      </c>
      <c r="M1396" s="42" t="inlineStr">
        <is>
          <t>개인</t>
        </is>
      </c>
      <c r="N1396" s="42" t="inlineStr">
        <is>
          <t>개인</t>
        </is>
      </c>
      <c r="O1396" s="41" t="inlineStr">
        <is>
          <t>2000</t>
        </is>
      </c>
      <c r="P1396" s="42" t="inlineStr">
        <is>
          <t>명달로 20</t>
        </is>
      </c>
      <c r="Q1396" s="41" t="inlineStr">
        <is>
          <t>-</t>
        </is>
      </c>
      <c r="R1396" s="42" t="inlineStr">
        <is>
          <t>중개거래</t>
        </is>
      </c>
      <c r="S1396" s="42" t="inlineStr">
        <is>
          <t>서울 서초구</t>
        </is>
      </c>
      <c r="T1396" s="41" t="inlineStr">
        <is>
          <t>24.10.31</t>
        </is>
      </c>
      <c r="U1396" s="42" t="inlineStr">
        <is>
          <t>아파트</t>
        </is>
      </c>
    </row>
    <row r="1397" hidden="1" ht="14.25" customHeight="1">
      <c r="A1397" s="41" t="n">
        <v>864</v>
      </c>
      <c r="B1397" s="42" t="inlineStr">
        <is>
          <t>서울특별시 서초구 서초동</t>
        </is>
      </c>
      <c r="C1397" s="41" t="inlineStr">
        <is>
          <t>1326</t>
        </is>
      </c>
      <c r="D1397" s="41" t="inlineStr">
        <is>
          <t>1326</t>
        </is>
      </c>
      <c r="E1397" s="41" t="inlineStr">
        <is>
          <t>0000</t>
        </is>
      </c>
      <c r="F1397" s="42" t="inlineStr">
        <is>
          <t>삼성서초가든스위트</t>
        </is>
      </c>
      <c r="G1397" s="41" t="inlineStr">
        <is>
          <t>197.7900</t>
        </is>
      </c>
      <c r="H1397" s="41" t="inlineStr">
        <is>
          <t>202407</t>
        </is>
      </c>
      <c r="I1397" s="41" t="inlineStr">
        <is>
          <t>01</t>
        </is>
      </c>
      <c r="J1397" s="41" t="inlineStr">
        <is>
          <t>375,000</t>
        </is>
      </c>
      <c r="K1397" s="41" t="inlineStr">
        <is>
          <t>2</t>
        </is>
      </c>
      <c r="L1397" s="41" t="inlineStr">
        <is>
          <t>6</t>
        </is>
      </c>
      <c r="M1397" s="42" t="inlineStr">
        <is>
          <t>개인</t>
        </is>
      </c>
      <c r="N1397" s="42" t="inlineStr">
        <is>
          <t>개인</t>
        </is>
      </c>
      <c r="O1397" s="41" t="inlineStr">
        <is>
          <t>2000</t>
        </is>
      </c>
      <c r="P1397" s="42" t="inlineStr">
        <is>
          <t>서운로 122</t>
        </is>
      </c>
      <c r="Q1397" s="41" t="inlineStr">
        <is>
          <t>-</t>
        </is>
      </c>
      <c r="R1397" s="42" t="inlineStr">
        <is>
          <t>중개거래</t>
        </is>
      </c>
      <c r="S1397" s="42" t="inlineStr">
        <is>
          <t>서울 서초구</t>
        </is>
      </c>
      <c r="T1397" s="41" t="inlineStr">
        <is>
          <t>24.09.19</t>
        </is>
      </c>
      <c r="U1397" s="42" t="inlineStr">
        <is>
          <t>아파트</t>
        </is>
      </c>
    </row>
    <row r="1398" hidden="1" ht="14.25" customHeight="1">
      <c r="A1398" s="41" t="n">
        <v>865</v>
      </c>
      <c r="B1398" s="42" t="inlineStr">
        <is>
          <t>서울특별시 서초구 서초동</t>
        </is>
      </c>
      <c r="C1398" s="41" t="inlineStr">
        <is>
          <t>1685</t>
        </is>
      </c>
      <c r="D1398" s="41" t="inlineStr">
        <is>
          <t>1685</t>
        </is>
      </c>
      <c r="E1398" s="41" t="inlineStr">
        <is>
          <t>0000</t>
        </is>
      </c>
      <c r="F1398" s="42" t="inlineStr">
        <is>
          <t>삼풍아파트</t>
        </is>
      </c>
      <c r="G1398" s="41" t="inlineStr">
        <is>
          <t>79.4700</t>
        </is>
      </c>
      <c r="H1398" s="41" t="inlineStr">
        <is>
          <t>202407</t>
        </is>
      </c>
      <c r="I1398" s="41" t="inlineStr">
        <is>
          <t>01</t>
        </is>
      </c>
      <c r="J1398" s="41" t="inlineStr">
        <is>
          <t>245,000</t>
        </is>
      </c>
      <c r="K1398" s="41" t="inlineStr">
        <is>
          <t>3</t>
        </is>
      </c>
      <c r="L1398" s="41" t="inlineStr">
        <is>
          <t>10</t>
        </is>
      </c>
      <c r="M1398" s="42" t="inlineStr">
        <is>
          <t>개인</t>
        </is>
      </c>
      <c r="N1398" s="42" t="inlineStr">
        <is>
          <t>개인</t>
        </is>
      </c>
      <c r="O1398" s="41" t="inlineStr">
        <is>
          <t>1988</t>
        </is>
      </c>
      <c r="P1398" s="42" t="inlineStr">
        <is>
          <t>서초중앙로 200</t>
        </is>
      </c>
      <c r="Q1398" s="41" t="inlineStr">
        <is>
          <t>-</t>
        </is>
      </c>
      <c r="R1398" s="42" t="inlineStr">
        <is>
          <t>중개거래</t>
        </is>
      </c>
      <c r="S1398" s="42" t="inlineStr">
        <is>
          <t>서울 서초구</t>
        </is>
      </c>
      <c r="T1398" s="41" t="inlineStr">
        <is>
          <t>24.09.30</t>
        </is>
      </c>
      <c r="U1398" s="42" t="inlineStr">
        <is>
          <t>아파트</t>
        </is>
      </c>
    </row>
    <row r="1399" hidden="1" ht="14.25" customHeight="1">
      <c r="A1399" s="41" t="n">
        <v>866</v>
      </c>
      <c r="B1399" s="42" t="inlineStr">
        <is>
          <t>서울특별시 서초구 서초동</t>
        </is>
      </c>
      <c r="C1399" s="41" t="inlineStr">
        <is>
          <t>1754</t>
        </is>
      </c>
      <c r="D1399" s="41" t="inlineStr">
        <is>
          <t>1754</t>
        </is>
      </c>
      <c r="E1399" s="41" t="inlineStr">
        <is>
          <t>0000</t>
        </is>
      </c>
      <c r="F1399" s="42" t="inlineStr">
        <is>
          <t>래미안서초에스티지S</t>
        </is>
      </c>
      <c r="G1399" s="41" t="inlineStr">
        <is>
          <t>84.8000</t>
        </is>
      </c>
      <c r="H1399" s="41" t="inlineStr">
        <is>
          <t>202407</t>
        </is>
      </c>
      <c r="I1399" s="41" t="inlineStr">
        <is>
          <t>01</t>
        </is>
      </c>
      <c r="J1399" s="41" t="inlineStr">
        <is>
          <t>279,000</t>
        </is>
      </c>
      <c r="K1399" s="41" t="inlineStr">
        <is>
          <t>202</t>
        </is>
      </c>
      <c r="L1399" s="41" t="inlineStr">
        <is>
          <t>9</t>
        </is>
      </c>
      <c r="M1399" s="42" t="inlineStr">
        <is>
          <t>개인</t>
        </is>
      </c>
      <c r="N1399" s="42" t="inlineStr">
        <is>
          <t>개인</t>
        </is>
      </c>
      <c r="O1399" s="41" t="inlineStr">
        <is>
          <t>2018</t>
        </is>
      </c>
      <c r="P1399" s="42" t="inlineStr">
        <is>
          <t>서운로 104</t>
        </is>
      </c>
      <c r="Q1399" s="41" t="inlineStr">
        <is>
          <t>-</t>
        </is>
      </c>
      <c r="R1399" s="42" t="inlineStr">
        <is>
          <t>중개거래</t>
        </is>
      </c>
      <c r="S1399" s="42" t="inlineStr">
        <is>
          <t>서울 강남구, 서울 서초구</t>
        </is>
      </c>
      <c r="T1399" s="41" t="inlineStr">
        <is>
          <t>24.12.30</t>
        </is>
      </c>
      <c r="U1399" s="42" t="inlineStr">
        <is>
          <t>아파트</t>
        </is>
      </c>
    </row>
    <row r="1400" hidden="1" ht="14.25" customHeight="1">
      <c r="A1400" s="41" t="n">
        <v>867</v>
      </c>
      <c r="B1400" s="42" t="inlineStr">
        <is>
          <t>서울특별시 서초구 서초동</t>
        </is>
      </c>
      <c r="C1400" s="41" t="inlineStr">
        <is>
          <t>1685</t>
        </is>
      </c>
      <c r="D1400" s="41" t="inlineStr">
        <is>
          <t>1685</t>
        </is>
      </c>
      <c r="E1400" s="41" t="inlineStr">
        <is>
          <t>0000</t>
        </is>
      </c>
      <c r="F1400" s="42" t="inlineStr">
        <is>
          <t>삼풍아파트</t>
        </is>
      </c>
      <c r="G1400" s="41" t="inlineStr">
        <is>
          <t>79.4700</t>
        </is>
      </c>
      <c r="H1400" s="41" t="inlineStr">
        <is>
          <t>202406</t>
        </is>
      </c>
      <c r="I1400" s="41" t="inlineStr">
        <is>
          <t>30</t>
        </is>
      </c>
      <c r="J1400" s="41" t="inlineStr">
        <is>
          <t>247,000</t>
        </is>
      </c>
      <c r="K1400" s="41" t="inlineStr">
        <is>
          <t>1</t>
        </is>
      </c>
      <c r="L1400" s="41" t="inlineStr">
        <is>
          <t>15</t>
        </is>
      </c>
      <c r="M1400" s="42" t="inlineStr">
        <is>
          <t>개인</t>
        </is>
      </c>
      <c r="N1400" s="42" t="inlineStr">
        <is>
          <t>개인</t>
        </is>
      </c>
      <c r="O1400" s="41" t="inlineStr">
        <is>
          <t>1988</t>
        </is>
      </c>
      <c r="P1400" s="42" t="inlineStr">
        <is>
          <t>서초중앙로 200</t>
        </is>
      </c>
      <c r="Q1400" s="41" t="inlineStr">
        <is>
          <t>-</t>
        </is>
      </c>
      <c r="R1400" s="42" t="inlineStr">
        <is>
          <t>중개거래</t>
        </is>
      </c>
      <c r="S1400" s="42" t="inlineStr">
        <is>
          <t>서울 서초구</t>
        </is>
      </c>
      <c r="T1400" s="41" t="inlineStr">
        <is>
          <t>24.09.30</t>
        </is>
      </c>
      <c r="U1400" s="42" t="inlineStr">
        <is>
          <t>아파트</t>
        </is>
      </c>
    </row>
    <row r="1401" hidden="1" ht="14.25" customHeight="1">
      <c r="A1401" s="41" t="n">
        <v>868</v>
      </c>
      <c r="B1401" s="42" t="inlineStr">
        <is>
          <t>서울특별시 서초구 서초동</t>
        </is>
      </c>
      <c r="C1401" s="41" t="inlineStr">
        <is>
          <t>1682</t>
        </is>
      </c>
      <c r="D1401" s="41" t="inlineStr">
        <is>
          <t>1682</t>
        </is>
      </c>
      <c r="E1401" s="41" t="inlineStr">
        <is>
          <t>0000</t>
        </is>
      </c>
      <c r="F1401" s="42" t="inlineStr">
        <is>
          <t>서초래미안</t>
        </is>
      </c>
      <c r="G1401" s="41" t="inlineStr">
        <is>
          <t>84.9500</t>
        </is>
      </c>
      <c r="H1401" s="41" t="inlineStr">
        <is>
          <t>202406</t>
        </is>
      </c>
      <c r="I1401" s="41" t="inlineStr">
        <is>
          <t>30</t>
        </is>
      </c>
      <c r="J1401" s="41" t="inlineStr">
        <is>
          <t>219,600</t>
        </is>
      </c>
      <c r="K1401" s="41" t="inlineStr">
        <is>
          <t>101</t>
        </is>
      </c>
      <c r="L1401" s="41" t="inlineStr">
        <is>
          <t>14</t>
        </is>
      </c>
      <c r="M1401" s="42" t="inlineStr">
        <is>
          <t>개인</t>
        </is>
      </c>
      <c r="N1401" s="42" t="inlineStr">
        <is>
          <t>개인</t>
        </is>
      </c>
      <c r="O1401" s="41" t="inlineStr">
        <is>
          <t>2003</t>
        </is>
      </c>
      <c r="P1401" s="42" t="inlineStr">
        <is>
          <t>서초대로65길 13-10</t>
        </is>
      </c>
      <c r="Q1401" s="41" t="inlineStr">
        <is>
          <t>-</t>
        </is>
      </c>
      <c r="R1401" s="42" t="inlineStr">
        <is>
          <t>중개거래</t>
        </is>
      </c>
      <c r="S1401" s="42" t="inlineStr">
        <is>
          <t>서울 서초구</t>
        </is>
      </c>
      <c r="T1401" s="41" t="inlineStr">
        <is>
          <t>24.10.30</t>
        </is>
      </c>
      <c r="U1401" s="42" t="inlineStr">
        <is>
          <t>아파트</t>
        </is>
      </c>
    </row>
    <row r="1402" hidden="1" ht="14.25" customHeight="1">
      <c r="A1402" s="41" t="n">
        <v>869</v>
      </c>
      <c r="B1402" s="42" t="inlineStr">
        <is>
          <t>서울특별시 서초구 서초동</t>
        </is>
      </c>
      <c r="C1402" s="41" t="inlineStr">
        <is>
          <t>1648-2</t>
        </is>
      </c>
      <c r="D1402" s="41" t="inlineStr">
        <is>
          <t>1648</t>
        </is>
      </c>
      <c r="E1402" s="41" t="inlineStr">
        <is>
          <t>0002</t>
        </is>
      </c>
      <c r="F1402" s="42" t="inlineStr">
        <is>
          <t>서초현대</t>
        </is>
      </c>
      <c r="G1402" s="41" t="inlineStr">
        <is>
          <t>53.0100</t>
        </is>
      </c>
      <c r="H1402" s="41" t="inlineStr">
        <is>
          <t>202406</t>
        </is>
      </c>
      <c r="I1402" s="41" t="inlineStr">
        <is>
          <t>30</t>
        </is>
      </c>
      <c r="J1402" s="41" t="inlineStr">
        <is>
          <t>124,500</t>
        </is>
      </c>
      <c r="K1402" s="41" t="inlineStr">
        <is>
          <t>102</t>
        </is>
      </c>
      <c r="L1402" s="41" t="inlineStr">
        <is>
          <t>12</t>
        </is>
      </c>
      <c r="M1402" s="42" t="inlineStr">
        <is>
          <t>개인</t>
        </is>
      </c>
      <c r="N1402" s="42" t="inlineStr">
        <is>
          <t>개인</t>
        </is>
      </c>
      <c r="O1402" s="41" t="inlineStr">
        <is>
          <t>1999</t>
        </is>
      </c>
      <c r="P1402" s="42" t="inlineStr">
        <is>
          <t>사임당로19길 10</t>
        </is>
      </c>
      <c r="Q1402" s="41" t="inlineStr">
        <is>
          <t>-</t>
        </is>
      </c>
      <c r="R1402" s="42" t="inlineStr">
        <is>
          <t>중개거래</t>
        </is>
      </c>
      <c r="S1402" s="42" t="inlineStr">
        <is>
          <t>서울 강남구, 서울 서초구</t>
        </is>
      </c>
      <c r="T1402" s="41" t="inlineStr">
        <is>
          <t>24.10.02</t>
        </is>
      </c>
      <c r="U1402" s="42" t="inlineStr">
        <is>
          <t>아파트</t>
        </is>
      </c>
    </row>
    <row r="1403" hidden="1" ht="14.25" customHeight="1">
      <c r="A1403" s="41" t="n">
        <v>870</v>
      </c>
      <c r="B1403" s="42" t="inlineStr">
        <is>
          <t>서울특별시 서초구 서초동</t>
        </is>
      </c>
      <c r="C1403" s="41" t="inlineStr">
        <is>
          <t>1685</t>
        </is>
      </c>
      <c r="D1403" s="41" t="inlineStr">
        <is>
          <t>1685</t>
        </is>
      </c>
      <c r="E1403" s="41" t="inlineStr">
        <is>
          <t>0000</t>
        </is>
      </c>
      <c r="F1403" s="42" t="inlineStr">
        <is>
          <t>삼풍아파트</t>
        </is>
      </c>
      <c r="G1403" s="41" t="inlineStr">
        <is>
          <t>79.4700</t>
        </is>
      </c>
      <c r="H1403" s="41" t="inlineStr">
        <is>
          <t>202406</t>
        </is>
      </c>
      <c r="I1403" s="41" t="inlineStr">
        <is>
          <t>30</t>
        </is>
      </c>
      <c r="J1403" s="41" t="inlineStr">
        <is>
          <t>248,000</t>
        </is>
      </c>
      <c r="K1403" s="41" t="inlineStr">
        <is>
          <t>7</t>
        </is>
      </c>
      <c r="L1403" s="41" t="inlineStr">
        <is>
          <t>8</t>
        </is>
      </c>
      <c r="M1403" s="42" t="inlineStr">
        <is>
          <t>개인</t>
        </is>
      </c>
      <c r="N1403" s="42" t="inlineStr">
        <is>
          <t>개인</t>
        </is>
      </c>
      <c r="O1403" s="41" t="inlineStr">
        <is>
          <t>1988</t>
        </is>
      </c>
      <c r="P1403" s="42" t="inlineStr">
        <is>
          <t>서초중앙로 200</t>
        </is>
      </c>
      <c r="Q1403" s="41" t="inlineStr">
        <is>
          <t>-</t>
        </is>
      </c>
      <c r="R1403" s="42" t="inlineStr">
        <is>
          <t>중개거래</t>
        </is>
      </c>
      <c r="S1403" s="42" t="inlineStr">
        <is>
          <t>서울 서초구</t>
        </is>
      </c>
      <c r="T1403" s="41" t="inlineStr">
        <is>
          <t>24.10.18</t>
        </is>
      </c>
      <c r="U1403" s="42" t="inlineStr">
        <is>
          <t>아파트</t>
        </is>
      </c>
    </row>
    <row r="1404" hidden="1" ht="14.25" customHeight="1">
      <c r="A1404" s="41" t="n">
        <v>871</v>
      </c>
      <c r="B1404" s="42" t="inlineStr">
        <is>
          <t>서울특별시 서초구 서초동</t>
        </is>
      </c>
      <c r="C1404" s="41" t="inlineStr">
        <is>
          <t>1312-3</t>
        </is>
      </c>
      <c r="D1404" s="41" t="inlineStr">
        <is>
          <t>1312</t>
        </is>
      </c>
      <c r="E1404" s="41" t="inlineStr">
        <is>
          <t>0003</t>
        </is>
      </c>
      <c r="F1404" s="42" t="inlineStr">
        <is>
          <t>롯데캐슬클래식</t>
        </is>
      </c>
      <c r="G1404" s="41" t="inlineStr">
        <is>
          <t>133.4500</t>
        </is>
      </c>
      <c r="H1404" s="41" t="inlineStr">
        <is>
          <t>202406</t>
        </is>
      </c>
      <c r="I1404" s="41" t="inlineStr">
        <is>
          <t>30</t>
        </is>
      </c>
      <c r="J1404" s="41" t="inlineStr">
        <is>
          <t>318,000</t>
        </is>
      </c>
      <c r="K1404" s="41" t="inlineStr">
        <is>
          <t>107</t>
        </is>
      </c>
      <c r="L1404" s="41" t="inlineStr">
        <is>
          <t>8</t>
        </is>
      </c>
      <c r="M1404" s="42" t="inlineStr">
        <is>
          <t>개인</t>
        </is>
      </c>
      <c r="N1404" s="42" t="inlineStr">
        <is>
          <t>개인</t>
        </is>
      </c>
      <c r="O1404" s="41" t="inlineStr">
        <is>
          <t>2006</t>
        </is>
      </c>
      <c r="P1404" s="42" t="inlineStr">
        <is>
          <t>서운로 197</t>
        </is>
      </c>
      <c r="Q1404" s="41" t="inlineStr">
        <is>
          <t>-</t>
        </is>
      </c>
      <c r="R1404" s="42" t="inlineStr">
        <is>
          <t>중개거래</t>
        </is>
      </c>
      <c r="S1404" s="42" t="inlineStr">
        <is>
          <t>서울 서초구</t>
        </is>
      </c>
      <c r="T1404" s="41" t="inlineStr">
        <is>
          <t>24.11.08</t>
        </is>
      </c>
      <c r="U1404" s="42" t="inlineStr">
        <is>
          <t>아파트</t>
        </is>
      </c>
    </row>
    <row r="1405" hidden="1" ht="14.25" customHeight="1">
      <c r="A1405" s="41" t="n">
        <v>872</v>
      </c>
      <c r="B1405" s="42" t="inlineStr">
        <is>
          <t>서울특별시 서초구 서초동</t>
        </is>
      </c>
      <c r="C1405" s="41" t="inlineStr">
        <is>
          <t>1332-13</t>
        </is>
      </c>
      <c r="D1405" s="41" t="inlineStr">
        <is>
          <t>1332</t>
        </is>
      </c>
      <c r="E1405" s="41" t="inlineStr">
        <is>
          <t>0013</t>
        </is>
      </c>
      <c r="F1405" s="42" t="inlineStr">
        <is>
          <t>래미안서초에스티지</t>
        </is>
      </c>
      <c r="G1405" s="41" t="inlineStr">
        <is>
          <t>83.6000</t>
        </is>
      </c>
      <c r="H1405" s="41" t="inlineStr">
        <is>
          <t>202406</t>
        </is>
      </c>
      <c r="I1405" s="41" t="inlineStr">
        <is>
          <t>29</t>
        </is>
      </c>
      <c r="J1405" s="41" t="inlineStr">
        <is>
          <t>265,000</t>
        </is>
      </c>
      <c r="K1405" s="41" t="inlineStr">
        <is>
          <t>101동</t>
        </is>
      </c>
      <c r="L1405" s="41" t="inlineStr">
        <is>
          <t>14</t>
        </is>
      </c>
      <c r="M1405" s="42" t="inlineStr">
        <is>
          <t>개인</t>
        </is>
      </c>
      <c r="N1405" s="42" t="inlineStr">
        <is>
          <t>개인</t>
        </is>
      </c>
      <c r="O1405" s="41" t="inlineStr">
        <is>
          <t>2016</t>
        </is>
      </c>
      <c r="P1405" s="42" t="inlineStr">
        <is>
          <t>서운로 107</t>
        </is>
      </c>
      <c r="Q1405" s="41" t="inlineStr">
        <is>
          <t>-</t>
        </is>
      </c>
      <c r="R1405" s="42" t="inlineStr">
        <is>
          <t>중개거래</t>
        </is>
      </c>
      <c r="S1405" s="42" t="inlineStr">
        <is>
          <t>서울 강남구, 서울 서초구</t>
        </is>
      </c>
      <c r="T1405" s="41" t="inlineStr">
        <is>
          <t>24.09.30</t>
        </is>
      </c>
      <c r="U1405" s="42" t="inlineStr">
        <is>
          <t>아파트</t>
        </is>
      </c>
    </row>
    <row r="1406" hidden="1" ht="14.25" customHeight="1">
      <c r="A1406" s="41" t="n">
        <v>873</v>
      </c>
      <c r="B1406" s="42" t="inlineStr">
        <is>
          <t>서울특별시 서초구 서초동</t>
        </is>
      </c>
      <c r="C1406" s="41" t="inlineStr">
        <is>
          <t>1757</t>
        </is>
      </c>
      <c r="D1406" s="41" t="inlineStr">
        <is>
          <t>1757</t>
        </is>
      </c>
      <c r="E1406" s="41" t="inlineStr">
        <is>
          <t>0000</t>
        </is>
      </c>
      <c r="F1406" s="42" t="inlineStr">
        <is>
          <t>서초그랑자이</t>
        </is>
      </c>
      <c r="G1406" s="41" t="inlineStr">
        <is>
          <t>84.5100</t>
        </is>
      </c>
      <c r="H1406" s="41" t="inlineStr">
        <is>
          <t>202406</t>
        </is>
      </c>
      <c r="I1406" s="41" t="inlineStr">
        <is>
          <t>29</t>
        </is>
      </c>
      <c r="J1406" s="41" t="inlineStr">
        <is>
          <t>310,000</t>
        </is>
      </c>
      <c r="K1406" s="41" t="inlineStr">
        <is>
          <t>109동</t>
        </is>
      </c>
      <c r="L1406" s="41" t="inlineStr">
        <is>
          <t>23</t>
        </is>
      </c>
      <c r="M1406" s="42" t="inlineStr">
        <is>
          <t>개인</t>
        </is>
      </c>
      <c r="N1406" s="42" t="inlineStr">
        <is>
          <t>개인</t>
        </is>
      </c>
      <c r="O1406" s="41" t="inlineStr">
        <is>
          <t>2021</t>
        </is>
      </c>
      <c r="P1406" s="42" t="inlineStr">
        <is>
          <t>효령로 391</t>
        </is>
      </c>
      <c r="Q1406" s="41" t="inlineStr">
        <is>
          <t>-</t>
        </is>
      </c>
      <c r="R1406" s="42" t="inlineStr">
        <is>
          <t>중개거래</t>
        </is>
      </c>
      <c r="S1406" s="42" t="inlineStr">
        <is>
          <t>서울 서초구</t>
        </is>
      </c>
      <c r="T1406" s="41" t="inlineStr">
        <is>
          <t>24.10.14</t>
        </is>
      </c>
      <c r="U1406" s="42" t="inlineStr">
        <is>
          <t>아파트</t>
        </is>
      </c>
    </row>
    <row r="1407" hidden="1" ht="14.25" customHeight="1">
      <c r="A1407" s="41" t="n">
        <v>874</v>
      </c>
      <c r="B1407" s="42" t="inlineStr">
        <is>
          <t>서울특별시 서초구 서초동</t>
        </is>
      </c>
      <c r="C1407" s="41" t="inlineStr">
        <is>
          <t>1755</t>
        </is>
      </c>
      <c r="D1407" s="41" t="inlineStr">
        <is>
          <t>1755</t>
        </is>
      </c>
      <c r="E1407" s="41" t="inlineStr">
        <is>
          <t>0000</t>
        </is>
      </c>
      <c r="F1407" s="42" t="inlineStr">
        <is>
          <t>래미안 리더스원</t>
        </is>
      </c>
      <c r="G1407" s="41" t="inlineStr">
        <is>
          <t>59.9700</t>
        </is>
      </c>
      <c r="H1407" s="41" t="inlineStr">
        <is>
          <t>202406</t>
        </is>
      </c>
      <c r="I1407" s="41" t="inlineStr">
        <is>
          <t>29</t>
        </is>
      </c>
      <c r="J1407" s="41" t="inlineStr">
        <is>
          <t>250,000</t>
        </is>
      </c>
      <c r="K1407" s="41" t="inlineStr">
        <is>
          <t>110동</t>
        </is>
      </c>
      <c r="L1407" s="41" t="inlineStr">
        <is>
          <t>12</t>
        </is>
      </c>
      <c r="M1407" s="42" t="inlineStr">
        <is>
          <t>개인</t>
        </is>
      </c>
      <c r="N1407" s="42" t="inlineStr">
        <is>
          <t>개인</t>
        </is>
      </c>
      <c r="O1407" s="41" t="inlineStr">
        <is>
          <t>2020</t>
        </is>
      </c>
      <c r="P1407" s="42" t="inlineStr">
        <is>
          <t>서운로 62</t>
        </is>
      </c>
      <c r="Q1407" s="41" t="inlineStr">
        <is>
          <t>-</t>
        </is>
      </c>
      <c r="R1407" s="42" t="inlineStr">
        <is>
          <t>중개거래</t>
        </is>
      </c>
      <c r="S1407" s="42" t="inlineStr">
        <is>
          <t>서울 서초구</t>
        </is>
      </c>
      <c r="T1407" s="41" t="inlineStr">
        <is>
          <t>25.01.22</t>
        </is>
      </c>
      <c r="U1407" s="42" t="inlineStr">
        <is>
          <t>아파트</t>
        </is>
      </c>
    </row>
    <row r="1408" hidden="1" ht="14.25" customHeight="1">
      <c r="A1408" s="41" t="n">
        <v>875</v>
      </c>
      <c r="B1408" s="42" t="inlineStr">
        <is>
          <t>서울특별시 서초구 서초동</t>
        </is>
      </c>
      <c r="C1408" s="41" t="inlineStr">
        <is>
          <t>1755</t>
        </is>
      </c>
      <c r="D1408" s="41" t="inlineStr">
        <is>
          <t>1755</t>
        </is>
      </c>
      <c r="E1408" s="41" t="inlineStr">
        <is>
          <t>0000</t>
        </is>
      </c>
      <c r="F1408" s="42" t="inlineStr">
        <is>
          <t>래미안 리더스원</t>
        </is>
      </c>
      <c r="G1408" s="41" t="inlineStr">
        <is>
          <t>59.9700</t>
        </is>
      </c>
      <c r="H1408" s="41" t="inlineStr">
        <is>
          <t>202406</t>
        </is>
      </c>
      <c r="I1408" s="41" t="inlineStr">
        <is>
          <t>29</t>
        </is>
      </c>
      <c r="J1408" s="41" t="inlineStr">
        <is>
          <t>232,000</t>
        </is>
      </c>
      <c r="K1408" s="41" t="inlineStr">
        <is>
          <t>110동</t>
        </is>
      </c>
      <c r="L1408" s="41" t="inlineStr">
        <is>
          <t>15</t>
        </is>
      </c>
      <c r="M1408" s="42" t="inlineStr">
        <is>
          <t>개인</t>
        </is>
      </c>
      <c r="N1408" s="42" t="inlineStr">
        <is>
          <t>개인</t>
        </is>
      </c>
      <c r="O1408" s="41" t="inlineStr">
        <is>
          <t>2020</t>
        </is>
      </c>
      <c r="P1408" s="42" t="inlineStr">
        <is>
          <t>서운로 62</t>
        </is>
      </c>
      <c r="Q1408" s="41" t="inlineStr">
        <is>
          <t>-</t>
        </is>
      </c>
      <c r="R1408" s="42" t="inlineStr">
        <is>
          <t>중개거래</t>
        </is>
      </c>
      <c r="S1408" s="42" t="inlineStr">
        <is>
          <t>서울 강남구</t>
        </is>
      </c>
      <c r="T1408" s="41" t="inlineStr">
        <is>
          <t>24.12.27</t>
        </is>
      </c>
      <c r="U1408" s="42" t="inlineStr">
        <is>
          <t>아파트</t>
        </is>
      </c>
    </row>
    <row r="1409" hidden="1" ht="14.25" customHeight="1">
      <c r="A1409" s="41" t="n">
        <v>876</v>
      </c>
      <c r="B1409" s="42" t="inlineStr">
        <is>
          <t>서울특별시 서초구 서초동</t>
        </is>
      </c>
      <c r="C1409" s="41" t="inlineStr">
        <is>
          <t>1755</t>
        </is>
      </c>
      <c r="D1409" s="41" t="inlineStr">
        <is>
          <t>1755</t>
        </is>
      </c>
      <c r="E1409" s="41" t="inlineStr">
        <is>
          <t>0000</t>
        </is>
      </c>
      <c r="F1409" s="42" t="inlineStr">
        <is>
          <t>래미안 리더스원</t>
        </is>
      </c>
      <c r="G1409" s="41" t="inlineStr">
        <is>
          <t>59.9700</t>
        </is>
      </c>
      <c r="H1409" s="41" t="inlineStr">
        <is>
          <t>202406</t>
        </is>
      </c>
      <c r="I1409" s="41" t="inlineStr">
        <is>
          <t>29</t>
        </is>
      </c>
      <c r="J1409" s="41" t="inlineStr">
        <is>
          <t>232,000</t>
        </is>
      </c>
      <c r="K1409" s="41" t="inlineStr">
        <is>
          <t>-</t>
        </is>
      </c>
      <c r="L1409" s="41" t="inlineStr">
        <is>
          <t>15</t>
        </is>
      </c>
      <c r="M1409" s="42" t="inlineStr">
        <is>
          <t>개인</t>
        </is>
      </c>
      <c r="N1409" s="42" t="inlineStr">
        <is>
          <t>개인</t>
        </is>
      </c>
      <c r="O1409" s="41" t="inlineStr">
        <is>
          <t>2020</t>
        </is>
      </c>
      <c r="P1409" s="42" t="inlineStr">
        <is>
          <t>서운로 62</t>
        </is>
      </c>
      <c r="Q1409" s="41" t="inlineStr">
        <is>
          <t>20241128</t>
        </is>
      </c>
      <c r="R1409" s="42" t="inlineStr">
        <is>
          <t>중개거래</t>
        </is>
      </c>
      <c r="S1409" s="42" t="inlineStr">
        <is>
          <t>서울 강남구</t>
        </is>
      </c>
      <c r="T1409" s="41" t="inlineStr">
        <is>
          <t>-</t>
        </is>
      </c>
      <c r="U1409" s="42" t="inlineStr">
        <is>
          <t>아파트</t>
        </is>
      </c>
    </row>
    <row r="1410" hidden="1" ht="14.25" customHeight="1">
      <c r="A1410" s="41" t="n">
        <v>877</v>
      </c>
      <c r="B1410" s="42" t="inlineStr">
        <is>
          <t>서울특별시 서초구 서초동</t>
        </is>
      </c>
      <c r="C1410" s="41" t="inlineStr">
        <is>
          <t>1755</t>
        </is>
      </c>
      <c r="D1410" s="41" t="inlineStr">
        <is>
          <t>1755</t>
        </is>
      </c>
      <c r="E1410" s="41" t="inlineStr">
        <is>
          <t>0000</t>
        </is>
      </c>
      <c r="F1410" s="42" t="inlineStr">
        <is>
          <t>래미안 리더스원</t>
        </is>
      </c>
      <c r="G1410" s="41" t="inlineStr">
        <is>
          <t>59.9700</t>
        </is>
      </c>
      <c r="H1410" s="41" t="inlineStr">
        <is>
          <t>202406</t>
        </is>
      </c>
      <c r="I1410" s="41" t="inlineStr">
        <is>
          <t>29</t>
        </is>
      </c>
      <c r="J1410" s="41" t="inlineStr">
        <is>
          <t>250,000</t>
        </is>
      </c>
      <c r="K1410" s="41" t="inlineStr">
        <is>
          <t>112동</t>
        </is>
      </c>
      <c r="L1410" s="41" t="inlineStr">
        <is>
          <t>20</t>
        </is>
      </c>
      <c r="M1410" s="42" t="inlineStr">
        <is>
          <t>개인</t>
        </is>
      </c>
      <c r="N1410" s="42" t="inlineStr">
        <is>
          <t>개인</t>
        </is>
      </c>
      <c r="O1410" s="41" t="inlineStr">
        <is>
          <t>2020</t>
        </is>
      </c>
      <c r="P1410" s="42" t="inlineStr">
        <is>
          <t>서운로 62</t>
        </is>
      </c>
      <c r="Q1410" s="41" t="inlineStr">
        <is>
          <t>-</t>
        </is>
      </c>
      <c r="R1410" s="42" t="inlineStr">
        <is>
          <t>중개거래</t>
        </is>
      </c>
      <c r="S1410" s="42" t="inlineStr">
        <is>
          <t>서울 서초구</t>
        </is>
      </c>
      <c r="T1410" s="41" t="inlineStr">
        <is>
          <t>25.03.20</t>
        </is>
      </c>
      <c r="U1410" s="42" t="inlineStr">
        <is>
          <t>아파트</t>
        </is>
      </c>
    </row>
    <row r="1411" hidden="1" ht="14.25" customHeight="1">
      <c r="A1411" s="41" t="n">
        <v>878</v>
      </c>
      <c r="B1411" s="42" t="inlineStr">
        <is>
          <t>서울특별시 서초구 서초동</t>
        </is>
      </c>
      <c r="C1411" s="41" t="inlineStr">
        <is>
          <t>1311-10</t>
        </is>
      </c>
      <c r="D1411" s="41" t="inlineStr">
        <is>
          <t>1311</t>
        </is>
      </c>
      <c r="E1411" s="41" t="inlineStr">
        <is>
          <t>0010</t>
        </is>
      </c>
      <c r="F1411" s="42" t="inlineStr">
        <is>
          <t>서초푸르지오써밋</t>
        </is>
      </c>
      <c r="G1411" s="41" t="inlineStr">
        <is>
          <t>104.1100</t>
        </is>
      </c>
      <c r="H1411" s="41" t="inlineStr">
        <is>
          <t>202406</t>
        </is>
      </c>
      <c r="I1411" s="41" t="inlineStr">
        <is>
          <t>29</t>
        </is>
      </c>
      <c r="J1411" s="41" t="inlineStr">
        <is>
          <t>315,000</t>
        </is>
      </c>
      <c r="K1411" s="41" t="inlineStr">
        <is>
          <t>202</t>
        </is>
      </c>
      <c r="L1411" s="41" t="inlineStr">
        <is>
          <t>13</t>
        </is>
      </c>
      <c r="M1411" s="42" t="inlineStr">
        <is>
          <t>개인</t>
        </is>
      </c>
      <c r="N1411" s="42" t="inlineStr">
        <is>
          <t>개인</t>
        </is>
      </c>
      <c r="O1411" s="41" t="inlineStr">
        <is>
          <t>2017</t>
        </is>
      </c>
      <c r="P1411" s="42" t="inlineStr">
        <is>
          <t>서운로 212</t>
        </is>
      </c>
      <c r="Q1411" s="41" t="inlineStr">
        <is>
          <t>-</t>
        </is>
      </c>
      <c r="R1411" s="42" t="inlineStr">
        <is>
          <t>중개거래</t>
        </is>
      </c>
      <c r="S1411" s="42" t="inlineStr">
        <is>
          <t>서울 서초구</t>
        </is>
      </c>
      <c r="T1411" s="41" t="inlineStr">
        <is>
          <t>24.08.29</t>
        </is>
      </c>
      <c r="U1411" s="42" t="inlineStr">
        <is>
          <t>아파트</t>
        </is>
      </c>
    </row>
    <row r="1412" hidden="1" ht="14.25" customHeight="1">
      <c r="A1412" s="41" t="n">
        <v>879</v>
      </c>
      <c r="B1412" s="42" t="inlineStr">
        <is>
          <t>서울특별시 서초구 서초동</t>
        </is>
      </c>
      <c r="C1412" s="41" t="inlineStr">
        <is>
          <t>1332-13</t>
        </is>
      </c>
      <c r="D1412" s="41" t="inlineStr">
        <is>
          <t>1332</t>
        </is>
      </c>
      <c r="E1412" s="41" t="inlineStr">
        <is>
          <t>0013</t>
        </is>
      </c>
      <c r="F1412" s="42" t="inlineStr">
        <is>
          <t>래미안서초에스티지</t>
        </is>
      </c>
      <c r="G1412" s="41" t="inlineStr">
        <is>
          <t>101.5500</t>
        </is>
      </c>
      <c r="H1412" s="41" t="inlineStr">
        <is>
          <t>202406</t>
        </is>
      </c>
      <c r="I1412" s="41" t="inlineStr">
        <is>
          <t>29</t>
        </is>
      </c>
      <c r="J1412" s="41" t="inlineStr">
        <is>
          <t>289,000</t>
        </is>
      </c>
      <c r="K1412" s="41" t="inlineStr">
        <is>
          <t>103동</t>
        </is>
      </c>
      <c r="L1412" s="41" t="inlineStr">
        <is>
          <t>20</t>
        </is>
      </c>
      <c r="M1412" s="42" t="inlineStr">
        <is>
          <t>개인</t>
        </is>
      </c>
      <c r="N1412" s="42" t="inlineStr">
        <is>
          <t>개인</t>
        </is>
      </c>
      <c r="O1412" s="41" t="inlineStr">
        <is>
          <t>2016</t>
        </is>
      </c>
      <c r="P1412" s="42" t="inlineStr">
        <is>
          <t>서운로 107</t>
        </is>
      </c>
      <c r="Q1412" s="41" t="inlineStr">
        <is>
          <t>-</t>
        </is>
      </c>
      <c r="R1412" s="42" t="inlineStr">
        <is>
          <t>중개거래</t>
        </is>
      </c>
      <c r="S1412" s="42" t="inlineStr">
        <is>
          <t>서울 서초구</t>
        </is>
      </c>
      <c r="T1412" s="41" t="inlineStr">
        <is>
          <t>24.10.10</t>
        </is>
      </c>
      <c r="U1412" s="42" t="inlineStr">
        <is>
          <t>아파트</t>
        </is>
      </c>
    </row>
    <row r="1413" hidden="1" ht="14.25" customHeight="1">
      <c r="A1413" s="41" t="n">
        <v>880</v>
      </c>
      <c r="B1413" s="42" t="inlineStr">
        <is>
          <t>서울특별시 서초구 서초동</t>
        </is>
      </c>
      <c r="C1413" s="41" t="inlineStr">
        <is>
          <t>1312-3</t>
        </is>
      </c>
      <c r="D1413" s="41" t="inlineStr">
        <is>
          <t>1312</t>
        </is>
      </c>
      <c r="E1413" s="41" t="inlineStr">
        <is>
          <t>0003</t>
        </is>
      </c>
      <c r="F1413" s="42" t="inlineStr">
        <is>
          <t>롯데캐슬클래식</t>
        </is>
      </c>
      <c r="G1413" s="41" t="inlineStr">
        <is>
          <t>133.4500</t>
        </is>
      </c>
      <c r="H1413" s="41" t="inlineStr">
        <is>
          <t>202406</t>
        </is>
      </c>
      <c r="I1413" s="41" t="inlineStr">
        <is>
          <t>29</t>
        </is>
      </c>
      <c r="J1413" s="41" t="inlineStr">
        <is>
          <t>300,000</t>
        </is>
      </c>
      <c r="K1413" s="41" t="inlineStr">
        <is>
          <t>105</t>
        </is>
      </c>
      <c r="L1413" s="41" t="inlineStr">
        <is>
          <t>19</t>
        </is>
      </c>
      <c r="M1413" s="42" t="inlineStr">
        <is>
          <t>개인</t>
        </is>
      </c>
      <c r="N1413" s="42" t="inlineStr">
        <is>
          <t>개인</t>
        </is>
      </c>
      <c r="O1413" s="41" t="inlineStr">
        <is>
          <t>2006</t>
        </is>
      </c>
      <c r="P1413" s="42" t="inlineStr">
        <is>
          <t>서운로 197</t>
        </is>
      </c>
      <c r="Q1413" s="41" t="inlineStr">
        <is>
          <t>-</t>
        </is>
      </c>
      <c r="R1413" s="42" t="inlineStr">
        <is>
          <t>중개거래</t>
        </is>
      </c>
      <c r="S1413" s="42" t="inlineStr">
        <is>
          <t>서울 서초구</t>
        </is>
      </c>
      <c r="T1413" s="41" t="inlineStr">
        <is>
          <t>24.09.30</t>
        </is>
      </c>
      <c r="U1413" s="42" t="inlineStr">
        <is>
          <t>아파트</t>
        </is>
      </c>
    </row>
    <row r="1414" hidden="1" ht="14.25" customHeight="1">
      <c r="A1414" s="41" t="n">
        <v>881</v>
      </c>
      <c r="B1414" s="42" t="inlineStr">
        <is>
          <t>서울특별시 서초구 서초동</t>
        </is>
      </c>
      <c r="C1414" s="41" t="inlineStr">
        <is>
          <t>1312-3</t>
        </is>
      </c>
      <c r="D1414" s="41" t="inlineStr">
        <is>
          <t>1312</t>
        </is>
      </c>
      <c r="E1414" s="41" t="inlineStr">
        <is>
          <t>0003</t>
        </is>
      </c>
      <c r="F1414" s="42" t="inlineStr">
        <is>
          <t>롯데캐슬클래식</t>
        </is>
      </c>
      <c r="G1414" s="41" t="inlineStr">
        <is>
          <t>84.9800</t>
        </is>
      </c>
      <c r="H1414" s="41" t="inlineStr">
        <is>
          <t>202406</t>
        </is>
      </c>
      <c r="I1414" s="41" t="inlineStr">
        <is>
          <t>29</t>
        </is>
      </c>
      <c r="J1414" s="41" t="inlineStr">
        <is>
          <t>229,500</t>
        </is>
      </c>
      <c r="K1414" s="41" t="inlineStr">
        <is>
          <t>103</t>
        </is>
      </c>
      <c r="L1414" s="41" t="inlineStr">
        <is>
          <t>12</t>
        </is>
      </c>
      <c r="M1414" s="42" t="inlineStr">
        <is>
          <t>개인</t>
        </is>
      </c>
      <c r="N1414" s="42" t="inlineStr">
        <is>
          <t>개인</t>
        </is>
      </c>
      <c r="O1414" s="41" t="inlineStr">
        <is>
          <t>2006</t>
        </is>
      </c>
      <c r="P1414" s="42" t="inlineStr">
        <is>
          <t>서운로 197</t>
        </is>
      </c>
      <c r="Q1414" s="41" t="inlineStr">
        <is>
          <t>-</t>
        </is>
      </c>
      <c r="R1414" s="42" t="inlineStr">
        <is>
          <t>중개거래</t>
        </is>
      </c>
      <c r="S1414" s="42" t="inlineStr">
        <is>
          <t>서울 서초구</t>
        </is>
      </c>
      <c r="T1414" s="41" t="inlineStr">
        <is>
          <t>24.08.23</t>
        </is>
      </c>
      <c r="U1414" s="42" t="inlineStr">
        <is>
          <t>아파트</t>
        </is>
      </c>
    </row>
    <row r="1415" hidden="1" ht="14.25" customHeight="1">
      <c r="A1415" s="41" t="n">
        <v>882</v>
      </c>
      <c r="B1415" s="42" t="inlineStr">
        <is>
          <t>서울특별시 서초구 서초동</t>
        </is>
      </c>
      <c r="C1415" s="41" t="inlineStr">
        <is>
          <t>1456-2</t>
        </is>
      </c>
      <c r="D1415" s="41" t="inlineStr">
        <is>
          <t>1456</t>
        </is>
      </c>
      <c r="E1415" s="41" t="inlineStr">
        <is>
          <t>0002</t>
        </is>
      </c>
      <c r="F1415" s="42" t="inlineStr">
        <is>
          <t>경남아너스빌201동</t>
        </is>
      </c>
      <c r="G1415" s="41" t="inlineStr">
        <is>
          <t>84.9500</t>
        </is>
      </c>
      <c r="H1415" s="41" t="inlineStr">
        <is>
          <t>202406</t>
        </is>
      </c>
      <c r="I1415" s="41" t="inlineStr">
        <is>
          <t>29</t>
        </is>
      </c>
      <c r="J1415" s="41" t="inlineStr">
        <is>
          <t>174,500</t>
        </is>
      </c>
      <c r="K1415" s="41" t="inlineStr">
        <is>
          <t>201동</t>
        </is>
      </c>
      <c r="L1415" s="41" t="inlineStr">
        <is>
          <t>14</t>
        </is>
      </c>
      <c r="M1415" s="42" t="inlineStr">
        <is>
          <t>개인</t>
        </is>
      </c>
      <c r="N1415" s="42" t="inlineStr">
        <is>
          <t>개인</t>
        </is>
      </c>
      <c r="O1415" s="41" t="inlineStr">
        <is>
          <t>2006</t>
        </is>
      </c>
      <c r="P1415" s="42" t="inlineStr">
        <is>
          <t>반포대로10길 42</t>
        </is>
      </c>
      <c r="Q1415" s="41" t="inlineStr">
        <is>
          <t>-</t>
        </is>
      </c>
      <c r="R1415" s="42" t="inlineStr">
        <is>
          <t>중개거래</t>
        </is>
      </c>
      <c r="S1415" s="42" t="inlineStr">
        <is>
          <t>서울 서초구</t>
        </is>
      </c>
      <c r="T1415" s="41" t="inlineStr">
        <is>
          <t>24.09.27</t>
        </is>
      </c>
      <c r="U1415" s="42" t="inlineStr">
        <is>
          <t>아파트</t>
        </is>
      </c>
    </row>
    <row r="1416" hidden="1" ht="14.25" customHeight="1">
      <c r="A1416" s="41" t="n">
        <v>883</v>
      </c>
      <c r="B1416" s="42" t="inlineStr">
        <is>
          <t>서울특별시 서초구 서초동</t>
        </is>
      </c>
      <c r="C1416" s="41" t="inlineStr">
        <is>
          <t>1312-3</t>
        </is>
      </c>
      <c r="D1416" s="41" t="inlineStr">
        <is>
          <t>1312</t>
        </is>
      </c>
      <c r="E1416" s="41" t="inlineStr">
        <is>
          <t>0003</t>
        </is>
      </c>
      <c r="F1416" s="42" t="inlineStr">
        <is>
          <t>롯데캐슬클래식</t>
        </is>
      </c>
      <c r="G1416" s="41" t="inlineStr">
        <is>
          <t>74.3000</t>
        </is>
      </c>
      <c r="H1416" s="41" t="inlineStr">
        <is>
          <t>202406</t>
        </is>
      </c>
      <c r="I1416" s="41" t="inlineStr">
        <is>
          <t>28</t>
        </is>
      </c>
      <c r="J1416" s="41" t="inlineStr">
        <is>
          <t>221,000</t>
        </is>
      </c>
      <c r="K1416" s="41" t="inlineStr">
        <is>
          <t>112</t>
        </is>
      </c>
      <c r="L1416" s="41" t="inlineStr">
        <is>
          <t>19</t>
        </is>
      </c>
      <c r="M1416" s="42" t="inlineStr">
        <is>
          <t>개인</t>
        </is>
      </c>
      <c r="N1416" s="42" t="inlineStr">
        <is>
          <t>개인</t>
        </is>
      </c>
      <c r="O1416" s="41" t="inlineStr">
        <is>
          <t>2006</t>
        </is>
      </c>
      <c r="P1416" s="42" t="inlineStr">
        <is>
          <t>서운로 200</t>
        </is>
      </c>
      <c r="Q1416" s="41" t="inlineStr">
        <is>
          <t>-</t>
        </is>
      </c>
      <c r="R1416" s="42" t="inlineStr">
        <is>
          <t>중개거래</t>
        </is>
      </c>
      <c r="S1416" s="42" t="inlineStr">
        <is>
          <t>서울 서초구</t>
        </is>
      </c>
      <c r="T1416" s="41" t="inlineStr">
        <is>
          <t>24.10.31</t>
        </is>
      </c>
      <c r="U1416" s="42" t="inlineStr">
        <is>
          <t>아파트</t>
        </is>
      </c>
    </row>
    <row r="1417" hidden="1" ht="14.25" customHeight="1">
      <c r="A1417" s="41" t="n">
        <v>884</v>
      </c>
      <c r="B1417" s="42" t="inlineStr">
        <is>
          <t>서울특별시 서초구 서초동</t>
        </is>
      </c>
      <c r="C1417" s="41" t="inlineStr">
        <is>
          <t>1682</t>
        </is>
      </c>
      <c r="D1417" s="41" t="inlineStr">
        <is>
          <t>1682</t>
        </is>
      </c>
      <c r="E1417" s="41" t="inlineStr">
        <is>
          <t>0000</t>
        </is>
      </c>
      <c r="F1417" s="42" t="inlineStr">
        <is>
          <t>서초래미안</t>
        </is>
      </c>
      <c r="G1417" s="41" t="inlineStr">
        <is>
          <t>111.3200</t>
        </is>
      </c>
      <c r="H1417" s="41" t="inlineStr">
        <is>
          <t>202406</t>
        </is>
      </c>
      <c r="I1417" s="41" t="inlineStr">
        <is>
          <t>28</t>
        </is>
      </c>
      <c r="J1417" s="41" t="inlineStr">
        <is>
          <t>253,000</t>
        </is>
      </c>
      <c r="K1417" s="41" t="inlineStr">
        <is>
          <t>108</t>
        </is>
      </c>
      <c r="L1417" s="41" t="inlineStr">
        <is>
          <t>14</t>
        </is>
      </c>
      <c r="M1417" s="42" t="inlineStr">
        <is>
          <t>개인</t>
        </is>
      </c>
      <c r="N1417" s="42" t="inlineStr">
        <is>
          <t>개인</t>
        </is>
      </c>
      <c r="O1417" s="41" t="inlineStr">
        <is>
          <t>2003</t>
        </is>
      </c>
      <c r="P1417" s="42" t="inlineStr">
        <is>
          <t>서초대로65길 13-10</t>
        </is>
      </c>
      <c r="Q1417" s="41" t="inlineStr">
        <is>
          <t>-</t>
        </is>
      </c>
      <c r="R1417" s="42" t="inlineStr">
        <is>
          <t>중개거래</t>
        </is>
      </c>
      <c r="S1417" s="42" t="inlineStr">
        <is>
          <t>서울 서초구</t>
        </is>
      </c>
      <c r="T1417" s="41" t="inlineStr">
        <is>
          <t>24.10.04</t>
        </is>
      </c>
      <c r="U1417" s="42" t="inlineStr">
        <is>
          <t>아파트</t>
        </is>
      </c>
    </row>
    <row r="1418" hidden="1" ht="14.25" customHeight="1">
      <c r="A1418" s="41" t="n">
        <v>885</v>
      </c>
      <c r="B1418" s="42" t="inlineStr">
        <is>
          <t>서울특별시 서초구 서초동</t>
        </is>
      </c>
      <c r="C1418" s="41" t="inlineStr">
        <is>
          <t>1682</t>
        </is>
      </c>
      <c r="D1418" s="41" t="inlineStr">
        <is>
          <t>1682</t>
        </is>
      </c>
      <c r="E1418" s="41" t="inlineStr">
        <is>
          <t>0000</t>
        </is>
      </c>
      <c r="F1418" s="42" t="inlineStr">
        <is>
          <t>서초래미안</t>
        </is>
      </c>
      <c r="G1418" s="41" t="inlineStr">
        <is>
          <t>84.9500</t>
        </is>
      </c>
      <c r="H1418" s="41" t="inlineStr">
        <is>
          <t>202406</t>
        </is>
      </c>
      <c r="I1418" s="41" t="inlineStr">
        <is>
          <t>28</t>
        </is>
      </c>
      <c r="J1418" s="41" t="inlineStr">
        <is>
          <t>212,000</t>
        </is>
      </c>
      <c r="K1418" s="41" t="inlineStr">
        <is>
          <t>101</t>
        </is>
      </c>
      <c r="L1418" s="41" t="inlineStr">
        <is>
          <t>7</t>
        </is>
      </c>
      <c r="M1418" s="42" t="inlineStr">
        <is>
          <t>개인</t>
        </is>
      </c>
      <c r="N1418" s="42" t="inlineStr">
        <is>
          <t>개인</t>
        </is>
      </c>
      <c r="O1418" s="41" t="inlineStr">
        <is>
          <t>2003</t>
        </is>
      </c>
      <c r="P1418" s="42" t="inlineStr">
        <is>
          <t>서초대로65길 13-10</t>
        </is>
      </c>
      <c r="Q1418" s="41" t="inlineStr">
        <is>
          <t>-</t>
        </is>
      </c>
      <c r="R1418" s="42" t="inlineStr">
        <is>
          <t>중개거래</t>
        </is>
      </c>
      <c r="S1418" s="42" t="inlineStr">
        <is>
          <t>서울 서초구</t>
        </is>
      </c>
      <c r="T1418" s="41" t="inlineStr">
        <is>
          <t>24.10.04</t>
        </is>
      </c>
      <c r="U1418" s="42" t="inlineStr">
        <is>
          <t>아파트</t>
        </is>
      </c>
    </row>
    <row r="1419" hidden="1" ht="14.25" customHeight="1">
      <c r="A1419" s="41" t="n">
        <v>886</v>
      </c>
      <c r="B1419" s="42" t="inlineStr">
        <is>
          <t>서울특별시 서초구 서초동</t>
        </is>
      </c>
      <c r="C1419" s="41" t="inlineStr">
        <is>
          <t>1755</t>
        </is>
      </c>
      <c r="D1419" s="41" t="inlineStr">
        <is>
          <t>1755</t>
        </is>
      </c>
      <c r="E1419" s="41" t="inlineStr">
        <is>
          <t>0000</t>
        </is>
      </c>
      <c r="F1419" s="42" t="inlineStr">
        <is>
          <t>래미안 리더스원</t>
        </is>
      </c>
      <c r="G1419" s="41" t="inlineStr">
        <is>
          <t>59.9700</t>
        </is>
      </c>
      <c r="H1419" s="41" t="inlineStr">
        <is>
          <t>202406</t>
        </is>
      </c>
      <c r="I1419" s="41" t="inlineStr">
        <is>
          <t>28</t>
        </is>
      </c>
      <c r="J1419" s="41" t="inlineStr">
        <is>
          <t>237,800</t>
        </is>
      </c>
      <c r="K1419" s="41" t="inlineStr">
        <is>
          <t>110동</t>
        </is>
      </c>
      <c r="L1419" s="41" t="inlineStr">
        <is>
          <t>22</t>
        </is>
      </c>
      <c r="M1419" s="42" t="inlineStr">
        <is>
          <t>개인</t>
        </is>
      </c>
      <c r="N1419" s="42" t="inlineStr">
        <is>
          <t>개인</t>
        </is>
      </c>
      <c r="O1419" s="41" t="inlineStr">
        <is>
          <t>2020</t>
        </is>
      </c>
      <c r="P1419" s="42" t="inlineStr">
        <is>
          <t>서운로 62</t>
        </is>
      </c>
      <c r="Q1419" s="41" t="inlineStr">
        <is>
          <t>-</t>
        </is>
      </c>
      <c r="R1419" s="42" t="inlineStr">
        <is>
          <t>중개거래</t>
        </is>
      </c>
      <c r="S1419" s="42" t="inlineStr">
        <is>
          <t>서울 서초구</t>
        </is>
      </c>
      <c r="T1419" s="41" t="inlineStr">
        <is>
          <t>24.08.26</t>
        </is>
      </c>
      <c r="U1419" s="42" t="inlineStr">
        <is>
          <t>아파트</t>
        </is>
      </c>
    </row>
    <row r="1420" hidden="1" ht="14.25" customHeight="1">
      <c r="A1420" s="41" t="n">
        <v>887</v>
      </c>
      <c r="B1420" s="42" t="inlineStr">
        <is>
          <t>서울특별시 서초구 서초동</t>
        </is>
      </c>
      <c r="C1420" s="41" t="inlineStr">
        <is>
          <t>1582-3</t>
        </is>
      </c>
      <c r="D1420" s="41" t="inlineStr">
        <is>
          <t>1582</t>
        </is>
      </c>
      <c r="E1420" s="41" t="inlineStr">
        <is>
          <t>0003</t>
        </is>
      </c>
      <c r="F1420" s="42" t="inlineStr">
        <is>
          <t>서초센트럴IPARK</t>
        </is>
      </c>
      <c r="G1420" s="41" t="inlineStr">
        <is>
          <t>80.5154</t>
        </is>
      </c>
      <c r="H1420" s="41" t="inlineStr">
        <is>
          <t>202406</t>
        </is>
      </c>
      <c r="I1420" s="41" t="inlineStr">
        <is>
          <t>28</t>
        </is>
      </c>
      <c r="J1420" s="41" t="inlineStr">
        <is>
          <t>165,000</t>
        </is>
      </c>
      <c r="K1420" s="41" t="inlineStr">
        <is>
          <t>101동</t>
        </is>
      </c>
      <c r="L1420" s="41" t="inlineStr">
        <is>
          <t>9</t>
        </is>
      </c>
      <c r="M1420" s="42" t="inlineStr">
        <is>
          <t>개인</t>
        </is>
      </c>
      <c r="N1420" s="42" t="inlineStr">
        <is>
          <t>개인</t>
        </is>
      </c>
      <c r="O1420" s="41" t="inlineStr">
        <is>
          <t>2020</t>
        </is>
      </c>
      <c r="P1420" s="42" t="inlineStr">
        <is>
          <t>반포대로18길 36</t>
        </is>
      </c>
      <c r="Q1420" s="41" t="inlineStr">
        <is>
          <t>-</t>
        </is>
      </c>
      <c r="R1420" s="42" t="inlineStr">
        <is>
          <t>중개거래</t>
        </is>
      </c>
      <c r="S1420" s="42" t="inlineStr">
        <is>
          <t>서울 서초구, 서울 양천구</t>
        </is>
      </c>
      <c r="T1420" s="41" t="inlineStr">
        <is>
          <t>24.07.30</t>
        </is>
      </c>
      <c r="U1420" s="42" t="inlineStr">
        <is>
          <t>아파트</t>
        </is>
      </c>
    </row>
    <row r="1421" hidden="1" ht="14.25" customHeight="1">
      <c r="A1421" s="41" t="n">
        <v>888</v>
      </c>
      <c r="B1421" s="42" t="inlineStr">
        <is>
          <t>서울특별시 서초구 서초동</t>
        </is>
      </c>
      <c r="C1421" s="41" t="inlineStr">
        <is>
          <t>1757</t>
        </is>
      </c>
      <c r="D1421" s="41" t="inlineStr">
        <is>
          <t>1757</t>
        </is>
      </c>
      <c r="E1421" s="41" t="inlineStr">
        <is>
          <t>0000</t>
        </is>
      </c>
      <c r="F1421" s="42" t="inlineStr">
        <is>
          <t>서초그랑자이</t>
        </is>
      </c>
      <c r="G1421" s="41" t="inlineStr">
        <is>
          <t>84.5100</t>
        </is>
      </c>
      <c r="H1421" s="41" t="inlineStr">
        <is>
          <t>202406</t>
        </is>
      </c>
      <c r="I1421" s="41" t="inlineStr">
        <is>
          <t>27</t>
        </is>
      </c>
      <c r="J1421" s="41" t="inlineStr">
        <is>
          <t>330,000</t>
        </is>
      </c>
      <c r="K1421" s="41" t="inlineStr">
        <is>
          <t>108동</t>
        </is>
      </c>
      <c r="L1421" s="41" t="inlineStr">
        <is>
          <t>17</t>
        </is>
      </c>
      <c r="M1421" s="42" t="inlineStr">
        <is>
          <t>개인</t>
        </is>
      </c>
      <c r="N1421" s="42" t="inlineStr">
        <is>
          <t>개인</t>
        </is>
      </c>
      <c r="O1421" s="41" t="inlineStr">
        <is>
          <t>2021</t>
        </is>
      </c>
      <c r="P1421" s="42" t="inlineStr">
        <is>
          <t>효령로 391</t>
        </is>
      </c>
      <c r="Q1421" s="41" t="inlineStr">
        <is>
          <t>-</t>
        </is>
      </c>
      <c r="R1421" s="42" t="inlineStr">
        <is>
          <t>중개거래</t>
        </is>
      </c>
      <c r="S1421" s="42" t="inlineStr">
        <is>
          <t>서울 서초구</t>
        </is>
      </c>
      <c r="T1421" s="41" t="inlineStr">
        <is>
          <t>24.09.26</t>
        </is>
      </c>
      <c r="U1421" s="42" t="inlineStr">
        <is>
          <t>아파트</t>
        </is>
      </c>
    </row>
    <row r="1422" hidden="1" ht="14.25" customHeight="1">
      <c r="A1422" s="41" t="n">
        <v>889</v>
      </c>
      <c r="B1422" s="42" t="inlineStr">
        <is>
          <t>서울특별시 서초구 서초동</t>
        </is>
      </c>
      <c r="C1422" s="41" t="inlineStr">
        <is>
          <t>1685-3</t>
        </is>
      </c>
      <c r="D1422" s="41" t="inlineStr">
        <is>
          <t>1685</t>
        </is>
      </c>
      <c r="E1422" s="41" t="inlineStr">
        <is>
          <t>0003</t>
        </is>
      </c>
      <c r="F1422" s="42" t="inlineStr">
        <is>
          <t>아크로비스타</t>
        </is>
      </c>
      <c r="G1422" s="41" t="inlineStr">
        <is>
          <t>172.9400</t>
        </is>
      </c>
      <c r="H1422" s="41" t="inlineStr">
        <is>
          <t>202406</t>
        </is>
      </c>
      <c r="I1422" s="41" t="inlineStr">
        <is>
          <t>27</t>
        </is>
      </c>
      <c r="J1422" s="41" t="inlineStr">
        <is>
          <t>370,000</t>
        </is>
      </c>
      <c r="K1422" s="41" t="inlineStr">
        <is>
          <t>B</t>
        </is>
      </c>
      <c r="L1422" s="41" t="inlineStr">
        <is>
          <t>24</t>
        </is>
      </c>
      <c r="M1422" s="42" t="inlineStr">
        <is>
          <t>개인</t>
        </is>
      </c>
      <c r="N1422" s="42" t="inlineStr">
        <is>
          <t>개인</t>
        </is>
      </c>
      <c r="O1422" s="41" t="inlineStr">
        <is>
          <t>2004</t>
        </is>
      </c>
      <c r="P1422" s="42" t="inlineStr">
        <is>
          <t>서초중앙로 188</t>
        </is>
      </c>
      <c r="Q1422" s="41" t="inlineStr">
        <is>
          <t>-</t>
        </is>
      </c>
      <c r="R1422" s="42" t="inlineStr">
        <is>
          <t>중개거래</t>
        </is>
      </c>
      <c r="S1422" s="42" t="inlineStr">
        <is>
          <t>서울 서초구</t>
        </is>
      </c>
      <c r="T1422" s="41" t="inlineStr">
        <is>
          <t>25.01.02</t>
        </is>
      </c>
      <c r="U1422" s="42" t="inlineStr">
        <is>
          <t>아파트</t>
        </is>
      </c>
    </row>
    <row r="1423" hidden="1" ht="14.25" customHeight="1">
      <c r="A1423" s="41" t="n">
        <v>890</v>
      </c>
      <c r="B1423" s="42" t="inlineStr">
        <is>
          <t>서울특별시 서초구 서초동</t>
        </is>
      </c>
      <c r="C1423" s="41" t="inlineStr">
        <is>
          <t>1757</t>
        </is>
      </c>
      <c r="D1423" s="41" t="inlineStr">
        <is>
          <t>1757</t>
        </is>
      </c>
      <c r="E1423" s="41" t="inlineStr">
        <is>
          <t>0000</t>
        </is>
      </c>
      <c r="F1423" s="42" t="inlineStr">
        <is>
          <t>서초그랑자이</t>
        </is>
      </c>
      <c r="G1423" s="41" t="inlineStr">
        <is>
          <t>119.4100</t>
        </is>
      </c>
      <c r="H1423" s="41" t="inlineStr">
        <is>
          <t>202406</t>
        </is>
      </c>
      <c r="I1423" s="41" t="inlineStr">
        <is>
          <t>27</t>
        </is>
      </c>
      <c r="J1423" s="41" t="inlineStr">
        <is>
          <t>408,000</t>
        </is>
      </c>
      <c r="K1423" s="41" t="inlineStr">
        <is>
          <t>107동</t>
        </is>
      </c>
      <c r="L1423" s="41" t="inlineStr">
        <is>
          <t>29</t>
        </is>
      </c>
      <c r="M1423" s="42" t="inlineStr">
        <is>
          <t>개인</t>
        </is>
      </c>
      <c r="N1423" s="42" t="inlineStr">
        <is>
          <t>개인</t>
        </is>
      </c>
      <c r="O1423" s="41" t="inlineStr">
        <is>
          <t>2021</t>
        </is>
      </c>
      <c r="P1423" s="42" t="inlineStr">
        <is>
          <t>효령로 391</t>
        </is>
      </c>
      <c r="Q1423" s="41" t="inlineStr">
        <is>
          <t>-</t>
        </is>
      </c>
      <c r="R1423" s="42" t="inlineStr">
        <is>
          <t>중개거래</t>
        </is>
      </c>
      <c r="S1423" s="42" t="inlineStr">
        <is>
          <t>서울 서초구</t>
        </is>
      </c>
      <c r="T1423" s="41" t="inlineStr">
        <is>
          <t>24.11.29</t>
        </is>
      </c>
      <c r="U1423" s="42" t="inlineStr">
        <is>
          <t>아파트</t>
        </is>
      </c>
    </row>
    <row r="1424" hidden="1" ht="14.25" customHeight="1">
      <c r="A1424" s="41" t="n">
        <v>891</v>
      </c>
      <c r="B1424" s="42" t="inlineStr">
        <is>
          <t>서울특별시 서초구 서초동</t>
        </is>
      </c>
      <c r="C1424" s="41" t="inlineStr">
        <is>
          <t>1755</t>
        </is>
      </c>
      <c r="D1424" s="41" t="inlineStr">
        <is>
          <t>1755</t>
        </is>
      </c>
      <c r="E1424" s="41" t="inlineStr">
        <is>
          <t>0000</t>
        </is>
      </c>
      <c r="F1424" s="42" t="inlineStr">
        <is>
          <t>래미안 리더스원</t>
        </is>
      </c>
      <c r="G1424" s="41" t="inlineStr">
        <is>
          <t>84.9400</t>
        </is>
      </c>
      <c r="H1424" s="41" t="inlineStr">
        <is>
          <t>202406</t>
        </is>
      </c>
      <c r="I1424" s="41" t="inlineStr">
        <is>
          <t>27</t>
        </is>
      </c>
      <c r="J1424" s="41" t="inlineStr">
        <is>
          <t>315,000</t>
        </is>
      </c>
      <c r="K1424" s="41" t="inlineStr">
        <is>
          <t>103동</t>
        </is>
      </c>
      <c r="L1424" s="41" t="inlineStr">
        <is>
          <t>20</t>
        </is>
      </c>
      <c r="M1424" s="42" t="inlineStr">
        <is>
          <t>개인</t>
        </is>
      </c>
      <c r="N1424" s="42" t="inlineStr">
        <is>
          <t>개인</t>
        </is>
      </c>
      <c r="O1424" s="41" t="inlineStr">
        <is>
          <t>2020</t>
        </is>
      </c>
      <c r="P1424" s="42" t="inlineStr">
        <is>
          <t>서운로 62</t>
        </is>
      </c>
      <c r="Q1424" s="41" t="inlineStr">
        <is>
          <t>-</t>
        </is>
      </c>
      <c r="R1424" s="42" t="inlineStr">
        <is>
          <t>중개거래</t>
        </is>
      </c>
      <c r="S1424" s="42" t="inlineStr">
        <is>
          <t>서울 서초구</t>
        </is>
      </c>
      <c r="T1424" s="41" t="inlineStr">
        <is>
          <t>24.09.10</t>
        </is>
      </c>
      <c r="U1424" s="42" t="inlineStr">
        <is>
          <t>아파트</t>
        </is>
      </c>
    </row>
    <row r="1425" hidden="1" ht="14.25" customHeight="1">
      <c r="A1425" s="41" t="n">
        <v>892</v>
      </c>
      <c r="B1425" s="42" t="inlineStr">
        <is>
          <t>서울특별시 서초구 서초동</t>
        </is>
      </c>
      <c r="C1425" s="41" t="inlineStr">
        <is>
          <t>1332-13</t>
        </is>
      </c>
      <c r="D1425" s="41" t="inlineStr">
        <is>
          <t>1332</t>
        </is>
      </c>
      <c r="E1425" s="41" t="inlineStr">
        <is>
          <t>0013</t>
        </is>
      </c>
      <c r="F1425" s="42" t="inlineStr">
        <is>
          <t>래미안서초에스티지</t>
        </is>
      </c>
      <c r="G1425" s="41" t="inlineStr">
        <is>
          <t>101.5500</t>
        </is>
      </c>
      <c r="H1425" s="41" t="inlineStr">
        <is>
          <t>202406</t>
        </is>
      </c>
      <c r="I1425" s="41" t="inlineStr">
        <is>
          <t>26</t>
        </is>
      </c>
      <c r="J1425" s="41" t="inlineStr">
        <is>
          <t>295,000</t>
        </is>
      </c>
      <c r="K1425" s="41" t="inlineStr">
        <is>
          <t>103동</t>
        </is>
      </c>
      <c r="L1425" s="41" t="inlineStr">
        <is>
          <t>15</t>
        </is>
      </c>
      <c r="M1425" s="42" t="inlineStr">
        <is>
          <t>개인</t>
        </is>
      </c>
      <c r="N1425" s="42" t="inlineStr">
        <is>
          <t>개인</t>
        </is>
      </c>
      <c r="O1425" s="41" t="inlineStr">
        <is>
          <t>2016</t>
        </is>
      </c>
      <c r="P1425" s="42" t="inlineStr">
        <is>
          <t>서운로 107</t>
        </is>
      </c>
      <c r="Q1425" s="41" t="inlineStr">
        <is>
          <t>-</t>
        </is>
      </c>
      <c r="R1425" s="42" t="inlineStr">
        <is>
          <t>중개거래</t>
        </is>
      </c>
      <c r="S1425" s="42" t="inlineStr">
        <is>
          <t>서울 서초구</t>
        </is>
      </c>
      <c r="T1425" s="41" t="inlineStr">
        <is>
          <t>24.10.07</t>
        </is>
      </c>
      <c r="U1425" s="42" t="inlineStr">
        <is>
          <t>아파트</t>
        </is>
      </c>
    </row>
    <row r="1426" hidden="1" ht="14.25" customHeight="1">
      <c r="A1426" s="41" t="n">
        <v>893</v>
      </c>
      <c r="B1426" s="42" t="inlineStr">
        <is>
          <t>서울특별시 서초구 서초동</t>
        </is>
      </c>
      <c r="C1426" s="41" t="inlineStr">
        <is>
          <t>1333</t>
        </is>
      </c>
      <c r="D1426" s="41" t="inlineStr">
        <is>
          <t>1333</t>
        </is>
      </c>
      <c r="E1426" s="41" t="inlineStr">
        <is>
          <t>0000</t>
        </is>
      </c>
      <c r="F1426" s="42" t="inlineStr">
        <is>
          <t>신동아아파트(1차)</t>
        </is>
      </c>
      <c r="G1426" s="41" t="inlineStr">
        <is>
          <t>132.1000</t>
        </is>
      </c>
      <c r="H1426" s="41" t="inlineStr">
        <is>
          <t>202406</t>
        </is>
      </c>
      <c r="I1426" s="41" t="inlineStr">
        <is>
          <t>26</t>
        </is>
      </c>
      <c r="J1426" s="41" t="inlineStr">
        <is>
          <t>274,500</t>
        </is>
      </c>
      <c r="K1426" s="41" t="inlineStr">
        <is>
          <t>2</t>
        </is>
      </c>
      <c r="L1426" s="41" t="inlineStr">
        <is>
          <t>6</t>
        </is>
      </c>
      <c r="M1426" s="42" t="inlineStr">
        <is>
          <t>개인</t>
        </is>
      </c>
      <c r="N1426" s="42" t="inlineStr">
        <is>
          <t>개인</t>
        </is>
      </c>
      <c r="O1426" s="41" t="inlineStr">
        <is>
          <t>1978</t>
        </is>
      </c>
      <c r="P1426" s="42" t="inlineStr">
        <is>
          <t>사임당로 137</t>
        </is>
      </c>
      <c r="Q1426" s="41" t="inlineStr">
        <is>
          <t>-</t>
        </is>
      </c>
      <c r="R1426" s="42" t="inlineStr">
        <is>
          <t>중개거래</t>
        </is>
      </c>
      <c r="S1426" s="42" t="inlineStr">
        <is>
          <t>서울 서초구</t>
        </is>
      </c>
      <c r="T1426" s="41" t="inlineStr">
        <is>
          <t>24.09.30</t>
        </is>
      </c>
      <c r="U1426" s="42" t="inlineStr">
        <is>
          <t>아파트</t>
        </is>
      </c>
    </row>
    <row r="1427" hidden="1" ht="14.25" customHeight="1">
      <c r="A1427" s="41" t="n">
        <v>894</v>
      </c>
      <c r="B1427" s="42" t="inlineStr">
        <is>
          <t>서울특별시 서초구 서초동</t>
        </is>
      </c>
      <c r="C1427" s="41" t="inlineStr">
        <is>
          <t>1685-3</t>
        </is>
      </c>
      <c r="D1427" s="41" t="inlineStr">
        <is>
          <t>1685</t>
        </is>
      </c>
      <c r="E1427" s="41" t="inlineStr">
        <is>
          <t>0003</t>
        </is>
      </c>
      <c r="F1427" s="42" t="inlineStr">
        <is>
          <t>아크로비스타</t>
        </is>
      </c>
      <c r="G1427" s="41" t="inlineStr">
        <is>
          <t>137.9800</t>
        </is>
      </c>
      <c r="H1427" s="41" t="inlineStr">
        <is>
          <t>202406</t>
        </is>
      </c>
      <c r="I1427" s="41" t="inlineStr">
        <is>
          <t>26</t>
        </is>
      </c>
      <c r="J1427" s="41" t="inlineStr">
        <is>
          <t>260,000</t>
        </is>
      </c>
      <c r="K1427" s="41" t="inlineStr">
        <is>
          <t>A</t>
        </is>
      </c>
      <c r="L1427" s="41" t="inlineStr">
        <is>
          <t>12</t>
        </is>
      </c>
      <c r="M1427" s="42" t="inlineStr">
        <is>
          <t>개인</t>
        </is>
      </c>
      <c r="N1427" s="42" t="inlineStr">
        <is>
          <t>개인</t>
        </is>
      </c>
      <c r="O1427" s="41" t="inlineStr">
        <is>
          <t>2004</t>
        </is>
      </c>
      <c r="P1427" s="42" t="inlineStr">
        <is>
          <t>서초중앙로 188</t>
        </is>
      </c>
      <c r="Q1427" s="41" t="inlineStr">
        <is>
          <t>-</t>
        </is>
      </c>
      <c r="R1427" s="42" t="inlineStr">
        <is>
          <t>중개거래</t>
        </is>
      </c>
      <c r="S1427" s="42" t="inlineStr">
        <is>
          <t>서울 서초구</t>
        </is>
      </c>
      <c r="T1427" s="41" t="inlineStr">
        <is>
          <t>24.08.28</t>
        </is>
      </c>
      <c r="U1427" s="42" t="inlineStr">
        <is>
          <t>아파트</t>
        </is>
      </c>
    </row>
    <row r="1428" hidden="1" ht="14.25" customHeight="1">
      <c r="A1428" s="41" t="n">
        <v>895</v>
      </c>
      <c r="B1428" s="42" t="inlineStr">
        <is>
          <t>서울특별시 서초구 서초동</t>
        </is>
      </c>
      <c r="C1428" s="41" t="inlineStr">
        <is>
          <t>1420-18</t>
        </is>
      </c>
      <c r="D1428" s="41" t="inlineStr">
        <is>
          <t>1420</t>
        </is>
      </c>
      <c r="E1428" s="41" t="inlineStr">
        <is>
          <t>0018</t>
        </is>
      </c>
      <c r="F1428" s="42" t="inlineStr">
        <is>
          <t>신원아침도시(1420)</t>
        </is>
      </c>
      <c r="G1428" s="41" t="inlineStr">
        <is>
          <t>84.3400</t>
        </is>
      </c>
      <c r="H1428" s="41" t="inlineStr">
        <is>
          <t>202406</t>
        </is>
      </c>
      <c r="I1428" s="41" t="inlineStr">
        <is>
          <t>26</t>
        </is>
      </c>
      <c r="J1428" s="41" t="inlineStr">
        <is>
          <t>148,000</t>
        </is>
      </c>
      <c r="K1428" s="41" t="inlineStr">
        <is>
          <t>101</t>
        </is>
      </c>
      <c r="L1428" s="41" t="inlineStr">
        <is>
          <t>5</t>
        </is>
      </c>
      <c r="M1428" s="42" t="inlineStr">
        <is>
          <t>개인</t>
        </is>
      </c>
      <c r="N1428" s="42" t="inlineStr">
        <is>
          <t>개인</t>
        </is>
      </c>
      <c r="O1428" s="41" t="inlineStr">
        <is>
          <t>2005</t>
        </is>
      </c>
      <c r="P1428" s="42" t="inlineStr">
        <is>
          <t>남부순환로337가길 52</t>
        </is>
      </c>
      <c r="Q1428" s="41" t="inlineStr">
        <is>
          <t>-</t>
        </is>
      </c>
      <c r="R1428" s="42" t="inlineStr">
        <is>
          <t>중개거래</t>
        </is>
      </c>
      <c r="S1428" s="42" t="inlineStr">
        <is>
          <t>서울 서초구</t>
        </is>
      </c>
      <c r="T1428" s="41" t="inlineStr">
        <is>
          <t>24.09.24</t>
        </is>
      </c>
      <c r="U1428" s="42" t="inlineStr">
        <is>
          <t>아파트</t>
        </is>
      </c>
    </row>
    <row r="1429" hidden="1" ht="14.25" customHeight="1">
      <c r="A1429" s="41" t="n">
        <v>896</v>
      </c>
      <c r="B1429" s="42" t="inlineStr">
        <is>
          <t>서울특별시 서초구 서초동</t>
        </is>
      </c>
      <c r="C1429" s="41" t="inlineStr">
        <is>
          <t>1681-8</t>
        </is>
      </c>
      <c r="D1429" s="41" t="inlineStr">
        <is>
          <t>1681</t>
        </is>
      </c>
      <c r="E1429" s="41" t="inlineStr">
        <is>
          <t>0008</t>
        </is>
      </c>
      <c r="F1429" s="42" t="inlineStr">
        <is>
          <t>서초롯데캐슬프레지던트</t>
        </is>
      </c>
      <c r="G1429" s="41" t="inlineStr">
        <is>
          <t>84.9700</t>
        </is>
      </c>
      <c r="H1429" s="41" t="inlineStr">
        <is>
          <t>202406</t>
        </is>
      </c>
      <c r="I1429" s="41" t="inlineStr">
        <is>
          <t>25</t>
        </is>
      </c>
      <c r="J1429" s="41" t="inlineStr">
        <is>
          <t>225,000</t>
        </is>
      </c>
      <c r="K1429" s="41" t="inlineStr">
        <is>
          <t>103</t>
        </is>
      </c>
      <c r="L1429" s="41" t="inlineStr">
        <is>
          <t>19</t>
        </is>
      </c>
      <c r="M1429" s="42" t="inlineStr">
        <is>
          <t>개인</t>
        </is>
      </c>
      <c r="N1429" s="42" t="inlineStr">
        <is>
          <t>개인</t>
        </is>
      </c>
      <c r="O1429" s="41" t="inlineStr">
        <is>
          <t>2014</t>
        </is>
      </c>
      <c r="P1429" s="42" t="inlineStr">
        <is>
          <t>서초중앙로24길 57</t>
        </is>
      </c>
      <c r="Q1429" s="41" t="inlineStr">
        <is>
          <t>-</t>
        </is>
      </c>
      <c r="R1429" s="42" t="inlineStr">
        <is>
          <t>중개거래</t>
        </is>
      </c>
      <c r="S1429" s="42" t="inlineStr">
        <is>
          <t>서울 서초구</t>
        </is>
      </c>
      <c r="T1429" s="41" t="inlineStr">
        <is>
          <t>24.09.30</t>
        </is>
      </c>
      <c r="U1429" s="42" t="inlineStr">
        <is>
          <t>아파트</t>
        </is>
      </c>
    </row>
    <row r="1430" hidden="1" ht="14.25" customHeight="1">
      <c r="A1430" s="41" t="n">
        <v>897</v>
      </c>
      <c r="B1430" s="42" t="inlineStr">
        <is>
          <t>서울특별시 서초구 서초동</t>
        </is>
      </c>
      <c r="C1430" s="41" t="inlineStr">
        <is>
          <t>1330</t>
        </is>
      </c>
      <c r="D1430" s="41" t="inlineStr">
        <is>
          <t>1330</t>
        </is>
      </c>
      <c r="E1430" s="41" t="inlineStr">
        <is>
          <t>0000</t>
        </is>
      </c>
      <c r="F1430" s="42" t="inlineStr">
        <is>
          <t>서초동삼성쉐르빌2</t>
        </is>
      </c>
      <c r="G1430" s="41" t="inlineStr">
        <is>
          <t>70.4900</t>
        </is>
      </c>
      <c r="H1430" s="41" t="inlineStr">
        <is>
          <t>202406</t>
        </is>
      </c>
      <c r="I1430" s="41" t="inlineStr">
        <is>
          <t>25</t>
        </is>
      </c>
      <c r="J1430" s="41" t="inlineStr">
        <is>
          <t>91,500</t>
        </is>
      </c>
      <c r="K1430" s="41" t="inlineStr">
        <is>
          <t>-</t>
        </is>
      </c>
      <c r="L1430" s="41" t="inlineStr">
        <is>
          <t>13</t>
        </is>
      </c>
      <c r="M1430" s="42" t="inlineStr">
        <is>
          <t>개인</t>
        </is>
      </c>
      <c r="N1430" s="42" t="inlineStr">
        <is>
          <t>개인</t>
        </is>
      </c>
      <c r="O1430" s="41" t="inlineStr">
        <is>
          <t>2002</t>
        </is>
      </c>
      <c r="P1430" s="42" t="inlineStr">
        <is>
          <t>강남대로53길 11</t>
        </is>
      </c>
      <c r="Q1430" s="41" t="inlineStr">
        <is>
          <t>-</t>
        </is>
      </c>
      <c r="R1430" s="42" t="inlineStr">
        <is>
          <t>중개거래</t>
        </is>
      </c>
      <c r="S1430" s="42" t="inlineStr">
        <is>
          <t>서울 강남구</t>
        </is>
      </c>
      <c r="T1430" s="41" t="inlineStr">
        <is>
          <t>24.08.30</t>
        </is>
      </c>
      <c r="U1430" s="42" t="inlineStr">
        <is>
          <t>아파트</t>
        </is>
      </c>
    </row>
    <row r="1431" hidden="1" ht="14.25" customHeight="1">
      <c r="A1431" s="41" t="n">
        <v>898</v>
      </c>
      <c r="B1431" s="42" t="inlineStr">
        <is>
          <t>서울특별시 서초구 서초동</t>
        </is>
      </c>
      <c r="C1431" s="41" t="inlineStr">
        <is>
          <t>1446-11</t>
        </is>
      </c>
      <c r="D1431" s="41" t="inlineStr">
        <is>
          <t>1446</t>
        </is>
      </c>
      <c r="E1431" s="41" t="inlineStr">
        <is>
          <t>0011</t>
        </is>
      </c>
      <c r="F1431" s="42" t="inlineStr">
        <is>
          <t>현대슈퍼빌</t>
        </is>
      </c>
      <c r="G1431" s="41" t="inlineStr">
        <is>
          <t>216.1600</t>
        </is>
      </c>
      <c r="H1431" s="41" t="inlineStr">
        <is>
          <t>202406</t>
        </is>
      </c>
      <c r="I1431" s="41" t="inlineStr">
        <is>
          <t>25</t>
        </is>
      </c>
      <c r="J1431" s="41" t="inlineStr">
        <is>
          <t>360,000</t>
        </is>
      </c>
      <c r="K1431" s="41" t="inlineStr">
        <is>
          <t>A</t>
        </is>
      </c>
      <c r="L1431" s="41" t="inlineStr">
        <is>
          <t>20</t>
        </is>
      </c>
      <c r="M1431" s="42" t="inlineStr">
        <is>
          <t>개인</t>
        </is>
      </c>
      <c r="N1431" s="42" t="inlineStr">
        <is>
          <t>개인</t>
        </is>
      </c>
      <c r="O1431" s="41" t="inlineStr">
        <is>
          <t>2003</t>
        </is>
      </c>
      <c r="P1431" s="42" t="inlineStr">
        <is>
          <t>서초중앙로 15</t>
        </is>
      </c>
      <c r="Q1431" s="41" t="inlineStr">
        <is>
          <t>-</t>
        </is>
      </c>
      <c r="R1431" s="42" t="inlineStr">
        <is>
          <t>중개거래</t>
        </is>
      </c>
      <c r="S1431" s="42" t="inlineStr">
        <is>
          <t>서울 서초구</t>
        </is>
      </c>
      <c r="T1431" s="41" t="inlineStr">
        <is>
          <t>24.08.20</t>
        </is>
      </c>
      <c r="U1431" s="42" t="inlineStr">
        <is>
          <t>아파트</t>
        </is>
      </c>
    </row>
    <row r="1432" hidden="1" ht="14.25" customHeight="1">
      <c r="A1432" s="41" t="n">
        <v>899</v>
      </c>
      <c r="B1432" s="42" t="inlineStr">
        <is>
          <t>서울특별시 서초구 서초동</t>
        </is>
      </c>
      <c r="C1432" s="41" t="inlineStr">
        <is>
          <t>1685-3</t>
        </is>
      </c>
      <c r="D1432" s="41" t="inlineStr">
        <is>
          <t>1685</t>
        </is>
      </c>
      <c r="E1432" s="41" t="inlineStr">
        <is>
          <t>0003</t>
        </is>
      </c>
      <c r="F1432" s="42" t="inlineStr">
        <is>
          <t>아크로비스타</t>
        </is>
      </c>
      <c r="G1432" s="41" t="inlineStr">
        <is>
          <t>149.1700</t>
        </is>
      </c>
      <c r="H1432" s="41" t="inlineStr">
        <is>
          <t>202406</t>
        </is>
      </c>
      <c r="I1432" s="41" t="inlineStr">
        <is>
          <t>25</t>
        </is>
      </c>
      <c r="J1432" s="41" t="inlineStr">
        <is>
          <t>270,000</t>
        </is>
      </c>
      <c r="K1432" s="41" t="inlineStr">
        <is>
          <t>C</t>
        </is>
      </c>
      <c r="L1432" s="41" t="inlineStr">
        <is>
          <t>8</t>
        </is>
      </c>
      <c r="M1432" s="42" t="inlineStr">
        <is>
          <t>개인</t>
        </is>
      </c>
      <c r="N1432" s="42" t="inlineStr">
        <is>
          <t>개인</t>
        </is>
      </c>
      <c r="O1432" s="41" t="inlineStr">
        <is>
          <t>2004</t>
        </is>
      </c>
      <c r="P1432" s="42" t="inlineStr">
        <is>
          <t>서초중앙로 188</t>
        </is>
      </c>
      <c r="Q1432" s="41" t="inlineStr">
        <is>
          <t>-</t>
        </is>
      </c>
      <c r="R1432" s="42" t="inlineStr">
        <is>
          <t>중개거래</t>
        </is>
      </c>
      <c r="S1432" s="42" t="inlineStr">
        <is>
          <t>서울 서초구</t>
        </is>
      </c>
      <c r="T1432" s="41" t="inlineStr">
        <is>
          <t>24.09.25</t>
        </is>
      </c>
      <c r="U1432" s="42" t="inlineStr">
        <is>
          <t>아파트</t>
        </is>
      </c>
    </row>
    <row r="1433" hidden="1" ht="14.25" customHeight="1">
      <c r="A1433" s="41" t="n">
        <v>900</v>
      </c>
      <c r="B1433" s="42" t="inlineStr">
        <is>
          <t>서울특별시 서초구 서초동</t>
        </is>
      </c>
      <c r="C1433" s="41" t="inlineStr">
        <is>
          <t>1445-14</t>
        </is>
      </c>
      <c r="D1433" s="41" t="inlineStr">
        <is>
          <t>1445</t>
        </is>
      </c>
      <c r="E1433" s="41" t="inlineStr">
        <is>
          <t>0014</t>
        </is>
      </c>
      <c r="F1433" s="42" t="inlineStr">
        <is>
          <t>더샵서초</t>
        </is>
      </c>
      <c r="G1433" s="41" t="inlineStr">
        <is>
          <t>30.3900</t>
        </is>
      </c>
      <c r="H1433" s="41" t="inlineStr">
        <is>
          <t>202406</t>
        </is>
      </c>
      <c r="I1433" s="41" t="inlineStr">
        <is>
          <t>25</t>
        </is>
      </c>
      <c r="J1433" s="41" t="inlineStr">
        <is>
          <t>53,500</t>
        </is>
      </c>
      <c r="K1433" s="41" t="inlineStr">
        <is>
          <t>103</t>
        </is>
      </c>
      <c r="L1433" s="41" t="inlineStr">
        <is>
          <t>31</t>
        </is>
      </c>
      <c r="M1433" s="42" t="inlineStr">
        <is>
          <t>개인</t>
        </is>
      </c>
      <c r="N1433" s="42" t="inlineStr">
        <is>
          <t>개인</t>
        </is>
      </c>
      <c r="O1433" s="41" t="inlineStr">
        <is>
          <t>2006</t>
        </is>
      </c>
      <c r="P1433" s="42" t="inlineStr">
        <is>
          <t>서초중앙로2길 21</t>
        </is>
      </c>
      <c r="Q1433" s="41" t="inlineStr">
        <is>
          <t>-</t>
        </is>
      </c>
      <c r="R1433" s="42" t="inlineStr">
        <is>
          <t>중개거래</t>
        </is>
      </c>
      <c r="S1433" s="42" t="inlineStr">
        <is>
          <t>서울 서초구</t>
        </is>
      </c>
      <c r="T1433" s="41" t="inlineStr">
        <is>
          <t>24.07.23</t>
        </is>
      </c>
      <c r="U1433" s="42" t="inlineStr">
        <is>
          <t>아파트</t>
        </is>
      </c>
    </row>
    <row r="1434" hidden="1" ht="14.25" customHeight="1">
      <c r="A1434" s="41" t="n">
        <v>901</v>
      </c>
      <c r="B1434" s="42" t="inlineStr">
        <is>
          <t>서울특별시 서초구 서초동</t>
        </is>
      </c>
      <c r="C1434" s="41" t="inlineStr">
        <is>
          <t>1757</t>
        </is>
      </c>
      <c r="D1434" s="41" t="inlineStr">
        <is>
          <t>1757</t>
        </is>
      </c>
      <c r="E1434" s="41" t="inlineStr">
        <is>
          <t>0000</t>
        </is>
      </c>
      <c r="F1434" s="42" t="inlineStr">
        <is>
          <t>서초그랑자이</t>
        </is>
      </c>
      <c r="G1434" s="41" t="inlineStr">
        <is>
          <t>59.9800</t>
        </is>
      </c>
      <c r="H1434" s="41" t="inlineStr">
        <is>
          <t>202406</t>
        </is>
      </c>
      <c r="I1434" s="41" t="inlineStr">
        <is>
          <t>24</t>
        </is>
      </c>
      <c r="J1434" s="41" t="inlineStr">
        <is>
          <t>235,000</t>
        </is>
      </c>
      <c r="K1434" s="41" t="inlineStr">
        <is>
          <t>105동</t>
        </is>
      </c>
      <c r="L1434" s="41" t="inlineStr">
        <is>
          <t>22</t>
        </is>
      </c>
      <c r="M1434" s="42" t="inlineStr">
        <is>
          <t>개인</t>
        </is>
      </c>
      <c r="N1434" s="42" t="inlineStr">
        <is>
          <t>개인</t>
        </is>
      </c>
      <c r="O1434" s="41" t="inlineStr">
        <is>
          <t>2021</t>
        </is>
      </c>
      <c r="P1434" s="42" t="inlineStr">
        <is>
          <t>효령로 391</t>
        </is>
      </c>
      <c r="Q1434" s="41" t="inlineStr">
        <is>
          <t>-</t>
        </is>
      </c>
      <c r="R1434" s="42" t="inlineStr">
        <is>
          <t>중개거래</t>
        </is>
      </c>
      <c r="S1434" s="42" t="inlineStr">
        <is>
          <t>서울 서초구</t>
        </is>
      </c>
      <c r="T1434" s="41" t="inlineStr">
        <is>
          <t>24.09.13</t>
        </is>
      </c>
      <c r="U1434" s="42" t="inlineStr">
        <is>
          <t>아파트</t>
        </is>
      </c>
    </row>
    <row r="1435" hidden="1" ht="14.25" customHeight="1">
      <c r="A1435" s="41" t="n">
        <v>902</v>
      </c>
      <c r="B1435" s="42" t="inlineStr">
        <is>
          <t>서울특별시 서초구 서초동</t>
        </is>
      </c>
      <c r="C1435" s="41" t="inlineStr">
        <is>
          <t>1671-5</t>
        </is>
      </c>
      <c r="D1435" s="41" t="inlineStr">
        <is>
          <t>1671</t>
        </is>
      </c>
      <c r="E1435" s="41" t="inlineStr">
        <is>
          <t>0005</t>
        </is>
      </c>
      <c r="F1435" s="42" t="inlineStr">
        <is>
          <t>대림서초리시온</t>
        </is>
      </c>
      <c r="G1435" s="41" t="inlineStr">
        <is>
          <t>49.9200</t>
        </is>
      </c>
      <c r="H1435" s="41" t="inlineStr">
        <is>
          <t>202406</t>
        </is>
      </c>
      <c r="I1435" s="41" t="inlineStr">
        <is>
          <t>24</t>
        </is>
      </c>
      <c r="J1435" s="41" t="inlineStr">
        <is>
          <t>49,000</t>
        </is>
      </c>
      <c r="K1435" s="41" t="inlineStr">
        <is>
          <t>-</t>
        </is>
      </c>
      <c r="L1435" s="41" t="inlineStr">
        <is>
          <t>4</t>
        </is>
      </c>
      <c r="M1435" s="42" t="inlineStr">
        <is>
          <t>개인</t>
        </is>
      </c>
      <c r="N1435" s="42" t="inlineStr">
        <is>
          <t>개인</t>
        </is>
      </c>
      <c r="O1435" s="41" t="inlineStr">
        <is>
          <t>2003</t>
        </is>
      </c>
      <c r="P1435" s="42" t="inlineStr">
        <is>
          <t>서초중앙로22길 25</t>
        </is>
      </c>
      <c r="Q1435" s="41" t="inlineStr">
        <is>
          <t>-</t>
        </is>
      </c>
      <c r="R1435" s="42" t="inlineStr">
        <is>
          <t>중개거래</t>
        </is>
      </c>
      <c r="S1435" s="42" t="inlineStr">
        <is>
          <t>서울 서초구</t>
        </is>
      </c>
      <c r="T1435" s="41" t="inlineStr">
        <is>
          <t>24.10.31</t>
        </is>
      </c>
      <c r="U1435" s="42" t="inlineStr">
        <is>
          <t>아파트</t>
        </is>
      </c>
    </row>
    <row r="1436" hidden="1" ht="14.25" customHeight="1">
      <c r="A1436" s="41" t="n">
        <v>903</v>
      </c>
      <c r="B1436" s="42" t="inlineStr">
        <is>
          <t>서울특별시 서초구 서초동</t>
        </is>
      </c>
      <c r="C1436" s="41" t="inlineStr">
        <is>
          <t>1757</t>
        </is>
      </c>
      <c r="D1436" s="41" t="inlineStr">
        <is>
          <t>1757</t>
        </is>
      </c>
      <c r="E1436" s="41" t="inlineStr">
        <is>
          <t>0000</t>
        </is>
      </c>
      <c r="F1436" s="42" t="inlineStr">
        <is>
          <t>서초그랑자이</t>
        </is>
      </c>
      <c r="G1436" s="41" t="inlineStr">
        <is>
          <t>100.3100</t>
        </is>
      </c>
      <c r="H1436" s="41" t="inlineStr">
        <is>
          <t>202406</t>
        </is>
      </c>
      <c r="I1436" s="41" t="inlineStr">
        <is>
          <t>24</t>
        </is>
      </c>
      <c r="J1436" s="41" t="inlineStr">
        <is>
          <t>350,000</t>
        </is>
      </c>
      <c r="K1436" s="41" t="inlineStr">
        <is>
          <t>103동</t>
        </is>
      </c>
      <c r="L1436" s="41" t="inlineStr">
        <is>
          <t>29</t>
        </is>
      </c>
      <c r="M1436" s="42" t="inlineStr">
        <is>
          <t>개인</t>
        </is>
      </c>
      <c r="N1436" s="42" t="inlineStr">
        <is>
          <t>개인</t>
        </is>
      </c>
      <c r="O1436" s="41" t="inlineStr">
        <is>
          <t>2021</t>
        </is>
      </c>
      <c r="P1436" s="42" t="inlineStr">
        <is>
          <t>효령로 391</t>
        </is>
      </c>
      <c r="Q1436" s="41" t="inlineStr">
        <is>
          <t>-</t>
        </is>
      </c>
      <c r="R1436" s="42" t="inlineStr">
        <is>
          <t>중개거래</t>
        </is>
      </c>
      <c r="S1436" s="42" t="inlineStr">
        <is>
          <t>서울 서초구</t>
        </is>
      </c>
      <c r="T1436" s="41" t="inlineStr">
        <is>
          <t>24.10.15</t>
        </is>
      </c>
      <c r="U1436" s="42" t="inlineStr">
        <is>
          <t>아파트</t>
        </is>
      </c>
    </row>
    <row r="1437" hidden="1" ht="14.25" customHeight="1">
      <c r="A1437" s="41" t="n">
        <v>904</v>
      </c>
      <c r="B1437" s="42" t="inlineStr">
        <is>
          <t>서울특별시 서초구 서초동</t>
        </is>
      </c>
      <c r="C1437" s="41" t="inlineStr">
        <is>
          <t>1686-9</t>
        </is>
      </c>
      <c r="D1437" s="41" t="inlineStr">
        <is>
          <t>1686</t>
        </is>
      </c>
      <c r="E1437" s="41" t="inlineStr">
        <is>
          <t>0009</t>
        </is>
      </c>
      <c r="F1437" s="42" t="inlineStr">
        <is>
          <t>서초교대e편한세상</t>
        </is>
      </c>
      <c r="G1437" s="41" t="inlineStr">
        <is>
          <t>84.9300</t>
        </is>
      </c>
      <c r="H1437" s="41" t="inlineStr">
        <is>
          <t>202406</t>
        </is>
      </c>
      <c r="I1437" s="41" t="inlineStr">
        <is>
          <t>24</t>
        </is>
      </c>
      <c r="J1437" s="41" t="inlineStr">
        <is>
          <t>240,000</t>
        </is>
      </c>
      <c r="K1437" s="41" t="inlineStr">
        <is>
          <t>102</t>
        </is>
      </c>
      <c r="L1437" s="41" t="inlineStr">
        <is>
          <t>8</t>
        </is>
      </c>
      <c r="M1437" s="42" t="inlineStr">
        <is>
          <t>개인</t>
        </is>
      </c>
      <c r="N1437" s="42" t="inlineStr">
        <is>
          <t>개인</t>
        </is>
      </c>
      <c r="O1437" s="41" t="inlineStr">
        <is>
          <t>2010</t>
        </is>
      </c>
      <c r="P1437" s="42" t="inlineStr">
        <is>
          <t>서초중앙로24길 33</t>
        </is>
      </c>
      <c r="Q1437" s="41" t="inlineStr">
        <is>
          <t>-</t>
        </is>
      </c>
      <c r="R1437" s="42" t="inlineStr">
        <is>
          <t>중개거래</t>
        </is>
      </c>
      <c r="S1437" s="42" t="inlineStr">
        <is>
          <t>서울 서초구</t>
        </is>
      </c>
      <c r="T1437" s="41" t="inlineStr">
        <is>
          <t>24.10.10</t>
        </is>
      </c>
      <c r="U1437" s="42" t="inlineStr">
        <is>
          <t>아파트</t>
        </is>
      </c>
    </row>
    <row r="1438" hidden="1" ht="14.25" customHeight="1">
      <c r="A1438" s="41" t="n">
        <v>905</v>
      </c>
      <c r="B1438" s="42" t="inlineStr">
        <is>
          <t>서울특별시 서초구 서초동</t>
        </is>
      </c>
      <c r="C1438" s="41" t="inlineStr">
        <is>
          <t>1332-13</t>
        </is>
      </c>
      <c r="D1438" s="41" t="inlineStr">
        <is>
          <t>1332</t>
        </is>
      </c>
      <c r="E1438" s="41" t="inlineStr">
        <is>
          <t>0013</t>
        </is>
      </c>
      <c r="F1438" s="42" t="inlineStr">
        <is>
          <t>래미안서초에스티지</t>
        </is>
      </c>
      <c r="G1438" s="41" t="inlineStr">
        <is>
          <t>83.6000</t>
        </is>
      </c>
      <c r="H1438" s="41" t="inlineStr">
        <is>
          <t>202406</t>
        </is>
      </c>
      <c r="I1438" s="41" t="inlineStr">
        <is>
          <t>22</t>
        </is>
      </c>
      <c r="J1438" s="41" t="inlineStr">
        <is>
          <t>268,000</t>
        </is>
      </c>
      <c r="K1438" s="41" t="inlineStr">
        <is>
          <t>104동</t>
        </is>
      </c>
      <c r="L1438" s="41" t="inlineStr">
        <is>
          <t>23</t>
        </is>
      </c>
      <c r="M1438" s="42" t="inlineStr">
        <is>
          <t>개인</t>
        </is>
      </c>
      <c r="N1438" s="42" t="inlineStr">
        <is>
          <t>개인</t>
        </is>
      </c>
      <c r="O1438" s="41" t="inlineStr">
        <is>
          <t>2016</t>
        </is>
      </c>
      <c r="P1438" s="42" t="inlineStr">
        <is>
          <t>서운로 107</t>
        </is>
      </c>
      <c r="Q1438" s="41" t="inlineStr">
        <is>
          <t>-</t>
        </is>
      </c>
      <c r="R1438" s="42" t="inlineStr">
        <is>
          <t>중개거래</t>
        </is>
      </c>
      <c r="S1438" s="42" t="inlineStr">
        <is>
          <t>서울 서초구</t>
        </is>
      </c>
      <c r="T1438" s="41" t="inlineStr">
        <is>
          <t>24.09.30</t>
        </is>
      </c>
      <c r="U1438" s="42" t="inlineStr">
        <is>
          <t>아파트</t>
        </is>
      </c>
    </row>
    <row r="1439" hidden="1" ht="14.25" customHeight="1">
      <c r="A1439" s="41" t="n">
        <v>906</v>
      </c>
      <c r="B1439" s="42" t="inlineStr">
        <is>
          <t>서울특별시 서초구 서초동</t>
        </is>
      </c>
      <c r="C1439" s="41" t="inlineStr">
        <is>
          <t>1338</t>
        </is>
      </c>
      <c r="D1439" s="41" t="inlineStr">
        <is>
          <t>1338</t>
        </is>
      </c>
      <c r="E1439" s="41" t="inlineStr">
        <is>
          <t>0000</t>
        </is>
      </c>
      <c r="F1439" s="42" t="inlineStr">
        <is>
          <t>현대이에스에이아파트</t>
        </is>
      </c>
      <c r="G1439" s="41" t="inlineStr">
        <is>
          <t>163.9500</t>
        </is>
      </c>
      <c r="H1439" s="41" t="inlineStr">
        <is>
          <t>202406</t>
        </is>
      </c>
      <c r="I1439" s="41" t="inlineStr">
        <is>
          <t>22</t>
        </is>
      </c>
      <c r="J1439" s="41" t="inlineStr">
        <is>
          <t>150,000</t>
        </is>
      </c>
      <c r="K1439" s="41" t="inlineStr">
        <is>
          <t>-</t>
        </is>
      </c>
      <c r="L1439" s="41" t="inlineStr">
        <is>
          <t>7</t>
        </is>
      </c>
      <c r="M1439" s="42" t="inlineStr">
        <is>
          <t>개인</t>
        </is>
      </c>
      <c r="N1439" s="42" t="inlineStr">
        <is>
          <t>개인</t>
        </is>
      </c>
      <c r="O1439" s="41" t="inlineStr">
        <is>
          <t>2002</t>
        </is>
      </c>
      <c r="P1439" s="42" t="inlineStr">
        <is>
          <t>효령로77길 20</t>
        </is>
      </c>
      <c r="Q1439" s="41" t="inlineStr">
        <is>
          <t>-</t>
        </is>
      </c>
      <c r="R1439" s="42" t="inlineStr">
        <is>
          <t>중개거래</t>
        </is>
      </c>
      <c r="S1439" s="42" t="inlineStr">
        <is>
          <t>서울 서초구</t>
        </is>
      </c>
      <c r="T1439" s="41" t="inlineStr">
        <is>
          <t>24.08.08</t>
        </is>
      </c>
      <c r="U1439" s="42" t="inlineStr">
        <is>
          <t>아파트</t>
        </is>
      </c>
    </row>
    <row r="1440" hidden="1" ht="14.25" customHeight="1">
      <c r="A1440" s="41" t="n">
        <v>907</v>
      </c>
      <c r="B1440" s="42" t="inlineStr">
        <is>
          <t>서울특별시 서초구 서초동</t>
        </is>
      </c>
      <c r="C1440" s="41" t="inlineStr">
        <is>
          <t>1334-1</t>
        </is>
      </c>
      <c r="D1440" s="41" t="inlineStr">
        <is>
          <t>1334</t>
        </is>
      </c>
      <c r="E1440" s="41" t="inlineStr">
        <is>
          <t>0001</t>
        </is>
      </c>
      <c r="F1440" s="42" t="inlineStr">
        <is>
          <t>신동아아파트(2차)</t>
        </is>
      </c>
      <c r="G1440" s="41" t="inlineStr">
        <is>
          <t>166.1000</t>
        </is>
      </c>
      <c r="H1440" s="41" t="inlineStr">
        <is>
          <t>202406</t>
        </is>
      </c>
      <c r="I1440" s="41" t="inlineStr">
        <is>
          <t>22</t>
        </is>
      </c>
      <c r="J1440" s="41" t="inlineStr">
        <is>
          <t>315,000</t>
        </is>
      </c>
      <c r="K1440" s="41" t="inlineStr">
        <is>
          <t>8</t>
        </is>
      </c>
      <c r="L1440" s="41" t="inlineStr">
        <is>
          <t>4</t>
        </is>
      </c>
      <c r="M1440" s="42" t="inlineStr">
        <is>
          <t>개인</t>
        </is>
      </c>
      <c r="N1440" s="42" t="inlineStr">
        <is>
          <t>개인</t>
        </is>
      </c>
      <c r="O1440" s="41" t="inlineStr">
        <is>
          <t>1979</t>
        </is>
      </c>
      <c r="P1440" s="42" t="inlineStr">
        <is>
          <t>사임당로 130</t>
        </is>
      </c>
      <c r="Q1440" s="41" t="inlineStr">
        <is>
          <t>-</t>
        </is>
      </c>
      <c r="R1440" s="42" t="inlineStr">
        <is>
          <t>중개거래</t>
        </is>
      </c>
      <c r="S1440" s="42" t="inlineStr">
        <is>
          <t>서울 서초구</t>
        </is>
      </c>
      <c r="T1440" s="41" t="inlineStr">
        <is>
          <t>24.09.26</t>
        </is>
      </c>
      <c r="U1440" s="42" t="inlineStr">
        <is>
          <t>아파트</t>
        </is>
      </c>
    </row>
    <row r="1441" hidden="1" ht="14.25" customHeight="1">
      <c r="A1441" s="41" t="n">
        <v>908</v>
      </c>
      <c r="B1441" s="42" t="inlineStr">
        <is>
          <t>서울특별시 서초구 서초동</t>
        </is>
      </c>
      <c r="C1441" s="41" t="inlineStr">
        <is>
          <t>1362</t>
        </is>
      </c>
      <c r="D1441" s="41" t="inlineStr">
        <is>
          <t>1362</t>
        </is>
      </c>
      <c r="E1441" s="41" t="inlineStr">
        <is>
          <t>0000</t>
        </is>
      </c>
      <c r="F1441" s="42" t="inlineStr">
        <is>
          <t>두산위브(1362)</t>
        </is>
      </c>
      <c r="G1441" s="41" t="inlineStr">
        <is>
          <t>73.0800</t>
        </is>
      </c>
      <c r="H1441" s="41" t="inlineStr">
        <is>
          <t>202406</t>
        </is>
      </c>
      <c r="I1441" s="41" t="inlineStr">
        <is>
          <t>22</t>
        </is>
      </c>
      <c r="J1441" s="41" t="inlineStr">
        <is>
          <t>115,000</t>
        </is>
      </c>
      <c r="K1441" s="41" t="inlineStr">
        <is>
          <t>-</t>
        </is>
      </c>
      <c r="L1441" s="41" t="inlineStr">
        <is>
          <t>3</t>
        </is>
      </c>
      <c r="M1441" s="42" t="inlineStr">
        <is>
          <t>개인</t>
        </is>
      </c>
      <c r="N1441" s="42" t="inlineStr">
        <is>
          <t>개인</t>
        </is>
      </c>
      <c r="O1441" s="41" t="inlineStr">
        <is>
          <t>2005</t>
        </is>
      </c>
      <c r="P1441" s="42" t="inlineStr">
        <is>
          <t>강남대로39길 5</t>
        </is>
      </c>
      <c r="Q1441" s="41" t="inlineStr">
        <is>
          <t>-</t>
        </is>
      </c>
      <c r="R1441" s="42" t="inlineStr">
        <is>
          <t>중개거래</t>
        </is>
      </c>
      <c r="S1441" s="42" t="inlineStr">
        <is>
          <t>서울 서초구</t>
        </is>
      </c>
      <c r="T1441" s="41" t="inlineStr">
        <is>
          <t>24.10.31</t>
        </is>
      </c>
      <c r="U1441" s="42" t="inlineStr">
        <is>
          <t>아파트</t>
        </is>
      </c>
    </row>
    <row r="1442" hidden="1" ht="14.25" customHeight="1">
      <c r="A1442" s="41" t="n">
        <v>909</v>
      </c>
      <c r="B1442" s="42" t="inlineStr">
        <is>
          <t>서울특별시 서초구 서초동</t>
        </is>
      </c>
      <c r="C1442" s="41" t="inlineStr">
        <is>
          <t>1312-3</t>
        </is>
      </c>
      <c r="D1442" s="41" t="inlineStr">
        <is>
          <t>1312</t>
        </is>
      </c>
      <c r="E1442" s="41" t="inlineStr">
        <is>
          <t>0003</t>
        </is>
      </c>
      <c r="F1442" s="42" t="inlineStr">
        <is>
          <t>롯데캐슬클래식</t>
        </is>
      </c>
      <c r="G1442" s="41" t="inlineStr">
        <is>
          <t>74.3000</t>
        </is>
      </c>
      <c r="H1442" s="41" t="inlineStr">
        <is>
          <t>202406</t>
        </is>
      </c>
      <c r="I1442" s="41" t="inlineStr">
        <is>
          <t>21</t>
        </is>
      </c>
      <c r="J1442" s="41" t="inlineStr">
        <is>
          <t>219,500</t>
        </is>
      </c>
      <c r="K1442" s="41" t="inlineStr">
        <is>
          <t>112</t>
        </is>
      </c>
      <c r="L1442" s="41" t="inlineStr">
        <is>
          <t>25</t>
        </is>
      </c>
      <c r="M1442" s="42" t="inlineStr">
        <is>
          <t>개인</t>
        </is>
      </c>
      <c r="N1442" s="42" t="inlineStr">
        <is>
          <t>개인</t>
        </is>
      </c>
      <c r="O1442" s="41" t="inlineStr">
        <is>
          <t>2006</t>
        </is>
      </c>
      <c r="P1442" s="42" t="inlineStr">
        <is>
          <t>서운로 200</t>
        </is>
      </c>
      <c r="Q1442" s="41" t="inlineStr">
        <is>
          <t>-</t>
        </is>
      </c>
      <c r="R1442" s="42" t="inlineStr">
        <is>
          <t>중개거래</t>
        </is>
      </c>
      <c r="S1442" s="42" t="inlineStr">
        <is>
          <t>서울 서초구</t>
        </is>
      </c>
      <c r="T1442" s="41" t="inlineStr">
        <is>
          <t>24.10.25</t>
        </is>
      </c>
      <c r="U1442" s="42" t="inlineStr">
        <is>
          <t>아파트</t>
        </is>
      </c>
    </row>
    <row r="1443" hidden="1" ht="14.25" customHeight="1">
      <c r="A1443" s="41" t="n">
        <v>910</v>
      </c>
      <c r="B1443" s="42" t="inlineStr">
        <is>
          <t>서울특별시 서초구 서초동</t>
        </is>
      </c>
      <c r="C1443" s="41" t="inlineStr">
        <is>
          <t>1755</t>
        </is>
      </c>
      <c r="D1443" s="41" t="inlineStr">
        <is>
          <t>1755</t>
        </is>
      </c>
      <c r="E1443" s="41" t="inlineStr">
        <is>
          <t>0000</t>
        </is>
      </c>
      <c r="F1443" s="42" t="inlineStr">
        <is>
          <t>래미안 리더스원</t>
        </is>
      </c>
      <c r="G1443" s="41" t="inlineStr">
        <is>
          <t>59.9700</t>
        </is>
      </c>
      <c r="H1443" s="41" t="inlineStr">
        <is>
          <t>202406</t>
        </is>
      </c>
      <c r="I1443" s="41" t="inlineStr">
        <is>
          <t>21</t>
        </is>
      </c>
      <c r="J1443" s="41" t="inlineStr">
        <is>
          <t>238,000</t>
        </is>
      </c>
      <c r="K1443" s="41" t="inlineStr">
        <is>
          <t>106동</t>
        </is>
      </c>
      <c r="L1443" s="41" t="inlineStr">
        <is>
          <t>18</t>
        </is>
      </c>
      <c r="M1443" s="42" t="inlineStr">
        <is>
          <t>개인</t>
        </is>
      </c>
      <c r="N1443" s="42" t="inlineStr">
        <is>
          <t>개인</t>
        </is>
      </c>
      <c r="O1443" s="41" t="inlineStr">
        <is>
          <t>2020</t>
        </is>
      </c>
      <c r="P1443" s="42" t="inlineStr">
        <is>
          <t>서운로 62</t>
        </is>
      </c>
      <c r="Q1443" s="41" t="inlineStr">
        <is>
          <t>-</t>
        </is>
      </c>
      <c r="R1443" s="42" t="inlineStr">
        <is>
          <t>중개거래</t>
        </is>
      </c>
      <c r="S1443" s="42" t="inlineStr">
        <is>
          <t>서울 서초구</t>
        </is>
      </c>
      <c r="T1443" s="41" t="inlineStr">
        <is>
          <t>24.10.14</t>
        </is>
      </c>
      <c r="U1443" s="42" t="inlineStr">
        <is>
          <t>아파트</t>
        </is>
      </c>
    </row>
    <row r="1444" hidden="1" ht="14.25" customHeight="1">
      <c r="A1444" s="41" t="n">
        <v>911</v>
      </c>
      <c r="B1444" s="42" t="inlineStr">
        <is>
          <t>서울특별시 서초구 서초동</t>
        </is>
      </c>
      <c r="C1444" s="41" t="inlineStr">
        <is>
          <t>1311-10</t>
        </is>
      </c>
      <c r="D1444" s="41" t="inlineStr">
        <is>
          <t>1311</t>
        </is>
      </c>
      <c r="E1444" s="41" t="inlineStr">
        <is>
          <t>0010</t>
        </is>
      </c>
      <c r="F1444" s="42" t="inlineStr">
        <is>
          <t>서초푸르지오써밋</t>
        </is>
      </c>
      <c r="G1444" s="41" t="inlineStr">
        <is>
          <t>84.9500</t>
        </is>
      </c>
      <c r="H1444" s="41" t="inlineStr">
        <is>
          <t>202406</t>
        </is>
      </c>
      <c r="I1444" s="41" t="inlineStr">
        <is>
          <t>20</t>
        </is>
      </c>
      <c r="J1444" s="41" t="inlineStr">
        <is>
          <t>279,000</t>
        </is>
      </c>
      <c r="K1444" s="41" t="inlineStr">
        <is>
          <t>103</t>
        </is>
      </c>
      <c r="L1444" s="41" t="inlineStr">
        <is>
          <t>27</t>
        </is>
      </c>
      <c r="M1444" s="42" t="inlineStr">
        <is>
          <t>개인</t>
        </is>
      </c>
      <c r="N1444" s="42" t="inlineStr">
        <is>
          <t>개인</t>
        </is>
      </c>
      <c r="O1444" s="41" t="inlineStr">
        <is>
          <t>2017</t>
        </is>
      </c>
      <c r="P1444" s="42" t="inlineStr">
        <is>
          <t>서운로 201</t>
        </is>
      </c>
      <c r="Q1444" s="41" t="inlineStr">
        <is>
          <t>-</t>
        </is>
      </c>
      <c r="R1444" s="42" t="inlineStr">
        <is>
          <t>중개거래</t>
        </is>
      </c>
      <c r="S1444" s="42" t="inlineStr">
        <is>
          <t>서울 서초구</t>
        </is>
      </c>
      <c r="T1444" s="41" t="inlineStr">
        <is>
          <t>25.08.28</t>
        </is>
      </c>
      <c r="U1444" s="42" t="inlineStr">
        <is>
          <t>아파트</t>
        </is>
      </c>
    </row>
    <row r="1445" hidden="1" ht="14.25" customHeight="1">
      <c r="A1445" s="41" t="n">
        <v>912</v>
      </c>
      <c r="B1445" s="42" t="inlineStr">
        <is>
          <t>서울특별시 서초구 서초동</t>
        </is>
      </c>
      <c r="C1445" s="41" t="inlineStr">
        <is>
          <t>1344-13</t>
        </is>
      </c>
      <c r="D1445" s="41" t="inlineStr">
        <is>
          <t>1344</t>
        </is>
      </c>
      <c r="E1445" s="41" t="inlineStr">
        <is>
          <t>0013</t>
        </is>
      </c>
      <c r="F1445" s="42" t="inlineStr">
        <is>
          <t>서초트라팰리스</t>
        </is>
      </c>
      <c r="G1445" s="41" t="inlineStr">
        <is>
          <t>73.4200</t>
        </is>
      </c>
      <c r="H1445" s="41" t="inlineStr">
        <is>
          <t>202406</t>
        </is>
      </c>
      <c r="I1445" s="41" t="inlineStr">
        <is>
          <t>20</t>
        </is>
      </c>
      <c r="J1445" s="41" t="inlineStr">
        <is>
          <t>120,000</t>
        </is>
      </c>
      <c r="K1445" s="41" t="inlineStr">
        <is>
          <t>B</t>
        </is>
      </c>
      <c r="L1445" s="41" t="inlineStr">
        <is>
          <t>2</t>
        </is>
      </c>
      <c r="M1445" s="42" t="inlineStr">
        <is>
          <t>개인</t>
        </is>
      </c>
      <c r="N1445" s="42" t="inlineStr">
        <is>
          <t>개인</t>
        </is>
      </c>
      <c r="O1445" s="41" t="inlineStr">
        <is>
          <t>2005</t>
        </is>
      </c>
      <c r="P1445" s="42" t="inlineStr">
        <is>
          <t>효령로72길 57</t>
        </is>
      </c>
      <c r="Q1445" s="41" t="inlineStr">
        <is>
          <t>-</t>
        </is>
      </c>
      <c r="R1445" s="42" t="inlineStr">
        <is>
          <t>중개거래</t>
        </is>
      </c>
      <c r="S1445" s="42" t="inlineStr">
        <is>
          <t>서울 서초구</t>
        </is>
      </c>
      <c r="T1445" s="41" t="inlineStr">
        <is>
          <t>24.09.02</t>
        </is>
      </c>
      <c r="U1445" s="42" t="inlineStr">
        <is>
          <t>아파트</t>
        </is>
      </c>
    </row>
    <row r="1446" hidden="1" ht="14.25" customHeight="1">
      <c r="A1446" s="41" t="n">
        <v>913</v>
      </c>
      <c r="B1446" s="42" t="inlineStr">
        <is>
          <t>서울특별시 서초구 서초동</t>
        </is>
      </c>
      <c r="C1446" s="41" t="inlineStr">
        <is>
          <t>1333</t>
        </is>
      </c>
      <c r="D1446" s="41" t="inlineStr">
        <is>
          <t>1333</t>
        </is>
      </c>
      <c r="E1446" s="41" t="inlineStr">
        <is>
          <t>0000</t>
        </is>
      </c>
      <c r="F1446" s="42" t="inlineStr">
        <is>
          <t>신동아아파트(1차)</t>
        </is>
      </c>
      <c r="G1446" s="41" t="inlineStr">
        <is>
          <t>75.8600</t>
        </is>
      </c>
      <c r="H1446" s="41" t="inlineStr">
        <is>
          <t>202406</t>
        </is>
      </c>
      <c r="I1446" s="41" t="inlineStr">
        <is>
          <t>19</t>
        </is>
      </c>
      <c r="J1446" s="41" t="inlineStr">
        <is>
          <t>185,000</t>
        </is>
      </c>
      <c r="K1446" s="41" t="inlineStr">
        <is>
          <t>1</t>
        </is>
      </c>
      <c r="L1446" s="41" t="inlineStr">
        <is>
          <t>8</t>
        </is>
      </c>
      <c r="M1446" s="42" t="inlineStr">
        <is>
          <t>개인</t>
        </is>
      </c>
      <c r="N1446" s="42" t="inlineStr">
        <is>
          <t>개인</t>
        </is>
      </c>
      <c r="O1446" s="41" t="inlineStr">
        <is>
          <t>1978</t>
        </is>
      </c>
      <c r="P1446" s="42" t="inlineStr">
        <is>
          <t>사임당로 137</t>
        </is>
      </c>
      <c r="Q1446" s="41" t="inlineStr">
        <is>
          <t>-</t>
        </is>
      </c>
      <c r="R1446" s="42" t="inlineStr">
        <is>
          <t>중개거래</t>
        </is>
      </c>
      <c r="S1446" s="42" t="inlineStr">
        <is>
          <t>서울 서초구</t>
        </is>
      </c>
      <c r="T1446" s="41" t="inlineStr">
        <is>
          <t>24.09.04</t>
        </is>
      </c>
      <c r="U1446" s="42" t="inlineStr">
        <is>
          <t>아파트</t>
        </is>
      </c>
    </row>
    <row r="1447" hidden="1" ht="14.25" customHeight="1">
      <c r="A1447" s="41" t="n">
        <v>914</v>
      </c>
      <c r="B1447" s="42" t="inlineStr">
        <is>
          <t>서울특별시 서초구 서초동</t>
        </is>
      </c>
      <c r="C1447" s="41" t="inlineStr">
        <is>
          <t>1315</t>
        </is>
      </c>
      <c r="D1447" s="41" t="inlineStr">
        <is>
          <t>1315</t>
        </is>
      </c>
      <c r="E1447" s="41" t="inlineStr">
        <is>
          <t>0000</t>
        </is>
      </c>
      <c r="F1447" s="42" t="inlineStr">
        <is>
          <t>진흥아파트</t>
        </is>
      </c>
      <c r="G1447" s="41" t="inlineStr">
        <is>
          <t>160.4600</t>
        </is>
      </c>
      <c r="H1447" s="41" t="inlineStr">
        <is>
          <t>202406</t>
        </is>
      </c>
      <c r="I1447" s="41" t="inlineStr">
        <is>
          <t>19</t>
        </is>
      </c>
      <c r="J1447" s="41" t="inlineStr">
        <is>
          <t>326,000</t>
        </is>
      </c>
      <c r="K1447" s="41" t="inlineStr">
        <is>
          <t>6</t>
        </is>
      </c>
      <c r="L1447" s="41" t="inlineStr">
        <is>
          <t>7</t>
        </is>
      </c>
      <c r="M1447" s="42" t="inlineStr">
        <is>
          <t>개인</t>
        </is>
      </c>
      <c r="N1447" s="42" t="inlineStr">
        <is>
          <t>개인</t>
        </is>
      </c>
      <c r="O1447" s="41" t="inlineStr">
        <is>
          <t>1979</t>
        </is>
      </c>
      <c r="P1447" s="42" t="inlineStr">
        <is>
          <t>서초대로 385</t>
        </is>
      </c>
      <c r="Q1447" s="41" t="inlineStr">
        <is>
          <t>-</t>
        </is>
      </c>
      <c r="R1447" s="42" t="inlineStr">
        <is>
          <t>중개거래</t>
        </is>
      </c>
      <c r="S1447" s="42" t="inlineStr">
        <is>
          <t>서울 서초구</t>
        </is>
      </c>
      <c r="T1447" s="41" t="inlineStr">
        <is>
          <t>24.09.19</t>
        </is>
      </c>
      <c r="U1447" s="42" t="inlineStr">
        <is>
          <t>아파트</t>
        </is>
      </c>
    </row>
    <row r="1448" hidden="1" ht="14.25" customHeight="1">
      <c r="A1448" s="41" t="n">
        <v>915</v>
      </c>
      <c r="B1448" s="42" t="inlineStr">
        <is>
          <t>서울특별시 서초구 서초동</t>
        </is>
      </c>
      <c r="C1448" s="41" t="inlineStr">
        <is>
          <t>1333</t>
        </is>
      </c>
      <c r="D1448" s="41" t="inlineStr">
        <is>
          <t>1333</t>
        </is>
      </c>
      <c r="E1448" s="41" t="inlineStr">
        <is>
          <t>0000</t>
        </is>
      </c>
      <c r="F1448" s="42" t="inlineStr">
        <is>
          <t>신동아아파트(1차)</t>
        </is>
      </c>
      <c r="G1448" s="41" t="inlineStr">
        <is>
          <t>75.8600</t>
        </is>
      </c>
      <c r="H1448" s="41" t="inlineStr">
        <is>
          <t>202406</t>
        </is>
      </c>
      <c r="I1448" s="41" t="inlineStr">
        <is>
          <t>19</t>
        </is>
      </c>
      <c r="J1448" s="41" t="inlineStr">
        <is>
          <t>185,000</t>
        </is>
      </c>
      <c r="K1448" s="41" t="inlineStr">
        <is>
          <t>-</t>
        </is>
      </c>
      <c r="L1448" s="41" t="inlineStr">
        <is>
          <t>8</t>
        </is>
      </c>
      <c r="M1448" s="42" t="inlineStr">
        <is>
          <t>개인</t>
        </is>
      </c>
      <c r="N1448" s="42" t="inlineStr">
        <is>
          <t>개인</t>
        </is>
      </c>
      <c r="O1448" s="41" t="inlineStr">
        <is>
          <t>1978</t>
        </is>
      </c>
      <c r="P1448" s="42" t="inlineStr">
        <is>
          <t>사임당로 137</t>
        </is>
      </c>
      <c r="Q1448" s="41" t="inlineStr">
        <is>
          <t>20240715</t>
        </is>
      </c>
      <c r="R1448" s="42" t="inlineStr">
        <is>
          <t>중개거래</t>
        </is>
      </c>
      <c r="S1448" s="42" t="inlineStr">
        <is>
          <t>서울 서초구</t>
        </is>
      </c>
      <c r="T1448" s="41" t="inlineStr">
        <is>
          <t>-</t>
        </is>
      </c>
      <c r="U1448" s="42" t="inlineStr">
        <is>
          <t>아파트</t>
        </is>
      </c>
    </row>
    <row r="1449" hidden="1" ht="14.25" customHeight="1">
      <c r="A1449" s="41" t="n">
        <v>916</v>
      </c>
      <c r="B1449" s="42" t="inlineStr">
        <is>
          <t>서울특별시 서초구 서초동</t>
        </is>
      </c>
      <c r="C1449" s="41" t="inlineStr">
        <is>
          <t>1685</t>
        </is>
      </c>
      <c r="D1449" s="41" t="inlineStr">
        <is>
          <t>1685</t>
        </is>
      </c>
      <c r="E1449" s="41" t="inlineStr">
        <is>
          <t>0000</t>
        </is>
      </c>
      <c r="F1449" s="42" t="inlineStr">
        <is>
          <t>삼풍아파트</t>
        </is>
      </c>
      <c r="G1449" s="41" t="inlineStr">
        <is>
          <t>130.7300</t>
        </is>
      </c>
      <c r="H1449" s="41" t="inlineStr">
        <is>
          <t>202406</t>
        </is>
      </c>
      <c r="I1449" s="41" t="inlineStr">
        <is>
          <t>19</t>
        </is>
      </c>
      <c r="J1449" s="41" t="inlineStr">
        <is>
          <t>332,500</t>
        </is>
      </c>
      <c r="K1449" s="41" t="inlineStr">
        <is>
          <t>10</t>
        </is>
      </c>
      <c r="L1449" s="41" t="inlineStr">
        <is>
          <t>14</t>
        </is>
      </c>
      <c r="M1449" s="42" t="inlineStr">
        <is>
          <t>개인</t>
        </is>
      </c>
      <c r="N1449" s="42" t="inlineStr">
        <is>
          <t>개인</t>
        </is>
      </c>
      <c r="O1449" s="41" t="inlineStr">
        <is>
          <t>1988</t>
        </is>
      </c>
      <c r="P1449" s="42" t="inlineStr">
        <is>
          <t>서초중앙로 200</t>
        </is>
      </c>
      <c r="Q1449" s="41" t="inlineStr">
        <is>
          <t>-</t>
        </is>
      </c>
      <c r="R1449" s="42" t="inlineStr">
        <is>
          <t>중개거래</t>
        </is>
      </c>
      <c r="S1449" s="42" t="inlineStr">
        <is>
          <t>서울 서초구</t>
        </is>
      </c>
      <c r="T1449" s="41" t="inlineStr">
        <is>
          <t>24.08.16</t>
        </is>
      </c>
      <c r="U1449" s="42" t="inlineStr">
        <is>
          <t>아파트</t>
        </is>
      </c>
    </row>
    <row r="1450" hidden="1" ht="14.25" customHeight="1">
      <c r="A1450" s="41" t="n">
        <v>917</v>
      </c>
      <c r="B1450" s="42" t="inlineStr">
        <is>
          <t>서울특별시 서초구 서초동</t>
        </is>
      </c>
      <c r="C1450" s="41" t="inlineStr">
        <is>
          <t>1685-3</t>
        </is>
      </c>
      <c r="D1450" s="41" t="inlineStr">
        <is>
          <t>1685</t>
        </is>
      </c>
      <c r="E1450" s="41" t="inlineStr">
        <is>
          <t>0003</t>
        </is>
      </c>
      <c r="F1450" s="42" t="inlineStr">
        <is>
          <t>아크로비스타</t>
        </is>
      </c>
      <c r="G1450" s="41" t="inlineStr">
        <is>
          <t>149.1700</t>
        </is>
      </c>
      <c r="H1450" s="41" t="inlineStr">
        <is>
          <t>202406</t>
        </is>
      </c>
      <c r="I1450" s="41" t="inlineStr">
        <is>
          <t>19</t>
        </is>
      </c>
      <c r="J1450" s="41" t="inlineStr">
        <is>
          <t>307,000</t>
        </is>
      </c>
      <c r="K1450" s="41" t="inlineStr">
        <is>
          <t>B</t>
        </is>
      </c>
      <c r="L1450" s="41" t="inlineStr">
        <is>
          <t>34</t>
        </is>
      </c>
      <c r="M1450" s="42" t="inlineStr">
        <is>
          <t>개인</t>
        </is>
      </c>
      <c r="N1450" s="42" t="inlineStr">
        <is>
          <t>개인</t>
        </is>
      </c>
      <c r="O1450" s="41" t="inlineStr">
        <is>
          <t>2004</t>
        </is>
      </c>
      <c r="P1450" s="42" t="inlineStr">
        <is>
          <t>서초중앙로 188</t>
        </is>
      </c>
      <c r="Q1450" s="41" t="inlineStr">
        <is>
          <t>-</t>
        </is>
      </c>
      <c r="R1450" s="42" t="inlineStr">
        <is>
          <t>중개거래</t>
        </is>
      </c>
      <c r="S1450" s="42" t="inlineStr">
        <is>
          <t>서울 서초구</t>
        </is>
      </c>
      <c r="T1450" s="41" t="inlineStr">
        <is>
          <t>24.08.16</t>
        </is>
      </c>
      <c r="U1450" s="42" t="inlineStr">
        <is>
          <t>아파트</t>
        </is>
      </c>
    </row>
    <row r="1451" hidden="1" ht="14.25" customHeight="1">
      <c r="A1451" s="41" t="n">
        <v>918</v>
      </c>
      <c r="B1451" s="42" t="inlineStr">
        <is>
          <t>서울특별시 서초구 서초동</t>
        </is>
      </c>
      <c r="C1451" s="41" t="inlineStr">
        <is>
          <t>1344-23</t>
        </is>
      </c>
      <c r="D1451" s="41" t="inlineStr">
        <is>
          <t>1344</t>
        </is>
      </c>
      <c r="E1451" s="41" t="inlineStr">
        <is>
          <t>0023</t>
        </is>
      </c>
      <c r="F1451" s="42" t="inlineStr">
        <is>
          <t>서초자연인아파트(102동)</t>
        </is>
      </c>
      <c r="G1451" s="41" t="inlineStr">
        <is>
          <t>37.4500</t>
        </is>
      </c>
      <c r="H1451" s="41" t="inlineStr">
        <is>
          <t>202406</t>
        </is>
      </c>
      <c r="I1451" s="41" t="inlineStr">
        <is>
          <t>19</t>
        </is>
      </c>
      <c r="J1451" s="41" t="inlineStr">
        <is>
          <t>40,000</t>
        </is>
      </c>
      <c r="K1451" s="41" t="inlineStr">
        <is>
          <t>-</t>
        </is>
      </c>
      <c r="L1451" s="41" t="inlineStr">
        <is>
          <t>4</t>
        </is>
      </c>
      <c r="M1451" s="42" t="inlineStr">
        <is>
          <t>개인</t>
        </is>
      </c>
      <c r="N1451" s="42" t="inlineStr">
        <is>
          <t>법인</t>
        </is>
      </c>
      <c r="O1451" s="41" t="inlineStr">
        <is>
          <t>2013</t>
        </is>
      </c>
      <c r="P1451" s="42" t="inlineStr">
        <is>
          <t>서운로9길 18</t>
        </is>
      </c>
      <c r="Q1451" s="41" t="inlineStr">
        <is>
          <t>-</t>
        </is>
      </c>
      <c r="R1451" s="42" t="inlineStr">
        <is>
          <t>중개거래</t>
        </is>
      </c>
      <c r="S1451" s="42" t="inlineStr">
        <is>
          <t>서울 서초구</t>
        </is>
      </c>
      <c r="T1451" s="41" t="inlineStr">
        <is>
          <t>24.08.20</t>
        </is>
      </c>
      <c r="U1451" s="42" t="inlineStr">
        <is>
          <t>아파트</t>
        </is>
      </c>
    </row>
    <row r="1452" hidden="1" ht="14.25" customHeight="1">
      <c r="A1452" s="41" t="n">
        <v>919</v>
      </c>
      <c r="B1452" s="42" t="inlineStr">
        <is>
          <t>서울특별시 서초구 서초동</t>
        </is>
      </c>
      <c r="C1452" s="41" t="inlineStr">
        <is>
          <t>1312-3</t>
        </is>
      </c>
      <c r="D1452" s="41" t="inlineStr">
        <is>
          <t>1312</t>
        </is>
      </c>
      <c r="E1452" s="41" t="inlineStr">
        <is>
          <t>0003</t>
        </is>
      </c>
      <c r="F1452" s="42" t="inlineStr">
        <is>
          <t>롯데캐슬클래식</t>
        </is>
      </c>
      <c r="G1452" s="41" t="inlineStr">
        <is>
          <t>84.9800</t>
        </is>
      </c>
      <c r="H1452" s="41" t="inlineStr">
        <is>
          <t>202406</t>
        </is>
      </c>
      <c r="I1452" s="41" t="inlineStr">
        <is>
          <t>18</t>
        </is>
      </c>
      <c r="J1452" s="41" t="inlineStr">
        <is>
          <t>234,000</t>
        </is>
      </c>
      <c r="K1452" s="41" t="inlineStr">
        <is>
          <t>101</t>
        </is>
      </c>
      <c r="L1452" s="41" t="inlineStr">
        <is>
          <t>6</t>
        </is>
      </c>
      <c r="M1452" s="42" t="inlineStr">
        <is>
          <t>개인</t>
        </is>
      </c>
      <c r="N1452" s="42" t="inlineStr">
        <is>
          <t>개인</t>
        </is>
      </c>
      <c r="O1452" s="41" t="inlineStr">
        <is>
          <t>2006</t>
        </is>
      </c>
      <c r="P1452" s="42" t="inlineStr">
        <is>
          <t>서운로 197</t>
        </is>
      </c>
      <c r="Q1452" s="41" t="inlineStr">
        <is>
          <t>-</t>
        </is>
      </c>
      <c r="R1452" s="42" t="inlineStr">
        <is>
          <t>중개거래</t>
        </is>
      </c>
      <c r="S1452" s="42" t="inlineStr">
        <is>
          <t>서울 서초구</t>
        </is>
      </c>
      <c r="T1452" s="41" t="inlineStr">
        <is>
          <t>24.08.19</t>
        </is>
      </c>
      <c r="U1452" s="42" t="inlineStr">
        <is>
          <t>아파트</t>
        </is>
      </c>
    </row>
    <row r="1453" hidden="1" ht="14.25" customHeight="1">
      <c r="A1453" s="41" t="n">
        <v>920</v>
      </c>
      <c r="B1453" s="42" t="inlineStr">
        <is>
          <t>서울특별시 서초구 서초동</t>
        </is>
      </c>
      <c r="C1453" s="41" t="inlineStr">
        <is>
          <t>1685-3</t>
        </is>
      </c>
      <c r="D1453" s="41" t="inlineStr">
        <is>
          <t>1685</t>
        </is>
      </c>
      <c r="E1453" s="41" t="inlineStr">
        <is>
          <t>0003</t>
        </is>
      </c>
      <c r="F1453" s="42" t="inlineStr">
        <is>
          <t>아크로비스타</t>
        </is>
      </c>
      <c r="G1453" s="41" t="inlineStr">
        <is>
          <t>138.9600</t>
        </is>
      </c>
      <c r="H1453" s="41" t="inlineStr">
        <is>
          <t>202406</t>
        </is>
      </c>
      <c r="I1453" s="41" t="inlineStr">
        <is>
          <t>18</t>
        </is>
      </c>
      <c r="J1453" s="41" t="inlineStr">
        <is>
          <t>287,000</t>
        </is>
      </c>
      <c r="K1453" s="41" t="inlineStr">
        <is>
          <t>B</t>
        </is>
      </c>
      <c r="L1453" s="41" t="inlineStr">
        <is>
          <t>22</t>
        </is>
      </c>
      <c r="M1453" s="42" t="inlineStr">
        <is>
          <t>개인</t>
        </is>
      </c>
      <c r="N1453" s="42" t="inlineStr">
        <is>
          <t>개인</t>
        </is>
      </c>
      <c r="O1453" s="41" t="inlineStr">
        <is>
          <t>2004</t>
        </is>
      </c>
      <c r="P1453" s="42" t="inlineStr">
        <is>
          <t>서초중앙로 188</t>
        </is>
      </c>
      <c r="Q1453" s="41" t="inlineStr">
        <is>
          <t>-</t>
        </is>
      </c>
      <c r="R1453" s="42" t="inlineStr">
        <is>
          <t>중개거래</t>
        </is>
      </c>
      <c r="S1453" s="42" t="inlineStr">
        <is>
          <t>경기 부천시 원미구, 서울 서초구</t>
        </is>
      </c>
      <c r="T1453" s="41" t="inlineStr">
        <is>
          <t>24.08.12</t>
        </is>
      </c>
      <c r="U1453" s="42" t="inlineStr">
        <is>
          <t>아파트</t>
        </is>
      </c>
    </row>
    <row r="1454" hidden="1" ht="14.25" customHeight="1">
      <c r="A1454" s="41" t="n">
        <v>921</v>
      </c>
      <c r="B1454" s="42" t="inlineStr">
        <is>
          <t>서울특별시 서초구 서초동</t>
        </is>
      </c>
      <c r="C1454" s="41" t="inlineStr">
        <is>
          <t>1513-2</t>
        </is>
      </c>
      <c r="D1454" s="41" t="inlineStr">
        <is>
          <t>1513</t>
        </is>
      </c>
      <c r="E1454" s="41" t="inlineStr">
        <is>
          <t>0002</t>
        </is>
      </c>
      <c r="F1454" s="41" t="inlineStr">
        <is>
          <t>N-Suite(1513-2)</t>
        </is>
      </c>
      <c r="G1454" s="41" t="inlineStr">
        <is>
          <t>112.3500</t>
        </is>
      </c>
      <c r="H1454" s="41" t="inlineStr">
        <is>
          <t>202406</t>
        </is>
      </c>
      <c r="I1454" s="41" t="inlineStr">
        <is>
          <t>18</t>
        </is>
      </c>
      <c r="J1454" s="41" t="inlineStr">
        <is>
          <t>148,000</t>
        </is>
      </c>
      <c r="K1454" s="41" t="inlineStr">
        <is>
          <t>-</t>
        </is>
      </c>
      <c r="L1454" s="41" t="inlineStr">
        <is>
          <t>6</t>
        </is>
      </c>
      <c r="M1454" s="42" t="inlineStr">
        <is>
          <t>개인</t>
        </is>
      </c>
      <c r="N1454" s="42" t="inlineStr">
        <is>
          <t>개인</t>
        </is>
      </c>
      <c r="O1454" s="41" t="inlineStr">
        <is>
          <t>2004</t>
        </is>
      </c>
      <c r="P1454" s="42" t="inlineStr">
        <is>
          <t>명달로22길 42</t>
        </is>
      </c>
      <c r="Q1454" s="41" t="inlineStr">
        <is>
          <t>20240813</t>
        </is>
      </c>
      <c r="R1454" s="42" t="inlineStr">
        <is>
          <t>중개거래</t>
        </is>
      </c>
      <c r="S1454" s="42" t="inlineStr">
        <is>
          <t>서울 서초구</t>
        </is>
      </c>
      <c r="T1454" s="41" t="inlineStr">
        <is>
          <t>-</t>
        </is>
      </c>
      <c r="U1454" s="42" t="inlineStr">
        <is>
          <t>아파트</t>
        </is>
      </c>
    </row>
    <row r="1455" hidden="1" ht="14.25" customHeight="1">
      <c r="A1455" s="41" t="n">
        <v>922</v>
      </c>
      <c r="B1455" s="42" t="inlineStr">
        <is>
          <t>서울특별시 서초구 서초동</t>
        </is>
      </c>
      <c r="C1455" s="41" t="inlineStr">
        <is>
          <t>1513-2</t>
        </is>
      </c>
      <c r="D1455" s="41" t="inlineStr">
        <is>
          <t>1513</t>
        </is>
      </c>
      <c r="E1455" s="41" t="inlineStr">
        <is>
          <t>0002</t>
        </is>
      </c>
      <c r="F1455" s="41" t="inlineStr">
        <is>
          <t>N-Suite(1513-2)</t>
        </is>
      </c>
      <c r="G1455" s="41" t="inlineStr">
        <is>
          <t>112.3500</t>
        </is>
      </c>
      <c r="H1455" s="41" t="inlineStr">
        <is>
          <t>202406</t>
        </is>
      </c>
      <c r="I1455" s="41" t="inlineStr">
        <is>
          <t>18</t>
        </is>
      </c>
      <c r="J1455" s="41" t="inlineStr">
        <is>
          <t>148,000</t>
        </is>
      </c>
      <c r="K1455" s="41" t="inlineStr">
        <is>
          <t>2차</t>
        </is>
      </c>
      <c r="L1455" s="41" t="inlineStr">
        <is>
          <t>6</t>
        </is>
      </c>
      <c r="M1455" s="42" t="inlineStr">
        <is>
          <t>개인</t>
        </is>
      </c>
      <c r="N1455" s="42" t="inlineStr">
        <is>
          <t>개인</t>
        </is>
      </c>
      <c r="O1455" s="41" t="inlineStr">
        <is>
          <t>2004</t>
        </is>
      </c>
      <c r="P1455" s="42" t="inlineStr">
        <is>
          <t>명달로22길 42</t>
        </is>
      </c>
      <c r="Q1455" s="41" t="inlineStr">
        <is>
          <t>-</t>
        </is>
      </c>
      <c r="R1455" s="42" t="inlineStr">
        <is>
          <t>중개거래</t>
        </is>
      </c>
      <c r="S1455" s="42" t="inlineStr">
        <is>
          <t>서울 서초구</t>
        </is>
      </c>
      <c r="T1455" s="41" t="inlineStr">
        <is>
          <t>24.08.26</t>
        </is>
      </c>
      <c r="U1455" s="42" t="inlineStr">
        <is>
          <t>아파트</t>
        </is>
      </c>
    </row>
    <row r="1456" hidden="1" ht="14.25" customHeight="1">
      <c r="A1456" s="41" t="n">
        <v>923</v>
      </c>
      <c r="B1456" s="42" t="inlineStr">
        <is>
          <t>서울특별시 서초구 서초동</t>
        </is>
      </c>
      <c r="C1456" s="41" t="inlineStr">
        <is>
          <t>1312-3</t>
        </is>
      </c>
      <c r="D1456" s="41" t="inlineStr">
        <is>
          <t>1312</t>
        </is>
      </c>
      <c r="E1456" s="41" t="inlineStr">
        <is>
          <t>0003</t>
        </is>
      </c>
      <c r="F1456" s="42" t="inlineStr">
        <is>
          <t>롯데캐슬클래식</t>
        </is>
      </c>
      <c r="G1456" s="41" t="inlineStr">
        <is>
          <t>74.3000</t>
        </is>
      </c>
      <c r="H1456" s="41" t="inlineStr">
        <is>
          <t>202406</t>
        </is>
      </c>
      <c r="I1456" s="41" t="inlineStr">
        <is>
          <t>18</t>
        </is>
      </c>
      <c r="J1456" s="41" t="inlineStr">
        <is>
          <t>210,000</t>
        </is>
      </c>
      <c r="K1456" s="41" t="inlineStr">
        <is>
          <t>114</t>
        </is>
      </c>
      <c r="L1456" s="41" t="inlineStr">
        <is>
          <t>12</t>
        </is>
      </c>
      <c r="M1456" s="42" t="inlineStr">
        <is>
          <t>개인</t>
        </is>
      </c>
      <c r="N1456" s="42" t="inlineStr">
        <is>
          <t>개인</t>
        </is>
      </c>
      <c r="O1456" s="41" t="inlineStr">
        <is>
          <t>2006</t>
        </is>
      </c>
      <c r="P1456" s="42" t="inlineStr">
        <is>
          <t>서운로 200</t>
        </is>
      </c>
      <c r="Q1456" s="41" t="inlineStr">
        <is>
          <t>-</t>
        </is>
      </c>
      <c r="R1456" s="42" t="inlineStr">
        <is>
          <t>중개거래</t>
        </is>
      </c>
      <c r="S1456" s="42" t="inlineStr">
        <is>
          <t>서울 서초구</t>
        </is>
      </c>
      <c r="T1456" s="41" t="inlineStr">
        <is>
          <t>24.11.08</t>
        </is>
      </c>
      <c r="U1456" s="42" t="inlineStr">
        <is>
          <t>아파트</t>
        </is>
      </c>
    </row>
    <row r="1457" hidden="1" ht="14.25" customHeight="1">
      <c r="A1457" s="41" t="n">
        <v>924</v>
      </c>
      <c r="B1457" s="42" t="inlineStr">
        <is>
          <t>서울특별시 서초구 서초동</t>
        </is>
      </c>
      <c r="C1457" s="41" t="inlineStr">
        <is>
          <t>1316-31</t>
        </is>
      </c>
      <c r="D1457" s="41" t="inlineStr">
        <is>
          <t>1316</t>
        </is>
      </c>
      <c r="E1457" s="41" t="inlineStr">
        <is>
          <t>0031</t>
        </is>
      </c>
      <c r="F1457" s="42" t="inlineStr">
        <is>
          <t>밀라텔쉐르빌</t>
        </is>
      </c>
      <c r="G1457" s="41" t="inlineStr">
        <is>
          <t>50.2800</t>
        </is>
      </c>
      <c r="H1457" s="41" t="inlineStr">
        <is>
          <t>202406</t>
        </is>
      </c>
      <c r="I1457" s="41" t="inlineStr">
        <is>
          <t>17</t>
        </is>
      </c>
      <c r="J1457" s="41" t="inlineStr">
        <is>
          <t>70,700</t>
        </is>
      </c>
      <c r="K1457" s="41" t="inlineStr">
        <is>
          <t>-</t>
        </is>
      </c>
      <c r="L1457" s="41" t="inlineStr">
        <is>
          <t>8</t>
        </is>
      </c>
      <c r="M1457" s="42" t="inlineStr">
        <is>
          <t>개인</t>
        </is>
      </c>
      <c r="N1457" s="42" t="inlineStr">
        <is>
          <t>개인</t>
        </is>
      </c>
      <c r="O1457" s="41" t="inlineStr">
        <is>
          <t>2001</t>
        </is>
      </c>
      <c r="P1457" s="42" t="inlineStr">
        <is>
          <t>강남대로61길 17</t>
        </is>
      </c>
      <c r="Q1457" s="41" t="inlineStr">
        <is>
          <t>-</t>
        </is>
      </c>
      <c r="R1457" s="42" t="inlineStr">
        <is>
          <t>중개거래</t>
        </is>
      </c>
      <c r="S1457" s="42" t="inlineStr">
        <is>
          <t>서울 서초구</t>
        </is>
      </c>
      <c r="T1457" s="41" t="inlineStr">
        <is>
          <t>24.09.09</t>
        </is>
      </c>
      <c r="U1457" s="42" t="inlineStr">
        <is>
          <t>아파트</t>
        </is>
      </c>
    </row>
    <row r="1458" hidden="1" ht="14.25" customHeight="1">
      <c r="A1458" s="41" t="n">
        <v>925</v>
      </c>
      <c r="B1458" s="42" t="inlineStr">
        <is>
          <t>서울특별시 서초구 서초동</t>
        </is>
      </c>
      <c r="C1458" s="41" t="inlineStr">
        <is>
          <t>1330</t>
        </is>
      </c>
      <c r="D1458" s="41" t="inlineStr">
        <is>
          <t>1330</t>
        </is>
      </c>
      <c r="E1458" s="41" t="inlineStr">
        <is>
          <t>0000</t>
        </is>
      </c>
      <c r="F1458" s="42" t="inlineStr">
        <is>
          <t>서초동삼성쉐르빌2</t>
        </is>
      </c>
      <c r="G1458" s="41" t="inlineStr">
        <is>
          <t>70.4900</t>
        </is>
      </c>
      <c r="H1458" s="41" t="inlineStr">
        <is>
          <t>202406</t>
        </is>
      </c>
      <c r="I1458" s="41" t="inlineStr">
        <is>
          <t>17</t>
        </is>
      </c>
      <c r="J1458" s="41" t="inlineStr">
        <is>
          <t>92,500</t>
        </is>
      </c>
      <c r="K1458" s="41" t="inlineStr">
        <is>
          <t>-</t>
        </is>
      </c>
      <c r="L1458" s="41" t="inlineStr">
        <is>
          <t>16</t>
        </is>
      </c>
      <c r="M1458" s="42" t="inlineStr">
        <is>
          <t>개인</t>
        </is>
      </c>
      <c r="N1458" s="42" t="inlineStr">
        <is>
          <t>개인</t>
        </is>
      </c>
      <c r="O1458" s="41" t="inlineStr">
        <is>
          <t>2002</t>
        </is>
      </c>
      <c r="P1458" s="42" t="inlineStr">
        <is>
          <t>강남대로53길 11</t>
        </is>
      </c>
      <c r="Q1458" s="41" t="inlineStr">
        <is>
          <t>-</t>
        </is>
      </c>
      <c r="R1458" s="42" t="inlineStr">
        <is>
          <t>중개거래</t>
        </is>
      </c>
      <c r="S1458" s="42" t="inlineStr">
        <is>
          <t>서울 서초구</t>
        </is>
      </c>
      <c r="T1458" s="41" t="inlineStr">
        <is>
          <t>-</t>
        </is>
      </c>
      <c r="U1458" s="42" t="inlineStr">
        <is>
          <t>아파트</t>
        </is>
      </c>
    </row>
    <row r="1459" hidden="1" ht="14.25" customHeight="1">
      <c r="A1459" s="41" t="n">
        <v>926</v>
      </c>
      <c r="B1459" s="42" t="inlineStr">
        <is>
          <t>서울특별시 서초구 서초동</t>
        </is>
      </c>
      <c r="C1459" s="41" t="inlineStr">
        <is>
          <t>1685</t>
        </is>
      </c>
      <c r="D1459" s="41" t="inlineStr">
        <is>
          <t>1685</t>
        </is>
      </c>
      <c r="E1459" s="41" t="inlineStr">
        <is>
          <t>0000</t>
        </is>
      </c>
      <c r="F1459" s="42" t="inlineStr">
        <is>
          <t>삼풍아파트</t>
        </is>
      </c>
      <c r="G1459" s="41" t="inlineStr">
        <is>
          <t>79.4700</t>
        </is>
      </c>
      <c r="H1459" s="41" t="inlineStr">
        <is>
          <t>202406</t>
        </is>
      </c>
      <c r="I1459" s="41" t="inlineStr">
        <is>
          <t>17</t>
        </is>
      </c>
      <c r="J1459" s="41" t="inlineStr">
        <is>
          <t>253,000</t>
        </is>
      </c>
      <c r="K1459" s="41" t="inlineStr">
        <is>
          <t>6</t>
        </is>
      </c>
      <c r="L1459" s="41" t="inlineStr">
        <is>
          <t>6</t>
        </is>
      </c>
      <c r="M1459" s="42" t="inlineStr">
        <is>
          <t>개인</t>
        </is>
      </c>
      <c r="N1459" s="42" t="inlineStr">
        <is>
          <t>개인</t>
        </is>
      </c>
      <c r="O1459" s="41" t="inlineStr">
        <is>
          <t>1988</t>
        </is>
      </c>
      <c r="P1459" s="42" t="inlineStr">
        <is>
          <t>서초중앙로 200</t>
        </is>
      </c>
      <c r="Q1459" s="41" t="inlineStr">
        <is>
          <t>-</t>
        </is>
      </c>
      <c r="R1459" s="42" t="inlineStr">
        <is>
          <t>중개거래</t>
        </is>
      </c>
      <c r="S1459" s="42" t="inlineStr">
        <is>
          <t>서울 서초구</t>
        </is>
      </c>
      <c r="T1459" s="41" t="inlineStr">
        <is>
          <t>24.10.14</t>
        </is>
      </c>
      <c r="U1459" s="42" t="inlineStr">
        <is>
          <t>아파트</t>
        </is>
      </c>
    </row>
    <row r="1460" hidden="1" ht="14.25" customHeight="1">
      <c r="A1460" s="41" t="n">
        <v>927</v>
      </c>
      <c r="B1460" s="42" t="inlineStr">
        <is>
          <t>서울특별시 서초구 서초동</t>
        </is>
      </c>
      <c r="C1460" s="41" t="inlineStr">
        <is>
          <t>1685</t>
        </is>
      </c>
      <c r="D1460" s="41" t="inlineStr">
        <is>
          <t>1685</t>
        </is>
      </c>
      <c r="E1460" s="41" t="inlineStr">
        <is>
          <t>0000</t>
        </is>
      </c>
      <c r="F1460" s="42" t="inlineStr">
        <is>
          <t>삼풍아파트</t>
        </is>
      </c>
      <c r="G1460" s="41" t="inlineStr">
        <is>
          <t>163.8100</t>
        </is>
      </c>
      <c r="H1460" s="41" t="inlineStr">
        <is>
          <t>202406</t>
        </is>
      </c>
      <c r="I1460" s="41" t="inlineStr">
        <is>
          <t>17</t>
        </is>
      </c>
      <c r="J1460" s="41" t="inlineStr">
        <is>
          <t>390,000</t>
        </is>
      </c>
      <c r="K1460" s="41" t="inlineStr">
        <is>
          <t>22</t>
        </is>
      </c>
      <c r="L1460" s="41" t="inlineStr">
        <is>
          <t>5</t>
        </is>
      </c>
      <c r="M1460" s="42" t="inlineStr">
        <is>
          <t>개인</t>
        </is>
      </c>
      <c r="N1460" s="42" t="inlineStr">
        <is>
          <t>개인</t>
        </is>
      </c>
      <c r="O1460" s="41" t="inlineStr">
        <is>
          <t>1988</t>
        </is>
      </c>
      <c r="P1460" s="42" t="inlineStr">
        <is>
          <t>서초중앙로 200</t>
        </is>
      </c>
      <c r="Q1460" s="41" t="inlineStr">
        <is>
          <t>-</t>
        </is>
      </c>
      <c r="R1460" s="42" t="inlineStr">
        <is>
          <t>중개거래</t>
        </is>
      </c>
      <c r="S1460" s="42" t="inlineStr">
        <is>
          <t>서울 서초구</t>
        </is>
      </c>
      <c r="T1460" s="41" t="inlineStr">
        <is>
          <t>24.10.14</t>
        </is>
      </c>
      <c r="U1460" s="42" t="inlineStr">
        <is>
          <t>아파트</t>
        </is>
      </c>
    </row>
    <row r="1461" hidden="1" ht="14.25" customHeight="1">
      <c r="A1461" s="41" t="n">
        <v>928</v>
      </c>
      <c r="B1461" s="42" t="inlineStr">
        <is>
          <t>서울특별시 서초구 서초동</t>
        </is>
      </c>
      <c r="C1461" s="41" t="inlineStr">
        <is>
          <t>1333</t>
        </is>
      </c>
      <c r="D1461" s="41" t="inlineStr">
        <is>
          <t>1333</t>
        </is>
      </c>
      <c r="E1461" s="41" t="inlineStr">
        <is>
          <t>0000</t>
        </is>
      </c>
      <c r="F1461" s="42" t="inlineStr">
        <is>
          <t>신동아아파트(1차)</t>
        </is>
      </c>
      <c r="G1461" s="41" t="inlineStr">
        <is>
          <t>86.6100</t>
        </is>
      </c>
      <c r="H1461" s="41" t="inlineStr">
        <is>
          <t>202406</t>
        </is>
      </c>
      <c r="I1461" s="41" t="inlineStr">
        <is>
          <t>16</t>
        </is>
      </c>
      <c r="J1461" s="41" t="inlineStr">
        <is>
          <t>217,000</t>
        </is>
      </c>
      <c r="K1461" s="41" t="inlineStr">
        <is>
          <t>7</t>
        </is>
      </c>
      <c r="L1461" s="41" t="inlineStr">
        <is>
          <t>6</t>
        </is>
      </c>
      <c r="M1461" s="42" t="inlineStr">
        <is>
          <t>개인</t>
        </is>
      </c>
      <c r="N1461" s="42" t="inlineStr">
        <is>
          <t>개인</t>
        </is>
      </c>
      <c r="O1461" s="41" t="inlineStr">
        <is>
          <t>1978</t>
        </is>
      </c>
      <c r="P1461" s="42" t="inlineStr">
        <is>
          <t>사임당로 130</t>
        </is>
      </c>
      <c r="Q1461" s="41" t="inlineStr">
        <is>
          <t>-</t>
        </is>
      </c>
      <c r="R1461" s="42" t="inlineStr">
        <is>
          <t>중개거래</t>
        </is>
      </c>
      <c r="S1461" s="42" t="inlineStr">
        <is>
          <t>서울 서초구</t>
        </is>
      </c>
      <c r="T1461" s="41" t="inlineStr">
        <is>
          <t>24.09.02</t>
        </is>
      </c>
      <c r="U1461" s="42" t="inlineStr">
        <is>
          <t>아파트</t>
        </is>
      </c>
    </row>
    <row r="1462" hidden="1" ht="14.25" customHeight="1">
      <c r="A1462" s="41" t="n">
        <v>929</v>
      </c>
      <c r="B1462" s="42" t="inlineStr">
        <is>
          <t>서울특별시 서초구 서초동</t>
        </is>
      </c>
      <c r="C1462" s="41" t="inlineStr">
        <is>
          <t>1755</t>
        </is>
      </c>
      <c r="D1462" s="41" t="inlineStr">
        <is>
          <t>1755</t>
        </is>
      </c>
      <c r="E1462" s="41" t="inlineStr">
        <is>
          <t>0000</t>
        </is>
      </c>
      <c r="F1462" s="42" t="inlineStr">
        <is>
          <t>래미안 리더스원</t>
        </is>
      </c>
      <c r="G1462" s="41" t="inlineStr">
        <is>
          <t>59.9700</t>
        </is>
      </c>
      <c r="H1462" s="41" t="inlineStr">
        <is>
          <t>202406</t>
        </is>
      </c>
      <c r="I1462" s="41" t="inlineStr">
        <is>
          <t>15</t>
        </is>
      </c>
      <c r="J1462" s="41" t="inlineStr">
        <is>
          <t>237,000</t>
        </is>
      </c>
      <c r="K1462" s="41" t="inlineStr">
        <is>
          <t>110동</t>
        </is>
      </c>
      <c r="L1462" s="41" t="inlineStr">
        <is>
          <t>18</t>
        </is>
      </c>
      <c r="M1462" s="42" t="inlineStr">
        <is>
          <t>개인</t>
        </is>
      </c>
      <c r="N1462" s="42" t="inlineStr">
        <is>
          <t>개인</t>
        </is>
      </c>
      <c r="O1462" s="41" t="inlineStr">
        <is>
          <t>2020</t>
        </is>
      </c>
      <c r="P1462" s="42" t="inlineStr">
        <is>
          <t>서운로 62</t>
        </is>
      </c>
      <c r="Q1462" s="41" t="inlineStr">
        <is>
          <t>-</t>
        </is>
      </c>
      <c r="R1462" s="42" t="inlineStr">
        <is>
          <t>중개거래</t>
        </is>
      </c>
      <c r="S1462" s="42" t="inlineStr">
        <is>
          <t>서울 서초구</t>
        </is>
      </c>
      <c r="T1462" s="41" t="inlineStr">
        <is>
          <t>24.07.16</t>
        </is>
      </c>
      <c r="U1462" s="42" t="inlineStr">
        <is>
          <t>아파트</t>
        </is>
      </c>
    </row>
    <row r="1463" hidden="1" ht="14.25" customHeight="1">
      <c r="A1463" s="41" t="n">
        <v>930</v>
      </c>
      <c r="B1463" s="42" t="inlineStr">
        <is>
          <t>서울특별시 서초구 서초동</t>
        </is>
      </c>
      <c r="C1463" s="41" t="inlineStr">
        <is>
          <t>1330</t>
        </is>
      </c>
      <c r="D1463" s="41" t="inlineStr">
        <is>
          <t>1330</t>
        </is>
      </c>
      <c r="E1463" s="41" t="inlineStr">
        <is>
          <t>0000</t>
        </is>
      </c>
      <c r="F1463" s="42" t="inlineStr">
        <is>
          <t>서초동삼성쉐르빌2</t>
        </is>
      </c>
      <c r="G1463" s="41" t="inlineStr">
        <is>
          <t>35.2200</t>
        </is>
      </c>
      <c r="H1463" s="41" t="inlineStr">
        <is>
          <t>202406</t>
        </is>
      </c>
      <c r="I1463" s="41" t="inlineStr">
        <is>
          <t>15</t>
        </is>
      </c>
      <c r="J1463" s="41" t="inlineStr">
        <is>
          <t>32,500</t>
        </is>
      </c>
      <c r="K1463" s="41" t="inlineStr">
        <is>
          <t>-</t>
        </is>
      </c>
      <c r="L1463" s="41" t="inlineStr">
        <is>
          <t>18</t>
        </is>
      </c>
      <c r="M1463" s="42" t="inlineStr">
        <is>
          <t>개인</t>
        </is>
      </c>
      <c r="N1463" s="42" t="inlineStr">
        <is>
          <t>개인</t>
        </is>
      </c>
      <c r="O1463" s="41" t="inlineStr">
        <is>
          <t>2002</t>
        </is>
      </c>
      <c r="P1463" s="42" t="inlineStr">
        <is>
          <t>강남대로53길 11</t>
        </is>
      </c>
      <c r="Q1463" s="41" t="inlineStr">
        <is>
          <t>-</t>
        </is>
      </c>
      <c r="R1463" s="42" t="inlineStr">
        <is>
          <t>중개거래</t>
        </is>
      </c>
      <c r="S1463" s="42" t="inlineStr">
        <is>
          <t>서울 서초구</t>
        </is>
      </c>
      <c r="T1463" s="41" t="inlineStr">
        <is>
          <t>24.08.30</t>
        </is>
      </c>
      <c r="U1463" s="42" t="inlineStr">
        <is>
          <t>아파트</t>
        </is>
      </c>
    </row>
    <row r="1464" hidden="1" ht="14.25" customHeight="1">
      <c r="A1464" s="41" t="n">
        <v>931</v>
      </c>
      <c r="B1464" s="42" t="inlineStr">
        <is>
          <t>서울특별시 서초구 서초동</t>
        </is>
      </c>
      <c r="C1464" s="41" t="inlineStr">
        <is>
          <t>1529</t>
        </is>
      </c>
      <c r="D1464" s="41" t="inlineStr">
        <is>
          <t>1529</t>
        </is>
      </c>
      <c r="E1464" s="41" t="inlineStr">
        <is>
          <t>0000</t>
        </is>
      </c>
      <c r="F1464" s="42" t="inlineStr">
        <is>
          <t>서초2차e-편한세상</t>
        </is>
      </c>
      <c r="G1464" s="41" t="inlineStr">
        <is>
          <t>84.6700</t>
        </is>
      </c>
      <c r="H1464" s="41" t="inlineStr">
        <is>
          <t>202406</t>
        </is>
      </c>
      <c r="I1464" s="41" t="inlineStr">
        <is>
          <t>15</t>
        </is>
      </c>
      <c r="J1464" s="41" t="inlineStr">
        <is>
          <t>174,000</t>
        </is>
      </c>
      <c r="K1464" s="41" t="inlineStr">
        <is>
          <t>201</t>
        </is>
      </c>
      <c r="L1464" s="41" t="inlineStr">
        <is>
          <t>2</t>
        </is>
      </c>
      <c r="M1464" s="42" t="inlineStr">
        <is>
          <t>개인</t>
        </is>
      </c>
      <c r="N1464" s="42" t="inlineStr">
        <is>
          <t>개인</t>
        </is>
      </c>
      <c r="O1464" s="41" t="inlineStr">
        <is>
          <t>2005</t>
        </is>
      </c>
      <c r="P1464" s="42" t="inlineStr">
        <is>
          <t>효령로49길 57</t>
        </is>
      </c>
      <c r="Q1464" s="41" t="inlineStr">
        <is>
          <t>-</t>
        </is>
      </c>
      <c r="R1464" s="42" t="inlineStr">
        <is>
          <t>중개거래</t>
        </is>
      </c>
      <c r="S1464" s="42" t="inlineStr">
        <is>
          <t>서울 서초구</t>
        </is>
      </c>
      <c r="T1464" s="41" t="inlineStr">
        <is>
          <t>24.09.30</t>
        </is>
      </c>
      <c r="U1464" s="42" t="inlineStr">
        <is>
          <t>아파트</t>
        </is>
      </c>
    </row>
    <row r="1465" hidden="1" ht="14.25" customHeight="1">
      <c r="A1465" s="41" t="n">
        <v>932</v>
      </c>
      <c r="B1465" s="42" t="inlineStr">
        <is>
          <t>서울특별시 서초구 서초동</t>
        </is>
      </c>
      <c r="C1465" s="41" t="inlineStr">
        <is>
          <t>1755</t>
        </is>
      </c>
      <c r="D1465" s="41" t="inlineStr">
        <is>
          <t>1755</t>
        </is>
      </c>
      <c r="E1465" s="41" t="inlineStr">
        <is>
          <t>0000</t>
        </is>
      </c>
      <c r="F1465" s="42" t="inlineStr">
        <is>
          <t>래미안 리더스원</t>
        </is>
      </c>
      <c r="G1465" s="41" t="inlineStr">
        <is>
          <t>59.9700</t>
        </is>
      </c>
      <c r="H1465" s="41" t="inlineStr">
        <is>
          <t>202406</t>
        </is>
      </c>
      <c r="I1465" s="41" t="inlineStr">
        <is>
          <t>15</t>
        </is>
      </c>
      <c r="J1465" s="41" t="inlineStr">
        <is>
          <t>237,000</t>
        </is>
      </c>
      <c r="K1465" s="41" t="inlineStr">
        <is>
          <t>-</t>
        </is>
      </c>
      <c r="L1465" s="41" t="inlineStr">
        <is>
          <t>18</t>
        </is>
      </c>
      <c r="M1465" s="42" t="inlineStr">
        <is>
          <t>개인</t>
        </is>
      </c>
      <c r="N1465" s="42" t="inlineStr">
        <is>
          <t>개인</t>
        </is>
      </c>
      <c r="O1465" s="41" t="inlineStr">
        <is>
          <t>2020</t>
        </is>
      </c>
      <c r="P1465" s="42" t="inlineStr">
        <is>
          <t>서운로 62</t>
        </is>
      </c>
      <c r="Q1465" s="41" t="inlineStr">
        <is>
          <t>-</t>
        </is>
      </c>
      <c r="R1465" s="42" t="inlineStr">
        <is>
          <t>중개거래</t>
        </is>
      </c>
      <c r="S1465" s="42" t="inlineStr">
        <is>
          <t>서울 서초구</t>
        </is>
      </c>
      <c r="T1465" s="41" t="inlineStr">
        <is>
          <t>-</t>
        </is>
      </c>
      <c r="U1465" s="42" t="inlineStr">
        <is>
          <t>아파트</t>
        </is>
      </c>
    </row>
    <row r="1466" hidden="1" ht="14.25" customHeight="1">
      <c r="A1466" s="41" t="n">
        <v>933</v>
      </c>
      <c r="B1466" s="42" t="inlineStr">
        <is>
          <t>서울특별시 서초구 서초동</t>
        </is>
      </c>
      <c r="C1466" s="41" t="inlineStr">
        <is>
          <t>1755</t>
        </is>
      </c>
      <c r="D1466" s="41" t="inlineStr">
        <is>
          <t>1755</t>
        </is>
      </c>
      <c r="E1466" s="41" t="inlineStr">
        <is>
          <t>0000</t>
        </is>
      </c>
      <c r="F1466" s="42" t="inlineStr">
        <is>
          <t>래미안 리더스원</t>
        </is>
      </c>
      <c r="G1466" s="41" t="inlineStr">
        <is>
          <t>84.9400</t>
        </is>
      </c>
      <c r="H1466" s="41" t="inlineStr">
        <is>
          <t>202406</t>
        </is>
      </c>
      <c r="I1466" s="41" t="inlineStr">
        <is>
          <t>15</t>
        </is>
      </c>
      <c r="J1466" s="41" t="inlineStr">
        <is>
          <t>299,000</t>
        </is>
      </c>
      <c r="K1466" s="41" t="inlineStr">
        <is>
          <t>104동</t>
        </is>
      </c>
      <c r="L1466" s="41" t="inlineStr">
        <is>
          <t>9</t>
        </is>
      </c>
      <c r="M1466" s="42" t="inlineStr">
        <is>
          <t>개인</t>
        </is>
      </c>
      <c r="N1466" s="42" t="inlineStr">
        <is>
          <t>개인</t>
        </is>
      </c>
      <c r="O1466" s="41" t="inlineStr">
        <is>
          <t>2020</t>
        </is>
      </c>
      <c r="P1466" s="42" t="inlineStr">
        <is>
          <t>서운로 62</t>
        </is>
      </c>
      <c r="Q1466" s="41" t="inlineStr">
        <is>
          <t>-</t>
        </is>
      </c>
      <c r="R1466" s="42" t="inlineStr">
        <is>
          <t>중개거래</t>
        </is>
      </c>
      <c r="S1466" s="42" t="inlineStr">
        <is>
          <t>서울 서초구</t>
        </is>
      </c>
      <c r="T1466" s="41" t="inlineStr">
        <is>
          <t>24.09.27</t>
        </is>
      </c>
      <c r="U1466" s="42" t="inlineStr">
        <is>
          <t>아파트</t>
        </is>
      </c>
    </row>
    <row r="1467" hidden="1" ht="14.25" customHeight="1">
      <c r="A1467" s="41" t="n">
        <v>934</v>
      </c>
      <c r="B1467" s="42" t="inlineStr">
        <is>
          <t>서울특별시 서초구 서초동</t>
        </is>
      </c>
      <c r="C1467" s="41" t="inlineStr">
        <is>
          <t>1754</t>
        </is>
      </c>
      <c r="D1467" s="41" t="inlineStr">
        <is>
          <t>1754</t>
        </is>
      </c>
      <c r="E1467" s="41" t="inlineStr">
        <is>
          <t>0000</t>
        </is>
      </c>
      <c r="F1467" s="42" t="inlineStr">
        <is>
          <t>래미안서초에스티지S</t>
        </is>
      </c>
      <c r="G1467" s="41" t="inlineStr">
        <is>
          <t>84.9600</t>
        </is>
      </c>
      <c r="H1467" s="41" t="inlineStr">
        <is>
          <t>202406</t>
        </is>
      </c>
      <c r="I1467" s="41" t="inlineStr">
        <is>
          <t>15</t>
        </is>
      </c>
      <c r="J1467" s="41" t="inlineStr">
        <is>
          <t>268,000</t>
        </is>
      </c>
      <c r="K1467" s="41" t="inlineStr">
        <is>
          <t>201</t>
        </is>
      </c>
      <c r="L1467" s="41" t="inlineStr">
        <is>
          <t>22</t>
        </is>
      </c>
      <c r="M1467" s="42" t="inlineStr">
        <is>
          <t>개인</t>
        </is>
      </c>
      <c r="N1467" s="42" t="inlineStr">
        <is>
          <t>개인</t>
        </is>
      </c>
      <c r="O1467" s="41" t="inlineStr">
        <is>
          <t>2018</t>
        </is>
      </c>
      <c r="P1467" s="42" t="inlineStr">
        <is>
          <t>서운로 104</t>
        </is>
      </c>
      <c r="Q1467" s="41" t="inlineStr">
        <is>
          <t>-</t>
        </is>
      </c>
      <c r="R1467" s="42" t="inlineStr">
        <is>
          <t>중개거래</t>
        </is>
      </c>
      <c r="S1467" s="42" t="inlineStr">
        <is>
          <t>서울 서초구</t>
        </is>
      </c>
      <c r="T1467" s="41" t="inlineStr">
        <is>
          <t>24.07.31</t>
        </is>
      </c>
      <c r="U1467" s="42" t="inlineStr">
        <is>
          <t>아파트</t>
        </is>
      </c>
    </row>
    <row r="1468" hidden="1" ht="14.25" customHeight="1">
      <c r="A1468" s="41" t="n">
        <v>935</v>
      </c>
      <c r="B1468" s="42" t="inlineStr">
        <is>
          <t>서울특별시 서초구 서초동</t>
        </is>
      </c>
      <c r="C1468" s="41" t="inlineStr">
        <is>
          <t>1334-1</t>
        </is>
      </c>
      <c r="D1468" s="41" t="inlineStr">
        <is>
          <t>1334</t>
        </is>
      </c>
      <c r="E1468" s="41" t="inlineStr">
        <is>
          <t>0001</t>
        </is>
      </c>
      <c r="F1468" s="42" t="inlineStr">
        <is>
          <t>신동아아파트(2차)</t>
        </is>
      </c>
      <c r="G1468" s="41" t="inlineStr">
        <is>
          <t>144.4100</t>
        </is>
      </c>
      <c r="H1468" s="41" t="inlineStr">
        <is>
          <t>202406</t>
        </is>
      </c>
      <c r="I1468" s="41" t="inlineStr">
        <is>
          <t>14</t>
        </is>
      </c>
      <c r="J1468" s="41" t="inlineStr">
        <is>
          <t>274,000</t>
        </is>
      </c>
      <c r="K1468" s="41" t="inlineStr">
        <is>
          <t>8</t>
        </is>
      </c>
      <c r="L1468" s="41" t="inlineStr">
        <is>
          <t>8</t>
        </is>
      </c>
      <c r="M1468" s="42" t="inlineStr">
        <is>
          <t>개인</t>
        </is>
      </c>
      <c r="N1468" s="42" t="inlineStr">
        <is>
          <t>개인</t>
        </is>
      </c>
      <c r="O1468" s="41" t="inlineStr">
        <is>
          <t>1979</t>
        </is>
      </c>
      <c r="P1468" s="42" t="inlineStr">
        <is>
          <t>사임당로 130</t>
        </is>
      </c>
      <c r="Q1468" s="41" t="inlineStr">
        <is>
          <t>-</t>
        </is>
      </c>
      <c r="R1468" s="42" t="inlineStr">
        <is>
          <t>중개거래</t>
        </is>
      </c>
      <c r="S1468" s="42" t="inlineStr">
        <is>
          <t>서울 서초구</t>
        </is>
      </c>
      <c r="T1468" s="41" t="inlineStr">
        <is>
          <t>24.08.30</t>
        </is>
      </c>
      <c r="U1468" s="42" t="inlineStr">
        <is>
          <t>아파트</t>
        </is>
      </c>
    </row>
    <row r="1469" hidden="1" ht="14.25" customHeight="1">
      <c r="A1469" s="41" t="n">
        <v>936</v>
      </c>
      <c r="B1469" s="42" t="inlineStr">
        <is>
          <t>서울특별시 서초구 서초동</t>
        </is>
      </c>
      <c r="C1469" s="41" t="inlineStr">
        <is>
          <t>1681-8</t>
        </is>
      </c>
      <c r="D1469" s="41" t="inlineStr">
        <is>
          <t>1681</t>
        </is>
      </c>
      <c r="E1469" s="41" t="inlineStr">
        <is>
          <t>0008</t>
        </is>
      </c>
      <c r="F1469" s="42" t="inlineStr">
        <is>
          <t>서초롯데캐슬프레지던트</t>
        </is>
      </c>
      <c r="G1469" s="41" t="inlineStr">
        <is>
          <t>84.9700</t>
        </is>
      </c>
      <c r="H1469" s="41" t="inlineStr">
        <is>
          <t>202406</t>
        </is>
      </c>
      <c r="I1469" s="41" t="inlineStr">
        <is>
          <t>14</t>
        </is>
      </c>
      <c r="J1469" s="41" t="inlineStr">
        <is>
          <t>214,500</t>
        </is>
      </c>
      <c r="K1469" s="41" t="inlineStr">
        <is>
          <t>103</t>
        </is>
      </c>
      <c r="L1469" s="41" t="inlineStr">
        <is>
          <t>4</t>
        </is>
      </c>
      <c r="M1469" s="42" t="inlineStr">
        <is>
          <t>개인</t>
        </is>
      </c>
      <c r="N1469" s="42" t="inlineStr">
        <is>
          <t>개인</t>
        </is>
      </c>
      <c r="O1469" s="41" t="inlineStr">
        <is>
          <t>2014</t>
        </is>
      </c>
      <c r="P1469" s="42" t="inlineStr">
        <is>
          <t>서초중앙로24길 57</t>
        </is>
      </c>
      <c r="Q1469" s="41" t="inlineStr">
        <is>
          <t>-</t>
        </is>
      </c>
      <c r="R1469" s="42" t="inlineStr">
        <is>
          <t>중개거래</t>
        </is>
      </c>
      <c r="S1469" s="42" t="inlineStr">
        <is>
          <t>서울 서초구</t>
        </is>
      </c>
      <c r="T1469" s="41" t="inlineStr">
        <is>
          <t>24.08.29</t>
        </is>
      </c>
      <c r="U1469" s="42" t="inlineStr">
        <is>
          <t>아파트</t>
        </is>
      </c>
    </row>
    <row r="1470" hidden="1" ht="14.25" customHeight="1">
      <c r="A1470" s="41" t="n">
        <v>937</v>
      </c>
      <c r="B1470" s="42" t="inlineStr">
        <is>
          <t>서울특별시 서초구 서초동</t>
        </is>
      </c>
      <c r="C1470" s="41" t="inlineStr">
        <is>
          <t>1757</t>
        </is>
      </c>
      <c r="D1470" s="41" t="inlineStr">
        <is>
          <t>1757</t>
        </is>
      </c>
      <c r="E1470" s="41" t="inlineStr">
        <is>
          <t>0000</t>
        </is>
      </c>
      <c r="F1470" s="42" t="inlineStr">
        <is>
          <t>서초그랑자이</t>
        </is>
      </c>
      <c r="G1470" s="41" t="inlineStr">
        <is>
          <t>100.3100</t>
        </is>
      </c>
      <c r="H1470" s="41" t="inlineStr">
        <is>
          <t>202406</t>
        </is>
      </c>
      <c r="I1470" s="41" t="inlineStr">
        <is>
          <t>13</t>
        </is>
      </c>
      <c r="J1470" s="41" t="inlineStr">
        <is>
          <t>350,000</t>
        </is>
      </c>
      <c r="K1470" s="41" t="inlineStr">
        <is>
          <t>104동</t>
        </is>
      </c>
      <c r="L1470" s="41" t="inlineStr">
        <is>
          <t>30</t>
        </is>
      </c>
      <c r="M1470" s="42" t="inlineStr">
        <is>
          <t>개인</t>
        </is>
      </c>
      <c r="N1470" s="42" t="inlineStr">
        <is>
          <t>개인</t>
        </is>
      </c>
      <c r="O1470" s="41" t="inlineStr">
        <is>
          <t>2021</t>
        </is>
      </c>
      <c r="P1470" s="42" t="inlineStr">
        <is>
          <t>효령로 391</t>
        </is>
      </c>
      <c r="Q1470" s="41" t="inlineStr">
        <is>
          <t>-</t>
        </is>
      </c>
      <c r="R1470" s="42" t="inlineStr">
        <is>
          <t>중개거래</t>
        </is>
      </c>
      <c r="S1470" s="42" t="inlineStr">
        <is>
          <t>서울 서초구</t>
        </is>
      </c>
      <c r="T1470" s="41" t="inlineStr">
        <is>
          <t>24.08.20</t>
        </is>
      </c>
      <c r="U1470" s="42" t="inlineStr">
        <is>
          <t>아파트</t>
        </is>
      </c>
    </row>
    <row r="1471" hidden="1" ht="14.25" customHeight="1">
      <c r="A1471" s="41" t="n">
        <v>938</v>
      </c>
      <c r="B1471" s="42" t="inlineStr">
        <is>
          <t>서울특별시 서초구 서초동</t>
        </is>
      </c>
      <c r="C1471" s="41" t="inlineStr">
        <is>
          <t>1509-1</t>
        </is>
      </c>
      <c r="D1471" s="41" t="inlineStr">
        <is>
          <t>1509</t>
        </is>
      </c>
      <c r="E1471" s="41" t="inlineStr">
        <is>
          <t>0001</t>
        </is>
      </c>
      <c r="F1471" s="42" t="inlineStr">
        <is>
          <t>서초한빛삼성</t>
        </is>
      </c>
      <c r="G1471" s="41" t="inlineStr">
        <is>
          <t>59.5200</t>
        </is>
      </c>
      <c r="H1471" s="41" t="inlineStr">
        <is>
          <t>202406</t>
        </is>
      </c>
      <c r="I1471" s="41" t="inlineStr">
        <is>
          <t>13</t>
        </is>
      </c>
      <c r="J1471" s="41" t="inlineStr">
        <is>
          <t>143,000</t>
        </is>
      </c>
      <c r="K1471" s="41" t="inlineStr">
        <is>
          <t>101</t>
        </is>
      </c>
      <c r="L1471" s="41" t="inlineStr">
        <is>
          <t>3</t>
        </is>
      </c>
      <c r="M1471" s="42" t="inlineStr">
        <is>
          <t>개인</t>
        </is>
      </c>
      <c r="N1471" s="42" t="inlineStr">
        <is>
          <t>개인</t>
        </is>
      </c>
      <c r="O1471" s="41" t="inlineStr">
        <is>
          <t>1999</t>
        </is>
      </c>
      <c r="P1471" s="42" t="inlineStr">
        <is>
          <t>서초대로40길 72</t>
        </is>
      </c>
      <c r="Q1471" s="41" t="inlineStr">
        <is>
          <t>-</t>
        </is>
      </c>
      <c r="R1471" s="42" t="inlineStr">
        <is>
          <t>중개거래</t>
        </is>
      </c>
      <c r="S1471" s="42" t="inlineStr">
        <is>
          <t>서울 서초구</t>
        </is>
      </c>
      <c r="T1471" s="41" t="inlineStr">
        <is>
          <t>24.09.03</t>
        </is>
      </c>
      <c r="U1471" s="42" t="inlineStr">
        <is>
          <t>아파트</t>
        </is>
      </c>
    </row>
    <row r="1472" hidden="1" ht="14.25" customHeight="1">
      <c r="A1472" s="41" t="n">
        <v>939</v>
      </c>
      <c r="B1472" s="42" t="inlineStr">
        <is>
          <t>서울특별시 서초구 서초동</t>
        </is>
      </c>
      <c r="C1472" s="41" t="inlineStr">
        <is>
          <t>1757</t>
        </is>
      </c>
      <c r="D1472" s="41" t="inlineStr">
        <is>
          <t>1757</t>
        </is>
      </c>
      <c r="E1472" s="41" t="inlineStr">
        <is>
          <t>0000</t>
        </is>
      </c>
      <c r="F1472" s="42" t="inlineStr">
        <is>
          <t>서초그랑자이</t>
        </is>
      </c>
      <c r="G1472" s="41" t="inlineStr">
        <is>
          <t>59.9800</t>
        </is>
      </c>
      <c r="H1472" s="41" t="inlineStr">
        <is>
          <t>202406</t>
        </is>
      </c>
      <c r="I1472" s="41" t="inlineStr">
        <is>
          <t>13</t>
        </is>
      </c>
      <c r="J1472" s="41" t="inlineStr">
        <is>
          <t>235,000</t>
        </is>
      </c>
      <c r="K1472" s="41" t="inlineStr">
        <is>
          <t>-</t>
        </is>
      </c>
      <c r="L1472" s="41" t="inlineStr">
        <is>
          <t>22</t>
        </is>
      </c>
      <c r="M1472" s="42" t="inlineStr">
        <is>
          <t>개인</t>
        </is>
      </c>
      <c r="N1472" s="42" t="inlineStr">
        <is>
          <t>개인</t>
        </is>
      </c>
      <c r="O1472" s="41" t="inlineStr">
        <is>
          <t>2021</t>
        </is>
      </c>
      <c r="P1472" s="42" t="inlineStr">
        <is>
          <t>효령로 391</t>
        </is>
      </c>
      <c r="Q1472" s="41" t="inlineStr">
        <is>
          <t>20240920</t>
        </is>
      </c>
      <c r="R1472" s="42" t="inlineStr">
        <is>
          <t>중개거래</t>
        </is>
      </c>
      <c r="S1472" s="42" t="inlineStr">
        <is>
          <t>서울 서초구</t>
        </is>
      </c>
      <c r="T1472" s="41" t="inlineStr">
        <is>
          <t>-</t>
        </is>
      </c>
      <c r="U1472" s="42" t="inlineStr">
        <is>
          <t>아파트</t>
        </is>
      </c>
    </row>
    <row r="1473" hidden="1" ht="14.25" customHeight="1">
      <c r="A1473" s="41" t="n">
        <v>940</v>
      </c>
      <c r="B1473" s="42" t="inlineStr">
        <is>
          <t>서울특별시 서초구 서초동</t>
        </is>
      </c>
      <c r="C1473" s="41" t="inlineStr">
        <is>
          <t>1327</t>
        </is>
      </c>
      <c r="D1473" s="41" t="inlineStr">
        <is>
          <t>1327</t>
        </is>
      </c>
      <c r="E1473" s="41" t="inlineStr">
        <is>
          <t>0000</t>
        </is>
      </c>
      <c r="F1473" s="42" t="inlineStr">
        <is>
          <t>서초타운트라팰리스</t>
        </is>
      </c>
      <c r="G1473" s="41" t="inlineStr">
        <is>
          <t>92.3900</t>
        </is>
      </c>
      <c r="H1473" s="41" t="inlineStr">
        <is>
          <t>202406</t>
        </is>
      </c>
      <c r="I1473" s="41" t="inlineStr">
        <is>
          <t>13</t>
        </is>
      </c>
      <c r="J1473" s="41" t="inlineStr">
        <is>
          <t>140,000</t>
        </is>
      </c>
      <c r="K1473" s="42" t="inlineStr">
        <is>
          <t>서초 트라팰리스Ⅱ</t>
        </is>
      </c>
      <c r="L1473" s="41" t="inlineStr">
        <is>
          <t>14</t>
        </is>
      </c>
      <c r="M1473" s="42" t="inlineStr">
        <is>
          <t>개인</t>
        </is>
      </c>
      <c r="N1473" s="42" t="inlineStr">
        <is>
          <t>개인</t>
        </is>
      </c>
      <c r="O1473" s="41" t="inlineStr">
        <is>
          <t>2006</t>
        </is>
      </c>
      <c r="P1473" s="42" t="inlineStr">
        <is>
          <t>서초대로74길 23</t>
        </is>
      </c>
      <c r="Q1473" s="41" t="inlineStr">
        <is>
          <t>-</t>
        </is>
      </c>
      <c r="R1473" s="42" t="inlineStr">
        <is>
          <t>중개거래</t>
        </is>
      </c>
      <c r="S1473" s="42" t="inlineStr">
        <is>
          <t>서울 서초구</t>
        </is>
      </c>
      <c r="T1473" s="41" t="inlineStr">
        <is>
          <t>24.07.03</t>
        </is>
      </c>
      <c r="U1473" s="42" t="inlineStr">
        <is>
          <t>아파트</t>
        </is>
      </c>
    </row>
    <row r="1474" hidden="1" ht="14.25" customHeight="1">
      <c r="A1474" s="41" t="n">
        <v>941</v>
      </c>
      <c r="B1474" s="42" t="inlineStr">
        <is>
          <t>서울특별시 서초구 서초동</t>
        </is>
      </c>
      <c r="C1474" s="41" t="inlineStr">
        <is>
          <t>1311-10</t>
        </is>
      </c>
      <c r="D1474" s="41" t="inlineStr">
        <is>
          <t>1311</t>
        </is>
      </c>
      <c r="E1474" s="41" t="inlineStr">
        <is>
          <t>0010</t>
        </is>
      </c>
      <c r="F1474" s="42" t="inlineStr">
        <is>
          <t>서초푸르지오써밋</t>
        </is>
      </c>
      <c r="G1474" s="41" t="inlineStr">
        <is>
          <t>59.6200</t>
        </is>
      </c>
      <c r="H1474" s="41" t="inlineStr">
        <is>
          <t>202406</t>
        </is>
      </c>
      <c r="I1474" s="41" t="inlineStr">
        <is>
          <t>12</t>
        </is>
      </c>
      <c r="J1474" s="41" t="inlineStr">
        <is>
          <t>225,000</t>
        </is>
      </c>
      <c r="K1474" s="41" t="inlineStr">
        <is>
          <t>102</t>
        </is>
      </c>
      <c r="L1474" s="41" t="inlineStr">
        <is>
          <t>24</t>
        </is>
      </c>
      <c r="M1474" s="42" t="inlineStr">
        <is>
          <t>개인</t>
        </is>
      </c>
      <c r="N1474" s="42" t="inlineStr">
        <is>
          <t>개인</t>
        </is>
      </c>
      <c r="O1474" s="41" t="inlineStr">
        <is>
          <t>2017</t>
        </is>
      </c>
      <c r="P1474" s="42" t="inlineStr">
        <is>
          <t>서운로 201</t>
        </is>
      </c>
      <c r="Q1474" s="41" t="inlineStr">
        <is>
          <t>-</t>
        </is>
      </c>
      <c r="R1474" s="42" t="inlineStr">
        <is>
          <t>중개거래</t>
        </is>
      </c>
      <c r="S1474" s="42" t="inlineStr">
        <is>
          <t>서울 서초구</t>
        </is>
      </c>
      <c r="T1474" s="41" t="inlineStr">
        <is>
          <t>25.01.31</t>
        </is>
      </c>
      <c r="U1474" s="42" t="inlineStr">
        <is>
          <t>아파트</t>
        </is>
      </c>
    </row>
    <row r="1475" hidden="1" ht="14.25" customHeight="1">
      <c r="A1475" s="41" t="n">
        <v>942</v>
      </c>
      <c r="B1475" s="42" t="inlineStr">
        <is>
          <t>서울특별시 서초구 서초동</t>
        </is>
      </c>
      <c r="C1475" s="41" t="inlineStr">
        <is>
          <t>1338</t>
        </is>
      </c>
      <c r="D1475" s="41" t="inlineStr">
        <is>
          <t>1338</t>
        </is>
      </c>
      <c r="E1475" s="41" t="inlineStr">
        <is>
          <t>0000</t>
        </is>
      </c>
      <c r="F1475" s="42" t="inlineStr">
        <is>
          <t>현대이에스에이아파트</t>
        </is>
      </c>
      <c r="G1475" s="41" t="inlineStr">
        <is>
          <t>163.9500</t>
        </is>
      </c>
      <c r="H1475" s="41" t="inlineStr">
        <is>
          <t>202406</t>
        </is>
      </c>
      <c r="I1475" s="41" t="inlineStr">
        <is>
          <t>12</t>
        </is>
      </c>
      <c r="J1475" s="41" t="inlineStr">
        <is>
          <t>148,000</t>
        </is>
      </c>
      <c r="K1475" s="41" t="inlineStr">
        <is>
          <t>-</t>
        </is>
      </c>
      <c r="L1475" s="41" t="inlineStr">
        <is>
          <t>6</t>
        </is>
      </c>
      <c r="M1475" s="42" t="inlineStr">
        <is>
          <t>개인</t>
        </is>
      </c>
      <c r="N1475" s="42" t="inlineStr">
        <is>
          <t>개인</t>
        </is>
      </c>
      <c r="O1475" s="41" t="inlineStr">
        <is>
          <t>2002</t>
        </is>
      </c>
      <c r="P1475" s="42" t="inlineStr">
        <is>
          <t>효령로77길 20</t>
        </is>
      </c>
      <c r="Q1475" s="41" t="inlineStr">
        <is>
          <t>-</t>
        </is>
      </c>
      <c r="R1475" s="42" t="inlineStr">
        <is>
          <t>중개거래</t>
        </is>
      </c>
      <c r="S1475" s="42" t="inlineStr">
        <is>
          <t>서울 서초구</t>
        </is>
      </c>
      <c r="T1475" s="41" t="inlineStr">
        <is>
          <t>24.09.02</t>
        </is>
      </c>
      <c r="U1475" s="42" t="inlineStr">
        <is>
          <t>아파트</t>
        </is>
      </c>
    </row>
    <row r="1476" hidden="1" ht="14.25" customHeight="1">
      <c r="A1476" s="41" t="n">
        <v>943</v>
      </c>
      <c r="B1476" s="42" t="inlineStr">
        <is>
          <t>서울특별시 서초구 서초동</t>
        </is>
      </c>
      <c r="C1476" s="41" t="inlineStr">
        <is>
          <t>1333</t>
        </is>
      </c>
      <c r="D1476" s="41" t="inlineStr">
        <is>
          <t>1333</t>
        </is>
      </c>
      <c r="E1476" s="41" t="inlineStr">
        <is>
          <t>0000</t>
        </is>
      </c>
      <c r="F1476" s="42" t="inlineStr">
        <is>
          <t>신동아아파트(1차)</t>
        </is>
      </c>
      <c r="G1476" s="41" t="inlineStr">
        <is>
          <t>86.6100</t>
        </is>
      </c>
      <c r="H1476" s="41" t="inlineStr">
        <is>
          <t>202406</t>
        </is>
      </c>
      <c r="I1476" s="41" t="inlineStr">
        <is>
          <t>12</t>
        </is>
      </c>
      <c r="J1476" s="41" t="inlineStr">
        <is>
          <t>220,000</t>
        </is>
      </c>
      <c r="K1476" s="41" t="inlineStr">
        <is>
          <t>7</t>
        </is>
      </c>
      <c r="L1476" s="41" t="inlineStr">
        <is>
          <t>11</t>
        </is>
      </c>
      <c r="M1476" s="42" t="inlineStr">
        <is>
          <t>개인</t>
        </is>
      </c>
      <c r="N1476" s="42" t="inlineStr">
        <is>
          <t>개인</t>
        </is>
      </c>
      <c r="O1476" s="41" t="inlineStr">
        <is>
          <t>1978</t>
        </is>
      </c>
      <c r="P1476" s="42" t="inlineStr">
        <is>
          <t>사임당로 130</t>
        </is>
      </c>
      <c r="Q1476" s="41" t="inlineStr">
        <is>
          <t>-</t>
        </is>
      </c>
      <c r="R1476" s="42" t="inlineStr">
        <is>
          <t>중개거래</t>
        </is>
      </c>
      <c r="S1476" s="42" t="inlineStr">
        <is>
          <t>서울 서초구</t>
        </is>
      </c>
      <c r="T1476" s="41" t="inlineStr">
        <is>
          <t>24.09.06</t>
        </is>
      </c>
      <c r="U1476" s="42" t="inlineStr">
        <is>
          <t>아파트</t>
        </is>
      </c>
    </row>
    <row r="1477" hidden="1" ht="14.25" customHeight="1">
      <c r="A1477" s="41" t="n">
        <v>944</v>
      </c>
      <c r="B1477" s="42" t="inlineStr">
        <is>
          <t>서울특별시 서초구 서초동</t>
        </is>
      </c>
      <c r="C1477" s="41" t="inlineStr">
        <is>
          <t>1529</t>
        </is>
      </c>
      <c r="D1477" s="41" t="inlineStr">
        <is>
          <t>1529</t>
        </is>
      </c>
      <c r="E1477" s="41" t="inlineStr">
        <is>
          <t>0000</t>
        </is>
      </c>
      <c r="F1477" s="42" t="inlineStr">
        <is>
          <t>서초2차e-편한세상</t>
        </is>
      </c>
      <c r="G1477" s="41" t="inlineStr">
        <is>
          <t>116.7450</t>
        </is>
      </c>
      <c r="H1477" s="41" t="inlineStr">
        <is>
          <t>202406</t>
        </is>
      </c>
      <c r="I1477" s="41" t="inlineStr">
        <is>
          <t>12</t>
        </is>
      </c>
      <c r="J1477" s="41" t="inlineStr">
        <is>
          <t>205,000</t>
        </is>
      </c>
      <c r="K1477" s="41" t="inlineStr">
        <is>
          <t>201</t>
        </is>
      </c>
      <c r="L1477" s="41" t="inlineStr">
        <is>
          <t>10</t>
        </is>
      </c>
      <c r="M1477" s="42" t="inlineStr">
        <is>
          <t>개인</t>
        </is>
      </c>
      <c r="N1477" s="42" t="inlineStr">
        <is>
          <t>개인</t>
        </is>
      </c>
      <c r="O1477" s="41" t="inlineStr">
        <is>
          <t>2005</t>
        </is>
      </c>
      <c r="P1477" s="42" t="inlineStr">
        <is>
          <t>효령로49길 57</t>
        </is>
      </c>
      <c r="Q1477" s="41" t="inlineStr">
        <is>
          <t>-</t>
        </is>
      </c>
      <c r="R1477" s="42" t="inlineStr">
        <is>
          <t>중개거래</t>
        </is>
      </c>
      <c r="S1477" s="42" t="inlineStr">
        <is>
          <t>서울 서초구</t>
        </is>
      </c>
      <c r="T1477" s="41" t="inlineStr">
        <is>
          <t>24.08.28</t>
        </is>
      </c>
      <c r="U1477" s="42" t="inlineStr">
        <is>
          <t>아파트</t>
        </is>
      </c>
    </row>
    <row r="1478" hidden="1" ht="14.25" customHeight="1">
      <c r="A1478" s="41" t="n">
        <v>945</v>
      </c>
      <c r="B1478" s="42" t="inlineStr">
        <is>
          <t>서울특별시 서초구 서초동</t>
        </is>
      </c>
      <c r="C1478" s="41" t="inlineStr">
        <is>
          <t>1582-3</t>
        </is>
      </c>
      <c r="D1478" s="41" t="inlineStr">
        <is>
          <t>1582</t>
        </is>
      </c>
      <c r="E1478" s="41" t="inlineStr">
        <is>
          <t>0003</t>
        </is>
      </c>
      <c r="F1478" s="42" t="inlineStr">
        <is>
          <t>서초센트럴IPARK</t>
        </is>
      </c>
      <c r="G1478" s="41" t="inlineStr">
        <is>
          <t>80.5154</t>
        </is>
      </c>
      <c r="H1478" s="41" t="inlineStr">
        <is>
          <t>202406</t>
        </is>
      </c>
      <c r="I1478" s="41" t="inlineStr">
        <is>
          <t>12</t>
        </is>
      </c>
      <c r="J1478" s="41" t="inlineStr">
        <is>
          <t>165,000</t>
        </is>
      </c>
      <c r="K1478" s="41" t="inlineStr">
        <is>
          <t>101동</t>
        </is>
      </c>
      <c r="L1478" s="41" t="inlineStr">
        <is>
          <t>7</t>
        </is>
      </c>
      <c r="M1478" s="42" t="inlineStr">
        <is>
          <t>개인</t>
        </is>
      </c>
      <c r="N1478" s="42" t="inlineStr">
        <is>
          <t>개인</t>
        </is>
      </c>
      <c r="O1478" s="41" t="inlineStr">
        <is>
          <t>2020</t>
        </is>
      </c>
      <c r="P1478" s="42" t="inlineStr">
        <is>
          <t>반포대로18길 36</t>
        </is>
      </c>
      <c r="Q1478" s="41" t="inlineStr">
        <is>
          <t>-</t>
        </is>
      </c>
      <c r="R1478" s="42" t="inlineStr">
        <is>
          <t>중개거래</t>
        </is>
      </c>
      <c r="S1478" s="42" t="inlineStr">
        <is>
          <t>서울 서초구</t>
        </is>
      </c>
      <c r="T1478" s="41" t="inlineStr">
        <is>
          <t>24.08.30</t>
        </is>
      </c>
      <c r="U1478" s="42" t="inlineStr">
        <is>
          <t>아파트</t>
        </is>
      </c>
    </row>
    <row r="1479" hidden="1" ht="14.25" customHeight="1">
      <c r="A1479" s="41" t="n">
        <v>946</v>
      </c>
      <c r="B1479" s="42" t="inlineStr">
        <is>
          <t>서울특별시 서초구 서초동</t>
        </is>
      </c>
      <c r="C1479" s="41" t="inlineStr">
        <is>
          <t>1312-3</t>
        </is>
      </c>
      <c r="D1479" s="41" t="inlineStr">
        <is>
          <t>1312</t>
        </is>
      </c>
      <c r="E1479" s="41" t="inlineStr">
        <is>
          <t>0003</t>
        </is>
      </c>
      <c r="F1479" s="42" t="inlineStr">
        <is>
          <t>롯데캐슬클래식</t>
        </is>
      </c>
      <c r="G1479" s="41" t="inlineStr">
        <is>
          <t>84.9800</t>
        </is>
      </c>
      <c r="H1479" s="41" t="inlineStr">
        <is>
          <t>202406</t>
        </is>
      </c>
      <c r="I1479" s="41" t="inlineStr">
        <is>
          <t>12</t>
        </is>
      </c>
      <c r="J1479" s="41" t="inlineStr">
        <is>
          <t>235,000</t>
        </is>
      </c>
      <c r="K1479" s="41" t="inlineStr">
        <is>
          <t>101</t>
        </is>
      </c>
      <c r="L1479" s="41" t="inlineStr">
        <is>
          <t>22</t>
        </is>
      </c>
      <c r="M1479" s="42" t="inlineStr">
        <is>
          <t>개인</t>
        </is>
      </c>
      <c r="N1479" s="42" t="inlineStr">
        <is>
          <t>개인</t>
        </is>
      </c>
      <c r="O1479" s="41" t="inlineStr">
        <is>
          <t>2006</t>
        </is>
      </c>
      <c r="P1479" s="42" t="inlineStr">
        <is>
          <t>서운로 197</t>
        </is>
      </c>
      <c r="Q1479" s="41" t="inlineStr">
        <is>
          <t>-</t>
        </is>
      </c>
      <c r="R1479" s="42" t="inlineStr">
        <is>
          <t>중개거래</t>
        </is>
      </c>
      <c r="S1479" s="42" t="inlineStr">
        <is>
          <t>서울 서초구</t>
        </is>
      </c>
      <c r="T1479" s="41" t="inlineStr">
        <is>
          <t>24.11.08</t>
        </is>
      </c>
      <c r="U1479" s="42" t="inlineStr">
        <is>
          <t>아파트</t>
        </is>
      </c>
    </row>
    <row r="1480" hidden="1" ht="14.25" customHeight="1">
      <c r="A1480" s="41" t="n">
        <v>947</v>
      </c>
      <c r="B1480" s="42" t="inlineStr">
        <is>
          <t>서울특별시 서초구 서초동</t>
        </is>
      </c>
      <c r="C1480" s="41" t="inlineStr">
        <is>
          <t>1647-1</t>
        </is>
      </c>
      <c r="D1480" s="41" t="inlineStr">
        <is>
          <t>1647</t>
        </is>
      </c>
      <c r="E1480" s="41" t="inlineStr">
        <is>
          <t>0001</t>
        </is>
      </c>
      <c r="F1480" s="42" t="inlineStr">
        <is>
          <t>롯데캐슬스파</t>
        </is>
      </c>
      <c r="G1480" s="41" t="inlineStr">
        <is>
          <t>194.5100</t>
        </is>
      </c>
      <c r="H1480" s="41" t="inlineStr">
        <is>
          <t>202406</t>
        </is>
      </c>
      <c r="I1480" s="41" t="inlineStr">
        <is>
          <t>11</t>
        </is>
      </c>
      <c r="J1480" s="41" t="inlineStr">
        <is>
          <t>218,000</t>
        </is>
      </c>
      <c r="K1480" s="41" t="inlineStr">
        <is>
          <t>101</t>
        </is>
      </c>
      <c r="L1480" s="41" t="inlineStr">
        <is>
          <t>7</t>
        </is>
      </c>
      <c r="M1480" s="42" t="inlineStr">
        <is>
          <t>개인</t>
        </is>
      </c>
      <c r="N1480" s="42" t="inlineStr">
        <is>
          <t>개인</t>
        </is>
      </c>
      <c r="O1480" s="41" t="inlineStr">
        <is>
          <t>2003</t>
        </is>
      </c>
      <c r="P1480" s="42" t="inlineStr">
        <is>
          <t>사임당로23길 12</t>
        </is>
      </c>
      <c r="Q1480" s="41" t="inlineStr">
        <is>
          <t>-</t>
        </is>
      </c>
      <c r="R1480" s="42" t="inlineStr">
        <is>
          <t>중개거래</t>
        </is>
      </c>
      <c r="S1480" s="42" t="inlineStr">
        <is>
          <t>서울 서초구</t>
        </is>
      </c>
      <c r="T1480" s="41" t="inlineStr">
        <is>
          <t>24.08.23</t>
        </is>
      </c>
      <c r="U1480" s="42" t="inlineStr">
        <is>
          <t>아파트</t>
        </is>
      </c>
    </row>
    <row r="1481" hidden="1" ht="14.25" customHeight="1">
      <c r="A1481" s="41" t="n">
        <v>948</v>
      </c>
      <c r="B1481" s="42" t="inlineStr">
        <is>
          <t>서울특별시 서초구 서초동</t>
        </is>
      </c>
      <c r="C1481" s="41" t="inlineStr">
        <is>
          <t>1671-5</t>
        </is>
      </c>
      <c r="D1481" s="41" t="inlineStr">
        <is>
          <t>1671</t>
        </is>
      </c>
      <c r="E1481" s="41" t="inlineStr">
        <is>
          <t>0005</t>
        </is>
      </c>
      <c r="F1481" s="42" t="inlineStr">
        <is>
          <t>대림서초리시온</t>
        </is>
      </c>
      <c r="G1481" s="41" t="inlineStr">
        <is>
          <t>49.9200</t>
        </is>
      </c>
      <c r="H1481" s="41" t="inlineStr">
        <is>
          <t>202406</t>
        </is>
      </c>
      <c r="I1481" s="41" t="inlineStr">
        <is>
          <t>11</t>
        </is>
      </c>
      <c r="J1481" s="41" t="inlineStr">
        <is>
          <t>54,500</t>
        </is>
      </c>
      <c r="K1481" s="41" t="inlineStr">
        <is>
          <t>-</t>
        </is>
      </c>
      <c r="L1481" s="41" t="inlineStr">
        <is>
          <t>5</t>
        </is>
      </c>
      <c r="M1481" s="42" t="inlineStr">
        <is>
          <t>개인</t>
        </is>
      </c>
      <c r="N1481" s="42" t="inlineStr">
        <is>
          <t>개인</t>
        </is>
      </c>
      <c r="O1481" s="41" t="inlineStr">
        <is>
          <t>2003</t>
        </is>
      </c>
      <c r="P1481" s="42" t="inlineStr">
        <is>
          <t>서초중앙로22길 25</t>
        </is>
      </c>
      <c r="Q1481" s="41" t="inlineStr">
        <is>
          <t>-</t>
        </is>
      </c>
      <c r="R1481" s="42" t="inlineStr">
        <is>
          <t>중개거래</t>
        </is>
      </c>
      <c r="S1481" s="42" t="inlineStr">
        <is>
          <t>서울 서초구</t>
        </is>
      </c>
      <c r="T1481" s="41" t="inlineStr">
        <is>
          <t>24.09.05</t>
        </is>
      </c>
      <c r="U1481" s="42" t="inlineStr">
        <is>
          <t>아파트</t>
        </is>
      </c>
    </row>
    <row r="1482" hidden="1" ht="14.25" customHeight="1">
      <c r="A1482" s="41" t="n">
        <v>949</v>
      </c>
      <c r="B1482" s="42" t="inlineStr">
        <is>
          <t>서울특별시 서초구 서초동</t>
        </is>
      </c>
      <c r="C1482" s="41" t="inlineStr">
        <is>
          <t>1338</t>
        </is>
      </c>
      <c r="D1482" s="41" t="inlineStr">
        <is>
          <t>1338</t>
        </is>
      </c>
      <c r="E1482" s="41" t="inlineStr">
        <is>
          <t>0000</t>
        </is>
      </c>
      <c r="F1482" s="42" t="inlineStr">
        <is>
          <t>현대이에스에이아파트</t>
        </is>
      </c>
      <c r="G1482" s="41" t="inlineStr">
        <is>
          <t>163.9500</t>
        </is>
      </c>
      <c r="H1482" s="41" t="inlineStr">
        <is>
          <t>202406</t>
        </is>
      </c>
      <c r="I1482" s="41" t="inlineStr">
        <is>
          <t>11</t>
        </is>
      </c>
      <c r="J1482" s="41" t="inlineStr">
        <is>
          <t>143,000</t>
        </is>
      </c>
      <c r="K1482" s="41" t="inlineStr">
        <is>
          <t>-</t>
        </is>
      </c>
      <c r="L1482" s="41" t="inlineStr">
        <is>
          <t>11</t>
        </is>
      </c>
      <c r="M1482" s="42" t="inlineStr">
        <is>
          <t>개인</t>
        </is>
      </c>
      <c r="N1482" s="42" t="inlineStr">
        <is>
          <t>개인</t>
        </is>
      </c>
      <c r="O1482" s="41" t="inlineStr">
        <is>
          <t>2002</t>
        </is>
      </c>
      <c r="P1482" s="42" t="inlineStr">
        <is>
          <t>효령로77길 20</t>
        </is>
      </c>
      <c r="Q1482" s="41" t="inlineStr">
        <is>
          <t>-</t>
        </is>
      </c>
      <c r="R1482" s="42" t="inlineStr">
        <is>
          <t>중개거래</t>
        </is>
      </c>
      <c r="S1482" s="42" t="inlineStr">
        <is>
          <t>서울 서초구</t>
        </is>
      </c>
      <c r="T1482" s="41" t="inlineStr">
        <is>
          <t>24.07.15</t>
        </is>
      </c>
      <c r="U1482" s="42" t="inlineStr">
        <is>
          <t>아파트</t>
        </is>
      </c>
    </row>
    <row r="1483" hidden="1" ht="14.25" customHeight="1">
      <c r="A1483" s="41" t="n">
        <v>950</v>
      </c>
      <c r="B1483" s="42" t="inlineStr">
        <is>
          <t>서울특별시 서초구 서초동</t>
        </is>
      </c>
      <c r="C1483" s="41" t="inlineStr">
        <is>
          <t>1755</t>
        </is>
      </c>
      <c r="D1483" s="41" t="inlineStr">
        <is>
          <t>1755</t>
        </is>
      </c>
      <c r="E1483" s="41" t="inlineStr">
        <is>
          <t>0000</t>
        </is>
      </c>
      <c r="F1483" s="42" t="inlineStr">
        <is>
          <t>래미안 리더스원</t>
        </is>
      </c>
      <c r="G1483" s="41" t="inlineStr">
        <is>
          <t>59.9700</t>
        </is>
      </c>
      <c r="H1483" s="41" t="inlineStr">
        <is>
          <t>202406</t>
        </is>
      </c>
      <c r="I1483" s="41" t="inlineStr">
        <is>
          <t>10</t>
        </is>
      </c>
      <c r="J1483" s="41" t="inlineStr">
        <is>
          <t>240,000</t>
        </is>
      </c>
      <c r="K1483" s="41" t="inlineStr">
        <is>
          <t>110동</t>
        </is>
      </c>
      <c r="L1483" s="41" t="inlineStr">
        <is>
          <t>24</t>
        </is>
      </c>
      <c r="M1483" s="42" t="inlineStr">
        <is>
          <t>개인</t>
        </is>
      </c>
      <c r="N1483" s="42" t="inlineStr">
        <is>
          <t>개인</t>
        </is>
      </c>
      <c r="O1483" s="41" t="inlineStr">
        <is>
          <t>2020</t>
        </is>
      </c>
      <c r="P1483" s="42" t="inlineStr">
        <is>
          <t>서운로 62</t>
        </is>
      </c>
      <c r="Q1483" s="41" t="inlineStr">
        <is>
          <t>-</t>
        </is>
      </c>
      <c r="R1483" s="42" t="inlineStr">
        <is>
          <t>중개거래</t>
        </is>
      </c>
      <c r="S1483" s="42" t="inlineStr">
        <is>
          <t>서울 서초구</t>
        </is>
      </c>
      <c r="T1483" s="41" t="inlineStr">
        <is>
          <t>24.09.30</t>
        </is>
      </c>
      <c r="U1483" s="42" t="inlineStr">
        <is>
          <t>아파트</t>
        </is>
      </c>
    </row>
    <row r="1484" hidden="1" ht="14.25" customHeight="1">
      <c r="A1484" s="41" t="n">
        <v>951</v>
      </c>
      <c r="B1484" s="42" t="inlineStr">
        <is>
          <t>서울특별시 서초구 서초동</t>
        </is>
      </c>
      <c r="C1484" s="41" t="inlineStr">
        <is>
          <t>1757</t>
        </is>
      </c>
      <c r="D1484" s="41" t="inlineStr">
        <is>
          <t>1757</t>
        </is>
      </c>
      <c r="E1484" s="41" t="inlineStr">
        <is>
          <t>0000</t>
        </is>
      </c>
      <c r="F1484" s="42" t="inlineStr">
        <is>
          <t>서초그랑자이</t>
        </is>
      </c>
      <c r="G1484" s="41" t="inlineStr">
        <is>
          <t>84.5100</t>
        </is>
      </c>
      <c r="H1484" s="41" t="inlineStr">
        <is>
          <t>202406</t>
        </is>
      </c>
      <c r="I1484" s="41" t="inlineStr">
        <is>
          <t>10</t>
        </is>
      </c>
      <c r="J1484" s="41" t="inlineStr">
        <is>
          <t>310,000</t>
        </is>
      </c>
      <c r="K1484" s="41" t="inlineStr">
        <is>
          <t>104동</t>
        </is>
      </c>
      <c r="L1484" s="41" t="inlineStr">
        <is>
          <t>20</t>
        </is>
      </c>
      <c r="M1484" s="42" t="inlineStr">
        <is>
          <t>개인</t>
        </is>
      </c>
      <c r="N1484" s="42" t="inlineStr">
        <is>
          <t>개인</t>
        </is>
      </c>
      <c r="O1484" s="41" t="inlineStr">
        <is>
          <t>2021</t>
        </is>
      </c>
      <c r="P1484" s="42" t="inlineStr">
        <is>
          <t>효령로 391</t>
        </is>
      </c>
      <c r="Q1484" s="41" t="inlineStr">
        <is>
          <t>-</t>
        </is>
      </c>
      <c r="R1484" s="42" t="inlineStr">
        <is>
          <t>중개거래</t>
        </is>
      </c>
      <c r="S1484" s="42" t="inlineStr">
        <is>
          <t>서울 서초구</t>
        </is>
      </c>
      <c r="T1484" s="41" t="inlineStr">
        <is>
          <t>24.08.09</t>
        </is>
      </c>
      <c r="U1484" s="42" t="inlineStr">
        <is>
          <t>아파트</t>
        </is>
      </c>
    </row>
    <row r="1485" hidden="1" ht="14.25" customHeight="1">
      <c r="A1485" s="41" t="n">
        <v>952</v>
      </c>
      <c r="B1485" s="42" t="inlineStr">
        <is>
          <t>서울특별시 서초구 서초동</t>
        </is>
      </c>
      <c r="C1485" s="41" t="inlineStr">
        <is>
          <t>1451-89</t>
        </is>
      </c>
      <c r="D1485" s="41" t="inlineStr">
        <is>
          <t>1451</t>
        </is>
      </c>
      <c r="E1485" s="41" t="inlineStr">
        <is>
          <t>0089</t>
        </is>
      </c>
      <c r="F1485" s="42" t="inlineStr">
        <is>
          <t>서초중흥S-클래스(도시형생활주택)</t>
        </is>
      </c>
      <c r="G1485" s="41" t="inlineStr">
        <is>
          <t>20.6800</t>
        </is>
      </c>
      <c r="H1485" s="41" t="inlineStr">
        <is>
          <t>202406</t>
        </is>
      </c>
      <c r="I1485" s="41" t="inlineStr">
        <is>
          <t>10</t>
        </is>
      </c>
      <c r="J1485" s="41" t="inlineStr">
        <is>
          <t>19,900</t>
        </is>
      </c>
      <c r="K1485" s="41" t="inlineStr">
        <is>
          <t>1</t>
        </is>
      </c>
      <c r="L1485" s="41" t="inlineStr">
        <is>
          <t>3</t>
        </is>
      </c>
      <c r="M1485" s="42" t="inlineStr">
        <is>
          <t>개인</t>
        </is>
      </c>
      <c r="N1485" s="42" t="inlineStr">
        <is>
          <t>개인</t>
        </is>
      </c>
      <c r="O1485" s="41" t="inlineStr">
        <is>
          <t>2013</t>
        </is>
      </c>
      <c r="P1485" s="42" t="inlineStr">
        <is>
          <t>효령로52길 63</t>
        </is>
      </c>
      <c r="Q1485" s="41" t="inlineStr">
        <is>
          <t>-</t>
        </is>
      </c>
      <c r="R1485" s="42" t="inlineStr">
        <is>
          <t>중개거래</t>
        </is>
      </c>
      <c r="S1485" s="42" t="inlineStr">
        <is>
          <t>서울 서초구</t>
        </is>
      </c>
      <c r="T1485" s="41" t="inlineStr">
        <is>
          <t>24.07.09</t>
        </is>
      </c>
      <c r="U1485" s="42" t="inlineStr">
        <is>
          <t>아파트</t>
        </is>
      </c>
    </row>
    <row r="1486" hidden="1" ht="14.25" customHeight="1">
      <c r="A1486" s="41" t="n">
        <v>953</v>
      </c>
      <c r="B1486" s="42" t="inlineStr">
        <is>
          <t>서울특별시 서초구 서초동</t>
        </is>
      </c>
      <c r="C1486" s="41" t="inlineStr">
        <is>
          <t>1301-6</t>
        </is>
      </c>
      <c r="D1486" s="41" t="inlineStr">
        <is>
          <t>1301</t>
        </is>
      </c>
      <c r="E1486" s="41" t="inlineStr">
        <is>
          <t>0006</t>
        </is>
      </c>
      <c r="F1486" s="42" t="inlineStr">
        <is>
          <t>래미안서초스위트</t>
        </is>
      </c>
      <c r="G1486" s="41" t="inlineStr">
        <is>
          <t>59.9958</t>
        </is>
      </c>
      <c r="H1486" s="41" t="inlineStr">
        <is>
          <t>202406</t>
        </is>
      </c>
      <c r="I1486" s="41" t="inlineStr">
        <is>
          <t>08</t>
        </is>
      </c>
      <c r="J1486" s="41" t="inlineStr">
        <is>
          <t>205,000</t>
        </is>
      </c>
      <c r="K1486" s="41" t="inlineStr">
        <is>
          <t>101</t>
        </is>
      </c>
      <c r="L1486" s="41" t="inlineStr">
        <is>
          <t>9</t>
        </is>
      </c>
      <c r="M1486" s="42" t="inlineStr">
        <is>
          <t>개인</t>
        </is>
      </c>
      <c r="N1486" s="42" t="inlineStr">
        <is>
          <t>개인</t>
        </is>
      </c>
      <c r="O1486" s="41" t="inlineStr">
        <is>
          <t>2009</t>
        </is>
      </c>
      <c r="P1486" s="42" t="inlineStr">
        <is>
          <t>서운로 221</t>
        </is>
      </c>
      <c r="Q1486" s="41" t="inlineStr">
        <is>
          <t>-</t>
        </is>
      </c>
      <c r="R1486" s="42" t="inlineStr">
        <is>
          <t>중개거래</t>
        </is>
      </c>
      <c r="S1486" s="42" t="inlineStr">
        <is>
          <t>서울 서초구</t>
        </is>
      </c>
      <c r="T1486" s="41" t="inlineStr">
        <is>
          <t>24.10.11</t>
        </is>
      </c>
      <c r="U1486" s="42" t="inlineStr">
        <is>
          <t>아파트</t>
        </is>
      </c>
    </row>
    <row r="1487" hidden="1" ht="14.25" customHeight="1">
      <c r="A1487" s="41" t="n">
        <v>954</v>
      </c>
      <c r="B1487" s="42" t="inlineStr">
        <is>
          <t>서울특별시 서초구 서초동</t>
        </is>
      </c>
      <c r="C1487" s="41" t="inlineStr">
        <is>
          <t>1687</t>
        </is>
      </c>
      <c r="D1487" s="41" t="inlineStr">
        <is>
          <t>1687</t>
        </is>
      </c>
      <c r="E1487" s="41" t="inlineStr">
        <is>
          <t>0000</t>
        </is>
      </c>
      <c r="F1487" s="42" t="inlineStr">
        <is>
          <t>유원서초</t>
        </is>
      </c>
      <c r="G1487" s="41" t="inlineStr">
        <is>
          <t>84.8700</t>
        </is>
      </c>
      <c r="H1487" s="41" t="inlineStr">
        <is>
          <t>202406</t>
        </is>
      </c>
      <c r="I1487" s="41" t="inlineStr">
        <is>
          <t>08</t>
        </is>
      </c>
      <c r="J1487" s="41" t="inlineStr">
        <is>
          <t>186,000</t>
        </is>
      </c>
      <c r="K1487" s="41" t="inlineStr">
        <is>
          <t>103</t>
        </is>
      </c>
      <c r="L1487" s="41" t="inlineStr">
        <is>
          <t>9</t>
        </is>
      </c>
      <c r="M1487" s="42" t="inlineStr">
        <is>
          <t>개인</t>
        </is>
      </c>
      <c r="N1487" s="42" t="inlineStr">
        <is>
          <t>개인</t>
        </is>
      </c>
      <c r="O1487" s="41" t="inlineStr">
        <is>
          <t>1993</t>
        </is>
      </c>
      <c r="P1487" s="42" t="inlineStr">
        <is>
          <t>서초중앙로24길 43</t>
        </is>
      </c>
      <c r="Q1487" s="41" t="inlineStr">
        <is>
          <t>-</t>
        </is>
      </c>
      <c r="R1487" s="42" t="inlineStr">
        <is>
          <t>중개거래</t>
        </is>
      </c>
      <c r="S1487" s="42" t="inlineStr">
        <is>
          <t>서울 서초구</t>
        </is>
      </c>
      <c r="T1487" s="41" t="inlineStr">
        <is>
          <t>24.08.02</t>
        </is>
      </c>
      <c r="U1487" s="42" t="inlineStr">
        <is>
          <t>아파트</t>
        </is>
      </c>
    </row>
    <row r="1488" hidden="1" ht="14.25" customHeight="1">
      <c r="A1488" s="41" t="n">
        <v>955</v>
      </c>
      <c r="B1488" s="42" t="inlineStr">
        <is>
          <t>서울특별시 서초구 서초동</t>
        </is>
      </c>
      <c r="C1488" s="41" t="inlineStr">
        <is>
          <t>1333</t>
        </is>
      </c>
      <c r="D1488" s="41" t="inlineStr">
        <is>
          <t>1333</t>
        </is>
      </c>
      <c r="E1488" s="41" t="inlineStr">
        <is>
          <t>0000</t>
        </is>
      </c>
      <c r="F1488" s="42" t="inlineStr">
        <is>
          <t>신동아아파트(1차)</t>
        </is>
      </c>
      <c r="G1488" s="41" t="inlineStr">
        <is>
          <t>86.6100</t>
        </is>
      </c>
      <c r="H1488" s="41" t="inlineStr">
        <is>
          <t>202406</t>
        </is>
      </c>
      <c r="I1488" s="41" t="inlineStr">
        <is>
          <t>08</t>
        </is>
      </c>
      <c r="J1488" s="41" t="inlineStr">
        <is>
          <t>207,500</t>
        </is>
      </c>
      <c r="K1488" s="41" t="inlineStr">
        <is>
          <t>7</t>
        </is>
      </c>
      <c r="L1488" s="41" t="inlineStr">
        <is>
          <t>10</t>
        </is>
      </c>
      <c r="M1488" s="42" t="inlineStr">
        <is>
          <t>개인</t>
        </is>
      </c>
      <c r="N1488" s="42" t="inlineStr">
        <is>
          <t>개인</t>
        </is>
      </c>
      <c r="O1488" s="41" t="inlineStr">
        <is>
          <t>1978</t>
        </is>
      </c>
      <c r="P1488" s="42" t="inlineStr">
        <is>
          <t>사임당로 130</t>
        </is>
      </c>
      <c r="Q1488" s="41" t="inlineStr">
        <is>
          <t>-</t>
        </is>
      </c>
      <c r="R1488" s="42" t="inlineStr">
        <is>
          <t>중개거래</t>
        </is>
      </c>
      <c r="S1488" s="42" t="inlineStr">
        <is>
          <t>서울 서초구</t>
        </is>
      </c>
      <c r="T1488" s="41" t="inlineStr">
        <is>
          <t>24.09.05</t>
        </is>
      </c>
      <c r="U1488" s="42" t="inlineStr">
        <is>
          <t>아파트</t>
        </is>
      </c>
    </row>
    <row r="1489" hidden="1" ht="14.25" customHeight="1">
      <c r="A1489" s="41" t="n">
        <v>956</v>
      </c>
      <c r="B1489" s="42" t="inlineStr">
        <is>
          <t>서울특별시 서초구 서초동</t>
        </is>
      </c>
      <c r="C1489" s="41" t="inlineStr">
        <is>
          <t>1685</t>
        </is>
      </c>
      <c r="D1489" s="41" t="inlineStr">
        <is>
          <t>1685</t>
        </is>
      </c>
      <c r="E1489" s="41" t="inlineStr">
        <is>
          <t>0000</t>
        </is>
      </c>
      <c r="F1489" s="42" t="inlineStr">
        <is>
          <t>삼풍아파트</t>
        </is>
      </c>
      <c r="G1489" s="41" t="inlineStr">
        <is>
          <t>79.4700</t>
        </is>
      </c>
      <c r="H1489" s="41" t="inlineStr">
        <is>
          <t>202406</t>
        </is>
      </c>
      <c r="I1489" s="41" t="inlineStr">
        <is>
          <t>08</t>
        </is>
      </c>
      <c r="J1489" s="41" t="inlineStr">
        <is>
          <t>245,000</t>
        </is>
      </c>
      <c r="K1489" s="41" t="inlineStr">
        <is>
          <t>1</t>
        </is>
      </c>
      <c r="L1489" s="41" t="inlineStr">
        <is>
          <t>6</t>
        </is>
      </c>
      <c r="M1489" s="42" t="inlineStr">
        <is>
          <t>개인</t>
        </is>
      </c>
      <c r="N1489" s="42" t="inlineStr">
        <is>
          <t>개인</t>
        </is>
      </c>
      <c r="O1489" s="41" t="inlineStr">
        <is>
          <t>1988</t>
        </is>
      </c>
      <c r="P1489" s="42" t="inlineStr">
        <is>
          <t>서초중앙로 200</t>
        </is>
      </c>
      <c r="Q1489" s="41" t="inlineStr">
        <is>
          <t>-</t>
        </is>
      </c>
      <c r="R1489" s="42" t="inlineStr">
        <is>
          <t>중개거래</t>
        </is>
      </c>
      <c r="S1489" s="42" t="inlineStr">
        <is>
          <t>서울 서초구</t>
        </is>
      </c>
      <c r="T1489" s="41" t="inlineStr">
        <is>
          <t>24.07.18</t>
        </is>
      </c>
      <c r="U1489" s="42" t="inlineStr">
        <is>
          <t>아파트</t>
        </is>
      </c>
    </row>
    <row r="1490" hidden="1" ht="14.25" customHeight="1">
      <c r="A1490" s="41" t="n">
        <v>957</v>
      </c>
      <c r="B1490" s="42" t="inlineStr">
        <is>
          <t>서울특별시 서초구 서초동</t>
        </is>
      </c>
      <c r="C1490" s="41" t="inlineStr">
        <is>
          <t>1685</t>
        </is>
      </c>
      <c r="D1490" s="41" t="inlineStr">
        <is>
          <t>1685</t>
        </is>
      </c>
      <c r="E1490" s="41" t="inlineStr">
        <is>
          <t>0000</t>
        </is>
      </c>
      <c r="F1490" s="42" t="inlineStr">
        <is>
          <t>삼풍아파트</t>
        </is>
      </c>
      <c r="G1490" s="41" t="inlineStr">
        <is>
          <t>130.7300</t>
        </is>
      </c>
      <c r="H1490" s="41" t="inlineStr">
        <is>
          <t>202406</t>
        </is>
      </c>
      <c r="I1490" s="41" t="inlineStr">
        <is>
          <t>08</t>
        </is>
      </c>
      <c r="J1490" s="41" t="inlineStr">
        <is>
          <t>335,000</t>
        </is>
      </c>
      <c r="K1490" s="41" t="inlineStr">
        <is>
          <t>13</t>
        </is>
      </c>
      <c r="L1490" s="41" t="inlineStr">
        <is>
          <t>14</t>
        </is>
      </c>
      <c r="M1490" s="42" t="inlineStr">
        <is>
          <t>개인</t>
        </is>
      </c>
      <c r="N1490" s="42" t="inlineStr">
        <is>
          <t>개인</t>
        </is>
      </c>
      <c r="O1490" s="41" t="inlineStr">
        <is>
          <t>1988</t>
        </is>
      </c>
      <c r="P1490" s="42" t="inlineStr">
        <is>
          <t>서초중앙로 200</t>
        </is>
      </c>
      <c r="Q1490" s="41" t="inlineStr">
        <is>
          <t>-</t>
        </is>
      </c>
      <c r="R1490" s="42" t="inlineStr">
        <is>
          <t>중개거래</t>
        </is>
      </c>
      <c r="S1490" s="42" t="inlineStr">
        <is>
          <t>서울 강남구, 서울 서초구</t>
        </is>
      </c>
      <c r="T1490" s="41" t="inlineStr">
        <is>
          <t>24.10.02</t>
        </is>
      </c>
      <c r="U1490" s="42" t="inlineStr">
        <is>
          <t>아파트</t>
        </is>
      </c>
    </row>
    <row r="1491" hidden="1" ht="14.25" customHeight="1">
      <c r="A1491" s="41" t="n">
        <v>958</v>
      </c>
      <c r="B1491" s="42" t="inlineStr">
        <is>
          <t>서울특별시 서초구 서초동</t>
        </is>
      </c>
      <c r="C1491" s="41" t="inlineStr">
        <is>
          <t>1311-10</t>
        </is>
      </c>
      <c r="D1491" s="41" t="inlineStr">
        <is>
          <t>1311</t>
        </is>
      </c>
      <c r="E1491" s="41" t="inlineStr">
        <is>
          <t>0010</t>
        </is>
      </c>
      <c r="F1491" s="42" t="inlineStr">
        <is>
          <t>서초푸르지오써밋</t>
        </is>
      </c>
      <c r="G1491" s="41" t="inlineStr">
        <is>
          <t>120.8600</t>
        </is>
      </c>
      <c r="H1491" s="41" t="inlineStr">
        <is>
          <t>202406</t>
        </is>
      </c>
      <c r="I1491" s="41" t="inlineStr">
        <is>
          <t>08</t>
        </is>
      </c>
      <c r="J1491" s="41" t="inlineStr">
        <is>
          <t>354,000</t>
        </is>
      </c>
      <c r="K1491" s="41" t="inlineStr">
        <is>
          <t>201</t>
        </is>
      </c>
      <c r="L1491" s="41" t="inlineStr">
        <is>
          <t>16</t>
        </is>
      </c>
      <c r="M1491" s="42" t="inlineStr">
        <is>
          <t>개인</t>
        </is>
      </c>
      <c r="N1491" s="42" t="inlineStr">
        <is>
          <t>개인</t>
        </is>
      </c>
      <c r="O1491" s="41" t="inlineStr">
        <is>
          <t>2017</t>
        </is>
      </c>
      <c r="P1491" s="42" t="inlineStr">
        <is>
          <t>서운로 212</t>
        </is>
      </c>
      <c r="Q1491" s="41" t="inlineStr">
        <is>
          <t>-</t>
        </is>
      </c>
      <c r="R1491" s="42" t="inlineStr">
        <is>
          <t>중개거래</t>
        </is>
      </c>
      <c r="S1491" s="42" t="inlineStr">
        <is>
          <t>서울 서초구</t>
        </is>
      </c>
      <c r="T1491" s="41" t="inlineStr">
        <is>
          <t>24.10.30</t>
        </is>
      </c>
      <c r="U1491" s="42" t="inlineStr">
        <is>
          <t>아파트</t>
        </is>
      </c>
    </row>
    <row r="1492" hidden="1" ht="14.25" customHeight="1">
      <c r="A1492" s="41" t="n">
        <v>959</v>
      </c>
      <c r="B1492" s="42" t="inlineStr">
        <is>
          <t>서울특별시 서초구 서초동</t>
        </is>
      </c>
      <c r="C1492" s="41" t="inlineStr">
        <is>
          <t>1311-10</t>
        </is>
      </c>
      <c r="D1492" s="41" t="inlineStr">
        <is>
          <t>1311</t>
        </is>
      </c>
      <c r="E1492" s="41" t="inlineStr">
        <is>
          <t>0010</t>
        </is>
      </c>
      <c r="F1492" s="42" t="inlineStr">
        <is>
          <t>서초푸르지오써밋</t>
        </is>
      </c>
      <c r="G1492" s="41" t="inlineStr">
        <is>
          <t>84.9500</t>
        </is>
      </c>
      <c r="H1492" s="41" t="inlineStr">
        <is>
          <t>202406</t>
        </is>
      </c>
      <c r="I1492" s="41" t="inlineStr">
        <is>
          <t>08</t>
        </is>
      </c>
      <c r="J1492" s="41" t="inlineStr">
        <is>
          <t>275,000</t>
        </is>
      </c>
      <c r="K1492" s="41" t="inlineStr">
        <is>
          <t>102</t>
        </is>
      </c>
      <c r="L1492" s="41" t="inlineStr">
        <is>
          <t>16</t>
        </is>
      </c>
      <c r="M1492" s="42" t="inlineStr">
        <is>
          <t>개인</t>
        </is>
      </c>
      <c r="N1492" s="42" t="inlineStr">
        <is>
          <t>개인</t>
        </is>
      </c>
      <c r="O1492" s="41" t="inlineStr">
        <is>
          <t>2017</t>
        </is>
      </c>
      <c r="P1492" s="42" t="inlineStr">
        <is>
          <t>서운로 201</t>
        </is>
      </c>
      <c r="Q1492" s="41" t="inlineStr">
        <is>
          <t>-</t>
        </is>
      </c>
      <c r="R1492" s="42" t="inlineStr">
        <is>
          <t>중개거래</t>
        </is>
      </c>
      <c r="S1492" s="42" t="inlineStr">
        <is>
          <t>서울 강서구, 서울 서초구</t>
        </is>
      </c>
      <c r="T1492" s="41" t="inlineStr">
        <is>
          <t>24.09.27</t>
        </is>
      </c>
      <c r="U1492" s="42" t="inlineStr">
        <is>
          <t>아파트</t>
        </is>
      </c>
    </row>
    <row r="1493" hidden="1" ht="14.25" customHeight="1">
      <c r="A1493" s="41" t="n">
        <v>960</v>
      </c>
      <c r="B1493" s="42" t="inlineStr">
        <is>
          <t>서울특별시 서초구 서초동</t>
        </is>
      </c>
      <c r="C1493" s="41" t="inlineStr">
        <is>
          <t>1311-10</t>
        </is>
      </c>
      <c r="D1493" s="41" t="inlineStr">
        <is>
          <t>1311</t>
        </is>
      </c>
      <c r="E1493" s="41" t="inlineStr">
        <is>
          <t>0010</t>
        </is>
      </c>
      <c r="F1493" s="42" t="inlineStr">
        <is>
          <t>서초푸르지오써밋</t>
        </is>
      </c>
      <c r="G1493" s="41" t="inlineStr">
        <is>
          <t>97.7000</t>
        </is>
      </c>
      <c r="H1493" s="41" t="inlineStr">
        <is>
          <t>202406</t>
        </is>
      </c>
      <c r="I1493" s="41" t="inlineStr">
        <is>
          <t>08</t>
        </is>
      </c>
      <c r="J1493" s="41" t="inlineStr">
        <is>
          <t>289,000</t>
        </is>
      </c>
      <c r="K1493" s="41" t="inlineStr">
        <is>
          <t>202</t>
        </is>
      </c>
      <c r="L1493" s="41" t="inlineStr">
        <is>
          <t>22</t>
        </is>
      </c>
      <c r="M1493" s="42" t="inlineStr">
        <is>
          <t>개인</t>
        </is>
      </c>
      <c r="N1493" s="42" t="inlineStr">
        <is>
          <t>개인</t>
        </is>
      </c>
      <c r="O1493" s="41" t="inlineStr">
        <is>
          <t>2017</t>
        </is>
      </c>
      <c r="P1493" s="42" t="inlineStr">
        <is>
          <t>서운로 212</t>
        </is>
      </c>
      <c r="Q1493" s="41" t="inlineStr">
        <is>
          <t>-</t>
        </is>
      </c>
      <c r="R1493" s="42" t="inlineStr">
        <is>
          <t>중개거래</t>
        </is>
      </c>
      <c r="S1493" s="42" t="inlineStr">
        <is>
          <t>서울 서초구</t>
        </is>
      </c>
      <c r="T1493" s="41" t="inlineStr">
        <is>
          <t>24.09.30</t>
        </is>
      </c>
      <c r="U1493" s="42" t="inlineStr">
        <is>
          <t>아파트</t>
        </is>
      </c>
    </row>
    <row r="1494" hidden="1" ht="14.25" customHeight="1">
      <c r="A1494" s="41" t="n">
        <v>961</v>
      </c>
      <c r="B1494" s="42" t="inlineStr">
        <is>
          <t>서울특별시 서초구 서초동</t>
        </is>
      </c>
      <c r="C1494" s="41" t="inlineStr">
        <is>
          <t>1332-13</t>
        </is>
      </c>
      <c r="D1494" s="41" t="inlineStr">
        <is>
          <t>1332</t>
        </is>
      </c>
      <c r="E1494" s="41" t="inlineStr">
        <is>
          <t>0013</t>
        </is>
      </c>
      <c r="F1494" s="42" t="inlineStr">
        <is>
          <t>래미안서초에스티지</t>
        </is>
      </c>
      <c r="G1494" s="41" t="inlineStr">
        <is>
          <t>83.6000</t>
        </is>
      </c>
      <c r="H1494" s="41" t="inlineStr">
        <is>
          <t>202406</t>
        </is>
      </c>
      <c r="I1494" s="41" t="inlineStr">
        <is>
          <t>08</t>
        </is>
      </c>
      <c r="J1494" s="41" t="inlineStr">
        <is>
          <t>265,000</t>
        </is>
      </c>
      <c r="K1494" s="41" t="inlineStr">
        <is>
          <t>101동</t>
        </is>
      </c>
      <c r="L1494" s="41" t="inlineStr">
        <is>
          <t>18</t>
        </is>
      </c>
      <c r="M1494" s="42" t="inlineStr">
        <is>
          <t>개인</t>
        </is>
      </c>
      <c r="N1494" s="42" t="inlineStr">
        <is>
          <t>개인</t>
        </is>
      </c>
      <c r="O1494" s="41" t="inlineStr">
        <is>
          <t>2016</t>
        </is>
      </c>
      <c r="P1494" s="42" t="inlineStr">
        <is>
          <t>서운로 107</t>
        </is>
      </c>
      <c r="Q1494" s="41" t="inlineStr">
        <is>
          <t>-</t>
        </is>
      </c>
      <c r="R1494" s="42" t="inlineStr">
        <is>
          <t>중개거래</t>
        </is>
      </c>
      <c r="S1494" s="42" t="inlineStr">
        <is>
          <t>서울 서초구</t>
        </is>
      </c>
      <c r="T1494" s="41" t="inlineStr">
        <is>
          <t>24.10.07</t>
        </is>
      </c>
      <c r="U1494" s="42" t="inlineStr">
        <is>
          <t>아파트</t>
        </is>
      </c>
    </row>
    <row r="1495" hidden="1" ht="14.25" customHeight="1">
      <c r="A1495" s="41" t="n">
        <v>962</v>
      </c>
      <c r="B1495" s="42" t="inlineStr">
        <is>
          <t>서울특별시 서초구 서초동</t>
        </is>
      </c>
      <c r="C1495" s="41" t="inlineStr">
        <is>
          <t>1301-6</t>
        </is>
      </c>
      <c r="D1495" s="41" t="inlineStr">
        <is>
          <t>1301</t>
        </is>
      </c>
      <c r="E1495" s="41" t="inlineStr">
        <is>
          <t>0006</t>
        </is>
      </c>
      <c r="F1495" s="42" t="inlineStr">
        <is>
          <t>래미안서초스위트</t>
        </is>
      </c>
      <c r="G1495" s="41" t="inlineStr">
        <is>
          <t>95.7555</t>
        </is>
      </c>
      <c r="H1495" s="41" t="inlineStr">
        <is>
          <t>202406</t>
        </is>
      </c>
      <c r="I1495" s="41" t="inlineStr">
        <is>
          <t>08</t>
        </is>
      </c>
      <c r="J1495" s="41" t="inlineStr">
        <is>
          <t>245,000</t>
        </is>
      </c>
      <c r="K1495" s="41" t="inlineStr">
        <is>
          <t>102</t>
        </is>
      </c>
      <c r="L1495" s="41" t="inlineStr">
        <is>
          <t>5</t>
        </is>
      </c>
      <c r="M1495" s="42" t="inlineStr">
        <is>
          <t>개인</t>
        </is>
      </c>
      <c r="N1495" s="42" t="inlineStr">
        <is>
          <t>개인</t>
        </is>
      </c>
      <c r="O1495" s="41" t="inlineStr">
        <is>
          <t>2009</t>
        </is>
      </c>
      <c r="P1495" s="42" t="inlineStr">
        <is>
          <t>서운로 221</t>
        </is>
      </c>
      <c r="Q1495" s="41" t="inlineStr">
        <is>
          <t>-</t>
        </is>
      </c>
      <c r="R1495" s="42" t="inlineStr">
        <is>
          <t>중개거래</t>
        </is>
      </c>
      <c r="S1495" s="42" t="inlineStr">
        <is>
          <t>서울 서초구</t>
        </is>
      </c>
      <c r="T1495" s="41" t="inlineStr">
        <is>
          <t>24.08.30</t>
        </is>
      </c>
      <c r="U1495" s="42" t="inlineStr">
        <is>
          <t>아파트</t>
        </is>
      </c>
    </row>
    <row r="1496" hidden="1" ht="14.25" customHeight="1">
      <c r="A1496" s="41" t="n">
        <v>963</v>
      </c>
      <c r="B1496" s="42" t="inlineStr">
        <is>
          <t>서울특별시 서초구 서초동</t>
        </is>
      </c>
      <c r="C1496" s="41" t="inlineStr">
        <is>
          <t>1315</t>
        </is>
      </c>
      <c r="D1496" s="41" t="inlineStr">
        <is>
          <t>1315</t>
        </is>
      </c>
      <c r="E1496" s="41" t="inlineStr">
        <is>
          <t>0000</t>
        </is>
      </c>
      <c r="F1496" s="42" t="inlineStr">
        <is>
          <t>진흥아파트</t>
        </is>
      </c>
      <c r="G1496" s="41" t="inlineStr">
        <is>
          <t>101.3200</t>
        </is>
      </c>
      <c r="H1496" s="41" t="inlineStr">
        <is>
          <t>202406</t>
        </is>
      </c>
      <c r="I1496" s="41" t="inlineStr">
        <is>
          <t>07</t>
        </is>
      </c>
      <c r="J1496" s="41" t="inlineStr">
        <is>
          <t>215,000</t>
        </is>
      </c>
      <c r="K1496" s="41" t="inlineStr">
        <is>
          <t>2</t>
        </is>
      </c>
      <c r="L1496" s="41" t="inlineStr">
        <is>
          <t>4</t>
        </is>
      </c>
      <c r="M1496" s="42" t="inlineStr">
        <is>
          <t>개인</t>
        </is>
      </c>
      <c r="N1496" s="42" t="inlineStr">
        <is>
          <t>개인</t>
        </is>
      </c>
      <c r="O1496" s="41" t="inlineStr">
        <is>
          <t>1979</t>
        </is>
      </c>
      <c r="P1496" s="42" t="inlineStr">
        <is>
          <t>서초대로 385</t>
        </is>
      </c>
      <c r="Q1496" s="41" t="inlineStr">
        <is>
          <t>-</t>
        </is>
      </c>
      <c r="R1496" s="42" t="inlineStr">
        <is>
          <t>중개거래</t>
        </is>
      </c>
      <c r="S1496" s="42" t="inlineStr">
        <is>
          <t>서울 서초구</t>
        </is>
      </c>
      <c r="T1496" s="41" t="inlineStr">
        <is>
          <t>24.08.02</t>
        </is>
      </c>
      <c r="U1496" s="42" t="inlineStr">
        <is>
          <t>아파트</t>
        </is>
      </c>
    </row>
    <row r="1497" hidden="1" ht="14.25" customHeight="1">
      <c r="A1497" s="41" t="n">
        <v>964</v>
      </c>
      <c r="B1497" s="42" t="inlineStr">
        <is>
          <t>서울특별시 서초구 서초동</t>
        </is>
      </c>
      <c r="C1497" s="41" t="inlineStr">
        <is>
          <t>1330</t>
        </is>
      </c>
      <c r="D1497" s="41" t="inlineStr">
        <is>
          <t>1330</t>
        </is>
      </c>
      <c r="E1497" s="41" t="inlineStr">
        <is>
          <t>0000</t>
        </is>
      </c>
      <c r="F1497" s="42" t="inlineStr">
        <is>
          <t>서초동삼성쉐르빌2</t>
        </is>
      </c>
      <c r="G1497" s="41" t="inlineStr">
        <is>
          <t>35.2200</t>
        </is>
      </c>
      <c r="H1497" s="41" t="inlineStr">
        <is>
          <t>202406</t>
        </is>
      </c>
      <c r="I1497" s="41" t="inlineStr">
        <is>
          <t>07</t>
        </is>
      </c>
      <c r="J1497" s="41" t="inlineStr">
        <is>
          <t>29,600</t>
        </is>
      </c>
      <c r="K1497" s="41" t="inlineStr">
        <is>
          <t>-</t>
        </is>
      </c>
      <c r="L1497" s="41" t="inlineStr">
        <is>
          <t>4</t>
        </is>
      </c>
      <c r="M1497" s="42" t="inlineStr">
        <is>
          <t>개인</t>
        </is>
      </c>
      <c r="N1497" s="42" t="inlineStr">
        <is>
          <t>개인</t>
        </is>
      </c>
      <c r="O1497" s="41" t="inlineStr">
        <is>
          <t>2002</t>
        </is>
      </c>
      <c r="P1497" s="42" t="inlineStr">
        <is>
          <t>강남대로53길 11</t>
        </is>
      </c>
      <c r="Q1497" s="41" t="inlineStr">
        <is>
          <t>-</t>
        </is>
      </c>
      <c r="R1497" s="42" t="inlineStr">
        <is>
          <t>중개거래</t>
        </is>
      </c>
      <c r="S1497" s="42" t="inlineStr">
        <is>
          <t>서울 강남구, 서울 서초구</t>
        </is>
      </c>
      <c r="T1497" s="41" t="inlineStr">
        <is>
          <t>24.09.05</t>
        </is>
      </c>
      <c r="U1497" s="42" t="inlineStr">
        <is>
          <t>아파트</t>
        </is>
      </c>
    </row>
    <row r="1498" hidden="1" ht="14.25" customHeight="1">
      <c r="A1498" s="41" t="n">
        <v>965</v>
      </c>
      <c r="B1498" s="42" t="inlineStr">
        <is>
          <t>서울특별시 서초구 서초동</t>
        </is>
      </c>
      <c r="C1498" s="41" t="inlineStr">
        <is>
          <t>1682</t>
        </is>
      </c>
      <c r="D1498" s="41" t="inlineStr">
        <is>
          <t>1682</t>
        </is>
      </c>
      <c r="E1498" s="41" t="inlineStr">
        <is>
          <t>0000</t>
        </is>
      </c>
      <c r="F1498" s="42" t="inlineStr">
        <is>
          <t>서초래미안</t>
        </is>
      </c>
      <c r="G1498" s="41" t="inlineStr">
        <is>
          <t>84.9500</t>
        </is>
      </c>
      <c r="H1498" s="41" t="inlineStr">
        <is>
          <t>202406</t>
        </is>
      </c>
      <c r="I1498" s="41" t="inlineStr">
        <is>
          <t>07</t>
        </is>
      </c>
      <c r="J1498" s="41" t="inlineStr">
        <is>
          <t>206,500</t>
        </is>
      </c>
      <c r="K1498" s="41" t="inlineStr">
        <is>
          <t>105</t>
        </is>
      </c>
      <c r="L1498" s="41" t="inlineStr">
        <is>
          <t>9</t>
        </is>
      </c>
      <c r="M1498" s="42" t="inlineStr">
        <is>
          <t>개인</t>
        </is>
      </c>
      <c r="N1498" s="42" t="inlineStr">
        <is>
          <t>개인</t>
        </is>
      </c>
      <c r="O1498" s="41" t="inlineStr">
        <is>
          <t>2003</t>
        </is>
      </c>
      <c r="P1498" s="42" t="inlineStr">
        <is>
          <t>서초대로65길 13-10</t>
        </is>
      </c>
      <c r="Q1498" s="41" t="inlineStr">
        <is>
          <t>-</t>
        </is>
      </c>
      <c r="R1498" s="42" t="inlineStr">
        <is>
          <t>중개거래</t>
        </is>
      </c>
      <c r="S1498" s="42" t="inlineStr">
        <is>
          <t>서울 서초구</t>
        </is>
      </c>
      <c r="T1498" s="41" t="inlineStr">
        <is>
          <t>24.08.22</t>
        </is>
      </c>
      <c r="U1498" s="42" t="inlineStr">
        <is>
          <t>아파트</t>
        </is>
      </c>
    </row>
    <row r="1499" hidden="1" ht="14.25" customHeight="1">
      <c r="A1499" s="41" t="n">
        <v>966</v>
      </c>
      <c r="B1499" s="42" t="inlineStr">
        <is>
          <t>서울특별시 서초구 서초동</t>
        </is>
      </c>
      <c r="C1499" s="41" t="inlineStr">
        <is>
          <t>1451-89</t>
        </is>
      </c>
      <c r="D1499" s="41" t="inlineStr">
        <is>
          <t>1451</t>
        </is>
      </c>
      <c r="E1499" s="41" t="inlineStr">
        <is>
          <t>0089</t>
        </is>
      </c>
      <c r="F1499" s="42" t="inlineStr">
        <is>
          <t>서초중흥S-클래스(도시형생활주택)</t>
        </is>
      </c>
      <c r="G1499" s="41" t="inlineStr">
        <is>
          <t>18.5900</t>
        </is>
      </c>
      <c r="H1499" s="41" t="inlineStr">
        <is>
          <t>202406</t>
        </is>
      </c>
      <c r="I1499" s="41" t="inlineStr">
        <is>
          <t>07</t>
        </is>
      </c>
      <c r="J1499" s="41" t="inlineStr">
        <is>
          <t>19,500</t>
        </is>
      </c>
      <c r="K1499" s="41" t="inlineStr">
        <is>
          <t>1</t>
        </is>
      </c>
      <c r="L1499" s="41" t="inlineStr">
        <is>
          <t>3</t>
        </is>
      </c>
      <c r="M1499" s="42" t="inlineStr">
        <is>
          <t>개인</t>
        </is>
      </c>
      <c r="N1499" s="42" t="inlineStr">
        <is>
          <t>개인</t>
        </is>
      </c>
      <c r="O1499" s="41" t="inlineStr">
        <is>
          <t>2013</t>
        </is>
      </c>
      <c r="P1499" s="42" t="inlineStr">
        <is>
          <t>효령로52길 63</t>
        </is>
      </c>
      <c r="Q1499" s="41" t="inlineStr">
        <is>
          <t>-</t>
        </is>
      </c>
      <c r="R1499" s="42" t="inlineStr">
        <is>
          <t>중개거래</t>
        </is>
      </c>
      <c r="S1499" s="42" t="inlineStr">
        <is>
          <t>서울 서초구</t>
        </is>
      </c>
      <c r="T1499" s="41" t="inlineStr">
        <is>
          <t>24.08.28</t>
        </is>
      </c>
      <c r="U1499" s="42" t="inlineStr">
        <is>
          <t>아파트</t>
        </is>
      </c>
    </row>
    <row r="1500" hidden="1" ht="14.25" customHeight="1">
      <c r="A1500" s="41" t="n">
        <v>967</v>
      </c>
      <c r="B1500" s="42" t="inlineStr">
        <is>
          <t>서울특별시 서초구 서초동</t>
        </is>
      </c>
      <c r="C1500" s="41" t="inlineStr">
        <is>
          <t>1755</t>
        </is>
      </c>
      <c r="D1500" s="41" t="inlineStr">
        <is>
          <t>1755</t>
        </is>
      </c>
      <c r="E1500" s="41" t="inlineStr">
        <is>
          <t>0000</t>
        </is>
      </c>
      <c r="F1500" s="42" t="inlineStr">
        <is>
          <t>래미안 리더스원</t>
        </is>
      </c>
      <c r="G1500" s="41" t="inlineStr">
        <is>
          <t>84.9400</t>
        </is>
      </c>
      <c r="H1500" s="41" t="inlineStr">
        <is>
          <t>202406</t>
        </is>
      </c>
      <c r="I1500" s="41" t="inlineStr">
        <is>
          <t>06</t>
        </is>
      </c>
      <c r="J1500" s="41" t="inlineStr">
        <is>
          <t>287,500</t>
        </is>
      </c>
      <c r="K1500" s="41" t="inlineStr">
        <is>
          <t>101동</t>
        </is>
      </c>
      <c r="L1500" s="41" t="inlineStr">
        <is>
          <t>4</t>
        </is>
      </c>
      <c r="M1500" s="42" t="inlineStr">
        <is>
          <t>개인</t>
        </is>
      </c>
      <c r="N1500" s="42" t="inlineStr">
        <is>
          <t>개인</t>
        </is>
      </c>
      <c r="O1500" s="41" t="inlineStr">
        <is>
          <t>2020</t>
        </is>
      </c>
      <c r="P1500" s="42" t="inlineStr">
        <is>
          <t>서운로 62</t>
        </is>
      </c>
      <c r="Q1500" s="41" t="inlineStr">
        <is>
          <t>-</t>
        </is>
      </c>
      <c r="R1500" s="42" t="inlineStr">
        <is>
          <t>중개거래</t>
        </is>
      </c>
      <c r="S1500" s="42" t="inlineStr">
        <is>
          <t>서울 서초구</t>
        </is>
      </c>
      <c r="T1500" s="41" t="inlineStr">
        <is>
          <t>24.11.29</t>
        </is>
      </c>
      <c r="U1500" s="42" t="inlineStr">
        <is>
          <t>아파트</t>
        </is>
      </c>
    </row>
    <row r="1501" hidden="1" ht="14.25" customHeight="1">
      <c r="A1501" s="41" t="n">
        <v>968</v>
      </c>
      <c r="B1501" s="42" t="inlineStr">
        <is>
          <t>서울특별시 서초구 서초동</t>
        </is>
      </c>
      <c r="C1501" s="41" t="inlineStr">
        <is>
          <t>1333</t>
        </is>
      </c>
      <c r="D1501" s="41" t="inlineStr">
        <is>
          <t>1333</t>
        </is>
      </c>
      <c r="E1501" s="41" t="inlineStr">
        <is>
          <t>0000</t>
        </is>
      </c>
      <c r="F1501" s="42" t="inlineStr">
        <is>
          <t>신동아아파트(1차)</t>
        </is>
      </c>
      <c r="G1501" s="41" t="inlineStr">
        <is>
          <t>86.6100</t>
        </is>
      </c>
      <c r="H1501" s="41" t="inlineStr">
        <is>
          <t>202406</t>
        </is>
      </c>
      <c r="I1501" s="41" t="inlineStr">
        <is>
          <t>06</t>
        </is>
      </c>
      <c r="J1501" s="41" t="inlineStr">
        <is>
          <t>210,000</t>
        </is>
      </c>
      <c r="K1501" s="41" t="inlineStr">
        <is>
          <t>7</t>
        </is>
      </c>
      <c r="L1501" s="41" t="inlineStr">
        <is>
          <t>6</t>
        </is>
      </c>
      <c r="M1501" s="42" t="inlineStr">
        <is>
          <t>개인</t>
        </is>
      </c>
      <c r="N1501" s="42" t="inlineStr">
        <is>
          <t>개인</t>
        </is>
      </c>
      <c r="O1501" s="41" t="inlineStr">
        <is>
          <t>1978</t>
        </is>
      </c>
      <c r="P1501" s="42" t="inlineStr">
        <is>
          <t>사임당로 130</t>
        </is>
      </c>
      <c r="Q1501" s="41" t="inlineStr">
        <is>
          <t>-</t>
        </is>
      </c>
      <c r="R1501" s="42" t="inlineStr">
        <is>
          <t>중개거래</t>
        </is>
      </c>
      <c r="S1501" s="42" t="inlineStr">
        <is>
          <t>서울 서초구</t>
        </is>
      </c>
      <c r="T1501" s="41" t="inlineStr">
        <is>
          <t>24.08.30</t>
        </is>
      </c>
      <c r="U1501" s="42" t="inlineStr">
        <is>
          <t>아파트</t>
        </is>
      </c>
    </row>
    <row r="1502" hidden="1" ht="14.25" customHeight="1">
      <c r="A1502" s="41" t="n">
        <v>969</v>
      </c>
      <c r="B1502" s="42" t="inlineStr">
        <is>
          <t>서울특별시 서초구 서초동</t>
        </is>
      </c>
      <c r="C1502" s="41" t="inlineStr">
        <is>
          <t>1362-10</t>
        </is>
      </c>
      <c r="D1502" s="41" t="inlineStr">
        <is>
          <t>1362</t>
        </is>
      </c>
      <c r="E1502" s="41" t="inlineStr">
        <is>
          <t>0010</t>
        </is>
      </c>
      <c r="F1502" s="42" t="inlineStr">
        <is>
          <t>서초노블레스아파트</t>
        </is>
      </c>
      <c r="G1502" s="41" t="inlineStr">
        <is>
          <t>29.4700</t>
        </is>
      </c>
      <c r="H1502" s="41" t="inlineStr">
        <is>
          <t>202406</t>
        </is>
      </c>
      <c r="I1502" s="41" t="inlineStr">
        <is>
          <t>06</t>
        </is>
      </c>
      <c r="J1502" s="41" t="inlineStr">
        <is>
          <t>49,500</t>
        </is>
      </c>
      <c r="K1502" s="41" t="inlineStr">
        <is>
          <t>-</t>
        </is>
      </c>
      <c r="L1502" s="41" t="inlineStr">
        <is>
          <t>10</t>
        </is>
      </c>
      <c r="M1502" s="42" t="inlineStr">
        <is>
          <t>개인</t>
        </is>
      </c>
      <c r="N1502" s="42" t="inlineStr">
        <is>
          <t>개인</t>
        </is>
      </c>
      <c r="O1502" s="41" t="inlineStr">
        <is>
          <t>2019</t>
        </is>
      </c>
      <c r="P1502" s="42" t="inlineStr">
        <is>
          <t>강남대로39길 15-11</t>
        </is>
      </c>
      <c r="Q1502" s="41" t="inlineStr">
        <is>
          <t>-</t>
        </is>
      </c>
      <c r="R1502" s="42" t="inlineStr">
        <is>
          <t>중개거래</t>
        </is>
      </c>
      <c r="S1502" s="42" t="inlineStr">
        <is>
          <t>서울 서초구</t>
        </is>
      </c>
      <c r="T1502" s="41" t="inlineStr">
        <is>
          <t>24.10.02</t>
        </is>
      </c>
      <c r="U1502" s="42" t="inlineStr">
        <is>
          <t>아파트</t>
        </is>
      </c>
    </row>
    <row r="1503" hidden="1" ht="14.25" customHeight="1">
      <c r="A1503" s="41" t="n">
        <v>970</v>
      </c>
      <c r="B1503" s="42" t="inlineStr">
        <is>
          <t>서울특별시 서초구 서초동</t>
        </is>
      </c>
      <c r="C1503" s="41" t="inlineStr">
        <is>
          <t>1330</t>
        </is>
      </c>
      <c r="D1503" s="41" t="inlineStr">
        <is>
          <t>1330</t>
        </is>
      </c>
      <c r="E1503" s="41" t="inlineStr">
        <is>
          <t>0000</t>
        </is>
      </c>
      <c r="F1503" s="42" t="inlineStr">
        <is>
          <t>서초동삼성쉐르빌2</t>
        </is>
      </c>
      <c r="G1503" s="41" t="inlineStr">
        <is>
          <t>35.2200</t>
        </is>
      </c>
      <c r="H1503" s="41" t="inlineStr">
        <is>
          <t>202406</t>
        </is>
      </c>
      <c r="I1503" s="41" t="inlineStr">
        <is>
          <t>05</t>
        </is>
      </c>
      <c r="J1503" s="41" t="inlineStr">
        <is>
          <t>28,500</t>
        </is>
      </c>
      <c r="K1503" s="41" t="inlineStr">
        <is>
          <t>-</t>
        </is>
      </c>
      <c r="L1503" s="41" t="inlineStr">
        <is>
          <t>15</t>
        </is>
      </c>
      <c r="M1503" s="42" t="inlineStr">
        <is>
          <t>개인</t>
        </is>
      </c>
      <c r="N1503" s="42" t="inlineStr">
        <is>
          <t>개인</t>
        </is>
      </c>
      <c r="O1503" s="41" t="inlineStr">
        <is>
          <t>2002</t>
        </is>
      </c>
      <c r="P1503" s="42" t="inlineStr">
        <is>
          <t>강남대로53길 11</t>
        </is>
      </c>
      <c r="Q1503" s="41" t="inlineStr">
        <is>
          <t>-</t>
        </is>
      </c>
      <c r="R1503" s="42" t="inlineStr">
        <is>
          <t>중개거래</t>
        </is>
      </c>
      <c r="S1503" s="42" t="inlineStr">
        <is>
          <t>서울 서초구</t>
        </is>
      </c>
      <c r="T1503" s="41" t="inlineStr">
        <is>
          <t>24.09.04</t>
        </is>
      </c>
      <c r="U1503" s="42" t="inlineStr">
        <is>
          <t>아파트</t>
        </is>
      </c>
    </row>
    <row r="1504" hidden="1" ht="14.25" customHeight="1">
      <c r="A1504" s="41" t="n">
        <v>971</v>
      </c>
      <c r="B1504" s="42" t="inlineStr">
        <is>
          <t>서울특별시 서초구 서초동</t>
        </is>
      </c>
      <c r="C1504" s="41" t="inlineStr">
        <is>
          <t>1757</t>
        </is>
      </c>
      <c r="D1504" s="41" t="inlineStr">
        <is>
          <t>1757</t>
        </is>
      </c>
      <c r="E1504" s="41" t="inlineStr">
        <is>
          <t>0000</t>
        </is>
      </c>
      <c r="F1504" s="42" t="inlineStr">
        <is>
          <t>서초그랑자이</t>
        </is>
      </c>
      <c r="G1504" s="41" t="inlineStr">
        <is>
          <t>84.5100</t>
        </is>
      </c>
      <c r="H1504" s="41" t="inlineStr">
        <is>
          <t>202406</t>
        </is>
      </c>
      <c r="I1504" s="41" t="inlineStr">
        <is>
          <t>05</t>
        </is>
      </c>
      <c r="J1504" s="41" t="inlineStr">
        <is>
          <t>308,500</t>
        </is>
      </c>
      <c r="K1504" s="41" t="inlineStr">
        <is>
          <t>103동</t>
        </is>
      </c>
      <c r="L1504" s="41" t="inlineStr">
        <is>
          <t>13</t>
        </is>
      </c>
      <c r="M1504" s="42" t="inlineStr">
        <is>
          <t>개인</t>
        </is>
      </c>
      <c r="N1504" s="42" t="inlineStr">
        <is>
          <t>법인</t>
        </is>
      </c>
      <c r="O1504" s="41" t="inlineStr">
        <is>
          <t>2021</t>
        </is>
      </c>
      <c r="P1504" s="42" t="inlineStr">
        <is>
          <t>효령로 391</t>
        </is>
      </c>
      <c r="Q1504" s="41" t="inlineStr">
        <is>
          <t>-</t>
        </is>
      </c>
      <c r="R1504" s="42" t="inlineStr">
        <is>
          <t>중개거래</t>
        </is>
      </c>
      <c r="S1504" s="42" t="inlineStr">
        <is>
          <t>서울 강남구, 서울 서초구</t>
        </is>
      </c>
      <c r="T1504" s="41" t="inlineStr">
        <is>
          <t>24.10.04</t>
        </is>
      </c>
      <c r="U1504" s="42" t="inlineStr">
        <is>
          <t>아파트</t>
        </is>
      </c>
    </row>
    <row r="1505" hidden="1" ht="14.25" customHeight="1">
      <c r="A1505" s="41" t="n">
        <v>972</v>
      </c>
      <c r="B1505" s="42" t="inlineStr">
        <is>
          <t>서울특별시 서초구 서초동</t>
        </is>
      </c>
      <c r="C1505" s="41" t="inlineStr">
        <is>
          <t>1754</t>
        </is>
      </c>
      <c r="D1505" s="41" t="inlineStr">
        <is>
          <t>1754</t>
        </is>
      </c>
      <c r="E1505" s="41" t="inlineStr">
        <is>
          <t>0000</t>
        </is>
      </c>
      <c r="F1505" s="42" t="inlineStr">
        <is>
          <t>래미안서초에스티지S</t>
        </is>
      </c>
      <c r="G1505" s="41" t="inlineStr">
        <is>
          <t>84.9600</t>
        </is>
      </c>
      <c r="H1505" s="41" t="inlineStr">
        <is>
          <t>202406</t>
        </is>
      </c>
      <c r="I1505" s="41" t="inlineStr">
        <is>
          <t>04</t>
        </is>
      </c>
      <c r="J1505" s="41" t="inlineStr">
        <is>
          <t>285,000</t>
        </is>
      </c>
      <c r="K1505" s="41" t="inlineStr">
        <is>
          <t>201</t>
        </is>
      </c>
      <c r="L1505" s="41" t="inlineStr">
        <is>
          <t>13</t>
        </is>
      </c>
      <c r="M1505" s="42" t="inlineStr">
        <is>
          <t>개인</t>
        </is>
      </c>
      <c r="N1505" s="42" t="inlineStr">
        <is>
          <t>개인</t>
        </is>
      </c>
      <c r="O1505" s="41" t="inlineStr">
        <is>
          <t>2018</t>
        </is>
      </c>
      <c r="P1505" s="42" t="inlineStr">
        <is>
          <t>서운로 104</t>
        </is>
      </c>
      <c r="Q1505" s="41" t="inlineStr">
        <is>
          <t>-</t>
        </is>
      </c>
      <c r="R1505" s="42" t="inlineStr">
        <is>
          <t>중개거래</t>
        </is>
      </c>
      <c r="S1505" s="42" t="inlineStr">
        <is>
          <t>서울 서초구</t>
        </is>
      </c>
      <c r="T1505" s="41" t="inlineStr">
        <is>
          <t>24.09.25</t>
        </is>
      </c>
      <c r="U1505" s="42" t="inlineStr">
        <is>
          <t>아파트</t>
        </is>
      </c>
    </row>
    <row r="1506" hidden="1" ht="14.25" customHeight="1">
      <c r="A1506" s="41" t="n">
        <v>973</v>
      </c>
      <c r="B1506" s="42" t="inlineStr">
        <is>
          <t>서울특별시 서초구 서초동</t>
        </is>
      </c>
      <c r="C1506" s="41" t="inlineStr">
        <is>
          <t>1685</t>
        </is>
      </c>
      <c r="D1506" s="41" t="inlineStr">
        <is>
          <t>1685</t>
        </is>
      </c>
      <c r="E1506" s="41" t="inlineStr">
        <is>
          <t>0000</t>
        </is>
      </c>
      <c r="F1506" s="42" t="inlineStr">
        <is>
          <t>삼풍아파트</t>
        </is>
      </c>
      <c r="G1506" s="41" t="inlineStr">
        <is>
          <t>79.4700</t>
        </is>
      </c>
      <c r="H1506" s="41" t="inlineStr">
        <is>
          <t>202406</t>
        </is>
      </c>
      <c r="I1506" s="41" t="inlineStr">
        <is>
          <t>04</t>
        </is>
      </c>
      <c r="J1506" s="41" t="inlineStr">
        <is>
          <t>242,000</t>
        </is>
      </c>
      <c r="K1506" s="41" t="inlineStr">
        <is>
          <t>8</t>
        </is>
      </c>
      <c r="L1506" s="41" t="inlineStr">
        <is>
          <t>13</t>
        </is>
      </c>
      <c r="M1506" s="42" t="inlineStr">
        <is>
          <t>개인</t>
        </is>
      </c>
      <c r="N1506" s="42" t="inlineStr">
        <is>
          <t>개인</t>
        </is>
      </c>
      <c r="O1506" s="41" t="inlineStr">
        <is>
          <t>1988</t>
        </is>
      </c>
      <c r="P1506" s="42" t="inlineStr">
        <is>
          <t>서초중앙로 200</t>
        </is>
      </c>
      <c r="Q1506" s="41" t="inlineStr">
        <is>
          <t>-</t>
        </is>
      </c>
      <c r="R1506" s="42" t="inlineStr">
        <is>
          <t>중개거래</t>
        </is>
      </c>
      <c r="S1506" s="42" t="inlineStr">
        <is>
          <t>서울 서초구</t>
        </is>
      </c>
      <c r="T1506" s="41" t="inlineStr">
        <is>
          <t>24.09.06</t>
        </is>
      </c>
      <c r="U1506" s="42" t="inlineStr">
        <is>
          <t>아파트</t>
        </is>
      </c>
    </row>
    <row r="1507" hidden="1" ht="14.25" customHeight="1">
      <c r="A1507" s="41" t="n">
        <v>974</v>
      </c>
      <c r="B1507" s="42" t="inlineStr">
        <is>
          <t>서울특별시 서초구 서초동</t>
        </is>
      </c>
      <c r="C1507" s="41" t="inlineStr">
        <is>
          <t>1757</t>
        </is>
      </c>
      <c r="D1507" s="41" t="inlineStr">
        <is>
          <t>1757</t>
        </is>
      </c>
      <c r="E1507" s="41" t="inlineStr">
        <is>
          <t>0000</t>
        </is>
      </c>
      <c r="F1507" s="42" t="inlineStr">
        <is>
          <t>서초그랑자이</t>
        </is>
      </c>
      <c r="G1507" s="41" t="inlineStr">
        <is>
          <t>90.7200</t>
        </is>
      </c>
      <c r="H1507" s="41" t="inlineStr">
        <is>
          <t>202406</t>
        </is>
      </c>
      <c r="I1507" s="41" t="inlineStr">
        <is>
          <t>04</t>
        </is>
      </c>
      <c r="J1507" s="41" t="inlineStr">
        <is>
          <t>325,000</t>
        </is>
      </c>
      <c r="K1507" s="41" t="inlineStr">
        <is>
          <t>103동</t>
        </is>
      </c>
      <c r="L1507" s="41" t="inlineStr">
        <is>
          <t>3</t>
        </is>
      </c>
      <c r="M1507" s="42" t="inlineStr">
        <is>
          <t>개인</t>
        </is>
      </c>
      <c r="N1507" s="42" t="inlineStr">
        <is>
          <t>개인</t>
        </is>
      </c>
      <c r="O1507" s="41" t="inlineStr">
        <is>
          <t>2021</t>
        </is>
      </c>
      <c r="P1507" s="42" t="inlineStr">
        <is>
          <t>효령로 391</t>
        </is>
      </c>
      <c r="Q1507" s="41" t="inlineStr">
        <is>
          <t>-</t>
        </is>
      </c>
      <c r="R1507" s="42" t="inlineStr">
        <is>
          <t>중개거래</t>
        </is>
      </c>
      <c r="S1507" s="42" t="inlineStr">
        <is>
          <t>서울 서초구</t>
        </is>
      </c>
      <c r="T1507" s="41" t="inlineStr">
        <is>
          <t>24.09.30</t>
        </is>
      </c>
      <c r="U1507" s="42" t="inlineStr">
        <is>
          <t>아파트</t>
        </is>
      </c>
    </row>
    <row r="1508" hidden="1" ht="14.25" customHeight="1">
      <c r="A1508" s="41" t="n">
        <v>975</v>
      </c>
      <c r="B1508" s="42" t="inlineStr">
        <is>
          <t>서울특별시 서초구 서초동</t>
        </is>
      </c>
      <c r="C1508" s="41" t="inlineStr">
        <is>
          <t>1754</t>
        </is>
      </c>
      <c r="D1508" s="41" t="inlineStr">
        <is>
          <t>1754</t>
        </is>
      </c>
      <c r="E1508" s="41" t="inlineStr">
        <is>
          <t>0000</t>
        </is>
      </c>
      <c r="F1508" s="42" t="inlineStr">
        <is>
          <t>래미안서초에스티지S</t>
        </is>
      </c>
      <c r="G1508" s="41" t="inlineStr">
        <is>
          <t>84.9600</t>
        </is>
      </c>
      <c r="H1508" s="41" t="inlineStr">
        <is>
          <t>202406</t>
        </is>
      </c>
      <c r="I1508" s="41" t="inlineStr">
        <is>
          <t>04</t>
        </is>
      </c>
      <c r="J1508" s="41" t="inlineStr">
        <is>
          <t>269,000</t>
        </is>
      </c>
      <c r="K1508" s="41" t="inlineStr">
        <is>
          <t>201</t>
        </is>
      </c>
      <c r="L1508" s="41" t="inlineStr">
        <is>
          <t>30</t>
        </is>
      </c>
      <c r="M1508" s="42" t="inlineStr">
        <is>
          <t>개인</t>
        </is>
      </c>
      <c r="N1508" s="42" t="inlineStr">
        <is>
          <t>개인</t>
        </is>
      </c>
      <c r="O1508" s="41" t="inlineStr">
        <is>
          <t>2018</t>
        </is>
      </c>
      <c r="P1508" s="42" t="inlineStr">
        <is>
          <t>서운로 104</t>
        </is>
      </c>
      <c r="Q1508" s="41" t="inlineStr">
        <is>
          <t>-</t>
        </is>
      </c>
      <c r="R1508" s="42" t="inlineStr">
        <is>
          <t>중개거래</t>
        </is>
      </c>
      <c r="S1508" s="42" t="inlineStr">
        <is>
          <t>서울 서초구</t>
        </is>
      </c>
      <c r="T1508" s="41" t="inlineStr">
        <is>
          <t>24.08.30</t>
        </is>
      </c>
      <c r="U1508" s="42" t="inlineStr">
        <is>
          <t>아파트</t>
        </is>
      </c>
    </row>
    <row r="1509" hidden="1" ht="14.25" customHeight="1">
      <c r="A1509" s="41" t="n">
        <v>976</v>
      </c>
      <c r="B1509" s="42" t="inlineStr">
        <is>
          <t>서울특별시 서초구 서초동</t>
        </is>
      </c>
      <c r="C1509" s="41" t="inlineStr">
        <is>
          <t>1681-8</t>
        </is>
      </c>
      <c r="D1509" s="41" t="inlineStr">
        <is>
          <t>1681</t>
        </is>
      </c>
      <c r="E1509" s="41" t="inlineStr">
        <is>
          <t>0008</t>
        </is>
      </c>
      <c r="F1509" s="42" t="inlineStr">
        <is>
          <t>서초롯데캐슬프레지던트</t>
        </is>
      </c>
      <c r="G1509" s="41" t="inlineStr">
        <is>
          <t>84.9700</t>
        </is>
      </c>
      <c r="H1509" s="41" t="inlineStr">
        <is>
          <t>202406</t>
        </is>
      </c>
      <c r="I1509" s="41" t="inlineStr">
        <is>
          <t>03</t>
        </is>
      </c>
      <c r="J1509" s="41" t="inlineStr">
        <is>
          <t>211,000</t>
        </is>
      </c>
      <c r="K1509" s="41" t="inlineStr">
        <is>
          <t>-</t>
        </is>
      </c>
      <c r="L1509" s="41" t="inlineStr">
        <is>
          <t>4</t>
        </is>
      </c>
      <c r="M1509" s="42" t="inlineStr">
        <is>
          <t>개인</t>
        </is>
      </c>
      <c r="N1509" s="42" t="inlineStr">
        <is>
          <t>개인</t>
        </is>
      </c>
      <c r="O1509" s="41" t="inlineStr">
        <is>
          <t>2014</t>
        </is>
      </c>
      <c r="P1509" s="42" t="inlineStr">
        <is>
          <t>서초중앙로24길 57</t>
        </is>
      </c>
      <c r="Q1509" s="41" t="inlineStr">
        <is>
          <t>20240618</t>
        </is>
      </c>
      <c r="R1509" s="42" t="inlineStr">
        <is>
          <t>중개거래</t>
        </is>
      </c>
      <c r="S1509" s="42" t="inlineStr">
        <is>
          <t>서울 서초구</t>
        </is>
      </c>
      <c r="T1509" s="41" t="inlineStr">
        <is>
          <t>-</t>
        </is>
      </c>
      <c r="U1509" s="42" t="inlineStr">
        <is>
          <t>아파트</t>
        </is>
      </c>
    </row>
    <row r="1510" hidden="1" ht="14.25" customHeight="1">
      <c r="A1510" s="41" t="n">
        <v>977</v>
      </c>
      <c r="B1510" s="42" t="inlineStr">
        <is>
          <t>서울특별시 서초구 서초동</t>
        </is>
      </c>
      <c r="C1510" s="41" t="inlineStr">
        <is>
          <t>1333</t>
        </is>
      </c>
      <c r="D1510" s="41" t="inlineStr">
        <is>
          <t>1333</t>
        </is>
      </c>
      <c r="E1510" s="41" t="inlineStr">
        <is>
          <t>0000</t>
        </is>
      </c>
      <c r="F1510" s="42" t="inlineStr">
        <is>
          <t>신동아아파트(1차)</t>
        </is>
      </c>
      <c r="G1510" s="41" t="inlineStr">
        <is>
          <t>132.1000</t>
        </is>
      </c>
      <c r="H1510" s="41" t="inlineStr">
        <is>
          <t>202406</t>
        </is>
      </c>
      <c r="I1510" s="41" t="inlineStr">
        <is>
          <t>03</t>
        </is>
      </c>
      <c r="J1510" s="41" t="inlineStr">
        <is>
          <t>264,000</t>
        </is>
      </c>
      <c r="K1510" s="41" t="inlineStr">
        <is>
          <t>6</t>
        </is>
      </c>
      <c r="L1510" s="41" t="inlineStr">
        <is>
          <t>3</t>
        </is>
      </c>
      <c r="M1510" s="42" t="inlineStr">
        <is>
          <t>개인</t>
        </is>
      </c>
      <c r="N1510" s="42" t="inlineStr">
        <is>
          <t>개인</t>
        </is>
      </c>
      <c r="O1510" s="41" t="inlineStr">
        <is>
          <t>1978</t>
        </is>
      </c>
      <c r="P1510" s="42" t="inlineStr">
        <is>
          <t>사임당로 130</t>
        </is>
      </c>
      <c r="Q1510" s="41" t="inlineStr">
        <is>
          <t>-</t>
        </is>
      </c>
      <c r="R1510" s="42" t="inlineStr">
        <is>
          <t>중개거래</t>
        </is>
      </c>
      <c r="S1510" s="42" t="inlineStr">
        <is>
          <t>서울 서초구</t>
        </is>
      </c>
      <c r="T1510" s="41" t="inlineStr">
        <is>
          <t>24.08.30</t>
        </is>
      </c>
      <c r="U1510" s="42" t="inlineStr">
        <is>
          <t>아파트</t>
        </is>
      </c>
    </row>
    <row r="1511" hidden="1" ht="14.25" customHeight="1">
      <c r="A1511" s="41" t="n">
        <v>978</v>
      </c>
      <c r="B1511" s="42" t="inlineStr">
        <is>
          <t>서울특별시 서초구 서초동</t>
        </is>
      </c>
      <c r="C1511" s="41" t="inlineStr">
        <is>
          <t>1755</t>
        </is>
      </c>
      <c r="D1511" s="41" t="inlineStr">
        <is>
          <t>1755</t>
        </is>
      </c>
      <c r="E1511" s="41" t="inlineStr">
        <is>
          <t>0000</t>
        </is>
      </c>
      <c r="F1511" s="42" t="inlineStr">
        <is>
          <t>래미안 리더스원</t>
        </is>
      </c>
      <c r="G1511" s="41" t="inlineStr">
        <is>
          <t>59.9700</t>
        </is>
      </c>
      <c r="H1511" s="41" t="inlineStr">
        <is>
          <t>202406</t>
        </is>
      </c>
      <c r="I1511" s="41" t="inlineStr">
        <is>
          <t>03</t>
        </is>
      </c>
      <c r="J1511" s="41" t="inlineStr">
        <is>
          <t>236,000</t>
        </is>
      </c>
      <c r="K1511" s="41" t="inlineStr">
        <is>
          <t>112동</t>
        </is>
      </c>
      <c r="L1511" s="41" t="inlineStr">
        <is>
          <t>18</t>
        </is>
      </c>
      <c r="M1511" s="42" t="inlineStr">
        <is>
          <t>개인</t>
        </is>
      </c>
      <c r="N1511" s="42" t="inlineStr">
        <is>
          <t>개인</t>
        </is>
      </c>
      <c r="O1511" s="41" t="inlineStr">
        <is>
          <t>2020</t>
        </is>
      </c>
      <c r="P1511" s="42" t="inlineStr">
        <is>
          <t>서운로 62</t>
        </is>
      </c>
      <c r="Q1511" s="41" t="inlineStr">
        <is>
          <t>-</t>
        </is>
      </c>
      <c r="R1511" s="42" t="inlineStr">
        <is>
          <t>중개거래</t>
        </is>
      </c>
      <c r="S1511" s="42" t="inlineStr">
        <is>
          <t>서울 서초구</t>
        </is>
      </c>
      <c r="T1511" s="41" t="inlineStr">
        <is>
          <t>24.11.27</t>
        </is>
      </c>
      <c r="U1511" s="42" t="inlineStr">
        <is>
          <t>아파트</t>
        </is>
      </c>
    </row>
    <row r="1512" hidden="1" ht="14.25" customHeight="1">
      <c r="A1512" s="41" t="n">
        <v>979</v>
      </c>
      <c r="B1512" s="42" t="inlineStr">
        <is>
          <t>서울특별시 서초구 서초동</t>
        </is>
      </c>
      <c r="C1512" s="41" t="inlineStr">
        <is>
          <t>1311-10</t>
        </is>
      </c>
      <c r="D1512" s="41" t="inlineStr">
        <is>
          <t>1311</t>
        </is>
      </c>
      <c r="E1512" s="41" t="inlineStr">
        <is>
          <t>0010</t>
        </is>
      </c>
      <c r="F1512" s="42" t="inlineStr">
        <is>
          <t>서초푸르지오써밋</t>
        </is>
      </c>
      <c r="G1512" s="41" t="inlineStr">
        <is>
          <t>84.9300</t>
        </is>
      </c>
      <c r="H1512" s="41" t="inlineStr">
        <is>
          <t>202406</t>
        </is>
      </c>
      <c r="I1512" s="41" t="inlineStr">
        <is>
          <t>03</t>
        </is>
      </c>
      <c r="J1512" s="41" t="inlineStr">
        <is>
          <t>275,000</t>
        </is>
      </c>
      <c r="K1512" s="41" t="inlineStr">
        <is>
          <t>105</t>
        </is>
      </c>
      <c r="L1512" s="41" t="inlineStr">
        <is>
          <t>24</t>
        </is>
      </c>
      <c r="M1512" s="42" t="inlineStr">
        <is>
          <t>개인</t>
        </is>
      </c>
      <c r="N1512" s="42" t="inlineStr">
        <is>
          <t>개인</t>
        </is>
      </c>
      <c r="O1512" s="41" t="inlineStr">
        <is>
          <t>2017</t>
        </is>
      </c>
      <c r="P1512" s="42" t="inlineStr">
        <is>
          <t>서운로 201</t>
        </is>
      </c>
      <c r="Q1512" s="41" t="inlineStr">
        <is>
          <t>-</t>
        </is>
      </c>
      <c r="R1512" s="42" t="inlineStr">
        <is>
          <t>중개거래</t>
        </is>
      </c>
      <c r="S1512" s="42" t="inlineStr">
        <is>
          <t>서울 서초구</t>
        </is>
      </c>
      <c r="T1512" s="41" t="inlineStr">
        <is>
          <t>24.08.19</t>
        </is>
      </c>
      <c r="U1512" s="42" t="inlineStr">
        <is>
          <t>아파트</t>
        </is>
      </c>
    </row>
    <row r="1513" hidden="1" ht="14.25" customHeight="1">
      <c r="A1513" s="41" t="n">
        <v>980</v>
      </c>
      <c r="B1513" s="42" t="inlineStr">
        <is>
          <t>서울특별시 서초구 서초동</t>
        </is>
      </c>
      <c r="C1513" s="41" t="inlineStr">
        <is>
          <t>1681-8</t>
        </is>
      </c>
      <c r="D1513" s="41" t="inlineStr">
        <is>
          <t>1681</t>
        </is>
      </c>
      <c r="E1513" s="41" t="inlineStr">
        <is>
          <t>0008</t>
        </is>
      </c>
      <c r="F1513" s="42" t="inlineStr">
        <is>
          <t>서초롯데캐슬프레지던트</t>
        </is>
      </c>
      <c r="G1513" s="41" t="inlineStr">
        <is>
          <t>84.9700</t>
        </is>
      </c>
      <c r="H1513" s="41" t="inlineStr">
        <is>
          <t>202406</t>
        </is>
      </c>
      <c r="I1513" s="41" t="inlineStr">
        <is>
          <t>03</t>
        </is>
      </c>
      <c r="J1513" s="41" t="inlineStr">
        <is>
          <t>211,000</t>
        </is>
      </c>
      <c r="K1513" s="41" t="inlineStr">
        <is>
          <t>103</t>
        </is>
      </c>
      <c r="L1513" s="41" t="inlineStr">
        <is>
          <t>4</t>
        </is>
      </c>
      <c r="M1513" s="42" t="inlineStr">
        <is>
          <t>개인</t>
        </is>
      </c>
      <c r="N1513" s="42" t="inlineStr">
        <is>
          <t>개인</t>
        </is>
      </c>
      <c r="O1513" s="41" t="inlineStr">
        <is>
          <t>2014</t>
        </is>
      </c>
      <c r="P1513" s="42" t="inlineStr">
        <is>
          <t>서초중앙로24길 57</t>
        </is>
      </c>
      <c r="Q1513" s="41" t="inlineStr">
        <is>
          <t>-</t>
        </is>
      </c>
      <c r="R1513" s="42" t="inlineStr">
        <is>
          <t>중개거래</t>
        </is>
      </c>
      <c r="S1513" s="42" t="inlineStr">
        <is>
          <t>서울 서초구</t>
        </is>
      </c>
      <c r="T1513" s="41" t="inlineStr">
        <is>
          <t>24.10.29</t>
        </is>
      </c>
      <c r="U1513" s="42" t="inlineStr">
        <is>
          <t>아파트</t>
        </is>
      </c>
    </row>
    <row r="1514" hidden="1" ht="14.25" customHeight="1">
      <c r="A1514" s="41" t="n">
        <v>981</v>
      </c>
      <c r="B1514" s="42" t="inlineStr">
        <is>
          <t>서울특별시 서초구 서초동</t>
        </is>
      </c>
      <c r="C1514" s="41" t="inlineStr">
        <is>
          <t>1755</t>
        </is>
      </c>
      <c r="D1514" s="41" t="inlineStr">
        <is>
          <t>1755</t>
        </is>
      </c>
      <c r="E1514" s="41" t="inlineStr">
        <is>
          <t>0000</t>
        </is>
      </c>
      <c r="F1514" s="42" t="inlineStr">
        <is>
          <t>래미안 리더스원</t>
        </is>
      </c>
      <c r="G1514" s="41" t="inlineStr">
        <is>
          <t>84.9400</t>
        </is>
      </c>
      <c r="H1514" s="41" t="inlineStr">
        <is>
          <t>202406</t>
        </is>
      </c>
      <c r="I1514" s="41" t="inlineStr">
        <is>
          <t>02</t>
        </is>
      </c>
      <c r="J1514" s="41" t="inlineStr">
        <is>
          <t>285,000</t>
        </is>
      </c>
      <c r="K1514" s="41" t="inlineStr">
        <is>
          <t>104동</t>
        </is>
      </c>
      <c r="L1514" s="41" t="inlineStr">
        <is>
          <t>8</t>
        </is>
      </c>
      <c r="M1514" s="42" t="inlineStr">
        <is>
          <t>개인</t>
        </is>
      </c>
      <c r="N1514" s="42" t="inlineStr">
        <is>
          <t>개인</t>
        </is>
      </c>
      <c r="O1514" s="41" t="inlineStr">
        <is>
          <t>2020</t>
        </is>
      </c>
      <c r="P1514" s="42" t="inlineStr">
        <is>
          <t>서운로 62</t>
        </is>
      </c>
      <c r="Q1514" s="41" t="inlineStr">
        <is>
          <t>-</t>
        </is>
      </c>
      <c r="R1514" s="42" t="inlineStr">
        <is>
          <t>중개거래</t>
        </is>
      </c>
      <c r="S1514" s="42" t="inlineStr">
        <is>
          <t>서울 서초구</t>
        </is>
      </c>
      <c r="T1514" s="41" t="inlineStr">
        <is>
          <t>24.09.25</t>
        </is>
      </c>
      <c r="U1514" s="42" t="inlineStr">
        <is>
          <t>아파트</t>
        </is>
      </c>
    </row>
    <row r="1515" hidden="1" ht="14.25" customHeight="1">
      <c r="A1515" s="41" t="n">
        <v>982</v>
      </c>
      <c r="B1515" s="42" t="inlineStr">
        <is>
          <t>서울특별시 서초구 서초동</t>
        </is>
      </c>
      <c r="C1515" s="41" t="inlineStr">
        <is>
          <t>1311-10</t>
        </is>
      </c>
      <c r="D1515" s="41" t="inlineStr">
        <is>
          <t>1311</t>
        </is>
      </c>
      <c r="E1515" s="41" t="inlineStr">
        <is>
          <t>0010</t>
        </is>
      </c>
      <c r="F1515" s="42" t="inlineStr">
        <is>
          <t>서초푸르지오써밋</t>
        </is>
      </c>
      <c r="G1515" s="41" t="inlineStr">
        <is>
          <t>59.9200</t>
        </is>
      </c>
      <c r="H1515" s="41" t="inlineStr">
        <is>
          <t>202406</t>
        </is>
      </c>
      <c r="I1515" s="41" t="inlineStr">
        <is>
          <t>01</t>
        </is>
      </c>
      <c r="J1515" s="41" t="inlineStr">
        <is>
          <t>224,000</t>
        </is>
      </c>
      <c r="K1515" s="41" t="inlineStr">
        <is>
          <t>104</t>
        </is>
      </c>
      <c r="L1515" s="41" t="inlineStr">
        <is>
          <t>8</t>
        </is>
      </c>
      <c r="M1515" s="42" t="inlineStr">
        <is>
          <t>개인</t>
        </is>
      </c>
      <c r="N1515" s="42" t="inlineStr">
        <is>
          <t>개인</t>
        </is>
      </c>
      <c r="O1515" s="41" t="inlineStr">
        <is>
          <t>2017</t>
        </is>
      </c>
      <c r="P1515" s="42" t="inlineStr">
        <is>
          <t>서운로 201</t>
        </is>
      </c>
      <c r="Q1515" s="41" t="inlineStr">
        <is>
          <t>-</t>
        </is>
      </c>
      <c r="R1515" s="42" t="inlineStr">
        <is>
          <t>중개거래</t>
        </is>
      </c>
      <c r="S1515" s="42" t="inlineStr">
        <is>
          <t>서울 서초구</t>
        </is>
      </c>
      <c r="T1515" s="41" t="inlineStr">
        <is>
          <t>24.09.30</t>
        </is>
      </c>
      <c r="U1515" s="42" t="inlineStr">
        <is>
          <t>아파트</t>
        </is>
      </c>
    </row>
    <row r="1516" hidden="1" ht="14.25" customHeight="1">
      <c r="A1516" s="41" t="n">
        <v>983</v>
      </c>
      <c r="B1516" s="42" t="inlineStr">
        <is>
          <t>서울특별시 서초구 서초동</t>
        </is>
      </c>
      <c r="C1516" s="41" t="inlineStr">
        <is>
          <t>1312-3</t>
        </is>
      </c>
      <c r="D1516" s="41" t="inlineStr">
        <is>
          <t>1312</t>
        </is>
      </c>
      <c r="E1516" s="41" t="inlineStr">
        <is>
          <t>0003</t>
        </is>
      </c>
      <c r="F1516" s="42" t="inlineStr">
        <is>
          <t>롯데캐슬클래식</t>
        </is>
      </c>
      <c r="G1516" s="41" t="inlineStr">
        <is>
          <t>84.9800</t>
        </is>
      </c>
      <c r="H1516" s="41" t="inlineStr">
        <is>
          <t>202406</t>
        </is>
      </c>
      <c r="I1516" s="41" t="inlineStr">
        <is>
          <t>01</t>
        </is>
      </c>
      <c r="J1516" s="41" t="inlineStr">
        <is>
          <t>226,000</t>
        </is>
      </c>
      <c r="K1516" s="41" t="inlineStr">
        <is>
          <t>101</t>
        </is>
      </c>
      <c r="L1516" s="41" t="inlineStr">
        <is>
          <t>19</t>
        </is>
      </c>
      <c r="M1516" s="42" t="inlineStr">
        <is>
          <t>개인</t>
        </is>
      </c>
      <c r="N1516" s="42" t="inlineStr">
        <is>
          <t>개인</t>
        </is>
      </c>
      <c r="O1516" s="41" t="inlineStr">
        <is>
          <t>2006</t>
        </is>
      </c>
      <c r="P1516" s="42" t="inlineStr">
        <is>
          <t>서운로 197</t>
        </is>
      </c>
      <c r="Q1516" s="41" t="inlineStr">
        <is>
          <t>-</t>
        </is>
      </c>
      <c r="R1516" s="42" t="inlineStr">
        <is>
          <t>중개거래</t>
        </is>
      </c>
      <c r="S1516" s="42" t="inlineStr">
        <is>
          <t>서울 서초구</t>
        </is>
      </c>
      <c r="T1516" s="41" t="inlineStr">
        <is>
          <t>24.08.13</t>
        </is>
      </c>
      <c r="U1516" s="42" t="inlineStr">
        <is>
          <t>아파트</t>
        </is>
      </c>
    </row>
    <row r="1517" hidden="1" ht="14.25" customHeight="1">
      <c r="A1517" s="41" t="n">
        <v>984</v>
      </c>
      <c r="B1517" s="42" t="inlineStr">
        <is>
          <t>서울특별시 서초구 서초동</t>
        </is>
      </c>
      <c r="C1517" s="41" t="inlineStr">
        <is>
          <t>1333</t>
        </is>
      </c>
      <c r="D1517" s="41" t="inlineStr">
        <is>
          <t>1333</t>
        </is>
      </c>
      <c r="E1517" s="41" t="inlineStr">
        <is>
          <t>0000</t>
        </is>
      </c>
      <c r="F1517" s="42" t="inlineStr">
        <is>
          <t>신동아아파트(1차)</t>
        </is>
      </c>
      <c r="G1517" s="41" t="inlineStr">
        <is>
          <t>75.8600</t>
        </is>
      </c>
      <c r="H1517" s="41" t="inlineStr">
        <is>
          <t>202406</t>
        </is>
      </c>
      <c r="I1517" s="41" t="inlineStr">
        <is>
          <t>01</t>
        </is>
      </c>
      <c r="J1517" s="41" t="inlineStr">
        <is>
          <t>185,000</t>
        </is>
      </c>
      <c r="K1517" s="41" t="inlineStr">
        <is>
          <t>7</t>
        </is>
      </c>
      <c r="L1517" s="41" t="inlineStr">
        <is>
          <t>12</t>
        </is>
      </c>
      <c r="M1517" s="42" t="inlineStr">
        <is>
          <t>개인</t>
        </is>
      </c>
      <c r="N1517" s="42" t="inlineStr">
        <is>
          <t>개인</t>
        </is>
      </c>
      <c r="O1517" s="41" t="inlineStr">
        <is>
          <t>1978</t>
        </is>
      </c>
      <c r="P1517" s="42" t="inlineStr">
        <is>
          <t>사임당로 130</t>
        </is>
      </c>
      <c r="Q1517" s="41" t="inlineStr">
        <is>
          <t>-</t>
        </is>
      </c>
      <c r="R1517" s="42" t="inlineStr">
        <is>
          <t>중개거래</t>
        </is>
      </c>
      <c r="S1517" s="42" t="inlineStr">
        <is>
          <t>서울 서초구</t>
        </is>
      </c>
      <c r="T1517" s="41" t="inlineStr">
        <is>
          <t>24.08.23</t>
        </is>
      </c>
      <c r="U1517" s="42" t="inlineStr">
        <is>
          <t>아파트</t>
        </is>
      </c>
    </row>
    <row r="1518" hidden="1" ht="14.25" customHeight="1">
      <c r="A1518" s="41" t="n">
        <v>985</v>
      </c>
      <c r="B1518" s="42" t="inlineStr">
        <is>
          <t>서울특별시 서초구 서초동</t>
        </is>
      </c>
      <c r="C1518" s="41" t="inlineStr">
        <is>
          <t>1755</t>
        </is>
      </c>
      <c r="D1518" s="41" t="inlineStr">
        <is>
          <t>1755</t>
        </is>
      </c>
      <c r="E1518" s="41" t="inlineStr">
        <is>
          <t>0000</t>
        </is>
      </c>
      <c r="F1518" s="42" t="inlineStr">
        <is>
          <t>래미안 리더스원</t>
        </is>
      </c>
      <c r="G1518" s="41" t="inlineStr">
        <is>
          <t>84.9300</t>
        </is>
      </c>
      <c r="H1518" s="41" t="inlineStr">
        <is>
          <t>202406</t>
        </is>
      </c>
      <c r="I1518" s="41" t="inlineStr">
        <is>
          <t>01</t>
        </is>
      </c>
      <c r="J1518" s="41" t="inlineStr">
        <is>
          <t>280,000</t>
        </is>
      </c>
      <c r="K1518" s="41" t="inlineStr">
        <is>
          <t>105동</t>
        </is>
      </c>
      <c r="L1518" s="41" t="inlineStr">
        <is>
          <t>4</t>
        </is>
      </c>
      <c r="M1518" s="42" t="inlineStr">
        <is>
          <t>개인</t>
        </is>
      </c>
      <c r="N1518" s="42" t="inlineStr">
        <is>
          <t>개인</t>
        </is>
      </c>
      <c r="O1518" s="41" t="inlineStr">
        <is>
          <t>2020</t>
        </is>
      </c>
      <c r="P1518" s="42" t="inlineStr">
        <is>
          <t>서운로 62</t>
        </is>
      </c>
      <c r="Q1518" s="41" t="inlineStr">
        <is>
          <t>-</t>
        </is>
      </c>
      <c r="R1518" s="42" t="inlineStr">
        <is>
          <t>중개거래</t>
        </is>
      </c>
      <c r="S1518" s="42" t="inlineStr">
        <is>
          <t>서울 관악구, 서울 서초구</t>
        </is>
      </c>
      <c r="T1518" s="41" t="inlineStr">
        <is>
          <t>24.09.25</t>
        </is>
      </c>
      <c r="U1518" s="42" t="inlineStr">
        <is>
          <t>아파트</t>
        </is>
      </c>
    </row>
    <row r="1519" hidden="1" ht="14.25" customHeight="1">
      <c r="A1519" s="41" t="n">
        <v>986</v>
      </c>
      <c r="B1519" s="42" t="inlineStr">
        <is>
          <t>서울특별시 서초구 서초동</t>
        </is>
      </c>
      <c r="C1519" s="41" t="inlineStr">
        <is>
          <t>1755</t>
        </is>
      </c>
      <c r="D1519" s="41" t="inlineStr">
        <is>
          <t>1755</t>
        </is>
      </c>
      <c r="E1519" s="41" t="inlineStr">
        <is>
          <t>0000</t>
        </is>
      </c>
      <c r="F1519" s="42" t="inlineStr">
        <is>
          <t>래미안 리더스원</t>
        </is>
      </c>
      <c r="G1519" s="41" t="inlineStr">
        <is>
          <t>84.9400</t>
        </is>
      </c>
      <c r="H1519" s="41" t="inlineStr">
        <is>
          <t>202405</t>
        </is>
      </c>
      <c r="I1519" s="41" t="inlineStr">
        <is>
          <t>31</t>
        </is>
      </c>
      <c r="J1519" s="41" t="inlineStr">
        <is>
          <t>305,000</t>
        </is>
      </c>
      <c r="K1519" s="41" t="inlineStr">
        <is>
          <t>101동</t>
        </is>
      </c>
      <c r="L1519" s="41" t="inlineStr">
        <is>
          <t>27</t>
        </is>
      </c>
      <c r="M1519" s="42" t="inlineStr">
        <is>
          <t>개인</t>
        </is>
      </c>
      <c r="N1519" s="42" t="inlineStr">
        <is>
          <t>개인</t>
        </is>
      </c>
      <c r="O1519" s="41" t="inlineStr">
        <is>
          <t>2020</t>
        </is>
      </c>
      <c r="P1519" s="42" t="inlineStr">
        <is>
          <t>서운로 62</t>
        </is>
      </c>
      <c r="Q1519" s="41" t="inlineStr">
        <is>
          <t>-</t>
        </is>
      </c>
      <c r="R1519" s="42" t="inlineStr">
        <is>
          <t>중개거래</t>
        </is>
      </c>
      <c r="S1519" s="42" t="inlineStr">
        <is>
          <t>서울 서초구</t>
        </is>
      </c>
      <c r="T1519" s="41" t="inlineStr">
        <is>
          <t>24.09.11</t>
        </is>
      </c>
      <c r="U1519" s="42" t="inlineStr">
        <is>
          <t>아파트</t>
        </is>
      </c>
    </row>
    <row r="1520" hidden="1" ht="14.25" customHeight="1">
      <c r="A1520" s="41" t="n">
        <v>987</v>
      </c>
      <c r="B1520" s="42" t="inlineStr">
        <is>
          <t>서울특별시 서초구 서초동</t>
        </is>
      </c>
      <c r="C1520" s="41" t="inlineStr">
        <is>
          <t>1754</t>
        </is>
      </c>
      <c r="D1520" s="41" t="inlineStr">
        <is>
          <t>1754</t>
        </is>
      </c>
      <c r="E1520" s="41" t="inlineStr">
        <is>
          <t>0000</t>
        </is>
      </c>
      <c r="F1520" s="42" t="inlineStr">
        <is>
          <t>래미안서초에스티지S</t>
        </is>
      </c>
      <c r="G1520" s="41" t="inlineStr">
        <is>
          <t>84.1700</t>
        </is>
      </c>
      <c r="H1520" s="41" t="inlineStr">
        <is>
          <t>202405</t>
        </is>
      </c>
      <c r="I1520" s="41" t="inlineStr">
        <is>
          <t>31</t>
        </is>
      </c>
      <c r="J1520" s="41" t="inlineStr">
        <is>
          <t>265,000</t>
        </is>
      </c>
      <c r="K1520" s="41" t="inlineStr">
        <is>
          <t>202</t>
        </is>
      </c>
      <c r="L1520" s="41" t="inlineStr">
        <is>
          <t>16</t>
        </is>
      </c>
      <c r="M1520" s="42" t="inlineStr">
        <is>
          <t>개인</t>
        </is>
      </c>
      <c r="N1520" s="42" t="inlineStr">
        <is>
          <t>개인</t>
        </is>
      </c>
      <c r="O1520" s="41" t="inlineStr">
        <is>
          <t>2018</t>
        </is>
      </c>
      <c r="P1520" s="42" t="inlineStr">
        <is>
          <t>서운로 104</t>
        </is>
      </c>
      <c r="Q1520" s="41" t="inlineStr">
        <is>
          <t>-</t>
        </is>
      </c>
      <c r="R1520" s="42" t="inlineStr">
        <is>
          <t>중개거래</t>
        </is>
      </c>
      <c r="S1520" s="42" t="inlineStr">
        <is>
          <t>서울 서초구</t>
        </is>
      </c>
      <c r="T1520" s="41" t="inlineStr">
        <is>
          <t>24.07.12</t>
        </is>
      </c>
      <c r="U1520" s="42" t="inlineStr">
        <is>
          <t>아파트</t>
        </is>
      </c>
    </row>
    <row r="1521" hidden="1" ht="14.25" customHeight="1">
      <c r="A1521" s="41" t="n">
        <v>988</v>
      </c>
      <c r="B1521" s="42" t="inlineStr">
        <is>
          <t>서울특별시 서초구 서초동</t>
        </is>
      </c>
      <c r="C1521" s="41" t="inlineStr">
        <is>
          <t>1757</t>
        </is>
      </c>
      <c r="D1521" s="41" t="inlineStr">
        <is>
          <t>1757</t>
        </is>
      </c>
      <c r="E1521" s="41" t="inlineStr">
        <is>
          <t>0000</t>
        </is>
      </c>
      <c r="F1521" s="42" t="inlineStr">
        <is>
          <t>서초그랑자이</t>
        </is>
      </c>
      <c r="G1521" s="41" t="inlineStr">
        <is>
          <t>59.9800</t>
        </is>
      </c>
      <c r="H1521" s="41" t="inlineStr">
        <is>
          <t>202405</t>
        </is>
      </c>
      <c r="I1521" s="41" t="inlineStr">
        <is>
          <t>30</t>
        </is>
      </c>
      <c r="J1521" s="41" t="inlineStr">
        <is>
          <t>239,000</t>
        </is>
      </c>
      <c r="K1521" s="41" t="inlineStr">
        <is>
          <t>103동</t>
        </is>
      </c>
      <c r="L1521" s="41" t="inlineStr">
        <is>
          <t>18</t>
        </is>
      </c>
      <c r="M1521" s="42" t="inlineStr">
        <is>
          <t>개인</t>
        </is>
      </c>
      <c r="N1521" s="42" t="inlineStr">
        <is>
          <t>개인</t>
        </is>
      </c>
      <c r="O1521" s="41" t="inlineStr">
        <is>
          <t>2021</t>
        </is>
      </c>
      <c r="P1521" s="42" t="inlineStr">
        <is>
          <t>효령로 391</t>
        </is>
      </c>
      <c r="Q1521" s="41" t="inlineStr">
        <is>
          <t>-</t>
        </is>
      </c>
      <c r="R1521" s="42" t="inlineStr">
        <is>
          <t>중개거래</t>
        </is>
      </c>
      <c r="S1521" s="42" t="inlineStr">
        <is>
          <t>서울 서초구</t>
        </is>
      </c>
      <c r="T1521" s="41" t="inlineStr">
        <is>
          <t>24.08.29</t>
        </is>
      </c>
      <c r="U1521" s="42" t="inlineStr">
        <is>
          <t>아파트</t>
        </is>
      </c>
    </row>
    <row r="1522" hidden="1" ht="14.25" customHeight="1">
      <c r="A1522" s="41" t="n">
        <v>989</v>
      </c>
      <c r="B1522" s="42" t="inlineStr">
        <is>
          <t>서울특별시 서초구 서초동</t>
        </is>
      </c>
      <c r="C1522" s="41" t="inlineStr">
        <is>
          <t>1754</t>
        </is>
      </c>
      <c r="D1522" s="41" t="inlineStr">
        <is>
          <t>1754</t>
        </is>
      </c>
      <c r="E1522" s="41" t="inlineStr">
        <is>
          <t>0000</t>
        </is>
      </c>
      <c r="F1522" s="42" t="inlineStr">
        <is>
          <t>래미안서초에스티지S</t>
        </is>
      </c>
      <c r="G1522" s="41" t="inlineStr">
        <is>
          <t>84.9600</t>
        </is>
      </c>
      <c r="H1522" s="41" t="inlineStr">
        <is>
          <t>202405</t>
        </is>
      </c>
      <c r="I1522" s="41" t="inlineStr">
        <is>
          <t>30</t>
        </is>
      </c>
      <c r="J1522" s="41" t="inlineStr">
        <is>
          <t>260,000</t>
        </is>
      </c>
      <c r="K1522" s="41" t="inlineStr">
        <is>
          <t>203</t>
        </is>
      </c>
      <c r="L1522" s="41" t="inlineStr">
        <is>
          <t>5</t>
        </is>
      </c>
      <c r="M1522" s="42" t="inlineStr">
        <is>
          <t>개인</t>
        </is>
      </c>
      <c r="N1522" s="42" t="inlineStr">
        <is>
          <t>개인</t>
        </is>
      </c>
      <c r="O1522" s="41" t="inlineStr">
        <is>
          <t>2018</t>
        </is>
      </c>
      <c r="P1522" s="42" t="inlineStr">
        <is>
          <t>서운로 104</t>
        </is>
      </c>
      <c r="Q1522" s="41" t="inlineStr">
        <is>
          <t>-</t>
        </is>
      </c>
      <c r="R1522" s="42" t="inlineStr">
        <is>
          <t>중개거래</t>
        </is>
      </c>
      <c r="S1522" s="42" t="inlineStr">
        <is>
          <t>서울 서초구</t>
        </is>
      </c>
      <c r="T1522" s="41" t="inlineStr">
        <is>
          <t>24.08.20</t>
        </is>
      </c>
      <c r="U1522" s="42" t="inlineStr">
        <is>
          <t>아파트</t>
        </is>
      </c>
    </row>
    <row r="1523" hidden="1" ht="14.25" customHeight="1">
      <c r="A1523" s="41" t="n">
        <v>990</v>
      </c>
      <c r="B1523" s="42" t="inlineStr">
        <is>
          <t>서울특별시 서초구 서초동</t>
        </is>
      </c>
      <c r="C1523" s="41" t="inlineStr">
        <is>
          <t>1445-4</t>
        </is>
      </c>
      <c r="D1523" s="41" t="inlineStr">
        <is>
          <t>1445</t>
        </is>
      </c>
      <c r="E1523" s="41" t="inlineStr">
        <is>
          <t>0004</t>
        </is>
      </c>
      <c r="F1523" s="42" t="inlineStr">
        <is>
          <t>래미안서초유니빌</t>
        </is>
      </c>
      <c r="G1523" s="41" t="inlineStr">
        <is>
          <t>34.0520</t>
        </is>
      </c>
      <c r="H1523" s="41" t="inlineStr">
        <is>
          <t>202405</t>
        </is>
      </c>
      <c r="I1523" s="41" t="inlineStr">
        <is>
          <t>30</t>
        </is>
      </c>
      <c r="J1523" s="41" t="inlineStr">
        <is>
          <t>37,800</t>
        </is>
      </c>
      <c r="K1523" s="42" t="inlineStr">
        <is>
          <t>래미안 서초유니빌</t>
        </is>
      </c>
      <c r="L1523" s="41" t="inlineStr">
        <is>
          <t>17</t>
        </is>
      </c>
      <c r="M1523" s="42" t="inlineStr">
        <is>
          <t>개인</t>
        </is>
      </c>
      <c r="N1523" s="42" t="inlineStr">
        <is>
          <t>개인</t>
        </is>
      </c>
      <c r="O1523" s="41" t="inlineStr">
        <is>
          <t>2003</t>
        </is>
      </c>
      <c r="P1523" s="42" t="inlineStr">
        <is>
          <t>서초중앙로 26</t>
        </is>
      </c>
      <c r="Q1523" s="41" t="inlineStr">
        <is>
          <t>-</t>
        </is>
      </c>
      <c r="R1523" s="42" t="inlineStr">
        <is>
          <t>중개거래</t>
        </is>
      </c>
      <c r="S1523" s="42" t="inlineStr">
        <is>
          <t>서울 강남구, 서울 서초구</t>
        </is>
      </c>
      <c r="T1523" s="41" t="inlineStr">
        <is>
          <t>24.06.26</t>
        </is>
      </c>
      <c r="U1523" s="42" t="inlineStr">
        <is>
          <t>아파트</t>
        </is>
      </c>
    </row>
    <row r="1524" hidden="1" ht="14.25" customHeight="1">
      <c r="A1524" s="41" t="n">
        <v>991</v>
      </c>
      <c r="B1524" s="42" t="inlineStr">
        <is>
          <t>서울특별시 서초구 서초동</t>
        </is>
      </c>
      <c r="C1524" s="41" t="inlineStr">
        <is>
          <t>1333</t>
        </is>
      </c>
      <c r="D1524" s="41" t="inlineStr">
        <is>
          <t>1333</t>
        </is>
      </c>
      <c r="E1524" s="41" t="inlineStr">
        <is>
          <t>0000</t>
        </is>
      </c>
      <c r="F1524" s="42" t="inlineStr">
        <is>
          <t>신동아아파트(1차)</t>
        </is>
      </c>
      <c r="G1524" s="41" t="inlineStr">
        <is>
          <t>88.6800</t>
        </is>
      </c>
      <c r="H1524" s="41" t="inlineStr">
        <is>
          <t>202405</t>
        </is>
      </c>
      <c r="I1524" s="41" t="inlineStr">
        <is>
          <t>29</t>
        </is>
      </c>
      <c r="J1524" s="41" t="inlineStr">
        <is>
          <t>215,000</t>
        </is>
      </c>
      <c r="K1524" s="41" t="inlineStr">
        <is>
          <t>1</t>
        </is>
      </c>
      <c r="L1524" s="41" t="inlineStr">
        <is>
          <t>10</t>
        </is>
      </c>
      <c r="M1524" s="42" t="inlineStr">
        <is>
          <t>개인</t>
        </is>
      </c>
      <c r="N1524" s="42" t="inlineStr">
        <is>
          <t>개인</t>
        </is>
      </c>
      <c r="O1524" s="41" t="inlineStr">
        <is>
          <t>1978</t>
        </is>
      </c>
      <c r="P1524" s="42" t="inlineStr">
        <is>
          <t>사임당로 137</t>
        </is>
      </c>
      <c r="Q1524" s="41" t="inlineStr">
        <is>
          <t>-</t>
        </is>
      </c>
      <c r="R1524" s="42" t="inlineStr">
        <is>
          <t>중개거래</t>
        </is>
      </c>
      <c r="S1524" s="42" t="inlineStr">
        <is>
          <t>서울 강남구, 서울 서초구</t>
        </is>
      </c>
      <c r="T1524" s="41" t="inlineStr">
        <is>
          <t>24.08.07</t>
        </is>
      </c>
      <c r="U1524" s="42" t="inlineStr">
        <is>
          <t>아파트</t>
        </is>
      </c>
    </row>
    <row r="1525" hidden="1" ht="14.25" customHeight="1">
      <c r="A1525" s="41" t="n">
        <v>992</v>
      </c>
      <c r="B1525" s="42" t="inlineStr">
        <is>
          <t>서울특별시 서초구 서초동</t>
        </is>
      </c>
      <c r="C1525" s="41" t="inlineStr">
        <is>
          <t>1312-3</t>
        </is>
      </c>
      <c r="D1525" s="41" t="inlineStr">
        <is>
          <t>1312</t>
        </is>
      </c>
      <c r="E1525" s="41" t="inlineStr">
        <is>
          <t>0003</t>
        </is>
      </c>
      <c r="F1525" s="42" t="inlineStr">
        <is>
          <t>롯데캐슬클래식</t>
        </is>
      </c>
      <c r="G1525" s="41" t="inlineStr">
        <is>
          <t>84.9800</t>
        </is>
      </c>
      <c r="H1525" s="41" t="inlineStr">
        <is>
          <t>202405</t>
        </is>
      </c>
      <c r="I1525" s="41" t="inlineStr">
        <is>
          <t>29</t>
        </is>
      </c>
      <c r="J1525" s="41" t="inlineStr">
        <is>
          <t>227,000</t>
        </is>
      </c>
      <c r="K1525" s="41" t="inlineStr">
        <is>
          <t>101</t>
        </is>
      </c>
      <c r="L1525" s="41" t="inlineStr">
        <is>
          <t>18</t>
        </is>
      </c>
      <c r="M1525" s="42" t="inlineStr">
        <is>
          <t>개인</t>
        </is>
      </c>
      <c r="N1525" s="42" t="inlineStr">
        <is>
          <t>개인</t>
        </is>
      </c>
      <c r="O1525" s="41" t="inlineStr">
        <is>
          <t>2006</t>
        </is>
      </c>
      <c r="P1525" s="42" t="inlineStr">
        <is>
          <t>서운로 197</t>
        </is>
      </c>
      <c r="Q1525" s="41" t="inlineStr">
        <is>
          <t>-</t>
        </is>
      </c>
      <c r="R1525" s="42" t="inlineStr">
        <is>
          <t>중개거래</t>
        </is>
      </c>
      <c r="S1525" s="42" t="inlineStr">
        <is>
          <t>서울 서초구</t>
        </is>
      </c>
      <c r="T1525" s="41" t="inlineStr">
        <is>
          <t>24.08.16</t>
        </is>
      </c>
      <c r="U1525" s="42" t="inlineStr">
        <is>
          <t>아파트</t>
        </is>
      </c>
    </row>
    <row r="1526" hidden="1" ht="14.25" customHeight="1">
      <c r="A1526" s="41" t="n">
        <v>993</v>
      </c>
      <c r="B1526" s="42" t="inlineStr">
        <is>
          <t>서울특별시 서초구 서초동</t>
        </is>
      </c>
      <c r="C1526" s="41" t="inlineStr">
        <is>
          <t>1755</t>
        </is>
      </c>
      <c r="D1526" s="41" t="inlineStr">
        <is>
          <t>1755</t>
        </is>
      </c>
      <c r="E1526" s="41" t="inlineStr">
        <is>
          <t>0000</t>
        </is>
      </c>
      <c r="F1526" s="42" t="inlineStr">
        <is>
          <t>래미안 리더스원</t>
        </is>
      </c>
      <c r="G1526" s="41" t="inlineStr">
        <is>
          <t>84.9400</t>
        </is>
      </c>
      <c r="H1526" s="41" t="inlineStr">
        <is>
          <t>202405</t>
        </is>
      </c>
      <c r="I1526" s="41" t="inlineStr">
        <is>
          <t>29</t>
        </is>
      </c>
      <c r="J1526" s="41" t="inlineStr">
        <is>
          <t>289,000</t>
        </is>
      </c>
      <c r="K1526" s="41" t="inlineStr">
        <is>
          <t>106동</t>
        </is>
      </c>
      <c r="L1526" s="41" t="inlineStr">
        <is>
          <t>22</t>
        </is>
      </c>
      <c r="M1526" s="42" t="inlineStr">
        <is>
          <t>개인</t>
        </is>
      </c>
      <c r="N1526" s="42" t="inlineStr">
        <is>
          <t>개인</t>
        </is>
      </c>
      <c r="O1526" s="41" t="inlineStr">
        <is>
          <t>2020</t>
        </is>
      </c>
      <c r="P1526" s="42" t="inlineStr">
        <is>
          <t>서운로 62</t>
        </is>
      </c>
      <c r="Q1526" s="41" t="inlineStr">
        <is>
          <t>-</t>
        </is>
      </c>
      <c r="R1526" s="42" t="inlineStr">
        <is>
          <t>중개거래</t>
        </is>
      </c>
      <c r="S1526" s="42" t="inlineStr">
        <is>
          <t>서울 서초구</t>
        </is>
      </c>
      <c r="T1526" s="41" t="inlineStr">
        <is>
          <t>24.09.09</t>
        </is>
      </c>
      <c r="U1526" s="42" t="inlineStr">
        <is>
          <t>아파트</t>
        </is>
      </c>
    </row>
    <row r="1527" hidden="1" ht="14.25" customHeight="1">
      <c r="A1527" s="41" t="n">
        <v>994</v>
      </c>
      <c r="B1527" s="42" t="inlineStr">
        <is>
          <t>서울특별시 서초구 서초동</t>
        </is>
      </c>
      <c r="C1527" s="41" t="inlineStr">
        <is>
          <t>1446-11</t>
        </is>
      </c>
      <c r="D1527" s="41" t="inlineStr">
        <is>
          <t>1446</t>
        </is>
      </c>
      <c r="E1527" s="41" t="inlineStr">
        <is>
          <t>0011</t>
        </is>
      </c>
      <c r="F1527" s="42" t="inlineStr">
        <is>
          <t>현대슈퍼빌</t>
        </is>
      </c>
      <c r="G1527" s="41" t="inlineStr">
        <is>
          <t>205.6700</t>
        </is>
      </c>
      <c r="H1527" s="41" t="inlineStr">
        <is>
          <t>202405</t>
        </is>
      </c>
      <c r="I1527" s="41" t="inlineStr">
        <is>
          <t>29</t>
        </is>
      </c>
      <c r="J1527" s="41" t="inlineStr">
        <is>
          <t>318,000</t>
        </is>
      </c>
      <c r="K1527" s="41" t="inlineStr">
        <is>
          <t>A</t>
        </is>
      </c>
      <c r="L1527" s="41" t="inlineStr">
        <is>
          <t>2</t>
        </is>
      </c>
      <c r="M1527" s="42" t="inlineStr">
        <is>
          <t>개인</t>
        </is>
      </c>
      <c r="N1527" s="42" t="inlineStr">
        <is>
          <t>개인</t>
        </is>
      </c>
      <c r="O1527" s="41" t="inlineStr">
        <is>
          <t>2003</t>
        </is>
      </c>
      <c r="P1527" s="42" t="inlineStr">
        <is>
          <t>서초중앙로 15</t>
        </is>
      </c>
      <c r="Q1527" s="41" t="inlineStr">
        <is>
          <t>-</t>
        </is>
      </c>
      <c r="R1527" s="42" t="inlineStr">
        <is>
          <t>중개거래</t>
        </is>
      </c>
      <c r="S1527" s="42" t="inlineStr">
        <is>
          <t>서울 서초구</t>
        </is>
      </c>
      <c r="T1527" s="41" t="inlineStr">
        <is>
          <t>24.08.08</t>
        </is>
      </c>
      <c r="U1527" s="42" t="inlineStr">
        <is>
          <t>아파트</t>
        </is>
      </c>
    </row>
    <row r="1528" hidden="1" ht="14.25" customHeight="1">
      <c r="A1528" s="41" t="n">
        <v>995</v>
      </c>
      <c r="B1528" s="42" t="inlineStr">
        <is>
          <t>서울특별시 서초구 서초동</t>
        </is>
      </c>
      <c r="C1528" s="41" t="inlineStr">
        <is>
          <t>1326-17</t>
        </is>
      </c>
      <c r="D1528" s="41" t="inlineStr">
        <is>
          <t>1326</t>
        </is>
      </c>
      <c r="E1528" s="41" t="inlineStr">
        <is>
          <t>0017</t>
        </is>
      </c>
      <c r="F1528" s="42" t="inlineStr">
        <is>
          <t>우성아파트</t>
        </is>
      </c>
      <c r="G1528" s="41" t="inlineStr">
        <is>
          <t>57.2600</t>
        </is>
      </c>
      <c r="H1528" s="41" t="inlineStr">
        <is>
          <t>202405</t>
        </is>
      </c>
      <c r="I1528" s="41" t="inlineStr">
        <is>
          <t>29</t>
        </is>
      </c>
      <c r="J1528" s="41" t="inlineStr">
        <is>
          <t>155,000</t>
        </is>
      </c>
      <c r="K1528" s="41" t="inlineStr">
        <is>
          <t>501</t>
        </is>
      </c>
      <c r="L1528" s="41" t="inlineStr">
        <is>
          <t>21</t>
        </is>
      </c>
      <c r="M1528" s="42" t="inlineStr">
        <is>
          <t>개인</t>
        </is>
      </c>
      <c r="N1528" s="42" t="inlineStr">
        <is>
          <t>개인</t>
        </is>
      </c>
      <c r="O1528" s="41" t="inlineStr">
        <is>
          <t>1998</t>
        </is>
      </c>
      <c r="P1528" s="42" t="inlineStr">
        <is>
          <t>서초대로74길 30</t>
        </is>
      </c>
      <c r="Q1528" s="41" t="inlineStr">
        <is>
          <t>-</t>
        </is>
      </c>
      <c r="R1528" s="42" t="inlineStr">
        <is>
          <t>중개거래</t>
        </is>
      </c>
      <c r="S1528" s="42" t="inlineStr">
        <is>
          <t>서울 서초구</t>
        </is>
      </c>
      <c r="T1528" s="41" t="inlineStr">
        <is>
          <t>24.09.23</t>
        </is>
      </c>
      <c r="U1528" s="42" t="inlineStr">
        <is>
          <t>아파트</t>
        </is>
      </c>
    </row>
    <row r="1529" hidden="1" ht="14.25" customHeight="1">
      <c r="A1529" s="41" t="n">
        <v>996</v>
      </c>
      <c r="B1529" s="42" t="inlineStr">
        <is>
          <t>서울특별시 서초구 서초동</t>
        </is>
      </c>
      <c r="C1529" s="41" t="inlineStr">
        <is>
          <t>1757</t>
        </is>
      </c>
      <c r="D1529" s="41" t="inlineStr">
        <is>
          <t>1757</t>
        </is>
      </c>
      <c r="E1529" s="41" t="inlineStr">
        <is>
          <t>0000</t>
        </is>
      </c>
      <c r="F1529" s="42" t="inlineStr">
        <is>
          <t>서초그랑자이</t>
        </is>
      </c>
      <c r="G1529" s="41" t="inlineStr">
        <is>
          <t>84.8700</t>
        </is>
      </c>
      <c r="H1529" s="41" t="inlineStr">
        <is>
          <t>202405</t>
        </is>
      </c>
      <c r="I1529" s="41" t="inlineStr">
        <is>
          <t>28</t>
        </is>
      </c>
      <c r="J1529" s="41" t="inlineStr">
        <is>
          <t>299,000</t>
        </is>
      </c>
      <c r="K1529" s="41" t="inlineStr">
        <is>
          <t>104동</t>
        </is>
      </c>
      <c r="L1529" s="41" t="inlineStr">
        <is>
          <t>13</t>
        </is>
      </c>
      <c r="M1529" s="42" t="inlineStr">
        <is>
          <t>개인</t>
        </is>
      </c>
      <c r="N1529" s="42" t="inlineStr">
        <is>
          <t>개인</t>
        </is>
      </c>
      <c r="O1529" s="41" t="inlineStr">
        <is>
          <t>2021</t>
        </is>
      </c>
      <c r="P1529" s="42" t="inlineStr">
        <is>
          <t>효령로 391</t>
        </is>
      </c>
      <c r="Q1529" s="41" t="inlineStr">
        <is>
          <t>-</t>
        </is>
      </c>
      <c r="R1529" s="42" t="inlineStr">
        <is>
          <t>중개거래</t>
        </is>
      </c>
      <c r="S1529" s="42" t="inlineStr">
        <is>
          <t>서울 서초구</t>
        </is>
      </c>
      <c r="T1529" s="41" t="inlineStr">
        <is>
          <t>24.08.26</t>
        </is>
      </c>
      <c r="U1529" s="42" t="inlineStr">
        <is>
          <t>아파트</t>
        </is>
      </c>
    </row>
    <row r="1530" hidden="1" ht="14.25" customHeight="1">
      <c r="A1530" s="41" t="n">
        <v>997</v>
      </c>
      <c r="B1530" s="42" t="inlineStr">
        <is>
          <t>서울특별시 서초구 서초동</t>
        </is>
      </c>
      <c r="C1530" s="41" t="inlineStr">
        <is>
          <t>1326-17</t>
        </is>
      </c>
      <c r="D1530" s="41" t="inlineStr">
        <is>
          <t>1326</t>
        </is>
      </c>
      <c r="E1530" s="41" t="inlineStr">
        <is>
          <t>0017</t>
        </is>
      </c>
      <c r="F1530" s="42" t="inlineStr">
        <is>
          <t>우성아파트</t>
        </is>
      </c>
      <c r="G1530" s="41" t="inlineStr">
        <is>
          <t>84.9300</t>
        </is>
      </c>
      <c r="H1530" s="41" t="inlineStr">
        <is>
          <t>202405</t>
        </is>
      </c>
      <c r="I1530" s="41" t="inlineStr">
        <is>
          <t>28</t>
        </is>
      </c>
      <c r="J1530" s="41" t="inlineStr">
        <is>
          <t>197,500</t>
        </is>
      </c>
      <c r="K1530" s="41" t="inlineStr">
        <is>
          <t>501</t>
        </is>
      </c>
      <c r="L1530" s="41" t="inlineStr">
        <is>
          <t>7</t>
        </is>
      </c>
      <c r="M1530" s="42" t="inlineStr">
        <is>
          <t>개인</t>
        </is>
      </c>
      <c r="N1530" s="42" t="inlineStr">
        <is>
          <t>개인</t>
        </is>
      </c>
      <c r="O1530" s="41" t="inlineStr">
        <is>
          <t>1998</t>
        </is>
      </c>
      <c r="P1530" s="42" t="inlineStr">
        <is>
          <t>서초대로74길 30</t>
        </is>
      </c>
      <c r="Q1530" s="41" t="inlineStr">
        <is>
          <t>-</t>
        </is>
      </c>
      <c r="R1530" s="42" t="inlineStr">
        <is>
          <t>중개거래</t>
        </is>
      </c>
      <c r="S1530" s="42" t="inlineStr">
        <is>
          <t>서울 서초구</t>
        </is>
      </c>
      <c r="T1530" s="41" t="inlineStr">
        <is>
          <t>24.08.30</t>
        </is>
      </c>
      <c r="U1530" s="42" t="inlineStr">
        <is>
          <t>아파트</t>
        </is>
      </c>
    </row>
    <row r="1531" hidden="1" ht="14.25" customHeight="1">
      <c r="A1531" s="41" t="n">
        <v>998</v>
      </c>
      <c r="B1531" s="42" t="inlineStr">
        <is>
          <t>서울특별시 서초구 서초동</t>
        </is>
      </c>
      <c r="C1531" s="41" t="inlineStr">
        <is>
          <t>1363-25</t>
        </is>
      </c>
      <c r="D1531" s="41" t="inlineStr">
        <is>
          <t>1363</t>
        </is>
      </c>
      <c r="E1531" s="41" t="inlineStr">
        <is>
          <t>0025</t>
        </is>
      </c>
      <c r="F1531" s="42" t="inlineStr">
        <is>
          <t>한라비발디스튜디오193</t>
        </is>
      </c>
      <c r="G1531" s="41" t="inlineStr">
        <is>
          <t>19.8000</t>
        </is>
      </c>
      <c r="H1531" s="41" t="inlineStr">
        <is>
          <t>202405</t>
        </is>
      </c>
      <c r="I1531" s="41" t="inlineStr">
        <is>
          <t>28</t>
        </is>
      </c>
      <c r="J1531" s="41" t="inlineStr">
        <is>
          <t>25,000</t>
        </is>
      </c>
      <c r="K1531" s="42" t="inlineStr">
        <is>
          <t>한라비발디스튜디오193</t>
        </is>
      </c>
      <c r="L1531" s="41" t="inlineStr">
        <is>
          <t>9</t>
        </is>
      </c>
      <c r="M1531" s="42" t="inlineStr">
        <is>
          <t>개인</t>
        </is>
      </c>
      <c r="N1531" s="42" t="inlineStr">
        <is>
          <t>개인</t>
        </is>
      </c>
      <c r="O1531" s="41" t="inlineStr">
        <is>
          <t>2013</t>
        </is>
      </c>
      <c r="P1531" s="42" t="inlineStr">
        <is>
          <t>강남대로39길 15-10</t>
        </is>
      </c>
      <c r="Q1531" s="41" t="inlineStr">
        <is>
          <t>-</t>
        </is>
      </c>
      <c r="R1531" s="42" t="inlineStr">
        <is>
          <t>중개거래</t>
        </is>
      </c>
      <c r="S1531" s="42" t="inlineStr">
        <is>
          <t>서울 서초구</t>
        </is>
      </c>
      <c r="T1531" s="41" t="inlineStr">
        <is>
          <t>24.06.28</t>
        </is>
      </c>
      <c r="U1531" s="42" t="inlineStr">
        <is>
          <t>아파트</t>
        </is>
      </c>
    </row>
    <row r="1532" hidden="1" ht="14.25" customHeight="1">
      <c r="A1532" s="41" t="n">
        <v>999</v>
      </c>
      <c r="B1532" s="42" t="inlineStr">
        <is>
          <t>서울특별시 서초구 서초동</t>
        </is>
      </c>
      <c r="C1532" s="41" t="inlineStr">
        <is>
          <t>1344-13</t>
        </is>
      </c>
      <c r="D1532" s="41" t="inlineStr">
        <is>
          <t>1344</t>
        </is>
      </c>
      <c r="E1532" s="41" t="inlineStr">
        <is>
          <t>0013</t>
        </is>
      </c>
      <c r="F1532" s="42" t="inlineStr">
        <is>
          <t>서초트라팰리스</t>
        </is>
      </c>
      <c r="G1532" s="41" t="inlineStr">
        <is>
          <t>126.5600</t>
        </is>
      </c>
      <c r="H1532" s="41" t="inlineStr">
        <is>
          <t>202405</t>
        </is>
      </c>
      <c r="I1532" s="41" t="inlineStr">
        <is>
          <t>27</t>
        </is>
      </c>
      <c r="J1532" s="41" t="inlineStr">
        <is>
          <t>195,000</t>
        </is>
      </c>
      <c r="K1532" s="41" t="inlineStr">
        <is>
          <t>B</t>
        </is>
      </c>
      <c r="L1532" s="41" t="inlineStr">
        <is>
          <t>10</t>
        </is>
      </c>
      <c r="M1532" s="42" t="inlineStr">
        <is>
          <t>개인</t>
        </is>
      </c>
      <c r="N1532" s="42" t="inlineStr">
        <is>
          <t>개인</t>
        </is>
      </c>
      <c r="O1532" s="41" t="inlineStr">
        <is>
          <t>2005</t>
        </is>
      </c>
      <c r="P1532" s="42" t="inlineStr">
        <is>
          <t>효령로72길 57</t>
        </is>
      </c>
      <c r="Q1532" s="41" t="inlineStr">
        <is>
          <t>-</t>
        </is>
      </c>
      <c r="R1532" s="42" t="inlineStr">
        <is>
          <t>중개거래</t>
        </is>
      </c>
      <c r="S1532" s="42" t="inlineStr">
        <is>
          <t>서울 서초구</t>
        </is>
      </c>
      <c r="T1532" s="41" t="inlineStr">
        <is>
          <t>24.08.30</t>
        </is>
      </c>
      <c r="U1532" s="42" t="inlineStr">
        <is>
          <t>아파트</t>
        </is>
      </c>
    </row>
    <row r="1533" hidden="1" ht="14.25" customHeight="1">
      <c r="A1533" s="41" t="n">
        <v>1000</v>
      </c>
      <c r="B1533" s="42" t="inlineStr">
        <is>
          <t>서울특별시 서초구 서초동</t>
        </is>
      </c>
      <c r="C1533" s="41" t="inlineStr">
        <is>
          <t>1648-2</t>
        </is>
      </c>
      <c r="D1533" s="41" t="inlineStr">
        <is>
          <t>1648</t>
        </is>
      </c>
      <c r="E1533" s="41" t="inlineStr">
        <is>
          <t>0002</t>
        </is>
      </c>
      <c r="F1533" s="42" t="inlineStr">
        <is>
          <t>서초현대</t>
        </is>
      </c>
      <c r="G1533" s="41" t="inlineStr">
        <is>
          <t>53.0100</t>
        </is>
      </c>
      <c r="H1533" s="41" t="inlineStr">
        <is>
          <t>202405</t>
        </is>
      </c>
      <c r="I1533" s="41" t="inlineStr">
        <is>
          <t>27</t>
        </is>
      </c>
      <c r="J1533" s="41" t="inlineStr">
        <is>
          <t>124,000</t>
        </is>
      </c>
      <c r="K1533" s="41" t="inlineStr">
        <is>
          <t>102</t>
        </is>
      </c>
      <c r="L1533" s="41" t="inlineStr">
        <is>
          <t>11</t>
        </is>
      </c>
      <c r="M1533" s="42" t="inlineStr">
        <is>
          <t>개인</t>
        </is>
      </c>
      <c r="N1533" s="42" t="inlineStr">
        <is>
          <t>개인</t>
        </is>
      </c>
      <c r="O1533" s="41" t="inlineStr">
        <is>
          <t>1999</t>
        </is>
      </c>
      <c r="P1533" s="42" t="inlineStr">
        <is>
          <t>사임당로19길 10</t>
        </is>
      </c>
      <c r="Q1533" s="41" t="inlineStr">
        <is>
          <t>-</t>
        </is>
      </c>
      <c r="R1533" s="42" t="inlineStr">
        <is>
          <t>중개거래</t>
        </is>
      </c>
      <c r="S1533" s="42" t="inlineStr">
        <is>
          <t>서울 서초구</t>
        </is>
      </c>
      <c r="T1533" s="41" t="inlineStr">
        <is>
          <t>24.08.02</t>
        </is>
      </c>
      <c r="U1533" s="42" t="inlineStr">
        <is>
          <t>아파트</t>
        </is>
      </c>
    </row>
    <row r="1534" hidden="1" ht="14.25" customHeight="1">
      <c r="A1534" s="41" t="n">
        <v>1001</v>
      </c>
      <c r="B1534" s="42" t="inlineStr">
        <is>
          <t>서울특별시 서초구 서초동</t>
        </is>
      </c>
      <c r="C1534" s="41" t="inlineStr">
        <is>
          <t>1445-13</t>
        </is>
      </c>
      <c r="D1534" s="41" t="inlineStr">
        <is>
          <t>1445</t>
        </is>
      </c>
      <c r="E1534" s="41" t="inlineStr">
        <is>
          <t>0013</t>
        </is>
      </c>
      <c r="F1534" s="42" t="inlineStr">
        <is>
          <t>서초쌍용플래티넘</t>
        </is>
      </c>
      <c r="G1534" s="41" t="inlineStr">
        <is>
          <t>68.2100</t>
        </is>
      </c>
      <c r="H1534" s="41" t="inlineStr">
        <is>
          <t>202405</t>
        </is>
      </c>
      <c r="I1534" s="41" t="inlineStr">
        <is>
          <t>27</t>
        </is>
      </c>
      <c r="J1534" s="41" t="inlineStr">
        <is>
          <t>90,000</t>
        </is>
      </c>
      <c r="K1534" s="42" t="inlineStr">
        <is>
          <t>서초쌍용플래티넘</t>
        </is>
      </c>
      <c r="L1534" s="41" t="inlineStr">
        <is>
          <t>12</t>
        </is>
      </c>
      <c r="M1534" s="42" t="inlineStr">
        <is>
          <t>개인</t>
        </is>
      </c>
      <c r="N1534" s="42" t="inlineStr">
        <is>
          <t>개인</t>
        </is>
      </c>
      <c r="O1534" s="41" t="inlineStr">
        <is>
          <t>2006</t>
        </is>
      </c>
      <c r="P1534" s="42" t="inlineStr">
        <is>
          <t>서초중앙로 18</t>
        </is>
      </c>
      <c r="Q1534" s="41" t="inlineStr">
        <is>
          <t>-</t>
        </is>
      </c>
      <c r="R1534" s="42" t="inlineStr">
        <is>
          <t>중개거래</t>
        </is>
      </c>
      <c r="S1534" s="42" t="inlineStr">
        <is>
          <t>서울 서초구</t>
        </is>
      </c>
      <c r="T1534" s="41" t="inlineStr">
        <is>
          <t>24.09.10</t>
        </is>
      </c>
      <c r="U1534" s="42" t="inlineStr">
        <is>
          <t>아파트</t>
        </is>
      </c>
    </row>
    <row r="1535" hidden="1" ht="14.25" customHeight="1">
      <c r="A1535" s="41" t="n">
        <v>1002</v>
      </c>
      <c r="B1535" s="42" t="inlineStr">
        <is>
          <t>서울특별시 서초구 서초동</t>
        </is>
      </c>
      <c r="C1535" s="41" t="inlineStr">
        <is>
          <t>1648-2</t>
        </is>
      </c>
      <c r="D1535" s="41" t="inlineStr">
        <is>
          <t>1648</t>
        </is>
      </c>
      <c r="E1535" s="41" t="inlineStr">
        <is>
          <t>0002</t>
        </is>
      </c>
      <c r="F1535" s="42" t="inlineStr">
        <is>
          <t>서초현대</t>
        </is>
      </c>
      <c r="G1535" s="41" t="inlineStr">
        <is>
          <t>53.0100</t>
        </is>
      </c>
      <c r="H1535" s="41" t="inlineStr">
        <is>
          <t>202405</t>
        </is>
      </c>
      <c r="I1535" s="41" t="inlineStr">
        <is>
          <t>26</t>
        </is>
      </c>
      <c r="J1535" s="41" t="inlineStr">
        <is>
          <t>120,000</t>
        </is>
      </c>
      <c r="K1535" s="41" t="inlineStr">
        <is>
          <t>102</t>
        </is>
      </c>
      <c r="L1535" s="41" t="inlineStr">
        <is>
          <t>8</t>
        </is>
      </c>
      <c r="M1535" s="42" t="inlineStr">
        <is>
          <t>개인</t>
        </is>
      </c>
      <c r="N1535" s="42" t="inlineStr">
        <is>
          <t>개인</t>
        </is>
      </c>
      <c r="O1535" s="41" t="inlineStr">
        <is>
          <t>1999</t>
        </is>
      </c>
      <c r="P1535" s="42" t="inlineStr">
        <is>
          <t>사임당로19길 10</t>
        </is>
      </c>
      <c r="Q1535" s="41" t="inlineStr">
        <is>
          <t>-</t>
        </is>
      </c>
      <c r="R1535" s="42" t="inlineStr">
        <is>
          <t>중개거래</t>
        </is>
      </c>
      <c r="S1535" s="42" t="inlineStr">
        <is>
          <t>서울 서초구</t>
        </is>
      </c>
      <c r="T1535" s="41" t="inlineStr">
        <is>
          <t>24.09.03</t>
        </is>
      </c>
      <c r="U1535" s="42" t="inlineStr">
        <is>
          <t>아파트</t>
        </is>
      </c>
    </row>
    <row r="1536" hidden="1" ht="14.25" customHeight="1">
      <c r="A1536" s="41" t="n">
        <v>1003</v>
      </c>
      <c r="B1536" s="42" t="inlineStr">
        <is>
          <t>서울특별시 서초구 서초동</t>
        </is>
      </c>
      <c r="C1536" s="41" t="inlineStr">
        <is>
          <t>1755</t>
        </is>
      </c>
      <c r="D1536" s="41" t="inlineStr">
        <is>
          <t>1755</t>
        </is>
      </c>
      <c r="E1536" s="41" t="inlineStr">
        <is>
          <t>0000</t>
        </is>
      </c>
      <c r="F1536" s="42" t="inlineStr">
        <is>
          <t>래미안 리더스원</t>
        </is>
      </c>
      <c r="G1536" s="41" t="inlineStr">
        <is>
          <t>59.9600</t>
        </is>
      </c>
      <c r="H1536" s="41" t="inlineStr">
        <is>
          <t>202405</t>
        </is>
      </c>
      <c r="I1536" s="41" t="inlineStr">
        <is>
          <t>25</t>
        </is>
      </c>
      <c r="J1536" s="41" t="inlineStr">
        <is>
          <t>228,000</t>
        </is>
      </c>
      <c r="K1536" s="41" t="inlineStr">
        <is>
          <t>110동</t>
        </is>
      </c>
      <c r="L1536" s="41" t="inlineStr">
        <is>
          <t>27</t>
        </is>
      </c>
      <c r="M1536" s="42" t="inlineStr">
        <is>
          <t>개인</t>
        </is>
      </c>
      <c r="N1536" s="42" t="inlineStr">
        <is>
          <t>개인</t>
        </is>
      </c>
      <c r="O1536" s="41" t="inlineStr">
        <is>
          <t>2020</t>
        </is>
      </c>
      <c r="P1536" s="42" t="inlineStr">
        <is>
          <t>서운로 62</t>
        </is>
      </c>
      <c r="Q1536" s="41" t="inlineStr">
        <is>
          <t>-</t>
        </is>
      </c>
      <c r="R1536" s="42" t="inlineStr">
        <is>
          <t>중개거래</t>
        </is>
      </c>
      <c r="S1536" s="42" t="inlineStr">
        <is>
          <t>서울 서초구</t>
        </is>
      </c>
      <c r="T1536" s="41" t="inlineStr">
        <is>
          <t>24.08.14</t>
        </is>
      </c>
      <c r="U1536" s="42" t="inlineStr">
        <is>
          <t>아파트</t>
        </is>
      </c>
    </row>
    <row r="1537" hidden="1" ht="14.25" customHeight="1">
      <c r="A1537" s="41" t="n">
        <v>1004</v>
      </c>
      <c r="B1537" s="42" t="inlineStr">
        <is>
          <t>서울특별시 서초구 서초동</t>
        </is>
      </c>
      <c r="C1537" s="41" t="inlineStr">
        <is>
          <t>1338</t>
        </is>
      </c>
      <c r="D1537" s="41" t="inlineStr">
        <is>
          <t>1338</t>
        </is>
      </c>
      <c r="E1537" s="41" t="inlineStr">
        <is>
          <t>0000</t>
        </is>
      </c>
      <c r="F1537" s="42" t="inlineStr">
        <is>
          <t>현대이에스에이아파트</t>
        </is>
      </c>
      <c r="G1537" s="41" t="inlineStr">
        <is>
          <t>163.9500</t>
        </is>
      </c>
      <c r="H1537" s="41" t="inlineStr">
        <is>
          <t>202405</t>
        </is>
      </c>
      <c r="I1537" s="41" t="inlineStr">
        <is>
          <t>25</t>
        </is>
      </c>
      <c r="J1537" s="41" t="inlineStr">
        <is>
          <t>136,000</t>
        </is>
      </c>
      <c r="K1537" s="41" t="inlineStr">
        <is>
          <t>-</t>
        </is>
      </c>
      <c r="L1537" s="41" t="inlineStr">
        <is>
          <t>7</t>
        </is>
      </c>
      <c r="M1537" s="42" t="inlineStr">
        <is>
          <t>개인</t>
        </is>
      </c>
      <c r="N1537" s="42" t="inlineStr">
        <is>
          <t>개인</t>
        </is>
      </c>
      <c r="O1537" s="41" t="inlineStr">
        <is>
          <t>2002</t>
        </is>
      </c>
      <c r="P1537" s="42" t="inlineStr">
        <is>
          <t>효령로77길 20</t>
        </is>
      </c>
      <c r="Q1537" s="41" t="inlineStr">
        <is>
          <t>-</t>
        </is>
      </c>
      <c r="R1537" s="42" t="inlineStr">
        <is>
          <t>중개거래</t>
        </is>
      </c>
      <c r="S1537" s="42" t="inlineStr">
        <is>
          <t>서울 서초구</t>
        </is>
      </c>
      <c r="T1537" s="41" t="inlineStr">
        <is>
          <t>24.08.27</t>
        </is>
      </c>
      <c r="U1537" s="42" t="inlineStr">
        <is>
          <t>아파트</t>
        </is>
      </c>
    </row>
    <row r="1538" hidden="1" ht="14.25" customHeight="1">
      <c r="A1538" s="41" t="n">
        <v>1005</v>
      </c>
      <c r="B1538" s="42" t="inlineStr">
        <is>
          <t>서울특별시 서초구 서초동</t>
        </is>
      </c>
      <c r="C1538" s="41" t="inlineStr">
        <is>
          <t>1445-4</t>
        </is>
      </c>
      <c r="D1538" s="41" t="inlineStr">
        <is>
          <t>1445</t>
        </is>
      </c>
      <c r="E1538" s="41" t="inlineStr">
        <is>
          <t>0004</t>
        </is>
      </c>
      <c r="F1538" s="42" t="inlineStr">
        <is>
          <t>래미안서초유니빌</t>
        </is>
      </c>
      <c r="G1538" s="41" t="inlineStr">
        <is>
          <t>45.2550</t>
        </is>
      </c>
      <c r="H1538" s="41" t="inlineStr">
        <is>
          <t>202405</t>
        </is>
      </c>
      <c r="I1538" s="41" t="inlineStr">
        <is>
          <t>25</t>
        </is>
      </c>
      <c r="J1538" s="41" t="inlineStr">
        <is>
          <t>45,000</t>
        </is>
      </c>
      <c r="K1538" s="42" t="inlineStr">
        <is>
          <t>래미안 서초유니빌</t>
        </is>
      </c>
      <c r="L1538" s="41" t="inlineStr">
        <is>
          <t>8</t>
        </is>
      </c>
      <c r="M1538" s="42" t="inlineStr">
        <is>
          <t>개인</t>
        </is>
      </c>
      <c r="N1538" s="42" t="inlineStr">
        <is>
          <t>법인</t>
        </is>
      </c>
      <c r="O1538" s="41" t="inlineStr">
        <is>
          <t>2003</t>
        </is>
      </c>
      <c r="P1538" s="42" t="inlineStr">
        <is>
          <t>서초중앙로 26</t>
        </is>
      </c>
      <c r="Q1538" s="41" t="inlineStr">
        <is>
          <t>-</t>
        </is>
      </c>
      <c r="R1538" s="42" t="inlineStr">
        <is>
          <t>중개거래</t>
        </is>
      </c>
      <c r="S1538" s="42" t="inlineStr">
        <is>
          <t>서울 서초구</t>
        </is>
      </c>
      <c r="T1538" s="41" t="inlineStr">
        <is>
          <t>24.06.12</t>
        </is>
      </c>
      <c r="U1538" s="42" t="inlineStr">
        <is>
          <t>아파트</t>
        </is>
      </c>
    </row>
    <row r="1539" hidden="1" ht="14.25" customHeight="1">
      <c r="A1539" s="41" t="n">
        <v>1006</v>
      </c>
      <c r="B1539" s="42" t="inlineStr">
        <is>
          <t>서울특별시 서초구 서초동</t>
        </is>
      </c>
      <c r="C1539" s="41" t="inlineStr">
        <is>
          <t>1326-17</t>
        </is>
      </c>
      <c r="D1539" s="41" t="inlineStr">
        <is>
          <t>1326</t>
        </is>
      </c>
      <c r="E1539" s="41" t="inlineStr">
        <is>
          <t>0017</t>
        </is>
      </c>
      <c r="F1539" s="42" t="inlineStr">
        <is>
          <t>우성아파트</t>
        </is>
      </c>
      <c r="G1539" s="41" t="inlineStr">
        <is>
          <t>59.9300</t>
        </is>
      </c>
      <c r="H1539" s="41" t="inlineStr">
        <is>
          <t>202405</t>
        </is>
      </c>
      <c r="I1539" s="41" t="inlineStr">
        <is>
          <t>25</t>
        </is>
      </c>
      <c r="J1539" s="41" t="inlineStr">
        <is>
          <t>156,000</t>
        </is>
      </c>
      <c r="K1539" s="41" t="inlineStr">
        <is>
          <t>501</t>
        </is>
      </c>
      <c r="L1539" s="41" t="inlineStr">
        <is>
          <t>8</t>
        </is>
      </c>
      <c r="M1539" s="42" t="inlineStr">
        <is>
          <t>개인</t>
        </is>
      </c>
      <c r="N1539" s="42" t="inlineStr">
        <is>
          <t>개인</t>
        </is>
      </c>
      <c r="O1539" s="41" t="inlineStr">
        <is>
          <t>1998</t>
        </is>
      </c>
      <c r="P1539" s="42" t="inlineStr">
        <is>
          <t>서초대로74길 30</t>
        </is>
      </c>
      <c r="Q1539" s="41" t="inlineStr">
        <is>
          <t>-</t>
        </is>
      </c>
      <c r="R1539" s="42" t="inlineStr">
        <is>
          <t>중개거래</t>
        </is>
      </c>
      <c r="S1539" s="42" t="inlineStr">
        <is>
          <t>서울 서초구</t>
        </is>
      </c>
      <c r="T1539" s="41" t="inlineStr">
        <is>
          <t>24.08.23</t>
        </is>
      </c>
      <c r="U1539" s="42" t="inlineStr">
        <is>
          <t>아파트</t>
        </is>
      </c>
    </row>
    <row r="1540" hidden="1" ht="14.25" customHeight="1">
      <c r="A1540" s="41" t="n">
        <v>1007</v>
      </c>
      <c r="B1540" s="42" t="inlineStr">
        <is>
          <t>서울특별시 서초구 서초동</t>
        </is>
      </c>
      <c r="C1540" s="41" t="inlineStr">
        <is>
          <t>1648-2</t>
        </is>
      </c>
      <c r="D1540" s="41" t="inlineStr">
        <is>
          <t>1648</t>
        </is>
      </c>
      <c r="E1540" s="41" t="inlineStr">
        <is>
          <t>0002</t>
        </is>
      </c>
      <c r="F1540" s="42" t="inlineStr">
        <is>
          <t>서초현대</t>
        </is>
      </c>
      <c r="G1540" s="41" t="inlineStr">
        <is>
          <t>114.8400</t>
        </is>
      </c>
      <c r="H1540" s="41" t="inlineStr">
        <is>
          <t>202405</t>
        </is>
      </c>
      <c r="I1540" s="41" t="inlineStr">
        <is>
          <t>25</t>
        </is>
      </c>
      <c r="J1540" s="41" t="inlineStr">
        <is>
          <t>191,500</t>
        </is>
      </c>
      <c r="K1540" s="41" t="inlineStr">
        <is>
          <t>102</t>
        </is>
      </c>
      <c r="L1540" s="41" t="inlineStr">
        <is>
          <t>2</t>
        </is>
      </c>
      <c r="M1540" s="42" t="inlineStr">
        <is>
          <t>개인</t>
        </is>
      </c>
      <c r="N1540" s="42" t="inlineStr">
        <is>
          <t>개인</t>
        </is>
      </c>
      <c r="O1540" s="41" t="inlineStr">
        <is>
          <t>1999</t>
        </is>
      </c>
      <c r="P1540" s="42" t="inlineStr">
        <is>
          <t>사임당로19길 10</t>
        </is>
      </c>
      <c r="Q1540" s="41" t="inlineStr">
        <is>
          <t>-</t>
        </is>
      </c>
      <c r="R1540" s="42" t="inlineStr">
        <is>
          <t>중개거래</t>
        </is>
      </c>
      <c r="S1540" s="42" t="inlineStr">
        <is>
          <t>서울 서초구</t>
        </is>
      </c>
      <c r="T1540" s="41" t="inlineStr">
        <is>
          <t>24.09.04</t>
        </is>
      </c>
      <c r="U1540" s="42" t="inlineStr">
        <is>
          <t>아파트</t>
        </is>
      </c>
    </row>
    <row r="1541" hidden="1" ht="14.25" customHeight="1">
      <c r="A1541" s="41" t="n">
        <v>1008</v>
      </c>
      <c r="B1541" s="42" t="inlineStr">
        <is>
          <t>서울특별시 서초구 서초동</t>
        </is>
      </c>
      <c r="C1541" s="41" t="inlineStr">
        <is>
          <t>1757</t>
        </is>
      </c>
      <c r="D1541" s="41" t="inlineStr">
        <is>
          <t>1757</t>
        </is>
      </c>
      <c r="E1541" s="41" t="inlineStr">
        <is>
          <t>0000</t>
        </is>
      </c>
      <c r="F1541" s="42" t="inlineStr">
        <is>
          <t>서초그랑자이</t>
        </is>
      </c>
      <c r="G1541" s="41" t="inlineStr">
        <is>
          <t>84.5100</t>
        </is>
      </c>
      <c r="H1541" s="41" t="inlineStr">
        <is>
          <t>202405</t>
        </is>
      </c>
      <c r="I1541" s="41" t="inlineStr">
        <is>
          <t>25</t>
        </is>
      </c>
      <c r="J1541" s="41" t="inlineStr">
        <is>
          <t>295,000</t>
        </is>
      </c>
      <c r="K1541" s="41" t="inlineStr">
        <is>
          <t>101동</t>
        </is>
      </c>
      <c r="L1541" s="41" t="inlineStr">
        <is>
          <t>3</t>
        </is>
      </c>
      <c r="M1541" s="42" t="inlineStr">
        <is>
          <t>개인</t>
        </is>
      </c>
      <c r="N1541" s="42" t="inlineStr">
        <is>
          <t>개인</t>
        </is>
      </c>
      <c r="O1541" s="41" t="inlineStr">
        <is>
          <t>2021</t>
        </is>
      </c>
      <c r="P1541" s="42" t="inlineStr">
        <is>
          <t>효령로 391</t>
        </is>
      </c>
      <c r="Q1541" s="41" t="inlineStr">
        <is>
          <t>-</t>
        </is>
      </c>
      <c r="R1541" s="42" t="inlineStr">
        <is>
          <t>중개거래</t>
        </is>
      </c>
      <c r="S1541" s="42" t="inlineStr">
        <is>
          <t>서울 서초구</t>
        </is>
      </c>
      <c r="T1541" s="41" t="inlineStr">
        <is>
          <t>24.09.02</t>
        </is>
      </c>
      <c r="U1541" s="42" t="inlineStr">
        <is>
          <t>아파트</t>
        </is>
      </c>
    </row>
    <row r="1542" hidden="1" ht="14.25" customHeight="1">
      <c r="A1542" s="41" t="n">
        <v>1009</v>
      </c>
      <c r="B1542" s="42" t="inlineStr">
        <is>
          <t>서울특별시 서초구 서초동</t>
        </is>
      </c>
      <c r="C1542" s="41" t="inlineStr">
        <is>
          <t>1755</t>
        </is>
      </c>
      <c r="D1542" s="41" t="inlineStr">
        <is>
          <t>1755</t>
        </is>
      </c>
      <c r="E1542" s="41" t="inlineStr">
        <is>
          <t>0000</t>
        </is>
      </c>
      <c r="F1542" s="42" t="inlineStr">
        <is>
          <t>래미안 리더스원</t>
        </is>
      </c>
      <c r="G1542" s="41" t="inlineStr">
        <is>
          <t>114.7000</t>
        </is>
      </c>
      <c r="H1542" s="41" t="inlineStr">
        <is>
          <t>202405</t>
        </is>
      </c>
      <c r="I1542" s="41" t="inlineStr">
        <is>
          <t>25</t>
        </is>
      </c>
      <c r="J1542" s="41" t="inlineStr">
        <is>
          <t>373,000</t>
        </is>
      </c>
      <c r="K1542" s="41" t="inlineStr">
        <is>
          <t>104동</t>
        </is>
      </c>
      <c r="L1542" s="41" t="inlineStr">
        <is>
          <t>14</t>
        </is>
      </c>
      <c r="M1542" s="42" t="inlineStr">
        <is>
          <t>개인</t>
        </is>
      </c>
      <c r="N1542" s="42" t="inlineStr">
        <is>
          <t>개인</t>
        </is>
      </c>
      <c r="O1542" s="41" t="inlineStr">
        <is>
          <t>2020</t>
        </is>
      </c>
      <c r="P1542" s="42" t="inlineStr">
        <is>
          <t>서운로 62</t>
        </is>
      </c>
      <c r="Q1542" s="41" t="inlineStr">
        <is>
          <t>-</t>
        </is>
      </c>
      <c r="R1542" s="42" t="inlineStr">
        <is>
          <t>중개거래</t>
        </is>
      </c>
      <c r="S1542" s="42" t="inlineStr">
        <is>
          <t>서울 강서구, 서울 서초구</t>
        </is>
      </c>
      <c r="T1542" s="41" t="inlineStr">
        <is>
          <t>24.06.28</t>
        </is>
      </c>
      <c r="U1542" s="42" t="inlineStr">
        <is>
          <t>아파트</t>
        </is>
      </c>
    </row>
    <row r="1543" hidden="1" ht="14.25" customHeight="1">
      <c r="A1543" s="41" t="n">
        <v>1010</v>
      </c>
      <c r="B1543" s="42" t="inlineStr">
        <is>
          <t>서울특별시 서초구 서초동</t>
        </is>
      </c>
      <c r="C1543" s="41" t="inlineStr">
        <is>
          <t>1332-13</t>
        </is>
      </c>
      <c r="D1543" s="41" t="inlineStr">
        <is>
          <t>1332</t>
        </is>
      </c>
      <c r="E1543" s="41" t="inlineStr">
        <is>
          <t>0013</t>
        </is>
      </c>
      <c r="F1543" s="42" t="inlineStr">
        <is>
          <t>래미안서초에스티지</t>
        </is>
      </c>
      <c r="G1543" s="41" t="inlineStr">
        <is>
          <t>83.6000</t>
        </is>
      </c>
      <c r="H1543" s="41" t="inlineStr">
        <is>
          <t>202405</t>
        </is>
      </c>
      <c r="I1543" s="41" t="inlineStr">
        <is>
          <t>24</t>
        </is>
      </c>
      <c r="J1543" s="41" t="inlineStr">
        <is>
          <t>249,000</t>
        </is>
      </c>
      <c r="K1543" s="41" t="inlineStr">
        <is>
          <t>102동</t>
        </is>
      </c>
      <c r="L1543" s="41" t="inlineStr">
        <is>
          <t>14</t>
        </is>
      </c>
      <c r="M1543" s="42" t="inlineStr">
        <is>
          <t>개인</t>
        </is>
      </c>
      <c r="N1543" s="42" t="inlineStr">
        <is>
          <t>개인</t>
        </is>
      </c>
      <c r="O1543" s="41" t="inlineStr">
        <is>
          <t>2016</t>
        </is>
      </c>
      <c r="P1543" s="42" t="inlineStr">
        <is>
          <t>서운로 107</t>
        </is>
      </c>
      <c r="Q1543" s="41" t="inlineStr">
        <is>
          <t>-</t>
        </is>
      </c>
      <c r="R1543" s="42" t="inlineStr">
        <is>
          <t>중개거래</t>
        </is>
      </c>
      <c r="S1543" s="42" t="inlineStr">
        <is>
          <t>서울 서초구</t>
        </is>
      </c>
      <c r="T1543" s="41" t="inlineStr">
        <is>
          <t>24.09.12</t>
        </is>
      </c>
      <c r="U1543" s="42" t="inlineStr">
        <is>
          <t>아파트</t>
        </is>
      </c>
    </row>
    <row r="1544" hidden="1" ht="14.25" customHeight="1">
      <c r="A1544" s="41" t="n">
        <v>1011</v>
      </c>
      <c r="B1544" s="42" t="inlineStr">
        <is>
          <t>서울특별시 서초구 서초동</t>
        </is>
      </c>
      <c r="C1544" s="41" t="inlineStr">
        <is>
          <t>1326-17</t>
        </is>
      </c>
      <c r="D1544" s="41" t="inlineStr">
        <is>
          <t>1326</t>
        </is>
      </c>
      <c r="E1544" s="41" t="inlineStr">
        <is>
          <t>0017</t>
        </is>
      </c>
      <c r="F1544" s="42" t="inlineStr">
        <is>
          <t>우성아파트</t>
        </is>
      </c>
      <c r="G1544" s="41" t="inlineStr">
        <is>
          <t>76.6700</t>
        </is>
      </c>
      <c r="H1544" s="41" t="inlineStr">
        <is>
          <t>202405</t>
        </is>
      </c>
      <c r="I1544" s="41" t="inlineStr">
        <is>
          <t>24</t>
        </is>
      </c>
      <c r="J1544" s="41" t="inlineStr">
        <is>
          <t>184,000</t>
        </is>
      </c>
      <c r="K1544" s="41" t="inlineStr">
        <is>
          <t>501</t>
        </is>
      </c>
      <c r="L1544" s="41" t="inlineStr">
        <is>
          <t>7</t>
        </is>
      </c>
      <c r="M1544" s="42" t="inlineStr">
        <is>
          <t>개인</t>
        </is>
      </c>
      <c r="N1544" s="42" t="inlineStr">
        <is>
          <t>개인</t>
        </is>
      </c>
      <c r="O1544" s="41" t="inlineStr">
        <is>
          <t>1998</t>
        </is>
      </c>
      <c r="P1544" s="42" t="inlineStr">
        <is>
          <t>서초대로74길 30</t>
        </is>
      </c>
      <c r="Q1544" s="41" t="inlineStr">
        <is>
          <t>-</t>
        </is>
      </c>
      <c r="R1544" s="42" t="inlineStr">
        <is>
          <t>중개거래</t>
        </is>
      </c>
      <c r="S1544" s="42" t="inlineStr">
        <is>
          <t>서울 강남구, 서울 서초구</t>
        </is>
      </c>
      <c r="T1544" s="41" t="inlineStr">
        <is>
          <t>24.09.02</t>
        </is>
      </c>
      <c r="U1544" s="42" t="inlineStr">
        <is>
          <t>아파트</t>
        </is>
      </c>
    </row>
    <row r="1545" hidden="1" ht="14.25" customHeight="1">
      <c r="A1545" s="41" t="n">
        <v>1012</v>
      </c>
      <c r="B1545" s="42" t="inlineStr">
        <is>
          <t>서울특별시 서초구 서초동</t>
        </is>
      </c>
      <c r="C1545" s="41" t="inlineStr">
        <is>
          <t>1582-3</t>
        </is>
      </c>
      <c r="D1545" s="41" t="inlineStr">
        <is>
          <t>1582</t>
        </is>
      </c>
      <c r="E1545" s="41" t="inlineStr">
        <is>
          <t>0003</t>
        </is>
      </c>
      <c r="F1545" s="42" t="inlineStr">
        <is>
          <t>서초센트럴IPARK</t>
        </is>
      </c>
      <c r="G1545" s="41" t="inlineStr">
        <is>
          <t>80.5981</t>
        </is>
      </c>
      <c r="H1545" s="41" t="inlineStr">
        <is>
          <t>202405</t>
        </is>
      </c>
      <c r="I1545" s="41" t="inlineStr">
        <is>
          <t>24</t>
        </is>
      </c>
      <c r="J1545" s="41" t="inlineStr">
        <is>
          <t>163,000</t>
        </is>
      </c>
      <c r="K1545" s="41" t="inlineStr">
        <is>
          <t>101동</t>
        </is>
      </c>
      <c r="L1545" s="41" t="inlineStr">
        <is>
          <t>15</t>
        </is>
      </c>
      <c r="M1545" s="42" t="inlineStr">
        <is>
          <t>개인</t>
        </is>
      </c>
      <c r="N1545" s="42" t="inlineStr">
        <is>
          <t>개인</t>
        </is>
      </c>
      <c r="O1545" s="41" t="inlineStr">
        <is>
          <t>2020</t>
        </is>
      </c>
      <c r="P1545" s="42" t="inlineStr">
        <is>
          <t>반포대로18길 36</t>
        </is>
      </c>
      <c r="Q1545" s="41" t="inlineStr">
        <is>
          <t>-</t>
        </is>
      </c>
      <c r="R1545" s="42" t="inlineStr">
        <is>
          <t>중개거래</t>
        </is>
      </c>
      <c r="S1545" s="42" t="inlineStr">
        <is>
          <t>서울 동작구, 서울 서초구</t>
        </is>
      </c>
      <c r="T1545" s="41" t="inlineStr">
        <is>
          <t>25.02.07</t>
        </is>
      </c>
      <c r="U1545" s="42" t="inlineStr">
        <is>
          <t>아파트</t>
        </is>
      </c>
    </row>
    <row r="1546" hidden="1" ht="14.25" customHeight="1">
      <c r="A1546" s="41" t="n">
        <v>1013</v>
      </c>
      <c r="B1546" s="42" t="inlineStr">
        <is>
          <t>서울특별시 서초구 서초동</t>
        </is>
      </c>
      <c r="C1546" s="41" t="inlineStr">
        <is>
          <t>1445-13</t>
        </is>
      </c>
      <c r="D1546" s="41" t="inlineStr">
        <is>
          <t>1445</t>
        </is>
      </c>
      <c r="E1546" s="41" t="inlineStr">
        <is>
          <t>0013</t>
        </is>
      </c>
      <c r="F1546" s="42" t="inlineStr">
        <is>
          <t>서초쌍용플래티넘</t>
        </is>
      </c>
      <c r="G1546" s="41" t="inlineStr">
        <is>
          <t>55.5900</t>
        </is>
      </c>
      <c r="H1546" s="41" t="inlineStr">
        <is>
          <t>202405</t>
        </is>
      </c>
      <c r="I1546" s="41" t="inlineStr">
        <is>
          <t>24</t>
        </is>
      </c>
      <c r="J1546" s="41" t="inlineStr">
        <is>
          <t>65,000</t>
        </is>
      </c>
      <c r="K1546" s="42" t="inlineStr">
        <is>
          <t>서초쌍용플래티넘</t>
        </is>
      </c>
      <c r="L1546" s="41" t="inlineStr">
        <is>
          <t>12</t>
        </is>
      </c>
      <c r="M1546" s="42" t="inlineStr">
        <is>
          <t>개인</t>
        </is>
      </c>
      <c r="N1546" s="42" t="inlineStr">
        <is>
          <t>개인</t>
        </is>
      </c>
      <c r="O1546" s="41" t="inlineStr">
        <is>
          <t>2006</t>
        </is>
      </c>
      <c r="P1546" s="42" t="inlineStr">
        <is>
          <t>서초중앙로 18</t>
        </is>
      </c>
      <c r="Q1546" s="41" t="inlineStr">
        <is>
          <t>-</t>
        </is>
      </c>
      <c r="R1546" s="42" t="inlineStr">
        <is>
          <t>중개거래</t>
        </is>
      </c>
      <c r="S1546" s="42" t="inlineStr">
        <is>
          <t>서울 서초구</t>
        </is>
      </c>
      <c r="T1546" s="41" t="inlineStr">
        <is>
          <t>24.10.21</t>
        </is>
      </c>
      <c r="U1546" s="42" t="inlineStr">
        <is>
          <t>아파트</t>
        </is>
      </c>
    </row>
    <row r="1547" hidden="1" ht="14.25" customHeight="1">
      <c r="A1547" s="41" t="n">
        <v>1014</v>
      </c>
      <c r="B1547" s="42" t="inlineStr">
        <is>
          <t>서울특별시 서초구 서초동</t>
        </is>
      </c>
      <c r="C1547" s="41" t="inlineStr">
        <is>
          <t>1332-13</t>
        </is>
      </c>
      <c r="D1547" s="41" t="inlineStr">
        <is>
          <t>1332</t>
        </is>
      </c>
      <c r="E1547" s="41" t="inlineStr">
        <is>
          <t>0013</t>
        </is>
      </c>
      <c r="F1547" s="42" t="inlineStr">
        <is>
          <t>래미안서초에스티지</t>
        </is>
      </c>
      <c r="G1547" s="41" t="inlineStr">
        <is>
          <t>83.6000</t>
        </is>
      </c>
      <c r="H1547" s="41" t="inlineStr">
        <is>
          <t>202405</t>
        </is>
      </c>
      <c r="I1547" s="41" t="inlineStr">
        <is>
          <t>23</t>
        </is>
      </c>
      <c r="J1547" s="41" t="inlineStr">
        <is>
          <t>246,000</t>
        </is>
      </c>
      <c r="K1547" s="41" t="inlineStr">
        <is>
          <t>102동</t>
        </is>
      </c>
      <c r="L1547" s="41" t="inlineStr">
        <is>
          <t>10</t>
        </is>
      </c>
      <c r="M1547" s="42" t="inlineStr">
        <is>
          <t>개인</t>
        </is>
      </c>
      <c r="N1547" s="42" t="inlineStr">
        <is>
          <t>개인</t>
        </is>
      </c>
      <c r="O1547" s="41" t="inlineStr">
        <is>
          <t>2016</t>
        </is>
      </c>
      <c r="P1547" s="42" t="inlineStr">
        <is>
          <t>서운로 107</t>
        </is>
      </c>
      <c r="Q1547" s="41" t="inlineStr">
        <is>
          <t>-</t>
        </is>
      </c>
      <c r="R1547" s="42" t="inlineStr">
        <is>
          <t>중개거래</t>
        </is>
      </c>
      <c r="S1547" s="42" t="inlineStr">
        <is>
          <t>서울 서초구</t>
        </is>
      </c>
      <c r="T1547" s="41" t="inlineStr">
        <is>
          <t>24.07.31</t>
        </is>
      </c>
      <c r="U1547" s="42" t="inlineStr">
        <is>
          <t>아파트</t>
        </is>
      </c>
    </row>
    <row r="1548" hidden="1" ht="14.25" customHeight="1">
      <c r="A1548" s="41" t="n">
        <v>1015</v>
      </c>
      <c r="B1548" s="42" t="inlineStr">
        <is>
          <t>서울특별시 서초구 서초동</t>
        </is>
      </c>
      <c r="C1548" s="41" t="inlineStr">
        <is>
          <t>1446-11</t>
        </is>
      </c>
      <c r="D1548" s="41" t="inlineStr">
        <is>
          <t>1446</t>
        </is>
      </c>
      <c r="E1548" s="41" t="inlineStr">
        <is>
          <t>0011</t>
        </is>
      </c>
      <c r="F1548" s="42" t="inlineStr">
        <is>
          <t>현대슈퍼빌</t>
        </is>
      </c>
      <c r="G1548" s="41" t="inlineStr">
        <is>
          <t>185.0200</t>
        </is>
      </c>
      <c r="H1548" s="41" t="inlineStr">
        <is>
          <t>202405</t>
        </is>
      </c>
      <c r="I1548" s="41" t="inlineStr">
        <is>
          <t>23</t>
        </is>
      </c>
      <c r="J1548" s="41" t="inlineStr">
        <is>
          <t>305,000</t>
        </is>
      </c>
      <c r="K1548" s="41" t="inlineStr">
        <is>
          <t>D</t>
        </is>
      </c>
      <c r="L1548" s="41" t="inlineStr">
        <is>
          <t>18</t>
        </is>
      </c>
      <c r="M1548" s="42" t="inlineStr">
        <is>
          <t>개인</t>
        </is>
      </c>
      <c r="N1548" s="42" t="inlineStr">
        <is>
          <t>개인</t>
        </is>
      </c>
      <c r="O1548" s="41" t="inlineStr">
        <is>
          <t>2003</t>
        </is>
      </c>
      <c r="P1548" s="42" t="inlineStr">
        <is>
          <t>서초중앙로 15</t>
        </is>
      </c>
      <c r="Q1548" s="41" t="inlineStr">
        <is>
          <t>-</t>
        </is>
      </c>
      <c r="R1548" s="42" t="inlineStr">
        <is>
          <t>중개거래</t>
        </is>
      </c>
      <c r="S1548" s="42" t="inlineStr">
        <is>
          <t>서울 용산구</t>
        </is>
      </c>
      <c r="T1548" s="41" t="inlineStr">
        <is>
          <t>24.07.18</t>
        </is>
      </c>
      <c r="U1548" s="42" t="inlineStr">
        <is>
          <t>아파트</t>
        </is>
      </c>
    </row>
    <row r="1549" hidden="1" ht="14.25" customHeight="1">
      <c r="A1549" s="41" t="n">
        <v>1016</v>
      </c>
      <c r="B1549" s="42" t="inlineStr">
        <is>
          <t>서울특별시 서초구 서초동</t>
        </is>
      </c>
      <c r="C1549" s="41" t="inlineStr">
        <is>
          <t>1755</t>
        </is>
      </c>
      <c r="D1549" s="41" t="inlineStr">
        <is>
          <t>1755</t>
        </is>
      </c>
      <c r="E1549" s="41" t="inlineStr">
        <is>
          <t>0000</t>
        </is>
      </c>
      <c r="F1549" s="42" t="inlineStr">
        <is>
          <t>래미안 리더스원</t>
        </is>
      </c>
      <c r="G1549" s="41" t="inlineStr">
        <is>
          <t>59.9700</t>
        </is>
      </c>
      <c r="H1549" s="41" t="inlineStr">
        <is>
          <t>202405</t>
        </is>
      </c>
      <c r="I1549" s="41" t="inlineStr">
        <is>
          <t>23</t>
        </is>
      </c>
      <c r="J1549" s="41" t="inlineStr">
        <is>
          <t>226,000</t>
        </is>
      </c>
      <c r="K1549" s="41" t="inlineStr">
        <is>
          <t>110동</t>
        </is>
      </c>
      <c r="L1549" s="41" t="inlineStr">
        <is>
          <t>18</t>
        </is>
      </c>
      <c r="M1549" s="42" t="inlineStr">
        <is>
          <t>개인</t>
        </is>
      </c>
      <c r="N1549" s="42" t="inlineStr">
        <is>
          <t>개인</t>
        </is>
      </c>
      <c r="O1549" s="41" t="inlineStr">
        <is>
          <t>2020</t>
        </is>
      </c>
      <c r="P1549" s="42" t="inlineStr">
        <is>
          <t>서운로 62</t>
        </is>
      </c>
      <c r="Q1549" s="41" t="inlineStr">
        <is>
          <t>-</t>
        </is>
      </c>
      <c r="R1549" s="42" t="inlineStr">
        <is>
          <t>중개거래</t>
        </is>
      </c>
      <c r="S1549" s="42" t="inlineStr">
        <is>
          <t>서울 서초구</t>
        </is>
      </c>
      <c r="T1549" s="41" t="inlineStr">
        <is>
          <t>24.07.30</t>
        </is>
      </c>
      <c r="U1549" s="42" t="inlineStr">
        <is>
          <t>아파트</t>
        </is>
      </c>
    </row>
    <row r="1550" hidden="1" ht="14.25" customHeight="1">
      <c r="A1550" s="41" t="n">
        <v>1017</v>
      </c>
      <c r="B1550" s="42" t="inlineStr">
        <is>
          <t>서울특별시 서초구 서초동</t>
        </is>
      </c>
      <c r="C1550" s="41" t="inlineStr">
        <is>
          <t>1755</t>
        </is>
      </c>
      <c r="D1550" s="41" t="inlineStr">
        <is>
          <t>1755</t>
        </is>
      </c>
      <c r="E1550" s="41" t="inlineStr">
        <is>
          <t>0000</t>
        </is>
      </c>
      <c r="F1550" s="42" t="inlineStr">
        <is>
          <t>래미안 리더스원</t>
        </is>
      </c>
      <c r="G1550" s="41" t="inlineStr">
        <is>
          <t>59.9600</t>
        </is>
      </c>
      <c r="H1550" s="41" t="inlineStr">
        <is>
          <t>202405</t>
        </is>
      </c>
      <c r="I1550" s="41" t="inlineStr">
        <is>
          <t>23</t>
        </is>
      </c>
      <c r="J1550" s="41" t="inlineStr">
        <is>
          <t>225,000</t>
        </is>
      </c>
      <c r="K1550" s="41" t="inlineStr">
        <is>
          <t>112동</t>
        </is>
      </c>
      <c r="L1550" s="41" t="inlineStr">
        <is>
          <t>27</t>
        </is>
      </c>
      <c r="M1550" s="42" t="inlineStr">
        <is>
          <t>개인</t>
        </is>
      </c>
      <c r="N1550" s="42" t="inlineStr">
        <is>
          <t>개인</t>
        </is>
      </c>
      <c r="O1550" s="41" t="inlineStr">
        <is>
          <t>2020</t>
        </is>
      </c>
      <c r="P1550" s="42" t="inlineStr">
        <is>
          <t>서운로 62</t>
        </is>
      </c>
      <c r="Q1550" s="41" t="inlineStr">
        <is>
          <t>-</t>
        </is>
      </c>
      <c r="R1550" s="42" t="inlineStr">
        <is>
          <t>중개거래</t>
        </is>
      </c>
      <c r="S1550" s="42" t="inlineStr">
        <is>
          <t>서울 서초구</t>
        </is>
      </c>
      <c r="T1550" s="41" t="inlineStr">
        <is>
          <t>24.05.30</t>
        </is>
      </c>
      <c r="U1550" s="42" t="inlineStr">
        <is>
          <t>아파트</t>
        </is>
      </c>
    </row>
    <row r="1551" hidden="1" ht="14.25" customHeight="1">
      <c r="A1551" s="41" t="n">
        <v>1018</v>
      </c>
      <c r="B1551" s="42" t="inlineStr">
        <is>
          <t>서울특별시 서초구 서초동</t>
        </is>
      </c>
      <c r="C1551" s="41" t="inlineStr">
        <is>
          <t>1681-8</t>
        </is>
      </c>
      <c r="D1551" s="41" t="inlineStr">
        <is>
          <t>1681</t>
        </is>
      </c>
      <c r="E1551" s="41" t="inlineStr">
        <is>
          <t>0008</t>
        </is>
      </c>
      <c r="F1551" s="42" t="inlineStr">
        <is>
          <t>서초롯데캐슬프레지던트</t>
        </is>
      </c>
      <c r="G1551" s="41" t="inlineStr">
        <is>
          <t>84.9700</t>
        </is>
      </c>
      <c r="H1551" s="41" t="inlineStr">
        <is>
          <t>202405</t>
        </is>
      </c>
      <c r="I1551" s="41" t="inlineStr">
        <is>
          <t>23</t>
        </is>
      </c>
      <c r="J1551" s="41" t="inlineStr">
        <is>
          <t>221,500</t>
        </is>
      </c>
      <c r="K1551" s="41" t="inlineStr">
        <is>
          <t>101</t>
        </is>
      </c>
      <c r="L1551" s="41" t="inlineStr">
        <is>
          <t>20</t>
        </is>
      </c>
      <c r="M1551" s="42" t="inlineStr">
        <is>
          <t>개인</t>
        </is>
      </c>
      <c r="N1551" s="42" t="inlineStr">
        <is>
          <t>개인</t>
        </is>
      </c>
      <c r="O1551" s="41" t="inlineStr">
        <is>
          <t>2014</t>
        </is>
      </c>
      <c r="P1551" s="42" t="inlineStr">
        <is>
          <t>서초중앙로24길 57</t>
        </is>
      </c>
      <c r="Q1551" s="41" t="inlineStr">
        <is>
          <t>-</t>
        </is>
      </c>
      <c r="R1551" s="42" t="inlineStr">
        <is>
          <t>중개거래</t>
        </is>
      </c>
      <c r="S1551" s="42" t="inlineStr">
        <is>
          <t>서울 서초구</t>
        </is>
      </c>
      <c r="T1551" s="41" t="inlineStr">
        <is>
          <t>24.08.23</t>
        </is>
      </c>
      <c r="U1551" s="42" t="inlineStr">
        <is>
          <t>아파트</t>
        </is>
      </c>
    </row>
    <row r="1552" hidden="1" ht="14.25" customHeight="1">
      <c r="A1552" s="41" t="n">
        <v>1019</v>
      </c>
      <c r="B1552" s="42" t="inlineStr">
        <is>
          <t>서울특별시 서초구 서초동</t>
        </is>
      </c>
      <c r="C1552" s="41" t="inlineStr">
        <is>
          <t>1311-10</t>
        </is>
      </c>
      <c r="D1552" s="41" t="inlineStr">
        <is>
          <t>1311</t>
        </is>
      </c>
      <c r="E1552" s="41" t="inlineStr">
        <is>
          <t>0010</t>
        </is>
      </c>
      <c r="F1552" s="42" t="inlineStr">
        <is>
          <t>서초푸르지오써밋</t>
        </is>
      </c>
      <c r="G1552" s="41" t="inlineStr">
        <is>
          <t>84.9500</t>
        </is>
      </c>
      <c r="H1552" s="41" t="inlineStr">
        <is>
          <t>202405</t>
        </is>
      </c>
      <c r="I1552" s="41" t="inlineStr">
        <is>
          <t>22</t>
        </is>
      </c>
      <c r="J1552" s="41" t="inlineStr">
        <is>
          <t>260,000</t>
        </is>
      </c>
      <c r="K1552" s="41" t="inlineStr">
        <is>
          <t>102</t>
        </is>
      </c>
      <c r="L1552" s="41" t="inlineStr">
        <is>
          <t>4</t>
        </is>
      </c>
      <c r="M1552" s="42" t="inlineStr">
        <is>
          <t>개인</t>
        </is>
      </c>
      <c r="N1552" s="42" t="inlineStr">
        <is>
          <t>개인</t>
        </is>
      </c>
      <c r="O1552" s="41" t="inlineStr">
        <is>
          <t>2017</t>
        </is>
      </c>
      <c r="P1552" s="42" t="inlineStr">
        <is>
          <t>서운로 201</t>
        </is>
      </c>
      <c r="Q1552" s="41" t="inlineStr">
        <is>
          <t>-</t>
        </is>
      </c>
      <c r="R1552" s="42" t="inlineStr">
        <is>
          <t>중개거래</t>
        </is>
      </c>
      <c r="S1552" s="42" t="inlineStr">
        <is>
          <t>서울 서초구</t>
        </is>
      </c>
      <c r="T1552" s="41" t="inlineStr">
        <is>
          <t>24.09.24</t>
        </is>
      </c>
      <c r="U1552" s="42" t="inlineStr">
        <is>
          <t>아파트</t>
        </is>
      </c>
    </row>
    <row r="1553" hidden="1" ht="14.25" customHeight="1">
      <c r="A1553" s="41" t="n">
        <v>1020</v>
      </c>
      <c r="B1553" s="42" t="inlineStr">
        <is>
          <t>서울특별시 서초구 서초동</t>
        </is>
      </c>
      <c r="C1553" s="41" t="inlineStr">
        <is>
          <t>1755</t>
        </is>
      </c>
      <c r="D1553" s="41" t="inlineStr">
        <is>
          <t>1755</t>
        </is>
      </c>
      <c r="E1553" s="41" t="inlineStr">
        <is>
          <t>0000</t>
        </is>
      </c>
      <c r="F1553" s="42" t="inlineStr">
        <is>
          <t>래미안 리더스원</t>
        </is>
      </c>
      <c r="G1553" s="41" t="inlineStr">
        <is>
          <t>59.9600</t>
        </is>
      </c>
      <c r="H1553" s="41" t="inlineStr">
        <is>
          <t>202405</t>
        </is>
      </c>
      <c r="I1553" s="41" t="inlineStr">
        <is>
          <t>22</t>
        </is>
      </c>
      <c r="J1553" s="41" t="inlineStr">
        <is>
          <t>233,000</t>
        </is>
      </c>
      <c r="K1553" s="41" t="inlineStr">
        <is>
          <t>110동</t>
        </is>
      </c>
      <c r="L1553" s="41" t="inlineStr">
        <is>
          <t>28</t>
        </is>
      </c>
      <c r="M1553" s="42" t="inlineStr">
        <is>
          <t>개인</t>
        </is>
      </c>
      <c r="N1553" s="42" t="inlineStr">
        <is>
          <t>개인</t>
        </is>
      </c>
      <c r="O1553" s="41" t="inlineStr">
        <is>
          <t>2020</t>
        </is>
      </c>
      <c r="P1553" s="42" t="inlineStr">
        <is>
          <t>서운로 62</t>
        </is>
      </c>
      <c r="Q1553" s="41" t="inlineStr">
        <is>
          <t>-</t>
        </is>
      </c>
      <c r="R1553" s="42" t="inlineStr">
        <is>
          <t>중개거래</t>
        </is>
      </c>
      <c r="S1553" s="42" t="inlineStr">
        <is>
          <t>서울 서초구</t>
        </is>
      </c>
      <c r="T1553" s="41" t="inlineStr">
        <is>
          <t>24.09.02</t>
        </is>
      </c>
      <c r="U1553" s="42" t="inlineStr">
        <is>
          <t>아파트</t>
        </is>
      </c>
    </row>
    <row r="1554" hidden="1" ht="14.25" customHeight="1">
      <c r="A1554" s="41" t="n">
        <v>1021</v>
      </c>
      <c r="B1554" s="42" t="inlineStr">
        <is>
          <t>서울특별시 서초구 서초동</t>
        </is>
      </c>
      <c r="C1554" s="41" t="inlineStr">
        <is>
          <t>1311-10</t>
        </is>
      </c>
      <c r="D1554" s="41" t="inlineStr">
        <is>
          <t>1311</t>
        </is>
      </c>
      <c r="E1554" s="41" t="inlineStr">
        <is>
          <t>0010</t>
        </is>
      </c>
      <c r="F1554" s="42" t="inlineStr">
        <is>
          <t>서초푸르지오써밋</t>
        </is>
      </c>
      <c r="G1554" s="41" t="inlineStr">
        <is>
          <t>84.9300</t>
        </is>
      </c>
      <c r="H1554" s="41" t="inlineStr">
        <is>
          <t>202405</t>
        </is>
      </c>
      <c r="I1554" s="41" t="inlineStr">
        <is>
          <t>22</t>
        </is>
      </c>
      <c r="J1554" s="41" t="inlineStr">
        <is>
          <t>270,000</t>
        </is>
      </c>
      <c r="K1554" s="41" t="inlineStr">
        <is>
          <t>104</t>
        </is>
      </c>
      <c r="L1554" s="41" t="inlineStr">
        <is>
          <t>15</t>
        </is>
      </c>
      <c r="M1554" s="42" t="inlineStr">
        <is>
          <t>개인</t>
        </is>
      </c>
      <c r="N1554" s="42" t="inlineStr">
        <is>
          <t>개인</t>
        </is>
      </c>
      <c r="O1554" s="41" t="inlineStr">
        <is>
          <t>2017</t>
        </is>
      </c>
      <c r="P1554" s="42" t="inlineStr">
        <is>
          <t>서운로 201</t>
        </is>
      </c>
      <c r="Q1554" s="41" t="inlineStr">
        <is>
          <t>-</t>
        </is>
      </c>
      <c r="R1554" s="42" t="inlineStr">
        <is>
          <t>중개거래</t>
        </is>
      </c>
      <c r="S1554" s="42" t="inlineStr">
        <is>
          <t>광주 남구, 서울 서초구</t>
        </is>
      </c>
      <c r="T1554" s="41" t="inlineStr">
        <is>
          <t>24.07.31</t>
        </is>
      </c>
      <c r="U1554" s="42" t="inlineStr">
        <is>
          <t>아파트</t>
        </is>
      </c>
    </row>
    <row r="1555" hidden="1" ht="14.25" customHeight="1">
      <c r="A1555" s="41" t="n">
        <v>1022</v>
      </c>
      <c r="B1555" s="42" t="inlineStr">
        <is>
          <t>서울특별시 서초구 서초동</t>
        </is>
      </c>
      <c r="C1555" s="41" t="inlineStr">
        <is>
          <t>1312-3</t>
        </is>
      </c>
      <c r="D1555" s="41" t="inlineStr">
        <is>
          <t>1312</t>
        </is>
      </c>
      <c r="E1555" s="41" t="inlineStr">
        <is>
          <t>0003</t>
        </is>
      </c>
      <c r="F1555" s="42" t="inlineStr">
        <is>
          <t>롯데캐슬클래식</t>
        </is>
      </c>
      <c r="G1555" s="41" t="inlineStr">
        <is>
          <t>84.9800</t>
        </is>
      </c>
      <c r="H1555" s="41" t="inlineStr">
        <is>
          <t>202405</t>
        </is>
      </c>
      <c r="I1555" s="41" t="inlineStr">
        <is>
          <t>22</t>
        </is>
      </c>
      <c r="J1555" s="41" t="inlineStr">
        <is>
          <t>224,000</t>
        </is>
      </c>
      <c r="K1555" s="41" t="inlineStr">
        <is>
          <t>103</t>
        </is>
      </c>
      <c r="L1555" s="41" t="inlineStr">
        <is>
          <t>7</t>
        </is>
      </c>
      <c r="M1555" s="42" t="inlineStr">
        <is>
          <t>개인</t>
        </is>
      </c>
      <c r="N1555" s="42" t="inlineStr">
        <is>
          <t>개인</t>
        </is>
      </c>
      <c r="O1555" s="41" t="inlineStr">
        <is>
          <t>2006</t>
        </is>
      </c>
      <c r="P1555" s="42" t="inlineStr">
        <is>
          <t>서운로 197</t>
        </is>
      </c>
      <c r="Q1555" s="41" t="inlineStr">
        <is>
          <t>-</t>
        </is>
      </c>
      <c r="R1555" s="42" t="inlineStr">
        <is>
          <t>중개거래</t>
        </is>
      </c>
      <c r="S1555" s="42" t="inlineStr">
        <is>
          <t>서울 서초구</t>
        </is>
      </c>
      <c r="T1555" s="41" t="inlineStr">
        <is>
          <t>24.09.24</t>
        </is>
      </c>
      <c r="U1555" s="42" t="inlineStr">
        <is>
          <t>아파트</t>
        </is>
      </c>
    </row>
    <row r="1556" hidden="1" ht="14.25" customHeight="1">
      <c r="A1556" s="41" t="n">
        <v>1023</v>
      </c>
      <c r="B1556" s="42" t="inlineStr">
        <is>
          <t>서울특별시 서초구 서초동</t>
        </is>
      </c>
      <c r="C1556" s="41" t="inlineStr">
        <is>
          <t>1685-3</t>
        </is>
      </c>
      <c r="D1556" s="41" t="inlineStr">
        <is>
          <t>1685</t>
        </is>
      </c>
      <c r="E1556" s="41" t="inlineStr">
        <is>
          <t>0003</t>
        </is>
      </c>
      <c r="F1556" s="42" t="inlineStr">
        <is>
          <t>아크로비스타</t>
        </is>
      </c>
      <c r="G1556" s="41" t="inlineStr">
        <is>
          <t>123.4000</t>
        </is>
      </c>
      <c r="H1556" s="41" t="inlineStr">
        <is>
          <t>202405</t>
        </is>
      </c>
      <c r="I1556" s="41" t="inlineStr">
        <is>
          <t>21</t>
        </is>
      </c>
      <c r="J1556" s="41" t="inlineStr">
        <is>
          <t>239,000</t>
        </is>
      </c>
      <c r="K1556" s="41" t="inlineStr">
        <is>
          <t>A</t>
        </is>
      </c>
      <c r="L1556" s="41" t="inlineStr">
        <is>
          <t>26</t>
        </is>
      </c>
      <c r="M1556" s="42" t="inlineStr">
        <is>
          <t>개인</t>
        </is>
      </c>
      <c r="N1556" s="42" t="inlineStr">
        <is>
          <t>개인</t>
        </is>
      </c>
      <c r="O1556" s="41" t="inlineStr">
        <is>
          <t>2004</t>
        </is>
      </c>
      <c r="P1556" s="42" t="inlineStr">
        <is>
          <t>서초중앙로 188</t>
        </is>
      </c>
      <c r="Q1556" s="41" t="inlineStr">
        <is>
          <t>-</t>
        </is>
      </c>
      <c r="R1556" s="42" t="inlineStr">
        <is>
          <t>중개거래</t>
        </is>
      </c>
      <c r="S1556" s="42" t="inlineStr">
        <is>
          <t>서울 강남구, 서울 서초구</t>
        </is>
      </c>
      <c r="T1556" s="41" t="inlineStr">
        <is>
          <t>24.09.04</t>
        </is>
      </c>
      <c r="U1556" s="42" t="inlineStr">
        <is>
          <t>아파트</t>
        </is>
      </c>
    </row>
    <row r="1557" hidden="1" ht="14.25" customHeight="1">
      <c r="A1557" s="41" t="n">
        <v>1024</v>
      </c>
      <c r="B1557" s="42" t="inlineStr">
        <is>
          <t>서울특별시 서초구 서초동</t>
        </is>
      </c>
      <c r="C1557" s="41" t="inlineStr">
        <is>
          <t>1514-6</t>
        </is>
      </c>
      <c r="D1557" s="41" t="inlineStr">
        <is>
          <t>1514</t>
        </is>
      </c>
      <c r="E1557" s="41" t="inlineStr">
        <is>
          <t>0006</t>
        </is>
      </c>
      <c r="F1557" s="42" t="inlineStr">
        <is>
          <t>옥스포드빌라트</t>
        </is>
      </c>
      <c r="G1557" s="41" t="inlineStr">
        <is>
          <t>75.0500</t>
        </is>
      </c>
      <c r="H1557" s="41" t="inlineStr">
        <is>
          <t>202405</t>
        </is>
      </c>
      <c r="I1557" s="41" t="inlineStr">
        <is>
          <t>21</t>
        </is>
      </c>
      <c r="J1557" s="41" t="inlineStr">
        <is>
          <t>89,000</t>
        </is>
      </c>
      <c r="K1557" s="41" t="inlineStr">
        <is>
          <t>-</t>
        </is>
      </c>
      <c r="L1557" s="41" t="inlineStr">
        <is>
          <t>3</t>
        </is>
      </c>
      <c r="M1557" s="42" t="inlineStr">
        <is>
          <t>개인</t>
        </is>
      </c>
      <c r="N1557" s="42" t="inlineStr">
        <is>
          <t>개인</t>
        </is>
      </c>
      <c r="O1557" s="41" t="inlineStr">
        <is>
          <t>2003</t>
        </is>
      </c>
      <c r="P1557" s="42" t="inlineStr">
        <is>
          <t>명달로20길 25</t>
        </is>
      </c>
      <c r="Q1557" s="41" t="inlineStr">
        <is>
          <t>-</t>
        </is>
      </c>
      <c r="R1557" s="42" t="inlineStr">
        <is>
          <t>중개거래</t>
        </is>
      </c>
      <c r="S1557" s="42" t="inlineStr">
        <is>
          <t>서울 서초구</t>
        </is>
      </c>
      <c r="T1557" s="41" t="inlineStr">
        <is>
          <t>24.07.09</t>
        </is>
      </c>
      <c r="U1557" s="42" t="inlineStr">
        <is>
          <t>아파트</t>
        </is>
      </c>
    </row>
    <row r="1558" hidden="1" ht="14.25" customHeight="1">
      <c r="A1558" s="41" t="n">
        <v>1025</v>
      </c>
      <c r="B1558" s="42" t="inlineStr">
        <is>
          <t>서울특별시 서초구 서초동</t>
        </is>
      </c>
      <c r="C1558" s="41" t="inlineStr">
        <is>
          <t>1445-4</t>
        </is>
      </c>
      <c r="D1558" s="41" t="inlineStr">
        <is>
          <t>1445</t>
        </is>
      </c>
      <c r="E1558" s="41" t="inlineStr">
        <is>
          <t>0004</t>
        </is>
      </c>
      <c r="F1558" s="42" t="inlineStr">
        <is>
          <t>래미안서초유니빌</t>
        </is>
      </c>
      <c r="G1558" s="41" t="inlineStr">
        <is>
          <t>50.3990</t>
        </is>
      </c>
      <c r="H1558" s="41" t="inlineStr">
        <is>
          <t>202405</t>
        </is>
      </c>
      <c r="I1558" s="41" t="inlineStr">
        <is>
          <t>21</t>
        </is>
      </c>
      <c r="J1558" s="41" t="inlineStr">
        <is>
          <t>71,000</t>
        </is>
      </c>
      <c r="K1558" s="42" t="inlineStr">
        <is>
          <t>래미안 서초유니빌</t>
        </is>
      </c>
      <c r="L1558" s="41" t="inlineStr">
        <is>
          <t>24</t>
        </is>
      </c>
      <c r="M1558" s="42" t="inlineStr">
        <is>
          <t>개인</t>
        </is>
      </c>
      <c r="N1558" s="42" t="inlineStr">
        <is>
          <t>개인</t>
        </is>
      </c>
      <c r="O1558" s="41" t="inlineStr">
        <is>
          <t>2003</t>
        </is>
      </c>
      <c r="P1558" s="42" t="inlineStr">
        <is>
          <t>서초중앙로 26</t>
        </is>
      </c>
      <c r="Q1558" s="41" t="inlineStr">
        <is>
          <t>-</t>
        </is>
      </c>
      <c r="R1558" s="42" t="inlineStr">
        <is>
          <t>중개거래</t>
        </is>
      </c>
      <c r="S1558" s="42" t="inlineStr">
        <is>
          <t>서울 서초구</t>
        </is>
      </c>
      <c r="T1558" s="41" t="inlineStr">
        <is>
          <t>24.08.12</t>
        </is>
      </c>
      <c r="U1558" s="42" t="inlineStr">
        <is>
          <t>아파트</t>
        </is>
      </c>
    </row>
    <row r="1559" hidden="1" ht="14.25" customHeight="1">
      <c r="A1559" s="41" t="n">
        <v>1026</v>
      </c>
      <c r="B1559" s="42" t="inlineStr">
        <is>
          <t>서울특별시 서초구 서초동</t>
        </is>
      </c>
      <c r="C1559" s="41" t="inlineStr">
        <is>
          <t>1755</t>
        </is>
      </c>
      <c r="D1559" s="41" t="inlineStr">
        <is>
          <t>1755</t>
        </is>
      </c>
      <c r="E1559" s="41" t="inlineStr">
        <is>
          <t>0000</t>
        </is>
      </c>
      <c r="F1559" s="42" t="inlineStr">
        <is>
          <t>래미안 리더스원</t>
        </is>
      </c>
      <c r="G1559" s="41" t="inlineStr">
        <is>
          <t>59.9600</t>
        </is>
      </c>
      <c r="H1559" s="41" t="inlineStr">
        <is>
          <t>202405</t>
        </is>
      </c>
      <c r="I1559" s="41" t="inlineStr">
        <is>
          <t>21</t>
        </is>
      </c>
      <c r="J1559" s="41" t="inlineStr">
        <is>
          <t>228,000</t>
        </is>
      </c>
      <c r="K1559" s="41" t="inlineStr">
        <is>
          <t>112동</t>
        </is>
      </c>
      <c r="L1559" s="41" t="inlineStr">
        <is>
          <t>22</t>
        </is>
      </c>
      <c r="M1559" s="42" t="inlineStr">
        <is>
          <t>개인</t>
        </is>
      </c>
      <c r="N1559" s="42" t="inlineStr">
        <is>
          <t>개인</t>
        </is>
      </c>
      <c r="O1559" s="41" t="inlineStr">
        <is>
          <t>2020</t>
        </is>
      </c>
      <c r="P1559" s="42" t="inlineStr">
        <is>
          <t>서운로 62</t>
        </is>
      </c>
      <c r="Q1559" s="41" t="inlineStr">
        <is>
          <t>-</t>
        </is>
      </c>
      <c r="R1559" s="42" t="inlineStr">
        <is>
          <t>중개거래</t>
        </is>
      </c>
      <c r="S1559" s="42" t="inlineStr">
        <is>
          <t>서울 마포구, 서울 서초구</t>
        </is>
      </c>
      <c r="T1559" s="41" t="inlineStr">
        <is>
          <t>24.08.27</t>
        </is>
      </c>
      <c r="U1559" s="42" t="inlineStr">
        <is>
          <t>아파트</t>
        </is>
      </c>
    </row>
    <row r="1560" hidden="1" ht="14.25" customHeight="1">
      <c r="A1560" s="41" t="n">
        <v>1027</v>
      </c>
      <c r="B1560" s="42" t="inlineStr">
        <is>
          <t>서울특별시 서초구 서초동</t>
        </is>
      </c>
      <c r="C1560" s="41" t="inlineStr">
        <is>
          <t>1755</t>
        </is>
      </c>
      <c r="D1560" s="41" t="inlineStr">
        <is>
          <t>1755</t>
        </is>
      </c>
      <c r="E1560" s="41" t="inlineStr">
        <is>
          <t>0000</t>
        </is>
      </c>
      <c r="F1560" s="42" t="inlineStr">
        <is>
          <t>래미안 리더스원</t>
        </is>
      </c>
      <c r="G1560" s="41" t="inlineStr">
        <is>
          <t>59.9700</t>
        </is>
      </c>
      <c r="H1560" s="41" t="inlineStr">
        <is>
          <t>202405</t>
        </is>
      </c>
      <c r="I1560" s="41" t="inlineStr">
        <is>
          <t>21</t>
        </is>
      </c>
      <c r="J1560" s="41" t="inlineStr">
        <is>
          <t>230,000</t>
        </is>
      </c>
      <c r="K1560" s="41" t="inlineStr">
        <is>
          <t>112동</t>
        </is>
      </c>
      <c r="L1560" s="41" t="inlineStr">
        <is>
          <t>21</t>
        </is>
      </c>
      <c r="M1560" s="42" t="inlineStr">
        <is>
          <t>개인</t>
        </is>
      </c>
      <c r="N1560" s="42" t="inlineStr">
        <is>
          <t>개인</t>
        </is>
      </c>
      <c r="O1560" s="41" t="inlineStr">
        <is>
          <t>2020</t>
        </is>
      </c>
      <c r="P1560" s="42" t="inlineStr">
        <is>
          <t>서운로 62</t>
        </is>
      </c>
      <c r="Q1560" s="41" t="inlineStr">
        <is>
          <t>-</t>
        </is>
      </c>
      <c r="R1560" s="42" t="inlineStr">
        <is>
          <t>중개거래</t>
        </is>
      </c>
      <c r="S1560" s="42" t="inlineStr">
        <is>
          <t>서울 서초구</t>
        </is>
      </c>
      <c r="T1560" s="41" t="inlineStr">
        <is>
          <t>24.07.17</t>
        </is>
      </c>
      <c r="U1560" s="42" t="inlineStr">
        <is>
          <t>아파트</t>
        </is>
      </c>
    </row>
    <row r="1561" hidden="1" ht="14.25" customHeight="1">
      <c r="A1561" s="41" t="n">
        <v>1028</v>
      </c>
      <c r="B1561" s="42" t="inlineStr">
        <is>
          <t>서울특별시 서초구 서초동</t>
        </is>
      </c>
      <c r="C1561" s="41" t="inlineStr">
        <is>
          <t>1582-3</t>
        </is>
      </c>
      <c r="D1561" s="41" t="inlineStr">
        <is>
          <t>1582</t>
        </is>
      </c>
      <c r="E1561" s="41" t="inlineStr">
        <is>
          <t>0003</t>
        </is>
      </c>
      <c r="F1561" s="42" t="inlineStr">
        <is>
          <t>서초센트럴IPARK</t>
        </is>
      </c>
      <c r="G1561" s="41" t="inlineStr">
        <is>
          <t>80.5332</t>
        </is>
      </c>
      <c r="H1561" s="41" t="inlineStr">
        <is>
          <t>202405</t>
        </is>
      </c>
      <c r="I1561" s="41" t="inlineStr">
        <is>
          <t>20</t>
        </is>
      </c>
      <c r="J1561" s="41" t="inlineStr">
        <is>
          <t>181,500</t>
        </is>
      </c>
      <c r="K1561" s="41" t="inlineStr">
        <is>
          <t>101동</t>
        </is>
      </c>
      <c r="L1561" s="41" t="inlineStr">
        <is>
          <t>19</t>
        </is>
      </c>
      <c r="M1561" s="42" t="inlineStr">
        <is>
          <t>개인</t>
        </is>
      </c>
      <c r="N1561" s="42" t="inlineStr">
        <is>
          <t>개인</t>
        </is>
      </c>
      <c r="O1561" s="41" t="inlineStr">
        <is>
          <t>2020</t>
        </is>
      </c>
      <c r="P1561" s="42" t="inlineStr">
        <is>
          <t>반포대로18길 36</t>
        </is>
      </c>
      <c r="Q1561" s="41" t="inlineStr">
        <is>
          <t>-</t>
        </is>
      </c>
      <c r="R1561" s="42" t="inlineStr">
        <is>
          <t>중개거래</t>
        </is>
      </c>
      <c r="S1561" s="42" t="inlineStr">
        <is>
          <t>서울 서초구</t>
        </is>
      </c>
      <c r="T1561" s="41" t="inlineStr">
        <is>
          <t>24.09.06</t>
        </is>
      </c>
      <c r="U1561" s="42" t="inlineStr">
        <is>
          <t>아파트</t>
        </is>
      </c>
    </row>
    <row r="1562" hidden="1" ht="14.25" customHeight="1">
      <c r="A1562" s="41" t="n">
        <v>1029</v>
      </c>
      <c r="B1562" s="42" t="inlineStr">
        <is>
          <t>서울특별시 서초구 서초동</t>
        </is>
      </c>
      <c r="C1562" s="41" t="inlineStr">
        <is>
          <t>1321-6</t>
        </is>
      </c>
      <c r="D1562" s="41" t="inlineStr">
        <is>
          <t>1321</t>
        </is>
      </c>
      <c r="E1562" s="41" t="inlineStr">
        <is>
          <t>0006</t>
        </is>
      </c>
      <c r="F1562" s="42" t="inlineStr">
        <is>
          <t>서초동아타워</t>
        </is>
      </c>
      <c r="G1562" s="41" t="inlineStr">
        <is>
          <t>142.3100</t>
        </is>
      </c>
      <c r="H1562" s="41" t="inlineStr">
        <is>
          <t>202405</t>
        </is>
      </c>
      <c r="I1562" s="41" t="inlineStr">
        <is>
          <t>20</t>
        </is>
      </c>
      <c r="J1562" s="41" t="inlineStr">
        <is>
          <t>160,000</t>
        </is>
      </c>
      <c r="K1562" s="41" t="inlineStr">
        <is>
          <t>-</t>
        </is>
      </c>
      <c r="L1562" s="41" t="inlineStr">
        <is>
          <t>10</t>
        </is>
      </c>
      <c r="M1562" s="42" t="inlineStr">
        <is>
          <t>개인</t>
        </is>
      </c>
      <c r="N1562" s="42" t="inlineStr">
        <is>
          <t>법인</t>
        </is>
      </c>
      <c r="O1562" s="41" t="inlineStr">
        <is>
          <t>1996</t>
        </is>
      </c>
      <c r="P1562" s="42" t="inlineStr">
        <is>
          <t>서운로 138</t>
        </is>
      </c>
      <c r="Q1562" s="41" t="inlineStr">
        <is>
          <t>-</t>
        </is>
      </c>
      <c r="R1562" s="42" t="inlineStr">
        <is>
          <t>중개거래</t>
        </is>
      </c>
      <c r="S1562" s="42" t="inlineStr">
        <is>
          <t>서울 서초구</t>
        </is>
      </c>
      <c r="T1562" s="41" t="inlineStr">
        <is>
          <t>24.05.30</t>
        </is>
      </c>
      <c r="U1562" s="42" t="inlineStr">
        <is>
          <t>아파트</t>
        </is>
      </c>
    </row>
    <row r="1563" hidden="1" ht="14.25" customHeight="1">
      <c r="A1563" s="41" t="n">
        <v>1030</v>
      </c>
      <c r="B1563" s="42" t="inlineStr">
        <is>
          <t>서울특별시 서초구 서초동</t>
        </is>
      </c>
      <c r="C1563" s="41" t="inlineStr">
        <is>
          <t>1301-6</t>
        </is>
      </c>
      <c r="D1563" s="41" t="inlineStr">
        <is>
          <t>1301</t>
        </is>
      </c>
      <c r="E1563" s="41" t="inlineStr">
        <is>
          <t>0006</t>
        </is>
      </c>
      <c r="F1563" s="42" t="inlineStr">
        <is>
          <t>래미안서초스위트</t>
        </is>
      </c>
      <c r="G1563" s="41" t="inlineStr">
        <is>
          <t>95.8079</t>
        </is>
      </c>
      <c r="H1563" s="41" t="inlineStr">
        <is>
          <t>202405</t>
        </is>
      </c>
      <c r="I1563" s="41" t="inlineStr">
        <is>
          <t>18</t>
        </is>
      </c>
      <c r="J1563" s="41" t="inlineStr">
        <is>
          <t>249,500</t>
        </is>
      </c>
      <c r="K1563" s="41" t="inlineStr">
        <is>
          <t>103</t>
        </is>
      </c>
      <c r="L1563" s="41" t="inlineStr">
        <is>
          <t>14</t>
        </is>
      </c>
      <c r="M1563" s="42" t="inlineStr">
        <is>
          <t>개인</t>
        </is>
      </c>
      <c r="N1563" s="42" t="inlineStr">
        <is>
          <t>개인</t>
        </is>
      </c>
      <c r="O1563" s="41" t="inlineStr">
        <is>
          <t>2009</t>
        </is>
      </c>
      <c r="P1563" s="42" t="inlineStr">
        <is>
          <t>서운로 221</t>
        </is>
      </c>
      <c r="Q1563" s="41" t="inlineStr">
        <is>
          <t>-</t>
        </is>
      </c>
      <c r="R1563" s="42" t="inlineStr">
        <is>
          <t>중개거래</t>
        </is>
      </c>
      <c r="S1563" s="42" t="inlineStr">
        <is>
          <t>서울 서초구</t>
        </is>
      </c>
      <c r="T1563" s="41" t="inlineStr">
        <is>
          <t>24.09.13</t>
        </is>
      </c>
      <c r="U1563" s="42" t="inlineStr">
        <is>
          <t>아파트</t>
        </is>
      </c>
    </row>
    <row r="1564" hidden="1" ht="14.25" customHeight="1">
      <c r="A1564" s="41" t="n">
        <v>1031</v>
      </c>
      <c r="B1564" s="42" t="inlineStr">
        <is>
          <t>서울특별시 서초구 서초동</t>
        </is>
      </c>
      <c r="C1564" s="41" t="inlineStr">
        <is>
          <t>1529</t>
        </is>
      </c>
      <c r="D1564" s="41" t="inlineStr">
        <is>
          <t>1529</t>
        </is>
      </c>
      <c r="E1564" s="41" t="inlineStr">
        <is>
          <t>0000</t>
        </is>
      </c>
      <c r="F1564" s="42" t="inlineStr">
        <is>
          <t>서초2차e-편한세상</t>
        </is>
      </c>
      <c r="G1564" s="41" t="inlineStr">
        <is>
          <t>84.6700</t>
        </is>
      </c>
      <c r="H1564" s="41" t="inlineStr">
        <is>
          <t>202405</t>
        </is>
      </c>
      <c r="I1564" s="41" t="inlineStr">
        <is>
          <t>18</t>
        </is>
      </c>
      <c r="J1564" s="41" t="inlineStr">
        <is>
          <t>165,500</t>
        </is>
      </c>
      <c r="K1564" s="41" t="inlineStr">
        <is>
          <t>201</t>
        </is>
      </c>
      <c r="L1564" s="41" t="inlineStr">
        <is>
          <t>6</t>
        </is>
      </c>
      <c r="M1564" s="42" t="inlineStr">
        <is>
          <t>개인</t>
        </is>
      </c>
      <c r="N1564" s="42" t="inlineStr">
        <is>
          <t>개인</t>
        </is>
      </c>
      <c r="O1564" s="41" t="inlineStr">
        <is>
          <t>2005</t>
        </is>
      </c>
      <c r="P1564" s="42" t="inlineStr">
        <is>
          <t>효령로49길 57</t>
        </is>
      </c>
      <c r="Q1564" s="41" t="inlineStr">
        <is>
          <t>-</t>
        </is>
      </c>
      <c r="R1564" s="42" t="inlineStr">
        <is>
          <t>중개거래</t>
        </is>
      </c>
      <c r="S1564" s="42" t="inlineStr">
        <is>
          <t>서울 강남구, 서울 송파구</t>
        </is>
      </c>
      <c r="T1564" s="41" t="inlineStr">
        <is>
          <t>24.08.19</t>
        </is>
      </c>
      <c r="U1564" s="42" t="inlineStr">
        <is>
          <t>아파트</t>
        </is>
      </c>
    </row>
    <row r="1565" hidden="1" ht="14.25" customHeight="1">
      <c r="A1565" s="41" t="n">
        <v>1032</v>
      </c>
      <c r="B1565" s="42" t="inlineStr">
        <is>
          <t>서울특별시 서초구 서초동</t>
        </is>
      </c>
      <c r="C1565" s="41" t="inlineStr">
        <is>
          <t>1757</t>
        </is>
      </c>
      <c r="D1565" s="41" t="inlineStr">
        <is>
          <t>1757</t>
        </is>
      </c>
      <c r="E1565" s="41" t="inlineStr">
        <is>
          <t>0000</t>
        </is>
      </c>
      <c r="F1565" s="42" t="inlineStr">
        <is>
          <t>서초그랑자이</t>
        </is>
      </c>
      <c r="G1565" s="41" t="inlineStr">
        <is>
          <t>74.9800</t>
        </is>
      </c>
      <c r="H1565" s="41" t="inlineStr">
        <is>
          <t>202405</t>
        </is>
      </c>
      <c r="I1565" s="41" t="inlineStr">
        <is>
          <t>18</t>
        </is>
      </c>
      <c r="J1565" s="41" t="inlineStr">
        <is>
          <t>275,000</t>
        </is>
      </c>
      <c r="K1565" s="41" t="inlineStr">
        <is>
          <t>109동</t>
        </is>
      </c>
      <c r="L1565" s="41" t="inlineStr">
        <is>
          <t>34</t>
        </is>
      </c>
      <c r="M1565" s="42" t="inlineStr">
        <is>
          <t>개인</t>
        </is>
      </c>
      <c r="N1565" s="42" t="inlineStr">
        <is>
          <t>개인</t>
        </is>
      </c>
      <c r="O1565" s="41" t="inlineStr">
        <is>
          <t>2021</t>
        </is>
      </c>
      <c r="P1565" s="42" t="inlineStr">
        <is>
          <t>효령로 391</t>
        </is>
      </c>
      <c r="Q1565" s="41" t="inlineStr">
        <is>
          <t>-</t>
        </is>
      </c>
      <c r="R1565" s="42" t="inlineStr">
        <is>
          <t>중개거래</t>
        </is>
      </c>
      <c r="S1565" s="42" t="inlineStr">
        <is>
          <t>대전 유성구, 서울 서초구</t>
        </is>
      </c>
      <c r="T1565" s="41" t="inlineStr">
        <is>
          <t>24.08.02</t>
        </is>
      </c>
      <c r="U1565" s="42" t="inlineStr">
        <is>
          <t>아파트</t>
        </is>
      </c>
    </row>
    <row r="1566" hidden="1" ht="14.25" customHeight="1">
      <c r="A1566" s="41" t="n">
        <v>1033</v>
      </c>
      <c r="B1566" s="42" t="inlineStr">
        <is>
          <t>서울특별시 서초구 서초동</t>
        </is>
      </c>
      <c r="C1566" s="41" t="inlineStr">
        <is>
          <t>1301-6</t>
        </is>
      </c>
      <c r="D1566" s="41" t="inlineStr">
        <is>
          <t>1301</t>
        </is>
      </c>
      <c r="E1566" s="41" t="inlineStr">
        <is>
          <t>0006</t>
        </is>
      </c>
      <c r="F1566" s="42" t="inlineStr">
        <is>
          <t>래미안서초스위트</t>
        </is>
      </c>
      <c r="G1566" s="41" t="inlineStr">
        <is>
          <t>59.9958</t>
        </is>
      </c>
      <c r="H1566" s="41" t="inlineStr">
        <is>
          <t>202405</t>
        </is>
      </c>
      <c r="I1566" s="41" t="inlineStr">
        <is>
          <t>18</t>
        </is>
      </c>
      <c r="J1566" s="41" t="inlineStr">
        <is>
          <t>200,000</t>
        </is>
      </c>
      <c r="K1566" s="41" t="inlineStr">
        <is>
          <t>101</t>
        </is>
      </c>
      <c r="L1566" s="41" t="inlineStr">
        <is>
          <t>24</t>
        </is>
      </c>
      <c r="M1566" s="42" t="inlineStr">
        <is>
          <t>개인</t>
        </is>
      </c>
      <c r="N1566" s="42" t="inlineStr">
        <is>
          <t>개인</t>
        </is>
      </c>
      <c r="O1566" s="41" t="inlineStr">
        <is>
          <t>2009</t>
        </is>
      </c>
      <c r="P1566" s="42" t="inlineStr">
        <is>
          <t>서운로 221</t>
        </is>
      </c>
      <c r="Q1566" s="41" t="inlineStr">
        <is>
          <t>-</t>
        </is>
      </c>
      <c r="R1566" s="42" t="inlineStr">
        <is>
          <t>중개거래</t>
        </is>
      </c>
      <c r="S1566" s="42" t="inlineStr">
        <is>
          <t>서울 서초구</t>
        </is>
      </c>
      <c r="T1566" s="41" t="inlineStr">
        <is>
          <t>24.08.30</t>
        </is>
      </c>
      <c r="U1566" s="42" t="inlineStr">
        <is>
          <t>아파트</t>
        </is>
      </c>
    </row>
    <row r="1567" hidden="1" ht="14.25" customHeight="1">
      <c r="A1567" s="41" t="n">
        <v>1034</v>
      </c>
      <c r="B1567" s="42" t="inlineStr">
        <is>
          <t>서울특별시 서초구 서초동</t>
        </is>
      </c>
      <c r="C1567" s="41" t="inlineStr">
        <is>
          <t>1608-8</t>
        </is>
      </c>
      <c r="D1567" s="41" t="inlineStr">
        <is>
          <t>1608</t>
        </is>
      </c>
      <c r="E1567" s="41" t="inlineStr">
        <is>
          <t>0008</t>
        </is>
      </c>
      <c r="F1567" s="42" t="inlineStr">
        <is>
          <t>경남아너스빌(1608-8)</t>
        </is>
      </c>
      <c r="G1567" s="41" t="inlineStr">
        <is>
          <t>84.9200</t>
        </is>
      </c>
      <c r="H1567" s="41" t="inlineStr">
        <is>
          <t>202405</t>
        </is>
      </c>
      <c r="I1567" s="41" t="inlineStr">
        <is>
          <t>18</t>
        </is>
      </c>
      <c r="J1567" s="41" t="inlineStr">
        <is>
          <t>150,000</t>
        </is>
      </c>
      <c r="K1567" s="41" t="inlineStr">
        <is>
          <t>201</t>
        </is>
      </c>
      <c r="L1567" s="41" t="inlineStr">
        <is>
          <t>8</t>
        </is>
      </c>
      <c r="M1567" s="42" t="inlineStr">
        <is>
          <t>개인</t>
        </is>
      </c>
      <c r="N1567" s="42" t="inlineStr">
        <is>
          <t>개인</t>
        </is>
      </c>
      <c r="O1567" s="41" t="inlineStr">
        <is>
          <t>2006</t>
        </is>
      </c>
      <c r="P1567" s="42" t="inlineStr">
        <is>
          <t>효령로67길 32</t>
        </is>
      </c>
      <c r="Q1567" s="41" t="inlineStr">
        <is>
          <t>-</t>
        </is>
      </c>
      <c r="R1567" s="42" t="inlineStr">
        <is>
          <t>중개거래</t>
        </is>
      </c>
      <c r="S1567" s="42" t="inlineStr">
        <is>
          <t>서울 서초구</t>
        </is>
      </c>
      <c r="T1567" s="41" t="inlineStr">
        <is>
          <t>24.07.26</t>
        </is>
      </c>
      <c r="U1567" s="42" t="inlineStr">
        <is>
          <t>아파트</t>
        </is>
      </c>
    </row>
    <row r="1568" hidden="1" ht="14.25" customHeight="1">
      <c r="A1568" s="41" t="n">
        <v>1035</v>
      </c>
      <c r="B1568" s="42" t="inlineStr">
        <is>
          <t>서울특별시 서초구 서초동</t>
        </is>
      </c>
      <c r="C1568" s="41" t="inlineStr">
        <is>
          <t>1338-1</t>
        </is>
      </c>
      <c r="D1568" s="41" t="inlineStr">
        <is>
          <t>1338</t>
        </is>
      </c>
      <c r="E1568" s="41" t="inlineStr">
        <is>
          <t>0001</t>
        </is>
      </c>
      <c r="F1568" s="42" t="inlineStr">
        <is>
          <t>풍림아이원플러스</t>
        </is>
      </c>
      <c r="G1568" s="41" t="inlineStr">
        <is>
          <t>35.9030</t>
        </is>
      </c>
      <c r="H1568" s="41" t="inlineStr">
        <is>
          <t>202405</t>
        </is>
      </c>
      <c r="I1568" s="41" t="inlineStr">
        <is>
          <t>17</t>
        </is>
      </c>
      <c r="J1568" s="41" t="inlineStr">
        <is>
          <t>36,000</t>
        </is>
      </c>
      <c r="K1568" s="42" t="inlineStr">
        <is>
          <t>풍림아이원플러스</t>
        </is>
      </c>
      <c r="L1568" s="41" t="inlineStr">
        <is>
          <t>9</t>
        </is>
      </c>
      <c r="M1568" s="42" t="inlineStr">
        <is>
          <t>개인</t>
        </is>
      </c>
      <c r="N1568" s="42" t="inlineStr">
        <is>
          <t>개인</t>
        </is>
      </c>
      <c r="O1568" s="41" t="inlineStr">
        <is>
          <t>2004</t>
        </is>
      </c>
      <c r="P1568" s="42" t="inlineStr">
        <is>
          <t>효령로77길 14</t>
        </is>
      </c>
      <c r="Q1568" s="41" t="inlineStr">
        <is>
          <t>-</t>
        </is>
      </c>
      <c r="R1568" s="42" t="inlineStr">
        <is>
          <t>중개거래</t>
        </is>
      </c>
      <c r="S1568" s="42" t="inlineStr">
        <is>
          <t>서울 서초구</t>
        </is>
      </c>
      <c r="T1568" s="41" t="inlineStr">
        <is>
          <t>24.09.02</t>
        </is>
      </c>
      <c r="U1568" s="42" t="inlineStr">
        <is>
          <t>아파트</t>
        </is>
      </c>
    </row>
    <row r="1569" hidden="1" ht="14.25" customHeight="1">
      <c r="A1569" s="41" t="n">
        <v>1036</v>
      </c>
      <c r="B1569" s="42" t="inlineStr">
        <is>
          <t>서울특별시 서초구 서초동</t>
        </is>
      </c>
      <c r="C1569" s="41" t="inlineStr">
        <is>
          <t>1755</t>
        </is>
      </c>
      <c r="D1569" s="41" t="inlineStr">
        <is>
          <t>1755</t>
        </is>
      </c>
      <c r="E1569" s="41" t="inlineStr">
        <is>
          <t>0000</t>
        </is>
      </c>
      <c r="F1569" s="42" t="inlineStr">
        <is>
          <t>래미안 리더스원</t>
        </is>
      </c>
      <c r="G1569" s="41" t="inlineStr">
        <is>
          <t>84.9400</t>
        </is>
      </c>
      <c r="H1569" s="41" t="inlineStr">
        <is>
          <t>202405</t>
        </is>
      </c>
      <c r="I1569" s="41" t="inlineStr">
        <is>
          <t>17</t>
        </is>
      </c>
      <c r="J1569" s="41" t="inlineStr">
        <is>
          <t>293,000</t>
        </is>
      </c>
      <c r="K1569" s="41" t="inlineStr">
        <is>
          <t>108동</t>
        </is>
      </c>
      <c r="L1569" s="41" t="inlineStr">
        <is>
          <t>24</t>
        </is>
      </c>
      <c r="M1569" s="42" t="inlineStr">
        <is>
          <t>개인</t>
        </is>
      </c>
      <c r="N1569" s="42" t="inlineStr">
        <is>
          <t>개인</t>
        </is>
      </c>
      <c r="O1569" s="41" t="inlineStr">
        <is>
          <t>2020</t>
        </is>
      </c>
      <c r="P1569" s="42" t="inlineStr">
        <is>
          <t>서운로 62</t>
        </is>
      </c>
      <c r="Q1569" s="41" t="inlineStr">
        <is>
          <t>-</t>
        </is>
      </c>
      <c r="R1569" s="42" t="inlineStr">
        <is>
          <t>중개거래</t>
        </is>
      </c>
      <c r="S1569" s="42" t="inlineStr">
        <is>
          <t>서울 서초구</t>
        </is>
      </c>
      <c r="T1569" s="41" t="inlineStr">
        <is>
          <t>24.11.01</t>
        </is>
      </c>
      <c r="U1569" s="42" t="inlineStr">
        <is>
          <t>아파트</t>
        </is>
      </c>
    </row>
    <row r="1570" hidden="1" ht="14.25" customHeight="1">
      <c r="A1570" s="41" t="n">
        <v>1037</v>
      </c>
      <c r="B1570" s="42" t="inlineStr">
        <is>
          <t>서울특별시 서초구 서초동</t>
        </is>
      </c>
      <c r="C1570" s="41" t="inlineStr">
        <is>
          <t>1755</t>
        </is>
      </c>
      <c r="D1570" s="41" t="inlineStr">
        <is>
          <t>1755</t>
        </is>
      </c>
      <c r="E1570" s="41" t="inlineStr">
        <is>
          <t>0000</t>
        </is>
      </c>
      <c r="F1570" s="42" t="inlineStr">
        <is>
          <t>래미안 리더스원</t>
        </is>
      </c>
      <c r="G1570" s="41" t="inlineStr">
        <is>
          <t>84.9300</t>
        </is>
      </c>
      <c r="H1570" s="41" t="inlineStr">
        <is>
          <t>202405</t>
        </is>
      </c>
      <c r="I1570" s="41" t="inlineStr">
        <is>
          <t>16</t>
        </is>
      </c>
      <c r="J1570" s="41" t="inlineStr">
        <is>
          <t>290,500</t>
        </is>
      </c>
      <c r="K1570" s="41" t="inlineStr">
        <is>
          <t>111동</t>
        </is>
      </c>
      <c r="L1570" s="41" t="inlineStr">
        <is>
          <t>18</t>
        </is>
      </c>
      <c r="M1570" s="42" t="inlineStr">
        <is>
          <t>개인</t>
        </is>
      </c>
      <c r="N1570" s="42" t="inlineStr">
        <is>
          <t>개인</t>
        </is>
      </c>
      <c r="O1570" s="41" t="inlineStr">
        <is>
          <t>2020</t>
        </is>
      </c>
      <c r="P1570" s="42" t="inlineStr">
        <is>
          <t>서운로 62</t>
        </is>
      </c>
      <c r="Q1570" s="41" t="inlineStr">
        <is>
          <t>-</t>
        </is>
      </c>
      <c r="R1570" s="42" t="inlineStr">
        <is>
          <t>중개거래</t>
        </is>
      </c>
      <c r="S1570" s="42" t="inlineStr">
        <is>
          <t>서울 서초구</t>
        </is>
      </c>
      <c r="T1570" s="41" t="inlineStr">
        <is>
          <t>24.09.30</t>
        </is>
      </c>
      <c r="U1570" s="42" t="inlineStr">
        <is>
          <t>아파트</t>
        </is>
      </c>
    </row>
    <row r="1571" hidden="1" ht="14.25" customHeight="1">
      <c r="A1571" s="41" t="n">
        <v>1038</v>
      </c>
      <c r="B1571" s="42" t="inlineStr">
        <is>
          <t>서울특별시 서초구 서초동</t>
        </is>
      </c>
      <c r="C1571" s="41" t="inlineStr">
        <is>
          <t>1436-14</t>
        </is>
      </c>
      <c r="D1571" s="41" t="inlineStr">
        <is>
          <t>1436</t>
        </is>
      </c>
      <c r="E1571" s="41" t="inlineStr">
        <is>
          <t>0014</t>
        </is>
      </c>
      <c r="F1571" s="42" t="inlineStr">
        <is>
          <t>서초동아이파크</t>
        </is>
      </c>
      <c r="G1571" s="41" t="inlineStr">
        <is>
          <t>192.6300</t>
        </is>
      </c>
      <c r="H1571" s="41" t="inlineStr">
        <is>
          <t>202405</t>
        </is>
      </c>
      <c r="I1571" s="41" t="inlineStr">
        <is>
          <t>16</t>
        </is>
      </c>
      <c r="J1571" s="41" t="inlineStr">
        <is>
          <t>245,000</t>
        </is>
      </c>
      <c r="K1571" s="41" t="inlineStr">
        <is>
          <t>101</t>
        </is>
      </c>
      <c r="L1571" s="41" t="inlineStr">
        <is>
          <t>9</t>
        </is>
      </c>
      <c r="M1571" s="42" t="inlineStr">
        <is>
          <t>개인</t>
        </is>
      </c>
      <c r="N1571" s="42" t="inlineStr">
        <is>
          <t>개인</t>
        </is>
      </c>
      <c r="O1571" s="41" t="inlineStr">
        <is>
          <t>2003</t>
        </is>
      </c>
      <c r="P1571" s="42" t="inlineStr">
        <is>
          <t>효령로68길 33</t>
        </is>
      </c>
      <c r="Q1571" s="41" t="inlineStr">
        <is>
          <t>-</t>
        </is>
      </c>
      <c r="R1571" s="42" t="inlineStr">
        <is>
          <t>중개거래</t>
        </is>
      </c>
      <c r="S1571" s="42" t="inlineStr">
        <is>
          <t>서울 서초구, 서울 중구</t>
        </is>
      </c>
      <c r="T1571" s="41" t="inlineStr">
        <is>
          <t>24.08.09</t>
        </is>
      </c>
      <c r="U1571" s="42" t="inlineStr">
        <is>
          <t>아파트</t>
        </is>
      </c>
    </row>
    <row r="1572" hidden="1" ht="14.25" customHeight="1">
      <c r="A1572" s="41" t="n">
        <v>1039</v>
      </c>
      <c r="B1572" s="42" t="inlineStr">
        <is>
          <t>서울특별시 서초구 서초동</t>
        </is>
      </c>
      <c r="C1572" s="41" t="inlineStr">
        <is>
          <t>1757</t>
        </is>
      </c>
      <c r="D1572" s="41" t="inlineStr">
        <is>
          <t>1757</t>
        </is>
      </c>
      <c r="E1572" s="41" t="inlineStr">
        <is>
          <t>0000</t>
        </is>
      </c>
      <c r="F1572" s="42" t="inlineStr">
        <is>
          <t>서초그랑자이</t>
        </is>
      </c>
      <c r="G1572" s="41" t="inlineStr">
        <is>
          <t>84.5100</t>
        </is>
      </c>
      <c r="H1572" s="41" t="inlineStr">
        <is>
          <t>202405</t>
        </is>
      </c>
      <c r="I1572" s="41" t="inlineStr">
        <is>
          <t>16</t>
        </is>
      </c>
      <c r="J1572" s="41" t="inlineStr">
        <is>
          <t>308,000</t>
        </is>
      </c>
      <c r="K1572" s="41" t="inlineStr">
        <is>
          <t>104동</t>
        </is>
      </c>
      <c r="L1572" s="41" t="inlineStr">
        <is>
          <t>34</t>
        </is>
      </c>
      <c r="M1572" s="42" t="inlineStr">
        <is>
          <t>개인</t>
        </is>
      </c>
      <c r="N1572" s="42" t="inlineStr">
        <is>
          <t>개인</t>
        </is>
      </c>
      <c r="O1572" s="41" t="inlineStr">
        <is>
          <t>2021</t>
        </is>
      </c>
      <c r="P1572" s="42" t="inlineStr">
        <is>
          <t>효령로 391</t>
        </is>
      </c>
      <c r="Q1572" s="41" t="inlineStr">
        <is>
          <t>-</t>
        </is>
      </c>
      <c r="R1572" s="42" t="inlineStr">
        <is>
          <t>중개거래</t>
        </is>
      </c>
      <c r="S1572" s="42" t="inlineStr">
        <is>
          <t>서울 서초구</t>
        </is>
      </c>
      <c r="T1572" s="41" t="inlineStr">
        <is>
          <t>24.09.26</t>
        </is>
      </c>
      <c r="U1572" s="42" t="inlineStr">
        <is>
          <t>아파트</t>
        </is>
      </c>
    </row>
    <row r="1573" hidden="1" ht="14.25" customHeight="1">
      <c r="A1573" s="41" t="n">
        <v>1040</v>
      </c>
      <c r="B1573" s="42" t="inlineStr">
        <is>
          <t>서울특별시 서초구 서초동</t>
        </is>
      </c>
      <c r="C1573" s="41" t="inlineStr">
        <is>
          <t>1301-6</t>
        </is>
      </c>
      <c r="D1573" s="41" t="inlineStr">
        <is>
          <t>1301</t>
        </is>
      </c>
      <c r="E1573" s="41" t="inlineStr">
        <is>
          <t>0006</t>
        </is>
      </c>
      <c r="F1573" s="42" t="inlineStr">
        <is>
          <t>래미안서초스위트</t>
        </is>
      </c>
      <c r="G1573" s="41" t="inlineStr">
        <is>
          <t>84.9571</t>
        </is>
      </c>
      <c r="H1573" s="41" t="inlineStr">
        <is>
          <t>202405</t>
        </is>
      </c>
      <c r="I1573" s="41" t="inlineStr">
        <is>
          <t>16</t>
        </is>
      </c>
      <c r="J1573" s="41" t="inlineStr">
        <is>
          <t>230,500</t>
        </is>
      </c>
      <c r="K1573" s="41" t="inlineStr">
        <is>
          <t>101</t>
        </is>
      </c>
      <c r="L1573" s="41" t="inlineStr">
        <is>
          <t>7</t>
        </is>
      </c>
      <c r="M1573" s="42" t="inlineStr">
        <is>
          <t>개인</t>
        </is>
      </c>
      <c r="N1573" s="42" t="inlineStr">
        <is>
          <t>개인</t>
        </is>
      </c>
      <c r="O1573" s="41" t="inlineStr">
        <is>
          <t>2009</t>
        </is>
      </c>
      <c r="P1573" s="42" t="inlineStr">
        <is>
          <t>서운로 221</t>
        </is>
      </c>
      <c r="Q1573" s="41" t="inlineStr">
        <is>
          <t>-</t>
        </is>
      </c>
      <c r="R1573" s="42" t="inlineStr">
        <is>
          <t>중개거래</t>
        </is>
      </c>
      <c r="S1573" s="42" t="inlineStr">
        <is>
          <t>서울 서초구</t>
        </is>
      </c>
      <c r="T1573" s="41" t="inlineStr">
        <is>
          <t>25.03.21</t>
        </is>
      </c>
      <c r="U1573" s="42" t="inlineStr">
        <is>
          <t>아파트</t>
        </is>
      </c>
    </row>
    <row r="1574" hidden="1" ht="14.25" customHeight="1">
      <c r="A1574" s="41" t="n">
        <v>1041</v>
      </c>
      <c r="B1574" s="42" t="inlineStr">
        <is>
          <t>서울특별시 서초구 서초동</t>
        </is>
      </c>
      <c r="C1574" s="41" t="inlineStr">
        <is>
          <t>1682</t>
        </is>
      </c>
      <c r="D1574" s="41" t="inlineStr">
        <is>
          <t>1682</t>
        </is>
      </c>
      <c r="E1574" s="41" t="inlineStr">
        <is>
          <t>0000</t>
        </is>
      </c>
      <c r="F1574" s="42" t="inlineStr">
        <is>
          <t>서초래미안</t>
        </is>
      </c>
      <c r="G1574" s="41" t="inlineStr">
        <is>
          <t>96.8700</t>
        </is>
      </c>
      <c r="H1574" s="41" t="inlineStr">
        <is>
          <t>202405</t>
        </is>
      </c>
      <c r="I1574" s="41" t="inlineStr">
        <is>
          <t>15</t>
        </is>
      </c>
      <c r="J1574" s="41" t="inlineStr">
        <is>
          <t>223,000</t>
        </is>
      </c>
      <c r="K1574" s="41" t="inlineStr">
        <is>
          <t>102</t>
        </is>
      </c>
      <c r="L1574" s="41" t="inlineStr">
        <is>
          <t>17</t>
        </is>
      </c>
      <c r="M1574" s="42" t="inlineStr">
        <is>
          <t>개인</t>
        </is>
      </c>
      <c r="N1574" s="42" t="inlineStr">
        <is>
          <t>개인</t>
        </is>
      </c>
      <c r="O1574" s="41" t="inlineStr">
        <is>
          <t>2003</t>
        </is>
      </c>
      <c r="P1574" s="42" t="inlineStr">
        <is>
          <t>서초대로65길 13-10</t>
        </is>
      </c>
      <c r="Q1574" s="41" t="inlineStr">
        <is>
          <t>-</t>
        </is>
      </c>
      <c r="R1574" s="42" t="inlineStr">
        <is>
          <t>중개거래</t>
        </is>
      </c>
      <c r="S1574" s="42" t="inlineStr">
        <is>
          <t>서울 서초구</t>
        </is>
      </c>
      <c r="T1574" s="41" t="inlineStr">
        <is>
          <t>24.10.28</t>
        </is>
      </c>
      <c r="U1574" s="42" t="inlineStr">
        <is>
          <t>아파트</t>
        </is>
      </c>
    </row>
    <row r="1575" hidden="1" ht="14.25" customHeight="1">
      <c r="A1575" s="41" t="n">
        <v>1042</v>
      </c>
      <c r="B1575" s="42" t="inlineStr">
        <is>
          <t>서울특별시 서초구 서초동</t>
        </is>
      </c>
      <c r="C1575" s="41" t="inlineStr">
        <is>
          <t>1338</t>
        </is>
      </c>
      <c r="D1575" s="41" t="inlineStr">
        <is>
          <t>1338</t>
        </is>
      </c>
      <c r="E1575" s="41" t="inlineStr">
        <is>
          <t>0000</t>
        </is>
      </c>
      <c r="F1575" s="42" t="inlineStr">
        <is>
          <t>현대이에스에이아파트</t>
        </is>
      </c>
      <c r="G1575" s="41" t="inlineStr">
        <is>
          <t>163.9500</t>
        </is>
      </c>
      <c r="H1575" s="41" t="inlineStr">
        <is>
          <t>202405</t>
        </is>
      </c>
      <c r="I1575" s="41" t="inlineStr">
        <is>
          <t>15</t>
        </is>
      </c>
      <c r="J1575" s="41" t="inlineStr">
        <is>
          <t>146,000</t>
        </is>
      </c>
      <c r="K1575" s="41" t="inlineStr">
        <is>
          <t>-</t>
        </is>
      </c>
      <c r="L1575" s="41" t="inlineStr">
        <is>
          <t>14</t>
        </is>
      </c>
      <c r="M1575" s="42" t="inlineStr">
        <is>
          <t>개인</t>
        </is>
      </c>
      <c r="N1575" s="42" t="inlineStr">
        <is>
          <t>개인</t>
        </is>
      </c>
      <c r="O1575" s="41" t="inlineStr">
        <is>
          <t>2002</t>
        </is>
      </c>
      <c r="P1575" s="42" t="inlineStr">
        <is>
          <t>효령로77길 20</t>
        </is>
      </c>
      <c r="Q1575" s="41" t="inlineStr">
        <is>
          <t>-</t>
        </is>
      </c>
      <c r="R1575" s="42" t="inlineStr">
        <is>
          <t>중개거래</t>
        </is>
      </c>
      <c r="S1575" s="42" t="inlineStr">
        <is>
          <t>서울 서초구</t>
        </is>
      </c>
      <c r="T1575" s="41" t="inlineStr">
        <is>
          <t>24.08.01</t>
        </is>
      </c>
      <c r="U1575" s="42" t="inlineStr">
        <is>
          <t>아파트</t>
        </is>
      </c>
    </row>
    <row r="1576" hidden="1" ht="14.25" customHeight="1">
      <c r="A1576" s="41" t="n">
        <v>1043</v>
      </c>
      <c r="B1576" s="42" t="inlineStr">
        <is>
          <t>서울특별시 서초구 서초동</t>
        </is>
      </c>
      <c r="C1576" s="41" t="inlineStr">
        <is>
          <t>1509-1</t>
        </is>
      </c>
      <c r="D1576" s="41" t="inlineStr">
        <is>
          <t>1509</t>
        </is>
      </c>
      <c r="E1576" s="41" t="inlineStr">
        <is>
          <t>0001</t>
        </is>
      </c>
      <c r="F1576" s="42" t="inlineStr">
        <is>
          <t>서초한빛삼성</t>
        </is>
      </c>
      <c r="G1576" s="41" t="inlineStr">
        <is>
          <t>59.5200</t>
        </is>
      </c>
      <c r="H1576" s="41" t="inlineStr">
        <is>
          <t>202405</t>
        </is>
      </c>
      <c r="I1576" s="41" t="inlineStr">
        <is>
          <t>15</t>
        </is>
      </c>
      <c r="J1576" s="41" t="inlineStr">
        <is>
          <t>134,000</t>
        </is>
      </c>
      <c r="K1576" s="41" t="inlineStr">
        <is>
          <t>101</t>
        </is>
      </c>
      <c r="L1576" s="41" t="inlineStr">
        <is>
          <t>2</t>
        </is>
      </c>
      <c r="M1576" s="42" t="inlineStr">
        <is>
          <t>개인</t>
        </is>
      </c>
      <c r="N1576" s="42" t="inlineStr">
        <is>
          <t>개인</t>
        </is>
      </c>
      <c r="O1576" s="41" t="inlineStr">
        <is>
          <t>1999</t>
        </is>
      </c>
      <c r="P1576" s="42" t="inlineStr">
        <is>
          <t>서초대로40길 72</t>
        </is>
      </c>
      <c r="Q1576" s="41" t="inlineStr">
        <is>
          <t>-</t>
        </is>
      </c>
      <c r="R1576" s="42" t="inlineStr">
        <is>
          <t>중개거래</t>
        </is>
      </c>
      <c r="S1576" s="42" t="inlineStr">
        <is>
          <t>서울 서초구</t>
        </is>
      </c>
      <c r="T1576" s="41" t="inlineStr">
        <is>
          <t>24.08.29</t>
        </is>
      </c>
      <c r="U1576" s="42" t="inlineStr">
        <is>
          <t>아파트</t>
        </is>
      </c>
    </row>
    <row r="1577" hidden="1" ht="14.25" customHeight="1">
      <c r="A1577" s="41" t="n">
        <v>1044</v>
      </c>
      <c r="B1577" s="42" t="inlineStr">
        <is>
          <t>서울특별시 서초구 서초동</t>
        </is>
      </c>
      <c r="C1577" s="41" t="inlineStr">
        <is>
          <t>1509-1</t>
        </is>
      </c>
      <c r="D1577" s="41" t="inlineStr">
        <is>
          <t>1509</t>
        </is>
      </c>
      <c r="E1577" s="41" t="inlineStr">
        <is>
          <t>0001</t>
        </is>
      </c>
      <c r="F1577" s="42" t="inlineStr">
        <is>
          <t>서초한빛삼성</t>
        </is>
      </c>
      <c r="G1577" s="41" t="inlineStr">
        <is>
          <t>59.5200</t>
        </is>
      </c>
      <c r="H1577" s="41" t="inlineStr">
        <is>
          <t>202405</t>
        </is>
      </c>
      <c r="I1577" s="41" t="inlineStr">
        <is>
          <t>14</t>
        </is>
      </c>
      <c r="J1577" s="41" t="inlineStr">
        <is>
          <t>132,000</t>
        </is>
      </c>
      <c r="K1577" s="41" t="inlineStr">
        <is>
          <t>102</t>
        </is>
      </c>
      <c r="L1577" s="41" t="inlineStr">
        <is>
          <t>15</t>
        </is>
      </c>
      <c r="M1577" s="42" t="inlineStr">
        <is>
          <t>개인</t>
        </is>
      </c>
      <c r="N1577" s="42" t="inlineStr">
        <is>
          <t>개인</t>
        </is>
      </c>
      <c r="O1577" s="41" t="inlineStr">
        <is>
          <t>1999</t>
        </is>
      </c>
      <c r="P1577" s="42" t="inlineStr">
        <is>
          <t>서초대로40길 72</t>
        </is>
      </c>
      <c r="Q1577" s="41" t="inlineStr">
        <is>
          <t>-</t>
        </is>
      </c>
      <c r="R1577" s="42" t="inlineStr">
        <is>
          <t>중개거래</t>
        </is>
      </c>
      <c r="S1577" s="42" t="inlineStr">
        <is>
          <t>서울 서초구</t>
        </is>
      </c>
      <c r="T1577" s="41" t="inlineStr">
        <is>
          <t>24.08.02</t>
        </is>
      </c>
      <c r="U1577" s="42" t="inlineStr">
        <is>
          <t>아파트</t>
        </is>
      </c>
    </row>
    <row r="1578" hidden="1" ht="14.25" customHeight="1">
      <c r="A1578" s="41" t="n">
        <v>1045</v>
      </c>
      <c r="B1578" s="42" t="inlineStr">
        <is>
          <t>서울특별시 서초구 서초동</t>
        </is>
      </c>
      <c r="C1578" s="41" t="inlineStr">
        <is>
          <t>1350-13</t>
        </is>
      </c>
      <c r="D1578" s="41" t="inlineStr">
        <is>
          <t>1350</t>
        </is>
      </c>
      <c r="E1578" s="41" t="inlineStr">
        <is>
          <t>0013</t>
        </is>
      </c>
      <c r="F1578" s="42" t="inlineStr">
        <is>
          <t>동원베네스트아파트</t>
        </is>
      </c>
      <c r="G1578" s="41" t="inlineStr">
        <is>
          <t>120.8100</t>
        </is>
      </c>
      <c r="H1578" s="41" t="inlineStr">
        <is>
          <t>202405</t>
        </is>
      </c>
      <c r="I1578" s="41" t="inlineStr">
        <is>
          <t>14</t>
        </is>
      </c>
      <c r="J1578" s="41" t="inlineStr">
        <is>
          <t>167,000</t>
        </is>
      </c>
      <c r="K1578" s="41" t="inlineStr">
        <is>
          <t>101</t>
        </is>
      </c>
      <c r="L1578" s="41" t="inlineStr">
        <is>
          <t>5</t>
        </is>
      </c>
      <c r="M1578" s="42" t="inlineStr">
        <is>
          <t>개인</t>
        </is>
      </c>
      <c r="N1578" s="42" t="inlineStr">
        <is>
          <t>개인</t>
        </is>
      </c>
      <c r="O1578" s="41" t="inlineStr">
        <is>
          <t>2002</t>
        </is>
      </c>
      <c r="P1578" s="42" t="inlineStr">
        <is>
          <t>효령로74길 57</t>
        </is>
      </c>
      <c r="Q1578" s="41" t="inlineStr">
        <is>
          <t>-</t>
        </is>
      </c>
      <c r="R1578" s="42" t="inlineStr">
        <is>
          <t>중개거래</t>
        </is>
      </c>
      <c r="S1578" s="42" t="inlineStr">
        <is>
          <t>서울 강남구, 서울 서초구</t>
        </is>
      </c>
      <c r="T1578" s="41" t="inlineStr">
        <is>
          <t>24.07.02</t>
        </is>
      </c>
      <c r="U1578" s="42" t="inlineStr">
        <is>
          <t>아파트</t>
        </is>
      </c>
    </row>
    <row r="1579" hidden="1" ht="14.25" customHeight="1">
      <c r="A1579" s="41" t="n">
        <v>1046</v>
      </c>
      <c r="B1579" s="42" t="inlineStr">
        <is>
          <t>서울특별시 서초구 서초동</t>
        </is>
      </c>
      <c r="C1579" s="41" t="inlineStr">
        <is>
          <t>1687</t>
        </is>
      </c>
      <c r="D1579" s="41" t="inlineStr">
        <is>
          <t>1687</t>
        </is>
      </c>
      <c r="E1579" s="41" t="inlineStr">
        <is>
          <t>0000</t>
        </is>
      </c>
      <c r="F1579" s="42" t="inlineStr">
        <is>
          <t>유원서초</t>
        </is>
      </c>
      <c r="G1579" s="41" t="inlineStr">
        <is>
          <t>84.8200</t>
        </is>
      </c>
      <c r="H1579" s="41" t="inlineStr">
        <is>
          <t>202405</t>
        </is>
      </c>
      <c r="I1579" s="41" t="inlineStr">
        <is>
          <t>14</t>
        </is>
      </c>
      <c r="J1579" s="41" t="inlineStr">
        <is>
          <t>181,000</t>
        </is>
      </c>
      <c r="K1579" s="41" t="inlineStr">
        <is>
          <t>103</t>
        </is>
      </c>
      <c r="L1579" s="41" t="inlineStr">
        <is>
          <t>10</t>
        </is>
      </c>
      <c r="M1579" s="42" t="inlineStr">
        <is>
          <t>개인</t>
        </is>
      </c>
      <c r="N1579" s="42" t="inlineStr">
        <is>
          <t>개인</t>
        </is>
      </c>
      <c r="O1579" s="41" t="inlineStr">
        <is>
          <t>1993</t>
        </is>
      </c>
      <c r="P1579" s="42" t="inlineStr">
        <is>
          <t>서초중앙로24길 43</t>
        </is>
      </c>
      <c r="Q1579" s="41" t="inlineStr">
        <is>
          <t>-</t>
        </is>
      </c>
      <c r="R1579" s="42" t="inlineStr">
        <is>
          <t>중개거래</t>
        </is>
      </c>
      <c r="S1579" s="42" t="inlineStr">
        <is>
          <t>서울 서초구</t>
        </is>
      </c>
      <c r="T1579" s="41" t="inlineStr">
        <is>
          <t>24.08.21</t>
        </is>
      </c>
      <c r="U1579" s="42" t="inlineStr">
        <is>
          <t>아파트</t>
        </is>
      </c>
    </row>
    <row r="1580" hidden="1" ht="14.25" customHeight="1">
      <c r="A1580" s="41" t="n">
        <v>1047</v>
      </c>
      <c r="B1580" s="42" t="inlineStr">
        <is>
          <t>서울특별시 서초구 서초동</t>
        </is>
      </c>
      <c r="C1580" s="41" t="inlineStr">
        <is>
          <t>1755</t>
        </is>
      </c>
      <c r="D1580" s="41" t="inlineStr">
        <is>
          <t>1755</t>
        </is>
      </c>
      <c r="E1580" s="41" t="inlineStr">
        <is>
          <t>0000</t>
        </is>
      </c>
      <c r="F1580" s="42" t="inlineStr">
        <is>
          <t>래미안 리더스원</t>
        </is>
      </c>
      <c r="G1580" s="41" t="inlineStr">
        <is>
          <t>74.9300</t>
        </is>
      </c>
      <c r="H1580" s="41" t="inlineStr">
        <is>
          <t>202405</t>
        </is>
      </c>
      <c r="I1580" s="41" t="inlineStr">
        <is>
          <t>14</t>
        </is>
      </c>
      <c r="J1580" s="41" t="inlineStr">
        <is>
          <t>258,000</t>
        </is>
      </c>
      <c r="K1580" s="41" t="inlineStr">
        <is>
          <t>108동</t>
        </is>
      </c>
      <c r="L1580" s="41" t="inlineStr">
        <is>
          <t>14</t>
        </is>
      </c>
      <c r="M1580" s="42" t="inlineStr">
        <is>
          <t>개인</t>
        </is>
      </c>
      <c r="N1580" s="42" t="inlineStr">
        <is>
          <t>개인</t>
        </is>
      </c>
      <c r="O1580" s="41" t="inlineStr">
        <is>
          <t>2020</t>
        </is>
      </c>
      <c r="P1580" s="42" t="inlineStr">
        <is>
          <t>서운로 62</t>
        </is>
      </c>
      <c r="Q1580" s="41" t="inlineStr">
        <is>
          <t>-</t>
        </is>
      </c>
      <c r="R1580" s="42" t="inlineStr">
        <is>
          <t>중개거래</t>
        </is>
      </c>
      <c r="S1580" s="42" t="inlineStr">
        <is>
          <t>서울 서초구</t>
        </is>
      </c>
      <c r="T1580" s="41" t="inlineStr">
        <is>
          <t>24.11.07</t>
        </is>
      </c>
      <c r="U1580" s="42" t="inlineStr">
        <is>
          <t>아파트</t>
        </is>
      </c>
    </row>
    <row r="1581" hidden="1" ht="14.25" customHeight="1">
      <c r="A1581" s="41" t="n">
        <v>1048</v>
      </c>
      <c r="B1581" s="42" t="inlineStr">
        <is>
          <t>서울특별시 서초구 서초동</t>
        </is>
      </c>
      <c r="C1581" s="41" t="inlineStr">
        <is>
          <t>1757</t>
        </is>
      </c>
      <c r="D1581" s="41" t="inlineStr">
        <is>
          <t>1757</t>
        </is>
      </c>
      <c r="E1581" s="41" t="inlineStr">
        <is>
          <t>0000</t>
        </is>
      </c>
      <c r="F1581" s="42" t="inlineStr">
        <is>
          <t>서초그랑자이</t>
        </is>
      </c>
      <c r="G1581" s="41" t="inlineStr">
        <is>
          <t>59.9800</t>
        </is>
      </c>
      <c r="H1581" s="41" t="inlineStr">
        <is>
          <t>202405</t>
        </is>
      </c>
      <c r="I1581" s="41" t="inlineStr">
        <is>
          <t>13</t>
        </is>
      </c>
      <c r="J1581" s="41" t="inlineStr">
        <is>
          <t>233,000</t>
        </is>
      </c>
      <c r="K1581" s="41" t="inlineStr">
        <is>
          <t>104동</t>
        </is>
      </c>
      <c r="L1581" s="41" t="inlineStr">
        <is>
          <t>24</t>
        </is>
      </c>
      <c r="M1581" s="42" t="inlineStr">
        <is>
          <t>개인</t>
        </is>
      </c>
      <c r="N1581" s="42" t="inlineStr">
        <is>
          <t>개인</t>
        </is>
      </c>
      <c r="O1581" s="41" t="inlineStr">
        <is>
          <t>2021</t>
        </is>
      </c>
      <c r="P1581" s="42" t="inlineStr">
        <is>
          <t>효령로 391</t>
        </is>
      </c>
      <c r="Q1581" s="41" t="inlineStr">
        <is>
          <t>-</t>
        </is>
      </c>
      <c r="R1581" s="42" t="inlineStr">
        <is>
          <t>중개거래</t>
        </is>
      </c>
      <c r="S1581" s="42" t="inlineStr">
        <is>
          <t>서울 서초구</t>
        </is>
      </c>
      <c r="T1581" s="41" t="inlineStr">
        <is>
          <t>24.08.28</t>
        </is>
      </c>
      <c r="U1581" s="42" t="inlineStr">
        <is>
          <t>아파트</t>
        </is>
      </c>
    </row>
    <row r="1582" hidden="1" ht="14.25" customHeight="1">
      <c r="A1582" s="41" t="n">
        <v>1049</v>
      </c>
      <c r="B1582" s="42" t="inlineStr">
        <is>
          <t>서울특별시 서초구 서초동</t>
        </is>
      </c>
      <c r="C1582" s="41" t="inlineStr">
        <is>
          <t>1315</t>
        </is>
      </c>
      <c r="D1582" s="41" t="inlineStr">
        <is>
          <t>1315</t>
        </is>
      </c>
      <c r="E1582" s="41" t="inlineStr">
        <is>
          <t>0000</t>
        </is>
      </c>
      <c r="F1582" s="42" t="inlineStr">
        <is>
          <t>진흥아파트</t>
        </is>
      </c>
      <c r="G1582" s="41" t="inlineStr">
        <is>
          <t>160.4600</t>
        </is>
      </c>
      <c r="H1582" s="41" t="inlineStr">
        <is>
          <t>202405</t>
        </is>
      </c>
      <c r="I1582" s="41" t="inlineStr">
        <is>
          <t>13</t>
        </is>
      </c>
      <c r="J1582" s="41" t="inlineStr">
        <is>
          <t>321,000</t>
        </is>
      </c>
      <c r="K1582" s="41" t="inlineStr">
        <is>
          <t>5</t>
        </is>
      </c>
      <c r="L1582" s="41" t="inlineStr">
        <is>
          <t>13</t>
        </is>
      </c>
      <c r="M1582" s="42" t="inlineStr">
        <is>
          <t>개인</t>
        </is>
      </c>
      <c r="N1582" s="42" t="inlineStr">
        <is>
          <t>개인</t>
        </is>
      </c>
      <c r="O1582" s="41" t="inlineStr">
        <is>
          <t>1979</t>
        </is>
      </c>
      <c r="P1582" s="42" t="inlineStr">
        <is>
          <t>서초대로 385</t>
        </is>
      </c>
      <c r="Q1582" s="41" t="inlineStr">
        <is>
          <t>-</t>
        </is>
      </c>
      <c r="R1582" s="42" t="inlineStr">
        <is>
          <t>중개거래</t>
        </is>
      </c>
      <c r="S1582" s="42" t="inlineStr">
        <is>
          <t>서울 서초구</t>
        </is>
      </c>
      <c r="T1582" s="41" t="inlineStr">
        <is>
          <t>24.07.05</t>
        </is>
      </c>
      <c r="U1582" s="42" t="inlineStr">
        <is>
          <t>아파트</t>
        </is>
      </c>
    </row>
    <row r="1583" hidden="1" ht="14.25" customHeight="1">
      <c r="A1583" s="41" t="n">
        <v>1050</v>
      </c>
      <c r="B1583" s="42" t="inlineStr">
        <is>
          <t>서울특별시 서초구 서초동</t>
        </is>
      </c>
      <c r="C1583" s="41" t="inlineStr">
        <is>
          <t>1333</t>
        </is>
      </c>
      <c r="D1583" s="41" t="inlineStr">
        <is>
          <t>1333</t>
        </is>
      </c>
      <c r="E1583" s="41" t="inlineStr">
        <is>
          <t>0000</t>
        </is>
      </c>
      <c r="F1583" s="42" t="inlineStr">
        <is>
          <t>신동아아파트(1차)</t>
        </is>
      </c>
      <c r="G1583" s="41" t="inlineStr">
        <is>
          <t>86.6100</t>
        </is>
      </c>
      <c r="H1583" s="41" t="inlineStr">
        <is>
          <t>202405</t>
        </is>
      </c>
      <c r="I1583" s="41" t="inlineStr">
        <is>
          <t>13</t>
        </is>
      </c>
      <c r="J1583" s="41" t="inlineStr">
        <is>
          <t>210,000</t>
        </is>
      </c>
      <c r="K1583" s="41" t="inlineStr">
        <is>
          <t>7</t>
        </is>
      </c>
      <c r="L1583" s="41" t="inlineStr">
        <is>
          <t>5</t>
        </is>
      </c>
      <c r="M1583" s="42" t="inlineStr">
        <is>
          <t>개인</t>
        </is>
      </c>
      <c r="N1583" s="42" t="inlineStr">
        <is>
          <t>개인</t>
        </is>
      </c>
      <c r="O1583" s="41" t="inlineStr">
        <is>
          <t>1978</t>
        </is>
      </c>
      <c r="P1583" s="42" t="inlineStr">
        <is>
          <t>사임당로 130</t>
        </is>
      </c>
      <c r="Q1583" s="41" t="inlineStr">
        <is>
          <t>-</t>
        </is>
      </c>
      <c r="R1583" s="42" t="inlineStr">
        <is>
          <t>중개거래</t>
        </is>
      </c>
      <c r="S1583" s="42" t="inlineStr">
        <is>
          <t>서울 노원구, 서울 서초구</t>
        </is>
      </c>
      <c r="T1583" s="41" t="inlineStr">
        <is>
          <t>24.07.17</t>
        </is>
      </c>
      <c r="U1583" s="42" t="inlineStr">
        <is>
          <t>아파트</t>
        </is>
      </c>
    </row>
    <row r="1584" hidden="1" ht="14.25" customHeight="1">
      <c r="A1584" s="41" t="n">
        <v>1051</v>
      </c>
      <c r="B1584" s="42" t="inlineStr">
        <is>
          <t>서울특별시 서초구 서초동</t>
        </is>
      </c>
      <c r="C1584" s="41" t="inlineStr">
        <is>
          <t>1312-3</t>
        </is>
      </c>
      <c r="D1584" s="41" t="inlineStr">
        <is>
          <t>1312</t>
        </is>
      </c>
      <c r="E1584" s="41" t="inlineStr">
        <is>
          <t>0003</t>
        </is>
      </c>
      <c r="F1584" s="42" t="inlineStr">
        <is>
          <t>롯데캐슬클래식</t>
        </is>
      </c>
      <c r="G1584" s="41" t="inlineStr">
        <is>
          <t>84.9800</t>
        </is>
      </c>
      <c r="H1584" s="41" t="inlineStr">
        <is>
          <t>202405</t>
        </is>
      </c>
      <c r="I1584" s="41" t="inlineStr">
        <is>
          <t>13</t>
        </is>
      </c>
      <c r="J1584" s="41" t="inlineStr">
        <is>
          <t>230,000</t>
        </is>
      </c>
      <c r="K1584" s="41" t="inlineStr">
        <is>
          <t>111</t>
        </is>
      </c>
      <c r="L1584" s="41" t="inlineStr">
        <is>
          <t>16</t>
        </is>
      </c>
      <c r="M1584" s="42" t="inlineStr">
        <is>
          <t>개인</t>
        </is>
      </c>
      <c r="N1584" s="42" t="inlineStr">
        <is>
          <t>개인</t>
        </is>
      </c>
      <c r="O1584" s="41" t="inlineStr">
        <is>
          <t>2006</t>
        </is>
      </c>
      <c r="P1584" s="42" t="inlineStr">
        <is>
          <t>서운로 200</t>
        </is>
      </c>
      <c r="Q1584" s="41" t="inlineStr">
        <is>
          <t>-</t>
        </is>
      </c>
      <c r="R1584" s="42" t="inlineStr">
        <is>
          <t>중개거래</t>
        </is>
      </c>
      <c r="S1584" s="42" t="inlineStr">
        <is>
          <t>서울 서초구</t>
        </is>
      </c>
      <c r="T1584" s="41" t="inlineStr">
        <is>
          <t>24.08.13</t>
        </is>
      </c>
      <c r="U1584" s="42" t="inlineStr">
        <is>
          <t>아파트</t>
        </is>
      </c>
    </row>
    <row r="1585" hidden="1" ht="14.25" customHeight="1">
      <c r="A1585" s="41" t="n">
        <v>1052</v>
      </c>
      <c r="B1585" s="42" t="inlineStr">
        <is>
          <t>서울특별시 서초구 서초동</t>
        </is>
      </c>
      <c r="C1585" s="41" t="inlineStr">
        <is>
          <t>1446-11</t>
        </is>
      </c>
      <c r="D1585" s="41" t="inlineStr">
        <is>
          <t>1446</t>
        </is>
      </c>
      <c r="E1585" s="41" t="inlineStr">
        <is>
          <t>0011</t>
        </is>
      </c>
      <c r="F1585" s="42" t="inlineStr">
        <is>
          <t>현대슈퍼빌</t>
        </is>
      </c>
      <c r="G1585" s="41" t="inlineStr">
        <is>
          <t>147.8600</t>
        </is>
      </c>
      <c r="H1585" s="41" t="inlineStr">
        <is>
          <t>202405</t>
        </is>
      </c>
      <c r="I1585" s="41" t="inlineStr">
        <is>
          <t>12</t>
        </is>
      </c>
      <c r="J1585" s="41" t="inlineStr">
        <is>
          <t>230,000</t>
        </is>
      </c>
      <c r="K1585" s="41" t="inlineStr">
        <is>
          <t>D</t>
        </is>
      </c>
      <c r="L1585" s="41" t="inlineStr">
        <is>
          <t>6</t>
        </is>
      </c>
      <c r="M1585" s="42" t="inlineStr">
        <is>
          <t>개인</t>
        </is>
      </c>
      <c r="N1585" s="42" t="inlineStr">
        <is>
          <t>개인</t>
        </is>
      </c>
      <c r="O1585" s="41" t="inlineStr">
        <is>
          <t>2003</t>
        </is>
      </c>
      <c r="P1585" s="42" t="inlineStr">
        <is>
          <t>서초중앙로 15</t>
        </is>
      </c>
      <c r="Q1585" s="41" t="inlineStr">
        <is>
          <t>-</t>
        </is>
      </c>
      <c r="R1585" s="42" t="inlineStr">
        <is>
          <t>중개거래</t>
        </is>
      </c>
      <c r="S1585" s="42" t="inlineStr">
        <is>
          <t>서울 서초구</t>
        </is>
      </c>
      <c r="T1585" s="41" t="inlineStr">
        <is>
          <t>24.08.09</t>
        </is>
      </c>
      <c r="U1585" s="42" t="inlineStr">
        <is>
          <t>아파트</t>
        </is>
      </c>
    </row>
    <row r="1586" hidden="1" ht="14.25" customHeight="1">
      <c r="A1586" s="41" t="n">
        <v>1053</v>
      </c>
      <c r="B1586" s="42" t="inlineStr">
        <is>
          <t>서울특별시 서초구 서초동</t>
        </is>
      </c>
      <c r="C1586" s="41" t="inlineStr">
        <is>
          <t>1754</t>
        </is>
      </c>
      <c r="D1586" s="41" t="inlineStr">
        <is>
          <t>1754</t>
        </is>
      </c>
      <c r="E1586" s="41" t="inlineStr">
        <is>
          <t>0000</t>
        </is>
      </c>
      <c r="F1586" s="42" t="inlineStr">
        <is>
          <t>래미안서초에스티지S</t>
        </is>
      </c>
      <c r="G1586" s="41" t="inlineStr">
        <is>
          <t>84.1700</t>
        </is>
      </c>
      <c r="H1586" s="41" t="inlineStr">
        <is>
          <t>202405</t>
        </is>
      </c>
      <c r="I1586" s="41" t="inlineStr">
        <is>
          <t>11</t>
        </is>
      </c>
      <c r="J1586" s="41" t="inlineStr">
        <is>
          <t>263,000</t>
        </is>
      </c>
      <c r="K1586" s="41" t="inlineStr">
        <is>
          <t>202</t>
        </is>
      </c>
      <c r="L1586" s="41" t="inlineStr">
        <is>
          <t>26</t>
        </is>
      </c>
      <c r="M1586" s="42" t="inlineStr">
        <is>
          <t>개인</t>
        </is>
      </c>
      <c r="N1586" s="42" t="inlineStr">
        <is>
          <t>개인</t>
        </is>
      </c>
      <c r="O1586" s="41" t="inlineStr">
        <is>
          <t>2018</t>
        </is>
      </c>
      <c r="P1586" s="42" t="inlineStr">
        <is>
          <t>서운로 104</t>
        </is>
      </c>
      <c r="Q1586" s="41" t="inlineStr">
        <is>
          <t>-</t>
        </is>
      </c>
      <c r="R1586" s="42" t="inlineStr">
        <is>
          <t>중개거래</t>
        </is>
      </c>
      <c r="S1586" s="42" t="inlineStr">
        <is>
          <t>서울 서초구</t>
        </is>
      </c>
      <c r="T1586" s="41" t="inlineStr">
        <is>
          <t>24.08.30</t>
        </is>
      </c>
      <c r="U1586" s="42" t="inlineStr">
        <is>
          <t>아파트</t>
        </is>
      </c>
    </row>
    <row r="1587" hidden="1" ht="14.25" customHeight="1">
      <c r="A1587" s="41" t="n">
        <v>1054</v>
      </c>
      <c r="B1587" s="42" t="inlineStr">
        <is>
          <t>서울특별시 서초구 서초동</t>
        </is>
      </c>
      <c r="C1587" s="41" t="inlineStr">
        <is>
          <t>1687</t>
        </is>
      </c>
      <c r="D1587" s="41" t="inlineStr">
        <is>
          <t>1687</t>
        </is>
      </c>
      <c r="E1587" s="41" t="inlineStr">
        <is>
          <t>0000</t>
        </is>
      </c>
      <c r="F1587" s="42" t="inlineStr">
        <is>
          <t>유원서초</t>
        </is>
      </c>
      <c r="G1587" s="41" t="inlineStr">
        <is>
          <t>84.8200</t>
        </is>
      </c>
      <c r="H1587" s="41" t="inlineStr">
        <is>
          <t>202405</t>
        </is>
      </c>
      <c r="I1587" s="41" t="inlineStr">
        <is>
          <t>11</t>
        </is>
      </c>
      <c r="J1587" s="41" t="inlineStr">
        <is>
          <t>180,000</t>
        </is>
      </c>
      <c r="K1587" s="41" t="inlineStr">
        <is>
          <t>101</t>
        </is>
      </c>
      <c r="L1587" s="41" t="inlineStr">
        <is>
          <t>11</t>
        </is>
      </c>
      <c r="M1587" s="42" t="inlineStr">
        <is>
          <t>개인</t>
        </is>
      </c>
      <c r="N1587" s="42" t="inlineStr">
        <is>
          <t>개인</t>
        </is>
      </c>
      <c r="O1587" s="41" t="inlineStr">
        <is>
          <t>1993</t>
        </is>
      </c>
      <c r="P1587" s="42" t="inlineStr">
        <is>
          <t>서초중앙로24길 43</t>
        </is>
      </c>
      <c r="Q1587" s="41" t="inlineStr">
        <is>
          <t>-</t>
        </is>
      </c>
      <c r="R1587" s="42" t="inlineStr">
        <is>
          <t>중개거래</t>
        </is>
      </c>
      <c r="S1587" s="42" t="inlineStr">
        <is>
          <t>서울 서초구</t>
        </is>
      </c>
      <c r="T1587" s="41" t="inlineStr">
        <is>
          <t>24.08.26</t>
        </is>
      </c>
      <c r="U1587" s="42" t="inlineStr">
        <is>
          <t>아파트</t>
        </is>
      </c>
    </row>
    <row r="1588" hidden="1" ht="14.25" customHeight="1">
      <c r="A1588" s="41" t="n">
        <v>1055</v>
      </c>
      <c r="B1588" s="42" t="inlineStr">
        <is>
          <t>서울특별시 서초구 서초동</t>
        </is>
      </c>
      <c r="C1588" s="41" t="inlineStr">
        <is>
          <t>1755</t>
        </is>
      </c>
      <c r="D1588" s="41" t="inlineStr">
        <is>
          <t>1755</t>
        </is>
      </c>
      <c r="E1588" s="41" t="inlineStr">
        <is>
          <t>0000</t>
        </is>
      </c>
      <c r="F1588" s="42" t="inlineStr">
        <is>
          <t>래미안 리더스원</t>
        </is>
      </c>
      <c r="G1588" s="41" t="inlineStr">
        <is>
          <t>84.9400</t>
        </is>
      </c>
      <c r="H1588" s="41" t="inlineStr">
        <is>
          <t>202405</t>
        </is>
      </c>
      <c r="I1588" s="41" t="inlineStr">
        <is>
          <t>10</t>
        </is>
      </c>
      <c r="J1588" s="41" t="inlineStr">
        <is>
          <t>283,000</t>
        </is>
      </c>
      <c r="K1588" s="41" t="inlineStr">
        <is>
          <t>105동</t>
        </is>
      </c>
      <c r="L1588" s="41" t="inlineStr">
        <is>
          <t>7</t>
        </is>
      </c>
      <c r="M1588" s="42" t="inlineStr">
        <is>
          <t>개인</t>
        </is>
      </c>
      <c r="N1588" s="42" t="inlineStr">
        <is>
          <t>개인</t>
        </is>
      </c>
      <c r="O1588" s="41" t="inlineStr">
        <is>
          <t>2020</t>
        </is>
      </c>
      <c r="P1588" s="42" t="inlineStr">
        <is>
          <t>서운로 62</t>
        </is>
      </c>
      <c r="Q1588" s="41" t="inlineStr">
        <is>
          <t>-</t>
        </is>
      </c>
      <c r="R1588" s="42" t="inlineStr">
        <is>
          <t>중개거래</t>
        </is>
      </c>
      <c r="S1588" s="42" t="inlineStr">
        <is>
          <t>서울 서초구</t>
        </is>
      </c>
      <c r="T1588" s="41" t="inlineStr">
        <is>
          <t>24.07.02</t>
        </is>
      </c>
      <c r="U1588" s="42" t="inlineStr">
        <is>
          <t>아파트</t>
        </is>
      </c>
    </row>
    <row r="1589" hidden="1" ht="14.25" customHeight="1">
      <c r="A1589" s="41" t="n">
        <v>1056</v>
      </c>
      <c r="B1589" s="42" t="inlineStr">
        <is>
          <t>서울특별시 서초구 서초동</t>
        </is>
      </c>
      <c r="C1589" s="41" t="inlineStr">
        <is>
          <t>1755</t>
        </is>
      </c>
      <c r="D1589" s="41" t="inlineStr">
        <is>
          <t>1755</t>
        </is>
      </c>
      <c r="E1589" s="41" t="inlineStr">
        <is>
          <t>0000</t>
        </is>
      </c>
      <c r="F1589" s="42" t="inlineStr">
        <is>
          <t>래미안 리더스원</t>
        </is>
      </c>
      <c r="G1589" s="41" t="inlineStr">
        <is>
          <t>84.9400</t>
        </is>
      </c>
      <c r="H1589" s="41" t="inlineStr">
        <is>
          <t>202405</t>
        </is>
      </c>
      <c r="I1589" s="41" t="inlineStr">
        <is>
          <t>10</t>
        </is>
      </c>
      <c r="J1589" s="41" t="inlineStr">
        <is>
          <t>210,000</t>
        </is>
      </c>
      <c r="K1589" s="41" t="inlineStr">
        <is>
          <t>103동</t>
        </is>
      </c>
      <c r="L1589" s="41" t="inlineStr">
        <is>
          <t>17</t>
        </is>
      </c>
      <c r="M1589" s="42" t="inlineStr">
        <is>
          <t>개인</t>
        </is>
      </c>
      <c r="N1589" s="42" t="inlineStr">
        <is>
          <t>개인</t>
        </is>
      </c>
      <c r="O1589" s="41" t="inlineStr">
        <is>
          <t>2020</t>
        </is>
      </c>
      <c r="P1589" s="42" t="inlineStr">
        <is>
          <t>서운로 62</t>
        </is>
      </c>
      <c r="Q1589" s="41" t="inlineStr">
        <is>
          <t>-</t>
        </is>
      </c>
      <c r="R1589" s="42" t="inlineStr">
        <is>
          <t>직거래</t>
        </is>
      </c>
      <c r="S1589" s="41" t="inlineStr">
        <is>
          <t>-</t>
        </is>
      </c>
      <c r="T1589" s="41" t="inlineStr">
        <is>
          <t>24.05.31</t>
        </is>
      </c>
      <c r="U1589" s="42" t="inlineStr">
        <is>
          <t>아파트</t>
        </is>
      </c>
    </row>
    <row r="1590" hidden="1" ht="14.25" customHeight="1">
      <c r="A1590" s="41" t="n">
        <v>1057</v>
      </c>
      <c r="B1590" s="42" t="inlineStr">
        <is>
          <t>서울특별시 서초구 서초동</t>
        </is>
      </c>
      <c r="C1590" s="41" t="inlineStr">
        <is>
          <t>1311-10</t>
        </is>
      </c>
      <c r="D1590" s="41" t="inlineStr">
        <is>
          <t>1311</t>
        </is>
      </c>
      <c r="E1590" s="41" t="inlineStr">
        <is>
          <t>0010</t>
        </is>
      </c>
      <c r="F1590" s="42" t="inlineStr">
        <is>
          <t>서초푸르지오써밋</t>
        </is>
      </c>
      <c r="G1590" s="41" t="inlineStr">
        <is>
          <t>84.9500</t>
        </is>
      </c>
      <c r="H1590" s="41" t="inlineStr">
        <is>
          <t>202405</t>
        </is>
      </c>
      <c r="I1590" s="41" t="inlineStr">
        <is>
          <t>10</t>
        </is>
      </c>
      <c r="J1590" s="41" t="inlineStr">
        <is>
          <t>275,000</t>
        </is>
      </c>
      <c r="K1590" s="41" t="inlineStr">
        <is>
          <t>105</t>
        </is>
      </c>
      <c r="L1590" s="41" t="inlineStr">
        <is>
          <t>17</t>
        </is>
      </c>
      <c r="M1590" s="42" t="inlineStr">
        <is>
          <t>개인</t>
        </is>
      </c>
      <c r="N1590" s="42" t="inlineStr">
        <is>
          <t>개인</t>
        </is>
      </c>
      <c r="O1590" s="41" t="inlineStr">
        <is>
          <t>2017</t>
        </is>
      </c>
      <c r="P1590" s="42" t="inlineStr">
        <is>
          <t>서운로 201</t>
        </is>
      </c>
      <c r="Q1590" s="41" t="inlineStr">
        <is>
          <t>-</t>
        </is>
      </c>
      <c r="R1590" s="42" t="inlineStr">
        <is>
          <t>중개거래</t>
        </is>
      </c>
      <c r="S1590" s="42" t="inlineStr">
        <is>
          <t>서울 서초구</t>
        </is>
      </c>
      <c r="T1590" s="41" t="inlineStr">
        <is>
          <t>24.09.11</t>
        </is>
      </c>
      <c r="U1590" s="42" t="inlineStr">
        <is>
          <t>아파트</t>
        </is>
      </c>
    </row>
    <row r="1591" hidden="1" ht="14.25" customHeight="1">
      <c r="A1591" s="41" t="n">
        <v>1058</v>
      </c>
      <c r="B1591" s="42" t="inlineStr">
        <is>
          <t>서울특별시 서초구 서초동</t>
        </is>
      </c>
      <c r="C1591" s="41" t="inlineStr">
        <is>
          <t>1326-17</t>
        </is>
      </c>
      <c r="D1591" s="41" t="inlineStr">
        <is>
          <t>1326</t>
        </is>
      </c>
      <c r="E1591" s="41" t="inlineStr">
        <is>
          <t>0017</t>
        </is>
      </c>
      <c r="F1591" s="42" t="inlineStr">
        <is>
          <t>우성아파트</t>
        </is>
      </c>
      <c r="G1591" s="41" t="inlineStr">
        <is>
          <t>59.9300</t>
        </is>
      </c>
      <c r="H1591" s="41" t="inlineStr">
        <is>
          <t>202405</t>
        </is>
      </c>
      <c r="I1591" s="41" t="inlineStr">
        <is>
          <t>09</t>
        </is>
      </c>
      <c r="J1591" s="41" t="inlineStr">
        <is>
          <t>159,000</t>
        </is>
      </c>
      <c r="K1591" s="41" t="inlineStr">
        <is>
          <t>501</t>
        </is>
      </c>
      <c r="L1591" s="41" t="inlineStr">
        <is>
          <t>12</t>
        </is>
      </c>
      <c r="M1591" s="42" t="inlineStr">
        <is>
          <t>개인</t>
        </is>
      </c>
      <c r="N1591" s="42" t="inlineStr">
        <is>
          <t>개인</t>
        </is>
      </c>
      <c r="O1591" s="41" t="inlineStr">
        <is>
          <t>1998</t>
        </is>
      </c>
      <c r="P1591" s="42" t="inlineStr">
        <is>
          <t>서초대로74길 30</t>
        </is>
      </c>
      <c r="Q1591" s="41" t="inlineStr">
        <is>
          <t>-</t>
        </is>
      </c>
      <c r="R1591" s="42" t="inlineStr">
        <is>
          <t>중개거래</t>
        </is>
      </c>
      <c r="S1591" s="42" t="inlineStr">
        <is>
          <t>서울 서초구</t>
        </is>
      </c>
      <c r="T1591" s="41" t="inlineStr">
        <is>
          <t>24.08.30</t>
        </is>
      </c>
      <c r="U1591" s="42" t="inlineStr">
        <is>
          <t>아파트</t>
        </is>
      </c>
    </row>
    <row r="1592" hidden="1" ht="14.25" customHeight="1">
      <c r="A1592" s="41" t="n">
        <v>1059</v>
      </c>
      <c r="B1592" s="42" t="inlineStr">
        <is>
          <t>서울특별시 서초구 서초동</t>
        </is>
      </c>
      <c r="C1592" s="41" t="inlineStr">
        <is>
          <t>1686-9</t>
        </is>
      </c>
      <c r="D1592" s="41" t="inlineStr">
        <is>
          <t>1686</t>
        </is>
      </c>
      <c r="E1592" s="41" t="inlineStr">
        <is>
          <t>0009</t>
        </is>
      </c>
      <c r="F1592" s="42" t="inlineStr">
        <is>
          <t>서초교대e편한세상</t>
        </is>
      </c>
      <c r="G1592" s="41" t="inlineStr">
        <is>
          <t>84.9700</t>
        </is>
      </c>
      <c r="H1592" s="41" t="inlineStr">
        <is>
          <t>202405</t>
        </is>
      </c>
      <c r="I1592" s="41" t="inlineStr">
        <is>
          <t>09</t>
        </is>
      </c>
      <c r="J1592" s="41" t="inlineStr">
        <is>
          <t>230,000</t>
        </is>
      </c>
      <c r="K1592" s="41" t="inlineStr">
        <is>
          <t>101</t>
        </is>
      </c>
      <c r="L1592" s="41" t="inlineStr">
        <is>
          <t>6</t>
        </is>
      </c>
      <c r="M1592" s="42" t="inlineStr">
        <is>
          <t>개인</t>
        </is>
      </c>
      <c r="N1592" s="42" t="inlineStr">
        <is>
          <t>개인</t>
        </is>
      </c>
      <c r="O1592" s="41" t="inlineStr">
        <is>
          <t>2010</t>
        </is>
      </c>
      <c r="P1592" s="42" t="inlineStr">
        <is>
          <t>서초중앙로24길 33</t>
        </is>
      </c>
      <c r="Q1592" s="41" t="inlineStr">
        <is>
          <t>-</t>
        </is>
      </c>
      <c r="R1592" s="42" t="inlineStr">
        <is>
          <t>중개거래</t>
        </is>
      </c>
      <c r="S1592" s="42" t="inlineStr">
        <is>
          <t>서울 서초구, 서울 영등포구</t>
        </is>
      </c>
      <c r="T1592" s="41" t="inlineStr">
        <is>
          <t>24.07.31</t>
        </is>
      </c>
      <c r="U1592" s="42" t="inlineStr">
        <is>
          <t>아파트</t>
        </is>
      </c>
    </row>
    <row r="1593" hidden="1" ht="14.25" customHeight="1">
      <c r="A1593" s="41" t="n">
        <v>1060</v>
      </c>
      <c r="B1593" s="42" t="inlineStr">
        <is>
          <t>서울특별시 서초구 서초동</t>
        </is>
      </c>
      <c r="C1593" s="41" t="inlineStr">
        <is>
          <t>1542-1</t>
        </is>
      </c>
      <c r="D1593" s="41" t="inlineStr">
        <is>
          <t>1542</t>
        </is>
      </c>
      <c r="E1593" s="41" t="inlineStr">
        <is>
          <t>0001</t>
        </is>
      </c>
      <c r="F1593" s="42" t="inlineStr">
        <is>
          <t>동일하이빌</t>
        </is>
      </c>
      <c r="G1593" s="41" t="inlineStr">
        <is>
          <t>100.3900</t>
        </is>
      </c>
      <c r="H1593" s="41" t="inlineStr">
        <is>
          <t>202405</t>
        </is>
      </c>
      <c r="I1593" s="41" t="inlineStr">
        <is>
          <t>08</t>
        </is>
      </c>
      <c r="J1593" s="41" t="inlineStr">
        <is>
          <t>192,500</t>
        </is>
      </c>
      <c r="K1593" s="41" t="inlineStr">
        <is>
          <t>101동</t>
        </is>
      </c>
      <c r="L1593" s="41" t="inlineStr">
        <is>
          <t>11</t>
        </is>
      </c>
      <c r="M1593" s="42" t="inlineStr">
        <is>
          <t>개인</t>
        </is>
      </c>
      <c r="N1593" s="42" t="inlineStr">
        <is>
          <t>개인</t>
        </is>
      </c>
      <c r="O1593" s="41" t="inlineStr">
        <is>
          <t>2006</t>
        </is>
      </c>
      <c r="P1593" s="42" t="inlineStr">
        <is>
          <t>서초대로 240</t>
        </is>
      </c>
      <c r="Q1593" s="41" t="inlineStr">
        <is>
          <t>-</t>
        </is>
      </c>
      <c r="R1593" s="42" t="inlineStr">
        <is>
          <t>중개거래</t>
        </is>
      </c>
      <c r="S1593" s="42" t="inlineStr">
        <is>
          <t>경기 하남시, 서울 서초구</t>
        </is>
      </c>
      <c r="T1593" s="41" t="inlineStr">
        <is>
          <t>24.05.30</t>
        </is>
      </c>
      <c r="U1593" s="42" t="inlineStr">
        <is>
          <t>아파트</t>
        </is>
      </c>
    </row>
    <row r="1594" hidden="1" ht="14.25" customHeight="1">
      <c r="A1594" s="41" t="n">
        <v>1061</v>
      </c>
      <c r="B1594" s="42" t="inlineStr">
        <is>
          <t>서울특별시 서초구 서초동</t>
        </is>
      </c>
      <c r="C1594" s="41" t="inlineStr">
        <is>
          <t>1338-1</t>
        </is>
      </c>
      <c r="D1594" s="41" t="inlineStr">
        <is>
          <t>1338</t>
        </is>
      </c>
      <c r="E1594" s="41" t="inlineStr">
        <is>
          <t>0001</t>
        </is>
      </c>
      <c r="F1594" s="42" t="inlineStr">
        <is>
          <t>풍림아이원플러스</t>
        </is>
      </c>
      <c r="G1594" s="41" t="inlineStr">
        <is>
          <t>35.9030</t>
        </is>
      </c>
      <c r="H1594" s="41" t="inlineStr">
        <is>
          <t>202405</t>
        </is>
      </c>
      <c r="I1594" s="41" t="inlineStr">
        <is>
          <t>08</t>
        </is>
      </c>
      <c r="J1594" s="41" t="inlineStr">
        <is>
          <t>36,300</t>
        </is>
      </c>
      <c r="K1594" s="42" t="inlineStr">
        <is>
          <t>풍림아이원플러스</t>
        </is>
      </c>
      <c r="L1594" s="41" t="inlineStr">
        <is>
          <t>11</t>
        </is>
      </c>
      <c r="M1594" s="42" t="inlineStr">
        <is>
          <t>개인</t>
        </is>
      </c>
      <c r="N1594" s="42" t="inlineStr">
        <is>
          <t>개인</t>
        </is>
      </c>
      <c r="O1594" s="41" t="inlineStr">
        <is>
          <t>2004</t>
        </is>
      </c>
      <c r="P1594" s="42" t="inlineStr">
        <is>
          <t>효령로77길 14</t>
        </is>
      </c>
      <c r="Q1594" s="41" t="inlineStr">
        <is>
          <t>-</t>
        </is>
      </c>
      <c r="R1594" s="42" t="inlineStr">
        <is>
          <t>중개거래</t>
        </is>
      </c>
      <c r="S1594" s="42" t="inlineStr">
        <is>
          <t>서울 서초구</t>
        </is>
      </c>
      <c r="T1594" s="41" t="inlineStr">
        <is>
          <t>24.08.12</t>
        </is>
      </c>
      <c r="U1594" s="42" t="inlineStr">
        <is>
          <t>아파트</t>
        </is>
      </c>
    </row>
    <row r="1595" hidden="1" ht="14.25" customHeight="1">
      <c r="A1595" s="41" t="n">
        <v>1062</v>
      </c>
      <c r="B1595" s="42" t="inlineStr">
        <is>
          <t>서울특별시 서초구 서초동</t>
        </is>
      </c>
      <c r="C1595" s="41" t="inlineStr">
        <is>
          <t>1337-22</t>
        </is>
      </c>
      <c r="D1595" s="41" t="inlineStr">
        <is>
          <t>1337</t>
        </is>
      </c>
      <c r="E1595" s="41" t="inlineStr">
        <is>
          <t>0022</t>
        </is>
      </c>
      <c r="F1595" s="42" t="inlineStr">
        <is>
          <t>서초동대우디오빌프라임</t>
        </is>
      </c>
      <c r="G1595" s="41" t="inlineStr">
        <is>
          <t>81.9700</t>
        </is>
      </c>
      <c r="H1595" s="41" t="inlineStr">
        <is>
          <t>202405</t>
        </is>
      </c>
      <c r="I1595" s="41" t="inlineStr">
        <is>
          <t>07</t>
        </is>
      </c>
      <c r="J1595" s="41" t="inlineStr">
        <is>
          <t>110,000</t>
        </is>
      </c>
      <c r="K1595" s="42" t="inlineStr">
        <is>
          <t>서초동대우디오빌프라임</t>
        </is>
      </c>
      <c r="L1595" s="41" t="inlineStr">
        <is>
          <t>10</t>
        </is>
      </c>
      <c r="M1595" s="42" t="inlineStr">
        <is>
          <t>개인</t>
        </is>
      </c>
      <c r="N1595" s="42" t="inlineStr">
        <is>
          <t>개인</t>
        </is>
      </c>
      <c r="O1595" s="41" t="inlineStr">
        <is>
          <t>2005</t>
        </is>
      </c>
      <c r="P1595" s="42" t="inlineStr">
        <is>
          <t>강남대로 321</t>
        </is>
      </c>
      <c r="Q1595" s="41" t="inlineStr">
        <is>
          <t>-</t>
        </is>
      </c>
      <c r="R1595" s="42" t="inlineStr">
        <is>
          <t>중개거래</t>
        </is>
      </c>
      <c r="S1595" s="42" t="inlineStr">
        <is>
          <t>서울 서초구</t>
        </is>
      </c>
      <c r="T1595" s="41" t="inlineStr">
        <is>
          <t>24.09.30</t>
        </is>
      </c>
      <c r="U1595" s="42" t="inlineStr">
        <is>
          <t>아파트</t>
        </is>
      </c>
    </row>
    <row r="1596" hidden="1" ht="14.25" customHeight="1">
      <c r="A1596" s="41" t="n">
        <v>1063</v>
      </c>
      <c r="B1596" s="42" t="inlineStr">
        <is>
          <t>서울특별시 서초구 서초동</t>
        </is>
      </c>
      <c r="C1596" s="41" t="inlineStr">
        <is>
          <t>1330</t>
        </is>
      </c>
      <c r="D1596" s="41" t="inlineStr">
        <is>
          <t>1330</t>
        </is>
      </c>
      <c r="E1596" s="41" t="inlineStr">
        <is>
          <t>0000</t>
        </is>
      </c>
      <c r="F1596" s="42" t="inlineStr">
        <is>
          <t>서초동삼성쉐르빌2</t>
        </is>
      </c>
      <c r="G1596" s="41" t="inlineStr">
        <is>
          <t>35.2200</t>
        </is>
      </c>
      <c r="H1596" s="41" t="inlineStr">
        <is>
          <t>202405</t>
        </is>
      </c>
      <c r="I1596" s="41" t="inlineStr">
        <is>
          <t>07</t>
        </is>
      </c>
      <c r="J1596" s="41" t="inlineStr">
        <is>
          <t>31,000</t>
        </is>
      </c>
      <c r="K1596" s="41" t="inlineStr">
        <is>
          <t>-</t>
        </is>
      </c>
      <c r="L1596" s="41" t="inlineStr">
        <is>
          <t>20</t>
        </is>
      </c>
      <c r="M1596" s="42" t="inlineStr">
        <is>
          <t>개인</t>
        </is>
      </c>
      <c r="N1596" s="42" t="inlineStr">
        <is>
          <t>개인</t>
        </is>
      </c>
      <c r="O1596" s="41" t="inlineStr">
        <is>
          <t>2002</t>
        </is>
      </c>
      <c r="P1596" s="42" t="inlineStr">
        <is>
          <t>강남대로53길 11</t>
        </is>
      </c>
      <c r="Q1596" s="41" t="inlineStr">
        <is>
          <t>-</t>
        </is>
      </c>
      <c r="R1596" s="42" t="inlineStr">
        <is>
          <t>중개거래</t>
        </is>
      </c>
      <c r="S1596" s="42" t="inlineStr">
        <is>
          <t>서울 서초구</t>
        </is>
      </c>
      <c r="T1596" s="41" t="inlineStr">
        <is>
          <t>24.05.22</t>
        </is>
      </c>
      <c r="U1596" s="42" t="inlineStr">
        <is>
          <t>아파트</t>
        </is>
      </c>
    </row>
    <row r="1597" hidden="1" ht="14.25" customHeight="1">
      <c r="A1597" s="41" t="n">
        <v>1064</v>
      </c>
      <c r="B1597" s="42" t="inlineStr">
        <is>
          <t>서울특별시 서초구 서초동</t>
        </is>
      </c>
      <c r="C1597" s="41" t="inlineStr">
        <is>
          <t>1682</t>
        </is>
      </c>
      <c r="D1597" s="41" t="inlineStr">
        <is>
          <t>1682</t>
        </is>
      </c>
      <c r="E1597" s="41" t="inlineStr">
        <is>
          <t>0000</t>
        </is>
      </c>
      <c r="F1597" s="42" t="inlineStr">
        <is>
          <t>서초래미안</t>
        </is>
      </c>
      <c r="G1597" s="41" t="inlineStr">
        <is>
          <t>84.9700</t>
        </is>
      </c>
      <c r="H1597" s="41" t="inlineStr">
        <is>
          <t>202405</t>
        </is>
      </c>
      <c r="I1597" s="41" t="inlineStr">
        <is>
          <t>07</t>
        </is>
      </c>
      <c r="J1597" s="41" t="inlineStr">
        <is>
          <t>217,000</t>
        </is>
      </c>
      <c r="K1597" s="41" t="inlineStr">
        <is>
          <t>103</t>
        </is>
      </c>
      <c r="L1597" s="41" t="inlineStr">
        <is>
          <t>15</t>
        </is>
      </c>
      <c r="M1597" s="42" t="inlineStr">
        <is>
          <t>개인</t>
        </is>
      </c>
      <c r="N1597" s="42" t="inlineStr">
        <is>
          <t>개인</t>
        </is>
      </c>
      <c r="O1597" s="41" t="inlineStr">
        <is>
          <t>2003</t>
        </is>
      </c>
      <c r="P1597" s="42" t="inlineStr">
        <is>
          <t>서초대로65길 13-10</t>
        </is>
      </c>
      <c r="Q1597" s="41" t="inlineStr">
        <is>
          <t>-</t>
        </is>
      </c>
      <c r="R1597" s="42" t="inlineStr">
        <is>
          <t>중개거래</t>
        </is>
      </c>
      <c r="S1597" s="42" t="inlineStr">
        <is>
          <t>서울 서초구</t>
        </is>
      </c>
      <c r="T1597" s="41" t="inlineStr">
        <is>
          <t>24.09.20</t>
        </is>
      </c>
      <c r="U1597" s="42" t="inlineStr">
        <is>
          <t>아파트</t>
        </is>
      </c>
    </row>
    <row r="1598" hidden="1" ht="14.25" customHeight="1">
      <c r="A1598" s="41" t="n">
        <v>1065</v>
      </c>
      <c r="B1598" s="42" t="inlineStr">
        <is>
          <t>서울특별시 서초구 서초동</t>
        </is>
      </c>
      <c r="C1598" s="41" t="inlineStr">
        <is>
          <t>1311-10</t>
        </is>
      </c>
      <c r="D1598" s="41" t="inlineStr">
        <is>
          <t>1311</t>
        </is>
      </c>
      <c r="E1598" s="41" t="inlineStr">
        <is>
          <t>0010</t>
        </is>
      </c>
      <c r="F1598" s="42" t="inlineStr">
        <is>
          <t>서초푸르지오써밋</t>
        </is>
      </c>
      <c r="G1598" s="41" t="inlineStr">
        <is>
          <t>74.9300</t>
        </is>
      </c>
      <c r="H1598" s="41" t="inlineStr">
        <is>
          <t>202405</t>
        </is>
      </c>
      <c r="I1598" s="41" t="inlineStr">
        <is>
          <t>07</t>
        </is>
      </c>
      <c r="J1598" s="41" t="inlineStr">
        <is>
          <t>245,000</t>
        </is>
      </c>
      <c r="K1598" s="41" t="inlineStr">
        <is>
          <t>104</t>
        </is>
      </c>
      <c r="L1598" s="41" t="inlineStr">
        <is>
          <t>20</t>
        </is>
      </c>
      <c r="M1598" s="42" t="inlineStr">
        <is>
          <t>개인</t>
        </is>
      </c>
      <c r="N1598" s="42" t="inlineStr">
        <is>
          <t>개인</t>
        </is>
      </c>
      <c r="O1598" s="41" t="inlineStr">
        <is>
          <t>2017</t>
        </is>
      </c>
      <c r="P1598" s="42" t="inlineStr">
        <is>
          <t>서운로 201</t>
        </is>
      </c>
      <c r="Q1598" s="41" t="inlineStr">
        <is>
          <t>-</t>
        </is>
      </c>
      <c r="R1598" s="42" t="inlineStr">
        <is>
          <t>중개거래</t>
        </is>
      </c>
      <c r="S1598" s="42" t="inlineStr">
        <is>
          <t>서울 강남구, 서울 서초구</t>
        </is>
      </c>
      <c r="T1598" s="41" t="inlineStr">
        <is>
          <t>24.08.05</t>
        </is>
      </c>
      <c r="U1598" s="42" t="inlineStr">
        <is>
          <t>아파트</t>
        </is>
      </c>
    </row>
    <row r="1599" hidden="1" ht="14.25" customHeight="1">
      <c r="A1599" s="41" t="n">
        <v>1066</v>
      </c>
      <c r="B1599" s="42" t="inlineStr">
        <is>
          <t>서울특별시 서초구 서초동</t>
        </is>
      </c>
      <c r="C1599" s="41" t="inlineStr">
        <is>
          <t>1301-6</t>
        </is>
      </c>
      <c r="D1599" s="41" t="inlineStr">
        <is>
          <t>1301</t>
        </is>
      </c>
      <c r="E1599" s="41" t="inlineStr">
        <is>
          <t>0006</t>
        </is>
      </c>
      <c r="F1599" s="42" t="inlineStr">
        <is>
          <t>래미안서초스위트</t>
        </is>
      </c>
      <c r="G1599" s="41" t="inlineStr">
        <is>
          <t>84.9571</t>
        </is>
      </c>
      <c r="H1599" s="41" t="inlineStr">
        <is>
          <t>202405</t>
        </is>
      </c>
      <c r="I1599" s="41" t="inlineStr">
        <is>
          <t>06</t>
        </is>
      </c>
      <c r="J1599" s="41" t="inlineStr">
        <is>
          <t>228,000</t>
        </is>
      </c>
      <c r="K1599" s="41" t="inlineStr">
        <is>
          <t>102</t>
        </is>
      </c>
      <c r="L1599" s="41" t="inlineStr">
        <is>
          <t>8</t>
        </is>
      </c>
      <c r="M1599" s="42" t="inlineStr">
        <is>
          <t>개인</t>
        </is>
      </c>
      <c r="N1599" s="42" t="inlineStr">
        <is>
          <t>개인</t>
        </is>
      </c>
      <c r="O1599" s="41" t="inlineStr">
        <is>
          <t>2009</t>
        </is>
      </c>
      <c r="P1599" s="42" t="inlineStr">
        <is>
          <t>서운로 221</t>
        </is>
      </c>
      <c r="Q1599" s="41" t="inlineStr">
        <is>
          <t>-</t>
        </is>
      </c>
      <c r="R1599" s="42" t="inlineStr">
        <is>
          <t>중개거래</t>
        </is>
      </c>
      <c r="S1599" s="42" t="inlineStr">
        <is>
          <t>서울 서초구</t>
        </is>
      </c>
      <c r="T1599" s="41" t="inlineStr">
        <is>
          <t>24.08.02</t>
        </is>
      </c>
      <c r="U1599" s="42" t="inlineStr">
        <is>
          <t>아파트</t>
        </is>
      </c>
    </row>
    <row r="1600" hidden="1" ht="14.25" customHeight="1">
      <c r="A1600" s="41" t="n">
        <v>1067</v>
      </c>
      <c r="B1600" s="42" t="inlineStr">
        <is>
          <t>서울특별시 서초구 서초동</t>
        </is>
      </c>
      <c r="C1600" s="41" t="inlineStr">
        <is>
          <t>1333</t>
        </is>
      </c>
      <c r="D1600" s="41" t="inlineStr">
        <is>
          <t>1333</t>
        </is>
      </c>
      <c r="E1600" s="41" t="inlineStr">
        <is>
          <t>0000</t>
        </is>
      </c>
      <c r="F1600" s="42" t="inlineStr">
        <is>
          <t>신동아아파트(1차)</t>
        </is>
      </c>
      <c r="G1600" s="41" t="inlineStr">
        <is>
          <t>132.1000</t>
        </is>
      </c>
      <c r="H1600" s="41" t="inlineStr">
        <is>
          <t>202405</t>
        </is>
      </c>
      <c r="I1600" s="41" t="inlineStr">
        <is>
          <t>05</t>
        </is>
      </c>
      <c r="J1600" s="41" t="inlineStr">
        <is>
          <t>257,000</t>
        </is>
      </c>
      <c r="K1600" s="41" t="inlineStr">
        <is>
          <t>2</t>
        </is>
      </c>
      <c r="L1600" s="41" t="inlineStr">
        <is>
          <t>3</t>
        </is>
      </c>
      <c r="M1600" s="42" t="inlineStr">
        <is>
          <t>개인</t>
        </is>
      </c>
      <c r="N1600" s="42" t="inlineStr">
        <is>
          <t>개인</t>
        </is>
      </c>
      <c r="O1600" s="41" t="inlineStr">
        <is>
          <t>1978</t>
        </is>
      </c>
      <c r="P1600" s="42" t="inlineStr">
        <is>
          <t>사임당로 137</t>
        </is>
      </c>
      <c r="Q1600" s="41" t="inlineStr">
        <is>
          <t>-</t>
        </is>
      </c>
      <c r="R1600" s="42" t="inlineStr">
        <is>
          <t>중개거래</t>
        </is>
      </c>
      <c r="S1600" s="42" t="inlineStr">
        <is>
          <t>서울 서초구</t>
        </is>
      </c>
      <c r="T1600" s="41" t="inlineStr">
        <is>
          <t>24.06.28</t>
        </is>
      </c>
      <c r="U1600" s="42" t="inlineStr">
        <is>
          <t>아파트</t>
        </is>
      </c>
    </row>
    <row r="1601" hidden="1" ht="14.25" customHeight="1">
      <c r="A1601" s="41" t="n">
        <v>1068</v>
      </c>
      <c r="B1601" s="42" t="inlineStr">
        <is>
          <t>서울특별시 서초구 서초동</t>
        </is>
      </c>
      <c r="C1601" s="41" t="inlineStr">
        <is>
          <t>1333</t>
        </is>
      </c>
      <c r="D1601" s="41" t="inlineStr">
        <is>
          <t>1333</t>
        </is>
      </c>
      <c r="E1601" s="41" t="inlineStr">
        <is>
          <t>0000</t>
        </is>
      </c>
      <c r="F1601" s="42" t="inlineStr">
        <is>
          <t>신동아아파트(1차)</t>
        </is>
      </c>
      <c r="G1601" s="41" t="inlineStr">
        <is>
          <t>102.2100</t>
        </is>
      </c>
      <c r="H1601" s="41" t="inlineStr">
        <is>
          <t>202405</t>
        </is>
      </c>
      <c r="I1601" s="41" t="inlineStr">
        <is>
          <t>05</t>
        </is>
      </c>
      <c r="J1601" s="41" t="inlineStr">
        <is>
          <t>222,000</t>
        </is>
      </c>
      <c r="K1601" s="41" t="inlineStr">
        <is>
          <t>5</t>
        </is>
      </c>
      <c r="L1601" s="41" t="inlineStr">
        <is>
          <t>8</t>
        </is>
      </c>
      <c r="M1601" s="42" t="inlineStr">
        <is>
          <t>개인</t>
        </is>
      </c>
      <c r="N1601" s="42" t="inlineStr">
        <is>
          <t>개인</t>
        </is>
      </c>
      <c r="O1601" s="41" t="inlineStr">
        <is>
          <t>1978</t>
        </is>
      </c>
      <c r="P1601" s="42" t="inlineStr">
        <is>
          <t>사임당로 130</t>
        </is>
      </c>
      <c r="Q1601" s="41" t="inlineStr">
        <is>
          <t>-</t>
        </is>
      </c>
      <c r="R1601" s="42" t="inlineStr">
        <is>
          <t>중개거래</t>
        </is>
      </c>
      <c r="S1601" s="42" t="inlineStr">
        <is>
          <t>서울 서초구</t>
        </is>
      </c>
      <c r="T1601" s="41" t="inlineStr">
        <is>
          <t>24.06.14</t>
        </is>
      </c>
      <c r="U1601" s="42" t="inlineStr">
        <is>
          <t>아파트</t>
        </is>
      </c>
    </row>
    <row r="1602" hidden="1" ht="14.25" customHeight="1">
      <c r="A1602" s="41" t="n">
        <v>1069</v>
      </c>
      <c r="B1602" s="42" t="inlineStr">
        <is>
          <t>서울특별시 서초구 서초동</t>
        </is>
      </c>
      <c r="C1602" s="41" t="inlineStr">
        <is>
          <t>1754</t>
        </is>
      </c>
      <c r="D1602" s="41" t="inlineStr">
        <is>
          <t>1754</t>
        </is>
      </c>
      <c r="E1602" s="41" t="inlineStr">
        <is>
          <t>0000</t>
        </is>
      </c>
      <c r="F1602" s="42" t="inlineStr">
        <is>
          <t>래미안서초에스티지S</t>
        </is>
      </c>
      <c r="G1602" s="41" t="inlineStr">
        <is>
          <t>84.1700</t>
        </is>
      </c>
      <c r="H1602" s="41" t="inlineStr">
        <is>
          <t>202405</t>
        </is>
      </c>
      <c r="I1602" s="41" t="inlineStr">
        <is>
          <t>05</t>
        </is>
      </c>
      <c r="J1602" s="41" t="inlineStr">
        <is>
          <t>261,500</t>
        </is>
      </c>
      <c r="K1602" s="41" t="inlineStr">
        <is>
          <t>204</t>
        </is>
      </c>
      <c r="L1602" s="41" t="inlineStr">
        <is>
          <t>17</t>
        </is>
      </c>
      <c r="M1602" s="42" t="inlineStr">
        <is>
          <t>개인</t>
        </is>
      </c>
      <c r="N1602" s="42" t="inlineStr">
        <is>
          <t>개인</t>
        </is>
      </c>
      <c r="O1602" s="41" t="inlineStr">
        <is>
          <t>2018</t>
        </is>
      </c>
      <c r="P1602" s="42" t="inlineStr">
        <is>
          <t>서운로 104</t>
        </is>
      </c>
      <c r="Q1602" s="41" t="inlineStr">
        <is>
          <t>-</t>
        </is>
      </c>
      <c r="R1602" s="42" t="inlineStr">
        <is>
          <t>중개거래</t>
        </is>
      </c>
      <c r="S1602" s="42" t="inlineStr">
        <is>
          <t>서울 서초구</t>
        </is>
      </c>
      <c r="T1602" s="41" t="inlineStr">
        <is>
          <t>24.06.27</t>
        </is>
      </c>
      <c r="U1602" s="42" t="inlineStr">
        <is>
          <t>아파트</t>
        </is>
      </c>
    </row>
    <row r="1603" hidden="1" ht="14.25" customHeight="1">
      <c r="A1603" s="41" t="n">
        <v>1070</v>
      </c>
      <c r="B1603" s="42" t="inlineStr">
        <is>
          <t>서울특별시 서초구 서초동</t>
        </is>
      </c>
      <c r="C1603" s="41" t="inlineStr">
        <is>
          <t>1755</t>
        </is>
      </c>
      <c r="D1603" s="41" t="inlineStr">
        <is>
          <t>1755</t>
        </is>
      </c>
      <c r="E1603" s="41" t="inlineStr">
        <is>
          <t>0000</t>
        </is>
      </c>
      <c r="F1603" s="42" t="inlineStr">
        <is>
          <t>래미안 리더스원</t>
        </is>
      </c>
      <c r="G1603" s="41" t="inlineStr">
        <is>
          <t>114.9400</t>
        </is>
      </c>
      <c r="H1603" s="41" t="inlineStr">
        <is>
          <t>202405</t>
        </is>
      </c>
      <c r="I1603" s="41" t="inlineStr">
        <is>
          <t>04</t>
        </is>
      </c>
      <c r="J1603" s="41" t="inlineStr">
        <is>
          <t>356,000</t>
        </is>
      </c>
      <c r="K1603" s="41" t="inlineStr">
        <is>
          <t>109동</t>
        </is>
      </c>
      <c r="L1603" s="41" t="inlineStr">
        <is>
          <t>10</t>
        </is>
      </c>
      <c r="M1603" s="42" t="inlineStr">
        <is>
          <t>개인</t>
        </is>
      </c>
      <c r="N1603" s="42" t="inlineStr">
        <is>
          <t>개인</t>
        </is>
      </c>
      <c r="O1603" s="41" t="inlineStr">
        <is>
          <t>2020</t>
        </is>
      </c>
      <c r="P1603" s="42" t="inlineStr">
        <is>
          <t>서운로 62</t>
        </is>
      </c>
      <c r="Q1603" s="41" t="inlineStr">
        <is>
          <t>-</t>
        </is>
      </c>
      <c r="R1603" s="42" t="inlineStr">
        <is>
          <t>중개거래</t>
        </is>
      </c>
      <c r="S1603" s="42" t="inlineStr">
        <is>
          <t>서울 서초구</t>
        </is>
      </c>
      <c r="T1603" s="41" t="inlineStr">
        <is>
          <t>24.06.20</t>
        </is>
      </c>
      <c r="U1603" s="42" t="inlineStr">
        <is>
          <t>아파트</t>
        </is>
      </c>
    </row>
    <row r="1604" hidden="1" ht="14.25" customHeight="1">
      <c r="A1604" s="41" t="n">
        <v>1071</v>
      </c>
      <c r="B1604" s="42" t="inlineStr">
        <is>
          <t>서울특별시 서초구 서초동</t>
        </is>
      </c>
      <c r="C1604" s="41" t="inlineStr">
        <is>
          <t>1333</t>
        </is>
      </c>
      <c r="D1604" s="41" t="inlineStr">
        <is>
          <t>1333</t>
        </is>
      </c>
      <c r="E1604" s="41" t="inlineStr">
        <is>
          <t>0000</t>
        </is>
      </c>
      <c r="F1604" s="42" t="inlineStr">
        <is>
          <t>신동아아파트(1차)</t>
        </is>
      </c>
      <c r="G1604" s="41" t="inlineStr">
        <is>
          <t>88.6800</t>
        </is>
      </c>
      <c r="H1604" s="41" t="inlineStr">
        <is>
          <t>202405</t>
        </is>
      </c>
      <c r="I1604" s="41" t="inlineStr">
        <is>
          <t>04</t>
        </is>
      </c>
      <c r="J1604" s="41" t="inlineStr">
        <is>
          <t>197,000</t>
        </is>
      </c>
      <c r="K1604" s="41" t="inlineStr">
        <is>
          <t>1</t>
        </is>
      </c>
      <c r="L1604" s="41" t="inlineStr">
        <is>
          <t>2</t>
        </is>
      </c>
      <c r="M1604" s="42" t="inlineStr">
        <is>
          <t>개인</t>
        </is>
      </c>
      <c r="N1604" s="42" t="inlineStr">
        <is>
          <t>개인</t>
        </is>
      </c>
      <c r="O1604" s="41" t="inlineStr">
        <is>
          <t>1978</t>
        </is>
      </c>
      <c r="P1604" s="42" t="inlineStr">
        <is>
          <t>사임당로 137</t>
        </is>
      </c>
      <c r="Q1604" s="41" t="inlineStr">
        <is>
          <t>-</t>
        </is>
      </c>
      <c r="R1604" s="42" t="inlineStr">
        <is>
          <t>중개거래</t>
        </is>
      </c>
      <c r="S1604" s="42" t="inlineStr">
        <is>
          <t>서울 서초구</t>
        </is>
      </c>
      <c r="T1604" s="41" t="inlineStr">
        <is>
          <t>24.07.24</t>
        </is>
      </c>
      <c r="U1604" s="42" t="inlineStr">
        <is>
          <t>아파트</t>
        </is>
      </c>
    </row>
    <row r="1605" hidden="1" ht="14.25" customHeight="1">
      <c r="A1605" s="41" t="n">
        <v>1072</v>
      </c>
      <c r="B1605" s="42" t="inlineStr">
        <is>
          <t>서울특별시 서초구 서초동</t>
        </is>
      </c>
      <c r="C1605" s="41" t="inlineStr">
        <is>
          <t>1509-1</t>
        </is>
      </c>
      <c r="D1605" s="41" t="inlineStr">
        <is>
          <t>1509</t>
        </is>
      </c>
      <c r="E1605" s="41" t="inlineStr">
        <is>
          <t>0001</t>
        </is>
      </c>
      <c r="F1605" s="42" t="inlineStr">
        <is>
          <t>서초한빛삼성</t>
        </is>
      </c>
      <c r="G1605" s="41" t="inlineStr">
        <is>
          <t>110.5900</t>
        </is>
      </c>
      <c r="H1605" s="41" t="inlineStr">
        <is>
          <t>202405</t>
        </is>
      </c>
      <c r="I1605" s="41" t="inlineStr">
        <is>
          <t>04</t>
        </is>
      </c>
      <c r="J1605" s="41" t="inlineStr">
        <is>
          <t>188,000</t>
        </is>
      </c>
      <c r="K1605" s="41" t="inlineStr">
        <is>
          <t>101</t>
        </is>
      </c>
      <c r="L1605" s="41" t="inlineStr">
        <is>
          <t>10</t>
        </is>
      </c>
      <c r="M1605" s="42" t="inlineStr">
        <is>
          <t>개인</t>
        </is>
      </c>
      <c r="N1605" s="42" t="inlineStr">
        <is>
          <t>개인</t>
        </is>
      </c>
      <c r="O1605" s="41" t="inlineStr">
        <is>
          <t>1999</t>
        </is>
      </c>
      <c r="P1605" s="42" t="inlineStr">
        <is>
          <t>서초대로40길 72</t>
        </is>
      </c>
      <c r="Q1605" s="41" t="inlineStr">
        <is>
          <t>-</t>
        </is>
      </c>
      <c r="R1605" s="42" t="inlineStr">
        <is>
          <t>중개거래</t>
        </is>
      </c>
      <c r="S1605" s="42" t="inlineStr">
        <is>
          <t>서울 서초구</t>
        </is>
      </c>
      <c r="T1605" s="41" t="inlineStr">
        <is>
          <t>24.08.09</t>
        </is>
      </c>
      <c r="U1605" s="42" t="inlineStr">
        <is>
          <t>아파트</t>
        </is>
      </c>
    </row>
    <row r="1606" hidden="1" ht="14.25" customHeight="1">
      <c r="A1606" s="41" t="n">
        <v>1073</v>
      </c>
      <c r="B1606" s="42" t="inlineStr">
        <is>
          <t>서울특별시 서초구 서초동</t>
        </is>
      </c>
      <c r="C1606" s="41" t="inlineStr">
        <is>
          <t>1685</t>
        </is>
      </c>
      <c r="D1606" s="41" t="inlineStr">
        <is>
          <t>1685</t>
        </is>
      </c>
      <c r="E1606" s="41" t="inlineStr">
        <is>
          <t>0000</t>
        </is>
      </c>
      <c r="F1606" s="42" t="inlineStr">
        <is>
          <t>삼풍아파트</t>
        </is>
      </c>
      <c r="G1606" s="41" t="inlineStr">
        <is>
          <t>130.2300</t>
        </is>
      </c>
      <c r="H1606" s="41" t="inlineStr">
        <is>
          <t>202405</t>
        </is>
      </c>
      <c r="I1606" s="41" t="inlineStr">
        <is>
          <t>04</t>
        </is>
      </c>
      <c r="J1606" s="41" t="inlineStr">
        <is>
          <t>324,000</t>
        </is>
      </c>
      <c r="K1606" s="41" t="inlineStr">
        <is>
          <t>11</t>
        </is>
      </c>
      <c r="L1606" s="41" t="inlineStr">
        <is>
          <t>14</t>
        </is>
      </c>
      <c r="M1606" s="42" t="inlineStr">
        <is>
          <t>개인</t>
        </is>
      </c>
      <c r="N1606" s="42" t="inlineStr">
        <is>
          <t>개인</t>
        </is>
      </c>
      <c r="O1606" s="41" t="inlineStr">
        <is>
          <t>1988</t>
        </is>
      </c>
      <c r="P1606" s="42" t="inlineStr">
        <is>
          <t>서초중앙로 200</t>
        </is>
      </c>
      <c r="Q1606" s="41" t="inlineStr">
        <is>
          <t>-</t>
        </is>
      </c>
      <c r="R1606" s="42" t="inlineStr">
        <is>
          <t>중개거래</t>
        </is>
      </c>
      <c r="S1606" s="42" t="inlineStr">
        <is>
          <t>서울 서초구</t>
        </is>
      </c>
      <c r="T1606" s="41" t="inlineStr">
        <is>
          <t>24.08.22</t>
        </is>
      </c>
      <c r="U1606" s="42" t="inlineStr">
        <is>
          <t>아파트</t>
        </is>
      </c>
    </row>
    <row r="1607" hidden="1" ht="14.25" customHeight="1">
      <c r="A1607" s="41" t="n">
        <v>1074</v>
      </c>
      <c r="B1607" s="42" t="inlineStr">
        <is>
          <t>서울특별시 서초구 서초동</t>
        </is>
      </c>
      <c r="C1607" s="41" t="inlineStr">
        <is>
          <t>1641-1</t>
        </is>
      </c>
      <c r="D1607" s="41" t="inlineStr">
        <is>
          <t>1641</t>
        </is>
      </c>
      <c r="E1607" s="41" t="inlineStr">
        <is>
          <t>0001</t>
        </is>
      </c>
      <c r="F1607" s="42" t="inlineStr">
        <is>
          <t>서초삼성래미안</t>
        </is>
      </c>
      <c r="G1607" s="41" t="inlineStr">
        <is>
          <t>150.2500</t>
        </is>
      </c>
      <c r="H1607" s="41" t="inlineStr">
        <is>
          <t>202405</t>
        </is>
      </c>
      <c r="I1607" s="41" t="inlineStr">
        <is>
          <t>04</t>
        </is>
      </c>
      <c r="J1607" s="41" t="inlineStr">
        <is>
          <t>240,000</t>
        </is>
      </c>
      <c r="K1607" s="41" t="inlineStr">
        <is>
          <t>102</t>
        </is>
      </c>
      <c r="L1607" s="41" t="inlineStr">
        <is>
          <t>14</t>
        </is>
      </c>
      <c r="M1607" s="42" t="inlineStr">
        <is>
          <t>개인</t>
        </is>
      </c>
      <c r="N1607" s="42" t="inlineStr">
        <is>
          <t>개인</t>
        </is>
      </c>
      <c r="O1607" s="41" t="inlineStr">
        <is>
          <t>2001</t>
        </is>
      </c>
      <c r="P1607" s="42" t="inlineStr">
        <is>
          <t>사임당로17길 116</t>
        </is>
      </c>
      <c r="Q1607" s="41" t="inlineStr">
        <is>
          <t>-</t>
        </is>
      </c>
      <c r="R1607" s="42" t="inlineStr">
        <is>
          <t>중개거래</t>
        </is>
      </c>
      <c r="S1607" s="42" t="inlineStr">
        <is>
          <t>서울 서초구</t>
        </is>
      </c>
      <c r="T1607" s="41" t="inlineStr">
        <is>
          <t>24.06.04</t>
        </is>
      </c>
      <c r="U1607" s="42" t="inlineStr">
        <is>
          <t>아파트</t>
        </is>
      </c>
    </row>
    <row r="1608" hidden="1" ht="14.25" customHeight="1">
      <c r="A1608" s="41" t="n">
        <v>1075</v>
      </c>
      <c r="B1608" s="42" t="inlineStr">
        <is>
          <t>서울특별시 서초구 서초동</t>
        </is>
      </c>
      <c r="C1608" s="41" t="inlineStr">
        <is>
          <t>1757</t>
        </is>
      </c>
      <c r="D1608" s="41" t="inlineStr">
        <is>
          <t>1757</t>
        </is>
      </c>
      <c r="E1608" s="41" t="inlineStr">
        <is>
          <t>0000</t>
        </is>
      </c>
      <c r="F1608" s="42" t="inlineStr">
        <is>
          <t>서초그랑자이</t>
        </is>
      </c>
      <c r="G1608" s="41" t="inlineStr">
        <is>
          <t>84.5100</t>
        </is>
      </c>
      <c r="H1608" s="41" t="inlineStr">
        <is>
          <t>202405</t>
        </is>
      </c>
      <c r="I1608" s="41" t="inlineStr">
        <is>
          <t>04</t>
        </is>
      </c>
      <c r="J1608" s="41" t="inlineStr">
        <is>
          <t>297,000</t>
        </is>
      </c>
      <c r="K1608" s="41" t="inlineStr">
        <is>
          <t>103동</t>
        </is>
      </c>
      <c r="L1608" s="41" t="inlineStr">
        <is>
          <t>21</t>
        </is>
      </c>
      <c r="M1608" s="42" t="inlineStr">
        <is>
          <t>개인</t>
        </is>
      </c>
      <c r="N1608" s="42" t="inlineStr">
        <is>
          <t>개인</t>
        </is>
      </c>
      <c r="O1608" s="41" t="inlineStr">
        <is>
          <t>2021</t>
        </is>
      </c>
      <c r="P1608" s="42" t="inlineStr">
        <is>
          <t>효령로 391</t>
        </is>
      </c>
      <c r="Q1608" s="41" t="inlineStr">
        <is>
          <t>-</t>
        </is>
      </c>
      <c r="R1608" s="42" t="inlineStr">
        <is>
          <t>중개거래</t>
        </is>
      </c>
      <c r="S1608" s="42" t="inlineStr">
        <is>
          <t>서울 서초구</t>
        </is>
      </c>
      <c r="T1608" s="41" t="inlineStr">
        <is>
          <t>24.08.29</t>
        </is>
      </c>
      <c r="U1608" s="42" t="inlineStr">
        <is>
          <t>아파트</t>
        </is>
      </c>
    </row>
    <row r="1609" hidden="1" ht="14.25" customHeight="1">
      <c r="A1609" s="41" t="n">
        <v>1076</v>
      </c>
      <c r="B1609" s="42" t="inlineStr">
        <is>
          <t>서울특별시 서초구 서초동</t>
        </is>
      </c>
      <c r="C1609" s="41" t="inlineStr">
        <is>
          <t>1755</t>
        </is>
      </c>
      <c r="D1609" s="41" t="inlineStr">
        <is>
          <t>1755</t>
        </is>
      </c>
      <c r="E1609" s="41" t="inlineStr">
        <is>
          <t>0000</t>
        </is>
      </c>
      <c r="F1609" s="42" t="inlineStr">
        <is>
          <t>래미안 리더스원</t>
        </is>
      </c>
      <c r="G1609" s="41" t="inlineStr">
        <is>
          <t>114.9400</t>
        </is>
      </c>
      <c r="H1609" s="41" t="inlineStr">
        <is>
          <t>202405</t>
        </is>
      </c>
      <c r="I1609" s="41" t="inlineStr">
        <is>
          <t>04</t>
        </is>
      </c>
      <c r="J1609" s="41" t="inlineStr">
        <is>
          <t>361,000</t>
        </is>
      </c>
      <c r="K1609" s="41" t="inlineStr">
        <is>
          <t>104동</t>
        </is>
      </c>
      <c r="L1609" s="41" t="inlineStr">
        <is>
          <t>26</t>
        </is>
      </c>
      <c r="M1609" s="42" t="inlineStr">
        <is>
          <t>개인</t>
        </is>
      </c>
      <c r="N1609" s="42" t="inlineStr">
        <is>
          <t>개인</t>
        </is>
      </c>
      <c r="O1609" s="41" t="inlineStr">
        <is>
          <t>2020</t>
        </is>
      </c>
      <c r="P1609" s="42" t="inlineStr">
        <is>
          <t>서운로 62</t>
        </is>
      </c>
      <c r="Q1609" s="41" t="inlineStr">
        <is>
          <t>-</t>
        </is>
      </c>
      <c r="R1609" s="42" t="inlineStr">
        <is>
          <t>중개거래</t>
        </is>
      </c>
      <c r="S1609" s="42" t="inlineStr">
        <is>
          <t>서울 서초구</t>
        </is>
      </c>
      <c r="T1609" s="41" t="inlineStr">
        <is>
          <t>24.07.22</t>
        </is>
      </c>
      <c r="U1609" s="42" t="inlineStr">
        <is>
          <t>아파트</t>
        </is>
      </c>
    </row>
    <row r="1610" hidden="1" ht="14.25" customHeight="1">
      <c r="A1610" s="41" t="n">
        <v>1077</v>
      </c>
      <c r="B1610" s="42" t="inlineStr">
        <is>
          <t>서울특별시 서초구 서초동</t>
        </is>
      </c>
      <c r="C1610" s="41" t="inlineStr">
        <is>
          <t>1754</t>
        </is>
      </c>
      <c r="D1610" s="41" t="inlineStr">
        <is>
          <t>1754</t>
        </is>
      </c>
      <c r="E1610" s="41" t="inlineStr">
        <is>
          <t>0000</t>
        </is>
      </c>
      <c r="F1610" s="42" t="inlineStr">
        <is>
          <t>래미안서초에스티지S</t>
        </is>
      </c>
      <c r="G1610" s="41" t="inlineStr">
        <is>
          <t>111.9500</t>
        </is>
      </c>
      <c r="H1610" s="41" t="inlineStr">
        <is>
          <t>202405</t>
        </is>
      </c>
      <c r="I1610" s="41" t="inlineStr">
        <is>
          <t>04</t>
        </is>
      </c>
      <c r="J1610" s="41" t="inlineStr">
        <is>
          <t>319,000</t>
        </is>
      </c>
      <c r="K1610" s="41" t="inlineStr">
        <is>
          <t>203</t>
        </is>
      </c>
      <c r="L1610" s="41" t="inlineStr">
        <is>
          <t>14</t>
        </is>
      </c>
      <c r="M1610" s="42" t="inlineStr">
        <is>
          <t>개인</t>
        </is>
      </c>
      <c r="N1610" s="42" t="inlineStr">
        <is>
          <t>개인</t>
        </is>
      </c>
      <c r="O1610" s="41" t="inlineStr">
        <is>
          <t>2018</t>
        </is>
      </c>
      <c r="P1610" s="42" t="inlineStr">
        <is>
          <t>서운로 104</t>
        </is>
      </c>
      <c r="Q1610" s="41" t="inlineStr">
        <is>
          <t>-</t>
        </is>
      </c>
      <c r="R1610" s="42" t="inlineStr">
        <is>
          <t>중개거래</t>
        </is>
      </c>
      <c r="S1610" s="42" t="inlineStr">
        <is>
          <t>서울 서초구</t>
        </is>
      </c>
      <c r="T1610" s="41" t="inlineStr">
        <is>
          <t>24.09.03</t>
        </is>
      </c>
      <c r="U1610" s="42" t="inlineStr">
        <is>
          <t>아파트</t>
        </is>
      </c>
    </row>
    <row r="1611" hidden="1" ht="14.25" customHeight="1">
      <c r="A1611" s="41" t="n">
        <v>1078</v>
      </c>
      <c r="B1611" s="42" t="inlineStr">
        <is>
          <t>서울특별시 서초구 서초동</t>
        </is>
      </c>
      <c r="C1611" s="41" t="inlineStr">
        <is>
          <t>1687</t>
        </is>
      </c>
      <c r="D1611" s="41" t="inlineStr">
        <is>
          <t>1687</t>
        </is>
      </c>
      <c r="E1611" s="41" t="inlineStr">
        <is>
          <t>0000</t>
        </is>
      </c>
      <c r="F1611" s="42" t="inlineStr">
        <is>
          <t>유원서초</t>
        </is>
      </c>
      <c r="G1611" s="41" t="inlineStr">
        <is>
          <t>84.8200</t>
        </is>
      </c>
      <c r="H1611" s="41" t="inlineStr">
        <is>
          <t>202405</t>
        </is>
      </c>
      <c r="I1611" s="41" t="inlineStr">
        <is>
          <t>03</t>
        </is>
      </c>
      <c r="J1611" s="41" t="inlineStr">
        <is>
          <t>182,000</t>
        </is>
      </c>
      <c r="K1611" s="41" t="inlineStr">
        <is>
          <t>102</t>
        </is>
      </c>
      <c r="L1611" s="41" t="inlineStr">
        <is>
          <t>18</t>
        </is>
      </c>
      <c r="M1611" s="42" t="inlineStr">
        <is>
          <t>개인</t>
        </is>
      </c>
      <c r="N1611" s="42" t="inlineStr">
        <is>
          <t>개인</t>
        </is>
      </c>
      <c r="O1611" s="41" t="inlineStr">
        <is>
          <t>1993</t>
        </is>
      </c>
      <c r="P1611" s="42" t="inlineStr">
        <is>
          <t>서초중앙로24길 43</t>
        </is>
      </c>
      <c r="Q1611" s="41" t="inlineStr">
        <is>
          <t>-</t>
        </is>
      </c>
      <c r="R1611" s="42" t="inlineStr">
        <is>
          <t>중개거래</t>
        </is>
      </c>
      <c r="S1611" s="42" t="inlineStr">
        <is>
          <t>서울 서초구</t>
        </is>
      </c>
      <c r="T1611" s="41" t="inlineStr">
        <is>
          <t>24.06.28</t>
        </is>
      </c>
      <c r="U1611" s="42" t="inlineStr">
        <is>
          <t>아파트</t>
        </is>
      </c>
    </row>
    <row r="1612" hidden="1" ht="14.25" customHeight="1">
      <c r="A1612" s="41" t="n">
        <v>1079</v>
      </c>
      <c r="B1612" s="42" t="inlineStr">
        <is>
          <t>서울특별시 서초구 서초동</t>
        </is>
      </c>
      <c r="C1612" s="41" t="inlineStr">
        <is>
          <t>1757</t>
        </is>
      </c>
      <c r="D1612" s="41" t="inlineStr">
        <is>
          <t>1757</t>
        </is>
      </c>
      <c r="E1612" s="41" t="inlineStr">
        <is>
          <t>0000</t>
        </is>
      </c>
      <c r="F1612" s="42" t="inlineStr">
        <is>
          <t>서초그랑자이</t>
        </is>
      </c>
      <c r="G1612" s="41" t="inlineStr">
        <is>
          <t>100.3100</t>
        </is>
      </c>
      <c r="H1612" s="41" t="inlineStr">
        <is>
          <t>202405</t>
        </is>
      </c>
      <c r="I1612" s="41" t="inlineStr">
        <is>
          <t>03</t>
        </is>
      </c>
      <c r="J1612" s="41" t="inlineStr">
        <is>
          <t>347,000</t>
        </is>
      </c>
      <c r="K1612" s="41" t="inlineStr">
        <is>
          <t>103동</t>
        </is>
      </c>
      <c r="L1612" s="41" t="inlineStr">
        <is>
          <t>27</t>
        </is>
      </c>
      <c r="M1612" s="42" t="inlineStr">
        <is>
          <t>개인</t>
        </is>
      </c>
      <c r="N1612" s="42" t="inlineStr">
        <is>
          <t>개인</t>
        </is>
      </c>
      <c r="O1612" s="41" t="inlineStr">
        <is>
          <t>2021</t>
        </is>
      </c>
      <c r="P1612" s="42" t="inlineStr">
        <is>
          <t>효령로 391</t>
        </is>
      </c>
      <c r="Q1612" s="41" t="inlineStr">
        <is>
          <t>-</t>
        </is>
      </c>
      <c r="R1612" s="42" t="inlineStr">
        <is>
          <t>중개거래</t>
        </is>
      </c>
      <c r="S1612" s="42" t="inlineStr">
        <is>
          <t>서울 서초구</t>
        </is>
      </c>
      <c r="T1612" s="41" t="inlineStr">
        <is>
          <t>24.05.28</t>
        </is>
      </c>
      <c r="U1612" s="42" t="inlineStr">
        <is>
          <t>아파트</t>
        </is>
      </c>
    </row>
    <row r="1613" hidden="1" ht="14.25" customHeight="1">
      <c r="A1613" s="41" t="n">
        <v>1080</v>
      </c>
      <c r="B1613" s="42" t="inlineStr">
        <is>
          <t>서울특별시 서초구 서초동</t>
        </is>
      </c>
      <c r="C1613" s="41" t="inlineStr">
        <is>
          <t>1311-10</t>
        </is>
      </c>
      <c r="D1613" s="41" t="inlineStr">
        <is>
          <t>1311</t>
        </is>
      </c>
      <c r="E1613" s="41" t="inlineStr">
        <is>
          <t>0010</t>
        </is>
      </c>
      <c r="F1613" s="42" t="inlineStr">
        <is>
          <t>서초푸르지오써밋</t>
        </is>
      </c>
      <c r="G1613" s="41" t="inlineStr">
        <is>
          <t>84.9300</t>
        </is>
      </c>
      <c r="H1613" s="41" t="inlineStr">
        <is>
          <t>202405</t>
        </is>
      </c>
      <c r="I1613" s="41" t="inlineStr">
        <is>
          <t>02</t>
        </is>
      </c>
      <c r="J1613" s="41" t="inlineStr">
        <is>
          <t>257,000</t>
        </is>
      </c>
      <c r="K1613" s="41" t="inlineStr">
        <is>
          <t>105</t>
        </is>
      </c>
      <c r="L1613" s="41" t="inlineStr">
        <is>
          <t>5</t>
        </is>
      </c>
      <c r="M1613" s="42" t="inlineStr">
        <is>
          <t>개인</t>
        </is>
      </c>
      <c r="N1613" s="42" t="inlineStr">
        <is>
          <t>개인</t>
        </is>
      </c>
      <c r="O1613" s="41" t="inlineStr">
        <is>
          <t>2017</t>
        </is>
      </c>
      <c r="P1613" s="42" t="inlineStr">
        <is>
          <t>서운로 201</t>
        </is>
      </c>
      <c r="Q1613" s="41" t="inlineStr">
        <is>
          <t>-</t>
        </is>
      </c>
      <c r="R1613" s="42" t="inlineStr">
        <is>
          <t>중개거래</t>
        </is>
      </c>
      <c r="S1613" s="42" t="inlineStr">
        <is>
          <t>서울 서초구</t>
        </is>
      </c>
      <c r="T1613" s="41" t="inlineStr">
        <is>
          <t>24.10.31</t>
        </is>
      </c>
      <c r="U1613" s="42" t="inlineStr">
        <is>
          <t>아파트</t>
        </is>
      </c>
    </row>
    <row r="1614" hidden="1" ht="14.25" customHeight="1">
      <c r="A1614" s="41" t="n">
        <v>1081</v>
      </c>
      <c r="B1614" s="42" t="inlineStr">
        <is>
          <t>서울특별시 서초구 서초동</t>
        </is>
      </c>
      <c r="C1614" s="41" t="inlineStr">
        <is>
          <t>1315</t>
        </is>
      </c>
      <c r="D1614" s="41" t="inlineStr">
        <is>
          <t>1315</t>
        </is>
      </c>
      <c r="E1614" s="41" t="inlineStr">
        <is>
          <t>0000</t>
        </is>
      </c>
      <c r="F1614" s="42" t="inlineStr">
        <is>
          <t>진흥아파트</t>
        </is>
      </c>
      <c r="G1614" s="41" t="inlineStr">
        <is>
          <t>101.3200</t>
        </is>
      </c>
      <c r="H1614" s="41" t="inlineStr">
        <is>
          <t>202405</t>
        </is>
      </c>
      <c r="I1614" s="41" t="inlineStr">
        <is>
          <t>02</t>
        </is>
      </c>
      <c r="J1614" s="41" t="inlineStr">
        <is>
          <t>220,000</t>
        </is>
      </c>
      <c r="K1614" s="41" t="inlineStr">
        <is>
          <t>1</t>
        </is>
      </c>
      <c r="L1614" s="41" t="inlineStr">
        <is>
          <t>8</t>
        </is>
      </c>
      <c r="M1614" s="42" t="inlineStr">
        <is>
          <t>개인</t>
        </is>
      </c>
      <c r="N1614" s="42" t="inlineStr">
        <is>
          <t>개인</t>
        </is>
      </c>
      <c r="O1614" s="41" t="inlineStr">
        <is>
          <t>1979</t>
        </is>
      </c>
      <c r="P1614" s="42" t="inlineStr">
        <is>
          <t>서초대로 385</t>
        </is>
      </c>
      <c r="Q1614" s="41" t="inlineStr">
        <is>
          <t>-</t>
        </is>
      </c>
      <c r="R1614" s="42" t="inlineStr">
        <is>
          <t>중개거래</t>
        </is>
      </c>
      <c r="S1614" s="42" t="inlineStr">
        <is>
          <t>서울 서초구</t>
        </is>
      </c>
      <c r="T1614" s="41" t="inlineStr">
        <is>
          <t>24.07.09</t>
        </is>
      </c>
      <c r="U1614" s="42" t="inlineStr">
        <is>
          <t>아파트</t>
        </is>
      </c>
    </row>
    <row r="1615" hidden="1" ht="14.25" customHeight="1">
      <c r="A1615" s="41" t="n">
        <v>1082</v>
      </c>
      <c r="B1615" s="42" t="inlineStr">
        <is>
          <t>서울특별시 서초구 서초동</t>
        </is>
      </c>
      <c r="C1615" s="41" t="inlineStr">
        <is>
          <t>1686-9</t>
        </is>
      </c>
      <c r="D1615" s="41" t="inlineStr">
        <is>
          <t>1686</t>
        </is>
      </c>
      <c r="E1615" s="41" t="inlineStr">
        <is>
          <t>0009</t>
        </is>
      </c>
      <c r="F1615" s="42" t="inlineStr">
        <is>
          <t>서초교대e편한세상</t>
        </is>
      </c>
      <c r="G1615" s="41" t="inlineStr">
        <is>
          <t>59.9300</t>
        </is>
      </c>
      <c r="H1615" s="41" t="inlineStr">
        <is>
          <t>202405</t>
        </is>
      </c>
      <c r="I1615" s="41" t="inlineStr">
        <is>
          <t>02</t>
        </is>
      </c>
      <c r="J1615" s="41" t="inlineStr">
        <is>
          <t>209,000</t>
        </is>
      </c>
      <c r="K1615" s="41" t="inlineStr">
        <is>
          <t>105</t>
        </is>
      </c>
      <c r="L1615" s="41" t="inlineStr">
        <is>
          <t>14</t>
        </is>
      </c>
      <c r="M1615" s="42" t="inlineStr">
        <is>
          <t>개인</t>
        </is>
      </c>
      <c r="N1615" s="42" t="inlineStr">
        <is>
          <t>개인</t>
        </is>
      </c>
      <c r="O1615" s="41" t="inlineStr">
        <is>
          <t>2010</t>
        </is>
      </c>
      <c r="P1615" s="42" t="inlineStr">
        <is>
          <t>서초중앙로24길 33</t>
        </is>
      </c>
      <c r="Q1615" s="41" t="inlineStr">
        <is>
          <t>-</t>
        </is>
      </c>
      <c r="R1615" s="42" t="inlineStr">
        <is>
          <t>중개거래</t>
        </is>
      </c>
      <c r="S1615" s="42" t="inlineStr">
        <is>
          <t>서울 서초구</t>
        </is>
      </c>
      <c r="T1615" s="41" t="inlineStr">
        <is>
          <t>24.08.09</t>
        </is>
      </c>
      <c r="U1615" s="42" t="inlineStr">
        <is>
          <t>아파트</t>
        </is>
      </c>
    </row>
    <row r="1616" hidden="1" ht="14.25" customHeight="1">
      <c r="A1616" s="41" t="n">
        <v>1083</v>
      </c>
      <c r="B1616" s="42" t="inlineStr">
        <is>
          <t>서울특별시 서초구 서초동</t>
        </is>
      </c>
      <c r="C1616" s="41" t="inlineStr">
        <is>
          <t>1337-3</t>
        </is>
      </c>
      <c r="D1616" s="41" t="inlineStr">
        <is>
          <t>1337</t>
        </is>
      </c>
      <c r="E1616" s="41" t="inlineStr">
        <is>
          <t>0003</t>
        </is>
      </c>
      <c r="F1616" s="41" t="inlineStr">
        <is>
          <t>urbanplace</t>
        </is>
      </c>
      <c r="G1616" s="41" t="inlineStr">
        <is>
          <t>21.0700</t>
        </is>
      </c>
      <c r="H1616" s="41" t="inlineStr">
        <is>
          <t>202405</t>
        </is>
      </c>
      <c r="I1616" s="41" t="inlineStr">
        <is>
          <t>01</t>
        </is>
      </c>
      <c r="J1616" s="41" t="inlineStr">
        <is>
          <t>21,000</t>
        </is>
      </c>
      <c r="K1616" s="41" t="inlineStr">
        <is>
          <t>1</t>
        </is>
      </c>
      <c r="L1616" s="41" t="inlineStr">
        <is>
          <t>8</t>
        </is>
      </c>
      <c r="M1616" s="42" t="inlineStr">
        <is>
          <t>개인</t>
        </is>
      </c>
      <c r="N1616" s="42" t="inlineStr">
        <is>
          <t>개인</t>
        </is>
      </c>
      <c r="O1616" s="41" t="inlineStr">
        <is>
          <t>2014</t>
        </is>
      </c>
      <c r="P1616" s="42" t="inlineStr">
        <is>
          <t>효령로77길 30</t>
        </is>
      </c>
      <c r="Q1616" s="41" t="inlineStr">
        <is>
          <t>-</t>
        </is>
      </c>
      <c r="R1616" s="42" t="inlineStr">
        <is>
          <t>직거래</t>
        </is>
      </c>
      <c r="S1616" s="41" t="inlineStr">
        <is>
          <t>-</t>
        </is>
      </c>
      <c r="T1616" s="41" t="inlineStr">
        <is>
          <t>24.05.09</t>
        </is>
      </c>
      <c r="U1616" s="42" t="inlineStr">
        <is>
          <t>아파트</t>
        </is>
      </c>
    </row>
    <row r="1617" hidden="1" ht="14.25" customHeight="1">
      <c r="A1617" s="41" t="n">
        <v>1084</v>
      </c>
      <c r="B1617" s="42" t="inlineStr">
        <is>
          <t>서울특별시 서초구 서초동</t>
        </is>
      </c>
      <c r="C1617" s="41" t="inlineStr">
        <is>
          <t>1333</t>
        </is>
      </c>
      <c r="D1617" s="41" t="inlineStr">
        <is>
          <t>1333</t>
        </is>
      </c>
      <c r="E1617" s="41" t="inlineStr">
        <is>
          <t>0000</t>
        </is>
      </c>
      <c r="F1617" s="42" t="inlineStr">
        <is>
          <t>신동아아파트(1차)</t>
        </is>
      </c>
      <c r="G1617" s="41" t="inlineStr">
        <is>
          <t>101.6000</t>
        </is>
      </c>
      <c r="H1617" s="41" t="inlineStr">
        <is>
          <t>202405</t>
        </is>
      </c>
      <c r="I1617" s="41" t="inlineStr">
        <is>
          <t>01</t>
        </is>
      </c>
      <c r="J1617" s="41" t="inlineStr">
        <is>
          <t>218,000</t>
        </is>
      </c>
      <c r="K1617" s="41" t="inlineStr">
        <is>
          <t>3</t>
        </is>
      </c>
      <c r="L1617" s="41" t="inlineStr">
        <is>
          <t>3</t>
        </is>
      </c>
      <c r="M1617" s="42" t="inlineStr">
        <is>
          <t>개인</t>
        </is>
      </c>
      <c r="N1617" s="42" t="inlineStr">
        <is>
          <t>개인</t>
        </is>
      </c>
      <c r="O1617" s="41" t="inlineStr">
        <is>
          <t>1978</t>
        </is>
      </c>
      <c r="P1617" s="42" t="inlineStr">
        <is>
          <t>사임당로 137</t>
        </is>
      </c>
      <c r="Q1617" s="41" t="inlineStr">
        <is>
          <t>-</t>
        </is>
      </c>
      <c r="R1617" s="42" t="inlineStr">
        <is>
          <t>중개거래</t>
        </is>
      </c>
      <c r="S1617" s="42" t="inlineStr">
        <is>
          <t>서울 서초구</t>
        </is>
      </c>
      <c r="T1617" s="41" t="inlineStr">
        <is>
          <t>24.09.30</t>
        </is>
      </c>
      <c r="U1617" s="42" t="inlineStr">
        <is>
          <t>아파트</t>
        </is>
      </c>
    </row>
    <row r="1618" hidden="1" ht="14.25" customHeight="1">
      <c r="A1618" s="41" t="n">
        <v>1085</v>
      </c>
      <c r="B1618" s="42" t="inlineStr">
        <is>
          <t>서울특별시 서초구 서초동</t>
        </is>
      </c>
      <c r="C1618" s="41" t="inlineStr">
        <is>
          <t>1685</t>
        </is>
      </c>
      <c r="D1618" s="41" t="inlineStr">
        <is>
          <t>1685</t>
        </is>
      </c>
      <c r="E1618" s="41" t="inlineStr">
        <is>
          <t>0000</t>
        </is>
      </c>
      <c r="F1618" s="42" t="inlineStr">
        <is>
          <t>삼풍아파트</t>
        </is>
      </c>
      <c r="G1618" s="41" t="inlineStr">
        <is>
          <t>130.7300</t>
        </is>
      </c>
      <c r="H1618" s="41" t="inlineStr">
        <is>
          <t>202405</t>
        </is>
      </c>
      <c r="I1618" s="41" t="inlineStr">
        <is>
          <t>01</t>
        </is>
      </c>
      <c r="J1618" s="41" t="inlineStr">
        <is>
          <t>335,000</t>
        </is>
      </c>
      <c r="K1618" s="41" t="inlineStr">
        <is>
          <t>16</t>
        </is>
      </c>
      <c r="L1618" s="41" t="inlineStr">
        <is>
          <t>8</t>
        </is>
      </c>
      <c r="M1618" s="42" t="inlineStr">
        <is>
          <t>개인</t>
        </is>
      </c>
      <c r="N1618" s="42" t="inlineStr">
        <is>
          <t>개인</t>
        </is>
      </c>
      <c r="O1618" s="41" t="inlineStr">
        <is>
          <t>1988</t>
        </is>
      </c>
      <c r="P1618" s="42" t="inlineStr">
        <is>
          <t>서초중앙로 200</t>
        </is>
      </c>
      <c r="Q1618" s="41" t="inlineStr">
        <is>
          <t>-</t>
        </is>
      </c>
      <c r="R1618" s="42" t="inlineStr">
        <is>
          <t>중개거래</t>
        </is>
      </c>
      <c r="S1618" s="42" t="inlineStr">
        <is>
          <t>서울 서초구</t>
        </is>
      </c>
      <c r="T1618" s="41" t="inlineStr">
        <is>
          <t>24.05.27</t>
        </is>
      </c>
      <c r="U1618" s="42" t="inlineStr">
        <is>
          <t>아파트</t>
        </is>
      </c>
    </row>
    <row r="1619" hidden="1" ht="14.25" customHeight="1">
      <c r="A1619" s="41" t="n">
        <v>1086</v>
      </c>
      <c r="B1619" s="42" t="inlineStr">
        <is>
          <t>서울특별시 서초구 서초동</t>
        </is>
      </c>
      <c r="C1619" s="41" t="inlineStr">
        <is>
          <t>1363-25</t>
        </is>
      </c>
      <c r="D1619" s="41" t="inlineStr">
        <is>
          <t>1363</t>
        </is>
      </c>
      <c r="E1619" s="41" t="inlineStr">
        <is>
          <t>0025</t>
        </is>
      </c>
      <c r="F1619" s="42" t="inlineStr">
        <is>
          <t>한라비발디스튜디오193</t>
        </is>
      </c>
      <c r="G1619" s="41" t="inlineStr">
        <is>
          <t>19.9900</t>
        </is>
      </c>
      <c r="H1619" s="41" t="inlineStr">
        <is>
          <t>202405</t>
        </is>
      </c>
      <c r="I1619" s="41" t="inlineStr">
        <is>
          <t>01</t>
        </is>
      </c>
      <c r="J1619" s="41" t="inlineStr">
        <is>
          <t>26,050</t>
        </is>
      </c>
      <c r="K1619" s="42" t="inlineStr">
        <is>
          <t>한라비발디스튜디오193</t>
        </is>
      </c>
      <c r="L1619" s="41" t="inlineStr">
        <is>
          <t>6</t>
        </is>
      </c>
      <c r="M1619" s="42" t="inlineStr">
        <is>
          <t>개인</t>
        </is>
      </c>
      <c r="N1619" s="42" t="inlineStr">
        <is>
          <t>개인</t>
        </is>
      </c>
      <c r="O1619" s="41" t="inlineStr">
        <is>
          <t>2013</t>
        </is>
      </c>
      <c r="P1619" s="42" t="inlineStr">
        <is>
          <t>강남대로39길 15-10</t>
        </is>
      </c>
      <c r="Q1619" s="41" t="inlineStr">
        <is>
          <t>-</t>
        </is>
      </c>
      <c r="R1619" s="42" t="inlineStr">
        <is>
          <t>중개거래</t>
        </is>
      </c>
      <c r="S1619" s="42" t="inlineStr">
        <is>
          <t>서울 서초구</t>
        </is>
      </c>
      <c r="T1619" s="41" t="inlineStr">
        <is>
          <t>24.06.21</t>
        </is>
      </c>
      <c r="U1619" s="42" t="inlineStr">
        <is>
          <t>아파트</t>
        </is>
      </c>
    </row>
    <row r="1620" hidden="1" ht="14.25" customHeight="1">
      <c r="A1620" s="41" t="n">
        <v>1087</v>
      </c>
      <c r="B1620" s="42" t="inlineStr">
        <is>
          <t>서울특별시 서초구 서초동</t>
        </is>
      </c>
      <c r="C1620" s="41" t="inlineStr">
        <is>
          <t>1333</t>
        </is>
      </c>
      <c r="D1620" s="41" t="inlineStr">
        <is>
          <t>1333</t>
        </is>
      </c>
      <c r="E1620" s="41" t="inlineStr">
        <is>
          <t>0000</t>
        </is>
      </c>
      <c r="F1620" s="42" t="inlineStr">
        <is>
          <t>신동아아파트(1차)</t>
        </is>
      </c>
      <c r="G1620" s="41" t="inlineStr">
        <is>
          <t>88.6800</t>
        </is>
      </c>
      <c r="H1620" s="41" t="inlineStr">
        <is>
          <t>202404</t>
        </is>
      </c>
      <c r="I1620" s="41" t="inlineStr">
        <is>
          <t>30</t>
        </is>
      </c>
      <c r="J1620" s="41" t="inlineStr">
        <is>
          <t>205,000</t>
        </is>
      </c>
      <c r="K1620" s="41" t="inlineStr">
        <is>
          <t>1</t>
        </is>
      </c>
      <c r="L1620" s="41" t="inlineStr">
        <is>
          <t>11</t>
        </is>
      </c>
      <c r="M1620" s="42" t="inlineStr">
        <is>
          <t>개인</t>
        </is>
      </c>
      <c r="N1620" s="42" t="inlineStr">
        <is>
          <t>개인</t>
        </is>
      </c>
      <c r="O1620" s="41" t="inlineStr">
        <is>
          <t>1978</t>
        </is>
      </c>
      <c r="P1620" s="42" t="inlineStr">
        <is>
          <t>사임당로 137</t>
        </is>
      </c>
      <c r="Q1620" s="41" t="inlineStr">
        <is>
          <t>-</t>
        </is>
      </c>
      <c r="R1620" s="42" t="inlineStr">
        <is>
          <t>중개거래</t>
        </is>
      </c>
      <c r="S1620" s="42" t="inlineStr">
        <is>
          <t>서울 서초구</t>
        </is>
      </c>
      <c r="T1620" s="41" t="inlineStr">
        <is>
          <t>24.06.17</t>
        </is>
      </c>
      <c r="U1620" s="42" t="inlineStr">
        <is>
          <t>아파트</t>
        </is>
      </c>
    </row>
    <row r="1621" hidden="1" ht="14.25" customHeight="1">
      <c r="A1621" s="41" t="n">
        <v>1088</v>
      </c>
      <c r="B1621" s="42" t="inlineStr">
        <is>
          <t>서울특별시 서초구 서초동</t>
        </is>
      </c>
      <c r="C1621" s="41" t="inlineStr">
        <is>
          <t>1315</t>
        </is>
      </c>
      <c r="D1621" s="41" t="inlineStr">
        <is>
          <t>1315</t>
        </is>
      </c>
      <c r="E1621" s="41" t="inlineStr">
        <is>
          <t>0000</t>
        </is>
      </c>
      <c r="F1621" s="42" t="inlineStr">
        <is>
          <t>진흥아파트</t>
        </is>
      </c>
      <c r="G1621" s="41" t="inlineStr">
        <is>
          <t>101.3200</t>
        </is>
      </c>
      <c r="H1621" s="41" t="inlineStr">
        <is>
          <t>202404</t>
        </is>
      </c>
      <c r="I1621" s="41" t="inlineStr">
        <is>
          <t>30</t>
        </is>
      </c>
      <c r="J1621" s="41" t="inlineStr">
        <is>
          <t>220,500</t>
        </is>
      </c>
      <c r="K1621" s="41" t="inlineStr">
        <is>
          <t>1</t>
        </is>
      </c>
      <c r="L1621" s="41" t="inlineStr">
        <is>
          <t>12</t>
        </is>
      </c>
      <c r="M1621" s="42" t="inlineStr">
        <is>
          <t>개인</t>
        </is>
      </c>
      <c r="N1621" s="42" t="inlineStr">
        <is>
          <t>개인</t>
        </is>
      </c>
      <c r="O1621" s="41" t="inlineStr">
        <is>
          <t>1979</t>
        </is>
      </c>
      <c r="P1621" s="42" t="inlineStr">
        <is>
          <t>서초대로 385</t>
        </is>
      </c>
      <c r="Q1621" s="41" t="inlineStr">
        <is>
          <t>-</t>
        </is>
      </c>
      <c r="R1621" s="42" t="inlineStr">
        <is>
          <t>중개거래</t>
        </is>
      </c>
      <c r="S1621" s="42" t="inlineStr">
        <is>
          <t>서울 서초구</t>
        </is>
      </c>
      <c r="T1621" s="41" t="inlineStr">
        <is>
          <t>24.07.30</t>
        </is>
      </c>
      <c r="U1621" s="42" t="inlineStr">
        <is>
          <t>아파트</t>
        </is>
      </c>
    </row>
    <row r="1622" hidden="1" ht="14.25" customHeight="1">
      <c r="A1622" s="41" t="n">
        <v>1089</v>
      </c>
      <c r="B1622" s="42" t="inlineStr">
        <is>
          <t>서울특별시 서초구 서초동</t>
        </is>
      </c>
      <c r="C1622" s="41" t="inlineStr">
        <is>
          <t>1451-89</t>
        </is>
      </c>
      <c r="D1622" s="41" t="inlineStr">
        <is>
          <t>1451</t>
        </is>
      </c>
      <c r="E1622" s="41" t="inlineStr">
        <is>
          <t>0089</t>
        </is>
      </c>
      <c r="F1622" s="42" t="inlineStr">
        <is>
          <t>서초중흥S-클래스(도시형생활주택)</t>
        </is>
      </c>
      <c r="G1622" s="41" t="inlineStr">
        <is>
          <t>18.5900</t>
        </is>
      </c>
      <c r="H1622" s="41" t="inlineStr">
        <is>
          <t>202404</t>
        </is>
      </c>
      <c r="I1622" s="41" t="inlineStr">
        <is>
          <t>30</t>
        </is>
      </c>
      <c r="J1622" s="41" t="inlineStr">
        <is>
          <t>18,000</t>
        </is>
      </c>
      <c r="K1622" s="41" t="inlineStr">
        <is>
          <t>1</t>
        </is>
      </c>
      <c r="L1622" s="41" t="inlineStr">
        <is>
          <t>5</t>
        </is>
      </c>
      <c r="M1622" s="42" t="inlineStr">
        <is>
          <t>개인</t>
        </is>
      </c>
      <c r="N1622" s="42" t="inlineStr">
        <is>
          <t>개인</t>
        </is>
      </c>
      <c r="O1622" s="41" t="inlineStr">
        <is>
          <t>2013</t>
        </is>
      </c>
      <c r="P1622" s="42" t="inlineStr">
        <is>
          <t>효령로52길 63</t>
        </is>
      </c>
      <c r="Q1622" s="41" t="inlineStr">
        <is>
          <t>-</t>
        </is>
      </c>
      <c r="R1622" s="42" t="inlineStr">
        <is>
          <t>중개거래</t>
        </is>
      </c>
      <c r="S1622" s="42" t="inlineStr">
        <is>
          <t>서울 서초구</t>
        </is>
      </c>
      <c r="T1622" s="41" t="inlineStr">
        <is>
          <t>24.07.05</t>
        </is>
      </c>
      <c r="U1622" s="42" t="inlineStr">
        <is>
          <t>아파트</t>
        </is>
      </c>
    </row>
    <row r="1623" hidden="1" ht="14.25" customHeight="1">
      <c r="A1623" s="41" t="n">
        <v>1090</v>
      </c>
      <c r="B1623" s="42" t="inlineStr">
        <is>
          <t>서울특별시 서초구 서초동</t>
        </is>
      </c>
      <c r="C1623" s="41" t="inlineStr">
        <is>
          <t>1641-13</t>
        </is>
      </c>
      <c r="D1623" s="41" t="inlineStr">
        <is>
          <t>1641</t>
        </is>
      </c>
      <c r="E1623" s="41" t="inlineStr">
        <is>
          <t>0013</t>
        </is>
      </c>
      <c r="F1623" s="42" t="inlineStr">
        <is>
          <t>아남</t>
        </is>
      </c>
      <c r="G1623" s="41" t="inlineStr">
        <is>
          <t>84.9600</t>
        </is>
      </c>
      <c r="H1623" s="41" t="inlineStr">
        <is>
          <t>202404</t>
        </is>
      </c>
      <c r="I1623" s="41" t="inlineStr">
        <is>
          <t>29</t>
        </is>
      </c>
      <c r="J1623" s="41" t="inlineStr">
        <is>
          <t>114,900</t>
        </is>
      </c>
      <c r="K1623" s="41" t="inlineStr">
        <is>
          <t>2</t>
        </is>
      </c>
      <c r="L1623" s="41" t="inlineStr">
        <is>
          <t>5</t>
        </is>
      </c>
      <c r="M1623" s="42" t="inlineStr">
        <is>
          <t>개인</t>
        </is>
      </c>
      <c r="N1623" s="42" t="inlineStr">
        <is>
          <t>개인</t>
        </is>
      </c>
      <c r="O1623" s="41" t="inlineStr">
        <is>
          <t>1989</t>
        </is>
      </c>
      <c r="P1623" s="42" t="inlineStr">
        <is>
          <t>사임당로23길 53</t>
        </is>
      </c>
      <c r="Q1623" s="41" t="inlineStr">
        <is>
          <t>-</t>
        </is>
      </c>
      <c r="R1623" s="42" t="inlineStr">
        <is>
          <t>직거래</t>
        </is>
      </c>
      <c r="S1623" s="41" t="inlineStr">
        <is>
          <t>-</t>
        </is>
      </c>
      <c r="T1623" s="41" t="inlineStr">
        <is>
          <t>24.05.02</t>
        </is>
      </c>
      <c r="U1623" s="42" t="inlineStr">
        <is>
          <t>아파트</t>
        </is>
      </c>
    </row>
    <row r="1624" hidden="1" ht="14.25" customHeight="1">
      <c r="A1624" s="41" t="n">
        <v>1091</v>
      </c>
      <c r="B1624" s="42" t="inlineStr">
        <is>
          <t>서울특별시 서초구 서초동</t>
        </is>
      </c>
      <c r="C1624" s="41" t="inlineStr">
        <is>
          <t>1542-6</t>
        </is>
      </c>
      <c r="D1624" s="41" t="inlineStr">
        <is>
          <t>1542</t>
        </is>
      </c>
      <c r="E1624" s="41" t="inlineStr">
        <is>
          <t>0006</t>
        </is>
      </c>
      <c r="F1624" s="42" t="inlineStr">
        <is>
          <t>현대ESA2</t>
        </is>
      </c>
      <c r="G1624" s="41" t="inlineStr">
        <is>
          <t>136.2500</t>
        </is>
      </c>
      <c r="H1624" s="41" t="inlineStr">
        <is>
          <t>202404</t>
        </is>
      </c>
      <c r="I1624" s="41" t="inlineStr">
        <is>
          <t>29</t>
        </is>
      </c>
      <c r="J1624" s="41" t="inlineStr">
        <is>
          <t>190,000</t>
        </is>
      </c>
      <c r="K1624" s="41" t="inlineStr">
        <is>
          <t>A</t>
        </is>
      </c>
      <c r="L1624" s="41" t="inlineStr">
        <is>
          <t>19</t>
        </is>
      </c>
      <c r="M1624" s="42" t="inlineStr">
        <is>
          <t>개인</t>
        </is>
      </c>
      <c r="N1624" s="42" t="inlineStr">
        <is>
          <t>개인</t>
        </is>
      </c>
      <c r="O1624" s="41" t="inlineStr">
        <is>
          <t>2003</t>
        </is>
      </c>
      <c r="P1624" s="42" t="inlineStr">
        <is>
          <t>반포대로 122</t>
        </is>
      </c>
      <c r="Q1624" s="41" t="inlineStr">
        <is>
          <t>-</t>
        </is>
      </c>
      <c r="R1624" s="42" t="inlineStr">
        <is>
          <t>직거래</t>
        </is>
      </c>
      <c r="S1624" s="41" t="inlineStr">
        <is>
          <t>-</t>
        </is>
      </c>
      <c r="T1624" s="41" t="inlineStr">
        <is>
          <t>25.03.25</t>
        </is>
      </c>
      <c r="U1624" s="42" t="inlineStr">
        <is>
          <t>아파트</t>
        </is>
      </c>
    </row>
    <row r="1625" hidden="1" ht="14.25" customHeight="1">
      <c r="A1625" s="41" t="n">
        <v>1092</v>
      </c>
      <c r="B1625" s="42" t="inlineStr">
        <is>
          <t>서울특별시 서초구 서초동</t>
        </is>
      </c>
      <c r="C1625" s="41" t="inlineStr">
        <is>
          <t>1311-10</t>
        </is>
      </c>
      <c r="D1625" s="41" t="inlineStr">
        <is>
          <t>1311</t>
        </is>
      </c>
      <c r="E1625" s="41" t="inlineStr">
        <is>
          <t>0010</t>
        </is>
      </c>
      <c r="F1625" s="42" t="inlineStr">
        <is>
          <t>서초푸르지오써밋</t>
        </is>
      </c>
      <c r="G1625" s="41" t="inlineStr">
        <is>
          <t>84.9500</t>
        </is>
      </c>
      <c r="H1625" s="41" t="inlineStr">
        <is>
          <t>202404</t>
        </is>
      </c>
      <c r="I1625" s="41" t="inlineStr">
        <is>
          <t>27</t>
        </is>
      </c>
      <c r="J1625" s="41" t="inlineStr">
        <is>
          <t>264,000</t>
        </is>
      </c>
      <c r="K1625" s="41" t="inlineStr">
        <is>
          <t>103</t>
        </is>
      </c>
      <c r="L1625" s="41" t="inlineStr">
        <is>
          <t>24</t>
        </is>
      </c>
      <c r="M1625" s="42" t="inlineStr">
        <is>
          <t>개인</t>
        </is>
      </c>
      <c r="N1625" s="42" t="inlineStr">
        <is>
          <t>개인</t>
        </is>
      </c>
      <c r="O1625" s="41" t="inlineStr">
        <is>
          <t>2017</t>
        </is>
      </c>
      <c r="P1625" s="42" t="inlineStr">
        <is>
          <t>서운로 201</t>
        </is>
      </c>
      <c r="Q1625" s="41" t="inlineStr">
        <is>
          <t>-</t>
        </is>
      </c>
      <c r="R1625" s="42" t="inlineStr">
        <is>
          <t>중개거래</t>
        </is>
      </c>
      <c r="S1625" s="42" t="inlineStr">
        <is>
          <t>서울 서초구</t>
        </is>
      </c>
      <c r="T1625" s="41" t="inlineStr">
        <is>
          <t>24.08.19</t>
        </is>
      </c>
      <c r="U1625" s="42" t="inlineStr">
        <is>
          <t>아파트</t>
        </is>
      </c>
    </row>
    <row r="1626" hidden="1" ht="14.25" customHeight="1">
      <c r="A1626" s="41" t="n">
        <v>1093</v>
      </c>
      <c r="B1626" s="42" t="inlineStr">
        <is>
          <t>서울특별시 서초구 서초동</t>
        </is>
      </c>
      <c r="C1626" s="41" t="inlineStr">
        <is>
          <t>1315</t>
        </is>
      </c>
      <c r="D1626" s="41" t="inlineStr">
        <is>
          <t>1315</t>
        </is>
      </c>
      <c r="E1626" s="41" t="inlineStr">
        <is>
          <t>0000</t>
        </is>
      </c>
      <c r="F1626" s="42" t="inlineStr">
        <is>
          <t>진흥아파트</t>
        </is>
      </c>
      <c r="G1626" s="41" t="inlineStr">
        <is>
          <t>101.3200</t>
        </is>
      </c>
      <c r="H1626" s="41" t="inlineStr">
        <is>
          <t>202404</t>
        </is>
      </c>
      <c r="I1626" s="41" t="inlineStr">
        <is>
          <t>27</t>
        </is>
      </c>
      <c r="J1626" s="41" t="inlineStr">
        <is>
          <t>220,000</t>
        </is>
      </c>
      <c r="K1626" s="41" t="inlineStr">
        <is>
          <t>-</t>
        </is>
      </c>
      <c r="L1626" s="41" t="inlineStr">
        <is>
          <t>9</t>
        </is>
      </c>
      <c r="M1626" s="42" t="inlineStr">
        <is>
          <t>개인</t>
        </is>
      </c>
      <c r="N1626" s="42" t="inlineStr">
        <is>
          <t>개인</t>
        </is>
      </c>
      <c r="O1626" s="41" t="inlineStr">
        <is>
          <t>1979</t>
        </is>
      </c>
      <c r="P1626" s="42" t="inlineStr">
        <is>
          <t>서초대로 385</t>
        </is>
      </c>
      <c r="Q1626" s="41" t="inlineStr">
        <is>
          <t>20240514</t>
        </is>
      </c>
      <c r="R1626" s="42" t="inlineStr">
        <is>
          <t>중개거래</t>
        </is>
      </c>
      <c r="S1626" s="42" t="inlineStr">
        <is>
          <t>서울 서초구</t>
        </is>
      </c>
      <c r="T1626" s="41" t="inlineStr">
        <is>
          <t>-</t>
        </is>
      </c>
      <c r="U1626" s="42" t="inlineStr">
        <is>
          <t>아파트</t>
        </is>
      </c>
    </row>
    <row r="1627" hidden="1" ht="14.25" customHeight="1">
      <c r="A1627" s="41" t="n">
        <v>1094</v>
      </c>
      <c r="B1627" s="42" t="inlineStr">
        <is>
          <t>서울특별시 서초구 서초동</t>
        </is>
      </c>
      <c r="C1627" s="41" t="inlineStr">
        <is>
          <t>1315</t>
        </is>
      </c>
      <c r="D1627" s="41" t="inlineStr">
        <is>
          <t>1315</t>
        </is>
      </c>
      <c r="E1627" s="41" t="inlineStr">
        <is>
          <t>0000</t>
        </is>
      </c>
      <c r="F1627" s="42" t="inlineStr">
        <is>
          <t>진흥아파트</t>
        </is>
      </c>
      <c r="G1627" s="41" t="inlineStr">
        <is>
          <t>101.3200</t>
        </is>
      </c>
      <c r="H1627" s="41" t="inlineStr">
        <is>
          <t>202404</t>
        </is>
      </c>
      <c r="I1627" s="41" t="inlineStr">
        <is>
          <t>27</t>
        </is>
      </c>
      <c r="J1627" s="41" t="inlineStr">
        <is>
          <t>220,000</t>
        </is>
      </c>
      <c r="K1627" s="41" t="inlineStr">
        <is>
          <t>1</t>
        </is>
      </c>
      <c r="L1627" s="41" t="inlineStr">
        <is>
          <t>9</t>
        </is>
      </c>
      <c r="M1627" s="42" t="inlineStr">
        <is>
          <t>개인</t>
        </is>
      </c>
      <c r="N1627" s="42" t="inlineStr">
        <is>
          <t>개인</t>
        </is>
      </c>
      <c r="O1627" s="41" t="inlineStr">
        <is>
          <t>1979</t>
        </is>
      </c>
      <c r="P1627" s="42" t="inlineStr">
        <is>
          <t>서초대로 385</t>
        </is>
      </c>
      <c r="Q1627" s="41" t="inlineStr">
        <is>
          <t>-</t>
        </is>
      </c>
      <c r="R1627" s="42" t="inlineStr">
        <is>
          <t>중개거래</t>
        </is>
      </c>
      <c r="S1627" s="42" t="inlineStr">
        <is>
          <t>서울 서초구</t>
        </is>
      </c>
      <c r="T1627" s="41" t="inlineStr">
        <is>
          <t>24.06.10</t>
        </is>
      </c>
      <c r="U1627" s="42" t="inlineStr">
        <is>
          <t>아파트</t>
        </is>
      </c>
    </row>
    <row r="1628" hidden="1" ht="14.25" customHeight="1">
      <c r="A1628" s="41" t="n">
        <v>1095</v>
      </c>
      <c r="B1628" s="42" t="inlineStr">
        <is>
          <t>서울특별시 서초구 서초동</t>
        </is>
      </c>
      <c r="C1628" s="41" t="inlineStr">
        <is>
          <t>1315</t>
        </is>
      </c>
      <c r="D1628" s="41" t="inlineStr">
        <is>
          <t>1315</t>
        </is>
      </c>
      <c r="E1628" s="41" t="inlineStr">
        <is>
          <t>0000</t>
        </is>
      </c>
      <c r="F1628" s="42" t="inlineStr">
        <is>
          <t>진흥아파트</t>
        </is>
      </c>
      <c r="G1628" s="41" t="inlineStr">
        <is>
          <t>101.3200</t>
        </is>
      </c>
      <c r="H1628" s="41" t="inlineStr">
        <is>
          <t>202404</t>
        </is>
      </c>
      <c r="I1628" s="41" t="inlineStr">
        <is>
          <t>27</t>
        </is>
      </c>
      <c r="J1628" s="41" t="inlineStr">
        <is>
          <t>215,000</t>
        </is>
      </c>
      <c r="K1628" s="41" t="inlineStr">
        <is>
          <t>1</t>
        </is>
      </c>
      <c r="L1628" s="41" t="inlineStr">
        <is>
          <t>5</t>
        </is>
      </c>
      <c r="M1628" s="42" t="inlineStr">
        <is>
          <t>개인</t>
        </is>
      </c>
      <c r="N1628" s="42" t="inlineStr">
        <is>
          <t>개인</t>
        </is>
      </c>
      <c r="O1628" s="41" t="inlineStr">
        <is>
          <t>1979</t>
        </is>
      </c>
      <c r="P1628" s="42" t="inlineStr">
        <is>
          <t>서초대로 385</t>
        </is>
      </c>
      <c r="Q1628" s="41" t="inlineStr">
        <is>
          <t>-</t>
        </is>
      </c>
      <c r="R1628" s="42" t="inlineStr">
        <is>
          <t>중개거래</t>
        </is>
      </c>
      <c r="S1628" s="42" t="inlineStr">
        <is>
          <t>서울 서초구</t>
        </is>
      </c>
      <c r="T1628" s="41" t="inlineStr">
        <is>
          <t>24.08.02</t>
        </is>
      </c>
      <c r="U1628" s="42" t="inlineStr">
        <is>
          <t>아파트</t>
        </is>
      </c>
    </row>
    <row r="1629" hidden="1" ht="14.25" customHeight="1">
      <c r="A1629" s="41" t="n">
        <v>1096</v>
      </c>
      <c r="B1629" s="42" t="inlineStr">
        <is>
          <t>서울특별시 서초구 서초동</t>
        </is>
      </c>
      <c r="C1629" s="41" t="inlineStr">
        <is>
          <t>1333</t>
        </is>
      </c>
      <c r="D1629" s="41" t="inlineStr">
        <is>
          <t>1333</t>
        </is>
      </c>
      <c r="E1629" s="41" t="inlineStr">
        <is>
          <t>0000</t>
        </is>
      </c>
      <c r="F1629" s="42" t="inlineStr">
        <is>
          <t>신동아아파트(1차)</t>
        </is>
      </c>
      <c r="G1629" s="41" t="inlineStr">
        <is>
          <t>75.8600</t>
        </is>
      </c>
      <c r="H1629" s="41" t="inlineStr">
        <is>
          <t>202404</t>
        </is>
      </c>
      <c r="I1629" s="41" t="inlineStr">
        <is>
          <t>27</t>
        </is>
      </c>
      <c r="J1629" s="41" t="inlineStr">
        <is>
          <t>178,000</t>
        </is>
      </c>
      <c r="K1629" s="41" t="inlineStr">
        <is>
          <t>1</t>
        </is>
      </c>
      <c r="L1629" s="41" t="inlineStr">
        <is>
          <t>3</t>
        </is>
      </c>
      <c r="M1629" s="42" t="inlineStr">
        <is>
          <t>개인</t>
        </is>
      </c>
      <c r="N1629" s="42" t="inlineStr">
        <is>
          <t>개인</t>
        </is>
      </c>
      <c r="O1629" s="41" t="inlineStr">
        <is>
          <t>1978</t>
        </is>
      </c>
      <c r="P1629" s="42" t="inlineStr">
        <is>
          <t>사임당로 137</t>
        </is>
      </c>
      <c r="Q1629" s="41" t="inlineStr">
        <is>
          <t>-</t>
        </is>
      </c>
      <c r="R1629" s="42" t="inlineStr">
        <is>
          <t>중개거래</t>
        </is>
      </c>
      <c r="S1629" s="42" t="inlineStr">
        <is>
          <t>서울 서초구</t>
        </is>
      </c>
      <c r="T1629" s="41" t="inlineStr">
        <is>
          <t>24.07.23</t>
        </is>
      </c>
      <c r="U1629" s="42" t="inlineStr">
        <is>
          <t>아파트</t>
        </is>
      </c>
    </row>
    <row r="1630" hidden="1" ht="14.25" customHeight="1">
      <c r="A1630" s="41" t="n">
        <v>1097</v>
      </c>
      <c r="B1630" s="42" t="inlineStr">
        <is>
          <t>서울특별시 서초구 서초동</t>
        </is>
      </c>
      <c r="C1630" s="41" t="inlineStr">
        <is>
          <t>1338-1</t>
        </is>
      </c>
      <c r="D1630" s="41" t="inlineStr">
        <is>
          <t>1338</t>
        </is>
      </c>
      <c r="E1630" s="41" t="inlineStr">
        <is>
          <t>0001</t>
        </is>
      </c>
      <c r="F1630" s="42" t="inlineStr">
        <is>
          <t>풍림아이원플러스</t>
        </is>
      </c>
      <c r="G1630" s="41" t="inlineStr">
        <is>
          <t>28.6660</t>
        </is>
      </c>
      <c r="H1630" s="41" t="inlineStr">
        <is>
          <t>202404</t>
        </is>
      </c>
      <c r="I1630" s="41" t="inlineStr">
        <is>
          <t>27</t>
        </is>
      </c>
      <c r="J1630" s="41" t="inlineStr">
        <is>
          <t>30,000</t>
        </is>
      </c>
      <c r="K1630" s="42" t="inlineStr">
        <is>
          <t>풍림아이원플러스</t>
        </is>
      </c>
      <c r="L1630" s="41" t="inlineStr">
        <is>
          <t>15</t>
        </is>
      </c>
      <c r="M1630" s="42" t="inlineStr">
        <is>
          <t>개인</t>
        </is>
      </c>
      <c r="N1630" s="42" t="inlineStr">
        <is>
          <t>개인</t>
        </is>
      </c>
      <c r="O1630" s="41" t="inlineStr">
        <is>
          <t>2004</t>
        </is>
      </c>
      <c r="P1630" s="42" t="inlineStr">
        <is>
          <t>효령로77길 14</t>
        </is>
      </c>
      <c r="Q1630" s="41" t="inlineStr">
        <is>
          <t>-</t>
        </is>
      </c>
      <c r="R1630" s="42" t="inlineStr">
        <is>
          <t>중개거래</t>
        </is>
      </c>
      <c r="S1630" s="42" t="inlineStr">
        <is>
          <t>서울 서초구</t>
        </is>
      </c>
      <c r="T1630" s="41" t="inlineStr">
        <is>
          <t>24.05.27</t>
        </is>
      </c>
      <c r="U1630" s="42" t="inlineStr">
        <is>
          <t>아파트</t>
        </is>
      </c>
    </row>
    <row r="1631" hidden="1" ht="14.25" customHeight="1">
      <c r="A1631" s="41" t="n">
        <v>1098</v>
      </c>
      <c r="B1631" s="42" t="inlineStr">
        <is>
          <t>서울특별시 서초구 서초동</t>
        </is>
      </c>
      <c r="C1631" s="41" t="inlineStr">
        <is>
          <t>1311-10</t>
        </is>
      </c>
      <c r="D1631" s="41" t="inlineStr">
        <is>
          <t>1311</t>
        </is>
      </c>
      <c r="E1631" s="41" t="inlineStr">
        <is>
          <t>0010</t>
        </is>
      </c>
      <c r="F1631" s="42" t="inlineStr">
        <is>
          <t>서초푸르지오써밋</t>
        </is>
      </c>
      <c r="G1631" s="41" t="inlineStr">
        <is>
          <t>84.9300</t>
        </is>
      </c>
      <c r="H1631" s="41" t="inlineStr">
        <is>
          <t>202404</t>
        </is>
      </c>
      <c r="I1631" s="41" t="inlineStr">
        <is>
          <t>27</t>
        </is>
      </c>
      <c r="J1631" s="41" t="inlineStr">
        <is>
          <t>264,500</t>
        </is>
      </c>
      <c r="K1631" s="41" t="inlineStr">
        <is>
          <t>105</t>
        </is>
      </c>
      <c r="L1631" s="41" t="inlineStr">
        <is>
          <t>23</t>
        </is>
      </c>
      <c r="M1631" s="42" t="inlineStr">
        <is>
          <t>개인</t>
        </is>
      </c>
      <c r="N1631" s="42" t="inlineStr">
        <is>
          <t>개인</t>
        </is>
      </c>
      <c r="O1631" s="41" t="inlineStr">
        <is>
          <t>2017</t>
        </is>
      </c>
      <c r="P1631" s="42" t="inlineStr">
        <is>
          <t>서운로 201</t>
        </is>
      </c>
      <c r="Q1631" s="41" t="inlineStr">
        <is>
          <t>-</t>
        </is>
      </c>
      <c r="R1631" s="42" t="inlineStr">
        <is>
          <t>중개거래</t>
        </is>
      </c>
      <c r="S1631" s="42" t="inlineStr">
        <is>
          <t>서울 서초구</t>
        </is>
      </c>
      <c r="T1631" s="41" t="inlineStr">
        <is>
          <t>24.08.30</t>
        </is>
      </c>
      <c r="U1631" s="42" t="inlineStr">
        <is>
          <t>아파트</t>
        </is>
      </c>
    </row>
    <row r="1632" hidden="1" ht="14.25" customHeight="1">
      <c r="A1632" s="41" t="n">
        <v>1099</v>
      </c>
      <c r="B1632" s="42" t="inlineStr">
        <is>
          <t>서울특별시 서초구 서초동</t>
        </is>
      </c>
      <c r="C1632" s="41" t="inlineStr">
        <is>
          <t>1681-8</t>
        </is>
      </c>
      <c r="D1632" s="41" t="inlineStr">
        <is>
          <t>1681</t>
        </is>
      </c>
      <c r="E1632" s="41" t="inlineStr">
        <is>
          <t>0008</t>
        </is>
      </c>
      <c r="F1632" s="42" t="inlineStr">
        <is>
          <t>서초롯데캐슬프레지던트</t>
        </is>
      </c>
      <c r="G1632" s="41" t="inlineStr">
        <is>
          <t>84.9700</t>
        </is>
      </c>
      <c r="H1632" s="41" t="inlineStr">
        <is>
          <t>202404</t>
        </is>
      </c>
      <c r="I1632" s="41" t="inlineStr">
        <is>
          <t>26</t>
        </is>
      </c>
      <c r="J1632" s="41" t="inlineStr">
        <is>
          <t>211,000</t>
        </is>
      </c>
      <c r="K1632" s="41" t="inlineStr">
        <is>
          <t>103</t>
        </is>
      </c>
      <c r="L1632" s="41" t="inlineStr">
        <is>
          <t>19</t>
        </is>
      </c>
      <c r="M1632" s="42" t="inlineStr">
        <is>
          <t>개인</t>
        </is>
      </c>
      <c r="N1632" s="42" t="inlineStr">
        <is>
          <t>개인</t>
        </is>
      </c>
      <c r="O1632" s="41" t="inlineStr">
        <is>
          <t>2014</t>
        </is>
      </c>
      <c r="P1632" s="42" t="inlineStr">
        <is>
          <t>서초중앙로24길 57</t>
        </is>
      </c>
      <c r="Q1632" s="41" t="inlineStr">
        <is>
          <t>-</t>
        </is>
      </c>
      <c r="R1632" s="42" t="inlineStr">
        <is>
          <t>중개거래</t>
        </is>
      </c>
      <c r="S1632" s="42" t="inlineStr">
        <is>
          <t>서울 서초구</t>
        </is>
      </c>
      <c r="T1632" s="41" t="inlineStr">
        <is>
          <t>24.06.28</t>
        </is>
      </c>
      <c r="U1632" s="42" t="inlineStr">
        <is>
          <t>아파트</t>
        </is>
      </c>
    </row>
    <row r="1633" hidden="1" ht="14.25" customHeight="1">
      <c r="A1633" s="41" t="n">
        <v>1100</v>
      </c>
      <c r="B1633" s="42" t="inlineStr">
        <is>
          <t>서울특별시 서초구 서초동</t>
        </is>
      </c>
      <c r="C1633" s="41" t="inlineStr">
        <is>
          <t>1593-7</t>
        </is>
      </c>
      <c r="D1633" s="41" t="inlineStr">
        <is>
          <t>1593</t>
        </is>
      </c>
      <c r="E1633" s="41" t="inlineStr">
        <is>
          <t>0007</t>
        </is>
      </c>
      <c r="F1633" s="42" t="inlineStr">
        <is>
          <t>서초이오빌</t>
        </is>
      </c>
      <c r="G1633" s="41" t="inlineStr">
        <is>
          <t>36.6600</t>
        </is>
      </c>
      <c r="H1633" s="41" t="inlineStr">
        <is>
          <t>202404</t>
        </is>
      </c>
      <c r="I1633" s="41" t="inlineStr">
        <is>
          <t>26</t>
        </is>
      </c>
      <c r="J1633" s="41" t="inlineStr">
        <is>
          <t>30,500</t>
        </is>
      </c>
      <c r="K1633" s="41" t="inlineStr">
        <is>
          <t>-</t>
        </is>
      </c>
      <c r="L1633" s="41" t="inlineStr">
        <is>
          <t>4</t>
        </is>
      </c>
      <c r="M1633" s="42" t="inlineStr">
        <is>
          <t>개인</t>
        </is>
      </c>
      <c r="N1633" s="42" t="inlineStr">
        <is>
          <t>개인</t>
        </is>
      </c>
      <c r="O1633" s="41" t="inlineStr">
        <is>
          <t>2003</t>
        </is>
      </c>
      <c r="P1633" s="42" t="inlineStr">
        <is>
          <t>효령로53길 45</t>
        </is>
      </c>
      <c r="Q1633" s="41" t="inlineStr">
        <is>
          <t>-</t>
        </is>
      </c>
      <c r="R1633" s="42" t="inlineStr">
        <is>
          <t>중개거래</t>
        </is>
      </c>
      <c r="S1633" s="42" t="inlineStr">
        <is>
          <t>서울 서초구</t>
        </is>
      </c>
      <c r="T1633" s="41" t="inlineStr">
        <is>
          <t>24.05.29</t>
        </is>
      </c>
      <c r="U1633" s="42" t="inlineStr">
        <is>
          <t>아파트</t>
        </is>
      </c>
    </row>
    <row r="1634" hidden="1" ht="14.25" customHeight="1">
      <c r="A1634" s="41" t="n">
        <v>1101</v>
      </c>
      <c r="B1634" s="42" t="inlineStr">
        <is>
          <t>서울특별시 서초구 서초동</t>
        </is>
      </c>
      <c r="C1634" s="41" t="inlineStr">
        <is>
          <t>1533</t>
        </is>
      </c>
      <c r="D1634" s="41" t="inlineStr">
        <is>
          <t>1533</t>
        </is>
      </c>
      <c r="E1634" s="41" t="inlineStr">
        <is>
          <t>0000</t>
        </is>
      </c>
      <c r="F1634" s="42" t="inlineStr">
        <is>
          <t>서초한신리빙타워</t>
        </is>
      </c>
      <c r="G1634" s="41" t="inlineStr">
        <is>
          <t>42.5500</t>
        </is>
      </c>
      <c r="H1634" s="41" t="inlineStr">
        <is>
          <t>202404</t>
        </is>
      </c>
      <c r="I1634" s="41" t="inlineStr">
        <is>
          <t>25</t>
        </is>
      </c>
      <c r="J1634" s="41" t="inlineStr">
        <is>
          <t>65,000</t>
        </is>
      </c>
      <c r="K1634" s="41" t="inlineStr">
        <is>
          <t>-</t>
        </is>
      </c>
      <c r="L1634" s="41" t="inlineStr">
        <is>
          <t>14</t>
        </is>
      </c>
      <c r="M1634" s="42" t="inlineStr">
        <is>
          <t>개인</t>
        </is>
      </c>
      <c r="N1634" s="42" t="inlineStr">
        <is>
          <t>개인</t>
        </is>
      </c>
      <c r="O1634" s="41" t="inlineStr">
        <is>
          <t>1999</t>
        </is>
      </c>
      <c r="P1634" s="42" t="inlineStr">
        <is>
          <t>효령로 237</t>
        </is>
      </c>
      <c r="Q1634" s="41" t="inlineStr">
        <is>
          <t>-</t>
        </is>
      </c>
      <c r="R1634" s="42" t="inlineStr">
        <is>
          <t>중개거래</t>
        </is>
      </c>
      <c r="S1634" s="42" t="inlineStr">
        <is>
          <t>서울 서초구</t>
        </is>
      </c>
      <c r="T1634" s="41" t="inlineStr">
        <is>
          <t>24.07.30</t>
        </is>
      </c>
      <c r="U1634" s="42" t="inlineStr">
        <is>
          <t>아파트</t>
        </is>
      </c>
    </row>
    <row r="1635" hidden="1" ht="14.25" customHeight="1">
      <c r="A1635" s="41" t="n">
        <v>1102</v>
      </c>
      <c r="B1635" s="42" t="inlineStr">
        <is>
          <t>서울특별시 서초구 서초동</t>
        </is>
      </c>
      <c r="C1635" s="41" t="inlineStr">
        <is>
          <t>1311-10</t>
        </is>
      </c>
      <c r="D1635" s="41" t="inlineStr">
        <is>
          <t>1311</t>
        </is>
      </c>
      <c r="E1635" s="41" t="inlineStr">
        <is>
          <t>0010</t>
        </is>
      </c>
      <c r="F1635" s="42" t="inlineStr">
        <is>
          <t>서초푸르지오써밋</t>
        </is>
      </c>
      <c r="G1635" s="41" t="inlineStr">
        <is>
          <t>59.9200</t>
        </is>
      </c>
      <c r="H1635" s="41" t="inlineStr">
        <is>
          <t>202404</t>
        </is>
      </c>
      <c r="I1635" s="41" t="inlineStr">
        <is>
          <t>24</t>
        </is>
      </c>
      <c r="J1635" s="41" t="inlineStr">
        <is>
          <t>215,000</t>
        </is>
      </c>
      <c r="K1635" s="41" t="inlineStr">
        <is>
          <t>105</t>
        </is>
      </c>
      <c r="L1635" s="41" t="inlineStr">
        <is>
          <t>28</t>
        </is>
      </c>
      <c r="M1635" s="42" t="inlineStr">
        <is>
          <t>개인</t>
        </is>
      </c>
      <c r="N1635" s="42" t="inlineStr">
        <is>
          <t>개인</t>
        </is>
      </c>
      <c r="O1635" s="41" t="inlineStr">
        <is>
          <t>2017</t>
        </is>
      </c>
      <c r="P1635" s="42" t="inlineStr">
        <is>
          <t>서운로 201</t>
        </is>
      </c>
      <c r="Q1635" s="41" t="inlineStr">
        <is>
          <t>-</t>
        </is>
      </c>
      <c r="R1635" s="42" t="inlineStr">
        <is>
          <t>중개거래</t>
        </is>
      </c>
      <c r="S1635" s="42" t="inlineStr">
        <is>
          <t>서울 서초구</t>
        </is>
      </c>
      <c r="T1635" s="41" t="inlineStr">
        <is>
          <t>24.08.20</t>
        </is>
      </c>
      <c r="U1635" s="42" t="inlineStr">
        <is>
          <t>아파트</t>
        </is>
      </c>
    </row>
    <row r="1636" hidden="1" ht="14.25" customHeight="1">
      <c r="A1636" s="41" t="n">
        <v>1103</v>
      </c>
      <c r="B1636" s="42" t="inlineStr">
        <is>
          <t>서울특별시 서초구 서초동</t>
        </is>
      </c>
      <c r="C1636" s="41" t="inlineStr">
        <is>
          <t>1755</t>
        </is>
      </c>
      <c r="D1636" s="41" t="inlineStr">
        <is>
          <t>1755</t>
        </is>
      </c>
      <c r="E1636" s="41" t="inlineStr">
        <is>
          <t>0000</t>
        </is>
      </c>
      <c r="F1636" s="42" t="inlineStr">
        <is>
          <t>래미안 리더스원</t>
        </is>
      </c>
      <c r="G1636" s="41" t="inlineStr">
        <is>
          <t>114.9400</t>
        </is>
      </c>
      <c r="H1636" s="41" t="inlineStr">
        <is>
          <t>202404</t>
        </is>
      </c>
      <c r="I1636" s="41" t="inlineStr">
        <is>
          <t>23</t>
        </is>
      </c>
      <c r="J1636" s="41" t="inlineStr">
        <is>
          <t>359,000</t>
        </is>
      </c>
      <c r="K1636" s="41" t="inlineStr">
        <is>
          <t>107동</t>
        </is>
      </c>
      <c r="L1636" s="41" t="inlineStr">
        <is>
          <t>29</t>
        </is>
      </c>
      <c r="M1636" s="42" t="inlineStr">
        <is>
          <t>개인</t>
        </is>
      </c>
      <c r="N1636" s="42" t="inlineStr">
        <is>
          <t>개인</t>
        </is>
      </c>
      <c r="O1636" s="41" t="inlineStr">
        <is>
          <t>2020</t>
        </is>
      </c>
      <c r="P1636" s="42" t="inlineStr">
        <is>
          <t>서운로 62</t>
        </is>
      </c>
      <c r="Q1636" s="41" t="inlineStr">
        <is>
          <t>-</t>
        </is>
      </c>
      <c r="R1636" s="42" t="inlineStr">
        <is>
          <t>중개거래</t>
        </is>
      </c>
      <c r="S1636" s="42" t="inlineStr">
        <is>
          <t>서울 서초구</t>
        </is>
      </c>
      <c r="T1636" s="41" t="inlineStr">
        <is>
          <t>24.08.14</t>
        </is>
      </c>
      <c r="U1636" s="42" t="inlineStr">
        <is>
          <t>아파트</t>
        </is>
      </c>
    </row>
    <row r="1637" hidden="1" ht="14.25" customHeight="1">
      <c r="A1637" s="41" t="n">
        <v>1104</v>
      </c>
      <c r="B1637" s="42" t="inlineStr">
        <is>
          <t>서울특별시 서초구 서초동</t>
        </is>
      </c>
      <c r="C1637" s="41" t="inlineStr">
        <is>
          <t>1467-97</t>
        </is>
      </c>
      <c r="D1637" s="41" t="inlineStr">
        <is>
          <t>1467</t>
        </is>
      </c>
      <c r="E1637" s="41" t="inlineStr">
        <is>
          <t>0097</t>
        </is>
      </c>
      <c r="F1637" s="42" t="inlineStr">
        <is>
          <t>서초금호어울림</t>
        </is>
      </c>
      <c r="G1637" s="41" t="inlineStr">
        <is>
          <t>124.3500</t>
        </is>
      </c>
      <c r="H1637" s="41" t="inlineStr">
        <is>
          <t>202404</t>
        </is>
      </c>
      <c r="I1637" s="41" t="inlineStr">
        <is>
          <t>22</t>
        </is>
      </c>
      <c r="J1637" s="41" t="inlineStr">
        <is>
          <t>170,000</t>
        </is>
      </c>
      <c r="K1637" s="41" t="inlineStr">
        <is>
          <t>101</t>
        </is>
      </c>
      <c r="L1637" s="41" t="inlineStr">
        <is>
          <t>15</t>
        </is>
      </c>
      <c r="M1637" s="42" t="inlineStr">
        <is>
          <t>개인</t>
        </is>
      </c>
      <c r="N1637" s="42" t="inlineStr">
        <is>
          <t>개인</t>
        </is>
      </c>
      <c r="O1637" s="41" t="inlineStr">
        <is>
          <t>2001</t>
        </is>
      </c>
      <c r="P1637" s="42" t="inlineStr">
        <is>
          <t>명달로 10</t>
        </is>
      </c>
      <c r="Q1637" s="41" t="inlineStr">
        <is>
          <t>-</t>
        </is>
      </c>
      <c r="R1637" s="42" t="inlineStr">
        <is>
          <t>중개거래</t>
        </is>
      </c>
      <c r="S1637" s="42" t="inlineStr">
        <is>
          <t>서울 서초구</t>
        </is>
      </c>
      <c r="T1637" s="41" t="inlineStr">
        <is>
          <t>24.09.03</t>
        </is>
      </c>
      <c r="U1637" s="42" t="inlineStr">
        <is>
          <t>아파트</t>
        </is>
      </c>
    </row>
    <row r="1638" hidden="1" ht="14.25" customHeight="1">
      <c r="A1638" s="41" t="n">
        <v>1105</v>
      </c>
      <c r="B1638" s="42" t="inlineStr">
        <is>
          <t>서울특별시 서초구 서초동</t>
        </is>
      </c>
      <c r="C1638" s="41" t="inlineStr">
        <is>
          <t>1333</t>
        </is>
      </c>
      <c r="D1638" s="41" t="inlineStr">
        <is>
          <t>1333</t>
        </is>
      </c>
      <c r="E1638" s="41" t="inlineStr">
        <is>
          <t>0000</t>
        </is>
      </c>
      <c r="F1638" s="42" t="inlineStr">
        <is>
          <t>신동아아파트(1차)</t>
        </is>
      </c>
      <c r="G1638" s="41" t="inlineStr">
        <is>
          <t>76.2100</t>
        </is>
      </c>
      <c r="H1638" s="41" t="inlineStr">
        <is>
          <t>202404</t>
        </is>
      </c>
      <c r="I1638" s="41" t="inlineStr">
        <is>
          <t>22</t>
        </is>
      </c>
      <c r="J1638" s="41" t="inlineStr">
        <is>
          <t>176,000</t>
        </is>
      </c>
      <c r="K1638" s="41" t="inlineStr">
        <is>
          <t>3</t>
        </is>
      </c>
      <c r="L1638" s="41" t="inlineStr">
        <is>
          <t>2</t>
        </is>
      </c>
      <c r="M1638" s="42" t="inlineStr">
        <is>
          <t>개인</t>
        </is>
      </c>
      <c r="N1638" s="42" t="inlineStr">
        <is>
          <t>개인</t>
        </is>
      </c>
      <c r="O1638" s="41" t="inlineStr">
        <is>
          <t>1978</t>
        </is>
      </c>
      <c r="P1638" s="42" t="inlineStr">
        <is>
          <t>사임당로 137</t>
        </is>
      </c>
      <c r="Q1638" s="41" t="inlineStr">
        <is>
          <t>-</t>
        </is>
      </c>
      <c r="R1638" s="42" t="inlineStr">
        <is>
          <t>중개거래</t>
        </is>
      </c>
      <c r="S1638" s="42" t="inlineStr">
        <is>
          <t>서울 서초구</t>
        </is>
      </c>
      <c r="T1638" s="41" t="inlineStr">
        <is>
          <t>24.05.30</t>
        </is>
      </c>
      <c r="U1638" s="42" t="inlineStr">
        <is>
          <t>아파트</t>
        </is>
      </c>
    </row>
    <row r="1639" hidden="1" ht="14.25" customHeight="1">
      <c r="A1639" s="41" t="n">
        <v>1106</v>
      </c>
      <c r="B1639" s="42" t="inlineStr">
        <is>
          <t>서울특별시 서초구 서초동</t>
        </is>
      </c>
      <c r="C1639" s="41" t="inlineStr">
        <is>
          <t>1593-7</t>
        </is>
      </c>
      <c r="D1639" s="41" t="inlineStr">
        <is>
          <t>1593</t>
        </is>
      </c>
      <c r="E1639" s="41" t="inlineStr">
        <is>
          <t>0007</t>
        </is>
      </c>
      <c r="F1639" s="42" t="inlineStr">
        <is>
          <t>서초이오빌</t>
        </is>
      </c>
      <c r="G1639" s="41" t="inlineStr">
        <is>
          <t>36.6600</t>
        </is>
      </c>
      <c r="H1639" s="41" t="inlineStr">
        <is>
          <t>202404</t>
        </is>
      </c>
      <c r="I1639" s="41" t="inlineStr">
        <is>
          <t>21</t>
        </is>
      </c>
      <c r="J1639" s="41" t="inlineStr">
        <is>
          <t>33,200</t>
        </is>
      </c>
      <c r="K1639" s="41" t="inlineStr">
        <is>
          <t>-</t>
        </is>
      </c>
      <c r="L1639" s="41" t="inlineStr">
        <is>
          <t>19</t>
        </is>
      </c>
      <c r="M1639" s="42" t="inlineStr">
        <is>
          <t>개인</t>
        </is>
      </c>
      <c r="N1639" s="42" t="inlineStr">
        <is>
          <t>개인</t>
        </is>
      </c>
      <c r="O1639" s="41" t="inlineStr">
        <is>
          <t>2003</t>
        </is>
      </c>
      <c r="P1639" s="42" t="inlineStr">
        <is>
          <t>효령로53길 45</t>
        </is>
      </c>
      <c r="Q1639" s="41" t="inlineStr">
        <is>
          <t>-</t>
        </is>
      </c>
      <c r="R1639" s="42" t="inlineStr">
        <is>
          <t>중개거래</t>
        </is>
      </c>
      <c r="S1639" s="42" t="inlineStr">
        <is>
          <t>서울 서초구</t>
        </is>
      </c>
      <c r="T1639" s="41" t="inlineStr">
        <is>
          <t>24.07.02</t>
        </is>
      </c>
      <c r="U1639" s="42" t="inlineStr">
        <is>
          <t>아파트</t>
        </is>
      </c>
    </row>
    <row r="1640" hidden="1" ht="14.25" customHeight="1">
      <c r="A1640" s="41" t="n">
        <v>1107</v>
      </c>
      <c r="B1640" s="42" t="inlineStr">
        <is>
          <t>서울특별시 서초구 서초동</t>
        </is>
      </c>
      <c r="C1640" s="41" t="inlineStr">
        <is>
          <t>1311-10</t>
        </is>
      </c>
      <c r="D1640" s="41" t="inlineStr">
        <is>
          <t>1311</t>
        </is>
      </c>
      <c r="E1640" s="41" t="inlineStr">
        <is>
          <t>0010</t>
        </is>
      </c>
      <c r="F1640" s="42" t="inlineStr">
        <is>
          <t>서초푸르지오써밋</t>
        </is>
      </c>
      <c r="G1640" s="41" t="inlineStr">
        <is>
          <t>84.9300</t>
        </is>
      </c>
      <c r="H1640" s="41" t="inlineStr">
        <is>
          <t>202404</t>
        </is>
      </c>
      <c r="I1640" s="41" t="inlineStr">
        <is>
          <t>20</t>
        </is>
      </c>
      <c r="J1640" s="41" t="inlineStr">
        <is>
          <t>257,000</t>
        </is>
      </c>
      <c r="K1640" s="41" t="inlineStr">
        <is>
          <t>104</t>
        </is>
      </c>
      <c r="L1640" s="41" t="inlineStr">
        <is>
          <t>7</t>
        </is>
      </c>
      <c r="M1640" s="42" t="inlineStr">
        <is>
          <t>개인</t>
        </is>
      </c>
      <c r="N1640" s="42" t="inlineStr">
        <is>
          <t>개인</t>
        </is>
      </c>
      <c r="O1640" s="41" t="inlineStr">
        <is>
          <t>2017</t>
        </is>
      </c>
      <c r="P1640" s="42" t="inlineStr">
        <is>
          <t>서운로 201</t>
        </is>
      </c>
      <c r="Q1640" s="41" t="inlineStr">
        <is>
          <t>-</t>
        </is>
      </c>
      <c r="R1640" s="42" t="inlineStr">
        <is>
          <t>중개거래</t>
        </is>
      </c>
      <c r="S1640" s="42" t="inlineStr">
        <is>
          <t>서울 서초구</t>
        </is>
      </c>
      <c r="T1640" s="41" t="inlineStr">
        <is>
          <t>25.01.02</t>
        </is>
      </c>
      <c r="U1640" s="42" t="inlineStr">
        <is>
          <t>아파트</t>
        </is>
      </c>
    </row>
    <row r="1641" hidden="1" ht="14.25" customHeight="1">
      <c r="A1641" s="41" t="n">
        <v>1108</v>
      </c>
      <c r="B1641" s="42" t="inlineStr">
        <is>
          <t>서울특별시 서초구 서초동</t>
        </is>
      </c>
      <c r="C1641" s="41" t="inlineStr">
        <is>
          <t>1682</t>
        </is>
      </c>
      <c r="D1641" s="41" t="inlineStr">
        <is>
          <t>1682</t>
        </is>
      </c>
      <c r="E1641" s="41" t="inlineStr">
        <is>
          <t>0000</t>
        </is>
      </c>
      <c r="F1641" s="42" t="inlineStr">
        <is>
          <t>서초래미안</t>
        </is>
      </c>
      <c r="G1641" s="41" t="inlineStr">
        <is>
          <t>84.9500</t>
        </is>
      </c>
      <c r="H1641" s="41" t="inlineStr">
        <is>
          <t>202404</t>
        </is>
      </c>
      <c r="I1641" s="41" t="inlineStr">
        <is>
          <t>20</t>
        </is>
      </c>
      <c r="J1641" s="41" t="inlineStr">
        <is>
          <t>204,500</t>
        </is>
      </c>
      <c r="K1641" s="41" t="inlineStr">
        <is>
          <t>105</t>
        </is>
      </c>
      <c r="L1641" s="41" t="inlineStr">
        <is>
          <t>19</t>
        </is>
      </c>
      <c r="M1641" s="42" t="inlineStr">
        <is>
          <t>개인</t>
        </is>
      </c>
      <c r="N1641" s="42" t="inlineStr">
        <is>
          <t>개인</t>
        </is>
      </c>
      <c r="O1641" s="41" t="inlineStr">
        <is>
          <t>2003</t>
        </is>
      </c>
      <c r="P1641" s="42" t="inlineStr">
        <is>
          <t>서초대로65길 13-10</t>
        </is>
      </c>
      <c r="Q1641" s="41" t="inlineStr">
        <is>
          <t>-</t>
        </is>
      </c>
      <c r="R1641" s="42" t="inlineStr">
        <is>
          <t>중개거래</t>
        </is>
      </c>
      <c r="S1641" s="42" t="inlineStr">
        <is>
          <t>서울 서초구</t>
        </is>
      </c>
      <c r="T1641" s="41" t="inlineStr">
        <is>
          <t>24.08.30</t>
        </is>
      </c>
      <c r="U1641" s="42" t="inlineStr">
        <is>
          <t>아파트</t>
        </is>
      </c>
    </row>
    <row r="1642" hidden="1" ht="14.25" customHeight="1">
      <c r="A1642" s="41" t="n">
        <v>1109</v>
      </c>
      <c r="B1642" s="42" t="inlineStr">
        <is>
          <t>서울특별시 서초구 서초동</t>
        </is>
      </c>
      <c r="C1642" s="41" t="inlineStr">
        <is>
          <t>1757</t>
        </is>
      </c>
      <c r="D1642" s="41" t="inlineStr">
        <is>
          <t>1757</t>
        </is>
      </c>
      <c r="E1642" s="41" t="inlineStr">
        <is>
          <t>0000</t>
        </is>
      </c>
      <c r="F1642" s="42" t="inlineStr">
        <is>
          <t>서초그랑자이</t>
        </is>
      </c>
      <c r="G1642" s="41" t="inlineStr">
        <is>
          <t>59.9900</t>
        </is>
      </c>
      <c r="H1642" s="41" t="inlineStr">
        <is>
          <t>202404</t>
        </is>
      </c>
      <c r="I1642" s="41" t="inlineStr">
        <is>
          <t>20</t>
        </is>
      </c>
      <c r="J1642" s="41" t="inlineStr">
        <is>
          <t>228,000</t>
        </is>
      </c>
      <c r="K1642" s="41" t="inlineStr">
        <is>
          <t>109동</t>
        </is>
      </c>
      <c r="L1642" s="41" t="inlineStr">
        <is>
          <t>4</t>
        </is>
      </c>
      <c r="M1642" s="42" t="inlineStr">
        <is>
          <t>개인</t>
        </is>
      </c>
      <c r="N1642" s="42" t="inlineStr">
        <is>
          <t>개인</t>
        </is>
      </c>
      <c r="O1642" s="41" t="inlineStr">
        <is>
          <t>2021</t>
        </is>
      </c>
      <c r="P1642" s="42" t="inlineStr">
        <is>
          <t>효령로 391</t>
        </is>
      </c>
      <c r="Q1642" s="41" t="inlineStr">
        <is>
          <t>-</t>
        </is>
      </c>
      <c r="R1642" s="42" t="inlineStr">
        <is>
          <t>중개거래</t>
        </is>
      </c>
      <c r="S1642" s="42" t="inlineStr">
        <is>
          <t>경기 용인시 기흥구, 서울 서초구</t>
        </is>
      </c>
      <c r="T1642" s="41" t="inlineStr">
        <is>
          <t>24.08.28</t>
        </is>
      </c>
      <c r="U1642" s="42" t="inlineStr">
        <is>
          <t>아파트</t>
        </is>
      </c>
    </row>
    <row r="1643" hidden="1" ht="14.25" customHeight="1">
      <c r="A1643" s="41" t="n">
        <v>1110</v>
      </c>
      <c r="B1643" s="42" t="inlineStr">
        <is>
          <t>서울특별시 서초구 서초동</t>
        </is>
      </c>
      <c r="C1643" s="41" t="inlineStr">
        <is>
          <t>1337-3</t>
        </is>
      </c>
      <c r="D1643" s="41" t="inlineStr">
        <is>
          <t>1337</t>
        </is>
      </c>
      <c r="E1643" s="41" t="inlineStr">
        <is>
          <t>0003</t>
        </is>
      </c>
      <c r="F1643" s="41" t="inlineStr">
        <is>
          <t>urbanplace</t>
        </is>
      </c>
      <c r="G1643" s="41" t="inlineStr">
        <is>
          <t>20.4060</t>
        </is>
      </c>
      <c r="H1643" s="41" t="inlineStr">
        <is>
          <t>202404</t>
        </is>
      </c>
      <c r="I1643" s="41" t="inlineStr">
        <is>
          <t>18</t>
        </is>
      </c>
      <c r="J1643" s="41" t="inlineStr">
        <is>
          <t>19,615</t>
        </is>
      </c>
      <c r="K1643" s="41" t="inlineStr">
        <is>
          <t>1</t>
        </is>
      </c>
      <c r="L1643" s="41" t="inlineStr">
        <is>
          <t>7</t>
        </is>
      </c>
      <c r="M1643" s="42" t="inlineStr">
        <is>
          <t>개인</t>
        </is>
      </c>
      <c r="N1643" s="42" t="inlineStr">
        <is>
          <t>개인</t>
        </is>
      </c>
      <c r="O1643" s="41" t="inlineStr">
        <is>
          <t>2014</t>
        </is>
      </c>
      <c r="P1643" s="42" t="inlineStr">
        <is>
          <t>효령로77길 30</t>
        </is>
      </c>
      <c r="Q1643" s="41" t="inlineStr">
        <is>
          <t>-</t>
        </is>
      </c>
      <c r="R1643" s="42" t="inlineStr">
        <is>
          <t>중개거래</t>
        </is>
      </c>
      <c r="S1643" s="42" t="inlineStr">
        <is>
          <t>서울 서초구</t>
        </is>
      </c>
      <c r="T1643" s="41" t="inlineStr">
        <is>
          <t>24.04.22</t>
        </is>
      </c>
      <c r="U1643" s="42" t="inlineStr">
        <is>
          <t>아파트</t>
        </is>
      </c>
    </row>
    <row r="1644" hidden="1" ht="14.25" customHeight="1">
      <c r="A1644" s="41" t="n">
        <v>1111</v>
      </c>
      <c r="B1644" s="42" t="inlineStr">
        <is>
          <t>서울특별시 서초구 서초동</t>
        </is>
      </c>
      <c r="C1644" s="41" t="inlineStr">
        <is>
          <t>1446-11</t>
        </is>
      </c>
      <c r="D1644" s="41" t="inlineStr">
        <is>
          <t>1446</t>
        </is>
      </c>
      <c r="E1644" s="41" t="inlineStr">
        <is>
          <t>0011</t>
        </is>
      </c>
      <c r="F1644" s="42" t="inlineStr">
        <is>
          <t>현대슈퍼빌</t>
        </is>
      </c>
      <c r="G1644" s="41" t="inlineStr">
        <is>
          <t>185.0200</t>
        </is>
      </c>
      <c r="H1644" s="41" t="inlineStr">
        <is>
          <t>202404</t>
        </is>
      </c>
      <c r="I1644" s="41" t="inlineStr">
        <is>
          <t>17</t>
        </is>
      </c>
      <c r="J1644" s="41" t="inlineStr">
        <is>
          <t>265,000</t>
        </is>
      </c>
      <c r="K1644" s="41" t="inlineStr">
        <is>
          <t>D</t>
        </is>
      </c>
      <c r="L1644" s="41" t="inlineStr">
        <is>
          <t>9</t>
        </is>
      </c>
      <c r="M1644" s="42" t="inlineStr">
        <is>
          <t>개인</t>
        </is>
      </c>
      <c r="N1644" s="42" t="inlineStr">
        <is>
          <t>개인</t>
        </is>
      </c>
      <c r="O1644" s="41" t="inlineStr">
        <is>
          <t>2003</t>
        </is>
      </c>
      <c r="P1644" s="42" t="inlineStr">
        <is>
          <t>서초중앙로 15</t>
        </is>
      </c>
      <c r="Q1644" s="41" t="inlineStr">
        <is>
          <t>-</t>
        </is>
      </c>
      <c r="R1644" s="42" t="inlineStr">
        <is>
          <t>중개거래</t>
        </is>
      </c>
      <c r="S1644" s="42" t="inlineStr">
        <is>
          <t>서울 서초구</t>
        </is>
      </c>
      <c r="T1644" s="41" t="inlineStr">
        <is>
          <t>24.06.28</t>
        </is>
      </c>
      <c r="U1644" s="42" t="inlineStr">
        <is>
          <t>아파트</t>
        </is>
      </c>
    </row>
    <row r="1645" hidden="1" ht="14.25" customHeight="1">
      <c r="A1645" s="41" t="n">
        <v>1112</v>
      </c>
      <c r="B1645" s="42" t="inlineStr">
        <is>
          <t>서울특별시 서초구 서초동</t>
        </is>
      </c>
      <c r="C1645" s="41" t="inlineStr">
        <is>
          <t>1311-10</t>
        </is>
      </c>
      <c r="D1645" s="41" t="inlineStr">
        <is>
          <t>1311</t>
        </is>
      </c>
      <c r="E1645" s="41" t="inlineStr">
        <is>
          <t>0010</t>
        </is>
      </c>
      <c r="F1645" s="42" t="inlineStr">
        <is>
          <t>서초푸르지오써밋</t>
        </is>
      </c>
      <c r="G1645" s="41" t="inlineStr">
        <is>
          <t>104.4000</t>
        </is>
      </c>
      <c r="H1645" s="41" t="inlineStr">
        <is>
          <t>202404</t>
        </is>
      </c>
      <c r="I1645" s="41" t="inlineStr">
        <is>
          <t>17</t>
        </is>
      </c>
      <c r="J1645" s="41" t="inlineStr">
        <is>
          <t>295,000</t>
        </is>
      </c>
      <c r="K1645" s="41" t="inlineStr">
        <is>
          <t>103</t>
        </is>
      </c>
      <c r="L1645" s="41" t="inlineStr">
        <is>
          <t>4</t>
        </is>
      </c>
      <c r="M1645" s="42" t="inlineStr">
        <is>
          <t>개인</t>
        </is>
      </c>
      <c r="N1645" s="42" t="inlineStr">
        <is>
          <t>개인</t>
        </is>
      </c>
      <c r="O1645" s="41" t="inlineStr">
        <is>
          <t>2017</t>
        </is>
      </c>
      <c r="P1645" s="42" t="inlineStr">
        <is>
          <t>서운로 201</t>
        </is>
      </c>
      <c r="Q1645" s="41" t="inlineStr">
        <is>
          <t>-</t>
        </is>
      </c>
      <c r="R1645" s="42" t="inlineStr">
        <is>
          <t>중개거래</t>
        </is>
      </c>
      <c r="S1645" s="42" t="inlineStr">
        <is>
          <t>서울 서초구</t>
        </is>
      </c>
      <c r="T1645" s="41" t="inlineStr">
        <is>
          <t>24.08.07</t>
        </is>
      </c>
      <c r="U1645" s="42" t="inlineStr">
        <is>
          <t>아파트</t>
        </is>
      </c>
    </row>
    <row r="1646" hidden="1" ht="14.25" customHeight="1">
      <c r="A1646" s="41" t="n">
        <v>1113</v>
      </c>
      <c r="B1646" s="42" t="inlineStr">
        <is>
          <t>서울특별시 서초구 서초동</t>
        </is>
      </c>
      <c r="C1646" s="41" t="inlineStr">
        <is>
          <t>1757</t>
        </is>
      </c>
      <c r="D1646" s="41" t="inlineStr">
        <is>
          <t>1757</t>
        </is>
      </c>
      <c r="E1646" s="41" t="inlineStr">
        <is>
          <t>0000</t>
        </is>
      </c>
      <c r="F1646" s="42" t="inlineStr">
        <is>
          <t>서초그랑자이</t>
        </is>
      </c>
      <c r="G1646" s="41" t="inlineStr">
        <is>
          <t>84.5100</t>
        </is>
      </c>
      <c r="H1646" s="41" t="inlineStr">
        <is>
          <t>202404</t>
        </is>
      </c>
      <c r="I1646" s="41" t="inlineStr">
        <is>
          <t>16</t>
        </is>
      </c>
      <c r="J1646" s="41" t="inlineStr">
        <is>
          <t>302,000</t>
        </is>
      </c>
      <c r="K1646" s="41" t="inlineStr">
        <is>
          <t>102동</t>
        </is>
      </c>
      <c r="L1646" s="41" t="inlineStr">
        <is>
          <t>25</t>
        </is>
      </c>
      <c r="M1646" s="42" t="inlineStr">
        <is>
          <t>개인</t>
        </is>
      </c>
      <c r="N1646" s="42" t="inlineStr">
        <is>
          <t>개인</t>
        </is>
      </c>
      <c r="O1646" s="41" t="inlineStr">
        <is>
          <t>2021</t>
        </is>
      </c>
      <c r="P1646" s="42" t="inlineStr">
        <is>
          <t>효령로 391</t>
        </is>
      </c>
      <c r="Q1646" s="41" t="inlineStr">
        <is>
          <t>-</t>
        </is>
      </c>
      <c r="R1646" s="42" t="inlineStr">
        <is>
          <t>중개거래</t>
        </is>
      </c>
      <c r="S1646" s="42" t="inlineStr">
        <is>
          <t>서울 서초구</t>
        </is>
      </c>
      <c r="T1646" s="41" t="inlineStr">
        <is>
          <t>24.07.31</t>
        </is>
      </c>
      <c r="U1646" s="42" t="inlineStr">
        <is>
          <t>아파트</t>
        </is>
      </c>
    </row>
    <row r="1647" hidden="1" ht="14.25" customHeight="1">
      <c r="A1647" s="41" t="n">
        <v>1114</v>
      </c>
      <c r="B1647" s="42" t="inlineStr">
        <is>
          <t>서울특별시 서초구 서초동</t>
        </is>
      </c>
      <c r="C1647" s="41" t="inlineStr">
        <is>
          <t>1311-10</t>
        </is>
      </c>
      <c r="D1647" s="41" t="inlineStr">
        <is>
          <t>1311</t>
        </is>
      </c>
      <c r="E1647" s="41" t="inlineStr">
        <is>
          <t>0010</t>
        </is>
      </c>
      <c r="F1647" s="42" t="inlineStr">
        <is>
          <t>서초푸르지오써밋</t>
        </is>
      </c>
      <c r="G1647" s="41" t="inlineStr">
        <is>
          <t>59.6200</t>
        </is>
      </c>
      <c r="H1647" s="41" t="inlineStr">
        <is>
          <t>202404</t>
        </is>
      </c>
      <c r="I1647" s="41" t="inlineStr">
        <is>
          <t>16</t>
        </is>
      </c>
      <c r="J1647" s="41" t="inlineStr">
        <is>
          <t>213,000</t>
        </is>
      </c>
      <c r="K1647" s="41" t="inlineStr">
        <is>
          <t>105</t>
        </is>
      </c>
      <c r="L1647" s="41" t="inlineStr">
        <is>
          <t>29</t>
        </is>
      </c>
      <c r="M1647" s="42" t="inlineStr">
        <is>
          <t>개인</t>
        </is>
      </c>
      <c r="N1647" s="42" t="inlineStr">
        <is>
          <t>개인</t>
        </is>
      </c>
      <c r="O1647" s="41" t="inlineStr">
        <is>
          <t>2017</t>
        </is>
      </c>
      <c r="P1647" s="42" t="inlineStr">
        <is>
          <t>서운로 201</t>
        </is>
      </c>
      <c r="Q1647" s="41" t="inlineStr">
        <is>
          <t>-</t>
        </is>
      </c>
      <c r="R1647" s="42" t="inlineStr">
        <is>
          <t>중개거래</t>
        </is>
      </c>
      <c r="S1647" s="42" t="inlineStr">
        <is>
          <t>서울 서초구</t>
        </is>
      </c>
      <c r="T1647" s="41" t="inlineStr">
        <is>
          <t>24.07.15</t>
        </is>
      </c>
      <c r="U1647" s="42" t="inlineStr">
        <is>
          <t>아파트</t>
        </is>
      </c>
    </row>
    <row r="1648" hidden="1" ht="14.25" customHeight="1">
      <c r="A1648" s="41" t="n">
        <v>1115</v>
      </c>
      <c r="B1648" s="42" t="inlineStr">
        <is>
          <t>서울특별시 서초구 서초동</t>
        </is>
      </c>
      <c r="C1648" s="41" t="inlineStr">
        <is>
          <t>1301-6</t>
        </is>
      </c>
      <c r="D1648" s="41" t="inlineStr">
        <is>
          <t>1301</t>
        </is>
      </c>
      <c r="E1648" s="41" t="inlineStr">
        <is>
          <t>0006</t>
        </is>
      </c>
      <c r="F1648" s="42" t="inlineStr">
        <is>
          <t>래미안서초스위트</t>
        </is>
      </c>
      <c r="G1648" s="41" t="inlineStr">
        <is>
          <t>84.9571</t>
        </is>
      </c>
      <c r="H1648" s="41" t="inlineStr">
        <is>
          <t>202404</t>
        </is>
      </c>
      <c r="I1648" s="41" t="inlineStr">
        <is>
          <t>15</t>
        </is>
      </c>
      <c r="J1648" s="41" t="inlineStr">
        <is>
          <t>224,700</t>
        </is>
      </c>
      <c r="K1648" s="41" t="inlineStr">
        <is>
          <t>102</t>
        </is>
      </c>
      <c r="L1648" s="41" t="inlineStr">
        <is>
          <t>8</t>
        </is>
      </c>
      <c r="M1648" s="42" t="inlineStr">
        <is>
          <t>개인</t>
        </is>
      </c>
      <c r="N1648" s="42" t="inlineStr">
        <is>
          <t>개인</t>
        </is>
      </c>
      <c r="O1648" s="41" t="inlineStr">
        <is>
          <t>2009</t>
        </is>
      </c>
      <c r="P1648" s="42" t="inlineStr">
        <is>
          <t>서운로 221</t>
        </is>
      </c>
      <c r="Q1648" s="41" t="inlineStr">
        <is>
          <t>-</t>
        </is>
      </c>
      <c r="R1648" s="42" t="inlineStr">
        <is>
          <t>중개거래</t>
        </is>
      </c>
      <c r="S1648" s="42" t="inlineStr">
        <is>
          <t>서울 서초구</t>
        </is>
      </c>
      <c r="T1648" s="41" t="inlineStr">
        <is>
          <t>24.07.25</t>
        </is>
      </c>
      <c r="U1648" s="42" t="inlineStr">
        <is>
          <t>아파트</t>
        </is>
      </c>
    </row>
    <row r="1649" hidden="1" ht="14.25" customHeight="1">
      <c r="A1649" s="41" t="n">
        <v>1116</v>
      </c>
      <c r="B1649" s="42" t="inlineStr">
        <is>
          <t>서울특별시 서초구 서초동</t>
        </is>
      </c>
      <c r="C1649" s="41" t="inlineStr">
        <is>
          <t>1445-4</t>
        </is>
      </c>
      <c r="D1649" s="41" t="inlineStr">
        <is>
          <t>1445</t>
        </is>
      </c>
      <c r="E1649" s="41" t="inlineStr">
        <is>
          <t>0004</t>
        </is>
      </c>
      <c r="F1649" s="42" t="inlineStr">
        <is>
          <t>래미안서초유니빌</t>
        </is>
      </c>
      <c r="G1649" s="41" t="inlineStr">
        <is>
          <t>45.2550</t>
        </is>
      </c>
      <c r="H1649" s="41" t="inlineStr">
        <is>
          <t>202404</t>
        </is>
      </c>
      <c r="I1649" s="41" t="inlineStr">
        <is>
          <t>15</t>
        </is>
      </c>
      <c r="J1649" s="41" t="inlineStr">
        <is>
          <t>45,300</t>
        </is>
      </c>
      <c r="K1649" s="42" t="inlineStr">
        <is>
          <t>래미안 서초유니빌</t>
        </is>
      </c>
      <c r="L1649" s="41" t="inlineStr">
        <is>
          <t>10</t>
        </is>
      </c>
      <c r="M1649" s="42" t="inlineStr">
        <is>
          <t>개인</t>
        </is>
      </c>
      <c r="N1649" s="42" t="inlineStr">
        <is>
          <t>개인</t>
        </is>
      </c>
      <c r="O1649" s="41" t="inlineStr">
        <is>
          <t>2003</t>
        </is>
      </c>
      <c r="P1649" s="42" t="inlineStr">
        <is>
          <t>서초중앙로 26</t>
        </is>
      </c>
      <c r="Q1649" s="41" t="inlineStr">
        <is>
          <t>-</t>
        </is>
      </c>
      <c r="R1649" s="42" t="inlineStr">
        <is>
          <t>직거래</t>
        </is>
      </c>
      <c r="S1649" s="41" t="inlineStr">
        <is>
          <t>-</t>
        </is>
      </c>
      <c r="T1649" s="41" t="inlineStr">
        <is>
          <t>24.05.08</t>
        </is>
      </c>
      <c r="U1649" s="42" t="inlineStr">
        <is>
          <t>아파트</t>
        </is>
      </c>
    </row>
    <row r="1650" hidden="1" ht="14.25" customHeight="1">
      <c r="A1650" s="41" t="n">
        <v>1117</v>
      </c>
      <c r="B1650" s="42" t="inlineStr">
        <is>
          <t>서울특별시 서초구 서초동</t>
        </is>
      </c>
      <c r="C1650" s="41" t="inlineStr">
        <is>
          <t>1641-13</t>
        </is>
      </c>
      <c r="D1650" s="41" t="inlineStr">
        <is>
          <t>1641</t>
        </is>
      </c>
      <c r="E1650" s="41" t="inlineStr">
        <is>
          <t>0013</t>
        </is>
      </c>
      <c r="F1650" s="42" t="inlineStr">
        <is>
          <t>아남</t>
        </is>
      </c>
      <c r="G1650" s="41" t="inlineStr">
        <is>
          <t>84.9600</t>
        </is>
      </c>
      <c r="H1650" s="41" t="inlineStr">
        <is>
          <t>202404</t>
        </is>
      </c>
      <c r="I1650" s="41" t="inlineStr">
        <is>
          <t>15</t>
        </is>
      </c>
      <c r="J1650" s="41" t="inlineStr">
        <is>
          <t>114,900</t>
        </is>
      </c>
      <c r="K1650" s="41" t="inlineStr">
        <is>
          <t>-</t>
        </is>
      </c>
      <c r="L1650" s="41" t="inlineStr">
        <is>
          <t>5</t>
        </is>
      </c>
      <c r="M1650" s="42" t="inlineStr">
        <is>
          <t>개인</t>
        </is>
      </c>
      <c r="N1650" s="42" t="inlineStr">
        <is>
          <t>개인</t>
        </is>
      </c>
      <c r="O1650" s="41" t="inlineStr">
        <is>
          <t>1989</t>
        </is>
      </c>
      <c r="P1650" s="42" t="inlineStr">
        <is>
          <t>사임당로23길 53</t>
        </is>
      </c>
      <c r="Q1650" s="41" t="inlineStr">
        <is>
          <t>20240418</t>
        </is>
      </c>
      <c r="R1650" s="42" t="inlineStr">
        <is>
          <t>직거래</t>
        </is>
      </c>
      <c r="S1650" s="41" t="inlineStr">
        <is>
          <t>-</t>
        </is>
      </c>
      <c r="T1650" s="41" t="inlineStr">
        <is>
          <t>-</t>
        </is>
      </c>
      <c r="U1650" s="42" t="inlineStr">
        <is>
          <t>아파트</t>
        </is>
      </c>
    </row>
    <row r="1651" hidden="1" ht="14.25" customHeight="1">
      <c r="A1651" s="41" t="n">
        <v>1118</v>
      </c>
      <c r="B1651" s="42" t="inlineStr">
        <is>
          <t>서울특별시 서초구 서초동</t>
        </is>
      </c>
      <c r="C1651" s="41" t="inlineStr">
        <is>
          <t>1357-25</t>
        </is>
      </c>
      <c r="D1651" s="41" t="inlineStr">
        <is>
          <t>1357</t>
        </is>
      </c>
      <c r="E1651" s="41" t="inlineStr">
        <is>
          <t>0025</t>
        </is>
      </c>
      <c r="F1651" s="42" t="inlineStr">
        <is>
          <t>서초아파트</t>
        </is>
      </c>
      <c r="G1651" s="41" t="inlineStr">
        <is>
          <t>71.5150</t>
        </is>
      </c>
      <c r="H1651" s="41" t="inlineStr">
        <is>
          <t>202404</t>
        </is>
      </c>
      <c r="I1651" s="41" t="inlineStr">
        <is>
          <t>15</t>
        </is>
      </c>
      <c r="J1651" s="41" t="inlineStr">
        <is>
          <t>89,500</t>
        </is>
      </c>
      <c r="K1651" s="42" t="inlineStr">
        <is>
          <t>서초</t>
        </is>
      </c>
      <c r="L1651" s="41" t="inlineStr">
        <is>
          <t>2</t>
        </is>
      </c>
      <c r="M1651" s="42" t="inlineStr">
        <is>
          <t>개인</t>
        </is>
      </c>
      <c r="N1651" s="42" t="inlineStr">
        <is>
          <t>개인</t>
        </is>
      </c>
      <c r="O1651" s="41" t="inlineStr">
        <is>
          <t>2004</t>
        </is>
      </c>
      <c r="P1651" s="42" t="inlineStr">
        <is>
          <t>강남대로45길 16-4</t>
        </is>
      </c>
      <c r="Q1651" s="41" t="inlineStr">
        <is>
          <t>-</t>
        </is>
      </c>
      <c r="R1651" s="42" t="inlineStr">
        <is>
          <t>중개거래</t>
        </is>
      </c>
      <c r="S1651" s="42" t="inlineStr">
        <is>
          <t>서울 성동구</t>
        </is>
      </c>
      <c r="T1651" s="41" t="inlineStr">
        <is>
          <t>24.05.20</t>
        </is>
      </c>
      <c r="U1651" s="42" t="inlineStr">
        <is>
          <t>아파트</t>
        </is>
      </c>
    </row>
    <row r="1652" hidden="1" ht="14.25" customHeight="1">
      <c r="A1652" s="41" t="n">
        <v>1119</v>
      </c>
      <c r="B1652" s="42" t="inlineStr">
        <is>
          <t>서울특별시 서초구 서초동</t>
        </is>
      </c>
      <c r="C1652" s="41" t="inlineStr">
        <is>
          <t>1311-10</t>
        </is>
      </c>
      <c r="D1652" s="41" t="inlineStr">
        <is>
          <t>1311</t>
        </is>
      </c>
      <c r="E1652" s="41" t="inlineStr">
        <is>
          <t>0010</t>
        </is>
      </c>
      <c r="F1652" s="42" t="inlineStr">
        <is>
          <t>서초푸르지오써밋</t>
        </is>
      </c>
      <c r="G1652" s="41" t="inlineStr">
        <is>
          <t>84.9300</t>
        </is>
      </c>
      <c r="H1652" s="41" t="inlineStr">
        <is>
          <t>202404</t>
        </is>
      </c>
      <c r="I1652" s="41" t="inlineStr">
        <is>
          <t>14</t>
        </is>
      </c>
      <c r="J1652" s="41" t="inlineStr">
        <is>
          <t>259,000</t>
        </is>
      </c>
      <c r="K1652" s="41" t="inlineStr">
        <is>
          <t>104</t>
        </is>
      </c>
      <c r="L1652" s="41" t="inlineStr">
        <is>
          <t>19</t>
        </is>
      </c>
      <c r="M1652" s="42" t="inlineStr">
        <is>
          <t>개인</t>
        </is>
      </c>
      <c r="N1652" s="42" t="inlineStr">
        <is>
          <t>개인</t>
        </is>
      </c>
      <c r="O1652" s="41" t="inlineStr">
        <is>
          <t>2017</t>
        </is>
      </c>
      <c r="P1652" s="42" t="inlineStr">
        <is>
          <t>서운로 201</t>
        </is>
      </c>
      <c r="Q1652" s="41" t="inlineStr">
        <is>
          <t>-</t>
        </is>
      </c>
      <c r="R1652" s="42" t="inlineStr">
        <is>
          <t>중개거래</t>
        </is>
      </c>
      <c r="S1652" s="42" t="inlineStr">
        <is>
          <t>서울 서초구</t>
        </is>
      </c>
      <c r="T1652" s="41" t="inlineStr">
        <is>
          <t>24.07.15</t>
        </is>
      </c>
      <c r="U1652" s="42" t="inlineStr">
        <is>
          <t>아파트</t>
        </is>
      </c>
    </row>
    <row r="1653" hidden="1" ht="14.25" customHeight="1">
      <c r="A1653" s="41" t="n">
        <v>1120</v>
      </c>
      <c r="B1653" s="42" t="inlineStr">
        <is>
          <t>서울특별시 서초구 서초동</t>
        </is>
      </c>
      <c r="C1653" s="41" t="inlineStr">
        <is>
          <t>1446-11</t>
        </is>
      </c>
      <c r="D1653" s="41" t="inlineStr">
        <is>
          <t>1446</t>
        </is>
      </c>
      <c r="E1653" s="41" t="inlineStr">
        <is>
          <t>0011</t>
        </is>
      </c>
      <c r="F1653" s="42" t="inlineStr">
        <is>
          <t>현대슈퍼빌</t>
        </is>
      </c>
      <c r="G1653" s="41" t="inlineStr">
        <is>
          <t>147.8600</t>
        </is>
      </c>
      <c r="H1653" s="41" t="inlineStr">
        <is>
          <t>202404</t>
        </is>
      </c>
      <c r="I1653" s="41" t="inlineStr">
        <is>
          <t>13</t>
        </is>
      </c>
      <c r="J1653" s="41" t="inlineStr">
        <is>
          <t>243,000</t>
        </is>
      </c>
      <c r="K1653" s="41" t="inlineStr">
        <is>
          <t>D</t>
        </is>
      </c>
      <c r="L1653" s="41" t="inlineStr">
        <is>
          <t>14</t>
        </is>
      </c>
      <c r="M1653" s="42" t="inlineStr">
        <is>
          <t>개인</t>
        </is>
      </c>
      <c r="N1653" s="42" t="inlineStr">
        <is>
          <t>개인</t>
        </is>
      </c>
      <c r="O1653" s="41" t="inlineStr">
        <is>
          <t>2003</t>
        </is>
      </c>
      <c r="P1653" s="42" t="inlineStr">
        <is>
          <t>서초중앙로 15</t>
        </is>
      </c>
      <c r="Q1653" s="41" t="inlineStr">
        <is>
          <t>-</t>
        </is>
      </c>
      <c r="R1653" s="42" t="inlineStr">
        <is>
          <t>중개거래</t>
        </is>
      </c>
      <c r="S1653" s="42" t="inlineStr">
        <is>
          <t>서울 서초구</t>
        </is>
      </c>
      <c r="T1653" s="41" t="inlineStr">
        <is>
          <t>25.04.01</t>
        </is>
      </c>
      <c r="U1653" s="42" t="inlineStr">
        <is>
          <t>아파트</t>
        </is>
      </c>
    </row>
    <row r="1654" hidden="1" ht="14.25" customHeight="1">
      <c r="A1654" s="41" t="n">
        <v>1121</v>
      </c>
      <c r="B1654" s="42" t="inlineStr">
        <is>
          <t>서울특별시 서초구 서초동</t>
        </is>
      </c>
      <c r="C1654" s="41" t="inlineStr">
        <is>
          <t>1685</t>
        </is>
      </c>
      <c r="D1654" s="41" t="inlineStr">
        <is>
          <t>1685</t>
        </is>
      </c>
      <c r="E1654" s="41" t="inlineStr">
        <is>
          <t>0000</t>
        </is>
      </c>
      <c r="F1654" s="42" t="inlineStr">
        <is>
          <t>삼풍아파트</t>
        </is>
      </c>
      <c r="G1654" s="41" t="inlineStr">
        <is>
          <t>79.4700</t>
        </is>
      </c>
      <c r="H1654" s="41" t="inlineStr">
        <is>
          <t>202404</t>
        </is>
      </c>
      <c r="I1654" s="41" t="inlineStr">
        <is>
          <t>13</t>
        </is>
      </c>
      <c r="J1654" s="41" t="inlineStr">
        <is>
          <t>250,000</t>
        </is>
      </c>
      <c r="K1654" s="41" t="inlineStr">
        <is>
          <t>6</t>
        </is>
      </c>
      <c r="L1654" s="41" t="inlineStr">
        <is>
          <t>13</t>
        </is>
      </c>
      <c r="M1654" s="42" t="inlineStr">
        <is>
          <t>개인</t>
        </is>
      </c>
      <c r="N1654" s="42" t="inlineStr">
        <is>
          <t>개인</t>
        </is>
      </c>
      <c r="O1654" s="41" t="inlineStr">
        <is>
          <t>1988</t>
        </is>
      </c>
      <c r="P1654" s="42" t="inlineStr">
        <is>
          <t>서초중앙로 200</t>
        </is>
      </c>
      <c r="Q1654" s="41" t="inlineStr">
        <is>
          <t>-</t>
        </is>
      </c>
      <c r="R1654" s="42" t="inlineStr">
        <is>
          <t>중개거래</t>
        </is>
      </c>
      <c r="S1654" s="42" t="inlineStr">
        <is>
          <t>서울 서초구</t>
        </is>
      </c>
      <c r="T1654" s="41" t="inlineStr">
        <is>
          <t>24.08.27</t>
        </is>
      </c>
      <c r="U1654" s="42" t="inlineStr">
        <is>
          <t>아파트</t>
        </is>
      </c>
    </row>
    <row r="1655" hidden="1" ht="14.25" customHeight="1">
      <c r="A1655" s="41" t="n">
        <v>1122</v>
      </c>
      <c r="B1655" s="42" t="inlineStr">
        <is>
          <t>서울특별시 서초구 서초동</t>
        </is>
      </c>
      <c r="C1655" s="41" t="inlineStr">
        <is>
          <t>1593-7</t>
        </is>
      </c>
      <c r="D1655" s="41" t="inlineStr">
        <is>
          <t>1593</t>
        </is>
      </c>
      <c r="E1655" s="41" t="inlineStr">
        <is>
          <t>0007</t>
        </is>
      </c>
      <c r="F1655" s="42" t="inlineStr">
        <is>
          <t>서초이오빌</t>
        </is>
      </c>
      <c r="G1655" s="41" t="inlineStr">
        <is>
          <t>50.7700</t>
        </is>
      </c>
      <c r="H1655" s="41" t="inlineStr">
        <is>
          <t>202404</t>
        </is>
      </c>
      <c r="I1655" s="41" t="inlineStr">
        <is>
          <t>12</t>
        </is>
      </c>
      <c r="J1655" s="41" t="inlineStr">
        <is>
          <t>60,000</t>
        </is>
      </c>
      <c r="K1655" s="41" t="inlineStr">
        <is>
          <t>-</t>
        </is>
      </c>
      <c r="L1655" s="41" t="inlineStr">
        <is>
          <t>23</t>
        </is>
      </c>
      <c r="M1655" s="42" t="inlineStr">
        <is>
          <t>개인</t>
        </is>
      </c>
      <c r="N1655" s="42" t="inlineStr">
        <is>
          <t>개인</t>
        </is>
      </c>
      <c r="O1655" s="41" t="inlineStr">
        <is>
          <t>2003</t>
        </is>
      </c>
      <c r="P1655" s="42" t="inlineStr">
        <is>
          <t>효령로53길 45</t>
        </is>
      </c>
      <c r="Q1655" s="41" t="inlineStr">
        <is>
          <t>-</t>
        </is>
      </c>
      <c r="R1655" s="42" t="inlineStr">
        <is>
          <t>중개거래</t>
        </is>
      </c>
      <c r="S1655" s="42" t="inlineStr">
        <is>
          <t>서울 서초구</t>
        </is>
      </c>
      <c r="T1655" s="41" t="inlineStr">
        <is>
          <t>24.04.29</t>
        </is>
      </c>
      <c r="U1655" s="42" t="inlineStr">
        <is>
          <t>아파트</t>
        </is>
      </c>
    </row>
    <row r="1656" hidden="1" ht="14.25" customHeight="1">
      <c r="A1656" s="41" t="n">
        <v>1123</v>
      </c>
      <c r="B1656" s="42" t="inlineStr">
        <is>
          <t>서울특별시 서초구 서초동</t>
        </is>
      </c>
      <c r="C1656" s="41" t="inlineStr">
        <is>
          <t>1511-3</t>
        </is>
      </c>
      <c r="D1656" s="41" t="inlineStr">
        <is>
          <t>1511</t>
        </is>
      </c>
      <c r="E1656" s="41" t="inlineStr">
        <is>
          <t>0003</t>
        </is>
      </c>
      <c r="F1656" s="41" t="inlineStr">
        <is>
          <t>N-Suite102동(1511-3)</t>
        </is>
      </c>
      <c r="G1656" s="41" t="inlineStr">
        <is>
          <t>120.4300</t>
        </is>
      </c>
      <c r="H1656" s="41" t="inlineStr">
        <is>
          <t>202404</t>
        </is>
      </c>
      <c r="I1656" s="41" t="inlineStr">
        <is>
          <t>12</t>
        </is>
      </c>
      <c r="J1656" s="41" t="inlineStr">
        <is>
          <t>132,000</t>
        </is>
      </c>
      <c r="K1656" s="41" t="inlineStr">
        <is>
          <t>102</t>
        </is>
      </c>
      <c r="L1656" s="41" t="inlineStr">
        <is>
          <t>4</t>
        </is>
      </c>
      <c r="M1656" s="42" t="inlineStr">
        <is>
          <t>개인</t>
        </is>
      </c>
      <c r="N1656" s="42" t="inlineStr">
        <is>
          <t>개인</t>
        </is>
      </c>
      <c r="O1656" s="41" t="inlineStr">
        <is>
          <t>2004</t>
        </is>
      </c>
      <c r="P1656" s="42" t="inlineStr">
        <is>
          <t>명달로22길 64</t>
        </is>
      </c>
      <c r="Q1656" s="41" t="inlineStr">
        <is>
          <t>-</t>
        </is>
      </c>
      <c r="R1656" s="42" t="inlineStr">
        <is>
          <t>중개거래</t>
        </is>
      </c>
      <c r="S1656" s="42" t="inlineStr">
        <is>
          <t>서울 서초구</t>
        </is>
      </c>
      <c r="T1656" s="41" t="inlineStr">
        <is>
          <t>24.04.25</t>
        </is>
      </c>
      <c r="U1656" s="42" t="inlineStr">
        <is>
          <t>아파트</t>
        </is>
      </c>
    </row>
    <row r="1657" hidden="1" ht="14.25" customHeight="1">
      <c r="A1657" s="41" t="n">
        <v>1124</v>
      </c>
      <c r="B1657" s="42" t="inlineStr">
        <is>
          <t>서울특별시 서초구 서초동</t>
        </is>
      </c>
      <c r="C1657" s="41" t="inlineStr">
        <is>
          <t>1582-3</t>
        </is>
      </c>
      <c r="D1657" s="41" t="inlineStr">
        <is>
          <t>1582</t>
        </is>
      </c>
      <c r="E1657" s="41" t="inlineStr">
        <is>
          <t>0003</t>
        </is>
      </c>
      <c r="F1657" s="42" t="inlineStr">
        <is>
          <t>서초센트럴IPARK</t>
        </is>
      </c>
      <c r="G1657" s="41" t="inlineStr">
        <is>
          <t>80.5004</t>
        </is>
      </c>
      <c r="H1657" s="41" t="inlineStr">
        <is>
          <t>202404</t>
        </is>
      </c>
      <c r="I1657" s="41" t="inlineStr">
        <is>
          <t>10</t>
        </is>
      </c>
      <c r="J1657" s="41" t="inlineStr">
        <is>
          <t>164,000</t>
        </is>
      </c>
      <c r="K1657" s="41" t="inlineStr">
        <is>
          <t>102동</t>
        </is>
      </c>
      <c r="L1657" s="41" t="inlineStr">
        <is>
          <t>20</t>
        </is>
      </c>
      <c r="M1657" s="42" t="inlineStr">
        <is>
          <t>개인</t>
        </is>
      </c>
      <c r="N1657" s="42" t="inlineStr">
        <is>
          <t>개인</t>
        </is>
      </c>
      <c r="O1657" s="41" t="inlineStr">
        <is>
          <t>2020</t>
        </is>
      </c>
      <c r="P1657" s="42" t="inlineStr">
        <is>
          <t>반포대로18길 36</t>
        </is>
      </c>
      <c r="Q1657" s="41" t="inlineStr">
        <is>
          <t>-</t>
        </is>
      </c>
      <c r="R1657" s="42" t="inlineStr">
        <is>
          <t>중개거래</t>
        </is>
      </c>
      <c r="S1657" s="42" t="inlineStr">
        <is>
          <t>서울 서초구</t>
        </is>
      </c>
      <c r="T1657" s="41" t="inlineStr">
        <is>
          <t>24.05.29</t>
        </is>
      </c>
      <c r="U1657" s="42" t="inlineStr">
        <is>
          <t>아파트</t>
        </is>
      </c>
    </row>
    <row r="1658" hidden="1" ht="14.25" customHeight="1">
      <c r="A1658" s="41" t="n">
        <v>1125</v>
      </c>
      <c r="B1658" s="42" t="inlineStr">
        <is>
          <t>서울특별시 서초구 서초동</t>
        </is>
      </c>
      <c r="C1658" s="41" t="inlineStr">
        <is>
          <t>1444-7</t>
        </is>
      </c>
      <c r="D1658" s="41" t="inlineStr">
        <is>
          <t>1444</t>
        </is>
      </c>
      <c r="E1658" s="41" t="inlineStr">
        <is>
          <t>0007</t>
        </is>
      </c>
      <c r="F1658" s="42" t="inlineStr">
        <is>
          <t>서초자이</t>
        </is>
      </c>
      <c r="G1658" s="41" t="inlineStr">
        <is>
          <t>148.8300</t>
        </is>
      </c>
      <c r="H1658" s="41" t="inlineStr">
        <is>
          <t>202404</t>
        </is>
      </c>
      <c r="I1658" s="41" t="inlineStr">
        <is>
          <t>10</t>
        </is>
      </c>
      <c r="J1658" s="41" t="inlineStr">
        <is>
          <t>257,000</t>
        </is>
      </c>
      <c r="K1658" s="41" t="inlineStr">
        <is>
          <t>102</t>
        </is>
      </c>
      <c r="L1658" s="41" t="inlineStr">
        <is>
          <t>10</t>
        </is>
      </c>
      <c r="M1658" s="42" t="inlineStr">
        <is>
          <t>개인</t>
        </is>
      </c>
      <c r="N1658" s="42" t="inlineStr">
        <is>
          <t>개인</t>
        </is>
      </c>
      <c r="O1658" s="41" t="inlineStr">
        <is>
          <t>2006</t>
        </is>
      </c>
      <c r="P1658" s="42" t="inlineStr">
        <is>
          <t>효령로68길 81</t>
        </is>
      </c>
      <c r="Q1658" s="41" t="inlineStr">
        <is>
          <t>-</t>
        </is>
      </c>
      <c r="R1658" s="42" t="inlineStr">
        <is>
          <t>중개거래</t>
        </is>
      </c>
      <c r="S1658" s="42" t="inlineStr">
        <is>
          <t>서울 서초구</t>
        </is>
      </c>
      <c r="T1658" s="41" t="inlineStr">
        <is>
          <t>24.05.08</t>
        </is>
      </c>
      <c r="U1658" s="42" t="inlineStr">
        <is>
          <t>아파트</t>
        </is>
      </c>
    </row>
    <row r="1659" hidden="1" ht="14.25" customHeight="1">
      <c r="A1659" s="41" t="n">
        <v>1126</v>
      </c>
      <c r="B1659" s="42" t="inlineStr">
        <is>
          <t>서울특별시 서초구 서초동</t>
        </is>
      </c>
      <c r="C1659" s="41" t="inlineStr">
        <is>
          <t>1315</t>
        </is>
      </c>
      <c r="D1659" s="41" t="inlineStr">
        <is>
          <t>1315</t>
        </is>
      </c>
      <c r="E1659" s="41" t="inlineStr">
        <is>
          <t>0000</t>
        </is>
      </c>
      <c r="F1659" s="42" t="inlineStr">
        <is>
          <t>진흥아파트</t>
        </is>
      </c>
      <c r="G1659" s="41" t="inlineStr">
        <is>
          <t>101.3200</t>
        </is>
      </c>
      <c r="H1659" s="41" t="inlineStr">
        <is>
          <t>202404</t>
        </is>
      </c>
      <c r="I1659" s="41" t="inlineStr">
        <is>
          <t>10</t>
        </is>
      </c>
      <c r="J1659" s="41" t="inlineStr">
        <is>
          <t>207,000</t>
        </is>
      </c>
      <c r="K1659" s="41" t="inlineStr">
        <is>
          <t>2</t>
        </is>
      </c>
      <c r="L1659" s="41" t="inlineStr">
        <is>
          <t>2</t>
        </is>
      </c>
      <c r="M1659" s="42" t="inlineStr">
        <is>
          <t>개인</t>
        </is>
      </c>
      <c r="N1659" s="42" t="inlineStr">
        <is>
          <t>개인</t>
        </is>
      </c>
      <c r="O1659" s="41" t="inlineStr">
        <is>
          <t>1979</t>
        </is>
      </c>
      <c r="P1659" s="42" t="inlineStr">
        <is>
          <t>서초대로 385</t>
        </is>
      </c>
      <c r="Q1659" s="41" t="inlineStr">
        <is>
          <t>-</t>
        </is>
      </c>
      <c r="R1659" s="42" t="inlineStr">
        <is>
          <t>중개거래</t>
        </is>
      </c>
      <c r="S1659" s="42" t="inlineStr">
        <is>
          <t>서울 서초구</t>
        </is>
      </c>
      <c r="T1659" s="41" t="inlineStr">
        <is>
          <t>24.05.27</t>
        </is>
      </c>
      <c r="U1659" s="42" t="inlineStr">
        <is>
          <t>아파트</t>
        </is>
      </c>
    </row>
    <row r="1660" hidden="1" ht="14.25" customHeight="1">
      <c r="A1660" s="41" t="n">
        <v>1</v>
      </c>
      <c r="B1660" s="42" t="inlineStr">
        <is>
          <t>서울특별시 서초구 서초동</t>
        </is>
      </c>
      <c r="C1660" s="41" t="inlineStr">
        <is>
          <t>1467-62</t>
        </is>
      </c>
      <c r="D1660" s="41" t="inlineStr">
        <is>
          <t>1467</t>
        </is>
      </c>
      <c r="E1660" s="41" t="inlineStr">
        <is>
          <t>0062</t>
        </is>
      </c>
      <c r="F1660" s="42" t="inlineStr">
        <is>
          <t>서초5차e편한세상</t>
        </is>
      </c>
      <c r="G1660" s="41" t="inlineStr">
        <is>
          <t>158.2400</t>
        </is>
      </c>
      <c r="H1660" s="41" t="inlineStr">
        <is>
          <t>202604</t>
        </is>
      </c>
      <c r="I1660" s="41" t="inlineStr">
        <is>
          <t>06</t>
        </is>
      </c>
      <c r="J1660" s="41" t="inlineStr">
        <is>
          <t>258,000</t>
        </is>
      </c>
      <c r="K1660" s="41" t="inlineStr">
        <is>
          <t>-</t>
        </is>
      </c>
      <c r="L1660" s="41" t="inlineStr">
        <is>
          <t>13</t>
        </is>
      </c>
      <c r="M1660" s="42" t="inlineStr">
        <is>
          <t>개인</t>
        </is>
      </c>
      <c r="N1660" s="42" t="inlineStr">
        <is>
          <t>개인</t>
        </is>
      </c>
      <c r="O1660" s="41" t="inlineStr">
        <is>
          <t>2005</t>
        </is>
      </c>
      <c r="P1660" s="42" t="inlineStr">
        <is>
          <t>명달로4길 30</t>
        </is>
      </c>
      <c r="Q1660" s="41" t="inlineStr">
        <is>
          <t>-</t>
        </is>
      </c>
      <c r="R1660" s="42" t="inlineStr">
        <is>
          <t>직거래</t>
        </is>
      </c>
      <c r="S1660" s="41" t="inlineStr">
        <is>
          <t>-</t>
        </is>
      </c>
      <c r="T1660" s="41" t="inlineStr">
        <is>
          <t>-</t>
        </is>
      </c>
      <c r="U1660" s="42" t="inlineStr">
        <is>
          <t>아파트</t>
        </is>
      </c>
    </row>
    <row r="1661" hidden="1" ht="14.25" customHeight="1">
      <c r="A1661" s="41" t="n">
        <v>2</v>
      </c>
      <c r="B1661" s="42" t="inlineStr">
        <is>
          <t>서울특별시 서초구 서초동</t>
        </is>
      </c>
      <c r="C1661" s="41" t="inlineStr">
        <is>
          <t>1617-13</t>
        </is>
      </c>
      <c r="D1661" s="41" t="inlineStr">
        <is>
          <t>1617</t>
        </is>
      </c>
      <c r="E1661" s="41" t="inlineStr">
        <is>
          <t>0013</t>
        </is>
      </c>
      <c r="F1661" s="42" t="inlineStr">
        <is>
          <t>상지리츠빌(1617-13)</t>
        </is>
      </c>
      <c r="G1661" s="41" t="inlineStr">
        <is>
          <t>163.8400</t>
        </is>
      </c>
      <c r="H1661" s="41" t="inlineStr">
        <is>
          <t>202603</t>
        </is>
      </c>
      <c r="I1661" s="41" t="inlineStr">
        <is>
          <t>27</t>
        </is>
      </c>
      <c r="J1661" s="41" t="inlineStr">
        <is>
          <t>143,500</t>
        </is>
      </c>
      <c r="K1661" s="41" t="inlineStr">
        <is>
          <t>-</t>
        </is>
      </c>
      <c r="L1661" s="41" t="inlineStr">
        <is>
          <t>2</t>
        </is>
      </c>
      <c r="M1661" s="42" t="inlineStr">
        <is>
          <t>개인</t>
        </is>
      </c>
      <c r="N1661" s="42" t="inlineStr">
        <is>
          <t>개인</t>
        </is>
      </c>
      <c r="O1661" s="41" t="inlineStr">
        <is>
          <t>2004</t>
        </is>
      </c>
      <c r="P1661" s="42" t="inlineStr">
        <is>
          <t>서리풀4길 36</t>
        </is>
      </c>
      <c r="Q1661" s="41" t="inlineStr">
        <is>
          <t>-</t>
        </is>
      </c>
      <c r="R1661" s="42" t="inlineStr">
        <is>
          <t>직거래</t>
        </is>
      </c>
      <c r="S1661" s="41" t="inlineStr">
        <is>
          <t>-</t>
        </is>
      </c>
      <c r="T1661" s="41" t="inlineStr">
        <is>
          <t>-</t>
        </is>
      </c>
      <c r="U1661" s="42" t="inlineStr">
        <is>
          <t>아파트</t>
        </is>
      </c>
    </row>
    <row r="1662" hidden="1" ht="14.25" customHeight="1">
      <c r="A1662" s="41" t="n">
        <v>3</v>
      </c>
      <c r="B1662" s="42" t="inlineStr">
        <is>
          <t>서울특별시 서초구 서초동</t>
        </is>
      </c>
      <c r="C1662" s="41" t="inlineStr">
        <is>
          <t>1330</t>
        </is>
      </c>
      <c r="D1662" s="41" t="inlineStr">
        <is>
          <t>1330</t>
        </is>
      </c>
      <c r="E1662" s="41" t="inlineStr">
        <is>
          <t>0000</t>
        </is>
      </c>
      <c r="F1662" s="42" t="inlineStr">
        <is>
          <t>서초동삼성쉐르빌2</t>
        </is>
      </c>
      <c r="G1662" s="41" t="inlineStr">
        <is>
          <t>35.2200</t>
        </is>
      </c>
      <c r="H1662" s="41" t="inlineStr">
        <is>
          <t>202603</t>
        </is>
      </c>
      <c r="I1662" s="41" t="inlineStr">
        <is>
          <t>26</t>
        </is>
      </c>
      <c r="J1662" s="41" t="inlineStr">
        <is>
          <t>27,000</t>
        </is>
      </c>
      <c r="K1662" s="41" t="inlineStr">
        <is>
          <t>-</t>
        </is>
      </c>
      <c r="L1662" s="41" t="inlineStr">
        <is>
          <t>6</t>
        </is>
      </c>
      <c r="M1662" s="42" t="inlineStr">
        <is>
          <t>개인</t>
        </is>
      </c>
      <c r="N1662" s="42" t="inlineStr">
        <is>
          <t>개인</t>
        </is>
      </c>
      <c r="O1662" s="41" t="inlineStr">
        <is>
          <t>2002</t>
        </is>
      </c>
      <c r="P1662" s="42" t="inlineStr">
        <is>
          <t>강남대로53길 11</t>
        </is>
      </c>
      <c r="Q1662" s="41" t="inlineStr">
        <is>
          <t>-</t>
        </is>
      </c>
      <c r="R1662" s="42" t="inlineStr">
        <is>
          <t>중개거래</t>
        </is>
      </c>
      <c r="S1662" s="42" t="inlineStr">
        <is>
          <t>서울 서초구</t>
        </is>
      </c>
      <c r="T1662" s="41" t="inlineStr">
        <is>
          <t>26.04.01</t>
        </is>
      </c>
      <c r="U1662" s="42" t="inlineStr">
        <is>
          <t>아파트</t>
        </is>
      </c>
    </row>
    <row r="1663" hidden="1" ht="14.25" customHeight="1">
      <c r="A1663" s="41" t="n">
        <v>4</v>
      </c>
      <c r="B1663" s="42" t="inlineStr">
        <is>
          <t>서울특별시 서초구 서초동</t>
        </is>
      </c>
      <c r="C1663" s="41" t="inlineStr">
        <is>
          <t>1444-3</t>
        </is>
      </c>
      <c r="D1663" s="41" t="inlineStr">
        <is>
          <t>1444</t>
        </is>
      </c>
      <c r="E1663" s="41" t="inlineStr">
        <is>
          <t>0003</t>
        </is>
      </c>
      <c r="F1663" s="42" t="inlineStr">
        <is>
          <t>초원현대</t>
        </is>
      </c>
      <c r="G1663" s="41" t="inlineStr">
        <is>
          <t>59.7600</t>
        </is>
      </c>
      <c r="H1663" s="41" t="inlineStr">
        <is>
          <t>202603</t>
        </is>
      </c>
      <c r="I1663" s="41" t="inlineStr">
        <is>
          <t>25</t>
        </is>
      </c>
      <c r="J1663" s="41" t="inlineStr">
        <is>
          <t>144,000</t>
        </is>
      </c>
      <c r="K1663" s="41" t="inlineStr">
        <is>
          <t>-</t>
        </is>
      </c>
      <c r="L1663" s="41" t="inlineStr">
        <is>
          <t>12</t>
        </is>
      </c>
      <c r="M1663" s="42" t="inlineStr">
        <is>
          <t>개인</t>
        </is>
      </c>
      <c r="N1663" s="42" t="inlineStr">
        <is>
          <t>개인</t>
        </is>
      </c>
      <c r="O1663" s="41" t="inlineStr">
        <is>
          <t>1998</t>
        </is>
      </c>
      <c r="P1663" s="42" t="inlineStr">
        <is>
          <t>효령로68길 105</t>
        </is>
      </c>
      <c r="Q1663" s="41" t="inlineStr">
        <is>
          <t>-</t>
        </is>
      </c>
      <c r="R1663" s="42" t="inlineStr">
        <is>
          <t>중개거래</t>
        </is>
      </c>
      <c r="S1663" s="42" t="inlineStr">
        <is>
          <t>서울 서초구</t>
        </is>
      </c>
      <c r="T1663" s="41" t="inlineStr">
        <is>
          <t>-</t>
        </is>
      </c>
      <c r="U1663" s="42" t="inlineStr">
        <is>
          <t>아파트</t>
        </is>
      </c>
    </row>
    <row r="1664" hidden="1" ht="14.25" customHeight="1">
      <c r="A1664" s="41" t="n">
        <v>5</v>
      </c>
      <c r="B1664" s="42" t="inlineStr">
        <is>
          <t>서울특별시 서초구 서초동</t>
        </is>
      </c>
      <c r="C1664" s="41" t="inlineStr">
        <is>
          <t>1609-6</t>
        </is>
      </c>
      <c r="D1664" s="41" t="inlineStr">
        <is>
          <t>1609</t>
        </is>
      </c>
      <c r="E1664" s="41" t="inlineStr">
        <is>
          <t>0006</t>
        </is>
      </c>
      <c r="F1664" s="42" t="inlineStr">
        <is>
          <t>두진한아름</t>
        </is>
      </c>
      <c r="G1664" s="41" t="inlineStr">
        <is>
          <t>84.9600</t>
        </is>
      </c>
      <c r="H1664" s="41" t="inlineStr">
        <is>
          <t>202603</t>
        </is>
      </c>
      <c r="I1664" s="41" t="inlineStr">
        <is>
          <t>24</t>
        </is>
      </c>
      <c r="J1664" s="41" t="inlineStr">
        <is>
          <t>140,000</t>
        </is>
      </c>
      <c r="K1664" s="41" t="inlineStr">
        <is>
          <t>-</t>
        </is>
      </c>
      <c r="L1664" s="41" t="inlineStr">
        <is>
          <t>2</t>
        </is>
      </c>
      <c r="M1664" s="42" t="inlineStr">
        <is>
          <t>개인</t>
        </is>
      </c>
      <c r="N1664" s="42" t="inlineStr">
        <is>
          <t>개인</t>
        </is>
      </c>
      <c r="O1664" s="41" t="inlineStr">
        <is>
          <t>1995</t>
        </is>
      </c>
      <c r="P1664" s="42" t="inlineStr">
        <is>
          <t>효령로67길 52</t>
        </is>
      </c>
      <c r="Q1664" s="41" t="inlineStr">
        <is>
          <t>-</t>
        </is>
      </c>
      <c r="R1664" s="42" t="inlineStr">
        <is>
          <t>직거래</t>
        </is>
      </c>
      <c r="S1664" s="41" t="inlineStr">
        <is>
          <t>-</t>
        </is>
      </c>
      <c r="T1664" s="41" t="inlineStr">
        <is>
          <t>26.03.25</t>
        </is>
      </c>
      <c r="U1664" s="42" t="inlineStr">
        <is>
          <t>아파트</t>
        </is>
      </c>
    </row>
    <row r="1665" hidden="1" ht="14.25" customHeight="1">
      <c r="A1665" s="41" t="n">
        <v>6</v>
      </c>
      <c r="B1665" s="42" t="inlineStr">
        <is>
          <t>서울특별시 서초구 서초동</t>
        </is>
      </c>
      <c r="C1665" s="41" t="inlineStr">
        <is>
          <t>1330</t>
        </is>
      </c>
      <c r="D1665" s="41" t="inlineStr">
        <is>
          <t>1330</t>
        </is>
      </c>
      <c r="E1665" s="41" t="inlineStr">
        <is>
          <t>0000</t>
        </is>
      </c>
      <c r="F1665" s="42" t="inlineStr">
        <is>
          <t>서초동삼성쉐르빌2</t>
        </is>
      </c>
      <c r="G1665" s="41" t="inlineStr">
        <is>
          <t>35.2200</t>
        </is>
      </c>
      <c r="H1665" s="41" t="inlineStr">
        <is>
          <t>202603</t>
        </is>
      </c>
      <c r="I1665" s="41" t="inlineStr">
        <is>
          <t>24</t>
        </is>
      </c>
      <c r="J1665" s="41" t="inlineStr">
        <is>
          <t>32,200</t>
        </is>
      </c>
      <c r="K1665" s="41" t="inlineStr">
        <is>
          <t>-</t>
        </is>
      </c>
      <c r="L1665" s="41" t="inlineStr">
        <is>
          <t>8</t>
        </is>
      </c>
      <c r="M1665" s="42" t="inlineStr">
        <is>
          <t>개인</t>
        </is>
      </c>
      <c r="N1665" s="42" t="inlineStr">
        <is>
          <t>개인</t>
        </is>
      </c>
      <c r="O1665" s="41" t="inlineStr">
        <is>
          <t>2002</t>
        </is>
      </c>
      <c r="P1665" s="42" t="inlineStr">
        <is>
          <t>강남대로53길 11</t>
        </is>
      </c>
      <c r="Q1665" s="41" t="inlineStr">
        <is>
          <t>-</t>
        </is>
      </c>
      <c r="R1665" s="42" t="inlineStr">
        <is>
          <t>중개거래</t>
        </is>
      </c>
      <c r="S1665" s="42" t="inlineStr">
        <is>
          <t>서울 서초구</t>
        </is>
      </c>
      <c r="T1665" s="41" t="inlineStr">
        <is>
          <t>-</t>
        </is>
      </c>
      <c r="U1665" s="42" t="inlineStr">
        <is>
          <t>아파트</t>
        </is>
      </c>
    </row>
    <row r="1666" hidden="1" ht="14.25" customHeight="1">
      <c r="A1666" s="41" t="n">
        <v>7</v>
      </c>
      <c r="B1666" s="42" t="inlineStr">
        <is>
          <t>서울특별시 서초구 서초동</t>
        </is>
      </c>
      <c r="C1666" s="41" t="inlineStr">
        <is>
          <t>1445-4</t>
        </is>
      </c>
      <c r="D1666" s="41" t="inlineStr">
        <is>
          <t>1445</t>
        </is>
      </c>
      <c r="E1666" s="41" t="inlineStr">
        <is>
          <t>0004</t>
        </is>
      </c>
      <c r="F1666" s="42" t="inlineStr">
        <is>
          <t>래미안서초유니빌</t>
        </is>
      </c>
      <c r="G1666" s="41" t="inlineStr">
        <is>
          <t>49.7450</t>
        </is>
      </c>
      <c r="H1666" s="41" t="inlineStr">
        <is>
          <t>202603</t>
        </is>
      </c>
      <c r="I1666" s="41" t="inlineStr">
        <is>
          <t>24</t>
        </is>
      </c>
      <c r="J1666" s="41" t="inlineStr">
        <is>
          <t>59,200</t>
        </is>
      </c>
      <c r="K1666" s="42" t="inlineStr">
        <is>
          <t>래미안 서초유니빌</t>
        </is>
      </c>
      <c r="L1666" s="41" t="inlineStr">
        <is>
          <t>5</t>
        </is>
      </c>
      <c r="M1666" s="42" t="inlineStr">
        <is>
          <t>개인</t>
        </is>
      </c>
      <c r="N1666" s="42" t="inlineStr">
        <is>
          <t>개인</t>
        </is>
      </c>
      <c r="O1666" s="41" t="inlineStr">
        <is>
          <t>2003</t>
        </is>
      </c>
      <c r="P1666" s="42" t="inlineStr">
        <is>
          <t>서초중앙로 26</t>
        </is>
      </c>
      <c r="Q1666" s="41" t="inlineStr">
        <is>
          <t>-</t>
        </is>
      </c>
      <c r="R1666" s="42" t="inlineStr">
        <is>
          <t>중개거래</t>
        </is>
      </c>
      <c r="S1666" s="42" t="inlineStr">
        <is>
          <t>서울 서초구</t>
        </is>
      </c>
      <c r="T1666" s="41" t="inlineStr">
        <is>
          <t>26.04.02</t>
        </is>
      </c>
      <c r="U1666" s="42" t="inlineStr">
        <is>
          <t>아파트</t>
        </is>
      </c>
    </row>
    <row r="1667" hidden="1" ht="14.25" customHeight="1">
      <c r="A1667" s="41" t="n">
        <v>8</v>
      </c>
      <c r="B1667" s="42" t="inlineStr">
        <is>
          <t>서울특별시 서초구 서초동</t>
        </is>
      </c>
      <c r="C1667" s="41" t="inlineStr">
        <is>
          <t>1609-6</t>
        </is>
      </c>
      <c r="D1667" s="41" t="inlineStr">
        <is>
          <t>1609</t>
        </is>
      </c>
      <c r="E1667" s="41" t="inlineStr">
        <is>
          <t>0006</t>
        </is>
      </c>
      <c r="F1667" s="42" t="inlineStr">
        <is>
          <t>두진한아름</t>
        </is>
      </c>
      <c r="G1667" s="41" t="inlineStr">
        <is>
          <t>59.9700</t>
        </is>
      </c>
      <c r="H1667" s="41" t="inlineStr">
        <is>
          <t>202603</t>
        </is>
      </c>
      <c r="I1667" s="41" t="inlineStr">
        <is>
          <t>21</t>
        </is>
      </c>
      <c r="J1667" s="41" t="inlineStr">
        <is>
          <t>117,000</t>
        </is>
      </c>
      <c r="K1667" s="41" t="inlineStr">
        <is>
          <t>-</t>
        </is>
      </c>
      <c r="L1667" s="41" t="inlineStr">
        <is>
          <t>5</t>
        </is>
      </c>
      <c r="M1667" s="42" t="inlineStr">
        <is>
          <t>개인</t>
        </is>
      </c>
      <c r="N1667" s="42" t="inlineStr">
        <is>
          <t>개인</t>
        </is>
      </c>
      <c r="O1667" s="41" t="inlineStr">
        <is>
          <t>1995</t>
        </is>
      </c>
      <c r="P1667" s="42" t="inlineStr">
        <is>
          <t>효령로67길 52</t>
        </is>
      </c>
      <c r="Q1667" s="41" t="inlineStr">
        <is>
          <t>-</t>
        </is>
      </c>
      <c r="R1667" s="42" t="inlineStr">
        <is>
          <t>중개거래</t>
        </is>
      </c>
      <c r="S1667" s="42" t="inlineStr">
        <is>
          <t>서울 서초구</t>
        </is>
      </c>
      <c r="T1667" s="41" t="inlineStr">
        <is>
          <t>-</t>
        </is>
      </c>
      <c r="U1667" s="42" t="inlineStr">
        <is>
          <t>아파트</t>
        </is>
      </c>
    </row>
    <row r="1668" hidden="1" ht="14.25" customHeight="1">
      <c r="A1668" s="41" t="n">
        <v>9</v>
      </c>
      <c r="B1668" s="42" t="inlineStr">
        <is>
          <t>서울특별시 서초구 서초동</t>
        </is>
      </c>
      <c r="C1668" s="41" t="inlineStr">
        <is>
          <t>1685-3</t>
        </is>
      </c>
      <c r="D1668" s="41" t="inlineStr">
        <is>
          <t>1685</t>
        </is>
      </c>
      <c r="E1668" s="41" t="inlineStr">
        <is>
          <t>0003</t>
        </is>
      </c>
      <c r="F1668" s="42" t="inlineStr">
        <is>
          <t>아크로비스타</t>
        </is>
      </c>
      <c r="G1668" s="41" t="inlineStr">
        <is>
          <t>138.9600</t>
        </is>
      </c>
      <c r="H1668" s="41" t="inlineStr">
        <is>
          <t>202603</t>
        </is>
      </c>
      <c r="I1668" s="41" t="inlineStr">
        <is>
          <t>21</t>
        </is>
      </c>
      <c r="J1668" s="41" t="inlineStr">
        <is>
          <t>290,000</t>
        </is>
      </c>
      <c r="K1668" s="41" t="inlineStr">
        <is>
          <t>-</t>
        </is>
      </c>
      <c r="L1668" s="41" t="inlineStr">
        <is>
          <t>6</t>
        </is>
      </c>
      <c r="M1668" s="42" t="inlineStr">
        <is>
          <t>개인</t>
        </is>
      </c>
      <c r="N1668" s="42" t="inlineStr">
        <is>
          <t>개인</t>
        </is>
      </c>
      <c r="O1668" s="41" t="inlineStr">
        <is>
          <t>2004</t>
        </is>
      </c>
      <c r="P1668" s="42" t="inlineStr">
        <is>
          <t>서초중앙로 188</t>
        </is>
      </c>
      <c r="Q1668" s="41" t="inlineStr">
        <is>
          <t>-</t>
        </is>
      </c>
      <c r="R1668" s="42" t="inlineStr">
        <is>
          <t>중개거래</t>
        </is>
      </c>
      <c r="S1668" s="42" t="inlineStr">
        <is>
          <t>서울 서초구</t>
        </is>
      </c>
      <c r="T1668" s="41" t="inlineStr">
        <is>
          <t>-</t>
        </is>
      </c>
      <c r="U1668" s="42" t="inlineStr">
        <is>
          <t>아파트</t>
        </is>
      </c>
    </row>
    <row r="1669" hidden="1" ht="14.25" customHeight="1">
      <c r="A1669" s="41" t="n">
        <v>10</v>
      </c>
      <c r="B1669" s="42" t="inlineStr">
        <is>
          <t>서울특별시 서초구 서초동</t>
        </is>
      </c>
      <c r="C1669" s="41" t="inlineStr">
        <is>
          <t>1677-11</t>
        </is>
      </c>
      <c r="D1669" s="41" t="inlineStr">
        <is>
          <t>1677</t>
        </is>
      </c>
      <c r="E1669" s="41" t="inlineStr">
        <is>
          <t>0011</t>
        </is>
      </c>
      <c r="F1669" s="42" t="inlineStr">
        <is>
          <t>삼환바우스</t>
        </is>
      </c>
      <c r="G1669" s="41" t="inlineStr">
        <is>
          <t>84.9800</t>
        </is>
      </c>
      <c r="H1669" s="41" t="inlineStr">
        <is>
          <t>202603</t>
        </is>
      </c>
      <c r="I1669" s="41" t="inlineStr">
        <is>
          <t>20</t>
        </is>
      </c>
      <c r="J1669" s="41" t="inlineStr">
        <is>
          <t>150,000</t>
        </is>
      </c>
      <c r="K1669" s="41" t="inlineStr">
        <is>
          <t>-</t>
        </is>
      </c>
      <c r="L1669" s="41" t="inlineStr">
        <is>
          <t>8</t>
        </is>
      </c>
      <c r="M1669" s="42" t="inlineStr">
        <is>
          <t>개인</t>
        </is>
      </c>
      <c r="N1669" s="42" t="inlineStr">
        <is>
          <t>개인</t>
        </is>
      </c>
      <c r="O1669" s="41" t="inlineStr">
        <is>
          <t>2006</t>
        </is>
      </c>
      <c r="P1669" s="42" t="inlineStr">
        <is>
          <t>서초대로 340</t>
        </is>
      </c>
      <c r="Q1669" s="41" t="inlineStr">
        <is>
          <t>-</t>
        </is>
      </c>
      <c r="R1669" s="42" t="inlineStr">
        <is>
          <t>중개거래</t>
        </is>
      </c>
      <c r="S1669" s="42" t="inlineStr">
        <is>
          <t>서울 서초구</t>
        </is>
      </c>
      <c r="T1669" s="41" t="inlineStr">
        <is>
          <t>-</t>
        </is>
      </c>
      <c r="U1669" s="42" t="inlineStr">
        <is>
          <t>아파트</t>
        </is>
      </c>
    </row>
    <row r="1670" hidden="1" ht="14.25" customHeight="1">
      <c r="A1670" s="41" t="n">
        <v>11</v>
      </c>
      <c r="B1670" s="42" t="inlineStr">
        <is>
          <t>서울특별시 서초구 서초동</t>
        </is>
      </c>
      <c r="C1670" s="41" t="inlineStr">
        <is>
          <t>1675-10</t>
        </is>
      </c>
      <c r="D1670" s="41" t="inlineStr">
        <is>
          <t>1675</t>
        </is>
      </c>
      <c r="E1670" s="41" t="inlineStr">
        <is>
          <t>0010</t>
        </is>
      </c>
      <c r="F1670" s="42" t="inlineStr">
        <is>
          <t>지에스타워</t>
        </is>
      </c>
      <c r="G1670" s="41" t="inlineStr">
        <is>
          <t>26.4300</t>
        </is>
      </c>
      <c r="H1670" s="41" t="inlineStr">
        <is>
          <t>202603</t>
        </is>
      </c>
      <c r="I1670" s="41" t="inlineStr">
        <is>
          <t>20</t>
        </is>
      </c>
      <c r="J1670" s="41" t="inlineStr">
        <is>
          <t>39,500</t>
        </is>
      </c>
      <c r="K1670" s="41" t="inlineStr">
        <is>
          <t>-</t>
        </is>
      </c>
      <c r="L1670" s="41" t="inlineStr">
        <is>
          <t>8</t>
        </is>
      </c>
      <c r="M1670" s="42" t="inlineStr">
        <is>
          <t>개인</t>
        </is>
      </c>
      <c r="N1670" s="42" t="inlineStr">
        <is>
          <t>개인</t>
        </is>
      </c>
      <c r="O1670" s="41" t="inlineStr">
        <is>
          <t>2022</t>
        </is>
      </c>
      <c r="P1670" s="42" t="inlineStr">
        <is>
          <t>서초대로58길 18</t>
        </is>
      </c>
      <c r="Q1670" s="41" t="inlineStr">
        <is>
          <t>-</t>
        </is>
      </c>
      <c r="R1670" s="42" t="inlineStr">
        <is>
          <t>중개거래</t>
        </is>
      </c>
      <c r="S1670" s="42" t="inlineStr">
        <is>
          <t>서울 서초구</t>
        </is>
      </c>
      <c r="T1670" s="41" t="inlineStr">
        <is>
          <t>-</t>
        </is>
      </c>
      <c r="U1670" s="42" t="inlineStr">
        <is>
          <t>아파트</t>
        </is>
      </c>
    </row>
    <row r="1671" hidden="1" ht="14.25" customHeight="1">
      <c r="A1671" s="41" t="n">
        <v>12</v>
      </c>
      <c r="B1671" s="42" t="inlineStr">
        <is>
          <t>서울특별시 서초구 서초동</t>
        </is>
      </c>
      <c r="C1671" s="41" t="inlineStr">
        <is>
          <t>1566-19</t>
        </is>
      </c>
      <c r="D1671" s="41" t="inlineStr">
        <is>
          <t>1566</t>
        </is>
      </c>
      <c r="E1671" s="41" t="inlineStr">
        <is>
          <t>0019</t>
        </is>
      </c>
      <c r="F1671" s="42" t="inlineStr">
        <is>
          <t>서초노빌리에</t>
        </is>
      </c>
      <c r="G1671" s="41" t="inlineStr">
        <is>
          <t>81.3600</t>
        </is>
      </c>
      <c r="H1671" s="41" t="inlineStr">
        <is>
          <t>202603</t>
        </is>
      </c>
      <c r="I1671" s="41" t="inlineStr">
        <is>
          <t>20</t>
        </is>
      </c>
      <c r="J1671" s="41" t="inlineStr">
        <is>
          <t>124,000</t>
        </is>
      </c>
      <c r="K1671" s="41" t="inlineStr">
        <is>
          <t>-</t>
        </is>
      </c>
      <c r="L1671" s="41" t="inlineStr">
        <is>
          <t>1</t>
        </is>
      </c>
      <c r="M1671" s="42" t="inlineStr">
        <is>
          <t>개인</t>
        </is>
      </c>
      <c r="N1671" s="42" t="inlineStr">
        <is>
          <t>개인</t>
        </is>
      </c>
      <c r="O1671" s="41" t="inlineStr">
        <is>
          <t>2006</t>
        </is>
      </c>
      <c r="P1671" s="42" t="inlineStr">
        <is>
          <t>서초대로46길 96</t>
        </is>
      </c>
      <c r="Q1671" s="41" t="inlineStr">
        <is>
          <t>-</t>
        </is>
      </c>
      <c r="R1671" s="42" t="inlineStr">
        <is>
          <t>중개거래</t>
        </is>
      </c>
      <c r="S1671" s="42" t="inlineStr">
        <is>
          <t>서울 서초구</t>
        </is>
      </c>
      <c r="T1671" s="41" t="inlineStr">
        <is>
          <t>-</t>
        </is>
      </c>
      <c r="U1671" s="42" t="inlineStr">
        <is>
          <t>아파트</t>
        </is>
      </c>
    </row>
    <row r="1672" hidden="1" ht="14.25" customHeight="1">
      <c r="A1672" s="41" t="n">
        <v>13</v>
      </c>
      <c r="B1672" s="42" t="inlineStr">
        <is>
          <t>서울특별시 서초구 서초동</t>
        </is>
      </c>
      <c r="C1672" s="41" t="inlineStr">
        <is>
          <t>1682</t>
        </is>
      </c>
      <c r="D1672" s="41" t="inlineStr">
        <is>
          <t>1682</t>
        </is>
      </c>
      <c r="E1672" s="41" t="inlineStr">
        <is>
          <t>0000</t>
        </is>
      </c>
      <c r="F1672" s="42" t="inlineStr">
        <is>
          <t>서초래미안</t>
        </is>
      </c>
      <c r="G1672" s="41" t="inlineStr">
        <is>
          <t>111.3200</t>
        </is>
      </c>
      <c r="H1672" s="41" t="inlineStr">
        <is>
          <t>202603</t>
        </is>
      </c>
      <c r="I1672" s="41" t="inlineStr">
        <is>
          <t>17</t>
        </is>
      </c>
      <c r="J1672" s="41" t="inlineStr">
        <is>
          <t>330,000</t>
        </is>
      </c>
      <c r="K1672" s="41" t="inlineStr">
        <is>
          <t>-</t>
        </is>
      </c>
      <c r="L1672" s="41" t="inlineStr">
        <is>
          <t>14</t>
        </is>
      </c>
      <c r="M1672" s="42" t="inlineStr">
        <is>
          <t>개인</t>
        </is>
      </c>
      <c r="N1672" s="42" t="inlineStr">
        <is>
          <t>개인</t>
        </is>
      </c>
      <c r="O1672" s="41" t="inlineStr">
        <is>
          <t>2003</t>
        </is>
      </c>
      <c r="P1672" s="42" t="inlineStr">
        <is>
          <t>서초대로65길 13-10</t>
        </is>
      </c>
      <c r="Q1672" s="41" t="inlineStr">
        <is>
          <t>-</t>
        </is>
      </c>
      <c r="R1672" s="42" t="inlineStr">
        <is>
          <t>중개거래</t>
        </is>
      </c>
      <c r="S1672" s="42" t="inlineStr">
        <is>
          <t>서울 서초구</t>
        </is>
      </c>
      <c r="T1672" s="41" t="inlineStr">
        <is>
          <t>-</t>
        </is>
      </c>
      <c r="U1672" s="42" t="inlineStr">
        <is>
          <t>아파트</t>
        </is>
      </c>
    </row>
    <row r="1673" hidden="1" ht="14.25" customHeight="1">
      <c r="A1673" s="41" t="n">
        <v>14</v>
      </c>
      <c r="B1673" s="42" t="inlineStr">
        <is>
          <t>서울특별시 서초구 서초동</t>
        </is>
      </c>
      <c r="C1673" s="41" t="inlineStr">
        <is>
          <t>1326</t>
        </is>
      </c>
      <c r="D1673" s="41" t="inlineStr">
        <is>
          <t>1326</t>
        </is>
      </c>
      <c r="E1673" s="41" t="inlineStr">
        <is>
          <t>0000</t>
        </is>
      </c>
      <c r="F1673" s="42" t="inlineStr">
        <is>
          <t>삼성서초가든스위트</t>
        </is>
      </c>
      <c r="G1673" s="41" t="inlineStr">
        <is>
          <t>189.8100</t>
        </is>
      </c>
      <c r="H1673" s="41" t="inlineStr">
        <is>
          <t>202603</t>
        </is>
      </c>
      <c r="I1673" s="41" t="inlineStr">
        <is>
          <t>17</t>
        </is>
      </c>
      <c r="J1673" s="41" t="inlineStr">
        <is>
          <t>445,000</t>
        </is>
      </c>
      <c r="K1673" s="41" t="inlineStr">
        <is>
          <t>-</t>
        </is>
      </c>
      <c r="L1673" s="41" t="inlineStr">
        <is>
          <t>9</t>
        </is>
      </c>
      <c r="M1673" s="42" t="inlineStr">
        <is>
          <t>개인</t>
        </is>
      </c>
      <c r="N1673" s="42" t="inlineStr">
        <is>
          <t>개인</t>
        </is>
      </c>
      <c r="O1673" s="41" t="inlineStr">
        <is>
          <t>2000</t>
        </is>
      </c>
      <c r="P1673" s="42" t="inlineStr">
        <is>
          <t>서운로 122</t>
        </is>
      </c>
      <c r="Q1673" s="41" t="inlineStr">
        <is>
          <t>-</t>
        </is>
      </c>
      <c r="R1673" s="42" t="inlineStr">
        <is>
          <t>중개거래</t>
        </is>
      </c>
      <c r="S1673" s="42" t="inlineStr">
        <is>
          <t>서울 서초구</t>
        </is>
      </c>
      <c r="T1673" s="41" t="inlineStr">
        <is>
          <t>-</t>
        </is>
      </c>
      <c r="U1673" s="42" t="inlineStr">
        <is>
          <t>아파트</t>
        </is>
      </c>
    </row>
    <row r="1674" hidden="1" ht="14.25" customHeight="1">
      <c r="A1674" s="41" t="n">
        <v>15</v>
      </c>
      <c r="B1674" s="42" t="inlineStr">
        <is>
          <t>서울특별시 서초구 서초동</t>
        </is>
      </c>
      <c r="C1674" s="41" t="inlineStr">
        <is>
          <t>1350-13</t>
        </is>
      </c>
      <c r="D1674" s="41" t="inlineStr">
        <is>
          <t>1350</t>
        </is>
      </c>
      <c r="E1674" s="41" t="inlineStr">
        <is>
          <t>0013</t>
        </is>
      </c>
      <c r="F1674" s="42" t="inlineStr">
        <is>
          <t>동원베네스트아파트</t>
        </is>
      </c>
      <c r="G1674" s="41" t="inlineStr">
        <is>
          <t>84.9000</t>
        </is>
      </c>
      <c r="H1674" s="41" t="inlineStr">
        <is>
          <t>202603</t>
        </is>
      </c>
      <c r="I1674" s="41" t="inlineStr">
        <is>
          <t>16</t>
        </is>
      </c>
      <c r="J1674" s="41" t="inlineStr">
        <is>
          <t>196,000</t>
        </is>
      </c>
      <c r="K1674" s="41" t="inlineStr">
        <is>
          <t>-</t>
        </is>
      </c>
      <c r="L1674" s="41" t="inlineStr">
        <is>
          <t>7</t>
        </is>
      </c>
      <c r="M1674" s="42" t="inlineStr">
        <is>
          <t>개인</t>
        </is>
      </c>
      <c r="N1674" s="42" t="inlineStr">
        <is>
          <t>개인</t>
        </is>
      </c>
      <c r="O1674" s="41" t="inlineStr">
        <is>
          <t>2002</t>
        </is>
      </c>
      <c r="P1674" s="42" t="inlineStr">
        <is>
          <t>서운로9길 63</t>
        </is>
      </c>
      <c r="Q1674" s="41" t="inlineStr">
        <is>
          <t>-</t>
        </is>
      </c>
      <c r="R1674" s="42" t="inlineStr">
        <is>
          <t>중개거래</t>
        </is>
      </c>
      <c r="S1674" s="42" t="inlineStr">
        <is>
          <t>서울 서초구</t>
        </is>
      </c>
      <c r="T1674" s="41" t="inlineStr">
        <is>
          <t>-</t>
        </is>
      </c>
      <c r="U1674" s="42" t="inlineStr">
        <is>
          <t>아파트</t>
        </is>
      </c>
    </row>
    <row r="1675" hidden="1" ht="14.25" customHeight="1">
      <c r="A1675" s="41" t="n">
        <v>16</v>
      </c>
      <c r="B1675" s="42" t="inlineStr">
        <is>
          <t>서울특별시 서초구 서초동</t>
        </is>
      </c>
      <c r="C1675" s="41" t="inlineStr">
        <is>
          <t>1684</t>
        </is>
      </c>
      <c r="D1675" s="41" t="inlineStr">
        <is>
          <t>1684</t>
        </is>
      </c>
      <c r="E1675" s="41" t="inlineStr">
        <is>
          <t>0000</t>
        </is>
      </c>
      <c r="F1675" s="42" t="inlineStr">
        <is>
          <t>서초4현대</t>
        </is>
      </c>
      <c r="G1675" s="41" t="inlineStr">
        <is>
          <t>52.3600</t>
        </is>
      </c>
      <c r="H1675" s="41" t="inlineStr">
        <is>
          <t>202603</t>
        </is>
      </c>
      <c r="I1675" s="41" t="inlineStr">
        <is>
          <t>15</t>
        </is>
      </c>
      <c r="J1675" s="41" t="inlineStr">
        <is>
          <t>160,000</t>
        </is>
      </c>
      <c r="K1675" s="41" t="inlineStr">
        <is>
          <t>-</t>
        </is>
      </c>
      <c r="L1675" s="41" t="inlineStr">
        <is>
          <t>8</t>
        </is>
      </c>
      <c r="M1675" s="42" t="inlineStr">
        <is>
          <t>개인</t>
        </is>
      </c>
      <c r="N1675" s="42" t="inlineStr">
        <is>
          <t>개인</t>
        </is>
      </c>
      <c r="O1675" s="41" t="inlineStr">
        <is>
          <t>2000</t>
        </is>
      </c>
      <c r="P1675" s="42" t="inlineStr">
        <is>
          <t>고무래로 94</t>
        </is>
      </c>
      <c r="Q1675" s="41" t="inlineStr">
        <is>
          <t>-</t>
        </is>
      </c>
      <c r="R1675" s="42" t="inlineStr">
        <is>
          <t>중개거래</t>
        </is>
      </c>
      <c r="S1675" s="42" t="inlineStr">
        <is>
          <t>서울 서초구</t>
        </is>
      </c>
      <c r="T1675" s="41" t="inlineStr">
        <is>
          <t>-</t>
        </is>
      </c>
      <c r="U1675" s="42" t="inlineStr">
        <is>
          <t>아파트</t>
        </is>
      </c>
    </row>
    <row r="1676" hidden="1" ht="14.25" customHeight="1">
      <c r="A1676" s="41" t="n">
        <v>17</v>
      </c>
      <c r="B1676" s="42" t="inlineStr">
        <is>
          <t>서울특별시 서초구 서초동</t>
        </is>
      </c>
      <c r="C1676" s="41" t="inlineStr">
        <is>
          <t>1347-20</t>
        </is>
      </c>
      <c r="D1676" s="41" t="inlineStr">
        <is>
          <t>1347</t>
        </is>
      </c>
      <c r="E1676" s="41" t="inlineStr">
        <is>
          <t>0020</t>
        </is>
      </c>
      <c r="F1676" s="42" t="inlineStr">
        <is>
          <t>서초벽산블루밍</t>
        </is>
      </c>
      <c r="G1676" s="41" t="inlineStr">
        <is>
          <t>84.3900</t>
        </is>
      </c>
      <c r="H1676" s="41" t="inlineStr">
        <is>
          <t>202603</t>
        </is>
      </c>
      <c r="I1676" s="41" t="inlineStr">
        <is>
          <t>14</t>
        </is>
      </c>
      <c r="J1676" s="41" t="inlineStr">
        <is>
          <t>195,000</t>
        </is>
      </c>
      <c r="K1676" s="41" t="inlineStr">
        <is>
          <t>-</t>
        </is>
      </c>
      <c r="L1676" s="41" t="inlineStr">
        <is>
          <t>6</t>
        </is>
      </c>
      <c r="M1676" s="42" t="inlineStr">
        <is>
          <t>개인</t>
        </is>
      </c>
      <c r="N1676" s="42" t="inlineStr">
        <is>
          <t>개인</t>
        </is>
      </c>
      <c r="O1676" s="41" t="inlineStr">
        <is>
          <t>2006</t>
        </is>
      </c>
      <c r="P1676" s="42" t="inlineStr">
        <is>
          <t>효령로74길 56</t>
        </is>
      </c>
      <c r="Q1676" s="41" t="inlineStr">
        <is>
          <t>-</t>
        </is>
      </c>
      <c r="R1676" s="42" t="inlineStr">
        <is>
          <t>중개거래</t>
        </is>
      </c>
      <c r="S1676" s="42" t="inlineStr">
        <is>
          <t>서울 서초구</t>
        </is>
      </c>
      <c r="T1676" s="41" t="inlineStr">
        <is>
          <t>-</t>
        </is>
      </c>
      <c r="U1676" s="42" t="inlineStr">
        <is>
          <t>아파트</t>
        </is>
      </c>
    </row>
    <row r="1677" hidden="1" ht="14.25" customHeight="1">
      <c r="A1677" s="41" t="n">
        <v>18</v>
      </c>
      <c r="B1677" s="42" t="inlineStr">
        <is>
          <t>서울특별시 서초구 서초동</t>
        </is>
      </c>
      <c r="C1677" s="41" t="inlineStr">
        <is>
          <t>1671-5</t>
        </is>
      </c>
      <c r="D1677" s="41" t="inlineStr">
        <is>
          <t>1671</t>
        </is>
      </c>
      <c r="E1677" s="41" t="inlineStr">
        <is>
          <t>0005</t>
        </is>
      </c>
      <c r="F1677" s="42" t="inlineStr">
        <is>
          <t>대림서초리시온</t>
        </is>
      </c>
      <c r="G1677" s="41" t="inlineStr">
        <is>
          <t>33.5400</t>
        </is>
      </c>
      <c r="H1677" s="41" t="inlineStr">
        <is>
          <t>202603</t>
        </is>
      </c>
      <c r="I1677" s="41" t="inlineStr">
        <is>
          <t>14</t>
        </is>
      </c>
      <c r="J1677" s="41" t="inlineStr">
        <is>
          <t>40,000</t>
        </is>
      </c>
      <c r="K1677" s="41" t="inlineStr">
        <is>
          <t>-</t>
        </is>
      </c>
      <c r="L1677" s="41" t="inlineStr">
        <is>
          <t>11</t>
        </is>
      </c>
      <c r="M1677" s="42" t="inlineStr">
        <is>
          <t>개인</t>
        </is>
      </c>
      <c r="N1677" s="42" t="inlineStr">
        <is>
          <t>개인</t>
        </is>
      </c>
      <c r="O1677" s="41" t="inlineStr">
        <is>
          <t>2003</t>
        </is>
      </c>
      <c r="P1677" s="42" t="inlineStr">
        <is>
          <t>서초중앙로22길 25</t>
        </is>
      </c>
      <c r="Q1677" s="41" t="inlineStr">
        <is>
          <t>-</t>
        </is>
      </c>
      <c r="R1677" s="42" t="inlineStr">
        <is>
          <t>중개거래</t>
        </is>
      </c>
      <c r="S1677" s="42" t="inlineStr">
        <is>
          <t>서울 서초구</t>
        </is>
      </c>
      <c r="T1677" s="41" t="inlineStr">
        <is>
          <t>26.03.25</t>
        </is>
      </c>
      <c r="U1677" s="42" t="inlineStr">
        <is>
          <t>아파트</t>
        </is>
      </c>
    </row>
    <row r="1678" hidden="1" ht="14.25" customHeight="1">
      <c r="A1678" s="41" t="n">
        <v>19</v>
      </c>
      <c r="B1678" s="42" t="inlineStr">
        <is>
          <t>서울특별시 서초구 서초동</t>
        </is>
      </c>
      <c r="C1678" s="41" t="inlineStr">
        <is>
          <t>1445-4</t>
        </is>
      </c>
      <c r="D1678" s="41" t="inlineStr">
        <is>
          <t>1445</t>
        </is>
      </c>
      <c r="E1678" s="41" t="inlineStr">
        <is>
          <t>0004</t>
        </is>
      </c>
      <c r="F1678" s="42" t="inlineStr">
        <is>
          <t>래미안서초유니빌</t>
        </is>
      </c>
      <c r="G1678" s="41" t="inlineStr">
        <is>
          <t>43.6250</t>
        </is>
      </c>
      <c r="H1678" s="41" t="inlineStr">
        <is>
          <t>202603</t>
        </is>
      </c>
      <c r="I1678" s="41" t="inlineStr">
        <is>
          <t>14</t>
        </is>
      </c>
      <c r="J1678" s="41" t="inlineStr">
        <is>
          <t>46,000</t>
        </is>
      </c>
      <c r="K1678" s="41" t="inlineStr">
        <is>
          <t>-</t>
        </is>
      </c>
      <c r="L1678" s="41" t="inlineStr">
        <is>
          <t>9</t>
        </is>
      </c>
      <c r="M1678" s="42" t="inlineStr">
        <is>
          <t>개인</t>
        </is>
      </c>
      <c r="N1678" s="42" t="inlineStr">
        <is>
          <t>개인</t>
        </is>
      </c>
      <c r="O1678" s="41" t="inlineStr">
        <is>
          <t>2003</t>
        </is>
      </c>
      <c r="P1678" s="42" t="inlineStr">
        <is>
          <t>서초중앙로 26</t>
        </is>
      </c>
      <c r="Q1678" s="41" t="inlineStr">
        <is>
          <t>-</t>
        </is>
      </c>
      <c r="R1678" s="42" t="inlineStr">
        <is>
          <t>중개거래</t>
        </is>
      </c>
      <c r="S1678" s="42" t="inlineStr">
        <is>
          <t>서울 서초구</t>
        </is>
      </c>
      <c r="T1678" s="41" t="inlineStr">
        <is>
          <t>-</t>
        </is>
      </c>
      <c r="U1678" s="42" t="inlineStr">
        <is>
          <t>아파트</t>
        </is>
      </c>
    </row>
    <row r="1679" hidden="1" ht="14.25" customHeight="1">
      <c r="A1679" s="41" t="n">
        <v>20</v>
      </c>
      <c r="B1679" s="42" t="inlineStr">
        <is>
          <t>서울특별시 서초구 서초동</t>
        </is>
      </c>
      <c r="C1679" s="41" t="inlineStr">
        <is>
          <t>1444-7</t>
        </is>
      </c>
      <c r="D1679" s="41" t="inlineStr">
        <is>
          <t>1444</t>
        </is>
      </c>
      <c r="E1679" s="41" t="inlineStr">
        <is>
          <t>0007</t>
        </is>
      </c>
      <c r="F1679" s="42" t="inlineStr">
        <is>
          <t>서초자이</t>
        </is>
      </c>
      <c r="G1679" s="41" t="inlineStr">
        <is>
          <t>133.4700</t>
        </is>
      </c>
      <c r="H1679" s="41" t="inlineStr">
        <is>
          <t>202603</t>
        </is>
      </c>
      <c r="I1679" s="41" t="inlineStr">
        <is>
          <t>09</t>
        </is>
      </c>
      <c r="J1679" s="41" t="inlineStr">
        <is>
          <t>265,000</t>
        </is>
      </c>
      <c r="K1679" s="41" t="inlineStr">
        <is>
          <t>-</t>
        </is>
      </c>
      <c r="L1679" s="41" t="inlineStr">
        <is>
          <t>3</t>
        </is>
      </c>
      <c r="M1679" s="42" t="inlineStr">
        <is>
          <t>개인</t>
        </is>
      </c>
      <c r="N1679" s="42" t="inlineStr">
        <is>
          <t>개인</t>
        </is>
      </c>
      <c r="O1679" s="41" t="inlineStr">
        <is>
          <t>2006</t>
        </is>
      </c>
      <c r="P1679" s="42" t="inlineStr">
        <is>
          <t>효령로68길 81</t>
        </is>
      </c>
      <c r="Q1679" s="41" t="inlineStr">
        <is>
          <t>-</t>
        </is>
      </c>
      <c r="R1679" s="42" t="inlineStr">
        <is>
          <t>중개거래</t>
        </is>
      </c>
      <c r="S1679" s="42" t="inlineStr">
        <is>
          <t>서울 서초구</t>
        </is>
      </c>
      <c r="T1679" s="41" t="inlineStr">
        <is>
          <t>-</t>
        </is>
      </c>
      <c r="U1679" s="42" t="inlineStr">
        <is>
          <t>아파트</t>
        </is>
      </c>
    </row>
    <row r="1680" hidden="1" ht="14.25" customHeight="1">
      <c r="A1680" s="41" t="n">
        <v>21</v>
      </c>
      <c r="B1680" s="42" t="inlineStr">
        <is>
          <t>서울특별시 서초구 서초동</t>
        </is>
      </c>
      <c r="C1680" s="41" t="inlineStr">
        <is>
          <t>1675-11</t>
        </is>
      </c>
      <c r="D1680" s="41" t="inlineStr">
        <is>
          <t>1675</t>
        </is>
      </c>
      <c r="E1680" s="41" t="inlineStr">
        <is>
          <t>0011</t>
        </is>
      </c>
      <c r="F1680" s="42" t="inlineStr">
        <is>
          <t>서초대우아이빌</t>
        </is>
      </c>
      <c r="G1680" s="41" t="inlineStr">
        <is>
          <t>65.0880</t>
        </is>
      </c>
      <c r="H1680" s="41" t="inlineStr">
        <is>
          <t>202603</t>
        </is>
      </c>
      <c r="I1680" s="41" t="inlineStr">
        <is>
          <t>08</t>
        </is>
      </c>
      <c r="J1680" s="41" t="inlineStr">
        <is>
          <t>77,800</t>
        </is>
      </c>
      <c r="K1680" s="41" t="inlineStr">
        <is>
          <t>-</t>
        </is>
      </c>
      <c r="L1680" s="41" t="inlineStr">
        <is>
          <t>5</t>
        </is>
      </c>
      <c r="M1680" s="42" t="inlineStr">
        <is>
          <t>개인</t>
        </is>
      </c>
      <c r="N1680" s="42" t="inlineStr">
        <is>
          <t>개인</t>
        </is>
      </c>
      <c r="O1680" s="41" t="inlineStr">
        <is>
          <t>2003</t>
        </is>
      </c>
      <c r="P1680" s="42" t="inlineStr">
        <is>
          <t>서초대로58길 10</t>
        </is>
      </c>
      <c r="Q1680" s="41" t="inlineStr">
        <is>
          <t>-</t>
        </is>
      </c>
      <c r="R1680" s="42" t="inlineStr">
        <is>
          <t>중개거래</t>
        </is>
      </c>
      <c r="S1680" s="42" t="inlineStr">
        <is>
          <t>서울 서초구</t>
        </is>
      </c>
      <c r="T1680" s="41" t="inlineStr">
        <is>
          <t>-</t>
        </is>
      </c>
      <c r="U1680" s="42" t="inlineStr">
        <is>
          <t>아파트</t>
        </is>
      </c>
    </row>
    <row r="1681" hidden="1" ht="14.25" customHeight="1">
      <c r="A1681" s="41" t="n">
        <v>22</v>
      </c>
      <c r="B1681" s="42" t="inlineStr">
        <is>
          <t>서울특별시 서초구 서초동</t>
        </is>
      </c>
      <c r="C1681" s="41" t="inlineStr">
        <is>
          <t>1675-11</t>
        </is>
      </c>
      <c r="D1681" s="41" t="inlineStr">
        <is>
          <t>1675</t>
        </is>
      </c>
      <c r="E1681" s="41" t="inlineStr">
        <is>
          <t>0011</t>
        </is>
      </c>
      <c r="F1681" s="42" t="inlineStr">
        <is>
          <t>서초대우아이빌</t>
        </is>
      </c>
      <c r="G1681" s="41" t="inlineStr">
        <is>
          <t>65.0880</t>
        </is>
      </c>
      <c r="H1681" s="41" t="inlineStr">
        <is>
          <t>202603</t>
        </is>
      </c>
      <c r="I1681" s="41" t="inlineStr">
        <is>
          <t>08</t>
        </is>
      </c>
      <c r="J1681" s="41" t="inlineStr">
        <is>
          <t>77,800</t>
        </is>
      </c>
      <c r="K1681" s="41" t="inlineStr">
        <is>
          <t>-</t>
        </is>
      </c>
      <c r="L1681" s="41" t="inlineStr">
        <is>
          <t>5</t>
        </is>
      </c>
      <c r="M1681" s="42" t="inlineStr">
        <is>
          <t>개인</t>
        </is>
      </c>
      <c r="N1681" s="42" t="inlineStr">
        <is>
          <t>개인</t>
        </is>
      </c>
      <c r="O1681" s="41" t="inlineStr">
        <is>
          <t>2003</t>
        </is>
      </c>
      <c r="P1681" s="42" t="inlineStr">
        <is>
          <t>서초대로58길 10</t>
        </is>
      </c>
      <c r="Q1681" s="41" t="inlineStr">
        <is>
          <t>-</t>
        </is>
      </c>
      <c r="R1681" s="42" t="inlineStr">
        <is>
          <t>중개거래</t>
        </is>
      </c>
      <c r="S1681" s="42" t="inlineStr">
        <is>
          <t>서울 서초구</t>
        </is>
      </c>
      <c r="T1681" s="41" t="inlineStr">
        <is>
          <t>-</t>
        </is>
      </c>
      <c r="U1681" s="42" t="inlineStr">
        <is>
          <t>아파트</t>
        </is>
      </c>
    </row>
    <row r="1682" hidden="1" ht="14.25" customHeight="1">
      <c r="A1682" s="41" t="n">
        <v>23</v>
      </c>
      <c r="B1682" s="42" t="inlineStr">
        <is>
          <t>서울특별시 서초구 서초동</t>
        </is>
      </c>
      <c r="C1682" s="41" t="inlineStr">
        <is>
          <t>1641-13</t>
        </is>
      </c>
      <c r="D1682" s="41" t="inlineStr">
        <is>
          <t>1641</t>
        </is>
      </c>
      <c r="E1682" s="41" t="inlineStr">
        <is>
          <t>0013</t>
        </is>
      </c>
      <c r="F1682" s="42" t="inlineStr">
        <is>
          <t>아남</t>
        </is>
      </c>
      <c r="G1682" s="41" t="inlineStr">
        <is>
          <t>71.1000</t>
        </is>
      </c>
      <c r="H1682" s="41" t="inlineStr">
        <is>
          <t>202603</t>
        </is>
      </c>
      <c r="I1682" s="41" t="inlineStr">
        <is>
          <t>07</t>
        </is>
      </c>
      <c r="J1682" s="41" t="inlineStr">
        <is>
          <t>207,000</t>
        </is>
      </c>
      <c r="K1682" s="41" t="inlineStr">
        <is>
          <t>-</t>
        </is>
      </c>
      <c r="L1682" s="41" t="inlineStr">
        <is>
          <t>13</t>
        </is>
      </c>
      <c r="M1682" s="42" t="inlineStr">
        <is>
          <t>개인</t>
        </is>
      </c>
      <c r="N1682" s="42" t="inlineStr">
        <is>
          <t>개인</t>
        </is>
      </c>
      <c r="O1682" s="41" t="inlineStr">
        <is>
          <t>1989</t>
        </is>
      </c>
      <c r="P1682" s="42" t="inlineStr">
        <is>
          <t>사임당로23길 53</t>
        </is>
      </c>
      <c r="Q1682" s="41" t="inlineStr">
        <is>
          <t>-</t>
        </is>
      </c>
      <c r="R1682" s="42" t="inlineStr">
        <is>
          <t>중개거래</t>
        </is>
      </c>
      <c r="S1682" s="42" t="inlineStr">
        <is>
          <t>서울 서초구</t>
        </is>
      </c>
      <c r="T1682" s="41" t="inlineStr">
        <is>
          <t>-</t>
        </is>
      </c>
      <c r="U1682" s="42" t="inlineStr">
        <is>
          <t>아파트</t>
        </is>
      </c>
    </row>
    <row r="1683" hidden="1" ht="14.25" customHeight="1">
      <c r="A1683" s="41" t="n">
        <v>24</v>
      </c>
      <c r="B1683" s="42" t="inlineStr">
        <is>
          <t>서울특별시 서초구 서초동</t>
        </is>
      </c>
      <c r="C1683" s="41" t="inlineStr">
        <is>
          <t>1682</t>
        </is>
      </c>
      <c r="D1683" s="41" t="inlineStr">
        <is>
          <t>1682</t>
        </is>
      </c>
      <c r="E1683" s="41" t="inlineStr">
        <is>
          <t>0000</t>
        </is>
      </c>
      <c r="F1683" s="42" t="inlineStr">
        <is>
          <t>서초래미안</t>
        </is>
      </c>
      <c r="G1683" s="41" t="inlineStr">
        <is>
          <t>111.3200</t>
        </is>
      </c>
      <c r="H1683" s="41" t="inlineStr">
        <is>
          <t>202603</t>
        </is>
      </c>
      <c r="I1683" s="41" t="inlineStr">
        <is>
          <t>06</t>
        </is>
      </c>
      <c r="J1683" s="41" t="inlineStr">
        <is>
          <t>342,000</t>
        </is>
      </c>
      <c r="K1683" s="41" t="inlineStr">
        <is>
          <t>-</t>
        </is>
      </c>
      <c r="L1683" s="41" t="inlineStr">
        <is>
          <t>25</t>
        </is>
      </c>
      <c r="M1683" s="42" t="inlineStr">
        <is>
          <t>개인</t>
        </is>
      </c>
      <c r="N1683" s="42" t="inlineStr">
        <is>
          <t>개인</t>
        </is>
      </c>
      <c r="O1683" s="41" t="inlineStr">
        <is>
          <t>2003</t>
        </is>
      </c>
      <c r="P1683" s="42" t="inlineStr">
        <is>
          <t>서초대로65길 13-10</t>
        </is>
      </c>
      <c r="Q1683" s="41" t="inlineStr">
        <is>
          <t>-</t>
        </is>
      </c>
      <c r="R1683" s="42" t="inlineStr">
        <is>
          <t>중개거래</t>
        </is>
      </c>
      <c r="S1683" s="42" t="inlineStr">
        <is>
          <t>서울 강남구, 서울 서초구</t>
        </is>
      </c>
      <c r="T1683" s="41" t="inlineStr">
        <is>
          <t>-</t>
        </is>
      </c>
      <c r="U1683" s="42" t="inlineStr">
        <is>
          <t>아파트</t>
        </is>
      </c>
    </row>
    <row r="1684" hidden="1" ht="14.25" customHeight="1">
      <c r="A1684" s="41" t="n">
        <v>25</v>
      </c>
      <c r="B1684" s="42" t="inlineStr">
        <is>
          <t>서울특별시 서초구 서초동</t>
        </is>
      </c>
      <c r="C1684" s="41" t="inlineStr">
        <is>
          <t>1593-7</t>
        </is>
      </c>
      <c r="D1684" s="41" t="inlineStr">
        <is>
          <t>1593</t>
        </is>
      </c>
      <c r="E1684" s="41" t="inlineStr">
        <is>
          <t>0007</t>
        </is>
      </c>
      <c r="F1684" s="42" t="inlineStr">
        <is>
          <t>서초이오빌</t>
        </is>
      </c>
      <c r="G1684" s="41" t="inlineStr">
        <is>
          <t>45.9600</t>
        </is>
      </c>
      <c r="H1684" s="41" t="inlineStr">
        <is>
          <t>202603</t>
        </is>
      </c>
      <c r="I1684" s="41" t="inlineStr">
        <is>
          <t>06</t>
        </is>
      </c>
      <c r="J1684" s="41" t="inlineStr">
        <is>
          <t>41,000</t>
        </is>
      </c>
      <c r="K1684" s="41" t="inlineStr">
        <is>
          <t>-</t>
        </is>
      </c>
      <c r="L1684" s="41" t="inlineStr">
        <is>
          <t>20</t>
        </is>
      </c>
      <c r="M1684" s="42" t="inlineStr">
        <is>
          <t>개인</t>
        </is>
      </c>
      <c r="N1684" s="42" t="inlineStr">
        <is>
          <t>개인</t>
        </is>
      </c>
      <c r="O1684" s="41" t="inlineStr">
        <is>
          <t>2003</t>
        </is>
      </c>
      <c r="P1684" s="42" t="inlineStr">
        <is>
          <t>효령로53길 45</t>
        </is>
      </c>
      <c r="Q1684" s="41" t="inlineStr">
        <is>
          <t>-</t>
        </is>
      </c>
      <c r="R1684" s="42" t="inlineStr">
        <is>
          <t>중개거래</t>
        </is>
      </c>
      <c r="S1684" s="42" t="inlineStr">
        <is>
          <t>서울 서초구</t>
        </is>
      </c>
      <c r="T1684" s="41" t="inlineStr">
        <is>
          <t>-</t>
        </is>
      </c>
      <c r="U1684" s="42" t="inlineStr">
        <is>
          <t>아파트</t>
        </is>
      </c>
    </row>
    <row r="1685" hidden="1" ht="14.25" customHeight="1">
      <c r="A1685" s="41" t="n">
        <v>26</v>
      </c>
      <c r="B1685" s="42" t="inlineStr">
        <is>
          <t>서울특별시 서초구 서초동</t>
        </is>
      </c>
      <c r="C1685" s="41" t="inlineStr">
        <is>
          <t>1620-20</t>
        </is>
      </c>
      <c r="D1685" s="41" t="inlineStr">
        <is>
          <t>1620</t>
        </is>
      </c>
      <c r="E1685" s="41" t="inlineStr">
        <is>
          <t>0020</t>
        </is>
      </c>
      <c r="F1685" s="42" t="inlineStr">
        <is>
          <t>서초동롯데캐슬리버티</t>
        </is>
      </c>
      <c r="G1685" s="41" t="inlineStr">
        <is>
          <t>116.7200</t>
        </is>
      </c>
      <c r="H1685" s="41" t="inlineStr">
        <is>
          <t>202603</t>
        </is>
      </c>
      <c r="I1685" s="41" t="inlineStr">
        <is>
          <t>05</t>
        </is>
      </c>
      <c r="J1685" s="41" t="inlineStr">
        <is>
          <t>182,000</t>
        </is>
      </c>
      <c r="K1685" s="41" t="inlineStr">
        <is>
          <t>102</t>
        </is>
      </c>
      <c r="L1685" s="41" t="inlineStr">
        <is>
          <t>7</t>
        </is>
      </c>
      <c r="M1685" s="42" t="inlineStr">
        <is>
          <t>개인</t>
        </is>
      </c>
      <c r="N1685" s="42" t="inlineStr">
        <is>
          <t>개인</t>
        </is>
      </c>
      <c r="O1685" s="41" t="inlineStr">
        <is>
          <t>2005</t>
        </is>
      </c>
      <c r="P1685" s="42" t="inlineStr">
        <is>
          <t>사임당로10길 39</t>
        </is>
      </c>
      <c r="Q1685" s="41" t="inlineStr">
        <is>
          <t>-</t>
        </is>
      </c>
      <c r="R1685" s="42" t="inlineStr">
        <is>
          <t>직거래</t>
        </is>
      </c>
      <c r="S1685" s="41" t="inlineStr">
        <is>
          <t>-</t>
        </is>
      </c>
      <c r="T1685" s="41" t="inlineStr">
        <is>
          <t>26.03.25</t>
        </is>
      </c>
      <c r="U1685" s="42" t="inlineStr">
        <is>
          <t>아파트</t>
        </is>
      </c>
    </row>
    <row r="1686" hidden="1" ht="14.25" customHeight="1">
      <c r="A1686" s="41" t="n">
        <v>27</v>
      </c>
      <c r="B1686" s="42" t="inlineStr">
        <is>
          <t>서울특별시 서초구 서초동</t>
        </is>
      </c>
      <c r="C1686" s="41" t="inlineStr">
        <is>
          <t>1671-5</t>
        </is>
      </c>
      <c r="D1686" s="41" t="inlineStr">
        <is>
          <t>1671</t>
        </is>
      </c>
      <c r="E1686" s="41" t="inlineStr">
        <is>
          <t>0005</t>
        </is>
      </c>
      <c r="F1686" s="42" t="inlineStr">
        <is>
          <t>대림서초리시온</t>
        </is>
      </c>
      <c r="G1686" s="41" t="inlineStr">
        <is>
          <t>49.9200</t>
        </is>
      </c>
      <c r="H1686" s="41" t="inlineStr">
        <is>
          <t>202603</t>
        </is>
      </c>
      <c r="I1686" s="41" t="inlineStr">
        <is>
          <t>05</t>
        </is>
      </c>
      <c r="J1686" s="41" t="inlineStr">
        <is>
          <t>52,000</t>
        </is>
      </c>
      <c r="K1686" s="41" t="inlineStr">
        <is>
          <t>-</t>
        </is>
      </c>
      <c r="L1686" s="41" t="inlineStr">
        <is>
          <t>6</t>
        </is>
      </c>
      <c r="M1686" s="42" t="inlineStr">
        <is>
          <t>개인</t>
        </is>
      </c>
      <c r="N1686" s="42" t="inlineStr">
        <is>
          <t>개인</t>
        </is>
      </c>
      <c r="O1686" s="41" t="inlineStr">
        <is>
          <t>2003</t>
        </is>
      </c>
      <c r="P1686" s="42" t="inlineStr">
        <is>
          <t>서초중앙로22길 25</t>
        </is>
      </c>
      <c r="Q1686" s="41" t="inlineStr">
        <is>
          <t>-</t>
        </is>
      </c>
      <c r="R1686" s="42" t="inlineStr">
        <is>
          <t>중개거래</t>
        </is>
      </c>
      <c r="S1686" s="42" t="inlineStr">
        <is>
          <t>서울 서초구</t>
        </is>
      </c>
      <c r="T1686" s="41" t="inlineStr">
        <is>
          <t>-</t>
        </is>
      </c>
      <c r="U1686" s="42" t="inlineStr">
        <is>
          <t>아파트</t>
        </is>
      </c>
    </row>
    <row r="1687" hidden="1" ht="14.25" customHeight="1">
      <c r="A1687" s="41" t="n">
        <v>28</v>
      </c>
      <c r="B1687" s="42" t="inlineStr">
        <is>
          <t>서울특별시 서초구 서초동</t>
        </is>
      </c>
      <c r="C1687" s="41" t="inlineStr">
        <is>
          <t>1363-25</t>
        </is>
      </c>
      <c r="D1687" s="41" t="inlineStr">
        <is>
          <t>1363</t>
        </is>
      </c>
      <c r="E1687" s="41" t="inlineStr">
        <is>
          <t>0025</t>
        </is>
      </c>
      <c r="F1687" s="42" t="inlineStr">
        <is>
          <t>한라비발디스튜디오193</t>
        </is>
      </c>
      <c r="G1687" s="41" t="inlineStr">
        <is>
          <t>19.9900</t>
        </is>
      </c>
      <c r="H1687" s="41" t="inlineStr">
        <is>
          <t>202603</t>
        </is>
      </c>
      <c r="I1687" s="41" t="inlineStr">
        <is>
          <t>04</t>
        </is>
      </c>
      <c r="J1687" s="41" t="inlineStr">
        <is>
          <t>24,800</t>
        </is>
      </c>
      <c r="K1687" s="42" t="inlineStr">
        <is>
          <t>한라비발디스튜디오193</t>
        </is>
      </c>
      <c r="L1687" s="41" t="inlineStr">
        <is>
          <t>11</t>
        </is>
      </c>
      <c r="M1687" s="42" t="inlineStr">
        <is>
          <t>개인</t>
        </is>
      </c>
      <c r="N1687" s="42" t="inlineStr">
        <is>
          <t>개인</t>
        </is>
      </c>
      <c r="O1687" s="41" t="inlineStr">
        <is>
          <t>2013</t>
        </is>
      </c>
      <c r="P1687" s="42" t="inlineStr">
        <is>
          <t>강남대로39길 15-10</t>
        </is>
      </c>
      <c r="Q1687" s="41" t="inlineStr">
        <is>
          <t>-</t>
        </is>
      </c>
      <c r="R1687" s="42" t="inlineStr">
        <is>
          <t>중개거래</t>
        </is>
      </c>
      <c r="S1687" s="42" t="inlineStr">
        <is>
          <t>서울 강남구, 서울 서초구</t>
        </is>
      </c>
      <c r="T1687" s="41" t="inlineStr">
        <is>
          <t>26.03.23</t>
        </is>
      </c>
      <c r="U1687" s="42" t="inlineStr">
        <is>
          <t>아파트</t>
        </is>
      </c>
    </row>
    <row r="1688" hidden="1" ht="14.25" customHeight="1">
      <c r="A1688" s="41" t="n">
        <v>29</v>
      </c>
      <c r="B1688" s="42" t="inlineStr">
        <is>
          <t>서울특별시 서초구 서초동</t>
        </is>
      </c>
      <c r="C1688" s="41" t="inlineStr">
        <is>
          <t>1671-5</t>
        </is>
      </c>
      <c r="D1688" s="41" t="inlineStr">
        <is>
          <t>1671</t>
        </is>
      </c>
      <c r="E1688" s="41" t="inlineStr">
        <is>
          <t>0005</t>
        </is>
      </c>
      <c r="F1688" s="42" t="inlineStr">
        <is>
          <t>대림서초리시온</t>
        </is>
      </c>
      <c r="G1688" s="41" t="inlineStr">
        <is>
          <t>49.9200</t>
        </is>
      </c>
      <c r="H1688" s="41" t="inlineStr">
        <is>
          <t>202603</t>
        </is>
      </c>
      <c r="I1688" s="41" t="inlineStr">
        <is>
          <t>04</t>
        </is>
      </c>
      <c r="J1688" s="41" t="inlineStr">
        <is>
          <t>56,200</t>
        </is>
      </c>
      <c r="K1688" s="41" t="inlineStr">
        <is>
          <t>-</t>
        </is>
      </c>
      <c r="L1688" s="41" t="inlineStr">
        <is>
          <t>5</t>
        </is>
      </c>
      <c r="M1688" s="42" t="inlineStr">
        <is>
          <t>개인</t>
        </is>
      </c>
      <c r="N1688" s="42" t="inlineStr">
        <is>
          <t>개인</t>
        </is>
      </c>
      <c r="O1688" s="41" t="inlineStr">
        <is>
          <t>2003</t>
        </is>
      </c>
      <c r="P1688" s="42" t="inlineStr">
        <is>
          <t>서초중앙로22길 25</t>
        </is>
      </c>
      <c r="Q1688" s="41" t="inlineStr">
        <is>
          <t>-</t>
        </is>
      </c>
      <c r="R1688" s="42" t="inlineStr">
        <is>
          <t>중개거래</t>
        </is>
      </c>
      <c r="S1688" s="42" t="inlineStr">
        <is>
          <t>서울 서초구</t>
        </is>
      </c>
      <c r="T1688" s="41" t="inlineStr">
        <is>
          <t>26.03.19</t>
        </is>
      </c>
      <c r="U1688" s="42" t="inlineStr">
        <is>
          <t>아파트</t>
        </is>
      </c>
    </row>
    <row r="1689" hidden="1" ht="14.25" customHeight="1">
      <c r="A1689" s="41" t="n">
        <v>30</v>
      </c>
      <c r="B1689" s="42" t="inlineStr">
        <is>
          <t>서울특별시 서초구 서초동</t>
        </is>
      </c>
      <c r="C1689" s="41" t="inlineStr">
        <is>
          <t>1671-5</t>
        </is>
      </c>
      <c r="D1689" s="41" t="inlineStr">
        <is>
          <t>1671</t>
        </is>
      </c>
      <c r="E1689" s="41" t="inlineStr">
        <is>
          <t>0005</t>
        </is>
      </c>
      <c r="F1689" s="42" t="inlineStr">
        <is>
          <t>대림서초리시온</t>
        </is>
      </c>
      <c r="G1689" s="41" t="inlineStr">
        <is>
          <t>49.9200</t>
        </is>
      </c>
      <c r="H1689" s="41" t="inlineStr">
        <is>
          <t>202603</t>
        </is>
      </c>
      <c r="I1689" s="41" t="inlineStr">
        <is>
          <t>04</t>
        </is>
      </c>
      <c r="J1689" s="41" t="inlineStr">
        <is>
          <t>56,200</t>
        </is>
      </c>
      <c r="K1689" s="41" t="inlineStr">
        <is>
          <t>-</t>
        </is>
      </c>
      <c r="L1689" s="41" t="inlineStr">
        <is>
          <t>5</t>
        </is>
      </c>
      <c r="M1689" s="42" t="inlineStr">
        <is>
          <t>개인</t>
        </is>
      </c>
      <c r="N1689" s="42" t="inlineStr">
        <is>
          <t>개인</t>
        </is>
      </c>
      <c r="O1689" s="41" t="inlineStr">
        <is>
          <t>2003</t>
        </is>
      </c>
      <c r="P1689" s="42" t="inlineStr">
        <is>
          <t>서초중앙로22길 25</t>
        </is>
      </c>
      <c r="Q1689" s="41" t="inlineStr">
        <is>
          <t>20260317</t>
        </is>
      </c>
      <c r="R1689" s="42" t="inlineStr">
        <is>
          <t>중개거래</t>
        </is>
      </c>
      <c r="S1689" s="42" t="inlineStr">
        <is>
          <t>서울 서초구</t>
        </is>
      </c>
      <c r="T1689" s="41" t="inlineStr">
        <is>
          <t>-</t>
        </is>
      </c>
      <c r="U1689" s="42" t="inlineStr">
        <is>
          <t>아파트</t>
        </is>
      </c>
    </row>
    <row r="1690" hidden="1" ht="14.25" customHeight="1">
      <c r="A1690" s="41" t="n">
        <v>31</v>
      </c>
      <c r="B1690" s="42" t="inlineStr">
        <is>
          <t>서울특별시 서초구 서초동</t>
        </is>
      </c>
      <c r="C1690" s="41" t="inlineStr">
        <is>
          <t>1312-3</t>
        </is>
      </c>
      <c r="D1690" s="41" t="inlineStr">
        <is>
          <t>1312</t>
        </is>
      </c>
      <c r="E1690" s="41" t="inlineStr">
        <is>
          <t>0003</t>
        </is>
      </c>
      <c r="F1690" s="42" t="inlineStr">
        <is>
          <t>롯데캐슬클래식</t>
        </is>
      </c>
      <c r="G1690" s="41" t="inlineStr">
        <is>
          <t>133.4500</t>
        </is>
      </c>
      <c r="H1690" s="41" t="inlineStr">
        <is>
          <t>202603</t>
        </is>
      </c>
      <c r="I1690" s="41" t="inlineStr">
        <is>
          <t>03</t>
        </is>
      </c>
      <c r="J1690" s="41" t="inlineStr">
        <is>
          <t>385,000</t>
        </is>
      </c>
      <c r="K1690" s="41" t="inlineStr">
        <is>
          <t>-</t>
        </is>
      </c>
      <c r="L1690" s="41" t="inlineStr">
        <is>
          <t>11</t>
        </is>
      </c>
      <c r="M1690" s="42" t="inlineStr">
        <is>
          <t>개인</t>
        </is>
      </c>
      <c r="N1690" s="42" t="inlineStr">
        <is>
          <t>개인</t>
        </is>
      </c>
      <c r="O1690" s="41" t="inlineStr">
        <is>
          <t>2006</t>
        </is>
      </c>
      <c r="P1690" s="42" t="inlineStr">
        <is>
          <t>서운로 197</t>
        </is>
      </c>
      <c r="Q1690" s="41" t="inlineStr">
        <is>
          <t>-</t>
        </is>
      </c>
      <c r="R1690" s="42" t="inlineStr">
        <is>
          <t>중개거래</t>
        </is>
      </c>
      <c r="S1690" s="42" t="inlineStr">
        <is>
          <t>서울 서초구</t>
        </is>
      </c>
      <c r="T1690" s="41" t="inlineStr">
        <is>
          <t>-</t>
        </is>
      </c>
      <c r="U1690" s="42" t="inlineStr">
        <is>
          <t>아파트</t>
        </is>
      </c>
    </row>
    <row r="1691" hidden="1" ht="14.25" customHeight="1">
      <c r="A1691" s="41" t="n">
        <v>32</v>
      </c>
      <c r="B1691" s="42" t="inlineStr">
        <is>
          <t>서울특별시 서초구 서초동</t>
        </is>
      </c>
      <c r="C1691" s="41" t="inlineStr">
        <is>
          <t>1754</t>
        </is>
      </c>
      <c r="D1691" s="41" t="inlineStr">
        <is>
          <t>1754</t>
        </is>
      </c>
      <c r="E1691" s="41" t="inlineStr">
        <is>
          <t>0000</t>
        </is>
      </c>
      <c r="F1691" s="42" t="inlineStr">
        <is>
          <t>래미안서초에스티지S</t>
        </is>
      </c>
      <c r="G1691" s="41" t="inlineStr">
        <is>
          <t>84.8000</t>
        </is>
      </c>
      <c r="H1691" s="41" t="inlineStr">
        <is>
          <t>202603</t>
        </is>
      </c>
      <c r="I1691" s="41" t="inlineStr">
        <is>
          <t>02</t>
        </is>
      </c>
      <c r="J1691" s="41" t="inlineStr">
        <is>
          <t>361,500</t>
        </is>
      </c>
      <c r="K1691" s="41" t="inlineStr">
        <is>
          <t>-</t>
        </is>
      </c>
      <c r="L1691" s="41" t="inlineStr">
        <is>
          <t>8</t>
        </is>
      </c>
      <c r="M1691" s="42" t="inlineStr">
        <is>
          <t>개인</t>
        </is>
      </c>
      <c r="N1691" s="42" t="inlineStr">
        <is>
          <t>개인</t>
        </is>
      </c>
      <c r="O1691" s="41" t="inlineStr">
        <is>
          <t>2018</t>
        </is>
      </c>
      <c r="P1691" s="42" t="inlineStr">
        <is>
          <t>서운로 104</t>
        </is>
      </c>
      <c r="Q1691" s="41" t="inlineStr">
        <is>
          <t>-</t>
        </is>
      </c>
      <c r="R1691" s="42" t="inlineStr">
        <is>
          <t>중개거래</t>
        </is>
      </c>
      <c r="S1691" s="42" t="inlineStr">
        <is>
          <t>서울 서초구</t>
        </is>
      </c>
      <c r="T1691" s="41" t="inlineStr">
        <is>
          <t>-</t>
        </is>
      </c>
      <c r="U1691" s="42" t="inlineStr">
        <is>
          <t>아파트</t>
        </is>
      </c>
    </row>
    <row r="1692" hidden="1" ht="14.25" customHeight="1">
      <c r="A1692" s="41" t="n">
        <v>33</v>
      </c>
      <c r="B1692" s="42" t="inlineStr">
        <is>
          <t>서울특별시 서초구 서초동</t>
        </is>
      </c>
      <c r="C1692" s="41" t="inlineStr">
        <is>
          <t>1445-14</t>
        </is>
      </c>
      <c r="D1692" s="41" t="inlineStr">
        <is>
          <t>1445</t>
        </is>
      </c>
      <c r="E1692" s="41" t="inlineStr">
        <is>
          <t>0014</t>
        </is>
      </c>
      <c r="F1692" s="42" t="inlineStr">
        <is>
          <t>더샵서초</t>
        </is>
      </c>
      <c r="G1692" s="41" t="inlineStr">
        <is>
          <t>33.0600</t>
        </is>
      </c>
      <c r="H1692" s="41" t="inlineStr">
        <is>
          <t>202603</t>
        </is>
      </c>
      <c r="I1692" s="41" t="inlineStr">
        <is>
          <t>02</t>
        </is>
      </c>
      <c r="J1692" s="41" t="inlineStr">
        <is>
          <t>64,000</t>
        </is>
      </c>
      <c r="K1692" s="41" t="inlineStr">
        <is>
          <t>-</t>
        </is>
      </c>
      <c r="L1692" s="41" t="inlineStr">
        <is>
          <t>31</t>
        </is>
      </c>
      <c r="M1692" s="42" t="inlineStr">
        <is>
          <t>개인</t>
        </is>
      </c>
      <c r="N1692" s="42" t="inlineStr">
        <is>
          <t>개인</t>
        </is>
      </c>
      <c r="O1692" s="41" t="inlineStr">
        <is>
          <t>2006</t>
        </is>
      </c>
      <c r="P1692" s="42" t="inlineStr">
        <is>
          <t>서초중앙로2길 21</t>
        </is>
      </c>
      <c r="Q1692" s="41" t="inlineStr">
        <is>
          <t>-</t>
        </is>
      </c>
      <c r="R1692" s="42" t="inlineStr">
        <is>
          <t>중개거래</t>
        </is>
      </c>
      <c r="S1692" s="42" t="inlineStr">
        <is>
          <t>서울 서초구</t>
        </is>
      </c>
      <c r="T1692" s="41" t="inlineStr">
        <is>
          <t>-</t>
        </is>
      </c>
      <c r="U1692" s="42" t="inlineStr">
        <is>
          <t>아파트</t>
        </is>
      </c>
    </row>
    <row r="1693" hidden="1" ht="14.25" customHeight="1">
      <c r="A1693" s="41" t="n">
        <v>34</v>
      </c>
      <c r="B1693" s="42" t="inlineStr">
        <is>
          <t>서울특별시 서초구 서초동</t>
        </is>
      </c>
      <c r="C1693" s="41" t="inlineStr">
        <is>
          <t>1466-4</t>
        </is>
      </c>
      <c r="D1693" s="41" t="inlineStr">
        <is>
          <t>1466</t>
        </is>
      </c>
      <c r="E1693" s="41" t="inlineStr">
        <is>
          <t>0004</t>
        </is>
      </c>
      <c r="F1693" s="42" t="inlineStr">
        <is>
          <t>애지앙</t>
        </is>
      </c>
      <c r="G1693" s="41" t="inlineStr">
        <is>
          <t>84.8000</t>
        </is>
      </c>
      <c r="H1693" s="41" t="inlineStr">
        <is>
          <t>202602</t>
        </is>
      </c>
      <c r="I1693" s="41" t="inlineStr">
        <is>
          <t>28</t>
        </is>
      </c>
      <c r="J1693" s="41" t="inlineStr">
        <is>
          <t>107,500</t>
        </is>
      </c>
      <c r="K1693" s="41" t="inlineStr">
        <is>
          <t>-</t>
        </is>
      </c>
      <c r="L1693" s="41" t="inlineStr">
        <is>
          <t>4</t>
        </is>
      </c>
      <c r="M1693" s="42" t="inlineStr">
        <is>
          <t>개인</t>
        </is>
      </c>
      <c r="N1693" s="42" t="inlineStr">
        <is>
          <t>개인</t>
        </is>
      </c>
      <c r="O1693" s="41" t="inlineStr">
        <is>
          <t>2003</t>
        </is>
      </c>
      <c r="P1693" s="42" t="inlineStr">
        <is>
          <t>명달로4길 82</t>
        </is>
      </c>
      <c r="Q1693" s="41" t="inlineStr">
        <is>
          <t>-</t>
        </is>
      </c>
      <c r="R1693" s="42" t="inlineStr">
        <is>
          <t>중개거래</t>
        </is>
      </c>
      <c r="S1693" s="42" t="inlineStr">
        <is>
          <t>서울 강남구, 서울 서초구</t>
        </is>
      </c>
      <c r="T1693" s="41" t="inlineStr">
        <is>
          <t>26.04.01</t>
        </is>
      </c>
      <c r="U1693" s="42" t="inlineStr">
        <is>
          <t>아파트</t>
        </is>
      </c>
    </row>
    <row r="1694" hidden="1" ht="14.25" customHeight="1">
      <c r="A1694" s="41" t="n">
        <v>35</v>
      </c>
      <c r="B1694" s="42" t="inlineStr">
        <is>
          <t>서울특별시 서초구 서초동</t>
        </is>
      </c>
      <c r="C1694" s="41" t="inlineStr">
        <is>
          <t>1671-5</t>
        </is>
      </c>
      <c r="D1694" s="41" t="inlineStr">
        <is>
          <t>1671</t>
        </is>
      </c>
      <c r="E1694" s="41" t="inlineStr">
        <is>
          <t>0005</t>
        </is>
      </c>
      <c r="F1694" s="42" t="inlineStr">
        <is>
          <t>대림서초리시온</t>
        </is>
      </c>
      <c r="G1694" s="41" t="inlineStr">
        <is>
          <t>33.5400</t>
        </is>
      </c>
      <c r="H1694" s="41" t="inlineStr">
        <is>
          <t>202602</t>
        </is>
      </c>
      <c r="I1694" s="41" t="inlineStr">
        <is>
          <t>27</t>
        </is>
      </c>
      <c r="J1694" s="41" t="inlineStr">
        <is>
          <t>32,500</t>
        </is>
      </c>
      <c r="K1694" s="41" t="inlineStr">
        <is>
          <t>-</t>
        </is>
      </c>
      <c r="L1694" s="41" t="inlineStr">
        <is>
          <t>11</t>
        </is>
      </c>
      <c r="M1694" s="42" t="inlineStr">
        <is>
          <t>개인</t>
        </is>
      </c>
      <c r="N1694" s="42" t="inlineStr">
        <is>
          <t>개인</t>
        </is>
      </c>
      <c r="O1694" s="41" t="inlineStr">
        <is>
          <t>2003</t>
        </is>
      </c>
      <c r="P1694" s="42" t="inlineStr">
        <is>
          <t>서초중앙로22길 25</t>
        </is>
      </c>
      <c r="Q1694" s="41" t="inlineStr">
        <is>
          <t>-</t>
        </is>
      </c>
      <c r="R1694" s="42" t="inlineStr">
        <is>
          <t>중개거래</t>
        </is>
      </c>
      <c r="S1694" s="42" t="inlineStr">
        <is>
          <t>서울 서초구</t>
        </is>
      </c>
      <c r="T1694" s="41" t="inlineStr">
        <is>
          <t>-</t>
        </is>
      </c>
      <c r="U1694" s="42" t="inlineStr">
        <is>
          <t>아파트</t>
        </is>
      </c>
    </row>
    <row r="1695" hidden="1" ht="14.25" customHeight="1">
      <c r="A1695" s="41" t="n">
        <v>36</v>
      </c>
      <c r="B1695" s="42" t="inlineStr">
        <is>
          <t>서울특별시 서초구 서초동</t>
        </is>
      </c>
      <c r="C1695" s="41" t="inlineStr">
        <is>
          <t>1582-16</t>
        </is>
      </c>
      <c r="D1695" s="41" t="inlineStr">
        <is>
          <t>1582</t>
        </is>
      </c>
      <c r="E1695" s="41" t="inlineStr">
        <is>
          <t>0016</t>
        </is>
      </c>
      <c r="F1695" s="42" t="inlineStr">
        <is>
          <t>서초아트래디앙</t>
        </is>
      </c>
      <c r="G1695" s="41" t="inlineStr">
        <is>
          <t>56.9200</t>
        </is>
      </c>
      <c r="H1695" s="41" t="inlineStr">
        <is>
          <t>202602</t>
        </is>
      </c>
      <c r="I1695" s="41" t="inlineStr">
        <is>
          <t>26</t>
        </is>
      </c>
      <c r="J1695" s="41" t="inlineStr">
        <is>
          <t>147,000</t>
        </is>
      </c>
      <c r="K1695" s="41" t="inlineStr">
        <is>
          <t>-</t>
        </is>
      </c>
      <c r="L1695" s="41" t="inlineStr">
        <is>
          <t>12</t>
        </is>
      </c>
      <c r="M1695" s="42" t="inlineStr">
        <is>
          <t>개인</t>
        </is>
      </c>
      <c r="N1695" s="42" t="inlineStr">
        <is>
          <t>개인</t>
        </is>
      </c>
      <c r="O1695" s="41" t="inlineStr">
        <is>
          <t>2023</t>
        </is>
      </c>
      <c r="P1695" s="42" t="inlineStr">
        <is>
          <t>반포대로18길 13-3</t>
        </is>
      </c>
      <c r="Q1695" s="41" t="inlineStr">
        <is>
          <t>-</t>
        </is>
      </c>
      <c r="R1695" s="42" t="inlineStr">
        <is>
          <t>중개거래</t>
        </is>
      </c>
      <c r="S1695" s="42" t="inlineStr">
        <is>
          <t>경기 안산시 상록구, 서울 서초구</t>
        </is>
      </c>
      <c r="T1695" s="41" t="inlineStr">
        <is>
          <t>-</t>
        </is>
      </c>
      <c r="U1695" s="42" t="inlineStr">
        <is>
          <t>아파트</t>
        </is>
      </c>
    </row>
    <row r="1696" hidden="1" ht="14.25" customHeight="1">
      <c r="A1696" s="41" t="n">
        <v>37</v>
      </c>
      <c r="B1696" s="42" t="inlineStr">
        <is>
          <t>서울특별시 서초구 서초동</t>
        </is>
      </c>
      <c r="C1696" s="41" t="inlineStr">
        <is>
          <t>1671-5</t>
        </is>
      </c>
      <c r="D1696" s="41" t="inlineStr">
        <is>
          <t>1671</t>
        </is>
      </c>
      <c r="E1696" s="41" t="inlineStr">
        <is>
          <t>0005</t>
        </is>
      </c>
      <c r="F1696" s="42" t="inlineStr">
        <is>
          <t>대림서초리시온</t>
        </is>
      </c>
      <c r="G1696" s="41" t="inlineStr">
        <is>
          <t>49.7900</t>
        </is>
      </c>
      <c r="H1696" s="41" t="inlineStr">
        <is>
          <t>202602</t>
        </is>
      </c>
      <c r="I1696" s="41" t="inlineStr">
        <is>
          <t>26</t>
        </is>
      </c>
      <c r="J1696" s="41" t="inlineStr">
        <is>
          <t>61,000</t>
        </is>
      </c>
      <c r="K1696" s="41" t="inlineStr">
        <is>
          <t>-</t>
        </is>
      </c>
      <c r="L1696" s="41" t="inlineStr">
        <is>
          <t>13</t>
        </is>
      </c>
      <c r="M1696" s="42" t="inlineStr">
        <is>
          <t>개인</t>
        </is>
      </c>
      <c r="N1696" s="42" t="inlineStr">
        <is>
          <t>개인</t>
        </is>
      </c>
      <c r="O1696" s="41" t="inlineStr">
        <is>
          <t>2003</t>
        </is>
      </c>
      <c r="P1696" s="42" t="inlineStr">
        <is>
          <t>서초중앙로22길 25</t>
        </is>
      </c>
      <c r="Q1696" s="41" t="inlineStr">
        <is>
          <t>-</t>
        </is>
      </c>
      <c r="R1696" s="42" t="inlineStr">
        <is>
          <t>중개거래</t>
        </is>
      </c>
      <c r="S1696" s="42" t="inlineStr">
        <is>
          <t>서울 서초구</t>
        </is>
      </c>
      <c r="T1696" s="41" t="inlineStr">
        <is>
          <t>-</t>
        </is>
      </c>
      <c r="U1696" s="42" t="inlineStr">
        <is>
          <t>아파트</t>
        </is>
      </c>
    </row>
    <row r="1697" hidden="1" ht="14.25" customHeight="1">
      <c r="A1697" s="41" t="n">
        <v>38</v>
      </c>
      <c r="B1697" s="42" t="inlineStr">
        <is>
          <t>서울특별시 서초구 서초동</t>
        </is>
      </c>
      <c r="C1697" s="41" t="inlineStr">
        <is>
          <t>1316-31</t>
        </is>
      </c>
      <c r="D1697" s="41" t="inlineStr">
        <is>
          <t>1316</t>
        </is>
      </c>
      <c r="E1697" s="41" t="inlineStr">
        <is>
          <t>0031</t>
        </is>
      </c>
      <c r="F1697" s="42" t="inlineStr">
        <is>
          <t>밀라텔쉐르빌</t>
        </is>
      </c>
      <c r="G1697" s="41" t="inlineStr">
        <is>
          <t>46.2800</t>
        </is>
      </c>
      <c r="H1697" s="41" t="inlineStr">
        <is>
          <t>202602</t>
        </is>
      </c>
      <c r="I1697" s="41" t="inlineStr">
        <is>
          <t>26</t>
        </is>
      </c>
      <c r="J1697" s="41" t="inlineStr">
        <is>
          <t>65,000</t>
        </is>
      </c>
      <c r="K1697" s="41" t="inlineStr">
        <is>
          <t>-</t>
        </is>
      </c>
      <c r="L1697" s="41" t="inlineStr">
        <is>
          <t>9</t>
        </is>
      </c>
      <c r="M1697" s="42" t="inlineStr">
        <is>
          <t>개인</t>
        </is>
      </c>
      <c r="N1697" s="42" t="inlineStr">
        <is>
          <t>개인</t>
        </is>
      </c>
      <c r="O1697" s="41" t="inlineStr">
        <is>
          <t>2001</t>
        </is>
      </c>
      <c r="P1697" s="42" t="inlineStr">
        <is>
          <t>강남대로61길 17</t>
        </is>
      </c>
      <c r="Q1697" s="41" t="inlineStr">
        <is>
          <t>-</t>
        </is>
      </c>
      <c r="R1697" s="42" t="inlineStr">
        <is>
          <t>중개거래</t>
        </is>
      </c>
      <c r="S1697" s="42" t="inlineStr">
        <is>
          <t>서울 강남구, 서울 서초구</t>
        </is>
      </c>
      <c r="T1697" s="41" t="inlineStr">
        <is>
          <t>-</t>
        </is>
      </c>
      <c r="U1697" s="42" t="inlineStr">
        <is>
          <t>아파트</t>
        </is>
      </c>
    </row>
    <row r="1698" hidden="1" ht="14.25" customHeight="1">
      <c r="A1698" s="41" t="n">
        <v>39</v>
      </c>
      <c r="B1698" s="42" t="inlineStr">
        <is>
          <t>서울특별시 서초구 서초동</t>
        </is>
      </c>
      <c r="C1698" s="41" t="inlineStr">
        <is>
          <t>1467-62</t>
        </is>
      </c>
      <c r="D1698" s="41" t="inlineStr">
        <is>
          <t>1467</t>
        </is>
      </c>
      <c r="E1698" s="41" t="inlineStr">
        <is>
          <t>0062</t>
        </is>
      </c>
      <c r="F1698" s="42" t="inlineStr">
        <is>
          <t>서초5차e편한세상</t>
        </is>
      </c>
      <c r="G1698" s="41" t="inlineStr">
        <is>
          <t>158.2400</t>
        </is>
      </c>
      <c r="H1698" s="41" t="inlineStr">
        <is>
          <t>202602</t>
        </is>
      </c>
      <c r="I1698" s="41" t="inlineStr">
        <is>
          <t>25</t>
        </is>
      </c>
      <c r="J1698" s="41" t="inlineStr">
        <is>
          <t>278,500</t>
        </is>
      </c>
      <c r="K1698" s="41" t="inlineStr">
        <is>
          <t>-</t>
        </is>
      </c>
      <c r="L1698" s="41" t="inlineStr">
        <is>
          <t>5</t>
        </is>
      </c>
      <c r="M1698" s="42" t="inlineStr">
        <is>
          <t>개인</t>
        </is>
      </c>
      <c r="N1698" s="42" t="inlineStr">
        <is>
          <t>개인</t>
        </is>
      </c>
      <c r="O1698" s="41" t="inlineStr">
        <is>
          <t>2005</t>
        </is>
      </c>
      <c r="P1698" s="42" t="inlineStr">
        <is>
          <t>명달로4길 30</t>
        </is>
      </c>
      <c r="Q1698" s="41" t="inlineStr">
        <is>
          <t>-</t>
        </is>
      </c>
      <c r="R1698" s="42" t="inlineStr">
        <is>
          <t>중개거래</t>
        </is>
      </c>
      <c r="S1698" s="42" t="inlineStr">
        <is>
          <t>서울 서초구</t>
        </is>
      </c>
      <c r="T1698" s="41" t="inlineStr">
        <is>
          <t>-</t>
        </is>
      </c>
      <c r="U1698" s="42" t="inlineStr">
        <is>
          <t>아파트</t>
        </is>
      </c>
    </row>
    <row r="1699" hidden="1" ht="14.25" customHeight="1">
      <c r="A1699" s="41" t="n">
        <v>40</v>
      </c>
      <c r="B1699" s="42" t="inlineStr">
        <is>
          <t>서울특별시 서초구 서초동</t>
        </is>
      </c>
      <c r="C1699" s="41" t="inlineStr">
        <is>
          <t>1588-5</t>
        </is>
      </c>
      <c r="D1699" s="41" t="inlineStr">
        <is>
          <t>1588</t>
        </is>
      </c>
      <c r="E1699" s="41" t="inlineStr">
        <is>
          <t>0005</t>
        </is>
      </c>
      <c r="F1699" s="42" t="inlineStr">
        <is>
          <t>디아레나서초</t>
        </is>
      </c>
      <c r="G1699" s="41" t="inlineStr">
        <is>
          <t>26.9400</t>
        </is>
      </c>
      <c r="H1699" s="41" t="inlineStr">
        <is>
          <t>202602</t>
        </is>
      </c>
      <c r="I1699" s="41" t="inlineStr">
        <is>
          <t>24</t>
        </is>
      </c>
      <c r="J1699" s="41" t="inlineStr">
        <is>
          <t>40,500</t>
        </is>
      </c>
      <c r="K1699" s="41" t="inlineStr">
        <is>
          <t>-</t>
        </is>
      </c>
      <c r="L1699" s="41" t="inlineStr">
        <is>
          <t>9</t>
        </is>
      </c>
      <c r="M1699" s="42" t="inlineStr">
        <is>
          <t>개인</t>
        </is>
      </c>
      <c r="N1699" s="42" t="inlineStr">
        <is>
          <t>개인</t>
        </is>
      </c>
      <c r="O1699" s="41" t="inlineStr">
        <is>
          <t>2020</t>
        </is>
      </c>
      <c r="P1699" s="42" t="inlineStr">
        <is>
          <t>효령로53길 24</t>
        </is>
      </c>
      <c r="Q1699" s="41" t="inlineStr">
        <is>
          <t>-</t>
        </is>
      </c>
      <c r="R1699" s="42" t="inlineStr">
        <is>
          <t>중개거래</t>
        </is>
      </c>
      <c r="S1699" s="42" t="inlineStr">
        <is>
          <t>서울 강남구, 서울 서초구</t>
        </is>
      </c>
      <c r="T1699" s="41" t="inlineStr">
        <is>
          <t>-</t>
        </is>
      </c>
      <c r="U1699" s="42" t="inlineStr">
        <is>
          <t>아파트</t>
        </is>
      </c>
    </row>
    <row r="1700" hidden="1" ht="14.25" customHeight="1">
      <c r="A1700" s="41" t="n">
        <v>41</v>
      </c>
      <c r="B1700" s="42" t="inlineStr">
        <is>
          <t>서울특별시 서초구 서초동</t>
        </is>
      </c>
      <c r="C1700" s="41" t="inlineStr">
        <is>
          <t>1593-7</t>
        </is>
      </c>
      <c r="D1700" s="41" t="inlineStr">
        <is>
          <t>1593</t>
        </is>
      </c>
      <c r="E1700" s="41" t="inlineStr">
        <is>
          <t>0007</t>
        </is>
      </c>
      <c r="F1700" s="42" t="inlineStr">
        <is>
          <t>서초이오빌</t>
        </is>
      </c>
      <c r="G1700" s="41" t="inlineStr">
        <is>
          <t>58.4800</t>
        </is>
      </c>
      <c r="H1700" s="41" t="inlineStr">
        <is>
          <t>202602</t>
        </is>
      </c>
      <c r="I1700" s="41" t="inlineStr">
        <is>
          <t>24</t>
        </is>
      </c>
      <c r="J1700" s="41" t="inlineStr">
        <is>
          <t>49,000</t>
        </is>
      </c>
      <c r="K1700" s="41" t="inlineStr">
        <is>
          <t>-</t>
        </is>
      </c>
      <c r="L1700" s="41" t="inlineStr">
        <is>
          <t>24</t>
        </is>
      </c>
      <c r="M1700" s="42" t="inlineStr">
        <is>
          <t>개인</t>
        </is>
      </c>
      <c r="N1700" s="42" t="inlineStr">
        <is>
          <t>개인</t>
        </is>
      </c>
      <c r="O1700" s="41" t="inlineStr">
        <is>
          <t>2003</t>
        </is>
      </c>
      <c r="P1700" s="42" t="inlineStr">
        <is>
          <t>효령로53길 45</t>
        </is>
      </c>
      <c r="Q1700" s="41" t="inlineStr">
        <is>
          <t>-</t>
        </is>
      </c>
      <c r="R1700" s="42" t="inlineStr">
        <is>
          <t>중개거래</t>
        </is>
      </c>
      <c r="S1700" s="42" t="inlineStr">
        <is>
          <t>인천 계양구</t>
        </is>
      </c>
      <c r="T1700" s="41" t="inlineStr">
        <is>
          <t>26.03.10</t>
        </is>
      </c>
      <c r="U1700" s="42" t="inlineStr">
        <is>
          <t>아파트</t>
        </is>
      </c>
    </row>
    <row r="1701" hidden="1" ht="14.25" customHeight="1">
      <c r="A1701" s="41" t="n">
        <v>42</v>
      </c>
      <c r="B1701" s="42" t="inlineStr">
        <is>
          <t>서울특별시 서초구 서초동</t>
        </is>
      </c>
      <c r="C1701" s="41" t="inlineStr">
        <is>
          <t>1641-13</t>
        </is>
      </c>
      <c r="D1701" s="41" t="inlineStr">
        <is>
          <t>1641</t>
        </is>
      </c>
      <c r="E1701" s="41" t="inlineStr">
        <is>
          <t>0013</t>
        </is>
      </c>
      <c r="F1701" s="42" t="inlineStr">
        <is>
          <t>아남</t>
        </is>
      </c>
      <c r="G1701" s="41" t="inlineStr">
        <is>
          <t>71.1000</t>
        </is>
      </c>
      <c r="H1701" s="41" t="inlineStr">
        <is>
          <t>202602</t>
        </is>
      </c>
      <c r="I1701" s="41" t="inlineStr">
        <is>
          <t>23</t>
        </is>
      </c>
      <c r="J1701" s="41" t="inlineStr">
        <is>
          <t>219,000</t>
        </is>
      </c>
      <c r="K1701" s="41" t="inlineStr">
        <is>
          <t>-</t>
        </is>
      </c>
      <c r="L1701" s="41" t="inlineStr">
        <is>
          <t>4</t>
        </is>
      </c>
      <c r="M1701" s="42" t="inlineStr">
        <is>
          <t>개인</t>
        </is>
      </c>
      <c r="N1701" s="42" t="inlineStr">
        <is>
          <t>개인</t>
        </is>
      </c>
      <c r="O1701" s="41" t="inlineStr">
        <is>
          <t>1989</t>
        </is>
      </c>
      <c r="P1701" s="42" t="inlineStr">
        <is>
          <t>사임당로23길 53</t>
        </is>
      </c>
      <c r="Q1701" s="41" t="inlineStr">
        <is>
          <t>-</t>
        </is>
      </c>
      <c r="R1701" s="42" t="inlineStr">
        <is>
          <t>중개거래</t>
        </is>
      </c>
      <c r="S1701" s="42" t="inlineStr">
        <is>
          <t>서울 서초구</t>
        </is>
      </c>
      <c r="T1701" s="41" t="inlineStr">
        <is>
          <t>-</t>
        </is>
      </c>
      <c r="U1701" s="42" t="inlineStr">
        <is>
          <t>아파트</t>
        </is>
      </c>
    </row>
    <row r="1702" hidden="1" ht="14.25" customHeight="1">
      <c r="A1702" s="41" t="n">
        <v>43</v>
      </c>
      <c r="B1702" s="42" t="inlineStr">
        <is>
          <t>서울특별시 서초구 서초동</t>
        </is>
      </c>
      <c r="C1702" s="41" t="inlineStr">
        <is>
          <t>1608-8</t>
        </is>
      </c>
      <c r="D1702" s="41" t="inlineStr">
        <is>
          <t>1608</t>
        </is>
      </c>
      <c r="E1702" s="41" t="inlineStr">
        <is>
          <t>0008</t>
        </is>
      </c>
      <c r="F1702" s="42" t="inlineStr">
        <is>
          <t>경남아너스빌(1608-8)</t>
        </is>
      </c>
      <c r="G1702" s="41" t="inlineStr">
        <is>
          <t>84.9200</t>
        </is>
      </c>
      <c r="H1702" s="41" t="inlineStr">
        <is>
          <t>202602</t>
        </is>
      </c>
      <c r="I1702" s="41" t="inlineStr">
        <is>
          <t>20</t>
        </is>
      </c>
      <c r="J1702" s="41" t="inlineStr">
        <is>
          <t>192,000</t>
        </is>
      </c>
      <c r="K1702" s="41" t="inlineStr">
        <is>
          <t>-</t>
        </is>
      </c>
      <c r="L1702" s="41" t="inlineStr">
        <is>
          <t>8</t>
        </is>
      </c>
      <c r="M1702" s="42" t="inlineStr">
        <is>
          <t>개인</t>
        </is>
      </c>
      <c r="N1702" s="42" t="inlineStr">
        <is>
          <t>개인</t>
        </is>
      </c>
      <c r="O1702" s="41" t="inlineStr">
        <is>
          <t>2006</t>
        </is>
      </c>
      <c r="P1702" s="42" t="inlineStr">
        <is>
          <t>효령로67길 32</t>
        </is>
      </c>
      <c r="Q1702" s="41" t="inlineStr">
        <is>
          <t>-</t>
        </is>
      </c>
      <c r="R1702" s="42" t="inlineStr">
        <is>
          <t>중개거래</t>
        </is>
      </c>
      <c r="S1702" s="42" t="inlineStr">
        <is>
          <t>서울 서초구, 서울 성동구</t>
        </is>
      </c>
      <c r="T1702" s="41" t="inlineStr">
        <is>
          <t>-</t>
        </is>
      </c>
      <c r="U1702" s="42" t="inlineStr">
        <is>
          <t>아파트</t>
        </is>
      </c>
    </row>
    <row r="1703" hidden="1" ht="14.25" customHeight="1">
      <c r="A1703" s="41" t="n">
        <v>44</v>
      </c>
      <c r="B1703" s="42" t="inlineStr">
        <is>
          <t>서울특별시 서초구 서초동</t>
        </is>
      </c>
      <c r="C1703" s="41" t="inlineStr">
        <is>
          <t>1682</t>
        </is>
      </c>
      <c r="D1703" s="41" t="inlineStr">
        <is>
          <t>1682</t>
        </is>
      </c>
      <c r="E1703" s="41" t="inlineStr">
        <is>
          <t>0000</t>
        </is>
      </c>
      <c r="F1703" s="42" t="inlineStr">
        <is>
          <t>서초래미안</t>
        </is>
      </c>
      <c r="G1703" s="41" t="inlineStr">
        <is>
          <t>111.3200</t>
        </is>
      </c>
      <c r="H1703" s="41" t="inlineStr">
        <is>
          <t>202602</t>
        </is>
      </c>
      <c r="I1703" s="41" t="inlineStr">
        <is>
          <t>20</t>
        </is>
      </c>
      <c r="J1703" s="41" t="inlineStr">
        <is>
          <t>324,000</t>
        </is>
      </c>
      <c r="K1703" s="41" t="inlineStr">
        <is>
          <t>-</t>
        </is>
      </c>
      <c r="L1703" s="41" t="inlineStr">
        <is>
          <t>15</t>
        </is>
      </c>
      <c r="M1703" s="42" t="inlineStr">
        <is>
          <t>개인</t>
        </is>
      </c>
      <c r="N1703" s="42" t="inlineStr">
        <is>
          <t>개인</t>
        </is>
      </c>
      <c r="O1703" s="41" t="inlineStr">
        <is>
          <t>2003</t>
        </is>
      </c>
      <c r="P1703" s="42" t="inlineStr">
        <is>
          <t>서초대로65길 13-10</t>
        </is>
      </c>
      <c r="Q1703" s="41" t="inlineStr">
        <is>
          <t>-</t>
        </is>
      </c>
      <c r="R1703" s="42" t="inlineStr">
        <is>
          <t>중개거래</t>
        </is>
      </c>
      <c r="S1703" s="42" t="inlineStr">
        <is>
          <t>서울 마포구, 서울 서초구</t>
        </is>
      </c>
      <c r="T1703" s="41" t="inlineStr">
        <is>
          <t>-</t>
        </is>
      </c>
      <c r="U1703" s="42" t="inlineStr">
        <is>
          <t>아파트</t>
        </is>
      </c>
    </row>
    <row r="1704" hidden="1" ht="14.25" customHeight="1">
      <c r="A1704" s="41" t="n">
        <v>45</v>
      </c>
      <c r="B1704" s="42" t="inlineStr">
        <is>
          <t>서울특별시 서초구 서초동</t>
        </is>
      </c>
      <c r="C1704" s="41" t="inlineStr">
        <is>
          <t>1446-11</t>
        </is>
      </c>
      <c r="D1704" s="41" t="inlineStr">
        <is>
          <t>1446</t>
        </is>
      </c>
      <c r="E1704" s="41" t="inlineStr">
        <is>
          <t>0011</t>
        </is>
      </c>
      <c r="F1704" s="42" t="inlineStr">
        <is>
          <t>현대슈퍼빌</t>
        </is>
      </c>
      <c r="G1704" s="41" t="inlineStr">
        <is>
          <t>164.8700</t>
        </is>
      </c>
      <c r="H1704" s="41" t="inlineStr">
        <is>
          <t>202602</t>
        </is>
      </c>
      <c r="I1704" s="41" t="inlineStr">
        <is>
          <t>20</t>
        </is>
      </c>
      <c r="J1704" s="41" t="inlineStr">
        <is>
          <t>300,000</t>
        </is>
      </c>
      <c r="K1704" s="41" t="inlineStr">
        <is>
          <t>B</t>
        </is>
      </c>
      <c r="L1704" s="41" t="inlineStr">
        <is>
          <t>17</t>
        </is>
      </c>
      <c r="M1704" s="42" t="inlineStr">
        <is>
          <t>개인</t>
        </is>
      </c>
      <c r="N1704" s="42" t="inlineStr">
        <is>
          <t>법인</t>
        </is>
      </c>
      <c r="O1704" s="41" t="inlineStr">
        <is>
          <t>2003</t>
        </is>
      </c>
      <c r="P1704" s="42" t="inlineStr">
        <is>
          <t>서초중앙로 15</t>
        </is>
      </c>
      <c r="Q1704" s="41" t="inlineStr">
        <is>
          <t>-</t>
        </is>
      </c>
      <c r="R1704" s="42" t="inlineStr">
        <is>
          <t>중개거래</t>
        </is>
      </c>
      <c r="S1704" s="42" t="inlineStr">
        <is>
          <t>서울 서초구</t>
        </is>
      </c>
      <c r="T1704" s="41" t="inlineStr">
        <is>
          <t>26.03.03</t>
        </is>
      </c>
      <c r="U1704" s="42" t="inlineStr">
        <is>
          <t>아파트</t>
        </is>
      </c>
    </row>
    <row r="1705" hidden="1" ht="14.25" customHeight="1">
      <c r="A1705" s="41" t="n">
        <v>46</v>
      </c>
      <c r="B1705" s="42" t="inlineStr">
        <is>
          <t>서울특별시 서초구 서초동</t>
        </is>
      </c>
      <c r="C1705" s="41" t="inlineStr">
        <is>
          <t>1344-13</t>
        </is>
      </c>
      <c r="D1705" s="41" t="inlineStr">
        <is>
          <t>1344</t>
        </is>
      </c>
      <c r="E1705" s="41" t="inlineStr">
        <is>
          <t>0013</t>
        </is>
      </c>
      <c r="F1705" s="42" t="inlineStr">
        <is>
          <t>서초트라팰리스</t>
        </is>
      </c>
      <c r="G1705" s="41" t="inlineStr">
        <is>
          <t>125.4100</t>
        </is>
      </c>
      <c r="H1705" s="41" t="inlineStr">
        <is>
          <t>202602</t>
        </is>
      </c>
      <c r="I1705" s="41" t="inlineStr">
        <is>
          <t>19</t>
        </is>
      </c>
      <c r="J1705" s="41" t="inlineStr">
        <is>
          <t>256,000</t>
        </is>
      </c>
      <c r="K1705" s="41" t="inlineStr">
        <is>
          <t>-</t>
        </is>
      </c>
      <c r="L1705" s="41" t="inlineStr">
        <is>
          <t>8</t>
        </is>
      </c>
      <c r="M1705" s="42" t="inlineStr">
        <is>
          <t>개인</t>
        </is>
      </c>
      <c r="N1705" s="42" t="inlineStr">
        <is>
          <t>개인</t>
        </is>
      </c>
      <c r="O1705" s="41" t="inlineStr">
        <is>
          <t>2005</t>
        </is>
      </c>
      <c r="P1705" s="42" t="inlineStr">
        <is>
          <t>효령로72길 57</t>
        </is>
      </c>
      <c r="Q1705" s="41" t="inlineStr">
        <is>
          <t>-</t>
        </is>
      </c>
      <c r="R1705" s="42" t="inlineStr">
        <is>
          <t>중개거래</t>
        </is>
      </c>
      <c r="S1705" s="42" t="inlineStr">
        <is>
          <t>서울 서초구</t>
        </is>
      </c>
      <c r="T1705" s="41" t="inlineStr">
        <is>
          <t>-</t>
        </is>
      </c>
      <c r="U1705" s="42" t="inlineStr">
        <is>
          <t>아파트</t>
        </is>
      </c>
    </row>
    <row r="1706" hidden="1" ht="14.25" customHeight="1">
      <c r="A1706" s="41" t="n">
        <v>47</v>
      </c>
      <c r="B1706" s="42" t="inlineStr">
        <is>
          <t>서울특별시 서초구 서초동</t>
        </is>
      </c>
      <c r="C1706" s="41" t="inlineStr">
        <is>
          <t>1451-89</t>
        </is>
      </c>
      <c r="D1706" s="41" t="inlineStr">
        <is>
          <t>1451</t>
        </is>
      </c>
      <c r="E1706" s="41" t="inlineStr">
        <is>
          <t>0089</t>
        </is>
      </c>
      <c r="F1706" s="42" t="inlineStr">
        <is>
          <t>서초중흥S-클래스(도시형생활주택)</t>
        </is>
      </c>
      <c r="G1706" s="41" t="inlineStr">
        <is>
          <t>25.8200</t>
        </is>
      </c>
      <c r="H1706" s="41" t="inlineStr">
        <is>
          <t>202602</t>
        </is>
      </c>
      <c r="I1706" s="41" t="inlineStr">
        <is>
          <t>14</t>
        </is>
      </c>
      <c r="J1706" s="41" t="inlineStr">
        <is>
          <t>24,000</t>
        </is>
      </c>
      <c r="K1706" s="41" t="inlineStr">
        <is>
          <t>1</t>
        </is>
      </c>
      <c r="L1706" s="41" t="inlineStr">
        <is>
          <t>7</t>
        </is>
      </c>
      <c r="M1706" s="42" t="inlineStr">
        <is>
          <t>개인</t>
        </is>
      </c>
      <c r="N1706" s="42" t="inlineStr">
        <is>
          <t>개인</t>
        </is>
      </c>
      <c r="O1706" s="41" t="inlineStr">
        <is>
          <t>2013</t>
        </is>
      </c>
      <c r="P1706" s="42" t="inlineStr">
        <is>
          <t>효령로52길 63</t>
        </is>
      </c>
      <c r="Q1706" s="41" t="inlineStr">
        <is>
          <t>-</t>
        </is>
      </c>
      <c r="R1706" s="42" t="inlineStr">
        <is>
          <t>중개거래</t>
        </is>
      </c>
      <c r="S1706" s="42" t="inlineStr">
        <is>
          <t>서울 서초구</t>
        </is>
      </c>
      <c r="T1706" s="41" t="inlineStr">
        <is>
          <t>26.02.24</t>
        </is>
      </c>
      <c r="U1706" s="42" t="inlineStr">
        <is>
          <t>아파트</t>
        </is>
      </c>
    </row>
    <row r="1707" hidden="1" ht="14.25" customHeight="1">
      <c r="A1707" s="41" t="n">
        <v>48</v>
      </c>
      <c r="B1707" s="42" t="inlineStr">
        <is>
          <t>서울특별시 서초구 서초동</t>
        </is>
      </c>
      <c r="C1707" s="41" t="inlineStr">
        <is>
          <t>1316-31</t>
        </is>
      </c>
      <c r="D1707" s="41" t="inlineStr">
        <is>
          <t>1316</t>
        </is>
      </c>
      <c r="E1707" s="41" t="inlineStr">
        <is>
          <t>0031</t>
        </is>
      </c>
      <c r="F1707" s="42" t="inlineStr">
        <is>
          <t>밀라텔쉐르빌</t>
        </is>
      </c>
      <c r="G1707" s="41" t="inlineStr">
        <is>
          <t>46.2800</t>
        </is>
      </c>
      <c r="H1707" s="41" t="inlineStr">
        <is>
          <t>202602</t>
        </is>
      </c>
      <c r="I1707" s="41" t="inlineStr">
        <is>
          <t>14</t>
        </is>
      </c>
      <c r="J1707" s="41" t="inlineStr">
        <is>
          <t>65,000</t>
        </is>
      </c>
      <c r="K1707" s="41" t="inlineStr">
        <is>
          <t>-</t>
        </is>
      </c>
      <c r="L1707" s="41" t="inlineStr">
        <is>
          <t>19</t>
        </is>
      </c>
      <c r="M1707" s="42" t="inlineStr">
        <is>
          <t>개인</t>
        </is>
      </c>
      <c r="N1707" s="42" t="inlineStr">
        <is>
          <t>개인</t>
        </is>
      </c>
      <c r="O1707" s="41" t="inlineStr">
        <is>
          <t>2001</t>
        </is>
      </c>
      <c r="P1707" s="42" t="inlineStr">
        <is>
          <t>강남대로61길 17</t>
        </is>
      </c>
      <c r="Q1707" s="41" t="inlineStr">
        <is>
          <t>-</t>
        </is>
      </c>
      <c r="R1707" s="42" t="inlineStr">
        <is>
          <t>중개거래</t>
        </is>
      </c>
      <c r="S1707" s="42" t="inlineStr">
        <is>
          <t>서울 서초구</t>
        </is>
      </c>
      <c r="T1707" s="41" t="inlineStr">
        <is>
          <t>26.03.31</t>
        </is>
      </c>
      <c r="U1707" s="42" t="inlineStr">
        <is>
          <t>아파트</t>
        </is>
      </c>
    </row>
    <row r="1708" hidden="1" ht="14.25" customHeight="1">
      <c r="A1708" s="41" t="n">
        <v>49</v>
      </c>
      <c r="B1708" s="42" t="inlineStr">
        <is>
          <t>서울특별시 서초구 서초동</t>
        </is>
      </c>
      <c r="C1708" s="41" t="inlineStr">
        <is>
          <t>1311-10</t>
        </is>
      </c>
      <c r="D1708" s="41" t="inlineStr">
        <is>
          <t>1311</t>
        </is>
      </c>
      <c r="E1708" s="41" t="inlineStr">
        <is>
          <t>0010</t>
        </is>
      </c>
      <c r="F1708" s="42" t="inlineStr">
        <is>
          <t>서초푸르지오써밋</t>
        </is>
      </c>
      <c r="G1708" s="41" t="inlineStr">
        <is>
          <t>59.9200</t>
        </is>
      </c>
      <c r="H1708" s="41" t="inlineStr">
        <is>
          <t>202602</t>
        </is>
      </c>
      <c r="I1708" s="41" t="inlineStr">
        <is>
          <t>14</t>
        </is>
      </c>
      <c r="J1708" s="41" t="inlineStr">
        <is>
          <t>325,000</t>
        </is>
      </c>
      <c r="K1708" s="41" t="inlineStr">
        <is>
          <t>-</t>
        </is>
      </c>
      <c r="L1708" s="41" t="inlineStr">
        <is>
          <t>24</t>
        </is>
      </c>
      <c r="M1708" s="42" t="inlineStr">
        <is>
          <t>개인</t>
        </is>
      </c>
      <c r="N1708" s="42" t="inlineStr">
        <is>
          <t>개인</t>
        </is>
      </c>
      <c r="O1708" s="41" t="inlineStr">
        <is>
          <t>2017</t>
        </is>
      </c>
      <c r="P1708" s="42" t="inlineStr">
        <is>
          <t>서운로 201</t>
        </is>
      </c>
      <c r="Q1708" s="41" t="inlineStr">
        <is>
          <t>-</t>
        </is>
      </c>
      <c r="R1708" s="42" t="inlineStr">
        <is>
          <t>중개거래</t>
        </is>
      </c>
      <c r="S1708" s="42" t="inlineStr">
        <is>
          <t>서울 서초구</t>
        </is>
      </c>
      <c r="T1708" s="41" t="inlineStr">
        <is>
          <t>-</t>
        </is>
      </c>
      <c r="U1708" s="42" t="inlineStr">
        <is>
          <t>아파트</t>
        </is>
      </c>
    </row>
    <row r="1709" hidden="1" ht="14.25" customHeight="1">
      <c r="A1709" s="41" t="n">
        <v>50</v>
      </c>
      <c r="B1709" s="42" t="inlineStr">
        <is>
          <t>서울특별시 서초구 서초동</t>
        </is>
      </c>
      <c r="C1709" s="41" t="inlineStr">
        <is>
          <t>1332-13</t>
        </is>
      </c>
      <c r="D1709" s="41" t="inlineStr">
        <is>
          <t>1332</t>
        </is>
      </c>
      <c r="E1709" s="41" t="inlineStr">
        <is>
          <t>0013</t>
        </is>
      </c>
      <c r="F1709" s="42" t="inlineStr">
        <is>
          <t>래미안서초에스티지</t>
        </is>
      </c>
      <c r="G1709" s="41" t="inlineStr">
        <is>
          <t>59.9900</t>
        </is>
      </c>
      <c r="H1709" s="41" t="inlineStr">
        <is>
          <t>202602</t>
        </is>
      </c>
      <c r="I1709" s="41" t="inlineStr">
        <is>
          <t>14</t>
        </is>
      </c>
      <c r="J1709" s="41" t="inlineStr">
        <is>
          <t>310,000</t>
        </is>
      </c>
      <c r="K1709" s="41" t="inlineStr">
        <is>
          <t>-</t>
        </is>
      </c>
      <c r="L1709" s="41" t="inlineStr">
        <is>
          <t>14</t>
        </is>
      </c>
      <c r="M1709" s="42" t="inlineStr">
        <is>
          <t>개인</t>
        </is>
      </c>
      <c r="N1709" s="42" t="inlineStr">
        <is>
          <t>개인</t>
        </is>
      </c>
      <c r="O1709" s="41" t="inlineStr">
        <is>
          <t>2016</t>
        </is>
      </c>
      <c r="P1709" s="42" t="inlineStr">
        <is>
          <t>서운로 107</t>
        </is>
      </c>
      <c r="Q1709" s="41" t="inlineStr">
        <is>
          <t>-</t>
        </is>
      </c>
      <c r="R1709" s="42" t="inlineStr">
        <is>
          <t>중개거래</t>
        </is>
      </c>
      <c r="S1709" s="42" t="inlineStr">
        <is>
          <t>서울 서초구</t>
        </is>
      </c>
      <c r="T1709" s="41" t="inlineStr">
        <is>
          <t>-</t>
        </is>
      </c>
      <c r="U1709" s="42" t="inlineStr">
        <is>
          <t>아파트</t>
        </is>
      </c>
    </row>
    <row r="1710" hidden="1" ht="14.25" customHeight="1">
      <c r="A1710" s="41" t="n">
        <v>51</v>
      </c>
      <c r="B1710" s="42" t="inlineStr">
        <is>
          <t>서울특별시 서초구 서초동</t>
        </is>
      </c>
      <c r="C1710" s="41" t="inlineStr">
        <is>
          <t>1327-29</t>
        </is>
      </c>
      <c r="D1710" s="41" t="inlineStr">
        <is>
          <t>1327</t>
        </is>
      </c>
      <c r="E1710" s="41" t="inlineStr">
        <is>
          <t>0029</t>
        </is>
      </c>
      <c r="F1710" s="42" t="inlineStr">
        <is>
          <t>서초파라곤</t>
        </is>
      </c>
      <c r="G1710" s="41" t="inlineStr">
        <is>
          <t>84.9800</t>
        </is>
      </c>
      <c r="H1710" s="41" t="inlineStr">
        <is>
          <t>202602</t>
        </is>
      </c>
      <c r="I1710" s="41" t="inlineStr">
        <is>
          <t>13</t>
        </is>
      </c>
      <c r="J1710" s="41" t="inlineStr">
        <is>
          <t>139,000</t>
        </is>
      </c>
      <c r="K1710" s="41" t="inlineStr">
        <is>
          <t>-</t>
        </is>
      </c>
      <c r="L1710" s="41" t="inlineStr">
        <is>
          <t>12</t>
        </is>
      </c>
      <c r="M1710" s="42" t="inlineStr">
        <is>
          <t>개인</t>
        </is>
      </c>
      <c r="N1710" s="42" t="inlineStr">
        <is>
          <t>개인</t>
        </is>
      </c>
      <c r="O1710" s="41" t="inlineStr">
        <is>
          <t>2005</t>
        </is>
      </c>
      <c r="P1710" s="42" t="inlineStr">
        <is>
          <t>서초대로74길 29</t>
        </is>
      </c>
      <c r="Q1710" s="41" t="inlineStr">
        <is>
          <t>20260310</t>
        </is>
      </c>
      <c r="R1710" s="42" t="inlineStr">
        <is>
          <t>중개거래</t>
        </is>
      </c>
      <c r="S1710" s="42" t="inlineStr">
        <is>
          <t>서울 서초구</t>
        </is>
      </c>
      <c r="T1710" s="41" t="inlineStr">
        <is>
          <t>-</t>
        </is>
      </c>
      <c r="U1710" s="42" t="inlineStr">
        <is>
          <t>아파트</t>
        </is>
      </c>
    </row>
    <row r="1711" hidden="1" ht="14.25" customHeight="1">
      <c r="A1711" s="41" t="n">
        <v>52</v>
      </c>
      <c r="B1711" s="42" t="inlineStr">
        <is>
          <t>서울특별시 서초구 서초동</t>
        </is>
      </c>
      <c r="C1711" s="41" t="inlineStr">
        <is>
          <t>1533</t>
        </is>
      </c>
      <c r="D1711" s="41" t="inlineStr">
        <is>
          <t>1533</t>
        </is>
      </c>
      <c r="E1711" s="41" t="inlineStr">
        <is>
          <t>0000</t>
        </is>
      </c>
      <c r="F1711" s="42" t="inlineStr">
        <is>
          <t>서초한신리빙타워</t>
        </is>
      </c>
      <c r="G1711" s="41" t="inlineStr">
        <is>
          <t>47.8700</t>
        </is>
      </c>
      <c r="H1711" s="41" t="inlineStr">
        <is>
          <t>202602</t>
        </is>
      </c>
      <c r="I1711" s="41" t="inlineStr">
        <is>
          <t>13</t>
        </is>
      </c>
      <c r="J1711" s="41" t="inlineStr">
        <is>
          <t>70,000</t>
        </is>
      </c>
      <c r="K1711" s="41" t="inlineStr">
        <is>
          <t>-</t>
        </is>
      </c>
      <c r="L1711" s="41" t="inlineStr">
        <is>
          <t>8</t>
        </is>
      </c>
      <c r="M1711" s="42" t="inlineStr">
        <is>
          <t>개인</t>
        </is>
      </c>
      <c r="N1711" s="42" t="inlineStr">
        <is>
          <t>개인</t>
        </is>
      </c>
      <c r="O1711" s="41" t="inlineStr">
        <is>
          <t>1999</t>
        </is>
      </c>
      <c r="P1711" s="42" t="inlineStr">
        <is>
          <t>효령로 237</t>
        </is>
      </c>
      <c r="Q1711" s="41" t="inlineStr">
        <is>
          <t>-</t>
        </is>
      </c>
      <c r="R1711" s="42" t="inlineStr">
        <is>
          <t>중개거래</t>
        </is>
      </c>
      <c r="S1711" s="42" t="inlineStr">
        <is>
          <t>서울 서초구</t>
        </is>
      </c>
      <c r="T1711" s="41" t="inlineStr">
        <is>
          <t>-</t>
        </is>
      </c>
      <c r="U1711" s="42" t="inlineStr">
        <is>
          <t>아파트</t>
        </is>
      </c>
    </row>
    <row r="1712" hidden="1" ht="14.25" customHeight="1">
      <c r="A1712" s="41" t="n">
        <v>53</v>
      </c>
      <c r="B1712" s="42" t="inlineStr">
        <is>
          <t>서울특별시 서초구 서초동</t>
        </is>
      </c>
      <c r="C1712" s="41" t="inlineStr">
        <is>
          <t>1533</t>
        </is>
      </c>
      <c r="D1712" s="41" t="inlineStr">
        <is>
          <t>1533</t>
        </is>
      </c>
      <c r="E1712" s="41" t="inlineStr">
        <is>
          <t>0000</t>
        </is>
      </c>
      <c r="F1712" s="42" t="inlineStr">
        <is>
          <t>서초한신리빙타워</t>
        </is>
      </c>
      <c r="G1712" s="41" t="inlineStr">
        <is>
          <t>47.8700</t>
        </is>
      </c>
      <c r="H1712" s="41" t="inlineStr">
        <is>
          <t>202602</t>
        </is>
      </c>
      <c r="I1712" s="41" t="inlineStr">
        <is>
          <t>13</t>
        </is>
      </c>
      <c r="J1712" s="41" t="inlineStr">
        <is>
          <t>70,000</t>
        </is>
      </c>
      <c r="K1712" s="41" t="inlineStr">
        <is>
          <t>-</t>
        </is>
      </c>
      <c r="L1712" s="41" t="inlineStr">
        <is>
          <t>8</t>
        </is>
      </c>
      <c r="M1712" s="42" t="inlineStr">
        <is>
          <t>개인</t>
        </is>
      </c>
      <c r="N1712" s="42" t="inlineStr">
        <is>
          <t>개인</t>
        </is>
      </c>
      <c r="O1712" s="41" t="inlineStr">
        <is>
          <t>1999</t>
        </is>
      </c>
      <c r="P1712" s="42" t="inlineStr">
        <is>
          <t>효령로 237</t>
        </is>
      </c>
      <c r="Q1712" s="41" t="inlineStr">
        <is>
          <t>20260331</t>
        </is>
      </c>
      <c r="R1712" s="42" t="inlineStr">
        <is>
          <t>중개거래</t>
        </is>
      </c>
      <c r="S1712" s="42" t="inlineStr">
        <is>
          <t>서울 서초구</t>
        </is>
      </c>
      <c r="T1712" s="41" t="inlineStr">
        <is>
          <t>-</t>
        </is>
      </c>
      <c r="U1712" s="42" t="inlineStr">
        <is>
          <t>아파트</t>
        </is>
      </c>
    </row>
    <row r="1713" hidden="1" ht="14.25" customHeight="1">
      <c r="A1713" s="41" t="n">
        <v>54</v>
      </c>
      <c r="B1713" s="42" t="inlineStr">
        <is>
          <t>서울특별시 서초구 서초동</t>
        </is>
      </c>
      <c r="C1713" s="41" t="inlineStr">
        <is>
          <t>1755</t>
        </is>
      </c>
      <c r="D1713" s="41" t="inlineStr">
        <is>
          <t>1755</t>
        </is>
      </c>
      <c r="E1713" s="41" t="inlineStr">
        <is>
          <t>0000</t>
        </is>
      </c>
      <c r="F1713" s="42" t="inlineStr">
        <is>
          <t>래미안 리더스원</t>
        </is>
      </c>
      <c r="G1713" s="41" t="inlineStr">
        <is>
          <t>84.9400</t>
        </is>
      </c>
      <c r="H1713" s="41" t="inlineStr">
        <is>
          <t>202602</t>
        </is>
      </c>
      <c r="I1713" s="41" t="inlineStr">
        <is>
          <t>13</t>
        </is>
      </c>
      <c r="J1713" s="41" t="inlineStr">
        <is>
          <t>380,000</t>
        </is>
      </c>
      <c r="K1713" s="41" t="inlineStr">
        <is>
          <t>-</t>
        </is>
      </c>
      <c r="L1713" s="41" t="inlineStr">
        <is>
          <t>17</t>
        </is>
      </c>
      <c r="M1713" s="42" t="inlineStr">
        <is>
          <t>개인</t>
        </is>
      </c>
      <c r="N1713" s="42" t="inlineStr">
        <is>
          <t>개인</t>
        </is>
      </c>
      <c r="O1713" s="41" t="inlineStr">
        <is>
          <t>2020</t>
        </is>
      </c>
      <c r="P1713" s="42" t="inlineStr">
        <is>
          <t>서운로 62</t>
        </is>
      </c>
      <c r="Q1713" s="41" t="inlineStr">
        <is>
          <t>-</t>
        </is>
      </c>
      <c r="R1713" s="42" t="inlineStr">
        <is>
          <t>중개거래</t>
        </is>
      </c>
      <c r="S1713" s="42" t="inlineStr">
        <is>
          <t>서울 서초구</t>
        </is>
      </c>
      <c r="T1713" s="41" t="inlineStr">
        <is>
          <t>-</t>
        </is>
      </c>
      <c r="U1713" s="42" t="inlineStr">
        <is>
          <t>아파트</t>
        </is>
      </c>
    </row>
    <row r="1714" hidden="1" ht="14.25" customHeight="1">
      <c r="A1714" s="41" t="n">
        <v>55</v>
      </c>
      <c r="B1714" s="42" t="inlineStr">
        <is>
          <t>서울특별시 서초구 서초동</t>
        </is>
      </c>
      <c r="C1714" s="41" t="inlineStr">
        <is>
          <t>1444-7</t>
        </is>
      </c>
      <c r="D1714" s="41" t="inlineStr">
        <is>
          <t>1444</t>
        </is>
      </c>
      <c r="E1714" s="41" t="inlineStr">
        <is>
          <t>0007</t>
        </is>
      </c>
      <c r="F1714" s="42" t="inlineStr">
        <is>
          <t>서초자이</t>
        </is>
      </c>
      <c r="G1714" s="41" t="inlineStr">
        <is>
          <t>148.8300</t>
        </is>
      </c>
      <c r="H1714" s="41" t="inlineStr">
        <is>
          <t>202602</t>
        </is>
      </c>
      <c r="I1714" s="41" t="inlineStr">
        <is>
          <t>13</t>
        </is>
      </c>
      <c r="J1714" s="41" t="inlineStr">
        <is>
          <t>290,000</t>
        </is>
      </c>
      <c r="K1714" s="41" t="inlineStr">
        <is>
          <t>101</t>
        </is>
      </c>
      <c r="L1714" s="41" t="inlineStr">
        <is>
          <t>3</t>
        </is>
      </c>
      <c r="M1714" s="42" t="inlineStr">
        <is>
          <t>법인</t>
        </is>
      </c>
      <c r="N1714" s="42" t="inlineStr">
        <is>
          <t>개인</t>
        </is>
      </c>
      <c r="O1714" s="41" t="inlineStr">
        <is>
          <t>2006</t>
        </is>
      </c>
      <c r="P1714" s="42" t="inlineStr">
        <is>
          <t>효령로68길 81</t>
        </is>
      </c>
      <c r="Q1714" s="41" t="inlineStr">
        <is>
          <t>-</t>
        </is>
      </c>
      <c r="R1714" s="42" t="inlineStr">
        <is>
          <t>중개거래</t>
        </is>
      </c>
      <c r="S1714" s="42" t="inlineStr">
        <is>
          <t>서울 서초구</t>
        </is>
      </c>
      <c r="T1714" s="41" t="inlineStr">
        <is>
          <t>26.03.13</t>
        </is>
      </c>
      <c r="U1714" s="42" t="inlineStr">
        <is>
          <t>아파트</t>
        </is>
      </c>
    </row>
    <row r="1715" hidden="1" ht="14.25" customHeight="1">
      <c r="A1715" s="41" t="n">
        <v>56</v>
      </c>
      <c r="B1715" s="42" t="inlineStr">
        <is>
          <t>서울특별시 서초구 서초동</t>
        </is>
      </c>
      <c r="C1715" s="41" t="inlineStr">
        <is>
          <t>1344-13</t>
        </is>
      </c>
      <c r="D1715" s="41" t="inlineStr">
        <is>
          <t>1344</t>
        </is>
      </c>
      <c r="E1715" s="41" t="inlineStr">
        <is>
          <t>0013</t>
        </is>
      </c>
      <c r="F1715" s="42" t="inlineStr">
        <is>
          <t>서초트라팰리스</t>
        </is>
      </c>
      <c r="G1715" s="41" t="inlineStr">
        <is>
          <t>95.5800</t>
        </is>
      </c>
      <c r="H1715" s="41" t="inlineStr">
        <is>
          <t>202602</t>
        </is>
      </c>
      <c r="I1715" s="41" t="inlineStr">
        <is>
          <t>12</t>
        </is>
      </c>
      <c r="J1715" s="41" t="inlineStr">
        <is>
          <t>209,000</t>
        </is>
      </c>
      <c r="K1715" s="41" t="inlineStr">
        <is>
          <t>A</t>
        </is>
      </c>
      <c r="L1715" s="41" t="inlineStr">
        <is>
          <t>13</t>
        </is>
      </c>
      <c r="M1715" s="42" t="inlineStr">
        <is>
          <t>개인</t>
        </is>
      </c>
      <c r="N1715" s="42" t="inlineStr">
        <is>
          <t>개인</t>
        </is>
      </c>
      <c r="O1715" s="41" t="inlineStr">
        <is>
          <t>2005</t>
        </is>
      </c>
      <c r="P1715" s="42" t="inlineStr">
        <is>
          <t>효령로72길 57</t>
        </is>
      </c>
      <c r="Q1715" s="41" t="inlineStr">
        <is>
          <t>-</t>
        </is>
      </c>
      <c r="R1715" s="42" t="inlineStr">
        <is>
          <t>중개거래</t>
        </is>
      </c>
      <c r="S1715" s="42" t="inlineStr">
        <is>
          <t>서울 서초구</t>
        </is>
      </c>
      <c r="T1715" s="41" t="inlineStr">
        <is>
          <t>26.03.04</t>
        </is>
      </c>
      <c r="U1715" s="42" t="inlineStr">
        <is>
          <t>아파트</t>
        </is>
      </c>
    </row>
    <row r="1716" hidden="1" ht="14.25" customHeight="1">
      <c r="A1716" s="41" t="n">
        <v>57</v>
      </c>
      <c r="B1716" s="42" t="inlineStr">
        <is>
          <t>서울특별시 서초구 서초동</t>
        </is>
      </c>
      <c r="C1716" s="41" t="inlineStr">
        <is>
          <t>1593-7</t>
        </is>
      </c>
      <c r="D1716" s="41" t="inlineStr">
        <is>
          <t>1593</t>
        </is>
      </c>
      <c r="E1716" s="41" t="inlineStr">
        <is>
          <t>0007</t>
        </is>
      </c>
      <c r="F1716" s="42" t="inlineStr">
        <is>
          <t>서초이오빌</t>
        </is>
      </c>
      <c r="G1716" s="41" t="inlineStr">
        <is>
          <t>36.6600</t>
        </is>
      </c>
      <c r="H1716" s="41" t="inlineStr">
        <is>
          <t>202602</t>
        </is>
      </c>
      <c r="I1716" s="41" t="inlineStr">
        <is>
          <t>11</t>
        </is>
      </c>
      <c r="J1716" s="41" t="inlineStr">
        <is>
          <t>32,800</t>
        </is>
      </c>
      <c r="K1716" s="41" t="inlineStr">
        <is>
          <t>-</t>
        </is>
      </c>
      <c r="L1716" s="41" t="inlineStr">
        <is>
          <t>15</t>
        </is>
      </c>
      <c r="M1716" s="42" t="inlineStr">
        <is>
          <t>개인</t>
        </is>
      </c>
      <c r="N1716" s="42" t="inlineStr">
        <is>
          <t>개인</t>
        </is>
      </c>
      <c r="O1716" s="41" t="inlineStr">
        <is>
          <t>2003</t>
        </is>
      </c>
      <c r="P1716" s="42" t="inlineStr">
        <is>
          <t>효령로53길 45</t>
        </is>
      </c>
      <c r="Q1716" s="41" t="inlineStr">
        <is>
          <t>-</t>
        </is>
      </c>
      <c r="R1716" s="42" t="inlineStr">
        <is>
          <t>중개거래</t>
        </is>
      </c>
      <c r="S1716" s="42" t="inlineStr">
        <is>
          <t>서울 서초구</t>
        </is>
      </c>
      <c r="T1716" s="41" t="inlineStr">
        <is>
          <t>-</t>
        </is>
      </c>
      <c r="U1716" s="42" t="inlineStr">
        <is>
          <t>아파트</t>
        </is>
      </c>
    </row>
    <row r="1717" hidden="1" ht="14.25" customHeight="1">
      <c r="A1717" s="41" t="n">
        <v>58</v>
      </c>
      <c r="B1717" s="42" t="inlineStr">
        <is>
          <t>서울특별시 서초구 서초동</t>
        </is>
      </c>
      <c r="C1717" s="41" t="inlineStr">
        <is>
          <t>1494-4</t>
        </is>
      </c>
      <c r="D1717" s="41" t="inlineStr">
        <is>
          <t>1494</t>
        </is>
      </c>
      <c r="E1717" s="41" t="inlineStr">
        <is>
          <t>0004</t>
        </is>
      </c>
      <c r="F1717" s="42" t="inlineStr">
        <is>
          <t>더미켈란</t>
        </is>
      </c>
      <c r="G1717" s="41" t="inlineStr">
        <is>
          <t>244.9800</t>
        </is>
      </c>
      <c r="H1717" s="41" t="inlineStr">
        <is>
          <t>202602</t>
        </is>
      </c>
      <c r="I1717" s="41" t="inlineStr">
        <is>
          <t>09</t>
        </is>
      </c>
      <c r="J1717" s="41" t="inlineStr">
        <is>
          <t>430,000</t>
        </is>
      </c>
      <c r="K1717" s="41" t="inlineStr">
        <is>
          <t>-</t>
        </is>
      </c>
      <c r="L1717" s="41" t="inlineStr">
        <is>
          <t>4</t>
        </is>
      </c>
      <c r="M1717" s="42" t="inlineStr">
        <is>
          <t>개인</t>
        </is>
      </c>
      <c r="N1717" s="42" t="inlineStr">
        <is>
          <t>개인</t>
        </is>
      </c>
      <c r="O1717" s="41" t="inlineStr">
        <is>
          <t>2005</t>
        </is>
      </c>
      <c r="P1717" s="42" t="inlineStr">
        <is>
          <t>명달로 91</t>
        </is>
      </c>
      <c r="Q1717" s="41" t="inlineStr">
        <is>
          <t>-</t>
        </is>
      </c>
      <c r="R1717" s="42" t="inlineStr">
        <is>
          <t>중개거래</t>
        </is>
      </c>
      <c r="S1717" s="42" t="inlineStr">
        <is>
          <t>서울 서초구</t>
        </is>
      </c>
      <c r="T1717" s="41" t="inlineStr">
        <is>
          <t>26.03.10</t>
        </is>
      </c>
      <c r="U1717" s="42" t="inlineStr">
        <is>
          <t>아파트</t>
        </is>
      </c>
    </row>
    <row r="1718" hidden="1" ht="14.25" customHeight="1">
      <c r="A1718" s="41" t="n">
        <v>59</v>
      </c>
      <c r="B1718" s="42" t="inlineStr">
        <is>
          <t>서울특별시 서초구 서초동</t>
        </is>
      </c>
      <c r="C1718" s="41" t="inlineStr">
        <is>
          <t>1446-11</t>
        </is>
      </c>
      <c r="D1718" s="41" t="inlineStr">
        <is>
          <t>1446</t>
        </is>
      </c>
      <c r="E1718" s="41" t="inlineStr">
        <is>
          <t>0011</t>
        </is>
      </c>
      <c r="F1718" s="42" t="inlineStr">
        <is>
          <t>현대슈퍼빌</t>
        </is>
      </c>
      <c r="G1718" s="41" t="inlineStr">
        <is>
          <t>147.8600</t>
        </is>
      </c>
      <c r="H1718" s="41" t="inlineStr">
        <is>
          <t>202602</t>
        </is>
      </c>
      <c r="I1718" s="41" t="inlineStr">
        <is>
          <t>08</t>
        </is>
      </c>
      <c r="J1718" s="41" t="inlineStr">
        <is>
          <t>270,000</t>
        </is>
      </c>
      <c r="K1718" s="41" t="inlineStr">
        <is>
          <t>-</t>
        </is>
      </c>
      <c r="L1718" s="41" t="inlineStr">
        <is>
          <t>16</t>
        </is>
      </c>
      <c r="M1718" s="42" t="inlineStr">
        <is>
          <t>개인</t>
        </is>
      </c>
      <c r="N1718" s="42" t="inlineStr">
        <is>
          <t>개인</t>
        </is>
      </c>
      <c r="O1718" s="41" t="inlineStr">
        <is>
          <t>2003</t>
        </is>
      </c>
      <c r="P1718" s="42" t="inlineStr">
        <is>
          <t>서초중앙로 15</t>
        </is>
      </c>
      <c r="Q1718" s="41" t="inlineStr">
        <is>
          <t>-</t>
        </is>
      </c>
      <c r="R1718" s="42" t="inlineStr">
        <is>
          <t>직거래</t>
        </is>
      </c>
      <c r="S1718" s="41" t="inlineStr">
        <is>
          <t>-</t>
        </is>
      </c>
      <c r="T1718" s="41" t="inlineStr">
        <is>
          <t>-</t>
        </is>
      </c>
      <c r="U1718" s="42" t="inlineStr">
        <is>
          <t>아파트</t>
        </is>
      </c>
    </row>
    <row r="1719" hidden="1" ht="14.25" customHeight="1">
      <c r="A1719" s="41" t="n">
        <v>60</v>
      </c>
      <c r="B1719" s="42" t="inlineStr">
        <is>
          <t>서울특별시 서초구 서초동</t>
        </is>
      </c>
      <c r="C1719" s="41" t="inlineStr">
        <is>
          <t>1648-2</t>
        </is>
      </c>
      <c r="D1719" s="41" t="inlineStr">
        <is>
          <t>1648</t>
        </is>
      </c>
      <c r="E1719" s="41" t="inlineStr">
        <is>
          <t>0002</t>
        </is>
      </c>
      <c r="F1719" s="42" t="inlineStr">
        <is>
          <t>서초현대</t>
        </is>
      </c>
      <c r="G1719" s="41" t="inlineStr">
        <is>
          <t>54.4500</t>
        </is>
      </c>
      <c r="H1719" s="41" t="inlineStr">
        <is>
          <t>202602</t>
        </is>
      </c>
      <c r="I1719" s="41" t="inlineStr">
        <is>
          <t>08</t>
        </is>
      </c>
      <c r="J1719" s="41" t="inlineStr">
        <is>
          <t>158,000</t>
        </is>
      </c>
      <c r="K1719" s="41" t="inlineStr">
        <is>
          <t>-</t>
        </is>
      </c>
      <c r="L1719" s="41" t="inlineStr">
        <is>
          <t>1</t>
        </is>
      </c>
      <c r="M1719" s="42" t="inlineStr">
        <is>
          <t>개인</t>
        </is>
      </c>
      <c r="N1719" s="42" t="inlineStr">
        <is>
          <t>개인</t>
        </is>
      </c>
      <c r="O1719" s="41" t="inlineStr">
        <is>
          <t>1999</t>
        </is>
      </c>
      <c r="P1719" s="42" t="inlineStr">
        <is>
          <t>사임당로19길 10</t>
        </is>
      </c>
      <c r="Q1719" s="41" t="inlineStr">
        <is>
          <t>-</t>
        </is>
      </c>
      <c r="R1719" s="42" t="inlineStr">
        <is>
          <t>중개거래</t>
        </is>
      </c>
      <c r="S1719" s="42" t="inlineStr">
        <is>
          <t>서울 서초구</t>
        </is>
      </c>
      <c r="T1719" s="41" t="inlineStr">
        <is>
          <t>-</t>
        </is>
      </c>
      <c r="U1719" s="42" t="inlineStr">
        <is>
          <t>아파트</t>
        </is>
      </c>
    </row>
    <row r="1720" hidden="1" ht="14.25" customHeight="1">
      <c r="A1720" s="41" t="n">
        <v>61</v>
      </c>
      <c r="B1720" s="42" t="inlineStr">
        <is>
          <t>서울특별시 서초구 서초동</t>
        </is>
      </c>
      <c r="C1720" s="41" t="inlineStr">
        <is>
          <t>1755</t>
        </is>
      </c>
      <c r="D1720" s="41" t="inlineStr">
        <is>
          <t>1755</t>
        </is>
      </c>
      <c r="E1720" s="41" t="inlineStr">
        <is>
          <t>0000</t>
        </is>
      </c>
      <c r="F1720" s="42" t="inlineStr">
        <is>
          <t>래미안 리더스원</t>
        </is>
      </c>
      <c r="G1720" s="41" t="inlineStr">
        <is>
          <t>59.9600</t>
        </is>
      </c>
      <c r="H1720" s="41" t="inlineStr">
        <is>
          <t>202602</t>
        </is>
      </c>
      <c r="I1720" s="41" t="inlineStr">
        <is>
          <t>07</t>
        </is>
      </c>
      <c r="J1720" s="41" t="inlineStr">
        <is>
          <t>324,000</t>
        </is>
      </c>
      <c r="K1720" s="41" t="inlineStr">
        <is>
          <t>-</t>
        </is>
      </c>
      <c r="L1720" s="41" t="inlineStr">
        <is>
          <t>19</t>
        </is>
      </c>
      <c r="M1720" s="42" t="inlineStr">
        <is>
          <t>개인</t>
        </is>
      </c>
      <c r="N1720" s="42" t="inlineStr">
        <is>
          <t>개인</t>
        </is>
      </c>
      <c r="O1720" s="41" t="inlineStr">
        <is>
          <t>2020</t>
        </is>
      </c>
      <c r="P1720" s="42" t="inlineStr">
        <is>
          <t>서운로 62</t>
        </is>
      </c>
      <c r="Q1720" s="41" t="inlineStr">
        <is>
          <t>-</t>
        </is>
      </c>
      <c r="R1720" s="42" t="inlineStr">
        <is>
          <t>중개거래</t>
        </is>
      </c>
      <c r="S1720" s="42" t="inlineStr">
        <is>
          <t>서울 서초구</t>
        </is>
      </c>
      <c r="T1720" s="41" t="inlineStr">
        <is>
          <t>-</t>
        </is>
      </c>
      <c r="U1720" s="42" t="inlineStr">
        <is>
          <t>아파트</t>
        </is>
      </c>
    </row>
    <row r="1721" hidden="1" ht="14.25" customHeight="1">
      <c r="A1721" s="41" t="n">
        <v>62</v>
      </c>
      <c r="B1721" s="42" t="inlineStr">
        <is>
          <t>서울특별시 서초구 서초동</t>
        </is>
      </c>
      <c r="C1721" s="41" t="inlineStr">
        <is>
          <t>1593-7</t>
        </is>
      </c>
      <c r="D1721" s="41" t="inlineStr">
        <is>
          <t>1593</t>
        </is>
      </c>
      <c r="E1721" s="41" t="inlineStr">
        <is>
          <t>0007</t>
        </is>
      </c>
      <c r="F1721" s="42" t="inlineStr">
        <is>
          <t>서초이오빌</t>
        </is>
      </c>
      <c r="G1721" s="41" t="inlineStr">
        <is>
          <t>36.6600</t>
        </is>
      </c>
      <c r="H1721" s="41" t="inlineStr">
        <is>
          <t>202602</t>
        </is>
      </c>
      <c r="I1721" s="41" t="inlineStr">
        <is>
          <t>07</t>
        </is>
      </c>
      <c r="J1721" s="41" t="inlineStr">
        <is>
          <t>29,500</t>
        </is>
      </c>
      <c r="K1721" s="41" t="inlineStr">
        <is>
          <t>-</t>
        </is>
      </c>
      <c r="L1721" s="41" t="inlineStr">
        <is>
          <t>17</t>
        </is>
      </c>
      <c r="M1721" s="42" t="inlineStr">
        <is>
          <t>개인</t>
        </is>
      </c>
      <c r="N1721" s="42" t="inlineStr">
        <is>
          <t>개인</t>
        </is>
      </c>
      <c r="O1721" s="41" t="inlineStr">
        <is>
          <t>2003</t>
        </is>
      </c>
      <c r="P1721" s="42" t="inlineStr">
        <is>
          <t>효령로53길 45</t>
        </is>
      </c>
      <c r="Q1721" s="41" t="inlineStr">
        <is>
          <t>-</t>
        </is>
      </c>
      <c r="R1721" s="42" t="inlineStr">
        <is>
          <t>중개거래</t>
        </is>
      </c>
      <c r="S1721" s="42" t="inlineStr">
        <is>
          <t>서울 서초구</t>
        </is>
      </c>
      <c r="T1721" s="41" t="inlineStr">
        <is>
          <t>26.03.13</t>
        </is>
      </c>
      <c r="U1721" s="42" t="inlineStr">
        <is>
          <t>아파트</t>
        </is>
      </c>
    </row>
    <row r="1722" hidden="1" ht="14.25" customHeight="1">
      <c r="A1722" s="41" t="n">
        <v>63</v>
      </c>
      <c r="B1722" s="42" t="inlineStr">
        <is>
          <t>서울특별시 서초구 서초동</t>
        </is>
      </c>
      <c r="C1722" s="41" t="inlineStr">
        <is>
          <t>1326-17</t>
        </is>
      </c>
      <c r="D1722" s="41" t="inlineStr">
        <is>
          <t>1326</t>
        </is>
      </c>
      <c r="E1722" s="41" t="inlineStr">
        <is>
          <t>0017</t>
        </is>
      </c>
      <c r="F1722" s="42" t="inlineStr">
        <is>
          <t>우성아파트</t>
        </is>
      </c>
      <c r="G1722" s="41" t="inlineStr">
        <is>
          <t>59.9300</t>
        </is>
      </c>
      <c r="H1722" s="41" t="inlineStr">
        <is>
          <t>202602</t>
        </is>
      </c>
      <c r="I1722" s="41" t="inlineStr">
        <is>
          <t>06</t>
        </is>
      </c>
      <c r="J1722" s="41" t="inlineStr">
        <is>
          <t>228,000</t>
        </is>
      </c>
      <c r="K1722" s="41" t="inlineStr">
        <is>
          <t>-</t>
        </is>
      </c>
      <c r="L1722" s="41" t="inlineStr">
        <is>
          <t>13</t>
        </is>
      </c>
      <c r="M1722" s="42" t="inlineStr">
        <is>
          <t>개인</t>
        </is>
      </c>
      <c r="N1722" s="42" t="inlineStr">
        <is>
          <t>개인</t>
        </is>
      </c>
      <c r="O1722" s="41" t="inlineStr">
        <is>
          <t>1998</t>
        </is>
      </c>
      <c r="P1722" s="42" t="inlineStr">
        <is>
          <t>서초대로74길 30</t>
        </is>
      </c>
      <c r="Q1722" s="41" t="inlineStr">
        <is>
          <t>-</t>
        </is>
      </c>
      <c r="R1722" s="42" t="inlineStr">
        <is>
          <t>중개거래</t>
        </is>
      </c>
      <c r="S1722" s="42" t="inlineStr">
        <is>
          <t>서울 서초구</t>
        </is>
      </c>
      <c r="T1722" s="41" t="inlineStr">
        <is>
          <t>-</t>
        </is>
      </c>
      <c r="U1722" s="42" t="inlineStr">
        <is>
          <t>아파트</t>
        </is>
      </c>
    </row>
    <row r="1723" hidden="1" ht="14.25" customHeight="1">
      <c r="A1723" s="41" t="n">
        <v>64</v>
      </c>
      <c r="B1723" s="42" t="inlineStr">
        <is>
          <t>서울특별시 서초구 서초동</t>
        </is>
      </c>
      <c r="C1723" s="41" t="inlineStr">
        <is>
          <t>1445-4</t>
        </is>
      </c>
      <c r="D1723" s="41" t="inlineStr">
        <is>
          <t>1445</t>
        </is>
      </c>
      <c r="E1723" s="41" t="inlineStr">
        <is>
          <t>0004</t>
        </is>
      </c>
      <c r="F1723" s="42" t="inlineStr">
        <is>
          <t>래미안서초유니빌</t>
        </is>
      </c>
      <c r="G1723" s="41" t="inlineStr">
        <is>
          <t>45.2550</t>
        </is>
      </c>
      <c r="H1723" s="41" t="inlineStr">
        <is>
          <t>202602</t>
        </is>
      </c>
      <c r="I1723" s="41" t="inlineStr">
        <is>
          <t>05</t>
        </is>
      </c>
      <c r="J1723" s="41" t="inlineStr">
        <is>
          <t>48,500</t>
        </is>
      </c>
      <c r="K1723" s="41" t="inlineStr">
        <is>
          <t>-</t>
        </is>
      </c>
      <c r="L1723" s="41" t="inlineStr">
        <is>
          <t>13</t>
        </is>
      </c>
      <c r="M1723" s="42" t="inlineStr">
        <is>
          <t>개인</t>
        </is>
      </c>
      <c r="N1723" s="42" t="inlineStr">
        <is>
          <t>개인</t>
        </is>
      </c>
      <c r="O1723" s="41" t="inlineStr">
        <is>
          <t>2003</t>
        </is>
      </c>
      <c r="P1723" s="42" t="inlineStr">
        <is>
          <t>서초중앙로 26</t>
        </is>
      </c>
      <c r="Q1723" s="41" t="inlineStr">
        <is>
          <t>-</t>
        </is>
      </c>
      <c r="R1723" s="42" t="inlineStr">
        <is>
          <t>중개거래</t>
        </is>
      </c>
      <c r="S1723" s="42" t="inlineStr">
        <is>
          <t>서울 서초구</t>
        </is>
      </c>
      <c r="T1723" s="41" t="inlineStr">
        <is>
          <t>-</t>
        </is>
      </c>
      <c r="U1723" s="42" t="inlineStr">
        <is>
          <t>아파트</t>
        </is>
      </c>
    </row>
    <row r="1724" hidden="1" ht="14.25" customHeight="1">
      <c r="A1724" s="41" t="n">
        <v>65</v>
      </c>
      <c r="B1724" s="42" t="inlineStr">
        <is>
          <t>서울특별시 서초구 서초동</t>
        </is>
      </c>
      <c r="C1724" s="41" t="inlineStr">
        <is>
          <t>1507-61</t>
        </is>
      </c>
      <c r="D1724" s="41" t="inlineStr">
        <is>
          <t>1507</t>
        </is>
      </c>
      <c r="E1724" s="41" t="inlineStr">
        <is>
          <t>0061</t>
        </is>
      </c>
      <c r="F1724" s="42" t="inlineStr">
        <is>
          <t>다솔멤버스</t>
        </is>
      </c>
      <c r="G1724" s="41" t="inlineStr">
        <is>
          <t>140.4700</t>
        </is>
      </c>
      <c r="H1724" s="41" t="inlineStr">
        <is>
          <t>202602</t>
        </is>
      </c>
      <c r="I1724" s="41" t="inlineStr">
        <is>
          <t>05</t>
        </is>
      </c>
      <c r="J1724" s="41" t="inlineStr">
        <is>
          <t>197,000</t>
        </is>
      </c>
      <c r="K1724" s="41" t="inlineStr">
        <is>
          <t>-</t>
        </is>
      </c>
      <c r="L1724" s="41" t="inlineStr">
        <is>
          <t>2</t>
        </is>
      </c>
      <c r="M1724" s="42" t="inlineStr">
        <is>
          <t>개인</t>
        </is>
      </c>
      <c r="N1724" s="42" t="inlineStr">
        <is>
          <t>개인</t>
        </is>
      </c>
      <c r="O1724" s="41" t="inlineStr">
        <is>
          <t>2003</t>
        </is>
      </c>
      <c r="P1724" s="42" t="inlineStr">
        <is>
          <t>명달로22길 33</t>
        </is>
      </c>
      <c r="Q1724" s="41" t="inlineStr">
        <is>
          <t>-</t>
        </is>
      </c>
      <c r="R1724" s="42" t="inlineStr">
        <is>
          <t>중개거래</t>
        </is>
      </c>
      <c r="S1724" s="42" t="inlineStr">
        <is>
          <t>서울 서초구</t>
        </is>
      </c>
      <c r="T1724" s="41" t="inlineStr">
        <is>
          <t>-</t>
        </is>
      </c>
      <c r="U1724" s="42" t="inlineStr">
        <is>
          <t>아파트</t>
        </is>
      </c>
    </row>
    <row r="1725" hidden="1" ht="14.25" customHeight="1">
      <c r="A1725" s="41" t="n">
        <v>66</v>
      </c>
      <c r="B1725" s="42" t="inlineStr">
        <is>
          <t>서울특별시 서초구 서초동</t>
        </is>
      </c>
      <c r="C1725" s="41" t="inlineStr">
        <is>
          <t>1593-7</t>
        </is>
      </c>
      <c r="D1725" s="41" t="inlineStr">
        <is>
          <t>1593</t>
        </is>
      </c>
      <c r="E1725" s="41" t="inlineStr">
        <is>
          <t>0007</t>
        </is>
      </c>
      <c r="F1725" s="42" t="inlineStr">
        <is>
          <t>서초이오빌</t>
        </is>
      </c>
      <c r="G1725" s="41" t="inlineStr">
        <is>
          <t>58.4800</t>
        </is>
      </c>
      <c r="H1725" s="41" t="inlineStr">
        <is>
          <t>202602</t>
        </is>
      </c>
      <c r="I1725" s="41" t="inlineStr">
        <is>
          <t>05</t>
        </is>
      </c>
      <c r="J1725" s="41" t="inlineStr">
        <is>
          <t>67,500</t>
        </is>
      </c>
      <c r="K1725" s="41" t="inlineStr">
        <is>
          <t>-</t>
        </is>
      </c>
      <c r="L1725" s="41" t="inlineStr">
        <is>
          <t>16</t>
        </is>
      </c>
      <c r="M1725" s="42" t="inlineStr">
        <is>
          <t>개인</t>
        </is>
      </c>
      <c r="N1725" s="42" t="inlineStr">
        <is>
          <t>개인</t>
        </is>
      </c>
      <c r="O1725" s="41" t="inlineStr">
        <is>
          <t>2003</t>
        </is>
      </c>
      <c r="P1725" s="42" t="inlineStr">
        <is>
          <t>효령로53길 45</t>
        </is>
      </c>
      <c r="Q1725" s="41" t="inlineStr">
        <is>
          <t>-</t>
        </is>
      </c>
      <c r="R1725" s="42" t="inlineStr">
        <is>
          <t>중개거래</t>
        </is>
      </c>
      <c r="S1725" s="42" t="inlineStr">
        <is>
          <t>서울 서초구</t>
        </is>
      </c>
      <c r="T1725" s="41" t="inlineStr">
        <is>
          <t>-</t>
        </is>
      </c>
      <c r="U1725" s="42" t="inlineStr">
        <is>
          <t>아파트</t>
        </is>
      </c>
    </row>
    <row r="1726" hidden="1" ht="14.25" customHeight="1">
      <c r="A1726" s="41" t="n">
        <v>67</v>
      </c>
      <c r="B1726" s="42" t="inlineStr">
        <is>
          <t>서울특별시 서초구 서초동</t>
        </is>
      </c>
      <c r="C1726" s="41" t="inlineStr">
        <is>
          <t>1445-4</t>
        </is>
      </c>
      <c r="D1726" s="41" t="inlineStr">
        <is>
          <t>1445</t>
        </is>
      </c>
      <c r="E1726" s="41" t="inlineStr">
        <is>
          <t>0004</t>
        </is>
      </c>
      <c r="F1726" s="42" t="inlineStr">
        <is>
          <t>래미안서초유니빌</t>
        </is>
      </c>
      <c r="G1726" s="41" t="inlineStr">
        <is>
          <t>45.2550</t>
        </is>
      </c>
      <c r="H1726" s="41" t="inlineStr">
        <is>
          <t>202602</t>
        </is>
      </c>
      <c r="I1726" s="41" t="inlineStr">
        <is>
          <t>05</t>
        </is>
      </c>
      <c r="J1726" s="41" t="inlineStr">
        <is>
          <t>51,000</t>
        </is>
      </c>
      <c r="K1726" s="41" t="inlineStr">
        <is>
          <t>-</t>
        </is>
      </c>
      <c r="L1726" s="41" t="inlineStr">
        <is>
          <t>17</t>
        </is>
      </c>
      <c r="M1726" s="42" t="inlineStr">
        <is>
          <t>개인</t>
        </is>
      </c>
      <c r="N1726" s="42" t="inlineStr">
        <is>
          <t>개인</t>
        </is>
      </c>
      <c r="O1726" s="41" t="inlineStr">
        <is>
          <t>2003</t>
        </is>
      </c>
      <c r="P1726" s="42" t="inlineStr">
        <is>
          <t>서초중앙로 26</t>
        </is>
      </c>
      <c r="Q1726" s="41" t="inlineStr">
        <is>
          <t>-</t>
        </is>
      </c>
      <c r="R1726" s="42" t="inlineStr">
        <is>
          <t>중개거래</t>
        </is>
      </c>
      <c r="S1726" s="42" t="inlineStr">
        <is>
          <t>서울 서초구</t>
        </is>
      </c>
      <c r="T1726" s="41" t="inlineStr">
        <is>
          <t>-</t>
        </is>
      </c>
      <c r="U1726" s="42" t="inlineStr">
        <is>
          <t>아파트</t>
        </is>
      </c>
    </row>
    <row r="1727" hidden="1" ht="14.25" customHeight="1">
      <c r="A1727" s="41" t="n">
        <v>68</v>
      </c>
      <c r="B1727" s="42" t="inlineStr">
        <is>
          <t>서울특별시 서초구 서초동</t>
        </is>
      </c>
      <c r="C1727" s="41" t="inlineStr">
        <is>
          <t>1326-17</t>
        </is>
      </c>
      <c r="D1727" s="41" t="inlineStr">
        <is>
          <t>1326</t>
        </is>
      </c>
      <c r="E1727" s="41" t="inlineStr">
        <is>
          <t>0017</t>
        </is>
      </c>
      <c r="F1727" s="42" t="inlineStr">
        <is>
          <t>우성아파트</t>
        </is>
      </c>
      <c r="G1727" s="41" t="inlineStr">
        <is>
          <t>59.9300</t>
        </is>
      </c>
      <c r="H1727" s="41" t="inlineStr">
        <is>
          <t>202602</t>
        </is>
      </c>
      <c r="I1727" s="41" t="inlineStr">
        <is>
          <t>05</t>
        </is>
      </c>
      <c r="J1727" s="41" t="inlineStr">
        <is>
          <t>210,000</t>
        </is>
      </c>
      <c r="K1727" s="41" t="inlineStr">
        <is>
          <t>-</t>
        </is>
      </c>
      <c r="L1727" s="41" t="inlineStr">
        <is>
          <t>10</t>
        </is>
      </c>
      <c r="M1727" s="42" t="inlineStr">
        <is>
          <t>개인</t>
        </is>
      </c>
      <c r="N1727" s="42" t="inlineStr">
        <is>
          <t>개인</t>
        </is>
      </c>
      <c r="O1727" s="41" t="inlineStr">
        <is>
          <t>1998</t>
        </is>
      </c>
      <c r="P1727" s="42" t="inlineStr">
        <is>
          <t>서초대로74길 30</t>
        </is>
      </c>
      <c r="Q1727" s="41" t="inlineStr">
        <is>
          <t>-</t>
        </is>
      </c>
      <c r="R1727" s="42" t="inlineStr">
        <is>
          <t>중개거래</t>
        </is>
      </c>
      <c r="S1727" s="42" t="inlineStr">
        <is>
          <t>서울 서초구</t>
        </is>
      </c>
      <c r="T1727" s="41" t="inlineStr">
        <is>
          <t>-</t>
        </is>
      </c>
      <c r="U1727" s="42" t="inlineStr">
        <is>
          <t>아파트</t>
        </is>
      </c>
    </row>
    <row r="1728" hidden="1" ht="14.25" customHeight="1">
      <c r="A1728" s="41" t="n">
        <v>69</v>
      </c>
      <c r="B1728" s="42" t="inlineStr">
        <is>
          <t>서울특별시 서초구 서초동</t>
        </is>
      </c>
      <c r="C1728" s="41" t="inlineStr">
        <is>
          <t>1755</t>
        </is>
      </c>
      <c r="D1728" s="41" t="inlineStr">
        <is>
          <t>1755</t>
        </is>
      </c>
      <c r="E1728" s="41" t="inlineStr">
        <is>
          <t>0000</t>
        </is>
      </c>
      <c r="F1728" s="42" t="inlineStr">
        <is>
          <t>래미안 리더스원</t>
        </is>
      </c>
      <c r="G1728" s="41" t="inlineStr">
        <is>
          <t>59.9700</t>
        </is>
      </c>
      <c r="H1728" s="41" t="inlineStr">
        <is>
          <t>202602</t>
        </is>
      </c>
      <c r="I1728" s="41" t="inlineStr">
        <is>
          <t>05</t>
        </is>
      </c>
      <c r="J1728" s="41" t="inlineStr">
        <is>
          <t>325,000</t>
        </is>
      </c>
      <c r="K1728" s="41" t="inlineStr">
        <is>
          <t>110동</t>
        </is>
      </c>
      <c r="L1728" s="41" t="inlineStr">
        <is>
          <t>13</t>
        </is>
      </c>
      <c r="M1728" s="42" t="inlineStr">
        <is>
          <t>개인</t>
        </is>
      </c>
      <c r="N1728" s="42" t="inlineStr">
        <is>
          <t>개인</t>
        </is>
      </c>
      <c r="O1728" s="41" t="inlineStr">
        <is>
          <t>2020</t>
        </is>
      </c>
      <c r="P1728" s="42" t="inlineStr">
        <is>
          <t>서운로 62</t>
        </is>
      </c>
      <c r="Q1728" s="41" t="inlineStr">
        <is>
          <t>-</t>
        </is>
      </c>
      <c r="R1728" s="42" t="inlineStr">
        <is>
          <t>중개거래</t>
        </is>
      </c>
      <c r="S1728" s="42" t="inlineStr">
        <is>
          <t>서울 서초구</t>
        </is>
      </c>
      <c r="T1728" s="41" t="inlineStr">
        <is>
          <t>26.03.17</t>
        </is>
      </c>
      <c r="U1728" s="42" t="inlineStr">
        <is>
          <t>아파트</t>
        </is>
      </c>
    </row>
    <row r="1729" hidden="1" ht="14.25" customHeight="1">
      <c r="A1729" s="41" t="n">
        <v>70</v>
      </c>
      <c r="B1729" s="42" t="inlineStr">
        <is>
          <t>서울특별시 서초구 서초동</t>
        </is>
      </c>
      <c r="C1729" s="41" t="inlineStr">
        <is>
          <t>1326-17</t>
        </is>
      </c>
      <c r="D1729" s="41" t="inlineStr">
        <is>
          <t>1326</t>
        </is>
      </c>
      <c r="E1729" s="41" t="inlineStr">
        <is>
          <t>0017</t>
        </is>
      </c>
      <c r="F1729" s="42" t="inlineStr">
        <is>
          <t>우성아파트</t>
        </is>
      </c>
      <c r="G1729" s="41" t="inlineStr">
        <is>
          <t>59.9300</t>
        </is>
      </c>
      <c r="H1729" s="41" t="inlineStr">
        <is>
          <t>202602</t>
        </is>
      </c>
      <c r="I1729" s="41" t="inlineStr">
        <is>
          <t>03</t>
        </is>
      </c>
      <c r="J1729" s="41" t="inlineStr">
        <is>
          <t>238,000</t>
        </is>
      </c>
      <c r="K1729" s="41" t="inlineStr">
        <is>
          <t>-</t>
        </is>
      </c>
      <c r="L1729" s="41" t="inlineStr">
        <is>
          <t>5</t>
        </is>
      </c>
      <c r="M1729" s="42" t="inlineStr">
        <is>
          <t>개인</t>
        </is>
      </c>
      <c r="N1729" s="42" t="inlineStr">
        <is>
          <t>개인</t>
        </is>
      </c>
      <c r="O1729" s="41" t="inlineStr">
        <is>
          <t>1998</t>
        </is>
      </c>
      <c r="P1729" s="42" t="inlineStr">
        <is>
          <t>서초대로74길 30</t>
        </is>
      </c>
      <c r="Q1729" s="41" t="inlineStr">
        <is>
          <t>-</t>
        </is>
      </c>
      <c r="R1729" s="42" t="inlineStr">
        <is>
          <t>중개거래</t>
        </is>
      </c>
      <c r="S1729" s="42" t="inlineStr">
        <is>
          <t>서울 서초구</t>
        </is>
      </c>
      <c r="T1729" s="41" t="inlineStr">
        <is>
          <t>-</t>
        </is>
      </c>
      <c r="U1729" s="42" t="inlineStr">
        <is>
          <t>아파트</t>
        </is>
      </c>
    </row>
    <row r="1730" hidden="1" ht="14.25" customHeight="1">
      <c r="A1730" s="41" t="n">
        <v>71</v>
      </c>
      <c r="B1730" s="42" t="inlineStr">
        <is>
          <t>서울특별시 서초구 서초동</t>
        </is>
      </c>
      <c r="C1730" s="41" t="inlineStr">
        <is>
          <t>1491-3</t>
        </is>
      </c>
      <c r="D1730" s="41" t="inlineStr">
        <is>
          <t>1491</t>
        </is>
      </c>
      <c r="E1730" s="41" t="inlineStr">
        <is>
          <t>0003</t>
        </is>
      </c>
      <c r="F1730" s="42" t="inlineStr">
        <is>
          <t>서초8차상지리츠빌</t>
        </is>
      </c>
      <c r="G1730" s="41" t="inlineStr">
        <is>
          <t>128.8100</t>
        </is>
      </c>
      <c r="H1730" s="41" t="inlineStr">
        <is>
          <t>202602</t>
        </is>
      </c>
      <c r="I1730" s="41" t="inlineStr">
        <is>
          <t>03</t>
        </is>
      </c>
      <c r="J1730" s="41" t="inlineStr">
        <is>
          <t>220,000</t>
        </is>
      </c>
      <c r="K1730" s="41" t="inlineStr">
        <is>
          <t>-</t>
        </is>
      </c>
      <c r="L1730" s="41" t="inlineStr">
        <is>
          <t>3</t>
        </is>
      </c>
      <c r="M1730" s="42" t="inlineStr">
        <is>
          <t>개인</t>
        </is>
      </c>
      <c r="N1730" s="42" t="inlineStr">
        <is>
          <t>개인</t>
        </is>
      </c>
      <c r="O1730" s="41" t="inlineStr">
        <is>
          <t>2006</t>
        </is>
      </c>
      <c r="P1730" s="42" t="inlineStr">
        <is>
          <t>명달로13길 7</t>
        </is>
      </c>
      <c r="Q1730" s="41" t="inlineStr">
        <is>
          <t>-</t>
        </is>
      </c>
      <c r="R1730" s="42" t="inlineStr">
        <is>
          <t>중개거래</t>
        </is>
      </c>
      <c r="S1730" s="42" t="inlineStr">
        <is>
          <t>서울 서초구</t>
        </is>
      </c>
      <c r="T1730" s="41" t="inlineStr">
        <is>
          <t>-</t>
        </is>
      </c>
      <c r="U1730" s="42" t="inlineStr">
        <is>
          <t>아파트</t>
        </is>
      </c>
    </row>
    <row r="1731" hidden="1" ht="14.25" customHeight="1">
      <c r="A1731" s="41" t="n">
        <v>72</v>
      </c>
      <c r="B1731" s="42" t="inlineStr">
        <is>
          <t>서울특별시 서초구 서초동</t>
        </is>
      </c>
      <c r="C1731" s="41" t="inlineStr">
        <is>
          <t>1521-8</t>
        </is>
      </c>
      <c r="D1731" s="41" t="inlineStr">
        <is>
          <t>1521</t>
        </is>
      </c>
      <c r="E1731" s="41" t="inlineStr">
        <is>
          <t>0008</t>
        </is>
      </c>
      <c r="F1731" s="42" t="inlineStr">
        <is>
          <t>서초에스케이뷰</t>
        </is>
      </c>
      <c r="G1731" s="41" t="inlineStr">
        <is>
          <t>84.2500</t>
        </is>
      </c>
      <c r="H1731" s="41" t="inlineStr">
        <is>
          <t>202602</t>
        </is>
      </c>
      <c r="I1731" s="41" t="inlineStr">
        <is>
          <t>02</t>
        </is>
      </c>
      <c r="J1731" s="41" t="inlineStr">
        <is>
          <t>196,500</t>
        </is>
      </c>
      <c r="K1731" s="41" t="inlineStr">
        <is>
          <t>-</t>
        </is>
      </c>
      <c r="L1731" s="41" t="inlineStr">
        <is>
          <t>3</t>
        </is>
      </c>
      <c r="M1731" s="42" t="inlineStr">
        <is>
          <t>개인</t>
        </is>
      </c>
      <c r="N1731" s="42" t="inlineStr">
        <is>
          <t>개인</t>
        </is>
      </c>
      <c r="O1731" s="41" t="inlineStr">
        <is>
          <t>2006</t>
        </is>
      </c>
      <c r="P1731" s="42" t="inlineStr">
        <is>
          <t>반포대로21길 62</t>
        </is>
      </c>
      <c r="Q1731" s="41" t="inlineStr">
        <is>
          <t>-</t>
        </is>
      </c>
      <c r="R1731" s="42" t="inlineStr">
        <is>
          <t>중개거래</t>
        </is>
      </c>
      <c r="S1731" s="42" t="inlineStr">
        <is>
          <t>서울 서초구</t>
        </is>
      </c>
      <c r="T1731" s="41" t="inlineStr">
        <is>
          <t>-</t>
        </is>
      </c>
      <c r="U1731" s="42" t="inlineStr">
        <is>
          <t>아파트</t>
        </is>
      </c>
    </row>
    <row r="1732" hidden="1" ht="14.25" customHeight="1">
      <c r="A1732" s="41" t="n">
        <v>73</v>
      </c>
      <c r="B1732" s="42" t="inlineStr">
        <is>
          <t>서울특별시 서초구 서초동</t>
        </is>
      </c>
      <c r="C1732" s="41" t="inlineStr">
        <is>
          <t>1311-10</t>
        </is>
      </c>
      <c r="D1732" s="41" t="inlineStr">
        <is>
          <t>1311</t>
        </is>
      </c>
      <c r="E1732" s="41" t="inlineStr">
        <is>
          <t>0010</t>
        </is>
      </c>
      <c r="F1732" s="42" t="inlineStr">
        <is>
          <t>서초푸르지오써밋</t>
        </is>
      </c>
      <c r="G1732" s="41" t="inlineStr">
        <is>
          <t>104.1900</t>
        </is>
      </c>
      <c r="H1732" s="41" t="inlineStr">
        <is>
          <t>202601</t>
        </is>
      </c>
      <c r="I1732" s="41" t="inlineStr">
        <is>
          <t>31</t>
        </is>
      </c>
      <c r="J1732" s="41" t="inlineStr">
        <is>
          <t>400,000</t>
        </is>
      </c>
      <c r="K1732" s="41" t="inlineStr">
        <is>
          <t>-</t>
        </is>
      </c>
      <c r="L1732" s="41" t="inlineStr">
        <is>
          <t>3</t>
        </is>
      </c>
      <c r="M1732" s="42" t="inlineStr">
        <is>
          <t>개인</t>
        </is>
      </c>
      <c r="N1732" s="42" t="inlineStr">
        <is>
          <t>개인</t>
        </is>
      </c>
      <c r="O1732" s="41" t="inlineStr">
        <is>
          <t>2017</t>
        </is>
      </c>
      <c r="P1732" s="42" t="inlineStr">
        <is>
          <t>서운로 212</t>
        </is>
      </c>
      <c r="Q1732" s="41" t="inlineStr">
        <is>
          <t>-</t>
        </is>
      </c>
      <c r="R1732" s="42" t="inlineStr">
        <is>
          <t>중개거래</t>
        </is>
      </c>
      <c r="S1732" s="42" t="inlineStr">
        <is>
          <t>서울 서초구</t>
        </is>
      </c>
      <c r="T1732" s="41" t="inlineStr">
        <is>
          <t>-</t>
        </is>
      </c>
      <c r="U1732" s="42" t="inlineStr">
        <is>
          <t>아파트</t>
        </is>
      </c>
    </row>
    <row r="1733" hidden="1" ht="14.25" customHeight="1">
      <c r="A1733" s="41" t="n">
        <v>74</v>
      </c>
      <c r="B1733" s="42" t="inlineStr">
        <is>
          <t>서울특별시 서초구 서초동</t>
        </is>
      </c>
      <c r="C1733" s="41" t="inlineStr">
        <is>
          <t>1641-3</t>
        </is>
      </c>
      <c r="D1733" s="41" t="inlineStr">
        <is>
          <t>1641</t>
        </is>
      </c>
      <c r="E1733" s="41" t="inlineStr">
        <is>
          <t>0003</t>
        </is>
      </c>
      <c r="F1733" s="42" t="inlineStr">
        <is>
          <t>대성유니드</t>
        </is>
      </c>
      <c r="G1733" s="41" t="inlineStr">
        <is>
          <t>84.9910</t>
        </is>
      </c>
      <c r="H1733" s="41" t="inlineStr">
        <is>
          <t>202601</t>
        </is>
      </c>
      <c r="I1733" s="41" t="inlineStr">
        <is>
          <t>31</t>
        </is>
      </c>
      <c r="J1733" s="41" t="inlineStr">
        <is>
          <t>208,000</t>
        </is>
      </c>
      <c r="K1733" s="41" t="inlineStr">
        <is>
          <t>-</t>
        </is>
      </c>
      <c r="L1733" s="41" t="inlineStr">
        <is>
          <t>10</t>
        </is>
      </c>
      <c r="M1733" s="42" t="inlineStr">
        <is>
          <t>개인</t>
        </is>
      </c>
      <c r="N1733" s="42" t="inlineStr">
        <is>
          <t>개인</t>
        </is>
      </c>
      <c r="O1733" s="41" t="inlineStr">
        <is>
          <t>2004</t>
        </is>
      </c>
      <c r="P1733" s="42" t="inlineStr">
        <is>
          <t>서초대로64길 36</t>
        </is>
      </c>
      <c r="Q1733" s="41" t="inlineStr">
        <is>
          <t>-</t>
        </is>
      </c>
      <c r="R1733" s="42" t="inlineStr">
        <is>
          <t>중개거래</t>
        </is>
      </c>
      <c r="S1733" s="42" t="inlineStr">
        <is>
          <t>서울 서초구</t>
        </is>
      </c>
      <c r="T1733" s="41" t="inlineStr">
        <is>
          <t>-</t>
        </is>
      </c>
      <c r="U1733" s="42" t="inlineStr">
        <is>
          <t>아파트</t>
        </is>
      </c>
    </row>
    <row r="1734" hidden="1" ht="14.25" customHeight="1">
      <c r="A1734" s="41" t="n">
        <v>75</v>
      </c>
      <c r="B1734" s="42" t="inlineStr">
        <is>
          <t>서울특별시 서초구 서초동</t>
        </is>
      </c>
      <c r="C1734" s="41" t="inlineStr">
        <is>
          <t>1671-5</t>
        </is>
      </c>
      <c r="D1734" s="41" t="inlineStr">
        <is>
          <t>1671</t>
        </is>
      </c>
      <c r="E1734" s="41" t="inlineStr">
        <is>
          <t>0005</t>
        </is>
      </c>
      <c r="F1734" s="42" t="inlineStr">
        <is>
          <t>대림서초리시온</t>
        </is>
      </c>
      <c r="G1734" s="41" t="inlineStr">
        <is>
          <t>41.9400</t>
        </is>
      </c>
      <c r="H1734" s="41" t="inlineStr">
        <is>
          <t>202601</t>
        </is>
      </c>
      <c r="I1734" s="41" t="inlineStr">
        <is>
          <t>31</t>
        </is>
      </c>
      <c r="J1734" s="41" t="inlineStr">
        <is>
          <t>53,000</t>
        </is>
      </c>
      <c r="K1734" s="41" t="inlineStr">
        <is>
          <t>-</t>
        </is>
      </c>
      <c r="L1734" s="41" t="inlineStr">
        <is>
          <t>9</t>
        </is>
      </c>
      <c r="M1734" s="42" t="inlineStr">
        <is>
          <t>개인</t>
        </is>
      </c>
      <c r="N1734" s="42" t="inlineStr">
        <is>
          <t>개인</t>
        </is>
      </c>
      <c r="O1734" s="41" t="inlineStr">
        <is>
          <t>2003</t>
        </is>
      </c>
      <c r="P1734" s="42" t="inlineStr">
        <is>
          <t>서초중앙로22길 25</t>
        </is>
      </c>
      <c r="Q1734" s="41" t="inlineStr">
        <is>
          <t>-</t>
        </is>
      </c>
      <c r="R1734" s="42" t="inlineStr">
        <is>
          <t>중개거래</t>
        </is>
      </c>
      <c r="S1734" s="42" t="inlineStr">
        <is>
          <t>서울 서초구</t>
        </is>
      </c>
      <c r="T1734" s="41" t="inlineStr">
        <is>
          <t>26.03.03</t>
        </is>
      </c>
      <c r="U1734" s="42" t="inlineStr">
        <is>
          <t>아파트</t>
        </is>
      </c>
    </row>
    <row r="1735" hidden="1" ht="14.25" customHeight="1">
      <c r="A1735" s="41" t="n">
        <v>76</v>
      </c>
      <c r="B1735" s="42" t="inlineStr">
        <is>
          <t>서울특별시 서초구 서초동</t>
        </is>
      </c>
      <c r="C1735" s="41" t="inlineStr">
        <is>
          <t>1566-19</t>
        </is>
      </c>
      <c r="D1735" s="41" t="inlineStr">
        <is>
          <t>1566</t>
        </is>
      </c>
      <c r="E1735" s="41" t="inlineStr">
        <is>
          <t>0019</t>
        </is>
      </c>
      <c r="F1735" s="42" t="inlineStr">
        <is>
          <t>서초노빌리에</t>
        </is>
      </c>
      <c r="G1735" s="41" t="inlineStr">
        <is>
          <t>81.3600</t>
        </is>
      </c>
      <c r="H1735" s="41" t="inlineStr">
        <is>
          <t>202601</t>
        </is>
      </c>
      <c r="I1735" s="41" t="inlineStr">
        <is>
          <t>30</t>
        </is>
      </c>
      <c r="J1735" s="41" t="inlineStr">
        <is>
          <t>70,000</t>
        </is>
      </c>
      <c r="K1735" s="42" t="inlineStr">
        <is>
          <t>서초 노빌리에</t>
        </is>
      </c>
      <c r="L1735" s="41" t="inlineStr">
        <is>
          <t>6</t>
        </is>
      </c>
      <c r="M1735" s="42" t="inlineStr">
        <is>
          <t>개인</t>
        </is>
      </c>
      <c r="N1735" s="42" t="inlineStr">
        <is>
          <t>개인</t>
        </is>
      </c>
      <c r="O1735" s="41" t="inlineStr">
        <is>
          <t>2006</t>
        </is>
      </c>
      <c r="P1735" s="42" t="inlineStr">
        <is>
          <t>서초대로46길 96</t>
        </is>
      </c>
      <c r="Q1735" s="41" t="inlineStr">
        <is>
          <t>-</t>
        </is>
      </c>
      <c r="R1735" s="42" t="inlineStr">
        <is>
          <t>직거래</t>
        </is>
      </c>
      <c r="S1735" s="41" t="inlineStr">
        <is>
          <t>-</t>
        </is>
      </c>
      <c r="T1735" s="41" t="inlineStr">
        <is>
          <t>26.02.25</t>
        </is>
      </c>
      <c r="U1735" s="42" t="inlineStr">
        <is>
          <t>아파트</t>
        </is>
      </c>
    </row>
    <row r="1736" hidden="1" ht="14.25" customHeight="1">
      <c r="A1736" s="41" t="n">
        <v>77</v>
      </c>
      <c r="B1736" s="42" t="inlineStr">
        <is>
          <t>서울특별시 서초구 서초동</t>
        </is>
      </c>
      <c r="C1736" s="41" t="inlineStr">
        <is>
          <t>1671-5</t>
        </is>
      </c>
      <c r="D1736" s="41" t="inlineStr">
        <is>
          <t>1671</t>
        </is>
      </c>
      <c r="E1736" s="41" t="inlineStr">
        <is>
          <t>0005</t>
        </is>
      </c>
      <c r="F1736" s="42" t="inlineStr">
        <is>
          <t>대림서초리시온</t>
        </is>
      </c>
      <c r="G1736" s="41" t="inlineStr">
        <is>
          <t>49.9200</t>
        </is>
      </c>
      <c r="H1736" s="41" t="inlineStr">
        <is>
          <t>202601</t>
        </is>
      </c>
      <c r="I1736" s="41" t="inlineStr">
        <is>
          <t>30</t>
        </is>
      </c>
      <c r="J1736" s="41" t="inlineStr">
        <is>
          <t>50,500</t>
        </is>
      </c>
      <c r="K1736" s="41" t="inlineStr">
        <is>
          <t>-</t>
        </is>
      </c>
      <c r="L1736" s="41" t="inlineStr">
        <is>
          <t>3</t>
        </is>
      </c>
      <c r="M1736" s="42" t="inlineStr">
        <is>
          <t>개인</t>
        </is>
      </c>
      <c r="N1736" s="42" t="inlineStr">
        <is>
          <t>개인</t>
        </is>
      </c>
      <c r="O1736" s="41" t="inlineStr">
        <is>
          <t>2003</t>
        </is>
      </c>
      <c r="P1736" s="42" t="inlineStr">
        <is>
          <t>서초중앙로22길 25</t>
        </is>
      </c>
      <c r="Q1736" s="41" t="inlineStr">
        <is>
          <t>-</t>
        </is>
      </c>
      <c r="R1736" s="42" t="inlineStr">
        <is>
          <t>중개거래</t>
        </is>
      </c>
      <c r="S1736" s="42" t="inlineStr">
        <is>
          <t>서울 서초구</t>
        </is>
      </c>
      <c r="T1736" s="41" t="inlineStr">
        <is>
          <t>-</t>
        </is>
      </c>
      <c r="U1736" s="42" t="inlineStr">
        <is>
          <t>아파트</t>
        </is>
      </c>
    </row>
    <row r="1737" hidden="1" ht="14.25" customHeight="1">
      <c r="A1737" s="41" t="n">
        <v>78</v>
      </c>
      <c r="B1737" s="42" t="inlineStr">
        <is>
          <t>서울특별시 서초구 서초동</t>
        </is>
      </c>
      <c r="C1737" s="41" t="inlineStr">
        <is>
          <t>1435-2</t>
        </is>
      </c>
      <c r="D1737" s="41" t="inlineStr">
        <is>
          <t>1435</t>
        </is>
      </c>
      <c r="E1737" s="41" t="inlineStr">
        <is>
          <t>0002</t>
        </is>
      </c>
      <c r="F1737" s="42" t="inlineStr">
        <is>
          <t>새티스</t>
        </is>
      </c>
      <c r="G1737" s="41" t="inlineStr">
        <is>
          <t>80.8500</t>
        </is>
      </c>
      <c r="H1737" s="41" t="inlineStr">
        <is>
          <t>202601</t>
        </is>
      </c>
      <c r="I1737" s="41" t="inlineStr">
        <is>
          <t>30</t>
        </is>
      </c>
      <c r="J1737" s="41" t="inlineStr">
        <is>
          <t>130,000</t>
        </is>
      </c>
      <c r="K1737" s="41" t="inlineStr">
        <is>
          <t>-</t>
        </is>
      </c>
      <c r="L1737" s="41" t="inlineStr">
        <is>
          <t>5</t>
        </is>
      </c>
      <c r="M1737" s="42" t="inlineStr">
        <is>
          <t>개인</t>
        </is>
      </c>
      <c r="N1737" s="42" t="inlineStr">
        <is>
          <t>개인</t>
        </is>
      </c>
      <c r="O1737" s="41" t="inlineStr">
        <is>
          <t>2003</t>
        </is>
      </c>
      <c r="P1737" s="42" t="inlineStr">
        <is>
          <t>남부순환로337가길 51-6</t>
        </is>
      </c>
      <c r="Q1737" s="41" t="inlineStr">
        <is>
          <t>-</t>
        </is>
      </c>
      <c r="R1737" s="42" t="inlineStr">
        <is>
          <t>중개거래</t>
        </is>
      </c>
      <c r="S1737" s="42" t="inlineStr">
        <is>
          <t>서울 서초구</t>
        </is>
      </c>
      <c r="T1737" s="41" t="inlineStr">
        <is>
          <t>-</t>
        </is>
      </c>
      <c r="U1737" s="42" t="inlineStr">
        <is>
          <t>아파트</t>
        </is>
      </c>
    </row>
    <row r="1738" hidden="1" ht="14.25" customHeight="1">
      <c r="A1738" s="41" t="n">
        <v>79</v>
      </c>
      <c r="B1738" s="42" t="inlineStr">
        <is>
          <t>서울특별시 서초구 서초동</t>
        </is>
      </c>
      <c r="C1738" s="41" t="inlineStr">
        <is>
          <t>1312-3</t>
        </is>
      </c>
      <c r="D1738" s="41" t="inlineStr">
        <is>
          <t>1312</t>
        </is>
      </c>
      <c r="E1738" s="41" t="inlineStr">
        <is>
          <t>0003</t>
        </is>
      </c>
      <c r="F1738" s="42" t="inlineStr">
        <is>
          <t>롯데캐슬클래식</t>
        </is>
      </c>
      <c r="G1738" s="41" t="inlineStr">
        <is>
          <t>133.4500</t>
        </is>
      </c>
      <c r="H1738" s="41" t="inlineStr">
        <is>
          <t>202601</t>
        </is>
      </c>
      <c r="I1738" s="41" t="inlineStr">
        <is>
          <t>30</t>
        </is>
      </c>
      <c r="J1738" s="41" t="inlineStr">
        <is>
          <t>390,000</t>
        </is>
      </c>
      <c r="K1738" s="41" t="inlineStr">
        <is>
          <t>109</t>
        </is>
      </c>
      <c r="L1738" s="41" t="inlineStr">
        <is>
          <t>2</t>
        </is>
      </c>
      <c r="M1738" s="42" t="inlineStr">
        <is>
          <t>개인</t>
        </is>
      </c>
      <c r="N1738" s="42" t="inlineStr">
        <is>
          <t>개인</t>
        </is>
      </c>
      <c r="O1738" s="41" t="inlineStr">
        <is>
          <t>2006</t>
        </is>
      </c>
      <c r="P1738" s="42" t="inlineStr">
        <is>
          <t>서운로 197</t>
        </is>
      </c>
      <c r="Q1738" s="41" t="inlineStr">
        <is>
          <t>-</t>
        </is>
      </c>
      <c r="R1738" s="42" t="inlineStr">
        <is>
          <t>중개거래</t>
        </is>
      </c>
      <c r="S1738" s="42" t="inlineStr">
        <is>
          <t>서울 서초구</t>
        </is>
      </c>
      <c r="T1738" s="41" t="inlineStr">
        <is>
          <t>26.02.26</t>
        </is>
      </c>
      <c r="U1738" s="42" t="inlineStr">
        <is>
          <t>아파트</t>
        </is>
      </c>
    </row>
    <row r="1739" hidden="1" ht="14.25" customHeight="1">
      <c r="A1739" s="41" t="n">
        <v>80</v>
      </c>
      <c r="B1739" s="42" t="inlineStr">
        <is>
          <t>서울특별시 서초구 서초동</t>
        </is>
      </c>
      <c r="C1739" s="41" t="inlineStr">
        <is>
          <t>1754</t>
        </is>
      </c>
      <c r="D1739" s="41" t="inlineStr">
        <is>
          <t>1754</t>
        </is>
      </c>
      <c r="E1739" s="41" t="inlineStr">
        <is>
          <t>0000</t>
        </is>
      </c>
      <c r="F1739" s="42" t="inlineStr">
        <is>
          <t>래미안서초에스티지S</t>
        </is>
      </c>
      <c r="G1739" s="41" t="inlineStr">
        <is>
          <t>84.8000</t>
        </is>
      </c>
      <c r="H1739" s="41" t="inlineStr">
        <is>
          <t>202601</t>
        </is>
      </c>
      <c r="I1739" s="41" t="inlineStr">
        <is>
          <t>29</t>
        </is>
      </c>
      <c r="J1739" s="41" t="inlineStr">
        <is>
          <t>358,000</t>
        </is>
      </c>
      <c r="K1739" s="41" t="inlineStr">
        <is>
          <t>-</t>
        </is>
      </c>
      <c r="L1739" s="41" t="inlineStr">
        <is>
          <t>6</t>
        </is>
      </c>
      <c r="M1739" s="42" t="inlineStr">
        <is>
          <t>개인</t>
        </is>
      </c>
      <c r="N1739" s="42" t="inlineStr">
        <is>
          <t>개인</t>
        </is>
      </c>
      <c r="O1739" s="41" t="inlineStr">
        <is>
          <t>2018</t>
        </is>
      </c>
      <c r="P1739" s="42" t="inlineStr">
        <is>
          <t>서운로 104</t>
        </is>
      </c>
      <c r="Q1739" s="41" t="inlineStr">
        <is>
          <t>-</t>
        </is>
      </c>
      <c r="R1739" s="42" t="inlineStr">
        <is>
          <t>중개거래</t>
        </is>
      </c>
      <c r="S1739" s="42" t="inlineStr">
        <is>
          <t>서울 서초구</t>
        </is>
      </c>
      <c r="T1739" s="41" t="inlineStr">
        <is>
          <t>-</t>
        </is>
      </c>
      <c r="U1739" s="42" t="inlineStr">
        <is>
          <t>아파트</t>
        </is>
      </c>
    </row>
    <row r="1740" hidden="1" ht="14.25" customHeight="1">
      <c r="A1740" s="41" t="n">
        <v>81</v>
      </c>
      <c r="B1740" s="42" t="inlineStr">
        <is>
          <t>서울특별시 서초구 서초동</t>
        </is>
      </c>
      <c r="C1740" s="41" t="inlineStr">
        <is>
          <t>1682</t>
        </is>
      </c>
      <c r="D1740" s="41" t="inlineStr">
        <is>
          <t>1682</t>
        </is>
      </c>
      <c r="E1740" s="41" t="inlineStr">
        <is>
          <t>0000</t>
        </is>
      </c>
      <c r="F1740" s="42" t="inlineStr">
        <is>
          <t>서초래미안</t>
        </is>
      </c>
      <c r="G1740" s="41" t="inlineStr">
        <is>
          <t>111.3200</t>
        </is>
      </c>
      <c r="H1740" s="41" t="inlineStr">
        <is>
          <t>202601</t>
        </is>
      </c>
      <c r="I1740" s="41" t="inlineStr">
        <is>
          <t>29</t>
        </is>
      </c>
      <c r="J1740" s="41" t="inlineStr">
        <is>
          <t>320,000</t>
        </is>
      </c>
      <c r="K1740" s="41" t="inlineStr">
        <is>
          <t>-</t>
        </is>
      </c>
      <c r="L1740" s="41" t="inlineStr">
        <is>
          <t>14</t>
        </is>
      </c>
      <c r="M1740" s="42" t="inlineStr">
        <is>
          <t>개인</t>
        </is>
      </c>
      <c r="N1740" s="42" t="inlineStr">
        <is>
          <t>개인</t>
        </is>
      </c>
      <c r="O1740" s="41" t="inlineStr">
        <is>
          <t>2003</t>
        </is>
      </c>
      <c r="P1740" s="42" t="inlineStr">
        <is>
          <t>서초대로65길 13-10</t>
        </is>
      </c>
      <c r="Q1740" s="41" t="inlineStr">
        <is>
          <t>-</t>
        </is>
      </c>
      <c r="R1740" s="42" t="inlineStr">
        <is>
          <t>중개거래</t>
        </is>
      </c>
      <c r="S1740" s="42" t="inlineStr">
        <is>
          <t>서울 서초구</t>
        </is>
      </c>
      <c r="T1740" s="41" t="inlineStr">
        <is>
          <t>-</t>
        </is>
      </c>
      <c r="U1740" s="42" t="inlineStr">
        <is>
          <t>아파트</t>
        </is>
      </c>
    </row>
    <row r="1741" hidden="1" ht="14.25" customHeight="1">
      <c r="A1741" s="41" t="n">
        <v>82</v>
      </c>
      <c r="B1741" s="42" t="inlineStr">
        <is>
          <t>서울특별시 서초구 서초동</t>
        </is>
      </c>
      <c r="C1741" s="41" t="inlineStr">
        <is>
          <t>1754</t>
        </is>
      </c>
      <c r="D1741" s="41" t="inlineStr">
        <is>
          <t>1754</t>
        </is>
      </c>
      <c r="E1741" s="41" t="inlineStr">
        <is>
          <t>0000</t>
        </is>
      </c>
      <c r="F1741" s="42" t="inlineStr">
        <is>
          <t>래미안서초에스티지S</t>
        </is>
      </c>
      <c r="G1741" s="41" t="inlineStr">
        <is>
          <t>134.2700</t>
        </is>
      </c>
      <c r="H1741" s="41" t="inlineStr">
        <is>
          <t>202601</t>
        </is>
      </c>
      <c r="I1741" s="41" t="inlineStr">
        <is>
          <t>29</t>
        </is>
      </c>
      <c r="J1741" s="41" t="inlineStr">
        <is>
          <t>503,000</t>
        </is>
      </c>
      <c r="K1741" s="41" t="inlineStr">
        <is>
          <t>-</t>
        </is>
      </c>
      <c r="L1741" s="41" t="inlineStr">
        <is>
          <t>6</t>
        </is>
      </c>
      <c r="M1741" s="42" t="inlineStr">
        <is>
          <t>개인</t>
        </is>
      </c>
      <c r="N1741" s="42" t="inlineStr">
        <is>
          <t>개인</t>
        </is>
      </c>
      <c r="O1741" s="41" t="inlineStr">
        <is>
          <t>2018</t>
        </is>
      </c>
      <c r="P1741" s="42" t="inlineStr">
        <is>
          <t>서운로 104</t>
        </is>
      </c>
      <c r="Q1741" s="41" t="inlineStr">
        <is>
          <t>-</t>
        </is>
      </c>
      <c r="R1741" s="42" t="inlineStr">
        <is>
          <t>중개거래</t>
        </is>
      </c>
      <c r="S1741" s="42" t="inlineStr">
        <is>
          <t>서울 서초구</t>
        </is>
      </c>
      <c r="T1741" s="41" t="inlineStr">
        <is>
          <t>-</t>
        </is>
      </c>
      <c r="U1741" s="42" t="inlineStr">
        <is>
          <t>아파트</t>
        </is>
      </c>
    </row>
    <row r="1742" hidden="1" ht="14.25" customHeight="1">
      <c r="A1742" s="41" t="n">
        <v>83</v>
      </c>
      <c r="B1742" s="42" t="inlineStr">
        <is>
          <t>서울특별시 서초구 서초동</t>
        </is>
      </c>
      <c r="C1742" s="41" t="inlineStr">
        <is>
          <t>1509-1</t>
        </is>
      </c>
      <c r="D1742" s="41" t="inlineStr">
        <is>
          <t>1509</t>
        </is>
      </c>
      <c r="E1742" s="41" t="inlineStr">
        <is>
          <t>0001</t>
        </is>
      </c>
      <c r="F1742" s="42" t="inlineStr">
        <is>
          <t>서초한빛삼성</t>
        </is>
      </c>
      <c r="G1742" s="41" t="inlineStr">
        <is>
          <t>110.5900</t>
        </is>
      </c>
      <c r="H1742" s="41" t="inlineStr">
        <is>
          <t>202601</t>
        </is>
      </c>
      <c r="I1742" s="41" t="inlineStr">
        <is>
          <t>28</t>
        </is>
      </c>
      <c r="J1742" s="41" t="inlineStr">
        <is>
          <t>246,000</t>
        </is>
      </c>
      <c r="K1742" s="41" t="inlineStr">
        <is>
          <t>-</t>
        </is>
      </c>
      <c r="L1742" s="41" t="inlineStr">
        <is>
          <t>8</t>
        </is>
      </c>
      <c r="M1742" s="42" t="inlineStr">
        <is>
          <t>개인</t>
        </is>
      </c>
      <c r="N1742" s="42" t="inlineStr">
        <is>
          <t>개인</t>
        </is>
      </c>
      <c r="O1742" s="41" t="inlineStr">
        <is>
          <t>1999</t>
        </is>
      </c>
      <c r="P1742" s="42" t="inlineStr">
        <is>
          <t>서초대로40길 72</t>
        </is>
      </c>
      <c r="Q1742" s="41" t="inlineStr">
        <is>
          <t>-</t>
        </is>
      </c>
      <c r="R1742" s="42" t="inlineStr">
        <is>
          <t>중개거래</t>
        </is>
      </c>
      <c r="S1742" s="42" t="inlineStr">
        <is>
          <t>서울 서초구</t>
        </is>
      </c>
      <c r="T1742" s="41" t="inlineStr">
        <is>
          <t>-</t>
        </is>
      </c>
      <c r="U1742" s="42" t="inlineStr">
        <is>
          <t>아파트</t>
        </is>
      </c>
    </row>
    <row r="1743" hidden="1" ht="14.25" customHeight="1">
      <c r="A1743" s="41" t="n">
        <v>84</v>
      </c>
      <c r="B1743" s="42" t="inlineStr">
        <is>
          <t>서울특별시 서초구 서초동</t>
        </is>
      </c>
      <c r="C1743" s="41" t="inlineStr">
        <is>
          <t>1321-6</t>
        </is>
      </c>
      <c r="D1743" s="41" t="inlineStr">
        <is>
          <t>1321</t>
        </is>
      </c>
      <c r="E1743" s="41" t="inlineStr">
        <is>
          <t>0006</t>
        </is>
      </c>
      <c r="F1743" s="42" t="inlineStr">
        <is>
          <t>서초동아타워</t>
        </is>
      </c>
      <c r="G1743" s="41" t="inlineStr">
        <is>
          <t>178.5800</t>
        </is>
      </c>
      <c r="H1743" s="41" t="inlineStr">
        <is>
          <t>202601</t>
        </is>
      </c>
      <c r="I1743" s="41" t="inlineStr">
        <is>
          <t>27</t>
        </is>
      </c>
      <c r="J1743" s="41" t="inlineStr">
        <is>
          <t>128,000</t>
        </is>
      </c>
      <c r="K1743" s="41" t="inlineStr">
        <is>
          <t>-</t>
        </is>
      </c>
      <c r="L1743" s="41" t="inlineStr">
        <is>
          <t>11</t>
        </is>
      </c>
      <c r="M1743" s="42" t="inlineStr">
        <is>
          <t>개인</t>
        </is>
      </c>
      <c r="N1743" s="42" t="inlineStr">
        <is>
          <t>개인</t>
        </is>
      </c>
      <c r="O1743" s="41" t="inlineStr">
        <is>
          <t>1996</t>
        </is>
      </c>
      <c r="P1743" s="42" t="inlineStr">
        <is>
          <t>서운로 138</t>
        </is>
      </c>
      <c r="Q1743" s="41" t="inlineStr">
        <is>
          <t>-</t>
        </is>
      </c>
      <c r="R1743" s="42" t="inlineStr">
        <is>
          <t>중개거래</t>
        </is>
      </c>
      <c r="S1743" s="42" t="inlineStr">
        <is>
          <t>서울 강남구</t>
        </is>
      </c>
      <c r="T1743" s="41" t="inlineStr">
        <is>
          <t>-</t>
        </is>
      </c>
      <c r="U1743" s="42" t="inlineStr">
        <is>
          <t>아파트</t>
        </is>
      </c>
    </row>
    <row r="1744" hidden="1" ht="14.25" customHeight="1">
      <c r="A1744" s="41" t="n">
        <v>85</v>
      </c>
      <c r="B1744" s="42" t="inlineStr">
        <is>
          <t>서울특별시 서초구 서초동</t>
        </is>
      </c>
      <c r="C1744" s="41" t="inlineStr">
        <is>
          <t>1671-5</t>
        </is>
      </c>
      <c r="D1744" s="41" t="inlineStr">
        <is>
          <t>1671</t>
        </is>
      </c>
      <c r="E1744" s="41" t="inlineStr">
        <is>
          <t>0005</t>
        </is>
      </c>
      <c r="F1744" s="42" t="inlineStr">
        <is>
          <t>대림서초리시온</t>
        </is>
      </c>
      <c r="G1744" s="41" t="inlineStr">
        <is>
          <t>49.9200</t>
        </is>
      </c>
      <c r="H1744" s="41" t="inlineStr">
        <is>
          <t>202601</t>
        </is>
      </c>
      <c r="I1744" s="41" t="inlineStr">
        <is>
          <t>27</t>
        </is>
      </c>
      <c r="J1744" s="41" t="inlineStr">
        <is>
          <t>41,500</t>
        </is>
      </c>
      <c r="K1744" s="41" t="inlineStr">
        <is>
          <t>-</t>
        </is>
      </c>
      <c r="L1744" s="41" t="inlineStr">
        <is>
          <t>6</t>
        </is>
      </c>
      <c r="M1744" s="42" t="inlineStr">
        <is>
          <t>개인</t>
        </is>
      </c>
      <c r="N1744" s="42" t="inlineStr">
        <is>
          <t>개인</t>
        </is>
      </c>
      <c r="O1744" s="41" t="inlineStr">
        <is>
          <t>2003</t>
        </is>
      </c>
      <c r="P1744" s="42" t="inlineStr">
        <is>
          <t>서초중앙로22길 25</t>
        </is>
      </c>
      <c r="Q1744" s="41" t="inlineStr">
        <is>
          <t>-</t>
        </is>
      </c>
      <c r="R1744" s="42" t="inlineStr">
        <is>
          <t>직거래</t>
        </is>
      </c>
      <c r="S1744" s="41" t="inlineStr">
        <is>
          <t>-</t>
        </is>
      </c>
      <c r="T1744" s="41" t="inlineStr">
        <is>
          <t>26.01.29</t>
        </is>
      </c>
      <c r="U1744" s="42" t="inlineStr">
        <is>
          <t>아파트</t>
        </is>
      </c>
    </row>
    <row r="1745" hidden="1" ht="14.25" customHeight="1">
      <c r="A1745" s="41" t="n">
        <v>86</v>
      </c>
      <c r="B1745" s="42" t="inlineStr">
        <is>
          <t>서울특별시 서초구 서초동</t>
        </is>
      </c>
      <c r="C1745" s="41" t="inlineStr">
        <is>
          <t>1363-25</t>
        </is>
      </c>
      <c r="D1745" s="41" t="inlineStr">
        <is>
          <t>1363</t>
        </is>
      </c>
      <c r="E1745" s="41" t="inlineStr">
        <is>
          <t>0025</t>
        </is>
      </c>
      <c r="F1745" s="42" t="inlineStr">
        <is>
          <t>한라비발디스튜디오193</t>
        </is>
      </c>
      <c r="G1745" s="41" t="inlineStr">
        <is>
          <t>19.9900</t>
        </is>
      </c>
      <c r="H1745" s="41" t="inlineStr">
        <is>
          <t>202601</t>
        </is>
      </c>
      <c r="I1745" s="41" t="inlineStr">
        <is>
          <t>27</t>
        </is>
      </c>
      <c r="J1745" s="41" t="inlineStr">
        <is>
          <t>26,800</t>
        </is>
      </c>
      <c r="K1745" s="42" t="inlineStr">
        <is>
          <t>한라비발디스튜디오193</t>
        </is>
      </c>
      <c r="L1745" s="41" t="inlineStr">
        <is>
          <t>10</t>
        </is>
      </c>
      <c r="M1745" s="42" t="inlineStr">
        <is>
          <t>개인</t>
        </is>
      </c>
      <c r="N1745" s="42" t="inlineStr">
        <is>
          <t>개인</t>
        </is>
      </c>
      <c r="O1745" s="41" t="inlineStr">
        <is>
          <t>2013</t>
        </is>
      </c>
      <c r="P1745" s="42" t="inlineStr">
        <is>
          <t>강남대로39길 15-10</t>
        </is>
      </c>
      <c r="Q1745" s="41" t="inlineStr">
        <is>
          <t>-</t>
        </is>
      </c>
      <c r="R1745" s="42" t="inlineStr">
        <is>
          <t>중개거래</t>
        </is>
      </c>
      <c r="S1745" s="42" t="inlineStr">
        <is>
          <t>서울 서초구</t>
        </is>
      </c>
      <c r="T1745" s="41" t="inlineStr">
        <is>
          <t>26.01.27</t>
        </is>
      </c>
      <c r="U1745" s="42" t="inlineStr">
        <is>
          <t>아파트</t>
        </is>
      </c>
    </row>
    <row r="1746" hidden="1" ht="14.25" customHeight="1">
      <c r="A1746" s="41" t="n">
        <v>87</v>
      </c>
      <c r="B1746" s="42" t="inlineStr">
        <is>
          <t>서울특별시 서초구 서초동</t>
        </is>
      </c>
      <c r="C1746" s="41" t="inlineStr">
        <is>
          <t>1593-7</t>
        </is>
      </c>
      <c r="D1746" s="41" t="inlineStr">
        <is>
          <t>1593</t>
        </is>
      </c>
      <c r="E1746" s="41" t="inlineStr">
        <is>
          <t>0007</t>
        </is>
      </c>
      <c r="F1746" s="42" t="inlineStr">
        <is>
          <t>서초이오빌</t>
        </is>
      </c>
      <c r="G1746" s="41" t="inlineStr">
        <is>
          <t>36.6600</t>
        </is>
      </c>
      <c r="H1746" s="41" t="inlineStr">
        <is>
          <t>202601</t>
        </is>
      </c>
      <c r="I1746" s="41" t="inlineStr">
        <is>
          <t>26</t>
        </is>
      </c>
      <c r="J1746" s="41" t="inlineStr">
        <is>
          <t>32,500</t>
        </is>
      </c>
      <c r="K1746" s="41" t="inlineStr">
        <is>
          <t>-</t>
        </is>
      </c>
      <c r="L1746" s="41" t="inlineStr">
        <is>
          <t>16</t>
        </is>
      </c>
      <c r="M1746" s="42" t="inlineStr">
        <is>
          <t>개인</t>
        </is>
      </c>
      <c r="N1746" s="42" t="inlineStr">
        <is>
          <t>개인</t>
        </is>
      </c>
      <c r="O1746" s="41" t="inlineStr">
        <is>
          <t>2003</t>
        </is>
      </c>
      <c r="P1746" s="42" t="inlineStr">
        <is>
          <t>효령로53길 45</t>
        </is>
      </c>
      <c r="Q1746" s="41" t="inlineStr">
        <is>
          <t>-</t>
        </is>
      </c>
      <c r="R1746" s="42" t="inlineStr">
        <is>
          <t>중개거래</t>
        </is>
      </c>
      <c r="S1746" s="42" t="inlineStr">
        <is>
          <t>서울 서초구</t>
        </is>
      </c>
      <c r="T1746" s="41" t="inlineStr">
        <is>
          <t>26.03.17</t>
        </is>
      </c>
      <c r="U1746" s="42" t="inlineStr">
        <is>
          <t>아파트</t>
        </is>
      </c>
    </row>
    <row r="1747" hidden="1" ht="14.25" customHeight="1">
      <c r="A1747" s="41" t="n">
        <v>88</v>
      </c>
      <c r="B1747" s="42" t="inlineStr">
        <is>
          <t>서울특별시 서초구 서초동</t>
        </is>
      </c>
      <c r="C1747" s="41" t="inlineStr">
        <is>
          <t>1616-10</t>
        </is>
      </c>
      <c r="D1747" s="41" t="inlineStr">
        <is>
          <t>1616</t>
        </is>
      </c>
      <c r="E1747" s="41" t="inlineStr">
        <is>
          <t>0010</t>
        </is>
      </c>
      <c r="F1747" s="42" t="inlineStr">
        <is>
          <t>서초극동스타클래스</t>
        </is>
      </c>
      <c r="G1747" s="41" t="inlineStr">
        <is>
          <t>90.1800</t>
        </is>
      </c>
      <c r="H1747" s="41" t="inlineStr">
        <is>
          <t>202601</t>
        </is>
      </c>
      <c r="I1747" s="41" t="inlineStr">
        <is>
          <t>26</t>
        </is>
      </c>
      <c r="J1747" s="41" t="inlineStr">
        <is>
          <t>185,000</t>
        </is>
      </c>
      <c r="K1747" s="41" t="inlineStr">
        <is>
          <t>-</t>
        </is>
      </c>
      <c r="L1747" s="41" t="inlineStr">
        <is>
          <t>11</t>
        </is>
      </c>
      <c r="M1747" s="42" t="inlineStr">
        <is>
          <t>개인</t>
        </is>
      </c>
      <c r="N1747" s="42" t="inlineStr">
        <is>
          <t>개인</t>
        </is>
      </c>
      <c r="O1747" s="41" t="inlineStr">
        <is>
          <t>2003</t>
        </is>
      </c>
      <c r="P1747" s="42" t="inlineStr">
        <is>
          <t>서리풀4길 43</t>
        </is>
      </c>
      <c r="Q1747" s="41" t="inlineStr">
        <is>
          <t>-</t>
        </is>
      </c>
      <c r="R1747" s="42" t="inlineStr">
        <is>
          <t>중개거래</t>
        </is>
      </c>
      <c r="S1747" s="42" t="inlineStr">
        <is>
          <t>서울 서초구</t>
        </is>
      </c>
      <c r="T1747" s="41" t="inlineStr">
        <is>
          <t>-</t>
        </is>
      </c>
      <c r="U1747" s="42" t="inlineStr">
        <is>
          <t>아파트</t>
        </is>
      </c>
    </row>
    <row r="1748" hidden="1" ht="14.25" customHeight="1">
      <c r="A1748" s="41" t="n">
        <v>89</v>
      </c>
      <c r="B1748" s="42" t="inlineStr">
        <is>
          <t>서울특별시 서초구 서초동</t>
        </is>
      </c>
      <c r="C1748" s="41" t="inlineStr">
        <is>
          <t>1757</t>
        </is>
      </c>
      <c r="D1748" s="41" t="inlineStr">
        <is>
          <t>1757</t>
        </is>
      </c>
      <c r="E1748" s="41" t="inlineStr">
        <is>
          <t>0000</t>
        </is>
      </c>
      <c r="F1748" s="42" t="inlineStr">
        <is>
          <t>서초그랑자이</t>
        </is>
      </c>
      <c r="G1748" s="41" t="inlineStr">
        <is>
          <t>59.9800</t>
        </is>
      </c>
      <c r="H1748" s="41" t="inlineStr">
        <is>
          <t>202601</t>
        </is>
      </c>
      <c r="I1748" s="41" t="inlineStr">
        <is>
          <t>26</t>
        </is>
      </c>
      <c r="J1748" s="41" t="inlineStr">
        <is>
          <t>355,000</t>
        </is>
      </c>
      <c r="K1748" s="41" t="inlineStr">
        <is>
          <t>105동</t>
        </is>
      </c>
      <c r="L1748" s="41" t="inlineStr">
        <is>
          <t>34</t>
        </is>
      </c>
      <c r="M1748" s="42" t="inlineStr">
        <is>
          <t>개인</t>
        </is>
      </c>
      <c r="N1748" s="42" t="inlineStr">
        <is>
          <t>개인</t>
        </is>
      </c>
      <c r="O1748" s="41" t="inlineStr">
        <is>
          <t>2021</t>
        </is>
      </c>
      <c r="P1748" s="42" t="inlineStr">
        <is>
          <t>효령로 391</t>
        </is>
      </c>
      <c r="Q1748" s="41" t="inlineStr">
        <is>
          <t>-</t>
        </is>
      </c>
      <c r="R1748" s="42" t="inlineStr">
        <is>
          <t>중개거래</t>
        </is>
      </c>
      <c r="S1748" s="42" t="inlineStr">
        <is>
          <t>서울 서초구</t>
        </is>
      </c>
      <c r="T1748" s="41" t="inlineStr">
        <is>
          <t>26.02.25</t>
        </is>
      </c>
      <c r="U1748" s="42" t="inlineStr">
        <is>
          <t>아파트</t>
        </is>
      </c>
    </row>
    <row r="1749" hidden="1" ht="14.25" customHeight="1">
      <c r="A1749" s="41" t="n">
        <v>90</v>
      </c>
      <c r="B1749" s="42" t="inlineStr">
        <is>
          <t>서울특별시 서초구 서초동</t>
        </is>
      </c>
      <c r="C1749" s="41" t="inlineStr">
        <is>
          <t>1456-2</t>
        </is>
      </c>
      <c r="D1749" s="41" t="inlineStr">
        <is>
          <t>1456</t>
        </is>
      </c>
      <c r="E1749" s="41" t="inlineStr">
        <is>
          <t>0002</t>
        </is>
      </c>
      <c r="F1749" s="42" t="inlineStr">
        <is>
          <t>경남아너스빌201동</t>
        </is>
      </c>
      <c r="G1749" s="41" t="inlineStr">
        <is>
          <t>84.9500</t>
        </is>
      </c>
      <c r="H1749" s="41" t="inlineStr">
        <is>
          <t>202601</t>
        </is>
      </c>
      <c r="I1749" s="41" t="inlineStr">
        <is>
          <t>25</t>
        </is>
      </c>
      <c r="J1749" s="41" t="inlineStr">
        <is>
          <t>223,000</t>
        </is>
      </c>
      <c r="K1749" s="41" t="inlineStr">
        <is>
          <t>-</t>
        </is>
      </c>
      <c r="L1749" s="41" t="inlineStr">
        <is>
          <t>13</t>
        </is>
      </c>
      <c r="M1749" s="42" t="inlineStr">
        <is>
          <t>개인</t>
        </is>
      </c>
      <c r="N1749" s="42" t="inlineStr">
        <is>
          <t>개인</t>
        </is>
      </c>
      <c r="O1749" s="41" t="inlineStr">
        <is>
          <t>2006</t>
        </is>
      </c>
      <c r="P1749" s="42" t="inlineStr">
        <is>
          <t>반포대로10길 42</t>
        </is>
      </c>
      <c r="Q1749" s="41" t="inlineStr">
        <is>
          <t>-</t>
        </is>
      </c>
      <c r="R1749" s="42" t="inlineStr">
        <is>
          <t>중개거래</t>
        </is>
      </c>
      <c r="S1749" s="42" t="inlineStr">
        <is>
          <t>서울 서초구</t>
        </is>
      </c>
      <c r="T1749" s="41" t="inlineStr">
        <is>
          <t>-</t>
        </is>
      </c>
      <c r="U1749" s="42" t="inlineStr">
        <is>
          <t>아파트</t>
        </is>
      </c>
    </row>
    <row r="1750" hidden="1" ht="14.25" customHeight="1">
      <c r="A1750" s="41" t="n">
        <v>91</v>
      </c>
      <c r="B1750" s="42" t="inlineStr">
        <is>
          <t>서울특별시 서초구 서초동</t>
        </is>
      </c>
      <c r="C1750" s="41" t="inlineStr">
        <is>
          <t>1671-5</t>
        </is>
      </c>
      <c r="D1750" s="41" t="inlineStr">
        <is>
          <t>1671</t>
        </is>
      </c>
      <c r="E1750" s="41" t="inlineStr">
        <is>
          <t>0005</t>
        </is>
      </c>
      <c r="F1750" s="42" t="inlineStr">
        <is>
          <t>대림서초리시온</t>
        </is>
      </c>
      <c r="G1750" s="41" t="inlineStr">
        <is>
          <t>45.7200</t>
        </is>
      </c>
      <c r="H1750" s="41" t="inlineStr">
        <is>
          <t>202601</t>
        </is>
      </c>
      <c r="I1750" s="41" t="inlineStr">
        <is>
          <t>24</t>
        </is>
      </c>
      <c r="J1750" s="41" t="inlineStr">
        <is>
          <t>55,000</t>
        </is>
      </c>
      <c r="K1750" s="41" t="inlineStr">
        <is>
          <t>-</t>
        </is>
      </c>
      <c r="L1750" s="41" t="inlineStr">
        <is>
          <t>9</t>
        </is>
      </c>
      <c r="M1750" s="42" t="inlineStr">
        <is>
          <t>법인</t>
        </is>
      </c>
      <c r="N1750" s="42" t="inlineStr">
        <is>
          <t>개인</t>
        </is>
      </c>
      <c r="O1750" s="41" t="inlineStr">
        <is>
          <t>2003</t>
        </is>
      </c>
      <c r="P1750" s="42" t="inlineStr">
        <is>
          <t>서초중앙로22길 25</t>
        </is>
      </c>
      <c r="Q1750" s="41" t="inlineStr">
        <is>
          <t>-</t>
        </is>
      </c>
      <c r="R1750" s="42" t="inlineStr">
        <is>
          <t>중개거래</t>
        </is>
      </c>
      <c r="S1750" s="42" t="inlineStr">
        <is>
          <t>서울 서초구</t>
        </is>
      </c>
      <c r="T1750" s="41" t="inlineStr">
        <is>
          <t>26.01.30</t>
        </is>
      </c>
      <c r="U1750" s="42" t="inlineStr">
        <is>
          <t>아파트</t>
        </is>
      </c>
    </row>
    <row r="1751" hidden="1" ht="14.25" customHeight="1">
      <c r="A1751" s="41" t="n">
        <v>92</v>
      </c>
      <c r="B1751" s="42" t="inlineStr">
        <is>
          <t>서울특별시 서초구 서초동</t>
        </is>
      </c>
      <c r="C1751" s="41" t="inlineStr">
        <is>
          <t>1312-3</t>
        </is>
      </c>
      <c r="D1751" s="41" t="inlineStr">
        <is>
          <t>1312</t>
        </is>
      </c>
      <c r="E1751" s="41" t="inlineStr">
        <is>
          <t>0003</t>
        </is>
      </c>
      <c r="F1751" s="42" t="inlineStr">
        <is>
          <t>롯데캐슬클래식</t>
        </is>
      </c>
      <c r="G1751" s="41" t="inlineStr">
        <is>
          <t>120.1800</t>
        </is>
      </c>
      <c r="H1751" s="41" t="inlineStr">
        <is>
          <t>202601</t>
        </is>
      </c>
      <c r="I1751" s="41" t="inlineStr">
        <is>
          <t>24</t>
        </is>
      </c>
      <c r="J1751" s="41" t="inlineStr">
        <is>
          <t>367,000</t>
        </is>
      </c>
      <c r="K1751" s="41" t="inlineStr">
        <is>
          <t>-</t>
        </is>
      </c>
      <c r="L1751" s="41" t="inlineStr">
        <is>
          <t>6</t>
        </is>
      </c>
      <c r="M1751" s="42" t="inlineStr">
        <is>
          <t>개인</t>
        </is>
      </c>
      <c r="N1751" s="42" t="inlineStr">
        <is>
          <t>개인</t>
        </is>
      </c>
      <c r="O1751" s="41" t="inlineStr">
        <is>
          <t>2006</t>
        </is>
      </c>
      <c r="P1751" s="42" t="inlineStr">
        <is>
          <t>서운로 197</t>
        </is>
      </c>
      <c r="Q1751" s="41" t="inlineStr">
        <is>
          <t>-</t>
        </is>
      </c>
      <c r="R1751" s="42" t="inlineStr">
        <is>
          <t>중개거래</t>
        </is>
      </c>
      <c r="S1751" s="42" t="inlineStr">
        <is>
          <t>서울 서초구</t>
        </is>
      </c>
      <c r="T1751" s="41" t="inlineStr">
        <is>
          <t>-</t>
        </is>
      </c>
      <c r="U1751" s="42" t="inlineStr">
        <is>
          <t>아파트</t>
        </is>
      </c>
    </row>
    <row r="1752" hidden="1" ht="14.25" customHeight="1">
      <c r="A1752" s="41" t="n">
        <v>93</v>
      </c>
      <c r="B1752" s="42" t="inlineStr">
        <is>
          <t>서울특별시 서초구 서초동</t>
        </is>
      </c>
      <c r="C1752" s="41" t="inlineStr">
        <is>
          <t>1445-4</t>
        </is>
      </c>
      <c r="D1752" s="41" t="inlineStr">
        <is>
          <t>1445</t>
        </is>
      </c>
      <c r="E1752" s="41" t="inlineStr">
        <is>
          <t>0004</t>
        </is>
      </c>
      <c r="F1752" s="42" t="inlineStr">
        <is>
          <t>래미안서초유니빌</t>
        </is>
      </c>
      <c r="G1752" s="41" t="inlineStr">
        <is>
          <t>42.0000</t>
        </is>
      </c>
      <c r="H1752" s="41" t="inlineStr">
        <is>
          <t>202601</t>
        </is>
      </c>
      <c r="I1752" s="41" t="inlineStr">
        <is>
          <t>23</t>
        </is>
      </c>
      <c r="J1752" s="41" t="inlineStr">
        <is>
          <t>45,000</t>
        </is>
      </c>
      <c r="K1752" s="42" t="inlineStr">
        <is>
          <t>래미안 서초유니빌</t>
        </is>
      </c>
      <c r="L1752" s="41" t="inlineStr">
        <is>
          <t>7</t>
        </is>
      </c>
      <c r="M1752" s="42" t="inlineStr">
        <is>
          <t>개인</t>
        </is>
      </c>
      <c r="N1752" s="42" t="inlineStr">
        <is>
          <t>개인</t>
        </is>
      </c>
      <c r="O1752" s="41" t="inlineStr">
        <is>
          <t>2003</t>
        </is>
      </c>
      <c r="P1752" s="42" t="inlineStr">
        <is>
          <t>서초중앙로 26</t>
        </is>
      </c>
      <c r="Q1752" s="41" t="inlineStr">
        <is>
          <t>-</t>
        </is>
      </c>
      <c r="R1752" s="42" t="inlineStr">
        <is>
          <t>중개거래</t>
        </is>
      </c>
      <c r="S1752" s="42" t="inlineStr">
        <is>
          <t>서울 서초구</t>
        </is>
      </c>
      <c r="T1752" s="41" t="inlineStr">
        <is>
          <t>26.03.31</t>
        </is>
      </c>
      <c r="U1752" s="42" t="inlineStr">
        <is>
          <t>아파트</t>
        </is>
      </c>
    </row>
    <row r="1753" hidden="1" ht="14.25" customHeight="1">
      <c r="A1753" s="41" t="n">
        <v>94</v>
      </c>
      <c r="B1753" s="42" t="inlineStr">
        <is>
          <t>서울특별시 서초구 서초동</t>
        </is>
      </c>
      <c r="C1753" s="41" t="inlineStr">
        <is>
          <t>1593-7</t>
        </is>
      </c>
      <c r="D1753" s="41" t="inlineStr">
        <is>
          <t>1593</t>
        </is>
      </c>
      <c r="E1753" s="41" t="inlineStr">
        <is>
          <t>0007</t>
        </is>
      </c>
      <c r="F1753" s="42" t="inlineStr">
        <is>
          <t>서초이오빌</t>
        </is>
      </c>
      <c r="G1753" s="41" t="inlineStr">
        <is>
          <t>45.9600</t>
        </is>
      </c>
      <c r="H1753" s="41" t="inlineStr">
        <is>
          <t>202601</t>
        </is>
      </c>
      <c r="I1753" s="41" t="inlineStr">
        <is>
          <t>23</t>
        </is>
      </c>
      <c r="J1753" s="41" t="inlineStr">
        <is>
          <t>42,000</t>
        </is>
      </c>
      <c r="K1753" s="41" t="inlineStr">
        <is>
          <t>-</t>
        </is>
      </c>
      <c r="L1753" s="41" t="inlineStr">
        <is>
          <t>17</t>
        </is>
      </c>
      <c r="M1753" s="42" t="inlineStr">
        <is>
          <t>개인</t>
        </is>
      </c>
      <c r="N1753" s="42" t="inlineStr">
        <is>
          <t>개인</t>
        </is>
      </c>
      <c r="O1753" s="41" t="inlineStr">
        <is>
          <t>2003</t>
        </is>
      </c>
      <c r="P1753" s="42" t="inlineStr">
        <is>
          <t>효령로53길 45</t>
        </is>
      </c>
      <c r="Q1753" s="41" t="inlineStr">
        <is>
          <t>-</t>
        </is>
      </c>
      <c r="R1753" s="42" t="inlineStr">
        <is>
          <t>중개거래</t>
        </is>
      </c>
      <c r="S1753" s="42" t="inlineStr">
        <is>
          <t>서울 서초구</t>
        </is>
      </c>
      <c r="T1753" s="41" t="inlineStr">
        <is>
          <t>-</t>
        </is>
      </c>
      <c r="U1753" s="42" t="inlineStr">
        <is>
          <t>아파트</t>
        </is>
      </c>
    </row>
    <row r="1754" hidden="1" ht="14.25" customHeight="1">
      <c r="A1754" s="41" t="n">
        <v>95</v>
      </c>
      <c r="B1754" s="42" t="inlineStr">
        <is>
          <t>서울특별시 서초구 서초동</t>
        </is>
      </c>
      <c r="C1754" s="41" t="inlineStr">
        <is>
          <t>1754</t>
        </is>
      </c>
      <c r="D1754" s="41" t="inlineStr">
        <is>
          <t>1754</t>
        </is>
      </c>
      <c r="E1754" s="41" t="inlineStr">
        <is>
          <t>0000</t>
        </is>
      </c>
      <c r="F1754" s="42" t="inlineStr">
        <is>
          <t>래미안서초에스티지S</t>
        </is>
      </c>
      <c r="G1754" s="41" t="inlineStr">
        <is>
          <t>84.1700</t>
        </is>
      </c>
      <c r="H1754" s="41" t="inlineStr">
        <is>
          <t>202601</t>
        </is>
      </c>
      <c r="I1754" s="41" t="inlineStr">
        <is>
          <t>22</t>
        </is>
      </c>
      <c r="J1754" s="41" t="inlineStr">
        <is>
          <t>352,000</t>
        </is>
      </c>
      <c r="K1754" s="41" t="inlineStr">
        <is>
          <t>-</t>
        </is>
      </c>
      <c r="L1754" s="41" t="inlineStr">
        <is>
          <t>12</t>
        </is>
      </c>
      <c r="M1754" s="42" t="inlineStr">
        <is>
          <t>개인</t>
        </is>
      </c>
      <c r="N1754" s="42" t="inlineStr">
        <is>
          <t>개인</t>
        </is>
      </c>
      <c r="O1754" s="41" t="inlineStr">
        <is>
          <t>2018</t>
        </is>
      </c>
      <c r="P1754" s="42" t="inlineStr">
        <is>
          <t>서운로 104</t>
        </is>
      </c>
      <c r="Q1754" s="41" t="inlineStr">
        <is>
          <t>-</t>
        </is>
      </c>
      <c r="R1754" s="42" t="inlineStr">
        <is>
          <t>중개거래</t>
        </is>
      </c>
      <c r="S1754" s="42" t="inlineStr">
        <is>
          <t>서울 강동구, 서울 서초구</t>
        </is>
      </c>
      <c r="T1754" s="41" t="inlineStr">
        <is>
          <t>-</t>
        </is>
      </c>
      <c r="U1754" s="42" t="inlineStr">
        <is>
          <t>아파트</t>
        </is>
      </c>
    </row>
    <row r="1755" hidden="1" ht="14.25" customHeight="1">
      <c r="A1755" s="41" t="n">
        <v>96</v>
      </c>
      <c r="B1755" s="42" t="inlineStr">
        <is>
          <t>서울특별시 서초구 서초동</t>
        </is>
      </c>
      <c r="C1755" s="41" t="inlineStr">
        <is>
          <t>1338-1</t>
        </is>
      </c>
      <c r="D1755" s="41" t="inlineStr">
        <is>
          <t>1338</t>
        </is>
      </c>
      <c r="E1755" s="41" t="inlineStr">
        <is>
          <t>0001</t>
        </is>
      </c>
      <c r="F1755" s="42" t="inlineStr">
        <is>
          <t>풍림아이원플러스</t>
        </is>
      </c>
      <c r="G1755" s="41" t="inlineStr">
        <is>
          <t>27.6430</t>
        </is>
      </c>
      <c r="H1755" s="41" t="inlineStr">
        <is>
          <t>202601</t>
        </is>
      </c>
      <c r="I1755" s="41" t="inlineStr">
        <is>
          <t>21</t>
        </is>
      </c>
      <c r="J1755" s="41" t="inlineStr">
        <is>
          <t>29,500</t>
        </is>
      </c>
      <c r="K1755" s="42" t="inlineStr">
        <is>
          <t>풍림아이원플러스</t>
        </is>
      </c>
      <c r="L1755" s="41" t="inlineStr">
        <is>
          <t>13</t>
        </is>
      </c>
      <c r="M1755" s="42" t="inlineStr">
        <is>
          <t>개인</t>
        </is>
      </c>
      <c r="N1755" s="42" t="inlineStr">
        <is>
          <t>개인</t>
        </is>
      </c>
      <c r="O1755" s="41" t="inlineStr">
        <is>
          <t>2004</t>
        </is>
      </c>
      <c r="P1755" s="42" t="inlineStr">
        <is>
          <t>효령로77길 14</t>
        </is>
      </c>
      <c r="Q1755" s="41" t="inlineStr">
        <is>
          <t>-</t>
        </is>
      </c>
      <c r="R1755" s="42" t="inlineStr">
        <is>
          <t>중개거래</t>
        </is>
      </c>
      <c r="S1755" s="42" t="inlineStr">
        <is>
          <t>서울 서초구</t>
        </is>
      </c>
      <c r="T1755" s="41" t="inlineStr">
        <is>
          <t>26.03.30</t>
        </is>
      </c>
      <c r="U1755" s="42" t="inlineStr">
        <is>
          <t>아파트</t>
        </is>
      </c>
    </row>
    <row r="1756" hidden="1" ht="14.25" customHeight="1">
      <c r="A1756" s="41" t="n">
        <v>97</v>
      </c>
      <c r="B1756" s="42" t="inlineStr">
        <is>
          <t>서울특별시 서초구 서초동</t>
        </is>
      </c>
      <c r="C1756" s="41" t="inlineStr">
        <is>
          <t>1445-14</t>
        </is>
      </c>
      <c r="D1756" s="41" t="inlineStr">
        <is>
          <t>1445</t>
        </is>
      </c>
      <c r="E1756" s="41" t="inlineStr">
        <is>
          <t>0014</t>
        </is>
      </c>
      <c r="F1756" s="42" t="inlineStr">
        <is>
          <t>더샵서초</t>
        </is>
      </c>
      <c r="G1756" s="41" t="inlineStr">
        <is>
          <t>33.0600</t>
        </is>
      </c>
      <c r="H1756" s="41" t="inlineStr">
        <is>
          <t>202601</t>
        </is>
      </c>
      <c r="I1756" s="41" t="inlineStr">
        <is>
          <t>21</t>
        </is>
      </c>
      <c r="J1756" s="41" t="inlineStr">
        <is>
          <t>67,000</t>
        </is>
      </c>
      <c r="K1756" s="41" t="inlineStr">
        <is>
          <t>103</t>
        </is>
      </c>
      <c r="L1756" s="41" t="inlineStr">
        <is>
          <t>26</t>
        </is>
      </c>
      <c r="M1756" s="42" t="inlineStr">
        <is>
          <t>개인</t>
        </is>
      </c>
      <c r="N1756" s="42" t="inlineStr">
        <is>
          <t>개인</t>
        </is>
      </c>
      <c r="O1756" s="41" t="inlineStr">
        <is>
          <t>2006</t>
        </is>
      </c>
      <c r="P1756" s="42" t="inlineStr">
        <is>
          <t>서초중앙로2길 21</t>
        </is>
      </c>
      <c r="Q1756" s="41" t="inlineStr">
        <is>
          <t>-</t>
        </is>
      </c>
      <c r="R1756" s="42" t="inlineStr">
        <is>
          <t>중개거래</t>
        </is>
      </c>
      <c r="S1756" s="42" t="inlineStr">
        <is>
          <t>서울 서초구</t>
        </is>
      </c>
      <c r="T1756" s="41" t="inlineStr">
        <is>
          <t>26.02.25</t>
        </is>
      </c>
      <c r="U1756" s="42" t="inlineStr">
        <is>
          <t>아파트</t>
        </is>
      </c>
    </row>
    <row r="1757" hidden="1" ht="14.25" customHeight="1">
      <c r="A1757" s="41" t="n">
        <v>98</v>
      </c>
      <c r="B1757" s="42" t="inlineStr">
        <is>
          <t>서울특별시 서초구 서초동</t>
        </is>
      </c>
      <c r="C1757" s="41" t="inlineStr">
        <is>
          <t>1754</t>
        </is>
      </c>
      <c r="D1757" s="41" t="inlineStr">
        <is>
          <t>1754</t>
        </is>
      </c>
      <c r="E1757" s="41" t="inlineStr">
        <is>
          <t>0000</t>
        </is>
      </c>
      <c r="F1757" s="42" t="inlineStr">
        <is>
          <t>래미안서초에스티지S</t>
        </is>
      </c>
      <c r="G1757" s="41" t="inlineStr">
        <is>
          <t>84.9600</t>
        </is>
      </c>
      <c r="H1757" s="41" t="inlineStr">
        <is>
          <t>202601</t>
        </is>
      </c>
      <c r="I1757" s="41" t="inlineStr">
        <is>
          <t>21</t>
        </is>
      </c>
      <c r="J1757" s="41" t="inlineStr">
        <is>
          <t>355,000</t>
        </is>
      </c>
      <c r="K1757" s="41" t="inlineStr">
        <is>
          <t>201</t>
        </is>
      </c>
      <c r="L1757" s="41" t="inlineStr">
        <is>
          <t>16</t>
        </is>
      </c>
      <c r="M1757" s="42" t="inlineStr">
        <is>
          <t>개인</t>
        </is>
      </c>
      <c r="N1757" s="42" t="inlineStr">
        <is>
          <t>개인</t>
        </is>
      </c>
      <c r="O1757" s="41" t="inlineStr">
        <is>
          <t>2018</t>
        </is>
      </c>
      <c r="P1757" s="42" t="inlineStr">
        <is>
          <t>서운로 104</t>
        </is>
      </c>
      <c r="Q1757" s="41" t="inlineStr">
        <is>
          <t>-</t>
        </is>
      </c>
      <c r="R1757" s="42" t="inlineStr">
        <is>
          <t>중개거래</t>
        </is>
      </c>
      <c r="S1757" s="42" t="inlineStr">
        <is>
          <t>서울 서초구</t>
        </is>
      </c>
      <c r="T1757" s="41" t="inlineStr">
        <is>
          <t>26.03.06</t>
        </is>
      </c>
      <c r="U1757" s="42" t="inlineStr">
        <is>
          <t>아파트</t>
        </is>
      </c>
    </row>
    <row r="1758" hidden="1" ht="14.25" customHeight="1">
      <c r="A1758" s="41" t="n">
        <v>99</v>
      </c>
      <c r="B1758" s="42" t="inlineStr">
        <is>
          <t>서울특별시 서초구 서초동</t>
        </is>
      </c>
      <c r="C1758" s="41" t="inlineStr">
        <is>
          <t>1326</t>
        </is>
      </c>
      <c r="D1758" s="41" t="inlineStr">
        <is>
          <t>1326</t>
        </is>
      </c>
      <c r="E1758" s="41" t="inlineStr">
        <is>
          <t>0000</t>
        </is>
      </c>
      <c r="F1758" s="42" t="inlineStr">
        <is>
          <t>삼성서초가든스위트</t>
        </is>
      </c>
      <c r="G1758" s="41" t="inlineStr">
        <is>
          <t>181.5000</t>
        </is>
      </c>
      <c r="H1758" s="41" t="inlineStr">
        <is>
          <t>202601</t>
        </is>
      </c>
      <c r="I1758" s="41" t="inlineStr">
        <is>
          <t>21</t>
        </is>
      </c>
      <c r="J1758" s="41" t="inlineStr">
        <is>
          <t>399,000</t>
        </is>
      </c>
      <c r="K1758" s="41" t="inlineStr">
        <is>
          <t>1</t>
        </is>
      </c>
      <c r="L1758" s="41" t="inlineStr">
        <is>
          <t>8</t>
        </is>
      </c>
      <c r="M1758" s="42" t="inlineStr">
        <is>
          <t>개인</t>
        </is>
      </c>
      <c r="N1758" s="42" t="inlineStr">
        <is>
          <t>개인</t>
        </is>
      </c>
      <c r="O1758" s="41" t="inlineStr">
        <is>
          <t>2000</t>
        </is>
      </c>
      <c r="P1758" s="42" t="inlineStr">
        <is>
          <t>서운로 122</t>
        </is>
      </c>
      <c r="Q1758" s="41" t="inlineStr">
        <is>
          <t>-</t>
        </is>
      </c>
      <c r="R1758" s="42" t="inlineStr">
        <is>
          <t>중개거래</t>
        </is>
      </c>
      <c r="S1758" s="42" t="inlineStr">
        <is>
          <t>서울 서초구</t>
        </is>
      </c>
      <c r="T1758" s="41" t="inlineStr">
        <is>
          <t>26.03.06</t>
        </is>
      </c>
      <c r="U1758" s="42" t="inlineStr">
        <is>
          <t>아파트</t>
        </is>
      </c>
    </row>
    <row r="1759" hidden="1" ht="14.25" customHeight="1">
      <c r="A1759" s="41" t="n">
        <v>100</v>
      </c>
      <c r="B1759" s="42" t="inlineStr">
        <is>
          <t>서울특별시 서초구 서초동</t>
        </is>
      </c>
      <c r="C1759" s="41" t="inlineStr">
        <is>
          <t>1685</t>
        </is>
      </c>
      <c r="D1759" s="41" t="inlineStr">
        <is>
          <t>1685</t>
        </is>
      </c>
      <c r="E1759" s="41" t="inlineStr">
        <is>
          <t>0000</t>
        </is>
      </c>
      <c r="F1759" s="42" t="inlineStr">
        <is>
          <t>삼풍아파트</t>
        </is>
      </c>
      <c r="G1759" s="41" t="inlineStr">
        <is>
          <t>130.7300</t>
        </is>
      </c>
      <c r="H1759" s="41" t="inlineStr">
        <is>
          <t>202601</t>
        </is>
      </c>
      <c r="I1759" s="41" t="inlineStr">
        <is>
          <t>21</t>
        </is>
      </c>
      <c r="J1759" s="41" t="inlineStr">
        <is>
          <t>450,000</t>
        </is>
      </c>
      <c r="K1759" s="41" t="inlineStr">
        <is>
          <t>-</t>
        </is>
      </c>
      <c r="L1759" s="41" t="inlineStr">
        <is>
          <t>5</t>
        </is>
      </c>
      <c r="M1759" s="42" t="inlineStr">
        <is>
          <t>개인</t>
        </is>
      </c>
      <c r="N1759" s="42" t="inlineStr">
        <is>
          <t>개인</t>
        </is>
      </c>
      <c r="O1759" s="41" t="inlineStr">
        <is>
          <t>1988</t>
        </is>
      </c>
      <c r="P1759" s="42" t="inlineStr">
        <is>
          <t>서초중앙로 200</t>
        </is>
      </c>
      <c r="Q1759" s="41" t="inlineStr">
        <is>
          <t>-</t>
        </is>
      </c>
      <c r="R1759" s="42" t="inlineStr">
        <is>
          <t>중개거래</t>
        </is>
      </c>
      <c r="S1759" s="42" t="inlineStr">
        <is>
          <t>서울 서초구</t>
        </is>
      </c>
      <c r="T1759" s="41" t="inlineStr">
        <is>
          <t>-</t>
        </is>
      </c>
      <c r="U1759" s="42" t="inlineStr">
        <is>
          <t>아파트</t>
        </is>
      </c>
    </row>
    <row r="1760" hidden="1" ht="14.25" customHeight="1">
      <c r="A1760" s="41" t="n">
        <v>101</v>
      </c>
      <c r="B1760" s="42" t="inlineStr">
        <is>
          <t>서울특별시 서초구 서초동</t>
        </is>
      </c>
      <c r="C1760" s="41" t="inlineStr">
        <is>
          <t>1641-13</t>
        </is>
      </c>
      <c r="D1760" s="41" t="inlineStr">
        <is>
          <t>1641</t>
        </is>
      </c>
      <c r="E1760" s="41" t="inlineStr">
        <is>
          <t>0013</t>
        </is>
      </c>
      <c r="F1760" s="42" t="inlineStr">
        <is>
          <t>아남</t>
        </is>
      </c>
      <c r="G1760" s="41" t="inlineStr">
        <is>
          <t>84.9600</t>
        </is>
      </c>
      <c r="H1760" s="41" t="inlineStr">
        <is>
          <t>202601</t>
        </is>
      </c>
      <c r="I1760" s="41" t="inlineStr">
        <is>
          <t>20</t>
        </is>
      </c>
      <c r="J1760" s="41" t="inlineStr">
        <is>
          <t>225,000</t>
        </is>
      </c>
      <c r="K1760" s="41" t="inlineStr">
        <is>
          <t>-</t>
        </is>
      </c>
      <c r="L1760" s="41" t="inlineStr">
        <is>
          <t>5</t>
        </is>
      </c>
      <c r="M1760" s="42" t="inlineStr">
        <is>
          <t>개인</t>
        </is>
      </c>
      <c r="N1760" s="42" t="inlineStr">
        <is>
          <t>개인</t>
        </is>
      </c>
      <c r="O1760" s="41" t="inlineStr">
        <is>
          <t>1989</t>
        </is>
      </c>
      <c r="P1760" s="42" t="inlineStr">
        <is>
          <t>사임당로23길 53</t>
        </is>
      </c>
      <c r="Q1760" s="41" t="inlineStr">
        <is>
          <t>-</t>
        </is>
      </c>
      <c r="R1760" s="42" t="inlineStr">
        <is>
          <t>중개거래</t>
        </is>
      </c>
      <c r="S1760" s="42" t="inlineStr">
        <is>
          <t>서울 서초구</t>
        </is>
      </c>
      <c r="T1760" s="41" t="inlineStr">
        <is>
          <t>-</t>
        </is>
      </c>
      <c r="U1760" s="42" t="inlineStr">
        <is>
          <t>아파트</t>
        </is>
      </c>
    </row>
    <row r="1761" hidden="1" ht="14.25" customHeight="1">
      <c r="A1761" s="41" t="n">
        <v>102</v>
      </c>
      <c r="B1761" s="42" t="inlineStr">
        <is>
          <t>서울특별시 서초구 서초동</t>
        </is>
      </c>
      <c r="C1761" s="41" t="inlineStr">
        <is>
          <t>1494-4</t>
        </is>
      </c>
      <c r="D1761" s="41" t="inlineStr">
        <is>
          <t>1494</t>
        </is>
      </c>
      <c r="E1761" s="41" t="inlineStr">
        <is>
          <t>0004</t>
        </is>
      </c>
      <c r="F1761" s="42" t="inlineStr">
        <is>
          <t>더미켈란</t>
        </is>
      </c>
      <c r="G1761" s="41" t="inlineStr">
        <is>
          <t>244.9800</t>
        </is>
      </c>
      <c r="H1761" s="41" t="inlineStr">
        <is>
          <t>202601</t>
        </is>
      </c>
      <c r="I1761" s="41" t="inlineStr">
        <is>
          <t>20</t>
        </is>
      </c>
      <c r="J1761" s="41" t="inlineStr">
        <is>
          <t>407,500</t>
        </is>
      </c>
      <c r="K1761" s="41" t="inlineStr">
        <is>
          <t>-</t>
        </is>
      </c>
      <c r="L1761" s="41" t="inlineStr">
        <is>
          <t>9</t>
        </is>
      </c>
      <c r="M1761" s="42" t="inlineStr">
        <is>
          <t>개인</t>
        </is>
      </c>
      <c r="N1761" s="42" t="inlineStr">
        <is>
          <t>개인</t>
        </is>
      </c>
      <c r="O1761" s="41" t="inlineStr">
        <is>
          <t>2005</t>
        </is>
      </c>
      <c r="P1761" s="42" t="inlineStr">
        <is>
          <t>명달로 91</t>
        </is>
      </c>
      <c r="Q1761" s="41" t="inlineStr">
        <is>
          <t>-</t>
        </is>
      </c>
      <c r="R1761" s="42" t="inlineStr">
        <is>
          <t>중개거래</t>
        </is>
      </c>
      <c r="S1761" s="42" t="inlineStr">
        <is>
          <t>서울 강남구, 서울 서초구</t>
        </is>
      </c>
      <c r="T1761" s="41" t="inlineStr">
        <is>
          <t>26.03.31</t>
        </is>
      </c>
      <c r="U1761" s="42" t="inlineStr">
        <is>
          <t>아파트</t>
        </is>
      </c>
    </row>
    <row r="1762" hidden="1" ht="14.25" customHeight="1">
      <c r="A1762" s="41" t="n">
        <v>103</v>
      </c>
      <c r="B1762" s="42" t="inlineStr">
        <is>
          <t>서울특별시 서초구 서초동</t>
        </is>
      </c>
      <c r="C1762" s="41" t="inlineStr">
        <is>
          <t>1362-10</t>
        </is>
      </c>
      <c r="D1762" s="41" t="inlineStr">
        <is>
          <t>1362</t>
        </is>
      </c>
      <c r="E1762" s="41" t="inlineStr">
        <is>
          <t>0010</t>
        </is>
      </c>
      <c r="F1762" s="42" t="inlineStr">
        <is>
          <t>서초노블레스아파트</t>
        </is>
      </c>
      <c r="G1762" s="41" t="inlineStr">
        <is>
          <t>29.4700</t>
        </is>
      </c>
      <c r="H1762" s="41" t="inlineStr">
        <is>
          <t>202601</t>
        </is>
      </c>
      <c r="I1762" s="41" t="inlineStr">
        <is>
          <t>20</t>
        </is>
      </c>
      <c r="J1762" s="41" t="inlineStr">
        <is>
          <t>51,000</t>
        </is>
      </c>
      <c r="K1762" s="41" t="inlineStr">
        <is>
          <t>-</t>
        </is>
      </c>
      <c r="L1762" s="41" t="inlineStr">
        <is>
          <t>6</t>
        </is>
      </c>
      <c r="M1762" s="42" t="inlineStr">
        <is>
          <t>개인</t>
        </is>
      </c>
      <c r="N1762" s="42" t="inlineStr">
        <is>
          <t>개인</t>
        </is>
      </c>
      <c r="O1762" s="41" t="inlineStr">
        <is>
          <t>2019</t>
        </is>
      </c>
      <c r="P1762" s="42" t="inlineStr">
        <is>
          <t>강남대로39길 15-11</t>
        </is>
      </c>
      <c r="Q1762" s="41" t="inlineStr">
        <is>
          <t>-</t>
        </is>
      </c>
      <c r="R1762" s="42" t="inlineStr">
        <is>
          <t>중개거래</t>
        </is>
      </c>
      <c r="S1762" s="42" t="inlineStr">
        <is>
          <t>서울 강남구</t>
        </is>
      </c>
      <c r="T1762" s="41" t="inlineStr">
        <is>
          <t>26.03.30</t>
        </is>
      </c>
      <c r="U1762" s="42" t="inlineStr">
        <is>
          <t>아파트</t>
        </is>
      </c>
    </row>
    <row r="1763" hidden="1" ht="14.25" customHeight="1">
      <c r="A1763" s="41" t="n">
        <v>104</v>
      </c>
      <c r="B1763" s="42" t="inlineStr">
        <is>
          <t>서울특별시 서초구 서초동</t>
        </is>
      </c>
      <c r="C1763" s="41" t="inlineStr">
        <is>
          <t>1486-17</t>
        </is>
      </c>
      <c r="D1763" s="41" t="inlineStr">
        <is>
          <t>1486</t>
        </is>
      </c>
      <c r="E1763" s="41" t="inlineStr">
        <is>
          <t>0017</t>
        </is>
      </c>
      <c r="F1763" s="42" t="inlineStr">
        <is>
          <t>비버리캐슬</t>
        </is>
      </c>
      <c r="G1763" s="41" t="inlineStr">
        <is>
          <t>59.4900</t>
        </is>
      </c>
      <c r="H1763" s="41" t="inlineStr">
        <is>
          <t>202601</t>
        </is>
      </c>
      <c r="I1763" s="41" t="inlineStr">
        <is>
          <t>19</t>
        </is>
      </c>
      <c r="J1763" s="41" t="inlineStr">
        <is>
          <t>115,000</t>
        </is>
      </c>
      <c r="K1763" s="41" t="inlineStr">
        <is>
          <t>-</t>
        </is>
      </c>
      <c r="L1763" s="41" t="inlineStr">
        <is>
          <t>3</t>
        </is>
      </c>
      <c r="M1763" s="42" t="inlineStr">
        <is>
          <t>개인</t>
        </is>
      </c>
      <c r="N1763" s="42" t="inlineStr">
        <is>
          <t>개인</t>
        </is>
      </c>
      <c r="O1763" s="41" t="inlineStr">
        <is>
          <t>2020</t>
        </is>
      </c>
      <c r="P1763" s="42" t="inlineStr">
        <is>
          <t>반포대로9길 70</t>
        </is>
      </c>
      <c r="Q1763" s="41" t="inlineStr">
        <is>
          <t>-</t>
        </is>
      </c>
      <c r="R1763" s="42" t="inlineStr">
        <is>
          <t>중개거래</t>
        </is>
      </c>
      <c r="S1763" s="42" t="inlineStr">
        <is>
          <t>서울 서초구</t>
        </is>
      </c>
      <c r="T1763" s="41" t="inlineStr">
        <is>
          <t>26.02.26</t>
        </is>
      </c>
      <c r="U1763" s="42" t="inlineStr">
        <is>
          <t>아파트</t>
        </is>
      </c>
    </row>
    <row r="1764" hidden="1" ht="14.25" customHeight="1">
      <c r="A1764" s="41" t="n">
        <v>105</v>
      </c>
      <c r="B1764" s="42" t="inlineStr">
        <is>
          <t>서울특별시 서초구 서초동</t>
        </is>
      </c>
      <c r="C1764" s="41" t="inlineStr">
        <is>
          <t>1330</t>
        </is>
      </c>
      <c r="D1764" s="41" t="inlineStr">
        <is>
          <t>1330</t>
        </is>
      </c>
      <c r="E1764" s="41" t="inlineStr">
        <is>
          <t>0000</t>
        </is>
      </c>
      <c r="F1764" s="42" t="inlineStr">
        <is>
          <t>서초동삼성쉐르빌2</t>
        </is>
      </c>
      <c r="G1764" s="41" t="inlineStr">
        <is>
          <t>52.8300</t>
        </is>
      </c>
      <c r="H1764" s="41" t="inlineStr">
        <is>
          <t>202601</t>
        </is>
      </c>
      <c r="I1764" s="41" t="inlineStr">
        <is>
          <t>19</t>
        </is>
      </c>
      <c r="J1764" s="41" t="inlineStr">
        <is>
          <t>67,500</t>
        </is>
      </c>
      <c r="K1764" s="41" t="inlineStr">
        <is>
          <t>-</t>
        </is>
      </c>
      <c r="L1764" s="41" t="inlineStr">
        <is>
          <t>17</t>
        </is>
      </c>
      <c r="M1764" s="42" t="inlineStr">
        <is>
          <t>개인</t>
        </is>
      </c>
      <c r="N1764" s="42" t="inlineStr">
        <is>
          <t>개인</t>
        </is>
      </c>
      <c r="O1764" s="41" t="inlineStr">
        <is>
          <t>2002</t>
        </is>
      </c>
      <c r="P1764" s="42" t="inlineStr">
        <is>
          <t>강남대로53길 11</t>
        </is>
      </c>
      <c r="Q1764" s="41" t="inlineStr">
        <is>
          <t>-</t>
        </is>
      </c>
      <c r="R1764" s="42" t="inlineStr">
        <is>
          <t>중개거래</t>
        </is>
      </c>
      <c r="S1764" s="42" t="inlineStr">
        <is>
          <t>서울 서초구</t>
        </is>
      </c>
      <c r="T1764" s="41" t="inlineStr">
        <is>
          <t>-</t>
        </is>
      </c>
      <c r="U1764" s="42" t="inlineStr">
        <is>
          <t>아파트</t>
        </is>
      </c>
    </row>
    <row r="1765" hidden="1" ht="14.25" customHeight="1">
      <c r="A1765" s="41" t="n">
        <v>106</v>
      </c>
      <c r="B1765" s="42" t="inlineStr">
        <is>
          <t>서울특별시 서초구 서초동</t>
        </is>
      </c>
      <c r="C1765" s="41" t="inlineStr">
        <is>
          <t>1486-17</t>
        </is>
      </c>
      <c r="D1765" s="41" t="inlineStr">
        <is>
          <t>1486</t>
        </is>
      </c>
      <c r="E1765" s="41" t="inlineStr">
        <is>
          <t>0017</t>
        </is>
      </c>
      <c r="F1765" s="42" t="inlineStr">
        <is>
          <t>비버리캐슬</t>
        </is>
      </c>
      <c r="G1765" s="41" t="inlineStr">
        <is>
          <t>59.4900</t>
        </is>
      </c>
      <c r="H1765" s="41" t="inlineStr">
        <is>
          <t>202601</t>
        </is>
      </c>
      <c r="I1765" s="41" t="inlineStr">
        <is>
          <t>19</t>
        </is>
      </c>
      <c r="J1765" s="41" t="inlineStr">
        <is>
          <t>115,000</t>
        </is>
      </c>
      <c r="K1765" s="41" t="inlineStr">
        <is>
          <t>-</t>
        </is>
      </c>
      <c r="L1765" s="41" t="inlineStr">
        <is>
          <t>3</t>
        </is>
      </c>
      <c r="M1765" s="42" t="inlineStr">
        <is>
          <t>개인</t>
        </is>
      </c>
      <c r="N1765" s="42" t="inlineStr">
        <is>
          <t>개인</t>
        </is>
      </c>
      <c r="O1765" s="41" t="inlineStr">
        <is>
          <t>2020</t>
        </is>
      </c>
      <c r="P1765" s="42" t="inlineStr">
        <is>
          <t>반포대로9길 70</t>
        </is>
      </c>
      <c r="Q1765" s="41" t="inlineStr">
        <is>
          <t>20260221</t>
        </is>
      </c>
      <c r="R1765" s="42" t="inlineStr">
        <is>
          <t>중개거래</t>
        </is>
      </c>
      <c r="S1765" s="42" t="inlineStr">
        <is>
          <t>서울 서초구</t>
        </is>
      </c>
      <c r="T1765" s="41" t="inlineStr">
        <is>
          <t>-</t>
        </is>
      </c>
      <c r="U1765" s="42" t="inlineStr">
        <is>
          <t>아파트</t>
        </is>
      </c>
    </row>
    <row r="1766" hidden="1" ht="14.25" customHeight="1">
      <c r="A1766" s="41" t="n">
        <v>107</v>
      </c>
      <c r="B1766" s="42" t="inlineStr">
        <is>
          <t>서울특별시 서초구 서초동</t>
        </is>
      </c>
      <c r="C1766" s="41" t="inlineStr">
        <is>
          <t>1566-19</t>
        </is>
      </c>
      <c r="D1766" s="41" t="inlineStr">
        <is>
          <t>1566</t>
        </is>
      </c>
      <c r="E1766" s="41" t="inlineStr">
        <is>
          <t>0019</t>
        </is>
      </c>
      <c r="F1766" s="42" t="inlineStr">
        <is>
          <t>서초노빌리에</t>
        </is>
      </c>
      <c r="G1766" s="41" t="inlineStr">
        <is>
          <t>81.3600</t>
        </is>
      </c>
      <c r="H1766" s="41" t="inlineStr">
        <is>
          <t>202601</t>
        </is>
      </c>
      <c r="I1766" s="41" t="inlineStr">
        <is>
          <t>17</t>
        </is>
      </c>
      <c r="J1766" s="41" t="inlineStr">
        <is>
          <t>127,500</t>
        </is>
      </c>
      <c r="K1766" s="42" t="inlineStr">
        <is>
          <t>서초 노빌리에</t>
        </is>
      </c>
      <c r="L1766" s="41" t="inlineStr">
        <is>
          <t>8</t>
        </is>
      </c>
      <c r="M1766" s="42" t="inlineStr">
        <is>
          <t>개인</t>
        </is>
      </c>
      <c r="N1766" s="42" t="inlineStr">
        <is>
          <t>개인</t>
        </is>
      </c>
      <c r="O1766" s="41" t="inlineStr">
        <is>
          <t>2006</t>
        </is>
      </c>
      <c r="P1766" s="42" t="inlineStr">
        <is>
          <t>서초대로46길 96</t>
        </is>
      </c>
      <c r="Q1766" s="41" t="inlineStr">
        <is>
          <t>-</t>
        </is>
      </c>
      <c r="R1766" s="42" t="inlineStr">
        <is>
          <t>중개거래</t>
        </is>
      </c>
      <c r="S1766" s="42" t="inlineStr">
        <is>
          <t>서울 서초구</t>
        </is>
      </c>
      <c r="T1766" s="41" t="inlineStr">
        <is>
          <t>26.03.31</t>
        </is>
      </c>
      <c r="U1766" s="42" t="inlineStr">
        <is>
          <t>아파트</t>
        </is>
      </c>
    </row>
    <row r="1767" hidden="1" ht="14.25" customHeight="1">
      <c r="A1767" s="41" t="n">
        <v>108</v>
      </c>
      <c r="B1767" s="42" t="inlineStr">
        <is>
          <t>서울특별시 서초구 서초동</t>
        </is>
      </c>
      <c r="C1767" s="41" t="inlineStr">
        <is>
          <t>1671-5</t>
        </is>
      </c>
      <c r="D1767" s="41" t="inlineStr">
        <is>
          <t>1671</t>
        </is>
      </c>
      <c r="E1767" s="41" t="inlineStr">
        <is>
          <t>0005</t>
        </is>
      </c>
      <c r="F1767" s="42" t="inlineStr">
        <is>
          <t>대림서초리시온</t>
        </is>
      </c>
      <c r="G1767" s="41" t="inlineStr">
        <is>
          <t>49.9200</t>
        </is>
      </c>
      <c r="H1767" s="41" t="inlineStr">
        <is>
          <t>202601</t>
        </is>
      </c>
      <c r="I1767" s="41" t="inlineStr">
        <is>
          <t>17</t>
        </is>
      </c>
      <c r="J1767" s="41" t="inlineStr">
        <is>
          <t>58,100</t>
        </is>
      </c>
      <c r="K1767" s="41" t="inlineStr">
        <is>
          <t>-</t>
        </is>
      </c>
      <c r="L1767" s="41" t="inlineStr">
        <is>
          <t>7</t>
        </is>
      </c>
      <c r="M1767" s="42" t="inlineStr">
        <is>
          <t>개인</t>
        </is>
      </c>
      <c r="N1767" s="42" t="inlineStr">
        <is>
          <t>개인</t>
        </is>
      </c>
      <c r="O1767" s="41" t="inlineStr">
        <is>
          <t>2003</t>
        </is>
      </c>
      <c r="P1767" s="42" t="inlineStr">
        <is>
          <t>서초중앙로22길 25</t>
        </is>
      </c>
      <c r="Q1767" s="41" t="inlineStr">
        <is>
          <t>-</t>
        </is>
      </c>
      <c r="R1767" s="42" t="inlineStr">
        <is>
          <t>중개거래</t>
        </is>
      </c>
      <c r="S1767" s="42" t="inlineStr">
        <is>
          <t>서울 서초구</t>
        </is>
      </c>
      <c r="T1767" s="41" t="inlineStr">
        <is>
          <t>-</t>
        </is>
      </c>
      <c r="U1767" s="42" t="inlineStr">
        <is>
          <t>아파트</t>
        </is>
      </c>
    </row>
    <row r="1768" hidden="1" ht="14.25" customHeight="1">
      <c r="A1768" s="41" t="n">
        <v>109</v>
      </c>
      <c r="B1768" s="42" t="inlineStr">
        <is>
          <t>서울특별시 서초구 서초동</t>
        </is>
      </c>
      <c r="C1768" s="41" t="inlineStr">
        <is>
          <t>1483-18</t>
        </is>
      </c>
      <c r="D1768" s="41" t="inlineStr">
        <is>
          <t>1483</t>
        </is>
      </c>
      <c r="E1768" s="41" t="inlineStr">
        <is>
          <t>0018</t>
        </is>
      </c>
      <c r="F1768" s="42" t="inlineStr">
        <is>
          <t>더샾오데움(101,102동)</t>
        </is>
      </c>
      <c r="G1768" s="41" t="inlineStr">
        <is>
          <t>207.2280</t>
        </is>
      </c>
      <c r="H1768" s="41" t="inlineStr">
        <is>
          <t>202601</t>
        </is>
      </c>
      <c r="I1768" s="41" t="inlineStr">
        <is>
          <t>17</t>
        </is>
      </c>
      <c r="J1768" s="41" t="inlineStr">
        <is>
          <t>375,000</t>
        </is>
      </c>
      <c r="K1768" s="41" t="inlineStr">
        <is>
          <t>102</t>
        </is>
      </c>
      <c r="L1768" s="41" t="inlineStr">
        <is>
          <t>3</t>
        </is>
      </c>
      <c r="M1768" s="42" t="inlineStr">
        <is>
          <t>개인</t>
        </is>
      </c>
      <c r="N1768" s="42" t="inlineStr">
        <is>
          <t>개인</t>
        </is>
      </c>
      <c r="O1768" s="41" t="inlineStr">
        <is>
          <t>2005</t>
        </is>
      </c>
      <c r="P1768" s="42" t="inlineStr">
        <is>
          <t>효령로46길 21</t>
        </is>
      </c>
      <c r="Q1768" s="41" t="inlineStr">
        <is>
          <t>-</t>
        </is>
      </c>
      <c r="R1768" s="42" t="inlineStr">
        <is>
          <t>중개거래</t>
        </is>
      </c>
      <c r="S1768" s="42" t="inlineStr">
        <is>
          <t>서울 서초구</t>
        </is>
      </c>
      <c r="T1768" s="41" t="inlineStr">
        <is>
          <t>26.02.19</t>
        </is>
      </c>
      <c r="U1768" s="42" t="inlineStr">
        <is>
          <t>아파트</t>
        </is>
      </c>
    </row>
    <row r="1769" hidden="1" ht="14.25" customHeight="1">
      <c r="A1769" s="41" t="n">
        <v>110</v>
      </c>
      <c r="B1769" s="42" t="inlineStr">
        <is>
          <t>서울특별시 서초구 서초동</t>
        </is>
      </c>
      <c r="C1769" s="41" t="inlineStr">
        <is>
          <t>1434-2</t>
        </is>
      </c>
      <c r="D1769" s="41" t="inlineStr">
        <is>
          <t>1434</t>
        </is>
      </c>
      <c r="E1769" s="41" t="inlineStr">
        <is>
          <t>0002</t>
        </is>
      </c>
      <c r="F1769" s="42" t="inlineStr">
        <is>
          <t>신원아침도시(1434)</t>
        </is>
      </c>
      <c r="G1769" s="41" t="inlineStr">
        <is>
          <t>82.1740</t>
        </is>
      </c>
      <c r="H1769" s="41" t="inlineStr">
        <is>
          <t>202601</t>
        </is>
      </c>
      <c r="I1769" s="41" t="inlineStr">
        <is>
          <t>16</t>
        </is>
      </c>
      <c r="J1769" s="41" t="inlineStr">
        <is>
          <t>143,000</t>
        </is>
      </c>
      <c r="K1769" s="41" t="inlineStr">
        <is>
          <t>-</t>
        </is>
      </c>
      <c r="L1769" s="41" t="inlineStr">
        <is>
          <t>2</t>
        </is>
      </c>
      <c r="M1769" s="42" t="inlineStr">
        <is>
          <t>개인</t>
        </is>
      </c>
      <c r="N1769" s="42" t="inlineStr">
        <is>
          <t>개인</t>
        </is>
      </c>
      <c r="O1769" s="41" t="inlineStr">
        <is>
          <t>2004</t>
        </is>
      </c>
      <c r="P1769" s="42" t="inlineStr">
        <is>
          <t>남부순환로337가길 51-9</t>
        </is>
      </c>
      <c r="Q1769" s="41" t="inlineStr">
        <is>
          <t>-</t>
        </is>
      </c>
      <c r="R1769" s="42" t="inlineStr">
        <is>
          <t>중개거래</t>
        </is>
      </c>
      <c r="S1769" s="42" t="inlineStr">
        <is>
          <t>경기 용인시 기흥구, 서울 서초구</t>
        </is>
      </c>
      <c r="T1769" s="41" t="inlineStr">
        <is>
          <t>26.03.27</t>
        </is>
      </c>
      <c r="U1769" s="42" t="inlineStr">
        <is>
          <t>아파트</t>
        </is>
      </c>
    </row>
    <row r="1770" hidden="1" ht="14.25" customHeight="1">
      <c r="A1770" s="41" t="n">
        <v>111</v>
      </c>
      <c r="B1770" s="42" t="inlineStr">
        <is>
          <t>서울특별시 서초구 서초동</t>
        </is>
      </c>
      <c r="C1770" s="41" t="inlineStr">
        <is>
          <t>1327-29</t>
        </is>
      </c>
      <c r="D1770" s="41" t="inlineStr">
        <is>
          <t>1327</t>
        </is>
      </c>
      <c r="E1770" s="41" t="inlineStr">
        <is>
          <t>0029</t>
        </is>
      </c>
      <c r="F1770" s="42" t="inlineStr">
        <is>
          <t>서초파라곤</t>
        </is>
      </c>
      <c r="G1770" s="41" t="inlineStr">
        <is>
          <t>89.0100</t>
        </is>
      </c>
      <c r="H1770" s="41" t="inlineStr">
        <is>
          <t>202601</t>
        </is>
      </c>
      <c r="I1770" s="41" t="inlineStr">
        <is>
          <t>16</t>
        </is>
      </c>
      <c r="J1770" s="41" t="inlineStr">
        <is>
          <t>132,000</t>
        </is>
      </c>
      <c r="K1770" s="42" t="inlineStr">
        <is>
          <t>케이티파라곤</t>
        </is>
      </c>
      <c r="L1770" s="41" t="inlineStr">
        <is>
          <t>13</t>
        </is>
      </c>
      <c r="M1770" s="42" t="inlineStr">
        <is>
          <t>개인</t>
        </is>
      </c>
      <c r="N1770" s="42" t="inlineStr">
        <is>
          <t>개인</t>
        </is>
      </c>
      <c r="O1770" s="41" t="inlineStr">
        <is>
          <t>2005</t>
        </is>
      </c>
      <c r="P1770" s="42" t="inlineStr">
        <is>
          <t>서초대로74길 29</t>
        </is>
      </c>
      <c r="Q1770" s="41" t="inlineStr">
        <is>
          <t>-</t>
        </is>
      </c>
      <c r="R1770" s="42" t="inlineStr">
        <is>
          <t>중개거래</t>
        </is>
      </c>
      <c r="S1770" s="42" t="inlineStr">
        <is>
          <t>서울 서초구</t>
        </is>
      </c>
      <c r="T1770" s="41" t="inlineStr">
        <is>
          <t>26.03.25</t>
        </is>
      </c>
      <c r="U1770" s="42" t="inlineStr">
        <is>
          <t>아파트</t>
        </is>
      </c>
    </row>
    <row r="1771" hidden="1" ht="14.25" customHeight="1">
      <c r="A1771" s="41" t="n">
        <v>112</v>
      </c>
      <c r="B1771" s="42" t="inlineStr">
        <is>
          <t>서울특별시 서초구 서초동</t>
        </is>
      </c>
      <c r="C1771" s="41" t="inlineStr">
        <is>
          <t>1684</t>
        </is>
      </c>
      <c r="D1771" s="41" t="inlineStr">
        <is>
          <t>1684</t>
        </is>
      </c>
      <c r="E1771" s="41" t="inlineStr">
        <is>
          <t>0000</t>
        </is>
      </c>
      <c r="F1771" s="42" t="inlineStr">
        <is>
          <t>서초4현대</t>
        </is>
      </c>
      <c r="G1771" s="41" t="inlineStr">
        <is>
          <t>140.0300</t>
        </is>
      </c>
      <c r="H1771" s="41" t="inlineStr">
        <is>
          <t>202601</t>
        </is>
      </c>
      <c r="I1771" s="41" t="inlineStr">
        <is>
          <t>15</t>
        </is>
      </c>
      <c r="J1771" s="41" t="inlineStr">
        <is>
          <t>295,000</t>
        </is>
      </c>
      <c r="K1771" s="41" t="inlineStr">
        <is>
          <t>-</t>
        </is>
      </c>
      <c r="L1771" s="41" t="inlineStr">
        <is>
          <t>15</t>
        </is>
      </c>
      <c r="M1771" s="42" t="inlineStr">
        <is>
          <t>개인</t>
        </is>
      </c>
      <c r="N1771" s="42" t="inlineStr">
        <is>
          <t>개인</t>
        </is>
      </c>
      <c r="O1771" s="41" t="inlineStr">
        <is>
          <t>2000</t>
        </is>
      </c>
      <c r="P1771" s="42" t="inlineStr">
        <is>
          <t>고무래로 94</t>
        </is>
      </c>
      <c r="Q1771" s="41" t="inlineStr">
        <is>
          <t>-</t>
        </is>
      </c>
      <c r="R1771" s="42" t="inlineStr">
        <is>
          <t>중개거래</t>
        </is>
      </c>
      <c r="S1771" s="42" t="inlineStr">
        <is>
          <t>서울 서초구</t>
        </is>
      </c>
      <c r="T1771" s="41" t="inlineStr">
        <is>
          <t>-</t>
        </is>
      </c>
      <c r="U1771" s="42" t="inlineStr">
        <is>
          <t>아파트</t>
        </is>
      </c>
    </row>
    <row r="1772" hidden="1" ht="14.25" customHeight="1">
      <c r="A1772" s="41" t="n">
        <v>113</v>
      </c>
      <c r="B1772" s="42" t="inlineStr">
        <is>
          <t>서울특별시 서초구 서초동</t>
        </is>
      </c>
      <c r="C1772" s="41" t="inlineStr">
        <is>
          <t>1684</t>
        </is>
      </c>
      <c r="D1772" s="41" t="inlineStr">
        <is>
          <t>1684</t>
        </is>
      </c>
      <c r="E1772" s="41" t="inlineStr">
        <is>
          <t>0000</t>
        </is>
      </c>
      <c r="F1772" s="42" t="inlineStr">
        <is>
          <t>서초4현대</t>
        </is>
      </c>
      <c r="G1772" s="41" t="inlineStr">
        <is>
          <t>84.9900</t>
        </is>
      </c>
      <c r="H1772" s="41" t="inlineStr">
        <is>
          <t>202601</t>
        </is>
      </c>
      <c r="I1772" s="41" t="inlineStr">
        <is>
          <t>15</t>
        </is>
      </c>
      <c r="J1772" s="41" t="inlineStr">
        <is>
          <t>275,000</t>
        </is>
      </c>
      <c r="K1772" s="41" t="inlineStr">
        <is>
          <t>-</t>
        </is>
      </c>
      <c r="L1772" s="41" t="inlineStr">
        <is>
          <t>12</t>
        </is>
      </c>
      <c r="M1772" s="42" t="inlineStr">
        <is>
          <t>개인</t>
        </is>
      </c>
      <c r="N1772" s="42" t="inlineStr">
        <is>
          <t>개인</t>
        </is>
      </c>
      <c r="O1772" s="41" t="inlineStr">
        <is>
          <t>2000</t>
        </is>
      </c>
      <c r="P1772" s="42" t="inlineStr">
        <is>
          <t>고무래로 94</t>
        </is>
      </c>
      <c r="Q1772" s="41" t="inlineStr">
        <is>
          <t>-</t>
        </is>
      </c>
      <c r="R1772" s="42" t="inlineStr">
        <is>
          <t>중개거래</t>
        </is>
      </c>
      <c r="S1772" s="42" t="inlineStr">
        <is>
          <t>서울 서초구</t>
        </is>
      </c>
      <c r="T1772" s="41" t="inlineStr">
        <is>
          <t>-</t>
        </is>
      </c>
      <c r="U1772" s="42" t="inlineStr">
        <is>
          <t>아파트</t>
        </is>
      </c>
    </row>
    <row r="1773" hidden="1" ht="14.25" customHeight="1">
      <c r="A1773" s="41" t="n">
        <v>114</v>
      </c>
      <c r="B1773" s="42" t="inlineStr">
        <is>
          <t>서울특별시 서초구 서초동</t>
        </is>
      </c>
      <c r="C1773" s="41" t="inlineStr">
        <is>
          <t>1648-2</t>
        </is>
      </c>
      <c r="D1773" s="41" t="inlineStr">
        <is>
          <t>1648</t>
        </is>
      </c>
      <c r="E1773" s="41" t="inlineStr">
        <is>
          <t>0002</t>
        </is>
      </c>
      <c r="F1773" s="42" t="inlineStr">
        <is>
          <t>서초현대</t>
        </is>
      </c>
      <c r="G1773" s="41" t="inlineStr">
        <is>
          <t>84.8100</t>
        </is>
      </c>
      <c r="H1773" s="41" t="inlineStr">
        <is>
          <t>202601</t>
        </is>
      </c>
      <c r="I1773" s="41" t="inlineStr">
        <is>
          <t>13</t>
        </is>
      </c>
      <c r="J1773" s="41" t="inlineStr">
        <is>
          <t>228,000</t>
        </is>
      </c>
      <c r="K1773" s="41" t="inlineStr">
        <is>
          <t>-</t>
        </is>
      </c>
      <c r="L1773" s="41" t="inlineStr">
        <is>
          <t>7</t>
        </is>
      </c>
      <c r="M1773" s="42" t="inlineStr">
        <is>
          <t>개인</t>
        </is>
      </c>
      <c r="N1773" s="42" t="inlineStr">
        <is>
          <t>개인</t>
        </is>
      </c>
      <c r="O1773" s="41" t="inlineStr">
        <is>
          <t>1999</t>
        </is>
      </c>
      <c r="P1773" s="42" t="inlineStr">
        <is>
          <t>사임당로19길 10</t>
        </is>
      </c>
      <c r="Q1773" s="41" t="inlineStr">
        <is>
          <t>-</t>
        </is>
      </c>
      <c r="R1773" s="42" t="inlineStr">
        <is>
          <t>중개거래</t>
        </is>
      </c>
      <c r="S1773" s="42" t="inlineStr">
        <is>
          <t>서울 서초구</t>
        </is>
      </c>
      <c r="T1773" s="41" t="inlineStr">
        <is>
          <t>-</t>
        </is>
      </c>
      <c r="U1773" s="42" t="inlineStr">
        <is>
          <t>아파트</t>
        </is>
      </c>
    </row>
    <row r="1774" hidden="1" ht="14.25" customHeight="1">
      <c r="A1774" s="41" t="n">
        <v>115</v>
      </c>
      <c r="B1774" s="42" t="inlineStr">
        <is>
          <t>서울특별시 서초구 서초동</t>
        </is>
      </c>
      <c r="C1774" s="41" t="inlineStr">
        <is>
          <t>1473-2</t>
        </is>
      </c>
      <c r="D1774" s="41" t="inlineStr">
        <is>
          <t>1473</t>
        </is>
      </c>
      <c r="E1774" s="41" t="inlineStr">
        <is>
          <t>0002</t>
        </is>
      </c>
      <c r="F1774" s="42" t="inlineStr">
        <is>
          <t>래미안서초4차</t>
        </is>
      </c>
      <c r="G1774" s="41" t="inlineStr">
        <is>
          <t>133.1400</t>
        </is>
      </c>
      <c r="H1774" s="41" t="inlineStr">
        <is>
          <t>202601</t>
        </is>
      </c>
      <c r="I1774" s="41" t="inlineStr">
        <is>
          <t>12</t>
        </is>
      </c>
      <c r="J1774" s="41" t="inlineStr">
        <is>
          <t>229,500</t>
        </is>
      </c>
      <c r="K1774" s="41" t="inlineStr">
        <is>
          <t>-</t>
        </is>
      </c>
      <c r="L1774" s="41" t="inlineStr">
        <is>
          <t>2</t>
        </is>
      </c>
      <c r="M1774" s="42" t="inlineStr">
        <is>
          <t>개인</t>
        </is>
      </c>
      <c r="N1774" s="42" t="inlineStr">
        <is>
          <t>개인</t>
        </is>
      </c>
      <c r="O1774" s="41" t="inlineStr">
        <is>
          <t>2005</t>
        </is>
      </c>
      <c r="P1774" s="42" t="inlineStr">
        <is>
          <t>남부순환로317길 34</t>
        </is>
      </c>
      <c r="Q1774" s="41" t="inlineStr">
        <is>
          <t>-</t>
        </is>
      </c>
      <c r="R1774" s="42" t="inlineStr">
        <is>
          <t>중개거래</t>
        </is>
      </c>
      <c r="S1774" s="42" t="inlineStr">
        <is>
          <t>서울 서초구</t>
        </is>
      </c>
      <c r="T1774" s="41" t="inlineStr">
        <is>
          <t>-</t>
        </is>
      </c>
      <c r="U1774" s="42" t="inlineStr">
        <is>
          <t>아파트</t>
        </is>
      </c>
    </row>
    <row r="1775" hidden="1" ht="14.25" customHeight="1">
      <c r="A1775" s="41" t="n">
        <v>116</v>
      </c>
      <c r="B1775" s="42" t="inlineStr">
        <is>
          <t>서울특별시 서초구 서초동</t>
        </is>
      </c>
      <c r="C1775" s="41" t="inlineStr">
        <is>
          <t>1446-11</t>
        </is>
      </c>
      <c r="D1775" s="41" t="inlineStr">
        <is>
          <t>1446</t>
        </is>
      </c>
      <c r="E1775" s="41" t="inlineStr">
        <is>
          <t>0011</t>
        </is>
      </c>
      <c r="F1775" s="42" t="inlineStr">
        <is>
          <t>현대슈퍼빌</t>
        </is>
      </c>
      <c r="G1775" s="41" t="inlineStr">
        <is>
          <t>147.8600</t>
        </is>
      </c>
      <c r="H1775" s="41" t="inlineStr">
        <is>
          <t>202601</t>
        </is>
      </c>
      <c r="I1775" s="41" t="inlineStr">
        <is>
          <t>12</t>
        </is>
      </c>
      <c r="J1775" s="41" t="inlineStr">
        <is>
          <t>292,000</t>
        </is>
      </c>
      <c r="K1775" s="41" t="inlineStr">
        <is>
          <t>D</t>
        </is>
      </c>
      <c r="L1775" s="41" t="inlineStr">
        <is>
          <t>13</t>
        </is>
      </c>
      <c r="M1775" s="42" t="inlineStr">
        <is>
          <t>개인</t>
        </is>
      </c>
      <c r="N1775" s="42" t="inlineStr">
        <is>
          <t>개인</t>
        </is>
      </c>
      <c r="O1775" s="41" t="inlineStr">
        <is>
          <t>2003</t>
        </is>
      </c>
      <c r="P1775" s="42" t="inlineStr">
        <is>
          <t>서초중앙로 15</t>
        </is>
      </c>
      <c r="Q1775" s="41" t="inlineStr">
        <is>
          <t>-</t>
        </is>
      </c>
      <c r="R1775" s="42" t="inlineStr">
        <is>
          <t>중개거래</t>
        </is>
      </c>
      <c r="S1775" s="42" t="inlineStr">
        <is>
          <t>서울 서초구</t>
        </is>
      </c>
      <c r="T1775" s="41" t="inlineStr">
        <is>
          <t>26.03.09</t>
        </is>
      </c>
      <c r="U1775" s="42" t="inlineStr">
        <is>
          <t>아파트</t>
        </is>
      </c>
    </row>
    <row r="1776" hidden="1" ht="14.25" customHeight="1">
      <c r="A1776" s="41" t="n">
        <v>117</v>
      </c>
      <c r="B1776" s="42" t="inlineStr">
        <is>
          <t>서울특별시 서초구 서초동</t>
        </is>
      </c>
      <c r="C1776" s="41" t="inlineStr">
        <is>
          <t>1338-1</t>
        </is>
      </c>
      <c r="D1776" s="41" t="inlineStr">
        <is>
          <t>1338</t>
        </is>
      </c>
      <c r="E1776" s="41" t="inlineStr">
        <is>
          <t>0001</t>
        </is>
      </c>
      <c r="F1776" s="42" t="inlineStr">
        <is>
          <t>풍림아이원플러스</t>
        </is>
      </c>
      <c r="G1776" s="41" t="inlineStr">
        <is>
          <t>28.6660</t>
        </is>
      </c>
      <c r="H1776" s="41" t="inlineStr">
        <is>
          <t>202601</t>
        </is>
      </c>
      <c r="I1776" s="41" t="inlineStr">
        <is>
          <t>12</t>
        </is>
      </c>
      <c r="J1776" s="41" t="inlineStr">
        <is>
          <t>30,200</t>
        </is>
      </c>
      <c r="K1776" s="42" t="inlineStr">
        <is>
          <t>풍림아이원플러스</t>
        </is>
      </c>
      <c r="L1776" s="41" t="inlineStr">
        <is>
          <t>15</t>
        </is>
      </c>
      <c r="M1776" s="42" t="inlineStr">
        <is>
          <t>개인</t>
        </is>
      </c>
      <c r="N1776" s="42" t="inlineStr">
        <is>
          <t>개인</t>
        </is>
      </c>
      <c r="O1776" s="41" t="inlineStr">
        <is>
          <t>2004</t>
        </is>
      </c>
      <c r="P1776" s="42" t="inlineStr">
        <is>
          <t>효령로77길 14</t>
        </is>
      </c>
      <c r="Q1776" s="41" t="inlineStr">
        <is>
          <t>-</t>
        </is>
      </c>
      <c r="R1776" s="42" t="inlineStr">
        <is>
          <t>중개거래</t>
        </is>
      </c>
      <c r="S1776" s="42" t="inlineStr">
        <is>
          <t>서울 서초구</t>
        </is>
      </c>
      <c r="T1776" s="41" t="inlineStr">
        <is>
          <t>26.02.27</t>
        </is>
      </c>
      <c r="U1776" s="42" t="inlineStr">
        <is>
          <t>아파트</t>
        </is>
      </c>
    </row>
    <row r="1777" hidden="1" ht="14.25" customHeight="1">
      <c r="A1777" s="41" t="n">
        <v>118</v>
      </c>
      <c r="B1777" s="42" t="inlineStr">
        <is>
          <t>서울특별시 서초구 서초동</t>
        </is>
      </c>
      <c r="C1777" s="41" t="inlineStr">
        <is>
          <t>1445-14</t>
        </is>
      </c>
      <c r="D1777" s="41" t="inlineStr">
        <is>
          <t>1445</t>
        </is>
      </c>
      <c r="E1777" s="41" t="inlineStr">
        <is>
          <t>0014</t>
        </is>
      </c>
      <c r="F1777" s="42" t="inlineStr">
        <is>
          <t>더샵서초</t>
        </is>
      </c>
      <c r="G1777" s="41" t="inlineStr">
        <is>
          <t>30.3900</t>
        </is>
      </c>
      <c r="H1777" s="41" t="inlineStr">
        <is>
          <t>202601</t>
        </is>
      </c>
      <c r="I1777" s="41" t="inlineStr">
        <is>
          <t>12</t>
        </is>
      </c>
      <c r="J1777" s="41" t="inlineStr">
        <is>
          <t>58,000</t>
        </is>
      </c>
      <c r="K1777" s="41" t="inlineStr">
        <is>
          <t>103</t>
        </is>
      </c>
      <c r="L1777" s="41" t="inlineStr">
        <is>
          <t>30</t>
        </is>
      </c>
      <c r="M1777" s="42" t="inlineStr">
        <is>
          <t>개인</t>
        </is>
      </c>
      <c r="N1777" s="42" t="inlineStr">
        <is>
          <t>개인</t>
        </is>
      </c>
      <c r="O1777" s="41" t="inlineStr">
        <is>
          <t>2006</t>
        </is>
      </c>
      <c r="P1777" s="42" t="inlineStr">
        <is>
          <t>서초중앙로2길 21</t>
        </is>
      </c>
      <c r="Q1777" s="41" t="inlineStr">
        <is>
          <t>-</t>
        </is>
      </c>
      <c r="R1777" s="42" t="inlineStr">
        <is>
          <t>중개거래</t>
        </is>
      </c>
      <c r="S1777" s="42" t="inlineStr">
        <is>
          <t>서울 서초구</t>
        </is>
      </c>
      <c r="T1777" s="41" t="inlineStr">
        <is>
          <t>26.02.23</t>
        </is>
      </c>
      <c r="U1777" s="42" t="inlineStr">
        <is>
          <t>아파트</t>
        </is>
      </c>
    </row>
    <row r="1778" hidden="1" ht="14.25" customHeight="1">
      <c r="A1778" s="41" t="n">
        <v>119</v>
      </c>
      <c r="B1778" s="42" t="inlineStr">
        <is>
          <t>서울특별시 서초구 서초동</t>
        </is>
      </c>
      <c r="C1778" s="41" t="inlineStr">
        <is>
          <t>1316-15</t>
        </is>
      </c>
      <c r="D1778" s="41" t="inlineStr">
        <is>
          <t>1316</t>
        </is>
      </c>
      <c r="E1778" s="41" t="inlineStr">
        <is>
          <t>0015</t>
        </is>
      </c>
      <c r="F1778" s="42" t="inlineStr">
        <is>
          <t>현대성우주상복합아파트</t>
        </is>
      </c>
      <c r="G1778" s="41" t="inlineStr">
        <is>
          <t>161.9100</t>
        </is>
      </c>
      <c r="H1778" s="41" t="inlineStr">
        <is>
          <t>202601</t>
        </is>
      </c>
      <c r="I1778" s="41" t="inlineStr">
        <is>
          <t>11</t>
        </is>
      </c>
      <c r="J1778" s="41" t="inlineStr">
        <is>
          <t>180,000</t>
        </is>
      </c>
      <c r="K1778" s="41" t="inlineStr">
        <is>
          <t>-</t>
        </is>
      </c>
      <c r="L1778" s="41" t="inlineStr">
        <is>
          <t>13</t>
        </is>
      </c>
      <c r="M1778" s="42" t="inlineStr">
        <is>
          <t>개인</t>
        </is>
      </c>
      <c r="N1778" s="42" t="inlineStr">
        <is>
          <t>개인</t>
        </is>
      </c>
      <c r="O1778" s="41" t="inlineStr">
        <is>
          <t>2002</t>
        </is>
      </c>
      <c r="P1778" s="42" t="inlineStr">
        <is>
          <t>강남대로61길 23</t>
        </is>
      </c>
      <c r="Q1778" s="41" t="inlineStr">
        <is>
          <t>20260116</t>
        </is>
      </c>
      <c r="R1778" s="42" t="inlineStr">
        <is>
          <t>중개거래</t>
        </is>
      </c>
      <c r="S1778" s="42" t="inlineStr">
        <is>
          <t>서울 서초구</t>
        </is>
      </c>
      <c r="T1778" s="41" t="inlineStr">
        <is>
          <t>-</t>
        </is>
      </c>
      <c r="U1778" s="42" t="inlineStr">
        <is>
          <t>아파트</t>
        </is>
      </c>
    </row>
    <row r="1779" hidden="1" ht="14.25" customHeight="1">
      <c r="A1779" s="41" t="n">
        <v>120</v>
      </c>
      <c r="B1779" s="42" t="inlineStr">
        <is>
          <t>서울특별시 서초구 서초동</t>
        </is>
      </c>
      <c r="C1779" s="41" t="inlineStr">
        <is>
          <t>1316-15</t>
        </is>
      </c>
      <c r="D1779" s="41" t="inlineStr">
        <is>
          <t>1316</t>
        </is>
      </c>
      <c r="E1779" s="41" t="inlineStr">
        <is>
          <t>0015</t>
        </is>
      </c>
      <c r="F1779" s="42" t="inlineStr">
        <is>
          <t>현대성우주상복합아파트</t>
        </is>
      </c>
      <c r="G1779" s="41" t="inlineStr">
        <is>
          <t>161.9100</t>
        </is>
      </c>
      <c r="H1779" s="41" t="inlineStr">
        <is>
          <t>202601</t>
        </is>
      </c>
      <c r="I1779" s="41" t="inlineStr">
        <is>
          <t>11</t>
        </is>
      </c>
      <c r="J1779" s="41" t="inlineStr">
        <is>
          <t>180,000</t>
        </is>
      </c>
      <c r="K1779" s="41" t="inlineStr">
        <is>
          <t>-</t>
        </is>
      </c>
      <c r="L1779" s="41" t="inlineStr">
        <is>
          <t>13</t>
        </is>
      </c>
      <c r="M1779" s="42" t="inlineStr">
        <is>
          <t>개인</t>
        </is>
      </c>
      <c r="N1779" s="42" t="inlineStr">
        <is>
          <t>개인</t>
        </is>
      </c>
      <c r="O1779" s="41" t="inlineStr">
        <is>
          <t>2002</t>
        </is>
      </c>
      <c r="P1779" s="42" t="inlineStr">
        <is>
          <t>강남대로61길 23</t>
        </is>
      </c>
      <c r="Q1779" s="41" t="inlineStr">
        <is>
          <t>-</t>
        </is>
      </c>
      <c r="R1779" s="42" t="inlineStr">
        <is>
          <t>중개거래</t>
        </is>
      </c>
      <c r="S1779" s="42" t="inlineStr">
        <is>
          <t>서울 서초구</t>
        </is>
      </c>
      <c r="T1779" s="41" t="inlineStr">
        <is>
          <t>26.04.02</t>
        </is>
      </c>
      <c r="U1779" s="42" t="inlineStr">
        <is>
          <t>아파트</t>
        </is>
      </c>
    </row>
    <row r="1780" hidden="1" ht="14.25" customHeight="1">
      <c r="A1780" s="41" t="n">
        <v>121</v>
      </c>
      <c r="B1780" s="42" t="inlineStr">
        <is>
          <t>서울특별시 서초구 서초동</t>
        </is>
      </c>
      <c r="C1780" s="41" t="inlineStr">
        <is>
          <t>1326-17</t>
        </is>
      </c>
      <c r="D1780" s="41" t="inlineStr">
        <is>
          <t>1326</t>
        </is>
      </c>
      <c r="E1780" s="41" t="inlineStr">
        <is>
          <t>0017</t>
        </is>
      </c>
      <c r="F1780" s="42" t="inlineStr">
        <is>
          <t>우성아파트</t>
        </is>
      </c>
      <c r="G1780" s="41" t="inlineStr">
        <is>
          <t>59.9300</t>
        </is>
      </c>
      <c r="H1780" s="41" t="inlineStr">
        <is>
          <t>202601</t>
        </is>
      </c>
      <c r="I1780" s="41" t="inlineStr">
        <is>
          <t>10</t>
        </is>
      </c>
      <c r="J1780" s="41" t="inlineStr">
        <is>
          <t>218,000</t>
        </is>
      </c>
      <c r="K1780" s="41" t="inlineStr">
        <is>
          <t>-</t>
        </is>
      </c>
      <c r="L1780" s="41" t="inlineStr">
        <is>
          <t>18</t>
        </is>
      </c>
      <c r="M1780" s="42" t="inlineStr">
        <is>
          <t>개인</t>
        </is>
      </c>
      <c r="N1780" s="42" t="inlineStr">
        <is>
          <t>개인</t>
        </is>
      </c>
      <c r="O1780" s="41" t="inlineStr">
        <is>
          <t>1998</t>
        </is>
      </c>
      <c r="P1780" s="42" t="inlineStr">
        <is>
          <t>서초대로74길 30</t>
        </is>
      </c>
      <c r="Q1780" s="41" t="inlineStr">
        <is>
          <t>-</t>
        </is>
      </c>
      <c r="R1780" s="42" t="inlineStr">
        <is>
          <t>중개거래</t>
        </is>
      </c>
      <c r="S1780" s="42" t="inlineStr">
        <is>
          <t>서울 서초구</t>
        </is>
      </c>
      <c r="T1780" s="41" t="inlineStr">
        <is>
          <t>-</t>
        </is>
      </c>
      <c r="U1780" s="42" t="inlineStr">
        <is>
          <t>아파트</t>
        </is>
      </c>
    </row>
    <row r="1781" hidden="1" ht="14.25" customHeight="1">
      <c r="A1781" s="41" t="n">
        <v>122</v>
      </c>
      <c r="B1781" s="42" t="inlineStr">
        <is>
          <t>서울특별시 서초구 서초동</t>
        </is>
      </c>
      <c r="C1781" s="41" t="inlineStr">
        <is>
          <t>1338</t>
        </is>
      </c>
      <c r="D1781" s="41" t="inlineStr">
        <is>
          <t>1338</t>
        </is>
      </c>
      <c r="E1781" s="41" t="inlineStr">
        <is>
          <t>0000</t>
        </is>
      </c>
      <c r="F1781" s="42" t="inlineStr">
        <is>
          <t>현대이에스에이아파트</t>
        </is>
      </c>
      <c r="G1781" s="41" t="inlineStr">
        <is>
          <t>100.0600</t>
        </is>
      </c>
      <c r="H1781" s="41" t="inlineStr">
        <is>
          <t>202601</t>
        </is>
      </c>
      <c r="I1781" s="41" t="inlineStr">
        <is>
          <t>10</t>
        </is>
      </c>
      <c r="J1781" s="41" t="inlineStr">
        <is>
          <t>155,000</t>
        </is>
      </c>
      <c r="K1781" s="41" t="inlineStr">
        <is>
          <t>-</t>
        </is>
      </c>
      <c r="L1781" s="41" t="inlineStr">
        <is>
          <t>12</t>
        </is>
      </c>
      <c r="M1781" s="42" t="inlineStr">
        <is>
          <t>개인</t>
        </is>
      </c>
      <c r="N1781" s="42" t="inlineStr">
        <is>
          <t>개인</t>
        </is>
      </c>
      <c r="O1781" s="41" t="inlineStr">
        <is>
          <t>2002</t>
        </is>
      </c>
      <c r="P1781" s="42" t="inlineStr">
        <is>
          <t>효령로77길 20</t>
        </is>
      </c>
      <c r="Q1781" s="41" t="inlineStr">
        <is>
          <t>-</t>
        </is>
      </c>
      <c r="R1781" s="42" t="inlineStr">
        <is>
          <t>중개거래</t>
        </is>
      </c>
      <c r="S1781" s="42" t="inlineStr">
        <is>
          <t>서울 서초구</t>
        </is>
      </c>
      <c r="T1781" s="41" t="inlineStr">
        <is>
          <t>-</t>
        </is>
      </c>
      <c r="U1781" s="42" t="inlineStr">
        <is>
          <t>아파트</t>
        </is>
      </c>
    </row>
    <row r="1782" hidden="1" ht="14.25" customHeight="1">
      <c r="A1782" s="41" t="n">
        <v>123</v>
      </c>
      <c r="B1782" s="42" t="inlineStr">
        <is>
          <t>서울특별시 서초구 서초동</t>
        </is>
      </c>
      <c r="C1782" s="41" t="inlineStr">
        <is>
          <t>1467-3</t>
        </is>
      </c>
      <c r="D1782" s="41" t="inlineStr">
        <is>
          <t>1467</t>
        </is>
      </c>
      <c r="E1782" s="41" t="inlineStr">
        <is>
          <t>0003</t>
        </is>
      </c>
      <c r="F1782" s="42" t="inlineStr">
        <is>
          <t>서초대우</t>
        </is>
      </c>
      <c r="G1782" s="41" t="inlineStr">
        <is>
          <t>188.4700</t>
        </is>
      </c>
      <c r="H1782" s="41" t="inlineStr">
        <is>
          <t>202601</t>
        </is>
      </c>
      <c r="I1782" s="41" t="inlineStr">
        <is>
          <t>10</t>
        </is>
      </c>
      <c r="J1782" s="41" t="inlineStr">
        <is>
          <t>242,000</t>
        </is>
      </c>
      <c r="K1782" s="41" t="inlineStr">
        <is>
          <t>-</t>
        </is>
      </c>
      <c r="L1782" s="41" t="inlineStr">
        <is>
          <t>7</t>
        </is>
      </c>
      <c r="M1782" s="42" t="inlineStr">
        <is>
          <t>개인</t>
        </is>
      </c>
      <c r="N1782" s="42" t="inlineStr">
        <is>
          <t>개인</t>
        </is>
      </c>
      <c r="O1782" s="41" t="inlineStr">
        <is>
          <t>2000</t>
        </is>
      </c>
      <c r="P1782" s="42" t="inlineStr">
        <is>
          <t>명달로 20</t>
        </is>
      </c>
      <c r="Q1782" s="41" t="inlineStr">
        <is>
          <t>-</t>
        </is>
      </c>
      <c r="R1782" s="42" t="inlineStr">
        <is>
          <t>중개거래</t>
        </is>
      </c>
      <c r="S1782" s="42" t="inlineStr">
        <is>
          <t>서울 서초구</t>
        </is>
      </c>
      <c r="T1782" s="41" t="inlineStr">
        <is>
          <t>26.03.13</t>
        </is>
      </c>
      <c r="U1782" s="42" t="inlineStr">
        <is>
          <t>아파트</t>
        </is>
      </c>
    </row>
    <row r="1783" hidden="1" ht="14.25" customHeight="1">
      <c r="A1783" s="41" t="n">
        <v>124</v>
      </c>
      <c r="B1783" s="42" t="inlineStr">
        <is>
          <t>서울특별시 서초구 서초동</t>
        </is>
      </c>
      <c r="C1783" s="41" t="inlineStr">
        <is>
          <t>1434-2</t>
        </is>
      </c>
      <c r="D1783" s="41" t="inlineStr">
        <is>
          <t>1434</t>
        </is>
      </c>
      <c r="E1783" s="41" t="inlineStr">
        <is>
          <t>0002</t>
        </is>
      </c>
      <c r="F1783" s="42" t="inlineStr">
        <is>
          <t>신원아침도시(1434)</t>
        </is>
      </c>
      <c r="G1783" s="41" t="inlineStr">
        <is>
          <t>83.1020</t>
        </is>
      </c>
      <c r="H1783" s="41" t="inlineStr">
        <is>
          <t>202601</t>
        </is>
      </c>
      <c r="I1783" s="41" t="inlineStr">
        <is>
          <t>09</t>
        </is>
      </c>
      <c r="J1783" s="41" t="inlineStr">
        <is>
          <t>146,000</t>
        </is>
      </c>
      <c r="K1783" s="41" t="inlineStr">
        <is>
          <t>-</t>
        </is>
      </c>
      <c r="L1783" s="41" t="inlineStr">
        <is>
          <t>4</t>
        </is>
      </c>
      <c r="M1783" s="42" t="inlineStr">
        <is>
          <t>개인</t>
        </is>
      </c>
      <c r="N1783" s="42" t="inlineStr">
        <is>
          <t>개인</t>
        </is>
      </c>
      <c r="O1783" s="41" t="inlineStr">
        <is>
          <t>2004</t>
        </is>
      </c>
      <c r="P1783" s="42" t="inlineStr">
        <is>
          <t>남부순환로337가길 51-9</t>
        </is>
      </c>
      <c r="Q1783" s="41" t="inlineStr">
        <is>
          <t>-</t>
        </is>
      </c>
      <c r="R1783" s="42" t="inlineStr">
        <is>
          <t>중개거래</t>
        </is>
      </c>
      <c r="S1783" s="42" t="inlineStr">
        <is>
          <t>서울 서초구</t>
        </is>
      </c>
      <c r="T1783" s="41" t="inlineStr">
        <is>
          <t>26.03.03</t>
        </is>
      </c>
      <c r="U1783" s="42" t="inlineStr">
        <is>
          <t>아파트</t>
        </is>
      </c>
    </row>
    <row r="1784" hidden="1" ht="14.25" customHeight="1">
      <c r="A1784" s="41" t="n">
        <v>125</v>
      </c>
      <c r="B1784" s="42" t="inlineStr">
        <is>
          <t>서울특별시 서초구 서초동</t>
        </is>
      </c>
      <c r="C1784" s="41" t="inlineStr">
        <is>
          <t>1675-11</t>
        </is>
      </c>
      <c r="D1784" s="41" t="inlineStr">
        <is>
          <t>1675</t>
        </is>
      </c>
      <c r="E1784" s="41" t="inlineStr">
        <is>
          <t>0011</t>
        </is>
      </c>
      <c r="F1784" s="42" t="inlineStr">
        <is>
          <t>서초대우아이빌</t>
        </is>
      </c>
      <c r="G1784" s="41" t="inlineStr">
        <is>
          <t>35.3070</t>
        </is>
      </c>
      <c r="H1784" s="41" t="inlineStr">
        <is>
          <t>202601</t>
        </is>
      </c>
      <c r="I1784" s="41" t="inlineStr">
        <is>
          <t>09</t>
        </is>
      </c>
      <c r="J1784" s="41" t="inlineStr">
        <is>
          <t>30,000</t>
        </is>
      </c>
      <c r="K1784" s="42" t="inlineStr">
        <is>
          <t>서초 대우아이빌</t>
        </is>
      </c>
      <c r="L1784" s="41" t="inlineStr">
        <is>
          <t>8</t>
        </is>
      </c>
      <c r="M1784" s="42" t="inlineStr">
        <is>
          <t>개인</t>
        </is>
      </c>
      <c r="N1784" s="42" t="inlineStr">
        <is>
          <t>개인</t>
        </is>
      </c>
      <c r="O1784" s="41" t="inlineStr">
        <is>
          <t>2003</t>
        </is>
      </c>
      <c r="P1784" s="42" t="inlineStr">
        <is>
          <t>서초대로58길 10</t>
        </is>
      </c>
      <c r="Q1784" s="41" t="inlineStr">
        <is>
          <t>-</t>
        </is>
      </c>
      <c r="R1784" s="42" t="inlineStr">
        <is>
          <t>중개거래</t>
        </is>
      </c>
      <c r="S1784" s="42" t="inlineStr">
        <is>
          <t>서울 서초구</t>
        </is>
      </c>
      <c r="T1784" s="41" t="inlineStr">
        <is>
          <t>26.01.30</t>
        </is>
      </c>
      <c r="U1784" s="42" t="inlineStr">
        <is>
          <t>아파트</t>
        </is>
      </c>
    </row>
    <row r="1785" hidden="1" ht="14.25" customHeight="1">
      <c r="A1785" s="41" t="n">
        <v>126</v>
      </c>
      <c r="B1785" s="42" t="inlineStr">
        <is>
          <t>서울특별시 서초구 서초동</t>
        </is>
      </c>
      <c r="C1785" s="41" t="inlineStr">
        <is>
          <t>1757</t>
        </is>
      </c>
      <c r="D1785" s="41" t="inlineStr">
        <is>
          <t>1757</t>
        </is>
      </c>
      <c r="E1785" s="41" t="inlineStr">
        <is>
          <t>0000</t>
        </is>
      </c>
      <c r="F1785" s="42" t="inlineStr">
        <is>
          <t>서초그랑자이</t>
        </is>
      </c>
      <c r="G1785" s="41" t="inlineStr">
        <is>
          <t>119.4100</t>
        </is>
      </c>
      <c r="H1785" s="41" t="inlineStr">
        <is>
          <t>202601</t>
        </is>
      </c>
      <c r="I1785" s="41" t="inlineStr">
        <is>
          <t>09</t>
        </is>
      </c>
      <c r="J1785" s="41" t="inlineStr">
        <is>
          <t>490,000</t>
        </is>
      </c>
      <c r="K1785" s="41" t="inlineStr">
        <is>
          <t>106동</t>
        </is>
      </c>
      <c r="L1785" s="41" t="inlineStr">
        <is>
          <t>12</t>
        </is>
      </c>
      <c r="M1785" s="42" t="inlineStr">
        <is>
          <t>개인</t>
        </is>
      </c>
      <c r="N1785" s="42" t="inlineStr">
        <is>
          <t>개인</t>
        </is>
      </c>
      <c r="O1785" s="41" t="inlineStr">
        <is>
          <t>2021</t>
        </is>
      </c>
      <c r="P1785" s="42" t="inlineStr">
        <is>
          <t>효령로 391</t>
        </is>
      </c>
      <c r="Q1785" s="41" t="inlineStr">
        <is>
          <t>-</t>
        </is>
      </c>
      <c r="R1785" s="42" t="inlineStr">
        <is>
          <t>중개거래</t>
        </is>
      </c>
      <c r="S1785" s="42" t="inlineStr">
        <is>
          <t>서울 서초구</t>
        </is>
      </c>
      <c r="T1785" s="41" t="inlineStr">
        <is>
          <t>26.03.09</t>
        </is>
      </c>
      <c r="U1785" s="42" t="inlineStr">
        <is>
          <t>아파트</t>
        </is>
      </c>
    </row>
    <row r="1786" hidden="1" ht="14.25" customHeight="1">
      <c r="A1786" s="41" t="n">
        <v>127</v>
      </c>
      <c r="B1786" s="42" t="inlineStr">
        <is>
          <t>서울특별시 서초구 서초동</t>
        </is>
      </c>
      <c r="C1786" s="41" t="inlineStr">
        <is>
          <t>1445-4</t>
        </is>
      </c>
      <c r="D1786" s="41" t="inlineStr">
        <is>
          <t>1445</t>
        </is>
      </c>
      <c r="E1786" s="41" t="inlineStr">
        <is>
          <t>0004</t>
        </is>
      </c>
      <c r="F1786" s="42" t="inlineStr">
        <is>
          <t>래미안서초유니빌</t>
        </is>
      </c>
      <c r="G1786" s="41" t="inlineStr">
        <is>
          <t>45.2550</t>
        </is>
      </c>
      <c r="H1786" s="41" t="inlineStr">
        <is>
          <t>202601</t>
        </is>
      </c>
      <c r="I1786" s="41" t="inlineStr">
        <is>
          <t>08</t>
        </is>
      </c>
      <c r="J1786" s="41" t="inlineStr">
        <is>
          <t>51,000</t>
        </is>
      </c>
      <c r="K1786" s="42" t="inlineStr">
        <is>
          <t>래미안 서초유니빌</t>
        </is>
      </c>
      <c r="L1786" s="41" t="inlineStr">
        <is>
          <t>12</t>
        </is>
      </c>
      <c r="M1786" s="42" t="inlineStr">
        <is>
          <t>개인</t>
        </is>
      </c>
      <c r="N1786" s="42" t="inlineStr">
        <is>
          <t>개인</t>
        </is>
      </c>
      <c r="O1786" s="41" t="inlineStr">
        <is>
          <t>2003</t>
        </is>
      </c>
      <c r="P1786" s="42" t="inlineStr">
        <is>
          <t>서초중앙로 26</t>
        </is>
      </c>
      <c r="Q1786" s="41" t="inlineStr">
        <is>
          <t>-</t>
        </is>
      </c>
      <c r="R1786" s="42" t="inlineStr">
        <is>
          <t>중개거래</t>
        </is>
      </c>
      <c r="S1786" s="42" t="inlineStr">
        <is>
          <t>서울 강남구, 서울 서초구</t>
        </is>
      </c>
      <c r="T1786" s="41" t="inlineStr">
        <is>
          <t>26.03.31</t>
        </is>
      </c>
      <c r="U1786" s="42" t="inlineStr">
        <is>
          <t>아파트</t>
        </is>
      </c>
    </row>
    <row r="1787" hidden="1" ht="14.25" customHeight="1">
      <c r="A1787" s="41" t="n">
        <v>128</v>
      </c>
      <c r="B1787" s="42" t="inlineStr">
        <is>
          <t>서울특별시 서초구 서초동</t>
        </is>
      </c>
      <c r="C1787" s="41" t="inlineStr">
        <is>
          <t>1362</t>
        </is>
      </c>
      <c r="D1787" s="41" t="inlineStr">
        <is>
          <t>1362</t>
        </is>
      </c>
      <c r="E1787" s="41" t="inlineStr">
        <is>
          <t>0000</t>
        </is>
      </c>
      <c r="F1787" s="42" t="inlineStr">
        <is>
          <t>두산위브(1362)</t>
        </is>
      </c>
      <c r="G1787" s="41" t="inlineStr">
        <is>
          <t>57.1500</t>
        </is>
      </c>
      <c r="H1787" s="41" t="inlineStr">
        <is>
          <t>202601</t>
        </is>
      </c>
      <c r="I1787" s="41" t="inlineStr">
        <is>
          <t>07</t>
        </is>
      </c>
      <c r="J1787" s="41" t="inlineStr">
        <is>
          <t>109,000</t>
        </is>
      </c>
      <c r="K1787" s="41" t="inlineStr">
        <is>
          <t>-</t>
        </is>
      </c>
      <c r="L1787" s="41" t="inlineStr">
        <is>
          <t>5</t>
        </is>
      </c>
      <c r="M1787" s="42" t="inlineStr">
        <is>
          <t>개인</t>
        </is>
      </c>
      <c r="N1787" s="42" t="inlineStr">
        <is>
          <t>개인</t>
        </is>
      </c>
      <c r="O1787" s="41" t="inlineStr">
        <is>
          <t>2005</t>
        </is>
      </c>
      <c r="P1787" s="42" t="inlineStr">
        <is>
          <t>강남대로39길 5</t>
        </is>
      </c>
      <c r="Q1787" s="41" t="inlineStr">
        <is>
          <t>-</t>
        </is>
      </c>
      <c r="R1787" s="42" t="inlineStr">
        <is>
          <t>중개거래</t>
        </is>
      </c>
      <c r="S1787" s="42" t="inlineStr">
        <is>
          <t>서울 서초구</t>
        </is>
      </c>
      <c r="T1787" s="41" t="inlineStr">
        <is>
          <t>-</t>
        </is>
      </c>
      <c r="U1787" s="42" t="inlineStr">
        <is>
          <t>아파트</t>
        </is>
      </c>
    </row>
    <row r="1788" hidden="1" ht="14.25" customHeight="1">
      <c r="A1788" s="41" t="n">
        <v>129</v>
      </c>
      <c r="B1788" s="42" t="inlineStr">
        <is>
          <t>서울특별시 서초구 서초동</t>
        </is>
      </c>
      <c r="C1788" s="41" t="inlineStr">
        <is>
          <t>1346</t>
        </is>
      </c>
      <c r="D1788" s="41" t="inlineStr">
        <is>
          <t>1346</t>
        </is>
      </c>
      <c r="E1788" s="41" t="inlineStr">
        <is>
          <t>0000</t>
        </is>
      </c>
      <c r="F1788" s="42" t="inlineStr">
        <is>
          <t>현대아파트</t>
        </is>
      </c>
      <c r="G1788" s="41" t="inlineStr">
        <is>
          <t>62.0500</t>
        </is>
      </c>
      <c r="H1788" s="41" t="inlineStr">
        <is>
          <t>202601</t>
        </is>
      </c>
      <c r="I1788" s="41" t="inlineStr">
        <is>
          <t>06</t>
        </is>
      </c>
      <c r="J1788" s="41" t="inlineStr">
        <is>
          <t>180,000</t>
        </is>
      </c>
      <c r="K1788" s="41" t="inlineStr">
        <is>
          <t>-</t>
        </is>
      </c>
      <c r="L1788" s="41" t="inlineStr">
        <is>
          <t>5</t>
        </is>
      </c>
      <c r="M1788" s="42" t="inlineStr">
        <is>
          <t>개인</t>
        </is>
      </c>
      <c r="N1788" s="42" t="inlineStr">
        <is>
          <t>개인</t>
        </is>
      </c>
      <c r="O1788" s="41" t="inlineStr">
        <is>
          <t>1989</t>
        </is>
      </c>
      <c r="P1788" s="42" t="inlineStr">
        <is>
          <t>효령로72길 14</t>
        </is>
      </c>
      <c r="Q1788" s="41" t="inlineStr">
        <is>
          <t>-</t>
        </is>
      </c>
      <c r="R1788" s="42" t="inlineStr">
        <is>
          <t>중개거래</t>
        </is>
      </c>
      <c r="S1788" s="42" t="inlineStr">
        <is>
          <t>서울 서초구</t>
        </is>
      </c>
      <c r="T1788" s="41" t="inlineStr">
        <is>
          <t>-</t>
        </is>
      </c>
      <c r="U1788" s="42" t="inlineStr">
        <is>
          <t>아파트</t>
        </is>
      </c>
    </row>
    <row r="1789" hidden="1" ht="14.25" customHeight="1">
      <c r="A1789" s="41" t="n">
        <v>130</v>
      </c>
      <c r="B1789" s="42" t="inlineStr">
        <is>
          <t>서울특별시 서초구 서초동</t>
        </is>
      </c>
      <c r="C1789" s="41" t="inlineStr">
        <is>
          <t>1472-21</t>
        </is>
      </c>
      <c r="D1789" s="41" t="inlineStr">
        <is>
          <t>1472</t>
        </is>
      </c>
      <c r="E1789" s="41" t="inlineStr">
        <is>
          <t>0021</t>
        </is>
      </c>
      <c r="F1789" s="42" t="inlineStr">
        <is>
          <t>새티스2</t>
        </is>
      </c>
      <c r="G1789" s="41" t="inlineStr">
        <is>
          <t>84.4800</t>
        </is>
      </c>
      <c r="H1789" s="41" t="inlineStr">
        <is>
          <t>202601</t>
        </is>
      </c>
      <c r="I1789" s="41" t="inlineStr">
        <is>
          <t>06</t>
        </is>
      </c>
      <c r="J1789" s="41" t="inlineStr">
        <is>
          <t>104,000</t>
        </is>
      </c>
      <c r="K1789" s="41" t="inlineStr">
        <is>
          <t>-</t>
        </is>
      </c>
      <c r="L1789" s="41" t="inlineStr">
        <is>
          <t>2</t>
        </is>
      </c>
      <c r="M1789" s="42" t="inlineStr">
        <is>
          <t>개인</t>
        </is>
      </c>
      <c r="N1789" s="42" t="inlineStr">
        <is>
          <t>개인</t>
        </is>
      </c>
      <c r="O1789" s="41" t="inlineStr">
        <is>
          <t>2002</t>
        </is>
      </c>
      <c r="P1789" s="42" t="inlineStr">
        <is>
          <t>반포대로3길 48</t>
        </is>
      </c>
      <c r="Q1789" s="41" t="inlineStr">
        <is>
          <t>-</t>
        </is>
      </c>
      <c r="R1789" s="42" t="inlineStr">
        <is>
          <t>중개거래</t>
        </is>
      </c>
      <c r="S1789" s="42" t="inlineStr">
        <is>
          <t>서울 강남구, 서울 서초구</t>
        </is>
      </c>
      <c r="T1789" s="41" t="inlineStr">
        <is>
          <t>26.02.25</t>
        </is>
      </c>
      <c r="U1789" s="42" t="inlineStr">
        <is>
          <t>아파트</t>
        </is>
      </c>
    </row>
    <row r="1790" hidden="1" ht="14.25" customHeight="1">
      <c r="A1790" s="41" t="n">
        <v>131</v>
      </c>
      <c r="B1790" s="42" t="inlineStr">
        <is>
          <t>서울특별시 서초구 서초동</t>
        </is>
      </c>
      <c r="C1790" s="41" t="inlineStr">
        <is>
          <t>1582-3</t>
        </is>
      </c>
      <c r="D1790" s="41" t="inlineStr">
        <is>
          <t>1582</t>
        </is>
      </c>
      <c r="E1790" s="41" t="inlineStr">
        <is>
          <t>0003</t>
        </is>
      </c>
      <c r="F1790" s="42" t="inlineStr">
        <is>
          <t>서초센트럴IPARK</t>
        </is>
      </c>
      <c r="G1790" s="41" t="inlineStr">
        <is>
          <t>80.5154</t>
        </is>
      </c>
      <c r="H1790" s="41" t="inlineStr">
        <is>
          <t>202601</t>
        </is>
      </c>
      <c r="I1790" s="41" t="inlineStr">
        <is>
          <t>02</t>
        </is>
      </c>
      <c r="J1790" s="41" t="inlineStr">
        <is>
          <t>203,000</t>
        </is>
      </c>
      <c r="K1790" s="41" t="inlineStr">
        <is>
          <t>-</t>
        </is>
      </c>
      <c r="L1790" s="41" t="inlineStr">
        <is>
          <t>14</t>
        </is>
      </c>
      <c r="M1790" s="42" t="inlineStr">
        <is>
          <t>개인</t>
        </is>
      </c>
      <c r="N1790" s="42" t="inlineStr">
        <is>
          <t>개인</t>
        </is>
      </c>
      <c r="O1790" s="41" t="inlineStr">
        <is>
          <t>2020</t>
        </is>
      </c>
      <c r="P1790" s="42" t="inlineStr">
        <is>
          <t>반포대로18길 36</t>
        </is>
      </c>
      <c r="Q1790" s="41" t="inlineStr">
        <is>
          <t>-</t>
        </is>
      </c>
      <c r="R1790" s="42" t="inlineStr">
        <is>
          <t>중개거래</t>
        </is>
      </c>
      <c r="S1790" s="42" t="inlineStr">
        <is>
          <t>서울 서초구</t>
        </is>
      </c>
      <c r="T1790" s="41" t="inlineStr">
        <is>
          <t>-</t>
        </is>
      </c>
      <c r="U1790" s="42" t="inlineStr">
        <is>
          <t>아파트</t>
        </is>
      </c>
    </row>
    <row r="1791" hidden="1" ht="14.25" customHeight="1">
      <c r="A1791" s="41" t="n">
        <v>132</v>
      </c>
      <c r="B1791" s="42" t="inlineStr">
        <is>
          <t>서울특별시 서초구 서초동</t>
        </is>
      </c>
      <c r="C1791" s="41" t="inlineStr">
        <is>
          <t>1359-50</t>
        </is>
      </c>
      <c r="D1791" s="41" t="inlineStr">
        <is>
          <t>1359</t>
        </is>
      </c>
      <c r="E1791" s="41" t="inlineStr">
        <is>
          <t>0050</t>
        </is>
      </c>
      <c r="F1791" s="42" t="inlineStr">
        <is>
          <t>롯데캐슬쥬피터</t>
        </is>
      </c>
      <c r="G1791" s="41" t="inlineStr">
        <is>
          <t>164.0500</t>
        </is>
      </c>
      <c r="H1791" s="41" t="inlineStr">
        <is>
          <t>202601</t>
        </is>
      </c>
      <c r="I1791" s="41" t="inlineStr">
        <is>
          <t>02</t>
        </is>
      </c>
      <c r="J1791" s="41" t="inlineStr">
        <is>
          <t>255,500</t>
        </is>
      </c>
      <c r="K1791" s="41" t="inlineStr">
        <is>
          <t>102</t>
        </is>
      </c>
      <c r="L1791" s="41" t="inlineStr">
        <is>
          <t>6</t>
        </is>
      </c>
      <c r="M1791" s="42" t="inlineStr">
        <is>
          <t>개인</t>
        </is>
      </c>
      <c r="N1791" s="42" t="inlineStr">
        <is>
          <t>개인</t>
        </is>
      </c>
      <c r="O1791" s="41" t="inlineStr">
        <is>
          <t>2003</t>
        </is>
      </c>
      <c r="P1791" s="42" t="inlineStr">
        <is>
          <t>서운로6길 15-13</t>
        </is>
      </c>
      <c r="Q1791" s="41" t="inlineStr">
        <is>
          <t>-</t>
        </is>
      </c>
      <c r="R1791" s="42" t="inlineStr">
        <is>
          <t>중개거래</t>
        </is>
      </c>
      <c r="S1791" s="42" t="inlineStr">
        <is>
          <t>서울 강남구, 서울 서초구</t>
        </is>
      </c>
      <c r="T1791" s="41" t="inlineStr">
        <is>
          <t>26.03.30</t>
        </is>
      </c>
      <c r="U1791" s="42" t="inlineStr">
        <is>
          <t>아파트</t>
        </is>
      </c>
    </row>
    <row r="1792" hidden="1" ht="14.25" customHeight="1">
      <c r="A1792" s="41" t="n">
        <v>133</v>
      </c>
      <c r="B1792" s="42" t="inlineStr">
        <is>
          <t>서울특별시 서초구 서초동</t>
        </is>
      </c>
      <c r="C1792" s="41" t="inlineStr">
        <is>
          <t>1444-7</t>
        </is>
      </c>
      <c r="D1792" s="41" t="inlineStr">
        <is>
          <t>1444</t>
        </is>
      </c>
      <c r="E1792" s="41" t="inlineStr">
        <is>
          <t>0007</t>
        </is>
      </c>
      <c r="F1792" s="42" t="inlineStr">
        <is>
          <t>서초자이</t>
        </is>
      </c>
      <c r="G1792" s="41" t="inlineStr">
        <is>
          <t>148.8300</t>
        </is>
      </c>
      <c r="H1792" s="41" t="inlineStr">
        <is>
          <t>202601</t>
        </is>
      </c>
      <c r="I1792" s="41" t="inlineStr">
        <is>
          <t>02</t>
        </is>
      </c>
      <c r="J1792" s="41" t="inlineStr">
        <is>
          <t>285,000</t>
        </is>
      </c>
      <c r="K1792" s="41" t="inlineStr">
        <is>
          <t>101</t>
        </is>
      </c>
      <c r="L1792" s="41" t="inlineStr">
        <is>
          <t>15</t>
        </is>
      </c>
      <c r="M1792" s="42" t="inlineStr">
        <is>
          <t>개인</t>
        </is>
      </c>
      <c r="N1792" s="42" t="inlineStr">
        <is>
          <t>개인</t>
        </is>
      </c>
      <c r="O1792" s="41" t="inlineStr">
        <is>
          <t>2006</t>
        </is>
      </c>
      <c r="P1792" s="42" t="inlineStr">
        <is>
          <t>효령로68길 81</t>
        </is>
      </c>
      <c r="Q1792" s="41" t="inlineStr">
        <is>
          <t>-</t>
        </is>
      </c>
      <c r="R1792" s="42" t="inlineStr">
        <is>
          <t>중개거래</t>
        </is>
      </c>
      <c r="S1792" s="42" t="inlineStr">
        <is>
          <t>서울 서초구</t>
        </is>
      </c>
      <c r="T1792" s="41" t="inlineStr">
        <is>
          <t>26.03.10</t>
        </is>
      </c>
      <c r="U1792" s="42" t="inlineStr">
        <is>
          <t>아파트</t>
        </is>
      </c>
    </row>
    <row r="1793" hidden="1" ht="14.25" customHeight="1">
      <c r="A1793" s="41" t="n">
        <v>134</v>
      </c>
      <c r="B1793" s="42" t="inlineStr">
        <is>
          <t>서울특별시 서초구 서초동</t>
        </is>
      </c>
      <c r="C1793" s="41" t="inlineStr">
        <is>
          <t>1445-14</t>
        </is>
      </c>
      <c r="D1793" s="41" t="inlineStr">
        <is>
          <t>1445</t>
        </is>
      </c>
      <c r="E1793" s="41" t="inlineStr">
        <is>
          <t>0014</t>
        </is>
      </c>
      <c r="F1793" s="42" t="inlineStr">
        <is>
          <t>더샵서초</t>
        </is>
      </c>
      <c r="G1793" s="41" t="inlineStr">
        <is>
          <t>33.0600</t>
        </is>
      </c>
      <c r="H1793" s="41" t="inlineStr">
        <is>
          <t>202512</t>
        </is>
      </c>
      <c r="I1793" s="41" t="inlineStr">
        <is>
          <t>31</t>
        </is>
      </c>
      <c r="J1793" s="41" t="inlineStr">
        <is>
          <t>64,000</t>
        </is>
      </c>
      <c r="K1793" s="41" t="inlineStr">
        <is>
          <t>103</t>
        </is>
      </c>
      <c r="L1793" s="41" t="inlineStr">
        <is>
          <t>31</t>
        </is>
      </c>
      <c r="M1793" s="42" t="inlineStr">
        <is>
          <t>개인</t>
        </is>
      </c>
      <c r="N1793" s="42" t="inlineStr">
        <is>
          <t>개인</t>
        </is>
      </c>
      <c r="O1793" s="41" t="inlineStr">
        <is>
          <t>2006</t>
        </is>
      </c>
      <c r="P1793" s="42" t="inlineStr">
        <is>
          <t>서초중앙로2길 21</t>
        </is>
      </c>
      <c r="Q1793" s="41" t="inlineStr">
        <is>
          <t>-</t>
        </is>
      </c>
      <c r="R1793" s="42" t="inlineStr">
        <is>
          <t>중개거래</t>
        </is>
      </c>
      <c r="S1793" s="42" t="inlineStr">
        <is>
          <t>서울 서초구</t>
        </is>
      </c>
      <c r="T1793" s="41" t="inlineStr">
        <is>
          <t>26.03.20</t>
        </is>
      </c>
      <c r="U1793" s="42" t="inlineStr">
        <is>
          <t>아파트</t>
        </is>
      </c>
    </row>
    <row r="1794" hidden="1" ht="14.25" customHeight="1">
      <c r="A1794" s="41" t="n">
        <v>135</v>
      </c>
      <c r="B1794" s="42" t="inlineStr">
        <is>
          <t>서울특별시 서초구 서초동</t>
        </is>
      </c>
      <c r="C1794" s="41" t="inlineStr">
        <is>
          <t>1755</t>
        </is>
      </c>
      <c r="D1794" s="41" t="inlineStr">
        <is>
          <t>1755</t>
        </is>
      </c>
      <c r="E1794" s="41" t="inlineStr">
        <is>
          <t>0000</t>
        </is>
      </c>
      <c r="F1794" s="42" t="inlineStr">
        <is>
          <t>래미안 리더스원</t>
        </is>
      </c>
      <c r="G1794" s="41" t="inlineStr">
        <is>
          <t>114.9400</t>
        </is>
      </c>
      <c r="H1794" s="41" t="inlineStr">
        <is>
          <t>202512</t>
        </is>
      </c>
      <c r="I1794" s="41" t="inlineStr">
        <is>
          <t>31</t>
        </is>
      </c>
      <c r="J1794" s="41" t="inlineStr">
        <is>
          <t>465,000</t>
        </is>
      </c>
      <c r="K1794" s="41" t="inlineStr">
        <is>
          <t>109동</t>
        </is>
      </c>
      <c r="L1794" s="41" t="inlineStr">
        <is>
          <t>16</t>
        </is>
      </c>
      <c r="M1794" s="42" t="inlineStr">
        <is>
          <t>개인</t>
        </is>
      </c>
      <c r="N1794" s="42" t="inlineStr">
        <is>
          <t>개인</t>
        </is>
      </c>
      <c r="O1794" s="41" t="inlineStr">
        <is>
          <t>2020</t>
        </is>
      </c>
      <c r="P1794" s="42" t="inlineStr">
        <is>
          <t>서운로 62</t>
        </is>
      </c>
      <c r="Q1794" s="41" t="inlineStr">
        <is>
          <t>-</t>
        </is>
      </c>
      <c r="R1794" s="42" t="inlineStr">
        <is>
          <t>중개거래</t>
        </is>
      </c>
      <c r="S1794" s="42" t="inlineStr">
        <is>
          <t>서울 서초구</t>
        </is>
      </c>
      <c r="T1794" s="41" t="inlineStr">
        <is>
          <t>26.04.01</t>
        </is>
      </c>
      <c r="U1794" s="42" t="inlineStr">
        <is>
          <t>아파트</t>
        </is>
      </c>
    </row>
    <row r="1795" hidden="1" ht="14.25" customHeight="1">
      <c r="A1795" s="41" t="n">
        <v>136</v>
      </c>
      <c r="B1795" s="42" t="inlineStr">
        <is>
          <t>서울특별시 서초구 서초동</t>
        </is>
      </c>
      <c r="C1795" s="41" t="inlineStr">
        <is>
          <t>1338</t>
        </is>
      </c>
      <c r="D1795" s="41" t="inlineStr">
        <is>
          <t>1338</t>
        </is>
      </c>
      <c r="E1795" s="41" t="inlineStr">
        <is>
          <t>0000</t>
        </is>
      </c>
      <c r="F1795" s="42" t="inlineStr">
        <is>
          <t>현대이에스에이아파트</t>
        </is>
      </c>
      <c r="G1795" s="41" t="inlineStr">
        <is>
          <t>156.7500</t>
        </is>
      </c>
      <c r="H1795" s="41" t="inlineStr">
        <is>
          <t>202512</t>
        </is>
      </c>
      <c r="I1795" s="41" t="inlineStr">
        <is>
          <t>30</t>
        </is>
      </c>
      <c r="J1795" s="41" t="inlineStr">
        <is>
          <t>120,000</t>
        </is>
      </c>
      <c r="K1795" s="41" t="inlineStr">
        <is>
          <t>-</t>
        </is>
      </c>
      <c r="L1795" s="41" t="inlineStr">
        <is>
          <t>12</t>
        </is>
      </c>
      <c r="M1795" s="42" t="inlineStr">
        <is>
          <t>개인</t>
        </is>
      </c>
      <c r="N1795" s="42" t="inlineStr">
        <is>
          <t>개인</t>
        </is>
      </c>
      <c r="O1795" s="41" t="inlineStr">
        <is>
          <t>2002</t>
        </is>
      </c>
      <c r="P1795" s="42" t="inlineStr">
        <is>
          <t>효령로77길 20</t>
        </is>
      </c>
      <c r="Q1795" s="41" t="inlineStr">
        <is>
          <t>-</t>
        </is>
      </c>
      <c r="R1795" s="42" t="inlineStr">
        <is>
          <t>직거래</t>
        </is>
      </c>
      <c r="S1795" s="41" t="inlineStr">
        <is>
          <t>-</t>
        </is>
      </c>
      <c r="T1795" s="41" t="inlineStr">
        <is>
          <t>26.02.13</t>
        </is>
      </c>
      <c r="U1795" s="42" t="inlineStr">
        <is>
          <t>아파트</t>
        </is>
      </c>
    </row>
    <row r="1796" hidden="1" ht="14.25" customHeight="1">
      <c r="A1796" s="41" t="n">
        <v>137</v>
      </c>
      <c r="B1796" s="42" t="inlineStr">
        <is>
          <t>서울특별시 서초구 서초동</t>
        </is>
      </c>
      <c r="C1796" s="41" t="inlineStr">
        <is>
          <t>1445-4</t>
        </is>
      </c>
      <c r="D1796" s="41" t="inlineStr">
        <is>
          <t>1445</t>
        </is>
      </c>
      <c r="E1796" s="41" t="inlineStr">
        <is>
          <t>0004</t>
        </is>
      </c>
      <c r="F1796" s="42" t="inlineStr">
        <is>
          <t>래미안서초유니빌</t>
        </is>
      </c>
      <c r="G1796" s="41" t="inlineStr">
        <is>
          <t>43.6250</t>
        </is>
      </c>
      <c r="H1796" s="41" t="inlineStr">
        <is>
          <t>202512</t>
        </is>
      </c>
      <c r="I1796" s="41" t="inlineStr">
        <is>
          <t>29</t>
        </is>
      </c>
      <c r="J1796" s="41" t="inlineStr">
        <is>
          <t>45,000</t>
        </is>
      </c>
      <c r="K1796" s="42" t="inlineStr">
        <is>
          <t>래미안 서초유니빌</t>
        </is>
      </c>
      <c r="L1796" s="41" t="inlineStr">
        <is>
          <t>17</t>
        </is>
      </c>
      <c r="M1796" s="42" t="inlineStr">
        <is>
          <t>개인</t>
        </is>
      </c>
      <c r="N1796" s="42" t="inlineStr">
        <is>
          <t>개인</t>
        </is>
      </c>
      <c r="O1796" s="41" t="inlineStr">
        <is>
          <t>2003</t>
        </is>
      </c>
      <c r="P1796" s="42" t="inlineStr">
        <is>
          <t>서초중앙로 26</t>
        </is>
      </c>
      <c r="Q1796" s="41" t="inlineStr">
        <is>
          <t>-</t>
        </is>
      </c>
      <c r="R1796" s="42" t="inlineStr">
        <is>
          <t>중개거래</t>
        </is>
      </c>
      <c r="S1796" s="42" t="inlineStr">
        <is>
          <t>서울 서초구</t>
        </is>
      </c>
      <c r="T1796" s="41" t="inlineStr">
        <is>
          <t>26.02.27</t>
        </is>
      </c>
      <c r="U1796" s="42" t="inlineStr">
        <is>
          <t>아파트</t>
        </is>
      </c>
    </row>
    <row r="1797" hidden="1" ht="14.25" customHeight="1">
      <c r="A1797" s="41" t="n">
        <v>138</v>
      </c>
      <c r="B1797" s="42" t="inlineStr">
        <is>
          <t>서울특별시 서초구 서초동</t>
        </is>
      </c>
      <c r="C1797" s="41" t="inlineStr">
        <is>
          <t>1454-29</t>
        </is>
      </c>
      <c r="D1797" s="41" t="inlineStr">
        <is>
          <t>1454</t>
        </is>
      </c>
      <c r="E1797" s="41" t="inlineStr">
        <is>
          <t>0029</t>
        </is>
      </c>
      <c r="F1797" s="42" t="inlineStr">
        <is>
          <t>서초한신</t>
        </is>
      </c>
      <c r="G1797" s="41" t="inlineStr">
        <is>
          <t>95.8600</t>
        </is>
      </c>
      <c r="H1797" s="41" t="inlineStr">
        <is>
          <t>202512</t>
        </is>
      </c>
      <c r="I1797" s="41" t="inlineStr">
        <is>
          <t>29</t>
        </is>
      </c>
      <c r="J1797" s="41" t="inlineStr">
        <is>
          <t>207,500</t>
        </is>
      </c>
      <c r="K1797" s="41" t="inlineStr">
        <is>
          <t>102</t>
        </is>
      </c>
      <c r="L1797" s="41" t="inlineStr">
        <is>
          <t>10</t>
        </is>
      </c>
      <c r="M1797" s="42" t="inlineStr">
        <is>
          <t>개인</t>
        </is>
      </c>
      <c r="N1797" s="42" t="inlineStr">
        <is>
          <t>개인</t>
        </is>
      </c>
      <c r="O1797" s="41" t="inlineStr">
        <is>
          <t>2001</t>
        </is>
      </c>
      <c r="P1797" s="42" t="inlineStr">
        <is>
          <t>남부순환로323길 38-16</t>
        </is>
      </c>
      <c r="Q1797" s="41" t="inlineStr">
        <is>
          <t>-</t>
        </is>
      </c>
      <c r="R1797" s="42" t="inlineStr">
        <is>
          <t>중개거래</t>
        </is>
      </c>
      <c r="S1797" s="42" t="inlineStr">
        <is>
          <t>서울 서초구</t>
        </is>
      </c>
      <c r="T1797" s="41" t="inlineStr">
        <is>
          <t>26.02.27</t>
        </is>
      </c>
      <c r="U1797" s="42" t="inlineStr">
        <is>
          <t>아파트</t>
        </is>
      </c>
    </row>
    <row r="1798" hidden="1" ht="14.25" customHeight="1">
      <c r="A1798" s="41" t="n">
        <v>139</v>
      </c>
      <c r="B1798" s="42" t="inlineStr">
        <is>
          <t>서울특별시 서초구 서초동</t>
        </is>
      </c>
      <c r="C1798" s="41" t="inlineStr">
        <is>
          <t>1327</t>
        </is>
      </c>
      <c r="D1798" s="41" t="inlineStr">
        <is>
          <t>1327</t>
        </is>
      </c>
      <c r="E1798" s="41" t="inlineStr">
        <is>
          <t>0000</t>
        </is>
      </c>
      <c r="F1798" s="42" t="inlineStr">
        <is>
          <t>서초타운트라팰리스</t>
        </is>
      </c>
      <c r="G1798" s="41" t="inlineStr">
        <is>
          <t>103.5600</t>
        </is>
      </c>
      <c r="H1798" s="41" t="inlineStr">
        <is>
          <t>202512</t>
        </is>
      </c>
      <c r="I1798" s="41" t="inlineStr">
        <is>
          <t>29</t>
        </is>
      </c>
      <c r="J1798" s="41" t="inlineStr">
        <is>
          <t>155,000</t>
        </is>
      </c>
      <c r="K1798" s="42" t="inlineStr">
        <is>
          <t>서초 트라팰리스Ⅱ</t>
        </is>
      </c>
      <c r="L1798" s="41" t="inlineStr">
        <is>
          <t>14</t>
        </is>
      </c>
      <c r="M1798" s="42" t="inlineStr">
        <is>
          <t>개인</t>
        </is>
      </c>
      <c r="N1798" s="42" t="inlineStr">
        <is>
          <t>개인</t>
        </is>
      </c>
      <c r="O1798" s="41" t="inlineStr">
        <is>
          <t>2006</t>
        </is>
      </c>
      <c r="P1798" s="42" t="inlineStr">
        <is>
          <t>서초대로74길 23</t>
        </is>
      </c>
      <c r="Q1798" s="41" t="inlineStr">
        <is>
          <t>-</t>
        </is>
      </c>
      <c r="R1798" s="42" t="inlineStr">
        <is>
          <t>중개거래</t>
        </is>
      </c>
      <c r="S1798" s="42" t="inlineStr">
        <is>
          <t>서울 서초구</t>
        </is>
      </c>
      <c r="T1798" s="41" t="inlineStr">
        <is>
          <t>26.03.24</t>
        </is>
      </c>
      <c r="U1798" s="42" t="inlineStr">
        <is>
          <t>아파트</t>
        </is>
      </c>
    </row>
    <row r="1799" hidden="1" ht="14.25" customHeight="1">
      <c r="A1799" s="41" t="n">
        <v>140</v>
      </c>
      <c r="B1799" s="42" t="inlineStr">
        <is>
          <t>서울특별시 서초구 서초동</t>
        </is>
      </c>
      <c r="C1799" s="41" t="inlineStr">
        <is>
          <t>1455-9</t>
        </is>
      </c>
      <c r="D1799" s="41" t="inlineStr">
        <is>
          <t>1455</t>
        </is>
      </c>
      <c r="E1799" s="41" t="inlineStr">
        <is>
          <t>0009</t>
        </is>
      </c>
      <c r="F1799" s="42" t="inlineStr">
        <is>
          <t>경남아너스빌</t>
        </is>
      </c>
      <c r="G1799" s="41" t="inlineStr">
        <is>
          <t>136.2240</t>
        </is>
      </c>
      <c r="H1799" s="41" t="inlineStr">
        <is>
          <t>202512</t>
        </is>
      </c>
      <c r="I1799" s="41" t="inlineStr">
        <is>
          <t>29</t>
        </is>
      </c>
      <c r="J1799" s="41" t="inlineStr">
        <is>
          <t>230,000</t>
        </is>
      </c>
      <c r="K1799" s="41" t="inlineStr">
        <is>
          <t>-</t>
        </is>
      </c>
      <c r="L1799" s="41" t="inlineStr">
        <is>
          <t>11</t>
        </is>
      </c>
      <c r="M1799" s="42" t="inlineStr">
        <is>
          <t>개인</t>
        </is>
      </c>
      <c r="N1799" s="42" t="inlineStr">
        <is>
          <t>개인</t>
        </is>
      </c>
      <c r="O1799" s="41" t="inlineStr">
        <is>
          <t>2005</t>
        </is>
      </c>
      <c r="P1799" s="42" t="inlineStr">
        <is>
          <t>남부순환로323길 56-18</t>
        </is>
      </c>
      <c r="Q1799" s="41" t="inlineStr">
        <is>
          <t>-</t>
        </is>
      </c>
      <c r="R1799" s="42" t="inlineStr">
        <is>
          <t>중개거래</t>
        </is>
      </c>
      <c r="S1799" s="42" t="inlineStr">
        <is>
          <t>서울 서초구</t>
        </is>
      </c>
      <c r="T1799" s="41" t="inlineStr">
        <is>
          <t>-</t>
        </is>
      </c>
      <c r="U1799" s="42" t="inlineStr">
        <is>
          <t>아파트</t>
        </is>
      </c>
    </row>
    <row r="1800" hidden="1" ht="14.25" customHeight="1">
      <c r="A1800" s="41" t="n">
        <v>141</v>
      </c>
      <c r="B1800" s="42" t="inlineStr">
        <is>
          <t>서울특별시 서초구 서초동</t>
        </is>
      </c>
      <c r="C1800" s="41" t="inlineStr">
        <is>
          <t>1757</t>
        </is>
      </c>
      <c r="D1800" s="41" t="inlineStr">
        <is>
          <t>1757</t>
        </is>
      </c>
      <c r="E1800" s="41" t="inlineStr">
        <is>
          <t>0000</t>
        </is>
      </c>
      <c r="F1800" s="42" t="inlineStr">
        <is>
          <t>서초그랑자이</t>
        </is>
      </c>
      <c r="G1800" s="41" t="inlineStr">
        <is>
          <t>100.3100</t>
        </is>
      </c>
      <c r="H1800" s="41" t="inlineStr">
        <is>
          <t>202512</t>
        </is>
      </c>
      <c r="I1800" s="41" t="inlineStr">
        <is>
          <t>27</t>
        </is>
      </c>
      <c r="J1800" s="41" t="inlineStr">
        <is>
          <t>440,000</t>
        </is>
      </c>
      <c r="K1800" s="41" t="inlineStr">
        <is>
          <t>-</t>
        </is>
      </c>
      <c r="L1800" s="41" t="inlineStr">
        <is>
          <t>21</t>
        </is>
      </c>
      <c r="M1800" s="42" t="inlineStr">
        <is>
          <t>개인</t>
        </is>
      </c>
      <c r="N1800" s="42" t="inlineStr">
        <is>
          <t>개인</t>
        </is>
      </c>
      <c r="O1800" s="41" t="inlineStr">
        <is>
          <t>2021</t>
        </is>
      </c>
      <c r="P1800" s="42" t="inlineStr">
        <is>
          <t>효령로 391</t>
        </is>
      </c>
      <c r="Q1800" s="41" t="inlineStr">
        <is>
          <t>-</t>
        </is>
      </c>
      <c r="R1800" s="42" t="inlineStr">
        <is>
          <t>중개거래</t>
        </is>
      </c>
      <c r="S1800" s="42" t="inlineStr">
        <is>
          <t>서울 서초구</t>
        </is>
      </c>
      <c r="T1800" s="41" t="inlineStr">
        <is>
          <t>-</t>
        </is>
      </c>
      <c r="U1800" s="42" t="inlineStr">
        <is>
          <t>아파트</t>
        </is>
      </c>
    </row>
    <row r="1801" hidden="1" ht="14.25" customHeight="1">
      <c r="A1801" s="41" t="n">
        <v>142</v>
      </c>
      <c r="B1801" s="42" t="inlineStr">
        <is>
          <t>서울특별시 서초구 서초동</t>
        </is>
      </c>
      <c r="C1801" s="41" t="inlineStr">
        <is>
          <t>1359-50</t>
        </is>
      </c>
      <c r="D1801" s="41" t="inlineStr">
        <is>
          <t>1359</t>
        </is>
      </c>
      <c r="E1801" s="41" t="inlineStr">
        <is>
          <t>0050</t>
        </is>
      </c>
      <c r="F1801" s="42" t="inlineStr">
        <is>
          <t>롯데캐슬쥬피터</t>
        </is>
      </c>
      <c r="G1801" s="41" t="inlineStr">
        <is>
          <t>164.0500</t>
        </is>
      </c>
      <c r="H1801" s="41" t="inlineStr">
        <is>
          <t>202512</t>
        </is>
      </c>
      <c r="I1801" s="41" t="inlineStr">
        <is>
          <t>27</t>
        </is>
      </c>
      <c r="J1801" s="41" t="inlineStr">
        <is>
          <t>245,000</t>
        </is>
      </c>
      <c r="K1801" s="41" t="inlineStr">
        <is>
          <t>102</t>
        </is>
      </c>
      <c r="L1801" s="41" t="inlineStr">
        <is>
          <t>9</t>
        </is>
      </c>
      <c r="M1801" s="42" t="inlineStr">
        <is>
          <t>개인</t>
        </is>
      </c>
      <c r="N1801" s="42" t="inlineStr">
        <is>
          <t>개인</t>
        </is>
      </c>
      <c r="O1801" s="41" t="inlineStr">
        <is>
          <t>2003</t>
        </is>
      </c>
      <c r="P1801" s="42" t="inlineStr">
        <is>
          <t>서운로6길 15-13</t>
        </is>
      </c>
      <c r="Q1801" s="41" t="inlineStr">
        <is>
          <t>-</t>
        </is>
      </c>
      <c r="R1801" s="42" t="inlineStr">
        <is>
          <t>중개거래</t>
        </is>
      </c>
      <c r="S1801" s="42" t="inlineStr">
        <is>
          <t>서울 서초구</t>
        </is>
      </c>
      <c r="T1801" s="41" t="inlineStr">
        <is>
          <t>26.02.27</t>
        </is>
      </c>
      <c r="U1801" s="42" t="inlineStr">
        <is>
          <t>아파트</t>
        </is>
      </c>
    </row>
    <row r="1802" hidden="1" ht="14.25" customHeight="1">
      <c r="A1802" s="41" t="n">
        <v>143</v>
      </c>
      <c r="B1802" s="42" t="inlineStr">
        <is>
          <t>서울특별시 서초구 서초동</t>
        </is>
      </c>
      <c r="C1802" s="41" t="inlineStr">
        <is>
          <t>1445-4</t>
        </is>
      </c>
      <c r="D1802" s="41" t="inlineStr">
        <is>
          <t>1445</t>
        </is>
      </c>
      <c r="E1802" s="41" t="inlineStr">
        <is>
          <t>0004</t>
        </is>
      </c>
      <c r="F1802" s="42" t="inlineStr">
        <is>
          <t>래미안서초유니빌</t>
        </is>
      </c>
      <c r="G1802" s="41" t="inlineStr">
        <is>
          <t>42.0000</t>
        </is>
      </c>
      <c r="H1802" s="41" t="inlineStr">
        <is>
          <t>202512</t>
        </is>
      </c>
      <c r="I1802" s="41" t="inlineStr">
        <is>
          <t>27</t>
        </is>
      </c>
      <c r="J1802" s="41" t="inlineStr">
        <is>
          <t>46,000</t>
        </is>
      </c>
      <c r="K1802" s="42" t="inlineStr">
        <is>
          <t>래미안 서초유니빌</t>
        </is>
      </c>
      <c r="L1802" s="41" t="inlineStr">
        <is>
          <t>11</t>
        </is>
      </c>
      <c r="M1802" s="42" t="inlineStr">
        <is>
          <t>개인</t>
        </is>
      </c>
      <c r="N1802" s="42" t="inlineStr">
        <is>
          <t>개인</t>
        </is>
      </c>
      <c r="O1802" s="41" t="inlineStr">
        <is>
          <t>2003</t>
        </is>
      </c>
      <c r="P1802" s="42" t="inlineStr">
        <is>
          <t>서초중앙로 26</t>
        </is>
      </c>
      <c r="Q1802" s="41" t="inlineStr">
        <is>
          <t>-</t>
        </is>
      </c>
      <c r="R1802" s="42" t="inlineStr">
        <is>
          <t>중개거래</t>
        </is>
      </c>
      <c r="S1802" s="42" t="inlineStr">
        <is>
          <t>서울 서초구</t>
        </is>
      </c>
      <c r="T1802" s="41" t="inlineStr">
        <is>
          <t>26.03.27</t>
        </is>
      </c>
      <c r="U1802" s="42" t="inlineStr">
        <is>
          <t>아파트</t>
        </is>
      </c>
    </row>
    <row r="1803" hidden="1" ht="14.25" customHeight="1">
      <c r="A1803" s="41" t="n">
        <v>144</v>
      </c>
      <c r="B1803" s="42" t="inlineStr">
        <is>
          <t>서울특별시 서초구 서초동</t>
        </is>
      </c>
      <c r="C1803" s="41" t="inlineStr">
        <is>
          <t>1445-4</t>
        </is>
      </c>
      <c r="D1803" s="41" t="inlineStr">
        <is>
          <t>1445</t>
        </is>
      </c>
      <c r="E1803" s="41" t="inlineStr">
        <is>
          <t>0004</t>
        </is>
      </c>
      <c r="F1803" s="42" t="inlineStr">
        <is>
          <t>래미안서초유니빌</t>
        </is>
      </c>
      <c r="G1803" s="41" t="inlineStr">
        <is>
          <t>45.2530</t>
        </is>
      </c>
      <c r="H1803" s="41" t="inlineStr">
        <is>
          <t>202512</t>
        </is>
      </c>
      <c r="I1803" s="41" t="inlineStr">
        <is>
          <t>27</t>
        </is>
      </c>
      <c r="J1803" s="41" t="inlineStr">
        <is>
          <t>58,000</t>
        </is>
      </c>
      <c r="K1803" s="41" t="inlineStr">
        <is>
          <t>-</t>
        </is>
      </c>
      <c r="L1803" s="41" t="inlineStr">
        <is>
          <t>19</t>
        </is>
      </c>
      <c r="M1803" s="42" t="inlineStr">
        <is>
          <t>개인</t>
        </is>
      </c>
      <c r="N1803" s="42" t="inlineStr">
        <is>
          <t>개인</t>
        </is>
      </c>
      <c r="O1803" s="41" t="inlineStr">
        <is>
          <t>2003</t>
        </is>
      </c>
      <c r="P1803" s="42" t="inlineStr">
        <is>
          <t>서초중앙로 26</t>
        </is>
      </c>
      <c r="Q1803" s="41" t="inlineStr">
        <is>
          <t>-</t>
        </is>
      </c>
      <c r="R1803" s="42" t="inlineStr">
        <is>
          <t>중개거래</t>
        </is>
      </c>
      <c r="S1803" s="42" t="inlineStr">
        <is>
          <t>서울 서초구</t>
        </is>
      </c>
      <c r="T1803" s="41" t="inlineStr">
        <is>
          <t>-</t>
        </is>
      </c>
      <c r="U1803" s="42" t="inlineStr">
        <is>
          <t>아파트</t>
        </is>
      </c>
    </row>
    <row r="1804" hidden="1" ht="14.25" customHeight="1">
      <c r="A1804" s="41" t="n">
        <v>145</v>
      </c>
      <c r="B1804" s="42" t="inlineStr">
        <is>
          <t>서울특별시 서초구 서초동</t>
        </is>
      </c>
      <c r="C1804" s="41" t="inlineStr">
        <is>
          <t>1612-2</t>
        </is>
      </c>
      <c r="D1804" s="41" t="inlineStr">
        <is>
          <t>1612</t>
        </is>
      </c>
      <c r="E1804" s="41" t="inlineStr">
        <is>
          <t>0002</t>
        </is>
      </c>
      <c r="F1804" s="42" t="inlineStr">
        <is>
          <t>서초힐하우스</t>
        </is>
      </c>
      <c r="G1804" s="41" t="inlineStr">
        <is>
          <t>111.9200</t>
        </is>
      </c>
      <c r="H1804" s="41" t="inlineStr">
        <is>
          <t>202512</t>
        </is>
      </c>
      <c r="I1804" s="41" t="inlineStr">
        <is>
          <t>27</t>
        </is>
      </c>
      <c r="J1804" s="41" t="inlineStr">
        <is>
          <t>124,500</t>
        </is>
      </c>
      <c r="K1804" s="41" t="inlineStr">
        <is>
          <t>-</t>
        </is>
      </c>
      <c r="L1804" s="41" t="inlineStr">
        <is>
          <t>1</t>
        </is>
      </c>
      <c r="M1804" s="42" t="inlineStr">
        <is>
          <t>개인</t>
        </is>
      </c>
      <c r="N1804" s="42" t="inlineStr">
        <is>
          <t>개인</t>
        </is>
      </c>
      <c r="O1804" s="41" t="inlineStr">
        <is>
          <t>2002</t>
        </is>
      </c>
      <c r="P1804" s="42" t="inlineStr">
        <is>
          <t>서리풀길 28</t>
        </is>
      </c>
      <c r="Q1804" s="41" t="inlineStr">
        <is>
          <t>-</t>
        </is>
      </c>
      <c r="R1804" s="42" t="inlineStr">
        <is>
          <t>중개거래</t>
        </is>
      </c>
      <c r="S1804" s="42" t="inlineStr">
        <is>
          <t>서울 서초구</t>
        </is>
      </c>
      <c r="T1804" s="41" t="inlineStr">
        <is>
          <t>26.01.28</t>
        </is>
      </c>
      <c r="U1804" s="42" t="inlineStr">
        <is>
          <t>아파트</t>
        </is>
      </c>
    </row>
    <row r="1805" hidden="1" ht="14.25" customHeight="1">
      <c r="A1805" s="41" t="n">
        <v>146</v>
      </c>
      <c r="B1805" s="42" t="inlineStr">
        <is>
          <t>서울특별시 서초구 서초동</t>
        </is>
      </c>
      <c r="C1805" s="41" t="inlineStr">
        <is>
          <t>1315</t>
        </is>
      </c>
      <c r="D1805" s="41" t="inlineStr">
        <is>
          <t>1315</t>
        </is>
      </c>
      <c r="E1805" s="41" t="inlineStr">
        <is>
          <t>0000</t>
        </is>
      </c>
      <c r="F1805" s="42" t="inlineStr">
        <is>
          <t>진흥아파트</t>
        </is>
      </c>
      <c r="G1805" s="41" t="inlineStr">
        <is>
          <t>160.4600</t>
        </is>
      </c>
      <c r="H1805" s="41" t="inlineStr">
        <is>
          <t>202512</t>
        </is>
      </c>
      <c r="I1805" s="41" t="inlineStr">
        <is>
          <t>27</t>
        </is>
      </c>
      <c r="J1805" s="41" t="inlineStr">
        <is>
          <t>439,900</t>
        </is>
      </c>
      <c r="K1805" s="41" t="inlineStr">
        <is>
          <t>6</t>
        </is>
      </c>
      <c r="L1805" s="41" t="inlineStr">
        <is>
          <t>8</t>
        </is>
      </c>
      <c r="M1805" s="42" t="inlineStr">
        <is>
          <t>개인</t>
        </is>
      </c>
      <c r="N1805" s="42" t="inlineStr">
        <is>
          <t>개인</t>
        </is>
      </c>
      <c r="O1805" s="41" t="inlineStr">
        <is>
          <t>1979</t>
        </is>
      </c>
      <c r="P1805" s="42" t="inlineStr">
        <is>
          <t>서초대로 385</t>
        </is>
      </c>
      <c r="Q1805" s="41" t="inlineStr">
        <is>
          <t>-</t>
        </is>
      </c>
      <c r="R1805" s="42" t="inlineStr">
        <is>
          <t>중개거래</t>
        </is>
      </c>
      <c r="S1805" s="42" t="inlineStr">
        <is>
          <t>서울 서초구</t>
        </is>
      </c>
      <c r="T1805" s="41" t="inlineStr">
        <is>
          <t>26.02.27</t>
        </is>
      </c>
      <c r="U1805" s="42" t="inlineStr">
        <is>
          <t>아파트</t>
        </is>
      </c>
    </row>
    <row r="1806" hidden="1" ht="14.25" customHeight="1">
      <c r="A1806" s="41" t="n">
        <v>147</v>
      </c>
      <c r="B1806" s="42" t="inlineStr">
        <is>
          <t>서울특별시 서초구 서초동</t>
        </is>
      </c>
      <c r="C1806" s="41" t="inlineStr">
        <is>
          <t>1467-3</t>
        </is>
      </c>
      <c r="D1806" s="41" t="inlineStr">
        <is>
          <t>1467</t>
        </is>
      </c>
      <c r="E1806" s="41" t="inlineStr">
        <is>
          <t>0003</t>
        </is>
      </c>
      <c r="F1806" s="42" t="inlineStr">
        <is>
          <t>서초대우</t>
        </is>
      </c>
      <c r="G1806" s="41" t="inlineStr">
        <is>
          <t>188.4700</t>
        </is>
      </c>
      <c r="H1806" s="41" t="inlineStr">
        <is>
          <t>202512</t>
        </is>
      </c>
      <c r="I1806" s="41" t="inlineStr">
        <is>
          <t>27</t>
        </is>
      </c>
      <c r="J1806" s="41" t="inlineStr">
        <is>
          <t>248,000</t>
        </is>
      </c>
      <c r="K1806" s="41" t="inlineStr">
        <is>
          <t>-</t>
        </is>
      </c>
      <c r="L1806" s="41" t="inlineStr">
        <is>
          <t>11</t>
        </is>
      </c>
      <c r="M1806" s="42" t="inlineStr">
        <is>
          <t>개인</t>
        </is>
      </c>
      <c r="N1806" s="42" t="inlineStr">
        <is>
          <t>개인</t>
        </is>
      </c>
      <c r="O1806" s="41" t="inlineStr">
        <is>
          <t>2000</t>
        </is>
      </c>
      <c r="P1806" s="42" t="inlineStr">
        <is>
          <t>명달로 20</t>
        </is>
      </c>
      <c r="Q1806" s="41" t="inlineStr">
        <is>
          <t>-</t>
        </is>
      </c>
      <c r="R1806" s="42" t="inlineStr">
        <is>
          <t>중개거래</t>
        </is>
      </c>
      <c r="S1806" s="42" t="inlineStr">
        <is>
          <t>서울 강남구, 서울 서초구</t>
        </is>
      </c>
      <c r="T1806" s="41" t="inlineStr">
        <is>
          <t>-</t>
        </is>
      </c>
      <c r="U1806" s="42" t="inlineStr">
        <is>
          <t>아파트</t>
        </is>
      </c>
    </row>
    <row r="1807" hidden="1" ht="14.25" customHeight="1">
      <c r="A1807" s="41" t="n">
        <v>148</v>
      </c>
      <c r="B1807" s="42" t="inlineStr">
        <is>
          <t>서울특별시 서초구 서초동</t>
        </is>
      </c>
      <c r="C1807" s="41" t="inlineStr">
        <is>
          <t>1445-4</t>
        </is>
      </c>
      <c r="D1807" s="41" t="inlineStr">
        <is>
          <t>1445</t>
        </is>
      </c>
      <c r="E1807" s="41" t="inlineStr">
        <is>
          <t>0004</t>
        </is>
      </c>
      <c r="F1807" s="42" t="inlineStr">
        <is>
          <t>래미안서초유니빌</t>
        </is>
      </c>
      <c r="G1807" s="41" t="inlineStr">
        <is>
          <t>45.2550</t>
        </is>
      </c>
      <c r="H1807" s="41" t="inlineStr">
        <is>
          <t>202512</t>
        </is>
      </c>
      <c r="I1807" s="41" t="inlineStr">
        <is>
          <t>26</t>
        </is>
      </c>
      <c r="J1807" s="41" t="inlineStr">
        <is>
          <t>51,000</t>
        </is>
      </c>
      <c r="K1807" s="41" t="inlineStr">
        <is>
          <t>-</t>
        </is>
      </c>
      <c r="L1807" s="41" t="inlineStr">
        <is>
          <t>14</t>
        </is>
      </c>
      <c r="M1807" s="42" t="inlineStr">
        <is>
          <t>개인</t>
        </is>
      </c>
      <c r="N1807" s="42" t="inlineStr">
        <is>
          <t>개인</t>
        </is>
      </c>
      <c r="O1807" s="41" t="inlineStr">
        <is>
          <t>2003</t>
        </is>
      </c>
      <c r="P1807" s="42" t="inlineStr">
        <is>
          <t>서초중앙로 26</t>
        </is>
      </c>
      <c r="Q1807" s="41" t="inlineStr">
        <is>
          <t>-</t>
        </is>
      </c>
      <c r="R1807" s="42" t="inlineStr">
        <is>
          <t>중개거래</t>
        </is>
      </c>
      <c r="S1807" s="42" t="inlineStr">
        <is>
          <t>서울 서초구</t>
        </is>
      </c>
      <c r="T1807" s="41" t="inlineStr">
        <is>
          <t>-</t>
        </is>
      </c>
      <c r="U1807" s="42" t="inlineStr">
        <is>
          <t>아파트</t>
        </is>
      </c>
    </row>
    <row r="1808" hidden="1" ht="14.25" customHeight="1">
      <c r="A1808" s="41" t="n">
        <v>149</v>
      </c>
      <c r="B1808" s="42" t="inlineStr">
        <is>
          <t>서울특별시 서초구 서초동</t>
        </is>
      </c>
      <c r="C1808" s="41" t="inlineStr">
        <is>
          <t>1445-13</t>
        </is>
      </c>
      <c r="D1808" s="41" t="inlineStr">
        <is>
          <t>1445</t>
        </is>
      </c>
      <c r="E1808" s="41" t="inlineStr">
        <is>
          <t>0013</t>
        </is>
      </c>
      <c r="F1808" s="42" t="inlineStr">
        <is>
          <t>서초쌍용플래티넘</t>
        </is>
      </c>
      <c r="G1808" s="41" t="inlineStr">
        <is>
          <t>56.0000</t>
        </is>
      </c>
      <c r="H1808" s="41" t="inlineStr">
        <is>
          <t>202512</t>
        </is>
      </c>
      <c r="I1808" s="41" t="inlineStr">
        <is>
          <t>23</t>
        </is>
      </c>
      <c r="J1808" s="41" t="inlineStr">
        <is>
          <t>79,500</t>
        </is>
      </c>
      <c r="K1808" s="42" t="inlineStr">
        <is>
          <t>서초쌍용플래티넘</t>
        </is>
      </c>
      <c r="L1808" s="41" t="inlineStr">
        <is>
          <t>16</t>
        </is>
      </c>
      <c r="M1808" s="42" t="inlineStr">
        <is>
          <t>개인</t>
        </is>
      </c>
      <c r="N1808" s="42" t="inlineStr">
        <is>
          <t>법인</t>
        </is>
      </c>
      <c r="O1808" s="41" t="inlineStr">
        <is>
          <t>2006</t>
        </is>
      </c>
      <c r="P1808" s="42" t="inlineStr">
        <is>
          <t>서초중앙로 18</t>
        </is>
      </c>
      <c r="Q1808" s="41" t="inlineStr">
        <is>
          <t>-</t>
        </is>
      </c>
      <c r="R1808" s="42" t="inlineStr">
        <is>
          <t>중개거래</t>
        </is>
      </c>
      <c r="S1808" s="42" t="inlineStr">
        <is>
          <t>서울 서초구</t>
        </is>
      </c>
      <c r="T1808" s="41" t="inlineStr">
        <is>
          <t>26.02.20</t>
        </is>
      </c>
      <c r="U1808" s="42" t="inlineStr">
        <is>
          <t>아파트</t>
        </is>
      </c>
    </row>
    <row r="1809" hidden="1" ht="14.25" customHeight="1">
      <c r="A1809" s="41" t="n">
        <v>150</v>
      </c>
      <c r="B1809" s="42" t="inlineStr">
        <is>
          <t>서울특별시 서초구 서초동</t>
        </is>
      </c>
      <c r="C1809" s="41" t="inlineStr">
        <is>
          <t>1363-25</t>
        </is>
      </c>
      <c r="D1809" s="41" t="inlineStr">
        <is>
          <t>1363</t>
        </is>
      </c>
      <c r="E1809" s="41" t="inlineStr">
        <is>
          <t>0025</t>
        </is>
      </c>
      <c r="F1809" s="42" t="inlineStr">
        <is>
          <t>한라비발디스튜디오193</t>
        </is>
      </c>
      <c r="G1809" s="41" t="inlineStr">
        <is>
          <t>19.9900</t>
        </is>
      </c>
      <c r="H1809" s="41" t="inlineStr">
        <is>
          <t>202512</t>
        </is>
      </c>
      <c r="I1809" s="41" t="inlineStr">
        <is>
          <t>22</t>
        </is>
      </c>
      <c r="J1809" s="41" t="inlineStr">
        <is>
          <t>25,500</t>
        </is>
      </c>
      <c r="K1809" s="42" t="inlineStr">
        <is>
          <t>한라비발디스튜디오193</t>
        </is>
      </c>
      <c r="L1809" s="41" t="inlineStr">
        <is>
          <t>6</t>
        </is>
      </c>
      <c r="M1809" s="42" t="inlineStr">
        <is>
          <t>개인</t>
        </is>
      </c>
      <c r="N1809" s="42" t="inlineStr">
        <is>
          <t>개인</t>
        </is>
      </c>
      <c r="O1809" s="41" t="inlineStr">
        <is>
          <t>2013</t>
        </is>
      </c>
      <c r="P1809" s="42" t="inlineStr">
        <is>
          <t>강남대로39길 15-10</t>
        </is>
      </c>
      <c r="Q1809" s="41" t="inlineStr">
        <is>
          <t>-</t>
        </is>
      </c>
      <c r="R1809" s="42" t="inlineStr">
        <is>
          <t>중개거래</t>
        </is>
      </c>
      <c r="S1809" s="42" t="inlineStr">
        <is>
          <t>서울 서초구</t>
        </is>
      </c>
      <c r="T1809" s="41" t="inlineStr">
        <is>
          <t>26.03.31</t>
        </is>
      </c>
      <c r="U1809" s="42" t="inlineStr">
        <is>
          <t>아파트</t>
        </is>
      </c>
    </row>
    <row r="1810" hidden="1" ht="14.25" customHeight="1">
      <c r="A1810" s="41" t="n">
        <v>151</v>
      </c>
      <c r="B1810" s="42" t="inlineStr">
        <is>
          <t>서울특별시 서초구 서초동</t>
        </is>
      </c>
      <c r="C1810" s="41" t="inlineStr">
        <is>
          <t>1675-11</t>
        </is>
      </c>
      <c r="D1810" s="41" t="inlineStr">
        <is>
          <t>1675</t>
        </is>
      </c>
      <c r="E1810" s="41" t="inlineStr">
        <is>
          <t>0011</t>
        </is>
      </c>
      <c r="F1810" s="42" t="inlineStr">
        <is>
          <t>서초대우아이빌</t>
        </is>
      </c>
      <c r="G1810" s="41" t="inlineStr">
        <is>
          <t>35.3070</t>
        </is>
      </c>
      <c r="H1810" s="41" t="inlineStr">
        <is>
          <t>202512</t>
        </is>
      </c>
      <c r="I1810" s="41" t="inlineStr">
        <is>
          <t>22</t>
        </is>
      </c>
      <c r="J1810" s="41" t="inlineStr">
        <is>
          <t>31,000</t>
        </is>
      </c>
      <c r="K1810" s="42" t="inlineStr">
        <is>
          <t>서초 대우아이빌</t>
        </is>
      </c>
      <c r="L1810" s="41" t="inlineStr">
        <is>
          <t>10</t>
        </is>
      </c>
      <c r="M1810" s="42" t="inlineStr">
        <is>
          <t>개인</t>
        </is>
      </c>
      <c r="N1810" s="42" t="inlineStr">
        <is>
          <t>개인</t>
        </is>
      </c>
      <c r="O1810" s="41" t="inlineStr">
        <is>
          <t>2003</t>
        </is>
      </c>
      <c r="P1810" s="42" t="inlineStr">
        <is>
          <t>서초대로58길 10</t>
        </is>
      </c>
      <c r="Q1810" s="41" t="inlineStr">
        <is>
          <t>-</t>
        </is>
      </c>
      <c r="R1810" s="42" t="inlineStr">
        <is>
          <t>직거래</t>
        </is>
      </c>
      <c r="S1810" s="41" t="inlineStr">
        <is>
          <t>-</t>
        </is>
      </c>
      <c r="T1810" s="41" t="inlineStr">
        <is>
          <t>25.12.31</t>
        </is>
      </c>
      <c r="U1810" s="42" t="inlineStr">
        <is>
          <t>아파트</t>
        </is>
      </c>
    </row>
    <row r="1811" hidden="1" ht="14.25" customHeight="1">
      <c r="A1811" s="41" t="n">
        <v>152</v>
      </c>
      <c r="B1811" s="42" t="inlineStr">
        <is>
          <t>서울특별시 서초구 서초동</t>
        </is>
      </c>
      <c r="C1811" s="41" t="inlineStr">
        <is>
          <t>1332-13</t>
        </is>
      </c>
      <c r="D1811" s="41" t="inlineStr">
        <is>
          <t>1332</t>
        </is>
      </c>
      <c r="E1811" s="41" t="inlineStr">
        <is>
          <t>0013</t>
        </is>
      </c>
      <c r="F1811" s="42" t="inlineStr">
        <is>
          <t>래미안서초에스티지</t>
        </is>
      </c>
      <c r="G1811" s="41" t="inlineStr">
        <is>
          <t>101.5500</t>
        </is>
      </c>
      <c r="H1811" s="41" t="inlineStr">
        <is>
          <t>202512</t>
        </is>
      </c>
      <c r="I1811" s="41" t="inlineStr">
        <is>
          <t>22</t>
        </is>
      </c>
      <c r="J1811" s="41" t="inlineStr">
        <is>
          <t>383,000</t>
        </is>
      </c>
      <c r="K1811" s="41" t="inlineStr">
        <is>
          <t>103동</t>
        </is>
      </c>
      <c r="L1811" s="41" t="inlineStr">
        <is>
          <t>21</t>
        </is>
      </c>
      <c r="M1811" s="42" t="inlineStr">
        <is>
          <t>개인</t>
        </is>
      </c>
      <c r="N1811" s="42" t="inlineStr">
        <is>
          <t>개인</t>
        </is>
      </c>
      <c r="O1811" s="41" t="inlineStr">
        <is>
          <t>2016</t>
        </is>
      </c>
      <c r="P1811" s="42" t="inlineStr">
        <is>
          <t>서운로 107</t>
        </is>
      </c>
      <c r="Q1811" s="41" t="inlineStr">
        <is>
          <t>-</t>
        </is>
      </c>
      <c r="R1811" s="42" t="inlineStr">
        <is>
          <t>중개거래</t>
        </is>
      </c>
      <c r="S1811" s="42" t="inlineStr">
        <is>
          <t>서울 서초구</t>
        </is>
      </c>
      <c r="T1811" s="41" t="inlineStr">
        <is>
          <t>26.02.25</t>
        </is>
      </c>
      <c r="U1811" s="42" t="inlineStr">
        <is>
          <t>아파트</t>
        </is>
      </c>
    </row>
    <row r="1812" hidden="1" ht="14.25" customHeight="1">
      <c r="A1812" s="41" t="n">
        <v>153</v>
      </c>
      <c r="B1812" s="42" t="inlineStr">
        <is>
          <t>서울특별시 서초구 서초동</t>
        </is>
      </c>
      <c r="C1812" s="41" t="inlineStr">
        <is>
          <t>1347-20</t>
        </is>
      </c>
      <c r="D1812" s="41" t="inlineStr">
        <is>
          <t>1347</t>
        </is>
      </c>
      <c r="E1812" s="41" t="inlineStr">
        <is>
          <t>0020</t>
        </is>
      </c>
      <c r="F1812" s="42" t="inlineStr">
        <is>
          <t>서초벽산블루밍</t>
        </is>
      </c>
      <c r="G1812" s="41" t="inlineStr">
        <is>
          <t>84.3900</t>
        </is>
      </c>
      <c r="H1812" s="41" t="inlineStr">
        <is>
          <t>202512</t>
        </is>
      </c>
      <c r="I1812" s="41" t="inlineStr">
        <is>
          <t>22</t>
        </is>
      </c>
      <c r="J1812" s="41" t="inlineStr">
        <is>
          <t>194,000</t>
        </is>
      </c>
      <c r="K1812" s="41" t="inlineStr">
        <is>
          <t>101</t>
        </is>
      </c>
      <c r="L1812" s="41" t="inlineStr">
        <is>
          <t>11</t>
        </is>
      </c>
      <c r="M1812" s="42" t="inlineStr">
        <is>
          <t>개인</t>
        </is>
      </c>
      <c r="N1812" s="42" t="inlineStr">
        <is>
          <t>개인</t>
        </is>
      </c>
      <c r="O1812" s="41" t="inlineStr">
        <is>
          <t>2006</t>
        </is>
      </c>
      <c r="P1812" s="42" t="inlineStr">
        <is>
          <t>효령로74길 56</t>
        </is>
      </c>
      <c r="Q1812" s="41" t="inlineStr">
        <is>
          <t>-</t>
        </is>
      </c>
      <c r="R1812" s="42" t="inlineStr">
        <is>
          <t>중개거래</t>
        </is>
      </c>
      <c r="S1812" s="42" t="inlineStr">
        <is>
          <t>서울 서초구</t>
        </is>
      </c>
      <c r="T1812" s="41" t="inlineStr">
        <is>
          <t>26.02.23</t>
        </is>
      </c>
      <c r="U1812" s="42" t="inlineStr">
        <is>
          <t>아파트</t>
        </is>
      </c>
    </row>
    <row r="1813" hidden="1" ht="14.25" customHeight="1">
      <c r="A1813" s="41" t="n">
        <v>154</v>
      </c>
      <c r="B1813" s="42" t="inlineStr">
        <is>
          <t>서울특별시 서초구 서초동</t>
        </is>
      </c>
      <c r="C1813" s="41" t="inlineStr">
        <is>
          <t>1675-11</t>
        </is>
      </c>
      <c r="D1813" s="41" t="inlineStr">
        <is>
          <t>1675</t>
        </is>
      </c>
      <c r="E1813" s="41" t="inlineStr">
        <is>
          <t>0011</t>
        </is>
      </c>
      <c r="F1813" s="42" t="inlineStr">
        <is>
          <t>서초대우아이빌</t>
        </is>
      </c>
      <c r="G1813" s="41" t="inlineStr">
        <is>
          <t>32.6470</t>
        </is>
      </c>
      <c r="H1813" s="41" t="inlineStr">
        <is>
          <t>202512</t>
        </is>
      </c>
      <c r="I1813" s="41" t="inlineStr">
        <is>
          <t>20</t>
        </is>
      </c>
      <c r="J1813" s="41" t="inlineStr">
        <is>
          <t>29,500</t>
        </is>
      </c>
      <c r="K1813" s="42" t="inlineStr">
        <is>
          <t>서초 대우아이빌</t>
        </is>
      </c>
      <c r="L1813" s="41" t="inlineStr">
        <is>
          <t>11</t>
        </is>
      </c>
      <c r="M1813" s="42" t="inlineStr">
        <is>
          <t>개인</t>
        </is>
      </c>
      <c r="N1813" s="42" t="inlineStr">
        <is>
          <t>개인</t>
        </is>
      </c>
      <c r="O1813" s="41" t="inlineStr">
        <is>
          <t>2003</t>
        </is>
      </c>
      <c r="P1813" s="42" t="inlineStr">
        <is>
          <t>서초대로58길 10</t>
        </is>
      </c>
      <c r="Q1813" s="41" t="inlineStr">
        <is>
          <t>-</t>
        </is>
      </c>
      <c r="R1813" s="42" t="inlineStr">
        <is>
          <t>중개거래</t>
        </is>
      </c>
      <c r="S1813" s="42" t="inlineStr">
        <is>
          <t>서울 서초구</t>
        </is>
      </c>
      <c r="T1813" s="41" t="inlineStr">
        <is>
          <t>25.12.29</t>
        </is>
      </c>
      <c r="U1813" s="42" t="inlineStr">
        <is>
          <t>아파트</t>
        </is>
      </c>
    </row>
    <row r="1814" hidden="1" ht="14.25" customHeight="1">
      <c r="A1814" s="41" t="n">
        <v>155</v>
      </c>
      <c r="B1814" s="42" t="inlineStr">
        <is>
          <t>서울특별시 서초구 서초동</t>
        </is>
      </c>
      <c r="C1814" s="41" t="inlineStr">
        <is>
          <t>1754</t>
        </is>
      </c>
      <c r="D1814" s="41" t="inlineStr">
        <is>
          <t>1754</t>
        </is>
      </c>
      <c r="E1814" s="41" t="inlineStr">
        <is>
          <t>0000</t>
        </is>
      </c>
      <c r="F1814" s="42" t="inlineStr">
        <is>
          <t>래미안서초에스티지S</t>
        </is>
      </c>
      <c r="G1814" s="41" t="inlineStr">
        <is>
          <t>84.9600</t>
        </is>
      </c>
      <c r="H1814" s="41" t="inlineStr">
        <is>
          <t>202512</t>
        </is>
      </c>
      <c r="I1814" s="41" t="inlineStr">
        <is>
          <t>20</t>
        </is>
      </c>
      <c r="J1814" s="41" t="inlineStr">
        <is>
          <t>340,500</t>
        </is>
      </c>
      <c r="K1814" s="41" t="inlineStr">
        <is>
          <t>203</t>
        </is>
      </c>
      <c r="L1814" s="41" t="inlineStr">
        <is>
          <t>4</t>
        </is>
      </c>
      <c r="M1814" s="42" t="inlineStr">
        <is>
          <t>개인</t>
        </is>
      </c>
      <c r="N1814" s="42" t="inlineStr">
        <is>
          <t>개인</t>
        </is>
      </c>
      <c r="O1814" s="41" t="inlineStr">
        <is>
          <t>2018</t>
        </is>
      </c>
      <c r="P1814" s="42" t="inlineStr">
        <is>
          <t>서운로 104</t>
        </is>
      </c>
      <c r="Q1814" s="41" t="inlineStr">
        <is>
          <t>-</t>
        </is>
      </c>
      <c r="R1814" s="42" t="inlineStr">
        <is>
          <t>중개거래</t>
        </is>
      </c>
      <c r="S1814" s="42" t="inlineStr">
        <is>
          <t>서울 서초구</t>
        </is>
      </c>
      <c r="T1814" s="41" t="inlineStr">
        <is>
          <t>26.02.23</t>
        </is>
      </c>
      <c r="U1814" s="42" t="inlineStr">
        <is>
          <t>아파트</t>
        </is>
      </c>
    </row>
    <row r="1815" hidden="1" ht="14.25" customHeight="1">
      <c r="A1815" s="41" t="n">
        <v>156</v>
      </c>
      <c r="B1815" s="42" t="inlineStr">
        <is>
          <t>서울특별시 서초구 서초동</t>
        </is>
      </c>
      <c r="C1815" s="41" t="inlineStr">
        <is>
          <t>1677-1</t>
        </is>
      </c>
      <c r="D1815" s="41" t="inlineStr">
        <is>
          <t>1677</t>
        </is>
      </c>
      <c r="E1815" s="41" t="inlineStr">
        <is>
          <t>0001</t>
        </is>
      </c>
      <c r="F1815" s="42" t="inlineStr">
        <is>
          <t>브라운스톤서초(1677-1)</t>
        </is>
      </c>
      <c r="G1815" s="41" t="inlineStr">
        <is>
          <t>80.0900</t>
        </is>
      </c>
      <c r="H1815" s="41" t="inlineStr">
        <is>
          <t>202512</t>
        </is>
      </c>
      <c r="I1815" s="41" t="inlineStr">
        <is>
          <t>19</t>
        </is>
      </c>
      <c r="J1815" s="41" t="inlineStr">
        <is>
          <t>150,000</t>
        </is>
      </c>
      <c r="K1815" s="42" t="inlineStr">
        <is>
          <t>브라운스톤</t>
        </is>
      </c>
      <c r="L1815" s="41" t="inlineStr">
        <is>
          <t>10</t>
        </is>
      </c>
      <c r="M1815" s="42" t="inlineStr">
        <is>
          <t>개인</t>
        </is>
      </c>
      <c r="N1815" s="42" t="inlineStr">
        <is>
          <t>개인</t>
        </is>
      </c>
      <c r="O1815" s="41" t="inlineStr">
        <is>
          <t>2006</t>
        </is>
      </c>
      <c r="P1815" s="42" t="inlineStr">
        <is>
          <t>서초대로 334</t>
        </is>
      </c>
      <c r="Q1815" s="41" t="inlineStr">
        <is>
          <t>-</t>
        </is>
      </c>
      <c r="R1815" s="42" t="inlineStr">
        <is>
          <t>중개거래</t>
        </is>
      </c>
      <c r="S1815" s="42" t="inlineStr">
        <is>
          <t>서울 서초구</t>
        </is>
      </c>
      <c r="T1815" s="41" t="inlineStr">
        <is>
          <t>26.02.10</t>
        </is>
      </c>
      <c r="U1815" s="42" t="inlineStr">
        <is>
          <t>아파트</t>
        </is>
      </c>
    </row>
    <row r="1816" hidden="1" ht="14.25" customHeight="1">
      <c r="A1816" s="41" t="n">
        <v>157</v>
      </c>
      <c r="B1816" s="42" t="inlineStr">
        <is>
          <t>서울특별시 서초구 서초동</t>
        </is>
      </c>
      <c r="C1816" s="41" t="inlineStr">
        <is>
          <t>1445-4</t>
        </is>
      </c>
      <c r="D1816" s="41" t="inlineStr">
        <is>
          <t>1445</t>
        </is>
      </c>
      <c r="E1816" s="41" t="inlineStr">
        <is>
          <t>0004</t>
        </is>
      </c>
      <c r="F1816" s="42" t="inlineStr">
        <is>
          <t>래미안서초유니빌</t>
        </is>
      </c>
      <c r="G1816" s="41" t="inlineStr">
        <is>
          <t>42.0000</t>
        </is>
      </c>
      <c r="H1816" s="41" t="inlineStr">
        <is>
          <t>202512</t>
        </is>
      </c>
      <c r="I1816" s="41" t="inlineStr">
        <is>
          <t>19</t>
        </is>
      </c>
      <c r="J1816" s="41" t="inlineStr">
        <is>
          <t>44,000</t>
        </is>
      </c>
      <c r="K1816" s="42" t="inlineStr">
        <is>
          <t>래미안 서초유니빌</t>
        </is>
      </c>
      <c r="L1816" s="41" t="inlineStr">
        <is>
          <t>12</t>
        </is>
      </c>
      <c r="M1816" s="42" t="inlineStr">
        <is>
          <t>개인</t>
        </is>
      </c>
      <c r="N1816" s="42" t="inlineStr">
        <is>
          <t>개인</t>
        </is>
      </c>
      <c r="O1816" s="41" t="inlineStr">
        <is>
          <t>2003</t>
        </is>
      </c>
      <c r="P1816" s="42" t="inlineStr">
        <is>
          <t>서초중앙로 26</t>
        </is>
      </c>
      <c r="Q1816" s="41" t="inlineStr">
        <is>
          <t>-</t>
        </is>
      </c>
      <c r="R1816" s="42" t="inlineStr">
        <is>
          <t>중개거래</t>
        </is>
      </c>
      <c r="S1816" s="42" t="inlineStr">
        <is>
          <t>서울 서초구</t>
        </is>
      </c>
      <c r="T1816" s="41" t="inlineStr">
        <is>
          <t>26.03.06</t>
        </is>
      </c>
      <c r="U1816" s="42" t="inlineStr">
        <is>
          <t>아파트</t>
        </is>
      </c>
    </row>
    <row r="1817" hidden="1" ht="14.25" customHeight="1">
      <c r="A1817" s="41" t="n">
        <v>158</v>
      </c>
      <c r="B1817" s="42" t="inlineStr">
        <is>
          <t>서울특별시 서초구 서초동</t>
        </is>
      </c>
      <c r="C1817" s="41" t="inlineStr">
        <is>
          <t>1445-4</t>
        </is>
      </c>
      <c r="D1817" s="41" t="inlineStr">
        <is>
          <t>1445</t>
        </is>
      </c>
      <c r="E1817" s="41" t="inlineStr">
        <is>
          <t>0004</t>
        </is>
      </c>
      <c r="F1817" s="42" t="inlineStr">
        <is>
          <t>래미안서초유니빌</t>
        </is>
      </c>
      <c r="G1817" s="41" t="inlineStr">
        <is>
          <t>56.3440</t>
        </is>
      </c>
      <c r="H1817" s="41" t="inlineStr">
        <is>
          <t>202512</t>
        </is>
      </c>
      <c r="I1817" s="41" t="inlineStr">
        <is>
          <t>19</t>
        </is>
      </c>
      <c r="J1817" s="41" t="inlineStr">
        <is>
          <t>66,000</t>
        </is>
      </c>
      <c r="K1817" s="42" t="inlineStr">
        <is>
          <t>래미안 서초유니빌</t>
        </is>
      </c>
      <c r="L1817" s="41" t="inlineStr">
        <is>
          <t>11</t>
        </is>
      </c>
      <c r="M1817" s="42" t="inlineStr">
        <is>
          <t>개인</t>
        </is>
      </c>
      <c r="N1817" s="42" t="inlineStr">
        <is>
          <t>개인</t>
        </is>
      </c>
      <c r="O1817" s="41" t="inlineStr">
        <is>
          <t>2003</t>
        </is>
      </c>
      <c r="P1817" s="42" t="inlineStr">
        <is>
          <t>서초중앙로 26</t>
        </is>
      </c>
      <c r="Q1817" s="41" t="inlineStr">
        <is>
          <t>-</t>
        </is>
      </c>
      <c r="R1817" s="42" t="inlineStr">
        <is>
          <t>중개거래</t>
        </is>
      </c>
      <c r="S1817" s="42" t="inlineStr">
        <is>
          <t>서울 서초구</t>
        </is>
      </c>
      <c r="T1817" s="41" t="inlineStr">
        <is>
          <t>26.02.26</t>
        </is>
      </c>
      <c r="U1817" s="42" t="inlineStr">
        <is>
          <t>아파트</t>
        </is>
      </c>
    </row>
    <row r="1818" hidden="1" ht="14.25" customHeight="1">
      <c r="A1818" s="41" t="n">
        <v>159</v>
      </c>
      <c r="B1818" s="42" t="inlineStr">
        <is>
          <t>서울특별시 서초구 서초동</t>
        </is>
      </c>
      <c r="C1818" s="41" t="inlineStr">
        <is>
          <t>1754</t>
        </is>
      </c>
      <c r="D1818" s="41" t="inlineStr">
        <is>
          <t>1754</t>
        </is>
      </c>
      <c r="E1818" s="41" t="inlineStr">
        <is>
          <t>0000</t>
        </is>
      </c>
      <c r="F1818" s="42" t="inlineStr">
        <is>
          <t>래미안서초에스티지S</t>
        </is>
      </c>
      <c r="G1818" s="41" t="inlineStr">
        <is>
          <t>84.9600</t>
        </is>
      </c>
      <c r="H1818" s="41" t="inlineStr">
        <is>
          <t>202512</t>
        </is>
      </c>
      <c r="I1818" s="41" t="inlineStr">
        <is>
          <t>19</t>
        </is>
      </c>
      <c r="J1818" s="41" t="inlineStr">
        <is>
          <t>366,000</t>
        </is>
      </c>
      <c r="K1818" s="41" t="inlineStr">
        <is>
          <t>203</t>
        </is>
      </c>
      <c r="L1818" s="41" t="inlineStr">
        <is>
          <t>20</t>
        </is>
      </c>
      <c r="M1818" s="42" t="inlineStr">
        <is>
          <t>개인</t>
        </is>
      </c>
      <c r="N1818" s="42" t="inlineStr">
        <is>
          <t>개인</t>
        </is>
      </c>
      <c r="O1818" s="41" t="inlineStr">
        <is>
          <t>2018</t>
        </is>
      </c>
      <c r="P1818" s="42" t="inlineStr">
        <is>
          <t>서운로 104</t>
        </is>
      </c>
      <c r="Q1818" s="41" t="inlineStr">
        <is>
          <t>-</t>
        </is>
      </c>
      <c r="R1818" s="42" t="inlineStr">
        <is>
          <t>중개거래</t>
        </is>
      </c>
      <c r="S1818" s="42" t="inlineStr">
        <is>
          <t>서울 서초구</t>
        </is>
      </c>
      <c r="T1818" s="41" t="inlineStr">
        <is>
          <t>26.02.06</t>
        </is>
      </c>
      <c r="U1818" s="42" t="inlineStr">
        <is>
          <t>아파트</t>
        </is>
      </c>
    </row>
    <row r="1819" hidden="1" ht="14.25" customHeight="1">
      <c r="A1819" s="41" t="n">
        <v>160</v>
      </c>
      <c r="B1819" s="42" t="inlineStr">
        <is>
          <t>서울특별시 서초구 서초동</t>
        </is>
      </c>
      <c r="C1819" s="41" t="inlineStr">
        <is>
          <t>1315</t>
        </is>
      </c>
      <c r="D1819" s="41" t="inlineStr">
        <is>
          <t>1315</t>
        </is>
      </c>
      <c r="E1819" s="41" t="inlineStr">
        <is>
          <t>0000</t>
        </is>
      </c>
      <c r="F1819" s="42" t="inlineStr">
        <is>
          <t>진흥아파트</t>
        </is>
      </c>
      <c r="G1819" s="41" t="inlineStr">
        <is>
          <t>101.3200</t>
        </is>
      </c>
      <c r="H1819" s="41" t="inlineStr">
        <is>
          <t>202512</t>
        </is>
      </c>
      <c r="I1819" s="41" t="inlineStr">
        <is>
          <t>18</t>
        </is>
      </c>
      <c r="J1819" s="41" t="inlineStr">
        <is>
          <t>335,000</t>
        </is>
      </c>
      <c r="K1819" s="41" t="inlineStr">
        <is>
          <t>3</t>
        </is>
      </c>
      <c r="L1819" s="41" t="inlineStr">
        <is>
          <t>11</t>
        </is>
      </c>
      <c r="M1819" s="42" t="inlineStr">
        <is>
          <t>개인</t>
        </is>
      </c>
      <c r="N1819" s="42" t="inlineStr">
        <is>
          <t>개인</t>
        </is>
      </c>
      <c r="O1819" s="41" t="inlineStr">
        <is>
          <t>1979</t>
        </is>
      </c>
      <c r="P1819" s="42" t="inlineStr">
        <is>
          <t>서초대로 385</t>
        </is>
      </c>
      <c r="Q1819" s="41" t="inlineStr">
        <is>
          <t>-</t>
        </is>
      </c>
      <c r="R1819" s="42" t="inlineStr">
        <is>
          <t>중개거래</t>
        </is>
      </c>
      <c r="S1819" s="42" t="inlineStr">
        <is>
          <t>서울 서초구</t>
        </is>
      </c>
      <c r="T1819" s="41" t="inlineStr">
        <is>
          <t>26.03.20</t>
        </is>
      </c>
      <c r="U1819" s="42" t="inlineStr">
        <is>
          <t>아파트</t>
        </is>
      </c>
    </row>
    <row r="1820" hidden="1" ht="14.25" customHeight="1">
      <c r="A1820" s="41" t="n">
        <v>161</v>
      </c>
      <c r="B1820" s="42" t="inlineStr">
        <is>
          <t>서울특별시 서초구 서초동</t>
        </is>
      </c>
      <c r="C1820" s="41" t="inlineStr">
        <is>
          <t>1757</t>
        </is>
      </c>
      <c r="D1820" s="41" t="inlineStr">
        <is>
          <t>1757</t>
        </is>
      </c>
      <c r="E1820" s="41" t="inlineStr">
        <is>
          <t>0000</t>
        </is>
      </c>
      <c r="F1820" s="42" t="inlineStr">
        <is>
          <t>서초그랑자이</t>
        </is>
      </c>
      <c r="G1820" s="41" t="inlineStr">
        <is>
          <t>100.3100</t>
        </is>
      </c>
      <c r="H1820" s="41" t="inlineStr">
        <is>
          <t>202512</t>
        </is>
      </c>
      <c r="I1820" s="41" t="inlineStr">
        <is>
          <t>17</t>
        </is>
      </c>
      <c r="J1820" s="41" t="inlineStr">
        <is>
          <t>430,000</t>
        </is>
      </c>
      <c r="K1820" s="41" t="inlineStr">
        <is>
          <t>108동</t>
        </is>
      </c>
      <c r="L1820" s="41" t="inlineStr">
        <is>
          <t>27</t>
        </is>
      </c>
      <c r="M1820" s="42" t="inlineStr">
        <is>
          <t>개인</t>
        </is>
      </c>
      <c r="N1820" s="42" t="inlineStr">
        <is>
          <t>개인</t>
        </is>
      </c>
      <c r="O1820" s="41" t="inlineStr">
        <is>
          <t>2021</t>
        </is>
      </c>
      <c r="P1820" s="42" t="inlineStr">
        <is>
          <t>효령로 391</t>
        </is>
      </c>
      <c r="Q1820" s="41" t="inlineStr">
        <is>
          <t>-</t>
        </is>
      </c>
      <c r="R1820" s="42" t="inlineStr">
        <is>
          <t>중개거래</t>
        </is>
      </c>
      <c r="S1820" s="42" t="inlineStr">
        <is>
          <t>서울 서초구</t>
        </is>
      </c>
      <c r="T1820" s="41" t="inlineStr">
        <is>
          <t>26.03.25</t>
        </is>
      </c>
      <c r="U1820" s="42" t="inlineStr">
        <is>
          <t>아파트</t>
        </is>
      </c>
    </row>
    <row r="1821" hidden="1" ht="14.25" customHeight="1">
      <c r="A1821" s="41" t="n">
        <v>162</v>
      </c>
      <c r="B1821" s="42" t="inlineStr">
        <is>
          <t>서울특별시 서초구 서초동</t>
        </is>
      </c>
      <c r="C1821" s="41" t="inlineStr">
        <is>
          <t>1344-13</t>
        </is>
      </c>
      <c r="D1821" s="41" t="inlineStr">
        <is>
          <t>1344</t>
        </is>
      </c>
      <c r="E1821" s="41" t="inlineStr">
        <is>
          <t>0013</t>
        </is>
      </c>
      <c r="F1821" s="42" t="inlineStr">
        <is>
          <t>서초트라팰리스</t>
        </is>
      </c>
      <c r="G1821" s="41" t="inlineStr">
        <is>
          <t>121.7100</t>
        </is>
      </c>
      <c r="H1821" s="41" t="inlineStr">
        <is>
          <t>202512</t>
        </is>
      </c>
      <c r="I1821" s="41" t="inlineStr">
        <is>
          <t>16</t>
        </is>
      </c>
      <c r="J1821" s="41" t="inlineStr">
        <is>
          <t>248,500</t>
        </is>
      </c>
      <c r="K1821" s="41" t="inlineStr">
        <is>
          <t>B</t>
        </is>
      </c>
      <c r="L1821" s="41" t="inlineStr">
        <is>
          <t>10</t>
        </is>
      </c>
      <c r="M1821" s="42" t="inlineStr">
        <is>
          <t>개인</t>
        </is>
      </c>
      <c r="N1821" s="42" t="inlineStr">
        <is>
          <t>개인</t>
        </is>
      </c>
      <c r="O1821" s="41" t="inlineStr">
        <is>
          <t>2005</t>
        </is>
      </c>
      <c r="P1821" s="42" t="inlineStr">
        <is>
          <t>효령로72길 57</t>
        </is>
      </c>
      <c r="Q1821" s="41" t="inlineStr">
        <is>
          <t>-</t>
        </is>
      </c>
      <c r="R1821" s="42" t="inlineStr">
        <is>
          <t>중개거래</t>
        </is>
      </c>
      <c r="S1821" s="42" t="inlineStr">
        <is>
          <t>서울 영등포구</t>
        </is>
      </c>
      <c r="T1821" s="41" t="inlineStr">
        <is>
          <t>26.03.27</t>
        </is>
      </c>
      <c r="U1821" s="42" t="inlineStr">
        <is>
          <t>아파트</t>
        </is>
      </c>
    </row>
    <row r="1822" hidden="1" ht="14.25" customHeight="1">
      <c r="A1822" s="41" t="n">
        <v>163</v>
      </c>
      <c r="B1822" s="42" t="inlineStr">
        <is>
          <t>서울특별시 서초구 서초동</t>
        </is>
      </c>
      <c r="C1822" s="41" t="inlineStr">
        <is>
          <t>1671-5</t>
        </is>
      </c>
      <c r="D1822" s="41" t="inlineStr">
        <is>
          <t>1671</t>
        </is>
      </c>
      <c r="E1822" s="41" t="inlineStr">
        <is>
          <t>0005</t>
        </is>
      </c>
      <c r="F1822" s="42" t="inlineStr">
        <is>
          <t>대림서초리시온</t>
        </is>
      </c>
      <c r="G1822" s="41" t="inlineStr">
        <is>
          <t>49.9200</t>
        </is>
      </c>
      <c r="H1822" s="41" t="inlineStr">
        <is>
          <t>202512</t>
        </is>
      </c>
      <c r="I1822" s="41" t="inlineStr">
        <is>
          <t>15</t>
        </is>
      </c>
      <c r="J1822" s="41" t="inlineStr">
        <is>
          <t>53,400</t>
        </is>
      </c>
      <c r="K1822" s="41" t="inlineStr">
        <is>
          <t>-</t>
        </is>
      </c>
      <c r="L1822" s="41" t="inlineStr">
        <is>
          <t>4</t>
        </is>
      </c>
      <c r="M1822" s="42" t="inlineStr">
        <is>
          <t>개인</t>
        </is>
      </c>
      <c r="N1822" s="42" t="inlineStr">
        <is>
          <t>개인</t>
        </is>
      </c>
      <c r="O1822" s="41" t="inlineStr">
        <is>
          <t>2003</t>
        </is>
      </c>
      <c r="P1822" s="42" t="inlineStr">
        <is>
          <t>서초중앙로22길 25</t>
        </is>
      </c>
      <c r="Q1822" s="41" t="inlineStr">
        <is>
          <t>-</t>
        </is>
      </c>
      <c r="R1822" s="42" t="inlineStr">
        <is>
          <t>중개거래</t>
        </is>
      </c>
      <c r="S1822" s="42" t="inlineStr">
        <is>
          <t>서울 서초구</t>
        </is>
      </c>
      <c r="T1822" s="41" t="inlineStr">
        <is>
          <t>26.03.09</t>
        </is>
      </c>
      <c r="U1822" s="42" t="inlineStr">
        <is>
          <t>아파트</t>
        </is>
      </c>
    </row>
    <row r="1823" hidden="1" ht="14.25" customHeight="1">
      <c r="A1823" s="41" t="n">
        <v>164</v>
      </c>
      <c r="B1823" s="42" t="inlineStr">
        <is>
          <t>서울특별시 서초구 서초동</t>
        </is>
      </c>
      <c r="C1823" s="41" t="inlineStr">
        <is>
          <t>1490-1</t>
        </is>
      </c>
      <c r="D1823" s="41" t="inlineStr">
        <is>
          <t>1490</t>
        </is>
      </c>
      <c r="E1823" s="41" t="inlineStr">
        <is>
          <t>0001</t>
        </is>
      </c>
      <c r="F1823" s="42" t="inlineStr">
        <is>
          <t>상지리츠빌(1)</t>
        </is>
      </c>
      <c r="G1823" s="41" t="inlineStr">
        <is>
          <t>147.4600</t>
        </is>
      </c>
      <c r="H1823" s="41" t="inlineStr">
        <is>
          <t>202512</t>
        </is>
      </c>
      <c r="I1823" s="41" t="inlineStr">
        <is>
          <t>15</t>
        </is>
      </c>
      <c r="J1823" s="41" t="inlineStr">
        <is>
          <t>215,000</t>
        </is>
      </c>
      <c r="K1823" s="41" t="inlineStr">
        <is>
          <t>-</t>
        </is>
      </c>
      <c r="L1823" s="41" t="inlineStr">
        <is>
          <t>9</t>
        </is>
      </c>
      <c r="M1823" s="42" t="inlineStr">
        <is>
          <t>개인</t>
        </is>
      </c>
      <c r="N1823" s="42" t="inlineStr">
        <is>
          <t>개인</t>
        </is>
      </c>
      <c r="O1823" s="41" t="inlineStr">
        <is>
          <t>2002</t>
        </is>
      </c>
      <c r="P1823" s="42" t="inlineStr">
        <is>
          <t>명달로11길 31</t>
        </is>
      </c>
      <c r="Q1823" s="41" t="inlineStr">
        <is>
          <t>-</t>
        </is>
      </c>
      <c r="R1823" s="42" t="inlineStr">
        <is>
          <t>중개거래</t>
        </is>
      </c>
      <c r="S1823" s="42" t="inlineStr">
        <is>
          <t>서울 서초구</t>
        </is>
      </c>
      <c r="T1823" s="41" t="inlineStr">
        <is>
          <t>26.02.26</t>
        </is>
      </c>
      <c r="U1823" s="42" t="inlineStr">
        <is>
          <t>아파트</t>
        </is>
      </c>
    </row>
    <row r="1824" hidden="1" ht="14.25" customHeight="1">
      <c r="A1824" s="41" t="n">
        <v>165</v>
      </c>
      <c r="B1824" s="42" t="inlineStr">
        <is>
          <t>서울특별시 서초구 서초동</t>
        </is>
      </c>
      <c r="C1824" s="41" t="inlineStr">
        <is>
          <t>1420-18</t>
        </is>
      </c>
      <c r="D1824" s="41" t="inlineStr">
        <is>
          <t>1420</t>
        </is>
      </c>
      <c r="E1824" s="41" t="inlineStr">
        <is>
          <t>0018</t>
        </is>
      </c>
      <c r="F1824" s="42" t="inlineStr">
        <is>
          <t>신원아침도시(1420)</t>
        </is>
      </c>
      <c r="G1824" s="41" t="inlineStr">
        <is>
          <t>84.3400</t>
        </is>
      </c>
      <c r="H1824" s="41" t="inlineStr">
        <is>
          <t>202512</t>
        </is>
      </c>
      <c r="I1824" s="41" t="inlineStr">
        <is>
          <t>14</t>
        </is>
      </c>
      <c r="J1824" s="41" t="inlineStr">
        <is>
          <t>175,000</t>
        </is>
      </c>
      <c r="K1824" s="41" t="inlineStr">
        <is>
          <t>102</t>
        </is>
      </c>
      <c r="L1824" s="41" t="inlineStr">
        <is>
          <t>9</t>
        </is>
      </c>
      <c r="M1824" s="42" t="inlineStr">
        <is>
          <t>개인</t>
        </is>
      </c>
      <c r="N1824" s="42" t="inlineStr">
        <is>
          <t>개인</t>
        </is>
      </c>
      <c r="O1824" s="41" t="inlineStr">
        <is>
          <t>2005</t>
        </is>
      </c>
      <c r="P1824" s="42" t="inlineStr">
        <is>
          <t>남부순환로337가길 52</t>
        </is>
      </c>
      <c r="Q1824" s="41" t="inlineStr">
        <is>
          <t>-</t>
        </is>
      </c>
      <c r="R1824" s="42" t="inlineStr">
        <is>
          <t>중개거래</t>
        </is>
      </c>
      <c r="S1824" s="42" t="inlineStr">
        <is>
          <t>서울 서초구</t>
        </is>
      </c>
      <c r="T1824" s="41" t="inlineStr">
        <is>
          <t>26.01.30</t>
        </is>
      </c>
      <c r="U1824" s="42" t="inlineStr">
        <is>
          <t>아파트</t>
        </is>
      </c>
    </row>
    <row r="1825" hidden="1" ht="14.25" customHeight="1">
      <c r="A1825" s="41" t="n">
        <v>166</v>
      </c>
      <c r="B1825" s="42" t="inlineStr">
        <is>
          <t>서울특별시 서초구 서초동</t>
        </is>
      </c>
      <c r="C1825" s="41" t="inlineStr">
        <is>
          <t>1344-13</t>
        </is>
      </c>
      <c r="D1825" s="41" t="inlineStr">
        <is>
          <t>1344</t>
        </is>
      </c>
      <c r="E1825" s="41" t="inlineStr">
        <is>
          <t>0013</t>
        </is>
      </c>
      <c r="F1825" s="42" t="inlineStr">
        <is>
          <t>서초트라팰리스</t>
        </is>
      </c>
      <c r="G1825" s="41" t="inlineStr">
        <is>
          <t>81.7600</t>
        </is>
      </c>
      <c r="H1825" s="41" t="inlineStr">
        <is>
          <t>202512</t>
        </is>
      </c>
      <c r="I1825" s="41" t="inlineStr">
        <is>
          <t>13</t>
        </is>
      </c>
      <c r="J1825" s="41" t="inlineStr">
        <is>
          <t>163,000</t>
        </is>
      </c>
      <c r="K1825" s="41" t="inlineStr">
        <is>
          <t>A</t>
        </is>
      </c>
      <c r="L1825" s="41" t="inlineStr">
        <is>
          <t>16</t>
        </is>
      </c>
      <c r="M1825" s="42" t="inlineStr">
        <is>
          <t>개인</t>
        </is>
      </c>
      <c r="N1825" s="42" t="inlineStr">
        <is>
          <t>개인</t>
        </is>
      </c>
      <c r="O1825" s="41" t="inlineStr">
        <is>
          <t>2005</t>
        </is>
      </c>
      <c r="P1825" s="42" t="inlineStr">
        <is>
          <t>효령로72길 57</t>
        </is>
      </c>
      <c r="Q1825" s="41" t="inlineStr">
        <is>
          <t>-</t>
        </is>
      </c>
      <c r="R1825" s="42" t="inlineStr">
        <is>
          <t>중개거래</t>
        </is>
      </c>
      <c r="S1825" s="42" t="inlineStr">
        <is>
          <t>서울 서초구</t>
        </is>
      </c>
      <c r="T1825" s="41" t="inlineStr">
        <is>
          <t>25.12.29</t>
        </is>
      </c>
      <c r="U1825" s="42" t="inlineStr">
        <is>
          <t>아파트</t>
        </is>
      </c>
    </row>
    <row r="1826" hidden="1" ht="14.25" customHeight="1">
      <c r="A1826" s="41" t="n">
        <v>167</v>
      </c>
      <c r="B1826" s="42" t="inlineStr">
        <is>
          <t>서울특별시 서초구 서초동</t>
        </is>
      </c>
      <c r="C1826" s="41" t="inlineStr">
        <is>
          <t>1641-13</t>
        </is>
      </c>
      <c r="D1826" s="41" t="inlineStr">
        <is>
          <t>1641</t>
        </is>
      </c>
      <c r="E1826" s="41" t="inlineStr">
        <is>
          <t>0013</t>
        </is>
      </c>
      <c r="F1826" s="42" t="inlineStr">
        <is>
          <t>아남</t>
        </is>
      </c>
      <c r="G1826" s="41" t="inlineStr">
        <is>
          <t>71.1000</t>
        </is>
      </c>
      <c r="H1826" s="41" t="inlineStr">
        <is>
          <t>202512</t>
        </is>
      </c>
      <c r="I1826" s="41" t="inlineStr">
        <is>
          <t>13</t>
        </is>
      </c>
      <c r="J1826" s="41" t="inlineStr">
        <is>
          <t>206,000</t>
        </is>
      </c>
      <c r="K1826" s="41" t="inlineStr">
        <is>
          <t>1</t>
        </is>
      </c>
      <c r="L1826" s="41" t="inlineStr">
        <is>
          <t>9</t>
        </is>
      </c>
      <c r="M1826" s="42" t="inlineStr">
        <is>
          <t>개인</t>
        </is>
      </c>
      <c r="N1826" s="42" t="inlineStr">
        <is>
          <t>개인</t>
        </is>
      </c>
      <c r="O1826" s="41" t="inlineStr">
        <is>
          <t>1989</t>
        </is>
      </c>
      <c r="P1826" s="42" t="inlineStr">
        <is>
          <t>사임당로23길 53</t>
        </is>
      </c>
      <c r="Q1826" s="41" t="inlineStr">
        <is>
          <t>-</t>
        </is>
      </c>
      <c r="R1826" s="42" t="inlineStr">
        <is>
          <t>중개거래</t>
        </is>
      </c>
      <c r="S1826" s="42" t="inlineStr">
        <is>
          <t>서울 서초구</t>
        </is>
      </c>
      <c r="T1826" s="41" t="inlineStr">
        <is>
          <t>26.03.06</t>
        </is>
      </c>
      <c r="U1826" s="42" t="inlineStr">
        <is>
          <t>아파트</t>
        </is>
      </c>
    </row>
    <row r="1827" hidden="1" ht="14.25" customHeight="1">
      <c r="A1827" s="41" t="n">
        <v>168</v>
      </c>
      <c r="B1827" s="42" t="inlineStr">
        <is>
          <t>서울특별시 서초구 서초동</t>
        </is>
      </c>
      <c r="C1827" s="41" t="inlineStr">
        <is>
          <t>1758</t>
        </is>
      </c>
      <c r="D1827" s="41" t="inlineStr">
        <is>
          <t>1758</t>
        </is>
      </c>
      <c r="E1827" s="41" t="inlineStr">
        <is>
          <t>0000</t>
        </is>
      </c>
      <c r="F1827" s="42" t="inlineStr">
        <is>
          <t>서초자이르네</t>
        </is>
      </c>
      <c r="G1827" s="41" t="inlineStr">
        <is>
          <t>84.9700</t>
        </is>
      </c>
      <c r="H1827" s="41" t="inlineStr">
        <is>
          <t>202512</t>
        </is>
      </c>
      <c r="I1827" s="41" t="inlineStr">
        <is>
          <t>13</t>
        </is>
      </c>
      <c r="J1827" s="41" t="inlineStr">
        <is>
          <t>196,000</t>
        </is>
      </c>
      <c r="K1827" s="41" t="inlineStr">
        <is>
          <t>102</t>
        </is>
      </c>
      <c r="L1827" s="41" t="inlineStr">
        <is>
          <t>2</t>
        </is>
      </c>
      <c r="M1827" s="42" t="inlineStr">
        <is>
          <t>개인</t>
        </is>
      </c>
      <c r="N1827" s="42" t="inlineStr">
        <is>
          <t>개인</t>
        </is>
      </c>
      <c r="O1827" s="41" t="inlineStr">
        <is>
          <t>2022</t>
        </is>
      </c>
      <c r="P1827" s="42" t="inlineStr">
        <is>
          <t>남부순환로323길 33</t>
        </is>
      </c>
      <c r="Q1827" s="41" t="inlineStr">
        <is>
          <t>-</t>
        </is>
      </c>
      <c r="R1827" s="42" t="inlineStr">
        <is>
          <t>중개거래</t>
        </is>
      </c>
      <c r="S1827" s="42" t="inlineStr">
        <is>
          <t>서울 서초구</t>
        </is>
      </c>
      <c r="T1827" s="41" t="inlineStr">
        <is>
          <t>26.01.14</t>
        </is>
      </c>
      <c r="U1827" s="42" t="inlineStr">
        <is>
          <t>아파트</t>
        </is>
      </c>
    </row>
    <row r="1828" hidden="1" ht="14.25" customHeight="1">
      <c r="A1828" s="41" t="n">
        <v>169</v>
      </c>
      <c r="B1828" s="42" t="inlineStr">
        <is>
          <t>서울특별시 서초구 서초동</t>
        </is>
      </c>
      <c r="C1828" s="41" t="inlineStr">
        <is>
          <t>1338</t>
        </is>
      </c>
      <c r="D1828" s="41" t="inlineStr">
        <is>
          <t>1338</t>
        </is>
      </c>
      <c r="E1828" s="41" t="inlineStr">
        <is>
          <t>0000</t>
        </is>
      </c>
      <c r="F1828" s="42" t="inlineStr">
        <is>
          <t>현대이에스에이아파트</t>
        </is>
      </c>
      <c r="G1828" s="41" t="inlineStr">
        <is>
          <t>116.0400</t>
        </is>
      </c>
      <c r="H1828" s="41" t="inlineStr">
        <is>
          <t>202512</t>
        </is>
      </c>
      <c r="I1828" s="41" t="inlineStr">
        <is>
          <t>12</t>
        </is>
      </c>
      <c r="J1828" s="41" t="inlineStr">
        <is>
          <t>155,500</t>
        </is>
      </c>
      <c r="K1828" s="41" t="inlineStr">
        <is>
          <t>-</t>
        </is>
      </c>
      <c r="L1828" s="41" t="inlineStr">
        <is>
          <t>3</t>
        </is>
      </c>
      <c r="M1828" s="42" t="inlineStr">
        <is>
          <t>개인</t>
        </is>
      </c>
      <c r="N1828" s="42" t="inlineStr">
        <is>
          <t>개인</t>
        </is>
      </c>
      <c r="O1828" s="41" t="inlineStr">
        <is>
          <t>2002</t>
        </is>
      </c>
      <c r="P1828" s="42" t="inlineStr">
        <is>
          <t>효령로77길 20</t>
        </is>
      </c>
      <c r="Q1828" s="41" t="inlineStr">
        <is>
          <t>-</t>
        </is>
      </c>
      <c r="R1828" s="42" t="inlineStr">
        <is>
          <t>중개거래</t>
        </is>
      </c>
      <c r="S1828" s="42" t="inlineStr">
        <is>
          <t>서울 서초구</t>
        </is>
      </c>
      <c r="T1828" s="41" t="inlineStr">
        <is>
          <t>26.01.16</t>
        </is>
      </c>
      <c r="U1828" s="42" t="inlineStr">
        <is>
          <t>아파트</t>
        </is>
      </c>
    </row>
    <row r="1829" hidden="1" ht="14.25" customHeight="1">
      <c r="A1829" s="41" t="n">
        <v>170</v>
      </c>
      <c r="B1829" s="42" t="inlineStr">
        <is>
          <t>서울특별시 서초구 서초동</t>
        </is>
      </c>
      <c r="C1829" s="41" t="inlineStr">
        <is>
          <t>1330</t>
        </is>
      </c>
      <c r="D1829" s="41" t="inlineStr">
        <is>
          <t>1330</t>
        </is>
      </c>
      <c r="E1829" s="41" t="inlineStr">
        <is>
          <t>0000</t>
        </is>
      </c>
      <c r="F1829" s="42" t="inlineStr">
        <is>
          <t>서초동삼성쉐르빌2</t>
        </is>
      </c>
      <c r="G1829" s="41" t="inlineStr">
        <is>
          <t>52.8300</t>
        </is>
      </c>
      <c r="H1829" s="41" t="inlineStr">
        <is>
          <t>202512</t>
        </is>
      </c>
      <c r="I1829" s="41" t="inlineStr">
        <is>
          <t>09</t>
        </is>
      </c>
      <c r="J1829" s="41" t="inlineStr">
        <is>
          <t>64,500</t>
        </is>
      </c>
      <c r="K1829" s="41" t="inlineStr">
        <is>
          <t>-</t>
        </is>
      </c>
      <c r="L1829" s="41" t="inlineStr">
        <is>
          <t>15</t>
        </is>
      </c>
      <c r="M1829" s="42" t="inlineStr">
        <is>
          <t>개인</t>
        </is>
      </c>
      <c r="N1829" s="42" t="inlineStr">
        <is>
          <t>개인</t>
        </is>
      </c>
      <c r="O1829" s="41" t="inlineStr">
        <is>
          <t>2002</t>
        </is>
      </c>
      <c r="P1829" s="42" t="inlineStr">
        <is>
          <t>강남대로53길 11</t>
        </is>
      </c>
      <c r="Q1829" s="41" t="inlineStr">
        <is>
          <t>-</t>
        </is>
      </c>
      <c r="R1829" s="42" t="inlineStr">
        <is>
          <t>중개거래</t>
        </is>
      </c>
      <c r="S1829" s="42" t="inlineStr">
        <is>
          <t>서울 서초구</t>
        </is>
      </c>
      <c r="T1829" s="41" t="inlineStr">
        <is>
          <t>26.01.29</t>
        </is>
      </c>
      <c r="U1829" s="42" t="inlineStr">
        <is>
          <t>아파트</t>
        </is>
      </c>
    </row>
    <row r="1830" hidden="1" ht="14.25" customHeight="1">
      <c r="A1830" s="41" t="n">
        <v>171</v>
      </c>
      <c r="B1830" s="42" t="inlineStr">
        <is>
          <t>서울특별시 서초구 서초동</t>
        </is>
      </c>
      <c r="C1830" s="41" t="inlineStr">
        <is>
          <t>1671-5</t>
        </is>
      </c>
      <c r="D1830" s="41" t="inlineStr">
        <is>
          <t>1671</t>
        </is>
      </c>
      <c r="E1830" s="41" t="inlineStr">
        <is>
          <t>0005</t>
        </is>
      </c>
      <c r="F1830" s="42" t="inlineStr">
        <is>
          <t>대림서초리시온</t>
        </is>
      </c>
      <c r="G1830" s="41" t="inlineStr">
        <is>
          <t>45.7200</t>
        </is>
      </c>
      <c r="H1830" s="41" t="inlineStr">
        <is>
          <t>202512</t>
        </is>
      </c>
      <c r="I1830" s="41" t="inlineStr">
        <is>
          <t>09</t>
        </is>
      </c>
      <c r="J1830" s="41" t="inlineStr">
        <is>
          <t>33,500</t>
        </is>
      </c>
      <c r="K1830" s="41" t="inlineStr">
        <is>
          <t>-</t>
        </is>
      </c>
      <c r="L1830" s="41" t="inlineStr">
        <is>
          <t>5</t>
        </is>
      </c>
      <c r="M1830" s="42" t="inlineStr">
        <is>
          <t>개인</t>
        </is>
      </c>
      <c r="N1830" s="42" t="inlineStr">
        <is>
          <t>개인</t>
        </is>
      </c>
      <c r="O1830" s="41" t="inlineStr">
        <is>
          <t>2003</t>
        </is>
      </c>
      <c r="P1830" s="42" t="inlineStr">
        <is>
          <t>서초중앙로22길 25</t>
        </is>
      </c>
      <c r="Q1830" s="41" t="inlineStr">
        <is>
          <t>-</t>
        </is>
      </c>
      <c r="R1830" s="42" t="inlineStr">
        <is>
          <t>직거래</t>
        </is>
      </c>
      <c r="S1830" s="41" t="inlineStr">
        <is>
          <t>-</t>
        </is>
      </c>
      <c r="T1830" s="41" t="inlineStr">
        <is>
          <t>25.12.22</t>
        </is>
      </c>
      <c r="U1830" s="42" t="inlineStr">
        <is>
          <t>아파트</t>
        </is>
      </c>
    </row>
    <row r="1831" hidden="1" ht="14.25" customHeight="1">
      <c r="A1831" s="41" t="n">
        <v>172</v>
      </c>
      <c r="B1831" s="42" t="inlineStr">
        <is>
          <t>서울특별시 서초구 서초동</t>
        </is>
      </c>
      <c r="C1831" s="41" t="inlineStr">
        <is>
          <t>1484-7</t>
        </is>
      </c>
      <c r="D1831" s="41" t="inlineStr">
        <is>
          <t>1484</t>
        </is>
      </c>
      <c r="E1831" s="41" t="inlineStr">
        <is>
          <t>0007</t>
        </is>
      </c>
      <c r="F1831" s="42" t="inlineStr">
        <is>
          <t>대경벨로체</t>
        </is>
      </c>
      <c r="G1831" s="41" t="inlineStr">
        <is>
          <t>83.1130</t>
        </is>
      </c>
      <c r="H1831" s="41" t="inlineStr">
        <is>
          <t>202512</t>
        </is>
      </c>
      <c r="I1831" s="41" t="inlineStr">
        <is>
          <t>09</t>
        </is>
      </c>
      <c r="J1831" s="41" t="inlineStr">
        <is>
          <t>92,000</t>
        </is>
      </c>
      <c r="K1831" s="41" t="inlineStr">
        <is>
          <t>-</t>
        </is>
      </c>
      <c r="L1831" s="41" t="inlineStr">
        <is>
          <t>3</t>
        </is>
      </c>
      <c r="M1831" s="42" t="inlineStr">
        <is>
          <t>개인</t>
        </is>
      </c>
      <c r="N1831" s="42" t="inlineStr">
        <is>
          <t>개인</t>
        </is>
      </c>
      <c r="O1831" s="41" t="inlineStr">
        <is>
          <t>2007</t>
        </is>
      </c>
      <c r="P1831" s="42" t="inlineStr">
        <is>
          <t>남부순환로317길 68</t>
        </is>
      </c>
      <c r="Q1831" s="41" t="inlineStr">
        <is>
          <t>-</t>
        </is>
      </c>
      <c r="R1831" s="42" t="inlineStr">
        <is>
          <t>중개거래</t>
        </is>
      </c>
      <c r="S1831" s="42" t="inlineStr">
        <is>
          <t>서울 서초구</t>
        </is>
      </c>
      <c r="T1831" s="41" t="inlineStr">
        <is>
          <t>26.02.23</t>
        </is>
      </c>
      <c r="U1831" s="42" t="inlineStr">
        <is>
          <t>아파트</t>
        </is>
      </c>
    </row>
    <row r="1832" hidden="1" ht="14.25" customHeight="1">
      <c r="A1832" s="41" t="n">
        <v>173</v>
      </c>
      <c r="B1832" s="42" t="inlineStr">
        <is>
          <t>서울특별시 서초구 서초동</t>
        </is>
      </c>
      <c r="C1832" s="41" t="inlineStr">
        <is>
          <t>1472-21</t>
        </is>
      </c>
      <c r="D1832" s="41" t="inlineStr">
        <is>
          <t>1472</t>
        </is>
      </c>
      <c r="E1832" s="41" t="inlineStr">
        <is>
          <t>0021</t>
        </is>
      </c>
      <c r="F1832" s="42" t="inlineStr">
        <is>
          <t>새티스2</t>
        </is>
      </c>
      <c r="G1832" s="41" t="inlineStr">
        <is>
          <t>75.6000</t>
        </is>
      </c>
      <c r="H1832" s="41" t="inlineStr">
        <is>
          <t>202512</t>
        </is>
      </c>
      <c r="I1832" s="41" t="inlineStr">
        <is>
          <t>08</t>
        </is>
      </c>
      <c r="J1832" s="41" t="inlineStr">
        <is>
          <t>90,000</t>
        </is>
      </c>
      <c r="K1832" s="41" t="inlineStr">
        <is>
          <t>-</t>
        </is>
      </c>
      <c r="L1832" s="41" t="inlineStr">
        <is>
          <t>5</t>
        </is>
      </c>
      <c r="M1832" s="42" t="inlineStr">
        <is>
          <t>개인</t>
        </is>
      </c>
      <c r="N1832" s="42" t="inlineStr">
        <is>
          <t>개인</t>
        </is>
      </c>
      <c r="O1832" s="41" t="inlineStr">
        <is>
          <t>2002</t>
        </is>
      </c>
      <c r="P1832" s="42" t="inlineStr">
        <is>
          <t>반포대로3길 48</t>
        </is>
      </c>
      <c r="Q1832" s="41" t="inlineStr">
        <is>
          <t>-</t>
        </is>
      </c>
      <c r="R1832" s="42" t="inlineStr">
        <is>
          <t>중개거래</t>
        </is>
      </c>
      <c r="S1832" s="42" t="inlineStr">
        <is>
          <t>서울 서초구</t>
        </is>
      </c>
      <c r="T1832" s="41" t="inlineStr">
        <is>
          <t>26.02.27</t>
        </is>
      </c>
      <c r="U1832" s="42" t="inlineStr">
        <is>
          <t>아파트</t>
        </is>
      </c>
    </row>
    <row r="1833" hidden="1" ht="14.25" customHeight="1">
      <c r="A1833" s="41" t="n">
        <v>174</v>
      </c>
      <c r="B1833" s="42" t="inlineStr">
        <is>
          <t>서울특별시 서초구 서초동</t>
        </is>
      </c>
      <c r="C1833" s="41" t="inlineStr">
        <is>
          <t>1362-10</t>
        </is>
      </c>
      <c r="D1833" s="41" t="inlineStr">
        <is>
          <t>1362</t>
        </is>
      </c>
      <c r="E1833" s="41" t="inlineStr">
        <is>
          <t>0010</t>
        </is>
      </c>
      <c r="F1833" s="42" t="inlineStr">
        <is>
          <t>서초노블레스아파트</t>
        </is>
      </c>
      <c r="G1833" s="41" t="inlineStr">
        <is>
          <t>28.8500</t>
        </is>
      </c>
      <c r="H1833" s="41" t="inlineStr">
        <is>
          <t>202512</t>
        </is>
      </c>
      <c r="I1833" s="41" t="inlineStr">
        <is>
          <t>06</t>
        </is>
      </c>
      <c r="J1833" s="41" t="inlineStr">
        <is>
          <t>48,000</t>
        </is>
      </c>
      <c r="K1833" s="41" t="inlineStr">
        <is>
          <t>-</t>
        </is>
      </c>
      <c r="L1833" s="41" t="inlineStr">
        <is>
          <t>7</t>
        </is>
      </c>
      <c r="M1833" s="42" t="inlineStr">
        <is>
          <t>개인</t>
        </is>
      </c>
      <c r="N1833" s="42" t="inlineStr">
        <is>
          <t>개인</t>
        </is>
      </c>
      <c r="O1833" s="41" t="inlineStr">
        <is>
          <t>2019</t>
        </is>
      </c>
      <c r="P1833" s="42" t="inlineStr">
        <is>
          <t>강남대로39길 15-11</t>
        </is>
      </c>
      <c r="Q1833" s="41" t="inlineStr">
        <is>
          <t>-</t>
        </is>
      </c>
      <c r="R1833" s="42" t="inlineStr">
        <is>
          <t>중개거래</t>
        </is>
      </c>
      <c r="S1833" s="42" t="inlineStr">
        <is>
          <t>서울 서초구</t>
        </is>
      </c>
      <c r="T1833" s="41" t="inlineStr">
        <is>
          <t>26.03.06</t>
        </is>
      </c>
      <c r="U1833" s="42" t="inlineStr">
        <is>
          <t>아파트</t>
        </is>
      </c>
    </row>
    <row r="1834" hidden="1" ht="14.25" customHeight="1">
      <c r="A1834" s="41" t="n">
        <v>175</v>
      </c>
      <c r="B1834" s="42" t="inlineStr">
        <is>
          <t>서울특별시 서초구 서초동</t>
        </is>
      </c>
      <c r="C1834" s="41" t="inlineStr">
        <is>
          <t>1671-5</t>
        </is>
      </c>
      <c r="D1834" s="41" t="inlineStr">
        <is>
          <t>1671</t>
        </is>
      </c>
      <c r="E1834" s="41" t="inlineStr">
        <is>
          <t>0005</t>
        </is>
      </c>
      <c r="F1834" s="42" t="inlineStr">
        <is>
          <t>대림서초리시온</t>
        </is>
      </c>
      <c r="G1834" s="41" t="inlineStr">
        <is>
          <t>49.9200</t>
        </is>
      </c>
      <c r="H1834" s="41" t="inlineStr">
        <is>
          <t>202512</t>
        </is>
      </c>
      <c r="I1834" s="41" t="inlineStr">
        <is>
          <t>06</t>
        </is>
      </c>
      <c r="J1834" s="41" t="inlineStr">
        <is>
          <t>57,500</t>
        </is>
      </c>
      <c r="K1834" s="41" t="inlineStr">
        <is>
          <t>-</t>
        </is>
      </c>
      <c r="L1834" s="41" t="inlineStr">
        <is>
          <t>8</t>
        </is>
      </c>
      <c r="M1834" s="42" t="inlineStr">
        <is>
          <t>개인</t>
        </is>
      </c>
      <c r="N1834" s="42" t="inlineStr">
        <is>
          <t>개인</t>
        </is>
      </c>
      <c r="O1834" s="41" t="inlineStr">
        <is>
          <t>2003</t>
        </is>
      </c>
      <c r="P1834" s="42" t="inlineStr">
        <is>
          <t>서초중앙로22길 25</t>
        </is>
      </c>
      <c r="Q1834" s="41" t="inlineStr">
        <is>
          <t>-</t>
        </is>
      </c>
      <c r="R1834" s="42" t="inlineStr">
        <is>
          <t>중개거래</t>
        </is>
      </c>
      <c r="S1834" s="42" t="inlineStr">
        <is>
          <t>서울 서초구</t>
        </is>
      </c>
      <c r="T1834" s="41" t="inlineStr">
        <is>
          <t>26.03.30</t>
        </is>
      </c>
      <c r="U1834" s="42" t="inlineStr">
        <is>
          <t>아파트</t>
        </is>
      </c>
    </row>
    <row r="1835" hidden="1" ht="14.25" customHeight="1">
      <c r="A1835" s="41" t="n">
        <v>176</v>
      </c>
      <c r="B1835" s="42" t="inlineStr">
        <is>
          <t>서울특별시 서초구 서초동</t>
        </is>
      </c>
      <c r="C1835" s="41" t="inlineStr">
        <is>
          <t>1486-17</t>
        </is>
      </c>
      <c r="D1835" s="41" t="inlineStr">
        <is>
          <t>1486</t>
        </is>
      </c>
      <c r="E1835" s="41" t="inlineStr">
        <is>
          <t>0017</t>
        </is>
      </c>
      <c r="F1835" s="42" t="inlineStr">
        <is>
          <t>비버리캐슬</t>
        </is>
      </c>
      <c r="G1835" s="41" t="inlineStr">
        <is>
          <t>59.4900</t>
        </is>
      </c>
      <c r="H1835" s="41" t="inlineStr">
        <is>
          <t>202512</t>
        </is>
      </c>
      <c r="I1835" s="41" t="inlineStr">
        <is>
          <t>06</t>
        </is>
      </c>
      <c r="J1835" s="41" t="inlineStr">
        <is>
          <t>118,500</t>
        </is>
      </c>
      <c r="K1835" s="41" t="inlineStr">
        <is>
          <t>-</t>
        </is>
      </c>
      <c r="L1835" s="41" t="inlineStr">
        <is>
          <t>4</t>
        </is>
      </c>
      <c r="M1835" s="42" t="inlineStr">
        <is>
          <t>개인</t>
        </is>
      </c>
      <c r="N1835" s="42" t="inlineStr">
        <is>
          <t>개인</t>
        </is>
      </c>
      <c r="O1835" s="41" t="inlineStr">
        <is>
          <t>2020</t>
        </is>
      </c>
      <c r="P1835" s="42" t="inlineStr">
        <is>
          <t>반포대로9길 70</t>
        </is>
      </c>
      <c r="Q1835" s="41" t="inlineStr">
        <is>
          <t>-</t>
        </is>
      </c>
      <c r="R1835" s="42" t="inlineStr">
        <is>
          <t>중개거래</t>
        </is>
      </c>
      <c r="S1835" s="42" t="inlineStr">
        <is>
          <t>서울 서초구</t>
        </is>
      </c>
      <c r="T1835" s="41" t="inlineStr">
        <is>
          <t>26.02.12</t>
        </is>
      </c>
      <c r="U1835" s="42" t="inlineStr">
        <is>
          <t>아파트</t>
        </is>
      </c>
    </row>
    <row r="1836" hidden="1" ht="14.25" customHeight="1">
      <c r="A1836" s="41" t="n">
        <v>177</v>
      </c>
      <c r="B1836" s="42" t="inlineStr">
        <is>
          <t>서울특별시 서초구 서초동</t>
        </is>
      </c>
      <c r="C1836" s="41" t="inlineStr">
        <is>
          <t>1362-10</t>
        </is>
      </c>
      <c r="D1836" s="41" t="inlineStr">
        <is>
          <t>1362</t>
        </is>
      </c>
      <c r="E1836" s="41" t="inlineStr">
        <is>
          <t>0010</t>
        </is>
      </c>
      <c r="F1836" s="42" t="inlineStr">
        <is>
          <t>서초노블레스아파트</t>
        </is>
      </c>
      <c r="G1836" s="41" t="inlineStr">
        <is>
          <t>27.5700</t>
        </is>
      </c>
      <c r="H1836" s="41" t="inlineStr">
        <is>
          <t>202512</t>
        </is>
      </c>
      <c r="I1836" s="41" t="inlineStr">
        <is>
          <t>05</t>
        </is>
      </c>
      <c r="J1836" s="41" t="inlineStr">
        <is>
          <t>52,000</t>
        </is>
      </c>
      <c r="K1836" s="41" t="inlineStr">
        <is>
          <t>-</t>
        </is>
      </c>
      <c r="L1836" s="41" t="inlineStr">
        <is>
          <t>13</t>
        </is>
      </c>
      <c r="M1836" s="42" t="inlineStr">
        <is>
          <t>개인</t>
        </is>
      </c>
      <c r="N1836" s="42" t="inlineStr">
        <is>
          <t>개인</t>
        </is>
      </c>
      <c r="O1836" s="41" t="inlineStr">
        <is>
          <t>2019</t>
        </is>
      </c>
      <c r="P1836" s="42" t="inlineStr">
        <is>
          <t>강남대로39길 15-11</t>
        </is>
      </c>
      <c r="Q1836" s="41" t="inlineStr">
        <is>
          <t>20260115</t>
        </is>
      </c>
      <c r="R1836" s="42" t="inlineStr">
        <is>
          <t>중개거래</t>
        </is>
      </c>
      <c r="S1836" s="42" t="inlineStr">
        <is>
          <t>서울 서초구</t>
        </is>
      </c>
      <c r="T1836" s="41" t="inlineStr">
        <is>
          <t>-</t>
        </is>
      </c>
      <c r="U1836" s="42" t="inlineStr">
        <is>
          <t>아파트</t>
        </is>
      </c>
    </row>
    <row r="1837" hidden="1" ht="14.25" customHeight="1">
      <c r="A1837" s="41" t="n">
        <v>178</v>
      </c>
      <c r="B1837" s="42" t="inlineStr">
        <is>
          <t>서울특별시 서초구 서초동</t>
        </is>
      </c>
      <c r="C1837" s="41" t="inlineStr">
        <is>
          <t>1616-10</t>
        </is>
      </c>
      <c r="D1837" s="41" t="inlineStr">
        <is>
          <t>1616</t>
        </is>
      </c>
      <c r="E1837" s="41" t="inlineStr">
        <is>
          <t>0010</t>
        </is>
      </c>
      <c r="F1837" s="42" t="inlineStr">
        <is>
          <t>서초극동스타클래스</t>
        </is>
      </c>
      <c r="G1837" s="41" t="inlineStr">
        <is>
          <t>110.7200</t>
        </is>
      </c>
      <c r="H1837" s="41" t="inlineStr">
        <is>
          <t>202512</t>
        </is>
      </c>
      <c r="I1837" s="41" t="inlineStr">
        <is>
          <t>05</t>
        </is>
      </c>
      <c r="J1837" s="41" t="inlineStr">
        <is>
          <t>203,000</t>
        </is>
      </c>
      <c r="K1837" s="41" t="inlineStr">
        <is>
          <t>102</t>
        </is>
      </c>
      <c r="L1837" s="41" t="inlineStr">
        <is>
          <t>2</t>
        </is>
      </c>
      <c r="M1837" s="42" t="inlineStr">
        <is>
          <t>개인</t>
        </is>
      </c>
      <c r="N1837" s="42" t="inlineStr">
        <is>
          <t>개인</t>
        </is>
      </c>
      <c r="O1837" s="41" t="inlineStr">
        <is>
          <t>2003</t>
        </is>
      </c>
      <c r="P1837" s="42" t="inlineStr">
        <is>
          <t>서리풀4길 43</t>
        </is>
      </c>
      <c r="Q1837" s="41" t="inlineStr">
        <is>
          <t>-</t>
        </is>
      </c>
      <c r="R1837" s="42" t="inlineStr">
        <is>
          <t>중개거래</t>
        </is>
      </c>
      <c r="S1837" s="42" t="inlineStr">
        <is>
          <t>서울 서초구</t>
        </is>
      </c>
      <c r="T1837" s="41" t="inlineStr">
        <is>
          <t>26.01.28</t>
        </is>
      </c>
      <c r="U1837" s="42" t="inlineStr">
        <is>
          <t>아파트</t>
        </is>
      </c>
    </row>
    <row r="1838" hidden="1" ht="14.25" customHeight="1">
      <c r="A1838" s="41" t="n">
        <v>179</v>
      </c>
      <c r="B1838" s="42" t="inlineStr">
        <is>
          <t>서울특별시 서초구 서초동</t>
        </is>
      </c>
      <c r="C1838" s="41" t="inlineStr">
        <is>
          <t>1458-6</t>
        </is>
      </c>
      <c r="D1838" s="41" t="inlineStr">
        <is>
          <t>1458</t>
        </is>
      </c>
      <c r="E1838" s="41" t="inlineStr">
        <is>
          <t>0006</t>
        </is>
      </c>
      <c r="F1838" s="42" t="inlineStr">
        <is>
          <t>서초지웰</t>
        </is>
      </c>
      <c r="G1838" s="41" t="inlineStr">
        <is>
          <t>84.7400</t>
        </is>
      </c>
      <c r="H1838" s="41" t="inlineStr">
        <is>
          <t>202512</t>
        </is>
      </c>
      <c r="I1838" s="41" t="inlineStr">
        <is>
          <t>05</t>
        </is>
      </c>
      <c r="J1838" s="41" t="inlineStr">
        <is>
          <t>197,000</t>
        </is>
      </c>
      <c r="K1838" s="41" t="inlineStr">
        <is>
          <t>102</t>
        </is>
      </c>
      <c r="L1838" s="41" t="inlineStr">
        <is>
          <t>14</t>
        </is>
      </c>
      <c r="M1838" s="42" t="inlineStr">
        <is>
          <t>개인</t>
        </is>
      </c>
      <c r="N1838" s="42" t="inlineStr">
        <is>
          <t>개인</t>
        </is>
      </c>
      <c r="O1838" s="41" t="inlineStr">
        <is>
          <t>2005</t>
        </is>
      </c>
      <c r="P1838" s="42" t="inlineStr">
        <is>
          <t>반포대로10길 35</t>
        </is>
      </c>
      <c r="Q1838" s="41" t="inlineStr">
        <is>
          <t>-</t>
        </is>
      </c>
      <c r="R1838" s="42" t="inlineStr">
        <is>
          <t>중개거래</t>
        </is>
      </c>
      <c r="S1838" s="42" t="inlineStr">
        <is>
          <t>서울 강남구, 서울 서초구</t>
        </is>
      </c>
      <c r="T1838" s="41" t="inlineStr">
        <is>
          <t>26.02.24</t>
        </is>
      </c>
      <c r="U1838" s="42" t="inlineStr">
        <is>
          <t>아파트</t>
        </is>
      </c>
    </row>
    <row r="1839" hidden="1" ht="14.25" customHeight="1">
      <c r="A1839" s="41" t="n">
        <v>180</v>
      </c>
      <c r="B1839" s="42" t="inlineStr">
        <is>
          <t>서울특별시 서초구 서초동</t>
        </is>
      </c>
      <c r="C1839" s="41" t="inlineStr">
        <is>
          <t>1583-10</t>
        </is>
      </c>
      <c r="D1839" s="41" t="inlineStr">
        <is>
          <t>1583</t>
        </is>
      </c>
      <c r="E1839" s="41" t="inlineStr">
        <is>
          <t>0010</t>
        </is>
      </c>
      <c r="F1839" s="42" t="inlineStr">
        <is>
          <t>서초아트자이</t>
        </is>
      </c>
      <c r="G1839" s="41" t="inlineStr">
        <is>
          <t>165.5725</t>
        </is>
      </c>
      <c r="H1839" s="41" t="inlineStr">
        <is>
          <t>202512</t>
        </is>
      </c>
      <c r="I1839" s="41" t="inlineStr">
        <is>
          <t>05</t>
        </is>
      </c>
      <c r="J1839" s="41" t="inlineStr">
        <is>
          <t>285,000</t>
        </is>
      </c>
      <c r="K1839" s="41" t="inlineStr">
        <is>
          <t>102</t>
        </is>
      </c>
      <c r="L1839" s="41" t="inlineStr">
        <is>
          <t>14</t>
        </is>
      </c>
      <c r="M1839" s="42" t="inlineStr">
        <is>
          <t>개인</t>
        </is>
      </c>
      <c r="N1839" s="42" t="inlineStr">
        <is>
          <t>개인</t>
        </is>
      </c>
      <c r="O1839" s="41" t="inlineStr">
        <is>
          <t>2009</t>
        </is>
      </c>
      <c r="P1839" s="42" t="inlineStr">
        <is>
          <t>반포대로 58</t>
        </is>
      </c>
      <c r="Q1839" s="41" t="inlineStr">
        <is>
          <t>-</t>
        </is>
      </c>
      <c r="R1839" s="42" t="inlineStr">
        <is>
          <t>중개거래</t>
        </is>
      </c>
      <c r="S1839" s="42" t="inlineStr">
        <is>
          <t>서울 서초구</t>
        </is>
      </c>
      <c r="T1839" s="41" t="inlineStr">
        <is>
          <t>26.02.24</t>
        </is>
      </c>
      <c r="U1839" s="42" t="inlineStr">
        <is>
          <t>아파트</t>
        </is>
      </c>
    </row>
    <row r="1840" hidden="1" ht="14.25" customHeight="1">
      <c r="A1840" s="41" t="n">
        <v>181</v>
      </c>
      <c r="B1840" s="42" t="inlineStr">
        <is>
          <t>서울특별시 서초구 서초동</t>
        </is>
      </c>
      <c r="C1840" s="41" t="inlineStr">
        <is>
          <t>1675-11</t>
        </is>
      </c>
      <c r="D1840" s="41" t="inlineStr">
        <is>
          <t>1675</t>
        </is>
      </c>
      <c r="E1840" s="41" t="inlineStr">
        <is>
          <t>0011</t>
        </is>
      </c>
      <c r="F1840" s="42" t="inlineStr">
        <is>
          <t>서초대우아이빌</t>
        </is>
      </c>
      <c r="G1840" s="41" t="inlineStr">
        <is>
          <t>32.6470</t>
        </is>
      </c>
      <c r="H1840" s="41" t="inlineStr">
        <is>
          <t>202512</t>
        </is>
      </c>
      <c r="I1840" s="41" t="inlineStr">
        <is>
          <t>04</t>
        </is>
      </c>
      <c r="J1840" s="41" t="inlineStr">
        <is>
          <t>31,500</t>
        </is>
      </c>
      <c r="K1840" s="42" t="inlineStr">
        <is>
          <t>서초 대우아이빌</t>
        </is>
      </c>
      <c r="L1840" s="41" t="inlineStr">
        <is>
          <t>11</t>
        </is>
      </c>
      <c r="M1840" s="42" t="inlineStr">
        <is>
          <t>개인</t>
        </is>
      </c>
      <c r="N1840" s="42" t="inlineStr">
        <is>
          <t>개인</t>
        </is>
      </c>
      <c r="O1840" s="41" t="inlineStr">
        <is>
          <t>2003</t>
        </is>
      </c>
      <c r="P1840" s="42" t="inlineStr">
        <is>
          <t>서초대로58길 10</t>
        </is>
      </c>
      <c r="Q1840" s="41" t="inlineStr">
        <is>
          <t>-</t>
        </is>
      </c>
      <c r="R1840" s="42" t="inlineStr">
        <is>
          <t>중개거래</t>
        </is>
      </c>
      <c r="S1840" s="42" t="inlineStr">
        <is>
          <t>서울 서초구</t>
        </is>
      </c>
      <c r="T1840" s="41" t="inlineStr">
        <is>
          <t>26.01.08</t>
        </is>
      </c>
      <c r="U1840" s="42" t="inlineStr">
        <is>
          <t>아파트</t>
        </is>
      </c>
    </row>
    <row r="1841" hidden="1" ht="14.25" customHeight="1">
      <c r="A1841" s="41" t="n">
        <v>182</v>
      </c>
      <c r="B1841" s="42" t="inlineStr">
        <is>
          <t>서울특별시 서초구 서초동</t>
        </is>
      </c>
      <c r="C1841" s="41" t="inlineStr">
        <is>
          <t>1615-10</t>
        </is>
      </c>
      <c r="D1841" s="41" t="inlineStr">
        <is>
          <t>1615</t>
        </is>
      </c>
      <c r="E1841" s="41" t="inlineStr">
        <is>
          <t>0010</t>
        </is>
      </c>
      <c r="F1841" s="42" t="inlineStr">
        <is>
          <t>극동스타클래스2</t>
        </is>
      </c>
      <c r="G1841" s="41" t="inlineStr">
        <is>
          <t>81.0650</t>
        </is>
      </c>
      <c r="H1841" s="41" t="inlineStr">
        <is>
          <t>202512</t>
        </is>
      </c>
      <c r="I1841" s="41" t="inlineStr">
        <is>
          <t>04</t>
        </is>
      </c>
      <c r="J1841" s="41" t="inlineStr">
        <is>
          <t>165,000</t>
        </is>
      </c>
      <c r="K1841" s="41" t="inlineStr">
        <is>
          <t>202</t>
        </is>
      </c>
      <c r="L1841" s="41" t="inlineStr">
        <is>
          <t>2</t>
        </is>
      </c>
      <c r="M1841" s="42" t="inlineStr">
        <is>
          <t>개인</t>
        </is>
      </c>
      <c r="N1841" s="42" t="inlineStr">
        <is>
          <t>개인</t>
        </is>
      </c>
      <c r="O1841" s="41" t="inlineStr">
        <is>
          <t>2006</t>
        </is>
      </c>
      <c r="P1841" s="42" t="inlineStr">
        <is>
          <t>효령로67길 35</t>
        </is>
      </c>
      <c r="Q1841" s="41" t="inlineStr">
        <is>
          <t>-</t>
        </is>
      </c>
      <c r="R1841" s="42" t="inlineStr">
        <is>
          <t>중개거래</t>
        </is>
      </c>
      <c r="S1841" s="42" t="inlineStr">
        <is>
          <t>서울 서초구</t>
        </is>
      </c>
      <c r="T1841" s="41" t="inlineStr">
        <is>
          <t>26.01.28</t>
        </is>
      </c>
      <c r="U1841" s="42" t="inlineStr">
        <is>
          <t>아파트</t>
        </is>
      </c>
    </row>
    <row r="1842" hidden="1" ht="14.25" customHeight="1">
      <c r="A1842" s="41" t="n">
        <v>183</v>
      </c>
      <c r="B1842" s="42" t="inlineStr">
        <is>
          <t>서울특별시 서초구 서초동</t>
        </is>
      </c>
      <c r="C1842" s="41" t="inlineStr">
        <is>
          <t>1467-62</t>
        </is>
      </c>
      <c r="D1842" s="41" t="inlineStr">
        <is>
          <t>1467</t>
        </is>
      </c>
      <c r="E1842" s="41" t="inlineStr">
        <is>
          <t>0062</t>
        </is>
      </c>
      <c r="F1842" s="42" t="inlineStr">
        <is>
          <t>서초5차e편한세상</t>
        </is>
      </c>
      <c r="G1842" s="41" t="inlineStr">
        <is>
          <t>158.2400</t>
        </is>
      </c>
      <c r="H1842" s="41" t="inlineStr">
        <is>
          <t>202512</t>
        </is>
      </c>
      <c r="I1842" s="41" t="inlineStr">
        <is>
          <t>04</t>
        </is>
      </c>
      <c r="J1842" s="41" t="inlineStr">
        <is>
          <t>258,000</t>
        </is>
      </c>
      <c r="K1842" s="41" t="inlineStr">
        <is>
          <t>501</t>
        </is>
      </c>
      <c r="L1842" s="41" t="inlineStr">
        <is>
          <t>2</t>
        </is>
      </c>
      <c r="M1842" s="42" t="inlineStr">
        <is>
          <t>개인</t>
        </is>
      </c>
      <c r="N1842" s="42" t="inlineStr">
        <is>
          <t>개인</t>
        </is>
      </c>
      <c r="O1842" s="41" t="inlineStr">
        <is>
          <t>2005</t>
        </is>
      </c>
      <c r="P1842" s="42" t="inlineStr">
        <is>
          <t>명달로4길 30</t>
        </is>
      </c>
      <c r="Q1842" s="41" t="inlineStr">
        <is>
          <t>-</t>
        </is>
      </c>
      <c r="R1842" s="42" t="inlineStr">
        <is>
          <t>중개거래</t>
        </is>
      </c>
      <c r="S1842" s="42" t="inlineStr">
        <is>
          <t>서울 서초구</t>
        </is>
      </c>
      <c r="T1842" s="41" t="inlineStr">
        <is>
          <t>26.03.25</t>
        </is>
      </c>
      <c r="U1842" s="42" t="inlineStr">
        <is>
          <t>아파트</t>
        </is>
      </c>
    </row>
    <row r="1843" hidden="1" ht="14.25" customHeight="1">
      <c r="A1843" s="41" t="n">
        <v>184</v>
      </c>
      <c r="B1843" s="42" t="inlineStr">
        <is>
          <t>서울특별시 서초구 서초동</t>
        </is>
      </c>
      <c r="C1843" s="41" t="inlineStr">
        <is>
          <t>1362-10</t>
        </is>
      </c>
      <c r="D1843" s="41" t="inlineStr">
        <is>
          <t>1362</t>
        </is>
      </c>
      <c r="E1843" s="41" t="inlineStr">
        <is>
          <t>0010</t>
        </is>
      </c>
      <c r="F1843" s="42" t="inlineStr">
        <is>
          <t>서초노블레스아파트</t>
        </is>
      </c>
      <c r="G1843" s="41" t="inlineStr">
        <is>
          <t>27.5700</t>
        </is>
      </c>
      <c r="H1843" s="41" t="inlineStr">
        <is>
          <t>202512</t>
        </is>
      </c>
      <c r="I1843" s="41" t="inlineStr">
        <is>
          <t>03</t>
        </is>
      </c>
      <c r="J1843" s="41" t="inlineStr">
        <is>
          <t>52,000</t>
        </is>
      </c>
      <c r="K1843" s="41" t="inlineStr">
        <is>
          <t>-</t>
        </is>
      </c>
      <c r="L1843" s="41" t="inlineStr">
        <is>
          <t>13</t>
        </is>
      </c>
      <c r="M1843" s="42" t="inlineStr">
        <is>
          <t>개인</t>
        </is>
      </c>
      <c r="N1843" s="42" t="inlineStr">
        <is>
          <t>개인</t>
        </is>
      </c>
      <c r="O1843" s="41" t="inlineStr">
        <is>
          <t>2019</t>
        </is>
      </c>
      <c r="P1843" s="42" t="inlineStr">
        <is>
          <t>강남대로39길 15-11</t>
        </is>
      </c>
      <c r="Q1843" s="41" t="inlineStr">
        <is>
          <t>-</t>
        </is>
      </c>
      <c r="R1843" s="42" t="inlineStr">
        <is>
          <t>중개거래</t>
        </is>
      </c>
      <c r="S1843" s="42" t="inlineStr">
        <is>
          <t>서울 서초구</t>
        </is>
      </c>
      <c r="T1843" s="41" t="inlineStr">
        <is>
          <t>26.01.29</t>
        </is>
      </c>
      <c r="U1843" s="42" t="inlineStr">
        <is>
          <t>아파트</t>
        </is>
      </c>
    </row>
    <row r="1844" hidden="1" ht="14.25" customHeight="1">
      <c r="A1844" s="41" t="n">
        <v>185</v>
      </c>
      <c r="B1844" s="42" t="inlineStr">
        <is>
          <t>서울특별시 서초구 서초동</t>
        </is>
      </c>
      <c r="C1844" s="41" t="inlineStr">
        <is>
          <t>1338</t>
        </is>
      </c>
      <c r="D1844" s="41" t="inlineStr">
        <is>
          <t>1338</t>
        </is>
      </c>
      <c r="E1844" s="41" t="inlineStr">
        <is>
          <t>0000</t>
        </is>
      </c>
      <c r="F1844" s="42" t="inlineStr">
        <is>
          <t>현대이에스에이아파트</t>
        </is>
      </c>
      <c r="G1844" s="41" t="inlineStr">
        <is>
          <t>163.9500</t>
        </is>
      </c>
      <c r="H1844" s="41" t="inlineStr">
        <is>
          <t>202512</t>
        </is>
      </c>
      <c r="I1844" s="41" t="inlineStr">
        <is>
          <t>03</t>
        </is>
      </c>
      <c r="J1844" s="41" t="inlineStr">
        <is>
          <t>170,000</t>
        </is>
      </c>
      <c r="K1844" s="41" t="inlineStr">
        <is>
          <t>-</t>
        </is>
      </c>
      <c r="L1844" s="41" t="inlineStr">
        <is>
          <t>3</t>
        </is>
      </c>
      <c r="M1844" s="42" t="inlineStr">
        <is>
          <t>개인</t>
        </is>
      </c>
      <c r="N1844" s="42" t="inlineStr">
        <is>
          <t>개인</t>
        </is>
      </c>
      <c r="O1844" s="41" t="inlineStr">
        <is>
          <t>2002</t>
        </is>
      </c>
      <c r="P1844" s="42" t="inlineStr">
        <is>
          <t>효령로77길 20</t>
        </is>
      </c>
      <c r="Q1844" s="41" t="inlineStr">
        <is>
          <t>-</t>
        </is>
      </c>
      <c r="R1844" s="42" t="inlineStr">
        <is>
          <t>중개거래</t>
        </is>
      </c>
      <c r="S1844" s="42" t="inlineStr">
        <is>
          <t>서울 강남구</t>
        </is>
      </c>
      <c r="T1844" s="41" t="inlineStr">
        <is>
          <t>26.02.20</t>
        </is>
      </c>
      <c r="U1844" s="42" t="inlineStr">
        <is>
          <t>아파트</t>
        </is>
      </c>
    </row>
    <row r="1845" hidden="1" ht="14.25" customHeight="1">
      <c r="A1845" s="41" t="n">
        <v>186</v>
      </c>
      <c r="B1845" s="42" t="inlineStr">
        <is>
          <t>서울특별시 서초구 서초동</t>
        </is>
      </c>
      <c r="C1845" s="41" t="inlineStr">
        <is>
          <t>1686-9</t>
        </is>
      </c>
      <c r="D1845" s="41" t="inlineStr">
        <is>
          <t>1686</t>
        </is>
      </c>
      <c r="E1845" s="41" t="inlineStr">
        <is>
          <t>0009</t>
        </is>
      </c>
      <c r="F1845" s="42" t="inlineStr">
        <is>
          <t>서초교대e편한세상</t>
        </is>
      </c>
      <c r="G1845" s="41" t="inlineStr">
        <is>
          <t>59.9000</t>
        </is>
      </c>
      <c r="H1845" s="41" t="inlineStr">
        <is>
          <t>202512</t>
        </is>
      </c>
      <c r="I1845" s="41" t="inlineStr">
        <is>
          <t>03</t>
        </is>
      </c>
      <c r="J1845" s="41" t="inlineStr">
        <is>
          <t>245,000</t>
        </is>
      </c>
      <c r="K1845" s="41" t="inlineStr">
        <is>
          <t>103</t>
        </is>
      </c>
      <c r="L1845" s="41" t="inlineStr">
        <is>
          <t>9</t>
        </is>
      </c>
      <c r="M1845" s="42" t="inlineStr">
        <is>
          <t>개인</t>
        </is>
      </c>
      <c r="N1845" s="42" t="inlineStr">
        <is>
          <t>개인</t>
        </is>
      </c>
      <c r="O1845" s="41" t="inlineStr">
        <is>
          <t>2010</t>
        </is>
      </c>
      <c r="P1845" s="42" t="inlineStr">
        <is>
          <t>서초중앙로24길 33</t>
        </is>
      </c>
      <c r="Q1845" s="41" t="inlineStr">
        <is>
          <t>-</t>
        </is>
      </c>
      <c r="R1845" s="42" t="inlineStr">
        <is>
          <t>중개거래</t>
        </is>
      </c>
      <c r="S1845" s="42" t="inlineStr">
        <is>
          <t>서울 서초구</t>
        </is>
      </c>
      <c r="T1845" s="41" t="inlineStr">
        <is>
          <t>25.12.10</t>
        </is>
      </c>
      <c r="U1845" s="42" t="inlineStr">
        <is>
          <t>아파트</t>
        </is>
      </c>
    </row>
    <row r="1846" hidden="1" ht="14.25" customHeight="1">
      <c r="A1846" s="41" t="n">
        <v>187</v>
      </c>
      <c r="B1846" s="42" t="inlineStr">
        <is>
          <t>서울특별시 서초구 서초동</t>
        </is>
      </c>
      <c r="C1846" s="41" t="inlineStr">
        <is>
          <t>1362-10</t>
        </is>
      </c>
      <c r="D1846" s="41" t="inlineStr">
        <is>
          <t>1362</t>
        </is>
      </c>
      <c r="E1846" s="41" t="inlineStr">
        <is>
          <t>0010</t>
        </is>
      </c>
      <c r="F1846" s="42" t="inlineStr">
        <is>
          <t>서초노블레스아파트</t>
        </is>
      </c>
      <c r="G1846" s="41" t="inlineStr">
        <is>
          <t>29.4700</t>
        </is>
      </c>
      <c r="H1846" s="41" t="inlineStr">
        <is>
          <t>202512</t>
        </is>
      </c>
      <c r="I1846" s="41" t="inlineStr">
        <is>
          <t>02</t>
        </is>
      </c>
      <c r="J1846" s="41" t="inlineStr">
        <is>
          <t>47,000</t>
        </is>
      </c>
      <c r="K1846" s="41" t="inlineStr">
        <is>
          <t>-</t>
        </is>
      </c>
      <c r="L1846" s="41" t="inlineStr">
        <is>
          <t>4</t>
        </is>
      </c>
      <c r="M1846" s="42" t="inlineStr">
        <is>
          <t>개인</t>
        </is>
      </c>
      <c r="N1846" s="42" t="inlineStr">
        <is>
          <t>개인</t>
        </is>
      </c>
      <c r="O1846" s="41" t="inlineStr">
        <is>
          <t>2019</t>
        </is>
      </c>
      <c r="P1846" s="42" t="inlineStr">
        <is>
          <t>강남대로39길 15-11</t>
        </is>
      </c>
      <c r="Q1846" s="41" t="inlineStr">
        <is>
          <t>-</t>
        </is>
      </c>
      <c r="R1846" s="42" t="inlineStr">
        <is>
          <t>중개거래</t>
        </is>
      </c>
      <c r="S1846" s="42" t="inlineStr">
        <is>
          <t>서울 서초구</t>
        </is>
      </c>
      <c r="T1846" s="41" t="inlineStr">
        <is>
          <t>-</t>
        </is>
      </c>
      <c r="U1846" s="42" t="inlineStr">
        <is>
          <t>아파트</t>
        </is>
      </c>
    </row>
    <row r="1847" hidden="1" ht="14.25" customHeight="1">
      <c r="A1847" s="41" t="n">
        <v>188</v>
      </c>
      <c r="B1847" s="42" t="inlineStr">
        <is>
          <t>서울특별시 서초구 서초동</t>
        </is>
      </c>
      <c r="C1847" s="41" t="inlineStr">
        <is>
          <t>1446-11</t>
        </is>
      </c>
      <c r="D1847" s="41" t="inlineStr">
        <is>
          <t>1446</t>
        </is>
      </c>
      <c r="E1847" s="41" t="inlineStr">
        <is>
          <t>0011</t>
        </is>
      </c>
      <c r="F1847" s="42" t="inlineStr">
        <is>
          <t>현대슈퍼빌</t>
        </is>
      </c>
      <c r="G1847" s="41" t="inlineStr">
        <is>
          <t>205.6700</t>
        </is>
      </c>
      <c r="H1847" s="41" t="inlineStr">
        <is>
          <t>202512</t>
        </is>
      </c>
      <c r="I1847" s="41" t="inlineStr">
        <is>
          <t>02</t>
        </is>
      </c>
      <c r="J1847" s="41" t="inlineStr">
        <is>
          <t>370,000</t>
        </is>
      </c>
      <c r="K1847" s="41" t="inlineStr">
        <is>
          <t>B</t>
        </is>
      </c>
      <c r="L1847" s="41" t="inlineStr">
        <is>
          <t>12</t>
        </is>
      </c>
      <c r="M1847" s="42" t="inlineStr">
        <is>
          <t>개인</t>
        </is>
      </c>
      <c r="N1847" s="42" t="inlineStr">
        <is>
          <t>개인</t>
        </is>
      </c>
      <c r="O1847" s="41" t="inlineStr">
        <is>
          <t>2003</t>
        </is>
      </c>
      <c r="P1847" s="42" t="inlineStr">
        <is>
          <t>서초중앙로 15</t>
        </is>
      </c>
      <c r="Q1847" s="41" t="inlineStr">
        <is>
          <t>-</t>
        </is>
      </c>
      <c r="R1847" s="42" t="inlineStr">
        <is>
          <t>중개거래</t>
        </is>
      </c>
      <c r="S1847" s="42" t="inlineStr">
        <is>
          <t>서울 서초구</t>
        </is>
      </c>
      <c r="T1847" s="41" t="inlineStr">
        <is>
          <t>26.03.31</t>
        </is>
      </c>
      <c r="U1847" s="42" t="inlineStr">
        <is>
          <t>아파트</t>
        </is>
      </c>
    </row>
    <row r="1848" hidden="1" ht="14.25" customHeight="1">
      <c r="A1848" s="41" t="n">
        <v>189</v>
      </c>
      <c r="B1848" s="42" t="inlineStr">
        <is>
          <t>서울특별시 서초구 서초동</t>
        </is>
      </c>
      <c r="C1848" s="41" t="inlineStr">
        <is>
          <t>1685</t>
        </is>
      </c>
      <c r="D1848" s="41" t="inlineStr">
        <is>
          <t>1685</t>
        </is>
      </c>
      <c r="E1848" s="41" t="inlineStr">
        <is>
          <t>0000</t>
        </is>
      </c>
      <c r="F1848" s="42" t="inlineStr">
        <is>
          <t>삼풍아파트</t>
        </is>
      </c>
      <c r="G1848" s="41" t="inlineStr">
        <is>
          <t>130.7300</t>
        </is>
      </c>
      <c r="H1848" s="41" t="inlineStr">
        <is>
          <t>202512</t>
        </is>
      </c>
      <c r="I1848" s="41" t="inlineStr">
        <is>
          <t>02</t>
        </is>
      </c>
      <c r="J1848" s="41" t="inlineStr">
        <is>
          <t>432,000</t>
        </is>
      </c>
      <c r="K1848" s="41" t="inlineStr">
        <is>
          <t>10</t>
        </is>
      </c>
      <c r="L1848" s="41" t="inlineStr">
        <is>
          <t>5</t>
        </is>
      </c>
      <c r="M1848" s="42" t="inlineStr">
        <is>
          <t>개인</t>
        </is>
      </c>
      <c r="N1848" s="42" t="inlineStr">
        <is>
          <t>개인</t>
        </is>
      </c>
      <c r="O1848" s="41" t="inlineStr">
        <is>
          <t>1988</t>
        </is>
      </c>
      <c r="P1848" s="42" t="inlineStr">
        <is>
          <t>서초중앙로 200</t>
        </is>
      </c>
      <c r="Q1848" s="41" t="inlineStr">
        <is>
          <t>-</t>
        </is>
      </c>
      <c r="R1848" s="42" t="inlineStr">
        <is>
          <t>중개거래</t>
        </is>
      </c>
      <c r="S1848" s="42" t="inlineStr">
        <is>
          <t>서울 서초구</t>
        </is>
      </c>
      <c r="T1848" s="41" t="inlineStr">
        <is>
          <t>26.03.31</t>
        </is>
      </c>
      <c r="U1848" s="42" t="inlineStr">
        <is>
          <t>아파트</t>
        </is>
      </c>
    </row>
    <row r="1849" hidden="1" ht="14.25" customHeight="1">
      <c r="A1849" s="41" t="n">
        <v>190</v>
      </c>
      <c r="B1849" s="42" t="inlineStr">
        <is>
          <t>서울특별시 서초구 서초동</t>
        </is>
      </c>
      <c r="C1849" s="41" t="inlineStr">
        <is>
          <t>1667-2</t>
        </is>
      </c>
      <c r="D1849" s="41" t="inlineStr">
        <is>
          <t>1667</t>
        </is>
      </c>
      <c r="E1849" s="41" t="inlineStr">
        <is>
          <t>0002</t>
        </is>
      </c>
      <c r="F1849" s="42" t="inlineStr">
        <is>
          <t>서초예성그린캐슬</t>
        </is>
      </c>
      <c r="G1849" s="41" t="inlineStr">
        <is>
          <t>105.4900</t>
        </is>
      </c>
      <c r="H1849" s="41" t="inlineStr">
        <is>
          <t>202512</t>
        </is>
      </c>
      <c r="I1849" s="41" t="inlineStr">
        <is>
          <t>01</t>
        </is>
      </c>
      <c r="J1849" s="41" t="inlineStr">
        <is>
          <t>120,000</t>
        </is>
      </c>
      <c r="K1849" s="41" t="inlineStr">
        <is>
          <t>-</t>
        </is>
      </c>
      <c r="L1849" s="41" t="inlineStr">
        <is>
          <t>4</t>
        </is>
      </c>
      <c r="M1849" s="42" t="inlineStr">
        <is>
          <t>개인</t>
        </is>
      </c>
      <c r="N1849" s="42" t="inlineStr">
        <is>
          <t>개인</t>
        </is>
      </c>
      <c r="O1849" s="41" t="inlineStr">
        <is>
          <t>2003</t>
        </is>
      </c>
      <c r="P1849" s="42" t="inlineStr">
        <is>
          <t>서초대로58길 26</t>
        </is>
      </c>
      <c r="Q1849" s="41" t="inlineStr">
        <is>
          <t>-</t>
        </is>
      </c>
      <c r="R1849" s="42" t="inlineStr">
        <is>
          <t>중개거래</t>
        </is>
      </c>
      <c r="S1849" s="42" t="inlineStr">
        <is>
          <t>서울 서초구</t>
        </is>
      </c>
      <c r="T1849" s="41" t="inlineStr">
        <is>
          <t>26.02.27</t>
        </is>
      </c>
      <c r="U1849" s="42" t="inlineStr">
        <is>
          <t>아파트</t>
        </is>
      </c>
    </row>
    <row r="1850" hidden="1" ht="14.25" customHeight="1">
      <c r="A1850" s="41" t="n">
        <v>191</v>
      </c>
      <c r="B1850" s="42" t="inlineStr">
        <is>
          <t>서울특별시 서초구 서초동</t>
        </is>
      </c>
      <c r="C1850" s="41" t="inlineStr">
        <is>
          <t>1685</t>
        </is>
      </c>
      <c r="D1850" s="41" t="inlineStr">
        <is>
          <t>1685</t>
        </is>
      </c>
      <c r="E1850" s="41" t="inlineStr">
        <is>
          <t>0000</t>
        </is>
      </c>
      <c r="F1850" s="42" t="inlineStr">
        <is>
          <t>삼풍아파트</t>
        </is>
      </c>
      <c r="G1850" s="41" t="inlineStr">
        <is>
          <t>130.7300</t>
        </is>
      </c>
      <c r="H1850" s="41" t="inlineStr">
        <is>
          <t>202512</t>
        </is>
      </c>
      <c r="I1850" s="41" t="inlineStr">
        <is>
          <t>01</t>
        </is>
      </c>
      <c r="J1850" s="41" t="inlineStr">
        <is>
          <t>420,000</t>
        </is>
      </c>
      <c r="K1850" s="41" t="inlineStr">
        <is>
          <t>13</t>
        </is>
      </c>
      <c r="L1850" s="41" t="inlineStr">
        <is>
          <t>1</t>
        </is>
      </c>
      <c r="M1850" s="42" t="inlineStr">
        <is>
          <t>개인</t>
        </is>
      </c>
      <c r="N1850" s="42" t="inlineStr">
        <is>
          <t>개인</t>
        </is>
      </c>
      <c r="O1850" s="41" t="inlineStr">
        <is>
          <t>1988</t>
        </is>
      </c>
      <c r="P1850" s="42" t="inlineStr">
        <is>
          <t>서초중앙로 200</t>
        </is>
      </c>
      <c r="Q1850" s="41" t="inlineStr">
        <is>
          <t>-</t>
        </is>
      </c>
      <c r="R1850" s="42" t="inlineStr">
        <is>
          <t>중개거래</t>
        </is>
      </c>
      <c r="S1850" s="42" t="inlineStr">
        <is>
          <t>서울 서초구</t>
        </is>
      </c>
      <c r="T1850" s="41" t="inlineStr">
        <is>
          <t>26.03.25</t>
        </is>
      </c>
      <c r="U1850" s="42" t="inlineStr">
        <is>
          <t>아파트</t>
        </is>
      </c>
    </row>
    <row r="1851" hidden="1" ht="14.25" customHeight="1">
      <c r="A1851" s="41" t="n">
        <v>192</v>
      </c>
      <c r="B1851" s="42" t="inlineStr">
        <is>
          <t>서울특별시 서초구 서초동</t>
        </is>
      </c>
      <c r="C1851" s="41" t="inlineStr">
        <is>
          <t>1303-35</t>
        </is>
      </c>
      <c r="D1851" s="41" t="inlineStr">
        <is>
          <t>1303</t>
        </is>
      </c>
      <c r="E1851" s="41" t="inlineStr">
        <is>
          <t>0035</t>
        </is>
      </c>
      <c r="F1851" s="42" t="inlineStr">
        <is>
          <t>강남태영데시앙루브</t>
        </is>
      </c>
      <c r="G1851" s="41" t="inlineStr">
        <is>
          <t>84.2000</t>
        </is>
      </c>
      <c r="H1851" s="41" t="inlineStr">
        <is>
          <t>202512</t>
        </is>
      </c>
      <c r="I1851" s="41" t="inlineStr">
        <is>
          <t>01</t>
        </is>
      </c>
      <c r="J1851" s="41" t="inlineStr">
        <is>
          <t>111,000</t>
        </is>
      </c>
      <c r="K1851" s="41" t="inlineStr">
        <is>
          <t>B동</t>
        </is>
      </c>
      <c r="L1851" s="41" t="inlineStr">
        <is>
          <t>11</t>
        </is>
      </c>
      <c r="M1851" s="42" t="inlineStr">
        <is>
          <t>개인</t>
        </is>
      </c>
      <c r="N1851" s="42" t="inlineStr">
        <is>
          <t>개인</t>
        </is>
      </c>
      <c r="O1851" s="41" t="inlineStr">
        <is>
          <t>2005</t>
        </is>
      </c>
      <c r="P1851" s="42" t="inlineStr">
        <is>
          <t>강남대로 455</t>
        </is>
      </c>
      <c r="Q1851" s="41" t="inlineStr">
        <is>
          <t>-</t>
        </is>
      </c>
      <c r="R1851" s="42" t="inlineStr">
        <is>
          <t>중개거래</t>
        </is>
      </c>
      <c r="S1851" s="42" t="inlineStr">
        <is>
          <t>서울 서초구</t>
        </is>
      </c>
      <c r="T1851" s="41" t="inlineStr">
        <is>
          <t>26.02.03</t>
        </is>
      </c>
      <c r="U1851" s="42" t="inlineStr">
        <is>
          <t>아파트</t>
        </is>
      </c>
    </row>
    <row r="1852" ht="14.25" customHeight="1">
      <c r="A1852" s="41" t="n">
        <v>193</v>
      </c>
      <c r="B1852" s="42" t="inlineStr">
        <is>
          <t>서울특별시 서초구 서초동</t>
        </is>
      </c>
      <c r="C1852" s="41" t="inlineStr">
        <is>
          <t>1454-29</t>
        </is>
      </c>
      <c r="D1852" s="41" t="inlineStr">
        <is>
          <t>1454</t>
        </is>
      </c>
      <c r="E1852" s="41" t="inlineStr">
        <is>
          <t>0029</t>
        </is>
      </c>
      <c r="F1852" s="42" t="inlineStr">
        <is>
          <t>서초한신</t>
        </is>
      </c>
      <c r="G1852" s="41" t="inlineStr">
        <is>
          <t>84.9900</t>
        </is>
      </c>
      <c r="H1852" s="41" t="inlineStr">
        <is>
          <t>202511</t>
        </is>
      </c>
      <c r="I1852" s="41" t="inlineStr">
        <is>
          <t>29</t>
        </is>
      </c>
      <c r="J1852" s="41" t="inlineStr">
        <is>
          <t>195,000</t>
        </is>
      </c>
      <c r="K1852" s="41" t="inlineStr">
        <is>
          <t>101</t>
        </is>
      </c>
      <c r="L1852" s="41" t="inlineStr">
        <is>
          <t>1</t>
        </is>
      </c>
      <c r="M1852" s="42" t="inlineStr">
        <is>
          <t>개인</t>
        </is>
      </c>
      <c r="N1852" s="42" t="inlineStr">
        <is>
          <t>개인</t>
        </is>
      </c>
      <c r="O1852" s="41" t="inlineStr">
        <is>
          <t>2001</t>
        </is>
      </c>
      <c r="P1852" s="42" t="inlineStr">
        <is>
          <t>남부순환로323길 38-15</t>
        </is>
      </c>
      <c r="Q1852" s="41" t="inlineStr">
        <is>
          <t>-</t>
        </is>
      </c>
      <c r="R1852" s="42" t="inlineStr">
        <is>
          <t>중개거래</t>
        </is>
      </c>
      <c r="S1852" s="42" t="inlineStr">
        <is>
          <t>서울 강남구, 서울 서초구</t>
        </is>
      </c>
      <c r="T1852" s="41" t="inlineStr">
        <is>
          <t>26.01.26</t>
        </is>
      </c>
      <c r="U1852" s="42" t="inlineStr">
        <is>
          <t>아파트</t>
        </is>
      </c>
    </row>
    <row r="1853" hidden="1" ht="14.25" customHeight="1">
      <c r="A1853" s="41" t="n">
        <v>194</v>
      </c>
      <c r="B1853" s="42" t="inlineStr">
        <is>
          <t>서울특별시 서초구 서초동</t>
        </is>
      </c>
      <c r="C1853" s="41" t="inlineStr">
        <is>
          <t>1523-17</t>
        </is>
      </c>
      <c r="D1853" s="41" t="inlineStr">
        <is>
          <t>1523</t>
        </is>
      </c>
      <c r="E1853" s="41" t="inlineStr">
        <is>
          <t>0017</t>
        </is>
      </c>
      <c r="F1853" s="42" t="inlineStr">
        <is>
          <t>동아빌리지</t>
        </is>
      </c>
      <c r="G1853" s="41" t="inlineStr">
        <is>
          <t>76.0100</t>
        </is>
      </c>
      <c r="H1853" s="41" t="inlineStr">
        <is>
          <t>202511</t>
        </is>
      </c>
      <c r="I1853" s="41" t="inlineStr">
        <is>
          <t>28</t>
        </is>
      </c>
      <c r="J1853" s="41" t="inlineStr">
        <is>
          <t>62,000</t>
        </is>
      </c>
      <c r="K1853" s="42" t="inlineStr">
        <is>
          <t>동아빌리지</t>
        </is>
      </c>
      <c r="L1853" s="41" t="inlineStr">
        <is>
          <t>4</t>
        </is>
      </c>
      <c r="M1853" s="42" t="inlineStr">
        <is>
          <t>개인</t>
        </is>
      </c>
      <c r="N1853" s="42" t="inlineStr">
        <is>
          <t>개인</t>
        </is>
      </c>
      <c r="O1853" s="41" t="inlineStr">
        <is>
          <t>2008</t>
        </is>
      </c>
      <c r="P1853" s="42" t="inlineStr">
        <is>
          <t>반포대로19길 9-26</t>
        </is>
      </c>
      <c r="Q1853" s="41" t="inlineStr">
        <is>
          <t>-</t>
        </is>
      </c>
      <c r="R1853" s="42" t="inlineStr">
        <is>
          <t>직거래</t>
        </is>
      </c>
      <c r="S1853" s="41" t="inlineStr">
        <is>
          <t>-</t>
        </is>
      </c>
      <c r="T1853" s="41" t="inlineStr">
        <is>
          <t>25.12.02</t>
        </is>
      </c>
      <c r="U1853" s="42" t="inlineStr">
        <is>
          <t>아파트</t>
        </is>
      </c>
    </row>
    <row r="1854" hidden="1" ht="14.25" customHeight="1">
      <c r="A1854" s="41" t="n">
        <v>195</v>
      </c>
      <c r="B1854" s="42" t="inlineStr">
        <is>
          <t>서울특별시 서초구 서초동</t>
        </is>
      </c>
      <c r="C1854" s="41" t="inlineStr">
        <is>
          <t>1445-4</t>
        </is>
      </c>
      <c r="D1854" s="41" t="inlineStr">
        <is>
          <t>1445</t>
        </is>
      </c>
      <c r="E1854" s="41" t="inlineStr">
        <is>
          <t>0004</t>
        </is>
      </c>
      <c r="F1854" s="42" t="inlineStr">
        <is>
          <t>래미안서초유니빌</t>
        </is>
      </c>
      <c r="G1854" s="41" t="inlineStr">
        <is>
          <t>45.2540</t>
        </is>
      </c>
      <c r="H1854" s="41" t="inlineStr">
        <is>
          <t>202511</t>
        </is>
      </c>
      <c r="I1854" s="41" t="inlineStr">
        <is>
          <t>26</t>
        </is>
      </c>
      <c r="J1854" s="41" t="inlineStr">
        <is>
          <t>44,000</t>
        </is>
      </c>
      <c r="K1854" s="42" t="inlineStr">
        <is>
          <t>래미안 서초유니빌</t>
        </is>
      </c>
      <c r="L1854" s="41" t="inlineStr">
        <is>
          <t>5</t>
        </is>
      </c>
      <c r="M1854" s="42" t="inlineStr">
        <is>
          <t>개인</t>
        </is>
      </c>
      <c r="N1854" s="42" t="inlineStr">
        <is>
          <t>개인</t>
        </is>
      </c>
      <c r="O1854" s="41" t="inlineStr">
        <is>
          <t>2003</t>
        </is>
      </c>
      <c r="P1854" s="42" t="inlineStr">
        <is>
          <t>서초중앙로 26</t>
        </is>
      </c>
      <c r="Q1854" s="41" t="inlineStr">
        <is>
          <t>-</t>
        </is>
      </c>
      <c r="R1854" s="42" t="inlineStr">
        <is>
          <t>중개거래</t>
        </is>
      </c>
      <c r="S1854" s="42" t="inlineStr">
        <is>
          <t>서울 서초구</t>
        </is>
      </c>
      <c r="T1854" s="41" t="inlineStr">
        <is>
          <t>26.01.30</t>
        </is>
      </c>
      <c r="U1854" s="42" t="inlineStr">
        <is>
          <t>아파트</t>
        </is>
      </c>
    </row>
    <row r="1855" hidden="1" ht="14.25" customHeight="1">
      <c r="A1855" s="41" t="n">
        <v>196</v>
      </c>
      <c r="B1855" s="42" t="inlineStr">
        <is>
          <t>서울특별시 서초구 서초동</t>
        </is>
      </c>
      <c r="C1855" s="41" t="inlineStr">
        <is>
          <t>1682</t>
        </is>
      </c>
      <c r="D1855" s="41" t="inlineStr">
        <is>
          <t>1682</t>
        </is>
      </c>
      <c r="E1855" s="41" t="inlineStr">
        <is>
          <t>0000</t>
        </is>
      </c>
      <c r="F1855" s="42" t="inlineStr">
        <is>
          <t>서초래미안</t>
        </is>
      </c>
      <c r="G1855" s="41" t="inlineStr">
        <is>
          <t>96.8700</t>
        </is>
      </c>
      <c r="H1855" s="41" t="inlineStr">
        <is>
          <t>202511</t>
        </is>
      </c>
      <c r="I1855" s="41" t="inlineStr">
        <is>
          <t>25</t>
        </is>
      </c>
      <c r="J1855" s="41" t="inlineStr">
        <is>
          <t>327,000</t>
        </is>
      </c>
      <c r="K1855" s="41" t="inlineStr">
        <is>
          <t>-</t>
        </is>
      </c>
      <c r="L1855" s="41" t="inlineStr">
        <is>
          <t>16</t>
        </is>
      </c>
      <c r="M1855" s="42" t="inlineStr">
        <is>
          <t>개인</t>
        </is>
      </c>
      <c r="N1855" s="42" t="inlineStr">
        <is>
          <t>개인</t>
        </is>
      </c>
      <c r="O1855" s="41" t="inlineStr">
        <is>
          <t>2003</t>
        </is>
      </c>
      <c r="P1855" s="42" t="inlineStr">
        <is>
          <t>서초대로65길 13-10</t>
        </is>
      </c>
      <c r="Q1855" s="41" t="inlineStr">
        <is>
          <t>-</t>
        </is>
      </c>
      <c r="R1855" s="42" t="inlineStr">
        <is>
          <t>중개거래</t>
        </is>
      </c>
      <c r="S1855" s="42" t="inlineStr">
        <is>
          <t>서울 마포구, 서울 서초구</t>
        </is>
      </c>
      <c r="T1855" s="41" t="inlineStr">
        <is>
          <t>-</t>
        </is>
      </c>
      <c r="U1855" s="42" t="inlineStr">
        <is>
          <t>아파트</t>
        </is>
      </c>
    </row>
    <row r="1856" hidden="1" ht="14.25" customHeight="1">
      <c r="A1856" s="41" t="n">
        <v>197</v>
      </c>
      <c r="B1856" s="42" t="inlineStr">
        <is>
          <t>서울특별시 서초구 서초동</t>
        </is>
      </c>
      <c r="C1856" s="41" t="inlineStr">
        <is>
          <t>1363-25</t>
        </is>
      </c>
      <c r="D1856" s="41" t="inlineStr">
        <is>
          <t>1363</t>
        </is>
      </c>
      <c r="E1856" s="41" t="inlineStr">
        <is>
          <t>0025</t>
        </is>
      </c>
      <c r="F1856" s="42" t="inlineStr">
        <is>
          <t>한라비발디스튜디오193</t>
        </is>
      </c>
      <c r="G1856" s="41" t="inlineStr">
        <is>
          <t>25.7500</t>
        </is>
      </c>
      <c r="H1856" s="41" t="inlineStr">
        <is>
          <t>202511</t>
        </is>
      </c>
      <c r="I1856" s="41" t="inlineStr">
        <is>
          <t>25</t>
        </is>
      </c>
      <c r="J1856" s="41" t="inlineStr">
        <is>
          <t>31,800</t>
        </is>
      </c>
      <c r="K1856" s="42" t="inlineStr">
        <is>
          <t>한라비발디스튜디오193</t>
        </is>
      </c>
      <c r="L1856" s="41" t="inlineStr">
        <is>
          <t>9</t>
        </is>
      </c>
      <c r="M1856" s="42" t="inlineStr">
        <is>
          <t>개인</t>
        </is>
      </c>
      <c r="N1856" s="42" t="inlineStr">
        <is>
          <t>개인</t>
        </is>
      </c>
      <c r="O1856" s="41" t="inlineStr">
        <is>
          <t>2013</t>
        </is>
      </c>
      <c r="P1856" s="42" t="inlineStr">
        <is>
          <t>강남대로39길 15-10</t>
        </is>
      </c>
      <c r="Q1856" s="41" t="inlineStr">
        <is>
          <t>-</t>
        </is>
      </c>
      <c r="R1856" s="42" t="inlineStr">
        <is>
          <t>중개거래</t>
        </is>
      </c>
      <c r="S1856" s="42" t="inlineStr">
        <is>
          <t>서울 서초구</t>
        </is>
      </c>
      <c r="T1856" s="41" t="inlineStr">
        <is>
          <t>25.11.28</t>
        </is>
      </c>
      <c r="U1856" s="42" t="inlineStr">
        <is>
          <t>아파트</t>
        </is>
      </c>
    </row>
    <row r="1857" hidden="1" ht="14.25" customHeight="1">
      <c r="A1857" s="41" t="n">
        <v>198</v>
      </c>
      <c r="B1857" s="42" t="inlineStr">
        <is>
          <t>서울특별시 서초구 서초동</t>
        </is>
      </c>
      <c r="C1857" s="41" t="inlineStr">
        <is>
          <t>1444-7</t>
        </is>
      </c>
      <c r="D1857" s="41" t="inlineStr">
        <is>
          <t>1444</t>
        </is>
      </c>
      <c r="E1857" s="41" t="inlineStr">
        <is>
          <t>0007</t>
        </is>
      </c>
      <c r="F1857" s="42" t="inlineStr">
        <is>
          <t>서초자이</t>
        </is>
      </c>
      <c r="G1857" s="41" t="inlineStr">
        <is>
          <t>116.8500</t>
        </is>
      </c>
      <c r="H1857" s="41" t="inlineStr">
        <is>
          <t>202511</t>
        </is>
      </c>
      <c r="I1857" s="41" t="inlineStr">
        <is>
          <t>22</t>
        </is>
      </c>
      <c r="J1857" s="41" t="inlineStr">
        <is>
          <t>250,000</t>
        </is>
      </c>
      <c r="K1857" s="41" t="inlineStr">
        <is>
          <t>104</t>
        </is>
      </c>
      <c r="L1857" s="41" t="inlineStr">
        <is>
          <t>16</t>
        </is>
      </c>
      <c r="M1857" s="42" t="inlineStr">
        <is>
          <t>개인</t>
        </is>
      </c>
      <c r="N1857" s="42" t="inlineStr">
        <is>
          <t>개인</t>
        </is>
      </c>
      <c r="O1857" s="41" t="inlineStr">
        <is>
          <t>2006</t>
        </is>
      </c>
      <c r="P1857" s="42" t="inlineStr">
        <is>
          <t>효령로68길 81</t>
        </is>
      </c>
      <c r="Q1857" s="41" t="inlineStr">
        <is>
          <t>-</t>
        </is>
      </c>
      <c r="R1857" s="42" t="inlineStr">
        <is>
          <t>중개거래</t>
        </is>
      </c>
      <c r="S1857" s="42" t="inlineStr">
        <is>
          <t>강원 원주시</t>
        </is>
      </c>
      <c r="T1857" s="41" t="inlineStr">
        <is>
          <t>26.01.30</t>
        </is>
      </c>
      <c r="U1857" s="42" t="inlineStr">
        <is>
          <t>아파트</t>
        </is>
      </c>
    </row>
    <row r="1858" hidden="1" ht="14.25" customHeight="1">
      <c r="A1858" s="41" t="n">
        <v>199</v>
      </c>
      <c r="B1858" s="42" t="inlineStr">
        <is>
          <t>서울특별시 서초구 서초동</t>
        </is>
      </c>
      <c r="C1858" s="41" t="inlineStr">
        <is>
          <t>1445-4</t>
        </is>
      </c>
      <c r="D1858" s="41" t="inlineStr">
        <is>
          <t>1445</t>
        </is>
      </c>
      <c r="E1858" s="41" t="inlineStr">
        <is>
          <t>0004</t>
        </is>
      </c>
      <c r="F1858" s="42" t="inlineStr">
        <is>
          <t>래미안서초유니빌</t>
        </is>
      </c>
      <c r="G1858" s="41" t="inlineStr">
        <is>
          <t>45.2550</t>
        </is>
      </c>
      <c r="H1858" s="41" t="inlineStr">
        <is>
          <t>202511</t>
        </is>
      </c>
      <c r="I1858" s="41" t="inlineStr">
        <is>
          <t>22</t>
        </is>
      </c>
      <c r="J1858" s="41" t="inlineStr">
        <is>
          <t>50,000</t>
        </is>
      </c>
      <c r="K1858" s="42" t="inlineStr">
        <is>
          <t>래미안 서초유니빌</t>
        </is>
      </c>
      <c r="L1858" s="41" t="inlineStr">
        <is>
          <t>14</t>
        </is>
      </c>
      <c r="M1858" s="42" t="inlineStr">
        <is>
          <t>개인</t>
        </is>
      </c>
      <c r="N1858" s="42" t="inlineStr">
        <is>
          <t>개인</t>
        </is>
      </c>
      <c r="O1858" s="41" t="inlineStr">
        <is>
          <t>2003</t>
        </is>
      </c>
      <c r="P1858" s="42" t="inlineStr">
        <is>
          <t>서초중앙로 26</t>
        </is>
      </c>
      <c r="Q1858" s="41" t="inlineStr">
        <is>
          <t>-</t>
        </is>
      </c>
      <c r="R1858" s="42" t="inlineStr">
        <is>
          <t>중개거래</t>
        </is>
      </c>
      <c r="S1858" s="42" t="inlineStr">
        <is>
          <t>서울 서초구</t>
        </is>
      </c>
      <c r="T1858" s="41" t="inlineStr">
        <is>
          <t>26.03.10</t>
        </is>
      </c>
      <c r="U1858" s="42" t="inlineStr">
        <is>
          <t>아파트</t>
        </is>
      </c>
    </row>
    <row r="1859" hidden="1" ht="14.25" customHeight="1">
      <c r="A1859" s="41" t="n">
        <v>200</v>
      </c>
      <c r="B1859" s="42" t="inlineStr">
        <is>
          <t>서울특별시 서초구 서초동</t>
        </is>
      </c>
      <c r="C1859" s="41" t="inlineStr">
        <is>
          <t>1445-4</t>
        </is>
      </c>
      <c r="D1859" s="41" t="inlineStr">
        <is>
          <t>1445</t>
        </is>
      </c>
      <c r="E1859" s="41" t="inlineStr">
        <is>
          <t>0004</t>
        </is>
      </c>
      <c r="F1859" s="42" t="inlineStr">
        <is>
          <t>래미안서초유니빌</t>
        </is>
      </c>
      <c r="G1859" s="41" t="inlineStr">
        <is>
          <t>46.3500</t>
        </is>
      </c>
      <c r="H1859" s="41" t="inlineStr">
        <is>
          <t>202511</t>
        </is>
      </c>
      <c r="I1859" s="41" t="inlineStr">
        <is>
          <t>22</t>
        </is>
      </c>
      <c r="J1859" s="41" t="inlineStr">
        <is>
          <t>72,000</t>
        </is>
      </c>
      <c r="K1859" s="42" t="inlineStr">
        <is>
          <t>래미안 서초유니빌</t>
        </is>
      </c>
      <c r="L1859" s="41" t="inlineStr">
        <is>
          <t>23</t>
        </is>
      </c>
      <c r="M1859" s="42" t="inlineStr">
        <is>
          <t>개인</t>
        </is>
      </c>
      <c r="N1859" s="42" t="inlineStr">
        <is>
          <t>개인</t>
        </is>
      </c>
      <c r="O1859" s="41" t="inlineStr">
        <is>
          <t>2003</t>
        </is>
      </c>
      <c r="P1859" s="42" t="inlineStr">
        <is>
          <t>서초중앙로 26</t>
        </is>
      </c>
      <c r="Q1859" s="41" t="inlineStr">
        <is>
          <t>-</t>
        </is>
      </c>
      <c r="R1859" s="42" t="inlineStr">
        <is>
          <t>중개거래</t>
        </is>
      </c>
      <c r="S1859" s="42" t="inlineStr">
        <is>
          <t>서울 서초구</t>
        </is>
      </c>
      <c r="T1859" s="41" t="inlineStr">
        <is>
          <t>26.02.10</t>
        </is>
      </c>
      <c r="U1859" s="42" t="inlineStr">
        <is>
          <t>아파트</t>
        </is>
      </c>
    </row>
    <row r="1860" hidden="1" ht="14.25" customHeight="1">
      <c r="A1860" s="41" t="n">
        <v>201</v>
      </c>
      <c r="B1860" s="42" t="inlineStr">
        <is>
          <t>서울특별시 서초구 서초동</t>
        </is>
      </c>
      <c r="C1860" s="41" t="inlineStr">
        <is>
          <t>1326-17</t>
        </is>
      </c>
      <c r="D1860" s="41" t="inlineStr">
        <is>
          <t>1326</t>
        </is>
      </c>
      <c r="E1860" s="41" t="inlineStr">
        <is>
          <t>0017</t>
        </is>
      </c>
      <c r="F1860" s="42" t="inlineStr">
        <is>
          <t>우성아파트</t>
        </is>
      </c>
      <c r="G1860" s="41" t="inlineStr">
        <is>
          <t>76.6700</t>
        </is>
      </c>
      <c r="H1860" s="41" t="inlineStr">
        <is>
          <t>202511</t>
        </is>
      </c>
      <c r="I1860" s="41" t="inlineStr">
        <is>
          <t>22</t>
        </is>
      </c>
      <c r="J1860" s="41" t="inlineStr">
        <is>
          <t>270,000</t>
        </is>
      </c>
      <c r="K1860" s="41" t="inlineStr">
        <is>
          <t>501</t>
        </is>
      </c>
      <c r="L1860" s="41" t="inlineStr">
        <is>
          <t>19</t>
        </is>
      </c>
      <c r="M1860" s="42" t="inlineStr">
        <is>
          <t>개인</t>
        </is>
      </c>
      <c r="N1860" s="42" t="inlineStr">
        <is>
          <t>개인</t>
        </is>
      </c>
      <c r="O1860" s="41" t="inlineStr">
        <is>
          <t>1998</t>
        </is>
      </c>
      <c r="P1860" s="42" t="inlineStr">
        <is>
          <t>서초대로74길 30</t>
        </is>
      </c>
      <c r="Q1860" s="41" t="inlineStr">
        <is>
          <t>-</t>
        </is>
      </c>
      <c r="R1860" s="42" t="inlineStr">
        <is>
          <t>중개거래</t>
        </is>
      </c>
      <c r="S1860" s="42" t="inlineStr">
        <is>
          <t>경기 구리시, 서울 서초구</t>
        </is>
      </c>
      <c r="T1860" s="41" t="inlineStr">
        <is>
          <t>26.02.23</t>
        </is>
      </c>
      <c r="U1860" s="42" t="inlineStr">
        <is>
          <t>아파트</t>
        </is>
      </c>
    </row>
    <row r="1861" hidden="1" ht="14.25" customHeight="1">
      <c r="A1861" s="41" t="n">
        <v>202</v>
      </c>
      <c r="B1861" s="42" t="inlineStr">
        <is>
          <t>서울특별시 서초구 서초동</t>
        </is>
      </c>
      <c r="C1861" s="41" t="inlineStr">
        <is>
          <t>1428-1</t>
        </is>
      </c>
      <c r="D1861" s="41" t="inlineStr">
        <is>
          <t>1428</t>
        </is>
      </c>
      <c r="E1861" s="41" t="inlineStr">
        <is>
          <t>0001</t>
        </is>
      </c>
      <c r="F1861" s="42" t="inlineStr">
        <is>
          <t>햄프턴코트</t>
        </is>
      </c>
      <c r="G1861" s="41" t="inlineStr">
        <is>
          <t>149.1000</t>
        </is>
      </c>
      <c r="H1861" s="41" t="inlineStr">
        <is>
          <t>202511</t>
        </is>
      </c>
      <c r="I1861" s="41" t="inlineStr">
        <is>
          <t>22</t>
        </is>
      </c>
      <c r="J1861" s="41" t="inlineStr">
        <is>
          <t>187,000</t>
        </is>
      </c>
      <c r="K1861" s="42" t="inlineStr">
        <is>
          <t>햄프턴코트</t>
        </is>
      </c>
      <c r="L1861" s="41" t="inlineStr">
        <is>
          <t>2</t>
        </is>
      </c>
      <c r="M1861" s="42" t="inlineStr">
        <is>
          <t>개인</t>
        </is>
      </c>
      <c r="N1861" s="42" t="inlineStr">
        <is>
          <t>개인</t>
        </is>
      </c>
      <c r="O1861" s="41" t="inlineStr">
        <is>
          <t>2004</t>
        </is>
      </c>
      <c r="P1861" s="42" t="inlineStr">
        <is>
          <t>서초중앙로2길 48</t>
        </is>
      </c>
      <c r="Q1861" s="41" t="inlineStr">
        <is>
          <t>-</t>
        </is>
      </c>
      <c r="R1861" s="42" t="inlineStr">
        <is>
          <t>중개거래</t>
        </is>
      </c>
      <c r="S1861" s="42" t="inlineStr">
        <is>
          <t>서울 서초구</t>
        </is>
      </c>
      <c r="T1861" s="41" t="inlineStr">
        <is>
          <t>25.12.19</t>
        </is>
      </c>
      <c r="U1861" s="42" t="inlineStr">
        <is>
          <t>아파트</t>
        </is>
      </c>
    </row>
    <row r="1862" hidden="1" ht="14.25" customHeight="1">
      <c r="A1862" s="41" t="n">
        <v>203</v>
      </c>
      <c r="B1862" s="42" t="inlineStr">
        <is>
          <t>서울특별시 서초구 서초동</t>
        </is>
      </c>
      <c r="C1862" s="41" t="inlineStr">
        <is>
          <t>1344-13</t>
        </is>
      </c>
      <c r="D1862" s="41" t="inlineStr">
        <is>
          <t>1344</t>
        </is>
      </c>
      <c r="E1862" s="41" t="inlineStr">
        <is>
          <t>0013</t>
        </is>
      </c>
      <c r="F1862" s="42" t="inlineStr">
        <is>
          <t>서초트라팰리스</t>
        </is>
      </c>
      <c r="G1862" s="41" t="inlineStr">
        <is>
          <t>126.5600</t>
        </is>
      </c>
      <c r="H1862" s="41" t="inlineStr">
        <is>
          <t>202511</t>
        </is>
      </c>
      <c r="I1862" s="41" t="inlineStr">
        <is>
          <t>22</t>
        </is>
      </c>
      <c r="J1862" s="41" t="inlineStr">
        <is>
          <t>245,000</t>
        </is>
      </c>
      <c r="K1862" s="41" t="inlineStr">
        <is>
          <t>B</t>
        </is>
      </c>
      <c r="L1862" s="41" t="inlineStr">
        <is>
          <t>6</t>
        </is>
      </c>
      <c r="M1862" s="42" t="inlineStr">
        <is>
          <t>개인</t>
        </is>
      </c>
      <c r="N1862" s="42" t="inlineStr">
        <is>
          <t>개인</t>
        </is>
      </c>
      <c r="O1862" s="41" t="inlineStr">
        <is>
          <t>2005</t>
        </is>
      </c>
      <c r="P1862" s="42" t="inlineStr">
        <is>
          <t>효령로72길 57</t>
        </is>
      </c>
      <c r="Q1862" s="41" t="inlineStr">
        <is>
          <t>-</t>
        </is>
      </c>
      <c r="R1862" s="42" t="inlineStr">
        <is>
          <t>중개거래</t>
        </is>
      </c>
      <c r="S1862" s="42" t="inlineStr">
        <is>
          <t>서울 서초구</t>
        </is>
      </c>
      <c r="T1862" s="41" t="inlineStr">
        <is>
          <t>25.12.19</t>
        </is>
      </c>
      <c r="U1862" s="42" t="inlineStr">
        <is>
          <t>아파트</t>
        </is>
      </c>
    </row>
    <row r="1863" hidden="1" ht="14.25" customHeight="1">
      <c r="A1863" s="41" t="n">
        <v>204</v>
      </c>
      <c r="B1863" s="42" t="inlineStr">
        <is>
          <t>서울특별시 서초구 서초동</t>
        </is>
      </c>
      <c r="C1863" s="41" t="inlineStr">
        <is>
          <t>1446-11</t>
        </is>
      </c>
      <c r="D1863" s="41" t="inlineStr">
        <is>
          <t>1446</t>
        </is>
      </c>
      <c r="E1863" s="41" t="inlineStr">
        <is>
          <t>0011</t>
        </is>
      </c>
      <c r="F1863" s="42" t="inlineStr">
        <is>
          <t>현대슈퍼빌</t>
        </is>
      </c>
      <c r="G1863" s="41" t="inlineStr">
        <is>
          <t>164.8700</t>
        </is>
      </c>
      <c r="H1863" s="41" t="inlineStr">
        <is>
          <t>202511</t>
        </is>
      </c>
      <c r="I1863" s="41" t="inlineStr">
        <is>
          <t>21</t>
        </is>
      </c>
      <c r="J1863" s="41" t="inlineStr">
        <is>
          <t>298,000</t>
        </is>
      </c>
      <c r="K1863" s="41" t="inlineStr">
        <is>
          <t>A</t>
        </is>
      </c>
      <c r="L1863" s="41" t="inlineStr">
        <is>
          <t>7</t>
        </is>
      </c>
      <c r="M1863" s="42" t="inlineStr">
        <is>
          <t>개인</t>
        </is>
      </c>
      <c r="N1863" s="42" t="inlineStr">
        <is>
          <t>개인</t>
        </is>
      </c>
      <c r="O1863" s="41" t="inlineStr">
        <is>
          <t>2003</t>
        </is>
      </c>
      <c r="P1863" s="42" t="inlineStr">
        <is>
          <t>서초중앙로 15</t>
        </is>
      </c>
      <c r="Q1863" s="41" t="inlineStr">
        <is>
          <t>-</t>
        </is>
      </c>
      <c r="R1863" s="42" t="inlineStr">
        <is>
          <t>중개거래</t>
        </is>
      </c>
      <c r="S1863" s="42" t="inlineStr">
        <is>
          <t>경기 의정부시, 서울 서초구</t>
        </is>
      </c>
      <c r="T1863" s="41" t="inlineStr">
        <is>
          <t>26.03.17</t>
        </is>
      </c>
      <c r="U1863" s="42" t="inlineStr">
        <is>
          <t>아파트</t>
        </is>
      </c>
    </row>
    <row r="1864" hidden="1" ht="14.25" customHeight="1">
      <c r="A1864" s="41" t="n">
        <v>205</v>
      </c>
      <c r="B1864" s="42" t="inlineStr">
        <is>
          <t>서울특별시 서초구 서초동</t>
        </is>
      </c>
      <c r="C1864" s="41" t="inlineStr">
        <is>
          <t>1338-1</t>
        </is>
      </c>
      <c r="D1864" s="41" t="inlineStr">
        <is>
          <t>1338</t>
        </is>
      </c>
      <c r="E1864" s="41" t="inlineStr">
        <is>
          <t>0001</t>
        </is>
      </c>
      <c r="F1864" s="42" t="inlineStr">
        <is>
          <t>풍림아이원플러스</t>
        </is>
      </c>
      <c r="G1864" s="41" t="inlineStr">
        <is>
          <t>28.6660</t>
        </is>
      </c>
      <c r="H1864" s="41" t="inlineStr">
        <is>
          <t>202511</t>
        </is>
      </c>
      <c r="I1864" s="41" t="inlineStr">
        <is>
          <t>20</t>
        </is>
      </c>
      <c r="J1864" s="41" t="inlineStr">
        <is>
          <t>24,000</t>
        </is>
      </c>
      <c r="K1864" s="42" t="inlineStr">
        <is>
          <t>풍림아이원플러스</t>
        </is>
      </c>
      <c r="L1864" s="41" t="inlineStr">
        <is>
          <t>15</t>
        </is>
      </c>
      <c r="M1864" s="42" t="inlineStr">
        <is>
          <t>개인</t>
        </is>
      </c>
      <c r="N1864" s="42" t="inlineStr">
        <is>
          <t>개인</t>
        </is>
      </c>
      <c r="O1864" s="41" t="inlineStr">
        <is>
          <t>2004</t>
        </is>
      </c>
      <c r="P1864" s="42" t="inlineStr">
        <is>
          <t>효령로77길 14</t>
        </is>
      </c>
      <c r="Q1864" s="41" t="inlineStr">
        <is>
          <t>-</t>
        </is>
      </c>
      <c r="R1864" s="42" t="inlineStr">
        <is>
          <t>직거래</t>
        </is>
      </c>
      <c r="S1864" s="41" t="inlineStr">
        <is>
          <t>-</t>
        </is>
      </c>
      <c r="T1864" s="41" t="inlineStr">
        <is>
          <t>25.12.03</t>
        </is>
      </c>
      <c r="U1864" s="42" t="inlineStr">
        <is>
          <t>아파트</t>
        </is>
      </c>
    </row>
    <row r="1865" hidden="1" ht="14.25" customHeight="1">
      <c r="A1865" s="41" t="n">
        <v>206</v>
      </c>
      <c r="B1865" s="42" t="inlineStr">
        <is>
          <t>서울특별시 서초구 서초동</t>
        </is>
      </c>
      <c r="C1865" s="41" t="inlineStr">
        <is>
          <t>1681-8</t>
        </is>
      </c>
      <c r="D1865" s="41" t="inlineStr">
        <is>
          <t>1681</t>
        </is>
      </c>
      <c r="E1865" s="41" t="inlineStr">
        <is>
          <t>0008</t>
        </is>
      </c>
      <c r="F1865" s="42" t="inlineStr">
        <is>
          <t>서초롯데캐슬프레지던트</t>
        </is>
      </c>
      <c r="G1865" s="41" t="inlineStr">
        <is>
          <t>84.9700</t>
        </is>
      </c>
      <c r="H1865" s="41" t="inlineStr">
        <is>
          <t>202511</t>
        </is>
      </c>
      <c r="I1865" s="41" t="inlineStr">
        <is>
          <t>19</t>
        </is>
      </c>
      <c r="J1865" s="41" t="inlineStr">
        <is>
          <t>299,000</t>
        </is>
      </c>
      <c r="K1865" s="41" t="inlineStr">
        <is>
          <t>101</t>
        </is>
      </c>
      <c r="L1865" s="41" t="inlineStr">
        <is>
          <t>2</t>
        </is>
      </c>
      <c r="M1865" s="42" t="inlineStr">
        <is>
          <t>개인</t>
        </is>
      </c>
      <c r="N1865" s="42" t="inlineStr">
        <is>
          <t>개인</t>
        </is>
      </c>
      <c r="O1865" s="41" t="inlineStr">
        <is>
          <t>2014</t>
        </is>
      </c>
      <c r="P1865" s="42" t="inlineStr">
        <is>
          <t>서초중앙로24길 57</t>
        </is>
      </c>
      <c r="Q1865" s="41" t="inlineStr">
        <is>
          <t>-</t>
        </is>
      </c>
      <c r="R1865" s="42" t="inlineStr">
        <is>
          <t>중개거래</t>
        </is>
      </c>
      <c r="S1865" s="42" t="inlineStr">
        <is>
          <t>대구 수성구, 서울 서초구</t>
        </is>
      </c>
      <c r="T1865" s="41" t="inlineStr">
        <is>
          <t>26.03.25</t>
        </is>
      </c>
      <c r="U1865" s="42" t="inlineStr">
        <is>
          <t>아파트</t>
        </is>
      </c>
    </row>
    <row r="1866" hidden="1" ht="14.25" customHeight="1">
      <c r="A1866" s="41" t="n">
        <v>207</v>
      </c>
      <c r="B1866" s="42" t="inlineStr">
        <is>
          <t>서울특별시 서초구 서초동</t>
        </is>
      </c>
      <c r="C1866" s="41" t="inlineStr">
        <is>
          <t>1684</t>
        </is>
      </c>
      <c r="D1866" s="41" t="inlineStr">
        <is>
          <t>1684</t>
        </is>
      </c>
      <c r="E1866" s="41" t="inlineStr">
        <is>
          <t>0000</t>
        </is>
      </c>
      <c r="F1866" s="42" t="inlineStr">
        <is>
          <t>서초4현대</t>
        </is>
      </c>
      <c r="G1866" s="41" t="inlineStr">
        <is>
          <t>67.8300</t>
        </is>
      </c>
      <c r="H1866" s="41" t="inlineStr">
        <is>
          <t>202511</t>
        </is>
      </c>
      <c r="I1866" s="41" t="inlineStr">
        <is>
          <t>19</t>
        </is>
      </c>
      <c r="J1866" s="41" t="inlineStr">
        <is>
          <t>200,000</t>
        </is>
      </c>
      <c r="K1866" s="41" t="inlineStr">
        <is>
          <t>201</t>
        </is>
      </c>
      <c r="L1866" s="41" t="inlineStr">
        <is>
          <t>1</t>
        </is>
      </c>
      <c r="M1866" s="42" t="inlineStr">
        <is>
          <t>개인</t>
        </is>
      </c>
      <c r="N1866" s="42" t="inlineStr">
        <is>
          <t>개인</t>
        </is>
      </c>
      <c r="O1866" s="41" t="inlineStr">
        <is>
          <t>2000</t>
        </is>
      </c>
      <c r="P1866" s="42" t="inlineStr">
        <is>
          <t>고무래로 94</t>
        </is>
      </c>
      <c r="Q1866" s="41" t="inlineStr">
        <is>
          <t>-</t>
        </is>
      </c>
      <c r="R1866" s="42" t="inlineStr">
        <is>
          <t>중개거래</t>
        </is>
      </c>
      <c r="S1866" s="42" t="inlineStr">
        <is>
          <t>서울 서초구</t>
        </is>
      </c>
      <c r="T1866" s="41" t="inlineStr">
        <is>
          <t>26.02.12</t>
        </is>
      </c>
      <c r="U1866" s="42" t="inlineStr">
        <is>
          <t>아파트</t>
        </is>
      </c>
    </row>
    <row r="1867" hidden="1" ht="14.25" customHeight="1">
      <c r="A1867" s="41" t="n">
        <v>208</v>
      </c>
      <c r="B1867" s="42" t="inlineStr">
        <is>
          <t>서울특별시 서초구 서초동</t>
        </is>
      </c>
      <c r="C1867" s="41" t="inlineStr">
        <is>
          <t>1681-8</t>
        </is>
      </c>
      <c r="D1867" s="41" t="inlineStr">
        <is>
          <t>1681</t>
        </is>
      </c>
      <c r="E1867" s="41" t="inlineStr">
        <is>
          <t>0008</t>
        </is>
      </c>
      <c r="F1867" s="42" t="inlineStr">
        <is>
          <t>서초롯데캐슬프레지던트</t>
        </is>
      </c>
      <c r="G1867" s="41" t="inlineStr">
        <is>
          <t>84.9700</t>
        </is>
      </c>
      <c r="H1867" s="41" t="inlineStr">
        <is>
          <t>202511</t>
        </is>
      </c>
      <c r="I1867" s="41" t="inlineStr">
        <is>
          <t>19</t>
        </is>
      </c>
      <c r="J1867" s="41" t="inlineStr">
        <is>
          <t>299,000</t>
        </is>
      </c>
      <c r="K1867" s="41" t="inlineStr">
        <is>
          <t>-</t>
        </is>
      </c>
      <c r="L1867" s="41" t="inlineStr">
        <is>
          <t>2</t>
        </is>
      </c>
      <c r="M1867" s="42" t="inlineStr">
        <is>
          <t>개인</t>
        </is>
      </c>
      <c r="N1867" s="42" t="inlineStr">
        <is>
          <t>개인</t>
        </is>
      </c>
      <c r="O1867" s="41" t="inlineStr">
        <is>
          <t>2014</t>
        </is>
      </c>
      <c r="P1867" s="42" t="inlineStr">
        <is>
          <t>서초중앙로24길 57</t>
        </is>
      </c>
      <c r="Q1867" s="41" t="inlineStr">
        <is>
          <t>20251218</t>
        </is>
      </c>
      <c r="R1867" s="42" t="inlineStr">
        <is>
          <t>중개거래</t>
        </is>
      </c>
      <c r="S1867" s="42" t="inlineStr">
        <is>
          <t>서울 서초구</t>
        </is>
      </c>
      <c r="T1867" s="41" t="inlineStr">
        <is>
          <t>-</t>
        </is>
      </c>
      <c r="U1867" s="42" t="inlineStr">
        <is>
          <t>아파트</t>
        </is>
      </c>
    </row>
    <row r="1868" hidden="1" ht="14.25" customHeight="1">
      <c r="A1868" s="41" t="n">
        <v>209</v>
      </c>
      <c r="B1868" s="42" t="inlineStr">
        <is>
          <t>서울특별시 서초구 서초동</t>
        </is>
      </c>
      <c r="C1868" s="41" t="inlineStr">
        <is>
          <t>1754</t>
        </is>
      </c>
      <c r="D1868" s="41" t="inlineStr">
        <is>
          <t>1754</t>
        </is>
      </c>
      <c r="E1868" s="41" t="inlineStr">
        <is>
          <t>0000</t>
        </is>
      </c>
      <c r="F1868" s="42" t="inlineStr">
        <is>
          <t>래미안서초에스티지S</t>
        </is>
      </c>
      <c r="G1868" s="41" t="inlineStr">
        <is>
          <t>84.9600</t>
        </is>
      </c>
      <c r="H1868" s="41" t="inlineStr">
        <is>
          <t>202511</t>
        </is>
      </c>
      <c r="I1868" s="41" t="inlineStr">
        <is>
          <t>18</t>
        </is>
      </c>
      <c r="J1868" s="41" t="inlineStr">
        <is>
          <t>365,000</t>
        </is>
      </c>
      <c r="K1868" s="41" t="inlineStr">
        <is>
          <t>201</t>
        </is>
      </c>
      <c r="L1868" s="41" t="inlineStr">
        <is>
          <t>14</t>
        </is>
      </c>
      <c r="M1868" s="42" t="inlineStr">
        <is>
          <t>개인</t>
        </is>
      </c>
      <c r="N1868" s="42" t="inlineStr">
        <is>
          <t>개인</t>
        </is>
      </c>
      <c r="O1868" s="41" t="inlineStr">
        <is>
          <t>2018</t>
        </is>
      </c>
      <c r="P1868" s="42" t="inlineStr">
        <is>
          <t>서운로 104</t>
        </is>
      </c>
      <c r="Q1868" s="41" t="inlineStr">
        <is>
          <t>-</t>
        </is>
      </c>
      <c r="R1868" s="42" t="inlineStr">
        <is>
          <t>중개거래</t>
        </is>
      </c>
      <c r="S1868" s="42" t="inlineStr">
        <is>
          <t>서울 서초구</t>
        </is>
      </c>
      <c r="T1868" s="41" t="inlineStr">
        <is>
          <t>26.03.09</t>
        </is>
      </c>
      <c r="U1868" s="42" t="inlineStr">
        <is>
          <t>아파트</t>
        </is>
      </c>
    </row>
    <row r="1869" hidden="1" ht="14.25" customHeight="1">
      <c r="A1869" s="41" t="n">
        <v>210</v>
      </c>
      <c r="B1869" s="42" t="inlineStr">
        <is>
          <t>서울특별시 서초구 서초동</t>
        </is>
      </c>
      <c r="C1869" s="41" t="inlineStr">
        <is>
          <t>1685</t>
        </is>
      </c>
      <c r="D1869" s="41" t="inlineStr">
        <is>
          <t>1685</t>
        </is>
      </c>
      <c r="E1869" s="41" t="inlineStr">
        <is>
          <t>0000</t>
        </is>
      </c>
      <c r="F1869" s="42" t="inlineStr">
        <is>
          <t>삼풍아파트</t>
        </is>
      </c>
      <c r="G1869" s="41" t="inlineStr">
        <is>
          <t>79.4700</t>
        </is>
      </c>
      <c r="H1869" s="41" t="inlineStr">
        <is>
          <t>202511</t>
        </is>
      </c>
      <c r="I1869" s="41" t="inlineStr">
        <is>
          <t>17</t>
        </is>
      </c>
      <c r="J1869" s="41" t="inlineStr">
        <is>
          <t>305,000</t>
        </is>
      </c>
      <c r="K1869" s="41" t="inlineStr">
        <is>
          <t>9</t>
        </is>
      </c>
      <c r="L1869" s="41" t="inlineStr">
        <is>
          <t>14</t>
        </is>
      </c>
      <c r="M1869" s="42" t="inlineStr">
        <is>
          <t>개인</t>
        </is>
      </c>
      <c r="N1869" s="42" t="inlineStr">
        <is>
          <t>개인</t>
        </is>
      </c>
      <c r="O1869" s="41" t="inlineStr">
        <is>
          <t>1988</t>
        </is>
      </c>
      <c r="P1869" s="42" t="inlineStr">
        <is>
          <t>서초중앙로 200</t>
        </is>
      </c>
      <c r="Q1869" s="41" t="inlineStr">
        <is>
          <t>-</t>
        </is>
      </c>
      <c r="R1869" s="42" t="inlineStr">
        <is>
          <t>직거래</t>
        </is>
      </c>
      <c r="S1869" s="41" t="inlineStr">
        <is>
          <t>-</t>
        </is>
      </c>
      <c r="T1869" s="41" t="inlineStr">
        <is>
          <t>26.02.25</t>
        </is>
      </c>
      <c r="U1869" s="42" t="inlineStr">
        <is>
          <t>아파트</t>
        </is>
      </c>
    </row>
    <row r="1870" hidden="1" ht="14.25" customHeight="1">
      <c r="A1870" s="41" t="n">
        <v>211</v>
      </c>
      <c r="B1870" s="42" t="inlineStr">
        <is>
          <t>서울특별시 서초구 서초동</t>
        </is>
      </c>
      <c r="C1870" s="41" t="inlineStr">
        <is>
          <t>1363-25</t>
        </is>
      </c>
      <c r="D1870" s="41" t="inlineStr">
        <is>
          <t>1363</t>
        </is>
      </c>
      <c r="E1870" s="41" t="inlineStr">
        <is>
          <t>0025</t>
        </is>
      </c>
      <c r="F1870" s="42" t="inlineStr">
        <is>
          <t>한라비발디스튜디오193</t>
        </is>
      </c>
      <c r="G1870" s="41" t="inlineStr">
        <is>
          <t>22.7200</t>
        </is>
      </c>
      <c r="H1870" s="41" t="inlineStr">
        <is>
          <t>202511</t>
        </is>
      </c>
      <c r="I1870" s="41" t="inlineStr">
        <is>
          <t>15</t>
        </is>
      </c>
      <c r="J1870" s="41" t="inlineStr">
        <is>
          <t>26,000</t>
        </is>
      </c>
      <c r="K1870" s="42" t="inlineStr">
        <is>
          <t>한라비발디스튜디오193</t>
        </is>
      </c>
      <c r="L1870" s="41" t="inlineStr">
        <is>
          <t>10</t>
        </is>
      </c>
      <c r="M1870" s="42" t="inlineStr">
        <is>
          <t>개인</t>
        </is>
      </c>
      <c r="N1870" s="42" t="inlineStr">
        <is>
          <t>개인</t>
        </is>
      </c>
      <c r="O1870" s="41" t="inlineStr">
        <is>
          <t>2013</t>
        </is>
      </c>
      <c r="P1870" s="42" t="inlineStr">
        <is>
          <t>강남대로39길 15-10</t>
        </is>
      </c>
      <c r="Q1870" s="41" t="inlineStr">
        <is>
          <t>-</t>
        </is>
      </c>
      <c r="R1870" s="42" t="inlineStr">
        <is>
          <t>중개거래</t>
        </is>
      </c>
      <c r="S1870" s="42" t="inlineStr">
        <is>
          <t>서울 서초구</t>
        </is>
      </c>
      <c r="T1870" s="41" t="inlineStr">
        <is>
          <t>25.11.17</t>
        </is>
      </c>
      <c r="U1870" s="42" t="inlineStr">
        <is>
          <t>아파트</t>
        </is>
      </c>
    </row>
    <row r="1871" hidden="1" ht="14.25" customHeight="1">
      <c r="A1871" s="41" t="n">
        <v>212</v>
      </c>
      <c r="B1871" s="42" t="inlineStr">
        <is>
          <t>서울특별시 서초구 서초동</t>
        </is>
      </c>
      <c r="C1871" s="41" t="inlineStr">
        <is>
          <t>1445-13</t>
        </is>
      </c>
      <c r="D1871" s="41" t="inlineStr">
        <is>
          <t>1445</t>
        </is>
      </c>
      <c r="E1871" s="41" t="inlineStr">
        <is>
          <t>0013</t>
        </is>
      </c>
      <c r="F1871" s="42" t="inlineStr">
        <is>
          <t>서초쌍용플래티넘</t>
        </is>
      </c>
      <c r="G1871" s="41" t="inlineStr">
        <is>
          <t>55.5900</t>
        </is>
      </c>
      <c r="H1871" s="41" t="inlineStr">
        <is>
          <t>202511</t>
        </is>
      </c>
      <c r="I1871" s="41" t="inlineStr">
        <is>
          <t>15</t>
        </is>
      </c>
      <c r="J1871" s="41" t="inlineStr">
        <is>
          <t>72,700</t>
        </is>
      </c>
      <c r="K1871" s="42" t="inlineStr">
        <is>
          <t>서초쌍용플래티넘</t>
        </is>
      </c>
      <c r="L1871" s="41" t="inlineStr">
        <is>
          <t>11</t>
        </is>
      </c>
      <c r="M1871" s="42" t="inlineStr">
        <is>
          <t>개인</t>
        </is>
      </c>
      <c r="N1871" s="42" t="inlineStr">
        <is>
          <t>개인</t>
        </is>
      </c>
      <c r="O1871" s="41" t="inlineStr">
        <is>
          <t>2006</t>
        </is>
      </c>
      <c r="P1871" s="42" t="inlineStr">
        <is>
          <t>서초중앙로 18</t>
        </is>
      </c>
      <c r="Q1871" s="41" t="inlineStr">
        <is>
          <t>-</t>
        </is>
      </c>
      <c r="R1871" s="42" t="inlineStr">
        <is>
          <t>중개거래</t>
        </is>
      </c>
      <c r="S1871" s="42" t="inlineStr">
        <is>
          <t>서울 강남구, 서울 서초구</t>
        </is>
      </c>
      <c r="T1871" s="41" t="inlineStr">
        <is>
          <t>26.01.08</t>
        </is>
      </c>
      <c r="U1871" s="42" t="inlineStr">
        <is>
          <t>아파트</t>
        </is>
      </c>
    </row>
    <row r="1872" hidden="1" ht="14.25" customHeight="1">
      <c r="A1872" s="41" t="n">
        <v>213</v>
      </c>
      <c r="B1872" s="42" t="inlineStr">
        <is>
          <t>서울특별시 서초구 서초동</t>
        </is>
      </c>
      <c r="C1872" s="41" t="inlineStr">
        <is>
          <t>1467-37</t>
        </is>
      </c>
      <c r="D1872" s="41" t="inlineStr">
        <is>
          <t>1467</t>
        </is>
      </c>
      <c r="E1872" s="41" t="inlineStr">
        <is>
          <t>0037</t>
        </is>
      </c>
      <c r="F1872" s="42" t="inlineStr">
        <is>
          <t>서초3차e편한세상</t>
        </is>
      </c>
      <c r="G1872" s="41" t="inlineStr">
        <is>
          <t>158.2400</t>
        </is>
      </c>
      <c r="H1872" s="41" t="inlineStr">
        <is>
          <t>202511</t>
        </is>
      </c>
      <c r="I1872" s="41" t="inlineStr">
        <is>
          <t>15</t>
        </is>
      </c>
      <c r="J1872" s="41" t="inlineStr">
        <is>
          <t>255,000</t>
        </is>
      </c>
      <c r="K1872" s="41" t="inlineStr">
        <is>
          <t>505</t>
        </is>
      </c>
      <c r="L1872" s="41" t="inlineStr">
        <is>
          <t>3</t>
        </is>
      </c>
      <c r="M1872" s="42" t="inlineStr">
        <is>
          <t>개인</t>
        </is>
      </c>
      <c r="N1872" s="42" t="inlineStr">
        <is>
          <t>개인</t>
        </is>
      </c>
      <c r="O1872" s="41" t="inlineStr">
        <is>
          <t>2005</t>
        </is>
      </c>
      <c r="P1872" s="42" t="inlineStr">
        <is>
          <t>남부순환로 2343-10</t>
        </is>
      </c>
      <c r="Q1872" s="41" t="inlineStr">
        <is>
          <t>-</t>
        </is>
      </c>
      <c r="R1872" s="42" t="inlineStr">
        <is>
          <t>중개거래</t>
        </is>
      </c>
      <c r="S1872" s="42" t="inlineStr">
        <is>
          <t>서울 서초구</t>
        </is>
      </c>
      <c r="T1872" s="41" t="inlineStr">
        <is>
          <t>26.02.02</t>
        </is>
      </c>
      <c r="U1872" s="42" t="inlineStr">
        <is>
          <t>아파트</t>
        </is>
      </c>
    </row>
    <row r="1873" hidden="1" ht="14.25" customHeight="1">
      <c r="A1873" s="41" t="n">
        <v>214</v>
      </c>
      <c r="B1873" s="42" t="inlineStr">
        <is>
          <t>서울특별시 서초구 서초동</t>
        </is>
      </c>
      <c r="C1873" s="41" t="inlineStr">
        <is>
          <t>1593-7</t>
        </is>
      </c>
      <c r="D1873" s="41" t="inlineStr">
        <is>
          <t>1593</t>
        </is>
      </c>
      <c r="E1873" s="41" t="inlineStr">
        <is>
          <t>0007</t>
        </is>
      </c>
      <c r="F1873" s="42" t="inlineStr">
        <is>
          <t>서초이오빌</t>
        </is>
      </c>
      <c r="G1873" s="41" t="inlineStr">
        <is>
          <t>45.9600</t>
        </is>
      </c>
      <c r="H1873" s="41" t="inlineStr">
        <is>
          <t>202511</t>
        </is>
      </c>
      <c r="I1873" s="41" t="inlineStr">
        <is>
          <t>12</t>
        </is>
      </c>
      <c r="J1873" s="41" t="inlineStr">
        <is>
          <t>39,600</t>
        </is>
      </c>
      <c r="K1873" s="41" t="inlineStr">
        <is>
          <t>-</t>
        </is>
      </c>
      <c r="L1873" s="41" t="inlineStr">
        <is>
          <t>4</t>
        </is>
      </c>
      <c r="M1873" s="42" t="inlineStr">
        <is>
          <t>개인</t>
        </is>
      </c>
      <c r="N1873" s="42" t="inlineStr">
        <is>
          <t>개인</t>
        </is>
      </c>
      <c r="O1873" s="41" t="inlineStr">
        <is>
          <t>2003</t>
        </is>
      </c>
      <c r="P1873" s="42" t="inlineStr">
        <is>
          <t>효령로53길 45</t>
        </is>
      </c>
      <c r="Q1873" s="41" t="inlineStr">
        <is>
          <t>-</t>
        </is>
      </c>
      <c r="R1873" s="42" t="inlineStr">
        <is>
          <t>중개거래</t>
        </is>
      </c>
      <c r="S1873" s="42" t="inlineStr">
        <is>
          <t>서울 서초구</t>
        </is>
      </c>
      <c r="T1873" s="41" t="inlineStr">
        <is>
          <t>25.12.17</t>
        </is>
      </c>
      <c r="U1873" s="42" t="inlineStr">
        <is>
          <t>아파트</t>
        </is>
      </c>
    </row>
    <row r="1874" hidden="1" ht="14.25" customHeight="1">
      <c r="A1874" s="41" t="n">
        <v>215</v>
      </c>
      <c r="B1874" s="42" t="inlineStr">
        <is>
          <t>서울특별시 서초구 서초동</t>
        </is>
      </c>
      <c r="C1874" s="41" t="inlineStr">
        <is>
          <t>1616-10</t>
        </is>
      </c>
      <c r="D1874" s="41" t="inlineStr">
        <is>
          <t>1616</t>
        </is>
      </c>
      <c r="E1874" s="41" t="inlineStr">
        <is>
          <t>0010</t>
        </is>
      </c>
      <c r="F1874" s="42" t="inlineStr">
        <is>
          <t>서초극동스타클래스</t>
        </is>
      </c>
      <c r="G1874" s="41" t="inlineStr">
        <is>
          <t>84.3000</t>
        </is>
      </c>
      <c r="H1874" s="41" t="inlineStr">
        <is>
          <t>202511</t>
        </is>
      </c>
      <c r="I1874" s="41" t="inlineStr">
        <is>
          <t>11</t>
        </is>
      </c>
      <c r="J1874" s="41" t="inlineStr">
        <is>
          <t>170,000</t>
        </is>
      </c>
      <c r="K1874" s="41" t="inlineStr">
        <is>
          <t>101</t>
        </is>
      </c>
      <c r="L1874" s="41" t="inlineStr">
        <is>
          <t>11</t>
        </is>
      </c>
      <c r="M1874" s="42" t="inlineStr">
        <is>
          <t>개인</t>
        </is>
      </c>
      <c r="N1874" s="42" t="inlineStr">
        <is>
          <t>개인</t>
        </is>
      </c>
      <c r="O1874" s="41" t="inlineStr">
        <is>
          <t>2003</t>
        </is>
      </c>
      <c r="P1874" s="42" t="inlineStr">
        <is>
          <t>서리풀4길 43</t>
        </is>
      </c>
      <c r="Q1874" s="41" t="inlineStr">
        <is>
          <t>-</t>
        </is>
      </c>
      <c r="R1874" s="42" t="inlineStr">
        <is>
          <t>중개거래</t>
        </is>
      </c>
      <c r="S1874" s="42" t="inlineStr">
        <is>
          <t>서울 서초구</t>
        </is>
      </c>
      <c r="T1874" s="41" t="inlineStr">
        <is>
          <t>26.02.27</t>
        </is>
      </c>
      <c r="U1874" s="42" t="inlineStr">
        <is>
          <t>아파트</t>
        </is>
      </c>
    </row>
    <row r="1875" hidden="1" ht="14.25" customHeight="1">
      <c r="A1875" s="41" t="n">
        <v>216</v>
      </c>
      <c r="B1875" s="42" t="inlineStr">
        <is>
          <t>서울특별시 서초구 서초동</t>
        </is>
      </c>
      <c r="C1875" s="41" t="inlineStr">
        <is>
          <t>1755</t>
        </is>
      </c>
      <c r="D1875" s="41" t="inlineStr">
        <is>
          <t>1755</t>
        </is>
      </c>
      <c r="E1875" s="41" t="inlineStr">
        <is>
          <t>0000</t>
        </is>
      </c>
      <c r="F1875" s="42" t="inlineStr">
        <is>
          <t>래미안 리더스원</t>
        </is>
      </c>
      <c r="G1875" s="41" t="inlineStr">
        <is>
          <t>59.9600</t>
        </is>
      </c>
      <c r="H1875" s="41" t="inlineStr">
        <is>
          <t>202511</t>
        </is>
      </c>
      <c r="I1875" s="41" t="inlineStr">
        <is>
          <t>10</t>
        </is>
      </c>
      <c r="J1875" s="41" t="inlineStr">
        <is>
          <t>338,000</t>
        </is>
      </c>
      <c r="K1875" s="41" t="inlineStr">
        <is>
          <t>112동</t>
        </is>
      </c>
      <c r="L1875" s="41" t="inlineStr">
        <is>
          <t>20</t>
        </is>
      </c>
      <c r="M1875" s="42" t="inlineStr">
        <is>
          <t>개인</t>
        </is>
      </c>
      <c r="N1875" s="42" t="inlineStr">
        <is>
          <t>개인</t>
        </is>
      </c>
      <c r="O1875" s="41" t="inlineStr">
        <is>
          <t>2020</t>
        </is>
      </c>
      <c r="P1875" s="42" t="inlineStr">
        <is>
          <t>서운로 62</t>
        </is>
      </c>
      <c r="Q1875" s="41" t="inlineStr">
        <is>
          <t>-</t>
        </is>
      </c>
      <c r="R1875" s="42" t="inlineStr">
        <is>
          <t>중개거래</t>
        </is>
      </c>
      <c r="S1875" s="42" t="inlineStr">
        <is>
          <t>서울 서초구</t>
        </is>
      </c>
      <c r="T1875" s="41" t="inlineStr">
        <is>
          <t>26.01.16</t>
        </is>
      </c>
      <c r="U1875" s="42" t="inlineStr">
        <is>
          <t>아파트</t>
        </is>
      </c>
    </row>
    <row r="1876" hidden="1" ht="14.25" customHeight="1">
      <c r="A1876" s="41" t="n">
        <v>217</v>
      </c>
      <c r="B1876" s="42" t="inlineStr">
        <is>
          <t>서울특별시 서초구 서초동</t>
        </is>
      </c>
      <c r="C1876" s="41" t="inlineStr">
        <is>
          <t>1686-9</t>
        </is>
      </c>
      <c r="D1876" s="41" t="inlineStr">
        <is>
          <t>1686</t>
        </is>
      </c>
      <c r="E1876" s="41" t="inlineStr">
        <is>
          <t>0009</t>
        </is>
      </c>
      <c r="F1876" s="42" t="inlineStr">
        <is>
          <t>서초교대e편한세상</t>
        </is>
      </c>
      <c r="G1876" s="41" t="inlineStr">
        <is>
          <t>110.3200</t>
        </is>
      </c>
      <c r="H1876" s="41" t="inlineStr">
        <is>
          <t>202511</t>
        </is>
      </c>
      <c r="I1876" s="41" t="inlineStr">
        <is>
          <t>08</t>
        </is>
      </c>
      <c r="J1876" s="41" t="inlineStr">
        <is>
          <t>350,000</t>
        </is>
      </c>
      <c r="K1876" s="41" t="inlineStr">
        <is>
          <t>106</t>
        </is>
      </c>
      <c r="L1876" s="41" t="inlineStr">
        <is>
          <t>3</t>
        </is>
      </c>
      <c r="M1876" s="42" t="inlineStr">
        <is>
          <t>개인</t>
        </is>
      </c>
      <c r="N1876" s="42" t="inlineStr">
        <is>
          <t>개인</t>
        </is>
      </c>
      <c r="O1876" s="41" t="inlineStr">
        <is>
          <t>2010</t>
        </is>
      </c>
      <c r="P1876" s="42" t="inlineStr">
        <is>
          <t>서초중앙로24길 33</t>
        </is>
      </c>
      <c r="Q1876" s="41" t="inlineStr">
        <is>
          <t>-</t>
        </is>
      </c>
      <c r="R1876" s="42" t="inlineStr">
        <is>
          <t>중개거래</t>
        </is>
      </c>
      <c r="S1876" s="42" t="inlineStr">
        <is>
          <t>서울 서초구</t>
        </is>
      </c>
      <c r="T1876" s="41" t="inlineStr">
        <is>
          <t>26.02.06</t>
        </is>
      </c>
      <c r="U1876" s="42" t="inlineStr">
        <is>
          <t>아파트</t>
        </is>
      </c>
    </row>
    <row r="1877" hidden="1" ht="14.25" customHeight="1">
      <c r="A1877" s="41" t="n">
        <v>218</v>
      </c>
      <c r="B1877" s="42" t="inlineStr">
        <is>
          <t>서울특별시 서초구 서초동</t>
        </is>
      </c>
      <c r="C1877" s="41" t="inlineStr">
        <is>
          <t>1636-1</t>
        </is>
      </c>
      <c r="D1877" s="41" t="inlineStr">
        <is>
          <t>1636</t>
        </is>
      </c>
      <c r="E1877" s="41" t="inlineStr">
        <is>
          <t>0001</t>
        </is>
      </c>
      <c r="F1877" s="42" t="inlineStr">
        <is>
          <t>서초한일</t>
        </is>
      </c>
      <c r="G1877" s="41" t="inlineStr">
        <is>
          <t>59.9600</t>
        </is>
      </c>
      <c r="H1877" s="41" t="inlineStr">
        <is>
          <t>202511</t>
        </is>
      </c>
      <c r="I1877" s="41" t="inlineStr">
        <is>
          <t>08</t>
        </is>
      </c>
      <c r="J1877" s="41" t="inlineStr">
        <is>
          <t>140,000</t>
        </is>
      </c>
      <c r="K1877" s="41" t="inlineStr">
        <is>
          <t>101</t>
        </is>
      </c>
      <c r="L1877" s="41" t="inlineStr">
        <is>
          <t>3</t>
        </is>
      </c>
      <c r="M1877" s="42" t="inlineStr">
        <is>
          <t>개인</t>
        </is>
      </c>
      <c r="N1877" s="42" t="inlineStr">
        <is>
          <t>개인</t>
        </is>
      </c>
      <c r="O1877" s="41" t="inlineStr">
        <is>
          <t>1997</t>
        </is>
      </c>
      <c r="P1877" s="42" t="inlineStr">
        <is>
          <t>서초대로64길 31</t>
        </is>
      </c>
      <c r="Q1877" s="41" t="inlineStr">
        <is>
          <t>-</t>
        </is>
      </c>
      <c r="R1877" s="42" t="inlineStr">
        <is>
          <t>중개거래</t>
        </is>
      </c>
      <c r="S1877" s="42" t="inlineStr">
        <is>
          <t>서울 서초구</t>
        </is>
      </c>
      <c r="T1877" s="41" t="inlineStr">
        <is>
          <t>26.01.15</t>
        </is>
      </c>
      <c r="U1877" s="42" t="inlineStr">
        <is>
          <t>아파트</t>
        </is>
      </c>
    </row>
    <row r="1878" hidden="1" ht="14.25" customHeight="1">
      <c r="A1878" s="41" t="n">
        <v>219</v>
      </c>
      <c r="B1878" s="42" t="inlineStr">
        <is>
          <t>서울특별시 서초구 서초동</t>
        </is>
      </c>
      <c r="C1878" s="41" t="inlineStr">
        <is>
          <t>1641-1</t>
        </is>
      </c>
      <c r="D1878" s="41" t="inlineStr">
        <is>
          <t>1641</t>
        </is>
      </c>
      <c r="E1878" s="41" t="inlineStr">
        <is>
          <t>0001</t>
        </is>
      </c>
      <c r="F1878" s="42" t="inlineStr">
        <is>
          <t>서초삼성래미안</t>
        </is>
      </c>
      <c r="G1878" s="41" t="inlineStr">
        <is>
          <t>84.9700</t>
        </is>
      </c>
      <c r="H1878" s="41" t="inlineStr">
        <is>
          <t>202511</t>
        </is>
      </c>
      <c r="I1878" s="41" t="inlineStr">
        <is>
          <t>08</t>
        </is>
      </c>
      <c r="J1878" s="41" t="inlineStr">
        <is>
          <t>250,000</t>
        </is>
      </c>
      <c r="K1878" s="41" t="inlineStr">
        <is>
          <t>103</t>
        </is>
      </c>
      <c r="L1878" s="41" t="inlineStr">
        <is>
          <t>12</t>
        </is>
      </c>
      <c r="M1878" s="42" t="inlineStr">
        <is>
          <t>개인</t>
        </is>
      </c>
      <c r="N1878" s="42" t="inlineStr">
        <is>
          <t>개인</t>
        </is>
      </c>
      <c r="O1878" s="41" t="inlineStr">
        <is>
          <t>2001</t>
        </is>
      </c>
      <c r="P1878" s="42" t="inlineStr">
        <is>
          <t>사임당로17길 116</t>
        </is>
      </c>
      <c r="Q1878" s="41" t="inlineStr">
        <is>
          <t>-</t>
        </is>
      </c>
      <c r="R1878" s="42" t="inlineStr">
        <is>
          <t>중개거래</t>
        </is>
      </c>
      <c r="S1878" s="42" t="inlineStr">
        <is>
          <t>서울 서초구</t>
        </is>
      </c>
      <c r="T1878" s="41" t="inlineStr">
        <is>
          <t>26.03.10</t>
        </is>
      </c>
      <c r="U1878" s="42" t="inlineStr">
        <is>
          <t>아파트</t>
        </is>
      </c>
    </row>
    <row r="1879" hidden="1" ht="14.25" customHeight="1">
      <c r="A1879" s="41" t="n">
        <v>220</v>
      </c>
      <c r="B1879" s="42" t="inlineStr">
        <is>
          <t>서울특별시 서초구 서초동</t>
        </is>
      </c>
      <c r="C1879" s="41" t="inlineStr">
        <is>
          <t>1487-63</t>
        </is>
      </c>
      <c r="D1879" s="41" t="inlineStr">
        <is>
          <t>1487</t>
        </is>
      </c>
      <c r="E1879" s="41" t="inlineStr">
        <is>
          <t>0063</t>
        </is>
      </c>
      <c r="F1879" s="42" t="inlineStr">
        <is>
          <t>서초1차e-편한세상</t>
        </is>
      </c>
      <c r="G1879" s="41" t="inlineStr">
        <is>
          <t>130.5300</t>
        </is>
      </c>
      <c r="H1879" s="41" t="inlineStr">
        <is>
          <t>202511</t>
        </is>
      </c>
      <c r="I1879" s="41" t="inlineStr">
        <is>
          <t>08</t>
        </is>
      </c>
      <c r="J1879" s="41" t="inlineStr">
        <is>
          <t>240,000</t>
        </is>
      </c>
      <c r="K1879" s="41" t="inlineStr">
        <is>
          <t>102</t>
        </is>
      </c>
      <c r="L1879" s="41" t="inlineStr">
        <is>
          <t>2</t>
        </is>
      </c>
      <c r="M1879" s="42" t="inlineStr">
        <is>
          <t>개인</t>
        </is>
      </c>
      <c r="N1879" s="42" t="inlineStr">
        <is>
          <t>개인</t>
        </is>
      </c>
      <c r="O1879" s="41" t="inlineStr">
        <is>
          <t>2004</t>
        </is>
      </c>
      <c r="P1879" s="42" t="inlineStr">
        <is>
          <t>명달로6길 31</t>
        </is>
      </c>
      <c r="Q1879" s="41" t="inlineStr">
        <is>
          <t>-</t>
        </is>
      </c>
      <c r="R1879" s="42" t="inlineStr">
        <is>
          <t>중개거래</t>
        </is>
      </c>
      <c r="S1879" s="42" t="inlineStr">
        <is>
          <t>서울 서초구</t>
        </is>
      </c>
      <c r="T1879" s="41" t="inlineStr">
        <is>
          <t>26.01.15</t>
        </is>
      </c>
      <c r="U1879" s="42" t="inlineStr">
        <is>
          <t>아파트</t>
        </is>
      </c>
    </row>
    <row r="1880" hidden="1" ht="14.25" customHeight="1">
      <c r="A1880" s="41" t="n">
        <v>221</v>
      </c>
      <c r="B1880" s="42" t="inlineStr">
        <is>
          <t>서울특별시 서초구 서초동</t>
        </is>
      </c>
      <c r="C1880" s="41" t="inlineStr">
        <is>
          <t>1681-8</t>
        </is>
      </c>
      <c r="D1880" s="41" t="inlineStr">
        <is>
          <t>1681</t>
        </is>
      </c>
      <c r="E1880" s="41" t="inlineStr">
        <is>
          <t>0008</t>
        </is>
      </c>
      <c r="F1880" s="42" t="inlineStr">
        <is>
          <t>서초롯데캐슬프레지던트</t>
        </is>
      </c>
      <c r="G1880" s="41" t="inlineStr">
        <is>
          <t>84.9700</t>
        </is>
      </c>
      <c r="H1880" s="41" t="inlineStr">
        <is>
          <t>202511</t>
        </is>
      </c>
      <c r="I1880" s="41" t="inlineStr">
        <is>
          <t>08</t>
        </is>
      </c>
      <c r="J1880" s="41" t="inlineStr">
        <is>
          <t>305,000</t>
        </is>
      </c>
      <c r="K1880" s="41" t="inlineStr">
        <is>
          <t>103</t>
        </is>
      </c>
      <c r="L1880" s="41" t="inlineStr">
        <is>
          <t>27</t>
        </is>
      </c>
      <c r="M1880" s="42" t="inlineStr">
        <is>
          <t>개인</t>
        </is>
      </c>
      <c r="N1880" s="42" t="inlineStr">
        <is>
          <t>개인</t>
        </is>
      </c>
      <c r="O1880" s="41" t="inlineStr">
        <is>
          <t>2014</t>
        </is>
      </c>
      <c r="P1880" s="42" t="inlineStr">
        <is>
          <t>서초중앙로24길 57</t>
        </is>
      </c>
      <c r="Q1880" s="41" t="inlineStr">
        <is>
          <t>-</t>
        </is>
      </c>
      <c r="R1880" s="42" t="inlineStr">
        <is>
          <t>중개거래</t>
        </is>
      </c>
      <c r="S1880" s="42" t="inlineStr">
        <is>
          <t>서울 서초구</t>
        </is>
      </c>
      <c r="T1880" s="41" t="inlineStr">
        <is>
          <t>25.12.30</t>
        </is>
      </c>
      <c r="U1880" s="42" t="inlineStr">
        <is>
          <t>아파트</t>
        </is>
      </c>
    </row>
    <row r="1881" hidden="1" ht="14.25" customHeight="1">
      <c r="A1881" s="41" t="n">
        <v>222</v>
      </c>
      <c r="B1881" s="42" t="inlineStr">
        <is>
          <t>서울특별시 서초구 서초동</t>
        </is>
      </c>
      <c r="C1881" s="41" t="inlineStr">
        <is>
          <t>1301-6</t>
        </is>
      </c>
      <c r="D1881" s="41" t="inlineStr">
        <is>
          <t>1301</t>
        </is>
      </c>
      <c r="E1881" s="41" t="inlineStr">
        <is>
          <t>0006</t>
        </is>
      </c>
      <c r="F1881" s="42" t="inlineStr">
        <is>
          <t>래미안서초스위트</t>
        </is>
      </c>
      <c r="G1881" s="41" t="inlineStr">
        <is>
          <t>95.7555</t>
        </is>
      </c>
      <c r="H1881" s="41" t="inlineStr">
        <is>
          <t>202511</t>
        </is>
      </c>
      <c r="I1881" s="41" t="inlineStr">
        <is>
          <t>08</t>
        </is>
      </c>
      <c r="J1881" s="41" t="inlineStr">
        <is>
          <t>288,000</t>
        </is>
      </c>
      <c r="K1881" s="41" t="inlineStr">
        <is>
          <t>101</t>
        </is>
      </c>
      <c r="L1881" s="41" t="inlineStr">
        <is>
          <t>14</t>
        </is>
      </c>
      <c r="M1881" s="42" t="inlineStr">
        <is>
          <t>개인</t>
        </is>
      </c>
      <c r="N1881" s="42" t="inlineStr">
        <is>
          <t>법인</t>
        </is>
      </c>
      <c r="O1881" s="41" t="inlineStr">
        <is>
          <t>2009</t>
        </is>
      </c>
      <c r="P1881" s="42" t="inlineStr">
        <is>
          <t>서운로 221</t>
        </is>
      </c>
      <c r="Q1881" s="41" t="inlineStr">
        <is>
          <t>-</t>
        </is>
      </c>
      <c r="R1881" s="42" t="inlineStr">
        <is>
          <t>직거래</t>
        </is>
      </c>
      <c r="S1881" s="41" t="inlineStr">
        <is>
          <t>-</t>
        </is>
      </c>
      <c r="T1881" s="41" t="inlineStr">
        <is>
          <t>26.02.03</t>
        </is>
      </c>
      <c r="U1881" s="42" t="inlineStr">
        <is>
          <t>아파트</t>
        </is>
      </c>
    </row>
    <row r="1882" hidden="1" ht="14.25" customHeight="1">
      <c r="A1882" s="41" t="n">
        <v>223</v>
      </c>
      <c r="B1882" s="42" t="inlineStr">
        <is>
          <t>서울특별시 서초구 서초동</t>
        </is>
      </c>
      <c r="C1882" s="41" t="inlineStr">
        <is>
          <t>1466-17</t>
        </is>
      </c>
      <c r="D1882" s="41" t="inlineStr">
        <is>
          <t>1466</t>
        </is>
      </c>
      <c r="E1882" s="41" t="inlineStr">
        <is>
          <t>0017</t>
        </is>
      </c>
      <c r="F1882" s="42" t="inlineStr">
        <is>
          <t>서초네스피아B</t>
        </is>
      </c>
      <c r="G1882" s="41" t="inlineStr">
        <is>
          <t>100.4100</t>
        </is>
      </c>
      <c r="H1882" s="41" t="inlineStr">
        <is>
          <t>202511</t>
        </is>
      </c>
      <c r="I1882" s="41" t="inlineStr">
        <is>
          <t>07</t>
        </is>
      </c>
      <c r="J1882" s="41" t="inlineStr">
        <is>
          <t>114,000</t>
        </is>
      </c>
      <c r="K1882" s="41" t="inlineStr">
        <is>
          <t>-</t>
        </is>
      </c>
      <c r="L1882" s="41" t="inlineStr">
        <is>
          <t>4</t>
        </is>
      </c>
      <c r="M1882" s="42" t="inlineStr">
        <is>
          <t>개인</t>
        </is>
      </c>
      <c r="N1882" s="42" t="inlineStr">
        <is>
          <t>개인</t>
        </is>
      </c>
      <c r="O1882" s="41" t="inlineStr">
        <is>
          <t>2005</t>
        </is>
      </c>
      <c r="P1882" s="42" t="inlineStr">
        <is>
          <t>명달로4길 68</t>
        </is>
      </c>
      <c r="Q1882" s="41" t="inlineStr">
        <is>
          <t>-</t>
        </is>
      </c>
      <c r="R1882" s="42" t="inlineStr">
        <is>
          <t>중개거래</t>
        </is>
      </c>
      <c r="S1882" s="42" t="inlineStr">
        <is>
          <t>서울 서초구</t>
        </is>
      </c>
      <c r="T1882" s="41" t="inlineStr">
        <is>
          <t>25.12.19</t>
        </is>
      </c>
      <c r="U1882" s="42" t="inlineStr">
        <is>
          <t>아파트</t>
        </is>
      </c>
    </row>
    <row r="1883" hidden="1" ht="14.25" customHeight="1">
      <c r="A1883" s="41" t="n">
        <v>224</v>
      </c>
      <c r="B1883" s="42" t="inlineStr">
        <is>
          <t>서울특별시 서초구 서초동</t>
        </is>
      </c>
      <c r="C1883" s="41" t="inlineStr">
        <is>
          <t>1687</t>
        </is>
      </c>
      <c r="D1883" s="41" t="inlineStr">
        <is>
          <t>1687</t>
        </is>
      </c>
      <c r="E1883" s="41" t="inlineStr">
        <is>
          <t>0000</t>
        </is>
      </c>
      <c r="F1883" s="42" t="inlineStr">
        <is>
          <t>유원서초</t>
        </is>
      </c>
      <c r="G1883" s="41" t="inlineStr">
        <is>
          <t>84.8200</t>
        </is>
      </c>
      <c r="H1883" s="41" t="inlineStr">
        <is>
          <t>202511</t>
        </is>
      </c>
      <c r="I1883" s="41" t="inlineStr">
        <is>
          <t>07</t>
        </is>
      </c>
      <c r="J1883" s="41" t="inlineStr">
        <is>
          <t>292,000</t>
        </is>
      </c>
      <c r="K1883" s="41" t="inlineStr">
        <is>
          <t>104</t>
        </is>
      </c>
      <c r="L1883" s="41" t="inlineStr">
        <is>
          <t>17</t>
        </is>
      </c>
      <c r="M1883" s="42" t="inlineStr">
        <is>
          <t>개인</t>
        </is>
      </c>
      <c r="N1883" s="42" t="inlineStr">
        <is>
          <t>개인</t>
        </is>
      </c>
      <c r="O1883" s="41" t="inlineStr">
        <is>
          <t>1993</t>
        </is>
      </c>
      <c r="P1883" s="42" t="inlineStr">
        <is>
          <t>서초중앙로24길 43</t>
        </is>
      </c>
      <c r="Q1883" s="41" t="inlineStr">
        <is>
          <t>-</t>
        </is>
      </c>
      <c r="R1883" s="42" t="inlineStr">
        <is>
          <t>중개거래</t>
        </is>
      </c>
      <c r="S1883" s="42" t="inlineStr">
        <is>
          <t>서울 서초구</t>
        </is>
      </c>
      <c r="T1883" s="41" t="inlineStr">
        <is>
          <t>26.03.18</t>
        </is>
      </c>
      <c r="U1883" s="42" t="inlineStr">
        <is>
          <t>아파트</t>
        </is>
      </c>
    </row>
    <row r="1884" hidden="1" ht="14.25" customHeight="1">
      <c r="A1884" s="41" t="n">
        <v>225</v>
      </c>
      <c r="B1884" s="42" t="inlineStr">
        <is>
          <t>서울특별시 서초구 서초동</t>
        </is>
      </c>
      <c r="C1884" s="41" t="inlineStr">
        <is>
          <t>1454-29</t>
        </is>
      </c>
      <c r="D1884" s="41" t="inlineStr">
        <is>
          <t>1454</t>
        </is>
      </c>
      <c r="E1884" s="41" t="inlineStr">
        <is>
          <t>0029</t>
        </is>
      </c>
      <c r="F1884" s="42" t="inlineStr">
        <is>
          <t>서초한신</t>
        </is>
      </c>
      <c r="G1884" s="41" t="inlineStr">
        <is>
          <t>95.8800</t>
        </is>
      </c>
      <c r="H1884" s="41" t="inlineStr">
        <is>
          <t>202511</t>
        </is>
      </c>
      <c r="I1884" s="41" t="inlineStr">
        <is>
          <t>07</t>
        </is>
      </c>
      <c r="J1884" s="41" t="inlineStr">
        <is>
          <t>210,000</t>
        </is>
      </c>
      <c r="K1884" s="41" t="inlineStr">
        <is>
          <t>102</t>
        </is>
      </c>
      <c r="L1884" s="41" t="inlineStr">
        <is>
          <t>9</t>
        </is>
      </c>
      <c r="M1884" s="42" t="inlineStr">
        <is>
          <t>개인</t>
        </is>
      </c>
      <c r="N1884" s="42" t="inlineStr">
        <is>
          <t>개인</t>
        </is>
      </c>
      <c r="O1884" s="41" t="inlineStr">
        <is>
          <t>2001</t>
        </is>
      </c>
      <c r="P1884" s="42" t="inlineStr">
        <is>
          <t>남부순환로323길 38-16</t>
        </is>
      </c>
      <c r="Q1884" s="41" t="inlineStr">
        <is>
          <t>-</t>
        </is>
      </c>
      <c r="R1884" s="42" t="inlineStr">
        <is>
          <t>중개거래</t>
        </is>
      </c>
      <c r="S1884" s="42" t="inlineStr">
        <is>
          <t>서울 서초구</t>
        </is>
      </c>
      <c r="T1884" s="41" t="inlineStr">
        <is>
          <t>26.02.06</t>
        </is>
      </c>
      <c r="U1884" s="42" t="inlineStr">
        <is>
          <t>아파트</t>
        </is>
      </c>
    </row>
    <row r="1885" hidden="1" ht="14.25" customHeight="1">
      <c r="A1885" s="41" t="n">
        <v>226</v>
      </c>
      <c r="B1885" s="42" t="inlineStr">
        <is>
          <t>서울특별시 서초구 서초동</t>
        </is>
      </c>
      <c r="C1885" s="41" t="inlineStr">
        <is>
          <t>1509-1</t>
        </is>
      </c>
      <c r="D1885" s="41" t="inlineStr">
        <is>
          <t>1509</t>
        </is>
      </c>
      <c r="E1885" s="41" t="inlineStr">
        <is>
          <t>0001</t>
        </is>
      </c>
      <c r="F1885" s="42" t="inlineStr">
        <is>
          <t>서초한빛삼성</t>
        </is>
      </c>
      <c r="G1885" s="41" t="inlineStr">
        <is>
          <t>59.5200</t>
        </is>
      </c>
      <c r="H1885" s="41" t="inlineStr">
        <is>
          <t>202511</t>
        </is>
      </c>
      <c r="I1885" s="41" t="inlineStr">
        <is>
          <t>07</t>
        </is>
      </c>
      <c r="J1885" s="41" t="inlineStr">
        <is>
          <t>133,000</t>
        </is>
      </c>
      <c r="K1885" s="41" t="inlineStr">
        <is>
          <t>101</t>
        </is>
      </c>
      <c r="L1885" s="41" t="inlineStr">
        <is>
          <t>1</t>
        </is>
      </c>
      <c r="M1885" s="42" t="inlineStr">
        <is>
          <t>개인</t>
        </is>
      </c>
      <c r="N1885" s="42" t="inlineStr">
        <is>
          <t>개인</t>
        </is>
      </c>
      <c r="O1885" s="41" t="inlineStr">
        <is>
          <t>1999</t>
        </is>
      </c>
      <c r="P1885" s="42" t="inlineStr">
        <is>
          <t>서초대로40길 72</t>
        </is>
      </c>
      <c r="Q1885" s="41" t="inlineStr">
        <is>
          <t>-</t>
        </is>
      </c>
      <c r="R1885" s="42" t="inlineStr">
        <is>
          <t>중개거래</t>
        </is>
      </c>
      <c r="S1885" s="42" t="inlineStr">
        <is>
          <t>서울 서초구</t>
        </is>
      </c>
      <c r="T1885" s="41" t="inlineStr">
        <is>
          <t>26.01.30</t>
        </is>
      </c>
      <c r="U1885" s="42" t="inlineStr">
        <is>
          <t>아파트</t>
        </is>
      </c>
    </row>
    <row r="1886" hidden="1" ht="14.25" customHeight="1">
      <c r="A1886" s="41" t="n">
        <v>227</v>
      </c>
      <c r="B1886" s="42" t="inlineStr">
        <is>
          <t>서울특별시 서초구 서초동</t>
        </is>
      </c>
      <c r="C1886" s="41" t="inlineStr">
        <is>
          <t>1301-6</t>
        </is>
      </c>
      <c r="D1886" s="41" t="inlineStr">
        <is>
          <t>1301</t>
        </is>
      </c>
      <c r="E1886" s="41" t="inlineStr">
        <is>
          <t>0006</t>
        </is>
      </c>
      <c r="F1886" s="42" t="inlineStr">
        <is>
          <t>래미안서초스위트</t>
        </is>
      </c>
      <c r="G1886" s="41" t="inlineStr">
        <is>
          <t>95.8079</t>
        </is>
      </c>
      <c r="H1886" s="41" t="inlineStr">
        <is>
          <t>202511</t>
        </is>
      </c>
      <c r="I1886" s="41" t="inlineStr">
        <is>
          <t>07</t>
        </is>
      </c>
      <c r="J1886" s="41" t="inlineStr">
        <is>
          <t>321,000</t>
        </is>
      </c>
      <c r="K1886" s="41" t="inlineStr">
        <is>
          <t>103</t>
        </is>
      </c>
      <c r="L1886" s="41" t="inlineStr">
        <is>
          <t>20</t>
        </is>
      </c>
      <c r="M1886" s="42" t="inlineStr">
        <is>
          <t>개인</t>
        </is>
      </c>
      <c r="N1886" s="42" t="inlineStr">
        <is>
          <t>개인</t>
        </is>
      </c>
      <c r="O1886" s="41" t="inlineStr">
        <is>
          <t>2009</t>
        </is>
      </c>
      <c r="P1886" s="42" t="inlineStr">
        <is>
          <t>서운로 221</t>
        </is>
      </c>
      <c r="Q1886" s="41" t="inlineStr">
        <is>
          <t>-</t>
        </is>
      </c>
      <c r="R1886" s="42" t="inlineStr">
        <is>
          <t>중개거래</t>
        </is>
      </c>
      <c r="S1886" s="42" t="inlineStr">
        <is>
          <t>서울 서초구</t>
        </is>
      </c>
      <c r="T1886" s="41" t="inlineStr">
        <is>
          <t>26.02.25</t>
        </is>
      </c>
      <c r="U1886" s="42" t="inlineStr">
        <is>
          <t>아파트</t>
        </is>
      </c>
    </row>
    <row r="1887" hidden="1" ht="14.25" customHeight="1">
      <c r="A1887" s="41" t="n">
        <v>228</v>
      </c>
      <c r="B1887" s="42" t="inlineStr">
        <is>
          <t>서울특별시 서초구 서초동</t>
        </is>
      </c>
      <c r="C1887" s="41" t="inlineStr">
        <is>
          <t>1456-2</t>
        </is>
      </c>
      <c r="D1887" s="41" t="inlineStr">
        <is>
          <t>1456</t>
        </is>
      </c>
      <c r="E1887" s="41" t="inlineStr">
        <is>
          <t>0002</t>
        </is>
      </c>
      <c r="F1887" s="42" t="inlineStr">
        <is>
          <t>경남아너스빌201동</t>
        </is>
      </c>
      <c r="G1887" s="41" t="inlineStr">
        <is>
          <t>84.9500</t>
        </is>
      </c>
      <c r="H1887" s="41" t="inlineStr">
        <is>
          <t>202511</t>
        </is>
      </c>
      <c r="I1887" s="41" t="inlineStr">
        <is>
          <t>07</t>
        </is>
      </c>
      <c r="J1887" s="41" t="inlineStr">
        <is>
          <t>190,100</t>
        </is>
      </c>
      <c r="K1887" s="41" t="inlineStr">
        <is>
          <t>201동</t>
        </is>
      </c>
      <c r="L1887" s="41" t="inlineStr">
        <is>
          <t>6</t>
        </is>
      </c>
      <c r="M1887" s="42" t="inlineStr">
        <is>
          <t>개인</t>
        </is>
      </c>
      <c r="N1887" s="42" t="inlineStr">
        <is>
          <t>개인</t>
        </is>
      </c>
      <c r="O1887" s="41" t="inlineStr">
        <is>
          <t>2006</t>
        </is>
      </c>
      <c r="P1887" s="42" t="inlineStr">
        <is>
          <t>반포대로10길 42</t>
        </is>
      </c>
      <c r="Q1887" s="41" t="inlineStr">
        <is>
          <t>-</t>
        </is>
      </c>
      <c r="R1887" s="42" t="inlineStr">
        <is>
          <t>중개거래</t>
        </is>
      </c>
      <c r="S1887" s="42" t="inlineStr">
        <is>
          <t>서울 서초구</t>
        </is>
      </c>
      <c r="T1887" s="41" t="inlineStr">
        <is>
          <t>26.02.05</t>
        </is>
      </c>
      <c r="U1887" s="42" t="inlineStr">
        <is>
          <t>아파트</t>
        </is>
      </c>
    </row>
    <row r="1888" hidden="1" ht="14.25" customHeight="1">
      <c r="A1888" s="41" t="n">
        <v>229</v>
      </c>
      <c r="B1888" s="42" t="inlineStr">
        <is>
          <t>서울특별시 서초구 서초동</t>
        </is>
      </c>
      <c r="C1888" s="41" t="inlineStr">
        <is>
          <t>1467-62</t>
        </is>
      </c>
      <c r="D1888" s="41" t="inlineStr">
        <is>
          <t>1467</t>
        </is>
      </c>
      <c r="E1888" s="41" t="inlineStr">
        <is>
          <t>0062</t>
        </is>
      </c>
      <c r="F1888" s="42" t="inlineStr">
        <is>
          <t>서초5차e편한세상</t>
        </is>
      </c>
      <c r="G1888" s="41" t="inlineStr">
        <is>
          <t>158.2400</t>
        </is>
      </c>
      <c r="H1888" s="41" t="inlineStr">
        <is>
          <t>202511</t>
        </is>
      </c>
      <c r="I1888" s="41" t="inlineStr">
        <is>
          <t>07</t>
        </is>
      </c>
      <c r="J1888" s="41" t="inlineStr">
        <is>
          <t>260,000</t>
        </is>
      </c>
      <c r="K1888" s="41" t="inlineStr">
        <is>
          <t>502</t>
        </is>
      </c>
      <c r="L1888" s="41" t="inlineStr">
        <is>
          <t>2</t>
        </is>
      </c>
      <c r="M1888" s="42" t="inlineStr">
        <is>
          <t>개인</t>
        </is>
      </c>
      <c r="N1888" s="42" t="inlineStr">
        <is>
          <t>개인</t>
        </is>
      </c>
      <c r="O1888" s="41" t="inlineStr">
        <is>
          <t>2005</t>
        </is>
      </c>
      <c r="P1888" s="42" t="inlineStr">
        <is>
          <t>명달로4길 30</t>
        </is>
      </c>
      <c r="Q1888" s="41" t="inlineStr">
        <is>
          <t>-</t>
        </is>
      </c>
      <c r="R1888" s="42" t="inlineStr">
        <is>
          <t>중개거래</t>
        </is>
      </c>
      <c r="S1888" s="42" t="inlineStr">
        <is>
          <t>서울 서초구</t>
        </is>
      </c>
      <c r="T1888" s="41" t="inlineStr">
        <is>
          <t>26.02.10</t>
        </is>
      </c>
      <c r="U1888" s="42" t="inlineStr">
        <is>
          <t>아파트</t>
        </is>
      </c>
    </row>
    <row r="1889" hidden="1" ht="14.25" customHeight="1">
      <c r="A1889" s="41" t="n">
        <v>230</v>
      </c>
      <c r="B1889" s="42" t="inlineStr">
        <is>
          <t>서울특별시 서초구 서초동</t>
        </is>
      </c>
      <c r="C1889" s="41" t="inlineStr">
        <is>
          <t>1686-9</t>
        </is>
      </c>
      <c r="D1889" s="41" t="inlineStr">
        <is>
          <t>1686</t>
        </is>
      </c>
      <c r="E1889" s="41" t="inlineStr">
        <is>
          <t>0009</t>
        </is>
      </c>
      <c r="F1889" s="42" t="inlineStr">
        <is>
          <t>서초교대e편한세상</t>
        </is>
      </c>
      <c r="G1889" s="41" t="inlineStr">
        <is>
          <t>59.9000</t>
        </is>
      </c>
      <c r="H1889" s="41" t="inlineStr">
        <is>
          <t>202511</t>
        </is>
      </c>
      <c r="I1889" s="41" t="inlineStr">
        <is>
          <t>06</t>
        </is>
      </c>
      <c r="J1889" s="41" t="inlineStr">
        <is>
          <t>268,000</t>
        </is>
      </c>
      <c r="K1889" s="41" t="inlineStr">
        <is>
          <t>105</t>
        </is>
      </c>
      <c r="L1889" s="41" t="inlineStr">
        <is>
          <t>11</t>
        </is>
      </c>
      <c r="M1889" s="42" t="inlineStr">
        <is>
          <t>개인</t>
        </is>
      </c>
      <c r="N1889" s="42" t="inlineStr">
        <is>
          <t>개인</t>
        </is>
      </c>
      <c r="O1889" s="41" t="inlineStr">
        <is>
          <t>2010</t>
        </is>
      </c>
      <c r="P1889" s="42" t="inlineStr">
        <is>
          <t>서초중앙로24길 33</t>
        </is>
      </c>
      <c r="Q1889" s="41" t="inlineStr">
        <is>
          <t>-</t>
        </is>
      </c>
      <c r="R1889" s="42" t="inlineStr">
        <is>
          <t>중개거래</t>
        </is>
      </c>
      <c r="S1889" s="42" t="inlineStr">
        <is>
          <t>서울 서초구</t>
        </is>
      </c>
      <c r="T1889" s="41" t="inlineStr">
        <is>
          <t>26.02.20</t>
        </is>
      </c>
      <c r="U1889" s="42" t="inlineStr">
        <is>
          <t>아파트</t>
        </is>
      </c>
    </row>
    <row r="1890" hidden="1" ht="14.25" customHeight="1">
      <c r="A1890" s="41" t="n">
        <v>231</v>
      </c>
      <c r="B1890" s="42" t="inlineStr">
        <is>
          <t>서울특별시 서초구 서초동</t>
        </is>
      </c>
      <c r="C1890" s="41" t="inlineStr">
        <is>
          <t>1612-2</t>
        </is>
      </c>
      <c r="D1890" s="41" t="inlineStr">
        <is>
          <t>1612</t>
        </is>
      </c>
      <c r="E1890" s="41" t="inlineStr">
        <is>
          <t>0002</t>
        </is>
      </c>
      <c r="F1890" s="42" t="inlineStr">
        <is>
          <t>서초힐하우스</t>
        </is>
      </c>
      <c r="G1890" s="41" t="inlineStr">
        <is>
          <t>111.9200</t>
        </is>
      </c>
      <c r="H1890" s="41" t="inlineStr">
        <is>
          <t>202511</t>
        </is>
      </c>
      <c r="I1890" s="41" t="inlineStr">
        <is>
          <t>06</t>
        </is>
      </c>
      <c r="J1890" s="41" t="inlineStr">
        <is>
          <t>120,000</t>
        </is>
      </c>
      <c r="K1890" s="41" t="inlineStr">
        <is>
          <t>-</t>
        </is>
      </c>
      <c r="L1890" s="41" t="inlineStr">
        <is>
          <t>1</t>
        </is>
      </c>
      <c r="M1890" s="42" t="inlineStr">
        <is>
          <t>개인</t>
        </is>
      </c>
      <c r="N1890" s="42" t="inlineStr">
        <is>
          <t>개인</t>
        </is>
      </c>
      <c r="O1890" s="41" t="inlineStr">
        <is>
          <t>2002</t>
        </is>
      </c>
      <c r="P1890" s="42" t="inlineStr">
        <is>
          <t>서리풀길 28</t>
        </is>
      </c>
      <c r="Q1890" s="41" t="inlineStr">
        <is>
          <t>-</t>
        </is>
      </c>
      <c r="R1890" s="42" t="inlineStr">
        <is>
          <t>중개거래</t>
        </is>
      </c>
      <c r="S1890" s="42" t="inlineStr">
        <is>
          <t>서울 서초구</t>
        </is>
      </c>
      <c r="T1890" s="41" t="inlineStr">
        <is>
          <t>26.01.23</t>
        </is>
      </c>
      <c r="U1890" s="42" t="inlineStr">
        <is>
          <t>아파트</t>
        </is>
      </c>
    </row>
    <row r="1891" hidden="1" ht="14.25" customHeight="1">
      <c r="A1891" s="41" t="n">
        <v>232</v>
      </c>
      <c r="B1891" s="42" t="inlineStr">
        <is>
          <t>서울특별시 서초구 서초동</t>
        </is>
      </c>
      <c r="C1891" s="41" t="inlineStr">
        <is>
          <t>1583-10</t>
        </is>
      </c>
      <c r="D1891" s="41" t="inlineStr">
        <is>
          <t>1583</t>
        </is>
      </c>
      <c r="E1891" s="41" t="inlineStr">
        <is>
          <t>0010</t>
        </is>
      </c>
      <c r="F1891" s="42" t="inlineStr">
        <is>
          <t>서초아트자이</t>
        </is>
      </c>
      <c r="G1891" s="41" t="inlineStr">
        <is>
          <t>165.5725</t>
        </is>
      </c>
      <c r="H1891" s="41" t="inlineStr">
        <is>
          <t>202511</t>
        </is>
      </c>
      <c r="I1891" s="41" t="inlineStr">
        <is>
          <t>06</t>
        </is>
      </c>
      <c r="J1891" s="41" t="inlineStr">
        <is>
          <t>275,000</t>
        </is>
      </c>
      <c r="K1891" s="41" t="inlineStr">
        <is>
          <t>101</t>
        </is>
      </c>
      <c r="L1891" s="41" t="inlineStr">
        <is>
          <t>7</t>
        </is>
      </c>
      <c r="M1891" s="42" t="inlineStr">
        <is>
          <t>개인</t>
        </is>
      </c>
      <c r="N1891" s="42" t="inlineStr">
        <is>
          <t>개인</t>
        </is>
      </c>
      <c r="O1891" s="41" t="inlineStr">
        <is>
          <t>2009</t>
        </is>
      </c>
      <c r="P1891" s="42" t="inlineStr">
        <is>
          <t>반포대로 58</t>
        </is>
      </c>
      <c r="Q1891" s="41" t="inlineStr">
        <is>
          <t>-</t>
        </is>
      </c>
      <c r="R1891" s="42" t="inlineStr">
        <is>
          <t>중개거래</t>
        </is>
      </c>
      <c r="S1891" s="42" t="inlineStr">
        <is>
          <t>서울 서초구</t>
        </is>
      </c>
      <c r="T1891" s="41" t="inlineStr">
        <is>
          <t>26.02.24</t>
        </is>
      </c>
      <c r="U1891" s="42" t="inlineStr">
        <is>
          <t>아파트</t>
        </is>
      </c>
    </row>
    <row r="1892" hidden="1" ht="14.25" customHeight="1">
      <c r="A1892" s="41" t="n">
        <v>233</v>
      </c>
      <c r="B1892" s="42" t="inlineStr">
        <is>
          <t>서울특별시 서초구 서초동</t>
        </is>
      </c>
      <c r="C1892" s="41" t="inlineStr">
        <is>
          <t>1675-10</t>
        </is>
      </c>
      <c r="D1892" s="41" t="inlineStr">
        <is>
          <t>1675</t>
        </is>
      </c>
      <c r="E1892" s="41" t="inlineStr">
        <is>
          <t>0010</t>
        </is>
      </c>
      <c r="F1892" s="42" t="inlineStr">
        <is>
          <t>지에스타워</t>
        </is>
      </c>
      <c r="G1892" s="41" t="inlineStr">
        <is>
          <t>26.0500</t>
        </is>
      </c>
      <c r="H1892" s="41" t="inlineStr">
        <is>
          <t>202511</t>
        </is>
      </c>
      <c r="I1892" s="41" t="inlineStr">
        <is>
          <t>05</t>
        </is>
      </c>
      <c r="J1892" s="41" t="inlineStr">
        <is>
          <t>43,000</t>
        </is>
      </c>
      <c r="K1892" s="41" t="inlineStr">
        <is>
          <t>-</t>
        </is>
      </c>
      <c r="L1892" s="41" t="inlineStr">
        <is>
          <t>11</t>
        </is>
      </c>
      <c r="M1892" s="42" t="inlineStr">
        <is>
          <t>개인</t>
        </is>
      </c>
      <c r="N1892" s="42" t="inlineStr">
        <is>
          <t>개인</t>
        </is>
      </c>
      <c r="O1892" s="41" t="inlineStr">
        <is>
          <t>2022</t>
        </is>
      </c>
      <c r="P1892" s="42" t="inlineStr">
        <is>
          <t>서초대로58길 18</t>
        </is>
      </c>
      <c r="Q1892" s="41" t="inlineStr">
        <is>
          <t>20251203</t>
        </is>
      </c>
      <c r="R1892" s="42" t="inlineStr">
        <is>
          <t>중개거래</t>
        </is>
      </c>
      <c r="S1892" s="42" t="inlineStr">
        <is>
          <t>서울 서초구</t>
        </is>
      </c>
      <c r="T1892" s="41" t="inlineStr">
        <is>
          <t>-</t>
        </is>
      </c>
      <c r="U1892" s="42" t="inlineStr">
        <is>
          <t>아파트</t>
        </is>
      </c>
    </row>
    <row r="1893" hidden="1" ht="14.25" customHeight="1">
      <c r="A1893" s="41" t="n">
        <v>234</v>
      </c>
      <c r="B1893" s="42" t="inlineStr">
        <is>
          <t>서울특별시 서초구 서초동</t>
        </is>
      </c>
      <c r="C1893" s="41" t="inlineStr">
        <is>
          <t>1686-9</t>
        </is>
      </c>
      <c r="D1893" s="41" t="inlineStr">
        <is>
          <t>1686</t>
        </is>
      </c>
      <c r="E1893" s="41" t="inlineStr">
        <is>
          <t>0009</t>
        </is>
      </c>
      <c r="F1893" s="42" t="inlineStr">
        <is>
          <t>서초교대e편한세상</t>
        </is>
      </c>
      <c r="G1893" s="41" t="inlineStr">
        <is>
          <t>84.9700</t>
        </is>
      </c>
      <c r="H1893" s="41" t="inlineStr">
        <is>
          <t>202511</t>
        </is>
      </c>
      <c r="I1893" s="41" t="inlineStr">
        <is>
          <t>05</t>
        </is>
      </c>
      <c r="J1893" s="41" t="inlineStr">
        <is>
          <t>316,500</t>
        </is>
      </c>
      <c r="K1893" s="41" t="inlineStr">
        <is>
          <t>105</t>
        </is>
      </c>
      <c r="L1893" s="41" t="inlineStr">
        <is>
          <t>3</t>
        </is>
      </c>
      <c r="M1893" s="42" t="inlineStr">
        <is>
          <t>개인</t>
        </is>
      </c>
      <c r="N1893" s="42" t="inlineStr">
        <is>
          <t>개인</t>
        </is>
      </c>
      <c r="O1893" s="41" t="inlineStr">
        <is>
          <t>2010</t>
        </is>
      </c>
      <c r="P1893" s="42" t="inlineStr">
        <is>
          <t>서초중앙로24길 33</t>
        </is>
      </c>
      <c r="Q1893" s="41" t="inlineStr">
        <is>
          <t>-</t>
        </is>
      </c>
      <c r="R1893" s="42" t="inlineStr">
        <is>
          <t>중개거래</t>
        </is>
      </c>
      <c r="S1893" s="42" t="inlineStr">
        <is>
          <t>서울 강남구, 서울 서초구</t>
        </is>
      </c>
      <c r="T1893" s="41" t="inlineStr">
        <is>
          <t>26.02.25</t>
        </is>
      </c>
      <c r="U1893" s="42" t="inlineStr">
        <is>
          <t>아파트</t>
        </is>
      </c>
    </row>
    <row r="1894" hidden="1" ht="14.25" customHeight="1">
      <c r="A1894" s="41" t="n">
        <v>235</v>
      </c>
      <c r="B1894" s="42" t="inlineStr">
        <is>
          <t>서울특별시 서초구 서초동</t>
        </is>
      </c>
      <c r="C1894" s="41" t="inlineStr">
        <is>
          <t>1684</t>
        </is>
      </c>
      <c r="D1894" s="41" t="inlineStr">
        <is>
          <t>1684</t>
        </is>
      </c>
      <c r="E1894" s="41" t="inlineStr">
        <is>
          <t>0000</t>
        </is>
      </c>
      <c r="F1894" s="42" t="inlineStr">
        <is>
          <t>서초4현대</t>
        </is>
      </c>
      <c r="G1894" s="41" t="inlineStr">
        <is>
          <t>116.4900</t>
        </is>
      </c>
      <c r="H1894" s="41" t="inlineStr">
        <is>
          <t>202511</t>
        </is>
      </c>
      <c r="I1894" s="41" t="inlineStr">
        <is>
          <t>05</t>
        </is>
      </c>
      <c r="J1894" s="41" t="inlineStr">
        <is>
          <t>164,600</t>
        </is>
      </c>
      <c r="K1894" s="41" t="inlineStr">
        <is>
          <t>301</t>
        </is>
      </c>
      <c r="L1894" s="41" t="inlineStr">
        <is>
          <t>9</t>
        </is>
      </c>
      <c r="M1894" s="42" t="inlineStr">
        <is>
          <t>개인</t>
        </is>
      </c>
      <c r="N1894" s="42" t="inlineStr">
        <is>
          <t>개인</t>
        </is>
      </c>
      <c r="O1894" s="41" t="inlineStr">
        <is>
          <t>2000</t>
        </is>
      </c>
      <c r="P1894" s="42" t="inlineStr">
        <is>
          <t>고무래로 94</t>
        </is>
      </c>
      <c r="Q1894" s="41" t="inlineStr">
        <is>
          <t>-</t>
        </is>
      </c>
      <c r="R1894" s="42" t="inlineStr">
        <is>
          <t>직거래</t>
        </is>
      </c>
      <c r="S1894" s="41" t="inlineStr">
        <is>
          <t>-</t>
        </is>
      </c>
      <c r="T1894" s="41" t="inlineStr">
        <is>
          <t>25.11.14</t>
        </is>
      </c>
      <c r="U1894" s="42" t="inlineStr">
        <is>
          <t>아파트</t>
        </is>
      </c>
    </row>
    <row r="1895" hidden="1" ht="14.25" customHeight="1">
      <c r="A1895" s="41" t="n">
        <v>236</v>
      </c>
      <c r="B1895" s="42" t="inlineStr">
        <is>
          <t>서울특별시 서초구 서초동</t>
        </is>
      </c>
      <c r="C1895" s="41" t="inlineStr">
        <is>
          <t>1445-4</t>
        </is>
      </c>
      <c r="D1895" s="41" t="inlineStr">
        <is>
          <t>1445</t>
        </is>
      </c>
      <c r="E1895" s="41" t="inlineStr">
        <is>
          <t>0004</t>
        </is>
      </c>
      <c r="F1895" s="42" t="inlineStr">
        <is>
          <t>래미안서초유니빌</t>
        </is>
      </c>
      <c r="G1895" s="41" t="inlineStr">
        <is>
          <t>66.4150</t>
        </is>
      </c>
      <c r="H1895" s="41" t="inlineStr">
        <is>
          <t>202511</t>
        </is>
      </c>
      <c r="I1895" s="41" t="inlineStr">
        <is>
          <t>04</t>
        </is>
      </c>
      <c r="J1895" s="41" t="inlineStr">
        <is>
          <t>80,000</t>
        </is>
      </c>
      <c r="K1895" s="42" t="inlineStr">
        <is>
          <t>래미안 서초유니빌</t>
        </is>
      </c>
      <c r="L1895" s="41" t="inlineStr">
        <is>
          <t>10</t>
        </is>
      </c>
      <c r="M1895" s="42" t="inlineStr">
        <is>
          <t>개인</t>
        </is>
      </c>
      <c r="N1895" s="42" t="inlineStr">
        <is>
          <t>개인</t>
        </is>
      </c>
      <c r="O1895" s="41" t="inlineStr">
        <is>
          <t>2003</t>
        </is>
      </c>
      <c r="P1895" s="42" t="inlineStr">
        <is>
          <t>서초중앙로 26</t>
        </is>
      </c>
      <c r="Q1895" s="41" t="inlineStr">
        <is>
          <t>-</t>
        </is>
      </c>
      <c r="R1895" s="42" t="inlineStr">
        <is>
          <t>중개거래</t>
        </is>
      </c>
      <c r="S1895" s="42" t="inlineStr">
        <is>
          <t>서울 서초구</t>
        </is>
      </c>
      <c r="T1895" s="41" t="inlineStr">
        <is>
          <t>25.12.23</t>
        </is>
      </c>
      <c r="U1895" s="42" t="inlineStr">
        <is>
          <t>아파트</t>
        </is>
      </c>
    </row>
    <row r="1896" hidden="1" ht="14.25" customHeight="1">
      <c r="A1896" s="41" t="n">
        <v>237</v>
      </c>
      <c r="B1896" s="42" t="inlineStr">
        <is>
          <t>서울특별시 서초구 서초동</t>
        </is>
      </c>
      <c r="C1896" s="41" t="inlineStr">
        <is>
          <t>1644</t>
        </is>
      </c>
      <c r="D1896" s="41" t="inlineStr">
        <is>
          <t>1644</t>
        </is>
      </c>
      <c r="E1896" s="41" t="inlineStr">
        <is>
          <t>0000</t>
        </is>
      </c>
      <c r="F1896" s="42" t="inlineStr">
        <is>
          <t>현대서초3</t>
        </is>
      </c>
      <c r="G1896" s="41" t="inlineStr">
        <is>
          <t>83.2500</t>
        </is>
      </c>
      <c r="H1896" s="41" t="inlineStr">
        <is>
          <t>202511</t>
        </is>
      </c>
      <c r="I1896" s="41" t="inlineStr">
        <is>
          <t>04</t>
        </is>
      </c>
      <c r="J1896" s="41" t="inlineStr">
        <is>
          <t>197,000</t>
        </is>
      </c>
      <c r="K1896" s="41" t="inlineStr">
        <is>
          <t>301</t>
        </is>
      </c>
      <c r="L1896" s="41" t="inlineStr">
        <is>
          <t>7</t>
        </is>
      </c>
      <c r="M1896" s="42" t="inlineStr">
        <is>
          <t>개인</t>
        </is>
      </c>
      <c r="N1896" s="42" t="inlineStr">
        <is>
          <t>개인</t>
        </is>
      </c>
      <c r="O1896" s="41" t="inlineStr">
        <is>
          <t>1997</t>
        </is>
      </c>
      <c r="P1896" s="42" t="inlineStr">
        <is>
          <t>사임당로23길 58</t>
        </is>
      </c>
      <c r="Q1896" s="41" t="inlineStr">
        <is>
          <t>-</t>
        </is>
      </c>
      <c r="R1896" s="42" t="inlineStr">
        <is>
          <t>중개거래</t>
        </is>
      </c>
      <c r="S1896" s="42" t="inlineStr">
        <is>
          <t>서울 서초구</t>
        </is>
      </c>
      <c r="T1896" s="41" t="inlineStr">
        <is>
          <t>26.01.15</t>
        </is>
      </c>
      <c r="U1896" s="42" t="inlineStr">
        <is>
          <t>아파트</t>
        </is>
      </c>
    </row>
    <row r="1897" hidden="1" ht="14.25" customHeight="1">
      <c r="A1897" s="41" t="n">
        <v>238</v>
      </c>
      <c r="B1897" s="42" t="inlineStr">
        <is>
          <t>서울특별시 서초구 서초동</t>
        </is>
      </c>
      <c r="C1897" s="41" t="inlineStr">
        <is>
          <t>1491-31</t>
        </is>
      </c>
      <c r="D1897" s="41" t="inlineStr">
        <is>
          <t>1491</t>
        </is>
      </c>
      <c r="E1897" s="41" t="inlineStr">
        <is>
          <t>0031</t>
        </is>
      </c>
      <c r="F1897" s="42" t="inlineStr">
        <is>
          <t>상지리츠빌(6)</t>
        </is>
      </c>
      <c r="G1897" s="41" t="inlineStr">
        <is>
          <t>143.7800</t>
        </is>
      </c>
      <c r="H1897" s="41" t="inlineStr">
        <is>
          <t>202511</t>
        </is>
      </c>
      <c r="I1897" s="41" t="inlineStr">
        <is>
          <t>04</t>
        </is>
      </c>
      <c r="J1897" s="41" t="inlineStr">
        <is>
          <t>220,000</t>
        </is>
      </c>
      <c r="K1897" s="41" t="inlineStr">
        <is>
          <t>6차</t>
        </is>
      </c>
      <c r="L1897" s="41" t="inlineStr">
        <is>
          <t>6</t>
        </is>
      </c>
      <c r="M1897" s="42" t="inlineStr">
        <is>
          <t>개인</t>
        </is>
      </c>
      <c r="N1897" s="42" t="inlineStr">
        <is>
          <t>개인</t>
        </is>
      </c>
      <c r="O1897" s="41" t="inlineStr">
        <is>
          <t>2004</t>
        </is>
      </c>
      <c r="P1897" s="42" t="inlineStr">
        <is>
          <t>명달로13길 21</t>
        </is>
      </c>
      <c r="Q1897" s="41" t="inlineStr">
        <is>
          <t>-</t>
        </is>
      </c>
      <c r="R1897" s="42" t="inlineStr">
        <is>
          <t>중개거래</t>
        </is>
      </c>
      <c r="S1897" s="42" t="inlineStr">
        <is>
          <t>서울 동대문구</t>
        </is>
      </c>
      <c r="T1897" s="41" t="inlineStr">
        <is>
          <t>26.01.21</t>
        </is>
      </c>
      <c r="U1897" s="42" t="inlineStr">
        <is>
          <t>아파트</t>
        </is>
      </c>
    </row>
    <row r="1898" hidden="1" ht="14.25" customHeight="1">
      <c r="A1898" s="41" t="n">
        <v>239</v>
      </c>
      <c r="B1898" s="42" t="inlineStr">
        <is>
          <t>서울특별시 서초구 서초동</t>
        </is>
      </c>
      <c r="C1898" s="41" t="inlineStr">
        <is>
          <t>1755</t>
        </is>
      </c>
      <c r="D1898" s="41" t="inlineStr">
        <is>
          <t>1755</t>
        </is>
      </c>
      <c r="E1898" s="41" t="inlineStr">
        <is>
          <t>0000</t>
        </is>
      </c>
      <c r="F1898" s="42" t="inlineStr">
        <is>
          <t>래미안 리더스원</t>
        </is>
      </c>
      <c r="G1898" s="41" t="inlineStr">
        <is>
          <t>59.9600</t>
        </is>
      </c>
      <c r="H1898" s="41" t="inlineStr">
        <is>
          <t>202511</t>
        </is>
      </c>
      <c r="I1898" s="41" t="inlineStr">
        <is>
          <t>04</t>
        </is>
      </c>
      <c r="J1898" s="41" t="inlineStr">
        <is>
          <t>330,000</t>
        </is>
      </c>
      <c r="K1898" s="41" t="inlineStr">
        <is>
          <t>112동</t>
        </is>
      </c>
      <c r="L1898" s="41" t="inlineStr">
        <is>
          <t>15</t>
        </is>
      </c>
      <c r="M1898" s="42" t="inlineStr">
        <is>
          <t>개인</t>
        </is>
      </c>
      <c r="N1898" s="42" t="inlineStr">
        <is>
          <t>개인</t>
        </is>
      </c>
      <c r="O1898" s="41" t="inlineStr">
        <is>
          <t>2020</t>
        </is>
      </c>
      <c r="P1898" s="42" t="inlineStr">
        <is>
          <t>서운로 62</t>
        </is>
      </c>
      <c r="Q1898" s="41" t="inlineStr">
        <is>
          <t>-</t>
        </is>
      </c>
      <c r="R1898" s="42" t="inlineStr">
        <is>
          <t>중개거래</t>
        </is>
      </c>
      <c r="S1898" s="42" t="inlineStr">
        <is>
          <t>서울 서초구</t>
        </is>
      </c>
      <c r="T1898" s="41" t="inlineStr">
        <is>
          <t>25.12.29</t>
        </is>
      </c>
      <c r="U1898" s="42" t="inlineStr">
        <is>
          <t>아파트</t>
        </is>
      </c>
    </row>
    <row r="1899" hidden="1" ht="14.25" customHeight="1">
      <c r="A1899" s="41" t="n">
        <v>240</v>
      </c>
      <c r="B1899" s="42" t="inlineStr">
        <is>
          <t>서울특별시 서초구 서초동</t>
        </is>
      </c>
      <c r="C1899" s="41" t="inlineStr">
        <is>
          <t>1542-1</t>
        </is>
      </c>
      <c r="D1899" s="41" t="inlineStr">
        <is>
          <t>1542</t>
        </is>
      </c>
      <c r="E1899" s="41" t="inlineStr">
        <is>
          <t>0001</t>
        </is>
      </c>
      <c r="F1899" s="42" t="inlineStr">
        <is>
          <t>동일하이빌</t>
        </is>
      </c>
      <c r="G1899" s="41" t="inlineStr">
        <is>
          <t>84.9800</t>
        </is>
      </c>
      <c r="H1899" s="41" t="inlineStr">
        <is>
          <t>202511</t>
        </is>
      </c>
      <c r="I1899" s="41" t="inlineStr">
        <is>
          <t>04</t>
        </is>
      </c>
      <c r="J1899" s="41" t="inlineStr">
        <is>
          <t>162,000</t>
        </is>
      </c>
      <c r="K1899" s="41" t="inlineStr">
        <is>
          <t>-</t>
        </is>
      </c>
      <c r="L1899" s="41" t="inlineStr">
        <is>
          <t>13</t>
        </is>
      </c>
      <c r="M1899" s="42" t="inlineStr">
        <is>
          <t>개인</t>
        </is>
      </c>
      <c r="N1899" s="42" t="inlineStr">
        <is>
          <t>개인</t>
        </is>
      </c>
      <c r="O1899" s="41" t="inlineStr">
        <is>
          <t>2006</t>
        </is>
      </c>
      <c r="P1899" s="42" t="inlineStr">
        <is>
          <t>서초대로 240</t>
        </is>
      </c>
      <c r="Q1899" s="41" t="inlineStr">
        <is>
          <t>-</t>
        </is>
      </c>
      <c r="R1899" s="42" t="inlineStr">
        <is>
          <t>중개거래</t>
        </is>
      </c>
      <c r="S1899" s="42" t="inlineStr">
        <is>
          <t>서울 서초구</t>
        </is>
      </c>
      <c r="T1899" s="41" t="inlineStr">
        <is>
          <t>-</t>
        </is>
      </c>
      <c r="U1899" s="42" t="inlineStr">
        <is>
          <t>아파트</t>
        </is>
      </c>
    </row>
    <row r="1900" hidden="1" ht="14.25" customHeight="1">
      <c r="A1900" s="41" t="n">
        <v>241</v>
      </c>
      <c r="B1900" s="42" t="inlineStr">
        <is>
          <t>서울특별시 서초구 서초동</t>
        </is>
      </c>
      <c r="C1900" s="41" t="inlineStr">
        <is>
          <t>1755</t>
        </is>
      </c>
      <c r="D1900" s="41" t="inlineStr">
        <is>
          <t>1755</t>
        </is>
      </c>
      <c r="E1900" s="41" t="inlineStr">
        <is>
          <t>0000</t>
        </is>
      </c>
      <c r="F1900" s="42" t="inlineStr">
        <is>
          <t>래미안 리더스원</t>
        </is>
      </c>
      <c r="G1900" s="41" t="inlineStr">
        <is>
          <t>59.9600</t>
        </is>
      </c>
      <c r="H1900" s="41" t="inlineStr">
        <is>
          <t>202511</t>
        </is>
      </c>
      <c r="I1900" s="41" t="inlineStr">
        <is>
          <t>04</t>
        </is>
      </c>
      <c r="J1900" s="41" t="inlineStr">
        <is>
          <t>330,000</t>
        </is>
      </c>
      <c r="K1900" s="41" t="inlineStr">
        <is>
          <t>-</t>
        </is>
      </c>
      <c r="L1900" s="41" t="inlineStr">
        <is>
          <t>15</t>
        </is>
      </c>
      <c r="M1900" s="42" t="inlineStr">
        <is>
          <t>개인</t>
        </is>
      </c>
      <c r="N1900" s="42" t="inlineStr">
        <is>
          <t>개인</t>
        </is>
      </c>
      <c r="O1900" s="41" t="inlineStr">
        <is>
          <t>2020</t>
        </is>
      </c>
      <c r="P1900" s="42" t="inlineStr">
        <is>
          <t>서운로 62</t>
        </is>
      </c>
      <c r="Q1900" s="41" t="inlineStr">
        <is>
          <t>20251222</t>
        </is>
      </c>
      <c r="R1900" s="42" t="inlineStr">
        <is>
          <t>중개거래</t>
        </is>
      </c>
      <c r="S1900" s="42" t="inlineStr">
        <is>
          <t>서울 서초구</t>
        </is>
      </c>
      <c r="T1900" s="41" t="inlineStr">
        <is>
          <t>-</t>
        </is>
      </c>
      <c r="U1900" s="42" t="inlineStr">
        <is>
          <t>아파트</t>
        </is>
      </c>
    </row>
    <row r="1901" hidden="1" ht="14.25" customHeight="1">
      <c r="A1901" s="41" t="n">
        <v>242</v>
      </c>
      <c r="B1901" s="42" t="inlineStr">
        <is>
          <t>서울특별시 서초구 서초동</t>
        </is>
      </c>
      <c r="C1901" s="41" t="inlineStr">
        <is>
          <t>1446-11</t>
        </is>
      </c>
      <c r="D1901" s="41" t="inlineStr">
        <is>
          <t>1446</t>
        </is>
      </c>
      <c r="E1901" s="41" t="inlineStr">
        <is>
          <t>0011</t>
        </is>
      </c>
      <c r="F1901" s="42" t="inlineStr">
        <is>
          <t>현대슈퍼빌</t>
        </is>
      </c>
      <c r="G1901" s="41" t="inlineStr">
        <is>
          <t>147.8600</t>
        </is>
      </c>
      <c r="H1901" s="41" t="inlineStr">
        <is>
          <t>202511</t>
        </is>
      </c>
      <c r="I1901" s="41" t="inlineStr">
        <is>
          <t>04</t>
        </is>
      </c>
      <c r="J1901" s="41" t="inlineStr">
        <is>
          <t>280,000</t>
        </is>
      </c>
      <c r="K1901" s="41" t="inlineStr">
        <is>
          <t>D</t>
        </is>
      </c>
      <c r="L1901" s="41" t="inlineStr">
        <is>
          <t>21</t>
        </is>
      </c>
      <c r="M1901" s="42" t="inlineStr">
        <is>
          <t>개인</t>
        </is>
      </c>
      <c r="N1901" s="42" t="inlineStr">
        <is>
          <t>개인</t>
        </is>
      </c>
      <c r="O1901" s="41" t="inlineStr">
        <is>
          <t>2003</t>
        </is>
      </c>
      <c r="P1901" s="42" t="inlineStr">
        <is>
          <t>서초중앙로 15</t>
        </is>
      </c>
      <c r="Q1901" s="41" t="inlineStr">
        <is>
          <t>-</t>
        </is>
      </c>
      <c r="R1901" s="42" t="inlineStr">
        <is>
          <t>중개거래</t>
        </is>
      </c>
      <c r="S1901" s="42" t="inlineStr">
        <is>
          <t>경기 시흥시, 서울 서초구</t>
        </is>
      </c>
      <c r="T1901" s="41" t="inlineStr">
        <is>
          <t>26.03.03</t>
        </is>
      </c>
      <c r="U1901" s="42" t="inlineStr">
        <is>
          <t>아파트</t>
        </is>
      </c>
    </row>
    <row r="1902" hidden="1" ht="14.25" customHeight="1">
      <c r="A1902" s="41" t="n">
        <v>243</v>
      </c>
      <c r="B1902" s="42" t="inlineStr">
        <is>
          <t>서울특별시 서초구 서초동</t>
        </is>
      </c>
      <c r="C1902" s="41" t="inlineStr">
        <is>
          <t>1445-4</t>
        </is>
      </c>
      <c r="D1902" s="41" t="inlineStr">
        <is>
          <t>1445</t>
        </is>
      </c>
      <c r="E1902" s="41" t="inlineStr">
        <is>
          <t>0004</t>
        </is>
      </c>
      <c r="F1902" s="42" t="inlineStr">
        <is>
          <t>래미안서초유니빌</t>
        </is>
      </c>
      <c r="G1902" s="41" t="inlineStr">
        <is>
          <t>43.6240</t>
        </is>
      </c>
      <c r="H1902" s="41" t="inlineStr">
        <is>
          <t>202511</t>
        </is>
      </c>
      <c r="I1902" s="41" t="inlineStr">
        <is>
          <t>04</t>
        </is>
      </c>
      <c r="J1902" s="41" t="inlineStr">
        <is>
          <t>46,000</t>
        </is>
      </c>
      <c r="K1902" s="42" t="inlineStr">
        <is>
          <t>래미안 서초유니빌</t>
        </is>
      </c>
      <c r="L1902" s="41" t="inlineStr">
        <is>
          <t>24</t>
        </is>
      </c>
      <c r="M1902" s="42" t="inlineStr">
        <is>
          <t>개인</t>
        </is>
      </c>
      <c r="N1902" s="42" t="inlineStr">
        <is>
          <t>개인</t>
        </is>
      </c>
      <c r="O1902" s="41" t="inlineStr">
        <is>
          <t>2003</t>
        </is>
      </c>
      <c r="P1902" s="42" t="inlineStr">
        <is>
          <t>서초중앙로 26</t>
        </is>
      </c>
      <c r="Q1902" s="41" t="inlineStr">
        <is>
          <t>-</t>
        </is>
      </c>
      <c r="R1902" s="42" t="inlineStr">
        <is>
          <t>중개거래</t>
        </is>
      </c>
      <c r="S1902" s="42" t="inlineStr">
        <is>
          <t>서울 서초구</t>
        </is>
      </c>
      <c r="T1902" s="41" t="inlineStr">
        <is>
          <t>26.02.03</t>
        </is>
      </c>
      <c r="U1902" s="42" t="inlineStr">
        <is>
          <t>아파트</t>
        </is>
      </c>
    </row>
    <row r="1903" hidden="1" ht="14.25" customHeight="1">
      <c r="A1903" s="41" t="n">
        <v>244</v>
      </c>
      <c r="B1903" s="42" t="inlineStr">
        <is>
          <t>서울특별시 서초구 서초동</t>
        </is>
      </c>
      <c r="C1903" s="41" t="inlineStr">
        <is>
          <t>1445-14</t>
        </is>
      </c>
      <c r="D1903" s="41" t="inlineStr">
        <is>
          <t>1445</t>
        </is>
      </c>
      <c r="E1903" s="41" t="inlineStr">
        <is>
          <t>0014</t>
        </is>
      </c>
      <c r="F1903" s="42" t="inlineStr">
        <is>
          <t>더샵서초</t>
        </is>
      </c>
      <c r="G1903" s="41" t="inlineStr">
        <is>
          <t>30.3900</t>
        </is>
      </c>
      <c r="H1903" s="41" t="inlineStr">
        <is>
          <t>202511</t>
        </is>
      </c>
      <c r="I1903" s="41" t="inlineStr">
        <is>
          <t>03</t>
        </is>
      </c>
      <c r="J1903" s="41" t="inlineStr">
        <is>
          <t>62,000</t>
        </is>
      </c>
      <c r="K1903" s="41" t="inlineStr">
        <is>
          <t>103</t>
        </is>
      </c>
      <c r="L1903" s="41" t="inlineStr">
        <is>
          <t>26</t>
        </is>
      </c>
      <c r="M1903" s="42" t="inlineStr">
        <is>
          <t>개인</t>
        </is>
      </c>
      <c r="N1903" s="42" t="inlineStr">
        <is>
          <t>개인</t>
        </is>
      </c>
      <c r="O1903" s="41" t="inlineStr">
        <is>
          <t>2006</t>
        </is>
      </c>
      <c r="P1903" s="42" t="inlineStr">
        <is>
          <t>서초중앙로2길 21</t>
        </is>
      </c>
      <c r="Q1903" s="41" t="inlineStr">
        <is>
          <t>-</t>
        </is>
      </c>
      <c r="R1903" s="42" t="inlineStr">
        <is>
          <t>중개거래</t>
        </is>
      </c>
      <c r="S1903" s="42" t="inlineStr">
        <is>
          <t>서울 서초구</t>
        </is>
      </c>
      <c r="T1903" s="41" t="inlineStr">
        <is>
          <t>25.12.19</t>
        </is>
      </c>
      <c r="U1903" s="42" t="inlineStr">
        <is>
          <t>아파트</t>
        </is>
      </c>
    </row>
    <row r="1904" hidden="1" ht="14.25" customHeight="1">
      <c r="A1904" s="41" t="n">
        <v>245</v>
      </c>
      <c r="B1904" s="42" t="inlineStr">
        <is>
          <t>서울특별시 서초구 서초동</t>
        </is>
      </c>
      <c r="C1904" s="41" t="inlineStr">
        <is>
          <t>1330</t>
        </is>
      </c>
      <c r="D1904" s="41" t="inlineStr">
        <is>
          <t>1330</t>
        </is>
      </c>
      <c r="E1904" s="41" t="inlineStr">
        <is>
          <t>0000</t>
        </is>
      </c>
      <c r="F1904" s="42" t="inlineStr">
        <is>
          <t>서초동삼성쉐르빌2</t>
        </is>
      </c>
      <c r="G1904" s="41" t="inlineStr">
        <is>
          <t>35.1700</t>
        </is>
      </c>
      <c r="H1904" s="41" t="inlineStr">
        <is>
          <t>202511</t>
        </is>
      </c>
      <c r="I1904" s="41" t="inlineStr">
        <is>
          <t>03</t>
        </is>
      </c>
      <c r="J1904" s="41" t="inlineStr">
        <is>
          <t>30,500</t>
        </is>
      </c>
      <c r="K1904" s="41" t="inlineStr">
        <is>
          <t>-</t>
        </is>
      </c>
      <c r="L1904" s="41" t="inlineStr">
        <is>
          <t>7</t>
        </is>
      </c>
      <c r="M1904" s="42" t="inlineStr">
        <is>
          <t>개인</t>
        </is>
      </c>
      <c r="N1904" s="42" t="inlineStr">
        <is>
          <t>개인</t>
        </is>
      </c>
      <c r="O1904" s="41" t="inlineStr">
        <is>
          <t>2002</t>
        </is>
      </c>
      <c r="P1904" s="42" t="inlineStr">
        <is>
          <t>강남대로53길 11</t>
        </is>
      </c>
      <c r="Q1904" s="41" t="inlineStr">
        <is>
          <t>-</t>
        </is>
      </c>
      <c r="R1904" s="42" t="inlineStr">
        <is>
          <t>중개거래</t>
        </is>
      </c>
      <c r="S1904" s="42" t="inlineStr">
        <is>
          <t>서울 강남구, 서울 서초구</t>
        </is>
      </c>
      <c r="T1904" s="41" t="inlineStr">
        <is>
          <t>26.01.30</t>
        </is>
      </c>
      <c r="U1904" s="42" t="inlineStr">
        <is>
          <t>아파트</t>
        </is>
      </c>
    </row>
    <row r="1905" hidden="1" ht="14.25" customHeight="1">
      <c r="A1905" s="41" t="n">
        <v>246</v>
      </c>
      <c r="B1905" s="42" t="inlineStr">
        <is>
          <t>서울특별시 서초구 서초동</t>
        </is>
      </c>
      <c r="C1905" s="41" t="inlineStr">
        <is>
          <t>1641-3</t>
        </is>
      </c>
      <c r="D1905" s="41" t="inlineStr">
        <is>
          <t>1641</t>
        </is>
      </c>
      <c r="E1905" s="41" t="inlineStr">
        <is>
          <t>0003</t>
        </is>
      </c>
      <c r="F1905" s="42" t="inlineStr">
        <is>
          <t>대성유니드</t>
        </is>
      </c>
      <c r="G1905" s="41" t="inlineStr">
        <is>
          <t>95.5500</t>
        </is>
      </c>
      <c r="H1905" s="41" t="inlineStr">
        <is>
          <t>202511</t>
        </is>
      </c>
      <c r="I1905" s="41" t="inlineStr">
        <is>
          <t>03</t>
        </is>
      </c>
      <c r="J1905" s="41" t="inlineStr">
        <is>
          <t>208,000</t>
        </is>
      </c>
      <c r="K1905" s="41" t="inlineStr">
        <is>
          <t>101</t>
        </is>
      </c>
      <c r="L1905" s="41" t="inlineStr">
        <is>
          <t>4</t>
        </is>
      </c>
      <c r="M1905" s="42" t="inlineStr">
        <is>
          <t>개인</t>
        </is>
      </c>
      <c r="N1905" s="42" t="inlineStr">
        <is>
          <t>개인</t>
        </is>
      </c>
      <c r="O1905" s="41" t="inlineStr">
        <is>
          <t>2004</t>
        </is>
      </c>
      <c r="P1905" s="42" t="inlineStr">
        <is>
          <t>서초대로64길 36</t>
        </is>
      </c>
      <c r="Q1905" s="41" t="inlineStr">
        <is>
          <t>-</t>
        </is>
      </c>
      <c r="R1905" s="42" t="inlineStr">
        <is>
          <t>중개거래</t>
        </is>
      </c>
      <c r="S1905" s="42" t="inlineStr">
        <is>
          <t>서울 서초구</t>
        </is>
      </c>
      <c r="T1905" s="41" t="inlineStr">
        <is>
          <t>26.01.07</t>
        </is>
      </c>
      <c r="U1905" s="42" t="inlineStr">
        <is>
          <t>아파트</t>
        </is>
      </c>
    </row>
    <row r="1906" hidden="1" ht="14.25" customHeight="1">
      <c r="A1906" s="41" t="n">
        <v>247</v>
      </c>
      <c r="B1906" s="42" t="inlineStr">
        <is>
          <t>서울특별시 서초구 서초동</t>
        </is>
      </c>
      <c r="C1906" s="41" t="inlineStr">
        <is>
          <t>1687</t>
        </is>
      </c>
      <c r="D1906" s="41" t="inlineStr">
        <is>
          <t>1687</t>
        </is>
      </c>
      <c r="E1906" s="41" t="inlineStr">
        <is>
          <t>0000</t>
        </is>
      </c>
      <c r="F1906" s="42" t="inlineStr">
        <is>
          <t>유원서초</t>
        </is>
      </c>
      <c r="G1906" s="41" t="inlineStr">
        <is>
          <t>84.8200</t>
        </is>
      </c>
      <c r="H1906" s="41" t="inlineStr">
        <is>
          <t>202511</t>
        </is>
      </c>
      <c r="I1906" s="41" t="inlineStr">
        <is>
          <t>03</t>
        </is>
      </c>
      <c r="J1906" s="41" t="inlineStr">
        <is>
          <t>265,000</t>
        </is>
      </c>
      <c r="K1906" s="41" t="inlineStr">
        <is>
          <t>101</t>
        </is>
      </c>
      <c r="L1906" s="41" t="inlineStr">
        <is>
          <t>2</t>
        </is>
      </c>
      <c r="M1906" s="42" t="inlineStr">
        <is>
          <t>개인</t>
        </is>
      </c>
      <c r="N1906" s="42" t="inlineStr">
        <is>
          <t>개인</t>
        </is>
      </c>
      <c r="O1906" s="41" t="inlineStr">
        <is>
          <t>1993</t>
        </is>
      </c>
      <c r="P1906" s="42" t="inlineStr">
        <is>
          <t>서초중앙로24길 43</t>
        </is>
      </c>
      <c r="Q1906" s="41" t="inlineStr">
        <is>
          <t>-</t>
        </is>
      </c>
      <c r="R1906" s="42" t="inlineStr">
        <is>
          <t>중개거래</t>
        </is>
      </c>
      <c r="S1906" s="42" t="inlineStr">
        <is>
          <t>서울 서초구</t>
        </is>
      </c>
      <c r="T1906" s="41" t="inlineStr">
        <is>
          <t>26.02.11</t>
        </is>
      </c>
      <c r="U1906" s="42" t="inlineStr">
        <is>
          <t>아파트</t>
        </is>
      </c>
    </row>
    <row r="1907" hidden="1" ht="14.25" customHeight="1">
      <c r="A1907" s="41" t="n">
        <v>248</v>
      </c>
      <c r="B1907" s="42" t="inlineStr">
        <is>
          <t>서울특별시 서초구 서초동</t>
        </is>
      </c>
      <c r="C1907" s="41" t="inlineStr">
        <is>
          <t>1648-2</t>
        </is>
      </c>
      <c r="D1907" s="41" t="inlineStr">
        <is>
          <t>1648</t>
        </is>
      </c>
      <c r="E1907" s="41" t="inlineStr">
        <is>
          <t>0002</t>
        </is>
      </c>
      <c r="F1907" s="42" t="inlineStr">
        <is>
          <t>서초현대</t>
        </is>
      </c>
      <c r="G1907" s="41" t="inlineStr">
        <is>
          <t>54.4500</t>
        </is>
      </c>
      <c r="H1907" s="41" t="inlineStr">
        <is>
          <t>202511</t>
        </is>
      </c>
      <c r="I1907" s="41" t="inlineStr">
        <is>
          <t>03</t>
        </is>
      </c>
      <c r="J1907" s="41" t="inlineStr">
        <is>
          <t>145,000</t>
        </is>
      </c>
      <c r="K1907" s="41" t="inlineStr">
        <is>
          <t>102</t>
        </is>
      </c>
      <c r="L1907" s="41" t="inlineStr">
        <is>
          <t>2</t>
        </is>
      </c>
      <c r="M1907" s="42" t="inlineStr">
        <is>
          <t>개인</t>
        </is>
      </c>
      <c r="N1907" s="42" t="inlineStr">
        <is>
          <t>개인</t>
        </is>
      </c>
      <c r="O1907" s="41" t="inlineStr">
        <is>
          <t>1999</t>
        </is>
      </c>
      <c r="P1907" s="42" t="inlineStr">
        <is>
          <t>사임당로19길 10</t>
        </is>
      </c>
      <c r="Q1907" s="41" t="inlineStr">
        <is>
          <t>-</t>
        </is>
      </c>
      <c r="R1907" s="42" t="inlineStr">
        <is>
          <t>중개거래</t>
        </is>
      </c>
      <c r="S1907" s="42" t="inlineStr">
        <is>
          <t>서울 서초구</t>
        </is>
      </c>
      <c r="T1907" s="41" t="inlineStr">
        <is>
          <t>26.01.15</t>
        </is>
      </c>
      <c r="U1907" s="42" t="inlineStr">
        <is>
          <t>아파트</t>
        </is>
      </c>
    </row>
    <row r="1908" hidden="1" ht="14.25" customHeight="1">
      <c r="A1908" s="41" t="n">
        <v>249</v>
      </c>
      <c r="B1908" s="42" t="inlineStr">
        <is>
          <t>서울특별시 서초구 서초동</t>
        </is>
      </c>
      <c r="C1908" s="41" t="inlineStr">
        <is>
          <t>1509-1</t>
        </is>
      </c>
      <c r="D1908" s="41" t="inlineStr">
        <is>
          <t>1509</t>
        </is>
      </c>
      <c r="E1908" s="41" t="inlineStr">
        <is>
          <t>0001</t>
        </is>
      </c>
      <c r="F1908" s="42" t="inlineStr">
        <is>
          <t>서초한빛삼성</t>
        </is>
      </c>
      <c r="G1908" s="41" t="inlineStr">
        <is>
          <t>110.5900</t>
        </is>
      </c>
      <c r="H1908" s="41" t="inlineStr">
        <is>
          <t>202511</t>
        </is>
      </c>
      <c r="I1908" s="41" t="inlineStr">
        <is>
          <t>03</t>
        </is>
      </c>
      <c r="J1908" s="41" t="inlineStr">
        <is>
          <t>220,000</t>
        </is>
      </c>
      <c r="K1908" s="41" t="inlineStr">
        <is>
          <t>101</t>
        </is>
      </c>
      <c r="L1908" s="41" t="inlineStr">
        <is>
          <t>2</t>
        </is>
      </c>
      <c r="M1908" s="42" t="inlineStr">
        <is>
          <t>개인</t>
        </is>
      </c>
      <c r="N1908" s="42" t="inlineStr">
        <is>
          <t>개인</t>
        </is>
      </c>
      <c r="O1908" s="41" t="inlineStr">
        <is>
          <t>1999</t>
        </is>
      </c>
      <c r="P1908" s="42" t="inlineStr">
        <is>
          <t>서초대로40길 72</t>
        </is>
      </c>
      <c r="Q1908" s="41" t="inlineStr">
        <is>
          <t>-</t>
        </is>
      </c>
      <c r="R1908" s="42" t="inlineStr">
        <is>
          <t>중개거래</t>
        </is>
      </c>
      <c r="S1908" s="42" t="inlineStr">
        <is>
          <t>서울 서초구</t>
        </is>
      </c>
      <c r="T1908" s="41" t="inlineStr">
        <is>
          <t>26.01.15</t>
        </is>
      </c>
      <c r="U1908" s="42" t="inlineStr">
        <is>
          <t>아파트</t>
        </is>
      </c>
    </row>
    <row r="1909" hidden="1" ht="14.25" customHeight="1">
      <c r="A1909" s="41" t="n">
        <v>250</v>
      </c>
      <c r="B1909" s="42" t="inlineStr">
        <is>
          <t>서울특별시 서초구 서초동</t>
        </is>
      </c>
      <c r="C1909" s="41" t="inlineStr">
        <is>
          <t>1757</t>
        </is>
      </c>
      <c r="D1909" s="41" t="inlineStr">
        <is>
          <t>1757</t>
        </is>
      </c>
      <c r="E1909" s="41" t="inlineStr">
        <is>
          <t>0000</t>
        </is>
      </c>
      <c r="F1909" s="42" t="inlineStr">
        <is>
          <t>서초그랑자이</t>
        </is>
      </c>
      <c r="G1909" s="41" t="inlineStr">
        <is>
          <t>84.5100</t>
        </is>
      </c>
      <c r="H1909" s="41" t="inlineStr">
        <is>
          <t>202511</t>
        </is>
      </c>
      <c r="I1909" s="41" t="inlineStr">
        <is>
          <t>03</t>
        </is>
      </c>
      <c r="J1909" s="41" t="inlineStr">
        <is>
          <t>420,000</t>
        </is>
      </c>
      <c r="K1909" s="41" t="inlineStr">
        <is>
          <t>108동</t>
        </is>
      </c>
      <c r="L1909" s="41" t="inlineStr">
        <is>
          <t>29</t>
        </is>
      </c>
      <c r="M1909" s="42" t="inlineStr">
        <is>
          <t>개인</t>
        </is>
      </c>
      <c r="N1909" s="42" t="inlineStr">
        <is>
          <t>개인</t>
        </is>
      </c>
      <c r="O1909" s="41" t="inlineStr">
        <is>
          <t>2021</t>
        </is>
      </c>
      <c r="P1909" s="42" t="inlineStr">
        <is>
          <t>효령로 391</t>
        </is>
      </c>
      <c r="Q1909" s="41" t="inlineStr">
        <is>
          <t>-</t>
        </is>
      </c>
      <c r="R1909" s="42" t="inlineStr">
        <is>
          <t>중개거래</t>
        </is>
      </c>
      <c r="S1909" s="42" t="inlineStr">
        <is>
          <t>서울 서초구</t>
        </is>
      </c>
      <c r="T1909" s="41" t="inlineStr">
        <is>
          <t>26.02.06</t>
        </is>
      </c>
      <c r="U1909" s="42" t="inlineStr">
        <is>
          <t>아파트</t>
        </is>
      </c>
    </row>
    <row r="1910" hidden="1" ht="14.25" customHeight="1">
      <c r="A1910" s="41" t="n">
        <v>251</v>
      </c>
      <c r="B1910" s="42" t="inlineStr">
        <is>
          <t>서울특별시 서초구 서초동</t>
        </is>
      </c>
      <c r="C1910" s="41" t="inlineStr">
        <is>
          <t>1686-9</t>
        </is>
      </c>
      <c r="D1910" s="41" t="inlineStr">
        <is>
          <t>1686</t>
        </is>
      </c>
      <c r="E1910" s="41" t="inlineStr">
        <is>
          <t>0009</t>
        </is>
      </c>
      <c r="F1910" s="42" t="inlineStr">
        <is>
          <t>서초교대e편한세상</t>
        </is>
      </c>
      <c r="G1910" s="41" t="inlineStr">
        <is>
          <t>84.9700</t>
        </is>
      </c>
      <c r="H1910" s="41" t="inlineStr">
        <is>
          <t>202511</t>
        </is>
      </c>
      <c r="I1910" s="41" t="inlineStr">
        <is>
          <t>03</t>
        </is>
      </c>
      <c r="J1910" s="41" t="inlineStr">
        <is>
          <t>320,000</t>
        </is>
      </c>
      <c r="K1910" s="41" t="inlineStr">
        <is>
          <t>105</t>
        </is>
      </c>
      <c r="L1910" s="41" t="inlineStr">
        <is>
          <t>3</t>
        </is>
      </c>
      <c r="M1910" s="42" t="inlineStr">
        <is>
          <t>개인</t>
        </is>
      </c>
      <c r="N1910" s="42" t="inlineStr">
        <is>
          <t>개인</t>
        </is>
      </c>
      <c r="O1910" s="41" t="inlineStr">
        <is>
          <t>2010</t>
        </is>
      </c>
      <c r="P1910" s="42" t="inlineStr">
        <is>
          <t>서초중앙로24길 33</t>
        </is>
      </c>
      <c r="Q1910" s="41" t="inlineStr">
        <is>
          <t>-</t>
        </is>
      </c>
      <c r="R1910" s="42" t="inlineStr">
        <is>
          <t>중개거래</t>
        </is>
      </c>
      <c r="S1910" s="42" t="inlineStr">
        <is>
          <t>서울 서초구</t>
        </is>
      </c>
      <c r="T1910" s="41" t="inlineStr">
        <is>
          <t>26.02.10</t>
        </is>
      </c>
      <c r="U1910" s="42" t="inlineStr">
        <is>
          <t>아파트</t>
        </is>
      </c>
    </row>
    <row r="1911" hidden="1" ht="14.25" customHeight="1">
      <c r="A1911" s="41" t="n">
        <v>252</v>
      </c>
      <c r="B1911" s="42" t="inlineStr">
        <is>
          <t>서울특별시 서초구 서초동</t>
        </is>
      </c>
      <c r="C1911" s="41" t="inlineStr">
        <is>
          <t>1445-13</t>
        </is>
      </c>
      <c r="D1911" s="41" t="inlineStr">
        <is>
          <t>1445</t>
        </is>
      </c>
      <c r="E1911" s="41" t="inlineStr">
        <is>
          <t>0013</t>
        </is>
      </c>
      <c r="F1911" s="42" t="inlineStr">
        <is>
          <t>서초쌍용플래티넘</t>
        </is>
      </c>
      <c r="G1911" s="41" t="inlineStr">
        <is>
          <t>68.2100</t>
        </is>
      </c>
      <c r="H1911" s="41" t="inlineStr">
        <is>
          <t>202511</t>
        </is>
      </c>
      <c r="I1911" s="41" t="inlineStr">
        <is>
          <t>03</t>
        </is>
      </c>
      <c r="J1911" s="41" t="inlineStr">
        <is>
          <t>103,000</t>
        </is>
      </c>
      <c r="K1911" s="42" t="inlineStr">
        <is>
          <t>서초쌍용플래티넘</t>
        </is>
      </c>
      <c r="L1911" s="41" t="inlineStr">
        <is>
          <t>18</t>
        </is>
      </c>
      <c r="M1911" s="42" t="inlineStr">
        <is>
          <t>개인</t>
        </is>
      </c>
      <c r="N1911" s="42" t="inlineStr">
        <is>
          <t>개인</t>
        </is>
      </c>
      <c r="O1911" s="41" t="inlineStr">
        <is>
          <t>2006</t>
        </is>
      </c>
      <c r="P1911" s="42" t="inlineStr">
        <is>
          <t>서초중앙로 18</t>
        </is>
      </c>
      <c r="Q1911" s="41" t="inlineStr">
        <is>
          <t>-</t>
        </is>
      </c>
      <c r="R1911" s="42" t="inlineStr">
        <is>
          <t>중개거래</t>
        </is>
      </c>
      <c r="S1911" s="42" t="inlineStr">
        <is>
          <t>서울 서초구</t>
        </is>
      </c>
      <c r="T1911" s="41" t="inlineStr">
        <is>
          <t>26.02.25</t>
        </is>
      </c>
      <c r="U1911" s="42" t="inlineStr">
        <is>
          <t>아파트</t>
        </is>
      </c>
    </row>
    <row r="1912" hidden="1" ht="14.25" customHeight="1">
      <c r="A1912" s="41" t="n">
        <v>253</v>
      </c>
      <c r="B1912" s="42" t="inlineStr">
        <is>
          <t>서울특별시 서초구 서초동</t>
        </is>
      </c>
      <c r="C1912" s="41" t="inlineStr">
        <is>
          <t>1315</t>
        </is>
      </c>
      <c r="D1912" s="41" t="inlineStr">
        <is>
          <t>1315</t>
        </is>
      </c>
      <c r="E1912" s="41" t="inlineStr">
        <is>
          <t>0000</t>
        </is>
      </c>
      <c r="F1912" s="42" t="inlineStr">
        <is>
          <t>진흥아파트</t>
        </is>
      </c>
      <c r="G1912" s="41" t="inlineStr">
        <is>
          <t>160.4600</t>
        </is>
      </c>
      <c r="H1912" s="41" t="inlineStr">
        <is>
          <t>202511</t>
        </is>
      </c>
      <c r="I1912" s="41" t="inlineStr">
        <is>
          <t>02</t>
        </is>
      </c>
      <c r="J1912" s="41" t="inlineStr">
        <is>
          <t>430,000</t>
        </is>
      </c>
      <c r="K1912" s="41" t="inlineStr">
        <is>
          <t>5</t>
        </is>
      </c>
      <c r="L1912" s="41" t="inlineStr">
        <is>
          <t>11</t>
        </is>
      </c>
      <c r="M1912" s="42" t="inlineStr">
        <is>
          <t>개인</t>
        </is>
      </c>
      <c r="N1912" s="42" t="inlineStr">
        <is>
          <t>개인</t>
        </is>
      </c>
      <c r="O1912" s="41" t="inlineStr">
        <is>
          <t>1979</t>
        </is>
      </c>
      <c r="P1912" s="42" t="inlineStr">
        <is>
          <t>서초대로 385</t>
        </is>
      </c>
      <c r="Q1912" s="41" t="inlineStr">
        <is>
          <t>-</t>
        </is>
      </c>
      <c r="R1912" s="42" t="inlineStr">
        <is>
          <t>중개거래</t>
        </is>
      </c>
      <c r="S1912" s="42" t="inlineStr">
        <is>
          <t>서울 서초구</t>
        </is>
      </c>
      <c r="T1912" s="41" t="inlineStr">
        <is>
          <t>26.03.06</t>
        </is>
      </c>
      <c r="U1912" s="42" t="inlineStr">
        <is>
          <t>아파트</t>
        </is>
      </c>
    </row>
    <row r="1913" hidden="1" ht="14.25" customHeight="1">
      <c r="A1913" s="41" t="n">
        <v>254</v>
      </c>
      <c r="B1913" s="42" t="inlineStr">
        <is>
          <t>서울특별시 서초구 서초동</t>
        </is>
      </c>
      <c r="C1913" s="41" t="inlineStr">
        <is>
          <t>1445-4</t>
        </is>
      </c>
      <c r="D1913" s="41" t="inlineStr">
        <is>
          <t>1445</t>
        </is>
      </c>
      <c r="E1913" s="41" t="inlineStr">
        <is>
          <t>0004</t>
        </is>
      </c>
      <c r="F1913" s="42" t="inlineStr">
        <is>
          <t>래미안서초유니빌</t>
        </is>
      </c>
      <c r="G1913" s="41" t="inlineStr">
        <is>
          <t>51.7480</t>
        </is>
      </c>
      <c r="H1913" s="41" t="inlineStr">
        <is>
          <t>202511</t>
        </is>
      </c>
      <c r="I1913" s="41" t="inlineStr">
        <is>
          <t>02</t>
        </is>
      </c>
      <c r="J1913" s="41" t="inlineStr">
        <is>
          <t>77,800</t>
        </is>
      </c>
      <c r="K1913" s="42" t="inlineStr">
        <is>
          <t>래미안 서초유니빌</t>
        </is>
      </c>
      <c r="L1913" s="41" t="inlineStr">
        <is>
          <t>24</t>
        </is>
      </c>
      <c r="M1913" s="42" t="inlineStr">
        <is>
          <t>개인</t>
        </is>
      </c>
      <c r="N1913" s="42" t="inlineStr">
        <is>
          <t>개인</t>
        </is>
      </c>
      <c r="O1913" s="41" t="inlineStr">
        <is>
          <t>2003</t>
        </is>
      </c>
      <c r="P1913" s="42" t="inlineStr">
        <is>
          <t>서초중앙로 26</t>
        </is>
      </c>
      <c r="Q1913" s="41" t="inlineStr">
        <is>
          <t>-</t>
        </is>
      </c>
      <c r="R1913" s="42" t="inlineStr">
        <is>
          <t>중개거래</t>
        </is>
      </c>
      <c r="S1913" s="42" t="inlineStr">
        <is>
          <t>서울 서초구</t>
        </is>
      </c>
      <c r="T1913" s="41" t="inlineStr">
        <is>
          <t>26.01.23</t>
        </is>
      </c>
      <c r="U1913" s="42" t="inlineStr">
        <is>
          <t>아파트</t>
        </is>
      </c>
    </row>
    <row r="1914" hidden="1" ht="14.25" customHeight="1">
      <c r="A1914" s="41" t="n">
        <v>255</v>
      </c>
      <c r="B1914" s="42" t="inlineStr">
        <is>
          <t>서울특별시 서초구 서초동</t>
        </is>
      </c>
      <c r="C1914" s="41" t="inlineStr">
        <is>
          <t>1344-13</t>
        </is>
      </c>
      <c r="D1914" s="41" t="inlineStr">
        <is>
          <t>1344</t>
        </is>
      </c>
      <c r="E1914" s="41" t="inlineStr">
        <is>
          <t>0013</t>
        </is>
      </c>
      <c r="F1914" s="42" t="inlineStr">
        <is>
          <t>서초트라팰리스</t>
        </is>
      </c>
      <c r="G1914" s="41" t="inlineStr">
        <is>
          <t>95.5800</t>
        </is>
      </c>
      <c r="H1914" s="41" t="inlineStr">
        <is>
          <t>202511</t>
        </is>
      </c>
      <c r="I1914" s="41" t="inlineStr">
        <is>
          <t>01</t>
        </is>
      </c>
      <c r="J1914" s="41" t="inlineStr">
        <is>
          <t>209,000</t>
        </is>
      </c>
      <c r="K1914" s="41" t="inlineStr">
        <is>
          <t>A</t>
        </is>
      </c>
      <c r="L1914" s="41" t="inlineStr">
        <is>
          <t>16</t>
        </is>
      </c>
      <c r="M1914" s="42" t="inlineStr">
        <is>
          <t>개인</t>
        </is>
      </c>
      <c r="N1914" s="42" t="inlineStr">
        <is>
          <t>개인</t>
        </is>
      </c>
      <c r="O1914" s="41" t="inlineStr">
        <is>
          <t>2005</t>
        </is>
      </c>
      <c r="P1914" s="42" t="inlineStr">
        <is>
          <t>효령로72길 57</t>
        </is>
      </c>
      <c r="Q1914" s="41" t="inlineStr">
        <is>
          <t>-</t>
        </is>
      </c>
      <c r="R1914" s="42" t="inlineStr">
        <is>
          <t>중개거래</t>
        </is>
      </c>
      <c r="S1914" s="42" t="inlineStr">
        <is>
          <t>서울 서초구</t>
        </is>
      </c>
      <c r="T1914" s="41" t="inlineStr">
        <is>
          <t>26.01.30</t>
        </is>
      </c>
      <c r="U1914" s="42" t="inlineStr">
        <is>
          <t>아파트</t>
        </is>
      </c>
    </row>
    <row r="1915" hidden="1" ht="14.25" customHeight="1">
      <c r="A1915" s="41" t="n">
        <v>256</v>
      </c>
      <c r="B1915" s="42" t="inlineStr">
        <is>
          <t>서울특별시 서초구 서초동</t>
        </is>
      </c>
      <c r="C1915" s="41" t="inlineStr">
        <is>
          <t>1675-11</t>
        </is>
      </c>
      <c r="D1915" s="41" t="inlineStr">
        <is>
          <t>1675</t>
        </is>
      </c>
      <c r="E1915" s="41" t="inlineStr">
        <is>
          <t>0011</t>
        </is>
      </c>
      <c r="F1915" s="42" t="inlineStr">
        <is>
          <t>서초대우아이빌</t>
        </is>
      </c>
      <c r="G1915" s="41" t="inlineStr">
        <is>
          <t>37.7770</t>
        </is>
      </c>
      <c r="H1915" s="41" t="inlineStr">
        <is>
          <t>202511</t>
        </is>
      </c>
      <c r="I1915" s="41" t="inlineStr">
        <is>
          <t>01</t>
        </is>
      </c>
      <c r="J1915" s="41" t="inlineStr">
        <is>
          <t>31,000</t>
        </is>
      </c>
      <c r="K1915" s="42" t="inlineStr">
        <is>
          <t>서초 대우아이빌</t>
        </is>
      </c>
      <c r="L1915" s="41" t="inlineStr">
        <is>
          <t>9</t>
        </is>
      </c>
      <c r="M1915" s="42" t="inlineStr">
        <is>
          <t>개인</t>
        </is>
      </c>
      <c r="N1915" s="42" t="inlineStr">
        <is>
          <t>개인</t>
        </is>
      </c>
      <c r="O1915" s="41" t="inlineStr">
        <is>
          <t>2003</t>
        </is>
      </c>
      <c r="P1915" s="42" t="inlineStr">
        <is>
          <t>서초대로58길 10</t>
        </is>
      </c>
      <c r="Q1915" s="41" t="inlineStr">
        <is>
          <t>-</t>
        </is>
      </c>
      <c r="R1915" s="42" t="inlineStr">
        <is>
          <t>중개거래</t>
        </is>
      </c>
      <c r="S1915" s="42" t="inlineStr">
        <is>
          <t>서울 서초구</t>
        </is>
      </c>
      <c r="T1915" s="41" t="inlineStr">
        <is>
          <t>25.12.18</t>
        </is>
      </c>
      <c r="U1915" s="42" t="inlineStr">
        <is>
          <t>아파트</t>
        </is>
      </c>
    </row>
    <row r="1916" hidden="1" ht="14.25" customHeight="1">
      <c r="A1916" s="41" t="n">
        <v>257</v>
      </c>
      <c r="B1916" s="42" t="inlineStr">
        <is>
          <t>서울특별시 서초구 서초동</t>
        </is>
      </c>
      <c r="C1916" s="41" t="inlineStr">
        <is>
          <t>1671-5</t>
        </is>
      </c>
      <c r="D1916" s="41" t="inlineStr">
        <is>
          <t>1671</t>
        </is>
      </c>
      <c r="E1916" s="41" t="inlineStr">
        <is>
          <t>0005</t>
        </is>
      </c>
      <c r="F1916" s="42" t="inlineStr">
        <is>
          <t>대림서초리시온</t>
        </is>
      </c>
      <c r="G1916" s="41" t="inlineStr">
        <is>
          <t>49.9200</t>
        </is>
      </c>
      <c r="H1916" s="41" t="inlineStr">
        <is>
          <t>202511</t>
        </is>
      </c>
      <c r="I1916" s="41" t="inlineStr">
        <is>
          <t>01</t>
        </is>
      </c>
      <c r="J1916" s="41" t="inlineStr">
        <is>
          <t>51,500</t>
        </is>
      </c>
      <c r="K1916" s="41" t="inlineStr">
        <is>
          <t>-</t>
        </is>
      </c>
      <c r="L1916" s="41" t="inlineStr">
        <is>
          <t>7</t>
        </is>
      </c>
      <c r="M1916" s="42" t="inlineStr">
        <is>
          <t>개인</t>
        </is>
      </c>
      <c r="N1916" s="42" t="inlineStr">
        <is>
          <t>개인</t>
        </is>
      </c>
      <c r="O1916" s="41" t="inlineStr">
        <is>
          <t>2003</t>
        </is>
      </c>
      <c r="P1916" s="42" t="inlineStr">
        <is>
          <t>서초중앙로22길 25</t>
        </is>
      </c>
      <c r="Q1916" s="41" t="inlineStr">
        <is>
          <t>-</t>
        </is>
      </c>
      <c r="R1916" s="42" t="inlineStr">
        <is>
          <t>중개거래</t>
        </is>
      </c>
      <c r="S1916" s="42" t="inlineStr">
        <is>
          <t>서울 서초구</t>
        </is>
      </c>
      <c r="T1916" s="41" t="inlineStr">
        <is>
          <t>25.12.30</t>
        </is>
      </c>
      <c r="U1916" s="42" t="inlineStr">
        <is>
          <t>아파트</t>
        </is>
      </c>
    </row>
    <row r="1917" hidden="1" ht="14.25" customHeight="1">
      <c r="A1917" s="41" t="n">
        <v>258</v>
      </c>
      <c r="B1917" s="42" t="inlineStr">
        <is>
          <t>서울특별시 서초구 서초동</t>
        </is>
      </c>
      <c r="C1917" s="41" t="inlineStr">
        <is>
          <t>1338</t>
        </is>
      </c>
      <c r="D1917" s="41" t="inlineStr">
        <is>
          <t>1338</t>
        </is>
      </c>
      <c r="E1917" s="41" t="inlineStr">
        <is>
          <t>0000</t>
        </is>
      </c>
      <c r="F1917" s="42" t="inlineStr">
        <is>
          <t>현대이에스에이아파트</t>
        </is>
      </c>
      <c r="G1917" s="41" t="inlineStr">
        <is>
          <t>116.0400</t>
        </is>
      </c>
      <c r="H1917" s="41" t="inlineStr">
        <is>
          <t>202511</t>
        </is>
      </c>
      <c r="I1917" s="41" t="inlineStr">
        <is>
          <t>01</t>
        </is>
      </c>
      <c r="J1917" s="41" t="inlineStr">
        <is>
          <t>157,000</t>
        </is>
      </c>
      <c r="K1917" s="41" t="inlineStr">
        <is>
          <t>-</t>
        </is>
      </c>
      <c r="L1917" s="41" t="inlineStr">
        <is>
          <t>8</t>
        </is>
      </c>
      <c r="M1917" s="42" t="inlineStr">
        <is>
          <t>개인</t>
        </is>
      </c>
      <c r="N1917" s="42" t="inlineStr">
        <is>
          <t>개인</t>
        </is>
      </c>
      <c r="O1917" s="41" t="inlineStr">
        <is>
          <t>2002</t>
        </is>
      </c>
      <c r="P1917" s="42" t="inlineStr">
        <is>
          <t>효령로77길 20</t>
        </is>
      </c>
      <c r="Q1917" s="41" t="inlineStr">
        <is>
          <t>-</t>
        </is>
      </c>
      <c r="R1917" s="42" t="inlineStr">
        <is>
          <t>중개거래</t>
        </is>
      </c>
      <c r="S1917" s="42" t="inlineStr">
        <is>
          <t>서울 서초구</t>
        </is>
      </c>
      <c r="T1917" s="41" t="inlineStr">
        <is>
          <t>26.02.03</t>
        </is>
      </c>
      <c r="U1917" s="42" t="inlineStr">
        <is>
          <t>아파트</t>
        </is>
      </c>
    </row>
    <row r="1918" hidden="1" ht="14.25" customHeight="1">
      <c r="A1918" s="41" t="n">
        <v>259</v>
      </c>
      <c r="B1918" s="42" t="inlineStr">
        <is>
          <t>서울특별시 서초구 서초동</t>
        </is>
      </c>
      <c r="C1918" s="41" t="inlineStr">
        <is>
          <t>1487-63</t>
        </is>
      </c>
      <c r="D1918" s="41" t="inlineStr">
        <is>
          <t>1487</t>
        </is>
      </c>
      <c r="E1918" s="41" t="inlineStr">
        <is>
          <t>0063</t>
        </is>
      </c>
      <c r="F1918" s="42" t="inlineStr">
        <is>
          <t>서초1차e-편한세상</t>
        </is>
      </c>
      <c r="G1918" s="41" t="inlineStr">
        <is>
          <t>130.5300</t>
        </is>
      </c>
      <c r="H1918" s="41" t="inlineStr">
        <is>
          <t>202511</t>
        </is>
      </c>
      <c r="I1918" s="41" t="inlineStr">
        <is>
          <t>01</t>
        </is>
      </c>
      <c r="J1918" s="41" t="inlineStr">
        <is>
          <t>255,000</t>
        </is>
      </c>
      <c r="K1918" s="41" t="inlineStr">
        <is>
          <t>102</t>
        </is>
      </c>
      <c r="L1918" s="41" t="inlineStr">
        <is>
          <t>5</t>
        </is>
      </c>
      <c r="M1918" s="42" t="inlineStr">
        <is>
          <t>개인</t>
        </is>
      </c>
      <c r="N1918" s="42" t="inlineStr">
        <is>
          <t>개인</t>
        </is>
      </c>
      <c r="O1918" s="41" t="inlineStr">
        <is>
          <t>2004</t>
        </is>
      </c>
      <c r="P1918" s="42" t="inlineStr">
        <is>
          <t>명달로6길 31</t>
        </is>
      </c>
      <c r="Q1918" s="41" t="inlineStr">
        <is>
          <t>-</t>
        </is>
      </c>
      <c r="R1918" s="42" t="inlineStr">
        <is>
          <t>중개거래</t>
        </is>
      </c>
      <c r="S1918" s="42" t="inlineStr">
        <is>
          <t>서울 서초구</t>
        </is>
      </c>
      <c r="T1918" s="41" t="inlineStr">
        <is>
          <t>26.02.25</t>
        </is>
      </c>
      <c r="U1918" s="42" t="inlineStr">
        <is>
          <t>아파트</t>
        </is>
      </c>
    </row>
    <row r="1919" hidden="1" ht="14.25" customHeight="1">
      <c r="A1919" s="41" t="n">
        <v>260</v>
      </c>
      <c r="B1919" s="42" t="inlineStr">
        <is>
          <t>서울특별시 서초구 서초동</t>
        </is>
      </c>
      <c r="C1919" s="41" t="inlineStr">
        <is>
          <t>1487-63</t>
        </is>
      </c>
      <c r="D1919" s="41" t="inlineStr">
        <is>
          <t>1487</t>
        </is>
      </c>
      <c r="E1919" s="41" t="inlineStr">
        <is>
          <t>0063</t>
        </is>
      </c>
      <c r="F1919" s="42" t="inlineStr">
        <is>
          <t>서초1차e-편한세상</t>
        </is>
      </c>
      <c r="G1919" s="41" t="inlineStr">
        <is>
          <t>130.5300</t>
        </is>
      </c>
      <c r="H1919" s="41" t="inlineStr">
        <is>
          <t>202511</t>
        </is>
      </c>
      <c r="I1919" s="41" t="inlineStr">
        <is>
          <t>01</t>
        </is>
      </c>
      <c r="J1919" s="41" t="inlineStr">
        <is>
          <t>249,000</t>
        </is>
      </c>
      <c r="K1919" s="41" t="inlineStr">
        <is>
          <t>102</t>
        </is>
      </c>
      <c r="L1919" s="41" t="inlineStr">
        <is>
          <t>5</t>
        </is>
      </c>
      <c r="M1919" s="42" t="inlineStr">
        <is>
          <t>개인</t>
        </is>
      </c>
      <c r="N1919" s="42" t="inlineStr">
        <is>
          <t>개인</t>
        </is>
      </c>
      <c r="O1919" s="41" t="inlineStr">
        <is>
          <t>2004</t>
        </is>
      </c>
      <c r="P1919" s="42" t="inlineStr">
        <is>
          <t>명달로6길 31</t>
        </is>
      </c>
      <c r="Q1919" s="41" t="inlineStr">
        <is>
          <t>-</t>
        </is>
      </c>
      <c r="R1919" s="42" t="inlineStr">
        <is>
          <t>중개거래</t>
        </is>
      </c>
      <c r="S1919" s="42" t="inlineStr">
        <is>
          <t>서울 서초구</t>
        </is>
      </c>
      <c r="T1919" s="41" t="inlineStr">
        <is>
          <t>26.02.24</t>
        </is>
      </c>
      <c r="U1919" s="42" t="inlineStr">
        <is>
          <t>아파트</t>
        </is>
      </c>
    </row>
    <row r="1920" hidden="1" ht="14.25" customHeight="1">
      <c r="A1920" s="41" t="n">
        <v>261</v>
      </c>
      <c r="B1920" s="42" t="inlineStr">
        <is>
          <t>서울특별시 서초구 서초동</t>
        </is>
      </c>
      <c r="C1920" s="41" t="inlineStr">
        <is>
          <t>1338-1</t>
        </is>
      </c>
      <c r="D1920" s="41" t="inlineStr">
        <is>
          <t>1338</t>
        </is>
      </c>
      <c r="E1920" s="41" t="inlineStr">
        <is>
          <t>0001</t>
        </is>
      </c>
      <c r="F1920" s="42" t="inlineStr">
        <is>
          <t>풍림아이원플러스</t>
        </is>
      </c>
      <c r="G1920" s="41" t="inlineStr">
        <is>
          <t>34.4237</t>
        </is>
      </c>
      <c r="H1920" s="41" t="inlineStr">
        <is>
          <t>202511</t>
        </is>
      </c>
      <c r="I1920" s="41" t="inlineStr">
        <is>
          <t>01</t>
        </is>
      </c>
      <c r="J1920" s="41" t="inlineStr">
        <is>
          <t>35,000</t>
        </is>
      </c>
      <c r="K1920" s="42" t="inlineStr">
        <is>
          <t>풍림아이원플러스</t>
        </is>
      </c>
      <c r="L1920" s="41" t="inlineStr">
        <is>
          <t>13</t>
        </is>
      </c>
      <c r="M1920" s="42" t="inlineStr">
        <is>
          <t>개인</t>
        </is>
      </c>
      <c r="N1920" s="42" t="inlineStr">
        <is>
          <t>개인</t>
        </is>
      </c>
      <c r="O1920" s="41" t="inlineStr">
        <is>
          <t>2004</t>
        </is>
      </c>
      <c r="P1920" s="42" t="inlineStr">
        <is>
          <t>효령로77길 14</t>
        </is>
      </c>
      <c r="Q1920" s="41" t="inlineStr">
        <is>
          <t>-</t>
        </is>
      </c>
      <c r="R1920" s="42" t="inlineStr">
        <is>
          <t>중개거래</t>
        </is>
      </c>
      <c r="S1920" s="42" t="inlineStr">
        <is>
          <t>서울 서초구</t>
        </is>
      </c>
      <c r="T1920" s="41" t="inlineStr">
        <is>
          <t>26.03.31</t>
        </is>
      </c>
      <c r="U1920" s="42" t="inlineStr">
        <is>
          <t>아파트</t>
        </is>
      </c>
    </row>
    <row r="1921" hidden="1" ht="14.25" customHeight="1">
      <c r="A1921" s="41" t="n">
        <v>262</v>
      </c>
      <c r="B1921" s="42" t="inlineStr">
        <is>
          <t>서울특별시 서초구 서초동</t>
        </is>
      </c>
      <c r="C1921" s="41" t="inlineStr">
        <is>
          <t>1757</t>
        </is>
      </c>
      <c r="D1921" s="41" t="inlineStr">
        <is>
          <t>1757</t>
        </is>
      </c>
      <c r="E1921" s="41" t="inlineStr">
        <is>
          <t>0000</t>
        </is>
      </c>
      <c r="F1921" s="42" t="inlineStr">
        <is>
          <t>서초그랑자이</t>
        </is>
      </c>
      <c r="G1921" s="41" t="inlineStr">
        <is>
          <t>59.9800</t>
        </is>
      </c>
      <c r="H1921" s="41" t="inlineStr">
        <is>
          <t>202511</t>
        </is>
      </c>
      <c r="I1921" s="41" t="inlineStr">
        <is>
          <t>01</t>
        </is>
      </c>
      <c r="J1921" s="41" t="inlineStr">
        <is>
          <t>345,000</t>
        </is>
      </c>
      <c r="K1921" s="41" t="inlineStr">
        <is>
          <t>104동</t>
        </is>
      </c>
      <c r="L1921" s="41" t="inlineStr">
        <is>
          <t>8</t>
        </is>
      </c>
      <c r="M1921" s="42" t="inlineStr">
        <is>
          <t>개인</t>
        </is>
      </c>
      <c r="N1921" s="42" t="inlineStr">
        <is>
          <t>개인</t>
        </is>
      </c>
      <c r="O1921" s="41" t="inlineStr">
        <is>
          <t>2021</t>
        </is>
      </c>
      <c r="P1921" s="42" t="inlineStr">
        <is>
          <t>효령로 391</t>
        </is>
      </c>
      <c r="Q1921" s="41" t="inlineStr">
        <is>
          <t>-</t>
        </is>
      </c>
      <c r="R1921" s="42" t="inlineStr">
        <is>
          <t>중개거래</t>
        </is>
      </c>
      <c r="S1921" s="42" t="inlineStr">
        <is>
          <t>서울 서초구</t>
        </is>
      </c>
      <c r="T1921" s="41" t="inlineStr">
        <is>
          <t>25.12.30</t>
        </is>
      </c>
      <c r="U1921" s="42" t="inlineStr">
        <is>
          <t>아파트</t>
        </is>
      </c>
    </row>
    <row r="1922" hidden="1" ht="14.25" customHeight="1">
      <c r="A1922" s="41" t="n">
        <v>263</v>
      </c>
      <c r="B1922" s="42" t="inlineStr">
        <is>
          <t>서울특별시 서초구 서초동</t>
        </is>
      </c>
      <c r="C1922" s="41" t="inlineStr">
        <is>
          <t>1757</t>
        </is>
      </c>
      <c r="D1922" s="41" t="inlineStr">
        <is>
          <t>1757</t>
        </is>
      </c>
      <c r="E1922" s="41" t="inlineStr">
        <is>
          <t>0000</t>
        </is>
      </c>
      <c r="F1922" s="42" t="inlineStr">
        <is>
          <t>서초그랑자이</t>
        </is>
      </c>
      <c r="G1922" s="41" t="inlineStr">
        <is>
          <t>119.4100</t>
        </is>
      </c>
      <c r="H1922" s="41" t="inlineStr">
        <is>
          <t>202511</t>
        </is>
      </c>
      <c r="I1922" s="41" t="inlineStr">
        <is>
          <t>01</t>
        </is>
      </c>
      <c r="J1922" s="41" t="inlineStr">
        <is>
          <t>475,000</t>
        </is>
      </c>
      <c r="K1922" s="41" t="inlineStr">
        <is>
          <t>107동</t>
        </is>
      </c>
      <c r="L1922" s="41" t="inlineStr">
        <is>
          <t>14</t>
        </is>
      </c>
      <c r="M1922" s="42" t="inlineStr">
        <is>
          <t>개인</t>
        </is>
      </c>
      <c r="N1922" s="42" t="inlineStr">
        <is>
          <t>개인</t>
        </is>
      </c>
      <c r="O1922" s="41" t="inlineStr">
        <is>
          <t>2021</t>
        </is>
      </c>
      <c r="P1922" s="42" t="inlineStr">
        <is>
          <t>효령로 391</t>
        </is>
      </c>
      <c r="Q1922" s="41" t="inlineStr">
        <is>
          <t>-</t>
        </is>
      </c>
      <c r="R1922" s="42" t="inlineStr">
        <is>
          <t>중개거래</t>
        </is>
      </c>
      <c r="S1922" s="42" t="inlineStr">
        <is>
          <t>서울 서초구</t>
        </is>
      </c>
      <c r="T1922" s="41" t="inlineStr">
        <is>
          <t>26.02.10</t>
        </is>
      </c>
      <c r="U1922" s="42" t="inlineStr">
        <is>
          <t>아파트</t>
        </is>
      </c>
    </row>
    <row r="1923" hidden="1" ht="14.25" customHeight="1">
      <c r="A1923" s="41" t="n">
        <v>264</v>
      </c>
      <c r="B1923" s="42" t="inlineStr">
        <is>
          <t>서울특별시 서초구 서초동</t>
        </is>
      </c>
      <c r="C1923" s="41" t="inlineStr">
        <is>
          <t>1757</t>
        </is>
      </c>
      <c r="D1923" s="41" t="inlineStr">
        <is>
          <t>1757</t>
        </is>
      </c>
      <c r="E1923" s="41" t="inlineStr">
        <is>
          <t>0000</t>
        </is>
      </c>
      <c r="F1923" s="42" t="inlineStr">
        <is>
          <t>서초그랑자이</t>
        </is>
      </c>
      <c r="G1923" s="41" t="inlineStr">
        <is>
          <t>119.4100</t>
        </is>
      </c>
      <c r="H1923" s="41" t="inlineStr">
        <is>
          <t>202511</t>
        </is>
      </c>
      <c r="I1923" s="41" t="inlineStr">
        <is>
          <t>01</t>
        </is>
      </c>
      <c r="J1923" s="41" t="inlineStr">
        <is>
          <t>475,000</t>
        </is>
      </c>
      <c r="K1923" s="41" t="inlineStr">
        <is>
          <t>-</t>
        </is>
      </c>
      <c r="L1923" s="41" t="inlineStr">
        <is>
          <t>14</t>
        </is>
      </c>
      <c r="M1923" s="42" t="inlineStr">
        <is>
          <t>개인</t>
        </is>
      </c>
      <c r="N1923" s="42" t="inlineStr">
        <is>
          <t>개인</t>
        </is>
      </c>
      <c r="O1923" s="41" t="inlineStr">
        <is>
          <t>2021</t>
        </is>
      </c>
      <c r="P1923" s="42" t="inlineStr">
        <is>
          <t>효령로 391</t>
        </is>
      </c>
      <c r="Q1923" s="41" t="inlineStr">
        <is>
          <t>20251118</t>
        </is>
      </c>
      <c r="R1923" s="42" t="inlineStr">
        <is>
          <t>중개거래</t>
        </is>
      </c>
      <c r="S1923" s="42" t="inlineStr">
        <is>
          <t>서울 서초구</t>
        </is>
      </c>
      <c r="T1923" s="41" t="inlineStr">
        <is>
          <t>-</t>
        </is>
      </c>
      <c r="U1923" s="42" t="inlineStr">
        <is>
          <t>아파트</t>
        </is>
      </c>
    </row>
    <row r="1924" hidden="1" ht="14.25" customHeight="1">
      <c r="A1924" s="41" t="n">
        <v>265</v>
      </c>
      <c r="B1924" s="42" t="inlineStr">
        <is>
          <t>서울특별시 서초구 서초동</t>
        </is>
      </c>
      <c r="C1924" s="41" t="inlineStr">
        <is>
          <t>1755</t>
        </is>
      </c>
      <c r="D1924" s="41" t="inlineStr">
        <is>
          <t>1755</t>
        </is>
      </c>
      <c r="E1924" s="41" t="inlineStr">
        <is>
          <t>0000</t>
        </is>
      </c>
      <c r="F1924" s="42" t="inlineStr">
        <is>
          <t>래미안 리더스원</t>
        </is>
      </c>
      <c r="G1924" s="41" t="inlineStr">
        <is>
          <t>59.9600</t>
        </is>
      </c>
      <c r="H1924" s="41" t="inlineStr">
        <is>
          <t>202511</t>
        </is>
      </c>
      <c r="I1924" s="41" t="inlineStr">
        <is>
          <t>01</t>
        </is>
      </c>
      <c r="J1924" s="41" t="inlineStr">
        <is>
          <t>333,700</t>
        </is>
      </c>
      <c r="K1924" s="41" t="inlineStr">
        <is>
          <t>110동</t>
        </is>
      </c>
      <c r="L1924" s="41" t="inlineStr">
        <is>
          <t>13</t>
        </is>
      </c>
      <c r="M1924" s="42" t="inlineStr">
        <is>
          <t>개인</t>
        </is>
      </c>
      <c r="N1924" s="42" t="inlineStr">
        <is>
          <t>개인</t>
        </is>
      </c>
      <c r="O1924" s="41" t="inlineStr">
        <is>
          <t>2020</t>
        </is>
      </c>
      <c r="P1924" s="42" t="inlineStr">
        <is>
          <t>서운로 62</t>
        </is>
      </c>
      <c r="Q1924" s="41" t="inlineStr">
        <is>
          <t>-</t>
        </is>
      </c>
      <c r="R1924" s="42" t="inlineStr">
        <is>
          <t>중개거래</t>
        </is>
      </c>
      <c r="S1924" s="42" t="inlineStr">
        <is>
          <t>서울 서초구</t>
        </is>
      </c>
      <c r="T1924" s="41" t="inlineStr">
        <is>
          <t>25.12.10</t>
        </is>
      </c>
      <c r="U1924" s="42" t="inlineStr">
        <is>
          <t>아파트</t>
        </is>
      </c>
    </row>
    <row r="1925" hidden="1" ht="14.25" customHeight="1">
      <c r="A1925" s="41" t="n">
        <v>266</v>
      </c>
      <c r="B1925" s="42" t="inlineStr">
        <is>
          <t>서울특별시 서초구 서초동</t>
        </is>
      </c>
      <c r="C1925" s="41" t="inlineStr">
        <is>
          <t>1686-9</t>
        </is>
      </c>
      <c r="D1925" s="41" t="inlineStr">
        <is>
          <t>1686</t>
        </is>
      </c>
      <c r="E1925" s="41" t="inlineStr">
        <is>
          <t>0009</t>
        </is>
      </c>
      <c r="F1925" s="42" t="inlineStr">
        <is>
          <t>서초교대e편한세상</t>
        </is>
      </c>
      <c r="G1925" s="41" t="inlineStr">
        <is>
          <t>59.9000</t>
        </is>
      </c>
      <c r="H1925" s="41" t="inlineStr">
        <is>
          <t>202511</t>
        </is>
      </c>
      <c r="I1925" s="41" t="inlineStr">
        <is>
          <t>01</t>
        </is>
      </c>
      <c r="J1925" s="41" t="inlineStr">
        <is>
          <t>269,000</t>
        </is>
      </c>
      <c r="K1925" s="41" t="inlineStr">
        <is>
          <t>103</t>
        </is>
      </c>
      <c r="L1925" s="41" t="inlineStr">
        <is>
          <t>4</t>
        </is>
      </c>
      <c r="M1925" s="42" t="inlineStr">
        <is>
          <t>개인</t>
        </is>
      </c>
      <c r="N1925" s="42" t="inlineStr">
        <is>
          <t>개인</t>
        </is>
      </c>
      <c r="O1925" s="41" t="inlineStr">
        <is>
          <t>2010</t>
        </is>
      </c>
      <c r="P1925" s="42" t="inlineStr">
        <is>
          <t>서초중앙로24길 33</t>
        </is>
      </c>
      <c r="Q1925" s="41" t="inlineStr">
        <is>
          <t>-</t>
        </is>
      </c>
      <c r="R1925" s="42" t="inlineStr">
        <is>
          <t>중개거래</t>
        </is>
      </c>
      <c r="S1925" s="42" t="inlineStr">
        <is>
          <t>서울 서초구</t>
        </is>
      </c>
      <c r="T1925" s="41" t="inlineStr">
        <is>
          <t>26.02.02</t>
        </is>
      </c>
      <c r="U1925" s="42" t="inlineStr">
        <is>
          <t>아파트</t>
        </is>
      </c>
    </row>
    <row r="1926" hidden="1" ht="14.25" customHeight="1">
      <c r="A1926" s="41" t="n">
        <v>267</v>
      </c>
      <c r="B1926" s="42" t="inlineStr">
        <is>
          <t>서울특별시 서초구 서초동</t>
        </is>
      </c>
      <c r="C1926" s="41" t="inlineStr">
        <is>
          <t>1445-14</t>
        </is>
      </c>
      <c r="D1926" s="41" t="inlineStr">
        <is>
          <t>1445</t>
        </is>
      </c>
      <c r="E1926" s="41" t="inlineStr">
        <is>
          <t>0014</t>
        </is>
      </c>
      <c r="F1926" s="42" t="inlineStr">
        <is>
          <t>더샵서초</t>
        </is>
      </c>
      <c r="G1926" s="41" t="inlineStr">
        <is>
          <t>152.9500</t>
        </is>
      </c>
      <c r="H1926" s="41" t="inlineStr">
        <is>
          <t>202511</t>
        </is>
      </c>
      <c r="I1926" s="41" t="inlineStr">
        <is>
          <t>01</t>
        </is>
      </c>
      <c r="J1926" s="41" t="inlineStr">
        <is>
          <t>245,000</t>
        </is>
      </c>
      <c r="K1926" s="41" t="inlineStr">
        <is>
          <t>102</t>
        </is>
      </c>
      <c r="L1926" s="41" t="inlineStr">
        <is>
          <t>20</t>
        </is>
      </c>
      <c r="M1926" s="42" t="inlineStr">
        <is>
          <t>개인</t>
        </is>
      </c>
      <c r="N1926" s="42" t="inlineStr">
        <is>
          <t>개인</t>
        </is>
      </c>
      <c r="O1926" s="41" t="inlineStr">
        <is>
          <t>2006</t>
        </is>
      </c>
      <c r="P1926" s="42" t="inlineStr">
        <is>
          <t>서초중앙로2길 21</t>
        </is>
      </c>
      <c r="Q1926" s="41" t="inlineStr">
        <is>
          <t>-</t>
        </is>
      </c>
      <c r="R1926" s="42" t="inlineStr">
        <is>
          <t>중개거래</t>
        </is>
      </c>
      <c r="S1926" s="42" t="inlineStr">
        <is>
          <t>서울 서초구</t>
        </is>
      </c>
      <c r="T1926" s="41" t="inlineStr">
        <is>
          <t>25.12.03</t>
        </is>
      </c>
      <c r="U1926" s="42" t="inlineStr">
        <is>
          <t>아파트</t>
        </is>
      </c>
    </row>
    <row r="1927" hidden="1" ht="14.25" customHeight="1">
      <c r="A1927" s="41" t="n">
        <v>268</v>
      </c>
      <c r="B1927" s="42" t="inlineStr">
        <is>
          <t>서울특별시 서초구 서초동</t>
        </is>
      </c>
      <c r="C1927" s="41" t="inlineStr">
        <is>
          <t>1445-13</t>
        </is>
      </c>
      <c r="D1927" s="41" t="inlineStr">
        <is>
          <t>1445</t>
        </is>
      </c>
      <c r="E1927" s="41" t="inlineStr">
        <is>
          <t>0013</t>
        </is>
      </c>
      <c r="F1927" s="42" t="inlineStr">
        <is>
          <t>서초쌍용플래티넘</t>
        </is>
      </c>
      <c r="G1927" s="41" t="inlineStr">
        <is>
          <t>71.9000</t>
        </is>
      </c>
      <c r="H1927" s="41" t="inlineStr">
        <is>
          <t>202511</t>
        </is>
      </c>
      <c r="I1927" s="41" t="inlineStr">
        <is>
          <t>01</t>
        </is>
      </c>
      <c r="J1927" s="41" t="inlineStr">
        <is>
          <t>105,000</t>
        </is>
      </c>
      <c r="K1927" s="42" t="inlineStr">
        <is>
          <t>서초쌍용플래티넘</t>
        </is>
      </c>
      <c r="L1927" s="41" t="inlineStr">
        <is>
          <t>19</t>
        </is>
      </c>
      <c r="M1927" s="42" t="inlineStr">
        <is>
          <t>개인</t>
        </is>
      </c>
      <c r="N1927" s="42" t="inlineStr">
        <is>
          <t>개인</t>
        </is>
      </c>
      <c r="O1927" s="41" t="inlineStr">
        <is>
          <t>2006</t>
        </is>
      </c>
      <c r="P1927" s="42" t="inlineStr">
        <is>
          <t>서초중앙로 18</t>
        </is>
      </c>
      <c r="Q1927" s="41" t="inlineStr">
        <is>
          <t>-</t>
        </is>
      </c>
      <c r="R1927" s="42" t="inlineStr">
        <is>
          <t>중개거래</t>
        </is>
      </c>
      <c r="S1927" s="42" t="inlineStr">
        <is>
          <t>서울 서초구</t>
        </is>
      </c>
      <c r="T1927" s="41" t="inlineStr">
        <is>
          <t>26.01.09</t>
        </is>
      </c>
      <c r="U1927" s="42" t="inlineStr">
        <is>
          <t>아파트</t>
        </is>
      </c>
    </row>
    <row r="1928" hidden="1" ht="14.25" customHeight="1">
      <c r="A1928" s="41" t="n">
        <v>269</v>
      </c>
      <c r="B1928" s="42" t="inlineStr">
        <is>
          <t>서울특별시 서초구 서초동</t>
        </is>
      </c>
      <c r="C1928" s="41" t="inlineStr">
        <is>
          <t>1483-18</t>
        </is>
      </c>
      <c r="D1928" s="41" t="inlineStr">
        <is>
          <t>1483</t>
        </is>
      </c>
      <c r="E1928" s="41" t="inlineStr">
        <is>
          <t>0018</t>
        </is>
      </c>
      <c r="F1928" s="42" t="inlineStr">
        <is>
          <t>더샾오데움(101,102동)</t>
        </is>
      </c>
      <c r="G1928" s="41" t="inlineStr">
        <is>
          <t>205.1950</t>
        </is>
      </c>
      <c r="H1928" s="41" t="inlineStr">
        <is>
          <t>202510</t>
        </is>
      </c>
      <c r="I1928" s="41" t="inlineStr">
        <is>
          <t>31</t>
        </is>
      </c>
      <c r="J1928" s="41" t="inlineStr">
        <is>
          <t>384,000</t>
        </is>
      </c>
      <c r="K1928" s="41" t="inlineStr">
        <is>
          <t>101</t>
        </is>
      </c>
      <c r="L1928" s="41" t="inlineStr">
        <is>
          <t>13</t>
        </is>
      </c>
      <c r="M1928" s="42" t="inlineStr">
        <is>
          <t>개인</t>
        </is>
      </c>
      <c r="N1928" s="42" t="inlineStr">
        <is>
          <t>개인</t>
        </is>
      </c>
      <c r="O1928" s="41" t="inlineStr">
        <is>
          <t>2005</t>
        </is>
      </c>
      <c r="P1928" s="42" t="inlineStr">
        <is>
          <t>효령로46길 21</t>
        </is>
      </c>
      <c r="Q1928" s="41" t="inlineStr">
        <is>
          <t>-</t>
        </is>
      </c>
      <c r="R1928" s="42" t="inlineStr">
        <is>
          <t>중개거래</t>
        </is>
      </c>
      <c r="S1928" s="42" t="inlineStr">
        <is>
          <t>서울 용산구</t>
        </is>
      </c>
      <c r="T1928" s="41" t="inlineStr">
        <is>
          <t>26.02.06</t>
        </is>
      </c>
      <c r="U1928" s="42" t="inlineStr">
        <is>
          <t>아파트</t>
        </is>
      </c>
    </row>
    <row r="1929" hidden="1" ht="14.25" customHeight="1">
      <c r="A1929" s="41" t="n">
        <v>270</v>
      </c>
      <c r="B1929" s="42" t="inlineStr">
        <is>
          <t>서울특별시 서초구 서초동</t>
        </is>
      </c>
      <c r="C1929" s="41" t="inlineStr">
        <is>
          <t>1494-4</t>
        </is>
      </c>
      <c r="D1929" s="41" t="inlineStr">
        <is>
          <t>1494</t>
        </is>
      </c>
      <c r="E1929" s="41" t="inlineStr">
        <is>
          <t>0004</t>
        </is>
      </c>
      <c r="F1929" s="42" t="inlineStr">
        <is>
          <t>더미켈란</t>
        </is>
      </c>
      <c r="G1929" s="41" t="inlineStr">
        <is>
          <t>219.4400</t>
        </is>
      </c>
      <c r="H1929" s="41" t="inlineStr">
        <is>
          <t>202510</t>
        </is>
      </c>
      <c r="I1929" s="41" t="inlineStr">
        <is>
          <t>31</t>
        </is>
      </c>
      <c r="J1929" s="41" t="inlineStr">
        <is>
          <t>392,000</t>
        </is>
      </c>
      <c r="K1929" s="41" t="inlineStr">
        <is>
          <t>-</t>
        </is>
      </c>
      <c r="L1929" s="41" t="inlineStr">
        <is>
          <t>11</t>
        </is>
      </c>
      <c r="M1929" s="42" t="inlineStr">
        <is>
          <t>개인</t>
        </is>
      </c>
      <c r="N1929" s="42" t="inlineStr">
        <is>
          <t>개인</t>
        </is>
      </c>
      <c r="O1929" s="41" t="inlineStr">
        <is>
          <t>2005</t>
        </is>
      </c>
      <c r="P1929" s="42" t="inlineStr">
        <is>
          <t>명달로 91</t>
        </is>
      </c>
      <c r="Q1929" s="41" t="inlineStr">
        <is>
          <t>-</t>
        </is>
      </c>
      <c r="R1929" s="42" t="inlineStr">
        <is>
          <t>중개거래</t>
        </is>
      </c>
      <c r="S1929" s="42" t="inlineStr">
        <is>
          <t>서울 서초구</t>
        </is>
      </c>
      <c r="T1929" s="41" t="inlineStr">
        <is>
          <t>26.01.28</t>
        </is>
      </c>
      <c r="U1929" s="42" t="inlineStr">
        <is>
          <t>아파트</t>
        </is>
      </c>
    </row>
    <row r="1930" hidden="1" ht="14.25" customHeight="1">
      <c r="A1930" s="41" t="n">
        <v>271</v>
      </c>
      <c r="B1930" s="42" t="inlineStr">
        <is>
          <t>서울특별시 서초구 서초동</t>
        </is>
      </c>
      <c r="C1930" s="41" t="inlineStr">
        <is>
          <t>1682</t>
        </is>
      </c>
      <c r="D1930" s="41" t="inlineStr">
        <is>
          <t>1682</t>
        </is>
      </c>
      <c r="E1930" s="41" t="inlineStr">
        <is>
          <t>0000</t>
        </is>
      </c>
      <c r="F1930" s="42" t="inlineStr">
        <is>
          <t>서초래미안</t>
        </is>
      </c>
      <c r="G1930" s="41" t="inlineStr">
        <is>
          <t>111.9200</t>
        </is>
      </c>
      <c r="H1930" s="41" t="inlineStr">
        <is>
          <t>202510</t>
        </is>
      </c>
      <c r="I1930" s="41" t="inlineStr">
        <is>
          <t>31</t>
        </is>
      </c>
      <c r="J1930" s="41" t="inlineStr">
        <is>
          <t>345,000</t>
        </is>
      </c>
      <c r="K1930" s="41" t="inlineStr">
        <is>
          <t>101</t>
        </is>
      </c>
      <c r="L1930" s="41" t="inlineStr">
        <is>
          <t>18</t>
        </is>
      </c>
      <c r="M1930" s="42" t="inlineStr">
        <is>
          <t>개인</t>
        </is>
      </c>
      <c r="N1930" s="42" t="inlineStr">
        <is>
          <t>개인</t>
        </is>
      </c>
      <c r="O1930" s="41" t="inlineStr">
        <is>
          <t>2003</t>
        </is>
      </c>
      <c r="P1930" s="42" t="inlineStr">
        <is>
          <t>서초대로65길 13-10</t>
        </is>
      </c>
      <c r="Q1930" s="41" t="inlineStr">
        <is>
          <t>-</t>
        </is>
      </c>
      <c r="R1930" s="42" t="inlineStr">
        <is>
          <t>중개거래</t>
        </is>
      </c>
      <c r="S1930" s="42" t="inlineStr">
        <is>
          <t>서울 서초구, 서울 송파구</t>
        </is>
      </c>
      <c r="T1930" s="41" t="inlineStr">
        <is>
          <t>26.02.24</t>
        </is>
      </c>
      <c r="U1930" s="42" t="inlineStr">
        <is>
          <t>아파트</t>
        </is>
      </c>
    </row>
    <row r="1931" hidden="1" ht="14.25" customHeight="1">
      <c r="A1931" s="41" t="n">
        <v>272</v>
      </c>
      <c r="B1931" s="42" t="inlineStr">
        <is>
          <t>서울특별시 서초구 서초동</t>
        </is>
      </c>
      <c r="C1931" s="41" t="inlineStr">
        <is>
          <t>1593-7</t>
        </is>
      </c>
      <c r="D1931" s="41" t="inlineStr">
        <is>
          <t>1593</t>
        </is>
      </c>
      <c r="E1931" s="41" t="inlineStr">
        <is>
          <t>0007</t>
        </is>
      </c>
      <c r="F1931" s="42" t="inlineStr">
        <is>
          <t>서초이오빌</t>
        </is>
      </c>
      <c r="G1931" s="41" t="inlineStr">
        <is>
          <t>36.6600</t>
        </is>
      </c>
      <c r="H1931" s="41" t="inlineStr">
        <is>
          <t>202510</t>
        </is>
      </c>
      <c r="I1931" s="41" t="inlineStr">
        <is>
          <t>31</t>
        </is>
      </c>
      <c r="J1931" s="41" t="inlineStr">
        <is>
          <t>36,900</t>
        </is>
      </c>
      <c r="K1931" s="41" t="inlineStr">
        <is>
          <t>-</t>
        </is>
      </c>
      <c r="L1931" s="41" t="inlineStr">
        <is>
          <t>13</t>
        </is>
      </c>
      <c r="M1931" s="42" t="inlineStr">
        <is>
          <t>개인</t>
        </is>
      </c>
      <c r="N1931" s="42" t="inlineStr">
        <is>
          <t>개인</t>
        </is>
      </c>
      <c r="O1931" s="41" t="inlineStr">
        <is>
          <t>2003</t>
        </is>
      </c>
      <c r="P1931" s="42" t="inlineStr">
        <is>
          <t>효령로53길 45</t>
        </is>
      </c>
      <c r="Q1931" s="41" t="inlineStr">
        <is>
          <t>-</t>
        </is>
      </c>
      <c r="R1931" s="42" t="inlineStr">
        <is>
          <t>중개거래</t>
        </is>
      </c>
      <c r="S1931" s="42" t="inlineStr">
        <is>
          <t>서울 서초구</t>
        </is>
      </c>
      <c r="T1931" s="41" t="inlineStr">
        <is>
          <t>25.12.05</t>
        </is>
      </c>
      <c r="U1931" s="42" t="inlineStr">
        <is>
          <t>아파트</t>
        </is>
      </c>
    </row>
    <row r="1932" hidden="1" ht="14.25" customHeight="1">
      <c r="A1932" s="41" t="n">
        <v>273</v>
      </c>
      <c r="B1932" s="42" t="inlineStr">
        <is>
          <t>서울특별시 서초구 서초동</t>
        </is>
      </c>
      <c r="C1932" s="41" t="inlineStr">
        <is>
          <t>1509-1</t>
        </is>
      </c>
      <c r="D1932" s="41" t="inlineStr">
        <is>
          <t>1509</t>
        </is>
      </c>
      <c r="E1932" s="41" t="inlineStr">
        <is>
          <t>0001</t>
        </is>
      </c>
      <c r="F1932" s="42" t="inlineStr">
        <is>
          <t>서초한빛삼성</t>
        </is>
      </c>
      <c r="G1932" s="41" t="inlineStr">
        <is>
          <t>110.5900</t>
        </is>
      </c>
      <c r="H1932" s="41" t="inlineStr">
        <is>
          <t>202510</t>
        </is>
      </c>
      <c r="I1932" s="41" t="inlineStr">
        <is>
          <t>31</t>
        </is>
      </c>
      <c r="J1932" s="41" t="inlineStr">
        <is>
          <t>202,000</t>
        </is>
      </c>
      <c r="K1932" s="41" t="inlineStr">
        <is>
          <t>101</t>
        </is>
      </c>
      <c r="L1932" s="41" t="inlineStr">
        <is>
          <t>11</t>
        </is>
      </c>
      <c r="M1932" s="42" t="inlineStr">
        <is>
          <t>개인</t>
        </is>
      </c>
      <c r="N1932" s="42" t="inlineStr">
        <is>
          <t>개인</t>
        </is>
      </c>
      <c r="O1932" s="41" t="inlineStr">
        <is>
          <t>1999</t>
        </is>
      </c>
      <c r="P1932" s="42" t="inlineStr">
        <is>
          <t>서초대로40길 72</t>
        </is>
      </c>
      <c r="Q1932" s="41" t="inlineStr">
        <is>
          <t>-</t>
        </is>
      </c>
      <c r="R1932" s="42" t="inlineStr">
        <is>
          <t>중개거래</t>
        </is>
      </c>
      <c r="S1932" s="42" t="inlineStr">
        <is>
          <t>서울 서초구</t>
        </is>
      </c>
      <c r="T1932" s="41" t="inlineStr">
        <is>
          <t>26.02.26</t>
        </is>
      </c>
      <c r="U1932" s="42" t="inlineStr">
        <is>
          <t>아파트</t>
        </is>
      </c>
    </row>
    <row r="1933" hidden="1" ht="14.25" customHeight="1">
      <c r="A1933" s="41" t="n">
        <v>274</v>
      </c>
      <c r="B1933" s="42" t="inlineStr">
        <is>
          <t>서울특별시 서초구 서초동</t>
        </is>
      </c>
      <c r="C1933" s="41" t="inlineStr">
        <is>
          <t>1355-24</t>
        </is>
      </c>
      <c r="D1933" s="41" t="inlineStr">
        <is>
          <t>1355</t>
        </is>
      </c>
      <c r="E1933" s="41" t="inlineStr">
        <is>
          <t>0024</t>
        </is>
      </c>
      <c r="F1933" s="42" t="inlineStr">
        <is>
          <t>우정에쉐르</t>
        </is>
      </c>
      <c r="G1933" s="41" t="inlineStr">
        <is>
          <t>63.5800</t>
        </is>
      </c>
      <c r="H1933" s="41" t="inlineStr">
        <is>
          <t>202510</t>
        </is>
      </c>
      <c r="I1933" s="41" t="inlineStr">
        <is>
          <t>31</t>
        </is>
      </c>
      <c r="J1933" s="41" t="inlineStr">
        <is>
          <t>103,000</t>
        </is>
      </c>
      <c r="K1933" s="41" t="inlineStr">
        <is>
          <t>-</t>
        </is>
      </c>
      <c r="L1933" s="41" t="inlineStr">
        <is>
          <t>6</t>
        </is>
      </c>
      <c r="M1933" s="42" t="inlineStr">
        <is>
          <t>개인</t>
        </is>
      </c>
      <c r="N1933" s="42" t="inlineStr">
        <is>
          <t>개인</t>
        </is>
      </c>
      <c r="O1933" s="41" t="inlineStr">
        <is>
          <t>2004</t>
        </is>
      </c>
      <c r="P1933" s="42" t="inlineStr">
        <is>
          <t>서운로3길 29</t>
        </is>
      </c>
      <c r="Q1933" s="41" t="inlineStr">
        <is>
          <t>-</t>
        </is>
      </c>
      <c r="R1933" s="42" t="inlineStr">
        <is>
          <t>중개거래</t>
        </is>
      </c>
      <c r="S1933" s="42" t="inlineStr">
        <is>
          <t>서울 서초구</t>
        </is>
      </c>
      <c r="T1933" s="41" t="inlineStr">
        <is>
          <t>26.01.30</t>
        </is>
      </c>
      <c r="U1933" s="42" t="inlineStr">
        <is>
          <t>아파트</t>
        </is>
      </c>
    </row>
    <row r="1934" hidden="1" ht="14.25" customHeight="1">
      <c r="A1934" s="41" t="n">
        <v>275</v>
      </c>
      <c r="B1934" s="42" t="inlineStr">
        <is>
          <t>서울특별시 서초구 서초동</t>
        </is>
      </c>
      <c r="C1934" s="41" t="inlineStr">
        <is>
          <t>1686-9</t>
        </is>
      </c>
      <c r="D1934" s="41" t="inlineStr">
        <is>
          <t>1686</t>
        </is>
      </c>
      <c r="E1934" s="41" t="inlineStr">
        <is>
          <t>0009</t>
        </is>
      </c>
      <c r="F1934" s="42" t="inlineStr">
        <is>
          <t>서초교대e편한세상</t>
        </is>
      </c>
      <c r="G1934" s="41" t="inlineStr">
        <is>
          <t>110.3200</t>
        </is>
      </c>
      <c r="H1934" s="41" t="inlineStr">
        <is>
          <t>202510</t>
        </is>
      </c>
      <c r="I1934" s="41" t="inlineStr">
        <is>
          <t>31</t>
        </is>
      </c>
      <c r="J1934" s="41" t="inlineStr">
        <is>
          <t>235,000</t>
        </is>
      </c>
      <c r="K1934" s="41" t="inlineStr">
        <is>
          <t>106</t>
        </is>
      </c>
      <c r="L1934" s="41" t="inlineStr">
        <is>
          <t>4</t>
        </is>
      </c>
      <c r="M1934" s="42" t="inlineStr">
        <is>
          <t>개인</t>
        </is>
      </c>
      <c r="N1934" s="42" t="inlineStr">
        <is>
          <t>개인</t>
        </is>
      </c>
      <c r="O1934" s="41" t="inlineStr">
        <is>
          <t>2010</t>
        </is>
      </c>
      <c r="P1934" s="42" t="inlineStr">
        <is>
          <t>서초중앙로24길 33</t>
        </is>
      </c>
      <c r="Q1934" s="41" t="inlineStr">
        <is>
          <t>-</t>
        </is>
      </c>
      <c r="R1934" s="42" t="inlineStr">
        <is>
          <t>직거래</t>
        </is>
      </c>
      <c r="S1934" s="41" t="inlineStr">
        <is>
          <t>-</t>
        </is>
      </c>
      <c r="T1934" s="41" t="inlineStr">
        <is>
          <t>25.10.31</t>
        </is>
      </c>
      <c r="U1934" s="42" t="inlineStr">
        <is>
          <t>아파트</t>
        </is>
      </c>
    </row>
    <row r="1935" hidden="1" ht="14.25" customHeight="1">
      <c r="A1935" s="41" t="n">
        <v>276</v>
      </c>
      <c r="B1935" s="42" t="inlineStr">
        <is>
          <t>서울특별시 서초구 서초동</t>
        </is>
      </c>
      <c r="C1935" s="41" t="inlineStr">
        <is>
          <t>1327-29</t>
        </is>
      </c>
      <c r="D1935" s="41" t="inlineStr">
        <is>
          <t>1327</t>
        </is>
      </c>
      <c r="E1935" s="41" t="inlineStr">
        <is>
          <t>0029</t>
        </is>
      </c>
      <c r="F1935" s="42" t="inlineStr">
        <is>
          <t>서초파라곤</t>
        </is>
      </c>
      <c r="G1935" s="41" t="inlineStr">
        <is>
          <t>84.9800</t>
        </is>
      </c>
      <c r="H1935" s="41" t="inlineStr">
        <is>
          <t>202510</t>
        </is>
      </c>
      <c r="I1935" s="41" t="inlineStr">
        <is>
          <t>31</t>
        </is>
      </c>
      <c r="J1935" s="41" t="inlineStr">
        <is>
          <t>140,000</t>
        </is>
      </c>
      <c r="K1935" s="42" t="inlineStr">
        <is>
          <t>케이티파라곤</t>
        </is>
      </c>
      <c r="L1935" s="41" t="inlineStr">
        <is>
          <t>9</t>
        </is>
      </c>
      <c r="M1935" s="42" t="inlineStr">
        <is>
          <t>개인</t>
        </is>
      </c>
      <c r="N1935" s="42" t="inlineStr">
        <is>
          <t>개인</t>
        </is>
      </c>
      <c r="O1935" s="41" t="inlineStr">
        <is>
          <t>2005</t>
        </is>
      </c>
      <c r="P1935" s="42" t="inlineStr">
        <is>
          <t>서초대로74길 29</t>
        </is>
      </c>
      <c r="Q1935" s="41" t="inlineStr">
        <is>
          <t>-</t>
        </is>
      </c>
      <c r="R1935" s="42" t="inlineStr">
        <is>
          <t>중개거래</t>
        </is>
      </c>
      <c r="S1935" s="42" t="inlineStr">
        <is>
          <t>서울 서초구</t>
        </is>
      </c>
      <c r="T1935" s="41" t="inlineStr">
        <is>
          <t>26.01.23</t>
        </is>
      </c>
      <c r="U1935" s="42" t="inlineStr">
        <is>
          <t>아파트</t>
        </is>
      </c>
    </row>
    <row r="1936" hidden="1" ht="14.25" customHeight="1">
      <c r="A1936" s="41" t="n">
        <v>277</v>
      </c>
      <c r="B1936" s="42" t="inlineStr">
        <is>
          <t>서울특별시 서초구 서초동</t>
        </is>
      </c>
      <c r="C1936" s="41" t="inlineStr">
        <is>
          <t>1446-11</t>
        </is>
      </c>
      <c r="D1936" s="41" t="inlineStr">
        <is>
          <t>1446</t>
        </is>
      </c>
      <c r="E1936" s="41" t="inlineStr">
        <is>
          <t>0011</t>
        </is>
      </c>
      <c r="F1936" s="42" t="inlineStr">
        <is>
          <t>현대슈퍼빌</t>
        </is>
      </c>
      <c r="G1936" s="41" t="inlineStr">
        <is>
          <t>164.8700</t>
        </is>
      </c>
      <c r="H1936" s="41" t="inlineStr">
        <is>
          <t>202510</t>
        </is>
      </c>
      <c r="I1936" s="41" t="inlineStr">
        <is>
          <t>30</t>
        </is>
      </c>
      <c r="J1936" s="41" t="inlineStr">
        <is>
          <t>285,000</t>
        </is>
      </c>
      <c r="K1936" s="41" t="inlineStr">
        <is>
          <t>B</t>
        </is>
      </c>
      <c r="L1936" s="41" t="inlineStr">
        <is>
          <t>13</t>
        </is>
      </c>
      <c r="M1936" s="42" t="inlineStr">
        <is>
          <t>개인</t>
        </is>
      </c>
      <c r="N1936" s="42" t="inlineStr">
        <is>
          <t>개인</t>
        </is>
      </c>
      <c r="O1936" s="41" t="inlineStr">
        <is>
          <t>2003</t>
        </is>
      </c>
      <c r="P1936" s="42" t="inlineStr">
        <is>
          <t>서초중앙로 15</t>
        </is>
      </c>
      <c r="Q1936" s="41" t="inlineStr">
        <is>
          <t>-</t>
        </is>
      </c>
      <c r="R1936" s="42" t="inlineStr">
        <is>
          <t>중개거래</t>
        </is>
      </c>
      <c r="S1936" s="42" t="inlineStr">
        <is>
          <t>서울 강남구, 서울 서초구</t>
        </is>
      </c>
      <c r="T1936" s="41" t="inlineStr">
        <is>
          <t>26.01.29</t>
        </is>
      </c>
      <c r="U1936" s="42" t="inlineStr">
        <is>
          <t>아파트</t>
        </is>
      </c>
    </row>
    <row r="1937" hidden="1" ht="14.25" customHeight="1">
      <c r="A1937" s="41" t="n">
        <v>278</v>
      </c>
      <c r="B1937" s="42" t="inlineStr">
        <is>
          <t>서울특별시 서초구 서초동</t>
        </is>
      </c>
      <c r="C1937" s="41" t="inlineStr">
        <is>
          <t>1330</t>
        </is>
      </c>
      <c r="D1937" s="41" t="inlineStr">
        <is>
          <t>1330</t>
        </is>
      </c>
      <c r="E1937" s="41" t="inlineStr">
        <is>
          <t>0000</t>
        </is>
      </c>
      <c r="F1937" s="42" t="inlineStr">
        <is>
          <t>서초동삼성쉐르빌2</t>
        </is>
      </c>
      <c r="G1937" s="41" t="inlineStr">
        <is>
          <t>35.1700</t>
        </is>
      </c>
      <c r="H1937" s="41" t="inlineStr">
        <is>
          <t>202510</t>
        </is>
      </c>
      <c r="I1937" s="41" t="inlineStr">
        <is>
          <t>30</t>
        </is>
      </c>
      <c r="J1937" s="41" t="inlineStr">
        <is>
          <t>28,300</t>
        </is>
      </c>
      <c r="K1937" s="41" t="inlineStr">
        <is>
          <t>-</t>
        </is>
      </c>
      <c r="L1937" s="41" t="inlineStr">
        <is>
          <t>10</t>
        </is>
      </c>
      <c r="M1937" s="42" t="inlineStr">
        <is>
          <t>개인</t>
        </is>
      </c>
      <c r="N1937" s="42" t="inlineStr">
        <is>
          <t>개인</t>
        </is>
      </c>
      <c r="O1937" s="41" t="inlineStr">
        <is>
          <t>2002</t>
        </is>
      </c>
      <c r="P1937" s="42" t="inlineStr">
        <is>
          <t>강남대로53길 11</t>
        </is>
      </c>
      <c r="Q1937" s="41" t="inlineStr">
        <is>
          <t>-</t>
        </is>
      </c>
      <c r="R1937" s="42" t="inlineStr">
        <is>
          <t>중개거래</t>
        </is>
      </c>
      <c r="S1937" s="42" t="inlineStr">
        <is>
          <t>서울 서초구</t>
        </is>
      </c>
      <c r="T1937" s="41" t="inlineStr">
        <is>
          <t>25.12.22</t>
        </is>
      </c>
      <c r="U1937" s="42" t="inlineStr">
        <is>
          <t>아파트</t>
        </is>
      </c>
    </row>
    <row r="1938" hidden="1" ht="14.25" customHeight="1">
      <c r="A1938" s="41" t="n">
        <v>279</v>
      </c>
      <c r="B1938" s="42" t="inlineStr">
        <is>
          <t>서울특별시 서초구 서초동</t>
        </is>
      </c>
      <c r="C1938" s="41" t="inlineStr">
        <is>
          <t>1346</t>
        </is>
      </c>
      <c r="D1938" s="41" t="inlineStr">
        <is>
          <t>1346</t>
        </is>
      </c>
      <c r="E1938" s="41" t="inlineStr">
        <is>
          <t>0000</t>
        </is>
      </c>
      <c r="F1938" s="42" t="inlineStr">
        <is>
          <t>현대아파트</t>
        </is>
      </c>
      <c r="G1938" s="41" t="inlineStr">
        <is>
          <t>84.3400</t>
        </is>
      </c>
      <c r="H1938" s="41" t="inlineStr">
        <is>
          <t>202510</t>
        </is>
      </c>
      <c r="I1938" s="41" t="inlineStr">
        <is>
          <t>30</t>
        </is>
      </c>
      <c r="J1938" s="41" t="inlineStr">
        <is>
          <t>234,500</t>
        </is>
      </c>
      <c r="K1938" s="41" t="inlineStr">
        <is>
          <t>20</t>
        </is>
      </c>
      <c r="L1938" s="41" t="inlineStr">
        <is>
          <t>3</t>
        </is>
      </c>
      <c r="M1938" s="42" t="inlineStr">
        <is>
          <t>개인</t>
        </is>
      </c>
      <c r="N1938" s="42" t="inlineStr">
        <is>
          <t>개인</t>
        </is>
      </c>
      <c r="O1938" s="41" t="inlineStr">
        <is>
          <t>1989</t>
        </is>
      </c>
      <c r="P1938" s="42" t="inlineStr">
        <is>
          <t>효령로68길 13</t>
        </is>
      </c>
      <c r="Q1938" s="41" t="inlineStr">
        <is>
          <t>-</t>
        </is>
      </c>
      <c r="R1938" s="42" t="inlineStr">
        <is>
          <t>중개거래</t>
        </is>
      </c>
      <c r="S1938" s="42" t="inlineStr">
        <is>
          <t>서울 서초구</t>
        </is>
      </c>
      <c r="T1938" s="41" t="inlineStr">
        <is>
          <t>26.02.13</t>
        </is>
      </c>
      <c r="U1938" s="42" t="inlineStr">
        <is>
          <t>아파트</t>
        </is>
      </c>
    </row>
    <row r="1939" hidden="1" ht="14.25" customHeight="1">
      <c r="A1939" s="41" t="n">
        <v>280</v>
      </c>
      <c r="B1939" s="42" t="inlineStr">
        <is>
          <t>서울특별시 서초구 서초동</t>
        </is>
      </c>
      <c r="C1939" s="41" t="inlineStr">
        <is>
          <t>1636-1</t>
        </is>
      </c>
      <c r="D1939" s="41" t="inlineStr">
        <is>
          <t>1636</t>
        </is>
      </c>
      <c r="E1939" s="41" t="inlineStr">
        <is>
          <t>0001</t>
        </is>
      </c>
      <c r="F1939" s="42" t="inlineStr">
        <is>
          <t>서초한일</t>
        </is>
      </c>
      <c r="G1939" s="41" t="inlineStr">
        <is>
          <t>84.9800</t>
        </is>
      </c>
      <c r="H1939" s="41" t="inlineStr">
        <is>
          <t>202510</t>
        </is>
      </c>
      <c r="I1939" s="41" t="inlineStr">
        <is>
          <t>30</t>
        </is>
      </c>
      <c r="J1939" s="41" t="inlineStr">
        <is>
          <t>172,000</t>
        </is>
      </c>
      <c r="K1939" s="41" t="inlineStr">
        <is>
          <t>101</t>
        </is>
      </c>
      <c r="L1939" s="41" t="inlineStr">
        <is>
          <t>2</t>
        </is>
      </c>
      <c r="M1939" s="42" t="inlineStr">
        <is>
          <t>개인</t>
        </is>
      </c>
      <c r="N1939" s="42" t="inlineStr">
        <is>
          <t>개인</t>
        </is>
      </c>
      <c r="O1939" s="41" t="inlineStr">
        <is>
          <t>1997</t>
        </is>
      </c>
      <c r="P1939" s="42" t="inlineStr">
        <is>
          <t>서초대로64길 31</t>
        </is>
      </c>
      <c r="Q1939" s="41" t="inlineStr">
        <is>
          <t>-</t>
        </is>
      </c>
      <c r="R1939" s="42" t="inlineStr">
        <is>
          <t>중개거래</t>
        </is>
      </c>
      <c r="S1939" s="42" t="inlineStr">
        <is>
          <t>서울 강남구, 서울 서초구</t>
        </is>
      </c>
      <c r="T1939" s="41" t="inlineStr">
        <is>
          <t>25.11.20</t>
        </is>
      </c>
      <c r="U1939" s="42" t="inlineStr">
        <is>
          <t>아파트</t>
        </is>
      </c>
    </row>
    <row r="1940" hidden="1" ht="14.25" customHeight="1">
      <c r="A1940" s="41" t="n">
        <v>281</v>
      </c>
      <c r="B1940" s="42" t="inlineStr">
        <is>
          <t>서울특별시 서초구 서초동</t>
        </is>
      </c>
      <c r="C1940" s="41" t="inlineStr">
        <is>
          <t>1445-14</t>
        </is>
      </c>
      <c r="D1940" s="41" t="inlineStr">
        <is>
          <t>1445</t>
        </is>
      </c>
      <c r="E1940" s="41" t="inlineStr">
        <is>
          <t>0014</t>
        </is>
      </c>
      <c r="F1940" s="42" t="inlineStr">
        <is>
          <t>더샵서초</t>
        </is>
      </c>
      <c r="G1940" s="41" t="inlineStr">
        <is>
          <t>152.9500</t>
        </is>
      </c>
      <c r="H1940" s="41" t="inlineStr">
        <is>
          <t>202510</t>
        </is>
      </c>
      <c r="I1940" s="41" t="inlineStr">
        <is>
          <t>30</t>
        </is>
      </c>
      <c r="J1940" s="41" t="inlineStr">
        <is>
          <t>245,000</t>
        </is>
      </c>
      <c r="K1940" s="41" t="inlineStr">
        <is>
          <t>-</t>
        </is>
      </c>
      <c r="L1940" s="41" t="inlineStr">
        <is>
          <t>20</t>
        </is>
      </c>
      <c r="M1940" s="42" t="inlineStr">
        <is>
          <t>개인</t>
        </is>
      </c>
      <c r="N1940" s="42" t="inlineStr">
        <is>
          <t>개인</t>
        </is>
      </c>
      <c r="O1940" s="41" t="inlineStr">
        <is>
          <t>2006</t>
        </is>
      </c>
      <c r="P1940" s="42" t="inlineStr">
        <is>
          <t>서초중앙로2길 21</t>
        </is>
      </c>
      <c r="Q1940" s="41" t="inlineStr">
        <is>
          <t>20251203</t>
        </is>
      </c>
      <c r="R1940" s="42" t="inlineStr">
        <is>
          <t>중개거래</t>
        </is>
      </c>
      <c r="S1940" s="42" t="inlineStr">
        <is>
          <t>서울 서초구</t>
        </is>
      </c>
      <c r="T1940" s="41" t="inlineStr">
        <is>
          <t>-</t>
        </is>
      </c>
      <c r="U1940" s="42" t="inlineStr">
        <is>
          <t>아파트</t>
        </is>
      </c>
    </row>
    <row r="1941" hidden="1" ht="14.25" customHeight="1">
      <c r="A1941" s="41" t="n">
        <v>282</v>
      </c>
      <c r="B1941" s="42" t="inlineStr">
        <is>
          <t>서울특별시 서초구 서초동</t>
        </is>
      </c>
      <c r="C1941" s="41" t="inlineStr">
        <is>
          <t>1582-3</t>
        </is>
      </c>
      <c r="D1941" s="41" t="inlineStr">
        <is>
          <t>1582</t>
        </is>
      </c>
      <c r="E1941" s="41" t="inlineStr">
        <is>
          <t>0003</t>
        </is>
      </c>
      <c r="F1941" s="42" t="inlineStr">
        <is>
          <t>서초센트럴IPARK</t>
        </is>
      </c>
      <c r="G1941" s="41" t="inlineStr">
        <is>
          <t>80.5332</t>
        </is>
      </c>
      <c r="H1941" s="41" t="inlineStr">
        <is>
          <t>202510</t>
        </is>
      </c>
      <c r="I1941" s="41" t="inlineStr">
        <is>
          <t>29</t>
        </is>
      </c>
      <c r="J1941" s="41" t="inlineStr">
        <is>
          <t>189,000</t>
        </is>
      </c>
      <c r="K1941" s="41" t="inlineStr">
        <is>
          <t>102동</t>
        </is>
      </c>
      <c r="L1941" s="41" t="inlineStr">
        <is>
          <t>5</t>
        </is>
      </c>
      <c r="M1941" s="42" t="inlineStr">
        <is>
          <t>개인</t>
        </is>
      </c>
      <c r="N1941" s="42" t="inlineStr">
        <is>
          <t>개인</t>
        </is>
      </c>
      <c r="O1941" s="41" t="inlineStr">
        <is>
          <t>2020</t>
        </is>
      </c>
      <c r="P1941" s="42" t="inlineStr">
        <is>
          <t>반포대로18길 36</t>
        </is>
      </c>
      <c r="Q1941" s="41" t="inlineStr">
        <is>
          <t>-</t>
        </is>
      </c>
      <c r="R1941" s="42" t="inlineStr">
        <is>
          <t>중개거래</t>
        </is>
      </c>
      <c r="S1941" s="42" t="inlineStr">
        <is>
          <t>서울 서초구</t>
        </is>
      </c>
      <c r="T1941" s="41" t="inlineStr">
        <is>
          <t>26.03.18</t>
        </is>
      </c>
      <c r="U1941" s="42" t="inlineStr">
        <is>
          <t>아파트</t>
        </is>
      </c>
    </row>
    <row r="1942" hidden="1" ht="14.25" customHeight="1">
      <c r="A1942" s="41" t="n">
        <v>283</v>
      </c>
      <c r="B1942" s="42" t="inlineStr">
        <is>
          <t>서울특별시 서초구 서초동</t>
        </is>
      </c>
      <c r="C1942" s="41" t="inlineStr">
        <is>
          <t>1509-1</t>
        </is>
      </c>
      <c r="D1942" s="41" t="inlineStr">
        <is>
          <t>1509</t>
        </is>
      </c>
      <c r="E1942" s="41" t="inlineStr">
        <is>
          <t>0001</t>
        </is>
      </c>
      <c r="F1942" s="42" t="inlineStr">
        <is>
          <t>서초한빛삼성</t>
        </is>
      </c>
      <c r="G1942" s="41" t="inlineStr">
        <is>
          <t>110.5900</t>
        </is>
      </c>
      <c r="H1942" s="41" t="inlineStr">
        <is>
          <t>202510</t>
        </is>
      </c>
      <c r="I1942" s="41" t="inlineStr">
        <is>
          <t>29</t>
        </is>
      </c>
      <c r="J1942" s="41" t="inlineStr">
        <is>
          <t>222,000</t>
        </is>
      </c>
      <c r="K1942" s="41" t="inlineStr">
        <is>
          <t>101</t>
        </is>
      </c>
      <c r="L1942" s="41" t="inlineStr">
        <is>
          <t>2</t>
        </is>
      </c>
      <c r="M1942" s="42" t="inlineStr">
        <is>
          <t>개인</t>
        </is>
      </c>
      <c r="N1942" s="42" t="inlineStr">
        <is>
          <t>개인</t>
        </is>
      </c>
      <c r="O1942" s="41" t="inlineStr">
        <is>
          <t>1999</t>
        </is>
      </c>
      <c r="P1942" s="42" t="inlineStr">
        <is>
          <t>서초대로40길 72</t>
        </is>
      </c>
      <c r="Q1942" s="41" t="inlineStr">
        <is>
          <t>-</t>
        </is>
      </c>
      <c r="R1942" s="42" t="inlineStr">
        <is>
          <t>중개거래</t>
        </is>
      </c>
      <c r="S1942" s="42" t="inlineStr">
        <is>
          <t>서울 서초구</t>
        </is>
      </c>
      <c r="T1942" s="41" t="inlineStr">
        <is>
          <t>26.01.22</t>
        </is>
      </c>
      <c r="U1942" s="42" t="inlineStr">
        <is>
          <t>아파트</t>
        </is>
      </c>
    </row>
    <row r="1943" hidden="1" ht="14.25" customHeight="1">
      <c r="A1943" s="41" t="n">
        <v>284</v>
      </c>
      <c r="B1943" s="42" t="inlineStr">
        <is>
          <t>서울특별시 서초구 서초동</t>
        </is>
      </c>
      <c r="C1943" s="41" t="inlineStr">
        <is>
          <t>1671-5</t>
        </is>
      </c>
      <c r="D1943" s="41" t="inlineStr">
        <is>
          <t>1671</t>
        </is>
      </c>
      <c r="E1943" s="41" t="inlineStr">
        <is>
          <t>0005</t>
        </is>
      </c>
      <c r="F1943" s="42" t="inlineStr">
        <is>
          <t>대림서초리시온</t>
        </is>
      </c>
      <c r="G1943" s="41" t="inlineStr">
        <is>
          <t>49.9200</t>
        </is>
      </c>
      <c r="H1943" s="41" t="inlineStr">
        <is>
          <t>202510</t>
        </is>
      </c>
      <c r="I1943" s="41" t="inlineStr">
        <is>
          <t>28</t>
        </is>
      </c>
      <c r="J1943" s="41" t="inlineStr">
        <is>
          <t>53,500</t>
        </is>
      </c>
      <c r="K1943" s="41" t="inlineStr">
        <is>
          <t>-</t>
        </is>
      </c>
      <c r="L1943" s="41" t="inlineStr">
        <is>
          <t>7</t>
        </is>
      </c>
      <c r="M1943" s="42" t="inlineStr">
        <is>
          <t>개인</t>
        </is>
      </c>
      <c r="N1943" s="42" t="inlineStr">
        <is>
          <t>개인</t>
        </is>
      </c>
      <c r="O1943" s="41" t="inlineStr">
        <is>
          <t>2003</t>
        </is>
      </c>
      <c r="P1943" s="42" t="inlineStr">
        <is>
          <t>서초중앙로22길 25</t>
        </is>
      </c>
      <c r="Q1943" s="41" t="inlineStr">
        <is>
          <t>-</t>
        </is>
      </c>
      <c r="R1943" s="42" t="inlineStr">
        <is>
          <t>중개거래</t>
        </is>
      </c>
      <c r="S1943" s="42" t="inlineStr">
        <is>
          <t>서울 강남구</t>
        </is>
      </c>
      <c r="T1943" s="41" t="inlineStr">
        <is>
          <t>25.12.10</t>
        </is>
      </c>
      <c r="U1943" s="42" t="inlineStr">
        <is>
          <t>아파트</t>
        </is>
      </c>
    </row>
    <row r="1944" hidden="1" ht="14.25" customHeight="1">
      <c r="A1944" s="41" t="n">
        <v>285</v>
      </c>
      <c r="B1944" s="42" t="inlineStr">
        <is>
          <t>서울특별시 서초구 서초동</t>
        </is>
      </c>
      <c r="C1944" s="41" t="inlineStr">
        <is>
          <t>1542-6</t>
        </is>
      </c>
      <c r="D1944" s="41" t="inlineStr">
        <is>
          <t>1542</t>
        </is>
      </c>
      <c r="E1944" s="41" t="inlineStr">
        <is>
          <t>0006</t>
        </is>
      </c>
      <c r="F1944" s="42" t="inlineStr">
        <is>
          <t>현대ESA2</t>
        </is>
      </c>
      <c r="G1944" s="41" t="inlineStr">
        <is>
          <t>136.2500</t>
        </is>
      </c>
      <c r="H1944" s="41" t="inlineStr">
        <is>
          <t>202510</t>
        </is>
      </c>
      <c r="I1944" s="41" t="inlineStr">
        <is>
          <t>28</t>
        </is>
      </c>
      <c r="J1944" s="41" t="inlineStr">
        <is>
          <t>200,000</t>
        </is>
      </c>
      <c r="K1944" s="41" t="inlineStr">
        <is>
          <t>A</t>
        </is>
      </c>
      <c r="L1944" s="41" t="inlineStr">
        <is>
          <t>9</t>
        </is>
      </c>
      <c r="M1944" s="42" t="inlineStr">
        <is>
          <t>개인</t>
        </is>
      </c>
      <c r="N1944" s="42" t="inlineStr">
        <is>
          <t>개인</t>
        </is>
      </c>
      <c r="O1944" s="41" t="inlineStr">
        <is>
          <t>2003</t>
        </is>
      </c>
      <c r="P1944" s="42" t="inlineStr">
        <is>
          <t>반포대로 122</t>
        </is>
      </c>
      <c r="Q1944" s="41" t="inlineStr">
        <is>
          <t>-</t>
        </is>
      </c>
      <c r="R1944" s="42" t="inlineStr">
        <is>
          <t>중개거래</t>
        </is>
      </c>
      <c r="S1944" s="42" t="inlineStr">
        <is>
          <t>서울 서초구</t>
        </is>
      </c>
      <c r="T1944" s="41" t="inlineStr">
        <is>
          <t>26.02.25</t>
        </is>
      </c>
      <c r="U1944" s="42" t="inlineStr">
        <is>
          <t>아파트</t>
        </is>
      </c>
    </row>
    <row r="1945" hidden="1" ht="14.25" customHeight="1">
      <c r="A1945" s="41" t="n">
        <v>286</v>
      </c>
      <c r="B1945" s="42" t="inlineStr">
        <is>
          <t>서울특별시 서초구 서초동</t>
        </is>
      </c>
      <c r="C1945" s="41" t="inlineStr">
        <is>
          <t>1498-5</t>
        </is>
      </c>
      <c r="D1945" s="41" t="inlineStr">
        <is>
          <t>1498</t>
        </is>
      </c>
      <c r="E1945" s="41" t="inlineStr">
        <is>
          <t>0005</t>
        </is>
      </c>
      <c r="F1945" s="42" t="inlineStr">
        <is>
          <t>마제스타시티(힐스테이트서리풀101,102동)</t>
        </is>
      </c>
      <c r="G1945" s="41" t="inlineStr">
        <is>
          <t>59.9500</t>
        </is>
      </c>
      <c r="H1945" s="41" t="inlineStr">
        <is>
          <t>202510</t>
        </is>
      </c>
      <c r="I1945" s="41" t="inlineStr">
        <is>
          <t>28</t>
        </is>
      </c>
      <c r="J1945" s="41" t="inlineStr">
        <is>
          <t>200,000</t>
        </is>
      </c>
      <c r="K1945" s="42" t="inlineStr">
        <is>
          <t>힐스테이트 서리풀 102동</t>
        </is>
      </c>
      <c r="L1945" s="41" t="inlineStr">
        <is>
          <t>2</t>
        </is>
      </c>
      <c r="M1945" s="42" t="inlineStr">
        <is>
          <t>개인</t>
        </is>
      </c>
      <c r="N1945" s="42" t="inlineStr">
        <is>
          <t>개인</t>
        </is>
      </c>
      <c r="O1945" s="41" t="inlineStr">
        <is>
          <t>2017</t>
        </is>
      </c>
      <c r="P1945" s="42" t="inlineStr">
        <is>
          <t>서초대로38길 12</t>
        </is>
      </c>
      <c r="Q1945" s="41" t="inlineStr">
        <is>
          <t>-</t>
        </is>
      </c>
      <c r="R1945" s="42" t="inlineStr">
        <is>
          <t>중개거래</t>
        </is>
      </c>
      <c r="S1945" s="42" t="inlineStr">
        <is>
          <t>서울 서초구</t>
        </is>
      </c>
      <c r="T1945" s="41" t="inlineStr">
        <is>
          <t>26.02.27</t>
        </is>
      </c>
      <c r="U1945" s="42" t="inlineStr">
        <is>
          <t>아파트</t>
        </is>
      </c>
    </row>
    <row r="1946" hidden="1" ht="14.25" customHeight="1">
      <c r="A1946" s="41" t="n">
        <v>287</v>
      </c>
      <c r="B1946" s="42" t="inlineStr">
        <is>
          <t>서울특별시 서초구 서초동</t>
        </is>
      </c>
      <c r="C1946" s="41" t="inlineStr">
        <is>
          <t>1312-3</t>
        </is>
      </c>
      <c r="D1946" s="41" t="inlineStr">
        <is>
          <t>1312</t>
        </is>
      </c>
      <c r="E1946" s="41" t="inlineStr">
        <is>
          <t>0003</t>
        </is>
      </c>
      <c r="F1946" s="42" t="inlineStr">
        <is>
          <t>롯데캐슬클래식</t>
        </is>
      </c>
      <c r="G1946" s="41" t="inlineStr">
        <is>
          <t>74.3000</t>
        </is>
      </c>
      <c r="H1946" s="41" t="inlineStr">
        <is>
          <t>202510</t>
        </is>
      </c>
      <c r="I1946" s="41" t="inlineStr">
        <is>
          <t>27</t>
        </is>
      </c>
      <c r="J1946" s="41" t="inlineStr">
        <is>
          <t>305,000</t>
        </is>
      </c>
      <c r="K1946" s="41" t="inlineStr">
        <is>
          <t>114</t>
        </is>
      </c>
      <c r="L1946" s="41" t="inlineStr">
        <is>
          <t>24</t>
        </is>
      </c>
      <c r="M1946" s="42" t="inlineStr">
        <is>
          <t>개인</t>
        </is>
      </c>
      <c r="N1946" s="42" t="inlineStr">
        <is>
          <t>개인</t>
        </is>
      </c>
      <c r="O1946" s="41" t="inlineStr">
        <is>
          <t>2006</t>
        </is>
      </c>
      <c r="P1946" s="42" t="inlineStr">
        <is>
          <t>서운로 200</t>
        </is>
      </c>
      <c r="Q1946" s="41" t="inlineStr">
        <is>
          <t>-</t>
        </is>
      </c>
      <c r="R1946" s="42" t="inlineStr">
        <is>
          <t>중개거래</t>
        </is>
      </c>
      <c r="S1946" s="42" t="inlineStr">
        <is>
          <t>서울 강남구, 서울 서초구</t>
        </is>
      </c>
      <c r="T1946" s="41" t="inlineStr">
        <is>
          <t>25.12.24</t>
        </is>
      </c>
      <c r="U1946" s="42" t="inlineStr">
        <is>
          <t>아파트</t>
        </is>
      </c>
    </row>
    <row r="1947" hidden="1" ht="14.25" customHeight="1">
      <c r="A1947" s="41" t="n">
        <v>288</v>
      </c>
      <c r="B1947" s="42" t="inlineStr">
        <is>
          <t>서울특별시 서초구 서초동</t>
        </is>
      </c>
      <c r="C1947" s="41" t="inlineStr">
        <is>
          <t>1312-3</t>
        </is>
      </c>
      <c r="D1947" s="41" t="inlineStr">
        <is>
          <t>1312</t>
        </is>
      </c>
      <c r="E1947" s="41" t="inlineStr">
        <is>
          <t>0003</t>
        </is>
      </c>
      <c r="F1947" s="42" t="inlineStr">
        <is>
          <t>롯데캐슬클래식</t>
        </is>
      </c>
      <c r="G1947" s="41" t="inlineStr">
        <is>
          <t>74.3000</t>
        </is>
      </c>
      <c r="H1947" s="41" t="inlineStr">
        <is>
          <t>202510</t>
        </is>
      </c>
      <c r="I1947" s="41" t="inlineStr">
        <is>
          <t>27</t>
        </is>
      </c>
      <c r="J1947" s="41" t="inlineStr">
        <is>
          <t>293,700</t>
        </is>
      </c>
      <c r="K1947" s="41" t="inlineStr">
        <is>
          <t>114</t>
        </is>
      </c>
      <c r="L1947" s="41" t="inlineStr">
        <is>
          <t>27</t>
        </is>
      </c>
      <c r="M1947" s="42" t="inlineStr">
        <is>
          <t>개인</t>
        </is>
      </c>
      <c r="N1947" s="42" t="inlineStr">
        <is>
          <t>개인</t>
        </is>
      </c>
      <c r="O1947" s="41" t="inlineStr">
        <is>
          <t>2006</t>
        </is>
      </c>
      <c r="P1947" s="42" t="inlineStr">
        <is>
          <t>서운로 200</t>
        </is>
      </c>
      <c r="Q1947" s="41" t="inlineStr">
        <is>
          <t>-</t>
        </is>
      </c>
      <c r="R1947" s="42" t="inlineStr">
        <is>
          <t>중개거래</t>
        </is>
      </c>
      <c r="S1947" s="42" t="inlineStr">
        <is>
          <t>서울 서초구</t>
        </is>
      </c>
      <c r="T1947" s="41" t="inlineStr">
        <is>
          <t>25.12.15</t>
        </is>
      </c>
      <c r="U1947" s="42" t="inlineStr">
        <is>
          <t>아파트</t>
        </is>
      </c>
    </row>
    <row r="1948" hidden="1" ht="14.25" customHeight="1">
      <c r="A1948" s="41" t="n">
        <v>289</v>
      </c>
      <c r="B1948" s="42" t="inlineStr">
        <is>
          <t>서울특별시 서초구 서초동</t>
        </is>
      </c>
      <c r="C1948" s="41" t="inlineStr">
        <is>
          <t>1312-3</t>
        </is>
      </c>
      <c r="D1948" s="41" t="inlineStr">
        <is>
          <t>1312</t>
        </is>
      </c>
      <c r="E1948" s="41" t="inlineStr">
        <is>
          <t>0003</t>
        </is>
      </c>
      <c r="F1948" s="42" t="inlineStr">
        <is>
          <t>롯데캐슬클래식</t>
        </is>
      </c>
      <c r="G1948" s="41" t="inlineStr">
        <is>
          <t>120.1800</t>
        </is>
      </c>
      <c r="H1948" s="41" t="inlineStr">
        <is>
          <t>202510</t>
        </is>
      </c>
      <c r="I1948" s="41" t="inlineStr">
        <is>
          <t>27</t>
        </is>
      </c>
      <c r="J1948" s="41" t="inlineStr">
        <is>
          <t>350,000</t>
        </is>
      </c>
      <c r="K1948" s="41" t="inlineStr">
        <is>
          <t>113</t>
        </is>
      </c>
      <c r="L1948" s="41" t="inlineStr">
        <is>
          <t>7</t>
        </is>
      </c>
      <c r="M1948" s="42" t="inlineStr">
        <is>
          <t>개인</t>
        </is>
      </c>
      <c r="N1948" s="42" t="inlineStr">
        <is>
          <t>개인</t>
        </is>
      </c>
      <c r="O1948" s="41" t="inlineStr">
        <is>
          <t>2006</t>
        </is>
      </c>
      <c r="P1948" s="42" t="inlineStr">
        <is>
          <t>서운로 200</t>
        </is>
      </c>
      <c r="Q1948" s="41" t="inlineStr">
        <is>
          <t>-</t>
        </is>
      </c>
      <c r="R1948" s="42" t="inlineStr">
        <is>
          <t>중개거래</t>
        </is>
      </c>
      <c r="S1948" s="42" t="inlineStr">
        <is>
          <t>서울 서초구</t>
        </is>
      </c>
      <c r="T1948" s="41" t="inlineStr">
        <is>
          <t>26.01.28</t>
        </is>
      </c>
      <c r="U1948" s="42" t="inlineStr">
        <is>
          <t>아파트</t>
        </is>
      </c>
    </row>
    <row r="1949" hidden="1" ht="14.25" customHeight="1">
      <c r="A1949" s="41" t="n">
        <v>290</v>
      </c>
      <c r="B1949" s="42" t="inlineStr">
        <is>
          <t>서울특별시 서초구 서초동</t>
        </is>
      </c>
      <c r="C1949" s="41" t="inlineStr">
        <is>
          <t>1685-3</t>
        </is>
      </c>
      <c r="D1949" s="41" t="inlineStr">
        <is>
          <t>1685</t>
        </is>
      </c>
      <c r="E1949" s="41" t="inlineStr">
        <is>
          <t>0003</t>
        </is>
      </c>
      <c r="F1949" s="42" t="inlineStr">
        <is>
          <t>아크로비스타</t>
        </is>
      </c>
      <c r="G1949" s="41" t="inlineStr">
        <is>
          <t>161.9400</t>
        </is>
      </c>
      <c r="H1949" s="41" t="inlineStr">
        <is>
          <t>202510</t>
        </is>
      </c>
      <c r="I1949" s="41" t="inlineStr">
        <is>
          <t>27</t>
        </is>
      </c>
      <c r="J1949" s="41" t="inlineStr">
        <is>
          <t>380,000</t>
        </is>
      </c>
      <c r="K1949" s="41" t="inlineStr">
        <is>
          <t>B</t>
        </is>
      </c>
      <c r="L1949" s="41" t="inlineStr">
        <is>
          <t>26</t>
        </is>
      </c>
      <c r="M1949" s="42" t="inlineStr">
        <is>
          <t>개인</t>
        </is>
      </c>
      <c r="N1949" s="42" t="inlineStr">
        <is>
          <t>개인</t>
        </is>
      </c>
      <c r="O1949" s="41" t="inlineStr">
        <is>
          <t>2004</t>
        </is>
      </c>
      <c r="P1949" s="42" t="inlineStr">
        <is>
          <t>서초중앙로 188</t>
        </is>
      </c>
      <c r="Q1949" s="41" t="inlineStr">
        <is>
          <t>-</t>
        </is>
      </c>
      <c r="R1949" s="42" t="inlineStr">
        <is>
          <t>중개거래</t>
        </is>
      </c>
      <c r="S1949" s="42" t="inlineStr">
        <is>
          <t>서울 서초구</t>
        </is>
      </c>
      <c r="T1949" s="41" t="inlineStr">
        <is>
          <t>25.11.20</t>
        </is>
      </c>
      <c r="U1949" s="42" t="inlineStr">
        <is>
          <t>아파트</t>
        </is>
      </c>
    </row>
    <row r="1950" hidden="1" ht="14.25" customHeight="1">
      <c r="A1950" s="41" t="n">
        <v>291</v>
      </c>
      <c r="B1950" s="42" t="inlineStr">
        <is>
          <t>서울특별시 서초구 서초동</t>
        </is>
      </c>
      <c r="C1950" s="41" t="inlineStr">
        <is>
          <t>1582-3</t>
        </is>
      </c>
      <c r="D1950" s="41" t="inlineStr">
        <is>
          <t>1582</t>
        </is>
      </c>
      <c r="E1950" s="41" t="inlineStr">
        <is>
          <t>0003</t>
        </is>
      </c>
      <c r="F1950" s="42" t="inlineStr">
        <is>
          <t>서초센트럴IPARK</t>
        </is>
      </c>
      <c r="G1950" s="41" t="inlineStr">
        <is>
          <t>80.5332</t>
        </is>
      </c>
      <c r="H1950" s="41" t="inlineStr">
        <is>
          <t>202510</t>
        </is>
      </c>
      <c r="I1950" s="41" t="inlineStr">
        <is>
          <t>27</t>
        </is>
      </c>
      <c r="J1950" s="41" t="inlineStr">
        <is>
          <t>200,000</t>
        </is>
      </c>
      <c r="K1950" s="41" t="inlineStr">
        <is>
          <t>102동</t>
        </is>
      </c>
      <c r="L1950" s="41" t="inlineStr">
        <is>
          <t>18</t>
        </is>
      </c>
      <c r="M1950" s="42" t="inlineStr">
        <is>
          <t>개인</t>
        </is>
      </c>
      <c r="N1950" s="42" t="inlineStr">
        <is>
          <t>개인</t>
        </is>
      </c>
      <c r="O1950" s="41" t="inlineStr">
        <is>
          <t>2020</t>
        </is>
      </c>
      <c r="P1950" s="42" t="inlineStr">
        <is>
          <t>반포대로18길 36</t>
        </is>
      </c>
      <c r="Q1950" s="41" t="inlineStr">
        <is>
          <t>-</t>
        </is>
      </c>
      <c r="R1950" s="42" t="inlineStr">
        <is>
          <t>중개거래</t>
        </is>
      </c>
      <c r="S1950" s="42" t="inlineStr">
        <is>
          <t>서울 서초구</t>
        </is>
      </c>
      <c r="T1950" s="41" t="inlineStr">
        <is>
          <t>26.02.10</t>
        </is>
      </c>
      <c r="U1950" s="42" t="inlineStr">
        <is>
          <t>아파트</t>
        </is>
      </c>
    </row>
    <row r="1951" hidden="1" ht="14.25" customHeight="1">
      <c r="A1951" s="41" t="n">
        <v>292</v>
      </c>
      <c r="B1951" s="42" t="inlineStr">
        <is>
          <t>서울특별시 서초구 서초동</t>
        </is>
      </c>
      <c r="C1951" s="41" t="inlineStr">
        <is>
          <t>1312-3</t>
        </is>
      </c>
      <c r="D1951" s="41" t="inlineStr">
        <is>
          <t>1312</t>
        </is>
      </c>
      <c r="E1951" s="41" t="inlineStr">
        <is>
          <t>0003</t>
        </is>
      </c>
      <c r="F1951" s="42" t="inlineStr">
        <is>
          <t>롯데캐슬클래식</t>
        </is>
      </c>
      <c r="G1951" s="41" t="inlineStr">
        <is>
          <t>120.1800</t>
        </is>
      </c>
      <c r="H1951" s="41" t="inlineStr">
        <is>
          <t>202510</t>
        </is>
      </c>
      <c r="I1951" s="41" t="inlineStr">
        <is>
          <t>27</t>
        </is>
      </c>
      <c r="J1951" s="41" t="inlineStr">
        <is>
          <t>355,000</t>
        </is>
      </c>
      <c r="K1951" s="41" t="inlineStr">
        <is>
          <t>106</t>
        </is>
      </c>
      <c r="L1951" s="41" t="inlineStr">
        <is>
          <t>20</t>
        </is>
      </c>
      <c r="M1951" s="42" t="inlineStr">
        <is>
          <t>개인</t>
        </is>
      </c>
      <c r="N1951" s="42" t="inlineStr">
        <is>
          <t>개인</t>
        </is>
      </c>
      <c r="O1951" s="41" t="inlineStr">
        <is>
          <t>2006</t>
        </is>
      </c>
      <c r="P1951" s="42" t="inlineStr">
        <is>
          <t>서운로 197</t>
        </is>
      </c>
      <c r="Q1951" s="41" t="inlineStr">
        <is>
          <t>-</t>
        </is>
      </c>
      <c r="R1951" s="42" t="inlineStr">
        <is>
          <t>중개거래</t>
        </is>
      </c>
      <c r="S1951" s="42" t="inlineStr">
        <is>
          <t>서울 서초구</t>
        </is>
      </c>
      <c r="T1951" s="41" t="inlineStr">
        <is>
          <t>26.01.16</t>
        </is>
      </c>
      <c r="U1951" s="42" t="inlineStr">
        <is>
          <t>아파트</t>
        </is>
      </c>
    </row>
    <row r="1952" hidden="1" ht="14.25" customHeight="1">
      <c r="A1952" s="41" t="n">
        <v>293</v>
      </c>
      <c r="B1952" s="42" t="inlineStr">
        <is>
          <t>서울특별시 서초구 서초동</t>
        </is>
      </c>
      <c r="C1952" s="41" t="inlineStr">
        <is>
          <t>1312-3</t>
        </is>
      </c>
      <c r="D1952" s="41" t="inlineStr">
        <is>
          <t>1312</t>
        </is>
      </c>
      <c r="E1952" s="41" t="inlineStr">
        <is>
          <t>0003</t>
        </is>
      </c>
      <c r="F1952" s="42" t="inlineStr">
        <is>
          <t>롯데캐슬클래식</t>
        </is>
      </c>
      <c r="G1952" s="41" t="inlineStr">
        <is>
          <t>74.3000</t>
        </is>
      </c>
      <c r="H1952" s="41" t="inlineStr">
        <is>
          <t>202510</t>
        </is>
      </c>
      <c r="I1952" s="41" t="inlineStr">
        <is>
          <t>27</t>
        </is>
      </c>
      <c r="J1952" s="41" t="inlineStr">
        <is>
          <t>305,000</t>
        </is>
      </c>
      <c r="K1952" s="41" t="inlineStr">
        <is>
          <t>114</t>
        </is>
      </c>
      <c r="L1952" s="41" t="inlineStr">
        <is>
          <t>7</t>
        </is>
      </c>
      <c r="M1952" s="42" t="inlineStr">
        <is>
          <t>개인</t>
        </is>
      </c>
      <c r="N1952" s="42" t="inlineStr">
        <is>
          <t>개인</t>
        </is>
      </c>
      <c r="O1952" s="41" t="inlineStr">
        <is>
          <t>2006</t>
        </is>
      </c>
      <c r="P1952" s="42" t="inlineStr">
        <is>
          <t>서운로 200</t>
        </is>
      </c>
      <c r="Q1952" s="41" t="inlineStr">
        <is>
          <t>-</t>
        </is>
      </c>
      <c r="R1952" s="42" t="inlineStr">
        <is>
          <t>중개거래</t>
        </is>
      </c>
      <c r="S1952" s="42" t="inlineStr">
        <is>
          <t>서울 서초구</t>
        </is>
      </c>
      <c r="T1952" s="41" t="inlineStr">
        <is>
          <t>26.01.08</t>
        </is>
      </c>
      <c r="U1952" s="42" t="inlineStr">
        <is>
          <t>아파트</t>
        </is>
      </c>
    </row>
    <row r="1953" hidden="1" ht="14.25" customHeight="1">
      <c r="A1953" s="41" t="n">
        <v>294</v>
      </c>
      <c r="B1953" s="42" t="inlineStr">
        <is>
          <t>서울특별시 서초구 서초동</t>
        </is>
      </c>
      <c r="C1953" s="41" t="inlineStr">
        <is>
          <t>1490-1</t>
        </is>
      </c>
      <c r="D1953" s="41" t="inlineStr">
        <is>
          <t>1490</t>
        </is>
      </c>
      <c r="E1953" s="41" t="inlineStr">
        <is>
          <t>0001</t>
        </is>
      </c>
      <c r="F1953" s="42" t="inlineStr">
        <is>
          <t>상지리츠빌(1)</t>
        </is>
      </c>
      <c r="G1953" s="41" t="inlineStr">
        <is>
          <t>164.5200</t>
        </is>
      </c>
      <c r="H1953" s="41" t="inlineStr">
        <is>
          <t>202510</t>
        </is>
      </c>
      <c r="I1953" s="41" t="inlineStr">
        <is>
          <t>25</t>
        </is>
      </c>
      <c r="J1953" s="41" t="inlineStr">
        <is>
          <t>224,000</t>
        </is>
      </c>
      <c r="K1953" s="41" t="inlineStr">
        <is>
          <t>-</t>
        </is>
      </c>
      <c r="L1953" s="41" t="inlineStr">
        <is>
          <t>8</t>
        </is>
      </c>
      <c r="M1953" s="42" t="inlineStr">
        <is>
          <t>개인</t>
        </is>
      </c>
      <c r="N1953" s="42" t="inlineStr">
        <is>
          <t>개인</t>
        </is>
      </c>
      <c r="O1953" s="41" t="inlineStr">
        <is>
          <t>2002</t>
        </is>
      </c>
      <c r="P1953" s="42" t="inlineStr">
        <is>
          <t>명달로11길 31</t>
        </is>
      </c>
      <c r="Q1953" s="41" t="inlineStr">
        <is>
          <t>-</t>
        </is>
      </c>
      <c r="R1953" s="42" t="inlineStr">
        <is>
          <t>중개거래</t>
        </is>
      </c>
      <c r="S1953" s="42" t="inlineStr">
        <is>
          <t>서울 서초구</t>
        </is>
      </c>
      <c r="T1953" s="41" t="inlineStr">
        <is>
          <t>26.01.30</t>
        </is>
      </c>
      <c r="U1953" s="42" t="inlineStr">
        <is>
          <t>아파트</t>
        </is>
      </c>
    </row>
    <row r="1954" hidden="1" ht="14.25" customHeight="1">
      <c r="A1954" s="41" t="n">
        <v>295</v>
      </c>
      <c r="B1954" s="42" t="inlineStr">
        <is>
          <t>서울특별시 서초구 서초동</t>
        </is>
      </c>
      <c r="C1954" s="41" t="inlineStr">
        <is>
          <t>1616-10</t>
        </is>
      </c>
      <c r="D1954" s="41" t="inlineStr">
        <is>
          <t>1616</t>
        </is>
      </c>
      <c r="E1954" s="41" t="inlineStr">
        <is>
          <t>0010</t>
        </is>
      </c>
      <c r="F1954" s="42" t="inlineStr">
        <is>
          <t>서초극동스타클래스</t>
        </is>
      </c>
      <c r="G1954" s="41" t="inlineStr">
        <is>
          <t>84.3000</t>
        </is>
      </c>
      <c r="H1954" s="41" t="inlineStr">
        <is>
          <t>202510</t>
        </is>
      </c>
      <c r="I1954" s="41" t="inlineStr">
        <is>
          <t>24</t>
        </is>
      </c>
      <c r="J1954" s="41" t="inlineStr">
        <is>
          <t>170,000</t>
        </is>
      </c>
      <c r="K1954" s="41" t="inlineStr">
        <is>
          <t>101</t>
        </is>
      </c>
      <c r="L1954" s="41" t="inlineStr">
        <is>
          <t>10</t>
        </is>
      </c>
      <c r="M1954" s="42" t="inlineStr">
        <is>
          <t>개인</t>
        </is>
      </c>
      <c r="N1954" s="42" t="inlineStr">
        <is>
          <t>개인</t>
        </is>
      </c>
      <c r="O1954" s="41" t="inlineStr">
        <is>
          <t>2003</t>
        </is>
      </c>
      <c r="P1954" s="42" t="inlineStr">
        <is>
          <t>서리풀4길 43</t>
        </is>
      </c>
      <c r="Q1954" s="41" t="inlineStr">
        <is>
          <t>-</t>
        </is>
      </c>
      <c r="R1954" s="42" t="inlineStr">
        <is>
          <t>중개거래</t>
        </is>
      </c>
      <c r="S1954" s="42" t="inlineStr">
        <is>
          <t>서울 동작구, 서울 서초구</t>
        </is>
      </c>
      <c r="T1954" s="41" t="inlineStr">
        <is>
          <t>26.01.08</t>
        </is>
      </c>
      <c r="U1954" s="42" t="inlineStr">
        <is>
          <t>아파트</t>
        </is>
      </c>
    </row>
    <row r="1955" hidden="1" ht="14.25" customHeight="1">
      <c r="A1955" s="41" t="n">
        <v>296</v>
      </c>
      <c r="B1955" s="42" t="inlineStr">
        <is>
          <t>서울특별시 서초구 서초동</t>
        </is>
      </c>
      <c r="C1955" s="41" t="inlineStr">
        <is>
          <t>1685-3</t>
        </is>
      </c>
      <c r="D1955" s="41" t="inlineStr">
        <is>
          <t>1685</t>
        </is>
      </c>
      <c r="E1955" s="41" t="inlineStr">
        <is>
          <t>0003</t>
        </is>
      </c>
      <c r="F1955" s="42" t="inlineStr">
        <is>
          <t>아크로비스타</t>
        </is>
      </c>
      <c r="G1955" s="41" t="inlineStr">
        <is>
          <t>149.0800</t>
        </is>
      </c>
      <c r="H1955" s="41" t="inlineStr">
        <is>
          <t>202510</t>
        </is>
      </c>
      <c r="I1955" s="41" t="inlineStr">
        <is>
          <t>24</t>
        </is>
      </c>
      <c r="J1955" s="41" t="inlineStr">
        <is>
          <t>327,000</t>
        </is>
      </c>
      <c r="K1955" s="41" t="inlineStr">
        <is>
          <t>A</t>
        </is>
      </c>
      <c r="L1955" s="41" t="inlineStr">
        <is>
          <t>18</t>
        </is>
      </c>
      <c r="M1955" s="42" t="inlineStr">
        <is>
          <t>개인</t>
        </is>
      </c>
      <c r="N1955" s="42" t="inlineStr">
        <is>
          <t>개인</t>
        </is>
      </c>
      <c r="O1955" s="41" t="inlineStr">
        <is>
          <t>2004</t>
        </is>
      </c>
      <c r="P1955" s="42" t="inlineStr">
        <is>
          <t>서초중앙로 188</t>
        </is>
      </c>
      <c r="Q1955" s="41" t="inlineStr">
        <is>
          <t>-</t>
        </is>
      </c>
      <c r="R1955" s="42" t="inlineStr">
        <is>
          <t>중개거래</t>
        </is>
      </c>
      <c r="S1955" s="42" t="inlineStr">
        <is>
          <t>서울 서초구</t>
        </is>
      </c>
      <c r="T1955" s="41" t="inlineStr">
        <is>
          <t>26.01.16</t>
        </is>
      </c>
      <c r="U1955" s="42" t="inlineStr">
        <is>
          <t>아파트</t>
        </is>
      </c>
    </row>
    <row r="1956" hidden="1" ht="14.25" customHeight="1">
      <c r="A1956" s="41" t="n">
        <v>297</v>
      </c>
      <c r="B1956" s="42" t="inlineStr">
        <is>
          <t>서울특별시 서초구 서초동</t>
        </is>
      </c>
      <c r="C1956" s="41" t="inlineStr">
        <is>
          <t>1757</t>
        </is>
      </c>
      <c r="D1956" s="41" t="inlineStr">
        <is>
          <t>1757</t>
        </is>
      </c>
      <c r="E1956" s="41" t="inlineStr">
        <is>
          <t>0000</t>
        </is>
      </c>
      <c r="F1956" s="42" t="inlineStr">
        <is>
          <t>서초그랑자이</t>
        </is>
      </c>
      <c r="G1956" s="41" t="inlineStr">
        <is>
          <t>119.4100</t>
        </is>
      </c>
      <c r="H1956" s="41" t="inlineStr">
        <is>
          <t>202510</t>
        </is>
      </c>
      <c r="I1956" s="41" t="inlineStr">
        <is>
          <t>23</t>
        </is>
      </c>
      <c r="J1956" s="41" t="inlineStr">
        <is>
          <t>468,000</t>
        </is>
      </c>
      <c r="K1956" s="41" t="inlineStr">
        <is>
          <t>107동</t>
        </is>
      </c>
      <c r="L1956" s="41" t="inlineStr">
        <is>
          <t>6</t>
        </is>
      </c>
      <c r="M1956" s="42" t="inlineStr">
        <is>
          <t>개인</t>
        </is>
      </c>
      <c r="N1956" s="42" t="inlineStr">
        <is>
          <t>개인</t>
        </is>
      </c>
      <c r="O1956" s="41" t="inlineStr">
        <is>
          <t>2021</t>
        </is>
      </c>
      <c r="P1956" s="42" t="inlineStr">
        <is>
          <t>효령로 391</t>
        </is>
      </c>
      <c r="Q1956" s="41" t="inlineStr">
        <is>
          <t>-</t>
        </is>
      </c>
      <c r="R1956" s="42" t="inlineStr">
        <is>
          <t>중개거래</t>
        </is>
      </c>
      <c r="S1956" s="42" t="inlineStr">
        <is>
          <t>경기 성남시 분당구, 서울 서초구</t>
        </is>
      </c>
      <c r="T1956" s="41" t="inlineStr">
        <is>
          <t>26.01.28</t>
        </is>
      </c>
      <c r="U1956" s="42" t="inlineStr">
        <is>
          <t>아파트</t>
        </is>
      </c>
    </row>
    <row r="1957" hidden="1" ht="14.25" customHeight="1">
      <c r="A1957" s="41" t="n">
        <v>298</v>
      </c>
      <c r="B1957" s="42" t="inlineStr">
        <is>
          <t>서울특별시 서초구 서초동</t>
        </is>
      </c>
      <c r="C1957" s="41" t="inlineStr">
        <is>
          <t>1685-3</t>
        </is>
      </c>
      <c r="D1957" s="41" t="inlineStr">
        <is>
          <t>1685</t>
        </is>
      </c>
      <c r="E1957" s="41" t="inlineStr">
        <is>
          <t>0003</t>
        </is>
      </c>
      <c r="F1957" s="42" t="inlineStr">
        <is>
          <t>아크로비스타</t>
        </is>
      </c>
      <c r="G1957" s="41" t="inlineStr">
        <is>
          <t>152.3300</t>
        </is>
      </c>
      <c r="H1957" s="41" t="inlineStr">
        <is>
          <t>202510</t>
        </is>
      </c>
      <c r="I1957" s="41" t="inlineStr">
        <is>
          <t>23</t>
        </is>
      </c>
      <c r="J1957" s="41" t="inlineStr">
        <is>
          <t>380,000</t>
        </is>
      </c>
      <c r="K1957" s="41" t="inlineStr">
        <is>
          <t>C</t>
        </is>
      </c>
      <c r="L1957" s="41" t="inlineStr">
        <is>
          <t>22</t>
        </is>
      </c>
      <c r="M1957" s="42" t="inlineStr">
        <is>
          <t>개인</t>
        </is>
      </c>
      <c r="N1957" s="42" t="inlineStr">
        <is>
          <t>개인</t>
        </is>
      </c>
      <c r="O1957" s="41" t="inlineStr">
        <is>
          <t>2004</t>
        </is>
      </c>
      <c r="P1957" s="42" t="inlineStr">
        <is>
          <t>서초중앙로 188</t>
        </is>
      </c>
      <c r="Q1957" s="41" t="inlineStr">
        <is>
          <t>-</t>
        </is>
      </c>
      <c r="R1957" s="42" t="inlineStr">
        <is>
          <t>중개거래</t>
        </is>
      </c>
      <c r="S1957" s="42" t="inlineStr">
        <is>
          <t>서울 서초구</t>
        </is>
      </c>
      <c r="T1957" s="41" t="inlineStr">
        <is>
          <t>26.03.27</t>
        </is>
      </c>
      <c r="U1957" s="42" t="inlineStr">
        <is>
          <t>아파트</t>
        </is>
      </c>
    </row>
    <row r="1958" hidden="1" ht="14.25" customHeight="1">
      <c r="A1958" s="41" t="n">
        <v>299</v>
      </c>
      <c r="B1958" s="42" t="inlineStr">
        <is>
          <t>서울특별시 서초구 서초동</t>
        </is>
      </c>
      <c r="C1958" s="41" t="inlineStr">
        <is>
          <t>1582-3</t>
        </is>
      </c>
      <c r="D1958" s="41" t="inlineStr">
        <is>
          <t>1582</t>
        </is>
      </c>
      <c r="E1958" s="41" t="inlineStr">
        <is>
          <t>0003</t>
        </is>
      </c>
      <c r="F1958" s="42" t="inlineStr">
        <is>
          <t>서초센트럴IPARK</t>
        </is>
      </c>
      <c r="G1958" s="41" t="inlineStr">
        <is>
          <t>80.5981</t>
        </is>
      </c>
      <c r="H1958" s="41" t="inlineStr">
        <is>
          <t>202510</t>
        </is>
      </c>
      <c r="I1958" s="41" t="inlineStr">
        <is>
          <t>23</t>
        </is>
      </c>
      <c r="J1958" s="41" t="inlineStr">
        <is>
          <t>190,000</t>
        </is>
      </c>
      <c r="K1958" s="41" t="inlineStr">
        <is>
          <t>-</t>
        </is>
      </c>
      <c r="L1958" s="41" t="inlineStr">
        <is>
          <t>19</t>
        </is>
      </c>
      <c r="M1958" s="42" t="inlineStr">
        <is>
          <t>개인</t>
        </is>
      </c>
      <c r="N1958" s="42" t="inlineStr">
        <is>
          <t>개인</t>
        </is>
      </c>
      <c r="O1958" s="41" t="inlineStr">
        <is>
          <t>2020</t>
        </is>
      </c>
      <c r="P1958" s="42" t="inlineStr">
        <is>
          <t>반포대로18길 36</t>
        </is>
      </c>
      <c r="Q1958" s="41" t="inlineStr">
        <is>
          <t>-</t>
        </is>
      </c>
      <c r="R1958" s="42" t="inlineStr">
        <is>
          <t>중개거래</t>
        </is>
      </c>
      <c r="S1958" s="42" t="inlineStr">
        <is>
          <t>서울 서초구</t>
        </is>
      </c>
      <c r="T1958" s="41" t="inlineStr">
        <is>
          <t>-</t>
        </is>
      </c>
      <c r="U1958" s="42" t="inlineStr">
        <is>
          <t>아파트</t>
        </is>
      </c>
    </row>
    <row r="1959" hidden="1" ht="14.25" customHeight="1">
      <c r="A1959" s="41" t="n">
        <v>300</v>
      </c>
      <c r="B1959" s="42" t="inlineStr">
        <is>
          <t>서울특별시 서초구 서초동</t>
        </is>
      </c>
      <c r="C1959" s="41" t="inlineStr">
        <is>
          <t>1542-6</t>
        </is>
      </c>
      <c r="D1959" s="41" t="inlineStr">
        <is>
          <t>1542</t>
        </is>
      </c>
      <c r="E1959" s="41" t="inlineStr">
        <is>
          <t>0006</t>
        </is>
      </c>
      <c r="F1959" s="42" t="inlineStr">
        <is>
          <t>현대ESA2</t>
        </is>
      </c>
      <c r="G1959" s="41" t="inlineStr">
        <is>
          <t>136.2500</t>
        </is>
      </c>
      <c r="H1959" s="41" t="inlineStr">
        <is>
          <t>202510</t>
        </is>
      </c>
      <c r="I1959" s="41" t="inlineStr">
        <is>
          <t>22</t>
        </is>
      </c>
      <c r="J1959" s="41" t="inlineStr">
        <is>
          <t>204,000</t>
        </is>
      </c>
      <c r="K1959" s="41" t="inlineStr">
        <is>
          <t>A</t>
        </is>
      </c>
      <c r="L1959" s="41" t="inlineStr">
        <is>
          <t>8</t>
        </is>
      </c>
      <c r="M1959" s="42" t="inlineStr">
        <is>
          <t>개인</t>
        </is>
      </c>
      <c r="N1959" s="42" t="inlineStr">
        <is>
          <t>개인</t>
        </is>
      </c>
      <c r="O1959" s="41" t="inlineStr">
        <is>
          <t>2003</t>
        </is>
      </c>
      <c r="P1959" s="42" t="inlineStr">
        <is>
          <t>반포대로 122</t>
        </is>
      </c>
      <c r="Q1959" s="41" t="inlineStr">
        <is>
          <t>-</t>
        </is>
      </c>
      <c r="R1959" s="42" t="inlineStr">
        <is>
          <t>중개거래</t>
        </is>
      </c>
      <c r="S1959" s="42" t="inlineStr">
        <is>
          <t>서울 서초구</t>
        </is>
      </c>
      <c r="T1959" s="41" t="inlineStr">
        <is>
          <t>25.11.05</t>
        </is>
      </c>
      <c r="U1959" s="42" t="inlineStr">
        <is>
          <t>아파트</t>
        </is>
      </c>
    </row>
    <row r="1960" hidden="1" ht="14.25" customHeight="1">
      <c r="A1960" s="41" t="n">
        <v>301</v>
      </c>
      <c r="B1960" s="42" t="inlineStr">
        <is>
          <t>서울특별시 서초구 서초동</t>
        </is>
      </c>
      <c r="C1960" s="41" t="inlineStr">
        <is>
          <t>1330</t>
        </is>
      </c>
      <c r="D1960" s="41" t="inlineStr">
        <is>
          <t>1330</t>
        </is>
      </c>
      <c r="E1960" s="41" t="inlineStr">
        <is>
          <t>0000</t>
        </is>
      </c>
      <c r="F1960" s="42" t="inlineStr">
        <is>
          <t>서초동삼성쉐르빌2</t>
        </is>
      </c>
      <c r="G1960" s="41" t="inlineStr">
        <is>
          <t>35.2200</t>
        </is>
      </c>
      <c r="H1960" s="41" t="inlineStr">
        <is>
          <t>202510</t>
        </is>
      </c>
      <c r="I1960" s="41" t="inlineStr">
        <is>
          <t>22</t>
        </is>
      </c>
      <c r="J1960" s="41" t="inlineStr">
        <is>
          <t>30,000</t>
        </is>
      </c>
      <c r="K1960" s="41" t="inlineStr">
        <is>
          <t>-</t>
        </is>
      </c>
      <c r="L1960" s="41" t="inlineStr">
        <is>
          <t>8</t>
        </is>
      </c>
      <c r="M1960" s="42" t="inlineStr">
        <is>
          <t>개인</t>
        </is>
      </c>
      <c r="N1960" s="42" t="inlineStr">
        <is>
          <t>개인</t>
        </is>
      </c>
      <c r="O1960" s="41" t="inlineStr">
        <is>
          <t>2002</t>
        </is>
      </c>
      <c r="P1960" s="42" t="inlineStr">
        <is>
          <t>강남대로53길 11</t>
        </is>
      </c>
      <c r="Q1960" s="41" t="inlineStr">
        <is>
          <t>-</t>
        </is>
      </c>
      <c r="R1960" s="42" t="inlineStr">
        <is>
          <t>중개거래</t>
        </is>
      </c>
      <c r="S1960" s="42" t="inlineStr">
        <is>
          <t>서울 서초구</t>
        </is>
      </c>
      <c r="T1960" s="41" t="inlineStr">
        <is>
          <t>25.11.20</t>
        </is>
      </c>
      <c r="U1960" s="42" t="inlineStr">
        <is>
          <t>아파트</t>
        </is>
      </c>
    </row>
    <row r="1961" hidden="1" ht="14.25" customHeight="1">
      <c r="A1961" s="41" t="n">
        <v>302</v>
      </c>
      <c r="B1961" s="42" t="inlineStr">
        <is>
          <t>서울특별시 서초구 서초동</t>
        </is>
      </c>
      <c r="C1961" s="41" t="inlineStr">
        <is>
          <t>1542-6</t>
        </is>
      </c>
      <c r="D1961" s="41" t="inlineStr">
        <is>
          <t>1542</t>
        </is>
      </c>
      <c r="E1961" s="41" t="inlineStr">
        <is>
          <t>0006</t>
        </is>
      </c>
      <c r="F1961" s="42" t="inlineStr">
        <is>
          <t>현대ESA2</t>
        </is>
      </c>
      <c r="G1961" s="41" t="inlineStr">
        <is>
          <t>136.2500</t>
        </is>
      </c>
      <c r="H1961" s="41" t="inlineStr">
        <is>
          <t>202510</t>
        </is>
      </c>
      <c r="I1961" s="41" t="inlineStr">
        <is>
          <t>22</t>
        </is>
      </c>
      <c r="J1961" s="41" t="inlineStr">
        <is>
          <t>213,000</t>
        </is>
      </c>
      <c r="K1961" s="41" t="inlineStr">
        <is>
          <t>B</t>
        </is>
      </c>
      <c r="L1961" s="41" t="inlineStr">
        <is>
          <t>21</t>
        </is>
      </c>
      <c r="M1961" s="42" t="inlineStr">
        <is>
          <t>개인</t>
        </is>
      </c>
      <c r="N1961" s="42" t="inlineStr">
        <is>
          <t>개인</t>
        </is>
      </c>
      <c r="O1961" s="41" t="inlineStr">
        <is>
          <t>2003</t>
        </is>
      </c>
      <c r="P1961" s="42" t="inlineStr">
        <is>
          <t>반포대로 122</t>
        </is>
      </c>
      <c r="Q1961" s="41" t="inlineStr">
        <is>
          <t>-</t>
        </is>
      </c>
      <c r="R1961" s="42" t="inlineStr">
        <is>
          <t>중개거래</t>
        </is>
      </c>
      <c r="S1961" s="42" t="inlineStr">
        <is>
          <t>서울 서초구</t>
        </is>
      </c>
      <c r="T1961" s="41" t="inlineStr">
        <is>
          <t>26.03.17</t>
        </is>
      </c>
      <c r="U1961" s="42" t="inlineStr">
        <is>
          <t>아파트</t>
        </is>
      </c>
    </row>
    <row r="1962" hidden="1" ht="14.25" customHeight="1">
      <c r="A1962" s="41" t="n">
        <v>303</v>
      </c>
      <c r="B1962" s="42" t="inlineStr">
        <is>
          <t>서울특별시 서초구 서초동</t>
        </is>
      </c>
      <c r="C1962" s="41" t="inlineStr">
        <is>
          <t>1542-6</t>
        </is>
      </c>
      <c r="D1962" s="41" t="inlineStr">
        <is>
          <t>1542</t>
        </is>
      </c>
      <c r="E1962" s="41" t="inlineStr">
        <is>
          <t>0006</t>
        </is>
      </c>
      <c r="F1962" s="42" t="inlineStr">
        <is>
          <t>현대ESA2</t>
        </is>
      </c>
      <c r="G1962" s="41" t="inlineStr">
        <is>
          <t>136.2500</t>
        </is>
      </c>
      <c r="H1962" s="41" t="inlineStr">
        <is>
          <t>202510</t>
        </is>
      </c>
      <c r="I1962" s="41" t="inlineStr">
        <is>
          <t>22</t>
        </is>
      </c>
      <c r="J1962" s="41" t="inlineStr">
        <is>
          <t>213,000</t>
        </is>
      </c>
      <c r="K1962" s="41" t="inlineStr">
        <is>
          <t>-</t>
        </is>
      </c>
      <c r="L1962" s="41" t="inlineStr">
        <is>
          <t>21</t>
        </is>
      </c>
      <c r="M1962" s="42" t="inlineStr">
        <is>
          <t>개인</t>
        </is>
      </c>
      <c r="N1962" s="42" t="inlineStr">
        <is>
          <t>개인</t>
        </is>
      </c>
      <c r="O1962" s="41" t="inlineStr">
        <is>
          <t>2003</t>
        </is>
      </c>
      <c r="P1962" s="42" t="inlineStr">
        <is>
          <t>반포대로 122</t>
        </is>
      </c>
      <c r="Q1962" s="41" t="inlineStr">
        <is>
          <t>20260105</t>
        </is>
      </c>
      <c r="R1962" s="42" t="inlineStr">
        <is>
          <t>중개거래</t>
        </is>
      </c>
      <c r="S1962" s="42" t="inlineStr">
        <is>
          <t>서울 서초구</t>
        </is>
      </c>
      <c r="T1962" s="41" t="inlineStr">
        <is>
          <t>-</t>
        </is>
      </c>
      <c r="U1962" s="42" t="inlineStr">
        <is>
          <t>아파트</t>
        </is>
      </c>
    </row>
    <row r="1963" hidden="1" ht="14.25" customHeight="1">
      <c r="A1963" s="41" t="n">
        <v>304</v>
      </c>
      <c r="B1963" s="42" t="inlineStr">
        <is>
          <t>서울특별시 서초구 서초동</t>
        </is>
      </c>
      <c r="C1963" s="41" t="inlineStr">
        <is>
          <t>1582-3</t>
        </is>
      </c>
      <c r="D1963" s="41" t="inlineStr">
        <is>
          <t>1582</t>
        </is>
      </c>
      <c r="E1963" s="41" t="inlineStr">
        <is>
          <t>0003</t>
        </is>
      </c>
      <c r="F1963" s="42" t="inlineStr">
        <is>
          <t>서초센트럴IPARK</t>
        </is>
      </c>
      <c r="G1963" s="41" t="inlineStr">
        <is>
          <t>80.5332</t>
        </is>
      </c>
      <c r="H1963" s="41" t="inlineStr">
        <is>
          <t>202510</t>
        </is>
      </c>
      <c r="I1963" s="41" t="inlineStr">
        <is>
          <t>22</t>
        </is>
      </c>
      <c r="J1963" s="41" t="inlineStr">
        <is>
          <t>210,000</t>
        </is>
      </c>
      <c r="K1963" s="41" t="inlineStr">
        <is>
          <t>101동</t>
        </is>
      </c>
      <c r="L1963" s="41" t="inlineStr">
        <is>
          <t>26</t>
        </is>
      </c>
      <c r="M1963" s="42" t="inlineStr">
        <is>
          <t>개인</t>
        </is>
      </c>
      <c r="N1963" s="42" t="inlineStr">
        <is>
          <t>개인</t>
        </is>
      </c>
      <c r="O1963" s="41" t="inlineStr">
        <is>
          <t>2020</t>
        </is>
      </c>
      <c r="P1963" s="42" t="inlineStr">
        <is>
          <t>반포대로18길 36</t>
        </is>
      </c>
      <c r="Q1963" s="41" t="inlineStr">
        <is>
          <t>-</t>
        </is>
      </c>
      <c r="R1963" s="42" t="inlineStr">
        <is>
          <t>중개거래</t>
        </is>
      </c>
      <c r="S1963" s="42" t="inlineStr">
        <is>
          <t>서울 서초구</t>
        </is>
      </c>
      <c r="T1963" s="41" t="inlineStr">
        <is>
          <t>26.03.03</t>
        </is>
      </c>
      <c r="U1963" s="42" t="inlineStr">
        <is>
          <t>아파트</t>
        </is>
      </c>
    </row>
    <row r="1964" hidden="1" ht="14.25" customHeight="1">
      <c r="A1964" s="41" t="n">
        <v>305</v>
      </c>
      <c r="B1964" s="42" t="inlineStr">
        <is>
          <t>서울특별시 서초구 서초동</t>
        </is>
      </c>
      <c r="C1964" s="41" t="inlineStr">
        <is>
          <t>1507-38</t>
        </is>
      </c>
      <c r="D1964" s="41" t="inlineStr">
        <is>
          <t>1507</t>
        </is>
      </c>
      <c r="E1964" s="41" t="inlineStr">
        <is>
          <t>0038</t>
        </is>
      </c>
      <c r="F1964" s="42" t="inlineStr">
        <is>
          <t>서초두산위브2</t>
        </is>
      </c>
      <c r="G1964" s="41" t="inlineStr">
        <is>
          <t>111.0700</t>
        </is>
      </c>
      <c r="H1964" s="41" t="inlineStr">
        <is>
          <t>202510</t>
        </is>
      </c>
      <c r="I1964" s="41" t="inlineStr">
        <is>
          <t>22</t>
        </is>
      </c>
      <c r="J1964" s="41" t="inlineStr">
        <is>
          <t>184,000</t>
        </is>
      </c>
      <c r="K1964" s="41" t="inlineStr">
        <is>
          <t>-</t>
        </is>
      </c>
      <c r="L1964" s="41" t="inlineStr">
        <is>
          <t>6</t>
        </is>
      </c>
      <c r="M1964" s="42" t="inlineStr">
        <is>
          <t>개인</t>
        </is>
      </c>
      <c r="N1964" s="42" t="inlineStr">
        <is>
          <t>개인</t>
        </is>
      </c>
      <c r="O1964" s="41" t="inlineStr">
        <is>
          <t>2005</t>
        </is>
      </c>
      <c r="P1964" s="42" t="inlineStr">
        <is>
          <t>명달로 112</t>
        </is>
      </c>
      <c r="Q1964" s="41" t="inlineStr">
        <is>
          <t>-</t>
        </is>
      </c>
      <c r="R1964" s="42" t="inlineStr">
        <is>
          <t>중개거래</t>
        </is>
      </c>
      <c r="S1964" s="42" t="inlineStr">
        <is>
          <t>서울 서초구</t>
        </is>
      </c>
      <c r="T1964" s="41" t="inlineStr">
        <is>
          <t>26.01.15</t>
        </is>
      </c>
      <c r="U1964" s="42" t="inlineStr">
        <is>
          <t>아파트</t>
        </is>
      </c>
    </row>
    <row r="1965" hidden="1" ht="14.25" customHeight="1">
      <c r="A1965" s="41" t="n">
        <v>306</v>
      </c>
      <c r="B1965" s="42" t="inlineStr">
        <is>
          <t>서울특별시 서초구 서초동</t>
        </is>
      </c>
      <c r="C1965" s="41" t="inlineStr">
        <is>
          <t>1338-1</t>
        </is>
      </c>
      <c r="D1965" s="41" t="inlineStr">
        <is>
          <t>1338</t>
        </is>
      </c>
      <c r="E1965" s="41" t="inlineStr">
        <is>
          <t>0001</t>
        </is>
      </c>
      <c r="F1965" s="42" t="inlineStr">
        <is>
          <t>풍림아이원플러스</t>
        </is>
      </c>
      <c r="G1965" s="41" t="inlineStr">
        <is>
          <t>35.9030</t>
        </is>
      </c>
      <c r="H1965" s="41" t="inlineStr">
        <is>
          <t>202510</t>
        </is>
      </c>
      <c r="I1965" s="41" t="inlineStr">
        <is>
          <t>21</t>
        </is>
      </c>
      <c r="J1965" s="41" t="inlineStr">
        <is>
          <t>35,800</t>
        </is>
      </c>
      <c r="K1965" s="42" t="inlineStr">
        <is>
          <t>풍림아이원플러스</t>
        </is>
      </c>
      <c r="L1965" s="41" t="inlineStr">
        <is>
          <t>9</t>
        </is>
      </c>
      <c r="M1965" s="42" t="inlineStr">
        <is>
          <t>개인</t>
        </is>
      </c>
      <c r="N1965" s="42" t="inlineStr">
        <is>
          <t>개인</t>
        </is>
      </c>
      <c r="O1965" s="41" t="inlineStr">
        <is>
          <t>2004</t>
        </is>
      </c>
      <c r="P1965" s="42" t="inlineStr">
        <is>
          <t>효령로77길 14</t>
        </is>
      </c>
      <c r="Q1965" s="41" t="inlineStr">
        <is>
          <t>-</t>
        </is>
      </c>
      <c r="R1965" s="42" t="inlineStr">
        <is>
          <t>중개거래</t>
        </is>
      </c>
      <c r="S1965" s="42" t="inlineStr">
        <is>
          <t>서울 서초구</t>
        </is>
      </c>
      <c r="T1965" s="41" t="inlineStr">
        <is>
          <t>25.11.17</t>
        </is>
      </c>
      <c r="U1965" s="42" t="inlineStr">
        <is>
          <t>아파트</t>
        </is>
      </c>
    </row>
    <row r="1966" hidden="1" ht="14.25" customHeight="1">
      <c r="A1966" s="41" t="n">
        <v>307</v>
      </c>
      <c r="B1966" s="42" t="inlineStr">
        <is>
          <t>서울특별시 서초구 서초동</t>
        </is>
      </c>
      <c r="C1966" s="41" t="inlineStr">
        <is>
          <t>1311-10</t>
        </is>
      </c>
      <c r="D1966" s="41" t="inlineStr">
        <is>
          <t>1311</t>
        </is>
      </c>
      <c r="E1966" s="41" t="inlineStr">
        <is>
          <t>0010</t>
        </is>
      </c>
      <c r="F1966" s="42" t="inlineStr">
        <is>
          <t>서초푸르지오써밋</t>
        </is>
      </c>
      <c r="G1966" s="41" t="inlineStr">
        <is>
          <t>74.9600</t>
        </is>
      </c>
      <c r="H1966" s="41" t="inlineStr">
        <is>
          <t>202510</t>
        </is>
      </c>
      <c r="I1966" s="41" t="inlineStr">
        <is>
          <t>21</t>
        </is>
      </c>
      <c r="J1966" s="41" t="inlineStr">
        <is>
          <t>349,000</t>
        </is>
      </c>
      <c r="K1966" s="41" t="inlineStr">
        <is>
          <t>104</t>
        </is>
      </c>
      <c r="L1966" s="41" t="inlineStr">
        <is>
          <t>16</t>
        </is>
      </c>
      <c r="M1966" s="42" t="inlineStr">
        <is>
          <t>개인</t>
        </is>
      </c>
      <c r="N1966" s="42" t="inlineStr">
        <is>
          <t>개인</t>
        </is>
      </c>
      <c r="O1966" s="41" t="inlineStr">
        <is>
          <t>2017</t>
        </is>
      </c>
      <c r="P1966" s="42" t="inlineStr">
        <is>
          <t>서운로 201</t>
        </is>
      </c>
      <c r="Q1966" s="41" t="inlineStr">
        <is>
          <t>-</t>
        </is>
      </c>
      <c r="R1966" s="42" t="inlineStr">
        <is>
          <t>중개거래</t>
        </is>
      </c>
      <c r="S1966" s="42" t="inlineStr">
        <is>
          <t>서울 서초구</t>
        </is>
      </c>
      <c r="T1966" s="41" t="inlineStr">
        <is>
          <t>26.01.16</t>
        </is>
      </c>
      <c r="U1966" s="42" t="inlineStr">
        <is>
          <t>아파트</t>
        </is>
      </c>
    </row>
    <row r="1967" hidden="1" ht="14.25" customHeight="1">
      <c r="A1967" s="41" t="n">
        <v>308</v>
      </c>
      <c r="B1967" s="42" t="inlineStr">
        <is>
          <t>서울특별시 서초구 서초동</t>
        </is>
      </c>
      <c r="C1967" s="41" t="inlineStr">
        <is>
          <t>1359</t>
        </is>
      </c>
      <c r="D1967" s="41" t="inlineStr">
        <is>
          <t>1359</t>
        </is>
      </c>
      <c r="E1967" s="41" t="inlineStr">
        <is>
          <t>0000</t>
        </is>
      </c>
      <c r="F1967" s="42" t="inlineStr">
        <is>
          <t>서초동현대리츠빌</t>
        </is>
      </c>
      <c r="G1967" s="41" t="inlineStr">
        <is>
          <t>163.5100</t>
        </is>
      </c>
      <c r="H1967" s="41" t="inlineStr">
        <is>
          <t>202510</t>
        </is>
      </c>
      <c r="I1967" s="41" t="inlineStr">
        <is>
          <t>21</t>
        </is>
      </c>
      <c r="J1967" s="41" t="inlineStr">
        <is>
          <t>210,000</t>
        </is>
      </c>
      <c r="K1967" s="41" t="inlineStr">
        <is>
          <t>101</t>
        </is>
      </c>
      <c r="L1967" s="41" t="inlineStr">
        <is>
          <t>4</t>
        </is>
      </c>
      <c r="M1967" s="42" t="inlineStr">
        <is>
          <t>개인</t>
        </is>
      </c>
      <c r="N1967" s="42" t="inlineStr">
        <is>
          <t>개인</t>
        </is>
      </c>
      <c r="O1967" s="41" t="inlineStr">
        <is>
          <t>2002</t>
        </is>
      </c>
      <c r="P1967" s="42" t="inlineStr">
        <is>
          <t>강남대로43길 51</t>
        </is>
      </c>
      <c r="Q1967" s="41" t="inlineStr">
        <is>
          <t>-</t>
        </is>
      </c>
      <c r="R1967" s="42" t="inlineStr">
        <is>
          <t>중개거래</t>
        </is>
      </c>
      <c r="S1967" s="42" t="inlineStr">
        <is>
          <t>서울 서초구</t>
        </is>
      </c>
      <c r="T1967" s="41" t="inlineStr">
        <is>
          <t>26.01.16</t>
        </is>
      </c>
      <c r="U1967" s="42" t="inlineStr">
        <is>
          <t>아파트</t>
        </is>
      </c>
    </row>
    <row r="1968" hidden="1" ht="14.25" customHeight="1">
      <c r="A1968" s="41" t="n">
        <v>309</v>
      </c>
      <c r="B1968" s="42" t="inlineStr">
        <is>
          <t>서울특별시 서초구 서초동</t>
        </is>
      </c>
      <c r="C1968" s="41" t="inlineStr">
        <is>
          <t>1641-13</t>
        </is>
      </c>
      <c r="D1968" s="41" t="inlineStr">
        <is>
          <t>1641</t>
        </is>
      </c>
      <c r="E1968" s="41" t="inlineStr">
        <is>
          <t>0013</t>
        </is>
      </c>
      <c r="F1968" s="42" t="inlineStr">
        <is>
          <t>아남</t>
        </is>
      </c>
      <c r="G1968" s="41" t="inlineStr">
        <is>
          <t>84.9600</t>
        </is>
      </c>
      <c r="H1968" s="41" t="inlineStr">
        <is>
          <t>202510</t>
        </is>
      </c>
      <c r="I1968" s="41" t="inlineStr">
        <is>
          <t>20</t>
        </is>
      </c>
      <c r="J1968" s="41" t="inlineStr">
        <is>
          <t>210,000</t>
        </is>
      </c>
      <c r="K1968" s="41" t="inlineStr">
        <is>
          <t>2</t>
        </is>
      </c>
      <c r="L1968" s="41" t="inlineStr">
        <is>
          <t>5</t>
        </is>
      </c>
      <c r="M1968" s="42" t="inlineStr">
        <is>
          <t>개인</t>
        </is>
      </c>
      <c r="N1968" s="42" t="inlineStr">
        <is>
          <t>개인</t>
        </is>
      </c>
      <c r="O1968" s="41" t="inlineStr">
        <is>
          <t>1989</t>
        </is>
      </c>
      <c r="P1968" s="42" t="inlineStr">
        <is>
          <t>사임당로23길 53</t>
        </is>
      </c>
      <c r="Q1968" s="41" t="inlineStr">
        <is>
          <t>-</t>
        </is>
      </c>
      <c r="R1968" s="42" t="inlineStr">
        <is>
          <t>중개거래</t>
        </is>
      </c>
      <c r="S1968" s="42" t="inlineStr">
        <is>
          <t>서울 서초구</t>
        </is>
      </c>
      <c r="T1968" s="41" t="inlineStr">
        <is>
          <t>26.02.05</t>
        </is>
      </c>
      <c r="U1968" s="42" t="inlineStr">
        <is>
          <t>아파트</t>
        </is>
      </c>
    </row>
    <row r="1969" hidden="1" ht="14.25" customHeight="1">
      <c r="A1969" s="41" t="n">
        <v>310</v>
      </c>
      <c r="B1969" s="42" t="inlineStr">
        <is>
          <t>서울특별시 서초구 서초동</t>
        </is>
      </c>
      <c r="C1969" s="41" t="inlineStr">
        <is>
          <t>1641-1</t>
        </is>
      </c>
      <c r="D1969" s="41" t="inlineStr">
        <is>
          <t>1641</t>
        </is>
      </c>
      <c r="E1969" s="41" t="inlineStr">
        <is>
          <t>0001</t>
        </is>
      </c>
      <c r="F1969" s="42" t="inlineStr">
        <is>
          <t>서초삼성래미안</t>
        </is>
      </c>
      <c r="G1969" s="41" t="inlineStr">
        <is>
          <t>121.6600</t>
        </is>
      </c>
      <c r="H1969" s="41" t="inlineStr">
        <is>
          <t>202510</t>
        </is>
      </c>
      <c r="I1969" s="41" t="inlineStr">
        <is>
          <t>20</t>
        </is>
      </c>
      <c r="J1969" s="41" t="inlineStr">
        <is>
          <t>280,000</t>
        </is>
      </c>
      <c r="K1969" s="41" t="inlineStr">
        <is>
          <t>102</t>
        </is>
      </c>
      <c r="L1969" s="41" t="inlineStr">
        <is>
          <t>15</t>
        </is>
      </c>
      <c r="M1969" s="42" t="inlineStr">
        <is>
          <t>개인</t>
        </is>
      </c>
      <c r="N1969" s="42" t="inlineStr">
        <is>
          <t>개인</t>
        </is>
      </c>
      <c r="O1969" s="41" t="inlineStr">
        <is>
          <t>2001</t>
        </is>
      </c>
      <c r="P1969" s="42" t="inlineStr">
        <is>
          <t>사임당로17길 116</t>
        </is>
      </c>
      <c r="Q1969" s="41" t="inlineStr">
        <is>
          <t>-</t>
        </is>
      </c>
      <c r="R1969" s="42" t="inlineStr">
        <is>
          <t>중개거래</t>
        </is>
      </c>
      <c r="S1969" s="42" t="inlineStr">
        <is>
          <t>서울 서초구</t>
        </is>
      </c>
      <c r="T1969" s="41" t="inlineStr">
        <is>
          <t>26.01.09</t>
        </is>
      </c>
      <c r="U1969" s="42" t="inlineStr">
        <is>
          <t>아파트</t>
        </is>
      </c>
    </row>
    <row r="1970" hidden="1" ht="14.25" customHeight="1">
      <c r="A1970" s="41" t="n">
        <v>311</v>
      </c>
      <c r="B1970" s="42" t="inlineStr">
        <is>
          <t>서울특별시 서초구 서초동</t>
        </is>
      </c>
      <c r="C1970" s="41" t="inlineStr">
        <is>
          <t>1582-3</t>
        </is>
      </c>
      <c r="D1970" s="41" t="inlineStr">
        <is>
          <t>1582</t>
        </is>
      </c>
      <c r="E1970" s="41" t="inlineStr">
        <is>
          <t>0003</t>
        </is>
      </c>
      <c r="F1970" s="42" t="inlineStr">
        <is>
          <t>서초센트럴IPARK</t>
        </is>
      </c>
      <c r="G1970" s="41" t="inlineStr">
        <is>
          <t>80.5098</t>
        </is>
      </c>
      <c r="H1970" s="41" t="inlineStr">
        <is>
          <t>202510</t>
        </is>
      </c>
      <c r="I1970" s="41" t="inlineStr">
        <is>
          <t>20</t>
        </is>
      </c>
      <c r="J1970" s="41" t="inlineStr">
        <is>
          <t>200,000</t>
        </is>
      </c>
      <c r="K1970" s="41" t="inlineStr">
        <is>
          <t>102동</t>
        </is>
      </c>
      <c r="L1970" s="41" t="inlineStr">
        <is>
          <t>26</t>
        </is>
      </c>
      <c r="M1970" s="42" t="inlineStr">
        <is>
          <t>개인</t>
        </is>
      </c>
      <c r="N1970" s="42" t="inlineStr">
        <is>
          <t>개인</t>
        </is>
      </c>
      <c r="O1970" s="41" t="inlineStr">
        <is>
          <t>2020</t>
        </is>
      </c>
      <c r="P1970" s="42" t="inlineStr">
        <is>
          <t>반포대로18길 36</t>
        </is>
      </c>
      <c r="Q1970" s="41" t="inlineStr">
        <is>
          <t>-</t>
        </is>
      </c>
      <c r="R1970" s="42" t="inlineStr">
        <is>
          <t>중개거래</t>
        </is>
      </c>
      <c r="S1970" s="42" t="inlineStr">
        <is>
          <t>서울 서초구</t>
        </is>
      </c>
      <c r="T1970" s="41" t="inlineStr">
        <is>
          <t>26.02.20</t>
        </is>
      </c>
      <c r="U1970" s="42" t="inlineStr">
        <is>
          <t>아파트</t>
        </is>
      </c>
    </row>
    <row r="1971" hidden="1" ht="14.25" customHeight="1">
      <c r="A1971" s="41" t="n">
        <v>312</v>
      </c>
      <c r="B1971" s="42" t="inlineStr">
        <is>
          <t>서울특별시 서초구 서초동</t>
        </is>
      </c>
      <c r="C1971" s="41" t="inlineStr">
        <is>
          <t>1616-10</t>
        </is>
      </c>
      <c r="D1971" s="41" t="inlineStr">
        <is>
          <t>1616</t>
        </is>
      </c>
      <c r="E1971" s="41" t="inlineStr">
        <is>
          <t>0010</t>
        </is>
      </c>
      <c r="F1971" s="42" t="inlineStr">
        <is>
          <t>서초극동스타클래스</t>
        </is>
      </c>
      <c r="G1971" s="41" t="inlineStr">
        <is>
          <t>84.3000</t>
        </is>
      </c>
      <c r="H1971" s="41" t="inlineStr">
        <is>
          <t>202510</t>
        </is>
      </c>
      <c r="I1971" s="41" t="inlineStr">
        <is>
          <t>20</t>
        </is>
      </c>
      <c r="J1971" s="41" t="inlineStr">
        <is>
          <t>165,000</t>
        </is>
      </c>
      <c r="K1971" s="41" t="inlineStr">
        <is>
          <t>101</t>
        </is>
      </c>
      <c r="L1971" s="41" t="inlineStr">
        <is>
          <t>6</t>
        </is>
      </c>
      <c r="M1971" s="42" t="inlineStr">
        <is>
          <t>개인</t>
        </is>
      </c>
      <c r="N1971" s="42" t="inlineStr">
        <is>
          <t>개인</t>
        </is>
      </c>
      <c r="O1971" s="41" t="inlineStr">
        <is>
          <t>2003</t>
        </is>
      </c>
      <c r="P1971" s="42" t="inlineStr">
        <is>
          <t>서리풀4길 43</t>
        </is>
      </c>
      <c r="Q1971" s="41" t="inlineStr">
        <is>
          <t>-</t>
        </is>
      </c>
      <c r="R1971" s="42" t="inlineStr">
        <is>
          <t>중개거래</t>
        </is>
      </c>
      <c r="S1971" s="42" t="inlineStr">
        <is>
          <t>서울 서초구</t>
        </is>
      </c>
      <c r="T1971" s="41" t="inlineStr">
        <is>
          <t>26.01.30</t>
        </is>
      </c>
      <c r="U1971" s="42" t="inlineStr">
        <is>
          <t>아파트</t>
        </is>
      </c>
    </row>
    <row r="1972" hidden="1" ht="14.25" customHeight="1">
      <c r="A1972" s="41" t="n">
        <v>313</v>
      </c>
      <c r="B1972" s="42" t="inlineStr">
        <is>
          <t>서울특별시 서초구 서초동</t>
        </is>
      </c>
      <c r="C1972" s="41" t="inlineStr">
        <is>
          <t>1641-13</t>
        </is>
      </c>
      <c r="D1972" s="41" t="inlineStr">
        <is>
          <t>1641</t>
        </is>
      </c>
      <c r="E1972" s="41" t="inlineStr">
        <is>
          <t>0013</t>
        </is>
      </c>
      <c r="F1972" s="42" t="inlineStr">
        <is>
          <t>아남</t>
        </is>
      </c>
      <c r="G1972" s="41" t="inlineStr">
        <is>
          <t>84.9600</t>
        </is>
      </c>
      <c r="H1972" s="41" t="inlineStr">
        <is>
          <t>202510</t>
        </is>
      </c>
      <c r="I1972" s="41" t="inlineStr">
        <is>
          <t>20</t>
        </is>
      </c>
      <c r="J1972" s="41" t="inlineStr">
        <is>
          <t>209,000</t>
        </is>
      </c>
      <c r="K1972" s="41" t="inlineStr">
        <is>
          <t>2</t>
        </is>
      </c>
      <c r="L1972" s="41" t="inlineStr">
        <is>
          <t>13</t>
        </is>
      </c>
      <c r="M1972" s="42" t="inlineStr">
        <is>
          <t>개인</t>
        </is>
      </c>
      <c r="N1972" s="42" t="inlineStr">
        <is>
          <t>개인</t>
        </is>
      </c>
      <c r="O1972" s="41" t="inlineStr">
        <is>
          <t>1989</t>
        </is>
      </c>
      <c r="P1972" s="42" t="inlineStr">
        <is>
          <t>사임당로23길 53</t>
        </is>
      </c>
      <c r="Q1972" s="41" t="inlineStr">
        <is>
          <t>-</t>
        </is>
      </c>
      <c r="R1972" s="42" t="inlineStr">
        <is>
          <t>중개거래</t>
        </is>
      </c>
      <c r="S1972" s="42" t="inlineStr">
        <is>
          <t>서울 서초구</t>
        </is>
      </c>
      <c r="T1972" s="41" t="inlineStr">
        <is>
          <t>26.01.16</t>
        </is>
      </c>
      <c r="U1972" s="42" t="inlineStr">
        <is>
          <t>아파트</t>
        </is>
      </c>
    </row>
    <row r="1973" hidden="1" ht="14.25" customHeight="1">
      <c r="A1973" s="41" t="n">
        <v>314</v>
      </c>
      <c r="B1973" s="42" t="inlineStr">
        <is>
          <t>서울특별시 서초구 서초동</t>
        </is>
      </c>
      <c r="C1973" s="41" t="inlineStr">
        <is>
          <t>1582-3</t>
        </is>
      </c>
      <c r="D1973" s="41" t="inlineStr">
        <is>
          <t>1582</t>
        </is>
      </c>
      <c r="E1973" s="41" t="inlineStr">
        <is>
          <t>0003</t>
        </is>
      </c>
      <c r="F1973" s="42" t="inlineStr">
        <is>
          <t>서초센트럴IPARK</t>
        </is>
      </c>
      <c r="G1973" s="41" t="inlineStr">
        <is>
          <t>80.5332</t>
        </is>
      </c>
      <c r="H1973" s="41" t="inlineStr">
        <is>
          <t>202510</t>
        </is>
      </c>
      <c r="I1973" s="41" t="inlineStr">
        <is>
          <t>19</t>
        </is>
      </c>
      <c r="J1973" s="41" t="inlineStr">
        <is>
          <t>190,000</t>
        </is>
      </c>
      <c r="K1973" s="41" t="inlineStr">
        <is>
          <t>101동</t>
        </is>
      </c>
      <c r="L1973" s="41" t="inlineStr">
        <is>
          <t>19</t>
        </is>
      </c>
      <c r="M1973" s="42" t="inlineStr">
        <is>
          <t>개인</t>
        </is>
      </c>
      <c r="N1973" s="42" t="inlineStr">
        <is>
          <t>개인</t>
        </is>
      </c>
      <c r="O1973" s="41" t="inlineStr">
        <is>
          <t>2020</t>
        </is>
      </c>
      <c r="P1973" s="42" t="inlineStr">
        <is>
          <t>반포대로18길 36</t>
        </is>
      </c>
      <c r="Q1973" s="41" t="inlineStr">
        <is>
          <t>-</t>
        </is>
      </c>
      <c r="R1973" s="42" t="inlineStr">
        <is>
          <t>중개거래</t>
        </is>
      </c>
      <c r="S1973" s="42" t="inlineStr">
        <is>
          <t>서울 서초구</t>
        </is>
      </c>
      <c r="T1973" s="41" t="inlineStr">
        <is>
          <t>26.02.25</t>
        </is>
      </c>
      <c r="U1973" s="42" t="inlineStr">
        <is>
          <t>아파트</t>
        </is>
      </c>
    </row>
    <row r="1974" hidden="1" ht="14.25" customHeight="1">
      <c r="A1974" s="41" t="n">
        <v>315</v>
      </c>
      <c r="B1974" s="42" t="inlineStr">
        <is>
          <t>서울특별시 서초구 서초동</t>
        </is>
      </c>
      <c r="C1974" s="41" t="inlineStr">
        <is>
          <t>1520-9</t>
        </is>
      </c>
      <c r="D1974" s="41" t="inlineStr">
        <is>
          <t>1520</t>
        </is>
      </c>
      <c r="E1974" s="41" t="inlineStr">
        <is>
          <t>0009</t>
        </is>
      </c>
      <c r="F1974" s="42" t="inlineStr">
        <is>
          <t>레미안서초6차(1520-9)</t>
        </is>
      </c>
      <c r="G1974" s="41" t="inlineStr">
        <is>
          <t>138.4100</t>
        </is>
      </c>
      <c r="H1974" s="41" t="inlineStr">
        <is>
          <t>202510</t>
        </is>
      </c>
      <c r="I1974" s="41" t="inlineStr">
        <is>
          <t>18</t>
        </is>
      </c>
      <c r="J1974" s="41" t="inlineStr">
        <is>
          <t>216,000</t>
        </is>
      </c>
      <c r="K1974" s="41" t="inlineStr">
        <is>
          <t>601</t>
        </is>
      </c>
      <c r="L1974" s="41" t="inlineStr">
        <is>
          <t>1</t>
        </is>
      </c>
      <c r="M1974" s="42" t="inlineStr">
        <is>
          <t>개인</t>
        </is>
      </c>
      <c r="N1974" s="42" t="inlineStr">
        <is>
          <t>개인</t>
        </is>
      </c>
      <c r="O1974" s="41" t="inlineStr">
        <is>
          <t>2006</t>
        </is>
      </c>
      <c r="P1974" s="42" t="inlineStr">
        <is>
          <t>반포대로21길 74</t>
        </is>
      </c>
      <c r="Q1974" s="41" t="inlineStr">
        <is>
          <t>-</t>
        </is>
      </c>
      <c r="R1974" s="42" t="inlineStr">
        <is>
          <t>중개거래</t>
        </is>
      </c>
      <c r="S1974" s="42" t="inlineStr">
        <is>
          <t>서울 서초구</t>
        </is>
      </c>
      <c r="T1974" s="41" t="inlineStr">
        <is>
          <t>26.01.29</t>
        </is>
      </c>
      <c r="U1974" s="42" t="inlineStr">
        <is>
          <t>아파트</t>
        </is>
      </c>
    </row>
    <row r="1975" hidden="1" ht="14.25" customHeight="1">
      <c r="A1975" s="41" t="n">
        <v>316</v>
      </c>
      <c r="B1975" s="42" t="inlineStr">
        <is>
          <t>서울특별시 서초구 서초동</t>
        </is>
      </c>
      <c r="C1975" s="41" t="inlineStr">
        <is>
          <t>1582-3</t>
        </is>
      </c>
      <c r="D1975" s="41" t="inlineStr">
        <is>
          <t>1582</t>
        </is>
      </c>
      <c r="E1975" s="41" t="inlineStr">
        <is>
          <t>0003</t>
        </is>
      </c>
      <c r="F1975" s="42" t="inlineStr">
        <is>
          <t>서초센트럴IPARK</t>
        </is>
      </c>
      <c r="G1975" s="41" t="inlineStr">
        <is>
          <t>80.5332</t>
        </is>
      </c>
      <c r="H1975" s="41" t="inlineStr">
        <is>
          <t>202510</t>
        </is>
      </c>
      <c r="I1975" s="41" t="inlineStr">
        <is>
          <t>18</t>
        </is>
      </c>
      <c r="J1975" s="41" t="inlineStr">
        <is>
          <t>195,000</t>
        </is>
      </c>
      <c r="K1975" s="41" t="inlineStr">
        <is>
          <t>101동</t>
        </is>
      </c>
      <c r="L1975" s="41" t="inlineStr">
        <is>
          <t>21</t>
        </is>
      </c>
      <c r="M1975" s="42" t="inlineStr">
        <is>
          <t>개인</t>
        </is>
      </c>
      <c r="N1975" s="42" t="inlineStr">
        <is>
          <t>개인</t>
        </is>
      </c>
      <c r="O1975" s="41" t="inlineStr">
        <is>
          <t>2020</t>
        </is>
      </c>
      <c r="P1975" s="42" t="inlineStr">
        <is>
          <t>반포대로18길 36</t>
        </is>
      </c>
      <c r="Q1975" s="41" t="inlineStr">
        <is>
          <t>-</t>
        </is>
      </c>
      <c r="R1975" s="42" t="inlineStr">
        <is>
          <t>중개거래</t>
        </is>
      </c>
      <c r="S1975" s="42" t="inlineStr">
        <is>
          <t>서울 서초구</t>
        </is>
      </c>
      <c r="T1975" s="41" t="inlineStr">
        <is>
          <t>26.01.16</t>
        </is>
      </c>
      <c r="U1975" s="42" t="inlineStr">
        <is>
          <t>아파트</t>
        </is>
      </c>
    </row>
    <row r="1976" hidden="1" ht="14.25" customHeight="1">
      <c r="A1976" s="41" t="n">
        <v>317</v>
      </c>
      <c r="B1976" s="42" t="inlineStr">
        <is>
          <t>서울특별시 서초구 서초동</t>
        </is>
      </c>
      <c r="C1976" s="41" t="inlineStr">
        <is>
          <t>1337-22</t>
        </is>
      </c>
      <c r="D1976" s="41" t="inlineStr">
        <is>
          <t>1337</t>
        </is>
      </c>
      <c r="E1976" s="41" t="inlineStr">
        <is>
          <t>0022</t>
        </is>
      </c>
      <c r="F1976" s="42" t="inlineStr">
        <is>
          <t>서초동대우디오빌프라임</t>
        </is>
      </c>
      <c r="G1976" s="41" t="inlineStr">
        <is>
          <t>84.9700</t>
        </is>
      </c>
      <c r="H1976" s="41" t="inlineStr">
        <is>
          <t>202510</t>
        </is>
      </c>
      <c r="I1976" s="41" t="inlineStr">
        <is>
          <t>18</t>
        </is>
      </c>
      <c r="J1976" s="41" t="inlineStr">
        <is>
          <t>125,000</t>
        </is>
      </c>
      <c r="K1976" s="41" t="inlineStr">
        <is>
          <t>-</t>
        </is>
      </c>
      <c r="L1976" s="41" t="inlineStr">
        <is>
          <t>14</t>
        </is>
      </c>
      <c r="M1976" s="42" t="inlineStr">
        <is>
          <t>개인</t>
        </is>
      </c>
      <c r="N1976" s="42" t="inlineStr">
        <is>
          <t>개인</t>
        </is>
      </c>
      <c r="O1976" s="41" t="inlineStr">
        <is>
          <t>2005</t>
        </is>
      </c>
      <c r="P1976" s="42" t="inlineStr">
        <is>
          <t>강남대로 321</t>
        </is>
      </c>
      <c r="Q1976" s="41" t="inlineStr">
        <is>
          <t>-</t>
        </is>
      </c>
      <c r="R1976" s="42" t="inlineStr">
        <is>
          <t>중개거래</t>
        </is>
      </c>
      <c r="S1976" s="42" t="inlineStr">
        <is>
          <t>서울 서초구</t>
        </is>
      </c>
      <c r="T1976" s="41" t="inlineStr">
        <is>
          <t>-</t>
        </is>
      </c>
      <c r="U1976" s="42" t="inlineStr">
        <is>
          <t>아파트</t>
        </is>
      </c>
    </row>
    <row r="1977" hidden="1" ht="14.25" customHeight="1">
      <c r="A1977" s="41" t="n">
        <v>318</v>
      </c>
      <c r="B1977" s="42" t="inlineStr">
        <is>
          <t>서울특별시 서초구 서초동</t>
        </is>
      </c>
      <c r="C1977" s="41" t="inlineStr">
        <is>
          <t>1685-3</t>
        </is>
      </c>
      <c r="D1977" s="41" t="inlineStr">
        <is>
          <t>1685</t>
        </is>
      </c>
      <c r="E1977" s="41" t="inlineStr">
        <is>
          <t>0003</t>
        </is>
      </c>
      <c r="F1977" s="42" t="inlineStr">
        <is>
          <t>아크로비스타</t>
        </is>
      </c>
      <c r="G1977" s="41" t="inlineStr">
        <is>
          <t>149.8400</t>
        </is>
      </c>
      <c r="H1977" s="41" t="inlineStr">
        <is>
          <t>202510</t>
        </is>
      </c>
      <c r="I1977" s="41" t="inlineStr">
        <is>
          <t>17</t>
        </is>
      </c>
      <c r="J1977" s="41" t="inlineStr">
        <is>
          <t>340,000</t>
        </is>
      </c>
      <c r="K1977" s="41" t="inlineStr">
        <is>
          <t>A</t>
        </is>
      </c>
      <c r="L1977" s="41" t="inlineStr">
        <is>
          <t>9</t>
        </is>
      </c>
      <c r="M1977" s="42" t="inlineStr">
        <is>
          <t>개인</t>
        </is>
      </c>
      <c r="N1977" s="42" t="inlineStr">
        <is>
          <t>개인</t>
        </is>
      </c>
      <c r="O1977" s="41" t="inlineStr">
        <is>
          <t>2004</t>
        </is>
      </c>
      <c r="P1977" s="42" t="inlineStr">
        <is>
          <t>서초중앙로 188</t>
        </is>
      </c>
      <c r="Q1977" s="41" t="inlineStr">
        <is>
          <t>-</t>
        </is>
      </c>
      <c r="R1977" s="42" t="inlineStr">
        <is>
          <t>중개거래</t>
        </is>
      </c>
      <c r="S1977" s="42" t="inlineStr">
        <is>
          <t>서울 서초구</t>
        </is>
      </c>
      <c r="T1977" s="41" t="inlineStr">
        <is>
          <t>25.12.15</t>
        </is>
      </c>
      <c r="U1977" s="42" t="inlineStr">
        <is>
          <t>아파트</t>
        </is>
      </c>
    </row>
    <row r="1978" hidden="1" ht="14.25" customHeight="1">
      <c r="A1978" s="41" t="n">
        <v>319</v>
      </c>
      <c r="B1978" s="42" t="inlineStr">
        <is>
          <t>서울특별시 서초구 서초동</t>
        </is>
      </c>
      <c r="C1978" s="41" t="inlineStr">
        <is>
          <t>1330</t>
        </is>
      </c>
      <c r="D1978" s="41" t="inlineStr">
        <is>
          <t>1330</t>
        </is>
      </c>
      <c r="E1978" s="41" t="inlineStr">
        <is>
          <t>0000</t>
        </is>
      </c>
      <c r="F1978" s="42" t="inlineStr">
        <is>
          <t>서초동삼성쉐르빌2</t>
        </is>
      </c>
      <c r="G1978" s="41" t="inlineStr">
        <is>
          <t>70.4900</t>
        </is>
      </c>
      <c r="H1978" s="41" t="inlineStr">
        <is>
          <t>202510</t>
        </is>
      </c>
      <c r="I1978" s="41" t="inlineStr">
        <is>
          <t>17</t>
        </is>
      </c>
      <c r="J1978" s="41" t="inlineStr">
        <is>
          <t>96,000</t>
        </is>
      </c>
      <c r="K1978" s="41" t="inlineStr">
        <is>
          <t>-</t>
        </is>
      </c>
      <c r="L1978" s="41" t="inlineStr">
        <is>
          <t>19</t>
        </is>
      </c>
      <c r="M1978" s="42" t="inlineStr">
        <is>
          <t>개인</t>
        </is>
      </c>
      <c r="N1978" s="42" t="inlineStr">
        <is>
          <t>개인</t>
        </is>
      </c>
      <c r="O1978" s="41" t="inlineStr">
        <is>
          <t>2002</t>
        </is>
      </c>
      <c r="P1978" s="42" t="inlineStr">
        <is>
          <t>강남대로53길 11</t>
        </is>
      </c>
      <c r="Q1978" s="41" t="inlineStr">
        <is>
          <t>-</t>
        </is>
      </c>
      <c r="R1978" s="42" t="inlineStr">
        <is>
          <t>중개거래</t>
        </is>
      </c>
      <c r="S1978" s="42" t="inlineStr">
        <is>
          <t>서울 서초구</t>
        </is>
      </c>
      <c r="T1978" s="41" t="inlineStr">
        <is>
          <t>25.12.23</t>
        </is>
      </c>
      <c r="U1978" s="42" t="inlineStr">
        <is>
          <t>아파트</t>
        </is>
      </c>
    </row>
    <row r="1979" hidden="1" ht="14.25" customHeight="1">
      <c r="A1979" s="41" t="n">
        <v>320</v>
      </c>
      <c r="B1979" s="42" t="inlineStr">
        <is>
          <t>서울특별시 서초구 서초동</t>
        </is>
      </c>
      <c r="C1979" s="41" t="inlineStr">
        <is>
          <t>1593-7</t>
        </is>
      </c>
      <c r="D1979" s="41" t="inlineStr">
        <is>
          <t>1593</t>
        </is>
      </c>
      <c r="E1979" s="41" t="inlineStr">
        <is>
          <t>0007</t>
        </is>
      </c>
      <c r="F1979" s="42" t="inlineStr">
        <is>
          <t>서초이오빌</t>
        </is>
      </c>
      <c r="G1979" s="41" t="inlineStr">
        <is>
          <t>36.6600</t>
        </is>
      </c>
      <c r="H1979" s="41" t="inlineStr">
        <is>
          <t>202510</t>
        </is>
      </c>
      <c r="I1979" s="41" t="inlineStr">
        <is>
          <t>17</t>
        </is>
      </c>
      <c r="J1979" s="41" t="inlineStr">
        <is>
          <t>30,000</t>
        </is>
      </c>
      <c r="K1979" s="41" t="inlineStr">
        <is>
          <t>-</t>
        </is>
      </c>
      <c r="L1979" s="41" t="inlineStr">
        <is>
          <t>13</t>
        </is>
      </c>
      <c r="M1979" s="42" t="inlineStr">
        <is>
          <t>개인</t>
        </is>
      </c>
      <c r="N1979" s="42" t="inlineStr">
        <is>
          <t>개인</t>
        </is>
      </c>
      <c r="O1979" s="41" t="inlineStr">
        <is>
          <t>2003</t>
        </is>
      </c>
      <c r="P1979" s="42" t="inlineStr">
        <is>
          <t>효령로53길 45</t>
        </is>
      </c>
      <c r="Q1979" s="41" t="inlineStr">
        <is>
          <t>-</t>
        </is>
      </c>
      <c r="R1979" s="42" t="inlineStr">
        <is>
          <t>중개거래</t>
        </is>
      </c>
      <c r="S1979" s="42" t="inlineStr">
        <is>
          <t>서울 서초구</t>
        </is>
      </c>
      <c r="T1979" s="41" t="inlineStr">
        <is>
          <t>25.11.05</t>
        </is>
      </c>
      <c r="U1979" s="42" t="inlineStr">
        <is>
          <t>아파트</t>
        </is>
      </c>
    </row>
    <row r="1980" hidden="1" ht="14.25" customHeight="1">
      <c r="A1980" s="41" t="n">
        <v>321</v>
      </c>
      <c r="B1980" s="42" t="inlineStr">
        <is>
          <t>서울특별시 서초구 서초동</t>
        </is>
      </c>
      <c r="C1980" s="41" t="inlineStr">
        <is>
          <t>1582-3</t>
        </is>
      </c>
      <c r="D1980" s="41" t="inlineStr">
        <is>
          <t>1582</t>
        </is>
      </c>
      <c r="E1980" s="41" t="inlineStr">
        <is>
          <t>0003</t>
        </is>
      </c>
      <c r="F1980" s="42" t="inlineStr">
        <is>
          <t>서초센트럴IPARK</t>
        </is>
      </c>
      <c r="G1980" s="41" t="inlineStr">
        <is>
          <t>80.5004</t>
        </is>
      </c>
      <c r="H1980" s="41" t="inlineStr">
        <is>
          <t>202510</t>
        </is>
      </c>
      <c r="I1980" s="41" t="inlineStr">
        <is>
          <t>17</t>
        </is>
      </c>
      <c r="J1980" s="41" t="inlineStr">
        <is>
          <t>189,500</t>
        </is>
      </c>
      <c r="K1980" s="41" t="inlineStr">
        <is>
          <t>102동</t>
        </is>
      </c>
      <c r="L1980" s="41" t="inlineStr">
        <is>
          <t>9</t>
        </is>
      </c>
      <c r="M1980" s="42" t="inlineStr">
        <is>
          <t>개인</t>
        </is>
      </c>
      <c r="N1980" s="42" t="inlineStr">
        <is>
          <t>개인</t>
        </is>
      </c>
      <c r="O1980" s="41" t="inlineStr">
        <is>
          <t>2020</t>
        </is>
      </c>
      <c r="P1980" s="42" t="inlineStr">
        <is>
          <t>반포대로18길 36</t>
        </is>
      </c>
      <c r="Q1980" s="41" t="inlineStr">
        <is>
          <t>-</t>
        </is>
      </c>
      <c r="R1980" s="42" t="inlineStr">
        <is>
          <t>중개거래</t>
        </is>
      </c>
      <c r="S1980" s="42" t="inlineStr">
        <is>
          <t>경기 포천시, 서울 서초구</t>
        </is>
      </c>
      <c r="T1980" s="41" t="inlineStr">
        <is>
          <t>26.02.26</t>
        </is>
      </c>
      <c r="U1980" s="42" t="inlineStr">
        <is>
          <t>아파트</t>
        </is>
      </c>
    </row>
    <row r="1981" hidden="1" ht="14.25" customHeight="1">
      <c r="A1981" s="41" t="n">
        <v>322</v>
      </c>
      <c r="B1981" s="42" t="inlineStr">
        <is>
          <t>서울특별시 서초구 서초동</t>
        </is>
      </c>
      <c r="C1981" s="41" t="inlineStr">
        <is>
          <t>1593-7</t>
        </is>
      </c>
      <c r="D1981" s="41" t="inlineStr">
        <is>
          <t>1593</t>
        </is>
      </c>
      <c r="E1981" s="41" t="inlineStr">
        <is>
          <t>0007</t>
        </is>
      </c>
      <c r="F1981" s="42" t="inlineStr">
        <is>
          <t>서초이오빌</t>
        </is>
      </c>
      <c r="G1981" s="41" t="inlineStr">
        <is>
          <t>45.9600</t>
        </is>
      </c>
      <c r="H1981" s="41" t="inlineStr">
        <is>
          <t>202510</t>
        </is>
      </c>
      <c r="I1981" s="41" t="inlineStr">
        <is>
          <t>17</t>
        </is>
      </c>
      <c r="J1981" s="41" t="inlineStr">
        <is>
          <t>41,000</t>
        </is>
      </c>
      <c r="K1981" s="41" t="inlineStr">
        <is>
          <t>-</t>
        </is>
      </c>
      <c r="L1981" s="41" t="inlineStr">
        <is>
          <t>9</t>
        </is>
      </c>
      <c r="M1981" s="42" t="inlineStr">
        <is>
          <t>개인</t>
        </is>
      </c>
      <c r="N1981" s="42" t="inlineStr">
        <is>
          <t>개인</t>
        </is>
      </c>
      <c r="O1981" s="41" t="inlineStr">
        <is>
          <t>2003</t>
        </is>
      </c>
      <c r="P1981" s="42" t="inlineStr">
        <is>
          <t>효령로53길 45</t>
        </is>
      </c>
      <c r="Q1981" s="41" t="inlineStr">
        <is>
          <t>-</t>
        </is>
      </c>
      <c r="R1981" s="42" t="inlineStr">
        <is>
          <t>중개거래</t>
        </is>
      </c>
      <c r="S1981" s="42" t="inlineStr">
        <is>
          <t>서울 강동구, 서울 서초구</t>
        </is>
      </c>
      <c r="T1981" s="41" t="inlineStr">
        <is>
          <t>25.11.04</t>
        </is>
      </c>
      <c r="U1981" s="42" t="inlineStr">
        <is>
          <t>아파트</t>
        </is>
      </c>
    </row>
    <row r="1982" hidden="1" ht="14.25" customHeight="1">
      <c r="A1982" s="41" t="n">
        <v>323</v>
      </c>
      <c r="B1982" s="42" t="inlineStr">
        <is>
          <t>서울특별시 서초구 서초동</t>
        </is>
      </c>
      <c r="C1982" s="41" t="inlineStr">
        <is>
          <t>1582-3</t>
        </is>
      </c>
      <c r="D1982" s="41" t="inlineStr">
        <is>
          <t>1582</t>
        </is>
      </c>
      <c r="E1982" s="41" t="inlineStr">
        <is>
          <t>0003</t>
        </is>
      </c>
      <c r="F1982" s="42" t="inlineStr">
        <is>
          <t>서초센트럴IPARK</t>
        </is>
      </c>
      <c r="G1982" s="41" t="inlineStr">
        <is>
          <t>80.5004</t>
        </is>
      </c>
      <c r="H1982" s="41" t="inlineStr">
        <is>
          <t>202510</t>
        </is>
      </c>
      <c r="I1982" s="41" t="inlineStr">
        <is>
          <t>17</t>
        </is>
      </c>
      <c r="J1982" s="41" t="inlineStr">
        <is>
          <t>189,500</t>
        </is>
      </c>
      <c r="K1982" s="41" t="inlineStr">
        <is>
          <t>-</t>
        </is>
      </c>
      <c r="L1982" s="41" t="inlineStr">
        <is>
          <t>9</t>
        </is>
      </c>
      <c r="M1982" s="42" t="inlineStr">
        <is>
          <t>개인</t>
        </is>
      </c>
      <c r="N1982" s="42" t="inlineStr">
        <is>
          <t>개인</t>
        </is>
      </c>
      <c r="O1982" s="41" t="inlineStr">
        <is>
          <t>2020</t>
        </is>
      </c>
      <c r="P1982" s="42" t="inlineStr">
        <is>
          <t>반포대로18길 36</t>
        </is>
      </c>
      <c r="Q1982" s="41" t="inlineStr">
        <is>
          <t>20251114</t>
        </is>
      </c>
      <c r="R1982" s="42" t="inlineStr">
        <is>
          <t>중개거래</t>
        </is>
      </c>
      <c r="S1982" s="42" t="inlineStr">
        <is>
          <t>서울 서초구</t>
        </is>
      </c>
      <c r="T1982" s="41" t="inlineStr">
        <is>
          <t>-</t>
        </is>
      </c>
      <c r="U1982" s="42" t="inlineStr">
        <is>
          <t>아파트</t>
        </is>
      </c>
    </row>
    <row r="1983" hidden="1" ht="14.25" customHeight="1">
      <c r="A1983" s="41" t="n">
        <v>324</v>
      </c>
      <c r="B1983" s="42" t="inlineStr">
        <is>
          <t>서울특별시 서초구 서초동</t>
        </is>
      </c>
      <c r="C1983" s="41" t="inlineStr">
        <is>
          <t>1311-10</t>
        </is>
      </c>
      <c r="D1983" s="41" t="inlineStr">
        <is>
          <t>1311</t>
        </is>
      </c>
      <c r="E1983" s="41" t="inlineStr">
        <is>
          <t>0010</t>
        </is>
      </c>
      <c r="F1983" s="42" t="inlineStr">
        <is>
          <t>서초푸르지오써밋</t>
        </is>
      </c>
      <c r="G1983" s="41" t="inlineStr">
        <is>
          <t>120.9800</t>
        </is>
      </c>
      <c r="H1983" s="41" t="inlineStr">
        <is>
          <t>202510</t>
        </is>
      </c>
      <c r="I1983" s="41" t="inlineStr">
        <is>
          <t>16</t>
        </is>
      </c>
      <c r="J1983" s="41" t="inlineStr">
        <is>
          <t>420,000</t>
        </is>
      </c>
      <c r="K1983" s="41" t="inlineStr">
        <is>
          <t>201</t>
        </is>
      </c>
      <c r="L1983" s="41" t="inlineStr">
        <is>
          <t>6</t>
        </is>
      </c>
      <c r="M1983" s="42" t="inlineStr">
        <is>
          <t>개인</t>
        </is>
      </c>
      <c r="N1983" s="42" t="inlineStr">
        <is>
          <t>개인</t>
        </is>
      </c>
      <c r="O1983" s="41" t="inlineStr">
        <is>
          <t>2017</t>
        </is>
      </c>
      <c r="P1983" s="42" t="inlineStr">
        <is>
          <t>서운로 212</t>
        </is>
      </c>
      <c r="Q1983" s="41" t="inlineStr">
        <is>
          <t>-</t>
        </is>
      </c>
      <c r="R1983" s="42" t="inlineStr">
        <is>
          <t>중개거래</t>
        </is>
      </c>
      <c r="S1983" s="42" t="inlineStr">
        <is>
          <t>서울 강남구, 서울 서초구</t>
        </is>
      </c>
      <c r="T1983" s="41" t="inlineStr">
        <is>
          <t>26.01.09</t>
        </is>
      </c>
      <c r="U1983" s="42" t="inlineStr">
        <is>
          <t>아파트</t>
        </is>
      </c>
    </row>
    <row r="1984" hidden="1" ht="14.25" customHeight="1">
      <c r="A1984" s="41" t="n">
        <v>325</v>
      </c>
      <c r="B1984" s="42" t="inlineStr">
        <is>
          <t>서울특별시 서초구 서초동</t>
        </is>
      </c>
      <c r="C1984" s="41" t="inlineStr">
        <is>
          <t>1330</t>
        </is>
      </c>
      <c r="D1984" s="41" t="inlineStr">
        <is>
          <t>1330</t>
        </is>
      </c>
      <c r="E1984" s="41" t="inlineStr">
        <is>
          <t>0000</t>
        </is>
      </c>
      <c r="F1984" s="42" t="inlineStr">
        <is>
          <t>서초동삼성쉐르빌2</t>
        </is>
      </c>
      <c r="G1984" s="41" t="inlineStr">
        <is>
          <t>35.2200</t>
        </is>
      </c>
      <c r="H1984" s="41" t="inlineStr">
        <is>
          <t>202510</t>
        </is>
      </c>
      <c r="I1984" s="41" t="inlineStr">
        <is>
          <t>16</t>
        </is>
      </c>
      <c r="J1984" s="41" t="inlineStr">
        <is>
          <t>29,000</t>
        </is>
      </c>
      <c r="K1984" s="41" t="inlineStr">
        <is>
          <t>-</t>
        </is>
      </c>
      <c r="L1984" s="41" t="inlineStr">
        <is>
          <t>10</t>
        </is>
      </c>
      <c r="M1984" s="42" t="inlineStr">
        <is>
          <t>개인</t>
        </is>
      </c>
      <c r="N1984" s="42" t="inlineStr">
        <is>
          <t>개인</t>
        </is>
      </c>
      <c r="O1984" s="41" t="inlineStr">
        <is>
          <t>2002</t>
        </is>
      </c>
      <c r="P1984" s="42" t="inlineStr">
        <is>
          <t>강남대로53길 11</t>
        </is>
      </c>
      <c r="Q1984" s="41" t="inlineStr">
        <is>
          <t>-</t>
        </is>
      </c>
      <c r="R1984" s="42" t="inlineStr">
        <is>
          <t>중개거래</t>
        </is>
      </c>
      <c r="S1984" s="42" t="inlineStr">
        <is>
          <t>서울 서초구</t>
        </is>
      </c>
      <c r="T1984" s="41" t="inlineStr">
        <is>
          <t>25.12.03</t>
        </is>
      </c>
      <c r="U1984" s="42" t="inlineStr">
        <is>
          <t>아파트</t>
        </is>
      </c>
    </row>
    <row r="1985" hidden="1" ht="14.25" customHeight="1">
      <c r="A1985" s="41" t="n">
        <v>326</v>
      </c>
      <c r="B1985" s="42" t="inlineStr">
        <is>
          <t>서울특별시 서초구 서초동</t>
        </is>
      </c>
      <c r="C1985" s="41" t="inlineStr">
        <is>
          <t>1641-1</t>
        </is>
      </c>
      <c r="D1985" s="41" t="inlineStr">
        <is>
          <t>1641</t>
        </is>
      </c>
      <c r="E1985" s="41" t="inlineStr">
        <is>
          <t>0001</t>
        </is>
      </c>
      <c r="F1985" s="42" t="inlineStr">
        <is>
          <t>서초삼성래미안</t>
        </is>
      </c>
      <c r="G1985" s="41" t="inlineStr">
        <is>
          <t>84.9700</t>
        </is>
      </c>
      <c r="H1985" s="41" t="inlineStr">
        <is>
          <t>202510</t>
        </is>
      </c>
      <c r="I1985" s="41" t="inlineStr">
        <is>
          <t>16</t>
        </is>
      </c>
      <c r="J1985" s="41" t="inlineStr">
        <is>
          <t>250,000</t>
        </is>
      </c>
      <c r="K1985" s="41" t="inlineStr">
        <is>
          <t>101</t>
        </is>
      </c>
      <c r="L1985" s="41" t="inlineStr">
        <is>
          <t>15</t>
        </is>
      </c>
      <c r="M1985" s="42" t="inlineStr">
        <is>
          <t>개인</t>
        </is>
      </c>
      <c r="N1985" s="42" t="inlineStr">
        <is>
          <t>개인</t>
        </is>
      </c>
      <c r="O1985" s="41" t="inlineStr">
        <is>
          <t>2001</t>
        </is>
      </c>
      <c r="P1985" s="42" t="inlineStr">
        <is>
          <t>사임당로17길 116</t>
        </is>
      </c>
      <c r="Q1985" s="41" t="inlineStr">
        <is>
          <t>-</t>
        </is>
      </c>
      <c r="R1985" s="42" t="inlineStr">
        <is>
          <t>중개거래</t>
        </is>
      </c>
      <c r="S1985" s="42" t="inlineStr">
        <is>
          <t>서울 서초구</t>
        </is>
      </c>
      <c r="T1985" s="41" t="inlineStr">
        <is>
          <t>25.12.29</t>
        </is>
      </c>
      <c r="U1985" s="42" t="inlineStr">
        <is>
          <t>아파트</t>
        </is>
      </c>
    </row>
    <row r="1986" hidden="1" ht="14.25" customHeight="1">
      <c r="A1986" s="41" t="n">
        <v>327</v>
      </c>
      <c r="B1986" s="42" t="inlineStr">
        <is>
          <t>서울특별시 서초구 서초동</t>
        </is>
      </c>
      <c r="C1986" s="41" t="inlineStr">
        <is>
          <t>1310-4</t>
        </is>
      </c>
      <c r="D1986" s="41" t="inlineStr">
        <is>
          <t>1310</t>
        </is>
      </c>
      <c r="E1986" s="41" t="inlineStr">
        <is>
          <t>0004</t>
        </is>
      </c>
      <c r="F1986" s="42" t="inlineStr">
        <is>
          <t>서초두산위브트레지움</t>
        </is>
      </c>
      <c r="G1986" s="41" t="inlineStr">
        <is>
          <t>84.6200</t>
        </is>
      </c>
      <c r="H1986" s="41" t="inlineStr">
        <is>
          <t>202510</t>
        </is>
      </c>
      <c r="I1986" s="41" t="inlineStr">
        <is>
          <t>14</t>
        </is>
      </c>
      <c r="J1986" s="41" t="inlineStr">
        <is>
          <t>261,000</t>
        </is>
      </c>
      <c r="K1986" s="41" t="inlineStr">
        <is>
          <t>101</t>
        </is>
      </c>
      <c r="L1986" s="41" t="inlineStr">
        <is>
          <t>12</t>
        </is>
      </c>
      <c r="M1986" s="42" t="inlineStr">
        <is>
          <t>개인</t>
        </is>
      </c>
      <c r="N1986" s="42" t="inlineStr">
        <is>
          <t>개인</t>
        </is>
      </c>
      <c r="O1986" s="41" t="inlineStr">
        <is>
          <t>2008</t>
        </is>
      </c>
      <c r="P1986" s="42" t="inlineStr">
        <is>
          <t>서운로 194</t>
        </is>
      </c>
      <c r="Q1986" s="41" t="inlineStr">
        <is>
          <t>-</t>
        </is>
      </c>
      <c r="R1986" s="42" t="inlineStr">
        <is>
          <t>중개거래</t>
        </is>
      </c>
      <c r="S1986" s="42" t="inlineStr">
        <is>
          <t>서울 서초구</t>
        </is>
      </c>
      <c r="T1986" s="41" t="inlineStr">
        <is>
          <t>26.01.20</t>
        </is>
      </c>
      <c r="U1986" s="42" t="inlineStr">
        <is>
          <t>아파트</t>
        </is>
      </c>
    </row>
    <row r="1987" hidden="1" ht="14.25" customHeight="1">
      <c r="A1987" s="41" t="n">
        <v>328</v>
      </c>
      <c r="B1987" s="42" t="inlineStr">
        <is>
          <t>서울특별시 서초구 서초동</t>
        </is>
      </c>
      <c r="C1987" s="41" t="inlineStr">
        <is>
          <t>1542-6</t>
        </is>
      </c>
      <c r="D1987" s="41" t="inlineStr">
        <is>
          <t>1542</t>
        </is>
      </c>
      <c r="E1987" s="41" t="inlineStr">
        <is>
          <t>0006</t>
        </is>
      </c>
      <c r="F1987" s="42" t="inlineStr">
        <is>
          <t>현대ESA2</t>
        </is>
      </c>
      <c r="G1987" s="41" t="inlineStr">
        <is>
          <t>136.2500</t>
        </is>
      </c>
      <c r="H1987" s="41" t="inlineStr">
        <is>
          <t>202510</t>
        </is>
      </c>
      <c r="I1987" s="41" t="inlineStr">
        <is>
          <t>14</t>
        </is>
      </c>
      <c r="J1987" s="41" t="inlineStr">
        <is>
          <t>180,000</t>
        </is>
      </c>
      <c r="K1987" s="41" t="inlineStr">
        <is>
          <t>A</t>
        </is>
      </c>
      <c r="L1987" s="41" t="inlineStr">
        <is>
          <t>7</t>
        </is>
      </c>
      <c r="M1987" s="42" t="inlineStr">
        <is>
          <t>개인</t>
        </is>
      </c>
      <c r="N1987" s="42" t="inlineStr">
        <is>
          <t>개인</t>
        </is>
      </c>
      <c r="O1987" s="41" t="inlineStr">
        <is>
          <t>2003</t>
        </is>
      </c>
      <c r="P1987" s="42" t="inlineStr">
        <is>
          <t>반포대로 122</t>
        </is>
      </c>
      <c r="Q1987" s="41" t="inlineStr">
        <is>
          <t>-</t>
        </is>
      </c>
      <c r="R1987" s="42" t="inlineStr">
        <is>
          <t>중개거래</t>
        </is>
      </c>
      <c r="S1987" s="42" t="inlineStr">
        <is>
          <t>서울 서초구</t>
        </is>
      </c>
      <c r="T1987" s="41" t="inlineStr">
        <is>
          <t>26.01.15</t>
        </is>
      </c>
      <c r="U1987" s="42" t="inlineStr">
        <is>
          <t>아파트</t>
        </is>
      </c>
    </row>
    <row r="1988" hidden="1" ht="14.25" customHeight="1">
      <c r="A1988" s="41" t="n">
        <v>329</v>
      </c>
      <c r="B1988" s="42" t="inlineStr">
        <is>
          <t>서울특별시 서초구 서초동</t>
        </is>
      </c>
      <c r="C1988" s="41" t="inlineStr">
        <is>
          <t>1445-4</t>
        </is>
      </c>
      <c r="D1988" s="41" t="inlineStr">
        <is>
          <t>1445</t>
        </is>
      </c>
      <c r="E1988" s="41" t="inlineStr">
        <is>
          <t>0004</t>
        </is>
      </c>
      <c r="F1988" s="42" t="inlineStr">
        <is>
          <t>래미안서초유니빌</t>
        </is>
      </c>
      <c r="G1988" s="41" t="inlineStr">
        <is>
          <t>66.4150</t>
        </is>
      </c>
      <c r="H1988" s="41" t="inlineStr">
        <is>
          <t>202510</t>
        </is>
      </c>
      <c r="I1988" s="41" t="inlineStr">
        <is>
          <t>14</t>
        </is>
      </c>
      <c r="J1988" s="41" t="inlineStr">
        <is>
          <t>86,000</t>
        </is>
      </c>
      <c r="K1988" s="42" t="inlineStr">
        <is>
          <t>래미안 서초유니빌</t>
        </is>
      </c>
      <c r="L1988" s="41" t="inlineStr">
        <is>
          <t>14</t>
        </is>
      </c>
      <c r="M1988" s="42" t="inlineStr">
        <is>
          <t>개인</t>
        </is>
      </c>
      <c r="N1988" s="42" t="inlineStr">
        <is>
          <t>개인</t>
        </is>
      </c>
      <c r="O1988" s="41" t="inlineStr">
        <is>
          <t>2003</t>
        </is>
      </c>
      <c r="P1988" s="42" t="inlineStr">
        <is>
          <t>서초중앙로 26</t>
        </is>
      </c>
      <c r="Q1988" s="41" t="inlineStr">
        <is>
          <t>-</t>
        </is>
      </c>
      <c r="R1988" s="42" t="inlineStr">
        <is>
          <t>직거래</t>
        </is>
      </c>
      <c r="S1988" s="41" t="inlineStr">
        <is>
          <t>-</t>
        </is>
      </c>
      <c r="T1988" s="41" t="inlineStr">
        <is>
          <t>26.02.09</t>
        </is>
      </c>
      <c r="U1988" s="42" t="inlineStr">
        <is>
          <t>아파트</t>
        </is>
      </c>
    </row>
    <row r="1989" hidden="1" ht="14.25" customHeight="1">
      <c r="A1989" s="41" t="n">
        <v>330</v>
      </c>
      <c r="B1989" s="42" t="inlineStr">
        <is>
          <t>서울특별시 서초구 서초동</t>
        </is>
      </c>
      <c r="C1989" s="41" t="inlineStr">
        <is>
          <t>1315</t>
        </is>
      </c>
      <c r="D1989" s="41" t="inlineStr">
        <is>
          <t>1315</t>
        </is>
      </c>
      <c r="E1989" s="41" t="inlineStr">
        <is>
          <t>0000</t>
        </is>
      </c>
      <c r="F1989" s="42" t="inlineStr">
        <is>
          <t>진흥아파트</t>
        </is>
      </c>
      <c r="G1989" s="41" t="inlineStr">
        <is>
          <t>131.0700</t>
        </is>
      </c>
      <c r="H1989" s="41" t="inlineStr">
        <is>
          <t>202510</t>
        </is>
      </c>
      <c r="I1989" s="41" t="inlineStr">
        <is>
          <t>14</t>
        </is>
      </c>
      <c r="J1989" s="41" t="inlineStr">
        <is>
          <t>395,000</t>
        </is>
      </c>
      <c r="K1989" s="41" t="inlineStr">
        <is>
          <t>7</t>
        </is>
      </c>
      <c r="L1989" s="41" t="inlineStr">
        <is>
          <t>6</t>
        </is>
      </c>
      <c r="M1989" s="42" t="inlineStr">
        <is>
          <t>개인</t>
        </is>
      </c>
      <c r="N1989" s="42" t="inlineStr">
        <is>
          <t>개인</t>
        </is>
      </c>
      <c r="O1989" s="41" t="inlineStr">
        <is>
          <t>1979</t>
        </is>
      </c>
      <c r="P1989" s="42" t="inlineStr">
        <is>
          <t>서초대로 385</t>
        </is>
      </c>
      <c r="Q1989" s="41" t="inlineStr">
        <is>
          <t>-</t>
        </is>
      </c>
      <c r="R1989" s="42" t="inlineStr">
        <is>
          <t>중개거래</t>
        </is>
      </c>
      <c r="S1989" s="42" t="inlineStr">
        <is>
          <t>서울 서초구</t>
        </is>
      </c>
      <c r="T1989" s="41" t="inlineStr">
        <is>
          <t>26.02.27</t>
        </is>
      </c>
      <c r="U1989" s="42" t="inlineStr">
        <is>
          <t>아파트</t>
        </is>
      </c>
    </row>
    <row r="1990" hidden="1" ht="14.25" customHeight="1">
      <c r="A1990" s="41" t="n">
        <v>331</v>
      </c>
      <c r="B1990" s="42" t="inlineStr">
        <is>
          <t>서울특별시 서초구 서초동</t>
        </is>
      </c>
      <c r="C1990" s="41" t="inlineStr">
        <is>
          <t>1326</t>
        </is>
      </c>
      <c r="D1990" s="41" t="inlineStr">
        <is>
          <t>1326</t>
        </is>
      </c>
      <c r="E1990" s="41" t="inlineStr">
        <is>
          <t>0000</t>
        </is>
      </c>
      <c r="F1990" s="42" t="inlineStr">
        <is>
          <t>삼성서초가든스위트</t>
        </is>
      </c>
      <c r="G1990" s="41" t="inlineStr">
        <is>
          <t>189.8100</t>
        </is>
      </c>
      <c r="H1990" s="41" t="inlineStr">
        <is>
          <t>202510</t>
        </is>
      </c>
      <c r="I1990" s="41" t="inlineStr">
        <is>
          <t>14</t>
        </is>
      </c>
      <c r="J1990" s="41" t="inlineStr">
        <is>
          <t>395,000</t>
        </is>
      </c>
      <c r="K1990" s="41" t="inlineStr">
        <is>
          <t>1</t>
        </is>
      </c>
      <c r="L1990" s="41" t="inlineStr">
        <is>
          <t>14</t>
        </is>
      </c>
      <c r="M1990" s="42" t="inlineStr">
        <is>
          <t>개인</t>
        </is>
      </c>
      <c r="N1990" s="42" t="inlineStr">
        <is>
          <t>개인</t>
        </is>
      </c>
      <c r="O1990" s="41" t="inlineStr">
        <is>
          <t>2000</t>
        </is>
      </c>
      <c r="P1990" s="42" t="inlineStr">
        <is>
          <t>서운로 122</t>
        </is>
      </c>
      <c r="Q1990" s="41" t="inlineStr">
        <is>
          <t>-</t>
        </is>
      </c>
      <c r="R1990" s="42" t="inlineStr">
        <is>
          <t>중개거래</t>
        </is>
      </c>
      <c r="S1990" s="42" t="inlineStr">
        <is>
          <t>서울 서초구</t>
        </is>
      </c>
      <c r="T1990" s="41" t="inlineStr">
        <is>
          <t>26.01.29</t>
        </is>
      </c>
      <c r="U1990" s="42" t="inlineStr">
        <is>
          <t>아파트</t>
        </is>
      </c>
    </row>
    <row r="1991" hidden="1" ht="14.25" customHeight="1">
      <c r="A1991" s="41" t="n">
        <v>332</v>
      </c>
      <c r="B1991" s="42" t="inlineStr">
        <is>
          <t>서울특별시 서초구 서초동</t>
        </is>
      </c>
      <c r="C1991" s="41" t="inlineStr">
        <is>
          <t>1582-3</t>
        </is>
      </c>
      <c r="D1991" s="41" t="inlineStr">
        <is>
          <t>1582</t>
        </is>
      </c>
      <c r="E1991" s="41" t="inlineStr">
        <is>
          <t>0003</t>
        </is>
      </c>
      <c r="F1991" s="42" t="inlineStr">
        <is>
          <t>서초센트럴IPARK</t>
        </is>
      </c>
      <c r="G1991" s="41" t="inlineStr">
        <is>
          <t>80.5098</t>
        </is>
      </c>
      <c r="H1991" s="41" t="inlineStr">
        <is>
          <t>202510</t>
        </is>
      </c>
      <c r="I1991" s="41" t="inlineStr">
        <is>
          <t>14</t>
        </is>
      </c>
      <c r="J1991" s="41" t="inlineStr">
        <is>
          <t>185,000</t>
        </is>
      </c>
      <c r="K1991" s="41" t="inlineStr">
        <is>
          <t>102동</t>
        </is>
      </c>
      <c r="L1991" s="41" t="inlineStr">
        <is>
          <t>22</t>
        </is>
      </c>
      <c r="M1991" s="42" t="inlineStr">
        <is>
          <t>개인</t>
        </is>
      </c>
      <c r="N1991" s="42" t="inlineStr">
        <is>
          <t>개인</t>
        </is>
      </c>
      <c r="O1991" s="41" t="inlineStr">
        <is>
          <t>2020</t>
        </is>
      </c>
      <c r="P1991" s="42" t="inlineStr">
        <is>
          <t>반포대로18길 36</t>
        </is>
      </c>
      <c r="Q1991" s="41" t="inlineStr">
        <is>
          <t>-</t>
        </is>
      </c>
      <c r="R1991" s="42" t="inlineStr">
        <is>
          <t>중개거래</t>
        </is>
      </c>
      <c r="S1991" s="42" t="inlineStr">
        <is>
          <t>서울 서초구</t>
        </is>
      </c>
      <c r="T1991" s="41" t="inlineStr">
        <is>
          <t>26.03.04</t>
        </is>
      </c>
      <c r="U1991" s="42" t="inlineStr">
        <is>
          <t>아파트</t>
        </is>
      </c>
    </row>
    <row r="1992" hidden="1" ht="14.25" customHeight="1">
      <c r="A1992" s="41" t="n">
        <v>333</v>
      </c>
      <c r="B1992" s="42" t="inlineStr">
        <is>
          <t>서울특별시 서초구 서초동</t>
        </is>
      </c>
      <c r="C1992" s="41" t="inlineStr">
        <is>
          <t>1754</t>
        </is>
      </c>
      <c r="D1992" s="41" t="inlineStr">
        <is>
          <t>1754</t>
        </is>
      </c>
      <c r="E1992" s="41" t="inlineStr">
        <is>
          <t>0000</t>
        </is>
      </c>
      <c r="F1992" s="42" t="inlineStr">
        <is>
          <t>래미안서초에스티지S</t>
        </is>
      </c>
      <c r="G1992" s="41" t="inlineStr">
        <is>
          <t>84.8000</t>
        </is>
      </c>
      <c r="H1992" s="41" t="inlineStr">
        <is>
          <t>202510</t>
        </is>
      </c>
      <c r="I1992" s="41" t="inlineStr">
        <is>
          <t>14</t>
        </is>
      </c>
      <c r="J1992" s="41" t="inlineStr">
        <is>
          <t>354,000</t>
        </is>
      </c>
      <c r="K1992" s="41" t="inlineStr">
        <is>
          <t>-</t>
        </is>
      </c>
      <c r="L1992" s="41" t="inlineStr">
        <is>
          <t>13</t>
        </is>
      </c>
      <c r="M1992" s="42" t="inlineStr">
        <is>
          <t>개인</t>
        </is>
      </c>
      <c r="N1992" s="42" t="inlineStr">
        <is>
          <t>개인</t>
        </is>
      </c>
      <c r="O1992" s="41" t="inlineStr">
        <is>
          <t>2018</t>
        </is>
      </c>
      <c r="P1992" s="42" t="inlineStr">
        <is>
          <t>서운로 104</t>
        </is>
      </c>
      <c r="Q1992" s="41" t="inlineStr">
        <is>
          <t>20251106</t>
        </is>
      </c>
      <c r="R1992" s="42" t="inlineStr">
        <is>
          <t>중개거래</t>
        </is>
      </c>
      <c r="S1992" s="42" t="inlineStr">
        <is>
          <t>서울 강남구, 서울 서초구</t>
        </is>
      </c>
      <c r="T1992" s="41" t="inlineStr">
        <is>
          <t>-</t>
        </is>
      </c>
      <c r="U1992" s="42" t="inlineStr">
        <is>
          <t>아파트</t>
        </is>
      </c>
    </row>
    <row r="1993" hidden="1" ht="14.25" customHeight="1">
      <c r="A1993" s="41" t="n">
        <v>334</v>
      </c>
      <c r="B1993" s="42" t="inlineStr">
        <is>
          <t>서울특별시 서초구 서초동</t>
        </is>
      </c>
      <c r="C1993" s="41" t="inlineStr">
        <is>
          <t>1754</t>
        </is>
      </c>
      <c r="D1993" s="41" t="inlineStr">
        <is>
          <t>1754</t>
        </is>
      </c>
      <c r="E1993" s="41" t="inlineStr">
        <is>
          <t>0000</t>
        </is>
      </c>
      <c r="F1993" s="42" t="inlineStr">
        <is>
          <t>래미안서초에스티지S</t>
        </is>
      </c>
      <c r="G1993" s="41" t="inlineStr">
        <is>
          <t>84.8000</t>
        </is>
      </c>
      <c r="H1993" s="41" t="inlineStr">
        <is>
          <t>202510</t>
        </is>
      </c>
      <c r="I1993" s="41" t="inlineStr">
        <is>
          <t>14</t>
        </is>
      </c>
      <c r="J1993" s="41" t="inlineStr">
        <is>
          <t>354,000</t>
        </is>
      </c>
      <c r="K1993" s="41" t="inlineStr">
        <is>
          <t>202</t>
        </is>
      </c>
      <c r="L1993" s="41" t="inlineStr">
        <is>
          <t>13</t>
        </is>
      </c>
      <c r="M1993" s="42" t="inlineStr">
        <is>
          <t>개인</t>
        </is>
      </c>
      <c r="N1993" s="42" t="inlineStr">
        <is>
          <t>개인</t>
        </is>
      </c>
      <c r="O1993" s="41" t="inlineStr">
        <is>
          <t>2018</t>
        </is>
      </c>
      <c r="P1993" s="42" t="inlineStr">
        <is>
          <t>서운로 104</t>
        </is>
      </c>
      <c r="Q1993" s="41" t="inlineStr">
        <is>
          <t>-</t>
        </is>
      </c>
      <c r="R1993" s="42" t="inlineStr">
        <is>
          <t>중개거래</t>
        </is>
      </c>
      <c r="S1993" s="42" t="inlineStr">
        <is>
          <t>서울 강남구, 서울 서초구</t>
        </is>
      </c>
      <c r="T1993" s="41" t="inlineStr">
        <is>
          <t>26.01.29</t>
        </is>
      </c>
      <c r="U1993" s="42" t="inlineStr">
        <is>
          <t>아파트</t>
        </is>
      </c>
    </row>
    <row r="1994" hidden="1" ht="14.25" customHeight="1">
      <c r="A1994" s="41" t="n">
        <v>335</v>
      </c>
      <c r="B1994" s="42" t="inlineStr">
        <is>
          <t>서울특별시 서초구 서초동</t>
        </is>
      </c>
      <c r="C1994" s="41" t="inlineStr">
        <is>
          <t>1582-3</t>
        </is>
      </c>
      <c r="D1994" s="41" t="inlineStr">
        <is>
          <t>1582</t>
        </is>
      </c>
      <c r="E1994" s="41" t="inlineStr">
        <is>
          <t>0003</t>
        </is>
      </c>
      <c r="F1994" s="42" t="inlineStr">
        <is>
          <t>서초센트럴IPARK</t>
        </is>
      </c>
      <c r="G1994" s="41" t="inlineStr">
        <is>
          <t>80.5004</t>
        </is>
      </c>
      <c r="H1994" s="41" t="inlineStr">
        <is>
          <t>202510</t>
        </is>
      </c>
      <c r="I1994" s="41" t="inlineStr">
        <is>
          <t>13</t>
        </is>
      </c>
      <c r="J1994" s="41" t="inlineStr">
        <is>
          <t>188,000</t>
        </is>
      </c>
      <c r="K1994" s="41" t="inlineStr">
        <is>
          <t>102동</t>
        </is>
      </c>
      <c r="L1994" s="41" t="inlineStr">
        <is>
          <t>23</t>
        </is>
      </c>
      <c r="M1994" s="42" t="inlineStr">
        <is>
          <t>개인</t>
        </is>
      </c>
      <c r="N1994" s="42" t="inlineStr">
        <is>
          <t>개인</t>
        </is>
      </c>
      <c r="O1994" s="41" t="inlineStr">
        <is>
          <t>2020</t>
        </is>
      </c>
      <c r="P1994" s="42" t="inlineStr">
        <is>
          <t>반포대로18길 36</t>
        </is>
      </c>
      <c r="Q1994" s="41" t="inlineStr">
        <is>
          <t>-</t>
        </is>
      </c>
      <c r="R1994" s="42" t="inlineStr">
        <is>
          <t>중개거래</t>
        </is>
      </c>
      <c r="S1994" s="42" t="inlineStr">
        <is>
          <t>서울 강남구, 서울 서초구</t>
        </is>
      </c>
      <c r="T1994" s="41" t="inlineStr">
        <is>
          <t>26.01.23</t>
        </is>
      </c>
      <c r="U1994" s="42" t="inlineStr">
        <is>
          <t>아파트</t>
        </is>
      </c>
    </row>
    <row r="1995" hidden="1" ht="14.25" customHeight="1">
      <c r="A1995" s="41" t="n">
        <v>336</v>
      </c>
      <c r="B1995" s="42" t="inlineStr">
        <is>
          <t>서울특별시 서초구 서초동</t>
        </is>
      </c>
      <c r="C1995" s="41" t="inlineStr">
        <is>
          <t>1636-1</t>
        </is>
      </c>
      <c r="D1995" s="41" t="inlineStr">
        <is>
          <t>1636</t>
        </is>
      </c>
      <c r="E1995" s="41" t="inlineStr">
        <is>
          <t>0001</t>
        </is>
      </c>
      <c r="F1995" s="42" t="inlineStr">
        <is>
          <t>서초한일</t>
        </is>
      </c>
      <c r="G1995" s="41" t="inlineStr">
        <is>
          <t>59.9600</t>
        </is>
      </c>
      <c r="H1995" s="41" t="inlineStr">
        <is>
          <t>202510</t>
        </is>
      </c>
      <c r="I1995" s="41" t="inlineStr">
        <is>
          <t>13</t>
        </is>
      </c>
      <c r="J1995" s="41" t="inlineStr">
        <is>
          <t>135,000</t>
        </is>
      </c>
      <c r="K1995" s="41" t="inlineStr">
        <is>
          <t>101</t>
        </is>
      </c>
      <c r="L1995" s="41" t="inlineStr">
        <is>
          <t>10</t>
        </is>
      </c>
      <c r="M1995" s="42" t="inlineStr">
        <is>
          <t>개인</t>
        </is>
      </c>
      <c r="N1995" s="42" t="inlineStr">
        <is>
          <t>개인</t>
        </is>
      </c>
      <c r="O1995" s="41" t="inlineStr">
        <is>
          <t>1997</t>
        </is>
      </c>
      <c r="P1995" s="42" t="inlineStr">
        <is>
          <t>서초대로64길 31</t>
        </is>
      </c>
      <c r="Q1995" s="41" t="inlineStr">
        <is>
          <t>-</t>
        </is>
      </c>
      <c r="R1995" s="42" t="inlineStr">
        <is>
          <t>중개거래</t>
        </is>
      </c>
      <c r="S1995" s="42" t="inlineStr">
        <is>
          <t>서울 서초구</t>
        </is>
      </c>
      <c r="T1995" s="41" t="inlineStr">
        <is>
          <t>25.10.31</t>
        </is>
      </c>
      <c r="U1995" s="42" t="inlineStr">
        <is>
          <t>아파트</t>
        </is>
      </c>
    </row>
    <row r="1996" hidden="1" ht="14.25" customHeight="1">
      <c r="A1996" s="41" t="n">
        <v>337</v>
      </c>
      <c r="B1996" s="42" t="inlineStr">
        <is>
          <t>서울특별시 서초구 서초동</t>
        </is>
      </c>
      <c r="C1996" s="41" t="inlineStr">
        <is>
          <t>1362</t>
        </is>
      </c>
      <c r="D1996" s="41" t="inlineStr">
        <is>
          <t>1362</t>
        </is>
      </c>
      <c r="E1996" s="41" t="inlineStr">
        <is>
          <t>0000</t>
        </is>
      </c>
      <c r="F1996" s="42" t="inlineStr">
        <is>
          <t>두산위브(1362)</t>
        </is>
      </c>
      <c r="G1996" s="41" t="inlineStr">
        <is>
          <t>78.6300</t>
        </is>
      </c>
      <c r="H1996" s="41" t="inlineStr">
        <is>
          <t>202510</t>
        </is>
      </c>
      <c r="I1996" s="41" t="inlineStr">
        <is>
          <t>13</t>
        </is>
      </c>
      <c r="J1996" s="41" t="inlineStr">
        <is>
          <t>119,000</t>
        </is>
      </c>
      <c r="K1996" s="41" t="inlineStr">
        <is>
          <t>-</t>
        </is>
      </c>
      <c r="L1996" s="41" t="inlineStr">
        <is>
          <t>3</t>
        </is>
      </c>
      <c r="M1996" s="42" t="inlineStr">
        <is>
          <t>개인</t>
        </is>
      </c>
      <c r="N1996" s="42" t="inlineStr">
        <is>
          <t>개인</t>
        </is>
      </c>
      <c r="O1996" s="41" t="inlineStr">
        <is>
          <t>2005</t>
        </is>
      </c>
      <c r="P1996" s="42" t="inlineStr">
        <is>
          <t>강남대로39길 5</t>
        </is>
      </c>
      <c r="Q1996" s="41" t="inlineStr">
        <is>
          <t>-</t>
        </is>
      </c>
      <c r="R1996" s="42" t="inlineStr">
        <is>
          <t>중개거래</t>
        </is>
      </c>
      <c r="S1996" s="42" t="inlineStr">
        <is>
          <t>서울 강남구, 서울 서초구</t>
        </is>
      </c>
      <c r="T1996" s="41" t="inlineStr">
        <is>
          <t>25.10.15</t>
        </is>
      </c>
      <c r="U1996" s="42" t="inlineStr">
        <is>
          <t>아파트</t>
        </is>
      </c>
    </row>
    <row r="1997" hidden="1" ht="14.25" customHeight="1">
      <c r="A1997" s="41" t="n">
        <v>338</v>
      </c>
      <c r="B1997" s="42" t="inlineStr">
        <is>
          <t>서울특별시 서초구 서초동</t>
        </is>
      </c>
      <c r="C1997" s="41" t="inlineStr">
        <is>
          <t>1671-5</t>
        </is>
      </c>
      <c r="D1997" s="41" t="inlineStr">
        <is>
          <t>1671</t>
        </is>
      </c>
      <c r="E1997" s="41" t="inlineStr">
        <is>
          <t>0005</t>
        </is>
      </c>
      <c r="F1997" s="42" t="inlineStr">
        <is>
          <t>대림서초리시온</t>
        </is>
      </c>
      <c r="G1997" s="41" t="inlineStr">
        <is>
          <t>49.9200</t>
        </is>
      </c>
      <c r="H1997" s="41" t="inlineStr">
        <is>
          <t>202510</t>
        </is>
      </c>
      <c r="I1997" s="41" t="inlineStr">
        <is>
          <t>11</t>
        </is>
      </c>
      <c r="J1997" s="41" t="inlineStr">
        <is>
          <t>53,500</t>
        </is>
      </c>
      <c r="K1997" s="41" t="inlineStr">
        <is>
          <t>-</t>
        </is>
      </c>
      <c r="L1997" s="41" t="inlineStr">
        <is>
          <t>5</t>
        </is>
      </c>
      <c r="M1997" s="42" t="inlineStr">
        <is>
          <t>개인</t>
        </is>
      </c>
      <c r="N1997" s="42" t="inlineStr">
        <is>
          <t>개인</t>
        </is>
      </c>
      <c r="O1997" s="41" t="inlineStr">
        <is>
          <t>2003</t>
        </is>
      </c>
      <c r="P1997" s="42" t="inlineStr">
        <is>
          <t>서초중앙로22길 25</t>
        </is>
      </c>
      <c r="Q1997" s="41" t="inlineStr">
        <is>
          <t>-</t>
        </is>
      </c>
      <c r="R1997" s="42" t="inlineStr">
        <is>
          <t>중개거래</t>
        </is>
      </c>
      <c r="S1997" s="42" t="inlineStr">
        <is>
          <t>서울 서초구</t>
        </is>
      </c>
      <c r="T1997" s="41" t="inlineStr">
        <is>
          <t>25.10.17</t>
        </is>
      </c>
      <c r="U1997" s="42" t="inlineStr">
        <is>
          <t>아파트</t>
        </is>
      </c>
    </row>
    <row r="1998" hidden="1" ht="14.25" customHeight="1">
      <c r="A1998" s="41" t="n">
        <v>339</v>
      </c>
      <c r="B1998" s="42" t="inlineStr">
        <is>
          <t>서울특별시 서초구 서초동</t>
        </is>
      </c>
      <c r="C1998" s="41" t="inlineStr">
        <is>
          <t>1327-29</t>
        </is>
      </c>
      <c r="D1998" s="41" t="inlineStr">
        <is>
          <t>1327</t>
        </is>
      </c>
      <c r="E1998" s="41" t="inlineStr">
        <is>
          <t>0029</t>
        </is>
      </c>
      <c r="F1998" s="42" t="inlineStr">
        <is>
          <t>서초파라곤</t>
        </is>
      </c>
      <c r="G1998" s="41" t="inlineStr">
        <is>
          <t>57.4400</t>
        </is>
      </c>
      <c r="H1998" s="41" t="inlineStr">
        <is>
          <t>202510</t>
        </is>
      </c>
      <c r="I1998" s="41" t="inlineStr">
        <is>
          <t>11</t>
        </is>
      </c>
      <c r="J1998" s="41" t="inlineStr">
        <is>
          <t>105,000</t>
        </is>
      </c>
      <c r="K1998" s="42" t="inlineStr">
        <is>
          <t>케이티파라곤</t>
        </is>
      </c>
      <c r="L1998" s="41" t="inlineStr">
        <is>
          <t>14</t>
        </is>
      </c>
      <c r="M1998" s="42" t="inlineStr">
        <is>
          <t>개인</t>
        </is>
      </c>
      <c r="N1998" s="42" t="inlineStr">
        <is>
          <t>개인</t>
        </is>
      </c>
      <c r="O1998" s="41" t="inlineStr">
        <is>
          <t>2005</t>
        </is>
      </c>
      <c r="P1998" s="42" t="inlineStr">
        <is>
          <t>서초대로74길 29</t>
        </is>
      </c>
      <c r="Q1998" s="41" t="inlineStr">
        <is>
          <t>-</t>
        </is>
      </c>
      <c r="R1998" s="42" t="inlineStr">
        <is>
          <t>중개거래</t>
        </is>
      </c>
      <c r="S1998" s="42" t="inlineStr">
        <is>
          <t>서울 서초구</t>
        </is>
      </c>
      <c r="T1998" s="41" t="inlineStr">
        <is>
          <t>25.12.29</t>
        </is>
      </c>
      <c r="U1998" s="42" t="inlineStr">
        <is>
          <t>아파트</t>
        </is>
      </c>
    </row>
    <row r="1999" hidden="1" ht="14.25" customHeight="1">
      <c r="A1999" s="41" t="n">
        <v>340</v>
      </c>
      <c r="B1999" s="42" t="inlineStr">
        <is>
          <t>서울특별시 서초구 서초동</t>
        </is>
      </c>
      <c r="C1999" s="41" t="inlineStr">
        <is>
          <t>1445-4</t>
        </is>
      </c>
      <c r="D1999" s="41" t="inlineStr">
        <is>
          <t>1445</t>
        </is>
      </c>
      <c r="E1999" s="41" t="inlineStr">
        <is>
          <t>0004</t>
        </is>
      </c>
      <c r="F1999" s="42" t="inlineStr">
        <is>
          <t>래미안서초유니빌</t>
        </is>
      </c>
      <c r="G1999" s="41" t="inlineStr">
        <is>
          <t>34.0520</t>
        </is>
      </c>
      <c r="H1999" s="41" t="inlineStr">
        <is>
          <t>202510</t>
        </is>
      </c>
      <c r="I1999" s="41" t="inlineStr">
        <is>
          <t>10</t>
        </is>
      </c>
      <c r="J1999" s="41" t="inlineStr">
        <is>
          <t>38,000</t>
        </is>
      </c>
      <c r="K1999" s="42" t="inlineStr">
        <is>
          <t>래미안 서초유니빌</t>
        </is>
      </c>
      <c r="L1999" s="41" t="inlineStr">
        <is>
          <t>13</t>
        </is>
      </c>
      <c r="M1999" s="42" t="inlineStr">
        <is>
          <t>개인</t>
        </is>
      </c>
      <c r="N1999" s="42" t="inlineStr">
        <is>
          <t>개인</t>
        </is>
      </c>
      <c r="O1999" s="41" t="inlineStr">
        <is>
          <t>2003</t>
        </is>
      </c>
      <c r="P1999" s="42" t="inlineStr">
        <is>
          <t>서초중앙로 26</t>
        </is>
      </c>
      <c r="Q1999" s="41" t="inlineStr">
        <is>
          <t>-</t>
        </is>
      </c>
      <c r="R1999" s="42" t="inlineStr">
        <is>
          <t>중개거래</t>
        </is>
      </c>
      <c r="S1999" s="42" t="inlineStr">
        <is>
          <t>서울 서초구</t>
        </is>
      </c>
      <c r="T1999" s="41" t="inlineStr">
        <is>
          <t>25.12.23</t>
        </is>
      </c>
      <c r="U1999" s="42" t="inlineStr">
        <is>
          <t>아파트</t>
        </is>
      </c>
    </row>
    <row r="2000" hidden="1" ht="14.25" customHeight="1">
      <c r="A2000" s="41" t="n">
        <v>341</v>
      </c>
      <c r="B2000" s="42" t="inlineStr">
        <is>
          <t>서울특별시 서초구 서초동</t>
        </is>
      </c>
      <c r="C2000" s="41" t="inlineStr">
        <is>
          <t>1582-3</t>
        </is>
      </c>
      <c r="D2000" s="41" t="inlineStr">
        <is>
          <t>1582</t>
        </is>
      </c>
      <c r="E2000" s="41" t="inlineStr">
        <is>
          <t>0003</t>
        </is>
      </c>
      <c r="F2000" s="42" t="inlineStr">
        <is>
          <t>서초센트럴IPARK</t>
        </is>
      </c>
      <c r="G2000" s="41" t="inlineStr">
        <is>
          <t>80.5098</t>
        </is>
      </c>
      <c r="H2000" s="41" t="inlineStr">
        <is>
          <t>202510</t>
        </is>
      </c>
      <c r="I2000" s="41" t="inlineStr">
        <is>
          <t>10</t>
        </is>
      </c>
      <c r="J2000" s="41" t="inlineStr">
        <is>
          <t>175,000</t>
        </is>
      </c>
      <c r="K2000" s="41" t="inlineStr">
        <is>
          <t>102동</t>
        </is>
      </c>
      <c r="L2000" s="41" t="inlineStr">
        <is>
          <t>8</t>
        </is>
      </c>
      <c r="M2000" s="42" t="inlineStr">
        <is>
          <t>개인</t>
        </is>
      </c>
      <c r="N2000" s="42" t="inlineStr">
        <is>
          <t>개인</t>
        </is>
      </c>
      <c r="O2000" s="41" t="inlineStr">
        <is>
          <t>2020</t>
        </is>
      </c>
      <c r="P2000" s="42" t="inlineStr">
        <is>
          <t>반포대로18길 36</t>
        </is>
      </c>
      <c r="Q2000" s="41" t="inlineStr">
        <is>
          <t>-</t>
        </is>
      </c>
      <c r="R2000" s="42" t="inlineStr">
        <is>
          <t>중개거래</t>
        </is>
      </c>
      <c r="S2000" s="42" t="inlineStr">
        <is>
          <t>서울 서초구</t>
        </is>
      </c>
      <c r="T2000" s="41" t="inlineStr">
        <is>
          <t>26.01.30</t>
        </is>
      </c>
      <c r="U2000" s="42" t="inlineStr">
        <is>
          <t>아파트</t>
        </is>
      </c>
    </row>
    <row r="2001" ht="14.25" customHeight="1">
      <c r="A2001" s="41" t="n">
        <v>342</v>
      </c>
      <c r="B2001" s="42" t="inlineStr">
        <is>
          <t>서울특별시 서초구 서초동</t>
        </is>
      </c>
      <c r="C2001" s="41" t="inlineStr">
        <is>
          <t>1454-29</t>
        </is>
      </c>
      <c r="D2001" s="41" t="inlineStr">
        <is>
          <t>1454</t>
        </is>
      </c>
      <c r="E2001" s="41" t="inlineStr">
        <is>
          <t>0029</t>
        </is>
      </c>
      <c r="F2001" s="42" t="inlineStr">
        <is>
          <t>서초한신</t>
        </is>
      </c>
      <c r="G2001" s="41" t="inlineStr">
        <is>
          <t>115.3000</t>
        </is>
      </c>
      <c r="H2001" s="41" t="inlineStr">
        <is>
          <t>202510</t>
        </is>
      </c>
      <c r="I2001" s="41" t="inlineStr">
        <is>
          <t>09</t>
        </is>
      </c>
      <c r="J2001" s="41" t="inlineStr">
        <is>
          <t>215,000</t>
        </is>
      </c>
      <c r="K2001" s="41" t="inlineStr">
        <is>
          <t>101</t>
        </is>
      </c>
      <c r="L2001" s="41" t="inlineStr">
        <is>
          <t>4</t>
        </is>
      </c>
      <c r="M2001" s="42" t="inlineStr">
        <is>
          <t>개인</t>
        </is>
      </c>
      <c r="N2001" s="42" t="inlineStr">
        <is>
          <t>개인</t>
        </is>
      </c>
      <c r="O2001" s="41" t="inlineStr">
        <is>
          <t>2001</t>
        </is>
      </c>
      <c r="P2001" s="42" t="inlineStr">
        <is>
          <t>남부순환로323길 38-15</t>
        </is>
      </c>
      <c r="Q2001" s="41" t="inlineStr">
        <is>
          <t>-</t>
        </is>
      </c>
      <c r="R2001" s="42" t="inlineStr">
        <is>
          <t>중개거래</t>
        </is>
      </c>
      <c r="S2001" s="42" t="inlineStr">
        <is>
          <t>서울 서초구</t>
        </is>
      </c>
      <c r="T2001" s="41" t="inlineStr">
        <is>
          <t>25.11.26</t>
        </is>
      </c>
      <c r="U2001" s="42" t="inlineStr">
        <is>
          <t>아파트</t>
        </is>
      </c>
    </row>
    <row r="2002" hidden="1" ht="14.25" customHeight="1">
      <c r="A2002" s="41" t="n">
        <v>343</v>
      </c>
      <c r="B2002" s="42" t="inlineStr">
        <is>
          <t>서울특별시 서초구 서초동</t>
        </is>
      </c>
      <c r="C2002" s="41" t="inlineStr">
        <is>
          <t>1582-3</t>
        </is>
      </c>
      <c r="D2002" s="41" t="inlineStr">
        <is>
          <t>1582</t>
        </is>
      </c>
      <c r="E2002" s="41" t="inlineStr">
        <is>
          <t>0003</t>
        </is>
      </c>
      <c r="F2002" s="42" t="inlineStr">
        <is>
          <t>서초센트럴IPARK</t>
        </is>
      </c>
      <c r="G2002" s="41" t="inlineStr">
        <is>
          <t>80.5004</t>
        </is>
      </c>
      <c r="H2002" s="41" t="inlineStr">
        <is>
          <t>202510</t>
        </is>
      </c>
      <c r="I2002" s="41" t="inlineStr">
        <is>
          <t>04</t>
        </is>
      </c>
      <c r="J2002" s="41" t="inlineStr">
        <is>
          <t>180,000</t>
        </is>
      </c>
      <c r="K2002" s="41" t="inlineStr">
        <is>
          <t>102동</t>
        </is>
      </c>
      <c r="L2002" s="41" t="inlineStr">
        <is>
          <t>5</t>
        </is>
      </c>
      <c r="M2002" s="42" t="inlineStr">
        <is>
          <t>개인</t>
        </is>
      </c>
      <c r="N2002" s="42" t="inlineStr">
        <is>
          <t>개인</t>
        </is>
      </c>
      <c r="O2002" s="41" t="inlineStr">
        <is>
          <t>2020</t>
        </is>
      </c>
      <c r="P2002" s="42" t="inlineStr">
        <is>
          <t>반포대로18길 36</t>
        </is>
      </c>
      <c r="Q2002" s="41" t="inlineStr">
        <is>
          <t>-</t>
        </is>
      </c>
      <c r="R2002" s="42" t="inlineStr">
        <is>
          <t>중개거래</t>
        </is>
      </c>
      <c r="S2002" s="42" t="inlineStr">
        <is>
          <t>서울 서초구</t>
        </is>
      </c>
      <c r="T2002" s="41" t="inlineStr">
        <is>
          <t>26.01.23</t>
        </is>
      </c>
      <c r="U2002" s="42" t="inlineStr">
        <is>
          <t>아파트</t>
        </is>
      </c>
    </row>
    <row r="2003" hidden="1" ht="14.25" customHeight="1">
      <c r="A2003" s="41" t="n">
        <v>344</v>
      </c>
      <c r="B2003" s="42" t="inlineStr">
        <is>
          <t>서울특별시 서초구 서초동</t>
        </is>
      </c>
      <c r="C2003" s="41" t="inlineStr">
        <is>
          <t>1445-4</t>
        </is>
      </c>
      <c r="D2003" s="41" t="inlineStr">
        <is>
          <t>1445</t>
        </is>
      </c>
      <c r="E2003" s="41" t="inlineStr">
        <is>
          <t>0004</t>
        </is>
      </c>
      <c r="F2003" s="42" t="inlineStr">
        <is>
          <t>래미안서초유니빌</t>
        </is>
      </c>
      <c r="G2003" s="41" t="inlineStr">
        <is>
          <t>34.0520</t>
        </is>
      </c>
      <c r="H2003" s="41" t="inlineStr">
        <is>
          <t>202510</t>
        </is>
      </c>
      <c r="I2003" s="41" t="inlineStr">
        <is>
          <t>03</t>
        </is>
      </c>
      <c r="J2003" s="41" t="inlineStr">
        <is>
          <t>40,500</t>
        </is>
      </c>
      <c r="K2003" s="41" t="inlineStr">
        <is>
          <t>-</t>
        </is>
      </c>
      <c r="L2003" s="41" t="inlineStr">
        <is>
          <t>18</t>
        </is>
      </c>
      <c r="M2003" s="42" t="inlineStr">
        <is>
          <t>개인</t>
        </is>
      </c>
      <c r="N2003" s="42" t="inlineStr">
        <is>
          <t>개인</t>
        </is>
      </c>
      <c r="O2003" s="41" t="inlineStr">
        <is>
          <t>2003</t>
        </is>
      </c>
      <c r="P2003" s="42" t="inlineStr">
        <is>
          <t>서초중앙로 26</t>
        </is>
      </c>
      <c r="Q2003" s="41" t="inlineStr">
        <is>
          <t>20251105</t>
        </is>
      </c>
      <c r="R2003" s="42" t="inlineStr">
        <is>
          <t>중개거래</t>
        </is>
      </c>
      <c r="S2003" s="42" t="inlineStr">
        <is>
          <t>서울 서초구</t>
        </is>
      </c>
      <c r="T2003" s="41" t="inlineStr">
        <is>
          <t>-</t>
        </is>
      </c>
      <c r="U2003" s="42" t="inlineStr">
        <is>
          <t>아파트</t>
        </is>
      </c>
    </row>
    <row r="2004" hidden="1" ht="14.25" customHeight="1">
      <c r="A2004" s="41" t="n">
        <v>345</v>
      </c>
      <c r="B2004" s="42" t="inlineStr">
        <is>
          <t>서울특별시 서초구 서초동</t>
        </is>
      </c>
      <c r="C2004" s="41" t="inlineStr">
        <is>
          <t>1445-4</t>
        </is>
      </c>
      <c r="D2004" s="41" t="inlineStr">
        <is>
          <t>1445</t>
        </is>
      </c>
      <c r="E2004" s="41" t="inlineStr">
        <is>
          <t>0004</t>
        </is>
      </c>
      <c r="F2004" s="42" t="inlineStr">
        <is>
          <t>래미안서초유니빌</t>
        </is>
      </c>
      <c r="G2004" s="41" t="inlineStr">
        <is>
          <t>34.0520</t>
        </is>
      </c>
      <c r="H2004" s="41" t="inlineStr">
        <is>
          <t>202510</t>
        </is>
      </c>
      <c r="I2004" s="41" t="inlineStr">
        <is>
          <t>03</t>
        </is>
      </c>
      <c r="J2004" s="41" t="inlineStr">
        <is>
          <t>40,500</t>
        </is>
      </c>
      <c r="K2004" s="42" t="inlineStr">
        <is>
          <t>래미안 서초유니빌</t>
        </is>
      </c>
      <c r="L2004" s="41" t="inlineStr">
        <is>
          <t>18</t>
        </is>
      </c>
      <c r="M2004" s="42" t="inlineStr">
        <is>
          <t>개인</t>
        </is>
      </c>
      <c r="N2004" s="42" t="inlineStr">
        <is>
          <t>개인</t>
        </is>
      </c>
      <c r="O2004" s="41" t="inlineStr">
        <is>
          <t>2003</t>
        </is>
      </c>
      <c r="P2004" s="42" t="inlineStr">
        <is>
          <t>서초중앙로 26</t>
        </is>
      </c>
      <c r="Q2004" s="41" t="inlineStr">
        <is>
          <t>-</t>
        </is>
      </c>
      <c r="R2004" s="42" t="inlineStr">
        <is>
          <t>중개거래</t>
        </is>
      </c>
      <c r="S2004" s="42" t="inlineStr">
        <is>
          <t>서울 서초구</t>
        </is>
      </c>
      <c r="T2004" s="41" t="inlineStr">
        <is>
          <t>25.12.22</t>
        </is>
      </c>
      <c r="U2004" s="42" t="inlineStr">
        <is>
          <t>아파트</t>
        </is>
      </c>
    </row>
    <row r="2005" hidden="1" ht="14.25" customHeight="1">
      <c r="A2005" s="41" t="n">
        <v>346</v>
      </c>
      <c r="B2005" s="42" t="inlineStr">
        <is>
          <t>서울특별시 서초구 서초동</t>
        </is>
      </c>
      <c r="C2005" s="41" t="inlineStr">
        <is>
          <t>1355-24</t>
        </is>
      </c>
      <c r="D2005" s="41" t="inlineStr">
        <is>
          <t>1355</t>
        </is>
      </c>
      <c r="E2005" s="41" t="inlineStr">
        <is>
          <t>0024</t>
        </is>
      </c>
      <c r="F2005" s="42" t="inlineStr">
        <is>
          <t>우정에쉐르</t>
        </is>
      </c>
      <c r="G2005" s="41" t="inlineStr">
        <is>
          <t>63.5800</t>
        </is>
      </c>
      <c r="H2005" s="41" t="inlineStr">
        <is>
          <t>202510</t>
        </is>
      </c>
      <c r="I2005" s="41" t="inlineStr">
        <is>
          <t>03</t>
        </is>
      </c>
      <c r="J2005" s="41" t="inlineStr">
        <is>
          <t>98,000</t>
        </is>
      </c>
      <c r="K2005" s="41" t="inlineStr">
        <is>
          <t>-</t>
        </is>
      </c>
      <c r="L2005" s="41" t="inlineStr">
        <is>
          <t>2</t>
        </is>
      </c>
      <c r="M2005" s="42" t="inlineStr">
        <is>
          <t>개인</t>
        </is>
      </c>
      <c r="N2005" s="42" t="inlineStr">
        <is>
          <t>개인</t>
        </is>
      </c>
      <c r="O2005" s="41" t="inlineStr">
        <is>
          <t>2004</t>
        </is>
      </c>
      <c r="P2005" s="42" t="inlineStr">
        <is>
          <t>서운로3길 29</t>
        </is>
      </c>
      <c r="Q2005" s="41" t="inlineStr">
        <is>
          <t>-</t>
        </is>
      </c>
      <c r="R2005" s="42" t="inlineStr">
        <is>
          <t>중개거래</t>
        </is>
      </c>
      <c r="S2005" s="42" t="inlineStr">
        <is>
          <t>서울 서초구</t>
        </is>
      </c>
      <c r="T2005" s="41" t="inlineStr">
        <is>
          <t>25.11.17</t>
        </is>
      </c>
      <c r="U2005" s="42" t="inlineStr">
        <is>
          <t>아파트</t>
        </is>
      </c>
    </row>
    <row r="2006" hidden="1" ht="14.25" customHeight="1">
      <c r="A2006" s="41" t="n">
        <v>347</v>
      </c>
      <c r="B2006" s="42" t="inlineStr">
        <is>
          <t>서울특별시 서초구 서초동</t>
        </is>
      </c>
      <c r="C2006" s="41" t="inlineStr">
        <is>
          <t>1326-17</t>
        </is>
      </c>
      <c r="D2006" s="41" t="inlineStr">
        <is>
          <t>1326</t>
        </is>
      </c>
      <c r="E2006" s="41" t="inlineStr">
        <is>
          <t>0017</t>
        </is>
      </c>
      <c r="F2006" s="42" t="inlineStr">
        <is>
          <t>우성아파트</t>
        </is>
      </c>
      <c r="G2006" s="41" t="inlineStr">
        <is>
          <t>84.9300</t>
        </is>
      </c>
      <c r="H2006" s="41" t="inlineStr">
        <is>
          <t>202510</t>
        </is>
      </c>
      <c r="I2006" s="41" t="inlineStr">
        <is>
          <t>02</t>
        </is>
      </c>
      <c r="J2006" s="41" t="inlineStr">
        <is>
          <t>270,000</t>
        </is>
      </c>
      <c r="K2006" s="41" t="inlineStr">
        <is>
          <t>501</t>
        </is>
      </c>
      <c r="L2006" s="41" t="inlineStr">
        <is>
          <t>4</t>
        </is>
      </c>
      <c r="M2006" s="42" t="inlineStr">
        <is>
          <t>개인</t>
        </is>
      </c>
      <c r="N2006" s="42" t="inlineStr">
        <is>
          <t>개인</t>
        </is>
      </c>
      <c r="O2006" s="41" t="inlineStr">
        <is>
          <t>1998</t>
        </is>
      </c>
      <c r="P2006" s="42" t="inlineStr">
        <is>
          <t>서초대로74길 30</t>
        </is>
      </c>
      <c r="Q2006" s="41" t="inlineStr">
        <is>
          <t>-</t>
        </is>
      </c>
      <c r="R2006" s="42" t="inlineStr">
        <is>
          <t>중개거래</t>
        </is>
      </c>
      <c r="S2006" s="42" t="inlineStr">
        <is>
          <t>서울 서초구</t>
        </is>
      </c>
      <c r="T2006" s="41" t="inlineStr">
        <is>
          <t>26.01.07</t>
        </is>
      </c>
      <c r="U2006" s="42" t="inlineStr">
        <is>
          <t>아파트</t>
        </is>
      </c>
    </row>
    <row r="2007" hidden="1" ht="14.25" customHeight="1">
      <c r="A2007" s="41" t="n">
        <v>348</v>
      </c>
      <c r="B2007" s="42" t="inlineStr">
        <is>
          <t>서울특별시 서초구 서초동</t>
        </is>
      </c>
      <c r="C2007" s="41" t="inlineStr">
        <is>
          <t>1671-5</t>
        </is>
      </c>
      <c r="D2007" s="41" t="inlineStr">
        <is>
          <t>1671</t>
        </is>
      </c>
      <c r="E2007" s="41" t="inlineStr">
        <is>
          <t>0005</t>
        </is>
      </c>
      <c r="F2007" s="42" t="inlineStr">
        <is>
          <t>대림서초리시온</t>
        </is>
      </c>
      <c r="G2007" s="41" t="inlineStr">
        <is>
          <t>48.2000</t>
        </is>
      </c>
      <c r="H2007" s="41" t="inlineStr">
        <is>
          <t>202510</t>
        </is>
      </c>
      <c r="I2007" s="41" t="inlineStr">
        <is>
          <t>02</t>
        </is>
      </c>
      <c r="J2007" s="41" t="inlineStr">
        <is>
          <t>59,500</t>
        </is>
      </c>
      <c r="K2007" s="41" t="inlineStr">
        <is>
          <t>-</t>
        </is>
      </c>
      <c r="L2007" s="41" t="inlineStr">
        <is>
          <t>12</t>
        </is>
      </c>
      <c r="M2007" s="42" t="inlineStr">
        <is>
          <t>개인</t>
        </is>
      </c>
      <c r="N2007" s="42" t="inlineStr">
        <is>
          <t>개인</t>
        </is>
      </c>
      <c r="O2007" s="41" t="inlineStr">
        <is>
          <t>2003</t>
        </is>
      </c>
      <c r="P2007" s="42" t="inlineStr">
        <is>
          <t>서초중앙로22길 25</t>
        </is>
      </c>
      <c r="Q2007" s="41" t="inlineStr">
        <is>
          <t>-</t>
        </is>
      </c>
      <c r="R2007" s="42" t="inlineStr">
        <is>
          <t>중개거래</t>
        </is>
      </c>
      <c r="S2007" s="42" t="inlineStr">
        <is>
          <t>서울 서초구</t>
        </is>
      </c>
      <c r="T2007" s="41" t="inlineStr">
        <is>
          <t>26.02.06</t>
        </is>
      </c>
      <c r="U2007" s="42" t="inlineStr">
        <is>
          <t>아파트</t>
        </is>
      </c>
    </row>
    <row r="2008" hidden="1" ht="14.25" customHeight="1">
      <c r="A2008" s="41" t="n">
        <v>349</v>
      </c>
      <c r="B2008" s="42" t="inlineStr">
        <is>
          <t>서울특별시 서초구 서초동</t>
        </is>
      </c>
      <c r="C2008" s="41" t="inlineStr">
        <is>
          <t>1648-2</t>
        </is>
      </c>
      <c r="D2008" s="41" t="inlineStr">
        <is>
          <t>1648</t>
        </is>
      </c>
      <c r="E2008" s="41" t="inlineStr">
        <is>
          <t>0002</t>
        </is>
      </c>
      <c r="F2008" s="42" t="inlineStr">
        <is>
          <t>서초현대</t>
        </is>
      </c>
      <c r="G2008" s="41" t="inlineStr">
        <is>
          <t>84.7800</t>
        </is>
      </c>
      <c r="H2008" s="41" t="inlineStr">
        <is>
          <t>202510</t>
        </is>
      </c>
      <c r="I2008" s="41" t="inlineStr">
        <is>
          <t>02</t>
        </is>
      </c>
      <c r="J2008" s="41" t="inlineStr">
        <is>
          <t>202,000</t>
        </is>
      </c>
      <c r="K2008" s="41" t="inlineStr">
        <is>
          <t>101</t>
        </is>
      </c>
      <c r="L2008" s="41" t="inlineStr">
        <is>
          <t>3</t>
        </is>
      </c>
      <c r="M2008" s="42" t="inlineStr">
        <is>
          <t>개인</t>
        </is>
      </c>
      <c r="N2008" s="42" t="inlineStr">
        <is>
          <t>개인</t>
        </is>
      </c>
      <c r="O2008" s="41" t="inlineStr">
        <is>
          <t>1999</t>
        </is>
      </c>
      <c r="P2008" s="42" t="inlineStr">
        <is>
          <t>사임당로19길 10</t>
        </is>
      </c>
      <c r="Q2008" s="41" t="inlineStr">
        <is>
          <t>-</t>
        </is>
      </c>
      <c r="R2008" s="42" t="inlineStr">
        <is>
          <t>중개거래</t>
        </is>
      </c>
      <c r="S2008" s="42" t="inlineStr">
        <is>
          <t>서울 서초구</t>
        </is>
      </c>
      <c r="T2008" s="41" t="inlineStr">
        <is>
          <t>25.12.05</t>
        </is>
      </c>
      <c r="U2008" s="42" t="inlineStr">
        <is>
          <t>아파트</t>
        </is>
      </c>
    </row>
    <row r="2009" hidden="1" ht="14.25" customHeight="1">
      <c r="A2009" s="41" t="n">
        <v>350</v>
      </c>
      <c r="B2009" s="42" t="inlineStr">
        <is>
          <t>서울특별시 서초구 서초동</t>
        </is>
      </c>
      <c r="C2009" s="41" t="inlineStr">
        <is>
          <t>1507-38</t>
        </is>
      </c>
      <c r="D2009" s="41" t="inlineStr">
        <is>
          <t>1507</t>
        </is>
      </c>
      <c r="E2009" s="41" t="inlineStr">
        <is>
          <t>0038</t>
        </is>
      </c>
      <c r="F2009" s="42" t="inlineStr">
        <is>
          <t>서초두산위브2</t>
        </is>
      </c>
      <c r="G2009" s="41" t="inlineStr">
        <is>
          <t>116.2800</t>
        </is>
      </c>
      <c r="H2009" s="41" t="inlineStr">
        <is>
          <t>202510</t>
        </is>
      </c>
      <c r="I2009" s="41" t="inlineStr">
        <is>
          <t>02</t>
        </is>
      </c>
      <c r="J2009" s="41" t="inlineStr">
        <is>
          <t>220,000</t>
        </is>
      </c>
      <c r="K2009" s="41" t="inlineStr">
        <is>
          <t>-</t>
        </is>
      </c>
      <c r="L2009" s="41" t="inlineStr">
        <is>
          <t>7</t>
        </is>
      </c>
      <c r="M2009" s="42" t="inlineStr">
        <is>
          <t>개인</t>
        </is>
      </c>
      <c r="N2009" s="42" t="inlineStr">
        <is>
          <t>개인</t>
        </is>
      </c>
      <c r="O2009" s="41" t="inlineStr">
        <is>
          <t>2005</t>
        </is>
      </c>
      <c r="P2009" s="42" t="inlineStr">
        <is>
          <t>명달로 112</t>
        </is>
      </c>
      <c r="Q2009" s="41" t="inlineStr">
        <is>
          <t>-</t>
        </is>
      </c>
      <c r="R2009" s="42" t="inlineStr">
        <is>
          <t>중개거래</t>
        </is>
      </c>
      <c r="S2009" s="42" t="inlineStr">
        <is>
          <t>서울 서초구</t>
        </is>
      </c>
      <c r="T2009" s="41" t="inlineStr">
        <is>
          <t>26.01.15</t>
        </is>
      </c>
      <c r="U2009" s="42" t="inlineStr">
        <is>
          <t>아파트</t>
        </is>
      </c>
    </row>
    <row r="2010" hidden="1" ht="14.25" customHeight="1">
      <c r="A2010" s="41" t="n">
        <v>351</v>
      </c>
      <c r="B2010" s="42" t="inlineStr">
        <is>
          <t>서울특별시 서초구 서초동</t>
        </is>
      </c>
      <c r="C2010" s="41" t="inlineStr">
        <is>
          <t>1685</t>
        </is>
      </c>
      <c r="D2010" s="41" t="inlineStr">
        <is>
          <t>1685</t>
        </is>
      </c>
      <c r="E2010" s="41" t="inlineStr">
        <is>
          <t>0000</t>
        </is>
      </c>
      <c r="F2010" s="42" t="inlineStr">
        <is>
          <t>삼풍아파트</t>
        </is>
      </c>
      <c r="G2010" s="41" t="inlineStr">
        <is>
          <t>130.7300</t>
        </is>
      </c>
      <c r="H2010" s="41" t="inlineStr">
        <is>
          <t>202509</t>
        </is>
      </c>
      <c r="I2010" s="41" t="inlineStr">
        <is>
          <t>30</t>
        </is>
      </c>
      <c r="J2010" s="41" t="inlineStr">
        <is>
          <t>450,000</t>
        </is>
      </c>
      <c r="K2010" s="41" t="inlineStr">
        <is>
          <t>13</t>
        </is>
      </c>
      <c r="L2010" s="41" t="inlineStr">
        <is>
          <t>1</t>
        </is>
      </c>
      <c r="M2010" s="42" t="inlineStr">
        <is>
          <t>개인</t>
        </is>
      </c>
      <c r="N2010" s="42" t="inlineStr">
        <is>
          <t>개인</t>
        </is>
      </c>
      <c r="O2010" s="41" t="inlineStr">
        <is>
          <t>1988</t>
        </is>
      </c>
      <c r="P2010" s="42" t="inlineStr">
        <is>
          <t>서초중앙로 200</t>
        </is>
      </c>
      <c r="Q2010" s="41" t="inlineStr">
        <is>
          <t>-</t>
        </is>
      </c>
      <c r="R2010" s="42" t="inlineStr">
        <is>
          <t>중개거래</t>
        </is>
      </c>
      <c r="S2010" s="42" t="inlineStr">
        <is>
          <t>서울 서초구</t>
        </is>
      </c>
      <c r="T2010" s="41" t="inlineStr">
        <is>
          <t>26.01.29</t>
        </is>
      </c>
      <c r="U2010" s="42" t="inlineStr">
        <is>
          <t>아파트</t>
        </is>
      </c>
    </row>
    <row r="2011" hidden="1" ht="14.25" customHeight="1">
      <c r="A2011" s="41" t="n">
        <v>352</v>
      </c>
      <c r="B2011" s="42" t="inlineStr">
        <is>
          <t>서울특별시 서초구 서초동</t>
        </is>
      </c>
      <c r="C2011" s="41" t="inlineStr">
        <is>
          <t>1362</t>
        </is>
      </c>
      <c r="D2011" s="41" t="inlineStr">
        <is>
          <t>1362</t>
        </is>
      </c>
      <c r="E2011" s="41" t="inlineStr">
        <is>
          <t>0000</t>
        </is>
      </c>
      <c r="F2011" s="42" t="inlineStr">
        <is>
          <t>두산위브(1362)</t>
        </is>
      </c>
      <c r="G2011" s="41" t="inlineStr">
        <is>
          <t>57.1500</t>
        </is>
      </c>
      <c r="H2011" s="41" t="inlineStr">
        <is>
          <t>202509</t>
        </is>
      </c>
      <c r="I2011" s="41" t="inlineStr">
        <is>
          <t>30</t>
        </is>
      </c>
      <c r="J2011" s="41" t="inlineStr">
        <is>
          <t>106,000</t>
        </is>
      </c>
      <c r="K2011" s="41" t="inlineStr">
        <is>
          <t>-</t>
        </is>
      </c>
      <c r="L2011" s="41" t="inlineStr">
        <is>
          <t>7</t>
        </is>
      </c>
      <c r="M2011" s="42" t="inlineStr">
        <is>
          <t>개인</t>
        </is>
      </c>
      <c r="N2011" s="42" t="inlineStr">
        <is>
          <t>개인</t>
        </is>
      </c>
      <c r="O2011" s="41" t="inlineStr">
        <is>
          <t>2005</t>
        </is>
      </c>
      <c r="P2011" s="42" t="inlineStr">
        <is>
          <t>강남대로39길 5</t>
        </is>
      </c>
      <c r="Q2011" s="41" t="inlineStr">
        <is>
          <t>-</t>
        </is>
      </c>
      <c r="R2011" s="42" t="inlineStr">
        <is>
          <t>중개거래</t>
        </is>
      </c>
      <c r="S2011" s="42" t="inlineStr">
        <is>
          <t>서울 서초구</t>
        </is>
      </c>
      <c r="T2011" s="41" t="inlineStr">
        <is>
          <t>25.12.30</t>
        </is>
      </c>
      <c r="U2011" s="42" t="inlineStr">
        <is>
          <t>아파트</t>
        </is>
      </c>
    </row>
    <row r="2012" hidden="1" ht="14.25" customHeight="1">
      <c r="A2012" s="41" t="n">
        <v>353</v>
      </c>
      <c r="B2012" s="42" t="inlineStr">
        <is>
          <t>서울특별시 서초구 서초동</t>
        </is>
      </c>
      <c r="C2012" s="41" t="inlineStr">
        <is>
          <t>1326-17</t>
        </is>
      </c>
      <c r="D2012" s="41" t="inlineStr">
        <is>
          <t>1326</t>
        </is>
      </c>
      <c r="E2012" s="41" t="inlineStr">
        <is>
          <t>0017</t>
        </is>
      </c>
      <c r="F2012" s="42" t="inlineStr">
        <is>
          <t>우성아파트</t>
        </is>
      </c>
      <c r="G2012" s="41" t="inlineStr">
        <is>
          <t>84.9300</t>
        </is>
      </c>
      <c r="H2012" s="41" t="inlineStr">
        <is>
          <t>202509</t>
        </is>
      </c>
      <c r="I2012" s="41" t="inlineStr">
        <is>
          <t>29</t>
        </is>
      </c>
      <c r="J2012" s="41" t="inlineStr">
        <is>
          <t>176,500</t>
        </is>
      </c>
      <c r="K2012" s="41" t="inlineStr">
        <is>
          <t>501</t>
        </is>
      </c>
      <c r="L2012" s="41" t="inlineStr">
        <is>
          <t>6</t>
        </is>
      </c>
      <c r="M2012" s="42" t="inlineStr">
        <is>
          <t>개인</t>
        </is>
      </c>
      <c r="N2012" s="42" t="inlineStr">
        <is>
          <t>개인</t>
        </is>
      </c>
      <c r="O2012" s="41" t="inlineStr">
        <is>
          <t>1998</t>
        </is>
      </c>
      <c r="P2012" s="42" t="inlineStr">
        <is>
          <t>서초대로74길 30</t>
        </is>
      </c>
      <c r="Q2012" s="41" t="inlineStr">
        <is>
          <t>-</t>
        </is>
      </c>
      <c r="R2012" s="42" t="inlineStr">
        <is>
          <t>중개거래</t>
        </is>
      </c>
      <c r="S2012" s="42" t="inlineStr">
        <is>
          <t>서울 서초구</t>
        </is>
      </c>
      <c r="T2012" s="41" t="inlineStr">
        <is>
          <t>25.12.12</t>
        </is>
      </c>
      <c r="U2012" s="42" t="inlineStr">
        <is>
          <t>아파트</t>
        </is>
      </c>
    </row>
    <row r="2013" hidden="1" ht="14.25" customHeight="1">
      <c r="A2013" s="41" t="n">
        <v>354</v>
      </c>
      <c r="B2013" s="42" t="inlineStr">
        <is>
          <t>서울특별시 서초구 서초동</t>
        </is>
      </c>
      <c r="C2013" s="41" t="inlineStr">
        <is>
          <t>1686-9</t>
        </is>
      </c>
      <c r="D2013" s="41" t="inlineStr">
        <is>
          <t>1686</t>
        </is>
      </c>
      <c r="E2013" s="41" t="inlineStr">
        <is>
          <t>0009</t>
        </is>
      </c>
      <c r="F2013" s="42" t="inlineStr">
        <is>
          <t>서초교대e편한세상</t>
        </is>
      </c>
      <c r="G2013" s="41" t="inlineStr">
        <is>
          <t>84.9700</t>
        </is>
      </c>
      <c r="H2013" s="41" t="inlineStr">
        <is>
          <t>202509</t>
        </is>
      </c>
      <c r="I2013" s="41" t="inlineStr">
        <is>
          <t>27</t>
        </is>
      </c>
      <c r="J2013" s="41" t="inlineStr">
        <is>
          <t>317,500</t>
        </is>
      </c>
      <c r="K2013" s="41" t="inlineStr">
        <is>
          <t>101</t>
        </is>
      </c>
      <c r="L2013" s="41" t="inlineStr">
        <is>
          <t>3</t>
        </is>
      </c>
      <c r="M2013" s="42" t="inlineStr">
        <is>
          <t>개인</t>
        </is>
      </c>
      <c r="N2013" s="42" t="inlineStr">
        <is>
          <t>개인</t>
        </is>
      </c>
      <c r="O2013" s="41" t="inlineStr">
        <is>
          <t>2010</t>
        </is>
      </c>
      <c r="P2013" s="42" t="inlineStr">
        <is>
          <t>서초중앙로24길 33</t>
        </is>
      </c>
      <c r="Q2013" s="41" t="inlineStr">
        <is>
          <t>-</t>
        </is>
      </c>
      <c r="R2013" s="42" t="inlineStr">
        <is>
          <t>중개거래</t>
        </is>
      </c>
      <c r="S2013" s="42" t="inlineStr">
        <is>
          <t>서울 서초구</t>
        </is>
      </c>
      <c r="T2013" s="41" t="inlineStr">
        <is>
          <t>26.01.16</t>
        </is>
      </c>
      <c r="U2013" s="42" t="inlineStr">
        <is>
          <t>아파트</t>
        </is>
      </c>
    </row>
    <row r="2014" hidden="1" ht="14.25" customHeight="1">
      <c r="A2014" s="41" t="n">
        <v>355</v>
      </c>
      <c r="B2014" s="42" t="inlineStr">
        <is>
          <t>서울특별시 서초구 서초동</t>
        </is>
      </c>
      <c r="C2014" s="41" t="inlineStr">
        <is>
          <t>1445-14</t>
        </is>
      </c>
      <c r="D2014" s="41" t="inlineStr">
        <is>
          <t>1445</t>
        </is>
      </c>
      <c r="E2014" s="41" t="inlineStr">
        <is>
          <t>0014</t>
        </is>
      </c>
      <c r="F2014" s="42" t="inlineStr">
        <is>
          <t>더샵서초</t>
        </is>
      </c>
      <c r="G2014" s="41" t="inlineStr">
        <is>
          <t>33.0600</t>
        </is>
      </c>
      <c r="H2014" s="41" t="inlineStr">
        <is>
          <t>202509</t>
        </is>
      </c>
      <c r="I2014" s="41" t="inlineStr">
        <is>
          <t>27</t>
        </is>
      </c>
      <c r="J2014" s="41" t="inlineStr">
        <is>
          <t>65,000</t>
        </is>
      </c>
      <c r="K2014" s="41" t="inlineStr">
        <is>
          <t>103</t>
        </is>
      </c>
      <c r="L2014" s="41" t="inlineStr">
        <is>
          <t>24</t>
        </is>
      </c>
      <c r="M2014" s="42" t="inlineStr">
        <is>
          <t>개인</t>
        </is>
      </c>
      <c r="N2014" s="42" t="inlineStr">
        <is>
          <t>개인</t>
        </is>
      </c>
      <c r="O2014" s="41" t="inlineStr">
        <is>
          <t>2006</t>
        </is>
      </c>
      <c r="P2014" s="42" t="inlineStr">
        <is>
          <t>서초중앙로2길 21</t>
        </is>
      </c>
      <c r="Q2014" s="41" t="inlineStr">
        <is>
          <t>-</t>
        </is>
      </c>
      <c r="R2014" s="42" t="inlineStr">
        <is>
          <t>중개거래</t>
        </is>
      </c>
      <c r="S2014" s="42" t="inlineStr">
        <is>
          <t>서울 서초구</t>
        </is>
      </c>
      <c r="T2014" s="41" t="inlineStr">
        <is>
          <t>25.11.12</t>
        </is>
      </c>
      <c r="U2014" s="42" t="inlineStr">
        <is>
          <t>아파트</t>
        </is>
      </c>
    </row>
    <row r="2015" hidden="1" ht="14.25" customHeight="1">
      <c r="A2015" s="41" t="n">
        <v>356</v>
      </c>
      <c r="B2015" s="42" t="inlineStr">
        <is>
          <t>서울특별시 서초구 서초동</t>
        </is>
      </c>
      <c r="C2015" s="41" t="inlineStr">
        <is>
          <t>1755</t>
        </is>
      </c>
      <c r="D2015" s="41" t="inlineStr">
        <is>
          <t>1755</t>
        </is>
      </c>
      <c r="E2015" s="41" t="inlineStr">
        <is>
          <t>0000</t>
        </is>
      </c>
      <c r="F2015" s="42" t="inlineStr">
        <is>
          <t>래미안 리더스원</t>
        </is>
      </c>
      <c r="G2015" s="41" t="inlineStr">
        <is>
          <t>84.9300</t>
        </is>
      </c>
      <c r="H2015" s="41" t="inlineStr">
        <is>
          <t>202509</t>
        </is>
      </c>
      <c r="I2015" s="41" t="inlineStr">
        <is>
          <t>23</t>
        </is>
      </c>
      <c r="J2015" s="41" t="inlineStr">
        <is>
          <t>398,000</t>
        </is>
      </c>
      <c r="K2015" s="41" t="inlineStr">
        <is>
          <t>106동</t>
        </is>
      </c>
      <c r="L2015" s="41" t="inlineStr">
        <is>
          <t>23</t>
        </is>
      </c>
      <c r="M2015" s="42" t="inlineStr">
        <is>
          <t>개인</t>
        </is>
      </c>
      <c r="N2015" s="42" t="inlineStr">
        <is>
          <t>개인</t>
        </is>
      </c>
      <c r="O2015" s="41" t="inlineStr">
        <is>
          <t>2020</t>
        </is>
      </c>
      <c r="P2015" s="42" t="inlineStr">
        <is>
          <t>서운로 62</t>
        </is>
      </c>
      <c r="Q2015" s="41" t="inlineStr">
        <is>
          <t>-</t>
        </is>
      </c>
      <c r="R2015" s="42" t="inlineStr">
        <is>
          <t>중개거래</t>
        </is>
      </c>
      <c r="S2015" s="42" t="inlineStr">
        <is>
          <t>서울 서초구</t>
        </is>
      </c>
      <c r="T2015" s="41" t="inlineStr">
        <is>
          <t>25.10.15</t>
        </is>
      </c>
      <c r="U2015" s="42" t="inlineStr">
        <is>
          <t>아파트</t>
        </is>
      </c>
    </row>
    <row r="2016" hidden="1" ht="14.25" customHeight="1">
      <c r="A2016" s="41" t="n">
        <v>357</v>
      </c>
      <c r="B2016" s="42" t="inlineStr">
        <is>
          <t>서울특별시 서초구 서초동</t>
        </is>
      </c>
      <c r="C2016" s="41" t="inlineStr">
        <is>
          <t>1363-25</t>
        </is>
      </c>
      <c r="D2016" s="41" t="inlineStr">
        <is>
          <t>1363</t>
        </is>
      </c>
      <c r="E2016" s="41" t="inlineStr">
        <is>
          <t>0025</t>
        </is>
      </c>
      <c r="F2016" s="42" t="inlineStr">
        <is>
          <t>한라비발디스튜디오193</t>
        </is>
      </c>
      <c r="G2016" s="41" t="inlineStr">
        <is>
          <t>19.9900</t>
        </is>
      </c>
      <c r="H2016" s="41" t="inlineStr">
        <is>
          <t>202509</t>
        </is>
      </c>
      <c r="I2016" s="41" t="inlineStr">
        <is>
          <t>22</t>
        </is>
      </c>
      <c r="J2016" s="41" t="inlineStr">
        <is>
          <t>24,700</t>
        </is>
      </c>
      <c r="K2016" s="42" t="inlineStr">
        <is>
          <t>한라비발디스튜디오193</t>
        </is>
      </c>
      <c r="L2016" s="41" t="inlineStr">
        <is>
          <t>9</t>
        </is>
      </c>
      <c r="M2016" s="42" t="inlineStr">
        <is>
          <t>개인</t>
        </is>
      </c>
      <c r="N2016" s="42" t="inlineStr">
        <is>
          <t>개인</t>
        </is>
      </c>
      <c r="O2016" s="41" t="inlineStr">
        <is>
          <t>2013</t>
        </is>
      </c>
      <c r="P2016" s="42" t="inlineStr">
        <is>
          <t>강남대로39길 15-10</t>
        </is>
      </c>
      <c r="Q2016" s="41" t="inlineStr">
        <is>
          <t>-</t>
        </is>
      </c>
      <c r="R2016" s="42" t="inlineStr">
        <is>
          <t>중개거래</t>
        </is>
      </c>
      <c r="S2016" s="42" t="inlineStr">
        <is>
          <t>서울 강남구, 서울 서초구</t>
        </is>
      </c>
      <c r="T2016" s="41" t="inlineStr">
        <is>
          <t>25.10.17</t>
        </is>
      </c>
      <c r="U2016" s="42" t="inlineStr">
        <is>
          <t>아파트</t>
        </is>
      </c>
    </row>
    <row r="2017" hidden="1" ht="14.25" customHeight="1">
      <c r="A2017" s="41" t="n">
        <v>358</v>
      </c>
      <c r="B2017" s="42" t="inlineStr">
        <is>
          <t>서울특별시 서초구 서초동</t>
        </is>
      </c>
      <c r="C2017" s="41" t="inlineStr">
        <is>
          <t>1582-3</t>
        </is>
      </c>
      <c r="D2017" s="41" t="inlineStr">
        <is>
          <t>1582</t>
        </is>
      </c>
      <c r="E2017" s="41" t="inlineStr">
        <is>
          <t>0003</t>
        </is>
      </c>
      <c r="F2017" s="42" t="inlineStr">
        <is>
          <t>서초센트럴IPARK</t>
        </is>
      </c>
      <c r="G2017" s="41" t="inlineStr">
        <is>
          <t>80.5154</t>
        </is>
      </c>
      <c r="H2017" s="41" t="inlineStr">
        <is>
          <t>202509</t>
        </is>
      </c>
      <c r="I2017" s="41" t="inlineStr">
        <is>
          <t>22</t>
        </is>
      </c>
      <c r="J2017" s="41" t="inlineStr">
        <is>
          <t>179,000</t>
        </is>
      </c>
      <c r="K2017" s="41" t="inlineStr">
        <is>
          <t>101동</t>
        </is>
      </c>
      <c r="L2017" s="41" t="inlineStr">
        <is>
          <t>11</t>
        </is>
      </c>
      <c r="M2017" s="42" t="inlineStr">
        <is>
          <t>개인</t>
        </is>
      </c>
      <c r="N2017" s="42" t="inlineStr">
        <is>
          <t>개인</t>
        </is>
      </c>
      <c r="O2017" s="41" t="inlineStr">
        <is>
          <t>2020</t>
        </is>
      </c>
      <c r="P2017" s="42" t="inlineStr">
        <is>
          <t>반포대로18길 36</t>
        </is>
      </c>
      <c r="Q2017" s="41" t="inlineStr">
        <is>
          <t>-</t>
        </is>
      </c>
      <c r="R2017" s="42" t="inlineStr">
        <is>
          <t>중개거래</t>
        </is>
      </c>
      <c r="S2017" s="42" t="inlineStr">
        <is>
          <t>서울 강남구</t>
        </is>
      </c>
      <c r="T2017" s="41" t="inlineStr">
        <is>
          <t>25.11.28</t>
        </is>
      </c>
      <c r="U2017" s="42" t="inlineStr">
        <is>
          <t>아파트</t>
        </is>
      </c>
    </row>
    <row r="2018" hidden="1" ht="14.25" customHeight="1">
      <c r="A2018" s="41" t="n">
        <v>359</v>
      </c>
      <c r="B2018" s="42" t="inlineStr">
        <is>
          <t>서울특별시 서초구 서초동</t>
        </is>
      </c>
      <c r="C2018" s="41" t="inlineStr">
        <is>
          <t>1303-35</t>
        </is>
      </c>
      <c r="D2018" s="41" t="inlineStr">
        <is>
          <t>1303</t>
        </is>
      </c>
      <c r="E2018" s="41" t="inlineStr">
        <is>
          <t>0035</t>
        </is>
      </c>
      <c r="F2018" s="42" t="inlineStr">
        <is>
          <t>강남태영데시앙루브</t>
        </is>
      </c>
      <c r="G2018" s="41" t="inlineStr">
        <is>
          <t>83.5400</t>
        </is>
      </c>
      <c r="H2018" s="41" t="inlineStr">
        <is>
          <t>202509</t>
        </is>
      </c>
      <c r="I2018" s="41" t="inlineStr">
        <is>
          <t>22</t>
        </is>
      </c>
      <c r="J2018" s="41" t="inlineStr">
        <is>
          <t>100,000</t>
        </is>
      </c>
      <c r="K2018" s="41" t="inlineStr">
        <is>
          <t>B동</t>
        </is>
      </c>
      <c r="L2018" s="41" t="inlineStr">
        <is>
          <t>12</t>
        </is>
      </c>
      <c r="M2018" s="42" t="inlineStr">
        <is>
          <t>개인</t>
        </is>
      </c>
      <c r="N2018" s="42" t="inlineStr">
        <is>
          <t>개인</t>
        </is>
      </c>
      <c r="O2018" s="41" t="inlineStr">
        <is>
          <t>2005</t>
        </is>
      </c>
      <c r="P2018" s="42" t="inlineStr">
        <is>
          <t>강남대로 455</t>
        </is>
      </c>
      <c r="Q2018" s="41" t="inlineStr">
        <is>
          <t>-</t>
        </is>
      </c>
      <c r="R2018" s="42" t="inlineStr">
        <is>
          <t>중개거래</t>
        </is>
      </c>
      <c r="S2018" s="42" t="inlineStr">
        <is>
          <t>서울 서초구</t>
        </is>
      </c>
      <c r="T2018" s="41" t="inlineStr">
        <is>
          <t>26.02.24</t>
        </is>
      </c>
      <c r="U2018" s="42" t="inlineStr">
        <is>
          <t>아파트</t>
        </is>
      </c>
    </row>
    <row r="2019" hidden="1" ht="14.25" customHeight="1">
      <c r="A2019" s="41" t="n">
        <v>360</v>
      </c>
      <c r="B2019" s="42" t="inlineStr">
        <is>
          <t>서울특별시 서초구 서초동</t>
        </is>
      </c>
      <c r="C2019" s="41" t="inlineStr">
        <is>
          <t>1529</t>
        </is>
      </c>
      <c r="D2019" s="41" t="inlineStr">
        <is>
          <t>1529</t>
        </is>
      </c>
      <c r="E2019" s="41" t="inlineStr">
        <is>
          <t>0000</t>
        </is>
      </c>
      <c r="F2019" s="42" t="inlineStr">
        <is>
          <t>서초2차e-편한세상</t>
        </is>
      </c>
      <c r="G2019" s="41" t="inlineStr">
        <is>
          <t>116.7450</t>
        </is>
      </c>
      <c r="H2019" s="41" t="inlineStr">
        <is>
          <t>202509</t>
        </is>
      </c>
      <c r="I2019" s="41" t="inlineStr">
        <is>
          <t>21</t>
        </is>
      </c>
      <c r="J2019" s="41" t="inlineStr">
        <is>
          <t>230,000</t>
        </is>
      </c>
      <c r="K2019" s="41" t="inlineStr">
        <is>
          <t>202</t>
        </is>
      </c>
      <c r="L2019" s="41" t="inlineStr">
        <is>
          <t>9</t>
        </is>
      </c>
      <c r="M2019" s="42" t="inlineStr">
        <is>
          <t>개인</t>
        </is>
      </c>
      <c r="N2019" s="42" t="inlineStr">
        <is>
          <t>개인</t>
        </is>
      </c>
      <c r="O2019" s="41" t="inlineStr">
        <is>
          <t>2005</t>
        </is>
      </c>
      <c r="P2019" s="42" t="inlineStr">
        <is>
          <t>효령로49길 57</t>
        </is>
      </c>
      <c r="Q2019" s="41" t="inlineStr">
        <is>
          <t>-</t>
        </is>
      </c>
      <c r="R2019" s="42" t="inlineStr">
        <is>
          <t>중개거래</t>
        </is>
      </c>
      <c r="S2019" s="42" t="inlineStr">
        <is>
          <t>서울 서초구</t>
        </is>
      </c>
      <c r="T2019" s="41" t="inlineStr">
        <is>
          <t>25.12.19</t>
        </is>
      </c>
      <c r="U2019" s="42" t="inlineStr">
        <is>
          <t>아파트</t>
        </is>
      </c>
    </row>
    <row r="2020" hidden="1" ht="14.25" customHeight="1">
      <c r="A2020" s="41" t="n">
        <v>361</v>
      </c>
      <c r="B2020" s="42" t="inlineStr">
        <is>
          <t>서울특별시 서초구 서초동</t>
        </is>
      </c>
      <c r="C2020" s="41" t="inlineStr">
        <is>
          <t>1757</t>
        </is>
      </c>
      <c r="D2020" s="41" t="inlineStr">
        <is>
          <t>1757</t>
        </is>
      </c>
      <c r="E2020" s="41" t="inlineStr">
        <is>
          <t>0000</t>
        </is>
      </c>
      <c r="F2020" s="42" t="inlineStr">
        <is>
          <t>서초그랑자이</t>
        </is>
      </c>
      <c r="G2020" s="41" t="inlineStr">
        <is>
          <t>59.9800</t>
        </is>
      </c>
      <c r="H2020" s="41" t="inlineStr">
        <is>
          <t>202509</t>
        </is>
      </c>
      <c r="I2020" s="41" t="inlineStr">
        <is>
          <t>20</t>
        </is>
      </c>
      <c r="J2020" s="41" t="inlineStr">
        <is>
          <t>335,000</t>
        </is>
      </c>
      <c r="K2020" s="41" t="inlineStr">
        <is>
          <t>105동</t>
        </is>
      </c>
      <c r="L2020" s="41" t="inlineStr">
        <is>
          <t>16</t>
        </is>
      </c>
      <c r="M2020" s="42" t="inlineStr">
        <is>
          <t>개인</t>
        </is>
      </c>
      <c r="N2020" s="42" t="inlineStr">
        <is>
          <t>개인</t>
        </is>
      </c>
      <c r="O2020" s="41" t="inlineStr">
        <is>
          <t>2021</t>
        </is>
      </c>
      <c r="P2020" s="42" t="inlineStr">
        <is>
          <t>효령로 391</t>
        </is>
      </c>
      <c r="Q2020" s="41" t="inlineStr">
        <is>
          <t>-</t>
        </is>
      </c>
      <c r="R2020" s="42" t="inlineStr">
        <is>
          <t>중개거래</t>
        </is>
      </c>
      <c r="S2020" s="42" t="inlineStr">
        <is>
          <t>서울 서초구</t>
        </is>
      </c>
      <c r="T2020" s="41" t="inlineStr">
        <is>
          <t>25.12.23</t>
        </is>
      </c>
      <c r="U2020" s="42" t="inlineStr">
        <is>
          <t>아파트</t>
        </is>
      </c>
    </row>
    <row r="2021" hidden="1" ht="14.25" customHeight="1">
      <c r="A2021" s="41" t="n">
        <v>362</v>
      </c>
      <c r="B2021" s="42" t="inlineStr">
        <is>
          <t>서울특별시 서초구 서초동</t>
        </is>
      </c>
      <c r="C2021" s="41" t="inlineStr">
        <is>
          <t>1310-4</t>
        </is>
      </c>
      <c r="D2021" s="41" t="inlineStr">
        <is>
          <t>1310</t>
        </is>
      </c>
      <c r="E2021" s="41" t="inlineStr">
        <is>
          <t>0004</t>
        </is>
      </c>
      <c r="F2021" s="42" t="inlineStr">
        <is>
          <t>서초두산위브트레지움</t>
        </is>
      </c>
      <c r="G2021" s="41" t="inlineStr">
        <is>
          <t>130.3000</t>
        </is>
      </c>
      <c r="H2021" s="41" t="inlineStr">
        <is>
          <t>202509</t>
        </is>
      </c>
      <c r="I2021" s="41" t="inlineStr">
        <is>
          <t>19</t>
        </is>
      </c>
      <c r="J2021" s="41" t="inlineStr">
        <is>
          <t>281,000</t>
        </is>
      </c>
      <c r="K2021" s="41" t="inlineStr">
        <is>
          <t>-</t>
        </is>
      </c>
      <c r="L2021" s="41" t="inlineStr">
        <is>
          <t>6</t>
        </is>
      </c>
      <c r="M2021" s="42" t="inlineStr">
        <is>
          <t>개인</t>
        </is>
      </c>
      <c r="N2021" s="42" t="inlineStr">
        <is>
          <t>개인</t>
        </is>
      </c>
      <c r="O2021" s="41" t="inlineStr">
        <is>
          <t>2008</t>
        </is>
      </c>
      <c r="P2021" s="42" t="inlineStr">
        <is>
          <t>서운로 194</t>
        </is>
      </c>
      <c r="Q2021" s="41" t="inlineStr">
        <is>
          <t>20251210</t>
        </is>
      </c>
      <c r="R2021" s="42" t="inlineStr">
        <is>
          <t>중개거래</t>
        </is>
      </c>
      <c r="S2021" s="42" t="inlineStr">
        <is>
          <t>서울 서초구</t>
        </is>
      </c>
      <c r="T2021" s="41" t="inlineStr">
        <is>
          <t>-</t>
        </is>
      </c>
      <c r="U2021" s="42" t="inlineStr">
        <is>
          <t>아파트</t>
        </is>
      </c>
    </row>
    <row r="2022" hidden="1" ht="14.25" customHeight="1">
      <c r="A2022" s="41" t="n">
        <v>363</v>
      </c>
      <c r="B2022" s="42" t="inlineStr">
        <is>
          <t>서울특별시 서초구 서초동</t>
        </is>
      </c>
      <c r="C2022" s="41" t="inlineStr">
        <is>
          <t>1757</t>
        </is>
      </c>
      <c r="D2022" s="41" t="inlineStr">
        <is>
          <t>1757</t>
        </is>
      </c>
      <c r="E2022" s="41" t="inlineStr">
        <is>
          <t>0000</t>
        </is>
      </c>
      <c r="F2022" s="42" t="inlineStr">
        <is>
          <t>서초그랑자이</t>
        </is>
      </c>
      <c r="G2022" s="41" t="inlineStr">
        <is>
          <t>119.4100</t>
        </is>
      </c>
      <c r="H2022" s="41" t="inlineStr">
        <is>
          <t>202509</t>
        </is>
      </c>
      <c r="I2022" s="41" t="inlineStr">
        <is>
          <t>19</t>
        </is>
      </c>
      <c r="J2022" s="41" t="inlineStr">
        <is>
          <t>440,000</t>
        </is>
      </c>
      <c r="K2022" s="41" t="inlineStr">
        <is>
          <t>107동</t>
        </is>
      </c>
      <c r="L2022" s="41" t="inlineStr">
        <is>
          <t>7</t>
        </is>
      </c>
      <c r="M2022" s="42" t="inlineStr">
        <is>
          <t>개인</t>
        </is>
      </c>
      <c r="N2022" s="42" t="inlineStr">
        <is>
          <t>개인</t>
        </is>
      </c>
      <c r="O2022" s="41" t="inlineStr">
        <is>
          <t>2021</t>
        </is>
      </c>
      <c r="P2022" s="42" t="inlineStr">
        <is>
          <t>효령로 391</t>
        </is>
      </c>
      <c r="Q2022" s="41" t="inlineStr">
        <is>
          <t>-</t>
        </is>
      </c>
      <c r="R2022" s="42" t="inlineStr">
        <is>
          <t>중개거래</t>
        </is>
      </c>
      <c r="S2022" s="42" t="inlineStr">
        <is>
          <t>서울 서초구</t>
        </is>
      </c>
      <c r="T2022" s="41" t="inlineStr">
        <is>
          <t>25.11.05</t>
        </is>
      </c>
      <c r="U2022" s="42" t="inlineStr">
        <is>
          <t>아파트</t>
        </is>
      </c>
    </row>
    <row r="2023" hidden="1" ht="14.25" customHeight="1">
      <c r="A2023" s="41" t="n">
        <v>364</v>
      </c>
      <c r="B2023" s="42" t="inlineStr">
        <is>
          <t>서울특별시 서초구 서초동</t>
        </is>
      </c>
      <c r="C2023" s="41" t="inlineStr">
        <is>
          <t>1755</t>
        </is>
      </c>
      <c r="D2023" s="41" t="inlineStr">
        <is>
          <t>1755</t>
        </is>
      </c>
      <c r="E2023" s="41" t="inlineStr">
        <is>
          <t>0000</t>
        </is>
      </c>
      <c r="F2023" s="42" t="inlineStr">
        <is>
          <t>래미안 리더스원</t>
        </is>
      </c>
      <c r="G2023" s="41" t="inlineStr">
        <is>
          <t>59.9600</t>
        </is>
      </c>
      <c r="H2023" s="41" t="inlineStr">
        <is>
          <t>202509</t>
        </is>
      </c>
      <c r="I2023" s="41" t="inlineStr">
        <is>
          <t>19</t>
        </is>
      </c>
      <c r="J2023" s="41" t="inlineStr">
        <is>
          <t>322,000</t>
        </is>
      </c>
      <c r="K2023" s="41" t="inlineStr">
        <is>
          <t>112동</t>
        </is>
      </c>
      <c r="L2023" s="41" t="inlineStr">
        <is>
          <t>16</t>
        </is>
      </c>
      <c r="M2023" s="42" t="inlineStr">
        <is>
          <t>개인</t>
        </is>
      </c>
      <c r="N2023" s="42" t="inlineStr">
        <is>
          <t>개인</t>
        </is>
      </c>
      <c r="O2023" s="41" t="inlineStr">
        <is>
          <t>2020</t>
        </is>
      </c>
      <c r="P2023" s="42" t="inlineStr">
        <is>
          <t>서운로 62</t>
        </is>
      </c>
      <c r="Q2023" s="41" t="inlineStr">
        <is>
          <t>-</t>
        </is>
      </c>
      <c r="R2023" s="42" t="inlineStr">
        <is>
          <t>중개거래</t>
        </is>
      </c>
      <c r="S2023" s="42" t="inlineStr">
        <is>
          <t>서울 서초구</t>
        </is>
      </c>
      <c r="T2023" s="41" t="inlineStr">
        <is>
          <t>26.01.23</t>
        </is>
      </c>
      <c r="U2023" s="42" t="inlineStr">
        <is>
          <t>아파트</t>
        </is>
      </c>
    </row>
    <row r="2024" hidden="1" ht="14.25" customHeight="1">
      <c r="A2024" s="41" t="n">
        <v>365</v>
      </c>
      <c r="B2024" s="42" t="inlineStr">
        <is>
          <t>서울특별시 서초구 서초동</t>
        </is>
      </c>
      <c r="C2024" s="41" t="inlineStr">
        <is>
          <t>1755</t>
        </is>
      </c>
      <c r="D2024" s="41" t="inlineStr">
        <is>
          <t>1755</t>
        </is>
      </c>
      <c r="E2024" s="41" t="inlineStr">
        <is>
          <t>0000</t>
        </is>
      </c>
      <c r="F2024" s="42" t="inlineStr">
        <is>
          <t>래미안 리더스원</t>
        </is>
      </c>
      <c r="G2024" s="41" t="inlineStr">
        <is>
          <t>84.9400</t>
        </is>
      </c>
      <c r="H2024" s="41" t="inlineStr">
        <is>
          <t>202509</t>
        </is>
      </c>
      <c r="I2024" s="41" t="inlineStr">
        <is>
          <t>19</t>
        </is>
      </c>
      <c r="J2024" s="41" t="inlineStr">
        <is>
          <t>378,000</t>
        </is>
      </c>
      <c r="K2024" s="41" t="inlineStr">
        <is>
          <t>104동</t>
        </is>
      </c>
      <c r="L2024" s="41" t="inlineStr">
        <is>
          <t>5</t>
        </is>
      </c>
      <c r="M2024" s="42" t="inlineStr">
        <is>
          <t>개인</t>
        </is>
      </c>
      <c r="N2024" s="42" t="inlineStr">
        <is>
          <t>개인</t>
        </is>
      </c>
      <c r="O2024" s="41" t="inlineStr">
        <is>
          <t>2020</t>
        </is>
      </c>
      <c r="P2024" s="42" t="inlineStr">
        <is>
          <t>서운로 62</t>
        </is>
      </c>
      <c r="Q2024" s="41" t="inlineStr">
        <is>
          <t>-</t>
        </is>
      </c>
      <c r="R2024" s="42" t="inlineStr">
        <is>
          <t>중개거래</t>
        </is>
      </c>
      <c r="S2024" s="42" t="inlineStr">
        <is>
          <t>서울 서초구</t>
        </is>
      </c>
      <c r="T2024" s="41" t="inlineStr">
        <is>
          <t>25.12.29</t>
        </is>
      </c>
      <c r="U2024" s="42" t="inlineStr">
        <is>
          <t>아파트</t>
        </is>
      </c>
    </row>
    <row r="2025" hidden="1" ht="14.25" customHeight="1">
      <c r="A2025" s="41" t="n">
        <v>366</v>
      </c>
      <c r="B2025" s="42" t="inlineStr">
        <is>
          <t>서울특별시 서초구 서초동</t>
        </is>
      </c>
      <c r="C2025" s="41" t="inlineStr">
        <is>
          <t>1310-4</t>
        </is>
      </c>
      <c r="D2025" s="41" t="inlineStr">
        <is>
          <t>1310</t>
        </is>
      </c>
      <c r="E2025" s="41" t="inlineStr">
        <is>
          <t>0004</t>
        </is>
      </c>
      <c r="F2025" s="42" t="inlineStr">
        <is>
          <t>서초두산위브트레지움</t>
        </is>
      </c>
      <c r="G2025" s="41" t="inlineStr">
        <is>
          <t>130.3000</t>
        </is>
      </c>
      <c r="H2025" s="41" t="inlineStr">
        <is>
          <t>202509</t>
        </is>
      </c>
      <c r="I2025" s="41" t="inlineStr">
        <is>
          <t>19</t>
        </is>
      </c>
      <c r="J2025" s="41" t="inlineStr">
        <is>
          <t>281,000</t>
        </is>
      </c>
      <c r="K2025" s="41" t="inlineStr">
        <is>
          <t>101</t>
        </is>
      </c>
      <c r="L2025" s="41" t="inlineStr">
        <is>
          <t>6</t>
        </is>
      </c>
      <c r="M2025" s="42" t="inlineStr">
        <is>
          <t>개인</t>
        </is>
      </c>
      <c r="N2025" s="42" t="inlineStr">
        <is>
          <t>개인</t>
        </is>
      </c>
      <c r="O2025" s="41" t="inlineStr">
        <is>
          <t>2008</t>
        </is>
      </c>
      <c r="P2025" s="42" t="inlineStr">
        <is>
          <t>서운로 194</t>
        </is>
      </c>
      <c r="Q2025" s="41" t="inlineStr">
        <is>
          <t>-</t>
        </is>
      </c>
      <c r="R2025" s="42" t="inlineStr">
        <is>
          <t>중개거래</t>
        </is>
      </c>
      <c r="S2025" s="42" t="inlineStr">
        <is>
          <t>서울 서초구</t>
        </is>
      </c>
      <c r="T2025" s="41" t="inlineStr">
        <is>
          <t>25.12.10</t>
        </is>
      </c>
      <c r="U2025" s="42" t="inlineStr">
        <is>
          <t>아파트</t>
        </is>
      </c>
    </row>
    <row r="2026" hidden="1" ht="14.25" customHeight="1">
      <c r="A2026" s="41" t="n">
        <v>367</v>
      </c>
      <c r="B2026" s="42" t="inlineStr">
        <is>
          <t>서울특별시 서초구 서초동</t>
        </is>
      </c>
      <c r="C2026" s="41" t="inlineStr">
        <is>
          <t>1648-2</t>
        </is>
      </c>
      <c r="D2026" s="41" t="inlineStr">
        <is>
          <t>1648</t>
        </is>
      </c>
      <c r="E2026" s="41" t="inlineStr">
        <is>
          <t>0002</t>
        </is>
      </c>
      <c r="F2026" s="42" t="inlineStr">
        <is>
          <t>서초현대</t>
        </is>
      </c>
      <c r="G2026" s="41" t="inlineStr">
        <is>
          <t>114.8400</t>
        </is>
      </c>
      <c r="H2026" s="41" t="inlineStr">
        <is>
          <t>202509</t>
        </is>
      </c>
      <c r="I2026" s="41" t="inlineStr">
        <is>
          <t>18</t>
        </is>
      </c>
      <c r="J2026" s="41" t="inlineStr">
        <is>
          <t>200,000</t>
        </is>
      </c>
      <c r="K2026" s="41" t="inlineStr">
        <is>
          <t>102</t>
        </is>
      </c>
      <c r="L2026" s="41" t="inlineStr">
        <is>
          <t>1</t>
        </is>
      </c>
      <c r="M2026" s="42" t="inlineStr">
        <is>
          <t>개인</t>
        </is>
      </c>
      <c r="N2026" s="42" t="inlineStr">
        <is>
          <t>개인</t>
        </is>
      </c>
      <c r="O2026" s="41" t="inlineStr">
        <is>
          <t>1999</t>
        </is>
      </c>
      <c r="P2026" s="42" t="inlineStr">
        <is>
          <t>사임당로19길 10</t>
        </is>
      </c>
      <c r="Q2026" s="41" t="inlineStr">
        <is>
          <t>-</t>
        </is>
      </c>
      <c r="R2026" s="42" t="inlineStr">
        <is>
          <t>중개거래</t>
        </is>
      </c>
      <c r="S2026" s="42" t="inlineStr">
        <is>
          <t>서울 서초구</t>
        </is>
      </c>
      <c r="T2026" s="41" t="inlineStr">
        <is>
          <t>26.01.21</t>
        </is>
      </c>
      <c r="U2026" s="42" t="inlineStr">
        <is>
          <t>아파트</t>
        </is>
      </c>
    </row>
    <row r="2027" hidden="1" ht="14.25" customHeight="1">
      <c r="A2027" s="41" t="n">
        <v>368</v>
      </c>
      <c r="B2027" s="42" t="inlineStr">
        <is>
          <t>서울특별시 서초구 서초동</t>
        </is>
      </c>
      <c r="C2027" s="41" t="inlineStr">
        <is>
          <t>1446-11</t>
        </is>
      </c>
      <c r="D2027" s="41" t="inlineStr">
        <is>
          <t>1446</t>
        </is>
      </c>
      <c r="E2027" s="41" t="inlineStr">
        <is>
          <t>0011</t>
        </is>
      </c>
      <c r="F2027" s="42" t="inlineStr">
        <is>
          <t>현대슈퍼빌</t>
        </is>
      </c>
      <c r="G2027" s="41" t="inlineStr">
        <is>
          <t>185.0200</t>
        </is>
      </c>
      <c r="H2027" s="41" t="inlineStr">
        <is>
          <t>202509</t>
        </is>
      </c>
      <c r="I2027" s="41" t="inlineStr">
        <is>
          <t>16</t>
        </is>
      </c>
      <c r="J2027" s="41" t="inlineStr">
        <is>
          <t>300,000</t>
        </is>
      </c>
      <c r="K2027" s="41" t="inlineStr">
        <is>
          <t>D</t>
        </is>
      </c>
      <c r="L2027" s="41" t="inlineStr">
        <is>
          <t>13</t>
        </is>
      </c>
      <c r="M2027" s="42" t="inlineStr">
        <is>
          <t>개인</t>
        </is>
      </c>
      <c r="N2027" s="42" t="inlineStr">
        <is>
          <t>개인</t>
        </is>
      </c>
      <c r="O2027" s="41" t="inlineStr">
        <is>
          <t>2003</t>
        </is>
      </c>
      <c r="P2027" s="42" t="inlineStr">
        <is>
          <t>서초중앙로 15</t>
        </is>
      </c>
      <c r="Q2027" s="41" t="inlineStr">
        <is>
          <t>-</t>
        </is>
      </c>
      <c r="R2027" s="42" t="inlineStr">
        <is>
          <t>중개거래</t>
        </is>
      </c>
      <c r="S2027" s="42" t="inlineStr">
        <is>
          <t>서울 서초구</t>
        </is>
      </c>
      <c r="T2027" s="41" t="inlineStr">
        <is>
          <t>25.12.31</t>
        </is>
      </c>
      <c r="U2027" s="42" t="inlineStr">
        <is>
          <t>아파트</t>
        </is>
      </c>
    </row>
    <row r="2028" hidden="1" ht="14.25" customHeight="1">
      <c r="A2028" s="41" t="n">
        <v>369</v>
      </c>
      <c r="B2028" s="42" t="inlineStr">
        <is>
          <t>서울특별시 서초구 서초동</t>
        </is>
      </c>
      <c r="C2028" s="41" t="inlineStr">
        <is>
          <t>1315</t>
        </is>
      </c>
      <c r="D2028" s="41" t="inlineStr">
        <is>
          <t>1315</t>
        </is>
      </c>
      <c r="E2028" s="41" t="inlineStr">
        <is>
          <t>0000</t>
        </is>
      </c>
      <c r="F2028" s="42" t="inlineStr">
        <is>
          <t>진흥아파트</t>
        </is>
      </c>
      <c r="G2028" s="41" t="inlineStr">
        <is>
          <t>101.3200</t>
        </is>
      </c>
      <c r="H2028" s="41" t="inlineStr">
        <is>
          <t>202509</t>
        </is>
      </c>
      <c r="I2028" s="41" t="inlineStr">
        <is>
          <t>15</t>
        </is>
      </c>
      <c r="J2028" s="41" t="inlineStr">
        <is>
          <t>330,000</t>
        </is>
      </c>
      <c r="K2028" s="41" t="inlineStr">
        <is>
          <t>2</t>
        </is>
      </c>
      <c r="L2028" s="41" t="inlineStr">
        <is>
          <t>9</t>
        </is>
      </c>
      <c r="M2028" s="42" t="inlineStr">
        <is>
          <t>개인</t>
        </is>
      </c>
      <c r="N2028" s="42" t="inlineStr">
        <is>
          <t>개인</t>
        </is>
      </c>
      <c r="O2028" s="41" t="inlineStr">
        <is>
          <t>1979</t>
        </is>
      </c>
      <c r="P2028" s="42" t="inlineStr">
        <is>
          <t>서초대로 385</t>
        </is>
      </c>
      <c r="Q2028" s="41" t="inlineStr">
        <is>
          <t>-</t>
        </is>
      </c>
      <c r="R2028" s="42" t="inlineStr">
        <is>
          <t>중개거래</t>
        </is>
      </c>
      <c r="S2028" s="42" t="inlineStr">
        <is>
          <t>서울 서초구</t>
        </is>
      </c>
      <c r="T2028" s="41" t="inlineStr">
        <is>
          <t>25.11.03</t>
        </is>
      </c>
      <c r="U2028" s="42" t="inlineStr">
        <is>
          <t>아파트</t>
        </is>
      </c>
    </row>
    <row r="2029" hidden="1" ht="14.25" customHeight="1">
      <c r="A2029" s="41" t="n">
        <v>370</v>
      </c>
      <c r="B2029" s="42" t="inlineStr">
        <is>
          <t>서울특별시 서초구 서초동</t>
        </is>
      </c>
      <c r="C2029" s="41" t="inlineStr">
        <is>
          <t>1445-4</t>
        </is>
      </c>
      <c r="D2029" s="41" t="inlineStr">
        <is>
          <t>1445</t>
        </is>
      </c>
      <c r="E2029" s="41" t="inlineStr">
        <is>
          <t>0004</t>
        </is>
      </c>
      <c r="F2029" s="42" t="inlineStr">
        <is>
          <t>래미안서초유니빌</t>
        </is>
      </c>
      <c r="G2029" s="41" t="inlineStr">
        <is>
          <t>45.2550</t>
        </is>
      </c>
      <c r="H2029" s="41" t="inlineStr">
        <is>
          <t>202509</t>
        </is>
      </c>
      <c r="I2029" s="41" t="inlineStr">
        <is>
          <t>13</t>
        </is>
      </c>
      <c r="J2029" s="41" t="inlineStr">
        <is>
          <t>56,000</t>
        </is>
      </c>
      <c r="K2029" s="42" t="inlineStr">
        <is>
          <t>래미안 서초유니빌</t>
        </is>
      </c>
      <c r="L2029" s="41" t="inlineStr">
        <is>
          <t>17</t>
        </is>
      </c>
      <c r="M2029" s="42" t="inlineStr">
        <is>
          <t>개인</t>
        </is>
      </c>
      <c r="N2029" s="42" t="inlineStr">
        <is>
          <t>개인</t>
        </is>
      </c>
      <c r="O2029" s="41" t="inlineStr">
        <is>
          <t>2003</t>
        </is>
      </c>
      <c r="P2029" s="42" t="inlineStr">
        <is>
          <t>서초중앙로 26</t>
        </is>
      </c>
      <c r="Q2029" s="41" t="inlineStr">
        <is>
          <t>-</t>
        </is>
      </c>
      <c r="R2029" s="42" t="inlineStr">
        <is>
          <t>중개거래</t>
        </is>
      </c>
      <c r="S2029" s="42" t="inlineStr">
        <is>
          <t>서울 송파구</t>
        </is>
      </c>
      <c r="T2029" s="41" t="inlineStr">
        <is>
          <t>25.10.29</t>
        </is>
      </c>
      <c r="U2029" s="42" t="inlineStr">
        <is>
          <t>아파트</t>
        </is>
      </c>
    </row>
    <row r="2030" hidden="1" ht="14.25" customHeight="1">
      <c r="A2030" s="41" t="n">
        <v>371</v>
      </c>
      <c r="B2030" s="42" t="inlineStr">
        <is>
          <t>서울특별시 서초구 서초동</t>
        </is>
      </c>
      <c r="C2030" s="41" t="inlineStr">
        <is>
          <t>1685-3</t>
        </is>
      </c>
      <c r="D2030" s="41" t="inlineStr">
        <is>
          <t>1685</t>
        </is>
      </c>
      <c r="E2030" s="41" t="inlineStr">
        <is>
          <t>0003</t>
        </is>
      </c>
      <c r="F2030" s="42" t="inlineStr">
        <is>
          <t>아크로비스타</t>
        </is>
      </c>
      <c r="G2030" s="41" t="inlineStr">
        <is>
          <t>149.1700</t>
        </is>
      </c>
      <c r="H2030" s="41" t="inlineStr">
        <is>
          <t>202509</t>
        </is>
      </c>
      <c r="I2030" s="41" t="inlineStr">
        <is>
          <t>13</t>
        </is>
      </c>
      <c r="J2030" s="41" t="inlineStr">
        <is>
          <t>320,000</t>
        </is>
      </c>
      <c r="K2030" s="41" t="inlineStr">
        <is>
          <t>B</t>
        </is>
      </c>
      <c r="L2030" s="41" t="inlineStr">
        <is>
          <t>32</t>
        </is>
      </c>
      <c r="M2030" s="42" t="inlineStr">
        <is>
          <t>개인</t>
        </is>
      </c>
      <c r="N2030" s="42" t="inlineStr">
        <is>
          <t>개인</t>
        </is>
      </c>
      <c r="O2030" s="41" t="inlineStr">
        <is>
          <t>2004</t>
        </is>
      </c>
      <c r="P2030" s="42" t="inlineStr">
        <is>
          <t>서초중앙로 188</t>
        </is>
      </c>
      <c r="Q2030" s="41" t="inlineStr">
        <is>
          <t>-</t>
        </is>
      </c>
      <c r="R2030" s="42" t="inlineStr">
        <is>
          <t>중개거래</t>
        </is>
      </c>
      <c r="S2030" s="42" t="inlineStr">
        <is>
          <t>서울 서초구</t>
        </is>
      </c>
      <c r="T2030" s="41" t="inlineStr">
        <is>
          <t>26.01.14</t>
        </is>
      </c>
      <c r="U2030" s="42" t="inlineStr">
        <is>
          <t>아파트</t>
        </is>
      </c>
    </row>
    <row r="2031" hidden="1" ht="14.25" customHeight="1">
      <c r="A2031" s="41" t="n">
        <v>372</v>
      </c>
      <c r="B2031" s="42" t="inlineStr">
        <is>
          <t>서울특별시 서초구 서초동</t>
        </is>
      </c>
      <c r="C2031" s="41" t="inlineStr">
        <is>
          <t>1472-21</t>
        </is>
      </c>
      <c r="D2031" s="41" t="inlineStr">
        <is>
          <t>1472</t>
        </is>
      </c>
      <c r="E2031" s="41" t="inlineStr">
        <is>
          <t>0021</t>
        </is>
      </c>
      <c r="F2031" s="42" t="inlineStr">
        <is>
          <t>새티스2</t>
        </is>
      </c>
      <c r="G2031" s="41" t="inlineStr">
        <is>
          <t>75.6000</t>
        </is>
      </c>
      <c r="H2031" s="41" t="inlineStr">
        <is>
          <t>202509</t>
        </is>
      </c>
      <c r="I2031" s="41" t="inlineStr">
        <is>
          <t>12</t>
        </is>
      </c>
      <c r="J2031" s="41" t="inlineStr">
        <is>
          <t>94,000</t>
        </is>
      </c>
      <c r="K2031" s="41" t="inlineStr">
        <is>
          <t>-</t>
        </is>
      </c>
      <c r="L2031" s="41" t="inlineStr">
        <is>
          <t>5</t>
        </is>
      </c>
      <c r="M2031" s="42" t="inlineStr">
        <is>
          <t>개인</t>
        </is>
      </c>
      <c r="N2031" s="42" t="inlineStr">
        <is>
          <t>개인</t>
        </is>
      </c>
      <c r="O2031" s="41" t="inlineStr">
        <is>
          <t>2002</t>
        </is>
      </c>
      <c r="P2031" s="42" t="inlineStr">
        <is>
          <t>반포대로3길 48</t>
        </is>
      </c>
      <c r="Q2031" s="41" t="inlineStr">
        <is>
          <t>-</t>
        </is>
      </c>
      <c r="R2031" s="42" t="inlineStr">
        <is>
          <t>중개거래</t>
        </is>
      </c>
      <c r="S2031" s="42" t="inlineStr">
        <is>
          <t>서울 서초구</t>
        </is>
      </c>
      <c r="T2031" s="41" t="inlineStr">
        <is>
          <t>25.10.16</t>
        </is>
      </c>
      <c r="U2031" s="42" t="inlineStr">
        <is>
          <t>아파트</t>
        </is>
      </c>
    </row>
    <row r="2032" hidden="1" ht="14.25" customHeight="1">
      <c r="A2032" s="41" t="n">
        <v>373</v>
      </c>
      <c r="B2032" s="42" t="inlineStr">
        <is>
          <t>서울특별시 서초구 서초동</t>
        </is>
      </c>
      <c r="C2032" s="41" t="inlineStr">
        <is>
          <t>1477-1</t>
        </is>
      </c>
      <c r="D2032" s="41" t="inlineStr">
        <is>
          <t>1477</t>
        </is>
      </c>
      <c r="E2032" s="41" t="inlineStr">
        <is>
          <t>0001</t>
        </is>
      </c>
      <c r="F2032" s="42" t="inlineStr">
        <is>
          <t>아이파크빌</t>
        </is>
      </c>
      <c r="G2032" s="41" t="inlineStr">
        <is>
          <t>179.2800</t>
        </is>
      </c>
      <c r="H2032" s="41" t="inlineStr">
        <is>
          <t>202509</t>
        </is>
      </c>
      <c r="I2032" s="41" t="inlineStr">
        <is>
          <t>10</t>
        </is>
      </c>
      <c r="J2032" s="41" t="inlineStr">
        <is>
          <t>250,000</t>
        </is>
      </c>
      <c r="K2032" s="41" t="inlineStr">
        <is>
          <t>101</t>
        </is>
      </c>
      <c r="L2032" s="41" t="inlineStr">
        <is>
          <t>6</t>
        </is>
      </c>
      <c r="M2032" s="42" t="inlineStr">
        <is>
          <t>개인</t>
        </is>
      </c>
      <c r="N2032" s="42" t="inlineStr">
        <is>
          <t>개인</t>
        </is>
      </c>
      <c r="O2032" s="41" t="inlineStr">
        <is>
          <t>2001</t>
        </is>
      </c>
      <c r="P2032" s="42" t="inlineStr">
        <is>
          <t>반포대로5길 65</t>
        </is>
      </c>
      <c r="Q2032" s="41" t="inlineStr">
        <is>
          <t>-</t>
        </is>
      </c>
      <c r="R2032" s="42" t="inlineStr">
        <is>
          <t>중개거래</t>
        </is>
      </c>
      <c r="S2032" s="42" t="inlineStr">
        <is>
          <t>서울 서초구</t>
        </is>
      </c>
      <c r="T2032" s="41" t="inlineStr">
        <is>
          <t>25.12.23</t>
        </is>
      </c>
      <c r="U2032" s="42" t="inlineStr">
        <is>
          <t>아파트</t>
        </is>
      </c>
    </row>
    <row r="2033" hidden="1" ht="14.25" customHeight="1">
      <c r="A2033" s="41" t="n">
        <v>374</v>
      </c>
      <c r="B2033" s="42" t="inlineStr">
        <is>
          <t>서울특별시 서초구 서초동</t>
        </is>
      </c>
      <c r="C2033" s="41" t="inlineStr">
        <is>
          <t>1755</t>
        </is>
      </c>
      <c r="D2033" s="41" t="inlineStr">
        <is>
          <t>1755</t>
        </is>
      </c>
      <c r="E2033" s="41" t="inlineStr">
        <is>
          <t>0000</t>
        </is>
      </c>
      <c r="F2033" s="42" t="inlineStr">
        <is>
          <t>래미안 리더스원</t>
        </is>
      </c>
      <c r="G2033" s="41" t="inlineStr">
        <is>
          <t>114.9400</t>
        </is>
      </c>
      <c r="H2033" s="41" t="inlineStr">
        <is>
          <t>202509</t>
        </is>
      </c>
      <c r="I2033" s="41" t="inlineStr">
        <is>
          <t>10</t>
        </is>
      </c>
      <c r="J2033" s="41" t="inlineStr">
        <is>
          <t>425,000</t>
        </is>
      </c>
      <c r="K2033" s="41" t="inlineStr">
        <is>
          <t>107동</t>
        </is>
      </c>
      <c r="L2033" s="41" t="inlineStr">
        <is>
          <t>8</t>
        </is>
      </c>
      <c r="M2033" s="42" t="inlineStr">
        <is>
          <t>개인</t>
        </is>
      </c>
      <c r="N2033" s="42" t="inlineStr">
        <is>
          <t>개인</t>
        </is>
      </c>
      <c r="O2033" s="41" t="inlineStr">
        <is>
          <t>2020</t>
        </is>
      </c>
      <c r="P2033" s="42" t="inlineStr">
        <is>
          <t>서운로 62</t>
        </is>
      </c>
      <c r="Q2033" s="41" t="inlineStr">
        <is>
          <t>-</t>
        </is>
      </c>
      <c r="R2033" s="42" t="inlineStr">
        <is>
          <t>중개거래</t>
        </is>
      </c>
      <c r="S2033" s="42" t="inlineStr">
        <is>
          <t>서울 서초구</t>
        </is>
      </c>
      <c r="T2033" s="41" t="inlineStr">
        <is>
          <t>25.11.28</t>
        </is>
      </c>
      <c r="U2033" s="42" t="inlineStr">
        <is>
          <t>아파트</t>
        </is>
      </c>
    </row>
    <row r="2034" hidden="1" ht="14.25" customHeight="1">
      <c r="A2034" s="41" t="n">
        <v>375</v>
      </c>
      <c r="B2034" s="42" t="inlineStr">
        <is>
          <t>서울특별시 서초구 서초동</t>
        </is>
      </c>
      <c r="C2034" s="41" t="inlineStr">
        <is>
          <t>1675-11</t>
        </is>
      </c>
      <c r="D2034" s="41" t="inlineStr">
        <is>
          <t>1675</t>
        </is>
      </c>
      <c r="E2034" s="41" t="inlineStr">
        <is>
          <t>0011</t>
        </is>
      </c>
      <c r="F2034" s="42" t="inlineStr">
        <is>
          <t>서초대우아이빌</t>
        </is>
      </c>
      <c r="G2034" s="41" t="inlineStr">
        <is>
          <t>35.3070</t>
        </is>
      </c>
      <c r="H2034" s="41" t="inlineStr">
        <is>
          <t>202509</t>
        </is>
      </c>
      <c r="I2034" s="41" t="inlineStr">
        <is>
          <t>09</t>
        </is>
      </c>
      <c r="J2034" s="41" t="inlineStr">
        <is>
          <t>31,000</t>
        </is>
      </c>
      <c r="K2034" s="42" t="inlineStr">
        <is>
          <t>서초 대우아이빌</t>
        </is>
      </c>
      <c r="L2034" s="41" t="inlineStr">
        <is>
          <t>6</t>
        </is>
      </c>
      <c r="M2034" s="42" t="inlineStr">
        <is>
          <t>개인</t>
        </is>
      </c>
      <c r="N2034" s="42" t="inlineStr">
        <is>
          <t>개인</t>
        </is>
      </c>
      <c r="O2034" s="41" t="inlineStr">
        <is>
          <t>2003</t>
        </is>
      </c>
      <c r="P2034" s="42" t="inlineStr">
        <is>
          <t>서초대로58길 10</t>
        </is>
      </c>
      <c r="Q2034" s="41" t="inlineStr">
        <is>
          <t>-</t>
        </is>
      </c>
      <c r="R2034" s="42" t="inlineStr">
        <is>
          <t>중개거래</t>
        </is>
      </c>
      <c r="S2034" s="42" t="inlineStr">
        <is>
          <t>서울 서초구</t>
        </is>
      </c>
      <c r="T2034" s="41" t="inlineStr">
        <is>
          <t>25.10.30</t>
        </is>
      </c>
      <c r="U2034" s="42" t="inlineStr">
        <is>
          <t>아파트</t>
        </is>
      </c>
    </row>
    <row r="2035" hidden="1" ht="14.25" customHeight="1">
      <c r="A2035" s="41" t="n">
        <v>376</v>
      </c>
      <c r="B2035" s="42" t="inlineStr">
        <is>
          <t>서울특별시 서초구 서초동</t>
        </is>
      </c>
      <c r="C2035" s="41" t="inlineStr">
        <is>
          <t>1311-10</t>
        </is>
      </c>
      <c r="D2035" s="41" t="inlineStr">
        <is>
          <t>1311</t>
        </is>
      </c>
      <c r="E2035" s="41" t="inlineStr">
        <is>
          <t>0010</t>
        </is>
      </c>
      <c r="F2035" s="42" t="inlineStr">
        <is>
          <t>서초푸르지오써밋</t>
        </is>
      </c>
      <c r="G2035" s="41" t="inlineStr">
        <is>
          <t>74.9300</t>
        </is>
      </c>
      <c r="H2035" s="41" t="inlineStr">
        <is>
          <t>202509</t>
        </is>
      </c>
      <c r="I2035" s="41" t="inlineStr">
        <is>
          <t>09</t>
        </is>
      </c>
      <c r="J2035" s="41" t="inlineStr">
        <is>
          <t>330,000</t>
        </is>
      </c>
      <c r="K2035" s="41" t="inlineStr">
        <is>
          <t>104</t>
        </is>
      </c>
      <c r="L2035" s="41" t="inlineStr">
        <is>
          <t>6</t>
        </is>
      </c>
      <c r="M2035" s="42" t="inlineStr">
        <is>
          <t>개인</t>
        </is>
      </c>
      <c r="N2035" s="42" t="inlineStr">
        <is>
          <t>개인</t>
        </is>
      </c>
      <c r="O2035" s="41" t="inlineStr">
        <is>
          <t>2017</t>
        </is>
      </c>
      <c r="P2035" s="42" t="inlineStr">
        <is>
          <t>서운로 201</t>
        </is>
      </c>
      <c r="Q2035" s="41" t="inlineStr">
        <is>
          <t>-</t>
        </is>
      </c>
      <c r="R2035" s="42" t="inlineStr">
        <is>
          <t>중개거래</t>
        </is>
      </c>
      <c r="S2035" s="42" t="inlineStr">
        <is>
          <t>서울 서초구</t>
        </is>
      </c>
      <c r="T2035" s="41" t="inlineStr">
        <is>
          <t>25.12.16</t>
        </is>
      </c>
      <c r="U2035" s="42" t="inlineStr">
        <is>
          <t>아파트</t>
        </is>
      </c>
    </row>
    <row r="2036" hidden="1" ht="14.25" customHeight="1">
      <c r="A2036" s="41" t="n">
        <v>377</v>
      </c>
      <c r="B2036" s="42" t="inlineStr">
        <is>
          <t>서울특별시 서초구 서초동</t>
        </is>
      </c>
      <c r="C2036" s="41" t="inlineStr">
        <is>
          <t>1337-22</t>
        </is>
      </c>
      <c r="D2036" s="41" t="inlineStr">
        <is>
          <t>1337</t>
        </is>
      </c>
      <c r="E2036" s="41" t="inlineStr">
        <is>
          <t>0022</t>
        </is>
      </c>
      <c r="F2036" s="42" t="inlineStr">
        <is>
          <t>서초동대우디오빌프라임</t>
        </is>
      </c>
      <c r="G2036" s="41" t="inlineStr">
        <is>
          <t>84.9700</t>
        </is>
      </c>
      <c r="H2036" s="41" t="inlineStr">
        <is>
          <t>202509</t>
        </is>
      </c>
      <c r="I2036" s="41" t="inlineStr">
        <is>
          <t>09</t>
        </is>
      </c>
      <c r="J2036" s="41" t="inlineStr">
        <is>
          <t>126,000</t>
        </is>
      </c>
      <c r="K2036" s="42" t="inlineStr">
        <is>
          <t>서초동대우디오빌프라임</t>
        </is>
      </c>
      <c r="L2036" s="41" t="inlineStr">
        <is>
          <t>12</t>
        </is>
      </c>
      <c r="M2036" s="42" t="inlineStr">
        <is>
          <t>개인</t>
        </is>
      </c>
      <c r="N2036" s="42" t="inlineStr">
        <is>
          <t>개인</t>
        </is>
      </c>
      <c r="O2036" s="41" t="inlineStr">
        <is>
          <t>2005</t>
        </is>
      </c>
      <c r="P2036" s="42" t="inlineStr">
        <is>
          <t>강남대로 321</t>
        </is>
      </c>
      <c r="Q2036" s="41" t="inlineStr">
        <is>
          <t>-</t>
        </is>
      </c>
      <c r="R2036" s="42" t="inlineStr">
        <is>
          <t>중개거래</t>
        </is>
      </c>
      <c r="S2036" s="42" t="inlineStr">
        <is>
          <t>경기 용인시 수지구, 서울 강남구</t>
        </is>
      </c>
      <c r="T2036" s="41" t="inlineStr">
        <is>
          <t>25.11.14</t>
        </is>
      </c>
      <c r="U2036" s="42" t="inlineStr">
        <is>
          <t>아파트</t>
        </is>
      </c>
    </row>
    <row r="2037" hidden="1" ht="14.25" customHeight="1">
      <c r="A2037" s="41" t="n">
        <v>378</v>
      </c>
      <c r="B2037" s="42" t="inlineStr">
        <is>
          <t>서울특별시 서초구 서초동</t>
        </is>
      </c>
      <c r="C2037" s="41" t="inlineStr">
        <is>
          <t>1593-7</t>
        </is>
      </c>
      <c r="D2037" s="41" t="inlineStr">
        <is>
          <t>1593</t>
        </is>
      </c>
      <c r="E2037" s="41" t="inlineStr">
        <is>
          <t>0007</t>
        </is>
      </c>
      <c r="F2037" s="42" t="inlineStr">
        <is>
          <t>서초이오빌</t>
        </is>
      </c>
      <c r="G2037" s="41" t="inlineStr">
        <is>
          <t>36.6600</t>
        </is>
      </c>
      <c r="H2037" s="41" t="inlineStr">
        <is>
          <t>202509</t>
        </is>
      </c>
      <c r="I2037" s="41" t="inlineStr">
        <is>
          <t>08</t>
        </is>
      </c>
      <c r="J2037" s="41" t="inlineStr">
        <is>
          <t>38,400</t>
        </is>
      </c>
      <c r="K2037" s="41" t="inlineStr">
        <is>
          <t>-</t>
        </is>
      </c>
      <c r="L2037" s="41" t="inlineStr">
        <is>
          <t>20</t>
        </is>
      </c>
      <c r="M2037" s="42" t="inlineStr">
        <is>
          <t>개인</t>
        </is>
      </c>
      <c r="N2037" s="42" t="inlineStr">
        <is>
          <t>개인</t>
        </is>
      </c>
      <c r="O2037" s="41" t="inlineStr">
        <is>
          <t>2003</t>
        </is>
      </c>
      <c r="P2037" s="42" t="inlineStr">
        <is>
          <t>효령로53길 45</t>
        </is>
      </c>
      <c r="Q2037" s="41" t="inlineStr">
        <is>
          <t>-</t>
        </is>
      </c>
      <c r="R2037" s="42" t="inlineStr">
        <is>
          <t>중개거래</t>
        </is>
      </c>
      <c r="S2037" s="42" t="inlineStr">
        <is>
          <t>서울 서초구</t>
        </is>
      </c>
      <c r="T2037" s="41" t="inlineStr">
        <is>
          <t>25.11.28</t>
        </is>
      </c>
      <c r="U2037" s="42" t="inlineStr">
        <is>
          <t>아파트</t>
        </is>
      </c>
    </row>
    <row r="2038" hidden="1" ht="14.25" customHeight="1">
      <c r="A2038" s="41" t="n">
        <v>379</v>
      </c>
      <c r="B2038" s="42" t="inlineStr">
        <is>
          <t>서울특별시 서초구 서초동</t>
        </is>
      </c>
      <c r="C2038" s="41" t="inlineStr">
        <is>
          <t>1446-11</t>
        </is>
      </c>
      <c r="D2038" s="41" t="inlineStr">
        <is>
          <t>1446</t>
        </is>
      </c>
      <c r="E2038" s="41" t="inlineStr">
        <is>
          <t>0011</t>
        </is>
      </c>
      <c r="F2038" s="42" t="inlineStr">
        <is>
          <t>현대슈퍼빌</t>
        </is>
      </c>
      <c r="G2038" s="41" t="inlineStr">
        <is>
          <t>164.8700</t>
        </is>
      </c>
      <c r="H2038" s="41" t="inlineStr">
        <is>
          <t>202509</t>
        </is>
      </c>
      <c r="I2038" s="41" t="inlineStr">
        <is>
          <t>06</t>
        </is>
      </c>
      <c r="J2038" s="41" t="inlineStr">
        <is>
          <t>295,000</t>
        </is>
      </c>
      <c r="K2038" s="41" t="inlineStr">
        <is>
          <t>A</t>
        </is>
      </c>
      <c r="L2038" s="41" t="inlineStr">
        <is>
          <t>36</t>
        </is>
      </c>
      <c r="M2038" s="42" t="inlineStr">
        <is>
          <t>개인</t>
        </is>
      </c>
      <c r="N2038" s="42" t="inlineStr">
        <is>
          <t>개인</t>
        </is>
      </c>
      <c r="O2038" s="41" t="inlineStr">
        <is>
          <t>2003</t>
        </is>
      </c>
      <c r="P2038" s="42" t="inlineStr">
        <is>
          <t>서초중앙로 15</t>
        </is>
      </c>
      <c r="Q2038" s="41" t="inlineStr">
        <is>
          <t>-</t>
        </is>
      </c>
      <c r="R2038" s="42" t="inlineStr">
        <is>
          <t>중개거래</t>
        </is>
      </c>
      <c r="S2038" s="42" t="inlineStr">
        <is>
          <t>서울 강동구, 서울 서초구</t>
        </is>
      </c>
      <c r="T2038" s="41" t="inlineStr">
        <is>
          <t>25.11.27</t>
        </is>
      </c>
      <c r="U2038" s="42" t="inlineStr">
        <is>
          <t>아파트</t>
        </is>
      </c>
    </row>
    <row r="2039" hidden="1" ht="14.25" customHeight="1">
      <c r="A2039" s="41" t="n">
        <v>380</v>
      </c>
      <c r="B2039" s="42" t="inlineStr">
        <is>
          <t>서울특별시 서초구 서초동</t>
        </is>
      </c>
      <c r="C2039" s="41" t="inlineStr">
        <is>
          <t>1506-88</t>
        </is>
      </c>
      <c r="D2039" s="41" t="inlineStr">
        <is>
          <t>1506</t>
        </is>
      </c>
      <c r="E2039" s="41" t="inlineStr">
        <is>
          <t>0088</t>
        </is>
      </c>
      <c r="F2039" s="42" t="inlineStr">
        <is>
          <t>현대홈타운</t>
        </is>
      </c>
      <c r="G2039" s="41" t="inlineStr">
        <is>
          <t>134.1900</t>
        </is>
      </c>
      <c r="H2039" s="41" t="inlineStr">
        <is>
          <t>202509</t>
        </is>
      </c>
      <c r="I2039" s="41" t="inlineStr">
        <is>
          <t>06</t>
        </is>
      </c>
      <c r="J2039" s="41" t="inlineStr">
        <is>
          <t>235,000</t>
        </is>
      </c>
      <c r="K2039" s="41" t="inlineStr">
        <is>
          <t>101</t>
        </is>
      </c>
      <c r="L2039" s="41" t="inlineStr">
        <is>
          <t>2</t>
        </is>
      </c>
      <c r="M2039" s="42" t="inlineStr">
        <is>
          <t>개인</t>
        </is>
      </c>
      <c r="N2039" s="42" t="inlineStr">
        <is>
          <t>개인</t>
        </is>
      </c>
      <c r="O2039" s="41" t="inlineStr">
        <is>
          <t>2005</t>
        </is>
      </c>
      <c r="P2039" s="42" t="inlineStr">
        <is>
          <t>반포대로23길 71</t>
        </is>
      </c>
      <c r="Q2039" s="41" t="inlineStr">
        <is>
          <t>-</t>
        </is>
      </c>
      <c r="R2039" s="42" t="inlineStr">
        <is>
          <t>중개거래</t>
        </is>
      </c>
      <c r="S2039" s="42" t="inlineStr">
        <is>
          <t>서울 서초구</t>
        </is>
      </c>
      <c r="T2039" s="41" t="inlineStr">
        <is>
          <t>25.12.16</t>
        </is>
      </c>
      <c r="U2039" s="42" t="inlineStr">
        <is>
          <t>아파트</t>
        </is>
      </c>
    </row>
    <row r="2040" hidden="1" ht="14.25" customHeight="1">
      <c r="A2040" s="41" t="n">
        <v>381</v>
      </c>
      <c r="B2040" s="42" t="inlineStr">
        <is>
          <t>서울특별시 서초구 서초동</t>
        </is>
      </c>
      <c r="C2040" s="41" t="inlineStr">
        <is>
          <t>1330</t>
        </is>
      </c>
      <c r="D2040" s="41" t="inlineStr">
        <is>
          <t>1330</t>
        </is>
      </c>
      <c r="E2040" s="41" t="inlineStr">
        <is>
          <t>0000</t>
        </is>
      </c>
      <c r="F2040" s="42" t="inlineStr">
        <is>
          <t>서초동삼성쉐르빌2</t>
        </is>
      </c>
      <c r="G2040" s="41" t="inlineStr">
        <is>
          <t>35.2200</t>
        </is>
      </c>
      <c r="H2040" s="41" t="inlineStr">
        <is>
          <t>202509</t>
        </is>
      </c>
      <c r="I2040" s="41" t="inlineStr">
        <is>
          <t>06</t>
        </is>
      </c>
      <c r="J2040" s="41" t="inlineStr">
        <is>
          <t>31,000</t>
        </is>
      </c>
      <c r="K2040" s="41" t="inlineStr">
        <is>
          <t>-</t>
        </is>
      </c>
      <c r="L2040" s="41" t="inlineStr">
        <is>
          <t>4</t>
        </is>
      </c>
      <c r="M2040" s="42" t="inlineStr">
        <is>
          <t>개인</t>
        </is>
      </c>
      <c r="N2040" s="42" t="inlineStr">
        <is>
          <t>개인</t>
        </is>
      </c>
      <c r="O2040" s="41" t="inlineStr">
        <is>
          <t>2002</t>
        </is>
      </c>
      <c r="P2040" s="42" t="inlineStr">
        <is>
          <t>강남대로53길 11</t>
        </is>
      </c>
      <c r="Q2040" s="41" t="inlineStr">
        <is>
          <t>-</t>
        </is>
      </c>
      <c r="R2040" s="42" t="inlineStr">
        <is>
          <t>중개거래</t>
        </is>
      </c>
      <c r="S2040" s="42" t="inlineStr">
        <is>
          <t>서울 서초구</t>
        </is>
      </c>
      <c r="T2040" s="41" t="inlineStr">
        <is>
          <t>25.12.08</t>
        </is>
      </c>
      <c r="U2040" s="42" t="inlineStr">
        <is>
          <t>아파트</t>
        </is>
      </c>
    </row>
    <row r="2041" hidden="1" ht="14.25" customHeight="1">
      <c r="A2041" s="41" t="n">
        <v>382</v>
      </c>
      <c r="B2041" s="42" t="inlineStr">
        <is>
          <t>서울특별시 서초구 서초동</t>
        </is>
      </c>
      <c r="C2041" s="41" t="inlineStr">
        <is>
          <t>1330</t>
        </is>
      </c>
      <c r="D2041" s="41" t="inlineStr">
        <is>
          <t>1330</t>
        </is>
      </c>
      <c r="E2041" s="41" t="inlineStr">
        <is>
          <t>0000</t>
        </is>
      </c>
      <c r="F2041" s="42" t="inlineStr">
        <is>
          <t>서초동삼성쉐르빌2</t>
        </is>
      </c>
      <c r="G2041" s="41" t="inlineStr">
        <is>
          <t>52.8300</t>
        </is>
      </c>
      <c r="H2041" s="41" t="inlineStr">
        <is>
          <t>202509</t>
        </is>
      </c>
      <c r="I2041" s="41" t="inlineStr">
        <is>
          <t>06</t>
        </is>
      </c>
      <c r="J2041" s="41" t="inlineStr">
        <is>
          <t>65,000</t>
        </is>
      </c>
      <c r="K2041" s="41" t="inlineStr">
        <is>
          <t>-</t>
        </is>
      </c>
      <c r="L2041" s="41" t="inlineStr">
        <is>
          <t>14</t>
        </is>
      </c>
      <c r="M2041" s="42" t="inlineStr">
        <is>
          <t>개인</t>
        </is>
      </c>
      <c r="N2041" s="42" t="inlineStr">
        <is>
          <t>개인</t>
        </is>
      </c>
      <c r="O2041" s="41" t="inlineStr">
        <is>
          <t>2002</t>
        </is>
      </c>
      <c r="P2041" s="42" t="inlineStr">
        <is>
          <t>강남대로53길 11</t>
        </is>
      </c>
      <c r="Q2041" s="41" t="inlineStr">
        <is>
          <t>-</t>
        </is>
      </c>
      <c r="R2041" s="42" t="inlineStr">
        <is>
          <t>중개거래</t>
        </is>
      </c>
      <c r="S2041" s="42" t="inlineStr">
        <is>
          <t>서울 서초구</t>
        </is>
      </c>
      <c r="T2041" s="41" t="inlineStr">
        <is>
          <t>25.09.17</t>
        </is>
      </c>
      <c r="U2041" s="42" t="inlineStr">
        <is>
          <t>아파트</t>
        </is>
      </c>
    </row>
    <row r="2042" hidden="1" ht="14.25" customHeight="1">
      <c r="A2042" s="41" t="n">
        <v>383</v>
      </c>
      <c r="B2042" s="42" t="inlineStr">
        <is>
          <t>서울특별시 서초구 서초동</t>
        </is>
      </c>
      <c r="C2042" s="41" t="inlineStr">
        <is>
          <t>1754</t>
        </is>
      </c>
      <c r="D2042" s="41" t="inlineStr">
        <is>
          <t>1754</t>
        </is>
      </c>
      <c r="E2042" s="41" t="inlineStr">
        <is>
          <t>0000</t>
        </is>
      </c>
      <c r="F2042" s="42" t="inlineStr">
        <is>
          <t>래미안서초에스티지S</t>
        </is>
      </c>
      <c r="G2042" s="41" t="inlineStr">
        <is>
          <t>84.8000</t>
        </is>
      </c>
      <c r="H2042" s="41" t="inlineStr">
        <is>
          <t>202509</t>
        </is>
      </c>
      <c r="I2042" s="41" t="inlineStr">
        <is>
          <t>06</t>
        </is>
      </c>
      <c r="J2042" s="41" t="inlineStr">
        <is>
          <t>341,000</t>
        </is>
      </c>
      <c r="K2042" s="41" t="inlineStr">
        <is>
          <t>204</t>
        </is>
      </c>
      <c r="L2042" s="41" t="inlineStr">
        <is>
          <t>13</t>
        </is>
      </c>
      <c r="M2042" s="42" t="inlineStr">
        <is>
          <t>개인</t>
        </is>
      </c>
      <c r="N2042" s="42" t="inlineStr">
        <is>
          <t>개인</t>
        </is>
      </c>
      <c r="O2042" s="41" t="inlineStr">
        <is>
          <t>2018</t>
        </is>
      </c>
      <c r="P2042" s="42" t="inlineStr">
        <is>
          <t>서운로 104</t>
        </is>
      </c>
      <c r="Q2042" s="41" t="inlineStr">
        <is>
          <t>-</t>
        </is>
      </c>
      <c r="R2042" s="42" t="inlineStr">
        <is>
          <t>중개거래</t>
        </is>
      </c>
      <c r="S2042" s="42" t="inlineStr">
        <is>
          <t>서울 서초구</t>
        </is>
      </c>
      <c r="T2042" s="41" t="inlineStr">
        <is>
          <t>25.11.24</t>
        </is>
      </c>
      <c r="U2042" s="42" t="inlineStr">
        <is>
          <t>아파트</t>
        </is>
      </c>
    </row>
    <row r="2043" hidden="1" ht="14.25" customHeight="1">
      <c r="A2043" s="41" t="n">
        <v>384</v>
      </c>
      <c r="B2043" s="42" t="inlineStr">
        <is>
          <t>서울특별시 서초구 서초동</t>
        </is>
      </c>
      <c r="C2043" s="41" t="inlineStr">
        <is>
          <t>1755</t>
        </is>
      </c>
      <c r="D2043" s="41" t="inlineStr">
        <is>
          <t>1755</t>
        </is>
      </c>
      <c r="E2043" s="41" t="inlineStr">
        <is>
          <t>0000</t>
        </is>
      </c>
      <c r="F2043" s="42" t="inlineStr">
        <is>
          <t>래미안 리더스원</t>
        </is>
      </c>
      <c r="G2043" s="41" t="inlineStr">
        <is>
          <t>114.9400</t>
        </is>
      </c>
      <c r="H2043" s="41" t="inlineStr">
        <is>
          <t>202509</t>
        </is>
      </c>
      <c r="I2043" s="41" t="inlineStr">
        <is>
          <t>05</t>
        </is>
      </c>
      <c r="J2043" s="41" t="inlineStr">
        <is>
          <t>428,000</t>
        </is>
      </c>
      <c r="K2043" s="41" t="inlineStr">
        <is>
          <t>107동</t>
        </is>
      </c>
      <c r="L2043" s="41" t="inlineStr">
        <is>
          <t>16</t>
        </is>
      </c>
      <c r="M2043" s="42" t="inlineStr">
        <is>
          <t>개인</t>
        </is>
      </c>
      <c r="N2043" s="42" t="inlineStr">
        <is>
          <t>개인</t>
        </is>
      </c>
      <c r="O2043" s="41" t="inlineStr">
        <is>
          <t>2020</t>
        </is>
      </c>
      <c r="P2043" s="42" t="inlineStr">
        <is>
          <t>서운로 62</t>
        </is>
      </c>
      <c r="Q2043" s="41" t="inlineStr">
        <is>
          <t>-</t>
        </is>
      </c>
      <c r="R2043" s="42" t="inlineStr">
        <is>
          <t>중개거래</t>
        </is>
      </c>
      <c r="S2043" s="42" t="inlineStr">
        <is>
          <t>서울 서초구</t>
        </is>
      </c>
      <c r="T2043" s="41" t="inlineStr">
        <is>
          <t>25.12.29</t>
        </is>
      </c>
      <c r="U2043" s="42" t="inlineStr">
        <is>
          <t>아파트</t>
        </is>
      </c>
    </row>
    <row r="2044" hidden="1" ht="14.25" customHeight="1">
      <c r="A2044" s="41" t="n">
        <v>385</v>
      </c>
      <c r="B2044" s="42" t="inlineStr">
        <is>
          <t>서울특별시 서초구 서초동</t>
        </is>
      </c>
      <c r="C2044" s="41" t="inlineStr">
        <is>
          <t>1445-4</t>
        </is>
      </c>
      <c r="D2044" s="41" t="inlineStr">
        <is>
          <t>1445</t>
        </is>
      </c>
      <c r="E2044" s="41" t="inlineStr">
        <is>
          <t>0004</t>
        </is>
      </c>
      <c r="F2044" s="42" t="inlineStr">
        <is>
          <t>래미안서초유니빌</t>
        </is>
      </c>
      <c r="G2044" s="41" t="inlineStr">
        <is>
          <t>56.3440</t>
        </is>
      </c>
      <c r="H2044" s="41" t="inlineStr">
        <is>
          <t>202509</t>
        </is>
      </c>
      <c r="I2044" s="41" t="inlineStr">
        <is>
          <t>05</t>
        </is>
      </c>
      <c r="J2044" s="41" t="inlineStr">
        <is>
          <t>69,500</t>
        </is>
      </c>
      <c r="K2044" s="42" t="inlineStr">
        <is>
          <t>래미안 서초유니빌</t>
        </is>
      </c>
      <c r="L2044" s="41" t="inlineStr">
        <is>
          <t>12</t>
        </is>
      </c>
      <c r="M2044" s="42" t="inlineStr">
        <is>
          <t>개인</t>
        </is>
      </c>
      <c r="N2044" s="42" t="inlineStr">
        <is>
          <t>개인</t>
        </is>
      </c>
      <c r="O2044" s="41" t="inlineStr">
        <is>
          <t>2003</t>
        </is>
      </c>
      <c r="P2044" s="42" t="inlineStr">
        <is>
          <t>서초중앙로 26</t>
        </is>
      </c>
      <c r="Q2044" s="41" t="inlineStr">
        <is>
          <t>-</t>
        </is>
      </c>
      <c r="R2044" s="42" t="inlineStr">
        <is>
          <t>중개거래</t>
        </is>
      </c>
      <c r="S2044" s="42" t="inlineStr">
        <is>
          <t>서울 서초구</t>
        </is>
      </c>
      <c r="T2044" s="41" t="inlineStr">
        <is>
          <t>25.09.30</t>
        </is>
      </c>
      <c r="U2044" s="42" t="inlineStr">
        <is>
          <t>아파트</t>
        </is>
      </c>
    </row>
    <row r="2045" hidden="1" ht="14.25" customHeight="1">
      <c r="A2045" s="41" t="n">
        <v>386</v>
      </c>
      <c r="B2045" s="42" t="inlineStr">
        <is>
          <t>서울특별시 서초구 서초동</t>
        </is>
      </c>
      <c r="C2045" s="41" t="inlineStr">
        <is>
          <t>1636-1</t>
        </is>
      </c>
      <c r="D2045" s="41" t="inlineStr">
        <is>
          <t>1636</t>
        </is>
      </c>
      <c r="E2045" s="41" t="inlineStr">
        <is>
          <t>0001</t>
        </is>
      </c>
      <c r="F2045" s="42" t="inlineStr">
        <is>
          <t>서초한일</t>
        </is>
      </c>
      <c r="G2045" s="41" t="inlineStr">
        <is>
          <t>84.9800</t>
        </is>
      </c>
      <c r="H2045" s="41" t="inlineStr">
        <is>
          <t>202509</t>
        </is>
      </c>
      <c r="I2045" s="41" t="inlineStr">
        <is>
          <t>05</t>
        </is>
      </c>
      <c r="J2045" s="41" t="inlineStr">
        <is>
          <t>158,000</t>
        </is>
      </c>
      <c r="K2045" s="41" t="inlineStr">
        <is>
          <t>101</t>
        </is>
      </c>
      <c r="L2045" s="41" t="inlineStr">
        <is>
          <t>10</t>
        </is>
      </c>
      <c r="M2045" s="42" t="inlineStr">
        <is>
          <t>개인</t>
        </is>
      </c>
      <c r="N2045" s="42" t="inlineStr">
        <is>
          <t>개인</t>
        </is>
      </c>
      <c r="O2045" s="41" t="inlineStr">
        <is>
          <t>1997</t>
        </is>
      </c>
      <c r="P2045" s="42" t="inlineStr">
        <is>
          <t>서초대로64길 31</t>
        </is>
      </c>
      <c r="Q2045" s="41" t="inlineStr">
        <is>
          <t>-</t>
        </is>
      </c>
      <c r="R2045" s="42" t="inlineStr">
        <is>
          <t>중개거래</t>
        </is>
      </c>
      <c r="S2045" s="42" t="inlineStr">
        <is>
          <t>서울 강남구, 서울 서초구</t>
        </is>
      </c>
      <c r="T2045" s="41" t="inlineStr">
        <is>
          <t>25.12.15</t>
        </is>
      </c>
      <c r="U2045" s="42" t="inlineStr">
        <is>
          <t>아파트</t>
        </is>
      </c>
    </row>
    <row r="2046" hidden="1" ht="14.25" customHeight="1">
      <c r="A2046" s="41" t="n">
        <v>387</v>
      </c>
      <c r="B2046" s="42" t="inlineStr">
        <is>
          <t>서울특별시 서초구 서초동</t>
        </is>
      </c>
      <c r="C2046" s="41" t="inlineStr">
        <is>
          <t>1542-1</t>
        </is>
      </c>
      <c r="D2046" s="41" t="inlineStr">
        <is>
          <t>1542</t>
        </is>
      </c>
      <c r="E2046" s="41" t="inlineStr">
        <is>
          <t>0001</t>
        </is>
      </c>
      <c r="F2046" s="42" t="inlineStr">
        <is>
          <t>동일하이빌</t>
        </is>
      </c>
      <c r="G2046" s="41" t="inlineStr">
        <is>
          <t>84.9800</t>
        </is>
      </c>
      <c r="H2046" s="41" t="inlineStr">
        <is>
          <t>202509</t>
        </is>
      </c>
      <c r="I2046" s="41" t="inlineStr">
        <is>
          <t>05</t>
        </is>
      </c>
      <c r="J2046" s="41" t="inlineStr">
        <is>
          <t>111,000</t>
        </is>
      </c>
      <c r="K2046" s="41" t="inlineStr">
        <is>
          <t>102동</t>
        </is>
      </c>
      <c r="L2046" s="41" t="inlineStr">
        <is>
          <t>18</t>
        </is>
      </c>
      <c r="M2046" s="42" t="inlineStr">
        <is>
          <t>개인</t>
        </is>
      </c>
      <c r="N2046" s="42" t="inlineStr">
        <is>
          <t>개인</t>
        </is>
      </c>
      <c r="O2046" s="41" t="inlineStr">
        <is>
          <t>2006</t>
        </is>
      </c>
      <c r="P2046" s="42" t="inlineStr">
        <is>
          <t>서초대로 240</t>
        </is>
      </c>
      <c r="Q2046" s="41" t="inlineStr">
        <is>
          <t>-</t>
        </is>
      </c>
      <c r="R2046" s="42" t="inlineStr">
        <is>
          <t>직거래</t>
        </is>
      </c>
      <c r="S2046" s="41" t="inlineStr">
        <is>
          <t>-</t>
        </is>
      </c>
      <c r="T2046" s="41" t="inlineStr">
        <is>
          <t>25.10.29</t>
        </is>
      </c>
      <c r="U2046" s="42" t="inlineStr">
        <is>
          <t>아파트</t>
        </is>
      </c>
    </row>
    <row r="2047" hidden="1" ht="14.25" customHeight="1">
      <c r="A2047" s="41" t="n">
        <v>388</v>
      </c>
      <c r="B2047" s="42" t="inlineStr">
        <is>
          <t>서울특별시 서초구 서초동</t>
        </is>
      </c>
      <c r="C2047" s="41" t="inlineStr">
        <is>
          <t>1477-1</t>
        </is>
      </c>
      <c r="D2047" s="41" t="inlineStr">
        <is>
          <t>1477</t>
        </is>
      </c>
      <c r="E2047" s="41" t="inlineStr">
        <is>
          <t>0001</t>
        </is>
      </c>
      <c r="F2047" s="42" t="inlineStr">
        <is>
          <t>아이파크빌</t>
        </is>
      </c>
      <c r="G2047" s="41" t="inlineStr">
        <is>
          <t>179.2800</t>
        </is>
      </c>
      <c r="H2047" s="41" t="inlineStr">
        <is>
          <t>202509</t>
        </is>
      </c>
      <c r="I2047" s="41" t="inlineStr">
        <is>
          <t>04</t>
        </is>
      </c>
      <c r="J2047" s="41" t="inlineStr">
        <is>
          <t>219,500</t>
        </is>
      </c>
      <c r="K2047" s="41" t="inlineStr">
        <is>
          <t>101</t>
        </is>
      </c>
      <c r="L2047" s="41" t="inlineStr">
        <is>
          <t>1</t>
        </is>
      </c>
      <c r="M2047" s="42" t="inlineStr">
        <is>
          <t>개인</t>
        </is>
      </c>
      <c r="N2047" s="42" t="inlineStr">
        <is>
          <t>개인</t>
        </is>
      </c>
      <c r="O2047" s="41" t="inlineStr">
        <is>
          <t>2001</t>
        </is>
      </c>
      <c r="P2047" s="42" t="inlineStr">
        <is>
          <t>반포대로5길 65</t>
        </is>
      </c>
      <c r="Q2047" s="41" t="inlineStr">
        <is>
          <t>-</t>
        </is>
      </c>
      <c r="R2047" s="42" t="inlineStr">
        <is>
          <t>중개거래</t>
        </is>
      </c>
      <c r="S2047" s="42" t="inlineStr">
        <is>
          <t>서울 용산구</t>
        </is>
      </c>
      <c r="T2047" s="41" t="inlineStr">
        <is>
          <t>25.12.15</t>
        </is>
      </c>
      <c r="U2047" s="42" t="inlineStr">
        <is>
          <t>아파트</t>
        </is>
      </c>
    </row>
    <row r="2048" hidden="1" ht="14.25" customHeight="1">
      <c r="A2048" s="41" t="n">
        <v>389</v>
      </c>
      <c r="B2048" s="42" t="inlineStr">
        <is>
          <t>서울특별시 서초구 서초동</t>
        </is>
      </c>
      <c r="C2048" s="41" t="inlineStr">
        <is>
          <t>1445-4</t>
        </is>
      </c>
      <c r="D2048" s="41" t="inlineStr">
        <is>
          <t>1445</t>
        </is>
      </c>
      <c r="E2048" s="41" t="inlineStr">
        <is>
          <t>0004</t>
        </is>
      </c>
      <c r="F2048" s="42" t="inlineStr">
        <is>
          <t>래미안서초유니빌</t>
        </is>
      </c>
      <c r="G2048" s="41" t="inlineStr">
        <is>
          <t>66.4150</t>
        </is>
      </c>
      <c r="H2048" s="41" t="inlineStr">
        <is>
          <t>202509</t>
        </is>
      </c>
      <c r="I2048" s="41" t="inlineStr">
        <is>
          <t>04</t>
        </is>
      </c>
      <c r="J2048" s="41" t="inlineStr">
        <is>
          <t>80,000</t>
        </is>
      </c>
      <c r="K2048" s="42" t="inlineStr">
        <is>
          <t>래미안 서초유니빌</t>
        </is>
      </c>
      <c r="L2048" s="41" t="inlineStr">
        <is>
          <t>13</t>
        </is>
      </c>
      <c r="M2048" s="42" t="inlineStr">
        <is>
          <t>개인</t>
        </is>
      </c>
      <c r="N2048" s="42" t="inlineStr">
        <is>
          <t>개인</t>
        </is>
      </c>
      <c r="O2048" s="41" t="inlineStr">
        <is>
          <t>2003</t>
        </is>
      </c>
      <c r="P2048" s="42" t="inlineStr">
        <is>
          <t>서초중앙로 26</t>
        </is>
      </c>
      <c r="Q2048" s="41" t="inlineStr">
        <is>
          <t>-</t>
        </is>
      </c>
      <c r="R2048" s="42" t="inlineStr">
        <is>
          <t>중개거래</t>
        </is>
      </c>
      <c r="S2048" s="42" t="inlineStr">
        <is>
          <t>서울 서초구</t>
        </is>
      </c>
      <c r="T2048" s="41" t="inlineStr">
        <is>
          <t>25.10.24</t>
        </is>
      </c>
      <c r="U2048" s="42" t="inlineStr">
        <is>
          <t>아파트</t>
        </is>
      </c>
    </row>
    <row r="2049" hidden="1" ht="14.25" customHeight="1">
      <c r="A2049" s="41" t="n">
        <v>390</v>
      </c>
      <c r="B2049" s="42" t="inlineStr">
        <is>
          <t>서울특별시 서초구 서초동</t>
        </is>
      </c>
      <c r="C2049" s="41" t="inlineStr">
        <is>
          <t>1527-14</t>
        </is>
      </c>
      <c r="D2049" s="41" t="inlineStr">
        <is>
          <t>1527</t>
        </is>
      </c>
      <c r="E2049" s="41" t="inlineStr">
        <is>
          <t>0014</t>
        </is>
      </c>
      <c r="F2049" s="42" t="inlineStr">
        <is>
          <t>서초동아</t>
        </is>
      </c>
      <c r="G2049" s="41" t="inlineStr">
        <is>
          <t>106.8600</t>
        </is>
      </c>
      <c r="H2049" s="41" t="inlineStr">
        <is>
          <t>202509</t>
        </is>
      </c>
      <c r="I2049" s="41" t="inlineStr">
        <is>
          <t>04</t>
        </is>
      </c>
      <c r="J2049" s="41" t="inlineStr">
        <is>
          <t>116,000</t>
        </is>
      </c>
      <c r="K2049" s="41" t="inlineStr">
        <is>
          <t>1</t>
        </is>
      </c>
      <c r="L2049" s="41" t="inlineStr">
        <is>
          <t>6</t>
        </is>
      </c>
      <c r="M2049" s="42" t="inlineStr">
        <is>
          <t>개인</t>
        </is>
      </c>
      <c r="N2049" s="42" t="inlineStr">
        <is>
          <t>개인</t>
        </is>
      </c>
      <c r="O2049" s="41" t="inlineStr">
        <is>
          <t>2006</t>
        </is>
      </c>
      <c r="P2049" s="42" t="inlineStr">
        <is>
          <t>효령로45길 7</t>
        </is>
      </c>
      <c r="Q2049" s="41" t="inlineStr">
        <is>
          <t>-</t>
        </is>
      </c>
      <c r="R2049" s="42" t="inlineStr">
        <is>
          <t>중개거래</t>
        </is>
      </c>
      <c r="S2049" s="42" t="inlineStr">
        <is>
          <t>서울 서초구</t>
        </is>
      </c>
      <c r="T2049" s="41" t="inlineStr">
        <is>
          <t>25.11.14</t>
        </is>
      </c>
      <c r="U2049" s="42" t="inlineStr">
        <is>
          <t>아파트</t>
        </is>
      </c>
    </row>
    <row r="2050" hidden="1" ht="14.25" customHeight="1">
      <c r="A2050" s="41" t="n">
        <v>391</v>
      </c>
      <c r="B2050" s="42" t="inlineStr">
        <is>
          <t>서울특별시 서초구 서초동</t>
        </is>
      </c>
      <c r="C2050" s="41" t="inlineStr">
        <is>
          <t>1687</t>
        </is>
      </c>
      <c r="D2050" s="41" t="inlineStr">
        <is>
          <t>1687</t>
        </is>
      </c>
      <c r="E2050" s="41" t="inlineStr">
        <is>
          <t>0000</t>
        </is>
      </c>
      <c r="F2050" s="42" t="inlineStr">
        <is>
          <t>유원서초</t>
        </is>
      </c>
      <c r="G2050" s="41" t="inlineStr">
        <is>
          <t>84.8200</t>
        </is>
      </c>
      <c r="H2050" s="41" t="inlineStr">
        <is>
          <t>202509</t>
        </is>
      </c>
      <c r="I2050" s="41" t="inlineStr">
        <is>
          <t>01</t>
        </is>
      </c>
      <c r="J2050" s="41" t="inlineStr">
        <is>
          <t>248,000</t>
        </is>
      </c>
      <c r="K2050" s="41" t="inlineStr">
        <is>
          <t>102</t>
        </is>
      </c>
      <c r="L2050" s="41" t="inlineStr">
        <is>
          <t>6</t>
        </is>
      </c>
      <c r="M2050" s="42" t="inlineStr">
        <is>
          <t>개인</t>
        </is>
      </c>
      <c r="N2050" s="42" t="inlineStr">
        <is>
          <t>개인</t>
        </is>
      </c>
      <c r="O2050" s="41" t="inlineStr">
        <is>
          <t>1993</t>
        </is>
      </c>
      <c r="P2050" s="42" t="inlineStr">
        <is>
          <t>서초중앙로24길 43</t>
        </is>
      </c>
      <c r="Q2050" s="41" t="inlineStr">
        <is>
          <t>-</t>
        </is>
      </c>
      <c r="R2050" s="42" t="inlineStr">
        <is>
          <t>중개거래</t>
        </is>
      </c>
      <c r="S2050" s="42" t="inlineStr">
        <is>
          <t>서울 서초구</t>
        </is>
      </c>
      <c r="T2050" s="41" t="inlineStr">
        <is>
          <t>25.11.27</t>
        </is>
      </c>
      <c r="U2050" s="42" t="inlineStr">
        <is>
          <t>아파트</t>
        </is>
      </c>
    </row>
    <row r="2051" hidden="1" ht="14.25" customHeight="1">
      <c r="A2051" s="41" t="n">
        <v>392</v>
      </c>
      <c r="B2051" s="42" t="inlineStr">
        <is>
          <t>서울특별시 서초구 서초동</t>
        </is>
      </c>
      <c r="C2051" s="41" t="inlineStr">
        <is>
          <t>1467-62</t>
        </is>
      </c>
      <c r="D2051" s="41" t="inlineStr">
        <is>
          <t>1467</t>
        </is>
      </c>
      <c r="E2051" s="41" t="inlineStr">
        <is>
          <t>0062</t>
        </is>
      </c>
      <c r="F2051" s="42" t="inlineStr">
        <is>
          <t>서초5차e편한세상</t>
        </is>
      </c>
      <c r="G2051" s="41" t="inlineStr">
        <is>
          <t>158.2400</t>
        </is>
      </c>
      <c r="H2051" s="41" t="inlineStr">
        <is>
          <t>202509</t>
        </is>
      </c>
      <c r="I2051" s="41" t="inlineStr">
        <is>
          <t>01</t>
        </is>
      </c>
      <c r="J2051" s="41" t="inlineStr">
        <is>
          <t>265,000</t>
        </is>
      </c>
      <c r="K2051" s="41" t="inlineStr">
        <is>
          <t>501</t>
        </is>
      </c>
      <c r="L2051" s="41" t="inlineStr">
        <is>
          <t>13</t>
        </is>
      </c>
      <c r="M2051" s="42" t="inlineStr">
        <is>
          <t>개인</t>
        </is>
      </c>
      <c r="N2051" s="42" t="inlineStr">
        <is>
          <t>개인</t>
        </is>
      </c>
      <c r="O2051" s="41" t="inlineStr">
        <is>
          <t>2005</t>
        </is>
      </c>
      <c r="P2051" s="42" t="inlineStr">
        <is>
          <t>명달로4길 30</t>
        </is>
      </c>
      <c r="Q2051" s="41" t="inlineStr">
        <is>
          <t>-</t>
        </is>
      </c>
      <c r="R2051" s="42" t="inlineStr">
        <is>
          <t>중개거래</t>
        </is>
      </c>
      <c r="S2051" s="42" t="inlineStr">
        <is>
          <t>서울 서초구</t>
        </is>
      </c>
      <c r="T2051" s="41" t="inlineStr">
        <is>
          <t>25.11.28</t>
        </is>
      </c>
      <c r="U2051" s="42" t="inlineStr">
        <is>
          <t>아파트</t>
        </is>
      </c>
    </row>
    <row r="2052" hidden="1" ht="14.25" customHeight="1">
      <c r="A2052" s="41" t="n">
        <v>393</v>
      </c>
      <c r="B2052" s="42" t="inlineStr">
        <is>
          <t>서울특별시 서초구 서초동</t>
        </is>
      </c>
      <c r="C2052" s="41" t="inlineStr">
        <is>
          <t>1445-13</t>
        </is>
      </c>
      <c r="D2052" s="41" t="inlineStr">
        <is>
          <t>1445</t>
        </is>
      </c>
      <c r="E2052" s="41" t="inlineStr">
        <is>
          <t>0013</t>
        </is>
      </c>
      <c r="F2052" s="42" t="inlineStr">
        <is>
          <t>서초쌍용플래티넘</t>
        </is>
      </c>
      <c r="G2052" s="41" t="inlineStr">
        <is>
          <t>55.5900</t>
        </is>
      </c>
      <c r="H2052" s="41" t="inlineStr">
        <is>
          <t>202508</t>
        </is>
      </c>
      <c r="I2052" s="41" t="inlineStr">
        <is>
          <t>30</t>
        </is>
      </c>
      <c r="J2052" s="41" t="inlineStr">
        <is>
          <t>72,000</t>
        </is>
      </c>
      <c r="K2052" s="42" t="inlineStr">
        <is>
          <t>서초쌍용플래티넘</t>
        </is>
      </c>
      <c r="L2052" s="41" t="inlineStr">
        <is>
          <t>19</t>
        </is>
      </c>
      <c r="M2052" s="42" t="inlineStr">
        <is>
          <t>개인</t>
        </is>
      </c>
      <c r="N2052" s="42" t="inlineStr">
        <is>
          <t>개인</t>
        </is>
      </c>
      <c r="O2052" s="41" t="inlineStr">
        <is>
          <t>2006</t>
        </is>
      </c>
      <c r="P2052" s="42" t="inlineStr">
        <is>
          <t>서초중앙로 18</t>
        </is>
      </c>
      <c r="Q2052" s="41" t="inlineStr">
        <is>
          <t>-</t>
        </is>
      </c>
      <c r="R2052" s="42" t="inlineStr">
        <is>
          <t>중개거래</t>
        </is>
      </c>
      <c r="S2052" s="42" t="inlineStr">
        <is>
          <t>서울 서초구</t>
        </is>
      </c>
      <c r="T2052" s="41" t="inlineStr">
        <is>
          <t>26.01.16</t>
        </is>
      </c>
      <c r="U2052" s="42" t="inlineStr">
        <is>
          <t>아파트</t>
        </is>
      </c>
    </row>
    <row r="2053" hidden="1" ht="14.25" customHeight="1">
      <c r="A2053" s="41" t="n">
        <v>394</v>
      </c>
      <c r="B2053" s="42" t="inlineStr">
        <is>
          <t>서울특별시 서초구 서초동</t>
        </is>
      </c>
      <c r="C2053" s="41" t="inlineStr">
        <is>
          <t>1445-4</t>
        </is>
      </c>
      <c r="D2053" s="41" t="inlineStr">
        <is>
          <t>1445</t>
        </is>
      </c>
      <c r="E2053" s="41" t="inlineStr">
        <is>
          <t>0004</t>
        </is>
      </c>
      <c r="F2053" s="42" t="inlineStr">
        <is>
          <t>래미안서초유니빌</t>
        </is>
      </c>
      <c r="G2053" s="41" t="inlineStr">
        <is>
          <t>45.2550</t>
        </is>
      </c>
      <c r="H2053" s="41" t="inlineStr">
        <is>
          <t>202508</t>
        </is>
      </c>
      <c r="I2053" s="41" t="inlineStr">
        <is>
          <t>30</t>
        </is>
      </c>
      <c r="J2053" s="41" t="inlineStr">
        <is>
          <t>50,000</t>
        </is>
      </c>
      <c r="K2053" s="42" t="inlineStr">
        <is>
          <t>래미안 서초유니빌</t>
        </is>
      </c>
      <c r="L2053" s="41" t="inlineStr">
        <is>
          <t>11</t>
        </is>
      </c>
      <c r="M2053" s="42" t="inlineStr">
        <is>
          <t>개인</t>
        </is>
      </c>
      <c r="N2053" s="42" t="inlineStr">
        <is>
          <t>개인</t>
        </is>
      </c>
      <c r="O2053" s="41" t="inlineStr">
        <is>
          <t>2003</t>
        </is>
      </c>
      <c r="P2053" s="42" t="inlineStr">
        <is>
          <t>서초중앙로 26</t>
        </is>
      </c>
      <c r="Q2053" s="41" t="inlineStr">
        <is>
          <t>-</t>
        </is>
      </c>
      <c r="R2053" s="42" t="inlineStr">
        <is>
          <t>중개거래</t>
        </is>
      </c>
      <c r="S2053" s="42" t="inlineStr">
        <is>
          <t>경기 용인시 기흥구, 서울 서초구</t>
        </is>
      </c>
      <c r="T2053" s="41" t="inlineStr">
        <is>
          <t>25.10.16</t>
        </is>
      </c>
      <c r="U2053" s="42" t="inlineStr">
        <is>
          <t>아파트</t>
        </is>
      </c>
    </row>
    <row r="2054" hidden="1" ht="14.25" customHeight="1">
      <c r="A2054" s="41" t="n">
        <v>395</v>
      </c>
      <c r="B2054" s="42" t="inlineStr">
        <is>
          <t>서울특별시 서초구 서초동</t>
        </is>
      </c>
      <c r="C2054" s="41" t="inlineStr">
        <is>
          <t>1444-3</t>
        </is>
      </c>
      <c r="D2054" s="41" t="inlineStr">
        <is>
          <t>1444</t>
        </is>
      </c>
      <c r="E2054" s="41" t="inlineStr">
        <is>
          <t>0003</t>
        </is>
      </c>
      <c r="F2054" s="42" t="inlineStr">
        <is>
          <t>초원현대</t>
        </is>
      </c>
      <c r="G2054" s="41" t="inlineStr">
        <is>
          <t>59.7600</t>
        </is>
      </c>
      <c r="H2054" s="41" t="inlineStr">
        <is>
          <t>202508</t>
        </is>
      </c>
      <c r="I2054" s="41" t="inlineStr">
        <is>
          <t>30</t>
        </is>
      </c>
      <c r="J2054" s="41" t="inlineStr">
        <is>
          <t>134,000</t>
        </is>
      </c>
      <c r="K2054" s="41" t="inlineStr">
        <is>
          <t>101</t>
        </is>
      </c>
      <c r="L2054" s="41" t="inlineStr">
        <is>
          <t>5</t>
        </is>
      </c>
      <c r="M2054" s="42" t="inlineStr">
        <is>
          <t>개인</t>
        </is>
      </c>
      <c r="N2054" s="42" t="inlineStr">
        <is>
          <t>개인</t>
        </is>
      </c>
      <c r="O2054" s="41" t="inlineStr">
        <is>
          <t>1998</t>
        </is>
      </c>
      <c r="P2054" s="42" t="inlineStr">
        <is>
          <t>효령로68길 105</t>
        </is>
      </c>
      <c r="Q2054" s="41" t="inlineStr">
        <is>
          <t>-</t>
        </is>
      </c>
      <c r="R2054" s="42" t="inlineStr">
        <is>
          <t>중개거래</t>
        </is>
      </c>
      <c r="S2054" s="42" t="inlineStr">
        <is>
          <t>서울 서초구</t>
        </is>
      </c>
      <c r="T2054" s="41" t="inlineStr">
        <is>
          <t>25.10.21</t>
        </is>
      </c>
      <c r="U2054" s="42" t="inlineStr">
        <is>
          <t>아파트</t>
        </is>
      </c>
    </row>
    <row r="2055" hidden="1" ht="14.25" customHeight="1">
      <c r="A2055" s="41" t="n">
        <v>396</v>
      </c>
      <c r="B2055" s="42" t="inlineStr">
        <is>
          <t>서울특별시 서초구 서초동</t>
        </is>
      </c>
      <c r="C2055" s="41" t="inlineStr">
        <is>
          <t>1444-3</t>
        </is>
      </c>
      <c r="D2055" s="41" t="inlineStr">
        <is>
          <t>1444</t>
        </is>
      </c>
      <c r="E2055" s="41" t="inlineStr">
        <is>
          <t>0003</t>
        </is>
      </c>
      <c r="F2055" s="42" t="inlineStr">
        <is>
          <t>초원현대</t>
        </is>
      </c>
      <c r="G2055" s="41" t="inlineStr">
        <is>
          <t>59.7600</t>
        </is>
      </c>
      <c r="H2055" s="41" t="inlineStr">
        <is>
          <t>202508</t>
        </is>
      </c>
      <c r="I2055" s="41" t="inlineStr">
        <is>
          <t>30</t>
        </is>
      </c>
      <c r="J2055" s="41" t="inlineStr">
        <is>
          <t>134,000</t>
        </is>
      </c>
      <c r="K2055" s="41" t="inlineStr">
        <is>
          <t>-</t>
        </is>
      </c>
      <c r="L2055" s="41" t="inlineStr">
        <is>
          <t>5</t>
        </is>
      </c>
      <c r="M2055" s="42" t="inlineStr">
        <is>
          <t>개인</t>
        </is>
      </c>
      <c r="N2055" s="42" t="inlineStr">
        <is>
          <t>개인</t>
        </is>
      </c>
      <c r="O2055" s="41" t="inlineStr">
        <is>
          <t>1998</t>
        </is>
      </c>
      <c r="P2055" s="42" t="inlineStr">
        <is>
          <t>효령로68길 105</t>
        </is>
      </c>
      <c r="Q2055" s="41" t="inlineStr">
        <is>
          <t>20250901</t>
        </is>
      </c>
      <c r="R2055" s="42" t="inlineStr">
        <is>
          <t>중개거래</t>
        </is>
      </c>
      <c r="S2055" s="42" t="inlineStr">
        <is>
          <t>서울 서초구</t>
        </is>
      </c>
      <c r="T2055" s="41" t="inlineStr">
        <is>
          <t>-</t>
        </is>
      </c>
      <c r="U2055" s="42" t="inlineStr">
        <is>
          <t>아파트</t>
        </is>
      </c>
    </row>
    <row r="2056" hidden="1" ht="14.25" customHeight="1">
      <c r="A2056" s="41" t="n">
        <v>397</v>
      </c>
      <c r="B2056" s="42" t="inlineStr">
        <is>
          <t>서울특별시 서초구 서초동</t>
        </is>
      </c>
      <c r="C2056" s="41" t="inlineStr">
        <is>
          <t>1446-11</t>
        </is>
      </c>
      <c r="D2056" s="41" t="inlineStr">
        <is>
          <t>1446</t>
        </is>
      </c>
      <c r="E2056" s="41" t="inlineStr">
        <is>
          <t>0011</t>
        </is>
      </c>
      <c r="F2056" s="42" t="inlineStr">
        <is>
          <t>현대슈퍼빌</t>
        </is>
      </c>
      <c r="G2056" s="41" t="inlineStr">
        <is>
          <t>185.0200</t>
        </is>
      </c>
      <c r="H2056" s="41" t="inlineStr">
        <is>
          <t>202508</t>
        </is>
      </c>
      <c r="I2056" s="41" t="inlineStr">
        <is>
          <t>26</t>
        </is>
      </c>
      <c r="J2056" s="41" t="inlineStr">
        <is>
          <t>302,000</t>
        </is>
      </c>
      <c r="K2056" s="41" t="inlineStr">
        <is>
          <t>C</t>
        </is>
      </c>
      <c r="L2056" s="41" t="inlineStr">
        <is>
          <t>9</t>
        </is>
      </c>
      <c r="M2056" s="42" t="inlineStr">
        <is>
          <t>개인</t>
        </is>
      </c>
      <c r="N2056" s="42" t="inlineStr">
        <is>
          <t>개인</t>
        </is>
      </c>
      <c r="O2056" s="41" t="inlineStr">
        <is>
          <t>2003</t>
        </is>
      </c>
      <c r="P2056" s="42" t="inlineStr">
        <is>
          <t>서초중앙로 15</t>
        </is>
      </c>
      <c r="Q2056" s="41" t="inlineStr">
        <is>
          <t>-</t>
        </is>
      </c>
      <c r="R2056" s="42" t="inlineStr">
        <is>
          <t>중개거래</t>
        </is>
      </c>
      <c r="S2056" s="42" t="inlineStr">
        <is>
          <t>서울 서초구</t>
        </is>
      </c>
      <c r="T2056" s="41" t="inlineStr">
        <is>
          <t>25.10.20</t>
        </is>
      </c>
      <c r="U2056" s="42" t="inlineStr">
        <is>
          <t>아파트</t>
        </is>
      </c>
    </row>
    <row r="2057" hidden="1" ht="14.25" customHeight="1">
      <c r="A2057" s="41" t="n">
        <v>398</v>
      </c>
      <c r="B2057" s="42" t="inlineStr">
        <is>
          <t>서울특별시 서초구 서초동</t>
        </is>
      </c>
      <c r="C2057" s="41" t="inlineStr">
        <is>
          <t>1509-1</t>
        </is>
      </c>
      <c r="D2057" s="41" t="inlineStr">
        <is>
          <t>1509</t>
        </is>
      </c>
      <c r="E2057" s="41" t="inlineStr">
        <is>
          <t>0001</t>
        </is>
      </c>
      <c r="F2057" s="42" t="inlineStr">
        <is>
          <t>서초한빛삼성</t>
        </is>
      </c>
      <c r="G2057" s="41" t="inlineStr">
        <is>
          <t>59.5200</t>
        </is>
      </c>
      <c r="H2057" s="41" t="inlineStr">
        <is>
          <t>202508</t>
        </is>
      </c>
      <c r="I2057" s="41" t="inlineStr">
        <is>
          <t>25</t>
        </is>
      </c>
      <c r="J2057" s="41" t="inlineStr">
        <is>
          <t>150,000</t>
        </is>
      </c>
      <c r="K2057" s="41" t="inlineStr">
        <is>
          <t>-</t>
        </is>
      </c>
      <c r="L2057" s="41" t="inlineStr">
        <is>
          <t>9</t>
        </is>
      </c>
      <c r="M2057" s="42" t="inlineStr">
        <is>
          <t>개인</t>
        </is>
      </c>
      <c r="N2057" s="42" t="inlineStr">
        <is>
          <t>개인</t>
        </is>
      </c>
      <c r="O2057" s="41" t="inlineStr">
        <is>
          <t>1999</t>
        </is>
      </c>
      <c r="P2057" s="42" t="inlineStr">
        <is>
          <t>서초대로40길 72</t>
        </is>
      </c>
      <c r="Q2057" s="41" t="inlineStr">
        <is>
          <t>20250827</t>
        </is>
      </c>
      <c r="R2057" s="42" t="inlineStr">
        <is>
          <t>중개거래</t>
        </is>
      </c>
      <c r="S2057" s="42" t="inlineStr">
        <is>
          <t>서울 서초구</t>
        </is>
      </c>
      <c r="T2057" s="41" t="inlineStr">
        <is>
          <t>-</t>
        </is>
      </c>
      <c r="U2057" s="42" t="inlineStr">
        <is>
          <t>아파트</t>
        </is>
      </c>
    </row>
    <row r="2058" hidden="1" ht="14.25" customHeight="1">
      <c r="A2058" s="41" t="n">
        <v>399</v>
      </c>
      <c r="B2058" s="42" t="inlineStr">
        <is>
          <t>서울특별시 서초구 서초동</t>
        </is>
      </c>
      <c r="C2058" s="41" t="inlineStr">
        <is>
          <t>1509-1</t>
        </is>
      </c>
      <c r="D2058" s="41" t="inlineStr">
        <is>
          <t>1509</t>
        </is>
      </c>
      <c r="E2058" s="41" t="inlineStr">
        <is>
          <t>0001</t>
        </is>
      </c>
      <c r="F2058" s="42" t="inlineStr">
        <is>
          <t>서초한빛삼성</t>
        </is>
      </c>
      <c r="G2058" s="41" t="inlineStr">
        <is>
          <t>59.5200</t>
        </is>
      </c>
      <c r="H2058" s="41" t="inlineStr">
        <is>
          <t>202508</t>
        </is>
      </c>
      <c r="I2058" s="41" t="inlineStr">
        <is>
          <t>25</t>
        </is>
      </c>
      <c r="J2058" s="41" t="inlineStr">
        <is>
          <t>150,000</t>
        </is>
      </c>
      <c r="K2058" s="41" t="inlineStr">
        <is>
          <t>101</t>
        </is>
      </c>
      <c r="L2058" s="41" t="inlineStr">
        <is>
          <t>9</t>
        </is>
      </c>
      <c r="M2058" s="42" t="inlineStr">
        <is>
          <t>개인</t>
        </is>
      </c>
      <c r="N2058" s="42" t="inlineStr">
        <is>
          <t>개인</t>
        </is>
      </c>
      <c r="O2058" s="41" t="inlineStr">
        <is>
          <t>1999</t>
        </is>
      </c>
      <c r="P2058" s="42" t="inlineStr">
        <is>
          <t>서초대로40길 72</t>
        </is>
      </c>
      <c r="Q2058" s="41" t="inlineStr">
        <is>
          <t>-</t>
        </is>
      </c>
      <c r="R2058" s="42" t="inlineStr">
        <is>
          <t>중개거래</t>
        </is>
      </c>
      <c r="S2058" s="42" t="inlineStr">
        <is>
          <t>서울 서초구</t>
        </is>
      </c>
      <c r="T2058" s="41" t="inlineStr">
        <is>
          <t>25.10.01</t>
        </is>
      </c>
      <c r="U2058" s="42" t="inlineStr">
        <is>
          <t>아파트</t>
        </is>
      </c>
    </row>
    <row r="2059" hidden="1" ht="14.25" customHeight="1">
      <c r="A2059" s="41" t="n">
        <v>400</v>
      </c>
      <c r="B2059" s="42" t="inlineStr">
        <is>
          <t>서울특별시 서초구 서초동</t>
        </is>
      </c>
      <c r="C2059" s="41" t="inlineStr">
        <is>
          <t>1641-13</t>
        </is>
      </c>
      <c r="D2059" s="41" t="inlineStr">
        <is>
          <t>1641</t>
        </is>
      </c>
      <c r="E2059" s="41" t="inlineStr">
        <is>
          <t>0013</t>
        </is>
      </c>
      <c r="F2059" s="42" t="inlineStr">
        <is>
          <t>아남</t>
        </is>
      </c>
      <c r="G2059" s="41" t="inlineStr">
        <is>
          <t>84.9600</t>
        </is>
      </c>
      <c r="H2059" s="41" t="inlineStr">
        <is>
          <t>202508</t>
        </is>
      </c>
      <c r="I2059" s="41" t="inlineStr">
        <is>
          <t>24</t>
        </is>
      </c>
      <c r="J2059" s="41" t="inlineStr">
        <is>
          <t>205,000</t>
        </is>
      </c>
      <c r="K2059" s="41" t="inlineStr">
        <is>
          <t>2</t>
        </is>
      </c>
      <c r="L2059" s="41" t="inlineStr">
        <is>
          <t>4</t>
        </is>
      </c>
      <c r="M2059" s="42" t="inlineStr">
        <is>
          <t>개인</t>
        </is>
      </c>
      <c r="N2059" s="42" t="inlineStr">
        <is>
          <t>개인</t>
        </is>
      </c>
      <c r="O2059" s="41" t="inlineStr">
        <is>
          <t>1989</t>
        </is>
      </c>
      <c r="P2059" s="42" t="inlineStr">
        <is>
          <t>사임당로23길 53</t>
        </is>
      </c>
      <c r="Q2059" s="41" t="inlineStr">
        <is>
          <t>-</t>
        </is>
      </c>
      <c r="R2059" s="42" t="inlineStr">
        <is>
          <t>중개거래</t>
        </is>
      </c>
      <c r="S2059" s="42" t="inlineStr">
        <is>
          <t>서울 서초구</t>
        </is>
      </c>
      <c r="T2059" s="41" t="inlineStr">
        <is>
          <t>25.09.12</t>
        </is>
      </c>
      <c r="U2059" s="42" t="inlineStr">
        <is>
          <t>아파트</t>
        </is>
      </c>
    </row>
    <row r="2060" hidden="1" ht="14.25" customHeight="1">
      <c r="A2060" s="41" t="n">
        <v>401</v>
      </c>
      <c r="B2060" s="42" t="inlineStr">
        <is>
          <t>서울특별시 서초구 서초동</t>
        </is>
      </c>
      <c r="C2060" s="41" t="inlineStr">
        <is>
          <t>1593-7</t>
        </is>
      </c>
      <c r="D2060" s="41" t="inlineStr">
        <is>
          <t>1593</t>
        </is>
      </c>
      <c r="E2060" s="41" t="inlineStr">
        <is>
          <t>0007</t>
        </is>
      </c>
      <c r="F2060" s="42" t="inlineStr">
        <is>
          <t>서초이오빌</t>
        </is>
      </c>
      <c r="G2060" s="41" t="inlineStr">
        <is>
          <t>45.9600</t>
        </is>
      </c>
      <c r="H2060" s="41" t="inlineStr">
        <is>
          <t>202508</t>
        </is>
      </c>
      <c r="I2060" s="41" t="inlineStr">
        <is>
          <t>22</t>
        </is>
      </c>
      <c r="J2060" s="41" t="inlineStr">
        <is>
          <t>42,000</t>
        </is>
      </c>
      <c r="K2060" s="41" t="inlineStr">
        <is>
          <t>-</t>
        </is>
      </c>
      <c r="L2060" s="41" t="inlineStr">
        <is>
          <t>24</t>
        </is>
      </c>
      <c r="M2060" s="42" t="inlineStr">
        <is>
          <t>개인</t>
        </is>
      </c>
      <c r="N2060" s="42" t="inlineStr">
        <is>
          <t>개인</t>
        </is>
      </c>
      <c r="O2060" s="41" t="inlineStr">
        <is>
          <t>2003</t>
        </is>
      </c>
      <c r="P2060" s="42" t="inlineStr">
        <is>
          <t>효령로53길 45</t>
        </is>
      </c>
      <c r="Q2060" s="41" t="inlineStr">
        <is>
          <t>-</t>
        </is>
      </c>
      <c r="R2060" s="42" t="inlineStr">
        <is>
          <t>중개거래</t>
        </is>
      </c>
      <c r="S2060" s="42" t="inlineStr">
        <is>
          <t>서울 서초구</t>
        </is>
      </c>
      <c r="T2060" s="41" t="inlineStr">
        <is>
          <t>25.10.01</t>
        </is>
      </c>
      <c r="U2060" s="42" t="inlineStr">
        <is>
          <t>아파트</t>
        </is>
      </c>
    </row>
    <row r="2061" hidden="1" ht="17.25" customHeight="1">
      <c r="A2061" s="41" t="n">
        <v>402</v>
      </c>
      <c r="B2061" s="42" t="inlineStr">
        <is>
          <t>서울특별시 서초구 서초동</t>
        </is>
      </c>
      <c r="C2061" s="41" t="inlineStr">
        <is>
          <t>1757</t>
        </is>
      </c>
      <c r="D2061" s="41" t="inlineStr">
        <is>
          <t>1757</t>
        </is>
      </c>
      <c r="E2061" s="41" t="inlineStr">
        <is>
          <t>0000</t>
        </is>
      </c>
      <c r="F2061" s="42" t="inlineStr">
        <is>
          <t>서초그랑자이</t>
        </is>
      </c>
      <c r="G2061" s="41" t="inlineStr">
        <is>
          <t>59.9800</t>
        </is>
      </c>
      <c r="H2061" s="41" t="inlineStr">
        <is>
          <t>202508</t>
        </is>
      </c>
      <c r="I2061" s="41" t="inlineStr">
        <is>
          <t>22</t>
        </is>
      </c>
      <c r="J2061" s="41" t="inlineStr">
        <is>
          <t>210,000</t>
        </is>
      </c>
      <c r="K2061" s="41" t="inlineStr">
        <is>
          <t>102동</t>
        </is>
      </c>
      <c r="L2061" s="41" t="inlineStr">
        <is>
          <t>30</t>
        </is>
      </c>
      <c r="M2061" s="42" t="inlineStr">
        <is>
          <t>개인</t>
        </is>
      </c>
      <c r="N2061" s="42" t="inlineStr">
        <is>
          <t>개인</t>
        </is>
      </c>
      <c r="O2061" s="41" t="inlineStr">
        <is>
          <t>2021</t>
        </is>
      </c>
      <c r="P2061" s="42" t="inlineStr">
        <is>
          <t>효령로 391</t>
        </is>
      </c>
      <c r="Q2061" s="41" t="inlineStr">
        <is>
          <t>-</t>
        </is>
      </c>
      <c r="R2061" s="42" t="inlineStr">
        <is>
          <t>직거래</t>
        </is>
      </c>
      <c r="S2061" s="41" t="inlineStr">
        <is>
          <t>-</t>
        </is>
      </c>
      <c r="T2061" s="41" t="inlineStr">
        <is>
          <t>25.09.16</t>
        </is>
      </c>
      <c r="U2061" s="42" t="inlineStr">
        <is>
          <t>아파트</t>
        </is>
      </c>
    </row>
    <row r="2062" hidden="1" ht="17.25" customHeight="1">
      <c r="A2062" s="41" t="n">
        <v>403</v>
      </c>
      <c r="B2062" s="42" t="inlineStr">
        <is>
          <t>서울특별시 서초구 서초동</t>
        </is>
      </c>
      <c r="C2062" s="41" t="inlineStr">
        <is>
          <t>1582-3</t>
        </is>
      </c>
      <c r="D2062" s="41" t="inlineStr">
        <is>
          <t>1582</t>
        </is>
      </c>
      <c r="E2062" s="41" t="inlineStr">
        <is>
          <t>0003</t>
        </is>
      </c>
      <c r="F2062" s="42" t="inlineStr">
        <is>
          <t>서초센트럴IPARK</t>
        </is>
      </c>
      <c r="G2062" s="41" t="inlineStr">
        <is>
          <t>80.5981</t>
        </is>
      </c>
      <c r="H2062" s="41" t="inlineStr">
        <is>
          <t>202508</t>
        </is>
      </c>
      <c r="I2062" s="41" t="inlineStr">
        <is>
          <t>21</t>
        </is>
      </c>
      <c r="J2062" s="41" t="inlineStr">
        <is>
          <t>179,000</t>
        </is>
      </c>
      <c r="K2062" s="41" t="inlineStr">
        <is>
          <t>101동</t>
        </is>
      </c>
      <c r="L2062" s="41" t="inlineStr">
        <is>
          <t>27</t>
        </is>
      </c>
      <c r="M2062" s="42" t="inlineStr">
        <is>
          <t>개인</t>
        </is>
      </c>
      <c r="N2062" s="42" t="inlineStr">
        <is>
          <t>개인</t>
        </is>
      </c>
      <c r="O2062" s="41" t="inlineStr">
        <is>
          <t>2020</t>
        </is>
      </c>
      <c r="P2062" s="42" t="inlineStr">
        <is>
          <t>반포대로18길 36</t>
        </is>
      </c>
      <c r="Q2062" s="41" t="inlineStr">
        <is>
          <t>-</t>
        </is>
      </c>
      <c r="R2062" s="42" t="inlineStr">
        <is>
          <t>중개거래</t>
        </is>
      </c>
      <c r="S2062" s="42" t="inlineStr">
        <is>
          <t>서울 서초구</t>
        </is>
      </c>
      <c r="T2062" s="41" t="inlineStr">
        <is>
          <t>25.09.29</t>
        </is>
      </c>
      <c r="U2062" s="42" t="inlineStr">
        <is>
          <t>아파트</t>
        </is>
      </c>
    </row>
    <row r="2063" hidden="1" ht="17.25" customHeight="1">
      <c r="A2063" s="41" t="n">
        <v>404</v>
      </c>
      <c r="B2063" s="42" t="inlineStr">
        <is>
          <t>서울특별시 서초구 서초동</t>
        </is>
      </c>
      <c r="C2063" s="41" t="inlineStr">
        <is>
          <t>1682</t>
        </is>
      </c>
      <c r="D2063" s="41" t="inlineStr">
        <is>
          <t>1682</t>
        </is>
      </c>
      <c r="E2063" s="41" t="inlineStr">
        <is>
          <t>0000</t>
        </is>
      </c>
      <c r="F2063" s="42" t="inlineStr">
        <is>
          <t>서초래미안</t>
        </is>
      </c>
      <c r="G2063" s="41" t="inlineStr">
        <is>
          <t>126.3100</t>
        </is>
      </c>
      <c r="H2063" s="41" t="inlineStr">
        <is>
          <t>202508</t>
        </is>
      </c>
      <c r="I2063" s="41" t="inlineStr">
        <is>
          <t>21</t>
        </is>
      </c>
      <c r="J2063" s="41" t="inlineStr">
        <is>
          <t>295,000</t>
        </is>
      </c>
      <c r="K2063" s="41" t="inlineStr">
        <is>
          <t>107</t>
        </is>
      </c>
      <c r="L2063" s="41" t="inlineStr">
        <is>
          <t>10</t>
        </is>
      </c>
      <c r="M2063" s="42" t="inlineStr">
        <is>
          <t>개인</t>
        </is>
      </c>
      <c r="N2063" s="42" t="inlineStr">
        <is>
          <t>개인</t>
        </is>
      </c>
      <c r="O2063" s="41" t="inlineStr">
        <is>
          <t>2003</t>
        </is>
      </c>
      <c r="P2063" s="42" t="inlineStr">
        <is>
          <t>서초대로65길 13-10</t>
        </is>
      </c>
      <c r="Q2063" s="41" t="inlineStr">
        <is>
          <t>-</t>
        </is>
      </c>
      <c r="R2063" s="42" t="inlineStr">
        <is>
          <t>중개거래</t>
        </is>
      </c>
      <c r="S2063" s="42" t="inlineStr">
        <is>
          <t>서울 서초구</t>
        </is>
      </c>
      <c r="T2063" s="41" t="inlineStr">
        <is>
          <t>25.12.19</t>
        </is>
      </c>
      <c r="U2063" s="42" t="inlineStr">
        <is>
          <t>아파트</t>
        </is>
      </c>
    </row>
    <row r="2064" hidden="1" ht="17.25" customHeight="1">
      <c r="A2064" s="41" t="n">
        <v>405</v>
      </c>
      <c r="B2064" s="42" t="inlineStr">
        <is>
          <t>서울특별시 서초구 서초동</t>
        </is>
      </c>
      <c r="C2064" s="41" t="inlineStr">
        <is>
          <t>1682</t>
        </is>
      </c>
      <c r="D2064" s="41" t="inlineStr">
        <is>
          <t>1682</t>
        </is>
      </c>
      <c r="E2064" s="41" t="inlineStr">
        <is>
          <t>0000</t>
        </is>
      </c>
      <c r="F2064" s="42" t="inlineStr">
        <is>
          <t>서초래미안</t>
        </is>
      </c>
      <c r="G2064" s="41" t="inlineStr">
        <is>
          <t>126.3100</t>
        </is>
      </c>
      <c r="H2064" s="41" t="inlineStr">
        <is>
          <t>202508</t>
        </is>
      </c>
      <c r="I2064" s="41" t="inlineStr">
        <is>
          <t>21</t>
        </is>
      </c>
      <c r="J2064" s="41" t="inlineStr">
        <is>
          <t>295,000</t>
        </is>
      </c>
      <c r="K2064" s="41" t="inlineStr">
        <is>
          <t>-</t>
        </is>
      </c>
      <c r="L2064" s="41" t="inlineStr">
        <is>
          <t>10</t>
        </is>
      </c>
      <c r="M2064" s="42" t="inlineStr">
        <is>
          <t>개인</t>
        </is>
      </c>
      <c r="N2064" s="42" t="inlineStr">
        <is>
          <t>개인</t>
        </is>
      </c>
      <c r="O2064" s="41" t="inlineStr">
        <is>
          <t>2003</t>
        </is>
      </c>
      <c r="P2064" s="42" t="inlineStr">
        <is>
          <t>서초대로65길 13-10</t>
        </is>
      </c>
      <c r="Q2064" s="41" t="inlineStr">
        <is>
          <t>20251004</t>
        </is>
      </c>
      <c r="R2064" s="42" t="inlineStr">
        <is>
          <t>중개거래</t>
        </is>
      </c>
      <c r="S2064" s="42" t="inlineStr">
        <is>
          <t>서울 서초구</t>
        </is>
      </c>
      <c r="T2064" s="41" t="inlineStr">
        <is>
          <t>-</t>
        </is>
      </c>
      <c r="U2064" s="42" t="inlineStr">
        <is>
          <t>아파트</t>
        </is>
      </c>
    </row>
    <row r="2065" hidden="1" ht="17.25" customHeight="1">
      <c r="A2065" s="41" t="n">
        <v>406</v>
      </c>
      <c r="B2065" s="42" t="inlineStr">
        <is>
          <t>서울특별시 서초구 서초동</t>
        </is>
      </c>
      <c r="C2065" s="41" t="inlineStr">
        <is>
          <t>1362-10</t>
        </is>
      </c>
      <c r="D2065" s="41" t="inlineStr">
        <is>
          <t>1362</t>
        </is>
      </c>
      <c r="E2065" s="41" t="inlineStr">
        <is>
          <t>0010</t>
        </is>
      </c>
      <c r="F2065" s="42" t="inlineStr">
        <is>
          <t>서초노블레스아파트</t>
        </is>
      </c>
      <c r="G2065" s="41" t="inlineStr">
        <is>
          <t>27.5700</t>
        </is>
      </c>
      <c r="H2065" s="41" t="inlineStr">
        <is>
          <t>202508</t>
        </is>
      </c>
      <c r="I2065" s="41" t="inlineStr">
        <is>
          <t>21</t>
        </is>
      </c>
      <c r="J2065" s="41" t="inlineStr">
        <is>
          <t>55,000</t>
        </is>
      </c>
      <c r="K2065" s="41" t="inlineStr">
        <is>
          <t>-</t>
        </is>
      </c>
      <c r="L2065" s="41" t="inlineStr">
        <is>
          <t>14</t>
        </is>
      </c>
      <c r="M2065" s="42" t="inlineStr">
        <is>
          <t>개인</t>
        </is>
      </c>
      <c r="N2065" s="42" t="inlineStr">
        <is>
          <t>개인</t>
        </is>
      </c>
      <c r="O2065" s="41" t="inlineStr">
        <is>
          <t>2019</t>
        </is>
      </c>
      <c r="P2065" s="42" t="inlineStr">
        <is>
          <t>강남대로39길 15-11</t>
        </is>
      </c>
      <c r="Q2065" s="41" t="inlineStr">
        <is>
          <t>-</t>
        </is>
      </c>
      <c r="R2065" s="42" t="inlineStr">
        <is>
          <t>중개거래</t>
        </is>
      </c>
      <c r="S2065" s="42" t="inlineStr">
        <is>
          <t>서울 서초구</t>
        </is>
      </c>
      <c r="T2065" s="41" t="inlineStr">
        <is>
          <t>25.11.12</t>
        </is>
      </c>
      <c r="U2065" s="42" t="inlineStr">
        <is>
          <t>아파트</t>
        </is>
      </c>
    </row>
    <row r="2066" hidden="1" ht="17.25" customHeight="1">
      <c r="A2066" s="41" t="n">
        <v>407</v>
      </c>
      <c r="B2066" s="42" t="inlineStr">
        <is>
          <t>서울특별시 서초구 서초동</t>
        </is>
      </c>
      <c r="C2066" s="41" t="inlineStr">
        <is>
          <t>1338-1</t>
        </is>
      </c>
      <c r="D2066" s="41" t="inlineStr">
        <is>
          <t>1338</t>
        </is>
      </c>
      <c r="E2066" s="41" t="inlineStr">
        <is>
          <t>0001</t>
        </is>
      </c>
      <c r="F2066" s="42" t="inlineStr">
        <is>
          <t>풍림아이원플러스</t>
        </is>
      </c>
      <c r="G2066" s="41" t="inlineStr">
        <is>
          <t>34.4237</t>
        </is>
      </c>
      <c r="H2066" s="41" t="inlineStr">
        <is>
          <t>202508</t>
        </is>
      </c>
      <c r="I2066" s="41" t="inlineStr">
        <is>
          <t>20</t>
        </is>
      </c>
      <c r="J2066" s="41" t="inlineStr">
        <is>
          <t>34,800</t>
        </is>
      </c>
      <c r="K2066" s="42" t="inlineStr">
        <is>
          <t>풍림아이원플러스</t>
        </is>
      </c>
      <c r="L2066" s="41" t="inlineStr">
        <is>
          <t>9</t>
        </is>
      </c>
      <c r="M2066" s="42" t="inlineStr">
        <is>
          <t>개인</t>
        </is>
      </c>
      <c r="N2066" s="42" t="inlineStr">
        <is>
          <t>개인</t>
        </is>
      </c>
      <c r="O2066" s="41" t="inlineStr">
        <is>
          <t>2004</t>
        </is>
      </c>
      <c r="P2066" s="42" t="inlineStr">
        <is>
          <t>효령로77길 14</t>
        </is>
      </c>
      <c r="Q2066" s="41" t="inlineStr">
        <is>
          <t>-</t>
        </is>
      </c>
      <c r="R2066" s="42" t="inlineStr">
        <is>
          <t>중개거래</t>
        </is>
      </c>
      <c r="S2066" s="42" t="inlineStr">
        <is>
          <t>서울 강남구</t>
        </is>
      </c>
      <c r="T2066" s="41" t="inlineStr">
        <is>
          <t>25.11.10</t>
        </is>
      </c>
      <c r="U2066" s="42" t="inlineStr">
        <is>
          <t>아파트</t>
        </is>
      </c>
    </row>
    <row r="2067" hidden="1" ht="17.25" customHeight="1">
      <c r="A2067" s="41" t="n">
        <v>408</v>
      </c>
      <c r="B2067" s="42" t="inlineStr">
        <is>
          <t>서울특별시 서초구 서초동</t>
        </is>
      </c>
      <c r="C2067" s="41" t="inlineStr">
        <is>
          <t>1338-1</t>
        </is>
      </c>
      <c r="D2067" s="41" t="inlineStr">
        <is>
          <t>1338</t>
        </is>
      </c>
      <c r="E2067" s="41" t="inlineStr">
        <is>
          <t>0001</t>
        </is>
      </c>
      <c r="F2067" s="42" t="inlineStr">
        <is>
          <t>풍림아이원플러스</t>
        </is>
      </c>
      <c r="G2067" s="41" t="inlineStr">
        <is>
          <t>35.9030</t>
        </is>
      </c>
      <c r="H2067" s="41" t="inlineStr">
        <is>
          <t>202508</t>
        </is>
      </c>
      <c r="I2067" s="41" t="inlineStr">
        <is>
          <t>20</t>
        </is>
      </c>
      <c r="J2067" s="41" t="inlineStr">
        <is>
          <t>36,700</t>
        </is>
      </c>
      <c r="K2067" s="42" t="inlineStr">
        <is>
          <t>풍림아이원플러스</t>
        </is>
      </c>
      <c r="L2067" s="41" t="inlineStr">
        <is>
          <t>12</t>
        </is>
      </c>
      <c r="M2067" s="42" t="inlineStr">
        <is>
          <t>개인</t>
        </is>
      </c>
      <c r="N2067" s="42" t="inlineStr">
        <is>
          <t>개인</t>
        </is>
      </c>
      <c r="O2067" s="41" t="inlineStr">
        <is>
          <t>2004</t>
        </is>
      </c>
      <c r="P2067" s="42" t="inlineStr">
        <is>
          <t>효령로77길 14</t>
        </is>
      </c>
      <c r="Q2067" s="41" t="inlineStr">
        <is>
          <t>-</t>
        </is>
      </c>
      <c r="R2067" s="42" t="inlineStr">
        <is>
          <t>중개거래</t>
        </is>
      </c>
      <c r="S2067" s="42" t="inlineStr">
        <is>
          <t>서울 서초구</t>
        </is>
      </c>
      <c r="T2067" s="41" t="inlineStr">
        <is>
          <t>25.12.31</t>
        </is>
      </c>
      <c r="U2067" s="42" t="inlineStr">
        <is>
          <t>아파트</t>
        </is>
      </c>
    </row>
    <row r="2068" hidden="1" ht="17.25" customHeight="1">
      <c r="A2068" s="41" t="n">
        <v>409</v>
      </c>
      <c r="B2068" s="42" t="inlineStr">
        <is>
          <t>서울특별시 서초구 서초동</t>
        </is>
      </c>
      <c r="C2068" s="41" t="inlineStr">
        <is>
          <t>1583-10</t>
        </is>
      </c>
      <c r="D2068" s="41" t="inlineStr">
        <is>
          <t>1583</t>
        </is>
      </c>
      <c r="E2068" s="41" t="inlineStr">
        <is>
          <t>0010</t>
        </is>
      </c>
      <c r="F2068" s="42" t="inlineStr">
        <is>
          <t>서초아트자이</t>
        </is>
      </c>
      <c r="G2068" s="41" t="inlineStr">
        <is>
          <t>165.5725</t>
        </is>
      </c>
      <c r="H2068" s="41" t="inlineStr">
        <is>
          <t>202508</t>
        </is>
      </c>
      <c r="I2068" s="41" t="inlineStr">
        <is>
          <t>19</t>
        </is>
      </c>
      <c r="J2068" s="41" t="inlineStr">
        <is>
          <t>286,000</t>
        </is>
      </c>
      <c r="K2068" s="41" t="inlineStr">
        <is>
          <t>101</t>
        </is>
      </c>
      <c r="L2068" s="41" t="inlineStr">
        <is>
          <t>19</t>
        </is>
      </c>
      <c r="M2068" s="42" t="inlineStr">
        <is>
          <t>개인</t>
        </is>
      </c>
      <c r="N2068" s="42" t="inlineStr">
        <is>
          <t>개인</t>
        </is>
      </c>
      <c r="O2068" s="41" t="inlineStr">
        <is>
          <t>2009</t>
        </is>
      </c>
      <c r="P2068" s="42" t="inlineStr">
        <is>
          <t>반포대로 58</t>
        </is>
      </c>
      <c r="Q2068" s="41" t="inlineStr">
        <is>
          <t>-</t>
        </is>
      </c>
      <c r="R2068" s="42" t="inlineStr">
        <is>
          <t>중개거래</t>
        </is>
      </c>
      <c r="S2068" s="42" t="inlineStr">
        <is>
          <t>서울 서초구</t>
        </is>
      </c>
      <c r="T2068" s="41" t="inlineStr">
        <is>
          <t>25.08.19</t>
        </is>
      </c>
      <c r="U2068" s="42" t="inlineStr">
        <is>
          <t>아파트</t>
        </is>
      </c>
    </row>
    <row r="2069" hidden="1" ht="17.25" customHeight="1">
      <c r="A2069" s="41" t="n">
        <v>410</v>
      </c>
      <c r="B2069" s="42" t="inlineStr">
        <is>
          <t>서울특별시 서초구 서초동</t>
        </is>
      </c>
      <c r="C2069" s="41" t="inlineStr">
        <is>
          <t>1509-1</t>
        </is>
      </c>
      <c r="D2069" s="41" t="inlineStr">
        <is>
          <t>1509</t>
        </is>
      </c>
      <c r="E2069" s="41" t="inlineStr">
        <is>
          <t>0001</t>
        </is>
      </c>
      <c r="F2069" s="42" t="inlineStr">
        <is>
          <t>서초한빛삼성</t>
        </is>
      </c>
      <c r="G2069" s="41" t="inlineStr">
        <is>
          <t>110.5900</t>
        </is>
      </c>
      <c r="H2069" s="41" t="inlineStr">
        <is>
          <t>202508</t>
        </is>
      </c>
      <c r="I2069" s="41" t="inlineStr">
        <is>
          <t>19</t>
        </is>
      </c>
      <c r="J2069" s="41" t="inlineStr">
        <is>
          <t>223,500</t>
        </is>
      </c>
      <c r="K2069" s="41" t="inlineStr">
        <is>
          <t>101</t>
        </is>
      </c>
      <c r="L2069" s="41" t="inlineStr">
        <is>
          <t>3</t>
        </is>
      </c>
      <c r="M2069" s="42" t="inlineStr">
        <is>
          <t>개인</t>
        </is>
      </c>
      <c r="N2069" s="42" t="inlineStr">
        <is>
          <t>개인</t>
        </is>
      </c>
      <c r="O2069" s="41" t="inlineStr">
        <is>
          <t>1999</t>
        </is>
      </c>
      <c r="P2069" s="42" t="inlineStr">
        <is>
          <t>서초대로40길 72</t>
        </is>
      </c>
      <c r="Q2069" s="41" t="inlineStr">
        <is>
          <t>-</t>
        </is>
      </c>
      <c r="R2069" s="42" t="inlineStr">
        <is>
          <t>중개거래</t>
        </is>
      </c>
      <c r="S2069" s="42" t="inlineStr">
        <is>
          <t>서울 서초구</t>
        </is>
      </c>
      <c r="T2069" s="41" t="inlineStr">
        <is>
          <t>25.11.26</t>
        </is>
      </c>
      <c r="U2069" s="42" t="inlineStr">
        <is>
          <t>아파트</t>
        </is>
      </c>
    </row>
    <row r="2070" hidden="1" ht="17.25" customHeight="1">
      <c r="A2070" s="41" t="n">
        <v>411</v>
      </c>
      <c r="B2070" s="42" t="inlineStr">
        <is>
          <t>서울특별시 서초구 서초동</t>
        </is>
      </c>
      <c r="C2070" s="41" t="inlineStr">
        <is>
          <t>1542-1</t>
        </is>
      </c>
      <c r="D2070" s="41" t="inlineStr">
        <is>
          <t>1542</t>
        </is>
      </c>
      <c r="E2070" s="41" t="inlineStr">
        <is>
          <t>0001</t>
        </is>
      </c>
      <c r="F2070" s="42" t="inlineStr">
        <is>
          <t>동일하이빌</t>
        </is>
      </c>
      <c r="G2070" s="41" t="inlineStr">
        <is>
          <t>100.3900</t>
        </is>
      </c>
      <c r="H2070" s="41" t="inlineStr">
        <is>
          <t>202508</t>
        </is>
      </c>
      <c r="I2070" s="41" t="inlineStr">
        <is>
          <t>19</t>
        </is>
      </c>
      <c r="J2070" s="41" t="inlineStr">
        <is>
          <t>181,000</t>
        </is>
      </c>
      <c r="K2070" s="41" t="inlineStr">
        <is>
          <t>101동</t>
        </is>
      </c>
      <c r="L2070" s="41" t="inlineStr">
        <is>
          <t>9</t>
        </is>
      </c>
      <c r="M2070" s="42" t="inlineStr">
        <is>
          <t>개인</t>
        </is>
      </c>
      <c r="N2070" s="42" t="inlineStr">
        <is>
          <t>개인</t>
        </is>
      </c>
      <c r="O2070" s="41" t="inlineStr">
        <is>
          <t>2006</t>
        </is>
      </c>
      <c r="P2070" s="42" t="inlineStr">
        <is>
          <t>서초대로 240</t>
        </is>
      </c>
      <c r="Q2070" s="41" t="inlineStr">
        <is>
          <t>-</t>
        </is>
      </c>
      <c r="R2070" s="42" t="inlineStr">
        <is>
          <t>중개거래</t>
        </is>
      </c>
      <c r="S2070" s="42" t="inlineStr">
        <is>
          <t>서울 서초구</t>
        </is>
      </c>
      <c r="T2070" s="41" t="inlineStr">
        <is>
          <t>25.08.29</t>
        </is>
      </c>
      <c r="U2070" s="42" t="inlineStr">
        <is>
          <t>아파트</t>
        </is>
      </c>
    </row>
    <row r="2071" hidden="1" ht="17.25" customHeight="1">
      <c r="A2071" s="41" t="n">
        <v>412</v>
      </c>
      <c r="B2071" s="42" t="inlineStr">
        <is>
          <t>서울특별시 서초구 서초동</t>
        </is>
      </c>
      <c r="C2071" s="41" t="inlineStr">
        <is>
          <t>1312-3</t>
        </is>
      </c>
      <c r="D2071" s="41" t="inlineStr">
        <is>
          <t>1312</t>
        </is>
      </c>
      <c r="E2071" s="41" t="inlineStr">
        <is>
          <t>0003</t>
        </is>
      </c>
      <c r="F2071" s="42" t="inlineStr">
        <is>
          <t>롯데캐슬클래식</t>
        </is>
      </c>
      <c r="G2071" s="41" t="inlineStr">
        <is>
          <t>74.3000</t>
        </is>
      </c>
      <c r="H2071" s="41" t="inlineStr">
        <is>
          <t>202508</t>
        </is>
      </c>
      <c r="I2071" s="41" t="inlineStr">
        <is>
          <t>18</t>
        </is>
      </c>
      <c r="J2071" s="41" t="inlineStr">
        <is>
          <t>270,000</t>
        </is>
      </c>
      <c r="K2071" s="41" t="inlineStr">
        <is>
          <t>112</t>
        </is>
      </c>
      <c r="L2071" s="41" t="inlineStr">
        <is>
          <t>9</t>
        </is>
      </c>
      <c r="M2071" s="42" t="inlineStr">
        <is>
          <t>개인</t>
        </is>
      </c>
      <c r="N2071" s="42" t="inlineStr">
        <is>
          <t>개인</t>
        </is>
      </c>
      <c r="O2071" s="41" t="inlineStr">
        <is>
          <t>2006</t>
        </is>
      </c>
      <c r="P2071" s="42" t="inlineStr">
        <is>
          <t>서운로 200</t>
        </is>
      </c>
      <c r="Q2071" s="41" t="inlineStr">
        <is>
          <t>-</t>
        </is>
      </c>
      <c r="R2071" s="42" t="inlineStr">
        <is>
          <t>중개거래</t>
        </is>
      </c>
      <c r="S2071" s="42" t="inlineStr">
        <is>
          <t>서울 서초구, 서울 성동구</t>
        </is>
      </c>
      <c r="T2071" s="41" t="inlineStr">
        <is>
          <t>25.12.18</t>
        </is>
      </c>
      <c r="U2071" s="42" t="inlineStr">
        <is>
          <t>아파트</t>
        </is>
      </c>
    </row>
    <row r="2072" hidden="1" ht="17.25" customHeight="1">
      <c r="A2072" s="41" t="n">
        <v>413</v>
      </c>
      <c r="B2072" s="42" t="inlineStr">
        <is>
          <t>서울특별시 서초구 서초동</t>
        </is>
      </c>
      <c r="C2072" s="41" t="inlineStr">
        <is>
          <t>1671-5</t>
        </is>
      </c>
      <c r="D2072" s="41" t="inlineStr">
        <is>
          <t>1671</t>
        </is>
      </c>
      <c r="E2072" s="41" t="inlineStr">
        <is>
          <t>0005</t>
        </is>
      </c>
      <c r="F2072" s="42" t="inlineStr">
        <is>
          <t>대림서초리시온</t>
        </is>
      </c>
      <c r="G2072" s="41" t="inlineStr">
        <is>
          <t>49.9200</t>
        </is>
      </c>
      <c r="H2072" s="41" t="inlineStr">
        <is>
          <t>202508</t>
        </is>
      </c>
      <c r="I2072" s="41" t="inlineStr">
        <is>
          <t>18</t>
        </is>
      </c>
      <c r="J2072" s="41" t="inlineStr">
        <is>
          <t>52,300</t>
        </is>
      </c>
      <c r="K2072" s="41" t="inlineStr">
        <is>
          <t>-</t>
        </is>
      </c>
      <c r="L2072" s="41" t="inlineStr">
        <is>
          <t>8</t>
        </is>
      </c>
      <c r="M2072" s="42" t="inlineStr">
        <is>
          <t>개인</t>
        </is>
      </c>
      <c r="N2072" s="42" t="inlineStr">
        <is>
          <t>개인</t>
        </is>
      </c>
      <c r="O2072" s="41" t="inlineStr">
        <is>
          <t>2003</t>
        </is>
      </c>
      <c r="P2072" s="42" t="inlineStr">
        <is>
          <t>서초중앙로22길 25</t>
        </is>
      </c>
      <c r="Q2072" s="41" t="inlineStr">
        <is>
          <t>-</t>
        </is>
      </c>
      <c r="R2072" s="42" t="inlineStr">
        <is>
          <t>중개거래</t>
        </is>
      </c>
      <c r="S2072" s="42" t="inlineStr">
        <is>
          <t>서울 서초구</t>
        </is>
      </c>
      <c r="T2072" s="41" t="inlineStr">
        <is>
          <t>25.10.21</t>
        </is>
      </c>
      <c r="U2072" s="42" t="inlineStr">
        <is>
          <t>아파트</t>
        </is>
      </c>
    </row>
    <row r="2073" hidden="1" ht="17.25" customHeight="1">
      <c r="A2073" s="41" t="n">
        <v>414</v>
      </c>
      <c r="B2073" s="42" t="inlineStr">
        <is>
          <t>서울특별시 서초구 서초동</t>
        </is>
      </c>
      <c r="C2073" s="41" t="inlineStr">
        <is>
          <t>1326-17</t>
        </is>
      </c>
      <c r="D2073" s="41" t="inlineStr">
        <is>
          <t>1326</t>
        </is>
      </c>
      <c r="E2073" s="41" t="inlineStr">
        <is>
          <t>0017</t>
        </is>
      </c>
      <c r="F2073" s="42" t="inlineStr">
        <is>
          <t>우성아파트</t>
        </is>
      </c>
      <c r="G2073" s="41" t="inlineStr">
        <is>
          <t>59.9300</t>
        </is>
      </c>
      <c r="H2073" s="41" t="inlineStr">
        <is>
          <t>202508</t>
        </is>
      </c>
      <c r="I2073" s="41" t="inlineStr">
        <is>
          <t>18</t>
        </is>
      </c>
      <c r="J2073" s="41" t="inlineStr">
        <is>
          <t>207,300</t>
        </is>
      </c>
      <c r="K2073" s="41" t="inlineStr">
        <is>
          <t>501</t>
        </is>
      </c>
      <c r="L2073" s="41" t="inlineStr">
        <is>
          <t>1</t>
        </is>
      </c>
      <c r="M2073" s="42" t="inlineStr">
        <is>
          <t>개인</t>
        </is>
      </c>
      <c r="N2073" s="42" t="inlineStr">
        <is>
          <t>개인</t>
        </is>
      </c>
      <c r="O2073" s="41" t="inlineStr">
        <is>
          <t>1998</t>
        </is>
      </c>
      <c r="P2073" s="42" t="inlineStr">
        <is>
          <t>서초대로74길 30</t>
        </is>
      </c>
      <c r="Q2073" s="41" t="inlineStr">
        <is>
          <t>-</t>
        </is>
      </c>
      <c r="R2073" s="42" t="inlineStr">
        <is>
          <t>중개거래</t>
        </is>
      </c>
      <c r="S2073" s="42" t="inlineStr">
        <is>
          <t>서울 서초구</t>
        </is>
      </c>
      <c r="T2073" s="41" t="inlineStr">
        <is>
          <t>25.12.12</t>
        </is>
      </c>
      <c r="U2073" s="42" t="inlineStr">
        <is>
          <t>아파트</t>
        </is>
      </c>
    </row>
    <row r="2074" hidden="1" ht="17.25" customHeight="1">
      <c r="A2074" s="41" t="n">
        <v>415</v>
      </c>
      <c r="B2074" s="42" t="inlineStr">
        <is>
          <t>서울특별시 서초구 서초동</t>
        </is>
      </c>
      <c r="C2074" s="41" t="inlineStr">
        <is>
          <t>1757</t>
        </is>
      </c>
      <c r="D2074" s="41" t="inlineStr">
        <is>
          <t>1757</t>
        </is>
      </c>
      <c r="E2074" s="41" t="inlineStr">
        <is>
          <t>0000</t>
        </is>
      </c>
      <c r="F2074" s="42" t="inlineStr">
        <is>
          <t>서초그랑자이</t>
        </is>
      </c>
      <c r="G2074" s="41" t="inlineStr">
        <is>
          <t>119.4100</t>
        </is>
      </c>
      <c r="H2074" s="41" t="inlineStr">
        <is>
          <t>202508</t>
        </is>
      </c>
      <c r="I2074" s="41" t="inlineStr">
        <is>
          <t>18</t>
        </is>
      </c>
      <c r="J2074" s="41" t="inlineStr">
        <is>
          <t>463,000</t>
        </is>
      </c>
      <c r="K2074" s="41" t="inlineStr">
        <is>
          <t>107동</t>
        </is>
      </c>
      <c r="L2074" s="41" t="inlineStr">
        <is>
          <t>13</t>
        </is>
      </c>
      <c r="M2074" s="42" t="inlineStr">
        <is>
          <t>개인</t>
        </is>
      </c>
      <c r="N2074" s="42" t="inlineStr">
        <is>
          <t>개인</t>
        </is>
      </c>
      <c r="O2074" s="41" t="inlineStr">
        <is>
          <t>2021</t>
        </is>
      </c>
      <c r="P2074" s="42" t="inlineStr">
        <is>
          <t>효령로 391</t>
        </is>
      </c>
      <c r="Q2074" s="41" t="inlineStr">
        <is>
          <t>-</t>
        </is>
      </c>
      <c r="R2074" s="42" t="inlineStr">
        <is>
          <t>중개거래</t>
        </is>
      </c>
      <c r="S2074" s="42" t="inlineStr">
        <is>
          <t>서울 서초구</t>
        </is>
      </c>
      <c r="T2074" s="41" t="inlineStr">
        <is>
          <t>25.10.30</t>
        </is>
      </c>
      <c r="U2074" s="42" t="inlineStr">
        <is>
          <t>아파트</t>
        </is>
      </c>
    </row>
    <row r="2075" hidden="1" ht="17.25" customHeight="1">
      <c r="A2075" s="41" t="n">
        <v>416</v>
      </c>
      <c r="B2075" s="42" t="inlineStr">
        <is>
          <t>서울특별시 서초구 서초동</t>
        </is>
      </c>
      <c r="C2075" s="41" t="inlineStr">
        <is>
          <t>1312-3</t>
        </is>
      </c>
      <c r="D2075" s="41" t="inlineStr">
        <is>
          <t>1312</t>
        </is>
      </c>
      <c r="E2075" s="41" t="inlineStr">
        <is>
          <t>0003</t>
        </is>
      </c>
      <c r="F2075" s="42" t="inlineStr">
        <is>
          <t>롯데캐슬클래식</t>
        </is>
      </c>
      <c r="G2075" s="41" t="inlineStr">
        <is>
          <t>133.4500</t>
        </is>
      </c>
      <c r="H2075" s="41" t="inlineStr">
        <is>
          <t>202508</t>
        </is>
      </c>
      <c r="I2075" s="41" t="inlineStr">
        <is>
          <t>18</t>
        </is>
      </c>
      <c r="J2075" s="41" t="inlineStr">
        <is>
          <t>340,000</t>
        </is>
      </c>
      <c r="K2075" s="41" t="inlineStr">
        <is>
          <t>109</t>
        </is>
      </c>
      <c r="L2075" s="41" t="inlineStr">
        <is>
          <t>6</t>
        </is>
      </c>
      <c r="M2075" s="42" t="inlineStr">
        <is>
          <t>개인</t>
        </is>
      </c>
      <c r="N2075" s="42" t="inlineStr">
        <is>
          <t>개인</t>
        </is>
      </c>
      <c r="O2075" s="41" t="inlineStr">
        <is>
          <t>2006</t>
        </is>
      </c>
      <c r="P2075" s="42" t="inlineStr">
        <is>
          <t>서운로 197</t>
        </is>
      </c>
      <c r="Q2075" s="41" t="inlineStr">
        <is>
          <t>-</t>
        </is>
      </c>
      <c r="R2075" s="42" t="inlineStr">
        <is>
          <t>중개거래</t>
        </is>
      </c>
      <c r="S2075" s="42" t="inlineStr">
        <is>
          <t>서울 서초구</t>
        </is>
      </c>
      <c r="T2075" s="41" t="inlineStr">
        <is>
          <t>25.12.05</t>
        </is>
      </c>
      <c r="U2075" s="42" t="inlineStr">
        <is>
          <t>아파트</t>
        </is>
      </c>
    </row>
    <row r="2076" hidden="1" ht="17.25" customHeight="1">
      <c r="A2076" s="41" t="n">
        <v>417</v>
      </c>
      <c r="B2076" s="42" t="inlineStr">
        <is>
          <t>서울특별시 서초구 서초동</t>
        </is>
      </c>
      <c r="C2076" s="41" t="inlineStr">
        <is>
          <t>1682</t>
        </is>
      </c>
      <c r="D2076" s="41" t="inlineStr">
        <is>
          <t>1682</t>
        </is>
      </c>
      <c r="E2076" s="41" t="inlineStr">
        <is>
          <t>0000</t>
        </is>
      </c>
      <c r="F2076" s="42" t="inlineStr">
        <is>
          <t>서초래미안</t>
        </is>
      </c>
      <c r="G2076" s="41" t="inlineStr">
        <is>
          <t>126.3100</t>
        </is>
      </c>
      <c r="H2076" s="41" t="inlineStr">
        <is>
          <t>202508</t>
        </is>
      </c>
      <c r="I2076" s="41" t="inlineStr">
        <is>
          <t>16</t>
        </is>
      </c>
      <c r="J2076" s="41" t="inlineStr">
        <is>
          <t>330,000</t>
        </is>
      </c>
      <c r="K2076" s="41" t="inlineStr">
        <is>
          <t>110</t>
        </is>
      </c>
      <c r="L2076" s="41" t="inlineStr">
        <is>
          <t>11</t>
        </is>
      </c>
      <c r="M2076" s="42" t="inlineStr">
        <is>
          <t>개인</t>
        </is>
      </c>
      <c r="N2076" s="42" t="inlineStr">
        <is>
          <t>개인</t>
        </is>
      </c>
      <c r="O2076" s="41" t="inlineStr">
        <is>
          <t>2003</t>
        </is>
      </c>
      <c r="P2076" s="42" t="inlineStr">
        <is>
          <t>서초대로65길 13-10</t>
        </is>
      </c>
      <c r="Q2076" s="41" t="inlineStr">
        <is>
          <t>-</t>
        </is>
      </c>
      <c r="R2076" s="42" t="inlineStr">
        <is>
          <t>중개거래</t>
        </is>
      </c>
      <c r="S2076" s="42" t="inlineStr">
        <is>
          <t>서울 서초구</t>
        </is>
      </c>
      <c r="T2076" s="41" t="inlineStr">
        <is>
          <t>25.11.27</t>
        </is>
      </c>
      <c r="U2076" s="42" t="inlineStr">
        <is>
          <t>아파트</t>
        </is>
      </c>
    </row>
    <row r="2077" hidden="1" ht="17.25" customHeight="1">
      <c r="A2077" s="41" t="n">
        <v>418</v>
      </c>
      <c r="B2077" s="42" t="inlineStr">
        <is>
          <t>서울특별시 서초구 서초동</t>
        </is>
      </c>
      <c r="C2077" s="41" t="inlineStr">
        <is>
          <t>1330</t>
        </is>
      </c>
      <c r="D2077" s="41" t="inlineStr">
        <is>
          <t>1330</t>
        </is>
      </c>
      <c r="E2077" s="41" t="inlineStr">
        <is>
          <t>0000</t>
        </is>
      </c>
      <c r="F2077" s="42" t="inlineStr">
        <is>
          <t>서초동삼성쉐르빌2</t>
        </is>
      </c>
      <c r="G2077" s="41" t="inlineStr">
        <is>
          <t>35.2200</t>
        </is>
      </c>
      <c r="H2077" s="41" t="inlineStr">
        <is>
          <t>202508</t>
        </is>
      </c>
      <c r="I2077" s="41" t="inlineStr">
        <is>
          <t>15</t>
        </is>
      </c>
      <c r="J2077" s="41" t="inlineStr">
        <is>
          <t>29,000</t>
        </is>
      </c>
      <c r="K2077" s="41" t="inlineStr">
        <is>
          <t>-</t>
        </is>
      </c>
      <c r="L2077" s="41" t="inlineStr">
        <is>
          <t>11</t>
        </is>
      </c>
      <c r="M2077" s="42" t="inlineStr">
        <is>
          <t>개인</t>
        </is>
      </c>
      <c r="N2077" s="42" t="inlineStr">
        <is>
          <t>개인</t>
        </is>
      </c>
      <c r="O2077" s="41" t="inlineStr">
        <is>
          <t>2002</t>
        </is>
      </c>
      <c r="P2077" s="42" t="inlineStr">
        <is>
          <t>강남대로53길 11</t>
        </is>
      </c>
      <c r="Q2077" s="41" t="inlineStr">
        <is>
          <t>-</t>
        </is>
      </c>
      <c r="R2077" s="42" t="inlineStr">
        <is>
          <t>중개거래</t>
        </is>
      </c>
      <c r="S2077" s="42" t="inlineStr">
        <is>
          <t>서울 서초구</t>
        </is>
      </c>
      <c r="T2077" s="41" t="inlineStr">
        <is>
          <t>25.09.29</t>
        </is>
      </c>
      <c r="U2077" s="42" t="inlineStr">
        <is>
          <t>아파트</t>
        </is>
      </c>
    </row>
    <row r="2078" hidden="1" ht="17.25" customHeight="1">
      <c r="A2078" s="41" t="n">
        <v>419</v>
      </c>
      <c r="B2078" s="42" t="inlineStr">
        <is>
          <t>서울특별시 서초구 서초동</t>
        </is>
      </c>
      <c r="C2078" s="41" t="inlineStr">
        <is>
          <t>1506-88</t>
        </is>
      </c>
      <c r="D2078" s="41" t="inlineStr">
        <is>
          <t>1506</t>
        </is>
      </c>
      <c r="E2078" s="41" t="inlineStr">
        <is>
          <t>0088</t>
        </is>
      </c>
      <c r="F2078" s="42" t="inlineStr">
        <is>
          <t>현대홈타운</t>
        </is>
      </c>
      <c r="G2078" s="41" t="inlineStr">
        <is>
          <t>134.1900</t>
        </is>
      </c>
      <c r="H2078" s="41" t="inlineStr">
        <is>
          <t>202508</t>
        </is>
      </c>
      <c r="I2078" s="41" t="inlineStr">
        <is>
          <t>13</t>
        </is>
      </c>
      <c r="J2078" s="41" t="inlineStr">
        <is>
          <t>200,000</t>
        </is>
      </c>
      <c r="K2078" s="41" t="inlineStr">
        <is>
          <t>101</t>
        </is>
      </c>
      <c r="L2078" s="41" t="inlineStr">
        <is>
          <t>6</t>
        </is>
      </c>
      <c r="M2078" s="42" t="inlineStr">
        <is>
          <t>개인</t>
        </is>
      </c>
      <c r="N2078" s="42" t="inlineStr">
        <is>
          <t>개인</t>
        </is>
      </c>
      <c r="O2078" s="41" t="inlineStr">
        <is>
          <t>2005</t>
        </is>
      </c>
      <c r="P2078" s="42" t="inlineStr">
        <is>
          <t>반포대로23길 71</t>
        </is>
      </c>
      <c r="Q2078" s="41" t="inlineStr">
        <is>
          <t>-</t>
        </is>
      </c>
      <c r="R2078" s="42" t="inlineStr">
        <is>
          <t>중개거래</t>
        </is>
      </c>
      <c r="S2078" s="42" t="inlineStr">
        <is>
          <t>서울 서초구</t>
        </is>
      </c>
      <c r="T2078" s="41" t="inlineStr">
        <is>
          <t>25.10.31</t>
        </is>
      </c>
      <c r="U2078" s="42" t="inlineStr">
        <is>
          <t>아파트</t>
        </is>
      </c>
    </row>
    <row r="2079" hidden="1" ht="17.25" customHeight="1">
      <c r="A2079" s="41" t="n">
        <v>420</v>
      </c>
      <c r="B2079" s="42" t="inlineStr">
        <is>
          <t>서울특별시 서초구 서초동</t>
        </is>
      </c>
      <c r="C2079" s="41" t="inlineStr">
        <is>
          <t>1648-2</t>
        </is>
      </c>
      <c r="D2079" s="41" t="inlineStr">
        <is>
          <t>1648</t>
        </is>
      </c>
      <c r="E2079" s="41" t="inlineStr">
        <is>
          <t>0002</t>
        </is>
      </c>
      <c r="F2079" s="42" t="inlineStr">
        <is>
          <t>서초현대</t>
        </is>
      </c>
      <c r="G2079" s="41" t="inlineStr">
        <is>
          <t>114.8400</t>
        </is>
      </c>
      <c r="H2079" s="41" t="inlineStr">
        <is>
          <t>202508</t>
        </is>
      </c>
      <c r="I2079" s="41" t="inlineStr">
        <is>
          <t>13</t>
        </is>
      </c>
      <c r="J2079" s="41" t="inlineStr">
        <is>
          <t>254,000</t>
        </is>
      </c>
      <c r="K2079" s="41" t="inlineStr">
        <is>
          <t>102</t>
        </is>
      </c>
      <c r="L2079" s="41" t="inlineStr">
        <is>
          <t>7</t>
        </is>
      </c>
      <c r="M2079" s="42" t="inlineStr">
        <is>
          <t>개인</t>
        </is>
      </c>
      <c r="N2079" s="42" t="inlineStr">
        <is>
          <t>개인</t>
        </is>
      </c>
      <c r="O2079" s="41" t="inlineStr">
        <is>
          <t>1999</t>
        </is>
      </c>
      <c r="P2079" s="42" t="inlineStr">
        <is>
          <t>사임당로19길 10</t>
        </is>
      </c>
      <c r="Q2079" s="41" t="inlineStr">
        <is>
          <t>-</t>
        </is>
      </c>
      <c r="R2079" s="42" t="inlineStr">
        <is>
          <t>중개거래</t>
        </is>
      </c>
      <c r="S2079" s="42" t="inlineStr">
        <is>
          <t>서울 서초구</t>
        </is>
      </c>
      <c r="T2079" s="41" t="inlineStr">
        <is>
          <t>25.12.11</t>
        </is>
      </c>
      <c r="U2079" s="42" t="inlineStr">
        <is>
          <t>아파트</t>
        </is>
      </c>
    </row>
    <row r="2080" hidden="1" ht="17.25" customHeight="1">
      <c r="A2080" s="41" t="n">
        <v>421</v>
      </c>
      <c r="B2080" s="42" t="inlineStr">
        <is>
          <t>서울특별시 서초구 서초동</t>
        </is>
      </c>
      <c r="C2080" s="41" t="inlineStr">
        <is>
          <t>1582-3</t>
        </is>
      </c>
      <c r="D2080" s="41" t="inlineStr">
        <is>
          <t>1582</t>
        </is>
      </c>
      <c r="E2080" s="41" t="inlineStr">
        <is>
          <t>0003</t>
        </is>
      </c>
      <c r="F2080" s="42" t="inlineStr">
        <is>
          <t>서초센트럴IPARK</t>
        </is>
      </c>
      <c r="G2080" s="41" t="inlineStr">
        <is>
          <t>80.5154</t>
        </is>
      </c>
      <c r="H2080" s="41" t="inlineStr">
        <is>
          <t>202508</t>
        </is>
      </c>
      <c r="I2080" s="41" t="inlineStr">
        <is>
          <t>13</t>
        </is>
      </c>
      <c r="J2080" s="41" t="inlineStr">
        <is>
          <t>167,000</t>
        </is>
      </c>
      <c r="K2080" s="41" t="inlineStr">
        <is>
          <t>101동</t>
        </is>
      </c>
      <c r="L2080" s="41" t="inlineStr">
        <is>
          <t>10</t>
        </is>
      </c>
      <c r="M2080" s="42" t="inlineStr">
        <is>
          <t>개인</t>
        </is>
      </c>
      <c r="N2080" s="42" t="inlineStr">
        <is>
          <t>개인</t>
        </is>
      </c>
      <c r="O2080" s="41" t="inlineStr">
        <is>
          <t>2020</t>
        </is>
      </c>
      <c r="P2080" s="42" t="inlineStr">
        <is>
          <t>반포대로18길 36</t>
        </is>
      </c>
      <c r="Q2080" s="41" t="inlineStr">
        <is>
          <t>-</t>
        </is>
      </c>
      <c r="R2080" s="42" t="inlineStr">
        <is>
          <t>중개거래</t>
        </is>
      </c>
      <c r="S2080" s="42" t="inlineStr">
        <is>
          <t>경기 부천시 원미구, 서울 서초구, 서울 성북구</t>
        </is>
      </c>
      <c r="T2080" s="41" t="inlineStr">
        <is>
          <t>26.01.30</t>
        </is>
      </c>
      <c r="U2080" s="42" t="inlineStr">
        <is>
          <t>아파트</t>
        </is>
      </c>
    </row>
    <row r="2081" hidden="1" ht="17.25" customHeight="1">
      <c r="A2081" s="41" t="n">
        <v>422</v>
      </c>
      <c r="B2081" s="42" t="inlineStr">
        <is>
          <t>서울특별시 서초구 서초동</t>
        </is>
      </c>
      <c r="C2081" s="41" t="inlineStr">
        <is>
          <t>1312-3</t>
        </is>
      </c>
      <c r="D2081" s="41" t="inlineStr">
        <is>
          <t>1312</t>
        </is>
      </c>
      <c r="E2081" s="41" t="inlineStr">
        <is>
          <t>0003</t>
        </is>
      </c>
      <c r="F2081" s="42" t="inlineStr">
        <is>
          <t>롯데캐슬클래식</t>
        </is>
      </c>
      <c r="G2081" s="41" t="inlineStr">
        <is>
          <t>84.9800</t>
        </is>
      </c>
      <c r="H2081" s="41" t="inlineStr">
        <is>
          <t>202508</t>
        </is>
      </c>
      <c r="I2081" s="41" t="inlineStr">
        <is>
          <t>12</t>
        </is>
      </c>
      <c r="J2081" s="41" t="inlineStr">
        <is>
          <t>282,500</t>
        </is>
      </c>
      <c r="K2081" s="41" t="inlineStr">
        <is>
          <t>102</t>
        </is>
      </c>
      <c r="L2081" s="41" t="inlineStr">
        <is>
          <t>5</t>
        </is>
      </c>
      <c r="M2081" s="42" t="inlineStr">
        <is>
          <t>개인</t>
        </is>
      </c>
      <c r="N2081" s="42" t="inlineStr">
        <is>
          <t>개인</t>
        </is>
      </c>
      <c r="O2081" s="41" t="inlineStr">
        <is>
          <t>2006</t>
        </is>
      </c>
      <c r="P2081" s="42" t="inlineStr">
        <is>
          <t>서운로 197</t>
        </is>
      </c>
      <c r="Q2081" s="41" t="inlineStr">
        <is>
          <t>-</t>
        </is>
      </c>
      <c r="R2081" s="42" t="inlineStr">
        <is>
          <t>중개거래</t>
        </is>
      </c>
      <c r="S2081" s="42" t="inlineStr">
        <is>
          <t>서울 서초구</t>
        </is>
      </c>
      <c r="T2081" s="41" t="inlineStr">
        <is>
          <t>25.10.02</t>
        </is>
      </c>
      <c r="U2081" s="42" t="inlineStr">
        <is>
          <t>아파트</t>
        </is>
      </c>
    </row>
    <row r="2082" hidden="1" ht="17.25" customHeight="1">
      <c r="A2082" s="41" t="n">
        <v>423</v>
      </c>
      <c r="B2082" s="42" t="inlineStr">
        <is>
          <t>서울특별시 서초구 서초동</t>
        </is>
      </c>
      <c r="C2082" s="41" t="inlineStr">
        <is>
          <t>1451-89</t>
        </is>
      </c>
      <c r="D2082" s="41" t="inlineStr">
        <is>
          <t>1451</t>
        </is>
      </c>
      <c r="E2082" s="41" t="inlineStr">
        <is>
          <t>0089</t>
        </is>
      </c>
      <c r="F2082" s="42" t="inlineStr">
        <is>
          <t>서초중흥S-클래스(도시형생활주택)</t>
        </is>
      </c>
      <c r="G2082" s="41" t="inlineStr">
        <is>
          <t>20.6800</t>
        </is>
      </c>
      <c r="H2082" s="41" t="inlineStr">
        <is>
          <t>202508</t>
        </is>
      </c>
      <c r="I2082" s="41" t="inlineStr">
        <is>
          <t>12</t>
        </is>
      </c>
      <c r="J2082" s="41" t="inlineStr">
        <is>
          <t>19,800</t>
        </is>
      </c>
      <c r="K2082" s="41" t="inlineStr">
        <is>
          <t>1</t>
        </is>
      </c>
      <c r="L2082" s="41" t="inlineStr">
        <is>
          <t>1</t>
        </is>
      </c>
      <c r="M2082" s="42" t="inlineStr">
        <is>
          <t>개인</t>
        </is>
      </c>
      <c r="N2082" s="42" t="inlineStr">
        <is>
          <t>개인</t>
        </is>
      </c>
      <c r="O2082" s="41" t="inlineStr">
        <is>
          <t>2013</t>
        </is>
      </c>
      <c r="P2082" s="42" t="inlineStr">
        <is>
          <t>효령로52길 63</t>
        </is>
      </c>
      <c r="Q2082" s="41" t="inlineStr">
        <is>
          <t>-</t>
        </is>
      </c>
      <c r="R2082" s="42" t="inlineStr">
        <is>
          <t>중개거래</t>
        </is>
      </c>
      <c r="S2082" s="42" t="inlineStr">
        <is>
          <t>서울 서초구</t>
        </is>
      </c>
      <c r="T2082" s="41" t="inlineStr">
        <is>
          <t>25.09.03</t>
        </is>
      </c>
      <c r="U2082" s="42" t="inlineStr">
        <is>
          <t>아파트</t>
        </is>
      </c>
    </row>
    <row r="2083" hidden="1" ht="17.25" customHeight="1">
      <c r="A2083" s="41" t="n">
        <v>424</v>
      </c>
      <c r="B2083" s="42" t="inlineStr">
        <is>
          <t>서울특별시 서초구 서초동</t>
        </is>
      </c>
      <c r="C2083" s="41" t="inlineStr">
        <is>
          <t>1612-2</t>
        </is>
      </c>
      <c r="D2083" s="41" t="inlineStr">
        <is>
          <t>1612</t>
        </is>
      </c>
      <c r="E2083" s="41" t="inlineStr">
        <is>
          <t>0002</t>
        </is>
      </c>
      <c r="F2083" s="42" t="inlineStr">
        <is>
          <t>서초힐하우스</t>
        </is>
      </c>
      <c r="G2083" s="41" t="inlineStr">
        <is>
          <t>111.9200</t>
        </is>
      </c>
      <c r="H2083" s="41" t="inlineStr">
        <is>
          <t>202508</t>
        </is>
      </c>
      <c r="I2083" s="41" t="inlineStr">
        <is>
          <t>11</t>
        </is>
      </c>
      <c r="J2083" s="41" t="inlineStr">
        <is>
          <t>103,926</t>
        </is>
      </c>
      <c r="K2083" s="41" t="inlineStr">
        <is>
          <t>-</t>
        </is>
      </c>
      <c r="L2083" s="41" t="inlineStr">
        <is>
          <t>2</t>
        </is>
      </c>
      <c r="M2083" s="42" t="inlineStr">
        <is>
          <t>개인</t>
        </is>
      </c>
      <c r="N2083" s="42" t="inlineStr">
        <is>
          <t>법인</t>
        </is>
      </c>
      <c r="O2083" s="41" t="inlineStr">
        <is>
          <t>2002</t>
        </is>
      </c>
      <c r="P2083" s="42" t="inlineStr">
        <is>
          <t>서리풀길 28</t>
        </is>
      </c>
      <c r="Q2083" s="41" t="inlineStr">
        <is>
          <t>-</t>
        </is>
      </c>
      <c r="R2083" s="42" t="inlineStr">
        <is>
          <t>직거래</t>
        </is>
      </c>
      <c r="S2083" s="41" t="inlineStr">
        <is>
          <t>-</t>
        </is>
      </c>
      <c r="T2083" s="41" t="inlineStr">
        <is>
          <t>25.09.30</t>
        </is>
      </c>
      <c r="U2083" s="42" t="inlineStr">
        <is>
          <t>아파트</t>
        </is>
      </c>
    </row>
    <row r="2084" hidden="1" ht="17.25" customHeight="1">
      <c r="A2084" s="41" t="n">
        <v>425</v>
      </c>
      <c r="B2084" s="42" t="inlineStr">
        <is>
          <t>서울특별시 서초구 서초동</t>
        </is>
      </c>
      <c r="C2084" s="41" t="inlineStr">
        <is>
          <t>1642-34</t>
        </is>
      </c>
      <c r="D2084" s="41" t="inlineStr">
        <is>
          <t>1642</t>
        </is>
      </c>
      <c r="E2084" s="41" t="inlineStr">
        <is>
          <t>0034</t>
        </is>
      </c>
      <c r="F2084" s="42" t="inlineStr">
        <is>
          <t>래미안서초7차</t>
        </is>
      </c>
      <c r="G2084" s="41" t="inlineStr">
        <is>
          <t>148.0800</t>
        </is>
      </c>
      <c r="H2084" s="41" t="inlineStr">
        <is>
          <t>202508</t>
        </is>
      </c>
      <c r="I2084" s="41" t="inlineStr">
        <is>
          <t>11</t>
        </is>
      </c>
      <c r="J2084" s="41" t="inlineStr">
        <is>
          <t>245,000</t>
        </is>
      </c>
      <c r="K2084" s="41" t="inlineStr">
        <is>
          <t>102</t>
        </is>
      </c>
      <c r="L2084" s="41" t="inlineStr">
        <is>
          <t>5</t>
        </is>
      </c>
      <c r="M2084" s="42" t="inlineStr">
        <is>
          <t>개인</t>
        </is>
      </c>
      <c r="N2084" s="42" t="inlineStr">
        <is>
          <t>개인</t>
        </is>
      </c>
      <c r="O2084" s="41" t="inlineStr">
        <is>
          <t>2006</t>
        </is>
      </c>
      <c r="P2084" s="42" t="inlineStr">
        <is>
          <t>사임당로17길 80</t>
        </is>
      </c>
      <c r="Q2084" s="41" t="inlineStr">
        <is>
          <t>-</t>
        </is>
      </c>
      <c r="R2084" s="42" t="inlineStr">
        <is>
          <t>중개거래</t>
        </is>
      </c>
      <c r="S2084" s="42" t="inlineStr">
        <is>
          <t>서울 강남구, 서울 서초구</t>
        </is>
      </c>
      <c r="T2084" s="41" t="inlineStr">
        <is>
          <t>25.09.22</t>
        </is>
      </c>
      <c r="U2084" s="42" t="inlineStr">
        <is>
          <t>아파트</t>
        </is>
      </c>
    </row>
    <row r="2085" hidden="1" ht="17.25" customHeight="1">
      <c r="A2085" s="41" t="n">
        <v>426</v>
      </c>
      <c r="B2085" s="42" t="inlineStr">
        <is>
          <t>서울특별시 서초구 서초동</t>
        </is>
      </c>
      <c r="C2085" s="41" t="inlineStr">
        <is>
          <t>1609-6</t>
        </is>
      </c>
      <c r="D2085" s="41" t="inlineStr">
        <is>
          <t>1609</t>
        </is>
      </c>
      <c r="E2085" s="41" t="inlineStr">
        <is>
          <t>0006</t>
        </is>
      </c>
      <c r="F2085" s="42" t="inlineStr">
        <is>
          <t>두진한아름</t>
        </is>
      </c>
      <c r="G2085" s="41" t="inlineStr">
        <is>
          <t>59.7900</t>
        </is>
      </c>
      <c r="H2085" s="41" t="inlineStr">
        <is>
          <t>202508</t>
        </is>
      </c>
      <c r="I2085" s="41" t="inlineStr">
        <is>
          <t>09</t>
        </is>
      </c>
      <c r="J2085" s="41" t="inlineStr">
        <is>
          <t>104,000</t>
        </is>
      </c>
      <c r="K2085" s="41" t="inlineStr">
        <is>
          <t>-</t>
        </is>
      </c>
      <c r="L2085" s="41" t="inlineStr">
        <is>
          <t>2</t>
        </is>
      </c>
      <c r="M2085" s="42" t="inlineStr">
        <is>
          <t>개인</t>
        </is>
      </c>
      <c r="N2085" s="42" t="inlineStr">
        <is>
          <t>개인</t>
        </is>
      </c>
      <c r="O2085" s="41" t="inlineStr">
        <is>
          <t>1995</t>
        </is>
      </c>
      <c r="P2085" s="42" t="inlineStr">
        <is>
          <t>효령로67길 52</t>
        </is>
      </c>
      <c r="Q2085" s="41" t="inlineStr">
        <is>
          <t>-</t>
        </is>
      </c>
      <c r="R2085" s="42" t="inlineStr">
        <is>
          <t>중개거래</t>
        </is>
      </c>
      <c r="S2085" s="42" t="inlineStr">
        <is>
          <t>서울 강남구</t>
        </is>
      </c>
      <c r="T2085" s="41" t="inlineStr">
        <is>
          <t>25.10.01</t>
        </is>
      </c>
      <c r="U2085" s="42" t="inlineStr">
        <is>
          <t>아파트</t>
        </is>
      </c>
    </row>
    <row r="2086" hidden="1" ht="17.25" customHeight="1">
      <c r="A2086" s="41" t="n">
        <v>427</v>
      </c>
      <c r="B2086" s="42" t="inlineStr">
        <is>
          <t>서울특별시 서초구 서초동</t>
        </is>
      </c>
      <c r="C2086" s="41" t="inlineStr">
        <is>
          <t>1316-15</t>
        </is>
      </c>
      <c r="D2086" s="41" t="inlineStr">
        <is>
          <t>1316</t>
        </is>
      </c>
      <c r="E2086" s="41" t="inlineStr">
        <is>
          <t>0015</t>
        </is>
      </c>
      <c r="F2086" s="42" t="inlineStr">
        <is>
          <t>현대성우주상복합아파트</t>
        </is>
      </c>
      <c r="G2086" s="41" t="inlineStr">
        <is>
          <t>176.5900</t>
        </is>
      </c>
      <c r="H2086" s="41" t="inlineStr">
        <is>
          <t>202508</t>
        </is>
      </c>
      <c r="I2086" s="41" t="inlineStr">
        <is>
          <t>08</t>
        </is>
      </c>
      <c r="J2086" s="41" t="inlineStr">
        <is>
          <t>151,000</t>
        </is>
      </c>
      <c r="K2086" s="41" t="inlineStr">
        <is>
          <t>-</t>
        </is>
      </c>
      <c r="L2086" s="41" t="inlineStr">
        <is>
          <t>3</t>
        </is>
      </c>
      <c r="M2086" s="42" t="inlineStr">
        <is>
          <t>개인</t>
        </is>
      </c>
      <c r="N2086" s="42" t="inlineStr">
        <is>
          <t>개인</t>
        </is>
      </c>
      <c r="O2086" s="41" t="inlineStr">
        <is>
          <t>2002</t>
        </is>
      </c>
      <c r="P2086" s="42" t="inlineStr">
        <is>
          <t>강남대로61길 23</t>
        </is>
      </c>
      <c r="Q2086" s="41" t="inlineStr">
        <is>
          <t>-</t>
        </is>
      </c>
      <c r="R2086" s="42" t="inlineStr">
        <is>
          <t>중개거래</t>
        </is>
      </c>
      <c r="S2086" s="42" t="inlineStr">
        <is>
          <t>서울 서초구</t>
        </is>
      </c>
      <c r="T2086" s="41" t="inlineStr">
        <is>
          <t>25.10.20</t>
        </is>
      </c>
      <c r="U2086" s="42" t="inlineStr">
        <is>
          <t>아파트</t>
        </is>
      </c>
    </row>
    <row r="2087" hidden="1" ht="17.25" customHeight="1">
      <c r="A2087" s="41" t="n">
        <v>428</v>
      </c>
      <c r="B2087" s="42" t="inlineStr">
        <is>
          <t>서울특별시 서초구 서초동</t>
        </is>
      </c>
      <c r="C2087" s="41" t="inlineStr">
        <is>
          <t>1685-3</t>
        </is>
      </c>
      <c r="D2087" s="41" t="inlineStr">
        <is>
          <t>1685</t>
        </is>
      </c>
      <c r="E2087" s="41" t="inlineStr">
        <is>
          <t>0003</t>
        </is>
      </c>
      <c r="F2087" s="42" t="inlineStr">
        <is>
          <t>아크로비스타</t>
        </is>
      </c>
      <c r="G2087" s="41" t="inlineStr">
        <is>
          <t>174.7800</t>
        </is>
      </c>
      <c r="H2087" s="41" t="inlineStr">
        <is>
          <t>202508</t>
        </is>
      </c>
      <c r="I2087" s="41" t="inlineStr">
        <is>
          <t>07</t>
        </is>
      </c>
      <c r="J2087" s="41" t="inlineStr">
        <is>
          <t>340,000</t>
        </is>
      </c>
      <c r="K2087" s="41" t="inlineStr">
        <is>
          <t>C</t>
        </is>
      </c>
      <c r="L2087" s="41" t="inlineStr">
        <is>
          <t>2</t>
        </is>
      </c>
      <c r="M2087" s="42" t="inlineStr">
        <is>
          <t>개인</t>
        </is>
      </c>
      <c r="N2087" s="42" t="inlineStr">
        <is>
          <t>법인</t>
        </is>
      </c>
      <c r="O2087" s="41" t="inlineStr">
        <is>
          <t>2004</t>
        </is>
      </c>
      <c r="P2087" s="42" t="inlineStr">
        <is>
          <t>서초중앙로 188</t>
        </is>
      </c>
      <c r="Q2087" s="41" t="inlineStr">
        <is>
          <t>-</t>
        </is>
      </c>
      <c r="R2087" s="42" t="inlineStr">
        <is>
          <t>직거래</t>
        </is>
      </c>
      <c r="S2087" s="41" t="inlineStr">
        <is>
          <t>-</t>
        </is>
      </c>
      <c r="T2087" s="41" t="inlineStr">
        <is>
          <t>25.08.07</t>
        </is>
      </c>
      <c r="U2087" s="42" t="inlineStr">
        <is>
          <t>아파트</t>
        </is>
      </c>
    </row>
    <row r="2088" hidden="1" ht="17.25" customHeight="1">
      <c r="A2088" s="41" t="n">
        <v>429</v>
      </c>
      <c r="B2088" s="42" t="inlineStr">
        <is>
          <t>서울특별시 서초구 서초동</t>
        </is>
      </c>
      <c r="C2088" s="41" t="inlineStr">
        <is>
          <t>1531-6</t>
        </is>
      </c>
      <c r="D2088" s="41" t="inlineStr">
        <is>
          <t>1531</t>
        </is>
      </c>
      <c r="E2088" s="41" t="inlineStr">
        <is>
          <t>0006</t>
        </is>
      </c>
      <c r="F2088" s="42" t="inlineStr">
        <is>
          <t>예림</t>
        </is>
      </c>
      <c r="G2088" s="41" t="inlineStr">
        <is>
          <t>84.9900</t>
        </is>
      </c>
      <c r="H2088" s="41" t="inlineStr">
        <is>
          <t>202508</t>
        </is>
      </c>
      <c r="I2088" s="41" t="inlineStr">
        <is>
          <t>07</t>
        </is>
      </c>
      <c r="J2088" s="41" t="inlineStr">
        <is>
          <t>107,700</t>
        </is>
      </c>
      <c r="K2088" s="41" t="inlineStr">
        <is>
          <t>-</t>
        </is>
      </c>
      <c r="L2088" s="41" t="inlineStr">
        <is>
          <t>3</t>
        </is>
      </c>
      <c r="M2088" s="42" t="inlineStr">
        <is>
          <t>개인</t>
        </is>
      </c>
      <c r="N2088" s="42" t="inlineStr">
        <is>
          <t>개인</t>
        </is>
      </c>
      <c r="O2088" s="41" t="inlineStr">
        <is>
          <t>2003</t>
        </is>
      </c>
      <c r="P2088" s="42" t="inlineStr">
        <is>
          <t>효령로47길 18</t>
        </is>
      </c>
      <c r="Q2088" s="41" t="inlineStr">
        <is>
          <t>-</t>
        </is>
      </c>
      <c r="R2088" s="42" t="inlineStr">
        <is>
          <t>중개거래</t>
        </is>
      </c>
      <c r="S2088" s="42" t="inlineStr">
        <is>
          <t>서울 서초구</t>
        </is>
      </c>
      <c r="T2088" s="41" t="inlineStr">
        <is>
          <t>25.11.05</t>
        </is>
      </c>
      <c r="U2088" s="42" t="inlineStr">
        <is>
          <t>아파트</t>
        </is>
      </c>
    </row>
    <row r="2089" hidden="1" ht="17.25" customHeight="1">
      <c r="A2089" s="41" t="n">
        <v>430</v>
      </c>
      <c r="B2089" s="42" t="inlineStr">
        <is>
          <t>서울특별시 서초구 서초동</t>
        </is>
      </c>
      <c r="C2089" s="41" t="inlineStr">
        <is>
          <t>1757</t>
        </is>
      </c>
      <c r="D2089" s="41" t="inlineStr">
        <is>
          <t>1757</t>
        </is>
      </c>
      <c r="E2089" s="41" t="inlineStr">
        <is>
          <t>0000</t>
        </is>
      </c>
      <c r="F2089" s="42" t="inlineStr">
        <is>
          <t>서초그랑자이</t>
        </is>
      </c>
      <c r="G2089" s="41" t="inlineStr">
        <is>
          <t>119.4100</t>
        </is>
      </c>
      <c r="H2089" s="41" t="inlineStr">
        <is>
          <t>202508</t>
        </is>
      </c>
      <c r="I2089" s="41" t="inlineStr">
        <is>
          <t>07</t>
        </is>
      </c>
      <c r="J2089" s="41" t="inlineStr">
        <is>
          <t>470,000</t>
        </is>
      </c>
      <c r="K2089" s="41" t="inlineStr">
        <is>
          <t>107동</t>
        </is>
      </c>
      <c r="L2089" s="41" t="inlineStr">
        <is>
          <t>27</t>
        </is>
      </c>
      <c r="M2089" s="42" t="inlineStr">
        <is>
          <t>개인</t>
        </is>
      </c>
      <c r="N2089" s="42" t="inlineStr">
        <is>
          <t>개인</t>
        </is>
      </c>
      <c r="O2089" s="41" t="inlineStr">
        <is>
          <t>2021</t>
        </is>
      </c>
      <c r="P2089" s="42" t="inlineStr">
        <is>
          <t>효령로 391</t>
        </is>
      </c>
      <c r="Q2089" s="41" t="inlineStr">
        <is>
          <t>-</t>
        </is>
      </c>
      <c r="R2089" s="42" t="inlineStr">
        <is>
          <t>중개거래</t>
        </is>
      </c>
      <c r="S2089" s="42" t="inlineStr">
        <is>
          <t>서울 도봉구, 서울 서초구</t>
        </is>
      </c>
      <c r="T2089" s="41" t="inlineStr">
        <is>
          <t>25.11.28</t>
        </is>
      </c>
      <c r="U2089" s="42" t="inlineStr">
        <is>
          <t>아파트</t>
        </is>
      </c>
    </row>
    <row r="2090" hidden="1" ht="17.25" customHeight="1">
      <c r="A2090" s="41" t="n">
        <v>431</v>
      </c>
      <c r="B2090" s="42" t="inlineStr">
        <is>
          <t>서울특별시 서초구 서초동</t>
        </is>
      </c>
      <c r="C2090" s="41" t="inlineStr">
        <is>
          <t>1445-14</t>
        </is>
      </c>
      <c r="D2090" s="41" t="inlineStr">
        <is>
          <t>1445</t>
        </is>
      </c>
      <c r="E2090" s="41" t="inlineStr">
        <is>
          <t>0014</t>
        </is>
      </c>
      <c r="F2090" s="42" t="inlineStr">
        <is>
          <t>더샵서초</t>
        </is>
      </c>
      <c r="G2090" s="41" t="inlineStr">
        <is>
          <t>152.9500</t>
        </is>
      </c>
      <c r="H2090" s="41" t="inlineStr">
        <is>
          <t>202508</t>
        </is>
      </c>
      <c r="I2090" s="41" t="inlineStr">
        <is>
          <t>06</t>
        </is>
      </c>
      <c r="J2090" s="41" t="inlineStr">
        <is>
          <t>260,000</t>
        </is>
      </c>
      <c r="K2090" s="41" t="inlineStr">
        <is>
          <t>-</t>
        </is>
      </c>
      <c r="L2090" s="41" t="inlineStr">
        <is>
          <t>18</t>
        </is>
      </c>
      <c r="M2090" s="42" t="inlineStr">
        <is>
          <t>개인</t>
        </is>
      </c>
      <c r="N2090" s="42" t="inlineStr">
        <is>
          <t>개인</t>
        </is>
      </c>
      <c r="O2090" s="41" t="inlineStr">
        <is>
          <t>2006</t>
        </is>
      </c>
      <c r="P2090" s="42" t="inlineStr">
        <is>
          <t>서초중앙로2길 21</t>
        </is>
      </c>
      <c r="Q2090" s="41" t="inlineStr">
        <is>
          <t>20251021</t>
        </is>
      </c>
      <c r="R2090" s="42" t="inlineStr">
        <is>
          <t>중개거래</t>
        </is>
      </c>
      <c r="S2090" s="42" t="inlineStr">
        <is>
          <t>서울 서초구</t>
        </is>
      </c>
      <c r="T2090" s="41" t="inlineStr">
        <is>
          <t>-</t>
        </is>
      </c>
      <c r="U2090" s="42" t="inlineStr">
        <is>
          <t>아파트</t>
        </is>
      </c>
    </row>
    <row r="2091" hidden="1" ht="17.25" customHeight="1">
      <c r="A2091" s="41" t="n">
        <v>432</v>
      </c>
      <c r="B2091" s="42" t="inlineStr">
        <is>
          <t>서울특별시 서초구 서초동</t>
        </is>
      </c>
      <c r="C2091" s="41" t="inlineStr">
        <is>
          <t>1445-14</t>
        </is>
      </c>
      <c r="D2091" s="41" t="inlineStr">
        <is>
          <t>1445</t>
        </is>
      </c>
      <c r="E2091" s="41" t="inlineStr">
        <is>
          <t>0014</t>
        </is>
      </c>
      <c r="F2091" s="42" t="inlineStr">
        <is>
          <t>더샵서초</t>
        </is>
      </c>
      <c r="G2091" s="41" t="inlineStr">
        <is>
          <t>152.9500</t>
        </is>
      </c>
      <c r="H2091" s="41" t="inlineStr">
        <is>
          <t>202508</t>
        </is>
      </c>
      <c r="I2091" s="41" t="inlineStr">
        <is>
          <t>06</t>
        </is>
      </c>
      <c r="J2091" s="41" t="inlineStr">
        <is>
          <t>260,000</t>
        </is>
      </c>
      <c r="K2091" s="41" t="inlineStr">
        <is>
          <t>102</t>
        </is>
      </c>
      <c r="L2091" s="41" t="inlineStr">
        <is>
          <t>18</t>
        </is>
      </c>
      <c r="M2091" s="42" t="inlineStr">
        <is>
          <t>개인</t>
        </is>
      </c>
      <c r="N2091" s="42" t="inlineStr">
        <is>
          <t>개인</t>
        </is>
      </c>
      <c r="O2091" s="41" t="inlineStr">
        <is>
          <t>2006</t>
        </is>
      </c>
      <c r="P2091" s="42" t="inlineStr">
        <is>
          <t>서초중앙로2길 21</t>
        </is>
      </c>
      <c r="Q2091" s="41" t="inlineStr">
        <is>
          <t>-</t>
        </is>
      </c>
      <c r="R2091" s="42" t="inlineStr">
        <is>
          <t>중개거래</t>
        </is>
      </c>
      <c r="S2091" s="42" t="inlineStr">
        <is>
          <t>서울 서초구</t>
        </is>
      </c>
      <c r="T2091" s="41" t="inlineStr">
        <is>
          <t>25.11.28</t>
        </is>
      </c>
      <c r="U2091" s="42" t="inlineStr">
        <is>
          <t>아파트</t>
        </is>
      </c>
    </row>
    <row r="2092" hidden="1" ht="17.25" customHeight="1">
      <c r="A2092" s="41" t="n">
        <v>433</v>
      </c>
      <c r="B2092" s="42" t="inlineStr">
        <is>
          <t>서울특별시 서초구 서초동</t>
        </is>
      </c>
      <c r="C2092" s="41" t="inlineStr">
        <is>
          <t>1511-6</t>
        </is>
      </c>
      <c r="D2092" s="41" t="inlineStr">
        <is>
          <t>1511</t>
        </is>
      </c>
      <c r="E2092" s="41" t="inlineStr">
        <is>
          <t>0006</t>
        </is>
      </c>
      <c r="F2092" s="41" t="inlineStr">
        <is>
          <t>N-Suite101동(1511-6)</t>
        </is>
      </c>
      <c r="G2092" s="41" t="inlineStr">
        <is>
          <t>120.4300</t>
        </is>
      </c>
      <c r="H2092" s="41" t="inlineStr">
        <is>
          <t>202508</t>
        </is>
      </c>
      <c r="I2092" s="41" t="inlineStr">
        <is>
          <t>05</t>
        </is>
      </c>
      <c r="J2092" s="41" t="inlineStr">
        <is>
          <t>157,500</t>
        </is>
      </c>
      <c r="K2092" s="41" t="inlineStr">
        <is>
          <t>101</t>
        </is>
      </c>
      <c r="L2092" s="41" t="inlineStr">
        <is>
          <t>5</t>
        </is>
      </c>
      <c r="M2092" s="42" t="inlineStr">
        <is>
          <t>개인</t>
        </is>
      </c>
      <c r="N2092" s="42" t="inlineStr">
        <is>
          <t>개인</t>
        </is>
      </c>
      <c r="O2092" s="41" t="inlineStr">
        <is>
          <t>2004</t>
        </is>
      </c>
      <c r="P2092" s="42" t="inlineStr">
        <is>
          <t>명달로22길 64</t>
        </is>
      </c>
      <c r="Q2092" s="41" t="inlineStr">
        <is>
          <t>-</t>
        </is>
      </c>
      <c r="R2092" s="42" t="inlineStr">
        <is>
          <t>중개거래</t>
        </is>
      </c>
      <c r="S2092" s="42" t="inlineStr">
        <is>
          <t>서울 서초구</t>
        </is>
      </c>
      <c r="T2092" s="41" t="inlineStr">
        <is>
          <t>25.08.25</t>
        </is>
      </c>
      <c r="U2092" s="42" t="inlineStr">
        <is>
          <t>아파트</t>
        </is>
      </c>
    </row>
    <row r="2093" hidden="1" ht="17.25" customHeight="1">
      <c r="A2093" s="41" t="n">
        <v>434</v>
      </c>
      <c r="B2093" s="42" t="inlineStr">
        <is>
          <t>서울특별시 서초구 서초동</t>
        </is>
      </c>
      <c r="C2093" s="41" t="inlineStr">
        <is>
          <t>1677-1</t>
        </is>
      </c>
      <c r="D2093" s="41" t="inlineStr">
        <is>
          <t>1677</t>
        </is>
      </c>
      <c r="E2093" s="41" t="inlineStr">
        <is>
          <t>0001</t>
        </is>
      </c>
      <c r="F2093" s="42" t="inlineStr">
        <is>
          <t>브라운스톤서초(1677-1)</t>
        </is>
      </c>
      <c r="G2093" s="41" t="inlineStr">
        <is>
          <t>76.5100</t>
        </is>
      </c>
      <c r="H2093" s="41" t="inlineStr">
        <is>
          <t>202508</t>
        </is>
      </c>
      <c r="I2093" s="41" t="inlineStr">
        <is>
          <t>05</t>
        </is>
      </c>
      <c r="J2093" s="41" t="inlineStr">
        <is>
          <t>140,000</t>
        </is>
      </c>
      <c r="K2093" s="42" t="inlineStr">
        <is>
          <t>브라운스톤</t>
        </is>
      </c>
      <c r="L2093" s="41" t="inlineStr">
        <is>
          <t>11</t>
        </is>
      </c>
      <c r="M2093" s="42" t="inlineStr">
        <is>
          <t>개인</t>
        </is>
      </c>
      <c r="N2093" s="42" t="inlineStr">
        <is>
          <t>개인</t>
        </is>
      </c>
      <c r="O2093" s="41" t="inlineStr">
        <is>
          <t>2006</t>
        </is>
      </c>
      <c r="P2093" s="42" t="inlineStr">
        <is>
          <t>서초대로 334</t>
        </is>
      </c>
      <c r="Q2093" s="41" t="inlineStr">
        <is>
          <t>-</t>
        </is>
      </c>
      <c r="R2093" s="42" t="inlineStr">
        <is>
          <t>직거래</t>
        </is>
      </c>
      <c r="S2093" s="41" t="inlineStr">
        <is>
          <t>-</t>
        </is>
      </c>
      <c r="T2093" s="41" t="inlineStr">
        <is>
          <t>25.10.14</t>
        </is>
      </c>
      <c r="U2093" s="42" t="inlineStr">
        <is>
          <t>아파트</t>
        </is>
      </c>
    </row>
    <row r="2094" hidden="1" ht="17.25" customHeight="1">
      <c r="A2094" s="41" t="n">
        <v>435</v>
      </c>
      <c r="B2094" s="42" t="inlineStr">
        <is>
          <t>서울특별시 서초구 서초동</t>
        </is>
      </c>
      <c r="C2094" s="41" t="inlineStr">
        <is>
          <t>1311-10</t>
        </is>
      </c>
      <c r="D2094" s="41" t="inlineStr">
        <is>
          <t>1311</t>
        </is>
      </c>
      <c r="E2094" s="41" t="inlineStr">
        <is>
          <t>0010</t>
        </is>
      </c>
      <c r="F2094" s="42" t="inlineStr">
        <is>
          <t>서초푸르지오써밋</t>
        </is>
      </c>
      <c r="G2094" s="41" t="inlineStr">
        <is>
          <t>59.9200</t>
        </is>
      </c>
      <c r="H2094" s="41" t="inlineStr">
        <is>
          <t>202508</t>
        </is>
      </c>
      <c r="I2094" s="41" t="inlineStr">
        <is>
          <t>04</t>
        </is>
      </c>
      <c r="J2094" s="41" t="inlineStr">
        <is>
          <t>306,000</t>
        </is>
      </c>
      <c r="K2094" s="41" t="inlineStr">
        <is>
          <t>104</t>
        </is>
      </c>
      <c r="L2094" s="41" t="inlineStr">
        <is>
          <t>35</t>
        </is>
      </c>
      <c r="M2094" s="42" t="inlineStr">
        <is>
          <t>개인</t>
        </is>
      </c>
      <c r="N2094" s="42" t="inlineStr">
        <is>
          <t>개인</t>
        </is>
      </c>
      <c r="O2094" s="41" t="inlineStr">
        <is>
          <t>2017</t>
        </is>
      </c>
      <c r="P2094" s="42" t="inlineStr">
        <is>
          <t>서운로 201</t>
        </is>
      </c>
      <c r="Q2094" s="41" t="inlineStr">
        <is>
          <t>-</t>
        </is>
      </c>
      <c r="R2094" s="42" t="inlineStr">
        <is>
          <t>중개거래</t>
        </is>
      </c>
      <c r="S2094" s="42" t="inlineStr">
        <is>
          <t>서울 서초구</t>
        </is>
      </c>
      <c r="T2094" s="41" t="inlineStr">
        <is>
          <t>25.10.15</t>
        </is>
      </c>
      <c r="U2094" s="42" t="inlineStr">
        <is>
          <t>아파트</t>
        </is>
      </c>
    </row>
    <row r="2095" hidden="1" ht="17.25" customHeight="1">
      <c r="A2095" s="41" t="n">
        <v>436</v>
      </c>
      <c r="B2095" s="42" t="inlineStr">
        <is>
          <t>서울특별시 서초구 서초동</t>
        </is>
      </c>
      <c r="C2095" s="41" t="inlineStr">
        <is>
          <t>1677-11</t>
        </is>
      </c>
      <c r="D2095" s="41" t="inlineStr">
        <is>
          <t>1677</t>
        </is>
      </c>
      <c r="E2095" s="41" t="inlineStr">
        <is>
          <t>0011</t>
        </is>
      </c>
      <c r="F2095" s="42" t="inlineStr">
        <is>
          <t>삼환바우스</t>
        </is>
      </c>
      <c r="G2095" s="41" t="inlineStr">
        <is>
          <t>84.9800</t>
        </is>
      </c>
      <c r="H2095" s="41" t="inlineStr">
        <is>
          <t>202508</t>
        </is>
      </c>
      <c r="I2095" s="41" t="inlineStr">
        <is>
          <t>04</t>
        </is>
      </c>
      <c r="J2095" s="41" t="inlineStr">
        <is>
          <t>150,000</t>
        </is>
      </c>
      <c r="K2095" s="41" t="inlineStr">
        <is>
          <t>1</t>
        </is>
      </c>
      <c r="L2095" s="41" t="inlineStr">
        <is>
          <t>10</t>
        </is>
      </c>
      <c r="M2095" s="42" t="inlineStr">
        <is>
          <t>개인</t>
        </is>
      </c>
      <c r="N2095" s="42" t="inlineStr">
        <is>
          <t>개인</t>
        </is>
      </c>
      <c r="O2095" s="41" t="inlineStr">
        <is>
          <t>2006</t>
        </is>
      </c>
      <c r="P2095" s="42" t="inlineStr">
        <is>
          <t>서초대로 340</t>
        </is>
      </c>
      <c r="Q2095" s="41" t="inlineStr">
        <is>
          <t>-</t>
        </is>
      </c>
      <c r="R2095" s="42" t="inlineStr">
        <is>
          <t>중개거래</t>
        </is>
      </c>
      <c r="S2095" s="42" t="inlineStr">
        <is>
          <t>서울 서초구</t>
        </is>
      </c>
      <c r="T2095" s="41" t="inlineStr">
        <is>
          <t>25.09.12</t>
        </is>
      </c>
      <c r="U2095" s="42" t="inlineStr">
        <is>
          <t>아파트</t>
        </is>
      </c>
    </row>
    <row r="2096" hidden="1" ht="17.25" customHeight="1">
      <c r="A2096" s="41" t="n">
        <v>437</v>
      </c>
      <c r="B2096" s="42" t="inlineStr">
        <is>
          <t>서울특별시 서초구 서초동</t>
        </is>
      </c>
      <c r="C2096" s="41" t="inlineStr">
        <is>
          <t>1582-3</t>
        </is>
      </c>
      <c r="D2096" s="41" t="inlineStr">
        <is>
          <t>1582</t>
        </is>
      </c>
      <c r="E2096" s="41" t="inlineStr">
        <is>
          <t>0003</t>
        </is>
      </c>
      <c r="F2096" s="42" t="inlineStr">
        <is>
          <t>서초센트럴IPARK</t>
        </is>
      </c>
      <c r="G2096" s="41" t="inlineStr">
        <is>
          <t>80.5154</t>
        </is>
      </c>
      <c r="H2096" s="41" t="inlineStr">
        <is>
          <t>202508</t>
        </is>
      </c>
      <c r="I2096" s="41" t="inlineStr">
        <is>
          <t>02</t>
        </is>
      </c>
      <c r="J2096" s="41" t="inlineStr">
        <is>
          <t>190,000</t>
        </is>
      </c>
      <c r="K2096" s="41" t="inlineStr">
        <is>
          <t>-</t>
        </is>
      </c>
      <c r="L2096" s="41" t="inlineStr">
        <is>
          <t>24</t>
        </is>
      </c>
      <c r="M2096" s="42" t="inlineStr">
        <is>
          <t>개인</t>
        </is>
      </c>
      <c r="N2096" s="42" t="inlineStr">
        <is>
          <t>개인</t>
        </is>
      </c>
      <c r="O2096" s="41" t="inlineStr">
        <is>
          <t>2020</t>
        </is>
      </c>
      <c r="P2096" s="42" t="inlineStr">
        <is>
          <t>반포대로18길 36</t>
        </is>
      </c>
      <c r="Q2096" s="41" t="inlineStr">
        <is>
          <t>20250811</t>
        </is>
      </c>
      <c r="R2096" s="42" t="inlineStr">
        <is>
          <t>중개거래</t>
        </is>
      </c>
      <c r="S2096" s="42" t="inlineStr">
        <is>
          <t>서울 서초구</t>
        </is>
      </c>
      <c r="T2096" s="41" t="inlineStr">
        <is>
          <t>-</t>
        </is>
      </c>
      <c r="U2096" s="42" t="inlineStr">
        <is>
          <t>아파트</t>
        </is>
      </c>
    </row>
    <row r="2097" hidden="1" ht="17.25" customHeight="1">
      <c r="A2097" s="41" t="n">
        <v>438</v>
      </c>
      <c r="B2097" s="42" t="inlineStr">
        <is>
          <t>서울특별시 서초구 서초동</t>
        </is>
      </c>
      <c r="C2097" s="41" t="inlineStr">
        <is>
          <t>1582-3</t>
        </is>
      </c>
      <c r="D2097" s="41" t="inlineStr">
        <is>
          <t>1582</t>
        </is>
      </c>
      <c r="E2097" s="41" t="inlineStr">
        <is>
          <t>0003</t>
        </is>
      </c>
      <c r="F2097" s="42" t="inlineStr">
        <is>
          <t>서초센트럴IPARK</t>
        </is>
      </c>
      <c r="G2097" s="41" t="inlineStr">
        <is>
          <t>80.5154</t>
        </is>
      </c>
      <c r="H2097" s="41" t="inlineStr">
        <is>
          <t>202508</t>
        </is>
      </c>
      <c r="I2097" s="41" t="inlineStr">
        <is>
          <t>02</t>
        </is>
      </c>
      <c r="J2097" s="41" t="inlineStr">
        <is>
          <t>190,000</t>
        </is>
      </c>
      <c r="K2097" s="41" t="inlineStr">
        <is>
          <t>101동</t>
        </is>
      </c>
      <c r="L2097" s="41" t="inlineStr">
        <is>
          <t>24</t>
        </is>
      </c>
      <c r="M2097" s="42" t="inlineStr">
        <is>
          <t>개인</t>
        </is>
      </c>
      <c r="N2097" s="42" t="inlineStr">
        <is>
          <t>개인</t>
        </is>
      </c>
      <c r="O2097" s="41" t="inlineStr">
        <is>
          <t>2020</t>
        </is>
      </c>
      <c r="P2097" s="42" t="inlineStr">
        <is>
          <t>반포대로18길 36</t>
        </is>
      </c>
      <c r="Q2097" s="41" t="inlineStr">
        <is>
          <t>-</t>
        </is>
      </c>
      <c r="R2097" s="42" t="inlineStr">
        <is>
          <t>중개거래</t>
        </is>
      </c>
      <c r="S2097" s="42" t="inlineStr">
        <is>
          <t>서울 서초구</t>
        </is>
      </c>
      <c r="T2097" s="41" t="inlineStr">
        <is>
          <t>25.11.27</t>
        </is>
      </c>
      <c r="U2097" s="42" t="inlineStr">
        <is>
          <t>아파트</t>
        </is>
      </c>
    </row>
    <row r="2098" hidden="1" ht="17.25" customHeight="1">
      <c r="A2098" s="41" t="n">
        <v>439</v>
      </c>
      <c r="B2098" s="42" t="inlineStr">
        <is>
          <t>서울특별시 서초구 서초동</t>
        </is>
      </c>
      <c r="C2098" s="41" t="inlineStr">
        <is>
          <t>1588-5</t>
        </is>
      </c>
      <c r="D2098" s="41" t="inlineStr">
        <is>
          <t>1588</t>
        </is>
      </c>
      <c r="E2098" s="41" t="inlineStr">
        <is>
          <t>0005</t>
        </is>
      </c>
      <c r="F2098" s="42" t="inlineStr">
        <is>
          <t>디아레나서초</t>
        </is>
      </c>
      <c r="G2098" s="41" t="inlineStr">
        <is>
          <t>27.3900</t>
        </is>
      </c>
      <c r="H2098" s="41" t="inlineStr">
        <is>
          <t>202508</t>
        </is>
      </c>
      <c r="I2098" s="41" t="inlineStr">
        <is>
          <t>01</t>
        </is>
      </c>
      <c r="J2098" s="41" t="inlineStr">
        <is>
          <t>40,000</t>
        </is>
      </c>
      <c r="K2098" s="41" t="inlineStr">
        <is>
          <t>101동</t>
        </is>
      </c>
      <c r="L2098" s="41" t="inlineStr">
        <is>
          <t>9</t>
        </is>
      </c>
      <c r="M2098" s="42" t="inlineStr">
        <is>
          <t>개인</t>
        </is>
      </c>
      <c r="N2098" s="42" t="inlineStr">
        <is>
          <t>개인</t>
        </is>
      </c>
      <c r="O2098" s="41" t="inlineStr">
        <is>
          <t>2020</t>
        </is>
      </c>
      <c r="P2098" s="42" t="inlineStr">
        <is>
          <t>효령로53길 24</t>
        </is>
      </c>
      <c r="Q2098" s="41" t="inlineStr">
        <is>
          <t>-</t>
        </is>
      </c>
      <c r="R2098" s="42" t="inlineStr">
        <is>
          <t>직거래</t>
        </is>
      </c>
      <c r="S2098" s="41" t="inlineStr">
        <is>
          <t>-</t>
        </is>
      </c>
      <c r="T2098" s="41" t="inlineStr">
        <is>
          <t>25.08.04</t>
        </is>
      </c>
      <c r="U2098" s="42" t="inlineStr">
        <is>
          <t>아파트</t>
        </is>
      </c>
    </row>
    <row r="2099" hidden="1" ht="17.25" customHeight="1">
      <c r="A2099" s="41" t="n">
        <v>440</v>
      </c>
      <c r="B2099" s="42" t="inlineStr">
        <is>
          <t>서울특별시 서초구 서초동</t>
        </is>
      </c>
      <c r="C2099" s="41" t="inlineStr">
        <is>
          <t>1446-11</t>
        </is>
      </c>
      <c r="D2099" s="41" t="inlineStr">
        <is>
          <t>1446</t>
        </is>
      </c>
      <c r="E2099" s="41" t="inlineStr">
        <is>
          <t>0011</t>
        </is>
      </c>
      <c r="F2099" s="42" t="inlineStr">
        <is>
          <t>현대슈퍼빌</t>
        </is>
      </c>
      <c r="G2099" s="41" t="inlineStr">
        <is>
          <t>216.1600</t>
        </is>
      </c>
      <c r="H2099" s="41" t="inlineStr">
        <is>
          <t>202508</t>
        </is>
      </c>
      <c r="I2099" s="41" t="inlineStr">
        <is>
          <t>01</t>
        </is>
      </c>
      <c r="J2099" s="41" t="inlineStr">
        <is>
          <t>410,000</t>
        </is>
      </c>
      <c r="K2099" s="41" t="inlineStr">
        <is>
          <t>B</t>
        </is>
      </c>
      <c r="L2099" s="41" t="inlineStr">
        <is>
          <t>32</t>
        </is>
      </c>
      <c r="M2099" s="42" t="inlineStr">
        <is>
          <t>개인</t>
        </is>
      </c>
      <c r="N2099" s="42" t="inlineStr">
        <is>
          <t>개인</t>
        </is>
      </c>
      <c r="O2099" s="41" t="inlineStr">
        <is>
          <t>2003</t>
        </is>
      </c>
      <c r="P2099" s="42" t="inlineStr">
        <is>
          <t>서초중앙로 15</t>
        </is>
      </c>
      <c r="Q2099" s="41" t="inlineStr">
        <is>
          <t>-</t>
        </is>
      </c>
      <c r="R2099" s="42" t="inlineStr">
        <is>
          <t>중개거래</t>
        </is>
      </c>
      <c r="S2099" s="42" t="inlineStr">
        <is>
          <t>서울 서초구, 서울 영등포구</t>
        </is>
      </c>
      <c r="T2099" s="41" t="inlineStr">
        <is>
          <t>25.08.13</t>
        </is>
      </c>
      <c r="U2099" s="42" t="inlineStr">
        <is>
          <t>아파트</t>
        </is>
      </c>
    </row>
    <row r="2100" hidden="1" ht="17.25" customHeight="1">
      <c r="A2100" s="41" t="n">
        <v>441</v>
      </c>
      <c r="B2100" s="42" t="inlineStr">
        <is>
          <t>서울특별시 서초구 서초동</t>
        </is>
      </c>
      <c r="C2100" s="41" t="inlineStr">
        <is>
          <t>1685</t>
        </is>
      </c>
      <c r="D2100" s="41" t="inlineStr">
        <is>
          <t>1685</t>
        </is>
      </c>
      <c r="E2100" s="41" t="inlineStr">
        <is>
          <t>0000</t>
        </is>
      </c>
      <c r="F2100" s="42" t="inlineStr">
        <is>
          <t>삼풍아파트</t>
        </is>
      </c>
      <c r="G2100" s="41" t="inlineStr">
        <is>
          <t>79.4700</t>
        </is>
      </c>
      <c r="H2100" s="41" t="inlineStr">
        <is>
          <t>202508</t>
        </is>
      </c>
      <c r="I2100" s="41" t="inlineStr">
        <is>
          <t>01</t>
        </is>
      </c>
      <c r="J2100" s="41" t="inlineStr">
        <is>
          <t>370,000</t>
        </is>
      </c>
      <c r="K2100" s="41" t="inlineStr">
        <is>
          <t>1</t>
        </is>
      </c>
      <c r="L2100" s="41" t="inlineStr">
        <is>
          <t>7</t>
        </is>
      </c>
      <c r="M2100" s="42" t="inlineStr">
        <is>
          <t>개인</t>
        </is>
      </c>
      <c r="N2100" s="42" t="inlineStr">
        <is>
          <t>개인</t>
        </is>
      </c>
      <c r="O2100" s="41" t="inlineStr">
        <is>
          <t>1988</t>
        </is>
      </c>
      <c r="P2100" s="42" t="inlineStr">
        <is>
          <t>서초중앙로 200</t>
        </is>
      </c>
      <c r="Q2100" s="41" t="inlineStr">
        <is>
          <t>-</t>
        </is>
      </c>
      <c r="R2100" s="42" t="inlineStr">
        <is>
          <t>중개거래</t>
        </is>
      </c>
      <c r="S2100" s="42" t="inlineStr">
        <is>
          <t>서울 서초구</t>
        </is>
      </c>
      <c r="T2100" s="41" t="inlineStr">
        <is>
          <t>25.11.21</t>
        </is>
      </c>
      <c r="U2100" s="42" t="inlineStr">
        <is>
          <t>아파트</t>
        </is>
      </c>
    </row>
    <row r="2101" hidden="1" ht="17.25" customHeight="1">
      <c r="A2101" s="41" t="n">
        <v>442</v>
      </c>
      <c r="B2101" s="42" t="inlineStr">
        <is>
          <t>서울특별시 서초구 서초동</t>
        </is>
      </c>
      <c r="C2101" s="41" t="inlineStr">
        <is>
          <t>1312-3</t>
        </is>
      </c>
      <c r="D2101" s="41" t="inlineStr">
        <is>
          <t>1312</t>
        </is>
      </c>
      <c r="E2101" s="41" t="inlineStr">
        <is>
          <t>0003</t>
        </is>
      </c>
      <c r="F2101" s="42" t="inlineStr">
        <is>
          <t>롯데캐슬클래식</t>
        </is>
      </c>
      <c r="G2101" s="41" t="inlineStr">
        <is>
          <t>120.1800</t>
        </is>
      </c>
      <c r="H2101" s="41" t="inlineStr">
        <is>
          <t>202507</t>
        </is>
      </c>
      <c r="I2101" s="41" t="inlineStr">
        <is>
          <t>31</t>
        </is>
      </c>
      <c r="J2101" s="41" t="inlineStr">
        <is>
          <t>345,000</t>
        </is>
      </c>
      <c r="K2101" s="41" t="inlineStr">
        <is>
          <t>-</t>
        </is>
      </c>
      <c r="L2101" s="41" t="inlineStr">
        <is>
          <t>13</t>
        </is>
      </c>
      <c r="M2101" s="42" t="inlineStr">
        <is>
          <t>개인</t>
        </is>
      </c>
      <c r="N2101" s="42" t="inlineStr">
        <is>
          <t>개인</t>
        </is>
      </c>
      <c r="O2101" s="41" t="inlineStr">
        <is>
          <t>2006</t>
        </is>
      </c>
      <c r="P2101" s="42" t="inlineStr">
        <is>
          <t>서운로 197</t>
        </is>
      </c>
      <c r="Q2101" s="41" t="inlineStr">
        <is>
          <t>20250811</t>
        </is>
      </c>
      <c r="R2101" s="42" t="inlineStr">
        <is>
          <t>중개거래</t>
        </is>
      </c>
      <c r="S2101" s="42" t="inlineStr">
        <is>
          <t>서울 서초구</t>
        </is>
      </c>
      <c r="T2101" s="41" t="inlineStr">
        <is>
          <t>-</t>
        </is>
      </c>
      <c r="U2101" s="42" t="inlineStr">
        <is>
          <t>아파트</t>
        </is>
      </c>
    </row>
    <row r="2102" hidden="1" ht="17.25" customHeight="1">
      <c r="A2102" s="41" t="n">
        <v>443</v>
      </c>
      <c r="B2102" s="42" t="inlineStr">
        <is>
          <t>서울특별시 서초구 서초동</t>
        </is>
      </c>
      <c r="C2102" s="41" t="inlineStr">
        <is>
          <t>1312-3</t>
        </is>
      </c>
      <c r="D2102" s="41" t="inlineStr">
        <is>
          <t>1312</t>
        </is>
      </c>
      <c r="E2102" s="41" t="inlineStr">
        <is>
          <t>0003</t>
        </is>
      </c>
      <c r="F2102" s="42" t="inlineStr">
        <is>
          <t>롯데캐슬클래식</t>
        </is>
      </c>
      <c r="G2102" s="41" t="inlineStr">
        <is>
          <t>120.1800</t>
        </is>
      </c>
      <c r="H2102" s="41" t="inlineStr">
        <is>
          <t>202507</t>
        </is>
      </c>
      <c r="I2102" s="41" t="inlineStr">
        <is>
          <t>31</t>
        </is>
      </c>
      <c r="J2102" s="41" t="inlineStr">
        <is>
          <t>345,000</t>
        </is>
      </c>
      <c r="K2102" s="41" t="inlineStr">
        <is>
          <t>-</t>
        </is>
      </c>
      <c r="L2102" s="41" t="inlineStr">
        <is>
          <t>13</t>
        </is>
      </c>
      <c r="M2102" s="42" t="inlineStr">
        <is>
          <t>개인</t>
        </is>
      </c>
      <c r="N2102" s="42" t="inlineStr">
        <is>
          <t>개인</t>
        </is>
      </c>
      <c r="O2102" s="41" t="inlineStr">
        <is>
          <t>2006</t>
        </is>
      </c>
      <c r="P2102" s="42" t="inlineStr">
        <is>
          <t>서운로 197</t>
        </is>
      </c>
      <c r="Q2102" s="41" t="inlineStr">
        <is>
          <t>20250805</t>
        </is>
      </c>
      <c r="R2102" s="42" t="inlineStr">
        <is>
          <t>중개거래</t>
        </is>
      </c>
      <c r="S2102" s="42" t="inlineStr">
        <is>
          <t>서울 서초구</t>
        </is>
      </c>
      <c r="T2102" s="41" t="inlineStr">
        <is>
          <t>-</t>
        </is>
      </c>
      <c r="U2102" s="42" t="inlineStr">
        <is>
          <t>아파트</t>
        </is>
      </c>
    </row>
    <row r="2103" hidden="1" ht="17.25" customHeight="1">
      <c r="A2103" s="41" t="n">
        <v>444</v>
      </c>
      <c r="B2103" s="42" t="inlineStr">
        <is>
          <t>서울특별시 서초구 서초동</t>
        </is>
      </c>
      <c r="C2103" s="41" t="inlineStr">
        <is>
          <t>1312-3</t>
        </is>
      </c>
      <c r="D2103" s="41" t="inlineStr">
        <is>
          <t>1312</t>
        </is>
      </c>
      <c r="E2103" s="41" t="inlineStr">
        <is>
          <t>0003</t>
        </is>
      </c>
      <c r="F2103" s="42" t="inlineStr">
        <is>
          <t>롯데캐슬클래식</t>
        </is>
      </c>
      <c r="G2103" s="41" t="inlineStr">
        <is>
          <t>120.1800</t>
        </is>
      </c>
      <c r="H2103" s="41" t="inlineStr">
        <is>
          <t>202507</t>
        </is>
      </c>
      <c r="I2103" s="41" t="inlineStr">
        <is>
          <t>31</t>
        </is>
      </c>
      <c r="J2103" s="41" t="inlineStr">
        <is>
          <t>345,000</t>
        </is>
      </c>
      <c r="K2103" s="41" t="inlineStr">
        <is>
          <t>104</t>
        </is>
      </c>
      <c r="L2103" s="41" t="inlineStr">
        <is>
          <t>13</t>
        </is>
      </c>
      <c r="M2103" s="42" t="inlineStr">
        <is>
          <t>개인</t>
        </is>
      </c>
      <c r="N2103" s="42" t="inlineStr">
        <is>
          <t>개인</t>
        </is>
      </c>
      <c r="O2103" s="41" t="inlineStr">
        <is>
          <t>2006</t>
        </is>
      </c>
      <c r="P2103" s="42" t="inlineStr">
        <is>
          <t>서운로 197</t>
        </is>
      </c>
      <c r="Q2103" s="41" t="inlineStr">
        <is>
          <t>-</t>
        </is>
      </c>
      <c r="R2103" s="42" t="inlineStr">
        <is>
          <t>중개거래</t>
        </is>
      </c>
      <c r="S2103" s="42" t="inlineStr">
        <is>
          <t>서울 서초구</t>
        </is>
      </c>
      <c r="T2103" s="41" t="inlineStr">
        <is>
          <t>25.11.14</t>
        </is>
      </c>
      <c r="U2103" s="42" t="inlineStr">
        <is>
          <t>아파트</t>
        </is>
      </c>
    </row>
    <row r="2104" hidden="1" ht="17.25" customHeight="1">
      <c r="A2104" s="41" t="n">
        <v>445</v>
      </c>
      <c r="B2104" s="42" t="inlineStr">
        <is>
          <t>서울특별시 서초구 서초동</t>
        </is>
      </c>
      <c r="C2104" s="41" t="inlineStr">
        <is>
          <t>1445-4</t>
        </is>
      </c>
      <c r="D2104" s="41" t="inlineStr">
        <is>
          <t>1445</t>
        </is>
      </c>
      <c r="E2104" s="41" t="inlineStr">
        <is>
          <t>0004</t>
        </is>
      </c>
      <c r="F2104" s="42" t="inlineStr">
        <is>
          <t>래미안서초유니빌</t>
        </is>
      </c>
      <c r="G2104" s="41" t="inlineStr">
        <is>
          <t>50.1900</t>
        </is>
      </c>
      <c r="H2104" s="41" t="inlineStr">
        <is>
          <t>202507</t>
        </is>
      </c>
      <c r="I2104" s="41" t="inlineStr">
        <is>
          <t>30</t>
        </is>
      </c>
      <c r="J2104" s="41" t="inlineStr">
        <is>
          <t>63,000</t>
        </is>
      </c>
      <c r="K2104" s="42" t="inlineStr">
        <is>
          <t>래미안 서초유니빌</t>
        </is>
      </c>
      <c r="L2104" s="41" t="inlineStr">
        <is>
          <t>17</t>
        </is>
      </c>
      <c r="M2104" s="42" t="inlineStr">
        <is>
          <t>개인</t>
        </is>
      </c>
      <c r="N2104" s="42" t="inlineStr">
        <is>
          <t>개인</t>
        </is>
      </c>
      <c r="O2104" s="41" t="inlineStr">
        <is>
          <t>2003</t>
        </is>
      </c>
      <c r="P2104" s="42" t="inlineStr">
        <is>
          <t>서초중앙로 26</t>
        </is>
      </c>
      <c r="Q2104" s="41" t="inlineStr">
        <is>
          <t>-</t>
        </is>
      </c>
      <c r="R2104" s="42" t="inlineStr">
        <is>
          <t>중개거래</t>
        </is>
      </c>
      <c r="S2104" s="42" t="inlineStr">
        <is>
          <t>서울 서초구</t>
        </is>
      </c>
      <c r="T2104" s="41" t="inlineStr">
        <is>
          <t>25.10.31</t>
        </is>
      </c>
      <c r="U2104" s="42" t="inlineStr">
        <is>
          <t>아파트</t>
        </is>
      </c>
    </row>
    <row r="2105" hidden="1" ht="17.25" customHeight="1">
      <c r="A2105" s="41" t="n">
        <v>446</v>
      </c>
      <c r="B2105" s="42" t="inlineStr">
        <is>
          <t>서울특별시 서초구 서초동</t>
        </is>
      </c>
      <c r="C2105" s="41" t="inlineStr">
        <is>
          <t>1490-36</t>
        </is>
      </c>
      <c r="D2105" s="41" t="inlineStr">
        <is>
          <t>1490</t>
        </is>
      </c>
      <c r="E2105" s="41" t="inlineStr">
        <is>
          <t>0036</t>
        </is>
      </c>
      <c r="F2105" s="42" t="inlineStr">
        <is>
          <t>상지리츠빌(4)</t>
        </is>
      </c>
      <c r="G2105" s="41" t="inlineStr">
        <is>
          <t>138.5400</t>
        </is>
      </c>
      <c r="H2105" s="41" t="inlineStr">
        <is>
          <t>202507</t>
        </is>
      </c>
      <c r="I2105" s="41" t="inlineStr">
        <is>
          <t>28</t>
        </is>
      </c>
      <c r="J2105" s="41" t="inlineStr">
        <is>
          <t>249,000</t>
        </is>
      </c>
      <c r="K2105" s="41" t="inlineStr">
        <is>
          <t>4차</t>
        </is>
      </c>
      <c r="L2105" s="41" t="inlineStr">
        <is>
          <t>1</t>
        </is>
      </c>
      <c r="M2105" s="42" t="inlineStr">
        <is>
          <t>개인</t>
        </is>
      </c>
      <c r="N2105" s="42" t="inlineStr">
        <is>
          <t>개인</t>
        </is>
      </c>
      <c r="O2105" s="41" t="inlineStr">
        <is>
          <t>2004</t>
        </is>
      </c>
      <c r="P2105" s="42" t="inlineStr">
        <is>
          <t>명달로11길 29-3</t>
        </is>
      </c>
      <c r="Q2105" s="41" t="inlineStr">
        <is>
          <t>-</t>
        </is>
      </c>
      <c r="R2105" s="42" t="inlineStr">
        <is>
          <t>중개거래</t>
        </is>
      </c>
      <c r="S2105" s="42" t="inlineStr">
        <is>
          <t>서울 서초구</t>
        </is>
      </c>
      <c r="T2105" s="41" t="inlineStr">
        <is>
          <t>25.10.01</t>
        </is>
      </c>
      <c r="U2105" s="42" t="inlineStr">
        <is>
          <t>아파트</t>
        </is>
      </c>
    </row>
    <row r="2106" hidden="1" ht="17.25" customHeight="1">
      <c r="A2106" s="41" t="n">
        <v>447</v>
      </c>
      <c r="B2106" s="42" t="inlineStr">
        <is>
          <t>서울특별시 서초구 서초동</t>
        </is>
      </c>
      <c r="C2106" s="41" t="inlineStr">
        <is>
          <t>1445-4</t>
        </is>
      </c>
      <c r="D2106" s="41" t="inlineStr">
        <is>
          <t>1445</t>
        </is>
      </c>
      <c r="E2106" s="41" t="inlineStr">
        <is>
          <t>0004</t>
        </is>
      </c>
      <c r="F2106" s="42" t="inlineStr">
        <is>
          <t>래미안서초유니빌</t>
        </is>
      </c>
      <c r="G2106" s="41" t="inlineStr">
        <is>
          <t>44.4470</t>
        </is>
      </c>
      <c r="H2106" s="41" t="inlineStr">
        <is>
          <t>202507</t>
        </is>
      </c>
      <c r="I2106" s="41" t="inlineStr">
        <is>
          <t>28</t>
        </is>
      </c>
      <c r="J2106" s="41" t="inlineStr">
        <is>
          <t>46,500</t>
        </is>
      </c>
      <c r="K2106" s="42" t="inlineStr">
        <is>
          <t>래미안 서초유니빌</t>
        </is>
      </c>
      <c r="L2106" s="41" t="inlineStr">
        <is>
          <t>4</t>
        </is>
      </c>
      <c r="M2106" s="42" t="inlineStr">
        <is>
          <t>개인</t>
        </is>
      </c>
      <c r="N2106" s="42" t="inlineStr">
        <is>
          <t>개인</t>
        </is>
      </c>
      <c r="O2106" s="41" t="inlineStr">
        <is>
          <t>2003</t>
        </is>
      </c>
      <c r="P2106" s="42" t="inlineStr">
        <is>
          <t>서초중앙로 26</t>
        </is>
      </c>
      <c r="Q2106" s="41" t="inlineStr">
        <is>
          <t>-</t>
        </is>
      </c>
      <c r="R2106" s="42" t="inlineStr">
        <is>
          <t>중개거래</t>
        </is>
      </c>
      <c r="S2106" s="42" t="inlineStr">
        <is>
          <t>서울 서초구</t>
        </is>
      </c>
      <c r="T2106" s="41" t="inlineStr">
        <is>
          <t>25.08.13</t>
        </is>
      </c>
      <c r="U2106" s="42" t="inlineStr">
        <is>
          <t>아파트</t>
        </is>
      </c>
    </row>
    <row r="2107" hidden="1" ht="17.25" customHeight="1">
      <c r="A2107" s="41" t="n">
        <v>448</v>
      </c>
      <c r="B2107" s="42" t="inlineStr">
        <is>
          <t>서울특별시 서초구 서초동</t>
        </is>
      </c>
      <c r="C2107" s="41" t="inlineStr">
        <is>
          <t>1542-6</t>
        </is>
      </c>
      <c r="D2107" s="41" t="inlineStr">
        <is>
          <t>1542</t>
        </is>
      </c>
      <c r="E2107" s="41" t="inlineStr">
        <is>
          <t>0006</t>
        </is>
      </c>
      <c r="F2107" s="42" t="inlineStr">
        <is>
          <t>현대ESA2</t>
        </is>
      </c>
      <c r="G2107" s="41" t="inlineStr">
        <is>
          <t>136.2500</t>
        </is>
      </c>
      <c r="H2107" s="41" t="inlineStr">
        <is>
          <t>202507</t>
        </is>
      </c>
      <c r="I2107" s="41" t="inlineStr">
        <is>
          <t>26</t>
        </is>
      </c>
      <c r="J2107" s="41" t="inlineStr">
        <is>
          <t>180,000</t>
        </is>
      </c>
      <c r="K2107" s="41" t="inlineStr">
        <is>
          <t>B</t>
        </is>
      </c>
      <c r="L2107" s="41" t="inlineStr">
        <is>
          <t>5</t>
        </is>
      </c>
      <c r="M2107" s="42" t="inlineStr">
        <is>
          <t>개인</t>
        </is>
      </c>
      <c r="N2107" s="42" t="inlineStr">
        <is>
          <t>개인</t>
        </is>
      </c>
      <c r="O2107" s="41" t="inlineStr">
        <is>
          <t>2003</t>
        </is>
      </c>
      <c r="P2107" s="42" t="inlineStr">
        <is>
          <t>반포대로 122</t>
        </is>
      </c>
      <c r="Q2107" s="41" t="inlineStr">
        <is>
          <t>-</t>
        </is>
      </c>
      <c r="R2107" s="42" t="inlineStr">
        <is>
          <t>중개거래</t>
        </is>
      </c>
      <c r="S2107" s="42" t="inlineStr">
        <is>
          <t>서울 강남구, 서울 용산구</t>
        </is>
      </c>
      <c r="T2107" s="41" t="inlineStr">
        <is>
          <t>25.10.01</t>
        </is>
      </c>
      <c r="U2107" s="42" t="inlineStr">
        <is>
          <t>아파트</t>
        </is>
      </c>
    </row>
    <row r="2108" hidden="1" ht="17.25" customHeight="1">
      <c r="A2108" s="41" t="n">
        <v>449</v>
      </c>
      <c r="B2108" s="42" t="inlineStr">
        <is>
          <t>서울특별시 서초구 서초동</t>
        </is>
      </c>
      <c r="C2108" s="41" t="inlineStr">
        <is>
          <t>1757</t>
        </is>
      </c>
      <c r="D2108" s="41" t="inlineStr">
        <is>
          <t>1757</t>
        </is>
      </c>
      <c r="E2108" s="41" t="inlineStr">
        <is>
          <t>0000</t>
        </is>
      </c>
      <c r="F2108" s="42" t="inlineStr">
        <is>
          <t>서초그랑자이</t>
        </is>
      </c>
      <c r="G2108" s="41" t="inlineStr">
        <is>
          <t>100.3100</t>
        </is>
      </c>
      <c r="H2108" s="41" t="inlineStr">
        <is>
          <t>202507</t>
        </is>
      </c>
      <c r="I2108" s="41" t="inlineStr">
        <is>
          <t>25</t>
        </is>
      </c>
      <c r="J2108" s="41" t="inlineStr">
        <is>
          <t>445,000</t>
        </is>
      </c>
      <c r="K2108" s="41" t="inlineStr">
        <is>
          <t>-</t>
        </is>
      </c>
      <c r="L2108" s="41" t="inlineStr">
        <is>
          <t>21</t>
        </is>
      </c>
      <c r="M2108" s="42" t="inlineStr">
        <is>
          <t>개인</t>
        </is>
      </c>
      <c r="N2108" s="42" t="inlineStr">
        <is>
          <t>개인</t>
        </is>
      </c>
      <c r="O2108" s="41" t="inlineStr">
        <is>
          <t>2021</t>
        </is>
      </c>
      <c r="P2108" s="42" t="inlineStr">
        <is>
          <t>효령로 391</t>
        </is>
      </c>
      <c r="Q2108" s="41" t="inlineStr">
        <is>
          <t>20250806</t>
        </is>
      </c>
      <c r="R2108" s="42" t="inlineStr">
        <is>
          <t>중개거래</t>
        </is>
      </c>
      <c r="S2108" s="42" t="inlineStr">
        <is>
          <t>서울 강남구, 서울 서초구</t>
        </is>
      </c>
      <c r="T2108" s="41" t="inlineStr">
        <is>
          <t>-</t>
        </is>
      </c>
      <c r="U2108" s="42" t="inlineStr">
        <is>
          <t>아파트</t>
        </is>
      </c>
    </row>
    <row r="2109" hidden="1" ht="17.25" customHeight="1">
      <c r="A2109" s="41" t="n">
        <v>450</v>
      </c>
      <c r="B2109" s="42" t="inlineStr">
        <is>
          <t>서울특별시 서초구 서초동</t>
        </is>
      </c>
      <c r="C2109" s="41" t="inlineStr">
        <is>
          <t>1648-2</t>
        </is>
      </c>
      <c r="D2109" s="41" t="inlineStr">
        <is>
          <t>1648</t>
        </is>
      </c>
      <c r="E2109" s="41" t="inlineStr">
        <is>
          <t>0002</t>
        </is>
      </c>
      <c r="F2109" s="42" t="inlineStr">
        <is>
          <t>서초현대</t>
        </is>
      </c>
      <c r="G2109" s="41" t="inlineStr">
        <is>
          <t>84.7800</t>
        </is>
      </c>
      <c r="H2109" s="41" t="inlineStr">
        <is>
          <t>202507</t>
        </is>
      </c>
      <c r="I2109" s="41" t="inlineStr">
        <is>
          <t>25</t>
        </is>
      </c>
      <c r="J2109" s="41" t="inlineStr">
        <is>
          <t>184,000</t>
        </is>
      </c>
      <c r="K2109" s="41" t="inlineStr">
        <is>
          <t>101</t>
        </is>
      </c>
      <c r="L2109" s="41" t="inlineStr">
        <is>
          <t>4</t>
        </is>
      </c>
      <c r="M2109" s="42" t="inlineStr">
        <is>
          <t>개인</t>
        </is>
      </c>
      <c r="N2109" s="42" t="inlineStr">
        <is>
          <t>개인</t>
        </is>
      </c>
      <c r="O2109" s="41" t="inlineStr">
        <is>
          <t>1999</t>
        </is>
      </c>
      <c r="P2109" s="42" t="inlineStr">
        <is>
          <t>사임당로19길 10</t>
        </is>
      </c>
      <c r="Q2109" s="41" t="inlineStr">
        <is>
          <t>-</t>
        </is>
      </c>
      <c r="R2109" s="42" t="inlineStr">
        <is>
          <t>중개거래</t>
        </is>
      </c>
      <c r="S2109" s="42" t="inlineStr">
        <is>
          <t>서울 서초구</t>
        </is>
      </c>
      <c r="T2109" s="41" t="inlineStr">
        <is>
          <t>25.10.15</t>
        </is>
      </c>
      <c r="U2109" s="42" t="inlineStr">
        <is>
          <t>아파트</t>
        </is>
      </c>
    </row>
    <row r="2110" hidden="1" ht="17.25" customHeight="1">
      <c r="A2110" s="41" t="n">
        <v>451</v>
      </c>
      <c r="B2110" s="42" t="inlineStr">
        <is>
          <t>서울특별시 서초구 서초동</t>
        </is>
      </c>
      <c r="C2110" s="41" t="inlineStr">
        <is>
          <t>1757</t>
        </is>
      </c>
      <c r="D2110" s="41" t="inlineStr">
        <is>
          <t>1757</t>
        </is>
      </c>
      <c r="E2110" s="41" t="inlineStr">
        <is>
          <t>0000</t>
        </is>
      </c>
      <c r="F2110" s="42" t="inlineStr">
        <is>
          <t>서초그랑자이</t>
        </is>
      </c>
      <c r="G2110" s="41" t="inlineStr">
        <is>
          <t>119.4100</t>
        </is>
      </c>
      <c r="H2110" s="41" t="inlineStr">
        <is>
          <t>202507</t>
        </is>
      </c>
      <c r="I2110" s="41" t="inlineStr">
        <is>
          <t>25</t>
        </is>
      </c>
      <c r="J2110" s="41" t="inlineStr">
        <is>
          <t>468,000</t>
        </is>
      </c>
      <c r="K2110" s="41" t="inlineStr">
        <is>
          <t>-</t>
        </is>
      </c>
      <c r="L2110" s="41" t="inlineStr">
        <is>
          <t>11</t>
        </is>
      </c>
      <c r="M2110" s="42" t="inlineStr">
        <is>
          <t>개인</t>
        </is>
      </c>
      <c r="N2110" s="42" t="inlineStr">
        <is>
          <t>개인</t>
        </is>
      </c>
      <c r="O2110" s="41" t="inlineStr">
        <is>
          <t>2021</t>
        </is>
      </c>
      <c r="P2110" s="42" t="inlineStr">
        <is>
          <t>효령로 391</t>
        </is>
      </c>
      <c r="Q2110" s="41" t="inlineStr">
        <is>
          <t>-</t>
        </is>
      </c>
      <c r="R2110" s="42" t="inlineStr">
        <is>
          <t>중개거래</t>
        </is>
      </c>
      <c r="S2110" s="42" t="inlineStr">
        <is>
          <t>서울 마포구, 서울 서초구</t>
        </is>
      </c>
      <c r="T2110" s="41" t="inlineStr">
        <is>
          <t>-</t>
        </is>
      </c>
      <c r="U2110" s="42" t="inlineStr">
        <is>
          <t>아파트</t>
        </is>
      </c>
    </row>
    <row r="2111" hidden="1" ht="17.25" customHeight="1">
      <c r="A2111" s="41" t="n">
        <v>452</v>
      </c>
      <c r="B2111" s="42" t="inlineStr">
        <is>
          <t>서울특별시 서초구 서초동</t>
        </is>
      </c>
      <c r="C2111" s="41" t="inlineStr">
        <is>
          <t>1315</t>
        </is>
      </c>
      <c r="D2111" s="41" t="inlineStr">
        <is>
          <t>1315</t>
        </is>
      </c>
      <c r="E2111" s="41" t="inlineStr">
        <is>
          <t>0000</t>
        </is>
      </c>
      <c r="F2111" s="42" t="inlineStr">
        <is>
          <t>진흥아파트</t>
        </is>
      </c>
      <c r="G2111" s="41" t="inlineStr">
        <is>
          <t>131.0400</t>
        </is>
      </c>
      <c r="H2111" s="41" t="inlineStr">
        <is>
          <t>202507</t>
        </is>
      </c>
      <c r="I2111" s="41" t="inlineStr">
        <is>
          <t>24</t>
        </is>
      </c>
      <c r="J2111" s="41" t="inlineStr">
        <is>
          <t>380,000</t>
        </is>
      </c>
      <c r="K2111" s="41" t="inlineStr">
        <is>
          <t>8</t>
        </is>
      </c>
      <c r="L2111" s="41" t="inlineStr">
        <is>
          <t>13</t>
        </is>
      </c>
      <c r="M2111" s="42" t="inlineStr">
        <is>
          <t>개인</t>
        </is>
      </c>
      <c r="N2111" s="42" t="inlineStr">
        <is>
          <t>개인</t>
        </is>
      </c>
      <c r="O2111" s="41" t="inlineStr">
        <is>
          <t>1979</t>
        </is>
      </c>
      <c r="P2111" s="42" t="inlineStr">
        <is>
          <t>서초대로 385</t>
        </is>
      </c>
      <c r="Q2111" s="41" t="inlineStr">
        <is>
          <t>-</t>
        </is>
      </c>
      <c r="R2111" s="42" t="inlineStr">
        <is>
          <t>중개거래</t>
        </is>
      </c>
      <c r="S2111" s="42" t="inlineStr">
        <is>
          <t>서울 서초구</t>
        </is>
      </c>
      <c r="T2111" s="41" t="inlineStr">
        <is>
          <t>25.11.27</t>
        </is>
      </c>
      <c r="U2111" s="42" t="inlineStr">
        <is>
          <t>아파트</t>
        </is>
      </c>
    </row>
    <row r="2112" hidden="1" ht="17.25" customHeight="1">
      <c r="A2112" s="41" t="n">
        <v>453</v>
      </c>
      <c r="B2112" s="42" t="inlineStr">
        <is>
          <t>서울특별시 서초구 서초동</t>
        </is>
      </c>
      <c r="C2112" s="41" t="inlineStr">
        <is>
          <t>1757</t>
        </is>
      </c>
      <c r="D2112" s="41" t="inlineStr">
        <is>
          <t>1757</t>
        </is>
      </c>
      <c r="E2112" s="41" t="inlineStr">
        <is>
          <t>0000</t>
        </is>
      </c>
      <c r="F2112" s="42" t="inlineStr">
        <is>
          <t>서초그랑자이</t>
        </is>
      </c>
      <c r="G2112" s="41" t="inlineStr">
        <is>
          <t>100.3100</t>
        </is>
      </c>
      <c r="H2112" s="41" t="inlineStr">
        <is>
          <t>202507</t>
        </is>
      </c>
      <c r="I2112" s="41" t="inlineStr">
        <is>
          <t>24</t>
        </is>
      </c>
      <c r="J2112" s="41" t="inlineStr">
        <is>
          <t>430,000</t>
        </is>
      </c>
      <c r="K2112" s="41" t="inlineStr">
        <is>
          <t>103동</t>
        </is>
      </c>
      <c r="L2112" s="41" t="inlineStr">
        <is>
          <t>16</t>
        </is>
      </c>
      <c r="M2112" s="42" t="inlineStr">
        <is>
          <t>개인</t>
        </is>
      </c>
      <c r="N2112" s="42" t="inlineStr">
        <is>
          <t>개인</t>
        </is>
      </c>
      <c r="O2112" s="41" t="inlineStr">
        <is>
          <t>2021</t>
        </is>
      </c>
      <c r="P2112" s="42" t="inlineStr">
        <is>
          <t>효령로 391</t>
        </is>
      </c>
      <c r="Q2112" s="41" t="inlineStr">
        <is>
          <t>-</t>
        </is>
      </c>
      <c r="R2112" s="42" t="inlineStr">
        <is>
          <t>중개거래</t>
        </is>
      </c>
      <c r="S2112" s="42" t="inlineStr">
        <is>
          <t>서울 서초구</t>
        </is>
      </c>
      <c r="T2112" s="41" t="inlineStr">
        <is>
          <t>25.11.14</t>
        </is>
      </c>
      <c r="U2112" s="42" t="inlineStr">
        <is>
          <t>아파트</t>
        </is>
      </c>
    </row>
    <row r="2113" hidden="1" ht="17.25" customHeight="1">
      <c r="A2113" s="41" t="n">
        <v>454</v>
      </c>
      <c r="B2113" s="42" t="inlineStr">
        <is>
          <t>서울특별시 서초구 서초동</t>
        </is>
      </c>
      <c r="C2113" s="41" t="inlineStr">
        <is>
          <t>1755</t>
        </is>
      </c>
      <c r="D2113" s="41" t="inlineStr">
        <is>
          <t>1755</t>
        </is>
      </c>
      <c r="E2113" s="41" t="inlineStr">
        <is>
          <t>0000</t>
        </is>
      </c>
      <c r="F2113" s="42" t="inlineStr">
        <is>
          <t>래미안 리더스원</t>
        </is>
      </c>
      <c r="G2113" s="41" t="inlineStr">
        <is>
          <t>114.9400</t>
        </is>
      </c>
      <c r="H2113" s="41" t="inlineStr">
        <is>
          <t>202507</t>
        </is>
      </c>
      <c r="I2113" s="41" t="inlineStr">
        <is>
          <t>23</t>
        </is>
      </c>
      <c r="J2113" s="41" t="inlineStr">
        <is>
          <t>460,000</t>
        </is>
      </c>
      <c r="K2113" s="41" t="inlineStr">
        <is>
          <t>104동</t>
        </is>
      </c>
      <c r="L2113" s="41" t="inlineStr">
        <is>
          <t>5</t>
        </is>
      </c>
      <c r="M2113" s="42" t="inlineStr">
        <is>
          <t>개인</t>
        </is>
      </c>
      <c r="N2113" s="42" t="inlineStr">
        <is>
          <t>개인</t>
        </is>
      </c>
      <c r="O2113" s="41" t="inlineStr">
        <is>
          <t>2020</t>
        </is>
      </c>
      <c r="P2113" s="42" t="inlineStr">
        <is>
          <t>서운로 62</t>
        </is>
      </c>
      <c r="Q2113" s="41" t="inlineStr">
        <is>
          <t>-</t>
        </is>
      </c>
      <c r="R2113" s="42" t="inlineStr">
        <is>
          <t>중개거래</t>
        </is>
      </c>
      <c r="S2113" s="42" t="inlineStr">
        <is>
          <t>서울 강남구, 서울 서초구</t>
        </is>
      </c>
      <c r="T2113" s="41" t="inlineStr">
        <is>
          <t>25.10.27</t>
        </is>
      </c>
      <c r="U2113" s="42" t="inlineStr">
        <is>
          <t>아파트</t>
        </is>
      </c>
    </row>
    <row r="2114" hidden="1" ht="17.25" customHeight="1">
      <c r="A2114" s="41" t="n">
        <v>455</v>
      </c>
      <c r="B2114" s="42" t="inlineStr">
        <is>
          <t>서울특별시 서초구 서초동</t>
        </is>
      </c>
      <c r="C2114" s="41" t="inlineStr">
        <is>
          <t>1583-10</t>
        </is>
      </c>
      <c r="D2114" s="41" t="inlineStr">
        <is>
          <t>1583</t>
        </is>
      </c>
      <c r="E2114" s="41" t="inlineStr">
        <is>
          <t>0010</t>
        </is>
      </c>
      <c r="F2114" s="42" t="inlineStr">
        <is>
          <t>서초아트자이</t>
        </is>
      </c>
      <c r="G2114" s="41" t="inlineStr">
        <is>
          <t>165.5725</t>
        </is>
      </c>
      <c r="H2114" s="41" t="inlineStr">
        <is>
          <t>202507</t>
        </is>
      </c>
      <c r="I2114" s="41" t="inlineStr">
        <is>
          <t>23</t>
        </is>
      </c>
      <c r="J2114" s="41" t="inlineStr">
        <is>
          <t>290,000</t>
        </is>
      </c>
      <c r="K2114" s="41" t="inlineStr">
        <is>
          <t>102</t>
        </is>
      </c>
      <c r="L2114" s="41" t="inlineStr">
        <is>
          <t>15</t>
        </is>
      </c>
      <c r="M2114" s="42" t="inlineStr">
        <is>
          <t>개인</t>
        </is>
      </c>
      <c r="N2114" s="42" t="inlineStr">
        <is>
          <t>개인</t>
        </is>
      </c>
      <c r="O2114" s="41" t="inlineStr">
        <is>
          <t>2009</t>
        </is>
      </c>
      <c r="P2114" s="42" t="inlineStr">
        <is>
          <t>반포대로 58</t>
        </is>
      </c>
      <c r="Q2114" s="41" t="inlineStr">
        <is>
          <t>-</t>
        </is>
      </c>
      <c r="R2114" s="42" t="inlineStr">
        <is>
          <t>중개거래</t>
        </is>
      </c>
      <c r="S2114" s="42" t="inlineStr">
        <is>
          <t>서울 서초구</t>
        </is>
      </c>
      <c r="T2114" s="41" t="inlineStr">
        <is>
          <t>25.09.26</t>
        </is>
      </c>
      <c r="U2114" s="42" t="inlineStr">
        <is>
          <t>아파트</t>
        </is>
      </c>
    </row>
    <row r="2115" hidden="1" ht="17.25" customHeight="1">
      <c r="A2115" s="41" t="n">
        <v>456</v>
      </c>
      <c r="B2115" s="42" t="inlineStr">
        <is>
          <t>서울특별시 서초구 서초동</t>
        </is>
      </c>
      <c r="C2115" s="41" t="inlineStr">
        <is>
          <t>1344-4</t>
        </is>
      </c>
      <c r="D2115" s="41" t="inlineStr">
        <is>
          <t>1344</t>
        </is>
      </c>
      <c r="E2115" s="41" t="inlineStr">
        <is>
          <t>0004</t>
        </is>
      </c>
      <c r="F2115" s="42" t="inlineStr">
        <is>
          <t>서초동프레스티지아파트</t>
        </is>
      </c>
      <c r="G2115" s="41" t="inlineStr">
        <is>
          <t>81.2400</t>
        </is>
      </c>
      <c r="H2115" s="41" t="inlineStr">
        <is>
          <t>202507</t>
        </is>
      </c>
      <c r="I2115" s="41" t="inlineStr">
        <is>
          <t>22</t>
        </is>
      </c>
      <c r="J2115" s="41" t="inlineStr">
        <is>
          <t>105,000</t>
        </is>
      </c>
      <c r="K2115" s="41" t="inlineStr">
        <is>
          <t>-</t>
        </is>
      </c>
      <c r="L2115" s="41" t="inlineStr">
        <is>
          <t>5</t>
        </is>
      </c>
      <c r="M2115" s="42" t="inlineStr">
        <is>
          <t>개인</t>
        </is>
      </c>
      <c r="N2115" s="42" t="inlineStr">
        <is>
          <t>개인</t>
        </is>
      </c>
      <c r="O2115" s="41" t="inlineStr">
        <is>
          <t>2017</t>
        </is>
      </c>
      <c r="P2115" s="42" t="inlineStr">
        <is>
          <t>서운로11길 17</t>
        </is>
      </c>
      <c r="Q2115" s="41" t="inlineStr">
        <is>
          <t>-</t>
        </is>
      </c>
      <c r="R2115" s="42" t="inlineStr">
        <is>
          <t>중개거래</t>
        </is>
      </c>
      <c r="S2115" s="42" t="inlineStr">
        <is>
          <t>서울 강남구, 서울 서초구</t>
        </is>
      </c>
      <c r="T2115" s="41" t="inlineStr">
        <is>
          <t>25.10.31</t>
        </is>
      </c>
      <c r="U2115" s="42" t="inlineStr">
        <is>
          <t>아파트</t>
        </is>
      </c>
    </row>
    <row r="2116" hidden="1" ht="17.25" customHeight="1">
      <c r="A2116" s="41" t="n">
        <v>457</v>
      </c>
      <c r="B2116" s="42" t="inlineStr">
        <is>
          <t>서울특별시 서초구 서초동</t>
        </is>
      </c>
      <c r="C2116" s="41" t="inlineStr">
        <is>
          <t>1627-3</t>
        </is>
      </c>
      <c r="D2116" s="41" t="inlineStr">
        <is>
          <t>1627</t>
        </is>
      </c>
      <c r="E2116" s="41" t="inlineStr">
        <is>
          <t>0003</t>
        </is>
      </c>
      <c r="F2116" s="42" t="inlineStr">
        <is>
          <t>서초로얄</t>
        </is>
      </c>
      <c r="G2116" s="41" t="inlineStr">
        <is>
          <t>84.8300</t>
        </is>
      </c>
      <c r="H2116" s="41" t="inlineStr">
        <is>
          <t>202507</t>
        </is>
      </c>
      <c r="I2116" s="41" t="inlineStr">
        <is>
          <t>22</t>
        </is>
      </c>
      <c r="J2116" s="41" t="inlineStr">
        <is>
          <t>133,500</t>
        </is>
      </c>
      <c r="K2116" s="41" t="inlineStr">
        <is>
          <t>1</t>
        </is>
      </c>
      <c r="L2116" s="41" t="inlineStr">
        <is>
          <t>4</t>
        </is>
      </c>
      <c r="M2116" s="42" t="inlineStr">
        <is>
          <t>개인</t>
        </is>
      </c>
      <c r="N2116" s="42" t="inlineStr">
        <is>
          <t>개인</t>
        </is>
      </c>
      <c r="O2116" s="41" t="inlineStr">
        <is>
          <t>2001</t>
        </is>
      </c>
      <c r="P2116" s="42" t="inlineStr">
        <is>
          <t>사임당로14길 10</t>
        </is>
      </c>
      <c r="Q2116" s="41" t="inlineStr">
        <is>
          <t>-</t>
        </is>
      </c>
      <c r="R2116" s="42" t="inlineStr">
        <is>
          <t>중개거래</t>
        </is>
      </c>
      <c r="S2116" s="42" t="inlineStr">
        <is>
          <t>경기 하남시, 서울 서초구</t>
        </is>
      </c>
      <c r="T2116" s="41" t="inlineStr">
        <is>
          <t>25.09.12</t>
        </is>
      </c>
      <c r="U2116" s="42" t="inlineStr">
        <is>
          <t>아파트</t>
        </is>
      </c>
    </row>
    <row r="2117" hidden="1" ht="17.25" customHeight="1">
      <c r="A2117" s="41" t="n">
        <v>458</v>
      </c>
      <c r="B2117" s="42" t="inlineStr">
        <is>
          <t>서울특별시 서초구 서초동</t>
        </is>
      </c>
      <c r="C2117" s="41" t="inlineStr">
        <is>
          <t>1344-4</t>
        </is>
      </c>
      <c r="D2117" s="41" t="inlineStr">
        <is>
          <t>1344</t>
        </is>
      </c>
      <c r="E2117" s="41" t="inlineStr">
        <is>
          <t>0004</t>
        </is>
      </c>
      <c r="F2117" s="42" t="inlineStr">
        <is>
          <t>서초동프레스티지아파트</t>
        </is>
      </c>
      <c r="G2117" s="41" t="inlineStr">
        <is>
          <t>81.2400</t>
        </is>
      </c>
      <c r="H2117" s="41" t="inlineStr">
        <is>
          <t>202507</t>
        </is>
      </c>
      <c r="I2117" s="41" t="inlineStr">
        <is>
          <t>22</t>
        </is>
      </c>
      <c r="J2117" s="41" t="inlineStr">
        <is>
          <t>105,000</t>
        </is>
      </c>
      <c r="K2117" s="41" t="inlineStr">
        <is>
          <t>-</t>
        </is>
      </c>
      <c r="L2117" s="41" t="inlineStr">
        <is>
          <t>5</t>
        </is>
      </c>
      <c r="M2117" s="42" t="inlineStr">
        <is>
          <t>개인</t>
        </is>
      </c>
      <c r="N2117" s="42" t="inlineStr">
        <is>
          <t>개인</t>
        </is>
      </c>
      <c r="O2117" s="41" t="inlineStr">
        <is>
          <t>2017</t>
        </is>
      </c>
      <c r="P2117" s="42" t="inlineStr">
        <is>
          <t>서운로11길 17</t>
        </is>
      </c>
      <c r="Q2117" s="41" t="inlineStr">
        <is>
          <t>20250903</t>
        </is>
      </c>
      <c r="R2117" s="42" t="inlineStr">
        <is>
          <t>중개거래</t>
        </is>
      </c>
      <c r="S2117" s="42" t="inlineStr">
        <is>
          <t>서울 강남구, 서울 서초구</t>
        </is>
      </c>
      <c r="T2117" s="41" t="inlineStr">
        <is>
          <t>-</t>
        </is>
      </c>
      <c r="U2117" s="42" t="inlineStr">
        <is>
          <t>아파트</t>
        </is>
      </c>
    </row>
    <row r="2118" hidden="1" ht="17.25" customHeight="1">
      <c r="A2118" s="41" t="n">
        <v>459</v>
      </c>
      <c r="B2118" s="42" t="inlineStr">
        <is>
          <t>서울특별시 서초구 서초동</t>
        </is>
      </c>
      <c r="C2118" s="41" t="inlineStr">
        <is>
          <t>1588-5</t>
        </is>
      </c>
      <c r="D2118" s="41" t="inlineStr">
        <is>
          <t>1588</t>
        </is>
      </c>
      <c r="E2118" s="41" t="inlineStr">
        <is>
          <t>0005</t>
        </is>
      </c>
      <c r="F2118" s="42" t="inlineStr">
        <is>
          <t>디아레나서초</t>
        </is>
      </c>
      <c r="G2118" s="41" t="inlineStr">
        <is>
          <t>27.3900</t>
        </is>
      </c>
      <c r="H2118" s="41" t="inlineStr">
        <is>
          <t>202507</t>
        </is>
      </c>
      <c r="I2118" s="41" t="inlineStr">
        <is>
          <t>19</t>
        </is>
      </c>
      <c r="J2118" s="41" t="inlineStr">
        <is>
          <t>40,000</t>
        </is>
      </c>
      <c r="K2118" s="41" t="inlineStr">
        <is>
          <t>101동</t>
        </is>
      </c>
      <c r="L2118" s="41" t="inlineStr">
        <is>
          <t>11</t>
        </is>
      </c>
      <c r="M2118" s="42" t="inlineStr">
        <is>
          <t>개인</t>
        </is>
      </c>
      <c r="N2118" s="42" t="inlineStr">
        <is>
          <t>개인</t>
        </is>
      </c>
      <c r="O2118" s="41" t="inlineStr">
        <is>
          <t>2020</t>
        </is>
      </c>
      <c r="P2118" s="42" t="inlineStr">
        <is>
          <t>효령로53길 24</t>
        </is>
      </c>
      <c r="Q2118" s="41" t="inlineStr">
        <is>
          <t>-</t>
        </is>
      </c>
      <c r="R2118" s="42" t="inlineStr">
        <is>
          <t>중개거래</t>
        </is>
      </c>
      <c r="S2118" s="42" t="inlineStr">
        <is>
          <t>서울 서초구</t>
        </is>
      </c>
      <c r="T2118" s="41" t="inlineStr">
        <is>
          <t>25.07.28</t>
        </is>
      </c>
      <c r="U2118" s="42" t="inlineStr">
        <is>
          <t>아파트</t>
        </is>
      </c>
    </row>
    <row r="2119" hidden="1" ht="17.25" customHeight="1">
      <c r="A2119" s="41" t="n">
        <v>460</v>
      </c>
      <c r="B2119" s="42" t="inlineStr">
        <is>
          <t>서울특별시 서초구 서초동</t>
        </is>
      </c>
      <c r="C2119" s="41" t="inlineStr">
        <is>
          <t>1682</t>
        </is>
      </c>
      <c r="D2119" s="41" t="inlineStr">
        <is>
          <t>1682</t>
        </is>
      </c>
      <c r="E2119" s="41" t="inlineStr">
        <is>
          <t>0000</t>
        </is>
      </c>
      <c r="F2119" s="42" t="inlineStr">
        <is>
          <t>서초래미안</t>
        </is>
      </c>
      <c r="G2119" s="41" t="inlineStr">
        <is>
          <t>126.3100</t>
        </is>
      </c>
      <c r="H2119" s="41" t="inlineStr">
        <is>
          <t>202507</t>
        </is>
      </c>
      <c r="I2119" s="41" t="inlineStr">
        <is>
          <t>19</t>
        </is>
      </c>
      <c r="J2119" s="41" t="inlineStr">
        <is>
          <t>330,000</t>
        </is>
      </c>
      <c r="K2119" s="41" t="inlineStr">
        <is>
          <t>107</t>
        </is>
      </c>
      <c r="L2119" s="41" t="inlineStr">
        <is>
          <t>22</t>
        </is>
      </c>
      <c r="M2119" s="42" t="inlineStr">
        <is>
          <t>개인</t>
        </is>
      </c>
      <c r="N2119" s="42" t="inlineStr">
        <is>
          <t>개인</t>
        </is>
      </c>
      <c r="O2119" s="41" t="inlineStr">
        <is>
          <t>2003</t>
        </is>
      </c>
      <c r="P2119" s="42" t="inlineStr">
        <is>
          <t>서초대로65길 13-10</t>
        </is>
      </c>
      <c r="Q2119" s="41" t="inlineStr">
        <is>
          <t>-</t>
        </is>
      </c>
      <c r="R2119" s="42" t="inlineStr">
        <is>
          <t>중개거래</t>
        </is>
      </c>
      <c r="S2119" s="42" t="inlineStr">
        <is>
          <t>서울 서초구</t>
        </is>
      </c>
      <c r="T2119" s="41" t="inlineStr">
        <is>
          <t>26.01.16</t>
        </is>
      </c>
      <c r="U2119" s="42" t="inlineStr">
        <is>
          <t>아파트</t>
        </is>
      </c>
    </row>
    <row r="2120" hidden="1" ht="17.25" customHeight="1">
      <c r="A2120" s="41" t="n">
        <v>461</v>
      </c>
      <c r="B2120" s="42" t="inlineStr">
        <is>
          <t>서울특별시 서초구 서초동</t>
        </is>
      </c>
      <c r="C2120" s="41" t="inlineStr">
        <is>
          <t>1445-4</t>
        </is>
      </c>
      <c r="D2120" s="41" t="inlineStr">
        <is>
          <t>1445</t>
        </is>
      </c>
      <c r="E2120" s="41" t="inlineStr">
        <is>
          <t>0004</t>
        </is>
      </c>
      <c r="F2120" s="42" t="inlineStr">
        <is>
          <t>래미안서초유니빌</t>
        </is>
      </c>
      <c r="G2120" s="41" t="inlineStr">
        <is>
          <t>45.2550</t>
        </is>
      </c>
      <c r="H2120" s="41" t="inlineStr">
        <is>
          <t>202507</t>
        </is>
      </c>
      <c r="I2120" s="41" t="inlineStr">
        <is>
          <t>19</t>
        </is>
      </c>
      <c r="J2120" s="41" t="inlineStr">
        <is>
          <t>49,000</t>
        </is>
      </c>
      <c r="K2120" s="42" t="inlineStr">
        <is>
          <t>래미안 서초유니빌</t>
        </is>
      </c>
      <c r="L2120" s="41" t="inlineStr">
        <is>
          <t>5</t>
        </is>
      </c>
      <c r="M2120" s="42" t="inlineStr">
        <is>
          <t>개인</t>
        </is>
      </c>
      <c r="N2120" s="42" t="inlineStr">
        <is>
          <t>개인</t>
        </is>
      </c>
      <c r="O2120" s="41" t="inlineStr">
        <is>
          <t>2003</t>
        </is>
      </c>
      <c r="P2120" s="42" t="inlineStr">
        <is>
          <t>서초중앙로 26</t>
        </is>
      </c>
      <c r="Q2120" s="41" t="inlineStr">
        <is>
          <t>-</t>
        </is>
      </c>
      <c r="R2120" s="42" t="inlineStr">
        <is>
          <t>중개거래</t>
        </is>
      </c>
      <c r="S2120" s="42" t="inlineStr">
        <is>
          <t>서울 서초구</t>
        </is>
      </c>
      <c r="T2120" s="41" t="inlineStr">
        <is>
          <t>25.09.10</t>
        </is>
      </c>
      <c r="U2120" s="42" t="inlineStr">
        <is>
          <t>아파트</t>
        </is>
      </c>
    </row>
    <row r="2121" hidden="1" ht="17.25" customHeight="1">
      <c r="A2121" s="41" t="n">
        <v>462</v>
      </c>
      <c r="B2121" s="42" t="inlineStr">
        <is>
          <t>서울특별시 서초구 서초동</t>
        </is>
      </c>
      <c r="C2121" s="41" t="inlineStr">
        <is>
          <t>1509-1</t>
        </is>
      </c>
      <c r="D2121" s="41" t="inlineStr">
        <is>
          <t>1509</t>
        </is>
      </c>
      <c r="E2121" s="41" t="inlineStr">
        <is>
          <t>0001</t>
        </is>
      </c>
      <c r="F2121" s="42" t="inlineStr">
        <is>
          <t>서초한빛삼성</t>
        </is>
      </c>
      <c r="G2121" s="41" t="inlineStr">
        <is>
          <t>59.5200</t>
        </is>
      </c>
      <c r="H2121" s="41" t="inlineStr">
        <is>
          <t>202507</t>
        </is>
      </c>
      <c r="I2121" s="41" t="inlineStr">
        <is>
          <t>19</t>
        </is>
      </c>
      <c r="J2121" s="41" t="inlineStr">
        <is>
          <t>152,000</t>
        </is>
      </c>
      <c r="K2121" s="41" t="inlineStr">
        <is>
          <t>101</t>
        </is>
      </c>
      <c r="L2121" s="41" t="inlineStr">
        <is>
          <t>5</t>
        </is>
      </c>
      <c r="M2121" s="42" t="inlineStr">
        <is>
          <t>개인</t>
        </is>
      </c>
      <c r="N2121" s="42" t="inlineStr">
        <is>
          <t>개인</t>
        </is>
      </c>
      <c r="O2121" s="41" t="inlineStr">
        <is>
          <t>1999</t>
        </is>
      </c>
      <c r="P2121" s="42" t="inlineStr">
        <is>
          <t>서초대로40길 72</t>
        </is>
      </c>
      <c r="Q2121" s="41" t="inlineStr">
        <is>
          <t>-</t>
        </is>
      </c>
      <c r="R2121" s="42" t="inlineStr">
        <is>
          <t>중개거래</t>
        </is>
      </c>
      <c r="S2121" s="42" t="inlineStr">
        <is>
          <t>서울 서초구</t>
        </is>
      </c>
      <c r="T2121" s="41" t="inlineStr">
        <is>
          <t>25.10.30</t>
        </is>
      </c>
      <c r="U2121" s="42" t="inlineStr">
        <is>
          <t>아파트</t>
        </is>
      </c>
    </row>
    <row r="2122" hidden="1" ht="17.25" customHeight="1">
      <c r="A2122" s="41" t="n">
        <v>463</v>
      </c>
      <c r="B2122" s="42" t="inlineStr">
        <is>
          <t>서울특별시 서초구 서초동</t>
        </is>
      </c>
      <c r="C2122" s="41" t="inlineStr">
        <is>
          <t>1362</t>
        </is>
      </c>
      <c r="D2122" s="41" t="inlineStr">
        <is>
          <t>1362</t>
        </is>
      </c>
      <c r="E2122" s="41" t="inlineStr">
        <is>
          <t>0000</t>
        </is>
      </c>
      <c r="F2122" s="42" t="inlineStr">
        <is>
          <t>두산위브(1362)</t>
        </is>
      </c>
      <c r="G2122" s="41" t="inlineStr">
        <is>
          <t>78.6300</t>
        </is>
      </c>
      <c r="H2122" s="41" t="inlineStr">
        <is>
          <t>202507</t>
        </is>
      </c>
      <c r="I2122" s="41" t="inlineStr">
        <is>
          <t>18</t>
        </is>
      </c>
      <c r="J2122" s="41" t="inlineStr">
        <is>
          <t>119,000</t>
        </is>
      </c>
      <c r="K2122" s="41" t="inlineStr">
        <is>
          <t>-</t>
        </is>
      </c>
      <c r="L2122" s="41" t="inlineStr">
        <is>
          <t>3</t>
        </is>
      </c>
      <c r="M2122" s="42" t="inlineStr">
        <is>
          <t>개인</t>
        </is>
      </c>
      <c r="N2122" s="42" t="inlineStr">
        <is>
          <t>개인</t>
        </is>
      </c>
      <c r="O2122" s="41" t="inlineStr">
        <is>
          <t>2005</t>
        </is>
      </c>
      <c r="P2122" s="42" t="inlineStr">
        <is>
          <t>강남대로39길 5</t>
        </is>
      </c>
      <c r="Q2122" s="41" t="inlineStr">
        <is>
          <t>20251013</t>
        </is>
      </c>
      <c r="R2122" s="42" t="inlineStr">
        <is>
          <t>중개거래</t>
        </is>
      </c>
      <c r="S2122" s="42" t="inlineStr">
        <is>
          <t>서울 강남구, 서울 서초구</t>
        </is>
      </c>
      <c r="T2122" s="41" t="inlineStr">
        <is>
          <t>-</t>
        </is>
      </c>
      <c r="U2122" s="42" t="inlineStr">
        <is>
          <t>아파트</t>
        </is>
      </c>
    </row>
    <row r="2123" hidden="1" ht="17.25" customHeight="1">
      <c r="A2123" s="41" t="n">
        <v>464</v>
      </c>
      <c r="B2123" s="42" t="inlineStr">
        <is>
          <t>서울특별시 서초구 서초동</t>
        </is>
      </c>
      <c r="C2123" s="41" t="inlineStr">
        <is>
          <t>1513-5</t>
        </is>
      </c>
      <c r="D2123" s="41" t="inlineStr">
        <is>
          <t>1513</t>
        </is>
      </c>
      <c r="E2123" s="41" t="inlineStr">
        <is>
          <t>0005</t>
        </is>
      </c>
      <c r="F2123" s="42" t="inlineStr">
        <is>
          <t>스위트빌</t>
        </is>
      </c>
      <c r="G2123" s="41" t="inlineStr">
        <is>
          <t>84.6600</t>
        </is>
      </c>
      <c r="H2123" s="41" t="inlineStr">
        <is>
          <t>202507</t>
        </is>
      </c>
      <c r="I2123" s="41" t="inlineStr">
        <is>
          <t>18</t>
        </is>
      </c>
      <c r="J2123" s="41" t="inlineStr">
        <is>
          <t>129,000</t>
        </is>
      </c>
      <c r="K2123" s="41" t="inlineStr">
        <is>
          <t>-</t>
        </is>
      </c>
      <c r="L2123" s="41" t="inlineStr">
        <is>
          <t>6</t>
        </is>
      </c>
      <c r="M2123" s="42" t="inlineStr">
        <is>
          <t>개인</t>
        </is>
      </c>
      <c r="N2123" s="42" t="inlineStr">
        <is>
          <t>개인</t>
        </is>
      </c>
      <c r="O2123" s="41" t="inlineStr">
        <is>
          <t>2003</t>
        </is>
      </c>
      <c r="P2123" s="42" t="inlineStr">
        <is>
          <t>명달로20길 39</t>
        </is>
      </c>
      <c r="Q2123" s="41" t="inlineStr">
        <is>
          <t>-</t>
        </is>
      </c>
      <c r="R2123" s="42" t="inlineStr">
        <is>
          <t>중개거래</t>
        </is>
      </c>
      <c r="S2123" s="42" t="inlineStr">
        <is>
          <t>서울 서초구</t>
        </is>
      </c>
      <c r="T2123" s="41" t="inlineStr">
        <is>
          <t>25.10.16</t>
        </is>
      </c>
      <c r="U2123" s="42" t="inlineStr">
        <is>
          <t>아파트</t>
        </is>
      </c>
    </row>
    <row r="2124" hidden="1" ht="17.25" customHeight="1">
      <c r="A2124" s="41" t="n">
        <v>465</v>
      </c>
      <c r="B2124" s="42" t="inlineStr">
        <is>
          <t>서울특별시 서초구 서초동</t>
        </is>
      </c>
      <c r="C2124" s="41" t="inlineStr">
        <is>
          <t>1682</t>
        </is>
      </c>
      <c r="D2124" s="41" t="inlineStr">
        <is>
          <t>1682</t>
        </is>
      </c>
      <c r="E2124" s="41" t="inlineStr">
        <is>
          <t>0000</t>
        </is>
      </c>
      <c r="F2124" s="42" t="inlineStr">
        <is>
          <t>서초래미안</t>
        </is>
      </c>
      <c r="G2124" s="41" t="inlineStr">
        <is>
          <t>111.3200</t>
        </is>
      </c>
      <c r="H2124" s="41" t="inlineStr">
        <is>
          <t>202507</t>
        </is>
      </c>
      <c r="I2124" s="41" t="inlineStr">
        <is>
          <t>18</t>
        </is>
      </c>
      <c r="J2124" s="41" t="inlineStr">
        <is>
          <t>289,000</t>
        </is>
      </c>
      <c r="K2124" s="41" t="inlineStr">
        <is>
          <t>102</t>
        </is>
      </c>
      <c r="L2124" s="41" t="inlineStr">
        <is>
          <t>6</t>
        </is>
      </c>
      <c r="M2124" s="42" t="inlineStr">
        <is>
          <t>개인</t>
        </is>
      </c>
      <c r="N2124" s="42" t="inlineStr">
        <is>
          <t>개인</t>
        </is>
      </c>
      <c r="O2124" s="41" t="inlineStr">
        <is>
          <t>2003</t>
        </is>
      </c>
      <c r="P2124" s="42" t="inlineStr">
        <is>
          <t>서초대로65길 13-10</t>
        </is>
      </c>
      <c r="Q2124" s="41" t="inlineStr">
        <is>
          <t>-</t>
        </is>
      </c>
      <c r="R2124" s="42" t="inlineStr">
        <is>
          <t>중개거래</t>
        </is>
      </c>
      <c r="S2124" s="42" t="inlineStr">
        <is>
          <t>서울 서초구</t>
        </is>
      </c>
      <c r="T2124" s="41" t="inlineStr">
        <is>
          <t>25.11.19</t>
        </is>
      </c>
      <c r="U2124" s="42" t="inlineStr">
        <is>
          <t>아파트</t>
        </is>
      </c>
    </row>
    <row r="2125" hidden="1" ht="17.25" customHeight="1">
      <c r="A2125" s="41" t="n">
        <v>466</v>
      </c>
      <c r="B2125" s="42" t="inlineStr">
        <is>
          <t>서울특별시 서초구 서초동</t>
        </is>
      </c>
      <c r="C2125" s="41" t="inlineStr">
        <is>
          <t>1682</t>
        </is>
      </c>
      <c r="D2125" s="41" t="inlineStr">
        <is>
          <t>1682</t>
        </is>
      </c>
      <c r="E2125" s="41" t="inlineStr">
        <is>
          <t>0000</t>
        </is>
      </c>
      <c r="F2125" s="42" t="inlineStr">
        <is>
          <t>서초래미안</t>
        </is>
      </c>
      <c r="G2125" s="41" t="inlineStr">
        <is>
          <t>111.3200</t>
        </is>
      </c>
      <c r="H2125" s="41" t="inlineStr">
        <is>
          <t>202507</t>
        </is>
      </c>
      <c r="I2125" s="41" t="inlineStr">
        <is>
          <t>18</t>
        </is>
      </c>
      <c r="J2125" s="41" t="inlineStr">
        <is>
          <t>289,000</t>
        </is>
      </c>
      <c r="K2125" s="41" t="inlineStr">
        <is>
          <t>-</t>
        </is>
      </c>
      <c r="L2125" s="41" t="inlineStr">
        <is>
          <t>6</t>
        </is>
      </c>
      <c r="M2125" s="42" t="inlineStr">
        <is>
          <t>개인</t>
        </is>
      </c>
      <c r="N2125" s="42" t="inlineStr">
        <is>
          <t>개인</t>
        </is>
      </c>
      <c r="O2125" s="41" t="inlineStr">
        <is>
          <t>2003</t>
        </is>
      </c>
      <c r="P2125" s="42" t="inlineStr">
        <is>
          <t>서초대로65길 13-10</t>
        </is>
      </c>
      <c r="Q2125" s="41" t="inlineStr">
        <is>
          <t>20250730</t>
        </is>
      </c>
      <c r="R2125" s="42" t="inlineStr">
        <is>
          <t>중개거래</t>
        </is>
      </c>
      <c r="S2125" s="42" t="inlineStr">
        <is>
          <t>서울 서초구</t>
        </is>
      </c>
      <c r="T2125" s="41" t="inlineStr">
        <is>
          <t>-</t>
        </is>
      </c>
      <c r="U2125" s="42" t="inlineStr">
        <is>
          <t>아파트</t>
        </is>
      </c>
    </row>
    <row r="2126" hidden="1" ht="17.25" customHeight="1">
      <c r="A2126" s="41" t="n">
        <v>467</v>
      </c>
      <c r="B2126" s="42" t="inlineStr">
        <is>
          <t>서울특별시 서초구 서초동</t>
        </is>
      </c>
      <c r="C2126" s="41" t="inlineStr">
        <is>
          <t>1686-9</t>
        </is>
      </c>
      <c r="D2126" s="41" t="inlineStr">
        <is>
          <t>1686</t>
        </is>
      </c>
      <c r="E2126" s="41" t="inlineStr">
        <is>
          <t>0009</t>
        </is>
      </c>
      <c r="F2126" s="42" t="inlineStr">
        <is>
          <t>서초교대e편한세상</t>
        </is>
      </c>
      <c r="G2126" s="41" t="inlineStr">
        <is>
          <t>131.1600</t>
        </is>
      </c>
      <c r="H2126" s="41" t="inlineStr">
        <is>
          <t>202507</t>
        </is>
      </c>
      <c r="I2126" s="41" t="inlineStr">
        <is>
          <t>18</t>
        </is>
      </c>
      <c r="J2126" s="41" t="inlineStr">
        <is>
          <t>370,000</t>
        </is>
      </c>
      <c r="K2126" s="41" t="inlineStr">
        <is>
          <t>105</t>
        </is>
      </c>
      <c r="L2126" s="41" t="inlineStr">
        <is>
          <t>3</t>
        </is>
      </c>
      <c r="M2126" s="42" t="inlineStr">
        <is>
          <t>개인</t>
        </is>
      </c>
      <c r="N2126" s="42" t="inlineStr">
        <is>
          <t>개인</t>
        </is>
      </c>
      <c r="O2126" s="41" t="inlineStr">
        <is>
          <t>2010</t>
        </is>
      </c>
      <c r="P2126" s="42" t="inlineStr">
        <is>
          <t>서초중앙로24길 33</t>
        </is>
      </c>
      <c r="Q2126" s="41" t="inlineStr">
        <is>
          <t>-</t>
        </is>
      </c>
      <c r="R2126" s="42" t="inlineStr">
        <is>
          <t>중개거래</t>
        </is>
      </c>
      <c r="S2126" s="42" t="inlineStr">
        <is>
          <t>서울 서초구</t>
        </is>
      </c>
      <c r="T2126" s="41" t="inlineStr">
        <is>
          <t>25.10.30</t>
        </is>
      </c>
      <c r="U2126" s="42" t="inlineStr">
        <is>
          <t>아파트</t>
        </is>
      </c>
    </row>
    <row r="2127" hidden="1" ht="17.25" customHeight="1">
      <c r="A2127" s="41" t="n">
        <v>468</v>
      </c>
      <c r="B2127" s="42" t="inlineStr">
        <is>
          <t>서울특별시 서초구 서초동</t>
        </is>
      </c>
      <c r="C2127" s="41" t="inlineStr">
        <is>
          <t>1686-9</t>
        </is>
      </c>
      <c r="D2127" s="41" t="inlineStr">
        <is>
          <t>1686</t>
        </is>
      </c>
      <c r="E2127" s="41" t="inlineStr">
        <is>
          <t>0009</t>
        </is>
      </c>
      <c r="F2127" s="42" t="inlineStr">
        <is>
          <t>서초교대e편한세상</t>
        </is>
      </c>
      <c r="G2127" s="41" t="inlineStr">
        <is>
          <t>131.1600</t>
        </is>
      </c>
      <c r="H2127" s="41" t="inlineStr">
        <is>
          <t>202507</t>
        </is>
      </c>
      <c r="I2127" s="41" t="inlineStr">
        <is>
          <t>18</t>
        </is>
      </c>
      <c r="J2127" s="41" t="inlineStr">
        <is>
          <t>370,000</t>
        </is>
      </c>
      <c r="K2127" s="41" t="inlineStr">
        <is>
          <t>-</t>
        </is>
      </c>
      <c r="L2127" s="41" t="inlineStr">
        <is>
          <t>3</t>
        </is>
      </c>
      <c r="M2127" s="42" t="inlineStr">
        <is>
          <t>개인</t>
        </is>
      </c>
      <c r="N2127" s="42" t="inlineStr">
        <is>
          <t>개인</t>
        </is>
      </c>
      <c r="O2127" s="41" t="inlineStr">
        <is>
          <t>2010</t>
        </is>
      </c>
      <c r="P2127" s="42" t="inlineStr">
        <is>
          <t>서초중앙로24길 33</t>
        </is>
      </c>
      <c r="Q2127" s="41" t="inlineStr">
        <is>
          <t>20250920</t>
        </is>
      </c>
      <c r="R2127" s="42" t="inlineStr">
        <is>
          <t>중개거래</t>
        </is>
      </c>
      <c r="S2127" s="42" t="inlineStr">
        <is>
          <t>서울 서초구</t>
        </is>
      </c>
      <c r="T2127" s="41" t="inlineStr">
        <is>
          <t>-</t>
        </is>
      </c>
      <c r="U2127" s="42" t="inlineStr">
        <is>
          <t>아파트</t>
        </is>
      </c>
    </row>
    <row r="2128" hidden="1" ht="17.25" customHeight="1">
      <c r="A2128" s="41" t="n">
        <v>469</v>
      </c>
      <c r="B2128" s="42" t="inlineStr">
        <is>
          <t>서울특별시 서초구 서초동</t>
        </is>
      </c>
      <c r="C2128" s="41" t="inlineStr">
        <is>
          <t>1347-20</t>
        </is>
      </c>
      <c r="D2128" s="41" t="inlineStr">
        <is>
          <t>1347</t>
        </is>
      </c>
      <c r="E2128" s="41" t="inlineStr">
        <is>
          <t>0020</t>
        </is>
      </c>
      <c r="F2128" s="42" t="inlineStr">
        <is>
          <t>서초벽산블루밍</t>
        </is>
      </c>
      <c r="G2128" s="41" t="inlineStr">
        <is>
          <t>84.3900</t>
        </is>
      </c>
      <c r="H2128" s="41" t="inlineStr">
        <is>
          <t>202507</t>
        </is>
      </c>
      <c r="I2128" s="41" t="inlineStr">
        <is>
          <t>18</t>
        </is>
      </c>
      <c r="J2128" s="41" t="inlineStr">
        <is>
          <t>188,000</t>
        </is>
      </c>
      <c r="K2128" s="41" t="inlineStr">
        <is>
          <t>102</t>
        </is>
      </c>
      <c r="L2128" s="41" t="inlineStr">
        <is>
          <t>3</t>
        </is>
      </c>
      <c r="M2128" s="42" t="inlineStr">
        <is>
          <t>개인</t>
        </is>
      </c>
      <c r="N2128" s="42" t="inlineStr">
        <is>
          <t>개인</t>
        </is>
      </c>
      <c r="O2128" s="41" t="inlineStr">
        <is>
          <t>2006</t>
        </is>
      </c>
      <c r="P2128" s="42" t="inlineStr">
        <is>
          <t>효령로74길 56</t>
        </is>
      </c>
      <c r="Q2128" s="41" t="inlineStr">
        <is>
          <t>-</t>
        </is>
      </c>
      <c r="R2128" s="42" t="inlineStr">
        <is>
          <t>중개거래</t>
        </is>
      </c>
      <c r="S2128" s="42" t="inlineStr">
        <is>
          <t>서울 강남구</t>
        </is>
      </c>
      <c r="T2128" s="41" t="inlineStr">
        <is>
          <t>25.08.29</t>
        </is>
      </c>
      <c r="U2128" s="42" t="inlineStr">
        <is>
          <t>아파트</t>
        </is>
      </c>
    </row>
    <row r="2129" hidden="1" ht="17.25" customHeight="1">
      <c r="A2129" s="41" t="n">
        <v>470</v>
      </c>
      <c r="B2129" s="42" t="inlineStr">
        <is>
          <t>서울특별시 서초구 서초동</t>
        </is>
      </c>
      <c r="C2129" s="41" t="inlineStr">
        <is>
          <t>1755</t>
        </is>
      </c>
      <c r="D2129" s="41" t="inlineStr">
        <is>
          <t>1755</t>
        </is>
      </c>
      <c r="E2129" s="41" t="inlineStr">
        <is>
          <t>0000</t>
        </is>
      </c>
      <c r="F2129" s="42" t="inlineStr">
        <is>
          <t>래미안 리더스원</t>
        </is>
      </c>
      <c r="G2129" s="41" t="inlineStr">
        <is>
          <t>114.9400</t>
        </is>
      </c>
      <c r="H2129" s="41" t="inlineStr">
        <is>
          <t>202507</t>
        </is>
      </c>
      <c r="I2129" s="41" t="inlineStr">
        <is>
          <t>17</t>
        </is>
      </c>
      <c r="J2129" s="41" t="inlineStr">
        <is>
          <t>440,000</t>
        </is>
      </c>
      <c r="K2129" s="41" t="inlineStr">
        <is>
          <t>107동</t>
        </is>
      </c>
      <c r="L2129" s="41" t="inlineStr">
        <is>
          <t>7</t>
        </is>
      </c>
      <c r="M2129" s="42" t="inlineStr">
        <is>
          <t>개인</t>
        </is>
      </c>
      <c r="N2129" s="42" t="inlineStr">
        <is>
          <t>개인</t>
        </is>
      </c>
      <c r="O2129" s="41" t="inlineStr">
        <is>
          <t>2020</t>
        </is>
      </c>
      <c r="P2129" s="42" t="inlineStr">
        <is>
          <t>서운로 62</t>
        </is>
      </c>
      <c r="Q2129" s="41" t="inlineStr">
        <is>
          <t>-</t>
        </is>
      </c>
      <c r="R2129" s="42" t="inlineStr">
        <is>
          <t>중개거래</t>
        </is>
      </c>
      <c r="S2129" s="42" t="inlineStr">
        <is>
          <t>서울 서초구</t>
        </is>
      </c>
      <c r="T2129" s="41" t="inlineStr">
        <is>
          <t>25.11.13</t>
        </is>
      </c>
      <c r="U2129" s="42" t="inlineStr">
        <is>
          <t>아파트</t>
        </is>
      </c>
    </row>
    <row r="2130" hidden="1" ht="17.25" customHeight="1">
      <c r="A2130" s="41" t="n">
        <v>471</v>
      </c>
      <c r="B2130" s="42" t="inlineStr">
        <is>
          <t>서울특별시 서초구 서초동</t>
        </is>
      </c>
      <c r="C2130" s="41" t="inlineStr">
        <is>
          <t>1755</t>
        </is>
      </c>
      <c r="D2130" s="41" t="inlineStr">
        <is>
          <t>1755</t>
        </is>
      </c>
      <c r="E2130" s="41" t="inlineStr">
        <is>
          <t>0000</t>
        </is>
      </c>
      <c r="F2130" s="42" t="inlineStr">
        <is>
          <t>래미안 리더스원</t>
        </is>
      </c>
      <c r="G2130" s="41" t="inlineStr">
        <is>
          <t>84.9300</t>
        </is>
      </c>
      <c r="H2130" s="41" t="inlineStr">
        <is>
          <t>202507</t>
        </is>
      </c>
      <c r="I2130" s="41" t="inlineStr">
        <is>
          <t>17</t>
        </is>
      </c>
      <c r="J2130" s="41" t="inlineStr">
        <is>
          <t>372,000</t>
        </is>
      </c>
      <c r="K2130" s="41" t="inlineStr">
        <is>
          <t>103동</t>
        </is>
      </c>
      <c r="L2130" s="41" t="inlineStr">
        <is>
          <t>10</t>
        </is>
      </c>
      <c r="M2130" s="42" t="inlineStr">
        <is>
          <t>개인</t>
        </is>
      </c>
      <c r="N2130" s="42" t="inlineStr">
        <is>
          <t>개인</t>
        </is>
      </c>
      <c r="O2130" s="41" t="inlineStr">
        <is>
          <t>2020</t>
        </is>
      </c>
      <c r="P2130" s="42" t="inlineStr">
        <is>
          <t>서운로 62</t>
        </is>
      </c>
      <c r="Q2130" s="41" t="inlineStr">
        <is>
          <t>-</t>
        </is>
      </c>
      <c r="R2130" s="42" t="inlineStr">
        <is>
          <t>중개거래</t>
        </is>
      </c>
      <c r="S2130" s="42" t="inlineStr">
        <is>
          <t>서울 서초구</t>
        </is>
      </c>
      <c r="T2130" s="41" t="inlineStr">
        <is>
          <t>25.09.24</t>
        </is>
      </c>
      <c r="U2130" s="42" t="inlineStr">
        <is>
          <t>아파트</t>
        </is>
      </c>
    </row>
    <row r="2131" hidden="1" ht="17.25" customHeight="1">
      <c r="A2131" s="41" t="n">
        <v>472</v>
      </c>
      <c r="B2131" s="42" t="inlineStr">
        <is>
          <t>서울특별시 서초구 서초동</t>
        </is>
      </c>
      <c r="C2131" s="41" t="inlineStr">
        <is>
          <t>1445-4</t>
        </is>
      </c>
      <c r="D2131" s="41" t="inlineStr">
        <is>
          <t>1445</t>
        </is>
      </c>
      <c r="E2131" s="41" t="inlineStr">
        <is>
          <t>0004</t>
        </is>
      </c>
      <c r="F2131" s="42" t="inlineStr">
        <is>
          <t>래미안서초유니빌</t>
        </is>
      </c>
      <c r="G2131" s="41" t="inlineStr">
        <is>
          <t>44.4470</t>
        </is>
      </c>
      <c r="H2131" s="41" t="inlineStr">
        <is>
          <t>202507</t>
        </is>
      </c>
      <c r="I2131" s="41" t="inlineStr">
        <is>
          <t>15</t>
        </is>
      </c>
      <c r="J2131" s="41" t="inlineStr">
        <is>
          <t>48,000</t>
        </is>
      </c>
      <c r="K2131" s="42" t="inlineStr">
        <is>
          <t>래미안 서초유니빌</t>
        </is>
      </c>
      <c r="L2131" s="41" t="inlineStr">
        <is>
          <t>10</t>
        </is>
      </c>
      <c r="M2131" s="42" t="inlineStr">
        <is>
          <t>개인</t>
        </is>
      </c>
      <c r="N2131" s="42" t="inlineStr">
        <is>
          <t>개인</t>
        </is>
      </c>
      <c r="O2131" s="41" t="inlineStr">
        <is>
          <t>2003</t>
        </is>
      </c>
      <c r="P2131" s="42" t="inlineStr">
        <is>
          <t>서초중앙로 26</t>
        </is>
      </c>
      <c r="Q2131" s="41" t="inlineStr">
        <is>
          <t>-</t>
        </is>
      </c>
      <c r="R2131" s="42" t="inlineStr">
        <is>
          <t>직거래</t>
        </is>
      </c>
      <c r="S2131" s="41" t="inlineStr">
        <is>
          <t>-</t>
        </is>
      </c>
      <c r="T2131" s="41" t="inlineStr">
        <is>
          <t>25.07.18</t>
        </is>
      </c>
      <c r="U2131" s="42" t="inlineStr">
        <is>
          <t>아파트</t>
        </is>
      </c>
    </row>
    <row r="2132" hidden="1" ht="17.25" customHeight="1">
      <c r="A2132" s="41" t="n">
        <v>473</v>
      </c>
      <c r="B2132" s="42" t="inlineStr">
        <is>
          <t>서울특별시 서초구 서초동</t>
        </is>
      </c>
      <c r="C2132" s="41" t="inlineStr">
        <is>
          <t>1684</t>
        </is>
      </c>
      <c r="D2132" s="41" t="inlineStr">
        <is>
          <t>1684</t>
        </is>
      </c>
      <c r="E2132" s="41" t="inlineStr">
        <is>
          <t>0000</t>
        </is>
      </c>
      <c r="F2132" s="42" t="inlineStr">
        <is>
          <t>서초4현대</t>
        </is>
      </c>
      <c r="G2132" s="41" t="inlineStr">
        <is>
          <t>140.0300</t>
        </is>
      </c>
      <c r="H2132" s="41" t="inlineStr">
        <is>
          <t>202507</t>
        </is>
      </c>
      <c r="I2132" s="41" t="inlineStr">
        <is>
          <t>14</t>
        </is>
      </c>
      <c r="J2132" s="41" t="inlineStr">
        <is>
          <t>290,000</t>
        </is>
      </c>
      <c r="K2132" s="41" t="inlineStr">
        <is>
          <t>201</t>
        </is>
      </c>
      <c r="L2132" s="41" t="inlineStr">
        <is>
          <t>7</t>
        </is>
      </c>
      <c r="M2132" s="42" t="inlineStr">
        <is>
          <t>개인</t>
        </is>
      </c>
      <c r="N2132" s="42" t="inlineStr">
        <is>
          <t>개인</t>
        </is>
      </c>
      <c r="O2132" s="41" t="inlineStr">
        <is>
          <t>2000</t>
        </is>
      </c>
      <c r="P2132" s="42" t="inlineStr">
        <is>
          <t>고무래로 94</t>
        </is>
      </c>
      <c r="Q2132" s="41" t="inlineStr">
        <is>
          <t>-</t>
        </is>
      </c>
      <c r="R2132" s="42" t="inlineStr">
        <is>
          <t>중개거래</t>
        </is>
      </c>
      <c r="S2132" s="42" t="inlineStr">
        <is>
          <t>서울 서초구, 서울 송파구</t>
        </is>
      </c>
      <c r="T2132" s="41" t="inlineStr">
        <is>
          <t>25.10.31</t>
        </is>
      </c>
      <c r="U2132" s="42" t="inlineStr">
        <is>
          <t>아파트</t>
        </is>
      </c>
    </row>
    <row r="2133" hidden="1" ht="17.25" customHeight="1">
      <c r="A2133" s="41" t="n">
        <v>474</v>
      </c>
      <c r="B2133" s="42" t="inlineStr">
        <is>
          <t>서울특별시 서초구 서초동</t>
        </is>
      </c>
      <c r="C2133" s="41" t="inlineStr">
        <is>
          <t>1434-2</t>
        </is>
      </c>
      <c r="D2133" s="41" t="inlineStr">
        <is>
          <t>1434</t>
        </is>
      </c>
      <c r="E2133" s="41" t="inlineStr">
        <is>
          <t>0002</t>
        </is>
      </c>
      <c r="F2133" s="42" t="inlineStr">
        <is>
          <t>신원아침도시(1434)</t>
        </is>
      </c>
      <c r="G2133" s="41" t="inlineStr">
        <is>
          <t>83.1390</t>
        </is>
      </c>
      <c r="H2133" s="41" t="inlineStr">
        <is>
          <t>202507</t>
        </is>
      </c>
      <c r="I2133" s="41" t="inlineStr">
        <is>
          <t>14</t>
        </is>
      </c>
      <c r="J2133" s="41" t="inlineStr">
        <is>
          <t>135,000</t>
        </is>
      </c>
      <c r="K2133" s="41" t="inlineStr">
        <is>
          <t>-</t>
        </is>
      </c>
      <c r="L2133" s="41" t="inlineStr">
        <is>
          <t>10</t>
        </is>
      </c>
      <c r="M2133" s="42" t="inlineStr">
        <is>
          <t>개인</t>
        </is>
      </c>
      <c r="N2133" s="42" t="inlineStr">
        <is>
          <t>개인</t>
        </is>
      </c>
      <c r="O2133" s="41" t="inlineStr">
        <is>
          <t>2004</t>
        </is>
      </c>
      <c r="P2133" s="42" t="inlineStr">
        <is>
          <t>남부순환로337가길 51-9</t>
        </is>
      </c>
      <c r="Q2133" s="41" t="inlineStr">
        <is>
          <t>-</t>
        </is>
      </c>
      <c r="R2133" s="42" t="inlineStr">
        <is>
          <t>중개거래</t>
        </is>
      </c>
      <c r="S2133" s="42" t="inlineStr">
        <is>
          <t>서울 관악구, 서울 서초구</t>
        </is>
      </c>
      <c r="T2133" s="41" t="inlineStr">
        <is>
          <t>25.09.22</t>
        </is>
      </c>
      <c r="U2133" s="42" t="inlineStr">
        <is>
          <t>아파트</t>
        </is>
      </c>
    </row>
    <row r="2134" hidden="1" ht="17.25" customHeight="1">
      <c r="A2134" s="41" t="n">
        <v>475</v>
      </c>
      <c r="B2134" s="42" t="inlineStr">
        <is>
          <t>서울특별시 서초구 서초동</t>
        </is>
      </c>
      <c r="C2134" s="41" t="inlineStr">
        <is>
          <t>1609-1</t>
        </is>
      </c>
      <c r="D2134" s="41" t="inlineStr">
        <is>
          <t>1609</t>
        </is>
      </c>
      <c r="E2134" s="41" t="inlineStr">
        <is>
          <t>0001</t>
        </is>
      </c>
      <c r="F2134" s="42" t="inlineStr">
        <is>
          <t>샹보르</t>
        </is>
      </c>
      <c r="G2134" s="41" t="inlineStr">
        <is>
          <t>192.5700</t>
        </is>
      </c>
      <c r="H2134" s="41" t="inlineStr">
        <is>
          <t>202507</t>
        </is>
      </c>
      <c r="I2134" s="41" t="inlineStr">
        <is>
          <t>13</t>
        </is>
      </c>
      <c r="J2134" s="41" t="inlineStr">
        <is>
          <t>238,000</t>
        </is>
      </c>
      <c r="K2134" s="41" t="inlineStr">
        <is>
          <t>-</t>
        </is>
      </c>
      <c r="L2134" s="41" t="inlineStr">
        <is>
          <t>6</t>
        </is>
      </c>
      <c r="M2134" s="42" t="inlineStr">
        <is>
          <t>개인</t>
        </is>
      </c>
      <c r="N2134" s="42" t="inlineStr">
        <is>
          <t>개인</t>
        </is>
      </c>
      <c r="O2134" s="41" t="inlineStr">
        <is>
          <t>2002</t>
        </is>
      </c>
      <c r="P2134" s="42" t="inlineStr">
        <is>
          <t>효령로67길 64</t>
        </is>
      </c>
      <c r="Q2134" s="41" t="inlineStr">
        <is>
          <t>-</t>
        </is>
      </c>
      <c r="R2134" s="42" t="inlineStr">
        <is>
          <t>중개거래</t>
        </is>
      </c>
      <c r="S2134" s="42" t="inlineStr">
        <is>
          <t>서울 강남구, 서울 서초구</t>
        </is>
      </c>
      <c r="T2134" s="41" t="inlineStr">
        <is>
          <t>25.08.29</t>
        </is>
      </c>
      <c r="U2134" s="42" t="inlineStr">
        <is>
          <t>아파트</t>
        </is>
      </c>
    </row>
    <row r="2135" hidden="1" ht="17.25" customHeight="1">
      <c r="A2135" s="41" t="n">
        <v>476</v>
      </c>
      <c r="B2135" s="42" t="inlineStr">
        <is>
          <t>서울특별시 서초구 서초동</t>
        </is>
      </c>
      <c r="C2135" s="41" t="inlineStr">
        <is>
          <t>1344-13</t>
        </is>
      </c>
      <c r="D2135" s="41" t="inlineStr">
        <is>
          <t>1344</t>
        </is>
      </c>
      <c r="E2135" s="41" t="inlineStr">
        <is>
          <t>0013</t>
        </is>
      </c>
      <c r="F2135" s="42" t="inlineStr">
        <is>
          <t>서초트라팰리스</t>
        </is>
      </c>
      <c r="G2135" s="41" t="inlineStr">
        <is>
          <t>81.7600</t>
        </is>
      </c>
      <c r="H2135" s="41" t="inlineStr">
        <is>
          <t>202507</t>
        </is>
      </c>
      <c r="I2135" s="41" t="inlineStr">
        <is>
          <t>13</t>
        </is>
      </c>
      <c r="J2135" s="41" t="inlineStr">
        <is>
          <t>159,000</t>
        </is>
      </c>
      <c r="K2135" s="41" t="inlineStr">
        <is>
          <t>A</t>
        </is>
      </c>
      <c r="L2135" s="41" t="inlineStr">
        <is>
          <t>21</t>
        </is>
      </c>
      <c r="M2135" s="42" t="inlineStr">
        <is>
          <t>개인</t>
        </is>
      </c>
      <c r="N2135" s="42" t="inlineStr">
        <is>
          <t>개인</t>
        </is>
      </c>
      <c r="O2135" s="41" t="inlineStr">
        <is>
          <t>2005</t>
        </is>
      </c>
      <c r="P2135" s="42" t="inlineStr">
        <is>
          <t>효령로72길 57</t>
        </is>
      </c>
      <c r="Q2135" s="41" t="inlineStr">
        <is>
          <t>-</t>
        </is>
      </c>
      <c r="R2135" s="42" t="inlineStr">
        <is>
          <t>중개거래</t>
        </is>
      </c>
      <c r="S2135" s="42" t="inlineStr">
        <is>
          <t>서울 강남구</t>
        </is>
      </c>
      <c r="T2135" s="41" t="inlineStr">
        <is>
          <t>25.10.28</t>
        </is>
      </c>
      <c r="U2135" s="42" t="inlineStr">
        <is>
          <t>아파트</t>
        </is>
      </c>
    </row>
    <row r="2136" hidden="1" ht="17.25" customHeight="1">
      <c r="A2136" s="41" t="n">
        <v>477</v>
      </c>
      <c r="B2136" s="42" t="inlineStr">
        <is>
          <t>서울특별시 서초구 서초동</t>
        </is>
      </c>
      <c r="C2136" s="41" t="inlineStr">
        <is>
          <t>1363-25</t>
        </is>
      </c>
      <c r="D2136" s="41" t="inlineStr">
        <is>
          <t>1363</t>
        </is>
      </c>
      <c r="E2136" s="41" t="inlineStr">
        <is>
          <t>0025</t>
        </is>
      </c>
      <c r="F2136" s="42" t="inlineStr">
        <is>
          <t>한라비발디스튜디오193</t>
        </is>
      </c>
      <c r="G2136" s="41" t="inlineStr">
        <is>
          <t>19.9900</t>
        </is>
      </c>
      <c r="H2136" s="41" t="inlineStr">
        <is>
          <t>202507</t>
        </is>
      </c>
      <c r="I2136" s="41" t="inlineStr">
        <is>
          <t>12</t>
        </is>
      </c>
      <c r="J2136" s="41" t="inlineStr">
        <is>
          <t>26,000</t>
        </is>
      </c>
      <c r="K2136" s="42" t="inlineStr">
        <is>
          <t>한라비발디스튜디오193</t>
        </is>
      </c>
      <c r="L2136" s="41" t="inlineStr">
        <is>
          <t>9</t>
        </is>
      </c>
      <c r="M2136" s="42" t="inlineStr">
        <is>
          <t>개인</t>
        </is>
      </c>
      <c r="N2136" s="42" t="inlineStr">
        <is>
          <t>개인</t>
        </is>
      </c>
      <c r="O2136" s="41" t="inlineStr">
        <is>
          <t>2013</t>
        </is>
      </c>
      <c r="P2136" s="42" t="inlineStr">
        <is>
          <t>강남대로39길 15-10</t>
        </is>
      </c>
      <c r="Q2136" s="41" t="inlineStr">
        <is>
          <t>-</t>
        </is>
      </c>
      <c r="R2136" s="42" t="inlineStr">
        <is>
          <t>중개거래</t>
        </is>
      </c>
      <c r="S2136" s="42" t="inlineStr">
        <is>
          <t>서울 서초구</t>
        </is>
      </c>
      <c r="T2136" s="41" t="inlineStr">
        <is>
          <t>25.07.16</t>
        </is>
      </c>
      <c r="U2136" s="42" t="inlineStr">
        <is>
          <t>아파트</t>
        </is>
      </c>
    </row>
    <row r="2137" hidden="1" ht="17.25" customHeight="1">
      <c r="A2137" s="41" t="n">
        <v>478</v>
      </c>
      <c r="B2137" s="42" t="inlineStr">
        <is>
          <t>서울특별시 서초구 서초동</t>
        </is>
      </c>
      <c r="C2137" s="41" t="inlineStr">
        <is>
          <t>1445-4</t>
        </is>
      </c>
      <c r="D2137" s="41" t="inlineStr">
        <is>
          <t>1445</t>
        </is>
      </c>
      <c r="E2137" s="41" t="inlineStr">
        <is>
          <t>0004</t>
        </is>
      </c>
      <c r="F2137" s="42" t="inlineStr">
        <is>
          <t>래미안서초유니빌</t>
        </is>
      </c>
      <c r="G2137" s="41" t="inlineStr">
        <is>
          <t>66.4150</t>
        </is>
      </c>
      <c r="H2137" s="41" t="inlineStr">
        <is>
          <t>202507</t>
        </is>
      </c>
      <c r="I2137" s="41" t="inlineStr">
        <is>
          <t>12</t>
        </is>
      </c>
      <c r="J2137" s="41" t="inlineStr">
        <is>
          <t>80,000</t>
        </is>
      </c>
      <c r="K2137" s="42" t="inlineStr">
        <is>
          <t>래미안 서초유니빌</t>
        </is>
      </c>
      <c r="L2137" s="41" t="inlineStr">
        <is>
          <t>16</t>
        </is>
      </c>
      <c r="M2137" s="42" t="inlineStr">
        <is>
          <t>개인</t>
        </is>
      </c>
      <c r="N2137" s="42" t="inlineStr">
        <is>
          <t>개인</t>
        </is>
      </c>
      <c r="O2137" s="41" t="inlineStr">
        <is>
          <t>2003</t>
        </is>
      </c>
      <c r="P2137" s="42" t="inlineStr">
        <is>
          <t>서초중앙로 26</t>
        </is>
      </c>
      <c r="Q2137" s="41" t="inlineStr">
        <is>
          <t>-</t>
        </is>
      </c>
      <c r="R2137" s="42" t="inlineStr">
        <is>
          <t>중개거래</t>
        </is>
      </c>
      <c r="S2137" s="42" t="inlineStr">
        <is>
          <t>서울 서초구</t>
        </is>
      </c>
      <c r="T2137" s="41" t="inlineStr">
        <is>
          <t>25.12.02</t>
        </is>
      </c>
      <c r="U2137" s="42" t="inlineStr">
        <is>
          <t>아파트</t>
        </is>
      </c>
    </row>
    <row r="2138" hidden="1" ht="17.25" customHeight="1">
      <c r="A2138" s="41" t="n">
        <v>479</v>
      </c>
      <c r="B2138" s="42" t="inlineStr">
        <is>
          <t>서울특별시 서초구 서초동</t>
        </is>
      </c>
      <c r="C2138" s="41" t="inlineStr">
        <is>
          <t>1685</t>
        </is>
      </c>
      <c r="D2138" s="41" t="inlineStr">
        <is>
          <t>1685</t>
        </is>
      </c>
      <c r="E2138" s="41" t="inlineStr">
        <is>
          <t>0000</t>
        </is>
      </c>
      <c r="F2138" s="42" t="inlineStr">
        <is>
          <t>삼풍아파트</t>
        </is>
      </c>
      <c r="G2138" s="41" t="inlineStr">
        <is>
          <t>79.4700</t>
        </is>
      </c>
      <c r="H2138" s="41" t="inlineStr">
        <is>
          <t>202507</t>
        </is>
      </c>
      <c r="I2138" s="41" t="inlineStr">
        <is>
          <t>12</t>
        </is>
      </c>
      <c r="J2138" s="41" t="inlineStr">
        <is>
          <t>330,000</t>
        </is>
      </c>
      <c r="K2138" s="41" t="inlineStr">
        <is>
          <t>5</t>
        </is>
      </c>
      <c r="L2138" s="41" t="inlineStr">
        <is>
          <t>8</t>
        </is>
      </c>
      <c r="M2138" s="42" t="inlineStr">
        <is>
          <t>개인</t>
        </is>
      </c>
      <c r="N2138" s="42" t="inlineStr">
        <is>
          <t>개인</t>
        </is>
      </c>
      <c r="O2138" s="41" t="inlineStr">
        <is>
          <t>1988</t>
        </is>
      </c>
      <c r="P2138" s="42" t="inlineStr">
        <is>
          <t>서초중앙로 200</t>
        </is>
      </c>
      <c r="Q2138" s="41" t="inlineStr">
        <is>
          <t>-</t>
        </is>
      </c>
      <c r="R2138" s="42" t="inlineStr">
        <is>
          <t>중개거래</t>
        </is>
      </c>
      <c r="S2138" s="42" t="inlineStr">
        <is>
          <t>서울 강남구, 서울 서초구</t>
        </is>
      </c>
      <c r="T2138" s="41" t="inlineStr">
        <is>
          <t>25.10.30</t>
        </is>
      </c>
      <c r="U2138" s="42" t="inlineStr">
        <is>
          <t>아파트</t>
        </is>
      </c>
    </row>
    <row r="2139" hidden="1" ht="17.25" customHeight="1">
      <c r="A2139" s="41" t="n">
        <v>480</v>
      </c>
      <c r="B2139" s="42" t="inlineStr">
        <is>
          <t>서울특별시 서초구 서초동</t>
        </is>
      </c>
      <c r="C2139" s="41" t="inlineStr">
        <is>
          <t>1420-18</t>
        </is>
      </c>
      <c r="D2139" s="41" t="inlineStr">
        <is>
          <t>1420</t>
        </is>
      </c>
      <c r="E2139" s="41" t="inlineStr">
        <is>
          <t>0018</t>
        </is>
      </c>
      <c r="F2139" s="42" t="inlineStr">
        <is>
          <t>신원아침도시(1420)</t>
        </is>
      </c>
      <c r="G2139" s="41" t="inlineStr">
        <is>
          <t>84.3400</t>
        </is>
      </c>
      <c r="H2139" s="41" t="inlineStr">
        <is>
          <t>202507</t>
        </is>
      </c>
      <c r="I2139" s="41" t="inlineStr">
        <is>
          <t>12</t>
        </is>
      </c>
      <c r="J2139" s="41" t="inlineStr">
        <is>
          <t>180,000</t>
        </is>
      </c>
      <c r="K2139" s="41" t="inlineStr">
        <is>
          <t>102</t>
        </is>
      </c>
      <c r="L2139" s="41" t="inlineStr">
        <is>
          <t>12</t>
        </is>
      </c>
      <c r="M2139" s="42" t="inlineStr">
        <is>
          <t>개인</t>
        </is>
      </c>
      <c r="N2139" s="42" t="inlineStr">
        <is>
          <t>개인</t>
        </is>
      </c>
      <c r="O2139" s="41" t="inlineStr">
        <is>
          <t>2005</t>
        </is>
      </c>
      <c r="P2139" s="42" t="inlineStr">
        <is>
          <t>남부순환로337가길 52</t>
        </is>
      </c>
      <c r="Q2139" s="41" t="inlineStr">
        <is>
          <t>-</t>
        </is>
      </c>
      <c r="R2139" s="42" t="inlineStr">
        <is>
          <t>중개거래</t>
        </is>
      </c>
      <c r="S2139" s="42" t="inlineStr">
        <is>
          <t>서울 서초구</t>
        </is>
      </c>
      <c r="T2139" s="41" t="inlineStr">
        <is>
          <t>25.09.10</t>
        </is>
      </c>
      <c r="U2139" s="42" t="inlineStr">
        <is>
          <t>아파트</t>
        </is>
      </c>
    </row>
    <row r="2140" hidden="1" ht="17.25" customHeight="1">
      <c r="A2140" s="41" t="n">
        <v>481</v>
      </c>
      <c r="B2140" s="42" t="inlineStr">
        <is>
          <t>서울특별시 서초구 서초동</t>
        </is>
      </c>
      <c r="C2140" s="41" t="inlineStr">
        <is>
          <t>1757</t>
        </is>
      </c>
      <c r="D2140" s="41" t="inlineStr">
        <is>
          <t>1757</t>
        </is>
      </c>
      <c r="E2140" s="41" t="inlineStr">
        <is>
          <t>0000</t>
        </is>
      </c>
      <c r="F2140" s="42" t="inlineStr">
        <is>
          <t>서초그랑자이</t>
        </is>
      </c>
      <c r="G2140" s="41" t="inlineStr">
        <is>
          <t>84.5100</t>
        </is>
      </c>
      <c r="H2140" s="41" t="inlineStr">
        <is>
          <t>202507</t>
        </is>
      </c>
      <c r="I2140" s="41" t="inlineStr">
        <is>
          <t>11</t>
        </is>
      </c>
      <c r="J2140" s="41" t="inlineStr">
        <is>
          <t>419,000</t>
        </is>
      </c>
      <c r="K2140" s="41" t="inlineStr">
        <is>
          <t>109동</t>
        </is>
      </c>
      <c r="L2140" s="41" t="inlineStr">
        <is>
          <t>15</t>
        </is>
      </c>
      <c r="M2140" s="42" t="inlineStr">
        <is>
          <t>개인</t>
        </is>
      </c>
      <c r="N2140" s="42" t="inlineStr">
        <is>
          <t>개인</t>
        </is>
      </c>
      <c r="O2140" s="41" t="inlineStr">
        <is>
          <t>2021</t>
        </is>
      </c>
      <c r="P2140" s="42" t="inlineStr">
        <is>
          <t>효령로 391</t>
        </is>
      </c>
      <c r="Q2140" s="41" t="inlineStr">
        <is>
          <t>-</t>
        </is>
      </c>
      <c r="R2140" s="42" t="inlineStr">
        <is>
          <t>중개거래</t>
        </is>
      </c>
      <c r="S2140" s="42" t="inlineStr">
        <is>
          <t>서울 서초구, 서울 송파구</t>
        </is>
      </c>
      <c r="T2140" s="41" t="inlineStr">
        <is>
          <t>25.09.15</t>
        </is>
      </c>
      <c r="U2140" s="42" t="inlineStr">
        <is>
          <t>아파트</t>
        </is>
      </c>
    </row>
    <row r="2141" hidden="1" ht="17.25" customHeight="1">
      <c r="A2141" s="41" t="n">
        <v>482</v>
      </c>
      <c r="B2141" s="42" t="inlineStr">
        <is>
          <t>서울특별시 서초구 서초동</t>
        </is>
      </c>
      <c r="C2141" s="41" t="inlineStr">
        <is>
          <t>1467-3</t>
        </is>
      </c>
      <c r="D2141" s="41" t="inlineStr">
        <is>
          <t>1467</t>
        </is>
      </c>
      <c r="E2141" s="41" t="inlineStr">
        <is>
          <t>0003</t>
        </is>
      </c>
      <c r="F2141" s="42" t="inlineStr">
        <is>
          <t>서초대우</t>
        </is>
      </c>
      <c r="G2141" s="41" t="inlineStr">
        <is>
          <t>186.0500</t>
        </is>
      </c>
      <c r="H2141" s="41" t="inlineStr">
        <is>
          <t>202507</t>
        </is>
      </c>
      <c r="I2141" s="41" t="inlineStr">
        <is>
          <t>11</t>
        </is>
      </c>
      <c r="J2141" s="41" t="inlineStr">
        <is>
          <t>200,000</t>
        </is>
      </c>
      <c r="K2141" s="41" t="inlineStr">
        <is>
          <t>-</t>
        </is>
      </c>
      <c r="L2141" s="41" t="inlineStr">
        <is>
          <t>6</t>
        </is>
      </c>
      <c r="M2141" s="42" t="inlineStr">
        <is>
          <t>개인</t>
        </is>
      </c>
      <c r="N2141" s="42" t="inlineStr">
        <is>
          <t>개인</t>
        </is>
      </c>
      <c r="O2141" s="41" t="inlineStr">
        <is>
          <t>2000</t>
        </is>
      </c>
      <c r="P2141" s="42" t="inlineStr">
        <is>
          <t>명달로 20</t>
        </is>
      </c>
      <c r="Q2141" s="41" t="inlineStr">
        <is>
          <t>-</t>
        </is>
      </c>
      <c r="R2141" s="42" t="inlineStr">
        <is>
          <t>중개거래</t>
        </is>
      </c>
      <c r="S2141" s="42" t="inlineStr">
        <is>
          <t>서울 서초구</t>
        </is>
      </c>
      <c r="T2141" s="41" t="inlineStr">
        <is>
          <t>25.10.20</t>
        </is>
      </c>
      <c r="U2141" s="42" t="inlineStr">
        <is>
          <t>아파트</t>
        </is>
      </c>
    </row>
    <row r="2142" hidden="1" ht="17.25" customHeight="1">
      <c r="A2142" s="41" t="n">
        <v>483</v>
      </c>
      <c r="B2142" s="42" t="inlineStr">
        <is>
          <t>서울특별시 서초구 서초동</t>
        </is>
      </c>
      <c r="C2142" s="41" t="inlineStr">
        <is>
          <t>1311-10</t>
        </is>
      </c>
      <c r="D2142" s="41" t="inlineStr">
        <is>
          <t>1311</t>
        </is>
      </c>
      <c r="E2142" s="41" t="inlineStr">
        <is>
          <t>0010</t>
        </is>
      </c>
      <c r="F2142" s="42" t="inlineStr">
        <is>
          <t>서초푸르지오써밋</t>
        </is>
      </c>
      <c r="G2142" s="41" t="inlineStr">
        <is>
          <t>59.6200</t>
        </is>
      </c>
      <c r="H2142" s="41" t="inlineStr">
        <is>
          <t>202507</t>
        </is>
      </c>
      <c r="I2142" s="41" t="inlineStr">
        <is>
          <t>11</t>
        </is>
      </c>
      <c r="J2142" s="41" t="inlineStr">
        <is>
          <t>323,000</t>
        </is>
      </c>
      <c r="K2142" s="41" t="inlineStr">
        <is>
          <t>102</t>
        </is>
      </c>
      <c r="L2142" s="41" t="inlineStr">
        <is>
          <t>33</t>
        </is>
      </c>
      <c r="M2142" s="42" t="inlineStr">
        <is>
          <t>개인</t>
        </is>
      </c>
      <c r="N2142" s="42" t="inlineStr">
        <is>
          <t>개인</t>
        </is>
      </c>
      <c r="O2142" s="41" t="inlineStr">
        <is>
          <t>2017</t>
        </is>
      </c>
      <c r="P2142" s="42" t="inlineStr">
        <is>
          <t>서운로 201</t>
        </is>
      </c>
      <c r="Q2142" s="41" t="inlineStr">
        <is>
          <t>-</t>
        </is>
      </c>
      <c r="R2142" s="42" t="inlineStr">
        <is>
          <t>중개거래</t>
        </is>
      </c>
      <c r="S2142" s="42" t="inlineStr">
        <is>
          <t>서울 강남구, 서울 서초구</t>
        </is>
      </c>
      <c r="T2142" s="41" t="inlineStr">
        <is>
          <t>25.09.26</t>
        </is>
      </c>
      <c r="U2142" s="42" t="inlineStr">
        <is>
          <t>아파트</t>
        </is>
      </c>
    </row>
    <row r="2143" hidden="1" ht="17.25" customHeight="1">
      <c r="A2143" s="41" t="n">
        <v>484</v>
      </c>
      <c r="B2143" s="42" t="inlineStr">
        <is>
          <t>서울특별시 서초구 서초동</t>
        </is>
      </c>
      <c r="C2143" s="41" t="inlineStr">
        <is>
          <t>1641-3</t>
        </is>
      </c>
      <c r="D2143" s="41" t="inlineStr">
        <is>
          <t>1641</t>
        </is>
      </c>
      <c r="E2143" s="41" t="inlineStr">
        <is>
          <t>0003</t>
        </is>
      </c>
      <c r="F2143" s="42" t="inlineStr">
        <is>
          <t>대성유니드</t>
        </is>
      </c>
      <c r="G2143" s="41" t="inlineStr">
        <is>
          <t>122.1110</t>
        </is>
      </c>
      <c r="H2143" s="41" t="inlineStr">
        <is>
          <t>202507</t>
        </is>
      </c>
      <c r="I2143" s="41" t="inlineStr">
        <is>
          <t>10</t>
        </is>
      </c>
      <c r="J2143" s="41" t="inlineStr">
        <is>
          <t>225,000</t>
        </is>
      </c>
      <c r="K2143" s="41" t="inlineStr">
        <is>
          <t>101</t>
        </is>
      </c>
      <c r="L2143" s="41" t="inlineStr">
        <is>
          <t>5</t>
        </is>
      </c>
      <c r="M2143" s="42" t="inlineStr">
        <is>
          <t>개인</t>
        </is>
      </c>
      <c r="N2143" s="42" t="inlineStr">
        <is>
          <t>개인</t>
        </is>
      </c>
      <c r="O2143" s="41" t="inlineStr">
        <is>
          <t>2004</t>
        </is>
      </c>
      <c r="P2143" s="42" t="inlineStr">
        <is>
          <t>서초대로64길 36</t>
        </is>
      </c>
      <c r="Q2143" s="41" t="inlineStr">
        <is>
          <t>-</t>
        </is>
      </c>
      <c r="R2143" s="42" t="inlineStr">
        <is>
          <t>중개거래</t>
        </is>
      </c>
      <c r="S2143" s="42" t="inlineStr">
        <is>
          <t>서울 서초구</t>
        </is>
      </c>
      <c r="T2143" s="41" t="inlineStr">
        <is>
          <t>25.09.12</t>
        </is>
      </c>
      <c r="U2143" s="42" t="inlineStr">
        <is>
          <t>아파트</t>
        </is>
      </c>
    </row>
    <row r="2144" hidden="1" ht="17.25" customHeight="1">
      <c r="A2144" s="41" t="n">
        <v>485</v>
      </c>
      <c r="B2144" s="42" t="inlineStr">
        <is>
          <t>서울특별시 서초구 서초동</t>
        </is>
      </c>
      <c r="C2144" s="41" t="inlineStr">
        <is>
          <t>1685-3</t>
        </is>
      </c>
      <c r="D2144" s="41" t="inlineStr">
        <is>
          <t>1685</t>
        </is>
      </c>
      <c r="E2144" s="41" t="inlineStr">
        <is>
          <t>0003</t>
        </is>
      </c>
      <c r="F2144" s="42" t="inlineStr">
        <is>
          <t>아크로비스타</t>
        </is>
      </c>
      <c r="G2144" s="41" t="inlineStr">
        <is>
          <t>220.5500</t>
        </is>
      </c>
      <c r="H2144" s="41" t="inlineStr">
        <is>
          <t>202507</t>
        </is>
      </c>
      <c r="I2144" s="41" t="inlineStr">
        <is>
          <t>10</t>
        </is>
      </c>
      <c r="J2144" s="41" t="inlineStr">
        <is>
          <t>480,000</t>
        </is>
      </c>
      <c r="K2144" s="41" t="inlineStr">
        <is>
          <t>C</t>
        </is>
      </c>
      <c r="L2144" s="41" t="inlineStr">
        <is>
          <t>7</t>
        </is>
      </c>
      <c r="M2144" s="42" t="inlineStr">
        <is>
          <t>개인</t>
        </is>
      </c>
      <c r="N2144" s="42" t="inlineStr">
        <is>
          <t>개인</t>
        </is>
      </c>
      <c r="O2144" s="41" t="inlineStr">
        <is>
          <t>2004</t>
        </is>
      </c>
      <c r="P2144" s="42" t="inlineStr">
        <is>
          <t>서초중앙로 188</t>
        </is>
      </c>
      <c r="Q2144" s="41" t="inlineStr">
        <is>
          <t>-</t>
        </is>
      </c>
      <c r="R2144" s="42" t="inlineStr">
        <is>
          <t>중개거래</t>
        </is>
      </c>
      <c r="S2144" s="42" t="inlineStr">
        <is>
          <t>서울 서초구, 서울 용산구</t>
        </is>
      </c>
      <c r="T2144" s="41" t="inlineStr">
        <is>
          <t>25.08.28</t>
        </is>
      </c>
      <c r="U2144" s="42" t="inlineStr">
        <is>
          <t>아파트</t>
        </is>
      </c>
    </row>
    <row r="2145" hidden="1" ht="17.25" customHeight="1">
      <c r="A2145" s="41" t="n">
        <v>486</v>
      </c>
      <c r="B2145" s="42" t="inlineStr">
        <is>
          <t>서울특별시 서초구 서초동</t>
        </is>
      </c>
      <c r="C2145" s="41" t="inlineStr">
        <is>
          <t>1445-14</t>
        </is>
      </c>
      <c r="D2145" s="41" t="inlineStr">
        <is>
          <t>1445</t>
        </is>
      </c>
      <c r="E2145" s="41" t="inlineStr">
        <is>
          <t>0014</t>
        </is>
      </c>
      <c r="F2145" s="42" t="inlineStr">
        <is>
          <t>더샵서초</t>
        </is>
      </c>
      <c r="G2145" s="41" t="inlineStr">
        <is>
          <t>136.0200</t>
        </is>
      </c>
      <c r="H2145" s="41" t="inlineStr">
        <is>
          <t>202507</t>
        </is>
      </c>
      <c r="I2145" s="41" t="inlineStr">
        <is>
          <t>10</t>
        </is>
      </c>
      <c r="J2145" s="41" t="inlineStr">
        <is>
          <t>230,000</t>
        </is>
      </c>
      <c r="K2145" s="41" t="inlineStr">
        <is>
          <t>101</t>
        </is>
      </c>
      <c r="L2145" s="41" t="inlineStr">
        <is>
          <t>14</t>
        </is>
      </c>
      <c r="M2145" s="42" t="inlineStr">
        <is>
          <t>개인</t>
        </is>
      </c>
      <c r="N2145" s="42" t="inlineStr">
        <is>
          <t>개인</t>
        </is>
      </c>
      <c r="O2145" s="41" t="inlineStr">
        <is>
          <t>2006</t>
        </is>
      </c>
      <c r="P2145" s="42" t="inlineStr">
        <is>
          <t>서초중앙로2길 21</t>
        </is>
      </c>
      <c r="Q2145" s="41" t="inlineStr">
        <is>
          <t>-</t>
        </is>
      </c>
      <c r="R2145" s="42" t="inlineStr">
        <is>
          <t>중개거래</t>
        </is>
      </c>
      <c r="S2145" s="42" t="inlineStr">
        <is>
          <t>서울 서초구</t>
        </is>
      </c>
      <c r="T2145" s="41" t="inlineStr">
        <is>
          <t>25.08.11</t>
        </is>
      </c>
      <c r="U2145" s="42" t="inlineStr">
        <is>
          <t>아파트</t>
        </is>
      </c>
    </row>
    <row r="2146" hidden="1" ht="17.25" customHeight="1">
      <c r="A2146" s="41" t="n">
        <v>487</v>
      </c>
      <c r="B2146" s="42" t="inlineStr">
        <is>
          <t>서울특별시 서초구 서초동</t>
        </is>
      </c>
      <c r="C2146" s="41" t="inlineStr">
        <is>
          <t>1445-13</t>
        </is>
      </c>
      <c r="D2146" s="41" t="inlineStr">
        <is>
          <t>1445</t>
        </is>
      </c>
      <c r="E2146" s="41" t="inlineStr">
        <is>
          <t>0013</t>
        </is>
      </c>
      <c r="F2146" s="42" t="inlineStr">
        <is>
          <t>서초쌍용플래티넘</t>
        </is>
      </c>
      <c r="G2146" s="41" t="inlineStr">
        <is>
          <t>82.4600</t>
        </is>
      </c>
      <c r="H2146" s="41" t="inlineStr">
        <is>
          <t>202507</t>
        </is>
      </c>
      <c r="I2146" s="41" t="inlineStr">
        <is>
          <t>09</t>
        </is>
      </c>
      <c r="J2146" s="41" t="inlineStr">
        <is>
          <t>129,000</t>
        </is>
      </c>
      <c r="K2146" s="42" t="inlineStr">
        <is>
          <t>서초쌍용플래티넘</t>
        </is>
      </c>
      <c r="L2146" s="41" t="inlineStr">
        <is>
          <t>16</t>
        </is>
      </c>
      <c r="M2146" s="42" t="inlineStr">
        <is>
          <t>개인</t>
        </is>
      </c>
      <c r="N2146" s="42" t="inlineStr">
        <is>
          <t>개인</t>
        </is>
      </c>
      <c r="O2146" s="41" t="inlineStr">
        <is>
          <t>2006</t>
        </is>
      </c>
      <c r="P2146" s="42" t="inlineStr">
        <is>
          <t>서초중앙로 18</t>
        </is>
      </c>
      <c r="Q2146" s="41" t="inlineStr">
        <is>
          <t>-</t>
        </is>
      </c>
      <c r="R2146" s="42" t="inlineStr">
        <is>
          <t>중개거래</t>
        </is>
      </c>
      <c r="S2146" s="42" t="inlineStr">
        <is>
          <t>서울 강남구, 서울 서초구</t>
        </is>
      </c>
      <c r="T2146" s="41" t="inlineStr">
        <is>
          <t>25.10.14</t>
        </is>
      </c>
      <c r="U2146" s="42" t="inlineStr">
        <is>
          <t>아파트</t>
        </is>
      </c>
    </row>
    <row r="2147" ht="17.25" customHeight="1">
      <c r="A2147" s="41" t="n">
        <v>488</v>
      </c>
      <c r="B2147" s="42" t="inlineStr">
        <is>
          <t>서울특별시 서초구 서초동</t>
        </is>
      </c>
      <c r="C2147" s="41" t="inlineStr">
        <is>
          <t>1454-29</t>
        </is>
      </c>
      <c r="D2147" s="41" t="inlineStr">
        <is>
          <t>1454</t>
        </is>
      </c>
      <c r="E2147" s="41" t="inlineStr">
        <is>
          <t>0029</t>
        </is>
      </c>
      <c r="F2147" s="42" t="inlineStr">
        <is>
          <t>서초한신</t>
        </is>
      </c>
      <c r="G2147" s="41" t="inlineStr">
        <is>
          <t>85.0000</t>
        </is>
      </c>
      <c r="H2147" s="41" t="inlineStr">
        <is>
          <t>202507</t>
        </is>
      </c>
      <c r="I2147" s="41" t="inlineStr">
        <is>
          <t>09</t>
        </is>
      </c>
      <c r="J2147" s="41" t="inlineStr">
        <is>
          <t>180,000</t>
        </is>
      </c>
      <c r="K2147" s="41" t="inlineStr">
        <is>
          <t>101</t>
        </is>
      </c>
      <c r="L2147" s="41" t="inlineStr">
        <is>
          <t>7</t>
        </is>
      </c>
      <c r="M2147" s="42" t="inlineStr">
        <is>
          <t>개인</t>
        </is>
      </c>
      <c r="N2147" s="42" t="inlineStr">
        <is>
          <t>개인</t>
        </is>
      </c>
      <c r="O2147" s="41" t="inlineStr">
        <is>
          <t>2001</t>
        </is>
      </c>
      <c r="P2147" s="42" t="inlineStr">
        <is>
          <t>남부순환로323길 38-15</t>
        </is>
      </c>
      <c r="Q2147" s="41" t="inlineStr">
        <is>
          <t>-</t>
        </is>
      </c>
      <c r="R2147" s="42" t="inlineStr">
        <is>
          <t>중개거래</t>
        </is>
      </c>
      <c r="S2147" s="42" t="inlineStr">
        <is>
          <t>서울 서초구</t>
        </is>
      </c>
      <c r="T2147" s="41" t="inlineStr">
        <is>
          <t>25.09.11</t>
        </is>
      </c>
      <c r="U2147" s="42" t="inlineStr">
        <is>
          <t>아파트</t>
        </is>
      </c>
    </row>
    <row r="2148" hidden="1" ht="17.25" customHeight="1">
      <c r="A2148" s="41" t="n">
        <v>489</v>
      </c>
      <c r="B2148" s="42" t="inlineStr">
        <is>
          <t>서울특별시 서초구 서초동</t>
        </is>
      </c>
      <c r="C2148" s="41" t="inlineStr">
        <is>
          <t>1685</t>
        </is>
      </c>
      <c r="D2148" s="41" t="inlineStr">
        <is>
          <t>1685</t>
        </is>
      </c>
      <c r="E2148" s="41" t="inlineStr">
        <is>
          <t>0000</t>
        </is>
      </c>
      <c r="F2148" s="42" t="inlineStr">
        <is>
          <t>삼풍아파트</t>
        </is>
      </c>
      <c r="G2148" s="41" t="inlineStr">
        <is>
          <t>79.4700</t>
        </is>
      </c>
      <c r="H2148" s="41" t="inlineStr">
        <is>
          <t>202507</t>
        </is>
      </c>
      <c r="I2148" s="41" t="inlineStr">
        <is>
          <t>09</t>
        </is>
      </c>
      <c r="J2148" s="41" t="inlineStr">
        <is>
          <t>343,000</t>
        </is>
      </c>
      <c r="K2148" s="41" t="inlineStr">
        <is>
          <t>3</t>
        </is>
      </c>
      <c r="L2148" s="41" t="inlineStr">
        <is>
          <t>3</t>
        </is>
      </c>
      <c r="M2148" s="42" t="inlineStr">
        <is>
          <t>개인</t>
        </is>
      </c>
      <c r="N2148" s="42" t="inlineStr">
        <is>
          <t>개인</t>
        </is>
      </c>
      <c r="O2148" s="41" t="inlineStr">
        <is>
          <t>1988</t>
        </is>
      </c>
      <c r="P2148" s="42" t="inlineStr">
        <is>
          <t>서초중앙로 200</t>
        </is>
      </c>
      <c r="Q2148" s="41" t="inlineStr">
        <is>
          <t>-</t>
        </is>
      </c>
      <c r="R2148" s="42" t="inlineStr">
        <is>
          <t>중개거래</t>
        </is>
      </c>
      <c r="S2148" s="42" t="inlineStr">
        <is>
          <t>서울 서초구</t>
        </is>
      </c>
      <c r="T2148" s="41" t="inlineStr">
        <is>
          <t>25.10.30</t>
        </is>
      </c>
      <c r="U2148" s="42" t="inlineStr">
        <is>
          <t>아파트</t>
        </is>
      </c>
    </row>
    <row r="2149" hidden="1" ht="17.25" customHeight="1">
      <c r="A2149" s="41" t="n">
        <v>490</v>
      </c>
      <c r="B2149" s="42" t="inlineStr">
        <is>
          <t>서울특별시 서초구 서초동</t>
        </is>
      </c>
      <c r="C2149" s="41" t="inlineStr">
        <is>
          <t>1685</t>
        </is>
      </c>
      <c r="D2149" s="41" t="inlineStr">
        <is>
          <t>1685</t>
        </is>
      </c>
      <c r="E2149" s="41" t="inlineStr">
        <is>
          <t>0000</t>
        </is>
      </c>
      <c r="F2149" s="42" t="inlineStr">
        <is>
          <t>삼풍아파트</t>
        </is>
      </c>
      <c r="G2149" s="41" t="inlineStr">
        <is>
          <t>79.4700</t>
        </is>
      </c>
      <c r="H2149" s="41" t="inlineStr">
        <is>
          <t>202507</t>
        </is>
      </c>
      <c r="I2149" s="41" t="inlineStr">
        <is>
          <t>09</t>
        </is>
      </c>
      <c r="J2149" s="41" t="inlineStr">
        <is>
          <t>343,000</t>
        </is>
      </c>
      <c r="K2149" s="41" t="inlineStr">
        <is>
          <t>-</t>
        </is>
      </c>
      <c r="L2149" s="41" t="inlineStr">
        <is>
          <t>3</t>
        </is>
      </c>
      <c r="M2149" s="42" t="inlineStr">
        <is>
          <t>개인</t>
        </is>
      </c>
      <c r="N2149" s="42" t="inlineStr">
        <is>
          <t>개인</t>
        </is>
      </c>
      <c r="O2149" s="41" t="inlineStr">
        <is>
          <t>1988</t>
        </is>
      </c>
      <c r="P2149" s="42" t="inlineStr">
        <is>
          <t>서초중앙로 200</t>
        </is>
      </c>
      <c r="Q2149" s="41" t="inlineStr">
        <is>
          <t>20250825</t>
        </is>
      </c>
      <c r="R2149" s="42" t="inlineStr">
        <is>
          <t>중개거래</t>
        </is>
      </c>
      <c r="S2149" s="42" t="inlineStr">
        <is>
          <t>서울 서초구</t>
        </is>
      </c>
      <c r="T2149" s="41" t="inlineStr">
        <is>
          <t>-</t>
        </is>
      </c>
      <c r="U2149" s="42" t="inlineStr">
        <is>
          <t>아파트</t>
        </is>
      </c>
    </row>
    <row r="2150" hidden="1" ht="17.25" customHeight="1">
      <c r="A2150" s="41" t="n">
        <v>491</v>
      </c>
      <c r="B2150" s="42" t="inlineStr">
        <is>
          <t>서울특별시 서초구 서초동</t>
        </is>
      </c>
      <c r="C2150" s="41" t="inlineStr">
        <is>
          <t>1609-6</t>
        </is>
      </c>
      <c r="D2150" s="41" t="inlineStr">
        <is>
          <t>1609</t>
        </is>
      </c>
      <c r="E2150" s="41" t="inlineStr">
        <is>
          <t>0006</t>
        </is>
      </c>
      <c r="F2150" s="42" t="inlineStr">
        <is>
          <t>두진한아름</t>
        </is>
      </c>
      <c r="G2150" s="41" t="inlineStr">
        <is>
          <t>84.9600</t>
        </is>
      </c>
      <c r="H2150" s="41" t="inlineStr">
        <is>
          <t>202507</t>
        </is>
      </c>
      <c r="I2150" s="41" t="inlineStr">
        <is>
          <t>09</t>
        </is>
      </c>
      <c r="J2150" s="41" t="inlineStr">
        <is>
          <t>155,000</t>
        </is>
      </c>
      <c r="K2150" s="41" t="inlineStr">
        <is>
          <t>-</t>
        </is>
      </c>
      <c r="L2150" s="41" t="inlineStr">
        <is>
          <t>6</t>
        </is>
      </c>
      <c r="M2150" s="42" t="inlineStr">
        <is>
          <t>개인</t>
        </is>
      </c>
      <c r="N2150" s="42" t="inlineStr">
        <is>
          <t>개인</t>
        </is>
      </c>
      <c r="O2150" s="41" t="inlineStr">
        <is>
          <t>1995</t>
        </is>
      </c>
      <c r="P2150" s="42" t="inlineStr">
        <is>
          <t>효령로67길 52</t>
        </is>
      </c>
      <c r="Q2150" s="41" t="inlineStr">
        <is>
          <t>-</t>
        </is>
      </c>
      <c r="R2150" s="42" t="inlineStr">
        <is>
          <t>중개거래</t>
        </is>
      </c>
      <c r="S2150" s="42" t="inlineStr">
        <is>
          <t>서울 서초구</t>
        </is>
      </c>
      <c r="T2150" s="41" t="inlineStr">
        <is>
          <t>25.09.12</t>
        </is>
      </c>
      <c r="U2150" s="42" t="inlineStr">
        <is>
          <t>아파트</t>
        </is>
      </c>
    </row>
    <row r="2151" hidden="1" ht="17.25" customHeight="1">
      <c r="A2151" s="41" t="n">
        <v>492</v>
      </c>
      <c r="B2151" s="42" t="inlineStr">
        <is>
          <t>서울특별시 서초구 서초동</t>
        </is>
      </c>
      <c r="C2151" s="41" t="inlineStr">
        <is>
          <t>1510-15</t>
        </is>
      </c>
      <c r="D2151" s="41" t="inlineStr">
        <is>
          <t>1510</t>
        </is>
      </c>
      <c r="E2151" s="41" t="inlineStr">
        <is>
          <t>0015</t>
        </is>
      </c>
      <c r="F2151" s="42" t="inlineStr">
        <is>
          <t>서초화원그랑빌</t>
        </is>
      </c>
      <c r="G2151" s="41" t="inlineStr">
        <is>
          <t>68.3600</t>
        </is>
      </c>
      <c r="H2151" s="41" t="inlineStr">
        <is>
          <t>202507</t>
        </is>
      </c>
      <c r="I2151" s="41" t="inlineStr">
        <is>
          <t>09</t>
        </is>
      </c>
      <c r="J2151" s="41" t="inlineStr">
        <is>
          <t>105,000</t>
        </is>
      </c>
      <c r="K2151" s="41" t="inlineStr">
        <is>
          <t>-</t>
        </is>
      </c>
      <c r="L2151" s="41" t="inlineStr">
        <is>
          <t>7</t>
        </is>
      </c>
      <c r="M2151" s="42" t="inlineStr">
        <is>
          <t>개인</t>
        </is>
      </c>
      <c r="N2151" s="42" t="inlineStr">
        <is>
          <t>개인</t>
        </is>
      </c>
      <c r="O2151" s="41" t="inlineStr">
        <is>
          <t>2002</t>
        </is>
      </c>
      <c r="P2151" s="42" t="inlineStr">
        <is>
          <t>반포대로21길 27</t>
        </is>
      </c>
      <c r="Q2151" s="41" t="inlineStr">
        <is>
          <t>-</t>
        </is>
      </c>
      <c r="R2151" s="42" t="inlineStr">
        <is>
          <t>중개거래</t>
        </is>
      </c>
      <c r="S2151" s="42" t="inlineStr">
        <is>
          <t>서울 서초구</t>
        </is>
      </c>
      <c r="T2151" s="41" t="inlineStr">
        <is>
          <t>25.10.31</t>
        </is>
      </c>
      <c r="U2151" s="42" t="inlineStr">
        <is>
          <t>아파트</t>
        </is>
      </c>
    </row>
    <row r="2152" hidden="1" ht="17.25" customHeight="1">
      <c r="A2152" s="41" t="n">
        <v>493</v>
      </c>
      <c r="B2152" s="42" t="inlineStr">
        <is>
          <t>서울특별시 서초구 서초동</t>
        </is>
      </c>
      <c r="C2152" s="41" t="inlineStr">
        <is>
          <t>1757</t>
        </is>
      </c>
      <c r="D2152" s="41" t="inlineStr">
        <is>
          <t>1757</t>
        </is>
      </c>
      <c r="E2152" s="41" t="inlineStr">
        <is>
          <t>0000</t>
        </is>
      </c>
      <c r="F2152" s="42" t="inlineStr">
        <is>
          <t>서초그랑자이</t>
        </is>
      </c>
      <c r="G2152" s="41" t="inlineStr">
        <is>
          <t>84.5100</t>
        </is>
      </c>
      <c r="H2152" s="41" t="inlineStr">
        <is>
          <t>202507</t>
        </is>
      </c>
      <c r="I2152" s="41" t="inlineStr">
        <is>
          <t>09</t>
        </is>
      </c>
      <c r="J2152" s="41" t="inlineStr">
        <is>
          <t>410,000</t>
        </is>
      </c>
      <c r="K2152" s="41" t="inlineStr">
        <is>
          <t>101동</t>
        </is>
      </c>
      <c r="L2152" s="41" t="inlineStr">
        <is>
          <t>33</t>
        </is>
      </c>
      <c r="M2152" s="42" t="inlineStr">
        <is>
          <t>개인</t>
        </is>
      </c>
      <c r="N2152" s="42" t="inlineStr">
        <is>
          <t>개인</t>
        </is>
      </c>
      <c r="O2152" s="41" t="inlineStr">
        <is>
          <t>2021</t>
        </is>
      </c>
      <c r="P2152" s="42" t="inlineStr">
        <is>
          <t>효령로 391</t>
        </is>
      </c>
      <c r="Q2152" s="41" t="inlineStr">
        <is>
          <t>-</t>
        </is>
      </c>
      <c r="R2152" s="42" t="inlineStr">
        <is>
          <t>중개거래</t>
        </is>
      </c>
      <c r="S2152" s="42" t="inlineStr">
        <is>
          <t>서울 마포구, 서울 서초구</t>
        </is>
      </c>
      <c r="T2152" s="41" t="inlineStr">
        <is>
          <t>25.10.31</t>
        </is>
      </c>
      <c r="U2152" s="42" t="inlineStr">
        <is>
          <t>아파트</t>
        </is>
      </c>
    </row>
    <row r="2153" hidden="1" ht="17.25" customHeight="1">
      <c r="A2153" s="41" t="n">
        <v>494</v>
      </c>
      <c r="B2153" s="42" t="inlineStr">
        <is>
          <t>서울특별시 서초구 서초동</t>
        </is>
      </c>
      <c r="C2153" s="41" t="inlineStr">
        <is>
          <t>1454-29</t>
        </is>
      </c>
      <c r="D2153" s="41" t="inlineStr">
        <is>
          <t>1454</t>
        </is>
      </c>
      <c r="E2153" s="41" t="inlineStr">
        <is>
          <t>0029</t>
        </is>
      </c>
      <c r="F2153" s="42" t="inlineStr">
        <is>
          <t>서초한신</t>
        </is>
      </c>
      <c r="G2153" s="41" t="inlineStr">
        <is>
          <t>115.3000</t>
        </is>
      </c>
      <c r="H2153" s="41" t="inlineStr">
        <is>
          <t>202507</t>
        </is>
      </c>
      <c r="I2153" s="41" t="inlineStr">
        <is>
          <t>08</t>
        </is>
      </c>
      <c r="J2153" s="41" t="inlineStr">
        <is>
          <t>203,000</t>
        </is>
      </c>
      <c r="K2153" s="41" t="inlineStr">
        <is>
          <t>102</t>
        </is>
      </c>
      <c r="L2153" s="41" t="inlineStr">
        <is>
          <t>9</t>
        </is>
      </c>
      <c r="M2153" s="42" t="inlineStr">
        <is>
          <t>개인</t>
        </is>
      </c>
      <c r="N2153" s="42" t="inlineStr">
        <is>
          <t>개인</t>
        </is>
      </c>
      <c r="O2153" s="41" t="inlineStr">
        <is>
          <t>2001</t>
        </is>
      </c>
      <c r="P2153" s="42" t="inlineStr">
        <is>
          <t>남부순환로323길 38-16</t>
        </is>
      </c>
      <c r="Q2153" s="41" t="inlineStr">
        <is>
          <t>-</t>
        </is>
      </c>
      <c r="R2153" s="42" t="inlineStr">
        <is>
          <t>중개거래</t>
        </is>
      </c>
      <c r="S2153" s="42" t="inlineStr">
        <is>
          <t>서울 서초구</t>
        </is>
      </c>
      <c r="T2153" s="41" t="inlineStr">
        <is>
          <t>25.09.10</t>
        </is>
      </c>
      <c r="U2153" s="42" t="inlineStr">
        <is>
          <t>아파트</t>
        </is>
      </c>
    </row>
    <row r="2154" hidden="1" ht="17.25" customHeight="1">
      <c r="A2154" s="41" t="n">
        <v>495</v>
      </c>
      <c r="B2154" s="42" t="inlineStr">
        <is>
          <t>서울특별시 서초구 서초동</t>
        </is>
      </c>
      <c r="C2154" s="41" t="inlineStr">
        <is>
          <t>1648-2</t>
        </is>
      </c>
      <c r="D2154" s="41" t="inlineStr">
        <is>
          <t>1648</t>
        </is>
      </c>
      <c r="E2154" s="41" t="inlineStr">
        <is>
          <t>0002</t>
        </is>
      </c>
      <c r="F2154" s="42" t="inlineStr">
        <is>
          <t>서초현대</t>
        </is>
      </c>
      <c r="G2154" s="41" t="inlineStr">
        <is>
          <t>114.8400</t>
        </is>
      </c>
      <c r="H2154" s="41" t="inlineStr">
        <is>
          <t>202507</t>
        </is>
      </c>
      <c r="I2154" s="41" t="inlineStr">
        <is>
          <t>08</t>
        </is>
      </c>
      <c r="J2154" s="41" t="inlineStr">
        <is>
          <t>235,000</t>
        </is>
      </c>
      <c r="K2154" s="41" t="inlineStr">
        <is>
          <t>102</t>
        </is>
      </c>
      <c r="L2154" s="41" t="inlineStr">
        <is>
          <t>13</t>
        </is>
      </c>
      <c r="M2154" s="42" t="inlineStr">
        <is>
          <t>개인</t>
        </is>
      </c>
      <c r="N2154" s="42" t="inlineStr">
        <is>
          <t>개인</t>
        </is>
      </c>
      <c r="O2154" s="41" t="inlineStr">
        <is>
          <t>1999</t>
        </is>
      </c>
      <c r="P2154" s="42" t="inlineStr">
        <is>
          <t>사임당로19길 10</t>
        </is>
      </c>
      <c r="Q2154" s="41" t="inlineStr">
        <is>
          <t>-</t>
        </is>
      </c>
      <c r="R2154" s="42" t="inlineStr">
        <is>
          <t>중개거래</t>
        </is>
      </c>
      <c r="S2154" s="42" t="inlineStr">
        <is>
          <t>서울 서초구</t>
        </is>
      </c>
      <c r="T2154" s="41" t="inlineStr">
        <is>
          <t>25.09.30</t>
        </is>
      </c>
      <c r="U2154" s="42" t="inlineStr">
        <is>
          <t>아파트</t>
        </is>
      </c>
    </row>
    <row r="2155" hidden="1" ht="17.25" customHeight="1">
      <c r="A2155" s="41" t="n">
        <v>496</v>
      </c>
      <c r="B2155" s="42" t="inlineStr">
        <is>
          <t>서울특별시 서초구 서초동</t>
        </is>
      </c>
      <c r="C2155" s="41" t="inlineStr">
        <is>
          <t>1685-3</t>
        </is>
      </c>
      <c r="D2155" s="41" t="inlineStr">
        <is>
          <t>1685</t>
        </is>
      </c>
      <c r="E2155" s="41" t="inlineStr">
        <is>
          <t>0003</t>
        </is>
      </c>
      <c r="F2155" s="42" t="inlineStr">
        <is>
          <t>아크로비스타</t>
        </is>
      </c>
      <c r="G2155" s="41" t="inlineStr">
        <is>
          <t>137.9800</t>
        </is>
      </c>
      <c r="H2155" s="41" t="inlineStr">
        <is>
          <t>202507</t>
        </is>
      </c>
      <c r="I2155" s="41" t="inlineStr">
        <is>
          <t>08</t>
        </is>
      </c>
      <c r="J2155" s="41" t="inlineStr">
        <is>
          <t>299,000</t>
        </is>
      </c>
      <c r="K2155" s="41" t="inlineStr">
        <is>
          <t>A</t>
        </is>
      </c>
      <c r="L2155" s="41" t="inlineStr">
        <is>
          <t>9</t>
        </is>
      </c>
      <c r="M2155" s="42" t="inlineStr">
        <is>
          <t>개인</t>
        </is>
      </c>
      <c r="N2155" s="42" t="inlineStr">
        <is>
          <t>개인</t>
        </is>
      </c>
      <c r="O2155" s="41" t="inlineStr">
        <is>
          <t>2004</t>
        </is>
      </c>
      <c r="P2155" s="42" t="inlineStr">
        <is>
          <t>서초중앙로 188</t>
        </is>
      </c>
      <c r="Q2155" s="41" t="inlineStr">
        <is>
          <t>-</t>
        </is>
      </c>
      <c r="R2155" s="42" t="inlineStr">
        <is>
          <t>중개거래</t>
        </is>
      </c>
      <c r="S2155" s="42" t="inlineStr">
        <is>
          <t>서울 서초구, 인천 서구</t>
        </is>
      </c>
      <c r="T2155" s="41" t="inlineStr">
        <is>
          <t>25.09.22</t>
        </is>
      </c>
      <c r="U2155" s="42" t="inlineStr">
        <is>
          <t>아파트</t>
        </is>
      </c>
    </row>
    <row r="2156" hidden="1" ht="17.25" customHeight="1">
      <c r="A2156" s="41" t="n">
        <v>497</v>
      </c>
      <c r="B2156" s="42" t="inlineStr">
        <is>
          <t>서울특별시 서초구 서초동</t>
        </is>
      </c>
      <c r="C2156" s="41" t="inlineStr">
        <is>
          <t>1685-3</t>
        </is>
      </c>
      <c r="D2156" s="41" t="inlineStr">
        <is>
          <t>1685</t>
        </is>
      </c>
      <c r="E2156" s="41" t="inlineStr">
        <is>
          <t>0003</t>
        </is>
      </c>
      <c r="F2156" s="42" t="inlineStr">
        <is>
          <t>아크로비스타</t>
        </is>
      </c>
      <c r="G2156" s="41" t="inlineStr">
        <is>
          <t>149.0800</t>
        </is>
      </c>
      <c r="H2156" s="41" t="inlineStr">
        <is>
          <t>202507</t>
        </is>
      </c>
      <c r="I2156" s="41" t="inlineStr">
        <is>
          <t>05</t>
        </is>
      </c>
      <c r="J2156" s="41" t="inlineStr">
        <is>
          <t>342,000</t>
        </is>
      </c>
      <c r="K2156" s="41" t="inlineStr">
        <is>
          <t>A</t>
        </is>
      </c>
      <c r="L2156" s="41" t="inlineStr">
        <is>
          <t>13</t>
        </is>
      </c>
      <c r="M2156" s="42" t="inlineStr">
        <is>
          <t>개인</t>
        </is>
      </c>
      <c r="N2156" s="42" t="inlineStr">
        <is>
          <t>개인</t>
        </is>
      </c>
      <c r="O2156" s="41" t="inlineStr">
        <is>
          <t>2004</t>
        </is>
      </c>
      <c r="P2156" s="42" t="inlineStr">
        <is>
          <t>서초중앙로 188</t>
        </is>
      </c>
      <c r="Q2156" s="41" t="inlineStr">
        <is>
          <t>-</t>
        </is>
      </c>
      <c r="R2156" s="42" t="inlineStr">
        <is>
          <t>중개거래</t>
        </is>
      </c>
      <c r="S2156" s="42" t="inlineStr">
        <is>
          <t>서울 서초구</t>
        </is>
      </c>
      <c r="T2156" s="41" t="inlineStr">
        <is>
          <t>25.09.30</t>
        </is>
      </c>
      <c r="U2156" s="42" t="inlineStr">
        <is>
          <t>아파트</t>
        </is>
      </c>
    </row>
    <row r="2157" hidden="1" ht="17.25" customHeight="1">
      <c r="A2157" s="41" t="n">
        <v>498</v>
      </c>
      <c r="B2157" s="42" t="inlineStr">
        <is>
          <t>서울특별시 서초구 서초동</t>
        </is>
      </c>
      <c r="C2157" s="41" t="inlineStr">
        <is>
          <t>1641-3</t>
        </is>
      </c>
      <c r="D2157" s="41" t="inlineStr">
        <is>
          <t>1641</t>
        </is>
      </c>
      <c r="E2157" s="41" t="inlineStr">
        <is>
          <t>0003</t>
        </is>
      </c>
      <c r="F2157" s="42" t="inlineStr">
        <is>
          <t>대성유니드</t>
        </is>
      </c>
      <c r="G2157" s="41" t="inlineStr">
        <is>
          <t>122.1110</t>
        </is>
      </c>
      <c r="H2157" s="41" t="inlineStr">
        <is>
          <t>202507</t>
        </is>
      </c>
      <c r="I2157" s="41" t="inlineStr">
        <is>
          <t>05</t>
        </is>
      </c>
      <c r="J2157" s="41" t="inlineStr">
        <is>
          <t>225,000</t>
        </is>
      </c>
      <c r="K2157" s="41" t="inlineStr">
        <is>
          <t>101</t>
        </is>
      </c>
      <c r="L2157" s="41" t="inlineStr">
        <is>
          <t>11</t>
        </is>
      </c>
      <c r="M2157" s="42" t="inlineStr">
        <is>
          <t>개인</t>
        </is>
      </c>
      <c r="N2157" s="42" t="inlineStr">
        <is>
          <t>개인</t>
        </is>
      </c>
      <c r="O2157" s="41" t="inlineStr">
        <is>
          <t>2004</t>
        </is>
      </c>
      <c r="P2157" s="42" t="inlineStr">
        <is>
          <t>서초대로64길 36</t>
        </is>
      </c>
      <c r="Q2157" s="41" t="inlineStr">
        <is>
          <t>-</t>
        </is>
      </c>
      <c r="R2157" s="42" t="inlineStr">
        <is>
          <t>중개거래</t>
        </is>
      </c>
      <c r="S2157" s="42" t="inlineStr">
        <is>
          <t>서울 서초구</t>
        </is>
      </c>
      <c r="T2157" s="41" t="inlineStr">
        <is>
          <t>25.08.18</t>
        </is>
      </c>
      <c r="U2157" s="42" t="inlineStr">
        <is>
          <t>아파트</t>
        </is>
      </c>
    </row>
    <row r="2158" hidden="1" ht="17.25" customHeight="1">
      <c r="A2158" s="41" t="n">
        <v>499</v>
      </c>
      <c r="B2158" s="42" t="inlineStr">
        <is>
          <t>서울특별시 서초구 서초동</t>
        </is>
      </c>
      <c r="C2158" s="41" t="inlineStr">
        <is>
          <t>1593-7</t>
        </is>
      </c>
      <c r="D2158" s="41" t="inlineStr">
        <is>
          <t>1593</t>
        </is>
      </c>
      <c r="E2158" s="41" t="inlineStr">
        <is>
          <t>0007</t>
        </is>
      </c>
      <c r="F2158" s="42" t="inlineStr">
        <is>
          <t>서초이오빌</t>
        </is>
      </c>
      <c r="G2158" s="41" t="inlineStr">
        <is>
          <t>36.6600</t>
        </is>
      </c>
      <c r="H2158" s="41" t="inlineStr">
        <is>
          <t>202507</t>
        </is>
      </c>
      <c r="I2158" s="41" t="inlineStr">
        <is>
          <t>05</t>
        </is>
      </c>
      <c r="J2158" s="41" t="inlineStr">
        <is>
          <t>33,000</t>
        </is>
      </c>
      <c r="K2158" s="41" t="inlineStr">
        <is>
          <t>-</t>
        </is>
      </c>
      <c r="L2158" s="41" t="inlineStr">
        <is>
          <t>17</t>
        </is>
      </c>
      <c r="M2158" s="42" t="inlineStr">
        <is>
          <t>개인</t>
        </is>
      </c>
      <c r="N2158" s="42" t="inlineStr">
        <is>
          <t>개인</t>
        </is>
      </c>
      <c r="O2158" s="41" t="inlineStr">
        <is>
          <t>2003</t>
        </is>
      </c>
      <c r="P2158" s="42" t="inlineStr">
        <is>
          <t>효령로53길 45</t>
        </is>
      </c>
      <c r="Q2158" s="41" t="inlineStr">
        <is>
          <t>-</t>
        </is>
      </c>
      <c r="R2158" s="42" t="inlineStr">
        <is>
          <t>중개거래</t>
        </is>
      </c>
      <c r="S2158" s="42" t="inlineStr">
        <is>
          <t>서울 서초구</t>
        </is>
      </c>
      <c r="T2158" s="41" t="inlineStr">
        <is>
          <t>25.08.11</t>
        </is>
      </c>
      <c r="U2158" s="42" t="inlineStr">
        <is>
          <t>아파트</t>
        </is>
      </c>
    </row>
    <row r="2159" hidden="1" ht="17.25" customHeight="1">
      <c r="A2159" s="41" t="n">
        <v>500</v>
      </c>
      <c r="B2159" s="42" t="inlineStr">
        <is>
          <t>서울특별시 서초구 서초동</t>
        </is>
      </c>
      <c r="C2159" s="41" t="inlineStr">
        <is>
          <t>1446-11</t>
        </is>
      </c>
      <c r="D2159" s="41" t="inlineStr">
        <is>
          <t>1446</t>
        </is>
      </c>
      <c r="E2159" s="41" t="inlineStr">
        <is>
          <t>0011</t>
        </is>
      </c>
      <c r="F2159" s="42" t="inlineStr">
        <is>
          <t>현대슈퍼빌</t>
        </is>
      </c>
      <c r="G2159" s="41" t="inlineStr">
        <is>
          <t>147.8600</t>
        </is>
      </c>
      <c r="H2159" s="41" t="inlineStr">
        <is>
          <t>202507</t>
        </is>
      </c>
      <c r="I2159" s="41" t="inlineStr">
        <is>
          <t>05</t>
        </is>
      </c>
      <c r="J2159" s="41" t="inlineStr">
        <is>
          <t>262,000</t>
        </is>
      </c>
      <c r="K2159" s="41" t="inlineStr">
        <is>
          <t>C</t>
        </is>
      </c>
      <c r="L2159" s="41" t="inlineStr">
        <is>
          <t>14</t>
        </is>
      </c>
      <c r="M2159" s="42" t="inlineStr">
        <is>
          <t>개인</t>
        </is>
      </c>
      <c r="N2159" s="42" t="inlineStr">
        <is>
          <t>개인</t>
        </is>
      </c>
      <c r="O2159" s="41" t="inlineStr">
        <is>
          <t>2003</t>
        </is>
      </c>
      <c r="P2159" s="42" t="inlineStr">
        <is>
          <t>서초중앙로 15</t>
        </is>
      </c>
      <c r="Q2159" s="41" t="inlineStr">
        <is>
          <t>-</t>
        </is>
      </c>
      <c r="R2159" s="42" t="inlineStr">
        <is>
          <t>중개거래</t>
        </is>
      </c>
      <c r="S2159" s="42" t="inlineStr">
        <is>
          <t>서울 서초구</t>
        </is>
      </c>
      <c r="T2159" s="41" t="inlineStr">
        <is>
          <t>25.10.16</t>
        </is>
      </c>
      <c r="U2159" s="42" t="inlineStr">
        <is>
          <t>아파트</t>
        </is>
      </c>
    </row>
    <row r="2160" hidden="1" ht="17.25" customHeight="1">
      <c r="A2160" s="41" t="n">
        <v>501</v>
      </c>
      <c r="B2160" s="42" t="inlineStr">
        <is>
          <t>서울특별시 서초구 서초동</t>
        </is>
      </c>
      <c r="C2160" s="41" t="inlineStr">
        <is>
          <t>1315</t>
        </is>
      </c>
      <c r="D2160" s="41" t="inlineStr">
        <is>
          <t>1315</t>
        </is>
      </c>
      <c r="E2160" s="41" t="inlineStr">
        <is>
          <t>0000</t>
        </is>
      </c>
      <c r="F2160" s="42" t="inlineStr">
        <is>
          <t>진흥아파트</t>
        </is>
      </c>
      <c r="G2160" s="41" t="inlineStr">
        <is>
          <t>101.3200</t>
        </is>
      </c>
      <c r="H2160" s="41" t="inlineStr">
        <is>
          <t>202507</t>
        </is>
      </c>
      <c r="I2160" s="41" t="inlineStr">
        <is>
          <t>05</t>
        </is>
      </c>
      <c r="J2160" s="41" t="inlineStr">
        <is>
          <t>314,000</t>
        </is>
      </c>
      <c r="K2160" s="41" t="inlineStr">
        <is>
          <t>2</t>
        </is>
      </c>
      <c r="L2160" s="41" t="inlineStr">
        <is>
          <t>3</t>
        </is>
      </c>
      <c r="M2160" s="42" t="inlineStr">
        <is>
          <t>개인</t>
        </is>
      </c>
      <c r="N2160" s="42" t="inlineStr">
        <is>
          <t>개인</t>
        </is>
      </c>
      <c r="O2160" s="41" t="inlineStr">
        <is>
          <t>1979</t>
        </is>
      </c>
      <c r="P2160" s="42" t="inlineStr">
        <is>
          <t>서초대로 385</t>
        </is>
      </c>
      <c r="Q2160" s="41" t="inlineStr">
        <is>
          <t>-</t>
        </is>
      </c>
      <c r="R2160" s="42" t="inlineStr">
        <is>
          <t>중개거래</t>
        </is>
      </c>
      <c r="S2160" s="42" t="inlineStr">
        <is>
          <t>서울 서초구, 서울 송파구</t>
        </is>
      </c>
      <c r="T2160" s="41" t="inlineStr">
        <is>
          <t>25.10.31</t>
        </is>
      </c>
      <c r="U2160" s="42" t="inlineStr">
        <is>
          <t>아파트</t>
        </is>
      </c>
    </row>
    <row r="2161" hidden="1" ht="17.25" customHeight="1">
      <c r="A2161" s="41" t="n">
        <v>502</v>
      </c>
      <c r="B2161" s="42" t="inlineStr">
        <is>
          <t>서울특별시 서초구 서초동</t>
        </is>
      </c>
      <c r="C2161" s="41" t="inlineStr">
        <is>
          <t>1685-3</t>
        </is>
      </c>
      <c r="D2161" s="41" t="inlineStr">
        <is>
          <t>1685</t>
        </is>
      </c>
      <c r="E2161" s="41" t="inlineStr">
        <is>
          <t>0003</t>
        </is>
      </c>
      <c r="F2161" s="42" t="inlineStr">
        <is>
          <t>아크로비스타</t>
        </is>
      </c>
      <c r="G2161" s="41" t="inlineStr">
        <is>
          <t>177.1500</t>
        </is>
      </c>
      <c r="H2161" s="41" t="inlineStr">
        <is>
          <t>202507</t>
        </is>
      </c>
      <c r="I2161" s="41" t="inlineStr">
        <is>
          <t>05</t>
        </is>
      </c>
      <c r="J2161" s="41" t="inlineStr">
        <is>
          <t>370,000</t>
        </is>
      </c>
      <c r="K2161" s="41" t="inlineStr">
        <is>
          <t>C</t>
        </is>
      </c>
      <c r="L2161" s="41" t="inlineStr">
        <is>
          <t>4</t>
        </is>
      </c>
      <c r="M2161" s="42" t="inlineStr">
        <is>
          <t>개인</t>
        </is>
      </c>
      <c r="N2161" s="42" t="inlineStr">
        <is>
          <t>개인</t>
        </is>
      </c>
      <c r="O2161" s="41" t="inlineStr">
        <is>
          <t>2004</t>
        </is>
      </c>
      <c r="P2161" s="42" t="inlineStr">
        <is>
          <t>서초중앙로 188</t>
        </is>
      </c>
      <c r="Q2161" s="41" t="inlineStr">
        <is>
          <t>-</t>
        </is>
      </c>
      <c r="R2161" s="42" t="inlineStr">
        <is>
          <t>중개거래</t>
        </is>
      </c>
      <c r="S2161" s="42" t="inlineStr">
        <is>
          <t>서울 서초구</t>
        </is>
      </c>
      <c r="T2161" s="41" t="inlineStr">
        <is>
          <t>25.07.28</t>
        </is>
      </c>
      <c r="U2161" s="42" t="inlineStr">
        <is>
          <t>아파트</t>
        </is>
      </c>
    </row>
    <row r="2162" hidden="1" ht="17.25" customHeight="1">
      <c r="A2162" s="41" t="n">
        <v>503</v>
      </c>
      <c r="B2162" s="42" t="inlineStr">
        <is>
          <t>서울특별시 서초구 서초동</t>
        </is>
      </c>
      <c r="C2162" s="41" t="inlineStr">
        <is>
          <t>1509-1</t>
        </is>
      </c>
      <c r="D2162" s="41" t="inlineStr">
        <is>
          <t>1509</t>
        </is>
      </c>
      <c r="E2162" s="41" t="inlineStr">
        <is>
          <t>0001</t>
        </is>
      </c>
      <c r="F2162" s="42" t="inlineStr">
        <is>
          <t>서초한빛삼성</t>
        </is>
      </c>
      <c r="G2162" s="41" t="inlineStr">
        <is>
          <t>110.5900</t>
        </is>
      </c>
      <c r="H2162" s="41" t="inlineStr">
        <is>
          <t>202507</t>
        </is>
      </c>
      <c r="I2162" s="41" t="inlineStr">
        <is>
          <t>04</t>
        </is>
      </c>
      <c r="J2162" s="41" t="inlineStr">
        <is>
          <t>218,000</t>
        </is>
      </c>
      <c r="K2162" s="41" t="inlineStr">
        <is>
          <t>101</t>
        </is>
      </c>
      <c r="L2162" s="41" t="inlineStr">
        <is>
          <t>5</t>
        </is>
      </c>
      <c r="M2162" s="42" t="inlineStr">
        <is>
          <t>개인</t>
        </is>
      </c>
      <c r="N2162" s="42" t="inlineStr">
        <is>
          <t>개인</t>
        </is>
      </c>
      <c r="O2162" s="41" t="inlineStr">
        <is>
          <t>1999</t>
        </is>
      </c>
      <c r="P2162" s="42" t="inlineStr">
        <is>
          <t>서초대로40길 72</t>
        </is>
      </c>
      <c r="Q2162" s="41" t="inlineStr">
        <is>
          <t>-</t>
        </is>
      </c>
      <c r="R2162" s="42" t="inlineStr">
        <is>
          <t>중개거래</t>
        </is>
      </c>
      <c r="S2162" s="42" t="inlineStr">
        <is>
          <t>서울 서초구</t>
        </is>
      </c>
      <c r="T2162" s="41" t="inlineStr">
        <is>
          <t>25.10.14</t>
        </is>
      </c>
      <c r="U2162" s="42" t="inlineStr">
        <is>
          <t>아파트</t>
        </is>
      </c>
    </row>
    <row r="2163" hidden="1" ht="17.25" customHeight="1">
      <c r="A2163" s="41" t="n">
        <v>504</v>
      </c>
      <c r="B2163" s="42" t="inlineStr">
        <is>
          <t>서울특별시 서초구 서초동</t>
        </is>
      </c>
      <c r="C2163" s="41" t="inlineStr">
        <is>
          <t>1671-5</t>
        </is>
      </c>
      <c r="D2163" s="41" t="inlineStr">
        <is>
          <t>1671</t>
        </is>
      </c>
      <c r="E2163" s="41" t="inlineStr">
        <is>
          <t>0005</t>
        </is>
      </c>
      <c r="F2163" s="42" t="inlineStr">
        <is>
          <t>대림서초리시온</t>
        </is>
      </c>
      <c r="G2163" s="41" t="inlineStr">
        <is>
          <t>33.5400</t>
        </is>
      </c>
      <c r="H2163" s="41" t="inlineStr">
        <is>
          <t>202507</t>
        </is>
      </c>
      <c r="I2163" s="41" t="inlineStr">
        <is>
          <t>04</t>
        </is>
      </c>
      <c r="J2163" s="41" t="inlineStr">
        <is>
          <t>40,500</t>
        </is>
      </c>
      <c r="K2163" s="41" t="inlineStr">
        <is>
          <t>-</t>
        </is>
      </c>
      <c r="L2163" s="41" t="inlineStr">
        <is>
          <t>11</t>
        </is>
      </c>
      <c r="M2163" s="42" t="inlineStr">
        <is>
          <t>개인</t>
        </is>
      </c>
      <c r="N2163" s="42" t="inlineStr">
        <is>
          <t>법인</t>
        </is>
      </c>
      <c r="O2163" s="41" t="inlineStr">
        <is>
          <t>2003</t>
        </is>
      </c>
      <c r="P2163" s="42" t="inlineStr">
        <is>
          <t>서초중앙로22길 25</t>
        </is>
      </c>
      <c r="Q2163" s="41" t="inlineStr">
        <is>
          <t>-</t>
        </is>
      </c>
      <c r="R2163" s="42" t="inlineStr">
        <is>
          <t>중개거래</t>
        </is>
      </c>
      <c r="S2163" s="42" t="inlineStr">
        <is>
          <t>서울 서초구</t>
        </is>
      </c>
      <c r="T2163" s="41" t="inlineStr">
        <is>
          <t>25.08.29</t>
        </is>
      </c>
      <c r="U2163" s="42" t="inlineStr">
        <is>
          <t>아파트</t>
        </is>
      </c>
    </row>
    <row r="2164" hidden="1" ht="17.25" customHeight="1">
      <c r="A2164" s="41" t="n">
        <v>505</v>
      </c>
      <c r="B2164" s="42" t="inlineStr">
        <is>
          <t>서울특별시 서초구 서초동</t>
        </is>
      </c>
      <c r="C2164" s="41" t="inlineStr">
        <is>
          <t>1355-24</t>
        </is>
      </c>
      <c r="D2164" s="41" t="inlineStr">
        <is>
          <t>1355</t>
        </is>
      </c>
      <c r="E2164" s="41" t="inlineStr">
        <is>
          <t>0024</t>
        </is>
      </c>
      <c r="F2164" s="42" t="inlineStr">
        <is>
          <t>우정에쉐르</t>
        </is>
      </c>
      <c r="G2164" s="41" t="inlineStr">
        <is>
          <t>72.4400</t>
        </is>
      </c>
      <c r="H2164" s="41" t="inlineStr">
        <is>
          <t>202507</t>
        </is>
      </c>
      <c r="I2164" s="41" t="inlineStr">
        <is>
          <t>04</t>
        </is>
      </c>
      <c r="J2164" s="41" t="inlineStr">
        <is>
          <t>99,000</t>
        </is>
      </c>
      <c r="K2164" s="41" t="inlineStr">
        <is>
          <t>-</t>
        </is>
      </c>
      <c r="L2164" s="41" t="inlineStr">
        <is>
          <t>2</t>
        </is>
      </c>
      <c r="M2164" s="42" t="inlineStr">
        <is>
          <t>개인</t>
        </is>
      </c>
      <c r="N2164" s="42" t="inlineStr">
        <is>
          <t>개인</t>
        </is>
      </c>
      <c r="O2164" s="41" t="inlineStr">
        <is>
          <t>2004</t>
        </is>
      </c>
      <c r="P2164" s="42" t="inlineStr">
        <is>
          <t>서운로3길 29</t>
        </is>
      </c>
      <c r="Q2164" s="41" t="inlineStr">
        <is>
          <t>-</t>
        </is>
      </c>
      <c r="R2164" s="42" t="inlineStr">
        <is>
          <t>중개거래</t>
        </is>
      </c>
      <c r="S2164" s="42" t="inlineStr">
        <is>
          <t>서울 서초구</t>
        </is>
      </c>
      <c r="T2164" s="41" t="inlineStr">
        <is>
          <t>25.07.18</t>
        </is>
      </c>
      <c r="U2164" s="42" t="inlineStr">
        <is>
          <t>아파트</t>
        </is>
      </c>
    </row>
    <row r="2165" hidden="1" ht="17.25" customHeight="1">
      <c r="A2165" s="41" t="n">
        <v>506</v>
      </c>
      <c r="B2165" s="42" t="inlineStr">
        <is>
          <t>서울특별시 서초구 서초동</t>
        </is>
      </c>
      <c r="C2165" s="41" t="inlineStr">
        <is>
          <t>1529</t>
        </is>
      </c>
      <c r="D2165" s="41" t="inlineStr">
        <is>
          <t>1529</t>
        </is>
      </c>
      <c r="E2165" s="41" t="inlineStr">
        <is>
          <t>0000</t>
        </is>
      </c>
      <c r="F2165" s="42" t="inlineStr">
        <is>
          <t>서초2차e-편한세상</t>
        </is>
      </c>
      <c r="G2165" s="41" t="inlineStr">
        <is>
          <t>84.6700</t>
        </is>
      </c>
      <c r="H2165" s="41" t="inlineStr">
        <is>
          <t>202507</t>
        </is>
      </c>
      <c r="I2165" s="41" t="inlineStr">
        <is>
          <t>04</t>
        </is>
      </c>
      <c r="J2165" s="41" t="inlineStr">
        <is>
          <t>199,500</t>
        </is>
      </c>
      <c r="K2165" s="41" t="inlineStr">
        <is>
          <t>201</t>
        </is>
      </c>
      <c r="L2165" s="41" t="inlineStr">
        <is>
          <t>7</t>
        </is>
      </c>
      <c r="M2165" s="42" t="inlineStr">
        <is>
          <t>개인</t>
        </is>
      </c>
      <c r="N2165" s="42" t="inlineStr">
        <is>
          <t>개인</t>
        </is>
      </c>
      <c r="O2165" s="41" t="inlineStr">
        <is>
          <t>2005</t>
        </is>
      </c>
      <c r="P2165" s="42" t="inlineStr">
        <is>
          <t>효령로49길 57</t>
        </is>
      </c>
      <c r="Q2165" s="41" t="inlineStr">
        <is>
          <t>-</t>
        </is>
      </c>
      <c r="R2165" s="42" t="inlineStr">
        <is>
          <t>중개거래</t>
        </is>
      </c>
      <c r="S2165" s="42" t="inlineStr">
        <is>
          <t>서울 서초구</t>
        </is>
      </c>
      <c r="T2165" s="41" t="inlineStr">
        <is>
          <t>25.10.30</t>
        </is>
      </c>
      <c r="U2165" s="42" t="inlineStr">
        <is>
          <t>아파트</t>
        </is>
      </c>
    </row>
    <row r="2166" hidden="1" ht="17.25" customHeight="1">
      <c r="A2166" s="41" t="n">
        <v>507</v>
      </c>
      <c r="B2166" s="42" t="inlineStr">
        <is>
          <t>서울특별시 서초구 서초동</t>
        </is>
      </c>
      <c r="C2166" s="41" t="inlineStr">
        <is>
          <t>1492-5</t>
        </is>
      </c>
      <c r="D2166" s="41" t="inlineStr">
        <is>
          <t>1492</t>
        </is>
      </c>
      <c r="E2166" s="41" t="inlineStr">
        <is>
          <t>0005</t>
        </is>
      </c>
      <c r="F2166" s="42" t="inlineStr">
        <is>
          <t>서초트레져</t>
        </is>
      </c>
      <c r="G2166" s="41" t="inlineStr">
        <is>
          <t>216.0800</t>
        </is>
      </c>
      <c r="H2166" s="41" t="inlineStr">
        <is>
          <t>202507</t>
        </is>
      </c>
      <c r="I2166" s="41" t="inlineStr">
        <is>
          <t>03</t>
        </is>
      </c>
      <c r="J2166" s="41" t="inlineStr">
        <is>
          <t>224,000</t>
        </is>
      </c>
      <c r="K2166" s="41" t="inlineStr">
        <is>
          <t>-</t>
        </is>
      </c>
      <c r="L2166" s="41" t="inlineStr">
        <is>
          <t>2</t>
        </is>
      </c>
      <c r="M2166" s="42" t="inlineStr">
        <is>
          <t>개인</t>
        </is>
      </c>
      <c r="N2166" s="42" t="inlineStr">
        <is>
          <t>개인</t>
        </is>
      </c>
      <c r="O2166" s="41" t="inlineStr">
        <is>
          <t>2005</t>
        </is>
      </c>
      <c r="P2166" s="42" t="inlineStr">
        <is>
          <t>명달로 79</t>
        </is>
      </c>
      <c r="Q2166" s="41" t="inlineStr">
        <is>
          <t>-</t>
        </is>
      </c>
      <c r="R2166" s="42" t="inlineStr">
        <is>
          <t>중개거래</t>
        </is>
      </c>
      <c r="S2166" s="42" t="inlineStr">
        <is>
          <t>서울 서초구</t>
        </is>
      </c>
      <c r="T2166" s="41" t="inlineStr">
        <is>
          <t>25.08.20</t>
        </is>
      </c>
      <c r="U2166" s="42" t="inlineStr">
        <is>
          <t>아파트</t>
        </is>
      </c>
    </row>
    <row r="2167" hidden="1" ht="17.25" customHeight="1">
      <c r="A2167" s="41" t="n">
        <v>508</v>
      </c>
      <c r="B2167" s="42" t="inlineStr">
        <is>
          <t>서울특별시 서초구 서초동</t>
        </is>
      </c>
      <c r="C2167" s="41" t="inlineStr">
        <is>
          <t>1467-62</t>
        </is>
      </c>
      <c r="D2167" s="41" t="inlineStr">
        <is>
          <t>1467</t>
        </is>
      </c>
      <c r="E2167" s="41" t="inlineStr">
        <is>
          <t>0062</t>
        </is>
      </c>
      <c r="F2167" s="42" t="inlineStr">
        <is>
          <t>서초5차e편한세상</t>
        </is>
      </c>
      <c r="G2167" s="41" t="inlineStr">
        <is>
          <t>158.2400</t>
        </is>
      </c>
      <c r="H2167" s="41" t="inlineStr">
        <is>
          <t>202507</t>
        </is>
      </c>
      <c r="I2167" s="41" t="inlineStr">
        <is>
          <t>03</t>
        </is>
      </c>
      <c r="J2167" s="41" t="inlineStr">
        <is>
          <t>270,000</t>
        </is>
      </c>
      <c r="K2167" s="41" t="inlineStr">
        <is>
          <t>501</t>
        </is>
      </c>
      <c r="L2167" s="41" t="inlineStr">
        <is>
          <t>4</t>
        </is>
      </c>
      <c r="M2167" s="42" t="inlineStr">
        <is>
          <t>개인</t>
        </is>
      </c>
      <c r="N2167" s="42" t="inlineStr">
        <is>
          <t>개인</t>
        </is>
      </c>
      <c r="O2167" s="41" t="inlineStr">
        <is>
          <t>2005</t>
        </is>
      </c>
      <c r="P2167" s="42" t="inlineStr">
        <is>
          <t>명달로4길 30</t>
        </is>
      </c>
      <c r="Q2167" s="41" t="inlineStr">
        <is>
          <t>-</t>
        </is>
      </c>
      <c r="R2167" s="42" t="inlineStr">
        <is>
          <t>중개거래</t>
        </is>
      </c>
      <c r="S2167" s="42" t="inlineStr">
        <is>
          <t>서울 서초구</t>
        </is>
      </c>
      <c r="T2167" s="41" t="inlineStr">
        <is>
          <t>25.08.27</t>
        </is>
      </c>
      <c r="U2167" s="42" t="inlineStr">
        <is>
          <t>아파트</t>
        </is>
      </c>
    </row>
    <row r="2168" hidden="1" ht="17.25" customHeight="1">
      <c r="A2168" s="41" t="n">
        <v>509</v>
      </c>
      <c r="B2168" s="42" t="inlineStr">
        <is>
          <t>서울특별시 서초구 서초동</t>
        </is>
      </c>
      <c r="C2168" s="41" t="inlineStr">
        <is>
          <t>1301-6</t>
        </is>
      </c>
      <c r="D2168" s="41" t="inlineStr">
        <is>
          <t>1301</t>
        </is>
      </c>
      <c r="E2168" s="41" t="inlineStr">
        <is>
          <t>0006</t>
        </is>
      </c>
      <c r="F2168" s="42" t="inlineStr">
        <is>
          <t>래미안서초스위트</t>
        </is>
      </c>
      <c r="G2168" s="41" t="inlineStr">
        <is>
          <t>84.9571</t>
        </is>
      </c>
      <c r="H2168" s="41" t="inlineStr">
        <is>
          <t>202507</t>
        </is>
      </c>
      <c r="I2168" s="41" t="inlineStr">
        <is>
          <t>02</t>
        </is>
      </c>
      <c r="J2168" s="41" t="inlineStr">
        <is>
          <t>305,000</t>
        </is>
      </c>
      <c r="K2168" s="41" t="inlineStr">
        <is>
          <t>101</t>
        </is>
      </c>
      <c r="L2168" s="41" t="inlineStr">
        <is>
          <t>14</t>
        </is>
      </c>
      <c r="M2168" s="42" t="inlineStr">
        <is>
          <t>개인</t>
        </is>
      </c>
      <c r="N2168" s="42" t="inlineStr">
        <is>
          <t>개인</t>
        </is>
      </c>
      <c r="O2168" s="41" t="inlineStr">
        <is>
          <t>2009</t>
        </is>
      </c>
      <c r="P2168" s="42" t="inlineStr">
        <is>
          <t>서운로 221</t>
        </is>
      </c>
      <c r="Q2168" s="41" t="inlineStr">
        <is>
          <t>-</t>
        </is>
      </c>
      <c r="R2168" s="42" t="inlineStr">
        <is>
          <t>중개거래</t>
        </is>
      </c>
      <c r="S2168" s="42" t="inlineStr">
        <is>
          <t>서울 서초구</t>
        </is>
      </c>
      <c r="T2168" s="41" t="inlineStr">
        <is>
          <t>25.08.13</t>
        </is>
      </c>
      <c r="U2168" s="42" t="inlineStr">
        <is>
          <t>아파트</t>
        </is>
      </c>
    </row>
    <row r="2169" hidden="1" ht="17.25" customHeight="1">
      <c r="A2169" s="41" t="n">
        <v>510</v>
      </c>
      <c r="B2169" s="42" t="inlineStr">
        <is>
          <t>서울특별시 서초구 서초동</t>
        </is>
      </c>
      <c r="C2169" s="41" t="inlineStr">
        <is>
          <t>1582-3</t>
        </is>
      </c>
      <c r="D2169" s="41" t="inlineStr">
        <is>
          <t>1582</t>
        </is>
      </c>
      <c r="E2169" s="41" t="inlineStr">
        <is>
          <t>0003</t>
        </is>
      </c>
      <c r="F2169" s="42" t="inlineStr">
        <is>
          <t>서초센트럴IPARK</t>
        </is>
      </c>
      <c r="G2169" s="41" t="inlineStr">
        <is>
          <t>80.5098</t>
        </is>
      </c>
      <c r="H2169" s="41" t="inlineStr">
        <is>
          <t>202507</t>
        </is>
      </c>
      <c r="I2169" s="41" t="inlineStr">
        <is>
          <t>02</t>
        </is>
      </c>
      <c r="J2169" s="41" t="inlineStr">
        <is>
          <t>187,000</t>
        </is>
      </c>
      <c r="K2169" s="41" t="inlineStr">
        <is>
          <t>-</t>
        </is>
      </c>
      <c r="L2169" s="41" t="inlineStr">
        <is>
          <t>26</t>
        </is>
      </c>
      <c r="M2169" s="42" t="inlineStr">
        <is>
          <t>개인</t>
        </is>
      </c>
      <c r="N2169" s="42" t="inlineStr">
        <is>
          <t>개인</t>
        </is>
      </c>
      <c r="O2169" s="41" t="inlineStr">
        <is>
          <t>2020</t>
        </is>
      </c>
      <c r="P2169" s="42" t="inlineStr">
        <is>
          <t>반포대로18길 36</t>
        </is>
      </c>
      <c r="Q2169" s="41" t="inlineStr">
        <is>
          <t>20251002</t>
        </is>
      </c>
      <c r="R2169" s="42" t="inlineStr">
        <is>
          <t>중개거래</t>
        </is>
      </c>
      <c r="S2169" s="42" t="inlineStr">
        <is>
          <t>서울 마포구, 서울 서초구</t>
        </is>
      </c>
      <c r="T2169" s="41" t="inlineStr">
        <is>
          <t>-</t>
        </is>
      </c>
      <c r="U2169" s="42" t="inlineStr">
        <is>
          <t>아파트</t>
        </is>
      </c>
    </row>
    <row r="2170" hidden="1" ht="17.25" customHeight="1">
      <c r="A2170" s="41" t="n">
        <v>511</v>
      </c>
      <c r="B2170" s="42" t="inlineStr">
        <is>
          <t>서울특별시 서초구 서초동</t>
        </is>
      </c>
      <c r="C2170" s="41" t="inlineStr">
        <is>
          <t>1685</t>
        </is>
      </c>
      <c r="D2170" s="41" t="inlineStr">
        <is>
          <t>1685</t>
        </is>
      </c>
      <c r="E2170" s="41" t="inlineStr">
        <is>
          <t>0000</t>
        </is>
      </c>
      <c r="F2170" s="42" t="inlineStr">
        <is>
          <t>삼풍아파트</t>
        </is>
      </c>
      <c r="G2170" s="41" t="inlineStr">
        <is>
          <t>79.4700</t>
        </is>
      </c>
      <c r="H2170" s="41" t="inlineStr">
        <is>
          <t>202507</t>
        </is>
      </c>
      <c r="I2170" s="41" t="inlineStr">
        <is>
          <t>02</t>
        </is>
      </c>
      <c r="J2170" s="41" t="inlineStr">
        <is>
          <t>335,000</t>
        </is>
      </c>
      <c r="K2170" s="41" t="inlineStr">
        <is>
          <t>7</t>
        </is>
      </c>
      <c r="L2170" s="41" t="inlineStr">
        <is>
          <t>3</t>
        </is>
      </c>
      <c r="M2170" s="42" t="inlineStr">
        <is>
          <t>개인</t>
        </is>
      </c>
      <c r="N2170" s="42" t="inlineStr">
        <is>
          <t>개인</t>
        </is>
      </c>
      <c r="O2170" s="41" t="inlineStr">
        <is>
          <t>1988</t>
        </is>
      </c>
      <c r="P2170" s="42" t="inlineStr">
        <is>
          <t>서초중앙로 200</t>
        </is>
      </c>
      <c r="Q2170" s="41" t="inlineStr">
        <is>
          <t>-</t>
        </is>
      </c>
      <c r="R2170" s="42" t="inlineStr">
        <is>
          <t>중개거래</t>
        </is>
      </c>
      <c r="S2170" s="42" t="inlineStr">
        <is>
          <t>서울 서초구, 서울 송파구</t>
        </is>
      </c>
      <c r="T2170" s="41" t="inlineStr">
        <is>
          <t>25.09.03</t>
        </is>
      </c>
      <c r="U2170" s="42" t="inlineStr">
        <is>
          <t>아파트</t>
        </is>
      </c>
    </row>
    <row r="2171" hidden="1" ht="17.25" customHeight="1">
      <c r="A2171" s="41" t="n">
        <v>512</v>
      </c>
      <c r="B2171" s="42" t="inlineStr">
        <is>
          <t>서울특별시 서초구 서초동</t>
        </is>
      </c>
      <c r="C2171" s="41" t="inlineStr">
        <is>
          <t>1684</t>
        </is>
      </c>
      <c r="D2171" s="41" t="inlineStr">
        <is>
          <t>1684</t>
        </is>
      </c>
      <c r="E2171" s="41" t="inlineStr">
        <is>
          <t>0000</t>
        </is>
      </c>
      <c r="F2171" s="42" t="inlineStr">
        <is>
          <t>서초4현대</t>
        </is>
      </c>
      <c r="G2171" s="41" t="inlineStr">
        <is>
          <t>52.3600</t>
        </is>
      </c>
      <c r="H2171" s="41" t="inlineStr">
        <is>
          <t>202507</t>
        </is>
      </c>
      <c r="I2171" s="41" t="inlineStr">
        <is>
          <t>02</t>
        </is>
      </c>
      <c r="J2171" s="41" t="inlineStr">
        <is>
          <t>130,000</t>
        </is>
      </c>
      <c r="K2171" s="41" t="inlineStr">
        <is>
          <t>101</t>
        </is>
      </c>
      <c r="L2171" s="41" t="inlineStr">
        <is>
          <t>9</t>
        </is>
      </c>
      <c r="M2171" s="42" t="inlineStr">
        <is>
          <t>개인</t>
        </is>
      </c>
      <c r="N2171" s="42" t="inlineStr">
        <is>
          <t>개인</t>
        </is>
      </c>
      <c r="O2171" s="41" t="inlineStr">
        <is>
          <t>2000</t>
        </is>
      </c>
      <c r="P2171" s="42" t="inlineStr">
        <is>
          <t>고무래로 94</t>
        </is>
      </c>
      <c r="Q2171" s="41" t="inlineStr">
        <is>
          <t>-</t>
        </is>
      </c>
      <c r="R2171" s="42" t="inlineStr">
        <is>
          <t>중개거래</t>
        </is>
      </c>
      <c r="S2171" s="42" t="inlineStr">
        <is>
          <t>서울 서초구</t>
        </is>
      </c>
      <c r="T2171" s="41" t="inlineStr">
        <is>
          <t>25.08.08</t>
        </is>
      </c>
      <c r="U2171" s="42" t="inlineStr">
        <is>
          <t>아파트</t>
        </is>
      </c>
    </row>
    <row r="2172" hidden="1" ht="17.25" customHeight="1">
      <c r="A2172" s="41" t="n">
        <v>513</v>
      </c>
      <c r="B2172" s="42" t="inlineStr">
        <is>
          <t>서울특별시 서초구 서초동</t>
        </is>
      </c>
      <c r="C2172" s="41" t="inlineStr">
        <is>
          <t>1685</t>
        </is>
      </c>
      <c r="D2172" s="41" t="inlineStr">
        <is>
          <t>1685</t>
        </is>
      </c>
      <c r="E2172" s="41" t="inlineStr">
        <is>
          <t>0000</t>
        </is>
      </c>
      <c r="F2172" s="42" t="inlineStr">
        <is>
          <t>삼풍아파트</t>
        </is>
      </c>
      <c r="G2172" s="41" t="inlineStr">
        <is>
          <t>79.4700</t>
        </is>
      </c>
      <c r="H2172" s="41" t="inlineStr">
        <is>
          <t>202507</t>
        </is>
      </c>
      <c r="I2172" s="41" t="inlineStr">
        <is>
          <t>01</t>
        </is>
      </c>
      <c r="J2172" s="41" t="inlineStr">
        <is>
          <t>315,000</t>
        </is>
      </c>
      <c r="K2172" s="41" t="inlineStr">
        <is>
          <t>3</t>
        </is>
      </c>
      <c r="L2172" s="41" t="inlineStr">
        <is>
          <t>6</t>
        </is>
      </c>
      <c r="M2172" s="42" t="inlineStr">
        <is>
          <t>개인</t>
        </is>
      </c>
      <c r="N2172" s="42" t="inlineStr">
        <is>
          <t>개인</t>
        </is>
      </c>
      <c r="O2172" s="41" t="inlineStr">
        <is>
          <t>1988</t>
        </is>
      </c>
      <c r="P2172" s="42" t="inlineStr">
        <is>
          <t>서초중앙로 200</t>
        </is>
      </c>
      <c r="Q2172" s="41" t="inlineStr">
        <is>
          <t>-</t>
        </is>
      </c>
      <c r="R2172" s="42" t="inlineStr">
        <is>
          <t>중개거래</t>
        </is>
      </c>
      <c r="S2172" s="42" t="inlineStr">
        <is>
          <t>서울 서초구</t>
        </is>
      </c>
      <c r="T2172" s="41" t="inlineStr">
        <is>
          <t>25.10.23</t>
        </is>
      </c>
      <c r="U2172" s="42" t="inlineStr">
        <is>
          <t>아파트</t>
        </is>
      </c>
    </row>
    <row r="2173" hidden="1" ht="17.25" customHeight="1">
      <c r="A2173" s="41" t="n">
        <v>514</v>
      </c>
      <c r="B2173" s="42" t="inlineStr">
        <is>
          <t>서울특별시 서초구 서초동</t>
        </is>
      </c>
      <c r="C2173" s="41" t="inlineStr">
        <is>
          <t>1685</t>
        </is>
      </c>
      <c r="D2173" s="41" t="inlineStr">
        <is>
          <t>1685</t>
        </is>
      </c>
      <c r="E2173" s="41" t="inlineStr">
        <is>
          <t>0000</t>
        </is>
      </c>
      <c r="F2173" s="42" t="inlineStr">
        <is>
          <t>삼풍아파트</t>
        </is>
      </c>
      <c r="G2173" s="41" t="inlineStr">
        <is>
          <t>79.4700</t>
        </is>
      </c>
      <c r="H2173" s="41" t="inlineStr">
        <is>
          <t>202507</t>
        </is>
      </c>
      <c r="I2173" s="41" t="inlineStr">
        <is>
          <t>01</t>
        </is>
      </c>
      <c r="J2173" s="41" t="inlineStr">
        <is>
          <t>315,000</t>
        </is>
      </c>
      <c r="K2173" s="41" t="inlineStr">
        <is>
          <t>-</t>
        </is>
      </c>
      <c r="L2173" s="41" t="inlineStr">
        <is>
          <t>6</t>
        </is>
      </c>
      <c r="M2173" s="42" t="inlineStr">
        <is>
          <t>개인</t>
        </is>
      </c>
      <c r="N2173" s="42" t="inlineStr">
        <is>
          <t>개인</t>
        </is>
      </c>
      <c r="O2173" s="41" t="inlineStr">
        <is>
          <t>1988</t>
        </is>
      </c>
      <c r="P2173" s="42" t="inlineStr">
        <is>
          <t>서초중앙로 200</t>
        </is>
      </c>
      <c r="Q2173" s="41" t="inlineStr">
        <is>
          <t>-</t>
        </is>
      </c>
      <c r="R2173" s="42" t="inlineStr">
        <is>
          <t>중개거래</t>
        </is>
      </c>
      <c r="S2173" s="42" t="inlineStr">
        <is>
          <t>서울 서초구</t>
        </is>
      </c>
      <c r="T2173" s="41" t="inlineStr">
        <is>
          <t>-</t>
        </is>
      </c>
      <c r="U2173" s="42" t="inlineStr">
        <is>
          <t>아파트</t>
        </is>
      </c>
    </row>
    <row r="2174" hidden="1" ht="17.25" customHeight="1">
      <c r="A2174" s="41" t="n">
        <v>515</v>
      </c>
      <c r="B2174" s="42" t="inlineStr">
        <is>
          <t>서울특별시 서초구 서초동</t>
        </is>
      </c>
      <c r="C2174" s="41" t="inlineStr">
        <is>
          <t>1685</t>
        </is>
      </c>
      <c r="D2174" s="41" t="inlineStr">
        <is>
          <t>1685</t>
        </is>
      </c>
      <c r="E2174" s="41" t="inlineStr">
        <is>
          <t>0000</t>
        </is>
      </c>
      <c r="F2174" s="42" t="inlineStr">
        <is>
          <t>삼풍아파트</t>
        </is>
      </c>
      <c r="G2174" s="41" t="inlineStr">
        <is>
          <t>165.9200</t>
        </is>
      </c>
      <c r="H2174" s="41" t="inlineStr">
        <is>
          <t>202507</t>
        </is>
      </c>
      <c r="I2174" s="41" t="inlineStr">
        <is>
          <t>01</t>
        </is>
      </c>
      <c r="J2174" s="41" t="inlineStr">
        <is>
          <t>450,000</t>
        </is>
      </c>
      <c r="K2174" s="41" t="inlineStr">
        <is>
          <t>15</t>
        </is>
      </c>
      <c r="L2174" s="41" t="inlineStr">
        <is>
          <t>5</t>
        </is>
      </c>
      <c r="M2174" s="42" t="inlineStr">
        <is>
          <t>개인</t>
        </is>
      </c>
      <c r="N2174" s="42" t="inlineStr">
        <is>
          <t>개인</t>
        </is>
      </c>
      <c r="O2174" s="41" t="inlineStr">
        <is>
          <t>1988</t>
        </is>
      </c>
      <c r="P2174" s="42" t="inlineStr">
        <is>
          <t>서초중앙로 200</t>
        </is>
      </c>
      <c r="Q2174" s="41" t="inlineStr">
        <is>
          <t>-</t>
        </is>
      </c>
      <c r="R2174" s="42" t="inlineStr">
        <is>
          <t>중개거래</t>
        </is>
      </c>
      <c r="S2174" s="42" t="inlineStr">
        <is>
          <t>서울 서초구</t>
        </is>
      </c>
      <c r="T2174" s="41" t="inlineStr">
        <is>
          <t>25.11.14</t>
        </is>
      </c>
      <c r="U2174" s="42" t="inlineStr">
        <is>
          <t>아파트</t>
        </is>
      </c>
    </row>
    <row r="2175" hidden="1" ht="17.25" customHeight="1">
      <c r="A2175" s="41" t="n">
        <v>516</v>
      </c>
      <c r="B2175" s="42" t="inlineStr">
        <is>
          <t>서울특별시 서초구 서초동</t>
        </is>
      </c>
      <c r="C2175" s="41" t="inlineStr">
        <is>
          <t>1312-3</t>
        </is>
      </c>
      <c r="D2175" s="41" t="inlineStr">
        <is>
          <t>1312</t>
        </is>
      </c>
      <c r="E2175" s="41" t="inlineStr">
        <is>
          <t>0003</t>
        </is>
      </c>
      <c r="F2175" s="42" t="inlineStr">
        <is>
          <t>롯데캐슬클래식</t>
        </is>
      </c>
      <c r="G2175" s="41" t="inlineStr">
        <is>
          <t>120.1800</t>
        </is>
      </c>
      <c r="H2175" s="41" t="inlineStr">
        <is>
          <t>202507</t>
        </is>
      </c>
      <c r="I2175" s="41" t="inlineStr">
        <is>
          <t>01</t>
        </is>
      </c>
      <c r="J2175" s="41" t="inlineStr">
        <is>
          <t>320,000</t>
        </is>
      </c>
      <c r="K2175" s="41" t="inlineStr">
        <is>
          <t>106</t>
        </is>
      </c>
      <c r="L2175" s="41" t="inlineStr">
        <is>
          <t>3</t>
        </is>
      </c>
      <c r="M2175" s="42" t="inlineStr">
        <is>
          <t>개인</t>
        </is>
      </c>
      <c r="N2175" s="42" t="inlineStr">
        <is>
          <t>개인</t>
        </is>
      </c>
      <c r="O2175" s="41" t="inlineStr">
        <is>
          <t>2006</t>
        </is>
      </c>
      <c r="P2175" s="42" t="inlineStr">
        <is>
          <t>서운로 197</t>
        </is>
      </c>
      <c r="Q2175" s="41" t="inlineStr">
        <is>
          <t>-</t>
        </is>
      </c>
      <c r="R2175" s="42" t="inlineStr">
        <is>
          <t>중개거래</t>
        </is>
      </c>
      <c r="S2175" s="42" t="inlineStr">
        <is>
          <t>서울 서초구</t>
        </is>
      </c>
      <c r="T2175" s="41" t="inlineStr">
        <is>
          <t>25.09.17</t>
        </is>
      </c>
      <c r="U2175" s="42" t="inlineStr">
        <is>
          <t>아파트</t>
        </is>
      </c>
    </row>
    <row r="2176" hidden="1" ht="17.25" customHeight="1">
      <c r="A2176" s="41" t="n">
        <v>517</v>
      </c>
      <c r="B2176" s="42" t="inlineStr">
        <is>
          <t>서울특별시 서초구 서초동</t>
        </is>
      </c>
      <c r="C2176" s="41" t="inlineStr">
        <is>
          <t>1682</t>
        </is>
      </c>
      <c r="D2176" s="41" t="inlineStr">
        <is>
          <t>1682</t>
        </is>
      </c>
      <c r="E2176" s="41" t="inlineStr">
        <is>
          <t>0000</t>
        </is>
      </c>
      <c r="F2176" s="42" t="inlineStr">
        <is>
          <t>서초래미안</t>
        </is>
      </c>
      <c r="G2176" s="41" t="inlineStr">
        <is>
          <t>126.3100</t>
        </is>
      </c>
      <c r="H2176" s="41" t="inlineStr">
        <is>
          <t>202507</t>
        </is>
      </c>
      <c r="I2176" s="41" t="inlineStr">
        <is>
          <t>01</t>
        </is>
      </c>
      <c r="J2176" s="41" t="inlineStr">
        <is>
          <t>292,000</t>
        </is>
      </c>
      <c r="K2176" s="41" t="inlineStr">
        <is>
          <t>107</t>
        </is>
      </c>
      <c r="L2176" s="41" t="inlineStr">
        <is>
          <t>9</t>
        </is>
      </c>
      <c r="M2176" s="42" t="inlineStr">
        <is>
          <t>개인</t>
        </is>
      </c>
      <c r="N2176" s="42" t="inlineStr">
        <is>
          <t>개인</t>
        </is>
      </c>
      <c r="O2176" s="41" t="inlineStr">
        <is>
          <t>2003</t>
        </is>
      </c>
      <c r="P2176" s="42" t="inlineStr">
        <is>
          <t>서초대로65길 13-10</t>
        </is>
      </c>
      <c r="Q2176" s="41" t="inlineStr">
        <is>
          <t>-</t>
        </is>
      </c>
      <c r="R2176" s="42" t="inlineStr">
        <is>
          <t>중개거래</t>
        </is>
      </c>
      <c r="S2176" s="42" t="inlineStr">
        <is>
          <t>서울 서초구</t>
        </is>
      </c>
      <c r="T2176" s="41" t="inlineStr">
        <is>
          <t>25.11.14</t>
        </is>
      </c>
      <c r="U2176" s="42" t="inlineStr">
        <is>
          <t>아파트</t>
        </is>
      </c>
    </row>
    <row r="2177" hidden="1" ht="17.25" customHeight="1">
      <c r="A2177" s="41" t="n">
        <v>518</v>
      </c>
      <c r="B2177" s="42" t="inlineStr">
        <is>
          <t>서울특별시 서초구 서초동</t>
        </is>
      </c>
      <c r="C2177" s="41" t="inlineStr">
        <is>
          <t>1644</t>
        </is>
      </c>
      <c r="D2177" s="41" t="inlineStr">
        <is>
          <t>1644</t>
        </is>
      </c>
      <c r="E2177" s="41" t="inlineStr">
        <is>
          <t>0000</t>
        </is>
      </c>
      <c r="F2177" s="42" t="inlineStr">
        <is>
          <t>현대서초3</t>
        </is>
      </c>
      <c r="G2177" s="41" t="inlineStr">
        <is>
          <t>84.4900</t>
        </is>
      </c>
      <c r="H2177" s="41" t="inlineStr">
        <is>
          <t>202507</t>
        </is>
      </c>
      <c r="I2177" s="41" t="inlineStr">
        <is>
          <t>01</t>
        </is>
      </c>
      <c r="J2177" s="41" t="inlineStr">
        <is>
          <t>174,000</t>
        </is>
      </c>
      <c r="K2177" s="41" t="inlineStr">
        <is>
          <t>301</t>
        </is>
      </c>
      <c r="L2177" s="41" t="inlineStr">
        <is>
          <t>5</t>
        </is>
      </c>
      <c r="M2177" s="42" t="inlineStr">
        <is>
          <t>개인</t>
        </is>
      </c>
      <c r="N2177" s="42" t="inlineStr">
        <is>
          <t>개인</t>
        </is>
      </c>
      <c r="O2177" s="41" t="inlineStr">
        <is>
          <t>1997</t>
        </is>
      </c>
      <c r="P2177" s="42" t="inlineStr">
        <is>
          <t>사임당로23길 58</t>
        </is>
      </c>
      <c r="Q2177" s="41" t="inlineStr">
        <is>
          <t>-</t>
        </is>
      </c>
      <c r="R2177" s="42" t="inlineStr">
        <is>
          <t>중개거래</t>
        </is>
      </c>
      <c r="S2177" s="42" t="inlineStr">
        <is>
          <t>서울 서초구</t>
        </is>
      </c>
      <c r="T2177" s="41" t="inlineStr">
        <is>
          <t>25.09.12</t>
        </is>
      </c>
      <c r="U2177" s="42" t="inlineStr">
        <is>
          <t>아파트</t>
        </is>
      </c>
    </row>
    <row r="2178" hidden="1" ht="17.25" customHeight="1">
      <c r="A2178" s="41" t="n">
        <v>519</v>
      </c>
      <c r="B2178" s="42" t="inlineStr">
        <is>
          <t>서울특별시 서초구 서초동</t>
        </is>
      </c>
      <c r="C2178" s="41" t="inlineStr">
        <is>
          <t>1648-2</t>
        </is>
      </c>
      <c r="D2178" s="41" t="inlineStr">
        <is>
          <t>1648</t>
        </is>
      </c>
      <c r="E2178" s="41" t="inlineStr">
        <is>
          <t>0002</t>
        </is>
      </c>
      <c r="F2178" s="42" t="inlineStr">
        <is>
          <t>서초현대</t>
        </is>
      </c>
      <c r="G2178" s="41" t="inlineStr">
        <is>
          <t>53.0100</t>
        </is>
      </c>
      <c r="H2178" s="41" t="inlineStr">
        <is>
          <t>202507</t>
        </is>
      </c>
      <c r="I2178" s="41" t="inlineStr">
        <is>
          <t>01</t>
        </is>
      </c>
      <c r="J2178" s="41" t="inlineStr">
        <is>
          <t>125,000</t>
        </is>
      </c>
      <c r="K2178" s="41" t="inlineStr">
        <is>
          <t>102</t>
        </is>
      </c>
      <c r="L2178" s="41" t="inlineStr">
        <is>
          <t>2</t>
        </is>
      </c>
      <c r="M2178" s="42" t="inlineStr">
        <is>
          <t>개인</t>
        </is>
      </c>
      <c r="N2178" s="42" t="inlineStr">
        <is>
          <t>개인</t>
        </is>
      </c>
      <c r="O2178" s="41" t="inlineStr">
        <is>
          <t>1999</t>
        </is>
      </c>
      <c r="P2178" s="42" t="inlineStr">
        <is>
          <t>사임당로19길 10</t>
        </is>
      </c>
      <c r="Q2178" s="41" t="inlineStr">
        <is>
          <t>-</t>
        </is>
      </c>
      <c r="R2178" s="42" t="inlineStr">
        <is>
          <t>중개거래</t>
        </is>
      </c>
      <c r="S2178" s="42" t="inlineStr">
        <is>
          <t>서울 서초구</t>
        </is>
      </c>
      <c r="T2178" s="41" t="inlineStr">
        <is>
          <t>25.10.31</t>
        </is>
      </c>
      <c r="U2178" s="42" t="inlineStr">
        <is>
          <t>아파트</t>
        </is>
      </c>
    </row>
    <row r="2179" hidden="1" ht="17.25" customHeight="1">
      <c r="A2179" s="41" t="n">
        <v>520</v>
      </c>
      <c r="B2179" s="42" t="inlineStr">
        <is>
          <t>서울특별시 서초구 서초동</t>
        </is>
      </c>
      <c r="C2179" s="41" t="inlineStr">
        <is>
          <t>1682</t>
        </is>
      </c>
      <c r="D2179" s="41" t="inlineStr">
        <is>
          <t>1682</t>
        </is>
      </c>
      <c r="E2179" s="41" t="inlineStr">
        <is>
          <t>0000</t>
        </is>
      </c>
      <c r="F2179" s="42" t="inlineStr">
        <is>
          <t>서초래미안</t>
        </is>
      </c>
      <c r="G2179" s="41" t="inlineStr">
        <is>
          <t>126.3100</t>
        </is>
      </c>
      <c r="H2179" s="41" t="inlineStr">
        <is>
          <t>202506</t>
        </is>
      </c>
      <c r="I2179" s="41" t="inlineStr">
        <is>
          <t>30</t>
        </is>
      </c>
      <c r="J2179" s="41" t="inlineStr">
        <is>
          <t>325,000</t>
        </is>
      </c>
      <c r="K2179" s="41" t="inlineStr">
        <is>
          <t>110</t>
        </is>
      </c>
      <c r="L2179" s="41" t="inlineStr">
        <is>
          <t>9</t>
        </is>
      </c>
      <c r="M2179" s="42" t="inlineStr">
        <is>
          <t>개인</t>
        </is>
      </c>
      <c r="N2179" s="42" t="inlineStr">
        <is>
          <t>개인</t>
        </is>
      </c>
      <c r="O2179" s="41" t="inlineStr">
        <is>
          <t>2003</t>
        </is>
      </c>
      <c r="P2179" s="42" t="inlineStr">
        <is>
          <t>서초대로65길 13-10</t>
        </is>
      </c>
      <c r="Q2179" s="41" t="inlineStr">
        <is>
          <t>-</t>
        </is>
      </c>
      <c r="R2179" s="42" t="inlineStr">
        <is>
          <t>중개거래</t>
        </is>
      </c>
      <c r="S2179" s="42" t="inlineStr">
        <is>
          <t>서울 서초구</t>
        </is>
      </c>
      <c r="T2179" s="41" t="inlineStr">
        <is>
          <t>25.11.03</t>
        </is>
      </c>
      <c r="U2179" s="42" t="inlineStr">
        <is>
          <t>아파트</t>
        </is>
      </c>
    </row>
    <row r="2180" hidden="1" ht="17.25" customHeight="1">
      <c r="A2180" s="41" t="n">
        <v>521</v>
      </c>
      <c r="B2180" s="42" t="inlineStr">
        <is>
          <t>서울특별시 서초구 서초동</t>
        </is>
      </c>
      <c r="C2180" s="41" t="inlineStr">
        <is>
          <t>1685-3</t>
        </is>
      </c>
      <c r="D2180" s="41" t="inlineStr">
        <is>
          <t>1685</t>
        </is>
      </c>
      <c r="E2180" s="41" t="inlineStr">
        <is>
          <t>0003</t>
        </is>
      </c>
      <c r="F2180" s="42" t="inlineStr">
        <is>
          <t>아크로비스타</t>
        </is>
      </c>
      <c r="G2180" s="41" t="inlineStr">
        <is>
          <t>151.6100</t>
        </is>
      </c>
      <c r="H2180" s="41" t="inlineStr">
        <is>
          <t>202506</t>
        </is>
      </c>
      <c r="I2180" s="41" t="inlineStr">
        <is>
          <t>30</t>
        </is>
      </c>
      <c r="J2180" s="41" t="inlineStr">
        <is>
          <t>353,000</t>
        </is>
      </c>
      <c r="K2180" s="41" t="inlineStr">
        <is>
          <t>A</t>
        </is>
      </c>
      <c r="L2180" s="41" t="inlineStr">
        <is>
          <t>29</t>
        </is>
      </c>
      <c r="M2180" s="42" t="inlineStr">
        <is>
          <t>개인</t>
        </is>
      </c>
      <c r="N2180" s="42" t="inlineStr">
        <is>
          <t>개인</t>
        </is>
      </c>
      <c r="O2180" s="41" t="inlineStr">
        <is>
          <t>2004</t>
        </is>
      </c>
      <c r="P2180" s="42" t="inlineStr">
        <is>
          <t>서초중앙로 188</t>
        </is>
      </c>
      <c r="Q2180" s="41" t="inlineStr">
        <is>
          <t>-</t>
        </is>
      </c>
      <c r="R2180" s="42" t="inlineStr">
        <is>
          <t>중개거래</t>
        </is>
      </c>
      <c r="S2180" s="42" t="inlineStr">
        <is>
          <t>서울 강남구, 서울 서초구</t>
        </is>
      </c>
      <c r="T2180" s="41" t="inlineStr">
        <is>
          <t>25.10.30</t>
        </is>
      </c>
      <c r="U2180" s="42" t="inlineStr">
        <is>
          <t>아파트</t>
        </is>
      </c>
    </row>
    <row r="2181" hidden="1" ht="17.25" customHeight="1">
      <c r="A2181" s="41" t="n">
        <v>522</v>
      </c>
      <c r="B2181" s="42" t="inlineStr">
        <is>
          <t>서울특별시 서초구 서초동</t>
        </is>
      </c>
      <c r="C2181" s="41" t="inlineStr">
        <is>
          <t>1446-11</t>
        </is>
      </c>
      <c r="D2181" s="41" t="inlineStr">
        <is>
          <t>1446</t>
        </is>
      </c>
      <c r="E2181" s="41" t="inlineStr">
        <is>
          <t>0011</t>
        </is>
      </c>
      <c r="F2181" s="42" t="inlineStr">
        <is>
          <t>현대슈퍼빌</t>
        </is>
      </c>
      <c r="G2181" s="41" t="inlineStr">
        <is>
          <t>153.9300</t>
        </is>
      </c>
      <c r="H2181" s="41" t="inlineStr">
        <is>
          <t>202506</t>
        </is>
      </c>
      <c r="I2181" s="41" t="inlineStr">
        <is>
          <t>30</t>
        </is>
      </c>
      <c r="J2181" s="41" t="inlineStr">
        <is>
          <t>258,000</t>
        </is>
      </c>
      <c r="K2181" s="41" t="inlineStr">
        <is>
          <t>D</t>
        </is>
      </c>
      <c r="L2181" s="41" t="inlineStr">
        <is>
          <t>5</t>
        </is>
      </c>
      <c r="M2181" s="42" t="inlineStr">
        <is>
          <t>개인</t>
        </is>
      </c>
      <c r="N2181" s="42" t="inlineStr">
        <is>
          <t>개인</t>
        </is>
      </c>
      <c r="O2181" s="41" t="inlineStr">
        <is>
          <t>2003</t>
        </is>
      </c>
      <c r="P2181" s="42" t="inlineStr">
        <is>
          <t>서초중앙로 15</t>
        </is>
      </c>
      <c r="Q2181" s="41" t="inlineStr">
        <is>
          <t>-</t>
        </is>
      </c>
      <c r="R2181" s="42" t="inlineStr">
        <is>
          <t>중개거래</t>
        </is>
      </c>
      <c r="S2181" s="42" t="inlineStr">
        <is>
          <t>서울 서초구</t>
        </is>
      </c>
      <c r="T2181" s="41" t="inlineStr">
        <is>
          <t>25.09.17</t>
        </is>
      </c>
      <c r="U2181" s="42" t="inlineStr">
        <is>
          <t>아파트</t>
        </is>
      </c>
    </row>
    <row r="2182" hidden="1" ht="17.25" customHeight="1">
      <c r="A2182" s="41" t="n">
        <v>523</v>
      </c>
      <c r="B2182" s="42" t="inlineStr">
        <is>
          <t>서울특별시 서초구 서초동</t>
        </is>
      </c>
      <c r="C2182" s="41" t="inlineStr">
        <is>
          <t>1641-3</t>
        </is>
      </c>
      <c r="D2182" s="41" t="inlineStr">
        <is>
          <t>1641</t>
        </is>
      </c>
      <c r="E2182" s="41" t="inlineStr">
        <is>
          <t>0003</t>
        </is>
      </c>
      <c r="F2182" s="42" t="inlineStr">
        <is>
          <t>대성유니드</t>
        </is>
      </c>
      <c r="G2182" s="41" t="inlineStr">
        <is>
          <t>84.9910</t>
        </is>
      </c>
      <c r="H2182" s="41" t="inlineStr">
        <is>
          <t>202506</t>
        </is>
      </c>
      <c r="I2182" s="41" t="inlineStr">
        <is>
          <t>28</t>
        </is>
      </c>
      <c r="J2182" s="41" t="inlineStr">
        <is>
          <t>188,000</t>
        </is>
      </c>
      <c r="K2182" s="41" t="inlineStr">
        <is>
          <t>101</t>
        </is>
      </c>
      <c r="L2182" s="41" t="inlineStr">
        <is>
          <t>12</t>
        </is>
      </c>
      <c r="M2182" s="42" t="inlineStr">
        <is>
          <t>개인</t>
        </is>
      </c>
      <c r="N2182" s="42" t="inlineStr">
        <is>
          <t>개인</t>
        </is>
      </c>
      <c r="O2182" s="41" t="inlineStr">
        <is>
          <t>2004</t>
        </is>
      </c>
      <c r="P2182" s="42" t="inlineStr">
        <is>
          <t>서초대로64길 36</t>
        </is>
      </c>
      <c r="Q2182" s="41" t="inlineStr">
        <is>
          <t>-</t>
        </is>
      </c>
      <c r="R2182" s="42" t="inlineStr">
        <is>
          <t>중개거래</t>
        </is>
      </c>
      <c r="S2182" s="42" t="inlineStr">
        <is>
          <t>서울 서초구</t>
        </is>
      </c>
      <c r="T2182" s="41" t="inlineStr">
        <is>
          <t>25.09.23</t>
        </is>
      </c>
      <c r="U2182" s="42" t="inlineStr">
        <is>
          <t>아파트</t>
        </is>
      </c>
    </row>
    <row r="2183" hidden="1" ht="17.25" customHeight="1">
      <c r="A2183" s="41" t="n">
        <v>524</v>
      </c>
      <c r="B2183" s="42" t="inlineStr">
        <is>
          <t>서울특별시 서초구 서초동</t>
        </is>
      </c>
      <c r="C2183" s="41" t="inlineStr">
        <is>
          <t>1685</t>
        </is>
      </c>
      <c r="D2183" s="41" t="inlineStr">
        <is>
          <t>1685</t>
        </is>
      </c>
      <c r="E2183" s="41" t="inlineStr">
        <is>
          <t>0000</t>
        </is>
      </c>
      <c r="F2183" s="42" t="inlineStr">
        <is>
          <t>삼풍아파트</t>
        </is>
      </c>
      <c r="G2183" s="41" t="inlineStr">
        <is>
          <t>130.7300</t>
        </is>
      </c>
      <c r="H2183" s="41" t="inlineStr">
        <is>
          <t>202506</t>
        </is>
      </c>
      <c r="I2183" s="41" t="inlineStr">
        <is>
          <t>28</t>
        </is>
      </c>
      <c r="J2183" s="41" t="inlineStr">
        <is>
          <t>408,000</t>
        </is>
      </c>
      <c r="K2183" s="41" t="inlineStr">
        <is>
          <t>13</t>
        </is>
      </c>
      <c r="L2183" s="41" t="inlineStr">
        <is>
          <t>3</t>
        </is>
      </c>
      <c r="M2183" s="42" t="inlineStr">
        <is>
          <t>개인</t>
        </is>
      </c>
      <c r="N2183" s="42" t="inlineStr">
        <is>
          <t>개인</t>
        </is>
      </c>
      <c r="O2183" s="41" t="inlineStr">
        <is>
          <t>1988</t>
        </is>
      </c>
      <c r="P2183" s="42" t="inlineStr">
        <is>
          <t>서초중앙로 200</t>
        </is>
      </c>
      <c r="Q2183" s="41" t="inlineStr">
        <is>
          <t>-</t>
        </is>
      </c>
      <c r="R2183" s="42" t="inlineStr">
        <is>
          <t>중개거래</t>
        </is>
      </c>
      <c r="S2183" s="42" t="inlineStr">
        <is>
          <t>서울 서초구</t>
        </is>
      </c>
      <c r="T2183" s="41" t="inlineStr">
        <is>
          <t>25.10.16</t>
        </is>
      </c>
      <c r="U2183" s="42" t="inlineStr">
        <is>
          <t>아파트</t>
        </is>
      </c>
    </row>
    <row r="2184" hidden="1" ht="17.25" customHeight="1">
      <c r="A2184" s="41" t="n">
        <v>525</v>
      </c>
      <c r="B2184" s="42" t="inlineStr">
        <is>
          <t>서울특별시 서초구 서초동</t>
        </is>
      </c>
      <c r="C2184" s="41" t="inlineStr">
        <is>
          <t>1529</t>
        </is>
      </c>
      <c r="D2184" s="41" t="inlineStr">
        <is>
          <t>1529</t>
        </is>
      </c>
      <c r="E2184" s="41" t="inlineStr">
        <is>
          <t>0000</t>
        </is>
      </c>
      <c r="F2184" s="42" t="inlineStr">
        <is>
          <t>서초2차e-편한세상</t>
        </is>
      </c>
      <c r="G2184" s="41" t="inlineStr">
        <is>
          <t>84.6700</t>
        </is>
      </c>
      <c r="H2184" s="41" t="inlineStr">
        <is>
          <t>202506</t>
        </is>
      </c>
      <c r="I2184" s="41" t="inlineStr">
        <is>
          <t>28</t>
        </is>
      </c>
      <c r="J2184" s="41" t="inlineStr">
        <is>
          <t>196,500</t>
        </is>
      </c>
      <c r="K2184" s="41" t="inlineStr">
        <is>
          <t>201</t>
        </is>
      </c>
      <c r="L2184" s="41" t="inlineStr">
        <is>
          <t>4</t>
        </is>
      </c>
      <c r="M2184" s="42" t="inlineStr">
        <is>
          <t>개인</t>
        </is>
      </c>
      <c r="N2184" s="42" t="inlineStr">
        <is>
          <t>개인</t>
        </is>
      </c>
      <c r="O2184" s="41" t="inlineStr">
        <is>
          <t>2005</t>
        </is>
      </c>
      <c r="P2184" s="42" t="inlineStr">
        <is>
          <t>효령로49길 57</t>
        </is>
      </c>
      <c r="Q2184" s="41" t="inlineStr">
        <is>
          <t>-</t>
        </is>
      </c>
      <c r="R2184" s="42" t="inlineStr">
        <is>
          <t>중개거래</t>
        </is>
      </c>
      <c r="S2184" s="42" t="inlineStr">
        <is>
          <t>서울 서초구</t>
        </is>
      </c>
      <c r="T2184" s="41" t="inlineStr">
        <is>
          <t>25.09.22</t>
        </is>
      </c>
      <c r="U2184" s="42" t="inlineStr">
        <is>
          <t>아파트</t>
        </is>
      </c>
    </row>
    <row r="2185" hidden="1" ht="17.25" customHeight="1">
      <c r="A2185" s="41" t="n">
        <v>526</v>
      </c>
      <c r="B2185" s="42" t="inlineStr">
        <is>
          <t>서울특별시 서초구 서초동</t>
        </is>
      </c>
      <c r="C2185" s="41" t="inlineStr">
        <is>
          <t>1582-3</t>
        </is>
      </c>
      <c r="D2185" s="41" t="inlineStr">
        <is>
          <t>1582</t>
        </is>
      </c>
      <c r="E2185" s="41" t="inlineStr">
        <is>
          <t>0003</t>
        </is>
      </c>
      <c r="F2185" s="42" t="inlineStr">
        <is>
          <t>서초센트럴IPARK</t>
        </is>
      </c>
      <c r="G2185" s="41" t="inlineStr">
        <is>
          <t>80.5154</t>
        </is>
      </c>
      <c r="H2185" s="41" t="inlineStr">
        <is>
          <t>202506</t>
        </is>
      </c>
      <c r="I2185" s="41" t="inlineStr">
        <is>
          <t>28</t>
        </is>
      </c>
      <c r="J2185" s="41" t="inlineStr">
        <is>
          <t>200,000</t>
        </is>
      </c>
      <c r="K2185" s="41" t="inlineStr">
        <is>
          <t>101동</t>
        </is>
      </c>
      <c r="L2185" s="41" t="inlineStr">
        <is>
          <t>33</t>
        </is>
      </c>
      <c r="M2185" s="42" t="inlineStr">
        <is>
          <t>개인</t>
        </is>
      </c>
      <c r="N2185" s="42" t="inlineStr">
        <is>
          <t>개인</t>
        </is>
      </c>
      <c r="O2185" s="41" t="inlineStr">
        <is>
          <t>2020</t>
        </is>
      </c>
      <c r="P2185" s="42" t="inlineStr">
        <is>
          <t>반포대로18길 36</t>
        </is>
      </c>
      <c r="Q2185" s="41" t="inlineStr">
        <is>
          <t>-</t>
        </is>
      </c>
      <c r="R2185" s="42" t="inlineStr">
        <is>
          <t>중개거래</t>
        </is>
      </c>
      <c r="S2185" s="42" t="inlineStr">
        <is>
          <t>서울 서초구</t>
        </is>
      </c>
      <c r="T2185" s="41" t="inlineStr">
        <is>
          <t>25.11.07</t>
        </is>
      </c>
      <c r="U2185" s="42" t="inlineStr">
        <is>
          <t>아파트</t>
        </is>
      </c>
    </row>
    <row r="2186" hidden="1" ht="17.25" customHeight="1">
      <c r="A2186" s="41" t="n">
        <v>527</v>
      </c>
      <c r="B2186" s="42" t="inlineStr">
        <is>
          <t>서울특별시 서초구 서초동</t>
        </is>
      </c>
      <c r="C2186" s="41" t="inlineStr">
        <is>
          <t>1582-3</t>
        </is>
      </c>
      <c r="D2186" s="41" t="inlineStr">
        <is>
          <t>1582</t>
        </is>
      </c>
      <c r="E2186" s="41" t="inlineStr">
        <is>
          <t>0003</t>
        </is>
      </c>
      <c r="F2186" s="42" t="inlineStr">
        <is>
          <t>서초센트럴IPARK</t>
        </is>
      </c>
      <c r="G2186" s="41" t="inlineStr">
        <is>
          <t>80.5154</t>
        </is>
      </c>
      <c r="H2186" s="41" t="inlineStr">
        <is>
          <t>202506</t>
        </is>
      </c>
      <c r="I2186" s="41" t="inlineStr">
        <is>
          <t>27</t>
        </is>
      </c>
      <c r="J2186" s="41" t="inlineStr">
        <is>
          <t>175,000</t>
        </is>
      </c>
      <c r="K2186" s="41" t="inlineStr">
        <is>
          <t>101동</t>
        </is>
      </c>
      <c r="L2186" s="41" t="inlineStr">
        <is>
          <t>9</t>
        </is>
      </c>
      <c r="M2186" s="42" t="inlineStr">
        <is>
          <t>개인</t>
        </is>
      </c>
      <c r="N2186" s="42" t="inlineStr">
        <is>
          <t>개인</t>
        </is>
      </c>
      <c r="O2186" s="41" t="inlineStr">
        <is>
          <t>2020</t>
        </is>
      </c>
      <c r="P2186" s="42" t="inlineStr">
        <is>
          <t>반포대로18길 36</t>
        </is>
      </c>
      <c r="Q2186" s="41" t="inlineStr">
        <is>
          <t>-</t>
        </is>
      </c>
      <c r="R2186" s="42" t="inlineStr">
        <is>
          <t>중개거래</t>
        </is>
      </c>
      <c r="S2186" s="42" t="inlineStr">
        <is>
          <t>서울 강남구, 서울 서초구</t>
        </is>
      </c>
      <c r="T2186" s="41" t="inlineStr">
        <is>
          <t>25.09.23</t>
        </is>
      </c>
      <c r="U2186" s="42" t="inlineStr">
        <is>
          <t>아파트</t>
        </is>
      </c>
    </row>
    <row r="2187" hidden="1" ht="17.25" customHeight="1">
      <c r="A2187" s="41" t="n">
        <v>528</v>
      </c>
      <c r="B2187" s="42" t="inlineStr">
        <is>
          <t>서울특별시 서초구 서초동</t>
        </is>
      </c>
      <c r="C2187" s="41" t="inlineStr">
        <is>
          <t>1754</t>
        </is>
      </c>
      <c r="D2187" s="41" t="inlineStr">
        <is>
          <t>1754</t>
        </is>
      </c>
      <c r="E2187" s="41" t="inlineStr">
        <is>
          <t>0000</t>
        </is>
      </c>
      <c r="F2187" s="42" t="inlineStr">
        <is>
          <t>래미안서초에스티지S</t>
        </is>
      </c>
      <c r="G2187" s="41" t="inlineStr">
        <is>
          <t>84.8000</t>
        </is>
      </c>
      <c r="H2187" s="41" t="inlineStr">
        <is>
          <t>202506</t>
        </is>
      </c>
      <c r="I2187" s="41" t="inlineStr">
        <is>
          <t>27</t>
        </is>
      </c>
      <c r="J2187" s="41" t="inlineStr">
        <is>
          <t>348,000</t>
        </is>
      </c>
      <c r="K2187" s="41" t="inlineStr">
        <is>
          <t>204</t>
        </is>
      </c>
      <c r="L2187" s="41" t="inlineStr">
        <is>
          <t>15</t>
        </is>
      </c>
      <c r="M2187" s="42" t="inlineStr">
        <is>
          <t>개인</t>
        </is>
      </c>
      <c r="N2187" s="42" t="inlineStr">
        <is>
          <t>개인</t>
        </is>
      </c>
      <c r="O2187" s="41" t="inlineStr">
        <is>
          <t>2018</t>
        </is>
      </c>
      <c r="P2187" s="42" t="inlineStr">
        <is>
          <t>서운로 104</t>
        </is>
      </c>
      <c r="Q2187" s="41" t="inlineStr">
        <is>
          <t>-</t>
        </is>
      </c>
      <c r="R2187" s="42" t="inlineStr">
        <is>
          <t>중개거래</t>
        </is>
      </c>
      <c r="S2187" s="42" t="inlineStr">
        <is>
          <t>서울 서초구</t>
        </is>
      </c>
      <c r="T2187" s="41" t="inlineStr">
        <is>
          <t>25.09.12</t>
        </is>
      </c>
      <c r="U2187" s="42" t="inlineStr">
        <is>
          <t>아파트</t>
        </is>
      </c>
    </row>
    <row r="2188" hidden="1" ht="17.25" customHeight="1">
      <c r="A2188" s="41" t="n">
        <v>529</v>
      </c>
      <c r="B2188" s="42" t="inlineStr">
        <is>
          <t>서울특별시 서초구 서초동</t>
        </is>
      </c>
      <c r="C2188" s="41" t="inlineStr">
        <is>
          <t>1311-10</t>
        </is>
      </c>
      <c r="D2188" s="41" t="inlineStr">
        <is>
          <t>1311</t>
        </is>
      </c>
      <c r="E2188" s="41" t="inlineStr">
        <is>
          <t>0010</t>
        </is>
      </c>
      <c r="F2188" s="42" t="inlineStr">
        <is>
          <t>서초푸르지오써밋</t>
        </is>
      </c>
      <c r="G2188" s="41" t="inlineStr">
        <is>
          <t>59.6200</t>
        </is>
      </c>
      <c r="H2188" s="41" t="inlineStr">
        <is>
          <t>202506</t>
        </is>
      </c>
      <c r="I2188" s="41" t="inlineStr">
        <is>
          <t>27</t>
        </is>
      </c>
      <c r="J2188" s="41" t="inlineStr">
        <is>
          <t>290,000</t>
        </is>
      </c>
      <c r="K2188" s="41" t="inlineStr">
        <is>
          <t>102</t>
        </is>
      </c>
      <c r="L2188" s="41" t="inlineStr">
        <is>
          <t>17</t>
        </is>
      </c>
      <c r="M2188" s="42" t="inlineStr">
        <is>
          <t>개인</t>
        </is>
      </c>
      <c r="N2188" s="42" t="inlineStr">
        <is>
          <t>개인</t>
        </is>
      </c>
      <c r="O2188" s="41" t="inlineStr">
        <is>
          <t>2017</t>
        </is>
      </c>
      <c r="P2188" s="42" t="inlineStr">
        <is>
          <t>서운로 201</t>
        </is>
      </c>
      <c r="Q2188" s="41" t="inlineStr">
        <is>
          <t>-</t>
        </is>
      </c>
      <c r="R2188" s="42" t="inlineStr">
        <is>
          <t>중개거래</t>
        </is>
      </c>
      <c r="S2188" s="42" t="inlineStr">
        <is>
          <t>서울 서초구</t>
        </is>
      </c>
      <c r="T2188" s="41" t="inlineStr">
        <is>
          <t>25.10.27</t>
        </is>
      </c>
      <c r="U2188" s="42" t="inlineStr">
        <is>
          <t>아파트</t>
        </is>
      </c>
    </row>
    <row r="2189" hidden="1" ht="17.25" customHeight="1">
      <c r="A2189" s="41" t="n">
        <v>530</v>
      </c>
      <c r="B2189" s="42" t="inlineStr">
        <is>
          <t>서울특별시 서초구 서초동</t>
        </is>
      </c>
      <c r="C2189" s="41" t="inlineStr">
        <is>
          <t>1332-13</t>
        </is>
      </c>
      <c r="D2189" s="41" t="inlineStr">
        <is>
          <t>1332</t>
        </is>
      </c>
      <c r="E2189" s="41" t="inlineStr">
        <is>
          <t>0013</t>
        </is>
      </c>
      <c r="F2189" s="42" t="inlineStr">
        <is>
          <t>래미안서초에스티지</t>
        </is>
      </c>
      <c r="G2189" s="41" t="inlineStr">
        <is>
          <t>139.9900</t>
        </is>
      </c>
      <c r="H2189" s="41" t="inlineStr">
        <is>
          <t>202506</t>
        </is>
      </c>
      <c r="I2189" s="41" t="inlineStr">
        <is>
          <t>27</t>
        </is>
      </c>
      <c r="J2189" s="41" t="inlineStr">
        <is>
          <t>400,000</t>
        </is>
      </c>
      <c r="K2189" s="41" t="inlineStr">
        <is>
          <t>101동</t>
        </is>
      </c>
      <c r="L2189" s="41" t="inlineStr">
        <is>
          <t>11</t>
        </is>
      </c>
      <c r="M2189" s="42" t="inlineStr">
        <is>
          <t>개인</t>
        </is>
      </c>
      <c r="N2189" s="42" t="inlineStr">
        <is>
          <t>개인</t>
        </is>
      </c>
      <c r="O2189" s="41" t="inlineStr">
        <is>
          <t>2016</t>
        </is>
      </c>
      <c r="P2189" s="42" t="inlineStr">
        <is>
          <t>서운로 107</t>
        </is>
      </c>
      <c r="Q2189" s="41" t="inlineStr">
        <is>
          <t>-</t>
        </is>
      </c>
      <c r="R2189" s="42" t="inlineStr">
        <is>
          <t>중개거래</t>
        </is>
      </c>
      <c r="S2189" s="42" t="inlineStr">
        <is>
          <t>서울 서초구</t>
        </is>
      </c>
      <c r="T2189" s="41" t="inlineStr">
        <is>
          <t>25.10.24</t>
        </is>
      </c>
      <c r="U2189" s="42" t="inlineStr">
        <is>
          <t>아파트</t>
        </is>
      </c>
    </row>
    <row r="2190" hidden="1" ht="17.25" customHeight="1">
      <c r="A2190" s="41" t="n">
        <v>531</v>
      </c>
      <c r="B2190" s="42" t="inlineStr">
        <is>
          <t>서울특별시 서초구 서초동</t>
        </is>
      </c>
      <c r="C2190" s="41" t="inlineStr">
        <is>
          <t>1681-8</t>
        </is>
      </c>
      <c r="D2190" s="41" t="inlineStr">
        <is>
          <t>1681</t>
        </is>
      </c>
      <c r="E2190" s="41" t="inlineStr">
        <is>
          <t>0008</t>
        </is>
      </c>
      <c r="F2190" s="42" t="inlineStr">
        <is>
          <t>서초롯데캐슬프레지던트</t>
        </is>
      </c>
      <c r="G2190" s="41" t="inlineStr">
        <is>
          <t>84.9700</t>
        </is>
      </c>
      <c r="H2190" s="41" t="inlineStr">
        <is>
          <t>202506</t>
        </is>
      </c>
      <c r="I2190" s="41" t="inlineStr">
        <is>
          <t>27</t>
        </is>
      </c>
      <c r="J2190" s="41" t="inlineStr">
        <is>
          <t>278,000</t>
        </is>
      </c>
      <c r="K2190" s="41" t="inlineStr">
        <is>
          <t>103</t>
        </is>
      </c>
      <c r="L2190" s="41" t="inlineStr">
        <is>
          <t>20</t>
        </is>
      </c>
      <c r="M2190" s="42" t="inlineStr">
        <is>
          <t>개인</t>
        </is>
      </c>
      <c r="N2190" s="42" t="inlineStr">
        <is>
          <t>개인</t>
        </is>
      </c>
      <c r="O2190" s="41" t="inlineStr">
        <is>
          <t>2014</t>
        </is>
      </c>
      <c r="P2190" s="42" t="inlineStr">
        <is>
          <t>서초중앙로24길 57</t>
        </is>
      </c>
      <c r="Q2190" s="41" t="inlineStr">
        <is>
          <t>-</t>
        </is>
      </c>
      <c r="R2190" s="42" t="inlineStr">
        <is>
          <t>중개거래</t>
        </is>
      </c>
      <c r="S2190" s="42" t="inlineStr">
        <is>
          <t>서울 서초구</t>
        </is>
      </c>
      <c r="T2190" s="41" t="inlineStr">
        <is>
          <t>25.08.25</t>
        </is>
      </c>
      <c r="U2190" s="42" t="inlineStr">
        <is>
          <t>아파트</t>
        </is>
      </c>
    </row>
    <row r="2191" hidden="1" ht="17.25" customHeight="1">
      <c r="A2191" s="41" t="n">
        <v>532</v>
      </c>
      <c r="B2191" s="42" t="inlineStr">
        <is>
          <t>서울특별시 서초구 서초동</t>
        </is>
      </c>
      <c r="C2191" s="41" t="inlineStr">
        <is>
          <t>1681-8</t>
        </is>
      </c>
      <c r="D2191" s="41" t="inlineStr">
        <is>
          <t>1681</t>
        </is>
      </c>
      <c r="E2191" s="41" t="inlineStr">
        <is>
          <t>0008</t>
        </is>
      </c>
      <c r="F2191" s="42" t="inlineStr">
        <is>
          <t>서초롯데캐슬프레지던트</t>
        </is>
      </c>
      <c r="G2191" s="41" t="inlineStr">
        <is>
          <t>119.1300</t>
        </is>
      </c>
      <c r="H2191" s="41" t="inlineStr">
        <is>
          <t>202506</t>
        </is>
      </c>
      <c r="I2191" s="41" t="inlineStr">
        <is>
          <t>27</t>
        </is>
      </c>
      <c r="J2191" s="41" t="inlineStr">
        <is>
          <t>343,000</t>
        </is>
      </c>
      <c r="K2191" s="41" t="inlineStr">
        <is>
          <t>102</t>
        </is>
      </c>
      <c r="L2191" s="41" t="inlineStr">
        <is>
          <t>14</t>
        </is>
      </c>
      <c r="M2191" s="42" t="inlineStr">
        <is>
          <t>개인</t>
        </is>
      </c>
      <c r="N2191" s="42" t="inlineStr">
        <is>
          <t>개인</t>
        </is>
      </c>
      <c r="O2191" s="41" t="inlineStr">
        <is>
          <t>2014</t>
        </is>
      </c>
      <c r="P2191" s="42" t="inlineStr">
        <is>
          <t>서초중앙로24길 57</t>
        </is>
      </c>
      <c r="Q2191" s="41" t="inlineStr">
        <is>
          <t>-</t>
        </is>
      </c>
      <c r="R2191" s="42" t="inlineStr">
        <is>
          <t>중개거래</t>
        </is>
      </c>
      <c r="S2191" s="42" t="inlineStr">
        <is>
          <t>서울 서초구</t>
        </is>
      </c>
      <c r="T2191" s="41" t="inlineStr">
        <is>
          <t>25.10.02</t>
        </is>
      </c>
      <c r="U2191" s="42" t="inlineStr">
        <is>
          <t>아파트</t>
        </is>
      </c>
    </row>
    <row r="2192" hidden="1" ht="17.25" customHeight="1">
      <c r="A2192" s="41" t="n">
        <v>533</v>
      </c>
      <c r="B2192" s="42" t="inlineStr">
        <is>
          <t>서울특별시 서초구 서초동</t>
        </is>
      </c>
      <c r="C2192" s="41" t="inlineStr">
        <is>
          <t>1681-8</t>
        </is>
      </c>
      <c r="D2192" s="41" t="inlineStr">
        <is>
          <t>1681</t>
        </is>
      </c>
      <c r="E2192" s="41" t="inlineStr">
        <is>
          <t>0008</t>
        </is>
      </c>
      <c r="F2192" s="42" t="inlineStr">
        <is>
          <t>서초롯데캐슬프레지던트</t>
        </is>
      </c>
      <c r="G2192" s="41" t="inlineStr">
        <is>
          <t>119.1300</t>
        </is>
      </c>
      <c r="H2192" s="41" t="inlineStr">
        <is>
          <t>202506</t>
        </is>
      </c>
      <c r="I2192" s="41" t="inlineStr">
        <is>
          <t>27</t>
        </is>
      </c>
      <c r="J2192" s="41" t="inlineStr">
        <is>
          <t>343,000</t>
        </is>
      </c>
      <c r="K2192" s="41" t="inlineStr">
        <is>
          <t>-</t>
        </is>
      </c>
      <c r="L2192" s="41" t="inlineStr">
        <is>
          <t>14</t>
        </is>
      </c>
      <c r="M2192" s="42" t="inlineStr">
        <is>
          <t>개인</t>
        </is>
      </c>
      <c r="N2192" s="42" t="inlineStr">
        <is>
          <t>개인</t>
        </is>
      </c>
      <c r="O2192" s="41" t="inlineStr">
        <is>
          <t>2014</t>
        </is>
      </c>
      <c r="P2192" s="42" t="inlineStr">
        <is>
          <t>서초중앙로24길 57</t>
        </is>
      </c>
      <c r="Q2192" s="41" t="inlineStr">
        <is>
          <t>20250822</t>
        </is>
      </c>
      <c r="R2192" s="42" t="inlineStr">
        <is>
          <t>중개거래</t>
        </is>
      </c>
      <c r="S2192" s="42" t="inlineStr">
        <is>
          <t>서울 서초구</t>
        </is>
      </c>
      <c r="T2192" s="41" t="inlineStr">
        <is>
          <t>-</t>
        </is>
      </c>
      <c r="U2192" s="42" t="inlineStr">
        <is>
          <t>아파트</t>
        </is>
      </c>
    </row>
    <row r="2193" hidden="1" ht="17.25" customHeight="1">
      <c r="A2193" s="41" t="n">
        <v>534</v>
      </c>
      <c r="B2193" s="42" t="inlineStr">
        <is>
          <t>서울특별시 서초구 서초동</t>
        </is>
      </c>
      <c r="C2193" s="41" t="inlineStr">
        <is>
          <t>1686-9</t>
        </is>
      </c>
      <c r="D2193" s="41" t="inlineStr">
        <is>
          <t>1686</t>
        </is>
      </c>
      <c r="E2193" s="41" t="inlineStr">
        <is>
          <t>0009</t>
        </is>
      </c>
      <c r="F2193" s="42" t="inlineStr">
        <is>
          <t>서초교대e편한세상</t>
        </is>
      </c>
      <c r="G2193" s="41" t="inlineStr">
        <is>
          <t>84.6800</t>
        </is>
      </c>
      <c r="H2193" s="41" t="inlineStr">
        <is>
          <t>202506</t>
        </is>
      </c>
      <c r="I2193" s="41" t="inlineStr">
        <is>
          <t>27</t>
        </is>
      </c>
      <c r="J2193" s="41" t="inlineStr">
        <is>
          <t>265,000</t>
        </is>
      </c>
      <c r="K2193" s="41" t="inlineStr">
        <is>
          <t>101</t>
        </is>
      </c>
      <c r="L2193" s="41" t="inlineStr">
        <is>
          <t>2</t>
        </is>
      </c>
      <c r="M2193" s="42" t="inlineStr">
        <is>
          <t>개인</t>
        </is>
      </c>
      <c r="N2193" s="42" t="inlineStr">
        <is>
          <t>개인</t>
        </is>
      </c>
      <c r="O2193" s="41" t="inlineStr">
        <is>
          <t>2010</t>
        </is>
      </c>
      <c r="P2193" s="42" t="inlineStr">
        <is>
          <t>서초중앙로24길 33</t>
        </is>
      </c>
      <c r="Q2193" s="41" t="inlineStr">
        <is>
          <t>-</t>
        </is>
      </c>
      <c r="R2193" s="42" t="inlineStr">
        <is>
          <t>중개거래</t>
        </is>
      </c>
      <c r="S2193" s="42" t="inlineStr">
        <is>
          <t>서울 서초구, 서울 중랑구</t>
        </is>
      </c>
      <c r="T2193" s="41" t="inlineStr">
        <is>
          <t>25.08.11</t>
        </is>
      </c>
      <c r="U2193" s="42" t="inlineStr">
        <is>
          <t>아파트</t>
        </is>
      </c>
    </row>
    <row r="2194" hidden="1" ht="17.25" customHeight="1">
      <c r="A2194" s="41" t="n">
        <v>535</v>
      </c>
      <c r="B2194" s="42" t="inlineStr">
        <is>
          <t>서울특별시 서초구 서초동</t>
        </is>
      </c>
      <c r="C2194" s="41" t="inlineStr">
        <is>
          <t>1582-3</t>
        </is>
      </c>
      <c r="D2194" s="41" t="inlineStr">
        <is>
          <t>1582</t>
        </is>
      </c>
      <c r="E2194" s="41" t="inlineStr">
        <is>
          <t>0003</t>
        </is>
      </c>
      <c r="F2194" s="42" t="inlineStr">
        <is>
          <t>서초센트럴IPARK</t>
        </is>
      </c>
      <c r="G2194" s="41" t="inlineStr">
        <is>
          <t>80.5154</t>
        </is>
      </c>
      <c r="H2194" s="41" t="inlineStr">
        <is>
          <t>202506</t>
        </is>
      </c>
      <c r="I2194" s="41" t="inlineStr">
        <is>
          <t>27</t>
        </is>
      </c>
      <c r="J2194" s="41" t="inlineStr">
        <is>
          <t>196,000</t>
        </is>
      </c>
      <c r="K2194" s="41" t="inlineStr">
        <is>
          <t>102동</t>
        </is>
      </c>
      <c r="L2194" s="41" t="inlineStr">
        <is>
          <t>32</t>
        </is>
      </c>
      <c r="M2194" s="42" t="inlineStr">
        <is>
          <t>개인</t>
        </is>
      </c>
      <c r="N2194" s="42" t="inlineStr">
        <is>
          <t>개인</t>
        </is>
      </c>
      <c r="O2194" s="41" t="inlineStr">
        <is>
          <t>2020</t>
        </is>
      </c>
      <c r="P2194" s="42" t="inlineStr">
        <is>
          <t>반포대로18길 36</t>
        </is>
      </c>
      <c r="Q2194" s="41" t="inlineStr">
        <is>
          <t>-</t>
        </is>
      </c>
      <c r="R2194" s="42" t="inlineStr">
        <is>
          <t>중개거래</t>
        </is>
      </c>
      <c r="S2194" s="42" t="inlineStr">
        <is>
          <t>서울 서초구</t>
        </is>
      </c>
      <c r="T2194" s="41" t="inlineStr">
        <is>
          <t>25.10.28</t>
        </is>
      </c>
      <c r="U2194" s="42" t="inlineStr">
        <is>
          <t>아파트</t>
        </is>
      </c>
    </row>
    <row r="2195" hidden="1" ht="17.25" customHeight="1">
      <c r="A2195" s="41" t="n">
        <v>536</v>
      </c>
      <c r="B2195" s="42" t="inlineStr">
        <is>
          <t>서울특별시 서초구 서초동</t>
        </is>
      </c>
      <c r="C2195" s="41" t="inlineStr">
        <is>
          <t>1446-11</t>
        </is>
      </c>
      <c r="D2195" s="41" t="inlineStr">
        <is>
          <t>1446</t>
        </is>
      </c>
      <c r="E2195" s="41" t="inlineStr">
        <is>
          <t>0011</t>
        </is>
      </c>
      <c r="F2195" s="42" t="inlineStr">
        <is>
          <t>현대슈퍼빌</t>
        </is>
      </c>
      <c r="G2195" s="41" t="inlineStr">
        <is>
          <t>164.8700</t>
        </is>
      </c>
      <c r="H2195" s="41" t="inlineStr">
        <is>
          <t>202506</t>
        </is>
      </c>
      <c r="I2195" s="41" t="inlineStr">
        <is>
          <t>27</t>
        </is>
      </c>
      <c r="J2195" s="41" t="inlineStr">
        <is>
          <t>250,000</t>
        </is>
      </c>
      <c r="K2195" s="41" t="inlineStr">
        <is>
          <t>A</t>
        </is>
      </c>
      <c r="L2195" s="41" t="inlineStr">
        <is>
          <t>2</t>
        </is>
      </c>
      <c r="M2195" s="42" t="inlineStr">
        <is>
          <t>개인</t>
        </is>
      </c>
      <c r="N2195" s="42" t="inlineStr">
        <is>
          <t>개인</t>
        </is>
      </c>
      <c r="O2195" s="41" t="inlineStr">
        <is>
          <t>2003</t>
        </is>
      </c>
      <c r="P2195" s="42" t="inlineStr">
        <is>
          <t>서초중앙로 15</t>
        </is>
      </c>
      <c r="Q2195" s="41" t="inlineStr">
        <is>
          <t>-</t>
        </is>
      </c>
      <c r="R2195" s="42" t="inlineStr">
        <is>
          <t>중개거래</t>
        </is>
      </c>
      <c r="S2195" s="42" t="inlineStr">
        <is>
          <t>서울 강남구</t>
        </is>
      </c>
      <c r="T2195" s="41" t="inlineStr">
        <is>
          <t>25.09.10</t>
        </is>
      </c>
      <c r="U2195" s="42" t="inlineStr">
        <is>
          <t>아파트</t>
        </is>
      </c>
    </row>
    <row r="2196" hidden="1" ht="17.25" customHeight="1">
      <c r="A2196" s="41" t="n">
        <v>537</v>
      </c>
      <c r="B2196" s="42" t="inlineStr">
        <is>
          <t>서울특별시 서초구 서초동</t>
        </is>
      </c>
      <c r="C2196" s="41" t="inlineStr">
        <is>
          <t>1350-13</t>
        </is>
      </c>
      <c r="D2196" s="41" t="inlineStr">
        <is>
          <t>1350</t>
        </is>
      </c>
      <c r="E2196" s="41" t="inlineStr">
        <is>
          <t>0013</t>
        </is>
      </c>
      <c r="F2196" s="42" t="inlineStr">
        <is>
          <t>동원베네스트아파트</t>
        </is>
      </c>
      <c r="G2196" s="41" t="inlineStr">
        <is>
          <t>84.9000</t>
        </is>
      </c>
      <c r="H2196" s="41" t="inlineStr">
        <is>
          <t>202506</t>
        </is>
      </c>
      <c r="I2196" s="41" t="inlineStr">
        <is>
          <t>27</t>
        </is>
      </c>
      <c r="J2196" s="41" t="inlineStr">
        <is>
          <t>159,000</t>
        </is>
      </c>
      <c r="K2196" s="41" t="inlineStr">
        <is>
          <t>101</t>
        </is>
      </c>
      <c r="L2196" s="41" t="inlineStr">
        <is>
          <t>2</t>
        </is>
      </c>
      <c r="M2196" s="42" t="inlineStr">
        <is>
          <t>개인</t>
        </is>
      </c>
      <c r="N2196" s="42" t="inlineStr">
        <is>
          <t>개인</t>
        </is>
      </c>
      <c r="O2196" s="41" t="inlineStr">
        <is>
          <t>2002</t>
        </is>
      </c>
      <c r="P2196" s="42" t="inlineStr">
        <is>
          <t>효령로74길 57</t>
        </is>
      </c>
      <c r="Q2196" s="41" t="inlineStr">
        <is>
          <t>-</t>
        </is>
      </c>
      <c r="R2196" s="42" t="inlineStr">
        <is>
          <t>중개거래</t>
        </is>
      </c>
      <c r="S2196" s="42" t="inlineStr">
        <is>
          <t>서울 서초구</t>
        </is>
      </c>
      <c r="T2196" s="41" t="inlineStr">
        <is>
          <t>25.10.20</t>
        </is>
      </c>
      <c r="U2196" s="42" t="inlineStr">
        <is>
          <t>아파트</t>
        </is>
      </c>
    </row>
    <row r="2197" hidden="1" ht="17.25" customHeight="1">
      <c r="A2197" s="41" t="n">
        <v>538</v>
      </c>
      <c r="B2197" s="42" t="inlineStr">
        <is>
          <t>서울특별시 서초구 서초동</t>
        </is>
      </c>
      <c r="C2197" s="41" t="inlineStr">
        <is>
          <t>1346</t>
        </is>
      </c>
      <c r="D2197" s="41" t="inlineStr">
        <is>
          <t>1346</t>
        </is>
      </c>
      <c r="E2197" s="41" t="inlineStr">
        <is>
          <t>0000</t>
        </is>
      </c>
      <c r="F2197" s="42" t="inlineStr">
        <is>
          <t>현대아파트</t>
        </is>
      </c>
      <c r="G2197" s="41" t="inlineStr">
        <is>
          <t>84.3400</t>
        </is>
      </c>
      <c r="H2197" s="41" t="inlineStr">
        <is>
          <t>202506</t>
        </is>
      </c>
      <c r="I2197" s="41" t="inlineStr">
        <is>
          <t>27</t>
        </is>
      </c>
      <c r="J2197" s="41" t="inlineStr">
        <is>
          <t>209,000</t>
        </is>
      </c>
      <c r="K2197" s="41" t="inlineStr">
        <is>
          <t>21</t>
        </is>
      </c>
      <c r="L2197" s="41" t="inlineStr">
        <is>
          <t>6</t>
        </is>
      </c>
      <c r="M2197" s="42" t="inlineStr">
        <is>
          <t>개인</t>
        </is>
      </c>
      <c r="N2197" s="42" t="inlineStr">
        <is>
          <t>개인</t>
        </is>
      </c>
      <c r="O2197" s="41" t="inlineStr">
        <is>
          <t>1989</t>
        </is>
      </c>
      <c r="P2197" s="42" t="inlineStr">
        <is>
          <t>효령로68길 13</t>
        </is>
      </c>
      <c r="Q2197" s="41" t="inlineStr">
        <is>
          <t>-</t>
        </is>
      </c>
      <c r="R2197" s="42" t="inlineStr">
        <is>
          <t>중개거래</t>
        </is>
      </c>
      <c r="S2197" s="42" t="inlineStr">
        <is>
          <t>서울 서초구</t>
        </is>
      </c>
      <c r="T2197" s="41" t="inlineStr">
        <is>
          <t>25.08.22</t>
        </is>
      </c>
      <c r="U2197" s="42" t="inlineStr">
        <is>
          <t>아파트</t>
        </is>
      </c>
    </row>
    <row r="2198" hidden="1" ht="17.25" customHeight="1">
      <c r="A2198" s="41" t="n">
        <v>539</v>
      </c>
      <c r="B2198" s="42" t="inlineStr">
        <is>
          <t>서울특별시 서초구 서초동</t>
        </is>
      </c>
      <c r="C2198" s="41" t="inlineStr">
        <is>
          <t>1644</t>
        </is>
      </c>
      <c r="D2198" s="41" t="inlineStr">
        <is>
          <t>1644</t>
        </is>
      </c>
      <c r="E2198" s="41" t="inlineStr">
        <is>
          <t>0000</t>
        </is>
      </c>
      <c r="F2198" s="42" t="inlineStr">
        <is>
          <t>현대서초3</t>
        </is>
      </c>
      <c r="G2198" s="41" t="inlineStr">
        <is>
          <t>84.4900</t>
        </is>
      </c>
      <c r="H2198" s="41" t="inlineStr">
        <is>
          <t>202506</t>
        </is>
      </c>
      <c r="I2198" s="41" t="inlineStr">
        <is>
          <t>27</t>
        </is>
      </c>
      <c r="J2198" s="41" t="inlineStr">
        <is>
          <t>180,000</t>
        </is>
      </c>
      <c r="K2198" s="41" t="inlineStr">
        <is>
          <t>301</t>
        </is>
      </c>
      <c r="L2198" s="41" t="inlineStr">
        <is>
          <t>7</t>
        </is>
      </c>
      <c r="M2198" s="42" t="inlineStr">
        <is>
          <t>개인</t>
        </is>
      </c>
      <c r="N2198" s="42" t="inlineStr">
        <is>
          <t>개인</t>
        </is>
      </c>
      <c r="O2198" s="41" t="inlineStr">
        <is>
          <t>1997</t>
        </is>
      </c>
      <c r="P2198" s="42" t="inlineStr">
        <is>
          <t>사임당로23길 58</t>
        </is>
      </c>
      <c r="Q2198" s="41" t="inlineStr">
        <is>
          <t>-</t>
        </is>
      </c>
      <c r="R2198" s="42" t="inlineStr">
        <is>
          <t>중개거래</t>
        </is>
      </c>
      <c r="S2198" s="42" t="inlineStr">
        <is>
          <t>서울 서초구</t>
        </is>
      </c>
      <c r="T2198" s="41" t="inlineStr">
        <is>
          <t>25.09.30</t>
        </is>
      </c>
      <c r="U2198" s="42" t="inlineStr">
        <is>
          <t>아파트</t>
        </is>
      </c>
    </row>
    <row r="2199" ht="17.25" customHeight="1">
      <c r="A2199" s="41" t="n">
        <v>540</v>
      </c>
      <c r="B2199" s="42" t="inlineStr">
        <is>
          <t>서울특별시 서초구 서초동</t>
        </is>
      </c>
      <c r="C2199" s="41" t="inlineStr">
        <is>
          <t>1454-29</t>
        </is>
      </c>
      <c r="D2199" s="41" t="inlineStr">
        <is>
          <t>1454</t>
        </is>
      </c>
      <c r="E2199" s="41" t="inlineStr">
        <is>
          <t>0029</t>
        </is>
      </c>
      <c r="F2199" s="42" t="inlineStr">
        <is>
          <t>서초한신</t>
        </is>
      </c>
      <c r="G2199" s="41" t="inlineStr">
        <is>
          <t>115.3000</t>
        </is>
      </c>
      <c r="H2199" s="41" t="inlineStr">
        <is>
          <t>202506</t>
        </is>
      </c>
      <c r="I2199" s="41" t="inlineStr">
        <is>
          <t>27</t>
        </is>
      </c>
      <c r="J2199" s="41" t="inlineStr">
        <is>
          <t>200,000</t>
        </is>
      </c>
      <c r="K2199" s="41" t="inlineStr">
        <is>
          <t>101</t>
        </is>
      </c>
      <c r="L2199" s="41" t="inlineStr">
        <is>
          <t>2</t>
        </is>
      </c>
      <c r="M2199" s="42" t="inlineStr">
        <is>
          <t>개인</t>
        </is>
      </c>
      <c r="N2199" s="42" t="inlineStr">
        <is>
          <t>개인</t>
        </is>
      </c>
      <c r="O2199" s="41" t="inlineStr">
        <is>
          <t>2001</t>
        </is>
      </c>
      <c r="P2199" s="42" t="inlineStr">
        <is>
          <t>남부순환로323길 38-15</t>
        </is>
      </c>
      <c r="Q2199" s="41" t="inlineStr">
        <is>
          <t>-</t>
        </is>
      </c>
      <c r="R2199" s="42" t="inlineStr">
        <is>
          <t>중개거래</t>
        </is>
      </c>
      <c r="S2199" s="42" t="inlineStr">
        <is>
          <t>서울 서초구</t>
        </is>
      </c>
      <c r="T2199" s="41" t="inlineStr">
        <is>
          <t>25.08.11</t>
        </is>
      </c>
      <c r="U2199" s="42" t="inlineStr">
        <is>
          <t>아파트</t>
        </is>
      </c>
    </row>
    <row r="2200" hidden="1" ht="17.25" customHeight="1">
      <c r="A2200" s="41" t="n">
        <v>541</v>
      </c>
      <c r="B2200" s="42" t="inlineStr">
        <is>
          <t>서울특별시 서초구 서초동</t>
        </is>
      </c>
      <c r="C2200" s="41" t="inlineStr">
        <is>
          <t>1685</t>
        </is>
      </c>
      <c r="D2200" s="41" t="inlineStr">
        <is>
          <t>1685</t>
        </is>
      </c>
      <c r="E2200" s="41" t="inlineStr">
        <is>
          <t>0000</t>
        </is>
      </c>
      <c r="F2200" s="42" t="inlineStr">
        <is>
          <t>삼풍아파트</t>
        </is>
      </c>
      <c r="G2200" s="41" t="inlineStr">
        <is>
          <t>130.7300</t>
        </is>
      </c>
      <c r="H2200" s="41" t="inlineStr">
        <is>
          <t>202506</t>
        </is>
      </c>
      <c r="I2200" s="41" t="inlineStr">
        <is>
          <t>27</t>
        </is>
      </c>
      <c r="J2200" s="41" t="inlineStr">
        <is>
          <t>390,000</t>
        </is>
      </c>
      <c r="K2200" s="41" t="inlineStr">
        <is>
          <t>14</t>
        </is>
      </c>
      <c r="L2200" s="41" t="inlineStr">
        <is>
          <t>1</t>
        </is>
      </c>
      <c r="M2200" s="42" t="inlineStr">
        <is>
          <t>개인</t>
        </is>
      </c>
      <c r="N2200" s="42" t="inlineStr">
        <is>
          <t>개인</t>
        </is>
      </c>
      <c r="O2200" s="41" t="inlineStr">
        <is>
          <t>1988</t>
        </is>
      </c>
      <c r="P2200" s="42" t="inlineStr">
        <is>
          <t>서초중앙로 200</t>
        </is>
      </c>
      <c r="Q2200" s="41" t="inlineStr">
        <is>
          <t>-</t>
        </is>
      </c>
      <c r="R2200" s="42" t="inlineStr">
        <is>
          <t>중개거래</t>
        </is>
      </c>
      <c r="S2200" s="42" t="inlineStr">
        <is>
          <t>서울 서초구</t>
        </is>
      </c>
      <c r="T2200" s="41" t="inlineStr">
        <is>
          <t>25.10.24</t>
        </is>
      </c>
      <c r="U2200" s="42" t="inlineStr">
        <is>
          <t>아파트</t>
        </is>
      </c>
    </row>
    <row r="2201" hidden="1" ht="17.25" customHeight="1">
      <c r="A2201" s="41" t="n">
        <v>542</v>
      </c>
      <c r="B2201" s="42" t="inlineStr">
        <is>
          <t>서울특별시 서초구 서초동</t>
        </is>
      </c>
      <c r="C2201" s="41" t="inlineStr">
        <is>
          <t>1685</t>
        </is>
      </c>
      <c r="D2201" s="41" t="inlineStr">
        <is>
          <t>1685</t>
        </is>
      </c>
      <c r="E2201" s="41" t="inlineStr">
        <is>
          <t>0000</t>
        </is>
      </c>
      <c r="F2201" s="42" t="inlineStr">
        <is>
          <t>삼풍아파트</t>
        </is>
      </c>
      <c r="G2201" s="41" t="inlineStr">
        <is>
          <t>130.2300</t>
        </is>
      </c>
      <c r="H2201" s="41" t="inlineStr">
        <is>
          <t>202506</t>
        </is>
      </c>
      <c r="I2201" s="41" t="inlineStr">
        <is>
          <t>27</t>
        </is>
      </c>
      <c r="J2201" s="41" t="inlineStr">
        <is>
          <t>410,000</t>
        </is>
      </c>
      <c r="K2201" s="41" t="inlineStr">
        <is>
          <t>11</t>
        </is>
      </c>
      <c r="L2201" s="41" t="inlineStr">
        <is>
          <t>4</t>
        </is>
      </c>
      <c r="M2201" s="42" t="inlineStr">
        <is>
          <t>개인</t>
        </is>
      </c>
      <c r="N2201" s="42" t="inlineStr">
        <is>
          <t>개인</t>
        </is>
      </c>
      <c r="O2201" s="41" t="inlineStr">
        <is>
          <t>1988</t>
        </is>
      </c>
      <c r="P2201" s="42" t="inlineStr">
        <is>
          <t>서초중앙로 200</t>
        </is>
      </c>
      <c r="Q2201" s="41" t="inlineStr">
        <is>
          <t>-</t>
        </is>
      </c>
      <c r="R2201" s="42" t="inlineStr">
        <is>
          <t>중개거래</t>
        </is>
      </c>
      <c r="S2201" s="42" t="inlineStr">
        <is>
          <t>서울 서초구</t>
        </is>
      </c>
      <c r="T2201" s="41" t="inlineStr">
        <is>
          <t>25.09.30</t>
        </is>
      </c>
      <c r="U2201" s="42" t="inlineStr">
        <is>
          <t>아파트</t>
        </is>
      </c>
    </row>
    <row r="2202" hidden="1" ht="17.25" customHeight="1">
      <c r="A2202" s="41" t="n">
        <v>543</v>
      </c>
      <c r="B2202" s="42" t="inlineStr">
        <is>
          <t>서울특별시 서초구 서초동</t>
        </is>
      </c>
      <c r="C2202" s="41" t="inlineStr">
        <is>
          <t>1641-1</t>
        </is>
      </c>
      <c r="D2202" s="41" t="inlineStr">
        <is>
          <t>1641</t>
        </is>
      </c>
      <c r="E2202" s="41" t="inlineStr">
        <is>
          <t>0001</t>
        </is>
      </c>
      <c r="F2202" s="42" t="inlineStr">
        <is>
          <t>서초삼성래미안</t>
        </is>
      </c>
      <c r="G2202" s="41" t="inlineStr">
        <is>
          <t>84.9700</t>
        </is>
      </c>
      <c r="H2202" s="41" t="inlineStr">
        <is>
          <t>202506</t>
        </is>
      </c>
      <c r="I2202" s="41" t="inlineStr">
        <is>
          <t>27</t>
        </is>
      </c>
      <c r="J2202" s="41" t="inlineStr">
        <is>
          <t>206,000</t>
        </is>
      </c>
      <c r="K2202" s="41" t="inlineStr">
        <is>
          <t>-</t>
        </is>
      </c>
      <c r="L2202" s="41" t="inlineStr">
        <is>
          <t>1</t>
        </is>
      </c>
      <c r="M2202" s="42" t="inlineStr">
        <is>
          <t>개인</t>
        </is>
      </c>
      <c r="N2202" s="42" t="inlineStr">
        <is>
          <t>개인</t>
        </is>
      </c>
      <c r="O2202" s="41" t="inlineStr">
        <is>
          <t>2001</t>
        </is>
      </c>
      <c r="P2202" s="42" t="inlineStr">
        <is>
          <t>사임당로17길 116</t>
        </is>
      </c>
      <c r="Q2202" s="41" t="inlineStr">
        <is>
          <t>20250627</t>
        </is>
      </c>
      <c r="R2202" s="42" t="inlineStr">
        <is>
          <t>중개거래</t>
        </is>
      </c>
      <c r="S2202" s="42" t="inlineStr">
        <is>
          <t>서울 서초구</t>
        </is>
      </c>
      <c r="T2202" s="41" t="inlineStr">
        <is>
          <t>-</t>
        </is>
      </c>
      <c r="U2202" s="42" t="inlineStr">
        <is>
          <t>아파트</t>
        </is>
      </c>
    </row>
    <row r="2203" hidden="1" ht="17.25" customHeight="1">
      <c r="A2203" s="41" t="n">
        <v>544</v>
      </c>
      <c r="B2203" s="42" t="inlineStr">
        <is>
          <t>서울특별시 서초구 서초동</t>
        </is>
      </c>
      <c r="C2203" s="41" t="inlineStr">
        <is>
          <t>1641-1</t>
        </is>
      </c>
      <c r="D2203" s="41" t="inlineStr">
        <is>
          <t>1641</t>
        </is>
      </c>
      <c r="E2203" s="41" t="inlineStr">
        <is>
          <t>0001</t>
        </is>
      </c>
      <c r="F2203" s="42" t="inlineStr">
        <is>
          <t>서초삼성래미안</t>
        </is>
      </c>
      <c r="G2203" s="41" t="inlineStr">
        <is>
          <t>84.9700</t>
        </is>
      </c>
      <c r="H2203" s="41" t="inlineStr">
        <is>
          <t>202506</t>
        </is>
      </c>
      <c r="I2203" s="41" t="inlineStr">
        <is>
          <t>27</t>
        </is>
      </c>
      <c r="J2203" s="41" t="inlineStr">
        <is>
          <t>206,000</t>
        </is>
      </c>
      <c r="K2203" s="41" t="inlineStr">
        <is>
          <t>103</t>
        </is>
      </c>
      <c r="L2203" s="41" t="inlineStr">
        <is>
          <t>1</t>
        </is>
      </c>
      <c r="M2203" s="42" t="inlineStr">
        <is>
          <t>개인</t>
        </is>
      </c>
      <c r="N2203" s="42" t="inlineStr">
        <is>
          <t>개인</t>
        </is>
      </c>
      <c r="O2203" s="41" t="inlineStr">
        <is>
          <t>2001</t>
        </is>
      </c>
      <c r="P2203" s="42" t="inlineStr">
        <is>
          <t>사임당로17길 116</t>
        </is>
      </c>
      <c r="Q2203" s="41" t="inlineStr">
        <is>
          <t>-</t>
        </is>
      </c>
      <c r="R2203" s="42" t="inlineStr">
        <is>
          <t>중개거래</t>
        </is>
      </c>
      <c r="S2203" s="42" t="inlineStr">
        <is>
          <t>서울 서초구</t>
        </is>
      </c>
      <c r="T2203" s="41" t="inlineStr">
        <is>
          <t>25.09.26</t>
        </is>
      </c>
      <c r="U2203" s="42" t="inlineStr">
        <is>
          <t>아파트</t>
        </is>
      </c>
    </row>
    <row r="2204" hidden="1" ht="17.25" customHeight="1">
      <c r="A2204" s="41" t="n">
        <v>545</v>
      </c>
      <c r="B2204" s="42" t="inlineStr">
        <is>
          <t>서울특별시 서초구 서초동</t>
        </is>
      </c>
      <c r="C2204" s="41" t="inlineStr">
        <is>
          <t>1487-63</t>
        </is>
      </c>
      <c r="D2204" s="41" t="inlineStr">
        <is>
          <t>1487</t>
        </is>
      </c>
      <c r="E2204" s="41" t="inlineStr">
        <is>
          <t>0063</t>
        </is>
      </c>
      <c r="F2204" s="42" t="inlineStr">
        <is>
          <t>서초1차e-편한세상</t>
        </is>
      </c>
      <c r="G2204" s="41" t="inlineStr">
        <is>
          <t>130.5300</t>
        </is>
      </c>
      <c r="H2204" s="41" t="inlineStr">
        <is>
          <t>202506</t>
        </is>
      </c>
      <c r="I2204" s="41" t="inlineStr">
        <is>
          <t>27</t>
        </is>
      </c>
      <c r="J2204" s="41" t="inlineStr">
        <is>
          <t>225,000</t>
        </is>
      </c>
      <c r="K2204" s="41" t="inlineStr">
        <is>
          <t>101</t>
        </is>
      </c>
      <c r="L2204" s="41" t="inlineStr">
        <is>
          <t>6</t>
        </is>
      </c>
      <c r="M2204" s="42" t="inlineStr">
        <is>
          <t>개인</t>
        </is>
      </c>
      <c r="N2204" s="42" t="inlineStr">
        <is>
          <t>개인</t>
        </is>
      </c>
      <c r="O2204" s="41" t="inlineStr">
        <is>
          <t>2004</t>
        </is>
      </c>
      <c r="P2204" s="42" t="inlineStr">
        <is>
          <t>명달로6길 31</t>
        </is>
      </c>
      <c r="Q2204" s="41" t="inlineStr">
        <is>
          <t>-</t>
        </is>
      </c>
      <c r="R2204" s="42" t="inlineStr">
        <is>
          <t>중개거래</t>
        </is>
      </c>
      <c r="S2204" s="42" t="inlineStr">
        <is>
          <t>서울 서초구</t>
        </is>
      </c>
      <c r="T2204" s="41" t="inlineStr">
        <is>
          <t>25.10.24</t>
        </is>
      </c>
      <c r="U2204" s="42" t="inlineStr">
        <is>
          <t>아파트</t>
        </is>
      </c>
    </row>
    <row r="2205" hidden="1" ht="17.25" customHeight="1">
      <c r="A2205" s="41" t="n">
        <v>546</v>
      </c>
      <c r="B2205" s="42" t="inlineStr">
        <is>
          <t>서울특별시 서초구 서초동</t>
        </is>
      </c>
      <c r="C2205" s="41" t="inlineStr">
        <is>
          <t>1472-21</t>
        </is>
      </c>
      <c r="D2205" s="41" t="inlineStr">
        <is>
          <t>1472</t>
        </is>
      </c>
      <c r="E2205" s="41" t="inlineStr">
        <is>
          <t>0021</t>
        </is>
      </c>
      <c r="F2205" s="42" t="inlineStr">
        <is>
          <t>새티스2</t>
        </is>
      </c>
      <c r="G2205" s="41" t="inlineStr">
        <is>
          <t>84.4800</t>
        </is>
      </c>
      <c r="H2205" s="41" t="inlineStr">
        <is>
          <t>202506</t>
        </is>
      </c>
      <c r="I2205" s="41" t="inlineStr">
        <is>
          <t>27</t>
        </is>
      </c>
      <c r="J2205" s="41" t="inlineStr">
        <is>
          <t>94,500</t>
        </is>
      </c>
      <c r="K2205" s="41" t="inlineStr">
        <is>
          <t>-</t>
        </is>
      </c>
      <c r="L2205" s="41" t="inlineStr">
        <is>
          <t>2</t>
        </is>
      </c>
      <c r="M2205" s="42" t="inlineStr">
        <is>
          <t>개인</t>
        </is>
      </c>
      <c r="N2205" s="42" t="inlineStr">
        <is>
          <t>개인</t>
        </is>
      </c>
      <c r="O2205" s="41" t="inlineStr">
        <is>
          <t>2002</t>
        </is>
      </c>
      <c r="P2205" s="42" t="inlineStr">
        <is>
          <t>반포대로3길 48</t>
        </is>
      </c>
      <c r="Q2205" s="41" t="inlineStr">
        <is>
          <t>-</t>
        </is>
      </c>
      <c r="R2205" s="42" t="inlineStr">
        <is>
          <t>중개거래</t>
        </is>
      </c>
      <c r="S2205" s="42" t="inlineStr">
        <is>
          <t>서울 서초구</t>
        </is>
      </c>
      <c r="T2205" s="41" t="inlineStr">
        <is>
          <t>25.09.05</t>
        </is>
      </c>
      <c r="U2205" s="42" t="inlineStr">
        <is>
          <t>아파트</t>
        </is>
      </c>
    </row>
    <row r="2206" hidden="1" ht="17.25" customHeight="1">
      <c r="A2206" s="41" t="n">
        <v>547</v>
      </c>
      <c r="B2206" s="42" t="inlineStr">
        <is>
          <t>서울특별시 서초구 서초동</t>
        </is>
      </c>
      <c r="C2206" s="41" t="inlineStr">
        <is>
          <t>1355-24</t>
        </is>
      </c>
      <c r="D2206" s="41" t="inlineStr">
        <is>
          <t>1355</t>
        </is>
      </c>
      <c r="E2206" s="41" t="inlineStr">
        <is>
          <t>0024</t>
        </is>
      </c>
      <c r="F2206" s="42" t="inlineStr">
        <is>
          <t>우정에쉐르</t>
        </is>
      </c>
      <c r="G2206" s="41" t="inlineStr">
        <is>
          <t>77.3900</t>
        </is>
      </c>
      <c r="H2206" s="41" t="inlineStr">
        <is>
          <t>202506</t>
        </is>
      </c>
      <c r="I2206" s="41" t="inlineStr">
        <is>
          <t>27</t>
        </is>
      </c>
      <c r="J2206" s="41" t="inlineStr">
        <is>
          <t>126,000</t>
        </is>
      </c>
      <c r="K2206" s="41" t="inlineStr">
        <is>
          <t>-</t>
        </is>
      </c>
      <c r="L2206" s="41" t="inlineStr">
        <is>
          <t>10</t>
        </is>
      </c>
      <c r="M2206" s="42" t="inlineStr">
        <is>
          <t>개인</t>
        </is>
      </c>
      <c r="N2206" s="42" t="inlineStr">
        <is>
          <t>개인</t>
        </is>
      </c>
      <c r="O2206" s="41" t="inlineStr">
        <is>
          <t>2004</t>
        </is>
      </c>
      <c r="P2206" s="42" t="inlineStr">
        <is>
          <t>서운로3길 29</t>
        </is>
      </c>
      <c r="Q2206" s="41" t="inlineStr">
        <is>
          <t>-</t>
        </is>
      </c>
      <c r="R2206" s="42" t="inlineStr">
        <is>
          <t>중개거래</t>
        </is>
      </c>
      <c r="S2206" s="42" t="inlineStr">
        <is>
          <t>서울 서초구</t>
        </is>
      </c>
      <c r="T2206" s="41" t="inlineStr">
        <is>
          <t>25.08.22</t>
        </is>
      </c>
      <c r="U2206" s="42" t="inlineStr">
        <is>
          <t>아파트</t>
        </is>
      </c>
    </row>
    <row r="2207" hidden="1" ht="17.25" customHeight="1">
      <c r="A2207" s="41" t="n">
        <v>548</v>
      </c>
      <c r="B2207" s="42" t="inlineStr">
        <is>
          <t>서울특별시 서초구 서초동</t>
        </is>
      </c>
      <c r="C2207" s="41" t="inlineStr">
        <is>
          <t>1757</t>
        </is>
      </c>
      <c r="D2207" s="41" t="inlineStr">
        <is>
          <t>1757</t>
        </is>
      </c>
      <c r="E2207" s="41" t="inlineStr">
        <is>
          <t>0000</t>
        </is>
      </c>
      <c r="F2207" s="42" t="inlineStr">
        <is>
          <t>서초그랑자이</t>
        </is>
      </c>
      <c r="G2207" s="41" t="inlineStr">
        <is>
          <t>59.9800</t>
        </is>
      </c>
      <c r="H2207" s="41" t="inlineStr">
        <is>
          <t>202506</t>
        </is>
      </c>
      <c r="I2207" s="41" t="inlineStr">
        <is>
          <t>27</t>
        </is>
      </c>
      <c r="J2207" s="41" t="inlineStr">
        <is>
          <t>320,000</t>
        </is>
      </c>
      <c r="K2207" s="41" t="inlineStr">
        <is>
          <t>103동</t>
        </is>
      </c>
      <c r="L2207" s="41" t="inlineStr">
        <is>
          <t>25</t>
        </is>
      </c>
      <c r="M2207" s="42" t="inlineStr">
        <is>
          <t>개인</t>
        </is>
      </c>
      <c r="N2207" s="42" t="inlineStr">
        <is>
          <t>개인</t>
        </is>
      </c>
      <c r="O2207" s="41" t="inlineStr">
        <is>
          <t>2021</t>
        </is>
      </c>
      <c r="P2207" s="42" t="inlineStr">
        <is>
          <t>효령로 391</t>
        </is>
      </c>
      <c r="Q2207" s="41" t="inlineStr">
        <is>
          <t>-</t>
        </is>
      </c>
      <c r="R2207" s="42" t="inlineStr">
        <is>
          <t>중개거래</t>
        </is>
      </c>
      <c r="S2207" s="42" t="inlineStr">
        <is>
          <t>서울 서초구</t>
        </is>
      </c>
      <c r="T2207" s="41" t="inlineStr">
        <is>
          <t>25.10.20</t>
        </is>
      </c>
      <c r="U2207" s="42" t="inlineStr">
        <is>
          <t>아파트</t>
        </is>
      </c>
    </row>
    <row r="2208" hidden="1" ht="17.25" customHeight="1">
      <c r="A2208" s="41" t="n">
        <v>549</v>
      </c>
      <c r="B2208" s="42" t="inlineStr">
        <is>
          <t>서울특별시 서초구 서초동</t>
        </is>
      </c>
      <c r="C2208" s="41" t="inlineStr">
        <is>
          <t>1757</t>
        </is>
      </c>
      <c r="D2208" s="41" t="inlineStr">
        <is>
          <t>1757</t>
        </is>
      </c>
      <c r="E2208" s="41" t="inlineStr">
        <is>
          <t>0000</t>
        </is>
      </c>
      <c r="F2208" s="42" t="inlineStr">
        <is>
          <t>서초그랑자이</t>
        </is>
      </c>
      <c r="G2208" s="41" t="inlineStr">
        <is>
          <t>84.5100</t>
        </is>
      </c>
      <c r="H2208" s="41" t="inlineStr">
        <is>
          <t>202506</t>
        </is>
      </c>
      <c r="I2208" s="41" t="inlineStr">
        <is>
          <t>27</t>
        </is>
      </c>
      <c r="J2208" s="41" t="inlineStr">
        <is>
          <t>380,000</t>
        </is>
      </c>
      <c r="K2208" s="41" t="inlineStr">
        <is>
          <t>109동</t>
        </is>
      </c>
      <c r="L2208" s="41" t="inlineStr">
        <is>
          <t>6</t>
        </is>
      </c>
      <c r="M2208" s="42" t="inlineStr">
        <is>
          <t>개인</t>
        </is>
      </c>
      <c r="N2208" s="42" t="inlineStr">
        <is>
          <t>개인</t>
        </is>
      </c>
      <c r="O2208" s="41" t="inlineStr">
        <is>
          <t>2021</t>
        </is>
      </c>
      <c r="P2208" s="42" t="inlineStr">
        <is>
          <t>효령로 391</t>
        </is>
      </c>
      <c r="Q2208" s="41" t="inlineStr">
        <is>
          <t>-</t>
        </is>
      </c>
      <c r="R2208" s="42" t="inlineStr">
        <is>
          <t>중개거래</t>
        </is>
      </c>
      <c r="S2208" s="42" t="inlineStr">
        <is>
          <t>서울 강남구, 서울 서초구</t>
        </is>
      </c>
      <c r="T2208" s="41" t="inlineStr">
        <is>
          <t>25.08.27</t>
        </is>
      </c>
      <c r="U2208" s="42" t="inlineStr">
        <is>
          <t>아파트</t>
        </is>
      </c>
    </row>
    <row r="2209" hidden="1" ht="17.25" customHeight="1">
      <c r="A2209" s="41" t="n">
        <v>550</v>
      </c>
      <c r="B2209" s="42" t="inlineStr">
        <is>
          <t>서울특별시 서초구 서초동</t>
        </is>
      </c>
      <c r="C2209" s="41" t="inlineStr">
        <is>
          <t>1757</t>
        </is>
      </c>
      <c r="D2209" s="41" t="inlineStr">
        <is>
          <t>1757</t>
        </is>
      </c>
      <c r="E2209" s="41" t="inlineStr">
        <is>
          <t>0000</t>
        </is>
      </c>
      <c r="F2209" s="42" t="inlineStr">
        <is>
          <t>서초그랑자이</t>
        </is>
      </c>
      <c r="G2209" s="41" t="inlineStr">
        <is>
          <t>84.5100</t>
        </is>
      </c>
      <c r="H2209" s="41" t="inlineStr">
        <is>
          <t>202506</t>
        </is>
      </c>
      <c r="I2209" s="41" t="inlineStr">
        <is>
          <t>27</t>
        </is>
      </c>
      <c r="J2209" s="41" t="inlineStr">
        <is>
          <t>375,000</t>
        </is>
      </c>
      <c r="K2209" s="41" t="inlineStr">
        <is>
          <t>103동</t>
        </is>
      </c>
      <c r="L2209" s="41" t="inlineStr">
        <is>
          <t>4</t>
        </is>
      </c>
      <c r="M2209" s="42" t="inlineStr">
        <is>
          <t>개인</t>
        </is>
      </c>
      <c r="N2209" s="42" t="inlineStr">
        <is>
          <t>개인</t>
        </is>
      </c>
      <c r="O2209" s="41" t="inlineStr">
        <is>
          <t>2021</t>
        </is>
      </c>
      <c r="P2209" s="42" t="inlineStr">
        <is>
          <t>효령로 391</t>
        </is>
      </c>
      <c r="Q2209" s="41" t="inlineStr">
        <is>
          <t>-</t>
        </is>
      </c>
      <c r="R2209" s="42" t="inlineStr">
        <is>
          <t>중개거래</t>
        </is>
      </c>
      <c r="S2209" s="42" t="inlineStr">
        <is>
          <t>서울 서초구</t>
        </is>
      </c>
      <c r="T2209" s="41" t="inlineStr">
        <is>
          <t>25.09.04</t>
        </is>
      </c>
      <c r="U2209" s="42" t="inlineStr">
        <is>
          <t>아파트</t>
        </is>
      </c>
    </row>
    <row r="2210" hidden="1" ht="17.25" customHeight="1">
      <c r="A2210" s="41" t="n">
        <v>551</v>
      </c>
      <c r="B2210" s="42" t="inlineStr">
        <is>
          <t>서울특별시 서초구 서초동</t>
        </is>
      </c>
      <c r="C2210" s="41" t="inlineStr">
        <is>
          <t>1642-34</t>
        </is>
      </c>
      <c r="D2210" s="41" t="inlineStr">
        <is>
          <t>1642</t>
        </is>
      </c>
      <c r="E2210" s="41" t="inlineStr">
        <is>
          <t>0034</t>
        </is>
      </c>
      <c r="F2210" s="42" t="inlineStr">
        <is>
          <t>래미안서초7차</t>
        </is>
      </c>
      <c r="G2210" s="41" t="inlineStr">
        <is>
          <t>110.6800</t>
        </is>
      </c>
      <c r="H2210" s="41" t="inlineStr">
        <is>
          <t>202506</t>
        </is>
      </c>
      <c r="I2210" s="41" t="inlineStr">
        <is>
          <t>27</t>
        </is>
      </c>
      <c r="J2210" s="41" t="inlineStr">
        <is>
          <t>220,000</t>
        </is>
      </c>
      <c r="K2210" s="41" t="inlineStr">
        <is>
          <t>102</t>
        </is>
      </c>
      <c r="L2210" s="41" t="inlineStr">
        <is>
          <t>4</t>
        </is>
      </c>
      <c r="M2210" s="42" t="inlineStr">
        <is>
          <t>개인</t>
        </is>
      </c>
      <c r="N2210" s="42" t="inlineStr">
        <is>
          <t>개인</t>
        </is>
      </c>
      <c r="O2210" s="41" t="inlineStr">
        <is>
          <t>2006</t>
        </is>
      </c>
      <c r="P2210" s="42" t="inlineStr">
        <is>
          <t>사임당로17길 80</t>
        </is>
      </c>
      <c r="Q2210" s="41" t="inlineStr">
        <is>
          <t>-</t>
        </is>
      </c>
      <c r="R2210" s="42" t="inlineStr">
        <is>
          <t>중개거래</t>
        </is>
      </c>
      <c r="S2210" s="42" t="inlineStr">
        <is>
          <t>서울 서초구</t>
        </is>
      </c>
      <c r="T2210" s="41" t="inlineStr">
        <is>
          <t>25.10.24</t>
        </is>
      </c>
      <c r="U2210" s="42" t="inlineStr">
        <is>
          <t>아파트</t>
        </is>
      </c>
    </row>
    <row r="2211" hidden="1" ht="17.25" customHeight="1">
      <c r="A2211" s="41" t="n">
        <v>552</v>
      </c>
      <c r="B2211" s="42" t="inlineStr">
        <is>
          <t>서울특별시 서초구 서초동</t>
        </is>
      </c>
      <c r="C2211" s="41" t="inlineStr">
        <is>
          <t>1582-3</t>
        </is>
      </c>
      <c r="D2211" s="41" t="inlineStr">
        <is>
          <t>1582</t>
        </is>
      </c>
      <c r="E2211" s="41" t="inlineStr">
        <is>
          <t>0003</t>
        </is>
      </c>
      <c r="F2211" s="42" t="inlineStr">
        <is>
          <t>서초센트럴IPARK</t>
        </is>
      </c>
      <c r="G2211" s="41" t="inlineStr">
        <is>
          <t>80.5154</t>
        </is>
      </c>
      <c r="H2211" s="41" t="inlineStr">
        <is>
          <t>202506</t>
        </is>
      </c>
      <c r="I2211" s="41" t="inlineStr">
        <is>
          <t>27</t>
        </is>
      </c>
      <c r="J2211" s="41" t="inlineStr">
        <is>
          <t>200,000</t>
        </is>
      </c>
      <c r="K2211" s="41" t="inlineStr">
        <is>
          <t>101동</t>
        </is>
      </c>
      <c r="L2211" s="41" t="inlineStr">
        <is>
          <t>31</t>
        </is>
      </c>
      <c r="M2211" s="42" t="inlineStr">
        <is>
          <t>개인</t>
        </is>
      </c>
      <c r="N2211" s="42" t="inlineStr">
        <is>
          <t>개인</t>
        </is>
      </c>
      <c r="O2211" s="41" t="inlineStr">
        <is>
          <t>2020</t>
        </is>
      </c>
      <c r="P2211" s="42" t="inlineStr">
        <is>
          <t>반포대로18길 36</t>
        </is>
      </c>
      <c r="Q2211" s="41" t="inlineStr">
        <is>
          <t>-</t>
        </is>
      </c>
      <c r="R2211" s="42" t="inlineStr">
        <is>
          <t>중개거래</t>
        </is>
      </c>
      <c r="S2211" s="42" t="inlineStr">
        <is>
          <t>서울 서초구</t>
        </is>
      </c>
      <c r="T2211" s="41" t="inlineStr">
        <is>
          <t>25.10.22</t>
        </is>
      </c>
      <c r="U2211" s="42" t="inlineStr">
        <is>
          <t>아파트</t>
        </is>
      </c>
    </row>
    <row r="2212" hidden="1" ht="17.25" customHeight="1">
      <c r="A2212" s="41" t="n">
        <v>553</v>
      </c>
      <c r="B2212" s="42" t="inlineStr">
        <is>
          <t>서울특별시 서초구 서초동</t>
        </is>
      </c>
      <c r="C2212" s="41" t="inlineStr">
        <is>
          <t>1757</t>
        </is>
      </c>
      <c r="D2212" s="41" t="inlineStr">
        <is>
          <t>1757</t>
        </is>
      </c>
      <c r="E2212" s="41" t="inlineStr">
        <is>
          <t>0000</t>
        </is>
      </c>
      <c r="F2212" s="42" t="inlineStr">
        <is>
          <t>서초그랑자이</t>
        </is>
      </c>
      <c r="G2212" s="41" t="inlineStr">
        <is>
          <t>90.9700</t>
        </is>
      </c>
      <c r="H2212" s="41" t="inlineStr">
        <is>
          <t>202506</t>
        </is>
      </c>
      <c r="I2212" s="41" t="inlineStr">
        <is>
          <t>26</t>
        </is>
      </c>
      <c r="J2212" s="41" t="inlineStr">
        <is>
          <t>400,000</t>
        </is>
      </c>
      <c r="K2212" s="41" t="inlineStr">
        <is>
          <t>102동</t>
        </is>
      </c>
      <c r="L2212" s="41" t="inlineStr">
        <is>
          <t>12</t>
        </is>
      </c>
      <c r="M2212" s="42" t="inlineStr">
        <is>
          <t>개인</t>
        </is>
      </c>
      <c r="N2212" s="42" t="inlineStr">
        <is>
          <t>개인</t>
        </is>
      </c>
      <c r="O2212" s="41" t="inlineStr">
        <is>
          <t>2021</t>
        </is>
      </c>
      <c r="P2212" s="42" t="inlineStr">
        <is>
          <t>효령로 391</t>
        </is>
      </c>
      <c r="Q2212" s="41" t="inlineStr">
        <is>
          <t>-</t>
        </is>
      </c>
      <c r="R2212" s="42" t="inlineStr">
        <is>
          <t>중개거래</t>
        </is>
      </c>
      <c r="S2212" s="42" t="inlineStr">
        <is>
          <t>서울 서초구</t>
        </is>
      </c>
      <c r="T2212" s="41" t="inlineStr">
        <is>
          <t>25.09.24</t>
        </is>
      </c>
      <c r="U2212" s="42" t="inlineStr">
        <is>
          <t>아파트</t>
        </is>
      </c>
    </row>
    <row r="2213" hidden="1" ht="17.25" customHeight="1">
      <c r="A2213" s="41" t="n">
        <v>554</v>
      </c>
      <c r="B2213" s="42" t="inlineStr">
        <is>
          <t>서울특별시 서초구 서초동</t>
        </is>
      </c>
      <c r="C2213" s="41" t="inlineStr">
        <is>
          <t>1755</t>
        </is>
      </c>
      <c r="D2213" s="41" t="inlineStr">
        <is>
          <t>1755</t>
        </is>
      </c>
      <c r="E2213" s="41" t="inlineStr">
        <is>
          <t>0000</t>
        </is>
      </c>
      <c r="F2213" s="42" t="inlineStr">
        <is>
          <t>래미안 리더스원</t>
        </is>
      </c>
      <c r="G2213" s="41" t="inlineStr">
        <is>
          <t>114.7000</t>
        </is>
      </c>
      <c r="H2213" s="41" t="inlineStr">
        <is>
          <t>202506</t>
        </is>
      </c>
      <c r="I2213" s="41" t="inlineStr">
        <is>
          <t>25</t>
        </is>
      </c>
      <c r="J2213" s="41" t="inlineStr">
        <is>
          <t>430,000</t>
        </is>
      </c>
      <c r="K2213" s="41" t="inlineStr">
        <is>
          <t>104동</t>
        </is>
      </c>
      <c r="L2213" s="41" t="inlineStr">
        <is>
          <t>11</t>
        </is>
      </c>
      <c r="M2213" s="42" t="inlineStr">
        <is>
          <t>개인</t>
        </is>
      </c>
      <c r="N2213" s="42" t="inlineStr">
        <is>
          <t>개인</t>
        </is>
      </c>
      <c r="O2213" s="41" t="inlineStr">
        <is>
          <t>2020</t>
        </is>
      </c>
      <c r="P2213" s="42" t="inlineStr">
        <is>
          <t>서운로 62</t>
        </is>
      </c>
      <c r="Q2213" s="41" t="inlineStr">
        <is>
          <t>-</t>
        </is>
      </c>
      <c r="R2213" s="42" t="inlineStr">
        <is>
          <t>중개거래</t>
        </is>
      </c>
      <c r="S2213" s="42" t="inlineStr">
        <is>
          <t>서울 서초구</t>
        </is>
      </c>
      <c r="T2213" s="41" t="inlineStr">
        <is>
          <t>25.11.14</t>
        </is>
      </c>
      <c r="U2213" s="42" t="inlineStr">
        <is>
          <t>아파트</t>
        </is>
      </c>
    </row>
    <row r="2214" hidden="1" ht="17.25" customHeight="1">
      <c r="A2214" s="41" t="n">
        <v>555</v>
      </c>
      <c r="B2214" s="42" t="inlineStr">
        <is>
          <t>서울특별시 서초구 서초동</t>
        </is>
      </c>
      <c r="C2214" s="41" t="inlineStr">
        <is>
          <t>1648-2</t>
        </is>
      </c>
      <c r="D2214" s="41" t="inlineStr">
        <is>
          <t>1648</t>
        </is>
      </c>
      <c r="E2214" s="41" t="inlineStr">
        <is>
          <t>0002</t>
        </is>
      </c>
      <c r="F2214" s="42" t="inlineStr">
        <is>
          <t>서초현대</t>
        </is>
      </c>
      <c r="G2214" s="41" t="inlineStr">
        <is>
          <t>54.4500</t>
        </is>
      </c>
      <c r="H2214" s="41" t="inlineStr">
        <is>
          <t>202506</t>
        </is>
      </c>
      <c r="I2214" s="41" t="inlineStr">
        <is>
          <t>25</t>
        </is>
      </c>
      <c r="J2214" s="41" t="inlineStr">
        <is>
          <t>128,000</t>
        </is>
      </c>
      <c r="K2214" s="41" t="inlineStr">
        <is>
          <t>102</t>
        </is>
      </c>
      <c r="L2214" s="41" t="inlineStr">
        <is>
          <t>7</t>
        </is>
      </c>
      <c r="M2214" s="42" t="inlineStr">
        <is>
          <t>개인</t>
        </is>
      </c>
      <c r="N2214" s="42" t="inlineStr">
        <is>
          <t>개인</t>
        </is>
      </c>
      <c r="O2214" s="41" t="inlineStr">
        <is>
          <t>1999</t>
        </is>
      </c>
      <c r="P2214" s="42" t="inlineStr">
        <is>
          <t>사임당로19길 10</t>
        </is>
      </c>
      <c r="Q2214" s="41" t="inlineStr">
        <is>
          <t>-</t>
        </is>
      </c>
      <c r="R2214" s="42" t="inlineStr">
        <is>
          <t>중개거래</t>
        </is>
      </c>
      <c r="S2214" s="42" t="inlineStr">
        <is>
          <t>서울 서초구</t>
        </is>
      </c>
      <c r="T2214" s="41" t="inlineStr">
        <is>
          <t>25.08.27</t>
        </is>
      </c>
      <c r="U2214" s="42" t="inlineStr">
        <is>
          <t>아파트</t>
        </is>
      </c>
    </row>
    <row r="2215" hidden="1" ht="17.25" customHeight="1">
      <c r="A2215" s="41" t="n">
        <v>556</v>
      </c>
      <c r="B2215" s="42" t="inlineStr">
        <is>
          <t>서울특별시 서초구 서초동</t>
        </is>
      </c>
      <c r="C2215" s="41" t="inlineStr">
        <is>
          <t>1641-1</t>
        </is>
      </c>
      <c r="D2215" s="41" t="inlineStr">
        <is>
          <t>1641</t>
        </is>
      </c>
      <c r="E2215" s="41" t="inlineStr">
        <is>
          <t>0001</t>
        </is>
      </c>
      <c r="F2215" s="42" t="inlineStr">
        <is>
          <t>서초삼성래미안</t>
        </is>
      </c>
      <c r="G2215" s="41" t="inlineStr">
        <is>
          <t>121.6600</t>
        </is>
      </c>
      <c r="H2215" s="41" t="inlineStr">
        <is>
          <t>202506</t>
        </is>
      </c>
      <c r="I2215" s="41" t="inlineStr">
        <is>
          <t>25</t>
        </is>
      </c>
      <c r="J2215" s="41" t="inlineStr">
        <is>
          <t>240,000</t>
        </is>
      </c>
      <c r="K2215" s="41" t="inlineStr">
        <is>
          <t>102</t>
        </is>
      </c>
      <c r="L2215" s="41" t="inlineStr">
        <is>
          <t>6</t>
        </is>
      </c>
      <c r="M2215" s="42" t="inlineStr">
        <is>
          <t>개인</t>
        </is>
      </c>
      <c r="N2215" s="42" t="inlineStr">
        <is>
          <t>개인</t>
        </is>
      </c>
      <c r="O2215" s="41" t="inlineStr">
        <is>
          <t>2001</t>
        </is>
      </c>
      <c r="P2215" s="42" t="inlineStr">
        <is>
          <t>사임당로17길 116</t>
        </is>
      </c>
      <c r="Q2215" s="41" t="inlineStr">
        <is>
          <t>-</t>
        </is>
      </c>
      <c r="R2215" s="42" t="inlineStr">
        <is>
          <t>중개거래</t>
        </is>
      </c>
      <c r="S2215" s="42" t="inlineStr">
        <is>
          <t>서울 서초구</t>
        </is>
      </c>
      <c r="T2215" s="41" t="inlineStr">
        <is>
          <t>25.07.21</t>
        </is>
      </c>
      <c r="U2215" s="42" t="inlineStr">
        <is>
          <t>아파트</t>
        </is>
      </c>
    </row>
    <row r="2216" hidden="1" ht="17.25" customHeight="1">
      <c r="A2216" s="41" t="n">
        <v>557</v>
      </c>
      <c r="B2216" s="42" t="inlineStr">
        <is>
          <t>서울특별시 서초구 서초동</t>
        </is>
      </c>
      <c r="C2216" s="41" t="inlineStr">
        <is>
          <t>1755</t>
        </is>
      </c>
      <c r="D2216" s="41" t="inlineStr">
        <is>
          <t>1755</t>
        </is>
      </c>
      <c r="E2216" s="41" t="inlineStr">
        <is>
          <t>0000</t>
        </is>
      </c>
      <c r="F2216" s="42" t="inlineStr">
        <is>
          <t>래미안 리더스원</t>
        </is>
      </c>
      <c r="G2216" s="41" t="inlineStr">
        <is>
          <t>114.9400</t>
        </is>
      </c>
      <c r="H2216" s="41" t="inlineStr">
        <is>
          <t>202506</t>
        </is>
      </c>
      <c r="I2216" s="41" t="inlineStr">
        <is>
          <t>25</t>
        </is>
      </c>
      <c r="J2216" s="41" t="inlineStr">
        <is>
          <t>425,000</t>
        </is>
      </c>
      <c r="K2216" s="41" t="inlineStr">
        <is>
          <t>107동</t>
        </is>
      </c>
      <c r="L2216" s="41" t="inlineStr">
        <is>
          <t>18</t>
        </is>
      </c>
      <c r="M2216" s="42" t="inlineStr">
        <is>
          <t>개인</t>
        </is>
      </c>
      <c r="N2216" s="42" t="inlineStr">
        <is>
          <t>개인</t>
        </is>
      </c>
      <c r="O2216" s="41" t="inlineStr">
        <is>
          <t>2020</t>
        </is>
      </c>
      <c r="P2216" s="42" t="inlineStr">
        <is>
          <t>서운로 62</t>
        </is>
      </c>
      <c r="Q2216" s="41" t="inlineStr">
        <is>
          <t>-</t>
        </is>
      </c>
      <c r="R2216" s="42" t="inlineStr">
        <is>
          <t>중개거래</t>
        </is>
      </c>
      <c r="S2216" s="42" t="inlineStr">
        <is>
          <t>서울 강남구, 서울 서초구</t>
        </is>
      </c>
      <c r="T2216" s="41" t="inlineStr">
        <is>
          <t>25.10.17</t>
        </is>
      </c>
      <c r="U2216" s="42" t="inlineStr">
        <is>
          <t>아파트</t>
        </is>
      </c>
    </row>
    <row r="2217" hidden="1" ht="17.25" customHeight="1">
      <c r="A2217" s="41" t="n">
        <v>558</v>
      </c>
      <c r="B2217" s="42" t="inlineStr">
        <is>
          <t>서울특별시 서초구 서초동</t>
        </is>
      </c>
      <c r="C2217" s="41" t="inlineStr">
        <is>
          <t>1682</t>
        </is>
      </c>
      <c r="D2217" s="41" t="inlineStr">
        <is>
          <t>1682</t>
        </is>
      </c>
      <c r="E2217" s="41" t="inlineStr">
        <is>
          <t>0000</t>
        </is>
      </c>
      <c r="F2217" s="42" t="inlineStr">
        <is>
          <t>서초래미안</t>
        </is>
      </c>
      <c r="G2217" s="41" t="inlineStr">
        <is>
          <t>111.9200</t>
        </is>
      </c>
      <c r="H2217" s="41" t="inlineStr">
        <is>
          <t>202506</t>
        </is>
      </c>
      <c r="I2217" s="41" t="inlineStr">
        <is>
          <t>24</t>
        </is>
      </c>
      <c r="J2217" s="41" t="inlineStr">
        <is>
          <t>288,000</t>
        </is>
      </c>
      <c r="K2217" s="41" t="inlineStr">
        <is>
          <t>101</t>
        </is>
      </c>
      <c r="L2217" s="41" t="inlineStr">
        <is>
          <t>15</t>
        </is>
      </c>
      <c r="M2217" s="42" t="inlineStr">
        <is>
          <t>개인</t>
        </is>
      </c>
      <c r="N2217" s="42" t="inlineStr">
        <is>
          <t>개인</t>
        </is>
      </c>
      <c r="O2217" s="41" t="inlineStr">
        <is>
          <t>2003</t>
        </is>
      </c>
      <c r="P2217" s="42" t="inlineStr">
        <is>
          <t>서초대로65길 13-10</t>
        </is>
      </c>
      <c r="Q2217" s="41" t="inlineStr">
        <is>
          <t>-</t>
        </is>
      </c>
      <c r="R2217" s="42" t="inlineStr">
        <is>
          <t>중개거래</t>
        </is>
      </c>
      <c r="S2217" s="42" t="inlineStr">
        <is>
          <t>서울 서초구</t>
        </is>
      </c>
      <c r="T2217" s="41" t="inlineStr">
        <is>
          <t>25.09.05</t>
        </is>
      </c>
      <c r="U2217" s="42" t="inlineStr">
        <is>
          <t>아파트</t>
        </is>
      </c>
    </row>
    <row r="2218" hidden="1" ht="17.25" customHeight="1">
      <c r="A2218" s="41" t="n">
        <v>559</v>
      </c>
      <c r="B2218" s="42" t="inlineStr">
        <is>
          <t>서울특별시 서초구 서초동</t>
        </is>
      </c>
      <c r="C2218" s="41" t="inlineStr">
        <is>
          <t>1522-1</t>
        </is>
      </c>
      <c r="D2218" s="41" t="inlineStr">
        <is>
          <t>1522</t>
        </is>
      </c>
      <c r="E2218" s="41" t="inlineStr">
        <is>
          <t>0001</t>
        </is>
      </c>
      <c r="F2218" s="42" t="inlineStr">
        <is>
          <t>래미안서초5차</t>
        </is>
      </c>
      <c r="G2218" s="41" t="inlineStr">
        <is>
          <t>120.2200</t>
        </is>
      </c>
      <c r="H2218" s="41" t="inlineStr">
        <is>
          <t>202506</t>
        </is>
      </c>
      <c r="I2218" s="41" t="inlineStr">
        <is>
          <t>24</t>
        </is>
      </c>
      <c r="J2218" s="41" t="inlineStr">
        <is>
          <t>225,000</t>
        </is>
      </c>
      <c r="K2218" s="41" t="inlineStr">
        <is>
          <t>501</t>
        </is>
      </c>
      <c r="L2218" s="41" t="inlineStr">
        <is>
          <t>11</t>
        </is>
      </c>
      <c r="M2218" s="42" t="inlineStr">
        <is>
          <t>개인</t>
        </is>
      </c>
      <c r="N2218" s="42" t="inlineStr">
        <is>
          <t>개인</t>
        </is>
      </c>
      <c r="O2218" s="41" t="inlineStr">
        <is>
          <t>2005</t>
        </is>
      </c>
      <c r="P2218" s="42" t="inlineStr">
        <is>
          <t>반포대로21길 67</t>
        </is>
      </c>
      <c r="Q2218" s="41" t="inlineStr">
        <is>
          <t>-</t>
        </is>
      </c>
      <c r="R2218" s="42" t="inlineStr">
        <is>
          <t>중개거래</t>
        </is>
      </c>
      <c r="S2218" s="42" t="inlineStr">
        <is>
          <t>서울 서초구</t>
        </is>
      </c>
      <c r="T2218" s="41" t="inlineStr">
        <is>
          <t>25.09.30</t>
        </is>
      </c>
      <c r="U2218" s="42" t="inlineStr">
        <is>
          <t>아파트</t>
        </is>
      </c>
    </row>
    <row r="2219" hidden="1" ht="17.25" customHeight="1">
      <c r="A2219" s="41" t="n">
        <v>560</v>
      </c>
      <c r="B2219" s="42" t="inlineStr">
        <is>
          <t>서울특별시 서초구 서초동</t>
        </is>
      </c>
      <c r="C2219" s="41" t="inlineStr">
        <is>
          <t>1455-9</t>
        </is>
      </c>
      <c r="D2219" s="41" t="inlineStr">
        <is>
          <t>1455</t>
        </is>
      </c>
      <c r="E2219" s="41" t="inlineStr">
        <is>
          <t>0009</t>
        </is>
      </c>
      <c r="F2219" s="42" t="inlineStr">
        <is>
          <t>경남아너스빌</t>
        </is>
      </c>
      <c r="G2219" s="41" t="inlineStr">
        <is>
          <t>127.0420</t>
        </is>
      </c>
      <c r="H2219" s="41" t="inlineStr">
        <is>
          <t>202506</t>
        </is>
      </c>
      <c r="I2219" s="41" t="inlineStr">
        <is>
          <t>23</t>
        </is>
      </c>
      <c r="J2219" s="41" t="inlineStr">
        <is>
          <t>208,000</t>
        </is>
      </c>
      <c r="K2219" s="41" t="inlineStr">
        <is>
          <t>-</t>
        </is>
      </c>
      <c r="L2219" s="41" t="inlineStr">
        <is>
          <t>3</t>
        </is>
      </c>
      <c r="M2219" s="42" t="inlineStr">
        <is>
          <t>개인</t>
        </is>
      </c>
      <c r="N2219" s="42" t="inlineStr">
        <is>
          <t>개인</t>
        </is>
      </c>
      <c r="O2219" s="41" t="inlineStr">
        <is>
          <t>2005</t>
        </is>
      </c>
      <c r="P2219" s="42" t="inlineStr">
        <is>
          <t>남부순환로323길 56-18</t>
        </is>
      </c>
      <c r="Q2219" s="41" t="inlineStr">
        <is>
          <t>-</t>
        </is>
      </c>
      <c r="R2219" s="42" t="inlineStr">
        <is>
          <t>중개거래</t>
        </is>
      </c>
      <c r="S2219" s="42" t="inlineStr">
        <is>
          <t>서울 서초구</t>
        </is>
      </c>
      <c r="T2219" s="41" t="inlineStr">
        <is>
          <t>25.09.19</t>
        </is>
      </c>
      <c r="U2219" s="42" t="inlineStr">
        <is>
          <t>아파트</t>
        </is>
      </c>
    </row>
    <row r="2220" hidden="1" ht="17.25" customHeight="1">
      <c r="A2220" s="41" t="n">
        <v>561</v>
      </c>
      <c r="B2220" s="42" t="inlineStr">
        <is>
          <t>서울특별시 서초구 서초동</t>
        </is>
      </c>
      <c r="C2220" s="41" t="inlineStr">
        <is>
          <t>1542-1</t>
        </is>
      </c>
      <c r="D2220" s="41" t="inlineStr">
        <is>
          <t>1542</t>
        </is>
      </c>
      <c r="E2220" s="41" t="inlineStr">
        <is>
          <t>0001</t>
        </is>
      </c>
      <c r="F2220" s="42" t="inlineStr">
        <is>
          <t>동일하이빌</t>
        </is>
      </c>
      <c r="G2220" s="41" t="inlineStr">
        <is>
          <t>100.3900</t>
        </is>
      </c>
      <c r="H2220" s="41" t="inlineStr">
        <is>
          <t>202506</t>
        </is>
      </c>
      <c r="I2220" s="41" t="inlineStr">
        <is>
          <t>22</t>
        </is>
      </c>
      <c r="J2220" s="41" t="inlineStr">
        <is>
          <t>181,000</t>
        </is>
      </c>
      <c r="K2220" s="41" t="inlineStr">
        <is>
          <t>-</t>
        </is>
      </c>
      <c r="L2220" s="41" t="inlineStr">
        <is>
          <t>9</t>
        </is>
      </c>
      <c r="M2220" s="42" t="inlineStr">
        <is>
          <t>개인</t>
        </is>
      </c>
      <c r="N2220" s="42" t="inlineStr">
        <is>
          <t>개인</t>
        </is>
      </c>
      <c r="O2220" s="41" t="inlineStr">
        <is>
          <t>2006</t>
        </is>
      </c>
      <c r="P2220" s="42" t="inlineStr">
        <is>
          <t>서초대로 240</t>
        </is>
      </c>
      <c r="Q2220" s="41" t="inlineStr">
        <is>
          <t>20250805</t>
        </is>
      </c>
      <c r="R2220" s="42" t="inlineStr">
        <is>
          <t>중개거래</t>
        </is>
      </c>
      <c r="S2220" s="42" t="inlineStr">
        <is>
          <t>서울 서초구</t>
        </is>
      </c>
      <c r="T2220" s="41" t="inlineStr">
        <is>
          <t>-</t>
        </is>
      </c>
      <c r="U2220" s="42" t="inlineStr">
        <is>
          <t>아파트</t>
        </is>
      </c>
    </row>
    <row r="2221" hidden="1" ht="17.25" customHeight="1">
      <c r="A2221" s="41" t="n">
        <v>562</v>
      </c>
      <c r="B2221" s="42" t="inlineStr">
        <is>
          <t>서울특별시 서초구 서초동</t>
        </is>
      </c>
      <c r="C2221" s="41" t="inlineStr">
        <is>
          <t>1687</t>
        </is>
      </c>
      <c r="D2221" s="41" t="inlineStr">
        <is>
          <t>1687</t>
        </is>
      </c>
      <c r="E2221" s="41" t="inlineStr">
        <is>
          <t>0000</t>
        </is>
      </c>
      <c r="F2221" s="42" t="inlineStr">
        <is>
          <t>유원서초</t>
        </is>
      </c>
      <c r="G2221" s="41" t="inlineStr">
        <is>
          <t>84.8200</t>
        </is>
      </c>
      <c r="H2221" s="41" t="inlineStr">
        <is>
          <t>202506</t>
        </is>
      </c>
      <c r="I2221" s="41" t="inlineStr">
        <is>
          <t>21</t>
        </is>
      </c>
      <c r="J2221" s="41" t="inlineStr">
        <is>
          <t>217,000</t>
        </is>
      </c>
      <c r="K2221" s="41" t="inlineStr">
        <is>
          <t>104</t>
        </is>
      </c>
      <c r="L2221" s="41" t="inlineStr">
        <is>
          <t>2</t>
        </is>
      </c>
      <c r="M2221" s="42" t="inlineStr">
        <is>
          <t>개인</t>
        </is>
      </c>
      <c r="N2221" s="42" t="inlineStr">
        <is>
          <t>개인</t>
        </is>
      </c>
      <c r="O2221" s="41" t="inlineStr">
        <is>
          <t>1993</t>
        </is>
      </c>
      <c r="P2221" s="42" t="inlineStr">
        <is>
          <t>서초중앙로24길 43</t>
        </is>
      </c>
      <c r="Q2221" s="41" t="inlineStr">
        <is>
          <t>-</t>
        </is>
      </c>
      <c r="R2221" s="42" t="inlineStr">
        <is>
          <t>중개거래</t>
        </is>
      </c>
      <c r="S2221" s="42" t="inlineStr">
        <is>
          <t>서울 서초구</t>
        </is>
      </c>
      <c r="T2221" s="41" t="inlineStr">
        <is>
          <t>25.07.16</t>
        </is>
      </c>
      <c r="U2221" s="42" t="inlineStr">
        <is>
          <t>아파트</t>
        </is>
      </c>
    </row>
    <row r="2222" hidden="1" ht="17.25" customHeight="1">
      <c r="A2222" s="41" t="n">
        <v>563</v>
      </c>
      <c r="B2222" s="42" t="inlineStr">
        <is>
          <t>서울특별시 서초구 서초동</t>
        </is>
      </c>
      <c r="C2222" s="41" t="inlineStr">
        <is>
          <t>1593-7</t>
        </is>
      </c>
      <c r="D2222" s="41" t="inlineStr">
        <is>
          <t>1593</t>
        </is>
      </c>
      <c r="E2222" s="41" t="inlineStr">
        <is>
          <t>0007</t>
        </is>
      </c>
      <c r="F2222" s="42" t="inlineStr">
        <is>
          <t>서초이오빌</t>
        </is>
      </c>
      <c r="G2222" s="41" t="inlineStr">
        <is>
          <t>50.7700</t>
        </is>
      </c>
      <c r="H2222" s="41" t="inlineStr">
        <is>
          <t>202506</t>
        </is>
      </c>
      <c r="I2222" s="41" t="inlineStr">
        <is>
          <t>21</t>
        </is>
      </c>
      <c r="J2222" s="41" t="inlineStr">
        <is>
          <t>58,500</t>
        </is>
      </c>
      <c r="K2222" s="41" t="inlineStr">
        <is>
          <t>-</t>
        </is>
      </c>
      <c r="L2222" s="41" t="inlineStr">
        <is>
          <t>4</t>
        </is>
      </c>
      <c r="M2222" s="42" t="inlineStr">
        <is>
          <t>개인</t>
        </is>
      </c>
      <c r="N2222" s="42" t="inlineStr">
        <is>
          <t>개인</t>
        </is>
      </c>
      <c r="O2222" s="41" t="inlineStr">
        <is>
          <t>2003</t>
        </is>
      </c>
      <c r="P2222" s="42" t="inlineStr">
        <is>
          <t>효령로53길 45</t>
        </is>
      </c>
      <c r="Q2222" s="41" t="inlineStr">
        <is>
          <t>-</t>
        </is>
      </c>
      <c r="R2222" s="42" t="inlineStr">
        <is>
          <t>중개거래</t>
        </is>
      </c>
      <c r="S2222" s="42" t="inlineStr">
        <is>
          <t>서울 서초구</t>
        </is>
      </c>
      <c r="T2222" s="41" t="inlineStr">
        <is>
          <t>25.08.29</t>
        </is>
      </c>
      <c r="U2222" s="42" t="inlineStr">
        <is>
          <t>아파트</t>
        </is>
      </c>
    </row>
    <row r="2223" hidden="1" ht="17.25" customHeight="1">
      <c r="A2223" s="41" t="n">
        <v>564</v>
      </c>
      <c r="B2223" s="42" t="inlineStr">
        <is>
          <t>서울특별시 서초구 서초동</t>
        </is>
      </c>
      <c r="C2223" s="41" t="inlineStr">
        <is>
          <t>1687</t>
        </is>
      </c>
      <c r="D2223" s="41" t="inlineStr">
        <is>
          <t>1687</t>
        </is>
      </c>
      <c r="E2223" s="41" t="inlineStr">
        <is>
          <t>0000</t>
        </is>
      </c>
      <c r="F2223" s="42" t="inlineStr">
        <is>
          <t>유원서초</t>
        </is>
      </c>
      <c r="G2223" s="41" t="inlineStr">
        <is>
          <t>84.8200</t>
        </is>
      </c>
      <c r="H2223" s="41" t="inlineStr">
        <is>
          <t>202506</t>
        </is>
      </c>
      <c r="I2223" s="41" t="inlineStr">
        <is>
          <t>20</t>
        </is>
      </c>
      <c r="J2223" s="41" t="inlineStr">
        <is>
          <t>243,000</t>
        </is>
      </c>
      <c r="K2223" s="41" t="inlineStr">
        <is>
          <t>102</t>
        </is>
      </c>
      <c r="L2223" s="41" t="inlineStr">
        <is>
          <t>8</t>
        </is>
      </c>
      <c r="M2223" s="42" t="inlineStr">
        <is>
          <t>개인</t>
        </is>
      </c>
      <c r="N2223" s="42" t="inlineStr">
        <is>
          <t>개인</t>
        </is>
      </c>
      <c r="O2223" s="41" t="inlineStr">
        <is>
          <t>1993</t>
        </is>
      </c>
      <c r="P2223" s="42" t="inlineStr">
        <is>
          <t>서초중앙로24길 43</t>
        </is>
      </c>
      <c r="Q2223" s="41" t="inlineStr">
        <is>
          <t>-</t>
        </is>
      </c>
      <c r="R2223" s="42" t="inlineStr">
        <is>
          <t>중개거래</t>
        </is>
      </c>
      <c r="S2223" s="42" t="inlineStr">
        <is>
          <t>서울 서초구</t>
        </is>
      </c>
      <c r="T2223" s="41" t="inlineStr">
        <is>
          <t>25.09.12</t>
        </is>
      </c>
      <c r="U2223" s="42" t="inlineStr">
        <is>
          <t>아파트</t>
        </is>
      </c>
    </row>
    <row r="2224" hidden="1" ht="17.25" customHeight="1">
      <c r="A2224" s="41" t="n">
        <v>565</v>
      </c>
      <c r="B2224" s="42" t="inlineStr">
        <is>
          <t>서울특별시 서초구 서초동</t>
        </is>
      </c>
      <c r="C2224" s="41" t="inlineStr">
        <is>
          <t>1542-6</t>
        </is>
      </c>
      <c r="D2224" s="41" t="inlineStr">
        <is>
          <t>1542</t>
        </is>
      </c>
      <c r="E2224" s="41" t="inlineStr">
        <is>
          <t>0006</t>
        </is>
      </c>
      <c r="F2224" s="42" t="inlineStr">
        <is>
          <t>현대ESA2</t>
        </is>
      </c>
      <c r="G2224" s="41" t="inlineStr">
        <is>
          <t>136.2500</t>
        </is>
      </c>
      <c r="H2224" s="41" t="inlineStr">
        <is>
          <t>202506</t>
        </is>
      </c>
      <c r="I2224" s="41" t="inlineStr">
        <is>
          <t>20</t>
        </is>
      </c>
      <c r="J2224" s="41" t="inlineStr">
        <is>
          <t>207,000</t>
        </is>
      </c>
      <c r="K2224" s="41" t="inlineStr">
        <is>
          <t>B</t>
        </is>
      </c>
      <c r="L2224" s="41" t="inlineStr">
        <is>
          <t>18</t>
        </is>
      </c>
      <c r="M2224" s="42" t="inlineStr">
        <is>
          <t>개인</t>
        </is>
      </c>
      <c r="N2224" s="42" t="inlineStr">
        <is>
          <t>개인</t>
        </is>
      </c>
      <c r="O2224" s="41" t="inlineStr">
        <is>
          <t>2003</t>
        </is>
      </c>
      <c r="P2224" s="42" t="inlineStr">
        <is>
          <t>반포대로 122</t>
        </is>
      </c>
      <c r="Q2224" s="41" t="inlineStr">
        <is>
          <t>-</t>
        </is>
      </c>
      <c r="R2224" s="42" t="inlineStr">
        <is>
          <t>중개거래</t>
        </is>
      </c>
      <c r="S2224" s="42" t="inlineStr">
        <is>
          <t>서울 강남구, 서울 서초구</t>
        </is>
      </c>
      <c r="T2224" s="41" t="inlineStr">
        <is>
          <t>25.08.20</t>
        </is>
      </c>
      <c r="U2224" s="42" t="inlineStr">
        <is>
          <t>아파트</t>
        </is>
      </c>
    </row>
    <row r="2225" hidden="1" ht="17.25" customHeight="1">
      <c r="A2225" s="41" t="n">
        <v>566</v>
      </c>
      <c r="B2225" s="42" t="inlineStr">
        <is>
          <t>서울특별시 서초구 서초동</t>
        </is>
      </c>
      <c r="C2225" s="41" t="inlineStr">
        <is>
          <t>1593-7</t>
        </is>
      </c>
      <c r="D2225" s="41" t="inlineStr">
        <is>
          <t>1593</t>
        </is>
      </c>
      <c r="E2225" s="41" t="inlineStr">
        <is>
          <t>0007</t>
        </is>
      </c>
      <c r="F2225" s="42" t="inlineStr">
        <is>
          <t>서초이오빌</t>
        </is>
      </c>
      <c r="G2225" s="41" t="inlineStr">
        <is>
          <t>45.9600</t>
        </is>
      </c>
      <c r="H2225" s="41" t="inlineStr">
        <is>
          <t>202506</t>
        </is>
      </c>
      <c r="I2225" s="41" t="inlineStr">
        <is>
          <t>20</t>
        </is>
      </c>
      <c r="J2225" s="41" t="inlineStr">
        <is>
          <t>44,000</t>
        </is>
      </c>
      <c r="K2225" s="41" t="inlineStr">
        <is>
          <t>-</t>
        </is>
      </c>
      <c r="L2225" s="41" t="inlineStr">
        <is>
          <t>7</t>
        </is>
      </c>
      <c r="M2225" s="42" t="inlineStr">
        <is>
          <t>개인</t>
        </is>
      </c>
      <c r="N2225" s="42" t="inlineStr">
        <is>
          <t>개인</t>
        </is>
      </c>
      <c r="O2225" s="41" t="inlineStr">
        <is>
          <t>2003</t>
        </is>
      </c>
      <c r="P2225" s="42" t="inlineStr">
        <is>
          <t>효령로53길 45</t>
        </is>
      </c>
      <c r="Q2225" s="41" t="inlineStr">
        <is>
          <t>-</t>
        </is>
      </c>
      <c r="R2225" s="42" t="inlineStr">
        <is>
          <t>중개거래</t>
        </is>
      </c>
      <c r="S2225" s="42" t="inlineStr">
        <is>
          <t>서울 서초구</t>
        </is>
      </c>
      <c r="T2225" s="41" t="inlineStr">
        <is>
          <t>25.08.19</t>
        </is>
      </c>
      <c r="U2225" s="42" t="inlineStr">
        <is>
          <t>아파트</t>
        </is>
      </c>
    </row>
    <row r="2226" hidden="1" ht="17.25" customHeight="1">
      <c r="A2226" s="41" t="n">
        <v>567</v>
      </c>
      <c r="B2226" s="42" t="inlineStr">
        <is>
          <t>서울특별시 서초구 서초동</t>
        </is>
      </c>
      <c r="C2226" s="41" t="inlineStr">
        <is>
          <t>1644</t>
        </is>
      </c>
      <c r="D2226" s="41" t="inlineStr">
        <is>
          <t>1644</t>
        </is>
      </c>
      <c r="E2226" s="41" t="inlineStr">
        <is>
          <t>0000</t>
        </is>
      </c>
      <c r="F2226" s="42" t="inlineStr">
        <is>
          <t>현대서초3</t>
        </is>
      </c>
      <c r="G2226" s="41" t="inlineStr">
        <is>
          <t>84.4900</t>
        </is>
      </c>
      <c r="H2226" s="41" t="inlineStr">
        <is>
          <t>202506</t>
        </is>
      </c>
      <c r="I2226" s="41" t="inlineStr">
        <is>
          <t>20</t>
        </is>
      </c>
      <c r="J2226" s="41" t="inlineStr">
        <is>
          <t>148,500</t>
        </is>
      </c>
      <c r="K2226" s="41" t="inlineStr">
        <is>
          <t>301</t>
        </is>
      </c>
      <c r="L2226" s="41" t="inlineStr">
        <is>
          <t>1</t>
        </is>
      </c>
      <c r="M2226" s="42" t="inlineStr">
        <is>
          <t>개인</t>
        </is>
      </c>
      <c r="N2226" s="42" t="inlineStr">
        <is>
          <t>개인</t>
        </is>
      </c>
      <c r="O2226" s="41" t="inlineStr">
        <is>
          <t>1997</t>
        </is>
      </c>
      <c r="P2226" s="42" t="inlineStr">
        <is>
          <t>사임당로23길 58</t>
        </is>
      </c>
      <c r="Q2226" s="41" t="inlineStr">
        <is>
          <t>-</t>
        </is>
      </c>
      <c r="R2226" s="42" t="inlineStr">
        <is>
          <t>중개거래</t>
        </is>
      </c>
      <c r="S2226" s="42" t="inlineStr">
        <is>
          <t>서울 서초구</t>
        </is>
      </c>
      <c r="T2226" s="41" t="inlineStr">
        <is>
          <t>25.09.01</t>
        </is>
      </c>
      <c r="U2226" s="42" t="inlineStr">
        <is>
          <t>아파트</t>
        </is>
      </c>
    </row>
    <row r="2227" hidden="1" ht="17.25" customHeight="1">
      <c r="A2227" s="41" t="n">
        <v>568</v>
      </c>
      <c r="B2227" s="42" t="inlineStr">
        <is>
          <t>서울특별시 서초구 서초동</t>
        </is>
      </c>
      <c r="C2227" s="41" t="inlineStr">
        <is>
          <t>1487-63</t>
        </is>
      </c>
      <c r="D2227" s="41" t="inlineStr">
        <is>
          <t>1487</t>
        </is>
      </c>
      <c r="E2227" s="41" t="inlineStr">
        <is>
          <t>0063</t>
        </is>
      </c>
      <c r="F2227" s="42" t="inlineStr">
        <is>
          <t>서초1차e-편한세상</t>
        </is>
      </c>
      <c r="G2227" s="41" t="inlineStr">
        <is>
          <t>130.5300</t>
        </is>
      </c>
      <c r="H2227" s="41" t="inlineStr">
        <is>
          <t>202506</t>
        </is>
      </c>
      <c r="I2227" s="41" t="inlineStr">
        <is>
          <t>20</t>
        </is>
      </c>
      <c r="J2227" s="41" t="inlineStr">
        <is>
          <t>240,000</t>
        </is>
      </c>
      <c r="K2227" s="41" t="inlineStr">
        <is>
          <t>101</t>
        </is>
      </c>
      <c r="L2227" s="41" t="inlineStr">
        <is>
          <t>1</t>
        </is>
      </c>
      <c r="M2227" s="42" t="inlineStr">
        <is>
          <t>개인</t>
        </is>
      </c>
      <c r="N2227" s="42" t="inlineStr">
        <is>
          <t>개인</t>
        </is>
      </c>
      <c r="O2227" s="41" t="inlineStr">
        <is>
          <t>2004</t>
        </is>
      </c>
      <c r="P2227" s="42" t="inlineStr">
        <is>
          <t>명달로6길 31</t>
        </is>
      </c>
      <c r="Q2227" s="41" t="inlineStr">
        <is>
          <t>-</t>
        </is>
      </c>
      <c r="R2227" s="42" t="inlineStr">
        <is>
          <t>중개거래</t>
        </is>
      </c>
      <c r="S2227" s="42" t="inlineStr">
        <is>
          <t>서울 강서구, 서울 서초구</t>
        </is>
      </c>
      <c r="T2227" s="41" t="inlineStr">
        <is>
          <t>25.09.08</t>
        </is>
      </c>
      <c r="U2227" s="42" t="inlineStr">
        <is>
          <t>아파트</t>
        </is>
      </c>
    </row>
    <row r="2228" hidden="1" ht="17.25" customHeight="1">
      <c r="A2228" s="41" t="n">
        <v>569</v>
      </c>
      <c r="B2228" s="42" t="inlineStr">
        <is>
          <t>서울특별시 서초구 서초동</t>
        </is>
      </c>
      <c r="C2228" s="41" t="inlineStr">
        <is>
          <t>1446-11</t>
        </is>
      </c>
      <c r="D2228" s="41" t="inlineStr">
        <is>
          <t>1446</t>
        </is>
      </c>
      <c r="E2228" s="41" t="inlineStr">
        <is>
          <t>0011</t>
        </is>
      </c>
      <c r="F2228" s="42" t="inlineStr">
        <is>
          <t>현대슈퍼빌</t>
        </is>
      </c>
      <c r="G2228" s="41" t="inlineStr">
        <is>
          <t>164.8700</t>
        </is>
      </c>
      <c r="H2228" s="41" t="inlineStr">
        <is>
          <t>202506</t>
        </is>
      </c>
      <c r="I2228" s="41" t="inlineStr">
        <is>
          <t>19</t>
        </is>
      </c>
      <c r="J2228" s="41" t="inlineStr">
        <is>
          <t>289,000</t>
        </is>
      </c>
      <c r="K2228" s="41" t="inlineStr">
        <is>
          <t>B</t>
        </is>
      </c>
      <c r="L2228" s="41" t="inlineStr">
        <is>
          <t>27</t>
        </is>
      </c>
      <c r="M2228" s="42" t="inlineStr">
        <is>
          <t>개인</t>
        </is>
      </c>
      <c r="N2228" s="42" t="inlineStr">
        <is>
          <t>개인</t>
        </is>
      </c>
      <c r="O2228" s="41" t="inlineStr">
        <is>
          <t>2003</t>
        </is>
      </c>
      <c r="P2228" s="42" t="inlineStr">
        <is>
          <t>서초중앙로 15</t>
        </is>
      </c>
      <c r="Q2228" s="41" t="inlineStr">
        <is>
          <t>-</t>
        </is>
      </c>
      <c r="R2228" s="42" t="inlineStr">
        <is>
          <t>중개거래</t>
        </is>
      </c>
      <c r="S2228" s="42" t="inlineStr">
        <is>
          <t>서울 강남구, 서울 서초구</t>
        </is>
      </c>
      <c r="T2228" s="41" t="inlineStr">
        <is>
          <t>25.08.28</t>
        </is>
      </c>
      <c r="U2228" s="42" t="inlineStr">
        <is>
          <t>아파트</t>
        </is>
      </c>
    </row>
    <row r="2229" hidden="1" ht="17.25" customHeight="1">
      <c r="A2229" s="41" t="n">
        <v>570</v>
      </c>
      <c r="B2229" s="42" t="inlineStr">
        <is>
          <t>서울특별시 서초구 서초동</t>
        </is>
      </c>
      <c r="C2229" s="41" t="inlineStr">
        <is>
          <t>1542-6</t>
        </is>
      </c>
      <c r="D2229" s="41" t="inlineStr">
        <is>
          <t>1542</t>
        </is>
      </c>
      <c r="E2229" s="41" t="inlineStr">
        <is>
          <t>0006</t>
        </is>
      </c>
      <c r="F2229" s="42" t="inlineStr">
        <is>
          <t>현대ESA2</t>
        </is>
      </c>
      <c r="G2229" s="41" t="inlineStr">
        <is>
          <t>136.2500</t>
        </is>
      </c>
      <c r="H2229" s="41" t="inlineStr">
        <is>
          <t>202506</t>
        </is>
      </c>
      <c r="I2229" s="41" t="inlineStr">
        <is>
          <t>19</t>
        </is>
      </c>
      <c r="J2229" s="41" t="inlineStr">
        <is>
          <t>189,000</t>
        </is>
      </c>
      <c r="K2229" s="41" t="inlineStr">
        <is>
          <t>B</t>
        </is>
      </c>
      <c r="L2229" s="41" t="inlineStr">
        <is>
          <t>18</t>
        </is>
      </c>
      <c r="M2229" s="42" t="inlineStr">
        <is>
          <t>개인</t>
        </is>
      </c>
      <c r="N2229" s="42" t="inlineStr">
        <is>
          <t>개인</t>
        </is>
      </c>
      <c r="O2229" s="41" t="inlineStr">
        <is>
          <t>2003</t>
        </is>
      </c>
      <c r="P2229" s="42" t="inlineStr">
        <is>
          <t>반포대로 122</t>
        </is>
      </c>
      <c r="Q2229" s="41" t="inlineStr">
        <is>
          <t>-</t>
        </is>
      </c>
      <c r="R2229" s="42" t="inlineStr">
        <is>
          <t>중개거래</t>
        </is>
      </c>
      <c r="S2229" s="42" t="inlineStr">
        <is>
          <t>서울 서초구</t>
        </is>
      </c>
      <c r="T2229" s="41" t="inlineStr">
        <is>
          <t>25.07.25</t>
        </is>
      </c>
      <c r="U2229" s="42" t="inlineStr">
        <is>
          <t>아파트</t>
        </is>
      </c>
    </row>
    <row r="2230" hidden="1" ht="17.25" customHeight="1">
      <c r="A2230" s="41" t="n">
        <v>571</v>
      </c>
      <c r="B2230" s="42" t="inlineStr">
        <is>
          <t>서울특별시 서초구 서초동</t>
        </is>
      </c>
      <c r="C2230" s="41" t="inlineStr">
        <is>
          <t>1332-13</t>
        </is>
      </c>
      <c r="D2230" s="41" t="inlineStr">
        <is>
          <t>1332</t>
        </is>
      </c>
      <c r="E2230" s="41" t="inlineStr">
        <is>
          <t>0013</t>
        </is>
      </c>
      <c r="F2230" s="42" t="inlineStr">
        <is>
          <t>래미안서초에스티지</t>
        </is>
      </c>
      <c r="G2230" s="41" t="inlineStr">
        <is>
          <t>125.7900</t>
        </is>
      </c>
      <c r="H2230" s="41" t="inlineStr">
        <is>
          <t>202506</t>
        </is>
      </c>
      <c r="I2230" s="41" t="inlineStr">
        <is>
          <t>19</t>
        </is>
      </c>
      <c r="J2230" s="41" t="inlineStr">
        <is>
          <t>370,000</t>
        </is>
      </c>
      <c r="K2230" s="41" t="inlineStr">
        <is>
          <t>101동</t>
        </is>
      </c>
      <c r="L2230" s="41" t="inlineStr">
        <is>
          <t>24</t>
        </is>
      </c>
      <c r="M2230" s="42" t="inlineStr">
        <is>
          <t>개인</t>
        </is>
      </c>
      <c r="N2230" s="42" t="inlineStr">
        <is>
          <t>개인</t>
        </is>
      </c>
      <c r="O2230" s="41" t="inlineStr">
        <is>
          <t>2016</t>
        </is>
      </c>
      <c r="P2230" s="42" t="inlineStr">
        <is>
          <t>서운로 107</t>
        </is>
      </c>
      <c r="Q2230" s="41" t="inlineStr">
        <is>
          <t>-</t>
        </is>
      </c>
      <c r="R2230" s="42" t="inlineStr">
        <is>
          <t>중개거래</t>
        </is>
      </c>
      <c r="S2230" s="42" t="inlineStr">
        <is>
          <t>서울 서초구</t>
        </is>
      </c>
      <c r="T2230" s="41" t="inlineStr">
        <is>
          <t>25.07.21</t>
        </is>
      </c>
      <c r="U2230" s="42" t="inlineStr">
        <is>
          <t>아파트</t>
        </is>
      </c>
    </row>
    <row r="2231" hidden="1" ht="17.25" customHeight="1">
      <c r="A2231" s="41" t="n">
        <v>572</v>
      </c>
      <c r="B2231" s="42" t="inlineStr">
        <is>
          <t>서울특별시 서초구 서초동</t>
        </is>
      </c>
      <c r="C2231" s="41" t="inlineStr">
        <is>
          <t>1362-10</t>
        </is>
      </c>
      <c r="D2231" s="41" t="inlineStr">
        <is>
          <t>1362</t>
        </is>
      </c>
      <c r="E2231" s="41" t="inlineStr">
        <is>
          <t>0010</t>
        </is>
      </c>
      <c r="F2231" s="42" t="inlineStr">
        <is>
          <t>서초노블레스아파트</t>
        </is>
      </c>
      <c r="G2231" s="41" t="inlineStr">
        <is>
          <t>26.7400</t>
        </is>
      </c>
      <c r="H2231" s="41" t="inlineStr">
        <is>
          <t>202506</t>
        </is>
      </c>
      <c r="I2231" s="41" t="inlineStr">
        <is>
          <t>18</t>
        </is>
      </c>
      <c r="J2231" s="41" t="inlineStr">
        <is>
          <t>49,500</t>
        </is>
      </c>
      <c r="K2231" s="41" t="inlineStr">
        <is>
          <t>-</t>
        </is>
      </c>
      <c r="L2231" s="41" t="inlineStr">
        <is>
          <t>10</t>
        </is>
      </c>
      <c r="M2231" s="42" t="inlineStr">
        <is>
          <t>개인</t>
        </is>
      </c>
      <c r="N2231" s="42" t="inlineStr">
        <is>
          <t>개인</t>
        </is>
      </c>
      <c r="O2231" s="41" t="inlineStr">
        <is>
          <t>2019</t>
        </is>
      </c>
      <c r="P2231" s="42" t="inlineStr">
        <is>
          <t>강남대로39길 15-11</t>
        </is>
      </c>
      <c r="Q2231" s="41" t="inlineStr">
        <is>
          <t>-</t>
        </is>
      </c>
      <c r="R2231" s="42" t="inlineStr">
        <is>
          <t>중개거래</t>
        </is>
      </c>
      <c r="S2231" s="42" t="inlineStr">
        <is>
          <t>서울 서초구</t>
        </is>
      </c>
      <c r="T2231" s="41" t="inlineStr">
        <is>
          <t>25.07.04</t>
        </is>
      </c>
      <c r="U2231" s="42" t="inlineStr">
        <is>
          <t>아파트</t>
        </is>
      </c>
    </row>
    <row r="2232" hidden="1" ht="17.25" customHeight="1">
      <c r="A2232" s="41" t="n">
        <v>573</v>
      </c>
      <c r="B2232" s="42" t="inlineStr">
        <is>
          <t>서울특별시 서초구 서초동</t>
        </is>
      </c>
      <c r="C2232" s="41" t="inlineStr">
        <is>
          <t>1612-2</t>
        </is>
      </c>
      <c r="D2232" s="41" t="inlineStr">
        <is>
          <t>1612</t>
        </is>
      </c>
      <c r="E2232" s="41" t="inlineStr">
        <is>
          <t>0002</t>
        </is>
      </c>
      <c r="F2232" s="42" t="inlineStr">
        <is>
          <t>서초힐하우스</t>
        </is>
      </c>
      <c r="G2232" s="41" t="inlineStr">
        <is>
          <t>111.9200</t>
        </is>
      </c>
      <c r="H2232" s="41" t="inlineStr">
        <is>
          <t>202506</t>
        </is>
      </c>
      <c r="I2232" s="41" t="inlineStr">
        <is>
          <t>18</t>
        </is>
      </c>
      <c r="J2232" s="41" t="inlineStr">
        <is>
          <t>135,000</t>
        </is>
      </c>
      <c r="K2232" s="41" t="inlineStr">
        <is>
          <t>-</t>
        </is>
      </c>
      <c r="L2232" s="41" t="inlineStr">
        <is>
          <t>1</t>
        </is>
      </c>
      <c r="M2232" s="42" t="inlineStr">
        <is>
          <t>개인</t>
        </is>
      </c>
      <c r="N2232" s="42" t="inlineStr">
        <is>
          <t>개인</t>
        </is>
      </c>
      <c r="O2232" s="41" t="inlineStr">
        <is>
          <t>2002</t>
        </is>
      </c>
      <c r="P2232" s="42" t="inlineStr">
        <is>
          <t>서리풀길 28</t>
        </is>
      </c>
      <c r="Q2232" s="41" t="inlineStr">
        <is>
          <t>-</t>
        </is>
      </c>
      <c r="R2232" s="42" t="inlineStr">
        <is>
          <t>중개거래</t>
        </is>
      </c>
      <c r="S2232" s="42" t="inlineStr">
        <is>
          <t>서울 서초구</t>
        </is>
      </c>
      <c r="T2232" s="41" t="inlineStr">
        <is>
          <t>25.09.01</t>
        </is>
      </c>
      <c r="U2232" s="42" t="inlineStr">
        <is>
          <t>아파트</t>
        </is>
      </c>
    </row>
    <row r="2233" hidden="1" ht="17.25" customHeight="1">
      <c r="A2233" s="41" t="n">
        <v>574</v>
      </c>
      <c r="B2233" s="42" t="inlineStr">
        <is>
          <t>서울특별시 서초구 서초동</t>
        </is>
      </c>
      <c r="C2233" s="41" t="inlineStr">
        <is>
          <t>1648-2</t>
        </is>
      </c>
      <c r="D2233" s="41" t="inlineStr">
        <is>
          <t>1648</t>
        </is>
      </c>
      <c r="E2233" s="41" t="inlineStr">
        <is>
          <t>0002</t>
        </is>
      </c>
      <c r="F2233" s="42" t="inlineStr">
        <is>
          <t>서초현대</t>
        </is>
      </c>
      <c r="G2233" s="41" t="inlineStr">
        <is>
          <t>53.0100</t>
        </is>
      </c>
      <c r="H2233" s="41" t="inlineStr">
        <is>
          <t>202506</t>
        </is>
      </c>
      <c r="I2233" s="41" t="inlineStr">
        <is>
          <t>18</t>
        </is>
      </c>
      <c r="J2233" s="41" t="inlineStr">
        <is>
          <t>123,500</t>
        </is>
      </c>
      <c r="K2233" s="41" t="inlineStr">
        <is>
          <t>102</t>
        </is>
      </c>
      <c r="L2233" s="41" t="inlineStr">
        <is>
          <t>3</t>
        </is>
      </c>
      <c r="M2233" s="42" t="inlineStr">
        <is>
          <t>개인</t>
        </is>
      </c>
      <c r="N2233" s="42" t="inlineStr">
        <is>
          <t>개인</t>
        </is>
      </c>
      <c r="O2233" s="41" t="inlineStr">
        <is>
          <t>1999</t>
        </is>
      </c>
      <c r="P2233" s="42" t="inlineStr">
        <is>
          <t>사임당로19길 10</t>
        </is>
      </c>
      <c r="Q2233" s="41" t="inlineStr">
        <is>
          <t>-</t>
        </is>
      </c>
      <c r="R2233" s="42" t="inlineStr">
        <is>
          <t>중개거래</t>
        </is>
      </c>
      <c r="S2233" s="42" t="inlineStr">
        <is>
          <t>서울 서초구</t>
        </is>
      </c>
      <c r="T2233" s="41" t="inlineStr">
        <is>
          <t>25.06.26</t>
        </is>
      </c>
      <c r="U2233" s="42" t="inlineStr">
        <is>
          <t>아파트</t>
        </is>
      </c>
    </row>
    <row r="2234" hidden="1" ht="17.25" customHeight="1">
      <c r="A2234" s="41" t="n">
        <v>575</v>
      </c>
      <c r="B2234" s="42" t="inlineStr">
        <is>
          <t>서울특별시 서초구 서초동</t>
        </is>
      </c>
      <c r="C2234" s="41" t="inlineStr">
        <is>
          <t>1684</t>
        </is>
      </c>
      <c r="D2234" s="41" t="inlineStr">
        <is>
          <t>1684</t>
        </is>
      </c>
      <c r="E2234" s="41" t="inlineStr">
        <is>
          <t>0000</t>
        </is>
      </c>
      <c r="F2234" s="42" t="inlineStr">
        <is>
          <t>서초4현대</t>
        </is>
      </c>
      <c r="G2234" s="41" t="inlineStr">
        <is>
          <t>140.0300</t>
        </is>
      </c>
      <c r="H2234" s="41" t="inlineStr">
        <is>
          <t>202506</t>
        </is>
      </c>
      <c r="I2234" s="41" t="inlineStr">
        <is>
          <t>18</t>
        </is>
      </c>
      <c r="J2234" s="41" t="inlineStr">
        <is>
          <t>269,000</t>
        </is>
      </c>
      <c r="K2234" s="41" t="inlineStr">
        <is>
          <t>201</t>
        </is>
      </c>
      <c r="L2234" s="41" t="inlineStr">
        <is>
          <t>17</t>
        </is>
      </c>
      <c r="M2234" s="42" t="inlineStr">
        <is>
          <t>개인</t>
        </is>
      </c>
      <c r="N2234" s="42" t="inlineStr">
        <is>
          <t>개인</t>
        </is>
      </c>
      <c r="O2234" s="41" t="inlineStr">
        <is>
          <t>2000</t>
        </is>
      </c>
      <c r="P2234" s="42" t="inlineStr">
        <is>
          <t>고무래로 94</t>
        </is>
      </c>
      <c r="Q2234" s="41" t="inlineStr">
        <is>
          <t>-</t>
        </is>
      </c>
      <c r="R2234" s="42" t="inlineStr">
        <is>
          <t>중개거래</t>
        </is>
      </c>
      <c r="S2234" s="42" t="inlineStr">
        <is>
          <t>서울 서초구</t>
        </is>
      </c>
      <c r="T2234" s="41" t="inlineStr">
        <is>
          <t>25.09.12</t>
        </is>
      </c>
      <c r="U2234" s="42" t="inlineStr">
        <is>
          <t>아파트</t>
        </is>
      </c>
    </row>
    <row r="2235" hidden="1" ht="17.25" customHeight="1">
      <c r="A2235" s="41" t="n">
        <v>576</v>
      </c>
      <c r="B2235" s="42" t="inlineStr">
        <is>
          <t>서울특별시 서초구 서초동</t>
        </is>
      </c>
      <c r="C2235" s="41" t="inlineStr">
        <is>
          <t>1301-6</t>
        </is>
      </c>
      <c r="D2235" s="41" t="inlineStr">
        <is>
          <t>1301</t>
        </is>
      </c>
      <c r="E2235" s="41" t="inlineStr">
        <is>
          <t>0006</t>
        </is>
      </c>
      <c r="F2235" s="42" t="inlineStr">
        <is>
          <t>래미안서초스위트</t>
        </is>
      </c>
      <c r="G2235" s="41" t="inlineStr">
        <is>
          <t>59.9958</t>
        </is>
      </c>
      <c r="H2235" s="41" t="inlineStr">
        <is>
          <t>202506</t>
        </is>
      </c>
      <c r="I2235" s="41" t="inlineStr">
        <is>
          <t>18</t>
        </is>
      </c>
      <c r="J2235" s="41" t="inlineStr">
        <is>
          <t>260,000</t>
        </is>
      </c>
      <c r="K2235" s="41" t="inlineStr">
        <is>
          <t>101</t>
        </is>
      </c>
      <c r="L2235" s="41" t="inlineStr">
        <is>
          <t>12</t>
        </is>
      </c>
      <c r="M2235" s="42" t="inlineStr">
        <is>
          <t>개인</t>
        </is>
      </c>
      <c r="N2235" s="42" t="inlineStr">
        <is>
          <t>개인</t>
        </is>
      </c>
      <c r="O2235" s="41" t="inlineStr">
        <is>
          <t>2009</t>
        </is>
      </c>
      <c r="P2235" s="42" t="inlineStr">
        <is>
          <t>서운로 221</t>
        </is>
      </c>
      <c r="Q2235" s="41" t="inlineStr">
        <is>
          <t>-</t>
        </is>
      </c>
      <c r="R2235" s="42" t="inlineStr">
        <is>
          <t>중개거래</t>
        </is>
      </c>
      <c r="S2235" s="42" t="inlineStr">
        <is>
          <t>서울 서초구, 서울 용산구</t>
        </is>
      </c>
      <c r="T2235" s="41" t="inlineStr">
        <is>
          <t>25.09.10</t>
        </is>
      </c>
      <c r="U2235" s="42" t="inlineStr">
        <is>
          <t>아파트</t>
        </is>
      </c>
    </row>
    <row r="2236" hidden="1" ht="17.25" customHeight="1">
      <c r="A2236" s="41" t="n">
        <v>577</v>
      </c>
      <c r="B2236" s="42" t="inlineStr">
        <is>
          <t>서울특별시 서초구 서초동</t>
        </is>
      </c>
      <c r="C2236" s="41" t="inlineStr">
        <is>
          <t>1755</t>
        </is>
      </c>
      <c r="D2236" s="41" t="inlineStr">
        <is>
          <t>1755</t>
        </is>
      </c>
      <c r="E2236" s="41" t="inlineStr">
        <is>
          <t>0000</t>
        </is>
      </c>
      <c r="F2236" s="42" t="inlineStr">
        <is>
          <t>래미안 리더스원</t>
        </is>
      </c>
      <c r="G2236" s="41" t="inlineStr">
        <is>
          <t>114.9400</t>
        </is>
      </c>
      <c r="H2236" s="41" t="inlineStr">
        <is>
          <t>202506</t>
        </is>
      </c>
      <c r="I2236" s="41" t="inlineStr">
        <is>
          <t>17</t>
        </is>
      </c>
      <c r="J2236" s="41" t="inlineStr">
        <is>
          <t>417,000</t>
        </is>
      </c>
      <c r="K2236" s="41" t="inlineStr">
        <is>
          <t>-</t>
        </is>
      </c>
      <c r="L2236" s="41" t="inlineStr">
        <is>
          <t>28</t>
        </is>
      </c>
      <c r="M2236" s="42" t="inlineStr">
        <is>
          <t>개인</t>
        </is>
      </c>
      <c r="N2236" s="42" t="inlineStr">
        <is>
          <t>개인</t>
        </is>
      </c>
      <c r="O2236" s="41" t="inlineStr">
        <is>
          <t>2020</t>
        </is>
      </c>
      <c r="P2236" s="42" t="inlineStr">
        <is>
          <t>서운로 62</t>
        </is>
      </c>
      <c r="Q2236" s="41" t="inlineStr">
        <is>
          <t>20250624</t>
        </is>
      </c>
      <c r="R2236" s="42" t="inlineStr">
        <is>
          <t>중개거래</t>
        </is>
      </c>
      <c r="S2236" s="42" t="inlineStr">
        <is>
          <t>서울 서초구</t>
        </is>
      </c>
      <c r="T2236" s="41" t="inlineStr">
        <is>
          <t>-</t>
        </is>
      </c>
      <c r="U2236" s="42" t="inlineStr">
        <is>
          <t>아파트</t>
        </is>
      </c>
    </row>
    <row r="2237" hidden="1" ht="17.25" customHeight="1">
      <c r="A2237" s="41" t="n">
        <v>578</v>
      </c>
      <c r="B2237" s="42" t="inlineStr">
        <is>
          <t>서울특별시 서초구 서초동</t>
        </is>
      </c>
      <c r="C2237" s="41" t="inlineStr">
        <is>
          <t>1315</t>
        </is>
      </c>
      <c r="D2237" s="41" t="inlineStr">
        <is>
          <t>1315</t>
        </is>
      </c>
      <c r="E2237" s="41" t="inlineStr">
        <is>
          <t>0000</t>
        </is>
      </c>
      <c r="F2237" s="42" t="inlineStr">
        <is>
          <t>진흥아파트</t>
        </is>
      </c>
      <c r="G2237" s="41" t="inlineStr">
        <is>
          <t>101.3200</t>
        </is>
      </c>
      <c r="H2237" s="41" t="inlineStr">
        <is>
          <t>202506</t>
        </is>
      </c>
      <c r="I2237" s="41" t="inlineStr">
        <is>
          <t>17</t>
        </is>
      </c>
      <c r="J2237" s="41" t="inlineStr">
        <is>
          <t>313,000</t>
        </is>
      </c>
      <c r="K2237" s="41" t="inlineStr">
        <is>
          <t>2</t>
        </is>
      </c>
      <c r="L2237" s="41" t="inlineStr">
        <is>
          <t>7</t>
        </is>
      </c>
      <c r="M2237" s="42" t="inlineStr">
        <is>
          <t>개인</t>
        </is>
      </c>
      <c r="N2237" s="42" t="inlineStr">
        <is>
          <t>개인</t>
        </is>
      </c>
      <c r="O2237" s="41" t="inlineStr">
        <is>
          <t>1979</t>
        </is>
      </c>
      <c r="P2237" s="42" t="inlineStr">
        <is>
          <t>서초대로 385</t>
        </is>
      </c>
      <c r="Q2237" s="41" t="inlineStr">
        <is>
          <t>-</t>
        </is>
      </c>
      <c r="R2237" s="42" t="inlineStr">
        <is>
          <t>중개거래</t>
        </is>
      </c>
      <c r="S2237" s="42" t="inlineStr">
        <is>
          <t>서울 서초구</t>
        </is>
      </c>
      <c r="T2237" s="41" t="inlineStr">
        <is>
          <t>25.09.10</t>
        </is>
      </c>
      <c r="U2237" s="42" t="inlineStr">
        <is>
          <t>아파트</t>
        </is>
      </c>
    </row>
    <row r="2238" hidden="1" ht="17.25" customHeight="1">
      <c r="A2238" s="41" t="n">
        <v>579</v>
      </c>
      <c r="B2238" s="42" t="inlineStr">
        <is>
          <t>서울특별시 서초구 서초동</t>
        </is>
      </c>
      <c r="C2238" s="41" t="inlineStr">
        <is>
          <t>1642-14</t>
        </is>
      </c>
      <c r="D2238" s="41" t="inlineStr">
        <is>
          <t>1642</t>
        </is>
      </c>
      <c r="E2238" s="41" t="inlineStr">
        <is>
          <t>0014</t>
        </is>
      </c>
      <c r="F2238" s="42" t="inlineStr">
        <is>
          <t>서초롯데캐슬84</t>
        </is>
      </c>
      <c r="G2238" s="41" t="inlineStr">
        <is>
          <t>208.6300</t>
        </is>
      </c>
      <c r="H2238" s="41" t="inlineStr">
        <is>
          <t>202506</t>
        </is>
      </c>
      <c r="I2238" s="41" t="inlineStr">
        <is>
          <t>17</t>
        </is>
      </c>
      <c r="J2238" s="41" t="inlineStr">
        <is>
          <t>347,000</t>
        </is>
      </c>
      <c r="K2238" s="41" t="inlineStr">
        <is>
          <t>101</t>
        </is>
      </c>
      <c r="L2238" s="41" t="inlineStr">
        <is>
          <t>4</t>
        </is>
      </c>
      <c r="M2238" s="42" t="inlineStr">
        <is>
          <t>개인</t>
        </is>
      </c>
      <c r="N2238" s="42" t="inlineStr">
        <is>
          <t>개인</t>
        </is>
      </c>
      <c r="O2238" s="41" t="inlineStr">
        <is>
          <t>2001</t>
        </is>
      </c>
      <c r="P2238" s="42" t="inlineStr">
        <is>
          <t>사임당로17길 90</t>
        </is>
      </c>
      <c r="Q2238" s="41" t="inlineStr">
        <is>
          <t>-</t>
        </is>
      </c>
      <c r="R2238" s="42" t="inlineStr">
        <is>
          <t>중개거래</t>
        </is>
      </c>
      <c r="S2238" s="42" t="inlineStr">
        <is>
          <t>서울 서초구</t>
        </is>
      </c>
      <c r="T2238" s="41" t="inlineStr">
        <is>
          <t>25.09.19</t>
        </is>
      </c>
      <c r="U2238" s="42" t="inlineStr">
        <is>
          <t>아파트</t>
        </is>
      </c>
    </row>
    <row r="2239" hidden="1" ht="17.25" customHeight="1">
      <c r="A2239" s="41" t="n">
        <v>580</v>
      </c>
      <c r="B2239" s="42" t="inlineStr">
        <is>
          <t>서울특별시 서초구 서초동</t>
        </is>
      </c>
      <c r="C2239" s="41" t="inlineStr">
        <is>
          <t>1684</t>
        </is>
      </c>
      <c r="D2239" s="41" t="inlineStr">
        <is>
          <t>1684</t>
        </is>
      </c>
      <c r="E2239" s="41" t="inlineStr">
        <is>
          <t>0000</t>
        </is>
      </c>
      <c r="F2239" s="42" t="inlineStr">
        <is>
          <t>서초4현대</t>
        </is>
      </c>
      <c r="G2239" s="41" t="inlineStr">
        <is>
          <t>140.0300</t>
        </is>
      </c>
      <c r="H2239" s="41" t="inlineStr">
        <is>
          <t>202506</t>
        </is>
      </c>
      <c r="I2239" s="41" t="inlineStr">
        <is>
          <t>17</t>
        </is>
      </c>
      <c r="J2239" s="41" t="inlineStr">
        <is>
          <t>259,000</t>
        </is>
      </c>
      <c r="K2239" s="41" t="inlineStr">
        <is>
          <t>-</t>
        </is>
      </c>
      <c r="L2239" s="41" t="inlineStr">
        <is>
          <t>18</t>
        </is>
      </c>
      <c r="M2239" s="42" t="inlineStr">
        <is>
          <t>개인</t>
        </is>
      </c>
      <c r="N2239" s="42" t="inlineStr">
        <is>
          <t>개인</t>
        </is>
      </c>
      <c r="O2239" s="41" t="inlineStr">
        <is>
          <t>2000</t>
        </is>
      </c>
      <c r="P2239" s="42" t="inlineStr">
        <is>
          <t>고무래로 94</t>
        </is>
      </c>
      <c r="Q2239" s="41" t="inlineStr">
        <is>
          <t>20250627</t>
        </is>
      </c>
      <c r="R2239" s="42" t="inlineStr">
        <is>
          <t>중개거래</t>
        </is>
      </c>
      <c r="S2239" s="42" t="inlineStr">
        <is>
          <t>서울 서초구</t>
        </is>
      </c>
      <c r="T2239" s="41" t="inlineStr">
        <is>
          <t>-</t>
        </is>
      </c>
      <c r="U2239" s="42" t="inlineStr">
        <is>
          <t>아파트</t>
        </is>
      </c>
    </row>
    <row r="2240" hidden="1" ht="17.25" customHeight="1">
      <c r="A2240" s="41" t="n">
        <v>581</v>
      </c>
      <c r="B2240" s="42" t="inlineStr">
        <is>
          <t>서울특별시 서초구 서초동</t>
        </is>
      </c>
      <c r="C2240" s="41" t="inlineStr">
        <is>
          <t>1684</t>
        </is>
      </c>
      <c r="D2240" s="41" t="inlineStr">
        <is>
          <t>1684</t>
        </is>
      </c>
      <c r="E2240" s="41" t="inlineStr">
        <is>
          <t>0000</t>
        </is>
      </c>
      <c r="F2240" s="42" t="inlineStr">
        <is>
          <t>서초4현대</t>
        </is>
      </c>
      <c r="G2240" s="41" t="inlineStr">
        <is>
          <t>140.0300</t>
        </is>
      </c>
      <c r="H2240" s="41" t="inlineStr">
        <is>
          <t>202506</t>
        </is>
      </c>
      <c r="I2240" s="41" t="inlineStr">
        <is>
          <t>17</t>
        </is>
      </c>
      <c r="J2240" s="41" t="inlineStr">
        <is>
          <t>259,000</t>
        </is>
      </c>
      <c r="K2240" s="41" t="inlineStr">
        <is>
          <t>201</t>
        </is>
      </c>
      <c r="L2240" s="41" t="inlineStr">
        <is>
          <t>18</t>
        </is>
      </c>
      <c r="M2240" s="42" t="inlineStr">
        <is>
          <t>개인</t>
        </is>
      </c>
      <c r="N2240" s="42" t="inlineStr">
        <is>
          <t>개인</t>
        </is>
      </c>
      <c r="O2240" s="41" t="inlineStr">
        <is>
          <t>2000</t>
        </is>
      </c>
      <c r="P2240" s="42" t="inlineStr">
        <is>
          <t>고무래로 94</t>
        </is>
      </c>
      <c r="Q2240" s="41" t="inlineStr">
        <is>
          <t>-</t>
        </is>
      </c>
      <c r="R2240" s="42" t="inlineStr">
        <is>
          <t>중개거래</t>
        </is>
      </c>
      <c r="S2240" s="42" t="inlineStr">
        <is>
          <t>서울 서초구</t>
        </is>
      </c>
      <c r="T2240" s="41" t="inlineStr">
        <is>
          <t>25.08.28</t>
        </is>
      </c>
      <c r="U2240" s="42" t="inlineStr">
        <is>
          <t>아파트</t>
        </is>
      </c>
    </row>
    <row r="2241" hidden="1" ht="17.25" customHeight="1">
      <c r="A2241" s="41" t="n">
        <v>582</v>
      </c>
      <c r="B2241" s="42" t="inlineStr">
        <is>
          <t>서울특별시 서초구 서초동</t>
        </is>
      </c>
      <c r="C2241" s="41" t="inlineStr">
        <is>
          <t>1488-5</t>
        </is>
      </c>
      <c r="D2241" s="41" t="inlineStr">
        <is>
          <t>1488</t>
        </is>
      </c>
      <c r="E2241" s="41" t="inlineStr">
        <is>
          <t>0005</t>
        </is>
      </c>
      <c r="F2241" s="42" t="inlineStr">
        <is>
          <t>그린빌라트</t>
        </is>
      </c>
      <c r="G2241" s="41" t="inlineStr">
        <is>
          <t>118.0900</t>
        </is>
      </c>
      <c r="H2241" s="41" t="inlineStr">
        <is>
          <t>202506</t>
        </is>
      </c>
      <c r="I2241" s="41" t="inlineStr">
        <is>
          <t>17</t>
        </is>
      </c>
      <c r="J2241" s="41" t="inlineStr">
        <is>
          <t>120,000</t>
        </is>
      </c>
      <c r="K2241" s="41" t="inlineStr">
        <is>
          <t>-</t>
        </is>
      </c>
      <c r="L2241" s="41" t="inlineStr">
        <is>
          <t>6</t>
        </is>
      </c>
      <c r="M2241" s="42" t="inlineStr">
        <is>
          <t>개인</t>
        </is>
      </c>
      <c r="N2241" s="42" t="inlineStr">
        <is>
          <t>개인</t>
        </is>
      </c>
      <c r="O2241" s="41" t="inlineStr">
        <is>
          <t>1997</t>
        </is>
      </c>
      <c r="P2241" s="42" t="inlineStr">
        <is>
          <t>명달로8길 11</t>
        </is>
      </c>
      <c r="Q2241" s="41" t="inlineStr">
        <is>
          <t>-</t>
        </is>
      </c>
      <c r="R2241" s="42" t="inlineStr">
        <is>
          <t>중개거래</t>
        </is>
      </c>
      <c r="S2241" s="42" t="inlineStr">
        <is>
          <t>서울 서초구</t>
        </is>
      </c>
      <c r="T2241" s="41" t="inlineStr">
        <is>
          <t>25.10.02</t>
        </is>
      </c>
      <c r="U2241" s="42" t="inlineStr">
        <is>
          <t>아파트</t>
        </is>
      </c>
    </row>
    <row r="2242" hidden="1" ht="17.25" customHeight="1">
      <c r="A2242" s="41" t="n">
        <v>583</v>
      </c>
      <c r="B2242" s="42" t="inlineStr">
        <is>
          <t>서울특별시 서초구 서초동</t>
        </is>
      </c>
      <c r="C2242" s="41" t="inlineStr">
        <is>
          <t>1582-3</t>
        </is>
      </c>
      <c r="D2242" s="41" t="inlineStr">
        <is>
          <t>1582</t>
        </is>
      </c>
      <c r="E2242" s="41" t="inlineStr">
        <is>
          <t>0003</t>
        </is>
      </c>
      <c r="F2242" s="42" t="inlineStr">
        <is>
          <t>서초센트럴IPARK</t>
        </is>
      </c>
      <c r="G2242" s="41" t="inlineStr">
        <is>
          <t>80.5154</t>
        </is>
      </c>
      <c r="H2242" s="41" t="inlineStr">
        <is>
          <t>202506</t>
        </is>
      </c>
      <c r="I2242" s="41" t="inlineStr">
        <is>
          <t>17</t>
        </is>
      </c>
      <c r="J2242" s="41" t="inlineStr">
        <is>
          <t>167,000</t>
        </is>
      </c>
      <c r="K2242" s="41" t="inlineStr">
        <is>
          <t>101동</t>
        </is>
      </c>
      <c r="L2242" s="41" t="inlineStr">
        <is>
          <t>13</t>
        </is>
      </c>
      <c r="M2242" s="42" t="inlineStr">
        <is>
          <t>개인</t>
        </is>
      </c>
      <c r="N2242" s="42" t="inlineStr">
        <is>
          <t>개인</t>
        </is>
      </c>
      <c r="O2242" s="41" t="inlineStr">
        <is>
          <t>2020</t>
        </is>
      </c>
      <c r="P2242" s="42" t="inlineStr">
        <is>
          <t>반포대로18길 36</t>
        </is>
      </c>
      <c r="Q2242" s="41" t="inlineStr">
        <is>
          <t>-</t>
        </is>
      </c>
      <c r="R2242" s="42" t="inlineStr">
        <is>
          <t>중개거래</t>
        </is>
      </c>
      <c r="S2242" s="42" t="inlineStr">
        <is>
          <t>서울 서초구</t>
        </is>
      </c>
      <c r="T2242" s="41" t="inlineStr">
        <is>
          <t>25.08.01</t>
        </is>
      </c>
      <c r="U2242" s="42" t="inlineStr">
        <is>
          <t>아파트</t>
        </is>
      </c>
    </row>
    <row r="2243" hidden="1" ht="17.25" customHeight="1">
      <c r="A2243" s="41" t="n">
        <v>584</v>
      </c>
      <c r="B2243" s="42" t="inlineStr">
        <is>
          <t>서울특별시 서초구 서초동</t>
        </is>
      </c>
      <c r="C2243" s="41" t="inlineStr">
        <is>
          <t>1686-9</t>
        </is>
      </c>
      <c r="D2243" s="41" t="inlineStr">
        <is>
          <t>1686</t>
        </is>
      </c>
      <c r="E2243" s="41" t="inlineStr">
        <is>
          <t>0009</t>
        </is>
      </c>
      <c r="F2243" s="42" t="inlineStr">
        <is>
          <t>서초교대e편한세상</t>
        </is>
      </c>
      <c r="G2243" s="41" t="inlineStr">
        <is>
          <t>131.1600</t>
        </is>
      </c>
      <c r="H2243" s="41" t="inlineStr">
        <is>
          <t>202506</t>
        </is>
      </c>
      <c r="I2243" s="41" t="inlineStr">
        <is>
          <t>17</t>
        </is>
      </c>
      <c r="J2243" s="41" t="inlineStr">
        <is>
          <t>353,000</t>
        </is>
      </c>
      <c r="K2243" s="41" t="inlineStr">
        <is>
          <t>103</t>
        </is>
      </c>
      <c r="L2243" s="41" t="inlineStr">
        <is>
          <t>8</t>
        </is>
      </c>
      <c r="M2243" s="42" t="inlineStr">
        <is>
          <t>개인</t>
        </is>
      </c>
      <c r="N2243" s="42" t="inlineStr">
        <is>
          <t>개인</t>
        </is>
      </c>
      <c r="O2243" s="41" t="inlineStr">
        <is>
          <t>2010</t>
        </is>
      </c>
      <c r="P2243" s="42" t="inlineStr">
        <is>
          <t>서초중앙로24길 33</t>
        </is>
      </c>
      <c r="Q2243" s="41" t="inlineStr">
        <is>
          <t>-</t>
        </is>
      </c>
      <c r="R2243" s="42" t="inlineStr">
        <is>
          <t>중개거래</t>
        </is>
      </c>
      <c r="S2243" s="42" t="inlineStr">
        <is>
          <t>서울 서초구</t>
        </is>
      </c>
      <c r="T2243" s="41" t="inlineStr">
        <is>
          <t>25.09.19</t>
        </is>
      </c>
      <c r="U2243" s="42" t="inlineStr">
        <is>
          <t>아파트</t>
        </is>
      </c>
    </row>
    <row r="2244" hidden="1" ht="17.25" customHeight="1">
      <c r="A2244" s="41" t="n">
        <v>585</v>
      </c>
      <c r="B2244" s="42" t="inlineStr">
        <is>
          <t>서울특별시 서초구 서초동</t>
        </is>
      </c>
      <c r="C2244" s="41" t="inlineStr">
        <is>
          <t>1521-8</t>
        </is>
      </c>
      <c r="D2244" s="41" t="inlineStr">
        <is>
          <t>1521</t>
        </is>
      </c>
      <c r="E2244" s="41" t="inlineStr">
        <is>
          <t>0008</t>
        </is>
      </c>
      <c r="F2244" s="42" t="inlineStr">
        <is>
          <t>서초에스케이뷰</t>
        </is>
      </c>
      <c r="G2244" s="41" t="inlineStr">
        <is>
          <t>97.2100</t>
        </is>
      </c>
      <c r="H2244" s="41" t="inlineStr">
        <is>
          <t>202506</t>
        </is>
      </c>
      <c r="I2244" s="41" t="inlineStr">
        <is>
          <t>17</t>
        </is>
      </c>
      <c r="J2244" s="41" t="inlineStr">
        <is>
          <t>160,000</t>
        </is>
      </c>
      <c r="K2244" s="41" t="inlineStr">
        <is>
          <t>1</t>
        </is>
      </c>
      <c r="L2244" s="41" t="inlineStr">
        <is>
          <t>8</t>
        </is>
      </c>
      <c r="M2244" s="42" t="inlineStr">
        <is>
          <t>개인</t>
        </is>
      </c>
      <c r="N2244" s="42" t="inlineStr">
        <is>
          <t>개인</t>
        </is>
      </c>
      <c r="O2244" s="41" t="inlineStr">
        <is>
          <t>2006</t>
        </is>
      </c>
      <c r="P2244" s="42" t="inlineStr">
        <is>
          <t>반포대로21길 62</t>
        </is>
      </c>
      <c r="Q2244" s="41" t="inlineStr">
        <is>
          <t>-</t>
        </is>
      </c>
      <c r="R2244" s="42" t="inlineStr">
        <is>
          <t>중개거래</t>
        </is>
      </c>
      <c r="S2244" s="42" t="inlineStr">
        <is>
          <t>서울 서초구</t>
        </is>
      </c>
      <c r="T2244" s="41" t="inlineStr">
        <is>
          <t>25.06.25</t>
        </is>
      </c>
      <c r="U2244" s="42" t="inlineStr">
        <is>
          <t>아파트</t>
        </is>
      </c>
    </row>
    <row r="2245" hidden="1" ht="17.25" customHeight="1">
      <c r="A2245" s="41" t="n">
        <v>586</v>
      </c>
      <c r="B2245" s="42" t="inlineStr">
        <is>
          <t>서울특별시 서초구 서초동</t>
        </is>
      </c>
      <c r="C2245" s="41" t="inlineStr">
        <is>
          <t>1312-3</t>
        </is>
      </c>
      <c r="D2245" s="41" t="inlineStr">
        <is>
          <t>1312</t>
        </is>
      </c>
      <c r="E2245" s="41" t="inlineStr">
        <is>
          <t>0003</t>
        </is>
      </c>
      <c r="F2245" s="42" t="inlineStr">
        <is>
          <t>롯데캐슬클래식</t>
        </is>
      </c>
      <c r="G2245" s="41" t="inlineStr">
        <is>
          <t>133.4500</t>
        </is>
      </c>
      <c r="H2245" s="41" t="inlineStr">
        <is>
          <t>202506</t>
        </is>
      </c>
      <c r="I2245" s="41" t="inlineStr">
        <is>
          <t>17</t>
        </is>
      </c>
      <c r="J2245" s="41" t="inlineStr">
        <is>
          <t>335,000</t>
        </is>
      </c>
      <c r="K2245" s="41" t="inlineStr">
        <is>
          <t>105</t>
        </is>
      </c>
      <c r="L2245" s="41" t="inlineStr">
        <is>
          <t>22</t>
        </is>
      </c>
      <c r="M2245" s="42" t="inlineStr">
        <is>
          <t>개인</t>
        </is>
      </c>
      <c r="N2245" s="42" t="inlineStr">
        <is>
          <t>개인</t>
        </is>
      </c>
      <c r="O2245" s="41" t="inlineStr">
        <is>
          <t>2006</t>
        </is>
      </c>
      <c r="P2245" s="42" t="inlineStr">
        <is>
          <t>서운로 197</t>
        </is>
      </c>
      <c r="Q2245" s="41" t="inlineStr">
        <is>
          <t>-</t>
        </is>
      </c>
      <c r="R2245" s="42" t="inlineStr">
        <is>
          <t>중개거래</t>
        </is>
      </c>
      <c r="S2245" s="42" t="inlineStr">
        <is>
          <t>서울 강남구, 서울 서초구</t>
        </is>
      </c>
      <c r="T2245" s="41" t="inlineStr">
        <is>
          <t>25.09.08</t>
        </is>
      </c>
      <c r="U2245" s="42" t="inlineStr">
        <is>
          <t>아파트</t>
        </is>
      </c>
    </row>
    <row r="2246" hidden="1" ht="17.25" customHeight="1">
      <c r="A2246" s="41" t="n">
        <v>587</v>
      </c>
      <c r="B2246" s="42" t="inlineStr">
        <is>
          <t>서울특별시 서초구 서초동</t>
        </is>
      </c>
      <c r="C2246" s="41" t="inlineStr">
        <is>
          <t>1677-1</t>
        </is>
      </c>
      <c r="D2246" s="41" t="inlineStr">
        <is>
          <t>1677</t>
        </is>
      </c>
      <c r="E2246" s="41" t="inlineStr">
        <is>
          <t>0001</t>
        </is>
      </c>
      <c r="F2246" s="42" t="inlineStr">
        <is>
          <t>브라운스톤서초(1677-1)</t>
        </is>
      </c>
      <c r="G2246" s="41" t="inlineStr">
        <is>
          <t>76.5100</t>
        </is>
      </c>
      <c r="H2246" s="41" t="inlineStr">
        <is>
          <t>202506</t>
        </is>
      </c>
      <c r="I2246" s="41" t="inlineStr">
        <is>
          <t>17</t>
        </is>
      </c>
      <c r="J2246" s="41" t="inlineStr">
        <is>
          <t>128,000</t>
        </is>
      </c>
      <c r="K2246" s="42" t="inlineStr">
        <is>
          <t>브라운스톤</t>
        </is>
      </c>
      <c r="L2246" s="41" t="inlineStr">
        <is>
          <t>13</t>
        </is>
      </c>
      <c r="M2246" s="42" t="inlineStr">
        <is>
          <t>개인</t>
        </is>
      </c>
      <c r="N2246" s="42" t="inlineStr">
        <is>
          <t>개인</t>
        </is>
      </c>
      <c r="O2246" s="41" t="inlineStr">
        <is>
          <t>2006</t>
        </is>
      </c>
      <c r="P2246" s="42" t="inlineStr">
        <is>
          <t>서초대로 334</t>
        </is>
      </c>
      <c r="Q2246" s="41" t="inlineStr">
        <is>
          <t>-</t>
        </is>
      </c>
      <c r="R2246" s="42" t="inlineStr">
        <is>
          <t>중개거래</t>
        </is>
      </c>
      <c r="S2246" s="42" t="inlineStr">
        <is>
          <t>서울 강남구, 서울 서초구</t>
        </is>
      </c>
      <c r="T2246" s="41" t="inlineStr">
        <is>
          <t>25.10.17</t>
        </is>
      </c>
      <c r="U2246" s="42" t="inlineStr">
        <is>
          <t>아파트</t>
        </is>
      </c>
    </row>
    <row r="2247" hidden="1" ht="17.25" customHeight="1">
      <c r="A2247" s="41" t="n">
        <v>588</v>
      </c>
      <c r="B2247" s="42" t="inlineStr">
        <is>
          <t>서울특별시 서초구 서초동</t>
        </is>
      </c>
      <c r="C2247" s="41" t="inlineStr">
        <is>
          <t>1312-3</t>
        </is>
      </c>
      <c r="D2247" s="41" t="inlineStr">
        <is>
          <t>1312</t>
        </is>
      </c>
      <c r="E2247" s="41" t="inlineStr">
        <is>
          <t>0003</t>
        </is>
      </c>
      <c r="F2247" s="42" t="inlineStr">
        <is>
          <t>롯데캐슬클래식</t>
        </is>
      </c>
      <c r="G2247" s="41" t="inlineStr">
        <is>
          <t>120.1800</t>
        </is>
      </c>
      <c r="H2247" s="41" t="inlineStr">
        <is>
          <t>202506</t>
        </is>
      </c>
      <c r="I2247" s="41" t="inlineStr">
        <is>
          <t>16</t>
        </is>
      </c>
      <c r="J2247" s="41" t="inlineStr">
        <is>
          <t>318,000</t>
        </is>
      </c>
      <c r="K2247" s="41" t="inlineStr">
        <is>
          <t>113</t>
        </is>
      </c>
      <c r="L2247" s="41" t="inlineStr">
        <is>
          <t>12</t>
        </is>
      </c>
      <c r="M2247" s="42" t="inlineStr">
        <is>
          <t>개인</t>
        </is>
      </c>
      <c r="N2247" s="42" t="inlineStr">
        <is>
          <t>개인</t>
        </is>
      </c>
      <c r="O2247" s="41" t="inlineStr">
        <is>
          <t>2006</t>
        </is>
      </c>
      <c r="P2247" s="42" t="inlineStr">
        <is>
          <t>서운로 200</t>
        </is>
      </c>
      <c r="Q2247" s="41" t="inlineStr">
        <is>
          <t>-</t>
        </is>
      </c>
      <c r="R2247" s="42" t="inlineStr">
        <is>
          <t>중개거래</t>
        </is>
      </c>
      <c r="S2247" s="42" t="inlineStr">
        <is>
          <t>서울 서초구</t>
        </is>
      </c>
      <c r="T2247" s="41" t="inlineStr">
        <is>
          <t>25.09.11</t>
        </is>
      </c>
      <c r="U2247" s="42" t="inlineStr">
        <is>
          <t>아파트</t>
        </is>
      </c>
    </row>
    <row r="2248" hidden="1" ht="17.25" customHeight="1">
      <c r="A2248" s="41" t="n">
        <v>589</v>
      </c>
      <c r="B2248" s="42" t="inlineStr">
        <is>
          <t>서울특별시 서초구 서초동</t>
        </is>
      </c>
      <c r="C2248" s="41" t="inlineStr">
        <is>
          <t>1641-3</t>
        </is>
      </c>
      <c r="D2248" s="41" t="inlineStr">
        <is>
          <t>1641</t>
        </is>
      </c>
      <c r="E2248" s="41" t="inlineStr">
        <is>
          <t>0003</t>
        </is>
      </c>
      <c r="F2248" s="42" t="inlineStr">
        <is>
          <t>대성유니드</t>
        </is>
      </c>
      <c r="G2248" s="41" t="inlineStr">
        <is>
          <t>84.9910</t>
        </is>
      </c>
      <c r="H2248" s="41" t="inlineStr">
        <is>
          <t>202506</t>
        </is>
      </c>
      <c r="I2248" s="41" t="inlineStr">
        <is>
          <t>16</t>
        </is>
      </c>
      <c r="J2248" s="41" t="inlineStr">
        <is>
          <t>194,000</t>
        </is>
      </c>
      <c r="K2248" s="41" t="inlineStr">
        <is>
          <t>101</t>
        </is>
      </c>
      <c r="L2248" s="41" t="inlineStr">
        <is>
          <t>11</t>
        </is>
      </c>
      <c r="M2248" s="42" t="inlineStr">
        <is>
          <t>개인</t>
        </is>
      </c>
      <c r="N2248" s="42" t="inlineStr">
        <is>
          <t>개인</t>
        </is>
      </c>
      <c r="O2248" s="41" t="inlineStr">
        <is>
          <t>2004</t>
        </is>
      </c>
      <c r="P2248" s="42" t="inlineStr">
        <is>
          <t>서초대로64길 36</t>
        </is>
      </c>
      <c r="Q2248" s="41" t="inlineStr">
        <is>
          <t>-</t>
        </is>
      </c>
      <c r="R2248" s="42" t="inlineStr">
        <is>
          <t>중개거래</t>
        </is>
      </c>
      <c r="S2248" s="42" t="inlineStr">
        <is>
          <t>서울 강남구, 서울 서초구</t>
        </is>
      </c>
      <c r="T2248" s="41" t="inlineStr">
        <is>
          <t>25.09.04</t>
        </is>
      </c>
      <c r="U2248" s="42" t="inlineStr">
        <is>
          <t>아파트</t>
        </is>
      </c>
    </row>
    <row r="2249" hidden="1" ht="17.25" customHeight="1">
      <c r="A2249" s="41" t="n">
        <v>590</v>
      </c>
      <c r="B2249" s="42" t="inlineStr">
        <is>
          <t>서울특별시 서초구 서초동</t>
        </is>
      </c>
      <c r="C2249" s="41" t="inlineStr">
        <is>
          <t>1682</t>
        </is>
      </c>
      <c r="D2249" s="41" t="inlineStr">
        <is>
          <t>1682</t>
        </is>
      </c>
      <c r="E2249" s="41" t="inlineStr">
        <is>
          <t>0000</t>
        </is>
      </c>
      <c r="F2249" s="42" t="inlineStr">
        <is>
          <t>서초래미안</t>
        </is>
      </c>
      <c r="G2249" s="41" t="inlineStr">
        <is>
          <t>84.9500</t>
        </is>
      </c>
      <c r="H2249" s="41" t="inlineStr">
        <is>
          <t>202506</t>
        </is>
      </c>
      <c r="I2249" s="41" t="inlineStr">
        <is>
          <t>16</t>
        </is>
      </c>
      <c r="J2249" s="41" t="inlineStr">
        <is>
          <t>275,000</t>
        </is>
      </c>
      <c r="K2249" s="41" t="inlineStr">
        <is>
          <t>104</t>
        </is>
      </c>
      <c r="L2249" s="41" t="inlineStr">
        <is>
          <t>6</t>
        </is>
      </c>
      <c r="M2249" s="42" t="inlineStr">
        <is>
          <t>개인</t>
        </is>
      </c>
      <c r="N2249" s="42" t="inlineStr">
        <is>
          <t>개인</t>
        </is>
      </c>
      <c r="O2249" s="41" t="inlineStr">
        <is>
          <t>2003</t>
        </is>
      </c>
      <c r="P2249" s="42" t="inlineStr">
        <is>
          <t>서초대로65길 13-10</t>
        </is>
      </c>
      <c r="Q2249" s="41" t="inlineStr">
        <is>
          <t>-</t>
        </is>
      </c>
      <c r="R2249" s="42" t="inlineStr">
        <is>
          <t>중개거래</t>
        </is>
      </c>
      <c r="S2249" s="42" t="inlineStr">
        <is>
          <t>서울 서초구, 서울 성동구</t>
        </is>
      </c>
      <c r="T2249" s="41" t="inlineStr">
        <is>
          <t>25.09.05</t>
        </is>
      </c>
      <c r="U2249" s="42" t="inlineStr">
        <is>
          <t>아파트</t>
        </is>
      </c>
    </row>
    <row r="2250" hidden="1" ht="17.25" customHeight="1">
      <c r="A2250" s="41" t="n">
        <v>591</v>
      </c>
      <c r="B2250" s="42" t="inlineStr">
        <is>
          <t>서울특별시 서초구 서초동</t>
        </is>
      </c>
      <c r="C2250" s="41" t="inlineStr">
        <is>
          <t>1687</t>
        </is>
      </c>
      <c r="D2250" s="41" t="inlineStr">
        <is>
          <t>1687</t>
        </is>
      </c>
      <c r="E2250" s="41" t="inlineStr">
        <is>
          <t>0000</t>
        </is>
      </c>
      <c r="F2250" s="42" t="inlineStr">
        <is>
          <t>유원서초</t>
        </is>
      </c>
      <c r="G2250" s="41" t="inlineStr">
        <is>
          <t>84.8700</t>
        </is>
      </c>
      <c r="H2250" s="41" t="inlineStr">
        <is>
          <t>202506</t>
        </is>
      </c>
      <c r="I2250" s="41" t="inlineStr">
        <is>
          <t>16</t>
        </is>
      </c>
      <c r="J2250" s="41" t="inlineStr">
        <is>
          <t>220,000</t>
        </is>
      </c>
      <c r="K2250" s="41" t="inlineStr">
        <is>
          <t>103</t>
        </is>
      </c>
      <c r="L2250" s="41" t="inlineStr">
        <is>
          <t>3</t>
        </is>
      </c>
      <c r="M2250" s="42" t="inlineStr">
        <is>
          <t>개인</t>
        </is>
      </c>
      <c r="N2250" s="42" t="inlineStr">
        <is>
          <t>개인</t>
        </is>
      </c>
      <c r="O2250" s="41" t="inlineStr">
        <is>
          <t>1993</t>
        </is>
      </c>
      <c r="P2250" s="42" t="inlineStr">
        <is>
          <t>서초중앙로24길 43</t>
        </is>
      </c>
      <c r="Q2250" s="41" t="inlineStr">
        <is>
          <t>-</t>
        </is>
      </c>
      <c r="R2250" s="42" t="inlineStr">
        <is>
          <t>중개거래</t>
        </is>
      </c>
      <c r="S2250" s="42" t="inlineStr">
        <is>
          <t>서울 마포구, 서울 서초구</t>
        </is>
      </c>
      <c r="T2250" s="41" t="inlineStr">
        <is>
          <t>25.08.29</t>
        </is>
      </c>
      <c r="U2250" s="42" t="inlineStr">
        <is>
          <t>아파트</t>
        </is>
      </c>
    </row>
    <row r="2251" hidden="1" ht="17.25" customHeight="1">
      <c r="A2251" s="41" t="n">
        <v>592</v>
      </c>
      <c r="B2251" s="42" t="inlineStr">
        <is>
          <t>서울특별시 서초구 서초동</t>
        </is>
      </c>
      <c r="C2251" s="41" t="inlineStr">
        <is>
          <t>1533</t>
        </is>
      </c>
      <c r="D2251" s="41" t="inlineStr">
        <is>
          <t>1533</t>
        </is>
      </c>
      <c r="E2251" s="41" t="inlineStr">
        <is>
          <t>0000</t>
        </is>
      </c>
      <c r="F2251" s="42" t="inlineStr">
        <is>
          <t>서초한신리빙타워</t>
        </is>
      </c>
      <c r="G2251" s="41" t="inlineStr">
        <is>
          <t>42.5500</t>
        </is>
      </c>
      <c r="H2251" s="41" t="inlineStr">
        <is>
          <t>202506</t>
        </is>
      </c>
      <c r="I2251" s="41" t="inlineStr">
        <is>
          <t>16</t>
        </is>
      </c>
      <c r="J2251" s="41" t="inlineStr">
        <is>
          <t>59,500</t>
        </is>
      </c>
      <c r="K2251" s="41" t="inlineStr">
        <is>
          <t>-</t>
        </is>
      </c>
      <c r="L2251" s="41" t="inlineStr">
        <is>
          <t>5</t>
        </is>
      </c>
      <c r="M2251" s="42" t="inlineStr">
        <is>
          <t>개인</t>
        </is>
      </c>
      <c r="N2251" s="42" t="inlineStr">
        <is>
          <t>개인</t>
        </is>
      </c>
      <c r="O2251" s="41" t="inlineStr">
        <is>
          <t>1999</t>
        </is>
      </c>
      <c r="P2251" s="42" t="inlineStr">
        <is>
          <t>효령로 237</t>
        </is>
      </c>
      <c r="Q2251" s="41" t="inlineStr">
        <is>
          <t>-</t>
        </is>
      </c>
      <c r="R2251" s="42" t="inlineStr">
        <is>
          <t>중개거래</t>
        </is>
      </c>
      <c r="S2251" s="42" t="inlineStr">
        <is>
          <t>서울 서초구</t>
        </is>
      </c>
      <c r="T2251" s="41" t="inlineStr">
        <is>
          <t>25.07.31</t>
        </is>
      </c>
      <c r="U2251" s="42" t="inlineStr">
        <is>
          <t>아파트</t>
        </is>
      </c>
    </row>
    <row r="2252" hidden="1" ht="17.25" customHeight="1">
      <c r="A2252" s="41" t="n">
        <v>593</v>
      </c>
      <c r="B2252" s="42" t="inlineStr">
        <is>
          <t>서울특별시 서초구 서초동</t>
        </is>
      </c>
      <c r="C2252" s="41" t="inlineStr">
        <is>
          <t>1675-10</t>
        </is>
      </c>
      <c r="D2252" s="41" t="inlineStr">
        <is>
          <t>1675</t>
        </is>
      </c>
      <c r="E2252" s="41" t="inlineStr">
        <is>
          <t>0010</t>
        </is>
      </c>
      <c r="F2252" s="42" t="inlineStr">
        <is>
          <t>지에스타워</t>
        </is>
      </c>
      <c r="G2252" s="41" t="inlineStr">
        <is>
          <t>25.9100</t>
        </is>
      </c>
      <c r="H2252" s="41" t="inlineStr">
        <is>
          <t>202506</t>
        </is>
      </c>
      <c r="I2252" s="41" t="inlineStr">
        <is>
          <t>16</t>
        </is>
      </c>
      <c r="J2252" s="41" t="inlineStr">
        <is>
          <t>42,000</t>
        </is>
      </c>
      <c r="K2252" s="42" t="inlineStr">
        <is>
          <t>주건축물제1동</t>
        </is>
      </c>
      <c r="L2252" s="41" t="inlineStr">
        <is>
          <t>7</t>
        </is>
      </c>
      <c r="M2252" s="42" t="inlineStr">
        <is>
          <t>개인</t>
        </is>
      </c>
      <c r="N2252" s="42" t="inlineStr">
        <is>
          <t>개인</t>
        </is>
      </c>
      <c r="O2252" s="41" t="inlineStr">
        <is>
          <t>2022</t>
        </is>
      </c>
      <c r="P2252" s="42" t="inlineStr">
        <is>
          <t>서초대로58길 18</t>
        </is>
      </c>
      <c r="Q2252" s="41" t="inlineStr">
        <is>
          <t>-</t>
        </is>
      </c>
      <c r="R2252" s="42" t="inlineStr">
        <is>
          <t>중개거래</t>
        </is>
      </c>
      <c r="S2252" s="42" t="inlineStr">
        <is>
          <t>서울 서초구</t>
        </is>
      </c>
      <c r="T2252" s="41" t="inlineStr">
        <is>
          <t>25.07.29</t>
        </is>
      </c>
      <c r="U2252" s="42" t="inlineStr">
        <is>
          <t>아파트</t>
        </is>
      </c>
    </row>
    <row r="2253" hidden="1" ht="17.25" customHeight="1">
      <c r="A2253" s="41" t="n">
        <v>594</v>
      </c>
      <c r="B2253" s="42" t="inlineStr">
        <is>
          <t>서울특별시 서초구 서초동</t>
        </is>
      </c>
      <c r="C2253" s="41" t="inlineStr">
        <is>
          <t>1312-3</t>
        </is>
      </c>
      <c r="D2253" s="41" t="inlineStr">
        <is>
          <t>1312</t>
        </is>
      </c>
      <c r="E2253" s="41" t="inlineStr">
        <is>
          <t>0003</t>
        </is>
      </c>
      <c r="F2253" s="42" t="inlineStr">
        <is>
          <t>롯데캐슬클래식</t>
        </is>
      </c>
      <c r="G2253" s="41" t="inlineStr">
        <is>
          <t>74.3000</t>
        </is>
      </c>
      <c r="H2253" s="41" t="inlineStr">
        <is>
          <t>202506</t>
        </is>
      </c>
      <c r="I2253" s="41" t="inlineStr">
        <is>
          <t>16</t>
        </is>
      </c>
      <c r="J2253" s="41" t="inlineStr">
        <is>
          <t>238,000</t>
        </is>
      </c>
      <c r="K2253" s="41" t="inlineStr">
        <is>
          <t>114</t>
        </is>
      </c>
      <c r="L2253" s="41" t="inlineStr">
        <is>
          <t>1</t>
        </is>
      </c>
      <c r="M2253" s="42" t="inlineStr">
        <is>
          <t>개인</t>
        </is>
      </c>
      <c r="N2253" s="42" t="inlineStr">
        <is>
          <t>개인</t>
        </is>
      </c>
      <c r="O2253" s="41" t="inlineStr">
        <is>
          <t>2006</t>
        </is>
      </c>
      <c r="P2253" s="42" t="inlineStr">
        <is>
          <t>서운로 200</t>
        </is>
      </c>
      <c r="Q2253" s="41" t="inlineStr">
        <is>
          <t>-</t>
        </is>
      </c>
      <c r="R2253" s="42" t="inlineStr">
        <is>
          <t>중개거래</t>
        </is>
      </c>
      <c r="S2253" s="42" t="inlineStr">
        <is>
          <t>서울 강남구, 서울 서초구</t>
        </is>
      </c>
      <c r="T2253" s="41" t="inlineStr">
        <is>
          <t>25.08.29</t>
        </is>
      </c>
      <c r="U2253" s="42" t="inlineStr">
        <is>
          <t>아파트</t>
        </is>
      </c>
    </row>
    <row r="2254" hidden="1" ht="17.25" customHeight="1">
      <c r="A2254" s="41" t="n">
        <v>595</v>
      </c>
      <c r="B2254" s="42" t="inlineStr">
        <is>
          <t>서울특별시 서초구 서초동</t>
        </is>
      </c>
      <c r="C2254" s="41" t="inlineStr">
        <is>
          <t>1755</t>
        </is>
      </c>
      <c r="D2254" s="41" t="inlineStr">
        <is>
          <t>1755</t>
        </is>
      </c>
      <c r="E2254" s="41" t="inlineStr">
        <is>
          <t>0000</t>
        </is>
      </c>
      <c r="F2254" s="42" t="inlineStr">
        <is>
          <t>래미안 리더스원</t>
        </is>
      </c>
      <c r="G2254" s="41" t="inlineStr">
        <is>
          <t>114.9400</t>
        </is>
      </c>
      <c r="H2254" s="41" t="inlineStr">
        <is>
          <t>202506</t>
        </is>
      </c>
      <c r="I2254" s="41" t="inlineStr">
        <is>
          <t>16</t>
        </is>
      </c>
      <c r="J2254" s="41" t="inlineStr">
        <is>
          <t>417,000</t>
        </is>
      </c>
      <c r="K2254" s="41" t="inlineStr">
        <is>
          <t>107동</t>
        </is>
      </c>
      <c r="L2254" s="41" t="inlineStr">
        <is>
          <t>28</t>
        </is>
      </c>
      <c r="M2254" s="42" t="inlineStr">
        <is>
          <t>개인</t>
        </is>
      </c>
      <c r="N2254" s="42" t="inlineStr">
        <is>
          <t>개인</t>
        </is>
      </c>
      <c r="O2254" s="41" t="inlineStr">
        <is>
          <t>2020</t>
        </is>
      </c>
      <c r="P2254" s="42" t="inlineStr">
        <is>
          <t>서운로 62</t>
        </is>
      </c>
      <c r="Q2254" s="41" t="inlineStr">
        <is>
          <t>-</t>
        </is>
      </c>
      <c r="R2254" s="42" t="inlineStr">
        <is>
          <t>중개거래</t>
        </is>
      </c>
      <c r="S2254" s="42" t="inlineStr">
        <is>
          <t>서울 서초구</t>
        </is>
      </c>
      <c r="T2254" s="41" t="inlineStr">
        <is>
          <t>25.08.11</t>
        </is>
      </c>
      <c r="U2254" s="42" t="inlineStr">
        <is>
          <t>아파트</t>
        </is>
      </c>
    </row>
    <row r="2255" hidden="1" ht="17.25" customHeight="1">
      <c r="A2255" s="41" t="n">
        <v>596</v>
      </c>
      <c r="B2255" s="42" t="inlineStr">
        <is>
          <t>서울특별시 서초구 서초동</t>
        </is>
      </c>
      <c r="C2255" s="41" t="inlineStr">
        <is>
          <t>1583-10</t>
        </is>
      </c>
      <c r="D2255" s="41" t="inlineStr">
        <is>
          <t>1583</t>
        </is>
      </c>
      <c r="E2255" s="41" t="inlineStr">
        <is>
          <t>0010</t>
        </is>
      </c>
      <c r="F2255" s="42" t="inlineStr">
        <is>
          <t>서초아트자이</t>
        </is>
      </c>
      <c r="G2255" s="41" t="inlineStr">
        <is>
          <t>165.5725</t>
        </is>
      </c>
      <c r="H2255" s="41" t="inlineStr">
        <is>
          <t>202506</t>
        </is>
      </c>
      <c r="I2255" s="41" t="inlineStr">
        <is>
          <t>16</t>
        </is>
      </c>
      <c r="J2255" s="41" t="inlineStr">
        <is>
          <t>291,000</t>
        </is>
      </c>
      <c r="K2255" s="41" t="inlineStr">
        <is>
          <t>101</t>
        </is>
      </c>
      <c r="L2255" s="41" t="inlineStr">
        <is>
          <t>24</t>
        </is>
      </c>
      <c r="M2255" s="42" t="inlineStr">
        <is>
          <t>개인</t>
        </is>
      </c>
      <c r="N2255" s="42" t="inlineStr">
        <is>
          <t>개인</t>
        </is>
      </c>
      <c r="O2255" s="41" t="inlineStr">
        <is>
          <t>2009</t>
        </is>
      </c>
      <c r="P2255" s="42" t="inlineStr">
        <is>
          <t>반포대로 58</t>
        </is>
      </c>
      <c r="Q2255" s="41" t="inlineStr">
        <is>
          <t>-</t>
        </is>
      </c>
      <c r="R2255" s="42" t="inlineStr">
        <is>
          <t>중개거래</t>
        </is>
      </c>
      <c r="S2255" s="42" t="inlineStr">
        <is>
          <t>서울 서초구</t>
        </is>
      </c>
      <c r="T2255" s="41" t="inlineStr">
        <is>
          <t>25.08.11</t>
        </is>
      </c>
      <c r="U2255" s="42" t="inlineStr">
        <is>
          <t>아파트</t>
        </is>
      </c>
    </row>
    <row r="2256" hidden="1" ht="17.25" customHeight="1">
      <c r="A2256" s="41" t="n">
        <v>597</v>
      </c>
      <c r="B2256" s="42" t="inlineStr">
        <is>
          <t>서울특별시 서초구 서초동</t>
        </is>
      </c>
      <c r="C2256" s="41" t="inlineStr">
        <is>
          <t>1301-6</t>
        </is>
      </c>
      <c r="D2256" s="41" t="inlineStr">
        <is>
          <t>1301</t>
        </is>
      </c>
      <c r="E2256" s="41" t="inlineStr">
        <is>
          <t>0006</t>
        </is>
      </c>
      <c r="F2256" s="42" t="inlineStr">
        <is>
          <t>래미안서초스위트</t>
        </is>
      </c>
      <c r="G2256" s="41" t="inlineStr">
        <is>
          <t>84.9722</t>
        </is>
      </c>
      <c r="H2256" s="41" t="inlineStr">
        <is>
          <t>202506</t>
        </is>
      </c>
      <c r="I2256" s="41" t="inlineStr">
        <is>
          <t>16</t>
        </is>
      </c>
      <c r="J2256" s="41" t="inlineStr">
        <is>
          <t>292,000</t>
        </is>
      </c>
      <c r="K2256" s="41" t="inlineStr">
        <is>
          <t>103</t>
        </is>
      </c>
      <c r="L2256" s="41" t="inlineStr">
        <is>
          <t>11</t>
        </is>
      </c>
      <c r="M2256" s="42" t="inlineStr">
        <is>
          <t>개인</t>
        </is>
      </c>
      <c r="N2256" s="42" t="inlineStr">
        <is>
          <t>개인</t>
        </is>
      </c>
      <c r="O2256" s="41" t="inlineStr">
        <is>
          <t>2009</t>
        </is>
      </c>
      <c r="P2256" s="42" t="inlineStr">
        <is>
          <t>서운로 221</t>
        </is>
      </c>
      <c r="Q2256" s="41" t="inlineStr">
        <is>
          <t>-</t>
        </is>
      </c>
      <c r="R2256" s="42" t="inlineStr">
        <is>
          <t>중개거래</t>
        </is>
      </c>
      <c r="S2256" s="42" t="inlineStr">
        <is>
          <t>서울 서초구, 서울 종로구</t>
        </is>
      </c>
      <c r="T2256" s="41" t="inlineStr">
        <is>
          <t>25.07.28</t>
        </is>
      </c>
      <c r="U2256" s="42" t="inlineStr">
        <is>
          <t>아파트</t>
        </is>
      </c>
    </row>
    <row r="2257" hidden="1" ht="17.25" customHeight="1">
      <c r="A2257" s="41" t="n">
        <v>598</v>
      </c>
      <c r="B2257" s="42" t="inlineStr">
        <is>
          <t>서울특별시 서초구 서초동</t>
        </is>
      </c>
      <c r="C2257" s="41" t="inlineStr">
        <is>
          <t>1312-3</t>
        </is>
      </c>
      <c r="D2257" s="41" t="inlineStr">
        <is>
          <t>1312</t>
        </is>
      </c>
      <c r="E2257" s="41" t="inlineStr">
        <is>
          <t>0003</t>
        </is>
      </c>
      <c r="F2257" s="42" t="inlineStr">
        <is>
          <t>롯데캐슬클래식</t>
        </is>
      </c>
      <c r="G2257" s="41" t="inlineStr">
        <is>
          <t>84.9800</t>
        </is>
      </c>
      <c r="H2257" s="41" t="inlineStr">
        <is>
          <t>202506</t>
        </is>
      </c>
      <c r="I2257" s="41" t="inlineStr">
        <is>
          <t>16</t>
        </is>
      </c>
      <c r="J2257" s="41" t="inlineStr">
        <is>
          <t>295,000</t>
        </is>
      </c>
      <c r="K2257" s="41" t="inlineStr">
        <is>
          <t>101</t>
        </is>
      </c>
      <c r="L2257" s="41" t="inlineStr">
        <is>
          <t>10</t>
        </is>
      </c>
      <c r="M2257" s="42" t="inlineStr">
        <is>
          <t>개인</t>
        </is>
      </c>
      <c r="N2257" s="42" t="inlineStr">
        <is>
          <t>개인</t>
        </is>
      </c>
      <c r="O2257" s="41" t="inlineStr">
        <is>
          <t>2006</t>
        </is>
      </c>
      <c r="P2257" s="42" t="inlineStr">
        <is>
          <t>서운로 197</t>
        </is>
      </c>
      <c r="Q2257" s="41" t="inlineStr">
        <is>
          <t>-</t>
        </is>
      </c>
      <c r="R2257" s="42" t="inlineStr">
        <is>
          <t>중개거래</t>
        </is>
      </c>
      <c r="S2257" s="42" t="inlineStr">
        <is>
          <t>서울 서초구</t>
        </is>
      </c>
      <c r="T2257" s="41" t="inlineStr">
        <is>
          <t>25.08.07</t>
        </is>
      </c>
      <c r="U2257" s="42" t="inlineStr">
        <is>
          <t>아파트</t>
        </is>
      </c>
    </row>
    <row r="2258" hidden="1" ht="17.25" customHeight="1">
      <c r="A2258" s="41" t="n">
        <v>599</v>
      </c>
      <c r="B2258" s="42" t="inlineStr">
        <is>
          <t>서울특별시 서초구 서초동</t>
        </is>
      </c>
      <c r="C2258" s="41" t="inlineStr">
        <is>
          <t>1529</t>
        </is>
      </c>
      <c r="D2258" s="41" t="inlineStr">
        <is>
          <t>1529</t>
        </is>
      </c>
      <c r="E2258" s="41" t="inlineStr">
        <is>
          <t>0000</t>
        </is>
      </c>
      <c r="F2258" s="42" t="inlineStr">
        <is>
          <t>서초2차e-편한세상</t>
        </is>
      </c>
      <c r="G2258" s="41" t="inlineStr">
        <is>
          <t>123.1180</t>
        </is>
      </c>
      <c r="H2258" s="41" t="inlineStr">
        <is>
          <t>202506</t>
        </is>
      </c>
      <c r="I2258" s="41" t="inlineStr">
        <is>
          <t>14</t>
        </is>
      </c>
      <c r="J2258" s="41" t="inlineStr">
        <is>
          <t>215,000</t>
        </is>
      </c>
      <c r="K2258" s="41" t="inlineStr">
        <is>
          <t>202</t>
        </is>
      </c>
      <c r="L2258" s="41" t="inlineStr">
        <is>
          <t>4</t>
        </is>
      </c>
      <c r="M2258" s="42" t="inlineStr">
        <is>
          <t>개인</t>
        </is>
      </c>
      <c r="N2258" s="42" t="inlineStr">
        <is>
          <t>개인</t>
        </is>
      </c>
      <c r="O2258" s="41" t="inlineStr">
        <is>
          <t>2005</t>
        </is>
      </c>
      <c r="P2258" s="42" t="inlineStr">
        <is>
          <t>효령로49길 57</t>
        </is>
      </c>
      <c r="Q2258" s="41" t="inlineStr">
        <is>
          <t>-</t>
        </is>
      </c>
      <c r="R2258" s="42" t="inlineStr">
        <is>
          <t>중개거래</t>
        </is>
      </c>
      <c r="S2258" s="42" t="inlineStr">
        <is>
          <t>서울 서초구</t>
        </is>
      </c>
      <c r="T2258" s="41" t="inlineStr">
        <is>
          <t>25.08.14</t>
        </is>
      </c>
      <c r="U2258" s="42" t="inlineStr">
        <is>
          <t>아파트</t>
        </is>
      </c>
    </row>
    <row r="2259" hidden="1" ht="17.25" customHeight="1">
      <c r="A2259" s="41" t="n">
        <v>600</v>
      </c>
      <c r="B2259" s="42" t="inlineStr">
        <is>
          <t>서울특별시 서초구 서초동</t>
        </is>
      </c>
      <c r="C2259" s="41" t="inlineStr">
        <is>
          <t>1682</t>
        </is>
      </c>
      <c r="D2259" s="41" t="inlineStr">
        <is>
          <t>1682</t>
        </is>
      </c>
      <c r="E2259" s="41" t="inlineStr">
        <is>
          <t>0000</t>
        </is>
      </c>
      <c r="F2259" s="42" t="inlineStr">
        <is>
          <t>서초래미안</t>
        </is>
      </c>
      <c r="G2259" s="41" t="inlineStr">
        <is>
          <t>84.9700</t>
        </is>
      </c>
      <c r="H2259" s="41" t="inlineStr">
        <is>
          <t>202506</t>
        </is>
      </c>
      <c r="I2259" s="41" t="inlineStr">
        <is>
          <t>14</t>
        </is>
      </c>
      <c r="J2259" s="41" t="inlineStr">
        <is>
          <t>275,000</t>
        </is>
      </c>
      <c r="K2259" s="41" t="inlineStr">
        <is>
          <t>103</t>
        </is>
      </c>
      <c r="L2259" s="41" t="inlineStr">
        <is>
          <t>22</t>
        </is>
      </c>
      <c r="M2259" s="42" t="inlineStr">
        <is>
          <t>개인</t>
        </is>
      </c>
      <c r="N2259" s="42" t="inlineStr">
        <is>
          <t>개인</t>
        </is>
      </c>
      <c r="O2259" s="41" t="inlineStr">
        <is>
          <t>2003</t>
        </is>
      </c>
      <c r="P2259" s="42" t="inlineStr">
        <is>
          <t>서초대로65길 13-10</t>
        </is>
      </c>
      <c r="Q2259" s="41" t="inlineStr">
        <is>
          <t>-</t>
        </is>
      </c>
      <c r="R2259" s="42" t="inlineStr">
        <is>
          <t>중개거래</t>
        </is>
      </c>
      <c r="S2259" s="42" t="inlineStr">
        <is>
          <t>서울 서초구</t>
        </is>
      </c>
      <c r="T2259" s="41" t="inlineStr">
        <is>
          <t>25.09.26</t>
        </is>
      </c>
      <c r="U2259" s="42" t="inlineStr">
        <is>
          <t>아파트</t>
        </is>
      </c>
    </row>
    <row r="2260" hidden="1" ht="17.25" customHeight="1">
      <c r="A2260" s="41" t="n">
        <v>601</v>
      </c>
      <c r="B2260" s="42" t="inlineStr">
        <is>
          <t>서울특별시 서초구 서초동</t>
        </is>
      </c>
      <c r="C2260" s="41" t="inlineStr">
        <is>
          <t>1454-29</t>
        </is>
      </c>
      <c r="D2260" s="41" t="inlineStr">
        <is>
          <t>1454</t>
        </is>
      </c>
      <c r="E2260" s="41" t="inlineStr">
        <is>
          <t>0029</t>
        </is>
      </c>
      <c r="F2260" s="42" t="inlineStr">
        <is>
          <t>서초한신</t>
        </is>
      </c>
      <c r="G2260" s="41" t="inlineStr">
        <is>
          <t>115.3000</t>
        </is>
      </c>
      <c r="H2260" s="41" t="inlineStr">
        <is>
          <t>202506</t>
        </is>
      </c>
      <c r="I2260" s="41" t="inlineStr">
        <is>
          <t>14</t>
        </is>
      </c>
      <c r="J2260" s="41" t="inlineStr">
        <is>
          <t>213,000</t>
        </is>
      </c>
      <c r="K2260" s="41" t="inlineStr">
        <is>
          <t>102</t>
        </is>
      </c>
      <c r="L2260" s="41" t="inlineStr">
        <is>
          <t>10</t>
        </is>
      </c>
      <c r="M2260" s="42" t="inlineStr">
        <is>
          <t>개인</t>
        </is>
      </c>
      <c r="N2260" s="42" t="inlineStr">
        <is>
          <t>개인</t>
        </is>
      </c>
      <c r="O2260" s="41" t="inlineStr">
        <is>
          <t>2001</t>
        </is>
      </c>
      <c r="P2260" s="42" t="inlineStr">
        <is>
          <t>남부순환로323길 38-16</t>
        </is>
      </c>
      <c r="Q2260" s="41" t="inlineStr">
        <is>
          <t>-</t>
        </is>
      </c>
      <c r="R2260" s="42" t="inlineStr">
        <is>
          <t>중개거래</t>
        </is>
      </c>
      <c r="S2260" s="42" t="inlineStr">
        <is>
          <t>서울 서초구</t>
        </is>
      </c>
      <c r="T2260" s="41" t="inlineStr">
        <is>
          <t>25.09.10</t>
        </is>
      </c>
      <c r="U2260" s="42" t="inlineStr">
        <is>
          <t>아파트</t>
        </is>
      </c>
    </row>
    <row r="2261" hidden="1" ht="17.25" customHeight="1">
      <c r="A2261" s="41" t="n">
        <v>602</v>
      </c>
      <c r="B2261" s="42" t="inlineStr">
        <is>
          <t>서울특별시 서초구 서초동</t>
        </is>
      </c>
      <c r="C2261" s="41" t="inlineStr">
        <is>
          <t>1355-24</t>
        </is>
      </c>
      <c r="D2261" s="41" t="inlineStr">
        <is>
          <t>1355</t>
        </is>
      </c>
      <c r="E2261" s="41" t="inlineStr">
        <is>
          <t>0024</t>
        </is>
      </c>
      <c r="F2261" s="42" t="inlineStr">
        <is>
          <t>우정에쉐르</t>
        </is>
      </c>
      <c r="G2261" s="41" t="inlineStr">
        <is>
          <t>72.4400</t>
        </is>
      </c>
      <c r="H2261" s="41" t="inlineStr">
        <is>
          <t>202506</t>
        </is>
      </c>
      <c r="I2261" s="41" t="inlineStr">
        <is>
          <t>14</t>
        </is>
      </c>
      <c r="J2261" s="41" t="inlineStr">
        <is>
          <t>99,000</t>
        </is>
      </c>
      <c r="K2261" s="41" t="inlineStr">
        <is>
          <t>-</t>
        </is>
      </c>
      <c r="L2261" s="41" t="inlineStr">
        <is>
          <t>2</t>
        </is>
      </c>
      <c r="M2261" s="42" t="inlineStr">
        <is>
          <t>개인</t>
        </is>
      </c>
      <c r="N2261" s="42" t="inlineStr">
        <is>
          <t>개인</t>
        </is>
      </c>
      <c r="O2261" s="41" t="inlineStr">
        <is>
          <t>2004</t>
        </is>
      </c>
      <c r="P2261" s="42" t="inlineStr">
        <is>
          <t>서운로3길 29</t>
        </is>
      </c>
      <c r="Q2261" s="41" t="inlineStr">
        <is>
          <t>20250703</t>
        </is>
      </c>
      <c r="R2261" s="42" t="inlineStr">
        <is>
          <t>중개거래</t>
        </is>
      </c>
      <c r="S2261" s="42" t="inlineStr">
        <is>
          <t>서울 서초구</t>
        </is>
      </c>
      <c r="T2261" s="41" t="inlineStr">
        <is>
          <t>-</t>
        </is>
      </c>
      <c r="U2261" s="42" t="inlineStr">
        <is>
          <t>아파트</t>
        </is>
      </c>
    </row>
    <row r="2262" hidden="1" ht="17.25" customHeight="1">
      <c r="A2262" s="41" t="n">
        <v>603</v>
      </c>
      <c r="B2262" s="42" t="inlineStr">
        <is>
          <t>서울특별시 서초구 서초동</t>
        </is>
      </c>
      <c r="C2262" s="41" t="inlineStr">
        <is>
          <t>1355-24</t>
        </is>
      </c>
      <c r="D2262" s="41" t="inlineStr">
        <is>
          <t>1355</t>
        </is>
      </c>
      <c r="E2262" s="41" t="inlineStr">
        <is>
          <t>0024</t>
        </is>
      </c>
      <c r="F2262" s="42" t="inlineStr">
        <is>
          <t>우정에쉐르</t>
        </is>
      </c>
      <c r="G2262" s="41" t="inlineStr">
        <is>
          <t>72.4400</t>
        </is>
      </c>
      <c r="H2262" s="41" t="inlineStr">
        <is>
          <t>202506</t>
        </is>
      </c>
      <c r="I2262" s="41" t="inlineStr">
        <is>
          <t>14</t>
        </is>
      </c>
      <c r="J2262" s="41" t="inlineStr">
        <is>
          <t>99,000</t>
        </is>
      </c>
      <c r="K2262" s="41" t="inlineStr">
        <is>
          <t>-</t>
        </is>
      </c>
      <c r="L2262" s="41" t="inlineStr">
        <is>
          <t>2</t>
        </is>
      </c>
      <c r="M2262" s="42" t="inlineStr">
        <is>
          <t>개인</t>
        </is>
      </c>
      <c r="N2262" s="42" t="inlineStr">
        <is>
          <t>개인</t>
        </is>
      </c>
      <c r="O2262" s="41" t="inlineStr">
        <is>
          <t>2004</t>
        </is>
      </c>
      <c r="P2262" s="42" t="inlineStr">
        <is>
          <t>서운로3길 29</t>
        </is>
      </c>
      <c r="Q2262" s="41" t="inlineStr">
        <is>
          <t>20250619</t>
        </is>
      </c>
      <c r="R2262" s="42" t="inlineStr">
        <is>
          <t>중개거래</t>
        </is>
      </c>
      <c r="S2262" s="42" t="inlineStr">
        <is>
          <t>서울 서초구</t>
        </is>
      </c>
      <c r="T2262" s="41" t="inlineStr">
        <is>
          <t>-</t>
        </is>
      </c>
      <c r="U2262" s="42" t="inlineStr">
        <is>
          <t>아파트</t>
        </is>
      </c>
    </row>
    <row r="2263" hidden="1" ht="17.25" customHeight="1">
      <c r="A2263" s="41" t="n">
        <v>604</v>
      </c>
      <c r="B2263" s="42" t="inlineStr">
        <is>
          <t>서울특별시 서초구 서초동</t>
        </is>
      </c>
      <c r="C2263" s="41" t="inlineStr">
        <is>
          <t>1363-25</t>
        </is>
      </c>
      <c r="D2263" s="41" t="inlineStr">
        <is>
          <t>1363</t>
        </is>
      </c>
      <c r="E2263" s="41" t="inlineStr">
        <is>
          <t>0025</t>
        </is>
      </c>
      <c r="F2263" s="42" t="inlineStr">
        <is>
          <t>한라비발디스튜디오193</t>
        </is>
      </c>
      <c r="G2263" s="41" t="inlineStr">
        <is>
          <t>19.9900</t>
        </is>
      </c>
      <c r="H2263" s="41" t="inlineStr">
        <is>
          <t>202506</t>
        </is>
      </c>
      <c r="I2263" s="41" t="inlineStr">
        <is>
          <t>14</t>
        </is>
      </c>
      <c r="J2263" s="41" t="inlineStr">
        <is>
          <t>25,500</t>
        </is>
      </c>
      <c r="K2263" s="42" t="inlineStr">
        <is>
          <t>한라비발디스튜디오193</t>
        </is>
      </c>
      <c r="L2263" s="41" t="inlineStr">
        <is>
          <t>11</t>
        </is>
      </c>
      <c r="M2263" s="42" t="inlineStr">
        <is>
          <t>개인</t>
        </is>
      </c>
      <c r="N2263" s="42" t="inlineStr">
        <is>
          <t>개인</t>
        </is>
      </c>
      <c r="O2263" s="41" t="inlineStr">
        <is>
          <t>2013</t>
        </is>
      </c>
      <c r="P2263" s="42" t="inlineStr">
        <is>
          <t>강남대로39길 15-10</t>
        </is>
      </c>
      <c r="Q2263" s="41" t="inlineStr">
        <is>
          <t>-</t>
        </is>
      </c>
      <c r="R2263" s="42" t="inlineStr">
        <is>
          <t>중개거래</t>
        </is>
      </c>
      <c r="S2263" s="42" t="inlineStr">
        <is>
          <t>서울 강남구</t>
        </is>
      </c>
      <c r="T2263" s="41" t="inlineStr">
        <is>
          <t>25.07.03</t>
        </is>
      </c>
      <c r="U2263" s="42" t="inlineStr">
        <is>
          <t>아파트</t>
        </is>
      </c>
    </row>
    <row r="2264" hidden="1" ht="17.25" customHeight="1">
      <c r="A2264" s="41" t="n">
        <v>605</v>
      </c>
      <c r="B2264" s="42" t="inlineStr">
        <is>
          <t>서울특별시 서초구 서초동</t>
        </is>
      </c>
      <c r="C2264" s="41" t="inlineStr">
        <is>
          <t>1755</t>
        </is>
      </c>
      <c r="D2264" s="41" t="inlineStr">
        <is>
          <t>1755</t>
        </is>
      </c>
      <c r="E2264" s="41" t="inlineStr">
        <is>
          <t>0000</t>
        </is>
      </c>
      <c r="F2264" s="42" t="inlineStr">
        <is>
          <t>래미안 리더스원</t>
        </is>
      </c>
      <c r="G2264" s="41" t="inlineStr">
        <is>
          <t>84.9400</t>
        </is>
      </c>
      <c r="H2264" s="41" t="inlineStr">
        <is>
          <t>202506</t>
        </is>
      </c>
      <c r="I2264" s="41" t="inlineStr">
        <is>
          <t>13</t>
        </is>
      </c>
      <c r="J2264" s="41" t="inlineStr">
        <is>
          <t>370,000</t>
        </is>
      </c>
      <c r="K2264" s="41" t="inlineStr">
        <is>
          <t>106동</t>
        </is>
      </c>
      <c r="L2264" s="41" t="inlineStr">
        <is>
          <t>25</t>
        </is>
      </c>
      <c r="M2264" s="42" t="inlineStr">
        <is>
          <t>개인</t>
        </is>
      </c>
      <c r="N2264" s="42" t="inlineStr">
        <is>
          <t>개인</t>
        </is>
      </c>
      <c r="O2264" s="41" t="inlineStr">
        <is>
          <t>2020</t>
        </is>
      </c>
      <c r="P2264" s="42" t="inlineStr">
        <is>
          <t>서운로 62</t>
        </is>
      </c>
      <c r="Q2264" s="41" t="inlineStr">
        <is>
          <t>-</t>
        </is>
      </c>
      <c r="R2264" s="42" t="inlineStr">
        <is>
          <t>중개거래</t>
        </is>
      </c>
      <c r="S2264" s="42" t="inlineStr">
        <is>
          <t>경기 하남시, 서울 서초구</t>
        </is>
      </c>
      <c r="T2264" s="41" t="inlineStr">
        <is>
          <t>25.09.12</t>
        </is>
      </c>
      <c r="U2264" s="42" t="inlineStr">
        <is>
          <t>아파트</t>
        </is>
      </c>
    </row>
    <row r="2265" hidden="1" ht="17.25" customHeight="1">
      <c r="A2265" s="41" t="n">
        <v>606</v>
      </c>
      <c r="B2265" s="42" t="inlineStr">
        <is>
          <t>서울특별시 서초구 서초동</t>
        </is>
      </c>
      <c r="C2265" s="41" t="inlineStr">
        <is>
          <t>1682</t>
        </is>
      </c>
      <c r="D2265" s="41" t="inlineStr">
        <is>
          <t>1682</t>
        </is>
      </c>
      <c r="E2265" s="41" t="inlineStr">
        <is>
          <t>0000</t>
        </is>
      </c>
      <c r="F2265" s="42" t="inlineStr">
        <is>
          <t>서초래미안</t>
        </is>
      </c>
      <c r="G2265" s="41" t="inlineStr">
        <is>
          <t>126.3100</t>
        </is>
      </c>
      <c r="H2265" s="41" t="inlineStr">
        <is>
          <t>202506</t>
        </is>
      </c>
      <c r="I2265" s="41" t="inlineStr">
        <is>
          <t>12</t>
        </is>
      </c>
      <c r="J2265" s="41" t="inlineStr">
        <is>
          <t>300,000</t>
        </is>
      </c>
      <c r="K2265" s="41" t="inlineStr">
        <is>
          <t>109</t>
        </is>
      </c>
      <c r="L2265" s="41" t="inlineStr">
        <is>
          <t>16</t>
        </is>
      </c>
      <c r="M2265" s="42" t="inlineStr">
        <is>
          <t>개인</t>
        </is>
      </c>
      <c r="N2265" s="42" t="inlineStr">
        <is>
          <t>개인</t>
        </is>
      </c>
      <c r="O2265" s="41" t="inlineStr">
        <is>
          <t>2003</t>
        </is>
      </c>
      <c r="P2265" s="42" t="inlineStr">
        <is>
          <t>서초대로65길 13-10</t>
        </is>
      </c>
      <c r="Q2265" s="41" t="inlineStr">
        <is>
          <t>-</t>
        </is>
      </c>
      <c r="R2265" s="42" t="inlineStr">
        <is>
          <t>중개거래</t>
        </is>
      </c>
      <c r="S2265" s="42" t="inlineStr">
        <is>
          <t>서울 서초구</t>
        </is>
      </c>
      <c r="T2265" s="41" t="inlineStr">
        <is>
          <t>25.09.09</t>
        </is>
      </c>
      <c r="U2265" s="42" t="inlineStr">
        <is>
          <t>아파트</t>
        </is>
      </c>
    </row>
    <row r="2266" hidden="1" ht="17.25" customHeight="1">
      <c r="A2266" s="41" t="n">
        <v>607</v>
      </c>
      <c r="B2266" s="42" t="inlineStr">
        <is>
          <t>서울특별시 서초구 서초동</t>
        </is>
      </c>
      <c r="C2266" s="41" t="inlineStr">
        <is>
          <t>1509-1</t>
        </is>
      </c>
      <c r="D2266" s="41" t="inlineStr">
        <is>
          <t>1509</t>
        </is>
      </c>
      <c r="E2266" s="41" t="inlineStr">
        <is>
          <t>0001</t>
        </is>
      </c>
      <c r="F2266" s="42" t="inlineStr">
        <is>
          <t>서초한빛삼성</t>
        </is>
      </c>
      <c r="G2266" s="41" t="inlineStr">
        <is>
          <t>99.0900</t>
        </is>
      </c>
      <c r="H2266" s="41" t="inlineStr">
        <is>
          <t>202506</t>
        </is>
      </c>
      <c r="I2266" s="41" t="inlineStr">
        <is>
          <t>12</t>
        </is>
      </c>
      <c r="J2266" s="41" t="inlineStr">
        <is>
          <t>203,000</t>
        </is>
      </c>
      <c r="K2266" s="41" t="inlineStr">
        <is>
          <t>102</t>
        </is>
      </c>
      <c r="L2266" s="41" t="inlineStr">
        <is>
          <t>7</t>
        </is>
      </c>
      <c r="M2266" s="42" t="inlineStr">
        <is>
          <t>개인</t>
        </is>
      </c>
      <c r="N2266" s="42" t="inlineStr">
        <is>
          <t>개인</t>
        </is>
      </c>
      <c r="O2266" s="41" t="inlineStr">
        <is>
          <t>1999</t>
        </is>
      </c>
      <c r="P2266" s="42" t="inlineStr">
        <is>
          <t>서초대로40길 72</t>
        </is>
      </c>
      <c r="Q2266" s="41" t="inlineStr">
        <is>
          <t>-</t>
        </is>
      </c>
      <c r="R2266" s="42" t="inlineStr">
        <is>
          <t>중개거래</t>
        </is>
      </c>
      <c r="S2266" s="42" t="inlineStr">
        <is>
          <t>서울 서초구</t>
        </is>
      </c>
      <c r="T2266" s="41" t="inlineStr">
        <is>
          <t>25.10.10</t>
        </is>
      </c>
      <c r="U2266" s="42" t="inlineStr">
        <is>
          <t>아파트</t>
        </is>
      </c>
    </row>
    <row r="2267" hidden="1" ht="17.25" customHeight="1">
      <c r="A2267" s="41" t="n">
        <v>608</v>
      </c>
      <c r="B2267" s="42" t="inlineStr">
        <is>
          <t>서울특별시 서초구 서초동</t>
        </is>
      </c>
      <c r="C2267" s="41" t="inlineStr">
        <is>
          <t>1498-5</t>
        </is>
      </c>
      <c r="D2267" s="41" t="inlineStr">
        <is>
          <t>1498</t>
        </is>
      </c>
      <c r="E2267" s="41" t="inlineStr">
        <is>
          <t>0005</t>
        </is>
      </c>
      <c r="F2267" s="42" t="inlineStr">
        <is>
          <t>마제스타시티(힐스테이트서리풀101,102동)</t>
        </is>
      </c>
      <c r="G2267" s="41" t="inlineStr">
        <is>
          <t>59.9700</t>
        </is>
      </c>
      <c r="H2267" s="41" t="inlineStr">
        <is>
          <t>202506</t>
        </is>
      </c>
      <c r="I2267" s="41" t="inlineStr">
        <is>
          <t>12</t>
        </is>
      </c>
      <c r="J2267" s="41" t="inlineStr">
        <is>
          <t>194,500</t>
        </is>
      </c>
      <c r="K2267" s="42" t="inlineStr">
        <is>
          <t>힐스테이트 서리풀 102동</t>
        </is>
      </c>
      <c r="L2267" s="41" t="inlineStr">
        <is>
          <t>3</t>
        </is>
      </c>
      <c r="M2267" s="42" t="inlineStr">
        <is>
          <t>개인</t>
        </is>
      </c>
      <c r="N2267" s="42" t="inlineStr">
        <is>
          <t>개인</t>
        </is>
      </c>
      <c r="O2267" s="41" t="inlineStr">
        <is>
          <t>2017</t>
        </is>
      </c>
      <c r="P2267" s="42" t="inlineStr">
        <is>
          <t>서초대로38길 12</t>
        </is>
      </c>
      <c r="Q2267" s="41" t="inlineStr">
        <is>
          <t>-</t>
        </is>
      </c>
      <c r="R2267" s="42" t="inlineStr">
        <is>
          <t>중개거래</t>
        </is>
      </c>
      <c r="S2267" s="42" t="inlineStr">
        <is>
          <t>서울 서초구</t>
        </is>
      </c>
      <c r="T2267" s="41" t="inlineStr">
        <is>
          <t>25.08.01</t>
        </is>
      </c>
      <c r="U2267" s="42" t="inlineStr">
        <is>
          <t>아파트</t>
        </is>
      </c>
    </row>
    <row r="2268" hidden="1" ht="17.25" customHeight="1">
      <c r="A2268" s="41" t="n">
        <v>609</v>
      </c>
      <c r="B2268" s="42" t="inlineStr">
        <is>
          <t>서울특별시 서초구 서초동</t>
        </is>
      </c>
      <c r="C2268" s="41" t="inlineStr">
        <is>
          <t>1498-5</t>
        </is>
      </c>
      <c r="D2268" s="41" t="inlineStr">
        <is>
          <t>1498</t>
        </is>
      </c>
      <c r="E2268" s="41" t="inlineStr">
        <is>
          <t>0005</t>
        </is>
      </c>
      <c r="F2268" s="42" t="inlineStr">
        <is>
          <t>마제스타시티(힐스테이트서리풀101,102동)</t>
        </is>
      </c>
      <c r="G2268" s="41" t="inlineStr">
        <is>
          <t>59.9700</t>
        </is>
      </c>
      <c r="H2268" s="41" t="inlineStr">
        <is>
          <t>202506</t>
        </is>
      </c>
      <c r="I2268" s="41" t="inlineStr">
        <is>
          <t>11</t>
        </is>
      </c>
      <c r="J2268" s="41" t="inlineStr">
        <is>
          <t>185,000</t>
        </is>
      </c>
      <c r="K2268" s="42" t="inlineStr">
        <is>
          <t>힐스테이트 서리풀 101동</t>
        </is>
      </c>
      <c r="L2268" s="41" t="inlineStr">
        <is>
          <t>15</t>
        </is>
      </c>
      <c r="M2268" s="42" t="inlineStr">
        <is>
          <t>개인</t>
        </is>
      </c>
      <c r="N2268" s="42" t="inlineStr">
        <is>
          <t>개인</t>
        </is>
      </c>
      <c r="O2268" s="41" t="inlineStr">
        <is>
          <t>2017</t>
        </is>
      </c>
      <c r="P2268" s="42" t="inlineStr">
        <is>
          <t>서초대로38길 12</t>
        </is>
      </c>
      <c r="Q2268" s="41" t="inlineStr">
        <is>
          <t>-</t>
        </is>
      </c>
      <c r="R2268" s="42" t="inlineStr">
        <is>
          <t>중개거래</t>
        </is>
      </c>
      <c r="S2268" s="42" t="inlineStr">
        <is>
          <t>서울 서초구</t>
        </is>
      </c>
      <c r="T2268" s="41" t="inlineStr">
        <is>
          <t>25.07.24</t>
        </is>
      </c>
      <c r="U2268" s="42" t="inlineStr">
        <is>
          <t>아파트</t>
        </is>
      </c>
    </row>
    <row r="2269" hidden="1" ht="17.25" customHeight="1">
      <c r="A2269" s="41" t="n">
        <v>610</v>
      </c>
      <c r="B2269" s="42" t="inlineStr">
        <is>
          <t>서울특별시 서초구 서초동</t>
        </is>
      </c>
      <c r="C2269" s="41" t="inlineStr">
        <is>
          <t>1467-62</t>
        </is>
      </c>
      <c r="D2269" s="41" t="inlineStr">
        <is>
          <t>1467</t>
        </is>
      </c>
      <c r="E2269" s="41" t="inlineStr">
        <is>
          <t>0062</t>
        </is>
      </c>
      <c r="F2269" s="42" t="inlineStr">
        <is>
          <t>서초5차e편한세상</t>
        </is>
      </c>
      <c r="G2269" s="41" t="inlineStr">
        <is>
          <t>158.2400</t>
        </is>
      </c>
      <c r="H2269" s="41" t="inlineStr">
        <is>
          <t>202506</t>
        </is>
      </c>
      <c r="I2269" s="41" t="inlineStr">
        <is>
          <t>11</t>
        </is>
      </c>
      <c r="J2269" s="41" t="inlineStr">
        <is>
          <t>233,500</t>
        </is>
      </c>
      <c r="K2269" s="41" t="inlineStr">
        <is>
          <t>501</t>
        </is>
      </c>
      <c r="L2269" s="41" t="inlineStr">
        <is>
          <t>6</t>
        </is>
      </c>
      <c r="M2269" s="42" t="inlineStr">
        <is>
          <t>개인</t>
        </is>
      </c>
      <c r="N2269" s="42" t="inlineStr">
        <is>
          <t>개인</t>
        </is>
      </c>
      <c r="O2269" s="41" t="inlineStr">
        <is>
          <t>2005</t>
        </is>
      </c>
      <c r="P2269" s="42" t="inlineStr">
        <is>
          <t>명달로4길 30</t>
        </is>
      </c>
      <c r="Q2269" s="41" t="inlineStr">
        <is>
          <t>-</t>
        </is>
      </c>
      <c r="R2269" s="42" t="inlineStr">
        <is>
          <t>중개거래</t>
        </is>
      </c>
      <c r="S2269" s="42" t="inlineStr">
        <is>
          <t>서울 서초구</t>
        </is>
      </c>
      <c r="T2269" s="41" t="inlineStr">
        <is>
          <t>25.08.29</t>
        </is>
      </c>
      <c r="U2269" s="42" t="inlineStr">
        <is>
          <t>아파트</t>
        </is>
      </c>
    </row>
    <row r="2270" hidden="1" ht="17.25" customHeight="1">
      <c r="A2270" s="41" t="n">
        <v>611</v>
      </c>
      <c r="B2270" s="42" t="inlineStr">
        <is>
          <t>서울특별시 서초구 서초동</t>
        </is>
      </c>
      <c r="C2270" s="41" t="inlineStr">
        <is>
          <t>1615-10</t>
        </is>
      </c>
      <c r="D2270" s="41" t="inlineStr">
        <is>
          <t>1615</t>
        </is>
      </c>
      <c r="E2270" s="41" t="inlineStr">
        <is>
          <t>0010</t>
        </is>
      </c>
      <c r="F2270" s="42" t="inlineStr">
        <is>
          <t>극동스타클래스2</t>
        </is>
      </c>
      <c r="G2270" s="41" t="inlineStr">
        <is>
          <t>81.0650</t>
        </is>
      </c>
      <c r="H2270" s="41" t="inlineStr">
        <is>
          <t>202506</t>
        </is>
      </c>
      <c r="I2270" s="41" t="inlineStr">
        <is>
          <t>11</t>
        </is>
      </c>
      <c r="J2270" s="41" t="inlineStr">
        <is>
          <t>143,000</t>
        </is>
      </c>
      <c r="K2270" s="41" t="inlineStr">
        <is>
          <t>202</t>
        </is>
      </c>
      <c r="L2270" s="41" t="inlineStr">
        <is>
          <t>3</t>
        </is>
      </c>
      <c r="M2270" s="42" t="inlineStr">
        <is>
          <t>개인</t>
        </is>
      </c>
      <c r="N2270" s="42" t="inlineStr">
        <is>
          <t>개인</t>
        </is>
      </c>
      <c r="O2270" s="41" t="inlineStr">
        <is>
          <t>2006</t>
        </is>
      </c>
      <c r="P2270" s="42" t="inlineStr">
        <is>
          <t>효령로67길 35</t>
        </is>
      </c>
      <c r="Q2270" s="41" t="inlineStr">
        <is>
          <t>-</t>
        </is>
      </c>
      <c r="R2270" s="42" t="inlineStr">
        <is>
          <t>중개거래</t>
        </is>
      </c>
      <c r="S2270" s="42" t="inlineStr">
        <is>
          <t>서울 서초구</t>
        </is>
      </c>
      <c r="T2270" s="41" t="inlineStr">
        <is>
          <t>25.07.10</t>
        </is>
      </c>
      <c r="U2270" s="42" t="inlineStr">
        <is>
          <t>아파트</t>
        </is>
      </c>
    </row>
    <row r="2271" hidden="1" ht="17.25" customHeight="1">
      <c r="A2271" s="41" t="n">
        <v>612</v>
      </c>
      <c r="B2271" s="42" t="inlineStr">
        <is>
          <t>서울특별시 서초구 서초동</t>
        </is>
      </c>
      <c r="C2271" s="41" t="inlineStr">
        <is>
          <t>1582-16</t>
        </is>
      </c>
      <c r="D2271" s="41" t="inlineStr">
        <is>
          <t>1582</t>
        </is>
      </c>
      <c r="E2271" s="41" t="inlineStr">
        <is>
          <t>0016</t>
        </is>
      </c>
      <c r="F2271" s="42" t="inlineStr">
        <is>
          <t>서초아트래디앙</t>
        </is>
      </c>
      <c r="G2271" s="41" t="inlineStr">
        <is>
          <t>48.5000</t>
        </is>
      </c>
      <c r="H2271" s="41" t="inlineStr">
        <is>
          <t>202506</t>
        </is>
      </c>
      <c r="I2271" s="41" t="inlineStr">
        <is>
          <t>11</t>
        </is>
      </c>
      <c r="J2271" s="41" t="inlineStr">
        <is>
          <t>147,500</t>
        </is>
      </c>
      <c r="K2271" s="41" t="inlineStr">
        <is>
          <t>-</t>
        </is>
      </c>
      <c r="L2271" s="41" t="inlineStr">
        <is>
          <t>12</t>
        </is>
      </c>
      <c r="M2271" s="42" t="inlineStr">
        <is>
          <t>개인</t>
        </is>
      </c>
      <c r="N2271" s="42" t="inlineStr">
        <is>
          <t>개인</t>
        </is>
      </c>
      <c r="O2271" s="41" t="inlineStr">
        <is>
          <t>2023</t>
        </is>
      </c>
      <c r="P2271" s="42" t="inlineStr">
        <is>
          <t>반포대로18길 13-3</t>
        </is>
      </c>
      <c r="Q2271" s="41" t="inlineStr">
        <is>
          <t>-</t>
        </is>
      </c>
      <c r="R2271" s="42" t="inlineStr">
        <is>
          <t>직거래</t>
        </is>
      </c>
      <c r="S2271" s="41" t="inlineStr">
        <is>
          <t>-</t>
        </is>
      </c>
      <c r="T2271" s="41" t="inlineStr">
        <is>
          <t>25.08.14</t>
        </is>
      </c>
      <c r="U2271" s="42" t="inlineStr">
        <is>
          <t>아파트</t>
        </is>
      </c>
    </row>
    <row r="2272" hidden="1" ht="17.25" customHeight="1">
      <c r="A2272" s="41" t="n">
        <v>613</v>
      </c>
      <c r="B2272" s="42" t="inlineStr">
        <is>
          <t>서울특별시 서초구 서초동</t>
        </is>
      </c>
      <c r="C2272" s="41" t="inlineStr">
        <is>
          <t>1582-3</t>
        </is>
      </c>
      <c r="D2272" s="41" t="inlineStr">
        <is>
          <t>1582</t>
        </is>
      </c>
      <c r="E2272" s="41" t="inlineStr">
        <is>
          <t>0003</t>
        </is>
      </c>
      <c r="F2272" s="42" t="inlineStr">
        <is>
          <t>서초센트럴IPARK</t>
        </is>
      </c>
      <c r="G2272" s="41" t="inlineStr">
        <is>
          <t>80.5154</t>
        </is>
      </c>
      <c r="H2272" s="41" t="inlineStr">
        <is>
          <t>202506</t>
        </is>
      </c>
      <c r="I2272" s="41" t="inlineStr">
        <is>
          <t>11</t>
        </is>
      </c>
      <c r="J2272" s="41" t="inlineStr">
        <is>
          <t>174,500</t>
        </is>
      </c>
      <c r="K2272" s="41" t="inlineStr">
        <is>
          <t>101동</t>
        </is>
      </c>
      <c r="L2272" s="41" t="inlineStr">
        <is>
          <t>17</t>
        </is>
      </c>
      <c r="M2272" s="42" t="inlineStr">
        <is>
          <t>개인</t>
        </is>
      </c>
      <c r="N2272" s="42" t="inlineStr">
        <is>
          <t>개인</t>
        </is>
      </c>
      <c r="O2272" s="41" t="inlineStr">
        <is>
          <t>2020</t>
        </is>
      </c>
      <c r="P2272" s="42" t="inlineStr">
        <is>
          <t>반포대로18길 36</t>
        </is>
      </c>
      <c r="Q2272" s="41" t="inlineStr">
        <is>
          <t>-</t>
        </is>
      </c>
      <c r="R2272" s="42" t="inlineStr">
        <is>
          <t>중개거래</t>
        </is>
      </c>
      <c r="S2272" s="42" t="inlineStr">
        <is>
          <t>서울 서초구</t>
        </is>
      </c>
      <c r="T2272" s="41" t="inlineStr">
        <is>
          <t>25.10.30</t>
        </is>
      </c>
      <c r="U2272" s="42" t="inlineStr">
        <is>
          <t>아파트</t>
        </is>
      </c>
    </row>
    <row r="2273" hidden="1" ht="17.25" customHeight="1">
      <c r="A2273" s="41" t="n">
        <v>614</v>
      </c>
      <c r="B2273" s="42" t="inlineStr">
        <is>
          <t>서울특별시 서초구 서초동</t>
        </is>
      </c>
      <c r="C2273" s="41" t="inlineStr">
        <is>
          <t>1362-10</t>
        </is>
      </c>
      <c r="D2273" s="41" t="inlineStr">
        <is>
          <t>1362</t>
        </is>
      </c>
      <c r="E2273" s="41" t="inlineStr">
        <is>
          <t>0010</t>
        </is>
      </c>
      <c r="F2273" s="42" t="inlineStr">
        <is>
          <t>서초노블레스아파트</t>
        </is>
      </c>
      <c r="G2273" s="41" t="inlineStr">
        <is>
          <t>28.8500</t>
        </is>
      </c>
      <c r="H2273" s="41" t="inlineStr">
        <is>
          <t>202506</t>
        </is>
      </c>
      <c r="I2273" s="41" t="inlineStr">
        <is>
          <t>11</t>
        </is>
      </c>
      <c r="J2273" s="41" t="inlineStr">
        <is>
          <t>50,000</t>
        </is>
      </c>
      <c r="K2273" s="41" t="inlineStr">
        <is>
          <t>-</t>
        </is>
      </c>
      <c r="L2273" s="41" t="inlineStr">
        <is>
          <t>13</t>
        </is>
      </c>
      <c r="M2273" s="42" t="inlineStr">
        <is>
          <t>개인</t>
        </is>
      </c>
      <c r="N2273" s="42" t="inlineStr">
        <is>
          <t>개인</t>
        </is>
      </c>
      <c r="O2273" s="41" t="inlineStr">
        <is>
          <t>2019</t>
        </is>
      </c>
      <c r="P2273" s="42" t="inlineStr">
        <is>
          <t>강남대로39길 15-11</t>
        </is>
      </c>
      <c r="Q2273" s="41" t="inlineStr">
        <is>
          <t>-</t>
        </is>
      </c>
      <c r="R2273" s="42" t="inlineStr">
        <is>
          <t>중개거래</t>
        </is>
      </c>
      <c r="S2273" s="42" t="inlineStr">
        <is>
          <t>서울 서초구</t>
        </is>
      </c>
      <c r="T2273" s="41" t="inlineStr">
        <is>
          <t>25.07.01</t>
        </is>
      </c>
      <c r="U2273" s="42" t="inlineStr">
        <is>
          <t>아파트</t>
        </is>
      </c>
    </row>
    <row r="2274" hidden="1" ht="17.25" customHeight="1">
      <c r="A2274" s="41" t="n">
        <v>615</v>
      </c>
      <c r="B2274" s="42" t="inlineStr">
        <is>
          <t>서울특별시 서초구 서초동</t>
        </is>
      </c>
      <c r="C2274" s="41" t="inlineStr">
        <is>
          <t>1312-3</t>
        </is>
      </c>
      <c r="D2274" s="41" t="inlineStr">
        <is>
          <t>1312</t>
        </is>
      </c>
      <c r="E2274" s="41" t="inlineStr">
        <is>
          <t>0003</t>
        </is>
      </c>
      <c r="F2274" s="42" t="inlineStr">
        <is>
          <t>롯데캐슬클래식</t>
        </is>
      </c>
      <c r="G2274" s="41" t="inlineStr">
        <is>
          <t>120.1800</t>
        </is>
      </c>
      <c r="H2274" s="41" t="inlineStr">
        <is>
          <t>202506</t>
        </is>
      </c>
      <c r="I2274" s="41" t="inlineStr">
        <is>
          <t>10</t>
        </is>
      </c>
      <c r="J2274" s="41" t="inlineStr">
        <is>
          <t>312,500</t>
        </is>
      </c>
      <c r="K2274" s="41" t="inlineStr">
        <is>
          <t>113</t>
        </is>
      </c>
      <c r="L2274" s="41" t="inlineStr">
        <is>
          <t>5</t>
        </is>
      </c>
      <c r="M2274" s="42" t="inlineStr">
        <is>
          <t>개인</t>
        </is>
      </c>
      <c r="N2274" s="42" t="inlineStr">
        <is>
          <t>개인</t>
        </is>
      </c>
      <c r="O2274" s="41" t="inlineStr">
        <is>
          <t>2006</t>
        </is>
      </c>
      <c r="P2274" s="42" t="inlineStr">
        <is>
          <t>서운로 200</t>
        </is>
      </c>
      <c r="Q2274" s="41" t="inlineStr">
        <is>
          <t>-</t>
        </is>
      </c>
      <c r="R2274" s="42" t="inlineStr">
        <is>
          <t>중개거래</t>
        </is>
      </c>
      <c r="S2274" s="42" t="inlineStr">
        <is>
          <t>서울 서초구</t>
        </is>
      </c>
      <c r="T2274" s="41" t="inlineStr">
        <is>
          <t>25.08.11</t>
        </is>
      </c>
      <c r="U2274" s="42" t="inlineStr">
        <is>
          <t>아파트</t>
        </is>
      </c>
    </row>
    <row r="2275" hidden="1" ht="17.25" customHeight="1">
      <c r="A2275" s="41" t="n">
        <v>616</v>
      </c>
      <c r="B2275" s="42" t="inlineStr">
        <is>
          <t>서울특별시 서초구 서초동</t>
        </is>
      </c>
      <c r="C2275" s="41" t="inlineStr">
        <is>
          <t>1593-7</t>
        </is>
      </c>
      <c r="D2275" s="41" t="inlineStr">
        <is>
          <t>1593</t>
        </is>
      </c>
      <c r="E2275" s="41" t="inlineStr">
        <is>
          <t>0007</t>
        </is>
      </c>
      <c r="F2275" s="42" t="inlineStr">
        <is>
          <t>서초이오빌</t>
        </is>
      </c>
      <c r="G2275" s="41" t="inlineStr">
        <is>
          <t>45.9600</t>
        </is>
      </c>
      <c r="H2275" s="41" t="inlineStr">
        <is>
          <t>202506</t>
        </is>
      </c>
      <c r="I2275" s="41" t="inlineStr">
        <is>
          <t>10</t>
        </is>
      </c>
      <c r="J2275" s="41" t="inlineStr">
        <is>
          <t>41,500</t>
        </is>
      </c>
      <c r="K2275" s="41" t="inlineStr">
        <is>
          <t>-</t>
        </is>
      </c>
      <c r="L2275" s="41" t="inlineStr">
        <is>
          <t>20</t>
        </is>
      </c>
      <c r="M2275" s="42" t="inlineStr">
        <is>
          <t>개인</t>
        </is>
      </c>
      <c r="N2275" s="42" t="inlineStr">
        <is>
          <t>개인</t>
        </is>
      </c>
      <c r="O2275" s="41" t="inlineStr">
        <is>
          <t>2003</t>
        </is>
      </c>
      <c r="P2275" s="42" t="inlineStr">
        <is>
          <t>효령로53길 45</t>
        </is>
      </c>
      <c r="Q2275" s="41" t="inlineStr">
        <is>
          <t>-</t>
        </is>
      </c>
      <c r="R2275" s="42" t="inlineStr">
        <is>
          <t>중개거래</t>
        </is>
      </c>
      <c r="S2275" s="42" t="inlineStr">
        <is>
          <t>서울 서초구</t>
        </is>
      </c>
      <c r="T2275" s="41" t="inlineStr">
        <is>
          <t>25.07.18</t>
        </is>
      </c>
      <c r="U2275" s="42" t="inlineStr">
        <is>
          <t>아파트</t>
        </is>
      </c>
    </row>
    <row r="2276" hidden="1" ht="17.25" customHeight="1">
      <c r="A2276" s="41" t="n">
        <v>617</v>
      </c>
      <c r="B2276" s="42" t="inlineStr">
        <is>
          <t>서울특별시 서초구 서초동</t>
        </is>
      </c>
      <c r="C2276" s="41" t="inlineStr">
        <is>
          <t>1446-11</t>
        </is>
      </c>
      <c r="D2276" s="41" t="inlineStr">
        <is>
          <t>1446</t>
        </is>
      </c>
      <c r="E2276" s="41" t="inlineStr">
        <is>
          <t>0011</t>
        </is>
      </c>
      <c r="F2276" s="42" t="inlineStr">
        <is>
          <t>현대슈퍼빌</t>
        </is>
      </c>
      <c r="G2276" s="41" t="inlineStr">
        <is>
          <t>147.8600</t>
        </is>
      </c>
      <c r="H2276" s="41" t="inlineStr">
        <is>
          <t>202506</t>
        </is>
      </c>
      <c r="I2276" s="41" t="inlineStr">
        <is>
          <t>10</t>
        </is>
      </c>
      <c r="J2276" s="41" t="inlineStr">
        <is>
          <t>245,000</t>
        </is>
      </c>
      <c r="K2276" s="41" t="inlineStr">
        <is>
          <t>D</t>
        </is>
      </c>
      <c r="L2276" s="41" t="inlineStr">
        <is>
          <t>4</t>
        </is>
      </c>
      <c r="M2276" s="42" t="inlineStr">
        <is>
          <t>개인</t>
        </is>
      </c>
      <c r="N2276" s="42" t="inlineStr">
        <is>
          <t>개인</t>
        </is>
      </c>
      <c r="O2276" s="41" t="inlineStr">
        <is>
          <t>2003</t>
        </is>
      </c>
      <c r="P2276" s="42" t="inlineStr">
        <is>
          <t>서초중앙로 15</t>
        </is>
      </c>
      <c r="Q2276" s="41" t="inlineStr">
        <is>
          <t>-</t>
        </is>
      </c>
      <c r="R2276" s="42" t="inlineStr">
        <is>
          <t>직거래</t>
        </is>
      </c>
      <c r="S2276" s="41" t="inlineStr">
        <is>
          <t>-</t>
        </is>
      </c>
      <c r="T2276" s="41" t="inlineStr">
        <is>
          <t>25.09.08</t>
        </is>
      </c>
      <c r="U2276" s="42" t="inlineStr">
        <is>
          <t>아파트</t>
        </is>
      </c>
    </row>
    <row r="2277" hidden="1" ht="17.25" customHeight="1">
      <c r="A2277" s="41" t="n">
        <v>618</v>
      </c>
      <c r="B2277" s="42" t="inlineStr">
        <is>
          <t>서울특별시 서초구 서초동</t>
        </is>
      </c>
      <c r="C2277" s="41" t="inlineStr">
        <is>
          <t>1641-13</t>
        </is>
      </c>
      <c r="D2277" s="41" t="inlineStr">
        <is>
          <t>1641</t>
        </is>
      </c>
      <c r="E2277" s="41" t="inlineStr">
        <is>
          <t>0013</t>
        </is>
      </c>
      <c r="F2277" s="42" t="inlineStr">
        <is>
          <t>아남</t>
        </is>
      </c>
      <c r="G2277" s="41" t="inlineStr">
        <is>
          <t>84.3800</t>
        </is>
      </c>
      <c r="H2277" s="41" t="inlineStr">
        <is>
          <t>202506</t>
        </is>
      </c>
      <c r="I2277" s="41" t="inlineStr">
        <is>
          <t>10</t>
        </is>
      </c>
      <c r="J2277" s="41" t="inlineStr">
        <is>
          <t>200,000</t>
        </is>
      </c>
      <c r="K2277" s="41" t="inlineStr">
        <is>
          <t>2</t>
        </is>
      </c>
      <c r="L2277" s="41" t="inlineStr">
        <is>
          <t>4</t>
        </is>
      </c>
      <c r="M2277" s="42" t="inlineStr">
        <is>
          <t>개인</t>
        </is>
      </c>
      <c r="N2277" s="42" t="inlineStr">
        <is>
          <t>개인</t>
        </is>
      </c>
      <c r="O2277" s="41" t="inlineStr">
        <is>
          <t>1989</t>
        </is>
      </c>
      <c r="P2277" s="42" t="inlineStr">
        <is>
          <t>사임당로23길 53</t>
        </is>
      </c>
      <c r="Q2277" s="41" t="inlineStr">
        <is>
          <t>-</t>
        </is>
      </c>
      <c r="R2277" s="42" t="inlineStr">
        <is>
          <t>중개거래</t>
        </is>
      </c>
      <c r="S2277" s="42" t="inlineStr">
        <is>
          <t>서울 서초구</t>
        </is>
      </c>
      <c r="T2277" s="41" t="inlineStr">
        <is>
          <t>25.09.22</t>
        </is>
      </c>
      <c r="U2277" s="42" t="inlineStr">
        <is>
          <t>아파트</t>
        </is>
      </c>
    </row>
    <row r="2278" hidden="1" ht="17.25" customHeight="1">
      <c r="A2278" s="41" t="n">
        <v>619</v>
      </c>
      <c r="B2278" s="42" t="inlineStr">
        <is>
          <t>서울특별시 서초구 서초동</t>
        </is>
      </c>
      <c r="C2278" s="41" t="inlineStr">
        <is>
          <t>1685</t>
        </is>
      </c>
      <c r="D2278" s="41" t="inlineStr">
        <is>
          <t>1685</t>
        </is>
      </c>
      <c r="E2278" s="41" t="inlineStr">
        <is>
          <t>0000</t>
        </is>
      </c>
      <c r="F2278" s="42" t="inlineStr">
        <is>
          <t>삼풍아파트</t>
        </is>
      </c>
      <c r="G2278" s="41" t="inlineStr">
        <is>
          <t>130.7300</t>
        </is>
      </c>
      <c r="H2278" s="41" t="inlineStr">
        <is>
          <t>202506</t>
        </is>
      </c>
      <c r="I2278" s="41" t="inlineStr">
        <is>
          <t>10</t>
        </is>
      </c>
      <c r="J2278" s="41" t="inlineStr">
        <is>
          <t>408,000</t>
        </is>
      </c>
      <c r="K2278" s="41" t="inlineStr">
        <is>
          <t>10</t>
        </is>
      </c>
      <c r="L2278" s="41" t="inlineStr">
        <is>
          <t>10</t>
        </is>
      </c>
      <c r="M2278" s="42" t="inlineStr">
        <is>
          <t>개인</t>
        </is>
      </c>
      <c r="N2278" s="42" t="inlineStr">
        <is>
          <t>개인</t>
        </is>
      </c>
      <c r="O2278" s="41" t="inlineStr">
        <is>
          <t>1988</t>
        </is>
      </c>
      <c r="P2278" s="42" t="inlineStr">
        <is>
          <t>서초중앙로 200</t>
        </is>
      </c>
      <c r="Q2278" s="41" t="inlineStr">
        <is>
          <t>-</t>
        </is>
      </c>
      <c r="R2278" s="42" t="inlineStr">
        <is>
          <t>중개거래</t>
        </is>
      </c>
      <c r="S2278" s="42" t="inlineStr">
        <is>
          <t>서울 서초구</t>
        </is>
      </c>
      <c r="T2278" s="41" t="inlineStr">
        <is>
          <t>25.09.29</t>
        </is>
      </c>
      <c r="U2278" s="42" t="inlineStr">
        <is>
          <t>아파트</t>
        </is>
      </c>
    </row>
    <row r="2279" hidden="1" ht="17.25" customHeight="1">
      <c r="A2279" s="41" t="n">
        <v>620</v>
      </c>
      <c r="B2279" s="42" t="inlineStr">
        <is>
          <t>서울특별시 서초구 서초동</t>
        </is>
      </c>
      <c r="C2279" s="41" t="inlineStr">
        <is>
          <t>1507-38</t>
        </is>
      </c>
      <c r="D2279" s="41" t="inlineStr">
        <is>
          <t>1507</t>
        </is>
      </c>
      <c r="E2279" s="41" t="inlineStr">
        <is>
          <t>0038</t>
        </is>
      </c>
      <c r="F2279" s="42" t="inlineStr">
        <is>
          <t>서초두산위브2</t>
        </is>
      </c>
      <c r="G2279" s="41" t="inlineStr">
        <is>
          <t>130.0500</t>
        </is>
      </c>
      <c r="H2279" s="41" t="inlineStr">
        <is>
          <t>202506</t>
        </is>
      </c>
      <c r="I2279" s="41" t="inlineStr">
        <is>
          <t>10</t>
        </is>
      </c>
      <c r="J2279" s="41" t="inlineStr">
        <is>
          <t>200,000</t>
        </is>
      </c>
      <c r="K2279" s="41" t="inlineStr">
        <is>
          <t>-</t>
        </is>
      </c>
      <c r="L2279" s="41" t="inlineStr">
        <is>
          <t>11</t>
        </is>
      </c>
      <c r="M2279" s="42" t="inlineStr">
        <is>
          <t>개인</t>
        </is>
      </c>
      <c r="N2279" s="42" t="inlineStr">
        <is>
          <t>개인</t>
        </is>
      </c>
      <c r="O2279" s="41" t="inlineStr">
        <is>
          <t>2005</t>
        </is>
      </c>
      <c r="P2279" s="42" t="inlineStr">
        <is>
          <t>명달로 112</t>
        </is>
      </c>
      <c r="Q2279" s="41" t="inlineStr">
        <is>
          <t>-</t>
        </is>
      </c>
      <c r="R2279" s="42" t="inlineStr">
        <is>
          <t>중개거래</t>
        </is>
      </c>
      <c r="S2279" s="42" t="inlineStr">
        <is>
          <t>서울 서초구</t>
        </is>
      </c>
      <c r="T2279" s="41" t="inlineStr">
        <is>
          <t>25.08.29</t>
        </is>
      </c>
      <c r="U2279" s="42" t="inlineStr">
        <is>
          <t>아파트</t>
        </is>
      </c>
    </row>
    <row r="2280" hidden="1" ht="17.25" customHeight="1">
      <c r="A2280" s="41" t="n">
        <v>621</v>
      </c>
      <c r="B2280" s="42" t="inlineStr">
        <is>
          <t>서울특별시 서초구 서초동</t>
        </is>
      </c>
      <c r="C2280" s="41" t="inlineStr">
        <is>
          <t>1315</t>
        </is>
      </c>
      <c r="D2280" s="41" t="inlineStr">
        <is>
          <t>1315</t>
        </is>
      </c>
      <c r="E2280" s="41" t="inlineStr">
        <is>
          <t>0000</t>
        </is>
      </c>
      <c r="F2280" s="42" t="inlineStr">
        <is>
          <t>진흥아파트</t>
        </is>
      </c>
      <c r="G2280" s="41" t="inlineStr">
        <is>
          <t>101.3200</t>
        </is>
      </c>
      <c r="H2280" s="41" t="inlineStr">
        <is>
          <t>202506</t>
        </is>
      </c>
      <c r="I2280" s="41" t="inlineStr">
        <is>
          <t>08</t>
        </is>
      </c>
      <c r="J2280" s="41" t="inlineStr">
        <is>
          <t>299,000</t>
        </is>
      </c>
      <c r="K2280" s="41" t="inlineStr">
        <is>
          <t>1</t>
        </is>
      </c>
      <c r="L2280" s="41" t="inlineStr">
        <is>
          <t>10</t>
        </is>
      </c>
      <c r="M2280" s="42" t="inlineStr">
        <is>
          <t>개인</t>
        </is>
      </c>
      <c r="N2280" s="42" t="inlineStr">
        <is>
          <t>개인</t>
        </is>
      </c>
      <c r="O2280" s="41" t="inlineStr">
        <is>
          <t>1979</t>
        </is>
      </c>
      <c r="P2280" s="42" t="inlineStr">
        <is>
          <t>서초대로 385</t>
        </is>
      </c>
      <c r="Q2280" s="41" t="inlineStr">
        <is>
          <t>-</t>
        </is>
      </c>
      <c r="R2280" s="42" t="inlineStr">
        <is>
          <t>중개거래</t>
        </is>
      </c>
      <c r="S2280" s="42" t="inlineStr">
        <is>
          <t>서울 서초구</t>
        </is>
      </c>
      <c r="T2280" s="41" t="inlineStr">
        <is>
          <t>25.09.12</t>
        </is>
      </c>
      <c r="U2280" s="42" t="inlineStr">
        <is>
          <t>아파트</t>
        </is>
      </c>
    </row>
    <row r="2281" hidden="1" ht="17.25" customHeight="1">
      <c r="A2281" s="41" t="n">
        <v>622</v>
      </c>
      <c r="B2281" s="42" t="inlineStr">
        <is>
          <t>서울특별시 서초구 서초동</t>
        </is>
      </c>
      <c r="C2281" s="41" t="inlineStr">
        <is>
          <t>1315</t>
        </is>
      </c>
      <c r="D2281" s="41" t="inlineStr">
        <is>
          <t>1315</t>
        </is>
      </c>
      <c r="E2281" s="41" t="inlineStr">
        <is>
          <t>0000</t>
        </is>
      </c>
      <c r="F2281" s="42" t="inlineStr">
        <is>
          <t>진흥아파트</t>
        </is>
      </c>
      <c r="G2281" s="41" t="inlineStr">
        <is>
          <t>101.3200</t>
        </is>
      </c>
      <c r="H2281" s="41" t="inlineStr">
        <is>
          <t>202506</t>
        </is>
      </c>
      <c r="I2281" s="41" t="inlineStr">
        <is>
          <t>08</t>
        </is>
      </c>
      <c r="J2281" s="41" t="inlineStr">
        <is>
          <t>299,000</t>
        </is>
      </c>
      <c r="K2281" s="41" t="inlineStr">
        <is>
          <t>-</t>
        </is>
      </c>
      <c r="L2281" s="41" t="inlineStr">
        <is>
          <t>10</t>
        </is>
      </c>
      <c r="M2281" s="42" t="inlineStr">
        <is>
          <t>개인</t>
        </is>
      </c>
      <c r="N2281" s="42" t="inlineStr">
        <is>
          <t>개인</t>
        </is>
      </c>
      <c r="O2281" s="41" t="inlineStr">
        <is>
          <t>1979</t>
        </is>
      </c>
      <c r="P2281" s="42" t="inlineStr">
        <is>
          <t>서초대로 385</t>
        </is>
      </c>
      <c r="Q2281" s="41" t="inlineStr">
        <is>
          <t>20250617</t>
        </is>
      </c>
      <c r="R2281" s="42" t="inlineStr">
        <is>
          <t>중개거래</t>
        </is>
      </c>
      <c r="S2281" s="42" t="inlineStr">
        <is>
          <t>서울 서초구</t>
        </is>
      </c>
      <c r="T2281" s="41" t="inlineStr">
        <is>
          <t>-</t>
        </is>
      </c>
      <c r="U2281" s="42" t="inlineStr">
        <is>
          <t>아파트</t>
        </is>
      </c>
    </row>
    <row r="2282" hidden="1" ht="17.25" customHeight="1">
      <c r="A2282" s="41" t="n">
        <v>623</v>
      </c>
      <c r="B2282" s="42" t="inlineStr">
        <is>
          <t>서울특별시 서초구 서초동</t>
        </is>
      </c>
      <c r="C2282" s="41" t="inlineStr">
        <is>
          <t>1315</t>
        </is>
      </c>
      <c r="D2282" s="41" t="inlineStr">
        <is>
          <t>1315</t>
        </is>
      </c>
      <c r="E2282" s="41" t="inlineStr">
        <is>
          <t>0000</t>
        </is>
      </c>
      <c r="F2282" s="42" t="inlineStr">
        <is>
          <t>진흥아파트</t>
        </is>
      </c>
      <c r="G2282" s="41" t="inlineStr">
        <is>
          <t>101.3200</t>
        </is>
      </c>
      <c r="H2282" s="41" t="inlineStr">
        <is>
          <t>202506</t>
        </is>
      </c>
      <c r="I2282" s="41" t="inlineStr">
        <is>
          <t>08</t>
        </is>
      </c>
      <c r="J2282" s="41" t="inlineStr">
        <is>
          <t>299,000</t>
        </is>
      </c>
      <c r="K2282" s="41" t="inlineStr">
        <is>
          <t>-</t>
        </is>
      </c>
      <c r="L2282" s="41" t="inlineStr">
        <is>
          <t>10</t>
        </is>
      </c>
      <c r="M2282" s="42" t="inlineStr">
        <is>
          <t>개인</t>
        </is>
      </c>
      <c r="N2282" s="42" t="inlineStr">
        <is>
          <t>개인</t>
        </is>
      </c>
      <c r="O2282" s="41" t="inlineStr">
        <is>
          <t>1979</t>
        </is>
      </c>
      <c r="P2282" s="42" t="inlineStr">
        <is>
          <t>서초대로 385</t>
        </is>
      </c>
      <c r="Q2282" s="41" t="inlineStr">
        <is>
          <t>20250613</t>
        </is>
      </c>
      <c r="R2282" s="42" t="inlineStr">
        <is>
          <t>중개거래</t>
        </is>
      </c>
      <c r="S2282" s="42" t="inlineStr">
        <is>
          <t>서울 서초구</t>
        </is>
      </c>
      <c r="T2282" s="41" t="inlineStr">
        <is>
          <t>-</t>
        </is>
      </c>
      <c r="U2282" s="42" t="inlineStr">
        <is>
          <t>아파트</t>
        </is>
      </c>
    </row>
    <row r="2283" hidden="1" ht="17.25" customHeight="1">
      <c r="A2283" s="41" t="n">
        <v>624</v>
      </c>
      <c r="B2283" s="42" t="inlineStr">
        <is>
          <t>서울특별시 서초구 서초동</t>
        </is>
      </c>
      <c r="C2283" s="41" t="inlineStr">
        <is>
          <t>1641-13</t>
        </is>
      </c>
      <c r="D2283" s="41" t="inlineStr">
        <is>
          <t>1641</t>
        </is>
      </c>
      <c r="E2283" s="41" t="inlineStr">
        <is>
          <t>0013</t>
        </is>
      </c>
      <c r="F2283" s="42" t="inlineStr">
        <is>
          <t>아남</t>
        </is>
      </c>
      <c r="G2283" s="41" t="inlineStr">
        <is>
          <t>84.9600</t>
        </is>
      </c>
      <c r="H2283" s="41" t="inlineStr">
        <is>
          <t>202506</t>
        </is>
      </c>
      <c r="I2283" s="41" t="inlineStr">
        <is>
          <t>08</t>
        </is>
      </c>
      <c r="J2283" s="41" t="inlineStr">
        <is>
          <t>180,000</t>
        </is>
      </c>
      <c r="K2283" s="41" t="inlineStr">
        <is>
          <t>2</t>
        </is>
      </c>
      <c r="L2283" s="41" t="inlineStr">
        <is>
          <t>8</t>
        </is>
      </c>
      <c r="M2283" s="42" t="inlineStr">
        <is>
          <t>개인</t>
        </is>
      </c>
      <c r="N2283" s="42" t="inlineStr">
        <is>
          <t>개인</t>
        </is>
      </c>
      <c r="O2283" s="41" t="inlineStr">
        <is>
          <t>1989</t>
        </is>
      </c>
      <c r="P2283" s="42" t="inlineStr">
        <is>
          <t>사임당로23길 53</t>
        </is>
      </c>
      <c r="Q2283" s="41" t="inlineStr">
        <is>
          <t>-</t>
        </is>
      </c>
      <c r="R2283" s="42" t="inlineStr">
        <is>
          <t>중개거래</t>
        </is>
      </c>
      <c r="S2283" s="42" t="inlineStr">
        <is>
          <t>서울 서초구</t>
        </is>
      </c>
      <c r="T2283" s="41" t="inlineStr">
        <is>
          <t>25.09.15</t>
        </is>
      </c>
      <c r="U2283" s="42" t="inlineStr">
        <is>
          <t>아파트</t>
        </is>
      </c>
    </row>
    <row r="2284" hidden="1" ht="17.25" customHeight="1">
      <c r="A2284" s="41" t="n">
        <v>625</v>
      </c>
      <c r="B2284" s="42" t="inlineStr">
        <is>
          <t>서울특별시 서초구 서초동</t>
        </is>
      </c>
      <c r="C2284" s="41" t="inlineStr">
        <is>
          <t>1682</t>
        </is>
      </c>
      <c r="D2284" s="41" t="inlineStr">
        <is>
          <t>1682</t>
        </is>
      </c>
      <c r="E2284" s="41" t="inlineStr">
        <is>
          <t>0000</t>
        </is>
      </c>
      <c r="F2284" s="42" t="inlineStr">
        <is>
          <t>서초래미안</t>
        </is>
      </c>
      <c r="G2284" s="41" t="inlineStr">
        <is>
          <t>127.6600</t>
        </is>
      </c>
      <c r="H2284" s="41" t="inlineStr">
        <is>
          <t>202506</t>
        </is>
      </c>
      <c r="I2284" s="41" t="inlineStr">
        <is>
          <t>07</t>
        </is>
      </c>
      <c r="J2284" s="41" t="inlineStr">
        <is>
          <t>299,500</t>
        </is>
      </c>
      <c r="K2284" s="41" t="inlineStr">
        <is>
          <t>-</t>
        </is>
      </c>
      <c r="L2284" s="41" t="inlineStr">
        <is>
          <t>9</t>
        </is>
      </c>
      <c r="M2284" s="42" t="inlineStr">
        <is>
          <t>개인</t>
        </is>
      </c>
      <c r="N2284" s="42" t="inlineStr">
        <is>
          <t>개인</t>
        </is>
      </c>
      <c r="O2284" s="41" t="inlineStr">
        <is>
          <t>2003</t>
        </is>
      </c>
      <c r="P2284" s="42" t="inlineStr">
        <is>
          <t>서초대로65길 13-10</t>
        </is>
      </c>
      <c r="Q2284" s="41" t="inlineStr">
        <is>
          <t>20250610</t>
        </is>
      </c>
      <c r="R2284" s="42" t="inlineStr">
        <is>
          <t>중개거래</t>
        </is>
      </c>
      <c r="S2284" s="42" t="inlineStr">
        <is>
          <t>서울 서초구</t>
        </is>
      </c>
      <c r="T2284" s="41" t="inlineStr">
        <is>
          <t>-</t>
        </is>
      </c>
      <c r="U2284" s="42" t="inlineStr">
        <is>
          <t>아파트</t>
        </is>
      </c>
    </row>
    <row r="2285" hidden="1" ht="17.25" customHeight="1">
      <c r="A2285" s="41" t="n">
        <v>626</v>
      </c>
      <c r="B2285" s="42" t="inlineStr">
        <is>
          <t>서울특별시 서초구 서초동</t>
        </is>
      </c>
      <c r="C2285" s="41" t="inlineStr">
        <is>
          <t>1682</t>
        </is>
      </c>
      <c r="D2285" s="41" t="inlineStr">
        <is>
          <t>1682</t>
        </is>
      </c>
      <c r="E2285" s="41" t="inlineStr">
        <is>
          <t>0000</t>
        </is>
      </c>
      <c r="F2285" s="42" t="inlineStr">
        <is>
          <t>서초래미안</t>
        </is>
      </c>
      <c r="G2285" s="41" t="inlineStr">
        <is>
          <t>127.6600</t>
        </is>
      </c>
      <c r="H2285" s="41" t="inlineStr">
        <is>
          <t>202506</t>
        </is>
      </c>
      <c r="I2285" s="41" t="inlineStr">
        <is>
          <t>07</t>
        </is>
      </c>
      <c r="J2285" s="41" t="inlineStr">
        <is>
          <t>299,500</t>
        </is>
      </c>
      <c r="K2285" s="41" t="inlineStr">
        <is>
          <t>104</t>
        </is>
      </c>
      <c r="L2285" s="41" t="inlineStr">
        <is>
          <t>9</t>
        </is>
      </c>
      <c r="M2285" s="42" t="inlineStr">
        <is>
          <t>개인</t>
        </is>
      </c>
      <c r="N2285" s="42" t="inlineStr">
        <is>
          <t>개인</t>
        </is>
      </c>
      <c r="O2285" s="41" t="inlineStr">
        <is>
          <t>2003</t>
        </is>
      </c>
      <c r="P2285" s="42" t="inlineStr">
        <is>
          <t>서초대로65길 13-10</t>
        </is>
      </c>
      <c r="Q2285" s="41" t="inlineStr">
        <is>
          <t>-</t>
        </is>
      </c>
      <c r="R2285" s="42" t="inlineStr">
        <is>
          <t>중개거래</t>
        </is>
      </c>
      <c r="S2285" s="42" t="inlineStr">
        <is>
          <t>서울 서초구</t>
        </is>
      </c>
      <c r="T2285" s="41" t="inlineStr">
        <is>
          <t>25.08.08</t>
        </is>
      </c>
      <c r="U2285" s="42" t="inlineStr">
        <is>
          <t>아파트</t>
        </is>
      </c>
    </row>
    <row r="2286" hidden="1" ht="17.25" customHeight="1">
      <c r="A2286" s="41" t="n">
        <v>627</v>
      </c>
      <c r="B2286" s="42" t="inlineStr">
        <is>
          <t>서울특별시 서초구 서초동</t>
        </is>
      </c>
      <c r="C2286" s="41" t="inlineStr">
        <is>
          <t>1682</t>
        </is>
      </c>
      <c r="D2286" s="41" t="inlineStr">
        <is>
          <t>1682</t>
        </is>
      </c>
      <c r="E2286" s="41" t="inlineStr">
        <is>
          <t>0000</t>
        </is>
      </c>
      <c r="F2286" s="42" t="inlineStr">
        <is>
          <t>서초래미안</t>
        </is>
      </c>
      <c r="G2286" s="41" t="inlineStr">
        <is>
          <t>84.9700</t>
        </is>
      </c>
      <c r="H2286" s="41" t="inlineStr">
        <is>
          <t>202506</t>
        </is>
      </c>
      <c r="I2286" s="41" t="inlineStr">
        <is>
          <t>07</t>
        </is>
      </c>
      <c r="J2286" s="41" t="inlineStr">
        <is>
          <t>263,000</t>
        </is>
      </c>
      <c r="K2286" s="41" t="inlineStr">
        <is>
          <t>102</t>
        </is>
      </c>
      <c r="L2286" s="41" t="inlineStr">
        <is>
          <t>9</t>
        </is>
      </c>
      <c r="M2286" s="42" t="inlineStr">
        <is>
          <t>개인</t>
        </is>
      </c>
      <c r="N2286" s="42" t="inlineStr">
        <is>
          <t>개인</t>
        </is>
      </c>
      <c r="O2286" s="41" t="inlineStr">
        <is>
          <t>2003</t>
        </is>
      </c>
      <c r="P2286" s="42" t="inlineStr">
        <is>
          <t>서초대로65길 13-10</t>
        </is>
      </c>
      <c r="Q2286" s="41" t="inlineStr">
        <is>
          <t>-</t>
        </is>
      </c>
      <c r="R2286" s="42" t="inlineStr">
        <is>
          <t>중개거래</t>
        </is>
      </c>
      <c r="S2286" s="42" t="inlineStr">
        <is>
          <t>서울 서초구</t>
        </is>
      </c>
      <c r="T2286" s="41" t="inlineStr">
        <is>
          <t>25.09.09</t>
        </is>
      </c>
      <c r="U2286" s="42" t="inlineStr">
        <is>
          <t>아파트</t>
        </is>
      </c>
    </row>
    <row r="2287" hidden="1" ht="17.25" customHeight="1">
      <c r="A2287" s="41" t="n">
        <v>628</v>
      </c>
      <c r="B2287" s="42" t="inlineStr">
        <is>
          <t>서울특별시 서초구 서초동</t>
        </is>
      </c>
      <c r="C2287" s="41" t="inlineStr">
        <is>
          <t>1582-3</t>
        </is>
      </c>
      <c r="D2287" s="41" t="inlineStr">
        <is>
          <t>1582</t>
        </is>
      </c>
      <c r="E2287" s="41" t="inlineStr">
        <is>
          <t>0003</t>
        </is>
      </c>
      <c r="F2287" s="42" t="inlineStr">
        <is>
          <t>서초센트럴IPARK</t>
        </is>
      </c>
      <c r="G2287" s="41" t="inlineStr">
        <is>
          <t>80.5154</t>
        </is>
      </c>
      <c r="H2287" s="41" t="inlineStr">
        <is>
          <t>202506</t>
        </is>
      </c>
      <c r="I2287" s="41" t="inlineStr">
        <is>
          <t>07</t>
        </is>
      </c>
      <c r="J2287" s="41" t="inlineStr">
        <is>
          <t>170,000</t>
        </is>
      </c>
      <c r="K2287" s="41" t="inlineStr">
        <is>
          <t>-</t>
        </is>
      </c>
      <c r="L2287" s="41" t="inlineStr">
        <is>
          <t>10</t>
        </is>
      </c>
      <c r="M2287" s="42" t="inlineStr">
        <is>
          <t>개인</t>
        </is>
      </c>
      <c r="N2287" s="42" t="inlineStr">
        <is>
          <t>개인</t>
        </is>
      </c>
      <c r="O2287" s="41" t="inlineStr">
        <is>
          <t>2020</t>
        </is>
      </c>
      <c r="P2287" s="42" t="inlineStr">
        <is>
          <t>반포대로18길 36</t>
        </is>
      </c>
      <c r="Q2287" s="41" t="inlineStr">
        <is>
          <t>20250731</t>
        </is>
      </c>
      <c r="R2287" s="42" t="inlineStr">
        <is>
          <t>중개거래</t>
        </is>
      </c>
      <c r="S2287" s="42" t="inlineStr">
        <is>
          <t>서울 서초구, 서울 성북구</t>
        </is>
      </c>
      <c r="T2287" s="41" t="inlineStr">
        <is>
          <t>-</t>
        </is>
      </c>
      <c r="U2287" s="42" t="inlineStr">
        <is>
          <t>아파트</t>
        </is>
      </c>
    </row>
    <row r="2288" hidden="1" ht="17.25" customHeight="1">
      <c r="A2288" s="41" t="n">
        <v>629</v>
      </c>
      <c r="B2288" s="42" t="inlineStr">
        <is>
          <t>서울특별시 서초구 서초동</t>
        </is>
      </c>
      <c r="C2288" s="41" t="inlineStr">
        <is>
          <t>1642-34</t>
        </is>
      </c>
      <c r="D2288" s="41" t="inlineStr">
        <is>
          <t>1642</t>
        </is>
      </c>
      <c r="E2288" s="41" t="inlineStr">
        <is>
          <t>0034</t>
        </is>
      </c>
      <c r="F2288" s="42" t="inlineStr">
        <is>
          <t>래미안서초7차</t>
        </is>
      </c>
      <c r="G2288" s="41" t="inlineStr">
        <is>
          <t>148.0800</t>
        </is>
      </c>
      <c r="H2288" s="41" t="inlineStr">
        <is>
          <t>202506</t>
        </is>
      </c>
      <c r="I2288" s="41" t="inlineStr">
        <is>
          <t>07</t>
        </is>
      </c>
      <c r="J2288" s="41" t="inlineStr">
        <is>
          <t>240,000</t>
        </is>
      </c>
      <c r="K2288" s="41" t="inlineStr">
        <is>
          <t>102</t>
        </is>
      </c>
      <c r="L2288" s="41" t="inlineStr">
        <is>
          <t>6</t>
        </is>
      </c>
      <c r="M2288" s="42" t="inlineStr">
        <is>
          <t>개인</t>
        </is>
      </c>
      <c r="N2288" s="42" t="inlineStr">
        <is>
          <t>개인</t>
        </is>
      </c>
      <c r="O2288" s="41" t="inlineStr">
        <is>
          <t>2006</t>
        </is>
      </c>
      <c r="P2288" s="42" t="inlineStr">
        <is>
          <t>사임당로17길 80</t>
        </is>
      </c>
      <c r="Q2288" s="41" t="inlineStr">
        <is>
          <t>-</t>
        </is>
      </c>
      <c r="R2288" s="42" t="inlineStr">
        <is>
          <t>중개거래</t>
        </is>
      </c>
      <c r="S2288" s="42" t="inlineStr">
        <is>
          <t>서울 서초구</t>
        </is>
      </c>
      <c r="T2288" s="41" t="inlineStr">
        <is>
          <t>25.07.15</t>
        </is>
      </c>
      <c r="U2288" s="42" t="inlineStr">
        <is>
          <t>아파트</t>
        </is>
      </c>
    </row>
    <row r="2289" hidden="1" ht="17.25" customHeight="1">
      <c r="A2289" s="41" t="n">
        <v>630</v>
      </c>
      <c r="B2289" s="42" t="inlineStr">
        <is>
          <t>서울특별시 서초구 서초동</t>
        </is>
      </c>
      <c r="C2289" s="41" t="inlineStr">
        <is>
          <t>1301-6</t>
        </is>
      </c>
      <c r="D2289" s="41" t="inlineStr">
        <is>
          <t>1301</t>
        </is>
      </c>
      <c r="E2289" s="41" t="inlineStr">
        <is>
          <t>0006</t>
        </is>
      </c>
      <c r="F2289" s="42" t="inlineStr">
        <is>
          <t>래미안서초스위트</t>
        </is>
      </c>
      <c r="G2289" s="41" t="inlineStr">
        <is>
          <t>95.8079</t>
        </is>
      </c>
      <c r="H2289" s="41" t="inlineStr">
        <is>
          <t>202506</t>
        </is>
      </c>
      <c r="I2289" s="41" t="inlineStr">
        <is>
          <t>06</t>
        </is>
      </c>
      <c r="J2289" s="41" t="inlineStr">
        <is>
          <t>307,000</t>
        </is>
      </c>
      <c r="K2289" s="41" t="inlineStr">
        <is>
          <t>103</t>
        </is>
      </c>
      <c r="L2289" s="41" t="inlineStr">
        <is>
          <t>11</t>
        </is>
      </c>
      <c r="M2289" s="42" t="inlineStr">
        <is>
          <t>개인</t>
        </is>
      </c>
      <c r="N2289" s="42" t="inlineStr">
        <is>
          <t>개인</t>
        </is>
      </c>
      <c r="O2289" s="41" t="inlineStr">
        <is>
          <t>2009</t>
        </is>
      </c>
      <c r="P2289" s="42" t="inlineStr">
        <is>
          <t>서운로 221</t>
        </is>
      </c>
      <c r="Q2289" s="41" t="inlineStr">
        <is>
          <t>-</t>
        </is>
      </c>
      <c r="R2289" s="42" t="inlineStr">
        <is>
          <t>중개거래</t>
        </is>
      </c>
      <c r="S2289" s="42" t="inlineStr">
        <is>
          <t>서울 서초구</t>
        </is>
      </c>
      <c r="T2289" s="41" t="inlineStr">
        <is>
          <t>25.08.27</t>
        </is>
      </c>
      <c r="U2289" s="42" t="inlineStr">
        <is>
          <t>아파트</t>
        </is>
      </c>
    </row>
    <row r="2290" hidden="1" ht="17.25" customHeight="1">
      <c r="A2290" s="41" t="n">
        <v>631</v>
      </c>
      <c r="B2290" s="42" t="inlineStr">
        <is>
          <t>서울특별시 서초구 서초동</t>
        </is>
      </c>
      <c r="C2290" s="41" t="inlineStr">
        <is>
          <t>1644</t>
        </is>
      </c>
      <c r="D2290" s="41" t="inlineStr">
        <is>
          <t>1644</t>
        </is>
      </c>
      <c r="E2290" s="41" t="inlineStr">
        <is>
          <t>0000</t>
        </is>
      </c>
      <c r="F2290" s="42" t="inlineStr">
        <is>
          <t>현대서초3</t>
        </is>
      </c>
      <c r="G2290" s="41" t="inlineStr">
        <is>
          <t>84.0400</t>
        </is>
      </c>
      <c r="H2290" s="41" t="inlineStr">
        <is>
          <t>202506</t>
        </is>
      </c>
      <c r="I2290" s="41" t="inlineStr">
        <is>
          <t>06</t>
        </is>
      </c>
      <c r="J2290" s="41" t="inlineStr">
        <is>
          <t>178,000</t>
        </is>
      </c>
      <c r="K2290" s="41" t="inlineStr">
        <is>
          <t>-</t>
        </is>
      </c>
      <c r="L2290" s="41" t="inlineStr">
        <is>
          <t>8</t>
        </is>
      </c>
      <c r="M2290" s="42" t="inlineStr">
        <is>
          <t>개인</t>
        </is>
      </c>
      <c r="N2290" s="42" t="inlineStr">
        <is>
          <t>개인</t>
        </is>
      </c>
      <c r="O2290" s="41" t="inlineStr">
        <is>
          <t>1997</t>
        </is>
      </c>
      <c r="P2290" s="42" t="inlineStr">
        <is>
          <t>사임당로23길 58</t>
        </is>
      </c>
      <c r="Q2290" s="41" t="inlineStr">
        <is>
          <t>20250620</t>
        </is>
      </c>
      <c r="R2290" s="42" t="inlineStr">
        <is>
          <t>중개거래</t>
        </is>
      </c>
      <c r="S2290" s="42" t="inlineStr">
        <is>
          <t>서울 서초구</t>
        </is>
      </c>
      <c r="T2290" s="41" t="inlineStr">
        <is>
          <t>-</t>
        </is>
      </c>
      <c r="U2290" s="42" t="inlineStr">
        <is>
          <t>아파트</t>
        </is>
      </c>
    </row>
    <row r="2291" hidden="1" ht="17.25" customHeight="1">
      <c r="A2291" s="41" t="n">
        <v>632</v>
      </c>
      <c r="B2291" s="42" t="inlineStr">
        <is>
          <t>서울특별시 서초구 서초동</t>
        </is>
      </c>
      <c r="C2291" s="41" t="inlineStr">
        <is>
          <t>1644</t>
        </is>
      </c>
      <c r="D2291" s="41" t="inlineStr">
        <is>
          <t>1644</t>
        </is>
      </c>
      <c r="E2291" s="41" t="inlineStr">
        <is>
          <t>0000</t>
        </is>
      </c>
      <c r="F2291" s="42" t="inlineStr">
        <is>
          <t>현대서초3</t>
        </is>
      </c>
      <c r="G2291" s="41" t="inlineStr">
        <is>
          <t>84.0400</t>
        </is>
      </c>
      <c r="H2291" s="41" t="inlineStr">
        <is>
          <t>202506</t>
        </is>
      </c>
      <c r="I2291" s="41" t="inlineStr">
        <is>
          <t>06</t>
        </is>
      </c>
      <c r="J2291" s="41" t="inlineStr">
        <is>
          <t>178,000</t>
        </is>
      </c>
      <c r="K2291" s="41" t="inlineStr">
        <is>
          <t>-</t>
        </is>
      </c>
      <c r="L2291" s="41" t="inlineStr">
        <is>
          <t>8</t>
        </is>
      </c>
      <c r="M2291" s="42" t="inlineStr">
        <is>
          <t>개인</t>
        </is>
      </c>
      <c r="N2291" s="42" t="inlineStr">
        <is>
          <t>개인</t>
        </is>
      </c>
      <c r="O2291" s="41" t="inlineStr">
        <is>
          <t>1997</t>
        </is>
      </c>
      <c r="P2291" s="42" t="inlineStr">
        <is>
          <t>사임당로23길 58</t>
        </is>
      </c>
      <c r="Q2291" s="41" t="inlineStr">
        <is>
          <t>20250609</t>
        </is>
      </c>
      <c r="R2291" s="42" t="inlineStr">
        <is>
          <t>중개거래</t>
        </is>
      </c>
      <c r="S2291" s="42" t="inlineStr">
        <is>
          <t>서울 서초구</t>
        </is>
      </c>
      <c r="T2291" s="41" t="inlineStr">
        <is>
          <t>-</t>
        </is>
      </c>
      <c r="U2291" s="42" t="inlineStr">
        <is>
          <t>아파트</t>
        </is>
      </c>
    </row>
    <row r="2292" hidden="1" ht="17.25" customHeight="1">
      <c r="A2292" s="41" t="n">
        <v>633</v>
      </c>
      <c r="B2292" s="42" t="inlineStr">
        <is>
          <t>서울특별시 서초구 서초동</t>
        </is>
      </c>
      <c r="C2292" s="41" t="inlineStr">
        <is>
          <t>1644</t>
        </is>
      </c>
      <c r="D2292" s="41" t="inlineStr">
        <is>
          <t>1644</t>
        </is>
      </c>
      <c r="E2292" s="41" t="inlineStr">
        <is>
          <t>0000</t>
        </is>
      </c>
      <c r="F2292" s="42" t="inlineStr">
        <is>
          <t>현대서초3</t>
        </is>
      </c>
      <c r="G2292" s="41" t="inlineStr">
        <is>
          <t>84.0400</t>
        </is>
      </c>
      <c r="H2292" s="41" t="inlineStr">
        <is>
          <t>202506</t>
        </is>
      </c>
      <c r="I2292" s="41" t="inlineStr">
        <is>
          <t>06</t>
        </is>
      </c>
      <c r="J2292" s="41" t="inlineStr">
        <is>
          <t>178,000</t>
        </is>
      </c>
      <c r="K2292" s="41" t="inlineStr">
        <is>
          <t>301</t>
        </is>
      </c>
      <c r="L2292" s="41" t="inlineStr">
        <is>
          <t>8</t>
        </is>
      </c>
      <c r="M2292" s="42" t="inlineStr">
        <is>
          <t>개인</t>
        </is>
      </c>
      <c r="N2292" s="42" t="inlineStr">
        <is>
          <t>개인</t>
        </is>
      </c>
      <c r="O2292" s="41" t="inlineStr">
        <is>
          <t>1997</t>
        </is>
      </c>
      <c r="P2292" s="42" t="inlineStr">
        <is>
          <t>사임당로23길 58</t>
        </is>
      </c>
      <c r="Q2292" s="41" t="inlineStr">
        <is>
          <t>-</t>
        </is>
      </c>
      <c r="R2292" s="42" t="inlineStr">
        <is>
          <t>중개거래</t>
        </is>
      </c>
      <c r="S2292" s="42" t="inlineStr">
        <is>
          <t>서울 서초구</t>
        </is>
      </c>
      <c r="T2292" s="41" t="inlineStr">
        <is>
          <t>25.07.30</t>
        </is>
      </c>
      <c r="U2292" s="42" t="inlineStr">
        <is>
          <t>아파트</t>
        </is>
      </c>
    </row>
    <row r="2293" hidden="1" ht="17.25" customHeight="1">
      <c r="A2293" s="41" t="n">
        <v>634</v>
      </c>
      <c r="B2293" s="42" t="inlineStr">
        <is>
          <t>서울특별시 서초구 서초동</t>
        </is>
      </c>
      <c r="C2293" s="41" t="inlineStr">
        <is>
          <t>1754</t>
        </is>
      </c>
      <c r="D2293" s="41" t="inlineStr">
        <is>
          <t>1754</t>
        </is>
      </c>
      <c r="E2293" s="41" t="inlineStr">
        <is>
          <t>0000</t>
        </is>
      </c>
      <c r="F2293" s="42" t="inlineStr">
        <is>
          <t>래미안서초에스티지S</t>
        </is>
      </c>
      <c r="G2293" s="41" t="inlineStr">
        <is>
          <t>84.8000</t>
        </is>
      </c>
      <c r="H2293" s="41" t="inlineStr">
        <is>
          <t>202506</t>
        </is>
      </c>
      <c r="I2293" s="41" t="inlineStr">
        <is>
          <t>06</t>
        </is>
      </c>
      <c r="J2293" s="41" t="inlineStr">
        <is>
          <t>324,000</t>
        </is>
      </c>
      <c r="K2293" s="41" t="inlineStr">
        <is>
          <t>204</t>
        </is>
      </c>
      <c r="L2293" s="41" t="inlineStr">
        <is>
          <t>5</t>
        </is>
      </c>
      <c r="M2293" s="42" t="inlineStr">
        <is>
          <t>개인</t>
        </is>
      </c>
      <c r="N2293" s="42" t="inlineStr">
        <is>
          <t>개인</t>
        </is>
      </c>
      <c r="O2293" s="41" t="inlineStr">
        <is>
          <t>2018</t>
        </is>
      </c>
      <c r="P2293" s="42" t="inlineStr">
        <is>
          <t>서운로 104</t>
        </is>
      </c>
      <c r="Q2293" s="41" t="inlineStr">
        <is>
          <t>-</t>
        </is>
      </c>
      <c r="R2293" s="42" t="inlineStr">
        <is>
          <t>중개거래</t>
        </is>
      </c>
      <c r="S2293" s="42" t="inlineStr">
        <is>
          <t>서울 서초구</t>
        </is>
      </c>
      <c r="T2293" s="41" t="inlineStr">
        <is>
          <t>25.07.30</t>
        </is>
      </c>
      <c r="U2293" s="42" t="inlineStr">
        <is>
          <t>아파트</t>
        </is>
      </c>
    </row>
    <row r="2294" hidden="1" ht="17.25" customHeight="1">
      <c r="A2294" s="41" t="n">
        <v>635</v>
      </c>
      <c r="B2294" s="42" t="inlineStr">
        <is>
          <t>서울특별시 서초구 서초동</t>
        </is>
      </c>
      <c r="C2294" s="41" t="inlineStr">
        <is>
          <t>1301-6</t>
        </is>
      </c>
      <c r="D2294" s="41" t="inlineStr">
        <is>
          <t>1301</t>
        </is>
      </c>
      <c r="E2294" s="41" t="inlineStr">
        <is>
          <t>0006</t>
        </is>
      </c>
      <c r="F2294" s="42" t="inlineStr">
        <is>
          <t>래미안서초스위트</t>
        </is>
      </c>
      <c r="G2294" s="41" t="inlineStr">
        <is>
          <t>95.8079</t>
        </is>
      </c>
      <c r="H2294" s="41" t="inlineStr">
        <is>
          <t>202506</t>
        </is>
      </c>
      <c r="I2294" s="41" t="inlineStr">
        <is>
          <t>06</t>
        </is>
      </c>
      <c r="J2294" s="41" t="inlineStr">
        <is>
          <t>307,000</t>
        </is>
      </c>
      <c r="K2294" s="41" t="inlineStr">
        <is>
          <t>-</t>
        </is>
      </c>
      <c r="L2294" s="41" t="inlineStr">
        <is>
          <t>11</t>
        </is>
      </c>
      <c r="M2294" s="42" t="inlineStr">
        <is>
          <t>개인</t>
        </is>
      </c>
      <c r="N2294" s="42" t="inlineStr">
        <is>
          <t>개인</t>
        </is>
      </c>
      <c r="O2294" s="41" t="inlineStr">
        <is>
          <t>2009</t>
        </is>
      </c>
      <c r="P2294" s="42" t="inlineStr">
        <is>
          <t>서운로 221</t>
        </is>
      </c>
      <c r="Q2294" s="41" t="inlineStr">
        <is>
          <t>20250611</t>
        </is>
      </c>
      <c r="R2294" s="42" t="inlineStr">
        <is>
          <t>중개거래</t>
        </is>
      </c>
      <c r="S2294" s="42" t="inlineStr">
        <is>
          <t>서울 서초구</t>
        </is>
      </c>
      <c r="T2294" s="41" t="inlineStr">
        <is>
          <t>-</t>
        </is>
      </c>
      <c r="U2294" s="42" t="inlineStr">
        <is>
          <t>아파트</t>
        </is>
      </c>
    </row>
    <row r="2295" hidden="1" ht="17.25" customHeight="1">
      <c r="A2295" s="41" t="n">
        <v>636</v>
      </c>
      <c r="B2295" s="42" t="inlineStr">
        <is>
          <t>서울특별시 서초구 서초동</t>
        </is>
      </c>
      <c r="C2295" s="41" t="inlineStr">
        <is>
          <t>1301-6</t>
        </is>
      </c>
      <c r="D2295" s="41" t="inlineStr">
        <is>
          <t>1301</t>
        </is>
      </c>
      <c r="E2295" s="41" t="inlineStr">
        <is>
          <t>0006</t>
        </is>
      </c>
      <c r="F2295" s="42" t="inlineStr">
        <is>
          <t>래미안서초스위트</t>
        </is>
      </c>
      <c r="G2295" s="41" t="inlineStr">
        <is>
          <t>95.8079</t>
        </is>
      </c>
      <c r="H2295" s="41" t="inlineStr">
        <is>
          <t>202506</t>
        </is>
      </c>
      <c r="I2295" s="41" t="inlineStr">
        <is>
          <t>06</t>
        </is>
      </c>
      <c r="J2295" s="41" t="inlineStr">
        <is>
          <t>307,000</t>
        </is>
      </c>
      <c r="K2295" s="41" t="inlineStr">
        <is>
          <t>-</t>
        </is>
      </c>
      <c r="L2295" s="41" t="inlineStr">
        <is>
          <t>11</t>
        </is>
      </c>
      <c r="M2295" s="42" t="inlineStr">
        <is>
          <t>개인</t>
        </is>
      </c>
      <c r="N2295" s="42" t="inlineStr">
        <is>
          <t>개인</t>
        </is>
      </c>
      <c r="O2295" s="41" t="inlineStr">
        <is>
          <t>2009</t>
        </is>
      </c>
      <c r="P2295" s="42" t="inlineStr">
        <is>
          <t>서운로 221</t>
        </is>
      </c>
      <c r="Q2295" s="41" t="inlineStr">
        <is>
          <t>20250606</t>
        </is>
      </c>
      <c r="R2295" s="42" t="inlineStr">
        <is>
          <t>중개거래</t>
        </is>
      </c>
      <c r="S2295" s="42" t="inlineStr">
        <is>
          <t>서울 서초구</t>
        </is>
      </c>
      <c r="T2295" s="41" t="inlineStr">
        <is>
          <t>-</t>
        </is>
      </c>
      <c r="U2295" s="42" t="inlineStr">
        <is>
          <t>아파트</t>
        </is>
      </c>
    </row>
    <row r="2296" hidden="1" ht="17.25" customHeight="1">
      <c r="A2296" s="41" t="n">
        <v>637</v>
      </c>
      <c r="B2296" s="42" t="inlineStr">
        <is>
          <t>서울특별시 서초구 서초동</t>
        </is>
      </c>
      <c r="C2296" s="41" t="inlineStr">
        <is>
          <t>1337-3</t>
        </is>
      </c>
      <c r="D2296" s="41" t="inlineStr">
        <is>
          <t>1337</t>
        </is>
      </c>
      <c r="E2296" s="41" t="inlineStr">
        <is>
          <t>0003</t>
        </is>
      </c>
      <c r="F2296" s="41" t="inlineStr">
        <is>
          <t>urbanplace</t>
        </is>
      </c>
      <c r="G2296" s="41" t="inlineStr">
        <is>
          <t>23.4560</t>
        </is>
      </c>
      <c r="H2296" s="41" t="inlineStr">
        <is>
          <t>202506</t>
        </is>
      </c>
      <c r="I2296" s="41" t="inlineStr">
        <is>
          <t>05</t>
        </is>
      </c>
      <c r="J2296" s="41" t="inlineStr">
        <is>
          <t>23,500</t>
        </is>
      </c>
      <c r="K2296" s="41" t="inlineStr">
        <is>
          <t>1</t>
        </is>
      </c>
      <c r="L2296" s="41" t="inlineStr">
        <is>
          <t>6</t>
        </is>
      </c>
      <c r="M2296" s="42" t="inlineStr">
        <is>
          <t>개인</t>
        </is>
      </c>
      <c r="N2296" s="42" t="inlineStr">
        <is>
          <t>개인</t>
        </is>
      </c>
      <c r="O2296" s="41" t="inlineStr">
        <is>
          <t>2014</t>
        </is>
      </c>
      <c r="P2296" s="42" t="inlineStr">
        <is>
          <t>효령로77길 30</t>
        </is>
      </c>
      <c r="Q2296" s="41" t="inlineStr">
        <is>
          <t>-</t>
        </is>
      </c>
      <c r="R2296" s="42" t="inlineStr">
        <is>
          <t>중개거래</t>
        </is>
      </c>
      <c r="S2296" s="42" t="inlineStr">
        <is>
          <t>서울 서초구</t>
        </is>
      </c>
      <c r="T2296" s="41" t="inlineStr">
        <is>
          <t>25.09.29</t>
        </is>
      </c>
      <c r="U2296" s="42" t="inlineStr">
        <is>
          <t>아파트</t>
        </is>
      </c>
    </row>
    <row r="2297" hidden="1" ht="17.25" customHeight="1">
      <c r="A2297" s="41" t="n">
        <v>638</v>
      </c>
      <c r="B2297" s="42" t="inlineStr">
        <is>
          <t>서울특별시 서초구 서초동</t>
        </is>
      </c>
      <c r="C2297" s="41" t="inlineStr">
        <is>
          <t>1757</t>
        </is>
      </c>
      <c r="D2297" s="41" t="inlineStr">
        <is>
          <t>1757</t>
        </is>
      </c>
      <c r="E2297" s="41" t="inlineStr">
        <is>
          <t>0000</t>
        </is>
      </c>
      <c r="F2297" s="42" t="inlineStr">
        <is>
          <t>서초그랑자이</t>
        </is>
      </c>
      <c r="G2297" s="41" t="inlineStr">
        <is>
          <t>59.9800</t>
        </is>
      </c>
      <c r="H2297" s="41" t="inlineStr">
        <is>
          <t>202506</t>
        </is>
      </c>
      <c r="I2297" s="41" t="inlineStr">
        <is>
          <t>05</t>
        </is>
      </c>
      <c r="J2297" s="41" t="inlineStr">
        <is>
          <t>300,000</t>
        </is>
      </c>
      <c r="K2297" s="41" t="inlineStr">
        <is>
          <t>103동</t>
        </is>
      </c>
      <c r="L2297" s="41" t="inlineStr">
        <is>
          <t>3</t>
        </is>
      </c>
      <c r="M2297" s="42" t="inlineStr">
        <is>
          <t>개인</t>
        </is>
      </c>
      <c r="N2297" s="42" t="inlineStr">
        <is>
          <t>개인</t>
        </is>
      </c>
      <c r="O2297" s="41" t="inlineStr">
        <is>
          <t>2021</t>
        </is>
      </c>
      <c r="P2297" s="42" t="inlineStr">
        <is>
          <t>효령로 391</t>
        </is>
      </c>
      <c r="Q2297" s="41" t="inlineStr">
        <is>
          <t>-</t>
        </is>
      </c>
      <c r="R2297" s="42" t="inlineStr">
        <is>
          <t>중개거래</t>
        </is>
      </c>
      <c r="S2297" s="42" t="inlineStr">
        <is>
          <t>서울 서초구</t>
        </is>
      </c>
      <c r="T2297" s="41" t="inlineStr">
        <is>
          <t>25.08.26</t>
        </is>
      </c>
      <c r="U2297" s="42" t="inlineStr">
        <is>
          <t>아파트</t>
        </is>
      </c>
    </row>
    <row r="2298" hidden="1" ht="17.25" customHeight="1">
      <c r="A2298" s="41" t="n">
        <v>639</v>
      </c>
      <c r="B2298" s="42" t="inlineStr">
        <is>
          <t>서울특별시 서초구 서초동</t>
        </is>
      </c>
      <c r="C2298" s="41" t="inlineStr">
        <is>
          <t>1312-3</t>
        </is>
      </c>
      <c r="D2298" s="41" t="inlineStr">
        <is>
          <t>1312</t>
        </is>
      </c>
      <c r="E2298" s="41" t="inlineStr">
        <is>
          <t>0003</t>
        </is>
      </c>
      <c r="F2298" s="42" t="inlineStr">
        <is>
          <t>롯데캐슬클래식</t>
        </is>
      </c>
      <c r="G2298" s="41" t="inlineStr">
        <is>
          <t>84.9800</t>
        </is>
      </c>
      <c r="H2298" s="41" t="inlineStr">
        <is>
          <t>202506</t>
        </is>
      </c>
      <c r="I2298" s="41" t="inlineStr">
        <is>
          <t>05</t>
        </is>
      </c>
      <c r="J2298" s="41" t="inlineStr">
        <is>
          <t>289,000</t>
        </is>
      </c>
      <c r="K2298" s="41" t="inlineStr">
        <is>
          <t>101</t>
        </is>
      </c>
      <c r="L2298" s="41" t="inlineStr">
        <is>
          <t>18</t>
        </is>
      </c>
      <c r="M2298" s="42" t="inlineStr">
        <is>
          <t>개인</t>
        </is>
      </c>
      <c r="N2298" s="42" t="inlineStr">
        <is>
          <t>개인</t>
        </is>
      </c>
      <c r="O2298" s="41" t="inlineStr">
        <is>
          <t>2006</t>
        </is>
      </c>
      <c r="P2298" s="42" t="inlineStr">
        <is>
          <t>서운로 197</t>
        </is>
      </c>
      <c r="Q2298" s="41" t="inlineStr">
        <is>
          <t>-</t>
        </is>
      </c>
      <c r="R2298" s="42" t="inlineStr">
        <is>
          <t>중개거래</t>
        </is>
      </c>
      <c r="S2298" s="42" t="inlineStr">
        <is>
          <t>서울 서초구</t>
        </is>
      </c>
      <c r="T2298" s="41" t="inlineStr">
        <is>
          <t>25.08.08</t>
        </is>
      </c>
      <c r="U2298" s="42" t="inlineStr">
        <is>
          <t>아파트</t>
        </is>
      </c>
    </row>
    <row r="2299" hidden="1" ht="17.25" customHeight="1">
      <c r="A2299" s="41" t="n">
        <v>640</v>
      </c>
      <c r="B2299" s="42" t="inlineStr">
        <is>
          <t>서울특별시 서초구 서초동</t>
        </is>
      </c>
      <c r="C2299" s="41" t="inlineStr">
        <is>
          <t>1312-3</t>
        </is>
      </c>
      <c r="D2299" s="41" t="inlineStr">
        <is>
          <t>1312</t>
        </is>
      </c>
      <c r="E2299" s="41" t="inlineStr">
        <is>
          <t>0003</t>
        </is>
      </c>
      <c r="F2299" s="42" t="inlineStr">
        <is>
          <t>롯데캐슬클래식</t>
        </is>
      </c>
      <c r="G2299" s="41" t="inlineStr">
        <is>
          <t>120.1800</t>
        </is>
      </c>
      <c r="H2299" s="41" t="inlineStr">
        <is>
          <t>202506</t>
        </is>
      </c>
      <c r="I2299" s="41" t="inlineStr">
        <is>
          <t>04</t>
        </is>
      </c>
      <c r="J2299" s="41" t="inlineStr">
        <is>
          <t>330,000</t>
        </is>
      </c>
      <c r="K2299" s="41" t="inlineStr">
        <is>
          <t>-</t>
        </is>
      </c>
      <c r="L2299" s="41" t="inlineStr">
        <is>
          <t>16</t>
        </is>
      </c>
      <c r="M2299" s="42" t="inlineStr">
        <is>
          <t>개인</t>
        </is>
      </c>
      <c r="N2299" s="42" t="inlineStr">
        <is>
          <t>개인</t>
        </is>
      </c>
      <c r="O2299" s="41" t="inlineStr">
        <is>
          <t>2006</t>
        </is>
      </c>
      <c r="P2299" s="42" t="inlineStr">
        <is>
          <t>서운로 197</t>
        </is>
      </c>
      <c r="Q2299" s="41" t="inlineStr">
        <is>
          <t>20250605</t>
        </is>
      </c>
      <c r="R2299" s="42" t="inlineStr">
        <is>
          <t>중개거래</t>
        </is>
      </c>
      <c r="S2299" s="42" t="inlineStr">
        <is>
          <t>서울 서초구</t>
        </is>
      </c>
      <c r="T2299" s="41" t="inlineStr">
        <is>
          <t>-</t>
        </is>
      </c>
      <c r="U2299" s="42" t="inlineStr">
        <is>
          <t>아파트</t>
        </is>
      </c>
    </row>
    <row r="2300" hidden="1" ht="17.25" customHeight="1">
      <c r="A2300" s="41" t="n">
        <v>641</v>
      </c>
      <c r="B2300" s="42" t="inlineStr">
        <is>
          <t>서울특별시 서초구 서초동</t>
        </is>
      </c>
      <c r="C2300" s="41" t="inlineStr">
        <is>
          <t>1529</t>
        </is>
      </c>
      <c r="D2300" s="41" t="inlineStr">
        <is>
          <t>1529</t>
        </is>
      </c>
      <c r="E2300" s="41" t="inlineStr">
        <is>
          <t>0000</t>
        </is>
      </c>
      <c r="F2300" s="42" t="inlineStr">
        <is>
          <t>서초2차e-편한세상</t>
        </is>
      </c>
      <c r="G2300" s="41" t="inlineStr">
        <is>
          <t>116.7450</t>
        </is>
      </c>
      <c r="H2300" s="41" t="inlineStr">
        <is>
          <t>202506</t>
        </is>
      </c>
      <c r="I2300" s="41" t="inlineStr">
        <is>
          <t>04</t>
        </is>
      </c>
      <c r="J2300" s="41" t="inlineStr">
        <is>
          <t>220,000</t>
        </is>
      </c>
      <c r="K2300" s="41" t="inlineStr">
        <is>
          <t>203</t>
        </is>
      </c>
      <c r="L2300" s="41" t="inlineStr">
        <is>
          <t>11</t>
        </is>
      </c>
      <c r="M2300" s="42" t="inlineStr">
        <is>
          <t>개인</t>
        </is>
      </c>
      <c r="N2300" s="42" t="inlineStr">
        <is>
          <t>개인</t>
        </is>
      </c>
      <c r="O2300" s="41" t="inlineStr">
        <is>
          <t>2005</t>
        </is>
      </c>
      <c r="P2300" s="42" t="inlineStr">
        <is>
          <t>효령로49길 57</t>
        </is>
      </c>
      <c r="Q2300" s="41" t="inlineStr">
        <is>
          <t>-</t>
        </is>
      </c>
      <c r="R2300" s="42" t="inlineStr">
        <is>
          <t>중개거래</t>
        </is>
      </c>
      <c r="S2300" s="42" t="inlineStr">
        <is>
          <t>서울 강남구, 서울 서초구</t>
        </is>
      </c>
      <c r="T2300" s="41" t="inlineStr">
        <is>
          <t>25.07.14</t>
        </is>
      </c>
      <c r="U2300" s="42" t="inlineStr">
        <is>
          <t>아파트</t>
        </is>
      </c>
    </row>
    <row r="2301" hidden="1" ht="17.25" customHeight="1">
      <c r="A2301" s="41" t="n">
        <v>642</v>
      </c>
      <c r="B2301" s="42" t="inlineStr">
        <is>
          <t>서울특별시 서초구 서초동</t>
        </is>
      </c>
      <c r="C2301" s="41" t="inlineStr">
        <is>
          <t>1312-3</t>
        </is>
      </c>
      <c r="D2301" s="41" t="inlineStr">
        <is>
          <t>1312</t>
        </is>
      </c>
      <c r="E2301" s="41" t="inlineStr">
        <is>
          <t>0003</t>
        </is>
      </c>
      <c r="F2301" s="42" t="inlineStr">
        <is>
          <t>롯데캐슬클래식</t>
        </is>
      </c>
      <c r="G2301" s="41" t="inlineStr">
        <is>
          <t>120.1800</t>
        </is>
      </c>
      <c r="H2301" s="41" t="inlineStr">
        <is>
          <t>202506</t>
        </is>
      </c>
      <c r="I2301" s="41" t="inlineStr">
        <is>
          <t>04</t>
        </is>
      </c>
      <c r="J2301" s="41" t="inlineStr">
        <is>
          <t>330,000</t>
        </is>
      </c>
      <c r="K2301" s="41" t="inlineStr">
        <is>
          <t>106</t>
        </is>
      </c>
      <c r="L2301" s="41" t="inlineStr">
        <is>
          <t>16</t>
        </is>
      </c>
      <c r="M2301" s="42" t="inlineStr">
        <is>
          <t>개인</t>
        </is>
      </c>
      <c r="N2301" s="42" t="inlineStr">
        <is>
          <t>개인</t>
        </is>
      </c>
      <c r="O2301" s="41" t="inlineStr">
        <is>
          <t>2006</t>
        </is>
      </c>
      <c r="P2301" s="42" t="inlineStr">
        <is>
          <t>서운로 197</t>
        </is>
      </c>
      <c r="Q2301" s="41" t="inlineStr">
        <is>
          <t>-</t>
        </is>
      </c>
      <c r="R2301" s="42" t="inlineStr">
        <is>
          <t>중개거래</t>
        </is>
      </c>
      <c r="S2301" s="42" t="inlineStr">
        <is>
          <t>서울 서초구</t>
        </is>
      </c>
      <c r="T2301" s="41" t="inlineStr">
        <is>
          <t>25.09.05</t>
        </is>
      </c>
      <c r="U2301" s="42" t="inlineStr">
        <is>
          <t>아파트</t>
        </is>
      </c>
    </row>
    <row r="2302" hidden="1" ht="17.25" customHeight="1">
      <c r="A2302" s="41" t="n">
        <v>643</v>
      </c>
      <c r="B2302" s="42" t="inlineStr">
        <is>
          <t>서울특별시 서초구 서초동</t>
        </is>
      </c>
      <c r="C2302" s="41" t="inlineStr">
        <is>
          <t>1472-1</t>
        </is>
      </c>
      <c r="D2302" s="41" t="inlineStr">
        <is>
          <t>1472</t>
        </is>
      </c>
      <c r="E2302" s="41" t="inlineStr">
        <is>
          <t>0001</t>
        </is>
      </c>
      <c r="F2302" s="42" t="inlineStr">
        <is>
          <t>더샾오데움(104동)</t>
        </is>
      </c>
      <c r="G2302" s="41" t="inlineStr">
        <is>
          <t>110.5200</t>
        </is>
      </c>
      <c r="H2302" s="41" t="inlineStr">
        <is>
          <t>202506</t>
        </is>
      </c>
      <c r="I2302" s="41" t="inlineStr">
        <is>
          <t>03</t>
        </is>
      </c>
      <c r="J2302" s="41" t="inlineStr">
        <is>
          <t>179,500</t>
        </is>
      </c>
      <c r="K2302" s="41" t="inlineStr">
        <is>
          <t>104동</t>
        </is>
      </c>
      <c r="L2302" s="41" t="inlineStr">
        <is>
          <t>1</t>
        </is>
      </c>
      <c r="M2302" s="42" t="inlineStr">
        <is>
          <t>개인</t>
        </is>
      </c>
      <c r="N2302" s="42" t="inlineStr">
        <is>
          <t>개인</t>
        </is>
      </c>
      <c r="O2302" s="41" t="inlineStr">
        <is>
          <t>2006</t>
        </is>
      </c>
      <c r="P2302" s="42" t="inlineStr">
        <is>
          <t>반포대로5길 43</t>
        </is>
      </c>
      <c r="Q2302" s="41" t="inlineStr">
        <is>
          <t>-</t>
        </is>
      </c>
      <c r="R2302" s="42" t="inlineStr">
        <is>
          <t>중개거래</t>
        </is>
      </c>
      <c r="S2302" s="42" t="inlineStr">
        <is>
          <t>서울 서초구</t>
        </is>
      </c>
      <c r="T2302" s="41" t="inlineStr">
        <is>
          <t>25.06.20</t>
        </is>
      </c>
      <c r="U2302" s="42" t="inlineStr">
        <is>
          <t>아파트</t>
        </is>
      </c>
    </row>
    <row r="2303" hidden="1" ht="17.25" customHeight="1">
      <c r="A2303" s="41" t="n">
        <v>644</v>
      </c>
      <c r="B2303" s="42" t="inlineStr">
        <is>
          <t>서울특별시 서초구 서초동</t>
        </is>
      </c>
      <c r="C2303" s="41" t="inlineStr">
        <is>
          <t>1685</t>
        </is>
      </c>
      <c r="D2303" s="41" t="inlineStr">
        <is>
          <t>1685</t>
        </is>
      </c>
      <c r="E2303" s="41" t="inlineStr">
        <is>
          <t>0000</t>
        </is>
      </c>
      <c r="F2303" s="42" t="inlineStr">
        <is>
          <t>삼풍아파트</t>
        </is>
      </c>
      <c r="G2303" s="41" t="inlineStr">
        <is>
          <t>79.4700</t>
        </is>
      </c>
      <c r="H2303" s="41" t="inlineStr">
        <is>
          <t>202506</t>
        </is>
      </c>
      <c r="I2303" s="41" t="inlineStr">
        <is>
          <t>02</t>
        </is>
      </c>
      <c r="J2303" s="41" t="inlineStr">
        <is>
          <t>320,000</t>
        </is>
      </c>
      <c r="K2303" s="41" t="inlineStr">
        <is>
          <t>8</t>
        </is>
      </c>
      <c r="L2303" s="41" t="inlineStr">
        <is>
          <t>4</t>
        </is>
      </c>
      <c r="M2303" s="42" t="inlineStr">
        <is>
          <t>개인</t>
        </is>
      </c>
      <c r="N2303" s="42" t="inlineStr">
        <is>
          <t>개인</t>
        </is>
      </c>
      <c r="O2303" s="41" t="inlineStr">
        <is>
          <t>1988</t>
        </is>
      </c>
      <c r="P2303" s="42" t="inlineStr">
        <is>
          <t>서초중앙로 200</t>
        </is>
      </c>
      <c r="Q2303" s="41" t="inlineStr">
        <is>
          <t>-</t>
        </is>
      </c>
      <c r="R2303" s="42" t="inlineStr">
        <is>
          <t>중개거래</t>
        </is>
      </c>
      <c r="S2303" s="42" t="inlineStr">
        <is>
          <t>서울 서초구</t>
        </is>
      </c>
      <c r="T2303" s="41" t="inlineStr">
        <is>
          <t>25.08.22</t>
        </is>
      </c>
      <c r="U2303" s="42" t="inlineStr">
        <is>
          <t>아파트</t>
        </is>
      </c>
    </row>
    <row r="2304" hidden="1" ht="17.25" customHeight="1">
      <c r="A2304" s="41" t="n">
        <v>645</v>
      </c>
      <c r="B2304" s="42" t="inlineStr">
        <is>
          <t>서울특별시 서초구 서초동</t>
        </is>
      </c>
      <c r="C2304" s="41" t="inlineStr">
        <is>
          <t>1363-25</t>
        </is>
      </c>
      <c r="D2304" s="41" t="inlineStr">
        <is>
          <t>1363</t>
        </is>
      </c>
      <c r="E2304" s="41" t="inlineStr">
        <is>
          <t>0025</t>
        </is>
      </c>
      <c r="F2304" s="42" t="inlineStr">
        <is>
          <t>한라비발디스튜디오193</t>
        </is>
      </c>
      <c r="G2304" s="41" t="inlineStr">
        <is>
          <t>19.9900</t>
        </is>
      </c>
      <c r="H2304" s="41" t="inlineStr">
        <is>
          <t>202506</t>
        </is>
      </c>
      <c r="I2304" s="41" t="inlineStr">
        <is>
          <t>02</t>
        </is>
      </c>
      <c r="J2304" s="41" t="inlineStr">
        <is>
          <t>25,000</t>
        </is>
      </c>
      <c r="K2304" s="42" t="inlineStr">
        <is>
          <t>한라비발디스튜디오193</t>
        </is>
      </c>
      <c r="L2304" s="41" t="inlineStr">
        <is>
          <t>7</t>
        </is>
      </c>
      <c r="M2304" s="42" t="inlineStr">
        <is>
          <t>개인</t>
        </is>
      </c>
      <c r="N2304" s="42" t="inlineStr">
        <is>
          <t>개인</t>
        </is>
      </c>
      <c r="O2304" s="41" t="inlineStr">
        <is>
          <t>2013</t>
        </is>
      </c>
      <c r="P2304" s="42" t="inlineStr">
        <is>
          <t>강남대로39길 15-10</t>
        </is>
      </c>
      <c r="Q2304" s="41" t="inlineStr">
        <is>
          <t>-</t>
        </is>
      </c>
      <c r="R2304" s="42" t="inlineStr">
        <is>
          <t>직거래</t>
        </is>
      </c>
      <c r="S2304" s="41" t="inlineStr">
        <is>
          <t>-</t>
        </is>
      </c>
      <c r="T2304" s="41" t="inlineStr">
        <is>
          <t>25.06.30</t>
        </is>
      </c>
      <c r="U2304" s="42" t="inlineStr">
        <is>
          <t>아파트</t>
        </is>
      </c>
    </row>
    <row r="2305" hidden="1" ht="17.25" customHeight="1">
      <c r="A2305" s="41" t="n">
        <v>646</v>
      </c>
      <c r="B2305" s="42" t="inlineStr">
        <is>
          <t>서울특별시 서초구 서초동</t>
        </is>
      </c>
      <c r="C2305" s="41" t="inlineStr">
        <is>
          <t>1685</t>
        </is>
      </c>
      <c r="D2305" s="41" t="inlineStr">
        <is>
          <t>1685</t>
        </is>
      </c>
      <c r="E2305" s="41" t="inlineStr">
        <is>
          <t>0000</t>
        </is>
      </c>
      <c r="F2305" s="42" t="inlineStr">
        <is>
          <t>삼풍아파트</t>
        </is>
      </c>
      <c r="G2305" s="41" t="inlineStr">
        <is>
          <t>130.2300</t>
        </is>
      </c>
      <c r="H2305" s="41" t="inlineStr">
        <is>
          <t>202506</t>
        </is>
      </c>
      <c r="I2305" s="41" t="inlineStr">
        <is>
          <t>02</t>
        </is>
      </c>
      <c r="J2305" s="41" t="inlineStr">
        <is>
          <t>355,000</t>
        </is>
      </c>
      <c r="K2305" s="41" t="inlineStr">
        <is>
          <t>12</t>
        </is>
      </c>
      <c r="L2305" s="41" t="inlineStr">
        <is>
          <t>1</t>
        </is>
      </c>
      <c r="M2305" s="42" t="inlineStr">
        <is>
          <t>개인</t>
        </is>
      </c>
      <c r="N2305" s="42" t="inlineStr">
        <is>
          <t>개인</t>
        </is>
      </c>
      <c r="O2305" s="41" t="inlineStr">
        <is>
          <t>1988</t>
        </is>
      </c>
      <c r="P2305" s="42" t="inlineStr">
        <is>
          <t>서초중앙로 200</t>
        </is>
      </c>
      <c r="Q2305" s="41" t="inlineStr">
        <is>
          <t>-</t>
        </is>
      </c>
      <c r="R2305" s="42" t="inlineStr">
        <is>
          <t>중개거래</t>
        </is>
      </c>
      <c r="S2305" s="42" t="inlineStr">
        <is>
          <t>서울 서초구</t>
        </is>
      </c>
      <c r="T2305" s="41" t="inlineStr">
        <is>
          <t>25.08.26</t>
        </is>
      </c>
      <c r="U2305" s="42" t="inlineStr">
        <is>
          <t>아파트</t>
        </is>
      </c>
    </row>
    <row r="2306" hidden="1" ht="17.25" customHeight="1">
      <c r="A2306" s="41" t="n">
        <v>647</v>
      </c>
      <c r="B2306" s="42" t="inlineStr">
        <is>
          <t>서울특별시 서초구 서초동</t>
        </is>
      </c>
      <c r="C2306" s="41" t="inlineStr">
        <is>
          <t>1315</t>
        </is>
      </c>
      <c r="D2306" s="41" t="inlineStr">
        <is>
          <t>1315</t>
        </is>
      </c>
      <c r="E2306" s="41" t="inlineStr">
        <is>
          <t>0000</t>
        </is>
      </c>
      <c r="F2306" s="42" t="inlineStr">
        <is>
          <t>진흥아파트</t>
        </is>
      </c>
      <c r="G2306" s="41" t="inlineStr">
        <is>
          <t>101.3200</t>
        </is>
      </c>
      <c r="H2306" s="41" t="inlineStr">
        <is>
          <t>202505</t>
        </is>
      </c>
      <c r="I2306" s="41" t="inlineStr">
        <is>
          <t>31</t>
        </is>
      </c>
      <c r="J2306" s="41" t="inlineStr">
        <is>
          <t>298,000</t>
        </is>
      </c>
      <c r="K2306" s="41" t="inlineStr">
        <is>
          <t>2</t>
        </is>
      </c>
      <c r="L2306" s="41" t="inlineStr">
        <is>
          <t>10</t>
        </is>
      </c>
      <c r="M2306" s="42" t="inlineStr">
        <is>
          <t>개인</t>
        </is>
      </c>
      <c r="N2306" s="42" t="inlineStr">
        <is>
          <t>개인</t>
        </is>
      </c>
      <c r="O2306" s="41" t="inlineStr">
        <is>
          <t>1979</t>
        </is>
      </c>
      <c r="P2306" s="42" t="inlineStr">
        <is>
          <t>서초대로 385</t>
        </is>
      </c>
      <c r="Q2306" s="41" t="inlineStr">
        <is>
          <t>-</t>
        </is>
      </c>
      <c r="R2306" s="42" t="inlineStr">
        <is>
          <t>중개거래</t>
        </is>
      </c>
      <c r="S2306" s="42" t="inlineStr">
        <is>
          <t>서울 서초구</t>
        </is>
      </c>
      <c r="T2306" s="41" t="inlineStr">
        <is>
          <t>25.09.10</t>
        </is>
      </c>
      <c r="U2306" s="42" t="inlineStr">
        <is>
          <t>아파트</t>
        </is>
      </c>
    </row>
    <row r="2307" hidden="1" ht="17.25" customHeight="1">
      <c r="A2307" s="41" t="n">
        <v>648</v>
      </c>
      <c r="B2307" s="42" t="inlineStr">
        <is>
          <t>서울특별시 서초구 서초동</t>
        </is>
      </c>
      <c r="C2307" s="41" t="inlineStr">
        <is>
          <t>1682</t>
        </is>
      </c>
      <c r="D2307" s="41" t="inlineStr">
        <is>
          <t>1682</t>
        </is>
      </c>
      <c r="E2307" s="41" t="inlineStr">
        <is>
          <t>0000</t>
        </is>
      </c>
      <c r="F2307" s="42" t="inlineStr">
        <is>
          <t>서초래미안</t>
        </is>
      </c>
      <c r="G2307" s="41" t="inlineStr">
        <is>
          <t>127.6600</t>
        </is>
      </c>
      <c r="H2307" s="41" t="inlineStr">
        <is>
          <t>202505</t>
        </is>
      </c>
      <c r="I2307" s="41" t="inlineStr">
        <is>
          <t>31</t>
        </is>
      </c>
      <c r="J2307" s="41" t="inlineStr">
        <is>
          <t>300,000</t>
        </is>
      </c>
      <c r="K2307" s="41" t="inlineStr">
        <is>
          <t>-</t>
        </is>
      </c>
      <c r="L2307" s="41" t="inlineStr">
        <is>
          <t>17</t>
        </is>
      </c>
      <c r="M2307" s="42" t="inlineStr">
        <is>
          <t>개인</t>
        </is>
      </c>
      <c r="N2307" s="42" t="inlineStr">
        <is>
          <t>개인</t>
        </is>
      </c>
      <c r="O2307" s="41" t="inlineStr">
        <is>
          <t>2003</t>
        </is>
      </c>
      <c r="P2307" s="42" t="inlineStr">
        <is>
          <t>서초대로65길 13-10</t>
        </is>
      </c>
      <c r="Q2307" s="41" t="inlineStr">
        <is>
          <t>20250818</t>
        </is>
      </c>
      <c r="R2307" s="42" t="inlineStr">
        <is>
          <t>중개거래</t>
        </is>
      </c>
      <c r="S2307" s="42" t="inlineStr">
        <is>
          <t>서울 서초구</t>
        </is>
      </c>
      <c r="T2307" s="41" t="inlineStr">
        <is>
          <t>-</t>
        </is>
      </c>
      <c r="U2307" s="42" t="inlineStr">
        <is>
          <t>아파트</t>
        </is>
      </c>
    </row>
    <row r="2308" hidden="1" ht="17.25" customHeight="1">
      <c r="A2308" s="41" t="n">
        <v>649</v>
      </c>
      <c r="B2308" s="42" t="inlineStr">
        <is>
          <t>서울특별시 서초구 서초동</t>
        </is>
      </c>
      <c r="C2308" s="41" t="inlineStr">
        <is>
          <t>1682</t>
        </is>
      </c>
      <c r="D2308" s="41" t="inlineStr">
        <is>
          <t>1682</t>
        </is>
      </c>
      <c r="E2308" s="41" t="inlineStr">
        <is>
          <t>0000</t>
        </is>
      </c>
      <c r="F2308" s="42" t="inlineStr">
        <is>
          <t>서초래미안</t>
        </is>
      </c>
      <c r="G2308" s="41" t="inlineStr">
        <is>
          <t>127.6600</t>
        </is>
      </c>
      <c r="H2308" s="41" t="inlineStr">
        <is>
          <t>202505</t>
        </is>
      </c>
      <c r="I2308" s="41" t="inlineStr">
        <is>
          <t>31</t>
        </is>
      </c>
      <c r="J2308" s="41" t="inlineStr">
        <is>
          <t>300,000</t>
        </is>
      </c>
      <c r="K2308" s="41" t="inlineStr">
        <is>
          <t>104</t>
        </is>
      </c>
      <c r="L2308" s="41" t="inlineStr">
        <is>
          <t>17</t>
        </is>
      </c>
      <c r="M2308" s="42" t="inlineStr">
        <is>
          <t>개인</t>
        </is>
      </c>
      <c r="N2308" s="42" t="inlineStr">
        <is>
          <t>개인</t>
        </is>
      </c>
      <c r="O2308" s="41" t="inlineStr">
        <is>
          <t>2003</t>
        </is>
      </c>
      <c r="P2308" s="42" t="inlineStr">
        <is>
          <t>서초대로65길 13-10</t>
        </is>
      </c>
      <c r="Q2308" s="41" t="inlineStr">
        <is>
          <t>-</t>
        </is>
      </c>
      <c r="R2308" s="42" t="inlineStr">
        <is>
          <t>중개거래</t>
        </is>
      </c>
      <c r="S2308" s="42" t="inlineStr">
        <is>
          <t>서울 서초구</t>
        </is>
      </c>
      <c r="T2308" s="41" t="inlineStr">
        <is>
          <t>25.08.29</t>
        </is>
      </c>
      <c r="U2308" s="42" t="inlineStr">
        <is>
          <t>아파트</t>
        </is>
      </c>
    </row>
    <row r="2309" hidden="1" ht="17.25" customHeight="1">
      <c r="A2309" s="41" t="n">
        <v>650</v>
      </c>
      <c r="B2309" s="42" t="inlineStr">
        <is>
          <t>서울특별시 서초구 서초동</t>
        </is>
      </c>
      <c r="C2309" s="41" t="inlineStr">
        <is>
          <t>1682</t>
        </is>
      </c>
      <c r="D2309" s="41" t="inlineStr">
        <is>
          <t>1682</t>
        </is>
      </c>
      <c r="E2309" s="41" t="inlineStr">
        <is>
          <t>0000</t>
        </is>
      </c>
      <c r="F2309" s="42" t="inlineStr">
        <is>
          <t>서초래미안</t>
        </is>
      </c>
      <c r="G2309" s="41" t="inlineStr">
        <is>
          <t>111.3200</t>
        </is>
      </c>
      <c r="H2309" s="41" t="inlineStr">
        <is>
          <t>202505</t>
        </is>
      </c>
      <c r="I2309" s="41" t="inlineStr">
        <is>
          <t>31</t>
        </is>
      </c>
      <c r="J2309" s="41" t="inlineStr">
        <is>
          <t>295,000</t>
        </is>
      </c>
      <c r="K2309" s="41" t="inlineStr">
        <is>
          <t>106</t>
        </is>
      </c>
      <c r="L2309" s="41" t="inlineStr">
        <is>
          <t>19</t>
        </is>
      </c>
      <c r="M2309" s="42" t="inlineStr">
        <is>
          <t>개인</t>
        </is>
      </c>
      <c r="N2309" s="42" t="inlineStr">
        <is>
          <t>개인</t>
        </is>
      </c>
      <c r="O2309" s="41" t="inlineStr">
        <is>
          <t>2003</t>
        </is>
      </c>
      <c r="P2309" s="42" t="inlineStr">
        <is>
          <t>서초대로65길 13-10</t>
        </is>
      </c>
      <c r="Q2309" s="41" t="inlineStr">
        <is>
          <t>-</t>
        </is>
      </c>
      <c r="R2309" s="42" t="inlineStr">
        <is>
          <t>중개거래</t>
        </is>
      </c>
      <c r="S2309" s="42" t="inlineStr">
        <is>
          <t>서울 서초구</t>
        </is>
      </c>
      <c r="T2309" s="41" t="inlineStr">
        <is>
          <t>25.09.02</t>
        </is>
      </c>
      <c r="U2309" s="42" t="inlineStr">
        <is>
          <t>아파트</t>
        </is>
      </c>
    </row>
    <row r="2310" hidden="1" ht="17.25" customHeight="1">
      <c r="A2310" s="41" t="n">
        <v>651</v>
      </c>
      <c r="B2310" s="42" t="inlineStr">
        <is>
          <t>서울특별시 서초구 서초동</t>
        </is>
      </c>
      <c r="C2310" s="41" t="inlineStr">
        <is>
          <t>1755</t>
        </is>
      </c>
      <c r="D2310" s="41" t="inlineStr">
        <is>
          <t>1755</t>
        </is>
      </c>
      <c r="E2310" s="41" t="inlineStr">
        <is>
          <t>0000</t>
        </is>
      </c>
      <c r="F2310" s="42" t="inlineStr">
        <is>
          <t>래미안 리더스원</t>
        </is>
      </c>
      <c r="G2310" s="41" t="inlineStr">
        <is>
          <t>114.7000</t>
        </is>
      </c>
      <c r="H2310" s="41" t="inlineStr">
        <is>
          <t>202505</t>
        </is>
      </c>
      <c r="I2310" s="41" t="inlineStr">
        <is>
          <t>31</t>
        </is>
      </c>
      <c r="J2310" s="41" t="inlineStr">
        <is>
          <t>403,000</t>
        </is>
      </c>
      <c r="K2310" s="41" t="inlineStr">
        <is>
          <t>-</t>
        </is>
      </c>
      <c r="L2310" s="41" t="inlineStr">
        <is>
          <t>12</t>
        </is>
      </c>
      <c r="M2310" s="42" t="inlineStr">
        <is>
          <t>개인</t>
        </is>
      </c>
      <c r="N2310" s="42" t="inlineStr">
        <is>
          <t>개인</t>
        </is>
      </c>
      <c r="O2310" s="41" t="inlineStr">
        <is>
          <t>2020</t>
        </is>
      </c>
      <c r="P2310" s="42" t="inlineStr">
        <is>
          <t>서운로 62</t>
        </is>
      </c>
      <c r="Q2310" s="41" t="inlineStr">
        <is>
          <t>20250729</t>
        </is>
      </c>
      <c r="R2310" s="42" t="inlineStr">
        <is>
          <t>직거래</t>
        </is>
      </c>
      <c r="S2310" s="41" t="inlineStr">
        <is>
          <t>-</t>
        </is>
      </c>
      <c r="T2310" s="41" t="inlineStr">
        <is>
          <t>-</t>
        </is>
      </c>
      <c r="U2310" s="42" t="inlineStr">
        <is>
          <t>아파트</t>
        </is>
      </c>
    </row>
    <row r="2311" hidden="1" ht="17.25" customHeight="1">
      <c r="A2311" s="41" t="n">
        <v>652</v>
      </c>
      <c r="B2311" s="42" t="inlineStr">
        <is>
          <t>서울특별시 서초구 서초동</t>
        </is>
      </c>
      <c r="C2311" s="41" t="inlineStr">
        <is>
          <t>1363-25</t>
        </is>
      </c>
      <c r="D2311" s="41" t="inlineStr">
        <is>
          <t>1363</t>
        </is>
      </c>
      <c r="E2311" s="41" t="inlineStr">
        <is>
          <t>0025</t>
        </is>
      </c>
      <c r="F2311" s="42" t="inlineStr">
        <is>
          <t>한라비발디스튜디오193</t>
        </is>
      </c>
      <c r="G2311" s="41" t="inlineStr">
        <is>
          <t>19.9900</t>
        </is>
      </c>
      <c r="H2311" s="41" t="inlineStr">
        <is>
          <t>202505</t>
        </is>
      </c>
      <c r="I2311" s="41" t="inlineStr">
        <is>
          <t>31</t>
        </is>
      </c>
      <c r="J2311" s="41" t="inlineStr">
        <is>
          <t>25,000</t>
        </is>
      </c>
      <c r="K2311" s="42" t="inlineStr">
        <is>
          <t>한라비발디스튜디오193</t>
        </is>
      </c>
      <c r="L2311" s="41" t="inlineStr">
        <is>
          <t>10</t>
        </is>
      </c>
      <c r="M2311" s="42" t="inlineStr">
        <is>
          <t>개인</t>
        </is>
      </c>
      <c r="N2311" s="42" t="inlineStr">
        <is>
          <t>개인</t>
        </is>
      </c>
      <c r="O2311" s="41" t="inlineStr">
        <is>
          <t>2013</t>
        </is>
      </c>
      <c r="P2311" s="42" t="inlineStr">
        <is>
          <t>강남대로39길 15-10</t>
        </is>
      </c>
      <c r="Q2311" s="41" t="inlineStr">
        <is>
          <t>-</t>
        </is>
      </c>
      <c r="R2311" s="42" t="inlineStr">
        <is>
          <t>중개거래</t>
        </is>
      </c>
      <c r="S2311" s="42" t="inlineStr">
        <is>
          <t>서울 강남구</t>
        </is>
      </c>
      <c r="T2311" s="41" t="inlineStr">
        <is>
          <t>25.06.23</t>
        </is>
      </c>
      <c r="U2311" s="42" t="inlineStr">
        <is>
          <t>아파트</t>
        </is>
      </c>
    </row>
    <row r="2312" hidden="1" ht="17.25" customHeight="1">
      <c r="A2312" s="41" t="n">
        <v>653</v>
      </c>
      <c r="B2312" s="42" t="inlineStr">
        <is>
          <t>서울특별시 서초구 서초동</t>
        </is>
      </c>
      <c r="C2312" s="41" t="inlineStr">
        <is>
          <t>1686-9</t>
        </is>
      </c>
      <c r="D2312" s="41" t="inlineStr">
        <is>
          <t>1686</t>
        </is>
      </c>
      <c r="E2312" s="41" t="inlineStr">
        <is>
          <t>0009</t>
        </is>
      </c>
      <c r="F2312" s="42" t="inlineStr">
        <is>
          <t>서초교대e편한세상</t>
        </is>
      </c>
      <c r="G2312" s="41" t="inlineStr">
        <is>
          <t>84.6800</t>
        </is>
      </c>
      <c r="H2312" s="41" t="inlineStr">
        <is>
          <t>202505</t>
        </is>
      </c>
      <c r="I2312" s="41" t="inlineStr">
        <is>
          <t>30</t>
        </is>
      </c>
      <c r="J2312" s="41" t="inlineStr">
        <is>
          <t>285,000</t>
        </is>
      </c>
      <c r="K2312" s="41" t="inlineStr">
        <is>
          <t>102</t>
        </is>
      </c>
      <c r="L2312" s="41" t="inlineStr">
        <is>
          <t>11</t>
        </is>
      </c>
      <c r="M2312" s="42" t="inlineStr">
        <is>
          <t>개인</t>
        </is>
      </c>
      <c r="N2312" s="42" t="inlineStr">
        <is>
          <t>개인</t>
        </is>
      </c>
      <c r="O2312" s="41" t="inlineStr">
        <is>
          <t>2010</t>
        </is>
      </c>
      <c r="P2312" s="42" t="inlineStr">
        <is>
          <t>서초중앙로24길 33</t>
        </is>
      </c>
      <c r="Q2312" s="41" t="inlineStr">
        <is>
          <t>-</t>
        </is>
      </c>
      <c r="R2312" s="42" t="inlineStr">
        <is>
          <t>중개거래</t>
        </is>
      </c>
      <c r="S2312" s="42" t="inlineStr">
        <is>
          <t>서울 서초구</t>
        </is>
      </c>
      <c r="T2312" s="41" t="inlineStr">
        <is>
          <t>25.08.29</t>
        </is>
      </c>
      <c r="U2312" s="42" t="inlineStr">
        <is>
          <t>아파트</t>
        </is>
      </c>
    </row>
    <row r="2313" hidden="1" ht="17.25" customHeight="1">
      <c r="A2313" s="41" t="n">
        <v>654</v>
      </c>
      <c r="B2313" s="42" t="inlineStr">
        <is>
          <t>서울특별시 서초구 서초동</t>
        </is>
      </c>
      <c r="C2313" s="41" t="inlineStr">
        <is>
          <t>1682</t>
        </is>
      </c>
      <c r="D2313" s="41" t="inlineStr">
        <is>
          <t>1682</t>
        </is>
      </c>
      <c r="E2313" s="41" t="inlineStr">
        <is>
          <t>0000</t>
        </is>
      </c>
      <c r="F2313" s="42" t="inlineStr">
        <is>
          <t>서초래미안</t>
        </is>
      </c>
      <c r="G2313" s="41" t="inlineStr">
        <is>
          <t>84.9500</t>
        </is>
      </c>
      <c r="H2313" s="41" t="inlineStr">
        <is>
          <t>202505</t>
        </is>
      </c>
      <c r="I2313" s="41" t="inlineStr">
        <is>
          <t>30</t>
        </is>
      </c>
      <c r="J2313" s="41" t="inlineStr">
        <is>
          <t>279,000</t>
        </is>
      </c>
      <c r="K2313" s="41" t="inlineStr">
        <is>
          <t>105</t>
        </is>
      </c>
      <c r="L2313" s="41" t="inlineStr">
        <is>
          <t>17</t>
        </is>
      </c>
      <c r="M2313" s="42" t="inlineStr">
        <is>
          <t>개인</t>
        </is>
      </c>
      <c r="N2313" s="42" t="inlineStr">
        <is>
          <t>개인</t>
        </is>
      </c>
      <c r="O2313" s="41" t="inlineStr">
        <is>
          <t>2003</t>
        </is>
      </c>
      <c r="P2313" s="42" t="inlineStr">
        <is>
          <t>서초대로65길 13-10</t>
        </is>
      </c>
      <c r="Q2313" s="41" t="inlineStr">
        <is>
          <t>-</t>
        </is>
      </c>
      <c r="R2313" s="42" t="inlineStr">
        <is>
          <t>중개거래</t>
        </is>
      </c>
      <c r="S2313" s="42" t="inlineStr">
        <is>
          <t>서울 서초구</t>
        </is>
      </c>
      <c r="T2313" s="41" t="inlineStr">
        <is>
          <t>25.09.15</t>
        </is>
      </c>
      <c r="U2313" s="42" t="inlineStr">
        <is>
          <t>아파트</t>
        </is>
      </c>
    </row>
    <row r="2314" hidden="1" ht="17.25" customHeight="1">
      <c r="A2314" s="41" t="n">
        <v>655</v>
      </c>
      <c r="B2314" s="42" t="inlineStr">
        <is>
          <t>서울특별시 서초구 서초동</t>
        </is>
      </c>
      <c r="C2314" s="41" t="inlineStr">
        <is>
          <t>1509-1</t>
        </is>
      </c>
      <c r="D2314" s="41" t="inlineStr">
        <is>
          <t>1509</t>
        </is>
      </c>
      <c r="E2314" s="41" t="inlineStr">
        <is>
          <t>0001</t>
        </is>
      </c>
      <c r="F2314" s="42" t="inlineStr">
        <is>
          <t>서초한빛삼성</t>
        </is>
      </c>
      <c r="G2314" s="41" t="inlineStr">
        <is>
          <t>59.5200</t>
        </is>
      </c>
      <c r="H2314" s="41" t="inlineStr">
        <is>
          <t>202505</t>
        </is>
      </c>
      <c r="I2314" s="41" t="inlineStr">
        <is>
          <t>30</t>
        </is>
      </c>
      <c r="J2314" s="41" t="inlineStr">
        <is>
          <t>139,500</t>
        </is>
      </c>
      <c r="K2314" s="41" t="inlineStr">
        <is>
          <t>101</t>
        </is>
      </c>
      <c r="L2314" s="41" t="inlineStr">
        <is>
          <t>1</t>
        </is>
      </c>
      <c r="M2314" s="42" t="inlineStr">
        <is>
          <t>개인</t>
        </is>
      </c>
      <c r="N2314" s="42" t="inlineStr">
        <is>
          <t>개인</t>
        </is>
      </c>
      <c r="O2314" s="41" t="inlineStr">
        <is>
          <t>1999</t>
        </is>
      </c>
      <c r="P2314" s="42" t="inlineStr">
        <is>
          <t>서초대로40길 72</t>
        </is>
      </c>
      <c r="Q2314" s="41" t="inlineStr">
        <is>
          <t>-</t>
        </is>
      </c>
      <c r="R2314" s="42" t="inlineStr">
        <is>
          <t>중개거래</t>
        </is>
      </c>
      <c r="S2314" s="42" t="inlineStr">
        <is>
          <t>서울 강남구, 서울 서초구</t>
        </is>
      </c>
      <c r="T2314" s="41" t="inlineStr">
        <is>
          <t>25.09.19</t>
        </is>
      </c>
      <c r="U2314" s="42" t="inlineStr">
        <is>
          <t>아파트</t>
        </is>
      </c>
    </row>
    <row r="2315" hidden="1" ht="17.25" customHeight="1">
      <c r="A2315" s="41" t="n">
        <v>656</v>
      </c>
      <c r="B2315" s="42" t="inlineStr">
        <is>
          <t>서울특별시 서초구 서초동</t>
        </is>
      </c>
      <c r="C2315" s="41" t="inlineStr">
        <is>
          <t>1597-6</t>
        </is>
      </c>
      <c r="D2315" s="41" t="inlineStr">
        <is>
          <t>1597</t>
        </is>
      </c>
      <c r="E2315" s="41" t="inlineStr">
        <is>
          <t>0006</t>
        </is>
      </c>
      <c r="F2315" s="41" t="inlineStr">
        <is>
          <t>DK밸리뷰서초2차</t>
        </is>
      </c>
      <c r="G2315" s="41" t="inlineStr">
        <is>
          <t>28.5800</t>
        </is>
      </c>
      <c r="H2315" s="41" t="inlineStr">
        <is>
          <t>202505</t>
        </is>
      </c>
      <c r="I2315" s="41" t="inlineStr">
        <is>
          <t>30</t>
        </is>
      </c>
      <c r="J2315" s="41" t="inlineStr">
        <is>
          <t>49,800</t>
        </is>
      </c>
      <c r="K2315" s="41" t="inlineStr">
        <is>
          <t>.</t>
        </is>
      </c>
      <c r="L2315" s="41" t="inlineStr">
        <is>
          <t>15</t>
        </is>
      </c>
      <c r="M2315" s="42" t="inlineStr">
        <is>
          <t>개인</t>
        </is>
      </c>
      <c r="N2315" s="42" t="inlineStr">
        <is>
          <t>개인</t>
        </is>
      </c>
      <c r="O2315" s="41" t="inlineStr">
        <is>
          <t>2022</t>
        </is>
      </c>
      <c r="P2315" s="42" t="inlineStr">
        <is>
          <t>사임당로 34</t>
        </is>
      </c>
      <c r="Q2315" s="41" t="inlineStr">
        <is>
          <t>-</t>
        </is>
      </c>
      <c r="R2315" s="42" t="inlineStr">
        <is>
          <t>중개거래</t>
        </is>
      </c>
      <c r="S2315" s="42" t="inlineStr">
        <is>
          <t>서울 서초구</t>
        </is>
      </c>
      <c r="T2315" s="41" t="inlineStr">
        <is>
          <t>25.06.26</t>
        </is>
      </c>
      <c r="U2315" s="42" t="inlineStr">
        <is>
          <t>아파트</t>
        </is>
      </c>
    </row>
    <row r="2316" hidden="1" ht="17.25" customHeight="1">
      <c r="A2316" s="41" t="n">
        <v>657</v>
      </c>
      <c r="B2316" s="42" t="inlineStr">
        <is>
          <t>서울특별시 서초구 서초동</t>
        </is>
      </c>
      <c r="C2316" s="41" t="inlineStr">
        <is>
          <t>1755</t>
        </is>
      </c>
      <c r="D2316" s="41" t="inlineStr">
        <is>
          <t>1755</t>
        </is>
      </c>
      <c r="E2316" s="41" t="inlineStr">
        <is>
          <t>0000</t>
        </is>
      </c>
      <c r="F2316" s="42" t="inlineStr">
        <is>
          <t>래미안 리더스원</t>
        </is>
      </c>
      <c r="G2316" s="41" t="inlineStr">
        <is>
          <t>114.7000</t>
        </is>
      </c>
      <c r="H2316" s="41" t="inlineStr">
        <is>
          <t>202505</t>
        </is>
      </c>
      <c r="I2316" s="41" t="inlineStr">
        <is>
          <t>30</t>
        </is>
      </c>
      <c r="J2316" s="41" t="inlineStr">
        <is>
          <t>403,000</t>
        </is>
      </c>
      <c r="K2316" s="41" t="inlineStr">
        <is>
          <t>109동</t>
        </is>
      </c>
      <c r="L2316" s="41" t="inlineStr">
        <is>
          <t>12</t>
        </is>
      </c>
      <c r="M2316" s="42" t="inlineStr">
        <is>
          <t>개인</t>
        </is>
      </c>
      <c r="N2316" s="42" t="inlineStr">
        <is>
          <t>개인</t>
        </is>
      </c>
      <c r="O2316" s="41" t="inlineStr">
        <is>
          <t>2020</t>
        </is>
      </c>
      <c r="P2316" s="42" t="inlineStr">
        <is>
          <t>서운로 62</t>
        </is>
      </c>
      <c r="Q2316" s="41" t="inlineStr">
        <is>
          <t>-</t>
        </is>
      </c>
      <c r="R2316" s="42" t="inlineStr">
        <is>
          <t>중개거래</t>
        </is>
      </c>
      <c r="S2316" s="42" t="inlineStr">
        <is>
          <t>서울 서초구</t>
        </is>
      </c>
      <c r="T2316" s="41" t="inlineStr">
        <is>
          <t>25.07.31</t>
        </is>
      </c>
      <c r="U2316" s="42" t="inlineStr">
        <is>
          <t>아파트</t>
        </is>
      </c>
    </row>
    <row r="2317" hidden="1" ht="17.25" customHeight="1">
      <c r="A2317" s="41" t="n">
        <v>658</v>
      </c>
      <c r="B2317" s="42" t="inlineStr">
        <is>
          <t>서울특별시 서초구 서초동</t>
        </is>
      </c>
      <c r="C2317" s="41" t="inlineStr">
        <is>
          <t>1582-3</t>
        </is>
      </c>
      <c r="D2317" s="41" t="inlineStr">
        <is>
          <t>1582</t>
        </is>
      </c>
      <c r="E2317" s="41" t="inlineStr">
        <is>
          <t>0003</t>
        </is>
      </c>
      <c r="F2317" s="42" t="inlineStr">
        <is>
          <t>서초센트럴IPARK</t>
        </is>
      </c>
      <c r="G2317" s="41" t="inlineStr">
        <is>
          <t>80.5154</t>
        </is>
      </c>
      <c r="H2317" s="41" t="inlineStr">
        <is>
          <t>202505</t>
        </is>
      </c>
      <c r="I2317" s="41" t="inlineStr">
        <is>
          <t>30</t>
        </is>
      </c>
      <c r="J2317" s="41" t="inlineStr">
        <is>
          <t>168,500</t>
        </is>
      </c>
      <c r="K2317" s="41" t="inlineStr">
        <is>
          <t>102동</t>
        </is>
      </c>
      <c r="L2317" s="41" t="inlineStr">
        <is>
          <t>15</t>
        </is>
      </c>
      <c r="M2317" s="42" t="inlineStr">
        <is>
          <t>개인</t>
        </is>
      </c>
      <c r="N2317" s="42" t="inlineStr">
        <is>
          <t>개인</t>
        </is>
      </c>
      <c r="O2317" s="41" t="inlineStr">
        <is>
          <t>2020</t>
        </is>
      </c>
      <c r="P2317" s="42" t="inlineStr">
        <is>
          <t>반포대로18길 36</t>
        </is>
      </c>
      <c r="Q2317" s="41" t="inlineStr">
        <is>
          <t>-</t>
        </is>
      </c>
      <c r="R2317" s="42" t="inlineStr">
        <is>
          <t>중개거래</t>
        </is>
      </c>
      <c r="S2317" s="42" t="inlineStr">
        <is>
          <t>서울 강남구</t>
        </is>
      </c>
      <c r="T2317" s="41" t="inlineStr">
        <is>
          <t>25.10.17</t>
        </is>
      </c>
      <c r="U2317" s="42" t="inlineStr">
        <is>
          <t>아파트</t>
        </is>
      </c>
    </row>
    <row r="2318" hidden="1" ht="17.25" customHeight="1">
      <c r="A2318" s="41" t="n">
        <v>659</v>
      </c>
      <c r="B2318" s="42" t="inlineStr">
        <is>
          <t>서울특별시 서초구 서초동</t>
        </is>
      </c>
      <c r="C2318" s="41" t="inlineStr">
        <is>
          <t>1327-29</t>
        </is>
      </c>
      <c r="D2318" s="41" t="inlineStr">
        <is>
          <t>1327</t>
        </is>
      </c>
      <c r="E2318" s="41" t="inlineStr">
        <is>
          <t>0029</t>
        </is>
      </c>
      <c r="F2318" s="42" t="inlineStr">
        <is>
          <t>서초파라곤</t>
        </is>
      </c>
      <c r="G2318" s="41" t="inlineStr">
        <is>
          <t>109.7300</t>
        </is>
      </c>
      <c r="H2318" s="41" t="inlineStr">
        <is>
          <t>202505</t>
        </is>
      </c>
      <c r="I2318" s="41" t="inlineStr">
        <is>
          <t>29</t>
        </is>
      </c>
      <c r="J2318" s="41" t="inlineStr">
        <is>
          <t>160,000</t>
        </is>
      </c>
      <c r="K2318" s="42" t="inlineStr">
        <is>
          <t>케이티파라곤</t>
        </is>
      </c>
      <c r="L2318" s="41" t="inlineStr">
        <is>
          <t>11</t>
        </is>
      </c>
      <c r="M2318" s="42" t="inlineStr">
        <is>
          <t>개인</t>
        </is>
      </c>
      <c r="N2318" s="42" t="inlineStr">
        <is>
          <t>개인</t>
        </is>
      </c>
      <c r="O2318" s="41" t="inlineStr">
        <is>
          <t>2005</t>
        </is>
      </c>
      <c r="P2318" s="42" t="inlineStr">
        <is>
          <t>서초대로74길 29</t>
        </is>
      </c>
      <c r="Q2318" s="41" t="inlineStr">
        <is>
          <t>-</t>
        </is>
      </c>
      <c r="R2318" s="42" t="inlineStr">
        <is>
          <t>중개거래</t>
        </is>
      </c>
      <c r="S2318" s="42" t="inlineStr">
        <is>
          <t>서울 서초구</t>
        </is>
      </c>
      <c r="T2318" s="41" t="inlineStr">
        <is>
          <t>25.08.12</t>
        </is>
      </c>
      <c r="U2318" s="42" t="inlineStr">
        <is>
          <t>아파트</t>
        </is>
      </c>
    </row>
    <row r="2319" hidden="1" ht="17.25" customHeight="1">
      <c r="A2319" s="41" t="n">
        <v>660</v>
      </c>
      <c r="B2319" s="42" t="inlineStr">
        <is>
          <t>서울특별시 서초구 서초동</t>
        </is>
      </c>
      <c r="C2319" s="41" t="inlineStr">
        <is>
          <t>1346</t>
        </is>
      </c>
      <c r="D2319" s="41" t="inlineStr">
        <is>
          <t>1346</t>
        </is>
      </c>
      <c r="E2319" s="41" t="inlineStr">
        <is>
          <t>0000</t>
        </is>
      </c>
      <c r="F2319" s="42" t="inlineStr">
        <is>
          <t>현대아파트</t>
        </is>
      </c>
      <c r="G2319" s="41" t="inlineStr">
        <is>
          <t>84.3300</t>
        </is>
      </c>
      <c r="H2319" s="41" t="inlineStr">
        <is>
          <t>202505</t>
        </is>
      </c>
      <c r="I2319" s="41" t="inlineStr">
        <is>
          <t>29</t>
        </is>
      </c>
      <c r="J2319" s="41" t="inlineStr">
        <is>
          <t>212,000</t>
        </is>
      </c>
      <c r="K2319" s="41" t="inlineStr">
        <is>
          <t>20</t>
        </is>
      </c>
      <c r="L2319" s="41" t="inlineStr">
        <is>
          <t>15</t>
        </is>
      </c>
      <c r="M2319" s="42" t="inlineStr">
        <is>
          <t>개인</t>
        </is>
      </c>
      <c r="N2319" s="42" t="inlineStr">
        <is>
          <t>개인</t>
        </is>
      </c>
      <c r="O2319" s="41" t="inlineStr">
        <is>
          <t>1989</t>
        </is>
      </c>
      <c r="P2319" s="42" t="inlineStr">
        <is>
          <t>효령로68길 13</t>
        </is>
      </c>
      <c r="Q2319" s="41" t="inlineStr">
        <is>
          <t>-</t>
        </is>
      </c>
      <c r="R2319" s="42" t="inlineStr">
        <is>
          <t>중개거래</t>
        </is>
      </c>
      <c r="S2319" s="42" t="inlineStr">
        <is>
          <t>서울 서초구</t>
        </is>
      </c>
      <c r="T2319" s="41" t="inlineStr">
        <is>
          <t>25.09.05</t>
        </is>
      </c>
      <c r="U2319" s="42" t="inlineStr">
        <is>
          <t>아파트</t>
        </is>
      </c>
    </row>
    <row r="2320" hidden="1" ht="17.25" customHeight="1">
      <c r="A2320" s="41" t="n">
        <v>661</v>
      </c>
      <c r="B2320" s="42" t="inlineStr">
        <is>
          <t>서울특별시 서초구 서초동</t>
        </is>
      </c>
      <c r="C2320" s="41" t="inlineStr">
        <is>
          <t>1685</t>
        </is>
      </c>
      <c r="D2320" s="41" t="inlineStr">
        <is>
          <t>1685</t>
        </is>
      </c>
      <c r="E2320" s="41" t="inlineStr">
        <is>
          <t>0000</t>
        </is>
      </c>
      <c r="F2320" s="42" t="inlineStr">
        <is>
          <t>삼풍아파트</t>
        </is>
      </c>
      <c r="G2320" s="41" t="inlineStr">
        <is>
          <t>79.4700</t>
        </is>
      </c>
      <c r="H2320" s="41" t="inlineStr">
        <is>
          <t>202505</t>
        </is>
      </c>
      <c r="I2320" s="41" t="inlineStr">
        <is>
          <t>29</t>
        </is>
      </c>
      <c r="J2320" s="41" t="inlineStr">
        <is>
          <t>317,000</t>
        </is>
      </c>
      <c r="K2320" s="41" t="inlineStr">
        <is>
          <t>1</t>
        </is>
      </c>
      <c r="L2320" s="41" t="inlineStr">
        <is>
          <t>5</t>
        </is>
      </c>
      <c r="M2320" s="42" t="inlineStr">
        <is>
          <t>개인</t>
        </is>
      </c>
      <c r="N2320" s="42" t="inlineStr">
        <is>
          <t>개인</t>
        </is>
      </c>
      <c r="O2320" s="41" t="inlineStr">
        <is>
          <t>1988</t>
        </is>
      </c>
      <c r="P2320" s="42" t="inlineStr">
        <is>
          <t>서초중앙로 200</t>
        </is>
      </c>
      <c r="Q2320" s="41" t="inlineStr">
        <is>
          <t>-</t>
        </is>
      </c>
      <c r="R2320" s="42" t="inlineStr">
        <is>
          <t>중개거래</t>
        </is>
      </c>
      <c r="S2320" s="42" t="inlineStr">
        <is>
          <t>서울 서초구</t>
        </is>
      </c>
      <c r="T2320" s="41" t="inlineStr">
        <is>
          <t>25.08.22</t>
        </is>
      </c>
      <c r="U2320" s="42" t="inlineStr">
        <is>
          <t>아파트</t>
        </is>
      </c>
    </row>
    <row r="2321" hidden="1" ht="17.25" customHeight="1">
      <c r="A2321" s="41" t="n">
        <v>662</v>
      </c>
      <c r="B2321" s="42" t="inlineStr">
        <is>
          <t>서울특별시 서초구 서초동</t>
        </is>
      </c>
      <c r="C2321" s="41" t="inlineStr">
        <is>
          <t>1312-3</t>
        </is>
      </c>
      <c r="D2321" s="41" t="inlineStr">
        <is>
          <t>1312</t>
        </is>
      </c>
      <c r="E2321" s="41" t="inlineStr">
        <is>
          <t>0003</t>
        </is>
      </c>
      <c r="F2321" s="42" t="inlineStr">
        <is>
          <t>롯데캐슬클래식</t>
        </is>
      </c>
      <c r="G2321" s="41" t="inlineStr">
        <is>
          <t>74.3000</t>
        </is>
      </c>
      <c r="H2321" s="41" t="inlineStr">
        <is>
          <t>202505</t>
        </is>
      </c>
      <c r="I2321" s="41" t="inlineStr">
        <is>
          <t>29</t>
        </is>
      </c>
      <c r="J2321" s="41" t="inlineStr">
        <is>
          <t>262,000</t>
        </is>
      </c>
      <c r="K2321" s="41" t="inlineStr">
        <is>
          <t>112</t>
        </is>
      </c>
      <c r="L2321" s="41" t="inlineStr">
        <is>
          <t>8</t>
        </is>
      </c>
      <c r="M2321" s="42" t="inlineStr">
        <is>
          <t>개인</t>
        </is>
      </c>
      <c r="N2321" s="42" t="inlineStr">
        <is>
          <t>개인</t>
        </is>
      </c>
      <c r="O2321" s="41" t="inlineStr">
        <is>
          <t>2006</t>
        </is>
      </c>
      <c r="P2321" s="42" t="inlineStr">
        <is>
          <t>서운로 200</t>
        </is>
      </c>
      <c r="Q2321" s="41" t="inlineStr">
        <is>
          <t>-</t>
        </is>
      </c>
      <c r="R2321" s="42" t="inlineStr">
        <is>
          <t>중개거래</t>
        </is>
      </c>
      <c r="S2321" s="42" t="inlineStr">
        <is>
          <t>서울 서초구</t>
        </is>
      </c>
      <c r="T2321" s="41" t="inlineStr">
        <is>
          <t>25.08.29</t>
        </is>
      </c>
      <c r="U2321" s="42" t="inlineStr">
        <is>
          <t>아파트</t>
        </is>
      </c>
    </row>
    <row r="2322" hidden="1" ht="17.25" customHeight="1">
      <c r="A2322" s="41" t="n">
        <v>663</v>
      </c>
      <c r="B2322" s="42" t="inlineStr">
        <is>
          <t>서울특별시 서초구 서초동</t>
        </is>
      </c>
      <c r="C2322" s="41" t="inlineStr">
        <is>
          <t>1487-145</t>
        </is>
      </c>
      <c r="D2322" s="41" t="inlineStr">
        <is>
          <t>1487</t>
        </is>
      </c>
      <c r="E2322" s="41" t="inlineStr">
        <is>
          <t>0145</t>
        </is>
      </c>
      <c r="F2322" s="42" t="inlineStr">
        <is>
          <t>래미안서초3차</t>
        </is>
      </c>
      <c r="G2322" s="41" t="inlineStr">
        <is>
          <t>180.2700</t>
        </is>
      </c>
      <c r="H2322" s="41" t="inlineStr">
        <is>
          <t>202505</t>
        </is>
      </c>
      <c r="I2322" s="41" t="inlineStr">
        <is>
          <t>28</t>
        </is>
      </c>
      <c r="J2322" s="41" t="inlineStr">
        <is>
          <t>205,000</t>
        </is>
      </c>
      <c r="K2322" s="41" t="inlineStr">
        <is>
          <t>101</t>
        </is>
      </c>
      <c r="L2322" s="41" t="inlineStr">
        <is>
          <t>1</t>
        </is>
      </c>
      <c r="M2322" s="42" t="inlineStr">
        <is>
          <t>개인</t>
        </is>
      </c>
      <c r="N2322" s="42" t="inlineStr">
        <is>
          <t>개인</t>
        </is>
      </c>
      <c r="O2322" s="41" t="inlineStr">
        <is>
          <t>2005</t>
        </is>
      </c>
      <c r="P2322" s="42" t="inlineStr">
        <is>
          <t>명달로6길 24</t>
        </is>
      </c>
      <c r="Q2322" s="41" t="inlineStr">
        <is>
          <t>-</t>
        </is>
      </c>
      <c r="R2322" s="42" t="inlineStr">
        <is>
          <t>중개거래</t>
        </is>
      </c>
      <c r="S2322" s="42" t="inlineStr">
        <is>
          <t>서울 서초구</t>
        </is>
      </c>
      <c r="T2322" s="41" t="inlineStr">
        <is>
          <t>25.07.31</t>
        </is>
      </c>
      <c r="U2322" s="42" t="inlineStr">
        <is>
          <t>아파트</t>
        </is>
      </c>
    </row>
    <row r="2323" hidden="1" ht="17.25" customHeight="1">
      <c r="A2323" s="41" t="n">
        <v>664</v>
      </c>
      <c r="B2323" s="42" t="inlineStr">
        <is>
          <t>서울특별시 서초구 서초동</t>
        </is>
      </c>
      <c r="C2323" s="41" t="inlineStr">
        <is>
          <t>1687</t>
        </is>
      </c>
      <c r="D2323" s="41" t="inlineStr">
        <is>
          <t>1687</t>
        </is>
      </c>
      <c r="E2323" s="41" t="inlineStr">
        <is>
          <t>0000</t>
        </is>
      </c>
      <c r="F2323" s="42" t="inlineStr">
        <is>
          <t>유원서초</t>
        </is>
      </c>
      <c r="G2323" s="41" t="inlineStr">
        <is>
          <t>84.8200</t>
        </is>
      </c>
      <c r="H2323" s="41" t="inlineStr">
        <is>
          <t>202505</t>
        </is>
      </c>
      <c r="I2323" s="41" t="inlineStr">
        <is>
          <t>27</t>
        </is>
      </c>
      <c r="J2323" s="41" t="inlineStr">
        <is>
          <t>220,000</t>
        </is>
      </c>
      <c r="K2323" s="41" t="inlineStr">
        <is>
          <t>102</t>
        </is>
      </c>
      <c r="L2323" s="41" t="inlineStr">
        <is>
          <t>11</t>
        </is>
      </c>
      <c r="M2323" s="42" t="inlineStr">
        <is>
          <t>개인</t>
        </is>
      </c>
      <c r="N2323" s="42" t="inlineStr">
        <is>
          <t>개인</t>
        </is>
      </c>
      <c r="O2323" s="41" t="inlineStr">
        <is>
          <t>1993</t>
        </is>
      </c>
      <c r="P2323" s="42" t="inlineStr">
        <is>
          <t>서초중앙로24길 43</t>
        </is>
      </c>
      <c r="Q2323" s="41" t="inlineStr">
        <is>
          <t>-</t>
        </is>
      </c>
      <c r="R2323" s="42" t="inlineStr">
        <is>
          <t>중개거래</t>
        </is>
      </c>
      <c r="S2323" s="42" t="inlineStr">
        <is>
          <t>서울 서초구</t>
        </is>
      </c>
      <c r="T2323" s="41" t="inlineStr">
        <is>
          <t>25.09.10</t>
        </is>
      </c>
      <c r="U2323" s="42" t="inlineStr">
        <is>
          <t>아파트</t>
        </is>
      </c>
    </row>
    <row r="2324" hidden="1" ht="17.25" customHeight="1">
      <c r="A2324" s="41" t="n">
        <v>665</v>
      </c>
      <c r="B2324" s="42" t="inlineStr">
        <is>
          <t>서울특별시 서초구 서초동</t>
        </is>
      </c>
      <c r="C2324" s="41" t="inlineStr">
        <is>
          <t>1456-2</t>
        </is>
      </c>
      <c r="D2324" s="41" t="inlineStr">
        <is>
          <t>1456</t>
        </is>
      </c>
      <c r="E2324" s="41" t="inlineStr">
        <is>
          <t>0002</t>
        </is>
      </c>
      <c r="F2324" s="42" t="inlineStr">
        <is>
          <t>경남아너스빌201동</t>
        </is>
      </c>
      <c r="G2324" s="41" t="inlineStr">
        <is>
          <t>84.9500</t>
        </is>
      </c>
      <c r="H2324" s="41" t="inlineStr">
        <is>
          <t>202505</t>
        </is>
      </c>
      <c r="I2324" s="41" t="inlineStr">
        <is>
          <t>27</t>
        </is>
      </c>
      <c r="J2324" s="41" t="inlineStr">
        <is>
          <t>178,000</t>
        </is>
      </c>
      <c r="K2324" s="41" t="inlineStr">
        <is>
          <t>201동</t>
        </is>
      </c>
      <c r="L2324" s="41" t="inlineStr">
        <is>
          <t>4</t>
        </is>
      </c>
      <c r="M2324" s="42" t="inlineStr">
        <is>
          <t>개인</t>
        </is>
      </c>
      <c r="N2324" s="42" t="inlineStr">
        <is>
          <t>개인</t>
        </is>
      </c>
      <c r="O2324" s="41" t="inlineStr">
        <is>
          <t>2006</t>
        </is>
      </c>
      <c r="P2324" s="42" t="inlineStr">
        <is>
          <t>반포대로10길 42</t>
        </is>
      </c>
      <c r="Q2324" s="41" t="inlineStr">
        <is>
          <t>-</t>
        </is>
      </c>
      <c r="R2324" s="42" t="inlineStr">
        <is>
          <t>중개거래</t>
        </is>
      </c>
      <c r="S2324" s="42" t="inlineStr">
        <is>
          <t>서울 서초구</t>
        </is>
      </c>
      <c r="T2324" s="41" t="inlineStr">
        <is>
          <t>25.09.08</t>
        </is>
      </c>
      <c r="U2324" s="42" t="inlineStr">
        <is>
          <t>아파트</t>
        </is>
      </c>
    </row>
    <row r="2325" hidden="1" ht="17.25" customHeight="1">
      <c r="A2325" s="41" t="n">
        <v>666</v>
      </c>
      <c r="B2325" s="42" t="inlineStr">
        <is>
          <t>서울특별시 서초구 서초동</t>
        </is>
      </c>
      <c r="C2325" s="41" t="inlineStr">
        <is>
          <t>1346</t>
        </is>
      </c>
      <c r="D2325" s="41" t="inlineStr">
        <is>
          <t>1346</t>
        </is>
      </c>
      <c r="E2325" s="41" t="inlineStr">
        <is>
          <t>0000</t>
        </is>
      </c>
      <c r="F2325" s="42" t="inlineStr">
        <is>
          <t>현대아파트</t>
        </is>
      </c>
      <c r="G2325" s="41" t="inlineStr">
        <is>
          <t>84.3400</t>
        </is>
      </c>
      <c r="H2325" s="41" t="inlineStr">
        <is>
          <t>202505</t>
        </is>
      </c>
      <c r="I2325" s="41" t="inlineStr">
        <is>
          <t>26</t>
        </is>
      </c>
      <c r="J2325" s="41" t="inlineStr">
        <is>
          <t>208,000</t>
        </is>
      </c>
      <c r="K2325" s="41" t="inlineStr">
        <is>
          <t>11</t>
        </is>
      </c>
      <c r="L2325" s="41" t="inlineStr">
        <is>
          <t>5</t>
        </is>
      </c>
      <c r="M2325" s="42" t="inlineStr">
        <is>
          <t>개인</t>
        </is>
      </c>
      <c r="N2325" s="42" t="inlineStr">
        <is>
          <t>개인</t>
        </is>
      </c>
      <c r="O2325" s="41" t="inlineStr">
        <is>
          <t>1989</t>
        </is>
      </c>
      <c r="P2325" s="42" t="inlineStr">
        <is>
          <t>효령로72길 14</t>
        </is>
      </c>
      <c r="Q2325" s="41" t="inlineStr">
        <is>
          <t>-</t>
        </is>
      </c>
      <c r="R2325" s="42" t="inlineStr">
        <is>
          <t>중개거래</t>
        </is>
      </c>
      <c r="S2325" s="42" t="inlineStr">
        <is>
          <t>경기 수원시 장안구, 서울 서초구</t>
        </is>
      </c>
      <c r="T2325" s="41" t="inlineStr">
        <is>
          <t>25.09.05</t>
        </is>
      </c>
      <c r="U2325" s="42" t="inlineStr">
        <is>
          <t>아파트</t>
        </is>
      </c>
    </row>
    <row r="2326" hidden="1" ht="17.25" customHeight="1">
      <c r="A2326" s="41" t="n">
        <v>667</v>
      </c>
      <c r="B2326" s="42" t="inlineStr">
        <is>
          <t>서울특별시 서초구 서초동</t>
        </is>
      </c>
      <c r="C2326" s="41" t="inlineStr">
        <is>
          <t>1315</t>
        </is>
      </c>
      <c r="D2326" s="41" t="inlineStr">
        <is>
          <t>1315</t>
        </is>
      </c>
      <c r="E2326" s="41" t="inlineStr">
        <is>
          <t>0000</t>
        </is>
      </c>
      <c r="F2326" s="42" t="inlineStr">
        <is>
          <t>진흥아파트</t>
        </is>
      </c>
      <c r="G2326" s="41" t="inlineStr">
        <is>
          <t>131.0400</t>
        </is>
      </c>
      <c r="H2326" s="41" t="inlineStr">
        <is>
          <t>202505</t>
        </is>
      </c>
      <c r="I2326" s="41" t="inlineStr">
        <is>
          <t>26</t>
        </is>
      </c>
      <c r="J2326" s="41" t="inlineStr">
        <is>
          <t>357,500</t>
        </is>
      </c>
      <c r="K2326" s="41" t="inlineStr">
        <is>
          <t>8</t>
        </is>
      </c>
      <c r="L2326" s="41" t="inlineStr">
        <is>
          <t>9</t>
        </is>
      </c>
      <c r="M2326" s="42" t="inlineStr">
        <is>
          <t>개인</t>
        </is>
      </c>
      <c r="N2326" s="42" t="inlineStr">
        <is>
          <t>개인</t>
        </is>
      </c>
      <c r="O2326" s="41" t="inlineStr">
        <is>
          <t>1979</t>
        </is>
      </c>
      <c r="P2326" s="42" t="inlineStr">
        <is>
          <t>서초대로 385</t>
        </is>
      </c>
      <c r="Q2326" s="41" t="inlineStr">
        <is>
          <t>-</t>
        </is>
      </c>
      <c r="R2326" s="42" t="inlineStr">
        <is>
          <t>중개거래</t>
        </is>
      </c>
      <c r="S2326" s="42" t="inlineStr">
        <is>
          <t>서울 서초구</t>
        </is>
      </c>
      <c r="T2326" s="41" t="inlineStr">
        <is>
          <t>25.07.21</t>
        </is>
      </c>
      <c r="U2326" s="42" t="inlineStr">
        <is>
          <t>아파트</t>
        </is>
      </c>
    </row>
    <row r="2327" hidden="1" ht="17.25" customHeight="1">
      <c r="A2327" s="41" t="n">
        <v>668</v>
      </c>
      <c r="B2327" s="42" t="inlineStr">
        <is>
          <t>서울특별시 서초구 서초동</t>
        </is>
      </c>
      <c r="C2327" s="41" t="inlineStr">
        <is>
          <t>1685-3</t>
        </is>
      </c>
      <c r="D2327" s="41" t="inlineStr">
        <is>
          <t>1685</t>
        </is>
      </c>
      <c r="E2327" s="41" t="inlineStr">
        <is>
          <t>0003</t>
        </is>
      </c>
      <c r="F2327" s="42" t="inlineStr">
        <is>
          <t>아크로비스타</t>
        </is>
      </c>
      <c r="G2327" s="41" t="inlineStr">
        <is>
          <t>174.7800</t>
        </is>
      </c>
      <c r="H2327" s="41" t="inlineStr">
        <is>
          <t>202505</t>
        </is>
      </c>
      <c r="I2327" s="41" t="inlineStr">
        <is>
          <t>24</t>
        </is>
      </c>
      <c r="J2327" s="41" t="inlineStr">
        <is>
          <t>350,000</t>
        </is>
      </c>
      <c r="K2327" s="41" t="inlineStr">
        <is>
          <t>B</t>
        </is>
      </c>
      <c r="L2327" s="41" t="inlineStr">
        <is>
          <t>11</t>
        </is>
      </c>
      <c r="M2327" s="42" t="inlineStr">
        <is>
          <t>개인</t>
        </is>
      </c>
      <c r="N2327" s="42" t="inlineStr">
        <is>
          <t>개인</t>
        </is>
      </c>
      <c r="O2327" s="41" t="inlineStr">
        <is>
          <t>2004</t>
        </is>
      </c>
      <c r="P2327" s="42" t="inlineStr">
        <is>
          <t>서초중앙로 188</t>
        </is>
      </c>
      <c r="Q2327" s="41" t="inlineStr">
        <is>
          <t>-</t>
        </is>
      </c>
      <c r="R2327" s="42" t="inlineStr">
        <is>
          <t>중개거래</t>
        </is>
      </c>
      <c r="S2327" s="42" t="inlineStr">
        <is>
          <t>서울 서초구</t>
        </is>
      </c>
      <c r="T2327" s="41" t="inlineStr">
        <is>
          <t>25.09.30</t>
        </is>
      </c>
      <c r="U2327" s="42" t="inlineStr">
        <is>
          <t>아파트</t>
        </is>
      </c>
    </row>
    <row r="2328" hidden="1" ht="17.25" customHeight="1">
      <c r="A2328" s="41" t="n">
        <v>669</v>
      </c>
      <c r="B2328" s="42" t="inlineStr">
        <is>
          <t>서울특별시 서초구 서초동</t>
        </is>
      </c>
      <c r="C2328" s="41" t="inlineStr">
        <is>
          <t>1509-1</t>
        </is>
      </c>
      <c r="D2328" s="41" t="inlineStr">
        <is>
          <t>1509</t>
        </is>
      </c>
      <c r="E2328" s="41" t="inlineStr">
        <is>
          <t>0001</t>
        </is>
      </c>
      <c r="F2328" s="42" t="inlineStr">
        <is>
          <t>서초한빛삼성</t>
        </is>
      </c>
      <c r="G2328" s="41" t="inlineStr">
        <is>
          <t>59.5200</t>
        </is>
      </c>
      <c r="H2328" s="41" t="inlineStr">
        <is>
          <t>202505</t>
        </is>
      </c>
      <c r="I2328" s="41" t="inlineStr">
        <is>
          <t>23</t>
        </is>
      </c>
      <c r="J2328" s="41" t="inlineStr">
        <is>
          <t>148,000</t>
        </is>
      </c>
      <c r="K2328" s="41" t="inlineStr">
        <is>
          <t>101</t>
        </is>
      </c>
      <c r="L2328" s="41" t="inlineStr">
        <is>
          <t>18</t>
        </is>
      </c>
      <c r="M2328" s="42" t="inlineStr">
        <is>
          <t>개인</t>
        </is>
      </c>
      <c r="N2328" s="42" t="inlineStr">
        <is>
          <t>개인</t>
        </is>
      </c>
      <c r="O2328" s="41" t="inlineStr">
        <is>
          <t>1999</t>
        </is>
      </c>
      <c r="P2328" s="42" t="inlineStr">
        <is>
          <t>서초대로40길 72</t>
        </is>
      </c>
      <c r="Q2328" s="41" t="inlineStr">
        <is>
          <t>-</t>
        </is>
      </c>
      <c r="R2328" s="42" t="inlineStr">
        <is>
          <t>중개거래</t>
        </is>
      </c>
      <c r="S2328" s="42" t="inlineStr">
        <is>
          <t>서울 서초구</t>
        </is>
      </c>
      <c r="T2328" s="41" t="inlineStr">
        <is>
          <t>25.07.31</t>
        </is>
      </c>
      <c r="U2328" s="42" t="inlineStr">
        <is>
          <t>아파트</t>
        </is>
      </c>
    </row>
    <row r="2329" hidden="1" ht="17.25" customHeight="1">
      <c r="A2329" s="41" t="n">
        <v>670</v>
      </c>
      <c r="B2329" s="42" t="inlineStr">
        <is>
          <t>서울특별시 서초구 서초동</t>
        </is>
      </c>
      <c r="C2329" s="41" t="inlineStr">
        <is>
          <t>1685-3</t>
        </is>
      </c>
      <c r="D2329" s="41" t="inlineStr">
        <is>
          <t>1685</t>
        </is>
      </c>
      <c r="E2329" s="41" t="inlineStr">
        <is>
          <t>0003</t>
        </is>
      </c>
      <c r="F2329" s="42" t="inlineStr">
        <is>
          <t>아크로비스타</t>
        </is>
      </c>
      <c r="G2329" s="41" t="inlineStr">
        <is>
          <t>205.0700</t>
        </is>
      </c>
      <c r="H2329" s="41" t="inlineStr">
        <is>
          <t>202505</t>
        </is>
      </c>
      <c r="I2329" s="41" t="inlineStr">
        <is>
          <t>22</t>
        </is>
      </c>
      <c r="J2329" s="41" t="inlineStr">
        <is>
          <t>446,000</t>
        </is>
      </c>
      <c r="K2329" s="41" t="inlineStr">
        <is>
          <t>C</t>
        </is>
      </c>
      <c r="L2329" s="41" t="inlineStr">
        <is>
          <t>10</t>
        </is>
      </c>
      <c r="M2329" s="42" t="inlineStr">
        <is>
          <t>개인</t>
        </is>
      </c>
      <c r="N2329" s="42" t="inlineStr">
        <is>
          <t>개인</t>
        </is>
      </c>
      <c r="O2329" s="41" t="inlineStr">
        <is>
          <t>2004</t>
        </is>
      </c>
      <c r="P2329" s="42" t="inlineStr">
        <is>
          <t>서초중앙로 188</t>
        </is>
      </c>
      <c r="Q2329" s="41" t="inlineStr">
        <is>
          <t>-</t>
        </is>
      </c>
      <c r="R2329" s="42" t="inlineStr">
        <is>
          <t>중개거래</t>
        </is>
      </c>
      <c r="S2329" s="42" t="inlineStr">
        <is>
          <t>서울 서초구</t>
        </is>
      </c>
      <c r="T2329" s="41" t="inlineStr">
        <is>
          <t>25.06.27</t>
        </is>
      </c>
      <c r="U2329" s="42" t="inlineStr">
        <is>
          <t>아파트</t>
        </is>
      </c>
    </row>
    <row r="2330" hidden="1" ht="17.25" customHeight="1">
      <c r="A2330" s="41" t="n">
        <v>671</v>
      </c>
      <c r="B2330" s="42" t="inlineStr">
        <is>
          <t>서울특별시 서초구 서초동</t>
        </is>
      </c>
      <c r="C2330" s="41" t="inlineStr">
        <is>
          <t>1582-3</t>
        </is>
      </c>
      <c r="D2330" s="41" t="inlineStr">
        <is>
          <t>1582</t>
        </is>
      </c>
      <c r="E2330" s="41" t="inlineStr">
        <is>
          <t>0003</t>
        </is>
      </c>
      <c r="F2330" s="42" t="inlineStr">
        <is>
          <t>서초센트럴IPARK</t>
        </is>
      </c>
      <c r="G2330" s="41" t="inlineStr">
        <is>
          <t>80.5098</t>
        </is>
      </c>
      <c r="H2330" s="41" t="inlineStr">
        <is>
          <t>202505</t>
        </is>
      </c>
      <c r="I2330" s="41" t="inlineStr">
        <is>
          <t>21</t>
        </is>
      </c>
      <c r="J2330" s="41" t="inlineStr">
        <is>
          <t>168,000</t>
        </is>
      </c>
      <c r="K2330" s="41" t="inlineStr">
        <is>
          <t>102동</t>
        </is>
      </c>
      <c r="L2330" s="41" t="inlineStr">
        <is>
          <t>12</t>
        </is>
      </c>
      <c r="M2330" s="42" t="inlineStr">
        <is>
          <t>개인</t>
        </is>
      </c>
      <c r="N2330" s="42" t="inlineStr">
        <is>
          <t>개인</t>
        </is>
      </c>
      <c r="O2330" s="41" t="inlineStr">
        <is>
          <t>2020</t>
        </is>
      </c>
      <c r="P2330" s="42" t="inlineStr">
        <is>
          <t>반포대로18길 36</t>
        </is>
      </c>
      <c r="Q2330" s="41" t="inlineStr">
        <is>
          <t>-</t>
        </is>
      </c>
      <c r="R2330" s="42" t="inlineStr">
        <is>
          <t>중개거래</t>
        </is>
      </c>
      <c r="S2330" s="42" t="inlineStr">
        <is>
          <t>서울 서초구</t>
        </is>
      </c>
      <c r="T2330" s="41" t="inlineStr">
        <is>
          <t>25.09.30</t>
        </is>
      </c>
      <c r="U2330" s="42" t="inlineStr">
        <is>
          <t>아파트</t>
        </is>
      </c>
    </row>
    <row r="2331" hidden="1" ht="17.25" customHeight="1">
      <c r="A2331" s="41" t="n">
        <v>672</v>
      </c>
      <c r="B2331" s="42" t="inlineStr">
        <is>
          <t>서울특별시 서초구 서초동</t>
        </is>
      </c>
      <c r="C2331" s="41" t="inlineStr">
        <is>
          <t>1311-10</t>
        </is>
      </c>
      <c r="D2331" s="41" t="inlineStr">
        <is>
          <t>1311</t>
        </is>
      </c>
      <c r="E2331" s="41" t="inlineStr">
        <is>
          <t>0010</t>
        </is>
      </c>
      <c r="F2331" s="42" t="inlineStr">
        <is>
          <t>서초푸르지오써밋</t>
        </is>
      </c>
      <c r="G2331" s="41" t="inlineStr">
        <is>
          <t>84.9300</t>
        </is>
      </c>
      <c r="H2331" s="41" t="inlineStr">
        <is>
          <t>202505</t>
        </is>
      </c>
      <c r="I2331" s="41" t="inlineStr">
        <is>
          <t>20</t>
        </is>
      </c>
      <c r="J2331" s="41" t="inlineStr">
        <is>
          <t>345,000</t>
        </is>
      </c>
      <c r="K2331" s="41" t="inlineStr">
        <is>
          <t>202</t>
        </is>
      </c>
      <c r="L2331" s="41" t="inlineStr">
        <is>
          <t>15</t>
        </is>
      </c>
      <c r="M2331" s="42" t="inlineStr">
        <is>
          <t>개인</t>
        </is>
      </c>
      <c r="N2331" s="42" t="inlineStr">
        <is>
          <t>개인</t>
        </is>
      </c>
      <c r="O2331" s="41" t="inlineStr">
        <is>
          <t>2017</t>
        </is>
      </c>
      <c r="P2331" s="42" t="inlineStr">
        <is>
          <t>서운로 212</t>
        </is>
      </c>
      <c r="Q2331" s="41" t="inlineStr">
        <is>
          <t>-</t>
        </is>
      </c>
      <c r="R2331" s="42" t="inlineStr">
        <is>
          <t>중개거래</t>
        </is>
      </c>
      <c r="S2331" s="42" t="inlineStr">
        <is>
          <t>서울 서초구</t>
        </is>
      </c>
      <c r="T2331" s="41" t="inlineStr">
        <is>
          <t>25.07.04</t>
        </is>
      </c>
      <c r="U2331" s="42" t="inlineStr">
        <is>
          <t>아파트</t>
        </is>
      </c>
    </row>
    <row r="2332" hidden="1" ht="17.25" customHeight="1">
      <c r="A2332" s="41" t="n">
        <v>673</v>
      </c>
      <c r="B2332" s="42" t="inlineStr">
        <is>
          <t>서울특별시 서초구 서초동</t>
        </is>
      </c>
      <c r="C2332" s="41" t="inlineStr">
        <is>
          <t>1641-13</t>
        </is>
      </c>
      <c r="D2332" s="41" t="inlineStr">
        <is>
          <t>1641</t>
        </is>
      </c>
      <c r="E2332" s="41" t="inlineStr">
        <is>
          <t>0013</t>
        </is>
      </c>
      <c r="F2332" s="42" t="inlineStr">
        <is>
          <t>아남</t>
        </is>
      </c>
      <c r="G2332" s="41" t="inlineStr">
        <is>
          <t>71.1000</t>
        </is>
      </c>
      <c r="H2332" s="41" t="inlineStr">
        <is>
          <t>202505</t>
        </is>
      </c>
      <c r="I2332" s="41" t="inlineStr">
        <is>
          <t>20</t>
        </is>
      </c>
      <c r="J2332" s="41" t="inlineStr">
        <is>
          <t>163,200</t>
        </is>
      </c>
      <c r="K2332" s="41" t="inlineStr">
        <is>
          <t>1</t>
        </is>
      </c>
      <c r="L2332" s="41" t="inlineStr">
        <is>
          <t>4</t>
        </is>
      </c>
      <c r="M2332" s="42" t="inlineStr">
        <is>
          <t>개인</t>
        </is>
      </c>
      <c r="N2332" s="42" t="inlineStr">
        <is>
          <t>개인</t>
        </is>
      </c>
      <c r="O2332" s="41" t="inlineStr">
        <is>
          <t>1989</t>
        </is>
      </c>
      <c r="P2332" s="42" t="inlineStr">
        <is>
          <t>사임당로23길 53</t>
        </is>
      </c>
      <c r="Q2332" s="41" t="inlineStr">
        <is>
          <t>-</t>
        </is>
      </c>
      <c r="R2332" s="42" t="inlineStr">
        <is>
          <t>중개거래</t>
        </is>
      </c>
      <c r="S2332" s="42" t="inlineStr">
        <is>
          <t>서울 서초구</t>
        </is>
      </c>
      <c r="T2332" s="41" t="inlineStr">
        <is>
          <t>25.06.26</t>
        </is>
      </c>
      <c r="U2332" s="42" t="inlineStr">
        <is>
          <t>아파트</t>
        </is>
      </c>
    </row>
    <row r="2333" hidden="1" ht="17.25" customHeight="1">
      <c r="A2333" s="41" t="n">
        <v>674</v>
      </c>
      <c r="B2333" s="42" t="inlineStr">
        <is>
          <t>서울특별시 서초구 서초동</t>
        </is>
      </c>
      <c r="C2333" s="41" t="inlineStr">
        <is>
          <t>1344-13</t>
        </is>
      </c>
      <c r="D2333" s="41" t="inlineStr">
        <is>
          <t>1344</t>
        </is>
      </c>
      <c r="E2333" s="41" t="inlineStr">
        <is>
          <t>0013</t>
        </is>
      </c>
      <c r="F2333" s="42" t="inlineStr">
        <is>
          <t>서초트라팰리스</t>
        </is>
      </c>
      <c r="G2333" s="41" t="inlineStr">
        <is>
          <t>116.3000</t>
        </is>
      </c>
      <c r="H2333" s="41" t="inlineStr">
        <is>
          <t>202505</t>
        </is>
      </c>
      <c r="I2333" s="41" t="inlineStr">
        <is>
          <t>20</t>
        </is>
      </c>
      <c r="J2333" s="41" t="inlineStr">
        <is>
          <t>240,000</t>
        </is>
      </c>
      <c r="K2333" s="41" t="inlineStr">
        <is>
          <t>C</t>
        </is>
      </c>
      <c r="L2333" s="41" t="inlineStr">
        <is>
          <t>7</t>
        </is>
      </c>
      <c r="M2333" s="42" t="inlineStr">
        <is>
          <t>개인</t>
        </is>
      </c>
      <c r="N2333" s="42" t="inlineStr">
        <is>
          <t>개인</t>
        </is>
      </c>
      <c r="O2333" s="41" t="inlineStr">
        <is>
          <t>2005</t>
        </is>
      </c>
      <c r="P2333" s="42" t="inlineStr">
        <is>
          <t>효령로72길 57</t>
        </is>
      </c>
      <c r="Q2333" s="41" t="inlineStr">
        <is>
          <t>-</t>
        </is>
      </c>
      <c r="R2333" s="42" t="inlineStr">
        <is>
          <t>중개거래</t>
        </is>
      </c>
      <c r="S2333" s="42" t="inlineStr">
        <is>
          <t>서울 서초구</t>
        </is>
      </c>
      <c r="T2333" s="41" t="inlineStr">
        <is>
          <t>25.08.08</t>
        </is>
      </c>
      <c r="U2333" s="42" t="inlineStr">
        <is>
          <t>아파트</t>
        </is>
      </c>
    </row>
    <row r="2334" hidden="1" ht="17.25" customHeight="1">
      <c r="A2334" s="41" t="n">
        <v>675</v>
      </c>
      <c r="B2334" s="42" t="inlineStr">
        <is>
          <t>서울특별시 서초구 서초동</t>
        </is>
      </c>
      <c r="C2334" s="41" t="inlineStr">
        <is>
          <t>1420-18</t>
        </is>
      </c>
      <c r="D2334" s="41" t="inlineStr">
        <is>
          <t>1420</t>
        </is>
      </c>
      <c r="E2334" s="41" t="inlineStr">
        <is>
          <t>0018</t>
        </is>
      </c>
      <c r="F2334" s="42" t="inlineStr">
        <is>
          <t>신원아침도시(1420)</t>
        </is>
      </c>
      <c r="G2334" s="41" t="inlineStr">
        <is>
          <t>84.3400</t>
        </is>
      </c>
      <c r="H2334" s="41" t="inlineStr">
        <is>
          <t>202505</t>
        </is>
      </c>
      <c r="I2334" s="41" t="inlineStr">
        <is>
          <t>20</t>
        </is>
      </c>
      <c r="J2334" s="41" t="inlineStr">
        <is>
          <t>164,000</t>
        </is>
      </c>
      <c r="K2334" s="41" t="inlineStr">
        <is>
          <t>101</t>
        </is>
      </c>
      <c r="L2334" s="41" t="inlineStr">
        <is>
          <t>11</t>
        </is>
      </c>
      <c r="M2334" s="42" t="inlineStr">
        <is>
          <t>개인</t>
        </is>
      </c>
      <c r="N2334" s="42" t="inlineStr">
        <is>
          <t>개인</t>
        </is>
      </c>
      <c r="O2334" s="41" t="inlineStr">
        <is>
          <t>2005</t>
        </is>
      </c>
      <c r="P2334" s="42" t="inlineStr">
        <is>
          <t>남부순환로337가길 52</t>
        </is>
      </c>
      <c r="Q2334" s="41" t="inlineStr">
        <is>
          <t>-</t>
        </is>
      </c>
      <c r="R2334" s="42" t="inlineStr">
        <is>
          <t>중개거래</t>
        </is>
      </c>
      <c r="S2334" s="42" t="inlineStr">
        <is>
          <t>서울 강남구, 서울 서초구</t>
        </is>
      </c>
      <c r="T2334" s="41" t="inlineStr">
        <is>
          <t>25.07.21</t>
        </is>
      </c>
      <c r="U2334" s="42" t="inlineStr">
        <is>
          <t>아파트</t>
        </is>
      </c>
    </row>
    <row r="2335" hidden="1" ht="17.25" customHeight="1">
      <c r="A2335" s="41" t="n">
        <v>676</v>
      </c>
      <c r="B2335" s="42" t="inlineStr">
        <is>
          <t>서울특별시 서초구 서초동</t>
        </is>
      </c>
      <c r="C2335" s="41" t="inlineStr">
        <is>
          <t>1542-6</t>
        </is>
      </c>
      <c r="D2335" s="41" t="inlineStr">
        <is>
          <t>1542</t>
        </is>
      </c>
      <c r="E2335" s="41" t="inlineStr">
        <is>
          <t>0006</t>
        </is>
      </c>
      <c r="F2335" s="42" t="inlineStr">
        <is>
          <t>현대ESA2</t>
        </is>
      </c>
      <c r="G2335" s="41" t="inlineStr">
        <is>
          <t>136.2500</t>
        </is>
      </c>
      <c r="H2335" s="41" t="inlineStr">
        <is>
          <t>202505</t>
        </is>
      </c>
      <c r="I2335" s="41" t="inlineStr">
        <is>
          <t>19</t>
        </is>
      </c>
      <c r="J2335" s="41" t="inlineStr">
        <is>
          <t>195,000</t>
        </is>
      </c>
      <c r="K2335" s="41" t="inlineStr">
        <is>
          <t>A</t>
        </is>
      </c>
      <c r="L2335" s="41" t="inlineStr">
        <is>
          <t>12</t>
        </is>
      </c>
      <c r="M2335" s="42" t="inlineStr">
        <is>
          <t>법인</t>
        </is>
      </c>
      <c r="N2335" s="42" t="inlineStr">
        <is>
          <t>개인</t>
        </is>
      </c>
      <c r="O2335" s="41" t="inlineStr">
        <is>
          <t>2003</t>
        </is>
      </c>
      <c r="P2335" s="42" t="inlineStr">
        <is>
          <t>반포대로 122</t>
        </is>
      </c>
      <c r="Q2335" s="41" t="inlineStr">
        <is>
          <t>-</t>
        </is>
      </c>
      <c r="R2335" s="42" t="inlineStr">
        <is>
          <t>직거래</t>
        </is>
      </c>
      <c r="S2335" s="41" t="inlineStr">
        <is>
          <t>-</t>
        </is>
      </c>
      <c r="T2335" s="41" t="inlineStr">
        <is>
          <t>25.06.12</t>
        </is>
      </c>
      <c r="U2335" s="42" t="inlineStr">
        <is>
          <t>아파트</t>
        </is>
      </c>
    </row>
    <row r="2336" hidden="1" ht="17.25" customHeight="1">
      <c r="A2336" s="41" t="n">
        <v>677</v>
      </c>
      <c r="B2336" s="42" t="inlineStr">
        <is>
          <t>서울특별시 서초구 서초동</t>
        </is>
      </c>
      <c r="C2336" s="41" t="inlineStr">
        <is>
          <t>1454-29</t>
        </is>
      </c>
      <c r="D2336" s="41" t="inlineStr">
        <is>
          <t>1454</t>
        </is>
      </c>
      <c r="E2336" s="41" t="inlineStr">
        <is>
          <t>0029</t>
        </is>
      </c>
      <c r="F2336" s="42" t="inlineStr">
        <is>
          <t>서초한신</t>
        </is>
      </c>
      <c r="G2336" s="41" t="inlineStr">
        <is>
          <t>115.3000</t>
        </is>
      </c>
      <c r="H2336" s="41" t="inlineStr">
        <is>
          <t>202505</t>
        </is>
      </c>
      <c r="I2336" s="41" t="inlineStr">
        <is>
          <t>19</t>
        </is>
      </c>
      <c r="J2336" s="41" t="inlineStr">
        <is>
          <t>193,000</t>
        </is>
      </c>
      <c r="K2336" s="41" t="inlineStr">
        <is>
          <t>102</t>
        </is>
      </c>
      <c r="L2336" s="41" t="inlineStr">
        <is>
          <t>1</t>
        </is>
      </c>
      <c r="M2336" s="42" t="inlineStr">
        <is>
          <t>개인</t>
        </is>
      </c>
      <c r="N2336" s="42" t="inlineStr">
        <is>
          <t>개인</t>
        </is>
      </c>
      <c r="O2336" s="41" t="inlineStr">
        <is>
          <t>2001</t>
        </is>
      </c>
      <c r="P2336" s="42" t="inlineStr">
        <is>
          <t>남부순환로323길 38-16</t>
        </is>
      </c>
      <c r="Q2336" s="41" t="inlineStr">
        <is>
          <t>-</t>
        </is>
      </c>
      <c r="R2336" s="42" t="inlineStr">
        <is>
          <t>중개거래</t>
        </is>
      </c>
      <c r="S2336" s="42" t="inlineStr">
        <is>
          <t>서울 서초구</t>
        </is>
      </c>
      <c r="T2336" s="41" t="inlineStr">
        <is>
          <t>25.05.30</t>
        </is>
      </c>
      <c r="U2336" s="42" t="inlineStr">
        <is>
          <t>아파트</t>
        </is>
      </c>
    </row>
    <row r="2337" ht="17.25" customHeight="1">
      <c r="A2337" s="41" t="n">
        <v>678</v>
      </c>
      <c r="B2337" s="42" t="inlineStr">
        <is>
          <t>서울특별시 서초구 서초동</t>
        </is>
      </c>
      <c r="C2337" s="41" t="inlineStr">
        <is>
          <t>1454-29</t>
        </is>
      </c>
      <c r="D2337" s="41" t="inlineStr">
        <is>
          <t>1454</t>
        </is>
      </c>
      <c r="E2337" s="41" t="inlineStr">
        <is>
          <t>0029</t>
        </is>
      </c>
      <c r="F2337" s="42" t="inlineStr">
        <is>
          <t>서초한신</t>
        </is>
      </c>
      <c r="G2337" s="41" t="inlineStr">
        <is>
          <t>84.9900</t>
        </is>
      </c>
      <c r="H2337" s="41" t="inlineStr">
        <is>
          <t>202505</t>
        </is>
      </c>
      <c r="I2337" s="41" t="inlineStr">
        <is>
          <t>19</t>
        </is>
      </c>
      <c r="J2337" s="41" t="inlineStr">
        <is>
          <t>173,000</t>
        </is>
      </c>
      <c r="K2337" s="41" t="inlineStr">
        <is>
          <t>101</t>
        </is>
      </c>
      <c r="L2337" s="41" t="inlineStr">
        <is>
          <t>1</t>
        </is>
      </c>
      <c r="M2337" s="42" t="inlineStr">
        <is>
          <t>개인</t>
        </is>
      </c>
      <c r="N2337" s="42" t="inlineStr">
        <is>
          <t>개인</t>
        </is>
      </c>
      <c r="O2337" s="41" t="inlineStr">
        <is>
          <t>2001</t>
        </is>
      </c>
      <c r="P2337" s="42" t="inlineStr">
        <is>
          <t>남부순환로323길 38-15</t>
        </is>
      </c>
      <c r="Q2337" s="41" t="inlineStr">
        <is>
          <t>-</t>
        </is>
      </c>
      <c r="R2337" s="42" t="inlineStr">
        <is>
          <t>중개거래</t>
        </is>
      </c>
      <c r="S2337" s="42" t="inlineStr">
        <is>
          <t>서울 서초구</t>
        </is>
      </c>
      <c r="T2337" s="41" t="inlineStr">
        <is>
          <t>25.05.30</t>
        </is>
      </c>
      <c r="U2337" s="42" t="inlineStr">
        <is>
          <t>아파트</t>
        </is>
      </c>
    </row>
    <row r="2338" hidden="1" ht="17.25" customHeight="1">
      <c r="A2338" s="41" t="n">
        <v>679</v>
      </c>
      <c r="B2338" s="42" t="inlineStr">
        <is>
          <t>서울특별시 서초구 서초동</t>
        </is>
      </c>
      <c r="C2338" s="41" t="inlineStr">
        <is>
          <t>1685</t>
        </is>
      </c>
      <c r="D2338" s="41" t="inlineStr">
        <is>
          <t>1685</t>
        </is>
      </c>
      <c r="E2338" s="41" t="inlineStr">
        <is>
          <t>0000</t>
        </is>
      </c>
      <c r="F2338" s="42" t="inlineStr">
        <is>
          <t>삼풍아파트</t>
        </is>
      </c>
      <c r="G2338" s="41" t="inlineStr">
        <is>
          <t>79.4700</t>
        </is>
      </c>
      <c r="H2338" s="41" t="inlineStr">
        <is>
          <t>202505</t>
        </is>
      </c>
      <c r="I2338" s="41" t="inlineStr">
        <is>
          <t>17</t>
        </is>
      </c>
      <c r="J2338" s="41" t="inlineStr">
        <is>
          <t>320,000</t>
        </is>
      </c>
      <c r="K2338" s="41" t="inlineStr">
        <is>
          <t>2</t>
        </is>
      </c>
      <c r="L2338" s="41" t="inlineStr">
        <is>
          <t>6</t>
        </is>
      </c>
      <c r="M2338" s="42" t="inlineStr">
        <is>
          <t>개인</t>
        </is>
      </c>
      <c r="N2338" s="42" t="inlineStr">
        <is>
          <t>개인</t>
        </is>
      </c>
      <c r="O2338" s="41" t="inlineStr">
        <is>
          <t>1988</t>
        </is>
      </c>
      <c r="P2338" s="42" t="inlineStr">
        <is>
          <t>서초중앙로 200</t>
        </is>
      </c>
      <c r="Q2338" s="41" t="inlineStr">
        <is>
          <t>-</t>
        </is>
      </c>
      <c r="R2338" s="42" t="inlineStr">
        <is>
          <t>중개거래</t>
        </is>
      </c>
      <c r="S2338" s="42" t="inlineStr">
        <is>
          <t>서울 서초구</t>
        </is>
      </c>
      <c r="T2338" s="41" t="inlineStr">
        <is>
          <t>25.06.30</t>
        </is>
      </c>
      <c r="U2338" s="42" t="inlineStr">
        <is>
          <t>아파트</t>
        </is>
      </c>
    </row>
    <row r="2339" hidden="1" ht="17.25" customHeight="1">
      <c r="A2339" s="41" t="n">
        <v>680</v>
      </c>
      <c r="B2339" s="42" t="inlineStr">
        <is>
          <t>서울특별시 서초구 서초동</t>
        </is>
      </c>
      <c r="C2339" s="41" t="inlineStr">
        <is>
          <t>1582-3</t>
        </is>
      </c>
      <c r="D2339" s="41" t="inlineStr">
        <is>
          <t>1582</t>
        </is>
      </c>
      <c r="E2339" s="41" t="inlineStr">
        <is>
          <t>0003</t>
        </is>
      </c>
      <c r="F2339" s="42" t="inlineStr">
        <is>
          <t>서초센트럴IPARK</t>
        </is>
      </c>
      <c r="G2339" s="41" t="inlineStr">
        <is>
          <t>80.5098</t>
        </is>
      </c>
      <c r="H2339" s="41" t="inlineStr">
        <is>
          <t>202505</t>
        </is>
      </c>
      <c r="I2339" s="41" t="inlineStr">
        <is>
          <t>17</t>
        </is>
      </c>
      <c r="J2339" s="41" t="inlineStr">
        <is>
          <t>173,000</t>
        </is>
      </c>
      <c r="K2339" s="41" t="inlineStr">
        <is>
          <t>102동</t>
        </is>
      </c>
      <c r="L2339" s="41" t="inlineStr">
        <is>
          <t>11</t>
        </is>
      </c>
      <c r="M2339" s="42" t="inlineStr">
        <is>
          <t>개인</t>
        </is>
      </c>
      <c r="N2339" s="42" t="inlineStr">
        <is>
          <t>개인</t>
        </is>
      </c>
      <c r="O2339" s="41" t="inlineStr">
        <is>
          <t>2020</t>
        </is>
      </c>
      <c r="P2339" s="42" t="inlineStr">
        <is>
          <t>반포대로18길 36</t>
        </is>
      </c>
      <c r="Q2339" s="41" t="inlineStr">
        <is>
          <t>-</t>
        </is>
      </c>
      <c r="R2339" s="42" t="inlineStr">
        <is>
          <t>중개거래</t>
        </is>
      </c>
      <c r="S2339" s="42" t="inlineStr">
        <is>
          <t>서울 서초구</t>
        </is>
      </c>
      <c r="T2339" s="41" t="inlineStr">
        <is>
          <t>25.08.18</t>
        </is>
      </c>
      <c r="U2339" s="42" t="inlineStr">
        <is>
          <t>아파트</t>
        </is>
      </c>
    </row>
    <row r="2340" hidden="1" ht="17.25" customHeight="1">
      <c r="A2340" s="41" t="n">
        <v>681</v>
      </c>
      <c r="B2340" s="42" t="inlineStr">
        <is>
          <t>서울특별시 서초구 서초동</t>
        </is>
      </c>
      <c r="C2340" s="41" t="inlineStr">
        <is>
          <t>1332-13</t>
        </is>
      </c>
      <c r="D2340" s="41" t="inlineStr">
        <is>
          <t>1332</t>
        </is>
      </c>
      <c r="E2340" s="41" t="inlineStr">
        <is>
          <t>0013</t>
        </is>
      </c>
      <c r="F2340" s="42" t="inlineStr">
        <is>
          <t>래미안서초에스티지</t>
        </is>
      </c>
      <c r="G2340" s="41" t="inlineStr">
        <is>
          <t>59.9900</t>
        </is>
      </c>
      <c r="H2340" s="41" t="inlineStr">
        <is>
          <t>202505</t>
        </is>
      </c>
      <c r="I2340" s="41" t="inlineStr">
        <is>
          <t>16</t>
        </is>
      </c>
      <c r="J2340" s="41" t="inlineStr">
        <is>
          <t>270,000</t>
        </is>
      </c>
      <c r="K2340" s="41" t="inlineStr">
        <is>
          <t>-</t>
        </is>
      </c>
      <c r="L2340" s="41" t="inlineStr">
        <is>
          <t>22</t>
        </is>
      </c>
      <c r="M2340" s="42" t="inlineStr">
        <is>
          <t>개인</t>
        </is>
      </c>
      <c r="N2340" s="42" t="inlineStr">
        <is>
          <t>개인</t>
        </is>
      </c>
      <c r="O2340" s="41" t="inlineStr">
        <is>
          <t>2016</t>
        </is>
      </c>
      <c r="P2340" s="42" t="inlineStr">
        <is>
          <t>서운로 107</t>
        </is>
      </c>
      <c r="Q2340" s="41" t="inlineStr">
        <is>
          <t>20250521</t>
        </is>
      </c>
      <c r="R2340" s="42" t="inlineStr">
        <is>
          <t>중개거래</t>
        </is>
      </c>
      <c r="S2340" s="42" t="inlineStr">
        <is>
          <t>서울 서초구</t>
        </is>
      </c>
      <c r="T2340" s="41" t="inlineStr">
        <is>
          <t>-</t>
        </is>
      </c>
      <c r="U2340" s="42" t="inlineStr">
        <is>
          <t>아파트</t>
        </is>
      </c>
    </row>
    <row r="2341" hidden="1" ht="17.25" customHeight="1">
      <c r="A2341" s="41" t="n">
        <v>682</v>
      </c>
      <c r="B2341" s="42" t="inlineStr">
        <is>
          <t>서울특별시 서초구 서초동</t>
        </is>
      </c>
      <c r="C2341" s="41" t="inlineStr">
        <is>
          <t>1684</t>
        </is>
      </c>
      <c r="D2341" s="41" t="inlineStr">
        <is>
          <t>1684</t>
        </is>
      </c>
      <c r="E2341" s="41" t="inlineStr">
        <is>
          <t>0000</t>
        </is>
      </c>
      <c r="F2341" s="42" t="inlineStr">
        <is>
          <t>서초4현대</t>
        </is>
      </c>
      <c r="G2341" s="41" t="inlineStr">
        <is>
          <t>84.9900</t>
        </is>
      </c>
      <c r="H2341" s="41" t="inlineStr">
        <is>
          <t>202505</t>
        </is>
      </c>
      <c r="I2341" s="41" t="inlineStr">
        <is>
          <t>15</t>
        </is>
      </c>
      <c r="J2341" s="41" t="inlineStr">
        <is>
          <t>217,000</t>
        </is>
      </c>
      <c r="K2341" s="41" t="inlineStr">
        <is>
          <t>301</t>
        </is>
      </c>
      <c r="L2341" s="41" t="inlineStr">
        <is>
          <t>3</t>
        </is>
      </c>
      <c r="M2341" s="42" t="inlineStr">
        <is>
          <t>개인</t>
        </is>
      </c>
      <c r="N2341" s="42" t="inlineStr">
        <is>
          <t>개인</t>
        </is>
      </c>
      <c r="O2341" s="41" t="inlineStr">
        <is>
          <t>2000</t>
        </is>
      </c>
      <c r="P2341" s="42" t="inlineStr">
        <is>
          <t>고무래로 94</t>
        </is>
      </c>
      <c r="Q2341" s="41" t="inlineStr">
        <is>
          <t>-</t>
        </is>
      </c>
      <c r="R2341" s="42" t="inlineStr">
        <is>
          <t>중개거래</t>
        </is>
      </c>
      <c r="S2341" s="42" t="inlineStr">
        <is>
          <t>서울 서초구</t>
        </is>
      </c>
      <c r="T2341" s="41" t="inlineStr">
        <is>
          <t>25.09.04</t>
        </is>
      </c>
      <c r="U2341" s="42" t="inlineStr">
        <is>
          <t>아파트</t>
        </is>
      </c>
    </row>
    <row r="2342" hidden="1" ht="17.25" customHeight="1">
      <c r="A2342" s="41" t="n">
        <v>683</v>
      </c>
      <c r="B2342" s="42" t="inlineStr">
        <is>
          <t>서울특별시 서초구 서초동</t>
        </is>
      </c>
      <c r="C2342" s="41" t="inlineStr">
        <is>
          <t>1593-7</t>
        </is>
      </c>
      <c r="D2342" s="41" t="inlineStr">
        <is>
          <t>1593</t>
        </is>
      </c>
      <c r="E2342" s="41" t="inlineStr">
        <is>
          <t>0007</t>
        </is>
      </c>
      <c r="F2342" s="42" t="inlineStr">
        <is>
          <t>서초이오빌</t>
        </is>
      </c>
      <c r="G2342" s="41" t="inlineStr">
        <is>
          <t>45.9600</t>
        </is>
      </c>
      <c r="H2342" s="41" t="inlineStr">
        <is>
          <t>202505</t>
        </is>
      </c>
      <c r="I2342" s="41" t="inlineStr">
        <is>
          <t>15</t>
        </is>
      </c>
      <c r="J2342" s="41" t="inlineStr">
        <is>
          <t>42,000</t>
        </is>
      </c>
      <c r="K2342" s="41" t="inlineStr">
        <is>
          <t>-</t>
        </is>
      </c>
      <c r="L2342" s="41" t="inlineStr">
        <is>
          <t>18</t>
        </is>
      </c>
      <c r="M2342" s="42" t="inlineStr">
        <is>
          <t>개인</t>
        </is>
      </c>
      <c r="N2342" s="42" t="inlineStr">
        <is>
          <t>개인</t>
        </is>
      </c>
      <c r="O2342" s="41" t="inlineStr">
        <is>
          <t>2003</t>
        </is>
      </c>
      <c r="P2342" s="42" t="inlineStr">
        <is>
          <t>효령로53길 45</t>
        </is>
      </c>
      <c r="Q2342" s="41" t="inlineStr">
        <is>
          <t>-</t>
        </is>
      </c>
      <c r="R2342" s="42" t="inlineStr">
        <is>
          <t>중개거래</t>
        </is>
      </c>
      <c r="S2342" s="42" t="inlineStr">
        <is>
          <t>서울 서초구</t>
        </is>
      </c>
      <c r="T2342" s="41" t="inlineStr">
        <is>
          <t>25.08.28</t>
        </is>
      </c>
      <c r="U2342" s="42" t="inlineStr">
        <is>
          <t>아파트</t>
        </is>
      </c>
    </row>
    <row r="2343" hidden="1" ht="17.25" customHeight="1">
      <c r="A2343" s="41" t="n">
        <v>684</v>
      </c>
      <c r="B2343" s="42" t="inlineStr">
        <is>
          <t>서울특별시 서초구 서초동</t>
        </is>
      </c>
      <c r="C2343" s="41" t="inlineStr">
        <is>
          <t>1326-17</t>
        </is>
      </c>
      <c r="D2343" s="41" t="inlineStr">
        <is>
          <t>1326</t>
        </is>
      </c>
      <c r="E2343" s="41" t="inlineStr">
        <is>
          <t>0017</t>
        </is>
      </c>
      <c r="F2343" s="42" t="inlineStr">
        <is>
          <t>우성아파트</t>
        </is>
      </c>
      <c r="G2343" s="41" t="inlineStr">
        <is>
          <t>59.9300</t>
        </is>
      </c>
      <c r="H2343" s="41" t="inlineStr">
        <is>
          <t>202505</t>
        </is>
      </c>
      <c r="I2343" s="41" t="inlineStr">
        <is>
          <t>15</t>
        </is>
      </c>
      <c r="J2343" s="41" t="inlineStr">
        <is>
          <t>195,000</t>
        </is>
      </c>
      <c r="K2343" s="41" t="inlineStr">
        <is>
          <t>501</t>
        </is>
      </c>
      <c r="L2343" s="41" t="inlineStr">
        <is>
          <t>8</t>
        </is>
      </c>
      <c r="M2343" s="42" t="inlineStr">
        <is>
          <t>개인</t>
        </is>
      </c>
      <c r="N2343" s="42" t="inlineStr">
        <is>
          <t>개인</t>
        </is>
      </c>
      <c r="O2343" s="41" t="inlineStr">
        <is>
          <t>1998</t>
        </is>
      </c>
      <c r="P2343" s="42" t="inlineStr">
        <is>
          <t>서초대로74길 30</t>
        </is>
      </c>
      <c r="Q2343" s="41" t="inlineStr">
        <is>
          <t>-</t>
        </is>
      </c>
      <c r="R2343" s="42" t="inlineStr">
        <is>
          <t>중개거래</t>
        </is>
      </c>
      <c r="S2343" s="42" t="inlineStr">
        <is>
          <t>서울 서초구</t>
        </is>
      </c>
      <c r="T2343" s="41" t="inlineStr">
        <is>
          <t>25.07.21</t>
        </is>
      </c>
      <c r="U2343" s="42" t="inlineStr">
        <is>
          <t>아파트</t>
        </is>
      </c>
    </row>
    <row r="2344" hidden="1" ht="17.25" customHeight="1">
      <c r="A2344" s="41" t="n">
        <v>685</v>
      </c>
      <c r="B2344" s="42" t="inlineStr">
        <is>
          <t>서울특별시 서초구 서초동</t>
        </is>
      </c>
      <c r="C2344" s="41" t="inlineStr">
        <is>
          <t>1684</t>
        </is>
      </c>
      <c r="D2344" s="41" t="inlineStr">
        <is>
          <t>1684</t>
        </is>
      </c>
      <c r="E2344" s="41" t="inlineStr">
        <is>
          <t>0000</t>
        </is>
      </c>
      <c r="F2344" s="42" t="inlineStr">
        <is>
          <t>서초4현대</t>
        </is>
      </c>
      <c r="G2344" s="41" t="inlineStr">
        <is>
          <t>84.9900</t>
        </is>
      </c>
      <c r="H2344" s="41" t="inlineStr">
        <is>
          <t>202505</t>
        </is>
      </c>
      <c r="I2344" s="41" t="inlineStr">
        <is>
          <t>15</t>
        </is>
      </c>
      <c r="J2344" s="41" t="inlineStr">
        <is>
          <t>217,000</t>
        </is>
      </c>
      <c r="K2344" s="41" t="inlineStr">
        <is>
          <t>-</t>
        </is>
      </c>
      <c r="L2344" s="41" t="inlineStr">
        <is>
          <t>3</t>
        </is>
      </c>
      <c r="M2344" s="42" t="inlineStr">
        <is>
          <t>개인</t>
        </is>
      </c>
      <c r="N2344" s="42" t="inlineStr">
        <is>
          <t>개인</t>
        </is>
      </c>
      <c r="O2344" s="41" t="inlineStr">
        <is>
          <t>2000</t>
        </is>
      </c>
      <c r="P2344" s="42" t="inlineStr">
        <is>
          <t>고무래로 94</t>
        </is>
      </c>
      <c r="Q2344" s="41" t="inlineStr">
        <is>
          <t>20250808</t>
        </is>
      </c>
      <c r="R2344" s="42" t="inlineStr">
        <is>
          <t>중개거래</t>
        </is>
      </c>
      <c r="S2344" s="42" t="inlineStr">
        <is>
          <t>서울 서초구</t>
        </is>
      </c>
      <c r="T2344" s="41" t="inlineStr">
        <is>
          <t>-</t>
        </is>
      </c>
      <c r="U2344" s="42" t="inlineStr">
        <is>
          <t>아파트</t>
        </is>
      </c>
    </row>
    <row r="2345" hidden="1" ht="17.25" customHeight="1">
      <c r="A2345" s="41" t="n">
        <v>686</v>
      </c>
      <c r="B2345" s="42" t="inlineStr">
        <is>
          <t>서울특별시 서초구 서초동</t>
        </is>
      </c>
      <c r="C2345" s="41" t="inlineStr">
        <is>
          <t>1755</t>
        </is>
      </c>
      <c r="D2345" s="41" t="inlineStr">
        <is>
          <t>1755</t>
        </is>
      </c>
      <c r="E2345" s="41" t="inlineStr">
        <is>
          <t>0000</t>
        </is>
      </c>
      <c r="F2345" s="42" t="inlineStr">
        <is>
          <t>래미안 리더스원</t>
        </is>
      </c>
      <c r="G2345" s="41" t="inlineStr">
        <is>
          <t>84.9400</t>
        </is>
      </c>
      <c r="H2345" s="41" t="inlineStr">
        <is>
          <t>202505</t>
        </is>
      </c>
      <c r="I2345" s="41" t="inlineStr">
        <is>
          <t>14</t>
        </is>
      </c>
      <c r="J2345" s="41" t="inlineStr">
        <is>
          <t>370,000</t>
        </is>
      </c>
      <c r="K2345" s="41" t="inlineStr">
        <is>
          <t>104동</t>
        </is>
      </c>
      <c r="L2345" s="41" t="inlineStr">
        <is>
          <t>12</t>
        </is>
      </c>
      <c r="M2345" s="42" t="inlineStr">
        <is>
          <t>개인</t>
        </is>
      </c>
      <c r="N2345" s="42" t="inlineStr">
        <is>
          <t>개인</t>
        </is>
      </c>
      <c r="O2345" s="41" t="inlineStr">
        <is>
          <t>2020</t>
        </is>
      </c>
      <c r="P2345" s="42" t="inlineStr">
        <is>
          <t>서운로 62</t>
        </is>
      </c>
      <c r="Q2345" s="41" t="inlineStr">
        <is>
          <t>-</t>
        </is>
      </c>
      <c r="R2345" s="42" t="inlineStr">
        <is>
          <t>중개거래</t>
        </is>
      </c>
      <c r="S2345" s="42" t="inlineStr">
        <is>
          <t>서울 서초구, 서울 송파구</t>
        </is>
      </c>
      <c r="T2345" s="41" t="inlineStr">
        <is>
          <t>25.07.30</t>
        </is>
      </c>
      <c r="U2345" s="42" t="inlineStr">
        <is>
          <t>아파트</t>
        </is>
      </c>
    </row>
    <row r="2346" hidden="1" ht="17.25" customHeight="1">
      <c r="A2346" s="41" t="n">
        <v>687</v>
      </c>
      <c r="B2346" s="42" t="inlineStr">
        <is>
          <t>서울특별시 서초구 서초동</t>
        </is>
      </c>
      <c r="C2346" s="41" t="inlineStr">
        <is>
          <t>1467-3</t>
        </is>
      </c>
      <c r="D2346" s="41" t="inlineStr">
        <is>
          <t>1467</t>
        </is>
      </c>
      <c r="E2346" s="41" t="inlineStr">
        <is>
          <t>0003</t>
        </is>
      </c>
      <c r="F2346" s="42" t="inlineStr">
        <is>
          <t>서초대우</t>
        </is>
      </c>
      <c r="G2346" s="41" t="inlineStr">
        <is>
          <t>186.0500</t>
        </is>
      </c>
      <c r="H2346" s="41" t="inlineStr">
        <is>
          <t>202505</t>
        </is>
      </c>
      <c r="I2346" s="41" t="inlineStr">
        <is>
          <t>13</t>
        </is>
      </c>
      <c r="J2346" s="41" t="inlineStr">
        <is>
          <t>182,000</t>
        </is>
      </c>
      <c r="K2346" s="41" t="inlineStr">
        <is>
          <t>-</t>
        </is>
      </c>
      <c r="L2346" s="41" t="inlineStr">
        <is>
          <t>3</t>
        </is>
      </c>
      <c r="M2346" s="42" t="inlineStr">
        <is>
          <t>개인</t>
        </is>
      </c>
      <c r="N2346" s="42" t="inlineStr">
        <is>
          <t>개인</t>
        </is>
      </c>
      <c r="O2346" s="41" t="inlineStr">
        <is>
          <t>2000</t>
        </is>
      </c>
      <c r="P2346" s="42" t="inlineStr">
        <is>
          <t>명달로 20</t>
        </is>
      </c>
      <c r="Q2346" s="41" t="inlineStr">
        <is>
          <t>-</t>
        </is>
      </c>
      <c r="R2346" s="42" t="inlineStr">
        <is>
          <t>중개거래</t>
        </is>
      </c>
      <c r="S2346" s="42" t="inlineStr">
        <is>
          <t>서울 서초구</t>
        </is>
      </c>
      <c r="T2346" s="41" t="inlineStr">
        <is>
          <t>25.07.24</t>
        </is>
      </c>
      <c r="U2346" s="42" t="inlineStr">
        <is>
          <t>아파트</t>
        </is>
      </c>
    </row>
    <row r="2347" hidden="1" ht="17.25" customHeight="1">
      <c r="A2347" s="41" t="n">
        <v>688</v>
      </c>
      <c r="B2347" s="42" t="inlineStr">
        <is>
          <t>서울특별시 서초구 서초동</t>
        </is>
      </c>
      <c r="C2347" s="41" t="inlineStr">
        <is>
          <t>1445-4</t>
        </is>
      </c>
      <c r="D2347" s="41" t="inlineStr">
        <is>
          <t>1445</t>
        </is>
      </c>
      <c r="E2347" s="41" t="inlineStr">
        <is>
          <t>0004</t>
        </is>
      </c>
      <c r="F2347" s="42" t="inlineStr">
        <is>
          <t>래미안서초유니빌</t>
        </is>
      </c>
      <c r="G2347" s="41" t="inlineStr">
        <is>
          <t>50.1900</t>
        </is>
      </c>
      <c r="H2347" s="41" t="inlineStr">
        <is>
          <t>202505</t>
        </is>
      </c>
      <c r="I2347" s="41" t="inlineStr">
        <is>
          <t>13</t>
        </is>
      </c>
      <c r="J2347" s="41" t="inlineStr">
        <is>
          <t>61,500</t>
        </is>
      </c>
      <c r="K2347" s="42" t="inlineStr">
        <is>
          <t>래미안 서초유니빌</t>
        </is>
      </c>
      <c r="L2347" s="41" t="inlineStr">
        <is>
          <t>15</t>
        </is>
      </c>
      <c r="M2347" s="42" t="inlineStr">
        <is>
          <t>개인</t>
        </is>
      </c>
      <c r="N2347" s="42" t="inlineStr">
        <is>
          <t>개인</t>
        </is>
      </c>
      <c r="O2347" s="41" t="inlineStr">
        <is>
          <t>2003</t>
        </is>
      </c>
      <c r="P2347" s="42" t="inlineStr">
        <is>
          <t>서초중앙로 26</t>
        </is>
      </c>
      <c r="Q2347" s="41" t="inlineStr">
        <is>
          <t>-</t>
        </is>
      </c>
      <c r="R2347" s="42" t="inlineStr">
        <is>
          <t>중개거래</t>
        </is>
      </c>
      <c r="S2347" s="42" t="inlineStr">
        <is>
          <t>서울 서초구, 서울 송파구</t>
        </is>
      </c>
      <c r="T2347" s="41" t="inlineStr">
        <is>
          <t>25.07.25</t>
        </is>
      </c>
      <c r="U2347" s="42" t="inlineStr">
        <is>
          <t>아파트</t>
        </is>
      </c>
    </row>
    <row r="2348" hidden="1" ht="17.25" customHeight="1">
      <c r="A2348" s="41" t="n">
        <v>689</v>
      </c>
      <c r="B2348" s="42" t="inlineStr">
        <is>
          <t>서울특별시 서초구 서초동</t>
        </is>
      </c>
      <c r="C2348" s="41" t="inlineStr">
        <is>
          <t>1641-1</t>
        </is>
      </c>
      <c r="D2348" s="41" t="inlineStr">
        <is>
          <t>1641</t>
        </is>
      </c>
      <c r="E2348" s="41" t="inlineStr">
        <is>
          <t>0001</t>
        </is>
      </c>
      <c r="F2348" s="42" t="inlineStr">
        <is>
          <t>서초삼성래미안</t>
        </is>
      </c>
      <c r="G2348" s="41" t="inlineStr">
        <is>
          <t>121.6600</t>
        </is>
      </c>
      <c r="H2348" s="41" t="inlineStr">
        <is>
          <t>202505</t>
        </is>
      </c>
      <c r="I2348" s="41" t="inlineStr">
        <is>
          <t>13</t>
        </is>
      </c>
      <c r="J2348" s="41" t="inlineStr">
        <is>
          <t>234,000</t>
        </is>
      </c>
      <c r="K2348" s="41" t="inlineStr">
        <is>
          <t>101</t>
        </is>
      </c>
      <c r="L2348" s="41" t="inlineStr">
        <is>
          <t>6</t>
        </is>
      </c>
      <c r="M2348" s="42" t="inlineStr">
        <is>
          <t>개인</t>
        </is>
      </c>
      <c r="N2348" s="42" t="inlineStr">
        <is>
          <t>개인</t>
        </is>
      </c>
      <c r="O2348" s="41" t="inlineStr">
        <is>
          <t>2001</t>
        </is>
      </c>
      <c r="P2348" s="42" t="inlineStr">
        <is>
          <t>사임당로17길 116</t>
        </is>
      </c>
      <c r="Q2348" s="41" t="inlineStr">
        <is>
          <t>-</t>
        </is>
      </c>
      <c r="R2348" s="42" t="inlineStr">
        <is>
          <t>중개거래</t>
        </is>
      </c>
      <c r="S2348" s="42" t="inlineStr">
        <is>
          <t>서울 서대문구, 서울 서초구</t>
        </is>
      </c>
      <c r="T2348" s="41" t="inlineStr">
        <is>
          <t>25.07.15</t>
        </is>
      </c>
      <c r="U2348" s="42" t="inlineStr">
        <is>
          <t>아파트</t>
        </is>
      </c>
    </row>
    <row r="2349" hidden="1" ht="17.25" customHeight="1">
      <c r="A2349" s="41" t="n">
        <v>690</v>
      </c>
      <c r="B2349" s="42" t="inlineStr">
        <is>
          <t>서울특별시 서초구 서초동</t>
        </is>
      </c>
      <c r="C2349" s="41" t="inlineStr">
        <is>
          <t>1446-11</t>
        </is>
      </c>
      <c r="D2349" s="41" t="inlineStr">
        <is>
          <t>1446</t>
        </is>
      </c>
      <c r="E2349" s="41" t="inlineStr">
        <is>
          <t>0011</t>
        </is>
      </c>
      <c r="F2349" s="42" t="inlineStr">
        <is>
          <t>현대슈퍼빌</t>
        </is>
      </c>
      <c r="G2349" s="41" t="inlineStr">
        <is>
          <t>216.1600</t>
        </is>
      </c>
      <c r="H2349" s="41" t="inlineStr">
        <is>
          <t>202505</t>
        </is>
      </c>
      <c r="I2349" s="41" t="inlineStr">
        <is>
          <t>12</t>
        </is>
      </c>
      <c r="J2349" s="41" t="inlineStr">
        <is>
          <t>350,000</t>
        </is>
      </c>
      <c r="K2349" s="41" t="inlineStr">
        <is>
          <t>A</t>
        </is>
      </c>
      <c r="L2349" s="41" t="inlineStr">
        <is>
          <t>19</t>
        </is>
      </c>
      <c r="M2349" s="42" t="inlineStr">
        <is>
          <t>개인</t>
        </is>
      </c>
      <c r="N2349" s="42" t="inlineStr">
        <is>
          <t>개인</t>
        </is>
      </c>
      <c r="O2349" s="41" t="inlineStr">
        <is>
          <t>2003</t>
        </is>
      </c>
      <c r="P2349" s="42" t="inlineStr">
        <is>
          <t>서초중앙로 15</t>
        </is>
      </c>
      <c r="Q2349" s="41" t="inlineStr">
        <is>
          <t>-</t>
        </is>
      </c>
      <c r="R2349" s="42" t="inlineStr">
        <is>
          <t>중개거래</t>
        </is>
      </c>
      <c r="S2349" s="42" t="inlineStr">
        <is>
          <t>서울 강남구, 서울 서초구</t>
        </is>
      </c>
      <c r="T2349" s="41" t="inlineStr">
        <is>
          <t>25.08.20</t>
        </is>
      </c>
      <c r="U2349" s="42" t="inlineStr">
        <is>
          <t>아파트</t>
        </is>
      </c>
    </row>
    <row r="2350" hidden="1" ht="17.25" customHeight="1">
      <c r="A2350" s="41" t="n">
        <v>691</v>
      </c>
      <c r="B2350" s="42" t="inlineStr">
        <is>
          <t>서울특별시 서초구 서초동</t>
        </is>
      </c>
      <c r="C2350" s="41" t="inlineStr">
        <is>
          <t>1446-11</t>
        </is>
      </c>
      <c r="D2350" s="41" t="inlineStr">
        <is>
          <t>1446</t>
        </is>
      </c>
      <c r="E2350" s="41" t="inlineStr">
        <is>
          <t>0011</t>
        </is>
      </c>
      <c r="F2350" s="42" t="inlineStr">
        <is>
          <t>현대슈퍼빌</t>
        </is>
      </c>
      <c r="G2350" s="41" t="inlineStr">
        <is>
          <t>185.0200</t>
        </is>
      </c>
      <c r="H2350" s="41" t="inlineStr">
        <is>
          <t>202505</t>
        </is>
      </c>
      <c r="I2350" s="41" t="inlineStr">
        <is>
          <t>12</t>
        </is>
      </c>
      <c r="J2350" s="41" t="inlineStr">
        <is>
          <t>280,000</t>
        </is>
      </c>
      <c r="K2350" s="41" t="inlineStr">
        <is>
          <t>-</t>
        </is>
      </c>
      <c r="L2350" s="41" t="inlineStr">
        <is>
          <t>19</t>
        </is>
      </c>
      <c r="M2350" s="42" t="inlineStr">
        <is>
          <t>개인</t>
        </is>
      </c>
      <c r="N2350" s="42" t="inlineStr">
        <is>
          <t>개인</t>
        </is>
      </c>
      <c r="O2350" s="41" t="inlineStr">
        <is>
          <t>2003</t>
        </is>
      </c>
      <c r="P2350" s="42" t="inlineStr">
        <is>
          <t>서초중앙로 15</t>
        </is>
      </c>
      <c r="Q2350" s="41" t="inlineStr">
        <is>
          <t>20250624</t>
        </is>
      </c>
      <c r="R2350" s="42" t="inlineStr">
        <is>
          <t>중개거래</t>
        </is>
      </c>
      <c r="S2350" s="42" t="inlineStr">
        <is>
          <t>서울 영등포구</t>
        </is>
      </c>
      <c r="T2350" s="41" t="inlineStr">
        <is>
          <t>-</t>
        </is>
      </c>
      <c r="U2350" s="42" t="inlineStr">
        <is>
          <t>아파트</t>
        </is>
      </c>
    </row>
    <row r="2351" hidden="1" ht="17.25" customHeight="1">
      <c r="A2351" s="41" t="n">
        <v>692</v>
      </c>
      <c r="B2351" s="42" t="inlineStr">
        <is>
          <t>서울특별시 서초구 서초동</t>
        </is>
      </c>
      <c r="C2351" s="41" t="inlineStr">
        <is>
          <t>1446-11</t>
        </is>
      </c>
      <c r="D2351" s="41" t="inlineStr">
        <is>
          <t>1446</t>
        </is>
      </c>
      <c r="E2351" s="41" t="inlineStr">
        <is>
          <t>0011</t>
        </is>
      </c>
      <c r="F2351" s="42" t="inlineStr">
        <is>
          <t>현대슈퍼빌</t>
        </is>
      </c>
      <c r="G2351" s="41" t="inlineStr">
        <is>
          <t>185.0200</t>
        </is>
      </c>
      <c r="H2351" s="41" t="inlineStr">
        <is>
          <t>202505</t>
        </is>
      </c>
      <c r="I2351" s="41" t="inlineStr">
        <is>
          <t>12</t>
        </is>
      </c>
      <c r="J2351" s="41" t="inlineStr">
        <is>
          <t>280,000</t>
        </is>
      </c>
      <c r="K2351" s="41" t="inlineStr">
        <is>
          <t>D</t>
        </is>
      </c>
      <c r="L2351" s="41" t="inlineStr">
        <is>
          <t>19</t>
        </is>
      </c>
      <c r="M2351" s="42" t="inlineStr">
        <is>
          <t>개인</t>
        </is>
      </c>
      <c r="N2351" s="42" t="inlineStr">
        <is>
          <t>개인</t>
        </is>
      </c>
      <c r="O2351" s="41" t="inlineStr">
        <is>
          <t>2003</t>
        </is>
      </c>
      <c r="P2351" s="42" t="inlineStr">
        <is>
          <t>서초중앙로 15</t>
        </is>
      </c>
      <c r="Q2351" s="41" t="inlineStr">
        <is>
          <t>-</t>
        </is>
      </c>
      <c r="R2351" s="42" t="inlineStr">
        <is>
          <t>중개거래</t>
        </is>
      </c>
      <c r="S2351" s="42" t="inlineStr">
        <is>
          <t>서울 영등포구</t>
        </is>
      </c>
      <c r="T2351" s="41" t="inlineStr">
        <is>
          <t>25.07.21</t>
        </is>
      </c>
      <c r="U2351" s="42" t="inlineStr">
        <is>
          <t>아파트</t>
        </is>
      </c>
    </row>
    <row r="2352" hidden="1" ht="17.25" customHeight="1">
      <c r="A2352" s="41" t="n">
        <v>693</v>
      </c>
      <c r="B2352" s="42" t="inlineStr">
        <is>
          <t>서울특별시 서초구 서초동</t>
        </is>
      </c>
      <c r="C2352" s="41" t="inlineStr">
        <is>
          <t>1509-1</t>
        </is>
      </c>
      <c r="D2352" s="41" t="inlineStr">
        <is>
          <t>1509</t>
        </is>
      </c>
      <c r="E2352" s="41" t="inlineStr">
        <is>
          <t>0001</t>
        </is>
      </c>
      <c r="F2352" s="42" t="inlineStr">
        <is>
          <t>서초한빛삼성</t>
        </is>
      </c>
      <c r="G2352" s="41" t="inlineStr">
        <is>
          <t>59.5200</t>
        </is>
      </c>
      <c r="H2352" s="41" t="inlineStr">
        <is>
          <t>202505</t>
        </is>
      </c>
      <c r="I2352" s="41" t="inlineStr">
        <is>
          <t>12</t>
        </is>
      </c>
      <c r="J2352" s="41" t="inlineStr">
        <is>
          <t>134,500</t>
        </is>
      </c>
      <c r="K2352" s="41" t="inlineStr">
        <is>
          <t>-</t>
        </is>
      </c>
      <c r="L2352" s="41" t="inlineStr">
        <is>
          <t>2</t>
        </is>
      </c>
      <c r="M2352" s="42" t="inlineStr">
        <is>
          <t>개인</t>
        </is>
      </c>
      <c r="N2352" s="42" t="inlineStr">
        <is>
          <t>개인</t>
        </is>
      </c>
      <c r="O2352" s="41" t="inlineStr">
        <is>
          <t>1999</t>
        </is>
      </c>
      <c r="P2352" s="42" t="inlineStr">
        <is>
          <t>서초대로40길 72</t>
        </is>
      </c>
      <c r="Q2352" s="41" t="inlineStr">
        <is>
          <t>20250515</t>
        </is>
      </c>
      <c r="R2352" s="42" t="inlineStr">
        <is>
          <t>중개거래</t>
        </is>
      </c>
      <c r="S2352" s="42" t="inlineStr">
        <is>
          <t>서울 서초구</t>
        </is>
      </c>
      <c r="T2352" s="41" t="inlineStr">
        <is>
          <t>-</t>
        </is>
      </c>
      <c r="U2352" s="42" t="inlineStr">
        <is>
          <t>아파트</t>
        </is>
      </c>
    </row>
    <row r="2353" hidden="1" ht="17.25" customHeight="1">
      <c r="A2353" s="41" t="n">
        <v>694</v>
      </c>
      <c r="B2353" s="42" t="inlineStr">
        <is>
          <t>서울특별시 서초구 서초동</t>
        </is>
      </c>
      <c r="C2353" s="41" t="inlineStr">
        <is>
          <t>1509-1</t>
        </is>
      </c>
      <c r="D2353" s="41" t="inlineStr">
        <is>
          <t>1509</t>
        </is>
      </c>
      <c r="E2353" s="41" t="inlineStr">
        <is>
          <t>0001</t>
        </is>
      </c>
      <c r="F2353" s="42" t="inlineStr">
        <is>
          <t>서초한빛삼성</t>
        </is>
      </c>
      <c r="G2353" s="41" t="inlineStr">
        <is>
          <t>59.5200</t>
        </is>
      </c>
      <c r="H2353" s="41" t="inlineStr">
        <is>
          <t>202505</t>
        </is>
      </c>
      <c r="I2353" s="41" t="inlineStr">
        <is>
          <t>12</t>
        </is>
      </c>
      <c r="J2353" s="41" t="inlineStr">
        <is>
          <t>134,500</t>
        </is>
      </c>
      <c r="K2353" s="41" t="inlineStr">
        <is>
          <t>101</t>
        </is>
      </c>
      <c r="L2353" s="41" t="inlineStr">
        <is>
          <t>2</t>
        </is>
      </c>
      <c r="M2353" s="42" t="inlineStr">
        <is>
          <t>개인</t>
        </is>
      </c>
      <c r="N2353" s="42" t="inlineStr">
        <is>
          <t>개인</t>
        </is>
      </c>
      <c r="O2353" s="41" t="inlineStr">
        <is>
          <t>1999</t>
        </is>
      </c>
      <c r="P2353" s="42" t="inlineStr">
        <is>
          <t>서초대로40길 72</t>
        </is>
      </c>
      <c r="Q2353" s="41" t="inlineStr">
        <is>
          <t>-</t>
        </is>
      </c>
      <c r="R2353" s="42" t="inlineStr">
        <is>
          <t>중개거래</t>
        </is>
      </c>
      <c r="S2353" s="42" t="inlineStr">
        <is>
          <t>서울 서초구</t>
        </is>
      </c>
      <c r="T2353" s="41" t="inlineStr">
        <is>
          <t>25.06.19</t>
        </is>
      </c>
      <c r="U2353" s="42" t="inlineStr">
        <is>
          <t>아파트</t>
        </is>
      </c>
    </row>
    <row r="2354" hidden="1" ht="17.25" customHeight="1">
      <c r="A2354" s="41" t="n">
        <v>695</v>
      </c>
      <c r="B2354" s="42" t="inlineStr">
        <is>
          <t>서울특별시 서초구 서초동</t>
        </is>
      </c>
      <c r="C2354" s="41" t="inlineStr">
        <is>
          <t>1332-13</t>
        </is>
      </c>
      <c r="D2354" s="41" t="inlineStr">
        <is>
          <t>1332</t>
        </is>
      </c>
      <c r="E2354" s="41" t="inlineStr">
        <is>
          <t>0013</t>
        </is>
      </c>
      <c r="F2354" s="42" t="inlineStr">
        <is>
          <t>래미안서초에스티지</t>
        </is>
      </c>
      <c r="G2354" s="41" t="inlineStr">
        <is>
          <t>101.5500</t>
        </is>
      </c>
      <c r="H2354" s="41" t="inlineStr">
        <is>
          <t>202505</t>
        </is>
      </c>
      <c r="I2354" s="41" t="inlineStr">
        <is>
          <t>10</t>
        </is>
      </c>
      <c r="J2354" s="41" t="inlineStr">
        <is>
          <t>330,000</t>
        </is>
      </c>
      <c r="K2354" s="41" t="inlineStr">
        <is>
          <t>103동</t>
        </is>
      </c>
      <c r="L2354" s="41" t="inlineStr">
        <is>
          <t>3</t>
        </is>
      </c>
      <c r="M2354" s="42" t="inlineStr">
        <is>
          <t>개인</t>
        </is>
      </c>
      <c r="N2354" s="42" t="inlineStr">
        <is>
          <t>개인</t>
        </is>
      </c>
      <c r="O2354" s="41" t="inlineStr">
        <is>
          <t>2016</t>
        </is>
      </c>
      <c r="P2354" s="42" t="inlineStr">
        <is>
          <t>서운로 107</t>
        </is>
      </c>
      <c r="Q2354" s="41" t="inlineStr">
        <is>
          <t>-</t>
        </is>
      </c>
      <c r="R2354" s="42" t="inlineStr">
        <is>
          <t>중개거래</t>
        </is>
      </c>
      <c r="S2354" s="42" t="inlineStr">
        <is>
          <t>서울 서초구</t>
        </is>
      </c>
      <c r="T2354" s="41" t="inlineStr">
        <is>
          <t>25.06.09</t>
        </is>
      </c>
      <c r="U2354" s="42" t="inlineStr">
        <is>
          <t>아파트</t>
        </is>
      </c>
    </row>
    <row r="2355" hidden="1" ht="17.25" customHeight="1">
      <c r="A2355" s="41" t="n">
        <v>696</v>
      </c>
      <c r="B2355" s="42" t="inlineStr">
        <is>
          <t>서울특별시 서초구 서초동</t>
        </is>
      </c>
      <c r="C2355" s="41" t="inlineStr">
        <is>
          <t>1326-17</t>
        </is>
      </c>
      <c r="D2355" s="41" t="inlineStr">
        <is>
          <t>1326</t>
        </is>
      </c>
      <c r="E2355" s="41" t="inlineStr">
        <is>
          <t>0017</t>
        </is>
      </c>
      <c r="F2355" s="42" t="inlineStr">
        <is>
          <t>우성아파트</t>
        </is>
      </c>
      <c r="G2355" s="41" t="inlineStr">
        <is>
          <t>57.2600</t>
        </is>
      </c>
      <c r="H2355" s="41" t="inlineStr">
        <is>
          <t>202505</t>
        </is>
      </c>
      <c r="I2355" s="41" t="inlineStr">
        <is>
          <t>10</t>
        </is>
      </c>
      <c r="J2355" s="41" t="inlineStr">
        <is>
          <t>168,000</t>
        </is>
      </c>
      <c r="K2355" s="41" t="inlineStr">
        <is>
          <t>501</t>
        </is>
      </c>
      <c r="L2355" s="41" t="inlineStr">
        <is>
          <t>23</t>
        </is>
      </c>
      <c r="M2355" s="42" t="inlineStr">
        <is>
          <t>개인</t>
        </is>
      </c>
      <c r="N2355" s="42" t="inlineStr">
        <is>
          <t>개인</t>
        </is>
      </c>
      <c r="O2355" s="41" t="inlineStr">
        <is>
          <t>1998</t>
        </is>
      </c>
      <c r="P2355" s="42" t="inlineStr">
        <is>
          <t>서초대로74길 30</t>
        </is>
      </c>
      <c r="Q2355" s="41" t="inlineStr">
        <is>
          <t>-</t>
        </is>
      </c>
      <c r="R2355" s="42" t="inlineStr">
        <is>
          <t>중개거래</t>
        </is>
      </c>
      <c r="S2355" s="42" t="inlineStr">
        <is>
          <t>서울 서초구</t>
        </is>
      </c>
      <c r="T2355" s="41" t="inlineStr">
        <is>
          <t>25.07.10</t>
        </is>
      </c>
      <c r="U2355" s="42" t="inlineStr">
        <is>
          <t>아파트</t>
        </is>
      </c>
    </row>
    <row r="2356" hidden="1" ht="17.25" customHeight="1">
      <c r="A2356" s="41" t="n">
        <v>697</v>
      </c>
      <c r="B2356" s="42" t="inlineStr">
        <is>
          <t>서울특별시 서초구 서초동</t>
        </is>
      </c>
      <c r="C2356" s="41" t="inlineStr">
        <is>
          <t>1684</t>
        </is>
      </c>
      <c r="D2356" s="41" t="inlineStr">
        <is>
          <t>1684</t>
        </is>
      </c>
      <c r="E2356" s="41" t="inlineStr">
        <is>
          <t>0000</t>
        </is>
      </c>
      <c r="F2356" s="42" t="inlineStr">
        <is>
          <t>서초4현대</t>
        </is>
      </c>
      <c r="G2356" s="41" t="inlineStr">
        <is>
          <t>105.7500</t>
        </is>
      </c>
      <c r="H2356" s="41" t="inlineStr">
        <is>
          <t>202505</t>
        </is>
      </c>
      <c r="I2356" s="41" t="inlineStr">
        <is>
          <t>10</t>
        </is>
      </c>
      <c r="J2356" s="41" t="inlineStr">
        <is>
          <t>238,000</t>
        </is>
      </c>
      <c r="K2356" s="41" t="inlineStr">
        <is>
          <t>301</t>
        </is>
      </c>
      <c r="L2356" s="41" t="inlineStr">
        <is>
          <t>18</t>
        </is>
      </c>
      <c r="M2356" s="42" t="inlineStr">
        <is>
          <t>개인</t>
        </is>
      </c>
      <c r="N2356" s="42" t="inlineStr">
        <is>
          <t>개인</t>
        </is>
      </c>
      <c r="O2356" s="41" t="inlineStr">
        <is>
          <t>2000</t>
        </is>
      </c>
      <c r="P2356" s="42" t="inlineStr">
        <is>
          <t>고무래로 94</t>
        </is>
      </c>
      <c r="Q2356" s="41" t="inlineStr">
        <is>
          <t>-</t>
        </is>
      </c>
      <c r="R2356" s="42" t="inlineStr">
        <is>
          <t>중개거래</t>
        </is>
      </c>
      <c r="S2356" s="42" t="inlineStr">
        <is>
          <t>서울 서초구</t>
        </is>
      </c>
      <c r="T2356" s="41" t="inlineStr">
        <is>
          <t>25.08.20</t>
        </is>
      </c>
      <c r="U2356" s="42" t="inlineStr">
        <is>
          <t>아파트</t>
        </is>
      </c>
    </row>
    <row r="2357" hidden="1" ht="17.25" customHeight="1">
      <c r="A2357" s="41" t="n">
        <v>698</v>
      </c>
      <c r="B2357" s="42" t="inlineStr">
        <is>
          <t>서울특별시 서초구 서초동</t>
        </is>
      </c>
      <c r="C2357" s="41" t="inlineStr">
        <is>
          <t>1363-25</t>
        </is>
      </c>
      <c r="D2357" s="41" t="inlineStr">
        <is>
          <t>1363</t>
        </is>
      </c>
      <c r="E2357" s="41" t="inlineStr">
        <is>
          <t>0025</t>
        </is>
      </c>
      <c r="F2357" s="42" t="inlineStr">
        <is>
          <t>한라비발디스튜디오193</t>
        </is>
      </c>
      <c r="G2357" s="41" t="inlineStr">
        <is>
          <t>19.9900</t>
        </is>
      </c>
      <c r="H2357" s="41" t="inlineStr">
        <is>
          <t>202505</t>
        </is>
      </c>
      <c r="I2357" s="41" t="inlineStr">
        <is>
          <t>10</t>
        </is>
      </c>
      <c r="J2357" s="41" t="inlineStr">
        <is>
          <t>25,000</t>
        </is>
      </c>
      <c r="K2357" s="42" t="inlineStr">
        <is>
          <t>한라비발디스튜디오193</t>
        </is>
      </c>
      <c r="L2357" s="41" t="inlineStr">
        <is>
          <t>8</t>
        </is>
      </c>
      <c r="M2357" s="42" t="inlineStr">
        <is>
          <t>개인</t>
        </is>
      </c>
      <c r="N2357" s="42" t="inlineStr">
        <is>
          <t>개인</t>
        </is>
      </c>
      <c r="O2357" s="41" t="inlineStr">
        <is>
          <t>2013</t>
        </is>
      </c>
      <c r="P2357" s="42" t="inlineStr">
        <is>
          <t>강남대로39길 15-10</t>
        </is>
      </c>
      <c r="Q2357" s="41" t="inlineStr">
        <is>
          <t>-</t>
        </is>
      </c>
      <c r="R2357" s="42" t="inlineStr">
        <is>
          <t>중개거래</t>
        </is>
      </c>
      <c r="S2357" s="42" t="inlineStr">
        <is>
          <t>서울 강남구, 서울 서초구</t>
        </is>
      </c>
      <c r="T2357" s="41" t="inlineStr">
        <is>
          <t>25.05.13</t>
        </is>
      </c>
      <c r="U2357" s="42" t="inlineStr">
        <is>
          <t>아파트</t>
        </is>
      </c>
    </row>
    <row r="2358" hidden="1" ht="17.25" customHeight="1">
      <c r="A2358" s="41" t="n">
        <v>699</v>
      </c>
      <c r="B2358" s="42" t="inlineStr">
        <is>
          <t>서울특별시 서초구 서초동</t>
        </is>
      </c>
      <c r="C2358" s="41" t="inlineStr">
        <is>
          <t>1514-6</t>
        </is>
      </c>
      <c r="D2358" s="41" t="inlineStr">
        <is>
          <t>1514</t>
        </is>
      </c>
      <c r="E2358" s="41" t="inlineStr">
        <is>
          <t>0006</t>
        </is>
      </c>
      <c r="F2358" s="42" t="inlineStr">
        <is>
          <t>옥스포드빌라트</t>
        </is>
      </c>
      <c r="G2358" s="41" t="inlineStr">
        <is>
          <t>76.4100</t>
        </is>
      </c>
      <c r="H2358" s="41" t="inlineStr">
        <is>
          <t>202505</t>
        </is>
      </c>
      <c r="I2358" s="41" t="inlineStr">
        <is>
          <t>09</t>
        </is>
      </c>
      <c r="J2358" s="41" t="inlineStr">
        <is>
          <t>105,000</t>
        </is>
      </c>
      <c r="K2358" s="41" t="inlineStr">
        <is>
          <t>-</t>
        </is>
      </c>
      <c r="L2358" s="41" t="inlineStr">
        <is>
          <t>5</t>
        </is>
      </c>
      <c r="M2358" s="42" t="inlineStr">
        <is>
          <t>개인</t>
        </is>
      </c>
      <c r="N2358" s="42" t="inlineStr">
        <is>
          <t>개인</t>
        </is>
      </c>
      <c r="O2358" s="41" t="inlineStr">
        <is>
          <t>2003</t>
        </is>
      </c>
      <c r="P2358" s="42" t="inlineStr">
        <is>
          <t>명달로20길 25</t>
        </is>
      </c>
      <c r="Q2358" s="41" t="inlineStr">
        <is>
          <t>-</t>
        </is>
      </c>
      <c r="R2358" s="42" t="inlineStr">
        <is>
          <t>중개거래</t>
        </is>
      </c>
      <c r="S2358" s="42" t="inlineStr">
        <is>
          <t>서울 서초구</t>
        </is>
      </c>
      <c r="T2358" s="41" t="inlineStr">
        <is>
          <t>25.07.02</t>
        </is>
      </c>
      <c r="U2358" s="42" t="inlineStr">
        <is>
          <t>아파트</t>
        </is>
      </c>
    </row>
    <row r="2359" hidden="1" ht="17.25" customHeight="1">
      <c r="A2359" s="41" t="n">
        <v>700</v>
      </c>
      <c r="B2359" s="42" t="inlineStr">
        <is>
          <t>서울특별시 서초구 서초동</t>
        </is>
      </c>
      <c r="C2359" s="41" t="inlineStr">
        <is>
          <t>1755</t>
        </is>
      </c>
      <c r="D2359" s="41" t="inlineStr">
        <is>
          <t>1755</t>
        </is>
      </c>
      <c r="E2359" s="41" t="inlineStr">
        <is>
          <t>0000</t>
        </is>
      </c>
      <c r="F2359" s="42" t="inlineStr">
        <is>
          <t>래미안 리더스원</t>
        </is>
      </c>
      <c r="G2359" s="41" t="inlineStr">
        <is>
          <t>84.9400</t>
        </is>
      </c>
      <c r="H2359" s="41" t="inlineStr">
        <is>
          <t>202505</t>
        </is>
      </c>
      <c r="I2359" s="41" t="inlineStr">
        <is>
          <t>09</t>
        </is>
      </c>
      <c r="J2359" s="41" t="inlineStr">
        <is>
          <t>369,500</t>
        </is>
      </c>
      <c r="K2359" s="41" t="inlineStr">
        <is>
          <t>104동</t>
        </is>
      </c>
      <c r="L2359" s="41" t="inlineStr">
        <is>
          <t>22</t>
        </is>
      </c>
      <c r="M2359" s="42" t="inlineStr">
        <is>
          <t>개인</t>
        </is>
      </c>
      <c r="N2359" s="42" t="inlineStr">
        <is>
          <t>개인</t>
        </is>
      </c>
      <c r="O2359" s="41" t="inlineStr">
        <is>
          <t>2020</t>
        </is>
      </c>
      <c r="P2359" s="42" t="inlineStr">
        <is>
          <t>서운로 62</t>
        </is>
      </c>
      <c r="Q2359" s="41" t="inlineStr">
        <is>
          <t>-</t>
        </is>
      </c>
      <c r="R2359" s="42" t="inlineStr">
        <is>
          <t>중개거래</t>
        </is>
      </c>
      <c r="S2359" s="42" t="inlineStr">
        <is>
          <t>서울 서초구, 서울 영등포구</t>
        </is>
      </c>
      <c r="T2359" s="41" t="inlineStr">
        <is>
          <t>25.08.29</t>
        </is>
      </c>
      <c r="U2359" s="42" t="inlineStr">
        <is>
          <t>아파트</t>
        </is>
      </c>
    </row>
    <row r="2360" hidden="1" ht="17.25" customHeight="1">
      <c r="A2360" s="41" t="n">
        <v>701</v>
      </c>
      <c r="B2360" s="42" t="inlineStr">
        <is>
          <t>서울특별시 서초구 서초동</t>
        </is>
      </c>
      <c r="C2360" s="41" t="inlineStr">
        <is>
          <t>1757</t>
        </is>
      </c>
      <c r="D2360" s="41" t="inlineStr">
        <is>
          <t>1757</t>
        </is>
      </c>
      <c r="E2360" s="41" t="inlineStr">
        <is>
          <t>0000</t>
        </is>
      </c>
      <c r="F2360" s="42" t="inlineStr">
        <is>
          <t>서초그랑자이</t>
        </is>
      </c>
      <c r="G2360" s="41" t="inlineStr">
        <is>
          <t>59.9800</t>
        </is>
      </c>
      <c r="H2360" s="41" t="inlineStr">
        <is>
          <t>202505</t>
        </is>
      </c>
      <c r="I2360" s="41" t="inlineStr">
        <is>
          <t>08</t>
        </is>
      </c>
      <c r="J2360" s="41" t="inlineStr">
        <is>
          <t>295,000</t>
        </is>
      </c>
      <c r="K2360" s="41" t="inlineStr">
        <is>
          <t>105동</t>
        </is>
      </c>
      <c r="L2360" s="41" t="inlineStr">
        <is>
          <t>20</t>
        </is>
      </c>
      <c r="M2360" s="42" t="inlineStr">
        <is>
          <t>개인</t>
        </is>
      </c>
      <c r="N2360" s="42" t="inlineStr">
        <is>
          <t>개인</t>
        </is>
      </c>
      <c r="O2360" s="41" t="inlineStr">
        <is>
          <t>2021</t>
        </is>
      </c>
      <c r="P2360" s="42" t="inlineStr">
        <is>
          <t>효령로 391</t>
        </is>
      </c>
      <c r="Q2360" s="41" t="inlineStr">
        <is>
          <t>-</t>
        </is>
      </c>
      <c r="R2360" s="42" t="inlineStr">
        <is>
          <t>중개거래</t>
        </is>
      </c>
      <c r="S2360" s="42" t="inlineStr">
        <is>
          <t>서울 서초구</t>
        </is>
      </c>
      <c r="T2360" s="41" t="inlineStr">
        <is>
          <t>25.09.12</t>
        </is>
      </c>
      <c r="U2360" s="42" t="inlineStr">
        <is>
          <t>아파트</t>
        </is>
      </c>
    </row>
    <row r="2361" hidden="1" ht="17.25" customHeight="1">
      <c r="A2361" s="41" t="n">
        <v>702</v>
      </c>
      <c r="B2361" s="42" t="inlineStr">
        <is>
          <t>서울특별시 서초구 서초동</t>
        </is>
      </c>
      <c r="C2361" s="41" t="inlineStr">
        <is>
          <t>1641-13</t>
        </is>
      </c>
      <c r="D2361" s="41" t="inlineStr">
        <is>
          <t>1641</t>
        </is>
      </c>
      <c r="E2361" s="41" t="inlineStr">
        <is>
          <t>0013</t>
        </is>
      </c>
      <c r="F2361" s="42" t="inlineStr">
        <is>
          <t>아남</t>
        </is>
      </c>
      <c r="G2361" s="41" t="inlineStr">
        <is>
          <t>84.3800</t>
        </is>
      </c>
      <c r="H2361" s="41" t="inlineStr">
        <is>
          <t>202505</t>
        </is>
      </c>
      <c r="I2361" s="41" t="inlineStr">
        <is>
          <t>08</t>
        </is>
      </c>
      <c r="J2361" s="41" t="inlineStr">
        <is>
          <t>185,000</t>
        </is>
      </c>
      <c r="K2361" s="41" t="inlineStr">
        <is>
          <t>2</t>
        </is>
      </c>
      <c r="L2361" s="41" t="inlineStr">
        <is>
          <t>3</t>
        </is>
      </c>
      <c r="M2361" s="42" t="inlineStr">
        <is>
          <t>개인</t>
        </is>
      </c>
      <c r="N2361" s="42" t="inlineStr">
        <is>
          <t>개인</t>
        </is>
      </c>
      <c r="O2361" s="41" t="inlineStr">
        <is>
          <t>1989</t>
        </is>
      </c>
      <c r="P2361" s="42" t="inlineStr">
        <is>
          <t>사임당로23길 53</t>
        </is>
      </c>
      <c r="Q2361" s="41" t="inlineStr">
        <is>
          <t>-</t>
        </is>
      </c>
      <c r="R2361" s="42" t="inlineStr">
        <is>
          <t>중개거래</t>
        </is>
      </c>
      <c r="S2361" s="42" t="inlineStr">
        <is>
          <t>서울 서초구</t>
        </is>
      </c>
      <c r="T2361" s="41" t="inlineStr">
        <is>
          <t>25.08.29</t>
        </is>
      </c>
      <c r="U2361" s="42" t="inlineStr">
        <is>
          <t>아파트</t>
        </is>
      </c>
    </row>
    <row r="2362" hidden="1" ht="17.25" customHeight="1">
      <c r="A2362" s="41" t="n">
        <v>703</v>
      </c>
      <c r="B2362" s="42" t="inlineStr">
        <is>
          <t>서울특별시 서초구 서초동</t>
        </is>
      </c>
      <c r="C2362" s="41" t="inlineStr">
        <is>
          <t>1312-3</t>
        </is>
      </c>
      <c r="D2362" s="41" t="inlineStr">
        <is>
          <t>1312</t>
        </is>
      </c>
      <c r="E2362" s="41" t="inlineStr">
        <is>
          <t>0003</t>
        </is>
      </c>
      <c r="F2362" s="42" t="inlineStr">
        <is>
          <t>롯데캐슬클래식</t>
        </is>
      </c>
      <c r="G2362" s="41" t="inlineStr">
        <is>
          <t>84.9800</t>
        </is>
      </c>
      <c r="H2362" s="41" t="inlineStr">
        <is>
          <t>202505</t>
        </is>
      </c>
      <c r="I2362" s="41" t="inlineStr">
        <is>
          <t>07</t>
        </is>
      </c>
      <c r="J2362" s="41" t="inlineStr">
        <is>
          <t>280,000</t>
        </is>
      </c>
      <c r="K2362" s="41" t="inlineStr">
        <is>
          <t>111</t>
        </is>
      </c>
      <c r="L2362" s="41" t="inlineStr">
        <is>
          <t>10</t>
        </is>
      </c>
      <c r="M2362" s="42" t="inlineStr">
        <is>
          <t>개인</t>
        </is>
      </c>
      <c r="N2362" s="42" t="inlineStr">
        <is>
          <t>개인</t>
        </is>
      </c>
      <c r="O2362" s="41" t="inlineStr">
        <is>
          <t>2006</t>
        </is>
      </c>
      <c r="P2362" s="42" t="inlineStr">
        <is>
          <t>서운로 200</t>
        </is>
      </c>
      <c r="Q2362" s="41" t="inlineStr">
        <is>
          <t>-</t>
        </is>
      </c>
      <c r="R2362" s="42" t="inlineStr">
        <is>
          <t>중개거래</t>
        </is>
      </c>
      <c r="S2362" s="42" t="inlineStr">
        <is>
          <t>서울 서초구</t>
        </is>
      </c>
      <c r="T2362" s="41" t="inlineStr">
        <is>
          <t>25.07.22</t>
        </is>
      </c>
      <c r="U2362" s="42" t="inlineStr">
        <is>
          <t>아파트</t>
        </is>
      </c>
    </row>
    <row r="2363" hidden="1" ht="17.25" customHeight="1">
      <c r="A2363" s="41" t="n">
        <v>704</v>
      </c>
      <c r="B2363" s="42" t="inlineStr">
        <is>
          <t>서울특별시 서초구 서초동</t>
        </is>
      </c>
      <c r="C2363" s="41" t="inlineStr">
        <is>
          <t>1346</t>
        </is>
      </c>
      <c r="D2363" s="41" t="inlineStr">
        <is>
          <t>1346</t>
        </is>
      </c>
      <c r="E2363" s="41" t="inlineStr">
        <is>
          <t>0000</t>
        </is>
      </c>
      <c r="F2363" s="42" t="inlineStr">
        <is>
          <t>현대아파트</t>
        </is>
      </c>
      <c r="G2363" s="41" t="inlineStr">
        <is>
          <t>84.3400</t>
        </is>
      </c>
      <c r="H2363" s="41" t="inlineStr">
        <is>
          <t>202505</t>
        </is>
      </c>
      <c r="I2363" s="41" t="inlineStr">
        <is>
          <t>07</t>
        </is>
      </c>
      <c r="J2363" s="41" t="inlineStr">
        <is>
          <t>189,000</t>
        </is>
      </c>
      <c r="K2363" s="41" t="inlineStr">
        <is>
          <t>10</t>
        </is>
      </c>
      <c r="L2363" s="41" t="inlineStr">
        <is>
          <t>3</t>
        </is>
      </c>
      <c r="M2363" s="42" t="inlineStr">
        <is>
          <t>개인</t>
        </is>
      </c>
      <c r="N2363" s="42" t="inlineStr">
        <is>
          <t>개인</t>
        </is>
      </c>
      <c r="O2363" s="41" t="inlineStr">
        <is>
          <t>1989</t>
        </is>
      </c>
      <c r="P2363" s="42" t="inlineStr">
        <is>
          <t>효령로72길 14</t>
        </is>
      </c>
      <c r="Q2363" s="41" t="inlineStr">
        <is>
          <t>-</t>
        </is>
      </c>
      <c r="R2363" s="42" t="inlineStr">
        <is>
          <t>중개거래</t>
        </is>
      </c>
      <c r="S2363" s="42" t="inlineStr">
        <is>
          <t>서울 서초구</t>
        </is>
      </c>
      <c r="T2363" s="41" t="inlineStr">
        <is>
          <t>25.09.01</t>
        </is>
      </c>
      <c r="U2363" s="42" t="inlineStr">
        <is>
          <t>아파트</t>
        </is>
      </c>
    </row>
    <row r="2364" hidden="1" ht="17.25" customHeight="1">
      <c r="A2364" s="41" t="n">
        <v>705</v>
      </c>
      <c r="B2364" s="42" t="inlineStr">
        <is>
          <t>서울특별시 서초구 서초동</t>
        </is>
      </c>
      <c r="C2364" s="41" t="inlineStr">
        <is>
          <t>1648-2</t>
        </is>
      </c>
      <c r="D2364" s="41" t="inlineStr">
        <is>
          <t>1648</t>
        </is>
      </c>
      <c r="E2364" s="41" t="inlineStr">
        <is>
          <t>0002</t>
        </is>
      </c>
      <c r="F2364" s="42" t="inlineStr">
        <is>
          <t>서초현대</t>
        </is>
      </c>
      <c r="G2364" s="41" t="inlineStr">
        <is>
          <t>84.6900</t>
        </is>
      </c>
      <c r="H2364" s="41" t="inlineStr">
        <is>
          <t>202505</t>
        </is>
      </c>
      <c r="I2364" s="41" t="inlineStr">
        <is>
          <t>07</t>
        </is>
      </c>
      <c r="J2364" s="41" t="inlineStr">
        <is>
          <t>194,000</t>
        </is>
      </c>
      <c r="K2364" s="41" t="inlineStr">
        <is>
          <t>101</t>
        </is>
      </c>
      <c r="L2364" s="41" t="inlineStr">
        <is>
          <t>15</t>
        </is>
      </c>
      <c r="M2364" s="42" t="inlineStr">
        <is>
          <t>개인</t>
        </is>
      </c>
      <c r="N2364" s="42" t="inlineStr">
        <is>
          <t>개인</t>
        </is>
      </c>
      <c r="O2364" s="41" t="inlineStr">
        <is>
          <t>1999</t>
        </is>
      </c>
      <c r="P2364" s="42" t="inlineStr">
        <is>
          <t>사임당로19길 10</t>
        </is>
      </c>
      <c r="Q2364" s="41" t="inlineStr">
        <is>
          <t>-</t>
        </is>
      </c>
      <c r="R2364" s="42" t="inlineStr">
        <is>
          <t>중개거래</t>
        </is>
      </c>
      <c r="S2364" s="42" t="inlineStr">
        <is>
          <t>서울 서초구</t>
        </is>
      </c>
      <c r="T2364" s="41" t="inlineStr">
        <is>
          <t>25.07.31</t>
        </is>
      </c>
      <c r="U2364" s="42" t="inlineStr">
        <is>
          <t>아파트</t>
        </is>
      </c>
    </row>
    <row r="2365" hidden="1" ht="17.25" customHeight="1">
      <c r="A2365" s="41" t="n">
        <v>706</v>
      </c>
      <c r="B2365" s="42" t="inlineStr">
        <is>
          <t>서울특별시 서초구 서초동</t>
        </is>
      </c>
      <c r="C2365" s="41" t="inlineStr">
        <is>
          <t>1681-8</t>
        </is>
      </c>
      <c r="D2365" s="41" t="inlineStr">
        <is>
          <t>1681</t>
        </is>
      </c>
      <c r="E2365" s="41" t="inlineStr">
        <is>
          <t>0008</t>
        </is>
      </c>
      <c r="F2365" s="42" t="inlineStr">
        <is>
          <t>서초롯데캐슬프레지던트</t>
        </is>
      </c>
      <c r="G2365" s="41" t="inlineStr">
        <is>
          <t>84.9700</t>
        </is>
      </c>
      <c r="H2365" s="41" t="inlineStr">
        <is>
          <t>202505</t>
        </is>
      </c>
      <c r="I2365" s="41" t="inlineStr">
        <is>
          <t>07</t>
        </is>
      </c>
      <c r="J2365" s="41" t="inlineStr">
        <is>
          <t>274,000</t>
        </is>
      </c>
      <c r="K2365" s="41" t="inlineStr">
        <is>
          <t>103</t>
        </is>
      </c>
      <c r="L2365" s="41" t="inlineStr">
        <is>
          <t>15</t>
        </is>
      </c>
      <c r="M2365" s="42" t="inlineStr">
        <is>
          <t>개인</t>
        </is>
      </c>
      <c r="N2365" s="42" t="inlineStr">
        <is>
          <t>개인</t>
        </is>
      </c>
      <c r="O2365" s="41" t="inlineStr">
        <is>
          <t>2014</t>
        </is>
      </c>
      <c r="P2365" s="42" t="inlineStr">
        <is>
          <t>서초중앙로24길 57</t>
        </is>
      </c>
      <c r="Q2365" s="41" t="inlineStr">
        <is>
          <t>-</t>
        </is>
      </c>
      <c r="R2365" s="42" t="inlineStr">
        <is>
          <t>중개거래</t>
        </is>
      </c>
      <c r="S2365" s="42" t="inlineStr">
        <is>
          <t>서울 서초구</t>
        </is>
      </c>
      <c r="T2365" s="41" t="inlineStr">
        <is>
          <t>25.07.04</t>
        </is>
      </c>
      <c r="U2365" s="42" t="inlineStr">
        <is>
          <t>아파트</t>
        </is>
      </c>
    </row>
    <row r="2366" hidden="1" ht="17.25" customHeight="1">
      <c r="A2366" s="41" t="n">
        <v>707</v>
      </c>
      <c r="B2366" s="42" t="inlineStr">
        <is>
          <t>서울특별시 서초구 서초동</t>
        </is>
      </c>
      <c r="C2366" s="41" t="inlineStr">
        <is>
          <t>1684</t>
        </is>
      </c>
      <c r="D2366" s="41" t="inlineStr">
        <is>
          <t>1684</t>
        </is>
      </c>
      <c r="E2366" s="41" t="inlineStr">
        <is>
          <t>0000</t>
        </is>
      </c>
      <c r="F2366" s="42" t="inlineStr">
        <is>
          <t>서초4현대</t>
        </is>
      </c>
      <c r="G2366" s="41" t="inlineStr">
        <is>
          <t>140.0300</t>
        </is>
      </c>
      <c r="H2366" s="41" t="inlineStr">
        <is>
          <t>202505</t>
        </is>
      </c>
      <c r="I2366" s="41" t="inlineStr">
        <is>
          <t>05</t>
        </is>
      </c>
      <c r="J2366" s="41" t="inlineStr">
        <is>
          <t>244,000</t>
        </is>
      </c>
      <c r="K2366" s="41" t="inlineStr">
        <is>
          <t>201</t>
        </is>
      </c>
      <c r="L2366" s="41" t="inlineStr">
        <is>
          <t>11</t>
        </is>
      </c>
      <c r="M2366" s="42" t="inlineStr">
        <is>
          <t>개인</t>
        </is>
      </c>
      <c r="N2366" s="42" t="inlineStr">
        <is>
          <t>개인</t>
        </is>
      </c>
      <c r="O2366" s="41" t="inlineStr">
        <is>
          <t>2000</t>
        </is>
      </c>
      <c r="P2366" s="42" t="inlineStr">
        <is>
          <t>고무래로 94</t>
        </is>
      </c>
      <c r="Q2366" s="41" t="inlineStr">
        <is>
          <t>-</t>
        </is>
      </c>
      <c r="R2366" s="42" t="inlineStr">
        <is>
          <t>중개거래</t>
        </is>
      </c>
      <c r="S2366" s="42" t="inlineStr">
        <is>
          <t>서울 서초구</t>
        </is>
      </c>
      <c r="T2366" s="41" t="inlineStr">
        <is>
          <t>25.07.29</t>
        </is>
      </c>
      <c r="U2366" s="42" t="inlineStr">
        <is>
          <t>아파트</t>
        </is>
      </c>
    </row>
    <row r="2367" hidden="1" ht="17.25" customHeight="1">
      <c r="A2367" s="41" t="n">
        <v>708</v>
      </c>
      <c r="B2367" s="42" t="inlineStr">
        <is>
          <t>서울특별시 서초구 서초동</t>
        </is>
      </c>
      <c r="C2367" s="41" t="inlineStr">
        <is>
          <t>1687</t>
        </is>
      </c>
      <c r="D2367" s="41" t="inlineStr">
        <is>
          <t>1687</t>
        </is>
      </c>
      <c r="E2367" s="41" t="inlineStr">
        <is>
          <t>0000</t>
        </is>
      </c>
      <c r="F2367" s="42" t="inlineStr">
        <is>
          <t>유원서초</t>
        </is>
      </c>
      <c r="G2367" s="41" t="inlineStr">
        <is>
          <t>84.8200</t>
        </is>
      </c>
      <c r="H2367" s="41" t="inlineStr">
        <is>
          <t>202505</t>
        </is>
      </c>
      <c r="I2367" s="41" t="inlineStr">
        <is>
          <t>03</t>
        </is>
      </c>
      <c r="J2367" s="41" t="inlineStr">
        <is>
          <t>225,000</t>
        </is>
      </c>
      <c r="K2367" s="41" t="inlineStr">
        <is>
          <t>101</t>
        </is>
      </c>
      <c r="L2367" s="41" t="inlineStr">
        <is>
          <t>10</t>
        </is>
      </c>
      <c r="M2367" s="42" t="inlineStr">
        <is>
          <t>개인</t>
        </is>
      </c>
      <c r="N2367" s="42" t="inlineStr">
        <is>
          <t>개인</t>
        </is>
      </c>
      <c r="O2367" s="41" t="inlineStr">
        <is>
          <t>1993</t>
        </is>
      </c>
      <c r="P2367" s="42" t="inlineStr">
        <is>
          <t>서초중앙로24길 43</t>
        </is>
      </c>
      <c r="Q2367" s="41" t="inlineStr">
        <is>
          <t>-</t>
        </is>
      </c>
      <c r="R2367" s="42" t="inlineStr">
        <is>
          <t>중개거래</t>
        </is>
      </c>
      <c r="S2367" s="42" t="inlineStr">
        <is>
          <t>서울 서초구</t>
        </is>
      </c>
      <c r="T2367" s="41" t="inlineStr">
        <is>
          <t>25.08.05</t>
        </is>
      </c>
      <c r="U2367" s="42" t="inlineStr">
        <is>
          <t>아파트</t>
        </is>
      </c>
    </row>
    <row r="2368" hidden="1" ht="17.25" customHeight="1">
      <c r="A2368" s="41" t="n">
        <v>709</v>
      </c>
      <c r="B2368" s="42" t="inlineStr">
        <is>
          <t>서울특별시 서초구 서초동</t>
        </is>
      </c>
      <c r="C2368" s="41" t="inlineStr">
        <is>
          <t>1330</t>
        </is>
      </c>
      <c r="D2368" s="41" t="inlineStr">
        <is>
          <t>1330</t>
        </is>
      </c>
      <c r="E2368" s="41" t="inlineStr">
        <is>
          <t>0000</t>
        </is>
      </c>
      <c r="F2368" s="42" t="inlineStr">
        <is>
          <t>서초동삼성쉐르빌2</t>
        </is>
      </c>
      <c r="G2368" s="41" t="inlineStr">
        <is>
          <t>35.2200</t>
        </is>
      </c>
      <c r="H2368" s="41" t="inlineStr">
        <is>
          <t>202505</t>
        </is>
      </c>
      <c r="I2368" s="41" t="inlineStr">
        <is>
          <t>03</t>
        </is>
      </c>
      <c r="J2368" s="41" t="inlineStr">
        <is>
          <t>30,900</t>
        </is>
      </c>
      <c r="K2368" s="41" t="inlineStr">
        <is>
          <t>-</t>
        </is>
      </c>
      <c r="L2368" s="41" t="inlineStr">
        <is>
          <t>10</t>
        </is>
      </c>
      <c r="M2368" s="42" t="inlineStr">
        <is>
          <t>개인</t>
        </is>
      </c>
      <c r="N2368" s="42" t="inlineStr">
        <is>
          <t>법인</t>
        </is>
      </c>
      <c r="O2368" s="41" t="inlineStr">
        <is>
          <t>2002</t>
        </is>
      </c>
      <c r="P2368" s="42" t="inlineStr">
        <is>
          <t>강남대로53길 11</t>
        </is>
      </c>
      <c r="Q2368" s="41" t="inlineStr">
        <is>
          <t>-</t>
        </is>
      </c>
      <c r="R2368" s="42" t="inlineStr">
        <is>
          <t>중개거래</t>
        </is>
      </c>
      <c r="S2368" s="42" t="inlineStr">
        <is>
          <t>서울 서초구</t>
        </is>
      </c>
      <c r="T2368" s="41" t="inlineStr">
        <is>
          <t>25.05.29</t>
        </is>
      </c>
      <c r="U2368" s="42" t="inlineStr">
        <is>
          <t>아파트</t>
        </is>
      </c>
    </row>
    <row r="2369" hidden="1" ht="17.25" customHeight="1">
      <c r="A2369" s="41" t="n">
        <v>710</v>
      </c>
      <c r="B2369" s="42" t="inlineStr">
        <is>
          <t>서울특별시 서초구 서초동</t>
        </is>
      </c>
      <c r="C2369" s="41" t="inlineStr">
        <is>
          <t>1687</t>
        </is>
      </c>
      <c r="D2369" s="41" t="inlineStr">
        <is>
          <t>1687</t>
        </is>
      </c>
      <c r="E2369" s="41" t="inlineStr">
        <is>
          <t>0000</t>
        </is>
      </c>
      <c r="F2369" s="42" t="inlineStr">
        <is>
          <t>유원서초</t>
        </is>
      </c>
      <c r="G2369" s="41" t="inlineStr">
        <is>
          <t>84.8200</t>
        </is>
      </c>
      <c r="H2369" s="41" t="inlineStr">
        <is>
          <t>202505</t>
        </is>
      </c>
      <c r="I2369" s="41" t="inlineStr">
        <is>
          <t>03</t>
        </is>
      </c>
      <c r="J2369" s="41" t="inlineStr">
        <is>
          <t>225,000</t>
        </is>
      </c>
      <c r="K2369" s="41" t="inlineStr">
        <is>
          <t>-</t>
        </is>
      </c>
      <c r="L2369" s="41" t="inlineStr">
        <is>
          <t>10</t>
        </is>
      </c>
      <c r="M2369" s="42" t="inlineStr">
        <is>
          <t>개인</t>
        </is>
      </c>
      <c r="N2369" s="42" t="inlineStr">
        <is>
          <t>개인</t>
        </is>
      </c>
      <c r="O2369" s="41" t="inlineStr">
        <is>
          <t>1993</t>
        </is>
      </c>
      <c r="P2369" s="42" t="inlineStr">
        <is>
          <t>서초중앙로24길 43</t>
        </is>
      </c>
      <c r="Q2369" s="41" t="inlineStr">
        <is>
          <t>20250624</t>
        </is>
      </c>
      <c r="R2369" s="42" t="inlineStr">
        <is>
          <t>중개거래</t>
        </is>
      </c>
      <c r="S2369" s="42" t="inlineStr">
        <is>
          <t>서울 서초구</t>
        </is>
      </c>
      <c r="T2369" s="41" t="inlineStr">
        <is>
          <t>-</t>
        </is>
      </c>
      <c r="U2369" s="42" t="inlineStr">
        <is>
          <t>아파트</t>
        </is>
      </c>
    </row>
    <row r="2370" hidden="1" ht="17.25" customHeight="1">
      <c r="A2370" s="41" t="n">
        <v>711</v>
      </c>
      <c r="B2370" s="42" t="inlineStr">
        <is>
          <t>서울특별시 서초구 서초동</t>
        </is>
      </c>
      <c r="C2370" s="41" t="inlineStr">
        <is>
          <t>1681-8</t>
        </is>
      </c>
      <c r="D2370" s="41" t="inlineStr">
        <is>
          <t>1681</t>
        </is>
      </c>
      <c r="E2370" s="41" t="inlineStr">
        <is>
          <t>0008</t>
        </is>
      </c>
      <c r="F2370" s="42" t="inlineStr">
        <is>
          <t>서초롯데캐슬프레지던트</t>
        </is>
      </c>
      <c r="G2370" s="41" t="inlineStr">
        <is>
          <t>84.9700</t>
        </is>
      </c>
      <c r="H2370" s="41" t="inlineStr">
        <is>
          <t>202505</t>
        </is>
      </c>
      <c r="I2370" s="41" t="inlineStr">
        <is>
          <t>03</t>
        </is>
      </c>
      <c r="J2370" s="41" t="inlineStr">
        <is>
          <t>265,000</t>
        </is>
      </c>
      <c r="K2370" s="41" t="inlineStr">
        <is>
          <t>103</t>
        </is>
      </c>
      <c r="L2370" s="41" t="inlineStr">
        <is>
          <t>14</t>
        </is>
      </c>
      <c r="M2370" s="42" t="inlineStr">
        <is>
          <t>개인</t>
        </is>
      </c>
      <c r="N2370" s="42" t="inlineStr">
        <is>
          <t>개인</t>
        </is>
      </c>
      <c r="O2370" s="41" t="inlineStr">
        <is>
          <t>2014</t>
        </is>
      </c>
      <c r="P2370" s="42" t="inlineStr">
        <is>
          <t>서초중앙로24길 57</t>
        </is>
      </c>
      <c r="Q2370" s="41" t="inlineStr">
        <is>
          <t>-</t>
        </is>
      </c>
      <c r="R2370" s="42" t="inlineStr">
        <is>
          <t>중개거래</t>
        </is>
      </c>
      <c r="S2370" s="42" t="inlineStr">
        <is>
          <t>서울 서초구</t>
        </is>
      </c>
      <c r="T2370" s="41" t="inlineStr">
        <is>
          <t>25.07.10</t>
        </is>
      </c>
      <c r="U2370" s="42" t="inlineStr">
        <is>
          <t>아파트</t>
        </is>
      </c>
    </row>
    <row r="2371" hidden="1" ht="17.25" customHeight="1">
      <c r="A2371" s="41" t="n">
        <v>712</v>
      </c>
      <c r="B2371" s="42" t="inlineStr">
        <is>
          <t>서울특별시 서초구 서초동</t>
        </is>
      </c>
      <c r="C2371" s="41" t="inlineStr">
        <is>
          <t>1582-3</t>
        </is>
      </c>
      <c r="D2371" s="41" t="inlineStr">
        <is>
          <t>1582</t>
        </is>
      </c>
      <c r="E2371" s="41" t="inlineStr">
        <is>
          <t>0003</t>
        </is>
      </c>
      <c r="F2371" s="42" t="inlineStr">
        <is>
          <t>서초센트럴IPARK</t>
        </is>
      </c>
      <c r="G2371" s="41" t="inlineStr">
        <is>
          <t>80.5154</t>
        </is>
      </c>
      <c r="H2371" s="41" t="inlineStr">
        <is>
          <t>202505</t>
        </is>
      </c>
      <c r="I2371" s="41" t="inlineStr">
        <is>
          <t>02</t>
        </is>
      </c>
      <c r="J2371" s="41" t="inlineStr">
        <is>
          <t>165,000</t>
        </is>
      </c>
      <c r="K2371" s="41" t="inlineStr">
        <is>
          <t>101동</t>
        </is>
      </c>
      <c r="L2371" s="41" t="inlineStr">
        <is>
          <t>8</t>
        </is>
      </c>
      <c r="M2371" s="42" t="inlineStr">
        <is>
          <t>개인</t>
        </is>
      </c>
      <c r="N2371" s="42" t="inlineStr">
        <is>
          <t>개인</t>
        </is>
      </c>
      <c r="O2371" s="41" t="inlineStr">
        <is>
          <t>2020</t>
        </is>
      </c>
      <c r="P2371" s="42" t="inlineStr">
        <is>
          <t>반포대로18길 36</t>
        </is>
      </c>
      <c r="Q2371" s="41" t="inlineStr">
        <is>
          <t>-</t>
        </is>
      </c>
      <c r="R2371" s="42" t="inlineStr">
        <is>
          <t>중개거래</t>
        </is>
      </c>
      <c r="S2371" s="42" t="inlineStr">
        <is>
          <t>서울 동작구, 서울 서초구</t>
        </is>
      </c>
      <c r="T2371" s="41" t="inlineStr">
        <is>
          <t>25.07.25</t>
        </is>
      </c>
      <c r="U2371" s="42" t="inlineStr">
        <is>
          <t>아파트</t>
        </is>
      </c>
    </row>
    <row r="2372" hidden="1" ht="17.25" customHeight="1">
      <c r="A2372" s="41" t="n">
        <v>713</v>
      </c>
      <c r="B2372" s="42" t="inlineStr">
        <is>
          <t>서울특별시 서초구 서초동</t>
        </is>
      </c>
      <c r="C2372" s="41" t="inlineStr">
        <is>
          <t>1583-10</t>
        </is>
      </c>
      <c r="D2372" s="41" t="inlineStr">
        <is>
          <t>1583</t>
        </is>
      </c>
      <c r="E2372" s="41" t="inlineStr">
        <is>
          <t>0010</t>
        </is>
      </c>
      <c r="F2372" s="42" t="inlineStr">
        <is>
          <t>서초아트자이</t>
        </is>
      </c>
      <c r="G2372" s="41" t="inlineStr">
        <is>
          <t>144.3141</t>
        </is>
      </c>
      <c r="H2372" s="41" t="inlineStr">
        <is>
          <t>202505</t>
        </is>
      </c>
      <c r="I2372" s="41" t="inlineStr">
        <is>
          <t>02</t>
        </is>
      </c>
      <c r="J2372" s="41" t="inlineStr">
        <is>
          <t>245,000</t>
        </is>
      </c>
      <c r="K2372" s="41" t="inlineStr">
        <is>
          <t>103</t>
        </is>
      </c>
      <c r="L2372" s="41" t="inlineStr">
        <is>
          <t>13</t>
        </is>
      </c>
      <c r="M2372" s="42" t="inlineStr">
        <is>
          <t>개인</t>
        </is>
      </c>
      <c r="N2372" s="42" t="inlineStr">
        <is>
          <t>개인</t>
        </is>
      </c>
      <c r="O2372" s="41" t="inlineStr">
        <is>
          <t>2009</t>
        </is>
      </c>
      <c r="P2372" s="42" t="inlineStr">
        <is>
          <t>반포대로 58</t>
        </is>
      </c>
      <c r="Q2372" s="41" t="inlineStr">
        <is>
          <t>-</t>
        </is>
      </c>
      <c r="R2372" s="42" t="inlineStr">
        <is>
          <t>중개거래</t>
        </is>
      </c>
      <c r="S2372" s="42" t="inlineStr">
        <is>
          <t>서울 서초구</t>
        </is>
      </c>
      <c r="T2372" s="41" t="inlineStr">
        <is>
          <t>25.06.09</t>
        </is>
      </c>
      <c r="U2372" s="42" t="inlineStr">
        <is>
          <t>아파트</t>
        </is>
      </c>
    </row>
    <row r="2373" hidden="1" ht="17.25" customHeight="1">
      <c r="A2373" s="41" t="n">
        <v>714</v>
      </c>
      <c r="B2373" s="42" t="inlineStr">
        <is>
          <t>서울특별시 서초구 서초동</t>
        </is>
      </c>
      <c r="C2373" s="41" t="inlineStr">
        <is>
          <t>1332-13</t>
        </is>
      </c>
      <c r="D2373" s="41" t="inlineStr">
        <is>
          <t>1332</t>
        </is>
      </c>
      <c r="E2373" s="41" t="inlineStr">
        <is>
          <t>0013</t>
        </is>
      </c>
      <c r="F2373" s="42" t="inlineStr">
        <is>
          <t>래미안서초에스티지</t>
        </is>
      </c>
      <c r="G2373" s="41" t="inlineStr">
        <is>
          <t>59.9900</t>
        </is>
      </c>
      <c r="H2373" s="41" t="inlineStr">
        <is>
          <t>202505</t>
        </is>
      </c>
      <c r="I2373" s="41" t="inlineStr">
        <is>
          <t>01</t>
        </is>
      </c>
      <c r="J2373" s="41" t="inlineStr">
        <is>
          <t>270,000</t>
        </is>
      </c>
      <c r="K2373" s="41" t="inlineStr">
        <is>
          <t>103동</t>
        </is>
      </c>
      <c r="L2373" s="41" t="inlineStr">
        <is>
          <t>22</t>
        </is>
      </c>
      <c r="M2373" s="42" t="inlineStr">
        <is>
          <t>개인</t>
        </is>
      </c>
      <c r="N2373" s="42" t="inlineStr">
        <is>
          <t>개인</t>
        </is>
      </c>
      <c r="O2373" s="41" t="inlineStr">
        <is>
          <t>2016</t>
        </is>
      </c>
      <c r="P2373" s="42" t="inlineStr">
        <is>
          <t>서운로 107</t>
        </is>
      </c>
      <c r="Q2373" s="41" t="inlineStr">
        <is>
          <t>-</t>
        </is>
      </c>
      <c r="R2373" s="42" t="inlineStr">
        <is>
          <t>중개거래</t>
        </is>
      </c>
      <c r="S2373" s="42" t="inlineStr">
        <is>
          <t>서울 서초구</t>
        </is>
      </c>
      <c r="T2373" s="41" t="inlineStr">
        <is>
          <t>25.07.08</t>
        </is>
      </c>
      <c r="U2373" s="42" t="inlineStr">
        <is>
          <t>아파트</t>
        </is>
      </c>
    </row>
    <row r="2374" hidden="1" ht="17.25" customHeight="1">
      <c r="A2374" s="41" t="n">
        <v>715</v>
      </c>
      <c r="B2374" s="42" t="inlineStr">
        <is>
          <t>서울특별시 서초구 서초동</t>
        </is>
      </c>
      <c r="C2374" s="41" t="inlineStr">
        <is>
          <t>1445-4</t>
        </is>
      </c>
      <c r="D2374" s="41" t="inlineStr">
        <is>
          <t>1445</t>
        </is>
      </c>
      <c r="E2374" s="41" t="inlineStr">
        <is>
          <t>0004</t>
        </is>
      </c>
      <c r="F2374" s="42" t="inlineStr">
        <is>
          <t>래미안서초유니빌</t>
        </is>
      </c>
      <c r="G2374" s="41" t="inlineStr">
        <is>
          <t>45.2550</t>
        </is>
      </c>
      <c r="H2374" s="41" t="inlineStr">
        <is>
          <t>202505</t>
        </is>
      </c>
      <c r="I2374" s="41" t="inlineStr">
        <is>
          <t>01</t>
        </is>
      </c>
      <c r="J2374" s="41" t="inlineStr">
        <is>
          <t>45,000</t>
        </is>
      </c>
      <c r="K2374" s="42" t="inlineStr">
        <is>
          <t>래미안 서초유니빌</t>
        </is>
      </c>
      <c r="L2374" s="41" t="inlineStr">
        <is>
          <t>9</t>
        </is>
      </c>
      <c r="M2374" s="42" t="inlineStr">
        <is>
          <t>개인</t>
        </is>
      </c>
      <c r="N2374" s="42" t="inlineStr">
        <is>
          <t>개인</t>
        </is>
      </c>
      <c r="O2374" s="41" t="inlineStr">
        <is>
          <t>2003</t>
        </is>
      </c>
      <c r="P2374" s="42" t="inlineStr">
        <is>
          <t>서초중앙로 26</t>
        </is>
      </c>
      <c r="Q2374" s="41" t="inlineStr">
        <is>
          <t>-</t>
        </is>
      </c>
      <c r="R2374" s="42" t="inlineStr">
        <is>
          <t>중개거래</t>
        </is>
      </c>
      <c r="S2374" s="42" t="inlineStr">
        <is>
          <t>서울 서초구</t>
        </is>
      </c>
      <c r="T2374" s="41" t="inlineStr">
        <is>
          <t>25.06.16</t>
        </is>
      </c>
      <c r="U2374" s="42" t="inlineStr">
        <is>
          <t>아파트</t>
        </is>
      </c>
    </row>
    <row r="2375" hidden="1" ht="17.25" customHeight="1">
      <c r="A2375" s="41" t="n">
        <v>716</v>
      </c>
      <c r="B2375" s="42" t="inlineStr">
        <is>
          <t>서울특별시 서초구 서초동</t>
        </is>
      </c>
      <c r="C2375" s="41" t="inlineStr">
        <is>
          <t>1445-4</t>
        </is>
      </c>
      <c r="D2375" s="41" t="inlineStr">
        <is>
          <t>1445</t>
        </is>
      </c>
      <c r="E2375" s="41" t="inlineStr">
        <is>
          <t>0004</t>
        </is>
      </c>
      <c r="F2375" s="42" t="inlineStr">
        <is>
          <t>래미안서초유니빌</t>
        </is>
      </c>
      <c r="G2375" s="41" t="inlineStr">
        <is>
          <t>45.2550</t>
        </is>
      </c>
      <c r="H2375" s="41" t="inlineStr">
        <is>
          <t>202505</t>
        </is>
      </c>
      <c r="I2375" s="41" t="inlineStr">
        <is>
          <t>01</t>
        </is>
      </c>
      <c r="J2375" s="41" t="inlineStr">
        <is>
          <t>45,000</t>
        </is>
      </c>
      <c r="K2375" s="42" t="inlineStr">
        <is>
          <t>래미안 서초유니빌</t>
        </is>
      </c>
      <c r="L2375" s="41" t="inlineStr">
        <is>
          <t>8</t>
        </is>
      </c>
      <c r="M2375" s="42" t="inlineStr">
        <is>
          <t>개인</t>
        </is>
      </c>
      <c r="N2375" s="42" t="inlineStr">
        <is>
          <t>개인</t>
        </is>
      </c>
      <c r="O2375" s="41" t="inlineStr">
        <is>
          <t>2003</t>
        </is>
      </c>
      <c r="P2375" s="42" t="inlineStr">
        <is>
          <t>서초중앙로 26</t>
        </is>
      </c>
      <c r="Q2375" s="41" t="inlineStr">
        <is>
          <t>-</t>
        </is>
      </c>
      <c r="R2375" s="42" t="inlineStr">
        <is>
          <t>중개거래</t>
        </is>
      </c>
      <c r="S2375" s="42" t="inlineStr">
        <is>
          <t>서울 서초구</t>
        </is>
      </c>
      <c r="T2375" s="41" t="inlineStr">
        <is>
          <t>25.06.02</t>
        </is>
      </c>
      <c r="U2375" s="42" t="inlineStr">
        <is>
          <t>아파트</t>
        </is>
      </c>
    </row>
    <row r="2376" hidden="1" ht="17.25" customHeight="1">
      <c r="A2376" s="41" t="n">
        <v>717</v>
      </c>
      <c r="B2376" s="42" t="inlineStr">
        <is>
          <t>서울특별시 서초구 서초동</t>
        </is>
      </c>
      <c r="C2376" s="41" t="inlineStr">
        <is>
          <t>1312-3</t>
        </is>
      </c>
      <c r="D2376" s="41" t="inlineStr">
        <is>
          <t>1312</t>
        </is>
      </c>
      <c r="E2376" s="41" t="inlineStr">
        <is>
          <t>0003</t>
        </is>
      </c>
      <c r="F2376" s="42" t="inlineStr">
        <is>
          <t>롯데캐슬클래식</t>
        </is>
      </c>
      <c r="G2376" s="41" t="inlineStr">
        <is>
          <t>120.1800</t>
        </is>
      </c>
      <c r="H2376" s="41" t="inlineStr">
        <is>
          <t>202505</t>
        </is>
      </c>
      <c r="I2376" s="41" t="inlineStr">
        <is>
          <t>01</t>
        </is>
      </c>
      <c r="J2376" s="41" t="inlineStr">
        <is>
          <t>315,000</t>
        </is>
      </c>
      <c r="K2376" s="41" t="inlineStr">
        <is>
          <t>113</t>
        </is>
      </c>
      <c r="L2376" s="41" t="inlineStr">
        <is>
          <t>6</t>
        </is>
      </c>
      <c r="M2376" s="42" t="inlineStr">
        <is>
          <t>개인</t>
        </is>
      </c>
      <c r="N2376" s="42" t="inlineStr">
        <is>
          <t>개인</t>
        </is>
      </c>
      <c r="O2376" s="41" t="inlineStr">
        <is>
          <t>2006</t>
        </is>
      </c>
      <c r="P2376" s="42" t="inlineStr">
        <is>
          <t>서운로 200</t>
        </is>
      </c>
      <c r="Q2376" s="41" t="inlineStr">
        <is>
          <t>-</t>
        </is>
      </c>
      <c r="R2376" s="42" t="inlineStr">
        <is>
          <t>중개거래</t>
        </is>
      </c>
      <c r="S2376" s="42" t="inlineStr">
        <is>
          <t>서울 서초구</t>
        </is>
      </c>
      <c r="T2376" s="41" t="inlineStr">
        <is>
          <t>25.08.08</t>
        </is>
      </c>
      <c r="U2376" s="42" t="inlineStr">
        <is>
          <t>아파트</t>
        </is>
      </c>
    </row>
    <row r="2377" hidden="1" ht="17.25" customHeight="1">
      <c r="A2377" s="41" t="n">
        <v>718</v>
      </c>
      <c r="B2377" s="42" t="inlineStr">
        <is>
          <t>서울특별시 서초구 서초동</t>
        </is>
      </c>
      <c r="C2377" s="41" t="inlineStr">
        <is>
          <t>1492-5</t>
        </is>
      </c>
      <c r="D2377" s="41" t="inlineStr">
        <is>
          <t>1492</t>
        </is>
      </c>
      <c r="E2377" s="41" t="inlineStr">
        <is>
          <t>0005</t>
        </is>
      </c>
      <c r="F2377" s="42" t="inlineStr">
        <is>
          <t>서초트레져</t>
        </is>
      </c>
      <c r="G2377" s="41" t="inlineStr">
        <is>
          <t>216.0800</t>
        </is>
      </c>
      <c r="H2377" s="41" t="inlineStr">
        <is>
          <t>202504</t>
        </is>
      </c>
      <c r="I2377" s="41" t="inlineStr">
        <is>
          <t>30</t>
        </is>
      </c>
      <c r="J2377" s="41" t="inlineStr">
        <is>
          <t>225,000</t>
        </is>
      </c>
      <c r="K2377" s="41" t="inlineStr">
        <is>
          <t>-</t>
        </is>
      </c>
      <c r="L2377" s="41" t="inlineStr">
        <is>
          <t>1</t>
        </is>
      </c>
      <c r="M2377" s="42" t="inlineStr">
        <is>
          <t>개인</t>
        </is>
      </c>
      <c r="N2377" s="42" t="inlineStr">
        <is>
          <t>개인</t>
        </is>
      </c>
      <c r="O2377" s="41" t="inlineStr">
        <is>
          <t>2005</t>
        </is>
      </c>
      <c r="P2377" s="42" t="inlineStr">
        <is>
          <t>명달로 79</t>
        </is>
      </c>
      <c r="Q2377" s="41" t="inlineStr">
        <is>
          <t>-</t>
        </is>
      </c>
      <c r="R2377" s="42" t="inlineStr">
        <is>
          <t>중개거래</t>
        </is>
      </c>
      <c r="S2377" s="42" t="inlineStr">
        <is>
          <t>서울 강남구</t>
        </is>
      </c>
      <c r="T2377" s="41" t="inlineStr">
        <is>
          <t>25.05.16</t>
        </is>
      </c>
      <c r="U2377" s="42" t="inlineStr">
        <is>
          <t>아파트</t>
        </is>
      </c>
    </row>
    <row r="2378" hidden="1" ht="17.25" customHeight="1">
      <c r="A2378" s="41" t="n">
        <v>719</v>
      </c>
      <c r="B2378" s="42" t="inlineStr">
        <is>
          <t>서울특별시 서초구 서초동</t>
        </is>
      </c>
      <c r="C2378" s="41" t="inlineStr">
        <is>
          <t>1330</t>
        </is>
      </c>
      <c r="D2378" s="41" t="inlineStr">
        <is>
          <t>1330</t>
        </is>
      </c>
      <c r="E2378" s="41" t="inlineStr">
        <is>
          <t>0000</t>
        </is>
      </c>
      <c r="F2378" s="42" t="inlineStr">
        <is>
          <t>서초동삼성쉐르빌2</t>
        </is>
      </c>
      <c r="G2378" s="41" t="inlineStr">
        <is>
          <t>35.2200</t>
        </is>
      </c>
      <c r="H2378" s="41" t="inlineStr">
        <is>
          <t>202504</t>
        </is>
      </c>
      <c r="I2378" s="41" t="inlineStr">
        <is>
          <t>29</t>
        </is>
      </c>
      <c r="J2378" s="41" t="inlineStr">
        <is>
          <t>34,000</t>
        </is>
      </c>
      <c r="K2378" s="41" t="inlineStr">
        <is>
          <t>-</t>
        </is>
      </c>
      <c r="L2378" s="41" t="inlineStr">
        <is>
          <t>13</t>
        </is>
      </c>
      <c r="M2378" s="42" t="inlineStr">
        <is>
          <t>개인</t>
        </is>
      </c>
      <c r="N2378" s="42" t="inlineStr">
        <is>
          <t>개인</t>
        </is>
      </c>
      <c r="O2378" s="41" t="inlineStr">
        <is>
          <t>2002</t>
        </is>
      </c>
      <c r="P2378" s="42" t="inlineStr">
        <is>
          <t>강남대로53길 11</t>
        </is>
      </c>
      <c r="Q2378" s="41" t="inlineStr">
        <is>
          <t>-</t>
        </is>
      </c>
      <c r="R2378" s="42" t="inlineStr">
        <is>
          <t>중개거래</t>
        </is>
      </c>
      <c r="S2378" s="42" t="inlineStr">
        <is>
          <t>서울 서초구</t>
        </is>
      </c>
      <c r="T2378" s="41" t="inlineStr">
        <is>
          <t>25.06.27</t>
        </is>
      </c>
      <c r="U2378" s="42" t="inlineStr">
        <is>
          <t>아파트</t>
        </is>
      </c>
    </row>
    <row r="2379" hidden="1" ht="17.25" customHeight="1">
      <c r="A2379" s="41" t="n">
        <v>720</v>
      </c>
      <c r="B2379" s="42" t="inlineStr">
        <is>
          <t>서울특별시 서초구 서초동</t>
        </is>
      </c>
      <c r="C2379" s="41" t="inlineStr">
        <is>
          <t>1467-62</t>
        </is>
      </c>
      <c r="D2379" s="41" t="inlineStr">
        <is>
          <t>1467</t>
        </is>
      </c>
      <c r="E2379" s="41" t="inlineStr">
        <is>
          <t>0062</t>
        </is>
      </c>
      <c r="F2379" s="42" t="inlineStr">
        <is>
          <t>서초5차e편한세상</t>
        </is>
      </c>
      <c r="G2379" s="41" t="inlineStr">
        <is>
          <t>158.2400</t>
        </is>
      </c>
      <c r="H2379" s="41" t="inlineStr">
        <is>
          <t>202504</t>
        </is>
      </c>
      <c r="I2379" s="41" t="inlineStr">
        <is>
          <t>28</t>
        </is>
      </c>
      <c r="J2379" s="41" t="inlineStr">
        <is>
          <t>238,000</t>
        </is>
      </c>
      <c r="K2379" s="41" t="inlineStr">
        <is>
          <t>501</t>
        </is>
      </c>
      <c r="L2379" s="41" t="inlineStr">
        <is>
          <t>10</t>
        </is>
      </c>
      <c r="M2379" s="42" t="inlineStr">
        <is>
          <t>개인</t>
        </is>
      </c>
      <c r="N2379" s="42" t="inlineStr">
        <is>
          <t>개인</t>
        </is>
      </c>
      <c r="O2379" s="41" t="inlineStr">
        <is>
          <t>2005</t>
        </is>
      </c>
      <c r="P2379" s="42" t="inlineStr">
        <is>
          <t>명달로4길 30</t>
        </is>
      </c>
      <c r="Q2379" s="41" t="inlineStr">
        <is>
          <t>-</t>
        </is>
      </c>
      <c r="R2379" s="42" t="inlineStr">
        <is>
          <t>중개거래</t>
        </is>
      </c>
      <c r="S2379" s="42" t="inlineStr">
        <is>
          <t>서울 서초구</t>
        </is>
      </c>
      <c r="T2379" s="41" t="inlineStr">
        <is>
          <t>25.06.13</t>
        </is>
      </c>
      <c r="U2379" s="42" t="inlineStr">
        <is>
          <t>아파트</t>
        </is>
      </c>
    </row>
    <row r="2380" hidden="1" ht="17.25" customHeight="1">
      <c r="A2380" s="41" t="n">
        <v>721</v>
      </c>
      <c r="B2380" s="42" t="inlineStr">
        <is>
          <t>서울특별시 서초구 서초동</t>
        </is>
      </c>
      <c r="C2380" s="41" t="inlineStr">
        <is>
          <t>1344-13</t>
        </is>
      </c>
      <c r="D2380" s="41" t="inlineStr">
        <is>
          <t>1344</t>
        </is>
      </c>
      <c r="E2380" s="41" t="inlineStr">
        <is>
          <t>0013</t>
        </is>
      </c>
      <c r="F2380" s="42" t="inlineStr">
        <is>
          <t>서초트라팰리스</t>
        </is>
      </c>
      <c r="G2380" s="41" t="inlineStr">
        <is>
          <t>73.4200</t>
        </is>
      </c>
      <c r="H2380" s="41" t="inlineStr">
        <is>
          <t>202504</t>
        </is>
      </c>
      <c r="I2380" s="41" t="inlineStr">
        <is>
          <t>26</t>
        </is>
      </c>
      <c r="J2380" s="41" t="inlineStr">
        <is>
          <t>135,000</t>
        </is>
      </c>
      <c r="K2380" s="41" t="inlineStr">
        <is>
          <t>B</t>
        </is>
      </c>
      <c r="L2380" s="41" t="inlineStr">
        <is>
          <t>6</t>
        </is>
      </c>
      <c r="M2380" s="42" t="inlineStr">
        <is>
          <t>개인</t>
        </is>
      </c>
      <c r="N2380" s="42" t="inlineStr">
        <is>
          <t>개인</t>
        </is>
      </c>
      <c r="O2380" s="41" t="inlineStr">
        <is>
          <t>2005</t>
        </is>
      </c>
      <c r="P2380" s="42" t="inlineStr">
        <is>
          <t>효령로72길 57</t>
        </is>
      </c>
      <c r="Q2380" s="41" t="inlineStr">
        <is>
          <t>-</t>
        </is>
      </c>
      <c r="R2380" s="42" t="inlineStr">
        <is>
          <t>중개거래</t>
        </is>
      </c>
      <c r="S2380" s="42" t="inlineStr">
        <is>
          <t>서울 서초구</t>
        </is>
      </c>
      <c r="T2380" s="41" t="inlineStr">
        <is>
          <t>25.07.23</t>
        </is>
      </c>
      <c r="U2380" s="42" t="inlineStr">
        <is>
          <t>아파트</t>
        </is>
      </c>
    </row>
    <row r="2381" hidden="1" ht="17.25" customHeight="1">
      <c r="A2381" s="41" t="n">
        <v>722</v>
      </c>
      <c r="B2381" s="42" t="inlineStr">
        <is>
          <t>서울특별시 서초구 서초동</t>
        </is>
      </c>
      <c r="C2381" s="41" t="inlineStr">
        <is>
          <t>1514-6</t>
        </is>
      </c>
      <c r="D2381" s="41" t="inlineStr">
        <is>
          <t>1514</t>
        </is>
      </c>
      <c r="E2381" s="41" t="inlineStr">
        <is>
          <t>0006</t>
        </is>
      </c>
      <c r="F2381" s="42" t="inlineStr">
        <is>
          <t>옥스포드빌라트</t>
        </is>
      </c>
      <c r="G2381" s="41" t="inlineStr">
        <is>
          <t>76.4100</t>
        </is>
      </c>
      <c r="H2381" s="41" t="inlineStr">
        <is>
          <t>202504</t>
        </is>
      </c>
      <c r="I2381" s="41" t="inlineStr">
        <is>
          <t>25</t>
        </is>
      </c>
      <c r="J2381" s="41" t="inlineStr">
        <is>
          <t>105,000</t>
        </is>
      </c>
      <c r="K2381" s="41" t="inlineStr">
        <is>
          <t>-</t>
        </is>
      </c>
      <c r="L2381" s="41" t="inlineStr">
        <is>
          <t>5</t>
        </is>
      </c>
      <c r="M2381" s="42" t="inlineStr">
        <is>
          <t>개인</t>
        </is>
      </c>
      <c r="N2381" s="42" t="inlineStr">
        <is>
          <t>개인</t>
        </is>
      </c>
      <c r="O2381" s="41" t="inlineStr">
        <is>
          <t>2003</t>
        </is>
      </c>
      <c r="P2381" s="42" t="inlineStr">
        <is>
          <t>명달로20길 25</t>
        </is>
      </c>
      <c r="Q2381" s="41" t="inlineStr">
        <is>
          <t>20250701</t>
        </is>
      </c>
      <c r="R2381" s="42" t="inlineStr">
        <is>
          <t>중개거래</t>
        </is>
      </c>
      <c r="S2381" s="42" t="inlineStr">
        <is>
          <t>서울 서초구</t>
        </is>
      </c>
      <c r="T2381" s="41" t="inlineStr">
        <is>
          <t>-</t>
        </is>
      </c>
      <c r="U2381" s="42" t="inlineStr">
        <is>
          <t>아파트</t>
        </is>
      </c>
    </row>
    <row r="2382" hidden="1" ht="17.25" customHeight="1">
      <c r="A2382" s="41" t="n">
        <v>723</v>
      </c>
      <c r="B2382" s="42" t="inlineStr">
        <is>
          <t>서울특별시 서초구 서초동</t>
        </is>
      </c>
      <c r="C2382" s="41" t="inlineStr">
        <is>
          <t>1338-1</t>
        </is>
      </c>
      <c r="D2382" s="41" t="inlineStr">
        <is>
          <t>1338</t>
        </is>
      </c>
      <c r="E2382" s="41" t="inlineStr">
        <is>
          <t>0001</t>
        </is>
      </c>
      <c r="F2382" s="42" t="inlineStr">
        <is>
          <t>풍림아이원플러스</t>
        </is>
      </c>
      <c r="G2382" s="41" t="inlineStr">
        <is>
          <t>35.9030</t>
        </is>
      </c>
      <c r="H2382" s="41" t="inlineStr">
        <is>
          <t>202504</t>
        </is>
      </c>
      <c r="I2382" s="41" t="inlineStr">
        <is>
          <t>24</t>
        </is>
      </c>
      <c r="J2382" s="41" t="inlineStr">
        <is>
          <t>37,000</t>
        </is>
      </c>
      <c r="K2382" s="42" t="inlineStr">
        <is>
          <t>풍림아이원플러스</t>
        </is>
      </c>
      <c r="L2382" s="41" t="inlineStr">
        <is>
          <t>8</t>
        </is>
      </c>
      <c r="M2382" s="42" t="inlineStr">
        <is>
          <t>개인</t>
        </is>
      </c>
      <c r="N2382" s="42" t="inlineStr">
        <is>
          <t>개인</t>
        </is>
      </c>
      <c r="O2382" s="41" t="inlineStr">
        <is>
          <t>2004</t>
        </is>
      </c>
      <c r="P2382" s="42" t="inlineStr">
        <is>
          <t>효령로77길 14</t>
        </is>
      </c>
      <c r="Q2382" s="41" t="inlineStr">
        <is>
          <t>-</t>
        </is>
      </c>
      <c r="R2382" s="42" t="inlineStr">
        <is>
          <t>중개거래</t>
        </is>
      </c>
      <c r="S2382" s="42" t="inlineStr">
        <is>
          <t>서울 서초구</t>
        </is>
      </c>
      <c r="T2382" s="41" t="inlineStr">
        <is>
          <t>25.08.14</t>
        </is>
      </c>
      <c r="U2382" s="42" t="inlineStr">
        <is>
          <t>아파트</t>
        </is>
      </c>
    </row>
    <row r="2383" hidden="1" ht="17.25" customHeight="1">
      <c r="A2383" s="41" t="n">
        <v>724</v>
      </c>
      <c r="B2383" s="42" t="inlineStr">
        <is>
          <t>서울특별시 서초구 서초동</t>
        </is>
      </c>
      <c r="C2383" s="41" t="inlineStr">
        <is>
          <t>1593-7</t>
        </is>
      </c>
      <c r="D2383" s="41" t="inlineStr">
        <is>
          <t>1593</t>
        </is>
      </c>
      <c r="E2383" s="41" t="inlineStr">
        <is>
          <t>0007</t>
        </is>
      </c>
      <c r="F2383" s="42" t="inlineStr">
        <is>
          <t>서초이오빌</t>
        </is>
      </c>
      <c r="G2383" s="41" t="inlineStr">
        <is>
          <t>43.2000</t>
        </is>
      </c>
      <c r="H2383" s="41" t="inlineStr">
        <is>
          <t>202504</t>
        </is>
      </c>
      <c r="I2383" s="41" t="inlineStr">
        <is>
          <t>24</t>
        </is>
      </c>
      <c r="J2383" s="41" t="inlineStr">
        <is>
          <t>39,700</t>
        </is>
      </c>
      <c r="K2383" s="41" t="inlineStr">
        <is>
          <t>-</t>
        </is>
      </c>
      <c r="L2383" s="41" t="inlineStr">
        <is>
          <t>12</t>
        </is>
      </c>
      <c r="M2383" s="42" t="inlineStr">
        <is>
          <t>개인</t>
        </is>
      </c>
      <c r="N2383" s="42" t="inlineStr">
        <is>
          <t>개인</t>
        </is>
      </c>
      <c r="O2383" s="41" t="inlineStr">
        <is>
          <t>2003</t>
        </is>
      </c>
      <c r="P2383" s="42" t="inlineStr">
        <is>
          <t>효령로53길 45</t>
        </is>
      </c>
      <c r="Q2383" s="41" t="inlineStr">
        <is>
          <t>-</t>
        </is>
      </c>
      <c r="R2383" s="42" t="inlineStr">
        <is>
          <t>중개거래</t>
        </is>
      </c>
      <c r="S2383" s="42" t="inlineStr">
        <is>
          <t>서울 서초구</t>
        </is>
      </c>
      <c r="T2383" s="41" t="inlineStr">
        <is>
          <t>25.06.12</t>
        </is>
      </c>
      <c r="U2383" s="42" t="inlineStr">
        <is>
          <t>아파트</t>
        </is>
      </c>
    </row>
    <row r="2384" hidden="1" ht="17.25" customHeight="1">
      <c r="A2384" s="41" t="n">
        <v>725</v>
      </c>
      <c r="B2384" s="42" t="inlineStr">
        <is>
          <t>서울특별시 서초구 서초동</t>
        </is>
      </c>
      <c r="C2384" s="41" t="inlineStr">
        <is>
          <t>1362</t>
        </is>
      </c>
      <c r="D2384" s="41" t="inlineStr">
        <is>
          <t>1362</t>
        </is>
      </c>
      <c r="E2384" s="41" t="inlineStr">
        <is>
          <t>0000</t>
        </is>
      </c>
      <c r="F2384" s="42" t="inlineStr">
        <is>
          <t>두산위브(1362)</t>
        </is>
      </c>
      <c r="G2384" s="41" t="inlineStr">
        <is>
          <t>73.0800</t>
        </is>
      </c>
      <c r="H2384" s="41" t="inlineStr">
        <is>
          <t>202504</t>
        </is>
      </c>
      <c r="I2384" s="41" t="inlineStr">
        <is>
          <t>23</t>
        </is>
      </c>
      <c r="J2384" s="41" t="inlineStr">
        <is>
          <t>117,000</t>
        </is>
      </c>
      <c r="K2384" s="41" t="inlineStr">
        <is>
          <t>-</t>
        </is>
      </c>
      <c r="L2384" s="41" t="inlineStr">
        <is>
          <t>6</t>
        </is>
      </c>
      <c r="M2384" s="42" t="inlineStr">
        <is>
          <t>개인</t>
        </is>
      </c>
      <c r="N2384" s="42" t="inlineStr">
        <is>
          <t>개인</t>
        </is>
      </c>
      <c r="O2384" s="41" t="inlineStr">
        <is>
          <t>2005</t>
        </is>
      </c>
      <c r="P2384" s="42" t="inlineStr">
        <is>
          <t>강남대로39길 5</t>
        </is>
      </c>
      <c r="Q2384" s="41" t="inlineStr">
        <is>
          <t>-</t>
        </is>
      </c>
      <c r="R2384" s="42" t="inlineStr">
        <is>
          <t>중개거래</t>
        </is>
      </c>
      <c r="S2384" s="42" t="inlineStr">
        <is>
          <t>서울 강남구, 서울 서초구</t>
        </is>
      </c>
      <c r="T2384" s="41" t="inlineStr">
        <is>
          <t>25.07.07</t>
        </is>
      </c>
      <c r="U2384" s="42" t="inlineStr">
        <is>
          <t>아파트</t>
        </is>
      </c>
    </row>
    <row r="2385" hidden="1" ht="17.25" customHeight="1">
      <c r="A2385" s="41" t="n">
        <v>726</v>
      </c>
      <c r="B2385" s="42" t="inlineStr">
        <is>
          <t>서울특별시 서초구 서초동</t>
        </is>
      </c>
      <c r="C2385" s="41" t="inlineStr">
        <is>
          <t>1682</t>
        </is>
      </c>
      <c r="D2385" s="41" t="inlineStr">
        <is>
          <t>1682</t>
        </is>
      </c>
      <c r="E2385" s="41" t="inlineStr">
        <is>
          <t>0000</t>
        </is>
      </c>
      <c r="F2385" s="42" t="inlineStr">
        <is>
          <t>서초래미안</t>
        </is>
      </c>
      <c r="G2385" s="41" t="inlineStr">
        <is>
          <t>126.3100</t>
        </is>
      </c>
      <c r="H2385" s="41" t="inlineStr">
        <is>
          <t>202504</t>
        </is>
      </c>
      <c r="I2385" s="41" t="inlineStr">
        <is>
          <t>23</t>
        </is>
      </c>
      <c r="J2385" s="41" t="inlineStr">
        <is>
          <t>293,000</t>
        </is>
      </c>
      <c r="K2385" s="41" t="inlineStr">
        <is>
          <t>109</t>
        </is>
      </c>
      <c r="L2385" s="41" t="inlineStr">
        <is>
          <t>18</t>
        </is>
      </c>
      <c r="M2385" s="42" t="inlineStr">
        <is>
          <t>개인</t>
        </is>
      </c>
      <c r="N2385" s="42" t="inlineStr">
        <is>
          <t>개인</t>
        </is>
      </c>
      <c r="O2385" s="41" t="inlineStr">
        <is>
          <t>2003</t>
        </is>
      </c>
      <c r="P2385" s="42" t="inlineStr">
        <is>
          <t>서초대로65길 13-10</t>
        </is>
      </c>
      <c r="Q2385" s="41" t="inlineStr">
        <is>
          <t>-</t>
        </is>
      </c>
      <c r="R2385" s="42" t="inlineStr">
        <is>
          <t>중개거래</t>
        </is>
      </c>
      <c r="S2385" s="42" t="inlineStr">
        <is>
          <t>서울 서초구</t>
        </is>
      </c>
      <c r="T2385" s="41" t="inlineStr">
        <is>
          <t>25.06.30</t>
        </is>
      </c>
      <c r="U2385" s="42" t="inlineStr">
        <is>
          <t>아파트</t>
        </is>
      </c>
    </row>
    <row r="2386" hidden="1" ht="17.25" customHeight="1">
      <c r="A2386" s="41" t="n">
        <v>727</v>
      </c>
      <c r="B2386" s="42" t="inlineStr">
        <is>
          <t>서울특별시 서초구 서초동</t>
        </is>
      </c>
      <c r="C2386" s="41" t="inlineStr">
        <is>
          <t>1491-31</t>
        </is>
      </c>
      <c r="D2386" s="41" t="inlineStr">
        <is>
          <t>1491</t>
        </is>
      </c>
      <c r="E2386" s="41" t="inlineStr">
        <is>
          <t>0031</t>
        </is>
      </c>
      <c r="F2386" s="42" t="inlineStr">
        <is>
          <t>상지리츠빌(6)</t>
        </is>
      </c>
      <c r="G2386" s="41" t="inlineStr">
        <is>
          <t>143.7800</t>
        </is>
      </c>
      <c r="H2386" s="41" t="inlineStr">
        <is>
          <t>202504</t>
        </is>
      </c>
      <c r="I2386" s="41" t="inlineStr">
        <is>
          <t>23</t>
        </is>
      </c>
      <c r="J2386" s="41" t="inlineStr">
        <is>
          <t>180,800</t>
        </is>
      </c>
      <c r="K2386" s="41" t="inlineStr">
        <is>
          <t>6차</t>
        </is>
      </c>
      <c r="L2386" s="41" t="inlineStr">
        <is>
          <t>4</t>
        </is>
      </c>
      <c r="M2386" s="42" t="inlineStr">
        <is>
          <t>개인</t>
        </is>
      </c>
      <c r="N2386" s="42" t="inlineStr">
        <is>
          <t>개인</t>
        </is>
      </c>
      <c r="O2386" s="41" t="inlineStr">
        <is>
          <t>2004</t>
        </is>
      </c>
      <c r="P2386" s="42" t="inlineStr">
        <is>
          <t>명달로13길 21</t>
        </is>
      </c>
      <c r="Q2386" s="41" t="inlineStr">
        <is>
          <t>-</t>
        </is>
      </c>
      <c r="R2386" s="42" t="inlineStr">
        <is>
          <t>중개거래</t>
        </is>
      </c>
      <c r="S2386" s="42" t="inlineStr">
        <is>
          <t>서울 서초구</t>
        </is>
      </c>
      <c r="T2386" s="41" t="inlineStr">
        <is>
          <t>25.08.01</t>
        </is>
      </c>
      <c r="U2386" s="42" t="inlineStr">
        <is>
          <t>아파트</t>
        </is>
      </c>
    </row>
    <row r="2387" hidden="1" ht="17.25" customHeight="1">
      <c r="A2387" s="41" t="n">
        <v>728</v>
      </c>
      <c r="B2387" s="42" t="inlineStr">
        <is>
          <t>서울특별시 서초구 서초동</t>
        </is>
      </c>
      <c r="C2387" s="41" t="inlineStr">
        <is>
          <t>1755</t>
        </is>
      </c>
      <c r="D2387" s="41" t="inlineStr">
        <is>
          <t>1755</t>
        </is>
      </c>
      <c r="E2387" s="41" t="inlineStr">
        <is>
          <t>0000</t>
        </is>
      </c>
      <c r="F2387" s="42" t="inlineStr">
        <is>
          <t>래미안 리더스원</t>
        </is>
      </c>
      <c r="G2387" s="41" t="inlineStr">
        <is>
          <t>74.9000</t>
        </is>
      </c>
      <c r="H2387" s="41" t="inlineStr">
        <is>
          <t>202504</t>
        </is>
      </c>
      <c r="I2387" s="41" t="inlineStr">
        <is>
          <t>23</t>
        </is>
      </c>
      <c r="J2387" s="41" t="inlineStr">
        <is>
          <t>340,000</t>
        </is>
      </c>
      <c r="K2387" s="41" t="inlineStr">
        <is>
          <t>108동</t>
        </is>
      </c>
      <c r="L2387" s="41" t="inlineStr">
        <is>
          <t>5</t>
        </is>
      </c>
      <c r="M2387" s="42" t="inlineStr">
        <is>
          <t>개인</t>
        </is>
      </c>
      <c r="N2387" s="42" t="inlineStr">
        <is>
          <t>개인</t>
        </is>
      </c>
      <c r="O2387" s="41" t="inlineStr">
        <is>
          <t>2020</t>
        </is>
      </c>
      <c r="P2387" s="42" t="inlineStr">
        <is>
          <t>서운로 62</t>
        </is>
      </c>
      <c r="Q2387" s="41" t="inlineStr">
        <is>
          <t>-</t>
        </is>
      </c>
      <c r="R2387" s="42" t="inlineStr">
        <is>
          <t>중개거래</t>
        </is>
      </c>
      <c r="S2387" s="42" t="inlineStr">
        <is>
          <t>서울 강남구, 서울 서초구</t>
        </is>
      </c>
      <c r="T2387" s="41" t="inlineStr">
        <is>
          <t>25.08.01</t>
        </is>
      </c>
      <c r="U2387" s="42" t="inlineStr">
        <is>
          <t>아파트</t>
        </is>
      </c>
    </row>
    <row r="2388" hidden="1" ht="17.25" customHeight="1">
      <c r="A2388" s="41" t="n">
        <v>729</v>
      </c>
      <c r="B2388" s="42" t="inlineStr">
        <is>
          <t>서울특별시 서초구 서초동</t>
        </is>
      </c>
      <c r="C2388" s="41" t="inlineStr">
        <is>
          <t>1593-7</t>
        </is>
      </c>
      <c r="D2388" s="41" t="inlineStr">
        <is>
          <t>1593</t>
        </is>
      </c>
      <c r="E2388" s="41" t="inlineStr">
        <is>
          <t>0007</t>
        </is>
      </c>
      <c r="F2388" s="42" t="inlineStr">
        <is>
          <t>서초이오빌</t>
        </is>
      </c>
      <c r="G2388" s="41" t="inlineStr">
        <is>
          <t>45.9600</t>
        </is>
      </c>
      <c r="H2388" s="41" t="inlineStr">
        <is>
          <t>202504</t>
        </is>
      </c>
      <c r="I2388" s="41" t="inlineStr">
        <is>
          <t>22</t>
        </is>
      </c>
      <c r="J2388" s="41" t="inlineStr">
        <is>
          <t>43,500</t>
        </is>
      </c>
      <c r="K2388" s="41" t="inlineStr">
        <is>
          <t>-</t>
        </is>
      </c>
      <c r="L2388" s="41" t="inlineStr">
        <is>
          <t>19</t>
        </is>
      </c>
      <c r="M2388" s="42" t="inlineStr">
        <is>
          <t>개인</t>
        </is>
      </c>
      <c r="N2388" s="42" t="inlineStr">
        <is>
          <t>개인</t>
        </is>
      </c>
      <c r="O2388" s="41" t="inlineStr">
        <is>
          <t>2003</t>
        </is>
      </c>
      <c r="P2388" s="42" t="inlineStr">
        <is>
          <t>효령로53길 45</t>
        </is>
      </c>
      <c r="Q2388" s="41" t="inlineStr">
        <is>
          <t>-</t>
        </is>
      </c>
      <c r="R2388" s="42" t="inlineStr">
        <is>
          <t>중개거래</t>
        </is>
      </c>
      <c r="S2388" s="42" t="inlineStr">
        <is>
          <t>서울 서초구</t>
        </is>
      </c>
      <c r="T2388" s="41" t="inlineStr">
        <is>
          <t>25.06.27</t>
        </is>
      </c>
      <c r="U2388" s="42" t="inlineStr">
        <is>
          <t>아파트</t>
        </is>
      </c>
    </row>
    <row r="2389" hidden="1" ht="17.25" customHeight="1">
      <c r="A2389" s="41" t="n">
        <v>730</v>
      </c>
      <c r="B2389" s="42" t="inlineStr">
        <is>
          <t>서울특별시 서초구 서초동</t>
        </is>
      </c>
      <c r="C2389" s="41" t="inlineStr">
        <is>
          <t>1671-5</t>
        </is>
      </c>
      <c r="D2389" s="41" t="inlineStr">
        <is>
          <t>1671</t>
        </is>
      </c>
      <c r="E2389" s="41" t="inlineStr">
        <is>
          <t>0005</t>
        </is>
      </c>
      <c r="F2389" s="42" t="inlineStr">
        <is>
          <t>대림서초리시온</t>
        </is>
      </c>
      <c r="G2389" s="41" t="inlineStr">
        <is>
          <t>29.7600</t>
        </is>
      </c>
      <c r="H2389" s="41" t="inlineStr">
        <is>
          <t>202504</t>
        </is>
      </c>
      <c r="I2389" s="41" t="inlineStr">
        <is>
          <t>21</t>
        </is>
      </c>
      <c r="J2389" s="41" t="inlineStr">
        <is>
          <t>37,900</t>
        </is>
      </c>
      <c r="K2389" s="41" t="inlineStr">
        <is>
          <t>-</t>
        </is>
      </c>
      <c r="L2389" s="41" t="inlineStr">
        <is>
          <t>11</t>
        </is>
      </c>
      <c r="M2389" s="42" t="inlineStr">
        <is>
          <t>개인</t>
        </is>
      </c>
      <c r="N2389" s="42" t="inlineStr">
        <is>
          <t>개인</t>
        </is>
      </c>
      <c r="O2389" s="41" t="inlineStr">
        <is>
          <t>2003</t>
        </is>
      </c>
      <c r="P2389" s="42" t="inlineStr">
        <is>
          <t>서초중앙로22길 25</t>
        </is>
      </c>
      <c r="Q2389" s="41" t="inlineStr">
        <is>
          <t>-</t>
        </is>
      </c>
      <c r="R2389" s="42" t="inlineStr">
        <is>
          <t>중개거래</t>
        </is>
      </c>
      <c r="S2389" s="42" t="inlineStr">
        <is>
          <t>서울 서초구</t>
        </is>
      </c>
      <c r="T2389" s="41" t="inlineStr">
        <is>
          <t>25.06.26</t>
        </is>
      </c>
      <c r="U2389" s="42" t="inlineStr">
        <is>
          <t>아파트</t>
        </is>
      </c>
    </row>
    <row r="2390" hidden="1" ht="17.25" customHeight="1">
      <c r="A2390" s="41" t="n">
        <v>731</v>
      </c>
      <c r="B2390" s="42" t="inlineStr">
        <is>
          <t>서울특별시 서초구 서초동</t>
        </is>
      </c>
      <c r="C2390" s="41" t="inlineStr">
        <is>
          <t>1755</t>
        </is>
      </c>
      <c r="D2390" s="41" t="inlineStr">
        <is>
          <t>1755</t>
        </is>
      </c>
      <c r="E2390" s="41" t="inlineStr">
        <is>
          <t>0000</t>
        </is>
      </c>
      <c r="F2390" s="42" t="inlineStr">
        <is>
          <t>래미안 리더스원</t>
        </is>
      </c>
      <c r="G2390" s="41" t="inlineStr">
        <is>
          <t>84.9400</t>
        </is>
      </c>
      <c r="H2390" s="41" t="inlineStr">
        <is>
          <t>202504</t>
        </is>
      </c>
      <c r="I2390" s="41" t="inlineStr">
        <is>
          <t>21</t>
        </is>
      </c>
      <c r="J2390" s="41" t="inlineStr">
        <is>
          <t>370,000</t>
        </is>
      </c>
      <c r="K2390" s="41" t="inlineStr">
        <is>
          <t>108동</t>
        </is>
      </c>
      <c r="L2390" s="41" t="inlineStr">
        <is>
          <t>18</t>
        </is>
      </c>
      <c r="M2390" s="42" t="inlineStr">
        <is>
          <t>개인</t>
        </is>
      </c>
      <c r="N2390" s="42" t="inlineStr">
        <is>
          <t>개인</t>
        </is>
      </c>
      <c r="O2390" s="41" t="inlineStr">
        <is>
          <t>2020</t>
        </is>
      </c>
      <c r="P2390" s="42" t="inlineStr">
        <is>
          <t>서운로 62</t>
        </is>
      </c>
      <c r="Q2390" s="41" t="inlineStr">
        <is>
          <t>-</t>
        </is>
      </c>
      <c r="R2390" s="42" t="inlineStr">
        <is>
          <t>중개거래</t>
        </is>
      </c>
      <c r="S2390" s="42" t="inlineStr">
        <is>
          <t>서울 서초구</t>
        </is>
      </c>
      <c r="T2390" s="41" t="inlineStr">
        <is>
          <t>25.07.21</t>
        </is>
      </c>
      <c r="U2390" s="42" t="inlineStr">
        <is>
          <t>아파트</t>
        </is>
      </c>
    </row>
    <row r="2391" hidden="1" ht="17.25" customHeight="1">
      <c r="A2391" s="41" t="n">
        <v>732</v>
      </c>
      <c r="B2391" s="42" t="inlineStr">
        <is>
          <t>서울특별시 서초구 서초동</t>
        </is>
      </c>
      <c r="C2391" s="41" t="inlineStr">
        <is>
          <t>1671-5</t>
        </is>
      </c>
      <c r="D2391" s="41" t="inlineStr">
        <is>
          <t>1671</t>
        </is>
      </c>
      <c r="E2391" s="41" t="inlineStr">
        <is>
          <t>0005</t>
        </is>
      </c>
      <c r="F2391" s="42" t="inlineStr">
        <is>
          <t>대림서초리시온</t>
        </is>
      </c>
      <c r="G2391" s="41" t="inlineStr">
        <is>
          <t>49.9200</t>
        </is>
      </c>
      <c r="H2391" s="41" t="inlineStr">
        <is>
          <t>202504</t>
        </is>
      </c>
      <c r="I2391" s="41" t="inlineStr">
        <is>
          <t>20</t>
        </is>
      </c>
      <c r="J2391" s="41" t="inlineStr">
        <is>
          <t>56,500</t>
        </is>
      </c>
      <c r="K2391" s="41" t="inlineStr">
        <is>
          <t>-</t>
        </is>
      </c>
      <c r="L2391" s="41" t="inlineStr">
        <is>
          <t>4</t>
        </is>
      </c>
      <c r="M2391" s="42" t="inlineStr">
        <is>
          <t>개인</t>
        </is>
      </c>
      <c r="N2391" s="42" t="inlineStr">
        <is>
          <t>개인</t>
        </is>
      </c>
      <c r="O2391" s="41" t="inlineStr">
        <is>
          <t>2003</t>
        </is>
      </c>
      <c r="P2391" s="42" t="inlineStr">
        <is>
          <t>서초중앙로22길 25</t>
        </is>
      </c>
      <c r="Q2391" s="41" t="inlineStr">
        <is>
          <t>-</t>
        </is>
      </c>
      <c r="R2391" s="42" t="inlineStr">
        <is>
          <t>직거래</t>
        </is>
      </c>
      <c r="S2391" s="41" t="inlineStr">
        <is>
          <t>-</t>
        </is>
      </c>
      <c r="T2391" s="41" t="inlineStr">
        <is>
          <t>25.07.03</t>
        </is>
      </c>
      <c r="U2391" s="42" t="inlineStr">
        <is>
          <t>아파트</t>
        </is>
      </c>
    </row>
    <row r="2392" hidden="1" ht="17.25" customHeight="1">
      <c r="A2392" s="41" t="n">
        <v>733</v>
      </c>
      <c r="B2392" s="42" t="inlineStr">
        <is>
          <t>서울특별시 서초구 서초동</t>
        </is>
      </c>
      <c r="C2392" s="41" t="inlineStr">
        <is>
          <t>1757</t>
        </is>
      </c>
      <c r="D2392" s="41" t="inlineStr">
        <is>
          <t>1757</t>
        </is>
      </c>
      <c r="E2392" s="41" t="inlineStr">
        <is>
          <t>0000</t>
        </is>
      </c>
      <c r="F2392" s="42" t="inlineStr">
        <is>
          <t>서초그랑자이</t>
        </is>
      </c>
      <c r="G2392" s="41" t="inlineStr">
        <is>
          <t>84.8400</t>
        </is>
      </c>
      <c r="H2392" s="41" t="inlineStr">
        <is>
          <t>202504</t>
        </is>
      </c>
      <c r="I2392" s="41" t="inlineStr">
        <is>
          <t>19</t>
        </is>
      </c>
      <c r="J2392" s="41" t="inlineStr">
        <is>
          <t>385,000</t>
        </is>
      </c>
      <c r="K2392" s="41" t="inlineStr">
        <is>
          <t>101동</t>
        </is>
      </c>
      <c r="L2392" s="41" t="inlineStr">
        <is>
          <t>26</t>
        </is>
      </c>
      <c r="M2392" s="42" t="inlineStr">
        <is>
          <t>개인</t>
        </is>
      </c>
      <c r="N2392" s="42" t="inlineStr">
        <is>
          <t>개인</t>
        </is>
      </c>
      <c r="O2392" s="41" t="inlineStr">
        <is>
          <t>2021</t>
        </is>
      </c>
      <c r="P2392" s="42" t="inlineStr">
        <is>
          <t>효령로 391</t>
        </is>
      </c>
      <c r="Q2392" s="41" t="inlineStr">
        <is>
          <t>-</t>
        </is>
      </c>
      <c r="R2392" s="42" t="inlineStr">
        <is>
          <t>중개거래</t>
        </is>
      </c>
      <c r="S2392" s="42" t="inlineStr">
        <is>
          <t>서울 서초구</t>
        </is>
      </c>
      <c r="T2392" s="41" t="inlineStr">
        <is>
          <t>25.06.30</t>
        </is>
      </c>
      <c r="U2392" s="42" t="inlineStr">
        <is>
          <t>아파트</t>
        </is>
      </c>
    </row>
    <row r="2393" hidden="1" ht="17.25" customHeight="1">
      <c r="A2393" s="41" t="n">
        <v>734</v>
      </c>
      <c r="B2393" s="42" t="inlineStr">
        <is>
          <t>서울특별시 서초구 서초동</t>
        </is>
      </c>
      <c r="C2393" s="41" t="inlineStr">
        <is>
          <t>1303-35</t>
        </is>
      </c>
      <c r="D2393" s="41" t="inlineStr">
        <is>
          <t>1303</t>
        </is>
      </c>
      <c r="E2393" s="41" t="inlineStr">
        <is>
          <t>0035</t>
        </is>
      </c>
      <c r="F2393" s="42" t="inlineStr">
        <is>
          <t>강남태영데시앙루브</t>
        </is>
      </c>
      <c r="G2393" s="41" t="inlineStr">
        <is>
          <t>84.2000</t>
        </is>
      </c>
      <c r="H2393" s="41" t="inlineStr">
        <is>
          <t>202504</t>
        </is>
      </c>
      <c r="I2393" s="41" t="inlineStr">
        <is>
          <t>18</t>
        </is>
      </c>
      <c r="J2393" s="41" t="inlineStr">
        <is>
          <t>119,000</t>
        </is>
      </c>
      <c r="K2393" s="41" t="inlineStr">
        <is>
          <t>A동</t>
        </is>
      </c>
      <c r="L2393" s="41" t="inlineStr">
        <is>
          <t>13</t>
        </is>
      </c>
      <c r="M2393" s="42" t="inlineStr">
        <is>
          <t>개인</t>
        </is>
      </c>
      <c r="N2393" s="42" t="inlineStr">
        <is>
          <t>개인</t>
        </is>
      </c>
      <c r="O2393" s="41" t="inlineStr">
        <is>
          <t>2005</t>
        </is>
      </c>
      <c r="P2393" s="42" t="inlineStr">
        <is>
          <t>강남대로 455</t>
        </is>
      </c>
      <c r="Q2393" s="41" t="inlineStr">
        <is>
          <t>-</t>
        </is>
      </c>
      <c r="R2393" s="42" t="inlineStr">
        <is>
          <t>중개거래</t>
        </is>
      </c>
      <c r="S2393" s="42" t="inlineStr">
        <is>
          <t>서울 강동구, 서울 서초구</t>
        </is>
      </c>
      <c r="T2393" s="41" t="inlineStr">
        <is>
          <t>25.05.02</t>
        </is>
      </c>
      <c r="U2393" s="42" t="inlineStr">
        <is>
          <t>아파트</t>
        </is>
      </c>
    </row>
    <row r="2394" hidden="1" ht="17.25" customHeight="1">
      <c r="A2394" s="41" t="n">
        <v>735</v>
      </c>
      <c r="B2394" s="42" t="inlineStr">
        <is>
          <t>서울특별시 서초구 서초동</t>
        </is>
      </c>
      <c r="C2394" s="41" t="inlineStr">
        <is>
          <t>1593-7</t>
        </is>
      </c>
      <c r="D2394" s="41" t="inlineStr">
        <is>
          <t>1593</t>
        </is>
      </c>
      <c r="E2394" s="41" t="inlineStr">
        <is>
          <t>0007</t>
        </is>
      </c>
      <c r="F2394" s="42" t="inlineStr">
        <is>
          <t>서초이오빌</t>
        </is>
      </c>
      <c r="G2394" s="41" t="inlineStr">
        <is>
          <t>36.6600</t>
        </is>
      </c>
      <c r="H2394" s="41" t="inlineStr">
        <is>
          <t>202504</t>
        </is>
      </c>
      <c r="I2394" s="41" t="inlineStr">
        <is>
          <t>18</t>
        </is>
      </c>
      <c r="J2394" s="41" t="inlineStr">
        <is>
          <t>35,200</t>
        </is>
      </c>
      <c r="K2394" s="41" t="inlineStr">
        <is>
          <t>-</t>
        </is>
      </c>
      <c r="L2394" s="41" t="inlineStr">
        <is>
          <t>6</t>
        </is>
      </c>
      <c r="M2394" s="42" t="inlineStr">
        <is>
          <t>개인</t>
        </is>
      </c>
      <c r="N2394" s="42" t="inlineStr">
        <is>
          <t>개인</t>
        </is>
      </c>
      <c r="O2394" s="41" t="inlineStr">
        <is>
          <t>2003</t>
        </is>
      </c>
      <c r="P2394" s="42" t="inlineStr">
        <is>
          <t>효령로53길 45</t>
        </is>
      </c>
      <c r="Q2394" s="41" t="inlineStr">
        <is>
          <t>-</t>
        </is>
      </c>
      <c r="R2394" s="42" t="inlineStr">
        <is>
          <t>중개거래</t>
        </is>
      </c>
      <c r="S2394" s="42" t="inlineStr">
        <is>
          <t>서울 서초구</t>
        </is>
      </c>
      <c r="T2394" s="41" t="inlineStr">
        <is>
          <t>25.05.09</t>
        </is>
      </c>
      <c r="U2394" s="42" t="inlineStr">
        <is>
          <t>아파트</t>
        </is>
      </c>
    </row>
    <row r="2395" hidden="1" ht="17.25" customHeight="1">
      <c r="A2395" s="41" t="n">
        <v>736</v>
      </c>
      <c r="B2395" s="42" t="inlineStr">
        <is>
          <t>서울특별시 서초구 서초동</t>
        </is>
      </c>
      <c r="C2395" s="41" t="inlineStr">
        <is>
          <t>1593-7</t>
        </is>
      </c>
      <c r="D2395" s="41" t="inlineStr">
        <is>
          <t>1593</t>
        </is>
      </c>
      <c r="E2395" s="41" t="inlineStr">
        <is>
          <t>0007</t>
        </is>
      </c>
      <c r="F2395" s="42" t="inlineStr">
        <is>
          <t>서초이오빌</t>
        </is>
      </c>
      <c r="G2395" s="41" t="inlineStr">
        <is>
          <t>45.9600</t>
        </is>
      </c>
      <c r="H2395" s="41" t="inlineStr">
        <is>
          <t>202504</t>
        </is>
      </c>
      <c r="I2395" s="41" t="inlineStr">
        <is>
          <t>18</t>
        </is>
      </c>
      <c r="J2395" s="41" t="inlineStr">
        <is>
          <t>39,500</t>
        </is>
      </c>
      <c r="K2395" s="41" t="inlineStr">
        <is>
          <t>-</t>
        </is>
      </c>
      <c r="L2395" s="41" t="inlineStr">
        <is>
          <t>11</t>
        </is>
      </c>
      <c r="M2395" s="42" t="inlineStr">
        <is>
          <t>개인</t>
        </is>
      </c>
      <c r="N2395" s="42" t="inlineStr">
        <is>
          <t>개인</t>
        </is>
      </c>
      <c r="O2395" s="41" t="inlineStr">
        <is>
          <t>2003</t>
        </is>
      </c>
      <c r="P2395" s="42" t="inlineStr">
        <is>
          <t>효령로53길 45</t>
        </is>
      </c>
      <c r="Q2395" s="41" t="inlineStr">
        <is>
          <t>-</t>
        </is>
      </c>
      <c r="R2395" s="42" t="inlineStr">
        <is>
          <t>중개거래</t>
        </is>
      </c>
      <c r="S2395" s="42" t="inlineStr">
        <is>
          <t>서울 서초구</t>
        </is>
      </c>
      <c r="T2395" s="41" t="inlineStr">
        <is>
          <t>25.05.30</t>
        </is>
      </c>
      <c r="U2395" s="42" t="inlineStr">
        <is>
          <t>아파트</t>
        </is>
      </c>
    </row>
    <row r="2396" hidden="1" ht="17.25" customHeight="1">
      <c r="A2396" s="41" t="n">
        <v>737</v>
      </c>
      <c r="B2396" s="42" t="inlineStr">
        <is>
          <t>서울특별시 서초구 서초동</t>
        </is>
      </c>
      <c r="C2396" s="41" t="inlineStr">
        <is>
          <t>1685</t>
        </is>
      </c>
      <c r="D2396" s="41" t="inlineStr">
        <is>
          <t>1685</t>
        </is>
      </c>
      <c r="E2396" s="41" t="inlineStr">
        <is>
          <t>0000</t>
        </is>
      </c>
      <c r="F2396" s="42" t="inlineStr">
        <is>
          <t>삼풍아파트</t>
        </is>
      </c>
      <c r="G2396" s="41" t="inlineStr">
        <is>
          <t>165.9200</t>
        </is>
      </c>
      <c r="H2396" s="41" t="inlineStr">
        <is>
          <t>202504</t>
        </is>
      </c>
      <c r="I2396" s="41" t="inlineStr">
        <is>
          <t>18</t>
        </is>
      </c>
      <c r="J2396" s="41" t="inlineStr">
        <is>
          <t>419,000</t>
        </is>
      </c>
      <c r="K2396" s="41" t="inlineStr">
        <is>
          <t>20</t>
        </is>
      </c>
      <c r="L2396" s="41" t="inlineStr">
        <is>
          <t>9</t>
        </is>
      </c>
      <c r="M2396" s="42" t="inlineStr">
        <is>
          <t>개인</t>
        </is>
      </c>
      <c r="N2396" s="42" t="inlineStr">
        <is>
          <t>개인</t>
        </is>
      </c>
      <c r="O2396" s="41" t="inlineStr">
        <is>
          <t>1988</t>
        </is>
      </c>
      <c r="P2396" s="42" t="inlineStr">
        <is>
          <t>서초중앙로 200</t>
        </is>
      </c>
      <c r="Q2396" s="41" t="inlineStr">
        <is>
          <t>-</t>
        </is>
      </c>
      <c r="R2396" s="42" t="inlineStr">
        <is>
          <t>중개거래</t>
        </is>
      </c>
      <c r="S2396" s="42" t="inlineStr">
        <is>
          <t>서울 서초구</t>
        </is>
      </c>
      <c r="T2396" s="41" t="inlineStr">
        <is>
          <t>25.04.30</t>
        </is>
      </c>
      <c r="U2396" s="42" t="inlineStr">
        <is>
          <t>아파트</t>
        </is>
      </c>
    </row>
    <row r="2397" hidden="1" ht="17.25" customHeight="1">
      <c r="A2397" s="41" t="n">
        <v>738</v>
      </c>
      <c r="B2397" s="42" t="inlineStr">
        <is>
          <t>서울특별시 서초구 서초동</t>
        </is>
      </c>
      <c r="C2397" s="41" t="inlineStr">
        <is>
          <t>1757</t>
        </is>
      </c>
      <c r="D2397" s="41" t="inlineStr">
        <is>
          <t>1757</t>
        </is>
      </c>
      <c r="E2397" s="41" t="inlineStr">
        <is>
          <t>0000</t>
        </is>
      </c>
      <c r="F2397" s="42" t="inlineStr">
        <is>
          <t>서초그랑자이</t>
        </is>
      </c>
      <c r="G2397" s="41" t="inlineStr">
        <is>
          <t>119.4100</t>
        </is>
      </c>
      <c r="H2397" s="41" t="inlineStr">
        <is>
          <t>202504</t>
        </is>
      </c>
      <c r="I2397" s="41" t="inlineStr">
        <is>
          <t>16</t>
        </is>
      </c>
      <c r="J2397" s="41" t="inlineStr">
        <is>
          <t>435,000</t>
        </is>
      </c>
      <c r="K2397" s="41" t="inlineStr">
        <is>
          <t>107동</t>
        </is>
      </c>
      <c r="L2397" s="41" t="inlineStr">
        <is>
          <t>7</t>
        </is>
      </c>
      <c r="M2397" s="42" t="inlineStr">
        <is>
          <t>개인</t>
        </is>
      </c>
      <c r="N2397" s="42" t="inlineStr">
        <is>
          <t>개인</t>
        </is>
      </c>
      <c r="O2397" s="41" t="inlineStr">
        <is>
          <t>2021</t>
        </is>
      </c>
      <c r="P2397" s="42" t="inlineStr">
        <is>
          <t>효령로 391</t>
        </is>
      </c>
      <c r="Q2397" s="41" t="inlineStr">
        <is>
          <t>-</t>
        </is>
      </c>
      <c r="R2397" s="42" t="inlineStr">
        <is>
          <t>중개거래</t>
        </is>
      </c>
      <c r="S2397" s="42" t="inlineStr">
        <is>
          <t>서울 서초구</t>
        </is>
      </c>
      <c r="T2397" s="41" t="inlineStr">
        <is>
          <t>25.07.10</t>
        </is>
      </c>
      <c r="U2397" s="42" t="inlineStr">
        <is>
          <t>아파트</t>
        </is>
      </c>
    </row>
    <row r="2398" hidden="1" ht="17.25" customHeight="1">
      <c r="A2398" s="41" t="n">
        <v>739</v>
      </c>
      <c r="B2398" s="42" t="inlineStr">
        <is>
          <t>서울특별시 서초구 서초동</t>
        </is>
      </c>
      <c r="C2398" s="41" t="inlineStr">
        <is>
          <t>1350-13</t>
        </is>
      </c>
      <c r="D2398" s="41" t="inlineStr">
        <is>
          <t>1350</t>
        </is>
      </c>
      <c r="E2398" s="41" t="inlineStr">
        <is>
          <t>0013</t>
        </is>
      </c>
      <c r="F2398" s="42" t="inlineStr">
        <is>
          <t>동원베네스트아파트</t>
        </is>
      </c>
      <c r="G2398" s="41" t="inlineStr">
        <is>
          <t>120.8100</t>
        </is>
      </c>
      <c r="H2398" s="41" t="inlineStr">
        <is>
          <t>202504</t>
        </is>
      </c>
      <c r="I2398" s="41" t="inlineStr">
        <is>
          <t>15</t>
        </is>
      </c>
      <c r="J2398" s="41" t="inlineStr">
        <is>
          <t>190,000</t>
        </is>
      </c>
      <c r="K2398" s="41" t="inlineStr">
        <is>
          <t>101</t>
        </is>
      </c>
      <c r="L2398" s="41" t="inlineStr">
        <is>
          <t>11</t>
        </is>
      </c>
      <c r="M2398" s="42" t="inlineStr">
        <is>
          <t>개인</t>
        </is>
      </c>
      <c r="N2398" s="42" t="inlineStr">
        <is>
          <t>법인</t>
        </is>
      </c>
      <c r="O2398" s="41" t="inlineStr">
        <is>
          <t>2002</t>
        </is>
      </c>
      <c r="P2398" s="42" t="inlineStr">
        <is>
          <t>효령로74길 57</t>
        </is>
      </c>
      <c r="Q2398" s="41" t="inlineStr">
        <is>
          <t>-</t>
        </is>
      </c>
      <c r="R2398" s="42" t="inlineStr">
        <is>
          <t>중개거래</t>
        </is>
      </c>
      <c r="S2398" s="42" t="inlineStr">
        <is>
          <t>서울 서초구</t>
        </is>
      </c>
      <c r="T2398" s="41" t="inlineStr">
        <is>
          <t>25.07.08</t>
        </is>
      </c>
      <c r="U2398" s="42" t="inlineStr">
        <is>
          <t>아파트</t>
        </is>
      </c>
    </row>
    <row r="2399" hidden="1" ht="17.25" customHeight="1">
      <c r="A2399" s="41" t="n">
        <v>740</v>
      </c>
      <c r="B2399" s="42" t="inlineStr">
        <is>
          <t>서울특별시 서초구 서초동</t>
        </is>
      </c>
      <c r="C2399" s="41" t="inlineStr">
        <is>
          <t>1316-31</t>
        </is>
      </c>
      <c r="D2399" s="41" t="inlineStr">
        <is>
          <t>1316</t>
        </is>
      </c>
      <c r="E2399" s="41" t="inlineStr">
        <is>
          <t>0031</t>
        </is>
      </c>
      <c r="F2399" s="42" t="inlineStr">
        <is>
          <t>밀라텔쉐르빌</t>
        </is>
      </c>
      <c r="G2399" s="41" t="inlineStr">
        <is>
          <t>65.3200</t>
        </is>
      </c>
      <c r="H2399" s="41" t="inlineStr">
        <is>
          <t>202504</t>
        </is>
      </c>
      <c r="I2399" s="41" t="inlineStr">
        <is>
          <t>15</t>
        </is>
      </c>
      <c r="J2399" s="41" t="inlineStr">
        <is>
          <t>87,000</t>
        </is>
      </c>
      <c r="K2399" s="41" t="inlineStr">
        <is>
          <t>-</t>
        </is>
      </c>
      <c r="L2399" s="41" t="inlineStr">
        <is>
          <t>19</t>
        </is>
      </c>
      <c r="M2399" s="42" t="inlineStr">
        <is>
          <t>개인</t>
        </is>
      </c>
      <c r="N2399" s="42" t="inlineStr">
        <is>
          <t>개인</t>
        </is>
      </c>
      <c r="O2399" s="41" t="inlineStr">
        <is>
          <t>2001</t>
        </is>
      </c>
      <c r="P2399" s="42" t="inlineStr">
        <is>
          <t>강남대로61길 17</t>
        </is>
      </c>
      <c r="Q2399" s="41" t="inlineStr">
        <is>
          <t>-</t>
        </is>
      </c>
      <c r="R2399" s="42" t="inlineStr">
        <is>
          <t>중개거래</t>
        </is>
      </c>
      <c r="S2399" s="42" t="inlineStr">
        <is>
          <t>서울 서초구</t>
        </is>
      </c>
      <c r="T2399" s="41" t="inlineStr">
        <is>
          <t>25.07.01</t>
        </is>
      </c>
      <c r="U2399" s="42" t="inlineStr">
        <is>
          <t>아파트</t>
        </is>
      </c>
    </row>
    <row r="2400" hidden="1" ht="17.25" customHeight="1">
      <c r="A2400" s="41" t="n">
        <v>741</v>
      </c>
      <c r="B2400" s="42" t="inlineStr">
        <is>
          <t>서울특별시 서초구 서초동</t>
        </is>
      </c>
      <c r="C2400" s="41" t="inlineStr">
        <is>
          <t>1582-3</t>
        </is>
      </c>
      <c r="D2400" s="41" t="inlineStr">
        <is>
          <t>1582</t>
        </is>
      </c>
      <c r="E2400" s="41" t="inlineStr">
        <is>
          <t>0003</t>
        </is>
      </c>
      <c r="F2400" s="42" t="inlineStr">
        <is>
          <t>서초센트럴IPARK</t>
        </is>
      </c>
      <c r="G2400" s="41" t="inlineStr">
        <is>
          <t>80.5154</t>
        </is>
      </c>
      <c r="H2400" s="41" t="inlineStr">
        <is>
          <t>202504</t>
        </is>
      </c>
      <c r="I2400" s="41" t="inlineStr">
        <is>
          <t>14</t>
        </is>
      </c>
      <c r="J2400" s="41" t="inlineStr">
        <is>
          <t>185,000</t>
        </is>
      </c>
      <c r="K2400" s="41" t="inlineStr">
        <is>
          <t>102동</t>
        </is>
      </c>
      <c r="L2400" s="41" t="inlineStr">
        <is>
          <t>33</t>
        </is>
      </c>
      <c r="M2400" s="42" t="inlineStr">
        <is>
          <t>개인</t>
        </is>
      </c>
      <c r="N2400" s="42" t="inlineStr">
        <is>
          <t>개인</t>
        </is>
      </c>
      <c r="O2400" s="41" t="inlineStr">
        <is>
          <t>2020</t>
        </is>
      </c>
      <c r="P2400" s="42" t="inlineStr">
        <is>
          <t>반포대로18길 36</t>
        </is>
      </c>
      <c r="Q2400" s="41" t="inlineStr">
        <is>
          <t>-</t>
        </is>
      </c>
      <c r="R2400" s="42" t="inlineStr">
        <is>
          <t>중개거래</t>
        </is>
      </c>
      <c r="S2400" s="42" t="inlineStr">
        <is>
          <t>서울 서초구</t>
        </is>
      </c>
      <c r="T2400" s="41" t="inlineStr">
        <is>
          <t>25.04.15</t>
        </is>
      </c>
      <c r="U2400" s="42" t="inlineStr">
        <is>
          <t>아파트</t>
        </is>
      </c>
    </row>
    <row r="2401" hidden="1" ht="17.25" customHeight="1">
      <c r="A2401" s="41" t="n">
        <v>742</v>
      </c>
      <c r="B2401" s="42" t="inlineStr">
        <is>
          <t>서울특별시 서초구 서초동</t>
        </is>
      </c>
      <c r="C2401" s="41" t="inlineStr">
        <is>
          <t>1332-13</t>
        </is>
      </c>
      <c r="D2401" s="41" t="inlineStr">
        <is>
          <t>1332</t>
        </is>
      </c>
      <c r="E2401" s="41" t="inlineStr">
        <is>
          <t>0013</t>
        </is>
      </c>
      <c r="F2401" s="42" t="inlineStr">
        <is>
          <t>래미안서초에스티지</t>
        </is>
      </c>
      <c r="G2401" s="41" t="inlineStr">
        <is>
          <t>83.6000</t>
        </is>
      </c>
      <c r="H2401" s="41" t="inlineStr">
        <is>
          <t>202504</t>
        </is>
      </c>
      <c r="I2401" s="41" t="inlineStr">
        <is>
          <t>11</t>
        </is>
      </c>
      <c r="J2401" s="41" t="inlineStr">
        <is>
          <t>305,000</t>
        </is>
      </c>
      <c r="K2401" s="41" t="inlineStr">
        <is>
          <t>101동</t>
        </is>
      </c>
      <c r="L2401" s="41" t="inlineStr">
        <is>
          <t>6</t>
        </is>
      </c>
      <c r="M2401" s="42" t="inlineStr">
        <is>
          <t>개인</t>
        </is>
      </c>
      <c r="N2401" s="42" t="inlineStr">
        <is>
          <t>개인</t>
        </is>
      </c>
      <c r="O2401" s="41" t="inlineStr">
        <is>
          <t>2016</t>
        </is>
      </c>
      <c r="P2401" s="42" t="inlineStr">
        <is>
          <t>서운로 107</t>
        </is>
      </c>
      <c r="Q2401" s="41" t="inlineStr">
        <is>
          <t>-</t>
        </is>
      </c>
      <c r="R2401" s="42" t="inlineStr">
        <is>
          <t>중개거래</t>
        </is>
      </c>
      <c r="S2401" s="42" t="inlineStr">
        <is>
          <t>서울 강남구, 서울 서초구</t>
        </is>
      </c>
      <c r="T2401" s="41" t="inlineStr">
        <is>
          <t>25.07.23</t>
        </is>
      </c>
      <c r="U2401" s="42" t="inlineStr">
        <is>
          <t>아파트</t>
        </is>
      </c>
    </row>
    <row r="2402" hidden="1" ht="17.25" customHeight="1">
      <c r="A2402" s="43" t="n">
        <v>743</v>
      </c>
      <c r="B2402" s="44" t="inlineStr">
        <is>
          <t>서울특별시 서초구 서초동</t>
        </is>
      </c>
      <c r="C2402" s="43" t="inlineStr">
        <is>
          <t>1445-4</t>
        </is>
      </c>
      <c r="D2402" s="43" t="inlineStr">
        <is>
          <t>1445</t>
        </is>
      </c>
      <c r="E2402" s="43" t="inlineStr">
        <is>
          <t>0004</t>
        </is>
      </c>
      <c r="F2402" s="44" t="inlineStr">
        <is>
          <t>래미안서초유니빌</t>
        </is>
      </c>
      <c r="G2402" s="43" t="inlineStr">
        <is>
          <t>45.2550</t>
        </is>
      </c>
      <c r="H2402" s="43" t="inlineStr">
        <is>
          <t>202504</t>
        </is>
      </c>
      <c r="I2402" s="43" t="inlineStr">
        <is>
          <t>10</t>
        </is>
      </c>
      <c r="J2402" s="43" t="inlineStr">
        <is>
          <t>49,000</t>
        </is>
      </c>
      <c r="K2402" s="44" t="inlineStr">
        <is>
          <t>래미안 서초유니빌</t>
        </is>
      </c>
      <c r="L2402" s="43" t="inlineStr">
        <is>
          <t>13</t>
        </is>
      </c>
      <c r="M2402" s="44" t="inlineStr">
        <is>
          <t>개인</t>
        </is>
      </c>
      <c r="N2402" s="44" t="inlineStr">
        <is>
          <t>개인</t>
        </is>
      </c>
      <c r="O2402" s="43" t="inlineStr">
        <is>
          <t>2003</t>
        </is>
      </c>
      <c r="P2402" s="44" t="inlineStr">
        <is>
          <t>서초중앙로 26</t>
        </is>
      </c>
      <c r="Q2402" s="43" t="inlineStr">
        <is>
          <t>-</t>
        </is>
      </c>
      <c r="R2402" s="44" t="inlineStr">
        <is>
          <t>중개거래</t>
        </is>
      </c>
      <c r="S2402" s="44" t="inlineStr">
        <is>
          <t>서울 서초구</t>
        </is>
      </c>
      <c r="T2402" s="43" t="inlineStr">
        <is>
          <t>25.07.03</t>
        </is>
      </c>
      <c r="U2402" s="44" t="inlineStr">
        <is>
          <t>아파트</t>
        </is>
      </c>
    </row>
    <row r="2403" ht="17.25" customHeight="1"/>
    <row r="2404" ht="17.25" customHeight="1"/>
    <row r="2405" ht="17.25" customHeight="1"/>
    <row r="2406" ht="17.25" customHeight="1"/>
    <row r="2407" ht="17.25" customHeight="1"/>
    <row r="2408" ht="17.25" customHeight="1"/>
    <row r="2409" ht="17.25" customHeight="1"/>
    <row r="2410" ht="17.25" customHeight="1"/>
    <row r="2411" ht="17.25" customHeight="1"/>
    <row r="2412" ht="17.25" customHeight="1"/>
    <row r="2413" ht="17.25" customHeight="1"/>
    <row r="2414" ht="17.25" customHeight="1"/>
    <row r="2415" ht="17.25" customHeight="1"/>
    <row r="2416" ht="17.25" customHeight="1"/>
    <row r="2417" ht="17.25" customHeight="1"/>
    <row r="2418" ht="17.25" customHeight="1"/>
    <row r="2419" ht="17.25" customHeight="1"/>
    <row r="2420" ht="17.25" customHeight="1"/>
    <row r="2421" ht="17.25" customHeight="1"/>
    <row r="2422" ht="17.25" customHeight="1"/>
    <row r="2423" ht="17.25" customHeight="1"/>
    <row r="2424" ht="17.25" customHeight="1"/>
    <row r="2425" ht="17.25" customHeight="1"/>
    <row r="2426" ht="17.25" customHeight="1"/>
    <row r="2427" ht="17.25" customHeight="1"/>
    <row r="2428" ht="17.25" customHeight="1"/>
    <row r="2429" ht="17.25" customHeight="1"/>
    <row r="2430" ht="17.25" customHeight="1"/>
    <row r="2431" ht="17.25" customHeight="1"/>
    <row r="2432" ht="17.25" customHeight="1"/>
    <row r="2433" ht="17.25" customHeight="1"/>
    <row r="2434" ht="17.25" customHeight="1"/>
    <row r="2435" ht="17.25" customHeight="1"/>
    <row r="2436" ht="17.25" customHeight="1"/>
    <row r="2437" ht="17.25" customHeight="1"/>
    <row r="2438" ht="17.25" customHeight="1"/>
    <row r="2439" ht="17.25" customHeight="1"/>
    <row r="2440" ht="17.25" customHeight="1"/>
    <row r="2441" ht="17.25" customHeight="1"/>
    <row r="2442" ht="17.25" customHeight="1"/>
    <row r="2443" ht="17.25" customHeight="1"/>
    <row r="2444" ht="17.25" customHeight="1"/>
    <row r="2445" ht="17.25" customHeight="1"/>
    <row r="2446" ht="17.25" customHeight="1"/>
    <row r="2447" ht="17.25" customHeight="1"/>
    <row r="2448" ht="17.25" customHeight="1"/>
    <row r="2449" ht="17.25" customHeight="1"/>
    <row r="2450" ht="17.25" customHeight="1"/>
    <row r="2451" ht="17.25" customHeight="1"/>
    <row r="2452" ht="17.25" customHeight="1"/>
    <row r="2453" ht="17.25" customHeight="1"/>
    <row r="2454" ht="17.25" customHeight="1"/>
    <row r="2455" ht="17.25" customHeight="1"/>
    <row r="2456" ht="17.25" customHeight="1"/>
    <row r="2457" ht="17.25" customHeight="1"/>
    <row r="2458" ht="17.25" customHeight="1"/>
    <row r="2459" ht="17.25" customHeight="1"/>
    <row r="2460" ht="17.25" customHeight="1"/>
    <row r="2461" ht="17.25" customHeight="1"/>
    <row r="2462" ht="17.25" customHeight="1"/>
    <row r="2463" ht="17.25" customHeight="1"/>
    <row r="2464" ht="17.25" customHeight="1"/>
    <row r="2465" ht="17.25" customHeight="1"/>
    <row r="2466" ht="17.25" customHeight="1"/>
    <row r="2467" ht="17.25" customHeight="1"/>
    <row r="2468" ht="17.25" customHeight="1"/>
    <row r="2469" ht="17.25" customHeight="1"/>
    <row r="2470" ht="17.25" customHeight="1"/>
    <row r="2471" ht="17.25" customHeight="1"/>
    <row r="2472" ht="17.25" customHeight="1"/>
    <row r="2473" ht="17.25" customHeight="1"/>
    <row r="2474" ht="17.25" customHeight="1"/>
    <row r="2475" ht="17.25" customHeight="1"/>
    <row r="2476" ht="17.25" customHeight="1"/>
    <row r="2477" ht="17.25" customHeight="1"/>
    <row r="2478" ht="17.25" customHeight="1"/>
    <row r="2479" ht="17.25" customHeight="1"/>
    <row r="2480" ht="17.25" customHeight="1"/>
    <row r="2481" ht="17.25" customHeight="1"/>
    <row r="2482" ht="17.25" customHeight="1"/>
    <row r="2483" ht="17.25" customHeight="1"/>
    <row r="2484" ht="17.25" customHeight="1"/>
    <row r="2485" ht="17.25" customHeight="1"/>
    <row r="2486" ht="17.25" customHeight="1"/>
    <row r="2487" ht="17.25" customHeight="1"/>
    <row r="2488" ht="17.25" customHeight="1"/>
    <row r="2489" ht="17.25" customHeight="1"/>
    <row r="2490" ht="17.25" customHeight="1"/>
    <row r="2491" ht="17.25" customHeight="1"/>
    <row r="2492" ht="17.25" customHeight="1"/>
    <row r="2493" ht="17.25" customHeight="1"/>
    <row r="2494" ht="17.25" customHeight="1"/>
    <row r="2495" ht="17.25" customHeight="1"/>
    <row r="2496" ht="17.25" customHeight="1"/>
    <row r="2497" ht="17.25" customHeight="1"/>
    <row r="2498" ht="17.25" customHeight="1"/>
    <row r="2499" ht="17.25" customHeight="1"/>
    <row r="2500" ht="17.25" customHeight="1"/>
    <row r="2501" ht="17.25" customHeight="1"/>
    <row r="2502" ht="17.25" customHeight="1"/>
    <row r="2503" ht="17.25" customHeight="1"/>
    <row r="2504" ht="17.25" customHeight="1"/>
    <row r="2505" ht="17.25" customHeight="1"/>
    <row r="2506" ht="17.25" customHeight="1"/>
    <row r="2507" ht="17.25" customHeight="1"/>
    <row r="2508" ht="17.25" customHeight="1"/>
    <row r="2509" ht="17.25" customHeight="1"/>
    <row r="2510" ht="17.25" customHeight="1"/>
    <row r="2511" ht="17.25" customHeight="1"/>
    <row r="2512" ht="17.25" customHeight="1"/>
    <row r="2513" ht="17.25" customHeight="1"/>
    <row r="2514" ht="17.25" customHeight="1"/>
    <row r="2515" ht="17.25" customHeight="1"/>
    <row r="2516" ht="17.25" customHeight="1"/>
    <row r="2517" ht="17.25" customHeight="1"/>
    <row r="2518" ht="17.25" customHeight="1"/>
    <row r="2519" ht="17.25" customHeight="1"/>
    <row r="2520" ht="17.25" customHeight="1"/>
    <row r="2521" ht="17.25" customHeight="1"/>
    <row r="2522" ht="17.25" customHeight="1"/>
    <row r="2523" ht="17.25" customHeight="1"/>
    <row r="2524" ht="17.25" customHeight="1"/>
    <row r="2525" ht="17.25" customHeight="1"/>
    <row r="2526" ht="17.25" customHeight="1"/>
    <row r="2527" ht="17.25" customHeight="1"/>
    <row r="2528" ht="17.25" customHeight="1"/>
    <row r="2529" ht="17.25" customHeight="1"/>
    <row r="2530" ht="17.25" customHeight="1"/>
    <row r="2531" ht="17.25" customHeight="1"/>
    <row r="2532" ht="17.25" customHeight="1"/>
    <row r="2533" ht="17.25" customHeight="1"/>
    <row r="2534" ht="17.25" customHeight="1"/>
    <row r="2535" ht="17.25" customHeight="1"/>
    <row r="2536" ht="17.25" customHeight="1"/>
    <row r="2537" ht="17.25" customHeight="1"/>
    <row r="2538" ht="17.25" customHeight="1"/>
    <row r="2539" ht="17.25" customHeight="1"/>
    <row r="2540" ht="17.25" customHeight="1"/>
    <row r="2541" ht="17.25" customHeight="1"/>
    <row r="2542" ht="17.25" customHeight="1"/>
    <row r="2543" ht="17.25" customHeight="1"/>
    <row r="2544" ht="17.25" customHeight="1"/>
    <row r="2545" ht="17.25" customHeight="1"/>
    <row r="2546" ht="17.25" customHeight="1"/>
    <row r="2547" ht="17.25" customHeight="1"/>
    <row r="2548" ht="17.25" customHeight="1"/>
    <row r="2549" ht="17.25" customHeight="1"/>
    <row r="2550" ht="17.25" customHeight="1"/>
    <row r="2551" ht="17.25" customHeight="1"/>
    <row r="2552" ht="17.25" customHeight="1"/>
    <row r="2553" ht="17.25" customHeight="1"/>
    <row r="2554" ht="17.25" customHeight="1"/>
    <row r="2555" ht="17.25" customHeight="1"/>
    <row r="2556" ht="17.25" customHeight="1"/>
    <row r="2557" ht="17.25" customHeight="1"/>
    <row r="2558" ht="17.25" customHeight="1"/>
    <row r="2559" ht="17.25" customHeight="1"/>
    <row r="2560" ht="17.25" customHeight="1"/>
    <row r="2561" ht="17.25" customHeight="1"/>
    <row r="2562" ht="17.25" customHeight="1"/>
    <row r="2563" ht="17.25" customHeight="1"/>
    <row r="2564" ht="17.25" customHeight="1"/>
    <row r="2565" ht="17.25" customHeight="1"/>
    <row r="2566" ht="17.25" customHeight="1"/>
    <row r="2567" ht="17.25" customHeight="1"/>
    <row r="2568" ht="17.25" customHeight="1"/>
    <row r="2569" ht="17.25" customHeight="1"/>
    <row r="2570" ht="17.25" customHeight="1"/>
    <row r="2571" ht="17.25" customHeight="1"/>
    <row r="2572" ht="17.25" customHeight="1"/>
    <row r="2573" ht="17.25" customHeight="1"/>
    <row r="2574" ht="17.25" customHeight="1"/>
    <row r="2575" ht="17.25" customHeight="1"/>
    <row r="2576" ht="17.25" customHeight="1"/>
    <row r="2577" ht="17.25" customHeight="1"/>
    <row r="2578" ht="17.25" customHeight="1"/>
    <row r="2579" ht="17.25" customHeight="1"/>
    <row r="2580" ht="17.25" customHeight="1"/>
    <row r="2581" ht="17.25" customHeight="1"/>
    <row r="2582" ht="17.25" customHeight="1"/>
    <row r="2583" ht="17.25" customHeight="1"/>
    <row r="2584" ht="17.25" customHeight="1"/>
    <row r="2585" ht="17.25" customHeight="1"/>
    <row r="2586" ht="17.25" customHeight="1"/>
    <row r="2587" ht="17.25" customHeight="1"/>
    <row r="2588" ht="17.25" customHeight="1"/>
    <row r="2589" ht="17.25" customHeight="1"/>
    <row r="2590" ht="17.25" customHeight="1"/>
    <row r="2591" ht="17.25" customHeight="1"/>
    <row r="2592" ht="17.25" customHeight="1"/>
    <row r="2593" ht="17.25" customHeight="1"/>
    <row r="2594" ht="17.25" customHeight="1"/>
    <row r="2595" ht="17.25" customHeight="1"/>
    <row r="2596" ht="17.25" customHeight="1"/>
    <row r="2597" ht="17.25" customHeight="1"/>
    <row r="2598" ht="17.25" customHeight="1"/>
    <row r="2599" ht="17.25" customHeight="1"/>
    <row r="2600" ht="17.25" customHeight="1"/>
    <row r="2601" ht="17.25" customHeight="1"/>
    <row r="2602" ht="17.25" customHeight="1"/>
    <row r="2603" ht="17.25" customHeight="1"/>
    <row r="2604" ht="17.25" customHeight="1"/>
    <row r="2605" ht="17.25" customHeight="1"/>
    <row r="2606" ht="17.25" customHeight="1"/>
    <row r="2607" ht="17.25" customHeight="1"/>
    <row r="2608" ht="17.25" customHeight="1"/>
    <row r="2609" ht="17.25" customHeight="1"/>
    <row r="2610" ht="17.25" customHeight="1"/>
    <row r="2611" ht="17.25" customHeight="1"/>
    <row r="2612" ht="17.25" customHeight="1"/>
    <row r="2613" ht="17.25" customHeight="1"/>
    <row r="2614" ht="17.25" customHeight="1"/>
    <row r="2615" ht="17.25" customHeight="1"/>
    <row r="2616" ht="17.25" customHeight="1"/>
    <row r="2617" ht="17.25" customHeight="1"/>
    <row r="2618" ht="17.25" customHeight="1"/>
    <row r="2619" ht="17.25" customHeight="1"/>
    <row r="2620" ht="17.25" customHeight="1"/>
    <row r="2621" ht="17.25" customHeight="1"/>
    <row r="2622" ht="17.25" customHeight="1"/>
    <row r="2623" ht="17.25" customHeight="1"/>
    <row r="2624" ht="17.25" customHeight="1"/>
    <row r="2625" ht="17.25" customHeight="1"/>
    <row r="2626" ht="17.25" customHeight="1"/>
    <row r="2627" ht="17.25" customHeight="1"/>
    <row r="2628" ht="17.25" customHeight="1"/>
    <row r="2629" ht="17.25" customHeight="1"/>
    <row r="2630" ht="17.25" customHeight="1"/>
    <row r="2631" ht="17.25" customHeight="1"/>
    <row r="2632" ht="17.25" customHeight="1"/>
    <row r="2633" ht="17.25" customHeight="1"/>
    <row r="2634" ht="17.25" customHeight="1"/>
    <row r="2635" ht="17.25" customHeight="1"/>
    <row r="2636" ht="17.25" customHeight="1"/>
    <row r="2637" ht="17.25" customHeight="1"/>
    <row r="2638" ht="17.25" customHeight="1"/>
    <row r="2639" ht="17.25" customHeight="1"/>
    <row r="2640" ht="17.25" customHeight="1"/>
    <row r="2641" ht="17.25" customHeight="1"/>
    <row r="2642" ht="17.25" customHeight="1"/>
    <row r="2643" ht="17.25" customHeight="1"/>
    <row r="2644" ht="17.25" customHeight="1"/>
    <row r="2645" ht="17.25" customHeight="1"/>
    <row r="2646" ht="17.25" customHeight="1"/>
    <row r="2647" ht="17.25" customHeight="1"/>
    <row r="2648" ht="17.25" customHeight="1"/>
    <row r="2649" ht="17.25" customHeight="1"/>
    <row r="2650" ht="17.25" customHeight="1"/>
    <row r="2651" ht="17.25" customHeight="1"/>
    <row r="2652" ht="17.25" customHeight="1"/>
    <row r="2653" ht="17.25" customHeight="1"/>
    <row r="2654" ht="17.25" customHeight="1"/>
    <row r="2655" ht="17.25" customHeight="1"/>
    <row r="2656" ht="17.25" customHeight="1"/>
    <row r="2657" ht="17.25" customHeight="1"/>
    <row r="2658" ht="17.25" customHeight="1"/>
    <row r="2659" ht="17.25" customHeight="1"/>
    <row r="2660" ht="17.25" customHeight="1"/>
    <row r="2661" ht="17.25" customHeight="1"/>
    <row r="2662" ht="17.25" customHeight="1"/>
    <row r="2663" ht="17.25" customHeight="1"/>
    <row r="2664" ht="17.25" customHeight="1"/>
    <row r="2665" ht="17.25" customHeight="1"/>
    <row r="2666" ht="17.25" customHeight="1"/>
    <row r="2667" ht="17.25" customHeight="1"/>
    <row r="2668" ht="17.25" customHeight="1"/>
    <row r="2669" ht="17.25" customHeight="1"/>
    <row r="2670" ht="17.25" customHeight="1"/>
    <row r="2671" ht="17.25" customHeight="1"/>
    <row r="2672" ht="17.25" customHeight="1"/>
    <row r="2673" ht="17.25" customHeight="1"/>
    <row r="2674" ht="17.25" customHeight="1"/>
    <row r="2675" ht="17.25" customHeight="1"/>
    <row r="2676" ht="17.25" customHeight="1"/>
    <row r="2677" ht="17.25" customHeight="1"/>
    <row r="2678" ht="17.25" customHeight="1"/>
    <row r="2679" ht="17.25" customHeight="1"/>
    <row r="2680" ht="17.25" customHeight="1"/>
    <row r="2681" ht="17.25" customHeight="1"/>
    <row r="2682" ht="17.25" customHeight="1"/>
    <row r="2683" ht="17.25" customHeight="1"/>
    <row r="2684" ht="17.25" customHeight="1"/>
    <row r="2685" ht="17.25" customHeight="1"/>
    <row r="2686" ht="17.25" customHeight="1"/>
    <row r="2687" ht="17.25" customHeight="1"/>
    <row r="2688" ht="17.25" customHeight="1"/>
    <row r="2689" ht="17.25" customHeight="1"/>
    <row r="2690" ht="17.25" customHeight="1"/>
    <row r="2691" ht="17.25" customHeight="1"/>
    <row r="2692" ht="17.25" customHeight="1"/>
    <row r="2693" ht="17.25" customHeight="1"/>
    <row r="2694" ht="17.25" customHeight="1"/>
    <row r="2695" ht="17.25" customHeight="1"/>
    <row r="2696" ht="17.25" customHeight="1"/>
    <row r="2697" ht="17.25" customHeight="1"/>
    <row r="2698" ht="17.25" customHeight="1"/>
    <row r="2699" ht="17.25" customHeight="1"/>
    <row r="2700" ht="17.25" customHeight="1"/>
    <row r="2701" ht="17.25" customHeight="1"/>
    <row r="2702" ht="17.25" customHeight="1"/>
    <row r="2703" ht="17.25" customHeight="1"/>
    <row r="2704" ht="17.25" customHeight="1"/>
    <row r="2705" ht="17.25" customHeight="1"/>
    <row r="2706" ht="17.25" customHeight="1"/>
    <row r="2707" ht="17.25" customHeight="1"/>
    <row r="2708" ht="17.25" customHeight="1"/>
    <row r="2709" ht="17.25" customHeight="1"/>
    <row r="2710" ht="17.25" customHeight="1"/>
    <row r="2711" ht="17.25" customHeight="1"/>
    <row r="2712" ht="17.25" customHeight="1"/>
    <row r="2713" ht="17.25" customHeight="1"/>
    <row r="2714" ht="17.25" customHeight="1"/>
    <row r="2715" ht="17.25" customHeight="1"/>
    <row r="2716" ht="17.25" customHeight="1"/>
    <row r="2717" ht="17.25" customHeight="1"/>
    <row r="2718" ht="17.25" customHeight="1"/>
    <row r="2719" ht="17.25" customHeight="1"/>
    <row r="2720" ht="17.25" customHeight="1"/>
    <row r="2721" ht="17.25" customHeight="1"/>
    <row r="2722" ht="17.25" customHeight="1"/>
    <row r="2723" ht="17.25" customHeight="1"/>
    <row r="2724" ht="17.25" customHeight="1"/>
    <row r="2725" ht="17.25" customHeight="1"/>
    <row r="2726" ht="17.25" customHeight="1"/>
    <row r="2727" ht="17.25" customHeight="1"/>
    <row r="2728" ht="17.25" customHeight="1"/>
    <row r="2729" ht="17.25" customHeight="1"/>
    <row r="2730" ht="17.25" customHeight="1"/>
    <row r="2731" ht="17.25" customHeight="1"/>
    <row r="2732" ht="17.25" customHeight="1"/>
    <row r="2733" ht="17.25" customHeight="1"/>
    <row r="2734" ht="17.25" customHeight="1"/>
    <row r="2735" ht="17.25" customHeight="1"/>
    <row r="2736" ht="17.25" customHeight="1"/>
    <row r="2737" ht="17.25" customHeight="1"/>
    <row r="2738" ht="17.25" customHeight="1"/>
    <row r="2739" ht="17.25" customHeight="1"/>
    <row r="2740" ht="17.25" customHeight="1"/>
    <row r="2741" ht="17.25" customHeight="1"/>
    <row r="2742" ht="17.25" customHeight="1"/>
    <row r="2743" ht="17.25" customHeight="1"/>
    <row r="2744" ht="17.25" customHeight="1"/>
    <row r="2745" ht="17.25" customHeight="1"/>
    <row r="2746" ht="17.25" customHeight="1"/>
    <row r="2747" ht="17.25" customHeight="1"/>
    <row r="2748" ht="17.25" customHeight="1"/>
    <row r="2749" ht="17.25" customHeight="1"/>
    <row r="2750" ht="17.25" customHeight="1"/>
    <row r="2751" ht="17.25" customHeight="1"/>
    <row r="2752" ht="17.25" customHeight="1"/>
    <row r="2753" ht="17.25" customHeight="1"/>
    <row r="2754" ht="17.25" customHeight="1"/>
    <row r="2755" ht="17.25" customHeight="1"/>
    <row r="2756" ht="17.25" customHeight="1"/>
    <row r="2757" ht="17.25" customHeight="1"/>
    <row r="2758" ht="17.25" customHeight="1"/>
    <row r="2759" ht="17.25" customHeight="1"/>
    <row r="2760" ht="17.25" customHeight="1"/>
    <row r="2761" ht="17.25" customHeight="1"/>
    <row r="2762" ht="17.25" customHeight="1"/>
    <row r="2763" ht="17.25" customHeight="1"/>
    <row r="2764" ht="17.25" customHeight="1"/>
    <row r="2765" ht="17.25" customHeight="1"/>
    <row r="2766" ht="17.25" customHeight="1"/>
    <row r="2767" ht="17.25" customHeight="1"/>
    <row r="2768" ht="17.25" customHeight="1"/>
    <row r="2769" ht="17.25" customHeight="1"/>
    <row r="2770" ht="17.25" customHeight="1"/>
    <row r="2771" ht="17.25" customHeight="1"/>
    <row r="2772" ht="17.25" customHeight="1"/>
    <row r="2773" ht="17.25" customHeight="1"/>
    <row r="2774" ht="17.25" customHeight="1"/>
    <row r="2775" ht="17.25" customHeight="1"/>
    <row r="2776" ht="17.25" customHeight="1"/>
    <row r="2777" ht="17.25" customHeight="1"/>
    <row r="2778" ht="17.25" customHeight="1"/>
    <row r="2779" ht="17.25" customHeight="1"/>
    <row r="2780" ht="17.25" customHeight="1"/>
    <row r="2781" ht="17.25" customHeight="1"/>
    <row r="2782" ht="17.25" customHeight="1"/>
    <row r="2783" ht="17.25" customHeight="1"/>
    <row r="2784" ht="17.25" customHeight="1"/>
    <row r="2785" ht="17.25" customHeight="1"/>
    <row r="2786" ht="17.25" customHeight="1"/>
    <row r="2787" ht="17.25" customHeight="1"/>
    <row r="2788" ht="17.25" customHeight="1"/>
    <row r="2789" ht="17.25" customHeight="1"/>
    <row r="2790" ht="17.25" customHeight="1"/>
    <row r="2791" ht="17.25" customHeight="1"/>
    <row r="2792" ht="17.25" customHeight="1"/>
    <row r="2793" ht="17.25" customHeight="1"/>
    <row r="2794" ht="17.25" customHeight="1"/>
    <row r="2795" ht="17.25" customHeight="1"/>
    <row r="2796" ht="17.25" customHeight="1"/>
    <row r="2797" ht="17.25" customHeight="1"/>
    <row r="2798" ht="17.25" customHeight="1"/>
    <row r="2799" ht="17.25" customHeight="1"/>
    <row r="2800" ht="17.25" customHeight="1"/>
    <row r="2801" ht="17.25" customHeight="1"/>
    <row r="2802" ht="17.25" customHeight="1"/>
    <row r="2803" ht="17.25" customHeight="1"/>
    <row r="2804" ht="17.25" customHeight="1"/>
    <row r="2805" ht="17.25" customHeight="1"/>
    <row r="2806" ht="17.25" customHeight="1"/>
    <row r="2807" ht="17.25" customHeight="1"/>
    <row r="2808" ht="17.25" customHeight="1"/>
    <row r="2809" ht="17.25" customHeight="1"/>
    <row r="2810" ht="17.25" customHeight="1"/>
    <row r="2811" ht="17.25" customHeight="1"/>
    <row r="2812" ht="17.25" customHeight="1"/>
    <row r="2813" ht="17.25" customHeight="1"/>
    <row r="2814" ht="17.25" customHeight="1"/>
    <row r="2815" ht="17.25" customHeight="1"/>
    <row r="2816" ht="17.25" customHeight="1"/>
    <row r="2817" ht="17.25" customHeight="1"/>
    <row r="2818" ht="17.25" customHeight="1"/>
    <row r="2819" ht="17.25" customHeight="1"/>
    <row r="2820" ht="17.25" customHeight="1"/>
    <row r="2821" ht="17.25" customHeight="1"/>
    <row r="2822" ht="17.25" customHeight="1"/>
    <row r="2823" ht="17.25" customHeight="1"/>
    <row r="2824" ht="17.25" customHeight="1"/>
    <row r="2825" ht="17.25" customHeight="1"/>
    <row r="2826" ht="17.25" customHeight="1"/>
    <row r="2827" ht="17.25" customHeight="1"/>
    <row r="2828" ht="17.25" customHeight="1"/>
    <row r="2829" ht="17.25" customHeight="1"/>
    <row r="2830" ht="17.25" customHeight="1"/>
    <row r="2831" ht="17.25" customHeight="1"/>
    <row r="2832" ht="17.25" customHeight="1"/>
    <row r="2833" ht="17.25" customHeight="1"/>
    <row r="2834" ht="17.25" customHeight="1"/>
    <row r="2835" ht="17.25" customHeight="1"/>
    <row r="2836" ht="17.25" customHeight="1"/>
    <row r="2837" ht="17.25" customHeight="1"/>
    <row r="2838" ht="17.25" customHeight="1"/>
    <row r="2839" ht="17.25" customHeight="1"/>
    <row r="2840" ht="17.25" customHeight="1"/>
    <row r="2841" ht="17.25" customHeight="1"/>
    <row r="2842" ht="17.25" customHeight="1"/>
    <row r="2843" ht="17.25" customHeight="1"/>
    <row r="2844" ht="17.25" customHeight="1"/>
    <row r="2845" ht="17.25" customHeight="1"/>
    <row r="2846" ht="17.25" customHeight="1"/>
    <row r="2847" ht="17.25" customHeight="1"/>
    <row r="2848" ht="17.25" customHeight="1"/>
    <row r="2849" ht="17.25" customHeight="1"/>
    <row r="2850" ht="17.25" customHeight="1"/>
    <row r="2851" ht="17.25" customHeight="1"/>
    <row r="2852" ht="17.25" customHeight="1"/>
    <row r="2853" ht="17.25" customHeight="1"/>
    <row r="2854" ht="17.25" customHeight="1"/>
    <row r="2855" ht="17.25" customHeight="1"/>
    <row r="2856" ht="17.25" customHeight="1"/>
    <row r="2857" ht="17.25" customHeight="1"/>
    <row r="2858" ht="17.25" customHeight="1"/>
    <row r="2859" ht="17.25" customHeight="1"/>
    <row r="2860" ht="17.25" customHeight="1"/>
    <row r="2861" ht="17.25" customHeight="1"/>
    <row r="2862" ht="17.25" customHeight="1"/>
    <row r="2863" ht="17.25" customHeight="1"/>
    <row r="2864" ht="17.25" customHeight="1"/>
    <row r="2865" ht="17.25" customHeight="1"/>
    <row r="2866" ht="17.25" customHeight="1"/>
    <row r="2867" ht="17.25" customHeight="1"/>
    <row r="2868" ht="17.25" customHeight="1"/>
    <row r="2869" ht="17.25" customHeight="1"/>
    <row r="2870" ht="17.25" customHeight="1"/>
    <row r="2871" ht="17.25" customHeight="1"/>
    <row r="2872" ht="17.25" customHeight="1"/>
    <row r="2873" ht="17.25" customHeight="1"/>
    <row r="2874" ht="17.25" customHeight="1"/>
    <row r="2875" ht="17.25" customHeight="1"/>
    <row r="2876" ht="17.25" customHeight="1"/>
    <row r="2877" ht="17.25" customHeight="1"/>
    <row r="2878" ht="17.25" customHeight="1"/>
    <row r="2879" ht="17.25" customHeight="1"/>
    <row r="2880" ht="17.25" customHeight="1"/>
    <row r="2881" ht="17.25" customHeight="1"/>
    <row r="2882" ht="17.25" customHeight="1"/>
    <row r="2883" ht="17.25" customHeight="1"/>
    <row r="2884" ht="17.25" customHeight="1"/>
    <row r="2885" ht="17.25" customHeight="1"/>
    <row r="2886" ht="17.25" customHeight="1"/>
    <row r="2887" ht="17.25" customHeight="1"/>
    <row r="2888" ht="17.25" customHeight="1"/>
    <row r="2889" ht="17.25" customHeight="1"/>
    <row r="2890" ht="17.25" customHeight="1"/>
    <row r="2891" ht="17.25" customHeight="1"/>
    <row r="2892" ht="17.25" customHeight="1"/>
    <row r="2893" ht="17.25" customHeight="1"/>
    <row r="2894" ht="17.25" customHeight="1"/>
    <row r="2895" ht="17.25" customHeight="1"/>
    <row r="2896" ht="17.25" customHeight="1"/>
    <row r="2897" ht="17.25" customHeight="1"/>
    <row r="2898" ht="17.25" customHeight="1"/>
    <row r="2899" ht="17.25" customHeight="1"/>
    <row r="2900" ht="17.25" customHeight="1"/>
    <row r="2901" ht="17.25" customHeight="1"/>
    <row r="2902" ht="17.25" customHeight="1"/>
    <row r="2903" ht="17.25" customHeight="1"/>
    <row r="2904" ht="17.25" customHeight="1"/>
    <row r="2905" ht="17.25" customHeight="1"/>
    <row r="2906" ht="17.25" customHeight="1"/>
    <row r="2907" ht="17.25" customHeight="1"/>
    <row r="2908" ht="17.25" customHeight="1"/>
    <row r="2909" ht="17.25" customHeight="1"/>
    <row r="2910" ht="17.25" customHeight="1"/>
    <row r="2911" ht="17.25" customHeight="1"/>
    <row r="2912" ht="17.25" customHeight="1"/>
    <row r="2913" ht="17.25" customHeight="1"/>
    <row r="2914" ht="17.25" customHeight="1"/>
    <row r="2915" ht="17.25" customHeight="1"/>
    <row r="2916" ht="17.25" customHeight="1"/>
    <row r="2917" ht="17.25" customHeight="1"/>
    <row r="2918" ht="17.25" customHeight="1"/>
    <row r="2919" ht="17.25" customHeight="1"/>
    <row r="2920" ht="17.25" customHeight="1"/>
    <row r="2921" ht="17.25" customHeight="1"/>
    <row r="2922" ht="17.25" customHeight="1"/>
    <row r="2923" ht="17.25" customHeight="1"/>
    <row r="2924" ht="17.25" customHeight="1"/>
    <row r="2925" ht="17.25" customHeight="1"/>
    <row r="2926" ht="17.25" customHeight="1"/>
    <row r="2927" ht="17.25" customHeight="1"/>
    <row r="2928" ht="17.25" customHeight="1"/>
    <row r="2929" ht="17.25" customHeight="1"/>
    <row r="2930" ht="17.25" customHeight="1"/>
    <row r="2931" ht="17.25" customHeight="1"/>
    <row r="2932" ht="17.25" customHeight="1"/>
    <row r="2933" ht="17.25" customHeight="1"/>
    <row r="2934" ht="17.25" customHeight="1"/>
    <row r="2935" ht="17.25" customHeight="1"/>
    <row r="2936" ht="17.25" customHeight="1"/>
    <row r="2937" ht="17.25" customHeight="1"/>
    <row r="2938" ht="17.25" customHeight="1"/>
    <row r="2939" ht="17.25" customHeight="1"/>
    <row r="2940" ht="17.25" customHeight="1"/>
    <row r="2941" ht="17.25" customHeight="1"/>
    <row r="2942" ht="17.25" customHeight="1"/>
    <row r="2943" ht="17.25" customHeight="1"/>
    <row r="2944" ht="17.25" customHeight="1"/>
    <row r="2945" ht="17.25" customHeight="1"/>
    <row r="2946" ht="17.25" customHeight="1"/>
    <row r="2947" ht="17.25" customHeight="1"/>
    <row r="2948" ht="17.25" customHeight="1"/>
    <row r="2949" ht="17.25" customHeight="1"/>
    <row r="2950" ht="17.25" customHeight="1"/>
    <row r="2951" ht="17.25" customHeight="1"/>
    <row r="2952" ht="17.25" customHeight="1"/>
    <row r="2953" ht="17.25" customHeight="1"/>
    <row r="2954" ht="17.25" customHeight="1"/>
    <row r="2955" ht="17.25" customHeight="1"/>
    <row r="2956" ht="17.25" customHeight="1"/>
    <row r="2957" ht="17.25" customHeight="1"/>
    <row r="2958" ht="17.25" customHeight="1"/>
    <row r="2959" ht="17.25" customHeight="1"/>
    <row r="2960" ht="17.25" customHeight="1"/>
    <row r="2961" ht="17.25" customHeight="1"/>
    <row r="2962" ht="17.25" customHeight="1"/>
    <row r="2963" ht="17.25" customHeight="1"/>
    <row r="2964" ht="17.25" customHeight="1"/>
    <row r="2965" ht="17.25" customHeight="1"/>
    <row r="2966" ht="17.25" customHeight="1"/>
    <row r="2967" ht="17.25" customHeight="1"/>
    <row r="2968" ht="17.25" customHeight="1"/>
    <row r="2969" ht="17.25" customHeight="1"/>
    <row r="2970" ht="17.25" customHeight="1"/>
    <row r="2971" ht="17.25" customHeight="1"/>
    <row r="2972" ht="17.25" customHeight="1"/>
    <row r="2973" ht="17.25" customHeight="1"/>
    <row r="2974" ht="17.25" customHeight="1"/>
    <row r="2975" ht="17.25" customHeight="1"/>
    <row r="2976" ht="17.25" customHeight="1"/>
    <row r="2977" ht="17.25" customHeight="1"/>
    <row r="2978" ht="17.25" customHeight="1"/>
    <row r="2979" ht="17.25" customHeight="1"/>
    <row r="2980" ht="17.25" customHeight="1"/>
    <row r="2981" ht="17.25" customHeight="1"/>
    <row r="2982" ht="17.25" customHeight="1"/>
    <row r="2983" ht="17.25" customHeight="1"/>
    <row r="2984" ht="17.25" customHeight="1"/>
    <row r="2985" ht="17.25" customHeight="1"/>
    <row r="2986" ht="17.25" customHeight="1"/>
    <row r="2987" ht="17.25" customHeight="1"/>
  </sheetData>
  <mergeCells count="2">
    <mergeCell ref="A2:N2"/>
    <mergeCell ref="A1:N1"/>
  </mergeCells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70AD47"/>
    <outlinePr summaryBelow="1" summaryRight="1"/>
    <pageSetUpPr/>
  </sheetPr>
  <dimension ref="A1:Z3003"/>
  <sheetViews>
    <sheetView showGridLines="0" topLeftCell="C265" zoomScaleNormal="100" workbookViewId="0">
      <selection activeCell="D324" sqref="D324"/>
    </sheetView>
  </sheetViews>
  <sheetFormatPr baseColWidth="8" defaultColWidth="8.6640625" defaultRowHeight="14.25" customHeight="1"/>
  <cols>
    <col width="10" customWidth="1" min="1" max="1"/>
    <col width="28.6640625" customWidth="1" min="2" max="2"/>
    <col width="9.88671875" customWidth="1" min="3" max="3"/>
    <col width="30" customWidth="1" min="4" max="4"/>
    <col width="10.5546875" customWidth="1" min="5" max="5"/>
    <col width="12.88671875" customWidth="1" min="6" max="6"/>
    <col width="10.5546875" customWidth="1" min="7" max="7"/>
    <col width="15" customWidth="1" min="8" max="8"/>
    <col width="13.33203125" customWidth="1" min="9" max="9"/>
    <col width="4.109375" customWidth="1" min="10" max="10"/>
    <col width="10" customWidth="1" min="11" max="11"/>
    <col width="21" customWidth="1" min="12" max="12"/>
    <col width="10.33203125" customWidth="1" min="13" max="13"/>
    <col width="12.5546875" customWidth="1" min="14" max="14"/>
    <col width="11.88671875" customWidth="1" min="15" max="15"/>
    <col width="12.6640625" customWidth="1" min="16" max="16"/>
    <col width="10" customWidth="1" min="17" max="18"/>
    <col width="8" customWidth="1" min="19" max="19"/>
    <col width="10" customWidth="1" min="20" max="20"/>
    <col width="13.88671875" customWidth="1" min="21" max="21"/>
    <col width="10" customWidth="1" min="22" max="22"/>
    <col width="12" customWidth="1" min="23" max="23"/>
    <col width="8" customWidth="1" min="24" max="24"/>
    <col width="14" customWidth="1" min="25" max="26"/>
  </cols>
  <sheetData>
    <row r="1" ht="24" customHeight="1">
      <c r="A1" s="145" t="inlineStr">
        <is>
          <t>정규화·1차필터·유사도 랭킹</t>
        </is>
      </c>
    </row>
    <row r="2" ht="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 ht="33" customHeight="1">
      <c r="A3" s="45" t="inlineStr">
        <is>
          <t>원본행</t>
        </is>
      </c>
      <c r="B3" s="45" t="inlineStr">
        <is>
          <t>시군구</t>
        </is>
      </c>
      <c r="C3" s="45" t="inlineStr">
        <is>
          <t>번지</t>
        </is>
      </c>
      <c r="D3" s="45" t="inlineStr">
        <is>
          <t>단지명</t>
        </is>
      </c>
      <c r="E3" s="45" t="inlineStr">
        <is>
          <t>전용면적(㎡)</t>
        </is>
      </c>
      <c r="F3" s="45" t="inlineStr">
        <is>
          <t>계약일</t>
        </is>
      </c>
      <c r="G3" s="45" t="inlineStr">
        <is>
          <t>거래금액(만원)</t>
        </is>
      </c>
      <c r="H3" s="45" t="inlineStr">
        <is>
          <t>거래금액
(원)</t>
        </is>
      </c>
      <c r="I3" s="45" t="inlineStr">
        <is>
          <t>단가
(원/㎡)</t>
        </is>
      </c>
      <c r="J3" s="45" t="inlineStr">
        <is>
          <t>층</t>
        </is>
      </c>
      <c r="K3" s="45" t="inlineStr">
        <is>
          <t>건축년도</t>
        </is>
      </c>
      <c r="L3" s="45" t="inlineStr">
        <is>
          <t>도로명</t>
        </is>
      </c>
      <c r="M3" s="45" t="inlineStr">
        <is>
          <t>거래유형</t>
        </is>
      </c>
      <c r="N3" s="45" t="inlineStr">
        <is>
          <t>동일시군구</t>
        </is>
      </c>
      <c r="O3" s="45" t="inlineStr">
        <is>
          <t>동일법정동</t>
        </is>
      </c>
      <c r="P3" s="45" t="inlineStr">
        <is>
          <t>동일도로명</t>
        </is>
      </c>
      <c r="Q3" s="45" t="inlineStr">
        <is>
          <t>동일건물</t>
        </is>
      </c>
      <c r="R3" s="45" t="inlineStr">
        <is>
          <t>면적차율</t>
        </is>
      </c>
      <c r="S3" s="45" t="inlineStr">
        <is>
          <t>층차</t>
        </is>
      </c>
      <c r="T3" s="45" t="inlineStr">
        <is>
          <t>경과일수</t>
        </is>
      </c>
      <c r="U3" s="45" t="inlineStr">
        <is>
          <t>건축연차차</t>
        </is>
      </c>
      <c r="V3" s="46" t="inlineStr">
        <is>
          <t>1차통과</t>
        </is>
      </c>
      <c r="W3" s="45" t="inlineStr">
        <is>
          <t>유사도점수</t>
        </is>
      </c>
      <c r="X3" s="45" t="inlineStr">
        <is>
          <t>순위</t>
        </is>
      </c>
      <c r="Y3" s="45" t="inlineStr">
        <is>
          <t>예상단가차율</t>
        </is>
      </c>
      <c r="Z3" s="45" t="inlineStr">
        <is>
          <t>예상단가점수</t>
        </is>
      </c>
    </row>
    <row r="4" ht="17.25" customHeight="1">
      <c r="A4" s="152">
        <f>IF(INDEX('04A_국토부원자료'!$A:$A,ROW()+1)="","",ROW()-3)</f>
        <v/>
      </c>
      <c r="B4" s="48">
        <f>IFERROR(INDEX('04A_국토부원자료'!$A:$T,ROW()+1,MATCH("시군구",'04A_국토부원자료'!$A$4:$T$4,0)),"")</f>
        <v/>
      </c>
      <c r="C4" s="48">
        <f>IF(B4="","",IFERROR(INDEX('04A_국토부원자료'!$A:$T,ROW()+1,MATCH("번지",'04A_국토부원자료'!$A$4:$T$4,0)),""))</f>
        <v/>
      </c>
      <c r="D4" s="48">
        <f>IF(B4="","",IF(Q4=1,'02_대상물건입력'!$B$8,IFERROR(INDEX('04A_국토부원자료'!$A:$T,ROW()+1,MATCH("단지명",'04A_국토부원자료'!$A$4:$T$4,0)),"")))</f>
        <v/>
      </c>
      <c r="E4" s="172">
        <f>IFERROR(VALUE(SUBSTITUTE(INDEX('04A_국토부원자료'!$A:$T,ROW()+1,MATCH("전용면적(㎡)",'04A_국토부원자료'!$A$4:$T$4,0)),",","")),"")</f>
        <v/>
      </c>
      <c r="F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" s="51">
        <f>IFERROR(VALUE(SUBSTITUTE(INDEX('04A_국토부원자료'!$A:$T,ROW()+1,MATCH("거래금액(만원)",'04A_국토부원자료'!$A$4:$T$4,0)),",","")),"")</f>
        <v/>
      </c>
      <c r="H4" s="174">
        <f>IF(G4="","",G4*10000)</f>
        <v/>
      </c>
      <c r="I4" s="174">
        <f>IFERROR(IF(AND(H4&gt;0,E4&gt;0),H4/E4,""),"")</f>
        <v/>
      </c>
      <c r="J4" s="152">
        <f>IFERROR(VALUE(SUBSTITUTE(INDEX('04A_국토부원자료'!$A:$T,ROW()+1,MATCH("층",'04A_국토부원자료'!$A$4:$T$4,0)),",","")),"")</f>
        <v/>
      </c>
      <c r="K4" s="152">
        <f>IFERROR(VALUE(SUBSTITUTE(INDEX('04A_국토부원자료'!$A:$T,ROW()+1,MATCH("건축년도",'04A_국토부원자료'!$A$4:$T$4,0)),",","")),"")</f>
        <v/>
      </c>
      <c r="L4" s="48">
        <f>IFERROR(INDEX('04A_국토부원자료'!$A:$T,ROW()+1,MATCH("도로명",'04A_국토부원자료'!$A$4:$T$4,0)),"")</f>
        <v/>
      </c>
      <c r="M4" s="48">
        <f>IFERROR(INDEX('04A_국토부원자료'!$A:$T,ROW()+1,MATCH("거래유형",'04A_국토부원자료'!$A$4:$T$4,0)),"")</f>
        <v/>
      </c>
      <c r="N4" s="152">
        <f>IF(B4="","",IF('02_대상물건입력'!B5="",1,IF(ISNUMBER(SEARCH('02_대상물건입력'!B5,B4)),1,0)))</f>
        <v/>
      </c>
      <c r="O4" s="152">
        <f>IF(B4="","",IF('02_대상물건입력'!B6="",1,IF(ISNUMBER(SEARCH('02_대상물건입력'!B6,B4)),1,0)))</f>
        <v/>
      </c>
      <c r="P4" s="152">
        <f>IF(L4="","",IF('02_대상물건입력'!B15="",0,IF(ISNUMBER(SEARCH('02_대상물건입력'!B15,L4)),1,0)))</f>
        <v/>
      </c>
      <c r="Q4" s="152">
        <f>IF(OR(C4="",L4=""),0,IF(AND(TRIM(C4)=TRIM(RIGHT(SUBSTITUTE(TRIM('02_대상물건입력'!$B$7)," ",REPT(" ",99)),99)),IF('02_대상물건입력'!B15="",TRUE(),ISNUMBER(SEARCH('02_대상물건입력'!B15,L4)))),1,0))</f>
        <v/>
      </c>
      <c r="R4" s="175">
        <f>IFERROR(ABS(E4-'02_대상물건입력'!B11)/'02_대상물건입력'!B11,"")</f>
        <v/>
      </c>
      <c r="S4" s="152">
        <f>IFERROR(ABS(J4-'02_대상물건입력'!B10),"")</f>
        <v/>
      </c>
      <c r="T4" s="152">
        <f>IFERROR(ABS('01_설정'!B4-F4),"")</f>
        <v/>
      </c>
      <c r="U4" s="152">
        <f>IFERROR(ABS(K4-YEAR('02_대상물건입력'!B14)),"")</f>
        <v/>
      </c>
      <c r="V4" s="152">
        <f>IF(B4="","",IF(AND(E4&gt;0,F4&gt;0,H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=1,TRUE()),R4&lt;='01_설정'!B5,S4&lt;='01_설정'!B6,T4&lt;='01_설정'!B7,U4&lt;='01_설정'!B8),"Y",""))</f>
        <v/>
      </c>
      <c r="W4" s="172">
        <f>IF(V4&lt;&gt;"Y","",MAX(0,(1-R4/'01_설정'!B5))*'01_설정'!B14+MAX(0,(1-S4/'01_설정'!B6))*'01_설정'!B15+MAX(0,(1-T4/'01_설정'!B7))*'01_설정'!B16+MAX(0,(1-U4/'01_설정'!B8))*'01_설정'!B17+O4*'01_설정'!B11+Q4*'01_설정'!B12+P4*'01_설정'!B13+IF(Z4="",0,Z4))</f>
        <v/>
      </c>
      <c r="X4" s="152">
        <f>IF(W4="","",1+COUNTIFS($W$4:$W$3003,"&gt;"&amp;W4)+COUNTIFS($W$4:W4,W4)-1)</f>
        <v/>
      </c>
      <c r="Y4" s="175">
        <f>IF(OR(I4="",'02_대상물건입력'!B19="",'02_대상물건입력'!B19&lt;=0),"",ABS(I4-'02_대상물건입력'!B19)/'02_대상물건입력'!B19)</f>
        <v/>
      </c>
      <c r="Z4" s="172">
        <f>IF(OR(Y4="",'01_설정'!B31="",'01_설정'!B31&lt;=0,'01_설정'!B32="",'01_설정'!B32&lt;=0),"",MAX(0,(1-Y4/'01_설정'!B32))*'01_설정'!B31)</f>
        <v/>
      </c>
    </row>
    <row r="5" ht="17.25" customHeight="1">
      <c r="A5" s="152">
        <f>IF(INDEX('04A_국토부원자료'!$A:$A,ROW()+1)="","",ROW()-3)</f>
        <v/>
      </c>
      <c r="B5" s="48">
        <f>IFERROR(INDEX('04A_국토부원자료'!$A:$T,ROW()+1,MATCH("시군구",'04A_국토부원자료'!$A$4:$T$4,0)),"")</f>
        <v/>
      </c>
      <c r="C5" s="48">
        <f>IF(B5="","",IFERROR(INDEX('04A_국토부원자료'!$A:$T,ROW()+1,MATCH("번지",'04A_국토부원자료'!$A$4:$T$4,0)),""))</f>
        <v/>
      </c>
      <c r="D5" s="48">
        <f>IF(B5="","",IF(Q5=1,'02_대상물건입력'!$B$8,IFERROR(INDEX('04A_국토부원자료'!$A:$T,ROW()+1,MATCH("단지명",'04A_국토부원자료'!$A$4:$T$4,0)),"")))</f>
        <v/>
      </c>
      <c r="E5" s="172">
        <f>IFERROR(VALUE(SUBSTITUTE(INDEX('04A_국토부원자료'!$A:$T,ROW()+1,MATCH("전용면적(㎡)",'04A_국토부원자료'!$A$4:$T$4,0)),",","")),"")</f>
        <v/>
      </c>
      <c r="F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" s="51">
        <f>IFERROR(VALUE(SUBSTITUTE(INDEX('04A_국토부원자료'!$A:$T,ROW()+1,MATCH("거래금액(만원)",'04A_국토부원자료'!$A$4:$T$4,0)),",","")),"")</f>
        <v/>
      </c>
      <c r="H5" s="174">
        <f>IF(G5="","",G5*10000)</f>
        <v/>
      </c>
      <c r="I5" s="174">
        <f>IFERROR(IF(AND(H5&gt;0,E5&gt;0),H5/E5,""),"")</f>
        <v/>
      </c>
      <c r="J5" s="152">
        <f>IFERROR(VALUE(SUBSTITUTE(INDEX('04A_국토부원자료'!$A:$T,ROW()+1,MATCH("층",'04A_국토부원자료'!$A$4:$T$4,0)),",","")),"")</f>
        <v/>
      </c>
      <c r="K5" s="152">
        <f>IFERROR(VALUE(SUBSTITUTE(INDEX('04A_국토부원자료'!$A:$T,ROW()+1,MATCH("건축년도",'04A_국토부원자료'!$A$4:$T$4,0)),",","")),"")</f>
        <v/>
      </c>
      <c r="L5" s="48">
        <f>IFERROR(INDEX('04A_국토부원자료'!$A:$T,ROW()+1,MATCH("도로명",'04A_국토부원자료'!$A$4:$T$4,0)),"")</f>
        <v/>
      </c>
      <c r="M5" s="48">
        <f>IFERROR(INDEX('04A_국토부원자료'!$A:$T,ROW()+1,MATCH("거래유형",'04A_국토부원자료'!$A$4:$T$4,0)),"")</f>
        <v/>
      </c>
      <c r="N5" s="152">
        <f>IF(B5="","",IF('02_대상물건입력'!B5="",1,IF(ISNUMBER(SEARCH('02_대상물건입력'!B5,B5)),1,0)))</f>
        <v/>
      </c>
      <c r="O5" s="152">
        <f>IF(B5="","",IF('02_대상물건입력'!B6="",1,IF(ISNUMBER(SEARCH('02_대상물건입력'!B6,B5)),1,0)))</f>
        <v/>
      </c>
      <c r="P5" s="152">
        <f>IF(L5="","",IF('02_대상물건입력'!B15="",0,IF(ISNUMBER(SEARCH('02_대상물건입력'!B15,L5)),1,0)))</f>
        <v/>
      </c>
      <c r="Q5" s="152">
        <f>IF(OR(C5="",L5=""),0,IF(AND(TRIM(C5)=TRIM(RIGHT(SUBSTITUTE(TRIM('02_대상물건입력'!$B$7)," ",REPT(" ",99)),99)),IF('02_대상물건입력'!B15="",TRUE(),ISNUMBER(SEARCH('02_대상물건입력'!B15,L5)))),1,0))</f>
        <v/>
      </c>
      <c r="R5" s="175">
        <f>IFERROR(ABS(E5-'02_대상물건입력'!B11)/'02_대상물건입력'!B11,"")</f>
        <v/>
      </c>
      <c r="S5" s="152">
        <f>IFERROR(ABS(J5-'02_대상물건입력'!B10),"")</f>
        <v/>
      </c>
      <c r="T5" s="152">
        <f>IFERROR(ABS('01_설정'!B4-F5),"")</f>
        <v/>
      </c>
      <c r="U5" s="152">
        <f>IFERROR(ABS(K5-YEAR('02_대상물건입력'!B14)),"")</f>
        <v/>
      </c>
      <c r="V5" s="152">
        <f>IF(B5="","",IF(AND(E5&gt;0,F5&gt;0,H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=1,TRUE()),R5&lt;='01_설정'!B5,S5&lt;='01_설정'!B6,T5&lt;='01_설정'!B7,U5&lt;='01_설정'!B8),"Y",""))</f>
        <v/>
      </c>
      <c r="W5" s="172">
        <f>IF(V5&lt;&gt;"Y","",MAX(0,(1-R5/'01_설정'!B5))*'01_설정'!B14+MAX(0,(1-S5/'01_설정'!B6))*'01_설정'!B15+MAX(0,(1-T5/'01_설정'!B7))*'01_설정'!B16+MAX(0,(1-U5/'01_설정'!B8))*'01_설정'!B17+O5*'01_설정'!B11+Q5*'01_설정'!B12+P5*'01_설정'!B13+IF(Z5="",0,Z5))</f>
        <v/>
      </c>
      <c r="X5" s="152">
        <f>IF(W5="","",1+COUNTIFS($W$4:$W$3003,"&gt;"&amp;W5)+COUNTIFS($W$4:W5,W5)-1)</f>
        <v/>
      </c>
      <c r="Y5" s="175">
        <f>IF(OR(I5="",'02_대상물건입력'!B19="",'02_대상물건입력'!B19&lt;=0),"",ABS(I5-'02_대상물건입력'!B19)/'02_대상물건입력'!B19)</f>
        <v/>
      </c>
      <c r="Z5" s="172">
        <f>IF(OR(Y5="",'01_설정'!B31="",'01_설정'!B31&lt;=0,'01_설정'!B32="",'01_설정'!B32&lt;=0),"",MAX(0,(1-Y5/'01_설정'!B32))*'01_설정'!B31)</f>
        <v/>
      </c>
    </row>
    <row r="6" ht="17.25" customHeight="1">
      <c r="A6" s="152">
        <f>IF(INDEX('04A_국토부원자료'!$A:$A,ROW()+1)="","",ROW()-3)</f>
        <v/>
      </c>
      <c r="B6" s="48">
        <f>IFERROR(INDEX('04A_국토부원자료'!$A:$T,ROW()+1,MATCH("시군구",'04A_국토부원자료'!$A$4:$T$4,0)),"")</f>
        <v/>
      </c>
      <c r="C6" s="48">
        <f>IF(B6="","",IFERROR(INDEX('04A_국토부원자료'!$A:$T,ROW()+1,MATCH("번지",'04A_국토부원자료'!$A$4:$T$4,0)),""))</f>
        <v/>
      </c>
      <c r="D6" s="48">
        <f>IF(B6="","",IF(Q6=1,'02_대상물건입력'!$B$8,IFERROR(INDEX('04A_국토부원자료'!$A:$T,ROW()+1,MATCH("단지명",'04A_국토부원자료'!$A$4:$T$4,0)),"")))</f>
        <v/>
      </c>
      <c r="E6" s="172">
        <f>IFERROR(VALUE(SUBSTITUTE(INDEX('04A_국토부원자료'!$A:$T,ROW()+1,MATCH("전용면적(㎡)",'04A_국토부원자료'!$A$4:$T$4,0)),",","")),"")</f>
        <v/>
      </c>
      <c r="F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" s="51">
        <f>IFERROR(VALUE(SUBSTITUTE(INDEX('04A_국토부원자료'!$A:$T,ROW()+1,MATCH("거래금액(만원)",'04A_국토부원자료'!$A$4:$T$4,0)),",","")),"")</f>
        <v/>
      </c>
      <c r="H6" s="174">
        <f>IF(G6="","",G6*10000)</f>
        <v/>
      </c>
      <c r="I6" s="174">
        <f>IFERROR(IF(AND(H6&gt;0,E6&gt;0),H6/E6,""),"")</f>
        <v/>
      </c>
      <c r="J6" s="152">
        <f>IFERROR(VALUE(SUBSTITUTE(INDEX('04A_국토부원자료'!$A:$T,ROW()+1,MATCH("층",'04A_국토부원자료'!$A$4:$T$4,0)),",","")),"")</f>
        <v/>
      </c>
      <c r="K6" s="152">
        <f>IFERROR(VALUE(SUBSTITUTE(INDEX('04A_국토부원자료'!$A:$T,ROW()+1,MATCH("건축년도",'04A_국토부원자료'!$A$4:$T$4,0)),",","")),"")</f>
        <v/>
      </c>
      <c r="L6" s="48">
        <f>IFERROR(INDEX('04A_국토부원자료'!$A:$T,ROW()+1,MATCH("도로명",'04A_국토부원자료'!$A$4:$T$4,0)),"")</f>
        <v/>
      </c>
      <c r="M6" s="48">
        <f>IFERROR(INDEX('04A_국토부원자료'!$A:$T,ROW()+1,MATCH("거래유형",'04A_국토부원자료'!$A$4:$T$4,0)),"")</f>
        <v/>
      </c>
      <c r="N6" s="152">
        <f>IF(B6="","",IF('02_대상물건입력'!B5="",1,IF(ISNUMBER(SEARCH('02_대상물건입력'!B5,B6)),1,0)))</f>
        <v/>
      </c>
      <c r="O6" s="152">
        <f>IF(B6="","",IF('02_대상물건입력'!B6="",1,IF(ISNUMBER(SEARCH('02_대상물건입력'!B6,B6)),1,0)))</f>
        <v/>
      </c>
      <c r="P6" s="152">
        <f>IF(L6="","",IF('02_대상물건입력'!B15="",0,IF(ISNUMBER(SEARCH('02_대상물건입력'!B15,L6)),1,0)))</f>
        <v/>
      </c>
      <c r="Q6" s="152">
        <f>IF(OR(C6="",L6=""),0,IF(AND(TRIM(C6)=TRIM(RIGHT(SUBSTITUTE(TRIM('02_대상물건입력'!$B$7)," ",REPT(" ",99)),99)),IF('02_대상물건입력'!B15="",TRUE(),ISNUMBER(SEARCH('02_대상물건입력'!B15,L6)))),1,0))</f>
        <v/>
      </c>
      <c r="R6" s="175">
        <f>IFERROR(ABS(E6-'02_대상물건입력'!B11)/'02_대상물건입력'!B11,"")</f>
        <v/>
      </c>
      <c r="S6" s="152">
        <f>IFERROR(ABS(J6-'02_대상물건입력'!B10),"")</f>
        <v/>
      </c>
      <c r="T6" s="152">
        <f>IFERROR(ABS('01_설정'!B4-F6),"")</f>
        <v/>
      </c>
      <c r="U6" s="152">
        <f>IFERROR(ABS(K6-YEAR('02_대상물건입력'!B14)),"")</f>
        <v/>
      </c>
      <c r="V6" s="152">
        <f>IF(B6="","",IF(AND(E6&gt;0,F6&gt;0,H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=1,TRUE()),R6&lt;='01_설정'!B5,S6&lt;='01_설정'!B6,T6&lt;='01_설정'!B7,U6&lt;='01_설정'!B8),"Y",""))</f>
        <v/>
      </c>
      <c r="W6" s="172">
        <f>IF(V6&lt;&gt;"Y","",MAX(0,(1-R6/'01_설정'!B5))*'01_설정'!B14+MAX(0,(1-S6/'01_설정'!B6))*'01_설정'!B15+MAX(0,(1-T6/'01_설정'!B7))*'01_설정'!B16+MAX(0,(1-U6/'01_설정'!B8))*'01_설정'!B17+O6*'01_설정'!B11+Q6*'01_설정'!B12+P6*'01_설정'!B13+IF(Z6="",0,Z6))</f>
        <v/>
      </c>
      <c r="X6" s="152">
        <f>IF(W6="","",1+COUNTIFS($W$4:$W$3003,"&gt;"&amp;W6)+COUNTIFS($W$4:W6,W6)-1)</f>
        <v/>
      </c>
      <c r="Y6" s="175">
        <f>IF(OR(I6="",'02_대상물건입력'!B19="",'02_대상물건입력'!B19&lt;=0),"",ABS(I6-'02_대상물건입력'!B19)/'02_대상물건입력'!B19)</f>
        <v/>
      </c>
      <c r="Z6" s="172">
        <f>IF(OR(Y6="",'01_설정'!B31="",'01_설정'!B31&lt;=0,'01_설정'!B32="",'01_설정'!B32&lt;=0),"",MAX(0,(1-Y6/'01_설정'!B32))*'01_설정'!B31)</f>
        <v/>
      </c>
    </row>
    <row r="7" ht="17.25" customHeight="1">
      <c r="A7" s="152">
        <f>IF(INDEX('04A_국토부원자료'!$A:$A,ROW()+1)="","",ROW()-3)</f>
        <v/>
      </c>
      <c r="B7" s="48">
        <f>IFERROR(INDEX('04A_국토부원자료'!$A:$T,ROW()+1,MATCH("시군구",'04A_국토부원자료'!$A$4:$T$4,0)),"")</f>
        <v/>
      </c>
      <c r="C7" s="48">
        <f>IF(B7="","",IFERROR(INDEX('04A_국토부원자료'!$A:$T,ROW()+1,MATCH("번지",'04A_국토부원자료'!$A$4:$T$4,0)),""))</f>
        <v/>
      </c>
      <c r="D7" s="48">
        <f>IF(B7="","",IF(Q7=1,'02_대상물건입력'!$B$8,IFERROR(INDEX('04A_국토부원자료'!$A:$T,ROW()+1,MATCH("단지명",'04A_국토부원자료'!$A$4:$T$4,0)),"")))</f>
        <v/>
      </c>
      <c r="E7" s="172">
        <f>IFERROR(VALUE(SUBSTITUTE(INDEX('04A_국토부원자료'!$A:$T,ROW()+1,MATCH("전용면적(㎡)",'04A_국토부원자료'!$A$4:$T$4,0)),",","")),"")</f>
        <v/>
      </c>
      <c r="F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" s="51">
        <f>IFERROR(VALUE(SUBSTITUTE(INDEX('04A_국토부원자료'!$A:$T,ROW()+1,MATCH("거래금액(만원)",'04A_국토부원자료'!$A$4:$T$4,0)),",","")),"")</f>
        <v/>
      </c>
      <c r="H7" s="174">
        <f>IF(G7="","",G7*10000)</f>
        <v/>
      </c>
      <c r="I7" s="174">
        <f>IFERROR(IF(AND(H7&gt;0,E7&gt;0),H7/E7,""),"")</f>
        <v/>
      </c>
      <c r="J7" s="152">
        <f>IFERROR(VALUE(SUBSTITUTE(INDEX('04A_국토부원자료'!$A:$T,ROW()+1,MATCH("층",'04A_국토부원자료'!$A$4:$T$4,0)),",","")),"")</f>
        <v/>
      </c>
      <c r="K7" s="152">
        <f>IFERROR(VALUE(SUBSTITUTE(INDEX('04A_국토부원자료'!$A:$T,ROW()+1,MATCH("건축년도",'04A_국토부원자료'!$A$4:$T$4,0)),",","")),"")</f>
        <v/>
      </c>
      <c r="L7" s="48">
        <f>IFERROR(INDEX('04A_국토부원자료'!$A:$T,ROW()+1,MATCH("도로명",'04A_국토부원자료'!$A$4:$T$4,0)),"")</f>
        <v/>
      </c>
      <c r="M7" s="48">
        <f>IFERROR(INDEX('04A_국토부원자료'!$A:$T,ROW()+1,MATCH("거래유형",'04A_국토부원자료'!$A$4:$T$4,0)),"")</f>
        <v/>
      </c>
      <c r="N7" s="152">
        <f>IF(B7="","",IF('02_대상물건입력'!B5="",1,IF(ISNUMBER(SEARCH('02_대상물건입력'!B5,B7)),1,0)))</f>
        <v/>
      </c>
      <c r="O7" s="152">
        <f>IF(B7="","",IF('02_대상물건입력'!B6="",1,IF(ISNUMBER(SEARCH('02_대상물건입력'!B6,B7)),1,0)))</f>
        <v/>
      </c>
      <c r="P7" s="152">
        <f>IF(L7="","",IF('02_대상물건입력'!B15="",0,IF(ISNUMBER(SEARCH('02_대상물건입력'!B15,L7)),1,0)))</f>
        <v/>
      </c>
      <c r="Q7" s="152">
        <f>IF(OR(C7="",L7=""),0,IF(AND(TRIM(C7)=TRIM(RIGHT(SUBSTITUTE(TRIM('02_대상물건입력'!$B$7)," ",REPT(" ",99)),99)),IF('02_대상물건입력'!B15="",TRUE(),ISNUMBER(SEARCH('02_대상물건입력'!B15,L7)))),1,0))</f>
        <v/>
      </c>
      <c r="R7" s="175">
        <f>IFERROR(ABS(E7-'02_대상물건입력'!B11)/'02_대상물건입력'!B11,"")</f>
        <v/>
      </c>
      <c r="S7" s="152">
        <f>IFERROR(ABS(J7-'02_대상물건입력'!B10),"")</f>
        <v/>
      </c>
      <c r="T7" s="152">
        <f>IFERROR(ABS('01_설정'!B4-F7),"")</f>
        <v/>
      </c>
      <c r="U7" s="152">
        <f>IFERROR(ABS(K7-YEAR('02_대상물건입력'!B14)),"")</f>
        <v/>
      </c>
      <c r="V7" s="152">
        <f>IF(B7="","",IF(AND(E7&gt;0,F7&gt;0,H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=1,TRUE()),R7&lt;='01_설정'!B5,S7&lt;='01_설정'!B6,T7&lt;='01_설정'!B7,U7&lt;='01_설정'!B8),"Y",""))</f>
        <v/>
      </c>
      <c r="W7" s="172">
        <f>IF(V7&lt;&gt;"Y","",MAX(0,(1-R7/'01_설정'!B5))*'01_설정'!B14+MAX(0,(1-S7/'01_설정'!B6))*'01_설정'!B15+MAX(0,(1-T7/'01_설정'!B7))*'01_설정'!B16+MAX(0,(1-U7/'01_설정'!B8))*'01_설정'!B17+O7*'01_설정'!B11+Q7*'01_설정'!B12+P7*'01_설정'!B13+IF(Z7="",0,Z7))</f>
        <v/>
      </c>
      <c r="X7" s="152">
        <f>IF(W7="","",1+COUNTIFS($W$4:$W$3003,"&gt;"&amp;W7)+COUNTIFS($W$4:W7,W7)-1)</f>
        <v/>
      </c>
      <c r="Y7" s="175">
        <f>IF(OR(I7="",'02_대상물건입력'!B19="",'02_대상물건입력'!B19&lt;=0),"",ABS(I7-'02_대상물건입력'!B19)/'02_대상물건입력'!B19)</f>
        <v/>
      </c>
      <c r="Z7" s="172">
        <f>IF(OR(Y7="",'01_설정'!B31="",'01_설정'!B31&lt;=0,'01_설정'!B32="",'01_설정'!B32&lt;=0),"",MAX(0,(1-Y7/'01_설정'!B32))*'01_설정'!B31)</f>
        <v/>
      </c>
    </row>
    <row r="8" ht="17.25" customHeight="1">
      <c r="A8" s="152">
        <f>IF(INDEX('04A_국토부원자료'!$A:$A,ROW()+1)="","",ROW()-3)</f>
        <v/>
      </c>
      <c r="B8" s="48">
        <f>IFERROR(INDEX('04A_국토부원자료'!$A:$T,ROW()+1,MATCH("시군구",'04A_국토부원자료'!$A$4:$T$4,0)),"")</f>
        <v/>
      </c>
      <c r="C8" s="48">
        <f>IF(B8="","",IFERROR(INDEX('04A_국토부원자료'!$A:$T,ROW()+1,MATCH("번지",'04A_국토부원자료'!$A$4:$T$4,0)),""))</f>
        <v/>
      </c>
      <c r="D8" s="48">
        <f>IF(B8="","",IF(Q8=1,'02_대상물건입력'!$B$8,IFERROR(INDEX('04A_국토부원자료'!$A:$T,ROW()+1,MATCH("단지명",'04A_국토부원자료'!$A$4:$T$4,0)),"")))</f>
        <v/>
      </c>
      <c r="E8" s="172">
        <f>IFERROR(VALUE(SUBSTITUTE(INDEX('04A_국토부원자료'!$A:$T,ROW()+1,MATCH("전용면적(㎡)",'04A_국토부원자료'!$A$4:$T$4,0)),",","")),"")</f>
        <v/>
      </c>
      <c r="F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" s="51">
        <f>IFERROR(VALUE(SUBSTITUTE(INDEX('04A_국토부원자료'!$A:$T,ROW()+1,MATCH("거래금액(만원)",'04A_국토부원자료'!$A$4:$T$4,0)),",","")),"")</f>
        <v/>
      </c>
      <c r="H8" s="174">
        <f>IF(G8="","",G8*10000)</f>
        <v/>
      </c>
      <c r="I8" s="174">
        <f>IFERROR(IF(AND(H8&gt;0,E8&gt;0),H8/E8,""),"")</f>
        <v/>
      </c>
      <c r="J8" s="152">
        <f>IFERROR(VALUE(SUBSTITUTE(INDEX('04A_국토부원자료'!$A:$T,ROW()+1,MATCH("층",'04A_국토부원자료'!$A$4:$T$4,0)),",","")),"")</f>
        <v/>
      </c>
      <c r="K8" s="152">
        <f>IFERROR(VALUE(SUBSTITUTE(INDEX('04A_국토부원자료'!$A:$T,ROW()+1,MATCH("건축년도",'04A_국토부원자료'!$A$4:$T$4,0)),",","")),"")</f>
        <v/>
      </c>
      <c r="L8" s="48">
        <f>IFERROR(INDEX('04A_국토부원자료'!$A:$T,ROW()+1,MATCH("도로명",'04A_국토부원자료'!$A$4:$T$4,0)),"")</f>
        <v/>
      </c>
      <c r="M8" s="48">
        <f>IFERROR(INDEX('04A_국토부원자료'!$A:$T,ROW()+1,MATCH("거래유형",'04A_국토부원자료'!$A$4:$T$4,0)),"")</f>
        <v/>
      </c>
      <c r="N8" s="152">
        <f>IF(B8="","",IF('02_대상물건입력'!B5="",1,IF(ISNUMBER(SEARCH('02_대상물건입력'!B5,B8)),1,0)))</f>
        <v/>
      </c>
      <c r="O8" s="152">
        <f>IF(B8="","",IF('02_대상물건입력'!B6="",1,IF(ISNUMBER(SEARCH('02_대상물건입력'!B6,B8)),1,0)))</f>
        <v/>
      </c>
      <c r="P8" s="152">
        <f>IF(L8="","",IF('02_대상물건입력'!B15="",0,IF(ISNUMBER(SEARCH('02_대상물건입력'!B15,L8)),1,0)))</f>
        <v/>
      </c>
      <c r="Q8" s="152">
        <f>IF(OR(C8="",L8=""),0,IF(AND(TRIM(C8)=TRIM(RIGHT(SUBSTITUTE(TRIM('02_대상물건입력'!$B$7)," ",REPT(" ",99)),99)),IF('02_대상물건입력'!B15="",TRUE(),ISNUMBER(SEARCH('02_대상물건입력'!B15,L8)))),1,0))</f>
        <v/>
      </c>
      <c r="R8" s="175">
        <f>IFERROR(ABS(E8-'02_대상물건입력'!B11)/'02_대상물건입력'!B11,"")</f>
        <v/>
      </c>
      <c r="S8" s="152">
        <f>IFERROR(ABS(J8-'02_대상물건입력'!B10),"")</f>
        <v/>
      </c>
      <c r="T8" s="152">
        <f>IFERROR(ABS('01_설정'!B4-F8),"")</f>
        <v/>
      </c>
      <c r="U8" s="152">
        <f>IFERROR(ABS(K8-YEAR('02_대상물건입력'!B14)),"")</f>
        <v/>
      </c>
      <c r="V8" s="152">
        <f>IF(B8="","",IF(AND(E8&gt;0,F8&gt;0,H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=1,TRUE()),R8&lt;='01_설정'!B5,S8&lt;='01_설정'!B6,T8&lt;='01_설정'!B7,U8&lt;='01_설정'!B8),"Y",""))</f>
        <v/>
      </c>
      <c r="W8" s="172">
        <f>IF(V8&lt;&gt;"Y","",MAX(0,(1-R8/'01_설정'!B5))*'01_설정'!B14+MAX(0,(1-S8/'01_설정'!B6))*'01_설정'!B15+MAX(0,(1-T8/'01_설정'!B7))*'01_설정'!B16+MAX(0,(1-U8/'01_설정'!B8))*'01_설정'!B17+O8*'01_설정'!B11+Q8*'01_설정'!B12+P8*'01_설정'!B13+IF(Z8="",0,Z8))</f>
        <v/>
      </c>
      <c r="X8" s="152">
        <f>IF(W8="","",1+COUNTIFS($W$4:$W$3003,"&gt;"&amp;W8)+COUNTIFS($W$4:W8,W8)-1)</f>
        <v/>
      </c>
      <c r="Y8" s="175">
        <f>IF(OR(I8="",'02_대상물건입력'!B19="",'02_대상물건입력'!B19&lt;=0),"",ABS(I8-'02_대상물건입력'!B19)/'02_대상물건입력'!B19)</f>
        <v/>
      </c>
      <c r="Z8" s="172">
        <f>IF(OR(Y8="",'01_설정'!B31="",'01_설정'!B31&lt;=0,'01_설정'!B32="",'01_설정'!B32&lt;=0),"",MAX(0,(1-Y8/'01_설정'!B32))*'01_설정'!B31)</f>
        <v/>
      </c>
    </row>
    <row r="9" ht="17.25" customHeight="1">
      <c r="A9" s="152">
        <f>IF(INDEX('04A_국토부원자료'!$A:$A,ROW()+1)="","",ROW()-3)</f>
        <v/>
      </c>
      <c r="B9" s="48">
        <f>IFERROR(INDEX('04A_국토부원자료'!$A:$T,ROW()+1,MATCH("시군구",'04A_국토부원자료'!$A$4:$T$4,0)),"")</f>
        <v/>
      </c>
      <c r="C9" s="48">
        <f>IF(B9="","",IFERROR(INDEX('04A_국토부원자료'!$A:$T,ROW()+1,MATCH("번지",'04A_국토부원자료'!$A$4:$T$4,0)),""))</f>
        <v/>
      </c>
      <c r="D9" s="48">
        <f>IF(B9="","",IF(Q9=1,'02_대상물건입력'!$B$8,IFERROR(INDEX('04A_국토부원자료'!$A:$T,ROW()+1,MATCH("단지명",'04A_국토부원자료'!$A$4:$T$4,0)),"")))</f>
        <v/>
      </c>
      <c r="E9" s="172">
        <f>IFERROR(VALUE(SUBSTITUTE(INDEX('04A_국토부원자료'!$A:$T,ROW()+1,MATCH("전용면적(㎡)",'04A_국토부원자료'!$A$4:$T$4,0)),",","")),"")</f>
        <v/>
      </c>
      <c r="F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" s="51">
        <f>IFERROR(VALUE(SUBSTITUTE(INDEX('04A_국토부원자료'!$A:$T,ROW()+1,MATCH("거래금액(만원)",'04A_국토부원자료'!$A$4:$T$4,0)),",","")),"")</f>
        <v/>
      </c>
      <c r="H9" s="174">
        <f>IF(G9="","",G9*10000)</f>
        <v/>
      </c>
      <c r="I9" s="174">
        <f>IFERROR(IF(AND(H9&gt;0,E9&gt;0),H9/E9,""),"")</f>
        <v/>
      </c>
      <c r="J9" s="152">
        <f>IFERROR(VALUE(SUBSTITUTE(INDEX('04A_국토부원자료'!$A:$T,ROW()+1,MATCH("층",'04A_국토부원자료'!$A$4:$T$4,0)),",","")),"")</f>
        <v/>
      </c>
      <c r="K9" s="152">
        <f>IFERROR(VALUE(SUBSTITUTE(INDEX('04A_국토부원자료'!$A:$T,ROW()+1,MATCH("건축년도",'04A_국토부원자료'!$A$4:$T$4,0)),",","")),"")</f>
        <v/>
      </c>
      <c r="L9" s="48">
        <f>IFERROR(INDEX('04A_국토부원자료'!$A:$T,ROW()+1,MATCH("도로명",'04A_국토부원자료'!$A$4:$T$4,0)),"")</f>
        <v/>
      </c>
      <c r="M9" s="48">
        <f>IFERROR(INDEX('04A_국토부원자료'!$A:$T,ROW()+1,MATCH("거래유형",'04A_국토부원자료'!$A$4:$T$4,0)),"")</f>
        <v/>
      </c>
      <c r="N9" s="152">
        <f>IF(B9="","",IF('02_대상물건입력'!B5="",1,IF(ISNUMBER(SEARCH('02_대상물건입력'!B5,B9)),1,0)))</f>
        <v/>
      </c>
      <c r="O9" s="152">
        <f>IF(B9="","",IF('02_대상물건입력'!B6="",1,IF(ISNUMBER(SEARCH('02_대상물건입력'!B6,B9)),1,0)))</f>
        <v/>
      </c>
      <c r="P9" s="152">
        <f>IF(L9="","",IF('02_대상물건입력'!B15="",0,IF(ISNUMBER(SEARCH('02_대상물건입력'!B15,L9)),1,0)))</f>
        <v/>
      </c>
      <c r="Q9" s="152">
        <f>IF(OR(C9="",L9=""),0,IF(AND(TRIM(C9)=TRIM(RIGHT(SUBSTITUTE(TRIM('02_대상물건입력'!$B$7)," ",REPT(" ",99)),99)),IF('02_대상물건입력'!B15="",TRUE(),ISNUMBER(SEARCH('02_대상물건입력'!B15,L9)))),1,0))</f>
        <v/>
      </c>
      <c r="R9" s="175">
        <f>IFERROR(ABS(E9-'02_대상물건입력'!B11)/'02_대상물건입력'!B11,"")</f>
        <v/>
      </c>
      <c r="S9" s="152">
        <f>IFERROR(ABS(J9-'02_대상물건입력'!B10),"")</f>
        <v/>
      </c>
      <c r="T9" s="152">
        <f>IFERROR(ABS('01_설정'!B4-F9),"")</f>
        <v/>
      </c>
      <c r="U9" s="152">
        <f>IFERROR(ABS(K9-YEAR('02_대상물건입력'!B14)),"")</f>
        <v/>
      </c>
      <c r="V9" s="152">
        <f>IF(B9="","",IF(AND(E9&gt;0,F9&gt;0,H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=1,TRUE()),R9&lt;='01_설정'!B5,S9&lt;='01_설정'!B6,T9&lt;='01_설정'!B7,U9&lt;='01_설정'!B8),"Y",""))</f>
        <v/>
      </c>
      <c r="W9" s="172">
        <f>IF(V9&lt;&gt;"Y","",MAX(0,(1-R9/'01_설정'!B5))*'01_설정'!B14+MAX(0,(1-S9/'01_설정'!B6))*'01_설정'!B15+MAX(0,(1-T9/'01_설정'!B7))*'01_설정'!B16+MAX(0,(1-U9/'01_설정'!B8))*'01_설정'!B17+O9*'01_설정'!B11+Q9*'01_설정'!B12+P9*'01_설정'!B13+IF(Z9="",0,Z9))</f>
        <v/>
      </c>
      <c r="X9" s="152">
        <f>IF(W9="","",1+COUNTIFS($W$4:$W$3003,"&gt;"&amp;W9)+COUNTIFS($W$4:W9,W9)-1)</f>
        <v/>
      </c>
      <c r="Y9" s="175">
        <f>IF(OR(I9="",'02_대상물건입력'!B19="",'02_대상물건입력'!B19&lt;=0),"",ABS(I9-'02_대상물건입력'!B19)/'02_대상물건입력'!B19)</f>
        <v/>
      </c>
      <c r="Z9" s="172">
        <f>IF(OR(Y9="",'01_설정'!B31="",'01_설정'!B31&lt;=0,'01_설정'!B32="",'01_설정'!B32&lt;=0),"",MAX(0,(1-Y9/'01_설정'!B32))*'01_설정'!B31)</f>
        <v/>
      </c>
    </row>
    <row r="10" ht="17.25" customHeight="1">
      <c r="A10" s="152">
        <f>IF(INDEX('04A_국토부원자료'!$A:$A,ROW()+1)="","",ROW()-3)</f>
        <v/>
      </c>
      <c r="B10" s="48">
        <f>IFERROR(INDEX('04A_국토부원자료'!$A:$T,ROW()+1,MATCH("시군구",'04A_국토부원자료'!$A$4:$T$4,0)),"")</f>
        <v/>
      </c>
      <c r="C10" s="48">
        <f>IF(B10="","",IFERROR(INDEX('04A_국토부원자료'!$A:$T,ROW()+1,MATCH("번지",'04A_국토부원자료'!$A$4:$T$4,0)),""))</f>
        <v/>
      </c>
      <c r="D10" s="48">
        <f>IF(B10="","",IF(Q10=1,'02_대상물건입력'!$B$8,IFERROR(INDEX('04A_국토부원자료'!$A:$T,ROW()+1,MATCH("단지명",'04A_국토부원자료'!$A$4:$T$4,0)),"")))</f>
        <v/>
      </c>
      <c r="E10" s="172">
        <f>IFERROR(VALUE(SUBSTITUTE(INDEX('04A_국토부원자료'!$A:$T,ROW()+1,MATCH("전용면적(㎡)",'04A_국토부원자료'!$A$4:$T$4,0)),",","")),"")</f>
        <v/>
      </c>
      <c r="F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" s="51">
        <f>IFERROR(VALUE(SUBSTITUTE(INDEX('04A_국토부원자료'!$A:$T,ROW()+1,MATCH("거래금액(만원)",'04A_국토부원자료'!$A$4:$T$4,0)),",","")),"")</f>
        <v/>
      </c>
      <c r="H10" s="174">
        <f>IF(G10="","",G10*10000)</f>
        <v/>
      </c>
      <c r="I10" s="174">
        <f>IFERROR(IF(AND(H10&gt;0,E10&gt;0),H10/E10,""),"")</f>
        <v/>
      </c>
      <c r="J10" s="152">
        <f>IFERROR(VALUE(SUBSTITUTE(INDEX('04A_국토부원자료'!$A:$T,ROW()+1,MATCH("층",'04A_국토부원자료'!$A$4:$T$4,0)),",","")),"")</f>
        <v/>
      </c>
      <c r="K10" s="152">
        <f>IFERROR(VALUE(SUBSTITUTE(INDEX('04A_국토부원자료'!$A:$T,ROW()+1,MATCH("건축년도",'04A_국토부원자료'!$A$4:$T$4,0)),",","")),"")</f>
        <v/>
      </c>
      <c r="L10" s="48">
        <f>IFERROR(INDEX('04A_국토부원자료'!$A:$T,ROW()+1,MATCH("도로명",'04A_국토부원자료'!$A$4:$T$4,0)),"")</f>
        <v/>
      </c>
      <c r="M10" s="48">
        <f>IFERROR(INDEX('04A_국토부원자료'!$A:$T,ROW()+1,MATCH("거래유형",'04A_국토부원자료'!$A$4:$T$4,0)),"")</f>
        <v/>
      </c>
      <c r="N10" s="152">
        <f>IF(B10="","",IF('02_대상물건입력'!B5="",1,IF(ISNUMBER(SEARCH('02_대상물건입력'!B5,B10)),1,0)))</f>
        <v/>
      </c>
      <c r="O10" s="152">
        <f>IF(B10="","",IF('02_대상물건입력'!B6="",1,IF(ISNUMBER(SEARCH('02_대상물건입력'!B6,B10)),1,0)))</f>
        <v/>
      </c>
      <c r="P10" s="152">
        <f>IF(L10="","",IF('02_대상물건입력'!B15="",0,IF(ISNUMBER(SEARCH('02_대상물건입력'!B15,L10)),1,0)))</f>
        <v/>
      </c>
      <c r="Q10" s="152">
        <f>IF(OR(C10="",L10=""),0,IF(AND(TRIM(C10)=TRIM(RIGHT(SUBSTITUTE(TRIM('02_대상물건입력'!$B$7)," ",REPT(" ",99)),99)),IF('02_대상물건입력'!B15="",TRUE(),ISNUMBER(SEARCH('02_대상물건입력'!B15,L10)))),1,0))</f>
        <v/>
      </c>
      <c r="R10" s="175">
        <f>IFERROR(ABS(E10-'02_대상물건입력'!B11)/'02_대상물건입력'!B11,"")</f>
        <v/>
      </c>
      <c r="S10" s="152">
        <f>IFERROR(ABS(J10-'02_대상물건입력'!B10),"")</f>
        <v/>
      </c>
      <c r="T10" s="152">
        <f>IFERROR(ABS('01_설정'!B4-F10),"")</f>
        <v/>
      </c>
      <c r="U10" s="152">
        <f>IFERROR(ABS(K10-YEAR('02_대상물건입력'!B14)),"")</f>
        <v/>
      </c>
      <c r="V10" s="152">
        <f>IF(B10="","",IF(AND(E10&gt;0,F10&gt;0,H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=1,TRUE()),R10&lt;='01_설정'!B5,S10&lt;='01_설정'!B6,T10&lt;='01_설정'!B7,U10&lt;='01_설정'!B8),"Y",""))</f>
        <v/>
      </c>
      <c r="W10" s="172">
        <f>IF(V10&lt;&gt;"Y","",MAX(0,(1-R10/'01_설정'!B5))*'01_설정'!B14+MAX(0,(1-S10/'01_설정'!B6))*'01_설정'!B15+MAX(0,(1-T10/'01_설정'!B7))*'01_설정'!B16+MAX(0,(1-U10/'01_설정'!B8))*'01_설정'!B17+O10*'01_설정'!B11+Q10*'01_설정'!B12+P10*'01_설정'!B13+IF(Z10="",0,Z10))</f>
        <v/>
      </c>
      <c r="X10" s="152">
        <f>IF(W10="","",1+COUNTIFS($W$4:$W$3003,"&gt;"&amp;W10)+COUNTIFS($W$4:W10,W10)-1)</f>
        <v/>
      </c>
      <c r="Y10" s="175">
        <f>IF(OR(I10="",'02_대상물건입력'!B19="",'02_대상물건입력'!B19&lt;=0),"",ABS(I10-'02_대상물건입력'!B19)/'02_대상물건입력'!B19)</f>
        <v/>
      </c>
      <c r="Z10" s="172">
        <f>IF(OR(Y10="",'01_설정'!B31="",'01_설정'!B31&lt;=0,'01_설정'!B32="",'01_설정'!B32&lt;=0),"",MAX(0,(1-Y10/'01_설정'!B32))*'01_설정'!B31)</f>
        <v/>
      </c>
    </row>
    <row r="11" ht="17.25" customHeight="1">
      <c r="A11" s="152">
        <f>IF(INDEX('04A_국토부원자료'!$A:$A,ROW()+1)="","",ROW()-3)</f>
        <v/>
      </c>
      <c r="B11" s="48">
        <f>IFERROR(INDEX('04A_국토부원자료'!$A:$T,ROW()+1,MATCH("시군구",'04A_국토부원자료'!$A$4:$T$4,0)),"")</f>
        <v/>
      </c>
      <c r="C11" s="48">
        <f>IF(B11="","",IFERROR(INDEX('04A_국토부원자료'!$A:$T,ROW()+1,MATCH("번지",'04A_국토부원자료'!$A$4:$T$4,0)),""))</f>
        <v/>
      </c>
      <c r="D11" s="48">
        <f>IF(B11="","",IF(Q11=1,'02_대상물건입력'!$B$8,IFERROR(INDEX('04A_국토부원자료'!$A:$T,ROW()+1,MATCH("단지명",'04A_국토부원자료'!$A$4:$T$4,0)),"")))</f>
        <v/>
      </c>
      <c r="E11" s="172">
        <f>IFERROR(VALUE(SUBSTITUTE(INDEX('04A_국토부원자료'!$A:$T,ROW()+1,MATCH("전용면적(㎡)",'04A_국토부원자료'!$A$4:$T$4,0)),",","")),"")</f>
        <v/>
      </c>
      <c r="F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" s="51">
        <f>IFERROR(VALUE(SUBSTITUTE(INDEX('04A_국토부원자료'!$A:$T,ROW()+1,MATCH("거래금액(만원)",'04A_국토부원자료'!$A$4:$T$4,0)),",","")),"")</f>
        <v/>
      </c>
      <c r="H11" s="174">
        <f>IF(G11="","",G11*10000)</f>
        <v/>
      </c>
      <c r="I11" s="174">
        <f>IFERROR(IF(AND(H11&gt;0,E11&gt;0),H11/E11,""),"")</f>
        <v/>
      </c>
      <c r="J11" s="152">
        <f>IFERROR(VALUE(SUBSTITUTE(INDEX('04A_국토부원자료'!$A:$T,ROW()+1,MATCH("층",'04A_국토부원자료'!$A$4:$T$4,0)),",","")),"")</f>
        <v/>
      </c>
      <c r="K11" s="152">
        <f>IFERROR(VALUE(SUBSTITUTE(INDEX('04A_국토부원자료'!$A:$T,ROW()+1,MATCH("건축년도",'04A_국토부원자료'!$A$4:$T$4,0)),",","")),"")</f>
        <v/>
      </c>
      <c r="L11" s="48">
        <f>IFERROR(INDEX('04A_국토부원자료'!$A:$T,ROW()+1,MATCH("도로명",'04A_국토부원자료'!$A$4:$T$4,0)),"")</f>
        <v/>
      </c>
      <c r="M11" s="48">
        <f>IFERROR(INDEX('04A_국토부원자료'!$A:$T,ROW()+1,MATCH("거래유형",'04A_국토부원자료'!$A$4:$T$4,0)),"")</f>
        <v/>
      </c>
      <c r="N11" s="152">
        <f>IF(B11="","",IF('02_대상물건입력'!B5="",1,IF(ISNUMBER(SEARCH('02_대상물건입력'!B5,B11)),1,0)))</f>
        <v/>
      </c>
      <c r="O11" s="152">
        <f>IF(B11="","",IF('02_대상물건입력'!B6="",1,IF(ISNUMBER(SEARCH('02_대상물건입력'!B6,B11)),1,0)))</f>
        <v/>
      </c>
      <c r="P11" s="152">
        <f>IF(L11="","",IF('02_대상물건입력'!B15="",0,IF(ISNUMBER(SEARCH('02_대상물건입력'!B15,L11)),1,0)))</f>
        <v/>
      </c>
      <c r="Q11" s="152">
        <f>IF(OR(C11="",L11=""),0,IF(AND(TRIM(C11)=TRIM(RIGHT(SUBSTITUTE(TRIM('02_대상물건입력'!$B$7)," ",REPT(" ",99)),99)),IF('02_대상물건입력'!B15="",TRUE(),ISNUMBER(SEARCH('02_대상물건입력'!B15,L11)))),1,0))</f>
        <v/>
      </c>
      <c r="R11" s="175">
        <f>IFERROR(ABS(E11-'02_대상물건입력'!B11)/'02_대상물건입력'!B11,"")</f>
        <v/>
      </c>
      <c r="S11" s="152">
        <f>IFERROR(ABS(J11-'02_대상물건입력'!B10),"")</f>
        <v/>
      </c>
      <c r="T11" s="152">
        <f>IFERROR(ABS('01_설정'!B4-F11),"")</f>
        <v/>
      </c>
      <c r="U11" s="152">
        <f>IFERROR(ABS(K11-YEAR('02_대상물건입력'!B14)),"")</f>
        <v/>
      </c>
      <c r="V11" s="152">
        <f>IF(B11="","",IF(AND(E11&gt;0,F11&gt;0,H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=1,TRUE()),R11&lt;='01_설정'!B5,S11&lt;='01_설정'!B6,T11&lt;='01_설정'!B7,U11&lt;='01_설정'!B8),"Y",""))</f>
        <v/>
      </c>
      <c r="W11" s="172">
        <f>IF(V11&lt;&gt;"Y","",MAX(0,(1-R11/'01_설정'!B5))*'01_설정'!B14+MAX(0,(1-S11/'01_설정'!B6))*'01_설정'!B15+MAX(0,(1-T11/'01_설정'!B7))*'01_설정'!B16+MAX(0,(1-U11/'01_설정'!B8))*'01_설정'!B17+O11*'01_설정'!B11+Q11*'01_설정'!B12+P11*'01_설정'!B13+IF(Z11="",0,Z11))</f>
        <v/>
      </c>
      <c r="X11" s="152">
        <f>IF(W11="","",1+COUNTIFS($W$4:$W$3003,"&gt;"&amp;W11)+COUNTIFS($W$4:W11,W11)-1)</f>
        <v/>
      </c>
      <c r="Y11" s="175">
        <f>IF(OR(I11="",'02_대상물건입력'!B19="",'02_대상물건입력'!B19&lt;=0),"",ABS(I11-'02_대상물건입력'!B19)/'02_대상물건입력'!B19)</f>
        <v/>
      </c>
      <c r="Z11" s="172">
        <f>IF(OR(Y11="",'01_설정'!B31="",'01_설정'!B31&lt;=0,'01_설정'!B32="",'01_설정'!B32&lt;=0),"",MAX(0,(1-Y11/'01_설정'!B32))*'01_설정'!B31)</f>
        <v/>
      </c>
    </row>
    <row r="12" ht="17.25" customHeight="1">
      <c r="A12" s="152">
        <f>IF(INDEX('04A_국토부원자료'!$A:$A,ROW()+1)="","",ROW()-3)</f>
        <v/>
      </c>
      <c r="B12" s="48">
        <f>IFERROR(INDEX('04A_국토부원자료'!$A:$T,ROW()+1,MATCH("시군구",'04A_국토부원자료'!$A$4:$T$4,0)),"")</f>
        <v/>
      </c>
      <c r="C12" s="48">
        <f>IF(B12="","",IFERROR(INDEX('04A_국토부원자료'!$A:$T,ROW()+1,MATCH("번지",'04A_국토부원자료'!$A$4:$T$4,0)),""))</f>
        <v/>
      </c>
      <c r="D12" s="48">
        <f>IF(B12="","",IF(Q12=1,'02_대상물건입력'!$B$8,IFERROR(INDEX('04A_국토부원자료'!$A:$T,ROW()+1,MATCH("단지명",'04A_국토부원자료'!$A$4:$T$4,0)),"")))</f>
        <v/>
      </c>
      <c r="E12" s="172">
        <f>IFERROR(VALUE(SUBSTITUTE(INDEX('04A_국토부원자료'!$A:$T,ROW()+1,MATCH("전용면적(㎡)",'04A_국토부원자료'!$A$4:$T$4,0)),",","")),"")</f>
        <v/>
      </c>
      <c r="F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" s="51">
        <f>IFERROR(VALUE(SUBSTITUTE(INDEX('04A_국토부원자료'!$A:$T,ROW()+1,MATCH("거래금액(만원)",'04A_국토부원자료'!$A$4:$T$4,0)),",","")),"")</f>
        <v/>
      </c>
      <c r="H12" s="174">
        <f>IF(G12="","",G12*10000)</f>
        <v/>
      </c>
      <c r="I12" s="174">
        <f>IFERROR(IF(AND(H12&gt;0,E12&gt;0),H12/E12,""),"")</f>
        <v/>
      </c>
      <c r="J12" s="152">
        <f>IFERROR(VALUE(SUBSTITUTE(INDEX('04A_국토부원자료'!$A:$T,ROW()+1,MATCH("층",'04A_국토부원자료'!$A$4:$T$4,0)),",","")),"")</f>
        <v/>
      </c>
      <c r="K12" s="152">
        <f>IFERROR(VALUE(SUBSTITUTE(INDEX('04A_국토부원자료'!$A:$T,ROW()+1,MATCH("건축년도",'04A_국토부원자료'!$A$4:$T$4,0)),",","")),"")</f>
        <v/>
      </c>
      <c r="L12" s="48">
        <f>IFERROR(INDEX('04A_국토부원자료'!$A:$T,ROW()+1,MATCH("도로명",'04A_국토부원자료'!$A$4:$T$4,0)),"")</f>
        <v/>
      </c>
      <c r="M12" s="48">
        <f>IFERROR(INDEX('04A_국토부원자료'!$A:$T,ROW()+1,MATCH("거래유형",'04A_국토부원자료'!$A$4:$T$4,0)),"")</f>
        <v/>
      </c>
      <c r="N12" s="152">
        <f>IF(B12="","",IF('02_대상물건입력'!B5="",1,IF(ISNUMBER(SEARCH('02_대상물건입력'!B5,B12)),1,0)))</f>
        <v/>
      </c>
      <c r="O12" s="152">
        <f>IF(B12="","",IF('02_대상물건입력'!B6="",1,IF(ISNUMBER(SEARCH('02_대상물건입력'!B6,B12)),1,0)))</f>
        <v/>
      </c>
      <c r="P12" s="152">
        <f>IF(L12="","",IF('02_대상물건입력'!B15="",0,IF(ISNUMBER(SEARCH('02_대상물건입력'!B15,L12)),1,0)))</f>
        <v/>
      </c>
      <c r="Q12" s="152">
        <f>IF(OR(C12="",L12=""),0,IF(AND(TRIM(C12)=TRIM(RIGHT(SUBSTITUTE(TRIM('02_대상물건입력'!$B$7)," ",REPT(" ",99)),99)),IF('02_대상물건입력'!B15="",TRUE(),ISNUMBER(SEARCH('02_대상물건입력'!B15,L12)))),1,0))</f>
        <v/>
      </c>
      <c r="R12" s="175">
        <f>IFERROR(ABS(E12-'02_대상물건입력'!B11)/'02_대상물건입력'!B11,"")</f>
        <v/>
      </c>
      <c r="S12" s="152">
        <f>IFERROR(ABS(J12-'02_대상물건입력'!B10),"")</f>
        <v/>
      </c>
      <c r="T12" s="152">
        <f>IFERROR(ABS('01_설정'!B4-F12),"")</f>
        <v/>
      </c>
      <c r="U12" s="152">
        <f>IFERROR(ABS(K12-YEAR('02_대상물건입력'!B14)),"")</f>
        <v/>
      </c>
      <c r="V12" s="152">
        <f>IF(B12="","",IF(AND(E12&gt;0,F12&gt;0,H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=1,TRUE()),R12&lt;='01_설정'!B5,S12&lt;='01_설정'!B6,T12&lt;='01_설정'!B7,U12&lt;='01_설정'!B8),"Y",""))</f>
        <v/>
      </c>
      <c r="W12" s="172">
        <f>IF(V12&lt;&gt;"Y","",MAX(0,(1-R12/'01_설정'!B5))*'01_설정'!B14+MAX(0,(1-S12/'01_설정'!B6))*'01_설정'!B15+MAX(0,(1-T12/'01_설정'!B7))*'01_설정'!B16+MAX(0,(1-U12/'01_설정'!B8))*'01_설정'!B17+O12*'01_설정'!B11+Q12*'01_설정'!B12+P12*'01_설정'!B13+IF(Z12="",0,Z12))</f>
        <v/>
      </c>
      <c r="X12" s="152">
        <f>IF(W12="","",1+COUNTIFS($W$4:$W$3003,"&gt;"&amp;W12)+COUNTIFS($W$4:W12,W12)-1)</f>
        <v/>
      </c>
      <c r="Y12" s="175">
        <f>IF(OR(I12="",'02_대상물건입력'!B19="",'02_대상물건입력'!B19&lt;=0),"",ABS(I12-'02_대상물건입력'!B19)/'02_대상물건입력'!B19)</f>
        <v/>
      </c>
      <c r="Z12" s="172">
        <f>IF(OR(Y12="",'01_설정'!B31="",'01_설정'!B31&lt;=0,'01_설정'!B32="",'01_설정'!B32&lt;=0),"",MAX(0,(1-Y12/'01_설정'!B32))*'01_설정'!B31)</f>
        <v/>
      </c>
    </row>
    <row r="13" ht="17.25" customHeight="1">
      <c r="A13" s="152">
        <f>IF(INDEX('04A_국토부원자료'!$A:$A,ROW()+1)="","",ROW()-3)</f>
        <v/>
      </c>
      <c r="B13" s="48">
        <f>IFERROR(INDEX('04A_국토부원자료'!$A:$T,ROW()+1,MATCH("시군구",'04A_국토부원자료'!$A$4:$T$4,0)),"")</f>
        <v/>
      </c>
      <c r="C13" s="48">
        <f>IF(B13="","",IFERROR(INDEX('04A_국토부원자료'!$A:$T,ROW()+1,MATCH("번지",'04A_국토부원자료'!$A$4:$T$4,0)),""))</f>
        <v/>
      </c>
      <c r="D13" s="48">
        <f>IF(B13="","",IF(Q13=1,'02_대상물건입력'!$B$8,IFERROR(INDEX('04A_국토부원자료'!$A:$T,ROW()+1,MATCH("단지명",'04A_국토부원자료'!$A$4:$T$4,0)),"")))</f>
        <v/>
      </c>
      <c r="E13" s="172">
        <f>IFERROR(VALUE(SUBSTITUTE(INDEX('04A_국토부원자료'!$A:$T,ROW()+1,MATCH("전용면적(㎡)",'04A_국토부원자료'!$A$4:$T$4,0)),",","")),"")</f>
        <v/>
      </c>
      <c r="F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" s="51">
        <f>IFERROR(VALUE(SUBSTITUTE(INDEX('04A_국토부원자료'!$A:$T,ROW()+1,MATCH("거래금액(만원)",'04A_국토부원자료'!$A$4:$T$4,0)),",","")),"")</f>
        <v/>
      </c>
      <c r="H13" s="174">
        <f>IF(G13="","",G13*10000)</f>
        <v/>
      </c>
      <c r="I13" s="174">
        <f>IFERROR(IF(AND(H13&gt;0,E13&gt;0),H13/E13,""),"")</f>
        <v/>
      </c>
      <c r="J13" s="152">
        <f>IFERROR(VALUE(SUBSTITUTE(INDEX('04A_국토부원자료'!$A:$T,ROW()+1,MATCH("층",'04A_국토부원자료'!$A$4:$T$4,0)),",","")),"")</f>
        <v/>
      </c>
      <c r="K13" s="152">
        <f>IFERROR(VALUE(SUBSTITUTE(INDEX('04A_국토부원자료'!$A:$T,ROW()+1,MATCH("건축년도",'04A_국토부원자료'!$A$4:$T$4,0)),",","")),"")</f>
        <v/>
      </c>
      <c r="L13" s="48">
        <f>IFERROR(INDEX('04A_국토부원자료'!$A:$T,ROW()+1,MATCH("도로명",'04A_국토부원자료'!$A$4:$T$4,0)),"")</f>
        <v/>
      </c>
      <c r="M13" s="48">
        <f>IFERROR(INDEX('04A_국토부원자료'!$A:$T,ROW()+1,MATCH("거래유형",'04A_국토부원자료'!$A$4:$T$4,0)),"")</f>
        <v/>
      </c>
      <c r="N13" s="152">
        <f>IF(B13="","",IF('02_대상물건입력'!B5="",1,IF(ISNUMBER(SEARCH('02_대상물건입력'!B5,B13)),1,0)))</f>
        <v/>
      </c>
      <c r="O13" s="152">
        <f>IF(B13="","",IF('02_대상물건입력'!B6="",1,IF(ISNUMBER(SEARCH('02_대상물건입력'!B6,B13)),1,0)))</f>
        <v/>
      </c>
      <c r="P13" s="152">
        <f>IF(L13="","",IF('02_대상물건입력'!B15="",0,IF(ISNUMBER(SEARCH('02_대상물건입력'!B15,L13)),1,0)))</f>
        <v/>
      </c>
      <c r="Q13" s="152">
        <f>IF(OR(C13="",L13=""),0,IF(AND(TRIM(C13)=TRIM(RIGHT(SUBSTITUTE(TRIM('02_대상물건입력'!$B$7)," ",REPT(" ",99)),99)),IF('02_대상물건입력'!B15="",TRUE(),ISNUMBER(SEARCH('02_대상물건입력'!B15,L13)))),1,0))</f>
        <v/>
      </c>
      <c r="R13" s="175">
        <f>IFERROR(ABS(E13-'02_대상물건입력'!B11)/'02_대상물건입력'!B11,"")</f>
        <v/>
      </c>
      <c r="S13" s="152">
        <f>IFERROR(ABS(J13-'02_대상물건입력'!B10),"")</f>
        <v/>
      </c>
      <c r="T13" s="152">
        <f>IFERROR(ABS('01_설정'!B4-F13),"")</f>
        <v/>
      </c>
      <c r="U13" s="152">
        <f>IFERROR(ABS(K13-YEAR('02_대상물건입력'!B14)),"")</f>
        <v/>
      </c>
      <c r="V13" s="152">
        <f>IF(B13="","",IF(AND(E13&gt;0,F13&gt;0,H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=1,TRUE()),R13&lt;='01_설정'!B5,S13&lt;='01_설정'!B6,T13&lt;='01_설정'!B7,U13&lt;='01_설정'!B8),"Y",""))</f>
        <v/>
      </c>
      <c r="W13" s="172">
        <f>IF(V13&lt;&gt;"Y","",MAX(0,(1-R13/'01_설정'!B5))*'01_설정'!B14+MAX(0,(1-S13/'01_설정'!B6))*'01_설정'!B15+MAX(0,(1-T13/'01_설정'!B7))*'01_설정'!B16+MAX(0,(1-U13/'01_설정'!B8))*'01_설정'!B17+O13*'01_설정'!B11+Q13*'01_설정'!B12+P13*'01_설정'!B13+IF(Z13="",0,Z13))</f>
        <v/>
      </c>
      <c r="X13" s="152">
        <f>IF(W13="","",1+COUNTIFS($W$4:$W$3003,"&gt;"&amp;W13)+COUNTIFS($W$4:W13,W13)-1)</f>
        <v/>
      </c>
      <c r="Y13" s="175">
        <f>IF(OR(I13="",'02_대상물건입력'!B19="",'02_대상물건입력'!B19&lt;=0),"",ABS(I13-'02_대상물건입력'!B19)/'02_대상물건입력'!B19)</f>
        <v/>
      </c>
      <c r="Z13" s="172">
        <f>IF(OR(Y13="",'01_설정'!B31="",'01_설정'!B31&lt;=0,'01_설정'!B32="",'01_설정'!B32&lt;=0),"",MAX(0,(1-Y13/'01_설정'!B32))*'01_설정'!B31)</f>
        <v/>
      </c>
    </row>
    <row r="14" ht="17.25" customHeight="1">
      <c r="A14" s="152">
        <f>IF(INDEX('04A_국토부원자료'!$A:$A,ROW()+1)="","",ROW()-3)</f>
        <v/>
      </c>
      <c r="B14" s="48">
        <f>IFERROR(INDEX('04A_국토부원자료'!$A:$T,ROW()+1,MATCH("시군구",'04A_국토부원자료'!$A$4:$T$4,0)),"")</f>
        <v/>
      </c>
      <c r="C14" s="48">
        <f>IF(B14="","",IFERROR(INDEX('04A_국토부원자료'!$A:$T,ROW()+1,MATCH("번지",'04A_국토부원자료'!$A$4:$T$4,0)),""))</f>
        <v/>
      </c>
      <c r="D14" s="48">
        <f>IF(B14="","",IF(Q14=1,'02_대상물건입력'!$B$8,IFERROR(INDEX('04A_국토부원자료'!$A:$T,ROW()+1,MATCH("단지명",'04A_국토부원자료'!$A$4:$T$4,0)),"")))</f>
        <v/>
      </c>
      <c r="E14" s="172">
        <f>IFERROR(VALUE(SUBSTITUTE(INDEX('04A_국토부원자료'!$A:$T,ROW()+1,MATCH("전용면적(㎡)",'04A_국토부원자료'!$A$4:$T$4,0)),",","")),"")</f>
        <v/>
      </c>
      <c r="F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" s="51">
        <f>IFERROR(VALUE(SUBSTITUTE(INDEX('04A_국토부원자료'!$A:$T,ROW()+1,MATCH("거래금액(만원)",'04A_국토부원자료'!$A$4:$T$4,0)),",","")),"")</f>
        <v/>
      </c>
      <c r="H14" s="174">
        <f>IF(G14="","",G14*10000)</f>
        <v/>
      </c>
      <c r="I14" s="174">
        <f>IFERROR(IF(AND(H14&gt;0,E14&gt;0),H14/E14,""),"")</f>
        <v/>
      </c>
      <c r="J14" s="152">
        <f>IFERROR(VALUE(SUBSTITUTE(INDEX('04A_국토부원자료'!$A:$T,ROW()+1,MATCH("층",'04A_국토부원자료'!$A$4:$T$4,0)),",","")),"")</f>
        <v/>
      </c>
      <c r="K14" s="152">
        <f>IFERROR(VALUE(SUBSTITUTE(INDEX('04A_국토부원자료'!$A:$T,ROW()+1,MATCH("건축년도",'04A_국토부원자료'!$A$4:$T$4,0)),",","")),"")</f>
        <v/>
      </c>
      <c r="L14" s="48">
        <f>IFERROR(INDEX('04A_국토부원자료'!$A:$T,ROW()+1,MATCH("도로명",'04A_국토부원자료'!$A$4:$T$4,0)),"")</f>
        <v/>
      </c>
      <c r="M14" s="48">
        <f>IFERROR(INDEX('04A_국토부원자료'!$A:$T,ROW()+1,MATCH("거래유형",'04A_국토부원자료'!$A$4:$T$4,0)),"")</f>
        <v/>
      </c>
      <c r="N14" s="152">
        <f>IF(B14="","",IF('02_대상물건입력'!B5="",1,IF(ISNUMBER(SEARCH('02_대상물건입력'!B5,B14)),1,0)))</f>
        <v/>
      </c>
      <c r="O14" s="152">
        <f>IF(B14="","",IF('02_대상물건입력'!B6="",1,IF(ISNUMBER(SEARCH('02_대상물건입력'!B6,B14)),1,0)))</f>
        <v/>
      </c>
      <c r="P14" s="152">
        <f>IF(L14="","",IF('02_대상물건입력'!B15="",0,IF(ISNUMBER(SEARCH('02_대상물건입력'!B15,L14)),1,0)))</f>
        <v/>
      </c>
      <c r="Q14" s="152">
        <f>IF(OR(C14="",L14=""),0,IF(AND(TRIM(C14)=TRIM(RIGHT(SUBSTITUTE(TRIM('02_대상물건입력'!$B$7)," ",REPT(" ",99)),99)),IF('02_대상물건입력'!B15="",TRUE(),ISNUMBER(SEARCH('02_대상물건입력'!B15,L14)))),1,0))</f>
        <v/>
      </c>
      <c r="R14" s="175">
        <f>IFERROR(ABS(E14-'02_대상물건입력'!B11)/'02_대상물건입력'!B11,"")</f>
        <v/>
      </c>
      <c r="S14" s="152">
        <f>IFERROR(ABS(J14-'02_대상물건입력'!B10),"")</f>
        <v/>
      </c>
      <c r="T14" s="152">
        <f>IFERROR(ABS('01_설정'!B4-F14),"")</f>
        <v/>
      </c>
      <c r="U14" s="152">
        <f>IFERROR(ABS(K14-YEAR('02_대상물건입력'!B14)),"")</f>
        <v/>
      </c>
      <c r="V14" s="152">
        <f>IF(B14="","",IF(AND(E14&gt;0,F14&gt;0,H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=1,TRUE()),R14&lt;='01_설정'!B5,S14&lt;='01_설정'!B6,T14&lt;='01_설정'!B7,U14&lt;='01_설정'!B8),"Y",""))</f>
        <v/>
      </c>
      <c r="W14" s="172">
        <f>IF(V14&lt;&gt;"Y","",MAX(0,(1-R14/'01_설정'!B5))*'01_설정'!B14+MAX(0,(1-S14/'01_설정'!B6))*'01_설정'!B15+MAX(0,(1-T14/'01_설정'!B7))*'01_설정'!B16+MAX(0,(1-U14/'01_설정'!B8))*'01_설정'!B17+O14*'01_설정'!B11+Q14*'01_설정'!B12+P14*'01_설정'!B13+IF(Z14="",0,Z14))</f>
        <v/>
      </c>
      <c r="X14" s="152">
        <f>IF(W14="","",1+COUNTIFS($W$4:$W$3003,"&gt;"&amp;W14)+COUNTIFS($W$4:W14,W14)-1)</f>
        <v/>
      </c>
      <c r="Y14" s="175">
        <f>IF(OR(I14="",'02_대상물건입력'!B19="",'02_대상물건입력'!B19&lt;=0),"",ABS(I14-'02_대상물건입력'!B19)/'02_대상물건입력'!B19)</f>
        <v/>
      </c>
      <c r="Z14" s="172">
        <f>IF(OR(Y14="",'01_설정'!B31="",'01_설정'!B31&lt;=0,'01_설정'!B32="",'01_설정'!B32&lt;=0),"",MAX(0,(1-Y14/'01_설정'!B32))*'01_설정'!B31)</f>
        <v/>
      </c>
    </row>
    <row r="15" ht="17.25" customHeight="1">
      <c r="A15" s="152">
        <f>IF(INDEX('04A_국토부원자료'!$A:$A,ROW()+1)="","",ROW()-3)</f>
        <v/>
      </c>
      <c r="B15" s="48">
        <f>IFERROR(INDEX('04A_국토부원자료'!$A:$T,ROW()+1,MATCH("시군구",'04A_국토부원자료'!$A$4:$T$4,0)),"")</f>
        <v/>
      </c>
      <c r="C15" s="48">
        <f>IF(B15="","",IFERROR(INDEX('04A_국토부원자료'!$A:$T,ROW()+1,MATCH("번지",'04A_국토부원자료'!$A$4:$T$4,0)),""))</f>
        <v/>
      </c>
      <c r="D15" s="48">
        <f>IF(B15="","",IF(Q15=1,'02_대상물건입력'!$B$8,IFERROR(INDEX('04A_국토부원자료'!$A:$T,ROW()+1,MATCH("단지명",'04A_국토부원자료'!$A$4:$T$4,0)),"")))</f>
        <v/>
      </c>
      <c r="E15" s="172">
        <f>IFERROR(VALUE(SUBSTITUTE(INDEX('04A_국토부원자료'!$A:$T,ROW()+1,MATCH("전용면적(㎡)",'04A_국토부원자료'!$A$4:$T$4,0)),",","")),"")</f>
        <v/>
      </c>
      <c r="F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" s="51">
        <f>IFERROR(VALUE(SUBSTITUTE(INDEX('04A_국토부원자료'!$A:$T,ROW()+1,MATCH("거래금액(만원)",'04A_국토부원자료'!$A$4:$T$4,0)),",","")),"")</f>
        <v/>
      </c>
      <c r="H15" s="174">
        <f>IF(G15="","",G15*10000)</f>
        <v/>
      </c>
      <c r="I15" s="174">
        <f>IFERROR(IF(AND(H15&gt;0,E15&gt;0),H15/E15,""),"")</f>
        <v/>
      </c>
      <c r="J15" s="152">
        <f>IFERROR(VALUE(SUBSTITUTE(INDEX('04A_국토부원자료'!$A:$T,ROW()+1,MATCH("층",'04A_국토부원자료'!$A$4:$T$4,0)),",","")),"")</f>
        <v/>
      </c>
      <c r="K15" s="152">
        <f>IFERROR(VALUE(SUBSTITUTE(INDEX('04A_국토부원자료'!$A:$T,ROW()+1,MATCH("건축년도",'04A_국토부원자료'!$A$4:$T$4,0)),",","")),"")</f>
        <v/>
      </c>
      <c r="L15" s="48">
        <f>IFERROR(INDEX('04A_국토부원자료'!$A:$T,ROW()+1,MATCH("도로명",'04A_국토부원자료'!$A$4:$T$4,0)),"")</f>
        <v/>
      </c>
      <c r="M15" s="48">
        <f>IFERROR(INDEX('04A_국토부원자료'!$A:$T,ROW()+1,MATCH("거래유형",'04A_국토부원자료'!$A$4:$T$4,0)),"")</f>
        <v/>
      </c>
      <c r="N15" s="152">
        <f>IF(B15="","",IF('02_대상물건입력'!B5="",1,IF(ISNUMBER(SEARCH('02_대상물건입력'!B5,B15)),1,0)))</f>
        <v/>
      </c>
      <c r="O15" s="152">
        <f>IF(B15="","",IF('02_대상물건입력'!B6="",1,IF(ISNUMBER(SEARCH('02_대상물건입력'!B6,B15)),1,0)))</f>
        <v/>
      </c>
      <c r="P15" s="152">
        <f>IF(L15="","",IF('02_대상물건입력'!B15="",0,IF(ISNUMBER(SEARCH('02_대상물건입력'!B15,L15)),1,0)))</f>
        <v/>
      </c>
      <c r="Q15" s="152">
        <f>IF(OR(C15="",L15=""),0,IF(AND(TRIM(C15)=TRIM(RIGHT(SUBSTITUTE(TRIM('02_대상물건입력'!$B$7)," ",REPT(" ",99)),99)),IF('02_대상물건입력'!B15="",TRUE(),ISNUMBER(SEARCH('02_대상물건입력'!B15,L15)))),1,0))</f>
        <v/>
      </c>
      <c r="R15" s="175">
        <f>IFERROR(ABS(E15-'02_대상물건입력'!B11)/'02_대상물건입력'!B11,"")</f>
        <v/>
      </c>
      <c r="S15" s="152">
        <f>IFERROR(ABS(J15-'02_대상물건입력'!B10),"")</f>
        <v/>
      </c>
      <c r="T15" s="152">
        <f>IFERROR(ABS('01_설정'!B4-F15),"")</f>
        <v/>
      </c>
      <c r="U15" s="152">
        <f>IFERROR(ABS(K15-YEAR('02_대상물건입력'!B14)),"")</f>
        <v/>
      </c>
      <c r="V15" s="152">
        <f>IF(B15="","",IF(AND(E15&gt;0,F15&gt;0,H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=1,TRUE()),R15&lt;='01_설정'!B5,S15&lt;='01_설정'!B6,T15&lt;='01_설정'!B7,U15&lt;='01_설정'!B8),"Y",""))</f>
        <v/>
      </c>
      <c r="W15" s="172">
        <f>IF(V15&lt;&gt;"Y","",MAX(0,(1-R15/'01_설정'!B5))*'01_설정'!B14+MAX(0,(1-S15/'01_설정'!B6))*'01_설정'!B15+MAX(0,(1-T15/'01_설정'!B7))*'01_설정'!B16+MAX(0,(1-U15/'01_설정'!B8))*'01_설정'!B17+O15*'01_설정'!B11+Q15*'01_설정'!B12+P15*'01_설정'!B13+IF(Z15="",0,Z15))</f>
        <v/>
      </c>
      <c r="X15" s="152">
        <f>IF(W15="","",1+COUNTIFS($W$4:$W$3003,"&gt;"&amp;W15)+COUNTIFS($W$4:W15,W15)-1)</f>
        <v/>
      </c>
      <c r="Y15" s="175">
        <f>IF(OR(I15="",'02_대상물건입력'!B19="",'02_대상물건입력'!B19&lt;=0),"",ABS(I15-'02_대상물건입력'!B19)/'02_대상물건입력'!B19)</f>
        <v/>
      </c>
      <c r="Z15" s="172">
        <f>IF(OR(Y15="",'01_설정'!B31="",'01_설정'!B31&lt;=0,'01_설정'!B32="",'01_설정'!B32&lt;=0),"",MAX(0,(1-Y15/'01_설정'!B32))*'01_설정'!B31)</f>
        <v/>
      </c>
    </row>
    <row r="16" ht="17.25" customHeight="1">
      <c r="A16" s="152">
        <f>IF(INDEX('04A_국토부원자료'!$A:$A,ROW()+1)="","",ROW()-3)</f>
        <v/>
      </c>
      <c r="B16" s="48">
        <f>IFERROR(INDEX('04A_국토부원자료'!$A:$T,ROW()+1,MATCH("시군구",'04A_국토부원자료'!$A$4:$T$4,0)),"")</f>
        <v/>
      </c>
      <c r="C16" s="48">
        <f>IF(B16="","",IFERROR(INDEX('04A_국토부원자료'!$A:$T,ROW()+1,MATCH("번지",'04A_국토부원자료'!$A$4:$T$4,0)),""))</f>
        <v/>
      </c>
      <c r="D16" s="48">
        <f>IF(B16="","",IF(Q16=1,'02_대상물건입력'!$B$8,IFERROR(INDEX('04A_국토부원자료'!$A:$T,ROW()+1,MATCH("단지명",'04A_국토부원자료'!$A$4:$T$4,0)),"")))</f>
        <v/>
      </c>
      <c r="E16" s="172">
        <f>IFERROR(VALUE(SUBSTITUTE(INDEX('04A_국토부원자료'!$A:$T,ROW()+1,MATCH("전용면적(㎡)",'04A_국토부원자료'!$A$4:$T$4,0)),",","")),"")</f>
        <v/>
      </c>
      <c r="F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" s="51">
        <f>IFERROR(VALUE(SUBSTITUTE(INDEX('04A_국토부원자료'!$A:$T,ROW()+1,MATCH("거래금액(만원)",'04A_국토부원자료'!$A$4:$T$4,0)),",","")),"")</f>
        <v/>
      </c>
      <c r="H16" s="174">
        <f>IF(G16="","",G16*10000)</f>
        <v/>
      </c>
      <c r="I16" s="174">
        <f>IFERROR(IF(AND(H16&gt;0,E16&gt;0),H16/E16,""),"")</f>
        <v/>
      </c>
      <c r="J16" s="152">
        <f>IFERROR(VALUE(SUBSTITUTE(INDEX('04A_국토부원자료'!$A:$T,ROW()+1,MATCH("층",'04A_국토부원자료'!$A$4:$T$4,0)),",","")),"")</f>
        <v/>
      </c>
      <c r="K16" s="152">
        <f>IFERROR(VALUE(SUBSTITUTE(INDEX('04A_국토부원자료'!$A:$T,ROW()+1,MATCH("건축년도",'04A_국토부원자료'!$A$4:$T$4,0)),",","")),"")</f>
        <v/>
      </c>
      <c r="L16" s="48">
        <f>IFERROR(INDEX('04A_국토부원자료'!$A:$T,ROW()+1,MATCH("도로명",'04A_국토부원자료'!$A$4:$T$4,0)),"")</f>
        <v/>
      </c>
      <c r="M16" s="48">
        <f>IFERROR(INDEX('04A_국토부원자료'!$A:$T,ROW()+1,MATCH("거래유형",'04A_국토부원자료'!$A$4:$T$4,0)),"")</f>
        <v/>
      </c>
      <c r="N16" s="152">
        <f>IF(B16="","",IF('02_대상물건입력'!B5="",1,IF(ISNUMBER(SEARCH('02_대상물건입력'!B5,B16)),1,0)))</f>
        <v/>
      </c>
      <c r="O16" s="152">
        <f>IF(B16="","",IF('02_대상물건입력'!B6="",1,IF(ISNUMBER(SEARCH('02_대상물건입력'!B6,B16)),1,0)))</f>
        <v/>
      </c>
      <c r="P16" s="152">
        <f>IF(L16="","",IF('02_대상물건입력'!B15="",0,IF(ISNUMBER(SEARCH('02_대상물건입력'!B15,L16)),1,0)))</f>
        <v/>
      </c>
      <c r="Q16" s="152">
        <f>IF(OR(C16="",L16=""),0,IF(AND(TRIM(C16)=TRIM(RIGHT(SUBSTITUTE(TRIM('02_대상물건입력'!$B$7)," ",REPT(" ",99)),99)),IF('02_대상물건입력'!B15="",TRUE(),ISNUMBER(SEARCH('02_대상물건입력'!B15,L16)))),1,0))</f>
        <v/>
      </c>
      <c r="R16" s="175">
        <f>IFERROR(ABS(E16-'02_대상물건입력'!B11)/'02_대상물건입력'!B11,"")</f>
        <v/>
      </c>
      <c r="S16" s="152">
        <f>IFERROR(ABS(J16-'02_대상물건입력'!B10),"")</f>
        <v/>
      </c>
      <c r="T16" s="152">
        <f>IFERROR(ABS('01_설정'!B4-F16),"")</f>
        <v/>
      </c>
      <c r="U16" s="152">
        <f>IFERROR(ABS(K16-YEAR('02_대상물건입력'!B14)),"")</f>
        <v/>
      </c>
      <c r="V16" s="152">
        <f>IF(B16="","",IF(AND(E16&gt;0,F16&gt;0,H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=1,TRUE()),R16&lt;='01_설정'!B5,S16&lt;='01_설정'!B6,T16&lt;='01_설정'!B7,U16&lt;='01_설정'!B8),"Y",""))</f>
        <v/>
      </c>
      <c r="W16" s="172">
        <f>IF(V16&lt;&gt;"Y","",MAX(0,(1-R16/'01_설정'!B5))*'01_설정'!B14+MAX(0,(1-S16/'01_설정'!B6))*'01_설정'!B15+MAX(0,(1-T16/'01_설정'!B7))*'01_설정'!B16+MAX(0,(1-U16/'01_설정'!B8))*'01_설정'!B17+O16*'01_설정'!B11+Q16*'01_설정'!B12+P16*'01_설정'!B13+IF(Z16="",0,Z16))</f>
        <v/>
      </c>
      <c r="X16" s="152">
        <f>IF(W16="","",1+COUNTIFS($W$4:$W$3003,"&gt;"&amp;W16)+COUNTIFS($W$4:W16,W16)-1)</f>
        <v/>
      </c>
      <c r="Y16" s="175">
        <f>IF(OR(I16="",'02_대상물건입력'!B19="",'02_대상물건입력'!B19&lt;=0),"",ABS(I16-'02_대상물건입력'!B19)/'02_대상물건입력'!B19)</f>
        <v/>
      </c>
      <c r="Z16" s="172">
        <f>IF(OR(Y16="",'01_설정'!B31="",'01_설정'!B31&lt;=0,'01_설정'!B32="",'01_설정'!B32&lt;=0),"",MAX(0,(1-Y16/'01_설정'!B32))*'01_설정'!B31)</f>
        <v/>
      </c>
    </row>
    <row r="17" ht="17.25" customHeight="1">
      <c r="A17" s="152">
        <f>IF(INDEX('04A_국토부원자료'!$A:$A,ROW()+1)="","",ROW()-3)</f>
        <v/>
      </c>
      <c r="B17" s="48">
        <f>IFERROR(INDEX('04A_국토부원자료'!$A:$T,ROW()+1,MATCH("시군구",'04A_국토부원자료'!$A$4:$T$4,0)),"")</f>
        <v/>
      </c>
      <c r="C17" s="48">
        <f>IF(B17="","",IFERROR(INDEX('04A_국토부원자료'!$A:$T,ROW()+1,MATCH("번지",'04A_국토부원자료'!$A$4:$T$4,0)),""))</f>
        <v/>
      </c>
      <c r="D17" s="48">
        <f>IF(B17="","",IF(Q17=1,'02_대상물건입력'!$B$8,IFERROR(INDEX('04A_국토부원자료'!$A:$T,ROW()+1,MATCH("단지명",'04A_국토부원자료'!$A$4:$T$4,0)),"")))</f>
        <v/>
      </c>
      <c r="E17" s="172">
        <f>IFERROR(VALUE(SUBSTITUTE(INDEX('04A_국토부원자료'!$A:$T,ROW()+1,MATCH("전용면적(㎡)",'04A_국토부원자료'!$A$4:$T$4,0)),",","")),"")</f>
        <v/>
      </c>
      <c r="F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" s="51">
        <f>IFERROR(VALUE(SUBSTITUTE(INDEX('04A_국토부원자료'!$A:$T,ROW()+1,MATCH("거래금액(만원)",'04A_국토부원자료'!$A$4:$T$4,0)),",","")),"")</f>
        <v/>
      </c>
      <c r="H17" s="174">
        <f>IF(G17="","",G17*10000)</f>
        <v/>
      </c>
      <c r="I17" s="174">
        <f>IFERROR(IF(AND(H17&gt;0,E17&gt;0),H17/E17,""),"")</f>
        <v/>
      </c>
      <c r="J17" s="152">
        <f>IFERROR(VALUE(SUBSTITUTE(INDEX('04A_국토부원자료'!$A:$T,ROW()+1,MATCH("층",'04A_국토부원자료'!$A$4:$T$4,0)),",","")),"")</f>
        <v/>
      </c>
      <c r="K17" s="152">
        <f>IFERROR(VALUE(SUBSTITUTE(INDEX('04A_국토부원자료'!$A:$T,ROW()+1,MATCH("건축년도",'04A_국토부원자료'!$A$4:$T$4,0)),",","")),"")</f>
        <v/>
      </c>
      <c r="L17" s="48">
        <f>IFERROR(INDEX('04A_국토부원자료'!$A:$T,ROW()+1,MATCH("도로명",'04A_국토부원자료'!$A$4:$T$4,0)),"")</f>
        <v/>
      </c>
      <c r="M17" s="48">
        <f>IFERROR(INDEX('04A_국토부원자료'!$A:$T,ROW()+1,MATCH("거래유형",'04A_국토부원자료'!$A$4:$T$4,0)),"")</f>
        <v/>
      </c>
      <c r="N17" s="152">
        <f>IF(B17="","",IF('02_대상물건입력'!B5="",1,IF(ISNUMBER(SEARCH('02_대상물건입력'!B5,B17)),1,0)))</f>
        <v/>
      </c>
      <c r="O17" s="152">
        <f>IF(B17="","",IF('02_대상물건입력'!B6="",1,IF(ISNUMBER(SEARCH('02_대상물건입력'!B6,B17)),1,0)))</f>
        <v/>
      </c>
      <c r="P17" s="152">
        <f>IF(L17="","",IF('02_대상물건입력'!B15="",0,IF(ISNUMBER(SEARCH('02_대상물건입력'!B15,L17)),1,0)))</f>
        <v/>
      </c>
      <c r="Q17" s="152">
        <f>IF(OR(C17="",L17=""),0,IF(AND(TRIM(C17)=TRIM(RIGHT(SUBSTITUTE(TRIM('02_대상물건입력'!$B$7)," ",REPT(" ",99)),99)),IF('02_대상물건입력'!B15="",TRUE(),ISNUMBER(SEARCH('02_대상물건입력'!B15,L17)))),1,0))</f>
        <v/>
      </c>
      <c r="R17" s="175">
        <f>IFERROR(ABS(E17-'02_대상물건입력'!B11)/'02_대상물건입력'!B11,"")</f>
        <v/>
      </c>
      <c r="S17" s="152">
        <f>IFERROR(ABS(J17-'02_대상물건입력'!B10),"")</f>
        <v/>
      </c>
      <c r="T17" s="152">
        <f>IFERROR(ABS('01_설정'!B4-F17),"")</f>
        <v/>
      </c>
      <c r="U17" s="152">
        <f>IFERROR(ABS(K17-YEAR('02_대상물건입력'!B14)),"")</f>
        <v/>
      </c>
      <c r="V17" s="152">
        <f>IF(B17="","",IF(AND(E17&gt;0,F17&gt;0,H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=1,TRUE()),R17&lt;='01_설정'!B5,S17&lt;='01_설정'!B6,T17&lt;='01_설정'!B7,U17&lt;='01_설정'!B8),"Y",""))</f>
        <v/>
      </c>
      <c r="W17" s="172">
        <f>IF(V17&lt;&gt;"Y","",MAX(0,(1-R17/'01_설정'!B5))*'01_설정'!B14+MAX(0,(1-S17/'01_설정'!B6))*'01_설정'!B15+MAX(0,(1-T17/'01_설정'!B7))*'01_설정'!B16+MAX(0,(1-U17/'01_설정'!B8))*'01_설정'!B17+O17*'01_설정'!B11+Q17*'01_설정'!B12+P17*'01_설정'!B13+IF(Z17="",0,Z17))</f>
        <v/>
      </c>
      <c r="X17" s="152">
        <f>IF(W17="","",1+COUNTIFS($W$4:$W$3003,"&gt;"&amp;W17)+COUNTIFS($W$4:W17,W17)-1)</f>
        <v/>
      </c>
      <c r="Y17" s="175">
        <f>IF(OR(I17="",'02_대상물건입력'!B19="",'02_대상물건입력'!B19&lt;=0),"",ABS(I17-'02_대상물건입력'!B19)/'02_대상물건입력'!B19)</f>
        <v/>
      </c>
      <c r="Z17" s="172">
        <f>IF(OR(Y17="",'01_설정'!B31="",'01_설정'!B31&lt;=0,'01_설정'!B32="",'01_설정'!B32&lt;=0),"",MAX(0,(1-Y17/'01_설정'!B32))*'01_설정'!B31)</f>
        <v/>
      </c>
    </row>
    <row r="18" ht="17.25" customHeight="1">
      <c r="A18" s="152">
        <f>IF(INDEX('04A_국토부원자료'!$A:$A,ROW()+1)="","",ROW()-3)</f>
        <v/>
      </c>
      <c r="B18" s="48">
        <f>IFERROR(INDEX('04A_국토부원자료'!$A:$T,ROW()+1,MATCH("시군구",'04A_국토부원자료'!$A$4:$T$4,0)),"")</f>
        <v/>
      </c>
      <c r="C18" s="48">
        <f>IF(B18="","",IFERROR(INDEX('04A_국토부원자료'!$A:$T,ROW()+1,MATCH("번지",'04A_국토부원자료'!$A$4:$T$4,0)),""))</f>
        <v/>
      </c>
      <c r="D18" s="48">
        <f>IF(B18="","",IF(Q18=1,'02_대상물건입력'!$B$8,IFERROR(INDEX('04A_국토부원자료'!$A:$T,ROW()+1,MATCH("단지명",'04A_국토부원자료'!$A$4:$T$4,0)),"")))</f>
        <v/>
      </c>
      <c r="E18" s="172">
        <f>IFERROR(VALUE(SUBSTITUTE(INDEX('04A_국토부원자료'!$A:$T,ROW()+1,MATCH("전용면적(㎡)",'04A_국토부원자료'!$A$4:$T$4,0)),",","")),"")</f>
        <v/>
      </c>
      <c r="F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" s="51">
        <f>IFERROR(VALUE(SUBSTITUTE(INDEX('04A_국토부원자료'!$A:$T,ROW()+1,MATCH("거래금액(만원)",'04A_국토부원자료'!$A$4:$T$4,0)),",","")),"")</f>
        <v/>
      </c>
      <c r="H18" s="174">
        <f>IF(G18="","",G18*10000)</f>
        <v/>
      </c>
      <c r="I18" s="174">
        <f>IFERROR(IF(AND(H18&gt;0,E18&gt;0),H18/E18,""),"")</f>
        <v/>
      </c>
      <c r="J18" s="152">
        <f>IFERROR(VALUE(SUBSTITUTE(INDEX('04A_국토부원자료'!$A:$T,ROW()+1,MATCH("층",'04A_국토부원자료'!$A$4:$T$4,0)),",","")),"")</f>
        <v/>
      </c>
      <c r="K18" s="152">
        <f>IFERROR(VALUE(SUBSTITUTE(INDEX('04A_국토부원자료'!$A:$T,ROW()+1,MATCH("건축년도",'04A_국토부원자료'!$A$4:$T$4,0)),",","")),"")</f>
        <v/>
      </c>
      <c r="L18" s="48">
        <f>IFERROR(INDEX('04A_국토부원자료'!$A:$T,ROW()+1,MATCH("도로명",'04A_국토부원자료'!$A$4:$T$4,0)),"")</f>
        <v/>
      </c>
      <c r="M18" s="48">
        <f>IFERROR(INDEX('04A_국토부원자료'!$A:$T,ROW()+1,MATCH("거래유형",'04A_국토부원자료'!$A$4:$T$4,0)),"")</f>
        <v/>
      </c>
      <c r="N18" s="152">
        <f>IF(B18="","",IF('02_대상물건입력'!B5="",1,IF(ISNUMBER(SEARCH('02_대상물건입력'!B5,B18)),1,0)))</f>
        <v/>
      </c>
      <c r="O18" s="152">
        <f>IF(B18="","",IF('02_대상물건입력'!B6="",1,IF(ISNUMBER(SEARCH('02_대상물건입력'!B6,B18)),1,0)))</f>
        <v/>
      </c>
      <c r="P18" s="152">
        <f>IF(L18="","",IF('02_대상물건입력'!B15="",0,IF(ISNUMBER(SEARCH('02_대상물건입력'!B15,L18)),1,0)))</f>
        <v/>
      </c>
      <c r="Q18" s="152">
        <f>IF(OR(C18="",L18=""),0,IF(AND(TRIM(C18)=TRIM(RIGHT(SUBSTITUTE(TRIM('02_대상물건입력'!$B$7)," ",REPT(" ",99)),99)),IF('02_대상물건입력'!B15="",TRUE(),ISNUMBER(SEARCH('02_대상물건입력'!B15,L18)))),1,0))</f>
        <v/>
      </c>
      <c r="R18" s="175">
        <f>IFERROR(ABS(E18-'02_대상물건입력'!B11)/'02_대상물건입력'!B11,"")</f>
        <v/>
      </c>
      <c r="S18" s="152">
        <f>IFERROR(ABS(J18-'02_대상물건입력'!B10),"")</f>
        <v/>
      </c>
      <c r="T18" s="152">
        <f>IFERROR(ABS('01_설정'!B4-F18),"")</f>
        <v/>
      </c>
      <c r="U18" s="152">
        <f>IFERROR(ABS(K18-YEAR('02_대상물건입력'!B14)),"")</f>
        <v/>
      </c>
      <c r="V18" s="152">
        <f>IF(B18="","",IF(AND(E18&gt;0,F18&gt;0,H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=1,TRUE()),R18&lt;='01_설정'!B5,S18&lt;='01_설정'!B6,T18&lt;='01_설정'!B7,U18&lt;='01_설정'!B8),"Y",""))</f>
        <v/>
      </c>
      <c r="W18" s="172">
        <f>IF(V18&lt;&gt;"Y","",MAX(0,(1-R18/'01_설정'!B5))*'01_설정'!B14+MAX(0,(1-S18/'01_설정'!B6))*'01_설정'!B15+MAX(0,(1-T18/'01_설정'!B7))*'01_설정'!B16+MAX(0,(1-U18/'01_설정'!B8))*'01_설정'!B17+O18*'01_설정'!B11+Q18*'01_설정'!B12+P18*'01_설정'!B13+IF(Z18="",0,Z18))</f>
        <v/>
      </c>
      <c r="X18" s="152">
        <f>IF(W18="","",1+COUNTIFS($W$4:$W$3003,"&gt;"&amp;W18)+COUNTIFS($W$4:W18,W18)-1)</f>
        <v/>
      </c>
      <c r="Y18" s="175">
        <f>IF(OR(I18="",'02_대상물건입력'!B19="",'02_대상물건입력'!B19&lt;=0),"",ABS(I18-'02_대상물건입력'!B19)/'02_대상물건입력'!B19)</f>
        <v/>
      </c>
      <c r="Z18" s="172">
        <f>IF(OR(Y18="",'01_설정'!B31="",'01_설정'!B31&lt;=0,'01_설정'!B32="",'01_설정'!B32&lt;=0),"",MAX(0,(1-Y18/'01_설정'!B32))*'01_설정'!B31)</f>
        <v/>
      </c>
    </row>
    <row r="19" ht="17.25" customHeight="1">
      <c r="A19" s="152">
        <f>IF(INDEX('04A_국토부원자료'!$A:$A,ROW()+1)="","",ROW()-3)</f>
        <v/>
      </c>
      <c r="B19" s="48">
        <f>IFERROR(INDEX('04A_국토부원자료'!$A:$T,ROW()+1,MATCH("시군구",'04A_국토부원자료'!$A$4:$T$4,0)),"")</f>
        <v/>
      </c>
      <c r="C19" s="48">
        <f>IF(B19="","",IFERROR(INDEX('04A_국토부원자료'!$A:$T,ROW()+1,MATCH("번지",'04A_국토부원자료'!$A$4:$T$4,0)),""))</f>
        <v/>
      </c>
      <c r="D19" s="48">
        <f>IF(B19="","",IF(Q19=1,'02_대상물건입력'!$B$8,IFERROR(INDEX('04A_국토부원자료'!$A:$T,ROW()+1,MATCH("단지명",'04A_국토부원자료'!$A$4:$T$4,0)),"")))</f>
        <v/>
      </c>
      <c r="E19" s="172">
        <f>IFERROR(VALUE(SUBSTITUTE(INDEX('04A_국토부원자료'!$A:$T,ROW()+1,MATCH("전용면적(㎡)",'04A_국토부원자료'!$A$4:$T$4,0)),",","")),"")</f>
        <v/>
      </c>
      <c r="F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" s="51">
        <f>IFERROR(VALUE(SUBSTITUTE(INDEX('04A_국토부원자료'!$A:$T,ROW()+1,MATCH("거래금액(만원)",'04A_국토부원자료'!$A$4:$T$4,0)),",","")),"")</f>
        <v/>
      </c>
      <c r="H19" s="174">
        <f>IF(G19="","",G19*10000)</f>
        <v/>
      </c>
      <c r="I19" s="174">
        <f>IFERROR(IF(AND(H19&gt;0,E19&gt;0),H19/E19,""),"")</f>
        <v/>
      </c>
      <c r="J19" s="152">
        <f>IFERROR(VALUE(SUBSTITUTE(INDEX('04A_국토부원자료'!$A:$T,ROW()+1,MATCH("층",'04A_국토부원자료'!$A$4:$T$4,0)),",","")),"")</f>
        <v/>
      </c>
      <c r="K19" s="152">
        <f>IFERROR(VALUE(SUBSTITUTE(INDEX('04A_국토부원자료'!$A:$T,ROW()+1,MATCH("건축년도",'04A_국토부원자료'!$A$4:$T$4,0)),",","")),"")</f>
        <v/>
      </c>
      <c r="L19" s="48">
        <f>IFERROR(INDEX('04A_국토부원자료'!$A:$T,ROW()+1,MATCH("도로명",'04A_국토부원자료'!$A$4:$T$4,0)),"")</f>
        <v/>
      </c>
      <c r="M19" s="48">
        <f>IFERROR(INDEX('04A_국토부원자료'!$A:$T,ROW()+1,MATCH("거래유형",'04A_국토부원자료'!$A$4:$T$4,0)),"")</f>
        <v/>
      </c>
      <c r="N19" s="152">
        <f>IF(B19="","",IF('02_대상물건입력'!B5="",1,IF(ISNUMBER(SEARCH('02_대상물건입력'!B5,B19)),1,0)))</f>
        <v/>
      </c>
      <c r="O19" s="152">
        <f>IF(B19="","",IF('02_대상물건입력'!B6="",1,IF(ISNUMBER(SEARCH('02_대상물건입력'!B6,B19)),1,0)))</f>
        <v/>
      </c>
      <c r="P19" s="152">
        <f>IF(L19="","",IF('02_대상물건입력'!B15="",0,IF(ISNUMBER(SEARCH('02_대상물건입력'!B15,L19)),1,0)))</f>
        <v/>
      </c>
      <c r="Q19" s="152">
        <f>IF(OR(C19="",L19=""),0,IF(AND(TRIM(C19)=TRIM(RIGHT(SUBSTITUTE(TRIM('02_대상물건입력'!$B$7)," ",REPT(" ",99)),99)),IF('02_대상물건입력'!B15="",TRUE(),ISNUMBER(SEARCH('02_대상물건입력'!B15,L19)))),1,0))</f>
        <v/>
      </c>
      <c r="R19" s="175">
        <f>IFERROR(ABS(E19-'02_대상물건입력'!B11)/'02_대상물건입력'!B11,"")</f>
        <v/>
      </c>
      <c r="S19" s="152">
        <f>IFERROR(ABS(J19-'02_대상물건입력'!B10),"")</f>
        <v/>
      </c>
      <c r="T19" s="152">
        <f>IFERROR(ABS('01_설정'!B4-F19),"")</f>
        <v/>
      </c>
      <c r="U19" s="152">
        <f>IFERROR(ABS(K19-YEAR('02_대상물건입력'!B14)),"")</f>
        <v/>
      </c>
      <c r="V19" s="152">
        <f>IF(B19="","",IF(AND(E19&gt;0,F19&gt;0,H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=1,TRUE()),R19&lt;='01_설정'!B5,S19&lt;='01_설정'!B6,T19&lt;='01_설정'!B7,U19&lt;='01_설정'!B8),"Y",""))</f>
        <v/>
      </c>
      <c r="W19" s="172">
        <f>IF(V19&lt;&gt;"Y","",MAX(0,(1-R19/'01_설정'!B5))*'01_설정'!B14+MAX(0,(1-S19/'01_설정'!B6))*'01_설정'!B15+MAX(0,(1-T19/'01_설정'!B7))*'01_설정'!B16+MAX(0,(1-U19/'01_설정'!B8))*'01_설정'!B17+O19*'01_설정'!B11+Q19*'01_설정'!B12+P19*'01_설정'!B13+IF(Z19="",0,Z19))</f>
        <v/>
      </c>
      <c r="X19" s="152">
        <f>IF(W19="","",1+COUNTIFS($W$4:$W$3003,"&gt;"&amp;W19)+COUNTIFS($W$4:W19,W19)-1)</f>
        <v/>
      </c>
      <c r="Y19" s="175">
        <f>IF(OR(I19="",'02_대상물건입력'!B19="",'02_대상물건입력'!B19&lt;=0),"",ABS(I19-'02_대상물건입력'!B19)/'02_대상물건입력'!B19)</f>
        <v/>
      </c>
      <c r="Z19" s="172">
        <f>IF(OR(Y19="",'01_설정'!B31="",'01_설정'!B31&lt;=0,'01_설정'!B32="",'01_설정'!B32&lt;=0),"",MAX(0,(1-Y19/'01_설정'!B32))*'01_설정'!B31)</f>
        <v/>
      </c>
    </row>
    <row r="20" ht="17.25" customHeight="1">
      <c r="A20" s="152">
        <f>IF(INDEX('04A_국토부원자료'!$A:$A,ROW()+1)="","",ROW()-3)</f>
        <v/>
      </c>
      <c r="B20" s="48">
        <f>IFERROR(INDEX('04A_국토부원자료'!$A:$T,ROW()+1,MATCH("시군구",'04A_국토부원자료'!$A$4:$T$4,0)),"")</f>
        <v/>
      </c>
      <c r="C20" s="48">
        <f>IF(B20="","",IFERROR(INDEX('04A_국토부원자료'!$A:$T,ROW()+1,MATCH("번지",'04A_국토부원자료'!$A$4:$T$4,0)),""))</f>
        <v/>
      </c>
      <c r="D20" s="48">
        <f>IF(B20="","",IF(Q20=1,'02_대상물건입력'!$B$8,IFERROR(INDEX('04A_국토부원자료'!$A:$T,ROW()+1,MATCH("단지명",'04A_국토부원자료'!$A$4:$T$4,0)),"")))</f>
        <v/>
      </c>
      <c r="E20" s="172">
        <f>IFERROR(VALUE(SUBSTITUTE(INDEX('04A_국토부원자료'!$A:$T,ROW()+1,MATCH("전용면적(㎡)",'04A_국토부원자료'!$A$4:$T$4,0)),",","")),"")</f>
        <v/>
      </c>
      <c r="F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" s="51">
        <f>IFERROR(VALUE(SUBSTITUTE(INDEX('04A_국토부원자료'!$A:$T,ROW()+1,MATCH("거래금액(만원)",'04A_국토부원자료'!$A$4:$T$4,0)),",","")),"")</f>
        <v/>
      </c>
      <c r="H20" s="174">
        <f>IF(G20="","",G20*10000)</f>
        <v/>
      </c>
      <c r="I20" s="174">
        <f>IFERROR(IF(AND(H20&gt;0,E20&gt;0),H20/E20,""),"")</f>
        <v/>
      </c>
      <c r="J20" s="152">
        <f>IFERROR(VALUE(SUBSTITUTE(INDEX('04A_국토부원자료'!$A:$T,ROW()+1,MATCH("층",'04A_국토부원자료'!$A$4:$T$4,0)),",","")),"")</f>
        <v/>
      </c>
      <c r="K20" s="152">
        <f>IFERROR(VALUE(SUBSTITUTE(INDEX('04A_국토부원자료'!$A:$T,ROW()+1,MATCH("건축년도",'04A_국토부원자료'!$A$4:$T$4,0)),",","")),"")</f>
        <v/>
      </c>
      <c r="L20" s="48">
        <f>IFERROR(INDEX('04A_국토부원자료'!$A:$T,ROW()+1,MATCH("도로명",'04A_국토부원자료'!$A$4:$T$4,0)),"")</f>
        <v/>
      </c>
      <c r="M20" s="48">
        <f>IFERROR(INDEX('04A_국토부원자료'!$A:$T,ROW()+1,MATCH("거래유형",'04A_국토부원자료'!$A$4:$T$4,0)),"")</f>
        <v/>
      </c>
      <c r="N20" s="152">
        <f>IF(B20="","",IF('02_대상물건입력'!B5="",1,IF(ISNUMBER(SEARCH('02_대상물건입력'!B5,B20)),1,0)))</f>
        <v/>
      </c>
      <c r="O20" s="152">
        <f>IF(B20="","",IF('02_대상물건입력'!B6="",1,IF(ISNUMBER(SEARCH('02_대상물건입력'!B6,B20)),1,0)))</f>
        <v/>
      </c>
      <c r="P20" s="152">
        <f>IF(L20="","",IF('02_대상물건입력'!B15="",0,IF(ISNUMBER(SEARCH('02_대상물건입력'!B15,L20)),1,0)))</f>
        <v/>
      </c>
      <c r="Q20" s="152">
        <f>IF(OR(C20="",L20=""),0,IF(AND(TRIM(C20)=TRIM(RIGHT(SUBSTITUTE(TRIM('02_대상물건입력'!$B$7)," ",REPT(" ",99)),99)),IF('02_대상물건입력'!B15="",TRUE(),ISNUMBER(SEARCH('02_대상물건입력'!B15,L20)))),1,0))</f>
        <v/>
      </c>
      <c r="R20" s="175">
        <f>IFERROR(ABS(E20-'02_대상물건입력'!B11)/'02_대상물건입력'!B11,"")</f>
        <v/>
      </c>
      <c r="S20" s="152">
        <f>IFERROR(ABS(J20-'02_대상물건입력'!B10),"")</f>
        <v/>
      </c>
      <c r="T20" s="152">
        <f>IFERROR(ABS('01_설정'!B4-F20),"")</f>
        <v/>
      </c>
      <c r="U20" s="152">
        <f>IFERROR(ABS(K20-YEAR('02_대상물건입력'!B14)),"")</f>
        <v/>
      </c>
      <c r="V20" s="152">
        <f>IF(B20="","",IF(AND(E20&gt;0,F20&gt;0,H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=1,TRUE()),R20&lt;='01_설정'!B5,S20&lt;='01_설정'!B6,T20&lt;='01_설정'!B7,U20&lt;='01_설정'!B8),"Y",""))</f>
        <v/>
      </c>
      <c r="W20" s="172">
        <f>IF(V20&lt;&gt;"Y","",MAX(0,(1-R20/'01_설정'!B5))*'01_설정'!B14+MAX(0,(1-S20/'01_설정'!B6))*'01_설정'!B15+MAX(0,(1-T20/'01_설정'!B7))*'01_설정'!B16+MAX(0,(1-U20/'01_설정'!B8))*'01_설정'!B17+O20*'01_설정'!B11+Q20*'01_설정'!B12+P20*'01_설정'!B13+IF(Z20="",0,Z20))</f>
        <v/>
      </c>
      <c r="X20" s="152">
        <f>IF(W20="","",1+COUNTIFS($W$4:$W$3003,"&gt;"&amp;W20)+COUNTIFS($W$4:W20,W20)-1)</f>
        <v/>
      </c>
      <c r="Y20" s="175">
        <f>IF(OR(I20="",'02_대상물건입력'!B19="",'02_대상물건입력'!B19&lt;=0),"",ABS(I20-'02_대상물건입력'!B19)/'02_대상물건입력'!B19)</f>
        <v/>
      </c>
      <c r="Z20" s="172">
        <f>IF(OR(Y20="",'01_설정'!B31="",'01_설정'!B31&lt;=0,'01_설정'!B32="",'01_설정'!B32&lt;=0),"",MAX(0,(1-Y20/'01_설정'!B32))*'01_설정'!B31)</f>
        <v/>
      </c>
    </row>
    <row r="21" ht="17.25" customHeight="1">
      <c r="A21" s="152">
        <f>IF(INDEX('04A_국토부원자료'!$A:$A,ROW()+1)="","",ROW()-3)</f>
        <v/>
      </c>
      <c r="B21" s="48">
        <f>IFERROR(INDEX('04A_국토부원자료'!$A:$T,ROW()+1,MATCH("시군구",'04A_국토부원자료'!$A$4:$T$4,0)),"")</f>
        <v/>
      </c>
      <c r="C21" s="48">
        <f>IF(B21="","",IFERROR(INDEX('04A_국토부원자료'!$A:$T,ROW()+1,MATCH("번지",'04A_국토부원자료'!$A$4:$T$4,0)),""))</f>
        <v/>
      </c>
      <c r="D21" s="48">
        <f>IF(B21="","",IF(Q21=1,'02_대상물건입력'!$B$8,IFERROR(INDEX('04A_국토부원자료'!$A:$T,ROW()+1,MATCH("단지명",'04A_국토부원자료'!$A$4:$T$4,0)),"")))</f>
        <v/>
      </c>
      <c r="E21" s="172">
        <f>IFERROR(VALUE(SUBSTITUTE(INDEX('04A_국토부원자료'!$A:$T,ROW()+1,MATCH("전용면적(㎡)",'04A_국토부원자료'!$A$4:$T$4,0)),",","")),"")</f>
        <v/>
      </c>
      <c r="F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" s="51">
        <f>IFERROR(VALUE(SUBSTITUTE(INDEX('04A_국토부원자료'!$A:$T,ROW()+1,MATCH("거래금액(만원)",'04A_국토부원자료'!$A$4:$T$4,0)),",","")),"")</f>
        <v/>
      </c>
      <c r="H21" s="174">
        <f>IF(G21="","",G21*10000)</f>
        <v/>
      </c>
      <c r="I21" s="174">
        <f>IFERROR(IF(AND(H21&gt;0,E21&gt;0),H21/E21,""),"")</f>
        <v/>
      </c>
      <c r="J21" s="152">
        <f>IFERROR(VALUE(SUBSTITUTE(INDEX('04A_국토부원자료'!$A:$T,ROW()+1,MATCH("층",'04A_국토부원자료'!$A$4:$T$4,0)),",","")),"")</f>
        <v/>
      </c>
      <c r="K21" s="152">
        <f>IFERROR(VALUE(SUBSTITUTE(INDEX('04A_국토부원자료'!$A:$T,ROW()+1,MATCH("건축년도",'04A_국토부원자료'!$A$4:$T$4,0)),",","")),"")</f>
        <v/>
      </c>
      <c r="L21" s="48">
        <f>IFERROR(INDEX('04A_국토부원자료'!$A:$T,ROW()+1,MATCH("도로명",'04A_국토부원자료'!$A$4:$T$4,0)),"")</f>
        <v/>
      </c>
      <c r="M21" s="48">
        <f>IFERROR(INDEX('04A_국토부원자료'!$A:$T,ROW()+1,MATCH("거래유형",'04A_국토부원자료'!$A$4:$T$4,0)),"")</f>
        <v/>
      </c>
      <c r="N21" s="152">
        <f>IF(B21="","",IF('02_대상물건입력'!B5="",1,IF(ISNUMBER(SEARCH('02_대상물건입력'!B5,B21)),1,0)))</f>
        <v/>
      </c>
      <c r="O21" s="152">
        <f>IF(B21="","",IF('02_대상물건입력'!B6="",1,IF(ISNUMBER(SEARCH('02_대상물건입력'!B6,B21)),1,0)))</f>
        <v/>
      </c>
      <c r="P21" s="152">
        <f>IF(L21="","",IF('02_대상물건입력'!B15="",0,IF(ISNUMBER(SEARCH('02_대상물건입력'!B15,L21)),1,0)))</f>
        <v/>
      </c>
      <c r="Q21" s="152">
        <f>IF(OR(C21="",L21=""),0,IF(AND(TRIM(C21)=TRIM(RIGHT(SUBSTITUTE(TRIM('02_대상물건입력'!$B$7)," ",REPT(" ",99)),99)),IF('02_대상물건입력'!B15="",TRUE(),ISNUMBER(SEARCH('02_대상물건입력'!B15,L21)))),1,0))</f>
        <v/>
      </c>
      <c r="R21" s="175">
        <f>IFERROR(ABS(E21-'02_대상물건입력'!B11)/'02_대상물건입력'!B11,"")</f>
        <v/>
      </c>
      <c r="S21" s="152">
        <f>IFERROR(ABS(J21-'02_대상물건입력'!B10),"")</f>
        <v/>
      </c>
      <c r="T21" s="152">
        <f>IFERROR(ABS('01_설정'!B4-F21),"")</f>
        <v/>
      </c>
      <c r="U21" s="152">
        <f>IFERROR(ABS(K21-YEAR('02_대상물건입력'!B14)),"")</f>
        <v/>
      </c>
      <c r="V21" s="152">
        <f>IF(B21="","",IF(AND(E21&gt;0,F21&gt;0,H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=1,TRUE()),R21&lt;='01_설정'!B5,S21&lt;='01_설정'!B6,T21&lt;='01_설정'!B7,U21&lt;='01_설정'!B8),"Y",""))</f>
        <v/>
      </c>
      <c r="W21" s="172">
        <f>IF(V21&lt;&gt;"Y","",MAX(0,(1-R21/'01_설정'!B5))*'01_설정'!B14+MAX(0,(1-S21/'01_설정'!B6))*'01_설정'!B15+MAX(0,(1-T21/'01_설정'!B7))*'01_설정'!B16+MAX(0,(1-U21/'01_설정'!B8))*'01_설정'!B17+O21*'01_설정'!B11+Q21*'01_설정'!B12+P21*'01_설정'!B13+IF(Z21="",0,Z21))</f>
        <v/>
      </c>
      <c r="X21" s="152">
        <f>IF(W21="","",1+COUNTIFS($W$4:$W$3003,"&gt;"&amp;W21)+COUNTIFS($W$4:W21,W21)-1)</f>
        <v/>
      </c>
      <c r="Y21" s="175">
        <f>IF(OR(I21="",'02_대상물건입력'!B19="",'02_대상물건입력'!B19&lt;=0),"",ABS(I21-'02_대상물건입력'!B19)/'02_대상물건입력'!B19)</f>
        <v/>
      </c>
      <c r="Z21" s="172">
        <f>IF(OR(Y21="",'01_설정'!B31="",'01_설정'!B31&lt;=0,'01_설정'!B32="",'01_설정'!B32&lt;=0),"",MAX(0,(1-Y21/'01_설정'!B32))*'01_설정'!B31)</f>
        <v/>
      </c>
    </row>
    <row r="22" ht="17.25" customHeight="1">
      <c r="A22" s="152">
        <f>IF(INDEX('04A_국토부원자료'!$A:$A,ROW()+1)="","",ROW()-3)</f>
        <v/>
      </c>
      <c r="B22" s="48">
        <f>IFERROR(INDEX('04A_국토부원자료'!$A:$T,ROW()+1,MATCH("시군구",'04A_국토부원자료'!$A$4:$T$4,0)),"")</f>
        <v/>
      </c>
      <c r="C22" s="48">
        <f>IF(B22="","",IFERROR(INDEX('04A_국토부원자료'!$A:$T,ROW()+1,MATCH("번지",'04A_국토부원자료'!$A$4:$T$4,0)),""))</f>
        <v/>
      </c>
      <c r="D22" s="48">
        <f>IF(B22="","",IF(Q22=1,'02_대상물건입력'!$B$8,IFERROR(INDEX('04A_국토부원자료'!$A:$T,ROW()+1,MATCH("단지명",'04A_국토부원자료'!$A$4:$T$4,0)),"")))</f>
        <v/>
      </c>
      <c r="E22" s="172">
        <f>IFERROR(VALUE(SUBSTITUTE(INDEX('04A_국토부원자료'!$A:$T,ROW()+1,MATCH("전용면적(㎡)",'04A_국토부원자료'!$A$4:$T$4,0)),",","")),"")</f>
        <v/>
      </c>
      <c r="F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" s="51">
        <f>IFERROR(VALUE(SUBSTITUTE(INDEX('04A_국토부원자료'!$A:$T,ROW()+1,MATCH("거래금액(만원)",'04A_국토부원자료'!$A$4:$T$4,0)),",","")),"")</f>
        <v/>
      </c>
      <c r="H22" s="174">
        <f>IF(G22="","",G22*10000)</f>
        <v/>
      </c>
      <c r="I22" s="174">
        <f>IFERROR(IF(AND(H22&gt;0,E22&gt;0),H22/E22,""),"")</f>
        <v/>
      </c>
      <c r="J22" s="152">
        <f>IFERROR(VALUE(SUBSTITUTE(INDEX('04A_국토부원자료'!$A:$T,ROW()+1,MATCH("층",'04A_국토부원자료'!$A$4:$T$4,0)),",","")),"")</f>
        <v/>
      </c>
      <c r="K22" s="152">
        <f>IFERROR(VALUE(SUBSTITUTE(INDEX('04A_국토부원자료'!$A:$T,ROW()+1,MATCH("건축년도",'04A_국토부원자료'!$A$4:$T$4,0)),",","")),"")</f>
        <v/>
      </c>
      <c r="L22" s="176">
        <f>IFERROR(INDEX('04A_국토부원자료'!$A:$T,ROW()+1,MATCH("도로명",'04A_국토부원자료'!$A$4:$T$4,0)),"")</f>
        <v/>
      </c>
      <c r="M22" s="48">
        <f>IFERROR(INDEX('04A_국토부원자료'!$A:$T,ROW()+1,MATCH("거래유형",'04A_국토부원자료'!$A$4:$T$4,0)),"")</f>
        <v/>
      </c>
      <c r="N22" s="152">
        <f>IF(B22="","",IF('02_대상물건입력'!B5="",1,IF(ISNUMBER(SEARCH('02_대상물건입력'!B5,B22)),1,0)))</f>
        <v/>
      </c>
      <c r="O22" s="152">
        <f>IF(B22="","",IF('02_대상물건입력'!B6="",1,IF(ISNUMBER(SEARCH('02_대상물건입력'!B6,B22)),1,0)))</f>
        <v/>
      </c>
      <c r="P22" s="152">
        <f>IF(L22="","",IF('02_대상물건입력'!B15="",0,IF(ISNUMBER(SEARCH('02_대상물건입력'!B15,L22)),1,0)))</f>
        <v/>
      </c>
      <c r="Q22" s="152">
        <f>IF(OR(C22="",L22=""),0,IF(AND(TRIM(C22)=TRIM(RIGHT(SUBSTITUTE(TRIM('02_대상물건입력'!$B$7)," ",REPT(" ",99)),99)),IF('02_대상물건입력'!B15="",TRUE(),ISNUMBER(SEARCH('02_대상물건입력'!B15,L22)))),1,0))</f>
        <v/>
      </c>
      <c r="R22" s="175">
        <f>IFERROR(ABS(E22-'02_대상물건입력'!B11)/'02_대상물건입력'!B11,"")</f>
        <v/>
      </c>
      <c r="S22" s="152">
        <f>IFERROR(ABS(J22-'02_대상물건입력'!B10),"")</f>
        <v/>
      </c>
      <c r="T22" s="152">
        <f>IFERROR(ABS('01_설정'!B4-F22),"")</f>
        <v/>
      </c>
      <c r="U22" s="152">
        <f>IFERROR(ABS(K22-YEAR('02_대상물건입력'!B14)),"")</f>
        <v/>
      </c>
      <c r="V22" s="152">
        <f>IF(B22="","",IF(AND(E22&gt;0,F22&gt;0,H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=1,TRUE()),R22&lt;='01_설정'!B5,S22&lt;='01_설정'!B6,T22&lt;='01_설정'!B7,U22&lt;='01_설정'!B8),"Y",""))</f>
        <v/>
      </c>
      <c r="W22" s="172">
        <f>IF(V22&lt;&gt;"Y","",MAX(0,(1-R22/'01_설정'!B5))*'01_설정'!B14+MAX(0,(1-S22/'01_설정'!B6))*'01_설정'!B15+MAX(0,(1-T22/'01_설정'!B7))*'01_설정'!B16+MAX(0,(1-U22/'01_설정'!B8))*'01_설정'!B17+O22*'01_설정'!B11+Q22*'01_설정'!B12+P22*'01_설정'!B13+IF(Z22="",0,Z22))</f>
        <v/>
      </c>
      <c r="X22" s="152">
        <f>IF(W22="","",1+COUNTIFS($W$4:$W$3003,"&gt;"&amp;W22)+COUNTIFS($W$4:W22,W22)-1)</f>
        <v/>
      </c>
      <c r="Y22" s="175">
        <f>IF(OR(I22="",'02_대상물건입력'!B19="",'02_대상물건입력'!B19&lt;=0),"",ABS(I22-'02_대상물건입력'!B19)/'02_대상물건입력'!B19)</f>
        <v/>
      </c>
      <c r="Z22" s="172">
        <f>IF(OR(Y22="",'01_설정'!B31="",'01_설정'!B31&lt;=0,'01_설정'!B32="",'01_설정'!B32&lt;=0),"",MAX(0,(1-Y22/'01_설정'!B32))*'01_설정'!B31)</f>
        <v/>
      </c>
    </row>
    <row r="23" ht="17.25" customHeight="1">
      <c r="A23" s="152">
        <f>IF(INDEX('04A_국토부원자료'!$A:$A,ROW()+1)="","",ROW()-3)</f>
        <v/>
      </c>
      <c r="B23" s="48">
        <f>IFERROR(INDEX('04A_국토부원자료'!$A:$T,ROW()+1,MATCH("시군구",'04A_국토부원자료'!$A$4:$T$4,0)),"")</f>
        <v/>
      </c>
      <c r="C23" s="48">
        <f>IF(B23="","",IFERROR(INDEX('04A_국토부원자료'!$A:$T,ROW()+1,MATCH("번지",'04A_국토부원자료'!$A$4:$T$4,0)),""))</f>
        <v/>
      </c>
      <c r="D23" s="48">
        <f>IF(B23="","",IF(Q23=1,'02_대상물건입력'!$B$8,IFERROR(INDEX('04A_국토부원자료'!$A:$T,ROW()+1,MATCH("단지명",'04A_국토부원자료'!$A$4:$T$4,0)),"")))</f>
        <v/>
      </c>
      <c r="E23" s="172">
        <f>IFERROR(VALUE(SUBSTITUTE(INDEX('04A_국토부원자료'!$A:$T,ROW()+1,MATCH("전용면적(㎡)",'04A_국토부원자료'!$A$4:$T$4,0)),",","")),"")</f>
        <v/>
      </c>
      <c r="F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" s="51">
        <f>IFERROR(VALUE(SUBSTITUTE(INDEX('04A_국토부원자료'!$A:$T,ROW()+1,MATCH("거래금액(만원)",'04A_국토부원자료'!$A$4:$T$4,0)),",","")),"")</f>
        <v/>
      </c>
      <c r="H23" s="174">
        <f>IF(G23="","",G23*10000)</f>
        <v/>
      </c>
      <c r="I23" s="174">
        <f>IFERROR(IF(AND(H23&gt;0,E23&gt;0),H23/E23,""),"")</f>
        <v/>
      </c>
      <c r="J23" s="152">
        <f>IFERROR(VALUE(SUBSTITUTE(INDEX('04A_국토부원자료'!$A:$T,ROW()+1,MATCH("층",'04A_국토부원자료'!$A$4:$T$4,0)),",","")),"")</f>
        <v/>
      </c>
      <c r="K23" s="152">
        <f>IFERROR(VALUE(SUBSTITUTE(INDEX('04A_국토부원자료'!$A:$T,ROW()+1,MATCH("건축년도",'04A_국토부원자료'!$A$4:$T$4,0)),",","")),"")</f>
        <v/>
      </c>
      <c r="L23" s="176">
        <f>IFERROR(INDEX('04A_국토부원자료'!$A:$T,ROW()+1,MATCH("도로명",'04A_국토부원자료'!$A$4:$T$4,0)),"")</f>
        <v/>
      </c>
      <c r="M23" s="48">
        <f>IFERROR(INDEX('04A_국토부원자료'!$A:$T,ROW()+1,MATCH("거래유형",'04A_국토부원자료'!$A$4:$T$4,0)),"")</f>
        <v/>
      </c>
      <c r="N23" s="152">
        <f>IF(B23="","",IF('02_대상물건입력'!B5="",1,IF(ISNUMBER(SEARCH('02_대상물건입력'!B5,B23)),1,0)))</f>
        <v/>
      </c>
      <c r="O23" s="152">
        <f>IF(B23="","",IF('02_대상물건입력'!B6="",1,IF(ISNUMBER(SEARCH('02_대상물건입력'!B6,B23)),1,0)))</f>
        <v/>
      </c>
      <c r="P23" s="152">
        <f>IF(L23="","",IF('02_대상물건입력'!B15="",0,IF(ISNUMBER(SEARCH('02_대상물건입력'!B15,L23)),1,0)))</f>
        <v/>
      </c>
      <c r="Q23" s="152">
        <f>IF(OR(C23="",L23=""),0,IF(AND(TRIM(C23)=TRIM(RIGHT(SUBSTITUTE(TRIM('02_대상물건입력'!$B$7)," ",REPT(" ",99)),99)),IF('02_대상물건입력'!B15="",TRUE(),ISNUMBER(SEARCH('02_대상물건입력'!B15,L23)))),1,0))</f>
        <v/>
      </c>
      <c r="R23" s="175">
        <f>IFERROR(ABS(E23-'02_대상물건입력'!B11)/'02_대상물건입력'!B11,"")</f>
        <v/>
      </c>
      <c r="S23" s="152">
        <f>IFERROR(ABS(J23-'02_대상물건입력'!B10),"")</f>
        <v/>
      </c>
      <c r="T23" s="152">
        <f>IFERROR(ABS('01_설정'!B4-F23),"")</f>
        <v/>
      </c>
      <c r="U23" s="152">
        <f>IFERROR(ABS(K23-YEAR('02_대상물건입력'!B14)),"")</f>
        <v/>
      </c>
      <c r="V23" s="152">
        <f>IF(B23="","",IF(AND(E23&gt;0,F23&gt;0,H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=1,TRUE()),R23&lt;='01_설정'!B5,S23&lt;='01_설정'!B6,T23&lt;='01_설정'!B7,U23&lt;='01_설정'!B8),"Y",""))</f>
        <v/>
      </c>
      <c r="W23" s="172">
        <f>IF(V23&lt;&gt;"Y","",MAX(0,(1-R23/'01_설정'!B5))*'01_설정'!B14+MAX(0,(1-S23/'01_설정'!B6))*'01_설정'!B15+MAX(0,(1-T23/'01_설정'!B7))*'01_설정'!B16+MAX(0,(1-U23/'01_설정'!B8))*'01_설정'!B17+O23*'01_설정'!B11+Q23*'01_설정'!B12+P23*'01_설정'!B13+IF(Z23="",0,Z23))</f>
        <v/>
      </c>
      <c r="X23" s="152">
        <f>IF(W23="","",1+COUNTIFS($W$4:$W$3003,"&gt;"&amp;W23)+COUNTIFS($W$4:W23,W23)-1)</f>
        <v/>
      </c>
      <c r="Y23" s="175">
        <f>IF(OR(I23="",'02_대상물건입력'!B19="",'02_대상물건입력'!B19&lt;=0),"",ABS(I23-'02_대상물건입력'!B19)/'02_대상물건입력'!B19)</f>
        <v/>
      </c>
      <c r="Z23" s="172">
        <f>IF(OR(Y23="",'01_설정'!B31="",'01_설정'!B31&lt;=0,'01_설정'!B32="",'01_설정'!B32&lt;=0),"",MAX(0,(1-Y23/'01_설정'!B32))*'01_설정'!B31)</f>
        <v/>
      </c>
    </row>
    <row r="24" ht="17.25" customHeight="1">
      <c r="A24" s="152">
        <f>IF(INDEX('04A_국토부원자료'!$A:$A,ROW()+1)="","",ROW()-3)</f>
        <v/>
      </c>
      <c r="B24" s="48">
        <f>IFERROR(INDEX('04A_국토부원자료'!$A:$T,ROW()+1,MATCH("시군구",'04A_국토부원자료'!$A$4:$T$4,0)),"")</f>
        <v/>
      </c>
      <c r="C24" s="48">
        <f>IF(B24="","",IFERROR(INDEX('04A_국토부원자료'!$A:$T,ROW()+1,MATCH("번지",'04A_국토부원자료'!$A$4:$T$4,0)),""))</f>
        <v/>
      </c>
      <c r="D24" s="48">
        <f>IF(B24="","",IF(Q24=1,'02_대상물건입력'!$B$8,IFERROR(INDEX('04A_국토부원자료'!$A:$T,ROW()+1,MATCH("단지명",'04A_국토부원자료'!$A$4:$T$4,0)),"")))</f>
        <v/>
      </c>
      <c r="E24" s="172">
        <f>IFERROR(VALUE(SUBSTITUTE(INDEX('04A_국토부원자료'!$A:$T,ROW()+1,MATCH("전용면적(㎡)",'04A_국토부원자료'!$A$4:$T$4,0)),",","")),"")</f>
        <v/>
      </c>
      <c r="F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" s="51">
        <f>IFERROR(VALUE(SUBSTITUTE(INDEX('04A_국토부원자료'!$A:$T,ROW()+1,MATCH("거래금액(만원)",'04A_국토부원자료'!$A$4:$T$4,0)),",","")),"")</f>
        <v/>
      </c>
      <c r="H24" s="174">
        <f>IF(G24="","",G24*10000)</f>
        <v/>
      </c>
      <c r="I24" s="174">
        <f>IFERROR(IF(AND(H24&gt;0,E24&gt;0),H24/E24,""),"")</f>
        <v/>
      </c>
      <c r="J24" s="152">
        <f>IFERROR(VALUE(SUBSTITUTE(INDEX('04A_국토부원자료'!$A:$T,ROW()+1,MATCH("층",'04A_국토부원자료'!$A$4:$T$4,0)),",","")),"")</f>
        <v/>
      </c>
      <c r="K24" s="152">
        <f>IFERROR(VALUE(SUBSTITUTE(INDEX('04A_국토부원자료'!$A:$T,ROW()+1,MATCH("건축년도",'04A_국토부원자료'!$A$4:$T$4,0)),",","")),"")</f>
        <v/>
      </c>
      <c r="L24" s="176">
        <f>IFERROR(INDEX('04A_국토부원자료'!$A:$T,ROW()+1,MATCH("도로명",'04A_국토부원자료'!$A$4:$T$4,0)),"")</f>
        <v/>
      </c>
      <c r="M24" s="48">
        <f>IFERROR(INDEX('04A_국토부원자료'!$A:$T,ROW()+1,MATCH("거래유형",'04A_국토부원자료'!$A$4:$T$4,0)),"")</f>
        <v/>
      </c>
      <c r="N24" s="152">
        <f>IF(B24="","",IF('02_대상물건입력'!B5="",1,IF(ISNUMBER(SEARCH('02_대상물건입력'!B5,B24)),1,0)))</f>
        <v/>
      </c>
      <c r="O24" s="152">
        <f>IF(B24="","",IF('02_대상물건입력'!B6="",1,IF(ISNUMBER(SEARCH('02_대상물건입력'!B6,B24)),1,0)))</f>
        <v/>
      </c>
      <c r="P24" s="152">
        <f>IF(L24="","",IF('02_대상물건입력'!B15="",0,IF(ISNUMBER(SEARCH('02_대상물건입력'!B15,L24)),1,0)))</f>
        <v/>
      </c>
      <c r="Q24" s="152">
        <f>IF(OR(C24="",L24=""),0,IF(AND(TRIM(C24)=TRIM(RIGHT(SUBSTITUTE(TRIM('02_대상물건입력'!$B$7)," ",REPT(" ",99)),99)),IF('02_대상물건입력'!B15="",TRUE(),ISNUMBER(SEARCH('02_대상물건입력'!B15,L24)))),1,0))</f>
        <v/>
      </c>
      <c r="R24" s="175">
        <f>IFERROR(ABS(E24-'02_대상물건입력'!B11)/'02_대상물건입력'!B11,"")</f>
        <v/>
      </c>
      <c r="S24" s="152">
        <f>IFERROR(ABS(J24-'02_대상물건입력'!B10),"")</f>
        <v/>
      </c>
      <c r="T24" s="152">
        <f>IFERROR(ABS('01_설정'!B4-F24),"")</f>
        <v/>
      </c>
      <c r="U24" s="152">
        <f>IFERROR(ABS(K24-YEAR('02_대상물건입력'!B14)),"")</f>
        <v/>
      </c>
      <c r="V24" s="152">
        <f>IF(B24="","",IF(AND(E24&gt;0,F24&gt;0,H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=1,TRUE()),R24&lt;='01_설정'!B5,S24&lt;='01_설정'!B6,T24&lt;='01_설정'!B7,U24&lt;='01_설정'!B8),"Y",""))</f>
        <v/>
      </c>
      <c r="W24" s="172">
        <f>IF(V24&lt;&gt;"Y","",MAX(0,(1-R24/'01_설정'!B5))*'01_설정'!B14+MAX(0,(1-S24/'01_설정'!B6))*'01_설정'!B15+MAX(0,(1-T24/'01_설정'!B7))*'01_설정'!B16+MAX(0,(1-U24/'01_설정'!B8))*'01_설정'!B17+O24*'01_설정'!B11+Q24*'01_설정'!B12+P24*'01_설정'!B13+IF(Z24="",0,Z24))</f>
        <v/>
      </c>
      <c r="X24" s="152">
        <f>IF(W24="","",1+COUNTIFS($W$4:$W$3003,"&gt;"&amp;W24)+COUNTIFS($W$4:W24,W24)-1)</f>
        <v/>
      </c>
      <c r="Y24" s="175">
        <f>IF(OR(I24="",'02_대상물건입력'!B19="",'02_대상물건입력'!B19&lt;=0),"",ABS(I24-'02_대상물건입력'!B19)/'02_대상물건입력'!B19)</f>
        <v/>
      </c>
      <c r="Z24" s="172">
        <f>IF(OR(Y24="",'01_설정'!B31="",'01_설정'!B31&lt;=0,'01_설정'!B32="",'01_설정'!B32&lt;=0),"",MAX(0,(1-Y24/'01_설정'!B32))*'01_설정'!B31)</f>
        <v/>
      </c>
    </row>
    <row r="25" ht="17.25" customHeight="1">
      <c r="A25" s="152">
        <f>IF(INDEX('04A_국토부원자료'!$A:$A,ROW()+1)="","",ROW()-3)</f>
        <v/>
      </c>
      <c r="B25" s="48">
        <f>IFERROR(INDEX('04A_국토부원자료'!$A:$T,ROW()+1,MATCH("시군구",'04A_국토부원자료'!$A$4:$T$4,0)),"")</f>
        <v/>
      </c>
      <c r="C25" s="48">
        <f>IF(B25="","",IFERROR(INDEX('04A_국토부원자료'!$A:$T,ROW()+1,MATCH("번지",'04A_국토부원자료'!$A$4:$T$4,0)),""))</f>
        <v/>
      </c>
      <c r="D25" s="48">
        <f>IF(B25="","",IF(Q25=1,'02_대상물건입력'!$B$8,IFERROR(INDEX('04A_국토부원자료'!$A:$T,ROW()+1,MATCH("단지명",'04A_국토부원자료'!$A$4:$T$4,0)),"")))</f>
        <v/>
      </c>
      <c r="E25" s="172">
        <f>IFERROR(VALUE(SUBSTITUTE(INDEX('04A_국토부원자료'!$A:$T,ROW()+1,MATCH("전용면적(㎡)",'04A_국토부원자료'!$A$4:$T$4,0)),",","")),"")</f>
        <v/>
      </c>
      <c r="F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" s="51">
        <f>IFERROR(VALUE(SUBSTITUTE(INDEX('04A_국토부원자료'!$A:$T,ROW()+1,MATCH("거래금액(만원)",'04A_국토부원자료'!$A$4:$T$4,0)),",","")),"")</f>
        <v/>
      </c>
      <c r="H25" s="174">
        <f>IF(G25="","",G25*10000)</f>
        <v/>
      </c>
      <c r="I25" s="174">
        <f>IFERROR(IF(AND(H25&gt;0,E25&gt;0),H25/E25,""),"")</f>
        <v/>
      </c>
      <c r="J25" s="152">
        <f>IFERROR(VALUE(SUBSTITUTE(INDEX('04A_국토부원자료'!$A:$T,ROW()+1,MATCH("층",'04A_국토부원자료'!$A$4:$T$4,0)),",","")),"")</f>
        <v/>
      </c>
      <c r="K25" s="152">
        <f>IFERROR(VALUE(SUBSTITUTE(INDEX('04A_국토부원자료'!$A:$T,ROW()+1,MATCH("건축년도",'04A_국토부원자료'!$A$4:$T$4,0)),",","")),"")</f>
        <v/>
      </c>
      <c r="L25" s="176">
        <f>IFERROR(INDEX('04A_국토부원자료'!$A:$T,ROW()+1,MATCH("도로명",'04A_국토부원자료'!$A$4:$T$4,0)),"")</f>
        <v/>
      </c>
      <c r="M25" s="48">
        <f>IFERROR(INDEX('04A_국토부원자료'!$A:$T,ROW()+1,MATCH("거래유형",'04A_국토부원자료'!$A$4:$T$4,0)),"")</f>
        <v/>
      </c>
      <c r="N25" s="152">
        <f>IF(B25="","",IF('02_대상물건입력'!B5="",1,IF(ISNUMBER(SEARCH('02_대상물건입력'!B5,B25)),1,0)))</f>
        <v/>
      </c>
      <c r="O25" s="152">
        <f>IF(B25="","",IF('02_대상물건입력'!B6="",1,IF(ISNUMBER(SEARCH('02_대상물건입력'!B6,B25)),1,0)))</f>
        <v/>
      </c>
      <c r="P25" s="152">
        <f>IF(L25="","",IF('02_대상물건입력'!B15="",0,IF(ISNUMBER(SEARCH('02_대상물건입력'!B15,L25)),1,0)))</f>
        <v/>
      </c>
      <c r="Q25" s="152">
        <f>IF(OR(C25="",L25=""),0,IF(AND(TRIM(C25)=TRIM(RIGHT(SUBSTITUTE(TRIM('02_대상물건입력'!$B$7)," ",REPT(" ",99)),99)),IF('02_대상물건입력'!B15="",TRUE(),ISNUMBER(SEARCH('02_대상물건입력'!B15,L25)))),1,0))</f>
        <v/>
      </c>
      <c r="R25" s="175">
        <f>IFERROR(ABS(E25-'02_대상물건입력'!B11)/'02_대상물건입력'!B11,"")</f>
        <v/>
      </c>
      <c r="S25" s="152">
        <f>IFERROR(ABS(J25-'02_대상물건입력'!B10),"")</f>
        <v/>
      </c>
      <c r="T25" s="152">
        <f>IFERROR(ABS('01_설정'!B4-F25),"")</f>
        <v/>
      </c>
      <c r="U25" s="152">
        <f>IFERROR(ABS(K25-YEAR('02_대상물건입력'!B14)),"")</f>
        <v/>
      </c>
      <c r="V25" s="152">
        <f>IF(B25="","",IF(AND(E25&gt;0,F25&gt;0,H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=1,TRUE()),R25&lt;='01_설정'!B5,S25&lt;='01_설정'!B6,T25&lt;='01_설정'!B7,U25&lt;='01_설정'!B8),"Y",""))</f>
        <v/>
      </c>
      <c r="W25" s="172">
        <f>IF(V25&lt;&gt;"Y","",MAX(0,(1-R25/'01_설정'!B5))*'01_설정'!B14+MAX(0,(1-S25/'01_설정'!B6))*'01_설정'!B15+MAX(0,(1-T25/'01_설정'!B7))*'01_설정'!B16+MAX(0,(1-U25/'01_설정'!B8))*'01_설정'!B17+O25*'01_설정'!B11+Q25*'01_설정'!B12+P25*'01_설정'!B13+IF(Z25="",0,Z25))</f>
        <v/>
      </c>
      <c r="X25" s="152">
        <f>IF(W25="","",1+COUNTIFS($W$4:$W$3003,"&gt;"&amp;W25)+COUNTIFS($W$4:W25,W25)-1)</f>
        <v/>
      </c>
      <c r="Y25" s="175">
        <f>IF(OR(I25="",'02_대상물건입력'!B19="",'02_대상물건입력'!B19&lt;=0),"",ABS(I25-'02_대상물건입력'!B19)/'02_대상물건입력'!B19)</f>
        <v/>
      </c>
      <c r="Z25" s="172">
        <f>IF(OR(Y25="",'01_설정'!B31="",'01_설정'!B31&lt;=0,'01_설정'!B32="",'01_설정'!B32&lt;=0),"",MAX(0,(1-Y25/'01_설정'!B32))*'01_설정'!B31)</f>
        <v/>
      </c>
    </row>
    <row r="26" ht="17.25" customHeight="1">
      <c r="A26" s="152">
        <f>IF(INDEX('04A_국토부원자료'!$A:$A,ROW()+1)="","",ROW()-3)</f>
        <v/>
      </c>
      <c r="B26" s="48">
        <f>IFERROR(INDEX('04A_국토부원자료'!$A:$T,ROW()+1,MATCH("시군구",'04A_국토부원자료'!$A$4:$T$4,0)),"")</f>
        <v/>
      </c>
      <c r="C26" s="48">
        <f>IF(B26="","",IFERROR(INDEX('04A_국토부원자료'!$A:$T,ROW()+1,MATCH("번지",'04A_국토부원자료'!$A$4:$T$4,0)),""))</f>
        <v/>
      </c>
      <c r="D26" s="48">
        <f>IF(B26="","",IF(Q26=1,'02_대상물건입력'!$B$8,IFERROR(INDEX('04A_국토부원자료'!$A:$T,ROW()+1,MATCH("단지명",'04A_국토부원자료'!$A$4:$T$4,0)),"")))</f>
        <v/>
      </c>
      <c r="E26" s="172">
        <f>IFERROR(VALUE(SUBSTITUTE(INDEX('04A_국토부원자료'!$A:$T,ROW()+1,MATCH("전용면적(㎡)",'04A_국토부원자료'!$A$4:$T$4,0)),",","")),"")</f>
        <v/>
      </c>
      <c r="F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" s="51">
        <f>IFERROR(VALUE(SUBSTITUTE(INDEX('04A_국토부원자료'!$A:$T,ROW()+1,MATCH("거래금액(만원)",'04A_국토부원자료'!$A$4:$T$4,0)),",","")),"")</f>
        <v/>
      </c>
      <c r="H26" s="174">
        <f>IF(G26="","",G26*10000)</f>
        <v/>
      </c>
      <c r="I26" s="174">
        <f>IFERROR(IF(AND(H26&gt;0,E26&gt;0),H26/E26,""),"")</f>
        <v/>
      </c>
      <c r="J26" s="152">
        <f>IFERROR(VALUE(SUBSTITUTE(INDEX('04A_국토부원자료'!$A:$T,ROW()+1,MATCH("층",'04A_국토부원자료'!$A$4:$T$4,0)),",","")),"")</f>
        <v/>
      </c>
      <c r="K26" s="152">
        <f>IFERROR(VALUE(SUBSTITUTE(INDEX('04A_국토부원자료'!$A:$T,ROW()+1,MATCH("건축년도",'04A_국토부원자료'!$A$4:$T$4,0)),",","")),"")</f>
        <v/>
      </c>
      <c r="L26" s="176">
        <f>IFERROR(INDEX('04A_국토부원자료'!$A:$T,ROW()+1,MATCH("도로명",'04A_국토부원자료'!$A$4:$T$4,0)),"")</f>
        <v/>
      </c>
      <c r="M26" s="48">
        <f>IFERROR(INDEX('04A_국토부원자료'!$A:$T,ROW()+1,MATCH("거래유형",'04A_국토부원자료'!$A$4:$T$4,0)),"")</f>
        <v/>
      </c>
      <c r="N26" s="152">
        <f>IF(B26="","",IF('02_대상물건입력'!B5="",1,IF(ISNUMBER(SEARCH('02_대상물건입력'!B5,B26)),1,0)))</f>
        <v/>
      </c>
      <c r="O26" s="152">
        <f>IF(B26="","",IF('02_대상물건입력'!B6="",1,IF(ISNUMBER(SEARCH('02_대상물건입력'!B6,B26)),1,0)))</f>
        <v/>
      </c>
      <c r="P26" s="152">
        <f>IF(L26="","",IF('02_대상물건입력'!B15="",0,IF(ISNUMBER(SEARCH('02_대상물건입력'!B15,L26)),1,0)))</f>
        <v/>
      </c>
      <c r="Q26" s="152">
        <f>IF(OR(C26="",L26=""),0,IF(AND(TRIM(C26)=TRIM(RIGHT(SUBSTITUTE(TRIM('02_대상물건입력'!$B$7)," ",REPT(" ",99)),99)),IF('02_대상물건입력'!B15="",TRUE(),ISNUMBER(SEARCH('02_대상물건입력'!B15,L26)))),1,0))</f>
        <v/>
      </c>
      <c r="R26" s="175">
        <f>IFERROR(ABS(E26-'02_대상물건입력'!B11)/'02_대상물건입력'!B11,"")</f>
        <v/>
      </c>
      <c r="S26" s="152">
        <f>IFERROR(ABS(J26-'02_대상물건입력'!B10),"")</f>
        <v/>
      </c>
      <c r="T26" s="152">
        <f>IFERROR(ABS('01_설정'!B4-F26),"")</f>
        <v/>
      </c>
      <c r="U26" s="152">
        <f>IFERROR(ABS(K26-YEAR('02_대상물건입력'!B14)),"")</f>
        <v/>
      </c>
      <c r="V26" s="152">
        <f>IF(B26="","",IF(AND(E26&gt;0,F26&gt;0,H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=1,TRUE()),R26&lt;='01_설정'!B5,S26&lt;='01_설정'!B6,T26&lt;='01_설정'!B7,U26&lt;='01_설정'!B8),"Y",""))</f>
        <v/>
      </c>
      <c r="W26" s="172">
        <f>IF(V26&lt;&gt;"Y","",MAX(0,(1-R26/'01_설정'!B5))*'01_설정'!B14+MAX(0,(1-S26/'01_설정'!B6))*'01_설정'!B15+MAX(0,(1-T26/'01_설정'!B7))*'01_설정'!B16+MAX(0,(1-U26/'01_설정'!B8))*'01_설정'!B17+O26*'01_설정'!B11+Q26*'01_설정'!B12+P26*'01_설정'!B13+IF(Z26="",0,Z26))</f>
        <v/>
      </c>
      <c r="X26" s="152">
        <f>IF(W26="","",1+COUNTIFS($W$4:$W$3003,"&gt;"&amp;W26)+COUNTIFS($W$4:W26,W26)-1)</f>
        <v/>
      </c>
      <c r="Y26" s="175">
        <f>IF(OR(I26="",'02_대상물건입력'!B19="",'02_대상물건입력'!B19&lt;=0),"",ABS(I26-'02_대상물건입력'!B19)/'02_대상물건입력'!B19)</f>
        <v/>
      </c>
      <c r="Z26" s="172">
        <f>IF(OR(Y26="",'01_설정'!B31="",'01_설정'!B31&lt;=0,'01_설정'!B32="",'01_설정'!B32&lt;=0),"",MAX(0,(1-Y26/'01_설정'!B32))*'01_설정'!B31)</f>
        <v/>
      </c>
    </row>
    <row r="27" ht="17.25" customHeight="1">
      <c r="A27" s="152">
        <f>IF(INDEX('04A_국토부원자료'!$A:$A,ROW()+1)="","",ROW()-3)</f>
        <v/>
      </c>
      <c r="B27" s="48">
        <f>IFERROR(INDEX('04A_국토부원자료'!$A:$T,ROW()+1,MATCH("시군구",'04A_국토부원자료'!$A$4:$T$4,0)),"")</f>
        <v/>
      </c>
      <c r="C27" s="48">
        <f>IF(B27="","",IFERROR(INDEX('04A_국토부원자료'!$A:$T,ROW()+1,MATCH("번지",'04A_국토부원자료'!$A$4:$T$4,0)),""))</f>
        <v/>
      </c>
      <c r="D27" s="48">
        <f>IF(B27="","",IF(Q27=1,'02_대상물건입력'!$B$8,IFERROR(INDEX('04A_국토부원자료'!$A:$T,ROW()+1,MATCH("단지명",'04A_국토부원자료'!$A$4:$T$4,0)),"")))</f>
        <v/>
      </c>
      <c r="E27" s="172">
        <f>IFERROR(VALUE(SUBSTITUTE(INDEX('04A_국토부원자료'!$A:$T,ROW()+1,MATCH("전용면적(㎡)",'04A_국토부원자료'!$A$4:$T$4,0)),",","")),"")</f>
        <v/>
      </c>
      <c r="F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" s="51">
        <f>IFERROR(VALUE(SUBSTITUTE(INDEX('04A_국토부원자료'!$A:$T,ROW()+1,MATCH("거래금액(만원)",'04A_국토부원자료'!$A$4:$T$4,0)),",","")),"")</f>
        <v/>
      </c>
      <c r="H27" s="174">
        <f>IF(G27="","",G27*10000)</f>
        <v/>
      </c>
      <c r="I27" s="174">
        <f>IFERROR(IF(AND(H27&gt;0,E27&gt;0),H27/E27,""),"")</f>
        <v/>
      </c>
      <c r="J27" s="152">
        <f>IFERROR(VALUE(SUBSTITUTE(INDEX('04A_국토부원자료'!$A:$T,ROW()+1,MATCH("층",'04A_국토부원자료'!$A$4:$T$4,0)),",","")),"")</f>
        <v/>
      </c>
      <c r="K27" s="152">
        <f>IFERROR(VALUE(SUBSTITUTE(INDEX('04A_국토부원자료'!$A:$T,ROW()+1,MATCH("건축년도",'04A_국토부원자료'!$A$4:$T$4,0)),",","")),"")</f>
        <v/>
      </c>
      <c r="L27" s="176">
        <f>IFERROR(INDEX('04A_국토부원자료'!$A:$T,ROW()+1,MATCH("도로명",'04A_국토부원자료'!$A$4:$T$4,0)),"")</f>
        <v/>
      </c>
      <c r="M27" s="48">
        <f>IFERROR(INDEX('04A_국토부원자료'!$A:$T,ROW()+1,MATCH("거래유형",'04A_국토부원자료'!$A$4:$T$4,0)),"")</f>
        <v/>
      </c>
      <c r="N27" s="152">
        <f>IF(B27="","",IF('02_대상물건입력'!B5="",1,IF(ISNUMBER(SEARCH('02_대상물건입력'!B5,B27)),1,0)))</f>
        <v/>
      </c>
      <c r="O27" s="152">
        <f>IF(B27="","",IF('02_대상물건입력'!B6="",1,IF(ISNUMBER(SEARCH('02_대상물건입력'!B6,B27)),1,0)))</f>
        <v/>
      </c>
      <c r="P27" s="152">
        <f>IF(L27="","",IF('02_대상물건입력'!B15="",0,IF(ISNUMBER(SEARCH('02_대상물건입력'!B15,L27)),1,0)))</f>
        <v/>
      </c>
      <c r="Q27" s="152">
        <f>IF(OR(C27="",L27=""),0,IF(AND(TRIM(C27)=TRIM(RIGHT(SUBSTITUTE(TRIM('02_대상물건입력'!$B$7)," ",REPT(" ",99)),99)),IF('02_대상물건입력'!B15="",TRUE(),ISNUMBER(SEARCH('02_대상물건입력'!B15,L27)))),1,0))</f>
        <v/>
      </c>
      <c r="R27" s="175">
        <f>IFERROR(ABS(E27-'02_대상물건입력'!B11)/'02_대상물건입력'!B11,"")</f>
        <v/>
      </c>
      <c r="S27" s="152">
        <f>IFERROR(ABS(J27-'02_대상물건입력'!B10),"")</f>
        <v/>
      </c>
      <c r="T27" s="152">
        <f>IFERROR(ABS('01_설정'!B4-F27),"")</f>
        <v/>
      </c>
      <c r="U27" s="152">
        <f>IFERROR(ABS(K27-YEAR('02_대상물건입력'!B14)),"")</f>
        <v/>
      </c>
      <c r="V27" s="152">
        <f>IF(B27="","",IF(AND(E27&gt;0,F27&gt;0,H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=1,TRUE()),R27&lt;='01_설정'!B5,S27&lt;='01_설정'!B6,T27&lt;='01_설정'!B7,U27&lt;='01_설정'!B8),"Y",""))</f>
        <v/>
      </c>
      <c r="W27" s="172">
        <f>IF(V27&lt;&gt;"Y","",MAX(0,(1-R27/'01_설정'!B5))*'01_설정'!B14+MAX(0,(1-S27/'01_설정'!B6))*'01_설정'!B15+MAX(0,(1-T27/'01_설정'!B7))*'01_설정'!B16+MAX(0,(1-U27/'01_설정'!B8))*'01_설정'!B17+O27*'01_설정'!B11+Q27*'01_설정'!B12+P27*'01_설정'!B13+IF(Z27="",0,Z27))</f>
        <v/>
      </c>
      <c r="X27" s="152">
        <f>IF(W27="","",1+COUNTIFS($W$4:$W$3003,"&gt;"&amp;W27)+COUNTIFS($W$4:W27,W27)-1)</f>
        <v/>
      </c>
      <c r="Y27" s="175">
        <f>IF(OR(I27="",'02_대상물건입력'!B19="",'02_대상물건입력'!B19&lt;=0),"",ABS(I27-'02_대상물건입력'!B19)/'02_대상물건입력'!B19)</f>
        <v/>
      </c>
      <c r="Z27" s="172">
        <f>IF(OR(Y27="",'01_설정'!B31="",'01_설정'!B31&lt;=0,'01_설정'!B32="",'01_설정'!B32&lt;=0),"",MAX(0,(1-Y27/'01_설정'!B32))*'01_설정'!B31)</f>
        <v/>
      </c>
    </row>
    <row r="28" ht="17.25" customHeight="1">
      <c r="A28" s="152">
        <f>IF(INDEX('04A_국토부원자료'!$A:$A,ROW()+1)="","",ROW()-3)</f>
        <v/>
      </c>
      <c r="B28" s="48">
        <f>IFERROR(INDEX('04A_국토부원자료'!$A:$T,ROW()+1,MATCH("시군구",'04A_국토부원자료'!$A$4:$T$4,0)),"")</f>
        <v/>
      </c>
      <c r="C28" s="48">
        <f>IF(B28="","",IFERROR(INDEX('04A_국토부원자료'!$A:$T,ROW()+1,MATCH("번지",'04A_국토부원자료'!$A$4:$T$4,0)),""))</f>
        <v/>
      </c>
      <c r="D28" s="48">
        <f>IF(B28="","",IF(Q28=1,'02_대상물건입력'!$B$8,IFERROR(INDEX('04A_국토부원자료'!$A:$T,ROW()+1,MATCH("단지명",'04A_국토부원자료'!$A$4:$T$4,0)),"")))</f>
        <v/>
      </c>
      <c r="E28" s="172">
        <f>IFERROR(VALUE(SUBSTITUTE(INDEX('04A_국토부원자료'!$A:$T,ROW()+1,MATCH("전용면적(㎡)",'04A_국토부원자료'!$A$4:$T$4,0)),",","")),"")</f>
        <v/>
      </c>
      <c r="F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" s="51">
        <f>IFERROR(VALUE(SUBSTITUTE(INDEX('04A_국토부원자료'!$A:$T,ROW()+1,MATCH("거래금액(만원)",'04A_국토부원자료'!$A$4:$T$4,0)),",","")),"")</f>
        <v/>
      </c>
      <c r="H28" s="174">
        <f>IF(G28="","",G28*10000)</f>
        <v/>
      </c>
      <c r="I28" s="174">
        <f>IFERROR(IF(AND(H28&gt;0,E28&gt;0),H28/E28,""),"")</f>
        <v/>
      </c>
      <c r="J28" s="152">
        <f>IFERROR(VALUE(SUBSTITUTE(INDEX('04A_국토부원자료'!$A:$T,ROW()+1,MATCH("층",'04A_국토부원자료'!$A$4:$T$4,0)),",","")),"")</f>
        <v/>
      </c>
      <c r="K28" s="152">
        <f>IFERROR(VALUE(SUBSTITUTE(INDEX('04A_국토부원자료'!$A:$T,ROW()+1,MATCH("건축년도",'04A_국토부원자료'!$A$4:$T$4,0)),",","")),"")</f>
        <v/>
      </c>
      <c r="L28" s="176">
        <f>IFERROR(INDEX('04A_국토부원자료'!$A:$T,ROW()+1,MATCH("도로명",'04A_국토부원자료'!$A$4:$T$4,0)),"")</f>
        <v/>
      </c>
      <c r="M28" s="48">
        <f>IFERROR(INDEX('04A_국토부원자료'!$A:$T,ROW()+1,MATCH("거래유형",'04A_국토부원자료'!$A$4:$T$4,0)),"")</f>
        <v/>
      </c>
      <c r="N28" s="152">
        <f>IF(B28="","",IF('02_대상물건입력'!B5="",1,IF(ISNUMBER(SEARCH('02_대상물건입력'!B5,B28)),1,0)))</f>
        <v/>
      </c>
      <c r="O28" s="152">
        <f>IF(B28="","",IF('02_대상물건입력'!B6="",1,IF(ISNUMBER(SEARCH('02_대상물건입력'!B6,B28)),1,0)))</f>
        <v/>
      </c>
      <c r="P28" s="152">
        <f>IF(L28="","",IF('02_대상물건입력'!B15="",0,IF(ISNUMBER(SEARCH('02_대상물건입력'!B15,L28)),1,0)))</f>
        <v/>
      </c>
      <c r="Q28" s="152">
        <f>IF(OR(C28="",L28=""),0,IF(AND(TRIM(C28)=TRIM(RIGHT(SUBSTITUTE(TRIM('02_대상물건입력'!$B$7)," ",REPT(" ",99)),99)),IF('02_대상물건입력'!B15="",TRUE(),ISNUMBER(SEARCH('02_대상물건입력'!B15,L28)))),1,0))</f>
        <v/>
      </c>
      <c r="R28" s="175">
        <f>IFERROR(ABS(E28-'02_대상물건입력'!B11)/'02_대상물건입력'!B11,"")</f>
        <v/>
      </c>
      <c r="S28" s="152">
        <f>IFERROR(ABS(J28-'02_대상물건입력'!B10),"")</f>
        <v/>
      </c>
      <c r="T28" s="152">
        <f>IFERROR(ABS('01_설정'!B4-F28),"")</f>
        <v/>
      </c>
      <c r="U28" s="152">
        <f>IFERROR(ABS(K28-YEAR('02_대상물건입력'!B14)),"")</f>
        <v/>
      </c>
      <c r="V28" s="152">
        <f>IF(B28="","",IF(AND(E28&gt;0,F28&gt;0,H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=1,TRUE()),R28&lt;='01_설정'!B5,S28&lt;='01_설정'!B6,T28&lt;='01_설정'!B7,U28&lt;='01_설정'!B8),"Y",""))</f>
        <v/>
      </c>
      <c r="W28" s="172">
        <f>IF(V28&lt;&gt;"Y","",MAX(0,(1-R28/'01_설정'!B5))*'01_설정'!B14+MAX(0,(1-S28/'01_설정'!B6))*'01_설정'!B15+MAX(0,(1-T28/'01_설정'!B7))*'01_설정'!B16+MAX(0,(1-U28/'01_설정'!B8))*'01_설정'!B17+O28*'01_설정'!B11+Q28*'01_설정'!B12+P28*'01_설정'!B13+IF(Z28="",0,Z28))</f>
        <v/>
      </c>
      <c r="X28" s="152">
        <f>IF(W28="","",1+COUNTIFS($W$4:$W$3003,"&gt;"&amp;W28)+COUNTIFS($W$4:W28,W28)-1)</f>
        <v/>
      </c>
      <c r="Y28" s="175">
        <f>IF(OR(I28="",'02_대상물건입력'!B19="",'02_대상물건입력'!B19&lt;=0),"",ABS(I28-'02_대상물건입력'!B19)/'02_대상물건입력'!B19)</f>
        <v/>
      </c>
      <c r="Z28" s="172">
        <f>IF(OR(Y28="",'01_설정'!B31="",'01_설정'!B31&lt;=0,'01_설정'!B32="",'01_설정'!B32&lt;=0),"",MAX(0,(1-Y28/'01_설정'!B32))*'01_설정'!B31)</f>
        <v/>
      </c>
    </row>
    <row r="29" ht="17.25" customHeight="1">
      <c r="A29" s="152">
        <f>IF(INDEX('04A_국토부원자료'!$A:$A,ROW()+1)="","",ROW()-3)</f>
        <v/>
      </c>
      <c r="B29" s="48">
        <f>IFERROR(INDEX('04A_국토부원자료'!$A:$T,ROW()+1,MATCH("시군구",'04A_국토부원자료'!$A$4:$T$4,0)),"")</f>
        <v/>
      </c>
      <c r="C29" s="48">
        <f>IF(B29="","",IFERROR(INDEX('04A_국토부원자료'!$A:$T,ROW()+1,MATCH("번지",'04A_국토부원자료'!$A$4:$T$4,0)),""))</f>
        <v/>
      </c>
      <c r="D29" s="48">
        <f>IF(B29="","",IF(Q29=1,'02_대상물건입력'!$B$8,IFERROR(INDEX('04A_국토부원자료'!$A:$T,ROW()+1,MATCH("단지명",'04A_국토부원자료'!$A$4:$T$4,0)),"")))</f>
        <v/>
      </c>
      <c r="E29" s="172">
        <f>IFERROR(VALUE(SUBSTITUTE(INDEX('04A_국토부원자료'!$A:$T,ROW()+1,MATCH("전용면적(㎡)",'04A_국토부원자료'!$A$4:$T$4,0)),",","")),"")</f>
        <v/>
      </c>
      <c r="F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" s="51">
        <f>IFERROR(VALUE(SUBSTITUTE(INDEX('04A_국토부원자료'!$A:$T,ROW()+1,MATCH("거래금액(만원)",'04A_국토부원자료'!$A$4:$T$4,0)),",","")),"")</f>
        <v/>
      </c>
      <c r="H29" s="174">
        <f>IF(G29="","",G29*10000)</f>
        <v/>
      </c>
      <c r="I29" s="174">
        <f>IFERROR(IF(AND(H29&gt;0,E29&gt;0),H29/E29,""),"")</f>
        <v/>
      </c>
      <c r="J29" s="152">
        <f>IFERROR(VALUE(SUBSTITUTE(INDEX('04A_국토부원자료'!$A:$T,ROW()+1,MATCH("층",'04A_국토부원자료'!$A$4:$T$4,0)),",","")),"")</f>
        <v/>
      </c>
      <c r="K29" s="152">
        <f>IFERROR(VALUE(SUBSTITUTE(INDEX('04A_국토부원자료'!$A:$T,ROW()+1,MATCH("건축년도",'04A_국토부원자료'!$A$4:$T$4,0)),",","")),"")</f>
        <v/>
      </c>
      <c r="L29" s="176">
        <f>IFERROR(INDEX('04A_국토부원자료'!$A:$T,ROW()+1,MATCH("도로명",'04A_국토부원자료'!$A$4:$T$4,0)),"")</f>
        <v/>
      </c>
      <c r="M29" s="48">
        <f>IFERROR(INDEX('04A_국토부원자료'!$A:$T,ROW()+1,MATCH("거래유형",'04A_국토부원자료'!$A$4:$T$4,0)),"")</f>
        <v/>
      </c>
      <c r="N29" s="152">
        <f>IF(B29="","",IF('02_대상물건입력'!B5="",1,IF(ISNUMBER(SEARCH('02_대상물건입력'!B5,B29)),1,0)))</f>
        <v/>
      </c>
      <c r="O29" s="152">
        <f>IF(B29="","",IF('02_대상물건입력'!B6="",1,IF(ISNUMBER(SEARCH('02_대상물건입력'!B6,B29)),1,0)))</f>
        <v/>
      </c>
      <c r="P29" s="152">
        <f>IF(L29="","",IF('02_대상물건입력'!B15="",0,IF(ISNUMBER(SEARCH('02_대상물건입력'!B15,L29)),1,0)))</f>
        <v/>
      </c>
      <c r="Q29" s="152">
        <f>IF(OR(C29="",L29=""),0,IF(AND(TRIM(C29)=TRIM(RIGHT(SUBSTITUTE(TRIM('02_대상물건입력'!$B$7)," ",REPT(" ",99)),99)),IF('02_대상물건입력'!B15="",TRUE(),ISNUMBER(SEARCH('02_대상물건입력'!B15,L29)))),1,0))</f>
        <v/>
      </c>
      <c r="R29" s="175">
        <f>IFERROR(ABS(E29-'02_대상물건입력'!B11)/'02_대상물건입력'!B11,"")</f>
        <v/>
      </c>
      <c r="S29" s="152">
        <f>IFERROR(ABS(J29-'02_대상물건입력'!B10),"")</f>
        <v/>
      </c>
      <c r="T29" s="152">
        <f>IFERROR(ABS('01_설정'!B4-F29),"")</f>
        <v/>
      </c>
      <c r="U29" s="152">
        <f>IFERROR(ABS(K29-YEAR('02_대상물건입력'!B14)),"")</f>
        <v/>
      </c>
      <c r="V29" s="152">
        <f>IF(B29="","",IF(AND(E29&gt;0,F29&gt;0,H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=1,TRUE()),R29&lt;='01_설정'!B5,S29&lt;='01_설정'!B6,T29&lt;='01_설정'!B7,U29&lt;='01_설정'!B8),"Y",""))</f>
        <v/>
      </c>
      <c r="W29" s="172">
        <f>IF(V29&lt;&gt;"Y","",MAX(0,(1-R29/'01_설정'!B5))*'01_설정'!B14+MAX(0,(1-S29/'01_설정'!B6))*'01_설정'!B15+MAX(0,(1-T29/'01_설정'!B7))*'01_설정'!B16+MAX(0,(1-U29/'01_설정'!B8))*'01_설정'!B17+O29*'01_설정'!B11+Q29*'01_설정'!B12+P29*'01_설정'!B13+IF(Z29="",0,Z29))</f>
        <v/>
      </c>
      <c r="X29" s="152">
        <f>IF(W29="","",1+COUNTIFS($W$4:$W$3003,"&gt;"&amp;W29)+COUNTIFS($W$4:W29,W29)-1)</f>
        <v/>
      </c>
      <c r="Y29" s="175">
        <f>IF(OR(I29="",'02_대상물건입력'!B19="",'02_대상물건입력'!B19&lt;=0),"",ABS(I29-'02_대상물건입력'!B19)/'02_대상물건입력'!B19)</f>
        <v/>
      </c>
      <c r="Z29" s="172">
        <f>IF(OR(Y29="",'01_설정'!B31="",'01_설정'!B31&lt;=0,'01_설정'!B32="",'01_설정'!B32&lt;=0),"",MAX(0,(1-Y29/'01_설정'!B32))*'01_설정'!B31)</f>
        <v/>
      </c>
    </row>
    <row r="30" ht="17.25" customHeight="1">
      <c r="A30" s="152">
        <f>IF(INDEX('04A_국토부원자료'!$A:$A,ROW()+1)="","",ROW()-3)</f>
        <v/>
      </c>
      <c r="B30" s="48">
        <f>IFERROR(INDEX('04A_국토부원자료'!$A:$T,ROW()+1,MATCH("시군구",'04A_국토부원자료'!$A$4:$T$4,0)),"")</f>
        <v/>
      </c>
      <c r="C30" s="48">
        <f>IF(B30="","",IFERROR(INDEX('04A_국토부원자료'!$A:$T,ROW()+1,MATCH("번지",'04A_국토부원자료'!$A$4:$T$4,0)),""))</f>
        <v/>
      </c>
      <c r="D30" s="48">
        <f>IF(B30="","",IF(Q30=1,'02_대상물건입력'!$B$8,IFERROR(INDEX('04A_국토부원자료'!$A:$T,ROW()+1,MATCH("단지명",'04A_국토부원자료'!$A$4:$T$4,0)),"")))</f>
        <v/>
      </c>
      <c r="E30" s="172">
        <f>IFERROR(VALUE(SUBSTITUTE(INDEX('04A_국토부원자료'!$A:$T,ROW()+1,MATCH("전용면적(㎡)",'04A_국토부원자료'!$A$4:$T$4,0)),",","")),"")</f>
        <v/>
      </c>
      <c r="F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0" s="51">
        <f>IFERROR(VALUE(SUBSTITUTE(INDEX('04A_국토부원자료'!$A:$T,ROW()+1,MATCH("거래금액(만원)",'04A_국토부원자료'!$A$4:$T$4,0)),",","")),"")</f>
        <v/>
      </c>
      <c r="H30" s="174">
        <f>IF(G30="","",G30*10000)</f>
        <v/>
      </c>
      <c r="I30" s="174">
        <f>IFERROR(IF(AND(H30&gt;0,E30&gt;0),H30/E30,""),"")</f>
        <v/>
      </c>
      <c r="J30" s="152">
        <f>IFERROR(VALUE(SUBSTITUTE(INDEX('04A_국토부원자료'!$A:$T,ROW()+1,MATCH("층",'04A_국토부원자료'!$A$4:$T$4,0)),",","")),"")</f>
        <v/>
      </c>
      <c r="K30" s="152">
        <f>IFERROR(VALUE(SUBSTITUTE(INDEX('04A_국토부원자료'!$A:$T,ROW()+1,MATCH("건축년도",'04A_국토부원자료'!$A$4:$T$4,0)),",","")),"")</f>
        <v/>
      </c>
      <c r="L30" s="176">
        <f>IFERROR(INDEX('04A_국토부원자료'!$A:$T,ROW()+1,MATCH("도로명",'04A_국토부원자료'!$A$4:$T$4,0)),"")</f>
        <v/>
      </c>
      <c r="M30" s="48">
        <f>IFERROR(INDEX('04A_국토부원자료'!$A:$T,ROW()+1,MATCH("거래유형",'04A_국토부원자료'!$A$4:$T$4,0)),"")</f>
        <v/>
      </c>
      <c r="N30" s="152">
        <f>IF(B30="","",IF('02_대상물건입력'!B5="",1,IF(ISNUMBER(SEARCH('02_대상물건입력'!B5,B30)),1,0)))</f>
        <v/>
      </c>
      <c r="O30" s="152">
        <f>IF(B30="","",IF('02_대상물건입력'!B6="",1,IF(ISNUMBER(SEARCH('02_대상물건입력'!B6,B30)),1,0)))</f>
        <v/>
      </c>
      <c r="P30" s="152">
        <f>IF(L30="","",IF('02_대상물건입력'!B15="",0,IF(ISNUMBER(SEARCH('02_대상물건입력'!B15,L30)),1,0)))</f>
        <v/>
      </c>
      <c r="Q30" s="152">
        <f>IF(OR(C30="",L30=""),0,IF(AND(TRIM(C30)=TRIM(RIGHT(SUBSTITUTE(TRIM('02_대상물건입력'!$B$7)," ",REPT(" ",99)),99)),IF('02_대상물건입력'!B15="",TRUE(),ISNUMBER(SEARCH('02_대상물건입력'!B15,L30)))),1,0))</f>
        <v/>
      </c>
      <c r="R30" s="175">
        <f>IFERROR(ABS(E30-'02_대상물건입력'!B11)/'02_대상물건입력'!B11,"")</f>
        <v/>
      </c>
      <c r="S30" s="152">
        <f>IFERROR(ABS(J30-'02_대상물건입력'!B10),"")</f>
        <v/>
      </c>
      <c r="T30" s="152">
        <f>IFERROR(ABS('01_설정'!B4-F30),"")</f>
        <v/>
      </c>
      <c r="U30" s="152">
        <f>IFERROR(ABS(K30-YEAR('02_대상물건입력'!B14)),"")</f>
        <v/>
      </c>
      <c r="V30" s="152">
        <f>IF(B30="","",IF(AND(E30&gt;0,F30&gt;0,H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30=1,TRUE()),R30&lt;='01_설정'!B5,S30&lt;='01_설정'!B6,T30&lt;='01_설정'!B7,U30&lt;='01_설정'!B8),"Y",""))</f>
        <v/>
      </c>
      <c r="W30" s="172">
        <f>IF(V30&lt;&gt;"Y","",MAX(0,(1-R30/'01_설정'!B5))*'01_설정'!B14+MAX(0,(1-S30/'01_설정'!B6))*'01_설정'!B15+MAX(0,(1-T30/'01_설정'!B7))*'01_설정'!B16+MAX(0,(1-U30/'01_설정'!B8))*'01_설정'!B17+O30*'01_설정'!B11+Q30*'01_설정'!B12+P30*'01_설정'!B13+IF(Z30="",0,Z30))</f>
        <v/>
      </c>
      <c r="X30" s="152">
        <f>IF(W30="","",1+COUNTIFS($W$4:$W$3003,"&gt;"&amp;W30)+COUNTIFS($W$4:W30,W30)-1)</f>
        <v/>
      </c>
      <c r="Y30" s="175">
        <f>IF(OR(I30="",'02_대상물건입력'!B19="",'02_대상물건입력'!B19&lt;=0),"",ABS(I30-'02_대상물건입력'!B19)/'02_대상물건입력'!B19)</f>
        <v/>
      </c>
      <c r="Z30" s="172">
        <f>IF(OR(Y30="",'01_설정'!B31="",'01_설정'!B31&lt;=0,'01_설정'!B32="",'01_설정'!B32&lt;=0),"",MAX(0,(1-Y30/'01_설정'!B32))*'01_설정'!B31)</f>
        <v/>
      </c>
    </row>
    <row r="31" ht="17.25" customHeight="1">
      <c r="A31" s="152">
        <f>IF(INDEX('04A_국토부원자료'!$A:$A,ROW()+1)="","",ROW()-3)</f>
        <v/>
      </c>
      <c r="B31" s="48">
        <f>IFERROR(INDEX('04A_국토부원자료'!$A:$T,ROW()+1,MATCH("시군구",'04A_국토부원자료'!$A$4:$T$4,0)),"")</f>
        <v/>
      </c>
      <c r="C31" s="48">
        <f>IF(B31="","",IFERROR(INDEX('04A_국토부원자료'!$A:$T,ROW()+1,MATCH("번지",'04A_국토부원자료'!$A$4:$T$4,0)),""))</f>
        <v/>
      </c>
      <c r="D31" s="48">
        <f>IF(B31="","",IF(Q31=1,'02_대상물건입력'!$B$8,IFERROR(INDEX('04A_국토부원자료'!$A:$T,ROW()+1,MATCH("단지명",'04A_국토부원자료'!$A$4:$T$4,0)),"")))</f>
        <v/>
      </c>
      <c r="E31" s="172">
        <f>IFERROR(VALUE(SUBSTITUTE(INDEX('04A_국토부원자료'!$A:$T,ROW()+1,MATCH("전용면적(㎡)",'04A_국토부원자료'!$A$4:$T$4,0)),",","")),"")</f>
        <v/>
      </c>
      <c r="F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1" s="51">
        <f>IFERROR(VALUE(SUBSTITUTE(INDEX('04A_국토부원자료'!$A:$T,ROW()+1,MATCH("거래금액(만원)",'04A_국토부원자료'!$A$4:$T$4,0)),",","")),"")</f>
        <v/>
      </c>
      <c r="H31" s="174">
        <f>IF(G31="","",G31*10000)</f>
        <v/>
      </c>
      <c r="I31" s="174">
        <f>IFERROR(IF(AND(H31&gt;0,E31&gt;0),H31/E31,""),"")</f>
        <v/>
      </c>
      <c r="J31" s="152">
        <f>IFERROR(VALUE(SUBSTITUTE(INDEX('04A_국토부원자료'!$A:$T,ROW()+1,MATCH("층",'04A_국토부원자료'!$A$4:$T$4,0)),",","")),"")</f>
        <v/>
      </c>
      <c r="K31" s="152">
        <f>IFERROR(VALUE(SUBSTITUTE(INDEX('04A_국토부원자료'!$A:$T,ROW()+1,MATCH("건축년도",'04A_국토부원자료'!$A$4:$T$4,0)),",","")),"")</f>
        <v/>
      </c>
      <c r="L31" s="176">
        <f>IFERROR(INDEX('04A_국토부원자료'!$A:$T,ROW()+1,MATCH("도로명",'04A_국토부원자료'!$A$4:$T$4,0)),"")</f>
        <v/>
      </c>
      <c r="M31" s="48">
        <f>IFERROR(INDEX('04A_국토부원자료'!$A:$T,ROW()+1,MATCH("거래유형",'04A_국토부원자료'!$A$4:$T$4,0)),"")</f>
        <v/>
      </c>
      <c r="N31" s="152">
        <f>IF(B31="","",IF('02_대상물건입력'!B5="",1,IF(ISNUMBER(SEARCH('02_대상물건입력'!B5,B31)),1,0)))</f>
        <v/>
      </c>
      <c r="O31" s="152">
        <f>IF(B31="","",IF('02_대상물건입력'!B6="",1,IF(ISNUMBER(SEARCH('02_대상물건입력'!B6,B31)),1,0)))</f>
        <v/>
      </c>
      <c r="P31" s="152">
        <f>IF(L31="","",IF('02_대상물건입력'!B15="",0,IF(ISNUMBER(SEARCH('02_대상물건입력'!B15,L31)),1,0)))</f>
        <v/>
      </c>
      <c r="Q31" s="152">
        <f>IF(OR(C31="",L31=""),0,IF(AND(TRIM(C31)=TRIM(RIGHT(SUBSTITUTE(TRIM('02_대상물건입력'!$B$7)," ",REPT(" ",99)),99)),IF('02_대상물건입력'!B15="",TRUE(),ISNUMBER(SEARCH('02_대상물건입력'!B15,L31)))),1,0))</f>
        <v/>
      </c>
      <c r="R31" s="175">
        <f>IFERROR(ABS(E31-'02_대상물건입력'!B11)/'02_대상물건입력'!B11,"")</f>
        <v/>
      </c>
      <c r="S31" s="152">
        <f>IFERROR(ABS(J31-'02_대상물건입력'!B10),"")</f>
        <v/>
      </c>
      <c r="T31" s="152">
        <f>IFERROR(ABS('01_설정'!B4-F31),"")</f>
        <v/>
      </c>
      <c r="U31" s="152">
        <f>IFERROR(ABS(K31-YEAR('02_대상물건입력'!B14)),"")</f>
        <v/>
      </c>
      <c r="V31" s="152">
        <f>IF(B31="","",IF(AND(E31&gt;0,F31&gt;0,H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31=1,TRUE()),R31&lt;='01_설정'!B5,S31&lt;='01_설정'!B6,T31&lt;='01_설정'!B7,U31&lt;='01_설정'!B8),"Y",""))</f>
        <v/>
      </c>
      <c r="W31" s="172">
        <f>IF(V31&lt;&gt;"Y","",MAX(0,(1-R31/'01_설정'!B5))*'01_설정'!B14+MAX(0,(1-S31/'01_설정'!B6))*'01_설정'!B15+MAX(0,(1-T31/'01_설정'!B7))*'01_설정'!B16+MAX(0,(1-U31/'01_설정'!B8))*'01_설정'!B17+O31*'01_설정'!B11+Q31*'01_설정'!B12+P31*'01_설정'!B13+IF(Z31="",0,Z31))</f>
        <v/>
      </c>
      <c r="X31" s="152">
        <f>IF(W31="","",1+COUNTIFS($W$4:$W$3003,"&gt;"&amp;W31)+COUNTIFS($W$4:W31,W31)-1)</f>
        <v/>
      </c>
      <c r="Y31" s="175">
        <f>IF(OR(I31="",'02_대상물건입력'!B19="",'02_대상물건입력'!B19&lt;=0),"",ABS(I31-'02_대상물건입력'!B19)/'02_대상물건입력'!B19)</f>
        <v/>
      </c>
      <c r="Z31" s="172">
        <f>IF(OR(Y31="",'01_설정'!B31="",'01_설정'!B31&lt;=0,'01_설정'!B32="",'01_설정'!B32&lt;=0),"",MAX(0,(1-Y31/'01_설정'!B32))*'01_설정'!B31)</f>
        <v/>
      </c>
    </row>
    <row r="32" ht="17.25" customHeight="1">
      <c r="A32" s="152">
        <f>IF(INDEX('04A_국토부원자료'!$A:$A,ROW()+1)="","",ROW()-3)</f>
        <v/>
      </c>
      <c r="B32" s="48">
        <f>IFERROR(INDEX('04A_국토부원자료'!$A:$T,ROW()+1,MATCH("시군구",'04A_국토부원자료'!$A$4:$T$4,0)),"")</f>
        <v/>
      </c>
      <c r="C32" s="48">
        <f>IF(B32="","",IFERROR(INDEX('04A_국토부원자료'!$A:$T,ROW()+1,MATCH("번지",'04A_국토부원자료'!$A$4:$T$4,0)),""))</f>
        <v/>
      </c>
      <c r="D32" s="48">
        <f>IF(B32="","",IF(Q32=1,'02_대상물건입력'!$B$8,IFERROR(INDEX('04A_국토부원자료'!$A:$T,ROW()+1,MATCH("단지명",'04A_국토부원자료'!$A$4:$T$4,0)),"")))</f>
        <v/>
      </c>
      <c r="E32" s="172">
        <f>IFERROR(VALUE(SUBSTITUTE(INDEX('04A_국토부원자료'!$A:$T,ROW()+1,MATCH("전용면적(㎡)",'04A_국토부원자료'!$A$4:$T$4,0)),",","")),"")</f>
        <v/>
      </c>
      <c r="F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2" s="51">
        <f>IFERROR(VALUE(SUBSTITUTE(INDEX('04A_국토부원자료'!$A:$T,ROW()+1,MATCH("거래금액(만원)",'04A_국토부원자료'!$A$4:$T$4,0)),",","")),"")</f>
        <v/>
      </c>
      <c r="H32" s="174">
        <f>IF(G32="","",G32*10000)</f>
        <v/>
      </c>
      <c r="I32" s="174">
        <f>IFERROR(IF(AND(H32&gt;0,E32&gt;0),H32/E32,""),"")</f>
        <v/>
      </c>
      <c r="J32" s="152">
        <f>IFERROR(VALUE(SUBSTITUTE(INDEX('04A_국토부원자료'!$A:$T,ROW()+1,MATCH("층",'04A_국토부원자료'!$A$4:$T$4,0)),",","")),"")</f>
        <v/>
      </c>
      <c r="K32" s="152">
        <f>IFERROR(VALUE(SUBSTITUTE(INDEX('04A_국토부원자료'!$A:$T,ROW()+1,MATCH("건축년도",'04A_국토부원자료'!$A$4:$T$4,0)),",","")),"")</f>
        <v/>
      </c>
      <c r="L32" s="176">
        <f>IFERROR(INDEX('04A_국토부원자료'!$A:$T,ROW()+1,MATCH("도로명",'04A_국토부원자료'!$A$4:$T$4,0)),"")</f>
        <v/>
      </c>
      <c r="M32" s="48">
        <f>IFERROR(INDEX('04A_국토부원자료'!$A:$T,ROW()+1,MATCH("거래유형",'04A_국토부원자료'!$A$4:$T$4,0)),"")</f>
        <v/>
      </c>
      <c r="N32" s="152">
        <f>IF(B32="","",IF('02_대상물건입력'!B5="",1,IF(ISNUMBER(SEARCH('02_대상물건입력'!B5,B32)),1,0)))</f>
        <v/>
      </c>
      <c r="O32" s="152">
        <f>IF(B32="","",IF('02_대상물건입력'!B6="",1,IF(ISNUMBER(SEARCH('02_대상물건입력'!B6,B32)),1,0)))</f>
        <v/>
      </c>
      <c r="P32" s="152">
        <f>IF(L32="","",IF('02_대상물건입력'!B15="",0,IF(ISNUMBER(SEARCH('02_대상물건입력'!B15,L32)),1,0)))</f>
        <v/>
      </c>
      <c r="Q32" s="152">
        <f>IF(OR(C32="",L32=""),0,IF(AND(TRIM(C32)=TRIM(RIGHT(SUBSTITUTE(TRIM('02_대상물건입력'!$B$7)," ",REPT(" ",99)),99)),IF('02_대상물건입력'!B15="",TRUE(),ISNUMBER(SEARCH('02_대상물건입력'!B15,L32)))),1,0))</f>
        <v/>
      </c>
      <c r="R32" s="175">
        <f>IFERROR(ABS(E32-'02_대상물건입력'!B11)/'02_대상물건입력'!B11,"")</f>
        <v/>
      </c>
      <c r="S32" s="152">
        <f>IFERROR(ABS(J32-'02_대상물건입력'!B10),"")</f>
        <v/>
      </c>
      <c r="T32" s="152">
        <f>IFERROR(ABS('01_설정'!B4-F32),"")</f>
        <v/>
      </c>
      <c r="U32" s="152">
        <f>IFERROR(ABS(K32-YEAR('02_대상물건입력'!B14)),"")</f>
        <v/>
      </c>
      <c r="V32" s="152">
        <f>IF(B32="","",IF(AND(E32&gt;0,F32&gt;0,H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32=1,TRUE()),R32&lt;='01_설정'!B5,S32&lt;='01_설정'!B6,T32&lt;='01_설정'!B7,U32&lt;='01_설정'!B8),"Y",""))</f>
        <v/>
      </c>
      <c r="W32" s="172">
        <f>IF(V32&lt;&gt;"Y","",MAX(0,(1-R32/'01_설정'!B5))*'01_설정'!B14+MAX(0,(1-S32/'01_설정'!B6))*'01_설정'!B15+MAX(0,(1-T32/'01_설정'!B7))*'01_설정'!B16+MAX(0,(1-U32/'01_설정'!B8))*'01_설정'!B17+O32*'01_설정'!B11+Q32*'01_설정'!B12+P32*'01_설정'!B13+IF(Z32="",0,Z32))</f>
        <v/>
      </c>
      <c r="X32" s="152">
        <f>IF(W32="","",1+COUNTIFS($W$4:$W$3003,"&gt;"&amp;W32)+COUNTIFS($W$4:W32,W32)-1)</f>
        <v/>
      </c>
      <c r="Y32" s="175">
        <f>IF(OR(I32="",'02_대상물건입력'!B19="",'02_대상물건입력'!B19&lt;=0),"",ABS(I32-'02_대상물건입력'!B19)/'02_대상물건입력'!B19)</f>
        <v/>
      </c>
      <c r="Z32" s="172">
        <f>IF(OR(Y32="",'01_설정'!B31="",'01_설정'!B31&lt;=0,'01_설정'!B32="",'01_설정'!B32&lt;=0),"",MAX(0,(1-Y32/'01_설정'!B32))*'01_설정'!B31)</f>
        <v/>
      </c>
    </row>
    <row r="33" ht="17.25" customHeight="1">
      <c r="A33" s="152">
        <f>IF(INDEX('04A_국토부원자료'!$A:$A,ROW()+1)="","",ROW()-3)</f>
        <v/>
      </c>
      <c r="B33" s="48">
        <f>IFERROR(INDEX('04A_국토부원자료'!$A:$T,ROW()+1,MATCH("시군구",'04A_국토부원자료'!$A$4:$T$4,0)),"")</f>
        <v/>
      </c>
      <c r="C33" s="48">
        <f>IF(B33="","",IFERROR(INDEX('04A_국토부원자료'!$A:$T,ROW()+1,MATCH("번지",'04A_국토부원자료'!$A$4:$T$4,0)),""))</f>
        <v/>
      </c>
      <c r="D33" s="48">
        <f>IF(B33="","",IF(Q33=1,'02_대상물건입력'!$B$8,IFERROR(INDEX('04A_국토부원자료'!$A:$T,ROW()+1,MATCH("단지명",'04A_국토부원자료'!$A$4:$T$4,0)),"")))</f>
        <v/>
      </c>
      <c r="E33" s="172">
        <f>IFERROR(VALUE(SUBSTITUTE(INDEX('04A_국토부원자료'!$A:$T,ROW()+1,MATCH("전용면적(㎡)",'04A_국토부원자료'!$A$4:$T$4,0)),",","")),"")</f>
        <v/>
      </c>
      <c r="F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3" s="51">
        <f>IFERROR(VALUE(SUBSTITUTE(INDEX('04A_국토부원자료'!$A:$T,ROW()+1,MATCH("거래금액(만원)",'04A_국토부원자료'!$A$4:$T$4,0)),",","")),"")</f>
        <v/>
      </c>
      <c r="H33" s="174">
        <f>IF(G33="","",G33*10000)</f>
        <v/>
      </c>
      <c r="I33" s="174">
        <f>IFERROR(IF(AND(H33&gt;0,E33&gt;0),H33/E33,""),"")</f>
        <v/>
      </c>
      <c r="J33" s="152">
        <f>IFERROR(VALUE(SUBSTITUTE(INDEX('04A_국토부원자료'!$A:$T,ROW()+1,MATCH("층",'04A_국토부원자료'!$A$4:$T$4,0)),",","")),"")</f>
        <v/>
      </c>
      <c r="K33" s="152">
        <f>IFERROR(VALUE(SUBSTITUTE(INDEX('04A_국토부원자료'!$A:$T,ROW()+1,MATCH("건축년도",'04A_국토부원자료'!$A$4:$T$4,0)),",","")),"")</f>
        <v/>
      </c>
      <c r="L33" s="176">
        <f>IFERROR(INDEX('04A_국토부원자료'!$A:$T,ROW()+1,MATCH("도로명",'04A_국토부원자료'!$A$4:$T$4,0)),"")</f>
        <v/>
      </c>
      <c r="M33" s="48">
        <f>IFERROR(INDEX('04A_국토부원자료'!$A:$T,ROW()+1,MATCH("거래유형",'04A_국토부원자료'!$A$4:$T$4,0)),"")</f>
        <v/>
      </c>
      <c r="N33" s="152">
        <f>IF(B33="","",IF('02_대상물건입력'!B5="",1,IF(ISNUMBER(SEARCH('02_대상물건입력'!B5,B33)),1,0)))</f>
        <v/>
      </c>
      <c r="O33" s="152">
        <f>IF(B33="","",IF('02_대상물건입력'!B6="",1,IF(ISNUMBER(SEARCH('02_대상물건입력'!B6,B33)),1,0)))</f>
        <v/>
      </c>
      <c r="P33" s="152">
        <f>IF(L33="","",IF('02_대상물건입력'!B15="",0,IF(ISNUMBER(SEARCH('02_대상물건입력'!B15,L33)),1,0)))</f>
        <v/>
      </c>
      <c r="Q33" s="152">
        <f>IF(OR(C33="",L33=""),0,IF(AND(TRIM(C33)=TRIM(RIGHT(SUBSTITUTE(TRIM('02_대상물건입력'!$B$7)," ",REPT(" ",99)),99)),IF('02_대상물건입력'!B15="",TRUE(),ISNUMBER(SEARCH('02_대상물건입력'!B15,L33)))),1,0))</f>
        <v/>
      </c>
      <c r="R33" s="175">
        <f>IFERROR(ABS(E33-'02_대상물건입력'!B11)/'02_대상물건입력'!B11,"")</f>
        <v/>
      </c>
      <c r="S33" s="152">
        <f>IFERROR(ABS(J33-'02_대상물건입력'!B10),"")</f>
        <v/>
      </c>
      <c r="T33" s="152">
        <f>IFERROR(ABS('01_설정'!B4-F33),"")</f>
        <v/>
      </c>
      <c r="U33" s="152">
        <f>IFERROR(ABS(K33-YEAR('02_대상물건입력'!B14)),"")</f>
        <v/>
      </c>
      <c r="V33" s="152">
        <f>IF(B33="","",IF(AND(E33&gt;0,F33&gt;0,H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33=1,TRUE()),R33&lt;='01_설정'!B5,S33&lt;='01_설정'!B6,T33&lt;='01_설정'!B7,U33&lt;='01_설정'!B8),"Y",""))</f>
        <v/>
      </c>
      <c r="W33" s="172">
        <f>IF(V33&lt;&gt;"Y","",MAX(0,(1-R33/'01_설정'!B5))*'01_설정'!B14+MAX(0,(1-S33/'01_설정'!B6))*'01_설정'!B15+MAX(0,(1-T33/'01_설정'!B7))*'01_설정'!B16+MAX(0,(1-U33/'01_설정'!B8))*'01_설정'!B17+O33*'01_설정'!B11+Q33*'01_설정'!B12+P33*'01_설정'!B13+IF(Z33="",0,Z33))</f>
        <v/>
      </c>
      <c r="X33" s="152">
        <f>IF(W33="","",1+COUNTIFS($W$4:$W$3003,"&gt;"&amp;W33)+COUNTIFS($W$4:W33,W33)-1)</f>
        <v/>
      </c>
      <c r="Y33" s="175">
        <f>IF(OR(I33="",'02_대상물건입력'!B19="",'02_대상물건입력'!B19&lt;=0),"",ABS(I33-'02_대상물건입력'!B19)/'02_대상물건입력'!B19)</f>
        <v/>
      </c>
      <c r="Z33" s="172">
        <f>IF(OR(Y33="",'01_설정'!B31="",'01_설정'!B31&lt;=0,'01_설정'!B32="",'01_설정'!B32&lt;=0),"",MAX(0,(1-Y33/'01_설정'!B32))*'01_설정'!B31)</f>
        <v/>
      </c>
    </row>
    <row r="34" ht="17.25" customHeight="1">
      <c r="A34" s="152">
        <f>IF(INDEX('04A_국토부원자료'!$A:$A,ROW()+1)="","",ROW()-3)</f>
        <v/>
      </c>
      <c r="B34" s="48">
        <f>IFERROR(INDEX('04A_국토부원자료'!$A:$T,ROW()+1,MATCH("시군구",'04A_국토부원자료'!$A$4:$T$4,0)),"")</f>
        <v/>
      </c>
      <c r="C34" s="48">
        <f>IF(B34="","",IFERROR(INDEX('04A_국토부원자료'!$A:$T,ROW()+1,MATCH("번지",'04A_국토부원자료'!$A$4:$T$4,0)),""))</f>
        <v/>
      </c>
      <c r="D34" s="48">
        <f>IF(B34="","",IF(Q34=1,'02_대상물건입력'!$B$8,IFERROR(INDEX('04A_국토부원자료'!$A:$T,ROW()+1,MATCH("단지명",'04A_국토부원자료'!$A$4:$T$4,0)),"")))</f>
        <v/>
      </c>
      <c r="E34" s="172">
        <f>IFERROR(VALUE(SUBSTITUTE(INDEX('04A_국토부원자료'!$A:$T,ROW()+1,MATCH("전용면적(㎡)",'04A_국토부원자료'!$A$4:$T$4,0)),",","")),"")</f>
        <v/>
      </c>
      <c r="F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4" s="51">
        <f>IFERROR(VALUE(SUBSTITUTE(INDEX('04A_국토부원자료'!$A:$T,ROW()+1,MATCH("거래금액(만원)",'04A_국토부원자료'!$A$4:$T$4,0)),",","")),"")</f>
        <v/>
      </c>
      <c r="H34" s="174">
        <f>IF(G34="","",G34*10000)</f>
        <v/>
      </c>
      <c r="I34" s="174">
        <f>IFERROR(IF(AND(H34&gt;0,E34&gt;0),H34/E34,""),"")</f>
        <v/>
      </c>
      <c r="J34" s="152">
        <f>IFERROR(VALUE(SUBSTITUTE(INDEX('04A_국토부원자료'!$A:$T,ROW()+1,MATCH("층",'04A_국토부원자료'!$A$4:$T$4,0)),",","")),"")</f>
        <v/>
      </c>
      <c r="K34" s="152">
        <f>IFERROR(VALUE(SUBSTITUTE(INDEX('04A_국토부원자료'!$A:$T,ROW()+1,MATCH("건축년도",'04A_국토부원자료'!$A$4:$T$4,0)),",","")),"")</f>
        <v/>
      </c>
      <c r="L34" s="176">
        <f>IFERROR(INDEX('04A_국토부원자료'!$A:$T,ROW()+1,MATCH("도로명",'04A_국토부원자료'!$A$4:$T$4,0)),"")</f>
        <v/>
      </c>
      <c r="M34" s="48">
        <f>IFERROR(INDEX('04A_국토부원자료'!$A:$T,ROW()+1,MATCH("거래유형",'04A_국토부원자료'!$A$4:$T$4,0)),"")</f>
        <v/>
      </c>
      <c r="N34" s="152">
        <f>IF(B34="","",IF('02_대상물건입력'!B5="",1,IF(ISNUMBER(SEARCH('02_대상물건입력'!B5,B34)),1,0)))</f>
        <v/>
      </c>
      <c r="O34" s="152">
        <f>IF(B34="","",IF('02_대상물건입력'!B6="",1,IF(ISNUMBER(SEARCH('02_대상물건입력'!B6,B34)),1,0)))</f>
        <v/>
      </c>
      <c r="P34" s="152">
        <f>IF(L34="","",IF('02_대상물건입력'!B15="",0,IF(ISNUMBER(SEARCH('02_대상물건입력'!B15,L34)),1,0)))</f>
        <v/>
      </c>
      <c r="Q34" s="152">
        <f>IF(OR(C34="",L34=""),0,IF(AND(TRIM(C34)=TRIM(RIGHT(SUBSTITUTE(TRIM('02_대상물건입력'!$B$7)," ",REPT(" ",99)),99)),IF('02_대상물건입력'!B15="",TRUE(),ISNUMBER(SEARCH('02_대상물건입력'!B15,L34)))),1,0))</f>
        <v/>
      </c>
      <c r="R34" s="175">
        <f>IFERROR(ABS(E34-'02_대상물건입력'!B11)/'02_대상물건입력'!B11,"")</f>
        <v/>
      </c>
      <c r="S34" s="152">
        <f>IFERROR(ABS(J34-'02_대상물건입력'!B10),"")</f>
        <v/>
      </c>
      <c r="T34" s="152">
        <f>IFERROR(ABS('01_설정'!B4-F34),"")</f>
        <v/>
      </c>
      <c r="U34" s="152">
        <f>IFERROR(ABS(K34-YEAR('02_대상물건입력'!B14)),"")</f>
        <v/>
      </c>
      <c r="V34" s="152">
        <f>IF(B34="","",IF(AND(E34&gt;0,F34&gt;0,H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34=1,TRUE()),R34&lt;='01_설정'!B5,S34&lt;='01_설정'!B6,T34&lt;='01_설정'!B7,U34&lt;='01_설정'!B8),"Y",""))</f>
        <v/>
      </c>
      <c r="W34" s="172">
        <f>IF(V34&lt;&gt;"Y","",MAX(0,(1-R34/'01_설정'!B5))*'01_설정'!B14+MAX(0,(1-S34/'01_설정'!B6))*'01_설정'!B15+MAX(0,(1-T34/'01_설정'!B7))*'01_설정'!B16+MAX(0,(1-U34/'01_설정'!B8))*'01_설정'!B17+O34*'01_설정'!B11+Q34*'01_설정'!B12+P34*'01_설정'!B13+IF(Z34="",0,Z34))</f>
        <v/>
      </c>
      <c r="X34" s="152">
        <f>IF(W34="","",1+COUNTIFS($W$4:$W$3003,"&gt;"&amp;W34)+COUNTIFS($W$4:W34,W34)-1)</f>
        <v/>
      </c>
      <c r="Y34" s="175">
        <f>IF(OR(I34="",'02_대상물건입력'!B19="",'02_대상물건입력'!B19&lt;=0),"",ABS(I34-'02_대상물건입력'!B19)/'02_대상물건입력'!B19)</f>
        <v/>
      </c>
      <c r="Z34" s="172">
        <f>IF(OR(Y34="",'01_설정'!B31="",'01_설정'!B31&lt;=0,'01_설정'!B32="",'01_설정'!B32&lt;=0),"",MAX(0,(1-Y34/'01_설정'!B32))*'01_설정'!B31)</f>
        <v/>
      </c>
    </row>
    <row r="35" ht="17.25" customHeight="1">
      <c r="A35" s="152">
        <f>IF(INDEX('04A_국토부원자료'!$A:$A,ROW()+1)="","",ROW()-3)</f>
        <v/>
      </c>
      <c r="B35" s="48">
        <f>IFERROR(INDEX('04A_국토부원자료'!$A:$T,ROW()+1,MATCH("시군구",'04A_국토부원자료'!$A$4:$T$4,0)),"")</f>
        <v/>
      </c>
      <c r="C35" s="48">
        <f>IF(B35="","",IFERROR(INDEX('04A_국토부원자료'!$A:$T,ROW()+1,MATCH("번지",'04A_국토부원자료'!$A$4:$T$4,0)),""))</f>
        <v/>
      </c>
      <c r="D35" s="48">
        <f>IF(B35="","",IF(Q35=1,'02_대상물건입력'!$B$8,IFERROR(INDEX('04A_국토부원자료'!$A:$T,ROW()+1,MATCH("단지명",'04A_국토부원자료'!$A$4:$T$4,0)),"")))</f>
        <v/>
      </c>
      <c r="E35" s="172">
        <f>IFERROR(VALUE(SUBSTITUTE(INDEX('04A_국토부원자료'!$A:$T,ROW()+1,MATCH("전용면적(㎡)",'04A_국토부원자료'!$A$4:$T$4,0)),",","")),"")</f>
        <v/>
      </c>
      <c r="F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5" s="51">
        <f>IFERROR(VALUE(SUBSTITUTE(INDEX('04A_국토부원자료'!$A:$T,ROW()+1,MATCH("거래금액(만원)",'04A_국토부원자료'!$A$4:$T$4,0)),",","")),"")</f>
        <v/>
      </c>
      <c r="H35" s="174">
        <f>IF(G35="","",G35*10000)</f>
        <v/>
      </c>
      <c r="I35" s="174">
        <f>IFERROR(IF(AND(H35&gt;0,E35&gt;0),H35/E35,""),"")</f>
        <v/>
      </c>
      <c r="J35" s="152">
        <f>IFERROR(VALUE(SUBSTITUTE(INDEX('04A_국토부원자료'!$A:$T,ROW()+1,MATCH("층",'04A_국토부원자료'!$A$4:$T$4,0)),",","")),"")</f>
        <v/>
      </c>
      <c r="K35" s="152">
        <f>IFERROR(VALUE(SUBSTITUTE(INDEX('04A_국토부원자료'!$A:$T,ROW()+1,MATCH("건축년도",'04A_국토부원자료'!$A$4:$T$4,0)),",","")),"")</f>
        <v/>
      </c>
      <c r="L35" s="176">
        <f>IFERROR(INDEX('04A_국토부원자료'!$A:$T,ROW()+1,MATCH("도로명",'04A_국토부원자료'!$A$4:$T$4,0)),"")</f>
        <v/>
      </c>
      <c r="M35" s="48">
        <f>IFERROR(INDEX('04A_국토부원자료'!$A:$T,ROW()+1,MATCH("거래유형",'04A_국토부원자료'!$A$4:$T$4,0)),"")</f>
        <v/>
      </c>
      <c r="N35" s="152">
        <f>IF(B35="","",IF('02_대상물건입력'!B5="",1,IF(ISNUMBER(SEARCH('02_대상물건입력'!B5,B35)),1,0)))</f>
        <v/>
      </c>
      <c r="O35" s="152">
        <f>IF(B35="","",IF('02_대상물건입력'!B6="",1,IF(ISNUMBER(SEARCH('02_대상물건입력'!B6,B35)),1,0)))</f>
        <v/>
      </c>
      <c r="P35" s="152">
        <f>IF(L35="","",IF('02_대상물건입력'!B15="",0,IF(ISNUMBER(SEARCH('02_대상물건입력'!B15,L35)),1,0)))</f>
        <v/>
      </c>
      <c r="Q35" s="152">
        <f>IF(OR(C35="",L35=""),0,IF(AND(TRIM(C35)=TRIM(RIGHT(SUBSTITUTE(TRIM('02_대상물건입력'!$B$7)," ",REPT(" ",99)),99)),IF('02_대상물건입력'!B15="",TRUE(),ISNUMBER(SEARCH('02_대상물건입력'!B15,L35)))),1,0))</f>
        <v/>
      </c>
      <c r="R35" s="175">
        <f>IFERROR(ABS(E35-'02_대상물건입력'!B11)/'02_대상물건입력'!B11,"")</f>
        <v/>
      </c>
      <c r="S35" s="152">
        <f>IFERROR(ABS(J35-'02_대상물건입력'!B10),"")</f>
        <v/>
      </c>
      <c r="T35" s="152">
        <f>IFERROR(ABS('01_설정'!B4-F35),"")</f>
        <v/>
      </c>
      <c r="U35" s="152">
        <f>IFERROR(ABS(K35-YEAR('02_대상물건입력'!B14)),"")</f>
        <v/>
      </c>
      <c r="V35" s="152">
        <f>IF(B35="","",IF(AND(E35&gt;0,F35&gt;0,H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35=1,TRUE()),R35&lt;='01_설정'!B5,S35&lt;='01_설정'!B6,T35&lt;='01_설정'!B7,U35&lt;='01_설정'!B8),"Y",""))</f>
        <v/>
      </c>
      <c r="W35" s="172">
        <f>IF(V35&lt;&gt;"Y","",MAX(0,(1-R35/'01_설정'!B5))*'01_설정'!B14+MAX(0,(1-S35/'01_설정'!B6))*'01_설정'!B15+MAX(0,(1-T35/'01_설정'!B7))*'01_설정'!B16+MAX(0,(1-U35/'01_설정'!B8))*'01_설정'!B17+O35*'01_설정'!B11+Q35*'01_설정'!B12+P35*'01_설정'!B13+IF(Z35="",0,Z35))</f>
        <v/>
      </c>
      <c r="X35" s="152">
        <f>IF(W35="","",1+COUNTIFS($W$4:$W$3003,"&gt;"&amp;W35)+COUNTIFS($W$4:W35,W35)-1)</f>
        <v/>
      </c>
      <c r="Y35" s="175">
        <f>IF(OR(I35="",'02_대상물건입력'!B19="",'02_대상물건입력'!B19&lt;=0),"",ABS(I35-'02_대상물건입력'!B19)/'02_대상물건입력'!B19)</f>
        <v/>
      </c>
      <c r="Z35" s="172">
        <f>IF(OR(Y35="",'01_설정'!B31="",'01_설정'!B31&lt;=0,'01_설정'!B32="",'01_설정'!B32&lt;=0),"",MAX(0,(1-Y35/'01_설정'!B32))*'01_설정'!B31)</f>
        <v/>
      </c>
    </row>
    <row r="36" ht="17.25" customHeight="1">
      <c r="A36" s="152">
        <f>IF(INDEX('04A_국토부원자료'!$A:$A,ROW()+1)="","",ROW()-3)</f>
        <v/>
      </c>
      <c r="B36" s="48">
        <f>IFERROR(INDEX('04A_국토부원자료'!$A:$T,ROW()+1,MATCH("시군구",'04A_국토부원자료'!$A$4:$T$4,0)),"")</f>
        <v/>
      </c>
      <c r="C36" s="48">
        <f>IF(B36="","",IFERROR(INDEX('04A_국토부원자료'!$A:$T,ROW()+1,MATCH("번지",'04A_국토부원자료'!$A$4:$T$4,0)),""))</f>
        <v/>
      </c>
      <c r="D36" s="48">
        <f>IF(B36="","",IF(Q36=1,'02_대상물건입력'!$B$8,IFERROR(INDEX('04A_국토부원자료'!$A:$T,ROW()+1,MATCH("단지명",'04A_국토부원자료'!$A$4:$T$4,0)),"")))</f>
        <v/>
      </c>
      <c r="E36" s="172">
        <f>IFERROR(VALUE(SUBSTITUTE(INDEX('04A_국토부원자료'!$A:$T,ROW()+1,MATCH("전용면적(㎡)",'04A_국토부원자료'!$A$4:$T$4,0)),",","")),"")</f>
        <v/>
      </c>
      <c r="F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6" s="51">
        <f>IFERROR(VALUE(SUBSTITUTE(INDEX('04A_국토부원자료'!$A:$T,ROW()+1,MATCH("거래금액(만원)",'04A_국토부원자료'!$A$4:$T$4,0)),",","")),"")</f>
        <v/>
      </c>
      <c r="H36" s="174">
        <f>IF(G36="","",G36*10000)</f>
        <v/>
      </c>
      <c r="I36" s="174">
        <f>IFERROR(IF(AND(H36&gt;0,E36&gt;0),H36/E36,""),"")</f>
        <v/>
      </c>
      <c r="J36" s="152">
        <f>IFERROR(VALUE(SUBSTITUTE(INDEX('04A_국토부원자료'!$A:$T,ROW()+1,MATCH("층",'04A_국토부원자료'!$A$4:$T$4,0)),",","")),"")</f>
        <v/>
      </c>
      <c r="K36" s="152">
        <f>IFERROR(VALUE(SUBSTITUTE(INDEX('04A_국토부원자료'!$A:$T,ROW()+1,MATCH("건축년도",'04A_국토부원자료'!$A$4:$T$4,0)),",","")),"")</f>
        <v/>
      </c>
      <c r="L36" s="176">
        <f>IFERROR(INDEX('04A_국토부원자료'!$A:$T,ROW()+1,MATCH("도로명",'04A_국토부원자료'!$A$4:$T$4,0)),"")</f>
        <v/>
      </c>
      <c r="M36" s="48">
        <f>IFERROR(INDEX('04A_국토부원자료'!$A:$T,ROW()+1,MATCH("거래유형",'04A_국토부원자료'!$A$4:$T$4,0)),"")</f>
        <v/>
      </c>
      <c r="N36" s="152">
        <f>IF(B36="","",IF('02_대상물건입력'!B5="",1,IF(ISNUMBER(SEARCH('02_대상물건입력'!B5,B36)),1,0)))</f>
        <v/>
      </c>
      <c r="O36" s="152">
        <f>IF(B36="","",IF('02_대상물건입력'!B6="",1,IF(ISNUMBER(SEARCH('02_대상물건입력'!B6,B36)),1,0)))</f>
        <v/>
      </c>
      <c r="P36" s="152">
        <f>IF(L36="","",IF('02_대상물건입력'!B15="",0,IF(ISNUMBER(SEARCH('02_대상물건입력'!B15,L36)),1,0)))</f>
        <v/>
      </c>
      <c r="Q36" s="152">
        <f>IF(OR(C36="",L36=""),0,IF(AND(TRIM(C36)=TRIM(RIGHT(SUBSTITUTE(TRIM('02_대상물건입력'!$B$7)," ",REPT(" ",99)),99)),IF('02_대상물건입력'!B15="",TRUE(),ISNUMBER(SEARCH('02_대상물건입력'!B15,L36)))),1,0))</f>
        <v/>
      </c>
      <c r="R36" s="175">
        <f>IFERROR(ABS(E36-'02_대상물건입력'!B11)/'02_대상물건입력'!B11,"")</f>
        <v/>
      </c>
      <c r="S36" s="152">
        <f>IFERROR(ABS(J36-'02_대상물건입력'!B10),"")</f>
        <v/>
      </c>
      <c r="T36" s="152">
        <f>IFERROR(ABS('01_설정'!B4-F36),"")</f>
        <v/>
      </c>
      <c r="U36" s="152">
        <f>IFERROR(ABS(K36-YEAR('02_대상물건입력'!B14)),"")</f>
        <v/>
      </c>
      <c r="V36" s="152">
        <f>IF(B36="","",IF(AND(E36&gt;0,F36&gt;0,H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36=1,TRUE()),R36&lt;='01_설정'!B5,S36&lt;='01_설정'!B6,T36&lt;='01_설정'!B7,U36&lt;='01_설정'!B8),"Y",""))</f>
        <v/>
      </c>
      <c r="W36" s="172">
        <f>IF(V36&lt;&gt;"Y","",MAX(0,(1-R36/'01_설정'!B5))*'01_설정'!B14+MAX(0,(1-S36/'01_설정'!B6))*'01_설정'!B15+MAX(0,(1-T36/'01_설정'!B7))*'01_설정'!B16+MAX(0,(1-U36/'01_설정'!B8))*'01_설정'!B17+O36*'01_설정'!B11+Q36*'01_설정'!B12+P36*'01_설정'!B13+IF(Z36="",0,Z36))</f>
        <v/>
      </c>
      <c r="X36" s="152">
        <f>IF(W36="","",1+COUNTIFS($W$4:$W$3003,"&gt;"&amp;W36)+COUNTIFS($W$4:W36,W36)-1)</f>
        <v/>
      </c>
      <c r="Y36" s="175">
        <f>IF(OR(I36="",'02_대상물건입력'!B19="",'02_대상물건입력'!B19&lt;=0),"",ABS(I36-'02_대상물건입력'!B19)/'02_대상물건입력'!B19)</f>
        <v/>
      </c>
      <c r="Z36" s="172">
        <f>IF(OR(Y36="",'01_설정'!B31="",'01_설정'!B31&lt;=0,'01_설정'!B32="",'01_설정'!B32&lt;=0),"",MAX(0,(1-Y36/'01_설정'!B32))*'01_설정'!B31)</f>
        <v/>
      </c>
    </row>
    <row r="37" ht="17.25" customHeight="1">
      <c r="A37" s="152">
        <f>IF(INDEX('04A_국토부원자료'!$A:$A,ROW()+1)="","",ROW()-3)</f>
        <v/>
      </c>
      <c r="B37" s="48">
        <f>IFERROR(INDEX('04A_국토부원자료'!$A:$T,ROW()+1,MATCH("시군구",'04A_국토부원자료'!$A$4:$T$4,0)),"")</f>
        <v/>
      </c>
      <c r="C37" s="48">
        <f>IF(B37="","",IFERROR(INDEX('04A_국토부원자료'!$A:$T,ROW()+1,MATCH("번지",'04A_국토부원자료'!$A$4:$T$4,0)),""))</f>
        <v/>
      </c>
      <c r="D37" s="48">
        <f>IF(B37="","",IF(Q37=1,'02_대상물건입력'!$B$8,IFERROR(INDEX('04A_국토부원자료'!$A:$T,ROW()+1,MATCH("단지명",'04A_국토부원자료'!$A$4:$T$4,0)),"")))</f>
        <v/>
      </c>
      <c r="E37" s="172">
        <f>IFERROR(VALUE(SUBSTITUTE(INDEX('04A_국토부원자료'!$A:$T,ROW()+1,MATCH("전용면적(㎡)",'04A_국토부원자료'!$A$4:$T$4,0)),",","")),"")</f>
        <v/>
      </c>
      <c r="F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7" s="51">
        <f>IFERROR(VALUE(SUBSTITUTE(INDEX('04A_국토부원자료'!$A:$T,ROW()+1,MATCH("거래금액(만원)",'04A_국토부원자료'!$A$4:$T$4,0)),",","")),"")</f>
        <v/>
      </c>
      <c r="H37" s="174">
        <f>IF(G37="","",G37*10000)</f>
        <v/>
      </c>
      <c r="I37" s="174">
        <f>IFERROR(IF(AND(H37&gt;0,E37&gt;0),H37/E37,""),"")</f>
        <v/>
      </c>
      <c r="J37" s="152">
        <f>IFERROR(VALUE(SUBSTITUTE(INDEX('04A_국토부원자료'!$A:$T,ROW()+1,MATCH("층",'04A_국토부원자료'!$A$4:$T$4,0)),",","")),"")</f>
        <v/>
      </c>
      <c r="K37" s="152">
        <f>IFERROR(VALUE(SUBSTITUTE(INDEX('04A_국토부원자료'!$A:$T,ROW()+1,MATCH("건축년도",'04A_국토부원자료'!$A$4:$T$4,0)),",","")),"")</f>
        <v/>
      </c>
      <c r="L37" s="176">
        <f>IFERROR(INDEX('04A_국토부원자료'!$A:$T,ROW()+1,MATCH("도로명",'04A_국토부원자료'!$A$4:$T$4,0)),"")</f>
        <v/>
      </c>
      <c r="M37" s="48">
        <f>IFERROR(INDEX('04A_국토부원자료'!$A:$T,ROW()+1,MATCH("거래유형",'04A_국토부원자료'!$A$4:$T$4,0)),"")</f>
        <v/>
      </c>
      <c r="N37" s="152">
        <f>IF(B37="","",IF('02_대상물건입력'!B5="",1,IF(ISNUMBER(SEARCH('02_대상물건입력'!B5,B37)),1,0)))</f>
        <v/>
      </c>
      <c r="O37" s="152">
        <f>IF(B37="","",IF('02_대상물건입력'!B6="",1,IF(ISNUMBER(SEARCH('02_대상물건입력'!B6,B37)),1,0)))</f>
        <v/>
      </c>
      <c r="P37" s="152">
        <f>IF(L37="","",IF('02_대상물건입력'!B15="",0,IF(ISNUMBER(SEARCH('02_대상물건입력'!B15,L37)),1,0)))</f>
        <v/>
      </c>
      <c r="Q37" s="152">
        <f>IF(OR(C37="",L37=""),0,IF(AND(TRIM(C37)=TRIM(RIGHT(SUBSTITUTE(TRIM('02_대상물건입력'!$B$7)," ",REPT(" ",99)),99)),IF('02_대상물건입력'!B15="",TRUE(),ISNUMBER(SEARCH('02_대상물건입력'!B15,L37)))),1,0))</f>
        <v/>
      </c>
      <c r="R37" s="175">
        <f>IFERROR(ABS(E37-'02_대상물건입력'!B11)/'02_대상물건입력'!B11,"")</f>
        <v/>
      </c>
      <c r="S37" s="152">
        <f>IFERROR(ABS(J37-'02_대상물건입력'!B10),"")</f>
        <v/>
      </c>
      <c r="T37" s="152">
        <f>IFERROR(ABS('01_설정'!B4-F37),"")</f>
        <v/>
      </c>
      <c r="U37" s="152">
        <f>IFERROR(ABS(K37-YEAR('02_대상물건입력'!B14)),"")</f>
        <v/>
      </c>
      <c r="V37" s="152">
        <f>IF(B37="","",IF(AND(E37&gt;0,F37&gt;0,H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37=1,TRUE()),R37&lt;='01_설정'!B5,S37&lt;='01_설정'!B6,T37&lt;='01_설정'!B7,U37&lt;='01_설정'!B8),"Y",""))</f>
        <v/>
      </c>
      <c r="W37" s="172">
        <f>IF(V37&lt;&gt;"Y","",MAX(0,(1-R37/'01_설정'!B5))*'01_설정'!B14+MAX(0,(1-S37/'01_설정'!B6))*'01_설정'!B15+MAX(0,(1-T37/'01_설정'!B7))*'01_설정'!B16+MAX(0,(1-U37/'01_설정'!B8))*'01_설정'!B17+O37*'01_설정'!B11+Q37*'01_설정'!B12+P37*'01_설정'!B13+IF(Z37="",0,Z37))</f>
        <v/>
      </c>
      <c r="X37" s="152">
        <f>IF(W37="","",1+COUNTIFS($W$4:$W$3003,"&gt;"&amp;W37)+COUNTIFS($W$4:W37,W37)-1)</f>
        <v/>
      </c>
      <c r="Y37" s="175">
        <f>IF(OR(I37="",'02_대상물건입력'!B19="",'02_대상물건입력'!B19&lt;=0),"",ABS(I37-'02_대상물건입력'!B19)/'02_대상물건입력'!B19)</f>
        <v/>
      </c>
      <c r="Z37" s="172">
        <f>IF(OR(Y37="",'01_설정'!B31="",'01_설정'!B31&lt;=0,'01_설정'!B32="",'01_설정'!B32&lt;=0),"",MAX(0,(1-Y37/'01_설정'!B32))*'01_설정'!B31)</f>
        <v/>
      </c>
    </row>
    <row r="38" ht="17.25" customHeight="1">
      <c r="A38" s="152">
        <f>IF(INDEX('04A_국토부원자료'!$A:$A,ROW()+1)="","",ROW()-3)</f>
        <v/>
      </c>
      <c r="B38" s="48">
        <f>IFERROR(INDEX('04A_국토부원자료'!$A:$T,ROW()+1,MATCH("시군구",'04A_국토부원자료'!$A$4:$T$4,0)),"")</f>
        <v/>
      </c>
      <c r="C38" s="48">
        <f>IF(B38="","",IFERROR(INDEX('04A_국토부원자료'!$A:$T,ROW()+1,MATCH("번지",'04A_국토부원자료'!$A$4:$T$4,0)),""))</f>
        <v/>
      </c>
      <c r="D38" s="48">
        <f>IF(B38="","",IF(Q38=1,'02_대상물건입력'!$B$8,IFERROR(INDEX('04A_국토부원자료'!$A:$T,ROW()+1,MATCH("단지명",'04A_국토부원자료'!$A$4:$T$4,0)),"")))</f>
        <v/>
      </c>
      <c r="E38" s="172">
        <f>IFERROR(VALUE(SUBSTITUTE(INDEX('04A_국토부원자료'!$A:$T,ROW()+1,MATCH("전용면적(㎡)",'04A_국토부원자료'!$A$4:$T$4,0)),",","")),"")</f>
        <v/>
      </c>
      <c r="F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8" s="51">
        <f>IFERROR(VALUE(SUBSTITUTE(INDEX('04A_국토부원자료'!$A:$T,ROW()+1,MATCH("거래금액(만원)",'04A_국토부원자료'!$A$4:$T$4,0)),",","")),"")</f>
        <v/>
      </c>
      <c r="H38" s="174">
        <f>IF(G38="","",G38*10000)</f>
        <v/>
      </c>
      <c r="I38" s="174">
        <f>IFERROR(IF(AND(H38&gt;0,E38&gt;0),H38/E38,""),"")</f>
        <v/>
      </c>
      <c r="J38" s="152">
        <f>IFERROR(VALUE(SUBSTITUTE(INDEX('04A_국토부원자료'!$A:$T,ROW()+1,MATCH("층",'04A_국토부원자료'!$A$4:$T$4,0)),",","")),"")</f>
        <v/>
      </c>
      <c r="K38" s="152">
        <f>IFERROR(VALUE(SUBSTITUTE(INDEX('04A_국토부원자료'!$A:$T,ROW()+1,MATCH("건축년도",'04A_국토부원자료'!$A$4:$T$4,0)),",","")),"")</f>
        <v/>
      </c>
      <c r="L38" s="176">
        <f>IFERROR(INDEX('04A_국토부원자료'!$A:$T,ROW()+1,MATCH("도로명",'04A_국토부원자료'!$A$4:$T$4,0)),"")</f>
        <v/>
      </c>
      <c r="M38" s="48">
        <f>IFERROR(INDEX('04A_국토부원자료'!$A:$T,ROW()+1,MATCH("거래유형",'04A_국토부원자료'!$A$4:$T$4,0)),"")</f>
        <v/>
      </c>
      <c r="N38" s="152">
        <f>IF(B38="","",IF('02_대상물건입력'!B5="",1,IF(ISNUMBER(SEARCH('02_대상물건입력'!B5,B38)),1,0)))</f>
        <v/>
      </c>
      <c r="O38" s="152">
        <f>IF(B38="","",IF('02_대상물건입력'!B6="",1,IF(ISNUMBER(SEARCH('02_대상물건입력'!B6,B38)),1,0)))</f>
        <v/>
      </c>
      <c r="P38" s="152">
        <f>IF(L38="","",IF('02_대상물건입력'!B15="",0,IF(ISNUMBER(SEARCH('02_대상물건입력'!B15,L38)),1,0)))</f>
        <v/>
      </c>
      <c r="Q38" s="152">
        <f>IF(OR(C38="",L38=""),0,IF(AND(TRIM(C38)=TRIM(RIGHT(SUBSTITUTE(TRIM('02_대상물건입력'!$B$7)," ",REPT(" ",99)),99)),IF('02_대상물건입력'!B15="",TRUE(),ISNUMBER(SEARCH('02_대상물건입력'!B15,L38)))),1,0))</f>
        <v/>
      </c>
      <c r="R38" s="175">
        <f>IFERROR(ABS(E38-'02_대상물건입력'!B11)/'02_대상물건입력'!B11,"")</f>
        <v/>
      </c>
      <c r="S38" s="152">
        <f>IFERROR(ABS(J38-'02_대상물건입력'!B10),"")</f>
        <v/>
      </c>
      <c r="T38" s="152">
        <f>IFERROR(ABS('01_설정'!B4-F38),"")</f>
        <v/>
      </c>
      <c r="U38" s="152">
        <f>IFERROR(ABS(K38-YEAR('02_대상물건입력'!B14)),"")</f>
        <v/>
      </c>
      <c r="V38" s="152">
        <f>IF(B38="","",IF(AND(E38&gt;0,F38&gt;0,H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38=1,TRUE()),R38&lt;='01_설정'!B5,S38&lt;='01_설정'!B6,T38&lt;='01_설정'!B7,U38&lt;='01_설정'!B8),"Y",""))</f>
        <v/>
      </c>
      <c r="W38" s="172">
        <f>IF(V38&lt;&gt;"Y","",MAX(0,(1-R38/'01_설정'!B5))*'01_설정'!B14+MAX(0,(1-S38/'01_설정'!B6))*'01_설정'!B15+MAX(0,(1-T38/'01_설정'!B7))*'01_설정'!B16+MAX(0,(1-U38/'01_설정'!B8))*'01_설정'!B17+O38*'01_설정'!B11+Q38*'01_설정'!B12+P38*'01_설정'!B13+IF(Z38="",0,Z38))</f>
        <v/>
      </c>
      <c r="X38" s="152">
        <f>IF(W38="","",1+COUNTIFS($W$4:$W$3003,"&gt;"&amp;W38)+COUNTIFS($W$4:W38,W38)-1)</f>
        <v/>
      </c>
      <c r="Y38" s="175">
        <f>IF(OR(I38="",'02_대상물건입력'!B19="",'02_대상물건입력'!B19&lt;=0),"",ABS(I38-'02_대상물건입력'!B19)/'02_대상물건입력'!B19)</f>
        <v/>
      </c>
      <c r="Z38" s="172">
        <f>IF(OR(Y38="",'01_설정'!B31="",'01_설정'!B31&lt;=0,'01_설정'!B32="",'01_설정'!B32&lt;=0),"",MAX(0,(1-Y38/'01_설정'!B32))*'01_설정'!B31)</f>
        <v/>
      </c>
    </row>
    <row r="39" ht="17.25" customHeight="1">
      <c r="A39" s="152">
        <f>IF(INDEX('04A_국토부원자료'!$A:$A,ROW()+1)="","",ROW()-3)</f>
        <v/>
      </c>
      <c r="B39" s="48">
        <f>IFERROR(INDEX('04A_국토부원자료'!$A:$T,ROW()+1,MATCH("시군구",'04A_국토부원자료'!$A$4:$T$4,0)),"")</f>
        <v/>
      </c>
      <c r="C39" s="48">
        <f>IF(B39="","",IFERROR(INDEX('04A_국토부원자료'!$A:$T,ROW()+1,MATCH("번지",'04A_국토부원자료'!$A$4:$T$4,0)),""))</f>
        <v/>
      </c>
      <c r="D39" s="48">
        <f>IF(B39="","",IF(Q39=1,'02_대상물건입력'!$B$8,IFERROR(INDEX('04A_국토부원자료'!$A:$T,ROW()+1,MATCH("단지명",'04A_국토부원자료'!$A$4:$T$4,0)),"")))</f>
        <v/>
      </c>
      <c r="E39" s="172">
        <f>IFERROR(VALUE(SUBSTITUTE(INDEX('04A_국토부원자료'!$A:$T,ROW()+1,MATCH("전용면적(㎡)",'04A_국토부원자료'!$A$4:$T$4,0)),",","")),"")</f>
        <v/>
      </c>
      <c r="F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9" s="51">
        <f>IFERROR(VALUE(SUBSTITUTE(INDEX('04A_국토부원자료'!$A:$T,ROW()+1,MATCH("거래금액(만원)",'04A_국토부원자료'!$A$4:$T$4,0)),",","")),"")</f>
        <v/>
      </c>
      <c r="H39" s="174">
        <f>IF(G39="","",G39*10000)</f>
        <v/>
      </c>
      <c r="I39" s="174">
        <f>IFERROR(IF(AND(H39&gt;0,E39&gt;0),H39/E39,""),"")</f>
        <v/>
      </c>
      <c r="J39" s="152">
        <f>IFERROR(VALUE(SUBSTITUTE(INDEX('04A_국토부원자료'!$A:$T,ROW()+1,MATCH("층",'04A_국토부원자료'!$A$4:$T$4,0)),",","")),"")</f>
        <v/>
      </c>
      <c r="K39" s="152">
        <f>IFERROR(VALUE(SUBSTITUTE(INDEX('04A_국토부원자료'!$A:$T,ROW()+1,MATCH("건축년도",'04A_국토부원자료'!$A$4:$T$4,0)),",","")),"")</f>
        <v/>
      </c>
      <c r="L39" s="176">
        <f>IFERROR(INDEX('04A_국토부원자료'!$A:$T,ROW()+1,MATCH("도로명",'04A_국토부원자료'!$A$4:$T$4,0)),"")</f>
        <v/>
      </c>
      <c r="M39" s="48">
        <f>IFERROR(INDEX('04A_국토부원자료'!$A:$T,ROW()+1,MATCH("거래유형",'04A_국토부원자료'!$A$4:$T$4,0)),"")</f>
        <v/>
      </c>
      <c r="N39" s="152">
        <f>IF(B39="","",IF('02_대상물건입력'!B5="",1,IF(ISNUMBER(SEARCH('02_대상물건입력'!B5,B39)),1,0)))</f>
        <v/>
      </c>
      <c r="O39" s="152">
        <f>IF(B39="","",IF('02_대상물건입력'!B6="",1,IF(ISNUMBER(SEARCH('02_대상물건입력'!B6,B39)),1,0)))</f>
        <v/>
      </c>
      <c r="P39" s="152">
        <f>IF(L39="","",IF('02_대상물건입력'!B15="",0,IF(ISNUMBER(SEARCH('02_대상물건입력'!B15,L39)),1,0)))</f>
        <v/>
      </c>
      <c r="Q39" s="152">
        <f>IF(OR(C39="",L39=""),0,IF(AND(TRIM(C39)=TRIM(RIGHT(SUBSTITUTE(TRIM('02_대상물건입력'!$B$7)," ",REPT(" ",99)),99)),IF('02_대상물건입력'!B15="",TRUE(),ISNUMBER(SEARCH('02_대상물건입력'!B15,L39)))),1,0))</f>
        <v/>
      </c>
      <c r="R39" s="175">
        <f>IFERROR(ABS(E39-'02_대상물건입력'!B11)/'02_대상물건입력'!B11,"")</f>
        <v/>
      </c>
      <c r="S39" s="152">
        <f>IFERROR(ABS(J39-'02_대상물건입력'!B10),"")</f>
        <v/>
      </c>
      <c r="T39" s="152">
        <f>IFERROR(ABS('01_설정'!B4-F39),"")</f>
        <v/>
      </c>
      <c r="U39" s="152">
        <f>IFERROR(ABS(K39-YEAR('02_대상물건입력'!B14)),"")</f>
        <v/>
      </c>
      <c r="V39" s="152">
        <f>IF(B39="","",IF(AND(E39&gt;0,F39&gt;0,H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39=1,TRUE()),R39&lt;='01_설정'!B5,S39&lt;='01_설정'!B6,T39&lt;='01_설정'!B7,U39&lt;='01_설정'!B8),"Y",""))</f>
        <v/>
      </c>
      <c r="W39" s="172">
        <f>IF(V39&lt;&gt;"Y","",MAX(0,(1-R39/'01_설정'!B5))*'01_설정'!B14+MAX(0,(1-S39/'01_설정'!B6))*'01_설정'!B15+MAX(0,(1-T39/'01_설정'!B7))*'01_설정'!B16+MAX(0,(1-U39/'01_설정'!B8))*'01_설정'!B17+O39*'01_설정'!B11+Q39*'01_설정'!B12+P39*'01_설정'!B13+IF(Z39="",0,Z39))</f>
        <v/>
      </c>
      <c r="X39" s="152">
        <f>IF(W39="","",1+COUNTIFS($W$4:$W$3003,"&gt;"&amp;W39)+COUNTIFS($W$4:W39,W39)-1)</f>
        <v/>
      </c>
      <c r="Y39" s="175">
        <f>IF(OR(I39="",'02_대상물건입력'!B19="",'02_대상물건입력'!B19&lt;=0),"",ABS(I39-'02_대상물건입력'!B19)/'02_대상물건입력'!B19)</f>
        <v/>
      </c>
      <c r="Z39" s="172">
        <f>IF(OR(Y39="",'01_설정'!B31="",'01_설정'!B31&lt;=0,'01_설정'!B32="",'01_설정'!B32&lt;=0),"",MAX(0,(1-Y39/'01_설정'!B32))*'01_설정'!B31)</f>
        <v/>
      </c>
    </row>
    <row r="40" ht="17.25" customHeight="1">
      <c r="A40" s="152">
        <f>IF(INDEX('04A_국토부원자료'!$A:$A,ROW()+1)="","",ROW()-3)</f>
        <v/>
      </c>
      <c r="B40" s="48">
        <f>IFERROR(INDEX('04A_국토부원자료'!$A:$T,ROW()+1,MATCH("시군구",'04A_국토부원자료'!$A$4:$T$4,0)),"")</f>
        <v/>
      </c>
      <c r="C40" s="48">
        <f>IF(B40="","",IFERROR(INDEX('04A_국토부원자료'!$A:$T,ROW()+1,MATCH("번지",'04A_국토부원자료'!$A$4:$T$4,0)),""))</f>
        <v/>
      </c>
      <c r="D40" s="48">
        <f>IF(B40="","",IF(Q40=1,'02_대상물건입력'!$B$8,IFERROR(INDEX('04A_국토부원자료'!$A:$T,ROW()+1,MATCH("단지명",'04A_국토부원자료'!$A$4:$T$4,0)),"")))</f>
        <v/>
      </c>
      <c r="E40" s="172">
        <f>IFERROR(VALUE(SUBSTITUTE(INDEX('04A_국토부원자료'!$A:$T,ROW()+1,MATCH("전용면적(㎡)",'04A_국토부원자료'!$A$4:$T$4,0)),",","")),"")</f>
        <v/>
      </c>
      <c r="F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0" s="51">
        <f>IFERROR(VALUE(SUBSTITUTE(INDEX('04A_국토부원자료'!$A:$T,ROW()+1,MATCH("거래금액(만원)",'04A_국토부원자료'!$A$4:$T$4,0)),",","")),"")</f>
        <v/>
      </c>
      <c r="H40" s="174">
        <f>IF(G40="","",G40*10000)</f>
        <v/>
      </c>
      <c r="I40" s="174">
        <f>IFERROR(IF(AND(H40&gt;0,E40&gt;0),H40/E40,""),"")</f>
        <v/>
      </c>
      <c r="J40" s="152">
        <f>IFERROR(VALUE(SUBSTITUTE(INDEX('04A_국토부원자료'!$A:$T,ROW()+1,MATCH("층",'04A_국토부원자료'!$A$4:$T$4,0)),",","")),"")</f>
        <v/>
      </c>
      <c r="K40" s="152">
        <f>IFERROR(VALUE(SUBSTITUTE(INDEX('04A_국토부원자료'!$A:$T,ROW()+1,MATCH("건축년도",'04A_국토부원자료'!$A$4:$T$4,0)),",","")),"")</f>
        <v/>
      </c>
      <c r="L40" s="176">
        <f>IFERROR(INDEX('04A_국토부원자료'!$A:$T,ROW()+1,MATCH("도로명",'04A_국토부원자료'!$A$4:$T$4,0)),"")</f>
        <v/>
      </c>
      <c r="M40" s="48">
        <f>IFERROR(INDEX('04A_국토부원자료'!$A:$T,ROW()+1,MATCH("거래유형",'04A_국토부원자료'!$A$4:$T$4,0)),"")</f>
        <v/>
      </c>
      <c r="N40" s="152">
        <f>IF(B40="","",IF('02_대상물건입력'!B5="",1,IF(ISNUMBER(SEARCH('02_대상물건입력'!B5,B40)),1,0)))</f>
        <v/>
      </c>
      <c r="O40" s="152">
        <f>IF(B40="","",IF('02_대상물건입력'!B6="",1,IF(ISNUMBER(SEARCH('02_대상물건입력'!B6,B40)),1,0)))</f>
        <v/>
      </c>
      <c r="P40" s="152">
        <f>IF(L40="","",IF('02_대상물건입력'!B15="",0,IF(ISNUMBER(SEARCH('02_대상물건입력'!B15,L40)),1,0)))</f>
        <v/>
      </c>
      <c r="Q40" s="152">
        <f>IF(OR(C40="",L40=""),0,IF(AND(TRIM(C40)=TRIM(RIGHT(SUBSTITUTE(TRIM('02_대상물건입력'!$B$7)," ",REPT(" ",99)),99)),IF('02_대상물건입력'!B15="",TRUE(),ISNUMBER(SEARCH('02_대상물건입력'!B15,L40)))),1,0))</f>
        <v/>
      </c>
      <c r="R40" s="175">
        <f>IFERROR(ABS(E40-'02_대상물건입력'!B11)/'02_대상물건입력'!B11,"")</f>
        <v/>
      </c>
      <c r="S40" s="152">
        <f>IFERROR(ABS(J40-'02_대상물건입력'!B10),"")</f>
        <v/>
      </c>
      <c r="T40" s="152">
        <f>IFERROR(ABS('01_설정'!B4-F40),"")</f>
        <v/>
      </c>
      <c r="U40" s="152">
        <f>IFERROR(ABS(K40-YEAR('02_대상물건입력'!B14)),"")</f>
        <v/>
      </c>
      <c r="V40" s="152">
        <f>IF(B40="","",IF(AND(E40&gt;0,F40&gt;0,H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40=1,TRUE()),R40&lt;='01_설정'!B5,S40&lt;='01_설정'!B6,T40&lt;='01_설정'!B7,U40&lt;='01_설정'!B8),"Y",""))</f>
        <v/>
      </c>
      <c r="W40" s="172">
        <f>IF(V40&lt;&gt;"Y","",MAX(0,(1-R40/'01_설정'!B5))*'01_설정'!B14+MAX(0,(1-S40/'01_설정'!B6))*'01_설정'!B15+MAX(0,(1-T40/'01_설정'!B7))*'01_설정'!B16+MAX(0,(1-U40/'01_설정'!B8))*'01_설정'!B17+O40*'01_설정'!B11+Q40*'01_설정'!B12+P40*'01_설정'!B13+IF(Z40="",0,Z40))</f>
        <v/>
      </c>
      <c r="X40" s="152">
        <f>IF(W40="","",1+COUNTIFS($W$4:$W$3003,"&gt;"&amp;W40)+COUNTIFS($W$4:W40,W40)-1)</f>
        <v/>
      </c>
      <c r="Y40" s="175">
        <f>IF(OR(I40="",'02_대상물건입력'!B19="",'02_대상물건입력'!B19&lt;=0),"",ABS(I40-'02_대상물건입력'!B19)/'02_대상물건입력'!B19)</f>
        <v/>
      </c>
      <c r="Z40" s="172">
        <f>IF(OR(Y40="",'01_설정'!B31="",'01_설정'!B31&lt;=0,'01_설정'!B32="",'01_설정'!B32&lt;=0),"",MAX(0,(1-Y40/'01_설정'!B32))*'01_설정'!B31)</f>
        <v/>
      </c>
    </row>
    <row r="41" ht="17.25" customHeight="1">
      <c r="A41" s="152">
        <f>IF(INDEX('04A_국토부원자료'!$A:$A,ROW()+1)="","",ROW()-3)</f>
        <v/>
      </c>
      <c r="B41" s="48">
        <f>IFERROR(INDEX('04A_국토부원자료'!$A:$T,ROW()+1,MATCH("시군구",'04A_국토부원자료'!$A$4:$T$4,0)),"")</f>
        <v/>
      </c>
      <c r="C41" s="48">
        <f>IF(B41="","",IFERROR(INDEX('04A_국토부원자료'!$A:$T,ROW()+1,MATCH("번지",'04A_국토부원자료'!$A$4:$T$4,0)),""))</f>
        <v/>
      </c>
      <c r="D41" s="48">
        <f>IF(B41="","",IF(Q41=1,'02_대상물건입력'!$B$8,IFERROR(INDEX('04A_국토부원자료'!$A:$T,ROW()+1,MATCH("단지명",'04A_국토부원자료'!$A$4:$T$4,0)),"")))</f>
        <v/>
      </c>
      <c r="E41" s="172">
        <f>IFERROR(VALUE(SUBSTITUTE(INDEX('04A_국토부원자료'!$A:$T,ROW()+1,MATCH("전용면적(㎡)",'04A_국토부원자료'!$A$4:$T$4,0)),",","")),"")</f>
        <v/>
      </c>
      <c r="F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1" s="51">
        <f>IFERROR(VALUE(SUBSTITUTE(INDEX('04A_국토부원자료'!$A:$T,ROW()+1,MATCH("거래금액(만원)",'04A_국토부원자료'!$A$4:$T$4,0)),",","")),"")</f>
        <v/>
      </c>
      <c r="H41" s="174">
        <f>IF(G41="","",G41*10000)</f>
        <v/>
      </c>
      <c r="I41" s="174">
        <f>IFERROR(IF(AND(H41&gt;0,E41&gt;0),H41/E41,""),"")</f>
        <v/>
      </c>
      <c r="J41" s="152">
        <f>IFERROR(VALUE(SUBSTITUTE(INDEX('04A_국토부원자료'!$A:$T,ROW()+1,MATCH("층",'04A_국토부원자료'!$A$4:$T$4,0)),",","")),"")</f>
        <v/>
      </c>
      <c r="K41" s="152">
        <f>IFERROR(VALUE(SUBSTITUTE(INDEX('04A_국토부원자료'!$A:$T,ROW()+1,MATCH("건축년도",'04A_국토부원자료'!$A$4:$T$4,0)),",","")),"")</f>
        <v/>
      </c>
      <c r="L41" s="176">
        <f>IFERROR(INDEX('04A_국토부원자료'!$A:$T,ROW()+1,MATCH("도로명",'04A_국토부원자료'!$A$4:$T$4,0)),"")</f>
        <v/>
      </c>
      <c r="M41" s="48">
        <f>IFERROR(INDEX('04A_국토부원자료'!$A:$T,ROW()+1,MATCH("거래유형",'04A_국토부원자료'!$A$4:$T$4,0)),"")</f>
        <v/>
      </c>
      <c r="N41" s="152">
        <f>IF(B41="","",IF('02_대상물건입력'!B5="",1,IF(ISNUMBER(SEARCH('02_대상물건입력'!B5,B41)),1,0)))</f>
        <v/>
      </c>
      <c r="O41" s="152">
        <f>IF(B41="","",IF('02_대상물건입력'!B6="",1,IF(ISNUMBER(SEARCH('02_대상물건입력'!B6,B41)),1,0)))</f>
        <v/>
      </c>
      <c r="P41" s="152">
        <f>IF(L41="","",IF('02_대상물건입력'!B15="",0,IF(ISNUMBER(SEARCH('02_대상물건입력'!B15,L41)),1,0)))</f>
        <v/>
      </c>
      <c r="Q41" s="152">
        <f>IF(OR(C41="",L41=""),0,IF(AND(TRIM(C41)=TRIM(RIGHT(SUBSTITUTE(TRIM('02_대상물건입력'!$B$7)," ",REPT(" ",99)),99)),IF('02_대상물건입력'!B15="",TRUE(),ISNUMBER(SEARCH('02_대상물건입력'!B15,L41)))),1,0))</f>
        <v/>
      </c>
      <c r="R41" s="175">
        <f>IFERROR(ABS(E41-'02_대상물건입력'!B11)/'02_대상물건입력'!B11,"")</f>
        <v/>
      </c>
      <c r="S41" s="152">
        <f>IFERROR(ABS(J41-'02_대상물건입력'!B10),"")</f>
        <v/>
      </c>
      <c r="T41" s="152">
        <f>IFERROR(ABS('01_설정'!B4-F41),"")</f>
        <v/>
      </c>
      <c r="U41" s="152">
        <f>IFERROR(ABS(K41-YEAR('02_대상물건입력'!B14)),"")</f>
        <v/>
      </c>
      <c r="V41" s="152">
        <f>IF(B41="","",IF(AND(E41&gt;0,F41&gt;0,H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41=1,TRUE()),R41&lt;='01_설정'!B5,S41&lt;='01_설정'!B6,T41&lt;='01_설정'!B7,U41&lt;='01_설정'!B8),"Y",""))</f>
        <v/>
      </c>
      <c r="W41" s="172">
        <f>IF(V41&lt;&gt;"Y","",MAX(0,(1-R41/'01_설정'!B5))*'01_설정'!B14+MAX(0,(1-S41/'01_설정'!B6))*'01_설정'!B15+MAX(0,(1-T41/'01_설정'!B7))*'01_설정'!B16+MAX(0,(1-U41/'01_설정'!B8))*'01_설정'!B17+O41*'01_설정'!B11+Q41*'01_설정'!B12+P41*'01_설정'!B13+IF(Z41="",0,Z41))</f>
        <v/>
      </c>
      <c r="X41" s="152">
        <f>IF(W41="","",1+COUNTIFS($W$4:$W$3003,"&gt;"&amp;W41)+COUNTIFS($W$4:W41,W41)-1)</f>
        <v/>
      </c>
      <c r="Y41" s="175">
        <f>IF(OR(I41="",'02_대상물건입력'!B19="",'02_대상물건입력'!B19&lt;=0),"",ABS(I41-'02_대상물건입력'!B19)/'02_대상물건입력'!B19)</f>
        <v/>
      </c>
      <c r="Z41" s="172">
        <f>IF(OR(Y41="",'01_설정'!B31="",'01_설정'!B31&lt;=0,'01_설정'!B32="",'01_설정'!B32&lt;=0),"",MAX(0,(1-Y41/'01_설정'!B32))*'01_설정'!B31)</f>
        <v/>
      </c>
    </row>
    <row r="42" ht="17.25" customHeight="1">
      <c r="A42" s="152">
        <f>IF(INDEX('04A_국토부원자료'!$A:$A,ROW()+1)="","",ROW()-3)</f>
        <v/>
      </c>
      <c r="B42" s="48">
        <f>IFERROR(INDEX('04A_국토부원자료'!$A:$T,ROW()+1,MATCH("시군구",'04A_국토부원자료'!$A$4:$T$4,0)),"")</f>
        <v/>
      </c>
      <c r="C42" s="48">
        <f>IF(B42="","",IFERROR(INDEX('04A_국토부원자료'!$A:$T,ROW()+1,MATCH("번지",'04A_국토부원자료'!$A$4:$T$4,0)),""))</f>
        <v/>
      </c>
      <c r="D42" s="48">
        <f>IF(B42="","",IF(Q42=1,'02_대상물건입력'!$B$8,IFERROR(INDEX('04A_국토부원자료'!$A:$T,ROW()+1,MATCH("단지명",'04A_국토부원자료'!$A$4:$T$4,0)),"")))</f>
        <v/>
      </c>
      <c r="E42" s="172">
        <f>IFERROR(VALUE(SUBSTITUTE(INDEX('04A_국토부원자료'!$A:$T,ROW()+1,MATCH("전용면적(㎡)",'04A_국토부원자료'!$A$4:$T$4,0)),",","")),"")</f>
        <v/>
      </c>
      <c r="F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2" s="51">
        <f>IFERROR(VALUE(SUBSTITUTE(INDEX('04A_국토부원자료'!$A:$T,ROW()+1,MATCH("거래금액(만원)",'04A_국토부원자료'!$A$4:$T$4,0)),",","")),"")</f>
        <v/>
      </c>
      <c r="H42" s="174">
        <f>IF(G42="","",G42*10000)</f>
        <v/>
      </c>
      <c r="I42" s="174">
        <f>IFERROR(IF(AND(H42&gt;0,E42&gt;0),H42/E42,""),"")</f>
        <v/>
      </c>
      <c r="J42" s="152">
        <f>IFERROR(VALUE(SUBSTITUTE(INDEX('04A_국토부원자료'!$A:$T,ROW()+1,MATCH("층",'04A_국토부원자료'!$A$4:$T$4,0)),",","")),"")</f>
        <v/>
      </c>
      <c r="K42" s="152">
        <f>IFERROR(VALUE(SUBSTITUTE(INDEX('04A_국토부원자료'!$A:$T,ROW()+1,MATCH("건축년도",'04A_국토부원자료'!$A$4:$T$4,0)),",","")),"")</f>
        <v/>
      </c>
      <c r="L42" s="176">
        <f>IFERROR(INDEX('04A_국토부원자료'!$A:$T,ROW()+1,MATCH("도로명",'04A_국토부원자료'!$A$4:$T$4,0)),"")</f>
        <v/>
      </c>
      <c r="M42" s="48">
        <f>IFERROR(INDEX('04A_국토부원자료'!$A:$T,ROW()+1,MATCH("거래유형",'04A_국토부원자료'!$A$4:$T$4,0)),"")</f>
        <v/>
      </c>
      <c r="N42" s="152">
        <f>IF(B42="","",IF('02_대상물건입력'!B5="",1,IF(ISNUMBER(SEARCH('02_대상물건입력'!B5,B42)),1,0)))</f>
        <v/>
      </c>
      <c r="O42" s="152">
        <f>IF(B42="","",IF('02_대상물건입력'!B6="",1,IF(ISNUMBER(SEARCH('02_대상물건입력'!B6,B42)),1,0)))</f>
        <v/>
      </c>
      <c r="P42" s="152">
        <f>IF(L42="","",IF('02_대상물건입력'!B15="",0,IF(ISNUMBER(SEARCH('02_대상물건입력'!B15,L42)),1,0)))</f>
        <v/>
      </c>
      <c r="Q42" s="152">
        <f>IF(OR(C42="",L42=""),0,IF(AND(TRIM(C42)=TRIM(RIGHT(SUBSTITUTE(TRIM('02_대상물건입력'!$B$7)," ",REPT(" ",99)),99)),IF('02_대상물건입력'!B15="",TRUE(),ISNUMBER(SEARCH('02_대상물건입력'!B15,L42)))),1,0))</f>
        <v/>
      </c>
      <c r="R42" s="175">
        <f>IFERROR(ABS(E42-'02_대상물건입력'!B11)/'02_대상물건입력'!B11,"")</f>
        <v/>
      </c>
      <c r="S42" s="152">
        <f>IFERROR(ABS(J42-'02_대상물건입력'!B10),"")</f>
        <v/>
      </c>
      <c r="T42" s="152">
        <f>IFERROR(ABS('01_설정'!B4-F42),"")</f>
        <v/>
      </c>
      <c r="U42" s="152">
        <f>IFERROR(ABS(K42-YEAR('02_대상물건입력'!B14)),"")</f>
        <v/>
      </c>
      <c r="V42" s="152">
        <f>IF(B42="","",IF(AND(E42&gt;0,F42&gt;0,H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42=1,TRUE()),R42&lt;='01_설정'!B5,S42&lt;='01_설정'!B6,T42&lt;='01_설정'!B7,U42&lt;='01_설정'!B8),"Y",""))</f>
        <v/>
      </c>
      <c r="W42" s="172">
        <f>IF(V42&lt;&gt;"Y","",MAX(0,(1-R42/'01_설정'!B5))*'01_설정'!B14+MAX(0,(1-S42/'01_설정'!B6))*'01_설정'!B15+MAX(0,(1-T42/'01_설정'!B7))*'01_설정'!B16+MAX(0,(1-U42/'01_설정'!B8))*'01_설정'!B17+O42*'01_설정'!B11+Q42*'01_설정'!B12+P42*'01_설정'!B13+IF(Z42="",0,Z42))</f>
        <v/>
      </c>
      <c r="X42" s="152">
        <f>IF(W42="","",1+COUNTIFS($W$4:$W$3003,"&gt;"&amp;W42)+COUNTIFS($W$4:W42,W42)-1)</f>
        <v/>
      </c>
      <c r="Y42" s="175">
        <f>IF(OR(I42="",'02_대상물건입력'!B19="",'02_대상물건입력'!B19&lt;=0),"",ABS(I42-'02_대상물건입력'!B19)/'02_대상물건입력'!B19)</f>
        <v/>
      </c>
      <c r="Z42" s="172">
        <f>IF(OR(Y42="",'01_설정'!B31="",'01_설정'!B31&lt;=0,'01_설정'!B32="",'01_설정'!B32&lt;=0),"",MAX(0,(1-Y42/'01_설정'!B32))*'01_설정'!B31)</f>
        <v/>
      </c>
    </row>
    <row r="43" ht="17.25" customHeight="1">
      <c r="A43" s="152">
        <f>IF(INDEX('04A_국토부원자료'!$A:$A,ROW()+1)="","",ROW()-3)</f>
        <v/>
      </c>
      <c r="B43" s="48">
        <f>IFERROR(INDEX('04A_국토부원자료'!$A:$T,ROW()+1,MATCH("시군구",'04A_국토부원자료'!$A$4:$T$4,0)),"")</f>
        <v/>
      </c>
      <c r="C43" s="48">
        <f>IF(B43="","",IFERROR(INDEX('04A_국토부원자료'!$A:$T,ROW()+1,MATCH("번지",'04A_국토부원자료'!$A$4:$T$4,0)),""))</f>
        <v/>
      </c>
      <c r="D43" s="48">
        <f>IF(B43="","",IF(Q43=1,'02_대상물건입력'!$B$8,IFERROR(INDEX('04A_국토부원자료'!$A:$T,ROW()+1,MATCH("단지명",'04A_국토부원자료'!$A$4:$T$4,0)),"")))</f>
        <v/>
      </c>
      <c r="E43" s="172">
        <f>IFERROR(VALUE(SUBSTITUTE(INDEX('04A_국토부원자료'!$A:$T,ROW()+1,MATCH("전용면적(㎡)",'04A_국토부원자료'!$A$4:$T$4,0)),",","")),"")</f>
        <v/>
      </c>
      <c r="F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3" s="51">
        <f>IFERROR(VALUE(SUBSTITUTE(INDEX('04A_국토부원자료'!$A:$T,ROW()+1,MATCH("거래금액(만원)",'04A_국토부원자료'!$A$4:$T$4,0)),",","")),"")</f>
        <v/>
      </c>
      <c r="H43" s="174">
        <f>IF(G43="","",G43*10000)</f>
        <v/>
      </c>
      <c r="I43" s="174">
        <f>IFERROR(IF(AND(H43&gt;0,E43&gt;0),H43/E43,""),"")</f>
        <v/>
      </c>
      <c r="J43" s="152">
        <f>IFERROR(VALUE(SUBSTITUTE(INDEX('04A_국토부원자료'!$A:$T,ROW()+1,MATCH("층",'04A_국토부원자료'!$A$4:$T$4,0)),",","")),"")</f>
        <v/>
      </c>
      <c r="K43" s="152">
        <f>IFERROR(VALUE(SUBSTITUTE(INDEX('04A_국토부원자료'!$A:$T,ROW()+1,MATCH("건축년도",'04A_국토부원자료'!$A$4:$T$4,0)),",","")),"")</f>
        <v/>
      </c>
      <c r="L43" s="176">
        <f>IFERROR(INDEX('04A_국토부원자료'!$A:$T,ROW()+1,MATCH("도로명",'04A_국토부원자료'!$A$4:$T$4,0)),"")</f>
        <v/>
      </c>
      <c r="M43" s="48">
        <f>IFERROR(INDEX('04A_국토부원자료'!$A:$T,ROW()+1,MATCH("거래유형",'04A_국토부원자료'!$A$4:$T$4,0)),"")</f>
        <v/>
      </c>
      <c r="N43" s="152">
        <f>IF(B43="","",IF('02_대상물건입력'!B5="",1,IF(ISNUMBER(SEARCH('02_대상물건입력'!B5,B43)),1,0)))</f>
        <v/>
      </c>
      <c r="O43" s="152">
        <f>IF(B43="","",IF('02_대상물건입력'!B6="",1,IF(ISNUMBER(SEARCH('02_대상물건입력'!B6,B43)),1,0)))</f>
        <v/>
      </c>
      <c r="P43" s="152">
        <f>IF(L43="","",IF('02_대상물건입력'!B15="",0,IF(ISNUMBER(SEARCH('02_대상물건입력'!B15,L43)),1,0)))</f>
        <v/>
      </c>
      <c r="Q43" s="152">
        <f>IF(OR(C43="",L43=""),0,IF(AND(TRIM(C43)=TRIM(RIGHT(SUBSTITUTE(TRIM('02_대상물건입력'!$B$7)," ",REPT(" ",99)),99)),IF('02_대상물건입력'!B15="",TRUE(),ISNUMBER(SEARCH('02_대상물건입력'!B15,L43)))),1,0))</f>
        <v/>
      </c>
      <c r="R43" s="175">
        <f>IFERROR(ABS(E43-'02_대상물건입력'!B11)/'02_대상물건입력'!B11,"")</f>
        <v/>
      </c>
      <c r="S43" s="152">
        <f>IFERROR(ABS(J43-'02_대상물건입력'!B10),"")</f>
        <v/>
      </c>
      <c r="T43" s="152">
        <f>IFERROR(ABS('01_설정'!B4-F43),"")</f>
        <v/>
      </c>
      <c r="U43" s="152">
        <f>IFERROR(ABS(K43-YEAR('02_대상물건입력'!B14)),"")</f>
        <v/>
      </c>
      <c r="V43" s="152">
        <f>IF(B43="","",IF(AND(E43&gt;0,F43&gt;0,H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43=1,TRUE()),R43&lt;='01_설정'!B5,S43&lt;='01_설정'!B6,T43&lt;='01_설정'!B7,U43&lt;='01_설정'!B8),"Y",""))</f>
        <v/>
      </c>
      <c r="W43" s="172">
        <f>IF(V43&lt;&gt;"Y","",MAX(0,(1-R43/'01_설정'!B5))*'01_설정'!B14+MAX(0,(1-S43/'01_설정'!B6))*'01_설정'!B15+MAX(0,(1-T43/'01_설정'!B7))*'01_설정'!B16+MAX(0,(1-U43/'01_설정'!B8))*'01_설정'!B17+O43*'01_설정'!B11+Q43*'01_설정'!B12+P43*'01_설정'!B13+IF(Z43="",0,Z43))</f>
        <v/>
      </c>
      <c r="X43" s="152">
        <f>IF(W43="","",1+COUNTIFS($W$4:$W$3003,"&gt;"&amp;W43)+COUNTIFS($W$4:W43,W43)-1)</f>
        <v/>
      </c>
      <c r="Y43" s="175">
        <f>IF(OR(I43="",'02_대상물건입력'!B19="",'02_대상물건입력'!B19&lt;=0),"",ABS(I43-'02_대상물건입력'!B19)/'02_대상물건입력'!B19)</f>
        <v/>
      </c>
      <c r="Z43" s="172">
        <f>IF(OR(Y43="",'01_설정'!B31="",'01_설정'!B31&lt;=0,'01_설정'!B32="",'01_설정'!B32&lt;=0),"",MAX(0,(1-Y43/'01_설정'!B32))*'01_설정'!B31)</f>
        <v/>
      </c>
    </row>
    <row r="44" ht="17.25" customHeight="1">
      <c r="A44" s="152">
        <f>IF(INDEX('04A_국토부원자료'!$A:$A,ROW()+1)="","",ROW()-3)</f>
        <v/>
      </c>
      <c r="B44" s="48">
        <f>IFERROR(INDEX('04A_국토부원자료'!$A:$T,ROW()+1,MATCH("시군구",'04A_국토부원자료'!$A$4:$T$4,0)),"")</f>
        <v/>
      </c>
      <c r="C44" s="48">
        <f>IF(B44="","",IFERROR(INDEX('04A_국토부원자료'!$A:$T,ROW()+1,MATCH("번지",'04A_국토부원자료'!$A$4:$T$4,0)),""))</f>
        <v/>
      </c>
      <c r="D44" s="48">
        <f>IF(B44="","",IF(Q44=1,'02_대상물건입력'!$B$8,IFERROR(INDEX('04A_국토부원자료'!$A:$T,ROW()+1,MATCH("단지명",'04A_국토부원자료'!$A$4:$T$4,0)),"")))</f>
        <v/>
      </c>
      <c r="E44" s="172">
        <f>IFERROR(VALUE(SUBSTITUTE(INDEX('04A_국토부원자료'!$A:$T,ROW()+1,MATCH("전용면적(㎡)",'04A_국토부원자료'!$A$4:$T$4,0)),",","")),"")</f>
        <v/>
      </c>
      <c r="F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4" s="51">
        <f>IFERROR(VALUE(SUBSTITUTE(INDEX('04A_국토부원자료'!$A:$T,ROW()+1,MATCH("거래금액(만원)",'04A_국토부원자료'!$A$4:$T$4,0)),",","")),"")</f>
        <v/>
      </c>
      <c r="H44" s="174">
        <f>IF(G44="","",G44*10000)</f>
        <v/>
      </c>
      <c r="I44" s="174">
        <f>IFERROR(IF(AND(H44&gt;0,E44&gt;0),H44/E44,""),"")</f>
        <v/>
      </c>
      <c r="J44" s="152">
        <f>IFERROR(VALUE(SUBSTITUTE(INDEX('04A_국토부원자료'!$A:$T,ROW()+1,MATCH("층",'04A_국토부원자료'!$A$4:$T$4,0)),",","")),"")</f>
        <v/>
      </c>
      <c r="K44" s="152">
        <f>IFERROR(VALUE(SUBSTITUTE(INDEX('04A_국토부원자료'!$A:$T,ROW()+1,MATCH("건축년도",'04A_국토부원자료'!$A$4:$T$4,0)),",","")),"")</f>
        <v/>
      </c>
      <c r="L44" s="176">
        <f>IFERROR(INDEX('04A_국토부원자료'!$A:$T,ROW()+1,MATCH("도로명",'04A_국토부원자료'!$A$4:$T$4,0)),"")</f>
        <v/>
      </c>
      <c r="M44" s="48">
        <f>IFERROR(INDEX('04A_국토부원자료'!$A:$T,ROW()+1,MATCH("거래유형",'04A_국토부원자료'!$A$4:$T$4,0)),"")</f>
        <v/>
      </c>
      <c r="N44" s="152">
        <f>IF(B44="","",IF('02_대상물건입력'!B5="",1,IF(ISNUMBER(SEARCH('02_대상물건입력'!B5,B44)),1,0)))</f>
        <v/>
      </c>
      <c r="O44" s="152">
        <f>IF(B44="","",IF('02_대상물건입력'!B6="",1,IF(ISNUMBER(SEARCH('02_대상물건입력'!B6,B44)),1,0)))</f>
        <v/>
      </c>
      <c r="P44" s="152">
        <f>IF(L44="","",IF('02_대상물건입력'!B15="",0,IF(ISNUMBER(SEARCH('02_대상물건입력'!B15,L44)),1,0)))</f>
        <v/>
      </c>
      <c r="Q44" s="152">
        <f>IF(OR(C44="",L44=""),0,IF(AND(TRIM(C44)=TRIM(RIGHT(SUBSTITUTE(TRIM('02_대상물건입력'!$B$7)," ",REPT(" ",99)),99)),IF('02_대상물건입력'!B15="",TRUE(),ISNUMBER(SEARCH('02_대상물건입력'!B15,L44)))),1,0))</f>
        <v/>
      </c>
      <c r="R44" s="175">
        <f>IFERROR(ABS(E44-'02_대상물건입력'!B11)/'02_대상물건입력'!B11,"")</f>
        <v/>
      </c>
      <c r="S44" s="152">
        <f>IFERROR(ABS(J44-'02_대상물건입력'!B10),"")</f>
        <v/>
      </c>
      <c r="T44" s="152">
        <f>IFERROR(ABS('01_설정'!B4-F44),"")</f>
        <v/>
      </c>
      <c r="U44" s="152">
        <f>IFERROR(ABS(K44-YEAR('02_대상물건입력'!B14)),"")</f>
        <v/>
      </c>
      <c r="V44" s="152">
        <f>IF(B44="","",IF(AND(E44&gt;0,F44&gt;0,H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44=1,TRUE()),R44&lt;='01_설정'!B5,S44&lt;='01_설정'!B6,T44&lt;='01_설정'!B7,U44&lt;='01_설정'!B8),"Y",""))</f>
        <v/>
      </c>
      <c r="W44" s="172">
        <f>IF(V44&lt;&gt;"Y","",MAX(0,(1-R44/'01_설정'!B5))*'01_설정'!B14+MAX(0,(1-S44/'01_설정'!B6))*'01_설정'!B15+MAX(0,(1-T44/'01_설정'!B7))*'01_설정'!B16+MAX(0,(1-U44/'01_설정'!B8))*'01_설정'!B17+O44*'01_설정'!B11+Q44*'01_설정'!B12+P44*'01_설정'!B13+IF(Z44="",0,Z44))</f>
        <v/>
      </c>
      <c r="X44" s="152">
        <f>IF(W44="","",1+COUNTIFS($W$4:$W$3003,"&gt;"&amp;W44)+COUNTIFS($W$4:W44,W44)-1)</f>
        <v/>
      </c>
      <c r="Y44" s="175">
        <f>IF(OR(I44="",'02_대상물건입력'!B19="",'02_대상물건입력'!B19&lt;=0),"",ABS(I44-'02_대상물건입력'!B19)/'02_대상물건입력'!B19)</f>
        <v/>
      </c>
      <c r="Z44" s="172">
        <f>IF(OR(Y44="",'01_설정'!B31="",'01_설정'!B31&lt;=0,'01_설정'!B32="",'01_설정'!B32&lt;=0),"",MAX(0,(1-Y44/'01_설정'!B32))*'01_설정'!B31)</f>
        <v/>
      </c>
    </row>
    <row r="45" ht="17.25" customHeight="1">
      <c r="A45" s="152">
        <f>IF(INDEX('04A_국토부원자료'!$A:$A,ROW()+1)="","",ROW()-3)</f>
        <v/>
      </c>
      <c r="B45" s="48">
        <f>IFERROR(INDEX('04A_국토부원자료'!$A:$T,ROW()+1,MATCH("시군구",'04A_국토부원자료'!$A$4:$T$4,0)),"")</f>
        <v/>
      </c>
      <c r="C45" s="48">
        <f>IF(B45="","",IFERROR(INDEX('04A_국토부원자료'!$A:$T,ROW()+1,MATCH("번지",'04A_국토부원자료'!$A$4:$T$4,0)),""))</f>
        <v/>
      </c>
      <c r="D45" s="48">
        <f>IF(B45="","",IF(Q45=1,'02_대상물건입력'!$B$8,IFERROR(INDEX('04A_국토부원자료'!$A:$T,ROW()+1,MATCH("단지명",'04A_국토부원자료'!$A$4:$T$4,0)),"")))</f>
        <v/>
      </c>
      <c r="E45" s="172">
        <f>IFERROR(VALUE(SUBSTITUTE(INDEX('04A_국토부원자료'!$A:$T,ROW()+1,MATCH("전용면적(㎡)",'04A_국토부원자료'!$A$4:$T$4,0)),",","")),"")</f>
        <v/>
      </c>
      <c r="F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5" s="51">
        <f>IFERROR(VALUE(SUBSTITUTE(INDEX('04A_국토부원자료'!$A:$T,ROW()+1,MATCH("거래금액(만원)",'04A_국토부원자료'!$A$4:$T$4,0)),",","")),"")</f>
        <v/>
      </c>
      <c r="H45" s="174">
        <f>IF(G45="","",G45*10000)</f>
        <v/>
      </c>
      <c r="I45" s="174">
        <f>IFERROR(IF(AND(H45&gt;0,E45&gt;0),H45/E45,""),"")</f>
        <v/>
      </c>
      <c r="J45" s="152">
        <f>IFERROR(VALUE(SUBSTITUTE(INDEX('04A_국토부원자료'!$A:$T,ROW()+1,MATCH("층",'04A_국토부원자료'!$A$4:$T$4,0)),",","")),"")</f>
        <v/>
      </c>
      <c r="K45" s="152">
        <f>IFERROR(VALUE(SUBSTITUTE(INDEX('04A_국토부원자료'!$A:$T,ROW()+1,MATCH("건축년도",'04A_국토부원자료'!$A$4:$T$4,0)),",","")),"")</f>
        <v/>
      </c>
      <c r="L45" s="176">
        <f>IFERROR(INDEX('04A_국토부원자료'!$A:$T,ROW()+1,MATCH("도로명",'04A_국토부원자료'!$A$4:$T$4,0)),"")</f>
        <v/>
      </c>
      <c r="M45" s="48">
        <f>IFERROR(INDEX('04A_국토부원자료'!$A:$T,ROW()+1,MATCH("거래유형",'04A_국토부원자료'!$A$4:$T$4,0)),"")</f>
        <v/>
      </c>
      <c r="N45" s="152">
        <f>IF(B45="","",IF('02_대상물건입력'!B5="",1,IF(ISNUMBER(SEARCH('02_대상물건입력'!B5,B45)),1,0)))</f>
        <v/>
      </c>
      <c r="O45" s="152">
        <f>IF(B45="","",IF('02_대상물건입력'!B6="",1,IF(ISNUMBER(SEARCH('02_대상물건입력'!B6,B45)),1,0)))</f>
        <v/>
      </c>
      <c r="P45" s="152">
        <f>IF(L45="","",IF('02_대상물건입력'!B15="",0,IF(ISNUMBER(SEARCH('02_대상물건입력'!B15,L45)),1,0)))</f>
        <v/>
      </c>
      <c r="Q45" s="152">
        <f>IF(OR(C45="",L45=""),0,IF(AND(TRIM(C45)=TRIM(RIGHT(SUBSTITUTE(TRIM('02_대상물건입력'!$B$7)," ",REPT(" ",99)),99)),IF('02_대상물건입력'!B15="",TRUE(),ISNUMBER(SEARCH('02_대상물건입력'!B15,L45)))),1,0))</f>
        <v/>
      </c>
      <c r="R45" s="175">
        <f>IFERROR(ABS(E45-'02_대상물건입력'!B11)/'02_대상물건입력'!B11,"")</f>
        <v/>
      </c>
      <c r="S45" s="152">
        <f>IFERROR(ABS(J45-'02_대상물건입력'!B10),"")</f>
        <v/>
      </c>
      <c r="T45" s="152">
        <f>IFERROR(ABS('01_설정'!B4-F45),"")</f>
        <v/>
      </c>
      <c r="U45" s="152">
        <f>IFERROR(ABS(K45-YEAR('02_대상물건입력'!B14)),"")</f>
        <v/>
      </c>
      <c r="V45" s="152">
        <f>IF(B45="","",IF(AND(E45&gt;0,F45&gt;0,H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45=1,TRUE()),R45&lt;='01_설정'!B5,S45&lt;='01_설정'!B6,T45&lt;='01_설정'!B7,U45&lt;='01_설정'!B8),"Y",""))</f>
        <v/>
      </c>
      <c r="W45" s="172">
        <f>IF(V45&lt;&gt;"Y","",MAX(0,(1-R45/'01_설정'!B5))*'01_설정'!B14+MAX(0,(1-S45/'01_설정'!B6))*'01_설정'!B15+MAX(0,(1-T45/'01_설정'!B7))*'01_설정'!B16+MAX(0,(1-U45/'01_설정'!B8))*'01_설정'!B17+O45*'01_설정'!B11+Q45*'01_설정'!B12+P45*'01_설정'!B13+IF(Z45="",0,Z45))</f>
        <v/>
      </c>
      <c r="X45" s="152">
        <f>IF(W45="","",1+COUNTIFS($W$4:$W$3003,"&gt;"&amp;W45)+COUNTIFS($W$4:W45,W45)-1)</f>
        <v/>
      </c>
      <c r="Y45" s="175">
        <f>IF(OR(I45="",'02_대상물건입력'!B19="",'02_대상물건입력'!B19&lt;=0),"",ABS(I45-'02_대상물건입력'!B19)/'02_대상물건입력'!B19)</f>
        <v/>
      </c>
      <c r="Z45" s="172">
        <f>IF(OR(Y45="",'01_설정'!B31="",'01_설정'!B31&lt;=0,'01_설정'!B32="",'01_설정'!B32&lt;=0),"",MAX(0,(1-Y45/'01_설정'!B32))*'01_설정'!B31)</f>
        <v/>
      </c>
    </row>
    <row r="46" ht="17.25" customHeight="1">
      <c r="A46" s="152">
        <f>IF(INDEX('04A_국토부원자료'!$A:$A,ROW()+1)="","",ROW()-3)</f>
        <v/>
      </c>
      <c r="B46" s="48">
        <f>IFERROR(INDEX('04A_국토부원자료'!$A:$T,ROW()+1,MATCH("시군구",'04A_국토부원자료'!$A$4:$T$4,0)),"")</f>
        <v/>
      </c>
      <c r="C46" s="48">
        <f>IF(B46="","",IFERROR(INDEX('04A_국토부원자료'!$A:$T,ROW()+1,MATCH("번지",'04A_국토부원자료'!$A$4:$T$4,0)),""))</f>
        <v/>
      </c>
      <c r="D46" s="48">
        <f>IF(B46="","",IF(Q46=1,'02_대상물건입력'!$B$8,IFERROR(INDEX('04A_국토부원자료'!$A:$T,ROW()+1,MATCH("단지명",'04A_국토부원자료'!$A$4:$T$4,0)),"")))</f>
        <v/>
      </c>
      <c r="E46" s="172">
        <f>IFERROR(VALUE(SUBSTITUTE(INDEX('04A_국토부원자료'!$A:$T,ROW()+1,MATCH("전용면적(㎡)",'04A_국토부원자료'!$A$4:$T$4,0)),",","")),"")</f>
        <v/>
      </c>
      <c r="F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6" s="51">
        <f>IFERROR(VALUE(SUBSTITUTE(INDEX('04A_국토부원자료'!$A:$T,ROW()+1,MATCH("거래금액(만원)",'04A_국토부원자료'!$A$4:$T$4,0)),",","")),"")</f>
        <v/>
      </c>
      <c r="H46" s="174">
        <f>IF(G46="","",G46*10000)</f>
        <v/>
      </c>
      <c r="I46" s="174">
        <f>IFERROR(IF(AND(H46&gt;0,E46&gt;0),H46/E46,""),"")</f>
        <v/>
      </c>
      <c r="J46" s="152">
        <f>IFERROR(VALUE(SUBSTITUTE(INDEX('04A_국토부원자료'!$A:$T,ROW()+1,MATCH("층",'04A_국토부원자료'!$A$4:$T$4,0)),",","")),"")</f>
        <v/>
      </c>
      <c r="K46" s="152">
        <f>IFERROR(VALUE(SUBSTITUTE(INDEX('04A_국토부원자료'!$A:$T,ROW()+1,MATCH("건축년도",'04A_국토부원자료'!$A$4:$T$4,0)),",","")),"")</f>
        <v/>
      </c>
      <c r="L46" s="176">
        <f>IFERROR(INDEX('04A_국토부원자료'!$A:$T,ROW()+1,MATCH("도로명",'04A_국토부원자료'!$A$4:$T$4,0)),"")</f>
        <v/>
      </c>
      <c r="M46" s="48">
        <f>IFERROR(INDEX('04A_국토부원자료'!$A:$T,ROW()+1,MATCH("거래유형",'04A_국토부원자료'!$A$4:$T$4,0)),"")</f>
        <v/>
      </c>
      <c r="N46" s="152">
        <f>IF(B46="","",IF('02_대상물건입력'!B5="",1,IF(ISNUMBER(SEARCH('02_대상물건입력'!B5,B46)),1,0)))</f>
        <v/>
      </c>
      <c r="O46" s="152">
        <f>IF(B46="","",IF('02_대상물건입력'!B6="",1,IF(ISNUMBER(SEARCH('02_대상물건입력'!B6,B46)),1,0)))</f>
        <v/>
      </c>
      <c r="P46" s="152">
        <f>IF(L46="","",IF('02_대상물건입력'!B15="",0,IF(ISNUMBER(SEARCH('02_대상물건입력'!B15,L46)),1,0)))</f>
        <v/>
      </c>
      <c r="Q46" s="152">
        <f>IF(OR(C46="",L46=""),0,IF(AND(TRIM(C46)=TRIM(RIGHT(SUBSTITUTE(TRIM('02_대상물건입력'!$B$7)," ",REPT(" ",99)),99)),IF('02_대상물건입력'!B15="",TRUE(),ISNUMBER(SEARCH('02_대상물건입력'!B15,L46)))),1,0))</f>
        <v/>
      </c>
      <c r="R46" s="175">
        <f>IFERROR(ABS(E46-'02_대상물건입력'!B11)/'02_대상물건입력'!B11,"")</f>
        <v/>
      </c>
      <c r="S46" s="152">
        <f>IFERROR(ABS(J46-'02_대상물건입력'!B10),"")</f>
        <v/>
      </c>
      <c r="T46" s="152">
        <f>IFERROR(ABS('01_설정'!B4-F46),"")</f>
        <v/>
      </c>
      <c r="U46" s="152">
        <f>IFERROR(ABS(K46-YEAR('02_대상물건입력'!B14)),"")</f>
        <v/>
      </c>
      <c r="V46" s="152">
        <f>IF(B46="","",IF(AND(E46&gt;0,F46&gt;0,H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46=1,TRUE()),R46&lt;='01_설정'!B5,S46&lt;='01_설정'!B6,T46&lt;='01_설정'!B7,U46&lt;='01_설정'!B8),"Y",""))</f>
        <v/>
      </c>
      <c r="W46" s="172">
        <f>IF(V46&lt;&gt;"Y","",MAX(0,(1-R46/'01_설정'!B5))*'01_설정'!B14+MAX(0,(1-S46/'01_설정'!B6))*'01_설정'!B15+MAX(0,(1-T46/'01_설정'!B7))*'01_설정'!B16+MAX(0,(1-U46/'01_설정'!B8))*'01_설정'!B17+O46*'01_설정'!B11+Q46*'01_설정'!B12+P46*'01_설정'!B13+IF(Z46="",0,Z46))</f>
        <v/>
      </c>
      <c r="X46" s="152">
        <f>IF(W46="","",1+COUNTIFS($W$4:$W$3003,"&gt;"&amp;W46)+COUNTIFS($W$4:W46,W46)-1)</f>
        <v/>
      </c>
      <c r="Y46" s="175">
        <f>IF(OR(I46="",'02_대상물건입력'!B19="",'02_대상물건입력'!B19&lt;=0),"",ABS(I46-'02_대상물건입력'!B19)/'02_대상물건입력'!B19)</f>
        <v/>
      </c>
      <c r="Z46" s="172">
        <f>IF(OR(Y46="",'01_설정'!B31="",'01_설정'!B31&lt;=0,'01_설정'!B32="",'01_설정'!B32&lt;=0),"",MAX(0,(1-Y46/'01_설정'!B32))*'01_설정'!B31)</f>
        <v/>
      </c>
    </row>
    <row r="47" ht="17.25" customHeight="1">
      <c r="A47" s="152">
        <f>IF(INDEX('04A_국토부원자료'!$A:$A,ROW()+1)="","",ROW()-3)</f>
        <v/>
      </c>
      <c r="B47" s="48">
        <f>IFERROR(INDEX('04A_국토부원자료'!$A:$T,ROW()+1,MATCH("시군구",'04A_국토부원자료'!$A$4:$T$4,0)),"")</f>
        <v/>
      </c>
      <c r="C47" s="48">
        <f>IF(B47="","",IFERROR(INDEX('04A_국토부원자료'!$A:$T,ROW()+1,MATCH("번지",'04A_국토부원자료'!$A$4:$T$4,0)),""))</f>
        <v/>
      </c>
      <c r="D47" s="48">
        <f>IF(B47="","",IF(Q47=1,'02_대상물건입력'!$B$8,IFERROR(INDEX('04A_국토부원자료'!$A:$T,ROW()+1,MATCH("단지명",'04A_국토부원자료'!$A$4:$T$4,0)),"")))</f>
        <v/>
      </c>
      <c r="E47" s="172">
        <f>IFERROR(VALUE(SUBSTITUTE(INDEX('04A_국토부원자료'!$A:$T,ROW()+1,MATCH("전용면적(㎡)",'04A_국토부원자료'!$A$4:$T$4,0)),",","")),"")</f>
        <v/>
      </c>
      <c r="F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7" s="51">
        <f>IFERROR(VALUE(SUBSTITUTE(INDEX('04A_국토부원자료'!$A:$T,ROW()+1,MATCH("거래금액(만원)",'04A_국토부원자료'!$A$4:$T$4,0)),",","")),"")</f>
        <v/>
      </c>
      <c r="H47" s="174">
        <f>IF(G47="","",G47*10000)</f>
        <v/>
      </c>
      <c r="I47" s="174">
        <f>IFERROR(IF(AND(H47&gt;0,E47&gt;0),H47/E47,""),"")</f>
        <v/>
      </c>
      <c r="J47" s="152">
        <f>IFERROR(VALUE(SUBSTITUTE(INDEX('04A_국토부원자료'!$A:$T,ROW()+1,MATCH("층",'04A_국토부원자료'!$A$4:$T$4,0)),",","")),"")</f>
        <v/>
      </c>
      <c r="K47" s="152">
        <f>IFERROR(VALUE(SUBSTITUTE(INDEX('04A_국토부원자료'!$A:$T,ROW()+1,MATCH("건축년도",'04A_국토부원자료'!$A$4:$T$4,0)),",","")),"")</f>
        <v/>
      </c>
      <c r="L47" s="176">
        <f>IFERROR(INDEX('04A_국토부원자료'!$A:$T,ROW()+1,MATCH("도로명",'04A_국토부원자료'!$A$4:$T$4,0)),"")</f>
        <v/>
      </c>
      <c r="M47" s="48">
        <f>IFERROR(INDEX('04A_국토부원자료'!$A:$T,ROW()+1,MATCH("거래유형",'04A_국토부원자료'!$A$4:$T$4,0)),"")</f>
        <v/>
      </c>
      <c r="N47" s="152">
        <f>IF(B47="","",IF('02_대상물건입력'!B5="",1,IF(ISNUMBER(SEARCH('02_대상물건입력'!B5,B47)),1,0)))</f>
        <v/>
      </c>
      <c r="O47" s="152">
        <f>IF(B47="","",IF('02_대상물건입력'!B6="",1,IF(ISNUMBER(SEARCH('02_대상물건입력'!B6,B47)),1,0)))</f>
        <v/>
      </c>
      <c r="P47" s="152">
        <f>IF(L47="","",IF('02_대상물건입력'!B15="",0,IF(ISNUMBER(SEARCH('02_대상물건입력'!B15,L47)),1,0)))</f>
        <v/>
      </c>
      <c r="Q47" s="152">
        <f>IF(OR(C47="",L47=""),0,IF(AND(TRIM(C47)=TRIM(RIGHT(SUBSTITUTE(TRIM('02_대상물건입력'!$B$7)," ",REPT(" ",99)),99)),IF('02_대상물건입력'!B15="",TRUE(),ISNUMBER(SEARCH('02_대상물건입력'!B15,L47)))),1,0))</f>
        <v/>
      </c>
      <c r="R47" s="175">
        <f>IFERROR(ABS(E47-'02_대상물건입력'!B11)/'02_대상물건입력'!B11,"")</f>
        <v/>
      </c>
      <c r="S47" s="152">
        <f>IFERROR(ABS(J47-'02_대상물건입력'!B10),"")</f>
        <v/>
      </c>
      <c r="T47" s="152">
        <f>IFERROR(ABS('01_설정'!B4-F47),"")</f>
        <v/>
      </c>
      <c r="U47" s="152">
        <f>IFERROR(ABS(K47-YEAR('02_대상물건입력'!B14)),"")</f>
        <v/>
      </c>
      <c r="V47" s="152">
        <f>IF(B47="","",IF(AND(E47&gt;0,F47&gt;0,H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47=1,TRUE()),R47&lt;='01_설정'!B5,S47&lt;='01_설정'!B6,T47&lt;='01_설정'!B7,U47&lt;='01_설정'!B8),"Y",""))</f>
        <v/>
      </c>
      <c r="W47" s="172">
        <f>IF(V47&lt;&gt;"Y","",MAX(0,(1-R47/'01_설정'!B5))*'01_설정'!B14+MAX(0,(1-S47/'01_설정'!B6))*'01_설정'!B15+MAX(0,(1-T47/'01_설정'!B7))*'01_설정'!B16+MAX(0,(1-U47/'01_설정'!B8))*'01_설정'!B17+O47*'01_설정'!B11+Q47*'01_설정'!B12+P47*'01_설정'!B13+IF(Z47="",0,Z47))</f>
        <v/>
      </c>
      <c r="X47" s="152">
        <f>IF(W47="","",1+COUNTIFS($W$4:$W$3003,"&gt;"&amp;W47)+COUNTIFS($W$4:W47,W47)-1)</f>
        <v/>
      </c>
      <c r="Y47" s="175">
        <f>IF(OR(I47="",'02_대상물건입력'!B19="",'02_대상물건입력'!B19&lt;=0),"",ABS(I47-'02_대상물건입력'!B19)/'02_대상물건입력'!B19)</f>
        <v/>
      </c>
      <c r="Z47" s="172">
        <f>IF(OR(Y47="",'01_설정'!B31="",'01_설정'!B31&lt;=0,'01_설정'!B32="",'01_설정'!B32&lt;=0),"",MAX(0,(1-Y47/'01_설정'!B32))*'01_설정'!B31)</f>
        <v/>
      </c>
    </row>
    <row r="48" ht="17.25" customHeight="1">
      <c r="A48" s="152">
        <f>IF(INDEX('04A_국토부원자료'!$A:$A,ROW()+1)="","",ROW()-3)</f>
        <v/>
      </c>
      <c r="B48" s="48">
        <f>IFERROR(INDEX('04A_국토부원자료'!$A:$T,ROW()+1,MATCH("시군구",'04A_국토부원자료'!$A$4:$T$4,0)),"")</f>
        <v/>
      </c>
      <c r="C48" s="48">
        <f>IF(B48="","",IFERROR(INDEX('04A_국토부원자료'!$A:$T,ROW()+1,MATCH("번지",'04A_국토부원자료'!$A$4:$T$4,0)),""))</f>
        <v/>
      </c>
      <c r="D48" s="48">
        <f>IF(B48="","",IF(Q48=1,'02_대상물건입력'!$B$8,IFERROR(INDEX('04A_국토부원자료'!$A:$T,ROW()+1,MATCH("단지명",'04A_국토부원자료'!$A$4:$T$4,0)),"")))</f>
        <v/>
      </c>
      <c r="E48" s="172">
        <f>IFERROR(VALUE(SUBSTITUTE(INDEX('04A_국토부원자료'!$A:$T,ROW()+1,MATCH("전용면적(㎡)",'04A_국토부원자료'!$A$4:$T$4,0)),",","")),"")</f>
        <v/>
      </c>
      <c r="F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8" s="51">
        <f>IFERROR(VALUE(SUBSTITUTE(INDEX('04A_국토부원자료'!$A:$T,ROW()+1,MATCH("거래금액(만원)",'04A_국토부원자료'!$A$4:$T$4,0)),",","")),"")</f>
        <v/>
      </c>
      <c r="H48" s="174">
        <f>IF(G48="","",G48*10000)</f>
        <v/>
      </c>
      <c r="I48" s="174">
        <f>IFERROR(IF(AND(H48&gt;0,E48&gt;0),H48/E48,""),"")</f>
        <v/>
      </c>
      <c r="J48" s="152">
        <f>IFERROR(VALUE(SUBSTITUTE(INDEX('04A_국토부원자료'!$A:$T,ROW()+1,MATCH("층",'04A_국토부원자료'!$A$4:$T$4,0)),",","")),"")</f>
        <v/>
      </c>
      <c r="K48" s="152">
        <f>IFERROR(VALUE(SUBSTITUTE(INDEX('04A_국토부원자료'!$A:$T,ROW()+1,MATCH("건축년도",'04A_국토부원자료'!$A$4:$T$4,0)),",","")),"")</f>
        <v/>
      </c>
      <c r="L48" s="176">
        <f>IFERROR(INDEX('04A_국토부원자료'!$A:$T,ROW()+1,MATCH("도로명",'04A_국토부원자료'!$A$4:$T$4,0)),"")</f>
        <v/>
      </c>
      <c r="M48" s="48">
        <f>IFERROR(INDEX('04A_국토부원자료'!$A:$T,ROW()+1,MATCH("거래유형",'04A_국토부원자료'!$A$4:$T$4,0)),"")</f>
        <v/>
      </c>
      <c r="N48" s="152">
        <f>IF(B48="","",IF('02_대상물건입력'!B5="",1,IF(ISNUMBER(SEARCH('02_대상물건입력'!B5,B48)),1,0)))</f>
        <v/>
      </c>
      <c r="O48" s="152">
        <f>IF(B48="","",IF('02_대상물건입력'!B6="",1,IF(ISNUMBER(SEARCH('02_대상물건입력'!B6,B48)),1,0)))</f>
        <v/>
      </c>
      <c r="P48" s="152">
        <f>IF(L48="","",IF('02_대상물건입력'!B15="",0,IF(ISNUMBER(SEARCH('02_대상물건입력'!B15,L48)),1,0)))</f>
        <v/>
      </c>
      <c r="Q48" s="152">
        <f>IF(OR(C48="",L48=""),0,IF(AND(TRIM(C48)=TRIM(RIGHT(SUBSTITUTE(TRIM('02_대상물건입력'!$B$7)," ",REPT(" ",99)),99)),IF('02_대상물건입력'!B15="",TRUE(),ISNUMBER(SEARCH('02_대상물건입력'!B15,L48)))),1,0))</f>
        <v/>
      </c>
      <c r="R48" s="175">
        <f>IFERROR(ABS(E48-'02_대상물건입력'!B11)/'02_대상물건입력'!B11,"")</f>
        <v/>
      </c>
      <c r="S48" s="152">
        <f>IFERROR(ABS(J48-'02_대상물건입력'!B10),"")</f>
        <v/>
      </c>
      <c r="T48" s="152">
        <f>IFERROR(ABS('01_설정'!B4-F48),"")</f>
        <v/>
      </c>
      <c r="U48" s="152">
        <f>IFERROR(ABS(K48-YEAR('02_대상물건입력'!B14)),"")</f>
        <v/>
      </c>
      <c r="V48" s="152">
        <f>IF(B48="","",IF(AND(E48&gt;0,F48&gt;0,H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48=1,TRUE()),R48&lt;='01_설정'!B5,S48&lt;='01_설정'!B6,T48&lt;='01_설정'!B7,U48&lt;='01_설정'!B8),"Y",""))</f>
        <v/>
      </c>
      <c r="W48" s="172">
        <f>IF(V48&lt;&gt;"Y","",MAX(0,(1-R48/'01_설정'!B5))*'01_설정'!B14+MAX(0,(1-S48/'01_설정'!B6))*'01_설정'!B15+MAX(0,(1-T48/'01_설정'!B7))*'01_설정'!B16+MAX(0,(1-U48/'01_설정'!B8))*'01_설정'!B17+O48*'01_설정'!B11+Q48*'01_설정'!B12+P48*'01_설정'!B13+IF(Z48="",0,Z48))</f>
        <v/>
      </c>
      <c r="X48" s="152">
        <f>IF(W48="","",1+COUNTIFS($W$4:$W$3003,"&gt;"&amp;W48)+COUNTIFS($W$4:W48,W48)-1)</f>
        <v/>
      </c>
      <c r="Y48" s="175">
        <f>IF(OR(I48="",'02_대상물건입력'!B19="",'02_대상물건입력'!B19&lt;=0),"",ABS(I48-'02_대상물건입력'!B19)/'02_대상물건입력'!B19)</f>
        <v/>
      </c>
      <c r="Z48" s="172">
        <f>IF(OR(Y48="",'01_설정'!B31="",'01_설정'!B31&lt;=0,'01_설정'!B32="",'01_설정'!B32&lt;=0),"",MAX(0,(1-Y48/'01_설정'!B32))*'01_설정'!B31)</f>
        <v/>
      </c>
    </row>
    <row r="49" ht="17.25" customHeight="1">
      <c r="A49" s="152">
        <f>IF(INDEX('04A_국토부원자료'!$A:$A,ROW()+1)="","",ROW()-3)</f>
        <v/>
      </c>
      <c r="B49" s="48">
        <f>IFERROR(INDEX('04A_국토부원자료'!$A:$T,ROW()+1,MATCH("시군구",'04A_국토부원자료'!$A$4:$T$4,0)),"")</f>
        <v/>
      </c>
      <c r="C49" s="48">
        <f>IF(B49="","",IFERROR(INDEX('04A_국토부원자료'!$A:$T,ROW()+1,MATCH("번지",'04A_국토부원자료'!$A$4:$T$4,0)),""))</f>
        <v/>
      </c>
      <c r="D49" s="48">
        <f>IF(B49="","",IF(Q49=1,'02_대상물건입력'!$B$8,IFERROR(INDEX('04A_국토부원자료'!$A:$T,ROW()+1,MATCH("단지명",'04A_국토부원자료'!$A$4:$T$4,0)),"")))</f>
        <v/>
      </c>
      <c r="E49" s="172">
        <f>IFERROR(VALUE(SUBSTITUTE(INDEX('04A_국토부원자료'!$A:$T,ROW()+1,MATCH("전용면적(㎡)",'04A_국토부원자료'!$A$4:$T$4,0)),",","")),"")</f>
        <v/>
      </c>
      <c r="F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9" s="51">
        <f>IFERROR(VALUE(SUBSTITUTE(INDEX('04A_국토부원자료'!$A:$T,ROW()+1,MATCH("거래금액(만원)",'04A_국토부원자료'!$A$4:$T$4,0)),",","")),"")</f>
        <v/>
      </c>
      <c r="H49" s="174">
        <f>IF(G49="","",G49*10000)</f>
        <v/>
      </c>
      <c r="I49" s="174">
        <f>IFERROR(IF(AND(H49&gt;0,E49&gt;0),H49/E49,""),"")</f>
        <v/>
      </c>
      <c r="J49" s="152">
        <f>IFERROR(VALUE(SUBSTITUTE(INDEX('04A_국토부원자료'!$A:$T,ROW()+1,MATCH("층",'04A_국토부원자료'!$A$4:$T$4,0)),",","")),"")</f>
        <v/>
      </c>
      <c r="K49" s="152">
        <f>IFERROR(VALUE(SUBSTITUTE(INDEX('04A_국토부원자료'!$A:$T,ROW()+1,MATCH("건축년도",'04A_국토부원자료'!$A$4:$T$4,0)),",","")),"")</f>
        <v/>
      </c>
      <c r="L49" s="176">
        <f>IFERROR(INDEX('04A_국토부원자료'!$A:$T,ROW()+1,MATCH("도로명",'04A_국토부원자료'!$A$4:$T$4,0)),"")</f>
        <v/>
      </c>
      <c r="M49" s="48">
        <f>IFERROR(INDEX('04A_국토부원자료'!$A:$T,ROW()+1,MATCH("거래유형",'04A_국토부원자료'!$A$4:$T$4,0)),"")</f>
        <v/>
      </c>
      <c r="N49" s="152">
        <f>IF(B49="","",IF('02_대상물건입력'!B5="",1,IF(ISNUMBER(SEARCH('02_대상물건입력'!B5,B49)),1,0)))</f>
        <v/>
      </c>
      <c r="O49" s="152">
        <f>IF(B49="","",IF('02_대상물건입력'!B6="",1,IF(ISNUMBER(SEARCH('02_대상물건입력'!B6,B49)),1,0)))</f>
        <v/>
      </c>
      <c r="P49" s="152">
        <f>IF(L49="","",IF('02_대상물건입력'!B15="",0,IF(ISNUMBER(SEARCH('02_대상물건입력'!B15,L49)),1,0)))</f>
        <v/>
      </c>
      <c r="Q49" s="152">
        <f>IF(OR(C49="",L49=""),0,IF(AND(TRIM(C49)=TRIM(RIGHT(SUBSTITUTE(TRIM('02_대상물건입력'!$B$7)," ",REPT(" ",99)),99)),IF('02_대상물건입력'!B15="",TRUE(),ISNUMBER(SEARCH('02_대상물건입력'!B15,L49)))),1,0))</f>
        <v/>
      </c>
      <c r="R49" s="175">
        <f>IFERROR(ABS(E49-'02_대상물건입력'!B11)/'02_대상물건입력'!B11,"")</f>
        <v/>
      </c>
      <c r="S49" s="152">
        <f>IFERROR(ABS(J49-'02_대상물건입력'!B10),"")</f>
        <v/>
      </c>
      <c r="T49" s="152">
        <f>IFERROR(ABS('01_설정'!B4-F49),"")</f>
        <v/>
      </c>
      <c r="U49" s="152">
        <f>IFERROR(ABS(K49-YEAR('02_대상물건입력'!B14)),"")</f>
        <v/>
      </c>
      <c r="V49" s="152">
        <f>IF(B49="","",IF(AND(E49&gt;0,F49&gt;0,H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49=1,TRUE()),R49&lt;='01_설정'!B5,S49&lt;='01_설정'!B6,T49&lt;='01_설정'!B7,U49&lt;='01_설정'!B8),"Y",""))</f>
        <v/>
      </c>
      <c r="W49" s="172">
        <f>IF(V49&lt;&gt;"Y","",MAX(0,(1-R49/'01_설정'!B5))*'01_설정'!B14+MAX(0,(1-S49/'01_설정'!B6))*'01_설정'!B15+MAX(0,(1-T49/'01_설정'!B7))*'01_설정'!B16+MAX(0,(1-U49/'01_설정'!B8))*'01_설정'!B17+O49*'01_설정'!B11+Q49*'01_설정'!B12+P49*'01_설정'!B13+IF(Z49="",0,Z49))</f>
        <v/>
      </c>
      <c r="X49" s="152">
        <f>IF(W49="","",1+COUNTIFS($W$4:$W$3003,"&gt;"&amp;W49)+COUNTIFS($W$4:W49,W49)-1)</f>
        <v/>
      </c>
      <c r="Y49" s="175">
        <f>IF(OR(I49="",'02_대상물건입력'!B19="",'02_대상물건입력'!B19&lt;=0),"",ABS(I49-'02_대상물건입력'!B19)/'02_대상물건입력'!B19)</f>
        <v/>
      </c>
      <c r="Z49" s="172">
        <f>IF(OR(Y49="",'01_설정'!B31="",'01_설정'!B31&lt;=0,'01_설정'!B32="",'01_설정'!B32&lt;=0),"",MAX(0,(1-Y49/'01_설정'!B32))*'01_설정'!B31)</f>
        <v/>
      </c>
    </row>
    <row r="50" ht="17.25" customHeight="1">
      <c r="A50" s="152">
        <f>IF(INDEX('04A_국토부원자료'!$A:$A,ROW()+1)="","",ROW()-3)</f>
        <v/>
      </c>
      <c r="B50" s="48">
        <f>IFERROR(INDEX('04A_국토부원자료'!$A:$T,ROW()+1,MATCH("시군구",'04A_국토부원자료'!$A$4:$T$4,0)),"")</f>
        <v/>
      </c>
      <c r="C50" s="48">
        <f>IF(B50="","",IFERROR(INDEX('04A_국토부원자료'!$A:$T,ROW()+1,MATCH("번지",'04A_국토부원자료'!$A$4:$T$4,0)),""))</f>
        <v/>
      </c>
      <c r="D50" s="48">
        <f>IF(B50="","",IF(Q50=1,'02_대상물건입력'!$B$8,IFERROR(INDEX('04A_국토부원자료'!$A:$T,ROW()+1,MATCH("단지명",'04A_국토부원자료'!$A$4:$T$4,0)),"")))</f>
        <v/>
      </c>
      <c r="E50" s="172">
        <f>IFERROR(VALUE(SUBSTITUTE(INDEX('04A_국토부원자료'!$A:$T,ROW()+1,MATCH("전용면적(㎡)",'04A_국토부원자료'!$A$4:$T$4,0)),",","")),"")</f>
        <v/>
      </c>
      <c r="F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0" s="51">
        <f>IFERROR(VALUE(SUBSTITUTE(INDEX('04A_국토부원자료'!$A:$T,ROW()+1,MATCH("거래금액(만원)",'04A_국토부원자료'!$A$4:$T$4,0)),",","")),"")</f>
        <v/>
      </c>
      <c r="H50" s="174">
        <f>IF(G50="","",G50*10000)</f>
        <v/>
      </c>
      <c r="I50" s="174">
        <f>IFERROR(IF(AND(H50&gt;0,E50&gt;0),H50/E50,""),"")</f>
        <v/>
      </c>
      <c r="J50" s="152">
        <f>IFERROR(VALUE(SUBSTITUTE(INDEX('04A_국토부원자료'!$A:$T,ROW()+1,MATCH("층",'04A_국토부원자료'!$A$4:$T$4,0)),",","")),"")</f>
        <v/>
      </c>
      <c r="K50" s="152">
        <f>IFERROR(VALUE(SUBSTITUTE(INDEX('04A_국토부원자료'!$A:$T,ROW()+1,MATCH("건축년도",'04A_국토부원자료'!$A$4:$T$4,0)),",","")),"")</f>
        <v/>
      </c>
      <c r="L50" s="176">
        <f>IFERROR(INDEX('04A_국토부원자료'!$A:$T,ROW()+1,MATCH("도로명",'04A_국토부원자료'!$A$4:$T$4,0)),"")</f>
        <v/>
      </c>
      <c r="M50" s="48">
        <f>IFERROR(INDEX('04A_국토부원자료'!$A:$T,ROW()+1,MATCH("거래유형",'04A_국토부원자료'!$A$4:$T$4,0)),"")</f>
        <v/>
      </c>
      <c r="N50" s="152">
        <f>IF(B50="","",IF('02_대상물건입력'!B5="",1,IF(ISNUMBER(SEARCH('02_대상물건입력'!B5,B50)),1,0)))</f>
        <v/>
      </c>
      <c r="O50" s="152">
        <f>IF(B50="","",IF('02_대상물건입력'!B6="",1,IF(ISNUMBER(SEARCH('02_대상물건입력'!B6,B50)),1,0)))</f>
        <v/>
      </c>
      <c r="P50" s="152">
        <f>IF(L50="","",IF('02_대상물건입력'!B15="",0,IF(ISNUMBER(SEARCH('02_대상물건입력'!B15,L50)),1,0)))</f>
        <v/>
      </c>
      <c r="Q50" s="152">
        <f>IF(OR(C50="",L50=""),0,IF(AND(TRIM(C50)=TRIM(RIGHT(SUBSTITUTE(TRIM('02_대상물건입력'!$B$7)," ",REPT(" ",99)),99)),IF('02_대상물건입력'!B15="",TRUE(),ISNUMBER(SEARCH('02_대상물건입력'!B15,L50)))),1,0))</f>
        <v/>
      </c>
      <c r="R50" s="175">
        <f>IFERROR(ABS(E50-'02_대상물건입력'!B11)/'02_대상물건입력'!B11,"")</f>
        <v/>
      </c>
      <c r="S50" s="152">
        <f>IFERROR(ABS(J50-'02_대상물건입력'!B10),"")</f>
        <v/>
      </c>
      <c r="T50" s="152">
        <f>IFERROR(ABS('01_설정'!B4-F50),"")</f>
        <v/>
      </c>
      <c r="U50" s="152">
        <f>IFERROR(ABS(K50-YEAR('02_대상물건입력'!B14)),"")</f>
        <v/>
      </c>
      <c r="V50" s="152">
        <f>IF(B50="","",IF(AND(E50&gt;0,F50&gt;0,H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50=1,TRUE()),R50&lt;='01_설정'!B5,S50&lt;='01_설정'!B6,T50&lt;='01_설정'!B7,U50&lt;='01_설정'!B8),"Y",""))</f>
        <v/>
      </c>
      <c r="W50" s="172">
        <f>IF(V50&lt;&gt;"Y","",MAX(0,(1-R50/'01_설정'!B5))*'01_설정'!B14+MAX(0,(1-S50/'01_설정'!B6))*'01_설정'!B15+MAX(0,(1-T50/'01_설정'!B7))*'01_설정'!B16+MAX(0,(1-U50/'01_설정'!B8))*'01_설정'!B17+O50*'01_설정'!B11+Q50*'01_설정'!B12+P50*'01_설정'!B13+IF(Z50="",0,Z50))</f>
        <v/>
      </c>
      <c r="X50" s="152">
        <f>IF(W50="","",1+COUNTIFS($W$4:$W$3003,"&gt;"&amp;W50)+COUNTIFS($W$4:W50,W50)-1)</f>
        <v/>
      </c>
      <c r="Y50" s="175">
        <f>IF(OR(I50="",'02_대상물건입력'!B19="",'02_대상물건입력'!B19&lt;=0),"",ABS(I50-'02_대상물건입력'!B19)/'02_대상물건입력'!B19)</f>
        <v/>
      </c>
      <c r="Z50" s="172">
        <f>IF(OR(Y50="",'01_설정'!B31="",'01_설정'!B31&lt;=0,'01_설정'!B32="",'01_설정'!B32&lt;=0),"",MAX(0,(1-Y50/'01_설정'!B32))*'01_설정'!B31)</f>
        <v/>
      </c>
    </row>
    <row r="51" ht="17.25" customHeight="1">
      <c r="A51" s="152">
        <f>IF(INDEX('04A_국토부원자료'!$A:$A,ROW()+1)="","",ROW()-3)</f>
        <v/>
      </c>
      <c r="B51" s="48">
        <f>IFERROR(INDEX('04A_국토부원자료'!$A:$T,ROW()+1,MATCH("시군구",'04A_국토부원자료'!$A$4:$T$4,0)),"")</f>
        <v/>
      </c>
      <c r="C51" s="48">
        <f>IF(B51="","",IFERROR(INDEX('04A_국토부원자료'!$A:$T,ROW()+1,MATCH("번지",'04A_국토부원자료'!$A$4:$T$4,0)),""))</f>
        <v/>
      </c>
      <c r="D51" s="48">
        <f>IF(B51="","",IF(Q51=1,'02_대상물건입력'!$B$8,IFERROR(INDEX('04A_국토부원자료'!$A:$T,ROW()+1,MATCH("단지명",'04A_국토부원자료'!$A$4:$T$4,0)),"")))</f>
        <v/>
      </c>
      <c r="E51" s="172">
        <f>IFERROR(VALUE(SUBSTITUTE(INDEX('04A_국토부원자료'!$A:$T,ROW()+1,MATCH("전용면적(㎡)",'04A_국토부원자료'!$A$4:$T$4,0)),",","")),"")</f>
        <v/>
      </c>
      <c r="F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1" s="51">
        <f>IFERROR(VALUE(SUBSTITUTE(INDEX('04A_국토부원자료'!$A:$T,ROW()+1,MATCH("거래금액(만원)",'04A_국토부원자료'!$A$4:$T$4,0)),",","")),"")</f>
        <v/>
      </c>
      <c r="H51" s="174">
        <f>IF(G51="","",G51*10000)</f>
        <v/>
      </c>
      <c r="I51" s="174">
        <f>IFERROR(IF(AND(H51&gt;0,E51&gt;0),H51/E51,""),"")</f>
        <v/>
      </c>
      <c r="J51" s="152">
        <f>IFERROR(VALUE(SUBSTITUTE(INDEX('04A_국토부원자료'!$A:$T,ROW()+1,MATCH("층",'04A_국토부원자료'!$A$4:$T$4,0)),",","")),"")</f>
        <v/>
      </c>
      <c r="K51" s="152">
        <f>IFERROR(VALUE(SUBSTITUTE(INDEX('04A_국토부원자료'!$A:$T,ROW()+1,MATCH("건축년도",'04A_국토부원자료'!$A$4:$T$4,0)),",","")),"")</f>
        <v/>
      </c>
      <c r="L51" s="176">
        <f>IFERROR(INDEX('04A_국토부원자료'!$A:$T,ROW()+1,MATCH("도로명",'04A_국토부원자료'!$A$4:$T$4,0)),"")</f>
        <v/>
      </c>
      <c r="M51" s="48">
        <f>IFERROR(INDEX('04A_국토부원자료'!$A:$T,ROW()+1,MATCH("거래유형",'04A_국토부원자료'!$A$4:$T$4,0)),"")</f>
        <v/>
      </c>
      <c r="N51" s="152">
        <f>IF(B51="","",IF('02_대상물건입력'!B5="",1,IF(ISNUMBER(SEARCH('02_대상물건입력'!B5,B51)),1,0)))</f>
        <v/>
      </c>
      <c r="O51" s="152">
        <f>IF(B51="","",IF('02_대상물건입력'!B6="",1,IF(ISNUMBER(SEARCH('02_대상물건입력'!B6,B51)),1,0)))</f>
        <v/>
      </c>
      <c r="P51" s="152">
        <f>IF(L51="","",IF('02_대상물건입력'!B15="",0,IF(ISNUMBER(SEARCH('02_대상물건입력'!B15,L51)),1,0)))</f>
        <v/>
      </c>
      <c r="Q51" s="152">
        <f>IF(OR(C51="",L51=""),0,IF(AND(TRIM(C51)=TRIM(RIGHT(SUBSTITUTE(TRIM('02_대상물건입력'!$B$7)," ",REPT(" ",99)),99)),IF('02_대상물건입력'!B15="",TRUE(),ISNUMBER(SEARCH('02_대상물건입력'!B15,L51)))),1,0))</f>
        <v/>
      </c>
      <c r="R51" s="175">
        <f>IFERROR(ABS(E51-'02_대상물건입력'!B11)/'02_대상물건입력'!B11,"")</f>
        <v/>
      </c>
      <c r="S51" s="152">
        <f>IFERROR(ABS(J51-'02_대상물건입력'!B10),"")</f>
        <v/>
      </c>
      <c r="T51" s="152">
        <f>IFERROR(ABS('01_설정'!B4-F51),"")</f>
        <v/>
      </c>
      <c r="U51" s="152">
        <f>IFERROR(ABS(K51-YEAR('02_대상물건입력'!B14)),"")</f>
        <v/>
      </c>
      <c r="V51" s="152">
        <f>IF(B51="","",IF(AND(E51&gt;0,F51&gt;0,H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51=1,TRUE()),R51&lt;='01_설정'!B5,S51&lt;='01_설정'!B6,T51&lt;='01_설정'!B7,U51&lt;='01_설정'!B8),"Y",""))</f>
        <v/>
      </c>
      <c r="W51" s="172">
        <f>IF(V51&lt;&gt;"Y","",MAX(0,(1-R51/'01_설정'!B5))*'01_설정'!B14+MAX(0,(1-S51/'01_설정'!B6))*'01_설정'!B15+MAX(0,(1-T51/'01_설정'!B7))*'01_설정'!B16+MAX(0,(1-U51/'01_설정'!B8))*'01_설정'!B17+O51*'01_설정'!B11+Q51*'01_설정'!B12+P51*'01_설정'!B13+IF(Z51="",0,Z51))</f>
        <v/>
      </c>
      <c r="X51" s="152">
        <f>IF(W51="","",1+COUNTIFS($W$4:$W$3003,"&gt;"&amp;W51)+COUNTIFS($W$4:W51,W51)-1)</f>
        <v/>
      </c>
      <c r="Y51" s="175">
        <f>IF(OR(I51="",'02_대상물건입력'!B19="",'02_대상물건입력'!B19&lt;=0),"",ABS(I51-'02_대상물건입력'!B19)/'02_대상물건입력'!B19)</f>
        <v/>
      </c>
      <c r="Z51" s="172">
        <f>IF(OR(Y51="",'01_설정'!B31="",'01_설정'!B31&lt;=0,'01_설정'!B32="",'01_설정'!B32&lt;=0),"",MAX(0,(1-Y51/'01_설정'!B32))*'01_설정'!B31)</f>
        <v/>
      </c>
    </row>
    <row r="52" ht="17.25" customHeight="1">
      <c r="A52" s="152">
        <f>IF(INDEX('04A_국토부원자료'!$A:$A,ROW()+1)="","",ROW()-3)</f>
        <v/>
      </c>
      <c r="B52" s="48">
        <f>IFERROR(INDEX('04A_국토부원자료'!$A:$T,ROW()+1,MATCH("시군구",'04A_국토부원자료'!$A$4:$T$4,0)),"")</f>
        <v/>
      </c>
      <c r="C52" s="48">
        <f>IF(B52="","",IFERROR(INDEX('04A_국토부원자료'!$A:$T,ROW()+1,MATCH("번지",'04A_국토부원자료'!$A$4:$T$4,0)),""))</f>
        <v/>
      </c>
      <c r="D52" s="48">
        <f>IF(B52="","",IF(Q52=1,'02_대상물건입력'!$B$8,IFERROR(INDEX('04A_국토부원자료'!$A:$T,ROW()+1,MATCH("단지명",'04A_국토부원자료'!$A$4:$T$4,0)),"")))</f>
        <v/>
      </c>
      <c r="E52" s="172">
        <f>IFERROR(VALUE(SUBSTITUTE(INDEX('04A_국토부원자료'!$A:$T,ROW()+1,MATCH("전용면적(㎡)",'04A_국토부원자료'!$A$4:$T$4,0)),",","")),"")</f>
        <v/>
      </c>
      <c r="F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2" s="51">
        <f>IFERROR(VALUE(SUBSTITUTE(INDEX('04A_국토부원자료'!$A:$T,ROW()+1,MATCH("거래금액(만원)",'04A_국토부원자료'!$A$4:$T$4,0)),",","")),"")</f>
        <v/>
      </c>
      <c r="H52" s="174">
        <f>IF(G52="","",G52*10000)</f>
        <v/>
      </c>
      <c r="I52" s="174">
        <f>IFERROR(IF(AND(H52&gt;0,E52&gt;0),H52/E52,""),"")</f>
        <v/>
      </c>
      <c r="J52" s="152">
        <f>IFERROR(VALUE(SUBSTITUTE(INDEX('04A_국토부원자료'!$A:$T,ROW()+1,MATCH("층",'04A_국토부원자료'!$A$4:$T$4,0)),",","")),"")</f>
        <v/>
      </c>
      <c r="K52" s="152">
        <f>IFERROR(VALUE(SUBSTITUTE(INDEX('04A_국토부원자료'!$A:$T,ROW()+1,MATCH("건축년도",'04A_국토부원자료'!$A$4:$T$4,0)),",","")),"")</f>
        <v/>
      </c>
      <c r="L52" s="176">
        <f>IFERROR(INDEX('04A_국토부원자료'!$A:$T,ROW()+1,MATCH("도로명",'04A_국토부원자료'!$A$4:$T$4,0)),"")</f>
        <v/>
      </c>
      <c r="M52" s="48">
        <f>IFERROR(INDEX('04A_국토부원자료'!$A:$T,ROW()+1,MATCH("거래유형",'04A_국토부원자료'!$A$4:$T$4,0)),"")</f>
        <v/>
      </c>
      <c r="N52" s="152">
        <f>IF(B52="","",IF('02_대상물건입력'!B5="",1,IF(ISNUMBER(SEARCH('02_대상물건입력'!B5,B52)),1,0)))</f>
        <v/>
      </c>
      <c r="O52" s="152">
        <f>IF(B52="","",IF('02_대상물건입력'!B6="",1,IF(ISNUMBER(SEARCH('02_대상물건입력'!B6,B52)),1,0)))</f>
        <v/>
      </c>
      <c r="P52" s="152">
        <f>IF(L52="","",IF('02_대상물건입력'!B15="",0,IF(ISNUMBER(SEARCH('02_대상물건입력'!B15,L52)),1,0)))</f>
        <v/>
      </c>
      <c r="Q52" s="152">
        <f>IF(OR(C52="",L52=""),0,IF(AND(TRIM(C52)=TRIM(RIGHT(SUBSTITUTE(TRIM('02_대상물건입력'!$B$7)," ",REPT(" ",99)),99)),IF('02_대상물건입력'!B15="",TRUE(),ISNUMBER(SEARCH('02_대상물건입력'!B15,L52)))),1,0))</f>
        <v/>
      </c>
      <c r="R52" s="175">
        <f>IFERROR(ABS(E52-'02_대상물건입력'!B11)/'02_대상물건입력'!B11,"")</f>
        <v/>
      </c>
      <c r="S52" s="152">
        <f>IFERROR(ABS(J52-'02_대상물건입력'!B10),"")</f>
        <v/>
      </c>
      <c r="T52" s="152">
        <f>IFERROR(ABS('01_설정'!B4-F52),"")</f>
        <v/>
      </c>
      <c r="U52" s="152">
        <f>IFERROR(ABS(K52-YEAR('02_대상물건입력'!B14)),"")</f>
        <v/>
      </c>
      <c r="V52" s="152">
        <f>IF(B52="","",IF(AND(E52&gt;0,F52&gt;0,H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52=1,TRUE()),R52&lt;='01_설정'!B5,S52&lt;='01_설정'!B6,T52&lt;='01_설정'!B7,U52&lt;='01_설정'!B8),"Y",""))</f>
        <v/>
      </c>
      <c r="W52" s="172">
        <f>IF(V52&lt;&gt;"Y","",MAX(0,(1-R52/'01_설정'!B5))*'01_설정'!B14+MAX(0,(1-S52/'01_설정'!B6))*'01_설정'!B15+MAX(0,(1-T52/'01_설정'!B7))*'01_설정'!B16+MAX(0,(1-U52/'01_설정'!B8))*'01_설정'!B17+O52*'01_설정'!B11+Q52*'01_설정'!B12+P52*'01_설정'!B13+IF(Z52="",0,Z52))</f>
        <v/>
      </c>
      <c r="X52" s="152">
        <f>IF(W52="","",1+COUNTIFS($W$4:$W$3003,"&gt;"&amp;W52)+COUNTIFS($W$4:W52,W52)-1)</f>
        <v/>
      </c>
      <c r="Y52" s="175">
        <f>IF(OR(I52="",'02_대상물건입력'!B19="",'02_대상물건입력'!B19&lt;=0),"",ABS(I52-'02_대상물건입력'!B19)/'02_대상물건입력'!B19)</f>
        <v/>
      </c>
      <c r="Z52" s="172">
        <f>IF(OR(Y52="",'01_설정'!B31="",'01_설정'!B31&lt;=0,'01_설정'!B32="",'01_설정'!B32&lt;=0),"",MAX(0,(1-Y52/'01_설정'!B32))*'01_설정'!B31)</f>
        <v/>
      </c>
    </row>
    <row r="53" ht="17.25" customHeight="1">
      <c r="A53" s="152">
        <f>IF(INDEX('04A_국토부원자료'!$A:$A,ROW()+1)="","",ROW()-3)</f>
        <v/>
      </c>
      <c r="B53" s="48">
        <f>IFERROR(INDEX('04A_국토부원자료'!$A:$T,ROW()+1,MATCH("시군구",'04A_국토부원자료'!$A$4:$T$4,0)),"")</f>
        <v/>
      </c>
      <c r="C53" s="48">
        <f>IF(B53="","",IFERROR(INDEX('04A_국토부원자료'!$A:$T,ROW()+1,MATCH("번지",'04A_국토부원자료'!$A$4:$T$4,0)),""))</f>
        <v/>
      </c>
      <c r="D53" s="48">
        <f>IF(B53="","",IF(Q53=1,'02_대상물건입력'!$B$8,IFERROR(INDEX('04A_국토부원자료'!$A:$T,ROW()+1,MATCH("단지명",'04A_국토부원자료'!$A$4:$T$4,0)),"")))</f>
        <v/>
      </c>
      <c r="E53" s="172">
        <f>IFERROR(VALUE(SUBSTITUTE(INDEX('04A_국토부원자료'!$A:$T,ROW()+1,MATCH("전용면적(㎡)",'04A_국토부원자료'!$A$4:$T$4,0)),",","")),"")</f>
        <v/>
      </c>
      <c r="F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3" s="51">
        <f>IFERROR(VALUE(SUBSTITUTE(INDEX('04A_국토부원자료'!$A:$T,ROW()+1,MATCH("거래금액(만원)",'04A_국토부원자료'!$A$4:$T$4,0)),",","")),"")</f>
        <v/>
      </c>
      <c r="H53" s="174">
        <f>IF(G53="","",G53*10000)</f>
        <v/>
      </c>
      <c r="I53" s="174">
        <f>IFERROR(IF(AND(H53&gt;0,E53&gt;0),H53/E53,""),"")</f>
        <v/>
      </c>
      <c r="J53" s="152">
        <f>IFERROR(VALUE(SUBSTITUTE(INDEX('04A_국토부원자료'!$A:$T,ROW()+1,MATCH("층",'04A_국토부원자료'!$A$4:$T$4,0)),",","")),"")</f>
        <v/>
      </c>
      <c r="K53" s="152">
        <f>IFERROR(VALUE(SUBSTITUTE(INDEX('04A_국토부원자료'!$A:$T,ROW()+1,MATCH("건축년도",'04A_국토부원자료'!$A$4:$T$4,0)),",","")),"")</f>
        <v/>
      </c>
      <c r="L53" s="176">
        <f>IFERROR(INDEX('04A_국토부원자료'!$A:$T,ROW()+1,MATCH("도로명",'04A_국토부원자료'!$A$4:$T$4,0)),"")</f>
        <v/>
      </c>
      <c r="M53" s="48">
        <f>IFERROR(INDEX('04A_국토부원자료'!$A:$T,ROW()+1,MATCH("거래유형",'04A_국토부원자료'!$A$4:$T$4,0)),"")</f>
        <v/>
      </c>
      <c r="N53" s="152">
        <f>IF(B53="","",IF('02_대상물건입력'!B5="",1,IF(ISNUMBER(SEARCH('02_대상물건입력'!B5,B53)),1,0)))</f>
        <v/>
      </c>
      <c r="O53" s="152">
        <f>IF(B53="","",IF('02_대상물건입력'!B6="",1,IF(ISNUMBER(SEARCH('02_대상물건입력'!B6,B53)),1,0)))</f>
        <v/>
      </c>
      <c r="P53" s="152">
        <f>IF(L53="","",IF('02_대상물건입력'!B15="",0,IF(ISNUMBER(SEARCH('02_대상물건입력'!B15,L53)),1,0)))</f>
        <v/>
      </c>
      <c r="Q53" s="152">
        <f>IF(OR(C53="",L53=""),0,IF(AND(TRIM(C53)=TRIM(RIGHT(SUBSTITUTE(TRIM('02_대상물건입력'!$B$7)," ",REPT(" ",99)),99)),IF('02_대상물건입력'!B15="",TRUE(),ISNUMBER(SEARCH('02_대상물건입력'!B15,L53)))),1,0))</f>
        <v/>
      </c>
      <c r="R53" s="175">
        <f>IFERROR(ABS(E53-'02_대상물건입력'!B11)/'02_대상물건입력'!B11,"")</f>
        <v/>
      </c>
      <c r="S53" s="152">
        <f>IFERROR(ABS(J53-'02_대상물건입력'!B10),"")</f>
        <v/>
      </c>
      <c r="T53" s="152">
        <f>IFERROR(ABS('01_설정'!B4-F53),"")</f>
        <v/>
      </c>
      <c r="U53" s="152">
        <f>IFERROR(ABS(K53-YEAR('02_대상물건입력'!B14)),"")</f>
        <v/>
      </c>
      <c r="V53" s="152">
        <f>IF(B53="","",IF(AND(E53&gt;0,F53&gt;0,H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53=1,TRUE()),R53&lt;='01_설정'!B5,S53&lt;='01_설정'!B6,T53&lt;='01_설정'!B7,U53&lt;='01_설정'!B8),"Y",""))</f>
        <v/>
      </c>
      <c r="W53" s="172">
        <f>IF(V53&lt;&gt;"Y","",MAX(0,(1-R53/'01_설정'!B5))*'01_설정'!B14+MAX(0,(1-S53/'01_설정'!B6))*'01_설정'!B15+MAX(0,(1-T53/'01_설정'!B7))*'01_설정'!B16+MAX(0,(1-U53/'01_설정'!B8))*'01_설정'!B17+O53*'01_설정'!B11+Q53*'01_설정'!B12+P53*'01_설정'!B13+IF(Z53="",0,Z53))</f>
        <v/>
      </c>
      <c r="X53" s="152">
        <f>IF(W53="","",1+COUNTIFS($W$4:$W$3003,"&gt;"&amp;W53)+COUNTIFS($W$4:W53,W53)-1)</f>
        <v/>
      </c>
      <c r="Y53" s="175">
        <f>IF(OR(I53="",'02_대상물건입력'!B19="",'02_대상물건입력'!B19&lt;=0),"",ABS(I53-'02_대상물건입력'!B19)/'02_대상물건입력'!B19)</f>
        <v/>
      </c>
      <c r="Z53" s="172">
        <f>IF(OR(Y53="",'01_설정'!B31="",'01_설정'!B31&lt;=0,'01_설정'!B32="",'01_설정'!B32&lt;=0),"",MAX(0,(1-Y53/'01_설정'!B32))*'01_설정'!B31)</f>
        <v/>
      </c>
    </row>
    <row r="54" ht="17.25" customHeight="1">
      <c r="A54" s="152">
        <f>IF(INDEX('04A_국토부원자료'!$A:$A,ROW()+1)="","",ROW()-3)</f>
        <v/>
      </c>
      <c r="B54" s="48">
        <f>IFERROR(INDEX('04A_국토부원자료'!$A:$T,ROW()+1,MATCH("시군구",'04A_국토부원자료'!$A$4:$T$4,0)),"")</f>
        <v/>
      </c>
      <c r="C54" s="48">
        <f>IF(B54="","",IFERROR(INDEX('04A_국토부원자료'!$A:$T,ROW()+1,MATCH("번지",'04A_국토부원자료'!$A$4:$T$4,0)),""))</f>
        <v/>
      </c>
      <c r="D54" s="48">
        <f>IF(B54="","",IF(Q54=1,'02_대상물건입력'!$B$8,IFERROR(INDEX('04A_국토부원자료'!$A:$T,ROW()+1,MATCH("단지명",'04A_국토부원자료'!$A$4:$T$4,0)),"")))</f>
        <v/>
      </c>
      <c r="E54" s="172">
        <f>IFERROR(VALUE(SUBSTITUTE(INDEX('04A_국토부원자료'!$A:$T,ROW()+1,MATCH("전용면적(㎡)",'04A_국토부원자료'!$A$4:$T$4,0)),",","")),"")</f>
        <v/>
      </c>
      <c r="F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4" s="51">
        <f>IFERROR(VALUE(SUBSTITUTE(INDEX('04A_국토부원자료'!$A:$T,ROW()+1,MATCH("거래금액(만원)",'04A_국토부원자료'!$A$4:$T$4,0)),",","")),"")</f>
        <v/>
      </c>
      <c r="H54" s="174">
        <f>IF(G54="","",G54*10000)</f>
        <v/>
      </c>
      <c r="I54" s="174">
        <f>IFERROR(IF(AND(H54&gt;0,E54&gt;0),H54/E54,""),"")</f>
        <v/>
      </c>
      <c r="J54" s="152">
        <f>IFERROR(VALUE(SUBSTITUTE(INDEX('04A_국토부원자료'!$A:$T,ROW()+1,MATCH("층",'04A_국토부원자료'!$A$4:$T$4,0)),",","")),"")</f>
        <v/>
      </c>
      <c r="K54" s="152">
        <f>IFERROR(VALUE(SUBSTITUTE(INDEX('04A_국토부원자료'!$A:$T,ROW()+1,MATCH("건축년도",'04A_국토부원자료'!$A$4:$T$4,0)),",","")),"")</f>
        <v/>
      </c>
      <c r="L54" s="176">
        <f>IFERROR(INDEX('04A_국토부원자료'!$A:$T,ROW()+1,MATCH("도로명",'04A_국토부원자료'!$A$4:$T$4,0)),"")</f>
        <v/>
      </c>
      <c r="M54" s="48">
        <f>IFERROR(INDEX('04A_국토부원자료'!$A:$T,ROW()+1,MATCH("거래유형",'04A_국토부원자료'!$A$4:$T$4,0)),"")</f>
        <v/>
      </c>
      <c r="N54" s="152">
        <f>IF(B54="","",IF('02_대상물건입력'!B5="",1,IF(ISNUMBER(SEARCH('02_대상물건입력'!B5,B54)),1,0)))</f>
        <v/>
      </c>
      <c r="O54" s="152">
        <f>IF(B54="","",IF('02_대상물건입력'!B6="",1,IF(ISNUMBER(SEARCH('02_대상물건입력'!B6,B54)),1,0)))</f>
        <v/>
      </c>
      <c r="P54" s="152">
        <f>IF(L54="","",IF('02_대상물건입력'!B15="",0,IF(ISNUMBER(SEARCH('02_대상물건입력'!B15,L54)),1,0)))</f>
        <v/>
      </c>
      <c r="Q54" s="152">
        <f>IF(OR(C54="",L54=""),0,IF(AND(TRIM(C54)=TRIM(RIGHT(SUBSTITUTE(TRIM('02_대상물건입력'!$B$7)," ",REPT(" ",99)),99)),IF('02_대상물건입력'!B15="",TRUE(),ISNUMBER(SEARCH('02_대상물건입력'!B15,L54)))),1,0))</f>
        <v/>
      </c>
      <c r="R54" s="175">
        <f>IFERROR(ABS(E54-'02_대상물건입력'!B11)/'02_대상물건입력'!B11,"")</f>
        <v/>
      </c>
      <c r="S54" s="152">
        <f>IFERROR(ABS(J54-'02_대상물건입력'!B10),"")</f>
        <v/>
      </c>
      <c r="T54" s="152">
        <f>IFERROR(ABS('01_설정'!B4-F54),"")</f>
        <v/>
      </c>
      <c r="U54" s="152">
        <f>IFERROR(ABS(K54-YEAR('02_대상물건입력'!B14)),"")</f>
        <v/>
      </c>
      <c r="V54" s="152">
        <f>IF(B54="","",IF(AND(E54&gt;0,F54&gt;0,H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54=1,TRUE()),R54&lt;='01_설정'!B5,S54&lt;='01_설정'!B6,T54&lt;='01_설정'!B7,U54&lt;='01_설정'!B8),"Y",""))</f>
        <v/>
      </c>
      <c r="W54" s="172">
        <f>IF(V54&lt;&gt;"Y","",MAX(0,(1-R54/'01_설정'!B5))*'01_설정'!B14+MAX(0,(1-S54/'01_설정'!B6))*'01_설정'!B15+MAX(0,(1-T54/'01_설정'!B7))*'01_설정'!B16+MAX(0,(1-U54/'01_설정'!B8))*'01_설정'!B17+O54*'01_설정'!B11+Q54*'01_설정'!B12+P54*'01_설정'!B13+IF(Z54="",0,Z54))</f>
        <v/>
      </c>
      <c r="X54" s="152">
        <f>IF(W54="","",1+COUNTIFS($W$4:$W$3003,"&gt;"&amp;W54)+COUNTIFS($W$4:W54,W54)-1)</f>
        <v/>
      </c>
      <c r="Y54" s="175">
        <f>IF(OR(I54="",'02_대상물건입력'!B19="",'02_대상물건입력'!B19&lt;=0),"",ABS(I54-'02_대상물건입력'!B19)/'02_대상물건입력'!B19)</f>
        <v/>
      </c>
      <c r="Z54" s="172">
        <f>IF(OR(Y54="",'01_설정'!B31="",'01_설정'!B31&lt;=0,'01_설정'!B32="",'01_설정'!B32&lt;=0),"",MAX(0,(1-Y54/'01_설정'!B32))*'01_설정'!B31)</f>
        <v/>
      </c>
    </row>
    <row r="55" ht="17.25" customHeight="1">
      <c r="A55" s="152">
        <f>IF(INDEX('04A_국토부원자료'!$A:$A,ROW()+1)="","",ROW()-3)</f>
        <v/>
      </c>
      <c r="B55" s="48">
        <f>IFERROR(INDEX('04A_국토부원자료'!$A:$T,ROW()+1,MATCH("시군구",'04A_국토부원자료'!$A$4:$T$4,0)),"")</f>
        <v/>
      </c>
      <c r="C55" s="48">
        <f>IF(B55="","",IFERROR(INDEX('04A_국토부원자료'!$A:$T,ROW()+1,MATCH("번지",'04A_국토부원자료'!$A$4:$T$4,0)),""))</f>
        <v/>
      </c>
      <c r="D55" s="48">
        <f>IF(B55="","",IF(Q55=1,'02_대상물건입력'!$B$8,IFERROR(INDEX('04A_국토부원자료'!$A:$T,ROW()+1,MATCH("단지명",'04A_국토부원자료'!$A$4:$T$4,0)),"")))</f>
        <v/>
      </c>
      <c r="E55" s="172">
        <f>IFERROR(VALUE(SUBSTITUTE(INDEX('04A_국토부원자료'!$A:$T,ROW()+1,MATCH("전용면적(㎡)",'04A_국토부원자료'!$A$4:$T$4,0)),",","")),"")</f>
        <v/>
      </c>
      <c r="F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5" s="51">
        <f>IFERROR(VALUE(SUBSTITUTE(INDEX('04A_국토부원자료'!$A:$T,ROW()+1,MATCH("거래금액(만원)",'04A_국토부원자료'!$A$4:$T$4,0)),",","")),"")</f>
        <v/>
      </c>
      <c r="H55" s="174">
        <f>IF(G55="","",G55*10000)</f>
        <v/>
      </c>
      <c r="I55" s="174">
        <f>IFERROR(IF(AND(H55&gt;0,E55&gt;0),H55/E55,""),"")</f>
        <v/>
      </c>
      <c r="J55" s="152">
        <f>IFERROR(VALUE(SUBSTITUTE(INDEX('04A_국토부원자료'!$A:$T,ROW()+1,MATCH("층",'04A_국토부원자료'!$A$4:$T$4,0)),",","")),"")</f>
        <v/>
      </c>
      <c r="K55" s="152">
        <f>IFERROR(VALUE(SUBSTITUTE(INDEX('04A_국토부원자료'!$A:$T,ROW()+1,MATCH("건축년도",'04A_국토부원자료'!$A$4:$T$4,0)),",","")),"")</f>
        <v/>
      </c>
      <c r="L55" s="176">
        <f>IFERROR(INDEX('04A_국토부원자료'!$A:$T,ROW()+1,MATCH("도로명",'04A_국토부원자료'!$A$4:$T$4,0)),"")</f>
        <v/>
      </c>
      <c r="M55" s="48">
        <f>IFERROR(INDEX('04A_국토부원자료'!$A:$T,ROW()+1,MATCH("거래유형",'04A_국토부원자료'!$A$4:$T$4,0)),"")</f>
        <v/>
      </c>
      <c r="N55" s="152">
        <f>IF(B55="","",IF('02_대상물건입력'!B5="",1,IF(ISNUMBER(SEARCH('02_대상물건입력'!B5,B55)),1,0)))</f>
        <v/>
      </c>
      <c r="O55" s="152">
        <f>IF(B55="","",IF('02_대상물건입력'!B6="",1,IF(ISNUMBER(SEARCH('02_대상물건입력'!B6,B55)),1,0)))</f>
        <v/>
      </c>
      <c r="P55" s="152">
        <f>IF(L55="","",IF('02_대상물건입력'!B15="",0,IF(ISNUMBER(SEARCH('02_대상물건입력'!B15,L55)),1,0)))</f>
        <v/>
      </c>
      <c r="Q55" s="152">
        <f>IF(OR(C55="",L55=""),0,IF(AND(TRIM(C55)=TRIM(RIGHT(SUBSTITUTE(TRIM('02_대상물건입력'!$B$7)," ",REPT(" ",99)),99)),IF('02_대상물건입력'!B15="",TRUE(),ISNUMBER(SEARCH('02_대상물건입력'!B15,L55)))),1,0))</f>
        <v/>
      </c>
      <c r="R55" s="175">
        <f>IFERROR(ABS(E55-'02_대상물건입력'!B11)/'02_대상물건입력'!B11,"")</f>
        <v/>
      </c>
      <c r="S55" s="152">
        <f>IFERROR(ABS(J55-'02_대상물건입력'!B10),"")</f>
        <v/>
      </c>
      <c r="T55" s="152">
        <f>IFERROR(ABS('01_설정'!B4-F55),"")</f>
        <v/>
      </c>
      <c r="U55" s="152">
        <f>IFERROR(ABS(K55-YEAR('02_대상물건입력'!B14)),"")</f>
        <v/>
      </c>
      <c r="V55" s="152">
        <f>IF(B55="","",IF(AND(E55&gt;0,F55&gt;0,H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55=1,TRUE()),R55&lt;='01_설정'!B5,S55&lt;='01_설정'!B6,T55&lt;='01_설정'!B7,U55&lt;='01_설정'!B8),"Y",""))</f>
        <v/>
      </c>
      <c r="W55" s="172">
        <f>IF(V55&lt;&gt;"Y","",MAX(0,(1-R55/'01_설정'!B5))*'01_설정'!B14+MAX(0,(1-S55/'01_설정'!B6))*'01_설정'!B15+MAX(0,(1-T55/'01_설정'!B7))*'01_설정'!B16+MAX(0,(1-U55/'01_설정'!B8))*'01_설정'!B17+O55*'01_설정'!B11+Q55*'01_설정'!B12+P55*'01_설정'!B13+IF(Z55="",0,Z55))</f>
        <v/>
      </c>
      <c r="X55" s="152">
        <f>IF(W55="","",1+COUNTIFS($W$4:$W$3003,"&gt;"&amp;W55)+COUNTIFS($W$4:W55,W55)-1)</f>
        <v/>
      </c>
      <c r="Y55" s="175">
        <f>IF(OR(I55="",'02_대상물건입력'!B19="",'02_대상물건입력'!B19&lt;=0),"",ABS(I55-'02_대상물건입력'!B19)/'02_대상물건입력'!B19)</f>
        <v/>
      </c>
      <c r="Z55" s="172">
        <f>IF(OR(Y55="",'01_설정'!B31="",'01_설정'!B31&lt;=0,'01_설정'!B32="",'01_설정'!B32&lt;=0),"",MAX(0,(1-Y55/'01_설정'!B32))*'01_설정'!B31)</f>
        <v/>
      </c>
    </row>
    <row r="56" ht="17.25" customHeight="1">
      <c r="A56" s="152">
        <f>IF(INDEX('04A_국토부원자료'!$A:$A,ROW()+1)="","",ROW()-3)</f>
        <v/>
      </c>
      <c r="B56" s="48">
        <f>IFERROR(INDEX('04A_국토부원자료'!$A:$T,ROW()+1,MATCH("시군구",'04A_국토부원자료'!$A$4:$T$4,0)),"")</f>
        <v/>
      </c>
      <c r="C56" s="48">
        <f>IF(B56="","",IFERROR(INDEX('04A_국토부원자료'!$A:$T,ROW()+1,MATCH("번지",'04A_국토부원자료'!$A$4:$T$4,0)),""))</f>
        <v/>
      </c>
      <c r="D56" s="48">
        <f>IF(B56="","",IF(Q56=1,'02_대상물건입력'!$B$8,IFERROR(INDEX('04A_국토부원자료'!$A:$T,ROW()+1,MATCH("단지명",'04A_국토부원자료'!$A$4:$T$4,0)),"")))</f>
        <v/>
      </c>
      <c r="E56" s="172">
        <f>IFERROR(VALUE(SUBSTITUTE(INDEX('04A_국토부원자료'!$A:$T,ROW()+1,MATCH("전용면적(㎡)",'04A_국토부원자료'!$A$4:$T$4,0)),",","")),"")</f>
        <v/>
      </c>
      <c r="F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6" s="51">
        <f>IFERROR(VALUE(SUBSTITUTE(INDEX('04A_국토부원자료'!$A:$T,ROW()+1,MATCH("거래금액(만원)",'04A_국토부원자료'!$A$4:$T$4,0)),",","")),"")</f>
        <v/>
      </c>
      <c r="H56" s="174">
        <f>IF(G56="","",G56*10000)</f>
        <v/>
      </c>
      <c r="I56" s="174">
        <f>IFERROR(IF(AND(H56&gt;0,E56&gt;0),H56/E56,""),"")</f>
        <v/>
      </c>
      <c r="J56" s="152">
        <f>IFERROR(VALUE(SUBSTITUTE(INDEX('04A_국토부원자료'!$A:$T,ROW()+1,MATCH("층",'04A_국토부원자료'!$A$4:$T$4,0)),",","")),"")</f>
        <v/>
      </c>
      <c r="K56" s="152">
        <f>IFERROR(VALUE(SUBSTITUTE(INDEX('04A_국토부원자료'!$A:$T,ROW()+1,MATCH("건축년도",'04A_국토부원자료'!$A$4:$T$4,0)),",","")),"")</f>
        <v/>
      </c>
      <c r="L56" s="176">
        <f>IFERROR(INDEX('04A_국토부원자료'!$A:$T,ROW()+1,MATCH("도로명",'04A_국토부원자료'!$A$4:$T$4,0)),"")</f>
        <v/>
      </c>
      <c r="M56" s="48">
        <f>IFERROR(INDEX('04A_국토부원자료'!$A:$T,ROW()+1,MATCH("거래유형",'04A_국토부원자료'!$A$4:$T$4,0)),"")</f>
        <v/>
      </c>
      <c r="N56" s="152">
        <f>IF(B56="","",IF('02_대상물건입력'!B5="",1,IF(ISNUMBER(SEARCH('02_대상물건입력'!B5,B56)),1,0)))</f>
        <v/>
      </c>
      <c r="O56" s="152">
        <f>IF(B56="","",IF('02_대상물건입력'!B6="",1,IF(ISNUMBER(SEARCH('02_대상물건입력'!B6,B56)),1,0)))</f>
        <v/>
      </c>
      <c r="P56" s="152">
        <f>IF(L56="","",IF('02_대상물건입력'!B15="",0,IF(ISNUMBER(SEARCH('02_대상물건입력'!B15,L56)),1,0)))</f>
        <v/>
      </c>
      <c r="Q56" s="152">
        <f>IF(OR(C56="",L56=""),0,IF(AND(TRIM(C56)=TRIM(RIGHT(SUBSTITUTE(TRIM('02_대상물건입력'!$B$7)," ",REPT(" ",99)),99)),IF('02_대상물건입력'!B15="",TRUE(),ISNUMBER(SEARCH('02_대상물건입력'!B15,L56)))),1,0))</f>
        <v/>
      </c>
      <c r="R56" s="175">
        <f>IFERROR(ABS(E56-'02_대상물건입력'!B11)/'02_대상물건입력'!B11,"")</f>
        <v/>
      </c>
      <c r="S56" s="152">
        <f>IFERROR(ABS(J56-'02_대상물건입력'!B10),"")</f>
        <v/>
      </c>
      <c r="T56" s="152">
        <f>IFERROR(ABS('01_설정'!B4-F56),"")</f>
        <v/>
      </c>
      <c r="U56" s="152">
        <f>IFERROR(ABS(K56-YEAR('02_대상물건입력'!B14)),"")</f>
        <v/>
      </c>
      <c r="V56" s="152">
        <f>IF(B56="","",IF(AND(E56&gt;0,F56&gt;0,H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56=1,TRUE()),R56&lt;='01_설정'!B5,S56&lt;='01_설정'!B6,T56&lt;='01_설정'!B7,U56&lt;='01_설정'!B8),"Y",""))</f>
        <v/>
      </c>
      <c r="W56" s="172">
        <f>IF(V56&lt;&gt;"Y","",MAX(0,(1-R56/'01_설정'!B5))*'01_설정'!B14+MAX(0,(1-S56/'01_설정'!B6))*'01_설정'!B15+MAX(0,(1-T56/'01_설정'!B7))*'01_설정'!B16+MAX(0,(1-U56/'01_설정'!B8))*'01_설정'!B17+O56*'01_설정'!B11+Q56*'01_설정'!B12+P56*'01_설정'!B13+IF(Z56="",0,Z56))</f>
        <v/>
      </c>
      <c r="X56" s="152">
        <f>IF(W56="","",1+COUNTIFS($W$4:$W$3003,"&gt;"&amp;W56)+COUNTIFS($W$4:W56,W56)-1)</f>
        <v/>
      </c>
      <c r="Y56" s="175">
        <f>IF(OR(I56="",'02_대상물건입력'!B19="",'02_대상물건입력'!B19&lt;=0),"",ABS(I56-'02_대상물건입력'!B19)/'02_대상물건입력'!B19)</f>
        <v/>
      </c>
      <c r="Z56" s="172">
        <f>IF(OR(Y56="",'01_설정'!B31="",'01_설정'!B31&lt;=0,'01_설정'!B32="",'01_설정'!B32&lt;=0),"",MAX(0,(1-Y56/'01_설정'!B32))*'01_설정'!B31)</f>
        <v/>
      </c>
    </row>
    <row r="57" ht="17.25" customHeight="1">
      <c r="A57" s="152">
        <f>IF(INDEX('04A_국토부원자료'!$A:$A,ROW()+1)="","",ROW()-3)</f>
        <v/>
      </c>
      <c r="B57" s="48">
        <f>IFERROR(INDEX('04A_국토부원자료'!$A:$T,ROW()+1,MATCH("시군구",'04A_국토부원자료'!$A$4:$T$4,0)),"")</f>
        <v/>
      </c>
      <c r="C57" s="48">
        <f>IF(B57="","",IFERROR(INDEX('04A_국토부원자료'!$A:$T,ROW()+1,MATCH("번지",'04A_국토부원자료'!$A$4:$T$4,0)),""))</f>
        <v/>
      </c>
      <c r="D57" s="48">
        <f>IF(B57="","",IF(Q57=1,'02_대상물건입력'!$B$8,IFERROR(INDEX('04A_국토부원자료'!$A:$T,ROW()+1,MATCH("단지명",'04A_국토부원자료'!$A$4:$T$4,0)),"")))</f>
        <v/>
      </c>
      <c r="E57" s="172">
        <f>IFERROR(VALUE(SUBSTITUTE(INDEX('04A_국토부원자료'!$A:$T,ROW()+1,MATCH("전용면적(㎡)",'04A_국토부원자료'!$A$4:$T$4,0)),",","")),"")</f>
        <v/>
      </c>
      <c r="F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7" s="51">
        <f>IFERROR(VALUE(SUBSTITUTE(INDEX('04A_국토부원자료'!$A:$T,ROW()+1,MATCH("거래금액(만원)",'04A_국토부원자료'!$A$4:$T$4,0)),",","")),"")</f>
        <v/>
      </c>
      <c r="H57" s="174">
        <f>IF(G57="","",G57*10000)</f>
        <v/>
      </c>
      <c r="I57" s="174">
        <f>IFERROR(IF(AND(H57&gt;0,E57&gt;0),H57/E57,""),"")</f>
        <v/>
      </c>
      <c r="J57" s="152">
        <f>IFERROR(VALUE(SUBSTITUTE(INDEX('04A_국토부원자료'!$A:$T,ROW()+1,MATCH("층",'04A_국토부원자료'!$A$4:$T$4,0)),",","")),"")</f>
        <v/>
      </c>
      <c r="K57" s="152">
        <f>IFERROR(VALUE(SUBSTITUTE(INDEX('04A_국토부원자료'!$A:$T,ROW()+1,MATCH("건축년도",'04A_국토부원자료'!$A$4:$T$4,0)),",","")),"")</f>
        <v/>
      </c>
      <c r="L57" s="176">
        <f>IFERROR(INDEX('04A_국토부원자료'!$A:$T,ROW()+1,MATCH("도로명",'04A_국토부원자료'!$A$4:$T$4,0)),"")</f>
        <v/>
      </c>
      <c r="M57" s="48">
        <f>IFERROR(INDEX('04A_국토부원자료'!$A:$T,ROW()+1,MATCH("거래유형",'04A_국토부원자료'!$A$4:$T$4,0)),"")</f>
        <v/>
      </c>
      <c r="N57" s="152">
        <f>IF(B57="","",IF('02_대상물건입력'!B5="",1,IF(ISNUMBER(SEARCH('02_대상물건입력'!B5,B57)),1,0)))</f>
        <v/>
      </c>
      <c r="O57" s="152">
        <f>IF(B57="","",IF('02_대상물건입력'!B6="",1,IF(ISNUMBER(SEARCH('02_대상물건입력'!B6,B57)),1,0)))</f>
        <v/>
      </c>
      <c r="P57" s="152">
        <f>IF(L57="","",IF('02_대상물건입력'!B15="",0,IF(ISNUMBER(SEARCH('02_대상물건입력'!B15,L57)),1,0)))</f>
        <v/>
      </c>
      <c r="Q57" s="152">
        <f>IF(OR(C57="",L57=""),0,IF(AND(TRIM(C57)=TRIM(RIGHT(SUBSTITUTE(TRIM('02_대상물건입력'!$B$7)," ",REPT(" ",99)),99)),IF('02_대상물건입력'!B15="",TRUE(),ISNUMBER(SEARCH('02_대상물건입력'!B15,L57)))),1,0))</f>
        <v/>
      </c>
      <c r="R57" s="175">
        <f>IFERROR(ABS(E57-'02_대상물건입력'!B11)/'02_대상물건입력'!B11,"")</f>
        <v/>
      </c>
      <c r="S57" s="152">
        <f>IFERROR(ABS(J57-'02_대상물건입력'!B10),"")</f>
        <v/>
      </c>
      <c r="T57" s="152">
        <f>IFERROR(ABS('01_설정'!B4-F57),"")</f>
        <v/>
      </c>
      <c r="U57" s="152">
        <f>IFERROR(ABS(K57-YEAR('02_대상물건입력'!B14)),"")</f>
        <v/>
      </c>
      <c r="V57" s="152">
        <f>IF(B57="","",IF(AND(E57&gt;0,F57&gt;0,H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57=1,TRUE()),R57&lt;='01_설정'!B5,S57&lt;='01_설정'!B6,T57&lt;='01_설정'!B7,U57&lt;='01_설정'!B8),"Y",""))</f>
        <v/>
      </c>
      <c r="W57" s="172">
        <f>IF(V57&lt;&gt;"Y","",MAX(0,(1-R57/'01_설정'!B5))*'01_설정'!B14+MAX(0,(1-S57/'01_설정'!B6))*'01_설정'!B15+MAX(0,(1-T57/'01_설정'!B7))*'01_설정'!B16+MAX(0,(1-U57/'01_설정'!B8))*'01_설정'!B17+O57*'01_설정'!B11+Q57*'01_설정'!B12+P57*'01_설정'!B13+IF(Z57="",0,Z57))</f>
        <v/>
      </c>
      <c r="X57" s="152">
        <f>IF(W57="","",1+COUNTIFS($W$4:$W$3003,"&gt;"&amp;W57)+COUNTIFS($W$4:W57,W57)-1)</f>
        <v/>
      </c>
      <c r="Y57" s="175">
        <f>IF(OR(I57="",'02_대상물건입력'!B19="",'02_대상물건입력'!B19&lt;=0),"",ABS(I57-'02_대상물건입력'!B19)/'02_대상물건입력'!B19)</f>
        <v/>
      </c>
      <c r="Z57" s="172">
        <f>IF(OR(Y57="",'01_설정'!B31="",'01_설정'!B31&lt;=0,'01_설정'!B32="",'01_설정'!B32&lt;=0),"",MAX(0,(1-Y57/'01_설정'!B32))*'01_설정'!B31)</f>
        <v/>
      </c>
    </row>
    <row r="58" ht="17.25" customHeight="1">
      <c r="A58" s="152">
        <f>IF(INDEX('04A_국토부원자료'!$A:$A,ROW()+1)="","",ROW()-3)</f>
        <v/>
      </c>
      <c r="B58" s="48">
        <f>IFERROR(INDEX('04A_국토부원자료'!$A:$T,ROW()+1,MATCH("시군구",'04A_국토부원자료'!$A$4:$T$4,0)),"")</f>
        <v/>
      </c>
      <c r="C58" s="48">
        <f>IF(B58="","",IFERROR(INDEX('04A_국토부원자료'!$A:$T,ROW()+1,MATCH("번지",'04A_국토부원자료'!$A$4:$T$4,0)),""))</f>
        <v/>
      </c>
      <c r="D58" s="48">
        <f>IF(B58="","",IF(Q58=1,'02_대상물건입력'!$B$8,IFERROR(INDEX('04A_국토부원자료'!$A:$T,ROW()+1,MATCH("단지명",'04A_국토부원자료'!$A$4:$T$4,0)),"")))</f>
        <v/>
      </c>
      <c r="E58" s="172">
        <f>IFERROR(VALUE(SUBSTITUTE(INDEX('04A_국토부원자료'!$A:$T,ROW()+1,MATCH("전용면적(㎡)",'04A_국토부원자료'!$A$4:$T$4,0)),",","")),"")</f>
        <v/>
      </c>
      <c r="F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8" s="51">
        <f>IFERROR(VALUE(SUBSTITUTE(INDEX('04A_국토부원자료'!$A:$T,ROW()+1,MATCH("거래금액(만원)",'04A_국토부원자료'!$A$4:$T$4,0)),",","")),"")</f>
        <v/>
      </c>
      <c r="H58" s="174">
        <f>IF(G58="","",G58*10000)</f>
        <v/>
      </c>
      <c r="I58" s="174">
        <f>IFERROR(IF(AND(H58&gt;0,E58&gt;0),H58/E58,""),"")</f>
        <v/>
      </c>
      <c r="J58" s="152">
        <f>IFERROR(VALUE(SUBSTITUTE(INDEX('04A_국토부원자료'!$A:$T,ROW()+1,MATCH("층",'04A_국토부원자료'!$A$4:$T$4,0)),",","")),"")</f>
        <v/>
      </c>
      <c r="K58" s="152">
        <f>IFERROR(VALUE(SUBSTITUTE(INDEX('04A_국토부원자료'!$A:$T,ROW()+1,MATCH("건축년도",'04A_국토부원자료'!$A$4:$T$4,0)),",","")),"")</f>
        <v/>
      </c>
      <c r="L58" s="176">
        <f>IFERROR(INDEX('04A_국토부원자료'!$A:$T,ROW()+1,MATCH("도로명",'04A_국토부원자료'!$A$4:$T$4,0)),"")</f>
        <v/>
      </c>
      <c r="M58" s="48">
        <f>IFERROR(INDEX('04A_국토부원자료'!$A:$T,ROW()+1,MATCH("거래유형",'04A_국토부원자료'!$A$4:$T$4,0)),"")</f>
        <v/>
      </c>
      <c r="N58" s="152">
        <f>IF(B58="","",IF('02_대상물건입력'!B5="",1,IF(ISNUMBER(SEARCH('02_대상물건입력'!B5,B58)),1,0)))</f>
        <v/>
      </c>
      <c r="O58" s="152">
        <f>IF(B58="","",IF('02_대상물건입력'!B6="",1,IF(ISNUMBER(SEARCH('02_대상물건입력'!B6,B58)),1,0)))</f>
        <v/>
      </c>
      <c r="P58" s="152">
        <f>IF(L58="","",IF('02_대상물건입력'!B15="",0,IF(ISNUMBER(SEARCH('02_대상물건입력'!B15,L58)),1,0)))</f>
        <v/>
      </c>
      <c r="Q58" s="152">
        <f>IF(OR(C58="",L58=""),0,IF(AND(TRIM(C58)=TRIM(RIGHT(SUBSTITUTE(TRIM('02_대상물건입력'!$B$7)," ",REPT(" ",99)),99)),IF('02_대상물건입력'!B15="",TRUE(),ISNUMBER(SEARCH('02_대상물건입력'!B15,L58)))),1,0))</f>
        <v/>
      </c>
      <c r="R58" s="175">
        <f>IFERROR(ABS(E58-'02_대상물건입력'!B11)/'02_대상물건입력'!B11,"")</f>
        <v/>
      </c>
      <c r="S58" s="152">
        <f>IFERROR(ABS(J58-'02_대상물건입력'!B10),"")</f>
        <v/>
      </c>
      <c r="T58" s="152">
        <f>IFERROR(ABS('01_설정'!B4-F58),"")</f>
        <v/>
      </c>
      <c r="U58" s="152">
        <f>IFERROR(ABS(K58-YEAR('02_대상물건입력'!B14)),"")</f>
        <v/>
      </c>
      <c r="V58" s="152">
        <f>IF(B58="","",IF(AND(E58&gt;0,F58&gt;0,H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58=1,TRUE()),R58&lt;='01_설정'!B5,S58&lt;='01_설정'!B6,T58&lt;='01_설정'!B7,U58&lt;='01_설정'!B8),"Y",""))</f>
        <v/>
      </c>
      <c r="W58" s="172">
        <f>IF(V58&lt;&gt;"Y","",MAX(0,(1-R58/'01_설정'!B5))*'01_설정'!B14+MAX(0,(1-S58/'01_설정'!B6))*'01_설정'!B15+MAX(0,(1-T58/'01_설정'!B7))*'01_설정'!B16+MAX(0,(1-U58/'01_설정'!B8))*'01_설정'!B17+O58*'01_설정'!B11+Q58*'01_설정'!B12+P58*'01_설정'!B13+IF(Z58="",0,Z58))</f>
        <v/>
      </c>
      <c r="X58" s="152">
        <f>IF(W58="","",1+COUNTIFS($W$4:$W$3003,"&gt;"&amp;W58)+COUNTIFS($W$4:W58,W58)-1)</f>
        <v/>
      </c>
      <c r="Y58" s="175">
        <f>IF(OR(I58="",'02_대상물건입력'!B19="",'02_대상물건입력'!B19&lt;=0),"",ABS(I58-'02_대상물건입력'!B19)/'02_대상물건입력'!B19)</f>
        <v/>
      </c>
      <c r="Z58" s="172">
        <f>IF(OR(Y58="",'01_설정'!B31="",'01_설정'!B31&lt;=0,'01_설정'!B32="",'01_설정'!B32&lt;=0),"",MAX(0,(1-Y58/'01_설정'!B32))*'01_설정'!B31)</f>
        <v/>
      </c>
    </row>
    <row r="59" ht="17.25" customHeight="1">
      <c r="A59" s="152">
        <f>IF(INDEX('04A_국토부원자료'!$A:$A,ROW()+1)="","",ROW()-3)</f>
        <v/>
      </c>
      <c r="B59" s="48">
        <f>IFERROR(INDEX('04A_국토부원자료'!$A:$T,ROW()+1,MATCH("시군구",'04A_국토부원자료'!$A$4:$T$4,0)),"")</f>
        <v/>
      </c>
      <c r="C59" s="48">
        <f>IF(B59="","",IFERROR(INDEX('04A_국토부원자료'!$A:$T,ROW()+1,MATCH("번지",'04A_국토부원자료'!$A$4:$T$4,0)),""))</f>
        <v/>
      </c>
      <c r="D59" s="48">
        <f>IF(B59="","",IF(Q59=1,'02_대상물건입력'!$B$8,IFERROR(INDEX('04A_국토부원자료'!$A:$T,ROW()+1,MATCH("단지명",'04A_국토부원자료'!$A$4:$T$4,0)),"")))</f>
        <v/>
      </c>
      <c r="E59" s="172">
        <f>IFERROR(VALUE(SUBSTITUTE(INDEX('04A_국토부원자료'!$A:$T,ROW()+1,MATCH("전용면적(㎡)",'04A_국토부원자료'!$A$4:$T$4,0)),",","")),"")</f>
        <v/>
      </c>
      <c r="F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9" s="51">
        <f>IFERROR(VALUE(SUBSTITUTE(INDEX('04A_국토부원자료'!$A:$T,ROW()+1,MATCH("거래금액(만원)",'04A_국토부원자료'!$A$4:$T$4,0)),",","")),"")</f>
        <v/>
      </c>
      <c r="H59" s="174">
        <f>IF(G59="","",G59*10000)</f>
        <v/>
      </c>
      <c r="I59" s="174">
        <f>IFERROR(IF(AND(H59&gt;0,E59&gt;0),H59/E59,""),"")</f>
        <v/>
      </c>
      <c r="J59" s="152">
        <f>IFERROR(VALUE(SUBSTITUTE(INDEX('04A_국토부원자료'!$A:$T,ROW()+1,MATCH("층",'04A_국토부원자료'!$A$4:$T$4,0)),",","")),"")</f>
        <v/>
      </c>
      <c r="K59" s="152">
        <f>IFERROR(VALUE(SUBSTITUTE(INDEX('04A_국토부원자료'!$A:$T,ROW()+1,MATCH("건축년도",'04A_국토부원자료'!$A$4:$T$4,0)),",","")),"")</f>
        <v/>
      </c>
      <c r="L59" s="176">
        <f>IFERROR(INDEX('04A_국토부원자료'!$A:$T,ROW()+1,MATCH("도로명",'04A_국토부원자료'!$A$4:$T$4,0)),"")</f>
        <v/>
      </c>
      <c r="M59" s="48">
        <f>IFERROR(INDEX('04A_국토부원자료'!$A:$T,ROW()+1,MATCH("거래유형",'04A_국토부원자료'!$A$4:$T$4,0)),"")</f>
        <v/>
      </c>
      <c r="N59" s="152">
        <f>IF(B59="","",IF('02_대상물건입력'!B5="",1,IF(ISNUMBER(SEARCH('02_대상물건입력'!B5,B59)),1,0)))</f>
        <v/>
      </c>
      <c r="O59" s="152">
        <f>IF(B59="","",IF('02_대상물건입력'!B6="",1,IF(ISNUMBER(SEARCH('02_대상물건입력'!B6,B59)),1,0)))</f>
        <v/>
      </c>
      <c r="P59" s="152">
        <f>IF(L59="","",IF('02_대상물건입력'!B15="",0,IF(ISNUMBER(SEARCH('02_대상물건입력'!B15,L59)),1,0)))</f>
        <v/>
      </c>
      <c r="Q59" s="152">
        <f>IF(OR(C59="",L59=""),0,IF(AND(TRIM(C59)=TRIM(RIGHT(SUBSTITUTE(TRIM('02_대상물건입력'!$B$7)," ",REPT(" ",99)),99)),IF('02_대상물건입력'!B15="",TRUE(),ISNUMBER(SEARCH('02_대상물건입력'!B15,L59)))),1,0))</f>
        <v/>
      </c>
      <c r="R59" s="175">
        <f>IFERROR(ABS(E59-'02_대상물건입력'!B11)/'02_대상물건입력'!B11,"")</f>
        <v/>
      </c>
      <c r="S59" s="152">
        <f>IFERROR(ABS(J59-'02_대상물건입력'!B10),"")</f>
        <v/>
      </c>
      <c r="T59" s="152">
        <f>IFERROR(ABS('01_설정'!B4-F59),"")</f>
        <v/>
      </c>
      <c r="U59" s="152">
        <f>IFERROR(ABS(K59-YEAR('02_대상물건입력'!B14)),"")</f>
        <v/>
      </c>
      <c r="V59" s="152">
        <f>IF(B59="","",IF(AND(E59&gt;0,F59&gt;0,H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59=1,TRUE()),R59&lt;='01_설정'!B5,S59&lt;='01_설정'!B6,T59&lt;='01_설정'!B7,U59&lt;='01_설정'!B8),"Y",""))</f>
        <v/>
      </c>
      <c r="W59" s="172">
        <f>IF(V59&lt;&gt;"Y","",MAX(0,(1-R59/'01_설정'!B5))*'01_설정'!B14+MAX(0,(1-S59/'01_설정'!B6))*'01_설정'!B15+MAX(0,(1-T59/'01_설정'!B7))*'01_설정'!B16+MAX(0,(1-U59/'01_설정'!B8))*'01_설정'!B17+O59*'01_설정'!B11+Q59*'01_설정'!B12+P59*'01_설정'!B13+IF(Z59="",0,Z59))</f>
        <v/>
      </c>
      <c r="X59" s="152">
        <f>IF(W59="","",1+COUNTIFS($W$4:$W$3003,"&gt;"&amp;W59)+COUNTIFS($W$4:W59,W59)-1)</f>
        <v/>
      </c>
      <c r="Y59" s="175">
        <f>IF(OR(I59="",'02_대상물건입력'!B19="",'02_대상물건입력'!B19&lt;=0),"",ABS(I59-'02_대상물건입력'!B19)/'02_대상물건입력'!B19)</f>
        <v/>
      </c>
      <c r="Z59" s="172">
        <f>IF(OR(Y59="",'01_설정'!B31="",'01_설정'!B31&lt;=0,'01_설정'!B32="",'01_설정'!B32&lt;=0),"",MAX(0,(1-Y59/'01_설정'!B32))*'01_설정'!B31)</f>
        <v/>
      </c>
    </row>
    <row r="60" ht="17.25" customHeight="1">
      <c r="A60" s="152">
        <f>IF(INDEX('04A_국토부원자료'!$A:$A,ROW()+1)="","",ROW()-3)</f>
        <v/>
      </c>
      <c r="B60" s="48">
        <f>IFERROR(INDEX('04A_국토부원자료'!$A:$T,ROW()+1,MATCH("시군구",'04A_국토부원자료'!$A$4:$T$4,0)),"")</f>
        <v/>
      </c>
      <c r="C60" s="48">
        <f>IF(B60="","",IFERROR(INDEX('04A_국토부원자료'!$A:$T,ROW()+1,MATCH("번지",'04A_국토부원자료'!$A$4:$T$4,0)),""))</f>
        <v/>
      </c>
      <c r="D60" s="48">
        <f>IF(B60="","",IF(Q60=1,'02_대상물건입력'!$B$8,IFERROR(INDEX('04A_국토부원자료'!$A:$T,ROW()+1,MATCH("단지명",'04A_국토부원자료'!$A$4:$T$4,0)),"")))</f>
        <v/>
      </c>
      <c r="E60" s="172">
        <f>IFERROR(VALUE(SUBSTITUTE(INDEX('04A_국토부원자료'!$A:$T,ROW()+1,MATCH("전용면적(㎡)",'04A_국토부원자료'!$A$4:$T$4,0)),",","")),"")</f>
        <v/>
      </c>
      <c r="F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0" s="51">
        <f>IFERROR(VALUE(SUBSTITUTE(INDEX('04A_국토부원자료'!$A:$T,ROW()+1,MATCH("거래금액(만원)",'04A_국토부원자료'!$A$4:$T$4,0)),",","")),"")</f>
        <v/>
      </c>
      <c r="H60" s="174">
        <f>IF(G60="","",G60*10000)</f>
        <v/>
      </c>
      <c r="I60" s="174">
        <f>IFERROR(IF(AND(H60&gt;0,E60&gt;0),H60/E60,""),"")</f>
        <v/>
      </c>
      <c r="J60" s="152">
        <f>IFERROR(VALUE(SUBSTITUTE(INDEX('04A_국토부원자료'!$A:$T,ROW()+1,MATCH("층",'04A_국토부원자료'!$A$4:$T$4,0)),",","")),"")</f>
        <v/>
      </c>
      <c r="K60" s="152">
        <f>IFERROR(VALUE(SUBSTITUTE(INDEX('04A_국토부원자료'!$A:$T,ROW()+1,MATCH("건축년도",'04A_국토부원자료'!$A$4:$T$4,0)),",","")),"")</f>
        <v/>
      </c>
      <c r="L60" s="176">
        <f>IFERROR(INDEX('04A_국토부원자료'!$A:$T,ROW()+1,MATCH("도로명",'04A_국토부원자료'!$A$4:$T$4,0)),"")</f>
        <v/>
      </c>
      <c r="M60" s="48">
        <f>IFERROR(INDEX('04A_국토부원자료'!$A:$T,ROW()+1,MATCH("거래유형",'04A_국토부원자료'!$A$4:$T$4,0)),"")</f>
        <v/>
      </c>
      <c r="N60" s="152">
        <f>IF(B60="","",IF('02_대상물건입력'!B5="",1,IF(ISNUMBER(SEARCH('02_대상물건입력'!B5,B60)),1,0)))</f>
        <v/>
      </c>
      <c r="O60" s="152">
        <f>IF(B60="","",IF('02_대상물건입력'!B6="",1,IF(ISNUMBER(SEARCH('02_대상물건입력'!B6,B60)),1,0)))</f>
        <v/>
      </c>
      <c r="P60" s="152">
        <f>IF(L60="","",IF('02_대상물건입력'!B15="",0,IF(ISNUMBER(SEARCH('02_대상물건입력'!B15,L60)),1,0)))</f>
        <v/>
      </c>
      <c r="Q60" s="152">
        <f>IF(OR(C60="",L60=""),0,IF(AND(TRIM(C60)=TRIM(RIGHT(SUBSTITUTE(TRIM('02_대상물건입력'!$B$7)," ",REPT(" ",99)),99)),IF('02_대상물건입력'!B15="",TRUE(),ISNUMBER(SEARCH('02_대상물건입력'!B15,L60)))),1,0))</f>
        <v/>
      </c>
      <c r="R60" s="175">
        <f>IFERROR(ABS(E60-'02_대상물건입력'!B11)/'02_대상물건입력'!B11,"")</f>
        <v/>
      </c>
      <c r="S60" s="152">
        <f>IFERROR(ABS(J60-'02_대상물건입력'!B10),"")</f>
        <v/>
      </c>
      <c r="T60" s="152">
        <f>IFERROR(ABS('01_설정'!B4-F60),"")</f>
        <v/>
      </c>
      <c r="U60" s="152">
        <f>IFERROR(ABS(K60-YEAR('02_대상물건입력'!B14)),"")</f>
        <v/>
      </c>
      <c r="V60" s="152">
        <f>IF(B60="","",IF(AND(E60&gt;0,F60&gt;0,H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60=1,TRUE()),R60&lt;='01_설정'!B5,S60&lt;='01_설정'!B6,T60&lt;='01_설정'!B7,U60&lt;='01_설정'!B8),"Y",""))</f>
        <v/>
      </c>
      <c r="W60" s="172">
        <f>IF(V60&lt;&gt;"Y","",MAX(0,(1-R60/'01_설정'!B5))*'01_설정'!B14+MAX(0,(1-S60/'01_설정'!B6))*'01_설정'!B15+MAX(0,(1-T60/'01_설정'!B7))*'01_설정'!B16+MAX(0,(1-U60/'01_설정'!B8))*'01_설정'!B17+O60*'01_설정'!B11+Q60*'01_설정'!B12+P60*'01_설정'!B13+IF(Z60="",0,Z60))</f>
        <v/>
      </c>
      <c r="X60" s="152">
        <f>IF(W60="","",1+COUNTIFS($W$4:$W$3003,"&gt;"&amp;W60)+COUNTIFS($W$4:W60,W60)-1)</f>
        <v/>
      </c>
      <c r="Y60" s="175">
        <f>IF(OR(I60="",'02_대상물건입력'!B19="",'02_대상물건입력'!B19&lt;=0),"",ABS(I60-'02_대상물건입력'!B19)/'02_대상물건입력'!B19)</f>
        <v/>
      </c>
      <c r="Z60" s="172">
        <f>IF(OR(Y60="",'01_설정'!B31="",'01_설정'!B31&lt;=0,'01_설정'!B32="",'01_설정'!B32&lt;=0),"",MAX(0,(1-Y60/'01_설정'!B32))*'01_설정'!B31)</f>
        <v/>
      </c>
    </row>
    <row r="61" ht="17.25" customHeight="1">
      <c r="A61" s="152">
        <f>IF(INDEX('04A_국토부원자료'!$A:$A,ROW()+1)="","",ROW()-3)</f>
        <v/>
      </c>
      <c r="B61" s="48">
        <f>IFERROR(INDEX('04A_국토부원자료'!$A:$T,ROW()+1,MATCH("시군구",'04A_국토부원자료'!$A$4:$T$4,0)),"")</f>
        <v/>
      </c>
      <c r="C61" s="48">
        <f>IF(B61="","",IFERROR(INDEX('04A_국토부원자료'!$A:$T,ROW()+1,MATCH("번지",'04A_국토부원자료'!$A$4:$T$4,0)),""))</f>
        <v/>
      </c>
      <c r="D61" s="48">
        <f>IF(B61="","",IF(Q61=1,'02_대상물건입력'!$B$8,IFERROR(INDEX('04A_국토부원자료'!$A:$T,ROW()+1,MATCH("단지명",'04A_국토부원자료'!$A$4:$T$4,0)),"")))</f>
        <v/>
      </c>
      <c r="E61" s="172">
        <f>IFERROR(VALUE(SUBSTITUTE(INDEX('04A_국토부원자료'!$A:$T,ROW()+1,MATCH("전용면적(㎡)",'04A_국토부원자료'!$A$4:$T$4,0)),",","")),"")</f>
        <v/>
      </c>
      <c r="F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1" s="51">
        <f>IFERROR(VALUE(SUBSTITUTE(INDEX('04A_국토부원자료'!$A:$T,ROW()+1,MATCH("거래금액(만원)",'04A_국토부원자료'!$A$4:$T$4,0)),",","")),"")</f>
        <v/>
      </c>
      <c r="H61" s="174">
        <f>IF(G61="","",G61*10000)</f>
        <v/>
      </c>
      <c r="I61" s="174">
        <f>IFERROR(IF(AND(H61&gt;0,E61&gt;0),H61/E61,""),"")</f>
        <v/>
      </c>
      <c r="J61" s="152">
        <f>IFERROR(VALUE(SUBSTITUTE(INDEX('04A_국토부원자료'!$A:$T,ROW()+1,MATCH("층",'04A_국토부원자료'!$A$4:$T$4,0)),",","")),"")</f>
        <v/>
      </c>
      <c r="K61" s="152">
        <f>IFERROR(VALUE(SUBSTITUTE(INDEX('04A_국토부원자료'!$A:$T,ROW()+1,MATCH("건축년도",'04A_국토부원자료'!$A$4:$T$4,0)),",","")),"")</f>
        <v/>
      </c>
      <c r="L61" s="176">
        <f>IFERROR(INDEX('04A_국토부원자료'!$A:$T,ROW()+1,MATCH("도로명",'04A_국토부원자료'!$A$4:$T$4,0)),"")</f>
        <v/>
      </c>
      <c r="M61" s="48">
        <f>IFERROR(INDEX('04A_국토부원자료'!$A:$T,ROW()+1,MATCH("거래유형",'04A_국토부원자료'!$A$4:$T$4,0)),"")</f>
        <v/>
      </c>
      <c r="N61" s="152">
        <f>IF(B61="","",IF('02_대상물건입력'!B5="",1,IF(ISNUMBER(SEARCH('02_대상물건입력'!B5,B61)),1,0)))</f>
        <v/>
      </c>
      <c r="O61" s="152">
        <f>IF(B61="","",IF('02_대상물건입력'!B6="",1,IF(ISNUMBER(SEARCH('02_대상물건입력'!B6,B61)),1,0)))</f>
        <v/>
      </c>
      <c r="P61" s="152">
        <f>IF(L61="","",IF('02_대상물건입력'!B15="",0,IF(ISNUMBER(SEARCH('02_대상물건입력'!B15,L61)),1,0)))</f>
        <v/>
      </c>
      <c r="Q61" s="152">
        <f>IF(OR(C61="",L61=""),0,IF(AND(TRIM(C61)=TRIM(RIGHT(SUBSTITUTE(TRIM('02_대상물건입력'!$B$7)," ",REPT(" ",99)),99)),IF('02_대상물건입력'!B15="",TRUE(),ISNUMBER(SEARCH('02_대상물건입력'!B15,L61)))),1,0))</f>
        <v/>
      </c>
      <c r="R61" s="175">
        <f>IFERROR(ABS(E61-'02_대상물건입력'!B11)/'02_대상물건입력'!B11,"")</f>
        <v/>
      </c>
      <c r="S61" s="152">
        <f>IFERROR(ABS(J61-'02_대상물건입력'!B10),"")</f>
        <v/>
      </c>
      <c r="T61" s="152">
        <f>IFERROR(ABS('01_설정'!B4-F61),"")</f>
        <v/>
      </c>
      <c r="U61" s="152">
        <f>IFERROR(ABS(K61-YEAR('02_대상물건입력'!B14)),"")</f>
        <v/>
      </c>
      <c r="V61" s="152">
        <f>IF(B61="","",IF(AND(E61&gt;0,F61&gt;0,H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61=1,TRUE()),R61&lt;='01_설정'!B5,S61&lt;='01_설정'!B6,T61&lt;='01_설정'!B7,U61&lt;='01_설정'!B8),"Y",""))</f>
        <v/>
      </c>
      <c r="W61" s="172">
        <f>IF(V61&lt;&gt;"Y","",MAX(0,(1-R61/'01_설정'!B5))*'01_설정'!B14+MAX(0,(1-S61/'01_설정'!B6))*'01_설정'!B15+MAX(0,(1-T61/'01_설정'!B7))*'01_설정'!B16+MAX(0,(1-U61/'01_설정'!B8))*'01_설정'!B17+O61*'01_설정'!B11+Q61*'01_설정'!B12+P61*'01_설정'!B13+IF(Z61="",0,Z61))</f>
        <v/>
      </c>
      <c r="X61" s="152">
        <f>IF(W61="","",1+COUNTIFS($W$4:$W$3003,"&gt;"&amp;W61)+COUNTIFS($W$4:W61,W61)-1)</f>
        <v/>
      </c>
      <c r="Y61" s="175">
        <f>IF(OR(I61="",'02_대상물건입력'!B19="",'02_대상물건입력'!B19&lt;=0),"",ABS(I61-'02_대상물건입력'!B19)/'02_대상물건입력'!B19)</f>
        <v/>
      </c>
      <c r="Z61" s="172">
        <f>IF(OR(Y61="",'01_설정'!B31="",'01_설정'!B31&lt;=0,'01_설정'!B32="",'01_설정'!B32&lt;=0),"",MAX(0,(1-Y61/'01_설정'!B32))*'01_설정'!B31)</f>
        <v/>
      </c>
    </row>
    <row r="62" ht="17.25" customHeight="1">
      <c r="A62" s="152">
        <f>IF(INDEX('04A_국토부원자료'!$A:$A,ROW()+1)="","",ROW()-3)</f>
        <v/>
      </c>
      <c r="B62" s="48">
        <f>IFERROR(INDEX('04A_국토부원자료'!$A:$T,ROW()+1,MATCH("시군구",'04A_국토부원자료'!$A$4:$T$4,0)),"")</f>
        <v/>
      </c>
      <c r="C62" s="48">
        <f>IF(B62="","",IFERROR(INDEX('04A_국토부원자료'!$A:$T,ROW()+1,MATCH("번지",'04A_국토부원자료'!$A$4:$T$4,0)),""))</f>
        <v/>
      </c>
      <c r="D62" s="48">
        <f>IF(B62="","",IF(Q62=1,'02_대상물건입력'!$B$8,IFERROR(INDEX('04A_국토부원자료'!$A:$T,ROW()+1,MATCH("단지명",'04A_국토부원자료'!$A$4:$T$4,0)),"")))</f>
        <v/>
      </c>
      <c r="E62" s="172">
        <f>IFERROR(VALUE(SUBSTITUTE(INDEX('04A_국토부원자료'!$A:$T,ROW()+1,MATCH("전용면적(㎡)",'04A_국토부원자료'!$A$4:$T$4,0)),",","")),"")</f>
        <v/>
      </c>
      <c r="F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2" s="51">
        <f>IFERROR(VALUE(SUBSTITUTE(INDEX('04A_국토부원자료'!$A:$T,ROW()+1,MATCH("거래금액(만원)",'04A_국토부원자료'!$A$4:$T$4,0)),",","")),"")</f>
        <v/>
      </c>
      <c r="H62" s="174">
        <f>IF(G62="","",G62*10000)</f>
        <v/>
      </c>
      <c r="I62" s="174">
        <f>IFERROR(IF(AND(H62&gt;0,E62&gt;0),H62/E62,""),"")</f>
        <v/>
      </c>
      <c r="J62" s="152">
        <f>IFERROR(VALUE(SUBSTITUTE(INDEX('04A_국토부원자료'!$A:$T,ROW()+1,MATCH("층",'04A_국토부원자료'!$A$4:$T$4,0)),",","")),"")</f>
        <v/>
      </c>
      <c r="K62" s="152">
        <f>IFERROR(VALUE(SUBSTITUTE(INDEX('04A_국토부원자료'!$A:$T,ROW()+1,MATCH("건축년도",'04A_국토부원자료'!$A$4:$T$4,0)),",","")),"")</f>
        <v/>
      </c>
      <c r="L62" s="176">
        <f>IFERROR(INDEX('04A_국토부원자료'!$A:$T,ROW()+1,MATCH("도로명",'04A_국토부원자료'!$A$4:$T$4,0)),"")</f>
        <v/>
      </c>
      <c r="M62" s="48">
        <f>IFERROR(INDEX('04A_국토부원자료'!$A:$T,ROW()+1,MATCH("거래유형",'04A_국토부원자료'!$A$4:$T$4,0)),"")</f>
        <v/>
      </c>
      <c r="N62" s="152">
        <f>IF(B62="","",IF('02_대상물건입력'!B5="",1,IF(ISNUMBER(SEARCH('02_대상물건입력'!B5,B62)),1,0)))</f>
        <v/>
      </c>
      <c r="O62" s="152">
        <f>IF(B62="","",IF('02_대상물건입력'!B6="",1,IF(ISNUMBER(SEARCH('02_대상물건입력'!B6,B62)),1,0)))</f>
        <v/>
      </c>
      <c r="P62" s="152">
        <f>IF(L62="","",IF('02_대상물건입력'!B15="",0,IF(ISNUMBER(SEARCH('02_대상물건입력'!B15,L62)),1,0)))</f>
        <v/>
      </c>
      <c r="Q62" s="152">
        <f>IF(OR(C62="",L62=""),0,IF(AND(TRIM(C62)=TRIM(RIGHT(SUBSTITUTE(TRIM('02_대상물건입력'!$B$7)," ",REPT(" ",99)),99)),IF('02_대상물건입력'!B15="",TRUE(),ISNUMBER(SEARCH('02_대상물건입력'!B15,L62)))),1,0))</f>
        <v/>
      </c>
      <c r="R62" s="175">
        <f>IFERROR(ABS(E62-'02_대상물건입력'!B11)/'02_대상물건입력'!B11,"")</f>
        <v/>
      </c>
      <c r="S62" s="152">
        <f>IFERROR(ABS(J62-'02_대상물건입력'!B10),"")</f>
        <v/>
      </c>
      <c r="T62" s="152">
        <f>IFERROR(ABS('01_설정'!B4-F62),"")</f>
        <v/>
      </c>
      <c r="U62" s="152">
        <f>IFERROR(ABS(K62-YEAR('02_대상물건입력'!B14)),"")</f>
        <v/>
      </c>
      <c r="V62" s="152">
        <f>IF(B62="","",IF(AND(E62&gt;0,F62&gt;0,H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62=1,TRUE()),R62&lt;='01_설정'!B5,S62&lt;='01_설정'!B6,T62&lt;='01_설정'!B7,U62&lt;='01_설정'!B8),"Y",""))</f>
        <v/>
      </c>
      <c r="W62" s="172">
        <f>IF(V62&lt;&gt;"Y","",MAX(0,(1-R62/'01_설정'!B5))*'01_설정'!B14+MAX(0,(1-S62/'01_설정'!B6))*'01_설정'!B15+MAX(0,(1-T62/'01_설정'!B7))*'01_설정'!B16+MAX(0,(1-U62/'01_설정'!B8))*'01_설정'!B17+O62*'01_설정'!B11+Q62*'01_설정'!B12+P62*'01_설정'!B13+IF(Z62="",0,Z62))</f>
        <v/>
      </c>
      <c r="X62" s="152">
        <f>IF(W62="","",1+COUNTIFS($W$4:$W$3003,"&gt;"&amp;W62)+COUNTIFS($W$4:W62,W62)-1)</f>
        <v/>
      </c>
      <c r="Y62" s="175">
        <f>IF(OR(I62="",'02_대상물건입력'!B19="",'02_대상물건입력'!B19&lt;=0),"",ABS(I62-'02_대상물건입력'!B19)/'02_대상물건입력'!B19)</f>
        <v/>
      </c>
      <c r="Z62" s="172">
        <f>IF(OR(Y62="",'01_설정'!B31="",'01_설정'!B31&lt;=0,'01_설정'!B32="",'01_설정'!B32&lt;=0),"",MAX(0,(1-Y62/'01_설정'!B32))*'01_설정'!B31)</f>
        <v/>
      </c>
    </row>
    <row r="63" ht="17.25" customHeight="1">
      <c r="A63" s="152">
        <f>IF(INDEX('04A_국토부원자료'!$A:$A,ROW()+1)="","",ROW()-3)</f>
        <v/>
      </c>
      <c r="B63" s="48">
        <f>IFERROR(INDEX('04A_국토부원자료'!$A:$T,ROW()+1,MATCH("시군구",'04A_국토부원자료'!$A$4:$T$4,0)),"")</f>
        <v/>
      </c>
      <c r="C63" s="48">
        <f>IF(B63="","",IFERROR(INDEX('04A_국토부원자료'!$A:$T,ROW()+1,MATCH("번지",'04A_국토부원자료'!$A$4:$T$4,0)),""))</f>
        <v/>
      </c>
      <c r="D63" s="48">
        <f>IF(B63="","",IF(Q63=1,'02_대상물건입력'!$B$8,IFERROR(INDEX('04A_국토부원자료'!$A:$T,ROW()+1,MATCH("단지명",'04A_국토부원자료'!$A$4:$T$4,0)),"")))</f>
        <v/>
      </c>
      <c r="E63" s="172">
        <f>IFERROR(VALUE(SUBSTITUTE(INDEX('04A_국토부원자료'!$A:$T,ROW()+1,MATCH("전용면적(㎡)",'04A_국토부원자료'!$A$4:$T$4,0)),",","")),"")</f>
        <v/>
      </c>
      <c r="F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3" s="51">
        <f>IFERROR(VALUE(SUBSTITUTE(INDEX('04A_국토부원자료'!$A:$T,ROW()+1,MATCH("거래금액(만원)",'04A_국토부원자료'!$A$4:$T$4,0)),",","")),"")</f>
        <v/>
      </c>
      <c r="H63" s="174">
        <f>IF(G63="","",G63*10000)</f>
        <v/>
      </c>
      <c r="I63" s="174">
        <f>IFERROR(IF(AND(H63&gt;0,E63&gt;0),H63/E63,""),"")</f>
        <v/>
      </c>
      <c r="J63" s="152">
        <f>IFERROR(VALUE(SUBSTITUTE(INDEX('04A_국토부원자료'!$A:$T,ROW()+1,MATCH("층",'04A_국토부원자료'!$A$4:$T$4,0)),",","")),"")</f>
        <v/>
      </c>
      <c r="K63" s="152">
        <f>IFERROR(VALUE(SUBSTITUTE(INDEX('04A_국토부원자료'!$A:$T,ROW()+1,MATCH("건축년도",'04A_국토부원자료'!$A$4:$T$4,0)),",","")),"")</f>
        <v/>
      </c>
      <c r="L63" s="176">
        <f>IFERROR(INDEX('04A_국토부원자료'!$A:$T,ROW()+1,MATCH("도로명",'04A_국토부원자료'!$A$4:$T$4,0)),"")</f>
        <v/>
      </c>
      <c r="M63" s="48">
        <f>IFERROR(INDEX('04A_국토부원자료'!$A:$T,ROW()+1,MATCH("거래유형",'04A_국토부원자료'!$A$4:$T$4,0)),"")</f>
        <v/>
      </c>
      <c r="N63" s="152">
        <f>IF(B63="","",IF('02_대상물건입력'!B5="",1,IF(ISNUMBER(SEARCH('02_대상물건입력'!B5,B63)),1,0)))</f>
        <v/>
      </c>
      <c r="O63" s="152">
        <f>IF(B63="","",IF('02_대상물건입력'!B6="",1,IF(ISNUMBER(SEARCH('02_대상물건입력'!B6,B63)),1,0)))</f>
        <v/>
      </c>
      <c r="P63" s="152">
        <f>IF(L63="","",IF('02_대상물건입력'!B15="",0,IF(ISNUMBER(SEARCH('02_대상물건입력'!B15,L63)),1,0)))</f>
        <v/>
      </c>
      <c r="Q63" s="152">
        <f>IF(OR(C63="",L63=""),0,IF(AND(TRIM(C63)=TRIM(RIGHT(SUBSTITUTE(TRIM('02_대상물건입력'!$B$7)," ",REPT(" ",99)),99)),IF('02_대상물건입력'!B15="",TRUE(),ISNUMBER(SEARCH('02_대상물건입력'!B15,L63)))),1,0))</f>
        <v/>
      </c>
      <c r="R63" s="175">
        <f>IFERROR(ABS(E63-'02_대상물건입력'!B11)/'02_대상물건입력'!B11,"")</f>
        <v/>
      </c>
      <c r="S63" s="152">
        <f>IFERROR(ABS(J63-'02_대상물건입력'!B10),"")</f>
        <v/>
      </c>
      <c r="T63" s="152">
        <f>IFERROR(ABS('01_설정'!B4-F63),"")</f>
        <v/>
      </c>
      <c r="U63" s="152">
        <f>IFERROR(ABS(K63-YEAR('02_대상물건입력'!B14)),"")</f>
        <v/>
      </c>
      <c r="V63" s="152">
        <f>IF(B63="","",IF(AND(E63&gt;0,F63&gt;0,H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63=1,TRUE()),R63&lt;='01_설정'!B5,S63&lt;='01_설정'!B6,T63&lt;='01_설정'!B7,U63&lt;='01_설정'!B8),"Y",""))</f>
        <v/>
      </c>
      <c r="W63" s="172">
        <f>IF(V63&lt;&gt;"Y","",MAX(0,(1-R63/'01_설정'!B5))*'01_설정'!B14+MAX(0,(1-S63/'01_설정'!B6))*'01_설정'!B15+MAX(0,(1-T63/'01_설정'!B7))*'01_설정'!B16+MAX(0,(1-U63/'01_설정'!B8))*'01_설정'!B17+O63*'01_설정'!B11+Q63*'01_설정'!B12+P63*'01_설정'!B13+IF(Z63="",0,Z63))</f>
        <v/>
      </c>
      <c r="X63" s="152">
        <f>IF(W63="","",1+COUNTIFS($W$4:$W$3003,"&gt;"&amp;W63)+COUNTIFS($W$4:W63,W63)-1)</f>
        <v/>
      </c>
      <c r="Y63" s="175">
        <f>IF(OR(I63="",'02_대상물건입력'!B19="",'02_대상물건입력'!B19&lt;=0),"",ABS(I63-'02_대상물건입력'!B19)/'02_대상물건입력'!B19)</f>
        <v/>
      </c>
      <c r="Z63" s="172">
        <f>IF(OR(Y63="",'01_설정'!B31="",'01_설정'!B31&lt;=0,'01_설정'!B32="",'01_설정'!B32&lt;=0),"",MAX(0,(1-Y63/'01_설정'!B32))*'01_설정'!B31)</f>
        <v/>
      </c>
    </row>
    <row r="64" ht="17.25" customHeight="1">
      <c r="A64" s="152">
        <f>IF(INDEX('04A_국토부원자료'!$A:$A,ROW()+1)="","",ROW()-3)</f>
        <v/>
      </c>
      <c r="B64" s="48">
        <f>IFERROR(INDEX('04A_국토부원자료'!$A:$T,ROW()+1,MATCH("시군구",'04A_국토부원자료'!$A$4:$T$4,0)),"")</f>
        <v/>
      </c>
      <c r="C64" s="48">
        <f>IF(B64="","",IFERROR(INDEX('04A_국토부원자료'!$A:$T,ROW()+1,MATCH("번지",'04A_국토부원자료'!$A$4:$T$4,0)),""))</f>
        <v/>
      </c>
      <c r="D64" s="48">
        <f>IF(B64="","",IF(Q64=1,'02_대상물건입력'!$B$8,IFERROR(INDEX('04A_국토부원자료'!$A:$T,ROW()+1,MATCH("단지명",'04A_국토부원자료'!$A$4:$T$4,0)),"")))</f>
        <v/>
      </c>
      <c r="E64" s="172">
        <f>IFERROR(VALUE(SUBSTITUTE(INDEX('04A_국토부원자료'!$A:$T,ROW()+1,MATCH("전용면적(㎡)",'04A_국토부원자료'!$A$4:$T$4,0)),",","")),"")</f>
        <v/>
      </c>
      <c r="F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4" s="51">
        <f>IFERROR(VALUE(SUBSTITUTE(INDEX('04A_국토부원자료'!$A:$T,ROW()+1,MATCH("거래금액(만원)",'04A_국토부원자료'!$A$4:$T$4,0)),",","")),"")</f>
        <v/>
      </c>
      <c r="H64" s="174">
        <f>IF(G64="","",G64*10000)</f>
        <v/>
      </c>
      <c r="I64" s="174">
        <f>IFERROR(IF(AND(H64&gt;0,E64&gt;0),H64/E64,""),"")</f>
        <v/>
      </c>
      <c r="J64" s="152">
        <f>IFERROR(VALUE(SUBSTITUTE(INDEX('04A_국토부원자료'!$A:$T,ROW()+1,MATCH("층",'04A_국토부원자료'!$A$4:$T$4,0)),",","")),"")</f>
        <v/>
      </c>
      <c r="K64" s="152">
        <f>IFERROR(VALUE(SUBSTITUTE(INDEX('04A_국토부원자료'!$A:$T,ROW()+1,MATCH("건축년도",'04A_국토부원자료'!$A$4:$T$4,0)),",","")),"")</f>
        <v/>
      </c>
      <c r="L64" s="176">
        <f>IFERROR(INDEX('04A_국토부원자료'!$A:$T,ROW()+1,MATCH("도로명",'04A_국토부원자료'!$A$4:$T$4,0)),"")</f>
        <v/>
      </c>
      <c r="M64" s="48">
        <f>IFERROR(INDEX('04A_국토부원자료'!$A:$T,ROW()+1,MATCH("거래유형",'04A_국토부원자료'!$A$4:$T$4,0)),"")</f>
        <v/>
      </c>
      <c r="N64" s="152">
        <f>IF(B64="","",IF('02_대상물건입력'!B5="",1,IF(ISNUMBER(SEARCH('02_대상물건입력'!B5,B64)),1,0)))</f>
        <v/>
      </c>
      <c r="O64" s="152">
        <f>IF(B64="","",IF('02_대상물건입력'!B6="",1,IF(ISNUMBER(SEARCH('02_대상물건입력'!B6,B64)),1,0)))</f>
        <v/>
      </c>
      <c r="P64" s="152">
        <f>IF(L64="","",IF('02_대상물건입력'!B15="",0,IF(ISNUMBER(SEARCH('02_대상물건입력'!B15,L64)),1,0)))</f>
        <v/>
      </c>
      <c r="Q64" s="152">
        <f>IF(OR(C64="",L64=""),0,IF(AND(TRIM(C64)=TRIM(RIGHT(SUBSTITUTE(TRIM('02_대상물건입력'!$B$7)," ",REPT(" ",99)),99)),IF('02_대상물건입력'!B15="",TRUE(),ISNUMBER(SEARCH('02_대상물건입력'!B15,L64)))),1,0))</f>
        <v/>
      </c>
      <c r="R64" s="175">
        <f>IFERROR(ABS(E64-'02_대상물건입력'!B11)/'02_대상물건입력'!B11,"")</f>
        <v/>
      </c>
      <c r="S64" s="152">
        <f>IFERROR(ABS(J64-'02_대상물건입력'!B10),"")</f>
        <v/>
      </c>
      <c r="T64" s="152">
        <f>IFERROR(ABS('01_설정'!B4-F64),"")</f>
        <v/>
      </c>
      <c r="U64" s="152">
        <f>IFERROR(ABS(K64-YEAR('02_대상물건입력'!B14)),"")</f>
        <v/>
      </c>
      <c r="V64" s="152">
        <f>IF(B64="","",IF(AND(E64&gt;0,F64&gt;0,H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64=1,TRUE()),R64&lt;='01_설정'!B5,S64&lt;='01_설정'!B6,T64&lt;='01_설정'!B7,U64&lt;='01_설정'!B8),"Y",""))</f>
        <v/>
      </c>
      <c r="W64" s="172">
        <f>IF(V64&lt;&gt;"Y","",MAX(0,(1-R64/'01_설정'!B5))*'01_설정'!B14+MAX(0,(1-S64/'01_설정'!B6))*'01_설정'!B15+MAX(0,(1-T64/'01_설정'!B7))*'01_설정'!B16+MAX(0,(1-U64/'01_설정'!B8))*'01_설정'!B17+O64*'01_설정'!B11+Q64*'01_설정'!B12+P64*'01_설정'!B13+IF(Z64="",0,Z64))</f>
        <v/>
      </c>
      <c r="X64" s="152">
        <f>IF(W64="","",1+COUNTIFS($W$4:$W$3003,"&gt;"&amp;W64)+COUNTIFS($W$4:W64,W64)-1)</f>
        <v/>
      </c>
      <c r="Y64" s="175">
        <f>IF(OR(I64="",'02_대상물건입력'!B19="",'02_대상물건입력'!B19&lt;=0),"",ABS(I64-'02_대상물건입력'!B19)/'02_대상물건입력'!B19)</f>
        <v/>
      </c>
      <c r="Z64" s="172">
        <f>IF(OR(Y64="",'01_설정'!B31="",'01_설정'!B31&lt;=0,'01_설정'!B32="",'01_설정'!B32&lt;=0),"",MAX(0,(1-Y64/'01_설정'!B32))*'01_설정'!B31)</f>
        <v/>
      </c>
    </row>
    <row r="65" ht="17.25" customHeight="1">
      <c r="A65" s="152">
        <f>IF(INDEX('04A_국토부원자료'!$A:$A,ROW()+1)="","",ROW()-3)</f>
        <v/>
      </c>
      <c r="B65" s="48">
        <f>IFERROR(INDEX('04A_국토부원자료'!$A:$T,ROW()+1,MATCH("시군구",'04A_국토부원자료'!$A$4:$T$4,0)),"")</f>
        <v/>
      </c>
      <c r="C65" s="48">
        <f>IF(B65="","",IFERROR(INDEX('04A_국토부원자료'!$A:$T,ROW()+1,MATCH("번지",'04A_국토부원자료'!$A$4:$T$4,0)),""))</f>
        <v/>
      </c>
      <c r="D65" s="48">
        <f>IF(B65="","",IF(Q65=1,'02_대상물건입력'!$B$8,IFERROR(INDEX('04A_국토부원자료'!$A:$T,ROW()+1,MATCH("단지명",'04A_국토부원자료'!$A$4:$T$4,0)),"")))</f>
        <v/>
      </c>
      <c r="E65" s="172">
        <f>IFERROR(VALUE(SUBSTITUTE(INDEX('04A_국토부원자료'!$A:$T,ROW()+1,MATCH("전용면적(㎡)",'04A_국토부원자료'!$A$4:$T$4,0)),",","")),"")</f>
        <v/>
      </c>
      <c r="F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5" s="51">
        <f>IFERROR(VALUE(SUBSTITUTE(INDEX('04A_국토부원자료'!$A:$T,ROW()+1,MATCH("거래금액(만원)",'04A_국토부원자료'!$A$4:$T$4,0)),",","")),"")</f>
        <v/>
      </c>
      <c r="H65" s="174">
        <f>IF(G65="","",G65*10000)</f>
        <v/>
      </c>
      <c r="I65" s="174">
        <f>IFERROR(IF(AND(H65&gt;0,E65&gt;0),H65/E65,""),"")</f>
        <v/>
      </c>
      <c r="J65" s="152">
        <f>IFERROR(VALUE(SUBSTITUTE(INDEX('04A_국토부원자료'!$A:$T,ROW()+1,MATCH("층",'04A_국토부원자료'!$A$4:$T$4,0)),",","")),"")</f>
        <v/>
      </c>
      <c r="K65" s="152">
        <f>IFERROR(VALUE(SUBSTITUTE(INDEX('04A_국토부원자료'!$A:$T,ROW()+1,MATCH("건축년도",'04A_국토부원자료'!$A$4:$T$4,0)),",","")),"")</f>
        <v/>
      </c>
      <c r="L65" s="176">
        <f>IFERROR(INDEX('04A_국토부원자료'!$A:$T,ROW()+1,MATCH("도로명",'04A_국토부원자료'!$A$4:$T$4,0)),"")</f>
        <v/>
      </c>
      <c r="M65" s="48">
        <f>IFERROR(INDEX('04A_국토부원자료'!$A:$T,ROW()+1,MATCH("거래유형",'04A_국토부원자료'!$A$4:$T$4,0)),"")</f>
        <v/>
      </c>
      <c r="N65" s="152">
        <f>IF(B65="","",IF('02_대상물건입력'!B5="",1,IF(ISNUMBER(SEARCH('02_대상물건입력'!B5,B65)),1,0)))</f>
        <v/>
      </c>
      <c r="O65" s="152">
        <f>IF(B65="","",IF('02_대상물건입력'!B6="",1,IF(ISNUMBER(SEARCH('02_대상물건입력'!B6,B65)),1,0)))</f>
        <v/>
      </c>
      <c r="P65" s="152">
        <f>IF(L65="","",IF('02_대상물건입력'!B15="",0,IF(ISNUMBER(SEARCH('02_대상물건입력'!B15,L65)),1,0)))</f>
        <v/>
      </c>
      <c r="Q65" s="152">
        <f>IF(OR(C65="",L65=""),0,IF(AND(TRIM(C65)=TRIM(RIGHT(SUBSTITUTE(TRIM('02_대상물건입력'!$B$7)," ",REPT(" ",99)),99)),IF('02_대상물건입력'!B15="",TRUE(),ISNUMBER(SEARCH('02_대상물건입력'!B15,L65)))),1,0))</f>
        <v/>
      </c>
      <c r="R65" s="175">
        <f>IFERROR(ABS(E65-'02_대상물건입력'!B11)/'02_대상물건입력'!B11,"")</f>
        <v/>
      </c>
      <c r="S65" s="152">
        <f>IFERROR(ABS(J65-'02_대상물건입력'!B10),"")</f>
        <v/>
      </c>
      <c r="T65" s="152">
        <f>IFERROR(ABS('01_설정'!B4-F65),"")</f>
        <v/>
      </c>
      <c r="U65" s="152">
        <f>IFERROR(ABS(K65-YEAR('02_대상물건입력'!B14)),"")</f>
        <v/>
      </c>
      <c r="V65" s="152">
        <f>IF(B65="","",IF(AND(E65&gt;0,F65&gt;0,H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65=1,TRUE()),R65&lt;='01_설정'!B5,S65&lt;='01_설정'!B6,T65&lt;='01_설정'!B7,U65&lt;='01_설정'!B8),"Y",""))</f>
        <v/>
      </c>
      <c r="W65" s="172">
        <f>IF(V65&lt;&gt;"Y","",MAX(0,(1-R65/'01_설정'!B5))*'01_설정'!B14+MAX(0,(1-S65/'01_설정'!B6))*'01_설정'!B15+MAX(0,(1-T65/'01_설정'!B7))*'01_설정'!B16+MAX(0,(1-U65/'01_설정'!B8))*'01_설정'!B17+O65*'01_설정'!B11+Q65*'01_설정'!B12+P65*'01_설정'!B13+IF(Z65="",0,Z65))</f>
        <v/>
      </c>
      <c r="X65" s="152">
        <f>IF(W65="","",1+COUNTIFS($W$4:$W$3003,"&gt;"&amp;W65)+COUNTIFS($W$4:W65,W65)-1)</f>
        <v/>
      </c>
      <c r="Y65" s="175">
        <f>IF(OR(I65="",'02_대상물건입력'!B19="",'02_대상물건입력'!B19&lt;=0),"",ABS(I65-'02_대상물건입력'!B19)/'02_대상물건입력'!B19)</f>
        <v/>
      </c>
      <c r="Z65" s="172">
        <f>IF(OR(Y65="",'01_설정'!B31="",'01_설정'!B31&lt;=0,'01_설정'!B32="",'01_설정'!B32&lt;=0),"",MAX(0,(1-Y65/'01_설정'!B32))*'01_설정'!B31)</f>
        <v/>
      </c>
    </row>
    <row r="66" ht="17.25" customHeight="1">
      <c r="A66" s="152">
        <f>IF(INDEX('04A_국토부원자료'!$A:$A,ROW()+1)="","",ROW()-3)</f>
        <v/>
      </c>
      <c r="B66" s="48">
        <f>IFERROR(INDEX('04A_국토부원자료'!$A:$T,ROW()+1,MATCH("시군구",'04A_국토부원자료'!$A$4:$T$4,0)),"")</f>
        <v/>
      </c>
      <c r="C66" s="48">
        <f>IF(B66="","",IFERROR(INDEX('04A_국토부원자료'!$A:$T,ROW()+1,MATCH("번지",'04A_국토부원자료'!$A$4:$T$4,0)),""))</f>
        <v/>
      </c>
      <c r="D66" s="48">
        <f>IF(B66="","",IF(Q66=1,'02_대상물건입력'!$B$8,IFERROR(INDEX('04A_국토부원자료'!$A:$T,ROW()+1,MATCH("단지명",'04A_국토부원자료'!$A$4:$T$4,0)),"")))</f>
        <v/>
      </c>
      <c r="E66" s="172">
        <f>IFERROR(VALUE(SUBSTITUTE(INDEX('04A_국토부원자료'!$A:$T,ROW()+1,MATCH("전용면적(㎡)",'04A_국토부원자료'!$A$4:$T$4,0)),",","")),"")</f>
        <v/>
      </c>
      <c r="F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6" s="51">
        <f>IFERROR(VALUE(SUBSTITUTE(INDEX('04A_국토부원자료'!$A:$T,ROW()+1,MATCH("거래금액(만원)",'04A_국토부원자료'!$A$4:$T$4,0)),",","")),"")</f>
        <v/>
      </c>
      <c r="H66" s="174">
        <f>IF(G66="","",G66*10000)</f>
        <v/>
      </c>
      <c r="I66" s="174">
        <f>IFERROR(IF(AND(H66&gt;0,E66&gt;0),H66/E66,""),"")</f>
        <v/>
      </c>
      <c r="J66" s="152">
        <f>IFERROR(VALUE(SUBSTITUTE(INDEX('04A_국토부원자료'!$A:$T,ROW()+1,MATCH("층",'04A_국토부원자료'!$A$4:$T$4,0)),",","")),"")</f>
        <v/>
      </c>
      <c r="K66" s="152">
        <f>IFERROR(VALUE(SUBSTITUTE(INDEX('04A_국토부원자료'!$A:$T,ROW()+1,MATCH("건축년도",'04A_국토부원자료'!$A$4:$T$4,0)),",","")),"")</f>
        <v/>
      </c>
      <c r="L66" s="176">
        <f>IFERROR(INDEX('04A_국토부원자료'!$A:$T,ROW()+1,MATCH("도로명",'04A_국토부원자료'!$A$4:$T$4,0)),"")</f>
        <v/>
      </c>
      <c r="M66" s="48">
        <f>IFERROR(INDEX('04A_국토부원자료'!$A:$T,ROW()+1,MATCH("거래유형",'04A_국토부원자료'!$A$4:$T$4,0)),"")</f>
        <v/>
      </c>
      <c r="N66" s="152">
        <f>IF(B66="","",IF('02_대상물건입력'!B5="",1,IF(ISNUMBER(SEARCH('02_대상물건입력'!B5,B66)),1,0)))</f>
        <v/>
      </c>
      <c r="O66" s="152">
        <f>IF(B66="","",IF('02_대상물건입력'!B6="",1,IF(ISNUMBER(SEARCH('02_대상물건입력'!B6,B66)),1,0)))</f>
        <v/>
      </c>
      <c r="P66" s="152">
        <f>IF(L66="","",IF('02_대상물건입력'!B15="",0,IF(ISNUMBER(SEARCH('02_대상물건입력'!B15,L66)),1,0)))</f>
        <v/>
      </c>
      <c r="Q66" s="152">
        <f>IF(OR(C66="",L66=""),0,IF(AND(TRIM(C66)=TRIM(RIGHT(SUBSTITUTE(TRIM('02_대상물건입력'!$B$7)," ",REPT(" ",99)),99)),IF('02_대상물건입력'!B15="",TRUE(),ISNUMBER(SEARCH('02_대상물건입력'!B15,L66)))),1,0))</f>
        <v/>
      </c>
      <c r="R66" s="175">
        <f>IFERROR(ABS(E66-'02_대상물건입력'!B11)/'02_대상물건입력'!B11,"")</f>
        <v/>
      </c>
      <c r="S66" s="152">
        <f>IFERROR(ABS(J66-'02_대상물건입력'!B10),"")</f>
        <v/>
      </c>
      <c r="T66" s="152">
        <f>IFERROR(ABS('01_설정'!B4-F66),"")</f>
        <v/>
      </c>
      <c r="U66" s="152">
        <f>IFERROR(ABS(K66-YEAR('02_대상물건입력'!B14)),"")</f>
        <v/>
      </c>
      <c r="V66" s="152">
        <f>IF(B66="","",IF(AND(E66&gt;0,F66&gt;0,H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66=1,TRUE()),R66&lt;='01_설정'!B5,S66&lt;='01_설정'!B6,T66&lt;='01_설정'!B7,U66&lt;='01_설정'!B8),"Y",""))</f>
        <v/>
      </c>
      <c r="W66" s="172">
        <f>IF(V66&lt;&gt;"Y","",MAX(0,(1-R66/'01_설정'!B5))*'01_설정'!B14+MAX(0,(1-S66/'01_설정'!B6))*'01_설정'!B15+MAX(0,(1-T66/'01_설정'!B7))*'01_설정'!B16+MAX(0,(1-U66/'01_설정'!B8))*'01_설정'!B17+O66*'01_설정'!B11+Q66*'01_설정'!B12+P66*'01_설정'!B13+IF(Z66="",0,Z66))</f>
        <v/>
      </c>
      <c r="X66" s="152">
        <f>IF(W66="","",1+COUNTIFS($W$4:$W$3003,"&gt;"&amp;W66)+COUNTIFS($W$4:W66,W66)-1)</f>
        <v/>
      </c>
      <c r="Y66" s="175">
        <f>IF(OR(I66="",'02_대상물건입력'!B19="",'02_대상물건입력'!B19&lt;=0),"",ABS(I66-'02_대상물건입력'!B19)/'02_대상물건입력'!B19)</f>
        <v/>
      </c>
      <c r="Z66" s="172">
        <f>IF(OR(Y66="",'01_설정'!B31="",'01_설정'!B31&lt;=0,'01_설정'!B32="",'01_설정'!B32&lt;=0),"",MAX(0,(1-Y66/'01_설정'!B32))*'01_설정'!B31)</f>
        <v/>
      </c>
    </row>
    <row r="67" ht="17.25" customHeight="1">
      <c r="A67" s="152">
        <f>IF(INDEX('04A_국토부원자료'!$A:$A,ROW()+1)="","",ROW()-3)</f>
        <v/>
      </c>
      <c r="B67" s="48">
        <f>IFERROR(INDEX('04A_국토부원자료'!$A:$T,ROW()+1,MATCH("시군구",'04A_국토부원자료'!$A$4:$T$4,0)),"")</f>
        <v/>
      </c>
      <c r="C67" s="48">
        <f>IF(B67="","",IFERROR(INDEX('04A_국토부원자료'!$A:$T,ROW()+1,MATCH("번지",'04A_국토부원자료'!$A$4:$T$4,0)),""))</f>
        <v/>
      </c>
      <c r="D67" s="48">
        <f>IF(B67="","",IF(Q67=1,'02_대상물건입력'!$B$8,IFERROR(INDEX('04A_국토부원자료'!$A:$T,ROW()+1,MATCH("단지명",'04A_국토부원자료'!$A$4:$T$4,0)),"")))</f>
        <v/>
      </c>
      <c r="E67" s="172">
        <f>IFERROR(VALUE(SUBSTITUTE(INDEX('04A_국토부원자료'!$A:$T,ROW()+1,MATCH("전용면적(㎡)",'04A_국토부원자료'!$A$4:$T$4,0)),",","")),"")</f>
        <v/>
      </c>
      <c r="F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7" s="51">
        <f>IFERROR(VALUE(SUBSTITUTE(INDEX('04A_국토부원자료'!$A:$T,ROW()+1,MATCH("거래금액(만원)",'04A_국토부원자료'!$A$4:$T$4,0)),",","")),"")</f>
        <v/>
      </c>
      <c r="H67" s="174">
        <f>IF(G67="","",G67*10000)</f>
        <v/>
      </c>
      <c r="I67" s="174">
        <f>IFERROR(IF(AND(H67&gt;0,E67&gt;0),H67/E67,""),"")</f>
        <v/>
      </c>
      <c r="J67" s="152">
        <f>IFERROR(VALUE(SUBSTITUTE(INDEX('04A_국토부원자료'!$A:$T,ROW()+1,MATCH("층",'04A_국토부원자료'!$A$4:$T$4,0)),",","")),"")</f>
        <v/>
      </c>
      <c r="K67" s="152">
        <f>IFERROR(VALUE(SUBSTITUTE(INDEX('04A_국토부원자료'!$A:$T,ROW()+1,MATCH("건축년도",'04A_국토부원자료'!$A$4:$T$4,0)),",","")),"")</f>
        <v/>
      </c>
      <c r="L67" s="176">
        <f>IFERROR(INDEX('04A_국토부원자료'!$A:$T,ROW()+1,MATCH("도로명",'04A_국토부원자료'!$A$4:$T$4,0)),"")</f>
        <v/>
      </c>
      <c r="M67" s="48">
        <f>IFERROR(INDEX('04A_국토부원자료'!$A:$T,ROW()+1,MATCH("거래유형",'04A_국토부원자료'!$A$4:$T$4,0)),"")</f>
        <v/>
      </c>
      <c r="N67" s="152">
        <f>IF(B67="","",IF('02_대상물건입력'!B5="",1,IF(ISNUMBER(SEARCH('02_대상물건입력'!B5,B67)),1,0)))</f>
        <v/>
      </c>
      <c r="O67" s="152">
        <f>IF(B67="","",IF('02_대상물건입력'!B6="",1,IF(ISNUMBER(SEARCH('02_대상물건입력'!B6,B67)),1,0)))</f>
        <v/>
      </c>
      <c r="P67" s="152">
        <f>IF(L67="","",IF('02_대상물건입력'!B15="",0,IF(ISNUMBER(SEARCH('02_대상물건입력'!B15,L67)),1,0)))</f>
        <v/>
      </c>
      <c r="Q67" s="152">
        <f>IF(OR(C67="",L67=""),0,IF(AND(TRIM(C67)=TRIM(RIGHT(SUBSTITUTE(TRIM('02_대상물건입력'!$B$7)," ",REPT(" ",99)),99)),IF('02_대상물건입력'!B15="",TRUE(),ISNUMBER(SEARCH('02_대상물건입력'!B15,L67)))),1,0))</f>
        <v/>
      </c>
      <c r="R67" s="175">
        <f>IFERROR(ABS(E67-'02_대상물건입력'!B11)/'02_대상물건입력'!B11,"")</f>
        <v/>
      </c>
      <c r="S67" s="152">
        <f>IFERROR(ABS(J67-'02_대상물건입력'!B10),"")</f>
        <v/>
      </c>
      <c r="T67" s="152">
        <f>IFERROR(ABS('01_설정'!B4-F67),"")</f>
        <v/>
      </c>
      <c r="U67" s="152">
        <f>IFERROR(ABS(K67-YEAR('02_대상물건입력'!B14)),"")</f>
        <v/>
      </c>
      <c r="V67" s="152">
        <f>IF(B67="","",IF(AND(E67&gt;0,F67&gt;0,H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67=1,TRUE()),R67&lt;='01_설정'!B5,S67&lt;='01_설정'!B6,T67&lt;='01_설정'!B7,U67&lt;='01_설정'!B8),"Y",""))</f>
        <v/>
      </c>
      <c r="W67" s="172">
        <f>IF(V67&lt;&gt;"Y","",MAX(0,(1-R67/'01_설정'!B5))*'01_설정'!B14+MAX(0,(1-S67/'01_설정'!B6))*'01_설정'!B15+MAX(0,(1-T67/'01_설정'!B7))*'01_설정'!B16+MAX(0,(1-U67/'01_설정'!B8))*'01_설정'!B17+O67*'01_설정'!B11+Q67*'01_설정'!B12+P67*'01_설정'!B13+IF(Z67="",0,Z67))</f>
        <v/>
      </c>
      <c r="X67" s="152">
        <f>IF(W67="","",1+COUNTIFS($W$4:$W$3003,"&gt;"&amp;W67)+COUNTIFS($W$4:W67,W67)-1)</f>
        <v/>
      </c>
      <c r="Y67" s="175">
        <f>IF(OR(I67="",'02_대상물건입력'!B19="",'02_대상물건입력'!B19&lt;=0),"",ABS(I67-'02_대상물건입력'!B19)/'02_대상물건입력'!B19)</f>
        <v/>
      </c>
      <c r="Z67" s="172">
        <f>IF(OR(Y67="",'01_설정'!B31="",'01_설정'!B31&lt;=0,'01_설정'!B32="",'01_설정'!B32&lt;=0),"",MAX(0,(1-Y67/'01_설정'!B32))*'01_설정'!B31)</f>
        <v/>
      </c>
    </row>
    <row r="68" ht="17.25" customHeight="1">
      <c r="A68" s="152">
        <f>IF(INDEX('04A_국토부원자료'!$A:$A,ROW()+1)="","",ROW()-3)</f>
        <v/>
      </c>
      <c r="B68" s="48">
        <f>IFERROR(INDEX('04A_국토부원자료'!$A:$T,ROW()+1,MATCH("시군구",'04A_국토부원자료'!$A$4:$T$4,0)),"")</f>
        <v/>
      </c>
      <c r="C68" s="48">
        <f>IF(B68="","",IFERROR(INDEX('04A_국토부원자료'!$A:$T,ROW()+1,MATCH("번지",'04A_국토부원자료'!$A$4:$T$4,0)),""))</f>
        <v/>
      </c>
      <c r="D68" s="48">
        <f>IF(B68="","",IF(Q68=1,'02_대상물건입력'!$B$8,IFERROR(INDEX('04A_국토부원자료'!$A:$T,ROW()+1,MATCH("단지명",'04A_국토부원자료'!$A$4:$T$4,0)),"")))</f>
        <v/>
      </c>
      <c r="E68" s="172">
        <f>IFERROR(VALUE(SUBSTITUTE(INDEX('04A_국토부원자료'!$A:$T,ROW()+1,MATCH("전용면적(㎡)",'04A_국토부원자료'!$A$4:$T$4,0)),",","")),"")</f>
        <v/>
      </c>
      <c r="F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8" s="51">
        <f>IFERROR(VALUE(SUBSTITUTE(INDEX('04A_국토부원자료'!$A:$T,ROW()+1,MATCH("거래금액(만원)",'04A_국토부원자료'!$A$4:$T$4,0)),",","")),"")</f>
        <v/>
      </c>
      <c r="H68" s="174">
        <f>IF(G68="","",G68*10000)</f>
        <v/>
      </c>
      <c r="I68" s="174">
        <f>IFERROR(IF(AND(H68&gt;0,E68&gt;0),H68/E68,""),"")</f>
        <v/>
      </c>
      <c r="J68" s="152">
        <f>IFERROR(VALUE(SUBSTITUTE(INDEX('04A_국토부원자료'!$A:$T,ROW()+1,MATCH("층",'04A_국토부원자료'!$A$4:$T$4,0)),",","")),"")</f>
        <v/>
      </c>
      <c r="K68" s="152">
        <f>IFERROR(VALUE(SUBSTITUTE(INDEX('04A_국토부원자료'!$A:$T,ROW()+1,MATCH("건축년도",'04A_국토부원자료'!$A$4:$T$4,0)),",","")),"")</f>
        <v/>
      </c>
      <c r="L68" s="176">
        <f>IFERROR(INDEX('04A_국토부원자료'!$A:$T,ROW()+1,MATCH("도로명",'04A_국토부원자료'!$A$4:$T$4,0)),"")</f>
        <v/>
      </c>
      <c r="M68" s="48">
        <f>IFERROR(INDEX('04A_국토부원자료'!$A:$T,ROW()+1,MATCH("거래유형",'04A_국토부원자료'!$A$4:$T$4,0)),"")</f>
        <v/>
      </c>
      <c r="N68" s="152">
        <f>IF(B68="","",IF('02_대상물건입력'!B5="",1,IF(ISNUMBER(SEARCH('02_대상물건입력'!B5,B68)),1,0)))</f>
        <v/>
      </c>
      <c r="O68" s="152">
        <f>IF(B68="","",IF('02_대상물건입력'!B6="",1,IF(ISNUMBER(SEARCH('02_대상물건입력'!B6,B68)),1,0)))</f>
        <v/>
      </c>
      <c r="P68" s="152">
        <f>IF(L68="","",IF('02_대상물건입력'!B15="",0,IF(ISNUMBER(SEARCH('02_대상물건입력'!B15,L68)),1,0)))</f>
        <v/>
      </c>
      <c r="Q68" s="152">
        <f>IF(OR(C68="",L68=""),0,IF(AND(TRIM(C68)=TRIM(RIGHT(SUBSTITUTE(TRIM('02_대상물건입력'!$B$7)," ",REPT(" ",99)),99)),IF('02_대상물건입력'!B15="",TRUE(),ISNUMBER(SEARCH('02_대상물건입력'!B15,L68)))),1,0))</f>
        <v/>
      </c>
      <c r="R68" s="175">
        <f>IFERROR(ABS(E68-'02_대상물건입력'!B11)/'02_대상물건입력'!B11,"")</f>
        <v/>
      </c>
      <c r="S68" s="152">
        <f>IFERROR(ABS(J68-'02_대상물건입력'!B10),"")</f>
        <v/>
      </c>
      <c r="T68" s="152">
        <f>IFERROR(ABS('01_설정'!B4-F68),"")</f>
        <v/>
      </c>
      <c r="U68" s="152">
        <f>IFERROR(ABS(K68-YEAR('02_대상물건입력'!B14)),"")</f>
        <v/>
      </c>
      <c r="V68" s="152">
        <f>IF(B68="","",IF(AND(E68&gt;0,F68&gt;0,H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68=1,TRUE()),R68&lt;='01_설정'!B5,S68&lt;='01_설정'!B6,T68&lt;='01_설정'!B7,U68&lt;='01_설정'!B8),"Y",""))</f>
        <v/>
      </c>
      <c r="W68" s="172">
        <f>IF(V68&lt;&gt;"Y","",MAX(0,(1-R68/'01_설정'!B5))*'01_설정'!B14+MAX(0,(1-S68/'01_설정'!B6))*'01_설정'!B15+MAX(0,(1-T68/'01_설정'!B7))*'01_설정'!B16+MAX(0,(1-U68/'01_설정'!B8))*'01_설정'!B17+O68*'01_설정'!B11+Q68*'01_설정'!B12+P68*'01_설정'!B13+IF(Z68="",0,Z68))</f>
        <v/>
      </c>
      <c r="X68" s="152">
        <f>IF(W68="","",1+COUNTIFS($W$4:$W$3003,"&gt;"&amp;W68)+COUNTIFS($W$4:W68,W68)-1)</f>
        <v/>
      </c>
      <c r="Y68" s="175">
        <f>IF(OR(I68="",'02_대상물건입력'!B19="",'02_대상물건입력'!B19&lt;=0),"",ABS(I68-'02_대상물건입력'!B19)/'02_대상물건입력'!B19)</f>
        <v/>
      </c>
      <c r="Z68" s="172">
        <f>IF(OR(Y68="",'01_설정'!B31="",'01_설정'!B31&lt;=0,'01_설정'!B32="",'01_설정'!B32&lt;=0),"",MAX(0,(1-Y68/'01_설정'!B32))*'01_설정'!B31)</f>
        <v/>
      </c>
    </row>
    <row r="69" ht="17.25" customHeight="1">
      <c r="A69" s="152">
        <f>IF(INDEX('04A_국토부원자료'!$A:$A,ROW()+1)="","",ROW()-3)</f>
        <v/>
      </c>
      <c r="B69" s="48">
        <f>IFERROR(INDEX('04A_국토부원자료'!$A:$T,ROW()+1,MATCH("시군구",'04A_국토부원자료'!$A$4:$T$4,0)),"")</f>
        <v/>
      </c>
      <c r="C69" s="48">
        <f>IF(B69="","",IFERROR(INDEX('04A_국토부원자료'!$A:$T,ROW()+1,MATCH("번지",'04A_국토부원자료'!$A$4:$T$4,0)),""))</f>
        <v/>
      </c>
      <c r="D69" s="48">
        <f>IF(B69="","",IF(Q69=1,'02_대상물건입력'!$B$8,IFERROR(INDEX('04A_국토부원자료'!$A:$T,ROW()+1,MATCH("단지명",'04A_국토부원자료'!$A$4:$T$4,0)),"")))</f>
        <v/>
      </c>
      <c r="E69" s="172">
        <f>IFERROR(VALUE(SUBSTITUTE(INDEX('04A_국토부원자료'!$A:$T,ROW()+1,MATCH("전용면적(㎡)",'04A_국토부원자료'!$A$4:$T$4,0)),",","")),"")</f>
        <v/>
      </c>
      <c r="F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9" s="51">
        <f>IFERROR(VALUE(SUBSTITUTE(INDEX('04A_국토부원자료'!$A:$T,ROW()+1,MATCH("거래금액(만원)",'04A_국토부원자료'!$A$4:$T$4,0)),",","")),"")</f>
        <v/>
      </c>
      <c r="H69" s="174">
        <f>IF(G69="","",G69*10000)</f>
        <v/>
      </c>
      <c r="I69" s="174">
        <f>IFERROR(IF(AND(H69&gt;0,E69&gt;0),H69/E69,""),"")</f>
        <v/>
      </c>
      <c r="J69" s="152">
        <f>IFERROR(VALUE(SUBSTITUTE(INDEX('04A_국토부원자료'!$A:$T,ROW()+1,MATCH("층",'04A_국토부원자료'!$A$4:$T$4,0)),",","")),"")</f>
        <v/>
      </c>
      <c r="K69" s="152">
        <f>IFERROR(VALUE(SUBSTITUTE(INDEX('04A_국토부원자료'!$A:$T,ROW()+1,MATCH("건축년도",'04A_국토부원자료'!$A$4:$T$4,0)),",","")),"")</f>
        <v/>
      </c>
      <c r="L69" s="176">
        <f>IFERROR(INDEX('04A_국토부원자료'!$A:$T,ROW()+1,MATCH("도로명",'04A_국토부원자료'!$A$4:$T$4,0)),"")</f>
        <v/>
      </c>
      <c r="M69" s="48">
        <f>IFERROR(INDEX('04A_국토부원자료'!$A:$T,ROW()+1,MATCH("거래유형",'04A_국토부원자료'!$A$4:$T$4,0)),"")</f>
        <v/>
      </c>
      <c r="N69" s="152">
        <f>IF(B69="","",IF('02_대상물건입력'!B5="",1,IF(ISNUMBER(SEARCH('02_대상물건입력'!B5,B69)),1,0)))</f>
        <v/>
      </c>
      <c r="O69" s="152">
        <f>IF(B69="","",IF('02_대상물건입력'!B6="",1,IF(ISNUMBER(SEARCH('02_대상물건입력'!B6,B69)),1,0)))</f>
        <v/>
      </c>
      <c r="P69" s="152">
        <f>IF(L69="","",IF('02_대상물건입력'!B15="",0,IF(ISNUMBER(SEARCH('02_대상물건입력'!B15,L69)),1,0)))</f>
        <v/>
      </c>
      <c r="Q69" s="152">
        <f>IF(OR(C69="",L69=""),0,IF(AND(TRIM(C69)=TRIM(RIGHT(SUBSTITUTE(TRIM('02_대상물건입력'!$B$7)," ",REPT(" ",99)),99)),IF('02_대상물건입력'!B15="",TRUE(),ISNUMBER(SEARCH('02_대상물건입력'!B15,L69)))),1,0))</f>
        <v/>
      </c>
      <c r="R69" s="175">
        <f>IFERROR(ABS(E69-'02_대상물건입력'!B11)/'02_대상물건입력'!B11,"")</f>
        <v/>
      </c>
      <c r="S69" s="152">
        <f>IFERROR(ABS(J69-'02_대상물건입력'!B10),"")</f>
        <v/>
      </c>
      <c r="T69" s="152">
        <f>IFERROR(ABS('01_설정'!B4-F69),"")</f>
        <v/>
      </c>
      <c r="U69" s="152">
        <f>IFERROR(ABS(K69-YEAR('02_대상물건입력'!B14)),"")</f>
        <v/>
      </c>
      <c r="V69" s="152">
        <f>IF(B69="","",IF(AND(E69&gt;0,F69&gt;0,H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69=1,TRUE()),R69&lt;='01_설정'!B5,S69&lt;='01_설정'!B6,T69&lt;='01_설정'!B7,U69&lt;='01_설정'!B8),"Y",""))</f>
        <v/>
      </c>
      <c r="W69" s="172">
        <f>IF(V69&lt;&gt;"Y","",MAX(0,(1-R69/'01_설정'!B5))*'01_설정'!B14+MAX(0,(1-S69/'01_설정'!B6))*'01_설정'!B15+MAX(0,(1-T69/'01_설정'!B7))*'01_설정'!B16+MAX(0,(1-U69/'01_설정'!B8))*'01_설정'!B17+O69*'01_설정'!B11+Q69*'01_설정'!B12+P69*'01_설정'!B13+IF(Z69="",0,Z69))</f>
        <v/>
      </c>
      <c r="X69" s="152">
        <f>IF(W69="","",1+COUNTIFS($W$4:$W$3003,"&gt;"&amp;W69)+COUNTIFS($W$4:W69,W69)-1)</f>
        <v/>
      </c>
      <c r="Y69" s="175">
        <f>IF(OR(I69="",'02_대상물건입력'!B19="",'02_대상물건입력'!B19&lt;=0),"",ABS(I69-'02_대상물건입력'!B19)/'02_대상물건입력'!B19)</f>
        <v/>
      </c>
      <c r="Z69" s="172">
        <f>IF(OR(Y69="",'01_설정'!B31="",'01_설정'!B31&lt;=0,'01_설정'!B32="",'01_설정'!B32&lt;=0),"",MAX(0,(1-Y69/'01_설정'!B32))*'01_설정'!B31)</f>
        <v/>
      </c>
    </row>
    <row r="70" ht="17.25" customHeight="1">
      <c r="A70" s="152">
        <f>IF(INDEX('04A_국토부원자료'!$A:$A,ROW()+1)="","",ROW()-3)</f>
        <v/>
      </c>
      <c r="B70" s="48">
        <f>IFERROR(INDEX('04A_국토부원자료'!$A:$T,ROW()+1,MATCH("시군구",'04A_국토부원자료'!$A$4:$T$4,0)),"")</f>
        <v/>
      </c>
      <c r="C70" s="48">
        <f>IF(B70="","",IFERROR(INDEX('04A_국토부원자료'!$A:$T,ROW()+1,MATCH("번지",'04A_국토부원자료'!$A$4:$T$4,0)),""))</f>
        <v/>
      </c>
      <c r="D70" s="48">
        <f>IF(B70="","",IF(Q70=1,'02_대상물건입력'!$B$8,IFERROR(INDEX('04A_국토부원자료'!$A:$T,ROW()+1,MATCH("단지명",'04A_국토부원자료'!$A$4:$T$4,0)),"")))</f>
        <v/>
      </c>
      <c r="E70" s="172">
        <f>IFERROR(VALUE(SUBSTITUTE(INDEX('04A_국토부원자료'!$A:$T,ROW()+1,MATCH("전용면적(㎡)",'04A_국토부원자료'!$A$4:$T$4,0)),",","")),"")</f>
        <v/>
      </c>
      <c r="F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0" s="51">
        <f>IFERROR(VALUE(SUBSTITUTE(INDEX('04A_국토부원자료'!$A:$T,ROW()+1,MATCH("거래금액(만원)",'04A_국토부원자료'!$A$4:$T$4,0)),",","")),"")</f>
        <v/>
      </c>
      <c r="H70" s="174">
        <f>IF(G70="","",G70*10000)</f>
        <v/>
      </c>
      <c r="I70" s="174">
        <f>IFERROR(IF(AND(H70&gt;0,E70&gt;0),H70/E70,""),"")</f>
        <v/>
      </c>
      <c r="J70" s="152">
        <f>IFERROR(VALUE(SUBSTITUTE(INDEX('04A_국토부원자료'!$A:$T,ROW()+1,MATCH("층",'04A_국토부원자료'!$A$4:$T$4,0)),",","")),"")</f>
        <v/>
      </c>
      <c r="K70" s="152">
        <f>IFERROR(VALUE(SUBSTITUTE(INDEX('04A_국토부원자료'!$A:$T,ROW()+1,MATCH("건축년도",'04A_국토부원자료'!$A$4:$T$4,0)),",","")),"")</f>
        <v/>
      </c>
      <c r="L70" s="176">
        <f>IFERROR(INDEX('04A_국토부원자료'!$A:$T,ROW()+1,MATCH("도로명",'04A_국토부원자료'!$A$4:$T$4,0)),"")</f>
        <v/>
      </c>
      <c r="M70" s="48">
        <f>IFERROR(INDEX('04A_국토부원자료'!$A:$T,ROW()+1,MATCH("거래유형",'04A_국토부원자료'!$A$4:$T$4,0)),"")</f>
        <v/>
      </c>
      <c r="N70" s="152">
        <f>IF(B70="","",IF('02_대상물건입력'!B5="",1,IF(ISNUMBER(SEARCH('02_대상물건입력'!B5,B70)),1,0)))</f>
        <v/>
      </c>
      <c r="O70" s="152">
        <f>IF(B70="","",IF('02_대상물건입력'!B6="",1,IF(ISNUMBER(SEARCH('02_대상물건입력'!B6,B70)),1,0)))</f>
        <v/>
      </c>
      <c r="P70" s="152">
        <f>IF(L70="","",IF('02_대상물건입력'!B15="",0,IF(ISNUMBER(SEARCH('02_대상물건입력'!B15,L70)),1,0)))</f>
        <v/>
      </c>
      <c r="Q70" s="152">
        <f>IF(OR(C70="",L70=""),0,IF(AND(TRIM(C70)=TRIM(RIGHT(SUBSTITUTE(TRIM('02_대상물건입력'!$B$7)," ",REPT(" ",99)),99)),IF('02_대상물건입력'!B15="",TRUE(),ISNUMBER(SEARCH('02_대상물건입력'!B15,L70)))),1,0))</f>
        <v/>
      </c>
      <c r="R70" s="175">
        <f>IFERROR(ABS(E70-'02_대상물건입력'!B11)/'02_대상물건입력'!B11,"")</f>
        <v/>
      </c>
      <c r="S70" s="152">
        <f>IFERROR(ABS(J70-'02_대상물건입력'!B10),"")</f>
        <v/>
      </c>
      <c r="T70" s="152">
        <f>IFERROR(ABS('01_설정'!B4-F70),"")</f>
        <v/>
      </c>
      <c r="U70" s="152">
        <f>IFERROR(ABS(K70-YEAR('02_대상물건입력'!B14)),"")</f>
        <v/>
      </c>
      <c r="V70" s="152">
        <f>IF(B70="","",IF(AND(E70&gt;0,F70&gt;0,H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70=1,TRUE()),R70&lt;='01_설정'!B5,S70&lt;='01_설정'!B6,T70&lt;='01_설정'!B7,U70&lt;='01_설정'!B8),"Y",""))</f>
        <v/>
      </c>
      <c r="W70" s="172">
        <f>IF(V70&lt;&gt;"Y","",MAX(0,(1-R70/'01_설정'!B5))*'01_설정'!B14+MAX(0,(1-S70/'01_설정'!B6))*'01_설정'!B15+MAX(0,(1-T70/'01_설정'!B7))*'01_설정'!B16+MAX(0,(1-U70/'01_설정'!B8))*'01_설정'!B17+O70*'01_설정'!B11+Q70*'01_설정'!B12+P70*'01_설정'!B13+IF(Z70="",0,Z70))</f>
        <v/>
      </c>
      <c r="X70" s="152">
        <f>IF(W70="","",1+COUNTIFS($W$4:$W$3003,"&gt;"&amp;W70)+COUNTIFS($W$4:W70,W70)-1)</f>
        <v/>
      </c>
      <c r="Y70" s="175">
        <f>IF(OR(I70="",'02_대상물건입력'!B19="",'02_대상물건입력'!B19&lt;=0),"",ABS(I70-'02_대상물건입력'!B19)/'02_대상물건입력'!B19)</f>
        <v/>
      </c>
      <c r="Z70" s="172">
        <f>IF(OR(Y70="",'01_설정'!B31="",'01_설정'!B31&lt;=0,'01_설정'!B32="",'01_설정'!B32&lt;=0),"",MAX(0,(1-Y70/'01_설정'!B32))*'01_설정'!B31)</f>
        <v/>
      </c>
    </row>
    <row r="71" ht="17.25" customHeight="1">
      <c r="A71" s="152">
        <f>IF(INDEX('04A_국토부원자료'!$A:$A,ROW()+1)="","",ROW()-3)</f>
        <v/>
      </c>
      <c r="B71" s="48">
        <f>IFERROR(INDEX('04A_국토부원자료'!$A:$T,ROW()+1,MATCH("시군구",'04A_국토부원자료'!$A$4:$T$4,0)),"")</f>
        <v/>
      </c>
      <c r="C71" s="48">
        <f>IF(B71="","",IFERROR(INDEX('04A_국토부원자료'!$A:$T,ROW()+1,MATCH("번지",'04A_국토부원자료'!$A$4:$T$4,0)),""))</f>
        <v/>
      </c>
      <c r="D71" s="48">
        <f>IF(B71="","",IF(Q71=1,'02_대상물건입력'!$B$8,IFERROR(INDEX('04A_국토부원자료'!$A:$T,ROW()+1,MATCH("단지명",'04A_국토부원자료'!$A$4:$T$4,0)),"")))</f>
        <v/>
      </c>
      <c r="E71" s="172">
        <f>IFERROR(VALUE(SUBSTITUTE(INDEX('04A_국토부원자료'!$A:$T,ROW()+1,MATCH("전용면적(㎡)",'04A_국토부원자료'!$A$4:$T$4,0)),",","")),"")</f>
        <v/>
      </c>
      <c r="F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1" s="51">
        <f>IFERROR(VALUE(SUBSTITUTE(INDEX('04A_국토부원자료'!$A:$T,ROW()+1,MATCH("거래금액(만원)",'04A_국토부원자료'!$A$4:$T$4,0)),",","")),"")</f>
        <v/>
      </c>
      <c r="H71" s="174">
        <f>IF(G71="","",G71*10000)</f>
        <v/>
      </c>
      <c r="I71" s="174">
        <f>IFERROR(IF(AND(H71&gt;0,E71&gt;0),H71/E71,""),"")</f>
        <v/>
      </c>
      <c r="J71" s="152">
        <f>IFERROR(VALUE(SUBSTITUTE(INDEX('04A_국토부원자료'!$A:$T,ROW()+1,MATCH("층",'04A_국토부원자료'!$A$4:$T$4,0)),",","")),"")</f>
        <v/>
      </c>
      <c r="K71" s="152">
        <f>IFERROR(VALUE(SUBSTITUTE(INDEX('04A_국토부원자료'!$A:$T,ROW()+1,MATCH("건축년도",'04A_국토부원자료'!$A$4:$T$4,0)),",","")),"")</f>
        <v/>
      </c>
      <c r="L71" s="176">
        <f>IFERROR(INDEX('04A_국토부원자료'!$A:$T,ROW()+1,MATCH("도로명",'04A_국토부원자료'!$A$4:$T$4,0)),"")</f>
        <v/>
      </c>
      <c r="M71" s="48">
        <f>IFERROR(INDEX('04A_국토부원자료'!$A:$T,ROW()+1,MATCH("거래유형",'04A_국토부원자료'!$A$4:$T$4,0)),"")</f>
        <v/>
      </c>
      <c r="N71" s="152">
        <f>IF(B71="","",IF('02_대상물건입력'!B5="",1,IF(ISNUMBER(SEARCH('02_대상물건입력'!B5,B71)),1,0)))</f>
        <v/>
      </c>
      <c r="O71" s="152">
        <f>IF(B71="","",IF('02_대상물건입력'!B6="",1,IF(ISNUMBER(SEARCH('02_대상물건입력'!B6,B71)),1,0)))</f>
        <v/>
      </c>
      <c r="P71" s="152">
        <f>IF(L71="","",IF('02_대상물건입력'!B15="",0,IF(ISNUMBER(SEARCH('02_대상물건입력'!B15,L71)),1,0)))</f>
        <v/>
      </c>
      <c r="Q71" s="152">
        <f>IF(OR(C71="",L71=""),0,IF(AND(TRIM(C71)=TRIM(RIGHT(SUBSTITUTE(TRIM('02_대상물건입력'!$B$7)," ",REPT(" ",99)),99)),IF('02_대상물건입력'!B15="",TRUE(),ISNUMBER(SEARCH('02_대상물건입력'!B15,L71)))),1,0))</f>
        <v/>
      </c>
      <c r="R71" s="175">
        <f>IFERROR(ABS(E71-'02_대상물건입력'!B11)/'02_대상물건입력'!B11,"")</f>
        <v/>
      </c>
      <c r="S71" s="152">
        <f>IFERROR(ABS(J71-'02_대상물건입력'!B10),"")</f>
        <v/>
      </c>
      <c r="T71" s="152">
        <f>IFERROR(ABS('01_설정'!B4-F71),"")</f>
        <v/>
      </c>
      <c r="U71" s="152">
        <f>IFERROR(ABS(K71-YEAR('02_대상물건입력'!B14)),"")</f>
        <v/>
      </c>
      <c r="V71" s="152">
        <f>IF(B71="","",IF(AND(E71&gt;0,F71&gt;0,H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71=1,TRUE()),R71&lt;='01_설정'!B5,S71&lt;='01_설정'!B6,T71&lt;='01_설정'!B7,U71&lt;='01_설정'!B8),"Y",""))</f>
        <v/>
      </c>
      <c r="W71" s="172">
        <f>IF(V71&lt;&gt;"Y","",MAX(0,(1-R71/'01_설정'!B5))*'01_설정'!B14+MAX(0,(1-S71/'01_설정'!B6))*'01_설정'!B15+MAX(0,(1-T71/'01_설정'!B7))*'01_설정'!B16+MAX(0,(1-U71/'01_설정'!B8))*'01_설정'!B17+O71*'01_설정'!B11+Q71*'01_설정'!B12+P71*'01_설정'!B13+IF(Z71="",0,Z71))</f>
        <v/>
      </c>
      <c r="X71" s="152">
        <f>IF(W71="","",1+COUNTIFS($W$4:$W$3003,"&gt;"&amp;W71)+COUNTIFS($W$4:W71,W71)-1)</f>
        <v/>
      </c>
      <c r="Y71" s="175">
        <f>IF(OR(I71="",'02_대상물건입력'!B19="",'02_대상물건입력'!B19&lt;=0),"",ABS(I71-'02_대상물건입력'!B19)/'02_대상물건입력'!B19)</f>
        <v/>
      </c>
      <c r="Z71" s="172">
        <f>IF(OR(Y71="",'01_설정'!B31="",'01_설정'!B31&lt;=0,'01_설정'!B32="",'01_설정'!B32&lt;=0),"",MAX(0,(1-Y71/'01_설정'!B32))*'01_설정'!B31)</f>
        <v/>
      </c>
    </row>
    <row r="72" ht="17.25" customHeight="1">
      <c r="A72" s="152">
        <f>IF(INDEX('04A_국토부원자료'!$A:$A,ROW()+1)="","",ROW()-3)</f>
        <v/>
      </c>
      <c r="B72" s="48">
        <f>IFERROR(INDEX('04A_국토부원자료'!$A:$T,ROW()+1,MATCH("시군구",'04A_국토부원자료'!$A$4:$T$4,0)),"")</f>
        <v/>
      </c>
      <c r="C72" s="48">
        <f>IF(B72="","",IFERROR(INDEX('04A_국토부원자료'!$A:$T,ROW()+1,MATCH("번지",'04A_국토부원자료'!$A$4:$T$4,0)),""))</f>
        <v/>
      </c>
      <c r="D72" s="48">
        <f>IF(B72="","",IF(Q72=1,'02_대상물건입력'!$B$8,IFERROR(INDEX('04A_국토부원자료'!$A:$T,ROW()+1,MATCH("단지명",'04A_국토부원자료'!$A$4:$T$4,0)),"")))</f>
        <v/>
      </c>
      <c r="E72" s="172">
        <f>IFERROR(VALUE(SUBSTITUTE(INDEX('04A_국토부원자료'!$A:$T,ROW()+1,MATCH("전용면적(㎡)",'04A_국토부원자료'!$A$4:$T$4,0)),",","")),"")</f>
        <v/>
      </c>
      <c r="F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2" s="51">
        <f>IFERROR(VALUE(SUBSTITUTE(INDEX('04A_국토부원자료'!$A:$T,ROW()+1,MATCH("거래금액(만원)",'04A_국토부원자료'!$A$4:$T$4,0)),",","")),"")</f>
        <v/>
      </c>
      <c r="H72" s="174">
        <f>IF(G72="","",G72*10000)</f>
        <v/>
      </c>
      <c r="I72" s="174">
        <f>IFERROR(IF(AND(H72&gt;0,E72&gt;0),H72/E72,""),"")</f>
        <v/>
      </c>
      <c r="J72" s="152">
        <f>IFERROR(VALUE(SUBSTITUTE(INDEX('04A_국토부원자료'!$A:$T,ROW()+1,MATCH("층",'04A_국토부원자료'!$A$4:$T$4,0)),",","")),"")</f>
        <v/>
      </c>
      <c r="K72" s="152">
        <f>IFERROR(VALUE(SUBSTITUTE(INDEX('04A_국토부원자료'!$A:$T,ROW()+1,MATCH("건축년도",'04A_국토부원자료'!$A$4:$T$4,0)),",","")),"")</f>
        <v/>
      </c>
      <c r="L72" s="176">
        <f>IFERROR(INDEX('04A_국토부원자료'!$A:$T,ROW()+1,MATCH("도로명",'04A_국토부원자료'!$A$4:$T$4,0)),"")</f>
        <v/>
      </c>
      <c r="M72" s="48">
        <f>IFERROR(INDEX('04A_국토부원자료'!$A:$T,ROW()+1,MATCH("거래유형",'04A_국토부원자료'!$A$4:$T$4,0)),"")</f>
        <v/>
      </c>
      <c r="N72" s="152">
        <f>IF(B72="","",IF('02_대상물건입력'!B5="",1,IF(ISNUMBER(SEARCH('02_대상물건입력'!B5,B72)),1,0)))</f>
        <v/>
      </c>
      <c r="O72" s="152">
        <f>IF(B72="","",IF('02_대상물건입력'!B6="",1,IF(ISNUMBER(SEARCH('02_대상물건입력'!B6,B72)),1,0)))</f>
        <v/>
      </c>
      <c r="P72" s="152">
        <f>IF(L72="","",IF('02_대상물건입력'!B15="",0,IF(ISNUMBER(SEARCH('02_대상물건입력'!B15,L72)),1,0)))</f>
        <v/>
      </c>
      <c r="Q72" s="152">
        <f>IF(OR(C72="",L72=""),0,IF(AND(TRIM(C72)=TRIM(RIGHT(SUBSTITUTE(TRIM('02_대상물건입력'!$B$7)," ",REPT(" ",99)),99)),IF('02_대상물건입력'!B15="",TRUE(),ISNUMBER(SEARCH('02_대상물건입력'!B15,L72)))),1,0))</f>
        <v/>
      </c>
      <c r="R72" s="175">
        <f>IFERROR(ABS(E72-'02_대상물건입력'!B11)/'02_대상물건입력'!B11,"")</f>
        <v/>
      </c>
      <c r="S72" s="152">
        <f>IFERROR(ABS(J72-'02_대상물건입력'!B10),"")</f>
        <v/>
      </c>
      <c r="T72" s="152">
        <f>IFERROR(ABS('01_설정'!B4-F72),"")</f>
        <v/>
      </c>
      <c r="U72" s="152">
        <f>IFERROR(ABS(K72-YEAR('02_대상물건입력'!B14)),"")</f>
        <v/>
      </c>
      <c r="V72" s="152">
        <f>IF(B72="","",IF(AND(E72&gt;0,F72&gt;0,H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72=1,TRUE()),R72&lt;='01_설정'!B5,S72&lt;='01_설정'!B6,T72&lt;='01_설정'!B7,U72&lt;='01_설정'!B8),"Y",""))</f>
        <v/>
      </c>
      <c r="W72" s="172">
        <f>IF(V72&lt;&gt;"Y","",MAX(0,(1-R72/'01_설정'!B5))*'01_설정'!B14+MAX(0,(1-S72/'01_설정'!B6))*'01_설정'!B15+MAX(0,(1-T72/'01_설정'!B7))*'01_설정'!B16+MAX(0,(1-U72/'01_설정'!B8))*'01_설정'!B17+O72*'01_설정'!B11+Q72*'01_설정'!B12+P72*'01_설정'!B13+IF(Z72="",0,Z72))</f>
        <v/>
      </c>
      <c r="X72" s="152">
        <f>IF(W72="","",1+COUNTIFS($W$4:$W$3003,"&gt;"&amp;W72)+COUNTIFS($W$4:W72,W72)-1)</f>
        <v/>
      </c>
      <c r="Y72" s="175">
        <f>IF(OR(I72="",'02_대상물건입력'!B19="",'02_대상물건입력'!B19&lt;=0),"",ABS(I72-'02_대상물건입력'!B19)/'02_대상물건입력'!B19)</f>
        <v/>
      </c>
      <c r="Z72" s="172">
        <f>IF(OR(Y72="",'01_설정'!B31="",'01_설정'!B31&lt;=0,'01_설정'!B32="",'01_설정'!B32&lt;=0),"",MAX(0,(1-Y72/'01_설정'!B32))*'01_설정'!B31)</f>
        <v/>
      </c>
    </row>
    <row r="73" ht="17.25" customHeight="1">
      <c r="A73" s="152">
        <f>IF(INDEX('04A_국토부원자료'!$A:$A,ROW()+1)="","",ROW()-3)</f>
        <v/>
      </c>
      <c r="B73" s="48">
        <f>IFERROR(INDEX('04A_국토부원자료'!$A:$T,ROW()+1,MATCH("시군구",'04A_국토부원자료'!$A$4:$T$4,0)),"")</f>
        <v/>
      </c>
      <c r="C73" s="48">
        <f>IF(B73="","",IFERROR(INDEX('04A_국토부원자료'!$A:$T,ROW()+1,MATCH("번지",'04A_국토부원자료'!$A$4:$T$4,0)),""))</f>
        <v/>
      </c>
      <c r="D73" s="48">
        <f>IF(B73="","",IF(Q73=1,'02_대상물건입력'!$B$8,IFERROR(INDEX('04A_국토부원자료'!$A:$T,ROW()+1,MATCH("단지명",'04A_국토부원자료'!$A$4:$T$4,0)),"")))</f>
        <v/>
      </c>
      <c r="E73" s="172">
        <f>IFERROR(VALUE(SUBSTITUTE(INDEX('04A_국토부원자료'!$A:$T,ROW()+1,MATCH("전용면적(㎡)",'04A_국토부원자료'!$A$4:$T$4,0)),",","")),"")</f>
        <v/>
      </c>
      <c r="F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3" s="51">
        <f>IFERROR(VALUE(SUBSTITUTE(INDEX('04A_국토부원자료'!$A:$T,ROW()+1,MATCH("거래금액(만원)",'04A_국토부원자료'!$A$4:$T$4,0)),",","")),"")</f>
        <v/>
      </c>
      <c r="H73" s="174">
        <f>IF(G73="","",G73*10000)</f>
        <v/>
      </c>
      <c r="I73" s="174">
        <f>IFERROR(IF(AND(H73&gt;0,E73&gt;0),H73/E73,""),"")</f>
        <v/>
      </c>
      <c r="J73" s="152">
        <f>IFERROR(VALUE(SUBSTITUTE(INDEX('04A_국토부원자료'!$A:$T,ROW()+1,MATCH("층",'04A_국토부원자료'!$A$4:$T$4,0)),",","")),"")</f>
        <v/>
      </c>
      <c r="K73" s="152">
        <f>IFERROR(VALUE(SUBSTITUTE(INDEX('04A_국토부원자료'!$A:$T,ROW()+1,MATCH("건축년도",'04A_국토부원자료'!$A$4:$T$4,0)),",","")),"")</f>
        <v/>
      </c>
      <c r="L73" s="176">
        <f>IFERROR(INDEX('04A_국토부원자료'!$A:$T,ROW()+1,MATCH("도로명",'04A_국토부원자료'!$A$4:$T$4,0)),"")</f>
        <v/>
      </c>
      <c r="M73" s="48">
        <f>IFERROR(INDEX('04A_국토부원자료'!$A:$T,ROW()+1,MATCH("거래유형",'04A_국토부원자료'!$A$4:$T$4,0)),"")</f>
        <v/>
      </c>
      <c r="N73" s="152">
        <f>IF(B73="","",IF('02_대상물건입력'!B5="",1,IF(ISNUMBER(SEARCH('02_대상물건입력'!B5,B73)),1,0)))</f>
        <v/>
      </c>
      <c r="O73" s="152">
        <f>IF(B73="","",IF('02_대상물건입력'!B6="",1,IF(ISNUMBER(SEARCH('02_대상물건입력'!B6,B73)),1,0)))</f>
        <v/>
      </c>
      <c r="P73" s="152">
        <f>IF(L73="","",IF('02_대상물건입력'!B15="",0,IF(ISNUMBER(SEARCH('02_대상물건입력'!B15,L73)),1,0)))</f>
        <v/>
      </c>
      <c r="Q73" s="152">
        <f>IF(OR(C73="",L73=""),0,IF(AND(TRIM(C73)=TRIM(RIGHT(SUBSTITUTE(TRIM('02_대상물건입력'!$B$7)," ",REPT(" ",99)),99)),IF('02_대상물건입력'!B15="",TRUE(),ISNUMBER(SEARCH('02_대상물건입력'!B15,L73)))),1,0))</f>
        <v/>
      </c>
      <c r="R73" s="175">
        <f>IFERROR(ABS(E73-'02_대상물건입력'!B11)/'02_대상물건입력'!B11,"")</f>
        <v/>
      </c>
      <c r="S73" s="152">
        <f>IFERROR(ABS(J73-'02_대상물건입력'!B10),"")</f>
        <v/>
      </c>
      <c r="T73" s="152">
        <f>IFERROR(ABS('01_설정'!B4-F73),"")</f>
        <v/>
      </c>
      <c r="U73" s="152">
        <f>IFERROR(ABS(K73-YEAR('02_대상물건입력'!B14)),"")</f>
        <v/>
      </c>
      <c r="V73" s="152">
        <f>IF(B73="","",IF(AND(E73&gt;0,F73&gt;0,H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73=1,TRUE()),R73&lt;='01_설정'!B5,S73&lt;='01_설정'!B6,T73&lt;='01_설정'!B7,U73&lt;='01_설정'!B8),"Y",""))</f>
        <v/>
      </c>
      <c r="W73" s="172">
        <f>IF(V73&lt;&gt;"Y","",MAX(0,(1-R73/'01_설정'!B5))*'01_설정'!B14+MAX(0,(1-S73/'01_설정'!B6))*'01_설정'!B15+MAX(0,(1-T73/'01_설정'!B7))*'01_설정'!B16+MAX(0,(1-U73/'01_설정'!B8))*'01_설정'!B17+O73*'01_설정'!B11+Q73*'01_설정'!B12+P73*'01_설정'!B13+IF(Z73="",0,Z73))</f>
        <v/>
      </c>
      <c r="X73" s="152">
        <f>IF(W73="","",1+COUNTIFS($W$4:$W$3003,"&gt;"&amp;W73)+COUNTIFS($W$4:W73,W73)-1)</f>
        <v/>
      </c>
      <c r="Y73" s="175">
        <f>IF(OR(I73="",'02_대상물건입력'!B19="",'02_대상물건입력'!B19&lt;=0),"",ABS(I73-'02_대상물건입력'!B19)/'02_대상물건입력'!B19)</f>
        <v/>
      </c>
      <c r="Z73" s="172">
        <f>IF(OR(Y73="",'01_설정'!B31="",'01_설정'!B31&lt;=0,'01_설정'!B32="",'01_설정'!B32&lt;=0),"",MAX(0,(1-Y73/'01_설정'!B32))*'01_설정'!B31)</f>
        <v/>
      </c>
    </row>
    <row r="74" ht="17.25" customHeight="1">
      <c r="A74" s="152">
        <f>IF(INDEX('04A_국토부원자료'!$A:$A,ROW()+1)="","",ROW()-3)</f>
        <v/>
      </c>
      <c r="B74" s="48">
        <f>IFERROR(INDEX('04A_국토부원자료'!$A:$T,ROW()+1,MATCH("시군구",'04A_국토부원자료'!$A$4:$T$4,0)),"")</f>
        <v/>
      </c>
      <c r="C74" s="48">
        <f>IF(B74="","",IFERROR(INDEX('04A_국토부원자료'!$A:$T,ROW()+1,MATCH("번지",'04A_국토부원자료'!$A$4:$T$4,0)),""))</f>
        <v/>
      </c>
      <c r="D74" s="48">
        <f>IF(B74="","",IF(Q74=1,'02_대상물건입력'!$B$8,IFERROR(INDEX('04A_국토부원자료'!$A:$T,ROW()+1,MATCH("단지명",'04A_국토부원자료'!$A$4:$T$4,0)),"")))</f>
        <v/>
      </c>
      <c r="E74" s="172">
        <f>IFERROR(VALUE(SUBSTITUTE(INDEX('04A_국토부원자료'!$A:$T,ROW()+1,MATCH("전용면적(㎡)",'04A_국토부원자료'!$A$4:$T$4,0)),",","")),"")</f>
        <v/>
      </c>
      <c r="F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4" s="51">
        <f>IFERROR(VALUE(SUBSTITUTE(INDEX('04A_국토부원자료'!$A:$T,ROW()+1,MATCH("거래금액(만원)",'04A_국토부원자료'!$A$4:$T$4,0)),",","")),"")</f>
        <v/>
      </c>
      <c r="H74" s="174">
        <f>IF(G74="","",G74*10000)</f>
        <v/>
      </c>
      <c r="I74" s="174">
        <f>IFERROR(IF(AND(H74&gt;0,E74&gt;0),H74/E74,""),"")</f>
        <v/>
      </c>
      <c r="J74" s="152">
        <f>IFERROR(VALUE(SUBSTITUTE(INDEX('04A_국토부원자료'!$A:$T,ROW()+1,MATCH("층",'04A_국토부원자료'!$A$4:$T$4,0)),",","")),"")</f>
        <v/>
      </c>
      <c r="K74" s="152">
        <f>IFERROR(VALUE(SUBSTITUTE(INDEX('04A_국토부원자료'!$A:$T,ROW()+1,MATCH("건축년도",'04A_국토부원자료'!$A$4:$T$4,0)),",","")),"")</f>
        <v/>
      </c>
      <c r="L74" s="176">
        <f>IFERROR(INDEX('04A_국토부원자료'!$A:$T,ROW()+1,MATCH("도로명",'04A_국토부원자료'!$A$4:$T$4,0)),"")</f>
        <v/>
      </c>
      <c r="M74" s="48">
        <f>IFERROR(INDEX('04A_국토부원자료'!$A:$T,ROW()+1,MATCH("거래유형",'04A_국토부원자료'!$A$4:$T$4,0)),"")</f>
        <v/>
      </c>
      <c r="N74" s="152">
        <f>IF(B74="","",IF('02_대상물건입력'!B5="",1,IF(ISNUMBER(SEARCH('02_대상물건입력'!B5,B74)),1,0)))</f>
        <v/>
      </c>
      <c r="O74" s="152">
        <f>IF(B74="","",IF('02_대상물건입력'!B6="",1,IF(ISNUMBER(SEARCH('02_대상물건입력'!B6,B74)),1,0)))</f>
        <v/>
      </c>
      <c r="P74" s="152">
        <f>IF(L74="","",IF('02_대상물건입력'!B15="",0,IF(ISNUMBER(SEARCH('02_대상물건입력'!B15,L74)),1,0)))</f>
        <v/>
      </c>
      <c r="Q74" s="152">
        <f>IF(OR(C74="",L74=""),0,IF(AND(TRIM(C74)=TRIM(RIGHT(SUBSTITUTE(TRIM('02_대상물건입력'!$B$7)," ",REPT(" ",99)),99)),IF('02_대상물건입력'!B15="",TRUE(),ISNUMBER(SEARCH('02_대상물건입력'!B15,L74)))),1,0))</f>
        <v/>
      </c>
      <c r="R74" s="175">
        <f>IFERROR(ABS(E74-'02_대상물건입력'!B11)/'02_대상물건입력'!B11,"")</f>
        <v/>
      </c>
      <c r="S74" s="152">
        <f>IFERROR(ABS(J74-'02_대상물건입력'!B10),"")</f>
        <v/>
      </c>
      <c r="T74" s="152">
        <f>IFERROR(ABS('01_설정'!B4-F74),"")</f>
        <v/>
      </c>
      <c r="U74" s="152">
        <f>IFERROR(ABS(K74-YEAR('02_대상물건입력'!B14)),"")</f>
        <v/>
      </c>
      <c r="V74" s="152">
        <f>IF(B74="","",IF(AND(E74&gt;0,F74&gt;0,H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74=1,TRUE()),R74&lt;='01_설정'!B5,S74&lt;='01_설정'!B6,T74&lt;='01_설정'!B7,U74&lt;='01_설정'!B8),"Y",""))</f>
        <v/>
      </c>
      <c r="W74" s="172">
        <f>IF(V74&lt;&gt;"Y","",MAX(0,(1-R74/'01_설정'!B5))*'01_설정'!B14+MAX(0,(1-S74/'01_설정'!B6))*'01_설정'!B15+MAX(0,(1-T74/'01_설정'!B7))*'01_설정'!B16+MAX(0,(1-U74/'01_설정'!B8))*'01_설정'!B17+O74*'01_설정'!B11+Q74*'01_설정'!B12+P74*'01_설정'!B13+IF(Z74="",0,Z74))</f>
        <v/>
      </c>
      <c r="X74" s="152">
        <f>IF(W74="","",1+COUNTIFS($W$4:$W$3003,"&gt;"&amp;W74)+COUNTIFS($W$4:W74,W74)-1)</f>
        <v/>
      </c>
      <c r="Y74" s="175">
        <f>IF(OR(I74="",'02_대상물건입력'!B19="",'02_대상물건입력'!B19&lt;=0),"",ABS(I74-'02_대상물건입력'!B19)/'02_대상물건입력'!B19)</f>
        <v/>
      </c>
      <c r="Z74" s="172">
        <f>IF(OR(Y74="",'01_설정'!B31="",'01_설정'!B31&lt;=0,'01_설정'!B32="",'01_설정'!B32&lt;=0),"",MAX(0,(1-Y74/'01_설정'!B32))*'01_설정'!B31)</f>
        <v/>
      </c>
    </row>
    <row r="75" ht="17.25" customHeight="1">
      <c r="A75" s="152">
        <f>IF(INDEX('04A_국토부원자료'!$A:$A,ROW()+1)="","",ROW()-3)</f>
        <v/>
      </c>
      <c r="B75" s="48">
        <f>IFERROR(INDEX('04A_국토부원자료'!$A:$T,ROW()+1,MATCH("시군구",'04A_국토부원자료'!$A$4:$T$4,0)),"")</f>
        <v/>
      </c>
      <c r="C75" s="48">
        <f>IF(B75="","",IFERROR(INDEX('04A_국토부원자료'!$A:$T,ROW()+1,MATCH("번지",'04A_국토부원자료'!$A$4:$T$4,0)),""))</f>
        <v/>
      </c>
      <c r="D75" s="48">
        <f>IF(B75="","",IF(Q75=1,'02_대상물건입력'!$B$8,IFERROR(INDEX('04A_국토부원자료'!$A:$T,ROW()+1,MATCH("단지명",'04A_국토부원자료'!$A$4:$T$4,0)),"")))</f>
        <v/>
      </c>
      <c r="E75" s="172">
        <f>IFERROR(VALUE(SUBSTITUTE(INDEX('04A_국토부원자료'!$A:$T,ROW()+1,MATCH("전용면적(㎡)",'04A_국토부원자료'!$A$4:$T$4,0)),",","")),"")</f>
        <v/>
      </c>
      <c r="F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5" s="51">
        <f>IFERROR(VALUE(SUBSTITUTE(INDEX('04A_국토부원자료'!$A:$T,ROW()+1,MATCH("거래금액(만원)",'04A_국토부원자료'!$A$4:$T$4,0)),",","")),"")</f>
        <v/>
      </c>
      <c r="H75" s="174">
        <f>IF(G75="","",G75*10000)</f>
        <v/>
      </c>
      <c r="I75" s="174">
        <f>IFERROR(IF(AND(H75&gt;0,E75&gt;0),H75/E75,""),"")</f>
        <v/>
      </c>
      <c r="J75" s="152">
        <f>IFERROR(VALUE(SUBSTITUTE(INDEX('04A_국토부원자료'!$A:$T,ROW()+1,MATCH("층",'04A_국토부원자료'!$A$4:$T$4,0)),",","")),"")</f>
        <v/>
      </c>
      <c r="K75" s="152">
        <f>IFERROR(VALUE(SUBSTITUTE(INDEX('04A_국토부원자료'!$A:$T,ROW()+1,MATCH("건축년도",'04A_국토부원자료'!$A$4:$T$4,0)),",","")),"")</f>
        <v/>
      </c>
      <c r="L75" s="176">
        <f>IFERROR(INDEX('04A_국토부원자료'!$A:$T,ROW()+1,MATCH("도로명",'04A_국토부원자료'!$A$4:$T$4,0)),"")</f>
        <v/>
      </c>
      <c r="M75" s="48">
        <f>IFERROR(INDEX('04A_국토부원자료'!$A:$T,ROW()+1,MATCH("거래유형",'04A_국토부원자료'!$A$4:$T$4,0)),"")</f>
        <v/>
      </c>
      <c r="N75" s="152">
        <f>IF(B75="","",IF('02_대상물건입력'!B5="",1,IF(ISNUMBER(SEARCH('02_대상물건입력'!B5,B75)),1,0)))</f>
        <v/>
      </c>
      <c r="O75" s="152">
        <f>IF(B75="","",IF('02_대상물건입력'!B6="",1,IF(ISNUMBER(SEARCH('02_대상물건입력'!B6,B75)),1,0)))</f>
        <v/>
      </c>
      <c r="P75" s="152">
        <f>IF(L75="","",IF('02_대상물건입력'!B15="",0,IF(ISNUMBER(SEARCH('02_대상물건입력'!B15,L75)),1,0)))</f>
        <v/>
      </c>
      <c r="Q75" s="152">
        <f>IF(OR(C75="",L75=""),0,IF(AND(TRIM(C75)=TRIM(RIGHT(SUBSTITUTE(TRIM('02_대상물건입력'!$B$7)," ",REPT(" ",99)),99)),IF('02_대상물건입력'!B15="",TRUE(),ISNUMBER(SEARCH('02_대상물건입력'!B15,L75)))),1,0))</f>
        <v/>
      </c>
      <c r="R75" s="175">
        <f>IFERROR(ABS(E75-'02_대상물건입력'!B11)/'02_대상물건입력'!B11,"")</f>
        <v/>
      </c>
      <c r="S75" s="152">
        <f>IFERROR(ABS(J75-'02_대상물건입력'!B10),"")</f>
        <v/>
      </c>
      <c r="T75" s="152">
        <f>IFERROR(ABS('01_설정'!B4-F75),"")</f>
        <v/>
      </c>
      <c r="U75" s="152">
        <f>IFERROR(ABS(K75-YEAR('02_대상물건입력'!B14)),"")</f>
        <v/>
      </c>
      <c r="V75" s="152">
        <f>IF(B75="","",IF(AND(E75&gt;0,F75&gt;0,H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75=1,TRUE()),R75&lt;='01_설정'!B5,S75&lt;='01_설정'!B6,T75&lt;='01_설정'!B7,U75&lt;='01_설정'!B8),"Y",""))</f>
        <v/>
      </c>
      <c r="W75" s="172">
        <f>IF(V75&lt;&gt;"Y","",MAX(0,(1-R75/'01_설정'!B5))*'01_설정'!B14+MAX(0,(1-S75/'01_설정'!B6))*'01_설정'!B15+MAX(0,(1-T75/'01_설정'!B7))*'01_설정'!B16+MAX(0,(1-U75/'01_설정'!B8))*'01_설정'!B17+O75*'01_설정'!B11+Q75*'01_설정'!B12+P75*'01_설정'!B13+IF(Z75="",0,Z75))</f>
        <v/>
      </c>
      <c r="X75" s="152">
        <f>IF(W75="","",1+COUNTIFS($W$4:$W$3003,"&gt;"&amp;W75)+COUNTIFS($W$4:W75,W75)-1)</f>
        <v/>
      </c>
      <c r="Y75" s="175">
        <f>IF(OR(I75="",'02_대상물건입력'!B19="",'02_대상물건입력'!B19&lt;=0),"",ABS(I75-'02_대상물건입력'!B19)/'02_대상물건입력'!B19)</f>
        <v/>
      </c>
      <c r="Z75" s="172">
        <f>IF(OR(Y75="",'01_설정'!B31="",'01_설정'!B31&lt;=0,'01_설정'!B32="",'01_설정'!B32&lt;=0),"",MAX(0,(1-Y75/'01_설정'!B32))*'01_설정'!B31)</f>
        <v/>
      </c>
    </row>
    <row r="76" ht="17.25" customHeight="1">
      <c r="A76" s="152">
        <f>IF(INDEX('04A_국토부원자료'!$A:$A,ROW()+1)="","",ROW()-3)</f>
        <v/>
      </c>
      <c r="B76" s="48">
        <f>IFERROR(INDEX('04A_국토부원자료'!$A:$T,ROW()+1,MATCH("시군구",'04A_국토부원자료'!$A$4:$T$4,0)),"")</f>
        <v/>
      </c>
      <c r="C76" s="48">
        <f>IF(B76="","",IFERROR(INDEX('04A_국토부원자료'!$A:$T,ROW()+1,MATCH("번지",'04A_국토부원자료'!$A$4:$T$4,0)),""))</f>
        <v/>
      </c>
      <c r="D76" s="48">
        <f>IF(B76="","",IF(Q76=1,'02_대상물건입력'!$B$8,IFERROR(INDEX('04A_국토부원자료'!$A:$T,ROW()+1,MATCH("단지명",'04A_국토부원자료'!$A$4:$T$4,0)),"")))</f>
        <v/>
      </c>
      <c r="E76" s="172">
        <f>IFERROR(VALUE(SUBSTITUTE(INDEX('04A_국토부원자료'!$A:$T,ROW()+1,MATCH("전용면적(㎡)",'04A_국토부원자료'!$A$4:$T$4,0)),",","")),"")</f>
        <v/>
      </c>
      <c r="F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6" s="51">
        <f>IFERROR(VALUE(SUBSTITUTE(INDEX('04A_국토부원자료'!$A:$T,ROW()+1,MATCH("거래금액(만원)",'04A_국토부원자료'!$A$4:$T$4,0)),",","")),"")</f>
        <v/>
      </c>
      <c r="H76" s="174">
        <f>IF(G76="","",G76*10000)</f>
        <v/>
      </c>
      <c r="I76" s="174">
        <f>IFERROR(IF(AND(H76&gt;0,E76&gt;0),H76/E76,""),"")</f>
        <v/>
      </c>
      <c r="J76" s="152">
        <f>IFERROR(VALUE(SUBSTITUTE(INDEX('04A_국토부원자료'!$A:$T,ROW()+1,MATCH("층",'04A_국토부원자료'!$A$4:$T$4,0)),",","")),"")</f>
        <v/>
      </c>
      <c r="K76" s="152">
        <f>IFERROR(VALUE(SUBSTITUTE(INDEX('04A_국토부원자료'!$A:$T,ROW()+1,MATCH("건축년도",'04A_국토부원자료'!$A$4:$T$4,0)),",","")),"")</f>
        <v/>
      </c>
      <c r="L76" s="176">
        <f>IFERROR(INDEX('04A_국토부원자료'!$A:$T,ROW()+1,MATCH("도로명",'04A_국토부원자료'!$A$4:$T$4,0)),"")</f>
        <v/>
      </c>
      <c r="M76" s="48">
        <f>IFERROR(INDEX('04A_국토부원자료'!$A:$T,ROW()+1,MATCH("거래유형",'04A_국토부원자료'!$A$4:$T$4,0)),"")</f>
        <v/>
      </c>
      <c r="N76" s="152">
        <f>IF(B76="","",IF('02_대상물건입력'!B5="",1,IF(ISNUMBER(SEARCH('02_대상물건입력'!B5,B76)),1,0)))</f>
        <v/>
      </c>
      <c r="O76" s="152">
        <f>IF(B76="","",IF('02_대상물건입력'!B6="",1,IF(ISNUMBER(SEARCH('02_대상물건입력'!B6,B76)),1,0)))</f>
        <v/>
      </c>
      <c r="P76" s="152">
        <f>IF(L76="","",IF('02_대상물건입력'!B15="",0,IF(ISNUMBER(SEARCH('02_대상물건입력'!B15,L76)),1,0)))</f>
        <v/>
      </c>
      <c r="Q76" s="152">
        <f>IF(OR(C76="",L76=""),0,IF(AND(TRIM(C76)=TRIM(RIGHT(SUBSTITUTE(TRIM('02_대상물건입력'!$B$7)," ",REPT(" ",99)),99)),IF('02_대상물건입력'!B15="",TRUE(),ISNUMBER(SEARCH('02_대상물건입력'!B15,L76)))),1,0))</f>
        <v/>
      </c>
      <c r="R76" s="175">
        <f>IFERROR(ABS(E76-'02_대상물건입력'!B11)/'02_대상물건입력'!B11,"")</f>
        <v/>
      </c>
      <c r="S76" s="152">
        <f>IFERROR(ABS(J76-'02_대상물건입력'!B10),"")</f>
        <v/>
      </c>
      <c r="T76" s="152">
        <f>IFERROR(ABS('01_설정'!B4-F76),"")</f>
        <v/>
      </c>
      <c r="U76" s="152">
        <f>IFERROR(ABS(K76-YEAR('02_대상물건입력'!B14)),"")</f>
        <v/>
      </c>
      <c r="V76" s="152">
        <f>IF(B76="","",IF(AND(E76&gt;0,F76&gt;0,H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76=1,TRUE()),R76&lt;='01_설정'!B5,S76&lt;='01_설정'!B6,T76&lt;='01_설정'!B7,U76&lt;='01_설정'!B8),"Y",""))</f>
        <v/>
      </c>
      <c r="W76" s="172">
        <f>IF(V76&lt;&gt;"Y","",MAX(0,(1-R76/'01_설정'!B5))*'01_설정'!B14+MAX(0,(1-S76/'01_설정'!B6))*'01_설정'!B15+MAX(0,(1-T76/'01_설정'!B7))*'01_설정'!B16+MAX(0,(1-U76/'01_설정'!B8))*'01_설정'!B17+O76*'01_설정'!B11+Q76*'01_설정'!B12+P76*'01_설정'!B13+IF(Z76="",0,Z76))</f>
        <v/>
      </c>
      <c r="X76" s="152">
        <f>IF(W76="","",1+COUNTIFS($W$4:$W$3003,"&gt;"&amp;W76)+COUNTIFS($W$4:W76,W76)-1)</f>
        <v/>
      </c>
      <c r="Y76" s="175">
        <f>IF(OR(I76="",'02_대상물건입력'!B19="",'02_대상물건입력'!B19&lt;=0),"",ABS(I76-'02_대상물건입력'!B19)/'02_대상물건입력'!B19)</f>
        <v/>
      </c>
      <c r="Z76" s="172">
        <f>IF(OR(Y76="",'01_설정'!B31="",'01_설정'!B31&lt;=0,'01_설정'!B32="",'01_설정'!B32&lt;=0),"",MAX(0,(1-Y76/'01_설정'!B32))*'01_설정'!B31)</f>
        <v/>
      </c>
    </row>
    <row r="77" ht="17.25" customHeight="1">
      <c r="A77" s="152">
        <f>IF(INDEX('04A_국토부원자료'!$A:$A,ROW()+1)="","",ROW()-3)</f>
        <v/>
      </c>
      <c r="B77" s="48">
        <f>IFERROR(INDEX('04A_국토부원자료'!$A:$T,ROW()+1,MATCH("시군구",'04A_국토부원자료'!$A$4:$T$4,0)),"")</f>
        <v/>
      </c>
      <c r="C77" s="48">
        <f>IF(B77="","",IFERROR(INDEX('04A_국토부원자료'!$A:$T,ROW()+1,MATCH("번지",'04A_국토부원자료'!$A$4:$T$4,0)),""))</f>
        <v/>
      </c>
      <c r="D77" s="48">
        <f>IF(B77="","",IF(Q77=1,'02_대상물건입력'!$B$8,IFERROR(INDEX('04A_국토부원자료'!$A:$T,ROW()+1,MATCH("단지명",'04A_국토부원자료'!$A$4:$T$4,0)),"")))</f>
        <v/>
      </c>
      <c r="E77" s="172">
        <f>IFERROR(VALUE(SUBSTITUTE(INDEX('04A_국토부원자료'!$A:$T,ROW()+1,MATCH("전용면적(㎡)",'04A_국토부원자료'!$A$4:$T$4,0)),",","")),"")</f>
        <v/>
      </c>
      <c r="F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7" s="51">
        <f>IFERROR(VALUE(SUBSTITUTE(INDEX('04A_국토부원자료'!$A:$T,ROW()+1,MATCH("거래금액(만원)",'04A_국토부원자료'!$A$4:$T$4,0)),",","")),"")</f>
        <v/>
      </c>
      <c r="H77" s="174">
        <f>IF(G77="","",G77*10000)</f>
        <v/>
      </c>
      <c r="I77" s="174">
        <f>IFERROR(IF(AND(H77&gt;0,E77&gt;0),H77/E77,""),"")</f>
        <v/>
      </c>
      <c r="J77" s="152">
        <f>IFERROR(VALUE(SUBSTITUTE(INDEX('04A_국토부원자료'!$A:$T,ROW()+1,MATCH("층",'04A_국토부원자료'!$A$4:$T$4,0)),",","")),"")</f>
        <v/>
      </c>
      <c r="K77" s="152">
        <f>IFERROR(VALUE(SUBSTITUTE(INDEX('04A_국토부원자료'!$A:$T,ROW()+1,MATCH("건축년도",'04A_국토부원자료'!$A$4:$T$4,0)),",","")),"")</f>
        <v/>
      </c>
      <c r="L77" s="176">
        <f>IFERROR(INDEX('04A_국토부원자료'!$A:$T,ROW()+1,MATCH("도로명",'04A_국토부원자료'!$A$4:$T$4,0)),"")</f>
        <v/>
      </c>
      <c r="M77" s="48">
        <f>IFERROR(INDEX('04A_국토부원자료'!$A:$T,ROW()+1,MATCH("거래유형",'04A_국토부원자료'!$A$4:$T$4,0)),"")</f>
        <v/>
      </c>
      <c r="N77" s="152">
        <f>IF(B77="","",IF('02_대상물건입력'!B5="",1,IF(ISNUMBER(SEARCH('02_대상물건입력'!B5,B77)),1,0)))</f>
        <v/>
      </c>
      <c r="O77" s="152">
        <f>IF(B77="","",IF('02_대상물건입력'!B6="",1,IF(ISNUMBER(SEARCH('02_대상물건입력'!B6,B77)),1,0)))</f>
        <v/>
      </c>
      <c r="P77" s="152">
        <f>IF(L77="","",IF('02_대상물건입력'!B15="",0,IF(ISNUMBER(SEARCH('02_대상물건입력'!B15,L77)),1,0)))</f>
        <v/>
      </c>
      <c r="Q77" s="152">
        <f>IF(OR(C77="",L77=""),0,IF(AND(TRIM(C77)=TRIM(RIGHT(SUBSTITUTE(TRIM('02_대상물건입력'!$B$7)," ",REPT(" ",99)),99)),IF('02_대상물건입력'!B15="",TRUE(),ISNUMBER(SEARCH('02_대상물건입력'!B15,L77)))),1,0))</f>
        <v/>
      </c>
      <c r="R77" s="175">
        <f>IFERROR(ABS(E77-'02_대상물건입력'!B11)/'02_대상물건입력'!B11,"")</f>
        <v/>
      </c>
      <c r="S77" s="152">
        <f>IFERROR(ABS(J77-'02_대상물건입력'!B10),"")</f>
        <v/>
      </c>
      <c r="T77" s="152">
        <f>IFERROR(ABS('01_설정'!B4-F77),"")</f>
        <v/>
      </c>
      <c r="U77" s="152">
        <f>IFERROR(ABS(K77-YEAR('02_대상물건입력'!B14)),"")</f>
        <v/>
      </c>
      <c r="V77" s="152">
        <f>IF(B77="","",IF(AND(E77&gt;0,F77&gt;0,H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77=1,TRUE()),R77&lt;='01_설정'!B5,S77&lt;='01_설정'!B6,T77&lt;='01_설정'!B7,U77&lt;='01_설정'!B8),"Y",""))</f>
        <v/>
      </c>
      <c r="W77" s="172">
        <f>IF(V77&lt;&gt;"Y","",MAX(0,(1-R77/'01_설정'!B5))*'01_설정'!B14+MAX(0,(1-S77/'01_설정'!B6))*'01_설정'!B15+MAX(0,(1-T77/'01_설정'!B7))*'01_설정'!B16+MAX(0,(1-U77/'01_설정'!B8))*'01_설정'!B17+O77*'01_설정'!B11+Q77*'01_설정'!B12+P77*'01_설정'!B13+IF(Z77="",0,Z77))</f>
        <v/>
      </c>
      <c r="X77" s="152">
        <f>IF(W77="","",1+COUNTIFS($W$4:$W$3003,"&gt;"&amp;W77)+COUNTIFS($W$4:W77,W77)-1)</f>
        <v/>
      </c>
      <c r="Y77" s="175">
        <f>IF(OR(I77="",'02_대상물건입력'!B19="",'02_대상물건입력'!B19&lt;=0),"",ABS(I77-'02_대상물건입력'!B19)/'02_대상물건입력'!B19)</f>
        <v/>
      </c>
      <c r="Z77" s="172">
        <f>IF(OR(Y77="",'01_설정'!B31="",'01_설정'!B31&lt;=0,'01_설정'!B32="",'01_설정'!B32&lt;=0),"",MAX(0,(1-Y77/'01_설정'!B32))*'01_설정'!B31)</f>
        <v/>
      </c>
    </row>
    <row r="78" ht="17.25" customHeight="1">
      <c r="A78" s="152">
        <f>IF(INDEX('04A_국토부원자료'!$A:$A,ROW()+1)="","",ROW()-3)</f>
        <v/>
      </c>
      <c r="B78" s="48">
        <f>IFERROR(INDEX('04A_국토부원자료'!$A:$T,ROW()+1,MATCH("시군구",'04A_국토부원자료'!$A$4:$T$4,0)),"")</f>
        <v/>
      </c>
      <c r="C78" s="48">
        <f>IF(B78="","",IFERROR(INDEX('04A_국토부원자료'!$A:$T,ROW()+1,MATCH("번지",'04A_국토부원자료'!$A$4:$T$4,0)),""))</f>
        <v/>
      </c>
      <c r="D78" s="48">
        <f>IF(B78="","",IF(Q78=1,'02_대상물건입력'!$B$8,IFERROR(INDEX('04A_국토부원자료'!$A:$T,ROW()+1,MATCH("단지명",'04A_국토부원자료'!$A$4:$T$4,0)),"")))</f>
        <v/>
      </c>
      <c r="E78" s="172">
        <f>IFERROR(VALUE(SUBSTITUTE(INDEX('04A_국토부원자료'!$A:$T,ROW()+1,MATCH("전용면적(㎡)",'04A_국토부원자료'!$A$4:$T$4,0)),",","")),"")</f>
        <v/>
      </c>
      <c r="F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8" s="51">
        <f>IFERROR(VALUE(SUBSTITUTE(INDEX('04A_국토부원자료'!$A:$T,ROW()+1,MATCH("거래금액(만원)",'04A_국토부원자료'!$A$4:$T$4,0)),",","")),"")</f>
        <v/>
      </c>
      <c r="H78" s="174">
        <f>IF(G78="","",G78*10000)</f>
        <v/>
      </c>
      <c r="I78" s="174">
        <f>IFERROR(IF(AND(H78&gt;0,E78&gt;0),H78/E78,""),"")</f>
        <v/>
      </c>
      <c r="J78" s="152">
        <f>IFERROR(VALUE(SUBSTITUTE(INDEX('04A_국토부원자료'!$A:$T,ROW()+1,MATCH("층",'04A_국토부원자료'!$A$4:$T$4,0)),",","")),"")</f>
        <v/>
      </c>
      <c r="K78" s="152">
        <f>IFERROR(VALUE(SUBSTITUTE(INDEX('04A_국토부원자료'!$A:$T,ROW()+1,MATCH("건축년도",'04A_국토부원자료'!$A$4:$T$4,0)),",","")),"")</f>
        <v/>
      </c>
      <c r="L78" s="176">
        <f>IFERROR(INDEX('04A_국토부원자료'!$A:$T,ROW()+1,MATCH("도로명",'04A_국토부원자료'!$A$4:$T$4,0)),"")</f>
        <v/>
      </c>
      <c r="M78" s="48">
        <f>IFERROR(INDEX('04A_국토부원자료'!$A:$T,ROW()+1,MATCH("거래유형",'04A_국토부원자료'!$A$4:$T$4,0)),"")</f>
        <v/>
      </c>
      <c r="N78" s="152">
        <f>IF(B78="","",IF('02_대상물건입력'!B5="",1,IF(ISNUMBER(SEARCH('02_대상물건입력'!B5,B78)),1,0)))</f>
        <v/>
      </c>
      <c r="O78" s="152">
        <f>IF(B78="","",IF('02_대상물건입력'!B6="",1,IF(ISNUMBER(SEARCH('02_대상물건입력'!B6,B78)),1,0)))</f>
        <v/>
      </c>
      <c r="P78" s="152">
        <f>IF(L78="","",IF('02_대상물건입력'!B15="",0,IF(ISNUMBER(SEARCH('02_대상물건입력'!B15,L78)),1,0)))</f>
        <v/>
      </c>
      <c r="Q78" s="152">
        <f>IF(OR(C78="",L78=""),0,IF(AND(TRIM(C78)=TRIM(RIGHT(SUBSTITUTE(TRIM('02_대상물건입력'!$B$7)," ",REPT(" ",99)),99)),IF('02_대상물건입력'!B15="",TRUE(),ISNUMBER(SEARCH('02_대상물건입력'!B15,L78)))),1,0))</f>
        <v/>
      </c>
      <c r="R78" s="175">
        <f>IFERROR(ABS(E78-'02_대상물건입력'!B11)/'02_대상물건입력'!B11,"")</f>
        <v/>
      </c>
      <c r="S78" s="152">
        <f>IFERROR(ABS(J78-'02_대상물건입력'!B10),"")</f>
        <v/>
      </c>
      <c r="T78" s="152">
        <f>IFERROR(ABS('01_설정'!B4-F78),"")</f>
        <v/>
      </c>
      <c r="U78" s="152">
        <f>IFERROR(ABS(K78-YEAR('02_대상물건입력'!B14)),"")</f>
        <v/>
      </c>
      <c r="V78" s="152">
        <f>IF(B78="","",IF(AND(E78&gt;0,F78&gt;0,H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78=1,TRUE()),R78&lt;='01_설정'!B5,S78&lt;='01_설정'!B6,T78&lt;='01_설정'!B7,U78&lt;='01_설정'!B8),"Y",""))</f>
        <v/>
      </c>
      <c r="W78" s="172">
        <f>IF(V78&lt;&gt;"Y","",MAX(0,(1-R78/'01_설정'!B5))*'01_설정'!B14+MAX(0,(1-S78/'01_설정'!B6))*'01_설정'!B15+MAX(0,(1-T78/'01_설정'!B7))*'01_설정'!B16+MAX(0,(1-U78/'01_설정'!B8))*'01_설정'!B17+O78*'01_설정'!B11+Q78*'01_설정'!B12+P78*'01_설정'!B13+IF(Z78="",0,Z78))</f>
        <v/>
      </c>
      <c r="X78" s="152">
        <f>IF(W78="","",1+COUNTIFS($W$4:$W$3003,"&gt;"&amp;W78)+COUNTIFS($W$4:W78,W78)-1)</f>
        <v/>
      </c>
      <c r="Y78" s="175">
        <f>IF(OR(I78="",'02_대상물건입력'!B19="",'02_대상물건입력'!B19&lt;=0),"",ABS(I78-'02_대상물건입력'!B19)/'02_대상물건입력'!B19)</f>
        <v/>
      </c>
      <c r="Z78" s="172">
        <f>IF(OR(Y78="",'01_설정'!B31="",'01_설정'!B31&lt;=0,'01_설정'!B32="",'01_설정'!B32&lt;=0),"",MAX(0,(1-Y78/'01_설정'!B32))*'01_설정'!B31)</f>
        <v/>
      </c>
    </row>
    <row r="79" ht="17.25" customHeight="1">
      <c r="A79" s="152">
        <f>IF(INDEX('04A_국토부원자료'!$A:$A,ROW()+1)="","",ROW()-3)</f>
        <v/>
      </c>
      <c r="B79" s="48">
        <f>IFERROR(INDEX('04A_국토부원자료'!$A:$T,ROW()+1,MATCH("시군구",'04A_국토부원자료'!$A$4:$T$4,0)),"")</f>
        <v/>
      </c>
      <c r="C79" s="48">
        <f>IF(B79="","",IFERROR(INDEX('04A_국토부원자료'!$A:$T,ROW()+1,MATCH("번지",'04A_국토부원자료'!$A$4:$T$4,0)),""))</f>
        <v/>
      </c>
      <c r="D79" s="48">
        <f>IF(B79="","",IF(Q79=1,'02_대상물건입력'!$B$8,IFERROR(INDEX('04A_국토부원자료'!$A:$T,ROW()+1,MATCH("단지명",'04A_국토부원자료'!$A$4:$T$4,0)),"")))</f>
        <v/>
      </c>
      <c r="E79" s="172">
        <f>IFERROR(VALUE(SUBSTITUTE(INDEX('04A_국토부원자료'!$A:$T,ROW()+1,MATCH("전용면적(㎡)",'04A_국토부원자료'!$A$4:$T$4,0)),",","")),"")</f>
        <v/>
      </c>
      <c r="F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9" s="51">
        <f>IFERROR(VALUE(SUBSTITUTE(INDEX('04A_국토부원자료'!$A:$T,ROW()+1,MATCH("거래금액(만원)",'04A_국토부원자료'!$A$4:$T$4,0)),",","")),"")</f>
        <v/>
      </c>
      <c r="H79" s="174">
        <f>IF(G79="","",G79*10000)</f>
        <v/>
      </c>
      <c r="I79" s="174">
        <f>IFERROR(IF(AND(H79&gt;0,E79&gt;0),H79/E79,""),"")</f>
        <v/>
      </c>
      <c r="J79" s="152">
        <f>IFERROR(VALUE(SUBSTITUTE(INDEX('04A_국토부원자료'!$A:$T,ROW()+1,MATCH("층",'04A_국토부원자료'!$A$4:$T$4,0)),",","")),"")</f>
        <v/>
      </c>
      <c r="K79" s="152">
        <f>IFERROR(VALUE(SUBSTITUTE(INDEX('04A_국토부원자료'!$A:$T,ROW()+1,MATCH("건축년도",'04A_국토부원자료'!$A$4:$T$4,0)),",","")),"")</f>
        <v/>
      </c>
      <c r="L79" s="176">
        <f>IFERROR(INDEX('04A_국토부원자료'!$A:$T,ROW()+1,MATCH("도로명",'04A_국토부원자료'!$A$4:$T$4,0)),"")</f>
        <v/>
      </c>
      <c r="M79" s="48">
        <f>IFERROR(INDEX('04A_국토부원자료'!$A:$T,ROW()+1,MATCH("거래유형",'04A_국토부원자료'!$A$4:$T$4,0)),"")</f>
        <v/>
      </c>
      <c r="N79" s="152">
        <f>IF(B79="","",IF('02_대상물건입력'!B5="",1,IF(ISNUMBER(SEARCH('02_대상물건입력'!B5,B79)),1,0)))</f>
        <v/>
      </c>
      <c r="O79" s="152">
        <f>IF(B79="","",IF('02_대상물건입력'!B6="",1,IF(ISNUMBER(SEARCH('02_대상물건입력'!B6,B79)),1,0)))</f>
        <v/>
      </c>
      <c r="P79" s="152">
        <f>IF(L79="","",IF('02_대상물건입력'!B15="",0,IF(ISNUMBER(SEARCH('02_대상물건입력'!B15,L79)),1,0)))</f>
        <v/>
      </c>
      <c r="Q79" s="152">
        <f>IF(OR(C79="",L79=""),0,IF(AND(TRIM(C79)=TRIM(RIGHT(SUBSTITUTE(TRIM('02_대상물건입력'!$B$7)," ",REPT(" ",99)),99)),IF('02_대상물건입력'!B15="",TRUE(),ISNUMBER(SEARCH('02_대상물건입력'!B15,L79)))),1,0))</f>
        <v/>
      </c>
      <c r="R79" s="175">
        <f>IFERROR(ABS(E79-'02_대상물건입력'!B11)/'02_대상물건입력'!B11,"")</f>
        <v/>
      </c>
      <c r="S79" s="152">
        <f>IFERROR(ABS(J79-'02_대상물건입력'!B10),"")</f>
        <v/>
      </c>
      <c r="T79" s="152">
        <f>IFERROR(ABS('01_설정'!B4-F79),"")</f>
        <v/>
      </c>
      <c r="U79" s="152">
        <f>IFERROR(ABS(K79-YEAR('02_대상물건입력'!B14)),"")</f>
        <v/>
      </c>
      <c r="V79" s="152">
        <f>IF(B79="","",IF(AND(E79&gt;0,F79&gt;0,H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79=1,TRUE()),R79&lt;='01_설정'!B5,S79&lt;='01_설정'!B6,T79&lt;='01_설정'!B7,U79&lt;='01_설정'!B8),"Y",""))</f>
        <v/>
      </c>
      <c r="W79" s="172">
        <f>IF(V79&lt;&gt;"Y","",MAX(0,(1-R79/'01_설정'!B5))*'01_설정'!B14+MAX(0,(1-S79/'01_설정'!B6))*'01_설정'!B15+MAX(0,(1-T79/'01_설정'!B7))*'01_설정'!B16+MAX(0,(1-U79/'01_설정'!B8))*'01_설정'!B17+O79*'01_설정'!B11+Q79*'01_설정'!B12+P79*'01_설정'!B13+IF(Z79="",0,Z79))</f>
        <v/>
      </c>
      <c r="X79" s="152">
        <f>IF(W79="","",1+COUNTIFS($W$4:$W$3003,"&gt;"&amp;W79)+COUNTIFS($W$4:W79,W79)-1)</f>
        <v/>
      </c>
      <c r="Y79" s="175">
        <f>IF(OR(I79="",'02_대상물건입력'!B19="",'02_대상물건입력'!B19&lt;=0),"",ABS(I79-'02_대상물건입력'!B19)/'02_대상물건입력'!B19)</f>
        <v/>
      </c>
      <c r="Z79" s="172">
        <f>IF(OR(Y79="",'01_설정'!B31="",'01_설정'!B31&lt;=0,'01_설정'!B32="",'01_설정'!B32&lt;=0),"",MAX(0,(1-Y79/'01_설정'!B32))*'01_설정'!B31)</f>
        <v/>
      </c>
    </row>
    <row r="80" ht="17.25" customHeight="1">
      <c r="A80" s="152">
        <f>IF(INDEX('04A_국토부원자료'!$A:$A,ROW()+1)="","",ROW()-3)</f>
        <v/>
      </c>
      <c r="B80" s="48">
        <f>IFERROR(INDEX('04A_국토부원자료'!$A:$T,ROW()+1,MATCH("시군구",'04A_국토부원자료'!$A$4:$T$4,0)),"")</f>
        <v/>
      </c>
      <c r="C80" s="48">
        <f>IF(B80="","",IFERROR(INDEX('04A_국토부원자료'!$A:$T,ROW()+1,MATCH("번지",'04A_국토부원자료'!$A$4:$T$4,0)),""))</f>
        <v/>
      </c>
      <c r="D80" s="48">
        <f>IF(B80="","",IF(Q80=1,'02_대상물건입력'!$B$8,IFERROR(INDEX('04A_국토부원자료'!$A:$T,ROW()+1,MATCH("단지명",'04A_국토부원자료'!$A$4:$T$4,0)),"")))</f>
        <v/>
      </c>
      <c r="E80" s="172">
        <f>IFERROR(VALUE(SUBSTITUTE(INDEX('04A_국토부원자료'!$A:$T,ROW()+1,MATCH("전용면적(㎡)",'04A_국토부원자료'!$A$4:$T$4,0)),",","")),"")</f>
        <v/>
      </c>
      <c r="F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0" s="51">
        <f>IFERROR(VALUE(SUBSTITUTE(INDEX('04A_국토부원자료'!$A:$T,ROW()+1,MATCH("거래금액(만원)",'04A_국토부원자료'!$A$4:$T$4,0)),",","")),"")</f>
        <v/>
      </c>
      <c r="H80" s="174">
        <f>IF(G80="","",G80*10000)</f>
        <v/>
      </c>
      <c r="I80" s="174">
        <f>IFERROR(IF(AND(H80&gt;0,E80&gt;0),H80/E80,""),"")</f>
        <v/>
      </c>
      <c r="J80" s="152">
        <f>IFERROR(VALUE(SUBSTITUTE(INDEX('04A_국토부원자료'!$A:$T,ROW()+1,MATCH("층",'04A_국토부원자료'!$A$4:$T$4,0)),",","")),"")</f>
        <v/>
      </c>
      <c r="K80" s="152">
        <f>IFERROR(VALUE(SUBSTITUTE(INDEX('04A_국토부원자료'!$A:$T,ROW()+1,MATCH("건축년도",'04A_국토부원자료'!$A$4:$T$4,0)),",","")),"")</f>
        <v/>
      </c>
      <c r="L80" s="176">
        <f>IFERROR(INDEX('04A_국토부원자료'!$A:$T,ROW()+1,MATCH("도로명",'04A_국토부원자료'!$A$4:$T$4,0)),"")</f>
        <v/>
      </c>
      <c r="M80" s="48">
        <f>IFERROR(INDEX('04A_국토부원자료'!$A:$T,ROW()+1,MATCH("거래유형",'04A_국토부원자료'!$A$4:$T$4,0)),"")</f>
        <v/>
      </c>
      <c r="N80" s="152">
        <f>IF(B80="","",IF('02_대상물건입력'!B5="",1,IF(ISNUMBER(SEARCH('02_대상물건입력'!B5,B80)),1,0)))</f>
        <v/>
      </c>
      <c r="O80" s="152">
        <f>IF(B80="","",IF('02_대상물건입력'!B6="",1,IF(ISNUMBER(SEARCH('02_대상물건입력'!B6,B80)),1,0)))</f>
        <v/>
      </c>
      <c r="P80" s="152">
        <f>IF(L80="","",IF('02_대상물건입력'!B15="",0,IF(ISNUMBER(SEARCH('02_대상물건입력'!B15,L80)),1,0)))</f>
        <v/>
      </c>
      <c r="Q80" s="152">
        <f>IF(OR(C80="",L80=""),0,IF(AND(TRIM(C80)=TRIM(RIGHT(SUBSTITUTE(TRIM('02_대상물건입력'!$B$7)," ",REPT(" ",99)),99)),IF('02_대상물건입력'!B15="",TRUE(),ISNUMBER(SEARCH('02_대상물건입력'!B15,L80)))),1,0))</f>
        <v/>
      </c>
      <c r="R80" s="175">
        <f>IFERROR(ABS(E80-'02_대상물건입력'!B11)/'02_대상물건입력'!B11,"")</f>
        <v/>
      </c>
      <c r="S80" s="152">
        <f>IFERROR(ABS(J80-'02_대상물건입력'!B10),"")</f>
        <v/>
      </c>
      <c r="T80" s="152">
        <f>IFERROR(ABS('01_설정'!B4-F80),"")</f>
        <v/>
      </c>
      <c r="U80" s="152">
        <f>IFERROR(ABS(K80-YEAR('02_대상물건입력'!B14)),"")</f>
        <v/>
      </c>
      <c r="V80" s="152">
        <f>IF(B80="","",IF(AND(E80&gt;0,F80&gt;0,H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80=1,TRUE()),R80&lt;='01_설정'!B5,S80&lt;='01_설정'!B6,T80&lt;='01_설정'!B7,U80&lt;='01_설정'!B8),"Y",""))</f>
        <v/>
      </c>
      <c r="W80" s="172">
        <f>IF(V80&lt;&gt;"Y","",MAX(0,(1-R80/'01_설정'!B5))*'01_설정'!B14+MAX(0,(1-S80/'01_설정'!B6))*'01_설정'!B15+MAX(0,(1-T80/'01_설정'!B7))*'01_설정'!B16+MAX(0,(1-U80/'01_설정'!B8))*'01_설정'!B17+O80*'01_설정'!B11+Q80*'01_설정'!B12+P80*'01_설정'!B13+IF(Z80="",0,Z80))</f>
        <v/>
      </c>
      <c r="X80" s="152">
        <f>IF(W80="","",1+COUNTIFS($W$4:$W$3003,"&gt;"&amp;W80)+COUNTIFS($W$4:W80,W80)-1)</f>
        <v/>
      </c>
      <c r="Y80" s="175">
        <f>IF(OR(I80="",'02_대상물건입력'!B19="",'02_대상물건입력'!B19&lt;=0),"",ABS(I80-'02_대상물건입력'!B19)/'02_대상물건입력'!B19)</f>
        <v/>
      </c>
      <c r="Z80" s="172">
        <f>IF(OR(Y80="",'01_설정'!B31="",'01_설정'!B31&lt;=0,'01_설정'!B32="",'01_설정'!B32&lt;=0),"",MAX(0,(1-Y80/'01_설정'!B32))*'01_설정'!B31)</f>
        <v/>
      </c>
    </row>
    <row r="81" ht="17.25" customHeight="1">
      <c r="A81" s="152">
        <f>IF(INDEX('04A_국토부원자료'!$A:$A,ROW()+1)="","",ROW()-3)</f>
        <v/>
      </c>
      <c r="B81" s="48">
        <f>IFERROR(INDEX('04A_국토부원자료'!$A:$T,ROW()+1,MATCH("시군구",'04A_국토부원자료'!$A$4:$T$4,0)),"")</f>
        <v/>
      </c>
      <c r="C81" s="48">
        <f>IF(B81="","",IFERROR(INDEX('04A_국토부원자료'!$A:$T,ROW()+1,MATCH("번지",'04A_국토부원자료'!$A$4:$T$4,0)),""))</f>
        <v/>
      </c>
      <c r="D81" s="48">
        <f>IF(B81="","",IF(Q81=1,'02_대상물건입력'!$B$8,IFERROR(INDEX('04A_국토부원자료'!$A:$T,ROW()+1,MATCH("단지명",'04A_국토부원자료'!$A$4:$T$4,0)),"")))</f>
        <v/>
      </c>
      <c r="E81" s="172">
        <f>IFERROR(VALUE(SUBSTITUTE(INDEX('04A_국토부원자료'!$A:$T,ROW()+1,MATCH("전용면적(㎡)",'04A_국토부원자료'!$A$4:$T$4,0)),",","")),"")</f>
        <v/>
      </c>
      <c r="F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1" s="51">
        <f>IFERROR(VALUE(SUBSTITUTE(INDEX('04A_국토부원자료'!$A:$T,ROW()+1,MATCH("거래금액(만원)",'04A_국토부원자료'!$A$4:$T$4,0)),",","")),"")</f>
        <v/>
      </c>
      <c r="H81" s="174">
        <f>IF(G81="","",G81*10000)</f>
        <v/>
      </c>
      <c r="I81" s="174">
        <f>IFERROR(IF(AND(H81&gt;0,E81&gt;0),H81/E81,""),"")</f>
        <v/>
      </c>
      <c r="J81" s="152">
        <f>IFERROR(VALUE(SUBSTITUTE(INDEX('04A_국토부원자료'!$A:$T,ROW()+1,MATCH("층",'04A_국토부원자료'!$A$4:$T$4,0)),",","")),"")</f>
        <v/>
      </c>
      <c r="K81" s="152">
        <f>IFERROR(VALUE(SUBSTITUTE(INDEX('04A_국토부원자료'!$A:$T,ROW()+1,MATCH("건축년도",'04A_국토부원자료'!$A$4:$T$4,0)),",","")),"")</f>
        <v/>
      </c>
      <c r="L81" s="176">
        <f>IFERROR(INDEX('04A_국토부원자료'!$A:$T,ROW()+1,MATCH("도로명",'04A_국토부원자료'!$A$4:$T$4,0)),"")</f>
        <v/>
      </c>
      <c r="M81" s="48">
        <f>IFERROR(INDEX('04A_국토부원자료'!$A:$T,ROW()+1,MATCH("거래유형",'04A_국토부원자료'!$A$4:$T$4,0)),"")</f>
        <v/>
      </c>
      <c r="N81" s="152">
        <f>IF(B81="","",IF('02_대상물건입력'!B5="",1,IF(ISNUMBER(SEARCH('02_대상물건입력'!B5,B81)),1,0)))</f>
        <v/>
      </c>
      <c r="O81" s="152">
        <f>IF(B81="","",IF('02_대상물건입력'!B6="",1,IF(ISNUMBER(SEARCH('02_대상물건입력'!B6,B81)),1,0)))</f>
        <v/>
      </c>
      <c r="P81" s="152">
        <f>IF(L81="","",IF('02_대상물건입력'!B15="",0,IF(ISNUMBER(SEARCH('02_대상물건입력'!B15,L81)),1,0)))</f>
        <v/>
      </c>
      <c r="Q81" s="152">
        <f>IF(OR(C81="",L81=""),0,IF(AND(TRIM(C81)=TRIM(RIGHT(SUBSTITUTE(TRIM('02_대상물건입력'!$B$7)," ",REPT(" ",99)),99)),IF('02_대상물건입력'!B15="",TRUE(),ISNUMBER(SEARCH('02_대상물건입력'!B15,L81)))),1,0))</f>
        <v/>
      </c>
      <c r="R81" s="175">
        <f>IFERROR(ABS(E81-'02_대상물건입력'!B11)/'02_대상물건입력'!B11,"")</f>
        <v/>
      </c>
      <c r="S81" s="152">
        <f>IFERROR(ABS(J81-'02_대상물건입력'!B10),"")</f>
        <v/>
      </c>
      <c r="T81" s="152">
        <f>IFERROR(ABS('01_설정'!B4-F81),"")</f>
        <v/>
      </c>
      <c r="U81" s="152">
        <f>IFERROR(ABS(K81-YEAR('02_대상물건입력'!B14)),"")</f>
        <v/>
      </c>
      <c r="V81" s="152">
        <f>IF(B81="","",IF(AND(E81&gt;0,F81&gt;0,H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81=1,TRUE()),R81&lt;='01_설정'!B5,S81&lt;='01_설정'!B6,T81&lt;='01_설정'!B7,U81&lt;='01_설정'!B8),"Y",""))</f>
        <v/>
      </c>
      <c r="W81" s="172">
        <f>IF(V81&lt;&gt;"Y","",MAX(0,(1-R81/'01_설정'!B5))*'01_설정'!B14+MAX(0,(1-S81/'01_설정'!B6))*'01_설정'!B15+MAX(0,(1-T81/'01_설정'!B7))*'01_설정'!B16+MAX(0,(1-U81/'01_설정'!B8))*'01_설정'!B17+O81*'01_설정'!B11+Q81*'01_설정'!B12+P81*'01_설정'!B13+IF(Z81="",0,Z81))</f>
        <v/>
      </c>
      <c r="X81" s="152">
        <f>IF(W81="","",1+COUNTIFS($W$4:$W$3003,"&gt;"&amp;W81)+COUNTIFS($W$4:W81,W81)-1)</f>
        <v/>
      </c>
      <c r="Y81" s="175">
        <f>IF(OR(I81="",'02_대상물건입력'!B19="",'02_대상물건입력'!B19&lt;=0),"",ABS(I81-'02_대상물건입력'!B19)/'02_대상물건입력'!B19)</f>
        <v/>
      </c>
      <c r="Z81" s="172">
        <f>IF(OR(Y81="",'01_설정'!B31="",'01_설정'!B31&lt;=0,'01_설정'!B32="",'01_설정'!B32&lt;=0),"",MAX(0,(1-Y81/'01_설정'!B32))*'01_설정'!B31)</f>
        <v/>
      </c>
    </row>
    <row r="82" ht="17.25" customHeight="1">
      <c r="A82" s="152">
        <f>IF(INDEX('04A_국토부원자료'!$A:$A,ROW()+1)="","",ROW()-3)</f>
        <v/>
      </c>
      <c r="B82" s="48">
        <f>IFERROR(INDEX('04A_국토부원자료'!$A:$T,ROW()+1,MATCH("시군구",'04A_국토부원자료'!$A$4:$T$4,0)),"")</f>
        <v/>
      </c>
      <c r="C82" s="48">
        <f>IF(B82="","",IFERROR(INDEX('04A_국토부원자료'!$A:$T,ROW()+1,MATCH("번지",'04A_국토부원자료'!$A$4:$T$4,0)),""))</f>
        <v/>
      </c>
      <c r="D82" s="48">
        <f>IF(B82="","",IF(Q82=1,'02_대상물건입력'!$B$8,IFERROR(INDEX('04A_국토부원자료'!$A:$T,ROW()+1,MATCH("단지명",'04A_국토부원자료'!$A$4:$T$4,0)),"")))</f>
        <v/>
      </c>
      <c r="E82" s="172">
        <f>IFERROR(VALUE(SUBSTITUTE(INDEX('04A_국토부원자료'!$A:$T,ROW()+1,MATCH("전용면적(㎡)",'04A_국토부원자료'!$A$4:$T$4,0)),",","")),"")</f>
        <v/>
      </c>
      <c r="F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2" s="51">
        <f>IFERROR(VALUE(SUBSTITUTE(INDEX('04A_국토부원자료'!$A:$T,ROW()+1,MATCH("거래금액(만원)",'04A_국토부원자료'!$A$4:$T$4,0)),",","")),"")</f>
        <v/>
      </c>
      <c r="H82" s="174">
        <f>IF(G82="","",G82*10000)</f>
        <v/>
      </c>
      <c r="I82" s="174">
        <f>IFERROR(IF(AND(H82&gt;0,E82&gt;0),H82/E82,""),"")</f>
        <v/>
      </c>
      <c r="J82" s="152">
        <f>IFERROR(VALUE(SUBSTITUTE(INDEX('04A_국토부원자료'!$A:$T,ROW()+1,MATCH("층",'04A_국토부원자료'!$A$4:$T$4,0)),",","")),"")</f>
        <v/>
      </c>
      <c r="K82" s="152">
        <f>IFERROR(VALUE(SUBSTITUTE(INDEX('04A_국토부원자료'!$A:$T,ROW()+1,MATCH("건축년도",'04A_국토부원자료'!$A$4:$T$4,0)),",","")),"")</f>
        <v/>
      </c>
      <c r="L82" s="176">
        <f>IFERROR(INDEX('04A_국토부원자료'!$A:$T,ROW()+1,MATCH("도로명",'04A_국토부원자료'!$A$4:$T$4,0)),"")</f>
        <v/>
      </c>
      <c r="M82" s="48">
        <f>IFERROR(INDEX('04A_국토부원자료'!$A:$T,ROW()+1,MATCH("거래유형",'04A_국토부원자료'!$A$4:$T$4,0)),"")</f>
        <v/>
      </c>
      <c r="N82" s="152">
        <f>IF(B82="","",IF('02_대상물건입력'!B5="",1,IF(ISNUMBER(SEARCH('02_대상물건입력'!B5,B82)),1,0)))</f>
        <v/>
      </c>
      <c r="O82" s="152">
        <f>IF(B82="","",IF('02_대상물건입력'!B6="",1,IF(ISNUMBER(SEARCH('02_대상물건입력'!B6,B82)),1,0)))</f>
        <v/>
      </c>
      <c r="P82" s="152">
        <f>IF(L82="","",IF('02_대상물건입력'!B15="",0,IF(ISNUMBER(SEARCH('02_대상물건입력'!B15,L82)),1,0)))</f>
        <v/>
      </c>
      <c r="Q82" s="152">
        <f>IF(OR(C82="",L82=""),0,IF(AND(TRIM(C82)=TRIM(RIGHT(SUBSTITUTE(TRIM('02_대상물건입력'!$B$7)," ",REPT(" ",99)),99)),IF('02_대상물건입력'!B15="",TRUE(),ISNUMBER(SEARCH('02_대상물건입력'!B15,L82)))),1,0))</f>
        <v/>
      </c>
      <c r="R82" s="175">
        <f>IFERROR(ABS(E82-'02_대상물건입력'!B11)/'02_대상물건입력'!B11,"")</f>
        <v/>
      </c>
      <c r="S82" s="152">
        <f>IFERROR(ABS(J82-'02_대상물건입력'!B10),"")</f>
        <v/>
      </c>
      <c r="T82" s="152">
        <f>IFERROR(ABS('01_설정'!B4-F82),"")</f>
        <v/>
      </c>
      <c r="U82" s="152">
        <f>IFERROR(ABS(K82-YEAR('02_대상물건입력'!B14)),"")</f>
        <v/>
      </c>
      <c r="V82" s="152">
        <f>IF(B82="","",IF(AND(E82&gt;0,F82&gt;0,H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82=1,TRUE()),R82&lt;='01_설정'!B5,S82&lt;='01_설정'!B6,T82&lt;='01_설정'!B7,U82&lt;='01_설정'!B8),"Y",""))</f>
        <v/>
      </c>
      <c r="W82" s="172">
        <f>IF(V82&lt;&gt;"Y","",MAX(0,(1-R82/'01_설정'!B5))*'01_설정'!B14+MAX(0,(1-S82/'01_설정'!B6))*'01_설정'!B15+MAX(0,(1-T82/'01_설정'!B7))*'01_설정'!B16+MAX(0,(1-U82/'01_설정'!B8))*'01_설정'!B17+O82*'01_설정'!B11+Q82*'01_설정'!B12+P82*'01_설정'!B13+IF(Z82="",0,Z82))</f>
        <v/>
      </c>
      <c r="X82" s="152">
        <f>IF(W82="","",1+COUNTIFS($W$4:$W$3003,"&gt;"&amp;W82)+COUNTIFS($W$4:W82,W82)-1)</f>
        <v/>
      </c>
      <c r="Y82" s="175">
        <f>IF(OR(I82="",'02_대상물건입력'!B19="",'02_대상물건입력'!B19&lt;=0),"",ABS(I82-'02_대상물건입력'!B19)/'02_대상물건입력'!B19)</f>
        <v/>
      </c>
      <c r="Z82" s="172">
        <f>IF(OR(Y82="",'01_설정'!B31="",'01_설정'!B31&lt;=0,'01_설정'!B32="",'01_설정'!B32&lt;=0),"",MAX(0,(1-Y82/'01_설정'!B32))*'01_설정'!B31)</f>
        <v/>
      </c>
    </row>
    <row r="83" ht="17.25" customHeight="1">
      <c r="A83" s="152">
        <f>IF(INDEX('04A_국토부원자료'!$A:$A,ROW()+1)="","",ROW()-3)</f>
        <v/>
      </c>
      <c r="B83" s="48">
        <f>IFERROR(INDEX('04A_국토부원자료'!$A:$T,ROW()+1,MATCH("시군구",'04A_국토부원자료'!$A$4:$T$4,0)),"")</f>
        <v/>
      </c>
      <c r="C83" s="48">
        <f>IF(B83="","",IFERROR(INDEX('04A_국토부원자료'!$A:$T,ROW()+1,MATCH("번지",'04A_국토부원자료'!$A$4:$T$4,0)),""))</f>
        <v/>
      </c>
      <c r="D83" s="48">
        <f>IF(B83="","",IF(Q83=1,'02_대상물건입력'!$B$8,IFERROR(INDEX('04A_국토부원자료'!$A:$T,ROW()+1,MATCH("단지명",'04A_국토부원자료'!$A$4:$T$4,0)),"")))</f>
        <v/>
      </c>
      <c r="E83" s="172">
        <f>IFERROR(VALUE(SUBSTITUTE(INDEX('04A_국토부원자료'!$A:$T,ROW()+1,MATCH("전용면적(㎡)",'04A_국토부원자료'!$A$4:$T$4,0)),",","")),"")</f>
        <v/>
      </c>
      <c r="F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3" s="51">
        <f>IFERROR(VALUE(SUBSTITUTE(INDEX('04A_국토부원자료'!$A:$T,ROW()+1,MATCH("거래금액(만원)",'04A_국토부원자료'!$A$4:$T$4,0)),",","")),"")</f>
        <v/>
      </c>
      <c r="H83" s="174">
        <f>IF(G83="","",G83*10000)</f>
        <v/>
      </c>
      <c r="I83" s="174">
        <f>IFERROR(IF(AND(H83&gt;0,E83&gt;0),H83/E83,""),"")</f>
        <v/>
      </c>
      <c r="J83" s="152">
        <f>IFERROR(VALUE(SUBSTITUTE(INDEX('04A_국토부원자료'!$A:$T,ROW()+1,MATCH("층",'04A_국토부원자료'!$A$4:$T$4,0)),",","")),"")</f>
        <v/>
      </c>
      <c r="K83" s="152">
        <f>IFERROR(VALUE(SUBSTITUTE(INDEX('04A_국토부원자료'!$A:$T,ROW()+1,MATCH("건축년도",'04A_국토부원자료'!$A$4:$T$4,0)),",","")),"")</f>
        <v/>
      </c>
      <c r="L83" s="176">
        <f>IFERROR(INDEX('04A_국토부원자료'!$A:$T,ROW()+1,MATCH("도로명",'04A_국토부원자료'!$A$4:$T$4,0)),"")</f>
        <v/>
      </c>
      <c r="M83" s="48">
        <f>IFERROR(INDEX('04A_국토부원자료'!$A:$T,ROW()+1,MATCH("거래유형",'04A_국토부원자료'!$A$4:$T$4,0)),"")</f>
        <v/>
      </c>
      <c r="N83" s="152">
        <f>IF(B83="","",IF('02_대상물건입력'!B5="",1,IF(ISNUMBER(SEARCH('02_대상물건입력'!B5,B83)),1,0)))</f>
        <v/>
      </c>
      <c r="O83" s="152">
        <f>IF(B83="","",IF('02_대상물건입력'!B6="",1,IF(ISNUMBER(SEARCH('02_대상물건입력'!B6,B83)),1,0)))</f>
        <v/>
      </c>
      <c r="P83" s="152">
        <f>IF(L83="","",IF('02_대상물건입력'!B15="",0,IF(ISNUMBER(SEARCH('02_대상물건입력'!B15,L83)),1,0)))</f>
        <v/>
      </c>
      <c r="Q83" s="152">
        <f>IF(OR(C83="",L83=""),0,IF(AND(TRIM(C83)=TRIM(RIGHT(SUBSTITUTE(TRIM('02_대상물건입력'!$B$7)," ",REPT(" ",99)),99)),IF('02_대상물건입력'!B15="",TRUE(),ISNUMBER(SEARCH('02_대상물건입력'!B15,L83)))),1,0))</f>
        <v/>
      </c>
      <c r="R83" s="175">
        <f>IFERROR(ABS(E83-'02_대상물건입력'!B11)/'02_대상물건입력'!B11,"")</f>
        <v/>
      </c>
      <c r="S83" s="152">
        <f>IFERROR(ABS(J83-'02_대상물건입력'!B10),"")</f>
        <v/>
      </c>
      <c r="T83" s="152">
        <f>IFERROR(ABS('01_설정'!B4-F83),"")</f>
        <v/>
      </c>
      <c r="U83" s="152">
        <f>IFERROR(ABS(K83-YEAR('02_대상물건입력'!B14)),"")</f>
        <v/>
      </c>
      <c r="V83" s="152">
        <f>IF(B83="","",IF(AND(E83&gt;0,F83&gt;0,H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83=1,TRUE()),R83&lt;='01_설정'!B5,S83&lt;='01_설정'!B6,T83&lt;='01_설정'!B7,U83&lt;='01_설정'!B8),"Y",""))</f>
        <v/>
      </c>
      <c r="W83" s="172">
        <f>IF(V83&lt;&gt;"Y","",MAX(0,(1-R83/'01_설정'!B5))*'01_설정'!B14+MAX(0,(1-S83/'01_설정'!B6))*'01_설정'!B15+MAX(0,(1-T83/'01_설정'!B7))*'01_설정'!B16+MAX(0,(1-U83/'01_설정'!B8))*'01_설정'!B17+O83*'01_설정'!B11+Q83*'01_설정'!B12+P83*'01_설정'!B13+IF(Z83="",0,Z83))</f>
        <v/>
      </c>
      <c r="X83" s="152">
        <f>IF(W83="","",1+COUNTIFS($W$4:$W$3003,"&gt;"&amp;W83)+COUNTIFS($W$4:W83,W83)-1)</f>
        <v/>
      </c>
      <c r="Y83" s="175">
        <f>IF(OR(I83="",'02_대상물건입력'!B19="",'02_대상물건입력'!B19&lt;=0),"",ABS(I83-'02_대상물건입력'!B19)/'02_대상물건입력'!B19)</f>
        <v/>
      </c>
      <c r="Z83" s="172">
        <f>IF(OR(Y83="",'01_설정'!B31="",'01_설정'!B31&lt;=0,'01_설정'!B32="",'01_설정'!B32&lt;=0),"",MAX(0,(1-Y83/'01_설정'!B32))*'01_설정'!B31)</f>
        <v/>
      </c>
    </row>
    <row r="84" ht="17.25" customHeight="1">
      <c r="A84" s="152">
        <f>IF(INDEX('04A_국토부원자료'!$A:$A,ROW()+1)="","",ROW()-3)</f>
        <v/>
      </c>
      <c r="B84" s="48">
        <f>IFERROR(INDEX('04A_국토부원자료'!$A:$T,ROW()+1,MATCH("시군구",'04A_국토부원자료'!$A$4:$T$4,0)),"")</f>
        <v/>
      </c>
      <c r="C84" s="48">
        <f>IF(B84="","",IFERROR(INDEX('04A_국토부원자료'!$A:$T,ROW()+1,MATCH("번지",'04A_국토부원자료'!$A$4:$T$4,0)),""))</f>
        <v/>
      </c>
      <c r="D84" s="48">
        <f>IF(B84="","",IF(Q84=1,'02_대상물건입력'!$B$8,IFERROR(INDEX('04A_국토부원자료'!$A:$T,ROW()+1,MATCH("단지명",'04A_국토부원자료'!$A$4:$T$4,0)),"")))</f>
        <v/>
      </c>
      <c r="E84" s="172">
        <f>IFERROR(VALUE(SUBSTITUTE(INDEX('04A_국토부원자료'!$A:$T,ROW()+1,MATCH("전용면적(㎡)",'04A_국토부원자료'!$A$4:$T$4,0)),",","")),"")</f>
        <v/>
      </c>
      <c r="F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4" s="51">
        <f>IFERROR(VALUE(SUBSTITUTE(INDEX('04A_국토부원자료'!$A:$T,ROW()+1,MATCH("거래금액(만원)",'04A_국토부원자료'!$A$4:$T$4,0)),",","")),"")</f>
        <v/>
      </c>
      <c r="H84" s="174">
        <f>IF(G84="","",G84*10000)</f>
        <v/>
      </c>
      <c r="I84" s="174">
        <f>IFERROR(IF(AND(H84&gt;0,E84&gt;0),H84/E84,""),"")</f>
        <v/>
      </c>
      <c r="J84" s="152">
        <f>IFERROR(VALUE(SUBSTITUTE(INDEX('04A_국토부원자료'!$A:$T,ROW()+1,MATCH("층",'04A_국토부원자료'!$A$4:$T$4,0)),",","")),"")</f>
        <v/>
      </c>
      <c r="K84" s="152">
        <f>IFERROR(VALUE(SUBSTITUTE(INDEX('04A_국토부원자료'!$A:$T,ROW()+1,MATCH("건축년도",'04A_국토부원자료'!$A$4:$T$4,0)),",","")),"")</f>
        <v/>
      </c>
      <c r="L84" s="176">
        <f>IFERROR(INDEX('04A_국토부원자료'!$A:$T,ROW()+1,MATCH("도로명",'04A_국토부원자료'!$A$4:$T$4,0)),"")</f>
        <v/>
      </c>
      <c r="M84" s="48">
        <f>IFERROR(INDEX('04A_국토부원자료'!$A:$T,ROW()+1,MATCH("거래유형",'04A_국토부원자료'!$A$4:$T$4,0)),"")</f>
        <v/>
      </c>
      <c r="N84" s="152">
        <f>IF(B84="","",IF('02_대상물건입력'!B5="",1,IF(ISNUMBER(SEARCH('02_대상물건입력'!B5,B84)),1,0)))</f>
        <v/>
      </c>
      <c r="O84" s="152">
        <f>IF(B84="","",IF('02_대상물건입력'!B6="",1,IF(ISNUMBER(SEARCH('02_대상물건입력'!B6,B84)),1,0)))</f>
        <v/>
      </c>
      <c r="P84" s="152">
        <f>IF(L84="","",IF('02_대상물건입력'!B15="",0,IF(ISNUMBER(SEARCH('02_대상물건입력'!B15,L84)),1,0)))</f>
        <v/>
      </c>
      <c r="Q84" s="152">
        <f>IF(OR(C84="",L84=""),0,IF(AND(TRIM(C84)=TRIM(RIGHT(SUBSTITUTE(TRIM('02_대상물건입력'!$B$7)," ",REPT(" ",99)),99)),IF('02_대상물건입력'!B15="",TRUE(),ISNUMBER(SEARCH('02_대상물건입력'!B15,L84)))),1,0))</f>
        <v/>
      </c>
      <c r="R84" s="175">
        <f>IFERROR(ABS(E84-'02_대상물건입력'!B11)/'02_대상물건입력'!B11,"")</f>
        <v/>
      </c>
      <c r="S84" s="152">
        <f>IFERROR(ABS(J84-'02_대상물건입력'!B10),"")</f>
        <v/>
      </c>
      <c r="T84" s="152">
        <f>IFERROR(ABS('01_설정'!B4-F84),"")</f>
        <v/>
      </c>
      <c r="U84" s="152">
        <f>IFERROR(ABS(K84-YEAR('02_대상물건입력'!B14)),"")</f>
        <v/>
      </c>
      <c r="V84" s="152">
        <f>IF(B84="","",IF(AND(E84&gt;0,F84&gt;0,H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84=1,TRUE()),R84&lt;='01_설정'!B5,S84&lt;='01_설정'!B6,T84&lt;='01_설정'!B7,U84&lt;='01_설정'!B8),"Y",""))</f>
        <v/>
      </c>
      <c r="W84" s="172">
        <f>IF(V84&lt;&gt;"Y","",MAX(0,(1-R84/'01_설정'!B5))*'01_설정'!B14+MAX(0,(1-S84/'01_설정'!B6))*'01_설정'!B15+MAX(0,(1-T84/'01_설정'!B7))*'01_설정'!B16+MAX(0,(1-U84/'01_설정'!B8))*'01_설정'!B17+O84*'01_설정'!B11+Q84*'01_설정'!B12+P84*'01_설정'!B13+IF(Z84="",0,Z84))</f>
        <v/>
      </c>
      <c r="X84" s="152">
        <f>IF(W84="","",1+COUNTIFS($W$4:$W$3003,"&gt;"&amp;W84)+COUNTIFS($W$4:W84,W84)-1)</f>
        <v/>
      </c>
      <c r="Y84" s="175">
        <f>IF(OR(I84="",'02_대상물건입력'!B19="",'02_대상물건입력'!B19&lt;=0),"",ABS(I84-'02_대상물건입력'!B19)/'02_대상물건입력'!B19)</f>
        <v/>
      </c>
      <c r="Z84" s="172">
        <f>IF(OR(Y84="",'01_설정'!B31="",'01_설정'!B31&lt;=0,'01_설정'!B32="",'01_설정'!B32&lt;=0),"",MAX(0,(1-Y84/'01_설정'!B32))*'01_설정'!B31)</f>
        <v/>
      </c>
    </row>
    <row r="85" ht="17.25" customHeight="1">
      <c r="A85" s="152">
        <f>IF(INDEX('04A_국토부원자료'!$A:$A,ROW()+1)="","",ROW()-3)</f>
        <v/>
      </c>
      <c r="B85" s="48">
        <f>IFERROR(INDEX('04A_국토부원자료'!$A:$T,ROW()+1,MATCH("시군구",'04A_국토부원자료'!$A$4:$T$4,0)),"")</f>
        <v/>
      </c>
      <c r="C85" s="48">
        <f>IF(B85="","",IFERROR(INDEX('04A_국토부원자료'!$A:$T,ROW()+1,MATCH("번지",'04A_국토부원자료'!$A$4:$T$4,0)),""))</f>
        <v/>
      </c>
      <c r="D85" s="48">
        <f>IF(B85="","",IF(Q85=1,'02_대상물건입력'!$B$8,IFERROR(INDEX('04A_국토부원자료'!$A:$T,ROW()+1,MATCH("단지명",'04A_국토부원자료'!$A$4:$T$4,0)),"")))</f>
        <v/>
      </c>
      <c r="E85" s="172">
        <f>IFERROR(VALUE(SUBSTITUTE(INDEX('04A_국토부원자료'!$A:$T,ROW()+1,MATCH("전용면적(㎡)",'04A_국토부원자료'!$A$4:$T$4,0)),",","")),"")</f>
        <v/>
      </c>
      <c r="F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5" s="51">
        <f>IFERROR(VALUE(SUBSTITUTE(INDEX('04A_국토부원자료'!$A:$T,ROW()+1,MATCH("거래금액(만원)",'04A_국토부원자료'!$A$4:$T$4,0)),",","")),"")</f>
        <v/>
      </c>
      <c r="H85" s="174">
        <f>IF(G85="","",G85*10000)</f>
        <v/>
      </c>
      <c r="I85" s="174">
        <f>IFERROR(IF(AND(H85&gt;0,E85&gt;0),H85/E85,""),"")</f>
        <v/>
      </c>
      <c r="J85" s="152">
        <f>IFERROR(VALUE(SUBSTITUTE(INDEX('04A_국토부원자료'!$A:$T,ROW()+1,MATCH("층",'04A_국토부원자료'!$A$4:$T$4,0)),",","")),"")</f>
        <v/>
      </c>
      <c r="K85" s="152">
        <f>IFERROR(VALUE(SUBSTITUTE(INDEX('04A_국토부원자료'!$A:$T,ROW()+1,MATCH("건축년도",'04A_국토부원자료'!$A$4:$T$4,0)),",","")),"")</f>
        <v/>
      </c>
      <c r="L85" s="176">
        <f>IFERROR(INDEX('04A_국토부원자료'!$A:$T,ROW()+1,MATCH("도로명",'04A_국토부원자료'!$A$4:$T$4,0)),"")</f>
        <v/>
      </c>
      <c r="M85" s="48">
        <f>IFERROR(INDEX('04A_국토부원자료'!$A:$T,ROW()+1,MATCH("거래유형",'04A_국토부원자료'!$A$4:$T$4,0)),"")</f>
        <v/>
      </c>
      <c r="N85" s="152">
        <f>IF(B85="","",IF('02_대상물건입력'!B5="",1,IF(ISNUMBER(SEARCH('02_대상물건입력'!B5,B85)),1,0)))</f>
        <v/>
      </c>
      <c r="O85" s="152">
        <f>IF(B85="","",IF('02_대상물건입력'!B6="",1,IF(ISNUMBER(SEARCH('02_대상물건입력'!B6,B85)),1,0)))</f>
        <v/>
      </c>
      <c r="P85" s="152">
        <f>IF(L85="","",IF('02_대상물건입력'!B15="",0,IF(ISNUMBER(SEARCH('02_대상물건입력'!B15,L85)),1,0)))</f>
        <v/>
      </c>
      <c r="Q85" s="152">
        <f>IF(OR(C85="",L85=""),0,IF(AND(TRIM(C85)=TRIM(RIGHT(SUBSTITUTE(TRIM('02_대상물건입력'!$B$7)," ",REPT(" ",99)),99)),IF('02_대상물건입력'!B15="",TRUE(),ISNUMBER(SEARCH('02_대상물건입력'!B15,L85)))),1,0))</f>
        <v/>
      </c>
      <c r="R85" s="175">
        <f>IFERROR(ABS(E85-'02_대상물건입력'!B11)/'02_대상물건입력'!B11,"")</f>
        <v/>
      </c>
      <c r="S85" s="152">
        <f>IFERROR(ABS(J85-'02_대상물건입력'!B10),"")</f>
        <v/>
      </c>
      <c r="T85" s="152">
        <f>IFERROR(ABS('01_설정'!B4-F85),"")</f>
        <v/>
      </c>
      <c r="U85" s="152">
        <f>IFERROR(ABS(K85-YEAR('02_대상물건입력'!B14)),"")</f>
        <v/>
      </c>
      <c r="V85" s="152">
        <f>IF(B85="","",IF(AND(E85&gt;0,F85&gt;0,H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85=1,TRUE()),R85&lt;='01_설정'!B5,S85&lt;='01_설정'!B6,T85&lt;='01_설정'!B7,U85&lt;='01_설정'!B8),"Y",""))</f>
        <v/>
      </c>
      <c r="W85" s="172">
        <f>IF(V85&lt;&gt;"Y","",MAX(0,(1-R85/'01_설정'!B5))*'01_설정'!B14+MAX(0,(1-S85/'01_설정'!B6))*'01_설정'!B15+MAX(0,(1-T85/'01_설정'!B7))*'01_설정'!B16+MAX(0,(1-U85/'01_설정'!B8))*'01_설정'!B17+O85*'01_설정'!B11+Q85*'01_설정'!B12+P85*'01_설정'!B13+IF(Z85="",0,Z85))</f>
        <v/>
      </c>
      <c r="X85" s="152">
        <f>IF(W85="","",1+COUNTIFS($W$4:$W$3003,"&gt;"&amp;W85)+COUNTIFS($W$4:W85,W85)-1)</f>
        <v/>
      </c>
      <c r="Y85" s="175">
        <f>IF(OR(I85="",'02_대상물건입력'!B19="",'02_대상물건입력'!B19&lt;=0),"",ABS(I85-'02_대상물건입력'!B19)/'02_대상물건입력'!B19)</f>
        <v/>
      </c>
      <c r="Z85" s="172">
        <f>IF(OR(Y85="",'01_설정'!B31="",'01_설정'!B31&lt;=0,'01_설정'!B32="",'01_설정'!B32&lt;=0),"",MAX(0,(1-Y85/'01_설정'!B32))*'01_설정'!B31)</f>
        <v/>
      </c>
    </row>
    <row r="86" ht="17.25" customHeight="1">
      <c r="A86" s="152">
        <f>IF(INDEX('04A_국토부원자료'!$A:$A,ROW()+1)="","",ROW()-3)</f>
        <v/>
      </c>
      <c r="B86" s="48">
        <f>IFERROR(INDEX('04A_국토부원자료'!$A:$T,ROW()+1,MATCH("시군구",'04A_국토부원자료'!$A$4:$T$4,0)),"")</f>
        <v/>
      </c>
      <c r="C86" s="48">
        <f>IF(B86="","",IFERROR(INDEX('04A_국토부원자료'!$A:$T,ROW()+1,MATCH("번지",'04A_국토부원자료'!$A$4:$T$4,0)),""))</f>
        <v/>
      </c>
      <c r="D86" s="48">
        <f>IF(B86="","",IF(Q86=1,'02_대상물건입력'!$B$8,IFERROR(INDEX('04A_국토부원자료'!$A:$T,ROW()+1,MATCH("단지명",'04A_국토부원자료'!$A$4:$T$4,0)),"")))</f>
        <v/>
      </c>
      <c r="E86" s="172">
        <f>IFERROR(VALUE(SUBSTITUTE(INDEX('04A_국토부원자료'!$A:$T,ROW()+1,MATCH("전용면적(㎡)",'04A_국토부원자료'!$A$4:$T$4,0)),",","")),"")</f>
        <v/>
      </c>
      <c r="F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6" s="51">
        <f>IFERROR(VALUE(SUBSTITUTE(INDEX('04A_국토부원자료'!$A:$T,ROW()+1,MATCH("거래금액(만원)",'04A_국토부원자료'!$A$4:$T$4,0)),",","")),"")</f>
        <v/>
      </c>
      <c r="H86" s="174">
        <f>IF(G86="","",G86*10000)</f>
        <v/>
      </c>
      <c r="I86" s="174">
        <f>IFERROR(IF(AND(H86&gt;0,E86&gt;0),H86/E86,""),"")</f>
        <v/>
      </c>
      <c r="J86" s="152">
        <f>IFERROR(VALUE(SUBSTITUTE(INDEX('04A_국토부원자료'!$A:$T,ROW()+1,MATCH("층",'04A_국토부원자료'!$A$4:$T$4,0)),",","")),"")</f>
        <v/>
      </c>
      <c r="K86" s="152">
        <f>IFERROR(VALUE(SUBSTITUTE(INDEX('04A_국토부원자료'!$A:$T,ROW()+1,MATCH("건축년도",'04A_국토부원자료'!$A$4:$T$4,0)),",","")),"")</f>
        <v/>
      </c>
      <c r="L86" s="176">
        <f>IFERROR(INDEX('04A_국토부원자료'!$A:$T,ROW()+1,MATCH("도로명",'04A_국토부원자료'!$A$4:$T$4,0)),"")</f>
        <v/>
      </c>
      <c r="M86" s="48">
        <f>IFERROR(INDEX('04A_국토부원자료'!$A:$T,ROW()+1,MATCH("거래유형",'04A_국토부원자료'!$A$4:$T$4,0)),"")</f>
        <v/>
      </c>
      <c r="N86" s="152">
        <f>IF(B86="","",IF('02_대상물건입력'!B5="",1,IF(ISNUMBER(SEARCH('02_대상물건입력'!B5,B86)),1,0)))</f>
        <v/>
      </c>
      <c r="O86" s="152">
        <f>IF(B86="","",IF('02_대상물건입력'!B6="",1,IF(ISNUMBER(SEARCH('02_대상물건입력'!B6,B86)),1,0)))</f>
        <v/>
      </c>
      <c r="P86" s="152">
        <f>IF(L86="","",IF('02_대상물건입력'!B15="",0,IF(ISNUMBER(SEARCH('02_대상물건입력'!B15,L86)),1,0)))</f>
        <v/>
      </c>
      <c r="Q86" s="152">
        <f>IF(OR(C86="",L86=""),0,IF(AND(TRIM(C86)=TRIM(RIGHT(SUBSTITUTE(TRIM('02_대상물건입력'!$B$7)," ",REPT(" ",99)),99)),IF('02_대상물건입력'!B15="",TRUE(),ISNUMBER(SEARCH('02_대상물건입력'!B15,L86)))),1,0))</f>
        <v/>
      </c>
      <c r="R86" s="175">
        <f>IFERROR(ABS(E86-'02_대상물건입력'!B11)/'02_대상물건입력'!B11,"")</f>
        <v/>
      </c>
      <c r="S86" s="152">
        <f>IFERROR(ABS(J86-'02_대상물건입력'!B10),"")</f>
        <v/>
      </c>
      <c r="T86" s="152">
        <f>IFERROR(ABS('01_설정'!B4-F86),"")</f>
        <v/>
      </c>
      <c r="U86" s="152">
        <f>IFERROR(ABS(K86-YEAR('02_대상물건입력'!B14)),"")</f>
        <v/>
      </c>
      <c r="V86" s="152">
        <f>IF(B86="","",IF(AND(E86&gt;0,F86&gt;0,H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86=1,TRUE()),R86&lt;='01_설정'!B5,S86&lt;='01_설정'!B6,T86&lt;='01_설정'!B7,U86&lt;='01_설정'!B8),"Y",""))</f>
        <v/>
      </c>
      <c r="W86" s="172">
        <f>IF(V86&lt;&gt;"Y","",MAX(0,(1-R86/'01_설정'!B5))*'01_설정'!B14+MAX(0,(1-S86/'01_설정'!B6))*'01_설정'!B15+MAX(0,(1-T86/'01_설정'!B7))*'01_설정'!B16+MAX(0,(1-U86/'01_설정'!B8))*'01_설정'!B17+O86*'01_설정'!B11+Q86*'01_설정'!B12+P86*'01_설정'!B13+IF(Z86="",0,Z86))</f>
        <v/>
      </c>
      <c r="X86" s="152">
        <f>IF(W86="","",1+COUNTIFS($W$4:$W$3003,"&gt;"&amp;W86)+COUNTIFS($W$4:W86,W86)-1)</f>
        <v/>
      </c>
      <c r="Y86" s="175">
        <f>IF(OR(I86="",'02_대상물건입력'!B19="",'02_대상물건입력'!B19&lt;=0),"",ABS(I86-'02_대상물건입력'!B19)/'02_대상물건입력'!B19)</f>
        <v/>
      </c>
      <c r="Z86" s="172">
        <f>IF(OR(Y86="",'01_설정'!B31="",'01_설정'!B31&lt;=0,'01_설정'!B32="",'01_설정'!B32&lt;=0),"",MAX(0,(1-Y86/'01_설정'!B32))*'01_설정'!B31)</f>
        <v/>
      </c>
    </row>
    <row r="87" ht="17.25" customHeight="1">
      <c r="A87" s="152">
        <f>IF(INDEX('04A_국토부원자료'!$A:$A,ROW()+1)="","",ROW()-3)</f>
        <v/>
      </c>
      <c r="B87" s="48">
        <f>IFERROR(INDEX('04A_국토부원자료'!$A:$T,ROW()+1,MATCH("시군구",'04A_국토부원자료'!$A$4:$T$4,0)),"")</f>
        <v/>
      </c>
      <c r="C87" s="48">
        <f>IF(B87="","",IFERROR(INDEX('04A_국토부원자료'!$A:$T,ROW()+1,MATCH("번지",'04A_국토부원자료'!$A$4:$T$4,0)),""))</f>
        <v/>
      </c>
      <c r="D87" s="48">
        <f>IF(B87="","",IF(Q87=1,'02_대상물건입력'!$B$8,IFERROR(INDEX('04A_국토부원자료'!$A:$T,ROW()+1,MATCH("단지명",'04A_국토부원자료'!$A$4:$T$4,0)),"")))</f>
        <v/>
      </c>
      <c r="E87" s="172">
        <f>IFERROR(VALUE(SUBSTITUTE(INDEX('04A_국토부원자료'!$A:$T,ROW()+1,MATCH("전용면적(㎡)",'04A_국토부원자료'!$A$4:$T$4,0)),",","")),"")</f>
        <v/>
      </c>
      <c r="F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7" s="51">
        <f>IFERROR(VALUE(SUBSTITUTE(INDEX('04A_국토부원자료'!$A:$T,ROW()+1,MATCH("거래금액(만원)",'04A_국토부원자료'!$A$4:$T$4,0)),",","")),"")</f>
        <v/>
      </c>
      <c r="H87" s="174">
        <f>IF(G87="","",G87*10000)</f>
        <v/>
      </c>
      <c r="I87" s="174">
        <f>IFERROR(IF(AND(H87&gt;0,E87&gt;0),H87/E87,""),"")</f>
        <v/>
      </c>
      <c r="J87" s="152">
        <f>IFERROR(VALUE(SUBSTITUTE(INDEX('04A_국토부원자료'!$A:$T,ROW()+1,MATCH("층",'04A_국토부원자료'!$A$4:$T$4,0)),",","")),"")</f>
        <v/>
      </c>
      <c r="K87" s="152">
        <f>IFERROR(VALUE(SUBSTITUTE(INDEX('04A_국토부원자료'!$A:$T,ROW()+1,MATCH("건축년도",'04A_국토부원자료'!$A$4:$T$4,0)),",","")),"")</f>
        <v/>
      </c>
      <c r="L87" s="176">
        <f>IFERROR(INDEX('04A_국토부원자료'!$A:$T,ROW()+1,MATCH("도로명",'04A_국토부원자료'!$A$4:$T$4,0)),"")</f>
        <v/>
      </c>
      <c r="M87" s="48">
        <f>IFERROR(INDEX('04A_국토부원자료'!$A:$T,ROW()+1,MATCH("거래유형",'04A_국토부원자료'!$A$4:$T$4,0)),"")</f>
        <v/>
      </c>
      <c r="N87" s="152">
        <f>IF(B87="","",IF('02_대상물건입력'!B5="",1,IF(ISNUMBER(SEARCH('02_대상물건입력'!B5,B87)),1,0)))</f>
        <v/>
      </c>
      <c r="O87" s="152">
        <f>IF(B87="","",IF('02_대상물건입력'!B6="",1,IF(ISNUMBER(SEARCH('02_대상물건입력'!B6,B87)),1,0)))</f>
        <v/>
      </c>
      <c r="P87" s="152">
        <f>IF(L87="","",IF('02_대상물건입력'!B15="",0,IF(ISNUMBER(SEARCH('02_대상물건입력'!B15,L87)),1,0)))</f>
        <v/>
      </c>
      <c r="Q87" s="152">
        <f>IF(OR(C87="",L87=""),0,IF(AND(TRIM(C87)=TRIM(RIGHT(SUBSTITUTE(TRIM('02_대상물건입력'!$B$7)," ",REPT(" ",99)),99)),IF('02_대상물건입력'!B15="",TRUE(),ISNUMBER(SEARCH('02_대상물건입력'!B15,L87)))),1,0))</f>
        <v/>
      </c>
      <c r="R87" s="175">
        <f>IFERROR(ABS(E87-'02_대상물건입력'!B11)/'02_대상물건입력'!B11,"")</f>
        <v/>
      </c>
      <c r="S87" s="152">
        <f>IFERROR(ABS(J87-'02_대상물건입력'!B10),"")</f>
        <v/>
      </c>
      <c r="T87" s="152">
        <f>IFERROR(ABS('01_설정'!B4-F87),"")</f>
        <v/>
      </c>
      <c r="U87" s="152">
        <f>IFERROR(ABS(K87-YEAR('02_대상물건입력'!B14)),"")</f>
        <v/>
      </c>
      <c r="V87" s="152">
        <f>IF(B87="","",IF(AND(E87&gt;0,F87&gt;0,H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87=1,TRUE()),R87&lt;='01_설정'!B5,S87&lt;='01_설정'!B6,T87&lt;='01_설정'!B7,U87&lt;='01_설정'!B8),"Y",""))</f>
        <v/>
      </c>
      <c r="W87" s="172">
        <f>IF(V87&lt;&gt;"Y","",MAX(0,(1-R87/'01_설정'!B5))*'01_설정'!B14+MAX(0,(1-S87/'01_설정'!B6))*'01_설정'!B15+MAX(0,(1-T87/'01_설정'!B7))*'01_설정'!B16+MAX(0,(1-U87/'01_설정'!B8))*'01_설정'!B17+O87*'01_설정'!B11+Q87*'01_설정'!B12+P87*'01_설정'!B13+IF(Z87="",0,Z87))</f>
        <v/>
      </c>
      <c r="X87" s="152">
        <f>IF(W87="","",1+COUNTIFS($W$4:$W$3003,"&gt;"&amp;W87)+COUNTIFS($W$4:W87,W87)-1)</f>
        <v/>
      </c>
      <c r="Y87" s="175">
        <f>IF(OR(I87="",'02_대상물건입력'!B19="",'02_대상물건입력'!B19&lt;=0),"",ABS(I87-'02_대상물건입력'!B19)/'02_대상물건입력'!B19)</f>
        <v/>
      </c>
      <c r="Z87" s="172">
        <f>IF(OR(Y87="",'01_설정'!B31="",'01_설정'!B31&lt;=0,'01_설정'!B32="",'01_설정'!B32&lt;=0),"",MAX(0,(1-Y87/'01_설정'!B32))*'01_설정'!B31)</f>
        <v/>
      </c>
    </row>
    <row r="88" ht="17.25" customHeight="1">
      <c r="A88" s="152">
        <f>IF(INDEX('04A_국토부원자료'!$A:$A,ROW()+1)="","",ROW()-3)</f>
        <v/>
      </c>
      <c r="B88" s="48">
        <f>IFERROR(INDEX('04A_국토부원자료'!$A:$T,ROW()+1,MATCH("시군구",'04A_국토부원자료'!$A$4:$T$4,0)),"")</f>
        <v/>
      </c>
      <c r="C88" s="48">
        <f>IF(B88="","",IFERROR(INDEX('04A_국토부원자료'!$A:$T,ROW()+1,MATCH("번지",'04A_국토부원자료'!$A$4:$T$4,0)),""))</f>
        <v/>
      </c>
      <c r="D88" s="48">
        <f>IF(B88="","",IF(Q88=1,'02_대상물건입력'!$B$8,IFERROR(INDEX('04A_국토부원자료'!$A:$T,ROW()+1,MATCH("단지명",'04A_국토부원자료'!$A$4:$T$4,0)),"")))</f>
        <v/>
      </c>
      <c r="E88" s="172">
        <f>IFERROR(VALUE(SUBSTITUTE(INDEX('04A_국토부원자료'!$A:$T,ROW()+1,MATCH("전용면적(㎡)",'04A_국토부원자료'!$A$4:$T$4,0)),",","")),"")</f>
        <v/>
      </c>
      <c r="F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8" s="51">
        <f>IFERROR(VALUE(SUBSTITUTE(INDEX('04A_국토부원자료'!$A:$T,ROW()+1,MATCH("거래금액(만원)",'04A_국토부원자료'!$A$4:$T$4,0)),",","")),"")</f>
        <v/>
      </c>
      <c r="H88" s="174">
        <f>IF(G88="","",G88*10000)</f>
        <v/>
      </c>
      <c r="I88" s="174">
        <f>IFERROR(IF(AND(H88&gt;0,E88&gt;0),H88/E88,""),"")</f>
        <v/>
      </c>
      <c r="J88" s="152">
        <f>IFERROR(VALUE(SUBSTITUTE(INDEX('04A_국토부원자료'!$A:$T,ROW()+1,MATCH("층",'04A_국토부원자료'!$A$4:$T$4,0)),",","")),"")</f>
        <v/>
      </c>
      <c r="K88" s="152">
        <f>IFERROR(VALUE(SUBSTITUTE(INDEX('04A_국토부원자료'!$A:$T,ROW()+1,MATCH("건축년도",'04A_국토부원자료'!$A$4:$T$4,0)),",","")),"")</f>
        <v/>
      </c>
      <c r="L88" s="176">
        <f>IFERROR(INDEX('04A_국토부원자료'!$A:$T,ROW()+1,MATCH("도로명",'04A_국토부원자료'!$A$4:$T$4,0)),"")</f>
        <v/>
      </c>
      <c r="M88" s="48">
        <f>IFERROR(INDEX('04A_국토부원자료'!$A:$T,ROW()+1,MATCH("거래유형",'04A_국토부원자료'!$A$4:$T$4,0)),"")</f>
        <v/>
      </c>
      <c r="N88" s="152">
        <f>IF(B88="","",IF('02_대상물건입력'!B5="",1,IF(ISNUMBER(SEARCH('02_대상물건입력'!B5,B88)),1,0)))</f>
        <v/>
      </c>
      <c r="O88" s="152">
        <f>IF(B88="","",IF('02_대상물건입력'!B6="",1,IF(ISNUMBER(SEARCH('02_대상물건입력'!B6,B88)),1,0)))</f>
        <v/>
      </c>
      <c r="P88" s="152">
        <f>IF(L88="","",IF('02_대상물건입력'!B15="",0,IF(ISNUMBER(SEARCH('02_대상물건입력'!B15,L88)),1,0)))</f>
        <v/>
      </c>
      <c r="Q88" s="152">
        <f>IF(OR(C88="",L88=""),0,IF(AND(TRIM(C88)=TRIM(RIGHT(SUBSTITUTE(TRIM('02_대상물건입력'!$B$7)," ",REPT(" ",99)),99)),IF('02_대상물건입력'!B15="",TRUE(),ISNUMBER(SEARCH('02_대상물건입력'!B15,L88)))),1,0))</f>
        <v/>
      </c>
      <c r="R88" s="175">
        <f>IFERROR(ABS(E88-'02_대상물건입력'!B11)/'02_대상물건입력'!B11,"")</f>
        <v/>
      </c>
      <c r="S88" s="152">
        <f>IFERROR(ABS(J88-'02_대상물건입력'!B10),"")</f>
        <v/>
      </c>
      <c r="T88" s="152">
        <f>IFERROR(ABS('01_설정'!B4-F88),"")</f>
        <v/>
      </c>
      <c r="U88" s="152">
        <f>IFERROR(ABS(K88-YEAR('02_대상물건입력'!B14)),"")</f>
        <v/>
      </c>
      <c r="V88" s="152">
        <f>IF(B88="","",IF(AND(E88&gt;0,F88&gt;0,H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88=1,TRUE()),R88&lt;='01_설정'!B5,S88&lt;='01_설정'!B6,T88&lt;='01_설정'!B7,U88&lt;='01_설정'!B8),"Y",""))</f>
        <v/>
      </c>
      <c r="W88" s="172">
        <f>IF(V88&lt;&gt;"Y","",MAX(0,(1-R88/'01_설정'!B5))*'01_설정'!B14+MAX(0,(1-S88/'01_설정'!B6))*'01_설정'!B15+MAX(0,(1-T88/'01_설정'!B7))*'01_설정'!B16+MAX(0,(1-U88/'01_설정'!B8))*'01_설정'!B17+O88*'01_설정'!B11+Q88*'01_설정'!B12+P88*'01_설정'!B13+IF(Z88="",0,Z88))</f>
        <v/>
      </c>
      <c r="X88" s="152">
        <f>IF(W88="","",1+COUNTIFS($W$4:$W$3003,"&gt;"&amp;W88)+COUNTIFS($W$4:W88,W88)-1)</f>
        <v/>
      </c>
      <c r="Y88" s="175">
        <f>IF(OR(I88="",'02_대상물건입력'!B19="",'02_대상물건입력'!B19&lt;=0),"",ABS(I88-'02_대상물건입력'!B19)/'02_대상물건입력'!B19)</f>
        <v/>
      </c>
      <c r="Z88" s="172">
        <f>IF(OR(Y88="",'01_설정'!B31="",'01_설정'!B31&lt;=0,'01_설정'!B32="",'01_설정'!B32&lt;=0),"",MAX(0,(1-Y88/'01_설정'!B32))*'01_설정'!B31)</f>
        <v/>
      </c>
    </row>
    <row r="89" ht="17.25" customHeight="1">
      <c r="A89" s="152">
        <f>IF(INDEX('04A_국토부원자료'!$A:$A,ROW()+1)="","",ROW()-3)</f>
        <v/>
      </c>
      <c r="B89" s="48">
        <f>IFERROR(INDEX('04A_국토부원자료'!$A:$T,ROW()+1,MATCH("시군구",'04A_국토부원자료'!$A$4:$T$4,0)),"")</f>
        <v/>
      </c>
      <c r="C89" s="48">
        <f>IF(B89="","",IFERROR(INDEX('04A_국토부원자료'!$A:$T,ROW()+1,MATCH("번지",'04A_국토부원자료'!$A$4:$T$4,0)),""))</f>
        <v/>
      </c>
      <c r="D89" s="48">
        <f>IF(B89="","",IF(Q89=1,'02_대상물건입력'!$B$8,IFERROR(INDEX('04A_국토부원자료'!$A:$T,ROW()+1,MATCH("단지명",'04A_국토부원자료'!$A$4:$T$4,0)),"")))</f>
        <v/>
      </c>
      <c r="E89" s="172">
        <f>IFERROR(VALUE(SUBSTITUTE(INDEX('04A_국토부원자료'!$A:$T,ROW()+1,MATCH("전용면적(㎡)",'04A_국토부원자료'!$A$4:$T$4,0)),",","")),"")</f>
        <v/>
      </c>
      <c r="F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9" s="51">
        <f>IFERROR(VALUE(SUBSTITUTE(INDEX('04A_국토부원자료'!$A:$T,ROW()+1,MATCH("거래금액(만원)",'04A_국토부원자료'!$A$4:$T$4,0)),",","")),"")</f>
        <v/>
      </c>
      <c r="H89" s="174">
        <f>IF(G89="","",G89*10000)</f>
        <v/>
      </c>
      <c r="I89" s="174">
        <f>IFERROR(IF(AND(H89&gt;0,E89&gt;0),H89/E89,""),"")</f>
        <v/>
      </c>
      <c r="J89" s="152">
        <f>IFERROR(VALUE(SUBSTITUTE(INDEX('04A_국토부원자료'!$A:$T,ROW()+1,MATCH("층",'04A_국토부원자료'!$A$4:$T$4,0)),",","")),"")</f>
        <v/>
      </c>
      <c r="K89" s="152">
        <f>IFERROR(VALUE(SUBSTITUTE(INDEX('04A_국토부원자료'!$A:$T,ROW()+1,MATCH("건축년도",'04A_국토부원자료'!$A$4:$T$4,0)),",","")),"")</f>
        <v/>
      </c>
      <c r="L89" s="176">
        <f>IFERROR(INDEX('04A_국토부원자료'!$A:$T,ROW()+1,MATCH("도로명",'04A_국토부원자료'!$A$4:$T$4,0)),"")</f>
        <v/>
      </c>
      <c r="M89" s="48">
        <f>IFERROR(INDEX('04A_국토부원자료'!$A:$T,ROW()+1,MATCH("거래유형",'04A_국토부원자료'!$A$4:$T$4,0)),"")</f>
        <v/>
      </c>
      <c r="N89" s="152">
        <f>IF(B89="","",IF('02_대상물건입력'!B5="",1,IF(ISNUMBER(SEARCH('02_대상물건입력'!B5,B89)),1,0)))</f>
        <v/>
      </c>
      <c r="O89" s="152">
        <f>IF(B89="","",IF('02_대상물건입력'!B6="",1,IF(ISNUMBER(SEARCH('02_대상물건입력'!B6,B89)),1,0)))</f>
        <v/>
      </c>
      <c r="P89" s="152">
        <f>IF(L89="","",IF('02_대상물건입력'!B15="",0,IF(ISNUMBER(SEARCH('02_대상물건입력'!B15,L89)),1,0)))</f>
        <v/>
      </c>
      <c r="Q89" s="152">
        <f>IF(OR(C89="",L89=""),0,IF(AND(TRIM(C89)=TRIM(RIGHT(SUBSTITUTE(TRIM('02_대상물건입력'!$B$7)," ",REPT(" ",99)),99)),IF('02_대상물건입력'!B15="",TRUE(),ISNUMBER(SEARCH('02_대상물건입력'!B15,L89)))),1,0))</f>
        <v/>
      </c>
      <c r="R89" s="175">
        <f>IFERROR(ABS(E89-'02_대상물건입력'!B11)/'02_대상물건입력'!B11,"")</f>
        <v/>
      </c>
      <c r="S89" s="152">
        <f>IFERROR(ABS(J89-'02_대상물건입력'!B10),"")</f>
        <v/>
      </c>
      <c r="T89" s="152">
        <f>IFERROR(ABS('01_설정'!B4-F89),"")</f>
        <v/>
      </c>
      <c r="U89" s="152">
        <f>IFERROR(ABS(K89-YEAR('02_대상물건입력'!B14)),"")</f>
        <v/>
      </c>
      <c r="V89" s="152">
        <f>IF(B89="","",IF(AND(E89&gt;0,F89&gt;0,H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89=1,TRUE()),R89&lt;='01_설정'!B5,S89&lt;='01_설정'!B6,T89&lt;='01_설정'!B7,U89&lt;='01_설정'!B8),"Y",""))</f>
        <v/>
      </c>
      <c r="W89" s="172">
        <f>IF(V89&lt;&gt;"Y","",MAX(0,(1-R89/'01_설정'!B5))*'01_설정'!B14+MAX(0,(1-S89/'01_설정'!B6))*'01_설정'!B15+MAX(0,(1-T89/'01_설정'!B7))*'01_설정'!B16+MAX(0,(1-U89/'01_설정'!B8))*'01_설정'!B17+O89*'01_설정'!B11+Q89*'01_설정'!B12+P89*'01_설정'!B13+IF(Z89="",0,Z89))</f>
        <v/>
      </c>
      <c r="X89" s="152">
        <f>IF(W89="","",1+COUNTIFS($W$4:$W$3003,"&gt;"&amp;W89)+COUNTIFS($W$4:W89,W89)-1)</f>
        <v/>
      </c>
      <c r="Y89" s="175">
        <f>IF(OR(I89="",'02_대상물건입력'!B19="",'02_대상물건입력'!B19&lt;=0),"",ABS(I89-'02_대상물건입력'!B19)/'02_대상물건입력'!B19)</f>
        <v/>
      </c>
      <c r="Z89" s="172">
        <f>IF(OR(Y89="",'01_설정'!B31="",'01_설정'!B31&lt;=0,'01_설정'!B32="",'01_설정'!B32&lt;=0),"",MAX(0,(1-Y89/'01_설정'!B32))*'01_설정'!B31)</f>
        <v/>
      </c>
    </row>
    <row r="90" ht="17.25" customHeight="1">
      <c r="A90" s="152">
        <f>IF(INDEX('04A_국토부원자료'!$A:$A,ROW()+1)="","",ROW()-3)</f>
        <v/>
      </c>
      <c r="B90" s="48">
        <f>IFERROR(INDEX('04A_국토부원자료'!$A:$T,ROW()+1,MATCH("시군구",'04A_국토부원자료'!$A$4:$T$4,0)),"")</f>
        <v/>
      </c>
      <c r="C90" s="48">
        <f>IF(B90="","",IFERROR(INDEX('04A_국토부원자료'!$A:$T,ROW()+1,MATCH("번지",'04A_국토부원자료'!$A$4:$T$4,0)),""))</f>
        <v/>
      </c>
      <c r="D90" s="48">
        <f>IF(B90="","",IF(Q90=1,'02_대상물건입력'!$B$8,IFERROR(INDEX('04A_국토부원자료'!$A:$T,ROW()+1,MATCH("단지명",'04A_국토부원자료'!$A$4:$T$4,0)),"")))</f>
        <v/>
      </c>
      <c r="E90" s="172">
        <f>IFERROR(VALUE(SUBSTITUTE(INDEX('04A_국토부원자료'!$A:$T,ROW()+1,MATCH("전용면적(㎡)",'04A_국토부원자료'!$A$4:$T$4,0)),",","")),"")</f>
        <v/>
      </c>
      <c r="F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0" s="51">
        <f>IFERROR(VALUE(SUBSTITUTE(INDEX('04A_국토부원자료'!$A:$T,ROW()+1,MATCH("거래금액(만원)",'04A_국토부원자료'!$A$4:$T$4,0)),",","")),"")</f>
        <v/>
      </c>
      <c r="H90" s="174">
        <f>IF(G90="","",G90*10000)</f>
        <v/>
      </c>
      <c r="I90" s="174">
        <f>IFERROR(IF(AND(H90&gt;0,E90&gt;0),H90/E90,""),"")</f>
        <v/>
      </c>
      <c r="J90" s="152">
        <f>IFERROR(VALUE(SUBSTITUTE(INDEX('04A_국토부원자료'!$A:$T,ROW()+1,MATCH("층",'04A_국토부원자료'!$A$4:$T$4,0)),",","")),"")</f>
        <v/>
      </c>
      <c r="K90" s="152">
        <f>IFERROR(VALUE(SUBSTITUTE(INDEX('04A_국토부원자료'!$A:$T,ROW()+1,MATCH("건축년도",'04A_국토부원자료'!$A$4:$T$4,0)),",","")),"")</f>
        <v/>
      </c>
      <c r="L90" s="176">
        <f>IFERROR(INDEX('04A_국토부원자료'!$A:$T,ROW()+1,MATCH("도로명",'04A_국토부원자료'!$A$4:$T$4,0)),"")</f>
        <v/>
      </c>
      <c r="M90" s="48">
        <f>IFERROR(INDEX('04A_국토부원자료'!$A:$T,ROW()+1,MATCH("거래유형",'04A_국토부원자료'!$A$4:$T$4,0)),"")</f>
        <v/>
      </c>
      <c r="N90" s="152">
        <f>IF(B90="","",IF('02_대상물건입력'!B5="",1,IF(ISNUMBER(SEARCH('02_대상물건입력'!B5,B90)),1,0)))</f>
        <v/>
      </c>
      <c r="O90" s="152">
        <f>IF(B90="","",IF('02_대상물건입력'!B6="",1,IF(ISNUMBER(SEARCH('02_대상물건입력'!B6,B90)),1,0)))</f>
        <v/>
      </c>
      <c r="P90" s="152">
        <f>IF(L90="","",IF('02_대상물건입력'!B15="",0,IF(ISNUMBER(SEARCH('02_대상물건입력'!B15,L90)),1,0)))</f>
        <v/>
      </c>
      <c r="Q90" s="152">
        <f>IF(OR(C90="",L90=""),0,IF(AND(TRIM(C90)=TRIM(RIGHT(SUBSTITUTE(TRIM('02_대상물건입력'!$B$7)," ",REPT(" ",99)),99)),IF('02_대상물건입력'!B15="",TRUE(),ISNUMBER(SEARCH('02_대상물건입력'!B15,L90)))),1,0))</f>
        <v/>
      </c>
      <c r="R90" s="175">
        <f>IFERROR(ABS(E90-'02_대상물건입력'!B11)/'02_대상물건입력'!B11,"")</f>
        <v/>
      </c>
      <c r="S90" s="152">
        <f>IFERROR(ABS(J90-'02_대상물건입력'!B10),"")</f>
        <v/>
      </c>
      <c r="T90" s="152">
        <f>IFERROR(ABS('01_설정'!B4-F90),"")</f>
        <v/>
      </c>
      <c r="U90" s="152">
        <f>IFERROR(ABS(K90-YEAR('02_대상물건입력'!B14)),"")</f>
        <v/>
      </c>
      <c r="V90" s="152">
        <f>IF(B90="","",IF(AND(E90&gt;0,F90&gt;0,H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90=1,TRUE()),R90&lt;='01_설정'!B5,S90&lt;='01_설정'!B6,T90&lt;='01_설정'!B7,U90&lt;='01_설정'!B8),"Y",""))</f>
        <v/>
      </c>
      <c r="W90" s="172">
        <f>IF(V90&lt;&gt;"Y","",MAX(0,(1-R90/'01_설정'!B5))*'01_설정'!B14+MAX(0,(1-S90/'01_설정'!B6))*'01_설정'!B15+MAX(0,(1-T90/'01_설정'!B7))*'01_설정'!B16+MAX(0,(1-U90/'01_설정'!B8))*'01_설정'!B17+O90*'01_설정'!B11+Q90*'01_설정'!B12+P90*'01_설정'!B13+IF(Z90="",0,Z90))</f>
        <v/>
      </c>
      <c r="X90" s="152">
        <f>IF(W90="","",1+COUNTIFS($W$4:$W$3003,"&gt;"&amp;W90)+COUNTIFS($W$4:W90,W90)-1)</f>
        <v/>
      </c>
      <c r="Y90" s="175">
        <f>IF(OR(I90="",'02_대상물건입력'!B19="",'02_대상물건입력'!B19&lt;=0),"",ABS(I90-'02_대상물건입력'!B19)/'02_대상물건입력'!B19)</f>
        <v/>
      </c>
      <c r="Z90" s="172">
        <f>IF(OR(Y90="",'01_설정'!B31="",'01_설정'!B31&lt;=0,'01_설정'!B32="",'01_설정'!B32&lt;=0),"",MAX(0,(1-Y90/'01_설정'!B32))*'01_설정'!B31)</f>
        <v/>
      </c>
    </row>
    <row r="91" ht="17.25" customHeight="1">
      <c r="A91" s="152">
        <f>IF(INDEX('04A_국토부원자료'!$A:$A,ROW()+1)="","",ROW()-3)</f>
        <v/>
      </c>
      <c r="B91" s="48">
        <f>IFERROR(INDEX('04A_국토부원자료'!$A:$T,ROW()+1,MATCH("시군구",'04A_국토부원자료'!$A$4:$T$4,0)),"")</f>
        <v/>
      </c>
      <c r="C91" s="48">
        <f>IF(B91="","",IFERROR(INDEX('04A_국토부원자료'!$A:$T,ROW()+1,MATCH("번지",'04A_국토부원자료'!$A$4:$T$4,0)),""))</f>
        <v/>
      </c>
      <c r="D91" s="48">
        <f>IF(B91="","",IF(Q91=1,'02_대상물건입력'!$B$8,IFERROR(INDEX('04A_국토부원자료'!$A:$T,ROW()+1,MATCH("단지명",'04A_국토부원자료'!$A$4:$T$4,0)),"")))</f>
        <v/>
      </c>
      <c r="E91" s="172">
        <f>IFERROR(VALUE(SUBSTITUTE(INDEX('04A_국토부원자료'!$A:$T,ROW()+1,MATCH("전용면적(㎡)",'04A_국토부원자료'!$A$4:$T$4,0)),",","")),"")</f>
        <v/>
      </c>
      <c r="F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1" s="51">
        <f>IFERROR(VALUE(SUBSTITUTE(INDEX('04A_국토부원자료'!$A:$T,ROW()+1,MATCH("거래금액(만원)",'04A_국토부원자료'!$A$4:$T$4,0)),",","")),"")</f>
        <v/>
      </c>
      <c r="H91" s="174">
        <f>IF(G91="","",G91*10000)</f>
        <v/>
      </c>
      <c r="I91" s="174">
        <f>IFERROR(IF(AND(H91&gt;0,E91&gt;0),H91/E91,""),"")</f>
        <v/>
      </c>
      <c r="J91" s="152">
        <f>IFERROR(VALUE(SUBSTITUTE(INDEX('04A_국토부원자료'!$A:$T,ROW()+1,MATCH("층",'04A_국토부원자료'!$A$4:$T$4,0)),",","")),"")</f>
        <v/>
      </c>
      <c r="K91" s="152">
        <f>IFERROR(VALUE(SUBSTITUTE(INDEX('04A_국토부원자료'!$A:$T,ROW()+1,MATCH("건축년도",'04A_국토부원자료'!$A$4:$T$4,0)),",","")),"")</f>
        <v/>
      </c>
      <c r="L91" s="176">
        <f>IFERROR(INDEX('04A_국토부원자료'!$A:$T,ROW()+1,MATCH("도로명",'04A_국토부원자료'!$A$4:$T$4,0)),"")</f>
        <v/>
      </c>
      <c r="M91" s="48">
        <f>IFERROR(INDEX('04A_국토부원자료'!$A:$T,ROW()+1,MATCH("거래유형",'04A_국토부원자료'!$A$4:$T$4,0)),"")</f>
        <v/>
      </c>
      <c r="N91" s="152">
        <f>IF(B91="","",IF('02_대상물건입력'!B5="",1,IF(ISNUMBER(SEARCH('02_대상물건입력'!B5,B91)),1,0)))</f>
        <v/>
      </c>
      <c r="O91" s="152">
        <f>IF(B91="","",IF('02_대상물건입력'!B6="",1,IF(ISNUMBER(SEARCH('02_대상물건입력'!B6,B91)),1,0)))</f>
        <v/>
      </c>
      <c r="P91" s="152">
        <f>IF(L91="","",IF('02_대상물건입력'!B15="",0,IF(ISNUMBER(SEARCH('02_대상물건입력'!B15,L91)),1,0)))</f>
        <v/>
      </c>
      <c r="Q91" s="152">
        <f>IF(OR(C91="",L91=""),0,IF(AND(TRIM(C91)=TRIM(RIGHT(SUBSTITUTE(TRIM('02_대상물건입력'!$B$7)," ",REPT(" ",99)),99)),IF('02_대상물건입력'!B15="",TRUE(),ISNUMBER(SEARCH('02_대상물건입력'!B15,L91)))),1,0))</f>
        <v/>
      </c>
      <c r="R91" s="175">
        <f>IFERROR(ABS(E91-'02_대상물건입력'!B11)/'02_대상물건입력'!B11,"")</f>
        <v/>
      </c>
      <c r="S91" s="152">
        <f>IFERROR(ABS(J91-'02_대상물건입력'!B10),"")</f>
        <v/>
      </c>
      <c r="T91" s="152">
        <f>IFERROR(ABS('01_설정'!B4-F91),"")</f>
        <v/>
      </c>
      <c r="U91" s="152">
        <f>IFERROR(ABS(K91-YEAR('02_대상물건입력'!B14)),"")</f>
        <v/>
      </c>
      <c r="V91" s="152">
        <f>IF(B91="","",IF(AND(E91&gt;0,F91&gt;0,H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91=1,TRUE()),R91&lt;='01_설정'!B5,S91&lt;='01_설정'!B6,T91&lt;='01_설정'!B7,U91&lt;='01_설정'!B8),"Y",""))</f>
        <v/>
      </c>
      <c r="W91" s="172">
        <f>IF(V91&lt;&gt;"Y","",MAX(0,(1-R91/'01_설정'!B5))*'01_설정'!B14+MAX(0,(1-S91/'01_설정'!B6))*'01_설정'!B15+MAX(0,(1-T91/'01_설정'!B7))*'01_설정'!B16+MAX(0,(1-U91/'01_설정'!B8))*'01_설정'!B17+O91*'01_설정'!B11+Q91*'01_설정'!B12+P91*'01_설정'!B13+IF(Z91="",0,Z91))</f>
        <v/>
      </c>
      <c r="X91" s="152">
        <f>IF(W91="","",1+COUNTIFS($W$4:$W$3003,"&gt;"&amp;W91)+COUNTIFS($W$4:W91,W91)-1)</f>
        <v/>
      </c>
      <c r="Y91" s="175">
        <f>IF(OR(I91="",'02_대상물건입력'!B19="",'02_대상물건입력'!B19&lt;=0),"",ABS(I91-'02_대상물건입력'!B19)/'02_대상물건입력'!B19)</f>
        <v/>
      </c>
      <c r="Z91" s="172">
        <f>IF(OR(Y91="",'01_설정'!B31="",'01_설정'!B31&lt;=0,'01_설정'!B32="",'01_설정'!B32&lt;=0),"",MAX(0,(1-Y91/'01_설정'!B32))*'01_설정'!B31)</f>
        <v/>
      </c>
    </row>
    <row r="92" ht="17.25" customHeight="1">
      <c r="A92" s="152">
        <f>IF(INDEX('04A_국토부원자료'!$A:$A,ROW()+1)="","",ROW()-3)</f>
        <v/>
      </c>
      <c r="B92" s="48">
        <f>IFERROR(INDEX('04A_국토부원자료'!$A:$T,ROW()+1,MATCH("시군구",'04A_국토부원자료'!$A$4:$T$4,0)),"")</f>
        <v/>
      </c>
      <c r="C92" s="48">
        <f>IF(B92="","",IFERROR(INDEX('04A_국토부원자료'!$A:$T,ROW()+1,MATCH("번지",'04A_국토부원자료'!$A$4:$T$4,0)),""))</f>
        <v/>
      </c>
      <c r="D92" s="48">
        <f>IF(B92="","",IF(Q92=1,'02_대상물건입력'!$B$8,IFERROR(INDEX('04A_국토부원자료'!$A:$T,ROW()+1,MATCH("단지명",'04A_국토부원자료'!$A$4:$T$4,0)),"")))</f>
        <v/>
      </c>
      <c r="E92" s="172">
        <f>IFERROR(VALUE(SUBSTITUTE(INDEX('04A_국토부원자료'!$A:$T,ROW()+1,MATCH("전용면적(㎡)",'04A_국토부원자료'!$A$4:$T$4,0)),",","")),"")</f>
        <v/>
      </c>
      <c r="F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2" s="51">
        <f>IFERROR(VALUE(SUBSTITUTE(INDEX('04A_국토부원자료'!$A:$T,ROW()+1,MATCH("거래금액(만원)",'04A_국토부원자료'!$A$4:$T$4,0)),",","")),"")</f>
        <v/>
      </c>
      <c r="H92" s="174">
        <f>IF(G92="","",G92*10000)</f>
        <v/>
      </c>
      <c r="I92" s="174">
        <f>IFERROR(IF(AND(H92&gt;0,E92&gt;0),H92/E92,""),"")</f>
        <v/>
      </c>
      <c r="J92" s="152">
        <f>IFERROR(VALUE(SUBSTITUTE(INDEX('04A_국토부원자료'!$A:$T,ROW()+1,MATCH("층",'04A_국토부원자료'!$A$4:$T$4,0)),",","")),"")</f>
        <v/>
      </c>
      <c r="K92" s="152">
        <f>IFERROR(VALUE(SUBSTITUTE(INDEX('04A_국토부원자료'!$A:$T,ROW()+1,MATCH("건축년도",'04A_국토부원자료'!$A$4:$T$4,0)),",","")),"")</f>
        <v/>
      </c>
      <c r="L92" s="176">
        <f>IFERROR(INDEX('04A_국토부원자료'!$A:$T,ROW()+1,MATCH("도로명",'04A_국토부원자료'!$A$4:$T$4,0)),"")</f>
        <v/>
      </c>
      <c r="M92" s="48">
        <f>IFERROR(INDEX('04A_국토부원자료'!$A:$T,ROW()+1,MATCH("거래유형",'04A_국토부원자료'!$A$4:$T$4,0)),"")</f>
        <v/>
      </c>
      <c r="N92" s="152">
        <f>IF(B92="","",IF('02_대상물건입력'!B5="",1,IF(ISNUMBER(SEARCH('02_대상물건입력'!B5,B92)),1,0)))</f>
        <v/>
      </c>
      <c r="O92" s="152">
        <f>IF(B92="","",IF('02_대상물건입력'!B6="",1,IF(ISNUMBER(SEARCH('02_대상물건입력'!B6,B92)),1,0)))</f>
        <v/>
      </c>
      <c r="P92" s="152">
        <f>IF(L92="","",IF('02_대상물건입력'!B15="",0,IF(ISNUMBER(SEARCH('02_대상물건입력'!B15,L92)),1,0)))</f>
        <v/>
      </c>
      <c r="Q92" s="152">
        <f>IF(OR(C92="",L92=""),0,IF(AND(TRIM(C92)=TRIM(RIGHT(SUBSTITUTE(TRIM('02_대상물건입력'!$B$7)," ",REPT(" ",99)),99)),IF('02_대상물건입력'!B15="",TRUE(),ISNUMBER(SEARCH('02_대상물건입력'!B15,L92)))),1,0))</f>
        <v/>
      </c>
      <c r="R92" s="175">
        <f>IFERROR(ABS(E92-'02_대상물건입력'!B11)/'02_대상물건입력'!B11,"")</f>
        <v/>
      </c>
      <c r="S92" s="152">
        <f>IFERROR(ABS(J92-'02_대상물건입력'!B10),"")</f>
        <v/>
      </c>
      <c r="T92" s="152">
        <f>IFERROR(ABS('01_설정'!B4-F92),"")</f>
        <v/>
      </c>
      <c r="U92" s="152">
        <f>IFERROR(ABS(K92-YEAR('02_대상물건입력'!B14)),"")</f>
        <v/>
      </c>
      <c r="V92" s="152">
        <f>IF(B92="","",IF(AND(E92&gt;0,F92&gt;0,H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92=1,TRUE()),R92&lt;='01_설정'!B5,S92&lt;='01_설정'!B6,T92&lt;='01_설정'!B7,U92&lt;='01_설정'!B8),"Y",""))</f>
        <v/>
      </c>
      <c r="W92" s="172">
        <f>IF(V92&lt;&gt;"Y","",MAX(0,(1-R92/'01_설정'!B5))*'01_설정'!B14+MAX(0,(1-S92/'01_설정'!B6))*'01_설정'!B15+MAX(0,(1-T92/'01_설정'!B7))*'01_설정'!B16+MAX(0,(1-U92/'01_설정'!B8))*'01_설정'!B17+O92*'01_설정'!B11+Q92*'01_설정'!B12+P92*'01_설정'!B13+IF(Z92="",0,Z92))</f>
        <v/>
      </c>
      <c r="X92" s="152">
        <f>IF(W92="","",1+COUNTIFS($W$4:$W$3003,"&gt;"&amp;W92)+COUNTIFS($W$4:W92,W92)-1)</f>
        <v/>
      </c>
      <c r="Y92" s="175">
        <f>IF(OR(I92="",'02_대상물건입력'!B19="",'02_대상물건입력'!B19&lt;=0),"",ABS(I92-'02_대상물건입력'!B19)/'02_대상물건입력'!B19)</f>
        <v/>
      </c>
      <c r="Z92" s="172">
        <f>IF(OR(Y92="",'01_설정'!B31="",'01_설정'!B31&lt;=0,'01_설정'!B32="",'01_설정'!B32&lt;=0),"",MAX(0,(1-Y92/'01_설정'!B32))*'01_설정'!B31)</f>
        <v/>
      </c>
    </row>
    <row r="93" ht="17.25" customHeight="1">
      <c r="A93" s="152">
        <f>IF(INDEX('04A_국토부원자료'!$A:$A,ROW()+1)="","",ROW()-3)</f>
        <v/>
      </c>
      <c r="B93" s="48">
        <f>IFERROR(INDEX('04A_국토부원자료'!$A:$T,ROW()+1,MATCH("시군구",'04A_국토부원자료'!$A$4:$T$4,0)),"")</f>
        <v/>
      </c>
      <c r="C93" s="48">
        <f>IF(B93="","",IFERROR(INDEX('04A_국토부원자료'!$A:$T,ROW()+1,MATCH("번지",'04A_국토부원자료'!$A$4:$T$4,0)),""))</f>
        <v/>
      </c>
      <c r="D93" s="48">
        <f>IF(B93="","",IF(Q93=1,'02_대상물건입력'!$B$8,IFERROR(INDEX('04A_국토부원자료'!$A:$T,ROW()+1,MATCH("단지명",'04A_국토부원자료'!$A$4:$T$4,0)),"")))</f>
        <v/>
      </c>
      <c r="E93" s="172">
        <f>IFERROR(VALUE(SUBSTITUTE(INDEX('04A_국토부원자료'!$A:$T,ROW()+1,MATCH("전용면적(㎡)",'04A_국토부원자료'!$A$4:$T$4,0)),",","")),"")</f>
        <v/>
      </c>
      <c r="F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3" s="51">
        <f>IFERROR(VALUE(SUBSTITUTE(INDEX('04A_국토부원자료'!$A:$T,ROW()+1,MATCH("거래금액(만원)",'04A_국토부원자료'!$A$4:$T$4,0)),",","")),"")</f>
        <v/>
      </c>
      <c r="H93" s="174">
        <f>IF(G93="","",G93*10000)</f>
        <v/>
      </c>
      <c r="I93" s="174">
        <f>IFERROR(IF(AND(H93&gt;0,E93&gt;0),H93/E93,""),"")</f>
        <v/>
      </c>
      <c r="J93" s="152">
        <f>IFERROR(VALUE(SUBSTITUTE(INDEX('04A_국토부원자료'!$A:$T,ROW()+1,MATCH("층",'04A_국토부원자료'!$A$4:$T$4,0)),",","")),"")</f>
        <v/>
      </c>
      <c r="K93" s="152">
        <f>IFERROR(VALUE(SUBSTITUTE(INDEX('04A_국토부원자료'!$A:$T,ROW()+1,MATCH("건축년도",'04A_국토부원자료'!$A$4:$T$4,0)),",","")),"")</f>
        <v/>
      </c>
      <c r="L93" s="176">
        <f>IFERROR(INDEX('04A_국토부원자료'!$A:$T,ROW()+1,MATCH("도로명",'04A_국토부원자료'!$A$4:$T$4,0)),"")</f>
        <v/>
      </c>
      <c r="M93" s="48">
        <f>IFERROR(INDEX('04A_국토부원자료'!$A:$T,ROW()+1,MATCH("거래유형",'04A_국토부원자료'!$A$4:$T$4,0)),"")</f>
        <v/>
      </c>
      <c r="N93" s="152">
        <f>IF(B93="","",IF('02_대상물건입력'!B5="",1,IF(ISNUMBER(SEARCH('02_대상물건입력'!B5,B93)),1,0)))</f>
        <v/>
      </c>
      <c r="O93" s="152">
        <f>IF(B93="","",IF('02_대상물건입력'!B6="",1,IF(ISNUMBER(SEARCH('02_대상물건입력'!B6,B93)),1,0)))</f>
        <v/>
      </c>
      <c r="P93" s="152">
        <f>IF(L93="","",IF('02_대상물건입력'!B15="",0,IF(ISNUMBER(SEARCH('02_대상물건입력'!B15,L93)),1,0)))</f>
        <v/>
      </c>
      <c r="Q93" s="152">
        <f>IF(OR(C93="",L93=""),0,IF(AND(TRIM(C93)=TRIM(RIGHT(SUBSTITUTE(TRIM('02_대상물건입력'!$B$7)," ",REPT(" ",99)),99)),IF('02_대상물건입력'!B15="",TRUE(),ISNUMBER(SEARCH('02_대상물건입력'!B15,L93)))),1,0))</f>
        <v/>
      </c>
      <c r="R93" s="175">
        <f>IFERROR(ABS(E93-'02_대상물건입력'!B11)/'02_대상물건입력'!B11,"")</f>
        <v/>
      </c>
      <c r="S93" s="152">
        <f>IFERROR(ABS(J93-'02_대상물건입력'!B10),"")</f>
        <v/>
      </c>
      <c r="T93" s="152">
        <f>IFERROR(ABS('01_설정'!B4-F93),"")</f>
        <v/>
      </c>
      <c r="U93" s="152">
        <f>IFERROR(ABS(K93-YEAR('02_대상물건입력'!B14)),"")</f>
        <v/>
      </c>
      <c r="V93" s="152">
        <f>IF(B93="","",IF(AND(E93&gt;0,F93&gt;0,H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93=1,TRUE()),R93&lt;='01_설정'!B5,S93&lt;='01_설정'!B6,T93&lt;='01_설정'!B7,U93&lt;='01_설정'!B8),"Y",""))</f>
        <v/>
      </c>
      <c r="W93" s="172">
        <f>IF(V93&lt;&gt;"Y","",MAX(0,(1-R93/'01_설정'!B5))*'01_설정'!B14+MAX(0,(1-S93/'01_설정'!B6))*'01_설정'!B15+MAX(0,(1-T93/'01_설정'!B7))*'01_설정'!B16+MAX(0,(1-U93/'01_설정'!B8))*'01_설정'!B17+O93*'01_설정'!B11+Q93*'01_설정'!B12+P93*'01_설정'!B13+IF(Z93="",0,Z93))</f>
        <v/>
      </c>
      <c r="X93" s="152">
        <f>IF(W93="","",1+COUNTIFS($W$4:$W$3003,"&gt;"&amp;W93)+COUNTIFS($W$4:W93,W93)-1)</f>
        <v/>
      </c>
      <c r="Y93" s="175">
        <f>IF(OR(I93="",'02_대상물건입력'!B19="",'02_대상물건입력'!B19&lt;=0),"",ABS(I93-'02_대상물건입력'!B19)/'02_대상물건입력'!B19)</f>
        <v/>
      </c>
      <c r="Z93" s="172">
        <f>IF(OR(Y93="",'01_설정'!B31="",'01_설정'!B31&lt;=0,'01_설정'!B32="",'01_설정'!B32&lt;=0),"",MAX(0,(1-Y93/'01_설정'!B32))*'01_설정'!B31)</f>
        <v/>
      </c>
    </row>
    <row r="94" ht="17.25" customHeight="1">
      <c r="A94" s="152">
        <f>IF(INDEX('04A_국토부원자료'!$A:$A,ROW()+1)="","",ROW()-3)</f>
        <v/>
      </c>
      <c r="B94" s="48">
        <f>IFERROR(INDEX('04A_국토부원자료'!$A:$T,ROW()+1,MATCH("시군구",'04A_국토부원자료'!$A$4:$T$4,0)),"")</f>
        <v/>
      </c>
      <c r="C94" s="48">
        <f>IF(B94="","",IFERROR(INDEX('04A_국토부원자료'!$A:$T,ROW()+1,MATCH("번지",'04A_국토부원자료'!$A$4:$T$4,0)),""))</f>
        <v/>
      </c>
      <c r="D94" s="48">
        <f>IF(B94="","",IF(Q94=1,'02_대상물건입력'!$B$8,IFERROR(INDEX('04A_국토부원자료'!$A:$T,ROW()+1,MATCH("단지명",'04A_국토부원자료'!$A$4:$T$4,0)),"")))</f>
        <v/>
      </c>
      <c r="E94" s="172">
        <f>IFERROR(VALUE(SUBSTITUTE(INDEX('04A_국토부원자료'!$A:$T,ROW()+1,MATCH("전용면적(㎡)",'04A_국토부원자료'!$A$4:$T$4,0)),",","")),"")</f>
        <v/>
      </c>
      <c r="F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4" s="51">
        <f>IFERROR(VALUE(SUBSTITUTE(INDEX('04A_국토부원자료'!$A:$T,ROW()+1,MATCH("거래금액(만원)",'04A_국토부원자료'!$A$4:$T$4,0)),",","")),"")</f>
        <v/>
      </c>
      <c r="H94" s="174">
        <f>IF(G94="","",G94*10000)</f>
        <v/>
      </c>
      <c r="I94" s="174">
        <f>IFERROR(IF(AND(H94&gt;0,E94&gt;0),H94/E94,""),"")</f>
        <v/>
      </c>
      <c r="J94" s="152">
        <f>IFERROR(VALUE(SUBSTITUTE(INDEX('04A_국토부원자료'!$A:$T,ROW()+1,MATCH("층",'04A_국토부원자료'!$A$4:$T$4,0)),",","")),"")</f>
        <v/>
      </c>
      <c r="K94" s="152">
        <f>IFERROR(VALUE(SUBSTITUTE(INDEX('04A_국토부원자료'!$A:$T,ROW()+1,MATCH("건축년도",'04A_국토부원자료'!$A$4:$T$4,0)),",","")),"")</f>
        <v/>
      </c>
      <c r="L94" s="176">
        <f>IFERROR(INDEX('04A_국토부원자료'!$A:$T,ROW()+1,MATCH("도로명",'04A_국토부원자료'!$A$4:$T$4,0)),"")</f>
        <v/>
      </c>
      <c r="M94" s="48">
        <f>IFERROR(INDEX('04A_국토부원자료'!$A:$T,ROW()+1,MATCH("거래유형",'04A_국토부원자료'!$A$4:$T$4,0)),"")</f>
        <v/>
      </c>
      <c r="N94" s="152">
        <f>IF(B94="","",IF('02_대상물건입력'!B5="",1,IF(ISNUMBER(SEARCH('02_대상물건입력'!B5,B94)),1,0)))</f>
        <v/>
      </c>
      <c r="O94" s="152">
        <f>IF(B94="","",IF('02_대상물건입력'!B6="",1,IF(ISNUMBER(SEARCH('02_대상물건입력'!B6,B94)),1,0)))</f>
        <v/>
      </c>
      <c r="P94" s="152">
        <f>IF(L94="","",IF('02_대상물건입력'!B15="",0,IF(ISNUMBER(SEARCH('02_대상물건입력'!B15,L94)),1,0)))</f>
        <v/>
      </c>
      <c r="Q94" s="152">
        <f>IF(OR(C94="",L94=""),0,IF(AND(TRIM(C94)=TRIM(RIGHT(SUBSTITUTE(TRIM('02_대상물건입력'!$B$7)," ",REPT(" ",99)),99)),IF('02_대상물건입력'!B15="",TRUE(),ISNUMBER(SEARCH('02_대상물건입력'!B15,L94)))),1,0))</f>
        <v/>
      </c>
      <c r="R94" s="175">
        <f>IFERROR(ABS(E94-'02_대상물건입력'!B11)/'02_대상물건입력'!B11,"")</f>
        <v/>
      </c>
      <c r="S94" s="152">
        <f>IFERROR(ABS(J94-'02_대상물건입력'!B10),"")</f>
        <v/>
      </c>
      <c r="T94" s="152">
        <f>IFERROR(ABS('01_설정'!B4-F94),"")</f>
        <v/>
      </c>
      <c r="U94" s="152">
        <f>IFERROR(ABS(K94-YEAR('02_대상물건입력'!B14)),"")</f>
        <v/>
      </c>
      <c r="V94" s="152">
        <f>IF(B94="","",IF(AND(E94&gt;0,F94&gt;0,H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94=1,TRUE()),R94&lt;='01_설정'!B5,S94&lt;='01_설정'!B6,T94&lt;='01_설정'!B7,U94&lt;='01_설정'!B8),"Y",""))</f>
        <v/>
      </c>
      <c r="W94" s="172">
        <f>IF(V94&lt;&gt;"Y","",MAX(0,(1-R94/'01_설정'!B5))*'01_설정'!B14+MAX(0,(1-S94/'01_설정'!B6))*'01_설정'!B15+MAX(0,(1-T94/'01_설정'!B7))*'01_설정'!B16+MAX(0,(1-U94/'01_설정'!B8))*'01_설정'!B17+O94*'01_설정'!B11+Q94*'01_설정'!B12+P94*'01_설정'!B13+IF(Z94="",0,Z94))</f>
        <v/>
      </c>
      <c r="X94" s="152">
        <f>IF(W94="","",1+COUNTIFS($W$4:$W$3003,"&gt;"&amp;W94)+COUNTIFS($W$4:W94,W94)-1)</f>
        <v/>
      </c>
      <c r="Y94" s="175">
        <f>IF(OR(I94="",'02_대상물건입력'!B19="",'02_대상물건입력'!B19&lt;=0),"",ABS(I94-'02_대상물건입력'!B19)/'02_대상물건입력'!B19)</f>
        <v/>
      </c>
      <c r="Z94" s="172">
        <f>IF(OR(Y94="",'01_설정'!B31="",'01_설정'!B31&lt;=0,'01_설정'!B32="",'01_설정'!B32&lt;=0),"",MAX(0,(1-Y94/'01_설정'!B32))*'01_설정'!B31)</f>
        <v/>
      </c>
    </row>
    <row r="95" ht="17.25" customHeight="1">
      <c r="A95" s="152">
        <f>IF(INDEX('04A_국토부원자료'!$A:$A,ROW()+1)="","",ROW()-3)</f>
        <v/>
      </c>
      <c r="B95" s="48">
        <f>IFERROR(INDEX('04A_국토부원자료'!$A:$T,ROW()+1,MATCH("시군구",'04A_국토부원자료'!$A$4:$T$4,0)),"")</f>
        <v/>
      </c>
      <c r="C95" s="48">
        <f>IF(B95="","",IFERROR(INDEX('04A_국토부원자료'!$A:$T,ROW()+1,MATCH("번지",'04A_국토부원자료'!$A$4:$T$4,0)),""))</f>
        <v/>
      </c>
      <c r="D95" s="48">
        <f>IF(B95="","",IF(Q95=1,'02_대상물건입력'!$B$8,IFERROR(INDEX('04A_국토부원자료'!$A:$T,ROW()+1,MATCH("단지명",'04A_국토부원자료'!$A$4:$T$4,0)),"")))</f>
        <v/>
      </c>
      <c r="E95" s="172">
        <f>IFERROR(VALUE(SUBSTITUTE(INDEX('04A_국토부원자료'!$A:$T,ROW()+1,MATCH("전용면적(㎡)",'04A_국토부원자료'!$A$4:$T$4,0)),",","")),"")</f>
        <v/>
      </c>
      <c r="F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5" s="51">
        <f>IFERROR(VALUE(SUBSTITUTE(INDEX('04A_국토부원자료'!$A:$T,ROW()+1,MATCH("거래금액(만원)",'04A_국토부원자료'!$A$4:$T$4,0)),",","")),"")</f>
        <v/>
      </c>
      <c r="H95" s="174">
        <f>IF(G95="","",G95*10000)</f>
        <v/>
      </c>
      <c r="I95" s="174">
        <f>IFERROR(IF(AND(H95&gt;0,E95&gt;0),H95/E95,""),"")</f>
        <v/>
      </c>
      <c r="J95" s="152">
        <f>IFERROR(VALUE(SUBSTITUTE(INDEX('04A_국토부원자료'!$A:$T,ROW()+1,MATCH("층",'04A_국토부원자료'!$A$4:$T$4,0)),",","")),"")</f>
        <v/>
      </c>
      <c r="K95" s="152">
        <f>IFERROR(VALUE(SUBSTITUTE(INDEX('04A_국토부원자료'!$A:$T,ROW()+1,MATCH("건축년도",'04A_국토부원자료'!$A$4:$T$4,0)),",","")),"")</f>
        <v/>
      </c>
      <c r="L95" s="176">
        <f>IFERROR(INDEX('04A_국토부원자료'!$A:$T,ROW()+1,MATCH("도로명",'04A_국토부원자료'!$A$4:$T$4,0)),"")</f>
        <v/>
      </c>
      <c r="M95" s="48">
        <f>IFERROR(INDEX('04A_국토부원자료'!$A:$T,ROW()+1,MATCH("거래유형",'04A_국토부원자료'!$A$4:$T$4,0)),"")</f>
        <v/>
      </c>
      <c r="N95" s="152">
        <f>IF(B95="","",IF('02_대상물건입력'!B5="",1,IF(ISNUMBER(SEARCH('02_대상물건입력'!B5,B95)),1,0)))</f>
        <v/>
      </c>
      <c r="O95" s="152">
        <f>IF(B95="","",IF('02_대상물건입력'!B6="",1,IF(ISNUMBER(SEARCH('02_대상물건입력'!B6,B95)),1,0)))</f>
        <v/>
      </c>
      <c r="P95" s="152">
        <f>IF(L95="","",IF('02_대상물건입력'!B15="",0,IF(ISNUMBER(SEARCH('02_대상물건입력'!B15,L95)),1,0)))</f>
        <v/>
      </c>
      <c r="Q95" s="152">
        <f>IF(OR(C95="",L95=""),0,IF(AND(TRIM(C95)=TRIM(RIGHT(SUBSTITUTE(TRIM('02_대상물건입력'!$B$7)," ",REPT(" ",99)),99)),IF('02_대상물건입력'!B15="",TRUE(),ISNUMBER(SEARCH('02_대상물건입력'!B15,L95)))),1,0))</f>
        <v/>
      </c>
      <c r="R95" s="175">
        <f>IFERROR(ABS(E95-'02_대상물건입력'!B11)/'02_대상물건입력'!B11,"")</f>
        <v/>
      </c>
      <c r="S95" s="152">
        <f>IFERROR(ABS(J95-'02_대상물건입력'!B10),"")</f>
        <v/>
      </c>
      <c r="T95" s="152">
        <f>IFERROR(ABS('01_설정'!B4-F95),"")</f>
        <v/>
      </c>
      <c r="U95" s="152">
        <f>IFERROR(ABS(K95-YEAR('02_대상물건입력'!B14)),"")</f>
        <v/>
      </c>
      <c r="V95" s="152">
        <f>IF(B95="","",IF(AND(E95&gt;0,F95&gt;0,H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95=1,TRUE()),R95&lt;='01_설정'!B5,S95&lt;='01_설정'!B6,T95&lt;='01_설정'!B7,U95&lt;='01_설정'!B8),"Y",""))</f>
        <v/>
      </c>
      <c r="W95" s="172">
        <f>IF(V95&lt;&gt;"Y","",MAX(0,(1-R95/'01_설정'!B5))*'01_설정'!B14+MAX(0,(1-S95/'01_설정'!B6))*'01_설정'!B15+MAX(0,(1-T95/'01_설정'!B7))*'01_설정'!B16+MAX(0,(1-U95/'01_설정'!B8))*'01_설정'!B17+O95*'01_설정'!B11+Q95*'01_설정'!B12+P95*'01_설정'!B13+IF(Z95="",0,Z95))</f>
        <v/>
      </c>
      <c r="X95" s="152">
        <f>IF(W95="","",1+COUNTIFS($W$4:$W$3003,"&gt;"&amp;W95)+COUNTIFS($W$4:W95,W95)-1)</f>
        <v/>
      </c>
      <c r="Y95" s="175">
        <f>IF(OR(I95="",'02_대상물건입력'!B19="",'02_대상물건입력'!B19&lt;=0),"",ABS(I95-'02_대상물건입력'!B19)/'02_대상물건입력'!B19)</f>
        <v/>
      </c>
      <c r="Z95" s="172">
        <f>IF(OR(Y95="",'01_설정'!B31="",'01_설정'!B31&lt;=0,'01_설정'!B32="",'01_설정'!B32&lt;=0),"",MAX(0,(1-Y95/'01_설정'!B32))*'01_설정'!B31)</f>
        <v/>
      </c>
    </row>
    <row r="96" ht="17.25" customHeight="1">
      <c r="A96" s="152">
        <f>IF(INDEX('04A_국토부원자료'!$A:$A,ROW()+1)="","",ROW()-3)</f>
        <v/>
      </c>
      <c r="B96" s="48">
        <f>IFERROR(INDEX('04A_국토부원자료'!$A:$T,ROW()+1,MATCH("시군구",'04A_국토부원자료'!$A$4:$T$4,0)),"")</f>
        <v/>
      </c>
      <c r="C96" s="48">
        <f>IF(B96="","",IFERROR(INDEX('04A_국토부원자료'!$A:$T,ROW()+1,MATCH("번지",'04A_국토부원자료'!$A$4:$T$4,0)),""))</f>
        <v/>
      </c>
      <c r="D96" s="48">
        <f>IF(B96="","",IF(Q96=1,'02_대상물건입력'!$B$8,IFERROR(INDEX('04A_국토부원자료'!$A:$T,ROW()+1,MATCH("단지명",'04A_국토부원자료'!$A$4:$T$4,0)),"")))</f>
        <v/>
      </c>
      <c r="E96" s="172">
        <f>IFERROR(VALUE(SUBSTITUTE(INDEX('04A_국토부원자료'!$A:$T,ROW()+1,MATCH("전용면적(㎡)",'04A_국토부원자료'!$A$4:$T$4,0)),",","")),"")</f>
        <v/>
      </c>
      <c r="F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6" s="51">
        <f>IFERROR(VALUE(SUBSTITUTE(INDEX('04A_국토부원자료'!$A:$T,ROW()+1,MATCH("거래금액(만원)",'04A_국토부원자료'!$A$4:$T$4,0)),",","")),"")</f>
        <v/>
      </c>
      <c r="H96" s="174">
        <f>IF(G96="","",G96*10000)</f>
        <v/>
      </c>
      <c r="I96" s="174">
        <f>IFERROR(IF(AND(H96&gt;0,E96&gt;0),H96/E96,""),"")</f>
        <v/>
      </c>
      <c r="J96" s="152">
        <f>IFERROR(VALUE(SUBSTITUTE(INDEX('04A_국토부원자료'!$A:$T,ROW()+1,MATCH("층",'04A_국토부원자료'!$A$4:$T$4,0)),",","")),"")</f>
        <v/>
      </c>
      <c r="K96" s="152">
        <f>IFERROR(VALUE(SUBSTITUTE(INDEX('04A_국토부원자료'!$A:$T,ROW()+1,MATCH("건축년도",'04A_국토부원자료'!$A$4:$T$4,0)),",","")),"")</f>
        <v/>
      </c>
      <c r="L96" s="176">
        <f>IFERROR(INDEX('04A_국토부원자료'!$A:$T,ROW()+1,MATCH("도로명",'04A_국토부원자료'!$A$4:$T$4,0)),"")</f>
        <v/>
      </c>
      <c r="M96" s="48">
        <f>IFERROR(INDEX('04A_국토부원자료'!$A:$T,ROW()+1,MATCH("거래유형",'04A_국토부원자료'!$A$4:$T$4,0)),"")</f>
        <v/>
      </c>
      <c r="N96" s="152">
        <f>IF(B96="","",IF('02_대상물건입력'!B5="",1,IF(ISNUMBER(SEARCH('02_대상물건입력'!B5,B96)),1,0)))</f>
        <v/>
      </c>
      <c r="O96" s="152">
        <f>IF(B96="","",IF('02_대상물건입력'!B6="",1,IF(ISNUMBER(SEARCH('02_대상물건입력'!B6,B96)),1,0)))</f>
        <v/>
      </c>
      <c r="P96" s="152">
        <f>IF(L96="","",IF('02_대상물건입력'!B15="",0,IF(ISNUMBER(SEARCH('02_대상물건입력'!B15,L96)),1,0)))</f>
        <v/>
      </c>
      <c r="Q96" s="152">
        <f>IF(OR(C96="",L96=""),0,IF(AND(TRIM(C96)=TRIM(RIGHT(SUBSTITUTE(TRIM('02_대상물건입력'!$B$7)," ",REPT(" ",99)),99)),IF('02_대상물건입력'!B15="",TRUE(),ISNUMBER(SEARCH('02_대상물건입력'!B15,L96)))),1,0))</f>
        <v/>
      </c>
      <c r="R96" s="175">
        <f>IFERROR(ABS(E96-'02_대상물건입력'!B11)/'02_대상물건입력'!B11,"")</f>
        <v/>
      </c>
      <c r="S96" s="152">
        <f>IFERROR(ABS(J96-'02_대상물건입력'!B10),"")</f>
        <v/>
      </c>
      <c r="T96" s="152">
        <f>IFERROR(ABS('01_설정'!B4-F96),"")</f>
        <v/>
      </c>
      <c r="U96" s="152">
        <f>IFERROR(ABS(K96-YEAR('02_대상물건입력'!B14)),"")</f>
        <v/>
      </c>
      <c r="V96" s="152">
        <f>IF(B96="","",IF(AND(E96&gt;0,F96&gt;0,H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96=1,TRUE()),R96&lt;='01_설정'!B5,S96&lt;='01_설정'!B6,T96&lt;='01_설정'!B7,U96&lt;='01_설정'!B8),"Y",""))</f>
        <v/>
      </c>
      <c r="W96" s="172">
        <f>IF(V96&lt;&gt;"Y","",MAX(0,(1-R96/'01_설정'!B5))*'01_설정'!B14+MAX(0,(1-S96/'01_설정'!B6))*'01_설정'!B15+MAX(0,(1-T96/'01_설정'!B7))*'01_설정'!B16+MAX(0,(1-U96/'01_설정'!B8))*'01_설정'!B17+O96*'01_설정'!B11+Q96*'01_설정'!B12+P96*'01_설정'!B13+IF(Z96="",0,Z96))</f>
        <v/>
      </c>
      <c r="X96" s="152">
        <f>IF(W96="","",1+COUNTIFS($W$4:$W$3003,"&gt;"&amp;W96)+COUNTIFS($W$4:W96,W96)-1)</f>
        <v/>
      </c>
      <c r="Y96" s="175">
        <f>IF(OR(I96="",'02_대상물건입력'!B19="",'02_대상물건입력'!B19&lt;=0),"",ABS(I96-'02_대상물건입력'!B19)/'02_대상물건입력'!B19)</f>
        <v/>
      </c>
      <c r="Z96" s="172">
        <f>IF(OR(Y96="",'01_설정'!B31="",'01_설정'!B31&lt;=0,'01_설정'!B32="",'01_설정'!B32&lt;=0),"",MAX(0,(1-Y96/'01_설정'!B32))*'01_설정'!B31)</f>
        <v/>
      </c>
    </row>
    <row r="97" ht="17.25" customHeight="1">
      <c r="A97" s="152">
        <f>IF(INDEX('04A_국토부원자료'!$A:$A,ROW()+1)="","",ROW()-3)</f>
        <v/>
      </c>
      <c r="B97" s="48">
        <f>IFERROR(INDEX('04A_국토부원자료'!$A:$T,ROW()+1,MATCH("시군구",'04A_국토부원자료'!$A$4:$T$4,0)),"")</f>
        <v/>
      </c>
      <c r="C97" s="48">
        <f>IF(B97="","",IFERROR(INDEX('04A_국토부원자료'!$A:$T,ROW()+1,MATCH("번지",'04A_국토부원자료'!$A$4:$T$4,0)),""))</f>
        <v/>
      </c>
      <c r="D97" s="48">
        <f>IF(B97="","",IF(Q97=1,'02_대상물건입력'!$B$8,IFERROR(INDEX('04A_국토부원자료'!$A:$T,ROW()+1,MATCH("단지명",'04A_국토부원자료'!$A$4:$T$4,0)),"")))</f>
        <v/>
      </c>
      <c r="E97" s="172">
        <f>IFERROR(VALUE(SUBSTITUTE(INDEX('04A_국토부원자료'!$A:$T,ROW()+1,MATCH("전용면적(㎡)",'04A_국토부원자료'!$A$4:$T$4,0)),",","")),"")</f>
        <v/>
      </c>
      <c r="F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7" s="51">
        <f>IFERROR(VALUE(SUBSTITUTE(INDEX('04A_국토부원자료'!$A:$T,ROW()+1,MATCH("거래금액(만원)",'04A_국토부원자료'!$A$4:$T$4,0)),",","")),"")</f>
        <v/>
      </c>
      <c r="H97" s="174">
        <f>IF(G97="","",G97*10000)</f>
        <v/>
      </c>
      <c r="I97" s="174">
        <f>IFERROR(IF(AND(H97&gt;0,E97&gt;0),H97/E97,""),"")</f>
        <v/>
      </c>
      <c r="J97" s="152">
        <f>IFERROR(VALUE(SUBSTITUTE(INDEX('04A_국토부원자료'!$A:$T,ROW()+1,MATCH("층",'04A_국토부원자료'!$A$4:$T$4,0)),",","")),"")</f>
        <v/>
      </c>
      <c r="K97" s="152">
        <f>IFERROR(VALUE(SUBSTITUTE(INDEX('04A_국토부원자료'!$A:$T,ROW()+1,MATCH("건축년도",'04A_국토부원자료'!$A$4:$T$4,0)),",","")),"")</f>
        <v/>
      </c>
      <c r="L97" s="176">
        <f>IFERROR(INDEX('04A_국토부원자료'!$A:$T,ROW()+1,MATCH("도로명",'04A_국토부원자료'!$A$4:$T$4,0)),"")</f>
        <v/>
      </c>
      <c r="M97" s="48">
        <f>IFERROR(INDEX('04A_국토부원자료'!$A:$T,ROW()+1,MATCH("거래유형",'04A_국토부원자료'!$A$4:$T$4,0)),"")</f>
        <v/>
      </c>
      <c r="N97" s="152">
        <f>IF(B97="","",IF('02_대상물건입력'!B5="",1,IF(ISNUMBER(SEARCH('02_대상물건입력'!B5,B97)),1,0)))</f>
        <v/>
      </c>
      <c r="O97" s="152">
        <f>IF(B97="","",IF('02_대상물건입력'!B6="",1,IF(ISNUMBER(SEARCH('02_대상물건입력'!B6,B97)),1,0)))</f>
        <v/>
      </c>
      <c r="P97" s="152">
        <f>IF(L97="","",IF('02_대상물건입력'!B15="",0,IF(ISNUMBER(SEARCH('02_대상물건입력'!B15,L97)),1,0)))</f>
        <v/>
      </c>
      <c r="Q97" s="152">
        <f>IF(OR(C97="",L97=""),0,IF(AND(TRIM(C97)=TRIM(RIGHT(SUBSTITUTE(TRIM('02_대상물건입력'!$B$7)," ",REPT(" ",99)),99)),IF('02_대상물건입력'!B15="",TRUE(),ISNUMBER(SEARCH('02_대상물건입력'!B15,L97)))),1,0))</f>
        <v/>
      </c>
      <c r="R97" s="175">
        <f>IFERROR(ABS(E97-'02_대상물건입력'!B11)/'02_대상물건입력'!B11,"")</f>
        <v/>
      </c>
      <c r="S97" s="152">
        <f>IFERROR(ABS(J97-'02_대상물건입력'!B10),"")</f>
        <v/>
      </c>
      <c r="T97" s="152">
        <f>IFERROR(ABS('01_설정'!B4-F97),"")</f>
        <v/>
      </c>
      <c r="U97" s="152">
        <f>IFERROR(ABS(K97-YEAR('02_대상물건입력'!B14)),"")</f>
        <v/>
      </c>
      <c r="V97" s="152">
        <f>IF(B97="","",IF(AND(E97&gt;0,F97&gt;0,H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97=1,TRUE()),R97&lt;='01_설정'!B5,S97&lt;='01_설정'!B6,T97&lt;='01_설정'!B7,U97&lt;='01_설정'!B8),"Y",""))</f>
        <v/>
      </c>
      <c r="W97" s="172">
        <f>IF(V97&lt;&gt;"Y","",MAX(0,(1-R97/'01_설정'!B5))*'01_설정'!B14+MAX(0,(1-S97/'01_설정'!B6))*'01_설정'!B15+MAX(0,(1-T97/'01_설정'!B7))*'01_설정'!B16+MAX(0,(1-U97/'01_설정'!B8))*'01_설정'!B17+O97*'01_설정'!B11+Q97*'01_설정'!B12+P97*'01_설정'!B13+IF(Z97="",0,Z97))</f>
        <v/>
      </c>
      <c r="X97" s="152">
        <f>IF(W97="","",1+COUNTIFS($W$4:$W$3003,"&gt;"&amp;W97)+COUNTIFS($W$4:W97,W97)-1)</f>
        <v/>
      </c>
      <c r="Y97" s="175">
        <f>IF(OR(I97="",'02_대상물건입력'!B19="",'02_대상물건입력'!B19&lt;=0),"",ABS(I97-'02_대상물건입력'!B19)/'02_대상물건입력'!B19)</f>
        <v/>
      </c>
      <c r="Z97" s="172">
        <f>IF(OR(Y97="",'01_설정'!B31="",'01_설정'!B31&lt;=0,'01_설정'!B32="",'01_설정'!B32&lt;=0),"",MAX(0,(1-Y97/'01_설정'!B32))*'01_설정'!B31)</f>
        <v/>
      </c>
    </row>
    <row r="98" ht="17.25" customHeight="1">
      <c r="A98" s="152">
        <f>IF(INDEX('04A_국토부원자료'!$A:$A,ROW()+1)="","",ROW()-3)</f>
        <v/>
      </c>
      <c r="B98" s="48">
        <f>IFERROR(INDEX('04A_국토부원자료'!$A:$T,ROW()+1,MATCH("시군구",'04A_국토부원자료'!$A$4:$T$4,0)),"")</f>
        <v/>
      </c>
      <c r="C98" s="48">
        <f>IF(B98="","",IFERROR(INDEX('04A_국토부원자료'!$A:$T,ROW()+1,MATCH("번지",'04A_국토부원자료'!$A$4:$T$4,0)),""))</f>
        <v/>
      </c>
      <c r="D98" s="48">
        <f>IF(B98="","",IF(Q98=1,'02_대상물건입력'!$B$8,IFERROR(INDEX('04A_국토부원자료'!$A:$T,ROW()+1,MATCH("단지명",'04A_국토부원자료'!$A$4:$T$4,0)),"")))</f>
        <v/>
      </c>
      <c r="E98" s="172">
        <f>IFERROR(VALUE(SUBSTITUTE(INDEX('04A_국토부원자료'!$A:$T,ROW()+1,MATCH("전용면적(㎡)",'04A_국토부원자료'!$A$4:$T$4,0)),",","")),"")</f>
        <v/>
      </c>
      <c r="F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8" s="51">
        <f>IFERROR(VALUE(SUBSTITUTE(INDEX('04A_국토부원자료'!$A:$T,ROW()+1,MATCH("거래금액(만원)",'04A_국토부원자료'!$A$4:$T$4,0)),",","")),"")</f>
        <v/>
      </c>
      <c r="H98" s="174">
        <f>IF(G98="","",G98*10000)</f>
        <v/>
      </c>
      <c r="I98" s="174">
        <f>IFERROR(IF(AND(H98&gt;0,E98&gt;0),H98/E98,""),"")</f>
        <v/>
      </c>
      <c r="J98" s="152">
        <f>IFERROR(VALUE(SUBSTITUTE(INDEX('04A_국토부원자료'!$A:$T,ROW()+1,MATCH("층",'04A_국토부원자료'!$A$4:$T$4,0)),",","")),"")</f>
        <v/>
      </c>
      <c r="K98" s="152">
        <f>IFERROR(VALUE(SUBSTITUTE(INDEX('04A_국토부원자료'!$A:$T,ROW()+1,MATCH("건축년도",'04A_국토부원자료'!$A$4:$T$4,0)),",","")),"")</f>
        <v/>
      </c>
      <c r="L98" s="176">
        <f>IFERROR(INDEX('04A_국토부원자료'!$A:$T,ROW()+1,MATCH("도로명",'04A_국토부원자료'!$A$4:$T$4,0)),"")</f>
        <v/>
      </c>
      <c r="M98" s="48">
        <f>IFERROR(INDEX('04A_국토부원자료'!$A:$T,ROW()+1,MATCH("거래유형",'04A_국토부원자료'!$A$4:$T$4,0)),"")</f>
        <v/>
      </c>
      <c r="N98" s="152">
        <f>IF(B98="","",IF('02_대상물건입력'!B5="",1,IF(ISNUMBER(SEARCH('02_대상물건입력'!B5,B98)),1,0)))</f>
        <v/>
      </c>
      <c r="O98" s="152">
        <f>IF(B98="","",IF('02_대상물건입력'!B6="",1,IF(ISNUMBER(SEARCH('02_대상물건입력'!B6,B98)),1,0)))</f>
        <v/>
      </c>
      <c r="P98" s="152">
        <f>IF(L98="","",IF('02_대상물건입력'!B15="",0,IF(ISNUMBER(SEARCH('02_대상물건입력'!B15,L98)),1,0)))</f>
        <v/>
      </c>
      <c r="Q98" s="152">
        <f>IF(OR(C98="",L98=""),0,IF(AND(TRIM(C98)=TRIM(RIGHT(SUBSTITUTE(TRIM('02_대상물건입력'!$B$7)," ",REPT(" ",99)),99)),IF('02_대상물건입력'!B15="",TRUE(),ISNUMBER(SEARCH('02_대상물건입력'!B15,L98)))),1,0))</f>
        <v/>
      </c>
      <c r="R98" s="175">
        <f>IFERROR(ABS(E98-'02_대상물건입력'!B11)/'02_대상물건입력'!B11,"")</f>
        <v/>
      </c>
      <c r="S98" s="152">
        <f>IFERROR(ABS(J98-'02_대상물건입력'!B10),"")</f>
        <v/>
      </c>
      <c r="T98" s="152">
        <f>IFERROR(ABS('01_설정'!B4-F98),"")</f>
        <v/>
      </c>
      <c r="U98" s="152">
        <f>IFERROR(ABS(K98-YEAR('02_대상물건입력'!B14)),"")</f>
        <v/>
      </c>
      <c r="V98" s="152">
        <f>IF(B98="","",IF(AND(E98&gt;0,F98&gt;0,H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98=1,TRUE()),R98&lt;='01_설정'!B5,S98&lt;='01_설정'!B6,T98&lt;='01_설정'!B7,U98&lt;='01_설정'!B8),"Y",""))</f>
        <v/>
      </c>
      <c r="W98" s="172">
        <f>IF(V98&lt;&gt;"Y","",MAX(0,(1-R98/'01_설정'!B5))*'01_설정'!B14+MAX(0,(1-S98/'01_설정'!B6))*'01_설정'!B15+MAX(0,(1-T98/'01_설정'!B7))*'01_설정'!B16+MAX(0,(1-U98/'01_설정'!B8))*'01_설정'!B17+O98*'01_설정'!B11+Q98*'01_설정'!B12+P98*'01_설정'!B13+IF(Z98="",0,Z98))</f>
        <v/>
      </c>
      <c r="X98" s="152">
        <f>IF(W98="","",1+COUNTIFS($W$4:$W$3003,"&gt;"&amp;W98)+COUNTIFS($W$4:W98,W98)-1)</f>
        <v/>
      </c>
      <c r="Y98" s="175">
        <f>IF(OR(I98="",'02_대상물건입력'!B19="",'02_대상물건입력'!B19&lt;=0),"",ABS(I98-'02_대상물건입력'!B19)/'02_대상물건입력'!B19)</f>
        <v/>
      </c>
      <c r="Z98" s="172">
        <f>IF(OR(Y98="",'01_설정'!B31="",'01_설정'!B31&lt;=0,'01_설정'!B32="",'01_설정'!B32&lt;=0),"",MAX(0,(1-Y98/'01_설정'!B32))*'01_설정'!B31)</f>
        <v/>
      </c>
    </row>
    <row r="99" ht="17.25" customHeight="1">
      <c r="A99" s="152">
        <f>IF(INDEX('04A_국토부원자료'!$A:$A,ROW()+1)="","",ROW()-3)</f>
        <v/>
      </c>
      <c r="B99" s="48">
        <f>IFERROR(INDEX('04A_국토부원자료'!$A:$T,ROW()+1,MATCH("시군구",'04A_국토부원자료'!$A$4:$T$4,0)),"")</f>
        <v/>
      </c>
      <c r="C99" s="48">
        <f>IF(B99="","",IFERROR(INDEX('04A_국토부원자료'!$A:$T,ROW()+1,MATCH("번지",'04A_국토부원자료'!$A$4:$T$4,0)),""))</f>
        <v/>
      </c>
      <c r="D99" s="48">
        <f>IF(B99="","",IF(Q99=1,'02_대상물건입력'!$B$8,IFERROR(INDEX('04A_국토부원자료'!$A:$T,ROW()+1,MATCH("단지명",'04A_국토부원자료'!$A$4:$T$4,0)),"")))</f>
        <v/>
      </c>
      <c r="E99" s="172">
        <f>IFERROR(VALUE(SUBSTITUTE(INDEX('04A_국토부원자료'!$A:$T,ROW()+1,MATCH("전용면적(㎡)",'04A_국토부원자료'!$A$4:$T$4,0)),",","")),"")</f>
        <v/>
      </c>
      <c r="F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9" s="51">
        <f>IFERROR(VALUE(SUBSTITUTE(INDEX('04A_국토부원자료'!$A:$T,ROW()+1,MATCH("거래금액(만원)",'04A_국토부원자료'!$A$4:$T$4,0)),",","")),"")</f>
        <v/>
      </c>
      <c r="H99" s="174">
        <f>IF(G99="","",G99*10000)</f>
        <v/>
      </c>
      <c r="I99" s="174">
        <f>IFERROR(IF(AND(H99&gt;0,E99&gt;0),H99/E99,""),"")</f>
        <v/>
      </c>
      <c r="J99" s="152">
        <f>IFERROR(VALUE(SUBSTITUTE(INDEX('04A_국토부원자료'!$A:$T,ROW()+1,MATCH("층",'04A_국토부원자료'!$A$4:$T$4,0)),",","")),"")</f>
        <v/>
      </c>
      <c r="K99" s="152">
        <f>IFERROR(VALUE(SUBSTITUTE(INDEX('04A_국토부원자료'!$A:$T,ROW()+1,MATCH("건축년도",'04A_국토부원자료'!$A$4:$T$4,0)),",","")),"")</f>
        <v/>
      </c>
      <c r="L99" s="176">
        <f>IFERROR(INDEX('04A_국토부원자료'!$A:$T,ROW()+1,MATCH("도로명",'04A_국토부원자료'!$A$4:$T$4,0)),"")</f>
        <v/>
      </c>
      <c r="M99" s="48">
        <f>IFERROR(INDEX('04A_국토부원자료'!$A:$T,ROW()+1,MATCH("거래유형",'04A_국토부원자료'!$A$4:$T$4,0)),"")</f>
        <v/>
      </c>
      <c r="N99" s="152">
        <f>IF(B99="","",IF('02_대상물건입력'!B5="",1,IF(ISNUMBER(SEARCH('02_대상물건입력'!B5,B99)),1,0)))</f>
        <v/>
      </c>
      <c r="O99" s="152">
        <f>IF(B99="","",IF('02_대상물건입력'!B6="",1,IF(ISNUMBER(SEARCH('02_대상물건입력'!B6,B99)),1,0)))</f>
        <v/>
      </c>
      <c r="P99" s="152">
        <f>IF(L99="","",IF('02_대상물건입력'!B15="",0,IF(ISNUMBER(SEARCH('02_대상물건입력'!B15,L99)),1,0)))</f>
        <v/>
      </c>
      <c r="Q99" s="152">
        <f>IF(OR(C99="",L99=""),0,IF(AND(TRIM(C99)=TRIM(RIGHT(SUBSTITUTE(TRIM('02_대상물건입력'!$B$7)," ",REPT(" ",99)),99)),IF('02_대상물건입력'!B15="",TRUE(),ISNUMBER(SEARCH('02_대상물건입력'!B15,L99)))),1,0))</f>
        <v/>
      </c>
      <c r="R99" s="175">
        <f>IFERROR(ABS(E99-'02_대상물건입력'!B11)/'02_대상물건입력'!B11,"")</f>
        <v/>
      </c>
      <c r="S99" s="152">
        <f>IFERROR(ABS(J99-'02_대상물건입력'!B10),"")</f>
        <v/>
      </c>
      <c r="T99" s="152">
        <f>IFERROR(ABS('01_설정'!B4-F99),"")</f>
        <v/>
      </c>
      <c r="U99" s="152">
        <f>IFERROR(ABS(K99-YEAR('02_대상물건입력'!B14)),"")</f>
        <v/>
      </c>
      <c r="V99" s="152">
        <f>IF(B99="","",IF(AND(E99&gt;0,F99&gt;0,H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99=1,TRUE()),R99&lt;='01_설정'!B5,S99&lt;='01_설정'!B6,T99&lt;='01_설정'!B7,U99&lt;='01_설정'!B8),"Y",""))</f>
        <v/>
      </c>
      <c r="W99" s="172">
        <f>IF(V99&lt;&gt;"Y","",MAX(0,(1-R99/'01_설정'!B5))*'01_설정'!B14+MAX(0,(1-S99/'01_설정'!B6))*'01_설정'!B15+MAX(0,(1-T99/'01_설정'!B7))*'01_설정'!B16+MAX(0,(1-U99/'01_설정'!B8))*'01_설정'!B17+O99*'01_설정'!B11+Q99*'01_설정'!B12+P99*'01_설정'!B13+IF(Z99="",0,Z99))</f>
        <v/>
      </c>
      <c r="X99" s="152">
        <f>IF(W99="","",1+COUNTIFS($W$4:$W$3003,"&gt;"&amp;W99)+COUNTIFS($W$4:W99,W99)-1)</f>
        <v/>
      </c>
      <c r="Y99" s="175">
        <f>IF(OR(I99="",'02_대상물건입력'!B19="",'02_대상물건입력'!B19&lt;=0),"",ABS(I99-'02_대상물건입력'!B19)/'02_대상물건입력'!B19)</f>
        <v/>
      </c>
      <c r="Z99" s="172">
        <f>IF(OR(Y99="",'01_설정'!B31="",'01_설정'!B31&lt;=0,'01_설정'!B32="",'01_설정'!B32&lt;=0),"",MAX(0,(1-Y99/'01_설정'!B32))*'01_설정'!B31)</f>
        <v/>
      </c>
    </row>
    <row r="100" ht="17.25" customHeight="1">
      <c r="A100" s="152">
        <f>IF(INDEX('04A_국토부원자료'!$A:$A,ROW()+1)="","",ROW()-3)</f>
        <v/>
      </c>
      <c r="B100" s="48">
        <f>IFERROR(INDEX('04A_국토부원자료'!$A:$T,ROW()+1,MATCH("시군구",'04A_국토부원자료'!$A$4:$T$4,0)),"")</f>
        <v/>
      </c>
      <c r="C100" s="48">
        <f>IF(B100="","",IFERROR(INDEX('04A_국토부원자료'!$A:$T,ROW()+1,MATCH("번지",'04A_국토부원자료'!$A$4:$T$4,0)),""))</f>
        <v/>
      </c>
      <c r="D100" s="48">
        <f>IF(B100="","",IF(Q100=1,'02_대상물건입력'!$B$8,IFERROR(INDEX('04A_국토부원자료'!$A:$T,ROW()+1,MATCH("단지명",'04A_국토부원자료'!$A$4:$T$4,0)),"")))</f>
        <v/>
      </c>
      <c r="E100" s="172">
        <f>IFERROR(VALUE(SUBSTITUTE(INDEX('04A_국토부원자료'!$A:$T,ROW()+1,MATCH("전용면적(㎡)",'04A_국토부원자료'!$A$4:$T$4,0)),",","")),"")</f>
        <v/>
      </c>
      <c r="F1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0" s="51">
        <f>IFERROR(VALUE(SUBSTITUTE(INDEX('04A_국토부원자료'!$A:$T,ROW()+1,MATCH("거래금액(만원)",'04A_국토부원자료'!$A$4:$T$4,0)),",","")),"")</f>
        <v/>
      </c>
      <c r="H100" s="174">
        <f>IF(G100="","",G100*10000)</f>
        <v/>
      </c>
      <c r="I100" s="174">
        <f>IFERROR(IF(AND(H100&gt;0,E100&gt;0),H100/E100,""),"")</f>
        <v/>
      </c>
      <c r="J100" s="152">
        <f>IFERROR(VALUE(SUBSTITUTE(INDEX('04A_국토부원자료'!$A:$T,ROW()+1,MATCH("층",'04A_국토부원자료'!$A$4:$T$4,0)),",","")),"")</f>
        <v/>
      </c>
      <c r="K100" s="152">
        <f>IFERROR(VALUE(SUBSTITUTE(INDEX('04A_국토부원자료'!$A:$T,ROW()+1,MATCH("건축년도",'04A_국토부원자료'!$A$4:$T$4,0)),",","")),"")</f>
        <v/>
      </c>
      <c r="L100" s="176">
        <f>IFERROR(INDEX('04A_국토부원자료'!$A:$T,ROW()+1,MATCH("도로명",'04A_국토부원자료'!$A$4:$T$4,0)),"")</f>
        <v/>
      </c>
      <c r="M100" s="48">
        <f>IFERROR(INDEX('04A_국토부원자료'!$A:$T,ROW()+1,MATCH("거래유형",'04A_국토부원자료'!$A$4:$T$4,0)),"")</f>
        <v/>
      </c>
      <c r="N100" s="152">
        <f>IF(B100="","",IF('02_대상물건입력'!B5="",1,IF(ISNUMBER(SEARCH('02_대상물건입력'!B5,B100)),1,0)))</f>
        <v/>
      </c>
      <c r="O100" s="152">
        <f>IF(B100="","",IF('02_대상물건입력'!B6="",1,IF(ISNUMBER(SEARCH('02_대상물건입력'!B6,B100)),1,0)))</f>
        <v/>
      </c>
      <c r="P100" s="152">
        <f>IF(L100="","",IF('02_대상물건입력'!B15="",0,IF(ISNUMBER(SEARCH('02_대상물건입력'!B15,L100)),1,0)))</f>
        <v/>
      </c>
      <c r="Q100" s="152">
        <f>IF(OR(C100="",L100=""),0,IF(AND(TRIM(C100)=TRIM(RIGHT(SUBSTITUTE(TRIM('02_대상물건입력'!$B$7)," ",REPT(" ",99)),99)),IF('02_대상물건입력'!B15="",TRUE(),ISNUMBER(SEARCH('02_대상물건입력'!B15,L100)))),1,0))</f>
        <v/>
      </c>
      <c r="R100" s="175">
        <f>IFERROR(ABS(E100-'02_대상물건입력'!B11)/'02_대상물건입력'!B11,"")</f>
        <v/>
      </c>
      <c r="S100" s="152">
        <f>IFERROR(ABS(J100-'02_대상물건입력'!B10),"")</f>
        <v/>
      </c>
      <c r="T100" s="152">
        <f>IFERROR(ABS('01_설정'!B4-F100),"")</f>
        <v/>
      </c>
      <c r="U100" s="152">
        <f>IFERROR(ABS(K100-YEAR('02_대상물건입력'!B14)),"")</f>
        <v/>
      </c>
      <c r="V100" s="152">
        <f>IF(B100="","",IF(AND(E100&gt;0,F100&gt;0,H100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100=1,TRUE()),R100&lt;='01_설정'!B5,S100&lt;='01_설정'!B6,T100&lt;='01_설정'!B7,U100&lt;='01_설정'!B8),"Y",""))</f>
        <v/>
      </c>
      <c r="W100" s="172">
        <f>IF(V100&lt;&gt;"Y","",MAX(0,(1-R100/'01_설정'!B5))*'01_설정'!B14+MAX(0,(1-S100/'01_설정'!B6))*'01_설정'!B15+MAX(0,(1-T100/'01_설정'!B7))*'01_설정'!B16+MAX(0,(1-U100/'01_설정'!B8))*'01_설정'!B17+O100*'01_설정'!B11+Q100*'01_설정'!B12+P100*'01_설정'!B13+IF(Z100="",0,Z100))</f>
        <v/>
      </c>
      <c r="X100" s="152">
        <f>IF(W100="","",1+COUNTIFS($W$4:$W$3003,"&gt;"&amp;W100)+COUNTIFS($W$4:W100,W100)-1)</f>
        <v/>
      </c>
      <c r="Y100" s="175">
        <f>IF(OR(I100="",'02_대상물건입력'!B19="",'02_대상물건입력'!B19&lt;=0),"",ABS(I100-'02_대상물건입력'!B19)/'02_대상물건입력'!B19)</f>
        <v/>
      </c>
      <c r="Z100" s="172">
        <f>IF(OR(Y100="",'01_설정'!B31="",'01_설정'!B31&lt;=0,'01_설정'!B32="",'01_설정'!B32&lt;=0),"",MAX(0,(1-Y100/'01_설정'!B32))*'01_설정'!B31)</f>
        <v/>
      </c>
    </row>
    <row r="101" ht="17.25" customHeight="1">
      <c r="A101" s="152">
        <f>IF(INDEX('04A_국토부원자료'!$A:$A,ROW()+1)="","",ROW()-3)</f>
        <v/>
      </c>
      <c r="B101" s="48">
        <f>IFERROR(INDEX('04A_국토부원자료'!$A:$T,ROW()+1,MATCH("시군구",'04A_국토부원자료'!$A$4:$T$4,0)),"")</f>
        <v/>
      </c>
      <c r="C101" s="48">
        <f>IF(B101="","",IFERROR(INDEX('04A_국토부원자료'!$A:$T,ROW()+1,MATCH("번지",'04A_국토부원자료'!$A$4:$T$4,0)),""))</f>
        <v/>
      </c>
      <c r="D101" s="48">
        <f>IF(B101="","",IF(Q101=1,'02_대상물건입력'!$B$8,IFERROR(INDEX('04A_국토부원자료'!$A:$T,ROW()+1,MATCH("단지명",'04A_국토부원자료'!$A$4:$T$4,0)),"")))</f>
        <v/>
      </c>
      <c r="E101" s="172">
        <f>IFERROR(VALUE(SUBSTITUTE(INDEX('04A_국토부원자료'!$A:$T,ROW()+1,MATCH("전용면적(㎡)",'04A_국토부원자료'!$A$4:$T$4,0)),",","")),"")</f>
        <v/>
      </c>
      <c r="F1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1" s="51">
        <f>IFERROR(VALUE(SUBSTITUTE(INDEX('04A_국토부원자료'!$A:$T,ROW()+1,MATCH("거래금액(만원)",'04A_국토부원자료'!$A$4:$T$4,0)),",","")),"")</f>
        <v/>
      </c>
      <c r="H101" s="174">
        <f>IF(G101="","",G101*10000)</f>
        <v/>
      </c>
      <c r="I101" s="174">
        <f>IFERROR(IF(AND(H101&gt;0,E101&gt;0),H101/E101,""),"")</f>
        <v/>
      </c>
      <c r="J101" s="152">
        <f>IFERROR(VALUE(SUBSTITUTE(INDEX('04A_국토부원자료'!$A:$T,ROW()+1,MATCH("층",'04A_국토부원자료'!$A$4:$T$4,0)),",","")),"")</f>
        <v/>
      </c>
      <c r="K101" s="152">
        <f>IFERROR(VALUE(SUBSTITUTE(INDEX('04A_국토부원자료'!$A:$T,ROW()+1,MATCH("건축년도",'04A_국토부원자료'!$A$4:$T$4,0)),",","")),"")</f>
        <v/>
      </c>
      <c r="L101" s="176">
        <f>IFERROR(INDEX('04A_국토부원자료'!$A:$T,ROW()+1,MATCH("도로명",'04A_국토부원자료'!$A$4:$T$4,0)),"")</f>
        <v/>
      </c>
      <c r="M101" s="48">
        <f>IFERROR(INDEX('04A_국토부원자료'!$A:$T,ROW()+1,MATCH("거래유형",'04A_국토부원자료'!$A$4:$T$4,0)),"")</f>
        <v/>
      </c>
      <c r="N101" s="152">
        <f>IF(B101="","",IF('02_대상물건입력'!B5="",1,IF(ISNUMBER(SEARCH('02_대상물건입력'!B5,B101)),1,0)))</f>
        <v/>
      </c>
      <c r="O101" s="152">
        <f>IF(B101="","",IF('02_대상물건입력'!B6="",1,IF(ISNUMBER(SEARCH('02_대상물건입력'!B6,B101)),1,0)))</f>
        <v/>
      </c>
      <c r="P101" s="152">
        <f>IF(L101="","",IF('02_대상물건입력'!B15="",0,IF(ISNUMBER(SEARCH('02_대상물건입력'!B15,L101)),1,0)))</f>
        <v/>
      </c>
      <c r="Q101" s="152">
        <f>IF(OR(C101="",L101=""),0,IF(AND(TRIM(C101)=TRIM(RIGHT(SUBSTITUTE(TRIM('02_대상물건입력'!$B$7)," ",REPT(" ",99)),99)),IF('02_대상물건입력'!B15="",TRUE(),ISNUMBER(SEARCH('02_대상물건입력'!B15,L101)))),1,0))</f>
        <v/>
      </c>
      <c r="R101" s="175">
        <f>IFERROR(ABS(E101-'02_대상물건입력'!B11)/'02_대상물건입력'!B11,"")</f>
        <v/>
      </c>
      <c r="S101" s="152">
        <f>IFERROR(ABS(J101-'02_대상물건입력'!B10),"")</f>
        <v/>
      </c>
      <c r="T101" s="152">
        <f>IFERROR(ABS('01_설정'!B4-F101),"")</f>
        <v/>
      </c>
      <c r="U101" s="152">
        <f>IFERROR(ABS(K101-YEAR('02_대상물건입력'!B14)),"")</f>
        <v/>
      </c>
      <c r="V101" s="152">
        <f>IF(B101="","",IF(AND(E101&gt;0,F101&gt;0,H101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101=1,TRUE()),R101&lt;='01_설정'!B5,S101&lt;='01_설정'!B6,T101&lt;='01_설정'!B7,U101&lt;='01_설정'!B8),"Y",""))</f>
        <v/>
      </c>
      <c r="W101" s="172">
        <f>IF(V101&lt;&gt;"Y","",MAX(0,(1-R101/'01_설정'!B5))*'01_설정'!B14+MAX(0,(1-S101/'01_설정'!B6))*'01_설정'!B15+MAX(0,(1-T101/'01_설정'!B7))*'01_설정'!B16+MAX(0,(1-U101/'01_설정'!B8))*'01_설정'!B17+O101*'01_설정'!B11+Q101*'01_설정'!B12+P101*'01_설정'!B13+IF(Z101="",0,Z101))</f>
        <v/>
      </c>
      <c r="X101" s="152">
        <f>IF(W101="","",1+COUNTIFS($W$4:$W$3003,"&gt;"&amp;W101)+COUNTIFS($W$4:W101,W101)-1)</f>
        <v/>
      </c>
      <c r="Y101" s="175">
        <f>IF(OR(I101="",'02_대상물건입력'!B19="",'02_대상물건입력'!B19&lt;=0),"",ABS(I101-'02_대상물건입력'!B19)/'02_대상물건입력'!B19)</f>
        <v/>
      </c>
      <c r="Z101" s="172">
        <f>IF(OR(Y101="",'01_설정'!B31="",'01_설정'!B31&lt;=0,'01_설정'!B32="",'01_설정'!B32&lt;=0),"",MAX(0,(1-Y101/'01_설정'!B32))*'01_설정'!B31)</f>
        <v/>
      </c>
    </row>
    <row r="102" ht="17.25" customHeight="1">
      <c r="A102" s="152">
        <f>IF(INDEX('04A_국토부원자료'!$A:$A,ROW()+1)="","",ROW()-3)</f>
        <v/>
      </c>
      <c r="B102" s="48">
        <f>IFERROR(INDEX('04A_국토부원자료'!$A:$T,ROW()+1,MATCH("시군구",'04A_국토부원자료'!$A$4:$T$4,0)),"")</f>
        <v/>
      </c>
      <c r="C102" s="48">
        <f>IF(B102="","",IFERROR(INDEX('04A_국토부원자료'!$A:$T,ROW()+1,MATCH("번지",'04A_국토부원자료'!$A$4:$T$4,0)),""))</f>
        <v/>
      </c>
      <c r="D102" s="48">
        <f>IF(B102="","",IF(Q102=1,'02_대상물건입력'!$B$8,IFERROR(INDEX('04A_국토부원자료'!$A:$T,ROW()+1,MATCH("단지명",'04A_국토부원자료'!$A$4:$T$4,0)),"")))</f>
        <v/>
      </c>
      <c r="E102" s="172">
        <f>IFERROR(VALUE(SUBSTITUTE(INDEX('04A_국토부원자료'!$A:$T,ROW()+1,MATCH("전용면적(㎡)",'04A_국토부원자료'!$A$4:$T$4,0)),",","")),"")</f>
        <v/>
      </c>
      <c r="F1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2" s="51">
        <f>IFERROR(VALUE(SUBSTITUTE(INDEX('04A_국토부원자료'!$A:$T,ROW()+1,MATCH("거래금액(만원)",'04A_국토부원자료'!$A$4:$T$4,0)),",","")),"")</f>
        <v/>
      </c>
      <c r="H102" s="174">
        <f>IF(G102="","",G102*10000)</f>
        <v/>
      </c>
      <c r="I102" s="174">
        <f>IFERROR(IF(AND(H102&gt;0,E102&gt;0),H102/E102,""),"")</f>
        <v/>
      </c>
      <c r="J102" s="152">
        <f>IFERROR(VALUE(SUBSTITUTE(INDEX('04A_국토부원자료'!$A:$T,ROW()+1,MATCH("층",'04A_국토부원자료'!$A$4:$T$4,0)),",","")),"")</f>
        <v/>
      </c>
      <c r="K102" s="152">
        <f>IFERROR(VALUE(SUBSTITUTE(INDEX('04A_국토부원자료'!$A:$T,ROW()+1,MATCH("건축년도",'04A_국토부원자료'!$A$4:$T$4,0)),",","")),"")</f>
        <v/>
      </c>
      <c r="L102" s="176">
        <f>IFERROR(INDEX('04A_국토부원자료'!$A:$T,ROW()+1,MATCH("도로명",'04A_국토부원자료'!$A$4:$T$4,0)),"")</f>
        <v/>
      </c>
      <c r="M102" s="48">
        <f>IFERROR(INDEX('04A_국토부원자료'!$A:$T,ROW()+1,MATCH("거래유형",'04A_국토부원자료'!$A$4:$T$4,0)),"")</f>
        <v/>
      </c>
      <c r="N102" s="152">
        <f>IF(B102="","",IF('02_대상물건입력'!B5="",1,IF(ISNUMBER(SEARCH('02_대상물건입력'!B5,B102)),1,0)))</f>
        <v/>
      </c>
      <c r="O102" s="152">
        <f>IF(B102="","",IF('02_대상물건입력'!B6="",1,IF(ISNUMBER(SEARCH('02_대상물건입력'!B6,B102)),1,0)))</f>
        <v/>
      </c>
      <c r="P102" s="152">
        <f>IF(L102="","",IF('02_대상물건입력'!B15="",0,IF(ISNUMBER(SEARCH('02_대상물건입력'!B15,L102)),1,0)))</f>
        <v/>
      </c>
      <c r="Q102" s="152">
        <f>IF(OR(C102="",L102=""),0,IF(AND(TRIM(C102)=TRIM(RIGHT(SUBSTITUTE(TRIM('02_대상물건입력'!$B$7)," ",REPT(" ",99)),99)),IF('02_대상물건입력'!B15="",TRUE(),ISNUMBER(SEARCH('02_대상물건입력'!B15,L102)))),1,0))</f>
        <v/>
      </c>
      <c r="R102" s="175">
        <f>IFERROR(ABS(E102-'02_대상물건입력'!B11)/'02_대상물건입력'!B11,"")</f>
        <v/>
      </c>
      <c r="S102" s="152">
        <f>IFERROR(ABS(J102-'02_대상물건입력'!B10),"")</f>
        <v/>
      </c>
      <c r="T102" s="152">
        <f>IFERROR(ABS('01_설정'!B4-F102),"")</f>
        <v/>
      </c>
      <c r="U102" s="152">
        <f>IFERROR(ABS(K102-YEAR('02_대상물건입력'!B14)),"")</f>
        <v/>
      </c>
      <c r="V102" s="152">
        <f>IF(B102="","",IF(AND(E102&gt;0,F102&gt;0,H102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102=1,TRUE()),R102&lt;='01_설정'!B5,S102&lt;='01_설정'!B6,T102&lt;='01_설정'!B7,U102&lt;='01_설정'!B8),"Y",""))</f>
        <v/>
      </c>
      <c r="W102" s="172">
        <f>IF(V102&lt;&gt;"Y","",MAX(0,(1-R102/'01_설정'!B5))*'01_설정'!B14+MAX(0,(1-S102/'01_설정'!B6))*'01_설정'!B15+MAX(0,(1-T102/'01_설정'!B7))*'01_설정'!B16+MAX(0,(1-U102/'01_설정'!B8))*'01_설정'!B17+O102*'01_설정'!B11+Q102*'01_설정'!B12+P102*'01_설정'!B13+IF(Z102="",0,Z102))</f>
        <v/>
      </c>
      <c r="X102" s="152">
        <f>IF(W102="","",1+COUNTIFS($W$4:$W$3003,"&gt;"&amp;W102)+COUNTIFS($W$4:W102,W102)-1)</f>
        <v/>
      </c>
      <c r="Y102" s="175">
        <f>IF(OR(I102="",'02_대상물건입력'!B19="",'02_대상물건입력'!B19&lt;=0),"",ABS(I102-'02_대상물건입력'!B19)/'02_대상물건입력'!B19)</f>
        <v/>
      </c>
      <c r="Z102" s="172">
        <f>IF(OR(Y102="",'01_설정'!B31="",'01_설정'!B31&lt;=0,'01_설정'!B32="",'01_설정'!B32&lt;=0),"",MAX(0,(1-Y102/'01_설정'!B32))*'01_설정'!B31)</f>
        <v/>
      </c>
    </row>
    <row r="103" ht="17.25" customHeight="1">
      <c r="A103" s="152">
        <f>IF(INDEX('04A_국토부원자료'!$A:$A,ROW()+1)="","",ROW()-3)</f>
        <v/>
      </c>
      <c r="B103" s="48">
        <f>IFERROR(INDEX('04A_국토부원자료'!$A:$T,ROW()+1,MATCH("시군구",'04A_국토부원자료'!$A$4:$T$4,0)),"")</f>
        <v/>
      </c>
      <c r="C103" s="48">
        <f>IF(B103="","",IFERROR(INDEX('04A_국토부원자료'!$A:$T,ROW()+1,MATCH("번지",'04A_국토부원자료'!$A$4:$T$4,0)),""))</f>
        <v/>
      </c>
      <c r="D103" s="48">
        <f>IF(B103="","",IF(Q103=1,'02_대상물건입력'!$B$8,IFERROR(INDEX('04A_국토부원자료'!$A:$T,ROW()+1,MATCH("단지명",'04A_국토부원자료'!$A$4:$T$4,0)),"")))</f>
        <v/>
      </c>
      <c r="E103" s="172">
        <f>IFERROR(VALUE(SUBSTITUTE(INDEX('04A_국토부원자료'!$A:$T,ROW()+1,MATCH("전용면적(㎡)",'04A_국토부원자료'!$A$4:$T$4,0)),",","")),"")</f>
        <v/>
      </c>
      <c r="F1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3" s="51">
        <f>IFERROR(VALUE(SUBSTITUTE(INDEX('04A_국토부원자료'!$A:$T,ROW()+1,MATCH("거래금액(만원)",'04A_국토부원자료'!$A$4:$T$4,0)),",","")),"")</f>
        <v/>
      </c>
      <c r="H103" s="174">
        <f>IF(G103="","",G103*10000)</f>
        <v/>
      </c>
      <c r="I103" s="174">
        <f>IFERROR(IF(AND(H103&gt;0,E103&gt;0),H103/E103,""),"")</f>
        <v/>
      </c>
      <c r="J103" s="152">
        <f>IFERROR(VALUE(SUBSTITUTE(INDEX('04A_국토부원자료'!$A:$T,ROW()+1,MATCH("층",'04A_국토부원자료'!$A$4:$T$4,0)),",","")),"")</f>
        <v/>
      </c>
      <c r="K103" s="152">
        <f>IFERROR(VALUE(SUBSTITUTE(INDEX('04A_국토부원자료'!$A:$T,ROW()+1,MATCH("건축년도",'04A_국토부원자료'!$A$4:$T$4,0)),",","")),"")</f>
        <v/>
      </c>
      <c r="L103" s="176">
        <f>IFERROR(INDEX('04A_국토부원자료'!$A:$T,ROW()+1,MATCH("도로명",'04A_국토부원자료'!$A$4:$T$4,0)),"")</f>
        <v/>
      </c>
      <c r="M103" s="48">
        <f>IFERROR(INDEX('04A_국토부원자료'!$A:$T,ROW()+1,MATCH("거래유형",'04A_국토부원자료'!$A$4:$T$4,0)),"")</f>
        <v/>
      </c>
      <c r="N103" s="152">
        <f>IF(B103="","",IF('02_대상물건입력'!B5="",1,IF(ISNUMBER(SEARCH('02_대상물건입력'!B5,B103)),1,0)))</f>
        <v/>
      </c>
      <c r="O103" s="152">
        <f>IF(B103="","",IF('02_대상물건입력'!B6="",1,IF(ISNUMBER(SEARCH('02_대상물건입력'!B6,B103)),1,0)))</f>
        <v/>
      </c>
      <c r="P103" s="152">
        <f>IF(L103="","",IF('02_대상물건입력'!B15="",0,IF(ISNUMBER(SEARCH('02_대상물건입력'!B15,L103)),1,0)))</f>
        <v/>
      </c>
      <c r="Q103" s="152">
        <f>IF(OR(C103="",L103=""),0,IF(AND(TRIM(C103)=TRIM(RIGHT(SUBSTITUTE(TRIM('02_대상물건입력'!$B$7)," ",REPT(" ",99)),99)),IF('02_대상물건입력'!B15="",TRUE(),ISNUMBER(SEARCH('02_대상물건입력'!B15,L103)))),1,0))</f>
        <v/>
      </c>
      <c r="R103" s="175">
        <f>IFERROR(ABS(E103-'02_대상물건입력'!B11)/'02_대상물건입력'!B11,"")</f>
        <v/>
      </c>
      <c r="S103" s="152">
        <f>IFERROR(ABS(J103-'02_대상물건입력'!B10),"")</f>
        <v/>
      </c>
      <c r="T103" s="152">
        <f>IFERROR(ABS('01_설정'!B4-F103),"")</f>
        <v/>
      </c>
      <c r="U103" s="152">
        <f>IFERROR(ABS(K103-YEAR('02_대상물건입력'!B14)),"")</f>
        <v/>
      </c>
      <c r="V103" s="152">
        <f>IF(B103="","",IF(AND(E103&gt;0,F103&gt;0,H103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103=1,TRUE()),R103&lt;='01_설정'!B5,S103&lt;='01_설정'!B6,T103&lt;='01_설정'!B7,U103&lt;='01_설정'!B8),"Y",""))</f>
        <v/>
      </c>
      <c r="W103" s="172">
        <f>IF(V103&lt;&gt;"Y","",MAX(0,(1-R103/'01_설정'!B5))*'01_설정'!B14+MAX(0,(1-S103/'01_설정'!B6))*'01_설정'!B15+MAX(0,(1-T103/'01_설정'!B7))*'01_설정'!B16+MAX(0,(1-U103/'01_설정'!B8))*'01_설정'!B17+O103*'01_설정'!B11+Q103*'01_설정'!B12+P103*'01_설정'!B13+IF(Z103="",0,Z103))</f>
        <v/>
      </c>
      <c r="X103" s="152">
        <f>IF(W103="","",1+COUNTIFS($W$4:$W$3003,"&gt;"&amp;W103)+COUNTIFS($W$4:W103,W103)-1)</f>
        <v/>
      </c>
      <c r="Y103" s="175">
        <f>IF(OR(I103="",'02_대상물건입력'!B19="",'02_대상물건입력'!B19&lt;=0),"",ABS(I103-'02_대상물건입력'!B19)/'02_대상물건입력'!B19)</f>
        <v/>
      </c>
      <c r="Z103" s="172">
        <f>IF(OR(Y103="",'01_설정'!B31="",'01_설정'!B31&lt;=0,'01_설정'!B32="",'01_설정'!B32&lt;=0),"",MAX(0,(1-Y103/'01_설정'!B32))*'01_설정'!B31)</f>
        <v/>
      </c>
    </row>
    <row r="104" ht="17.25" customHeight="1">
      <c r="A104" s="152">
        <f>IF(INDEX('04A_국토부원자료'!$A:$A,ROW()+1)="","",ROW()-3)</f>
        <v/>
      </c>
      <c r="B104" s="48">
        <f>IFERROR(INDEX('04A_국토부원자료'!$A:$T,ROW()+1,MATCH("시군구",'04A_국토부원자료'!$A$4:$T$4,0)),"")</f>
        <v/>
      </c>
      <c r="C104" s="48">
        <f>IF(B104="","",IFERROR(INDEX('04A_국토부원자료'!$A:$T,ROW()+1,MATCH("번지",'04A_국토부원자료'!$A$4:$T$4,0)),""))</f>
        <v/>
      </c>
      <c r="D104" s="48">
        <f>IF(B104="","",IF(Q104=1,'02_대상물건입력'!$B$8,IFERROR(INDEX('04A_국토부원자료'!$A:$T,ROW()+1,MATCH("단지명",'04A_국토부원자료'!$A$4:$T$4,0)),"")))</f>
        <v/>
      </c>
      <c r="E104" s="172">
        <f>IFERROR(VALUE(SUBSTITUTE(INDEX('04A_국토부원자료'!$A:$T,ROW()+1,MATCH("전용면적(㎡)",'04A_국토부원자료'!$A$4:$T$4,0)),",","")),"")</f>
        <v/>
      </c>
      <c r="F1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4" s="51">
        <f>IFERROR(VALUE(SUBSTITUTE(INDEX('04A_국토부원자료'!$A:$T,ROW()+1,MATCH("거래금액(만원)",'04A_국토부원자료'!$A$4:$T$4,0)),",","")),"")</f>
        <v/>
      </c>
      <c r="H104" s="174">
        <f>IF(G104="","",G104*10000)</f>
        <v/>
      </c>
      <c r="I104" s="174">
        <f>IFERROR(IF(AND(H104&gt;0,E104&gt;0),H104/E104,""),"")</f>
        <v/>
      </c>
      <c r="J104" s="152">
        <f>IFERROR(VALUE(SUBSTITUTE(INDEX('04A_국토부원자료'!$A:$T,ROW()+1,MATCH("층",'04A_국토부원자료'!$A$4:$T$4,0)),",","")),"")</f>
        <v/>
      </c>
      <c r="K104" s="152">
        <f>IFERROR(VALUE(SUBSTITUTE(INDEX('04A_국토부원자료'!$A:$T,ROW()+1,MATCH("건축년도",'04A_국토부원자료'!$A$4:$T$4,0)),",","")),"")</f>
        <v/>
      </c>
      <c r="L104" s="176">
        <f>IFERROR(INDEX('04A_국토부원자료'!$A:$T,ROW()+1,MATCH("도로명",'04A_국토부원자료'!$A$4:$T$4,0)),"")</f>
        <v/>
      </c>
      <c r="M104" s="48">
        <f>IFERROR(INDEX('04A_국토부원자료'!$A:$T,ROW()+1,MATCH("거래유형",'04A_국토부원자료'!$A$4:$T$4,0)),"")</f>
        <v/>
      </c>
      <c r="N104" s="152">
        <f>IF(B104="","",IF('02_대상물건입력'!B5="",1,IF(ISNUMBER(SEARCH('02_대상물건입력'!B5,B104)),1,0)))</f>
        <v/>
      </c>
      <c r="O104" s="152">
        <f>IF(B104="","",IF('02_대상물건입력'!B6="",1,IF(ISNUMBER(SEARCH('02_대상물건입력'!B6,B104)),1,0)))</f>
        <v/>
      </c>
      <c r="P104" s="152">
        <f>IF(L104="","",IF('02_대상물건입력'!B15="",0,IF(ISNUMBER(SEARCH('02_대상물건입력'!B15,L104)),1,0)))</f>
        <v/>
      </c>
      <c r="Q104" s="152">
        <f>IF(OR(C104="",L104=""),0,IF(AND(TRIM(C104)=TRIM(RIGHT(SUBSTITUTE(TRIM('02_대상물건입력'!$B$7)," ",REPT(" ",99)),99)),IF('02_대상물건입력'!B15="",TRUE(),ISNUMBER(SEARCH('02_대상물건입력'!B15,L104)))),1,0))</f>
        <v/>
      </c>
      <c r="R104" s="175">
        <f>IFERROR(ABS(E104-'02_대상물건입력'!B11)/'02_대상물건입력'!B11,"")</f>
        <v/>
      </c>
      <c r="S104" s="152">
        <f>IFERROR(ABS(J104-'02_대상물건입력'!B10),"")</f>
        <v/>
      </c>
      <c r="T104" s="152">
        <f>IFERROR(ABS('01_설정'!B4-F104),"")</f>
        <v/>
      </c>
      <c r="U104" s="152">
        <f>IFERROR(ABS(K104-YEAR('02_대상물건입력'!B14)),"")</f>
        <v/>
      </c>
      <c r="V104" s="152">
        <f>IF(B104="","",IF(AND(E104&gt;0,F104&gt;0,H104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104=1,TRUE()),R104&lt;='01_설정'!B5,S104&lt;='01_설정'!B6,T104&lt;='01_설정'!B7,U104&lt;='01_설정'!B8),"Y",""))</f>
        <v/>
      </c>
      <c r="W104" s="172">
        <f>IF(V104&lt;&gt;"Y","",MAX(0,(1-R104/'01_설정'!B5))*'01_설정'!B14+MAX(0,(1-S104/'01_설정'!B6))*'01_설정'!B15+MAX(0,(1-T104/'01_설정'!B7))*'01_설정'!B16+MAX(0,(1-U104/'01_설정'!B8))*'01_설정'!B17+O104*'01_설정'!B11+Q104*'01_설정'!B12+P104*'01_설정'!B13+IF(Z104="",0,Z104))</f>
        <v/>
      </c>
      <c r="X104" s="152">
        <f>IF(W104="","",1+COUNTIFS($W$4:$W$3003,"&gt;"&amp;W104)+COUNTIFS($W$4:W104,W104)-1)</f>
        <v/>
      </c>
      <c r="Y104" s="175">
        <f>IF(OR(I104="",'02_대상물건입력'!B19="",'02_대상물건입력'!B19&lt;=0),"",ABS(I104-'02_대상물건입력'!B19)/'02_대상물건입력'!B19)</f>
        <v/>
      </c>
      <c r="Z104" s="172">
        <f>IF(OR(Y104="",'01_설정'!B31="",'01_설정'!B31&lt;=0,'01_설정'!B32="",'01_설정'!B32&lt;=0),"",MAX(0,(1-Y104/'01_설정'!B32))*'01_설정'!B31)</f>
        <v/>
      </c>
    </row>
    <row r="105" ht="17.25" customHeight="1">
      <c r="A105" s="152">
        <f>IF(INDEX('04A_국토부원자료'!$A:$A,ROW()+1)="","",ROW()-3)</f>
        <v/>
      </c>
      <c r="B105" s="48">
        <f>IFERROR(INDEX('04A_국토부원자료'!$A:$T,ROW()+1,MATCH("시군구",'04A_국토부원자료'!$A$4:$T$4,0)),"")</f>
        <v/>
      </c>
      <c r="C105" s="48">
        <f>IF(B105="","",IFERROR(INDEX('04A_국토부원자료'!$A:$T,ROW()+1,MATCH("번지",'04A_국토부원자료'!$A$4:$T$4,0)),""))</f>
        <v/>
      </c>
      <c r="D105" s="48">
        <f>IF(B105="","",IF(Q105=1,'02_대상물건입력'!$B$8,IFERROR(INDEX('04A_국토부원자료'!$A:$T,ROW()+1,MATCH("단지명",'04A_국토부원자료'!$A$4:$T$4,0)),"")))</f>
        <v/>
      </c>
      <c r="E105" s="172">
        <f>IFERROR(VALUE(SUBSTITUTE(INDEX('04A_국토부원자료'!$A:$T,ROW()+1,MATCH("전용면적(㎡)",'04A_국토부원자료'!$A$4:$T$4,0)),",","")),"")</f>
        <v/>
      </c>
      <c r="F1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5" s="51">
        <f>IFERROR(VALUE(SUBSTITUTE(INDEX('04A_국토부원자료'!$A:$T,ROW()+1,MATCH("거래금액(만원)",'04A_국토부원자료'!$A$4:$T$4,0)),",","")),"")</f>
        <v/>
      </c>
      <c r="H105" s="174">
        <f>IF(G105="","",G105*10000)</f>
        <v/>
      </c>
      <c r="I105" s="174">
        <f>IFERROR(IF(AND(H105&gt;0,E105&gt;0),H105/E105,""),"")</f>
        <v/>
      </c>
      <c r="J105" s="152">
        <f>IFERROR(VALUE(SUBSTITUTE(INDEX('04A_국토부원자료'!$A:$T,ROW()+1,MATCH("층",'04A_국토부원자료'!$A$4:$T$4,0)),",","")),"")</f>
        <v/>
      </c>
      <c r="K105" s="152">
        <f>IFERROR(VALUE(SUBSTITUTE(INDEX('04A_국토부원자료'!$A:$T,ROW()+1,MATCH("건축년도",'04A_국토부원자료'!$A$4:$T$4,0)),",","")),"")</f>
        <v/>
      </c>
      <c r="L105" s="176">
        <f>IFERROR(INDEX('04A_국토부원자료'!$A:$T,ROW()+1,MATCH("도로명",'04A_국토부원자료'!$A$4:$T$4,0)),"")</f>
        <v/>
      </c>
      <c r="M105" s="48">
        <f>IFERROR(INDEX('04A_국토부원자료'!$A:$T,ROW()+1,MATCH("거래유형",'04A_국토부원자료'!$A$4:$T$4,0)),"")</f>
        <v/>
      </c>
      <c r="N105" s="152">
        <f>IF(B105="","",IF('02_대상물건입력'!B5="",1,IF(ISNUMBER(SEARCH('02_대상물건입력'!B5,B105)),1,0)))</f>
        <v/>
      </c>
      <c r="O105" s="152">
        <f>IF(B105="","",IF('02_대상물건입력'!B6="",1,IF(ISNUMBER(SEARCH('02_대상물건입력'!B6,B105)),1,0)))</f>
        <v/>
      </c>
      <c r="P105" s="152">
        <f>IF(L105="","",IF('02_대상물건입력'!B15="",0,IF(ISNUMBER(SEARCH('02_대상물건입력'!B15,L105)),1,0)))</f>
        <v/>
      </c>
      <c r="Q105" s="152">
        <f>IF(OR(C105="",L105=""),0,IF(AND(TRIM(C105)=TRIM(RIGHT(SUBSTITUTE(TRIM('02_대상물건입력'!$B$7)," ",REPT(" ",99)),99)),IF('02_대상물건입력'!B15="",TRUE(),ISNUMBER(SEARCH('02_대상물건입력'!B15,L105)))),1,0))</f>
        <v/>
      </c>
      <c r="R105" s="175">
        <f>IFERROR(ABS(E105-'02_대상물건입력'!B11)/'02_대상물건입력'!B11,"")</f>
        <v/>
      </c>
      <c r="S105" s="152">
        <f>IFERROR(ABS(J105-'02_대상물건입력'!B10),"")</f>
        <v/>
      </c>
      <c r="T105" s="152">
        <f>IFERROR(ABS('01_설정'!B4-F105),"")</f>
        <v/>
      </c>
      <c r="U105" s="152">
        <f>IFERROR(ABS(K105-YEAR('02_대상물건입력'!B14)),"")</f>
        <v/>
      </c>
      <c r="V105" s="152">
        <f>IF(B105="","",IF(AND(E105&gt;0,F105&gt;0,H105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105=1,TRUE()),R105&lt;='01_설정'!B5,S105&lt;='01_설정'!B6,T105&lt;='01_설정'!B7,U105&lt;='01_설정'!B8),"Y",""))</f>
        <v/>
      </c>
      <c r="W105" s="172">
        <f>IF(V105&lt;&gt;"Y","",MAX(0,(1-R105/'01_설정'!B5))*'01_설정'!B14+MAX(0,(1-S105/'01_설정'!B6))*'01_설정'!B15+MAX(0,(1-T105/'01_설정'!B7))*'01_설정'!B16+MAX(0,(1-U105/'01_설정'!B8))*'01_설정'!B17+O105*'01_설정'!B11+Q105*'01_설정'!B12+P105*'01_설정'!B13+IF(Z105="",0,Z105))</f>
        <v/>
      </c>
      <c r="X105" s="152">
        <f>IF(W105="","",1+COUNTIFS($W$4:$W$3003,"&gt;"&amp;W105)+COUNTIFS($W$4:W105,W105)-1)</f>
        <v/>
      </c>
      <c r="Y105" s="175">
        <f>IF(OR(I105="",'02_대상물건입력'!B19="",'02_대상물건입력'!B19&lt;=0),"",ABS(I105-'02_대상물건입력'!B19)/'02_대상물건입력'!B19)</f>
        <v/>
      </c>
      <c r="Z105" s="172">
        <f>IF(OR(Y105="",'01_설정'!B31="",'01_설정'!B31&lt;=0,'01_설정'!B32="",'01_설정'!B32&lt;=0),"",MAX(0,(1-Y105/'01_설정'!B32))*'01_설정'!B31)</f>
        <v/>
      </c>
    </row>
    <row r="106" ht="17.25" customHeight="1">
      <c r="A106" s="152">
        <f>IF(INDEX('04A_국토부원자료'!$A:$A,ROW()+1)="","",ROW()-3)</f>
        <v/>
      </c>
      <c r="B106" s="48">
        <f>IFERROR(INDEX('04A_국토부원자료'!$A:$T,ROW()+1,MATCH("시군구",'04A_국토부원자료'!$A$4:$T$4,0)),"")</f>
        <v/>
      </c>
      <c r="C106" s="48">
        <f>IF(B106="","",IFERROR(INDEX('04A_국토부원자료'!$A:$T,ROW()+1,MATCH("번지",'04A_국토부원자료'!$A$4:$T$4,0)),""))</f>
        <v/>
      </c>
      <c r="D106" s="48">
        <f>IF(B106="","",IF(Q106=1,'02_대상물건입력'!$B$8,IFERROR(INDEX('04A_국토부원자료'!$A:$T,ROW()+1,MATCH("단지명",'04A_국토부원자료'!$A$4:$T$4,0)),"")))</f>
        <v/>
      </c>
      <c r="E106" s="172">
        <f>IFERROR(VALUE(SUBSTITUTE(INDEX('04A_국토부원자료'!$A:$T,ROW()+1,MATCH("전용면적(㎡)",'04A_국토부원자료'!$A$4:$T$4,0)),",","")),"")</f>
        <v/>
      </c>
      <c r="F1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6" s="51">
        <f>IFERROR(VALUE(SUBSTITUTE(INDEX('04A_국토부원자료'!$A:$T,ROW()+1,MATCH("거래금액(만원)",'04A_국토부원자료'!$A$4:$T$4,0)),",","")),"")</f>
        <v/>
      </c>
      <c r="H106" s="174">
        <f>IF(G106="","",G106*10000)</f>
        <v/>
      </c>
      <c r="I106" s="174">
        <f>IFERROR(IF(AND(H106&gt;0,E106&gt;0),H106/E106,""),"")</f>
        <v/>
      </c>
      <c r="J106" s="152">
        <f>IFERROR(VALUE(SUBSTITUTE(INDEX('04A_국토부원자료'!$A:$T,ROW()+1,MATCH("층",'04A_국토부원자료'!$A$4:$T$4,0)),",","")),"")</f>
        <v/>
      </c>
      <c r="K106" s="152">
        <f>IFERROR(VALUE(SUBSTITUTE(INDEX('04A_국토부원자료'!$A:$T,ROW()+1,MATCH("건축년도",'04A_국토부원자료'!$A$4:$T$4,0)),",","")),"")</f>
        <v/>
      </c>
      <c r="L106" s="176">
        <f>IFERROR(INDEX('04A_국토부원자료'!$A:$T,ROW()+1,MATCH("도로명",'04A_국토부원자료'!$A$4:$T$4,0)),"")</f>
        <v/>
      </c>
      <c r="M106" s="48">
        <f>IFERROR(INDEX('04A_국토부원자료'!$A:$T,ROW()+1,MATCH("거래유형",'04A_국토부원자료'!$A$4:$T$4,0)),"")</f>
        <v/>
      </c>
      <c r="N106" s="152">
        <f>IF(B106="","",IF('02_대상물건입력'!B5="",1,IF(ISNUMBER(SEARCH('02_대상물건입력'!B5,B106)),1,0)))</f>
        <v/>
      </c>
      <c r="O106" s="152">
        <f>IF(B106="","",IF('02_대상물건입력'!B6="",1,IF(ISNUMBER(SEARCH('02_대상물건입력'!B6,B106)),1,0)))</f>
        <v/>
      </c>
      <c r="P106" s="152">
        <f>IF(L106="","",IF('02_대상물건입력'!B15="",0,IF(ISNUMBER(SEARCH('02_대상물건입력'!B15,L106)),1,0)))</f>
        <v/>
      </c>
      <c r="Q106" s="152">
        <f>IF(OR(C106="",L106=""),0,IF(AND(TRIM(C106)=TRIM(RIGHT(SUBSTITUTE(TRIM('02_대상물건입력'!$B$7)," ",REPT(" ",99)),99)),IF('02_대상물건입력'!B15="",TRUE(),ISNUMBER(SEARCH('02_대상물건입력'!B15,L106)))),1,0))</f>
        <v/>
      </c>
      <c r="R106" s="175">
        <f>IFERROR(ABS(E106-'02_대상물건입력'!B11)/'02_대상물건입력'!B11,"")</f>
        <v/>
      </c>
      <c r="S106" s="152">
        <f>IFERROR(ABS(J106-'02_대상물건입력'!B10),"")</f>
        <v/>
      </c>
      <c r="T106" s="152">
        <f>IFERROR(ABS('01_설정'!B4-F106),"")</f>
        <v/>
      </c>
      <c r="U106" s="152">
        <f>IFERROR(ABS(K106-YEAR('02_대상물건입력'!B14)),"")</f>
        <v/>
      </c>
      <c r="V106" s="152">
        <f>IF(B106="","",IF(AND(E106&gt;0,F106&gt;0,H106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106=1,TRUE()),R106&lt;='01_설정'!B5,S106&lt;='01_설정'!B6,T106&lt;='01_설정'!B7,U106&lt;='01_설정'!B8),"Y",""))</f>
        <v/>
      </c>
      <c r="W106" s="172">
        <f>IF(V106&lt;&gt;"Y","",MAX(0,(1-R106/'01_설정'!B5))*'01_설정'!B14+MAX(0,(1-S106/'01_설정'!B6))*'01_설정'!B15+MAX(0,(1-T106/'01_설정'!B7))*'01_설정'!B16+MAX(0,(1-U106/'01_설정'!B8))*'01_설정'!B17+O106*'01_설정'!B11+Q106*'01_설정'!B12+P106*'01_설정'!B13+IF(Z106="",0,Z106))</f>
        <v/>
      </c>
      <c r="X106" s="152">
        <f>IF(W106="","",1+COUNTIFS($W$4:$W$3003,"&gt;"&amp;W106)+COUNTIFS($W$4:W106,W106)-1)</f>
        <v/>
      </c>
      <c r="Y106" s="175">
        <f>IF(OR(I106="",'02_대상물건입력'!B19="",'02_대상물건입력'!B19&lt;=0),"",ABS(I106-'02_대상물건입력'!B19)/'02_대상물건입력'!B19)</f>
        <v/>
      </c>
      <c r="Z106" s="172">
        <f>IF(OR(Y106="",'01_설정'!B31="",'01_설정'!B31&lt;=0,'01_설정'!B32="",'01_설정'!B32&lt;=0),"",MAX(0,(1-Y106/'01_설정'!B32))*'01_설정'!B31)</f>
        <v/>
      </c>
    </row>
    <row r="107" ht="17.25" customHeight="1">
      <c r="A107" s="152">
        <f>IF(INDEX('04A_국토부원자료'!$A:$A,ROW()+1)="","",ROW()-3)</f>
        <v/>
      </c>
      <c r="B107" s="48">
        <f>IFERROR(INDEX('04A_국토부원자료'!$A:$T,ROW()+1,MATCH("시군구",'04A_국토부원자료'!$A$4:$T$4,0)),"")</f>
        <v/>
      </c>
      <c r="C107" s="48">
        <f>IF(B107="","",IFERROR(INDEX('04A_국토부원자료'!$A:$T,ROW()+1,MATCH("번지",'04A_국토부원자료'!$A$4:$T$4,0)),""))</f>
        <v/>
      </c>
      <c r="D107" s="48">
        <f>IF(B107="","",IF(Q107=1,'02_대상물건입력'!$B$8,IFERROR(INDEX('04A_국토부원자료'!$A:$T,ROW()+1,MATCH("단지명",'04A_국토부원자료'!$A$4:$T$4,0)),"")))</f>
        <v/>
      </c>
      <c r="E107" s="172">
        <f>IFERROR(VALUE(SUBSTITUTE(INDEX('04A_국토부원자료'!$A:$T,ROW()+1,MATCH("전용면적(㎡)",'04A_국토부원자료'!$A$4:$T$4,0)),",","")),"")</f>
        <v/>
      </c>
      <c r="F1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7" s="51">
        <f>IFERROR(VALUE(SUBSTITUTE(INDEX('04A_국토부원자료'!$A:$T,ROW()+1,MATCH("거래금액(만원)",'04A_국토부원자료'!$A$4:$T$4,0)),",","")),"")</f>
        <v/>
      </c>
      <c r="H107" s="174">
        <f>IF(G107="","",G107*10000)</f>
        <v/>
      </c>
      <c r="I107" s="174">
        <f>IFERROR(IF(AND(H107&gt;0,E107&gt;0),H107/E107,""),"")</f>
        <v/>
      </c>
      <c r="J107" s="152">
        <f>IFERROR(VALUE(SUBSTITUTE(INDEX('04A_국토부원자료'!$A:$T,ROW()+1,MATCH("층",'04A_국토부원자료'!$A$4:$T$4,0)),",","")),"")</f>
        <v/>
      </c>
      <c r="K107" s="152">
        <f>IFERROR(VALUE(SUBSTITUTE(INDEX('04A_국토부원자료'!$A:$T,ROW()+1,MATCH("건축년도",'04A_국토부원자료'!$A$4:$T$4,0)),",","")),"")</f>
        <v/>
      </c>
      <c r="L107" s="176">
        <f>IFERROR(INDEX('04A_국토부원자료'!$A:$T,ROW()+1,MATCH("도로명",'04A_국토부원자료'!$A$4:$T$4,0)),"")</f>
        <v/>
      </c>
      <c r="M107" s="48">
        <f>IFERROR(INDEX('04A_국토부원자료'!$A:$T,ROW()+1,MATCH("거래유형",'04A_국토부원자료'!$A$4:$T$4,0)),"")</f>
        <v/>
      </c>
      <c r="N107" s="152">
        <f>IF(B107="","",IF('02_대상물건입력'!B5="",1,IF(ISNUMBER(SEARCH('02_대상물건입력'!B5,B107)),1,0)))</f>
        <v/>
      </c>
      <c r="O107" s="152">
        <f>IF(B107="","",IF('02_대상물건입력'!B6="",1,IF(ISNUMBER(SEARCH('02_대상물건입력'!B6,B107)),1,0)))</f>
        <v/>
      </c>
      <c r="P107" s="152">
        <f>IF(L107="","",IF('02_대상물건입력'!B15="",0,IF(ISNUMBER(SEARCH('02_대상물건입력'!B15,L107)),1,0)))</f>
        <v/>
      </c>
      <c r="Q107" s="152">
        <f>IF(OR(C107="",L107=""),0,IF(AND(TRIM(C107)=TRIM(RIGHT(SUBSTITUTE(TRIM('02_대상물건입력'!$B$7)," ",REPT(" ",99)),99)),IF('02_대상물건입력'!B15="",TRUE(),ISNUMBER(SEARCH('02_대상물건입력'!B15,L107)))),1,0))</f>
        <v/>
      </c>
      <c r="R107" s="175">
        <f>IFERROR(ABS(E107-'02_대상물건입력'!B11)/'02_대상물건입력'!B11,"")</f>
        <v/>
      </c>
      <c r="S107" s="152">
        <f>IFERROR(ABS(J107-'02_대상물건입력'!B10),"")</f>
        <v/>
      </c>
      <c r="T107" s="152">
        <f>IFERROR(ABS('01_설정'!B4-F107),"")</f>
        <v/>
      </c>
      <c r="U107" s="152">
        <f>IFERROR(ABS(K107-YEAR('02_대상물건입력'!B14)),"")</f>
        <v/>
      </c>
      <c r="V107" s="152">
        <f>IF(B107="","",IF(AND(E107&gt;0,F107&gt;0,H107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107=1,TRUE()),R107&lt;='01_설정'!B5,S107&lt;='01_설정'!B6,T107&lt;='01_설정'!B7,U107&lt;='01_설정'!B8),"Y",""))</f>
        <v/>
      </c>
      <c r="W107" s="172">
        <f>IF(V107&lt;&gt;"Y","",MAX(0,(1-R107/'01_설정'!B5))*'01_설정'!B14+MAX(0,(1-S107/'01_설정'!B6))*'01_설정'!B15+MAX(0,(1-T107/'01_설정'!B7))*'01_설정'!B16+MAX(0,(1-U107/'01_설정'!B8))*'01_설정'!B17+O107*'01_설정'!B11+Q107*'01_설정'!B12+P107*'01_설정'!B13+IF(Z107="",0,Z107))</f>
        <v/>
      </c>
      <c r="X107" s="152">
        <f>IF(W107="","",1+COUNTIFS($W$4:$W$3003,"&gt;"&amp;W107)+COUNTIFS($W$4:W107,W107)-1)</f>
        <v/>
      </c>
      <c r="Y107" s="175">
        <f>IF(OR(I107="",'02_대상물건입력'!B19="",'02_대상물건입력'!B19&lt;=0),"",ABS(I107-'02_대상물건입력'!B19)/'02_대상물건입력'!B19)</f>
        <v/>
      </c>
      <c r="Z107" s="172">
        <f>IF(OR(Y107="",'01_설정'!B31="",'01_설정'!B31&lt;=0,'01_설정'!B32="",'01_설정'!B32&lt;=0),"",MAX(0,(1-Y107/'01_설정'!B32))*'01_설정'!B31)</f>
        <v/>
      </c>
    </row>
    <row r="108" ht="17.25" customHeight="1">
      <c r="A108" s="152">
        <f>IF(INDEX('04A_국토부원자료'!$A:$A,ROW()+1)="","",ROW()-3)</f>
        <v/>
      </c>
      <c r="B108" s="48">
        <f>IFERROR(INDEX('04A_국토부원자료'!$A:$T,ROW()+1,MATCH("시군구",'04A_국토부원자료'!$A$4:$T$4,0)),"")</f>
        <v/>
      </c>
      <c r="C108" s="48">
        <f>IF(B108="","",IFERROR(INDEX('04A_국토부원자료'!$A:$T,ROW()+1,MATCH("번지",'04A_국토부원자료'!$A$4:$T$4,0)),""))</f>
        <v/>
      </c>
      <c r="D108" s="48">
        <f>IF(B108="","",IF(Q108=1,'02_대상물건입력'!$B$8,IFERROR(INDEX('04A_국토부원자료'!$A:$T,ROW()+1,MATCH("단지명",'04A_국토부원자료'!$A$4:$T$4,0)),"")))</f>
        <v/>
      </c>
      <c r="E108" s="172">
        <f>IFERROR(VALUE(SUBSTITUTE(INDEX('04A_국토부원자료'!$A:$T,ROW()+1,MATCH("전용면적(㎡)",'04A_국토부원자료'!$A$4:$T$4,0)),",","")),"")</f>
        <v/>
      </c>
      <c r="F1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8" s="51">
        <f>IFERROR(VALUE(SUBSTITUTE(INDEX('04A_국토부원자료'!$A:$T,ROW()+1,MATCH("거래금액(만원)",'04A_국토부원자료'!$A$4:$T$4,0)),",","")),"")</f>
        <v/>
      </c>
      <c r="H108" s="174">
        <f>IF(G108="","",G108*10000)</f>
        <v/>
      </c>
      <c r="I108" s="174">
        <f>IFERROR(IF(AND(H108&gt;0,E108&gt;0),H108/E108,""),"")</f>
        <v/>
      </c>
      <c r="J108" s="152">
        <f>IFERROR(VALUE(SUBSTITUTE(INDEX('04A_국토부원자료'!$A:$T,ROW()+1,MATCH("층",'04A_국토부원자료'!$A$4:$T$4,0)),",","")),"")</f>
        <v/>
      </c>
      <c r="K108" s="152">
        <f>IFERROR(VALUE(SUBSTITUTE(INDEX('04A_국토부원자료'!$A:$T,ROW()+1,MATCH("건축년도",'04A_국토부원자료'!$A$4:$T$4,0)),",","")),"")</f>
        <v/>
      </c>
      <c r="L108" s="176">
        <f>IFERROR(INDEX('04A_국토부원자료'!$A:$T,ROW()+1,MATCH("도로명",'04A_국토부원자료'!$A$4:$T$4,0)),"")</f>
        <v/>
      </c>
      <c r="M108" s="48">
        <f>IFERROR(INDEX('04A_국토부원자료'!$A:$T,ROW()+1,MATCH("거래유형",'04A_국토부원자료'!$A$4:$T$4,0)),"")</f>
        <v/>
      </c>
      <c r="N108" s="152">
        <f>IF(B108="","",IF('02_대상물건입력'!B5="",1,IF(ISNUMBER(SEARCH('02_대상물건입력'!B5,B108)),1,0)))</f>
        <v/>
      </c>
      <c r="O108" s="152">
        <f>IF(B108="","",IF('02_대상물건입력'!B6="",1,IF(ISNUMBER(SEARCH('02_대상물건입력'!B6,B108)),1,0)))</f>
        <v/>
      </c>
      <c r="P108" s="152">
        <f>IF(L108="","",IF('02_대상물건입력'!B15="",0,IF(ISNUMBER(SEARCH('02_대상물건입력'!B15,L108)),1,0)))</f>
        <v/>
      </c>
      <c r="Q108" s="152">
        <f>IF(OR(C108="",L108=""),0,IF(AND(TRIM(C108)=TRIM(RIGHT(SUBSTITUTE(TRIM('02_대상물건입력'!$B$7)," ",REPT(" ",99)),99)),IF('02_대상물건입력'!B15="",TRUE(),ISNUMBER(SEARCH('02_대상물건입력'!B15,L108)))),1,0))</f>
        <v/>
      </c>
      <c r="R108" s="175">
        <f>IFERROR(ABS(E108-'02_대상물건입력'!B11)/'02_대상물건입력'!B11,"")</f>
        <v/>
      </c>
      <c r="S108" s="152">
        <f>IFERROR(ABS(J108-'02_대상물건입력'!B10),"")</f>
        <v/>
      </c>
      <c r="T108" s="152">
        <f>IFERROR(ABS('01_설정'!B4-F108),"")</f>
        <v/>
      </c>
      <c r="U108" s="152">
        <f>IFERROR(ABS(K108-YEAR('02_대상물건입력'!B14)),"")</f>
        <v/>
      </c>
      <c r="V108" s="152">
        <f>IF(B108="","",IF(AND(E108&gt;0,F108&gt;0,H108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108=1,TRUE()),R108&lt;='01_설정'!B5,S108&lt;='01_설정'!B6,T108&lt;='01_설정'!B7,U108&lt;='01_설정'!B8),"Y",""))</f>
        <v/>
      </c>
      <c r="W108" s="172">
        <f>IF(V108&lt;&gt;"Y","",MAX(0,(1-R108/'01_설정'!B5))*'01_설정'!B14+MAX(0,(1-S108/'01_설정'!B6))*'01_설정'!B15+MAX(0,(1-T108/'01_설정'!B7))*'01_설정'!B16+MAX(0,(1-U108/'01_설정'!B8))*'01_설정'!B17+O108*'01_설정'!B11+Q108*'01_설정'!B12+P108*'01_설정'!B13+IF(Z108="",0,Z108))</f>
        <v/>
      </c>
      <c r="X108" s="152">
        <f>IF(W108="","",1+COUNTIFS($W$4:$W$3003,"&gt;"&amp;W108)+COUNTIFS($W$4:W108,W108)-1)</f>
        <v/>
      </c>
      <c r="Y108" s="175">
        <f>IF(OR(I108="",'02_대상물건입력'!B19="",'02_대상물건입력'!B19&lt;=0),"",ABS(I108-'02_대상물건입력'!B19)/'02_대상물건입력'!B19)</f>
        <v/>
      </c>
      <c r="Z108" s="172">
        <f>IF(OR(Y108="",'01_설정'!B31="",'01_설정'!B31&lt;=0,'01_설정'!B32="",'01_설정'!B32&lt;=0),"",MAX(0,(1-Y108/'01_설정'!B32))*'01_설정'!B31)</f>
        <v/>
      </c>
    </row>
    <row r="109" ht="17.25" customHeight="1">
      <c r="A109" s="152">
        <f>IF(INDEX('04A_국토부원자료'!$A:$A,ROW()+1)="","",ROW()-3)</f>
        <v/>
      </c>
      <c r="B109" s="48">
        <f>IFERROR(INDEX('04A_국토부원자료'!$A:$T,ROW()+1,MATCH("시군구",'04A_국토부원자료'!$A$4:$T$4,0)),"")</f>
        <v/>
      </c>
      <c r="C109" s="48">
        <f>IF(B109="","",IFERROR(INDEX('04A_국토부원자료'!$A:$T,ROW()+1,MATCH("번지",'04A_국토부원자료'!$A$4:$T$4,0)),""))</f>
        <v/>
      </c>
      <c r="D109" s="48">
        <f>IF(B109="","",IF(Q109=1,'02_대상물건입력'!$B$8,IFERROR(INDEX('04A_국토부원자료'!$A:$T,ROW()+1,MATCH("단지명",'04A_국토부원자료'!$A$4:$T$4,0)),"")))</f>
        <v/>
      </c>
      <c r="E109" s="172">
        <f>IFERROR(VALUE(SUBSTITUTE(INDEX('04A_국토부원자료'!$A:$T,ROW()+1,MATCH("전용면적(㎡)",'04A_국토부원자료'!$A$4:$T$4,0)),",","")),"")</f>
        <v/>
      </c>
      <c r="F1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9" s="51">
        <f>IFERROR(VALUE(SUBSTITUTE(INDEX('04A_국토부원자료'!$A:$T,ROW()+1,MATCH("거래금액(만원)",'04A_국토부원자료'!$A$4:$T$4,0)),",","")),"")</f>
        <v/>
      </c>
      <c r="H109" s="174">
        <f>IF(G109="","",G109*10000)</f>
        <v/>
      </c>
      <c r="I109" s="174">
        <f>IFERROR(IF(AND(H109&gt;0,E109&gt;0),H109/E109,""),"")</f>
        <v/>
      </c>
      <c r="J109" s="152">
        <f>IFERROR(VALUE(SUBSTITUTE(INDEX('04A_국토부원자료'!$A:$T,ROW()+1,MATCH("층",'04A_국토부원자료'!$A$4:$T$4,0)),",","")),"")</f>
        <v/>
      </c>
      <c r="K109" s="152">
        <f>IFERROR(VALUE(SUBSTITUTE(INDEX('04A_국토부원자료'!$A:$T,ROW()+1,MATCH("건축년도",'04A_국토부원자료'!$A$4:$T$4,0)),",","")),"")</f>
        <v/>
      </c>
      <c r="L109" s="176">
        <f>IFERROR(INDEX('04A_국토부원자료'!$A:$T,ROW()+1,MATCH("도로명",'04A_국토부원자료'!$A$4:$T$4,0)),"")</f>
        <v/>
      </c>
      <c r="M109" s="48">
        <f>IFERROR(INDEX('04A_국토부원자료'!$A:$T,ROW()+1,MATCH("거래유형",'04A_국토부원자료'!$A$4:$T$4,0)),"")</f>
        <v/>
      </c>
      <c r="N109" s="152">
        <f>IF(B109="","",IF('02_대상물건입력'!B5="",1,IF(ISNUMBER(SEARCH('02_대상물건입력'!B5,B109)),1,0)))</f>
        <v/>
      </c>
      <c r="O109" s="152">
        <f>IF(B109="","",IF('02_대상물건입력'!B6="",1,IF(ISNUMBER(SEARCH('02_대상물건입력'!B6,B109)),1,0)))</f>
        <v/>
      </c>
      <c r="P109" s="152">
        <f>IF(L109="","",IF('02_대상물건입력'!B15="",0,IF(ISNUMBER(SEARCH('02_대상물건입력'!B15,L109)),1,0)))</f>
        <v/>
      </c>
      <c r="Q109" s="152">
        <f>IF(OR(C109="",L109=""),0,IF(AND(TRIM(C109)=TRIM(RIGHT(SUBSTITUTE(TRIM('02_대상물건입력'!$B$7)," ",REPT(" ",99)),99)),IF('02_대상물건입력'!B15="",TRUE(),ISNUMBER(SEARCH('02_대상물건입력'!B15,L109)))),1,0))</f>
        <v/>
      </c>
      <c r="R109" s="175">
        <f>IFERROR(ABS(E109-'02_대상물건입력'!B11)/'02_대상물건입력'!B11,"")</f>
        <v/>
      </c>
      <c r="S109" s="152">
        <f>IFERROR(ABS(J109-'02_대상물건입력'!B10),"")</f>
        <v/>
      </c>
      <c r="T109" s="152">
        <f>IFERROR(ABS('01_설정'!B4-F109),"")</f>
        <v/>
      </c>
      <c r="U109" s="152">
        <f>IFERROR(ABS(K109-YEAR('02_대상물건입력'!B14)),"")</f>
        <v/>
      </c>
      <c r="V109" s="152">
        <f>IF(B109="","",IF(AND(E109&gt;0,F109&gt;0,H109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109=1,TRUE()),R109&lt;='01_설정'!B5,S109&lt;='01_설정'!B6,T109&lt;='01_설정'!B7,U109&lt;='01_설정'!B8),"Y",""))</f>
        <v/>
      </c>
      <c r="W109" s="172">
        <f>IF(V109&lt;&gt;"Y","",MAX(0,(1-R109/'01_설정'!B5))*'01_설정'!B14+MAX(0,(1-S109/'01_설정'!B6))*'01_설정'!B15+MAX(0,(1-T109/'01_설정'!B7))*'01_설정'!B16+MAX(0,(1-U109/'01_설정'!B8))*'01_설정'!B17+O109*'01_설정'!B11+Q109*'01_설정'!B12+P109*'01_설정'!B13+IF(Z109="",0,Z109))</f>
        <v/>
      </c>
      <c r="X109" s="152">
        <f>IF(W109="","",1+COUNTIFS($W$4:$W$3003,"&gt;"&amp;W109)+COUNTIFS($W$4:W109,W109)-1)</f>
        <v/>
      </c>
      <c r="Y109" s="175">
        <f>IF(OR(I109="",'02_대상물건입력'!B19="",'02_대상물건입력'!B19&lt;=0),"",ABS(I109-'02_대상물건입력'!B19)/'02_대상물건입력'!B19)</f>
        <v/>
      </c>
      <c r="Z109" s="172">
        <f>IF(OR(Y109="",'01_설정'!B31="",'01_설정'!B31&lt;=0,'01_설정'!B32="",'01_설정'!B32&lt;=0),"",MAX(0,(1-Y109/'01_설정'!B32))*'01_설정'!B31)</f>
        <v/>
      </c>
    </row>
    <row r="110" ht="17.25" customHeight="1">
      <c r="A110" s="152">
        <f>IF(INDEX('04A_국토부원자료'!$A:$A,ROW()+1)="","",ROW()-3)</f>
        <v/>
      </c>
      <c r="B110" s="48">
        <f>IFERROR(INDEX('04A_국토부원자료'!$A:$T,ROW()+1,MATCH("시군구",'04A_국토부원자료'!$A$4:$T$4,0)),"")</f>
        <v/>
      </c>
      <c r="C110" s="48">
        <f>IF(B110="","",IFERROR(INDEX('04A_국토부원자료'!$A:$T,ROW()+1,MATCH("번지",'04A_국토부원자료'!$A$4:$T$4,0)),""))</f>
        <v/>
      </c>
      <c r="D110" s="48">
        <f>IF(B110="","",IF(Q110=1,'02_대상물건입력'!$B$8,IFERROR(INDEX('04A_국토부원자료'!$A:$T,ROW()+1,MATCH("단지명",'04A_국토부원자료'!$A$4:$T$4,0)),"")))</f>
        <v/>
      </c>
      <c r="E110" s="172">
        <f>IFERROR(VALUE(SUBSTITUTE(INDEX('04A_국토부원자료'!$A:$T,ROW()+1,MATCH("전용면적(㎡)",'04A_국토부원자료'!$A$4:$T$4,0)),",","")),"")</f>
        <v/>
      </c>
      <c r="F1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0" s="51">
        <f>IFERROR(VALUE(SUBSTITUTE(INDEX('04A_국토부원자료'!$A:$T,ROW()+1,MATCH("거래금액(만원)",'04A_국토부원자료'!$A$4:$T$4,0)),",","")),"")</f>
        <v/>
      </c>
      <c r="H110" s="174">
        <f>IF(G110="","",G110*10000)</f>
        <v/>
      </c>
      <c r="I110" s="174">
        <f>IFERROR(IF(AND(H110&gt;0,E110&gt;0),H110/E110,""),"")</f>
        <v/>
      </c>
      <c r="J110" s="152">
        <f>IFERROR(VALUE(SUBSTITUTE(INDEX('04A_국토부원자료'!$A:$T,ROW()+1,MATCH("층",'04A_국토부원자료'!$A$4:$T$4,0)),",","")),"")</f>
        <v/>
      </c>
      <c r="K110" s="152">
        <f>IFERROR(VALUE(SUBSTITUTE(INDEX('04A_국토부원자료'!$A:$T,ROW()+1,MATCH("건축년도",'04A_국토부원자료'!$A$4:$T$4,0)),",","")),"")</f>
        <v/>
      </c>
      <c r="L110" s="176">
        <f>IFERROR(INDEX('04A_국토부원자료'!$A:$T,ROW()+1,MATCH("도로명",'04A_국토부원자료'!$A$4:$T$4,0)),"")</f>
        <v/>
      </c>
      <c r="M110" s="48">
        <f>IFERROR(INDEX('04A_국토부원자료'!$A:$T,ROW()+1,MATCH("거래유형",'04A_국토부원자료'!$A$4:$T$4,0)),"")</f>
        <v/>
      </c>
      <c r="N110" s="152">
        <f>IF(B110="","",IF('02_대상물건입력'!B5="",1,IF(ISNUMBER(SEARCH('02_대상물건입력'!B5,B110)),1,0)))</f>
        <v/>
      </c>
      <c r="O110" s="152">
        <f>IF(B110="","",IF('02_대상물건입력'!B6="",1,IF(ISNUMBER(SEARCH('02_대상물건입력'!B6,B110)),1,0)))</f>
        <v/>
      </c>
      <c r="P110" s="152">
        <f>IF(L110="","",IF('02_대상물건입력'!B15="",0,IF(ISNUMBER(SEARCH('02_대상물건입력'!B15,L110)),1,0)))</f>
        <v/>
      </c>
      <c r="Q110" s="152">
        <f>IF(OR(C110="",L110=""),0,IF(AND(TRIM(C110)=TRIM(RIGHT(SUBSTITUTE(TRIM('02_대상물건입력'!$B$7)," ",REPT(" ",99)),99)),IF('02_대상물건입력'!B15="",TRUE(),ISNUMBER(SEARCH('02_대상물건입력'!B15,L110)))),1,0))</f>
        <v/>
      </c>
      <c r="R110" s="175">
        <f>IFERROR(ABS(E110-'02_대상물건입력'!B11)/'02_대상물건입력'!B11,"")</f>
        <v/>
      </c>
      <c r="S110" s="152">
        <f>IFERROR(ABS(J110-'02_대상물건입력'!B10),"")</f>
        <v/>
      </c>
      <c r="T110" s="152">
        <f>IFERROR(ABS('01_설정'!B4-F110),"")</f>
        <v/>
      </c>
      <c r="U110" s="152">
        <f>IFERROR(ABS(K110-YEAR('02_대상물건입력'!B14)),"")</f>
        <v/>
      </c>
      <c r="V110" s="152">
        <f>IF(B110="","",IF(AND(E110&gt;0,F110&gt;0,H110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110=1,TRUE()),R110&lt;='01_설정'!B5,S110&lt;='01_설정'!B6,T110&lt;='01_설정'!B7,U110&lt;='01_설정'!B8),"Y",""))</f>
        <v/>
      </c>
      <c r="W110" s="172">
        <f>IF(V110&lt;&gt;"Y","",MAX(0,(1-R110/'01_설정'!B5))*'01_설정'!B14+MAX(0,(1-S110/'01_설정'!B6))*'01_설정'!B15+MAX(0,(1-T110/'01_설정'!B7))*'01_설정'!B16+MAX(0,(1-U110/'01_설정'!B8))*'01_설정'!B17+O110*'01_설정'!B11+Q110*'01_설정'!B12+P110*'01_설정'!B13+IF(Z110="",0,Z110))</f>
        <v/>
      </c>
      <c r="X110" s="152">
        <f>IF(W110="","",1+COUNTIFS($W$4:$W$3003,"&gt;"&amp;W110)+COUNTIFS($W$4:W110,W110)-1)</f>
        <v/>
      </c>
      <c r="Y110" s="175">
        <f>IF(OR(I110="",'02_대상물건입력'!B19="",'02_대상물건입력'!B19&lt;=0),"",ABS(I110-'02_대상물건입력'!B19)/'02_대상물건입력'!B19)</f>
        <v/>
      </c>
      <c r="Z110" s="172">
        <f>IF(OR(Y110="",'01_설정'!B31="",'01_설정'!B31&lt;=0,'01_설정'!B32="",'01_설정'!B32&lt;=0),"",MAX(0,(1-Y110/'01_설정'!B32))*'01_설정'!B31)</f>
        <v/>
      </c>
    </row>
    <row r="111" ht="17.25" customHeight="1">
      <c r="A111" s="152">
        <f>IF(INDEX('04A_국토부원자료'!$A:$A,ROW()+1)="","",ROW()-3)</f>
        <v/>
      </c>
      <c r="B111" s="48">
        <f>IFERROR(INDEX('04A_국토부원자료'!$A:$T,ROW()+1,MATCH("시군구",'04A_국토부원자료'!$A$4:$T$4,0)),"")</f>
        <v/>
      </c>
      <c r="C111" s="48">
        <f>IF(B111="","",IFERROR(INDEX('04A_국토부원자료'!$A:$T,ROW()+1,MATCH("번지",'04A_국토부원자료'!$A$4:$T$4,0)),""))</f>
        <v/>
      </c>
      <c r="D111" s="48">
        <f>IF(B111="","",IF(Q111=1,'02_대상물건입력'!$B$8,IFERROR(INDEX('04A_국토부원자료'!$A:$T,ROW()+1,MATCH("단지명",'04A_국토부원자료'!$A$4:$T$4,0)),"")))</f>
        <v/>
      </c>
      <c r="E111" s="172">
        <f>IFERROR(VALUE(SUBSTITUTE(INDEX('04A_국토부원자료'!$A:$T,ROW()+1,MATCH("전용면적(㎡)",'04A_국토부원자료'!$A$4:$T$4,0)),",","")),"")</f>
        <v/>
      </c>
      <c r="F1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1" s="51">
        <f>IFERROR(VALUE(SUBSTITUTE(INDEX('04A_국토부원자료'!$A:$T,ROW()+1,MATCH("거래금액(만원)",'04A_국토부원자료'!$A$4:$T$4,0)),",","")),"")</f>
        <v/>
      </c>
      <c r="H111" s="174">
        <f>IF(G111="","",G111*10000)</f>
        <v/>
      </c>
      <c r="I111" s="174">
        <f>IFERROR(IF(AND(H111&gt;0,E111&gt;0),H111/E111,""),"")</f>
        <v/>
      </c>
      <c r="J111" s="152">
        <f>IFERROR(VALUE(SUBSTITUTE(INDEX('04A_국토부원자료'!$A:$T,ROW()+1,MATCH("층",'04A_국토부원자료'!$A$4:$T$4,0)),",","")),"")</f>
        <v/>
      </c>
      <c r="K111" s="152">
        <f>IFERROR(VALUE(SUBSTITUTE(INDEX('04A_국토부원자료'!$A:$T,ROW()+1,MATCH("건축년도",'04A_국토부원자료'!$A$4:$T$4,0)),",","")),"")</f>
        <v/>
      </c>
      <c r="L111" s="176">
        <f>IFERROR(INDEX('04A_국토부원자료'!$A:$T,ROW()+1,MATCH("도로명",'04A_국토부원자료'!$A$4:$T$4,0)),"")</f>
        <v/>
      </c>
      <c r="M111" s="48">
        <f>IFERROR(INDEX('04A_국토부원자료'!$A:$T,ROW()+1,MATCH("거래유형",'04A_국토부원자료'!$A$4:$T$4,0)),"")</f>
        <v/>
      </c>
      <c r="N111" s="152">
        <f>IF(B111="","",IF('02_대상물건입력'!B5="",1,IF(ISNUMBER(SEARCH('02_대상물건입력'!B5,B111)),1,0)))</f>
        <v/>
      </c>
      <c r="O111" s="152">
        <f>IF(B111="","",IF('02_대상물건입력'!B6="",1,IF(ISNUMBER(SEARCH('02_대상물건입력'!B6,B111)),1,0)))</f>
        <v/>
      </c>
      <c r="P111" s="152">
        <f>IF(L111="","",IF('02_대상물건입력'!B15="",0,IF(ISNUMBER(SEARCH('02_대상물건입력'!B15,L111)),1,0)))</f>
        <v/>
      </c>
      <c r="Q111" s="152">
        <f>IF(OR(C111="",L111=""),0,IF(AND(TRIM(C111)=TRIM(RIGHT(SUBSTITUTE(TRIM('02_대상물건입력'!$B$7)," ",REPT(" ",99)),99)),IF('02_대상물건입력'!B15="",TRUE(),ISNUMBER(SEARCH('02_대상물건입력'!B15,L111)))),1,0))</f>
        <v/>
      </c>
      <c r="R111" s="175">
        <f>IFERROR(ABS(E111-'02_대상물건입력'!B11)/'02_대상물건입력'!B11,"")</f>
        <v/>
      </c>
      <c r="S111" s="152">
        <f>IFERROR(ABS(J111-'02_대상물건입력'!B10),"")</f>
        <v/>
      </c>
      <c r="T111" s="152">
        <f>IFERROR(ABS('01_설정'!B4-F111),"")</f>
        <v/>
      </c>
      <c r="U111" s="152">
        <f>IFERROR(ABS(K111-YEAR('02_대상물건입력'!B14)),"")</f>
        <v/>
      </c>
      <c r="V111" s="152">
        <f>IF(B111="","",IF(AND(E111&gt;0,F111&gt;0,H111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111=1,TRUE()),R111&lt;='01_설정'!B5,S111&lt;='01_설정'!B6,T111&lt;='01_설정'!B7,U111&lt;='01_설정'!B8),"Y",""))</f>
        <v/>
      </c>
      <c r="W111" s="172">
        <f>IF(V111&lt;&gt;"Y","",MAX(0,(1-R111/'01_설정'!B5))*'01_설정'!B14+MAX(0,(1-S111/'01_설정'!B6))*'01_설정'!B15+MAX(0,(1-T111/'01_설정'!B7))*'01_설정'!B16+MAX(0,(1-U111/'01_설정'!B8))*'01_설정'!B17+O111*'01_설정'!B11+Q111*'01_설정'!B12+P111*'01_설정'!B13+IF(Z111="",0,Z111))</f>
        <v/>
      </c>
      <c r="X111" s="152">
        <f>IF(W111="","",1+COUNTIFS($W$4:$W$3003,"&gt;"&amp;W111)+COUNTIFS($W$4:W111,W111)-1)</f>
        <v/>
      </c>
      <c r="Y111" s="175">
        <f>IF(OR(I111="",'02_대상물건입력'!B19="",'02_대상물건입력'!B19&lt;=0),"",ABS(I111-'02_대상물건입력'!B19)/'02_대상물건입력'!B19)</f>
        <v/>
      </c>
      <c r="Z111" s="172">
        <f>IF(OR(Y111="",'01_설정'!B31="",'01_설정'!B31&lt;=0,'01_설정'!B32="",'01_설정'!B32&lt;=0),"",MAX(0,(1-Y111/'01_설정'!B32))*'01_설정'!B31)</f>
        <v/>
      </c>
    </row>
    <row r="112" ht="17.25" customHeight="1">
      <c r="A112" s="152">
        <f>IF(INDEX('04A_국토부원자료'!$A:$A,ROW()+1)="","",ROW()-3)</f>
        <v/>
      </c>
      <c r="B112" s="48">
        <f>IFERROR(INDEX('04A_국토부원자료'!$A:$T,ROW()+1,MATCH("시군구",'04A_국토부원자료'!$A$4:$T$4,0)),"")</f>
        <v/>
      </c>
      <c r="C112" s="48">
        <f>IF(B112="","",IFERROR(INDEX('04A_국토부원자료'!$A:$T,ROW()+1,MATCH("번지",'04A_국토부원자료'!$A$4:$T$4,0)),""))</f>
        <v/>
      </c>
      <c r="D112" s="48">
        <f>IF(B112="","",IF(Q112=1,'02_대상물건입력'!$B$8,IFERROR(INDEX('04A_국토부원자료'!$A:$T,ROW()+1,MATCH("단지명",'04A_국토부원자료'!$A$4:$T$4,0)),"")))</f>
        <v/>
      </c>
      <c r="E112" s="172">
        <f>IFERROR(VALUE(SUBSTITUTE(INDEX('04A_국토부원자료'!$A:$T,ROW()+1,MATCH("전용면적(㎡)",'04A_국토부원자료'!$A$4:$T$4,0)),",","")),"")</f>
        <v/>
      </c>
      <c r="F1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2" s="51">
        <f>IFERROR(VALUE(SUBSTITUTE(INDEX('04A_국토부원자료'!$A:$T,ROW()+1,MATCH("거래금액(만원)",'04A_국토부원자료'!$A$4:$T$4,0)),",","")),"")</f>
        <v/>
      </c>
      <c r="H112" s="174">
        <f>IF(G112="","",G112*10000)</f>
        <v/>
      </c>
      <c r="I112" s="174">
        <f>IFERROR(IF(AND(H112&gt;0,E112&gt;0),H112/E112,""),"")</f>
        <v/>
      </c>
      <c r="J112" s="152">
        <f>IFERROR(VALUE(SUBSTITUTE(INDEX('04A_국토부원자료'!$A:$T,ROW()+1,MATCH("층",'04A_국토부원자료'!$A$4:$T$4,0)),",","")),"")</f>
        <v/>
      </c>
      <c r="K112" s="152">
        <f>IFERROR(VALUE(SUBSTITUTE(INDEX('04A_국토부원자료'!$A:$T,ROW()+1,MATCH("건축년도",'04A_국토부원자료'!$A$4:$T$4,0)),",","")),"")</f>
        <v/>
      </c>
      <c r="L112" s="176">
        <f>IFERROR(INDEX('04A_국토부원자료'!$A:$T,ROW()+1,MATCH("도로명",'04A_국토부원자료'!$A$4:$T$4,0)),"")</f>
        <v/>
      </c>
      <c r="M112" s="48">
        <f>IFERROR(INDEX('04A_국토부원자료'!$A:$T,ROW()+1,MATCH("거래유형",'04A_국토부원자료'!$A$4:$T$4,0)),"")</f>
        <v/>
      </c>
      <c r="N112" s="152">
        <f>IF(B112="","",IF('02_대상물건입력'!B5="",1,IF(ISNUMBER(SEARCH('02_대상물건입력'!B5,B112)),1,0)))</f>
        <v/>
      </c>
      <c r="O112" s="152">
        <f>IF(B112="","",IF('02_대상물건입력'!B6="",1,IF(ISNUMBER(SEARCH('02_대상물건입력'!B6,B112)),1,0)))</f>
        <v/>
      </c>
      <c r="P112" s="152">
        <f>IF(L112="","",IF('02_대상물건입력'!B15="",0,IF(ISNUMBER(SEARCH('02_대상물건입력'!B15,L112)),1,0)))</f>
        <v/>
      </c>
      <c r="Q112" s="152">
        <f>IF(OR(C112="",L112=""),0,IF(AND(TRIM(C112)=TRIM(RIGHT(SUBSTITUTE(TRIM('02_대상물건입력'!$B$7)," ",REPT(" ",99)),99)),IF('02_대상물건입력'!B15="",TRUE(),ISNUMBER(SEARCH('02_대상물건입력'!B15,L112)))),1,0))</f>
        <v/>
      </c>
      <c r="R112" s="175">
        <f>IFERROR(ABS(E112-'02_대상물건입력'!B11)/'02_대상물건입력'!B11,"")</f>
        <v/>
      </c>
      <c r="S112" s="152">
        <f>IFERROR(ABS(J112-'02_대상물건입력'!B10),"")</f>
        <v/>
      </c>
      <c r="T112" s="152">
        <f>IFERROR(ABS('01_설정'!B4-F112),"")</f>
        <v/>
      </c>
      <c r="U112" s="152">
        <f>IFERROR(ABS(K112-YEAR('02_대상물건입력'!B14)),"")</f>
        <v/>
      </c>
      <c r="V112" s="152">
        <f>IF(B112="","",IF(AND(E112&gt;0,F112&gt;0,H112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112=1,TRUE()),R112&lt;='01_설정'!B5,S112&lt;='01_설정'!B6,T112&lt;='01_설정'!B7,U112&lt;='01_설정'!B8),"Y",""))</f>
        <v/>
      </c>
      <c r="W112" s="172">
        <f>IF(V112&lt;&gt;"Y","",MAX(0,(1-R112/'01_설정'!B5))*'01_설정'!B14+MAX(0,(1-S112/'01_설정'!B6))*'01_설정'!B15+MAX(0,(1-T112/'01_설정'!B7))*'01_설정'!B16+MAX(0,(1-U112/'01_설정'!B8))*'01_설정'!B17+O112*'01_설정'!B11+Q112*'01_설정'!B12+P112*'01_설정'!B13+IF(Z112="",0,Z112))</f>
        <v/>
      </c>
      <c r="X112" s="152">
        <f>IF(W112="","",1+COUNTIFS($W$4:$W$3003,"&gt;"&amp;W112)+COUNTIFS($W$4:W112,W112)-1)</f>
        <v/>
      </c>
      <c r="Y112" s="175">
        <f>IF(OR(I112="",'02_대상물건입력'!B19="",'02_대상물건입력'!B19&lt;=0),"",ABS(I112-'02_대상물건입력'!B19)/'02_대상물건입력'!B19)</f>
        <v/>
      </c>
      <c r="Z112" s="172">
        <f>IF(OR(Y112="",'01_설정'!B31="",'01_설정'!B31&lt;=0,'01_설정'!B32="",'01_설정'!B32&lt;=0),"",MAX(0,(1-Y112/'01_설정'!B32))*'01_설정'!B31)</f>
        <v/>
      </c>
    </row>
    <row r="113" ht="17.25" customHeight="1">
      <c r="A113" s="152">
        <f>IF(INDEX('04A_국토부원자료'!$A:$A,ROW()+1)="","",ROW()-3)</f>
        <v/>
      </c>
      <c r="B113" s="48">
        <f>IFERROR(INDEX('04A_국토부원자료'!$A:$T,ROW()+1,MATCH("시군구",'04A_국토부원자료'!$A$4:$T$4,0)),"")</f>
        <v/>
      </c>
      <c r="C113" s="48">
        <f>IF(B113="","",IFERROR(INDEX('04A_국토부원자료'!$A:$T,ROW()+1,MATCH("번지",'04A_국토부원자료'!$A$4:$T$4,0)),""))</f>
        <v/>
      </c>
      <c r="D113" s="48">
        <f>IF(B113="","",IF(Q113=1,'02_대상물건입력'!$B$8,IFERROR(INDEX('04A_국토부원자료'!$A:$T,ROW()+1,MATCH("단지명",'04A_국토부원자료'!$A$4:$T$4,0)),"")))</f>
        <v/>
      </c>
      <c r="E113" s="172">
        <f>IFERROR(VALUE(SUBSTITUTE(INDEX('04A_국토부원자료'!$A:$T,ROW()+1,MATCH("전용면적(㎡)",'04A_국토부원자료'!$A$4:$T$4,0)),",","")),"")</f>
        <v/>
      </c>
      <c r="F1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3" s="51">
        <f>IFERROR(VALUE(SUBSTITUTE(INDEX('04A_국토부원자료'!$A:$T,ROW()+1,MATCH("거래금액(만원)",'04A_국토부원자료'!$A$4:$T$4,0)),",","")),"")</f>
        <v/>
      </c>
      <c r="H113" s="174">
        <f>IF(G113="","",G113*10000)</f>
        <v/>
      </c>
      <c r="I113" s="174">
        <f>IFERROR(IF(AND(H113&gt;0,E113&gt;0),H113/E113,""),"")</f>
        <v/>
      </c>
      <c r="J113" s="152">
        <f>IFERROR(VALUE(SUBSTITUTE(INDEX('04A_국토부원자료'!$A:$T,ROW()+1,MATCH("층",'04A_국토부원자료'!$A$4:$T$4,0)),",","")),"")</f>
        <v/>
      </c>
      <c r="K113" s="152">
        <f>IFERROR(VALUE(SUBSTITUTE(INDEX('04A_국토부원자료'!$A:$T,ROW()+1,MATCH("건축년도",'04A_국토부원자료'!$A$4:$T$4,0)),",","")),"")</f>
        <v/>
      </c>
      <c r="L113" s="176">
        <f>IFERROR(INDEX('04A_국토부원자료'!$A:$T,ROW()+1,MATCH("도로명",'04A_국토부원자료'!$A$4:$T$4,0)),"")</f>
        <v/>
      </c>
      <c r="M113" s="48">
        <f>IFERROR(INDEX('04A_국토부원자료'!$A:$T,ROW()+1,MATCH("거래유형",'04A_국토부원자료'!$A$4:$T$4,0)),"")</f>
        <v/>
      </c>
      <c r="N113" s="152">
        <f>IF(B113="","",IF('02_대상물건입력'!B5="",1,IF(ISNUMBER(SEARCH('02_대상물건입력'!B5,B113)),1,0)))</f>
        <v/>
      </c>
      <c r="O113" s="152">
        <f>IF(B113="","",IF('02_대상물건입력'!B6="",1,IF(ISNUMBER(SEARCH('02_대상물건입력'!B6,B113)),1,0)))</f>
        <v/>
      </c>
      <c r="P113" s="152">
        <f>IF(L113="","",IF('02_대상물건입력'!B15="",0,IF(ISNUMBER(SEARCH('02_대상물건입력'!B15,L113)),1,0)))</f>
        <v/>
      </c>
      <c r="Q113" s="152">
        <f>IF(OR(C113="",L113=""),0,IF(AND(TRIM(C113)=TRIM(RIGHT(SUBSTITUTE(TRIM('02_대상물건입력'!$B$7)," ",REPT(" ",99)),99)),IF('02_대상물건입력'!B15="",TRUE(),ISNUMBER(SEARCH('02_대상물건입력'!B15,L113)))),1,0))</f>
        <v/>
      </c>
      <c r="R113" s="175">
        <f>IFERROR(ABS(E113-'02_대상물건입력'!B11)/'02_대상물건입력'!B11,"")</f>
        <v/>
      </c>
      <c r="S113" s="152">
        <f>IFERROR(ABS(J113-'02_대상물건입력'!B10),"")</f>
        <v/>
      </c>
      <c r="T113" s="152">
        <f>IFERROR(ABS('01_설정'!B4-F113),"")</f>
        <v/>
      </c>
      <c r="U113" s="152">
        <f>IFERROR(ABS(K113-YEAR('02_대상물건입력'!B14)),"")</f>
        <v/>
      </c>
      <c r="V113" s="152">
        <f>IF(B113="","",IF(AND(E113&gt;0,F113&gt;0,H113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113=1,TRUE()),R113&lt;='01_설정'!B5,S113&lt;='01_설정'!B6,T113&lt;='01_설정'!B7,U113&lt;='01_설정'!B8),"Y",""))</f>
        <v/>
      </c>
      <c r="W113" s="172">
        <f>IF(V113&lt;&gt;"Y","",MAX(0,(1-R113/'01_설정'!B5))*'01_설정'!B14+MAX(0,(1-S113/'01_설정'!B6))*'01_설정'!B15+MAX(0,(1-T113/'01_설정'!B7))*'01_설정'!B16+MAX(0,(1-U113/'01_설정'!B8))*'01_설정'!B17+O113*'01_설정'!B11+Q113*'01_설정'!B12+P113*'01_설정'!B13+IF(Z113="",0,Z113))</f>
        <v/>
      </c>
      <c r="X113" s="152">
        <f>IF(W113="","",1+COUNTIFS($W$4:$W$3003,"&gt;"&amp;W113)+COUNTIFS($W$4:W113,W113)-1)</f>
        <v/>
      </c>
      <c r="Y113" s="175">
        <f>IF(OR(I113="",'02_대상물건입력'!B19="",'02_대상물건입력'!B19&lt;=0),"",ABS(I113-'02_대상물건입력'!B19)/'02_대상물건입력'!B19)</f>
        <v/>
      </c>
      <c r="Z113" s="172">
        <f>IF(OR(Y113="",'01_설정'!B31="",'01_설정'!B31&lt;=0,'01_설정'!B32="",'01_설정'!B32&lt;=0),"",MAX(0,(1-Y113/'01_설정'!B32))*'01_설정'!B31)</f>
        <v/>
      </c>
    </row>
    <row r="114" ht="17.25" customHeight="1">
      <c r="A114" s="152">
        <f>IF(INDEX('04A_국토부원자료'!$A:$A,ROW()+1)="","",ROW()-3)</f>
        <v/>
      </c>
      <c r="B114" s="48">
        <f>IFERROR(INDEX('04A_국토부원자료'!$A:$T,ROW()+1,MATCH("시군구",'04A_국토부원자료'!$A$4:$T$4,0)),"")</f>
        <v/>
      </c>
      <c r="C114" s="48">
        <f>IF(B114="","",IFERROR(INDEX('04A_국토부원자료'!$A:$T,ROW()+1,MATCH("번지",'04A_국토부원자료'!$A$4:$T$4,0)),""))</f>
        <v/>
      </c>
      <c r="D114" s="48">
        <f>IF(B114="","",IF(Q114=1,'02_대상물건입력'!$B$8,IFERROR(INDEX('04A_국토부원자료'!$A:$T,ROW()+1,MATCH("단지명",'04A_국토부원자료'!$A$4:$T$4,0)),"")))</f>
        <v/>
      </c>
      <c r="E114" s="172">
        <f>IFERROR(VALUE(SUBSTITUTE(INDEX('04A_국토부원자료'!$A:$T,ROW()+1,MATCH("전용면적(㎡)",'04A_국토부원자료'!$A$4:$T$4,0)),",","")),"")</f>
        <v/>
      </c>
      <c r="F1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4" s="51">
        <f>IFERROR(VALUE(SUBSTITUTE(INDEX('04A_국토부원자료'!$A:$T,ROW()+1,MATCH("거래금액(만원)",'04A_국토부원자료'!$A$4:$T$4,0)),",","")),"")</f>
        <v/>
      </c>
      <c r="H114" s="174">
        <f>IF(G114="","",G114*10000)</f>
        <v/>
      </c>
      <c r="I114" s="174">
        <f>IFERROR(IF(AND(H114&gt;0,E114&gt;0),H114/E114,""),"")</f>
        <v/>
      </c>
      <c r="J114" s="152">
        <f>IFERROR(VALUE(SUBSTITUTE(INDEX('04A_국토부원자료'!$A:$T,ROW()+1,MATCH("층",'04A_국토부원자료'!$A$4:$T$4,0)),",","")),"")</f>
        <v/>
      </c>
      <c r="K114" s="152">
        <f>IFERROR(VALUE(SUBSTITUTE(INDEX('04A_국토부원자료'!$A:$T,ROW()+1,MATCH("건축년도",'04A_국토부원자료'!$A$4:$T$4,0)),",","")),"")</f>
        <v/>
      </c>
      <c r="L114" s="176">
        <f>IFERROR(INDEX('04A_국토부원자료'!$A:$T,ROW()+1,MATCH("도로명",'04A_국토부원자료'!$A$4:$T$4,0)),"")</f>
        <v/>
      </c>
      <c r="M114" s="48">
        <f>IFERROR(INDEX('04A_국토부원자료'!$A:$T,ROW()+1,MATCH("거래유형",'04A_국토부원자료'!$A$4:$T$4,0)),"")</f>
        <v/>
      </c>
      <c r="N114" s="152">
        <f>IF(B114="","",IF('02_대상물건입력'!B5="",1,IF(ISNUMBER(SEARCH('02_대상물건입력'!B5,B114)),1,0)))</f>
        <v/>
      </c>
      <c r="O114" s="152">
        <f>IF(B114="","",IF('02_대상물건입력'!B6="",1,IF(ISNUMBER(SEARCH('02_대상물건입력'!B6,B114)),1,0)))</f>
        <v/>
      </c>
      <c r="P114" s="152">
        <f>IF(L114="","",IF('02_대상물건입력'!B15="",0,IF(ISNUMBER(SEARCH('02_대상물건입력'!B15,L114)),1,0)))</f>
        <v/>
      </c>
      <c r="Q114" s="152">
        <f>IF(OR(C114="",L114=""),0,IF(AND(TRIM(C114)=TRIM(RIGHT(SUBSTITUTE(TRIM('02_대상물건입력'!$B$7)," ",REPT(" ",99)),99)),IF('02_대상물건입력'!B15="",TRUE(),ISNUMBER(SEARCH('02_대상물건입력'!B15,L114)))),1,0))</f>
        <v/>
      </c>
      <c r="R114" s="175">
        <f>IFERROR(ABS(E114-'02_대상물건입력'!B11)/'02_대상물건입력'!B11,"")</f>
        <v/>
      </c>
      <c r="S114" s="152">
        <f>IFERROR(ABS(J114-'02_대상물건입력'!B10),"")</f>
        <v/>
      </c>
      <c r="T114" s="152">
        <f>IFERROR(ABS('01_설정'!B4-F114),"")</f>
        <v/>
      </c>
      <c r="U114" s="152">
        <f>IFERROR(ABS(K114-YEAR('02_대상물건입력'!B14)),"")</f>
        <v/>
      </c>
      <c r="V114" s="152">
        <f>IF(B114="","",IF(AND(E114&gt;0,F114&gt;0,H114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114=1,TRUE()),R114&lt;='01_설정'!B5,S114&lt;='01_설정'!B6,T114&lt;='01_설정'!B7,U114&lt;='01_설정'!B8),"Y",""))</f>
        <v/>
      </c>
      <c r="W114" s="172">
        <f>IF(V114&lt;&gt;"Y","",MAX(0,(1-R114/'01_설정'!B5))*'01_설정'!B14+MAX(0,(1-S114/'01_설정'!B6))*'01_설정'!B15+MAX(0,(1-T114/'01_설정'!B7))*'01_설정'!B16+MAX(0,(1-U114/'01_설정'!B8))*'01_설정'!B17+O114*'01_설정'!B11+Q114*'01_설정'!B12+P114*'01_설정'!B13+IF(Z114="",0,Z114))</f>
        <v/>
      </c>
      <c r="X114" s="152">
        <f>IF(W114="","",1+COUNTIFS($W$4:$W$3003,"&gt;"&amp;W114)+COUNTIFS($W$4:W114,W114)-1)</f>
        <v/>
      </c>
      <c r="Y114" s="175">
        <f>IF(OR(I114="",'02_대상물건입력'!B19="",'02_대상물건입력'!B19&lt;=0),"",ABS(I114-'02_대상물건입력'!B19)/'02_대상물건입력'!B19)</f>
        <v/>
      </c>
      <c r="Z114" s="172">
        <f>IF(OR(Y114="",'01_설정'!B31="",'01_설정'!B31&lt;=0,'01_설정'!B32="",'01_설정'!B32&lt;=0),"",MAX(0,(1-Y114/'01_설정'!B32))*'01_설정'!B31)</f>
        <v/>
      </c>
    </row>
    <row r="115" ht="17.25" customHeight="1">
      <c r="A115" s="152">
        <f>IF(INDEX('04A_국토부원자료'!$A:$A,ROW()+1)="","",ROW()-3)</f>
        <v/>
      </c>
      <c r="B115" s="48">
        <f>IFERROR(INDEX('04A_국토부원자료'!$A:$T,ROW()+1,MATCH("시군구",'04A_국토부원자료'!$A$4:$T$4,0)),"")</f>
        <v/>
      </c>
      <c r="C115" s="48">
        <f>IF(B115="","",IFERROR(INDEX('04A_국토부원자료'!$A:$T,ROW()+1,MATCH("번지",'04A_국토부원자료'!$A$4:$T$4,0)),""))</f>
        <v/>
      </c>
      <c r="D115" s="48">
        <f>IF(B115="","",IF(Q115=1,'02_대상물건입력'!$B$8,IFERROR(INDEX('04A_국토부원자료'!$A:$T,ROW()+1,MATCH("단지명",'04A_국토부원자료'!$A$4:$T$4,0)),"")))</f>
        <v/>
      </c>
      <c r="E115" s="172">
        <f>IFERROR(VALUE(SUBSTITUTE(INDEX('04A_국토부원자료'!$A:$T,ROW()+1,MATCH("전용면적(㎡)",'04A_국토부원자료'!$A$4:$T$4,0)),",","")),"")</f>
        <v/>
      </c>
      <c r="F1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5" s="51">
        <f>IFERROR(VALUE(SUBSTITUTE(INDEX('04A_국토부원자료'!$A:$T,ROW()+1,MATCH("거래금액(만원)",'04A_국토부원자료'!$A$4:$T$4,0)),",","")),"")</f>
        <v/>
      </c>
      <c r="H115" s="174">
        <f>IF(G115="","",G115*10000)</f>
        <v/>
      </c>
      <c r="I115" s="174">
        <f>IFERROR(IF(AND(H115&gt;0,E115&gt;0),H115/E115,""),"")</f>
        <v/>
      </c>
      <c r="J115" s="152">
        <f>IFERROR(VALUE(SUBSTITUTE(INDEX('04A_국토부원자료'!$A:$T,ROW()+1,MATCH("층",'04A_국토부원자료'!$A$4:$T$4,0)),",","")),"")</f>
        <v/>
      </c>
      <c r="K115" s="152">
        <f>IFERROR(VALUE(SUBSTITUTE(INDEX('04A_국토부원자료'!$A:$T,ROW()+1,MATCH("건축년도",'04A_국토부원자료'!$A$4:$T$4,0)),",","")),"")</f>
        <v/>
      </c>
      <c r="L115" s="176">
        <f>IFERROR(INDEX('04A_국토부원자료'!$A:$T,ROW()+1,MATCH("도로명",'04A_국토부원자료'!$A$4:$T$4,0)),"")</f>
        <v/>
      </c>
      <c r="M115" s="48">
        <f>IFERROR(INDEX('04A_국토부원자료'!$A:$T,ROW()+1,MATCH("거래유형",'04A_국토부원자료'!$A$4:$T$4,0)),"")</f>
        <v/>
      </c>
      <c r="N115" s="152">
        <f>IF(B115="","",IF('02_대상물건입력'!B5="",1,IF(ISNUMBER(SEARCH('02_대상물건입력'!B5,B115)),1,0)))</f>
        <v/>
      </c>
      <c r="O115" s="152">
        <f>IF(B115="","",IF('02_대상물건입력'!B6="",1,IF(ISNUMBER(SEARCH('02_대상물건입력'!B6,B115)),1,0)))</f>
        <v/>
      </c>
      <c r="P115" s="152">
        <f>IF(L115="","",IF('02_대상물건입력'!B15="",0,IF(ISNUMBER(SEARCH('02_대상물건입력'!B15,L115)),1,0)))</f>
        <v/>
      </c>
      <c r="Q115" s="152">
        <f>IF(OR(C115="",L115=""),0,IF(AND(TRIM(C115)=TRIM(RIGHT(SUBSTITUTE(TRIM('02_대상물건입력'!$B$7)," ",REPT(" ",99)),99)),IF('02_대상물건입력'!B15="",TRUE(),ISNUMBER(SEARCH('02_대상물건입력'!B15,L115)))),1,0))</f>
        <v/>
      </c>
      <c r="R115" s="175">
        <f>IFERROR(ABS(E115-'02_대상물건입력'!B11)/'02_대상물건입력'!B11,"")</f>
        <v/>
      </c>
      <c r="S115" s="152">
        <f>IFERROR(ABS(J115-'02_대상물건입력'!B10),"")</f>
        <v/>
      </c>
      <c r="T115" s="152">
        <f>IFERROR(ABS('01_설정'!B4-F115),"")</f>
        <v/>
      </c>
      <c r="U115" s="152">
        <f>IFERROR(ABS(K115-YEAR('02_대상물건입력'!B14)),"")</f>
        <v/>
      </c>
      <c r="V115" s="152">
        <f>IF(B115="","",IF(AND(E115&gt;0,F115&gt;0,H115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115=1,TRUE()),R115&lt;='01_설정'!B5,S115&lt;='01_설정'!B6,T115&lt;='01_설정'!B7,U115&lt;='01_설정'!B8),"Y",""))</f>
        <v/>
      </c>
      <c r="W115" s="172">
        <f>IF(V115&lt;&gt;"Y","",MAX(0,(1-R115/'01_설정'!B5))*'01_설정'!B14+MAX(0,(1-S115/'01_설정'!B6))*'01_설정'!B15+MAX(0,(1-T115/'01_설정'!B7))*'01_설정'!B16+MAX(0,(1-U115/'01_설정'!B8))*'01_설정'!B17+O115*'01_설정'!B11+Q115*'01_설정'!B12+P115*'01_설정'!B13+IF(Z115="",0,Z115))</f>
        <v/>
      </c>
      <c r="X115" s="152">
        <f>IF(W115="","",1+COUNTIFS($W$4:$W$3003,"&gt;"&amp;W115)+COUNTIFS($W$4:W115,W115)-1)</f>
        <v/>
      </c>
      <c r="Y115" s="175">
        <f>IF(OR(I115="",'02_대상물건입력'!B19="",'02_대상물건입력'!B19&lt;=0),"",ABS(I115-'02_대상물건입력'!B19)/'02_대상물건입력'!B19)</f>
        <v/>
      </c>
      <c r="Z115" s="172">
        <f>IF(OR(Y115="",'01_설정'!B31="",'01_설정'!B31&lt;=0,'01_설정'!B32="",'01_설정'!B32&lt;=0),"",MAX(0,(1-Y115/'01_설정'!B32))*'01_설정'!B31)</f>
        <v/>
      </c>
    </row>
    <row r="116" ht="17.25" customHeight="1">
      <c r="A116" s="152">
        <f>IF(INDEX('04A_국토부원자료'!$A:$A,ROW()+1)="","",ROW()-3)</f>
        <v/>
      </c>
      <c r="B116" s="48">
        <f>IFERROR(INDEX('04A_국토부원자료'!$A:$T,ROW()+1,MATCH("시군구",'04A_국토부원자료'!$A$4:$T$4,0)),"")</f>
        <v/>
      </c>
      <c r="C116" s="48">
        <f>IF(B116="","",IFERROR(INDEX('04A_국토부원자료'!$A:$T,ROW()+1,MATCH("번지",'04A_국토부원자료'!$A$4:$T$4,0)),""))</f>
        <v/>
      </c>
      <c r="D116" s="48">
        <f>IF(B116="","",IF(Q116=1,'02_대상물건입력'!$B$8,IFERROR(INDEX('04A_국토부원자료'!$A:$T,ROW()+1,MATCH("단지명",'04A_국토부원자료'!$A$4:$T$4,0)),"")))</f>
        <v/>
      </c>
      <c r="E116" s="172">
        <f>IFERROR(VALUE(SUBSTITUTE(INDEX('04A_국토부원자료'!$A:$T,ROW()+1,MATCH("전용면적(㎡)",'04A_국토부원자료'!$A$4:$T$4,0)),",","")),"")</f>
        <v/>
      </c>
      <c r="F1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6" s="51">
        <f>IFERROR(VALUE(SUBSTITUTE(INDEX('04A_국토부원자료'!$A:$T,ROW()+1,MATCH("거래금액(만원)",'04A_국토부원자료'!$A$4:$T$4,0)),",","")),"")</f>
        <v/>
      </c>
      <c r="H116" s="174">
        <f>IF(G116="","",G116*10000)</f>
        <v/>
      </c>
      <c r="I116" s="174">
        <f>IFERROR(IF(AND(H116&gt;0,E116&gt;0),H116/E116,""),"")</f>
        <v/>
      </c>
      <c r="J116" s="152">
        <f>IFERROR(VALUE(SUBSTITUTE(INDEX('04A_국토부원자료'!$A:$T,ROW()+1,MATCH("층",'04A_국토부원자료'!$A$4:$T$4,0)),",","")),"")</f>
        <v/>
      </c>
      <c r="K116" s="152">
        <f>IFERROR(VALUE(SUBSTITUTE(INDEX('04A_국토부원자료'!$A:$T,ROW()+1,MATCH("건축년도",'04A_국토부원자료'!$A$4:$T$4,0)),",","")),"")</f>
        <v/>
      </c>
      <c r="L116" s="176">
        <f>IFERROR(INDEX('04A_국토부원자료'!$A:$T,ROW()+1,MATCH("도로명",'04A_국토부원자료'!$A$4:$T$4,0)),"")</f>
        <v/>
      </c>
      <c r="M116" s="48">
        <f>IFERROR(INDEX('04A_국토부원자료'!$A:$T,ROW()+1,MATCH("거래유형",'04A_국토부원자료'!$A$4:$T$4,0)),"")</f>
        <v/>
      </c>
      <c r="N116" s="152">
        <f>IF(B116="","",IF('02_대상물건입력'!B5="",1,IF(ISNUMBER(SEARCH('02_대상물건입력'!B5,B116)),1,0)))</f>
        <v/>
      </c>
      <c r="O116" s="152">
        <f>IF(B116="","",IF('02_대상물건입력'!B6="",1,IF(ISNUMBER(SEARCH('02_대상물건입력'!B6,B116)),1,0)))</f>
        <v/>
      </c>
      <c r="P116" s="152">
        <f>IF(L116="","",IF('02_대상물건입력'!B15="",0,IF(ISNUMBER(SEARCH('02_대상물건입력'!B15,L116)),1,0)))</f>
        <v/>
      </c>
      <c r="Q116" s="152">
        <f>IF(OR(C116="",L116=""),0,IF(AND(TRIM(C116)=TRIM(RIGHT(SUBSTITUTE(TRIM('02_대상물건입력'!$B$7)," ",REPT(" ",99)),99)),IF('02_대상물건입력'!B15="",TRUE(),ISNUMBER(SEARCH('02_대상물건입력'!B15,L116)))),1,0))</f>
        <v/>
      </c>
      <c r="R116" s="175">
        <f>IFERROR(ABS(E116-'02_대상물건입력'!B11)/'02_대상물건입력'!B11,"")</f>
        <v/>
      </c>
      <c r="S116" s="152">
        <f>IFERROR(ABS(J116-'02_대상물건입력'!B10),"")</f>
        <v/>
      </c>
      <c r="T116" s="152">
        <f>IFERROR(ABS('01_설정'!B4-F116),"")</f>
        <v/>
      </c>
      <c r="U116" s="152">
        <f>IFERROR(ABS(K116-YEAR('02_대상물건입력'!B14)),"")</f>
        <v/>
      </c>
      <c r="V116" s="152">
        <f>IF(B116="","",IF(AND(E116&gt;0,F116&gt;0,H116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116=1,TRUE()),R116&lt;='01_설정'!B5,S116&lt;='01_설정'!B6,T116&lt;='01_설정'!B7,U116&lt;='01_설정'!B8),"Y",""))</f>
        <v/>
      </c>
      <c r="W116" s="172">
        <f>IF(V116&lt;&gt;"Y","",MAX(0,(1-R116/'01_설정'!B5))*'01_설정'!B14+MAX(0,(1-S116/'01_설정'!B6))*'01_설정'!B15+MAX(0,(1-T116/'01_설정'!B7))*'01_설정'!B16+MAX(0,(1-U116/'01_설정'!B8))*'01_설정'!B17+O116*'01_설정'!B11+Q116*'01_설정'!B12+P116*'01_설정'!B13+IF(Z116="",0,Z116))</f>
        <v/>
      </c>
      <c r="X116" s="152">
        <f>IF(W116="","",1+COUNTIFS($W$4:$W$3003,"&gt;"&amp;W116)+COUNTIFS($W$4:W116,W116)-1)</f>
        <v/>
      </c>
      <c r="Y116" s="175">
        <f>IF(OR(I116="",'02_대상물건입력'!B19="",'02_대상물건입력'!B19&lt;=0),"",ABS(I116-'02_대상물건입력'!B19)/'02_대상물건입력'!B19)</f>
        <v/>
      </c>
      <c r="Z116" s="172">
        <f>IF(OR(Y116="",'01_설정'!B31="",'01_설정'!B31&lt;=0,'01_설정'!B32="",'01_설정'!B32&lt;=0),"",MAX(0,(1-Y116/'01_설정'!B32))*'01_설정'!B31)</f>
        <v/>
      </c>
    </row>
    <row r="117" ht="17.25" customHeight="1">
      <c r="A117" s="152">
        <f>IF(INDEX('04A_국토부원자료'!$A:$A,ROW()+1)="","",ROW()-3)</f>
        <v/>
      </c>
      <c r="B117" s="48">
        <f>IFERROR(INDEX('04A_국토부원자료'!$A:$T,ROW()+1,MATCH("시군구",'04A_국토부원자료'!$A$4:$T$4,0)),"")</f>
        <v/>
      </c>
      <c r="C117" s="48">
        <f>IF(B117="","",IFERROR(INDEX('04A_국토부원자료'!$A:$T,ROW()+1,MATCH("번지",'04A_국토부원자료'!$A$4:$T$4,0)),""))</f>
        <v/>
      </c>
      <c r="D117" s="48">
        <f>IF(B117="","",IF(Q117=1,'02_대상물건입력'!$B$8,IFERROR(INDEX('04A_국토부원자료'!$A:$T,ROW()+1,MATCH("단지명",'04A_국토부원자료'!$A$4:$T$4,0)),"")))</f>
        <v/>
      </c>
      <c r="E117" s="172">
        <f>IFERROR(VALUE(SUBSTITUTE(INDEX('04A_국토부원자료'!$A:$T,ROW()+1,MATCH("전용면적(㎡)",'04A_국토부원자료'!$A$4:$T$4,0)),",","")),"")</f>
        <v/>
      </c>
      <c r="F1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7" s="51">
        <f>IFERROR(VALUE(SUBSTITUTE(INDEX('04A_국토부원자료'!$A:$T,ROW()+1,MATCH("거래금액(만원)",'04A_국토부원자료'!$A$4:$T$4,0)),",","")),"")</f>
        <v/>
      </c>
      <c r="H117" s="174">
        <f>IF(G117="","",G117*10000)</f>
        <v/>
      </c>
      <c r="I117" s="174">
        <f>IFERROR(IF(AND(H117&gt;0,E117&gt;0),H117/E117,""),"")</f>
        <v/>
      </c>
      <c r="J117" s="152">
        <f>IFERROR(VALUE(SUBSTITUTE(INDEX('04A_국토부원자료'!$A:$T,ROW()+1,MATCH("층",'04A_국토부원자료'!$A$4:$T$4,0)),",","")),"")</f>
        <v/>
      </c>
      <c r="K117" s="152">
        <f>IFERROR(VALUE(SUBSTITUTE(INDEX('04A_국토부원자료'!$A:$T,ROW()+1,MATCH("건축년도",'04A_국토부원자료'!$A$4:$T$4,0)),",","")),"")</f>
        <v/>
      </c>
      <c r="L117" s="176">
        <f>IFERROR(INDEX('04A_국토부원자료'!$A:$T,ROW()+1,MATCH("도로명",'04A_국토부원자료'!$A$4:$T$4,0)),"")</f>
        <v/>
      </c>
      <c r="M117" s="48">
        <f>IFERROR(INDEX('04A_국토부원자료'!$A:$T,ROW()+1,MATCH("거래유형",'04A_국토부원자료'!$A$4:$T$4,0)),"")</f>
        <v/>
      </c>
      <c r="N117" s="152">
        <f>IF(B117="","",IF('02_대상물건입력'!B5="",1,IF(ISNUMBER(SEARCH('02_대상물건입력'!B5,B117)),1,0)))</f>
        <v/>
      </c>
      <c r="O117" s="152">
        <f>IF(B117="","",IF('02_대상물건입력'!B6="",1,IF(ISNUMBER(SEARCH('02_대상물건입력'!B6,B117)),1,0)))</f>
        <v/>
      </c>
      <c r="P117" s="152">
        <f>IF(L117="","",IF('02_대상물건입력'!B15="",0,IF(ISNUMBER(SEARCH('02_대상물건입력'!B15,L117)),1,0)))</f>
        <v/>
      </c>
      <c r="Q117" s="152">
        <f>IF(OR(C117="",L117=""),0,IF(AND(TRIM(C117)=TRIM(RIGHT(SUBSTITUTE(TRIM('02_대상물건입력'!$B$7)," ",REPT(" ",99)),99)),IF('02_대상물건입력'!B15="",TRUE(),ISNUMBER(SEARCH('02_대상물건입력'!B15,L117)))),1,0))</f>
        <v/>
      </c>
      <c r="R117" s="175">
        <f>IFERROR(ABS(E117-'02_대상물건입력'!B11)/'02_대상물건입력'!B11,"")</f>
        <v/>
      </c>
      <c r="S117" s="152">
        <f>IFERROR(ABS(J117-'02_대상물건입력'!B10),"")</f>
        <v/>
      </c>
      <c r="T117" s="152">
        <f>IFERROR(ABS('01_설정'!B4-F117),"")</f>
        <v/>
      </c>
      <c r="U117" s="152">
        <f>IFERROR(ABS(K117-YEAR('02_대상물건입력'!B14)),"")</f>
        <v/>
      </c>
      <c r="V117" s="152">
        <f>IF(B117="","",IF(AND(E117&gt;0,F117&gt;0,H117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117=1,TRUE()),R117&lt;='01_설정'!B5,S117&lt;='01_설정'!B6,T117&lt;='01_설정'!B7,U117&lt;='01_설정'!B8),"Y",""))</f>
        <v/>
      </c>
      <c r="W117" s="172">
        <f>IF(V117&lt;&gt;"Y","",MAX(0,(1-R117/'01_설정'!B5))*'01_설정'!B14+MAX(0,(1-S117/'01_설정'!B6))*'01_설정'!B15+MAX(0,(1-T117/'01_설정'!B7))*'01_설정'!B16+MAX(0,(1-U117/'01_설정'!B8))*'01_설정'!B17+O117*'01_설정'!B11+Q117*'01_설정'!B12+P117*'01_설정'!B13+IF(Z117="",0,Z117))</f>
        <v/>
      </c>
      <c r="X117" s="152">
        <f>IF(W117="","",1+COUNTIFS($W$4:$W$3003,"&gt;"&amp;W117)+COUNTIFS($W$4:W117,W117)-1)</f>
        <v/>
      </c>
      <c r="Y117" s="175">
        <f>IF(OR(I117="",'02_대상물건입력'!B19="",'02_대상물건입력'!B19&lt;=0),"",ABS(I117-'02_대상물건입력'!B19)/'02_대상물건입력'!B19)</f>
        <v/>
      </c>
      <c r="Z117" s="172">
        <f>IF(OR(Y117="",'01_설정'!B31="",'01_설정'!B31&lt;=0,'01_설정'!B32="",'01_설정'!B32&lt;=0),"",MAX(0,(1-Y117/'01_설정'!B32))*'01_설정'!B31)</f>
        <v/>
      </c>
    </row>
    <row r="118" ht="17.25" customHeight="1">
      <c r="A118" s="152">
        <f>IF(INDEX('04A_국토부원자료'!$A:$A,ROW()+1)="","",ROW()-3)</f>
        <v/>
      </c>
      <c r="B118" s="48">
        <f>IFERROR(INDEX('04A_국토부원자료'!$A:$T,ROW()+1,MATCH("시군구",'04A_국토부원자료'!$A$4:$T$4,0)),"")</f>
        <v/>
      </c>
      <c r="C118" s="48">
        <f>IF(B118="","",IFERROR(INDEX('04A_국토부원자료'!$A:$T,ROW()+1,MATCH("번지",'04A_국토부원자료'!$A$4:$T$4,0)),""))</f>
        <v/>
      </c>
      <c r="D118" s="48">
        <f>IF(B118="","",IF(Q118=1,'02_대상물건입력'!$B$8,IFERROR(INDEX('04A_국토부원자료'!$A:$T,ROW()+1,MATCH("단지명",'04A_국토부원자료'!$A$4:$T$4,0)),"")))</f>
        <v/>
      </c>
      <c r="E118" s="172">
        <f>IFERROR(VALUE(SUBSTITUTE(INDEX('04A_국토부원자료'!$A:$T,ROW()+1,MATCH("전용면적(㎡)",'04A_국토부원자료'!$A$4:$T$4,0)),",","")),"")</f>
        <v/>
      </c>
      <c r="F1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8" s="51">
        <f>IFERROR(VALUE(SUBSTITUTE(INDEX('04A_국토부원자료'!$A:$T,ROW()+1,MATCH("거래금액(만원)",'04A_국토부원자료'!$A$4:$T$4,0)),",","")),"")</f>
        <v/>
      </c>
      <c r="H118" s="174">
        <f>IF(G118="","",G118*10000)</f>
        <v/>
      </c>
      <c r="I118" s="174">
        <f>IFERROR(IF(AND(H118&gt;0,E118&gt;0),H118/E118,""),"")</f>
        <v/>
      </c>
      <c r="J118" s="152">
        <f>IFERROR(VALUE(SUBSTITUTE(INDEX('04A_국토부원자료'!$A:$T,ROW()+1,MATCH("층",'04A_국토부원자료'!$A$4:$T$4,0)),",","")),"")</f>
        <v/>
      </c>
      <c r="K118" s="152">
        <f>IFERROR(VALUE(SUBSTITUTE(INDEX('04A_국토부원자료'!$A:$T,ROW()+1,MATCH("건축년도",'04A_국토부원자료'!$A$4:$T$4,0)),",","")),"")</f>
        <v/>
      </c>
      <c r="L118" s="176">
        <f>IFERROR(INDEX('04A_국토부원자료'!$A:$T,ROW()+1,MATCH("도로명",'04A_국토부원자료'!$A$4:$T$4,0)),"")</f>
        <v/>
      </c>
      <c r="M118" s="48">
        <f>IFERROR(INDEX('04A_국토부원자료'!$A:$T,ROW()+1,MATCH("거래유형",'04A_국토부원자료'!$A$4:$T$4,0)),"")</f>
        <v/>
      </c>
      <c r="N118" s="152">
        <f>IF(B118="","",IF('02_대상물건입력'!B5="",1,IF(ISNUMBER(SEARCH('02_대상물건입력'!B5,B118)),1,0)))</f>
        <v/>
      </c>
      <c r="O118" s="152">
        <f>IF(B118="","",IF('02_대상물건입력'!B6="",1,IF(ISNUMBER(SEARCH('02_대상물건입력'!B6,B118)),1,0)))</f>
        <v/>
      </c>
      <c r="P118" s="152">
        <f>IF(L118="","",IF('02_대상물건입력'!B15="",0,IF(ISNUMBER(SEARCH('02_대상물건입력'!B15,L118)),1,0)))</f>
        <v/>
      </c>
      <c r="Q118" s="152">
        <f>IF(OR(C118="",L118=""),0,IF(AND(TRIM(C118)=TRIM(RIGHT(SUBSTITUTE(TRIM('02_대상물건입력'!$B$7)," ",REPT(" ",99)),99)),IF('02_대상물건입력'!B15="",TRUE(),ISNUMBER(SEARCH('02_대상물건입력'!B15,L118)))),1,0))</f>
        <v/>
      </c>
      <c r="R118" s="175">
        <f>IFERROR(ABS(E118-'02_대상물건입력'!B11)/'02_대상물건입력'!B11,"")</f>
        <v/>
      </c>
      <c r="S118" s="152">
        <f>IFERROR(ABS(J118-'02_대상물건입력'!B10),"")</f>
        <v/>
      </c>
      <c r="T118" s="152">
        <f>IFERROR(ABS('01_설정'!B4-F118),"")</f>
        <v/>
      </c>
      <c r="U118" s="152">
        <f>IFERROR(ABS(K118-YEAR('02_대상물건입력'!B14)),"")</f>
        <v/>
      </c>
      <c r="V118" s="152">
        <f>IF(B118="","",IF(AND(E118&gt;0,F118&gt;0,H118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118=1,TRUE()),R118&lt;='01_설정'!B5,S118&lt;='01_설정'!B6,T118&lt;='01_설정'!B7,U118&lt;='01_설정'!B8),"Y",""))</f>
        <v/>
      </c>
      <c r="W118" s="172">
        <f>IF(V118&lt;&gt;"Y","",MAX(0,(1-R118/'01_설정'!B5))*'01_설정'!B14+MAX(0,(1-S118/'01_설정'!B6))*'01_설정'!B15+MAX(0,(1-T118/'01_설정'!B7))*'01_설정'!B16+MAX(0,(1-U118/'01_설정'!B8))*'01_설정'!B17+O118*'01_설정'!B11+Q118*'01_설정'!B12+P118*'01_설정'!B13+IF(Z118="",0,Z118))</f>
        <v/>
      </c>
      <c r="X118" s="152">
        <f>IF(W118="","",1+COUNTIFS($W$4:$W$3003,"&gt;"&amp;W118)+COUNTIFS($W$4:W118,W118)-1)</f>
        <v/>
      </c>
      <c r="Y118" s="175">
        <f>IF(OR(I118="",'02_대상물건입력'!B19="",'02_대상물건입력'!B19&lt;=0),"",ABS(I118-'02_대상물건입력'!B19)/'02_대상물건입력'!B19)</f>
        <v/>
      </c>
      <c r="Z118" s="172">
        <f>IF(OR(Y118="",'01_설정'!B31="",'01_설정'!B31&lt;=0,'01_설정'!B32="",'01_설정'!B32&lt;=0),"",MAX(0,(1-Y118/'01_설정'!B32))*'01_설정'!B31)</f>
        <v/>
      </c>
    </row>
    <row r="119" ht="17.25" customHeight="1">
      <c r="A119" s="152">
        <f>IF(INDEX('04A_국토부원자료'!$A:$A,ROW()+1)="","",ROW()-3)</f>
        <v/>
      </c>
      <c r="B119" s="48">
        <f>IFERROR(INDEX('04A_국토부원자료'!$A:$T,ROW()+1,MATCH("시군구",'04A_국토부원자료'!$A$4:$T$4,0)),"")</f>
        <v/>
      </c>
      <c r="C119" s="48">
        <f>IF(B119="","",IFERROR(INDEX('04A_국토부원자료'!$A:$T,ROW()+1,MATCH("번지",'04A_국토부원자료'!$A$4:$T$4,0)),""))</f>
        <v/>
      </c>
      <c r="D119" s="48">
        <f>IF(B119="","",IF(Q119=1,'02_대상물건입력'!$B$8,IFERROR(INDEX('04A_국토부원자료'!$A:$T,ROW()+1,MATCH("단지명",'04A_국토부원자료'!$A$4:$T$4,0)),"")))</f>
        <v/>
      </c>
      <c r="E119" s="172">
        <f>IFERROR(VALUE(SUBSTITUTE(INDEX('04A_국토부원자료'!$A:$T,ROW()+1,MATCH("전용면적(㎡)",'04A_국토부원자료'!$A$4:$T$4,0)),",","")),"")</f>
        <v/>
      </c>
      <c r="F1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9" s="51">
        <f>IFERROR(VALUE(SUBSTITUTE(INDEX('04A_국토부원자료'!$A:$T,ROW()+1,MATCH("거래금액(만원)",'04A_국토부원자료'!$A$4:$T$4,0)),",","")),"")</f>
        <v/>
      </c>
      <c r="H119" s="174">
        <f>IF(G119="","",G119*10000)</f>
        <v/>
      </c>
      <c r="I119" s="174">
        <f>IFERROR(IF(AND(H119&gt;0,E119&gt;0),H119/E119,""),"")</f>
        <v/>
      </c>
      <c r="J119" s="152">
        <f>IFERROR(VALUE(SUBSTITUTE(INDEX('04A_국토부원자료'!$A:$T,ROW()+1,MATCH("층",'04A_국토부원자료'!$A$4:$T$4,0)),",","")),"")</f>
        <v/>
      </c>
      <c r="K119" s="152">
        <f>IFERROR(VALUE(SUBSTITUTE(INDEX('04A_국토부원자료'!$A:$T,ROW()+1,MATCH("건축년도",'04A_국토부원자료'!$A$4:$T$4,0)),",","")),"")</f>
        <v/>
      </c>
      <c r="L119" s="176">
        <f>IFERROR(INDEX('04A_국토부원자료'!$A:$T,ROW()+1,MATCH("도로명",'04A_국토부원자료'!$A$4:$T$4,0)),"")</f>
        <v/>
      </c>
      <c r="M119" s="48">
        <f>IFERROR(INDEX('04A_국토부원자료'!$A:$T,ROW()+1,MATCH("거래유형",'04A_국토부원자료'!$A$4:$T$4,0)),"")</f>
        <v/>
      </c>
      <c r="N119" s="152">
        <f>IF(B119="","",IF('02_대상물건입력'!B5="",1,IF(ISNUMBER(SEARCH('02_대상물건입력'!B5,B119)),1,0)))</f>
        <v/>
      </c>
      <c r="O119" s="152">
        <f>IF(B119="","",IF('02_대상물건입력'!B6="",1,IF(ISNUMBER(SEARCH('02_대상물건입력'!B6,B119)),1,0)))</f>
        <v/>
      </c>
      <c r="P119" s="152">
        <f>IF(L119="","",IF('02_대상물건입력'!B15="",0,IF(ISNUMBER(SEARCH('02_대상물건입력'!B15,L119)),1,0)))</f>
        <v/>
      </c>
      <c r="Q119" s="152">
        <f>IF(OR(C119="",L119=""),0,IF(AND(TRIM(C119)=TRIM(RIGHT(SUBSTITUTE(TRIM('02_대상물건입력'!$B$7)," ",REPT(" ",99)),99)),IF('02_대상물건입력'!B15="",TRUE(),ISNUMBER(SEARCH('02_대상물건입력'!B15,L119)))),1,0))</f>
        <v/>
      </c>
      <c r="R119" s="175">
        <f>IFERROR(ABS(E119-'02_대상물건입력'!B11)/'02_대상물건입력'!B11,"")</f>
        <v/>
      </c>
      <c r="S119" s="152">
        <f>IFERROR(ABS(J119-'02_대상물건입력'!B10),"")</f>
        <v/>
      </c>
      <c r="T119" s="152">
        <f>IFERROR(ABS('01_설정'!B4-F119),"")</f>
        <v/>
      </c>
      <c r="U119" s="152">
        <f>IFERROR(ABS(K119-YEAR('02_대상물건입력'!B14)),"")</f>
        <v/>
      </c>
      <c r="V119" s="152">
        <f>IF(B119="","",IF(AND(E119&gt;0,F119&gt;0,H119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119=1,TRUE()),R119&lt;='01_설정'!B5,S119&lt;='01_설정'!B6,T119&lt;='01_설정'!B7,U119&lt;='01_설정'!B8),"Y",""))</f>
        <v/>
      </c>
      <c r="W119" s="172">
        <f>IF(V119&lt;&gt;"Y","",MAX(0,(1-R119/'01_설정'!B5))*'01_설정'!B14+MAX(0,(1-S119/'01_설정'!B6))*'01_설정'!B15+MAX(0,(1-T119/'01_설정'!B7))*'01_설정'!B16+MAX(0,(1-U119/'01_설정'!B8))*'01_설정'!B17+O119*'01_설정'!B11+Q119*'01_설정'!B12+P119*'01_설정'!B13+IF(Z119="",0,Z119))</f>
        <v/>
      </c>
      <c r="X119" s="152">
        <f>IF(W119="","",1+COUNTIFS($W$4:$W$3003,"&gt;"&amp;W119)+COUNTIFS($W$4:W119,W119)-1)</f>
        <v/>
      </c>
      <c r="Y119" s="175">
        <f>IF(OR(I119="",'02_대상물건입력'!B19="",'02_대상물건입력'!B19&lt;=0),"",ABS(I119-'02_대상물건입력'!B19)/'02_대상물건입력'!B19)</f>
        <v/>
      </c>
      <c r="Z119" s="172">
        <f>IF(OR(Y119="",'01_설정'!B31="",'01_설정'!B31&lt;=0,'01_설정'!B32="",'01_설정'!B32&lt;=0),"",MAX(0,(1-Y119/'01_설정'!B32))*'01_설정'!B31)</f>
        <v/>
      </c>
    </row>
    <row r="120" ht="17.25" customHeight="1">
      <c r="A120" s="152">
        <f>IF(INDEX('04A_국토부원자료'!$A:$A,ROW()+1)="","",ROW()-3)</f>
        <v/>
      </c>
      <c r="B120" s="48">
        <f>IFERROR(INDEX('04A_국토부원자료'!$A:$T,ROW()+1,MATCH("시군구",'04A_국토부원자료'!$A$4:$T$4,0)),"")</f>
        <v/>
      </c>
      <c r="C120" s="48">
        <f>IF(B120="","",IFERROR(INDEX('04A_국토부원자료'!$A:$T,ROW()+1,MATCH("번지",'04A_국토부원자료'!$A$4:$T$4,0)),""))</f>
        <v/>
      </c>
      <c r="D120" s="48">
        <f>IF(B120="","",IF(Q120=1,'02_대상물건입력'!$B$8,IFERROR(INDEX('04A_국토부원자료'!$A:$T,ROW()+1,MATCH("단지명",'04A_국토부원자료'!$A$4:$T$4,0)),"")))</f>
        <v/>
      </c>
      <c r="E120" s="172">
        <f>IFERROR(VALUE(SUBSTITUTE(INDEX('04A_국토부원자료'!$A:$T,ROW()+1,MATCH("전용면적(㎡)",'04A_국토부원자료'!$A$4:$T$4,0)),",","")),"")</f>
        <v/>
      </c>
      <c r="F1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0" s="51">
        <f>IFERROR(VALUE(SUBSTITUTE(INDEX('04A_국토부원자료'!$A:$T,ROW()+1,MATCH("거래금액(만원)",'04A_국토부원자료'!$A$4:$T$4,0)),",","")),"")</f>
        <v/>
      </c>
      <c r="H120" s="174">
        <f>IF(G120="","",G120*10000)</f>
        <v/>
      </c>
      <c r="I120" s="174">
        <f>IFERROR(IF(AND(H120&gt;0,E120&gt;0),H120/E120,""),"")</f>
        <v/>
      </c>
      <c r="J120" s="152">
        <f>IFERROR(VALUE(SUBSTITUTE(INDEX('04A_국토부원자료'!$A:$T,ROW()+1,MATCH("층",'04A_국토부원자료'!$A$4:$T$4,0)),",","")),"")</f>
        <v/>
      </c>
      <c r="K120" s="152">
        <f>IFERROR(VALUE(SUBSTITUTE(INDEX('04A_국토부원자료'!$A:$T,ROW()+1,MATCH("건축년도",'04A_국토부원자료'!$A$4:$T$4,0)),",","")),"")</f>
        <v/>
      </c>
      <c r="L120" s="176">
        <f>IFERROR(INDEX('04A_국토부원자료'!$A:$T,ROW()+1,MATCH("도로명",'04A_국토부원자료'!$A$4:$T$4,0)),"")</f>
        <v/>
      </c>
      <c r="M120" s="48">
        <f>IFERROR(INDEX('04A_국토부원자료'!$A:$T,ROW()+1,MATCH("거래유형",'04A_국토부원자료'!$A$4:$T$4,0)),"")</f>
        <v/>
      </c>
      <c r="N120" s="152">
        <f>IF(B120="","",IF('02_대상물건입력'!B5="",1,IF(ISNUMBER(SEARCH('02_대상물건입력'!B5,B120)),1,0)))</f>
        <v/>
      </c>
      <c r="O120" s="152">
        <f>IF(B120="","",IF('02_대상물건입력'!B6="",1,IF(ISNUMBER(SEARCH('02_대상물건입력'!B6,B120)),1,0)))</f>
        <v/>
      </c>
      <c r="P120" s="152">
        <f>IF(L120="","",IF('02_대상물건입력'!B15="",0,IF(ISNUMBER(SEARCH('02_대상물건입력'!B15,L120)),1,0)))</f>
        <v/>
      </c>
      <c r="Q120" s="152">
        <f>IF(OR(C120="",L120=""),0,IF(AND(TRIM(C120)=TRIM(RIGHT(SUBSTITUTE(TRIM('02_대상물건입력'!$B$7)," ",REPT(" ",99)),99)),IF('02_대상물건입력'!B15="",TRUE(),ISNUMBER(SEARCH('02_대상물건입력'!B15,L120)))),1,0))</f>
        <v/>
      </c>
      <c r="R120" s="175">
        <f>IFERROR(ABS(E120-'02_대상물건입력'!B11)/'02_대상물건입력'!B11,"")</f>
        <v/>
      </c>
      <c r="S120" s="152">
        <f>IFERROR(ABS(J120-'02_대상물건입력'!B10),"")</f>
        <v/>
      </c>
      <c r="T120" s="152">
        <f>IFERROR(ABS('01_설정'!B4-F120),"")</f>
        <v/>
      </c>
      <c r="U120" s="152">
        <f>IFERROR(ABS(K120-YEAR('02_대상물건입력'!B14)),"")</f>
        <v/>
      </c>
      <c r="V120" s="152">
        <f>IF(B120="","",IF(AND(E120&gt;0,F120&gt;0,H120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120=1,TRUE()),R120&lt;='01_설정'!B5,S120&lt;='01_설정'!B6,T120&lt;='01_설정'!B7,U120&lt;='01_설정'!B8),"Y",""))</f>
        <v/>
      </c>
      <c r="W120" s="172">
        <f>IF(V120&lt;&gt;"Y","",MAX(0,(1-R120/'01_설정'!B5))*'01_설정'!B14+MAX(0,(1-S120/'01_설정'!B6))*'01_설정'!B15+MAX(0,(1-T120/'01_설정'!B7))*'01_설정'!B16+MAX(0,(1-U120/'01_설정'!B8))*'01_설정'!B17+O120*'01_설정'!B11+Q120*'01_설정'!B12+P120*'01_설정'!B13+IF(Z120="",0,Z120))</f>
        <v/>
      </c>
      <c r="X120" s="152">
        <f>IF(W120="","",1+COUNTIFS($W$4:$W$3003,"&gt;"&amp;W120)+COUNTIFS($W$4:W120,W120)-1)</f>
        <v/>
      </c>
      <c r="Y120" s="175">
        <f>IF(OR(I120="",'02_대상물건입력'!B19="",'02_대상물건입력'!B19&lt;=0),"",ABS(I120-'02_대상물건입력'!B19)/'02_대상물건입력'!B19)</f>
        <v/>
      </c>
      <c r="Z120" s="172">
        <f>IF(OR(Y120="",'01_설정'!B31="",'01_설정'!B31&lt;=0,'01_설정'!B32="",'01_설정'!B32&lt;=0),"",MAX(0,(1-Y120/'01_설정'!B32))*'01_설정'!B31)</f>
        <v/>
      </c>
    </row>
    <row r="121" ht="17.25" customHeight="1">
      <c r="A121" s="152">
        <f>IF(INDEX('04A_국토부원자료'!$A:$A,ROW()+1)="","",ROW()-3)</f>
        <v/>
      </c>
      <c r="B121" s="48">
        <f>IFERROR(INDEX('04A_국토부원자료'!$A:$T,ROW()+1,MATCH("시군구",'04A_국토부원자료'!$A$4:$T$4,0)),"")</f>
        <v/>
      </c>
      <c r="C121" s="48">
        <f>IF(B121="","",IFERROR(INDEX('04A_국토부원자료'!$A:$T,ROW()+1,MATCH("번지",'04A_국토부원자료'!$A$4:$T$4,0)),""))</f>
        <v/>
      </c>
      <c r="D121" s="48">
        <f>IF(B121="","",IF(Q121=1,'02_대상물건입력'!$B$8,IFERROR(INDEX('04A_국토부원자료'!$A:$T,ROW()+1,MATCH("단지명",'04A_국토부원자료'!$A$4:$T$4,0)),"")))</f>
        <v/>
      </c>
      <c r="E121" s="172">
        <f>IFERROR(VALUE(SUBSTITUTE(INDEX('04A_국토부원자료'!$A:$T,ROW()+1,MATCH("전용면적(㎡)",'04A_국토부원자료'!$A$4:$T$4,0)),",","")),"")</f>
        <v/>
      </c>
      <c r="F1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1" s="51">
        <f>IFERROR(VALUE(SUBSTITUTE(INDEX('04A_국토부원자료'!$A:$T,ROW()+1,MATCH("거래금액(만원)",'04A_국토부원자료'!$A$4:$T$4,0)),",","")),"")</f>
        <v/>
      </c>
      <c r="H121" s="174">
        <f>IF(G121="","",G121*10000)</f>
        <v/>
      </c>
      <c r="I121" s="174">
        <f>IFERROR(IF(AND(H121&gt;0,E121&gt;0),H121/E121,""),"")</f>
        <v/>
      </c>
      <c r="J121" s="152">
        <f>IFERROR(VALUE(SUBSTITUTE(INDEX('04A_국토부원자료'!$A:$T,ROW()+1,MATCH("층",'04A_국토부원자료'!$A$4:$T$4,0)),",","")),"")</f>
        <v/>
      </c>
      <c r="K121" s="152">
        <f>IFERROR(VALUE(SUBSTITUTE(INDEX('04A_국토부원자료'!$A:$T,ROW()+1,MATCH("건축년도",'04A_국토부원자료'!$A$4:$T$4,0)),",","")),"")</f>
        <v/>
      </c>
      <c r="L121" s="176">
        <f>IFERROR(INDEX('04A_국토부원자료'!$A:$T,ROW()+1,MATCH("도로명",'04A_국토부원자료'!$A$4:$T$4,0)),"")</f>
        <v/>
      </c>
      <c r="M121" s="48">
        <f>IFERROR(INDEX('04A_국토부원자료'!$A:$T,ROW()+1,MATCH("거래유형",'04A_국토부원자료'!$A$4:$T$4,0)),"")</f>
        <v/>
      </c>
      <c r="N121" s="152">
        <f>IF(B121="","",IF('02_대상물건입력'!B5="",1,IF(ISNUMBER(SEARCH('02_대상물건입력'!B5,B121)),1,0)))</f>
        <v/>
      </c>
      <c r="O121" s="152">
        <f>IF(B121="","",IF('02_대상물건입력'!B6="",1,IF(ISNUMBER(SEARCH('02_대상물건입력'!B6,B121)),1,0)))</f>
        <v/>
      </c>
      <c r="P121" s="152">
        <f>IF(L121="","",IF('02_대상물건입력'!B15="",0,IF(ISNUMBER(SEARCH('02_대상물건입력'!B15,L121)),1,0)))</f>
        <v/>
      </c>
      <c r="Q121" s="152">
        <f>IF(OR(C121="",L121=""),0,IF(AND(TRIM(C121)=TRIM(RIGHT(SUBSTITUTE(TRIM('02_대상물건입력'!$B$7)," ",REPT(" ",99)),99)),IF('02_대상물건입력'!B15="",TRUE(),ISNUMBER(SEARCH('02_대상물건입력'!B15,L121)))),1,0))</f>
        <v/>
      </c>
      <c r="R121" s="175">
        <f>IFERROR(ABS(E121-'02_대상물건입력'!B11)/'02_대상물건입력'!B11,"")</f>
        <v/>
      </c>
      <c r="S121" s="152">
        <f>IFERROR(ABS(J121-'02_대상물건입력'!B10),"")</f>
        <v/>
      </c>
      <c r="T121" s="152">
        <f>IFERROR(ABS('01_설정'!B4-F121),"")</f>
        <v/>
      </c>
      <c r="U121" s="152">
        <f>IFERROR(ABS(K121-YEAR('02_대상물건입력'!B14)),"")</f>
        <v/>
      </c>
      <c r="V121" s="152">
        <f>IF(B121="","",IF(AND(E121&gt;0,F121&gt;0,H121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121=1,TRUE()),R121&lt;='01_설정'!B5,S121&lt;='01_설정'!B6,T121&lt;='01_설정'!B7,U121&lt;='01_설정'!B8),"Y",""))</f>
        <v/>
      </c>
      <c r="W121" s="172">
        <f>IF(V121&lt;&gt;"Y","",MAX(0,(1-R121/'01_설정'!B5))*'01_설정'!B14+MAX(0,(1-S121/'01_설정'!B6))*'01_설정'!B15+MAX(0,(1-T121/'01_설정'!B7))*'01_설정'!B16+MAX(0,(1-U121/'01_설정'!B8))*'01_설정'!B17+O121*'01_설정'!B11+Q121*'01_설정'!B12+P121*'01_설정'!B13+IF(Z121="",0,Z121))</f>
        <v/>
      </c>
      <c r="X121" s="152">
        <f>IF(W121="","",1+COUNTIFS($W$4:$W$3003,"&gt;"&amp;W121)+COUNTIFS($W$4:W121,W121)-1)</f>
        <v/>
      </c>
      <c r="Y121" s="175">
        <f>IF(OR(I121="",'02_대상물건입력'!B19="",'02_대상물건입력'!B19&lt;=0),"",ABS(I121-'02_대상물건입력'!B19)/'02_대상물건입력'!B19)</f>
        <v/>
      </c>
      <c r="Z121" s="172">
        <f>IF(OR(Y121="",'01_설정'!B31="",'01_설정'!B31&lt;=0,'01_설정'!B32="",'01_설정'!B32&lt;=0),"",MAX(0,(1-Y121/'01_설정'!B32))*'01_설정'!B31)</f>
        <v/>
      </c>
    </row>
    <row r="122" ht="17.25" customHeight="1">
      <c r="A122" s="152">
        <f>IF(INDEX('04A_국토부원자료'!$A:$A,ROW()+1)="","",ROW()-3)</f>
        <v/>
      </c>
      <c r="B122" s="48">
        <f>IFERROR(INDEX('04A_국토부원자료'!$A:$T,ROW()+1,MATCH("시군구",'04A_국토부원자료'!$A$4:$T$4,0)),"")</f>
        <v/>
      </c>
      <c r="C122" s="48">
        <f>IF(B122="","",IFERROR(INDEX('04A_국토부원자료'!$A:$T,ROW()+1,MATCH("번지",'04A_국토부원자료'!$A$4:$T$4,0)),""))</f>
        <v/>
      </c>
      <c r="D122" s="48">
        <f>IF(B122="","",IF(Q122=1,'02_대상물건입력'!$B$8,IFERROR(INDEX('04A_국토부원자료'!$A:$T,ROW()+1,MATCH("단지명",'04A_국토부원자료'!$A$4:$T$4,0)),"")))</f>
        <v/>
      </c>
      <c r="E122" s="172">
        <f>IFERROR(VALUE(SUBSTITUTE(INDEX('04A_국토부원자료'!$A:$T,ROW()+1,MATCH("전용면적(㎡)",'04A_국토부원자료'!$A$4:$T$4,0)),",","")),"")</f>
        <v/>
      </c>
      <c r="F1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2" s="51">
        <f>IFERROR(VALUE(SUBSTITUTE(INDEX('04A_국토부원자료'!$A:$T,ROW()+1,MATCH("거래금액(만원)",'04A_국토부원자료'!$A$4:$T$4,0)),",","")),"")</f>
        <v/>
      </c>
      <c r="H122" s="174">
        <f>IF(G122="","",G122*10000)</f>
        <v/>
      </c>
      <c r="I122" s="174">
        <f>IFERROR(IF(AND(H122&gt;0,E122&gt;0),H122/E122,""),"")</f>
        <v/>
      </c>
      <c r="J122" s="152">
        <f>IFERROR(VALUE(SUBSTITUTE(INDEX('04A_국토부원자료'!$A:$T,ROW()+1,MATCH("층",'04A_국토부원자료'!$A$4:$T$4,0)),",","")),"")</f>
        <v/>
      </c>
      <c r="K122" s="152">
        <f>IFERROR(VALUE(SUBSTITUTE(INDEX('04A_국토부원자료'!$A:$T,ROW()+1,MATCH("건축년도",'04A_국토부원자료'!$A$4:$T$4,0)),",","")),"")</f>
        <v/>
      </c>
      <c r="L122" s="176">
        <f>IFERROR(INDEX('04A_국토부원자료'!$A:$T,ROW()+1,MATCH("도로명",'04A_국토부원자료'!$A$4:$T$4,0)),"")</f>
        <v/>
      </c>
      <c r="M122" s="48">
        <f>IFERROR(INDEX('04A_국토부원자료'!$A:$T,ROW()+1,MATCH("거래유형",'04A_국토부원자료'!$A$4:$T$4,0)),"")</f>
        <v/>
      </c>
      <c r="N122" s="152">
        <f>IF(B122="","",IF('02_대상물건입력'!B5="",1,IF(ISNUMBER(SEARCH('02_대상물건입력'!B5,B122)),1,0)))</f>
        <v/>
      </c>
      <c r="O122" s="152">
        <f>IF(B122="","",IF('02_대상물건입력'!B6="",1,IF(ISNUMBER(SEARCH('02_대상물건입력'!B6,B122)),1,0)))</f>
        <v/>
      </c>
      <c r="P122" s="152">
        <f>IF(L122="","",IF('02_대상물건입력'!B15="",0,IF(ISNUMBER(SEARCH('02_대상물건입력'!B15,L122)),1,0)))</f>
        <v/>
      </c>
      <c r="Q122" s="152">
        <f>IF(OR(C122="",L122=""),0,IF(AND(TRIM(C122)=TRIM(RIGHT(SUBSTITUTE(TRIM('02_대상물건입력'!$B$7)," ",REPT(" ",99)),99)),IF('02_대상물건입력'!B15="",TRUE(),ISNUMBER(SEARCH('02_대상물건입력'!B15,L122)))),1,0))</f>
        <v/>
      </c>
      <c r="R122" s="175">
        <f>IFERROR(ABS(E122-'02_대상물건입력'!B11)/'02_대상물건입력'!B11,"")</f>
        <v/>
      </c>
      <c r="S122" s="152">
        <f>IFERROR(ABS(J122-'02_대상물건입력'!B10),"")</f>
        <v/>
      </c>
      <c r="T122" s="152">
        <f>IFERROR(ABS('01_설정'!B4-F122),"")</f>
        <v/>
      </c>
      <c r="U122" s="152">
        <f>IFERROR(ABS(K122-YEAR('02_대상물건입력'!B14)),"")</f>
        <v/>
      </c>
      <c r="V122" s="152">
        <f>IF(B122="","",IF(AND(E122&gt;0,F122&gt;0,H122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122=1,TRUE()),R122&lt;='01_설정'!B5,S122&lt;='01_설정'!B6,T122&lt;='01_설정'!B7,U122&lt;='01_설정'!B8),"Y",""))</f>
        <v/>
      </c>
      <c r="W122" s="172">
        <f>IF(V122&lt;&gt;"Y","",MAX(0,(1-R122/'01_설정'!B5))*'01_설정'!B14+MAX(0,(1-S122/'01_설정'!B6))*'01_설정'!B15+MAX(0,(1-T122/'01_설정'!B7))*'01_설정'!B16+MAX(0,(1-U122/'01_설정'!B8))*'01_설정'!B17+O122*'01_설정'!B11+Q122*'01_설정'!B12+P122*'01_설정'!B13+IF(Z122="",0,Z122))</f>
        <v/>
      </c>
      <c r="X122" s="152">
        <f>IF(W122="","",1+COUNTIFS($W$4:$W$3003,"&gt;"&amp;W122)+COUNTIFS($W$4:W122,W122)-1)</f>
        <v/>
      </c>
      <c r="Y122" s="175">
        <f>IF(OR(I122="",'02_대상물건입력'!B19="",'02_대상물건입력'!B19&lt;=0),"",ABS(I122-'02_대상물건입력'!B19)/'02_대상물건입력'!B19)</f>
        <v/>
      </c>
      <c r="Z122" s="172">
        <f>IF(OR(Y122="",'01_설정'!B31="",'01_설정'!B31&lt;=0,'01_설정'!B32="",'01_설정'!B32&lt;=0),"",MAX(0,(1-Y122/'01_설정'!B32))*'01_설정'!B31)</f>
        <v/>
      </c>
    </row>
    <row r="123" ht="17.25" customHeight="1">
      <c r="A123" s="152">
        <f>IF(INDEX('04A_국토부원자료'!$A:$A,ROW()+1)="","",ROW()-3)</f>
        <v/>
      </c>
      <c r="B123" s="48">
        <f>IFERROR(INDEX('04A_국토부원자료'!$A:$T,ROW()+1,MATCH("시군구",'04A_국토부원자료'!$A$4:$T$4,0)),"")</f>
        <v/>
      </c>
      <c r="C123" s="48">
        <f>IF(B123="","",IFERROR(INDEX('04A_국토부원자료'!$A:$T,ROW()+1,MATCH("번지",'04A_국토부원자료'!$A$4:$T$4,0)),""))</f>
        <v/>
      </c>
      <c r="D123" s="48">
        <f>IF(B123="","",IF(Q123=1,'02_대상물건입력'!$B$8,IFERROR(INDEX('04A_국토부원자료'!$A:$T,ROW()+1,MATCH("단지명",'04A_국토부원자료'!$A$4:$T$4,0)),"")))</f>
        <v/>
      </c>
      <c r="E123" s="172">
        <f>IFERROR(VALUE(SUBSTITUTE(INDEX('04A_국토부원자료'!$A:$T,ROW()+1,MATCH("전용면적(㎡)",'04A_국토부원자료'!$A$4:$T$4,0)),",","")),"")</f>
        <v/>
      </c>
      <c r="F1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3" s="51">
        <f>IFERROR(VALUE(SUBSTITUTE(INDEX('04A_국토부원자료'!$A:$T,ROW()+1,MATCH("거래금액(만원)",'04A_국토부원자료'!$A$4:$T$4,0)),",","")),"")</f>
        <v/>
      </c>
      <c r="H123" s="174">
        <f>IF(G123="","",G123*10000)</f>
        <v/>
      </c>
      <c r="I123" s="174">
        <f>IFERROR(IF(AND(H123&gt;0,E123&gt;0),H123/E123,""),"")</f>
        <v/>
      </c>
      <c r="J123" s="152">
        <f>IFERROR(VALUE(SUBSTITUTE(INDEX('04A_국토부원자료'!$A:$T,ROW()+1,MATCH("층",'04A_국토부원자료'!$A$4:$T$4,0)),",","")),"")</f>
        <v/>
      </c>
      <c r="K123" s="152">
        <f>IFERROR(VALUE(SUBSTITUTE(INDEX('04A_국토부원자료'!$A:$T,ROW()+1,MATCH("건축년도",'04A_국토부원자료'!$A$4:$T$4,0)),",","")),"")</f>
        <v/>
      </c>
      <c r="L123" s="176">
        <f>IFERROR(INDEX('04A_국토부원자료'!$A:$T,ROW()+1,MATCH("도로명",'04A_국토부원자료'!$A$4:$T$4,0)),"")</f>
        <v/>
      </c>
      <c r="M123" s="48">
        <f>IFERROR(INDEX('04A_국토부원자료'!$A:$T,ROW()+1,MATCH("거래유형",'04A_국토부원자료'!$A$4:$T$4,0)),"")</f>
        <v/>
      </c>
      <c r="N123" s="152">
        <f>IF(B123="","",IF('02_대상물건입력'!B5="",1,IF(ISNUMBER(SEARCH('02_대상물건입력'!B5,B123)),1,0)))</f>
        <v/>
      </c>
      <c r="O123" s="152">
        <f>IF(B123="","",IF('02_대상물건입력'!B6="",1,IF(ISNUMBER(SEARCH('02_대상물건입력'!B6,B123)),1,0)))</f>
        <v/>
      </c>
      <c r="P123" s="152">
        <f>IF(L123="","",IF('02_대상물건입력'!B15="",0,IF(ISNUMBER(SEARCH('02_대상물건입력'!B15,L123)),1,0)))</f>
        <v/>
      </c>
      <c r="Q123" s="152">
        <f>IF(OR(C123="",L123=""),0,IF(AND(TRIM(C123)=TRIM(RIGHT(SUBSTITUTE(TRIM('02_대상물건입력'!$B$7)," ",REPT(" ",99)),99)),IF('02_대상물건입력'!B15="",TRUE(),ISNUMBER(SEARCH('02_대상물건입력'!B15,L123)))),1,0))</f>
        <v/>
      </c>
      <c r="R123" s="175">
        <f>IFERROR(ABS(E123-'02_대상물건입력'!B11)/'02_대상물건입력'!B11,"")</f>
        <v/>
      </c>
      <c r="S123" s="152">
        <f>IFERROR(ABS(J123-'02_대상물건입력'!B10),"")</f>
        <v/>
      </c>
      <c r="T123" s="152">
        <f>IFERROR(ABS('01_설정'!B4-F123),"")</f>
        <v/>
      </c>
      <c r="U123" s="152">
        <f>IFERROR(ABS(K123-YEAR('02_대상물건입력'!B14)),"")</f>
        <v/>
      </c>
      <c r="V123" s="152">
        <f>IF(B123="","",IF(AND(E123&gt;0,F123&gt;0,H123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123=1,TRUE()),R123&lt;='01_설정'!B5,S123&lt;='01_설정'!B6,T123&lt;='01_설정'!B7,U123&lt;='01_설정'!B8),"Y",""))</f>
        <v/>
      </c>
      <c r="W123" s="172">
        <f>IF(V123&lt;&gt;"Y","",MAX(0,(1-R123/'01_설정'!B5))*'01_설정'!B14+MAX(0,(1-S123/'01_설정'!B6))*'01_설정'!B15+MAX(0,(1-T123/'01_설정'!B7))*'01_설정'!B16+MAX(0,(1-U123/'01_설정'!B8))*'01_설정'!B17+O123*'01_설정'!B11+Q123*'01_설정'!B12+P123*'01_설정'!B13+IF(Z123="",0,Z123))</f>
        <v/>
      </c>
      <c r="X123" s="152">
        <f>IF(W123="","",1+COUNTIFS($W$4:$W$3003,"&gt;"&amp;W123)+COUNTIFS($W$4:W123,W123)-1)</f>
        <v/>
      </c>
      <c r="Y123" s="175">
        <f>IF(OR(I123="",'02_대상물건입력'!B19="",'02_대상물건입력'!B19&lt;=0),"",ABS(I123-'02_대상물건입력'!B19)/'02_대상물건입력'!B19)</f>
        <v/>
      </c>
      <c r="Z123" s="172">
        <f>IF(OR(Y123="",'01_설정'!B31="",'01_설정'!B31&lt;=0,'01_설정'!B32="",'01_설정'!B32&lt;=0),"",MAX(0,(1-Y123/'01_설정'!B32))*'01_설정'!B31)</f>
        <v/>
      </c>
    </row>
    <row r="124" ht="17.25" customHeight="1">
      <c r="A124" s="152">
        <f>IF(INDEX('04A_국토부원자료'!$A:$A,ROW()+1)="","",ROW()-3)</f>
        <v/>
      </c>
      <c r="B124" s="48">
        <f>IFERROR(INDEX('04A_국토부원자료'!$A:$T,ROW()+1,MATCH("시군구",'04A_국토부원자료'!$A$4:$T$4,0)),"")</f>
        <v/>
      </c>
      <c r="C124" s="48">
        <f>IF(B124="","",IFERROR(INDEX('04A_국토부원자료'!$A:$T,ROW()+1,MATCH("번지",'04A_국토부원자료'!$A$4:$T$4,0)),""))</f>
        <v/>
      </c>
      <c r="D124" s="48">
        <f>IF(B124="","",IF(Q124=1,'02_대상물건입력'!$B$8,IFERROR(INDEX('04A_국토부원자료'!$A:$T,ROW()+1,MATCH("단지명",'04A_국토부원자료'!$A$4:$T$4,0)),"")))</f>
        <v/>
      </c>
      <c r="E124" s="172">
        <f>IFERROR(VALUE(SUBSTITUTE(INDEX('04A_국토부원자료'!$A:$T,ROW()+1,MATCH("전용면적(㎡)",'04A_국토부원자료'!$A$4:$T$4,0)),",","")),"")</f>
        <v/>
      </c>
      <c r="F1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4" s="51">
        <f>IFERROR(VALUE(SUBSTITUTE(INDEX('04A_국토부원자료'!$A:$T,ROW()+1,MATCH("거래금액(만원)",'04A_국토부원자료'!$A$4:$T$4,0)),",","")),"")</f>
        <v/>
      </c>
      <c r="H124" s="174">
        <f>IF(G124="","",G124*10000)</f>
        <v/>
      </c>
      <c r="I124" s="174">
        <f>IFERROR(IF(AND(H124&gt;0,E124&gt;0),H124/E124,""),"")</f>
        <v/>
      </c>
      <c r="J124" s="152">
        <f>IFERROR(VALUE(SUBSTITUTE(INDEX('04A_국토부원자료'!$A:$T,ROW()+1,MATCH("층",'04A_국토부원자료'!$A$4:$T$4,0)),",","")),"")</f>
        <v/>
      </c>
      <c r="K124" s="152">
        <f>IFERROR(VALUE(SUBSTITUTE(INDEX('04A_국토부원자료'!$A:$T,ROW()+1,MATCH("건축년도",'04A_국토부원자료'!$A$4:$T$4,0)),",","")),"")</f>
        <v/>
      </c>
      <c r="L124" s="176">
        <f>IFERROR(INDEX('04A_국토부원자료'!$A:$T,ROW()+1,MATCH("도로명",'04A_국토부원자료'!$A$4:$T$4,0)),"")</f>
        <v/>
      </c>
      <c r="M124" s="48">
        <f>IFERROR(INDEX('04A_국토부원자료'!$A:$T,ROW()+1,MATCH("거래유형",'04A_국토부원자료'!$A$4:$T$4,0)),"")</f>
        <v/>
      </c>
      <c r="N124" s="152">
        <f>IF(B124="","",IF('02_대상물건입력'!B5="",1,IF(ISNUMBER(SEARCH('02_대상물건입력'!B5,B124)),1,0)))</f>
        <v/>
      </c>
      <c r="O124" s="152">
        <f>IF(B124="","",IF('02_대상물건입력'!B6="",1,IF(ISNUMBER(SEARCH('02_대상물건입력'!B6,B124)),1,0)))</f>
        <v/>
      </c>
      <c r="P124" s="152">
        <f>IF(L124="","",IF('02_대상물건입력'!B15="",0,IF(ISNUMBER(SEARCH('02_대상물건입력'!B15,L124)),1,0)))</f>
        <v/>
      </c>
      <c r="Q124" s="152">
        <f>IF(OR(C124="",L124=""),0,IF(AND(TRIM(C124)=TRIM(RIGHT(SUBSTITUTE(TRIM('02_대상물건입력'!$B$7)," ",REPT(" ",99)),99)),IF('02_대상물건입력'!B15="",TRUE(),ISNUMBER(SEARCH('02_대상물건입력'!B15,L124)))),1,0))</f>
        <v/>
      </c>
      <c r="R124" s="175">
        <f>IFERROR(ABS(E124-'02_대상물건입력'!B11)/'02_대상물건입력'!B11,"")</f>
        <v/>
      </c>
      <c r="S124" s="152">
        <f>IFERROR(ABS(J124-'02_대상물건입력'!B10),"")</f>
        <v/>
      </c>
      <c r="T124" s="152">
        <f>IFERROR(ABS('01_설정'!B4-F124),"")</f>
        <v/>
      </c>
      <c r="U124" s="152">
        <f>IFERROR(ABS(K124-YEAR('02_대상물건입력'!B14)),"")</f>
        <v/>
      </c>
      <c r="V124" s="152">
        <f>IF(B124="","",IF(AND(E124&gt;0,F124&gt;0,H124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124=1,TRUE()),R124&lt;='01_설정'!B5,S124&lt;='01_설정'!B6,T124&lt;='01_설정'!B7,U124&lt;='01_설정'!B8),"Y",""))</f>
        <v/>
      </c>
      <c r="W124" s="172">
        <f>IF(V124&lt;&gt;"Y","",MAX(0,(1-R124/'01_설정'!B5))*'01_설정'!B14+MAX(0,(1-S124/'01_설정'!B6))*'01_설정'!B15+MAX(0,(1-T124/'01_설정'!B7))*'01_설정'!B16+MAX(0,(1-U124/'01_설정'!B8))*'01_설정'!B17+O124*'01_설정'!B11+Q124*'01_설정'!B12+P124*'01_설정'!B13+IF(Z124="",0,Z124))</f>
        <v/>
      </c>
      <c r="X124" s="152">
        <f>IF(W124="","",1+COUNTIFS($W$4:$W$3003,"&gt;"&amp;W124)+COUNTIFS($W$4:W124,W124)-1)</f>
        <v/>
      </c>
      <c r="Y124" s="175">
        <f>IF(OR(I124="",'02_대상물건입력'!B19="",'02_대상물건입력'!B19&lt;=0),"",ABS(I124-'02_대상물건입력'!B19)/'02_대상물건입력'!B19)</f>
        <v/>
      </c>
      <c r="Z124" s="172">
        <f>IF(OR(Y124="",'01_설정'!B31="",'01_설정'!B31&lt;=0,'01_설정'!B32="",'01_설정'!B32&lt;=0),"",MAX(0,(1-Y124/'01_설정'!B32))*'01_설정'!B31)</f>
        <v/>
      </c>
    </row>
    <row r="125" ht="17.25" customHeight="1">
      <c r="A125" s="152">
        <f>IF(INDEX('04A_국토부원자료'!$A:$A,ROW()+1)="","",ROW()-3)</f>
        <v/>
      </c>
      <c r="B125" s="48">
        <f>IFERROR(INDEX('04A_국토부원자료'!$A:$T,ROW()+1,MATCH("시군구",'04A_국토부원자료'!$A$4:$T$4,0)),"")</f>
        <v/>
      </c>
      <c r="C125" s="48">
        <f>IF(B125="","",IFERROR(INDEX('04A_국토부원자료'!$A:$T,ROW()+1,MATCH("번지",'04A_국토부원자료'!$A$4:$T$4,0)),""))</f>
        <v/>
      </c>
      <c r="D125" s="48">
        <f>IF(B125="","",IF(Q125=1,'02_대상물건입력'!$B$8,IFERROR(INDEX('04A_국토부원자료'!$A:$T,ROW()+1,MATCH("단지명",'04A_국토부원자료'!$A$4:$T$4,0)),"")))</f>
        <v/>
      </c>
      <c r="E125" s="172">
        <f>IFERROR(VALUE(SUBSTITUTE(INDEX('04A_국토부원자료'!$A:$T,ROW()+1,MATCH("전용면적(㎡)",'04A_국토부원자료'!$A$4:$T$4,0)),",","")),"")</f>
        <v/>
      </c>
      <c r="F1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5" s="51">
        <f>IFERROR(VALUE(SUBSTITUTE(INDEX('04A_국토부원자료'!$A:$T,ROW()+1,MATCH("거래금액(만원)",'04A_국토부원자료'!$A$4:$T$4,0)),",","")),"")</f>
        <v/>
      </c>
      <c r="H125" s="174">
        <f>IF(G125="","",G125*10000)</f>
        <v/>
      </c>
      <c r="I125" s="174">
        <f>IFERROR(IF(AND(H125&gt;0,E125&gt;0),H125/E125,""),"")</f>
        <v/>
      </c>
      <c r="J125" s="152">
        <f>IFERROR(VALUE(SUBSTITUTE(INDEX('04A_국토부원자료'!$A:$T,ROW()+1,MATCH("층",'04A_국토부원자료'!$A$4:$T$4,0)),",","")),"")</f>
        <v/>
      </c>
      <c r="K125" s="152">
        <f>IFERROR(VALUE(SUBSTITUTE(INDEX('04A_국토부원자료'!$A:$T,ROW()+1,MATCH("건축년도",'04A_국토부원자료'!$A$4:$T$4,0)),",","")),"")</f>
        <v/>
      </c>
      <c r="L125" s="176">
        <f>IFERROR(INDEX('04A_국토부원자료'!$A:$T,ROW()+1,MATCH("도로명",'04A_국토부원자료'!$A$4:$T$4,0)),"")</f>
        <v/>
      </c>
      <c r="M125" s="48">
        <f>IFERROR(INDEX('04A_국토부원자료'!$A:$T,ROW()+1,MATCH("거래유형",'04A_국토부원자료'!$A$4:$T$4,0)),"")</f>
        <v/>
      </c>
      <c r="N125" s="152">
        <f>IF(B125="","",IF('02_대상물건입력'!B5="",1,IF(ISNUMBER(SEARCH('02_대상물건입력'!B5,B125)),1,0)))</f>
        <v/>
      </c>
      <c r="O125" s="152">
        <f>IF(B125="","",IF('02_대상물건입력'!B6="",1,IF(ISNUMBER(SEARCH('02_대상물건입력'!B6,B125)),1,0)))</f>
        <v/>
      </c>
      <c r="P125" s="152">
        <f>IF(L125="","",IF('02_대상물건입력'!B15="",0,IF(ISNUMBER(SEARCH('02_대상물건입력'!B15,L125)),1,0)))</f>
        <v/>
      </c>
      <c r="Q125" s="152">
        <f>IF(OR(C125="",L125=""),0,IF(AND(TRIM(C125)=TRIM(RIGHT(SUBSTITUTE(TRIM('02_대상물건입력'!$B$7)," ",REPT(" ",99)),99)),IF('02_대상물건입력'!B15="",TRUE(),ISNUMBER(SEARCH('02_대상물건입력'!B15,L125)))),1,0))</f>
        <v/>
      </c>
      <c r="R125" s="175">
        <f>IFERROR(ABS(E125-'02_대상물건입력'!B11)/'02_대상물건입력'!B11,"")</f>
        <v/>
      </c>
      <c r="S125" s="152">
        <f>IFERROR(ABS(J125-'02_대상물건입력'!B10),"")</f>
        <v/>
      </c>
      <c r="T125" s="152">
        <f>IFERROR(ABS('01_설정'!B4-F125),"")</f>
        <v/>
      </c>
      <c r="U125" s="152">
        <f>IFERROR(ABS(K125-YEAR('02_대상물건입력'!B14)),"")</f>
        <v/>
      </c>
      <c r="V125" s="152">
        <f>IF(B125="","",IF(AND(E125&gt;0,F125&gt;0,H125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125=1,TRUE()),R125&lt;='01_설정'!B5,S125&lt;='01_설정'!B6,T125&lt;='01_설정'!B7,U125&lt;='01_설정'!B8),"Y",""))</f>
        <v/>
      </c>
      <c r="W125" s="172">
        <f>IF(V125&lt;&gt;"Y","",MAX(0,(1-R125/'01_설정'!B5))*'01_설정'!B14+MAX(0,(1-S125/'01_설정'!B6))*'01_설정'!B15+MAX(0,(1-T125/'01_설정'!B7))*'01_설정'!B16+MAX(0,(1-U125/'01_설정'!B8))*'01_설정'!B17+O125*'01_설정'!B11+Q125*'01_설정'!B12+P125*'01_설정'!B13+IF(Z125="",0,Z125))</f>
        <v/>
      </c>
      <c r="X125" s="152">
        <f>IF(W125="","",1+COUNTIFS($W$4:$W$3003,"&gt;"&amp;W125)+COUNTIFS($W$4:W125,W125)-1)</f>
        <v/>
      </c>
      <c r="Y125" s="175">
        <f>IF(OR(I125="",'02_대상물건입력'!B19="",'02_대상물건입력'!B19&lt;=0),"",ABS(I125-'02_대상물건입력'!B19)/'02_대상물건입력'!B19)</f>
        <v/>
      </c>
      <c r="Z125" s="172">
        <f>IF(OR(Y125="",'01_설정'!B31="",'01_설정'!B31&lt;=0,'01_설정'!B32="",'01_설정'!B32&lt;=0),"",MAX(0,(1-Y125/'01_설정'!B32))*'01_설정'!B31)</f>
        <v/>
      </c>
    </row>
    <row r="126" ht="17.25" customHeight="1">
      <c r="A126" s="152">
        <f>IF(INDEX('04A_국토부원자료'!$A:$A,ROW()+1)="","",ROW()-3)</f>
        <v/>
      </c>
      <c r="B126" s="48">
        <f>IFERROR(INDEX('04A_국토부원자료'!$A:$T,ROW()+1,MATCH("시군구",'04A_국토부원자료'!$A$4:$T$4,0)),"")</f>
        <v/>
      </c>
      <c r="C126" s="48">
        <f>IF(B126="","",IFERROR(INDEX('04A_국토부원자료'!$A:$T,ROW()+1,MATCH("번지",'04A_국토부원자료'!$A$4:$T$4,0)),""))</f>
        <v/>
      </c>
      <c r="D126" s="48">
        <f>IF(B126="","",IF(Q126=1,'02_대상물건입력'!$B$8,IFERROR(INDEX('04A_국토부원자료'!$A:$T,ROW()+1,MATCH("단지명",'04A_국토부원자료'!$A$4:$T$4,0)),"")))</f>
        <v/>
      </c>
      <c r="E126" s="172">
        <f>IFERROR(VALUE(SUBSTITUTE(INDEX('04A_국토부원자료'!$A:$T,ROW()+1,MATCH("전용면적(㎡)",'04A_국토부원자료'!$A$4:$T$4,0)),",","")),"")</f>
        <v/>
      </c>
      <c r="F1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6" s="51">
        <f>IFERROR(VALUE(SUBSTITUTE(INDEX('04A_국토부원자료'!$A:$T,ROW()+1,MATCH("거래금액(만원)",'04A_국토부원자료'!$A$4:$T$4,0)),",","")),"")</f>
        <v/>
      </c>
      <c r="H126" s="174">
        <f>IF(G126="","",G126*10000)</f>
        <v/>
      </c>
      <c r="I126" s="174">
        <f>IFERROR(IF(AND(H126&gt;0,E126&gt;0),H126/E126,""),"")</f>
        <v/>
      </c>
      <c r="J126" s="152">
        <f>IFERROR(VALUE(SUBSTITUTE(INDEX('04A_국토부원자료'!$A:$T,ROW()+1,MATCH("층",'04A_국토부원자료'!$A$4:$T$4,0)),",","")),"")</f>
        <v/>
      </c>
      <c r="K126" s="152">
        <f>IFERROR(VALUE(SUBSTITUTE(INDEX('04A_국토부원자료'!$A:$T,ROW()+1,MATCH("건축년도",'04A_국토부원자료'!$A$4:$T$4,0)),",","")),"")</f>
        <v/>
      </c>
      <c r="L126" s="176">
        <f>IFERROR(INDEX('04A_국토부원자료'!$A:$T,ROW()+1,MATCH("도로명",'04A_국토부원자료'!$A$4:$T$4,0)),"")</f>
        <v/>
      </c>
      <c r="M126" s="48">
        <f>IFERROR(INDEX('04A_국토부원자료'!$A:$T,ROW()+1,MATCH("거래유형",'04A_국토부원자료'!$A$4:$T$4,0)),"")</f>
        <v/>
      </c>
      <c r="N126" s="152">
        <f>IF(B126="","",IF('02_대상물건입력'!B5="",1,IF(ISNUMBER(SEARCH('02_대상물건입력'!B5,B126)),1,0)))</f>
        <v/>
      </c>
      <c r="O126" s="152">
        <f>IF(B126="","",IF('02_대상물건입력'!B6="",1,IF(ISNUMBER(SEARCH('02_대상물건입력'!B6,B126)),1,0)))</f>
        <v/>
      </c>
      <c r="P126" s="152">
        <f>IF(L126="","",IF('02_대상물건입력'!B15="",0,IF(ISNUMBER(SEARCH('02_대상물건입력'!B15,L126)),1,0)))</f>
        <v/>
      </c>
      <c r="Q126" s="152">
        <f>IF(OR(C126="",L126=""),0,IF(AND(TRIM(C126)=TRIM(RIGHT(SUBSTITUTE(TRIM('02_대상물건입력'!$B$7)," ",REPT(" ",99)),99)),IF('02_대상물건입력'!B15="",TRUE(),ISNUMBER(SEARCH('02_대상물건입력'!B15,L126)))),1,0))</f>
        <v/>
      </c>
      <c r="R126" s="175">
        <f>IFERROR(ABS(E126-'02_대상물건입력'!B11)/'02_대상물건입력'!B11,"")</f>
        <v/>
      </c>
      <c r="S126" s="152">
        <f>IFERROR(ABS(J126-'02_대상물건입력'!B10),"")</f>
        <v/>
      </c>
      <c r="T126" s="152">
        <f>IFERROR(ABS('01_설정'!B4-F126),"")</f>
        <v/>
      </c>
      <c r="U126" s="152">
        <f>IFERROR(ABS(K126-YEAR('02_대상물건입력'!B14)),"")</f>
        <v/>
      </c>
      <c r="V126" s="152">
        <f>IF(B126="","",IF(AND(E126&gt;0,F126&gt;0,H126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126=1,TRUE()),R126&lt;='01_설정'!B5,S126&lt;='01_설정'!B6,T126&lt;='01_설정'!B7,U126&lt;='01_설정'!B8),"Y",""))</f>
        <v/>
      </c>
      <c r="W126" s="172">
        <f>IF(V126&lt;&gt;"Y","",MAX(0,(1-R126/'01_설정'!B5))*'01_설정'!B14+MAX(0,(1-S126/'01_설정'!B6))*'01_설정'!B15+MAX(0,(1-T126/'01_설정'!B7))*'01_설정'!B16+MAX(0,(1-U126/'01_설정'!B8))*'01_설정'!B17+O126*'01_설정'!B11+Q126*'01_설정'!B12+P126*'01_설정'!B13+IF(Z126="",0,Z126))</f>
        <v/>
      </c>
      <c r="X126" s="152">
        <f>IF(W126="","",1+COUNTIFS($W$4:$W$3003,"&gt;"&amp;W126)+COUNTIFS($W$4:W126,W126)-1)</f>
        <v/>
      </c>
      <c r="Y126" s="175">
        <f>IF(OR(I126="",'02_대상물건입력'!B19="",'02_대상물건입력'!B19&lt;=0),"",ABS(I126-'02_대상물건입력'!B19)/'02_대상물건입력'!B19)</f>
        <v/>
      </c>
      <c r="Z126" s="172">
        <f>IF(OR(Y126="",'01_설정'!B31="",'01_설정'!B31&lt;=0,'01_설정'!B32="",'01_설정'!B32&lt;=0),"",MAX(0,(1-Y126/'01_설정'!B32))*'01_설정'!B31)</f>
        <v/>
      </c>
    </row>
    <row r="127" ht="17.25" customHeight="1">
      <c r="A127" s="152">
        <f>IF(INDEX('04A_국토부원자료'!$A:$A,ROW()+1)="","",ROW()-3)</f>
        <v/>
      </c>
      <c r="B127" s="48">
        <f>IFERROR(INDEX('04A_국토부원자료'!$A:$T,ROW()+1,MATCH("시군구",'04A_국토부원자료'!$A$4:$T$4,0)),"")</f>
        <v/>
      </c>
      <c r="C127" s="48">
        <f>IF(B127="","",IFERROR(INDEX('04A_국토부원자료'!$A:$T,ROW()+1,MATCH("번지",'04A_국토부원자료'!$A$4:$T$4,0)),""))</f>
        <v/>
      </c>
      <c r="D127" s="48">
        <f>IF(B127="","",IF(Q127=1,'02_대상물건입력'!$B$8,IFERROR(INDEX('04A_국토부원자료'!$A:$T,ROW()+1,MATCH("단지명",'04A_국토부원자료'!$A$4:$T$4,0)),"")))</f>
        <v/>
      </c>
      <c r="E127" s="172">
        <f>IFERROR(VALUE(SUBSTITUTE(INDEX('04A_국토부원자료'!$A:$T,ROW()+1,MATCH("전용면적(㎡)",'04A_국토부원자료'!$A$4:$T$4,0)),",","")),"")</f>
        <v/>
      </c>
      <c r="F1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7" s="51">
        <f>IFERROR(VALUE(SUBSTITUTE(INDEX('04A_국토부원자료'!$A:$T,ROW()+1,MATCH("거래금액(만원)",'04A_국토부원자료'!$A$4:$T$4,0)),",","")),"")</f>
        <v/>
      </c>
      <c r="H127" s="174">
        <f>IF(G127="","",G127*10000)</f>
        <v/>
      </c>
      <c r="I127" s="174">
        <f>IFERROR(IF(AND(H127&gt;0,E127&gt;0),H127/E127,""),"")</f>
        <v/>
      </c>
      <c r="J127" s="152">
        <f>IFERROR(VALUE(SUBSTITUTE(INDEX('04A_국토부원자료'!$A:$T,ROW()+1,MATCH("층",'04A_국토부원자료'!$A$4:$T$4,0)),",","")),"")</f>
        <v/>
      </c>
      <c r="K127" s="152">
        <f>IFERROR(VALUE(SUBSTITUTE(INDEX('04A_국토부원자료'!$A:$T,ROW()+1,MATCH("건축년도",'04A_국토부원자료'!$A$4:$T$4,0)),",","")),"")</f>
        <v/>
      </c>
      <c r="L127" s="176">
        <f>IFERROR(INDEX('04A_국토부원자료'!$A:$T,ROW()+1,MATCH("도로명",'04A_국토부원자료'!$A$4:$T$4,0)),"")</f>
        <v/>
      </c>
      <c r="M127" s="48">
        <f>IFERROR(INDEX('04A_국토부원자료'!$A:$T,ROW()+1,MATCH("거래유형",'04A_국토부원자료'!$A$4:$T$4,0)),"")</f>
        <v/>
      </c>
      <c r="N127" s="152">
        <f>IF(B127="","",IF('02_대상물건입력'!B5="",1,IF(ISNUMBER(SEARCH('02_대상물건입력'!B5,B127)),1,0)))</f>
        <v/>
      </c>
      <c r="O127" s="152">
        <f>IF(B127="","",IF('02_대상물건입력'!B6="",1,IF(ISNUMBER(SEARCH('02_대상물건입력'!B6,B127)),1,0)))</f>
        <v/>
      </c>
      <c r="P127" s="152">
        <f>IF(L127="","",IF('02_대상물건입력'!B15="",0,IF(ISNUMBER(SEARCH('02_대상물건입력'!B15,L127)),1,0)))</f>
        <v/>
      </c>
      <c r="Q127" s="152">
        <f>IF(OR(C127="",L127=""),0,IF(AND(TRIM(C127)=TRIM(RIGHT(SUBSTITUTE(TRIM('02_대상물건입력'!$B$7)," ",REPT(" ",99)),99)),IF('02_대상물건입력'!B15="",TRUE(),ISNUMBER(SEARCH('02_대상물건입력'!B15,L127)))),1,0))</f>
        <v/>
      </c>
      <c r="R127" s="175">
        <f>IFERROR(ABS(E127-'02_대상물건입력'!B11)/'02_대상물건입력'!B11,"")</f>
        <v/>
      </c>
      <c r="S127" s="152">
        <f>IFERROR(ABS(J127-'02_대상물건입력'!B10),"")</f>
        <v/>
      </c>
      <c r="T127" s="152">
        <f>IFERROR(ABS('01_설정'!B4-F127),"")</f>
        <v/>
      </c>
      <c r="U127" s="152">
        <f>IFERROR(ABS(K127-YEAR('02_대상물건입력'!B14)),"")</f>
        <v/>
      </c>
      <c r="V127" s="152">
        <f>IF(B127="","",IF(AND(E127&gt;0,F127&gt;0,H127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127=1,TRUE()),R127&lt;='01_설정'!B5,S127&lt;='01_설정'!B6,T127&lt;='01_설정'!B7,U127&lt;='01_설정'!B8),"Y",""))</f>
        <v/>
      </c>
      <c r="W127" s="172">
        <f>IF(V127&lt;&gt;"Y","",MAX(0,(1-R127/'01_설정'!B5))*'01_설정'!B14+MAX(0,(1-S127/'01_설정'!B6))*'01_설정'!B15+MAX(0,(1-T127/'01_설정'!B7))*'01_설정'!B16+MAX(0,(1-U127/'01_설정'!B8))*'01_설정'!B17+O127*'01_설정'!B11+Q127*'01_설정'!B12+P127*'01_설정'!B13+IF(Z127="",0,Z127))</f>
        <v/>
      </c>
      <c r="X127" s="152">
        <f>IF(W127="","",1+COUNTIFS($W$4:$W$3003,"&gt;"&amp;W127)+COUNTIFS($W$4:W127,W127)-1)</f>
        <v/>
      </c>
      <c r="Y127" s="175">
        <f>IF(OR(I127="",'02_대상물건입력'!B19="",'02_대상물건입력'!B19&lt;=0),"",ABS(I127-'02_대상물건입력'!B19)/'02_대상물건입력'!B19)</f>
        <v/>
      </c>
      <c r="Z127" s="172">
        <f>IF(OR(Y127="",'01_설정'!B31="",'01_설정'!B31&lt;=0,'01_설정'!B32="",'01_설정'!B32&lt;=0),"",MAX(0,(1-Y127/'01_설정'!B32))*'01_설정'!B31)</f>
        <v/>
      </c>
    </row>
    <row r="128" ht="17.25" customHeight="1">
      <c r="A128" s="152">
        <f>IF(INDEX('04A_국토부원자료'!$A:$A,ROW()+1)="","",ROW()-3)</f>
        <v/>
      </c>
      <c r="B128" s="48">
        <f>IFERROR(INDEX('04A_국토부원자료'!$A:$T,ROW()+1,MATCH("시군구",'04A_국토부원자료'!$A$4:$T$4,0)),"")</f>
        <v/>
      </c>
      <c r="C128" s="48">
        <f>IF(B128="","",IFERROR(INDEX('04A_국토부원자료'!$A:$T,ROW()+1,MATCH("번지",'04A_국토부원자료'!$A$4:$T$4,0)),""))</f>
        <v/>
      </c>
      <c r="D128" s="48">
        <f>IF(B128="","",IF(Q128=1,'02_대상물건입력'!$B$8,IFERROR(INDEX('04A_국토부원자료'!$A:$T,ROW()+1,MATCH("단지명",'04A_국토부원자료'!$A$4:$T$4,0)),"")))</f>
        <v/>
      </c>
      <c r="E128" s="172">
        <f>IFERROR(VALUE(SUBSTITUTE(INDEX('04A_국토부원자료'!$A:$T,ROW()+1,MATCH("전용면적(㎡)",'04A_국토부원자료'!$A$4:$T$4,0)),",","")),"")</f>
        <v/>
      </c>
      <c r="F1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8" s="51">
        <f>IFERROR(VALUE(SUBSTITUTE(INDEX('04A_국토부원자료'!$A:$T,ROW()+1,MATCH("거래금액(만원)",'04A_국토부원자료'!$A$4:$T$4,0)),",","")),"")</f>
        <v/>
      </c>
      <c r="H128" s="174">
        <f>IF(G128="","",G128*10000)</f>
        <v/>
      </c>
      <c r="I128" s="174">
        <f>IFERROR(IF(AND(H128&gt;0,E128&gt;0),H128/E128,""),"")</f>
        <v/>
      </c>
      <c r="J128" s="152">
        <f>IFERROR(VALUE(SUBSTITUTE(INDEX('04A_국토부원자료'!$A:$T,ROW()+1,MATCH("층",'04A_국토부원자료'!$A$4:$T$4,0)),",","")),"")</f>
        <v/>
      </c>
      <c r="K128" s="152">
        <f>IFERROR(VALUE(SUBSTITUTE(INDEX('04A_국토부원자료'!$A:$T,ROW()+1,MATCH("건축년도",'04A_국토부원자료'!$A$4:$T$4,0)),",","")),"")</f>
        <v/>
      </c>
      <c r="L128" s="176">
        <f>IFERROR(INDEX('04A_국토부원자료'!$A:$T,ROW()+1,MATCH("도로명",'04A_국토부원자료'!$A$4:$T$4,0)),"")</f>
        <v/>
      </c>
      <c r="M128" s="48">
        <f>IFERROR(INDEX('04A_국토부원자료'!$A:$T,ROW()+1,MATCH("거래유형",'04A_국토부원자료'!$A$4:$T$4,0)),"")</f>
        <v/>
      </c>
      <c r="N128" s="152">
        <f>IF(B128="","",IF('02_대상물건입력'!B5="",1,IF(ISNUMBER(SEARCH('02_대상물건입력'!B5,B128)),1,0)))</f>
        <v/>
      </c>
      <c r="O128" s="152">
        <f>IF(B128="","",IF('02_대상물건입력'!B6="",1,IF(ISNUMBER(SEARCH('02_대상물건입력'!B6,B128)),1,0)))</f>
        <v/>
      </c>
      <c r="P128" s="152">
        <f>IF(L128="","",IF('02_대상물건입력'!B15="",0,IF(ISNUMBER(SEARCH('02_대상물건입력'!B15,L128)),1,0)))</f>
        <v/>
      </c>
      <c r="Q128" s="152">
        <f>IF(OR(C128="",L128=""),0,IF(AND(TRIM(C128)=TRIM(RIGHT(SUBSTITUTE(TRIM('02_대상물건입력'!$B$7)," ",REPT(" ",99)),99)),IF('02_대상물건입력'!B15="",TRUE(),ISNUMBER(SEARCH('02_대상물건입력'!B15,L128)))),1,0))</f>
        <v/>
      </c>
      <c r="R128" s="175">
        <f>IFERROR(ABS(E128-'02_대상물건입력'!B11)/'02_대상물건입력'!B11,"")</f>
        <v/>
      </c>
      <c r="S128" s="152">
        <f>IFERROR(ABS(J128-'02_대상물건입력'!B10),"")</f>
        <v/>
      </c>
      <c r="T128" s="152">
        <f>IFERROR(ABS('01_설정'!B4-F128),"")</f>
        <v/>
      </c>
      <c r="U128" s="152">
        <f>IFERROR(ABS(K128-YEAR('02_대상물건입력'!B14)),"")</f>
        <v/>
      </c>
      <c r="V128" s="152">
        <f>IF(B128="","",IF(AND(E128&gt;0,F128&gt;0,H128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128=1,TRUE()),R128&lt;='01_설정'!B5,S128&lt;='01_설정'!B6,T128&lt;='01_설정'!B7,U128&lt;='01_설정'!B8),"Y",""))</f>
        <v/>
      </c>
      <c r="W128" s="172">
        <f>IF(V128&lt;&gt;"Y","",MAX(0,(1-R128/'01_설정'!B5))*'01_설정'!B14+MAX(0,(1-S128/'01_설정'!B6))*'01_설정'!B15+MAX(0,(1-T128/'01_설정'!B7))*'01_설정'!B16+MAX(0,(1-U128/'01_설정'!B8))*'01_설정'!B17+O128*'01_설정'!B11+Q128*'01_설정'!B12+P128*'01_설정'!B13+IF(Z128="",0,Z128))</f>
        <v/>
      </c>
      <c r="X128" s="152">
        <f>IF(W128="","",1+COUNTIFS($W$4:$W$3003,"&gt;"&amp;W128)+COUNTIFS($W$4:W128,W128)-1)</f>
        <v/>
      </c>
      <c r="Y128" s="175">
        <f>IF(OR(I128="",'02_대상물건입력'!B19="",'02_대상물건입력'!B19&lt;=0),"",ABS(I128-'02_대상물건입력'!B19)/'02_대상물건입력'!B19)</f>
        <v/>
      </c>
      <c r="Z128" s="172">
        <f>IF(OR(Y128="",'01_설정'!B31="",'01_설정'!B31&lt;=0,'01_설정'!B32="",'01_설정'!B32&lt;=0),"",MAX(0,(1-Y128/'01_설정'!B32))*'01_설정'!B31)</f>
        <v/>
      </c>
    </row>
    <row r="129" ht="17.25" customHeight="1">
      <c r="A129" s="152">
        <f>IF(INDEX('04A_국토부원자료'!$A:$A,ROW()+1)="","",ROW()-3)</f>
        <v/>
      </c>
      <c r="B129" s="48">
        <f>IFERROR(INDEX('04A_국토부원자료'!$A:$T,ROW()+1,MATCH("시군구",'04A_국토부원자료'!$A$4:$T$4,0)),"")</f>
        <v/>
      </c>
      <c r="C129" s="48">
        <f>IF(B129="","",IFERROR(INDEX('04A_국토부원자료'!$A:$T,ROW()+1,MATCH("번지",'04A_국토부원자료'!$A$4:$T$4,0)),""))</f>
        <v/>
      </c>
      <c r="D129" s="48">
        <f>IF(B129="","",IF(Q129=1,'02_대상물건입력'!$B$8,IFERROR(INDEX('04A_국토부원자료'!$A:$T,ROW()+1,MATCH("단지명",'04A_국토부원자료'!$A$4:$T$4,0)),"")))</f>
        <v/>
      </c>
      <c r="E129" s="172">
        <f>IFERROR(VALUE(SUBSTITUTE(INDEX('04A_국토부원자료'!$A:$T,ROW()+1,MATCH("전용면적(㎡)",'04A_국토부원자료'!$A$4:$T$4,0)),",","")),"")</f>
        <v/>
      </c>
      <c r="F1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9" s="51">
        <f>IFERROR(VALUE(SUBSTITUTE(INDEX('04A_국토부원자료'!$A:$T,ROW()+1,MATCH("거래금액(만원)",'04A_국토부원자료'!$A$4:$T$4,0)),",","")),"")</f>
        <v/>
      </c>
      <c r="H129" s="174">
        <f>IF(G129="","",G129*10000)</f>
        <v/>
      </c>
      <c r="I129" s="174">
        <f>IFERROR(IF(AND(H129&gt;0,E129&gt;0),H129/E129,""),"")</f>
        <v/>
      </c>
      <c r="J129" s="152">
        <f>IFERROR(VALUE(SUBSTITUTE(INDEX('04A_국토부원자료'!$A:$T,ROW()+1,MATCH("층",'04A_국토부원자료'!$A$4:$T$4,0)),",","")),"")</f>
        <v/>
      </c>
      <c r="K129" s="152">
        <f>IFERROR(VALUE(SUBSTITUTE(INDEX('04A_국토부원자료'!$A:$T,ROW()+1,MATCH("건축년도",'04A_국토부원자료'!$A$4:$T$4,0)),",","")),"")</f>
        <v/>
      </c>
      <c r="L129" s="176">
        <f>IFERROR(INDEX('04A_국토부원자료'!$A:$T,ROW()+1,MATCH("도로명",'04A_국토부원자료'!$A$4:$T$4,0)),"")</f>
        <v/>
      </c>
      <c r="M129" s="48">
        <f>IFERROR(INDEX('04A_국토부원자료'!$A:$T,ROW()+1,MATCH("거래유형",'04A_국토부원자료'!$A$4:$T$4,0)),"")</f>
        <v/>
      </c>
      <c r="N129" s="152">
        <f>IF(B129="","",IF('02_대상물건입력'!B5="",1,IF(ISNUMBER(SEARCH('02_대상물건입력'!B5,B129)),1,0)))</f>
        <v/>
      </c>
      <c r="O129" s="152">
        <f>IF(B129="","",IF('02_대상물건입력'!B6="",1,IF(ISNUMBER(SEARCH('02_대상물건입력'!B6,B129)),1,0)))</f>
        <v/>
      </c>
      <c r="P129" s="152">
        <f>IF(L129="","",IF('02_대상물건입력'!B15="",0,IF(ISNUMBER(SEARCH('02_대상물건입력'!B15,L129)),1,0)))</f>
        <v/>
      </c>
      <c r="Q129" s="152">
        <f>IF(OR(C129="",L129=""),0,IF(AND(TRIM(C129)=TRIM(RIGHT(SUBSTITUTE(TRIM('02_대상물건입력'!$B$7)," ",REPT(" ",99)),99)),IF('02_대상물건입력'!B15="",TRUE(),ISNUMBER(SEARCH('02_대상물건입력'!B15,L129)))),1,0))</f>
        <v/>
      </c>
      <c r="R129" s="175">
        <f>IFERROR(ABS(E129-'02_대상물건입력'!B11)/'02_대상물건입력'!B11,"")</f>
        <v/>
      </c>
      <c r="S129" s="152">
        <f>IFERROR(ABS(J129-'02_대상물건입력'!B10),"")</f>
        <v/>
      </c>
      <c r="T129" s="152">
        <f>IFERROR(ABS('01_설정'!B4-F129),"")</f>
        <v/>
      </c>
      <c r="U129" s="152">
        <f>IFERROR(ABS(K129-YEAR('02_대상물건입력'!B14)),"")</f>
        <v/>
      </c>
      <c r="V129" s="152">
        <f>IF(B129="","",IF(AND(E129&gt;0,F129&gt;0,H129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129=1,TRUE()),R129&lt;='01_설정'!B5,S129&lt;='01_설정'!B6,T129&lt;='01_설정'!B7,U129&lt;='01_설정'!B8),"Y",""))</f>
        <v/>
      </c>
      <c r="W129" s="172">
        <f>IF(V129&lt;&gt;"Y","",MAX(0,(1-R129/'01_설정'!B5))*'01_설정'!B14+MAX(0,(1-S129/'01_설정'!B6))*'01_설정'!B15+MAX(0,(1-T129/'01_설정'!B7))*'01_설정'!B16+MAX(0,(1-U129/'01_설정'!B8))*'01_설정'!B17+O129*'01_설정'!B11+Q129*'01_설정'!B12+P129*'01_설정'!B13+IF(Z129="",0,Z129))</f>
        <v/>
      </c>
      <c r="X129" s="152">
        <f>IF(W129="","",1+COUNTIFS($W$4:$W$3003,"&gt;"&amp;W129)+COUNTIFS($W$4:W129,W129)-1)</f>
        <v/>
      </c>
      <c r="Y129" s="175">
        <f>IF(OR(I129="",'02_대상물건입력'!B19="",'02_대상물건입력'!B19&lt;=0),"",ABS(I129-'02_대상물건입력'!B19)/'02_대상물건입력'!B19)</f>
        <v/>
      </c>
      <c r="Z129" s="172">
        <f>IF(OR(Y129="",'01_설정'!B31="",'01_설정'!B31&lt;=0,'01_설정'!B32="",'01_설정'!B32&lt;=0),"",MAX(0,(1-Y129/'01_설정'!B32))*'01_설정'!B31)</f>
        <v/>
      </c>
    </row>
    <row r="130" ht="17.25" customHeight="1">
      <c r="A130" s="152">
        <f>IF(INDEX('04A_국토부원자료'!$A:$A,ROW()+1)="","",ROW()-3)</f>
        <v/>
      </c>
      <c r="B130" s="48">
        <f>IFERROR(INDEX('04A_국토부원자료'!$A:$T,ROW()+1,MATCH("시군구",'04A_국토부원자료'!$A$4:$T$4,0)),"")</f>
        <v/>
      </c>
      <c r="C130" s="48">
        <f>IF(B130="","",IFERROR(INDEX('04A_국토부원자료'!$A:$T,ROW()+1,MATCH("번지",'04A_국토부원자료'!$A$4:$T$4,0)),""))</f>
        <v/>
      </c>
      <c r="D130" s="48">
        <f>IF(B130="","",IF(Q130=1,'02_대상물건입력'!$B$8,IFERROR(INDEX('04A_국토부원자료'!$A:$T,ROW()+1,MATCH("단지명",'04A_국토부원자료'!$A$4:$T$4,0)),"")))</f>
        <v/>
      </c>
      <c r="E130" s="172">
        <f>IFERROR(VALUE(SUBSTITUTE(INDEX('04A_국토부원자료'!$A:$T,ROW()+1,MATCH("전용면적(㎡)",'04A_국토부원자료'!$A$4:$T$4,0)),",","")),"")</f>
        <v/>
      </c>
      <c r="F1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0" s="51">
        <f>IFERROR(VALUE(SUBSTITUTE(INDEX('04A_국토부원자료'!$A:$T,ROW()+1,MATCH("거래금액(만원)",'04A_국토부원자료'!$A$4:$T$4,0)),",","")),"")</f>
        <v/>
      </c>
      <c r="H130" s="174">
        <f>IF(G130="","",G130*10000)</f>
        <v/>
      </c>
      <c r="I130" s="174">
        <f>IFERROR(IF(AND(H130&gt;0,E130&gt;0),H130/E130,""),"")</f>
        <v/>
      </c>
      <c r="J130" s="152">
        <f>IFERROR(VALUE(SUBSTITUTE(INDEX('04A_국토부원자료'!$A:$T,ROW()+1,MATCH("층",'04A_국토부원자료'!$A$4:$T$4,0)),",","")),"")</f>
        <v/>
      </c>
      <c r="K130" s="152">
        <f>IFERROR(VALUE(SUBSTITUTE(INDEX('04A_국토부원자료'!$A:$T,ROW()+1,MATCH("건축년도",'04A_국토부원자료'!$A$4:$T$4,0)),",","")),"")</f>
        <v/>
      </c>
      <c r="L130" s="176">
        <f>IFERROR(INDEX('04A_국토부원자료'!$A:$T,ROW()+1,MATCH("도로명",'04A_국토부원자료'!$A$4:$T$4,0)),"")</f>
        <v/>
      </c>
      <c r="M130" s="48">
        <f>IFERROR(INDEX('04A_국토부원자료'!$A:$T,ROW()+1,MATCH("거래유형",'04A_국토부원자료'!$A$4:$T$4,0)),"")</f>
        <v/>
      </c>
      <c r="N130" s="152">
        <f>IF(B130="","",IF('02_대상물건입력'!B5="",1,IF(ISNUMBER(SEARCH('02_대상물건입력'!B5,B130)),1,0)))</f>
        <v/>
      </c>
      <c r="O130" s="152">
        <f>IF(B130="","",IF('02_대상물건입력'!B6="",1,IF(ISNUMBER(SEARCH('02_대상물건입력'!B6,B130)),1,0)))</f>
        <v/>
      </c>
      <c r="P130" s="152">
        <f>IF(L130="","",IF('02_대상물건입력'!B15="",0,IF(ISNUMBER(SEARCH('02_대상물건입력'!B15,L130)),1,0)))</f>
        <v/>
      </c>
      <c r="Q130" s="152">
        <f>IF(OR(C130="",L130=""),0,IF(AND(TRIM(C130)=TRIM(RIGHT(SUBSTITUTE(TRIM('02_대상물건입력'!$B$7)," ",REPT(" ",99)),99)),IF('02_대상물건입력'!B15="",TRUE(),ISNUMBER(SEARCH('02_대상물건입력'!B15,L130)))),1,0))</f>
        <v/>
      </c>
      <c r="R130" s="175">
        <f>IFERROR(ABS(E130-'02_대상물건입력'!B11)/'02_대상물건입력'!B11,"")</f>
        <v/>
      </c>
      <c r="S130" s="152">
        <f>IFERROR(ABS(J130-'02_대상물건입력'!B10),"")</f>
        <v/>
      </c>
      <c r="T130" s="152">
        <f>IFERROR(ABS('01_설정'!B4-F130),"")</f>
        <v/>
      </c>
      <c r="U130" s="152">
        <f>IFERROR(ABS(K130-YEAR('02_대상물건입력'!B14)),"")</f>
        <v/>
      </c>
      <c r="V130" s="152">
        <f>IF(B130="","",IF(AND(E130&gt;0,F130&gt;0,H130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130=1,TRUE()),R130&lt;='01_설정'!B5,S130&lt;='01_설정'!B6,T130&lt;='01_설정'!B7,U130&lt;='01_설정'!B8),"Y",""))</f>
        <v/>
      </c>
      <c r="W130" s="172">
        <f>IF(V130&lt;&gt;"Y","",MAX(0,(1-R130/'01_설정'!B5))*'01_설정'!B14+MAX(0,(1-S130/'01_설정'!B6))*'01_설정'!B15+MAX(0,(1-T130/'01_설정'!B7))*'01_설정'!B16+MAX(0,(1-U130/'01_설정'!B8))*'01_설정'!B17+O130*'01_설정'!B11+Q130*'01_설정'!B12+P130*'01_설정'!B13+IF(Z130="",0,Z130))</f>
        <v/>
      </c>
      <c r="X130" s="152">
        <f>IF(W130="","",1+COUNTIFS($W$4:$W$3003,"&gt;"&amp;W130)+COUNTIFS($W$4:W130,W130)-1)</f>
        <v/>
      </c>
      <c r="Y130" s="175">
        <f>IF(OR(I130="",'02_대상물건입력'!B19="",'02_대상물건입력'!B19&lt;=0),"",ABS(I130-'02_대상물건입력'!B19)/'02_대상물건입력'!B19)</f>
        <v/>
      </c>
      <c r="Z130" s="172">
        <f>IF(OR(Y130="",'01_설정'!B31="",'01_설정'!B31&lt;=0,'01_설정'!B32="",'01_설정'!B32&lt;=0),"",MAX(0,(1-Y130/'01_설정'!B32))*'01_설정'!B31)</f>
        <v/>
      </c>
    </row>
    <row r="131" ht="17.25" customHeight="1">
      <c r="A131" s="152">
        <f>IF(INDEX('04A_국토부원자료'!$A:$A,ROW()+1)="","",ROW()-3)</f>
        <v/>
      </c>
      <c r="B131" s="48">
        <f>IFERROR(INDEX('04A_국토부원자료'!$A:$T,ROW()+1,MATCH("시군구",'04A_국토부원자료'!$A$4:$T$4,0)),"")</f>
        <v/>
      </c>
      <c r="C131" s="48">
        <f>IF(B131="","",IFERROR(INDEX('04A_국토부원자료'!$A:$T,ROW()+1,MATCH("번지",'04A_국토부원자료'!$A$4:$T$4,0)),""))</f>
        <v/>
      </c>
      <c r="D131" s="48">
        <f>IF(B131="","",IF(Q131=1,'02_대상물건입력'!$B$8,IFERROR(INDEX('04A_국토부원자료'!$A:$T,ROW()+1,MATCH("단지명",'04A_국토부원자료'!$A$4:$T$4,0)),"")))</f>
        <v/>
      </c>
      <c r="E131" s="172">
        <f>IFERROR(VALUE(SUBSTITUTE(INDEX('04A_국토부원자료'!$A:$T,ROW()+1,MATCH("전용면적(㎡)",'04A_국토부원자료'!$A$4:$T$4,0)),",","")),"")</f>
        <v/>
      </c>
      <c r="F1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1" s="51">
        <f>IFERROR(VALUE(SUBSTITUTE(INDEX('04A_국토부원자료'!$A:$T,ROW()+1,MATCH("거래금액(만원)",'04A_국토부원자료'!$A$4:$T$4,0)),",","")),"")</f>
        <v/>
      </c>
      <c r="H131" s="174">
        <f>IF(G131="","",G131*10000)</f>
        <v/>
      </c>
      <c r="I131" s="174">
        <f>IFERROR(IF(AND(H131&gt;0,E131&gt;0),H131/E131,""),"")</f>
        <v/>
      </c>
      <c r="J131" s="152">
        <f>IFERROR(VALUE(SUBSTITUTE(INDEX('04A_국토부원자료'!$A:$T,ROW()+1,MATCH("층",'04A_국토부원자료'!$A$4:$T$4,0)),",","")),"")</f>
        <v/>
      </c>
      <c r="K131" s="152">
        <f>IFERROR(VALUE(SUBSTITUTE(INDEX('04A_국토부원자료'!$A:$T,ROW()+1,MATCH("건축년도",'04A_국토부원자료'!$A$4:$T$4,0)),",","")),"")</f>
        <v/>
      </c>
      <c r="L131" s="176">
        <f>IFERROR(INDEX('04A_국토부원자료'!$A:$T,ROW()+1,MATCH("도로명",'04A_국토부원자료'!$A$4:$T$4,0)),"")</f>
        <v/>
      </c>
      <c r="M131" s="48">
        <f>IFERROR(INDEX('04A_국토부원자료'!$A:$T,ROW()+1,MATCH("거래유형",'04A_국토부원자료'!$A$4:$T$4,0)),"")</f>
        <v/>
      </c>
      <c r="N131" s="152">
        <f>IF(B131="","",IF('02_대상물건입력'!B5="",1,IF(ISNUMBER(SEARCH('02_대상물건입력'!B5,B131)),1,0)))</f>
        <v/>
      </c>
      <c r="O131" s="152">
        <f>IF(B131="","",IF('02_대상물건입력'!B6="",1,IF(ISNUMBER(SEARCH('02_대상물건입력'!B6,B131)),1,0)))</f>
        <v/>
      </c>
      <c r="P131" s="152">
        <f>IF(L131="","",IF('02_대상물건입력'!B15="",0,IF(ISNUMBER(SEARCH('02_대상물건입력'!B15,L131)),1,0)))</f>
        <v/>
      </c>
      <c r="Q131" s="152">
        <f>IF(OR(C131="",L131=""),0,IF(AND(TRIM(C131)=TRIM(RIGHT(SUBSTITUTE(TRIM('02_대상물건입력'!$B$7)," ",REPT(" ",99)),99)),IF('02_대상물건입력'!B15="",TRUE(),ISNUMBER(SEARCH('02_대상물건입력'!B15,L131)))),1,0))</f>
        <v/>
      </c>
      <c r="R131" s="175">
        <f>IFERROR(ABS(E131-'02_대상물건입력'!B11)/'02_대상물건입력'!B11,"")</f>
        <v/>
      </c>
      <c r="S131" s="152">
        <f>IFERROR(ABS(J131-'02_대상물건입력'!B10),"")</f>
        <v/>
      </c>
      <c r="T131" s="152">
        <f>IFERROR(ABS('01_설정'!B4-F131),"")</f>
        <v/>
      </c>
      <c r="U131" s="152">
        <f>IFERROR(ABS(K131-YEAR('02_대상물건입력'!B14)),"")</f>
        <v/>
      </c>
      <c r="V131" s="152">
        <f>IF(B131="","",IF(AND(E131&gt;0,F131&gt;0,H131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131=1,TRUE()),R131&lt;='01_설정'!B5,S131&lt;='01_설정'!B6,T131&lt;='01_설정'!B7,U131&lt;='01_설정'!B8),"Y",""))</f>
        <v/>
      </c>
      <c r="W131" s="172">
        <f>IF(V131&lt;&gt;"Y","",MAX(0,(1-R131/'01_설정'!B5))*'01_설정'!B14+MAX(0,(1-S131/'01_설정'!B6))*'01_설정'!B15+MAX(0,(1-T131/'01_설정'!B7))*'01_설정'!B16+MAX(0,(1-U131/'01_설정'!B8))*'01_설정'!B17+O131*'01_설정'!B11+Q131*'01_설정'!B12+P131*'01_설정'!B13+IF(Z131="",0,Z131))</f>
        <v/>
      </c>
      <c r="X131" s="152">
        <f>IF(W131="","",1+COUNTIFS($W$4:$W$3003,"&gt;"&amp;W131)+COUNTIFS($W$4:W131,W131)-1)</f>
        <v/>
      </c>
      <c r="Y131" s="175">
        <f>IF(OR(I131="",'02_대상물건입력'!B19="",'02_대상물건입력'!B19&lt;=0),"",ABS(I131-'02_대상물건입력'!B19)/'02_대상물건입력'!B19)</f>
        <v/>
      </c>
      <c r="Z131" s="172">
        <f>IF(OR(Y131="",'01_설정'!B31="",'01_설정'!B31&lt;=0,'01_설정'!B32="",'01_설정'!B32&lt;=0),"",MAX(0,(1-Y131/'01_설정'!B32))*'01_설정'!B31)</f>
        <v/>
      </c>
    </row>
    <row r="132" ht="17.25" customHeight="1">
      <c r="A132" s="152">
        <f>IF(INDEX('04A_국토부원자료'!$A:$A,ROW()+1)="","",ROW()-3)</f>
        <v/>
      </c>
      <c r="B132" s="48">
        <f>IFERROR(INDEX('04A_국토부원자료'!$A:$T,ROW()+1,MATCH("시군구",'04A_국토부원자료'!$A$4:$T$4,0)),"")</f>
        <v/>
      </c>
      <c r="C132" s="48">
        <f>IF(B132="","",IFERROR(INDEX('04A_국토부원자료'!$A:$T,ROW()+1,MATCH("번지",'04A_국토부원자료'!$A$4:$T$4,0)),""))</f>
        <v/>
      </c>
      <c r="D132" s="48">
        <f>IF(B132="","",IF(Q132=1,'02_대상물건입력'!$B$8,IFERROR(INDEX('04A_국토부원자료'!$A:$T,ROW()+1,MATCH("단지명",'04A_국토부원자료'!$A$4:$T$4,0)),"")))</f>
        <v/>
      </c>
      <c r="E132" s="172">
        <f>IFERROR(VALUE(SUBSTITUTE(INDEX('04A_국토부원자료'!$A:$T,ROW()+1,MATCH("전용면적(㎡)",'04A_국토부원자료'!$A$4:$T$4,0)),",","")),"")</f>
        <v/>
      </c>
      <c r="F1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2" s="51">
        <f>IFERROR(VALUE(SUBSTITUTE(INDEX('04A_국토부원자료'!$A:$T,ROW()+1,MATCH("거래금액(만원)",'04A_국토부원자료'!$A$4:$T$4,0)),",","")),"")</f>
        <v/>
      </c>
      <c r="H132" s="174">
        <f>IF(G132="","",G132*10000)</f>
        <v/>
      </c>
      <c r="I132" s="174">
        <f>IFERROR(IF(AND(H132&gt;0,E132&gt;0),H132/E132,""),"")</f>
        <v/>
      </c>
      <c r="J132" s="152">
        <f>IFERROR(VALUE(SUBSTITUTE(INDEX('04A_국토부원자료'!$A:$T,ROW()+1,MATCH("층",'04A_국토부원자료'!$A$4:$T$4,0)),",","")),"")</f>
        <v/>
      </c>
      <c r="K132" s="152">
        <f>IFERROR(VALUE(SUBSTITUTE(INDEX('04A_국토부원자료'!$A:$T,ROW()+1,MATCH("건축년도",'04A_국토부원자료'!$A$4:$T$4,0)),",","")),"")</f>
        <v/>
      </c>
      <c r="L132" s="176">
        <f>IFERROR(INDEX('04A_국토부원자료'!$A:$T,ROW()+1,MATCH("도로명",'04A_국토부원자료'!$A$4:$T$4,0)),"")</f>
        <v/>
      </c>
      <c r="M132" s="48">
        <f>IFERROR(INDEX('04A_국토부원자료'!$A:$T,ROW()+1,MATCH("거래유형",'04A_국토부원자료'!$A$4:$T$4,0)),"")</f>
        <v/>
      </c>
      <c r="N132" s="152">
        <f>IF(B132="","",IF('02_대상물건입력'!B5="",1,IF(ISNUMBER(SEARCH('02_대상물건입력'!B5,B132)),1,0)))</f>
        <v/>
      </c>
      <c r="O132" s="152">
        <f>IF(B132="","",IF('02_대상물건입력'!B6="",1,IF(ISNUMBER(SEARCH('02_대상물건입력'!B6,B132)),1,0)))</f>
        <v/>
      </c>
      <c r="P132" s="152">
        <f>IF(L132="","",IF('02_대상물건입력'!B15="",0,IF(ISNUMBER(SEARCH('02_대상물건입력'!B15,L132)),1,0)))</f>
        <v/>
      </c>
      <c r="Q132" s="152">
        <f>IF(OR(C132="",L132=""),0,IF(AND(TRIM(C132)=TRIM(RIGHT(SUBSTITUTE(TRIM('02_대상물건입력'!$B$7)," ",REPT(" ",99)),99)),IF('02_대상물건입력'!B15="",TRUE(),ISNUMBER(SEARCH('02_대상물건입력'!B15,L132)))),1,0))</f>
        <v/>
      </c>
      <c r="R132" s="175">
        <f>IFERROR(ABS(E132-'02_대상물건입력'!B11)/'02_대상물건입력'!B11,"")</f>
        <v/>
      </c>
      <c r="S132" s="152">
        <f>IFERROR(ABS(J132-'02_대상물건입력'!B10),"")</f>
        <v/>
      </c>
      <c r="T132" s="152">
        <f>IFERROR(ABS('01_설정'!B4-F132),"")</f>
        <v/>
      </c>
      <c r="U132" s="152">
        <f>IFERROR(ABS(K132-YEAR('02_대상물건입력'!B14)),"")</f>
        <v/>
      </c>
      <c r="V132" s="152">
        <f>IF(B132="","",IF(AND(E132&gt;0,F132&gt;0,H132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132=1,TRUE()),R132&lt;='01_설정'!B5,S132&lt;='01_설정'!B6,T132&lt;='01_설정'!B7,U132&lt;='01_설정'!B8),"Y",""))</f>
        <v/>
      </c>
      <c r="W132" s="172">
        <f>IF(V132&lt;&gt;"Y","",MAX(0,(1-R132/'01_설정'!B5))*'01_설정'!B14+MAX(0,(1-S132/'01_설정'!B6))*'01_설정'!B15+MAX(0,(1-T132/'01_설정'!B7))*'01_설정'!B16+MAX(0,(1-U132/'01_설정'!B8))*'01_설정'!B17+O132*'01_설정'!B11+Q132*'01_설정'!B12+P132*'01_설정'!B13+IF(Z132="",0,Z132))</f>
        <v/>
      </c>
      <c r="X132" s="152">
        <f>IF(W132="","",1+COUNTIFS($W$4:$W$3003,"&gt;"&amp;W132)+COUNTIFS($W$4:W132,W132)-1)</f>
        <v/>
      </c>
      <c r="Y132" s="175">
        <f>IF(OR(I132="",'02_대상물건입력'!B19="",'02_대상물건입력'!B19&lt;=0),"",ABS(I132-'02_대상물건입력'!B19)/'02_대상물건입력'!B19)</f>
        <v/>
      </c>
      <c r="Z132" s="172">
        <f>IF(OR(Y132="",'01_설정'!B31="",'01_설정'!B31&lt;=0,'01_설정'!B32="",'01_설정'!B32&lt;=0),"",MAX(0,(1-Y132/'01_설정'!B32))*'01_설정'!B31)</f>
        <v/>
      </c>
    </row>
    <row r="133" ht="17.25" customHeight="1">
      <c r="A133" s="152">
        <f>IF(INDEX('04A_국토부원자료'!$A:$A,ROW()+1)="","",ROW()-3)</f>
        <v/>
      </c>
      <c r="B133" s="48">
        <f>IFERROR(INDEX('04A_국토부원자료'!$A:$T,ROW()+1,MATCH("시군구",'04A_국토부원자료'!$A$4:$T$4,0)),"")</f>
        <v/>
      </c>
      <c r="C133" s="48">
        <f>IF(B133="","",IFERROR(INDEX('04A_국토부원자료'!$A:$T,ROW()+1,MATCH("번지",'04A_국토부원자료'!$A$4:$T$4,0)),""))</f>
        <v/>
      </c>
      <c r="D133" s="48">
        <f>IF(B133="","",IF(Q133=1,'02_대상물건입력'!$B$8,IFERROR(INDEX('04A_국토부원자료'!$A:$T,ROW()+1,MATCH("단지명",'04A_국토부원자료'!$A$4:$T$4,0)),"")))</f>
        <v/>
      </c>
      <c r="E133" s="172">
        <f>IFERROR(VALUE(SUBSTITUTE(INDEX('04A_국토부원자료'!$A:$T,ROW()+1,MATCH("전용면적(㎡)",'04A_국토부원자료'!$A$4:$T$4,0)),",","")),"")</f>
        <v/>
      </c>
      <c r="F1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3" s="51">
        <f>IFERROR(VALUE(SUBSTITUTE(INDEX('04A_국토부원자료'!$A:$T,ROW()+1,MATCH("거래금액(만원)",'04A_국토부원자료'!$A$4:$T$4,0)),",","")),"")</f>
        <v/>
      </c>
      <c r="H133" s="174">
        <f>IF(G133="","",G133*10000)</f>
        <v/>
      </c>
      <c r="I133" s="174">
        <f>IFERROR(IF(AND(H133&gt;0,E133&gt;0),H133/E133,""),"")</f>
        <v/>
      </c>
      <c r="J133" s="152">
        <f>IFERROR(VALUE(SUBSTITUTE(INDEX('04A_국토부원자료'!$A:$T,ROW()+1,MATCH("층",'04A_국토부원자료'!$A$4:$T$4,0)),",","")),"")</f>
        <v/>
      </c>
      <c r="K133" s="152">
        <f>IFERROR(VALUE(SUBSTITUTE(INDEX('04A_국토부원자료'!$A:$T,ROW()+1,MATCH("건축년도",'04A_국토부원자료'!$A$4:$T$4,0)),",","")),"")</f>
        <v/>
      </c>
      <c r="L133" s="176">
        <f>IFERROR(INDEX('04A_국토부원자료'!$A:$T,ROW()+1,MATCH("도로명",'04A_국토부원자료'!$A$4:$T$4,0)),"")</f>
        <v/>
      </c>
      <c r="M133" s="48">
        <f>IFERROR(INDEX('04A_국토부원자료'!$A:$T,ROW()+1,MATCH("거래유형",'04A_국토부원자료'!$A$4:$T$4,0)),"")</f>
        <v/>
      </c>
      <c r="N133" s="152">
        <f>IF(B133="","",IF('02_대상물건입력'!B5="",1,IF(ISNUMBER(SEARCH('02_대상물건입력'!B5,B133)),1,0)))</f>
        <v/>
      </c>
      <c r="O133" s="152">
        <f>IF(B133="","",IF('02_대상물건입력'!B6="",1,IF(ISNUMBER(SEARCH('02_대상물건입력'!B6,B133)),1,0)))</f>
        <v/>
      </c>
      <c r="P133" s="152">
        <f>IF(L133="","",IF('02_대상물건입력'!B15="",0,IF(ISNUMBER(SEARCH('02_대상물건입력'!B15,L133)),1,0)))</f>
        <v/>
      </c>
      <c r="Q133" s="152">
        <f>IF(OR(C133="",L133=""),0,IF(AND(TRIM(C133)=TRIM(RIGHT(SUBSTITUTE(TRIM('02_대상물건입력'!$B$7)," ",REPT(" ",99)),99)),IF('02_대상물건입력'!B15="",TRUE(),ISNUMBER(SEARCH('02_대상물건입력'!B15,L133)))),1,0))</f>
        <v/>
      </c>
      <c r="R133" s="175">
        <f>IFERROR(ABS(E133-'02_대상물건입력'!B11)/'02_대상물건입력'!B11,"")</f>
        <v/>
      </c>
      <c r="S133" s="152">
        <f>IFERROR(ABS(J133-'02_대상물건입력'!B10),"")</f>
        <v/>
      </c>
      <c r="T133" s="152">
        <f>IFERROR(ABS('01_설정'!B4-F133),"")</f>
        <v/>
      </c>
      <c r="U133" s="152">
        <f>IFERROR(ABS(K133-YEAR('02_대상물건입력'!B14)),"")</f>
        <v/>
      </c>
      <c r="V133" s="152">
        <f>IF(B133="","",IF(AND(E133&gt;0,F133&gt;0,H133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133=1,TRUE()),R133&lt;='01_설정'!B5,S133&lt;='01_설정'!B6,T133&lt;='01_설정'!B7,U133&lt;='01_설정'!B8),"Y",""))</f>
        <v/>
      </c>
      <c r="W133" s="172">
        <f>IF(V133&lt;&gt;"Y","",MAX(0,(1-R133/'01_설정'!B5))*'01_설정'!B14+MAX(0,(1-S133/'01_설정'!B6))*'01_설정'!B15+MAX(0,(1-T133/'01_설정'!B7))*'01_설정'!B16+MAX(0,(1-U133/'01_설정'!B8))*'01_설정'!B17+O133*'01_설정'!B11+Q133*'01_설정'!B12+P133*'01_설정'!B13+IF(Z133="",0,Z133))</f>
        <v/>
      </c>
      <c r="X133" s="152">
        <f>IF(W133="","",1+COUNTIFS($W$4:$W$3003,"&gt;"&amp;W133)+COUNTIFS($W$4:W133,W133)-1)</f>
        <v/>
      </c>
      <c r="Y133" s="175">
        <f>IF(OR(I133="",'02_대상물건입력'!B19="",'02_대상물건입력'!B19&lt;=0),"",ABS(I133-'02_대상물건입력'!B19)/'02_대상물건입력'!B19)</f>
        <v/>
      </c>
      <c r="Z133" s="172">
        <f>IF(OR(Y133="",'01_설정'!B31="",'01_설정'!B31&lt;=0,'01_설정'!B32="",'01_설정'!B32&lt;=0),"",MAX(0,(1-Y133/'01_설정'!B32))*'01_설정'!B31)</f>
        <v/>
      </c>
    </row>
    <row r="134" ht="17.25" customHeight="1">
      <c r="A134" s="152">
        <f>IF(INDEX('04A_국토부원자료'!$A:$A,ROW()+1)="","",ROW()-3)</f>
        <v/>
      </c>
      <c r="B134" s="48">
        <f>IFERROR(INDEX('04A_국토부원자료'!$A:$T,ROW()+1,MATCH("시군구",'04A_국토부원자료'!$A$4:$T$4,0)),"")</f>
        <v/>
      </c>
      <c r="C134" s="48">
        <f>IF(B134="","",IFERROR(INDEX('04A_국토부원자료'!$A:$T,ROW()+1,MATCH("번지",'04A_국토부원자료'!$A$4:$T$4,0)),""))</f>
        <v/>
      </c>
      <c r="D134" s="48">
        <f>IF(B134="","",IF(Q134=1,'02_대상물건입력'!$B$8,IFERROR(INDEX('04A_국토부원자료'!$A:$T,ROW()+1,MATCH("단지명",'04A_국토부원자료'!$A$4:$T$4,0)),"")))</f>
        <v/>
      </c>
      <c r="E134" s="172">
        <f>IFERROR(VALUE(SUBSTITUTE(INDEX('04A_국토부원자료'!$A:$T,ROW()+1,MATCH("전용면적(㎡)",'04A_국토부원자료'!$A$4:$T$4,0)),",","")),"")</f>
        <v/>
      </c>
      <c r="F1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4" s="51">
        <f>IFERROR(VALUE(SUBSTITUTE(INDEX('04A_국토부원자료'!$A:$T,ROW()+1,MATCH("거래금액(만원)",'04A_국토부원자료'!$A$4:$T$4,0)),",","")),"")</f>
        <v/>
      </c>
      <c r="H134" s="174">
        <f>IF(G134="","",G134*10000)</f>
        <v/>
      </c>
      <c r="I134" s="174">
        <f>IFERROR(IF(AND(H134&gt;0,E134&gt;0),H134/E134,""),"")</f>
        <v/>
      </c>
      <c r="J134" s="152">
        <f>IFERROR(VALUE(SUBSTITUTE(INDEX('04A_국토부원자료'!$A:$T,ROW()+1,MATCH("층",'04A_국토부원자료'!$A$4:$T$4,0)),",","")),"")</f>
        <v/>
      </c>
      <c r="K134" s="152">
        <f>IFERROR(VALUE(SUBSTITUTE(INDEX('04A_국토부원자료'!$A:$T,ROW()+1,MATCH("건축년도",'04A_국토부원자료'!$A$4:$T$4,0)),",","")),"")</f>
        <v/>
      </c>
      <c r="L134" s="176">
        <f>IFERROR(INDEX('04A_국토부원자료'!$A:$T,ROW()+1,MATCH("도로명",'04A_국토부원자료'!$A$4:$T$4,0)),"")</f>
        <v/>
      </c>
      <c r="M134" s="48">
        <f>IFERROR(INDEX('04A_국토부원자료'!$A:$T,ROW()+1,MATCH("거래유형",'04A_국토부원자료'!$A$4:$T$4,0)),"")</f>
        <v/>
      </c>
      <c r="N134" s="152">
        <f>IF(B134="","",IF('02_대상물건입력'!B5="",1,IF(ISNUMBER(SEARCH('02_대상물건입력'!B5,B134)),1,0)))</f>
        <v/>
      </c>
      <c r="O134" s="152">
        <f>IF(B134="","",IF('02_대상물건입력'!B6="",1,IF(ISNUMBER(SEARCH('02_대상물건입력'!B6,B134)),1,0)))</f>
        <v/>
      </c>
      <c r="P134" s="152">
        <f>IF(L134="","",IF('02_대상물건입력'!B15="",0,IF(ISNUMBER(SEARCH('02_대상물건입력'!B15,L134)),1,0)))</f>
        <v/>
      </c>
      <c r="Q134" s="152">
        <f>IF(OR(C134="",L134=""),0,IF(AND(TRIM(C134)=TRIM(RIGHT(SUBSTITUTE(TRIM('02_대상물건입력'!$B$7)," ",REPT(" ",99)),99)),IF('02_대상물건입력'!B15="",TRUE(),ISNUMBER(SEARCH('02_대상물건입력'!B15,L134)))),1,0))</f>
        <v/>
      </c>
      <c r="R134" s="175">
        <f>IFERROR(ABS(E134-'02_대상물건입력'!B11)/'02_대상물건입력'!B11,"")</f>
        <v/>
      </c>
      <c r="S134" s="152">
        <f>IFERROR(ABS(J134-'02_대상물건입력'!B10),"")</f>
        <v/>
      </c>
      <c r="T134" s="152">
        <f>IFERROR(ABS('01_설정'!B4-F134),"")</f>
        <v/>
      </c>
      <c r="U134" s="152">
        <f>IFERROR(ABS(K134-YEAR('02_대상물건입력'!B14)),"")</f>
        <v/>
      </c>
      <c r="V134" s="152">
        <f>IF(B134="","",IF(AND(E134&gt;0,F134&gt;0,H134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134=1,TRUE()),R134&lt;='01_설정'!B5,S134&lt;='01_설정'!B6,T134&lt;='01_설정'!B7,U134&lt;='01_설정'!B8),"Y",""))</f>
        <v/>
      </c>
      <c r="W134" s="172">
        <f>IF(V134&lt;&gt;"Y","",MAX(0,(1-R134/'01_설정'!B5))*'01_설정'!B14+MAX(0,(1-S134/'01_설정'!B6))*'01_설정'!B15+MAX(0,(1-T134/'01_설정'!B7))*'01_설정'!B16+MAX(0,(1-U134/'01_설정'!B8))*'01_설정'!B17+O134*'01_설정'!B11+Q134*'01_설정'!B12+P134*'01_설정'!B13+IF(Z134="",0,Z134))</f>
        <v/>
      </c>
      <c r="X134" s="152">
        <f>IF(W134="","",1+COUNTIFS($W$4:$W$3003,"&gt;"&amp;W134)+COUNTIFS($W$4:W134,W134)-1)</f>
        <v/>
      </c>
      <c r="Y134" s="175">
        <f>IF(OR(I134="",'02_대상물건입력'!B19="",'02_대상물건입력'!B19&lt;=0),"",ABS(I134-'02_대상물건입력'!B19)/'02_대상물건입력'!B19)</f>
        <v/>
      </c>
      <c r="Z134" s="172">
        <f>IF(OR(Y134="",'01_설정'!B31="",'01_설정'!B31&lt;=0,'01_설정'!B32="",'01_설정'!B32&lt;=0),"",MAX(0,(1-Y134/'01_설정'!B32))*'01_설정'!B31)</f>
        <v/>
      </c>
    </row>
    <row r="135" ht="17.25" customHeight="1">
      <c r="A135" s="152">
        <f>IF(INDEX('04A_국토부원자료'!$A:$A,ROW()+1)="","",ROW()-3)</f>
        <v/>
      </c>
      <c r="B135" s="48">
        <f>IFERROR(INDEX('04A_국토부원자료'!$A:$T,ROW()+1,MATCH("시군구",'04A_국토부원자료'!$A$4:$T$4,0)),"")</f>
        <v/>
      </c>
      <c r="C135" s="48">
        <f>IF(B135="","",IFERROR(INDEX('04A_국토부원자료'!$A:$T,ROW()+1,MATCH("번지",'04A_국토부원자료'!$A$4:$T$4,0)),""))</f>
        <v/>
      </c>
      <c r="D135" s="48">
        <f>IF(B135="","",IF(Q135=1,'02_대상물건입력'!$B$8,IFERROR(INDEX('04A_국토부원자료'!$A:$T,ROW()+1,MATCH("단지명",'04A_국토부원자료'!$A$4:$T$4,0)),"")))</f>
        <v/>
      </c>
      <c r="E135" s="172">
        <f>IFERROR(VALUE(SUBSTITUTE(INDEX('04A_국토부원자료'!$A:$T,ROW()+1,MATCH("전용면적(㎡)",'04A_국토부원자료'!$A$4:$T$4,0)),",","")),"")</f>
        <v/>
      </c>
      <c r="F1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5" s="51">
        <f>IFERROR(VALUE(SUBSTITUTE(INDEX('04A_국토부원자료'!$A:$T,ROW()+1,MATCH("거래금액(만원)",'04A_국토부원자료'!$A$4:$T$4,0)),",","")),"")</f>
        <v/>
      </c>
      <c r="H135" s="174">
        <f>IF(G135="","",G135*10000)</f>
        <v/>
      </c>
      <c r="I135" s="174">
        <f>IFERROR(IF(AND(H135&gt;0,E135&gt;0),H135/E135,""),"")</f>
        <v/>
      </c>
      <c r="J135" s="152">
        <f>IFERROR(VALUE(SUBSTITUTE(INDEX('04A_국토부원자료'!$A:$T,ROW()+1,MATCH("층",'04A_국토부원자료'!$A$4:$T$4,0)),",","")),"")</f>
        <v/>
      </c>
      <c r="K135" s="152">
        <f>IFERROR(VALUE(SUBSTITUTE(INDEX('04A_국토부원자료'!$A:$T,ROW()+1,MATCH("건축년도",'04A_국토부원자료'!$A$4:$T$4,0)),",","")),"")</f>
        <v/>
      </c>
      <c r="L135" s="176">
        <f>IFERROR(INDEX('04A_국토부원자료'!$A:$T,ROW()+1,MATCH("도로명",'04A_국토부원자료'!$A$4:$T$4,0)),"")</f>
        <v/>
      </c>
      <c r="M135" s="48">
        <f>IFERROR(INDEX('04A_국토부원자료'!$A:$T,ROW()+1,MATCH("거래유형",'04A_국토부원자료'!$A$4:$T$4,0)),"")</f>
        <v/>
      </c>
      <c r="N135" s="152">
        <f>IF(B135="","",IF('02_대상물건입력'!B5="",1,IF(ISNUMBER(SEARCH('02_대상물건입력'!B5,B135)),1,0)))</f>
        <v/>
      </c>
      <c r="O135" s="152">
        <f>IF(B135="","",IF('02_대상물건입력'!B6="",1,IF(ISNUMBER(SEARCH('02_대상물건입력'!B6,B135)),1,0)))</f>
        <v/>
      </c>
      <c r="P135" s="152">
        <f>IF(L135="","",IF('02_대상물건입력'!B15="",0,IF(ISNUMBER(SEARCH('02_대상물건입력'!B15,L135)),1,0)))</f>
        <v/>
      </c>
      <c r="Q135" s="152">
        <f>IF(OR(C135="",L135=""),0,IF(AND(TRIM(C135)=TRIM(RIGHT(SUBSTITUTE(TRIM('02_대상물건입력'!$B$7)," ",REPT(" ",99)),99)),IF('02_대상물건입력'!B15="",TRUE(),ISNUMBER(SEARCH('02_대상물건입력'!B15,L135)))),1,0))</f>
        <v/>
      </c>
      <c r="R135" s="175">
        <f>IFERROR(ABS(E135-'02_대상물건입력'!B11)/'02_대상물건입력'!B11,"")</f>
        <v/>
      </c>
      <c r="S135" s="152">
        <f>IFERROR(ABS(J135-'02_대상물건입력'!B10),"")</f>
        <v/>
      </c>
      <c r="T135" s="152">
        <f>IFERROR(ABS('01_설정'!B4-F135),"")</f>
        <v/>
      </c>
      <c r="U135" s="152">
        <f>IFERROR(ABS(K135-YEAR('02_대상물건입력'!B14)),"")</f>
        <v/>
      </c>
      <c r="V135" s="152">
        <f>IF(B135="","",IF(AND(E135&gt;0,F135&gt;0,H135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135=1,TRUE()),R135&lt;='01_설정'!B5,S135&lt;='01_설정'!B6,T135&lt;='01_설정'!B7,U135&lt;='01_설정'!B8),"Y",""))</f>
        <v/>
      </c>
      <c r="W135" s="172">
        <f>IF(V135&lt;&gt;"Y","",MAX(0,(1-R135/'01_설정'!B5))*'01_설정'!B14+MAX(0,(1-S135/'01_설정'!B6))*'01_설정'!B15+MAX(0,(1-T135/'01_설정'!B7))*'01_설정'!B16+MAX(0,(1-U135/'01_설정'!B8))*'01_설정'!B17+O135*'01_설정'!B11+Q135*'01_설정'!B12+P135*'01_설정'!B13+IF(Z135="",0,Z135))</f>
        <v/>
      </c>
      <c r="X135" s="152">
        <f>IF(W135="","",1+COUNTIFS($W$4:$W$3003,"&gt;"&amp;W135)+COUNTIFS($W$4:W135,W135)-1)</f>
        <v/>
      </c>
      <c r="Y135" s="175">
        <f>IF(OR(I135="",'02_대상물건입력'!B19="",'02_대상물건입력'!B19&lt;=0),"",ABS(I135-'02_대상물건입력'!B19)/'02_대상물건입력'!B19)</f>
        <v/>
      </c>
      <c r="Z135" s="172">
        <f>IF(OR(Y135="",'01_설정'!B31="",'01_설정'!B31&lt;=0,'01_설정'!B32="",'01_설정'!B32&lt;=0),"",MAX(0,(1-Y135/'01_설정'!B32))*'01_설정'!B31)</f>
        <v/>
      </c>
    </row>
    <row r="136" ht="17.25" customHeight="1">
      <c r="A136" s="152">
        <f>IF(INDEX('04A_국토부원자료'!$A:$A,ROW()+1)="","",ROW()-3)</f>
        <v/>
      </c>
      <c r="B136" s="48">
        <f>IFERROR(INDEX('04A_국토부원자료'!$A:$T,ROW()+1,MATCH("시군구",'04A_국토부원자료'!$A$4:$T$4,0)),"")</f>
        <v/>
      </c>
      <c r="C136" s="48">
        <f>IF(B136="","",IFERROR(INDEX('04A_국토부원자료'!$A:$T,ROW()+1,MATCH("번지",'04A_국토부원자료'!$A$4:$T$4,0)),""))</f>
        <v/>
      </c>
      <c r="D136" s="48">
        <f>IF(B136="","",IF(Q136=1,'02_대상물건입력'!$B$8,IFERROR(INDEX('04A_국토부원자료'!$A:$T,ROW()+1,MATCH("단지명",'04A_국토부원자료'!$A$4:$T$4,0)),"")))</f>
        <v/>
      </c>
      <c r="E136" s="172">
        <f>IFERROR(VALUE(SUBSTITUTE(INDEX('04A_국토부원자료'!$A:$T,ROW()+1,MATCH("전용면적(㎡)",'04A_국토부원자료'!$A$4:$T$4,0)),",","")),"")</f>
        <v/>
      </c>
      <c r="F1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6" s="51">
        <f>IFERROR(VALUE(SUBSTITUTE(INDEX('04A_국토부원자료'!$A:$T,ROW()+1,MATCH("거래금액(만원)",'04A_국토부원자료'!$A$4:$T$4,0)),",","")),"")</f>
        <v/>
      </c>
      <c r="H136" s="174">
        <f>IF(G136="","",G136*10000)</f>
        <v/>
      </c>
      <c r="I136" s="174">
        <f>IFERROR(IF(AND(H136&gt;0,E136&gt;0),H136/E136,""),"")</f>
        <v/>
      </c>
      <c r="J136" s="152">
        <f>IFERROR(VALUE(SUBSTITUTE(INDEX('04A_국토부원자료'!$A:$T,ROW()+1,MATCH("층",'04A_국토부원자료'!$A$4:$T$4,0)),",","")),"")</f>
        <v/>
      </c>
      <c r="K136" s="152">
        <f>IFERROR(VALUE(SUBSTITUTE(INDEX('04A_국토부원자료'!$A:$T,ROW()+1,MATCH("건축년도",'04A_국토부원자료'!$A$4:$T$4,0)),",","")),"")</f>
        <v/>
      </c>
      <c r="L136" s="176">
        <f>IFERROR(INDEX('04A_국토부원자료'!$A:$T,ROW()+1,MATCH("도로명",'04A_국토부원자료'!$A$4:$T$4,0)),"")</f>
        <v/>
      </c>
      <c r="M136" s="48">
        <f>IFERROR(INDEX('04A_국토부원자료'!$A:$T,ROW()+1,MATCH("거래유형",'04A_국토부원자료'!$A$4:$T$4,0)),"")</f>
        <v/>
      </c>
      <c r="N136" s="152">
        <f>IF(B136="","",IF('02_대상물건입력'!B5="",1,IF(ISNUMBER(SEARCH('02_대상물건입력'!B5,B136)),1,0)))</f>
        <v/>
      </c>
      <c r="O136" s="152">
        <f>IF(B136="","",IF('02_대상물건입력'!B6="",1,IF(ISNUMBER(SEARCH('02_대상물건입력'!B6,B136)),1,0)))</f>
        <v/>
      </c>
      <c r="P136" s="152">
        <f>IF(L136="","",IF('02_대상물건입력'!B15="",0,IF(ISNUMBER(SEARCH('02_대상물건입력'!B15,L136)),1,0)))</f>
        <v/>
      </c>
      <c r="Q136" s="152">
        <f>IF(OR(C136="",L136=""),0,IF(AND(TRIM(C136)=TRIM(RIGHT(SUBSTITUTE(TRIM('02_대상물건입력'!$B$7)," ",REPT(" ",99)),99)),IF('02_대상물건입력'!B15="",TRUE(),ISNUMBER(SEARCH('02_대상물건입력'!B15,L136)))),1,0))</f>
        <v/>
      </c>
      <c r="R136" s="175">
        <f>IFERROR(ABS(E136-'02_대상물건입력'!B11)/'02_대상물건입력'!B11,"")</f>
        <v/>
      </c>
      <c r="S136" s="152">
        <f>IFERROR(ABS(J136-'02_대상물건입력'!B10),"")</f>
        <v/>
      </c>
      <c r="T136" s="152">
        <f>IFERROR(ABS('01_설정'!B4-F136),"")</f>
        <v/>
      </c>
      <c r="U136" s="152">
        <f>IFERROR(ABS(K136-YEAR('02_대상물건입력'!B14)),"")</f>
        <v/>
      </c>
      <c r="V136" s="152">
        <f>IF(B136="","",IF(AND(E136&gt;0,F136&gt;0,H136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136=1,TRUE()),R136&lt;='01_설정'!B5,S136&lt;='01_설정'!B6,T136&lt;='01_설정'!B7,U136&lt;='01_설정'!B8),"Y",""))</f>
        <v/>
      </c>
      <c r="W136" s="172">
        <f>IF(V136&lt;&gt;"Y","",MAX(0,(1-R136/'01_설정'!B5))*'01_설정'!B14+MAX(0,(1-S136/'01_설정'!B6))*'01_설정'!B15+MAX(0,(1-T136/'01_설정'!B7))*'01_설정'!B16+MAX(0,(1-U136/'01_설정'!B8))*'01_설정'!B17+O136*'01_설정'!B11+Q136*'01_설정'!B12+P136*'01_설정'!B13+IF(Z136="",0,Z136))</f>
        <v/>
      </c>
      <c r="X136" s="152">
        <f>IF(W136="","",1+COUNTIFS($W$4:$W$3003,"&gt;"&amp;W136)+COUNTIFS($W$4:W136,W136)-1)</f>
        <v/>
      </c>
      <c r="Y136" s="175">
        <f>IF(OR(I136="",'02_대상물건입력'!B19="",'02_대상물건입력'!B19&lt;=0),"",ABS(I136-'02_대상물건입력'!B19)/'02_대상물건입력'!B19)</f>
        <v/>
      </c>
      <c r="Z136" s="172">
        <f>IF(OR(Y136="",'01_설정'!B31="",'01_설정'!B31&lt;=0,'01_설정'!B32="",'01_설정'!B32&lt;=0),"",MAX(0,(1-Y136/'01_설정'!B32))*'01_설정'!B31)</f>
        <v/>
      </c>
    </row>
    <row r="137" ht="17.25" customHeight="1">
      <c r="A137" s="152">
        <f>IF(INDEX('04A_국토부원자료'!$A:$A,ROW()+1)="","",ROW()-3)</f>
        <v/>
      </c>
      <c r="B137" s="48">
        <f>IFERROR(INDEX('04A_국토부원자료'!$A:$T,ROW()+1,MATCH("시군구",'04A_국토부원자료'!$A$4:$T$4,0)),"")</f>
        <v/>
      </c>
      <c r="C137" s="48">
        <f>IF(B137="","",IFERROR(INDEX('04A_국토부원자료'!$A:$T,ROW()+1,MATCH("번지",'04A_국토부원자료'!$A$4:$T$4,0)),""))</f>
        <v/>
      </c>
      <c r="D137" s="48">
        <f>IF(B137="","",IF(Q137=1,'02_대상물건입력'!$B$8,IFERROR(INDEX('04A_국토부원자료'!$A:$T,ROW()+1,MATCH("단지명",'04A_국토부원자료'!$A$4:$T$4,0)),"")))</f>
        <v/>
      </c>
      <c r="E137" s="172">
        <f>IFERROR(VALUE(SUBSTITUTE(INDEX('04A_국토부원자료'!$A:$T,ROW()+1,MATCH("전용면적(㎡)",'04A_국토부원자료'!$A$4:$T$4,0)),",","")),"")</f>
        <v/>
      </c>
      <c r="F1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7" s="51">
        <f>IFERROR(VALUE(SUBSTITUTE(INDEX('04A_국토부원자료'!$A:$T,ROW()+1,MATCH("거래금액(만원)",'04A_국토부원자료'!$A$4:$T$4,0)),",","")),"")</f>
        <v/>
      </c>
      <c r="H137" s="174">
        <f>IF(G137="","",G137*10000)</f>
        <v/>
      </c>
      <c r="I137" s="174">
        <f>IFERROR(IF(AND(H137&gt;0,E137&gt;0),H137/E137,""),"")</f>
        <v/>
      </c>
      <c r="J137" s="152">
        <f>IFERROR(VALUE(SUBSTITUTE(INDEX('04A_국토부원자료'!$A:$T,ROW()+1,MATCH("층",'04A_국토부원자료'!$A$4:$T$4,0)),",","")),"")</f>
        <v/>
      </c>
      <c r="K137" s="152">
        <f>IFERROR(VALUE(SUBSTITUTE(INDEX('04A_국토부원자료'!$A:$T,ROW()+1,MATCH("건축년도",'04A_국토부원자료'!$A$4:$T$4,0)),",","")),"")</f>
        <v/>
      </c>
      <c r="L137" s="176">
        <f>IFERROR(INDEX('04A_국토부원자료'!$A:$T,ROW()+1,MATCH("도로명",'04A_국토부원자료'!$A$4:$T$4,0)),"")</f>
        <v/>
      </c>
      <c r="M137" s="48">
        <f>IFERROR(INDEX('04A_국토부원자료'!$A:$T,ROW()+1,MATCH("거래유형",'04A_국토부원자료'!$A$4:$T$4,0)),"")</f>
        <v/>
      </c>
      <c r="N137" s="152">
        <f>IF(B137="","",IF('02_대상물건입력'!B5="",1,IF(ISNUMBER(SEARCH('02_대상물건입력'!B5,B137)),1,0)))</f>
        <v/>
      </c>
      <c r="O137" s="152">
        <f>IF(B137="","",IF('02_대상물건입력'!B6="",1,IF(ISNUMBER(SEARCH('02_대상물건입력'!B6,B137)),1,0)))</f>
        <v/>
      </c>
      <c r="P137" s="152">
        <f>IF(L137="","",IF('02_대상물건입력'!B15="",0,IF(ISNUMBER(SEARCH('02_대상물건입력'!B15,L137)),1,0)))</f>
        <v/>
      </c>
      <c r="Q137" s="152">
        <f>IF(OR(C137="",L137=""),0,IF(AND(TRIM(C137)=TRIM(RIGHT(SUBSTITUTE(TRIM('02_대상물건입력'!$B$7)," ",REPT(" ",99)),99)),IF('02_대상물건입력'!B15="",TRUE(),ISNUMBER(SEARCH('02_대상물건입력'!B15,L137)))),1,0))</f>
        <v/>
      </c>
      <c r="R137" s="175">
        <f>IFERROR(ABS(E137-'02_대상물건입력'!B11)/'02_대상물건입력'!B11,"")</f>
        <v/>
      </c>
      <c r="S137" s="152">
        <f>IFERROR(ABS(J137-'02_대상물건입력'!B10),"")</f>
        <v/>
      </c>
      <c r="T137" s="152">
        <f>IFERROR(ABS('01_설정'!B4-F137),"")</f>
        <v/>
      </c>
      <c r="U137" s="152">
        <f>IFERROR(ABS(K137-YEAR('02_대상물건입력'!B14)),"")</f>
        <v/>
      </c>
      <c r="V137" s="152">
        <f>IF(B137="","",IF(AND(E137&gt;0,F137&gt;0,H137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137=1,TRUE()),R137&lt;='01_설정'!B5,S137&lt;='01_설정'!B6,T137&lt;='01_설정'!B7,U137&lt;='01_설정'!B8),"Y",""))</f>
        <v/>
      </c>
      <c r="W137" s="172">
        <f>IF(V137&lt;&gt;"Y","",MAX(0,(1-R137/'01_설정'!B5))*'01_설정'!B14+MAX(0,(1-S137/'01_설정'!B6))*'01_설정'!B15+MAX(0,(1-T137/'01_설정'!B7))*'01_설정'!B16+MAX(0,(1-U137/'01_설정'!B8))*'01_설정'!B17+O137*'01_설정'!B11+Q137*'01_설정'!B12+P137*'01_설정'!B13+IF(Z137="",0,Z137))</f>
        <v/>
      </c>
      <c r="X137" s="152">
        <f>IF(W137="","",1+COUNTIFS($W$4:$W$3003,"&gt;"&amp;W137)+COUNTIFS($W$4:W137,W137)-1)</f>
        <v/>
      </c>
      <c r="Y137" s="175">
        <f>IF(OR(I137="",'02_대상물건입력'!B19="",'02_대상물건입력'!B19&lt;=0),"",ABS(I137-'02_대상물건입력'!B19)/'02_대상물건입력'!B19)</f>
        <v/>
      </c>
      <c r="Z137" s="172">
        <f>IF(OR(Y137="",'01_설정'!B31="",'01_설정'!B31&lt;=0,'01_설정'!B32="",'01_설정'!B32&lt;=0),"",MAX(0,(1-Y137/'01_설정'!B32))*'01_설정'!B31)</f>
        <v/>
      </c>
    </row>
    <row r="138" ht="17.25" customHeight="1">
      <c r="A138" s="152">
        <f>IF(INDEX('04A_국토부원자료'!$A:$A,ROW()+1)="","",ROW()-3)</f>
        <v/>
      </c>
      <c r="B138" s="48">
        <f>IFERROR(INDEX('04A_국토부원자료'!$A:$T,ROW()+1,MATCH("시군구",'04A_국토부원자료'!$A$4:$T$4,0)),"")</f>
        <v/>
      </c>
      <c r="C138" s="48">
        <f>IF(B138="","",IFERROR(INDEX('04A_국토부원자료'!$A:$T,ROW()+1,MATCH("번지",'04A_국토부원자료'!$A$4:$T$4,0)),""))</f>
        <v/>
      </c>
      <c r="D138" s="48">
        <f>IF(B138="","",IF(Q138=1,'02_대상물건입력'!$B$8,IFERROR(INDEX('04A_국토부원자료'!$A:$T,ROW()+1,MATCH("단지명",'04A_국토부원자료'!$A$4:$T$4,0)),"")))</f>
        <v/>
      </c>
      <c r="E138" s="172">
        <f>IFERROR(VALUE(SUBSTITUTE(INDEX('04A_국토부원자료'!$A:$T,ROW()+1,MATCH("전용면적(㎡)",'04A_국토부원자료'!$A$4:$T$4,0)),",","")),"")</f>
        <v/>
      </c>
      <c r="F1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8" s="51">
        <f>IFERROR(VALUE(SUBSTITUTE(INDEX('04A_국토부원자료'!$A:$T,ROW()+1,MATCH("거래금액(만원)",'04A_국토부원자료'!$A$4:$T$4,0)),",","")),"")</f>
        <v/>
      </c>
      <c r="H138" s="174">
        <f>IF(G138="","",G138*10000)</f>
        <v/>
      </c>
      <c r="I138" s="174">
        <f>IFERROR(IF(AND(H138&gt;0,E138&gt;0),H138/E138,""),"")</f>
        <v/>
      </c>
      <c r="J138" s="152">
        <f>IFERROR(VALUE(SUBSTITUTE(INDEX('04A_국토부원자료'!$A:$T,ROW()+1,MATCH("층",'04A_국토부원자료'!$A$4:$T$4,0)),",","")),"")</f>
        <v/>
      </c>
      <c r="K138" s="152">
        <f>IFERROR(VALUE(SUBSTITUTE(INDEX('04A_국토부원자료'!$A:$T,ROW()+1,MATCH("건축년도",'04A_국토부원자료'!$A$4:$T$4,0)),",","")),"")</f>
        <v/>
      </c>
      <c r="L138" s="176">
        <f>IFERROR(INDEX('04A_국토부원자료'!$A:$T,ROW()+1,MATCH("도로명",'04A_국토부원자료'!$A$4:$T$4,0)),"")</f>
        <v/>
      </c>
      <c r="M138" s="48">
        <f>IFERROR(INDEX('04A_국토부원자료'!$A:$T,ROW()+1,MATCH("거래유형",'04A_국토부원자료'!$A$4:$T$4,0)),"")</f>
        <v/>
      </c>
      <c r="N138" s="152">
        <f>IF(B138="","",IF('02_대상물건입력'!B5="",1,IF(ISNUMBER(SEARCH('02_대상물건입력'!B5,B138)),1,0)))</f>
        <v/>
      </c>
      <c r="O138" s="152">
        <f>IF(B138="","",IF('02_대상물건입력'!B6="",1,IF(ISNUMBER(SEARCH('02_대상물건입력'!B6,B138)),1,0)))</f>
        <v/>
      </c>
      <c r="P138" s="152">
        <f>IF(L138="","",IF('02_대상물건입력'!B15="",0,IF(ISNUMBER(SEARCH('02_대상물건입력'!B15,L138)),1,0)))</f>
        <v/>
      </c>
      <c r="Q138" s="152">
        <f>IF(OR(C138="",L138=""),0,IF(AND(TRIM(C138)=TRIM(RIGHT(SUBSTITUTE(TRIM('02_대상물건입력'!$B$7)," ",REPT(" ",99)),99)),IF('02_대상물건입력'!B15="",TRUE(),ISNUMBER(SEARCH('02_대상물건입력'!B15,L138)))),1,0))</f>
        <v/>
      </c>
      <c r="R138" s="175">
        <f>IFERROR(ABS(E138-'02_대상물건입력'!B11)/'02_대상물건입력'!B11,"")</f>
        <v/>
      </c>
      <c r="S138" s="152">
        <f>IFERROR(ABS(J138-'02_대상물건입력'!B10),"")</f>
        <v/>
      </c>
      <c r="T138" s="152">
        <f>IFERROR(ABS('01_설정'!B4-F138),"")</f>
        <v/>
      </c>
      <c r="U138" s="152">
        <f>IFERROR(ABS(K138-YEAR('02_대상물건입력'!B14)),"")</f>
        <v/>
      </c>
      <c r="V138" s="152">
        <f>IF(B138="","",IF(AND(E138&gt;0,F138&gt;0,H138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138=1,TRUE()),R138&lt;='01_설정'!B5,S138&lt;='01_설정'!B6,T138&lt;='01_설정'!B7,U138&lt;='01_설정'!B8),"Y",""))</f>
        <v/>
      </c>
      <c r="W138" s="172">
        <f>IF(V138&lt;&gt;"Y","",MAX(0,(1-R138/'01_설정'!B5))*'01_설정'!B14+MAX(0,(1-S138/'01_설정'!B6))*'01_설정'!B15+MAX(0,(1-T138/'01_설정'!B7))*'01_설정'!B16+MAX(0,(1-U138/'01_설정'!B8))*'01_설정'!B17+O138*'01_설정'!B11+Q138*'01_설정'!B12+P138*'01_설정'!B13+IF(Z138="",0,Z138))</f>
        <v/>
      </c>
      <c r="X138" s="152">
        <f>IF(W138="","",1+COUNTIFS($W$4:$W$3003,"&gt;"&amp;W138)+COUNTIFS($W$4:W138,W138)-1)</f>
        <v/>
      </c>
      <c r="Y138" s="175">
        <f>IF(OR(I138="",'02_대상물건입력'!B19="",'02_대상물건입력'!B19&lt;=0),"",ABS(I138-'02_대상물건입력'!B19)/'02_대상물건입력'!B19)</f>
        <v/>
      </c>
      <c r="Z138" s="172">
        <f>IF(OR(Y138="",'01_설정'!B31="",'01_설정'!B31&lt;=0,'01_설정'!B32="",'01_설정'!B32&lt;=0),"",MAX(0,(1-Y138/'01_설정'!B32))*'01_설정'!B31)</f>
        <v/>
      </c>
    </row>
    <row r="139" ht="17.25" customHeight="1">
      <c r="A139" s="152">
        <f>IF(INDEX('04A_국토부원자료'!$A:$A,ROW()+1)="","",ROW()-3)</f>
        <v/>
      </c>
      <c r="B139" s="48">
        <f>IFERROR(INDEX('04A_국토부원자료'!$A:$T,ROW()+1,MATCH("시군구",'04A_국토부원자료'!$A$4:$T$4,0)),"")</f>
        <v/>
      </c>
      <c r="C139" s="48">
        <f>IF(B139="","",IFERROR(INDEX('04A_국토부원자료'!$A:$T,ROW()+1,MATCH("번지",'04A_국토부원자료'!$A$4:$T$4,0)),""))</f>
        <v/>
      </c>
      <c r="D139" s="48">
        <f>IF(B139="","",IF(Q139=1,'02_대상물건입력'!$B$8,IFERROR(INDEX('04A_국토부원자료'!$A:$T,ROW()+1,MATCH("단지명",'04A_국토부원자료'!$A$4:$T$4,0)),"")))</f>
        <v/>
      </c>
      <c r="E139" s="172">
        <f>IFERROR(VALUE(SUBSTITUTE(INDEX('04A_국토부원자료'!$A:$T,ROW()+1,MATCH("전용면적(㎡)",'04A_국토부원자료'!$A$4:$T$4,0)),",","")),"")</f>
        <v/>
      </c>
      <c r="F1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9" s="51">
        <f>IFERROR(VALUE(SUBSTITUTE(INDEX('04A_국토부원자료'!$A:$T,ROW()+1,MATCH("거래금액(만원)",'04A_국토부원자료'!$A$4:$T$4,0)),",","")),"")</f>
        <v/>
      </c>
      <c r="H139" s="174">
        <f>IF(G139="","",G139*10000)</f>
        <v/>
      </c>
      <c r="I139" s="174">
        <f>IFERROR(IF(AND(H139&gt;0,E139&gt;0),H139/E139,""),"")</f>
        <v/>
      </c>
      <c r="J139" s="152">
        <f>IFERROR(VALUE(SUBSTITUTE(INDEX('04A_국토부원자료'!$A:$T,ROW()+1,MATCH("층",'04A_국토부원자료'!$A$4:$T$4,0)),",","")),"")</f>
        <v/>
      </c>
      <c r="K139" s="152">
        <f>IFERROR(VALUE(SUBSTITUTE(INDEX('04A_국토부원자료'!$A:$T,ROW()+1,MATCH("건축년도",'04A_국토부원자료'!$A$4:$T$4,0)),",","")),"")</f>
        <v/>
      </c>
      <c r="L139" s="176">
        <f>IFERROR(INDEX('04A_국토부원자료'!$A:$T,ROW()+1,MATCH("도로명",'04A_국토부원자료'!$A$4:$T$4,0)),"")</f>
        <v/>
      </c>
      <c r="M139" s="48">
        <f>IFERROR(INDEX('04A_국토부원자료'!$A:$T,ROW()+1,MATCH("거래유형",'04A_국토부원자료'!$A$4:$T$4,0)),"")</f>
        <v/>
      </c>
      <c r="N139" s="152">
        <f>IF(B139="","",IF('02_대상물건입력'!B5="",1,IF(ISNUMBER(SEARCH('02_대상물건입력'!B5,B139)),1,0)))</f>
        <v/>
      </c>
      <c r="O139" s="152">
        <f>IF(B139="","",IF('02_대상물건입력'!B6="",1,IF(ISNUMBER(SEARCH('02_대상물건입력'!B6,B139)),1,0)))</f>
        <v/>
      </c>
      <c r="P139" s="152">
        <f>IF(L139="","",IF('02_대상물건입력'!B15="",0,IF(ISNUMBER(SEARCH('02_대상물건입력'!B15,L139)),1,0)))</f>
        <v/>
      </c>
      <c r="Q139" s="152">
        <f>IF(OR(C139="",L139=""),0,IF(AND(TRIM(C139)=TRIM(RIGHT(SUBSTITUTE(TRIM('02_대상물건입력'!$B$7)," ",REPT(" ",99)),99)),IF('02_대상물건입력'!B15="",TRUE(),ISNUMBER(SEARCH('02_대상물건입력'!B15,L139)))),1,0))</f>
        <v/>
      </c>
      <c r="R139" s="175">
        <f>IFERROR(ABS(E139-'02_대상물건입력'!B11)/'02_대상물건입력'!B11,"")</f>
        <v/>
      </c>
      <c r="S139" s="152">
        <f>IFERROR(ABS(J139-'02_대상물건입력'!B10),"")</f>
        <v/>
      </c>
      <c r="T139" s="152">
        <f>IFERROR(ABS('01_설정'!B4-F139),"")</f>
        <v/>
      </c>
      <c r="U139" s="152">
        <f>IFERROR(ABS(K139-YEAR('02_대상물건입력'!B14)),"")</f>
        <v/>
      </c>
      <c r="V139" s="152">
        <f>IF(B139="","",IF(AND(E139&gt;0,F139&gt;0,H139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139=1,TRUE()),R139&lt;='01_설정'!B5,S139&lt;='01_설정'!B6,T139&lt;='01_설정'!B7,U139&lt;='01_설정'!B8),"Y",""))</f>
        <v/>
      </c>
      <c r="W139" s="172">
        <f>IF(V139&lt;&gt;"Y","",MAX(0,(1-R139/'01_설정'!B5))*'01_설정'!B14+MAX(0,(1-S139/'01_설정'!B6))*'01_설정'!B15+MAX(0,(1-T139/'01_설정'!B7))*'01_설정'!B16+MAX(0,(1-U139/'01_설정'!B8))*'01_설정'!B17+O139*'01_설정'!B11+Q139*'01_설정'!B12+P139*'01_설정'!B13+IF(Z139="",0,Z139))</f>
        <v/>
      </c>
      <c r="X139" s="152">
        <f>IF(W139="","",1+COUNTIFS($W$4:$W$3003,"&gt;"&amp;W139)+COUNTIFS($W$4:W139,W139)-1)</f>
        <v/>
      </c>
      <c r="Y139" s="175">
        <f>IF(OR(I139="",'02_대상물건입력'!B19="",'02_대상물건입력'!B19&lt;=0),"",ABS(I139-'02_대상물건입력'!B19)/'02_대상물건입력'!B19)</f>
        <v/>
      </c>
      <c r="Z139" s="172">
        <f>IF(OR(Y139="",'01_설정'!B31="",'01_설정'!B31&lt;=0,'01_설정'!B32="",'01_설정'!B32&lt;=0),"",MAX(0,(1-Y139/'01_설정'!B32))*'01_설정'!B31)</f>
        <v/>
      </c>
    </row>
    <row r="140" ht="17.25" customHeight="1">
      <c r="A140" s="152">
        <f>IF(INDEX('04A_국토부원자료'!$A:$A,ROW()+1)="","",ROW()-3)</f>
        <v/>
      </c>
      <c r="B140" s="48">
        <f>IFERROR(INDEX('04A_국토부원자료'!$A:$T,ROW()+1,MATCH("시군구",'04A_국토부원자료'!$A$4:$T$4,0)),"")</f>
        <v/>
      </c>
      <c r="C140" s="48">
        <f>IF(B140="","",IFERROR(INDEX('04A_국토부원자료'!$A:$T,ROW()+1,MATCH("번지",'04A_국토부원자료'!$A$4:$T$4,0)),""))</f>
        <v/>
      </c>
      <c r="D140" s="48">
        <f>IF(B140="","",IF(Q140=1,'02_대상물건입력'!$B$8,IFERROR(INDEX('04A_국토부원자료'!$A:$T,ROW()+1,MATCH("단지명",'04A_국토부원자료'!$A$4:$T$4,0)),"")))</f>
        <v/>
      </c>
      <c r="E140" s="172">
        <f>IFERROR(VALUE(SUBSTITUTE(INDEX('04A_국토부원자료'!$A:$T,ROW()+1,MATCH("전용면적(㎡)",'04A_국토부원자료'!$A$4:$T$4,0)),",","")),"")</f>
        <v/>
      </c>
      <c r="F1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0" s="51">
        <f>IFERROR(VALUE(SUBSTITUTE(INDEX('04A_국토부원자료'!$A:$T,ROW()+1,MATCH("거래금액(만원)",'04A_국토부원자료'!$A$4:$T$4,0)),",","")),"")</f>
        <v/>
      </c>
      <c r="H140" s="174">
        <f>IF(G140="","",G140*10000)</f>
        <v/>
      </c>
      <c r="I140" s="174">
        <f>IFERROR(IF(AND(H140&gt;0,E140&gt;0),H140/E140,""),"")</f>
        <v/>
      </c>
      <c r="J140" s="152">
        <f>IFERROR(VALUE(SUBSTITUTE(INDEX('04A_국토부원자료'!$A:$T,ROW()+1,MATCH("층",'04A_국토부원자료'!$A$4:$T$4,0)),",","")),"")</f>
        <v/>
      </c>
      <c r="K140" s="152">
        <f>IFERROR(VALUE(SUBSTITUTE(INDEX('04A_국토부원자료'!$A:$T,ROW()+1,MATCH("건축년도",'04A_국토부원자료'!$A$4:$T$4,0)),",","")),"")</f>
        <v/>
      </c>
      <c r="L140" s="176">
        <f>IFERROR(INDEX('04A_국토부원자료'!$A:$T,ROW()+1,MATCH("도로명",'04A_국토부원자료'!$A$4:$T$4,0)),"")</f>
        <v/>
      </c>
      <c r="M140" s="48">
        <f>IFERROR(INDEX('04A_국토부원자료'!$A:$T,ROW()+1,MATCH("거래유형",'04A_국토부원자료'!$A$4:$T$4,0)),"")</f>
        <v/>
      </c>
      <c r="N140" s="152">
        <f>IF(B140="","",IF('02_대상물건입력'!B5="",1,IF(ISNUMBER(SEARCH('02_대상물건입력'!B5,B140)),1,0)))</f>
        <v/>
      </c>
      <c r="O140" s="152">
        <f>IF(B140="","",IF('02_대상물건입력'!B6="",1,IF(ISNUMBER(SEARCH('02_대상물건입력'!B6,B140)),1,0)))</f>
        <v/>
      </c>
      <c r="P140" s="152">
        <f>IF(L140="","",IF('02_대상물건입력'!B15="",0,IF(ISNUMBER(SEARCH('02_대상물건입력'!B15,L140)),1,0)))</f>
        <v/>
      </c>
      <c r="Q140" s="152">
        <f>IF(OR(C140="",L140=""),0,IF(AND(TRIM(C140)=TRIM(RIGHT(SUBSTITUTE(TRIM('02_대상물건입력'!$B$7)," ",REPT(" ",99)),99)),IF('02_대상물건입력'!B15="",TRUE(),ISNUMBER(SEARCH('02_대상물건입력'!B15,L140)))),1,0))</f>
        <v/>
      </c>
      <c r="R140" s="175">
        <f>IFERROR(ABS(E140-'02_대상물건입력'!B11)/'02_대상물건입력'!B11,"")</f>
        <v/>
      </c>
      <c r="S140" s="152">
        <f>IFERROR(ABS(J140-'02_대상물건입력'!B10),"")</f>
        <v/>
      </c>
      <c r="T140" s="152">
        <f>IFERROR(ABS('01_설정'!B4-F140),"")</f>
        <v/>
      </c>
      <c r="U140" s="152">
        <f>IFERROR(ABS(K140-YEAR('02_대상물건입력'!B14)),"")</f>
        <v/>
      </c>
      <c r="V140" s="152">
        <f>IF(B140="","",IF(AND(E140&gt;0,F140&gt;0,H140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140=1,TRUE()),R140&lt;='01_설정'!B5,S140&lt;='01_설정'!B6,T140&lt;='01_설정'!B7,U140&lt;='01_설정'!B8),"Y",""))</f>
        <v/>
      </c>
      <c r="W140" s="172">
        <f>IF(V140&lt;&gt;"Y","",MAX(0,(1-R140/'01_설정'!B5))*'01_설정'!B14+MAX(0,(1-S140/'01_설정'!B6))*'01_설정'!B15+MAX(0,(1-T140/'01_설정'!B7))*'01_설정'!B16+MAX(0,(1-U140/'01_설정'!B8))*'01_설정'!B17+O140*'01_설정'!B11+Q140*'01_설정'!B12+P140*'01_설정'!B13+IF(Z140="",0,Z140))</f>
        <v/>
      </c>
      <c r="X140" s="152">
        <f>IF(W140="","",1+COUNTIFS($W$4:$W$3003,"&gt;"&amp;W140)+COUNTIFS($W$4:W140,W140)-1)</f>
        <v/>
      </c>
      <c r="Y140" s="175">
        <f>IF(OR(I140="",'02_대상물건입력'!B19="",'02_대상물건입력'!B19&lt;=0),"",ABS(I140-'02_대상물건입력'!B19)/'02_대상물건입력'!B19)</f>
        <v/>
      </c>
      <c r="Z140" s="172">
        <f>IF(OR(Y140="",'01_설정'!B31="",'01_설정'!B31&lt;=0,'01_설정'!B32="",'01_설정'!B32&lt;=0),"",MAX(0,(1-Y140/'01_설정'!B32))*'01_설정'!B31)</f>
        <v/>
      </c>
    </row>
    <row r="141" ht="17.25" customHeight="1">
      <c r="A141" s="152">
        <f>IF(INDEX('04A_국토부원자료'!$A:$A,ROW()+1)="","",ROW()-3)</f>
        <v/>
      </c>
      <c r="B141" s="48">
        <f>IFERROR(INDEX('04A_국토부원자료'!$A:$T,ROW()+1,MATCH("시군구",'04A_국토부원자료'!$A$4:$T$4,0)),"")</f>
        <v/>
      </c>
      <c r="C141" s="48">
        <f>IF(B141="","",IFERROR(INDEX('04A_국토부원자료'!$A:$T,ROW()+1,MATCH("번지",'04A_국토부원자료'!$A$4:$T$4,0)),""))</f>
        <v/>
      </c>
      <c r="D141" s="48">
        <f>IF(B141="","",IF(Q141=1,'02_대상물건입력'!$B$8,IFERROR(INDEX('04A_국토부원자료'!$A:$T,ROW()+1,MATCH("단지명",'04A_국토부원자료'!$A$4:$T$4,0)),"")))</f>
        <v/>
      </c>
      <c r="E141" s="172">
        <f>IFERROR(VALUE(SUBSTITUTE(INDEX('04A_국토부원자료'!$A:$T,ROW()+1,MATCH("전용면적(㎡)",'04A_국토부원자료'!$A$4:$T$4,0)),",","")),"")</f>
        <v/>
      </c>
      <c r="F1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1" s="51">
        <f>IFERROR(VALUE(SUBSTITUTE(INDEX('04A_국토부원자료'!$A:$T,ROW()+1,MATCH("거래금액(만원)",'04A_국토부원자료'!$A$4:$T$4,0)),",","")),"")</f>
        <v/>
      </c>
      <c r="H141" s="174">
        <f>IF(G141="","",G141*10000)</f>
        <v/>
      </c>
      <c r="I141" s="174">
        <f>IFERROR(IF(AND(H141&gt;0,E141&gt;0),H141/E141,""),"")</f>
        <v/>
      </c>
      <c r="J141" s="152">
        <f>IFERROR(VALUE(SUBSTITUTE(INDEX('04A_국토부원자료'!$A:$T,ROW()+1,MATCH("층",'04A_국토부원자료'!$A$4:$T$4,0)),",","")),"")</f>
        <v/>
      </c>
      <c r="K141" s="152">
        <f>IFERROR(VALUE(SUBSTITUTE(INDEX('04A_국토부원자료'!$A:$T,ROW()+1,MATCH("건축년도",'04A_국토부원자료'!$A$4:$T$4,0)),",","")),"")</f>
        <v/>
      </c>
      <c r="L141" s="176">
        <f>IFERROR(INDEX('04A_국토부원자료'!$A:$T,ROW()+1,MATCH("도로명",'04A_국토부원자료'!$A$4:$T$4,0)),"")</f>
        <v/>
      </c>
      <c r="M141" s="48">
        <f>IFERROR(INDEX('04A_국토부원자료'!$A:$T,ROW()+1,MATCH("거래유형",'04A_국토부원자료'!$A$4:$T$4,0)),"")</f>
        <v/>
      </c>
      <c r="N141" s="152">
        <f>IF(B141="","",IF('02_대상물건입력'!B5="",1,IF(ISNUMBER(SEARCH('02_대상물건입력'!B5,B141)),1,0)))</f>
        <v/>
      </c>
      <c r="O141" s="152">
        <f>IF(B141="","",IF('02_대상물건입력'!B6="",1,IF(ISNUMBER(SEARCH('02_대상물건입력'!B6,B141)),1,0)))</f>
        <v/>
      </c>
      <c r="P141" s="152">
        <f>IF(L141="","",IF('02_대상물건입력'!B15="",0,IF(ISNUMBER(SEARCH('02_대상물건입력'!B15,L141)),1,0)))</f>
        <v/>
      </c>
      <c r="Q141" s="152">
        <f>IF(OR(C141="",L141=""),0,IF(AND(TRIM(C141)=TRIM(RIGHT(SUBSTITUTE(TRIM('02_대상물건입력'!$B$7)," ",REPT(" ",99)),99)),IF('02_대상물건입력'!B15="",TRUE(),ISNUMBER(SEARCH('02_대상물건입력'!B15,L141)))),1,0))</f>
        <v/>
      </c>
      <c r="R141" s="175">
        <f>IFERROR(ABS(E141-'02_대상물건입력'!B11)/'02_대상물건입력'!B11,"")</f>
        <v/>
      </c>
      <c r="S141" s="152">
        <f>IFERROR(ABS(J141-'02_대상물건입력'!B10),"")</f>
        <v/>
      </c>
      <c r="T141" s="152">
        <f>IFERROR(ABS('01_설정'!B4-F141),"")</f>
        <v/>
      </c>
      <c r="U141" s="152">
        <f>IFERROR(ABS(K141-YEAR('02_대상물건입력'!B14)),"")</f>
        <v/>
      </c>
      <c r="V141" s="152">
        <f>IF(B141="","",IF(AND(E141&gt;0,F141&gt;0,H141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141=1,TRUE()),R141&lt;='01_설정'!B5,S141&lt;='01_설정'!B6,T141&lt;='01_설정'!B7,U141&lt;='01_설정'!B8),"Y",""))</f>
        <v/>
      </c>
      <c r="W141" s="172">
        <f>IF(V141&lt;&gt;"Y","",MAX(0,(1-R141/'01_설정'!B5))*'01_설정'!B14+MAX(0,(1-S141/'01_설정'!B6))*'01_설정'!B15+MAX(0,(1-T141/'01_설정'!B7))*'01_설정'!B16+MAX(0,(1-U141/'01_설정'!B8))*'01_설정'!B17+O141*'01_설정'!B11+Q141*'01_설정'!B12+P141*'01_설정'!B13+IF(Z141="",0,Z141))</f>
        <v/>
      </c>
      <c r="X141" s="152">
        <f>IF(W141="","",1+COUNTIFS($W$4:$W$3003,"&gt;"&amp;W141)+COUNTIFS($W$4:W141,W141)-1)</f>
        <v/>
      </c>
      <c r="Y141" s="175">
        <f>IF(OR(I141="",'02_대상물건입력'!B19="",'02_대상물건입력'!B19&lt;=0),"",ABS(I141-'02_대상물건입력'!B19)/'02_대상물건입력'!B19)</f>
        <v/>
      </c>
      <c r="Z141" s="172">
        <f>IF(OR(Y141="",'01_설정'!B31="",'01_설정'!B31&lt;=0,'01_설정'!B32="",'01_설정'!B32&lt;=0),"",MAX(0,(1-Y141/'01_설정'!B32))*'01_설정'!B31)</f>
        <v/>
      </c>
    </row>
    <row r="142" ht="17.25" customHeight="1">
      <c r="A142" s="152">
        <f>IF(INDEX('04A_국토부원자료'!$A:$A,ROW()+1)="","",ROW()-3)</f>
        <v/>
      </c>
      <c r="B142" s="48">
        <f>IFERROR(INDEX('04A_국토부원자료'!$A:$T,ROW()+1,MATCH("시군구",'04A_국토부원자료'!$A$4:$T$4,0)),"")</f>
        <v/>
      </c>
      <c r="C142" s="48">
        <f>IF(B142="","",IFERROR(INDEX('04A_국토부원자료'!$A:$T,ROW()+1,MATCH("번지",'04A_국토부원자료'!$A$4:$T$4,0)),""))</f>
        <v/>
      </c>
      <c r="D142" s="48">
        <f>IF(B142="","",IF(Q142=1,'02_대상물건입력'!$B$8,IFERROR(INDEX('04A_국토부원자료'!$A:$T,ROW()+1,MATCH("단지명",'04A_국토부원자료'!$A$4:$T$4,0)),"")))</f>
        <v/>
      </c>
      <c r="E142" s="172">
        <f>IFERROR(VALUE(SUBSTITUTE(INDEX('04A_국토부원자료'!$A:$T,ROW()+1,MATCH("전용면적(㎡)",'04A_국토부원자료'!$A$4:$T$4,0)),",","")),"")</f>
        <v/>
      </c>
      <c r="F1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2" s="51">
        <f>IFERROR(VALUE(SUBSTITUTE(INDEX('04A_국토부원자료'!$A:$T,ROW()+1,MATCH("거래금액(만원)",'04A_국토부원자료'!$A$4:$T$4,0)),",","")),"")</f>
        <v/>
      </c>
      <c r="H142" s="174">
        <f>IF(G142="","",G142*10000)</f>
        <v/>
      </c>
      <c r="I142" s="174">
        <f>IFERROR(IF(AND(H142&gt;0,E142&gt;0),H142/E142,""),"")</f>
        <v/>
      </c>
      <c r="J142" s="152">
        <f>IFERROR(VALUE(SUBSTITUTE(INDEX('04A_국토부원자료'!$A:$T,ROW()+1,MATCH("층",'04A_국토부원자료'!$A$4:$T$4,0)),",","")),"")</f>
        <v/>
      </c>
      <c r="K142" s="152">
        <f>IFERROR(VALUE(SUBSTITUTE(INDEX('04A_국토부원자료'!$A:$T,ROW()+1,MATCH("건축년도",'04A_국토부원자료'!$A$4:$T$4,0)),",","")),"")</f>
        <v/>
      </c>
      <c r="L142" s="176">
        <f>IFERROR(INDEX('04A_국토부원자료'!$A:$T,ROW()+1,MATCH("도로명",'04A_국토부원자료'!$A$4:$T$4,0)),"")</f>
        <v/>
      </c>
      <c r="M142" s="48">
        <f>IFERROR(INDEX('04A_국토부원자료'!$A:$T,ROW()+1,MATCH("거래유형",'04A_국토부원자료'!$A$4:$T$4,0)),"")</f>
        <v/>
      </c>
      <c r="N142" s="152">
        <f>IF(B142="","",IF('02_대상물건입력'!B5="",1,IF(ISNUMBER(SEARCH('02_대상물건입력'!B5,B142)),1,0)))</f>
        <v/>
      </c>
      <c r="O142" s="152">
        <f>IF(B142="","",IF('02_대상물건입력'!B6="",1,IF(ISNUMBER(SEARCH('02_대상물건입력'!B6,B142)),1,0)))</f>
        <v/>
      </c>
      <c r="P142" s="152">
        <f>IF(L142="","",IF('02_대상물건입력'!B15="",0,IF(ISNUMBER(SEARCH('02_대상물건입력'!B15,L142)),1,0)))</f>
        <v/>
      </c>
      <c r="Q142" s="152">
        <f>IF(OR(C142="",L142=""),0,IF(AND(TRIM(C142)=TRIM(RIGHT(SUBSTITUTE(TRIM('02_대상물건입력'!$B$7)," ",REPT(" ",99)),99)),IF('02_대상물건입력'!B15="",TRUE(),ISNUMBER(SEARCH('02_대상물건입력'!B15,L142)))),1,0))</f>
        <v/>
      </c>
      <c r="R142" s="175">
        <f>IFERROR(ABS(E142-'02_대상물건입력'!B11)/'02_대상물건입력'!B11,"")</f>
        <v/>
      </c>
      <c r="S142" s="152">
        <f>IFERROR(ABS(J142-'02_대상물건입력'!B10),"")</f>
        <v/>
      </c>
      <c r="T142" s="152">
        <f>IFERROR(ABS('01_설정'!B4-F142),"")</f>
        <v/>
      </c>
      <c r="U142" s="152">
        <f>IFERROR(ABS(K142-YEAR('02_대상물건입력'!B14)),"")</f>
        <v/>
      </c>
      <c r="V142" s="152">
        <f>IF(B142="","",IF(AND(E142&gt;0,F142&gt;0,H142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142=1,TRUE()),R142&lt;='01_설정'!B5,S142&lt;='01_설정'!B6,T142&lt;='01_설정'!B7,U142&lt;='01_설정'!B8),"Y",""))</f>
        <v/>
      </c>
      <c r="W142" s="172">
        <f>IF(V142&lt;&gt;"Y","",MAX(0,(1-R142/'01_설정'!B5))*'01_설정'!B14+MAX(0,(1-S142/'01_설정'!B6))*'01_설정'!B15+MAX(0,(1-T142/'01_설정'!B7))*'01_설정'!B16+MAX(0,(1-U142/'01_설정'!B8))*'01_설정'!B17+O142*'01_설정'!B11+Q142*'01_설정'!B12+P142*'01_설정'!B13+IF(Z142="",0,Z142))</f>
        <v/>
      </c>
      <c r="X142" s="152">
        <f>IF(W142="","",1+COUNTIFS($W$4:$W$3003,"&gt;"&amp;W142)+COUNTIFS($W$4:W142,W142)-1)</f>
        <v/>
      </c>
      <c r="Y142" s="175">
        <f>IF(OR(I142="",'02_대상물건입력'!B19="",'02_대상물건입력'!B19&lt;=0),"",ABS(I142-'02_대상물건입력'!B19)/'02_대상물건입력'!B19)</f>
        <v/>
      </c>
      <c r="Z142" s="172">
        <f>IF(OR(Y142="",'01_설정'!B31="",'01_설정'!B31&lt;=0,'01_설정'!B32="",'01_설정'!B32&lt;=0),"",MAX(0,(1-Y142/'01_설정'!B32))*'01_설정'!B31)</f>
        <v/>
      </c>
    </row>
    <row r="143" ht="17.25" customHeight="1">
      <c r="A143" s="152">
        <f>IF(INDEX('04A_국토부원자료'!$A:$A,ROW()+1)="","",ROW()-3)</f>
        <v/>
      </c>
      <c r="B143" s="48">
        <f>IFERROR(INDEX('04A_국토부원자료'!$A:$T,ROW()+1,MATCH("시군구",'04A_국토부원자료'!$A$4:$T$4,0)),"")</f>
        <v/>
      </c>
      <c r="C143" s="48">
        <f>IF(B143="","",IFERROR(INDEX('04A_국토부원자료'!$A:$T,ROW()+1,MATCH("번지",'04A_국토부원자료'!$A$4:$T$4,0)),""))</f>
        <v/>
      </c>
      <c r="D143" s="48">
        <f>IF(B143="","",IF(Q143=1,'02_대상물건입력'!$B$8,IFERROR(INDEX('04A_국토부원자료'!$A:$T,ROW()+1,MATCH("단지명",'04A_국토부원자료'!$A$4:$T$4,0)),"")))</f>
        <v/>
      </c>
      <c r="E143" s="172">
        <f>IFERROR(VALUE(SUBSTITUTE(INDEX('04A_국토부원자료'!$A:$T,ROW()+1,MATCH("전용면적(㎡)",'04A_국토부원자료'!$A$4:$T$4,0)),",","")),"")</f>
        <v/>
      </c>
      <c r="F1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3" s="51">
        <f>IFERROR(VALUE(SUBSTITUTE(INDEX('04A_국토부원자료'!$A:$T,ROW()+1,MATCH("거래금액(만원)",'04A_국토부원자료'!$A$4:$T$4,0)),",","")),"")</f>
        <v/>
      </c>
      <c r="H143" s="174">
        <f>IF(G143="","",G143*10000)</f>
        <v/>
      </c>
      <c r="I143" s="174">
        <f>IFERROR(IF(AND(H143&gt;0,E143&gt;0),H143/E143,""),"")</f>
        <v/>
      </c>
      <c r="J143" s="152">
        <f>IFERROR(VALUE(SUBSTITUTE(INDEX('04A_국토부원자료'!$A:$T,ROW()+1,MATCH("층",'04A_국토부원자료'!$A$4:$T$4,0)),",","")),"")</f>
        <v/>
      </c>
      <c r="K143" s="152">
        <f>IFERROR(VALUE(SUBSTITUTE(INDEX('04A_국토부원자료'!$A:$T,ROW()+1,MATCH("건축년도",'04A_국토부원자료'!$A$4:$T$4,0)),",","")),"")</f>
        <v/>
      </c>
      <c r="L143" s="176">
        <f>IFERROR(INDEX('04A_국토부원자료'!$A:$T,ROW()+1,MATCH("도로명",'04A_국토부원자료'!$A$4:$T$4,0)),"")</f>
        <v/>
      </c>
      <c r="M143" s="48">
        <f>IFERROR(INDEX('04A_국토부원자료'!$A:$T,ROW()+1,MATCH("거래유형",'04A_국토부원자료'!$A$4:$T$4,0)),"")</f>
        <v/>
      </c>
      <c r="N143" s="152">
        <f>IF(B143="","",IF('02_대상물건입력'!B5="",1,IF(ISNUMBER(SEARCH('02_대상물건입력'!B5,B143)),1,0)))</f>
        <v/>
      </c>
      <c r="O143" s="152">
        <f>IF(B143="","",IF('02_대상물건입력'!B6="",1,IF(ISNUMBER(SEARCH('02_대상물건입력'!B6,B143)),1,0)))</f>
        <v/>
      </c>
      <c r="P143" s="152">
        <f>IF(L143="","",IF('02_대상물건입력'!B15="",0,IF(ISNUMBER(SEARCH('02_대상물건입력'!B15,L143)),1,0)))</f>
        <v/>
      </c>
      <c r="Q143" s="152">
        <f>IF(OR(C143="",L143=""),0,IF(AND(TRIM(C143)=TRIM(RIGHT(SUBSTITUTE(TRIM('02_대상물건입력'!$B$7)," ",REPT(" ",99)),99)),IF('02_대상물건입력'!B15="",TRUE(),ISNUMBER(SEARCH('02_대상물건입력'!B15,L143)))),1,0))</f>
        <v/>
      </c>
      <c r="R143" s="175">
        <f>IFERROR(ABS(E143-'02_대상물건입력'!B11)/'02_대상물건입력'!B11,"")</f>
        <v/>
      </c>
      <c r="S143" s="152">
        <f>IFERROR(ABS(J143-'02_대상물건입력'!B10),"")</f>
        <v/>
      </c>
      <c r="T143" s="152">
        <f>IFERROR(ABS('01_설정'!B4-F143),"")</f>
        <v/>
      </c>
      <c r="U143" s="152">
        <f>IFERROR(ABS(K143-YEAR('02_대상물건입력'!B14)),"")</f>
        <v/>
      </c>
      <c r="V143" s="152">
        <f>IF(B143="","",IF(AND(E143&gt;0,F143&gt;0,H143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143=1,TRUE()),R143&lt;='01_설정'!B5,S143&lt;='01_설정'!B6,T143&lt;='01_설정'!B7,U143&lt;='01_설정'!B8),"Y",""))</f>
        <v/>
      </c>
      <c r="W143" s="172">
        <f>IF(V143&lt;&gt;"Y","",MAX(0,(1-R143/'01_설정'!B5))*'01_설정'!B14+MAX(0,(1-S143/'01_설정'!B6))*'01_설정'!B15+MAX(0,(1-T143/'01_설정'!B7))*'01_설정'!B16+MAX(0,(1-U143/'01_설정'!B8))*'01_설정'!B17+O143*'01_설정'!B11+Q143*'01_설정'!B12+P143*'01_설정'!B13+IF(Z143="",0,Z143))</f>
        <v/>
      </c>
      <c r="X143" s="152">
        <f>IF(W143="","",1+COUNTIFS($W$4:$W$3003,"&gt;"&amp;W143)+COUNTIFS($W$4:W143,W143)-1)</f>
        <v/>
      </c>
      <c r="Y143" s="175">
        <f>IF(OR(I143="",'02_대상물건입력'!B19="",'02_대상물건입력'!B19&lt;=0),"",ABS(I143-'02_대상물건입력'!B19)/'02_대상물건입력'!B19)</f>
        <v/>
      </c>
      <c r="Z143" s="172">
        <f>IF(OR(Y143="",'01_설정'!B31="",'01_설정'!B31&lt;=0,'01_설정'!B32="",'01_설정'!B32&lt;=0),"",MAX(0,(1-Y143/'01_설정'!B32))*'01_설정'!B31)</f>
        <v/>
      </c>
    </row>
    <row r="144" ht="17.25" customHeight="1">
      <c r="A144" s="152">
        <f>IF(INDEX('04A_국토부원자료'!$A:$A,ROW()+1)="","",ROW()-3)</f>
        <v/>
      </c>
      <c r="B144" s="48">
        <f>IFERROR(INDEX('04A_국토부원자료'!$A:$T,ROW()+1,MATCH("시군구",'04A_국토부원자료'!$A$4:$T$4,0)),"")</f>
        <v/>
      </c>
      <c r="C144" s="48">
        <f>IF(B144="","",IFERROR(INDEX('04A_국토부원자료'!$A:$T,ROW()+1,MATCH("번지",'04A_국토부원자료'!$A$4:$T$4,0)),""))</f>
        <v/>
      </c>
      <c r="D144" s="48">
        <f>IF(B144="","",IF(Q144=1,'02_대상물건입력'!$B$8,IFERROR(INDEX('04A_국토부원자료'!$A:$T,ROW()+1,MATCH("단지명",'04A_국토부원자료'!$A$4:$T$4,0)),"")))</f>
        <v/>
      </c>
      <c r="E144" s="172">
        <f>IFERROR(VALUE(SUBSTITUTE(INDEX('04A_국토부원자료'!$A:$T,ROW()+1,MATCH("전용면적(㎡)",'04A_국토부원자료'!$A$4:$T$4,0)),",","")),"")</f>
        <v/>
      </c>
      <c r="F1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4" s="51">
        <f>IFERROR(VALUE(SUBSTITUTE(INDEX('04A_국토부원자료'!$A:$T,ROW()+1,MATCH("거래금액(만원)",'04A_국토부원자료'!$A$4:$T$4,0)),",","")),"")</f>
        <v/>
      </c>
      <c r="H144" s="174">
        <f>IF(G144="","",G144*10000)</f>
        <v/>
      </c>
      <c r="I144" s="174">
        <f>IFERROR(IF(AND(H144&gt;0,E144&gt;0),H144/E144,""),"")</f>
        <v/>
      </c>
      <c r="J144" s="152">
        <f>IFERROR(VALUE(SUBSTITUTE(INDEX('04A_국토부원자료'!$A:$T,ROW()+1,MATCH("층",'04A_국토부원자료'!$A$4:$T$4,0)),",","")),"")</f>
        <v/>
      </c>
      <c r="K144" s="152">
        <f>IFERROR(VALUE(SUBSTITUTE(INDEX('04A_국토부원자료'!$A:$T,ROW()+1,MATCH("건축년도",'04A_국토부원자료'!$A$4:$T$4,0)),",","")),"")</f>
        <v/>
      </c>
      <c r="L144" s="176">
        <f>IFERROR(INDEX('04A_국토부원자료'!$A:$T,ROW()+1,MATCH("도로명",'04A_국토부원자료'!$A$4:$T$4,0)),"")</f>
        <v/>
      </c>
      <c r="M144" s="48">
        <f>IFERROR(INDEX('04A_국토부원자료'!$A:$T,ROW()+1,MATCH("거래유형",'04A_국토부원자료'!$A$4:$T$4,0)),"")</f>
        <v/>
      </c>
      <c r="N144" s="152">
        <f>IF(B144="","",IF('02_대상물건입력'!B5="",1,IF(ISNUMBER(SEARCH('02_대상물건입력'!B5,B144)),1,0)))</f>
        <v/>
      </c>
      <c r="O144" s="152">
        <f>IF(B144="","",IF('02_대상물건입력'!B6="",1,IF(ISNUMBER(SEARCH('02_대상물건입력'!B6,B144)),1,0)))</f>
        <v/>
      </c>
      <c r="P144" s="152">
        <f>IF(L144="","",IF('02_대상물건입력'!B15="",0,IF(ISNUMBER(SEARCH('02_대상물건입력'!B15,L144)),1,0)))</f>
        <v/>
      </c>
      <c r="Q144" s="152">
        <f>IF(OR(C144="",L144=""),0,IF(AND(TRIM(C144)=TRIM(RIGHT(SUBSTITUTE(TRIM('02_대상물건입력'!$B$7)," ",REPT(" ",99)),99)),IF('02_대상물건입력'!B15="",TRUE(),ISNUMBER(SEARCH('02_대상물건입력'!B15,L144)))),1,0))</f>
        <v/>
      </c>
      <c r="R144" s="175">
        <f>IFERROR(ABS(E144-'02_대상물건입력'!B11)/'02_대상물건입력'!B11,"")</f>
        <v/>
      </c>
      <c r="S144" s="152">
        <f>IFERROR(ABS(J144-'02_대상물건입력'!B10),"")</f>
        <v/>
      </c>
      <c r="T144" s="152">
        <f>IFERROR(ABS('01_설정'!B4-F144),"")</f>
        <v/>
      </c>
      <c r="U144" s="152">
        <f>IFERROR(ABS(K144-YEAR('02_대상물건입력'!B14)),"")</f>
        <v/>
      </c>
      <c r="V144" s="152">
        <f>IF(B144="","",IF(AND(E144&gt;0,F144&gt;0,H144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144=1,TRUE()),R144&lt;='01_설정'!B5,S144&lt;='01_설정'!B6,T144&lt;='01_설정'!B7,U144&lt;='01_설정'!B8),"Y",""))</f>
        <v/>
      </c>
      <c r="W144" s="172">
        <f>IF(V144&lt;&gt;"Y","",MAX(0,(1-R144/'01_설정'!B5))*'01_설정'!B14+MAX(0,(1-S144/'01_설정'!B6))*'01_설정'!B15+MAX(0,(1-T144/'01_설정'!B7))*'01_설정'!B16+MAX(0,(1-U144/'01_설정'!B8))*'01_설정'!B17+O144*'01_설정'!B11+Q144*'01_설정'!B12+P144*'01_설정'!B13+IF(Z144="",0,Z144))</f>
        <v/>
      </c>
      <c r="X144" s="152">
        <f>IF(W144="","",1+COUNTIFS($W$4:$W$3003,"&gt;"&amp;W144)+COUNTIFS($W$4:W144,W144)-1)</f>
        <v/>
      </c>
      <c r="Y144" s="175">
        <f>IF(OR(I144="",'02_대상물건입력'!B19="",'02_대상물건입력'!B19&lt;=0),"",ABS(I144-'02_대상물건입력'!B19)/'02_대상물건입력'!B19)</f>
        <v/>
      </c>
      <c r="Z144" s="172">
        <f>IF(OR(Y144="",'01_설정'!B31="",'01_설정'!B31&lt;=0,'01_설정'!B32="",'01_설정'!B32&lt;=0),"",MAX(0,(1-Y144/'01_설정'!B32))*'01_설정'!B31)</f>
        <v/>
      </c>
    </row>
    <row r="145" ht="17.25" customHeight="1">
      <c r="A145" s="152">
        <f>IF(INDEX('04A_국토부원자료'!$A:$A,ROW()+1)="","",ROW()-3)</f>
        <v/>
      </c>
      <c r="B145" s="48">
        <f>IFERROR(INDEX('04A_국토부원자료'!$A:$T,ROW()+1,MATCH("시군구",'04A_국토부원자료'!$A$4:$T$4,0)),"")</f>
        <v/>
      </c>
      <c r="C145" s="48">
        <f>IF(B145="","",IFERROR(INDEX('04A_국토부원자료'!$A:$T,ROW()+1,MATCH("번지",'04A_국토부원자료'!$A$4:$T$4,0)),""))</f>
        <v/>
      </c>
      <c r="D145" s="48">
        <f>IF(B145="","",IF(Q145=1,'02_대상물건입력'!$B$8,IFERROR(INDEX('04A_국토부원자료'!$A:$T,ROW()+1,MATCH("단지명",'04A_국토부원자료'!$A$4:$T$4,0)),"")))</f>
        <v/>
      </c>
      <c r="E145" s="172">
        <f>IFERROR(VALUE(SUBSTITUTE(INDEX('04A_국토부원자료'!$A:$T,ROW()+1,MATCH("전용면적(㎡)",'04A_국토부원자료'!$A$4:$T$4,0)),",","")),"")</f>
        <v/>
      </c>
      <c r="F1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5" s="51">
        <f>IFERROR(VALUE(SUBSTITUTE(INDEX('04A_국토부원자료'!$A:$T,ROW()+1,MATCH("거래금액(만원)",'04A_국토부원자료'!$A$4:$T$4,0)),",","")),"")</f>
        <v/>
      </c>
      <c r="H145" s="174">
        <f>IF(G145="","",G145*10000)</f>
        <v/>
      </c>
      <c r="I145" s="174">
        <f>IFERROR(IF(AND(H145&gt;0,E145&gt;0),H145/E145,""),"")</f>
        <v/>
      </c>
      <c r="J145" s="152">
        <f>IFERROR(VALUE(SUBSTITUTE(INDEX('04A_국토부원자료'!$A:$T,ROW()+1,MATCH("층",'04A_국토부원자료'!$A$4:$T$4,0)),",","")),"")</f>
        <v/>
      </c>
      <c r="K145" s="152">
        <f>IFERROR(VALUE(SUBSTITUTE(INDEX('04A_국토부원자료'!$A:$T,ROW()+1,MATCH("건축년도",'04A_국토부원자료'!$A$4:$T$4,0)),",","")),"")</f>
        <v/>
      </c>
      <c r="L145" s="176">
        <f>IFERROR(INDEX('04A_국토부원자료'!$A:$T,ROW()+1,MATCH("도로명",'04A_국토부원자료'!$A$4:$T$4,0)),"")</f>
        <v/>
      </c>
      <c r="M145" s="48">
        <f>IFERROR(INDEX('04A_국토부원자료'!$A:$T,ROW()+1,MATCH("거래유형",'04A_국토부원자료'!$A$4:$T$4,0)),"")</f>
        <v/>
      </c>
      <c r="N145" s="152">
        <f>IF(B145="","",IF('02_대상물건입력'!B5="",1,IF(ISNUMBER(SEARCH('02_대상물건입력'!B5,B145)),1,0)))</f>
        <v/>
      </c>
      <c r="O145" s="152">
        <f>IF(B145="","",IF('02_대상물건입력'!B6="",1,IF(ISNUMBER(SEARCH('02_대상물건입력'!B6,B145)),1,0)))</f>
        <v/>
      </c>
      <c r="P145" s="152">
        <f>IF(L145="","",IF('02_대상물건입력'!B15="",0,IF(ISNUMBER(SEARCH('02_대상물건입력'!B15,L145)),1,0)))</f>
        <v/>
      </c>
      <c r="Q145" s="152">
        <f>IF(OR(C145="",L145=""),0,IF(AND(TRIM(C145)=TRIM(RIGHT(SUBSTITUTE(TRIM('02_대상물건입력'!$B$7)," ",REPT(" ",99)),99)),IF('02_대상물건입력'!B15="",TRUE(),ISNUMBER(SEARCH('02_대상물건입력'!B15,L145)))),1,0))</f>
        <v/>
      </c>
      <c r="R145" s="175">
        <f>IFERROR(ABS(E145-'02_대상물건입력'!B11)/'02_대상물건입력'!B11,"")</f>
        <v/>
      </c>
      <c r="S145" s="152">
        <f>IFERROR(ABS(J145-'02_대상물건입력'!B10),"")</f>
        <v/>
      </c>
      <c r="T145" s="152">
        <f>IFERROR(ABS('01_설정'!B4-F145),"")</f>
        <v/>
      </c>
      <c r="U145" s="152">
        <f>IFERROR(ABS(K145-YEAR('02_대상물건입력'!B14)),"")</f>
        <v/>
      </c>
      <c r="V145" s="152">
        <f>IF(B145="","",IF(AND(E145&gt;0,F145&gt;0,H145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145=1,TRUE()),R145&lt;='01_설정'!B5,S145&lt;='01_설정'!B6,T145&lt;='01_설정'!B7,U145&lt;='01_설정'!B8),"Y",""))</f>
        <v/>
      </c>
      <c r="W145" s="172">
        <f>IF(V145&lt;&gt;"Y","",MAX(0,(1-R145/'01_설정'!B5))*'01_설정'!B14+MAX(0,(1-S145/'01_설정'!B6))*'01_설정'!B15+MAX(0,(1-T145/'01_설정'!B7))*'01_설정'!B16+MAX(0,(1-U145/'01_설정'!B8))*'01_설정'!B17+O145*'01_설정'!B11+Q145*'01_설정'!B12+P145*'01_설정'!B13+IF(Z145="",0,Z145))</f>
        <v/>
      </c>
      <c r="X145" s="152">
        <f>IF(W145="","",1+COUNTIFS($W$4:$W$3003,"&gt;"&amp;W145)+COUNTIFS($W$4:W145,W145)-1)</f>
        <v/>
      </c>
      <c r="Y145" s="175">
        <f>IF(OR(I145="",'02_대상물건입력'!B19="",'02_대상물건입력'!B19&lt;=0),"",ABS(I145-'02_대상물건입력'!B19)/'02_대상물건입력'!B19)</f>
        <v/>
      </c>
      <c r="Z145" s="172">
        <f>IF(OR(Y145="",'01_설정'!B31="",'01_설정'!B31&lt;=0,'01_설정'!B32="",'01_설정'!B32&lt;=0),"",MAX(0,(1-Y145/'01_설정'!B32))*'01_설정'!B31)</f>
        <v/>
      </c>
    </row>
    <row r="146" ht="17.25" customHeight="1">
      <c r="A146" s="152">
        <f>IF(INDEX('04A_국토부원자료'!$A:$A,ROW()+1)="","",ROW()-3)</f>
        <v/>
      </c>
      <c r="B146" s="48">
        <f>IFERROR(INDEX('04A_국토부원자료'!$A:$T,ROW()+1,MATCH("시군구",'04A_국토부원자료'!$A$4:$T$4,0)),"")</f>
        <v/>
      </c>
      <c r="C146" s="48">
        <f>IF(B146="","",IFERROR(INDEX('04A_국토부원자료'!$A:$T,ROW()+1,MATCH("번지",'04A_국토부원자료'!$A$4:$T$4,0)),""))</f>
        <v/>
      </c>
      <c r="D146" s="48">
        <f>IF(B146="","",IF(Q146=1,'02_대상물건입력'!$B$8,IFERROR(INDEX('04A_국토부원자료'!$A:$T,ROW()+1,MATCH("단지명",'04A_국토부원자료'!$A$4:$T$4,0)),"")))</f>
        <v/>
      </c>
      <c r="E146" s="172">
        <f>IFERROR(VALUE(SUBSTITUTE(INDEX('04A_국토부원자료'!$A:$T,ROW()+1,MATCH("전용면적(㎡)",'04A_국토부원자료'!$A$4:$T$4,0)),",","")),"")</f>
        <v/>
      </c>
      <c r="F1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6" s="51">
        <f>IFERROR(VALUE(SUBSTITUTE(INDEX('04A_국토부원자료'!$A:$T,ROW()+1,MATCH("거래금액(만원)",'04A_국토부원자료'!$A$4:$T$4,0)),",","")),"")</f>
        <v/>
      </c>
      <c r="H146" s="174">
        <f>IF(G146="","",G146*10000)</f>
        <v/>
      </c>
      <c r="I146" s="174">
        <f>IFERROR(IF(AND(H146&gt;0,E146&gt;0),H146/E146,""),"")</f>
        <v/>
      </c>
      <c r="J146" s="152">
        <f>IFERROR(VALUE(SUBSTITUTE(INDEX('04A_국토부원자료'!$A:$T,ROW()+1,MATCH("층",'04A_국토부원자료'!$A$4:$T$4,0)),",","")),"")</f>
        <v/>
      </c>
      <c r="K146" s="152">
        <f>IFERROR(VALUE(SUBSTITUTE(INDEX('04A_국토부원자료'!$A:$T,ROW()+1,MATCH("건축년도",'04A_국토부원자료'!$A$4:$T$4,0)),",","")),"")</f>
        <v/>
      </c>
      <c r="L146" s="176">
        <f>IFERROR(INDEX('04A_국토부원자료'!$A:$T,ROW()+1,MATCH("도로명",'04A_국토부원자료'!$A$4:$T$4,0)),"")</f>
        <v/>
      </c>
      <c r="M146" s="48">
        <f>IFERROR(INDEX('04A_국토부원자료'!$A:$T,ROW()+1,MATCH("거래유형",'04A_국토부원자료'!$A$4:$T$4,0)),"")</f>
        <v/>
      </c>
      <c r="N146" s="152">
        <f>IF(B146="","",IF('02_대상물건입력'!B5="",1,IF(ISNUMBER(SEARCH('02_대상물건입력'!B5,B146)),1,0)))</f>
        <v/>
      </c>
      <c r="O146" s="152">
        <f>IF(B146="","",IF('02_대상물건입력'!B6="",1,IF(ISNUMBER(SEARCH('02_대상물건입력'!B6,B146)),1,0)))</f>
        <v/>
      </c>
      <c r="P146" s="152">
        <f>IF(L146="","",IF('02_대상물건입력'!B15="",0,IF(ISNUMBER(SEARCH('02_대상물건입력'!B15,L146)),1,0)))</f>
        <v/>
      </c>
      <c r="Q146" s="152">
        <f>IF(OR(C146="",L146=""),0,IF(AND(TRIM(C146)=TRIM(RIGHT(SUBSTITUTE(TRIM('02_대상물건입력'!$B$7)," ",REPT(" ",99)),99)),IF('02_대상물건입력'!B15="",TRUE(),ISNUMBER(SEARCH('02_대상물건입력'!B15,L146)))),1,0))</f>
        <v/>
      </c>
      <c r="R146" s="175">
        <f>IFERROR(ABS(E146-'02_대상물건입력'!B11)/'02_대상물건입력'!B11,"")</f>
        <v/>
      </c>
      <c r="S146" s="152">
        <f>IFERROR(ABS(J146-'02_대상물건입력'!B10),"")</f>
        <v/>
      </c>
      <c r="T146" s="152">
        <f>IFERROR(ABS('01_설정'!B4-F146),"")</f>
        <v/>
      </c>
      <c r="U146" s="152">
        <f>IFERROR(ABS(K146-YEAR('02_대상물건입력'!B14)),"")</f>
        <v/>
      </c>
      <c r="V146" s="152">
        <f>IF(B146="","",IF(AND(E146&gt;0,F146&gt;0,H146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146=1,TRUE()),R146&lt;='01_설정'!B5,S146&lt;='01_설정'!B6,T146&lt;='01_설정'!B7,U146&lt;='01_설정'!B8),"Y",""))</f>
        <v/>
      </c>
      <c r="W146" s="172">
        <f>IF(V146&lt;&gt;"Y","",MAX(0,(1-R146/'01_설정'!B5))*'01_설정'!B14+MAX(0,(1-S146/'01_설정'!B6))*'01_설정'!B15+MAX(0,(1-T146/'01_설정'!B7))*'01_설정'!B16+MAX(0,(1-U146/'01_설정'!B8))*'01_설정'!B17+O146*'01_설정'!B11+Q146*'01_설정'!B12+P146*'01_설정'!B13+IF(Z146="",0,Z146))</f>
        <v/>
      </c>
      <c r="X146" s="152">
        <f>IF(W146="","",1+COUNTIFS($W$4:$W$3003,"&gt;"&amp;W146)+COUNTIFS($W$4:W146,W146)-1)</f>
        <v/>
      </c>
      <c r="Y146" s="175">
        <f>IF(OR(I146="",'02_대상물건입력'!B19="",'02_대상물건입력'!B19&lt;=0),"",ABS(I146-'02_대상물건입력'!B19)/'02_대상물건입력'!B19)</f>
        <v/>
      </c>
      <c r="Z146" s="172">
        <f>IF(OR(Y146="",'01_설정'!B31="",'01_설정'!B31&lt;=0,'01_설정'!B32="",'01_설정'!B32&lt;=0),"",MAX(0,(1-Y146/'01_설정'!B32))*'01_설정'!B31)</f>
        <v/>
      </c>
    </row>
    <row r="147" ht="17.25" customHeight="1">
      <c r="A147" s="152">
        <f>IF(INDEX('04A_국토부원자료'!$A:$A,ROW()+1)="","",ROW()-3)</f>
        <v/>
      </c>
      <c r="B147" s="48">
        <f>IFERROR(INDEX('04A_국토부원자료'!$A:$T,ROW()+1,MATCH("시군구",'04A_국토부원자료'!$A$4:$T$4,0)),"")</f>
        <v/>
      </c>
      <c r="C147" s="48">
        <f>IF(B147="","",IFERROR(INDEX('04A_국토부원자료'!$A:$T,ROW()+1,MATCH("번지",'04A_국토부원자료'!$A$4:$T$4,0)),""))</f>
        <v/>
      </c>
      <c r="D147" s="48">
        <f>IF(B147="","",IF(Q147=1,'02_대상물건입력'!$B$8,IFERROR(INDEX('04A_국토부원자료'!$A:$T,ROW()+1,MATCH("단지명",'04A_국토부원자료'!$A$4:$T$4,0)),"")))</f>
        <v/>
      </c>
      <c r="E147" s="172">
        <f>IFERROR(VALUE(SUBSTITUTE(INDEX('04A_국토부원자료'!$A:$T,ROW()+1,MATCH("전용면적(㎡)",'04A_국토부원자료'!$A$4:$T$4,0)),",","")),"")</f>
        <v/>
      </c>
      <c r="F1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7" s="51">
        <f>IFERROR(VALUE(SUBSTITUTE(INDEX('04A_국토부원자료'!$A:$T,ROW()+1,MATCH("거래금액(만원)",'04A_국토부원자료'!$A$4:$T$4,0)),",","")),"")</f>
        <v/>
      </c>
      <c r="H147" s="174">
        <f>IF(G147="","",G147*10000)</f>
        <v/>
      </c>
      <c r="I147" s="174">
        <f>IFERROR(IF(AND(H147&gt;0,E147&gt;0),H147/E147,""),"")</f>
        <v/>
      </c>
      <c r="J147" s="152">
        <f>IFERROR(VALUE(SUBSTITUTE(INDEX('04A_국토부원자료'!$A:$T,ROW()+1,MATCH("층",'04A_국토부원자료'!$A$4:$T$4,0)),",","")),"")</f>
        <v/>
      </c>
      <c r="K147" s="152">
        <f>IFERROR(VALUE(SUBSTITUTE(INDEX('04A_국토부원자료'!$A:$T,ROW()+1,MATCH("건축년도",'04A_국토부원자료'!$A$4:$T$4,0)),",","")),"")</f>
        <v/>
      </c>
      <c r="L147" s="176">
        <f>IFERROR(INDEX('04A_국토부원자료'!$A:$T,ROW()+1,MATCH("도로명",'04A_국토부원자료'!$A$4:$T$4,0)),"")</f>
        <v/>
      </c>
      <c r="M147" s="48">
        <f>IFERROR(INDEX('04A_국토부원자료'!$A:$T,ROW()+1,MATCH("거래유형",'04A_국토부원자료'!$A$4:$T$4,0)),"")</f>
        <v/>
      </c>
      <c r="N147" s="152">
        <f>IF(B147="","",IF('02_대상물건입력'!B5="",1,IF(ISNUMBER(SEARCH('02_대상물건입력'!B5,B147)),1,0)))</f>
        <v/>
      </c>
      <c r="O147" s="152">
        <f>IF(B147="","",IF('02_대상물건입력'!B6="",1,IF(ISNUMBER(SEARCH('02_대상물건입력'!B6,B147)),1,0)))</f>
        <v/>
      </c>
      <c r="P147" s="152">
        <f>IF(L147="","",IF('02_대상물건입력'!B15="",0,IF(ISNUMBER(SEARCH('02_대상물건입력'!B15,L147)),1,0)))</f>
        <v/>
      </c>
      <c r="Q147" s="152">
        <f>IF(OR(C147="",L147=""),0,IF(AND(TRIM(C147)=TRIM(RIGHT(SUBSTITUTE(TRIM('02_대상물건입력'!$B$7)," ",REPT(" ",99)),99)),IF('02_대상물건입력'!B15="",TRUE(),ISNUMBER(SEARCH('02_대상물건입력'!B15,L147)))),1,0))</f>
        <v/>
      </c>
      <c r="R147" s="175">
        <f>IFERROR(ABS(E147-'02_대상물건입력'!B11)/'02_대상물건입력'!B11,"")</f>
        <v/>
      </c>
      <c r="S147" s="152">
        <f>IFERROR(ABS(J147-'02_대상물건입력'!B10),"")</f>
        <v/>
      </c>
      <c r="T147" s="152">
        <f>IFERROR(ABS('01_설정'!B4-F147),"")</f>
        <v/>
      </c>
      <c r="U147" s="152">
        <f>IFERROR(ABS(K147-YEAR('02_대상물건입력'!B14)),"")</f>
        <v/>
      </c>
      <c r="V147" s="152">
        <f>IF(B147="","",IF(AND(E147&gt;0,F147&gt;0,H147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147=1,TRUE()),R147&lt;='01_설정'!B5,S147&lt;='01_설정'!B6,T147&lt;='01_설정'!B7,U147&lt;='01_설정'!B8),"Y",""))</f>
        <v/>
      </c>
      <c r="W147" s="172">
        <f>IF(V147&lt;&gt;"Y","",MAX(0,(1-R147/'01_설정'!B5))*'01_설정'!B14+MAX(0,(1-S147/'01_설정'!B6))*'01_설정'!B15+MAX(0,(1-T147/'01_설정'!B7))*'01_설정'!B16+MAX(0,(1-U147/'01_설정'!B8))*'01_설정'!B17+O147*'01_설정'!B11+Q147*'01_설정'!B12+P147*'01_설정'!B13+IF(Z147="",0,Z147))</f>
        <v/>
      </c>
      <c r="X147" s="152">
        <f>IF(W147="","",1+COUNTIFS($W$4:$W$3003,"&gt;"&amp;W147)+COUNTIFS($W$4:W147,W147)-1)</f>
        <v/>
      </c>
      <c r="Y147" s="175">
        <f>IF(OR(I147="",'02_대상물건입력'!B19="",'02_대상물건입력'!B19&lt;=0),"",ABS(I147-'02_대상물건입력'!B19)/'02_대상물건입력'!B19)</f>
        <v/>
      </c>
      <c r="Z147" s="172">
        <f>IF(OR(Y147="",'01_설정'!B31="",'01_설정'!B31&lt;=0,'01_설정'!B32="",'01_설정'!B32&lt;=0),"",MAX(0,(1-Y147/'01_설정'!B32))*'01_설정'!B31)</f>
        <v/>
      </c>
    </row>
    <row r="148" ht="17.25" customHeight="1">
      <c r="A148" s="152">
        <f>IF(INDEX('04A_국토부원자료'!$A:$A,ROW()+1)="","",ROW()-3)</f>
        <v/>
      </c>
      <c r="B148" s="48">
        <f>IFERROR(INDEX('04A_국토부원자료'!$A:$T,ROW()+1,MATCH("시군구",'04A_국토부원자료'!$A$4:$T$4,0)),"")</f>
        <v/>
      </c>
      <c r="C148" s="48">
        <f>IF(B148="","",IFERROR(INDEX('04A_국토부원자료'!$A:$T,ROW()+1,MATCH("번지",'04A_국토부원자료'!$A$4:$T$4,0)),""))</f>
        <v/>
      </c>
      <c r="D148" s="48">
        <f>IF(B148="","",IF(Q148=1,'02_대상물건입력'!$B$8,IFERROR(INDEX('04A_국토부원자료'!$A:$T,ROW()+1,MATCH("단지명",'04A_국토부원자료'!$A$4:$T$4,0)),"")))</f>
        <v/>
      </c>
      <c r="E148" s="172">
        <f>IFERROR(VALUE(SUBSTITUTE(INDEX('04A_국토부원자료'!$A:$T,ROW()+1,MATCH("전용면적(㎡)",'04A_국토부원자료'!$A$4:$T$4,0)),",","")),"")</f>
        <v/>
      </c>
      <c r="F1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8" s="51">
        <f>IFERROR(VALUE(SUBSTITUTE(INDEX('04A_국토부원자료'!$A:$T,ROW()+1,MATCH("거래금액(만원)",'04A_국토부원자료'!$A$4:$T$4,0)),",","")),"")</f>
        <v/>
      </c>
      <c r="H148" s="174">
        <f>IF(G148="","",G148*10000)</f>
        <v/>
      </c>
      <c r="I148" s="174">
        <f>IFERROR(IF(AND(H148&gt;0,E148&gt;0),H148/E148,""),"")</f>
        <v/>
      </c>
      <c r="J148" s="152">
        <f>IFERROR(VALUE(SUBSTITUTE(INDEX('04A_국토부원자료'!$A:$T,ROW()+1,MATCH("층",'04A_국토부원자료'!$A$4:$T$4,0)),",","")),"")</f>
        <v/>
      </c>
      <c r="K148" s="152">
        <f>IFERROR(VALUE(SUBSTITUTE(INDEX('04A_국토부원자료'!$A:$T,ROW()+1,MATCH("건축년도",'04A_국토부원자료'!$A$4:$T$4,0)),",","")),"")</f>
        <v/>
      </c>
      <c r="L148" s="176">
        <f>IFERROR(INDEX('04A_국토부원자료'!$A:$T,ROW()+1,MATCH("도로명",'04A_국토부원자료'!$A$4:$T$4,0)),"")</f>
        <v/>
      </c>
      <c r="M148" s="48">
        <f>IFERROR(INDEX('04A_국토부원자료'!$A:$T,ROW()+1,MATCH("거래유형",'04A_국토부원자료'!$A$4:$T$4,0)),"")</f>
        <v/>
      </c>
      <c r="N148" s="152">
        <f>IF(B148="","",IF('02_대상물건입력'!B5="",1,IF(ISNUMBER(SEARCH('02_대상물건입력'!B5,B148)),1,0)))</f>
        <v/>
      </c>
      <c r="O148" s="152">
        <f>IF(B148="","",IF('02_대상물건입력'!B6="",1,IF(ISNUMBER(SEARCH('02_대상물건입력'!B6,B148)),1,0)))</f>
        <v/>
      </c>
      <c r="P148" s="152">
        <f>IF(L148="","",IF('02_대상물건입력'!B15="",0,IF(ISNUMBER(SEARCH('02_대상물건입력'!B15,L148)),1,0)))</f>
        <v/>
      </c>
      <c r="Q148" s="152">
        <f>IF(OR(C148="",L148=""),0,IF(AND(TRIM(C148)=TRIM(RIGHT(SUBSTITUTE(TRIM('02_대상물건입력'!$B$7)," ",REPT(" ",99)),99)),IF('02_대상물건입력'!B15="",TRUE(),ISNUMBER(SEARCH('02_대상물건입력'!B15,L148)))),1,0))</f>
        <v/>
      </c>
      <c r="R148" s="175">
        <f>IFERROR(ABS(E148-'02_대상물건입력'!B11)/'02_대상물건입력'!B11,"")</f>
        <v/>
      </c>
      <c r="S148" s="152">
        <f>IFERROR(ABS(J148-'02_대상물건입력'!B10),"")</f>
        <v/>
      </c>
      <c r="T148" s="152">
        <f>IFERROR(ABS('01_설정'!B4-F148),"")</f>
        <v/>
      </c>
      <c r="U148" s="152">
        <f>IFERROR(ABS(K148-YEAR('02_대상물건입력'!B14)),"")</f>
        <v/>
      </c>
      <c r="V148" s="152">
        <f>IF(B148="","",IF(AND(E148&gt;0,F148&gt;0,H148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148=1,TRUE()),R148&lt;='01_설정'!B5,S148&lt;='01_설정'!B6,T148&lt;='01_설정'!B7,U148&lt;='01_설정'!B8),"Y",""))</f>
        <v/>
      </c>
      <c r="W148" s="172">
        <f>IF(V148&lt;&gt;"Y","",MAX(0,(1-R148/'01_설정'!B5))*'01_설정'!B14+MAX(0,(1-S148/'01_설정'!B6))*'01_설정'!B15+MAX(0,(1-T148/'01_설정'!B7))*'01_설정'!B16+MAX(0,(1-U148/'01_설정'!B8))*'01_설정'!B17+O148*'01_설정'!B11+Q148*'01_설정'!B12+P148*'01_설정'!B13+IF(Z148="",0,Z148))</f>
        <v/>
      </c>
      <c r="X148" s="152">
        <f>IF(W148="","",1+COUNTIFS($W$4:$W$3003,"&gt;"&amp;W148)+COUNTIFS($W$4:W148,W148)-1)</f>
        <v/>
      </c>
      <c r="Y148" s="175">
        <f>IF(OR(I148="",'02_대상물건입력'!B19="",'02_대상물건입력'!B19&lt;=0),"",ABS(I148-'02_대상물건입력'!B19)/'02_대상물건입력'!B19)</f>
        <v/>
      </c>
      <c r="Z148" s="172">
        <f>IF(OR(Y148="",'01_설정'!B31="",'01_설정'!B31&lt;=0,'01_설정'!B32="",'01_설정'!B32&lt;=0),"",MAX(0,(1-Y148/'01_설정'!B32))*'01_설정'!B31)</f>
        <v/>
      </c>
    </row>
    <row r="149" ht="17.25" customHeight="1">
      <c r="A149" s="152">
        <f>IF(INDEX('04A_국토부원자료'!$A:$A,ROW()+1)="","",ROW()-3)</f>
        <v/>
      </c>
      <c r="B149" s="48">
        <f>IFERROR(INDEX('04A_국토부원자료'!$A:$T,ROW()+1,MATCH("시군구",'04A_국토부원자료'!$A$4:$T$4,0)),"")</f>
        <v/>
      </c>
      <c r="C149" s="48">
        <f>IF(B149="","",IFERROR(INDEX('04A_국토부원자료'!$A:$T,ROW()+1,MATCH("번지",'04A_국토부원자료'!$A$4:$T$4,0)),""))</f>
        <v/>
      </c>
      <c r="D149" s="48">
        <f>IF(B149="","",IF(Q149=1,'02_대상물건입력'!$B$8,IFERROR(INDEX('04A_국토부원자료'!$A:$T,ROW()+1,MATCH("단지명",'04A_국토부원자료'!$A$4:$T$4,0)),"")))</f>
        <v/>
      </c>
      <c r="E149" s="172">
        <f>IFERROR(VALUE(SUBSTITUTE(INDEX('04A_국토부원자료'!$A:$T,ROW()+1,MATCH("전용면적(㎡)",'04A_국토부원자료'!$A$4:$T$4,0)),",","")),"")</f>
        <v/>
      </c>
      <c r="F1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9" s="51">
        <f>IFERROR(VALUE(SUBSTITUTE(INDEX('04A_국토부원자료'!$A:$T,ROW()+1,MATCH("거래금액(만원)",'04A_국토부원자료'!$A$4:$T$4,0)),",","")),"")</f>
        <v/>
      </c>
      <c r="H149" s="174">
        <f>IF(G149="","",G149*10000)</f>
        <v/>
      </c>
      <c r="I149" s="174">
        <f>IFERROR(IF(AND(H149&gt;0,E149&gt;0),H149/E149,""),"")</f>
        <v/>
      </c>
      <c r="J149" s="152">
        <f>IFERROR(VALUE(SUBSTITUTE(INDEX('04A_국토부원자료'!$A:$T,ROW()+1,MATCH("층",'04A_국토부원자료'!$A$4:$T$4,0)),",","")),"")</f>
        <v/>
      </c>
      <c r="K149" s="152">
        <f>IFERROR(VALUE(SUBSTITUTE(INDEX('04A_국토부원자료'!$A:$T,ROW()+1,MATCH("건축년도",'04A_국토부원자료'!$A$4:$T$4,0)),",","")),"")</f>
        <v/>
      </c>
      <c r="L149" s="176">
        <f>IFERROR(INDEX('04A_국토부원자료'!$A:$T,ROW()+1,MATCH("도로명",'04A_국토부원자료'!$A$4:$T$4,0)),"")</f>
        <v/>
      </c>
      <c r="M149" s="48">
        <f>IFERROR(INDEX('04A_국토부원자료'!$A:$T,ROW()+1,MATCH("거래유형",'04A_국토부원자료'!$A$4:$T$4,0)),"")</f>
        <v/>
      </c>
      <c r="N149" s="152">
        <f>IF(B149="","",IF('02_대상물건입력'!B5="",1,IF(ISNUMBER(SEARCH('02_대상물건입력'!B5,B149)),1,0)))</f>
        <v/>
      </c>
      <c r="O149" s="152">
        <f>IF(B149="","",IF('02_대상물건입력'!B6="",1,IF(ISNUMBER(SEARCH('02_대상물건입력'!B6,B149)),1,0)))</f>
        <v/>
      </c>
      <c r="P149" s="152">
        <f>IF(L149="","",IF('02_대상물건입력'!B15="",0,IF(ISNUMBER(SEARCH('02_대상물건입력'!B15,L149)),1,0)))</f>
        <v/>
      </c>
      <c r="Q149" s="152">
        <f>IF(OR(C149="",L149=""),0,IF(AND(TRIM(C149)=TRIM(RIGHT(SUBSTITUTE(TRIM('02_대상물건입력'!$B$7)," ",REPT(" ",99)),99)),IF('02_대상물건입력'!B15="",TRUE(),ISNUMBER(SEARCH('02_대상물건입력'!B15,L149)))),1,0))</f>
        <v/>
      </c>
      <c r="R149" s="175">
        <f>IFERROR(ABS(E149-'02_대상물건입력'!B11)/'02_대상물건입력'!B11,"")</f>
        <v/>
      </c>
      <c r="S149" s="152">
        <f>IFERROR(ABS(J149-'02_대상물건입력'!B10),"")</f>
        <v/>
      </c>
      <c r="T149" s="152">
        <f>IFERROR(ABS('01_설정'!B4-F149),"")</f>
        <v/>
      </c>
      <c r="U149" s="152">
        <f>IFERROR(ABS(K149-YEAR('02_대상물건입력'!B14)),"")</f>
        <v/>
      </c>
      <c r="V149" s="152">
        <f>IF(B149="","",IF(AND(E149&gt;0,F149&gt;0,H149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149=1,TRUE()),R149&lt;='01_설정'!B5,S149&lt;='01_설정'!B6,T149&lt;='01_설정'!B7,U149&lt;='01_설정'!B8),"Y",""))</f>
        <v/>
      </c>
      <c r="W149" s="172">
        <f>IF(V149&lt;&gt;"Y","",MAX(0,(1-R149/'01_설정'!B5))*'01_설정'!B14+MAX(0,(1-S149/'01_설정'!B6))*'01_설정'!B15+MAX(0,(1-T149/'01_설정'!B7))*'01_설정'!B16+MAX(0,(1-U149/'01_설정'!B8))*'01_설정'!B17+O149*'01_설정'!B11+Q149*'01_설정'!B12+P149*'01_설정'!B13+IF(Z149="",0,Z149))</f>
        <v/>
      </c>
      <c r="X149" s="152">
        <f>IF(W149="","",1+COUNTIFS($W$4:$W$3003,"&gt;"&amp;W149)+COUNTIFS($W$4:W149,W149)-1)</f>
        <v/>
      </c>
      <c r="Y149" s="175">
        <f>IF(OR(I149="",'02_대상물건입력'!B19="",'02_대상물건입력'!B19&lt;=0),"",ABS(I149-'02_대상물건입력'!B19)/'02_대상물건입력'!B19)</f>
        <v/>
      </c>
      <c r="Z149" s="172">
        <f>IF(OR(Y149="",'01_설정'!B31="",'01_설정'!B31&lt;=0,'01_설정'!B32="",'01_설정'!B32&lt;=0),"",MAX(0,(1-Y149/'01_설정'!B32))*'01_설정'!B31)</f>
        <v/>
      </c>
    </row>
    <row r="150" ht="17.25" customHeight="1">
      <c r="A150" s="152">
        <f>IF(INDEX('04A_국토부원자료'!$A:$A,ROW()+1)="","",ROW()-3)</f>
        <v/>
      </c>
      <c r="B150" s="48">
        <f>IFERROR(INDEX('04A_국토부원자료'!$A:$T,ROW()+1,MATCH("시군구",'04A_국토부원자료'!$A$4:$T$4,0)),"")</f>
        <v/>
      </c>
      <c r="C150" s="48">
        <f>IF(B150="","",IFERROR(INDEX('04A_국토부원자료'!$A:$T,ROW()+1,MATCH("번지",'04A_국토부원자료'!$A$4:$T$4,0)),""))</f>
        <v/>
      </c>
      <c r="D150" s="48">
        <f>IF(B150="","",IF(Q150=1,'02_대상물건입력'!$B$8,IFERROR(INDEX('04A_국토부원자료'!$A:$T,ROW()+1,MATCH("단지명",'04A_국토부원자료'!$A$4:$T$4,0)),"")))</f>
        <v/>
      </c>
      <c r="E150" s="172">
        <f>IFERROR(VALUE(SUBSTITUTE(INDEX('04A_국토부원자료'!$A:$T,ROW()+1,MATCH("전용면적(㎡)",'04A_국토부원자료'!$A$4:$T$4,0)),",","")),"")</f>
        <v/>
      </c>
      <c r="F1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0" s="51">
        <f>IFERROR(VALUE(SUBSTITUTE(INDEX('04A_국토부원자료'!$A:$T,ROW()+1,MATCH("거래금액(만원)",'04A_국토부원자료'!$A$4:$T$4,0)),",","")),"")</f>
        <v/>
      </c>
      <c r="H150" s="174">
        <f>IF(G150="","",G150*10000)</f>
        <v/>
      </c>
      <c r="I150" s="174">
        <f>IFERROR(IF(AND(H150&gt;0,E150&gt;0),H150/E150,""),"")</f>
        <v/>
      </c>
      <c r="J150" s="152">
        <f>IFERROR(VALUE(SUBSTITUTE(INDEX('04A_국토부원자료'!$A:$T,ROW()+1,MATCH("층",'04A_국토부원자료'!$A$4:$T$4,0)),",","")),"")</f>
        <v/>
      </c>
      <c r="K150" s="152">
        <f>IFERROR(VALUE(SUBSTITUTE(INDEX('04A_국토부원자료'!$A:$T,ROW()+1,MATCH("건축년도",'04A_국토부원자료'!$A$4:$T$4,0)),",","")),"")</f>
        <v/>
      </c>
      <c r="L150" s="176">
        <f>IFERROR(INDEX('04A_국토부원자료'!$A:$T,ROW()+1,MATCH("도로명",'04A_국토부원자료'!$A$4:$T$4,0)),"")</f>
        <v/>
      </c>
      <c r="M150" s="48">
        <f>IFERROR(INDEX('04A_국토부원자료'!$A:$T,ROW()+1,MATCH("거래유형",'04A_국토부원자료'!$A$4:$T$4,0)),"")</f>
        <v/>
      </c>
      <c r="N150" s="152">
        <f>IF(B150="","",IF('02_대상물건입력'!B5="",1,IF(ISNUMBER(SEARCH('02_대상물건입력'!B5,B150)),1,0)))</f>
        <v/>
      </c>
      <c r="O150" s="152">
        <f>IF(B150="","",IF('02_대상물건입력'!B6="",1,IF(ISNUMBER(SEARCH('02_대상물건입력'!B6,B150)),1,0)))</f>
        <v/>
      </c>
      <c r="P150" s="152">
        <f>IF(L150="","",IF('02_대상물건입력'!B15="",0,IF(ISNUMBER(SEARCH('02_대상물건입력'!B15,L150)),1,0)))</f>
        <v/>
      </c>
      <c r="Q150" s="152">
        <f>IF(OR(C150="",L150=""),0,IF(AND(TRIM(C150)=TRIM(RIGHT(SUBSTITUTE(TRIM('02_대상물건입력'!$B$7)," ",REPT(" ",99)),99)),IF('02_대상물건입력'!B15="",TRUE(),ISNUMBER(SEARCH('02_대상물건입력'!B15,L150)))),1,0))</f>
        <v/>
      </c>
      <c r="R150" s="175">
        <f>IFERROR(ABS(E150-'02_대상물건입력'!B11)/'02_대상물건입력'!B11,"")</f>
        <v/>
      </c>
      <c r="S150" s="152">
        <f>IFERROR(ABS(J150-'02_대상물건입력'!B10),"")</f>
        <v/>
      </c>
      <c r="T150" s="152">
        <f>IFERROR(ABS('01_설정'!B4-F150),"")</f>
        <v/>
      </c>
      <c r="U150" s="152">
        <f>IFERROR(ABS(K150-YEAR('02_대상물건입력'!B14)),"")</f>
        <v/>
      </c>
      <c r="V150" s="152">
        <f>IF(B150="","",IF(AND(E150&gt;0,F150&gt;0,H150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150=1,TRUE()),R150&lt;='01_설정'!B5,S150&lt;='01_설정'!B6,T150&lt;='01_설정'!B7,U150&lt;='01_설정'!B8),"Y",""))</f>
        <v/>
      </c>
      <c r="W150" s="172">
        <f>IF(V150&lt;&gt;"Y","",MAX(0,(1-R150/'01_설정'!B5))*'01_설정'!B14+MAX(0,(1-S150/'01_설정'!B6))*'01_설정'!B15+MAX(0,(1-T150/'01_설정'!B7))*'01_설정'!B16+MAX(0,(1-U150/'01_설정'!B8))*'01_설정'!B17+O150*'01_설정'!B11+Q150*'01_설정'!B12+P150*'01_설정'!B13+IF(Z150="",0,Z150))</f>
        <v/>
      </c>
      <c r="X150" s="152">
        <f>IF(W150="","",1+COUNTIFS($W$4:$W$3003,"&gt;"&amp;W150)+COUNTIFS($W$4:W150,W150)-1)</f>
        <v/>
      </c>
      <c r="Y150" s="175">
        <f>IF(OR(I150="",'02_대상물건입력'!B19="",'02_대상물건입력'!B19&lt;=0),"",ABS(I150-'02_대상물건입력'!B19)/'02_대상물건입력'!B19)</f>
        <v/>
      </c>
      <c r="Z150" s="172">
        <f>IF(OR(Y150="",'01_설정'!B31="",'01_설정'!B31&lt;=0,'01_설정'!B32="",'01_설정'!B32&lt;=0),"",MAX(0,(1-Y150/'01_설정'!B32))*'01_설정'!B31)</f>
        <v/>
      </c>
    </row>
    <row r="151" ht="17.25" customHeight="1">
      <c r="A151" s="152">
        <f>IF(INDEX('04A_국토부원자료'!$A:$A,ROW()+1)="","",ROW()-3)</f>
        <v/>
      </c>
      <c r="B151" s="48">
        <f>IFERROR(INDEX('04A_국토부원자료'!$A:$T,ROW()+1,MATCH("시군구",'04A_국토부원자료'!$A$4:$T$4,0)),"")</f>
        <v/>
      </c>
      <c r="C151" s="48">
        <f>IF(B151="","",IFERROR(INDEX('04A_국토부원자료'!$A:$T,ROW()+1,MATCH("번지",'04A_국토부원자료'!$A$4:$T$4,0)),""))</f>
        <v/>
      </c>
      <c r="D151" s="48">
        <f>IF(B151="","",IF(Q151=1,'02_대상물건입력'!$B$8,IFERROR(INDEX('04A_국토부원자료'!$A:$T,ROW()+1,MATCH("단지명",'04A_국토부원자료'!$A$4:$T$4,0)),"")))</f>
        <v/>
      </c>
      <c r="E151" s="172">
        <f>IFERROR(VALUE(SUBSTITUTE(INDEX('04A_국토부원자료'!$A:$T,ROW()+1,MATCH("전용면적(㎡)",'04A_국토부원자료'!$A$4:$T$4,0)),",","")),"")</f>
        <v/>
      </c>
      <c r="F1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1" s="51">
        <f>IFERROR(VALUE(SUBSTITUTE(INDEX('04A_국토부원자료'!$A:$T,ROW()+1,MATCH("거래금액(만원)",'04A_국토부원자료'!$A$4:$T$4,0)),",","")),"")</f>
        <v/>
      </c>
      <c r="H151" s="174">
        <f>IF(G151="","",G151*10000)</f>
        <v/>
      </c>
      <c r="I151" s="174">
        <f>IFERROR(IF(AND(H151&gt;0,E151&gt;0),H151/E151,""),"")</f>
        <v/>
      </c>
      <c r="J151" s="152">
        <f>IFERROR(VALUE(SUBSTITUTE(INDEX('04A_국토부원자료'!$A:$T,ROW()+1,MATCH("층",'04A_국토부원자료'!$A$4:$T$4,0)),",","")),"")</f>
        <v/>
      </c>
      <c r="K151" s="152">
        <f>IFERROR(VALUE(SUBSTITUTE(INDEX('04A_국토부원자료'!$A:$T,ROW()+1,MATCH("건축년도",'04A_국토부원자료'!$A$4:$T$4,0)),",","")),"")</f>
        <v/>
      </c>
      <c r="L151" s="176">
        <f>IFERROR(INDEX('04A_국토부원자료'!$A:$T,ROW()+1,MATCH("도로명",'04A_국토부원자료'!$A$4:$T$4,0)),"")</f>
        <v/>
      </c>
      <c r="M151" s="48">
        <f>IFERROR(INDEX('04A_국토부원자료'!$A:$T,ROW()+1,MATCH("거래유형",'04A_국토부원자료'!$A$4:$T$4,0)),"")</f>
        <v/>
      </c>
      <c r="N151" s="152">
        <f>IF(B151="","",IF('02_대상물건입력'!B5="",1,IF(ISNUMBER(SEARCH('02_대상물건입력'!B5,B151)),1,0)))</f>
        <v/>
      </c>
      <c r="O151" s="152">
        <f>IF(B151="","",IF('02_대상물건입력'!B6="",1,IF(ISNUMBER(SEARCH('02_대상물건입력'!B6,B151)),1,0)))</f>
        <v/>
      </c>
      <c r="P151" s="152">
        <f>IF(L151="","",IF('02_대상물건입력'!B15="",0,IF(ISNUMBER(SEARCH('02_대상물건입력'!B15,L151)),1,0)))</f>
        <v/>
      </c>
      <c r="Q151" s="152">
        <f>IF(OR(C151="",L151=""),0,IF(AND(TRIM(C151)=TRIM(RIGHT(SUBSTITUTE(TRIM('02_대상물건입력'!$B$7)," ",REPT(" ",99)),99)),IF('02_대상물건입력'!B15="",TRUE(),ISNUMBER(SEARCH('02_대상물건입력'!B15,L151)))),1,0))</f>
        <v/>
      </c>
      <c r="R151" s="175">
        <f>IFERROR(ABS(E151-'02_대상물건입력'!B11)/'02_대상물건입력'!B11,"")</f>
        <v/>
      </c>
      <c r="S151" s="152">
        <f>IFERROR(ABS(J151-'02_대상물건입력'!B10),"")</f>
        <v/>
      </c>
      <c r="T151" s="152">
        <f>IFERROR(ABS('01_설정'!B4-F151),"")</f>
        <v/>
      </c>
      <c r="U151" s="152">
        <f>IFERROR(ABS(K151-YEAR('02_대상물건입력'!B14)),"")</f>
        <v/>
      </c>
      <c r="V151" s="152">
        <f>IF(B151="","",IF(AND(E151&gt;0,F151&gt;0,H151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151=1,TRUE()),R151&lt;='01_설정'!B5,S151&lt;='01_설정'!B6,T151&lt;='01_설정'!B7,U151&lt;='01_설정'!B8),"Y",""))</f>
        <v/>
      </c>
      <c r="W151" s="172">
        <f>IF(V151&lt;&gt;"Y","",MAX(0,(1-R151/'01_설정'!B5))*'01_설정'!B14+MAX(0,(1-S151/'01_설정'!B6))*'01_설정'!B15+MAX(0,(1-T151/'01_설정'!B7))*'01_설정'!B16+MAX(0,(1-U151/'01_설정'!B8))*'01_설정'!B17+O151*'01_설정'!B11+Q151*'01_설정'!B12+P151*'01_설정'!B13+IF(Z151="",0,Z151))</f>
        <v/>
      </c>
      <c r="X151" s="152">
        <f>IF(W151="","",1+COUNTIFS($W$4:$W$3003,"&gt;"&amp;W151)+COUNTIFS($W$4:W151,W151)-1)</f>
        <v/>
      </c>
      <c r="Y151" s="175">
        <f>IF(OR(I151="",'02_대상물건입력'!B19="",'02_대상물건입력'!B19&lt;=0),"",ABS(I151-'02_대상물건입력'!B19)/'02_대상물건입력'!B19)</f>
        <v/>
      </c>
      <c r="Z151" s="172">
        <f>IF(OR(Y151="",'01_설정'!B31="",'01_설정'!B31&lt;=0,'01_설정'!B32="",'01_설정'!B32&lt;=0),"",MAX(0,(1-Y151/'01_설정'!B32))*'01_설정'!B31)</f>
        <v/>
      </c>
    </row>
    <row r="152" ht="17.25" customHeight="1">
      <c r="A152" s="152">
        <f>IF(INDEX('04A_국토부원자료'!$A:$A,ROW()+1)="","",ROW()-3)</f>
        <v/>
      </c>
      <c r="B152" s="48">
        <f>IFERROR(INDEX('04A_국토부원자료'!$A:$T,ROW()+1,MATCH("시군구",'04A_국토부원자료'!$A$4:$T$4,0)),"")</f>
        <v/>
      </c>
      <c r="C152" s="48">
        <f>IF(B152="","",IFERROR(INDEX('04A_국토부원자료'!$A:$T,ROW()+1,MATCH("번지",'04A_국토부원자료'!$A$4:$T$4,0)),""))</f>
        <v/>
      </c>
      <c r="D152" s="48">
        <f>IF(B152="","",IF(Q152=1,'02_대상물건입력'!$B$8,IFERROR(INDEX('04A_국토부원자료'!$A:$T,ROW()+1,MATCH("단지명",'04A_국토부원자료'!$A$4:$T$4,0)),"")))</f>
        <v/>
      </c>
      <c r="E152" s="172">
        <f>IFERROR(VALUE(SUBSTITUTE(INDEX('04A_국토부원자료'!$A:$T,ROW()+1,MATCH("전용면적(㎡)",'04A_국토부원자료'!$A$4:$T$4,0)),",","")),"")</f>
        <v/>
      </c>
      <c r="F1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2" s="51">
        <f>IFERROR(VALUE(SUBSTITUTE(INDEX('04A_국토부원자료'!$A:$T,ROW()+1,MATCH("거래금액(만원)",'04A_국토부원자료'!$A$4:$T$4,0)),",","")),"")</f>
        <v/>
      </c>
      <c r="H152" s="174">
        <f>IF(G152="","",G152*10000)</f>
        <v/>
      </c>
      <c r="I152" s="174">
        <f>IFERROR(IF(AND(H152&gt;0,E152&gt;0),H152/E152,""),"")</f>
        <v/>
      </c>
      <c r="J152" s="152">
        <f>IFERROR(VALUE(SUBSTITUTE(INDEX('04A_국토부원자료'!$A:$T,ROW()+1,MATCH("층",'04A_국토부원자료'!$A$4:$T$4,0)),",","")),"")</f>
        <v/>
      </c>
      <c r="K152" s="152">
        <f>IFERROR(VALUE(SUBSTITUTE(INDEX('04A_국토부원자료'!$A:$T,ROW()+1,MATCH("건축년도",'04A_국토부원자료'!$A$4:$T$4,0)),",","")),"")</f>
        <v/>
      </c>
      <c r="L152" s="176">
        <f>IFERROR(INDEX('04A_국토부원자료'!$A:$T,ROW()+1,MATCH("도로명",'04A_국토부원자료'!$A$4:$T$4,0)),"")</f>
        <v/>
      </c>
      <c r="M152" s="48">
        <f>IFERROR(INDEX('04A_국토부원자료'!$A:$T,ROW()+1,MATCH("거래유형",'04A_국토부원자료'!$A$4:$T$4,0)),"")</f>
        <v/>
      </c>
      <c r="N152" s="152">
        <f>IF(B152="","",IF('02_대상물건입력'!B5="",1,IF(ISNUMBER(SEARCH('02_대상물건입력'!B5,B152)),1,0)))</f>
        <v/>
      </c>
      <c r="O152" s="152">
        <f>IF(B152="","",IF('02_대상물건입력'!B6="",1,IF(ISNUMBER(SEARCH('02_대상물건입력'!B6,B152)),1,0)))</f>
        <v/>
      </c>
      <c r="P152" s="152">
        <f>IF(L152="","",IF('02_대상물건입력'!B15="",0,IF(ISNUMBER(SEARCH('02_대상물건입력'!B15,L152)),1,0)))</f>
        <v/>
      </c>
      <c r="Q152" s="152">
        <f>IF(OR(C152="",L152=""),0,IF(AND(TRIM(C152)=TRIM(RIGHT(SUBSTITUTE(TRIM('02_대상물건입력'!$B$7)," ",REPT(" ",99)),99)),IF('02_대상물건입력'!B15="",TRUE(),ISNUMBER(SEARCH('02_대상물건입력'!B15,L152)))),1,0))</f>
        <v/>
      </c>
      <c r="R152" s="175">
        <f>IFERROR(ABS(E152-'02_대상물건입력'!B11)/'02_대상물건입력'!B11,"")</f>
        <v/>
      </c>
      <c r="S152" s="152">
        <f>IFERROR(ABS(J152-'02_대상물건입력'!B10),"")</f>
        <v/>
      </c>
      <c r="T152" s="152">
        <f>IFERROR(ABS('01_설정'!B4-F152),"")</f>
        <v/>
      </c>
      <c r="U152" s="152">
        <f>IFERROR(ABS(K152-YEAR('02_대상물건입력'!B14)),"")</f>
        <v/>
      </c>
      <c r="V152" s="152">
        <f>IF(B152="","",IF(AND(E152&gt;0,F152&gt;0,H152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152=1,TRUE()),R152&lt;='01_설정'!B5,S152&lt;='01_설정'!B6,T152&lt;='01_설정'!B7,U152&lt;='01_설정'!B8),"Y",""))</f>
        <v/>
      </c>
      <c r="W152" s="172">
        <f>IF(V152&lt;&gt;"Y","",MAX(0,(1-R152/'01_설정'!B5))*'01_설정'!B14+MAX(0,(1-S152/'01_설정'!B6))*'01_설정'!B15+MAX(0,(1-T152/'01_설정'!B7))*'01_설정'!B16+MAX(0,(1-U152/'01_설정'!B8))*'01_설정'!B17+O152*'01_설정'!B11+Q152*'01_설정'!B12+P152*'01_설정'!B13+IF(Z152="",0,Z152))</f>
        <v/>
      </c>
      <c r="X152" s="152">
        <f>IF(W152="","",1+COUNTIFS($W$4:$W$3003,"&gt;"&amp;W152)+COUNTIFS($W$4:W152,W152)-1)</f>
        <v/>
      </c>
      <c r="Y152" s="175">
        <f>IF(OR(I152="",'02_대상물건입력'!B19="",'02_대상물건입력'!B19&lt;=0),"",ABS(I152-'02_대상물건입력'!B19)/'02_대상물건입력'!B19)</f>
        <v/>
      </c>
      <c r="Z152" s="172">
        <f>IF(OR(Y152="",'01_설정'!B31="",'01_설정'!B31&lt;=0,'01_설정'!B32="",'01_설정'!B32&lt;=0),"",MAX(0,(1-Y152/'01_설정'!B32))*'01_설정'!B31)</f>
        <v/>
      </c>
    </row>
    <row r="153" ht="17.25" customHeight="1">
      <c r="A153" s="152">
        <f>IF(INDEX('04A_국토부원자료'!$A:$A,ROW()+1)="","",ROW()-3)</f>
        <v/>
      </c>
      <c r="B153" s="48">
        <f>IFERROR(INDEX('04A_국토부원자료'!$A:$T,ROW()+1,MATCH("시군구",'04A_국토부원자료'!$A$4:$T$4,0)),"")</f>
        <v/>
      </c>
      <c r="C153" s="48">
        <f>IF(B153="","",IFERROR(INDEX('04A_국토부원자료'!$A:$T,ROW()+1,MATCH("번지",'04A_국토부원자료'!$A$4:$T$4,0)),""))</f>
        <v/>
      </c>
      <c r="D153" s="48">
        <f>IF(B153="","",IF(Q153=1,'02_대상물건입력'!$B$8,IFERROR(INDEX('04A_국토부원자료'!$A:$T,ROW()+1,MATCH("단지명",'04A_국토부원자료'!$A$4:$T$4,0)),"")))</f>
        <v/>
      </c>
      <c r="E153" s="172">
        <f>IFERROR(VALUE(SUBSTITUTE(INDEX('04A_국토부원자료'!$A:$T,ROW()+1,MATCH("전용면적(㎡)",'04A_국토부원자료'!$A$4:$T$4,0)),",","")),"")</f>
        <v/>
      </c>
      <c r="F1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3" s="51">
        <f>IFERROR(VALUE(SUBSTITUTE(INDEX('04A_국토부원자료'!$A:$T,ROW()+1,MATCH("거래금액(만원)",'04A_국토부원자료'!$A$4:$T$4,0)),",","")),"")</f>
        <v/>
      </c>
      <c r="H153" s="174">
        <f>IF(G153="","",G153*10000)</f>
        <v/>
      </c>
      <c r="I153" s="174">
        <f>IFERROR(IF(AND(H153&gt;0,E153&gt;0),H153/E153,""),"")</f>
        <v/>
      </c>
      <c r="J153" s="152">
        <f>IFERROR(VALUE(SUBSTITUTE(INDEX('04A_국토부원자료'!$A:$T,ROW()+1,MATCH("층",'04A_국토부원자료'!$A$4:$T$4,0)),",","")),"")</f>
        <v/>
      </c>
      <c r="K153" s="152">
        <f>IFERROR(VALUE(SUBSTITUTE(INDEX('04A_국토부원자료'!$A:$T,ROW()+1,MATCH("건축년도",'04A_국토부원자료'!$A$4:$T$4,0)),",","")),"")</f>
        <v/>
      </c>
      <c r="L153" s="176">
        <f>IFERROR(INDEX('04A_국토부원자료'!$A:$T,ROW()+1,MATCH("도로명",'04A_국토부원자료'!$A$4:$T$4,0)),"")</f>
        <v/>
      </c>
      <c r="M153" s="48">
        <f>IFERROR(INDEX('04A_국토부원자료'!$A:$T,ROW()+1,MATCH("거래유형",'04A_국토부원자료'!$A$4:$T$4,0)),"")</f>
        <v/>
      </c>
      <c r="N153" s="152">
        <f>IF(B153="","",IF('02_대상물건입력'!B5="",1,IF(ISNUMBER(SEARCH('02_대상물건입력'!B5,B153)),1,0)))</f>
        <v/>
      </c>
      <c r="O153" s="152">
        <f>IF(B153="","",IF('02_대상물건입력'!B6="",1,IF(ISNUMBER(SEARCH('02_대상물건입력'!B6,B153)),1,0)))</f>
        <v/>
      </c>
      <c r="P153" s="152">
        <f>IF(L153="","",IF('02_대상물건입력'!B15="",0,IF(ISNUMBER(SEARCH('02_대상물건입력'!B15,L153)),1,0)))</f>
        <v/>
      </c>
      <c r="Q153" s="152">
        <f>IF(OR(C153="",L153=""),0,IF(AND(TRIM(C153)=TRIM(RIGHT(SUBSTITUTE(TRIM('02_대상물건입력'!$B$7)," ",REPT(" ",99)),99)),IF('02_대상물건입력'!B15="",TRUE(),ISNUMBER(SEARCH('02_대상물건입력'!B15,L153)))),1,0))</f>
        <v/>
      </c>
      <c r="R153" s="175">
        <f>IFERROR(ABS(E153-'02_대상물건입력'!B11)/'02_대상물건입력'!B11,"")</f>
        <v/>
      </c>
      <c r="S153" s="152">
        <f>IFERROR(ABS(J153-'02_대상물건입력'!B10),"")</f>
        <v/>
      </c>
      <c r="T153" s="152">
        <f>IFERROR(ABS('01_설정'!B4-F153),"")</f>
        <v/>
      </c>
      <c r="U153" s="152">
        <f>IFERROR(ABS(K153-YEAR('02_대상물건입력'!B14)),"")</f>
        <v/>
      </c>
      <c r="V153" s="152">
        <f>IF(B153="","",IF(AND(E153&gt;0,F153&gt;0,H153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153=1,TRUE()),R153&lt;='01_설정'!B5,S153&lt;='01_설정'!B6,T153&lt;='01_설정'!B7,U153&lt;='01_설정'!B8),"Y",""))</f>
        <v/>
      </c>
      <c r="W153" s="172">
        <f>IF(V153&lt;&gt;"Y","",MAX(0,(1-R153/'01_설정'!B5))*'01_설정'!B14+MAX(0,(1-S153/'01_설정'!B6))*'01_설정'!B15+MAX(0,(1-T153/'01_설정'!B7))*'01_설정'!B16+MAX(0,(1-U153/'01_설정'!B8))*'01_설정'!B17+O153*'01_설정'!B11+Q153*'01_설정'!B12+P153*'01_설정'!B13+IF(Z153="",0,Z153))</f>
        <v/>
      </c>
      <c r="X153" s="152">
        <f>IF(W153="","",1+COUNTIFS($W$4:$W$3003,"&gt;"&amp;W153)+COUNTIFS($W$4:W153,W153)-1)</f>
        <v/>
      </c>
      <c r="Y153" s="175">
        <f>IF(OR(I153="",'02_대상물건입력'!B19="",'02_대상물건입력'!B19&lt;=0),"",ABS(I153-'02_대상물건입력'!B19)/'02_대상물건입력'!B19)</f>
        <v/>
      </c>
      <c r="Z153" s="172">
        <f>IF(OR(Y153="",'01_설정'!B31="",'01_설정'!B31&lt;=0,'01_설정'!B32="",'01_설정'!B32&lt;=0),"",MAX(0,(1-Y153/'01_설정'!B32))*'01_설정'!B31)</f>
        <v/>
      </c>
    </row>
    <row r="154" ht="17.25" customHeight="1">
      <c r="A154" s="152">
        <f>IF(INDEX('04A_국토부원자료'!$A:$A,ROW()+1)="","",ROW()-3)</f>
        <v/>
      </c>
      <c r="B154" s="48">
        <f>IFERROR(INDEX('04A_국토부원자료'!$A:$T,ROW()+1,MATCH("시군구",'04A_국토부원자료'!$A$4:$T$4,0)),"")</f>
        <v/>
      </c>
      <c r="C154" s="48">
        <f>IF(B154="","",IFERROR(INDEX('04A_국토부원자료'!$A:$T,ROW()+1,MATCH("번지",'04A_국토부원자료'!$A$4:$T$4,0)),""))</f>
        <v/>
      </c>
      <c r="D154" s="48">
        <f>IF(B154="","",IF(Q154=1,'02_대상물건입력'!$B$8,IFERROR(INDEX('04A_국토부원자료'!$A:$T,ROW()+1,MATCH("단지명",'04A_국토부원자료'!$A$4:$T$4,0)),"")))</f>
        <v/>
      </c>
      <c r="E154" s="172">
        <f>IFERROR(VALUE(SUBSTITUTE(INDEX('04A_국토부원자료'!$A:$T,ROW()+1,MATCH("전용면적(㎡)",'04A_국토부원자료'!$A$4:$T$4,0)),",","")),"")</f>
        <v/>
      </c>
      <c r="F1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4" s="51">
        <f>IFERROR(VALUE(SUBSTITUTE(INDEX('04A_국토부원자료'!$A:$T,ROW()+1,MATCH("거래금액(만원)",'04A_국토부원자료'!$A$4:$T$4,0)),",","")),"")</f>
        <v/>
      </c>
      <c r="H154" s="174">
        <f>IF(G154="","",G154*10000)</f>
        <v/>
      </c>
      <c r="I154" s="174">
        <f>IFERROR(IF(AND(H154&gt;0,E154&gt;0),H154/E154,""),"")</f>
        <v/>
      </c>
      <c r="J154" s="152">
        <f>IFERROR(VALUE(SUBSTITUTE(INDEX('04A_국토부원자료'!$A:$T,ROW()+1,MATCH("층",'04A_국토부원자료'!$A$4:$T$4,0)),",","")),"")</f>
        <v/>
      </c>
      <c r="K154" s="152">
        <f>IFERROR(VALUE(SUBSTITUTE(INDEX('04A_국토부원자료'!$A:$T,ROW()+1,MATCH("건축년도",'04A_국토부원자료'!$A$4:$T$4,0)),",","")),"")</f>
        <v/>
      </c>
      <c r="L154" s="176">
        <f>IFERROR(INDEX('04A_국토부원자료'!$A:$T,ROW()+1,MATCH("도로명",'04A_국토부원자료'!$A$4:$T$4,0)),"")</f>
        <v/>
      </c>
      <c r="M154" s="48">
        <f>IFERROR(INDEX('04A_국토부원자료'!$A:$T,ROW()+1,MATCH("거래유형",'04A_국토부원자료'!$A$4:$T$4,0)),"")</f>
        <v/>
      </c>
      <c r="N154" s="152">
        <f>IF(B154="","",IF('02_대상물건입력'!B5="",1,IF(ISNUMBER(SEARCH('02_대상물건입력'!B5,B154)),1,0)))</f>
        <v/>
      </c>
      <c r="O154" s="152">
        <f>IF(B154="","",IF('02_대상물건입력'!B6="",1,IF(ISNUMBER(SEARCH('02_대상물건입력'!B6,B154)),1,0)))</f>
        <v/>
      </c>
      <c r="P154" s="152">
        <f>IF(L154="","",IF('02_대상물건입력'!B15="",0,IF(ISNUMBER(SEARCH('02_대상물건입력'!B15,L154)),1,0)))</f>
        <v/>
      </c>
      <c r="Q154" s="152">
        <f>IF(OR(C154="",L154=""),0,IF(AND(TRIM(C154)=TRIM(RIGHT(SUBSTITUTE(TRIM('02_대상물건입력'!$B$7)," ",REPT(" ",99)),99)),IF('02_대상물건입력'!B15="",TRUE(),ISNUMBER(SEARCH('02_대상물건입력'!B15,L154)))),1,0))</f>
        <v/>
      </c>
      <c r="R154" s="175">
        <f>IFERROR(ABS(E154-'02_대상물건입력'!B11)/'02_대상물건입력'!B11,"")</f>
        <v/>
      </c>
      <c r="S154" s="152">
        <f>IFERROR(ABS(J154-'02_대상물건입력'!B10),"")</f>
        <v/>
      </c>
      <c r="T154" s="152">
        <f>IFERROR(ABS('01_설정'!B4-F154),"")</f>
        <v/>
      </c>
      <c r="U154" s="152">
        <f>IFERROR(ABS(K154-YEAR('02_대상물건입력'!B14)),"")</f>
        <v/>
      </c>
      <c r="V154" s="152">
        <f>IF(B154="","",IF(AND(E154&gt;0,F154&gt;0,H154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154=1,TRUE()),R154&lt;='01_설정'!B5,S154&lt;='01_설정'!B6,T154&lt;='01_설정'!B7,U154&lt;='01_설정'!B8),"Y",""))</f>
        <v/>
      </c>
      <c r="W154" s="172">
        <f>IF(V154&lt;&gt;"Y","",MAX(0,(1-R154/'01_설정'!B5))*'01_설정'!B14+MAX(0,(1-S154/'01_설정'!B6))*'01_설정'!B15+MAX(0,(1-T154/'01_설정'!B7))*'01_설정'!B16+MAX(0,(1-U154/'01_설정'!B8))*'01_설정'!B17+O154*'01_설정'!B11+Q154*'01_설정'!B12+P154*'01_설정'!B13+IF(Z154="",0,Z154))</f>
        <v/>
      </c>
      <c r="X154" s="152">
        <f>IF(W154="","",1+COUNTIFS($W$4:$W$3003,"&gt;"&amp;W154)+COUNTIFS($W$4:W154,W154)-1)</f>
        <v/>
      </c>
      <c r="Y154" s="175">
        <f>IF(OR(I154="",'02_대상물건입력'!B19="",'02_대상물건입력'!B19&lt;=0),"",ABS(I154-'02_대상물건입력'!B19)/'02_대상물건입력'!B19)</f>
        <v/>
      </c>
      <c r="Z154" s="172">
        <f>IF(OR(Y154="",'01_설정'!B31="",'01_설정'!B31&lt;=0,'01_설정'!B32="",'01_설정'!B32&lt;=0),"",MAX(0,(1-Y154/'01_설정'!B32))*'01_설정'!B31)</f>
        <v/>
      </c>
    </row>
    <row r="155" ht="17.25" customHeight="1">
      <c r="A155" s="152">
        <f>IF(INDEX('04A_국토부원자료'!$A:$A,ROW()+1)="","",ROW()-3)</f>
        <v/>
      </c>
      <c r="B155" s="48">
        <f>IFERROR(INDEX('04A_국토부원자료'!$A:$T,ROW()+1,MATCH("시군구",'04A_국토부원자료'!$A$4:$T$4,0)),"")</f>
        <v/>
      </c>
      <c r="C155" s="48">
        <f>IF(B155="","",IFERROR(INDEX('04A_국토부원자료'!$A:$T,ROW()+1,MATCH("번지",'04A_국토부원자료'!$A$4:$T$4,0)),""))</f>
        <v/>
      </c>
      <c r="D155" s="48">
        <f>IF(B155="","",IF(Q155=1,'02_대상물건입력'!$B$8,IFERROR(INDEX('04A_국토부원자료'!$A:$T,ROW()+1,MATCH("단지명",'04A_국토부원자료'!$A$4:$T$4,0)),"")))</f>
        <v/>
      </c>
      <c r="E155" s="172">
        <f>IFERROR(VALUE(SUBSTITUTE(INDEX('04A_국토부원자료'!$A:$T,ROW()+1,MATCH("전용면적(㎡)",'04A_국토부원자료'!$A$4:$T$4,0)),",","")),"")</f>
        <v/>
      </c>
      <c r="F1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5" s="51">
        <f>IFERROR(VALUE(SUBSTITUTE(INDEX('04A_국토부원자료'!$A:$T,ROW()+1,MATCH("거래금액(만원)",'04A_국토부원자료'!$A$4:$T$4,0)),",","")),"")</f>
        <v/>
      </c>
      <c r="H155" s="174">
        <f>IF(G155="","",G155*10000)</f>
        <v/>
      </c>
      <c r="I155" s="174">
        <f>IFERROR(IF(AND(H155&gt;0,E155&gt;0),H155/E155,""),"")</f>
        <v/>
      </c>
      <c r="J155" s="152">
        <f>IFERROR(VALUE(SUBSTITUTE(INDEX('04A_국토부원자료'!$A:$T,ROW()+1,MATCH("층",'04A_국토부원자료'!$A$4:$T$4,0)),",","")),"")</f>
        <v/>
      </c>
      <c r="K155" s="152">
        <f>IFERROR(VALUE(SUBSTITUTE(INDEX('04A_국토부원자료'!$A:$T,ROW()+1,MATCH("건축년도",'04A_국토부원자료'!$A$4:$T$4,0)),",","")),"")</f>
        <v/>
      </c>
      <c r="L155" s="176">
        <f>IFERROR(INDEX('04A_국토부원자료'!$A:$T,ROW()+1,MATCH("도로명",'04A_국토부원자료'!$A$4:$T$4,0)),"")</f>
        <v/>
      </c>
      <c r="M155" s="48">
        <f>IFERROR(INDEX('04A_국토부원자료'!$A:$T,ROW()+1,MATCH("거래유형",'04A_국토부원자료'!$A$4:$T$4,0)),"")</f>
        <v/>
      </c>
      <c r="N155" s="152">
        <f>IF(B155="","",IF('02_대상물건입력'!B5="",1,IF(ISNUMBER(SEARCH('02_대상물건입력'!B5,B155)),1,0)))</f>
        <v/>
      </c>
      <c r="O155" s="152">
        <f>IF(B155="","",IF('02_대상물건입력'!B6="",1,IF(ISNUMBER(SEARCH('02_대상물건입력'!B6,B155)),1,0)))</f>
        <v/>
      </c>
      <c r="P155" s="152">
        <f>IF(L155="","",IF('02_대상물건입력'!B15="",0,IF(ISNUMBER(SEARCH('02_대상물건입력'!B15,L155)),1,0)))</f>
        <v/>
      </c>
      <c r="Q155" s="152">
        <f>IF(OR(C155="",L155=""),0,IF(AND(TRIM(C155)=TRIM(RIGHT(SUBSTITUTE(TRIM('02_대상물건입력'!$B$7)," ",REPT(" ",99)),99)),IF('02_대상물건입력'!B15="",TRUE(),ISNUMBER(SEARCH('02_대상물건입력'!B15,L155)))),1,0))</f>
        <v/>
      </c>
      <c r="R155" s="175">
        <f>IFERROR(ABS(E155-'02_대상물건입력'!B11)/'02_대상물건입력'!B11,"")</f>
        <v/>
      </c>
      <c r="S155" s="152">
        <f>IFERROR(ABS(J155-'02_대상물건입력'!B10),"")</f>
        <v/>
      </c>
      <c r="T155" s="152">
        <f>IFERROR(ABS('01_설정'!B4-F155),"")</f>
        <v/>
      </c>
      <c r="U155" s="152">
        <f>IFERROR(ABS(K155-YEAR('02_대상물건입력'!B14)),"")</f>
        <v/>
      </c>
      <c r="V155" s="152">
        <f>IF(B155="","",IF(AND(E155&gt;0,F155&gt;0,H155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155=1,TRUE()),R155&lt;='01_설정'!B5,S155&lt;='01_설정'!B6,T155&lt;='01_설정'!B7,U155&lt;='01_설정'!B8),"Y",""))</f>
        <v/>
      </c>
      <c r="W155" s="172">
        <f>IF(V155&lt;&gt;"Y","",MAX(0,(1-R155/'01_설정'!B5))*'01_설정'!B14+MAX(0,(1-S155/'01_설정'!B6))*'01_설정'!B15+MAX(0,(1-T155/'01_설정'!B7))*'01_설정'!B16+MAX(0,(1-U155/'01_설정'!B8))*'01_설정'!B17+O155*'01_설정'!B11+Q155*'01_설정'!B12+P155*'01_설정'!B13+IF(Z155="",0,Z155))</f>
        <v/>
      </c>
      <c r="X155" s="152">
        <f>IF(W155="","",1+COUNTIFS($W$4:$W$3003,"&gt;"&amp;W155)+COUNTIFS($W$4:W155,W155)-1)</f>
        <v/>
      </c>
      <c r="Y155" s="175">
        <f>IF(OR(I155="",'02_대상물건입력'!B19="",'02_대상물건입력'!B19&lt;=0),"",ABS(I155-'02_대상물건입력'!B19)/'02_대상물건입력'!B19)</f>
        <v/>
      </c>
      <c r="Z155" s="172">
        <f>IF(OR(Y155="",'01_설정'!B31="",'01_설정'!B31&lt;=0,'01_설정'!B32="",'01_설정'!B32&lt;=0),"",MAX(0,(1-Y155/'01_설정'!B32))*'01_설정'!B31)</f>
        <v/>
      </c>
    </row>
    <row r="156" ht="17.25" customHeight="1">
      <c r="A156" s="152">
        <f>IF(INDEX('04A_국토부원자료'!$A:$A,ROW()+1)="","",ROW()-3)</f>
        <v/>
      </c>
      <c r="B156" s="48">
        <f>IFERROR(INDEX('04A_국토부원자료'!$A:$T,ROW()+1,MATCH("시군구",'04A_국토부원자료'!$A$4:$T$4,0)),"")</f>
        <v/>
      </c>
      <c r="C156" s="48">
        <f>IF(B156="","",IFERROR(INDEX('04A_국토부원자료'!$A:$T,ROW()+1,MATCH("번지",'04A_국토부원자료'!$A$4:$T$4,0)),""))</f>
        <v/>
      </c>
      <c r="D156" s="48">
        <f>IF(B156="","",IF(Q156=1,'02_대상물건입력'!$B$8,IFERROR(INDEX('04A_국토부원자료'!$A:$T,ROW()+1,MATCH("단지명",'04A_국토부원자료'!$A$4:$T$4,0)),"")))</f>
        <v/>
      </c>
      <c r="E156" s="172">
        <f>IFERROR(VALUE(SUBSTITUTE(INDEX('04A_국토부원자료'!$A:$T,ROW()+1,MATCH("전용면적(㎡)",'04A_국토부원자료'!$A$4:$T$4,0)),",","")),"")</f>
        <v/>
      </c>
      <c r="F1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6" s="51">
        <f>IFERROR(VALUE(SUBSTITUTE(INDEX('04A_국토부원자료'!$A:$T,ROW()+1,MATCH("거래금액(만원)",'04A_국토부원자료'!$A$4:$T$4,0)),",","")),"")</f>
        <v/>
      </c>
      <c r="H156" s="174">
        <f>IF(G156="","",G156*10000)</f>
        <v/>
      </c>
      <c r="I156" s="174">
        <f>IFERROR(IF(AND(H156&gt;0,E156&gt;0),H156/E156,""),"")</f>
        <v/>
      </c>
      <c r="J156" s="152">
        <f>IFERROR(VALUE(SUBSTITUTE(INDEX('04A_국토부원자료'!$A:$T,ROW()+1,MATCH("층",'04A_국토부원자료'!$A$4:$T$4,0)),",","")),"")</f>
        <v/>
      </c>
      <c r="K156" s="152">
        <f>IFERROR(VALUE(SUBSTITUTE(INDEX('04A_국토부원자료'!$A:$T,ROW()+1,MATCH("건축년도",'04A_국토부원자료'!$A$4:$T$4,0)),",","")),"")</f>
        <v/>
      </c>
      <c r="L156" s="176">
        <f>IFERROR(INDEX('04A_국토부원자료'!$A:$T,ROW()+1,MATCH("도로명",'04A_국토부원자료'!$A$4:$T$4,0)),"")</f>
        <v/>
      </c>
      <c r="M156" s="48">
        <f>IFERROR(INDEX('04A_국토부원자료'!$A:$T,ROW()+1,MATCH("거래유형",'04A_국토부원자료'!$A$4:$T$4,0)),"")</f>
        <v/>
      </c>
      <c r="N156" s="152">
        <f>IF(B156="","",IF('02_대상물건입력'!B5="",1,IF(ISNUMBER(SEARCH('02_대상물건입력'!B5,B156)),1,0)))</f>
        <v/>
      </c>
      <c r="O156" s="152">
        <f>IF(B156="","",IF('02_대상물건입력'!B6="",1,IF(ISNUMBER(SEARCH('02_대상물건입력'!B6,B156)),1,0)))</f>
        <v/>
      </c>
      <c r="P156" s="152">
        <f>IF(L156="","",IF('02_대상물건입력'!B15="",0,IF(ISNUMBER(SEARCH('02_대상물건입력'!B15,L156)),1,0)))</f>
        <v/>
      </c>
      <c r="Q156" s="152">
        <f>IF(OR(C156="",L156=""),0,IF(AND(TRIM(C156)=TRIM(RIGHT(SUBSTITUTE(TRIM('02_대상물건입력'!$B$7)," ",REPT(" ",99)),99)),IF('02_대상물건입력'!B15="",TRUE(),ISNUMBER(SEARCH('02_대상물건입력'!B15,L156)))),1,0))</f>
        <v/>
      </c>
      <c r="R156" s="175">
        <f>IFERROR(ABS(E156-'02_대상물건입력'!B11)/'02_대상물건입력'!B11,"")</f>
        <v/>
      </c>
      <c r="S156" s="152">
        <f>IFERROR(ABS(J156-'02_대상물건입력'!B10),"")</f>
        <v/>
      </c>
      <c r="T156" s="152">
        <f>IFERROR(ABS('01_설정'!B4-F156),"")</f>
        <v/>
      </c>
      <c r="U156" s="152">
        <f>IFERROR(ABS(K156-YEAR('02_대상물건입력'!B14)),"")</f>
        <v/>
      </c>
      <c r="V156" s="152">
        <f>IF(B156="","",IF(AND(E156&gt;0,F156&gt;0,H156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156=1,TRUE()),R156&lt;='01_설정'!B5,S156&lt;='01_설정'!B6,T156&lt;='01_설정'!B7,U156&lt;='01_설정'!B8),"Y",""))</f>
        <v/>
      </c>
      <c r="W156" s="172">
        <f>IF(V156&lt;&gt;"Y","",MAX(0,(1-R156/'01_설정'!B5))*'01_설정'!B14+MAX(0,(1-S156/'01_설정'!B6))*'01_설정'!B15+MAX(0,(1-T156/'01_설정'!B7))*'01_설정'!B16+MAX(0,(1-U156/'01_설정'!B8))*'01_설정'!B17+O156*'01_설정'!B11+Q156*'01_설정'!B12+P156*'01_설정'!B13+IF(Z156="",0,Z156))</f>
        <v/>
      </c>
      <c r="X156" s="152">
        <f>IF(W156="","",1+COUNTIFS($W$4:$W$3003,"&gt;"&amp;W156)+COUNTIFS($W$4:W156,W156)-1)</f>
        <v/>
      </c>
      <c r="Y156" s="175">
        <f>IF(OR(I156="",'02_대상물건입력'!B19="",'02_대상물건입력'!B19&lt;=0),"",ABS(I156-'02_대상물건입력'!B19)/'02_대상물건입력'!B19)</f>
        <v/>
      </c>
      <c r="Z156" s="172">
        <f>IF(OR(Y156="",'01_설정'!B31="",'01_설정'!B31&lt;=0,'01_설정'!B32="",'01_설정'!B32&lt;=0),"",MAX(0,(1-Y156/'01_설정'!B32))*'01_설정'!B31)</f>
        <v/>
      </c>
    </row>
    <row r="157" ht="17.25" customHeight="1">
      <c r="A157" s="152">
        <f>IF(INDEX('04A_국토부원자료'!$A:$A,ROW()+1)="","",ROW()-3)</f>
        <v/>
      </c>
      <c r="B157" s="48">
        <f>IFERROR(INDEX('04A_국토부원자료'!$A:$T,ROW()+1,MATCH("시군구",'04A_국토부원자료'!$A$4:$T$4,0)),"")</f>
        <v/>
      </c>
      <c r="C157" s="48">
        <f>IF(B157="","",IFERROR(INDEX('04A_국토부원자료'!$A:$T,ROW()+1,MATCH("번지",'04A_국토부원자료'!$A$4:$T$4,0)),""))</f>
        <v/>
      </c>
      <c r="D157" s="48">
        <f>IF(B157="","",IF(Q157=1,'02_대상물건입력'!$B$8,IFERROR(INDEX('04A_국토부원자료'!$A:$T,ROW()+1,MATCH("단지명",'04A_국토부원자료'!$A$4:$T$4,0)),"")))</f>
        <v/>
      </c>
      <c r="E157" s="172">
        <f>IFERROR(VALUE(SUBSTITUTE(INDEX('04A_국토부원자료'!$A:$T,ROW()+1,MATCH("전용면적(㎡)",'04A_국토부원자료'!$A$4:$T$4,0)),",","")),"")</f>
        <v/>
      </c>
      <c r="F1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7" s="51">
        <f>IFERROR(VALUE(SUBSTITUTE(INDEX('04A_국토부원자료'!$A:$T,ROW()+1,MATCH("거래금액(만원)",'04A_국토부원자료'!$A$4:$T$4,0)),",","")),"")</f>
        <v/>
      </c>
      <c r="H157" s="174">
        <f>IF(G157="","",G157*10000)</f>
        <v/>
      </c>
      <c r="I157" s="174">
        <f>IFERROR(IF(AND(H157&gt;0,E157&gt;0),H157/E157,""),"")</f>
        <v/>
      </c>
      <c r="J157" s="152">
        <f>IFERROR(VALUE(SUBSTITUTE(INDEX('04A_국토부원자료'!$A:$T,ROW()+1,MATCH("층",'04A_국토부원자료'!$A$4:$T$4,0)),",","")),"")</f>
        <v/>
      </c>
      <c r="K157" s="152">
        <f>IFERROR(VALUE(SUBSTITUTE(INDEX('04A_국토부원자료'!$A:$T,ROW()+1,MATCH("건축년도",'04A_국토부원자료'!$A$4:$T$4,0)),",","")),"")</f>
        <v/>
      </c>
      <c r="L157" s="176">
        <f>IFERROR(INDEX('04A_국토부원자료'!$A:$T,ROW()+1,MATCH("도로명",'04A_국토부원자료'!$A$4:$T$4,0)),"")</f>
        <v/>
      </c>
      <c r="M157" s="48">
        <f>IFERROR(INDEX('04A_국토부원자료'!$A:$T,ROW()+1,MATCH("거래유형",'04A_국토부원자료'!$A$4:$T$4,0)),"")</f>
        <v/>
      </c>
      <c r="N157" s="152">
        <f>IF(B157="","",IF('02_대상물건입력'!B5="",1,IF(ISNUMBER(SEARCH('02_대상물건입력'!B5,B157)),1,0)))</f>
        <v/>
      </c>
      <c r="O157" s="152">
        <f>IF(B157="","",IF('02_대상물건입력'!B6="",1,IF(ISNUMBER(SEARCH('02_대상물건입력'!B6,B157)),1,0)))</f>
        <v/>
      </c>
      <c r="P157" s="152">
        <f>IF(L157="","",IF('02_대상물건입력'!B15="",0,IF(ISNUMBER(SEARCH('02_대상물건입력'!B15,L157)),1,0)))</f>
        <v/>
      </c>
      <c r="Q157" s="152">
        <f>IF(OR(C157="",L157=""),0,IF(AND(TRIM(C157)=TRIM(RIGHT(SUBSTITUTE(TRIM('02_대상물건입력'!$B$7)," ",REPT(" ",99)),99)),IF('02_대상물건입력'!B15="",TRUE(),ISNUMBER(SEARCH('02_대상물건입력'!B15,L157)))),1,0))</f>
        <v/>
      </c>
      <c r="R157" s="175">
        <f>IFERROR(ABS(E157-'02_대상물건입력'!B11)/'02_대상물건입력'!B11,"")</f>
        <v/>
      </c>
      <c r="S157" s="152">
        <f>IFERROR(ABS(J157-'02_대상물건입력'!B10),"")</f>
        <v/>
      </c>
      <c r="T157" s="152">
        <f>IFERROR(ABS('01_설정'!B4-F157),"")</f>
        <v/>
      </c>
      <c r="U157" s="152">
        <f>IFERROR(ABS(K157-YEAR('02_대상물건입력'!B14)),"")</f>
        <v/>
      </c>
      <c r="V157" s="152">
        <f>IF(B157="","",IF(AND(E157&gt;0,F157&gt;0,H157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157=1,TRUE()),R157&lt;='01_설정'!B5,S157&lt;='01_설정'!B6,T157&lt;='01_설정'!B7,U157&lt;='01_설정'!B8),"Y",""))</f>
        <v/>
      </c>
      <c r="W157" s="172">
        <f>IF(V157&lt;&gt;"Y","",MAX(0,(1-R157/'01_설정'!B5))*'01_설정'!B14+MAX(0,(1-S157/'01_설정'!B6))*'01_설정'!B15+MAX(0,(1-T157/'01_설정'!B7))*'01_설정'!B16+MAX(0,(1-U157/'01_설정'!B8))*'01_설정'!B17+O157*'01_설정'!B11+Q157*'01_설정'!B12+P157*'01_설정'!B13+IF(Z157="",0,Z157))</f>
        <v/>
      </c>
      <c r="X157" s="152">
        <f>IF(W157="","",1+COUNTIFS($W$4:$W$3003,"&gt;"&amp;W157)+COUNTIFS($W$4:W157,W157)-1)</f>
        <v/>
      </c>
      <c r="Y157" s="175">
        <f>IF(OR(I157="",'02_대상물건입력'!B19="",'02_대상물건입력'!B19&lt;=0),"",ABS(I157-'02_대상물건입력'!B19)/'02_대상물건입력'!B19)</f>
        <v/>
      </c>
      <c r="Z157" s="172">
        <f>IF(OR(Y157="",'01_설정'!B31="",'01_설정'!B31&lt;=0,'01_설정'!B32="",'01_설정'!B32&lt;=0),"",MAX(0,(1-Y157/'01_설정'!B32))*'01_설정'!B31)</f>
        <v/>
      </c>
    </row>
    <row r="158" ht="17.25" customHeight="1">
      <c r="A158" s="152">
        <f>IF(INDEX('04A_국토부원자료'!$A:$A,ROW()+1)="","",ROW()-3)</f>
        <v/>
      </c>
      <c r="B158" s="48">
        <f>IFERROR(INDEX('04A_국토부원자료'!$A:$T,ROW()+1,MATCH("시군구",'04A_국토부원자료'!$A$4:$T$4,0)),"")</f>
        <v/>
      </c>
      <c r="C158" s="48">
        <f>IF(B158="","",IFERROR(INDEX('04A_국토부원자료'!$A:$T,ROW()+1,MATCH("번지",'04A_국토부원자료'!$A$4:$T$4,0)),""))</f>
        <v/>
      </c>
      <c r="D158" s="48">
        <f>IF(B158="","",IF(Q158=1,'02_대상물건입력'!$B$8,IFERROR(INDEX('04A_국토부원자료'!$A:$T,ROW()+1,MATCH("단지명",'04A_국토부원자료'!$A$4:$T$4,0)),"")))</f>
        <v/>
      </c>
      <c r="E158" s="172">
        <f>IFERROR(VALUE(SUBSTITUTE(INDEX('04A_국토부원자료'!$A:$T,ROW()+1,MATCH("전용면적(㎡)",'04A_국토부원자료'!$A$4:$T$4,0)),",","")),"")</f>
        <v/>
      </c>
      <c r="F1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8" s="51">
        <f>IFERROR(VALUE(SUBSTITUTE(INDEX('04A_국토부원자료'!$A:$T,ROW()+1,MATCH("거래금액(만원)",'04A_국토부원자료'!$A$4:$T$4,0)),",","")),"")</f>
        <v/>
      </c>
      <c r="H158" s="174">
        <f>IF(G158="","",G158*10000)</f>
        <v/>
      </c>
      <c r="I158" s="174">
        <f>IFERROR(IF(AND(H158&gt;0,E158&gt;0),H158/E158,""),"")</f>
        <v/>
      </c>
      <c r="J158" s="152">
        <f>IFERROR(VALUE(SUBSTITUTE(INDEX('04A_국토부원자료'!$A:$T,ROW()+1,MATCH("층",'04A_국토부원자료'!$A$4:$T$4,0)),",","")),"")</f>
        <v/>
      </c>
      <c r="K158" s="152">
        <f>IFERROR(VALUE(SUBSTITUTE(INDEX('04A_국토부원자료'!$A:$T,ROW()+1,MATCH("건축년도",'04A_국토부원자료'!$A$4:$T$4,0)),",","")),"")</f>
        <v/>
      </c>
      <c r="L158" s="176">
        <f>IFERROR(INDEX('04A_국토부원자료'!$A:$T,ROW()+1,MATCH("도로명",'04A_국토부원자료'!$A$4:$T$4,0)),"")</f>
        <v/>
      </c>
      <c r="M158" s="48">
        <f>IFERROR(INDEX('04A_국토부원자료'!$A:$T,ROW()+1,MATCH("거래유형",'04A_국토부원자료'!$A$4:$T$4,0)),"")</f>
        <v/>
      </c>
      <c r="N158" s="152">
        <f>IF(B158="","",IF('02_대상물건입력'!B5="",1,IF(ISNUMBER(SEARCH('02_대상물건입력'!B5,B158)),1,0)))</f>
        <v/>
      </c>
      <c r="O158" s="152">
        <f>IF(B158="","",IF('02_대상물건입력'!B6="",1,IF(ISNUMBER(SEARCH('02_대상물건입력'!B6,B158)),1,0)))</f>
        <v/>
      </c>
      <c r="P158" s="152">
        <f>IF(L158="","",IF('02_대상물건입력'!B15="",0,IF(ISNUMBER(SEARCH('02_대상물건입력'!B15,L158)),1,0)))</f>
        <v/>
      </c>
      <c r="Q158" s="152">
        <f>IF(OR(C158="",L158=""),0,IF(AND(TRIM(C158)=TRIM(RIGHT(SUBSTITUTE(TRIM('02_대상물건입력'!$B$7)," ",REPT(" ",99)),99)),IF('02_대상물건입력'!B15="",TRUE(),ISNUMBER(SEARCH('02_대상물건입력'!B15,L158)))),1,0))</f>
        <v/>
      </c>
      <c r="R158" s="175">
        <f>IFERROR(ABS(E158-'02_대상물건입력'!B11)/'02_대상물건입력'!B11,"")</f>
        <v/>
      </c>
      <c r="S158" s="152">
        <f>IFERROR(ABS(J158-'02_대상물건입력'!B10),"")</f>
        <v/>
      </c>
      <c r="T158" s="152">
        <f>IFERROR(ABS('01_설정'!B4-F158),"")</f>
        <v/>
      </c>
      <c r="U158" s="152">
        <f>IFERROR(ABS(K158-YEAR('02_대상물건입력'!B14)),"")</f>
        <v/>
      </c>
      <c r="V158" s="152">
        <f>IF(B158="","",IF(AND(E158&gt;0,F158&gt;0,H158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158=1,TRUE()),R158&lt;='01_설정'!B5,S158&lt;='01_설정'!B6,T158&lt;='01_설정'!B7,U158&lt;='01_설정'!B8),"Y",""))</f>
        <v/>
      </c>
      <c r="W158" s="172">
        <f>IF(V158&lt;&gt;"Y","",MAX(0,(1-R158/'01_설정'!B5))*'01_설정'!B14+MAX(0,(1-S158/'01_설정'!B6))*'01_설정'!B15+MAX(0,(1-T158/'01_설정'!B7))*'01_설정'!B16+MAX(0,(1-U158/'01_설정'!B8))*'01_설정'!B17+O158*'01_설정'!B11+Q158*'01_설정'!B12+P158*'01_설정'!B13+IF(Z158="",0,Z158))</f>
        <v/>
      </c>
      <c r="X158" s="152">
        <f>IF(W158="","",1+COUNTIFS($W$4:$W$3003,"&gt;"&amp;W158)+COUNTIFS($W$4:W158,W158)-1)</f>
        <v/>
      </c>
      <c r="Y158" s="175">
        <f>IF(OR(I158="",'02_대상물건입력'!B19="",'02_대상물건입력'!B19&lt;=0),"",ABS(I158-'02_대상물건입력'!B19)/'02_대상물건입력'!B19)</f>
        <v/>
      </c>
      <c r="Z158" s="172">
        <f>IF(OR(Y158="",'01_설정'!B31="",'01_설정'!B31&lt;=0,'01_설정'!B32="",'01_설정'!B32&lt;=0),"",MAX(0,(1-Y158/'01_설정'!B32))*'01_설정'!B31)</f>
        <v/>
      </c>
    </row>
    <row r="159" ht="17.25" customHeight="1">
      <c r="A159" s="152">
        <f>IF(INDEX('04A_국토부원자료'!$A:$A,ROW()+1)="","",ROW()-3)</f>
        <v/>
      </c>
      <c r="B159" s="48">
        <f>IFERROR(INDEX('04A_국토부원자료'!$A:$T,ROW()+1,MATCH("시군구",'04A_국토부원자료'!$A$4:$T$4,0)),"")</f>
        <v/>
      </c>
      <c r="C159" s="48">
        <f>IF(B159="","",IFERROR(INDEX('04A_국토부원자료'!$A:$T,ROW()+1,MATCH("번지",'04A_국토부원자료'!$A$4:$T$4,0)),""))</f>
        <v/>
      </c>
      <c r="D159" s="48">
        <f>IF(B159="","",IF(Q159=1,'02_대상물건입력'!$B$8,IFERROR(INDEX('04A_국토부원자료'!$A:$T,ROW()+1,MATCH("단지명",'04A_국토부원자료'!$A$4:$T$4,0)),"")))</f>
        <v/>
      </c>
      <c r="E159" s="172">
        <f>IFERROR(VALUE(SUBSTITUTE(INDEX('04A_국토부원자료'!$A:$T,ROW()+1,MATCH("전용면적(㎡)",'04A_국토부원자료'!$A$4:$T$4,0)),",","")),"")</f>
        <v/>
      </c>
      <c r="F1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9" s="51">
        <f>IFERROR(VALUE(SUBSTITUTE(INDEX('04A_국토부원자료'!$A:$T,ROW()+1,MATCH("거래금액(만원)",'04A_국토부원자료'!$A$4:$T$4,0)),",","")),"")</f>
        <v/>
      </c>
      <c r="H159" s="174">
        <f>IF(G159="","",G159*10000)</f>
        <v/>
      </c>
      <c r="I159" s="174">
        <f>IFERROR(IF(AND(H159&gt;0,E159&gt;0),H159/E159,""),"")</f>
        <v/>
      </c>
      <c r="J159" s="152">
        <f>IFERROR(VALUE(SUBSTITUTE(INDEX('04A_국토부원자료'!$A:$T,ROW()+1,MATCH("층",'04A_국토부원자료'!$A$4:$T$4,0)),",","")),"")</f>
        <v/>
      </c>
      <c r="K159" s="152">
        <f>IFERROR(VALUE(SUBSTITUTE(INDEX('04A_국토부원자료'!$A:$T,ROW()+1,MATCH("건축년도",'04A_국토부원자료'!$A$4:$T$4,0)),",","")),"")</f>
        <v/>
      </c>
      <c r="L159" s="176">
        <f>IFERROR(INDEX('04A_국토부원자료'!$A:$T,ROW()+1,MATCH("도로명",'04A_국토부원자료'!$A$4:$T$4,0)),"")</f>
        <v/>
      </c>
      <c r="M159" s="48">
        <f>IFERROR(INDEX('04A_국토부원자료'!$A:$T,ROW()+1,MATCH("거래유형",'04A_국토부원자료'!$A$4:$T$4,0)),"")</f>
        <v/>
      </c>
      <c r="N159" s="152">
        <f>IF(B159="","",IF('02_대상물건입력'!B5="",1,IF(ISNUMBER(SEARCH('02_대상물건입력'!B5,B159)),1,0)))</f>
        <v/>
      </c>
      <c r="O159" s="152">
        <f>IF(B159="","",IF('02_대상물건입력'!B6="",1,IF(ISNUMBER(SEARCH('02_대상물건입력'!B6,B159)),1,0)))</f>
        <v/>
      </c>
      <c r="P159" s="152">
        <f>IF(L159="","",IF('02_대상물건입력'!B15="",0,IF(ISNUMBER(SEARCH('02_대상물건입력'!B15,L159)),1,0)))</f>
        <v/>
      </c>
      <c r="Q159" s="152">
        <f>IF(OR(C159="",L159=""),0,IF(AND(TRIM(C159)=TRIM(RIGHT(SUBSTITUTE(TRIM('02_대상물건입력'!$B$7)," ",REPT(" ",99)),99)),IF('02_대상물건입력'!B15="",TRUE(),ISNUMBER(SEARCH('02_대상물건입력'!B15,L159)))),1,0))</f>
        <v/>
      </c>
      <c r="R159" s="175">
        <f>IFERROR(ABS(E159-'02_대상물건입력'!B11)/'02_대상물건입력'!B11,"")</f>
        <v/>
      </c>
      <c r="S159" s="152">
        <f>IFERROR(ABS(J159-'02_대상물건입력'!B10),"")</f>
        <v/>
      </c>
      <c r="T159" s="152">
        <f>IFERROR(ABS('01_설정'!B4-F159),"")</f>
        <v/>
      </c>
      <c r="U159" s="152">
        <f>IFERROR(ABS(K159-YEAR('02_대상물건입력'!B14)),"")</f>
        <v/>
      </c>
      <c r="V159" s="152">
        <f>IF(B159="","",IF(AND(E159&gt;0,F159&gt;0,H159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159=1,TRUE()),R159&lt;='01_설정'!B5,S159&lt;='01_설정'!B6,T159&lt;='01_설정'!B7,U159&lt;='01_설정'!B8),"Y",""))</f>
        <v/>
      </c>
      <c r="W159" s="172">
        <f>IF(V159&lt;&gt;"Y","",MAX(0,(1-R159/'01_설정'!B5))*'01_설정'!B14+MAX(0,(1-S159/'01_설정'!B6))*'01_설정'!B15+MAX(0,(1-T159/'01_설정'!B7))*'01_설정'!B16+MAX(0,(1-U159/'01_설정'!B8))*'01_설정'!B17+O159*'01_설정'!B11+Q159*'01_설정'!B12+P159*'01_설정'!B13+IF(Z159="",0,Z159))</f>
        <v/>
      </c>
      <c r="X159" s="152">
        <f>IF(W159="","",1+COUNTIFS($W$4:$W$3003,"&gt;"&amp;W159)+COUNTIFS($W$4:W159,W159)-1)</f>
        <v/>
      </c>
      <c r="Y159" s="175">
        <f>IF(OR(I159="",'02_대상물건입력'!B19="",'02_대상물건입력'!B19&lt;=0),"",ABS(I159-'02_대상물건입력'!B19)/'02_대상물건입력'!B19)</f>
        <v/>
      </c>
      <c r="Z159" s="172">
        <f>IF(OR(Y159="",'01_설정'!B31="",'01_설정'!B31&lt;=0,'01_설정'!B32="",'01_설정'!B32&lt;=0),"",MAX(0,(1-Y159/'01_설정'!B32))*'01_설정'!B31)</f>
        <v/>
      </c>
    </row>
    <row r="160" ht="17.25" customHeight="1">
      <c r="A160" s="152">
        <f>IF(INDEX('04A_국토부원자료'!$A:$A,ROW()+1)="","",ROW()-3)</f>
        <v/>
      </c>
      <c r="B160" s="48">
        <f>IFERROR(INDEX('04A_국토부원자료'!$A:$T,ROW()+1,MATCH("시군구",'04A_국토부원자료'!$A$4:$T$4,0)),"")</f>
        <v/>
      </c>
      <c r="C160" s="48">
        <f>IF(B160="","",IFERROR(INDEX('04A_국토부원자료'!$A:$T,ROW()+1,MATCH("번지",'04A_국토부원자료'!$A$4:$T$4,0)),""))</f>
        <v/>
      </c>
      <c r="D160" s="48">
        <f>IF(B160="","",IF(Q160=1,'02_대상물건입력'!$B$8,IFERROR(INDEX('04A_국토부원자료'!$A:$T,ROW()+1,MATCH("단지명",'04A_국토부원자료'!$A$4:$T$4,0)),"")))</f>
        <v/>
      </c>
      <c r="E160" s="172">
        <f>IFERROR(VALUE(SUBSTITUTE(INDEX('04A_국토부원자료'!$A:$T,ROW()+1,MATCH("전용면적(㎡)",'04A_국토부원자료'!$A$4:$T$4,0)),",","")),"")</f>
        <v/>
      </c>
      <c r="F1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0" s="51">
        <f>IFERROR(VALUE(SUBSTITUTE(INDEX('04A_국토부원자료'!$A:$T,ROW()+1,MATCH("거래금액(만원)",'04A_국토부원자료'!$A$4:$T$4,0)),",","")),"")</f>
        <v/>
      </c>
      <c r="H160" s="174">
        <f>IF(G160="","",G160*10000)</f>
        <v/>
      </c>
      <c r="I160" s="174">
        <f>IFERROR(IF(AND(H160&gt;0,E160&gt;0),H160/E160,""),"")</f>
        <v/>
      </c>
      <c r="J160" s="152">
        <f>IFERROR(VALUE(SUBSTITUTE(INDEX('04A_국토부원자료'!$A:$T,ROW()+1,MATCH("층",'04A_국토부원자료'!$A$4:$T$4,0)),",","")),"")</f>
        <v/>
      </c>
      <c r="K160" s="152">
        <f>IFERROR(VALUE(SUBSTITUTE(INDEX('04A_국토부원자료'!$A:$T,ROW()+1,MATCH("건축년도",'04A_국토부원자료'!$A$4:$T$4,0)),",","")),"")</f>
        <v/>
      </c>
      <c r="L160" s="176">
        <f>IFERROR(INDEX('04A_국토부원자료'!$A:$T,ROW()+1,MATCH("도로명",'04A_국토부원자료'!$A$4:$T$4,0)),"")</f>
        <v/>
      </c>
      <c r="M160" s="48">
        <f>IFERROR(INDEX('04A_국토부원자료'!$A:$T,ROW()+1,MATCH("거래유형",'04A_국토부원자료'!$A$4:$T$4,0)),"")</f>
        <v/>
      </c>
      <c r="N160" s="152">
        <f>IF(B160="","",IF('02_대상물건입력'!B5="",1,IF(ISNUMBER(SEARCH('02_대상물건입력'!B5,B160)),1,0)))</f>
        <v/>
      </c>
      <c r="O160" s="152">
        <f>IF(B160="","",IF('02_대상물건입력'!B6="",1,IF(ISNUMBER(SEARCH('02_대상물건입력'!B6,B160)),1,0)))</f>
        <v/>
      </c>
      <c r="P160" s="152">
        <f>IF(L160="","",IF('02_대상물건입력'!B15="",0,IF(ISNUMBER(SEARCH('02_대상물건입력'!B15,L160)),1,0)))</f>
        <v/>
      </c>
      <c r="Q160" s="152">
        <f>IF(OR(C160="",L160=""),0,IF(AND(TRIM(C160)=TRIM(RIGHT(SUBSTITUTE(TRIM('02_대상물건입력'!$B$7)," ",REPT(" ",99)),99)),IF('02_대상물건입력'!B15="",TRUE(),ISNUMBER(SEARCH('02_대상물건입력'!B15,L160)))),1,0))</f>
        <v/>
      </c>
      <c r="R160" s="175">
        <f>IFERROR(ABS(E160-'02_대상물건입력'!B11)/'02_대상물건입력'!B11,"")</f>
        <v/>
      </c>
      <c r="S160" s="152">
        <f>IFERROR(ABS(J160-'02_대상물건입력'!B10),"")</f>
        <v/>
      </c>
      <c r="T160" s="152">
        <f>IFERROR(ABS('01_설정'!B4-F160),"")</f>
        <v/>
      </c>
      <c r="U160" s="152">
        <f>IFERROR(ABS(K160-YEAR('02_대상물건입력'!B14)),"")</f>
        <v/>
      </c>
      <c r="V160" s="152">
        <f>IF(B160="","",IF(AND(E160&gt;0,F160&gt;0,H160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160=1,TRUE()),R160&lt;='01_설정'!B5,S160&lt;='01_설정'!B6,T160&lt;='01_설정'!B7,U160&lt;='01_설정'!B8),"Y",""))</f>
        <v/>
      </c>
      <c r="W160" s="172">
        <f>IF(V160&lt;&gt;"Y","",MAX(0,(1-R160/'01_설정'!B5))*'01_설정'!B14+MAX(0,(1-S160/'01_설정'!B6))*'01_설정'!B15+MAX(0,(1-T160/'01_설정'!B7))*'01_설정'!B16+MAX(0,(1-U160/'01_설정'!B8))*'01_설정'!B17+O160*'01_설정'!B11+Q160*'01_설정'!B12+P160*'01_설정'!B13+IF(Z160="",0,Z160))</f>
        <v/>
      </c>
      <c r="X160" s="152">
        <f>IF(W160="","",1+COUNTIFS($W$4:$W$3003,"&gt;"&amp;W160)+COUNTIFS($W$4:W160,W160)-1)</f>
        <v/>
      </c>
      <c r="Y160" s="175">
        <f>IF(OR(I160="",'02_대상물건입력'!B19="",'02_대상물건입력'!B19&lt;=0),"",ABS(I160-'02_대상물건입력'!B19)/'02_대상물건입력'!B19)</f>
        <v/>
      </c>
      <c r="Z160" s="172">
        <f>IF(OR(Y160="",'01_설정'!B31="",'01_설정'!B31&lt;=0,'01_설정'!B32="",'01_설정'!B32&lt;=0),"",MAX(0,(1-Y160/'01_설정'!B32))*'01_설정'!B31)</f>
        <v/>
      </c>
    </row>
    <row r="161" ht="17.25" customHeight="1">
      <c r="A161" s="152">
        <f>IF(INDEX('04A_국토부원자료'!$A:$A,ROW()+1)="","",ROW()-3)</f>
        <v/>
      </c>
      <c r="B161" s="48">
        <f>IFERROR(INDEX('04A_국토부원자료'!$A:$T,ROW()+1,MATCH("시군구",'04A_국토부원자료'!$A$4:$T$4,0)),"")</f>
        <v/>
      </c>
      <c r="C161" s="48">
        <f>IF(B161="","",IFERROR(INDEX('04A_국토부원자료'!$A:$T,ROW()+1,MATCH("번지",'04A_국토부원자료'!$A$4:$T$4,0)),""))</f>
        <v/>
      </c>
      <c r="D161" s="48">
        <f>IF(B161="","",IF(Q161=1,'02_대상물건입력'!$B$8,IFERROR(INDEX('04A_국토부원자료'!$A:$T,ROW()+1,MATCH("단지명",'04A_국토부원자료'!$A$4:$T$4,0)),"")))</f>
        <v/>
      </c>
      <c r="E161" s="172">
        <f>IFERROR(VALUE(SUBSTITUTE(INDEX('04A_국토부원자료'!$A:$T,ROW()+1,MATCH("전용면적(㎡)",'04A_국토부원자료'!$A$4:$T$4,0)),",","")),"")</f>
        <v/>
      </c>
      <c r="F1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1" s="51">
        <f>IFERROR(VALUE(SUBSTITUTE(INDEX('04A_국토부원자료'!$A:$T,ROW()+1,MATCH("거래금액(만원)",'04A_국토부원자료'!$A$4:$T$4,0)),",","")),"")</f>
        <v/>
      </c>
      <c r="H161" s="174">
        <f>IF(G161="","",G161*10000)</f>
        <v/>
      </c>
      <c r="I161" s="174">
        <f>IFERROR(IF(AND(H161&gt;0,E161&gt;0),H161/E161,""),"")</f>
        <v/>
      </c>
      <c r="J161" s="152">
        <f>IFERROR(VALUE(SUBSTITUTE(INDEX('04A_국토부원자료'!$A:$T,ROW()+1,MATCH("층",'04A_국토부원자료'!$A$4:$T$4,0)),",","")),"")</f>
        <v/>
      </c>
      <c r="K161" s="152">
        <f>IFERROR(VALUE(SUBSTITUTE(INDEX('04A_국토부원자료'!$A:$T,ROW()+1,MATCH("건축년도",'04A_국토부원자료'!$A$4:$T$4,0)),",","")),"")</f>
        <v/>
      </c>
      <c r="L161" s="176">
        <f>IFERROR(INDEX('04A_국토부원자료'!$A:$T,ROW()+1,MATCH("도로명",'04A_국토부원자료'!$A$4:$T$4,0)),"")</f>
        <v/>
      </c>
      <c r="M161" s="48">
        <f>IFERROR(INDEX('04A_국토부원자료'!$A:$T,ROW()+1,MATCH("거래유형",'04A_국토부원자료'!$A$4:$T$4,0)),"")</f>
        <v/>
      </c>
      <c r="N161" s="152">
        <f>IF(B161="","",IF('02_대상물건입력'!B5="",1,IF(ISNUMBER(SEARCH('02_대상물건입력'!B5,B161)),1,0)))</f>
        <v/>
      </c>
      <c r="O161" s="152">
        <f>IF(B161="","",IF('02_대상물건입력'!B6="",1,IF(ISNUMBER(SEARCH('02_대상물건입력'!B6,B161)),1,0)))</f>
        <v/>
      </c>
      <c r="P161" s="152">
        <f>IF(L161="","",IF('02_대상물건입력'!B15="",0,IF(ISNUMBER(SEARCH('02_대상물건입력'!B15,L161)),1,0)))</f>
        <v/>
      </c>
      <c r="Q161" s="152">
        <f>IF(OR(C161="",L161=""),0,IF(AND(TRIM(C161)=TRIM(RIGHT(SUBSTITUTE(TRIM('02_대상물건입력'!$B$7)," ",REPT(" ",99)),99)),IF('02_대상물건입력'!B15="",TRUE(),ISNUMBER(SEARCH('02_대상물건입력'!B15,L161)))),1,0))</f>
        <v/>
      </c>
      <c r="R161" s="175">
        <f>IFERROR(ABS(E161-'02_대상물건입력'!B11)/'02_대상물건입력'!B11,"")</f>
        <v/>
      </c>
      <c r="S161" s="152">
        <f>IFERROR(ABS(J161-'02_대상물건입력'!B10),"")</f>
        <v/>
      </c>
      <c r="T161" s="152">
        <f>IFERROR(ABS('01_설정'!B4-F161),"")</f>
        <v/>
      </c>
      <c r="U161" s="152">
        <f>IFERROR(ABS(K161-YEAR('02_대상물건입력'!B14)),"")</f>
        <v/>
      </c>
      <c r="V161" s="152">
        <f>IF(B161="","",IF(AND(E161&gt;0,F161&gt;0,H161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161=1,TRUE()),R161&lt;='01_설정'!B5,S161&lt;='01_설정'!B6,T161&lt;='01_설정'!B7,U161&lt;='01_설정'!B8),"Y",""))</f>
        <v/>
      </c>
      <c r="W161" s="172">
        <f>IF(V161&lt;&gt;"Y","",MAX(0,(1-R161/'01_설정'!B5))*'01_설정'!B14+MAX(0,(1-S161/'01_설정'!B6))*'01_설정'!B15+MAX(0,(1-T161/'01_설정'!B7))*'01_설정'!B16+MAX(0,(1-U161/'01_설정'!B8))*'01_설정'!B17+O161*'01_설정'!B11+Q161*'01_설정'!B12+P161*'01_설정'!B13+IF(Z161="",0,Z161))</f>
        <v/>
      </c>
      <c r="X161" s="152">
        <f>IF(W161="","",1+COUNTIFS($W$4:$W$3003,"&gt;"&amp;W161)+COUNTIFS($W$4:W161,W161)-1)</f>
        <v/>
      </c>
      <c r="Y161" s="175">
        <f>IF(OR(I161="",'02_대상물건입력'!B19="",'02_대상물건입력'!B19&lt;=0),"",ABS(I161-'02_대상물건입력'!B19)/'02_대상물건입력'!B19)</f>
        <v/>
      </c>
      <c r="Z161" s="172">
        <f>IF(OR(Y161="",'01_설정'!B31="",'01_설정'!B31&lt;=0,'01_설정'!B32="",'01_설정'!B32&lt;=0),"",MAX(0,(1-Y161/'01_설정'!B32))*'01_설정'!B31)</f>
        <v/>
      </c>
    </row>
    <row r="162" ht="17.25" customHeight="1">
      <c r="A162" s="152">
        <f>IF(INDEX('04A_국토부원자료'!$A:$A,ROW()+1)="","",ROW()-3)</f>
        <v/>
      </c>
      <c r="B162" s="48">
        <f>IFERROR(INDEX('04A_국토부원자료'!$A:$T,ROW()+1,MATCH("시군구",'04A_국토부원자료'!$A$4:$T$4,0)),"")</f>
        <v/>
      </c>
      <c r="C162" s="48">
        <f>IF(B162="","",IFERROR(INDEX('04A_국토부원자료'!$A:$T,ROW()+1,MATCH("번지",'04A_국토부원자료'!$A$4:$T$4,0)),""))</f>
        <v/>
      </c>
      <c r="D162" s="48">
        <f>IF(B162="","",IF(Q162=1,'02_대상물건입력'!$B$8,IFERROR(INDEX('04A_국토부원자료'!$A:$T,ROW()+1,MATCH("단지명",'04A_국토부원자료'!$A$4:$T$4,0)),"")))</f>
        <v/>
      </c>
      <c r="E162" s="172">
        <f>IFERROR(VALUE(SUBSTITUTE(INDEX('04A_국토부원자료'!$A:$T,ROW()+1,MATCH("전용면적(㎡)",'04A_국토부원자료'!$A$4:$T$4,0)),",","")),"")</f>
        <v/>
      </c>
      <c r="F1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2" s="51">
        <f>IFERROR(VALUE(SUBSTITUTE(INDEX('04A_국토부원자료'!$A:$T,ROW()+1,MATCH("거래금액(만원)",'04A_국토부원자료'!$A$4:$T$4,0)),",","")),"")</f>
        <v/>
      </c>
      <c r="H162" s="174">
        <f>IF(G162="","",G162*10000)</f>
        <v/>
      </c>
      <c r="I162" s="174">
        <f>IFERROR(IF(AND(H162&gt;0,E162&gt;0),H162/E162,""),"")</f>
        <v/>
      </c>
      <c r="J162" s="152">
        <f>IFERROR(VALUE(SUBSTITUTE(INDEX('04A_국토부원자료'!$A:$T,ROW()+1,MATCH("층",'04A_국토부원자료'!$A$4:$T$4,0)),",","")),"")</f>
        <v/>
      </c>
      <c r="K162" s="152">
        <f>IFERROR(VALUE(SUBSTITUTE(INDEX('04A_국토부원자료'!$A:$T,ROW()+1,MATCH("건축년도",'04A_국토부원자료'!$A$4:$T$4,0)),",","")),"")</f>
        <v/>
      </c>
      <c r="L162" s="176">
        <f>IFERROR(INDEX('04A_국토부원자료'!$A:$T,ROW()+1,MATCH("도로명",'04A_국토부원자료'!$A$4:$T$4,0)),"")</f>
        <v/>
      </c>
      <c r="M162" s="48">
        <f>IFERROR(INDEX('04A_국토부원자료'!$A:$T,ROW()+1,MATCH("거래유형",'04A_국토부원자료'!$A$4:$T$4,0)),"")</f>
        <v/>
      </c>
      <c r="N162" s="152">
        <f>IF(B162="","",IF('02_대상물건입력'!B5="",1,IF(ISNUMBER(SEARCH('02_대상물건입력'!B5,B162)),1,0)))</f>
        <v/>
      </c>
      <c r="O162" s="152">
        <f>IF(B162="","",IF('02_대상물건입력'!B6="",1,IF(ISNUMBER(SEARCH('02_대상물건입력'!B6,B162)),1,0)))</f>
        <v/>
      </c>
      <c r="P162" s="152">
        <f>IF(L162="","",IF('02_대상물건입력'!B15="",0,IF(ISNUMBER(SEARCH('02_대상물건입력'!B15,L162)),1,0)))</f>
        <v/>
      </c>
      <c r="Q162" s="152">
        <f>IF(OR(C162="",L162=""),0,IF(AND(TRIM(C162)=TRIM(RIGHT(SUBSTITUTE(TRIM('02_대상물건입력'!$B$7)," ",REPT(" ",99)),99)),IF('02_대상물건입력'!B15="",TRUE(),ISNUMBER(SEARCH('02_대상물건입력'!B15,L162)))),1,0))</f>
        <v/>
      </c>
      <c r="R162" s="175">
        <f>IFERROR(ABS(E162-'02_대상물건입력'!B11)/'02_대상물건입력'!B11,"")</f>
        <v/>
      </c>
      <c r="S162" s="152">
        <f>IFERROR(ABS(J162-'02_대상물건입력'!B10),"")</f>
        <v/>
      </c>
      <c r="T162" s="152">
        <f>IFERROR(ABS('01_설정'!B4-F162),"")</f>
        <v/>
      </c>
      <c r="U162" s="152">
        <f>IFERROR(ABS(K162-YEAR('02_대상물건입력'!B14)),"")</f>
        <v/>
      </c>
      <c r="V162" s="152">
        <f>IF(B162="","",IF(AND(E162&gt;0,F162&gt;0,H162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162=1,TRUE()),R162&lt;='01_설정'!B5,S162&lt;='01_설정'!B6,T162&lt;='01_설정'!B7,U162&lt;='01_설정'!B8),"Y",""))</f>
        <v/>
      </c>
      <c r="W162" s="172">
        <f>IF(V162&lt;&gt;"Y","",MAX(0,(1-R162/'01_설정'!B5))*'01_설정'!B14+MAX(0,(1-S162/'01_설정'!B6))*'01_설정'!B15+MAX(0,(1-T162/'01_설정'!B7))*'01_설정'!B16+MAX(0,(1-U162/'01_설정'!B8))*'01_설정'!B17+O162*'01_설정'!B11+Q162*'01_설정'!B12+P162*'01_설정'!B13+IF(Z162="",0,Z162))</f>
        <v/>
      </c>
      <c r="X162" s="152">
        <f>IF(W162="","",1+COUNTIFS($W$4:$W$3003,"&gt;"&amp;W162)+COUNTIFS($W$4:W162,W162)-1)</f>
        <v/>
      </c>
      <c r="Y162" s="175">
        <f>IF(OR(I162="",'02_대상물건입력'!B19="",'02_대상물건입력'!B19&lt;=0),"",ABS(I162-'02_대상물건입력'!B19)/'02_대상물건입력'!B19)</f>
        <v/>
      </c>
      <c r="Z162" s="172">
        <f>IF(OR(Y162="",'01_설정'!B31="",'01_설정'!B31&lt;=0,'01_설정'!B32="",'01_설정'!B32&lt;=0),"",MAX(0,(1-Y162/'01_설정'!B32))*'01_설정'!B31)</f>
        <v/>
      </c>
    </row>
    <row r="163" ht="17.25" customHeight="1">
      <c r="A163" s="152">
        <f>IF(INDEX('04A_국토부원자료'!$A:$A,ROW()+1)="","",ROW()-3)</f>
        <v/>
      </c>
      <c r="B163" s="48">
        <f>IFERROR(INDEX('04A_국토부원자료'!$A:$T,ROW()+1,MATCH("시군구",'04A_국토부원자료'!$A$4:$T$4,0)),"")</f>
        <v/>
      </c>
      <c r="C163" s="48">
        <f>IF(B163="","",IFERROR(INDEX('04A_국토부원자료'!$A:$T,ROW()+1,MATCH("번지",'04A_국토부원자료'!$A$4:$T$4,0)),""))</f>
        <v/>
      </c>
      <c r="D163" s="48">
        <f>IF(B163="","",IF(Q163=1,'02_대상물건입력'!$B$8,IFERROR(INDEX('04A_국토부원자료'!$A:$T,ROW()+1,MATCH("단지명",'04A_국토부원자료'!$A$4:$T$4,0)),"")))</f>
        <v/>
      </c>
      <c r="E163" s="172">
        <f>IFERROR(VALUE(SUBSTITUTE(INDEX('04A_국토부원자료'!$A:$T,ROW()+1,MATCH("전용면적(㎡)",'04A_국토부원자료'!$A$4:$T$4,0)),",","")),"")</f>
        <v/>
      </c>
      <c r="F1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3" s="51">
        <f>IFERROR(VALUE(SUBSTITUTE(INDEX('04A_국토부원자료'!$A:$T,ROW()+1,MATCH("거래금액(만원)",'04A_국토부원자료'!$A$4:$T$4,0)),",","")),"")</f>
        <v/>
      </c>
      <c r="H163" s="174">
        <f>IF(G163="","",G163*10000)</f>
        <v/>
      </c>
      <c r="I163" s="174">
        <f>IFERROR(IF(AND(H163&gt;0,E163&gt;0),H163/E163,""),"")</f>
        <v/>
      </c>
      <c r="J163" s="152">
        <f>IFERROR(VALUE(SUBSTITUTE(INDEX('04A_국토부원자료'!$A:$T,ROW()+1,MATCH("층",'04A_국토부원자료'!$A$4:$T$4,0)),",","")),"")</f>
        <v/>
      </c>
      <c r="K163" s="152">
        <f>IFERROR(VALUE(SUBSTITUTE(INDEX('04A_국토부원자료'!$A:$T,ROW()+1,MATCH("건축년도",'04A_국토부원자료'!$A$4:$T$4,0)),",","")),"")</f>
        <v/>
      </c>
      <c r="L163" s="176">
        <f>IFERROR(INDEX('04A_국토부원자료'!$A:$T,ROW()+1,MATCH("도로명",'04A_국토부원자료'!$A$4:$T$4,0)),"")</f>
        <v/>
      </c>
      <c r="M163" s="48">
        <f>IFERROR(INDEX('04A_국토부원자료'!$A:$T,ROW()+1,MATCH("거래유형",'04A_국토부원자료'!$A$4:$T$4,0)),"")</f>
        <v/>
      </c>
      <c r="N163" s="152">
        <f>IF(B163="","",IF('02_대상물건입력'!B5="",1,IF(ISNUMBER(SEARCH('02_대상물건입력'!B5,B163)),1,0)))</f>
        <v/>
      </c>
      <c r="O163" s="152">
        <f>IF(B163="","",IF('02_대상물건입력'!B6="",1,IF(ISNUMBER(SEARCH('02_대상물건입력'!B6,B163)),1,0)))</f>
        <v/>
      </c>
      <c r="P163" s="152">
        <f>IF(L163="","",IF('02_대상물건입력'!B15="",0,IF(ISNUMBER(SEARCH('02_대상물건입력'!B15,L163)),1,0)))</f>
        <v/>
      </c>
      <c r="Q163" s="152">
        <f>IF(OR(C163="",L163=""),0,IF(AND(TRIM(C163)=TRIM(RIGHT(SUBSTITUTE(TRIM('02_대상물건입력'!$B$7)," ",REPT(" ",99)),99)),IF('02_대상물건입력'!B15="",TRUE(),ISNUMBER(SEARCH('02_대상물건입력'!B15,L163)))),1,0))</f>
        <v/>
      </c>
      <c r="R163" s="175">
        <f>IFERROR(ABS(E163-'02_대상물건입력'!B11)/'02_대상물건입력'!B11,"")</f>
        <v/>
      </c>
      <c r="S163" s="152">
        <f>IFERROR(ABS(J163-'02_대상물건입력'!B10),"")</f>
        <v/>
      </c>
      <c r="T163" s="152">
        <f>IFERROR(ABS('01_설정'!B4-F163),"")</f>
        <v/>
      </c>
      <c r="U163" s="152">
        <f>IFERROR(ABS(K163-YEAR('02_대상물건입력'!B14)),"")</f>
        <v/>
      </c>
      <c r="V163" s="152">
        <f>IF(B163="","",IF(AND(E163&gt;0,F163&gt;0,H163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163=1,TRUE()),R163&lt;='01_설정'!B5,S163&lt;='01_설정'!B6,T163&lt;='01_설정'!B7,U163&lt;='01_설정'!B8),"Y",""))</f>
        <v/>
      </c>
      <c r="W163" s="172">
        <f>IF(V163&lt;&gt;"Y","",MAX(0,(1-R163/'01_설정'!B5))*'01_설정'!B14+MAX(0,(1-S163/'01_설정'!B6))*'01_설정'!B15+MAX(0,(1-T163/'01_설정'!B7))*'01_설정'!B16+MAX(0,(1-U163/'01_설정'!B8))*'01_설정'!B17+O163*'01_설정'!B11+Q163*'01_설정'!B12+P163*'01_설정'!B13+IF(Z163="",0,Z163))</f>
        <v/>
      </c>
      <c r="X163" s="152">
        <f>IF(W163="","",1+COUNTIFS($W$4:$W$3003,"&gt;"&amp;W163)+COUNTIFS($W$4:W163,W163)-1)</f>
        <v/>
      </c>
      <c r="Y163" s="175">
        <f>IF(OR(I163="",'02_대상물건입력'!B19="",'02_대상물건입력'!B19&lt;=0),"",ABS(I163-'02_대상물건입력'!B19)/'02_대상물건입력'!B19)</f>
        <v/>
      </c>
      <c r="Z163" s="172">
        <f>IF(OR(Y163="",'01_설정'!B31="",'01_설정'!B31&lt;=0,'01_설정'!B32="",'01_설정'!B32&lt;=0),"",MAX(0,(1-Y163/'01_설정'!B32))*'01_설정'!B31)</f>
        <v/>
      </c>
    </row>
    <row r="164" ht="17.25" customHeight="1">
      <c r="A164" s="152">
        <f>IF(INDEX('04A_국토부원자료'!$A:$A,ROW()+1)="","",ROW()-3)</f>
        <v/>
      </c>
      <c r="B164" s="48">
        <f>IFERROR(INDEX('04A_국토부원자료'!$A:$T,ROW()+1,MATCH("시군구",'04A_국토부원자료'!$A$4:$T$4,0)),"")</f>
        <v/>
      </c>
      <c r="C164" s="48">
        <f>IF(B164="","",IFERROR(INDEX('04A_국토부원자료'!$A:$T,ROW()+1,MATCH("번지",'04A_국토부원자료'!$A$4:$T$4,0)),""))</f>
        <v/>
      </c>
      <c r="D164" s="48">
        <f>IF(B164="","",IF(Q164=1,'02_대상물건입력'!$B$8,IFERROR(INDEX('04A_국토부원자료'!$A:$T,ROW()+1,MATCH("단지명",'04A_국토부원자료'!$A$4:$T$4,0)),"")))</f>
        <v/>
      </c>
      <c r="E164" s="172">
        <f>IFERROR(VALUE(SUBSTITUTE(INDEX('04A_국토부원자료'!$A:$T,ROW()+1,MATCH("전용면적(㎡)",'04A_국토부원자료'!$A$4:$T$4,0)),",","")),"")</f>
        <v/>
      </c>
      <c r="F1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4" s="51">
        <f>IFERROR(VALUE(SUBSTITUTE(INDEX('04A_국토부원자료'!$A:$T,ROW()+1,MATCH("거래금액(만원)",'04A_국토부원자료'!$A$4:$T$4,0)),",","")),"")</f>
        <v/>
      </c>
      <c r="H164" s="174">
        <f>IF(G164="","",G164*10000)</f>
        <v/>
      </c>
      <c r="I164" s="174">
        <f>IFERROR(IF(AND(H164&gt;0,E164&gt;0),H164/E164,""),"")</f>
        <v/>
      </c>
      <c r="J164" s="152">
        <f>IFERROR(VALUE(SUBSTITUTE(INDEX('04A_국토부원자료'!$A:$T,ROW()+1,MATCH("층",'04A_국토부원자료'!$A$4:$T$4,0)),",","")),"")</f>
        <v/>
      </c>
      <c r="K164" s="152">
        <f>IFERROR(VALUE(SUBSTITUTE(INDEX('04A_국토부원자료'!$A:$T,ROW()+1,MATCH("건축년도",'04A_국토부원자료'!$A$4:$T$4,0)),",","")),"")</f>
        <v/>
      </c>
      <c r="L164" s="176">
        <f>IFERROR(INDEX('04A_국토부원자료'!$A:$T,ROW()+1,MATCH("도로명",'04A_국토부원자료'!$A$4:$T$4,0)),"")</f>
        <v/>
      </c>
      <c r="M164" s="48">
        <f>IFERROR(INDEX('04A_국토부원자료'!$A:$T,ROW()+1,MATCH("거래유형",'04A_국토부원자료'!$A$4:$T$4,0)),"")</f>
        <v/>
      </c>
      <c r="N164" s="152">
        <f>IF(B164="","",IF('02_대상물건입력'!B5="",1,IF(ISNUMBER(SEARCH('02_대상물건입력'!B5,B164)),1,0)))</f>
        <v/>
      </c>
      <c r="O164" s="152">
        <f>IF(B164="","",IF('02_대상물건입력'!B6="",1,IF(ISNUMBER(SEARCH('02_대상물건입력'!B6,B164)),1,0)))</f>
        <v/>
      </c>
      <c r="P164" s="152">
        <f>IF(L164="","",IF('02_대상물건입력'!B15="",0,IF(ISNUMBER(SEARCH('02_대상물건입력'!B15,L164)),1,0)))</f>
        <v/>
      </c>
      <c r="Q164" s="152">
        <f>IF(OR(C164="",L164=""),0,IF(AND(TRIM(C164)=TRIM(RIGHT(SUBSTITUTE(TRIM('02_대상물건입력'!$B$7)," ",REPT(" ",99)),99)),IF('02_대상물건입력'!B15="",TRUE(),ISNUMBER(SEARCH('02_대상물건입력'!B15,L164)))),1,0))</f>
        <v/>
      </c>
      <c r="R164" s="175">
        <f>IFERROR(ABS(E164-'02_대상물건입력'!B11)/'02_대상물건입력'!B11,"")</f>
        <v/>
      </c>
      <c r="S164" s="152">
        <f>IFERROR(ABS(J164-'02_대상물건입력'!B10),"")</f>
        <v/>
      </c>
      <c r="T164" s="152">
        <f>IFERROR(ABS('01_설정'!B4-F164),"")</f>
        <v/>
      </c>
      <c r="U164" s="152">
        <f>IFERROR(ABS(K164-YEAR('02_대상물건입력'!B14)),"")</f>
        <v/>
      </c>
      <c r="V164" s="152">
        <f>IF(B164="","",IF(AND(E164&gt;0,F164&gt;0,H164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164=1,TRUE()),R164&lt;='01_설정'!B5,S164&lt;='01_설정'!B6,T164&lt;='01_설정'!B7,U164&lt;='01_설정'!B8),"Y",""))</f>
        <v/>
      </c>
      <c r="W164" s="172">
        <f>IF(V164&lt;&gt;"Y","",MAX(0,(1-R164/'01_설정'!B5))*'01_설정'!B14+MAX(0,(1-S164/'01_설정'!B6))*'01_설정'!B15+MAX(0,(1-T164/'01_설정'!B7))*'01_설정'!B16+MAX(0,(1-U164/'01_설정'!B8))*'01_설정'!B17+O164*'01_설정'!B11+Q164*'01_설정'!B12+P164*'01_설정'!B13+IF(Z164="",0,Z164))</f>
        <v/>
      </c>
      <c r="X164" s="152">
        <f>IF(W164="","",1+COUNTIFS($W$4:$W$3003,"&gt;"&amp;W164)+COUNTIFS($W$4:W164,W164)-1)</f>
        <v/>
      </c>
      <c r="Y164" s="175">
        <f>IF(OR(I164="",'02_대상물건입력'!B19="",'02_대상물건입력'!B19&lt;=0),"",ABS(I164-'02_대상물건입력'!B19)/'02_대상물건입력'!B19)</f>
        <v/>
      </c>
      <c r="Z164" s="172">
        <f>IF(OR(Y164="",'01_설정'!B31="",'01_설정'!B31&lt;=0,'01_설정'!B32="",'01_설정'!B32&lt;=0),"",MAX(0,(1-Y164/'01_설정'!B32))*'01_설정'!B31)</f>
        <v/>
      </c>
    </row>
    <row r="165" ht="17.25" customHeight="1">
      <c r="A165" s="152">
        <f>IF(INDEX('04A_국토부원자료'!$A:$A,ROW()+1)="","",ROW()-3)</f>
        <v/>
      </c>
      <c r="B165" s="48">
        <f>IFERROR(INDEX('04A_국토부원자료'!$A:$T,ROW()+1,MATCH("시군구",'04A_국토부원자료'!$A$4:$T$4,0)),"")</f>
        <v/>
      </c>
      <c r="C165" s="48">
        <f>IF(B165="","",IFERROR(INDEX('04A_국토부원자료'!$A:$T,ROW()+1,MATCH("번지",'04A_국토부원자료'!$A$4:$T$4,0)),""))</f>
        <v/>
      </c>
      <c r="D165" s="48">
        <f>IF(B165="","",IF(Q165=1,'02_대상물건입력'!$B$8,IFERROR(INDEX('04A_국토부원자료'!$A:$T,ROW()+1,MATCH("단지명",'04A_국토부원자료'!$A$4:$T$4,0)),"")))</f>
        <v/>
      </c>
      <c r="E165" s="172">
        <f>IFERROR(VALUE(SUBSTITUTE(INDEX('04A_국토부원자료'!$A:$T,ROW()+1,MATCH("전용면적(㎡)",'04A_국토부원자료'!$A$4:$T$4,0)),",","")),"")</f>
        <v/>
      </c>
      <c r="F1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5" s="51">
        <f>IFERROR(VALUE(SUBSTITUTE(INDEX('04A_국토부원자료'!$A:$T,ROW()+1,MATCH("거래금액(만원)",'04A_국토부원자료'!$A$4:$T$4,0)),",","")),"")</f>
        <v/>
      </c>
      <c r="H165" s="174">
        <f>IF(G165="","",G165*10000)</f>
        <v/>
      </c>
      <c r="I165" s="174">
        <f>IFERROR(IF(AND(H165&gt;0,E165&gt;0),H165/E165,""),"")</f>
        <v/>
      </c>
      <c r="J165" s="152">
        <f>IFERROR(VALUE(SUBSTITUTE(INDEX('04A_국토부원자료'!$A:$T,ROW()+1,MATCH("층",'04A_국토부원자료'!$A$4:$T$4,0)),",","")),"")</f>
        <v/>
      </c>
      <c r="K165" s="152">
        <f>IFERROR(VALUE(SUBSTITUTE(INDEX('04A_국토부원자료'!$A:$T,ROW()+1,MATCH("건축년도",'04A_국토부원자료'!$A$4:$T$4,0)),",","")),"")</f>
        <v/>
      </c>
      <c r="L165" s="176">
        <f>IFERROR(INDEX('04A_국토부원자료'!$A:$T,ROW()+1,MATCH("도로명",'04A_국토부원자료'!$A$4:$T$4,0)),"")</f>
        <v/>
      </c>
      <c r="M165" s="48">
        <f>IFERROR(INDEX('04A_국토부원자료'!$A:$T,ROW()+1,MATCH("거래유형",'04A_국토부원자료'!$A$4:$T$4,0)),"")</f>
        <v/>
      </c>
      <c r="N165" s="152">
        <f>IF(B165="","",IF('02_대상물건입력'!B5="",1,IF(ISNUMBER(SEARCH('02_대상물건입력'!B5,B165)),1,0)))</f>
        <v/>
      </c>
      <c r="O165" s="152">
        <f>IF(B165="","",IF('02_대상물건입력'!B6="",1,IF(ISNUMBER(SEARCH('02_대상물건입력'!B6,B165)),1,0)))</f>
        <v/>
      </c>
      <c r="P165" s="152">
        <f>IF(L165="","",IF('02_대상물건입력'!B15="",0,IF(ISNUMBER(SEARCH('02_대상물건입력'!B15,L165)),1,0)))</f>
        <v/>
      </c>
      <c r="Q165" s="152">
        <f>IF(OR(C165="",L165=""),0,IF(AND(TRIM(C165)=TRIM(RIGHT(SUBSTITUTE(TRIM('02_대상물건입력'!$B$7)," ",REPT(" ",99)),99)),IF('02_대상물건입력'!B15="",TRUE(),ISNUMBER(SEARCH('02_대상물건입력'!B15,L165)))),1,0))</f>
        <v/>
      </c>
      <c r="R165" s="175">
        <f>IFERROR(ABS(E165-'02_대상물건입력'!B11)/'02_대상물건입력'!B11,"")</f>
        <v/>
      </c>
      <c r="S165" s="152">
        <f>IFERROR(ABS(J165-'02_대상물건입력'!B10),"")</f>
        <v/>
      </c>
      <c r="T165" s="152">
        <f>IFERROR(ABS('01_설정'!B4-F165),"")</f>
        <v/>
      </c>
      <c r="U165" s="152">
        <f>IFERROR(ABS(K165-YEAR('02_대상물건입력'!B14)),"")</f>
        <v/>
      </c>
      <c r="V165" s="152">
        <f>IF(B165="","",IF(AND(E165&gt;0,F165&gt;0,H165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165=1,TRUE()),R165&lt;='01_설정'!B5,S165&lt;='01_설정'!B6,T165&lt;='01_설정'!B7,U165&lt;='01_설정'!B8),"Y",""))</f>
        <v/>
      </c>
      <c r="W165" s="172">
        <f>IF(V165&lt;&gt;"Y","",MAX(0,(1-R165/'01_설정'!B5))*'01_설정'!B14+MAX(0,(1-S165/'01_설정'!B6))*'01_설정'!B15+MAX(0,(1-T165/'01_설정'!B7))*'01_설정'!B16+MAX(0,(1-U165/'01_설정'!B8))*'01_설정'!B17+O165*'01_설정'!B11+Q165*'01_설정'!B12+P165*'01_설정'!B13+IF(Z165="",0,Z165))</f>
        <v/>
      </c>
      <c r="X165" s="152">
        <f>IF(W165="","",1+COUNTIFS($W$4:$W$3003,"&gt;"&amp;W165)+COUNTIFS($W$4:W165,W165)-1)</f>
        <v/>
      </c>
      <c r="Y165" s="175">
        <f>IF(OR(I165="",'02_대상물건입력'!B19="",'02_대상물건입력'!B19&lt;=0),"",ABS(I165-'02_대상물건입력'!B19)/'02_대상물건입력'!B19)</f>
        <v/>
      </c>
      <c r="Z165" s="172">
        <f>IF(OR(Y165="",'01_설정'!B31="",'01_설정'!B31&lt;=0,'01_설정'!B32="",'01_설정'!B32&lt;=0),"",MAX(0,(1-Y165/'01_설정'!B32))*'01_설정'!B31)</f>
        <v/>
      </c>
    </row>
    <row r="166" ht="17.25" customHeight="1">
      <c r="A166" s="152">
        <f>IF(INDEX('04A_국토부원자료'!$A:$A,ROW()+1)="","",ROW()-3)</f>
        <v/>
      </c>
      <c r="B166" s="48">
        <f>IFERROR(INDEX('04A_국토부원자료'!$A:$T,ROW()+1,MATCH("시군구",'04A_국토부원자료'!$A$4:$T$4,0)),"")</f>
        <v/>
      </c>
      <c r="C166" s="48">
        <f>IF(B166="","",IFERROR(INDEX('04A_국토부원자료'!$A:$T,ROW()+1,MATCH("번지",'04A_국토부원자료'!$A$4:$T$4,0)),""))</f>
        <v/>
      </c>
      <c r="D166" s="48">
        <f>IF(B166="","",IF(Q166=1,'02_대상물건입력'!$B$8,IFERROR(INDEX('04A_국토부원자료'!$A:$T,ROW()+1,MATCH("단지명",'04A_국토부원자료'!$A$4:$T$4,0)),"")))</f>
        <v/>
      </c>
      <c r="E166" s="172">
        <f>IFERROR(VALUE(SUBSTITUTE(INDEX('04A_국토부원자료'!$A:$T,ROW()+1,MATCH("전용면적(㎡)",'04A_국토부원자료'!$A$4:$T$4,0)),",","")),"")</f>
        <v/>
      </c>
      <c r="F1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6" s="51">
        <f>IFERROR(VALUE(SUBSTITUTE(INDEX('04A_국토부원자료'!$A:$T,ROW()+1,MATCH("거래금액(만원)",'04A_국토부원자료'!$A$4:$T$4,0)),",","")),"")</f>
        <v/>
      </c>
      <c r="H166" s="174">
        <f>IF(G166="","",G166*10000)</f>
        <v/>
      </c>
      <c r="I166" s="174">
        <f>IFERROR(IF(AND(H166&gt;0,E166&gt;0),H166/E166,""),"")</f>
        <v/>
      </c>
      <c r="J166" s="152">
        <f>IFERROR(VALUE(SUBSTITUTE(INDEX('04A_국토부원자료'!$A:$T,ROW()+1,MATCH("층",'04A_국토부원자료'!$A$4:$T$4,0)),",","")),"")</f>
        <v/>
      </c>
      <c r="K166" s="152">
        <f>IFERROR(VALUE(SUBSTITUTE(INDEX('04A_국토부원자료'!$A:$T,ROW()+1,MATCH("건축년도",'04A_국토부원자료'!$A$4:$T$4,0)),",","")),"")</f>
        <v/>
      </c>
      <c r="L166" s="176">
        <f>IFERROR(INDEX('04A_국토부원자료'!$A:$T,ROW()+1,MATCH("도로명",'04A_국토부원자료'!$A$4:$T$4,0)),"")</f>
        <v/>
      </c>
      <c r="M166" s="48">
        <f>IFERROR(INDEX('04A_국토부원자료'!$A:$T,ROW()+1,MATCH("거래유형",'04A_국토부원자료'!$A$4:$T$4,0)),"")</f>
        <v/>
      </c>
      <c r="N166" s="152">
        <f>IF(B166="","",IF('02_대상물건입력'!B5="",1,IF(ISNUMBER(SEARCH('02_대상물건입력'!B5,B166)),1,0)))</f>
        <v/>
      </c>
      <c r="O166" s="152">
        <f>IF(B166="","",IF('02_대상물건입력'!B6="",1,IF(ISNUMBER(SEARCH('02_대상물건입력'!B6,B166)),1,0)))</f>
        <v/>
      </c>
      <c r="P166" s="152">
        <f>IF(L166="","",IF('02_대상물건입력'!B15="",0,IF(ISNUMBER(SEARCH('02_대상물건입력'!B15,L166)),1,0)))</f>
        <v/>
      </c>
      <c r="Q166" s="152">
        <f>IF(OR(C166="",L166=""),0,IF(AND(TRIM(C166)=TRIM(RIGHT(SUBSTITUTE(TRIM('02_대상물건입력'!$B$7)," ",REPT(" ",99)),99)),IF('02_대상물건입력'!B15="",TRUE(),ISNUMBER(SEARCH('02_대상물건입력'!B15,L166)))),1,0))</f>
        <v/>
      </c>
      <c r="R166" s="175">
        <f>IFERROR(ABS(E166-'02_대상물건입력'!B11)/'02_대상물건입력'!B11,"")</f>
        <v/>
      </c>
      <c r="S166" s="152">
        <f>IFERROR(ABS(J166-'02_대상물건입력'!B10),"")</f>
        <v/>
      </c>
      <c r="T166" s="152">
        <f>IFERROR(ABS('01_설정'!B4-F166),"")</f>
        <v/>
      </c>
      <c r="U166" s="152">
        <f>IFERROR(ABS(K166-YEAR('02_대상물건입력'!B14)),"")</f>
        <v/>
      </c>
      <c r="V166" s="152">
        <f>IF(B166="","",IF(AND(E166&gt;0,F166&gt;0,H166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166=1,TRUE()),R166&lt;='01_설정'!B5,S166&lt;='01_설정'!B6,T166&lt;='01_설정'!B7,U166&lt;='01_설정'!B8),"Y",""))</f>
        <v/>
      </c>
      <c r="W166" s="172">
        <f>IF(V166&lt;&gt;"Y","",MAX(0,(1-R166/'01_설정'!B5))*'01_설정'!B14+MAX(0,(1-S166/'01_설정'!B6))*'01_설정'!B15+MAX(0,(1-T166/'01_설정'!B7))*'01_설정'!B16+MAX(0,(1-U166/'01_설정'!B8))*'01_설정'!B17+O166*'01_설정'!B11+Q166*'01_설정'!B12+P166*'01_설정'!B13+IF(Z166="",0,Z166))</f>
        <v/>
      </c>
      <c r="X166" s="152">
        <f>IF(W166="","",1+COUNTIFS($W$4:$W$3003,"&gt;"&amp;W166)+COUNTIFS($W$4:W166,W166)-1)</f>
        <v/>
      </c>
      <c r="Y166" s="175">
        <f>IF(OR(I166="",'02_대상물건입력'!B19="",'02_대상물건입력'!B19&lt;=0),"",ABS(I166-'02_대상물건입력'!B19)/'02_대상물건입력'!B19)</f>
        <v/>
      </c>
      <c r="Z166" s="172">
        <f>IF(OR(Y166="",'01_설정'!B31="",'01_설정'!B31&lt;=0,'01_설정'!B32="",'01_설정'!B32&lt;=0),"",MAX(0,(1-Y166/'01_설정'!B32))*'01_설정'!B31)</f>
        <v/>
      </c>
    </row>
    <row r="167" ht="17.25" customHeight="1">
      <c r="A167" s="152">
        <f>IF(INDEX('04A_국토부원자료'!$A:$A,ROW()+1)="","",ROW()-3)</f>
        <v/>
      </c>
      <c r="B167" s="48">
        <f>IFERROR(INDEX('04A_국토부원자료'!$A:$T,ROW()+1,MATCH("시군구",'04A_국토부원자료'!$A$4:$T$4,0)),"")</f>
        <v/>
      </c>
      <c r="C167" s="48">
        <f>IF(B167="","",IFERROR(INDEX('04A_국토부원자료'!$A:$T,ROW()+1,MATCH("번지",'04A_국토부원자료'!$A$4:$T$4,0)),""))</f>
        <v/>
      </c>
      <c r="D167" s="48">
        <f>IF(B167="","",IF(Q167=1,'02_대상물건입력'!$B$8,IFERROR(INDEX('04A_국토부원자료'!$A:$T,ROW()+1,MATCH("단지명",'04A_국토부원자료'!$A$4:$T$4,0)),"")))</f>
        <v/>
      </c>
      <c r="E167" s="172">
        <f>IFERROR(VALUE(SUBSTITUTE(INDEX('04A_국토부원자료'!$A:$T,ROW()+1,MATCH("전용면적(㎡)",'04A_국토부원자료'!$A$4:$T$4,0)),",","")),"")</f>
        <v/>
      </c>
      <c r="F1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7" s="51">
        <f>IFERROR(VALUE(SUBSTITUTE(INDEX('04A_국토부원자료'!$A:$T,ROW()+1,MATCH("거래금액(만원)",'04A_국토부원자료'!$A$4:$T$4,0)),",","")),"")</f>
        <v/>
      </c>
      <c r="H167" s="174">
        <f>IF(G167="","",G167*10000)</f>
        <v/>
      </c>
      <c r="I167" s="174">
        <f>IFERROR(IF(AND(H167&gt;0,E167&gt;0),H167/E167,""),"")</f>
        <v/>
      </c>
      <c r="J167" s="152">
        <f>IFERROR(VALUE(SUBSTITUTE(INDEX('04A_국토부원자료'!$A:$T,ROW()+1,MATCH("층",'04A_국토부원자료'!$A$4:$T$4,0)),",","")),"")</f>
        <v/>
      </c>
      <c r="K167" s="152">
        <f>IFERROR(VALUE(SUBSTITUTE(INDEX('04A_국토부원자료'!$A:$T,ROW()+1,MATCH("건축년도",'04A_국토부원자료'!$A$4:$T$4,0)),",","")),"")</f>
        <v/>
      </c>
      <c r="L167" s="176">
        <f>IFERROR(INDEX('04A_국토부원자료'!$A:$T,ROW()+1,MATCH("도로명",'04A_국토부원자료'!$A$4:$T$4,0)),"")</f>
        <v/>
      </c>
      <c r="M167" s="48">
        <f>IFERROR(INDEX('04A_국토부원자료'!$A:$T,ROW()+1,MATCH("거래유형",'04A_국토부원자료'!$A$4:$T$4,0)),"")</f>
        <v/>
      </c>
      <c r="N167" s="152">
        <f>IF(B167="","",IF('02_대상물건입력'!B5="",1,IF(ISNUMBER(SEARCH('02_대상물건입력'!B5,B167)),1,0)))</f>
        <v/>
      </c>
      <c r="O167" s="152">
        <f>IF(B167="","",IF('02_대상물건입력'!B6="",1,IF(ISNUMBER(SEARCH('02_대상물건입력'!B6,B167)),1,0)))</f>
        <v/>
      </c>
      <c r="P167" s="152">
        <f>IF(L167="","",IF('02_대상물건입력'!B15="",0,IF(ISNUMBER(SEARCH('02_대상물건입력'!B15,L167)),1,0)))</f>
        <v/>
      </c>
      <c r="Q167" s="152">
        <f>IF(OR(C167="",L167=""),0,IF(AND(TRIM(C167)=TRIM(RIGHT(SUBSTITUTE(TRIM('02_대상물건입력'!$B$7)," ",REPT(" ",99)),99)),IF('02_대상물건입력'!B15="",TRUE(),ISNUMBER(SEARCH('02_대상물건입력'!B15,L167)))),1,0))</f>
        <v/>
      </c>
      <c r="R167" s="175">
        <f>IFERROR(ABS(E167-'02_대상물건입력'!B11)/'02_대상물건입력'!B11,"")</f>
        <v/>
      </c>
      <c r="S167" s="152">
        <f>IFERROR(ABS(J167-'02_대상물건입력'!B10),"")</f>
        <v/>
      </c>
      <c r="T167" s="152">
        <f>IFERROR(ABS('01_설정'!B4-F167),"")</f>
        <v/>
      </c>
      <c r="U167" s="152">
        <f>IFERROR(ABS(K167-YEAR('02_대상물건입력'!B14)),"")</f>
        <v/>
      </c>
      <c r="V167" s="152">
        <f>IF(B167="","",IF(AND(E167&gt;0,F167&gt;0,H167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167=1,TRUE()),R167&lt;='01_설정'!B5,S167&lt;='01_설정'!B6,T167&lt;='01_설정'!B7,U167&lt;='01_설정'!B8),"Y",""))</f>
        <v/>
      </c>
      <c r="W167" s="172">
        <f>IF(V167&lt;&gt;"Y","",MAX(0,(1-R167/'01_설정'!B5))*'01_설정'!B14+MAX(0,(1-S167/'01_설정'!B6))*'01_설정'!B15+MAX(0,(1-T167/'01_설정'!B7))*'01_설정'!B16+MAX(0,(1-U167/'01_설정'!B8))*'01_설정'!B17+O167*'01_설정'!B11+Q167*'01_설정'!B12+P167*'01_설정'!B13+IF(Z167="",0,Z167))</f>
        <v/>
      </c>
      <c r="X167" s="152">
        <f>IF(W167="","",1+COUNTIFS($W$4:$W$3003,"&gt;"&amp;W167)+COUNTIFS($W$4:W167,W167)-1)</f>
        <v/>
      </c>
      <c r="Y167" s="175">
        <f>IF(OR(I167="",'02_대상물건입력'!B19="",'02_대상물건입력'!B19&lt;=0),"",ABS(I167-'02_대상물건입력'!B19)/'02_대상물건입력'!B19)</f>
        <v/>
      </c>
      <c r="Z167" s="172">
        <f>IF(OR(Y167="",'01_설정'!B31="",'01_설정'!B31&lt;=0,'01_설정'!B32="",'01_설정'!B32&lt;=0),"",MAX(0,(1-Y167/'01_설정'!B32))*'01_설정'!B31)</f>
        <v/>
      </c>
    </row>
    <row r="168" ht="17.25" customHeight="1">
      <c r="A168" s="152">
        <f>IF(INDEX('04A_국토부원자료'!$A:$A,ROW()+1)="","",ROW()-3)</f>
        <v/>
      </c>
      <c r="B168" s="48">
        <f>IFERROR(INDEX('04A_국토부원자료'!$A:$T,ROW()+1,MATCH("시군구",'04A_국토부원자료'!$A$4:$T$4,0)),"")</f>
        <v/>
      </c>
      <c r="C168" s="48">
        <f>IF(B168="","",IFERROR(INDEX('04A_국토부원자료'!$A:$T,ROW()+1,MATCH("번지",'04A_국토부원자료'!$A$4:$T$4,0)),""))</f>
        <v/>
      </c>
      <c r="D168" s="48">
        <f>IF(B168="","",IF(Q168=1,'02_대상물건입력'!$B$8,IFERROR(INDEX('04A_국토부원자료'!$A:$T,ROW()+1,MATCH("단지명",'04A_국토부원자료'!$A$4:$T$4,0)),"")))</f>
        <v/>
      </c>
      <c r="E168" s="172">
        <f>IFERROR(VALUE(SUBSTITUTE(INDEX('04A_국토부원자료'!$A:$T,ROW()+1,MATCH("전용면적(㎡)",'04A_국토부원자료'!$A$4:$T$4,0)),",","")),"")</f>
        <v/>
      </c>
      <c r="F1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8" s="51">
        <f>IFERROR(VALUE(SUBSTITUTE(INDEX('04A_국토부원자료'!$A:$T,ROW()+1,MATCH("거래금액(만원)",'04A_국토부원자료'!$A$4:$T$4,0)),",","")),"")</f>
        <v/>
      </c>
      <c r="H168" s="174">
        <f>IF(G168="","",G168*10000)</f>
        <v/>
      </c>
      <c r="I168" s="174">
        <f>IFERROR(IF(AND(H168&gt;0,E168&gt;0),H168/E168,""),"")</f>
        <v/>
      </c>
      <c r="J168" s="152">
        <f>IFERROR(VALUE(SUBSTITUTE(INDEX('04A_국토부원자료'!$A:$T,ROW()+1,MATCH("층",'04A_국토부원자료'!$A$4:$T$4,0)),",","")),"")</f>
        <v/>
      </c>
      <c r="K168" s="152">
        <f>IFERROR(VALUE(SUBSTITUTE(INDEX('04A_국토부원자료'!$A:$T,ROW()+1,MATCH("건축년도",'04A_국토부원자료'!$A$4:$T$4,0)),",","")),"")</f>
        <v/>
      </c>
      <c r="L168" s="176">
        <f>IFERROR(INDEX('04A_국토부원자료'!$A:$T,ROW()+1,MATCH("도로명",'04A_국토부원자료'!$A$4:$T$4,0)),"")</f>
        <v/>
      </c>
      <c r="M168" s="48">
        <f>IFERROR(INDEX('04A_국토부원자료'!$A:$T,ROW()+1,MATCH("거래유형",'04A_국토부원자료'!$A$4:$T$4,0)),"")</f>
        <v/>
      </c>
      <c r="N168" s="152">
        <f>IF(B168="","",IF('02_대상물건입력'!B5="",1,IF(ISNUMBER(SEARCH('02_대상물건입력'!B5,B168)),1,0)))</f>
        <v/>
      </c>
      <c r="O168" s="152">
        <f>IF(B168="","",IF('02_대상물건입력'!B6="",1,IF(ISNUMBER(SEARCH('02_대상물건입력'!B6,B168)),1,0)))</f>
        <v/>
      </c>
      <c r="P168" s="152">
        <f>IF(L168="","",IF('02_대상물건입력'!B15="",0,IF(ISNUMBER(SEARCH('02_대상물건입력'!B15,L168)),1,0)))</f>
        <v/>
      </c>
      <c r="Q168" s="152">
        <f>IF(OR(C168="",L168=""),0,IF(AND(TRIM(C168)=TRIM(RIGHT(SUBSTITUTE(TRIM('02_대상물건입력'!$B$7)," ",REPT(" ",99)),99)),IF('02_대상물건입력'!B15="",TRUE(),ISNUMBER(SEARCH('02_대상물건입력'!B15,L168)))),1,0))</f>
        <v/>
      </c>
      <c r="R168" s="175">
        <f>IFERROR(ABS(E168-'02_대상물건입력'!B11)/'02_대상물건입력'!B11,"")</f>
        <v/>
      </c>
      <c r="S168" s="152">
        <f>IFERROR(ABS(J168-'02_대상물건입력'!B10),"")</f>
        <v/>
      </c>
      <c r="T168" s="152">
        <f>IFERROR(ABS('01_설정'!B4-F168),"")</f>
        <v/>
      </c>
      <c r="U168" s="152">
        <f>IFERROR(ABS(K168-YEAR('02_대상물건입력'!B14)),"")</f>
        <v/>
      </c>
      <c r="V168" s="152">
        <f>IF(B168="","",IF(AND(E168&gt;0,F168&gt;0,H168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168=1,TRUE()),R168&lt;='01_설정'!B5,S168&lt;='01_설정'!B6,T168&lt;='01_설정'!B7,U168&lt;='01_설정'!B8),"Y",""))</f>
        <v/>
      </c>
      <c r="W168" s="172">
        <f>IF(V168&lt;&gt;"Y","",MAX(0,(1-R168/'01_설정'!B5))*'01_설정'!B14+MAX(0,(1-S168/'01_설정'!B6))*'01_설정'!B15+MAX(0,(1-T168/'01_설정'!B7))*'01_설정'!B16+MAX(0,(1-U168/'01_설정'!B8))*'01_설정'!B17+O168*'01_설정'!B11+Q168*'01_설정'!B12+P168*'01_설정'!B13+IF(Z168="",0,Z168))</f>
        <v/>
      </c>
      <c r="X168" s="152">
        <f>IF(W168="","",1+COUNTIFS($W$4:$W$3003,"&gt;"&amp;W168)+COUNTIFS($W$4:W168,W168)-1)</f>
        <v/>
      </c>
      <c r="Y168" s="175">
        <f>IF(OR(I168="",'02_대상물건입력'!B19="",'02_대상물건입력'!B19&lt;=0),"",ABS(I168-'02_대상물건입력'!B19)/'02_대상물건입력'!B19)</f>
        <v/>
      </c>
      <c r="Z168" s="172">
        <f>IF(OR(Y168="",'01_설정'!B31="",'01_설정'!B31&lt;=0,'01_설정'!B32="",'01_설정'!B32&lt;=0),"",MAX(0,(1-Y168/'01_설정'!B32))*'01_설정'!B31)</f>
        <v/>
      </c>
    </row>
    <row r="169" ht="17.25" customHeight="1">
      <c r="A169" s="152">
        <f>IF(INDEX('04A_국토부원자료'!$A:$A,ROW()+1)="","",ROW()-3)</f>
        <v/>
      </c>
      <c r="B169" s="48">
        <f>IFERROR(INDEX('04A_국토부원자료'!$A:$T,ROW()+1,MATCH("시군구",'04A_국토부원자료'!$A$4:$T$4,0)),"")</f>
        <v/>
      </c>
      <c r="C169" s="48">
        <f>IF(B169="","",IFERROR(INDEX('04A_국토부원자료'!$A:$T,ROW()+1,MATCH("번지",'04A_국토부원자료'!$A$4:$T$4,0)),""))</f>
        <v/>
      </c>
      <c r="D169" s="48">
        <f>IF(B169="","",IF(Q169=1,'02_대상물건입력'!$B$8,IFERROR(INDEX('04A_국토부원자료'!$A:$T,ROW()+1,MATCH("단지명",'04A_국토부원자료'!$A$4:$T$4,0)),"")))</f>
        <v/>
      </c>
      <c r="E169" s="172">
        <f>IFERROR(VALUE(SUBSTITUTE(INDEX('04A_국토부원자료'!$A:$T,ROW()+1,MATCH("전용면적(㎡)",'04A_국토부원자료'!$A$4:$T$4,0)),",","")),"")</f>
        <v/>
      </c>
      <c r="F1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9" s="51">
        <f>IFERROR(VALUE(SUBSTITUTE(INDEX('04A_국토부원자료'!$A:$T,ROW()+1,MATCH("거래금액(만원)",'04A_국토부원자료'!$A$4:$T$4,0)),",","")),"")</f>
        <v/>
      </c>
      <c r="H169" s="174">
        <f>IF(G169="","",G169*10000)</f>
        <v/>
      </c>
      <c r="I169" s="174">
        <f>IFERROR(IF(AND(H169&gt;0,E169&gt;0),H169/E169,""),"")</f>
        <v/>
      </c>
      <c r="J169" s="152">
        <f>IFERROR(VALUE(SUBSTITUTE(INDEX('04A_국토부원자료'!$A:$T,ROW()+1,MATCH("층",'04A_국토부원자료'!$A$4:$T$4,0)),",","")),"")</f>
        <v/>
      </c>
      <c r="K169" s="152">
        <f>IFERROR(VALUE(SUBSTITUTE(INDEX('04A_국토부원자료'!$A:$T,ROW()+1,MATCH("건축년도",'04A_국토부원자료'!$A$4:$T$4,0)),",","")),"")</f>
        <v/>
      </c>
      <c r="L169" s="176">
        <f>IFERROR(INDEX('04A_국토부원자료'!$A:$T,ROW()+1,MATCH("도로명",'04A_국토부원자료'!$A$4:$T$4,0)),"")</f>
        <v/>
      </c>
      <c r="M169" s="48">
        <f>IFERROR(INDEX('04A_국토부원자료'!$A:$T,ROW()+1,MATCH("거래유형",'04A_국토부원자료'!$A$4:$T$4,0)),"")</f>
        <v/>
      </c>
      <c r="N169" s="152">
        <f>IF(B169="","",IF('02_대상물건입력'!B5="",1,IF(ISNUMBER(SEARCH('02_대상물건입력'!B5,B169)),1,0)))</f>
        <v/>
      </c>
      <c r="O169" s="152">
        <f>IF(B169="","",IF('02_대상물건입력'!B6="",1,IF(ISNUMBER(SEARCH('02_대상물건입력'!B6,B169)),1,0)))</f>
        <v/>
      </c>
      <c r="P169" s="152">
        <f>IF(L169="","",IF('02_대상물건입력'!B15="",0,IF(ISNUMBER(SEARCH('02_대상물건입력'!B15,L169)),1,0)))</f>
        <v/>
      </c>
      <c r="Q169" s="152">
        <f>IF(OR(C169="",L169=""),0,IF(AND(TRIM(C169)=TRIM(RIGHT(SUBSTITUTE(TRIM('02_대상물건입력'!$B$7)," ",REPT(" ",99)),99)),IF('02_대상물건입력'!B15="",TRUE(),ISNUMBER(SEARCH('02_대상물건입력'!B15,L169)))),1,0))</f>
        <v/>
      </c>
      <c r="R169" s="175">
        <f>IFERROR(ABS(E169-'02_대상물건입력'!B11)/'02_대상물건입력'!B11,"")</f>
        <v/>
      </c>
      <c r="S169" s="152">
        <f>IFERROR(ABS(J169-'02_대상물건입력'!B10),"")</f>
        <v/>
      </c>
      <c r="T169" s="152">
        <f>IFERROR(ABS('01_설정'!B4-F169),"")</f>
        <v/>
      </c>
      <c r="U169" s="152">
        <f>IFERROR(ABS(K169-YEAR('02_대상물건입력'!B14)),"")</f>
        <v/>
      </c>
      <c r="V169" s="152">
        <f>IF(B169="","",IF(AND(E169&gt;0,F169&gt;0,H169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169=1,TRUE()),R169&lt;='01_설정'!B5,S169&lt;='01_설정'!B6,T169&lt;='01_설정'!B7,U169&lt;='01_설정'!B8),"Y",""))</f>
        <v/>
      </c>
      <c r="W169" s="172">
        <f>IF(V169&lt;&gt;"Y","",MAX(0,(1-R169/'01_설정'!B5))*'01_설정'!B14+MAX(0,(1-S169/'01_설정'!B6))*'01_설정'!B15+MAX(0,(1-T169/'01_설정'!B7))*'01_설정'!B16+MAX(0,(1-U169/'01_설정'!B8))*'01_설정'!B17+O169*'01_설정'!B11+Q169*'01_설정'!B12+P169*'01_설정'!B13+IF(Z169="",0,Z169))</f>
        <v/>
      </c>
      <c r="X169" s="152">
        <f>IF(W169="","",1+COUNTIFS($W$4:$W$3003,"&gt;"&amp;W169)+COUNTIFS($W$4:W169,W169)-1)</f>
        <v/>
      </c>
      <c r="Y169" s="175">
        <f>IF(OR(I169="",'02_대상물건입력'!B19="",'02_대상물건입력'!B19&lt;=0),"",ABS(I169-'02_대상물건입력'!B19)/'02_대상물건입력'!B19)</f>
        <v/>
      </c>
      <c r="Z169" s="172">
        <f>IF(OR(Y169="",'01_설정'!B31="",'01_설정'!B31&lt;=0,'01_설정'!B32="",'01_설정'!B32&lt;=0),"",MAX(0,(1-Y169/'01_설정'!B32))*'01_설정'!B31)</f>
        <v/>
      </c>
    </row>
    <row r="170" ht="17.25" customHeight="1">
      <c r="A170" s="152">
        <f>IF(INDEX('04A_국토부원자료'!$A:$A,ROW()+1)="","",ROW()-3)</f>
        <v/>
      </c>
      <c r="B170" s="48">
        <f>IFERROR(INDEX('04A_국토부원자료'!$A:$T,ROW()+1,MATCH("시군구",'04A_국토부원자료'!$A$4:$T$4,0)),"")</f>
        <v/>
      </c>
      <c r="C170" s="48">
        <f>IF(B170="","",IFERROR(INDEX('04A_국토부원자료'!$A:$T,ROW()+1,MATCH("번지",'04A_국토부원자료'!$A$4:$T$4,0)),""))</f>
        <v/>
      </c>
      <c r="D170" s="48">
        <f>IF(B170="","",IF(Q170=1,'02_대상물건입력'!$B$8,IFERROR(INDEX('04A_국토부원자료'!$A:$T,ROW()+1,MATCH("단지명",'04A_국토부원자료'!$A$4:$T$4,0)),"")))</f>
        <v/>
      </c>
      <c r="E170" s="172">
        <f>IFERROR(VALUE(SUBSTITUTE(INDEX('04A_국토부원자료'!$A:$T,ROW()+1,MATCH("전용면적(㎡)",'04A_국토부원자료'!$A$4:$T$4,0)),",","")),"")</f>
        <v/>
      </c>
      <c r="F1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0" s="51">
        <f>IFERROR(VALUE(SUBSTITUTE(INDEX('04A_국토부원자료'!$A:$T,ROW()+1,MATCH("거래금액(만원)",'04A_국토부원자료'!$A$4:$T$4,0)),",","")),"")</f>
        <v/>
      </c>
      <c r="H170" s="174">
        <f>IF(G170="","",G170*10000)</f>
        <v/>
      </c>
      <c r="I170" s="174">
        <f>IFERROR(IF(AND(H170&gt;0,E170&gt;0),H170/E170,""),"")</f>
        <v/>
      </c>
      <c r="J170" s="152">
        <f>IFERROR(VALUE(SUBSTITUTE(INDEX('04A_국토부원자료'!$A:$T,ROW()+1,MATCH("층",'04A_국토부원자료'!$A$4:$T$4,0)),",","")),"")</f>
        <v/>
      </c>
      <c r="K170" s="152">
        <f>IFERROR(VALUE(SUBSTITUTE(INDEX('04A_국토부원자료'!$A:$T,ROW()+1,MATCH("건축년도",'04A_국토부원자료'!$A$4:$T$4,0)),",","")),"")</f>
        <v/>
      </c>
      <c r="L170" s="176">
        <f>IFERROR(INDEX('04A_국토부원자료'!$A:$T,ROW()+1,MATCH("도로명",'04A_국토부원자료'!$A$4:$T$4,0)),"")</f>
        <v/>
      </c>
      <c r="M170" s="48">
        <f>IFERROR(INDEX('04A_국토부원자료'!$A:$T,ROW()+1,MATCH("거래유형",'04A_국토부원자료'!$A$4:$T$4,0)),"")</f>
        <v/>
      </c>
      <c r="N170" s="152">
        <f>IF(B170="","",IF('02_대상물건입력'!B5="",1,IF(ISNUMBER(SEARCH('02_대상물건입력'!B5,B170)),1,0)))</f>
        <v/>
      </c>
      <c r="O170" s="152">
        <f>IF(B170="","",IF('02_대상물건입력'!B6="",1,IF(ISNUMBER(SEARCH('02_대상물건입력'!B6,B170)),1,0)))</f>
        <v/>
      </c>
      <c r="P170" s="152">
        <f>IF(L170="","",IF('02_대상물건입력'!B15="",0,IF(ISNUMBER(SEARCH('02_대상물건입력'!B15,L170)),1,0)))</f>
        <v/>
      </c>
      <c r="Q170" s="152">
        <f>IF(OR(C170="",L170=""),0,IF(AND(TRIM(C170)=TRIM(RIGHT(SUBSTITUTE(TRIM('02_대상물건입력'!$B$7)," ",REPT(" ",99)),99)),IF('02_대상물건입력'!B15="",TRUE(),ISNUMBER(SEARCH('02_대상물건입력'!B15,L170)))),1,0))</f>
        <v/>
      </c>
      <c r="R170" s="175">
        <f>IFERROR(ABS(E170-'02_대상물건입력'!B11)/'02_대상물건입력'!B11,"")</f>
        <v/>
      </c>
      <c r="S170" s="152">
        <f>IFERROR(ABS(J170-'02_대상물건입력'!B10),"")</f>
        <v/>
      </c>
      <c r="T170" s="152">
        <f>IFERROR(ABS('01_설정'!B4-F170),"")</f>
        <v/>
      </c>
      <c r="U170" s="152">
        <f>IFERROR(ABS(K170-YEAR('02_대상물건입력'!B14)),"")</f>
        <v/>
      </c>
      <c r="V170" s="152">
        <f>IF(B170="","",IF(AND(E170&gt;0,F170&gt;0,H170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170=1,TRUE()),R170&lt;='01_설정'!B5,S170&lt;='01_설정'!B6,T170&lt;='01_설정'!B7,U170&lt;='01_설정'!B8),"Y",""))</f>
        <v/>
      </c>
      <c r="W170" s="172">
        <f>IF(V170&lt;&gt;"Y","",MAX(0,(1-R170/'01_설정'!B5))*'01_설정'!B14+MAX(0,(1-S170/'01_설정'!B6))*'01_설정'!B15+MAX(0,(1-T170/'01_설정'!B7))*'01_설정'!B16+MAX(0,(1-U170/'01_설정'!B8))*'01_설정'!B17+O170*'01_설정'!B11+Q170*'01_설정'!B12+P170*'01_설정'!B13+IF(Z170="",0,Z170))</f>
        <v/>
      </c>
      <c r="X170" s="152">
        <f>IF(W170="","",1+COUNTIFS($W$4:$W$3003,"&gt;"&amp;W170)+COUNTIFS($W$4:W170,W170)-1)</f>
        <v/>
      </c>
      <c r="Y170" s="175">
        <f>IF(OR(I170="",'02_대상물건입력'!B19="",'02_대상물건입력'!B19&lt;=0),"",ABS(I170-'02_대상물건입력'!B19)/'02_대상물건입력'!B19)</f>
        <v/>
      </c>
      <c r="Z170" s="172">
        <f>IF(OR(Y170="",'01_설정'!B31="",'01_설정'!B31&lt;=0,'01_설정'!B32="",'01_설정'!B32&lt;=0),"",MAX(0,(1-Y170/'01_설정'!B32))*'01_설정'!B31)</f>
        <v/>
      </c>
    </row>
    <row r="171" ht="17.25" customHeight="1">
      <c r="A171" s="152">
        <f>IF(INDEX('04A_국토부원자료'!$A:$A,ROW()+1)="","",ROW()-3)</f>
        <v/>
      </c>
      <c r="B171" s="48">
        <f>IFERROR(INDEX('04A_국토부원자료'!$A:$T,ROW()+1,MATCH("시군구",'04A_국토부원자료'!$A$4:$T$4,0)),"")</f>
        <v/>
      </c>
      <c r="C171" s="48">
        <f>IF(B171="","",IFERROR(INDEX('04A_국토부원자료'!$A:$T,ROW()+1,MATCH("번지",'04A_국토부원자료'!$A$4:$T$4,0)),""))</f>
        <v/>
      </c>
      <c r="D171" s="48">
        <f>IF(B171="","",IF(Q171=1,'02_대상물건입력'!$B$8,IFERROR(INDEX('04A_국토부원자료'!$A:$T,ROW()+1,MATCH("단지명",'04A_국토부원자료'!$A$4:$T$4,0)),"")))</f>
        <v/>
      </c>
      <c r="E171" s="172">
        <f>IFERROR(VALUE(SUBSTITUTE(INDEX('04A_국토부원자료'!$A:$T,ROW()+1,MATCH("전용면적(㎡)",'04A_국토부원자료'!$A$4:$T$4,0)),",","")),"")</f>
        <v/>
      </c>
      <c r="F1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1" s="51">
        <f>IFERROR(VALUE(SUBSTITUTE(INDEX('04A_국토부원자료'!$A:$T,ROW()+1,MATCH("거래금액(만원)",'04A_국토부원자료'!$A$4:$T$4,0)),",","")),"")</f>
        <v/>
      </c>
      <c r="H171" s="174">
        <f>IF(G171="","",G171*10000)</f>
        <v/>
      </c>
      <c r="I171" s="174">
        <f>IFERROR(IF(AND(H171&gt;0,E171&gt;0),H171/E171,""),"")</f>
        <v/>
      </c>
      <c r="J171" s="152">
        <f>IFERROR(VALUE(SUBSTITUTE(INDEX('04A_국토부원자료'!$A:$T,ROW()+1,MATCH("층",'04A_국토부원자료'!$A$4:$T$4,0)),",","")),"")</f>
        <v/>
      </c>
      <c r="K171" s="152">
        <f>IFERROR(VALUE(SUBSTITUTE(INDEX('04A_국토부원자료'!$A:$T,ROW()+1,MATCH("건축년도",'04A_국토부원자료'!$A$4:$T$4,0)),",","")),"")</f>
        <v/>
      </c>
      <c r="L171" s="176">
        <f>IFERROR(INDEX('04A_국토부원자료'!$A:$T,ROW()+1,MATCH("도로명",'04A_국토부원자료'!$A$4:$T$4,0)),"")</f>
        <v/>
      </c>
      <c r="M171" s="48">
        <f>IFERROR(INDEX('04A_국토부원자료'!$A:$T,ROW()+1,MATCH("거래유형",'04A_국토부원자료'!$A$4:$T$4,0)),"")</f>
        <v/>
      </c>
      <c r="N171" s="152">
        <f>IF(B171="","",IF('02_대상물건입력'!B5="",1,IF(ISNUMBER(SEARCH('02_대상물건입력'!B5,B171)),1,0)))</f>
        <v/>
      </c>
      <c r="O171" s="152">
        <f>IF(B171="","",IF('02_대상물건입력'!B6="",1,IF(ISNUMBER(SEARCH('02_대상물건입력'!B6,B171)),1,0)))</f>
        <v/>
      </c>
      <c r="P171" s="152">
        <f>IF(L171="","",IF('02_대상물건입력'!B15="",0,IF(ISNUMBER(SEARCH('02_대상물건입력'!B15,L171)),1,0)))</f>
        <v/>
      </c>
      <c r="Q171" s="152">
        <f>IF(OR(C171="",L171=""),0,IF(AND(TRIM(C171)=TRIM(RIGHT(SUBSTITUTE(TRIM('02_대상물건입력'!$B$7)," ",REPT(" ",99)),99)),IF('02_대상물건입력'!B15="",TRUE(),ISNUMBER(SEARCH('02_대상물건입력'!B15,L171)))),1,0))</f>
        <v/>
      </c>
      <c r="R171" s="175">
        <f>IFERROR(ABS(E171-'02_대상물건입력'!B11)/'02_대상물건입력'!B11,"")</f>
        <v/>
      </c>
      <c r="S171" s="152">
        <f>IFERROR(ABS(J171-'02_대상물건입력'!B10),"")</f>
        <v/>
      </c>
      <c r="T171" s="152">
        <f>IFERROR(ABS('01_설정'!B4-F171),"")</f>
        <v/>
      </c>
      <c r="U171" s="152">
        <f>IFERROR(ABS(K171-YEAR('02_대상물건입력'!B14)),"")</f>
        <v/>
      </c>
      <c r="V171" s="152">
        <f>IF(B171="","",IF(AND(E171&gt;0,F171&gt;0,H171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171=1,TRUE()),R171&lt;='01_설정'!B5,S171&lt;='01_설정'!B6,T171&lt;='01_설정'!B7,U171&lt;='01_설정'!B8),"Y",""))</f>
        <v/>
      </c>
      <c r="W171" s="172">
        <f>IF(V171&lt;&gt;"Y","",MAX(0,(1-R171/'01_설정'!B5))*'01_설정'!B14+MAX(0,(1-S171/'01_설정'!B6))*'01_설정'!B15+MAX(0,(1-T171/'01_설정'!B7))*'01_설정'!B16+MAX(0,(1-U171/'01_설정'!B8))*'01_설정'!B17+O171*'01_설정'!B11+Q171*'01_설정'!B12+P171*'01_설정'!B13+IF(Z171="",0,Z171))</f>
        <v/>
      </c>
      <c r="X171" s="152">
        <f>IF(W171="","",1+COUNTIFS($W$4:$W$3003,"&gt;"&amp;W171)+COUNTIFS($W$4:W171,W171)-1)</f>
        <v/>
      </c>
      <c r="Y171" s="175">
        <f>IF(OR(I171="",'02_대상물건입력'!B19="",'02_대상물건입력'!B19&lt;=0),"",ABS(I171-'02_대상물건입력'!B19)/'02_대상물건입력'!B19)</f>
        <v/>
      </c>
      <c r="Z171" s="172">
        <f>IF(OR(Y171="",'01_설정'!B31="",'01_설정'!B31&lt;=0,'01_설정'!B32="",'01_설정'!B32&lt;=0),"",MAX(0,(1-Y171/'01_설정'!B32))*'01_설정'!B31)</f>
        <v/>
      </c>
    </row>
    <row r="172" ht="17.25" customHeight="1">
      <c r="A172" s="152">
        <f>IF(INDEX('04A_국토부원자료'!$A:$A,ROW()+1)="","",ROW()-3)</f>
        <v/>
      </c>
      <c r="B172" s="48">
        <f>IFERROR(INDEX('04A_국토부원자료'!$A:$T,ROW()+1,MATCH("시군구",'04A_국토부원자료'!$A$4:$T$4,0)),"")</f>
        <v/>
      </c>
      <c r="C172" s="48">
        <f>IF(B172="","",IFERROR(INDEX('04A_국토부원자료'!$A:$T,ROW()+1,MATCH("번지",'04A_국토부원자료'!$A$4:$T$4,0)),""))</f>
        <v/>
      </c>
      <c r="D172" s="48">
        <f>IF(B172="","",IF(Q172=1,'02_대상물건입력'!$B$8,IFERROR(INDEX('04A_국토부원자료'!$A:$T,ROW()+1,MATCH("단지명",'04A_국토부원자료'!$A$4:$T$4,0)),"")))</f>
        <v/>
      </c>
      <c r="E172" s="172">
        <f>IFERROR(VALUE(SUBSTITUTE(INDEX('04A_국토부원자료'!$A:$T,ROW()+1,MATCH("전용면적(㎡)",'04A_국토부원자료'!$A$4:$T$4,0)),",","")),"")</f>
        <v/>
      </c>
      <c r="F1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2" s="51">
        <f>IFERROR(VALUE(SUBSTITUTE(INDEX('04A_국토부원자료'!$A:$T,ROW()+1,MATCH("거래금액(만원)",'04A_국토부원자료'!$A$4:$T$4,0)),",","")),"")</f>
        <v/>
      </c>
      <c r="H172" s="174">
        <f>IF(G172="","",G172*10000)</f>
        <v/>
      </c>
      <c r="I172" s="174">
        <f>IFERROR(IF(AND(H172&gt;0,E172&gt;0),H172/E172,""),"")</f>
        <v/>
      </c>
      <c r="J172" s="152">
        <f>IFERROR(VALUE(SUBSTITUTE(INDEX('04A_국토부원자료'!$A:$T,ROW()+1,MATCH("층",'04A_국토부원자료'!$A$4:$T$4,0)),",","")),"")</f>
        <v/>
      </c>
      <c r="K172" s="152">
        <f>IFERROR(VALUE(SUBSTITUTE(INDEX('04A_국토부원자료'!$A:$T,ROW()+1,MATCH("건축년도",'04A_국토부원자료'!$A$4:$T$4,0)),",","")),"")</f>
        <v/>
      </c>
      <c r="L172" s="176">
        <f>IFERROR(INDEX('04A_국토부원자료'!$A:$T,ROW()+1,MATCH("도로명",'04A_국토부원자료'!$A$4:$T$4,0)),"")</f>
        <v/>
      </c>
      <c r="M172" s="48">
        <f>IFERROR(INDEX('04A_국토부원자료'!$A:$T,ROW()+1,MATCH("거래유형",'04A_국토부원자료'!$A$4:$T$4,0)),"")</f>
        <v/>
      </c>
      <c r="N172" s="152">
        <f>IF(B172="","",IF('02_대상물건입력'!B5="",1,IF(ISNUMBER(SEARCH('02_대상물건입력'!B5,B172)),1,0)))</f>
        <v/>
      </c>
      <c r="O172" s="152">
        <f>IF(B172="","",IF('02_대상물건입력'!B6="",1,IF(ISNUMBER(SEARCH('02_대상물건입력'!B6,B172)),1,0)))</f>
        <v/>
      </c>
      <c r="P172" s="152">
        <f>IF(L172="","",IF('02_대상물건입력'!B15="",0,IF(ISNUMBER(SEARCH('02_대상물건입력'!B15,L172)),1,0)))</f>
        <v/>
      </c>
      <c r="Q172" s="152">
        <f>IF(OR(C172="",L172=""),0,IF(AND(TRIM(C172)=TRIM(RIGHT(SUBSTITUTE(TRIM('02_대상물건입력'!$B$7)," ",REPT(" ",99)),99)),IF('02_대상물건입력'!B15="",TRUE(),ISNUMBER(SEARCH('02_대상물건입력'!B15,L172)))),1,0))</f>
        <v/>
      </c>
      <c r="R172" s="175">
        <f>IFERROR(ABS(E172-'02_대상물건입력'!B11)/'02_대상물건입력'!B11,"")</f>
        <v/>
      </c>
      <c r="S172" s="152">
        <f>IFERROR(ABS(J172-'02_대상물건입력'!B10),"")</f>
        <v/>
      </c>
      <c r="T172" s="152">
        <f>IFERROR(ABS('01_설정'!B4-F172),"")</f>
        <v/>
      </c>
      <c r="U172" s="152">
        <f>IFERROR(ABS(K172-YEAR('02_대상물건입력'!B14)),"")</f>
        <v/>
      </c>
      <c r="V172" s="152">
        <f>IF(B172="","",IF(AND(E172&gt;0,F172&gt;0,H172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172=1,TRUE()),R172&lt;='01_설정'!B5,S172&lt;='01_설정'!B6,T172&lt;='01_설정'!B7,U172&lt;='01_설정'!B8),"Y",""))</f>
        <v/>
      </c>
      <c r="W172" s="172">
        <f>IF(V172&lt;&gt;"Y","",MAX(0,(1-R172/'01_설정'!B5))*'01_설정'!B14+MAX(0,(1-S172/'01_설정'!B6))*'01_설정'!B15+MAX(0,(1-T172/'01_설정'!B7))*'01_설정'!B16+MAX(0,(1-U172/'01_설정'!B8))*'01_설정'!B17+O172*'01_설정'!B11+Q172*'01_설정'!B12+P172*'01_설정'!B13+IF(Z172="",0,Z172))</f>
        <v/>
      </c>
      <c r="X172" s="152">
        <f>IF(W172="","",1+COUNTIFS($W$4:$W$3003,"&gt;"&amp;W172)+COUNTIFS($W$4:W172,W172)-1)</f>
        <v/>
      </c>
      <c r="Y172" s="175">
        <f>IF(OR(I172="",'02_대상물건입력'!B19="",'02_대상물건입력'!B19&lt;=0),"",ABS(I172-'02_대상물건입력'!B19)/'02_대상물건입력'!B19)</f>
        <v/>
      </c>
      <c r="Z172" s="172">
        <f>IF(OR(Y172="",'01_설정'!B31="",'01_설정'!B31&lt;=0,'01_설정'!B32="",'01_설정'!B32&lt;=0),"",MAX(0,(1-Y172/'01_설정'!B32))*'01_설정'!B31)</f>
        <v/>
      </c>
    </row>
    <row r="173" ht="17.25" customHeight="1">
      <c r="A173" s="152">
        <f>IF(INDEX('04A_국토부원자료'!$A:$A,ROW()+1)="","",ROW()-3)</f>
        <v/>
      </c>
      <c r="B173" s="48">
        <f>IFERROR(INDEX('04A_국토부원자료'!$A:$T,ROW()+1,MATCH("시군구",'04A_국토부원자료'!$A$4:$T$4,0)),"")</f>
        <v/>
      </c>
      <c r="C173" s="48">
        <f>IF(B173="","",IFERROR(INDEX('04A_국토부원자료'!$A:$T,ROW()+1,MATCH("번지",'04A_국토부원자료'!$A$4:$T$4,0)),""))</f>
        <v/>
      </c>
      <c r="D173" s="48">
        <f>IF(B173="","",IF(Q173=1,'02_대상물건입력'!$B$8,IFERROR(INDEX('04A_국토부원자료'!$A:$T,ROW()+1,MATCH("단지명",'04A_국토부원자료'!$A$4:$T$4,0)),"")))</f>
        <v/>
      </c>
      <c r="E173" s="172">
        <f>IFERROR(VALUE(SUBSTITUTE(INDEX('04A_국토부원자료'!$A:$T,ROW()+1,MATCH("전용면적(㎡)",'04A_국토부원자료'!$A$4:$T$4,0)),",","")),"")</f>
        <v/>
      </c>
      <c r="F1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3" s="51">
        <f>IFERROR(VALUE(SUBSTITUTE(INDEX('04A_국토부원자료'!$A:$T,ROW()+1,MATCH("거래금액(만원)",'04A_국토부원자료'!$A$4:$T$4,0)),",","")),"")</f>
        <v/>
      </c>
      <c r="H173" s="174">
        <f>IF(G173="","",G173*10000)</f>
        <v/>
      </c>
      <c r="I173" s="174">
        <f>IFERROR(IF(AND(H173&gt;0,E173&gt;0),H173/E173,""),"")</f>
        <v/>
      </c>
      <c r="J173" s="152">
        <f>IFERROR(VALUE(SUBSTITUTE(INDEX('04A_국토부원자료'!$A:$T,ROW()+1,MATCH("층",'04A_국토부원자료'!$A$4:$T$4,0)),",","")),"")</f>
        <v/>
      </c>
      <c r="K173" s="152">
        <f>IFERROR(VALUE(SUBSTITUTE(INDEX('04A_국토부원자료'!$A:$T,ROW()+1,MATCH("건축년도",'04A_국토부원자료'!$A$4:$T$4,0)),",","")),"")</f>
        <v/>
      </c>
      <c r="L173" s="176">
        <f>IFERROR(INDEX('04A_국토부원자료'!$A:$T,ROW()+1,MATCH("도로명",'04A_국토부원자료'!$A$4:$T$4,0)),"")</f>
        <v/>
      </c>
      <c r="M173" s="48">
        <f>IFERROR(INDEX('04A_국토부원자료'!$A:$T,ROW()+1,MATCH("거래유형",'04A_국토부원자료'!$A$4:$T$4,0)),"")</f>
        <v/>
      </c>
      <c r="N173" s="152">
        <f>IF(B173="","",IF('02_대상물건입력'!B5="",1,IF(ISNUMBER(SEARCH('02_대상물건입력'!B5,B173)),1,0)))</f>
        <v/>
      </c>
      <c r="O173" s="152">
        <f>IF(B173="","",IF('02_대상물건입력'!B6="",1,IF(ISNUMBER(SEARCH('02_대상물건입력'!B6,B173)),1,0)))</f>
        <v/>
      </c>
      <c r="P173" s="152">
        <f>IF(L173="","",IF('02_대상물건입력'!B15="",0,IF(ISNUMBER(SEARCH('02_대상물건입력'!B15,L173)),1,0)))</f>
        <v/>
      </c>
      <c r="Q173" s="152">
        <f>IF(OR(C173="",L173=""),0,IF(AND(TRIM(C173)=TRIM(RIGHT(SUBSTITUTE(TRIM('02_대상물건입력'!$B$7)," ",REPT(" ",99)),99)),IF('02_대상물건입력'!B15="",TRUE(),ISNUMBER(SEARCH('02_대상물건입력'!B15,L173)))),1,0))</f>
        <v/>
      </c>
      <c r="R173" s="175">
        <f>IFERROR(ABS(E173-'02_대상물건입력'!B11)/'02_대상물건입력'!B11,"")</f>
        <v/>
      </c>
      <c r="S173" s="152">
        <f>IFERROR(ABS(J173-'02_대상물건입력'!B10),"")</f>
        <v/>
      </c>
      <c r="T173" s="152">
        <f>IFERROR(ABS('01_설정'!B4-F173),"")</f>
        <v/>
      </c>
      <c r="U173" s="152">
        <f>IFERROR(ABS(K173-YEAR('02_대상물건입력'!B14)),"")</f>
        <v/>
      </c>
      <c r="V173" s="152">
        <f>IF(B173="","",IF(AND(E173&gt;0,F173&gt;0,H173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173=1,TRUE()),R173&lt;='01_설정'!B5,S173&lt;='01_설정'!B6,T173&lt;='01_설정'!B7,U173&lt;='01_설정'!B8),"Y",""))</f>
        <v/>
      </c>
      <c r="W173" s="172">
        <f>IF(V173&lt;&gt;"Y","",MAX(0,(1-R173/'01_설정'!B5))*'01_설정'!B14+MAX(0,(1-S173/'01_설정'!B6))*'01_설정'!B15+MAX(0,(1-T173/'01_설정'!B7))*'01_설정'!B16+MAX(0,(1-U173/'01_설정'!B8))*'01_설정'!B17+O173*'01_설정'!B11+Q173*'01_설정'!B12+P173*'01_설정'!B13+IF(Z173="",0,Z173))</f>
        <v/>
      </c>
      <c r="X173" s="152">
        <f>IF(W173="","",1+COUNTIFS($W$4:$W$3003,"&gt;"&amp;W173)+COUNTIFS($W$4:W173,W173)-1)</f>
        <v/>
      </c>
      <c r="Y173" s="175">
        <f>IF(OR(I173="",'02_대상물건입력'!B19="",'02_대상물건입력'!B19&lt;=0),"",ABS(I173-'02_대상물건입력'!B19)/'02_대상물건입력'!B19)</f>
        <v/>
      </c>
      <c r="Z173" s="172">
        <f>IF(OR(Y173="",'01_설정'!B31="",'01_설정'!B31&lt;=0,'01_설정'!B32="",'01_설정'!B32&lt;=0),"",MAX(0,(1-Y173/'01_설정'!B32))*'01_설정'!B31)</f>
        <v/>
      </c>
    </row>
    <row r="174" ht="17.25" customHeight="1">
      <c r="A174" s="152">
        <f>IF(INDEX('04A_국토부원자료'!$A:$A,ROW()+1)="","",ROW()-3)</f>
        <v/>
      </c>
      <c r="B174" s="48">
        <f>IFERROR(INDEX('04A_국토부원자료'!$A:$T,ROW()+1,MATCH("시군구",'04A_국토부원자료'!$A$4:$T$4,0)),"")</f>
        <v/>
      </c>
      <c r="C174" s="48">
        <f>IF(B174="","",IFERROR(INDEX('04A_국토부원자료'!$A:$T,ROW()+1,MATCH("번지",'04A_국토부원자료'!$A$4:$T$4,0)),""))</f>
        <v/>
      </c>
      <c r="D174" s="48">
        <f>IF(B174="","",IF(Q174=1,'02_대상물건입력'!$B$8,IFERROR(INDEX('04A_국토부원자료'!$A:$T,ROW()+1,MATCH("단지명",'04A_국토부원자료'!$A$4:$T$4,0)),"")))</f>
        <v/>
      </c>
      <c r="E174" s="172">
        <f>IFERROR(VALUE(SUBSTITUTE(INDEX('04A_국토부원자료'!$A:$T,ROW()+1,MATCH("전용면적(㎡)",'04A_국토부원자료'!$A$4:$T$4,0)),",","")),"")</f>
        <v/>
      </c>
      <c r="F1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4" s="51">
        <f>IFERROR(VALUE(SUBSTITUTE(INDEX('04A_국토부원자료'!$A:$T,ROW()+1,MATCH("거래금액(만원)",'04A_국토부원자료'!$A$4:$T$4,0)),",","")),"")</f>
        <v/>
      </c>
      <c r="H174" s="174">
        <f>IF(G174="","",G174*10000)</f>
        <v/>
      </c>
      <c r="I174" s="174">
        <f>IFERROR(IF(AND(H174&gt;0,E174&gt;0),H174/E174,""),"")</f>
        <v/>
      </c>
      <c r="J174" s="152">
        <f>IFERROR(VALUE(SUBSTITUTE(INDEX('04A_국토부원자료'!$A:$T,ROW()+1,MATCH("층",'04A_국토부원자료'!$A$4:$T$4,0)),",","")),"")</f>
        <v/>
      </c>
      <c r="K174" s="152">
        <f>IFERROR(VALUE(SUBSTITUTE(INDEX('04A_국토부원자료'!$A:$T,ROW()+1,MATCH("건축년도",'04A_국토부원자료'!$A$4:$T$4,0)),",","")),"")</f>
        <v/>
      </c>
      <c r="L174" s="176">
        <f>IFERROR(INDEX('04A_국토부원자료'!$A:$T,ROW()+1,MATCH("도로명",'04A_국토부원자료'!$A$4:$T$4,0)),"")</f>
        <v/>
      </c>
      <c r="M174" s="48">
        <f>IFERROR(INDEX('04A_국토부원자료'!$A:$T,ROW()+1,MATCH("거래유형",'04A_국토부원자료'!$A$4:$T$4,0)),"")</f>
        <v/>
      </c>
      <c r="N174" s="152">
        <f>IF(B174="","",IF('02_대상물건입력'!B5="",1,IF(ISNUMBER(SEARCH('02_대상물건입력'!B5,B174)),1,0)))</f>
        <v/>
      </c>
      <c r="O174" s="152">
        <f>IF(B174="","",IF('02_대상물건입력'!B6="",1,IF(ISNUMBER(SEARCH('02_대상물건입력'!B6,B174)),1,0)))</f>
        <v/>
      </c>
      <c r="P174" s="152">
        <f>IF(L174="","",IF('02_대상물건입력'!B15="",0,IF(ISNUMBER(SEARCH('02_대상물건입력'!B15,L174)),1,0)))</f>
        <v/>
      </c>
      <c r="Q174" s="152">
        <f>IF(OR(C174="",L174=""),0,IF(AND(TRIM(C174)=TRIM(RIGHT(SUBSTITUTE(TRIM('02_대상물건입력'!$B$7)," ",REPT(" ",99)),99)),IF('02_대상물건입력'!B15="",TRUE(),ISNUMBER(SEARCH('02_대상물건입력'!B15,L174)))),1,0))</f>
        <v/>
      </c>
      <c r="R174" s="175">
        <f>IFERROR(ABS(E174-'02_대상물건입력'!B11)/'02_대상물건입력'!B11,"")</f>
        <v/>
      </c>
      <c r="S174" s="152">
        <f>IFERROR(ABS(J174-'02_대상물건입력'!B10),"")</f>
        <v/>
      </c>
      <c r="T174" s="152">
        <f>IFERROR(ABS('01_설정'!B4-F174),"")</f>
        <v/>
      </c>
      <c r="U174" s="152">
        <f>IFERROR(ABS(K174-YEAR('02_대상물건입력'!B14)),"")</f>
        <v/>
      </c>
      <c r="V174" s="152">
        <f>IF(B174="","",IF(AND(E174&gt;0,F174&gt;0,H174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174=1,TRUE()),R174&lt;='01_설정'!B5,S174&lt;='01_설정'!B6,T174&lt;='01_설정'!B7,U174&lt;='01_설정'!B8),"Y",""))</f>
        <v/>
      </c>
      <c r="W174" s="172">
        <f>IF(V174&lt;&gt;"Y","",MAX(0,(1-R174/'01_설정'!B5))*'01_설정'!B14+MAX(0,(1-S174/'01_설정'!B6))*'01_설정'!B15+MAX(0,(1-T174/'01_설정'!B7))*'01_설정'!B16+MAX(0,(1-U174/'01_설정'!B8))*'01_설정'!B17+O174*'01_설정'!B11+Q174*'01_설정'!B12+P174*'01_설정'!B13+IF(Z174="",0,Z174))</f>
        <v/>
      </c>
      <c r="X174" s="152">
        <f>IF(W174="","",1+COUNTIFS($W$4:$W$3003,"&gt;"&amp;W174)+COUNTIFS($W$4:W174,W174)-1)</f>
        <v/>
      </c>
      <c r="Y174" s="175">
        <f>IF(OR(I174="",'02_대상물건입력'!B19="",'02_대상물건입력'!B19&lt;=0),"",ABS(I174-'02_대상물건입력'!B19)/'02_대상물건입력'!B19)</f>
        <v/>
      </c>
      <c r="Z174" s="172">
        <f>IF(OR(Y174="",'01_설정'!B31="",'01_설정'!B31&lt;=0,'01_설정'!B32="",'01_설정'!B32&lt;=0),"",MAX(0,(1-Y174/'01_설정'!B32))*'01_설정'!B31)</f>
        <v/>
      </c>
    </row>
    <row r="175" ht="17.25" customHeight="1">
      <c r="A175" s="152">
        <f>IF(INDEX('04A_국토부원자료'!$A:$A,ROW()+1)="","",ROW()-3)</f>
        <v/>
      </c>
      <c r="B175" s="48">
        <f>IFERROR(INDEX('04A_국토부원자료'!$A:$T,ROW()+1,MATCH("시군구",'04A_국토부원자료'!$A$4:$T$4,0)),"")</f>
        <v/>
      </c>
      <c r="C175" s="48">
        <f>IF(B175="","",IFERROR(INDEX('04A_국토부원자료'!$A:$T,ROW()+1,MATCH("번지",'04A_국토부원자료'!$A$4:$T$4,0)),""))</f>
        <v/>
      </c>
      <c r="D175" s="48">
        <f>IF(B175="","",IF(Q175=1,'02_대상물건입력'!$B$8,IFERROR(INDEX('04A_국토부원자료'!$A:$T,ROW()+1,MATCH("단지명",'04A_국토부원자료'!$A$4:$T$4,0)),"")))</f>
        <v/>
      </c>
      <c r="E175" s="172">
        <f>IFERROR(VALUE(SUBSTITUTE(INDEX('04A_국토부원자료'!$A:$T,ROW()+1,MATCH("전용면적(㎡)",'04A_국토부원자료'!$A$4:$T$4,0)),",","")),"")</f>
        <v/>
      </c>
      <c r="F1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5" s="51">
        <f>IFERROR(VALUE(SUBSTITUTE(INDEX('04A_국토부원자료'!$A:$T,ROW()+1,MATCH("거래금액(만원)",'04A_국토부원자료'!$A$4:$T$4,0)),",","")),"")</f>
        <v/>
      </c>
      <c r="H175" s="174">
        <f>IF(G175="","",G175*10000)</f>
        <v/>
      </c>
      <c r="I175" s="174">
        <f>IFERROR(IF(AND(H175&gt;0,E175&gt;0),H175/E175,""),"")</f>
        <v/>
      </c>
      <c r="J175" s="152">
        <f>IFERROR(VALUE(SUBSTITUTE(INDEX('04A_국토부원자료'!$A:$T,ROW()+1,MATCH("층",'04A_국토부원자료'!$A$4:$T$4,0)),",","")),"")</f>
        <v/>
      </c>
      <c r="K175" s="152">
        <f>IFERROR(VALUE(SUBSTITUTE(INDEX('04A_국토부원자료'!$A:$T,ROW()+1,MATCH("건축년도",'04A_국토부원자료'!$A$4:$T$4,0)),",","")),"")</f>
        <v/>
      </c>
      <c r="L175" s="176">
        <f>IFERROR(INDEX('04A_국토부원자료'!$A:$T,ROW()+1,MATCH("도로명",'04A_국토부원자료'!$A$4:$T$4,0)),"")</f>
        <v/>
      </c>
      <c r="M175" s="48">
        <f>IFERROR(INDEX('04A_국토부원자료'!$A:$T,ROW()+1,MATCH("거래유형",'04A_국토부원자료'!$A$4:$T$4,0)),"")</f>
        <v/>
      </c>
      <c r="N175" s="152">
        <f>IF(B175="","",IF('02_대상물건입력'!B5="",1,IF(ISNUMBER(SEARCH('02_대상물건입력'!B5,B175)),1,0)))</f>
        <v/>
      </c>
      <c r="O175" s="152">
        <f>IF(B175="","",IF('02_대상물건입력'!B6="",1,IF(ISNUMBER(SEARCH('02_대상물건입력'!B6,B175)),1,0)))</f>
        <v/>
      </c>
      <c r="P175" s="152">
        <f>IF(L175="","",IF('02_대상물건입력'!B15="",0,IF(ISNUMBER(SEARCH('02_대상물건입력'!B15,L175)),1,0)))</f>
        <v/>
      </c>
      <c r="Q175" s="152">
        <f>IF(OR(C175="",L175=""),0,IF(AND(TRIM(C175)=TRIM(RIGHT(SUBSTITUTE(TRIM('02_대상물건입력'!$B$7)," ",REPT(" ",99)),99)),IF('02_대상물건입력'!B15="",TRUE(),ISNUMBER(SEARCH('02_대상물건입력'!B15,L175)))),1,0))</f>
        <v/>
      </c>
      <c r="R175" s="175">
        <f>IFERROR(ABS(E175-'02_대상물건입력'!B11)/'02_대상물건입력'!B11,"")</f>
        <v/>
      </c>
      <c r="S175" s="152">
        <f>IFERROR(ABS(J175-'02_대상물건입력'!B10),"")</f>
        <v/>
      </c>
      <c r="T175" s="152">
        <f>IFERROR(ABS('01_설정'!B4-F175),"")</f>
        <v/>
      </c>
      <c r="U175" s="152">
        <f>IFERROR(ABS(K175-YEAR('02_대상물건입력'!B14)),"")</f>
        <v/>
      </c>
      <c r="V175" s="152">
        <f>IF(B175="","",IF(AND(E175&gt;0,F175&gt;0,H175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175=1,TRUE()),R175&lt;='01_설정'!B5,S175&lt;='01_설정'!B6,T175&lt;='01_설정'!B7,U175&lt;='01_설정'!B8),"Y",""))</f>
        <v/>
      </c>
      <c r="W175" s="172">
        <f>IF(V175&lt;&gt;"Y","",MAX(0,(1-R175/'01_설정'!B5))*'01_설정'!B14+MAX(0,(1-S175/'01_설정'!B6))*'01_설정'!B15+MAX(0,(1-T175/'01_설정'!B7))*'01_설정'!B16+MAX(0,(1-U175/'01_설정'!B8))*'01_설정'!B17+O175*'01_설정'!B11+Q175*'01_설정'!B12+P175*'01_설정'!B13+IF(Z175="",0,Z175))</f>
        <v/>
      </c>
      <c r="X175" s="152">
        <f>IF(W175="","",1+COUNTIFS($W$4:$W$3003,"&gt;"&amp;W175)+COUNTIFS($W$4:W175,W175)-1)</f>
        <v/>
      </c>
      <c r="Y175" s="175">
        <f>IF(OR(I175="",'02_대상물건입력'!B19="",'02_대상물건입력'!B19&lt;=0),"",ABS(I175-'02_대상물건입력'!B19)/'02_대상물건입력'!B19)</f>
        <v/>
      </c>
      <c r="Z175" s="172">
        <f>IF(OR(Y175="",'01_설정'!B31="",'01_설정'!B31&lt;=0,'01_설정'!B32="",'01_설정'!B32&lt;=0),"",MAX(0,(1-Y175/'01_설정'!B32))*'01_설정'!B31)</f>
        <v/>
      </c>
    </row>
    <row r="176" ht="17.25" customHeight="1">
      <c r="A176" s="152">
        <f>IF(INDEX('04A_국토부원자료'!$A:$A,ROW()+1)="","",ROW()-3)</f>
        <v/>
      </c>
      <c r="B176" s="48">
        <f>IFERROR(INDEX('04A_국토부원자료'!$A:$T,ROW()+1,MATCH("시군구",'04A_국토부원자료'!$A$4:$T$4,0)),"")</f>
        <v/>
      </c>
      <c r="C176" s="48">
        <f>IF(B176="","",IFERROR(INDEX('04A_국토부원자료'!$A:$T,ROW()+1,MATCH("번지",'04A_국토부원자료'!$A$4:$T$4,0)),""))</f>
        <v/>
      </c>
      <c r="D176" s="48">
        <f>IF(B176="","",IF(Q176=1,'02_대상물건입력'!$B$8,IFERROR(INDEX('04A_국토부원자료'!$A:$T,ROW()+1,MATCH("단지명",'04A_국토부원자료'!$A$4:$T$4,0)),"")))</f>
        <v/>
      </c>
      <c r="E176" s="172">
        <f>IFERROR(VALUE(SUBSTITUTE(INDEX('04A_국토부원자료'!$A:$T,ROW()+1,MATCH("전용면적(㎡)",'04A_국토부원자료'!$A$4:$T$4,0)),",","")),"")</f>
        <v/>
      </c>
      <c r="F1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6" s="51">
        <f>IFERROR(VALUE(SUBSTITUTE(INDEX('04A_국토부원자료'!$A:$T,ROW()+1,MATCH("거래금액(만원)",'04A_국토부원자료'!$A$4:$T$4,0)),",","")),"")</f>
        <v/>
      </c>
      <c r="H176" s="174">
        <f>IF(G176="","",G176*10000)</f>
        <v/>
      </c>
      <c r="I176" s="174">
        <f>IFERROR(IF(AND(H176&gt;0,E176&gt;0),H176/E176,""),"")</f>
        <v/>
      </c>
      <c r="J176" s="152">
        <f>IFERROR(VALUE(SUBSTITUTE(INDEX('04A_국토부원자료'!$A:$T,ROW()+1,MATCH("층",'04A_국토부원자료'!$A$4:$T$4,0)),",","")),"")</f>
        <v/>
      </c>
      <c r="K176" s="152">
        <f>IFERROR(VALUE(SUBSTITUTE(INDEX('04A_국토부원자료'!$A:$T,ROW()+1,MATCH("건축년도",'04A_국토부원자료'!$A$4:$T$4,0)),",","")),"")</f>
        <v/>
      </c>
      <c r="L176" s="176">
        <f>IFERROR(INDEX('04A_국토부원자료'!$A:$T,ROW()+1,MATCH("도로명",'04A_국토부원자료'!$A$4:$T$4,0)),"")</f>
        <v/>
      </c>
      <c r="M176" s="48">
        <f>IFERROR(INDEX('04A_국토부원자료'!$A:$T,ROW()+1,MATCH("거래유형",'04A_국토부원자료'!$A$4:$T$4,0)),"")</f>
        <v/>
      </c>
      <c r="N176" s="152">
        <f>IF(B176="","",IF('02_대상물건입력'!B5="",1,IF(ISNUMBER(SEARCH('02_대상물건입력'!B5,B176)),1,0)))</f>
        <v/>
      </c>
      <c r="O176" s="152">
        <f>IF(B176="","",IF('02_대상물건입력'!B6="",1,IF(ISNUMBER(SEARCH('02_대상물건입력'!B6,B176)),1,0)))</f>
        <v/>
      </c>
      <c r="P176" s="152">
        <f>IF(L176="","",IF('02_대상물건입력'!B15="",0,IF(ISNUMBER(SEARCH('02_대상물건입력'!B15,L176)),1,0)))</f>
        <v/>
      </c>
      <c r="Q176" s="152">
        <f>IF(OR(C176="",L176=""),0,IF(AND(TRIM(C176)=TRIM(RIGHT(SUBSTITUTE(TRIM('02_대상물건입력'!$B$7)," ",REPT(" ",99)),99)),IF('02_대상물건입력'!B15="",TRUE(),ISNUMBER(SEARCH('02_대상물건입력'!B15,L176)))),1,0))</f>
        <v/>
      </c>
      <c r="R176" s="175">
        <f>IFERROR(ABS(E176-'02_대상물건입력'!B11)/'02_대상물건입력'!B11,"")</f>
        <v/>
      </c>
      <c r="S176" s="152">
        <f>IFERROR(ABS(J176-'02_대상물건입력'!B10),"")</f>
        <v/>
      </c>
      <c r="T176" s="152">
        <f>IFERROR(ABS('01_설정'!B4-F176),"")</f>
        <v/>
      </c>
      <c r="U176" s="152">
        <f>IFERROR(ABS(K176-YEAR('02_대상물건입력'!B14)),"")</f>
        <v/>
      </c>
      <c r="V176" s="152">
        <f>IF(B176="","",IF(AND(E176&gt;0,F176&gt;0,H176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176=1,TRUE()),R176&lt;='01_설정'!B5,S176&lt;='01_설정'!B6,T176&lt;='01_설정'!B7,U176&lt;='01_설정'!B8),"Y",""))</f>
        <v/>
      </c>
      <c r="W176" s="172">
        <f>IF(V176&lt;&gt;"Y","",MAX(0,(1-R176/'01_설정'!B5))*'01_설정'!B14+MAX(0,(1-S176/'01_설정'!B6))*'01_설정'!B15+MAX(0,(1-T176/'01_설정'!B7))*'01_설정'!B16+MAX(0,(1-U176/'01_설정'!B8))*'01_설정'!B17+O176*'01_설정'!B11+Q176*'01_설정'!B12+P176*'01_설정'!B13+IF(Z176="",0,Z176))</f>
        <v/>
      </c>
      <c r="X176" s="152">
        <f>IF(W176="","",1+COUNTIFS($W$4:$W$3003,"&gt;"&amp;W176)+COUNTIFS($W$4:W176,W176)-1)</f>
        <v/>
      </c>
      <c r="Y176" s="175">
        <f>IF(OR(I176="",'02_대상물건입력'!B19="",'02_대상물건입력'!B19&lt;=0),"",ABS(I176-'02_대상물건입력'!B19)/'02_대상물건입력'!B19)</f>
        <v/>
      </c>
      <c r="Z176" s="172">
        <f>IF(OR(Y176="",'01_설정'!B31="",'01_설정'!B31&lt;=0,'01_설정'!B32="",'01_설정'!B32&lt;=0),"",MAX(0,(1-Y176/'01_설정'!B32))*'01_설정'!B31)</f>
        <v/>
      </c>
    </row>
    <row r="177" ht="17.25" customHeight="1">
      <c r="A177" s="152">
        <f>IF(INDEX('04A_국토부원자료'!$A:$A,ROW()+1)="","",ROW()-3)</f>
        <v/>
      </c>
      <c r="B177" s="48">
        <f>IFERROR(INDEX('04A_국토부원자료'!$A:$T,ROW()+1,MATCH("시군구",'04A_국토부원자료'!$A$4:$T$4,0)),"")</f>
        <v/>
      </c>
      <c r="C177" s="48">
        <f>IF(B177="","",IFERROR(INDEX('04A_국토부원자료'!$A:$T,ROW()+1,MATCH("번지",'04A_국토부원자료'!$A$4:$T$4,0)),""))</f>
        <v/>
      </c>
      <c r="D177" s="48">
        <f>IF(B177="","",IF(Q177=1,'02_대상물건입력'!$B$8,IFERROR(INDEX('04A_국토부원자료'!$A:$T,ROW()+1,MATCH("단지명",'04A_국토부원자료'!$A$4:$T$4,0)),"")))</f>
        <v/>
      </c>
      <c r="E177" s="172">
        <f>IFERROR(VALUE(SUBSTITUTE(INDEX('04A_국토부원자료'!$A:$T,ROW()+1,MATCH("전용면적(㎡)",'04A_국토부원자료'!$A$4:$T$4,0)),",","")),"")</f>
        <v/>
      </c>
      <c r="F1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7" s="51">
        <f>IFERROR(VALUE(SUBSTITUTE(INDEX('04A_국토부원자료'!$A:$T,ROW()+1,MATCH("거래금액(만원)",'04A_국토부원자료'!$A$4:$T$4,0)),",","")),"")</f>
        <v/>
      </c>
      <c r="H177" s="174">
        <f>IF(G177="","",G177*10000)</f>
        <v/>
      </c>
      <c r="I177" s="174">
        <f>IFERROR(IF(AND(H177&gt;0,E177&gt;0),H177/E177,""),"")</f>
        <v/>
      </c>
      <c r="J177" s="152">
        <f>IFERROR(VALUE(SUBSTITUTE(INDEX('04A_국토부원자료'!$A:$T,ROW()+1,MATCH("층",'04A_국토부원자료'!$A$4:$T$4,0)),",","")),"")</f>
        <v/>
      </c>
      <c r="K177" s="152">
        <f>IFERROR(VALUE(SUBSTITUTE(INDEX('04A_국토부원자료'!$A:$T,ROW()+1,MATCH("건축년도",'04A_국토부원자료'!$A$4:$T$4,0)),",","")),"")</f>
        <v/>
      </c>
      <c r="L177" s="176">
        <f>IFERROR(INDEX('04A_국토부원자료'!$A:$T,ROW()+1,MATCH("도로명",'04A_국토부원자료'!$A$4:$T$4,0)),"")</f>
        <v/>
      </c>
      <c r="M177" s="48">
        <f>IFERROR(INDEX('04A_국토부원자료'!$A:$T,ROW()+1,MATCH("거래유형",'04A_국토부원자료'!$A$4:$T$4,0)),"")</f>
        <v/>
      </c>
      <c r="N177" s="152">
        <f>IF(B177="","",IF('02_대상물건입력'!B5="",1,IF(ISNUMBER(SEARCH('02_대상물건입력'!B5,B177)),1,0)))</f>
        <v/>
      </c>
      <c r="O177" s="152">
        <f>IF(B177="","",IF('02_대상물건입력'!B6="",1,IF(ISNUMBER(SEARCH('02_대상물건입력'!B6,B177)),1,0)))</f>
        <v/>
      </c>
      <c r="P177" s="152">
        <f>IF(L177="","",IF('02_대상물건입력'!B15="",0,IF(ISNUMBER(SEARCH('02_대상물건입력'!B15,L177)),1,0)))</f>
        <v/>
      </c>
      <c r="Q177" s="152">
        <f>IF(OR(C177="",L177=""),0,IF(AND(TRIM(C177)=TRIM(RIGHT(SUBSTITUTE(TRIM('02_대상물건입력'!$B$7)," ",REPT(" ",99)),99)),IF('02_대상물건입력'!B15="",TRUE(),ISNUMBER(SEARCH('02_대상물건입력'!B15,L177)))),1,0))</f>
        <v/>
      </c>
      <c r="R177" s="175">
        <f>IFERROR(ABS(E177-'02_대상물건입력'!B11)/'02_대상물건입력'!B11,"")</f>
        <v/>
      </c>
      <c r="S177" s="152">
        <f>IFERROR(ABS(J177-'02_대상물건입력'!B10),"")</f>
        <v/>
      </c>
      <c r="T177" s="152">
        <f>IFERROR(ABS('01_설정'!B4-F177),"")</f>
        <v/>
      </c>
      <c r="U177" s="152">
        <f>IFERROR(ABS(K177-YEAR('02_대상물건입력'!B14)),"")</f>
        <v/>
      </c>
      <c r="V177" s="152">
        <f>IF(B177="","",IF(AND(E177&gt;0,F177&gt;0,H177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177=1,TRUE()),R177&lt;='01_설정'!B5,S177&lt;='01_설정'!B6,T177&lt;='01_설정'!B7,U177&lt;='01_설정'!B8),"Y",""))</f>
        <v/>
      </c>
      <c r="W177" s="172">
        <f>IF(V177&lt;&gt;"Y","",MAX(0,(1-R177/'01_설정'!B5))*'01_설정'!B14+MAX(0,(1-S177/'01_설정'!B6))*'01_설정'!B15+MAX(0,(1-T177/'01_설정'!B7))*'01_설정'!B16+MAX(0,(1-U177/'01_설정'!B8))*'01_설정'!B17+O177*'01_설정'!B11+Q177*'01_설정'!B12+P177*'01_설정'!B13+IF(Z177="",0,Z177))</f>
        <v/>
      </c>
      <c r="X177" s="152">
        <f>IF(W177="","",1+COUNTIFS($W$4:$W$3003,"&gt;"&amp;W177)+COUNTIFS($W$4:W177,W177)-1)</f>
        <v/>
      </c>
      <c r="Y177" s="175">
        <f>IF(OR(I177="",'02_대상물건입력'!B19="",'02_대상물건입력'!B19&lt;=0),"",ABS(I177-'02_대상물건입력'!B19)/'02_대상물건입력'!B19)</f>
        <v/>
      </c>
      <c r="Z177" s="172">
        <f>IF(OR(Y177="",'01_설정'!B31="",'01_설정'!B31&lt;=0,'01_설정'!B32="",'01_설정'!B32&lt;=0),"",MAX(0,(1-Y177/'01_설정'!B32))*'01_설정'!B31)</f>
        <v/>
      </c>
    </row>
    <row r="178" ht="17.25" customHeight="1">
      <c r="A178" s="152">
        <f>IF(INDEX('04A_국토부원자료'!$A:$A,ROW()+1)="","",ROW()-3)</f>
        <v/>
      </c>
      <c r="B178" s="48">
        <f>IFERROR(INDEX('04A_국토부원자료'!$A:$T,ROW()+1,MATCH("시군구",'04A_국토부원자료'!$A$4:$T$4,0)),"")</f>
        <v/>
      </c>
      <c r="C178" s="48">
        <f>IF(B178="","",IFERROR(INDEX('04A_국토부원자료'!$A:$T,ROW()+1,MATCH("번지",'04A_국토부원자료'!$A$4:$T$4,0)),""))</f>
        <v/>
      </c>
      <c r="D178" s="48">
        <f>IF(B178="","",IF(Q178=1,'02_대상물건입력'!$B$8,IFERROR(INDEX('04A_국토부원자료'!$A:$T,ROW()+1,MATCH("단지명",'04A_국토부원자료'!$A$4:$T$4,0)),"")))</f>
        <v/>
      </c>
      <c r="E178" s="172">
        <f>IFERROR(VALUE(SUBSTITUTE(INDEX('04A_국토부원자료'!$A:$T,ROW()+1,MATCH("전용면적(㎡)",'04A_국토부원자료'!$A$4:$T$4,0)),",","")),"")</f>
        <v/>
      </c>
      <c r="F1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8" s="51">
        <f>IFERROR(VALUE(SUBSTITUTE(INDEX('04A_국토부원자료'!$A:$T,ROW()+1,MATCH("거래금액(만원)",'04A_국토부원자료'!$A$4:$T$4,0)),",","")),"")</f>
        <v/>
      </c>
      <c r="H178" s="174">
        <f>IF(G178="","",G178*10000)</f>
        <v/>
      </c>
      <c r="I178" s="174">
        <f>IFERROR(IF(AND(H178&gt;0,E178&gt;0),H178/E178,""),"")</f>
        <v/>
      </c>
      <c r="J178" s="152">
        <f>IFERROR(VALUE(SUBSTITUTE(INDEX('04A_국토부원자료'!$A:$T,ROW()+1,MATCH("층",'04A_국토부원자료'!$A$4:$T$4,0)),",","")),"")</f>
        <v/>
      </c>
      <c r="K178" s="152">
        <f>IFERROR(VALUE(SUBSTITUTE(INDEX('04A_국토부원자료'!$A:$T,ROW()+1,MATCH("건축년도",'04A_국토부원자료'!$A$4:$T$4,0)),",","")),"")</f>
        <v/>
      </c>
      <c r="L178" s="176">
        <f>IFERROR(INDEX('04A_국토부원자료'!$A:$T,ROW()+1,MATCH("도로명",'04A_국토부원자료'!$A$4:$T$4,0)),"")</f>
        <v/>
      </c>
      <c r="M178" s="48">
        <f>IFERROR(INDEX('04A_국토부원자료'!$A:$T,ROW()+1,MATCH("거래유형",'04A_국토부원자료'!$A$4:$T$4,0)),"")</f>
        <v/>
      </c>
      <c r="N178" s="152">
        <f>IF(B178="","",IF('02_대상물건입력'!B5="",1,IF(ISNUMBER(SEARCH('02_대상물건입력'!B5,B178)),1,0)))</f>
        <v/>
      </c>
      <c r="O178" s="152">
        <f>IF(B178="","",IF('02_대상물건입력'!B6="",1,IF(ISNUMBER(SEARCH('02_대상물건입력'!B6,B178)),1,0)))</f>
        <v/>
      </c>
      <c r="P178" s="152">
        <f>IF(L178="","",IF('02_대상물건입력'!B15="",0,IF(ISNUMBER(SEARCH('02_대상물건입력'!B15,L178)),1,0)))</f>
        <v/>
      </c>
      <c r="Q178" s="152">
        <f>IF(OR(C178="",L178=""),0,IF(AND(TRIM(C178)=TRIM(RIGHT(SUBSTITUTE(TRIM('02_대상물건입력'!$B$7)," ",REPT(" ",99)),99)),IF('02_대상물건입력'!B15="",TRUE(),ISNUMBER(SEARCH('02_대상물건입력'!B15,L178)))),1,0))</f>
        <v/>
      </c>
      <c r="R178" s="175">
        <f>IFERROR(ABS(E178-'02_대상물건입력'!B11)/'02_대상물건입력'!B11,"")</f>
        <v/>
      </c>
      <c r="S178" s="152">
        <f>IFERROR(ABS(J178-'02_대상물건입력'!B10),"")</f>
        <v/>
      </c>
      <c r="T178" s="152">
        <f>IFERROR(ABS('01_설정'!B4-F178),"")</f>
        <v/>
      </c>
      <c r="U178" s="152">
        <f>IFERROR(ABS(K178-YEAR('02_대상물건입력'!B14)),"")</f>
        <v/>
      </c>
      <c r="V178" s="152">
        <f>IF(B178="","",IF(AND(E178&gt;0,F178&gt;0,H178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178=1,TRUE()),R178&lt;='01_설정'!B5,S178&lt;='01_설정'!B6,T178&lt;='01_설정'!B7,U178&lt;='01_설정'!B8),"Y",""))</f>
        <v/>
      </c>
      <c r="W178" s="172">
        <f>IF(V178&lt;&gt;"Y","",MAX(0,(1-R178/'01_설정'!B5))*'01_설정'!B14+MAX(0,(1-S178/'01_설정'!B6))*'01_설정'!B15+MAX(0,(1-T178/'01_설정'!B7))*'01_설정'!B16+MAX(0,(1-U178/'01_설정'!B8))*'01_설정'!B17+O178*'01_설정'!B11+Q178*'01_설정'!B12+P178*'01_설정'!B13+IF(Z178="",0,Z178))</f>
        <v/>
      </c>
      <c r="X178" s="152">
        <f>IF(W178="","",1+COUNTIFS($W$4:$W$3003,"&gt;"&amp;W178)+COUNTIFS($W$4:W178,W178)-1)</f>
        <v/>
      </c>
      <c r="Y178" s="175">
        <f>IF(OR(I178="",'02_대상물건입력'!B19="",'02_대상물건입력'!B19&lt;=0),"",ABS(I178-'02_대상물건입력'!B19)/'02_대상물건입력'!B19)</f>
        <v/>
      </c>
      <c r="Z178" s="172">
        <f>IF(OR(Y178="",'01_설정'!B31="",'01_설정'!B31&lt;=0,'01_설정'!B32="",'01_설정'!B32&lt;=0),"",MAX(0,(1-Y178/'01_설정'!B32))*'01_설정'!B31)</f>
        <v/>
      </c>
    </row>
    <row r="179" ht="17.25" customHeight="1">
      <c r="A179" s="152">
        <f>IF(INDEX('04A_국토부원자료'!$A:$A,ROW()+1)="","",ROW()-3)</f>
        <v/>
      </c>
      <c r="B179" s="48">
        <f>IFERROR(INDEX('04A_국토부원자료'!$A:$T,ROW()+1,MATCH("시군구",'04A_국토부원자료'!$A$4:$T$4,0)),"")</f>
        <v/>
      </c>
      <c r="C179" s="48">
        <f>IF(B179="","",IFERROR(INDEX('04A_국토부원자료'!$A:$T,ROW()+1,MATCH("번지",'04A_국토부원자료'!$A$4:$T$4,0)),""))</f>
        <v/>
      </c>
      <c r="D179" s="48">
        <f>IF(B179="","",IF(Q179=1,'02_대상물건입력'!$B$8,IFERROR(INDEX('04A_국토부원자료'!$A:$T,ROW()+1,MATCH("단지명",'04A_국토부원자료'!$A$4:$T$4,0)),"")))</f>
        <v/>
      </c>
      <c r="E179" s="172">
        <f>IFERROR(VALUE(SUBSTITUTE(INDEX('04A_국토부원자료'!$A:$T,ROW()+1,MATCH("전용면적(㎡)",'04A_국토부원자료'!$A$4:$T$4,0)),",","")),"")</f>
        <v/>
      </c>
      <c r="F1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9" s="51">
        <f>IFERROR(VALUE(SUBSTITUTE(INDEX('04A_국토부원자료'!$A:$T,ROW()+1,MATCH("거래금액(만원)",'04A_국토부원자료'!$A$4:$T$4,0)),",","")),"")</f>
        <v/>
      </c>
      <c r="H179" s="174">
        <f>IF(G179="","",G179*10000)</f>
        <v/>
      </c>
      <c r="I179" s="174">
        <f>IFERROR(IF(AND(H179&gt;0,E179&gt;0),H179/E179,""),"")</f>
        <v/>
      </c>
      <c r="J179" s="152">
        <f>IFERROR(VALUE(SUBSTITUTE(INDEX('04A_국토부원자료'!$A:$T,ROW()+1,MATCH("층",'04A_국토부원자료'!$A$4:$T$4,0)),",","")),"")</f>
        <v/>
      </c>
      <c r="K179" s="152">
        <f>IFERROR(VALUE(SUBSTITUTE(INDEX('04A_국토부원자료'!$A:$T,ROW()+1,MATCH("건축년도",'04A_국토부원자료'!$A$4:$T$4,0)),",","")),"")</f>
        <v/>
      </c>
      <c r="L179" s="176">
        <f>IFERROR(INDEX('04A_국토부원자료'!$A:$T,ROW()+1,MATCH("도로명",'04A_국토부원자료'!$A$4:$T$4,0)),"")</f>
        <v/>
      </c>
      <c r="M179" s="48">
        <f>IFERROR(INDEX('04A_국토부원자료'!$A:$T,ROW()+1,MATCH("거래유형",'04A_국토부원자료'!$A$4:$T$4,0)),"")</f>
        <v/>
      </c>
      <c r="N179" s="152">
        <f>IF(B179="","",IF('02_대상물건입력'!B5="",1,IF(ISNUMBER(SEARCH('02_대상물건입력'!B5,B179)),1,0)))</f>
        <v/>
      </c>
      <c r="O179" s="152">
        <f>IF(B179="","",IF('02_대상물건입력'!B6="",1,IF(ISNUMBER(SEARCH('02_대상물건입력'!B6,B179)),1,0)))</f>
        <v/>
      </c>
      <c r="P179" s="152">
        <f>IF(L179="","",IF('02_대상물건입력'!B15="",0,IF(ISNUMBER(SEARCH('02_대상물건입력'!B15,L179)),1,0)))</f>
        <v/>
      </c>
      <c r="Q179" s="152">
        <f>IF(OR(C179="",L179=""),0,IF(AND(TRIM(C179)=TRIM(RIGHT(SUBSTITUTE(TRIM('02_대상물건입력'!$B$7)," ",REPT(" ",99)),99)),IF('02_대상물건입력'!B15="",TRUE(),ISNUMBER(SEARCH('02_대상물건입력'!B15,L179)))),1,0))</f>
        <v/>
      </c>
      <c r="R179" s="175">
        <f>IFERROR(ABS(E179-'02_대상물건입력'!B11)/'02_대상물건입력'!B11,"")</f>
        <v/>
      </c>
      <c r="S179" s="152">
        <f>IFERROR(ABS(J179-'02_대상물건입력'!B10),"")</f>
        <v/>
      </c>
      <c r="T179" s="152">
        <f>IFERROR(ABS('01_설정'!B4-F179),"")</f>
        <v/>
      </c>
      <c r="U179" s="152">
        <f>IFERROR(ABS(K179-YEAR('02_대상물건입력'!B14)),"")</f>
        <v/>
      </c>
      <c r="V179" s="152">
        <f>IF(B179="","",IF(AND(E179&gt;0,F179&gt;0,H179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179=1,TRUE()),R179&lt;='01_설정'!B5,S179&lt;='01_설정'!B6,T179&lt;='01_설정'!B7,U179&lt;='01_설정'!B8),"Y",""))</f>
        <v/>
      </c>
      <c r="W179" s="172">
        <f>IF(V179&lt;&gt;"Y","",MAX(0,(1-R179/'01_설정'!B5))*'01_설정'!B14+MAX(0,(1-S179/'01_설정'!B6))*'01_설정'!B15+MAX(0,(1-T179/'01_설정'!B7))*'01_설정'!B16+MAX(0,(1-U179/'01_설정'!B8))*'01_설정'!B17+O179*'01_설정'!B11+Q179*'01_설정'!B12+P179*'01_설정'!B13+IF(Z179="",0,Z179))</f>
        <v/>
      </c>
      <c r="X179" s="152">
        <f>IF(W179="","",1+COUNTIFS($W$4:$W$3003,"&gt;"&amp;W179)+COUNTIFS($W$4:W179,W179)-1)</f>
        <v/>
      </c>
      <c r="Y179" s="175">
        <f>IF(OR(I179="",'02_대상물건입력'!B19="",'02_대상물건입력'!B19&lt;=0),"",ABS(I179-'02_대상물건입력'!B19)/'02_대상물건입력'!B19)</f>
        <v/>
      </c>
      <c r="Z179" s="172">
        <f>IF(OR(Y179="",'01_설정'!B31="",'01_설정'!B31&lt;=0,'01_설정'!B32="",'01_설정'!B32&lt;=0),"",MAX(0,(1-Y179/'01_설정'!B32))*'01_설정'!B31)</f>
        <v/>
      </c>
    </row>
    <row r="180" ht="17.25" customHeight="1">
      <c r="A180" s="152">
        <f>IF(INDEX('04A_국토부원자료'!$A:$A,ROW()+1)="","",ROW()-3)</f>
        <v/>
      </c>
      <c r="B180" s="48">
        <f>IFERROR(INDEX('04A_국토부원자료'!$A:$T,ROW()+1,MATCH("시군구",'04A_국토부원자료'!$A$4:$T$4,0)),"")</f>
        <v/>
      </c>
      <c r="C180" s="48">
        <f>IF(B180="","",IFERROR(INDEX('04A_국토부원자료'!$A:$T,ROW()+1,MATCH("번지",'04A_국토부원자료'!$A$4:$T$4,0)),""))</f>
        <v/>
      </c>
      <c r="D180" s="48">
        <f>IF(B180="","",IF(Q180=1,'02_대상물건입력'!$B$8,IFERROR(INDEX('04A_국토부원자료'!$A:$T,ROW()+1,MATCH("단지명",'04A_국토부원자료'!$A$4:$T$4,0)),"")))</f>
        <v/>
      </c>
      <c r="E180" s="172">
        <f>IFERROR(VALUE(SUBSTITUTE(INDEX('04A_국토부원자료'!$A:$T,ROW()+1,MATCH("전용면적(㎡)",'04A_국토부원자료'!$A$4:$T$4,0)),",","")),"")</f>
        <v/>
      </c>
      <c r="F1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0" s="51">
        <f>IFERROR(VALUE(SUBSTITUTE(INDEX('04A_국토부원자료'!$A:$T,ROW()+1,MATCH("거래금액(만원)",'04A_국토부원자료'!$A$4:$T$4,0)),",","")),"")</f>
        <v/>
      </c>
      <c r="H180" s="174">
        <f>IF(G180="","",G180*10000)</f>
        <v/>
      </c>
      <c r="I180" s="174">
        <f>IFERROR(IF(AND(H180&gt;0,E180&gt;0),H180/E180,""),"")</f>
        <v/>
      </c>
      <c r="J180" s="152">
        <f>IFERROR(VALUE(SUBSTITUTE(INDEX('04A_국토부원자료'!$A:$T,ROW()+1,MATCH("층",'04A_국토부원자료'!$A$4:$T$4,0)),",","")),"")</f>
        <v/>
      </c>
      <c r="K180" s="152">
        <f>IFERROR(VALUE(SUBSTITUTE(INDEX('04A_국토부원자료'!$A:$T,ROW()+1,MATCH("건축년도",'04A_국토부원자료'!$A$4:$T$4,0)),",","")),"")</f>
        <v/>
      </c>
      <c r="L180" s="176">
        <f>IFERROR(INDEX('04A_국토부원자료'!$A:$T,ROW()+1,MATCH("도로명",'04A_국토부원자료'!$A$4:$T$4,0)),"")</f>
        <v/>
      </c>
      <c r="M180" s="48">
        <f>IFERROR(INDEX('04A_국토부원자료'!$A:$T,ROW()+1,MATCH("거래유형",'04A_국토부원자료'!$A$4:$T$4,0)),"")</f>
        <v/>
      </c>
      <c r="N180" s="152">
        <f>IF(B180="","",IF('02_대상물건입력'!B5="",1,IF(ISNUMBER(SEARCH('02_대상물건입력'!B5,B180)),1,0)))</f>
        <v/>
      </c>
      <c r="O180" s="152">
        <f>IF(B180="","",IF('02_대상물건입력'!B6="",1,IF(ISNUMBER(SEARCH('02_대상물건입력'!B6,B180)),1,0)))</f>
        <v/>
      </c>
      <c r="P180" s="152">
        <f>IF(L180="","",IF('02_대상물건입력'!B15="",0,IF(ISNUMBER(SEARCH('02_대상물건입력'!B15,L180)),1,0)))</f>
        <v/>
      </c>
      <c r="Q180" s="152">
        <f>IF(OR(C180="",L180=""),0,IF(AND(TRIM(C180)=TRIM(RIGHT(SUBSTITUTE(TRIM('02_대상물건입력'!$B$7)," ",REPT(" ",99)),99)),IF('02_대상물건입력'!B15="",TRUE(),ISNUMBER(SEARCH('02_대상물건입력'!B15,L180)))),1,0))</f>
        <v/>
      </c>
      <c r="R180" s="175">
        <f>IFERROR(ABS(E180-'02_대상물건입력'!B11)/'02_대상물건입력'!B11,"")</f>
        <v/>
      </c>
      <c r="S180" s="152">
        <f>IFERROR(ABS(J180-'02_대상물건입력'!B10),"")</f>
        <v/>
      </c>
      <c r="T180" s="152">
        <f>IFERROR(ABS('01_설정'!B4-F180),"")</f>
        <v/>
      </c>
      <c r="U180" s="152">
        <f>IFERROR(ABS(K180-YEAR('02_대상물건입력'!B14)),"")</f>
        <v/>
      </c>
      <c r="V180" s="152">
        <f>IF(B180="","",IF(AND(E180&gt;0,F180&gt;0,H180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180=1,TRUE()),R180&lt;='01_설정'!B5,S180&lt;='01_설정'!B6,T180&lt;='01_설정'!B7,U180&lt;='01_설정'!B8),"Y",""))</f>
        <v/>
      </c>
      <c r="W180" s="172">
        <f>IF(V180&lt;&gt;"Y","",MAX(0,(1-R180/'01_설정'!B5))*'01_설정'!B14+MAX(0,(1-S180/'01_설정'!B6))*'01_설정'!B15+MAX(0,(1-T180/'01_설정'!B7))*'01_설정'!B16+MAX(0,(1-U180/'01_설정'!B8))*'01_설정'!B17+O180*'01_설정'!B11+Q180*'01_설정'!B12+P180*'01_설정'!B13+IF(Z180="",0,Z180))</f>
        <v/>
      </c>
      <c r="X180" s="152">
        <f>IF(W180="","",1+COUNTIFS($W$4:$W$3003,"&gt;"&amp;W180)+COUNTIFS($W$4:W180,W180)-1)</f>
        <v/>
      </c>
      <c r="Y180" s="175">
        <f>IF(OR(I180="",'02_대상물건입력'!B19="",'02_대상물건입력'!B19&lt;=0),"",ABS(I180-'02_대상물건입력'!B19)/'02_대상물건입력'!B19)</f>
        <v/>
      </c>
      <c r="Z180" s="172">
        <f>IF(OR(Y180="",'01_설정'!B31="",'01_설정'!B31&lt;=0,'01_설정'!B32="",'01_설정'!B32&lt;=0),"",MAX(0,(1-Y180/'01_설정'!B32))*'01_설정'!B31)</f>
        <v/>
      </c>
    </row>
    <row r="181" ht="17.25" customHeight="1">
      <c r="A181" s="152">
        <f>IF(INDEX('04A_국토부원자료'!$A:$A,ROW()+1)="","",ROW()-3)</f>
        <v/>
      </c>
      <c r="B181" s="48">
        <f>IFERROR(INDEX('04A_국토부원자료'!$A:$T,ROW()+1,MATCH("시군구",'04A_국토부원자료'!$A$4:$T$4,0)),"")</f>
        <v/>
      </c>
      <c r="C181" s="48">
        <f>IF(B181="","",IFERROR(INDEX('04A_국토부원자료'!$A:$T,ROW()+1,MATCH("번지",'04A_국토부원자료'!$A$4:$T$4,0)),""))</f>
        <v/>
      </c>
      <c r="D181" s="48">
        <f>IF(B181="","",IF(Q181=1,'02_대상물건입력'!$B$8,IFERROR(INDEX('04A_국토부원자료'!$A:$T,ROW()+1,MATCH("단지명",'04A_국토부원자료'!$A$4:$T$4,0)),"")))</f>
        <v/>
      </c>
      <c r="E181" s="172">
        <f>IFERROR(VALUE(SUBSTITUTE(INDEX('04A_국토부원자료'!$A:$T,ROW()+1,MATCH("전용면적(㎡)",'04A_국토부원자료'!$A$4:$T$4,0)),",","")),"")</f>
        <v/>
      </c>
      <c r="F1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1" s="51">
        <f>IFERROR(VALUE(SUBSTITUTE(INDEX('04A_국토부원자료'!$A:$T,ROW()+1,MATCH("거래금액(만원)",'04A_국토부원자료'!$A$4:$T$4,0)),",","")),"")</f>
        <v/>
      </c>
      <c r="H181" s="174">
        <f>IF(G181="","",G181*10000)</f>
        <v/>
      </c>
      <c r="I181" s="174">
        <f>IFERROR(IF(AND(H181&gt;0,E181&gt;0),H181/E181,""),"")</f>
        <v/>
      </c>
      <c r="J181" s="152">
        <f>IFERROR(VALUE(SUBSTITUTE(INDEX('04A_국토부원자료'!$A:$T,ROW()+1,MATCH("층",'04A_국토부원자료'!$A$4:$T$4,0)),",","")),"")</f>
        <v/>
      </c>
      <c r="K181" s="152">
        <f>IFERROR(VALUE(SUBSTITUTE(INDEX('04A_국토부원자료'!$A:$T,ROW()+1,MATCH("건축년도",'04A_국토부원자료'!$A$4:$T$4,0)),",","")),"")</f>
        <v/>
      </c>
      <c r="L181" s="176">
        <f>IFERROR(INDEX('04A_국토부원자료'!$A:$T,ROW()+1,MATCH("도로명",'04A_국토부원자료'!$A$4:$T$4,0)),"")</f>
        <v/>
      </c>
      <c r="M181" s="48">
        <f>IFERROR(INDEX('04A_국토부원자료'!$A:$T,ROW()+1,MATCH("거래유형",'04A_국토부원자료'!$A$4:$T$4,0)),"")</f>
        <v/>
      </c>
      <c r="N181" s="152">
        <f>IF(B181="","",IF('02_대상물건입력'!B5="",1,IF(ISNUMBER(SEARCH('02_대상물건입력'!B5,B181)),1,0)))</f>
        <v/>
      </c>
      <c r="O181" s="152">
        <f>IF(B181="","",IF('02_대상물건입력'!B6="",1,IF(ISNUMBER(SEARCH('02_대상물건입력'!B6,B181)),1,0)))</f>
        <v/>
      </c>
      <c r="P181" s="152">
        <f>IF(L181="","",IF('02_대상물건입력'!B15="",0,IF(ISNUMBER(SEARCH('02_대상물건입력'!B15,L181)),1,0)))</f>
        <v/>
      </c>
      <c r="Q181" s="152">
        <f>IF(OR(C181="",L181=""),0,IF(AND(TRIM(C181)=TRIM(RIGHT(SUBSTITUTE(TRIM('02_대상물건입력'!$B$7)," ",REPT(" ",99)),99)),IF('02_대상물건입력'!B15="",TRUE(),ISNUMBER(SEARCH('02_대상물건입력'!B15,L181)))),1,0))</f>
        <v/>
      </c>
      <c r="R181" s="175">
        <f>IFERROR(ABS(E181-'02_대상물건입력'!B11)/'02_대상물건입력'!B11,"")</f>
        <v/>
      </c>
      <c r="S181" s="152">
        <f>IFERROR(ABS(J181-'02_대상물건입력'!B10),"")</f>
        <v/>
      </c>
      <c r="T181" s="152">
        <f>IFERROR(ABS('01_설정'!B4-F181),"")</f>
        <v/>
      </c>
      <c r="U181" s="152">
        <f>IFERROR(ABS(K181-YEAR('02_대상물건입력'!B14)),"")</f>
        <v/>
      </c>
      <c r="V181" s="152">
        <f>IF(B181="","",IF(AND(E181&gt;0,F181&gt;0,H181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181=1,TRUE()),R181&lt;='01_설정'!B5,S181&lt;='01_설정'!B6,T181&lt;='01_설정'!B7,U181&lt;='01_설정'!B8),"Y",""))</f>
        <v/>
      </c>
      <c r="W181" s="172">
        <f>IF(V181&lt;&gt;"Y","",MAX(0,(1-R181/'01_설정'!B5))*'01_설정'!B14+MAX(0,(1-S181/'01_설정'!B6))*'01_설정'!B15+MAX(0,(1-T181/'01_설정'!B7))*'01_설정'!B16+MAX(0,(1-U181/'01_설정'!B8))*'01_설정'!B17+O181*'01_설정'!B11+Q181*'01_설정'!B12+P181*'01_설정'!B13+IF(Z181="",0,Z181))</f>
        <v/>
      </c>
      <c r="X181" s="152">
        <f>IF(W181="","",1+COUNTIFS($W$4:$W$3003,"&gt;"&amp;W181)+COUNTIFS($W$4:W181,W181)-1)</f>
        <v/>
      </c>
      <c r="Y181" s="175">
        <f>IF(OR(I181="",'02_대상물건입력'!B19="",'02_대상물건입력'!B19&lt;=0),"",ABS(I181-'02_대상물건입력'!B19)/'02_대상물건입력'!B19)</f>
        <v/>
      </c>
      <c r="Z181" s="172">
        <f>IF(OR(Y181="",'01_설정'!B31="",'01_설정'!B31&lt;=0,'01_설정'!B32="",'01_설정'!B32&lt;=0),"",MAX(0,(1-Y181/'01_설정'!B32))*'01_설정'!B31)</f>
        <v/>
      </c>
    </row>
    <row r="182" ht="17.25" customHeight="1">
      <c r="A182" s="152">
        <f>IF(INDEX('04A_국토부원자료'!$A:$A,ROW()+1)="","",ROW()-3)</f>
        <v/>
      </c>
      <c r="B182" s="48">
        <f>IFERROR(INDEX('04A_국토부원자료'!$A:$T,ROW()+1,MATCH("시군구",'04A_국토부원자료'!$A$4:$T$4,0)),"")</f>
        <v/>
      </c>
      <c r="C182" s="48">
        <f>IF(B182="","",IFERROR(INDEX('04A_국토부원자료'!$A:$T,ROW()+1,MATCH("번지",'04A_국토부원자료'!$A$4:$T$4,0)),""))</f>
        <v/>
      </c>
      <c r="D182" s="48">
        <f>IF(B182="","",IF(Q182=1,'02_대상물건입력'!$B$8,IFERROR(INDEX('04A_국토부원자료'!$A:$T,ROW()+1,MATCH("단지명",'04A_국토부원자료'!$A$4:$T$4,0)),"")))</f>
        <v/>
      </c>
      <c r="E182" s="172">
        <f>IFERROR(VALUE(SUBSTITUTE(INDEX('04A_국토부원자료'!$A:$T,ROW()+1,MATCH("전용면적(㎡)",'04A_국토부원자료'!$A$4:$T$4,0)),",","")),"")</f>
        <v/>
      </c>
      <c r="F1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2" s="51">
        <f>IFERROR(VALUE(SUBSTITUTE(INDEX('04A_국토부원자료'!$A:$T,ROW()+1,MATCH("거래금액(만원)",'04A_국토부원자료'!$A$4:$T$4,0)),",","")),"")</f>
        <v/>
      </c>
      <c r="H182" s="174">
        <f>IF(G182="","",G182*10000)</f>
        <v/>
      </c>
      <c r="I182" s="174">
        <f>IFERROR(IF(AND(H182&gt;0,E182&gt;0),H182/E182,""),"")</f>
        <v/>
      </c>
      <c r="J182" s="152">
        <f>IFERROR(VALUE(SUBSTITUTE(INDEX('04A_국토부원자료'!$A:$T,ROW()+1,MATCH("층",'04A_국토부원자료'!$A$4:$T$4,0)),",","")),"")</f>
        <v/>
      </c>
      <c r="K182" s="152">
        <f>IFERROR(VALUE(SUBSTITUTE(INDEX('04A_국토부원자료'!$A:$T,ROW()+1,MATCH("건축년도",'04A_국토부원자료'!$A$4:$T$4,0)),",","")),"")</f>
        <v/>
      </c>
      <c r="L182" s="176">
        <f>IFERROR(INDEX('04A_국토부원자료'!$A:$T,ROW()+1,MATCH("도로명",'04A_국토부원자료'!$A$4:$T$4,0)),"")</f>
        <v/>
      </c>
      <c r="M182" s="48">
        <f>IFERROR(INDEX('04A_국토부원자료'!$A:$T,ROW()+1,MATCH("거래유형",'04A_국토부원자료'!$A$4:$T$4,0)),"")</f>
        <v/>
      </c>
      <c r="N182" s="152">
        <f>IF(B182="","",IF('02_대상물건입력'!B5="",1,IF(ISNUMBER(SEARCH('02_대상물건입력'!B5,B182)),1,0)))</f>
        <v/>
      </c>
      <c r="O182" s="152">
        <f>IF(B182="","",IF('02_대상물건입력'!B6="",1,IF(ISNUMBER(SEARCH('02_대상물건입력'!B6,B182)),1,0)))</f>
        <v/>
      </c>
      <c r="P182" s="152">
        <f>IF(L182="","",IF('02_대상물건입력'!B15="",0,IF(ISNUMBER(SEARCH('02_대상물건입력'!B15,L182)),1,0)))</f>
        <v/>
      </c>
      <c r="Q182" s="152">
        <f>IF(OR(C182="",L182=""),0,IF(AND(TRIM(C182)=TRIM(RIGHT(SUBSTITUTE(TRIM('02_대상물건입력'!$B$7)," ",REPT(" ",99)),99)),IF('02_대상물건입력'!B15="",TRUE(),ISNUMBER(SEARCH('02_대상물건입력'!B15,L182)))),1,0))</f>
        <v/>
      </c>
      <c r="R182" s="175">
        <f>IFERROR(ABS(E182-'02_대상물건입력'!B11)/'02_대상물건입력'!B11,"")</f>
        <v/>
      </c>
      <c r="S182" s="152">
        <f>IFERROR(ABS(J182-'02_대상물건입력'!B10),"")</f>
        <v/>
      </c>
      <c r="T182" s="152">
        <f>IFERROR(ABS('01_설정'!B4-F182),"")</f>
        <v/>
      </c>
      <c r="U182" s="152">
        <f>IFERROR(ABS(K182-YEAR('02_대상물건입력'!B14)),"")</f>
        <v/>
      </c>
      <c r="V182" s="152">
        <f>IF(B182="","",IF(AND(E182&gt;0,F182&gt;0,H182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182=1,TRUE()),R182&lt;='01_설정'!B5,S182&lt;='01_설정'!B6,T182&lt;='01_설정'!B7,U182&lt;='01_설정'!B8),"Y",""))</f>
        <v/>
      </c>
      <c r="W182" s="172">
        <f>IF(V182&lt;&gt;"Y","",MAX(0,(1-R182/'01_설정'!B5))*'01_설정'!B14+MAX(0,(1-S182/'01_설정'!B6))*'01_설정'!B15+MAX(0,(1-T182/'01_설정'!B7))*'01_설정'!B16+MAX(0,(1-U182/'01_설정'!B8))*'01_설정'!B17+O182*'01_설정'!B11+Q182*'01_설정'!B12+P182*'01_설정'!B13+IF(Z182="",0,Z182))</f>
        <v/>
      </c>
      <c r="X182" s="152">
        <f>IF(W182="","",1+COUNTIFS($W$4:$W$3003,"&gt;"&amp;W182)+COUNTIFS($W$4:W182,W182)-1)</f>
        <v/>
      </c>
      <c r="Y182" s="175">
        <f>IF(OR(I182="",'02_대상물건입력'!B19="",'02_대상물건입력'!B19&lt;=0),"",ABS(I182-'02_대상물건입력'!B19)/'02_대상물건입력'!B19)</f>
        <v/>
      </c>
      <c r="Z182" s="172">
        <f>IF(OR(Y182="",'01_설정'!B31="",'01_설정'!B31&lt;=0,'01_설정'!B32="",'01_설정'!B32&lt;=0),"",MAX(0,(1-Y182/'01_설정'!B32))*'01_설정'!B31)</f>
        <v/>
      </c>
    </row>
    <row r="183" ht="17.25" customHeight="1">
      <c r="A183" s="152">
        <f>IF(INDEX('04A_국토부원자료'!$A:$A,ROW()+1)="","",ROW()-3)</f>
        <v/>
      </c>
      <c r="B183" s="48">
        <f>IFERROR(INDEX('04A_국토부원자료'!$A:$T,ROW()+1,MATCH("시군구",'04A_국토부원자료'!$A$4:$T$4,0)),"")</f>
        <v/>
      </c>
      <c r="C183" s="48">
        <f>IF(B183="","",IFERROR(INDEX('04A_국토부원자료'!$A:$T,ROW()+1,MATCH("번지",'04A_국토부원자료'!$A$4:$T$4,0)),""))</f>
        <v/>
      </c>
      <c r="D183" s="48">
        <f>IF(B183="","",IF(Q183=1,'02_대상물건입력'!$B$8,IFERROR(INDEX('04A_국토부원자료'!$A:$T,ROW()+1,MATCH("단지명",'04A_국토부원자료'!$A$4:$T$4,0)),"")))</f>
        <v/>
      </c>
      <c r="E183" s="172">
        <f>IFERROR(VALUE(SUBSTITUTE(INDEX('04A_국토부원자료'!$A:$T,ROW()+1,MATCH("전용면적(㎡)",'04A_국토부원자료'!$A$4:$T$4,0)),",","")),"")</f>
        <v/>
      </c>
      <c r="F1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3" s="51">
        <f>IFERROR(VALUE(SUBSTITUTE(INDEX('04A_국토부원자료'!$A:$T,ROW()+1,MATCH("거래금액(만원)",'04A_국토부원자료'!$A$4:$T$4,0)),",","")),"")</f>
        <v/>
      </c>
      <c r="H183" s="174">
        <f>IF(G183="","",G183*10000)</f>
        <v/>
      </c>
      <c r="I183" s="174">
        <f>IFERROR(IF(AND(H183&gt;0,E183&gt;0),H183/E183,""),"")</f>
        <v/>
      </c>
      <c r="J183" s="152">
        <f>IFERROR(VALUE(SUBSTITUTE(INDEX('04A_국토부원자료'!$A:$T,ROW()+1,MATCH("층",'04A_국토부원자료'!$A$4:$T$4,0)),",","")),"")</f>
        <v/>
      </c>
      <c r="K183" s="152">
        <f>IFERROR(VALUE(SUBSTITUTE(INDEX('04A_국토부원자료'!$A:$T,ROW()+1,MATCH("건축년도",'04A_국토부원자료'!$A$4:$T$4,0)),",","")),"")</f>
        <v/>
      </c>
      <c r="L183" s="176">
        <f>IFERROR(INDEX('04A_국토부원자료'!$A:$T,ROW()+1,MATCH("도로명",'04A_국토부원자료'!$A$4:$T$4,0)),"")</f>
        <v/>
      </c>
      <c r="M183" s="48">
        <f>IFERROR(INDEX('04A_국토부원자료'!$A:$T,ROW()+1,MATCH("거래유형",'04A_국토부원자료'!$A$4:$T$4,0)),"")</f>
        <v/>
      </c>
      <c r="N183" s="152">
        <f>IF(B183="","",IF('02_대상물건입력'!B5="",1,IF(ISNUMBER(SEARCH('02_대상물건입력'!B5,B183)),1,0)))</f>
        <v/>
      </c>
      <c r="O183" s="152">
        <f>IF(B183="","",IF('02_대상물건입력'!B6="",1,IF(ISNUMBER(SEARCH('02_대상물건입력'!B6,B183)),1,0)))</f>
        <v/>
      </c>
      <c r="P183" s="152">
        <f>IF(L183="","",IF('02_대상물건입력'!B15="",0,IF(ISNUMBER(SEARCH('02_대상물건입력'!B15,L183)),1,0)))</f>
        <v/>
      </c>
      <c r="Q183" s="152">
        <f>IF(OR(C183="",L183=""),0,IF(AND(TRIM(C183)=TRIM(RIGHT(SUBSTITUTE(TRIM('02_대상물건입력'!$B$7)," ",REPT(" ",99)),99)),IF('02_대상물건입력'!B15="",TRUE(),ISNUMBER(SEARCH('02_대상물건입력'!B15,L183)))),1,0))</f>
        <v/>
      </c>
      <c r="R183" s="175">
        <f>IFERROR(ABS(E183-'02_대상물건입력'!B11)/'02_대상물건입력'!B11,"")</f>
        <v/>
      </c>
      <c r="S183" s="152">
        <f>IFERROR(ABS(J183-'02_대상물건입력'!B10),"")</f>
        <v/>
      </c>
      <c r="T183" s="152">
        <f>IFERROR(ABS('01_설정'!B4-F183),"")</f>
        <v/>
      </c>
      <c r="U183" s="152">
        <f>IFERROR(ABS(K183-YEAR('02_대상물건입력'!B14)),"")</f>
        <v/>
      </c>
      <c r="V183" s="152">
        <f>IF(B183="","",IF(AND(E183&gt;0,F183&gt;0,H183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183=1,TRUE()),R183&lt;='01_설정'!B5,S183&lt;='01_설정'!B6,T183&lt;='01_설정'!B7,U183&lt;='01_설정'!B8),"Y",""))</f>
        <v/>
      </c>
      <c r="W183" s="172">
        <f>IF(V183&lt;&gt;"Y","",MAX(0,(1-R183/'01_설정'!B5))*'01_설정'!B14+MAX(0,(1-S183/'01_설정'!B6))*'01_설정'!B15+MAX(0,(1-T183/'01_설정'!B7))*'01_설정'!B16+MAX(0,(1-U183/'01_설정'!B8))*'01_설정'!B17+O183*'01_설정'!B11+Q183*'01_설정'!B12+P183*'01_설정'!B13+IF(Z183="",0,Z183))</f>
        <v/>
      </c>
      <c r="X183" s="152">
        <f>IF(W183="","",1+COUNTIFS($W$4:$W$3003,"&gt;"&amp;W183)+COUNTIFS($W$4:W183,W183)-1)</f>
        <v/>
      </c>
      <c r="Y183" s="175">
        <f>IF(OR(I183="",'02_대상물건입력'!B19="",'02_대상물건입력'!B19&lt;=0),"",ABS(I183-'02_대상물건입력'!B19)/'02_대상물건입력'!B19)</f>
        <v/>
      </c>
      <c r="Z183" s="172">
        <f>IF(OR(Y183="",'01_설정'!B31="",'01_설정'!B31&lt;=0,'01_설정'!B32="",'01_설정'!B32&lt;=0),"",MAX(0,(1-Y183/'01_설정'!B32))*'01_설정'!B31)</f>
        <v/>
      </c>
    </row>
    <row r="184" ht="17.25" customHeight="1">
      <c r="A184" s="152">
        <f>IF(INDEX('04A_국토부원자료'!$A:$A,ROW()+1)="","",ROW()-3)</f>
        <v/>
      </c>
      <c r="B184" s="48">
        <f>IFERROR(INDEX('04A_국토부원자료'!$A:$T,ROW()+1,MATCH("시군구",'04A_국토부원자료'!$A$4:$T$4,0)),"")</f>
        <v/>
      </c>
      <c r="C184" s="48">
        <f>IF(B184="","",IFERROR(INDEX('04A_국토부원자료'!$A:$T,ROW()+1,MATCH("번지",'04A_국토부원자료'!$A$4:$T$4,0)),""))</f>
        <v/>
      </c>
      <c r="D184" s="48">
        <f>IF(B184="","",IF(Q184=1,'02_대상물건입력'!$B$8,IFERROR(INDEX('04A_국토부원자료'!$A:$T,ROW()+1,MATCH("단지명",'04A_국토부원자료'!$A$4:$T$4,0)),"")))</f>
        <v/>
      </c>
      <c r="E184" s="172">
        <f>IFERROR(VALUE(SUBSTITUTE(INDEX('04A_국토부원자료'!$A:$T,ROW()+1,MATCH("전용면적(㎡)",'04A_국토부원자료'!$A$4:$T$4,0)),",","")),"")</f>
        <v/>
      </c>
      <c r="F1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4" s="51">
        <f>IFERROR(VALUE(SUBSTITUTE(INDEX('04A_국토부원자료'!$A:$T,ROW()+1,MATCH("거래금액(만원)",'04A_국토부원자료'!$A$4:$T$4,0)),",","")),"")</f>
        <v/>
      </c>
      <c r="H184" s="174">
        <f>IF(G184="","",G184*10000)</f>
        <v/>
      </c>
      <c r="I184" s="174">
        <f>IFERROR(IF(AND(H184&gt;0,E184&gt;0),H184/E184,""),"")</f>
        <v/>
      </c>
      <c r="J184" s="152">
        <f>IFERROR(VALUE(SUBSTITUTE(INDEX('04A_국토부원자료'!$A:$T,ROW()+1,MATCH("층",'04A_국토부원자료'!$A$4:$T$4,0)),",","")),"")</f>
        <v/>
      </c>
      <c r="K184" s="152">
        <f>IFERROR(VALUE(SUBSTITUTE(INDEX('04A_국토부원자료'!$A:$T,ROW()+1,MATCH("건축년도",'04A_국토부원자료'!$A$4:$T$4,0)),",","")),"")</f>
        <v/>
      </c>
      <c r="L184" s="176">
        <f>IFERROR(INDEX('04A_국토부원자료'!$A:$T,ROW()+1,MATCH("도로명",'04A_국토부원자료'!$A$4:$T$4,0)),"")</f>
        <v/>
      </c>
      <c r="M184" s="48">
        <f>IFERROR(INDEX('04A_국토부원자료'!$A:$T,ROW()+1,MATCH("거래유형",'04A_국토부원자료'!$A$4:$T$4,0)),"")</f>
        <v/>
      </c>
      <c r="N184" s="152">
        <f>IF(B184="","",IF('02_대상물건입력'!B5="",1,IF(ISNUMBER(SEARCH('02_대상물건입력'!B5,B184)),1,0)))</f>
        <v/>
      </c>
      <c r="O184" s="152">
        <f>IF(B184="","",IF('02_대상물건입력'!B6="",1,IF(ISNUMBER(SEARCH('02_대상물건입력'!B6,B184)),1,0)))</f>
        <v/>
      </c>
      <c r="P184" s="152">
        <f>IF(L184="","",IF('02_대상물건입력'!B15="",0,IF(ISNUMBER(SEARCH('02_대상물건입력'!B15,L184)),1,0)))</f>
        <v/>
      </c>
      <c r="Q184" s="152">
        <f>IF(OR(C184="",L184=""),0,IF(AND(TRIM(C184)=TRIM(RIGHT(SUBSTITUTE(TRIM('02_대상물건입력'!$B$7)," ",REPT(" ",99)),99)),IF('02_대상물건입력'!B15="",TRUE(),ISNUMBER(SEARCH('02_대상물건입력'!B15,L184)))),1,0))</f>
        <v/>
      </c>
      <c r="R184" s="175">
        <f>IFERROR(ABS(E184-'02_대상물건입력'!B11)/'02_대상물건입력'!B11,"")</f>
        <v/>
      </c>
      <c r="S184" s="152">
        <f>IFERROR(ABS(J184-'02_대상물건입력'!B10),"")</f>
        <v/>
      </c>
      <c r="T184" s="152">
        <f>IFERROR(ABS('01_설정'!B4-F184),"")</f>
        <v/>
      </c>
      <c r="U184" s="152">
        <f>IFERROR(ABS(K184-YEAR('02_대상물건입력'!B14)),"")</f>
        <v/>
      </c>
      <c r="V184" s="152">
        <f>IF(B184="","",IF(AND(E184&gt;0,F184&gt;0,H184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184=1,TRUE()),R184&lt;='01_설정'!B5,S184&lt;='01_설정'!B6,T184&lt;='01_설정'!B7,U184&lt;='01_설정'!B8),"Y",""))</f>
        <v/>
      </c>
      <c r="W184" s="172">
        <f>IF(V184&lt;&gt;"Y","",MAX(0,(1-R184/'01_설정'!B5))*'01_설정'!B14+MAX(0,(1-S184/'01_설정'!B6))*'01_설정'!B15+MAX(0,(1-T184/'01_설정'!B7))*'01_설정'!B16+MAX(0,(1-U184/'01_설정'!B8))*'01_설정'!B17+O184*'01_설정'!B11+Q184*'01_설정'!B12+P184*'01_설정'!B13+IF(Z184="",0,Z184))</f>
        <v/>
      </c>
      <c r="X184" s="152">
        <f>IF(W184="","",1+COUNTIFS($W$4:$W$3003,"&gt;"&amp;W184)+COUNTIFS($W$4:W184,W184)-1)</f>
        <v/>
      </c>
      <c r="Y184" s="175">
        <f>IF(OR(I184="",'02_대상물건입력'!B19="",'02_대상물건입력'!B19&lt;=0),"",ABS(I184-'02_대상물건입력'!B19)/'02_대상물건입력'!B19)</f>
        <v/>
      </c>
      <c r="Z184" s="172">
        <f>IF(OR(Y184="",'01_설정'!B31="",'01_설정'!B31&lt;=0,'01_설정'!B32="",'01_설정'!B32&lt;=0),"",MAX(0,(1-Y184/'01_설정'!B32))*'01_설정'!B31)</f>
        <v/>
      </c>
    </row>
    <row r="185" ht="17.25" customHeight="1">
      <c r="A185" s="152">
        <f>IF(INDEX('04A_국토부원자료'!$A:$A,ROW()+1)="","",ROW()-3)</f>
        <v/>
      </c>
      <c r="B185" s="48">
        <f>IFERROR(INDEX('04A_국토부원자료'!$A:$T,ROW()+1,MATCH("시군구",'04A_국토부원자료'!$A$4:$T$4,0)),"")</f>
        <v/>
      </c>
      <c r="C185" s="48">
        <f>IF(B185="","",IFERROR(INDEX('04A_국토부원자료'!$A:$T,ROW()+1,MATCH("번지",'04A_국토부원자료'!$A$4:$T$4,0)),""))</f>
        <v/>
      </c>
      <c r="D185" s="48">
        <f>IF(B185="","",IF(Q185=1,'02_대상물건입력'!$B$8,IFERROR(INDEX('04A_국토부원자료'!$A:$T,ROW()+1,MATCH("단지명",'04A_국토부원자료'!$A$4:$T$4,0)),"")))</f>
        <v/>
      </c>
      <c r="E185" s="172">
        <f>IFERROR(VALUE(SUBSTITUTE(INDEX('04A_국토부원자료'!$A:$T,ROW()+1,MATCH("전용면적(㎡)",'04A_국토부원자료'!$A$4:$T$4,0)),",","")),"")</f>
        <v/>
      </c>
      <c r="F1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5" s="51">
        <f>IFERROR(VALUE(SUBSTITUTE(INDEX('04A_국토부원자료'!$A:$T,ROW()+1,MATCH("거래금액(만원)",'04A_국토부원자료'!$A$4:$T$4,0)),",","")),"")</f>
        <v/>
      </c>
      <c r="H185" s="174">
        <f>IF(G185="","",G185*10000)</f>
        <v/>
      </c>
      <c r="I185" s="174">
        <f>IFERROR(IF(AND(H185&gt;0,E185&gt;0),H185/E185,""),"")</f>
        <v/>
      </c>
      <c r="J185" s="152">
        <f>IFERROR(VALUE(SUBSTITUTE(INDEX('04A_국토부원자료'!$A:$T,ROW()+1,MATCH("층",'04A_국토부원자료'!$A$4:$T$4,0)),",","")),"")</f>
        <v/>
      </c>
      <c r="K185" s="152">
        <f>IFERROR(VALUE(SUBSTITUTE(INDEX('04A_국토부원자료'!$A:$T,ROW()+1,MATCH("건축년도",'04A_국토부원자료'!$A$4:$T$4,0)),",","")),"")</f>
        <v/>
      </c>
      <c r="L185" s="176">
        <f>IFERROR(INDEX('04A_국토부원자료'!$A:$T,ROW()+1,MATCH("도로명",'04A_국토부원자료'!$A$4:$T$4,0)),"")</f>
        <v/>
      </c>
      <c r="M185" s="48">
        <f>IFERROR(INDEX('04A_국토부원자료'!$A:$T,ROW()+1,MATCH("거래유형",'04A_국토부원자료'!$A$4:$T$4,0)),"")</f>
        <v/>
      </c>
      <c r="N185" s="152">
        <f>IF(B185="","",IF('02_대상물건입력'!B5="",1,IF(ISNUMBER(SEARCH('02_대상물건입력'!B5,B185)),1,0)))</f>
        <v/>
      </c>
      <c r="O185" s="152">
        <f>IF(B185="","",IF('02_대상물건입력'!B6="",1,IF(ISNUMBER(SEARCH('02_대상물건입력'!B6,B185)),1,0)))</f>
        <v/>
      </c>
      <c r="P185" s="152">
        <f>IF(L185="","",IF('02_대상물건입력'!B15="",0,IF(ISNUMBER(SEARCH('02_대상물건입력'!B15,L185)),1,0)))</f>
        <v/>
      </c>
      <c r="Q185" s="152">
        <f>IF(OR(C185="",L185=""),0,IF(AND(TRIM(C185)=TRIM(RIGHT(SUBSTITUTE(TRIM('02_대상물건입력'!$B$7)," ",REPT(" ",99)),99)),IF('02_대상물건입력'!B15="",TRUE(),ISNUMBER(SEARCH('02_대상물건입력'!B15,L185)))),1,0))</f>
        <v/>
      </c>
      <c r="R185" s="175">
        <f>IFERROR(ABS(E185-'02_대상물건입력'!B11)/'02_대상물건입력'!B11,"")</f>
        <v/>
      </c>
      <c r="S185" s="152">
        <f>IFERROR(ABS(J185-'02_대상물건입력'!B10),"")</f>
        <v/>
      </c>
      <c r="T185" s="152">
        <f>IFERROR(ABS('01_설정'!B4-F185),"")</f>
        <v/>
      </c>
      <c r="U185" s="152">
        <f>IFERROR(ABS(K185-YEAR('02_대상물건입력'!B14)),"")</f>
        <v/>
      </c>
      <c r="V185" s="152">
        <f>IF(B185="","",IF(AND(E185&gt;0,F185&gt;0,H185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185=1,TRUE()),R185&lt;='01_설정'!B5,S185&lt;='01_설정'!B6,T185&lt;='01_설정'!B7,U185&lt;='01_설정'!B8),"Y",""))</f>
        <v/>
      </c>
      <c r="W185" s="172">
        <f>IF(V185&lt;&gt;"Y","",MAX(0,(1-R185/'01_설정'!B5))*'01_설정'!B14+MAX(0,(1-S185/'01_설정'!B6))*'01_설정'!B15+MAX(0,(1-T185/'01_설정'!B7))*'01_설정'!B16+MAX(0,(1-U185/'01_설정'!B8))*'01_설정'!B17+O185*'01_설정'!B11+Q185*'01_설정'!B12+P185*'01_설정'!B13+IF(Z185="",0,Z185))</f>
        <v/>
      </c>
      <c r="X185" s="152">
        <f>IF(W185="","",1+COUNTIFS($W$4:$W$3003,"&gt;"&amp;W185)+COUNTIFS($W$4:W185,W185)-1)</f>
        <v/>
      </c>
      <c r="Y185" s="175">
        <f>IF(OR(I185="",'02_대상물건입력'!B19="",'02_대상물건입력'!B19&lt;=0),"",ABS(I185-'02_대상물건입력'!B19)/'02_대상물건입력'!B19)</f>
        <v/>
      </c>
      <c r="Z185" s="172">
        <f>IF(OR(Y185="",'01_설정'!B31="",'01_설정'!B31&lt;=0,'01_설정'!B32="",'01_설정'!B32&lt;=0),"",MAX(0,(1-Y185/'01_설정'!B32))*'01_설정'!B31)</f>
        <v/>
      </c>
    </row>
    <row r="186" ht="17.25" customHeight="1">
      <c r="A186" s="152">
        <f>IF(INDEX('04A_국토부원자료'!$A:$A,ROW()+1)="","",ROW()-3)</f>
        <v/>
      </c>
      <c r="B186" s="48">
        <f>IFERROR(INDEX('04A_국토부원자료'!$A:$T,ROW()+1,MATCH("시군구",'04A_국토부원자료'!$A$4:$T$4,0)),"")</f>
        <v/>
      </c>
      <c r="C186" s="48">
        <f>IF(B186="","",IFERROR(INDEX('04A_국토부원자료'!$A:$T,ROW()+1,MATCH("번지",'04A_국토부원자료'!$A$4:$T$4,0)),""))</f>
        <v/>
      </c>
      <c r="D186" s="48">
        <f>IF(B186="","",IF(Q186=1,'02_대상물건입력'!$B$8,IFERROR(INDEX('04A_국토부원자료'!$A:$T,ROW()+1,MATCH("단지명",'04A_국토부원자료'!$A$4:$T$4,0)),"")))</f>
        <v/>
      </c>
      <c r="E186" s="172">
        <f>IFERROR(VALUE(SUBSTITUTE(INDEX('04A_국토부원자료'!$A:$T,ROW()+1,MATCH("전용면적(㎡)",'04A_국토부원자료'!$A$4:$T$4,0)),",","")),"")</f>
        <v/>
      </c>
      <c r="F1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6" s="51">
        <f>IFERROR(VALUE(SUBSTITUTE(INDEX('04A_국토부원자료'!$A:$T,ROW()+1,MATCH("거래금액(만원)",'04A_국토부원자료'!$A$4:$T$4,0)),",","")),"")</f>
        <v/>
      </c>
      <c r="H186" s="174">
        <f>IF(G186="","",G186*10000)</f>
        <v/>
      </c>
      <c r="I186" s="174">
        <f>IFERROR(IF(AND(H186&gt;0,E186&gt;0),H186/E186,""),"")</f>
        <v/>
      </c>
      <c r="J186" s="152">
        <f>IFERROR(VALUE(SUBSTITUTE(INDEX('04A_국토부원자료'!$A:$T,ROW()+1,MATCH("층",'04A_국토부원자료'!$A$4:$T$4,0)),",","")),"")</f>
        <v/>
      </c>
      <c r="K186" s="152">
        <f>IFERROR(VALUE(SUBSTITUTE(INDEX('04A_국토부원자료'!$A:$T,ROW()+1,MATCH("건축년도",'04A_국토부원자료'!$A$4:$T$4,0)),",","")),"")</f>
        <v/>
      </c>
      <c r="L186" s="176">
        <f>IFERROR(INDEX('04A_국토부원자료'!$A:$T,ROW()+1,MATCH("도로명",'04A_국토부원자료'!$A$4:$T$4,0)),"")</f>
        <v/>
      </c>
      <c r="M186" s="48">
        <f>IFERROR(INDEX('04A_국토부원자료'!$A:$T,ROW()+1,MATCH("거래유형",'04A_국토부원자료'!$A$4:$T$4,0)),"")</f>
        <v/>
      </c>
      <c r="N186" s="152">
        <f>IF(B186="","",IF('02_대상물건입력'!B5="",1,IF(ISNUMBER(SEARCH('02_대상물건입력'!B5,B186)),1,0)))</f>
        <v/>
      </c>
      <c r="O186" s="152">
        <f>IF(B186="","",IF('02_대상물건입력'!B6="",1,IF(ISNUMBER(SEARCH('02_대상물건입력'!B6,B186)),1,0)))</f>
        <v/>
      </c>
      <c r="P186" s="152">
        <f>IF(L186="","",IF('02_대상물건입력'!B15="",0,IF(ISNUMBER(SEARCH('02_대상물건입력'!B15,L186)),1,0)))</f>
        <v/>
      </c>
      <c r="Q186" s="152">
        <f>IF(OR(C186="",L186=""),0,IF(AND(TRIM(C186)=TRIM(RIGHT(SUBSTITUTE(TRIM('02_대상물건입력'!$B$7)," ",REPT(" ",99)),99)),IF('02_대상물건입력'!B15="",TRUE(),ISNUMBER(SEARCH('02_대상물건입력'!B15,L186)))),1,0))</f>
        <v/>
      </c>
      <c r="R186" s="175">
        <f>IFERROR(ABS(E186-'02_대상물건입력'!B11)/'02_대상물건입력'!B11,"")</f>
        <v/>
      </c>
      <c r="S186" s="152">
        <f>IFERROR(ABS(J186-'02_대상물건입력'!B10),"")</f>
        <v/>
      </c>
      <c r="T186" s="152">
        <f>IFERROR(ABS('01_설정'!B4-F186),"")</f>
        <v/>
      </c>
      <c r="U186" s="152">
        <f>IFERROR(ABS(K186-YEAR('02_대상물건입력'!B14)),"")</f>
        <v/>
      </c>
      <c r="V186" s="152">
        <f>IF(B186="","",IF(AND(E186&gt;0,F186&gt;0,H186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186=1,TRUE()),R186&lt;='01_설정'!B5,S186&lt;='01_설정'!B6,T186&lt;='01_설정'!B7,U186&lt;='01_설정'!B8),"Y",""))</f>
        <v/>
      </c>
      <c r="W186" s="172">
        <f>IF(V186&lt;&gt;"Y","",MAX(0,(1-R186/'01_설정'!B5))*'01_설정'!B14+MAX(0,(1-S186/'01_설정'!B6))*'01_설정'!B15+MAX(0,(1-T186/'01_설정'!B7))*'01_설정'!B16+MAX(0,(1-U186/'01_설정'!B8))*'01_설정'!B17+O186*'01_설정'!B11+Q186*'01_설정'!B12+P186*'01_설정'!B13+IF(Z186="",0,Z186))</f>
        <v/>
      </c>
      <c r="X186" s="152">
        <f>IF(W186="","",1+COUNTIFS($W$4:$W$3003,"&gt;"&amp;W186)+COUNTIFS($W$4:W186,W186)-1)</f>
        <v/>
      </c>
      <c r="Y186" s="175">
        <f>IF(OR(I186="",'02_대상물건입력'!B19="",'02_대상물건입력'!B19&lt;=0),"",ABS(I186-'02_대상물건입력'!B19)/'02_대상물건입력'!B19)</f>
        <v/>
      </c>
      <c r="Z186" s="172">
        <f>IF(OR(Y186="",'01_설정'!B31="",'01_설정'!B31&lt;=0,'01_설정'!B32="",'01_설정'!B32&lt;=0),"",MAX(0,(1-Y186/'01_설정'!B32))*'01_설정'!B31)</f>
        <v/>
      </c>
    </row>
    <row r="187" ht="17.25" customHeight="1">
      <c r="A187" s="152">
        <f>IF(INDEX('04A_국토부원자료'!$A:$A,ROW()+1)="","",ROW()-3)</f>
        <v/>
      </c>
      <c r="B187" s="48">
        <f>IFERROR(INDEX('04A_국토부원자료'!$A:$T,ROW()+1,MATCH("시군구",'04A_국토부원자료'!$A$4:$T$4,0)),"")</f>
        <v/>
      </c>
      <c r="C187" s="48">
        <f>IF(B187="","",IFERROR(INDEX('04A_국토부원자료'!$A:$T,ROW()+1,MATCH("번지",'04A_국토부원자료'!$A$4:$T$4,0)),""))</f>
        <v/>
      </c>
      <c r="D187" s="48">
        <f>IF(B187="","",IF(Q187=1,'02_대상물건입력'!$B$8,IFERROR(INDEX('04A_국토부원자료'!$A:$T,ROW()+1,MATCH("단지명",'04A_국토부원자료'!$A$4:$T$4,0)),"")))</f>
        <v/>
      </c>
      <c r="E187" s="172">
        <f>IFERROR(VALUE(SUBSTITUTE(INDEX('04A_국토부원자료'!$A:$T,ROW()+1,MATCH("전용면적(㎡)",'04A_국토부원자료'!$A$4:$T$4,0)),",","")),"")</f>
        <v/>
      </c>
      <c r="F1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7" s="51">
        <f>IFERROR(VALUE(SUBSTITUTE(INDEX('04A_국토부원자료'!$A:$T,ROW()+1,MATCH("거래금액(만원)",'04A_국토부원자료'!$A$4:$T$4,0)),",","")),"")</f>
        <v/>
      </c>
      <c r="H187" s="174">
        <f>IF(G187="","",G187*10000)</f>
        <v/>
      </c>
      <c r="I187" s="174">
        <f>IFERROR(IF(AND(H187&gt;0,E187&gt;0),H187/E187,""),"")</f>
        <v/>
      </c>
      <c r="J187" s="152">
        <f>IFERROR(VALUE(SUBSTITUTE(INDEX('04A_국토부원자료'!$A:$T,ROW()+1,MATCH("층",'04A_국토부원자료'!$A$4:$T$4,0)),",","")),"")</f>
        <v/>
      </c>
      <c r="K187" s="152">
        <f>IFERROR(VALUE(SUBSTITUTE(INDEX('04A_국토부원자료'!$A:$T,ROW()+1,MATCH("건축년도",'04A_국토부원자료'!$A$4:$T$4,0)),",","")),"")</f>
        <v/>
      </c>
      <c r="L187" s="176">
        <f>IFERROR(INDEX('04A_국토부원자료'!$A:$T,ROW()+1,MATCH("도로명",'04A_국토부원자료'!$A$4:$T$4,0)),"")</f>
        <v/>
      </c>
      <c r="M187" s="48">
        <f>IFERROR(INDEX('04A_국토부원자료'!$A:$T,ROW()+1,MATCH("거래유형",'04A_국토부원자료'!$A$4:$T$4,0)),"")</f>
        <v/>
      </c>
      <c r="N187" s="152">
        <f>IF(B187="","",IF('02_대상물건입력'!B5="",1,IF(ISNUMBER(SEARCH('02_대상물건입력'!B5,B187)),1,0)))</f>
        <v/>
      </c>
      <c r="O187" s="152">
        <f>IF(B187="","",IF('02_대상물건입력'!B6="",1,IF(ISNUMBER(SEARCH('02_대상물건입력'!B6,B187)),1,0)))</f>
        <v/>
      </c>
      <c r="P187" s="152">
        <f>IF(L187="","",IF('02_대상물건입력'!B15="",0,IF(ISNUMBER(SEARCH('02_대상물건입력'!B15,L187)),1,0)))</f>
        <v/>
      </c>
      <c r="Q187" s="152">
        <f>IF(OR(C187="",L187=""),0,IF(AND(TRIM(C187)=TRIM(RIGHT(SUBSTITUTE(TRIM('02_대상물건입력'!$B$7)," ",REPT(" ",99)),99)),IF('02_대상물건입력'!B15="",TRUE(),ISNUMBER(SEARCH('02_대상물건입력'!B15,L187)))),1,0))</f>
        <v/>
      </c>
      <c r="R187" s="175">
        <f>IFERROR(ABS(E187-'02_대상물건입력'!B11)/'02_대상물건입력'!B11,"")</f>
        <v/>
      </c>
      <c r="S187" s="152">
        <f>IFERROR(ABS(J187-'02_대상물건입력'!B10),"")</f>
        <v/>
      </c>
      <c r="T187" s="152">
        <f>IFERROR(ABS('01_설정'!B4-F187),"")</f>
        <v/>
      </c>
      <c r="U187" s="152">
        <f>IFERROR(ABS(K187-YEAR('02_대상물건입력'!B14)),"")</f>
        <v/>
      </c>
      <c r="V187" s="152">
        <f>IF(B187="","",IF(AND(E187&gt;0,F187&gt;0,H187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187=1,TRUE()),R187&lt;='01_설정'!B5,S187&lt;='01_설정'!B6,T187&lt;='01_설정'!B7,U187&lt;='01_설정'!B8),"Y",""))</f>
        <v/>
      </c>
      <c r="W187" s="172">
        <f>IF(V187&lt;&gt;"Y","",MAX(0,(1-R187/'01_설정'!B5))*'01_설정'!B14+MAX(0,(1-S187/'01_설정'!B6))*'01_설정'!B15+MAX(0,(1-T187/'01_설정'!B7))*'01_설정'!B16+MAX(0,(1-U187/'01_설정'!B8))*'01_설정'!B17+O187*'01_설정'!B11+Q187*'01_설정'!B12+P187*'01_설정'!B13+IF(Z187="",0,Z187))</f>
        <v/>
      </c>
      <c r="X187" s="152">
        <f>IF(W187="","",1+COUNTIFS($W$4:$W$3003,"&gt;"&amp;W187)+COUNTIFS($W$4:W187,W187)-1)</f>
        <v/>
      </c>
      <c r="Y187" s="175">
        <f>IF(OR(I187="",'02_대상물건입력'!B19="",'02_대상물건입력'!B19&lt;=0),"",ABS(I187-'02_대상물건입력'!B19)/'02_대상물건입력'!B19)</f>
        <v/>
      </c>
      <c r="Z187" s="172">
        <f>IF(OR(Y187="",'01_설정'!B31="",'01_설정'!B31&lt;=0,'01_설정'!B32="",'01_설정'!B32&lt;=0),"",MAX(0,(1-Y187/'01_설정'!B32))*'01_설정'!B31)</f>
        <v/>
      </c>
    </row>
    <row r="188" ht="17.25" customHeight="1">
      <c r="A188" s="152">
        <f>IF(INDEX('04A_국토부원자료'!$A:$A,ROW()+1)="","",ROW()-3)</f>
        <v/>
      </c>
      <c r="B188" s="48">
        <f>IFERROR(INDEX('04A_국토부원자료'!$A:$T,ROW()+1,MATCH("시군구",'04A_국토부원자료'!$A$4:$T$4,0)),"")</f>
        <v/>
      </c>
      <c r="C188" s="48">
        <f>IF(B188="","",IFERROR(INDEX('04A_국토부원자료'!$A:$T,ROW()+1,MATCH("번지",'04A_국토부원자료'!$A$4:$T$4,0)),""))</f>
        <v/>
      </c>
      <c r="D188" s="48">
        <f>IF(B188="","",IF(Q188=1,'02_대상물건입력'!$B$8,IFERROR(INDEX('04A_국토부원자료'!$A:$T,ROW()+1,MATCH("단지명",'04A_국토부원자료'!$A$4:$T$4,0)),"")))</f>
        <v/>
      </c>
      <c r="E188" s="172">
        <f>IFERROR(VALUE(SUBSTITUTE(INDEX('04A_국토부원자료'!$A:$T,ROW()+1,MATCH("전용면적(㎡)",'04A_국토부원자료'!$A$4:$T$4,0)),",","")),"")</f>
        <v/>
      </c>
      <c r="F1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8" s="51">
        <f>IFERROR(VALUE(SUBSTITUTE(INDEX('04A_국토부원자료'!$A:$T,ROW()+1,MATCH("거래금액(만원)",'04A_국토부원자료'!$A$4:$T$4,0)),",","")),"")</f>
        <v/>
      </c>
      <c r="H188" s="174">
        <f>IF(G188="","",G188*10000)</f>
        <v/>
      </c>
      <c r="I188" s="174">
        <f>IFERROR(IF(AND(H188&gt;0,E188&gt;0),H188/E188,""),"")</f>
        <v/>
      </c>
      <c r="J188" s="152">
        <f>IFERROR(VALUE(SUBSTITUTE(INDEX('04A_국토부원자료'!$A:$T,ROW()+1,MATCH("층",'04A_국토부원자료'!$A$4:$T$4,0)),",","")),"")</f>
        <v/>
      </c>
      <c r="K188" s="152">
        <f>IFERROR(VALUE(SUBSTITUTE(INDEX('04A_국토부원자료'!$A:$T,ROW()+1,MATCH("건축년도",'04A_국토부원자료'!$A$4:$T$4,0)),",","")),"")</f>
        <v/>
      </c>
      <c r="L188" s="176">
        <f>IFERROR(INDEX('04A_국토부원자료'!$A:$T,ROW()+1,MATCH("도로명",'04A_국토부원자료'!$A$4:$T$4,0)),"")</f>
        <v/>
      </c>
      <c r="M188" s="48">
        <f>IFERROR(INDEX('04A_국토부원자료'!$A:$T,ROW()+1,MATCH("거래유형",'04A_국토부원자료'!$A$4:$T$4,0)),"")</f>
        <v/>
      </c>
      <c r="N188" s="152">
        <f>IF(B188="","",IF('02_대상물건입력'!B5="",1,IF(ISNUMBER(SEARCH('02_대상물건입력'!B5,B188)),1,0)))</f>
        <v/>
      </c>
      <c r="O188" s="152">
        <f>IF(B188="","",IF('02_대상물건입력'!B6="",1,IF(ISNUMBER(SEARCH('02_대상물건입력'!B6,B188)),1,0)))</f>
        <v/>
      </c>
      <c r="P188" s="152">
        <f>IF(L188="","",IF('02_대상물건입력'!B15="",0,IF(ISNUMBER(SEARCH('02_대상물건입력'!B15,L188)),1,0)))</f>
        <v/>
      </c>
      <c r="Q188" s="152">
        <f>IF(OR(C188="",L188=""),0,IF(AND(TRIM(C188)=TRIM(RIGHT(SUBSTITUTE(TRIM('02_대상물건입력'!$B$7)," ",REPT(" ",99)),99)),IF('02_대상물건입력'!B15="",TRUE(),ISNUMBER(SEARCH('02_대상물건입력'!B15,L188)))),1,0))</f>
        <v/>
      </c>
      <c r="R188" s="175">
        <f>IFERROR(ABS(E188-'02_대상물건입력'!B11)/'02_대상물건입력'!B11,"")</f>
        <v/>
      </c>
      <c r="S188" s="152">
        <f>IFERROR(ABS(J188-'02_대상물건입력'!B10),"")</f>
        <v/>
      </c>
      <c r="T188" s="152">
        <f>IFERROR(ABS('01_설정'!B4-F188),"")</f>
        <v/>
      </c>
      <c r="U188" s="152">
        <f>IFERROR(ABS(K188-YEAR('02_대상물건입력'!B14)),"")</f>
        <v/>
      </c>
      <c r="V188" s="152">
        <f>IF(B188="","",IF(AND(E188&gt;0,F188&gt;0,H188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188=1,TRUE()),R188&lt;='01_설정'!B5,S188&lt;='01_설정'!B6,T188&lt;='01_설정'!B7,U188&lt;='01_설정'!B8),"Y",""))</f>
        <v/>
      </c>
      <c r="W188" s="172">
        <f>IF(V188&lt;&gt;"Y","",MAX(0,(1-R188/'01_설정'!B5))*'01_설정'!B14+MAX(0,(1-S188/'01_설정'!B6))*'01_설정'!B15+MAX(0,(1-T188/'01_설정'!B7))*'01_설정'!B16+MAX(0,(1-U188/'01_설정'!B8))*'01_설정'!B17+O188*'01_설정'!B11+Q188*'01_설정'!B12+P188*'01_설정'!B13+IF(Z188="",0,Z188))</f>
        <v/>
      </c>
      <c r="X188" s="152">
        <f>IF(W188="","",1+COUNTIFS($W$4:$W$3003,"&gt;"&amp;W188)+COUNTIFS($W$4:W188,W188)-1)</f>
        <v/>
      </c>
      <c r="Y188" s="175">
        <f>IF(OR(I188="",'02_대상물건입력'!B19="",'02_대상물건입력'!B19&lt;=0),"",ABS(I188-'02_대상물건입력'!B19)/'02_대상물건입력'!B19)</f>
        <v/>
      </c>
      <c r="Z188" s="172">
        <f>IF(OR(Y188="",'01_설정'!B31="",'01_설정'!B31&lt;=0,'01_설정'!B32="",'01_설정'!B32&lt;=0),"",MAX(0,(1-Y188/'01_설정'!B32))*'01_설정'!B31)</f>
        <v/>
      </c>
    </row>
    <row r="189" ht="17.25" customHeight="1">
      <c r="A189" s="152">
        <f>IF(INDEX('04A_국토부원자료'!$A:$A,ROW()+1)="","",ROW()-3)</f>
        <v/>
      </c>
      <c r="B189" s="48">
        <f>IFERROR(INDEX('04A_국토부원자료'!$A:$T,ROW()+1,MATCH("시군구",'04A_국토부원자료'!$A$4:$T$4,0)),"")</f>
        <v/>
      </c>
      <c r="C189" s="48">
        <f>IF(B189="","",IFERROR(INDEX('04A_국토부원자료'!$A:$T,ROW()+1,MATCH("번지",'04A_국토부원자료'!$A$4:$T$4,0)),""))</f>
        <v/>
      </c>
      <c r="D189" s="48">
        <f>IF(B189="","",IF(Q189=1,'02_대상물건입력'!$B$8,IFERROR(INDEX('04A_국토부원자료'!$A:$T,ROW()+1,MATCH("단지명",'04A_국토부원자료'!$A$4:$T$4,0)),"")))</f>
        <v/>
      </c>
      <c r="E189" s="172">
        <f>IFERROR(VALUE(SUBSTITUTE(INDEX('04A_국토부원자료'!$A:$T,ROW()+1,MATCH("전용면적(㎡)",'04A_국토부원자료'!$A$4:$T$4,0)),",","")),"")</f>
        <v/>
      </c>
      <c r="F1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9" s="51">
        <f>IFERROR(VALUE(SUBSTITUTE(INDEX('04A_국토부원자료'!$A:$T,ROW()+1,MATCH("거래금액(만원)",'04A_국토부원자료'!$A$4:$T$4,0)),",","")),"")</f>
        <v/>
      </c>
      <c r="H189" s="174">
        <f>IF(G189="","",G189*10000)</f>
        <v/>
      </c>
      <c r="I189" s="174">
        <f>IFERROR(IF(AND(H189&gt;0,E189&gt;0),H189/E189,""),"")</f>
        <v/>
      </c>
      <c r="J189" s="152">
        <f>IFERROR(VALUE(SUBSTITUTE(INDEX('04A_국토부원자료'!$A:$T,ROW()+1,MATCH("층",'04A_국토부원자료'!$A$4:$T$4,0)),",","")),"")</f>
        <v/>
      </c>
      <c r="K189" s="152">
        <f>IFERROR(VALUE(SUBSTITUTE(INDEX('04A_국토부원자료'!$A:$T,ROW()+1,MATCH("건축년도",'04A_국토부원자료'!$A$4:$T$4,0)),",","")),"")</f>
        <v/>
      </c>
      <c r="L189" s="176">
        <f>IFERROR(INDEX('04A_국토부원자료'!$A:$T,ROW()+1,MATCH("도로명",'04A_국토부원자료'!$A$4:$T$4,0)),"")</f>
        <v/>
      </c>
      <c r="M189" s="48">
        <f>IFERROR(INDEX('04A_국토부원자료'!$A:$T,ROW()+1,MATCH("거래유형",'04A_국토부원자료'!$A$4:$T$4,0)),"")</f>
        <v/>
      </c>
      <c r="N189" s="152">
        <f>IF(B189="","",IF('02_대상물건입력'!B5="",1,IF(ISNUMBER(SEARCH('02_대상물건입력'!B5,B189)),1,0)))</f>
        <v/>
      </c>
      <c r="O189" s="152">
        <f>IF(B189="","",IF('02_대상물건입력'!B6="",1,IF(ISNUMBER(SEARCH('02_대상물건입력'!B6,B189)),1,0)))</f>
        <v/>
      </c>
      <c r="P189" s="152">
        <f>IF(L189="","",IF('02_대상물건입력'!B15="",0,IF(ISNUMBER(SEARCH('02_대상물건입력'!B15,L189)),1,0)))</f>
        <v/>
      </c>
      <c r="Q189" s="152">
        <f>IF(OR(C189="",L189=""),0,IF(AND(TRIM(C189)=TRIM(RIGHT(SUBSTITUTE(TRIM('02_대상물건입력'!$B$7)," ",REPT(" ",99)),99)),IF('02_대상물건입력'!B15="",TRUE(),ISNUMBER(SEARCH('02_대상물건입력'!B15,L189)))),1,0))</f>
        <v/>
      </c>
      <c r="R189" s="175">
        <f>IFERROR(ABS(E189-'02_대상물건입력'!B11)/'02_대상물건입력'!B11,"")</f>
        <v/>
      </c>
      <c r="S189" s="152">
        <f>IFERROR(ABS(J189-'02_대상물건입력'!B10),"")</f>
        <v/>
      </c>
      <c r="T189" s="152">
        <f>IFERROR(ABS('01_설정'!B4-F189),"")</f>
        <v/>
      </c>
      <c r="U189" s="152">
        <f>IFERROR(ABS(K189-YEAR('02_대상물건입력'!B14)),"")</f>
        <v/>
      </c>
      <c r="V189" s="152">
        <f>IF(B189="","",IF(AND(E189&gt;0,F189&gt;0,H189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189=1,TRUE()),R189&lt;='01_설정'!B5,S189&lt;='01_설정'!B6,T189&lt;='01_설정'!B7,U189&lt;='01_설정'!B8),"Y",""))</f>
        <v/>
      </c>
      <c r="W189" s="172">
        <f>IF(V189&lt;&gt;"Y","",MAX(0,(1-R189/'01_설정'!B5))*'01_설정'!B14+MAX(0,(1-S189/'01_설정'!B6))*'01_설정'!B15+MAX(0,(1-T189/'01_설정'!B7))*'01_설정'!B16+MAX(0,(1-U189/'01_설정'!B8))*'01_설정'!B17+O189*'01_설정'!B11+Q189*'01_설정'!B12+P189*'01_설정'!B13+IF(Z189="",0,Z189))</f>
        <v/>
      </c>
      <c r="X189" s="152">
        <f>IF(W189="","",1+COUNTIFS($W$4:$W$3003,"&gt;"&amp;W189)+COUNTIFS($W$4:W189,W189)-1)</f>
        <v/>
      </c>
      <c r="Y189" s="175">
        <f>IF(OR(I189="",'02_대상물건입력'!B19="",'02_대상물건입력'!B19&lt;=0),"",ABS(I189-'02_대상물건입력'!B19)/'02_대상물건입력'!B19)</f>
        <v/>
      </c>
      <c r="Z189" s="172">
        <f>IF(OR(Y189="",'01_설정'!B31="",'01_설정'!B31&lt;=0,'01_설정'!B32="",'01_설정'!B32&lt;=0),"",MAX(0,(1-Y189/'01_설정'!B32))*'01_설정'!B31)</f>
        <v/>
      </c>
    </row>
    <row r="190" ht="17.25" customHeight="1">
      <c r="A190" s="152">
        <f>IF(INDEX('04A_국토부원자료'!$A:$A,ROW()+1)="","",ROW()-3)</f>
        <v/>
      </c>
      <c r="B190" s="48">
        <f>IFERROR(INDEX('04A_국토부원자료'!$A:$T,ROW()+1,MATCH("시군구",'04A_국토부원자료'!$A$4:$T$4,0)),"")</f>
        <v/>
      </c>
      <c r="C190" s="48">
        <f>IF(B190="","",IFERROR(INDEX('04A_국토부원자료'!$A:$T,ROW()+1,MATCH("번지",'04A_국토부원자료'!$A$4:$T$4,0)),""))</f>
        <v/>
      </c>
      <c r="D190" s="48">
        <f>IF(B190="","",IF(Q190=1,'02_대상물건입력'!$B$8,IFERROR(INDEX('04A_국토부원자료'!$A:$T,ROW()+1,MATCH("단지명",'04A_국토부원자료'!$A$4:$T$4,0)),"")))</f>
        <v/>
      </c>
      <c r="E190" s="172">
        <f>IFERROR(VALUE(SUBSTITUTE(INDEX('04A_국토부원자료'!$A:$T,ROW()+1,MATCH("전용면적(㎡)",'04A_국토부원자료'!$A$4:$T$4,0)),",","")),"")</f>
        <v/>
      </c>
      <c r="F1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0" s="51">
        <f>IFERROR(VALUE(SUBSTITUTE(INDEX('04A_국토부원자료'!$A:$T,ROW()+1,MATCH("거래금액(만원)",'04A_국토부원자료'!$A$4:$T$4,0)),",","")),"")</f>
        <v/>
      </c>
      <c r="H190" s="174">
        <f>IF(G190="","",G190*10000)</f>
        <v/>
      </c>
      <c r="I190" s="174">
        <f>IFERROR(IF(AND(H190&gt;0,E190&gt;0),H190/E190,""),"")</f>
        <v/>
      </c>
      <c r="J190" s="152">
        <f>IFERROR(VALUE(SUBSTITUTE(INDEX('04A_국토부원자료'!$A:$T,ROW()+1,MATCH("층",'04A_국토부원자료'!$A$4:$T$4,0)),",","")),"")</f>
        <v/>
      </c>
      <c r="K190" s="152">
        <f>IFERROR(VALUE(SUBSTITUTE(INDEX('04A_국토부원자료'!$A:$T,ROW()+1,MATCH("건축년도",'04A_국토부원자료'!$A$4:$T$4,0)),",","")),"")</f>
        <v/>
      </c>
      <c r="L190" s="176">
        <f>IFERROR(INDEX('04A_국토부원자료'!$A:$T,ROW()+1,MATCH("도로명",'04A_국토부원자료'!$A$4:$T$4,0)),"")</f>
        <v/>
      </c>
      <c r="M190" s="48">
        <f>IFERROR(INDEX('04A_국토부원자료'!$A:$T,ROW()+1,MATCH("거래유형",'04A_국토부원자료'!$A$4:$T$4,0)),"")</f>
        <v/>
      </c>
      <c r="N190" s="152">
        <f>IF(B190="","",IF('02_대상물건입력'!B5="",1,IF(ISNUMBER(SEARCH('02_대상물건입력'!B5,B190)),1,0)))</f>
        <v/>
      </c>
      <c r="O190" s="152">
        <f>IF(B190="","",IF('02_대상물건입력'!B6="",1,IF(ISNUMBER(SEARCH('02_대상물건입력'!B6,B190)),1,0)))</f>
        <v/>
      </c>
      <c r="P190" s="152">
        <f>IF(L190="","",IF('02_대상물건입력'!B15="",0,IF(ISNUMBER(SEARCH('02_대상물건입력'!B15,L190)),1,0)))</f>
        <v/>
      </c>
      <c r="Q190" s="152">
        <f>IF(OR(C190="",L190=""),0,IF(AND(TRIM(C190)=TRIM(RIGHT(SUBSTITUTE(TRIM('02_대상물건입력'!$B$7)," ",REPT(" ",99)),99)),IF('02_대상물건입력'!B15="",TRUE(),ISNUMBER(SEARCH('02_대상물건입력'!B15,L190)))),1,0))</f>
        <v/>
      </c>
      <c r="R190" s="175">
        <f>IFERROR(ABS(E190-'02_대상물건입력'!B11)/'02_대상물건입력'!B11,"")</f>
        <v/>
      </c>
      <c r="S190" s="152">
        <f>IFERROR(ABS(J190-'02_대상물건입력'!B10),"")</f>
        <v/>
      </c>
      <c r="T190" s="152">
        <f>IFERROR(ABS('01_설정'!B4-F190),"")</f>
        <v/>
      </c>
      <c r="U190" s="152">
        <f>IFERROR(ABS(K190-YEAR('02_대상물건입력'!B14)),"")</f>
        <v/>
      </c>
      <c r="V190" s="152">
        <f>IF(B190="","",IF(AND(E190&gt;0,F190&gt;0,H190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190=1,TRUE()),R190&lt;='01_설정'!B5,S190&lt;='01_설정'!B6,T190&lt;='01_설정'!B7,U190&lt;='01_설정'!B8),"Y",""))</f>
        <v/>
      </c>
      <c r="W190" s="172">
        <f>IF(V190&lt;&gt;"Y","",MAX(0,(1-R190/'01_설정'!B5))*'01_설정'!B14+MAX(0,(1-S190/'01_설정'!B6))*'01_설정'!B15+MAX(0,(1-T190/'01_설정'!B7))*'01_설정'!B16+MAX(0,(1-U190/'01_설정'!B8))*'01_설정'!B17+O190*'01_설정'!B11+Q190*'01_설정'!B12+P190*'01_설정'!B13+IF(Z190="",0,Z190))</f>
        <v/>
      </c>
      <c r="X190" s="152">
        <f>IF(W190="","",1+COUNTIFS($W$4:$W$3003,"&gt;"&amp;W190)+COUNTIFS($W$4:W190,W190)-1)</f>
        <v/>
      </c>
      <c r="Y190" s="175">
        <f>IF(OR(I190="",'02_대상물건입력'!B19="",'02_대상물건입력'!B19&lt;=0),"",ABS(I190-'02_대상물건입력'!B19)/'02_대상물건입력'!B19)</f>
        <v/>
      </c>
      <c r="Z190" s="172">
        <f>IF(OR(Y190="",'01_설정'!B31="",'01_설정'!B31&lt;=0,'01_설정'!B32="",'01_설정'!B32&lt;=0),"",MAX(0,(1-Y190/'01_설정'!B32))*'01_설정'!B31)</f>
        <v/>
      </c>
    </row>
    <row r="191" ht="17.25" customHeight="1">
      <c r="A191" s="152">
        <f>IF(INDEX('04A_국토부원자료'!$A:$A,ROW()+1)="","",ROW()-3)</f>
        <v/>
      </c>
      <c r="B191" s="48">
        <f>IFERROR(INDEX('04A_국토부원자료'!$A:$T,ROW()+1,MATCH("시군구",'04A_국토부원자료'!$A$4:$T$4,0)),"")</f>
        <v/>
      </c>
      <c r="C191" s="48">
        <f>IF(B191="","",IFERROR(INDEX('04A_국토부원자료'!$A:$T,ROW()+1,MATCH("번지",'04A_국토부원자료'!$A$4:$T$4,0)),""))</f>
        <v/>
      </c>
      <c r="D191" s="48">
        <f>IF(B191="","",IF(Q191=1,'02_대상물건입력'!$B$8,IFERROR(INDEX('04A_국토부원자료'!$A:$T,ROW()+1,MATCH("단지명",'04A_국토부원자료'!$A$4:$T$4,0)),"")))</f>
        <v/>
      </c>
      <c r="E191" s="172">
        <f>IFERROR(VALUE(SUBSTITUTE(INDEX('04A_국토부원자료'!$A:$T,ROW()+1,MATCH("전용면적(㎡)",'04A_국토부원자료'!$A$4:$T$4,0)),",","")),"")</f>
        <v/>
      </c>
      <c r="F1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1" s="51">
        <f>IFERROR(VALUE(SUBSTITUTE(INDEX('04A_국토부원자료'!$A:$T,ROW()+1,MATCH("거래금액(만원)",'04A_국토부원자료'!$A$4:$T$4,0)),",","")),"")</f>
        <v/>
      </c>
      <c r="H191" s="174">
        <f>IF(G191="","",G191*10000)</f>
        <v/>
      </c>
      <c r="I191" s="174">
        <f>IFERROR(IF(AND(H191&gt;0,E191&gt;0),H191/E191,""),"")</f>
        <v/>
      </c>
      <c r="J191" s="152">
        <f>IFERROR(VALUE(SUBSTITUTE(INDEX('04A_국토부원자료'!$A:$T,ROW()+1,MATCH("층",'04A_국토부원자료'!$A$4:$T$4,0)),",","")),"")</f>
        <v/>
      </c>
      <c r="K191" s="152">
        <f>IFERROR(VALUE(SUBSTITUTE(INDEX('04A_국토부원자료'!$A:$T,ROW()+1,MATCH("건축년도",'04A_국토부원자료'!$A$4:$T$4,0)),",","")),"")</f>
        <v/>
      </c>
      <c r="L191" s="176">
        <f>IFERROR(INDEX('04A_국토부원자료'!$A:$T,ROW()+1,MATCH("도로명",'04A_국토부원자료'!$A$4:$T$4,0)),"")</f>
        <v/>
      </c>
      <c r="M191" s="48">
        <f>IFERROR(INDEX('04A_국토부원자료'!$A:$T,ROW()+1,MATCH("거래유형",'04A_국토부원자료'!$A$4:$T$4,0)),"")</f>
        <v/>
      </c>
      <c r="N191" s="152">
        <f>IF(B191="","",IF('02_대상물건입력'!B5="",1,IF(ISNUMBER(SEARCH('02_대상물건입력'!B5,B191)),1,0)))</f>
        <v/>
      </c>
      <c r="O191" s="152">
        <f>IF(B191="","",IF('02_대상물건입력'!B6="",1,IF(ISNUMBER(SEARCH('02_대상물건입력'!B6,B191)),1,0)))</f>
        <v/>
      </c>
      <c r="P191" s="152">
        <f>IF(L191="","",IF('02_대상물건입력'!B15="",0,IF(ISNUMBER(SEARCH('02_대상물건입력'!B15,L191)),1,0)))</f>
        <v/>
      </c>
      <c r="Q191" s="152">
        <f>IF(OR(C191="",L191=""),0,IF(AND(TRIM(C191)=TRIM(RIGHT(SUBSTITUTE(TRIM('02_대상물건입력'!$B$7)," ",REPT(" ",99)),99)),IF('02_대상물건입력'!B15="",TRUE(),ISNUMBER(SEARCH('02_대상물건입력'!B15,L191)))),1,0))</f>
        <v/>
      </c>
      <c r="R191" s="175">
        <f>IFERROR(ABS(E191-'02_대상물건입력'!B11)/'02_대상물건입력'!B11,"")</f>
        <v/>
      </c>
      <c r="S191" s="152">
        <f>IFERROR(ABS(J191-'02_대상물건입력'!B10),"")</f>
        <v/>
      </c>
      <c r="T191" s="152">
        <f>IFERROR(ABS('01_설정'!B4-F191),"")</f>
        <v/>
      </c>
      <c r="U191" s="152">
        <f>IFERROR(ABS(K191-YEAR('02_대상물건입력'!B14)),"")</f>
        <v/>
      </c>
      <c r="V191" s="152">
        <f>IF(B191="","",IF(AND(E191&gt;0,F191&gt;0,H191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191=1,TRUE()),R191&lt;='01_설정'!B5,S191&lt;='01_설정'!B6,T191&lt;='01_설정'!B7,U191&lt;='01_설정'!B8),"Y",""))</f>
        <v/>
      </c>
      <c r="W191" s="172">
        <f>IF(V191&lt;&gt;"Y","",MAX(0,(1-R191/'01_설정'!B5))*'01_설정'!B14+MAX(0,(1-S191/'01_설정'!B6))*'01_설정'!B15+MAX(0,(1-T191/'01_설정'!B7))*'01_설정'!B16+MAX(0,(1-U191/'01_설정'!B8))*'01_설정'!B17+O191*'01_설정'!B11+Q191*'01_설정'!B12+P191*'01_설정'!B13+IF(Z191="",0,Z191))</f>
        <v/>
      </c>
      <c r="X191" s="152">
        <f>IF(W191="","",1+COUNTIFS($W$4:$W$3003,"&gt;"&amp;W191)+COUNTIFS($W$4:W191,W191)-1)</f>
        <v/>
      </c>
      <c r="Y191" s="175">
        <f>IF(OR(I191="",'02_대상물건입력'!B19="",'02_대상물건입력'!B19&lt;=0),"",ABS(I191-'02_대상물건입력'!B19)/'02_대상물건입력'!B19)</f>
        <v/>
      </c>
      <c r="Z191" s="172">
        <f>IF(OR(Y191="",'01_설정'!B31="",'01_설정'!B31&lt;=0,'01_설정'!B32="",'01_설정'!B32&lt;=0),"",MAX(0,(1-Y191/'01_설정'!B32))*'01_설정'!B31)</f>
        <v/>
      </c>
    </row>
    <row r="192" ht="17.25" customHeight="1">
      <c r="A192" s="152">
        <f>IF(INDEX('04A_국토부원자료'!$A:$A,ROW()+1)="","",ROW()-3)</f>
        <v/>
      </c>
      <c r="B192" s="48">
        <f>IFERROR(INDEX('04A_국토부원자료'!$A:$T,ROW()+1,MATCH("시군구",'04A_국토부원자료'!$A$4:$T$4,0)),"")</f>
        <v/>
      </c>
      <c r="C192" s="48">
        <f>IF(B192="","",IFERROR(INDEX('04A_국토부원자료'!$A:$T,ROW()+1,MATCH("번지",'04A_국토부원자료'!$A$4:$T$4,0)),""))</f>
        <v/>
      </c>
      <c r="D192" s="48">
        <f>IF(B192="","",IF(Q192=1,'02_대상물건입력'!$B$8,IFERROR(INDEX('04A_국토부원자료'!$A:$T,ROW()+1,MATCH("단지명",'04A_국토부원자료'!$A$4:$T$4,0)),"")))</f>
        <v/>
      </c>
      <c r="E192" s="172">
        <f>IFERROR(VALUE(SUBSTITUTE(INDEX('04A_국토부원자료'!$A:$T,ROW()+1,MATCH("전용면적(㎡)",'04A_국토부원자료'!$A$4:$T$4,0)),",","")),"")</f>
        <v/>
      </c>
      <c r="F1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2" s="51">
        <f>IFERROR(VALUE(SUBSTITUTE(INDEX('04A_국토부원자료'!$A:$T,ROW()+1,MATCH("거래금액(만원)",'04A_국토부원자료'!$A$4:$T$4,0)),",","")),"")</f>
        <v/>
      </c>
      <c r="H192" s="174">
        <f>IF(G192="","",G192*10000)</f>
        <v/>
      </c>
      <c r="I192" s="174">
        <f>IFERROR(IF(AND(H192&gt;0,E192&gt;0),H192/E192,""),"")</f>
        <v/>
      </c>
      <c r="J192" s="152">
        <f>IFERROR(VALUE(SUBSTITUTE(INDEX('04A_국토부원자료'!$A:$T,ROW()+1,MATCH("층",'04A_국토부원자료'!$A$4:$T$4,0)),",","")),"")</f>
        <v/>
      </c>
      <c r="K192" s="152">
        <f>IFERROR(VALUE(SUBSTITUTE(INDEX('04A_국토부원자료'!$A:$T,ROW()+1,MATCH("건축년도",'04A_국토부원자료'!$A$4:$T$4,0)),",","")),"")</f>
        <v/>
      </c>
      <c r="L192" s="176">
        <f>IFERROR(INDEX('04A_국토부원자료'!$A:$T,ROW()+1,MATCH("도로명",'04A_국토부원자료'!$A$4:$T$4,0)),"")</f>
        <v/>
      </c>
      <c r="M192" s="48">
        <f>IFERROR(INDEX('04A_국토부원자료'!$A:$T,ROW()+1,MATCH("거래유형",'04A_국토부원자료'!$A$4:$T$4,0)),"")</f>
        <v/>
      </c>
      <c r="N192" s="152">
        <f>IF(B192="","",IF('02_대상물건입력'!B5="",1,IF(ISNUMBER(SEARCH('02_대상물건입력'!B5,B192)),1,0)))</f>
        <v/>
      </c>
      <c r="O192" s="152">
        <f>IF(B192="","",IF('02_대상물건입력'!B6="",1,IF(ISNUMBER(SEARCH('02_대상물건입력'!B6,B192)),1,0)))</f>
        <v/>
      </c>
      <c r="P192" s="152">
        <f>IF(L192="","",IF('02_대상물건입력'!B15="",0,IF(ISNUMBER(SEARCH('02_대상물건입력'!B15,L192)),1,0)))</f>
        <v/>
      </c>
      <c r="Q192" s="152">
        <f>IF(OR(C192="",L192=""),0,IF(AND(TRIM(C192)=TRIM(RIGHT(SUBSTITUTE(TRIM('02_대상물건입력'!$B$7)," ",REPT(" ",99)),99)),IF('02_대상물건입력'!B15="",TRUE(),ISNUMBER(SEARCH('02_대상물건입력'!B15,L192)))),1,0))</f>
        <v/>
      </c>
      <c r="R192" s="175">
        <f>IFERROR(ABS(E192-'02_대상물건입력'!B11)/'02_대상물건입력'!B11,"")</f>
        <v/>
      </c>
      <c r="S192" s="152">
        <f>IFERROR(ABS(J192-'02_대상물건입력'!B10),"")</f>
        <v/>
      </c>
      <c r="T192" s="152">
        <f>IFERROR(ABS('01_설정'!B4-F192),"")</f>
        <v/>
      </c>
      <c r="U192" s="152">
        <f>IFERROR(ABS(K192-YEAR('02_대상물건입력'!B14)),"")</f>
        <v/>
      </c>
      <c r="V192" s="152">
        <f>IF(B192="","",IF(AND(E192&gt;0,F192&gt;0,H192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192=1,TRUE()),R192&lt;='01_설정'!B5,S192&lt;='01_설정'!B6,T192&lt;='01_설정'!B7,U192&lt;='01_설정'!B8),"Y",""))</f>
        <v/>
      </c>
      <c r="W192" s="172">
        <f>IF(V192&lt;&gt;"Y","",MAX(0,(1-R192/'01_설정'!B5))*'01_설정'!B14+MAX(0,(1-S192/'01_설정'!B6))*'01_설정'!B15+MAX(0,(1-T192/'01_설정'!B7))*'01_설정'!B16+MAX(0,(1-U192/'01_설정'!B8))*'01_설정'!B17+O192*'01_설정'!B11+Q192*'01_설정'!B12+P192*'01_설정'!B13+IF(Z192="",0,Z192))</f>
        <v/>
      </c>
      <c r="X192" s="152">
        <f>IF(W192="","",1+COUNTIFS($W$4:$W$3003,"&gt;"&amp;W192)+COUNTIFS($W$4:W192,W192)-1)</f>
        <v/>
      </c>
      <c r="Y192" s="175">
        <f>IF(OR(I192="",'02_대상물건입력'!B19="",'02_대상물건입력'!B19&lt;=0),"",ABS(I192-'02_대상물건입력'!B19)/'02_대상물건입력'!B19)</f>
        <v/>
      </c>
      <c r="Z192" s="172">
        <f>IF(OR(Y192="",'01_설정'!B31="",'01_설정'!B31&lt;=0,'01_설정'!B32="",'01_설정'!B32&lt;=0),"",MAX(0,(1-Y192/'01_설정'!B32))*'01_설정'!B31)</f>
        <v/>
      </c>
    </row>
    <row r="193" ht="17.25" customHeight="1">
      <c r="A193" s="152">
        <f>IF(INDEX('04A_국토부원자료'!$A:$A,ROW()+1)="","",ROW()-3)</f>
        <v/>
      </c>
      <c r="B193" s="48">
        <f>IFERROR(INDEX('04A_국토부원자료'!$A:$T,ROW()+1,MATCH("시군구",'04A_국토부원자료'!$A$4:$T$4,0)),"")</f>
        <v/>
      </c>
      <c r="C193" s="48">
        <f>IF(B193="","",IFERROR(INDEX('04A_국토부원자료'!$A:$T,ROW()+1,MATCH("번지",'04A_국토부원자료'!$A$4:$T$4,0)),""))</f>
        <v/>
      </c>
      <c r="D193" s="48">
        <f>IF(B193="","",IF(Q193=1,'02_대상물건입력'!$B$8,IFERROR(INDEX('04A_국토부원자료'!$A:$T,ROW()+1,MATCH("단지명",'04A_국토부원자료'!$A$4:$T$4,0)),"")))</f>
        <v/>
      </c>
      <c r="E193" s="172">
        <f>IFERROR(VALUE(SUBSTITUTE(INDEX('04A_국토부원자료'!$A:$T,ROW()+1,MATCH("전용면적(㎡)",'04A_국토부원자료'!$A$4:$T$4,0)),",","")),"")</f>
        <v/>
      </c>
      <c r="F1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3" s="51">
        <f>IFERROR(VALUE(SUBSTITUTE(INDEX('04A_국토부원자료'!$A:$T,ROW()+1,MATCH("거래금액(만원)",'04A_국토부원자료'!$A$4:$T$4,0)),",","")),"")</f>
        <v/>
      </c>
      <c r="H193" s="174">
        <f>IF(G193="","",G193*10000)</f>
        <v/>
      </c>
      <c r="I193" s="174">
        <f>IFERROR(IF(AND(H193&gt;0,E193&gt;0),H193/E193,""),"")</f>
        <v/>
      </c>
      <c r="J193" s="152">
        <f>IFERROR(VALUE(SUBSTITUTE(INDEX('04A_국토부원자료'!$A:$T,ROW()+1,MATCH("층",'04A_국토부원자료'!$A$4:$T$4,0)),",","")),"")</f>
        <v/>
      </c>
      <c r="K193" s="152">
        <f>IFERROR(VALUE(SUBSTITUTE(INDEX('04A_국토부원자료'!$A:$T,ROW()+1,MATCH("건축년도",'04A_국토부원자료'!$A$4:$T$4,0)),",","")),"")</f>
        <v/>
      </c>
      <c r="L193" s="176">
        <f>IFERROR(INDEX('04A_국토부원자료'!$A:$T,ROW()+1,MATCH("도로명",'04A_국토부원자료'!$A$4:$T$4,0)),"")</f>
        <v/>
      </c>
      <c r="M193" s="48">
        <f>IFERROR(INDEX('04A_국토부원자료'!$A:$T,ROW()+1,MATCH("거래유형",'04A_국토부원자료'!$A$4:$T$4,0)),"")</f>
        <v/>
      </c>
      <c r="N193" s="152">
        <f>IF(B193="","",IF('02_대상물건입력'!B5="",1,IF(ISNUMBER(SEARCH('02_대상물건입력'!B5,B193)),1,0)))</f>
        <v/>
      </c>
      <c r="O193" s="152">
        <f>IF(B193="","",IF('02_대상물건입력'!B6="",1,IF(ISNUMBER(SEARCH('02_대상물건입력'!B6,B193)),1,0)))</f>
        <v/>
      </c>
      <c r="P193" s="152">
        <f>IF(L193="","",IF('02_대상물건입력'!B15="",0,IF(ISNUMBER(SEARCH('02_대상물건입력'!B15,L193)),1,0)))</f>
        <v/>
      </c>
      <c r="Q193" s="152">
        <f>IF(OR(C193="",L193=""),0,IF(AND(TRIM(C193)=TRIM(RIGHT(SUBSTITUTE(TRIM('02_대상물건입력'!$B$7)," ",REPT(" ",99)),99)),IF('02_대상물건입력'!B15="",TRUE(),ISNUMBER(SEARCH('02_대상물건입력'!B15,L193)))),1,0))</f>
        <v/>
      </c>
      <c r="R193" s="175">
        <f>IFERROR(ABS(E193-'02_대상물건입력'!B11)/'02_대상물건입력'!B11,"")</f>
        <v/>
      </c>
      <c r="S193" s="152">
        <f>IFERROR(ABS(J193-'02_대상물건입력'!B10),"")</f>
        <v/>
      </c>
      <c r="T193" s="152">
        <f>IFERROR(ABS('01_설정'!B4-F193),"")</f>
        <v/>
      </c>
      <c r="U193" s="152">
        <f>IFERROR(ABS(K193-YEAR('02_대상물건입력'!B14)),"")</f>
        <v/>
      </c>
      <c r="V193" s="152">
        <f>IF(B193="","",IF(AND(E193&gt;0,F193&gt;0,H193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193=1,TRUE()),R193&lt;='01_설정'!B5,S193&lt;='01_설정'!B6,T193&lt;='01_설정'!B7,U193&lt;='01_설정'!B8),"Y",""))</f>
        <v/>
      </c>
      <c r="W193" s="172">
        <f>IF(V193&lt;&gt;"Y","",MAX(0,(1-R193/'01_설정'!B5))*'01_설정'!B14+MAX(0,(1-S193/'01_설정'!B6))*'01_설정'!B15+MAX(0,(1-T193/'01_설정'!B7))*'01_설정'!B16+MAX(0,(1-U193/'01_설정'!B8))*'01_설정'!B17+O193*'01_설정'!B11+Q193*'01_설정'!B12+P193*'01_설정'!B13+IF(Z193="",0,Z193))</f>
        <v/>
      </c>
      <c r="X193" s="152">
        <f>IF(W193="","",1+COUNTIFS($W$4:$W$3003,"&gt;"&amp;W193)+COUNTIFS($W$4:W193,W193)-1)</f>
        <v/>
      </c>
      <c r="Y193" s="175">
        <f>IF(OR(I193="",'02_대상물건입력'!B19="",'02_대상물건입력'!B19&lt;=0),"",ABS(I193-'02_대상물건입력'!B19)/'02_대상물건입력'!B19)</f>
        <v/>
      </c>
      <c r="Z193" s="172">
        <f>IF(OR(Y193="",'01_설정'!B31="",'01_설정'!B31&lt;=0,'01_설정'!B32="",'01_설정'!B32&lt;=0),"",MAX(0,(1-Y193/'01_설정'!B32))*'01_설정'!B31)</f>
        <v/>
      </c>
    </row>
    <row r="194" ht="17.25" customHeight="1">
      <c r="A194" s="152">
        <f>IF(INDEX('04A_국토부원자료'!$A:$A,ROW()+1)="","",ROW()-3)</f>
        <v/>
      </c>
      <c r="B194" s="48">
        <f>IFERROR(INDEX('04A_국토부원자료'!$A:$T,ROW()+1,MATCH("시군구",'04A_국토부원자료'!$A$4:$T$4,0)),"")</f>
        <v/>
      </c>
      <c r="C194" s="48">
        <f>IF(B194="","",IFERROR(INDEX('04A_국토부원자료'!$A:$T,ROW()+1,MATCH("번지",'04A_국토부원자료'!$A$4:$T$4,0)),""))</f>
        <v/>
      </c>
      <c r="D194" s="48">
        <f>IF(B194="","",IF(Q194=1,'02_대상물건입력'!$B$8,IFERROR(INDEX('04A_국토부원자료'!$A:$T,ROW()+1,MATCH("단지명",'04A_국토부원자료'!$A$4:$T$4,0)),"")))</f>
        <v/>
      </c>
      <c r="E194" s="172">
        <f>IFERROR(VALUE(SUBSTITUTE(INDEX('04A_국토부원자료'!$A:$T,ROW()+1,MATCH("전용면적(㎡)",'04A_국토부원자료'!$A$4:$T$4,0)),",","")),"")</f>
        <v/>
      </c>
      <c r="F1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4" s="51">
        <f>IFERROR(VALUE(SUBSTITUTE(INDEX('04A_국토부원자료'!$A:$T,ROW()+1,MATCH("거래금액(만원)",'04A_국토부원자료'!$A$4:$T$4,0)),",","")),"")</f>
        <v/>
      </c>
      <c r="H194" s="174">
        <f>IF(G194="","",G194*10000)</f>
        <v/>
      </c>
      <c r="I194" s="174">
        <f>IFERROR(IF(AND(H194&gt;0,E194&gt;0),H194/E194,""),"")</f>
        <v/>
      </c>
      <c r="J194" s="152">
        <f>IFERROR(VALUE(SUBSTITUTE(INDEX('04A_국토부원자료'!$A:$T,ROW()+1,MATCH("층",'04A_국토부원자료'!$A$4:$T$4,0)),",","")),"")</f>
        <v/>
      </c>
      <c r="K194" s="152">
        <f>IFERROR(VALUE(SUBSTITUTE(INDEX('04A_국토부원자료'!$A:$T,ROW()+1,MATCH("건축년도",'04A_국토부원자료'!$A$4:$T$4,0)),",","")),"")</f>
        <v/>
      </c>
      <c r="L194" s="176">
        <f>IFERROR(INDEX('04A_국토부원자료'!$A:$T,ROW()+1,MATCH("도로명",'04A_국토부원자료'!$A$4:$T$4,0)),"")</f>
        <v/>
      </c>
      <c r="M194" s="48">
        <f>IFERROR(INDEX('04A_국토부원자료'!$A:$T,ROW()+1,MATCH("거래유형",'04A_국토부원자료'!$A$4:$T$4,0)),"")</f>
        <v/>
      </c>
      <c r="N194" s="152">
        <f>IF(B194="","",IF('02_대상물건입력'!B5="",1,IF(ISNUMBER(SEARCH('02_대상물건입력'!B5,B194)),1,0)))</f>
        <v/>
      </c>
      <c r="O194" s="152">
        <f>IF(B194="","",IF('02_대상물건입력'!B6="",1,IF(ISNUMBER(SEARCH('02_대상물건입력'!B6,B194)),1,0)))</f>
        <v/>
      </c>
      <c r="P194" s="152">
        <f>IF(L194="","",IF('02_대상물건입력'!B15="",0,IF(ISNUMBER(SEARCH('02_대상물건입력'!B15,L194)),1,0)))</f>
        <v/>
      </c>
      <c r="Q194" s="152">
        <f>IF(OR(C194="",L194=""),0,IF(AND(TRIM(C194)=TRIM(RIGHT(SUBSTITUTE(TRIM('02_대상물건입력'!$B$7)," ",REPT(" ",99)),99)),IF('02_대상물건입력'!B15="",TRUE(),ISNUMBER(SEARCH('02_대상물건입력'!B15,L194)))),1,0))</f>
        <v/>
      </c>
      <c r="R194" s="175">
        <f>IFERROR(ABS(E194-'02_대상물건입력'!B11)/'02_대상물건입력'!B11,"")</f>
        <v/>
      </c>
      <c r="S194" s="152">
        <f>IFERROR(ABS(J194-'02_대상물건입력'!B10),"")</f>
        <v/>
      </c>
      <c r="T194" s="152">
        <f>IFERROR(ABS('01_설정'!B4-F194),"")</f>
        <v/>
      </c>
      <c r="U194" s="152">
        <f>IFERROR(ABS(K194-YEAR('02_대상물건입력'!B14)),"")</f>
        <v/>
      </c>
      <c r="V194" s="152">
        <f>IF(B194="","",IF(AND(E194&gt;0,F194&gt;0,H194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194=1,TRUE()),R194&lt;='01_설정'!B5,S194&lt;='01_설정'!B6,T194&lt;='01_설정'!B7,U194&lt;='01_설정'!B8),"Y",""))</f>
        <v/>
      </c>
      <c r="W194" s="172">
        <f>IF(V194&lt;&gt;"Y","",MAX(0,(1-R194/'01_설정'!B5))*'01_설정'!B14+MAX(0,(1-S194/'01_설정'!B6))*'01_설정'!B15+MAX(0,(1-T194/'01_설정'!B7))*'01_설정'!B16+MAX(0,(1-U194/'01_설정'!B8))*'01_설정'!B17+O194*'01_설정'!B11+Q194*'01_설정'!B12+P194*'01_설정'!B13+IF(Z194="",0,Z194))</f>
        <v/>
      </c>
      <c r="X194" s="152">
        <f>IF(W194="","",1+COUNTIFS($W$4:$W$3003,"&gt;"&amp;W194)+COUNTIFS($W$4:W194,W194)-1)</f>
        <v/>
      </c>
      <c r="Y194" s="175">
        <f>IF(OR(I194="",'02_대상물건입력'!B19="",'02_대상물건입력'!B19&lt;=0),"",ABS(I194-'02_대상물건입력'!B19)/'02_대상물건입력'!B19)</f>
        <v/>
      </c>
      <c r="Z194" s="172">
        <f>IF(OR(Y194="",'01_설정'!B31="",'01_설정'!B31&lt;=0,'01_설정'!B32="",'01_설정'!B32&lt;=0),"",MAX(0,(1-Y194/'01_설정'!B32))*'01_설정'!B31)</f>
        <v/>
      </c>
    </row>
    <row r="195" ht="17.25" customHeight="1">
      <c r="A195" s="152">
        <f>IF(INDEX('04A_국토부원자료'!$A:$A,ROW()+1)="","",ROW()-3)</f>
        <v/>
      </c>
      <c r="B195" s="48">
        <f>IFERROR(INDEX('04A_국토부원자료'!$A:$T,ROW()+1,MATCH("시군구",'04A_국토부원자료'!$A$4:$T$4,0)),"")</f>
        <v/>
      </c>
      <c r="C195" s="48">
        <f>IF(B195="","",IFERROR(INDEX('04A_국토부원자료'!$A:$T,ROW()+1,MATCH("번지",'04A_국토부원자료'!$A$4:$T$4,0)),""))</f>
        <v/>
      </c>
      <c r="D195" s="48">
        <f>IF(B195="","",IF(Q195=1,'02_대상물건입력'!$B$8,IFERROR(INDEX('04A_국토부원자료'!$A:$T,ROW()+1,MATCH("단지명",'04A_국토부원자료'!$A$4:$T$4,0)),"")))</f>
        <v/>
      </c>
      <c r="E195" s="172">
        <f>IFERROR(VALUE(SUBSTITUTE(INDEX('04A_국토부원자료'!$A:$T,ROW()+1,MATCH("전용면적(㎡)",'04A_국토부원자료'!$A$4:$T$4,0)),",","")),"")</f>
        <v/>
      </c>
      <c r="F1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5" s="51">
        <f>IFERROR(VALUE(SUBSTITUTE(INDEX('04A_국토부원자료'!$A:$T,ROW()+1,MATCH("거래금액(만원)",'04A_국토부원자료'!$A$4:$T$4,0)),",","")),"")</f>
        <v/>
      </c>
      <c r="H195" s="174">
        <f>IF(G195="","",G195*10000)</f>
        <v/>
      </c>
      <c r="I195" s="174">
        <f>IFERROR(IF(AND(H195&gt;0,E195&gt;0),H195/E195,""),"")</f>
        <v/>
      </c>
      <c r="J195" s="152">
        <f>IFERROR(VALUE(SUBSTITUTE(INDEX('04A_국토부원자료'!$A:$T,ROW()+1,MATCH("층",'04A_국토부원자료'!$A$4:$T$4,0)),",","")),"")</f>
        <v/>
      </c>
      <c r="K195" s="152">
        <f>IFERROR(VALUE(SUBSTITUTE(INDEX('04A_국토부원자료'!$A:$T,ROW()+1,MATCH("건축년도",'04A_국토부원자료'!$A$4:$T$4,0)),",","")),"")</f>
        <v/>
      </c>
      <c r="L195" s="176">
        <f>IFERROR(INDEX('04A_국토부원자료'!$A:$T,ROW()+1,MATCH("도로명",'04A_국토부원자료'!$A$4:$T$4,0)),"")</f>
        <v/>
      </c>
      <c r="M195" s="48">
        <f>IFERROR(INDEX('04A_국토부원자료'!$A:$T,ROW()+1,MATCH("거래유형",'04A_국토부원자료'!$A$4:$T$4,0)),"")</f>
        <v/>
      </c>
      <c r="N195" s="152">
        <f>IF(B195="","",IF('02_대상물건입력'!B5="",1,IF(ISNUMBER(SEARCH('02_대상물건입력'!B5,B195)),1,0)))</f>
        <v/>
      </c>
      <c r="O195" s="152">
        <f>IF(B195="","",IF('02_대상물건입력'!B6="",1,IF(ISNUMBER(SEARCH('02_대상물건입력'!B6,B195)),1,0)))</f>
        <v/>
      </c>
      <c r="P195" s="152">
        <f>IF(L195="","",IF('02_대상물건입력'!B15="",0,IF(ISNUMBER(SEARCH('02_대상물건입력'!B15,L195)),1,0)))</f>
        <v/>
      </c>
      <c r="Q195" s="152">
        <f>IF(OR(C195="",L195=""),0,IF(AND(TRIM(C195)=TRIM(RIGHT(SUBSTITUTE(TRIM('02_대상물건입력'!$B$7)," ",REPT(" ",99)),99)),IF('02_대상물건입력'!B15="",TRUE(),ISNUMBER(SEARCH('02_대상물건입력'!B15,L195)))),1,0))</f>
        <v/>
      </c>
      <c r="R195" s="175">
        <f>IFERROR(ABS(E195-'02_대상물건입력'!B11)/'02_대상물건입력'!B11,"")</f>
        <v/>
      </c>
      <c r="S195" s="152">
        <f>IFERROR(ABS(J195-'02_대상물건입력'!B10),"")</f>
        <v/>
      </c>
      <c r="T195" s="152">
        <f>IFERROR(ABS('01_설정'!B4-F195),"")</f>
        <v/>
      </c>
      <c r="U195" s="152">
        <f>IFERROR(ABS(K195-YEAR('02_대상물건입력'!B14)),"")</f>
        <v/>
      </c>
      <c r="V195" s="152">
        <f>IF(B195="","",IF(AND(E195&gt;0,F195&gt;0,H195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195=1,TRUE()),R195&lt;='01_설정'!B5,S195&lt;='01_설정'!B6,T195&lt;='01_설정'!B7,U195&lt;='01_설정'!B8),"Y",""))</f>
        <v/>
      </c>
      <c r="W195" s="172">
        <f>IF(V195&lt;&gt;"Y","",MAX(0,(1-R195/'01_설정'!B5))*'01_설정'!B14+MAX(0,(1-S195/'01_설정'!B6))*'01_설정'!B15+MAX(0,(1-T195/'01_설정'!B7))*'01_설정'!B16+MAX(0,(1-U195/'01_설정'!B8))*'01_설정'!B17+O195*'01_설정'!B11+Q195*'01_설정'!B12+P195*'01_설정'!B13+IF(Z195="",0,Z195))</f>
        <v/>
      </c>
      <c r="X195" s="152">
        <f>IF(W195="","",1+COUNTIFS($W$4:$W$3003,"&gt;"&amp;W195)+COUNTIFS($W$4:W195,W195)-1)</f>
        <v/>
      </c>
      <c r="Y195" s="175">
        <f>IF(OR(I195="",'02_대상물건입력'!B19="",'02_대상물건입력'!B19&lt;=0),"",ABS(I195-'02_대상물건입력'!B19)/'02_대상물건입력'!B19)</f>
        <v/>
      </c>
      <c r="Z195" s="172">
        <f>IF(OR(Y195="",'01_설정'!B31="",'01_설정'!B31&lt;=0,'01_설정'!B32="",'01_설정'!B32&lt;=0),"",MAX(0,(1-Y195/'01_설정'!B32))*'01_설정'!B31)</f>
        <v/>
      </c>
    </row>
    <row r="196" ht="17.25" customHeight="1">
      <c r="A196" s="152">
        <f>IF(INDEX('04A_국토부원자료'!$A:$A,ROW()+1)="","",ROW()-3)</f>
        <v/>
      </c>
      <c r="B196" s="48">
        <f>IFERROR(INDEX('04A_국토부원자료'!$A:$T,ROW()+1,MATCH("시군구",'04A_국토부원자료'!$A$4:$T$4,0)),"")</f>
        <v/>
      </c>
      <c r="C196" s="48">
        <f>IF(B196="","",IFERROR(INDEX('04A_국토부원자료'!$A:$T,ROW()+1,MATCH("번지",'04A_국토부원자료'!$A$4:$T$4,0)),""))</f>
        <v/>
      </c>
      <c r="D196" s="48">
        <f>IF(B196="","",IF(Q196=1,'02_대상물건입력'!$B$8,IFERROR(INDEX('04A_국토부원자료'!$A:$T,ROW()+1,MATCH("단지명",'04A_국토부원자료'!$A$4:$T$4,0)),"")))</f>
        <v/>
      </c>
      <c r="E196" s="172">
        <f>IFERROR(VALUE(SUBSTITUTE(INDEX('04A_국토부원자료'!$A:$T,ROW()+1,MATCH("전용면적(㎡)",'04A_국토부원자료'!$A$4:$T$4,0)),",","")),"")</f>
        <v/>
      </c>
      <c r="F1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6" s="51">
        <f>IFERROR(VALUE(SUBSTITUTE(INDEX('04A_국토부원자료'!$A:$T,ROW()+1,MATCH("거래금액(만원)",'04A_국토부원자료'!$A$4:$T$4,0)),",","")),"")</f>
        <v/>
      </c>
      <c r="H196" s="174">
        <f>IF(G196="","",G196*10000)</f>
        <v/>
      </c>
      <c r="I196" s="174">
        <f>IFERROR(IF(AND(H196&gt;0,E196&gt;0),H196/E196,""),"")</f>
        <v/>
      </c>
      <c r="J196" s="152">
        <f>IFERROR(VALUE(SUBSTITUTE(INDEX('04A_국토부원자료'!$A:$T,ROW()+1,MATCH("층",'04A_국토부원자료'!$A$4:$T$4,0)),",","")),"")</f>
        <v/>
      </c>
      <c r="K196" s="152">
        <f>IFERROR(VALUE(SUBSTITUTE(INDEX('04A_국토부원자료'!$A:$T,ROW()+1,MATCH("건축년도",'04A_국토부원자료'!$A$4:$T$4,0)),",","")),"")</f>
        <v/>
      </c>
      <c r="L196" s="176">
        <f>IFERROR(INDEX('04A_국토부원자료'!$A:$T,ROW()+1,MATCH("도로명",'04A_국토부원자료'!$A$4:$T$4,0)),"")</f>
        <v/>
      </c>
      <c r="M196" s="48">
        <f>IFERROR(INDEX('04A_국토부원자료'!$A:$T,ROW()+1,MATCH("거래유형",'04A_국토부원자료'!$A$4:$T$4,0)),"")</f>
        <v/>
      </c>
      <c r="N196" s="152">
        <f>IF(B196="","",IF('02_대상물건입력'!B5="",1,IF(ISNUMBER(SEARCH('02_대상물건입력'!B5,B196)),1,0)))</f>
        <v/>
      </c>
      <c r="O196" s="152">
        <f>IF(B196="","",IF('02_대상물건입력'!B6="",1,IF(ISNUMBER(SEARCH('02_대상물건입력'!B6,B196)),1,0)))</f>
        <v/>
      </c>
      <c r="P196" s="152">
        <f>IF(L196="","",IF('02_대상물건입력'!B15="",0,IF(ISNUMBER(SEARCH('02_대상물건입력'!B15,L196)),1,0)))</f>
        <v/>
      </c>
      <c r="Q196" s="152">
        <f>IF(OR(C196="",L196=""),0,IF(AND(TRIM(C196)=TRIM(RIGHT(SUBSTITUTE(TRIM('02_대상물건입력'!$B$7)," ",REPT(" ",99)),99)),IF('02_대상물건입력'!B15="",TRUE(),ISNUMBER(SEARCH('02_대상물건입력'!B15,L196)))),1,0))</f>
        <v/>
      </c>
      <c r="R196" s="175">
        <f>IFERROR(ABS(E196-'02_대상물건입력'!B11)/'02_대상물건입력'!B11,"")</f>
        <v/>
      </c>
      <c r="S196" s="152">
        <f>IFERROR(ABS(J196-'02_대상물건입력'!B10),"")</f>
        <v/>
      </c>
      <c r="T196" s="152">
        <f>IFERROR(ABS('01_설정'!B4-F196),"")</f>
        <v/>
      </c>
      <c r="U196" s="152">
        <f>IFERROR(ABS(K196-YEAR('02_대상물건입력'!B14)),"")</f>
        <v/>
      </c>
      <c r="V196" s="152">
        <f>IF(B196="","",IF(AND(E196&gt;0,F196&gt;0,H196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196=1,TRUE()),R196&lt;='01_설정'!B5,S196&lt;='01_설정'!B6,T196&lt;='01_설정'!B7,U196&lt;='01_설정'!B8),"Y",""))</f>
        <v/>
      </c>
      <c r="W196" s="172">
        <f>IF(V196&lt;&gt;"Y","",MAX(0,(1-R196/'01_설정'!B5))*'01_설정'!B14+MAX(0,(1-S196/'01_설정'!B6))*'01_설정'!B15+MAX(0,(1-T196/'01_설정'!B7))*'01_설정'!B16+MAX(0,(1-U196/'01_설정'!B8))*'01_설정'!B17+O196*'01_설정'!B11+Q196*'01_설정'!B12+P196*'01_설정'!B13+IF(Z196="",0,Z196))</f>
        <v/>
      </c>
      <c r="X196" s="152">
        <f>IF(W196="","",1+COUNTIFS($W$4:$W$3003,"&gt;"&amp;W196)+COUNTIFS($W$4:W196,W196)-1)</f>
        <v/>
      </c>
      <c r="Y196" s="175">
        <f>IF(OR(I196="",'02_대상물건입력'!B19="",'02_대상물건입력'!B19&lt;=0),"",ABS(I196-'02_대상물건입력'!B19)/'02_대상물건입력'!B19)</f>
        <v/>
      </c>
      <c r="Z196" s="172">
        <f>IF(OR(Y196="",'01_설정'!B31="",'01_설정'!B31&lt;=0,'01_설정'!B32="",'01_설정'!B32&lt;=0),"",MAX(0,(1-Y196/'01_설정'!B32))*'01_설정'!B31)</f>
        <v/>
      </c>
    </row>
    <row r="197" ht="17.25" customHeight="1">
      <c r="A197" s="152">
        <f>IF(INDEX('04A_국토부원자료'!$A:$A,ROW()+1)="","",ROW()-3)</f>
        <v/>
      </c>
      <c r="B197" s="48">
        <f>IFERROR(INDEX('04A_국토부원자료'!$A:$T,ROW()+1,MATCH("시군구",'04A_국토부원자료'!$A$4:$T$4,0)),"")</f>
        <v/>
      </c>
      <c r="C197" s="48">
        <f>IF(B197="","",IFERROR(INDEX('04A_국토부원자료'!$A:$T,ROW()+1,MATCH("번지",'04A_국토부원자료'!$A$4:$T$4,0)),""))</f>
        <v/>
      </c>
      <c r="D197" s="48">
        <f>IF(B197="","",IF(Q197=1,'02_대상물건입력'!$B$8,IFERROR(INDEX('04A_국토부원자료'!$A:$T,ROW()+1,MATCH("단지명",'04A_국토부원자료'!$A$4:$T$4,0)),"")))</f>
        <v/>
      </c>
      <c r="E197" s="172">
        <f>IFERROR(VALUE(SUBSTITUTE(INDEX('04A_국토부원자료'!$A:$T,ROW()+1,MATCH("전용면적(㎡)",'04A_국토부원자료'!$A$4:$T$4,0)),",","")),"")</f>
        <v/>
      </c>
      <c r="F1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7" s="51">
        <f>IFERROR(VALUE(SUBSTITUTE(INDEX('04A_국토부원자료'!$A:$T,ROW()+1,MATCH("거래금액(만원)",'04A_국토부원자료'!$A$4:$T$4,0)),",","")),"")</f>
        <v/>
      </c>
      <c r="H197" s="174">
        <f>IF(G197="","",G197*10000)</f>
        <v/>
      </c>
      <c r="I197" s="174">
        <f>IFERROR(IF(AND(H197&gt;0,E197&gt;0),H197/E197,""),"")</f>
        <v/>
      </c>
      <c r="J197" s="152">
        <f>IFERROR(VALUE(SUBSTITUTE(INDEX('04A_국토부원자료'!$A:$T,ROW()+1,MATCH("층",'04A_국토부원자료'!$A$4:$T$4,0)),",","")),"")</f>
        <v/>
      </c>
      <c r="K197" s="152">
        <f>IFERROR(VALUE(SUBSTITUTE(INDEX('04A_국토부원자료'!$A:$T,ROW()+1,MATCH("건축년도",'04A_국토부원자료'!$A$4:$T$4,0)),",","")),"")</f>
        <v/>
      </c>
      <c r="L197" s="176">
        <f>IFERROR(INDEX('04A_국토부원자료'!$A:$T,ROW()+1,MATCH("도로명",'04A_국토부원자료'!$A$4:$T$4,0)),"")</f>
        <v/>
      </c>
      <c r="M197" s="48">
        <f>IFERROR(INDEX('04A_국토부원자료'!$A:$T,ROW()+1,MATCH("거래유형",'04A_국토부원자료'!$A$4:$T$4,0)),"")</f>
        <v/>
      </c>
      <c r="N197" s="152">
        <f>IF(B197="","",IF('02_대상물건입력'!B5="",1,IF(ISNUMBER(SEARCH('02_대상물건입력'!B5,B197)),1,0)))</f>
        <v/>
      </c>
      <c r="O197" s="152">
        <f>IF(B197="","",IF('02_대상물건입력'!B6="",1,IF(ISNUMBER(SEARCH('02_대상물건입력'!B6,B197)),1,0)))</f>
        <v/>
      </c>
      <c r="P197" s="152">
        <f>IF(L197="","",IF('02_대상물건입력'!B15="",0,IF(ISNUMBER(SEARCH('02_대상물건입력'!B15,L197)),1,0)))</f>
        <v/>
      </c>
      <c r="Q197" s="152">
        <f>IF(OR(C197="",L197=""),0,IF(AND(TRIM(C197)=TRIM(RIGHT(SUBSTITUTE(TRIM('02_대상물건입력'!$B$7)," ",REPT(" ",99)),99)),IF('02_대상물건입력'!B15="",TRUE(),ISNUMBER(SEARCH('02_대상물건입력'!B15,L197)))),1,0))</f>
        <v/>
      </c>
      <c r="R197" s="175">
        <f>IFERROR(ABS(E197-'02_대상물건입력'!B11)/'02_대상물건입력'!B11,"")</f>
        <v/>
      </c>
      <c r="S197" s="152">
        <f>IFERROR(ABS(J197-'02_대상물건입력'!B10),"")</f>
        <v/>
      </c>
      <c r="T197" s="152">
        <f>IFERROR(ABS('01_설정'!B4-F197),"")</f>
        <v/>
      </c>
      <c r="U197" s="152">
        <f>IFERROR(ABS(K197-YEAR('02_대상물건입력'!B14)),"")</f>
        <v/>
      </c>
      <c r="V197" s="152">
        <f>IF(B197="","",IF(AND(E197&gt;0,F197&gt;0,H197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197=1,TRUE()),R197&lt;='01_설정'!B5,S197&lt;='01_설정'!B6,T197&lt;='01_설정'!B7,U197&lt;='01_설정'!B8),"Y",""))</f>
        <v/>
      </c>
      <c r="W197" s="172">
        <f>IF(V197&lt;&gt;"Y","",MAX(0,(1-R197/'01_설정'!B5))*'01_설정'!B14+MAX(0,(1-S197/'01_설정'!B6))*'01_설정'!B15+MAX(0,(1-T197/'01_설정'!B7))*'01_설정'!B16+MAX(0,(1-U197/'01_설정'!B8))*'01_설정'!B17+O197*'01_설정'!B11+Q197*'01_설정'!B12+P197*'01_설정'!B13+IF(Z197="",0,Z197))</f>
        <v/>
      </c>
      <c r="X197" s="152">
        <f>IF(W197="","",1+COUNTIFS($W$4:$W$3003,"&gt;"&amp;W197)+COUNTIFS($W$4:W197,W197)-1)</f>
        <v/>
      </c>
      <c r="Y197" s="175">
        <f>IF(OR(I197="",'02_대상물건입력'!B19="",'02_대상물건입력'!B19&lt;=0),"",ABS(I197-'02_대상물건입력'!B19)/'02_대상물건입력'!B19)</f>
        <v/>
      </c>
      <c r="Z197" s="172">
        <f>IF(OR(Y197="",'01_설정'!B31="",'01_설정'!B31&lt;=0,'01_설정'!B32="",'01_설정'!B32&lt;=0),"",MAX(0,(1-Y197/'01_설정'!B32))*'01_설정'!B31)</f>
        <v/>
      </c>
    </row>
    <row r="198" ht="17.25" customHeight="1">
      <c r="A198" s="152">
        <f>IF(INDEX('04A_국토부원자료'!$A:$A,ROW()+1)="","",ROW()-3)</f>
        <v/>
      </c>
      <c r="B198" s="48">
        <f>IFERROR(INDEX('04A_국토부원자료'!$A:$T,ROW()+1,MATCH("시군구",'04A_국토부원자료'!$A$4:$T$4,0)),"")</f>
        <v/>
      </c>
      <c r="C198" s="48">
        <f>IF(B198="","",IFERROR(INDEX('04A_국토부원자료'!$A:$T,ROW()+1,MATCH("번지",'04A_국토부원자료'!$A$4:$T$4,0)),""))</f>
        <v/>
      </c>
      <c r="D198" s="48">
        <f>IF(B198="","",IF(Q198=1,'02_대상물건입력'!$B$8,IFERROR(INDEX('04A_국토부원자료'!$A:$T,ROW()+1,MATCH("단지명",'04A_국토부원자료'!$A$4:$T$4,0)),"")))</f>
        <v/>
      </c>
      <c r="E198" s="172">
        <f>IFERROR(VALUE(SUBSTITUTE(INDEX('04A_국토부원자료'!$A:$T,ROW()+1,MATCH("전용면적(㎡)",'04A_국토부원자료'!$A$4:$T$4,0)),",","")),"")</f>
        <v/>
      </c>
      <c r="F1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8" s="51">
        <f>IFERROR(VALUE(SUBSTITUTE(INDEX('04A_국토부원자료'!$A:$T,ROW()+1,MATCH("거래금액(만원)",'04A_국토부원자료'!$A$4:$T$4,0)),",","")),"")</f>
        <v/>
      </c>
      <c r="H198" s="174">
        <f>IF(G198="","",G198*10000)</f>
        <v/>
      </c>
      <c r="I198" s="174">
        <f>IFERROR(IF(AND(H198&gt;0,E198&gt;0),H198/E198,""),"")</f>
        <v/>
      </c>
      <c r="J198" s="152">
        <f>IFERROR(VALUE(SUBSTITUTE(INDEX('04A_국토부원자료'!$A:$T,ROW()+1,MATCH("층",'04A_국토부원자료'!$A$4:$T$4,0)),",","")),"")</f>
        <v/>
      </c>
      <c r="K198" s="152">
        <f>IFERROR(VALUE(SUBSTITUTE(INDEX('04A_국토부원자료'!$A:$T,ROW()+1,MATCH("건축년도",'04A_국토부원자료'!$A$4:$T$4,0)),",","")),"")</f>
        <v/>
      </c>
      <c r="L198" s="176">
        <f>IFERROR(INDEX('04A_국토부원자료'!$A:$T,ROW()+1,MATCH("도로명",'04A_국토부원자료'!$A$4:$T$4,0)),"")</f>
        <v/>
      </c>
      <c r="M198" s="48">
        <f>IFERROR(INDEX('04A_국토부원자료'!$A:$T,ROW()+1,MATCH("거래유형",'04A_국토부원자료'!$A$4:$T$4,0)),"")</f>
        <v/>
      </c>
      <c r="N198" s="152">
        <f>IF(B198="","",IF('02_대상물건입력'!B5="",1,IF(ISNUMBER(SEARCH('02_대상물건입력'!B5,B198)),1,0)))</f>
        <v/>
      </c>
      <c r="O198" s="152">
        <f>IF(B198="","",IF('02_대상물건입력'!B6="",1,IF(ISNUMBER(SEARCH('02_대상물건입력'!B6,B198)),1,0)))</f>
        <v/>
      </c>
      <c r="P198" s="152">
        <f>IF(L198="","",IF('02_대상물건입력'!B15="",0,IF(ISNUMBER(SEARCH('02_대상물건입력'!B15,L198)),1,0)))</f>
        <v/>
      </c>
      <c r="Q198" s="152">
        <f>IF(OR(C198="",L198=""),0,IF(AND(TRIM(C198)=TRIM(RIGHT(SUBSTITUTE(TRIM('02_대상물건입력'!$B$7)," ",REPT(" ",99)),99)),IF('02_대상물건입력'!B15="",TRUE(),ISNUMBER(SEARCH('02_대상물건입력'!B15,L198)))),1,0))</f>
        <v/>
      </c>
      <c r="R198" s="175">
        <f>IFERROR(ABS(E198-'02_대상물건입력'!B11)/'02_대상물건입력'!B11,"")</f>
        <v/>
      </c>
      <c r="S198" s="152">
        <f>IFERROR(ABS(J198-'02_대상물건입력'!B10),"")</f>
        <v/>
      </c>
      <c r="T198" s="152">
        <f>IFERROR(ABS('01_설정'!B4-F198),"")</f>
        <v/>
      </c>
      <c r="U198" s="152">
        <f>IFERROR(ABS(K198-YEAR('02_대상물건입력'!B14)),"")</f>
        <v/>
      </c>
      <c r="V198" s="152">
        <f>IF(B198="","",IF(AND(E198&gt;0,F198&gt;0,H198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198=1,TRUE()),R198&lt;='01_설정'!B5,S198&lt;='01_설정'!B6,T198&lt;='01_설정'!B7,U198&lt;='01_설정'!B8),"Y",""))</f>
        <v/>
      </c>
      <c r="W198" s="172">
        <f>IF(V198&lt;&gt;"Y","",MAX(0,(1-R198/'01_설정'!B5))*'01_설정'!B14+MAX(0,(1-S198/'01_설정'!B6))*'01_설정'!B15+MAX(0,(1-T198/'01_설정'!B7))*'01_설정'!B16+MAX(0,(1-U198/'01_설정'!B8))*'01_설정'!B17+O198*'01_설정'!B11+Q198*'01_설정'!B12+P198*'01_설정'!B13+IF(Z198="",0,Z198))</f>
        <v/>
      </c>
      <c r="X198" s="152">
        <f>IF(W198="","",1+COUNTIFS($W$4:$W$3003,"&gt;"&amp;W198)+COUNTIFS($W$4:W198,W198)-1)</f>
        <v/>
      </c>
      <c r="Y198" s="175">
        <f>IF(OR(I198="",'02_대상물건입력'!B19="",'02_대상물건입력'!B19&lt;=0),"",ABS(I198-'02_대상물건입력'!B19)/'02_대상물건입력'!B19)</f>
        <v/>
      </c>
      <c r="Z198" s="172">
        <f>IF(OR(Y198="",'01_설정'!B31="",'01_설정'!B31&lt;=0,'01_설정'!B32="",'01_설정'!B32&lt;=0),"",MAX(0,(1-Y198/'01_설정'!B32))*'01_설정'!B31)</f>
        <v/>
      </c>
    </row>
    <row r="199" ht="17.25" customHeight="1">
      <c r="A199" s="152">
        <f>IF(INDEX('04A_국토부원자료'!$A:$A,ROW()+1)="","",ROW()-3)</f>
        <v/>
      </c>
      <c r="B199" s="48">
        <f>IFERROR(INDEX('04A_국토부원자료'!$A:$T,ROW()+1,MATCH("시군구",'04A_국토부원자료'!$A$4:$T$4,0)),"")</f>
        <v/>
      </c>
      <c r="C199" s="48">
        <f>IF(B199="","",IFERROR(INDEX('04A_국토부원자료'!$A:$T,ROW()+1,MATCH("번지",'04A_국토부원자료'!$A$4:$T$4,0)),""))</f>
        <v/>
      </c>
      <c r="D199" s="48">
        <f>IF(B199="","",IF(Q199=1,'02_대상물건입력'!$B$8,IFERROR(INDEX('04A_국토부원자료'!$A:$T,ROW()+1,MATCH("단지명",'04A_국토부원자료'!$A$4:$T$4,0)),"")))</f>
        <v/>
      </c>
      <c r="E199" s="172">
        <f>IFERROR(VALUE(SUBSTITUTE(INDEX('04A_국토부원자료'!$A:$T,ROW()+1,MATCH("전용면적(㎡)",'04A_국토부원자료'!$A$4:$T$4,0)),",","")),"")</f>
        <v/>
      </c>
      <c r="F1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9" s="51">
        <f>IFERROR(VALUE(SUBSTITUTE(INDEX('04A_국토부원자료'!$A:$T,ROW()+1,MATCH("거래금액(만원)",'04A_국토부원자료'!$A$4:$T$4,0)),",","")),"")</f>
        <v/>
      </c>
      <c r="H199" s="174">
        <f>IF(G199="","",G199*10000)</f>
        <v/>
      </c>
      <c r="I199" s="174">
        <f>IFERROR(IF(AND(H199&gt;0,E199&gt;0),H199/E199,""),"")</f>
        <v/>
      </c>
      <c r="J199" s="152">
        <f>IFERROR(VALUE(SUBSTITUTE(INDEX('04A_국토부원자료'!$A:$T,ROW()+1,MATCH("층",'04A_국토부원자료'!$A$4:$T$4,0)),",","")),"")</f>
        <v/>
      </c>
      <c r="K199" s="152">
        <f>IFERROR(VALUE(SUBSTITUTE(INDEX('04A_국토부원자료'!$A:$T,ROW()+1,MATCH("건축년도",'04A_국토부원자료'!$A$4:$T$4,0)),",","")),"")</f>
        <v/>
      </c>
      <c r="L199" s="176">
        <f>IFERROR(INDEX('04A_국토부원자료'!$A:$T,ROW()+1,MATCH("도로명",'04A_국토부원자료'!$A$4:$T$4,0)),"")</f>
        <v/>
      </c>
      <c r="M199" s="48">
        <f>IFERROR(INDEX('04A_국토부원자료'!$A:$T,ROW()+1,MATCH("거래유형",'04A_국토부원자료'!$A$4:$T$4,0)),"")</f>
        <v/>
      </c>
      <c r="N199" s="152">
        <f>IF(B199="","",IF('02_대상물건입력'!B5="",1,IF(ISNUMBER(SEARCH('02_대상물건입력'!B5,B199)),1,0)))</f>
        <v/>
      </c>
      <c r="O199" s="152">
        <f>IF(B199="","",IF('02_대상물건입력'!B6="",1,IF(ISNUMBER(SEARCH('02_대상물건입력'!B6,B199)),1,0)))</f>
        <v/>
      </c>
      <c r="P199" s="152">
        <f>IF(L199="","",IF('02_대상물건입력'!B15="",0,IF(ISNUMBER(SEARCH('02_대상물건입력'!B15,L199)),1,0)))</f>
        <v/>
      </c>
      <c r="Q199" s="152">
        <f>IF(OR(C199="",L199=""),0,IF(AND(TRIM(C199)=TRIM(RIGHT(SUBSTITUTE(TRIM('02_대상물건입력'!$B$7)," ",REPT(" ",99)),99)),IF('02_대상물건입력'!B15="",TRUE(),ISNUMBER(SEARCH('02_대상물건입력'!B15,L199)))),1,0))</f>
        <v/>
      </c>
      <c r="R199" s="175">
        <f>IFERROR(ABS(E199-'02_대상물건입력'!B11)/'02_대상물건입력'!B11,"")</f>
        <v/>
      </c>
      <c r="S199" s="152">
        <f>IFERROR(ABS(J199-'02_대상물건입력'!B10),"")</f>
        <v/>
      </c>
      <c r="T199" s="152">
        <f>IFERROR(ABS('01_설정'!B4-F199),"")</f>
        <v/>
      </c>
      <c r="U199" s="152">
        <f>IFERROR(ABS(K199-YEAR('02_대상물건입력'!B14)),"")</f>
        <v/>
      </c>
      <c r="V199" s="152">
        <f>IF(B199="","",IF(AND(E199&gt;0,F199&gt;0,H199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199=1,TRUE()),R199&lt;='01_설정'!B5,S199&lt;='01_설정'!B6,T199&lt;='01_설정'!B7,U199&lt;='01_설정'!B8),"Y",""))</f>
        <v/>
      </c>
      <c r="W199" s="172">
        <f>IF(V199&lt;&gt;"Y","",MAX(0,(1-R199/'01_설정'!B5))*'01_설정'!B14+MAX(0,(1-S199/'01_설정'!B6))*'01_설정'!B15+MAX(0,(1-T199/'01_설정'!B7))*'01_설정'!B16+MAX(0,(1-U199/'01_설정'!B8))*'01_설정'!B17+O199*'01_설정'!B11+Q199*'01_설정'!B12+P199*'01_설정'!B13+IF(Z199="",0,Z199))</f>
        <v/>
      </c>
      <c r="X199" s="152">
        <f>IF(W199="","",1+COUNTIFS($W$4:$W$3003,"&gt;"&amp;W199)+COUNTIFS($W$4:W199,W199)-1)</f>
        <v/>
      </c>
      <c r="Y199" s="175">
        <f>IF(OR(I199="",'02_대상물건입력'!B19="",'02_대상물건입력'!B19&lt;=0),"",ABS(I199-'02_대상물건입력'!B19)/'02_대상물건입력'!B19)</f>
        <v/>
      </c>
      <c r="Z199" s="172">
        <f>IF(OR(Y199="",'01_설정'!B31="",'01_설정'!B31&lt;=0,'01_설정'!B32="",'01_설정'!B32&lt;=0),"",MAX(0,(1-Y199/'01_설정'!B32))*'01_설정'!B31)</f>
        <v/>
      </c>
    </row>
    <row r="200" ht="17.25" customHeight="1">
      <c r="A200" s="152">
        <f>IF(INDEX('04A_국토부원자료'!$A:$A,ROW()+1)="","",ROW()-3)</f>
        <v/>
      </c>
      <c r="B200" s="48">
        <f>IFERROR(INDEX('04A_국토부원자료'!$A:$T,ROW()+1,MATCH("시군구",'04A_국토부원자료'!$A$4:$T$4,0)),"")</f>
        <v/>
      </c>
      <c r="C200" s="48">
        <f>IF(B200="","",IFERROR(INDEX('04A_국토부원자료'!$A:$T,ROW()+1,MATCH("번지",'04A_국토부원자료'!$A$4:$T$4,0)),""))</f>
        <v/>
      </c>
      <c r="D200" s="48">
        <f>IF(B200="","",IF(Q200=1,'02_대상물건입력'!$B$8,IFERROR(INDEX('04A_국토부원자료'!$A:$T,ROW()+1,MATCH("단지명",'04A_국토부원자료'!$A$4:$T$4,0)),"")))</f>
        <v/>
      </c>
      <c r="E200" s="172">
        <f>IFERROR(VALUE(SUBSTITUTE(INDEX('04A_국토부원자료'!$A:$T,ROW()+1,MATCH("전용면적(㎡)",'04A_국토부원자료'!$A$4:$T$4,0)),",","")),"")</f>
        <v/>
      </c>
      <c r="F2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0" s="51">
        <f>IFERROR(VALUE(SUBSTITUTE(INDEX('04A_국토부원자료'!$A:$T,ROW()+1,MATCH("거래금액(만원)",'04A_국토부원자료'!$A$4:$T$4,0)),",","")),"")</f>
        <v/>
      </c>
      <c r="H200" s="174">
        <f>IF(G200="","",G200*10000)</f>
        <v/>
      </c>
      <c r="I200" s="174">
        <f>IFERROR(IF(AND(H200&gt;0,E200&gt;0),H200/E200,""),"")</f>
        <v/>
      </c>
      <c r="J200" s="152">
        <f>IFERROR(VALUE(SUBSTITUTE(INDEX('04A_국토부원자료'!$A:$T,ROW()+1,MATCH("층",'04A_국토부원자료'!$A$4:$T$4,0)),",","")),"")</f>
        <v/>
      </c>
      <c r="K200" s="152">
        <f>IFERROR(VALUE(SUBSTITUTE(INDEX('04A_국토부원자료'!$A:$T,ROW()+1,MATCH("건축년도",'04A_국토부원자료'!$A$4:$T$4,0)),",","")),"")</f>
        <v/>
      </c>
      <c r="L200" s="176">
        <f>IFERROR(INDEX('04A_국토부원자료'!$A:$T,ROW()+1,MATCH("도로명",'04A_국토부원자료'!$A$4:$T$4,0)),"")</f>
        <v/>
      </c>
      <c r="M200" s="48">
        <f>IFERROR(INDEX('04A_국토부원자료'!$A:$T,ROW()+1,MATCH("거래유형",'04A_국토부원자료'!$A$4:$T$4,0)),"")</f>
        <v/>
      </c>
      <c r="N200" s="152">
        <f>IF(B200="","",IF('02_대상물건입력'!B5="",1,IF(ISNUMBER(SEARCH('02_대상물건입력'!B5,B200)),1,0)))</f>
        <v/>
      </c>
      <c r="O200" s="152">
        <f>IF(B200="","",IF('02_대상물건입력'!B6="",1,IF(ISNUMBER(SEARCH('02_대상물건입력'!B6,B200)),1,0)))</f>
        <v/>
      </c>
      <c r="P200" s="152">
        <f>IF(L200="","",IF('02_대상물건입력'!B15="",0,IF(ISNUMBER(SEARCH('02_대상물건입력'!B15,L200)),1,0)))</f>
        <v/>
      </c>
      <c r="Q200" s="152">
        <f>IF(OR(C200="",L200=""),0,IF(AND(TRIM(C200)=TRIM(RIGHT(SUBSTITUTE(TRIM('02_대상물건입력'!$B$7)," ",REPT(" ",99)),99)),IF('02_대상물건입력'!B15="",TRUE(),ISNUMBER(SEARCH('02_대상물건입력'!B15,L200)))),1,0))</f>
        <v/>
      </c>
      <c r="R200" s="175">
        <f>IFERROR(ABS(E200-'02_대상물건입력'!B11)/'02_대상물건입력'!B11,"")</f>
        <v/>
      </c>
      <c r="S200" s="152">
        <f>IFERROR(ABS(J200-'02_대상물건입력'!B10),"")</f>
        <v/>
      </c>
      <c r="T200" s="152">
        <f>IFERROR(ABS('01_설정'!B4-F200),"")</f>
        <v/>
      </c>
      <c r="U200" s="152">
        <f>IFERROR(ABS(K200-YEAR('02_대상물건입력'!B14)),"")</f>
        <v/>
      </c>
      <c r="V200" s="152">
        <f>IF(B200="","",IF(AND(E200&gt;0,F200&gt;0,H200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200=1,TRUE()),R200&lt;='01_설정'!B5,S200&lt;='01_설정'!B6,T200&lt;='01_설정'!B7,U200&lt;='01_설정'!B8),"Y",""))</f>
        <v/>
      </c>
      <c r="W200" s="172">
        <f>IF(V200&lt;&gt;"Y","",MAX(0,(1-R200/'01_설정'!B5))*'01_설정'!B14+MAX(0,(1-S200/'01_설정'!B6))*'01_설정'!B15+MAX(0,(1-T200/'01_설정'!B7))*'01_설정'!B16+MAX(0,(1-U200/'01_설정'!B8))*'01_설정'!B17+O200*'01_설정'!B11+Q200*'01_설정'!B12+P200*'01_설정'!B13+IF(Z200="",0,Z200))</f>
        <v/>
      </c>
      <c r="X200" s="152">
        <f>IF(W200="","",1+COUNTIFS($W$4:$W$3003,"&gt;"&amp;W200)+COUNTIFS($W$4:W200,W200)-1)</f>
        <v/>
      </c>
      <c r="Y200" s="175">
        <f>IF(OR(I200="",'02_대상물건입력'!B19="",'02_대상물건입력'!B19&lt;=0),"",ABS(I200-'02_대상물건입력'!B19)/'02_대상물건입력'!B19)</f>
        <v/>
      </c>
      <c r="Z200" s="172">
        <f>IF(OR(Y200="",'01_설정'!B31="",'01_설정'!B31&lt;=0,'01_설정'!B32="",'01_설정'!B32&lt;=0),"",MAX(0,(1-Y200/'01_설정'!B32))*'01_설정'!B31)</f>
        <v/>
      </c>
    </row>
    <row r="201" ht="17.25" customHeight="1">
      <c r="A201" s="152">
        <f>IF(INDEX('04A_국토부원자료'!$A:$A,ROW()+1)="","",ROW()-3)</f>
        <v/>
      </c>
      <c r="B201" s="48">
        <f>IFERROR(INDEX('04A_국토부원자료'!$A:$T,ROW()+1,MATCH("시군구",'04A_국토부원자료'!$A$4:$T$4,0)),"")</f>
        <v/>
      </c>
      <c r="C201" s="48">
        <f>IF(B201="","",IFERROR(INDEX('04A_국토부원자료'!$A:$T,ROW()+1,MATCH("번지",'04A_국토부원자료'!$A$4:$T$4,0)),""))</f>
        <v/>
      </c>
      <c r="D201" s="48">
        <f>IF(B201="","",IF(Q201=1,'02_대상물건입력'!$B$8,IFERROR(INDEX('04A_국토부원자료'!$A:$T,ROW()+1,MATCH("단지명",'04A_국토부원자료'!$A$4:$T$4,0)),"")))</f>
        <v/>
      </c>
      <c r="E201" s="172">
        <f>IFERROR(VALUE(SUBSTITUTE(INDEX('04A_국토부원자료'!$A:$T,ROW()+1,MATCH("전용면적(㎡)",'04A_국토부원자료'!$A$4:$T$4,0)),",","")),"")</f>
        <v/>
      </c>
      <c r="F2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1" s="51">
        <f>IFERROR(VALUE(SUBSTITUTE(INDEX('04A_국토부원자료'!$A:$T,ROW()+1,MATCH("거래금액(만원)",'04A_국토부원자료'!$A$4:$T$4,0)),",","")),"")</f>
        <v/>
      </c>
      <c r="H201" s="174">
        <f>IF(G201="","",G201*10000)</f>
        <v/>
      </c>
      <c r="I201" s="174">
        <f>IFERROR(IF(AND(H201&gt;0,E201&gt;0),H201/E201,""),"")</f>
        <v/>
      </c>
      <c r="J201" s="152">
        <f>IFERROR(VALUE(SUBSTITUTE(INDEX('04A_국토부원자료'!$A:$T,ROW()+1,MATCH("층",'04A_국토부원자료'!$A$4:$T$4,0)),",","")),"")</f>
        <v/>
      </c>
      <c r="K201" s="152">
        <f>IFERROR(VALUE(SUBSTITUTE(INDEX('04A_국토부원자료'!$A:$T,ROW()+1,MATCH("건축년도",'04A_국토부원자료'!$A$4:$T$4,0)),",","")),"")</f>
        <v/>
      </c>
      <c r="L201" s="176">
        <f>IFERROR(INDEX('04A_국토부원자료'!$A:$T,ROW()+1,MATCH("도로명",'04A_국토부원자료'!$A$4:$T$4,0)),"")</f>
        <v/>
      </c>
      <c r="M201" s="48">
        <f>IFERROR(INDEX('04A_국토부원자료'!$A:$T,ROW()+1,MATCH("거래유형",'04A_국토부원자료'!$A$4:$T$4,0)),"")</f>
        <v/>
      </c>
      <c r="N201" s="152">
        <f>IF(B201="","",IF('02_대상물건입력'!B5="",1,IF(ISNUMBER(SEARCH('02_대상물건입력'!B5,B201)),1,0)))</f>
        <v/>
      </c>
      <c r="O201" s="152">
        <f>IF(B201="","",IF('02_대상물건입력'!B6="",1,IF(ISNUMBER(SEARCH('02_대상물건입력'!B6,B201)),1,0)))</f>
        <v/>
      </c>
      <c r="P201" s="152">
        <f>IF(L201="","",IF('02_대상물건입력'!B15="",0,IF(ISNUMBER(SEARCH('02_대상물건입력'!B15,L201)),1,0)))</f>
        <v/>
      </c>
      <c r="Q201" s="152">
        <f>IF(OR(C201="",L201=""),0,IF(AND(TRIM(C201)=TRIM(RIGHT(SUBSTITUTE(TRIM('02_대상물건입력'!$B$7)," ",REPT(" ",99)),99)),IF('02_대상물건입력'!B15="",TRUE(),ISNUMBER(SEARCH('02_대상물건입력'!B15,L201)))),1,0))</f>
        <v/>
      </c>
      <c r="R201" s="175">
        <f>IFERROR(ABS(E201-'02_대상물건입력'!B11)/'02_대상물건입력'!B11,"")</f>
        <v/>
      </c>
      <c r="S201" s="152">
        <f>IFERROR(ABS(J201-'02_대상물건입력'!B10),"")</f>
        <v/>
      </c>
      <c r="T201" s="152">
        <f>IFERROR(ABS('01_설정'!B4-F201),"")</f>
        <v/>
      </c>
      <c r="U201" s="152">
        <f>IFERROR(ABS(K201-YEAR('02_대상물건입력'!B14)),"")</f>
        <v/>
      </c>
      <c r="V201" s="152">
        <f>IF(B201="","",IF(AND(E201&gt;0,F201&gt;0,H201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201=1,TRUE()),R201&lt;='01_설정'!B5,S201&lt;='01_설정'!B6,T201&lt;='01_설정'!B7,U201&lt;='01_설정'!B8),"Y",""))</f>
        <v/>
      </c>
      <c r="W201" s="172">
        <f>IF(V201&lt;&gt;"Y","",MAX(0,(1-R201/'01_설정'!B5))*'01_설정'!B14+MAX(0,(1-S201/'01_설정'!B6))*'01_설정'!B15+MAX(0,(1-T201/'01_설정'!B7))*'01_설정'!B16+MAX(0,(1-U201/'01_설정'!B8))*'01_설정'!B17+O201*'01_설정'!B11+Q201*'01_설정'!B12+P201*'01_설정'!B13+IF(Z201="",0,Z201))</f>
        <v/>
      </c>
      <c r="X201" s="152">
        <f>IF(W201="","",1+COUNTIFS($W$4:$W$3003,"&gt;"&amp;W201)+COUNTIFS($W$4:W201,W201)-1)</f>
        <v/>
      </c>
      <c r="Y201" s="175">
        <f>IF(OR(I201="",'02_대상물건입력'!B19="",'02_대상물건입력'!B19&lt;=0),"",ABS(I201-'02_대상물건입력'!B19)/'02_대상물건입력'!B19)</f>
        <v/>
      </c>
      <c r="Z201" s="172">
        <f>IF(OR(Y201="",'01_설정'!B31="",'01_설정'!B31&lt;=0,'01_설정'!B32="",'01_설정'!B32&lt;=0),"",MAX(0,(1-Y201/'01_설정'!B32))*'01_설정'!B31)</f>
        <v/>
      </c>
    </row>
    <row r="202" ht="17.25" customHeight="1">
      <c r="A202" s="152">
        <f>IF(INDEX('04A_국토부원자료'!$A:$A,ROW()+1)="","",ROW()-3)</f>
        <v/>
      </c>
      <c r="B202" s="48">
        <f>IFERROR(INDEX('04A_국토부원자료'!$A:$T,ROW()+1,MATCH("시군구",'04A_국토부원자료'!$A$4:$T$4,0)),"")</f>
        <v/>
      </c>
      <c r="C202" s="48">
        <f>IF(B202="","",IFERROR(INDEX('04A_국토부원자료'!$A:$T,ROW()+1,MATCH("번지",'04A_국토부원자료'!$A$4:$T$4,0)),""))</f>
        <v/>
      </c>
      <c r="D202" s="48">
        <f>IF(B202="","",IF(Q202=1,'02_대상물건입력'!$B$8,IFERROR(INDEX('04A_국토부원자료'!$A:$T,ROW()+1,MATCH("단지명",'04A_국토부원자료'!$A$4:$T$4,0)),"")))</f>
        <v/>
      </c>
      <c r="E202" s="172">
        <f>IFERROR(VALUE(SUBSTITUTE(INDEX('04A_국토부원자료'!$A:$T,ROW()+1,MATCH("전용면적(㎡)",'04A_국토부원자료'!$A$4:$T$4,0)),",","")),"")</f>
        <v/>
      </c>
      <c r="F2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2" s="51">
        <f>IFERROR(VALUE(SUBSTITUTE(INDEX('04A_국토부원자료'!$A:$T,ROW()+1,MATCH("거래금액(만원)",'04A_국토부원자료'!$A$4:$T$4,0)),",","")),"")</f>
        <v/>
      </c>
      <c r="H202" s="174">
        <f>IF(G202="","",G202*10000)</f>
        <v/>
      </c>
      <c r="I202" s="174">
        <f>IFERROR(IF(AND(H202&gt;0,E202&gt;0),H202/E202,""),"")</f>
        <v/>
      </c>
      <c r="J202" s="152">
        <f>IFERROR(VALUE(SUBSTITUTE(INDEX('04A_국토부원자료'!$A:$T,ROW()+1,MATCH("층",'04A_국토부원자료'!$A$4:$T$4,0)),",","")),"")</f>
        <v/>
      </c>
      <c r="K202" s="152">
        <f>IFERROR(VALUE(SUBSTITUTE(INDEX('04A_국토부원자료'!$A:$T,ROW()+1,MATCH("건축년도",'04A_국토부원자료'!$A$4:$T$4,0)),",","")),"")</f>
        <v/>
      </c>
      <c r="L202" s="176">
        <f>IFERROR(INDEX('04A_국토부원자료'!$A:$T,ROW()+1,MATCH("도로명",'04A_국토부원자료'!$A$4:$T$4,0)),"")</f>
        <v/>
      </c>
      <c r="M202" s="48">
        <f>IFERROR(INDEX('04A_국토부원자료'!$A:$T,ROW()+1,MATCH("거래유형",'04A_국토부원자료'!$A$4:$T$4,0)),"")</f>
        <v/>
      </c>
      <c r="N202" s="152">
        <f>IF(B202="","",IF('02_대상물건입력'!B5="",1,IF(ISNUMBER(SEARCH('02_대상물건입력'!B5,B202)),1,0)))</f>
        <v/>
      </c>
      <c r="O202" s="152">
        <f>IF(B202="","",IF('02_대상물건입력'!B6="",1,IF(ISNUMBER(SEARCH('02_대상물건입력'!B6,B202)),1,0)))</f>
        <v/>
      </c>
      <c r="P202" s="152">
        <f>IF(L202="","",IF('02_대상물건입력'!B15="",0,IF(ISNUMBER(SEARCH('02_대상물건입력'!B15,L202)),1,0)))</f>
        <v/>
      </c>
      <c r="Q202" s="152">
        <f>IF(OR(C202="",L202=""),0,IF(AND(TRIM(C202)=TRIM(RIGHT(SUBSTITUTE(TRIM('02_대상물건입력'!$B$7)," ",REPT(" ",99)),99)),IF('02_대상물건입력'!B15="",TRUE(),ISNUMBER(SEARCH('02_대상물건입력'!B15,L202)))),1,0))</f>
        <v/>
      </c>
      <c r="R202" s="175">
        <f>IFERROR(ABS(E202-'02_대상물건입력'!B11)/'02_대상물건입력'!B11,"")</f>
        <v/>
      </c>
      <c r="S202" s="152">
        <f>IFERROR(ABS(J202-'02_대상물건입력'!B10),"")</f>
        <v/>
      </c>
      <c r="T202" s="152">
        <f>IFERROR(ABS('01_설정'!B4-F202),"")</f>
        <v/>
      </c>
      <c r="U202" s="152">
        <f>IFERROR(ABS(K202-YEAR('02_대상물건입력'!B14)),"")</f>
        <v/>
      </c>
      <c r="V202" s="152">
        <f>IF(B202="","",IF(AND(E202&gt;0,F202&gt;0,H202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202=1,TRUE()),R202&lt;='01_설정'!B5,S202&lt;='01_설정'!B6,T202&lt;='01_설정'!B7,U202&lt;='01_설정'!B8),"Y",""))</f>
        <v/>
      </c>
      <c r="W202" s="172">
        <f>IF(V202&lt;&gt;"Y","",MAX(0,(1-R202/'01_설정'!B5))*'01_설정'!B14+MAX(0,(1-S202/'01_설정'!B6))*'01_설정'!B15+MAX(0,(1-T202/'01_설정'!B7))*'01_설정'!B16+MAX(0,(1-U202/'01_설정'!B8))*'01_설정'!B17+O202*'01_설정'!B11+Q202*'01_설정'!B12+P202*'01_설정'!B13+IF(Z202="",0,Z202))</f>
        <v/>
      </c>
      <c r="X202" s="152">
        <f>IF(W202="","",1+COUNTIFS($W$4:$W$3003,"&gt;"&amp;W202)+COUNTIFS($W$4:W202,W202)-1)</f>
        <v/>
      </c>
      <c r="Y202" s="175">
        <f>IF(OR(I202="",'02_대상물건입력'!B19="",'02_대상물건입력'!B19&lt;=0),"",ABS(I202-'02_대상물건입력'!B19)/'02_대상물건입력'!B19)</f>
        <v/>
      </c>
      <c r="Z202" s="172">
        <f>IF(OR(Y202="",'01_설정'!B31="",'01_설정'!B31&lt;=0,'01_설정'!B32="",'01_설정'!B32&lt;=0),"",MAX(0,(1-Y202/'01_설정'!B32))*'01_설정'!B31)</f>
        <v/>
      </c>
    </row>
    <row r="203" ht="17.25" customHeight="1">
      <c r="A203" s="152">
        <f>IF(INDEX('04A_국토부원자료'!$A:$A,ROW()+1)="","",ROW()-3)</f>
        <v/>
      </c>
      <c r="B203" s="48">
        <f>IFERROR(INDEX('04A_국토부원자료'!$A:$T,ROW()+1,MATCH("시군구",'04A_국토부원자료'!$A$4:$T$4,0)),"")</f>
        <v/>
      </c>
      <c r="C203" s="48">
        <f>IF(B203="","",IFERROR(INDEX('04A_국토부원자료'!$A:$T,ROW()+1,MATCH("번지",'04A_국토부원자료'!$A$4:$T$4,0)),""))</f>
        <v/>
      </c>
      <c r="D203" s="48">
        <f>IF(B203="","",IF(Q203=1,'02_대상물건입력'!$B$8,IFERROR(INDEX('04A_국토부원자료'!$A:$T,ROW()+1,MATCH("단지명",'04A_국토부원자료'!$A$4:$T$4,0)),"")))</f>
        <v/>
      </c>
      <c r="E203" s="172">
        <f>IFERROR(VALUE(SUBSTITUTE(INDEX('04A_국토부원자료'!$A:$T,ROW()+1,MATCH("전용면적(㎡)",'04A_국토부원자료'!$A$4:$T$4,0)),",","")),"")</f>
        <v/>
      </c>
      <c r="F2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3" s="51">
        <f>IFERROR(VALUE(SUBSTITUTE(INDEX('04A_국토부원자료'!$A:$T,ROW()+1,MATCH("거래금액(만원)",'04A_국토부원자료'!$A$4:$T$4,0)),",","")),"")</f>
        <v/>
      </c>
      <c r="H203" s="174">
        <f>IF(G203="","",G203*10000)</f>
        <v/>
      </c>
      <c r="I203" s="174">
        <f>IFERROR(IF(AND(H203&gt;0,E203&gt;0),H203/E203,""),"")</f>
        <v/>
      </c>
      <c r="J203" s="152">
        <f>IFERROR(VALUE(SUBSTITUTE(INDEX('04A_국토부원자료'!$A:$T,ROW()+1,MATCH("층",'04A_국토부원자료'!$A$4:$T$4,0)),",","")),"")</f>
        <v/>
      </c>
      <c r="K203" s="152">
        <f>IFERROR(VALUE(SUBSTITUTE(INDEX('04A_국토부원자료'!$A:$T,ROW()+1,MATCH("건축년도",'04A_국토부원자료'!$A$4:$T$4,0)),",","")),"")</f>
        <v/>
      </c>
      <c r="L203" s="176">
        <f>IFERROR(INDEX('04A_국토부원자료'!$A:$T,ROW()+1,MATCH("도로명",'04A_국토부원자료'!$A$4:$T$4,0)),"")</f>
        <v/>
      </c>
      <c r="M203" s="48">
        <f>IFERROR(INDEX('04A_국토부원자료'!$A:$T,ROW()+1,MATCH("거래유형",'04A_국토부원자료'!$A$4:$T$4,0)),"")</f>
        <v/>
      </c>
      <c r="N203" s="152">
        <f>IF(B203="","",IF('02_대상물건입력'!B5="",1,IF(ISNUMBER(SEARCH('02_대상물건입력'!B5,B203)),1,0)))</f>
        <v/>
      </c>
      <c r="O203" s="152">
        <f>IF(B203="","",IF('02_대상물건입력'!B6="",1,IF(ISNUMBER(SEARCH('02_대상물건입력'!B6,B203)),1,0)))</f>
        <v/>
      </c>
      <c r="P203" s="152">
        <f>IF(L203="","",IF('02_대상물건입력'!B15="",0,IF(ISNUMBER(SEARCH('02_대상물건입력'!B15,L203)),1,0)))</f>
        <v/>
      </c>
      <c r="Q203" s="152">
        <f>IF(OR(C203="",L203=""),0,IF(AND(TRIM(C203)=TRIM(RIGHT(SUBSTITUTE(TRIM('02_대상물건입력'!$B$7)," ",REPT(" ",99)),99)),IF('02_대상물건입력'!B15="",TRUE(),ISNUMBER(SEARCH('02_대상물건입력'!B15,L203)))),1,0))</f>
        <v/>
      </c>
      <c r="R203" s="175">
        <f>IFERROR(ABS(E203-'02_대상물건입력'!B11)/'02_대상물건입력'!B11,"")</f>
        <v/>
      </c>
      <c r="S203" s="152">
        <f>IFERROR(ABS(J203-'02_대상물건입력'!B10),"")</f>
        <v/>
      </c>
      <c r="T203" s="152">
        <f>IFERROR(ABS('01_설정'!B4-F203),"")</f>
        <v/>
      </c>
      <c r="U203" s="152">
        <f>IFERROR(ABS(K203-YEAR('02_대상물건입력'!B14)),"")</f>
        <v/>
      </c>
      <c r="V203" s="152">
        <f>IF(B203="","",IF(AND(E203&gt;0,F203&gt;0,H203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203=1,TRUE()),R203&lt;='01_설정'!B5,S203&lt;='01_설정'!B6,T203&lt;='01_설정'!B7,U203&lt;='01_설정'!B8),"Y",""))</f>
        <v/>
      </c>
      <c r="W203" s="172">
        <f>IF(V203&lt;&gt;"Y","",MAX(0,(1-R203/'01_설정'!B5))*'01_설정'!B14+MAX(0,(1-S203/'01_설정'!B6))*'01_설정'!B15+MAX(0,(1-T203/'01_설정'!B7))*'01_설정'!B16+MAX(0,(1-U203/'01_설정'!B8))*'01_설정'!B17+O203*'01_설정'!B11+Q203*'01_설정'!B12+P203*'01_설정'!B13+IF(Z203="",0,Z203))</f>
        <v/>
      </c>
      <c r="X203" s="152">
        <f>IF(W203="","",1+COUNTIFS($W$4:$W$3003,"&gt;"&amp;W203)+COUNTIFS($W$4:W203,W203)-1)</f>
        <v/>
      </c>
      <c r="Y203" s="175">
        <f>IF(OR(I203="",'02_대상물건입력'!B19="",'02_대상물건입력'!B19&lt;=0),"",ABS(I203-'02_대상물건입력'!B19)/'02_대상물건입력'!B19)</f>
        <v/>
      </c>
      <c r="Z203" s="172">
        <f>IF(OR(Y203="",'01_설정'!B31="",'01_설정'!B31&lt;=0,'01_설정'!B32="",'01_설정'!B32&lt;=0),"",MAX(0,(1-Y203/'01_설정'!B32))*'01_설정'!B31)</f>
        <v/>
      </c>
    </row>
    <row r="204" ht="17.25" customHeight="1">
      <c r="A204" s="152">
        <f>IF(INDEX('04A_국토부원자료'!$A:$A,ROW()+1)="","",ROW()-3)</f>
        <v/>
      </c>
      <c r="B204" s="48">
        <f>IFERROR(INDEX('04A_국토부원자료'!$A:$T,ROW()+1,MATCH("시군구",'04A_국토부원자료'!$A$4:$T$4,0)),"")</f>
        <v/>
      </c>
      <c r="C204" s="48">
        <f>IF(B204="","",IFERROR(INDEX('04A_국토부원자료'!$A:$T,ROW()+1,MATCH("번지",'04A_국토부원자료'!$A$4:$T$4,0)),""))</f>
        <v/>
      </c>
      <c r="D204" s="48">
        <f>IF(B204="","",IF(Q204=1,'02_대상물건입력'!$B$8,IFERROR(INDEX('04A_국토부원자료'!$A:$T,ROW()+1,MATCH("단지명",'04A_국토부원자료'!$A$4:$T$4,0)),"")))</f>
        <v/>
      </c>
      <c r="E204" s="172">
        <f>IFERROR(VALUE(SUBSTITUTE(INDEX('04A_국토부원자료'!$A:$T,ROW()+1,MATCH("전용면적(㎡)",'04A_국토부원자료'!$A$4:$T$4,0)),",","")),"")</f>
        <v/>
      </c>
      <c r="F2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4" s="51">
        <f>IFERROR(VALUE(SUBSTITUTE(INDEX('04A_국토부원자료'!$A:$T,ROW()+1,MATCH("거래금액(만원)",'04A_국토부원자료'!$A$4:$T$4,0)),",","")),"")</f>
        <v/>
      </c>
      <c r="H204" s="174">
        <f>IF(G204="","",G204*10000)</f>
        <v/>
      </c>
      <c r="I204" s="174">
        <f>IFERROR(IF(AND(H204&gt;0,E204&gt;0),H204/E204,""),"")</f>
        <v/>
      </c>
      <c r="J204" s="152">
        <f>IFERROR(VALUE(SUBSTITUTE(INDEX('04A_국토부원자료'!$A:$T,ROW()+1,MATCH("층",'04A_국토부원자료'!$A$4:$T$4,0)),",","")),"")</f>
        <v/>
      </c>
      <c r="K204" s="152">
        <f>IFERROR(VALUE(SUBSTITUTE(INDEX('04A_국토부원자료'!$A:$T,ROW()+1,MATCH("건축년도",'04A_국토부원자료'!$A$4:$T$4,0)),",","")),"")</f>
        <v/>
      </c>
      <c r="L204" s="176">
        <f>IFERROR(INDEX('04A_국토부원자료'!$A:$T,ROW()+1,MATCH("도로명",'04A_국토부원자료'!$A$4:$T$4,0)),"")</f>
        <v/>
      </c>
      <c r="M204" s="48">
        <f>IFERROR(INDEX('04A_국토부원자료'!$A:$T,ROW()+1,MATCH("거래유형",'04A_국토부원자료'!$A$4:$T$4,0)),"")</f>
        <v/>
      </c>
      <c r="N204" s="152">
        <f>IF(B204="","",IF('02_대상물건입력'!B5="",1,IF(ISNUMBER(SEARCH('02_대상물건입력'!B5,B204)),1,0)))</f>
        <v/>
      </c>
      <c r="O204" s="152">
        <f>IF(B204="","",IF('02_대상물건입력'!B6="",1,IF(ISNUMBER(SEARCH('02_대상물건입력'!B6,B204)),1,0)))</f>
        <v/>
      </c>
      <c r="P204" s="152">
        <f>IF(L204="","",IF('02_대상물건입력'!B15="",0,IF(ISNUMBER(SEARCH('02_대상물건입력'!B15,L204)),1,0)))</f>
        <v/>
      </c>
      <c r="Q204" s="152">
        <f>IF(OR(C204="",L204=""),0,IF(AND(TRIM(C204)=TRIM(RIGHT(SUBSTITUTE(TRIM('02_대상물건입력'!$B$7)," ",REPT(" ",99)),99)),IF('02_대상물건입력'!B15="",TRUE(),ISNUMBER(SEARCH('02_대상물건입력'!B15,L204)))),1,0))</f>
        <v/>
      </c>
      <c r="R204" s="175">
        <f>IFERROR(ABS(E204-'02_대상물건입력'!B11)/'02_대상물건입력'!B11,"")</f>
        <v/>
      </c>
      <c r="S204" s="152">
        <f>IFERROR(ABS(J204-'02_대상물건입력'!B10),"")</f>
        <v/>
      </c>
      <c r="T204" s="152">
        <f>IFERROR(ABS('01_설정'!B4-F204),"")</f>
        <v/>
      </c>
      <c r="U204" s="152">
        <f>IFERROR(ABS(K204-YEAR('02_대상물건입력'!B14)),"")</f>
        <v/>
      </c>
      <c r="V204" s="152">
        <f>IF(B204="","",IF(AND(E204&gt;0,F204&gt;0,H204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204=1,TRUE()),R204&lt;='01_설정'!B5,S204&lt;='01_설정'!B6,T204&lt;='01_설정'!B7,U204&lt;='01_설정'!B8),"Y",""))</f>
        <v/>
      </c>
      <c r="W204" s="172">
        <f>IF(V204&lt;&gt;"Y","",MAX(0,(1-R204/'01_설정'!B5))*'01_설정'!B14+MAX(0,(1-S204/'01_설정'!B6))*'01_설정'!B15+MAX(0,(1-T204/'01_설정'!B7))*'01_설정'!B16+MAX(0,(1-U204/'01_설정'!B8))*'01_설정'!B17+O204*'01_설정'!B11+Q204*'01_설정'!B12+P204*'01_설정'!B13+IF(Z204="",0,Z204))</f>
        <v/>
      </c>
      <c r="X204" s="152">
        <f>IF(W204="","",1+COUNTIFS($W$4:$W$3003,"&gt;"&amp;W204)+COUNTIFS($W$4:W204,W204)-1)</f>
        <v/>
      </c>
      <c r="Y204" s="175">
        <f>IF(OR(I204="",'02_대상물건입력'!B19="",'02_대상물건입력'!B19&lt;=0),"",ABS(I204-'02_대상물건입력'!B19)/'02_대상물건입력'!B19)</f>
        <v/>
      </c>
      <c r="Z204" s="172">
        <f>IF(OR(Y204="",'01_설정'!B31="",'01_설정'!B31&lt;=0,'01_설정'!B32="",'01_설정'!B32&lt;=0),"",MAX(0,(1-Y204/'01_설정'!B32))*'01_설정'!B31)</f>
        <v/>
      </c>
    </row>
    <row r="205" ht="17.25" customHeight="1">
      <c r="A205" s="152">
        <f>IF(INDEX('04A_국토부원자료'!$A:$A,ROW()+1)="","",ROW()-3)</f>
        <v/>
      </c>
      <c r="B205" s="48">
        <f>IFERROR(INDEX('04A_국토부원자료'!$A:$T,ROW()+1,MATCH("시군구",'04A_국토부원자료'!$A$4:$T$4,0)),"")</f>
        <v/>
      </c>
      <c r="C205" s="48">
        <f>IF(B205="","",IFERROR(INDEX('04A_국토부원자료'!$A:$T,ROW()+1,MATCH("번지",'04A_국토부원자료'!$A$4:$T$4,0)),""))</f>
        <v/>
      </c>
      <c r="D205" s="48">
        <f>IF(B205="","",IF(Q205=1,'02_대상물건입력'!$B$8,IFERROR(INDEX('04A_국토부원자료'!$A:$T,ROW()+1,MATCH("단지명",'04A_국토부원자료'!$A$4:$T$4,0)),"")))</f>
        <v/>
      </c>
      <c r="E205" s="172">
        <f>IFERROR(VALUE(SUBSTITUTE(INDEX('04A_국토부원자료'!$A:$T,ROW()+1,MATCH("전용면적(㎡)",'04A_국토부원자료'!$A$4:$T$4,0)),",","")),"")</f>
        <v/>
      </c>
      <c r="F2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5" s="51">
        <f>IFERROR(VALUE(SUBSTITUTE(INDEX('04A_국토부원자료'!$A:$T,ROW()+1,MATCH("거래금액(만원)",'04A_국토부원자료'!$A$4:$T$4,0)),",","")),"")</f>
        <v/>
      </c>
      <c r="H205" s="174">
        <f>IF(G205="","",G205*10000)</f>
        <v/>
      </c>
      <c r="I205" s="174">
        <f>IFERROR(IF(AND(H205&gt;0,E205&gt;0),H205/E205,""),"")</f>
        <v/>
      </c>
      <c r="J205" s="152">
        <f>IFERROR(VALUE(SUBSTITUTE(INDEX('04A_국토부원자료'!$A:$T,ROW()+1,MATCH("층",'04A_국토부원자료'!$A$4:$T$4,0)),",","")),"")</f>
        <v/>
      </c>
      <c r="K205" s="152">
        <f>IFERROR(VALUE(SUBSTITUTE(INDEX('04A_국토부원자료'!$A:$T,ROW()+1,MATCH("건축년도",'04A_국토부원자료'!$A$4:$T$4,0)),",","")),"")</f>
        <v/>
      </c>
      <c r="L205" s="176">
        <f>IFERROR(INDEX('04A_국토부원자료'!$A:$T,ROW()+1,MATCH("도로명",'04A_국토부원자료'!$A$4:$T$4,0)),"")</f>
        <v/>
      </c>
      <c r="M205" s="48">
        <f>IFERROR(INDEX('04A_국토부원자료'!$A:$T,ROW()+1,MATCH("거래유형",'04A_국토부원자료'!$A$4:$T$4,0)),"")</f>
        <v/>
      </c>
      <c r="N205" s="152">
        <f>IF(B205="","",IF('02_대상물건입력'!B5="",1,IF(ISNUMBER(SEARCH('02_대상물건입력'!B5,B205)),1,0)))</f>
        <v/>
      </c>
      <c r="O205" s="152">
        <f>IF(B205="","",IF('02_대상물건입력'!B6="",1,IF(ISNUMBER(SEARCH('02_대상물건입력'!B6,B205)),1,0)))</f>
        <v/>
      </c>
      <c r="P205" s="152">
        <f>IF(L205="","",IF('02_대상물건입력'!B15="",0,IF(ISNUMBER(SEARCH('02_대상물건입력'!B15,L205)),1,0)))</f>
        <v/>
      </c>
      <c r="Q205" s="152">
        <f>IF(OR(C205="",L205=""),0,IF(AND(TRIM(C205)=TRIM(RIGHT(SUBSTITUTE(TRIM('02_대상물건입력'!$B$7)," ",REPT(" ",99)),99)),IF('02_대상물건입력'!B15="",TRUE(),ISNUMBER(SEARCH('02_대상물건입력'!B15,L205)))),1,0))</f>
        <v/>
      </c>
      <c r="R205" s="175">
        <f>IFERROR(ABS(E205-'02_대상물건입력'!B11)/'02_대상물건입력'!B11,"")</f>
        <v/>
      </c>
      <c r="S205" s="152">
        <f>IFERROR(ABS(J205-'02_대상물건입력'!B10),"")</f>
        <v/>
      </c>
      <c r="T205" s="152">
        <f>IFERROR(ABS('01_설정'!B4-F205),"")</f>
        <v/>
      </c>
      <c r="U205" s="152">
        <f>IFERROR(ABS(K205-YEAR('02_대상물건입력'!B14)),"")</f>
        <v/>
      </c>
      <c r="V205" s="152">
        <f>IF(B205="","",IF(AND(E205&gt;0,F205&gt;0,H205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205=1,TRUE()),R205&lt;='01_설정'!B5,S205&lt;='01_설정'!B6,T205&lt;='01_설정'!B7,U205&lt;='01_설정'!B8),"Y",""))</f>
        <v/>
      </c>
      <c r="W205" s="172">
        <f>IF(V205&lt;&gt;"Y","",MAX(0,(1-R205/'01_설정'!B5))*'01_설정'!B14+MAX(0,(1-S205/'01_설정'!B6))*'01_설정'!B15+MAX(0,(1-T205/'01_설정'!B7))*'01_설정'!B16+MAX(0,(1-U205/'01_설정'!B8))*'01_설정'!B17+O205*'01_설정'!B11+Q205*'01_설정'!B12+P205*'01_설정'!B13+IF(Z205="",0,Z205))</f>
        <v/>
      </c>
      <c r="X205" s="152">
        <f>IF(W205="","",1+COUNTIFS($W$4:$W$3003,"&gt;"&amp;W205)+COUNTIFS($W$4:W205,W205)-1)</f>
        <v/>
      </c>
      <c r="Y205" s="175">
        <f>IF(OR(I205="",'02_대상물건입력'!B19="",'02_대상물건입력'!B19&lt;=0),"",ABS(I205-'02_대상물건입력'!B19)/'02_대상물건입력'!B19)</f>
        <v/>
      </c>
      <c r="Z205" s="172">
        <f>IF(OR(Y205="",'01_설정'!B31="",'01_설정'!B31&lt;=0,'01_설정'!B32="",'01_설정'!B32&lt;=0),"",MAX(0,(1-Y205/'01_설정'!B32))*'01_설정'!B31)</f>
        <v/>
      </c>
    </row>
    <row r="206" ht="17.25" customHeight="1">
      <c r="A206" s="152">
        <f>IF(INDEX('04A_국토부원자료'!$A:$A,ROW()+1)="","",ROW()-3)</f>
        <v/>
      </c>
      <c r="B206" s="48">
        <f>IFERROR(INDEX('04A_국토부원자료'!$A:$T,ROW()+1,MATCH("시군구",'04A_국토부원자료'!$A$4:$T$4,0)),"")</f>
        <v/>
      </c>
      <c r="C206" s="48">
        <f>IF(B206="","",IFERROR(INDEX('04A_국토부원자료'!$A:$T,ROW()+1,MATCH("번지",'04A_국토부원자료'!$A$4:$T$4,0)),""))</f>
        <v/>
      </c>
      <c r="D206" s="48">
        <f>IF(B206="","",IF(Q206=1,'02_대상물건입력'!$B$8,IFERROR(INDEX('04A_국토부원자료'!$A:$T,ROW()+1,MATCH("단지명",'04A_국토부원자료'!$A$4:$T$4,0)),"")))</f>
        <v/>
      </c>
      <c r="E206" s="172">
        <f>IFERROR(VALUE(SUBSTITUTE(INDEX('04A_국토부원자료'!$A:$T,ROW()+1,MATCH("전용면적(㎡)",'04A_국토부원자료'!$A$4:$T$4,0)),",","")),"")</f>
        <v/>
      </c>
      <c r="F2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6" s="51">
        <f>IFERROR(VALUE(SUBSTITUTE(INDEX('04A_국토부원자료'!$A:$T,ROW()+1,MATCH("거래금액(만원)",'04A_국토부원자료'!$A$4:$T$4,0)),",","")),"")</f>
        <v/>
      </c>
      <c r="H206" s="174">
        <f>IF(G206="","",G206*10000)</f>
        <v/>
      </c>
      <c r="I206" s="174">
        <f>IFERROR(IF(AND(H206&gt;0,E206&gt;0),H206/E206,""),"")</f>
        <v/>
      </c>
      <c r="J206" s="152">
        <f>IFERROR(VALUE(SUBSTITUTE(INDEX('04A_국토부원자료'!$A:$T,ROW()+1,MATCH("층",'04A_국토부원자료'!$A$4:$T$4,0)),",","")),"")</f>
        <v/>
      </c>
      <c r="K206" s="152">
        <f>IFERROR(VALUE(SUBSTITUTE(INDEX('04A_국토부원자료'!$A:$T,ROW()+1,MATCH("건축년도",'04A_국토부원자료'!$A$4:$T$4,0)),",","")),"")</f>
        <v/>
      </c>
      <c r="L206" s="176">
        <f>IFERROR(INDEX('04A_국토부원자료'!$A:$T,ROW()+1,MATCH("도로명",'04A_국토부원자료'!$A$4:$T$4,0)),"")</f>
        <v/>
      </c>
      <c r="M206" s="48">
        <f>IFERROR(INDEX('04A_국토부원자료'!$A:$T,ROW()+1,MATCH("거래유형",'04A_국토부원자료'!$A$4:$T$4,0)),"")</f>
        <v/>
      </c>
      <c r="N206" s="152">
        <f>IF(B206="","",IF('02_대상물건입력'!B5="",1,IF(ISNUMBER(SEARCH('02_대상물건입력'!B5,B206)),1,0)))</f>
        <v/>
      </c>
      <c r="O206" s="152">
        <f>IF(B206="","",IF('02_대상물건입력'!B6="",1,IF(ISNUMBER(SEARCH('02_대상물건입력'!B6,B206)),1,0)))</f>
        <v/>
      </c>
      <c r="P206" s="152">
        <f>IF(L206="","",IF('02_대상물건입력'!B15="",0,IF(ISNUMBER(SEARCH('02_대상물건입력'!B15,L206)),1,0)))</f>
        <v/>
      </c>
      <c r="Q206" s="152">
        <f>IF(OR(C206="",L206=""),0,IF(AND(TRIM(C206)=TRIM(RIGHT(SUBSTITUTE(TRIM('02_대상물건입력'!$B$7)," ",REPT(" ",99)),99)),IF('02_대상물건입력'!B15="",TRUE(),ISNUMBER(SEARCH('02_대상물건입력'!B15,L206)))),1,0))</f>
        <v/>
      </c>
      <c r="R206" s="175">
        <f>IFERROR(ABS(E206-'02_대상물건입력'!B11)/'02_대상물건입력'!B11,"")</f>
        <v/>
      </c>
      <c r="S206" s="152">
        <f>IFERROR(ABS(J206-'02_대상물건입력'!B10),"")</f>
        <v/>
      </c>
      <c r="T206" s="152">
        <f>IFERROR(ABS('01_설정'!B4-F206),"")</f>
        <v/>
      </c>
      <c r="U206" s="152">
        <f>IFERROR(ABS(K206-YEAR('02_대상물건입력'!B14)),"")</f>
        <v/>
      </c>
      <c r="V206" s="152">
        <f>IF(B206="","",IF(AND(E206&gt;0,F206&gt;0,H206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206=1,TRUE()),R206&lt;='01_설정'!B5,S206&lt;='01_설정'!B6,T206&lt;='01_설정'!B7,U206&lt;='01_설정'!B8),"Y",""))</f>
        <v/>
      </c>
      <c r="W206" s="172">
        <f>IF(V206&lt;&gt;"Y","",MAX(0,(1-R206/'01_설정'!B5))*'01_설정'!B14+MAX(0,(1-S206/'01_설정'!B6))*'01_설정'!B15+MAX(0,(1-T206/'01_설정'!B7))*'01_설정'!B16+MAX(0,(1-U206/'01_설정'!B8))*'01_설정'!B17+O206*'01_설정'!B11+Q206*'01_설정'!B12+P206*'01_설정'!B13+IF(Z206="",0,Z206))</f>
        <v/>
      </c>
      <c r="X206" s="152">
        <f>IF(W206="","",1+COUNTIFS($W$4:$W$3003,"&gt;"&amp;W206)+COUNTIFS($W$4:W206,W206)-1)</f>
        <v/>
      </c>
      <c r="Y206" s="175">
        <f>IF(OR(I206="",'02_대상물건입력'!B19="",'02_대상물건입력'!B19&lt;=0),"",ABS(I206-'02_대상물건입력'!B19)/'02_대상물건입력'!B19)</f>
        <v/>
      </c>
      <c r="Z206" s="172">
        <f>IF(OR(Y206="",'01_설정'!B31="",'01_설정'!B31&lt;=0,'01_설정'!B32="",'01_설정'!B32&lt;=0),"",MAX(0,(1-Y206/'01_설정'!B32))*'01_설정'!B31)</f>
        <v/>
      </c>
    </row>
    <row r="207" ht="17.25" customHeight="1">
      <c r="A207" s="152">
        <f>IF(INDEX('04A_국토부원자료'!$A:$A,ROW()+1)="","",ROW()-3)</f>
        <v/>
      </c>
      <c r="B207" s="48">
        <f>IFERROR(INDEX('04A_국토부원자료'!$A:$T,ROW()+1,MATCH("시군구",'04A_국토부원자료'!$A$4:$T$4,0)),"")</f>
        <v/>
      </c>
      <c r="C207" s="48">
        <f>IF(B207="","",IFERROR(INDEX('04A_국토부원자료'!$A:$T,ROW()+1,MATCH("번지",'04A_국토부원자료'!$A$4:$T$4,0)),""))</f>
        <v/>
      </c>
      <c r="D207" s="48">
        <f>IF(B207="","",IF(Q207=1,'02_대상물건입력'!$B$8,IFERROR(INDEX('04A_국토부원자료'!$A:$T,ROW()+1,MATCH("단지명",'04A_국토부원자료'!$A$4:$T$4,0)),"")))</f>
        <v/>
      </c>
      <c r="E207" s="172">
        <f>IFERROR(VALUE(SUBSTITUTE(INDEX('04A_국토부원자료'!$A:$T,ROW()+1,MATCH("전용면적(㎡)",'04A_국토부원자료'!$A$4:$T$4,0)),",","")),"")</f>
        <v/>
      </c>
      <c r="F2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7" s="51">
        <f>IFERROR(VALUE(SUBSTITUTE(INDEX('04A_국토부원자료'!$A:$T,ROW()+1,MATCH("거래금액(만원)",'04A_국토부원자료'!$A$4:$T$4,0)),",","")),"")</f>
        <v/>
      </c>
      <c r="H207" s="174">
        <f>IF(G207="","",G207*10000)</f>
        <v/>
      </c>
      <c r="I207" s="174">
        <f>IFERROR(IF(AND(H207&gt;0,E207&gt;0),H207/E207,""),"")</f>
        <v/>
      </c>
      <c r="J207" s="152">
        <f>IFERROR(VALUE(SUBSTITUTE(INDEX('04A_국토부원자료'!$A:$T,ROW()+1,MATCH("층",'04A_국토부원자료'!$A$4:$T$4,0)),",","")),"")</f>
        <v/>
      </c>
      <c r="K207" s="152">
        <f>IFERROR(VALUE(SUBSTITUTE(INDEX('04A_국토부원자료'!$A:$T,ROW()+1,MATCH("건축년도",'04A_국토부원자료'!$A$4:$T$4,0)),",","")),"")</f>
        <v/>
      </c>
      <c r="L207" s="176">
        <f>IFERROR(INDEX('04A_국토부원자료'!$A:$T,ROW()+1,MATCH("도로명",'04A_국토부원자료'!$A$4:$T$4,0)),"")</f>
        <v/>
      </c>
      <c r="M207" s="48">
        <f>IFERROR(INDEX('04A_국토부원자료'!$A:$T,ROW()+1,MATCH("거래유형",'04A_국토부원자료'!$A$4:$T$4,0)),"")</f>
        <v/>
      </c>
      <c r="N207" s="152">
        <f>IF(B207="","",IF('02_대상물건입력'!B5="",1,IF(ISNUMBER(SEARCH('02_대상물건입력'!B5,B207)),1,0)))</f>
        <v/>
      </c>
      <c r="O207" s="152">
        <f>IF(B207="","",IF('02_대상물건입력'!B6="",1,IF(ISNUMBER(SEARCH('02_대상물건입력'!B6,B207)),1,0)))</f>
        <v/>
      </c>
      <c r="P207" s="152">
        <f>IF(L207="","",IF('02_대상물건입력'!B15="",0,IF(ISNUMBER(SEARCH('02_대상물건입력'!B15,L207)),1,0)))</f>
        <v/>
      </c>
      <c r="Q207" s="152">
        <f>IF(OR(C207="",L207=""),0,IF(AND(TRIM(C207)=TRIM(RIGHT(SUBSTITUTE(TRIM('02_대상물건입력'!$B$7)," ",REPT(" ",99)),99)),IF('02_대상물건입력'!B15="",TRUE(),ISNUMBER(SEARCH('02_대상물건입력'!B15,L207)))),1,0))</f>
        <v/>
      </c>
      <c r="R207" s="175">
        <f>IFERROR(ABS(E207-'02_대상물건입력'!B11)/'02_대상물건입력'!B11,"")</f>
        <v/>
      </c>
      <c r="S207" s="152">
        <f>IFERROR(ABS(J207-'02_대상물건입력'!B10),"")</f>
        <v/>
      </c>
      <c r="T207" s="152">
        <f>IFERROR(ABS('01_설정'!B4-F207),"")</f>
        <v/>
      </c>
      <c r="U207" s="152">
        <f>IFERROR(ABS(K207-YEAR('02_대상물건입력'!B14)),"")</f>
        <v/>
      </c>
      <c r="V207" s="152">
        <f>IF(B207="","",IF(AND(E207&gt;0,F207&gt;0,H207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207=1,TRUE()),R207&lt;='01_설정'!B5,S207&lt;='01_설정'!B6,T207&lt;='01_설정'!B7,U207&lt;='01_설정'!B8),"Y",""))</f>
        <v/>
      </c>
      <c r="W207" s="172">
        <f>IF(V207&lt;&gt;"Y","",MAX(0,(1-R207/'01_설정'!B5))*'01_설정'!B14+MAX(0,(1-S207/'01_설정'!B6))*'01_설정'!B15+MAX(0,(1-T207/'01_설정'!B7))*'01_설정'!B16+MAX(0,(1-U207/'01_설정'!B8))*'01_설정'!B17+O207*'01_설정'!B11+Q207*'01_설정'!B12+P207*'01_설정'!B13+IF(Z207="",0,Z207))</f>
        <v/>
      </c>
      <c r="X207" s="152">
        <f>IF(W207="","",1+COUNTIFS($W$4:$W$3003,"&gt;"&amp;W207)+COUNTIFS($W$4:W207,W207)-1)</f>
        <v/>
      </c>
      <c r="Y207" s="175">
        <f>IF(OR(I207="",'02_대상물건입력'!B19="",'02_대상물건입력'!B19&lt;=0),"",ABS(I207-'02_대상물건입력'!B19)/'02_대상물건입력'!B19)</f>
        <v/>
      </c>
      <c r="Z207" s="172">
        <f>IF(OR(Y207="",'01_설정'!B31="",'01_설정'!B31&lt;=0,'01_설정'!B32="",'01_설정'!B32&lt;=0),"",MAX(0,(1-Y207/'01_설정'!B32))*'01_설정'!B31)</f>
        <v/>
      </c>
    </row>
    <row r="208" ht="17.25" customHeight="1">
      <c r="A208" s="152">
        <f>IF(INDEX('04A_국토부원자료'!$A:$A,ROW()+1)="","",ROW()-3)</f>
        <v/>
      </c>
      <c r="B208" s="48">
        <f>IFERROR(INDEX('04A_국토부원자료'!$A:$T,ROW()+1,MATCH("시군구",'04A_국토부원자료'!$A$4:$T$4,0)),"")</f>
        <v/>
      </c>
      <c r="C208" s="48">
        <f>IF(B208="","",IFERROR(INDEX('04A_국토부원자료'!$A:$T,ROW()+1,MATCH("번지",'04A_국토부원자료'!$A$4:$T$4,0)),""))</f>
        <v/>
      </c>
      <c r="D208" s="48">
        <f>IF(B208="","",IF(Q208=1,'02_대상물건입력'!$B$8,IFERROR(INDEX('04A_국토부원자료'!$A:$T,ROW()+1,MATCH("단지명",'04A_국토부원자료'!$A$4:$T$4,0)),"")))</f>
        <v/>
      </c>
      <c r="E208" s="172">
        <f>IFERROR(VALUE(SUBSTITUTE(INDEX('04A_국토부원자료'!$A:$T,ROW()+1,MATCH("전용면적(㎡)",'04A_국토부원자료'!$A$4:$T$4,0)),",","")),"")</f>
        <v/>
      </c>
      <c r="F2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8" s="51">
        <f>IFERROR(VALUE(SUBSTITUTE(INDEX('04A_국토부원자료'!$A:$T,ROW()+1,MATCH("거래금액(만원)",'04A_국토부원자료'!$A$4:$T$4,0)),",","")),"")</f>
        <v/>
      </c>
      <c r="H208" s="174">
        <f>IF(G208="","",G208*10000)</f>
        <v/>
      </c>
      <c r="I208" s="174">
        <f>IFERROR(IF(AND(H208&gt;0,E208&gt;0),H208/E208,""),"")</f>
        <v/>
      </c>
      <c r="J208" s="152">
        <f>IFERROR(VALUE(SUBSTITUTE(INDEX('04A_국토부원자료'!$A:$T,ROW()+1,MATCH("층",'04A_국토부원자료'!$A$4:$T$4,0)),",","")),"")</f>
        <v/>
      </c>
      <c r="K208" s="152">
        <f>IFERROR(VALUE(SUBSTITUTE(INDEX('04A_국토부원자료'!$A:$T,ROW()+1,MATCH("건축년도",'04A_국토부원자료'!$A$4:$T$4,0)),",","")),"")</f>
        <v/>
      </c>
      <c r="L208" s="176">
        <f>IFERROR(INDEX('04A_국토부원자료'!$A:$T,ROW()+1,MATCH("도로명",'04A_국토부원자료'!$A$4:$T$4,0)),"")</f>
        <v/>
      </c>
      <c r="M208" s="48">
        <f>IFERROR(INDEX('04A_국토부원자료'!$A:$T,ROW()+1,MATCH("거래유형",'04A_국토부원자료'!$A$4:$T$4,0)),"")</f>
        <v/>
      </c>
      <c r="N208" s="152">
        <f>IF(B208="","",IF('02_대상물건입력'!B5="",1,IF(ISNUMBER(SEARCH('02_대상물건입력'!B5,B208)),1,0)))</f>
        <v/>
      </c>
      <c r="O208" s="152">
        <f>IF(B208="","",IF('02_대상물건입력'!B6="",1,IF(ISNUMBER(SEARCH('02_대상물건입력'!B6,B208)),1,0)))</f>
        <v/>
      </c>
      <c r="P208" s="152">
        <f>IF(L208="","",IF('02_대상물건입력'!B15="",0,IF(ISNUMBER(SEARCH('02_대상물건입력'!B15,L208)),1,0)))</f>
        <v/>
      </c>
      <c r="Q208" s="152">
        <f>IF(OR(C208="",L208=""),0,IF(AND(TRIM(C208)=TRIM(RIGHT(SUBSTITUTE(TRIM('02_대상물건입력'!$B$7)," ",REPT(" ",99)),99)),IF('02_대상물건입력'!B15="",TRUE(),ISNUMBER(SEARCH('02_대상물건입력'!B15,L208)))),1,0))</f>
        <v/>
      </c>
      <c r="R208" s="175">
        <f>IFERROR(ABS(E208-'02_대상물건입력'!B11)/'02_대상물건입력'!B11,"")</f>
        <v/>
      </c>
      <c r="S208" s="152">
        <f>IFERROR(ABS(J208-'02_대상물건입력'!B10),"")</f>
        <v/>
      </c>
      <c r="T208" s="152">
        <f>IFERROR(ABS('01_설정'!B4-F208),"")</f>
        <v/>
      </c>
      <c r="U208" s="152">
        <f>IFERROR(ABS(K208-YEAR('02_대상물건입력'!B14)),"")</f>
        <v/>
      </c>
      <c r="V208" s="152">
        <f>IF(B208="","",IF(AND(E208&gt;0,F208&gt;0,H208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208=1,TRUE()),R208&lt;='01_설정'!B5,S208&lt;='01_설정'!B6,T208&lt;='01_설정'!B7,U208&lt;='01_설정'!B8),"Y",""))</f>
        <v/>
      </c>
      <c r="W208" s="172">
        <f>IF(V208&lt;&gt;"Y","",MAX(0,(1-R208/'01_설정'!B5))*'01_설정'!B14+MAX(0,(1-S208/'01_설정'!B6))*'01_설정'!B15+MAX(0,(1-T208/'01_설정'!B7))*'01_설정'!B16+MAX(0,(1-U208/'01_설정'!B8))*'01_설정'!B17+O208*'01_설정'!B11+Q208*'01_설정'!B12+P208*'01_설정'!B13+IF(Z208="",0,Z208))</f>
        <v/>
      </c>
      <c r="X208" s="152">
        <f>IF(W208="","",1+COUNTIFS($W$4:$W$3003,"&gt;"&amp;W208)+COUNTIFS($W$4:W208,W208)-1)</f>
        <v/>
      </c>
      <c r="Y208" s="175">
        <f>IF(OR(I208="",'02_대상물건입력'!B19="",'02_대상물건입력'!B19&lt;=0),"",ABS(I208-'02_대상물건입력'!B19)/'02_대상물건입력'!B19)</f>
        <v/>
      </c>
      <c r="Z208" s="172">
        <f>IF(OR(Y208="",'01_설정'!B31="",'01_설정'!B31&lt;=0,'01_설정'!B32="",'01_설정'!B32&lt;=0),"",MAX(0,(1-Y208/'01_설정'!B32))*'01_설정'!B31)</f>
        <v/>
      </c>
    </row>
    <row r="209" ht="17.25" customHeight="1">
      <c r="A209" s="152">
        <f>IF(INDEX('04A_국토부원자료'!$A:$A,ROW()+1)="","",ROW()-3)</f>
        <v/>
      </c>
      <c r="B209" s="48">
        <f>IFERROR(INDEX('04A_국토부원자료'!$A:$T,ROW()+1,MATCH("시군구",'04A_국토부원자료'!$A$4:$T$4,0)),"")</f>
        <v/>
      </c>
      <c r="C209" s="48">
        <f>IF(B209="","",IFERROR(INDEX('04A_국토부원자료'!$A:$T,ROW()+1,MATCH("번지",'04A_국토부원자료'!$A$4:$T$4,0)),""))</f>
        <v/>
      </c>
      <c r="D209" s="48">
        <f>IF(B209="","",IF(Q209=1,'02_대상물건입력'!$B$8,IFERROR(INDEX('04A_국토부원자료'!$A:$T,ROW()+1,MATCH("단지명",'04A_국토부원자료'!$A$4:$T$4,0)),"")))</f>
        <v/>
      </c>
      <c r="E209" s="172">
        <f>IFERROR(VALUE(SUBSTITUTE(INDEX('04A_국토부원자료'!$A:$T,ROW()+1,MATCH("전용면적(㎡)",'04A_국토부원자료'!$A$4:$T$4,0)),",","")),"")</f>
        <v/>
      </c>
      <c r="F2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9" s="51">
        <f>IFERROR(VALUE(SUBSTITUTE(INDEX('04A_국토부원자료'!$A:$T,ROW()+1,MATCH("거래금액(만원)",'04A_국토부원자료'!$A$4:$T$4,0)),",","")),"")</f>
        <v/>
      </c>
      <c r="H209" s="174">
        <f>IF(G209="","",G209*10000)</f>
        <v/>
      </c>
      <c r="I209" s="174">
        <f>IFERROR(IF(AND(H209&gt;0,E209&gt;0),H209/E209,""),"")</f>
        <v/>
      </c>
      <c r="J209" s="152">
        <f>IFERROR(VALUE(SUBSTITUTE(INDEX('04A_국토부원자료'!$A:$T,ROW()+1,MATCH("층",'04A_국토부원자료'!$A$4:$T$4,0)),",","")),"")</f>
        <v/>
      </c>
      <c r="K209" s="152">
        <f>IFERROR(VALUE(SUBSTITUTE(INDEX('04A_국토부원자료'!$A:$T,ROW()+1,MATCH("건축년도",'04A_국토부원자료'!$A$4:$T$4,0)),",","")),"")</f>
        <v/>
      </c>
      <c r="L209" s="176">
        <f>IFERROR(INDEX('04A_국토부원자료'!$A:$T,ROW()+1,MATCH("도로명",'04A_국토부원자료'!$A$4:$T$4,0)),"")</f>
        <v/>
      </c>
      <c r="M209" s="48">
        <f>IFERROR(INDEX('04A_국토부원자료'!$A:$T,ROW()+1,MATCH("거래유형",'04A_국토부원자료'!$A$4:$T$4,0)),"")</f>
        <v/>
      </c>
      <c r="N209" s="152">
        <f>IF(B209="","",IF('02_대상물건입력'!B5="",1,IF(ISNUMBER(SEARCH('02_대상물건입력'!B5,B209)),1,0)))</f>
        <v/>
      </c>
      <c r="O209" s="152">
        <f>IF(B209="","",IF('02_대상물건입력'!B6="",1,IF(ISNUMBER(SEARCH('02_대상물건입력'!B6,B209)),1,0)))</f>
        <v/>
      </c>
      <c r="P209" s="152">
        <f>IF(L209="","",IF('02_대상물건입력'!B15="",0,IF(ISNUMBER(SEARCH('02_대상물건입력'!B15,L209)),1,0)))</f>
        <v/>
      </c>
      <c r="Q209" s="152">
        <f>IF(OR(C209="",L209=""),0,IF(AND(TRIM(C209)=TRIM(RIGHT(SUBSTITUTE(TRIM('02_대상물건입력'!$B$7)," ",REPT(" ",99)),99)),IF('02_대상물건입력'!B15="",TRUE(),ISNUMBER(SEARCH('02_대상물건입력'!B15,L209)))),1,0))</f>
        <v/>
      </c>
      <c r="R209" s="175">
        <f>IFERROR(ABS(E209-'02_대상물건입력'!B11)/'02_대상물건입력'!B11,"")</f>
        <v/>
      </c>
      <c r="S209" s="152">
        <f>IFERROR(ABS(J209-'02_대상물건입력'!B10),"")</f>
        <v/>
      </c>
      <c r="T209" s="152">
        <f>IFERROR(ABS('01_설정'!B4-F209),"")</f>
        <v/>
      </c>
      <c r="U209" s="152">
        <f>IFERROR(ABS(K209-YEAR('02_대상물건입력'!B14)),"")</f>
        <v/>
      </c>
      <c r="V209" s="152">
        <f>IF(B209="","",IF(AND(E209&gt;0,F209&gt;0,H209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209=1,TRUE()),R209&lt;='01_설정'!B5,S209&lt;='01_설정'!B6,T209&lt;='01_설정'!B7,U209&lt;='01_설정'!B8),"Y",""))</f>
        <v/>
      </c>
      <c r="W209" s="172">
        <f>IF(V209&lt;&gt;"Y","",MAX(0,(1-R209/'01_설정'!B5))*'01_설정'!B14+MAX(0,(1-S209/'01_설정'!B6))*'01_설정'!B15+MAX(0,(1-T209/'01_설정'!B7))*'01_설정'!B16+MAX(0,(1-U209/'01_설정'!B8))*'01_설정'!B17+O209*'01_설정'!B11+Q209*'01_설정'!B12+P209*'01_설정'!B13+IF(Z209="",0,Z209))</f>
        <v/>
      </c>
      <c r="X209" s="152">
        <f>IF(W209="","",1+COUNTIFS($W$4:$W$3003,"&gt;"&amp;W209)+COUNTIFS($W$4:W209,W209)-1)</f>
        <v/>
      </c>
      <c r="Y209" s="175">
        <f>IF(OR(I209="",'02_대상물건입력'!B19="",'02_대상물건입력'!B19&lt;=0),"",ABS(I209-'02_대상물건입력'!B19)/'02_대상물건입력'!B19)</f>
        <v/>
      </c>
      <c r="Z209" s="172">
        <f>IF(OR(Y209="",'01_설정'!B31="",'01_설정'!B31&lt;=0,'01_설정'!B32="",'01_설정'!B32&lt;=0),"",MAX(0,(1-Y209/'01_설정'!B32))*'01_설정'!B31)</f>
        <v/>
      </c>
    </row>
    <row r="210" ht="17.25" customHeight="1">
      <c r="A210" s="152">
        <f>IF(INDEX('04A_국토부원자료'!$A:$A,ROW()+1)="","",ROW()-3)</f>
        <v/>
      </c>
      <c r="B210" s="48">
        <f>IFERROR(INDEX('04A_국토부원자료'!$A:$T,ROW()+1,MATCH("시군구",'04A_국토부원자료'!$A$4:$T$4,0)),"")</f>
        <v/>
      </c>
      <c r="C210" s="48">
        <f>IF(B210="","",IFERROR(INDEX('04A_국토부원자료'!$A:$T,ROW()+1,MATCH("번지",'04A_국토부원자료'!$A$4:$T$4,0)),""))</f>
        <v/>
      </c>
      <c r="D210" s="48">
        <f>IF(B210="","",IF(Q210=1,'02_대상물건입력'!$B$8,IFERROR(INDEX('04A_국토부원자료'!$A:$T,ROW()+1,MATCH("단지명",'04A_국토부원자료'!$A$4:$T$4,0)),"")))</f>
        <v/>
      </c>
      <c r="E210" s="172">
        <f>IFERROR(VALUE(SUBSTITUTE(INDEX('04A_국토부원자료'!$A:$T,ROW()+1,MATCH("전용면적(㎡)",'04A_국토부원자료'!$A$4:$T$4,0)),",","")),"")</f>
        <v/>
      </c>
      <c r="F2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0" s="51">
        <f>IFERROR(VALUE(SUBSTITUTE(INDEX('04A_국토부원자료'!$A:$T,ROW()+1,MATCH("거래금액(만원)",'04A_국토부원자료'!$A$4:$T$4,0)),",","")),"")</f>
        <v/>
      </c>
      <c r="H210" s="174">
        <f>IF(G210="","",G210*10000)</f>
        <v/>
      </c>
      <c r="I210" s="174">
        <f>IFERROR(IF(AND(H210&gt;0,E210&gt;0),H210/E210,""),"")</f>
        <v/>
      </c>
      <c r="J210" s="152">
        <f>IFERROR(VALUE(SUBSTITUTE(INDEX('04A_국토부원자료'!$A:$T,ROW()+1,MATCH("층",'04A_국토부원자료'!$A$4:$T$4,0)),",","")),"")</f>
        <v/>
      </c>
      <c r="K210" s="152">
        <f>IFERROR(VALUE(SUBSTITUTE(INDEX('04A_국토부원자료'!$A:$T,ROW()+1,MATCH("건축년도",'04A_국토부원자료'!$A$4:$T$4,0)),",","")),"")</f>
        <v/>
      </c>
      <c r="L210" s="176">
        <f>IFERROR(INDEX('04A_국토부원자료'!$A:$T,ROW()+1,MATCH("도로명",'04A_국토부원자료'!$A$4:$T$4,0)),"")</f>
        <v/>
      </c>
      <c r="M210" s="48">
        <f>IFERROR(INDEX('04A_국토부원자료'!$A:$T,ROW()+1,MATCH("거래유형",'04A_국토부원자료'!$A$4:$T$4,0)),"")</f>
        <v/>
      </c>
      <c r="N210" s="152">
        <f>IF(B210="","",IF('02_대상물건입력'!B5="",1,IF(ISNUMBER(SEARCH('02_대상물건입력'!B5,B210)),1,0)))</f>
        <v/>
      </c>
      <c r="O210" s="152">
        <f>IF(B210="","",IF('02_대상물건입력'!B6="",1,IF(ISNUMBER(SEARCH('02_대상물건입력'!B6,B210)),1,0)))</f>
        <v/>
      </c>
      <c r="P210" s="152">
        <f>IF(L210="","",IF('02_대상물건입력'!B15="",0,IF(ISNUMBER(SEARCH('02_대상물건입력'!B15,L210)),1,0)))</f>
        <v/>
      </c>
      <c r="Q210" s="152">
        <f>IF(OR(C210="",L210=""),0,IF(AND(TRIM(C210)=TRIM(RIGHT(SUBSTITUTE(TRIM('02_대상물건입력'!$B$7)," ",REPT(" ",99)),99)),IF('02_대상물건입력'!B15="",TRUE(),ISNUMBER(SEARCH('02_대상물건입력'!B15,L210)))),1,0))</f>
        <v/>
      </c>
      <c r="R210" s="175">
        <f>IFERROR(ABS(E210-'02_대상물건입력'!B11)/'02_대상물건입력'!B11,"")</f>
        <v/>
      </c>
      <c r="S210" s="152">
        <f>IFERROR(ABS(J210-'02_대상물건입력'!B10),"")</f>
        <v/>
      </c>
      <c r="T210" s="152">
        <f>IFERROR(ABS('01_설정'!B4-F210),"")</f>
        <v/>
      </c>
      <c r="U210" s="152">
        <f>IFERROR(ABS(K210-YEAR('02_대상물건입력'!B14)),"")</f>
        <v/>
      </c>
      <c r="V210" s="152">
        <f>IF(B210="","",IF(AND(E210&gt;0,F210&gt;0,H210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210=1,TRUE()),R210&lt;='01_설정'!B5,S210&lt;='01_설정'!B6,T210&lt;='01_설정'!B7,U210&lt;='01_설정'!B8),"Y",""))</f>
        <v/>
      </c>
      <c r="W210" s="172">
        <f>IF(V210&lt;&gt;"Y","",MAX(0,(1-R210/'01_설정'!B5))*'01_설정'!B14+MAX(0,(1-S210/'01_설정'!B6))*'01_설정'!B15+MAX(0,(1-T210/'01_설정'!B7))*'01_설정'!B16+MAX(0,(1-U210/'01_설정'!B8))*'01_설정'!B17+O210*'01_설정'!B11+Q210*'01_설정'!B12+P210*'01_설정'!B13+IF(Z210="",0,Z210))</f>
        <v/>
      </c>
      <c r="X210" s="152">
        <f>IF(W210="","",1+COUNTIFS($W$4:$W$3003,"&gt;"&amp;W210)+COUNTIFS($W$4:W210,W210)-1)</f>
        <v/>
      </c>
      <c r="Y210" s="175">
        <f>IF(OR(I210="",'02_대상물건입력'!B19="",'02_대상물건입력'!B19&lt;=0),"",ABS(I210-'02_대상물건입력'!B19)/'02_대상물건입력'!B19)</f>
        <v/>
      </c>
      <c r="Z210" s="172">
        <f>IF(OR(Y210="",'01_설정'!B31="",'01_설정'!B31&lt;=0,'01_설정'!B32="",'01_설정'!B32&lt;=0),"",MAX(0,(1-Y210/'01_설정'!B32))*'01_설정'!B31)</f>
        <v/>
      </c>
    </row>
    <row r="211" ht="17.25" customHeight="1">
      <c r="A211" s="152">
        <f>IF(INDEX('04A_국토부원자료'!$A:$A,ROW()+1)="","",ROW()-3)</f>
        <v/>
      </c>
      <c r="B211" s="48">
        <f>IFERROR(INDEX('04A_국토부원자료'!$A:$T,ROW()+1,MATCH("시군구",'04A_국토부원자료'!$A$4:$T$4,0)),"")</f>
        <v/>
      </c>
      <c r="C211" s="48">
        <f>IF(B211="","",IFERROR(INDEX('04A_국토부원자료'!$A:$T,ROW()+1,MATCH("번지",'04A_국토부원자료'!$A$4:$T$4,0)),""))</f>
        <v/>
      </c>
      <c r="D211" s="48">
        <f>IF(B211="","",IF(Q211=1,'02_대상물건입력'!$B$8,IFERROR(INDEX('04A_국토부원자료'!$A:$T,ROW()+1,MATCH("단지명",'04A_국토부원자료'!$A$4:$T$4,0)),"")))</f>
        <v/>
      </c>
      <c r="E211" s="172">
        <f>IFERROR(VALUE(SUBSTITUTE(INDEX('04A_국토부원자료'!$A:$T,ROW()+1,MATCH("전용면적(㎡)",'04A_국토부원자료'!$A$4:$T$4,0)),",","")),"")</f>
        <v/>
      </c>
      <c r="F2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1" s="51">
        <f>IFERROR(VALUE(SUBSTITUTE(INDEX('04A_국토부원자료'!$A:$T,ROW()+1,MATCH("거래금액(만원)",'04A_국토부원자료'!$A$4:$T$4,0)),",","")),"")</f>
        <v/>
      </c>
      <c r="H211" s="174">
        <f>IF(G211="","",G211*10000)</f>
        <v/>
      </c>
      <c r="I211" s="174">
        <f>IFERROR(IF(AND(H211&gt;0,E211&gt;0),H211/E211,""),"")</f>
        <v/>
      </c>
      <c r="J211" s="152">
        <f>IFERROR(VALUE(SUBSTITUTE(INDEX('04A_국토부원자료'!$A:$T,ROW()+1,MATCH("층",'04A_국토부원자료'!$A$4:$T$4,0)),",","")),"")</f>
        <v/>
      </c>
      <c r="K211" s="152">
        <f>IFERROR(VALUE(SUBSTITUTE(INDEX('04A_국토부원자료'!$A:$T,ROW()+1,MATCH("건축년도",'04A_국토부원자료'!$A$4:$T$4,0)),",","")),"")</f>
        <v/>
      </c>
      <c r="L211" s="176">
        <f>IFERROR(INDEX('04A_국토부원자료'!$A:$T,ROW()+1,MATCH("도로명",'04A_국토부원자료'!$A$4:$T$4,0)),"")</f>
        <v/>
      </c>
      <c r="M211" s="48">
        <f>IFERROR(INDEX('04A_국토부원자료'!$A:$T,ROW()+1,MATCH("거래유형",'04A_국토부원자료'!$A$4:$T$4,0)),"")</f>
        <v/>
      </c>
      <c r="N211" s="152">
        <f>IF(B211="","",IF('02_대상물건입력'!B5="",1,IF(ISNUMBER(SEARCH('02_대상물건입력'!B5,B211)),1,0)))</f>
        <v/>
      </c>
      <c r="O211" s="152">
        <f>IF(B211="","",IF('02_대상물건입력'!B6="",1,IF(ISNUMBER(SEARCH('02_대상물건입력'!B6,B211)),1,0)))</f>
        <v/>
      </c>
      <c r="P211" s="152">
        <f>IF(L211="","",IF('02_대상물건입력'!B15="",0,IF(ISNUMBER(SEARCH('02_대상물건입력'!B15,L211)),1,0)))</f>
        <v/>
      </c>
      <c r="Q211" s="152">
        <f>IF(OR(C211="",L211=""),0,IF(AND(TRIM(C211)=TRIM(RIGHT(SUBSTITUTE(TRIM('02_대상물건입력'!$B$7)," ",REPT(" ",99)),99)),IF('02_대상물건입력'!B15="",TRUE(),ISNUMBER(SEARCH('02_대상물건입력'!B15,L211)))),1,0))</f>
        <v/>
      </c>
      <c r="R211" s="175">
        <f>IFERROR(ABS(E211-'02_대상물건입력'!B11)/'02_대상물건입력'!B11,"")</f>
        <v/>
      </c>
      <c r="S211" s="152">
        <f>IFERROR(ABS(J211-'02_대상물건입력'!B10),"")</f>
        <v/>
      </c>
      <c r="T211" s="152">
        <f>IFERROR(ABS('01_설정'!B4-F211),"")</f>
        <v/>
      </c>
      <c r="U211" s="152">
        <f>IFERROR(ABS(K211-YEAR('02_대상물건입력'!B14)),"")</f>
        <v/>
      </c>
      <c r="V211" s="152">
        <f>IF(B211="","",IF(AND(E211&gt;0,F211&gt;0,H211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211=1,TRUE()),R211&lt;='01_설정'!B5,S211&lt;='01_설정'!B6,T211&lt;='01_설정'!B7,U211&lt;='01_설정'!B8),"Y",""))</f>
        <v/>
      </c>
      <c r="W211" s="172">
        <f>IF(V211&lt;&gt;"Y","",MAX(0,(1-R211/'01_설정'!B5))*'01_설정'!B14+MAX(0,(1-S211/'01_설정'!B6))*'01_설정'!B15+MAX(0,(1-T211/'01_설정'!B7))*'01_설정'!B16+MAX(0,(1-U211/'01_설정'!B8))*'01_설정'!B17+O211*'01_설정'!B11+Q211*'01_설정'!B12+P211*'01_설정'!B13+IF(Z211="",0,Z211))</f>
        <v/>
      </c>
      <c r="X211" s="152">
        <f>IF(W211="","",1+COUNTIFS($W$4:$W$3003,"&gt;"&amp;W211)+COUNTIFS($W$4:W211,W211)-1)</f>
        <v/>
      </c>
      <c r="Y211" s="175">
        <f>IF(OR(I211="",'02_대상물건입력'!B19="",'02_대상물건입력'!B19&lt;=0),"",ABS(I211-'02_대상물건입력'!B19)/'02_대상물건입력'!B19)</f>
        <v/>
      </c>
      <c r="Z211" s="172">
        <f>IF(OR(Y211="",'01_설정'!B31="",'01_설정'!B31&lt;=0,'01_설정'!B32="",'01_설정'!B32&lt;=0),"",MAX(0,(1-Y211/'01_설정'!B32))*'01_설정'!B31)</f>
        <v/>
      </c>
    </row>
    <row r="212" ht="17.25" customHeight="1">
      <c r="A212" s="152">
        <f>IF(INDEX('04A_국토부원자료'!$A:$A,ROW()+1)="","",ROW()-3)</f>
        <v/>
      </c>
      <c r="B212" s="48">
        <f>IFERROR(INDEX('04A_국토부원자료'!$A:$T,ROW()+1,MATCH("시군구",'04A_국토부원자료'!$A$4:$T$4,0)),"")</f>
        <v/>
      </c>
      <c r="C212" s="48">
        <f>IF(B212="","",IFERROR(INDEX('04A_국토부원자료'!$A:$T,ROW()+1,MATCH("번지",'04A_국토부원자료'!$A$4:$T$4,0)),""))</f>
        <v/>
      </c>
      <c r="D212" s="48">
        <f>IF(B212="","",IF(Q212=1,'02_대상물건입력'!$B$8,IFERROR(INDEX('04A_국토부원자료'!$A:$T,ROW()+1,MATCH("단지명",'04A_국토부원자료'!$A$4:$T$4,0)),"")))</f>
        <v/>
      </c>
      <c r="E212" s="172">
        <f>IFERROR(VALUE(SUBSTITUTE(INDEX('04A_국토부원자료'!$A:$T,ROW()+1,MATCH("전용면적(㎡)",'04A_국토부원자료'!$A$4:$T$4,0)),",","")),"")</f>
        <v/>
      </c>
      <c r="F2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2" s="51">
        <f>IFERROR(VALUE(SUBSTITUTE(INDEX('04A_국토부원자료'!$A:$T,ROW()+1,MATCH("거래금액(만원)",'04A_국토부원자료'!$A$4:$T$4,0)),",","")),"")</f>
        <v/>
      </c>
      <c r="H212" s="174">
        <f>IF(G212="","",G212*10000)</f>
        <v/>
      </c>
      <c r="I212" s="174">
        <f>IFERROR(IF(AND(H212&gt;0,E212&gt;0),H212/E212,""),"")</f>
        <v/>
      </c>
      <c r="J212" s="152">
        <f>IFERROR(VALUE(SUBSTITUTE(INDEX('04A_국토부원자료'!$A:$T,ROW()+1,MATCH("층",'04A_국토부원자료'!$A$4:$T$4,0)),",","")),"")</f>
        <v/>
      </c>
      <c r="K212" s="152">
        <f>IFERROR(VALUE(SUBSTITUTE(INDEX('04A_국토부원자료'!$A:$T,ROW()+1,MATCH("건축년도",'04A_국토부원자료'!$A$4:$T$4,0)),",","")),"")</f>
        <v/>
      </c>
      <c r="L212" s="176">
        <f>IFERROR(INDEX('04A_국토부원자료'!$A:$T,ROW()+1,MATCH("도로명",'04A_국토부원자료'!$A$4:$T$4,0)),"")</f>
        <v/>
      </c>
      <c r="M212" s="48">
        <f>IFERROR(INDEX('04A_국토부원자료'!$A:$T,ROW()+1,MATCH("거래유형",'04A_국토부원자료'!$A$4:$T$4,0)),"")</f>
        <v/>
      </c>
      <c r="N212" s="152">
        <f>IF(B212="","",IF('02_대상물건입력'!B5="",1,IF(ISNUMBER(SEARCH('02_대상물건입력'!B5,B212)),1,0)))</f>
        <v/>
      </c>
      <c r="O212" s="152">
        <f>IF(B212="","",IF('02_대상물건입력'!B6="",1,IF(ISNUMBER(SEARCH('02_대상물건입력'!B6,B212)),1,0)))</f>
        <v/>
      </c>
      <c r="P212" s="152">
        <f>IF(L212="","",IF('02_대상물건입력'!B15="",0,IF(ISNUMBER(SEARCH('02_대상물건입력'!B15,L212)),1,0)))</f>
        <v/>
      </c>
      <c r="Q212" s="152">
        <f>IF(OR(C212="",L212=""),0,IF(AND(TRIM(C212)=TRIM(RIGHT(SUBSTITUTE(TRIM('02_대상물건입력'!$B$7)," ",REPT(" ",99)),99)),IF('02_대상물건입력'!B15="",TRUE(),ISNUMBER(SEARCH('02_대상물건입력'!B15,L212)))),1,0))</f>
        <v/>
      </c>
      <c r="R212" s="175">
        <f>IFERROR(ABS(E212-'02_대상물건입력'!B11)/'02_대상물건입력'!B11,"")</f>
        <v/>
      </c>
      <c r="S212" s="152">
        <f>IFERROR(ABS(J212-'02_대상물건입력'!B10),"")</f>
        <v/>
      </c>
      <c r="T212" s="152">
        <f>IFERROR(ABS('01_설정'!B4-F212),"")</f>
        <v/>
      </c>
      <c r="U212" s="152">
        <f>IFERROR(ABS(K212-YEAR('02_대상물건입력'!B14)),"")</f>
        <v/>
      </c>
      <c r="V212" s="152">
        <f>IF(B212="","",IF(AND(E212&gt;0,F212&gt;0,H212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212=1,TRUE()),R212&lt;='01_설정'!B5,S212&lt;='01_설정'!B6,T212&lt;='01_설정'!B7,U212&lt;='01_설정'!B8),"Y",""))</f>
        <v/>
      </c>
      <c r="W212" s="172">
        <f>IF(V212&lt;&gt;"Y","",MAX(0,(1-R212/'01_설정'!B5))*'01_설정'!B14+MAX(0,(1-S212/'01_설정'!B6))*'01_설정'!B15+MAX(0,(1-T212/'01_설정'!B7))*'01_설정'!B16+MAX(0,(1-U212/'01_설정'!B8))*'01_설정'!B17+O212*'01_설정'!B11+Q212*'01_설정'!B12+P212*'01_설정'!B13+IF(Z212="",0,Z212))</f>
        <v/>
      </c>
      <c r="X212" s="152">
        <f>IF(W212="","",1+COUNTIFS($W$4:$W$3003,"&gt;"&amp;W212)+COUNTIFS($W$4:W212,W212)-1)</f>
        <v/>
      </c>
      <c r="Y212" s="175">
        <f>IF(OR(I212="",'02_대상물건입력'!B19="",'02_대상물건입력'!B19&lt;=0),"",ABS(I212-'02_대상물건입력'!B19)/'02_대상물건입력'!B19)</f>
        <v/>
      </c>
      <c r="Z212" s="172">
        <f>IF(OR(Y212="",'01_설정'!B31="",'01_설정'!B31&lt;=0,'01_설정'!B32="",'01_설정'!B32&lt;=0),"",MAX(0,(1-Y212/'01_설정'!B32))*'01_설정'!B31)</f>
        <v/>
      </c>
    </row>
    <row r="213" ht="17.25" customHeight="1">
      <c r="A213" s="152">
        <f>IF(INDEX('04A_국토부원자료'!$A:$A,ROW()+1)="","",ROW()-3)</f>
        <v/>
      </c>
      <c r="B213" s="48">
        <f>IFERROR(INDEX('04A_국토부원자료'!$A:$T,ROW()+1,MATCH("시군구",'04A_국토부원자료'!$A$4:$T$4,0)),"")</f>
        <v/>
      </c>
      <c r="C213" s="48">
        <f>IF(B213="","",IFERROR(INDEX('04A_국토부원자료'!$A:$T,ROW()+1,MATCH("번지",'04A_국토부원자료'!$A$4:$T$4,0)),""))</f>
        <v/>
      </c>
      <c r="D213" s="48">
        <f>IF(B213="","",IF(Q213=1,'02_대상물건입력'!$B$8,IFERROR(INDEX('04A_국토부원자료'!$A:$T,ROW()+1,MATCH("단지명",'04A_국토부원자료'!$A$4:$T$4,0)),"")))</f>
        <v/>
      </c>
      <c r="E213" s="172">
        <f>IFERROR(VALUE(SUBSTITUTE(INDEX('04A_국토부원자료'!$A:$T,ROW()+1,MATCH("전용면적(㎡)",'04A_국토부원자료'!$A$4:$T$4,0)),",","")),"")</f>
        <v/>
      </c>
      <c r="F2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3" s="51">
        <f>IFERROR(VALUE(SUBSTITUTE(INDEX('04A_국토부원자료'!$A:$T,ROW()+1,MATCH("거래금액(만원)",'04A_국토부원자료'!$A$4:$T$4,0)),",","")),"")</f>
        <v/>
      </c>
      <c r="H213" s="174">
        <f>IF(G213="","",G213*10000)</f>
        <v/>
      </c>
      <c r="I213" s="174">
        <f>IFERROR(IF(AND(H213&gt;0,E213&gt;0),H213/E213,""),"")</f>
        <v/>
      </c>
      <c r="J213" s="152">
        <f>IFERROR(VALUE(SUBSTITUTE(INDEX('04A_국토부원자료'!$A:$T,ROW()+1,MATCH("층",'04A_국토부원자료'!$A$4:$T$4,0)),",","")),"")</f>
        <v/>
      </c>
      <c r="K213" s="152">
        <f>IFERROR(VALUE(SUBSTITUTE(INDEX('04A_국토부원자료'!$A:$T,ROW()+1,MATCH("건축년도",'04A_국토부원자료'!$A$4:$T$4,0)),",","")),"")</f>
        <v/>
      </c>
      <c r="L213" s="176">
        <f>IFERROR(INDEX('04A_국토부원자료'!$A:$T,ROW()+1,MATCH("도로명",'04A_국토부원자료'!$A$4:$T$4,0)),"")</f>
        <v/>
      </c>
      <c r="M213" s="48">
        <f>IFERROR(INDEX('04A_국토부원자료'!$A:$T,ROW()+1,MATCH("거래유형",'04A_국토부원자료'!$A$4:$T$4,0)),"")</f>
        <v/>
      </c>
      <c r="N213" s="152">
        <f>IF(B213="","",IF('02_대상물건입력'!B5="",1,IF(ISNUMBER(SEARCH('02_대상물건입력'!B5,B213)),1,0)))</f>
        <v/>
      </c>
      <c r="O213" s="152">
        <f>IF(B213="","",IF('02_대상물건입력'!B6="",1,IF(ISNUMBER(SEARCH('02_대상물건입력'!B6,B213)),1,0)))</f>
        <v/>
      </c>
      <c r="P213" s="152">
        <f>IF(L213="","",IF('02_대상물건입력'!B15="",0,IF(ISNUMBER(SEARCH('02_대상물건입력'!B15,L213)),1,0)))</f>
        <v/>
      </c>
      <c r="Q213" s="152">
        <f>IF(OR(C213="",L213=""),0,IF(AND(TRIM(C213)=TRIM(RIGHT(SUBSTITUTE(TRIM('02_대상물건입력'!$B$7)," ",REPT(" ",99)),99)),IF('02_대상물건입력'!B15="",TRUE(),ISNUMBER(SEARCH('02_대상물건입력'!B15,L213)))),1,0))</f>
        <v/>
      </c>
      <c r="R213" s="175">
        <f>IFERROR(ABS(E213-'02_대상물건입력'!B11)/'02_대상물건입력'!B11,"")</f>
        <v/>
      </c>
      <c r="S213" s="152">
        <f>IFERROR(ABS(J213-'02_대상물건입력'!B10),"")</f>
        <v/>
      </c>
      <c r="T213" s="152">
        <f>IFERROR(ABS('01_설정'!B4-F213),"")</f>
        <v/>
      </c>
      <c r="U213" s="152">
        <f>IFERROR(ABS(K213-YEAR('02_대상물건입력'!B14)),"")</f>
        <v/>
      </c>
      <c r="V213" s="152">
        <f>IF(B213="","",IF(AND(E213&gt;0,F213&gt;0,H213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213=1,TRUE()),R213&lt;='01_설정'!B5,S213&lt;='01_설정'!B6,T213&lt;='01_설정'!B7,U213&lt;='01_설정'!B8),"Y",""))</f>
        <v/>
      </c>
      <c r="W213" s="172">
        <f>IF(V213&lt;&gt;"Y","",MAX(0,(1-R213/'01_설정'!B5))*'01_설정'!B14+MAX(0,(1-S213/'01_설정'!B6))*'01_설정'!B15+MAX(0,(1-T213/'01_설정'!B7))*'01_설정'!B16+MAX(0,(1-U213/'01_설정'!B8))*'01_설정'!B17+O213*'01_설정'!B11+Q213*'01_설정'!B12+P213*'01_설정'!B13+IF(Z213="",0,Z213))</f>
        <v/>
      </c>
      <c r="X213" s="152">
        <f>IF(W213="","",1+COUNTIFS($W$4:$W$3003,"&gt;"&amp;W213)+COUNTIFS($W$4:W213,W213)-1)</f>
        <v/>
      </c>
      <c r="Y213" s="175">
        <f>IF(OR(I213="",'02_대상물건입력'!B19="",'02_대상물건입력'!B19&lt;=0),"",ABS(I213-'02_대상물건입력'!B19)/'02_대상물건입력'!B19)</f>
        <v/>
      </c>
      <c r="Z213" s="172">
        <f>IF(OR(Y213="",'01_설정'!B31="",'01_설정'!B31&lt;=0,'01_설정'!B32="",'01_설정'!B32&lt;=0),"",MAX(0,(1-Y213/'01_설정'!B32))*'01_설정'!B31)</f>
        <v/>
      </c>
    </row>
    <row r="214" ht="17.25" customHeight="1">
      <c r="A214" s="152">
        <f>IF(INDEX('04A_국토부원자료'!$A:$A,ROW()+1)="","",ROW()-3)</f>
        <v/>
      </c>
      <c r="B214" s="48">
        <f>IFERROR(INDEX('04A_국토부원자료'!$A:$T,ROW()+1,MATCH("시군구",'04A_국토부원자료'!$A$4:$T$4,0)),"")</f>
        <v/>
      </c>
      <c r="C214" s="48">
        <f>IF(B214="","",IFERROR(INDEX('04A_국토부원자료'!$A:$T,ROW()+1,MATCH("번지",'04A_국토부원자료'!$A$4:$T$4,0)),""))</f>
        <v/>
      </c>
      <c r="D214" s="48">
        <f>IF(B214="","",IF(Q214=1,'02_대상물건입력'!$B$8,IFERROR(INDEX('04A_국토부원자료'!$A:$T,ROW()+1,MATCH("단지명",'04A_국토부원자료'!$A$4:$T$4,0)),"")))</f>
        <v/>
      </c>
      <c r="E214" s="172">
        <f>IFERROR(VALUE(SUBSTITUTE(INDEX('04A_국토부원자료'!$A:$T,ROW()+1,MATCH("전용면적(㎡)",'04A_국토부원자료'!$A$4:$T$4,0)),",","")),"")</f>
        <v/>
      </c>
      <c r="F2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4" s="51">
        <f>IFERROR(VALUE(SUBSTITUTE(INDEX('04A_국토부원자료'!$A:$T,ROW()+1,MATCH("거래금액(만원)",'04A_국토부원자료'!$A$4:$T$4,0)),",","")),"")</f>
        <v/>
      </c>
      <c r="H214" s="174">
        <f>IF(G214="","",G214*10000)</f>
        <v/>
      </c>
      <c r="I214" s="174">
        <f>IFERROR(IF(AND(H214&gt;0,E214&gt;0),H214/E214,""),"")</f>
        <v/>
      </c>
      <c r="J214" s="152">
        <f>IFERROR(VALUE(SUBSTITUTE(INDEX('04A_국토부원자료'!$A:$T,ROW()+1,MATCH("층",'04A_국토부원자료'!$A$4:$T$4,0)),",","")),"")</f>
        <v/>
      </c>
      <c r="K214" s="152">
        <f>IFERROR(VALUE(SUBSTITUTE(INDEX('04A_국토부원자료'!$A:$T,ROW()+1,MATCH("건축년도",'04A_국토부원자료'!$A$4:$T$4,0)),",","")),"")</f>
        <v/>
      </c>
      <c r="L214" s="176">
        <f>IFERROR(INDEX('04A_국토부원자료'!$A:$T,ROW()+1,MATCH("도로명",'04A_국토부원자료'!$A$4:$T$4,0)),"")</f>
        <v/>
      </c>
      <c r="M214" s="48">
        <f>IFERROR(INDEX('04A_국토부원자료'!$A:$T,ROW()+1,MATCH("거래유형",'04A_국토부원자료'!$A$4:$T$4,0)),"")</f>
        <v/>
      </c>
      <c r="N214" s="152">
        <f>IF(B214="","",IF('02_대상물건입력'!B5="",1,IF(ISNUMBER(SEARCH('02_대상물건입력'!B5,B214)),1,0)))</f>
        <v/>
      </c>
      <c r="O214" s="152">
        <f>IF(B214="","",IF('02_대상물건입력'!B6="",1,IF(ISNUMBER(SEARCH('02_대상물건입력'!B6,B214)),1,0)))</f>
        <v/>
      </c>
      <c r="P214" s="152">
        <f>IF(L214="","",IF('02_대상물건입력'!B15="",0,IF(ISNUMBER(SEARCH('02_대상물건입력'!B15,L214)),1,0)))</f>
        <v/>
      </c>
      <c r="Q214" s="152">
        <f>IF(OR(C214="",L214=""),0,IF(AND(TRIM(C214)=TRIM(RIGHT(SUBSTITUTE(TRIM('02_대상물건입력'!$B$7)," ",REPT(" ",99)),99)),IF('02_대상물건입력'!B15="",TRUE(),ISNUMBER(SEARCH('02_대상물건입력'!B15,L214)))),1,0))</f>
        <v/>
      </c>
      <c r="R214" s="175">
        <f>IFERROR(ABS(E214-'02_대상물건입력'!B11)/'02_대상물건입력'!B11,"")</f>
        <v/>
      </c>
      <c r="S214" s="152">
        <f>IFERROR(ABS(J214-'02_대상물건입력'!B10),"")</f>
        <v/>
      </c>
      <c r="T214" s="152">
        <f>IFERROR(ABS('01_설정'!B4-F214),"")</f>
        <v/>
      </c>
      <c r="U214" s="152">
        <f>IFERROR(ABS(K214-YEAR('02_대상물건입력'!B14)),"")</f>
        <v/>
      </c>
      <c r="V214" s="152">
        <f>IF(B214="","",IF(AND(E214&gt;0,F214&gt;0,H214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214=1,TRUE()),R214&lt;='01_설정'!B5,S214&lt;='01_설정'!B6,T214&lt;='01_설정'!B7,U214&lt;='01_설정'!B8),"Y",""))</f>
        <v/>
      </c>
      <c r="W214" s="172">
        <f>IF(V214&lt;&gt;"Y","",MAX(0,(1-R214/'01_설정'!B5))*'01_설정'!B14+MAX(0,(1-S214/'01_설정'!B6))*'01_설정'!B15+MAX(0,(1-T214/'01_설정'!B7))*'01_설정'!B16+MAX(0,(1-U214/'01_설정'!B8))*'01_설정'!B17+O214*'01_설정'!B11+Q214*'01_설정'!B12+P214*'01_설정'!B13+IF(Z214="",0,Z214))</f>
        <v/>
      </c>
      <c r="X214" s="152">
        <f>IF(W214="","",1+COUNTIFS($W$4:$W$3003,"&gt;"&amp;W214)+COUNTIFS($W$4:W214,W214)-1)</f>
        <v/>
      </c>
      <c r="Y214" s="175">
        <f>IF(OR(I214="",'02_대상물건입력'!B19="",'02_대상물건입력'!B19&lt;=0),"",ABS(I214-'02_대상물건입력'!B19)/'02_대상물건입력'!B19)</f>
        <v/>
      </c>
      <c r="Z214" s="172">
        <f>IF(OR(Y214="",'01_설정'!B31="",'01_설정'!B31&lt;=0,'01_설정'!B32="",'01_설정'!B32&lt;=0),"",MAX(0,(1-Y214/'01_설정'!B32))*'01_설정'!B31)</f>
        <v/>
      </c>
    </row>
    <row r="215" ht="17.25" customHeight="1">
      <c r="A215" s="152">
        <f>IF(INDEX('04A_국토부원자료'!$A:$A,ROW()+1)="","",ROW()-3)</f>
        <v/>
      </c>
      <c r="B215" s="48">
        <f>IFERROR(INDEX('04A_국토부원자료'!$A:$T,ROW()+1,MATCH("시군구",'04A_국토부원자료'!$A$4:$T$4,0)),"")</f>
        <v/>
      </c>
      <c r="C215" s="48">
        <f>IF(B215="","",IFERROR(INDEX('04A_국토부원자료'!$A:$T,ROW()+1,MATCH("번지",'04A_국토부원자료'!$A$4:$T$4,0)),""))</f>
        <v/>
      </c>
      <c r="D215" s="48">
        <f>IF(B215="","",IF(Q215=1,'02_대상물건입력'!$B$8,IFERROR(INDEX('04A_국토부원자료'!$A:$T,ROW()+1,MATCH("단지명",'04A_국토부원자료'!$A$4:$T$4,0)),"")))</f>
        <v/>
      </c>
      <c r="E215" s="172">
        <f>IFERROR(VALUE(SUBSTITUTE(INDEX('04A_국토부원자료'!$A:$T,ROW()+1,MATCH("전용면적(㎡)",'04A_국토부원자료'!$A$4:$T$4,0)),",","")),"")</f>
        <v/>
      </c>
      <c r="F2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5" s="51">
        <f>IFERROR(VALUE(SUBSTITUTE(INDEX('04A_국토부원자료'!$A:$T,ROW()+1,MATCH("거래금액(만원)",'04A_국토부원자료'!$A$4:$T$4,0)),",","")),"")</f>
        <v/>
      </c>
      <c r="H215" s="174">
        <f>IF(G215="","",G215*10000)</f>
        <v/>
      </c>
      <c r="I215" s="174">
        <f>IFERROR(IF(AND(H215&gt;0,E215&gt;0),H215/E215,""),"")</f>
        <v/>
      </c>
      <c r="J215" s="152">
        <f>IFERROR(VALUE(SUBSTITUTE(INDEX('04A_국토부원자료'!$A:$T,ROW()+1,MATCH("층",'04A_국토부원자료'!$A$4:$T$4,0)),",","")),"")</f>
        <v/>
      </c>
      <c r="K215" s="152">
        <f>IFERROR(VALUE(SUBSTITUTE(INDEX('04A_국토부원자료'!$A:$T,ROW()+1,MATCH("건축년도",'04A_국토부원자료'!$A$4:$T$4,0)),",","")),"")</f>
        <v/>
      </c>
      <c r="L215" s="176">
        <f>IFERROR(INDEX('04A_국토부원자료'!$A:$T,ROW()+1,MATCH("도로명",'04A_국토부원자료'!$A$4:$T$4,0)),"")</f>
        <v/>
      </c>
      <c r="M215" s="48">
        <f>IFERROR(INDEX('04A_국토부원자료'!$A:$T,ROW()+1,MATCH("거래유형",'04A_국토부원자료'!$A$4:$T$4,0)),"")</f>
        <v/>
      </c>
      <c r="N215" s="152">
        <f>IF(B215="","",IF('02_대상물건입력'!B5="",1,IF(ISNUMBER(SEARCH('02_대상물건입력'!B5,B215)),1,0)))</f>
        <v/>
      </c>
      <c r="O215" s="152">
        <f>IF(B215="","",IF('02_대상물건입력'!B6="",1,IF(ISNUMBER(SEARCH('02_대상물건입력'!B6,B215)),1,0)))</f>
        <v/>
      </c>
      <c r="P215" s="152">
        <f>IF(L215="","",IF('02_대상물건입력'!B15="",0,IF(ISNUMBER(SEARCH('02_대상물건입력'!B15,L215)),1,0)))</f>
        <v/>
      </c>
      <c r="Q215" s="152">
        <f>IF(OR(C215="",L215=""),0,IF(AND(TRIM(C215)=TRIM(RIGHT(SUBSTITUTE(TRIM('02_대상물건입력'!$B$7)," ",REPT(" ",99)),99)),IF('02_대상물건입력'!B15="",TRUE(),ISNUMBER(SEARCH('02_대상물건입력'!B15,L215)))),1,0))</f>
        <v/>
      </c>
      <c r="R215" s="175">
        <f>IFERROR(ABS(E215-'02_대상물건입력'!B11)/'02_대상물건입력'!B11,"")</f>
        <v/>
      </c>
      <c r="S215" s="152">
        <f>IFERROR(ABS(J215-'02_대상물건입력'!B10),"")</f>
        <v/>
      </c>
      <c r="T215" s="152">
        <f>IFERROR(ABS('01_설정'!B4-F215),"")</f>
        <v/>
      </c>
      <c r="U215" s="152">
        <f>IFERROR(ABS(K215-YEAR('02_대상물건입력'!B14)),"")</f>
        <v/>
      </c>
      <c r="V215" s="152">
        <f>IF(B215="","",IF(AND(E215&gt;0,F215&gt;0,H215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215=1,TRUE()),R215&lt;='01_설정'!B5,S215&lt;='01_설정'!B6,T215&lt;='01_설정'!B7,U215&lt;='01_설정'!B8),"Y",""))</f>
        <v/>
      </c>
      <c r="W215" s="172">
        <f>IF(V215&lt;&gt;"Y","",MAX(0,(1-R215/'01_설정'!B5))*'01_설정'!B14+MAX(0,(1-S215/'01_설정'!B6))*'01_설정'!B15+MAX(0,(1-T215/'01_설정'!B7))*'01_설정'!B16+MAX(0,(1-U215/'01_설정'!B8))*'01_설정'!B17+O215*'01_설정'!B11+Q215*'01_설정'!B12+P215*'01_설정'!B13+IF(Z215="",0,Z215))</f>
        <v/>
      </c>
      <c r="X215" s="152">
        <f>IF(W215="","",1+COUNTIFS($W$4:$W$3003,"&gt;"&amp;W215)+COUNTIFS($W$4:W215,W215)-1)</f>
        <v/>
      </c>
      <c r="Y215" s="175">
        <f>IF(OR(I215="",'02_대상물건입력'!B19="",'02_대상물건입력'!B19&lt;=0),"",ABS(I215-'02_대상물건입력'!B19)/'02_대상물건입력'!B19)</f>
        <v/>
      </c>
      <c r="Z215" s="172">
        <f>IF(OR(Y215="",'01_설정'!B31="",'01_설정'!B31&lt;=0,'01_설정'!B32="",'01_설정'!B32&lt;=0),"",MAX(0,(1-Y215/'01_설정'!B32))*'01_설정'!B31)</f>
        <v/>
      </c>
    </row>
    <row r="216" ht="17.25" customHeight="1">
      <c r="A216" s="152">
        <f>IF(INDEX('04A_국토부원자료'!$A:$A,ROW()+1)="","",ROW()-3)</f>
        <v/>
      </c>
      <c r="B216" s="48">
        <f>IFERROR(INDEX('04A_국토부원자료'!$A:$T,ROW()+1,MATCH("시군구",'04A_국토부원자료'!$A$4:$T$4,0)),"")</f>
        <v/>
      </c>
      <c r="C216" s="48">
        <f>IF(B216="","",IFERROR(INDEX('04A_국토부원자료'!$A:$T,ROW()+1,MATCH("번지",'04A_국토부원자료'!$A$4:$T$4,0)),""))</f>
        <v/>
      </c>
      <c r="D216" s="48">
        <f>IF(B216="","",IF(Q216=1,'02_대상물건입력'!$B$8,IFERROR(INDEX('04A_국토부원자료'!$A:$T,ROW()+1,MATCH("단지명",'04A_국토부원자료'!$A$4:$T$4,0)),"")))</f>
        <v/>
      </c>
      <c r="E216" s="172">
        <f>IFERROR(VALUE(SUBSTITUTE(INDEX('04A_국토부원자료'!$A:$T,ROW()+1,MATCH("전용면적(㎡)",'04A_국토부원자료'!$A$4:$T$4,0)),",","")),"")</f>
        <v/>
      </c>
      <c r="F2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6" s="51">
        <f>IFERROR(VALUE(SUBSTITUTE(INDEX('04A_국토부원자료'!$A:$T,ROW()+1,MATCH("거래금액(만원)",'04A_국토부원자료'!$A$4:$T$4,0)),",","")),"")</f>
        <v/>
      </c>
      <c r="H216" s="174">
        <f>IF(G216="","",G216*10000)</f>
        <v/>
      </c>
      <c r="I216" s="174">
        <f>IFERROR(IF(AND(H216&gt;0,E216&gt;0),H216/E216,""),"")</f>
        <v/>
      </c>
      <c r="J216" s="152">
        <f>IFERROR(VALUE(SUBSTITUTE(INDEX('04A_국토부원자료'!$A:$T,ROW()+1,MATCH("층",'04A_국토부원자료'!$A$4:$T$4,0)),",","")),"")</f>
        <v/>
      </c>
      <c r="K216" s="152">
        <f>IFERROR(VALUE(SUBSTITUTE(INDEX('04A_국토부원자료'!$A:$T,ROW()+1,MATCH("건축년도",'04A_국토부원자료'!$A$4:$T$4,0)),",","")),"")</f>
        <v/>
      </c>
      <c r="L216" s="176">
        <f>IFERROR(INDEX('04A_국토부원자료'!$A:$T,ROW()+1,MATCH("도로명",'04A_국토부원자료'!$A$4:$T$4,0)),"")</f>
        <v/>
      </c>
      <c r="M216" s="48">
        <f>IFERROR(INDEX('04A_국토부원자료'!$A:$T,ROW()+1,MATCH("거래유형",'04A_국토부원자료'!$A$4:$T$4,0)),"")</f>
        <v/>
      </c>
      <c r="N216" s="152">
        <f>IF(B216="","",IF('02_대상물건입력'!B5="",1,IF(ISNUMBER(SEARCH('02_대상물건입력'!B5,B216)),1,0)))</f>
        <v/>
      </c>
      <c r="O216" s="152">
        <f>IF(B216="","",IF('02_대상물건입력'!B6="",1,IF(ISNUMBER(SEARCH('02_대상물건입력'!B6,B216)),1,0)))</f>
        <v/>
      </c>
      <c r="P216" s="152">
        <f>IF(L216="","",IF('02_대상물건입력'!B15="",0,IF(ISNUMBER(SEARCH('02_대상물건입력'!B15,L216)),1,0)))</f>
        <v/>
      </c>
      <c r="Q216" s="152">
        <f>IF(OR(C216="",L216=""),0,IF(AND(TRIM(C216)=TRIM(RIGHT(SUBSTITUTE(TRIM('02_대상물건입력'!$B$7)," ",REPT(" ",99)),99)),IF('02_대상물건입력'!B15="",TRUE(),ISNUMBER(SEARCH('02_대상물건입력'!B15,L216)))),1,0))</f>
        <v/>
      </c>
      <c r="R216" s="175">
        <f>IFERROR(ABS(E216-'02_대상물건입력'!B11)/'02_대상물건입력'!B11,"")</f>
        <v/>
      </c>
      <c r="S216" s="152">
        <f>IFERROR(ABS(J216-'02_대상물건입력'!B10),"")</f>
        <v/>
      </c>
      <c r="T216" s="152">
        <f>IFERROR(ABS('01_설정'!B4-F216),"")</f>
        <v/>
      </c>
      <c r="U216" s="152">
        <f>IFERROR(ABS(K216-YEAR('02_대상물건입력'!B14)),"")</f>
        <v/>
      </c>
      <c r="V216" s="152">
        <f>IF(B216="","",IF(AND(E216&gt;0,F216&gt;0,H216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216=1,TRUE()),R216&lt;='01_설정'!B5,S216&lt;='01_설정'!B6,T216&lt;='01_설정'!B7,U216&lt;='01_설정'!B8),"Y",""))</f>
        <v/>
      </c>
      <c r="W216" s="172">
        <f>IF(V216&lt;&gt;"Y","",MAX(0,(1-R216/'01_설정'!B5))*'01_설정'!B14+MAX(0,(1-S216/'01_설정'!B6))*'01_설정'!B15+MAX(0,(1-T216/'01_설정'!B7))*'01_설정'!B16+MAX(0,(1-U216/'01_설정'!B8))*'01_설정'!B17+O216*'01_설정'!B11+Q216*'01_설정'!B12+P216*'01_설정'!B13+IF(Z216="",0,Z216))</f>
        <v/>
      </c>
      <c r="X216" s="152">
        <f>IF(W216="","",1+COUNTIFS($W$4:$W$3003,"&gt;"&amp;W216)+COUNTIFS($W$4:W216,W216)-1)</f>
        <v/>
      </c>
      <c r="Y216" s="175">
        <f>IF(OR(I216="",'02_대상물건입력'!B19="",'02_대상물건입력'!B19&lt;=0),"",ABS(I216-'02_대상물건입력'!B19)/'02_대상물건입력'!B19)</f>
        <v/>
      </c>
      <c r="Z216" s="172">
        <f>IF(OR(Y216="",'01_설정'!B31="",'01_설정'!B31&lt;=0,'01_설정'!B32="",'01_설정'!B32&lt;=0),"",MAX(0,(1-Y216/'01_설정'!B32))*'01_설정'!B31)</f>
        <v/>
      </c>
    </row>
    <row r="217" ht="17.25" customHeight="1">
      <c r="A217" s="152">
        <f>IF(INDEX('04A_국토부원자료'!$A:$A,ROW()+1)="","",ROW()-3)</f>
        <v/>
      </c>
      <c r="B217" s="48">
        <f>IFERROR(INDEX('04A_국토부원자료'!$A:$T,ROW()+1,MATCH("시군구",'04A_국토부원자료'!$A$4:$T$4,0)),"")</f>
        <v/>
      </c>
      <c r="C217" s="48">
        <f>IF(B217="","",IFERROR(INDEX('04A_국토부원자료'!$A:$T,ROW()+1,MATCH("번지",'04A_국토부원자료'!$A$4:$T$4,0)),""))</f>
        <v/>
      </c>
      <c r="D217" s="48">
        <f>IF(B217="","",IF(Q217=1,'02_대상물건입력'!$B$8,IFERROR(INDEX('04A_국토부원자료'!$A:$T,ROW()+1,MATCH("단지명",'04A_국토부원자료'!$A$4:$T$4,0)),"")))</f>
        <v/>
      </c>
      <c r="E217" s="172">
        <f>IFERROR(VALUE(SUBSTITUTE(INDEX('04A_국토부원자료'!$A:$T,ROW()+1,MATCH("전용면적(㎡)",'04A_국토부원자료'!$A$4:$T$4,0)),",","")),"")</f>
        <v/>
      </c>
      <c r="F2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7" s="51">
        <f>IFERROR(VALUE(SUBSTITUTE(INDEX('04A_국토부원자료'!$A:$T,ROW()+1,MATCH("거래금액(만원)",'04A_국토부원자료'!$A$4:$T$4,0)),",","")),"")</f>
        <v/>
      </c>
      <c r="H217" s="174">
        <f>IF(G217="","",G217*10000)</f>
        <v/>
      </c>
      <c r="I217" s="174">
        <f>IFERROR(IF(AND(H217&gt;0,E217&gt;0),H217/E217,""),"")</f>
        <v/>
      </c>
      <c r="J217" s="152">
        <f>IFERROR(VALUE(SUBSTITUTE(INDEX('04A_국토부원자료'!$A:$T,ROW()+1,MATCH("층",'04A_국토부원자료'!$A$4:$T$4,0)),",","")),"")</f>
        <v/>
      </c>
      <c r="K217" s="152">
        <f>IFERROR(VALUE(SUBSTITUTE(INDEX('04A_국토부원자료'!$A:$T,ROW()+1,MATCH("건축년도",'04A_국토부원자료'!$A$4:$T$4,0)),",","")),"")</f>
        <v/>
      </c>
      <c r="L217" s="176">
        <f>IFERROR(INDEX('04A_국토부원자료'!$A:$T,ROW()+1,MATCH("도로명",'04A_국토부원자료'!$A$4:$T$4,0)),"")</f>
        <v/>
      </c>
      <c r="M217" s="48">
        <f>IFERROR(INDEX('04A_국토부원자료'!$A:$T,ROW()+1,MATCH("거래유형",'04A_국토부원자료'!$A$4:$T$4,0)),"")</f>
        <v/>
      </c>
      <c r="N217" s="152">
        <f>IF(B217="","",IF('02_대상물건입력'!B5="",1,IF(ISNUMBER(SEARCH('02_대상물건입력'!B5,B217)),1,0)))</f>
        <v/>
      </c>
      <c r="O217" s="152">
        <f>IF(B217="","",IF('02_대상물건입력'!B6="",1,IF(ISNUMBER(SEARCH('02_대상물건입력'!B6,B217)),1,0)))</f>
        <v/>
      </c>
      <c r="P217" s="152">
        <f>IF(L217="","",IF('02_대상물건입력'!B15="",0,IF(ISNUMBER(SEARCH('02_대상물건입력'!B15,L217)),1,0)))</f>
        <v/>
      </c>
      <c r="Q217" s="152">
        <f>IF(OR(C217="",L217=""),0,IF(AND(TRIM(C217)=TRIM(RIGHT(SUBSTITUTE(TRIM('02_대상물건입력'!$B$7)," ",REPT(" ",99)),99)),IF('02_대상물건입력'!B15="",TRUE(),ISNUMBER(SEARCH('02_대상물건입력'!B15,L217)))),1,0))</f>
        <v/>
      </c>
      <c r="R217" s="175">
        <f>IFERROR(ABS(E217-'02_대상물건입력'!B11)/'02_대상물건입력'!B11,"")</f>
        <v/>
      </c>
      <c r="S217" s="152">
        <f>IFERROR(ABS(J217-'02_대상물건입력'!B10),"")</f>
        <v/>
      </c>
      <c r="T217" s="152">
        <f>IFERROR(ABS('01_설정'!B4-F217),"")</f>
        <v/>
      </c>
      <c r="U217" s="152">
        <f>IFERROR(ABS(K217-YEAR('02_대상물건입력'!B14)),"")</f>
        <v/>
      </c>
      <c r="V217" s="152">
        <f>IF(B217="","",IF(AND(E217&gt;0,F217&gt;0,H217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217=1,TRUE()),R217&lt;='01_설정'!B5,S217&lt;='01_설정'!B6,T217&lt;='01_설정'!B7,U217&lt;='01_설정'!B8),"Y",""))</f>
        <v/>
      </c>
      <c r="W217" s="172">
        <f>IF(V217&lt;&gt;"Y","",MAX(0,(1-R217/'01_설정'!B5))*'01_설정'!B14+MAX(0,(1-S217/'01_설정'!B6))*'01_설정'!B15+MAX(0,(1-T217/'01_설정'!B7))*'01_설정'!B16+MAX(0,(1-U217/'01_설정'!B8))*'01_설정'!B17+O217*'01_설정'!B11+Q217*'01_설정'!B12+P217*'01_설정'!B13+IF(Z217="",0,Z217))</f>
        <v/>
      </c>
      <c r="X217" s="152">
        <f>IF(W217="","",1+COUNTIFS($W$4:$W$3003,"&gt;"&amp;W217)+COUNTIFS($W$4:W217,W217)-1)</f>
        <v/>
      </c>
      <c r="Y217" s="175">
        <f>IF(OR(I217="",'02_대상물건입력'!B19="",'02_대상물건입력'!B19&lt;=0),"",ABS(I217-'02_대상물건입력'!B19)/'02_대상물건입력'!B19)</f>
        <v/>
      </c>
      <c r="Z217" s="172">
        <f>IF(OR(Y217="",'01_설정'!B31="",'01_설정'!B31&lt;=0,'01_설정'!B32="",'01_설정'!B32&lt;=0),"",MAX(0,(1-Y217/'01_설정'!B32))*'01_설정'!B31)</f>
        <v/>
      </c>
    </row>
    <row r="218" ht="17.25" customHeight="1">
      <c r="A218" s="152">
        <f>IF(INDEX('04A_국토부원자료'!$A:$A,ROW()+1)="","",ROW()-3)</f>
        <v/>
      </c>
      <c r="B218" s="48">
        <f>IFERROR(INDEX('04A_국토부원자료'!$A:$T,ROW()+1,MATCH("시군구",'04A_국토부원자료'!$A$4:$T$4,0)),"")</f>
        <v/>
      </c>
      <c r="C218" s="48">
        <f>IF(B218="","",IFERROR(INDEX('04A_국토부원자료'!$A:$T,ROW()+1,MATCH("번지",'04A_국토부원자료'!$A$4:$T$4,0)),""))</f>
        <v/>
      </c>
      <c r="D218" s="48">
        <f>IF(B218="","",IF(Q218=1,'02_대상물건입력'!$B$8,IFERROR(INDEX('04A_국토부원자료'!$A:$T,ROW()+1,MATCH("단지명",'04A_국토부원자료'!$A$4:$T$4,0)),"")))</f>
        <v/>
      </c>
      <c r="E218" s="172">
        <f>IFERROR(VALUE(SUBSTITUTE(INDEX('04A_국토부원자료'!$A:$T,ROW()+1,MATCH("전용면적(㎡)",'04A_국토부원자료'!$A$4:$T$4,0)),",","")),"")</f>
        <v/>
      </c>
      <c r="F2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8" s="51">
        <f>IFERROR(VALUE(SUBSTITUTE(INDEX('04A_국토부원자료'!$A:$T,ROW()+1,MATCH("거래금액(만원)",'04A_국토부원자료'!$A$4:$T$4,0)),",","")),"")</f>
        <v/>
      </c>
      <c r="H218" s="174">
        <f>IF(G218="","",G218*10000)</f>
        <v/>
      </c>
      <c r="I218" s="174">
        <f>IFERROR(IF(AND(H218&gt;0,E218&gt;0),H218/E218,""),"")</f>
        <v/>
      </c>
      <c r="J218" s="152">
        <f>IFERROR(VALUE(SUBSTITUTE(INDEX('04A_국토부원자료'!$A:$T,ROW()+1,MATCH("층",'04A_국토부원자료'!$A$4:$T$4,0)),",","")),"")</f>
        <v/>
      </c>
      <c r="K218" s="152">
        <f>IFERROR(VALUE(SUBSTITUTE(INDEX('04A_국토부원자료'!$A:$T,ROW()+1,MATCH("건축년도",'04A_국토부원자료'!$A$4:$T$4,0)),",","")),"")</f>
        <v/>
      </c>
      <c r="L218" s="176">
        <f>IFERROR(INDEX('04A_국토부원자료'!$A:$T,ROW()+1,MATCH("도로명",'04A_국토부원자료'!$A$4:$T$4,0)),"")</f>
        <v/>
      </c>
      <c r="M218" s="48">
        <f>IFERROR(INDEX('04A_국토부원자료'!$A:$T,ROW()+1,MATCH("거래유형",'04A_국토부원자료'!$A$4:$T$4,0)),"")</f>
        <v/>
      </c>
      <c r="N218" s="152">
        <f>IF(B218="","",IF('02_대상물건입력'!B5="",1,IF(ISNUMBER(SEARCH('02_대상물건입력'!B5,B218)),1,0)))</f>
        <v/>
      </c>
      <c r="O218" s="152">
        <f>IF(B218="","",IF('02_대상물건입력'!B6="",1,IF(ISNUMBER(SEARCH('02_대상물건입력'!B6,B218)),1,0)))</f>
        <v/>
      </c>
      <c r="P218" s="152">
        <f>IF(L218="","",IF('02_대상물건입력'!B15="",0,IF(ISNUMBER(SEARCH('02_대상물건입력'!B15,L218)),1,0)))</f>
        <v/>
      </c>
      <c r="Q218" s="152">
        <f>IF(OR(C218="",L218=""),0,IF(AND(TRIM(C218)=TRIM(RIGHT(SUBSTITUTE(TRIM('02_대상물건입력'!$B$7)," ",REPT(" ",99)),99)),IF('02_대상물건입력'!B15="",TRUE(),ISNUMBER(SEARCH('02_대상물건입력'!B15,L218)))),1,0))</f>
        <v/>
      </c>
      <c r="R218" s="175">
        <f>IFERROR(ABS(E218-'02_대상물건입력'!B11)/'02_대상물건입력'!B11,"")</f>
        <v/>
      </c>
      <c r="S218" s="152">
        <f>IFERROR(ABS(J218-'02_대상물건입력'!B10),"")</f>
        <v/>
      </c>
      <c r="T218" s="152">
        <f>IFERROR(ABS('01_설정'!B4-F218),"")</f>
        <v/>
      </c>
      <c r="U218" s="152">
        <f>IFERROR(ABS(K218-YEAR('02_대상물건입력'!B14)),"")</f>
        <v/>
      </c>
      <c r="V218" s="152">
        <f>IF(B218="","",IF(AND(E218&gt;0,F218&gt;0,H218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218=1,TRUE()),R218&lt;='01_설정'!B5,S218&lt;='01_설정'!B6,T218&lt;='01_설정'!B7,U218&lt;='01_설정'!B8),"Y",""))</f>
        <v/>
      </c>
      <c r="W218" s="172">
        <f>IF(V218&lt;&gt;"Y","",MAX(0,(1-R218/'01_설정'!B5))*'01_설정'!B14+MAX(0,(1-S218/'01_설정'!B6))*'01_설정'!B15+MAX(0,(1-T218/'01_설정'!B7))*'01_설정'!B16+MAX(0,(1-U218/'01_설정'!B8))*'01_설정'!B17+O218*'01_설정'!B11+Q218*'01_설정'!B12+P218*'01_설정'!B13+IF(Z218="",0,Z218))</f>
        <v/>
      </c>
      <c r="X218" s="152">
        <f>IF(W218="","",1+COUNTIFS($W$4:$W$3003,"&gt;"&amp;W218)+COUNTIFS($W$4:W218,W218)-1)</f>
        <v/>
      </c>
      <c r="Y218" s="175">
        <f>IF(OR(I218="",'02_대상물건입력'!B19="",'02_대상물건입력'!B19&lt;=0),"",ABS(I218-'02_대상물건입력'!B19)/'02_대상물건입력'!B19)</f>
        <v/>
      </c>
      <c r="Z218" s="172">
        <f>IF(OR(Y218="",'01_설정'!B31="",'01_설정'!B31&lt;=0,'01_설정'!B32="",'01_설정'!B32&lt;=0),"",MAX(0,(1-Y218/'01_설정'!B32))*'01_설정'!B31)</f>
        <v/>
      </c>
    </row>
    <row r="219" ht="17.25" customHeight="1">
      <c r="A219" s="152">
        <f>IF(INDEX('04A_국토부원자료'!$A:$A,ROW()+1)="","",ROW()-3)</f>
        <v/>
      </c>
      <c r="B219" s="48">
        <f>IFERROR(INDEX('04A_국토부원자료'!$A:$T,ROW()+1,MATCH("시군구",'04A_국토부원자료'!$A$4:$T$4,0)),"")</f>
        <v/>
      </c>
      <c r="C219" s="48">
        <f>IF(B219="","",IFERROR(INDEX('04A_국토부원자료'!$A:$T,ROW()+1,MATCH("번지",'04A_국토부원자료'!$A$4:$T$4,0)),""))</f>
        <v/>
      </c>
      <c r="D219" s="48">
        <f>IF(B219="","",IF(Q219=1,'02_대상물건입력'!$B$8,IFERROR(INDEX('04A_국토부원자료'!$A:$T,ROW()+1,MATCH("단지명",'04A_국토부원자료'!$A$4:$T$4,0)),"")))</f>
        <v/>
      </c>
      <c r="E219" s="172">
        <f>IFERROR(VALUE(SUBSTITUTE(INDEX('04A_국토부원자료'!$A:$T,ROW()+1,MATCH("전용면적(㎡)",'04A_국토부원자료'!$A$4:$T$4,0)),",","")),"")</f>
        <v/>
      </c>
      <c r="F2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9" s="51">
        <f>IFERROR(VALUE(SUBSTITUTE(INDEX('04A_국토부원자료'!$A:$T,ROW()+1,MATCH("거래금액(만원)",'04A_국토부원자료'!$A$4:$T$4,0)),",","")),"")</f>
        <v/>
      </c>
      <c r="H219" s="174">
        <f>IF(G219="","",G219*10000)</f>
        <v/>
      </c>
      <c r="I219" s="174">
        <f>IFERROR(IF(AND(H219&gt;0,E219&gt;0),H219/E219,""),"")</f>
        <v/>
      </c>
      <c r="J219" s="152">
        <f>IFERROR(VALUE(SUBSTITUTE(INDEX('04A_국토부원자료'!$A:$T,ROW()+1,MATCH("층",'04A_국토부원자료'!$A$4:$T$4,0)),",","")),"")</f>
        <v/>
      </c>
      <c r="K219" s="152">
        <f>IFERROR(VALUE(SUBSTITUTE(INDEX('04A_국토부원자료'!$A:$T,ROW()+1,MATCH("건축년도",'04A_국토부원자료'!$A$4:$T$4,0)),",","")),"")</f>
        <v/>
      </c>
      <c r="L219" s="176">
        <f>IFERROR(INDEX('04A_국토부원자료'!$A:$T,ROW()+1,MATCH("도로명",'04A_국토부원자료'!$A$4:$T$4,0)),"")</f>
        <v/>
      </c>
      <c r="M219" s="48">
        <f>IFERROR(INDEX('04A_국토부원자료'!$A:$T,ROW()+1,MATCH("거래유형",'04A_국토부원자료'!$A$4:$T$4,0)),"")</f>
        <v/>
      </c>
      <c r="N219" s="152">
        <f>IF(B219="","",IF('02_대상물건입력'!B5="",1,IF(ISNUMBER(SEARCH('02_대상물건입력'!B5,B219)),1,0)))</f>
        <v/>
      </c>
      <c r="O219" s="152">
        <f>IF(B219="","",IF('02_대상물건입력'!B6="",1,IF(ISNUMBER(SEARCH('02_대상물건입력'!B6,B219)),1,0)))</f>
        <v/>
      </c>
      <c r="P219" s="152">
        <f>IF(L219="","",IF('02_대상물건입력'!B15="",0,IF(ISNUMBER(SEARCH('02_대상물건입력'!B15,L219)),1,0)))</f>
        <v/>
      </c>
      <c r="Q219" s="152">
        <f>IF(OR(C219="",L219=""),0,IF(AND(TRIM(C219)=TRIM(RIGHT(SUBSTITUTE(TRIM('02_대상물건입력'!$B$7)," ",REPT(" ",99)),99)),IF('02_대상물건입력'!B15="",TRUE(),ISNUMBER(SEARCH('02_대상물건입력'!B15,L219)))),1,0))</f>
        <v/>
      </c>
      <c r="R219" s="175">
        <f>IFERROR(ABS(E219-'02_대상물건입력'!B11)/'02_대상물건입력'!B11,"")</f>
        <v/>
      </c>
      <c r="S219" s="152">
        <f>IFERROR(ABS(J219-'02_대상물건입력'!B10),"")</f>
        <v/>
      </c>
      <c r="T219" s="152">
        <f>IFERROR(ABS('01_설정'!B4-F219),"")</f>
        <v/>
      </c>
      <c r="U219" s="152">
        <f>IFERROR(ABS(K219-YEAR('02_대상물건입력'!B14)),"")</f>
        <v/>
      </c>
      <c r="V219" s="152">
        <f>IF(B219="","",IF(AND(E219&gt;0,F219&gt;0,H219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219=1,TRUE()),R219&lt;='01_설정'!B5,S219&lt;='01_설정'!B6,T219&lt;='01_설정'!B7,U219&lt;='01_설정'!B8),"Y",""))</f>
        <v/>
      </c>
      <c r="W219" s="172">
        <f>IF(V219&lt;&gt;"Y","",MAX(0,(1-R219/'01_설정'!B5))*'01_설정'!B14+MAX(0,(1-S219/'01_설정'!B6))*'01_설정'!B15+MAX(0,(1-T219/'01_설정'!B7))*'01_설정'!B16+MAX(0,(1-U219/'01_설정'!B8))*'01_설정'!B17+O219*'01_설정'!B11+Q219*'01_설정'!B12+P219*'01_설정'!B13+IF(Z219="",0,Z219))</f>
        <v/>
      </c>
      <c r="X219" s="152">
        <f>IF(W219="","",1+COUNTIFS($W$4:$W$3003,"&gt;"&amp;W219)+COUNTIFS($W$4:W219,W219)-1)</f>
        <v/>
      </c>
      <c r="Y219" s="175">
        <f>IF(OR(I219="",'02_대상물건입력'!B19="",'02_대상물건입력'!B19&lt;=0),"",ABS(I219-'02_대상물건입력'!B19)/'02_대상물건입력'!B19)</f>
        <v/>
      </c>
      <c r="Z219" s="172">
        <f>IF(OR(Y219="",'01_설정'!B31="",'01_설정'!B31&lt;=0,'01_설정'!B32="",'01_설정'!B32&lt;=0),"",MAX(0,(1-Y219/'01_설정'!B32))*'01_설정'!B31)</f>
        <v/>
      </c>
    </row>
    <row r="220" ht="17.25" customHeight="1">
      <c r="A220" s="152">
        <f>IF(INDEX('04A_국토부원자료'!$A:$A,ROW()+1)="","",ROW()-3)</f>
        <v/>
      </c>
      <c r="B220" s="48">
        <f>IFERROR(INDEX('04A_국토부원자료'!$A:$T,ROW()+1,MATCH("시군구",'04A_국토부원자료'!$A$4:$T$4,0)),"")</f>
        <v/>
      </c>
      <c r="C220" s="48">
        <f>IF(B220="","",IFERROR(INDEX('04A_국토부원자료'!$A:$T,ROW()+1,MATCH("번지",'04A_국토부원자료'!$A$4:$T$4,0)),""))</f>
        <v/>
      </c>
      <c r="D220" s="48">
        <f>IF(B220="","",IF(Q220=1,'02_대상물건입력'!$B$8,IFERROR(INDEX('04A_국토부원자료'!$A:$T,ROW()+1,MATCH("단지명",'04A_국토부원자료'!$A$4:$T$4,0)),"")))</f>
        <v/>
      </c>
      <c r="E220" s="172">
        <f>IFERROR(VALUE(SUBSTITUTE(INDEX('04A_국토부원자료'!$A:$T,ROW()+1,MATCH("전용면적(㎡)",'04A_국토부원자료'!$A$4:$T$4,0)),",","")),"")</f>
        <v/>
      </c>
      <c r="F2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0" s="51">
        <f>IFERROR(VALUE(SUBSTITUTE(INDEX('04A_국토부원자료'!$A:$T,ROW()+1,MATCH("거래금액(만원)",'04A_국토부원자료'!$A$4:$T$4,0)),",","")),"")</f>
        <v/>
      </c>
      <c r="H220" s="174">
        <f>IF(G220="","",G220*10000)</f>
        <v/>
      </c>
      <c r="I220" s="174">
        <f>IFERROR(IF(AND(H220&gt;0,E220&gt;0),H220/E220,""),"")</f>
        <v/>
      </c>
      <c r="J220" s="152">
        <f>IFERROR(VALUE(SUBSTITUTE(INDEX('04A_국토부원자료'!$A:$T,ROW()+1,MATCH("층",'04A_국토부원자료'!$A$4:$T$4,0)),",","")),"")</f>
        <v/>
      </c>
      <c r="K220" s="152">
        <f>IFERROR(VALUE(SUBSTITUTE(INDEX('04A_국토부원자료'!$A:$T,ROW()+1,MATCH("건축년도",'04A_국토부원자료'!$A$4:$T$4,0)),",","")),"")</f>
        <v/>
      </c>
      <c r="L220" s="176">
        <f>IFERROR(INDEX('04A_국토부원자료'!$A:$T,ROW()+1,MATCH("도로명",'04A_국토부원자료'!$A$4:$T$4,0)),"")</f>
        <v/>
      </c>
      <c r="M220" s="48">
        <f>IFERROR(INDEX('04A_국토부원자료'!$A:$T,ROW()+1,MATCH("거래유형",'04A_국토부원자료'!$A$4:$T$4,0)),"")</f>
        <v/>
      </c>
      <c r="N220" s="152">
        <f>IF(B220="","",IF('02_대상물건입력'!B5="",1,IF(ISNUMBER(SEARCH('02_대상물건입력'!B5,B220)),1,0)))</f>
        <v/>
      </c>
      <c r="O220" s="152">
        <f>IF(B220="","",IF('02_대상물건입력'!B6="",1,IF(ISNUMBER(SEARCH('02_대상물건입력'!B6,B220)),1,0)))</f>
        <v/>
      </c>
      <c r="P220" s="152">
        <f>IF(L220="","",IF('02_대상물건입력'!B15="",0,IF(ISNUMBER(SEARCH('02_대상물건입력'!B15,L220)),1,0)))</f>
        <v/>
      </c>
      <c r="Q220" s="152">
        <f>IF(OR(C220="",L220=""),0,IF(AND(TRIM(C220)=TRIM(RIGHT(SUBSTITUTE(TRIM('02_대상물건입력'!$B$7)," ",REPT(" ",99)),99)),IF('02_대상물건입력'!B15="",TRUE(),ISNUMBER(SEARCH('02_대상물건입력'!B15,L220)))),1,0))</f>
        <v/>
      </c>
      <c r="R220" s="175">
        <f>IFERROR(ABS(E220-'02_대상물건입력'!B11)/'02_대상물건입력'!B11,"")</f>
        <v/>
      </c>
      <c r="S220" s="152">
        <f>IFERROR(ABS(J220-'02_대상물건입력'!B10),"")</f>
        <v/>
      </c>
      <c r="T220" s="152">
        <f>IFERROR(ABS('01_설정'!B4-F220),"")</f>
        <v/>
      </c>
      <c r="U220" s="152">
        <f>IFERROR(ABS(K220-YEAR('02_대상물건입력'!B14)),"")</f>
        <v/>
      </c>
      <c r="V220" s="152">
        <f>IF(B220="","",IF(AND(E220&gt;0,F220&gt;0,H220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220=1,TRUE()),R220&lt;='01_설정'!B5,S220&lt;='01_설정'!B6,T220&lt;='01_설정'!B7,U220&lt;='01_설정'!B8),"Y",""))</f>
        <v/>
      </c>
      <c r="W220" s="172">
        <f>IF(V220&lt;&gt;"Y","",MAX(0,(1-R220/'01_설정'!B5))*'01_설정'!B14+MAX(0,(1-S220/'01_설정'!B6))*'01_설정'!B15+MAX(0,(1-T220/'01_설정'!B7))*'01_설정'!B16+MAX(0,(1-U220/'01_설정'!B8))*'01_설정'!B17+O220*'01_설정'!B11+Q220*'01_설정'!B12+P220*'01_설정'!B13+IF(Z220="",0,Z220))</f>
        <v/>
      </c>
      <c r="X220" s="152">
        <f>IF(W220="","",1+COUNTIFS($W$4:$W$3003,"&gt;"&amp;W220)+COUNTIFS($W$4:W220,W220)-1)</f>
        <v/>
      </c>
      <c r="Y220" s="175">
        <f>IF(OR(I220="",'02_대상물건입력'!B19="",'02_대상물건입력'!B19&lt;=0),"",ABS(I220-'02_대상물건입력'!B19)/'02_대상물건입력'!B19)</f>
        <v/>
      </c>
      <c r="Z220" s="172">
        <f>IF(OR(Y220="",'01_설정'!B31="",'01_설정'!B31&lt;=0,'01_설정'!B32="",'01_설정'!B32&lt;=0),"",MAX(0,(1-Y220/'01_설정'!B32))*'01_설정'!B31)</f>
        <v/>
      </c>
    </row>
    <row r="221" ht="17.25" customHeight="1">
      <c r="A221" s="152">
        <f>IF(INDEX('04A_국토부원자료'!$A:$A,ROW()+1)="","",ROW()-3)</f>
        <v/>
      </c>
      <c r="B221" s="48">
        <f>IFERROR(INDEX('04A_국토부원자료'!$A:$T,ROW()+1,MATCH("시군구",'04A_국토부원자료'!$A$4:$T$4,0)),"")</f>
        <v/>
      </c>
      <c r="C221" s="48">
        <f>IF(B221="","",IFERROR(INDEX('04A_국토부원자료'!$A:$T,ROW()+1,MATCH("번지",'04A_국토부원자료'!$A$4:$T$4,0)),""))</f>
        <v/>
      </c>
      <c r="D221" s="48">
        <f>IF(B221="","",IF(Q221=1,'02_대상물건입력'!$B$8,IFERROR(INDEX('04A_국토부원자료'!$A:$T,ROW()+1,MATCH("단지명",'04A_국토부원자료'!$A$4:$T$4,0)),"")))</f>
        <v/>
      </c>
      <c r="E221" s="172">
        <f>IFERROR(VALUE(SUBSTITUTE(INDEX('04A_국토부원자료'!$A:$T,ROW()+1,MATCH("전용면적(㎡)",'04A_국토부원자료'!$A$4:$T$4,0)),",","")),"")</f>
        <v/>
      </c>
      <c r="F2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1" s="51">
        <f>IFERROR(VALUE(SUBSTITUTE(INDEX('04A_국토부원자료'!$A:$T,ROW()+1,MATCH("거래금액(만원)",'04A_국토부원자료'!$A$4:$T$4,0)),",","")),"")</f>
        <v/>
      </c>
      <c r="H221" s="174">
        <f>IF(G221="","",G221*10000)</f>
        <v/>
      </c>
      <c r="I221" s="174">
        <f>IFERROR(IF(AND(H221&gt;0,E221&gt;0),H221/E221,""),"")</f>
        <v/>
      </c>
      <c r="J221" s="152">
        <f>IFERROR(VALUE(SUBSTITUTE(INDEX('04A_국토부원자료'!$A:$T,ROW()+1,MATCH("층",'04A_국토부원자료'!$A$4:$T$4,0)),",","")),"")</f>
        <v/>
      </c>
      <c r="K221" s="152">
        <f>IFERROR(VALUE(SUBSTITUTE(INDEX('04A_국토부원자료'!$A:$T,ROW()+1,MATCH("건축년도",'04A_국토부원자료'!$A$4:$T$4,0)),",","")),"")</f>
        <v/>
      </c>
      <c r="L221" s="176">
        <f>IFERROR(INDEX('04A_국토부원자료'!$A:$T,ROW()+1,MATCH("도로명",'04A_국토부원자료'!$A$4:$T$4,0)),"")</f>
        <v/>
      </c>
      <c r="M221" s="48">
        <f>IFERROR(INDEX('04A_국토부원자료'!$A:$T,ROW()+1,MATCH("거래유형",'04A_국토부원자료'!$A$4:$T$4,0)),"")</f>
        <v/>
      </c>
      <c r="N221" s="152">
        <f>IF(B221="","",IF('02_대상물건입력'!B5="",1,IF(ISNUMBER(SEARCH('02_대상물건입력'!B5,B221)),1,0)))</f>
        <v/>
      </c>
      <c r="O221" s="152">
        <f>IF(B221="","",IF('02_대상물건입력'!B6="",1,IF(ISNUMBER(SEARCH('02_대상물건입력'!B6,B221)),1,0)))</f>
        <v/>
      </c>
      <c r="P221" s="152">
        <f>IF(L221="","",IF('02_대상물건입력'!B15="",0,IF(ISNUMBER(SEARCH('02_대상물건입력'!B15,L221)),1,0)))</f>
        <v/>
      </c>
      <c r="Q221" s="152">
        <f>IF(OR(C221="",L221=""),0,IF(AND(TRIM(C221)=TRIM(RIGHT(SUBSTITUTE(TRIM('02_대상물건입력'!$B$7)," ",REPT(" ",99)),99)),IF('02_대상물건입력'!B15="",TRUE(),ISNUMBER(SEARCH('02_대상물건입력'!B15,L221)))),1,0))</f>
        <v/>
      </c>
      <c r="R221" s="175">
        <f>IFERROR(ABS(E221-'02_대상물건입력'!B11)/'02_대상물건입력'!B11,"")</f>
        <v/>
      </c>
      <c r="S221" s="152">
        <f>IFERROR(ABS(J221-'02_대상물건입력'!B10),"")</f>
        <v/>
      </c>
      <c r="T221" s="152">
        <f>IFERROR(ABS('01_설정'!B4-F221),"")</f>
        <v/>
      </c>
      <c r="U221" s="152">
        <f>IFERROR(ABS(K221-YEAR('02_대상물건입력'!B14)),"")</f>
        <v/>
      </c>
      <c r="V221" s="152">
        <f>IF(B221="","",IF(AND(E221&gt;0,F221&gt;0,H221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221=1,TRUE()),R221&lt;='01_설정'!B5,S221&lt;='01_설정'!B6,T221&lt;='01_설정'!B7,U221&lt;='01_설정'!B8),"Y",""))</f>
        <v/>
      </c>
      <c r="W221" s="172">
        <f>IF(V221&lt;&gt;"Y","",MAX(0,(1-R221/'01_설정'!B5))*'01_설정'!B14+MAX(0,(1-S221/'01_설정'!B6))*'01_설정'!B15+MAX(0,(1-T221/'01_설정'!B7))*'01_설정'!B16+MAX(0,(1-U221/'01_설정'!B8))*'01_설정'!B17+O221*'01_설정'!B11+Q221*'01_설정'!B12+P221*'01_설정'!B13+IF(Z221="",0,Z221))</f>
        <v/>
      </c>
      <c r="X221" s="152">
        <f>IF(W221="","",1+COUNTIFS($W$4:$W$3003,"&gt;"&amp;W221)+COUNTIFS($W$4:W221,W221)-1)</f>
        <v/>
      </c>
      <c r="Y221" s="175">
        <f>IF(OR(I221="",'02_대상물건입력'!B19="",'02_대상물건입력'!B19&lt;=0),"",ABS(I221-'02_대상물건입력'!B19)/'02_대상물건입력'!B19)</f>
        <v/>
      </c>
      <c r="Z221" s="172">
        <f>IF(OR(Y221="",'01_설정'!B31="",'01_설정'!B31&lt;=0,'01_설정'!B32="",'01_설정'!B32&lt;=0),"",MAX(0,(1-Y221/'01_설정'!B32))*'01_설정'!B31)</f>
        <v/>
      </c>
    </row>
    <row r="222" ht="17.25" customHeight="1">
      <c r="A222" s="152">
        <f>IF(INDEX('04A_국토부원자료'!$A:$A,ROW()+1)="","",ROW()-3)</f>
        <v/>
      </c>
      <c r="B222" s="48">
        <f>IFERROR(INDEX('04A_국토부원자료'!$A:$T,ROW()+1,MATCH("시군구",'04A_국토부원자료'!$A$4:$T$4,0)),"")</f>
        <v/>
      </c>
      <c r="C222" s="48">
        <f>IF(B222="","",IFERROR(INDEX('04A_국토부원자료'!$A:$T,ROW()+1,MATCH("번지",'04A_국토부원자료'!$A$4:$T$4,0)),""))</f>
        <v/>
      </c>
      <c r="D222" s="48">
        <f>IF(B222="","",IF(Q222=1,'02_대상물건입력'!$B$8,IFERROR(INDEX('04A_국토부원자료'!$A:$T,ROW()+1,MATCH("단지명",'04A_국토부원자료'!$A$4:$T$4,0)),"")))</f>
        <v/>
      </c>
      <c r="E222" s="172">
        <f>IFERROR(VALUE(SUBSTITUTE(INDEX('04A_국토부원자료'!$A:$T,ROW()+1,MATCH("전용면적(㎡)",'04A_국토부원자료'!$A$4:$T$4,0)),",","")),"")</f>
        <v/>
      </c>
      <c r="F2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2" s="51">
        <f>IFERROR(VALUE(SUBSTITUTE(INDEX('04A_국토부원자료'!$A:$T,ROW()+1,MATCH("거래금액(만원)",'04A_국토부원자료'!$A$4:$T$4,0)),",","")),"")</f>
        <v/>
      </c>
      <c r="H222" s="174">
        <f>IF(G222="","",G222*10000)</f>
        <v/>
      </c>
      <c r="I222" s="174">
        <f>IFERROR(IF(AND(H222&gt;0,E222&gt;0),H222/E222,""),"")</f>
        <v/>
      </c>
      <c r="J222" s="152">
        <f>IFERROR(VALUE(SUBSTITUTE(INDEX('04A_국토부원자료'!$A:$T,ROW()+1,MATCH("층",'04A_국토부원자료'!$A$4:$T$4,0)),",","")),"")</f>
        <v/>
      </c>
      <c r="K222" s="152">
        <f>IFERROR(VALUE(SUBSTITUTE(INDEX('04A_국토부원자료'!$A:$T,ROW()+1,MATCH("건축년도",'04A_국토부원자료'!$A$4:$T$4,0)),",","")),"")</f>
        <v/>
      </c>
      <c r="L222" s="176">
        <f>IFERROR(INDEX('04A_국토부원자료'!$A:$T,ROW()+1,MATCH("도로명",'04A_국토부원자료'!$A$4:$T$4,0)),"")</f>
        <v/>
      </c>
      <c r="M222" s="48">
        <f>IFERROR(INDEX('04A_국토부원자료'!$A:$T,ROW()+1,MATCH("거래유형",'04A_국토부원자료'!$A$4:$T$4,0)),"")</f>
        <v/>
      </c>
      <c r="N222" s="152">
        <f>IF(B222="","",IF('02_대상물건입력'!B5="",1,IF(ISNUMBER(SEARCH('02_대상물건입력'!B5,B222)),1,0)))</f>
        <v/>
      </c>
      <c r="O222" s="152">
        <f>IF(B222="","",IF('02_대상물건입력'!B6="",1,IF(ISNUMBER(SEARCH('02_대상물건입력'!B6,B222)),1,0)))</f>
        <v/>
      </c>
      <c r="P222" s="152">
        <f>IF(L222="","",IF('02_대상물건입력'!B15="",0,IF(ISNUMBER(SEARCH('02_대상물건입력'!B15,L222)),1,0)))</f>
        <v/>
      </c>
      <c r="Q222" s="152">
        <f>IF(OR(C222="",L222=""),0,IF(AND(TRIM(C222)=TRIM(RIGHT(SUBSTITUTE(TRIM('02_대상물건입력'!$B$7)," ",REPT(" ",99)),99)),IF('02_대상물건입력'!B15="",TRUE(),ISNUMBER(SEARCH('02_대상물건입력'!B15,L222)))),1,0))</f>
        <v/>
      </c>
      <c r="R222" s="175">
        <f>IFERROR(ABS(E222-'02_대상물건입력'!B11)/'02_대상물건입력'!B11,"")</f>
        <v/>
      </c>
      <c r="S222" s="152">
        <f>IFERROR(ABS(J222-'02_대상물건입력'!B10),"")</f>
        <v/>
      </c>
      <c r="T222" s="152">
        <f>IFERROR(ABS('01_설정'!B4-F222),"")</f>
        <v/>
      </c>
      <c r="U222" s="152">
        <f>IFERROR(ABS(K222-YEAR('02_대상물건입력'!B14)),"")</f>
        <v/>
      </c>
      <c r="V222" s="152">
        <f>IF(B222="","",IF(AND(E222&gt;0,F222&gt;0,H222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222=1,TRUE()),R222&lt;='01_설정'!B5,S222&lt;='01_설정'!B6,T222&lt;='01_설정'!B7,U222&lt;='01_설정'!B8),"Y",""))</f>
        <v/>
      </c>
      <c r="W222" s="172">
        <f>IF(V222&lt;&gt;"Y","",MAX(0,(1-R222/'01_설정'!B5))*'01_설정'!B14+MAX(0,(1-S222/'01_설정'!B6))*'01_설정'!B15+MAX(0,(1-T222/'01_설정'!B7))*'01_설정'!B16+MAX(0,(1-U222/'01_설정'!B8))*'01_설정'!B17+O222*'01_설정'!B11+Q222*'01_설정'!B12+P222*'01_설정'!B13+IF(Z222="",0,Z222))</f>
        <v/>
      </c>
      <c r="X222" s="152">
        <f>IF(W222="","",1+COUNTIFS($W$4:$W$3003,"&gt;"&amp;W222)+COUNTIFS($W$4:W222,W222)-1)</f>
        <v/>
      </c>
      <c r="Y222" s="175">
        <f>IF(OR(I222="",'02_대상물건입력'!B19="",'02_대상물건입력'!B19&lt;=0),"",ABS(I222-'02_대상물건입력'!B19)/'02_대상물건입력'!B19)</f>
        <v/>
      </c>
      <c r="Z222" s="172">
        <f>IF(OR(Y222="",'01_설정'!B31="",'01_설정'!B31&lt;=0,'01_설정'!B32="",'01_설정'!B32&lt;=0),"",MAX(0,(1-Y222/'01_설정'!B32))*'01_설정'!B31)</f>
        <v/>
      </c>
    </row>
    <row r="223" ht="17.25" customHeight="1">
      <c r="A223" s="152">
        <f>IF(INDEX('04A_국토부원자료'!$A:$A,ROW()+1)="","",ROW()-3)</f>
        <v/>
      </c>
      <c r="B223" s="48">
        <f>IFERROR(INDEX('04A_국토부원자료'!$A:$T,ROW()+1,MATCH("시군구",'04A_국토부원자료'!$A$4:$T$4,0)),"")</f>
        <v/>
      </c>
      <c r="C223" s="48">
        <f>IF(B223="","",IFERROR(INDEX('04A_국토부원자료'!$A:$T,ROW()+1,MATCH("번지",'04A_국토부원자료'!$A$4:$T$4,0)),""))</f>
        <v/>
      </c>
      <c r="D223" s="48">
        <f>IF(B223="","",IF(Q223=1,'02_대상물건입력'!$B$8,IFERROR(INDEX('04A_국토부원자료'!$A:$T,ROW()+1,MATCH("단지명",'04A_국토부원자료'!$A$4:$T$4,0)),"")))</f>
        <v/>
      </c>
      <c r="E223" s="172">
        <f>IFERROR(VALUE(SUBSTITUTE(INDEX('04A_국토부원자료'!$A:$T,ROW()+1,MATCH("전용면적(㎡)",'04A_국토부원자료'!$A$4:$T$4,0)),",","")),"")</f>
        <v/>
      </c>
      <c r="F2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3" s="51">
        <f>IFERROR(VALUE(SUBSTITUTE(INDEX('04A_국토부원자료'!$A:$T,ROW()+1,MATCH("거래금액(만원)",'04A_국토부원자료'!$A$4:$T$4,0)),",","")),"")</f>
        <v/>
      </c>
      <c r="H223" s="174">
        <f>IF(G223="","",G223*10000)</f>
        <v/>
      </c>
      <c r="I223" s="174">
        <f>IFERROR(IF(AND(H223&gt;0,E223&gt;0),H223/E223,""),"")</f>
        <v/>
      </c>
      <c r="J223" s="152">
        <f>IFERROR(VALUE(SUBSTITUTE(INDEX('04A_국토부원자료'!$A:$T,ROW()+1,MATCH("층",'04A_국토부원자료'!$A$4:$T$4,0)),",","")),"")</f>
        <v/>
      </c>
      <c r="K223" s="152">
        <f>IFERROR(VALUE(SUBSTITUTE(INDEX('04A_국토부원자료'!$A:$T,ROW()+1,MATCH("건축년도",'04A_국토부원자료'!$A$4:$T$4,0)),",","")),"")</f>
        <v/>
      </c>
      <c r="L223" s="176">
        <f>IFERROR(INDEX('04A_국토부원자료'!$A:$T,ROW()+1,MATCH("도로명",'04A_국토부원자료'!$A$4:$T$4,0)),"")</f>
        <v/>
      </c>
      <c r="M223" s="48">
        <f>IFERROR(INDEX('04A_국토부원자료'!$A:$T,ROW()+1,MATCH("거래유형",'04A_국토부원자료'!$A$4:$T$4,0)),"")</f>
        <v/>
      </c>
      <c r="N223" s="152">
        <f>IF(B223="","",IF('02_대상물건입력'!B5="",1,IF(ISNUMBER(SEARCH('02_대상물건입력'!B5,B223)),1,0)))</f>
        <v/>
      </c>
      <c r="O223" s="152">
        <f>IF(B223="","",IF('02_대상물건입력'!B6="",1,IF(ISNUMBER(SEARCH('02_대상물건입력'!B6,B223)),1,0)))</f>
        <v/>
      </c>
      <c r="P223" s="152">
        <f>IF(L223="","",IF('02_대상물건입력'!B15="",0,IF(ISNUMBER(SEARCH('02_대상물건입력'!B15,L223)),1,0)))</f>
        <v/>
      </c>
      <c r="Q223" s="152">
        <f>IF(OR(C223="",L223=""),0,IF(AND(TRIM(C223)=TRIM(RIGHT(SUBSTITUTE(TRIM('02_대상물건입력'!$B$7)," ",REPT(" ",99)),99)),IF('02_대상물건입력'!B15="",TRUE(),ISNUMBER(SEARCH('02_대상물건입력'!B15,L223)))),1,0))</f>
        <v/>
      </c>
      <c r="R223" s="175">
        <f>IFERROR(ABS(E223-'02_대상물건입력'!B11)/'02_대상물건입력'!B11,"")</f>
        <v/>
      </c>
      <c r="S223" s="152">
        <f>IFERROR(ABS(J223-'02_대상물건입력'!B10),"")</f>
        <v/>
      </c>
      <c r="T223" s="152">
        <f>IFERROR(ABS('01_설정'!B4-F223),"")</f>
        <v/>
      </c>
      <c r="U223" s="152">
        <f>IFERROR(ABS(K223-YEAR('02_대상물건입력'!B14)),"")</f>
        <v/>
      </c>
      <c r="V223" s="152">
        <f>IF(B223="","",IF(AND(E223&gt;0,F223&gt;0,H223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223=1,TRUE()),R223&lt;='01_설정'!B5,S223&lt;='01_설정'!B6,T223&lt;='01_설정'!B7,U223&lt;='01_설정'!B8),"Y",""))</f>
        <v/>
      </c>
      <c r="W223" s="172">
        <f>IF(V223&lt;&gt;"Y","",MAX(0,(1-R223/'01_설정'!B5))*'01_설정'!B14+MAX(0,(1-S223/'01_설정'!B6))*'01_설정'!B15+MAX(0,(1-T223/'01_설정'!B7))*'01_설정'!B16+MAX(0,(1-U223/'01_설정'!B8))*'01_설정'!B17+O223*'01_설정'!B11+Q223*'01_설정'!B12+P223*'01_설정'!B13+IF(Z223="",0,Z223))</f>
        <v/>
      </c>
      <c r="X223" s="152">
        <f>IF(W223="","",1+COUNTIFS($W$4:$W$3003,"&gt;"&amp;W223)+COUNTIFS($W$4:W223,W223)-1)</f>
        <v/>
      </c>
      <c r="Y223" s="175">
        <f>IF(OR(I223="",'02_대상물건입력'!B19="",'02_대상물건입력'!B19&lt;=0),"",ABS(I223-'02_대상물건입력'!B19)/'02_대상물건입력'!B19)</f>
        <v/>
      </c>
      <c r="Z223" s="172">
        <f>IF(OR(Y223="",'01_설정'!B31="",'01_설정'!B31&lt;=0,'01_설정'!B32="",'01_설정'!B32&lt;=0),"",MAX(0,(1-Y223/'01_설정'!B32))*'01_설정'!B31)</f>
        <v/>
      </c>
    </row>
    <row r="224" ht="17.25" customHeight="1">
      <c r="A224" s="152">
        <f>IF(INDEX('04A_국토부원자료'!$A:$A,ROW()+1)="","",ROW()-3)</f>
        <v/>
      </c>
      <c r="B224" s="48">
        <f>IFERROR(INDEX('04A_국토부원자료'!$A:$T,ROW()+1,MATCH("시군구",'04A_국토부원자료'!$A$4:$T$4,0)),"")</f>
        <v/>
      </c>
      <c r="C224" s="48">
        <f>IF(B224="","",IFERROR(INDEX('04A_국토부원자료'!$A:$T,ROW()+1,MATCH("번지",'04A_국토부원자료'!$A$4:$T$4,0)),""))</f>
        <v/>
      </c>
      <c r="D224" s="48">
        <f>IF(B224="","",IF(Q224=1,'02_대상물건입력'!$B$8,IFERROR(INDEX('04A_국토부원자료'!$A:$T,ROW()+1,MATCH("단지명",'04A_국토부원자료'!$A$4:$T$4,0)),"")))</f>
        <v/>
      </c>
      <c r="E224" s="172">
        <f>IFERROR(VALUE(SUBSTITUTE(INDEX('04A_국토부원자료'!$A:$T,ROW()+1,MATCH("전용면적(㎡)",'04A_국토부원자료'!$A$4:$T$4,0)),",","")),"")</f>
        <v/>
      </c>
      <c r="F2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4" s="51">
        <f>IFERROR(VALUE(SUBSTITUTE(INDEX('04A_국토부원자료'!$A:$T,ROW()+1,MATCH("거래금액(만원)",'04A_국토부원자료'!$A$4:$T$4,0)),",","")),"")</f>
        <v/>
      </c>
      <c r="H224" s="174">
        <f>IF(G224="","",G224*10000)</f>
        <v/>
      </c>
      <c r="I224" s="174">
        <f>IFERROR(IF(AND(H224&gt;0,E224&gt;0),H224/E224,""),"")</f>
        <v/>
      </c>
      <c r="J224" s="152">
        <f>IFERROR(VALUE(SUBSTITUTE(INDEX('04A_국토부원자료'!$A:$T,ROW()+1,MATCH("층",'04A_국토부원자료'!$A$4:$T$4,0)),",","")),"")</f>
        <v/>
      </c>
      <c r="K224" s="152">
        <f>IFERROR(VALUE(SUBSTITUTE(INDEX('04A_국토부원자료'!$A:$T,ROW()+1,MATCH("건축년도",'04A_국토부원자료'!$A$4:$T$4,0)),",","")),"")</f>
        <v/>
      </c>
      <c r="L224" s="176">
        <f>IFERROR(INDEX('04A_국토부원자료'!$A:$T,ROW()+1,MATCH("도로명",'04A_국토부원자료'!$A$4:$T$4,0)),"")</f>
        <v/>
      </c>
      <c r="M224" s="48">
        <f>IFERROR(INDEX('04A_국토부원자료'!$A:$T,ROW()+1,MATCH("거래유형",'04A_국토부원자료'!$A$4:$T$4,0)),"")</f>
        <v/>
      </c>
      <c r="N224" s="152">
        <f>IF(B224="","",IF('02_대상물건입력'!B5="",1,IF(ISNUMBER(SEARCH('02_대상물건입력'!B5,B224)),1,0)))</f>
        <v/>
      </c>
      <c r="O224" s="152">
        <f>IF(B224="","",IF('02_대상물건입력'!B6="",1,IF(ISNUMBER(SEARCH('02_대상물건입력'!B6,B224)),1,0)))</f>
        <v/>
      </c>
      <c r="P224" s="152">
        <f>IF(L224="","",IF('02_대상물건입력'!B15="",0,IF(ISNUMBER(SEARCH('02_대상물건입력'!B15,L224)),1,0)))</f>
        <v/>
      </c>
      <c r="Q224" s="152">
        <f>IF(OR(C224="",L224=""),0,IF(AND(TRIM(C224)=TRIM(RIGHT(SUBSTITUTE(TRIM('02_대상물건입력'!$B$7)," ",REPT(" ",99)),99)),IF('02_대상물건입력'!B15="",TRUE(),ISNUMBER(SEARCH('02_대상물건입력'!B15,L224)))),1,0))</f>
        <v/>
      </c>
      <c r="R224" s="175">
        <f>IFERROR(ABS(E224-'02_대상물건입력'!B11)/'02_대상물건입력'!B11,"")</f>
        <v/>
      </c>
      <c r="S224" s="152">
        <f>IFERROR(ABS(J224-'02_대상물건입력'!B10),"")</f>
        <v/>
      </c>
      <c r="T224" s="152">
        <f>IFERROR(ABS('01_설정'!B4-F224),"")</f>
        <v/>
      </c>
      <c r="U224" s="152">
        <f>IFERROR(ABS(K224-YEAR('02_대상물건입력'!B14)),"")</f>
        <v/>
      </c>
      <c r="V224" s="152">
        <f>IF(B224="","",IF(AND(E224&gt;0,F224&gt;0,H224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224=1,TRUE()),R224&lt;='01_설정'!B5,S224&lt;='01_설정'!B6,T224&lt;='01_설정'!B7,U224&lt;='01_설정'!B8),"Y",""))</f>
        <v/>
      </c>
      <c r="W224" s="172">
        <f>IF(V224&lt;&gt;"Y","",MAX(0,(1-R224/'01_설정'!B5))*'01_설정'!B14+MAX(0,(1-S224/'01_설정'!B6))*'01_설정'!B15+MAX(0,(1-T224/'01_설정'!B7))*'01_설정'!B16+MAX(0,(1-U224/'01_설정'!B8))*'01_설정'!B17+O224*'01_설정'!B11+Q224*'01_설정'!B12+P224*'01_설정'!B13+IF(Z224="",0,Z224))</f>
        <v/>
      </c>
      <c r="X224" s="152">
        <f>IF(W224="","",1+COUNTIFS($W$4:$W$3003,"&gt;"&amp;W224)+COUNTIFS($W$4:W224,W224)-1)</f>
        <v/>
      </c>
      <c r="Y224" s="175">
        <f>IF(OR(I224="",'02_대상물건입력'!B19="",'02_대상물건입력'!B19&lt;=0),"",ABS(I224-'02_대상물건입력'!B19)/'02_대상물건입력'!B19)</f>
        <v/>
      </c>
      <c r="Z224" s="172">
        <f>IF(OR(Y224="",'01_설정'!B31="",'01_설정'!B31&lt;=0,'01_설정'!B32="",'01_설정'!B32&lt;=0),"",MAX(0,(1-Y224/'01_설정'!B32))*'01_설정'!B31)</f>
        <v/>
      </c>
    </row>
    <row r="225" ht="17.25" customHeight="1">
      <c r="A225" s="152">
        <f>IF(INDEX('04A_국토부원자료'!$A:$A,ROW()+1)="","",ROW()-3)</f>
        <v/>
      </c>
      <c r="B225" s="48">
        <f>IFERROR(INDEX('04A_국토부원자료'!$A:$T,ROW()+1,MATCH("시군구",'04A_국토부원자료'!$A$4:$T$4,0)),"")</f>
        <v/>
      </c>
      <c r="C225" s="48">
        <f>IF(B225="","",IFERROR(INDEX('04A_국토부원자료'!$A:$T,ROW()+1,MATCH("번지",'04A_국토부원자료'!$A$4:$T$4,0)),""))</f>
        <v/>
      </c>
      <c r="D225" s="48">
        <f>IF(B225="","",IF(Q225=1,'02_대상물건입력'!$B$8,IFERROR(INDEX('04A_국토부원자료'!$A:$T,ROW()+1,MATCH("단지명",'04A_국토부원자료'!$A$4:$T$4,0)),"")))</f>
        <v/>
      </c>
      <c r="E225" s="172">
        <f>IFERROR(VALUE(SUBSTITUTE(INDEX('04A_국토부원자료'!$A:$T,ROW()+1,MATCH("전용면적(㎡)",'04A_국토부원자료'!$A$4:$T$4,0)),",","")),"")</f>
        <v/>
      </c>
      <c r="F2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5" s="51">
        <f>IFERROR(VALUE(SUBSTITUTE(INDEX('04A_국토부원자료'!$A:$T,ROW()+1,MATCH("거래금액(만원)",'04A_국토부원자료'!$A$4:$T$4,0)),",","")),"")</f>
        <v/>
      </c>
      <c r="H225" s="174">
        <f>IF(G225="","",G225*10000)</f>
        <v/>
      </c>
      <c r="I225" s="174">
        <f>IFERROR(IF(AND(H225&gt;0,E225&gt;0),H225/E225,""),"")</f>
        <v/>
      </c>
      <c r="J225" s="152">
        <f>IFERROR(VALUE(SUBSTITUTE(INDEX('04A_국토부원자료'!$A:$T,ROW()+1,MATCH("층",'04A_국토부원자료'!$A$4:$T$4,0)),",","")),"")</f>
        <v/>
      </c>
      <c r="K225" s="152">
        <f>IFERROR(VALUE(SUBSTITUTE(INDEX('04A_국토부원자료'!$A:$T,ROW()+1,MATCH("건축년도",'04A_국토부원자료'!$A$4:$T$4,0)),",","")),"")</f>
        <v/>
      </c>
      <c r="L225" s="176">
        <f>IFERROR(INDEX('04A_국토부원자료'!$A:$T,ROW()+1,MATCH("도로명",'04A_국토부원자료'!$A$4:$T$4,0)),"")</f>
        <v/>
      </c>
      <c r="M225" s="48">
        <f>IFERROR(INDEX('04A_국토부원자료'!$A:$T,ROW()+1,MATCH("거래유형",'04A_국토부원자료'!$A$4:$T$4,0)),"")</f>
        <v/>
      </c>
      <c r="N225" s="152">
        <f>IF(B225="","",IF('02_대상물건입력'!B5="",1,IF(ISNUMBER(SEARCH('02_대상물건입력'!B5,B225)),1,0)))</f>
        <v/>
      </c>
      <c r="O225" s="152">
        <f>IF(B225="","",IF('02_대상물건입력'!B6="",1,IF(ISNUMBER(SEARCH('02_대상물건입력'!B6,B225)),1,0)))</f>
        <v/>
      </c>
      <c r="P225" s="152">
        <f>IF(L225="","",IF('02_대상물건입력'!B15="",0,IF(ISNUMBER(SEARCH('02_대상물건입력'!B15,L225)),1,0)))</f>
        <v/>
      </c>
      <c r="Q225" s="152">
        <f>IF(OR(C225="",L225=""),0,IF(AND(TRIM(C225)=TRIM(RIGHT(SUBSTITUTE(TRIM('02_대상물건입력'!$B$7)," ",REPT(" ",99)),99)),IF('02_대상물건입력'!B15="",TRUE(),ISNUMBER(SEARCH('02_대상물건입력'!B15,L225)))),1,0))</f>
        <v/>
      </c>
      <c r="R225" s="175">
        <f>IFERROR(ABS(E225-'02_대상물건입력'!B11)/'02_대상물건입력'!B11,"")</f>
        <v/>
      </c>
      <c r="S225" s="152">
        <f>IFERROR(ABS(J225-'02_대상물건입력'!B10),"")</f>
        <v/>
      </c>
      <c r="T225" s="152">
        <f>IFERROR(ABS('01_설정'!B4-F225),"")</f>
        <v/>
      </c>
      <c r="U225" s="152">
        <f>IFERROR(ABS(K225-YEAR('02_대상물건입력'!B14)),"")</f>
        <v/>
      </c>
      <c r="V225" s="152">
        <f>IF(B225="","",IF(AND(E225&gt;0,F225&gt;0,H225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225=1,TRUE()),R225&lt;='01_설정'!B5,S225&lt;='01_설정'!B6,T225&lt;='01_설정'!B7,U225&lt;='01_설정'!B8),"Y",""))</f>
        <v/>
      </c>
      <c r="W225" s="172">
        <f>IF(V225&lt;&gt;"Y","",MAX(0,(1-R225/'01_설정'!B5))*'01_설정'!B14+MAX(0,(1-S225/'01_설정'!B6))*'01_설정'!B15+MAX(0,(1-T225/'01_설정'!B7))*'01_설정'!B16+MAX(0,(1-U225/'01_설정'!B8))*'01_설정'!B17+O225*'01_설정'!B11+Q225*'01_설정'!B12+P225*'01_설정'!B13+IF(Z225="",0,Z225))</f>
        <v/>
      </c>
      <c r="X225" s="152">
        <f>IF(W225="","",1+COUNTIFS($W$4:$W$3003,"&gt;"&amp;W225)+COUNTIFS($W$4:W225,W225)-1)</f>
        <v/>
      </c>
      <c r="Y225" s="175">
        <f>IF(OR(I225="",'02_대상물건입력'!B19="",'02_대상물건입력'!B19&lt;=0),"",ABS(I225-'02_대상물건입력'!B19)/'02_대상물건입력'!B19)</f>
        <v/>
      </c>
      <c r="Z225" s="172">
        <f>IF(OR(Y225="",'01_설정'!B31="",'01_설정'!B31&lt;=0,'01_설정'!B32="",'01_설정'!B32&lt;=0),"",MAX(0,(1-Y225/'01_설정'!B32))*'01_설정'!B31)</f>
        <v/>
      </c>
    </row>
    <row r="226" ht="17.25" customHeight="1">
      <c r="A226" s="152">
        <f>IF(INDEX('04A_국토부원자료'!$A:$A,ROW()+1)="","",ROW()-3)</f>
        <v/>
      </c>
      <c r="B226" s="48">
        <f>IFERROR(INDEX('04A_국토부원자료'!$A:$T,ROW()+1,MATCH("시군구",'04A_국토부원자료'!$A$4:$T$4,0)),"")</f>
        <v/>
      </c>
      <c r="C226" s="48">
        <f>IF(B226="","",IFERROR(INDEX('04A_국토부원자료'!$A:$T,ROW()+1,MATCH("번지",'04A_국토부원자료'!$A$4:$T$4,0)),""))</f>
        <v/>
      </c>
      <c r="D226" s="48">
        <f>IF(B226="","",IF(Q226=1,'02_대상물건입력'!$B$8,IFERROR(INDEX('04A_국토부원자료'!$A:$T,ROW()+1,MATCH("단지명",'04A_국토부원자료'!$A$4:$T$4,0)),"")))</f>
        <v/>
      </c>
      <c r="E226" s="172">
        <f>IFERROR(VALUE(SUBSTITUTE(INDEX('04A_국토부원자료'!$A:$T,ROW()+1,MATCH("전용면적(㎡)",'04A_국토부원자료'!$A$4:$T$4,0)),",","")),"")</f>
        <v/>
      </c>
      <c r="F2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6" s="51">
        <f>IFERROR(VALUE(SUBSTITUTE(INDEX('04A_국토부원자료'!$A:$T,ROW()+1,MATCH("거래금액(만원)",'04A_국토부원자료'!$A$4:$T$4,0)),",","")),"")</f>
        <v/>
      </c>
      <c r="H226" s="174">
        <f>IF(G226="","",G226*10000)</f>
        <v/>
      </c>
      <c r="I226" s="174">
        <f>IFERROR(IF(AND(H226&gt;0,E226&gt;0),H226/E226,""),"")</f>
        <v/>
      </c>
      <c r="J226" s="152">
        <f>IFERROR(VALUE(SUBSTITUTE(INDEX('04A_국토부원자료'!$A:$T,ROW()+1,MATCH("층",'04A_국토부원자료'!$A$4:$T$4,0)),",","")),"")</f>
        <v/>
      </c>
      <c r="K226" s="152">
        <f>IFERROR(VALUE(SUBSTITUTE(INDEX('04A_국토부원자료'!$A:$T,ROW()+1,MATCH("건축년도",'04A_국토부원자료'!$A$4:$T$4,0)),",","")),"")</f>
        <v/>
      </c>
      <c r="L226" s="176">
        <f>IFERROR(INDEX('04A_국토부원자료'!$A:$T,ROW()+1,MATCH("도로명",'04A_국토부원자료'!$A$4:$T$4,0)),"")</f>
        <v/>
      </c>
      <c r="M226" s="48">
        <f>IFERROR(INDEX('04A_국토부원자료'!$A:$T,ROW()+1,MATCH("거래유형",'04A_국토부원자료'!$A$4:$T$4,0)),"")</f>
        <v/>
      </c>
      <c r="N226" s="152">
        <f>IF(B226="","",IF('02_대상물건입력'!B5="",1,IF(ISNUMBER(SEARCH('02_대상물건입력'!B5,B226)),1,0)))</f>
        <v/>
      </c>
      <c r="O226" s="152">
        <f>IF(B226="","",IF('02_대상물건입력'!B6="",1,IF(ISNUMBER(SEARCH('02_대상물건입력'!B6,B226)),1,0)))</f>
        <v/>
      </c>
      <c r="P226" s="152">
        <f>IF(L226="","",IF('02_대상물건입력'!B15="",0,IF(ISNUMBER(SEARCH('02_대상물건입력'!B15,L226)),1,0)))</f>
        <v/>
      </c>
      <c r="Q226" s="152">
        <f>IF(OR(C226="",L226=""),0,IF(AND(TRIM(C226)=TRIM(RIGHT(SUBSTITUTE(TRIM('02_대상물건입력'!$B$7)," ",REPT(" ",99)),99)),IF('02_대상물건입력'!B15="",TRUE(),ISNUMBER(SEARCH('02_대상물건입력'!B15,L226)))),1,0))</f>
        <v/>
      </c>
      <c r="R226" s="175">
        <f>IFERROR(ABS(E226-'02_대상물건입력'!B11)/'02_대상물건입력'!B11,"")</f>
        <v/>
      </c>
      <c r="S226" s="152">
        <f>IFERROR(ABS(J226-'02_대상물건입력'!B10),"")</f>
        <v/>
      </c>
      <c r="T226" s="152">
        <f>IFERROR(ABS('01_설정'!B4-F226),"")</f>
        <v/>
      </c>
      <c r="U226" s="152">
        <f>IFERROR(ABS(K226-YEAR('02_대상물건입력'!B14)),"")</f>
        <v/>
      </c>
      <c r="V226" s="152">
        <f>IF(B226="","",IF(AND(E226&gt;0,F226&gt;0,H226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226=1,TRUE()),R226&lt;='01_설정'!B5,S226&lt;='01_설정'!B6,T226&lt;='01_설정'!B7,U226&lt;='01_설정'!B8),"Y",""))</f>
        <v/>
      </c>
      <c r="W226" s="172">
        <f>IF(V226&lt;&gt;"Y","",MAX(0,(1-R226/'01_설정'!B5))*'01_설정'!B14+MAX(0,(1-S226/'01_설정'!B6))*'01_설정'!B15+MAX(0,(1-T226/'01_설정'!B7))*'01_설정'!B16+MAX(0,(1-U226/'01_설정'!B8))*'01_설정'!B17+O226*'01_설정'!B11+Q226*'01_설정'!B12+P226*'01_설정'!B13+IF(Z226="",0,Z226))</f>
        <v/>
      </c>
      <c r="X226" s="152">
        <f>IF(W226="","",1+COUNTIFS($W$4:$W$3003,"&gt;"&amp;W226)+COUNTIFS($W$4:W226,W226)-1)</f>
        <v/>
      </c>
      <c r="Y226" s="175">
        <f>IF(OR(I226="",'02_대상물건입력'!B19="",'02_대상물건입력'!B19&lt;=0),"",ABS(I226-'02_대상물건입력'!B19)/'02_대상물건입력'!B19)</f>
        <v/>
      </c>
      <c r="Z226" s="172">
        <f>IF(OR(Y226="",'01_설정'!B31="",'01_설정'!B31&lt;=0,'01_설정'!B32="",'01_설정'!B32&lt;=0),"",MAX(0,(1-Y226/'01_설정'!B32))*'01_설정'!B31)</f>
        <v/>
      </c>
    </row>
    <row r="227" ht="17.25" customHeight="1">
      <c r="A227" s="152">
        <f>IF(INDEX('04A_국토부원자료'!$A:$A,ROW()+1)="","",ROW()-3)</f>
        <v/>
      </c>
      <c r="B227" s="48">
        <f>IFERROR(INDEX('04A_국토부원자료'!$A:$T,ROW()+1,MATCH("시군구",'04A_국토부원자료'!$A$4:$T$4,0)),"")</f>
        <v/>
      </c>
      <c r="C227" s="48">
        <f>IF(B227="","",IFERROR(INDEX('04A_국토부원자료'!$A:$T,ROW()+1,MATCH("번지",'04A_국토부원자료'!$A$4:$T$4,0)),""))</f>
        <v/>
      </c>
      <c r="D227" s="48">
        <f>IF(B227="","",IF(Q227=1,'02_대상물건입력'!$B$8,IFERROR(INDEX('04A_국토부원자료'!$A:$T,ROW()+1,MATCH("단지명",'04A_국토부원자료'!$A$4:$T$4,0)),"")))</f>
        <v/>
      </c>
      <c r="E227" s="172">
        <f>IFERROR(VALUE(SUBSTITUTE(INDEX('04A_국토부원자료'!$A:$T,ROW()+1,MATCH("전용면적(㎡)",'04A_국토부원자료'!$A$4:$T$4,0)),",","")),"")</f>
        <v/>
      </c>
      <c r="F2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7" s="51">
        <f>IFERROR(VALUE(SUBSTITUTE(INDEX('04A_국토부원자료'!$A:$T,ROW()+1,MATCH("거래금액(만원)",'04A_국토부원자료'!$A$4:$T$4,0)),",","")),"")</f>
        <v/>
      </c>
      <c r="H227" s="174">
        <f>IF(G227="","",G227*10000)</f>
        <v/>
      </c>
      <c r="I227" s="174">
        <f>IFERROR(IF(AND(H227&gt;0,E227&gt;0),H227/E227,""),"")</f>
        <v/>
      </c>
      <c r="J227" s="152">
        <f>IFERROR(VALUE(SUBSTITUTE(INDEX('04A_국토부원자료'!$A:$T,ROW()+1,MATCH("층",'04A_국토부원자료'!$A$4:$T$4,0)),",","")),"")</f>
        <v/>
      </c>
      <c r="K227" s="152">
        <f>IFERROR(VALUE(SUBSTITUTE(INDEX('04A_국토부원자료'!$A:$T,ROW()+1,MATCH("건축년도",'04A_국토부원자료'!$A$4:$T$4,0)),",","")),"")</f>
        <v/>
      </c>
      <c r="L227" s="176">
        <f>IFERROR(INDEX('04A_국토부원자료'!$A:$T,ROW()+1,MATCH("도로명",'04A_국토부원자료'!$A$4:$T$4,0)),"")</f>
        <v/>
      </c>
      <c r="M227" s="48">
        <f>IFERROR(INDEX('04A_국토부원자료'!$A:$T,ROW()+1,MATCH("거래유형",'04A_국토부원자료'!$A$4:$T$4,0)),"")</f>
        <v/>
      </c>
      <c r="N227" s="152">
        <f>IF(B227="","",IF('02_대상물건입력'!B5="",1,IF(ISNUMBER(SEARCH('02_대상물건입력'!B5,B227)),1,0)))</f>
        <v/>
      </c>
      <c r="O227" s="152">
        <f>IF(B227="","",IF('02_대상물건입력'!B6="",1,IF(ISNUMBER(SEARCH('02_대상물건입력'!B6,B227)),1,0)))</f>
        <v/>
      </c>
      <c r="P227" s="152">
        <f>IF(L227="","",IF('02_대상물건입력'!B15="",0,IF(ISNUMBER(SEARCH('02_대상물건입력'!B15,L227)),1,0)))</f>
        <v/>
      </c>
      <c r="Q227" s="152">
        <f>IF(OR(C227="",L227=""),0,IF(AND(TRIM(C227)=TRIM(RIGHT(SUBSTITUTE(TRIM('02_대상물건입력'!$B$7)," ",REPT(" ",99)),99)),IF('02_대상물건입력'!B15="",TRUE(),ISNUMBER(SEARCH('02_대상물건입력'!B15,L227)))),1,0))</f>
        <v/>
      </c>
      <c r="R227" s="175">
        <f>IFERROR(ABS(E227-'02_대상물건입력'!B11)/'02_대상물건입력'!B11,"")</f>
        <v/>
      </c>
      <c r="S227" s="152">
        <f>IFERROR(ABS(J227-'02_대상물건입력'!B10),"")</f>
        <v/>
      </c>
      <c r="T227" s="152">
        <f>IFERROR(ABS('01_설정'!B4-F227),"")</f>
        <v/>
      </c>
      <c r="U227" s="152">
        <f>IFERROR(ABS(K227-YEAR('02_대상물건입력'!B14)),"")</f>
        <v/>
      </c>
      <c r="V227" s="152">
        <f>IF(B227="","",IF(AND(E227&gt;0,F227&gt;0,H227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227=1,TRUE()),R227&lt;='01_설정'!B5,S227&lt;='01_설정'!B6,T227&lt;='01_설정'!B7,U227&lt;='01_설정'!B8),"Y",""))</f>
        <v/>
      </c>
      <c r="W227" s="172">
        <f>IF(V227&lt;&gt;"Y","",MAX(0,(1-R227/'01_설정'!B5))*'01_설정'!B14+MAX(0,(1-S227/'01_설정'!B6))*'01_설정'!B15+MAX(0,(1-T227/'01_설정'!B7))*'01_설정'!B16+MAX(0,(1-U227/'01_설정'!B8))*'01_설정'!B17+O227*'01_설정'!B11+Q227*'01_설정'!B12+P227*'01_설정'!B13+IF(Z227="",0,Z227))</f>
        <v/>
      </c>
      <c r="X227" s="152">
        <f>IF(W227="","",1+COUNTIFS($W$4:$W$3003,"&gt;"&amp;W227)+COUNTIFS($W$4:W227,W227)-1)</f>
        <v/>
      </c>
      <c r="Y227" s="175">
        <f>IF(OR(I227="",'02_대상물건입력'!B19="",'02_대상물건입력'!B19&lt;=0),"",ABS(I227-'02_대상물건입력'!B19)/'02_대상물건입력'!B19)</f>
        <v/>
      </c>
      <c r="Z227" s="172">
        <f>IF(OR(Y227="",'01_설정'!B31="",'01_설정'!B31&lt;=0,'01_설정'!B32="",'01_설정'!B32&lt;=0),"",MAX(0,(1-Y227/'01_설정'!B32))*'01_설정'!B31)</f>
        <v/>
      </c>
    </row>
    <row r="228" ht="17.25" customHeight="1">
      <c r="A228" s="152">
        <f>IF(INDEX('04A_국토부원자료'!$A:$A,ROW()+1)="","",ROW()-3)</f>
        <v/>
      </c>
      <c r="B228" s="48">
        <f>IFERROR(INDEX('04A_국토부원자료'!$A:$T,ROW()+1,MATCH("시군구",'04A_국토부원자료'!$A$4:$T$4,0)),"")</f>
        <v/>
      </c>
      <c r="C228" s="48">
        <f>IF(B228="","",IFERROR(INDEX('04A_국토부원자료'!$A:$T,ROW()+1,MATCH("번지",'04A_국토부원자료'!$A$4:$T$4,0)),""))</f>
        <v/>
      </c>
      <c r="D228" s="48">
        <f>IF(B228="","",IF(Q228=1,'02_대상물건입력'!$B$8,IFERROR(INDEX('04A_국토부원자료'!$A:$T,ROW()+1,MATCH("단지명",'04A_국토부원자료'!$A$4:$T$4,0)),"")))</f>
        <v/>
      </c>
      <c r="E228" s="172">
        <f>IFERROR(VALUE(SUBSTITUTE(INDEX('04A_국토부원자료'!$A:$T,ROW()+1,MATCH("전용면적(㎡)",'04A_국토부원자료'!$A$4:$T$4,0)),",","")),"")</f>
        <v/>
      </c>
      <c r="F2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8" s="51">
        <f>IFERROR(VALUE(SUBSTITUTE(INDEX('04A_국토부원자료'!$A:$T,ROW()+1,MATCH("거래금액(만원)",'04A_국토부원자료'!$A$4:$T$4,0)),",","")),"")</f>
        <v/>
      </c>
      <c r="H228" s="174">
        <f>IF(G228="","",G228*10000)</f>
        <v/>
      </c>
      <c r="I228" s="174">
        <f>IFERROR(IF(AND(H228&gt;0,E228&gt;0),H228/E228,""),"")</f>
        <v/>
      </c>
      <c r="J228" s="152">
        <f>IFERROR(VALUE(SUBSTITUTE(INDEX('04A_국토부원자료'!$A:$T,ROW()+1,MATCH("층",'04A_국토부원자료'!$A$4:$T$4,0)),",","")),"")</f>
        <v/>
      </c>
      <c r="K228" s="152">
        <f>IFERROR(VALUE(SUBSTITUTE(INDEX('04A_국토부원자료'!$A:$T,ROW()+1,MATCH("건축년도",'04A_국토부원자료'!$A$4:$T$4,0)),",","")),"")</f>
        <v/>
      </c>
      <c r="L228" s="176">
        <f>IFERROR(INDEX('04A_국토부원자료'!$A:$T,ROW()+1,MATCH("도로명",'04A_국토부원자료'!$A$4:$T$4,0)),"")</f>
        <v/>
      </c>
      <c r="M228" s="48">
        <f>IFERROR(INDEX('04A_국토부원자료'!$A:$T,ROW()+1,MATCH("거래유형",'04A_국토부원자료'!$A$4:$T$4,0)),"")</f>
        <v/>
      </c>
      <c r="N228" s="152">
        <f>IF(B228="","",IF('02_대상물건입력'!B5="",1,IF(ISNUMBER(SEARCH('02_대상물건입력'!B5,B228)),1,0)))</f>
        <v/>
      </c>
      <c r="O228" s="152">
        <f>IF(B228="","",IF('02_대상물건입력'!B6="",1,IF(ISNUMBER(SEARCH('02_대상물건입력'!B6,B228)),1,0)))</f>
        <v/>
      </c>
      <c r="P228" s="152">
        <f>IF(L228="","",IF('02_대상물건입력'!B15="",0,IF(ISNUMBER(SEARCH('02_대상물건입력'!B15,L228)),1,0)))</f>
        <v/>
      </c>
      <c r="Q228" s="152">
        <f>IF(OR(C228="",L228=""),0,IF(AND(TRIM(C228)=TRIM(RIGHT(SUBSTITUTE(TRIM('02_대상물건입력'!$B$7)," ",REPT(" ",99)),99)),IF('02_대상물건입력'!B15="",TRUE(),ISNUMBER(SEARCH('02_대상물건입력'!B15,L228)))),1,0))</f>
        <v/>
      </c>
      <c r="R228" s="175">
        <f>IFERROR(ABS(E228-'02_대상물건입력'!B11)/'02_대상물건입력'!B11,"")</f>
        <v/>
      </c>
      <c r="S228" s="152">
        <f>IFERROR(ABS(J228-'02_대상물건입력'!B10),"")</f>
        <v/>
      </c>
      <c r="T228" s="152">
        <f>IFERROR(ABS('01_설정'!B4-F228),"")</f>
        <v/>
      </c>
      <c r="U228" s="152">
        <f>IFERROR(ABS(K228-YEAR('02_대상물건입력'!B14)),"")</f>
        <v/>
      </c>
      <c r="V228" s="152">
        <f>IF(B228="","",IF(AND(E228&gt;0,F228&gt;0,H228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228=1,TRUE()),R228&lt;='01_설정'!B5,S228&lt;='01_설정'!B6,T228&lt;='01_설정'!B7,U228&lt;='01_설정'!B8),"Y",""))</f>
        <v/>
      </c>
      <c r="W228" s="172">
        <f>IF(V228&lt;&gt;"Y","",MAX(0,(1-R228/'01_설정'!B5))*'01_설정'!B14+MAX(0,(1-S228/'01_설정'!B6))*'01_설정'!B15+MAX(0,(1-T228/'01_설정'!B7))*'01_설정'!B16+MAX(0,(1-U228/'01_설정'!B8))*'01_설정'!B17+O228*'01_설정'!B11+Q228*'01_설정'!B12+P228*'01_설정'!B13+IF(Z228="",0,Z228))</f>
        <v/>
      </c>
      <c r="X228" s="152">
        <f>IF(W228="","",1+COUNTIFS($W$4:$W$3003,"&gt;"&amp;W228)+COUNTIFS($W$4:W228,W228)-1)</f>
        <v/>
      </c>
      <c r="Y228" s="175">
        <f>IF(OR(I228="",'02_대상물건입력'!B19="",'02_대상물건입력'!B19&lt;=0),"",ABS(I228-'02_대상물건입력'!B19)/'02_대상물건입력'!B19)</f>
        <v/>
      </c>
      <c r="Z228" s="172">
        <f>IF(OR(Y228="",'01_설정'!B31="",'01_설정'!B31&lt;=0,'01_설정'!B32="",'01_설정'!B32&lt;=0),"",MAX(0,(1-Y228/'01_설정'!B32))*'01_설정'!B31)</f>
        <v/>
      </c>
    </row>
    <row r="229" ht="17.25" customHeight="1">
      <c r="A229" s="152">
        <f>IF(INDEX('04A_국토부원자료'!$A:$A,ROW()+1)="","",ROW()-3)</f>
        <v/>
      </c>
      <c r="B229" s="48">
        <f>IFERROR(INDEX('04A_국토부원자료'!$A:$T,ROW()+1,MATCH("시군구",'04A_국토부원자료'!$A$4:$T$4,0)),"")</f>
        <v/>
      </c>
      <c r="C229" s="48">
        <f>IF(B229="","",IFERROR(INDEX('04A_국토부원자료'!$A:$T,ROW()+1,MATCH("번지",'04A_국토부원자료'!$A$4:$T$4,0)),""))</f>
        <v/>
      </c>
      <c r="D229" s="48">
        <f>IF(B229="","",IF(Q229=1,'02_대상물건입력'!$B$8,IFERROR(INDEX('04A_국토부원자료'!$A:$T,ROW()+1,MATCH("단지명",'04A_국토부원자료'!$A$4:$T$4,0)),"")))</f>
        <v/>
      </c>
      <c r="E229" s="172">
        <f>IFERROR(VALUE(SUBSTITUTE(INDEX('04A_국토부원자료'!$A:$T,ROW()+1,MATCH("전용면적(㎡)",'04A_국토부원자료'!$A$4:$T$4,0)),",","")),"")</f>
        <v/>
      </c>
      <c r="F2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9" s="51">
        <f>IFERROR(VALUE(SUBSTITUTE(INDEX('04A_국토부원자료'!$A:$T,ROW()+1,MATCH("거래금액(만원)",'04A_국토부원자료'!$A$4:$T$4,0)),",","")),"")</f>
        <v/>
      </c>
      <c r="H229" s="174">
        <f>IF(G229="","",G229*10000)</f>
        <v/>
      </c>
      <c r="I229" s="174">
        <f>IFERROR(IF(AND(H229&gt;0,E229&gt;0),H229/E229,""),"")</f>
        <v/>
      </c>
      <c r="J229" s="152">
        <f>IFERROR(VALUE(SUBSTITUTE(INDEX('04A_국토부원자료'!$A:$T,ROW()+1,MATCH("층",'04A_국토부원자료'!$A$4:$T$4,0)),",","")),"")</f>
        <v/>
      </c>
      <c r="K229" s="152">
        <f>IFERROR(VALUE(SUBSTITUTE(INDEX('04A_국토부원자료'!$A:$T,ROW()+1,MATCH("건축년도",'04A_국토부원자료'!$A$4:$T$4,0)),",","")),"")</f>
        <v/>
      </c>
      <c r="L229" s="176">
        <f>IFERROR(INDEX('04A_국토부원자료'!$A:$T,ROW()+1,MATCH("도로명",'04A_국토부원자료'!$A$4:$T$4,0)),"")</f>
        <v/>
      </c>
      <c r="M229" s="48">
        <f>IFERROR(INDEX('04A_국토부원자료'!$A:$T,ROW()+1,MATCH("거래유형",'04A_국토부원자료'!$A$4:$T$4,0)),"")</f>
        <v/>
      </c>
      <c r="N229" s="152">
        <f>IF(B229="","",IF('02_대상물건입력'!B5="",1,IF(ISNUMBER(SEARCH('02_대상물건입력'!B5,B229)),1,0)))</f>
        <v/>
      </c>
      <c r="O229" s="152">
        <f>IF(B229="","",IF('02_대상물건입력'!B6="",1,IF(ISNUMBER(SEARCH('02_대상물건입력'!B6,B229)),1,0)))</f>
        <v/>
      </c>
      <c r="P229" s="152">
        <f>IF(L229="","",IF('02_대상물건입력'!B15="",0,IF(ISNUMBER(SEARCH('02_대상물건입력'!B15,L229)),1,0)))</f>
        <v/>
      </c>
      <c r="Q229" s="152">
        <f>IF(OR(C229="",L229=""),0,IF(AND(TRIM(C229)=TRIM(RIGHT(SUBSTITUTE(TRIM('02_대상물건입력'!$B$7)," ",REPT(" ",99)),99)),IF('02_대상물건입력'!B15="",TRUE(),ISNUMBER(SEARCH('02_대상물건입력'!B15,L229)))),1,0))</f>
        <v/>
      </c>
      <c r="R229" s="175">
        <f>IFERROR(ABS(E229-'02_대상물건입력'!B11)/'02_대상물건입력'!B11,"")</f>
        <v/>
      </c>
      <c r="S229" s="152">
        <f>IFERROR(ABS(J229-'02_대상물건입력'!B10),"")</f>
        <v/>
      </c>
      <c r="T229" s="152">
        <f>IFERROR(ABS('01_설정'!B4-F229),"")</f>
        <v/>
      </c>
      <c r="U229" s="152">
        <f>IFERROR(ABS(K229-YEAR('02_대상물건입력'!B14)),"")</f>
        <v/>
      </c>
      <c r="V229" s="152">
        <f>IF(B229="","",IF(AND(E229&gt;0,F229&gt;0,H229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229=1,TRUE()),R229&lt;='01_설정'!B5,S229&lt;='01_설정'!B6,T229&lt;='01_설정'!B7,U229&lt;='01_설정'!B8),"Y",""))</f>
        <v/>
      </c>
      <c r="W229" s="172">
        <f>IF(V229&lt;&gt;"Y","",MAX(0,(1-R229/'01_설정'!B5))*'01_설정'!B14+MAX(0,(1-S229/'01_설정'!B6))*'01_설정'!B15+MAX(0,(1-T229/'01_설정'!B7))*'01_설정'!B16+MAX(0,(1-U229/'01_설정'!B8))*'01_설정'!B17+O229*'01_설정'!B11+Q229*'01_설정'!B12+P229*'01_설정'!B13+IF(Z229="",0,Z229))</f>
        <v/>
      </c>
      <c r="X229" s="152">
        <f>IF(W229="","",1+COUNTIFS($W$4:$W$3003,"&gt;"&amp;W229)+COUNTIFS($W$4:W229,W229)-1)</f>
        <v/>
      </c>
      <c r="Y229" s="175">
        <f>IF(OR(I229="",'02_대상물건입력'!B19="",'02_대상물건입력'!B19&lt;=0),"",ABS(I229-'02_대상물건입력'!B19)/'02_대상물건입력'!B19)</f>
        <v/>
      </c>
      <c r="Z229" s="172">
        <f>IF(OR(Y229="",'01_설정'!B31="",'01_설정'!B31&lt;=0,'01_설정'!B32="",'01_설정'!B32&lt;=0),"",MAX(0,(1-Y229/'01_설정'!B32))*'01_설정'!B31)</f>
        <v/>
      </c>
    </row>
    <row r="230" ht="17.25" customHeight="1">
      <c r="A230" s="152">
        <f>IF(INDEX('04A_국토부원자료'!$A:$A,ROW()+1)="","",ROW()-3)</f>
        <v/>
      </c>
      <c r="B230" s="48">
        <f>IFERROR(INDEX('04A_국토부원자료'!$A:$T,ROW()+1,MATCH("시군구",'04A_국토부원자료'!$A$4:$T$4,0)),"")</f>
        <v/>
      </c>
      <c r="C230" s="48">
        <f>IF(B230="","",IFERROR(INDEX('04A_국토부원자료'!$A:$T,ROW()+1,MATCH("번지",'04A_국토부원자료'!$A$4:$T$4,0)),""))</f>
        <v/>
      </c>
      <c r="D230" s="48">
        <f>IF(B230="","",IF(Q230=1,'02_대상물건입력'!$B$8,IFERROR(INDEX('04A_국토부원자료'!$A:$T,ROW()+1,MATCH("단지명",'04A_국토부원자료'!$A$4:$T$4,0)),"")))</f>
        <v/>
      </c>
      <c r="E230" s="172">
        <f>IFERROR(VALUE(SUBSTITUTE(INDEX('04A_국토부원자료'!$A:$T,ROW()+1,MATCH("전용면적(㎡)",'04A_국토부원자료'!$A$4:$T$4,0)),",","")),"")</f>
        <v/>
      </c>
      <c r="F2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0" s="51">
        <f>IFERROR(VALUE(SUBSTITUTE(INDEX('04A_국토부원자료'!$A:$T,ROW()+1,MATCH("거래금액(만원)",'04A_국토부원자료'!$A$4:$T$4,0)),",","")),"")</f>
        <v/>
      </c>
      <c r="H230" s="174">
        <f>IF(G230="","",G230*10000)</f>
        <v/>
      </c>
      <c r="I230" s="174">
        <f>IFERROR(IF(AND(H230&gt;0,E230&gt;0),H230/E230,""),"")</f>
        <v/>
      </c>
      <c r="J230" s="152">
        <f>IFERROR(VALUE(SUBSTITUTE(INDEX('04A_국토부원자료'!$A:$T,ROW()+1,MATCH("층",'04A_국토부원자료'!$A$4:$T$4,0)),",","")),"")</f>
        <v/>
      </c>
      <c r="K230" s="152">
        <f>IFERROR(VALUE(SUBSTITUTE(INDEX('04A_국토부원자료'!$A:$T,ROW()+1,MATCH("건축년도",'04A_국토부원자료'!$A$4:$T$4,0)),",","")),"")</f>
        <v/>
      </c>
      <c r="L230" s="176">
        <f>IFERROR(INDEX('04A_국토부원자료'!$A:$T,ROW()+1,MATCH("도로명",'04A_국토부원자료'!$A$4:$T$4,0)),"")</f>
        <v/>
      </c>
      <c r="M230" s="48">
        <f>IFERROR(INDEX('04A_국토부원자료'!$A:$T,ROW()+1,MATCH("거래유형",'04A_국토부원자료'!$A$4:$T$4,0)),"")</f>
        <v/>
      </c>
      <c r="N230" s="152">
        <f>IF(B230="","",IF('02_대상물건입력'!B5="",1,IF(ISNUMBER(SEARCH('02_대상물건입력'!B5,B230)),1,0)))</f>
        <v/>
      </c>
      <c r="O230" s="152">
        <f>IF(B230="","",IF('02_대상물건입력'!B6="",1,IF(ISNUMBER(SEARCH('02_대상물건입력'!B6,B230)),1,0)))</f>
        <v/>
      </c>
      <c r="P230" s="152">
        <f>IF(L230="","",IF('02_대상물건입력'!B15="",0,IF(ISNUMBER(SEARCH('02_대상물건입력'!B15,L230)),1,0)))</f>
        <v/>
      </c>
      <c r="Q230" s="152">
        <f>IF(OR(C230="",L230=""),0,IF(AND(TRIM(C230)=TRIM(RIGHT(SUBSTITUTE(TRIM('02_대상물건입력'!$B$7)," ",REPT(" ",99)),99)),IF('02_대상물건입력'!B15="",TRUE(),ISNUMBER(SEARCH('02_대상물건입력'!B15,L230)))),1,0))</f>
        <v/>
      </c>
      <c r="R230" s="175">
        <f>IFERROR(ABS(E230-'02_대상물건입력'!B11)/'02_대상물건입력'!B11,"")</f>
        <v/>
      </c>
      <c r="S230" s="152">
        <f>IFERROR(ABS(J230-'02_대상물건입력'!B10),"")</f>
        <v/>
      </c>
      <c r="T230" s="152">
        <f>IFERROR(ABS('01_설정'!B4-F230),"")</f>
        <v/>
      </c>
      <c r="U230" s="152">
        <f>IFERROR(ABS(K230-YEAR('02_대상물건입력'!B14)),"")</f>
        <v/>
      </c>
      <c r="V230" s="152">
        <f>IF(B230="","",IF(AND(E230&gt;0,F230&gt;0,H230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230=1,TRUE()),R230&lt;='01_설정'!B5,S230&lt;='01_설정'!B6,T230&lt;='01_설정'!B7,U230&lt;='01_설정'!B8),"Y",""))</f>
        <v/>
      </c>
      <c r="W230" s="172">
        <f>IF(V230&lt;&gt;"Y","",MAX(0,(1-R230/'01_설정'!B5))*'01_설정'!B14+MAX(0,(1-S230/'01_설정'!B6))*'01_설정'!B15+MAX(0,(1-T230/'01_설정'!B7))*'01_설정'!B16+MAX(0,(1-U230/'01_설정'!B8))*'01_설정'!B17+O230*'01_설정'!B11+Q230*'01_설정'!B12+P230*'01_설정'!B13+IF(Z230="",0,Z230))</f>
        <v/>
      </c>
      <c r="X230" s="152">
        <f>IF(W230="","",1+COUNTIFS($W$4:$W$3003,"&gt;"&amp;W230)+COUNTIFS($W$4:W230,W230)-1)</f>
        <v/>
      </c>
      <c r="Y230" s="175">
        <f>IF(OR(I230="",'02_대상물건입력'!B19="",'02_대상물건입력'!B19&lt;=0),"",ABS(I230-'02_대상물건입력'!B19)/'02_대상물건입력'!B19)</f>
        <v/>
      </c>
      <c r="Z230" s="172">
        <f>IF(OR(Y230="",'01_설정'!B31="",'01_설정'!B31&lt;=0,'01_설정'!B32="",'01_설정'!B32&lt;=0),"",MAX(0,(1-Y230/'01_설정'!B32))*'01_설정'!B31)</f>
        <v/>
      </c>
    </row>
    <row r="231" ht="17.25" customHeight="1">
      <c r="A231" s="152">
        <f>IF(INDEX('04A_국토부원자료'!$A:$A,ROW()+1)="","",ROW()-3)</f>
        <v/>
      </c>
      <c r="B231" s="48">
        <f>IFERROR(INDEX('04A_국토부원자료'!$A:$T,ROW()+1,MATCH("시군구",'04A_국토부원자료'!$A$4:$T$4,0)),"")</f>
        <v/>
      </c>
      <c r="C231" s="48">
        <f>IF(B231="","",IFERROR(INDEX('04A_국토부원자료'!$A:$T,ROW()+1,MATCH("번지",'04A_국토부원자료'!$A$4:$T$4,0)),""))</f>
        <v/>
      </c>
      <c r="D231" s="48">
        <f>IF(B231="","",IF(Q231=1,'02_대상물건입력'!$B$8,IFERROR(INDEX('04A_국토부원자료'!$A:$T,ROW()+1,MATCH("단지명",'04A_국토부원자료'!$A$4:$T$4,0)),"")))</f>
        <v/>
      </c>
      <c r="E231" s="172">
        <f>IFERROR(VALUE(SUBSTITUTE(INDEX('04A_국토부원자료'!$A:$T,ROW()+1,MATCH("전용면적(㎡)",'04A_국토부원자료'!$A$4:$T$4,0)),",","")),"")</f>
        <v/>
      </c>
      <c r="F2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1" s="51">
        <f>IFERROR(VALUE(SUBSTITUTE(INDEX('04A_국토부원자료'!$A:$T,ROW()+1,MATCH("거래금액(만원)",'04A_국토부원자료'!$A$4:$T$4,0)),",","")),"")</f>
        <v/>
      </c>
      <c r="H231" s="174">
        <f>IF(G231="","",G231*10000)</f>
        <v/>
      </c>
      <c r="I231" s="174">
        <f>IFERROR(IF(AND(H231&gt;0,E231&gt;0),H231/E231,""),"")</f>
        <v/>
      </c>
      <c r="J231" s="152">
        <f>IFERROR(VALUE(SUBSTITUTE(INDEX('04A_국토부원자료'!$A:$T,ROW()+1,MATCH("층",'04A_국토부원자료'!$A$4:$T$4,0)),",","")),"")</f>
        <v/>
      </c>
      <c r="K231" s="152">
        <f>IFERROR(VALUE(SUBSTITUTE(INDEX('04A_국토부원자료'!$A:$T,ROW()+1,MATCH("건축년도",'04A_국토부원자료'!$A$4:$T$4,0)),",","")),"")</f>
        <v/>
      </c>
      <c r="L231" s="176">
        <f>IFERROR(INDEX('04A_국토부원자료'!$A:$T,ROW()+1,MATCH("도로명",'04A_국토부원자료'!$A$4:$T$4,0)),"")</f>
        <v/>
      </c>
      <c r="M231" s="48">
        <f>IFERROR(INDEX('04A_국토부원자료'!$A:$T,ROW()+1,MATCH("거래유형",'04A_국토부원자료'!$A$4:$T$4,0)),"")</f>
        <v/>
      </c>
      <c r="N231" s="152">
        <f>IF(B231="","",IF('02_대상물건입력'!B5="",1,IF(ISNUMBER(SEARCH('02_대상물건입력'!B5,B231)),1,0)))</f>
        <v/>
      </c>
      <c r="O231" s="152">
        <f>IF(B231="","",IF('02_대상물건입력'!B6="",1,IF(ISNUMBER(SEARCH('02_대상물건입력'!B6,B231)),1,0)))</f>
        <v/>
      </c>
      <c r="P231" s="152">
        <f>IF(L231="","",IF('02_대상물건입력'!B15="",0,IF(ISNUMBER(SEARCH('02_대상물건입력'!B15,L231)),1,0)))</f>
        <v/>
      </c>
      <c r="Q231" s="152">
        <f>IF(OR(C231="",L231=""),0,IF(AND(TRIM(C231)=TRIM(RIGHT(SUBSTITUTE(TRIM('02_대상물건입력'!$B$7)," ",REPT(" ",99)),99)),IF('02_대상물건입력'!B15="",TRUE(),ISNUMBER(SEARCH('02_대상물건입력'!B15,L231)))),1,0))</f>
        <v/>
      </c>
      <c r="R231" s="175">
        <f>IFERROR(ABS(E231-'02_대상물건입력'!B11)/'02_대상물건입력'!B11,"")</f>
        <v/>
      </c>
      <c r="S231" s="152">
        <f>IFERROR(ABS(J231-'02_대상물건입력'!B10),"")</f>
        <v/>
      </c>
      <c r="T231" s="152">
        <f>IFERROR(ABS('01_설정'!B4-F231),"")</f>
        <v/>
      </c>
      <c r="U231" s="152">
        <f>IFERROR(ABS(K231-YEAR('02_대상물건입력'!B14)),"")</f>
        <v/>
      </c>
      <c r="V231" s="152">
        <f>IF(B231="","",IF(AND(E231&gt;0,F231&gt;0,H231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231=1,TRUE()),R231&lt;='01_설정'!B5,S231&lt;='01_설정'!B6,T231&lt;='01_설정'!B7,U231&lt;='01_설정'!B8),"Y",""))</f>
        <v/>
      </c>
      <c r="W231" s="172">
        <f>IF(V231&lt;&gt;"Y","",MAX(0,(1-R231/'01_설정'!B5))*'01_설정'!B14+MAX(0,(1-S231/'01_설정'!B6))*'01_설정'!B15+MAX(0,(1-T231/'01_설정'!B7))*'01_설정'!B16+MAX(0,(1-U231/'01_설정'!B8))*'01_설정'!B17+O231*'01_설정'!B11+Q231*'01_설정'!B12+P231*'01_설정'!B13+IF(Z231="",0,Z231))</f>
        <v/>
      </c>
      <c r="X231" s="152">
        <f>IF(W231="","",1+COUNTIFS($W$4:$W$3003,"&gt;"&amp;W231)+COUNTIFS($W$4:W231,W231)-1)</f>
        <v/>
      </c>
      <c r="Y231" s="175">
        <f>IF(OR(I231="",'02_대상물건입력'!B19="",'02_대상물건입력'!B19&lt;=0),"",ABS(I231-'02_대상물건입력'!B19)/'02_대상물건입력'!B19)</f>
        <v/>
      </c>
      <c r="Z231" s="172">
        <f>IF(OR(Y231="",'01_설정'!B31="",'01_설정'!B31&lt;=0,'01_설정'!B32="",'01_설정'!B32&lt;=0),"",MAX(0,(1-Y231/'01_설정'!B32))*'01_설정'!B31)</f>
        <v/>
      </c>
    </row>
    <row r="232" ht="17.25" customHeight="1">
      <c r="A232" s="152">
        <f>IF(INDEX('04A_국토부원자료'!$A:$A,ROW()+1)="","",ROW()-3)</f>
        <v/>
      </c>
      <c r="B232" s="48">
        <f>IFERROR(INDEX('04A_국토부원자료'!$A:$T,ROW()+1,MATCH("시군구",'04A_국토부원자료'!$A$4:$T$4,0)),"")</f>
        <v/>
      </c>
      <c r="C232" s="48">
        <f>IF(B232="","",IFERROR(INDEX('04A_국토부원자료'!$A:$T,ROW()+1,MATCH("번지",'04A_국토부원자료'!$A$4:$T$4,0)),""))</f>
        <v/>
      </c>
      <c r="D232" s="48">
        <f>IF(B232="","",IF(Q232=1,'02_대상물건입력'!$B$8,IFERROR(INDEX('04A_국토부원자료'!$A:$T,ROW()+1,MATCH("단지명",'04A_국토부원자료'!$A$4:$T$4,0)),"")))</f>
        <v/>
      </c>
      <c r="E232" s="172">
        <f>IFERROR(VALUE(SUBSTITUTE(INDEX('04A_국토부원자료'!$A:$T,ROW()+1,MATCH("전용면적(㎡)",'04A_국토부원자료'!$A$4:$T$4,0)),",","")),"")</f>
        <v/>
      </c>
      <c r="F2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2" s="51">
        <f>IFERROR(VALUE(SUBSTITUTE(INDEX('04A_국토부원자료'!$A:$T,ROW()+1,MATCH("거래금액(만원)",'04A_국토부원자료'!$A$4:$T$4,0)),",","")),"")</f>
        <v/>
      </c>
      <c r="H232" s="174">
        <f>IF(G232="","",G232*10000)</f>
        <v/>
      </c>
      <c r="I232" s="174">
        <f>IFERROR(IF(AND(H232&gt;0,E232&gt;0),H232/E232,""),"")</f>
        <v/>
      </c>
      <c r="J232" s="152">
        <f>IFERROR(VALUE(SUBSTITUTE(INDEX('04A_국토부원자료'!$A:$T,ROW()+1,MATCH("층",'04A_국토부원자료'!$A$4:$T$4,0)),",","")),"")</f>
        <v/>
      </c>
      <c r="K232" s="152">
        <f>IFERROR(VALUE(SUBSTITUTE(INDEX('04A_국토부원자료'!$A:$T,ROW()+1,MATCH("건축년도",'04A_국토부원자료'!$A$4:$T$4,0)),",","")),"")</f>
        <v/>
      </c>
      <c r="L232" s="176">
        <f>IFERROR(INDEX('04A_국토부원자료'!$A:$T,ROW()+1,MATCH("도로명",'04A_국토부원자료'!$A$4:$T$4,0)),"")</f>
        <v/>
      </c>
      <c r="M232" s="48">
        <f>IFERROR(INDEX('04A_국토부원자료'!$A:$T,ROW()+1,MATCH("거래유형",'04A_국토부원자료'!$A$4:$T$4,0)),"")</f>
        <v/>
      </c>
      <c r="N232" s="152">
        <f>IF(B232="","",IF('02_대상물건입력'!B5="",1,IF(ISNUMBER(SEARCH('02_대상물건입력'!B5,B232)),1,0)))</f>
        <v/>
      </c>
      <c r="O232" s="152">
        <f>IF(B232="","",IF('02_대상물건입력'!B6="",1,IF(ISNUMBER(SEARCH('02_대상물건입력'!B6,B232)),1,0)))</f>
        <v/>
      </c>
      <c r="P232" s="152">
        <f>IF(L232="","",IF('02_대상물건입력'!B15="",0,IF(ISNUMBER(SEARCH('02_대상물건입력'!B15,L232)),1,0)))</f>
        <v/>
      </c>
      <c r="Q232" s="152">
        <f>IF(OR(C232="",L232=""),0,IF(AND(TRIM(C232)=TRIM(RIGHT(SUBSTITUTE(TRIM('02_대상물건입력'!$B$7)," ",REPT(" ",99)),99)),IF('02_대상물건입력'!B15="",TRUE(),ISNUMBER(SEARCH('02_대상물건입력'!B15,L232)))),1,0))</f>
        <v/>
      </c>
      <c r="R232" s="175">
        <f>IFERROR(ABS(E232-'02_대상물건입력'!B11)/'02_대상물건입력'!B11,"")</f>
        <v/>
      </c>
      <c r="S232" s="152">
        <f>IFERROR(ABS(J232-'02_대상물건입력'!B10),"")</f>
        <v/>
      </c>
      <c r="T232" s="152">
        <f>IFERROR(ABS('01_설정'!B4-F232),"")</f>
        <v/>
      </c>
      <c r="U232" s="152">
        <f>IFERROR(ABS(K232-YEAR('02_대상물건입력'!B14)),"")</f>
        <v/>
      </c>
      <c r="V232" s="152">
        <f>IF(B232="","",IF(AND(E232&gt;0,F232&gt;0,H232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232=1,TRUE()),R232&lt;='01_설정'!B5,S232&lt;='01_설정'!B6,T232&lt;='01_설정'!B7,U232&lt;='01_설정'!B8),"Y",""))</f>
        <v/>
      </c>
      <c r="W232" s="172">
        <f>IF(V232&lt;&gt;"Y","",MAX(0,(1-R232/'01_설정'!B5))*'01_설정'!B14+MAX(0,(1-S232/'01_설정'!B6))*'01_설정'!B15+MAX(0,(1-T232/'01_설정'!B7))*'01_설정'!B16+MAX(0,(1-U232/'01_설정'!B8))*'01_설정'!B17+O232*'01_설정'!B11+Q232*'01_설정'!B12+P232*'01_설정'!B13+IF(Z232="",0,Z232))</f>
        <v/>
      </c>
      <c r="X232" s="152">
        <f>IF(W232="","",1+COUNTIFS($W$4:$W$3003,"&gt;"&amp;W232)+COUNTIFS($W$4:W232,W232)-1)</f>
        <v/>
      </c>
      <c r="Y232" s="175">
        <f>IF(OR(I232="",'02_대상물건입력'!B19="",'02_대상물건입력'!B19&lt;=0),"",ABS(I232-'02_대상물건입력'!B19)/'02_대상물건입력'!B19)</f>
        <v/>
      </c>
      <c r="Z232" s="172">
        <f>IF(OR(Y232="",'01_설정'!B31="",'01_설정'!B31&lt;=0,'01_설정'!B32="",'01_설정'!B32&lt;=0),"",MAX(0,(1-Y232/'01_설정'!B32))*'01_설정'!B31)</f>
        <v/>
      </c>
    </row>
    <row r="233" ht="17.25" customHeight="1">
      <c r="A233" s="152">
        <f>IF(INDEX('04A_국토부원자료'!$A:$A,ROW()+1)="","",ROW()-3)</f>
        <v/>
      </c>
      <c r="B233" s="48">
        <f>IFERROR(INDEX('04A_국토부원자료'!$A:$T,ROW()+1,MATCH("시군구",'04A_국토부원자료'!$A$4:$T$4,0)),"")</f>
        <v/>
      </c>
      <c r="C233" s="48">
        <f>IF(B233="","",IFERROR(INDEX('04A_국토부원자료'!$A:$T,ROW()+1,MATCH("번지",'04A_국토부원자료'!$A$4:$T$4,0)),""))</f>
        <v/>
      </c>
      <c r="D233" s="48">
        <f>IF(B233="","",IF(Q233=1,'02_대상물건입력'!$B$8,IFERROR(INDEX('04A_국토부원자료'!$A:$T,ROW()+1,MATCH("단지명",'04A_국토부원자료'!$A$4:$T$4,0)),"")))</f>
        <v/>
      </c>
      <c r="E233" s="172">
        <f>IFERROR(VALUE(SUBSTITUTE(INDEX('04A_국토부원자료'!$A:$T,ROW()+1,MATCH("전용면적(㎡)",'04A_국토부원자료'!$A$4:$T$4,0)),",","")),"")</f>
        <v/>
      </c>
      <c r="F2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3" s="51">
        <f>IFERROR(VALUE(SUBSTITUTE(INDEX('04A_국토부원자료'!$A:$T,ROW()+1,MATCH("거래금액(만원)",'04A_국토부원자료'!$A$4:$T$4,0)),",","")),"")</f>
        <v/>
      </c>
      <c r="H233" s="174">
        <f>IF(G233="","",G233*10000)</f>
        <v/>
      </c>
      <c r="I233" s="174">
        <f>IFERROR(IF(AND(H233&gt;0,E233&gt;0),H233/E233,""),"")</f>
        <v/>
      </c>
      <c r="J233" s="152">
        <f>IFERROR(VALUE(SUBSTITUTE(INDEX('04A_국토부원자료'!$A:$T,ROW()+1,MATCH("층",'04A_국토부원자료'!$A$4:$T$4,0)),",","")),"")</f>
        <v/>
      </c>
      <c r="K233" s="152">
        <f>IFERROR(VALUE(SUBSTITUTE(INDEX('04A_국토부원자료'!$A:$T,ROW()+1,MATCH("건축년도",'04A_국토부원자료'!$A$4:$T$4,0)),",","")),"")</f>
        <v/>
      </c>
      <c r="L233" s="176">
        <f>IFERROR(INDEX('04A_국토부원자료'!$A:$T,ROW()+1,MATCH("도로명",'04A_국토부원자료'!$A$4:$T$4,0)),"")</f>
        <v/>
      </c>
      <c r="M233" s="48">
        <f>IFERROR(INDEX('04A_국토부원자료'!$A:$T,ROW()+1,MATCH("거래유형",'04A_국토부원자료'!$A$4:$T$4,0)),"")</f>
        <v/>
      </c>
      <c r="N233" s="152">
        <f>IF(B233="","",IF('02_대상물건입력'!B5="",1,IF(ISNUMBER(SEARCH('02_대상물건입력'!B5,B233)),1,0)))</f>
        <v/>
      </c>
      <c r="O233" s="152">
        <f>IF(B233="","",IF('02_대상물건입력'!B6="",1,IF(ISNUMBER(SEARCH('02_대상물건입력'!B6,B233)),1,0)))</f>
        <v/>
      </c>
      <c r="P233" s="152">
        <f>IF(L233="","",IF('02_대상물건입력'!B15="",0,IF(ISNUMBER(SEARCH('02_대상물건입력'!B15,L233)),1,0)))</f>
        <v/>
      </c>
      <c r="Q233" s="152">
        <f>IF(OR(C233="",L233=""),0,IF(AND(TRIM(C233)=TRIM(RIGHT(SUBSTITUTE(TRIM('02_대상물건입력'!$B$7)," ",REPT(" ",99)),99)),IF('02_대상물건입력'!B15="",TRUE(),ISNUMBER(SEARCH('02_대상물건입력'!B15,L233)))),1,0))</f>
        <v/>
      </c>
      <c r="R233" s="175">
        <f>IFERROR(ABS(E233-'02_대상물건입력'!B11)/'02_대상물건입력'!B11,"")</f>
        <v/>
      </c>
      <c r="S233" s="152">
        <f>IFERROR(ABS(J233-'02_대상물건입력'!B10),"")</f>
        <v/>
      </c>
      <c r="T233" s="152">
        <f>IFERROR(ABS('01_설정'!B4-F233),"")</f>
        <v/>
      </c>
      <c r="U233" s="152">
        <f>IFERROR(ABS(K233-YEAR('02_대상물건입력'!B14)),"")</f>
        <v/>
      </c>
      <c r="V233" s="152">
        <f>IF(B233="","",IF(AND(E233&gt;0,F233&gt;0,H233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233=1,TRUE()),R233&lt;='01_설정'!B5,S233&lt;='01_설정'!B6,T233&lt;='01_설정'!B7,U233&lt;='01_설정'!B8),"Y",""))</f>
        <v/>
      </c>
      <c r="W233" s="172">
        <f>IF(V233&lt;&gt;"Y","",MAX(0,(1-R233/'01_설정'!B5))*'01_설정'!B14+MAX(0,(1-S233/'01_설정'!B6))*'01_설정'!B15+MAX(0,(1-T233/'01_설정'!B7))*'01_설정'!B16+MAX(0,(1-U233/'01_설정'!B8))*'01_설정'!B17+O233*'01_설정'!B11+Q233*'01_설정'!B12+P233*'01_설정'!B13+IF(Z233="",0,Z233))</f>
        <v/>
      </c>
      <c r="X233" s="152">
        <f>IF(W233="","",1+COUNTIFS($W$4:$W$3003,"&gt;"&amp;W233)+COUNTIFS($W$4:W233,W233)-1)</f>
        <v/>
      </c>
      <c r="Y233" s="175">
        <f>IF(OR(I233="",'02_대상물건입력'!B19="",'02_대상물건입력'!B19&lt;=0),"",ABS(I233-'02_대상물건입력'!B19)/'02_대상물건입력'!B19)</f>
        <v/>
      </c>
      <c r="Z233" s="172">
        <f>IF(OR(Y233="",'01_설정'!B31="",'01_설정'!B31&lt;=0,'01_설정'!B32="",'01_설정'!B32&lt;=0),"",MAX(0,(1-Y233/'01_설정'!B32))*'01_설정'!B31)</f>
        <v/>
      </c>
    </row>
    <row r="234" ht="17.25" customHeight="1">
      <c r="A234" s="152">
        <f>IF(INDEX('04A_국토부원자료'!$A:$A,ROW()+1)="","",ROW()-3)</f>
        <v/>
      </c>
      <c r="B234" s="48">
        <f>IFERROR(INDEX('04A_국토부원자료'!$A:$T,ROW()+1,MATCH("시군구",'04A_국토부원자료'!$A$4:$T$4,0)),"")</f>
        <v/>
      </c>
      <c r="C234" s="48">
        <f>IF(B234="","",IFERROR(INDEX('04A_국토부원자료'!$A:$T,ROW()+1,MATCH("번지",'04A_국토부원자료'!$A$4:$T$4,0)),""))</f>
        <v/>
      </c>
      <c r="D234" s="48">
        <f>IF(B234="","",IF(Q234=1,'02_대상물건입력'!$B$8,IFERROR(INDEX('04A_국토부원자료'!$A:$T,ROW()+1,MATCH("단지명",'04A_국토부원자료'!$A$4:$T$4,0)),"")))</f>
        <v/>
      </c>
      <c r="E234" s="172">
        <f>IFERROR(VALUE(SUBSTITUTE(INDEX('04A_국토부원자료'!$A:$T,ROW()+1,MATCH("전용면적(㎡)",'04A_국토부원자료'!$A$4:$T$4,0)),",","")),"")</f>
        <v/>
      </c>
      <c r="F2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4" s="51">
        <f>IFERROR(VALUE(SUBSTITUTE(INDEX('04A_국토부원자료'!$A:$T,ROW()+1,MATCH("거래금액(만원)",'04A_국토부원자료'!$A$4:$T$4,0)),",","")),"")</f>
        <v/>
      </c>
      <c r="H234" s="174">
        <f>IF(G234="","",G234*10000)</f>
        <v/>
      </c>
      <c r="I234" s="174">
        <f>IFERROR(IF(AND(H234&gt;0,E234&gt;0),H234/E234,""),"")</f>
        <v/>
      </c>
      <c r="J234" s="152">
        <f>IFERROR(VALUE(SUBSTITUTE(INDEX('04A_국토부원자료'!$A:$T,ROW()+1,MATCH("층",'04A_국토부원자료'!$A$4:$T$4,0)),",","")),"")</f>
        <v/>
      </c>
      <c r="K234" s="152">
        <f>IFERROR(VALUE(SUBSTITUTE(INDEX('04A_국토부원자료'!$A:$T,ROW()+1,MATCH("건축년도",'04A_국토부원자료'!$A$4:$T$4,0)),",","")),"")</f>
        <v/>
      </c>
      <c r="L234" s="176">
        <f>IFERROR(INDEX('04A_국토부원자료'!$A:$T,ROW()+1,MATCH("도로명",'04A_국토부원자료'!$A$4:$T$4,0)),"")</f>
        <v/>
      </c>
      <c r="M234" s="48">
        <f>IFERROR(INDEX('04A_국토부원자료'!$A:$T,ROW()+1,MATCH("거래유형",'04A_국토부원자료'!$A$4:$T$4,0)),"")</f>
        <v/>
      </c>
      <c r="N234" s="152">
        <f>IF(B234="","",IF('02_대상물건입력'!B5="",1,IF(ISNUMBER(SEARCH('02_대상물건입력'!B5,B234)),1,0)))</f>
        <v/>
      </c>
      <c r="O234" s="152">
        <f>IF(B234="","",IF('02_대상물건입력'!B6="",1,IF(ISNUMBER(SEARCH('02_대상물건입력'!B6,B234)),1,0)))</f>
        <v/>
      </c>
      <c r="P234" s="152">
        <f>IF(L234="","",IF('02_대상물건입력'!B15="",0,IF(ISNUMBER(SEARCH('02_대상물건입력'!B15,L234)),1,0)))</f>
        <v/>
      </c>
      <c r="Q234" s="152">
        <f>IF(OR(C234="",L234=""),0,IF(AND(TRIM(C234)=TRIM(RIGHT(SUBSTITUTE(TRIM('02_대상물건입력'!$B$7)," ",REPT(" ",99)),99)),IF('02_대상물건입력'!B15="",TRUE(),ISNUMBER(SEARCH('02_대상물건입력'!B15,L234)))),1,0))</f>
        <v/>
      </c>
      <c r="R234" s="175">
        <f>IFERROR(ABS(E234-'02_대상물건입력'!B11)/'02_대상물건입력'!B11,"")</f>
        <v/>
      </c>
      <c r="S234" s="152">
        <f>IFERROR(ABS(J234-'02_대상물건입력'!B10),"")</f>
        <v/>
      </c>
      <c r="T234" s="152">
        <f>IFERROR(ABS('01_설정'!B4-F234),"")</f>
        <v/>
      </c>
      <c r="U234" s="152">
        <f>IFERROR(ABS(K234-YEAR('02_대상물건입력'!B14)),"")</f>
        <v/>
      </c>
      <c r="V234" s="152">
        <f>IF(B234="","",IF(AND(E234&gt;0,F234&gt;0,H234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234=1,TRUE()),R234&lt;='01_설정'!B5,S234&lt;='01_설정'!B6,T234&lt;='01_설정'!B7,U234&lt;='01_설정'!B8),"Y",""))</f>
        <v/>
      </c>
      <c r="W234" s="172">
        <f>IF(V234&lt;&gt;"Y","",MAX(0,(1-R234/'01_설정'!B5))*'01_설정'!B14+MAX(0,(1-S234/'01_설정'!B6))*'01_설정'!B15+MAX(0,(1-T234/'01_설정'!B7))*'01_설정'!B16+MAX(0,(1-U234/'01_설정'!B8))*'01_설정'!B17+O234*'01_설정'!B11+Q234*'01_설정'!B12+P234*'01_설정'!B13+IF(Z234="",0,Z234))</f>
        <v/>
      </c>
      <c r="X234" s="152">
        <f>IF(W234="","",1+COUNTIFS($W$4:$W$3003,"&gt;"&amp;W234)+COUNTIFS($W$4:W234,W234)-1)</f>
        <v/>
      </c>
      <c r="Y234" s="175">
        <f>IF(OR(I234="",'02_대상물건입력'!B19="",'02_대상물건입력'!B19&lt;=0),"",ABS(I234-'02_대상물건입력'!B19)/'02_대상물건입력'!B19)</f>
        <v/>
      </c>
      <c r="Z234" s="172">
        <f>IF(OR(Y234="",'01_설정'!B31="",'01_설정'!B31&lt;=0,'01_설정'!B32="",'01_설정'!B32&lt;=0),"",MAX(0,(1-Y234/'01_설정'!B32))*'01_설정'!B31)</f>
        <v/>
      </c>
    </row>
    <row r="235" ht="17.25" customHeight="1">
      <c r="A235" s="152">
        <f>IF(INDEX('04A_국토부원자료'!$A:$A,ROW()+1)="","",ROW()-3)</f>
        <v/>
      </c>
      <c r="B235" s="48">
        <f>IFERROR(INDEX('04A_국토부원자료'!$A:$T,ROW()+1,MATCH("시군구",'04A_국토부원자료'!$A$4:$T$4,0)),"")</f>
        <v/>
      </c>
      <c r="C235" s="48">
        <f>IF(B235="","",IFERROR(INDEX('04A_국토부원자료'!$A:$T,ROW()+1,MATCH("번지",'04A_국토부원자료'!$A$4:$T$4,0)),""))</f>
        <v/>
      </c>
      <c r="D235" s="48">
        <f>IF(B235="","",IF(Q235=1,'02_대상물건입력'!$B$8,IFERROR(INDEX('04A_국토부원자료'!$A:$T,ROW()+1,MATCH("단지명",'04A_국토부원자료'!$A$4:$T$4,0)),"")))</f>
        <v/>
      </c>
      <c r="E235" s="172">
        <f>IFERROR(VALUE(SUBSTITUTE(INDEX('04A_국토부원자료'!$A:$T,ROW()+1,MATCH("전용면적(㎡)",'04A_국토부원자료'!$A$4:$T$4,0)),",","")),"")</f>
        <v/>
      </c>
      <c r="F2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5" s="51">
        <f>IFERROR(VALUE(SUBSTITUTE(INDEX('04A_국토부원자료'!$A:$T,ROW()+1,MATCH("거래금액(만원)",'04A_국토부원자료'!$A$4:$T$4,0)),",","")),"")</f>
        <v/>
      </c>
      <c r="H235" s="174">
        <f>IF(G235="","",G235*10000)</f>
        <v/>
      </c>
      <c r="I235" s="174">
        <f>IFERROR(IF(AND(H235&gt;0,E235&gt;0),H235/E235,""),"")</f>
        <v/>
      </c>
      <c r="J235" s="152">
        <f>IFERROR(VALUE(SUBSTITUTE(INDEX('04A_국토부원자료'!$A:$T,ROW()+1,MATCH("층",'04A_국토부원자료'!$A$4:$T$4,0)),",","")),"")</f>
        <v/>
      </c>
      <c r="K235" s="152">
        <f>IFERROR(VALUE(SUBSTITUTE(INDEX('04A_국토부원자료'!$A:$T,ROW()+1,MATCH("건축년도",'04A_국토부원자료'!$A$4:$T$4,0)),",","")),"")</f>
        <v/>
      </c>
      <c r="L235" s="176">
        <f>IFERROR(INDEX('04A_국토부원자료'!$A:$T,ROW()+1,MATCH("도로명",'04A_국토부원자료'!$A$4:$T$4,0)),"")</f>
        <v/>
      </c>
      <c r="M235" s="48">
        <f>IFERROR(INDEX('04A_국토부원자료'!$A:$T,ROW()+1,MATCH("거래유형",'04A_국토부원자료'!$A$4:$T$4,0)),"")</f>
        <v/>
      </c>
      <c r="N235" s="152">
        <f>IF(B235="","",IF('02_대상물건입력'!B5="",1,IF(ISNUMBER(SEARCH('02_대상물건입력'!B5,B235)),1,0)))</f>
        <v/>
      </c>
      <c r="O235" s="152">
        <f>IF(B235="","",IF('02_대상물건입력'!B6="",1,IF(ISNUMBER(SEARCH('02_대상물건입력'!B6,B235)),1,0)))</f>
        <v/>
      </c>
      <c r="P235" s="152">
        <f>IF(L235="","",IF('02_대상물건입력'!B15="",0,IF(ISNUMBER(SEARCH('02_대상물건입력'!B15,L235)),1,0)))</f>
        <v/>
      </c>
      <c r="Q235" s="152">
        <f>IF(OR(C235="",L235=""),0,IF(AND(TRIM(C235)=TRIM(RIGHT(SUBSTITUTE(TRIM('02_대상물건입력'!$B$7)," ",REPT(" ",99)),99)),IF('02_대상물건입력'!B15="",TRUE(),ISNUMBER(SEARCH('02_대상물건입력'!B15,L235)))),1,0))</f>
        <v/>
      </c>
      <c r="R235" s="175">
        <f>IFERROR(ABS(E235-'02_대상물건입력'!B11)/'02_대상물건입력'!B11,"")</f>
        <v/>
      </c>
      <c r="S235" s="152">
        <f>IFERROR(ABS(J235-'02_대상물건입력'!B10),"")</f>
        <v/>
      </c>
      <c r="T235" s="152">
        <f>IFERROR(ABS('01_설정'!B4-F235),"")</f>
        <v/>
      </c>
      <c r="U235" s="152">
        <f>IFERROR(ABS(K235-YEAR('02_대상물건입력'!B14)),"")</f>
        <v/>
      </c>
      <c r="V235" s="152">
        <f>IF(B235="","",IF(AND(E235&gt;0,F235&gt;0,H235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235=1,TRUE()),R235&lt;='01_설정'!B5,S235&lt;='01_설정'!B6,T235&lt;='01_설정'!B7,U235&lt;='01_설정'!B8),"Y",""))</f>
        <v/>
      </c>
      <c r="W235" s="172">
        <f>IF(V235&lt;&gt;"Y","",MAX(0,(1-R235/'01_설정'!B5))*'01_설정'!B14+MAX(0,(1-S235/'01_설정'!B6))*'01_설정'!B15+MAX(0,(1-T235/'01_설정'!B7))*'01_설정'!B16+MAX(0,(1-U235/'01_설정'!B8))*'01_설정'!B17+O235*'01_설정'!B11+Q235*'01_설정'!B12+P235*'01_설정'!B13+IF(Z235="",0,Z235))</f>
        <v/>
      </c>
      <c r="X235" s="152">
        <f>IF(W235="","",1+COUNTIFS($W$4:$W$3003,"&gt;"&amp;W235)+COUNTIFS($W$4:W235,W235)-1)</f>
        <v/>
      </c>
      <c r="Y235" s="175">
        <f>IF(OR(I235="",'02_대상물건입력'!B19="",'02_대상물건입력'!B19&lt;=0),"",ABS(I235-'02_대상물건입력'!B19)/'02_대상물건입력'!B19)</f>
        <v/>
      </c>
      <c r="Z235" s="172">
        <f>IF(OR(Y235="",'01_설정'!B31="",'01_설정'!B31&lt;=0,'01_설정'!B32="",'01_설정'!B32&lt;=0),"",MAX(0,(1-Y235/'01_설정'!B32))*'01_설정'!B31)</f>
        <v/>
      </c>
    </row>
    <row r="236" ht="17.25" customHeight="1">
      <c r="A236" s="152">
        <f>IF(INDEX('04A_국토부원자료'!$A:$A,ROW()+1)="","",ROW()-3)</f>
        <v/>
      </c>
      <c r="B236" s="48">
        <f>IFERROR(INDEX('04A_국토부원자료'!$A:$T,ROW()+1,MATCH("시군구",'04A_국토부원자료'!$A$4:$T$4,0)),"")</f>
        <v/>
      </c>
      <c r="C236" s="48">
        <f>IF(B236="","",IFERROR(INDEX('04A_국토부원자료'!$A:$T,ROW()+1,MATCH("번지",'04A_국토부원자료'!$A$4:$T$4,0)),""))</f>
        <v/>
      </c>
      <c r="D236" s="48">
        <f>IF(B236="","",IF(Q236=1,'02_대상물건입력'!$B$8,IFERROR(INDEX('04A_국토부원자료'!$A:$T,ROW()+1,MATCH("단지명",'04A_국토부원자료'!$A$4:$T$4,0)),"")))</f>
        <v/>
      </c>
      <c r="E236" s="172">
        <f>IFERROR(VALUE(SUBSTITUTE(INDEX('04A_국토부원자료'!$A:$T,ROW()+1,MATCH("전용면적(㎡)",'04A_국토부원자료'!$A$4:$T$4,0)),",","")),"")</f>
        <v/>
      </c>
      <c r="F2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6" s="51">
        <f>IFERROR(VALUE(SUBSTITUTE(INDEX('04A_국토부원자료'!$A:$T,ROW()+1,MATCH("거래금액(만원)",'04A_국토부원자료'!$A$4:$T$4,0)),",","")),"")</f>
        <v/>
      </c>
      <c r="H236" s="174">
        <f>IF(G236="","",G236*10000)</f>
        <v/>
      </c>
      <c r="I236" s="174">
        <f>IFERROR(IF(AND(H236&gt;0,E236&gt;0),H236/E236,""),"")</f>
        <v/>
      </c>
      <c r="J236" s="152">
        <f>IFERROR(VALUE(SUBSTITUTE(INDEX('04A_국토부원자료'!$A:$T,ROW()+1,MATCH("층",'04A_국토부원자료'!$A$4:$T$4,0)),",","")),"")</f>
        <v/>
      </c>
      <c r="K236" s="152">
        <f>IFERROR(VALUE(SUBSTITUTE(INDEX('04A_국토부원자료'!$A:$T,ROW()+1,MATCH("건축년도",'04A_국토부원자료'!$A$4:$T$4,0)),",","")),"")</f>
        <v/>
      </c>
      <c r="L236" s="176">
        <f>IFERROR(INDEX('04A_국토부원자료'!$A:$T,ROW()+1,MATCH("도로명",'04A_국토부원자료'!$A$4:$T$4,0)),"")</f>
        <v/>
      </c>
      <c r="M236" s="48">
        <f>IFERROR(INDEX('04A_국토부원자료'!$A:$T,ROW()+1,MATCH("거래유형",'04A_국토부원자료'!$A$4:$T$4,0)),"")</f>
        <v/>
      </c>
      <c r="N236" s="152">
        <f>IF(B236="","",IF('02_대상물건입력'!B5="",1,IF(ISNUMBER(SEARCH('02_대상물건입력'!B5,B236)),1,0)))</f>
        <v/>
      </c>
      <c r="O236" s="152">
        <f>IF(B236="","",IF('02_대상물건입력'!B6="",1,IF(ISNUMBER(SEARCH('02_대상물건입력'!B6,B236)),1,0)))</f>
        <v/>
      </c>
      <c r="P236" s="152">
        <f>IF(L236="","",IF('02_대상물건입력'!B15="",0,IF(ISNUMBER(SEARCH('02_대상물건입력'!B15,L236)),1,0)))</f>
        <v/>
      </c>
      <c r="Q236" s="152">
        <f>IF(OR(C236="",L236=""),0,IF(AND(TRIM(C236)=TRIM(RIGHT(SUBSTITUTE(TRIM('02_대상물건입력'!$B$7)," ",REPT(" ",99)),99)),IF('02_대상물건입력'!B15="",TRUE(),ISNUMBER(SEARCH('02_대상물건입력'!B15,L236)))),1,0))</f>
        <v/>
      </c>
      <c r="R236" s="175">
        <f>IFERROR(ABS(E236-'02_대상물건입력'!B11)/'02_대상물건입력'!B11,"")</f>
        <v/>
      </c>
      <c r="S236" s="152">
        <f>IFERROR(ABS(J236-'02_대상물건입력'!B10),"")</f>
        <v/>
      </c>
      <c r="T236" s="152">
        <f>IFERROR(ABS('01_설정'!B4-F236),"")</f>
        <v/>
      </c>
      <c r="U236" s="152">
        <f>IFERROR(ABS(K236-YEAR('02_대상물건입력'!B14)),"")</f>
        <v/>
      </c>
      <c r="V236" s="152">
        <f>IF(B236="","",IF(AND(E236&gt;0,F236&gt;0,H236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236=1,TRUE()),R236&lt;='01_설정'!B5,S236&lt;='01_설정'!B6,T236&lt;='01_설정'!B7,U236&lt;='01_설정'!B8),"Y",""))</f>
        <v/>
      </c>
      <c r="W236" s="172">
        <f>IF(V236&lt;&gt;"Y","",MAX(0,(1-R236/'01_설정'!B5))*'01_설정'!B14+MAX(0,(1-S236/'01_설정'!B6))*'01_설정'!B15+MAX(0,(1-T236/'01_설정'!B7))*'01_설정'!B16+MAX(0,(1-U236/'01_설정'!B8))*'01_설정'!B17+O236*'01_설정'!B11+Q236*'01_설정'!B12+P236*'01_설정'!B13+IF(Z236="",0,Z236))</f>
        <v/>
      </c>
      <c r="X236" s="152">
        <f>IF(W236="","",1+COUNTIFS($W$4:$W$3003,"&gt;"&amp;W236)+COUNTIFS($W$4:W236,W236)-1)</f>
        <v/>
      </c>
      <c r="Y236" s="175">
        <f>IF(OR(I236="",'02_대상물건입력'!B19="",'02_대상물건입력'!B19&lt;=0),"",ABS(I236-'02_대상물건입력'!B19)/'02_대상물건입력'!B19)</f>
        <v/>
      </c>
      <c r="Z236" s="172">
        <f>IF(OR(Y236="",'01_설정'!B31="",'01_설정'!B31&lt;=0,'01_설정'!B32="",'01_설정'!B32&lt;=0),"",MAX(0,(1-Y236/'01_설정'!B32))*'01_설정'!B31)</f>
        <v/>
      </c>
    </row>
    <row r="237" ht="17.25" customHeight="1">
      <c r="A237" s="152">
        <f>IF(INDEX('04A_국토부원자료'!$A:$A,ROW()+1)="","",ROW()-3)</f>
        <v/>
      </c>
      <c r="B237" s="48">
        <f>IFERROR(INDEX('04A_국토부원자료'!$A:$T,ROW()+1,MATCH("시군구",'04A_국토부원자료'!$A$4:$T$4,0)),"")</f>
        <v/>
      </c>
      <c r="C237" s="48">
        <f>IF(B237="","",IFERROR(INDEX('04A_국토부원자료'!$A:$T,ROW()+1,MATCH("번지",'04A_국토부원자료'!$A$4:$T$4,0)),""))</f>
        <v/>
      </c>
      <c r="D237" s="48">
        <f>IF(B237="","",IF(Q237=1,'02_대상물건입력'!$B$8,IFERROR(INDEX('04A_국토부원자료'!$A:$T,ROW()+1,MATCH("단지명",'04A_국토부원자료'!$A$4:$T$4,0)),"")))</f>
        <v/>
      </c>
      <c r="E237" s="172">
        <f>IFERROR(VALUE(SUBSTITUTE(INDEX('04A_국토부원자료'!$A:$T,ROW()+1,MATCH("전용면적(㎡)",'04A_국토부원자료'!$A$4:$T$4,0)),",","")),"")</f>
        <v/>
      </c>
      <c r="F2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7" s="51">
        <f>IFERROR(VALUE(SUBSTITUTE(INDEX('04A_국토부원자료'!$A:$T,ROW()+1,MATCH("거래금액(만원)",'04A_국토부원자료'!$A$4:$T$4,0)),",","")),"")</f>
        <v/>
      </c>
      <c r="H237" s="174">
        <f>IF(G237="","",G237*10000)</f>
        <v/>
      </c>
      <c r="I237" s="174">
        <f>IFERROR(IF(AND(H237&gt;0,E237&gt;0),H237/E237,""),"")</f>
        <v/>
      </c>
      <c r="J237" s="152">
        <f>IFERROR(VALUE(SUBSTITUTE(INDEX('04A_국토부원자료'!$A:$T,ROW()+1,MATCH("층",'04A_국토부원자료'!$A$4:$T$4,0)),",","")),"")</f>
        <v/>
      </c>
      <c r="K237" s="152">
        <f>IFERROR(VALUE(SUBSTITUTE(INDEX('04A_국토부원자료'!$A:$T,ROW()+1,MATCH("건축년도",'04A_국토부원자료'!$A$4:$T$4,0)),",","")),"")</f>
        <v/>
      </c>
      <c r="L237" s="176">
        <f>IFERROR(INDEX('04A_국토부원자료'!$A:$T,ROW()+1,MATCH("도로명",'04A_국토부원자료'!$A$4:$T$4,0)),"")</f>
        <v/>
      </c>
      <c r="M237" s="48">
        <f>IFERROR(INDEX('04A_국토부원자료'!$A:$T,ROW()+1,MATCH("거래유형",'04A_국토부원자료'!$A$4:$T$4,0)),"")</f>
        <v/>
      </c>
      <c r="N237" s="152">
        <f>IF(B237="","",IF('02_대상물건입력'!B5="",1,IF(ISNUMBER(SEARCH('02_대상물건입력'!B5,B237)),1,0)))</f>
        <v/>
      </c>
      <c r="O237" s="152">
        <f>IF(B237="","",IF('02_대상물건입력'!B6="",1,IF(ISNUMBER(SEARCH('02_대상물건입력'!B6,B237)),1,0)))</f>
        <v/>
      </c>
      <c r="P237" s="152">
        <f>IF(L237="","",IF('02_대상물건입력'!B15="",0,IF(ISNUMBER(SEARCH('02_대상물건입력'!B15,L237)),1,0)))</f>
        <v/>
      </c>
      <c r="Q237" s="152">
        <f>IF(OR(C237="",L237=""),0,IF(AND(TRIM(C237)=TRIM(RIGHT(SUBSTITUTE(TRIM('02_대상물건입력'!$B$7)," ",REPT(" ",99)),99)),IF('02_대상물건입력'!B15="",TRUE(),ISNUMBER(SEARCH('02_대상물건입력'!B15,L237)))),1,0))</f>
        <v/>
      </c>
      <c r="R237" s="175">
        <f>IFERROR(ABS(E237-'02_대상물건입력'!B11)/'02_대상물건입력'!B11,"")</f>
        <v/>
      </c>
      <c r="S237" s="152">
        <f>IFERROR(ABS(J237-'02_대상물건입력'!B10),"")</f>
        <v/>
      </c>
      <c r="T237" s="152">
        <f>IFERROR(ABS('01_설정'!B4-F237),"")</f>
        <v/>
      </c>
      <c r="U237" s="152">
        <f>IFERROR(ABS(K237-YEAR('02_대상물건입력'!B14)),"")</f>
        <v/>
      </c>
      <c r="V237" s="152">
        <f>IF(B237="","",IF(AND(E237&gt;0,F237&gt;0,H237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237=1,TRUE()),R237&lt;='01_설정'!B5,S237&lt;='01_설정'!B6,T237&lt;='01_설정'!B7,U237&lt;='01_설정'!B8),"Y",""))</f>
        <v/>
      </c>
      <c r="W237" s="172">
        <f>IF(V237&lt;&gt;"Y","",MAX(0,(1-R237/'01_설정'!B5))*'01_설정'!B14+MAX(0,(1-S237/'01_설정'!B6))*'01_설정'!B15+MAX(0,(1-T237/'01_설정'!B7))*'01_설정'!B16+MAX(0,(1-U237/'01_설정'!B8))*'01_설정'!B17+O237*'01_설정'!B11+Q237*'01_설정'!B12+P237*'01_설정'!B13+IF(Z237="",0,Z237))</f>
        <v/>
      </c>
      <c r="X237" s="152">
        <f>IF(W237="","",1+COUNTIFS($W$4:$W$3003,"&gt;"&amp;W237)+COUNTIFS($W$4:W237,W237)-1)</f>
        <v/>
      </c>
      <c r="Y237" s="175">
        <f>IF(OR(I237="",'02_대상물건입력'!B19="",'02_대상물건입력'!B19&lt;=0),"",ABS(I237-'02_대상물건입력'!B19)/'02_대상물건입력'!B19)</f>
        <v/>
      </c>
      <c r="Z237" s="172">
        <f>IF(OR(Y237="",'01_설정'!B31="",'01_설정'!B31&lt;=0,'01_설정'!B32="",'01_설정'!B32&lt;=0),"",MAX(0,(1-Y237/'01_설정'!B32))*'01_설정'!B31)</f>
        <v/>
      </c>
    </row>
    <row r="238" ht="17.25" customHeight="1">
      <c r="A238" s="152">
        <f>IF(INDEX('04A_국토부원자료'!$A:$A,ROW()+1)="","",ROW()-3)</f>
        <v/>
      </c>
      <c r="B238" s="48">
        <f>IFERROR(INDEX('04A_국토부원자료'!$A:$T,ROW()+1,MATCH("시군구",'04A_국토부원자료'!$A$4:$T$4,0)),"")</f>
        <v/>
      </c>
      <c r="C238" s="48">
        <f>IF(B238="","",IFERROR(INDEX('04A_국토부원자료'!$A:$T,ROW()+1,MATCH("번지",'04A_국토부원자료'!$A$4:$T$4,0)),""))</f>
        <v/>
      </c>
      <c r="D238" s="48">
        <f>IF(B238="","",IF(Q238=1,'02_대상물건입력'!$B$8,IFERROR(INDEX('04A_국토부원자료'!$A:$T,ROW()+1,MATCH("단지명",'04A_국토부원자료'!$A$4:$T$4,0)),"")))</f>
        <v/>
      </c>
      <c r="E238" s="172">
        <f>IFERROR(VALUE(SUBSTITUTE(INDEX('04A_국토부원자료'!$A:$T,ROW()+1,MATCH("전용면적(㎡)",'04A_국토부원자료'!$A$4:$T$4,0)),",","")),"")</f>
        <v/>
      </c>
      <c r="F2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8" s="51">
        <f>IFERROR(VALUE(SUBSTITUTE(INDEX('04A_국토부원자료'!$A:$T,ROW()+1,MATCH("거래금액(만원)",'04A_국토부원자료'!$A$4:$T$4,0)),",","")),"")</f>
        <v/>
      </c>
      <c r="H238" s="174">
        <f>IF(G238="","",G238*10000)</f>
        <v/>
      </c>
      <c r="I238" s="174">
        <f>IFERROR(IF(AND(H238&gt;0,E238&gt;0),H238/E238,""),"")</f>
        <v/>
      </c>
      <c r="J238" s="152">
        <f>IFERROR(VALUE(SUBSTITUTE(INDEX('04A_국토부원자료'!$A:$T,ROW()+1,MATCH("층",'04A_국토부원자료'!$A$4:$T$4,0)),",","")),"")</f>
        <v/>
      </c>
      <c r="K238" s="152">
        <f>IFERROR(VALUE(SUBSTITUTE(INDEX('04A_국토부원자료'!$A:$T,ROW()+1,MATCH("건축년도",'04A_국토부원자료'!$A$4:$T$4,0)),",","")),"")</f>
        <v/>
      </c>
      <c r="L238" s="176">
        <f>IFERROR(INDEX('04A_국토부원자료'!$A:$T,ROW()+1,MATCH("도로명",'04A_국토부원자료'!$A$4:$T$4,0)),"")</f>
        <v/>
      </c>
      <c r="M238" s="48">
        <f>IFERROR(INDEX('04A_국토부원자료'!$A:$T,ROW()+1,MATCH("거래유형",'04A_국토부원자료'!$A$4:$T$4,0)),"")</f>
        <v/>
      </c>
      <c r="N238" s="152">
        <f>IF(B238="","",IF('02_대상물건입력'!B5="",1,IF(ISNUMBER(SEARCH('02_대상물건입력'!B5,B238)),1,0)))</f>
        <v/>
      </c>
      <c r="O238" s="152">
        <f>IF(B238="","",IF('02_대상물건입력'!B6="",1,IF(ISNUMBER(SEARCH('02_대상물건입력'!B6,B238)),1,0)))</f>
        <v/>
      </c>
      <c r="P238" s="152">
        <f>IF(L238="","",IF('02_대상물건입력'!B15="",0,IF(ISNUMBER(SEARCH('02_대상물건입력'!B15,L238)),1,0)))</f>
        <v/>
      </c>
      <c r="Q238" s="152">
        <f>IF(OR(C238="",L238=""),0,IF(AND(TRIM(C238)=TRIM(RIGHT(SUBSTITUTE(TRIM('02_대상물건입력'!$B$7)," ",REPT(" ",99)),99)),IF('02_대상물건입력'!B15="",TRUE(),ISNUMBER(SEARCH('02_대상물건입력'!B15,L238)))),1,0))</f>
        <v/>
      </c>
      <c r="R238" s="175">
        <f>IFERROR(ABS(E238-'02_대상물건입력'!B11)/'02_대상물건입력'!B11,"")</f>
        <v/>
      </c>
      <c r="S238" s="152">
        <f>IFERROR(ABS(J238-'02_대상물건입력'!B10),"")</f>
        <v/>
      </c>
      <c r="T238" s="152">
        <f>IFERROR(ABS('01_설정'!B4-F238),"")</f>
        <v/>
      </c>
      <c r="U238" s="152">
        <f>IFERROR(ABS(K238-YEAR('02_대상물건입력'!B14)),"")</f>
        <v/>
      </c>
      <c r="V238" s="152">
        <f>IF(B238="","",IF(AND(E238&gt;0,F238&gt;0,H238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238=1,TRUE()),R238&lt;='01_설정'!B5,S238&lt;='01_설정'!B6,T238&lt;='01_설정'!B7,U238&lt;='01_설정'!B8),"Y",""))</f>
        <v/>
      </c>
      <c r="W238" s="172">
        <f>IF(V238&lt;&gt;"Y","",MAX(0,(1-R238/'01_설정'!B5))*'01_설정'!B14+MAX(0,(1-S238/'01_설정'!B6))*'01_설정'!B15+MAX(0,(1-T238/'01_설정'!B7))*'01_설정'!B16+MAX(0,(1-U238/'01_설정'!B8))*'01_설정'!B17+O238*'01_설정'!B11+Q238*'01_설정'!B12+P238*'01_설정'!B13+IF(Z238="",0,Z238))</f>
        <v/>
      </c>
      <c r="X238" s="152">
        <f>IF(W238="","",1+COUNTIFS($W$4:$W$3003,"&gt;"&amp;W238)+COUNTIFS($W$4:W238,W238)-1)</f>
        <v/>
      </c>
      <c r="Y238" s="175">
        <f>IF(OR(I238="",'02_대상물건입력'!B19="",'02_대상물건입력'!B19&lt;=0),"",ABS(I238-'02_대상물건입력'!B19)/'02_대상물건입력'!B19)</f>
        <v/>
      </c>
      <c r="Z238" s="172">
        <f>IF(OR(Y238="",'01_설정'!B31="",'01_설정'!B31&lt;=0,'01_설정'!B32="",'01_설정'!B32&lt;=0),"",MAX(0,(1-Y238/'01_설정'!B32))*'01_설정'!B31)</f>
        <v/>
      </c>
    </row>
    <row r="239" ht="17.25" customHeight="1">
      <c r="A239" s="152">
        <f>IF(INDEX('04A_국토부원자료'!$A:$A,ROW()+1)="","",ROW()-3)</f>
        <v/>
      </c>
      <c r="B239" s="48">
        <f>IFERROR(INDEX('04A_국토부원자료'!$A:$T,ROW()+1,MATCH("시군구",'04A_국토부원자료'!$A$4:$T$4,0)),"")</f>
        <v/>
      </c>
      <c r="C239" s="48">
        <f>IF(B239="","",IFERROR(INDEX('04A_국토부원자료'!$A:$T,ROW()+1,MATCH("번지",'04A_국토부원자료'!$A$4:$T$4,0)),""))</f>
        <v/>
      </c>
      <c r="D239" s="48">
        <f>IF(B239="","",IF(Q239=1,'02_대상물건입력'!$B$8,IFERROR(INDEX('04A_국토부원자료'!$A:$T,ROW()+1,MATCH("단지명",'04A_국토부원자료'!$A$4:$T$4,0)),"")))</f>
        <v/>
      </c>
      <c r="E239" s="172">
        <f>IFERROR(VALUE(SUBSTITUTE(INDEX('04A_국토부원자료'!$A:$T,ROW()+1,MATCH("전용면적(㎡)",'04A_국토부원자료'!$A$4:$T$4,0)),",","")),"")</f>
        <v/>
      </c>
      <c r="F2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9" s="51">
        <f>IFERROR(VALUE(SUBSTITUTE(INDEX('04A_국토부원자료'!$A:$T,ROW()+1,MATCH("거래금액(만원)",'04A_국토부원자료'!$A$4:$T$4,0)),",","")),"")</f>
        <v/>
      </c>
      <c r="H239" s="174">
        <f>IF(G239="","",G239*10000)</f>
        <v/>
      </c>
      <c r="I239" s="174">
        <f>IFERROR(IF(AND(H239&gt;0,E239&gt;0),H239/E239,""),"")</f>
        <v/>
      </c>
      <c r="J239" s="152">
        <f>IFERROR(VALUE(SUBSTITUTE(INDEX('04A_국토부원자료'!$A:$T,ROW()+1,MATCH("층",'04A_국토부원자료'!$A$4:$T$4,0)),",","")),"")</f>
        <v/>
      </c>
      <c r="K239" s="152">
        <f>IFERROR(VALUE(SUBSTITUTE(INDEX('04A_국토부원자료'!$A:$T,ROW()+1,MATCH("건축년도",'04A_국토부원자료'!$A$4:$T$4,0)),",","")),"")</f>
        <v/>
      </c>
      <c r="L239" s="176">
        <f>IFERROR(INDEX('04A_국토부원자료'!$A:$T,ROW()+1,MATCH("도로명",'04A_국토부원자료'!$A$4:$T$4,0)),"")</f>
        <v/>
      </c>
      <c r="M239" s="48">
        <f>IFERROR(INDEX('04A_국토부원자료'!$A:$T,ROW()+1,MATCH("거래유형",'04A_국토부원자료'!$A$4:$T$4,0)),"")</f>
        <v/>
      </c>
      <c r="N239" s="152">
        <f>IF(B239="","",IF('02_대상물건입력'!B5="",1,IF(ISNUMBER(SEARCH('02_대상물건입력'!B5,B239)),1,0)))</f>
        <v/>
      </c>
      <c r="O239" s="152">
        <f>IF(B239="","",IF('02_대상물건입력'!B6="",1,IF(ISNUMBER(SEARCH('02_대상물건입력'!B6,B239)),1,0)))</f>
        <v/>
      </c>
      <c r="P239" s="152">
        <f>IF(L239="","",IF('02_대상물건입력'!B15="",0,IF(ISNUMBER(SEARCH('02_대상물건입력'!B15,L239)),1,0)))</f>
        <v/>
      </c>
      <c r="Q239" s="152">
        <f>IF(OR(C239="",L239=""),0,IF(AND(TRIM(C239)=TRIM(RIGHT(SUBSTITUTE(TRIM('02_대상물건입력'!$B$7)," ",REPT(" ",99)),99)),IF('02_대상물건입력'!B15="",TRUE(),ISNUMBER(SEARCH('02_대상물건입력'!B15,L239)))),1,0))</f>
        <v/>
      </c>
      <c r="R239" s="175">
        <f>IFERROR(ABS(E239-'02_대상물건입력'!B11)/'02_대상물건입력'!B11,"")</f>
        <v/>
      </c>
      <c r="S239" s="152">
        <f>IFERROR(ABS(J239-'02_대상물건입력'!B10),"")</f>
        <v/>
      </c>
      <c r="T239" s="152">
        <f>IFERROR(ABS('01_설정'!B4-F239),"")</f>
        <v/>
      </c>
      <c r="U239" s="152">
        <f>IFERROR(ABS(K239-YEAR('02_대상물건입력'!B14)),"")</f>
        <v/>
      </c>
      <c r="V239" s="152">
        <f>IF(B239="","",IF(AND(E239&gt;0,F239&gt;0,H239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239=1,TRUE()),R239&lt;='01_설정'!B5,S239&lt;='01_설정'!B6,T239&lt;='01_설정'!B7,U239&lt;='01_설정'!B8),"Y",""))</f>
        <v/>
      </c>
      <c r="W239" s="172">
        <f>IF(V239&lt;&gt;"Y","",MAX(0,(1-R239/'01_설정'!B5))*'01_설정'!B14+MAX(0,(1-S239/'01_설정'!B6))*'01_설정'!B15+MAX(0,(1-T239/'01_설정'!B7))*'01_설정'!B16+MAX(0,(1-U239/'01_설정'!B8))*'01_설정'!B17+O239*'01_설정'!B11+Q239*'01_설정'!B12+P239*'01_설정'!B13+IF(Z239="",0,Z239))</f>
        <v/>
      </c>
      <c r="X239" s="152">
        <f>IF(W239="","",1+COUNTIFS($W$4:$W$3003,"&gt;"&amp;W239)+COUNTIFS($W$4:W239,W239)-1)</f>
        <v/>
      </c>
      <c r="Y239" s="175">
        <f>IF(OR(I239="",'02_대상물건입력'!B19="",'02_대상물건입력'!B19&lt;=0),"",ABS(I239-'02_대상물건입력'!B19)/'02_대상물건입력'!B19)</f>
        <v/>
      </c>
      <c r="Z239" s="172">
        <f>IF(OR(Y239="",'01_설정'!B31="",'01_설정'!B31&lt;=0,'01_설정'!B32="",'01_설정'!B32&lt;=0),"",MAX(0,(1-Y239/'01_설정'!B32))*'01_설정'!B31)</f>
        <v/>
      </c>
    </row>
    <row r="240" ht="17.25" customHeight="1">
      <c r="A240" s="152">
        <f>IF(INDEX('04A_국토부원자료'!$A:$A,ROW()+1)="","",ROW()-3)</f>
        <v/>
      </c>
      <c r="B240" s="48">
        <f>IFERROR(INDEX('04A_국토부원자료'!$A:$T,ROW()+1,MATCH("시군구",'04A_국토부원자료'!$A$4:$T$4,0)),"")</f>
        <v/>
      </c>
      <c r="C240" s="48">
        <f>IF(B240="","",IFERROR(INDEX('04A_국토부원자료'!$A:$T,ROW()+1,MATCH("번지",'04A_국토부원자료'!$A$4:$T$4,0)),""))</f>
        <v/>
      </c>
      <c r="D240" s="48">
        <f>IF(B240="","",IF(Q240=1,'02_대상물건입력'!$B$8,IFERROR(INDEX('04A_국토부원자료'!$A:$T,ROW()+1,MATCH("단지명",'04A_국토부원자료'!$A$4:$T$4,0)),"")))</f>
        <v/>
      </c>
      <c r="E240" s="172">
        <f>IFERROR(VALUE(SUBSTITUTE(INDEX('04A_국토부원자료'!$A:$T,ROW()+1,MATCH("전용면적(㎡)",'04A_국토부원자료'!$A$4:$T$4,0)),",","")),"")</f>
        <v/>
      </c>
      <c r="F2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0" s="51">
        <f>IFERROR(VALUE(SUBSTITUTE(INDEX('04A_국토부원자료'!$A:$T,ROW()+1,MATCH("거래금액(만원)",'04A_국토부원자료'!$A$4:$T$4,0)),",","")),"")</f>
        <v/>
      </c>
      <c r="H240" s="174">
        <f>IF(G240="","",G240*10000)</f>
        <v/>
      </c>
      <c r="I240" s="174">
        <f>IFERROR(IF(AND(H240&gt;0,E240&gt;0),H240/E240,""),"")</f>
        <v/>
      </c>
      <c r="J240" s="152">
        <f>IFERROR(VALUE(SUBSTITUTE(INDEX('04A_국토부원자료'!$A:$T,ROW()+1,MATCH("층",'04A_국토부원자료'!$A$4:$T$4,0)),",","")),"")</f>
        <v/>
      </c>
      <c r="K240" s="152">
        <f>IFERROR(VALUE(SUBSTITUTE(INDEX('04A_국토부원자료'!$A:$T,ROW()+1,MATCH("건축년도",'04A_국토부원자료'!$A$4:$T$4,0)),",","")),"")</f>
        <v/>
      </c>
      <c r="L240" s="176">
        <f>IFERROR(INDEX('04A_국토부원자료'!$A:$T,ROW()+1,MATCH("도로명",'04A_국토부원자료'!$A$4:$T$4,0)),"")</f>
        <v/>
      </c>
      <c r="M240" s="48">
        <f>IFERROR(INDEX('04A_국토부원자료'!$A:$T,ROW()+1,MATCH("거래유형",'04A_국토부원자료'!$A$4:$T$4,0)),"")</f>
        <v/>
      </c>
      <c r="N240" s="152">
        <f>IF(B240="","",IF('02_대상물건입력'!B5="",1,IF(ISNUMBER(SEARCH('02_대상물건입력'!B5,B240)),1,0)))</f>
        <v/>
      </c>
      <c r="O240" s="152">
        <f>IF(B240="","",IF('02_대상물건입력'!B6="",1,IF(ISNUMBER(SEARCH('02_대상물건입력'!B6,B240)),1,0)))</f>
        <v/>
      </c>
      <c r="P240" s="152">
        <f>IF(L240="","",IF('02_대상물건입력'!B15="",0,IF(ISNUMBER(SEARCH('02_대상물건입력'!B15,L240)),1,0)))</f>
        <v/>
      </c>
      <c r="Q240" s="152">
        <f>IF(OR(C240="",L240=""),0,IF(AND(TRIM(C240)=TRIM(RIGHT(SUBSTITUTE(TRIM('02_대상물건입력'!$B$7)," ",REPT(" ",99)),99)),IF('02_대상물건입력'!B15="",TRUE(),ISNUMBER(SEARCH('02_대상물건입력'!B15,L240)))),1,0))</f>
        <v/>
      </c>
      <c r="R240" s="175">
        <f>IFERROR(ABS(E240-'02_대상물건입력'!B11)/'02_대상물건입력'!B11,"")</f>
        <v/>
      </c>
      <c r="S240" s="152">
        <f>IFERROR(ABS(J240-'02_대상물건입력'!B10),"")</f>
        <v/>
      </c>
      <c r="T240" s="152">
        <f>IFERROR(ABS('01_설정'!B4-F240),"")</f>
        <v/>
      </c>
      <c r="U240" s="152">
        <f>IFERROR(ABS(K240-YEAR('02_대상물건입력'!B14)),"")</f>
        <v/>
      </c>
      <c r="V240" s="152">
        <f>IF(B240="","",IF(AND(E240&gt;0,F240&gt;0,H240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240=1,TRUE()),R240&lt;='01_설정'!B5,S240&lt;='01_설정'!B6,T240&lt;='01_설정'!B7,U240&lt;='01_설정'!B8),"Y",""))</f>
        <v/>
      </c>
      <c r="W240" s="172">
        <f>IF(V240&lt;&gt;"Y","",MAX(0,(1-R240/'01_설정'!B5))*'01_설정'!B14+MAX(0,(1-S240/'01_설정'!B6))*'01_설정'!B15+MAX(0,(1-T240/'01_설정'!B7))*'01_설정'!B16+MAX(0,(1-U240/'01_설정'!B8))*'01_설정'!B17+O240*'01_설정'!B11+Q240*'01_설정'!B12+P240*'01_설정'!B13+IF(Z240="",0,Z240))</f>
        <v/>
      </c>
      <c r="X240" s="152">
        <f>IF(W240="","",1+COUNTIFS($W$4:$W$3003,"&gt;"&amp;W240)+COUNTIFS($W$4:W240,W240)-1)</f>
        <v/>
      </c>
      <c r="Y240" s="175">
        <f>IF(OR(I240="",'02_대상물건입력'!B19="",'02_대상물건입력'!B19&lt;=0),"",ABS(I240-'02_대상물건입력'!B19)/'02_대상물건입력'!B19)</f>
        <v/>
      </c>
      <c r="Z240" s="172">
        <f>IF(OR(Y240="",'01_설정'!B31="",'01_설정'!B31&lt;=0,'01_설정'!B32="",'01_설정'!B32&lt;=0),"",MAX(0,(1-Y240/'01_설정'!B32))*'01_설정'!B31)</f>
        <v/>
      </c>
    </row>
    <row r="241" ht="17.25" customHeight="1">
      <c r="A241" s="152">
        <f>IF(INDEX('04A_국토부원자료'!$A:$A,ROW()+1)="","",ROW()-3)</f>
        <v/>
      </c>
      <c r="B241" s="48">
        <f>IFERROR(INDEX('04A_국토부원자료'!$A:$T,ROW()+1,MATCH("시군구",'04A_국토부원자료'!$A$4:$T$4,0)),"")</f>
        <v/>
      </c>
      <c r="C241" s="48">
        <f>IF(B241="","",IFERROR(INDEX('04A_국토부원자료'!$A:$T,ROW()+1,MATCH("번지",'04A_국토부원자료'!$A$4:$T$4,0)),""))</f>
        <v/>
      </c>
      <c r="D241" s="48">
        <f>IF(B241="","",IF(Q241=1,'02_대상물건입력'!$B$8,IFERROR(INDEX('04A_국토부원자료'!$A:$T,ROW()+1,MATCH("단지명",'04A_국토부원자료'!$A$4:$T$4,0)),"")))</f>
        <v/>
      </c>
      <c r="E241" s="172">
        <f>IFERROR(VALUE(SUBSTITUTE(INDEX('04A_국토부원자료'!$A:$T,ROW()+1,MATCH("전용면적(㎡)",'04A_국토부원자료'!$A$4:$T$4,0)),",","")),"")</f>
        <v/>
      </c>
      <c r="F2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1" s="51">
        <f>IFERROR(VALUE(SUBSTITUTE(INDEX('04A_국토부원자료'!$A:$T,ROW()+1,MATCH("거래금액(만원)",'04A_국토부원자료'!$A$4:$T$4,0)),",","")),"")</f>
        <v/>
      </c>
      <c r="H241" s="174">
        <f>IF(G241="","",G241*10000)</f>
        <v/>
      </c>
      <c r="I241" s="174">
        <f>IFERROR(IF(AND(H241&gt;0,E241&gt;0),H241/E241,""),"")</f>
        <v/>
      </c>
      <c r="J241" s="152">
        <f>IFERROR(VALUE(SUBSTITUTE(INDEX('04A_국토부원자료'!$A:$T,ROW()+1,MATCH("층",'04A_국토부원자료'!$A$4:$T$4,0)),",","")),"")</f>
        <v/>
      </c>
      <c r="K241" s="152">
        <f>IFERROR(VALUE(SUBSTITUTE(INDEX('04A_국토부원자료'!$A:$T,ROW()+1,MATCH("건축년도",'04A_국토부원자료'!$A$4:$T$4,0)),",","")),"")</f>
        <v/>
      </c>
      <c r="L241" s="176">
        <f>IFERROR(INDEX('04A_국토부원자료'!$A:$T,ROW()+1,MATCH("도로명",'04A_국토부원자료'!$A$4:$T$4,0)),"")</f>
        <v/>
      </c>
      <c r="M241" s="48">
        <f>IFERROR(INDEX('04A_국토부원자료'!$A:$T,ROW()+1,MATCH("거래유형",'04A_국토부원자료'!$A$4:$T$4,0)),"")</f>
        <v/>
      </c>
      <c r="N241" s="152">
        <f>IF(B241="","",IF('02_대상물건입력'!B5="",1,IF(ISNUMBER(SEARCH('02_대상물건입력'!B5,B241)),1,0)))</f>
        <v/>
      </c>
      <c r="O241" s="152">
        <f>IF(B241="","",IF('02_대상물건입력'!B6="",1,IF(ISNUMBER(SEARCH('02_대상물건입력'!B6,B241)),1,0)))</f>
        <v/>
      </c>
      <c r="P241" s="152">
        <f>IF(L241="","",IF('02_대상물건입력'!B15="",0,IF(ISNUMBER(SEARCH('02_대상물건입력'!B15,L241)),1,0)))</f>
        <v/>
      </c>
      <c r="Q241" s="152">
        <f>IF(OR(C241="",L241=""),0,IF(AND(TRIM(C241)=TRIM(RIGHT(SUBSTITUTE(TRIM('02_대상물건입력'!$B$7)," ",REPT(" ",99)),99)),IF('02_대상물건입력'!B15="",TRUE(),ISNUMBER(SEARCH('02_대상물건입력'!B15,L241)))),1,0))</f>
        <v/>
      </c>
      <c r="R241" s="175">
        <f>IFERROR(ABS(E241-'02_대상물건입력'!B11)/'02_대상물건입력'!B11,"")</f>
        <v/>
      </c>
      <c r="S241" s="152">
        <f>IFERROR(ABS(J241-'02_대상물건입력'!B10),"")</f>
        <v/>
      </c>
      <c r="T241" s="152">
        <f>IFERROR(ABS('01_설정'!B4-F241),"")</f>
        <v/>
      </c>
      <c r="U241" s="152">
        <f>IFERROR(ABS(K241-YEAR('02_대상물건입력'!B14)),"")</f>
        <v/>
      </c>
      <c r="V241" s="152">
        <f>IF(B241="","",IF(AND(E241&gt;0,F241&gt;0,H241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241=1,TRUE()),R241&lt;='01_설정'!B5,S241&lt;='01_설정'!B6,T241&lt;='01_설정'!B7,U241&lt;='01_설정'!B8),"Y",""))</f>
        <v/>
      </c>
      <c r="W241" s="172">
        <f>IF(V241&lt;&gt;"Y","",MAX(0,(1-R241/'01_설정'!B5))*'01_설정'!B14+MAX(0,(1-S241/'01_설정'!B6))*'01_설정'!B15+MAX(0,(1-T241/'01_설정'!B7))*'01_설정'!B16+MAX(0,(1-U241/'01_설정'!B8))*'01_설정'!B17+O241*'01_설정'!B11+Q241*'01_설정'!B12+P241*'01_설정'!B13+IF(Z241="",0,Z241))</f>
        <v/>
      </c>
      <c r="X241" s="152">
        <f>IF(W241="","",1+COUNTIFS($W$4:$W$3003,"&gt;"&amp;W241)+COUNTIFS($W$4:W241,W241)-1)</f>
        <v/>
      </c>
      <c r="Y241" s="175">
        <f>IF(OR(I241="",'02_대상물건입력'!B19="",'02_대상물건입력'!B19&lt;=0),"",ABS(I241-'02_대상물건입력'!B19)/'02_대상물건입력'!B19)</f>
        <v/>
      </c>
      <c r="Z241" s="172">
        <f>IF(OR(Y241="",'01_설정'!B31="",'01_설정'!B31&lt;=0,'01_설정'!B32="",'01_설정'!B32&lt;=0),"",MAX(0,(1-Y241/'01_설정'!B32))*'01_설정'!B31)</f>
        <v/>
      </c>
    </row>
    <row r="242" ht="17.25" customHeight="1">
      <c r="A242" s="152">
        <f>IF(INDEX('04A_국토부원자료'!$A:$A,ROW()+1)="","",ROW()-3)</f>
        <v/>
      </c>
      <c r="B242" s="48">
        <f>IFERROR(INDEX('04A_국토부원자료'!$A:$T,ROW()+1,MATCH("시군구",'04A_국토부원자료'!$A$4:$T$4,0)),"")</f>
        <v/>
      </c>
      <c r="C242" s="48">
        <f>IF(B242="","",IFERROR(INDEX('04A_국토부원자료'!$A:$T,ROW()+1,MATCH("번지",'04A_국토부원자료'!$A$4:$T$4,0)),""))</f>
        <v/>
      </c>
      <c r="D242" s="48">
        <f>IF(B242="","",IF(Q242=1,'02_대상물건입력'!$B$8,IFERROR(INDEX('04A_국토부원자료'!$A:$T,ROW()+1,MATCH("단지명",'04A_국토부원자료'!$A$4:$T$4,0)),"")))</f>
        <v/>
      </c>
      <c r="E242" s="172">
        <f>IFERROR(VALUE(SUBSTITUTE(INDEX('04A_국토부원자료'!$A:$T,ROW()+1,MATCH("전용면적(㎡)",'04A_국토부원자료'!$A$4:$T$4,0)),",","")),"")</f>
        <v/>
      </c>
      <c r="F2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2" s="51">
        <f>IFERROR(VALUE(SUBSTITUTE(INDEX('04A_국토부원자료'!$A:$T,ROW()+1,MATCH("거래금액(만원)",'04A_국토부원자료'!$A$4:$T$4,0)),",","")),"")</f>
        <v/>
      </c>
      <c r="H242" s="174">
        <f>IF(G242="","",G242*10000)</f>
        <v/>
      </c>
      <c r="I242" s="174">
        <f>IFERROR(IF(AND(H242&gt;0,E242&gt;0),H242/E242,""),"")</f>
        <v/>
      </c>
      <c r="J242" s="152">
        <f>IFERROR(VALUE(SUBSTITUTE(INDEX('04A_국토부원자료'!$A:$T,ROW()+1,MATCH("층",'04A_국토부원자료'!$A$4:$T$4,0)),",","")),"")</f>
        <v/>
      </c>
      <c r="K242" s="152">
        <f>IFERROR(VALUE(SUBSTITUTE(INDEX('04A_국토부원자료'!$A:$T,ROW()+1,MATCH("건축년도",'04A_국토부원자료'!$A$4:$T$4,0)),",","")),"")</f>
        <v/>
      </c>
      <c r="L242" s="176">
        <f>IFERROR(INDEX('04A_국토부원자료'!$A:$T,ROW()+1,MATCH("도로명",'04A_국토부원자료'!$A$4:$T$4,0)),"")</f>
        <v/>
      </c>
      <c r="M242" s="48">
        <f>IFERROR(INDEX('04A_국토부원자료'!$A:$T,ROW()+1,MATCH("거래유형",'04A_국토부원자료'!$A$4:$T$4,0)),"")</f>
        <v/>
      </c>
      <c r="N242" s="152">
        <f>IF(B242="","",IF('02_대상물건입력'!B5="",1,IF(ISNUMBER(SEARCH('02_대상물건입력'!B5,B242)),1,0)))</f>
        <v/>
      </c>
      <c r="O242" s="152">
        <f>IF(B242="","",IF('02_대상물건입력'!B6="",1,IF(ISNUMBER(SEARCH('02_대상물건입력'!B6,B242)),1,0)))</f>
        <v/>
      </c>
      <c r="P242" s="152">
        <f>IF(L242="","",IF('02_대상물건입력'!B15="",0,IF(ISNUMBER(SEARCH('02_대상물건입력'!B15,L242)),1,0)))</f>
        <v/>
      </c>
      <c r="Q242" s="152">
        <f>IF(OR(C242="",L242=""),0,IF(AND(TRIM(C242)=TRIM(RIGHT(SUBSTITUTE(TRIM('02_대상물건입력'!$B$7)," ",REPT(" ",99)),99)),IF('02_대상물건입력'!B15="",TRUE(),ISNUMBER(SEARCH('02_대상물건입력'!B15,L242)))),1,0))</f>
        <v/>
      </c>
      <c r="R242" s="175">
        <f>IFERROR(ABS(E242-'02_대상물건입력'!B11)/'02_대상물건입력'!B11,"")</f>
        <v/>
      </c>
      <c r="S242" s="152">
        <f>IFERROR(ABS(J242-'02_대상물건입력'!B10),"")</f>
        <v/>
      </c>
      <c r="T242" s="152">
        <f>IFERROR(ABS('01_설정'!B4-F242),"")</f>
        <v/>
      </c>
      <c r="U242" s="152">
        <f>IFERROR(ABS(K242-YEAR('02_대상물건입력'!B14)),"")</f>
        <v/>
      </c>
      <c r="V242" s="152">
        <f>IF(B242="","",IF(AND(E242&gt;0,F242&gt;0,H242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242=1,TRUE()),R242&lt;='01_설정'!B5,S242&lt;='01_설정'!B6,T242&lt;='01_설정'!B7,U242&lt;='01_설정'!B8),"Y",""))</f>
        <v/>
      </c>
      <c r="W242" s="172">
        <f>IF(V242&lt;&gt;"Y","",MAX(0,(1-R242/'01_설정'!B5))*'01_설정'!B14+MAX(0,(1-S242/'01_설정'!B6))*'01_설정'!B15+MAX(0,(1-T242/'01_설정'!B7))*'01_설정'!B16+MAX(0,(1-U242/'01_설정'!B8))*'01_설정'!B17+O242*'01_설정'!B11+Q242*'01_설정'!B12+P242*'01_설정'!B13+IF(Z242="",0,Z242))</f>
        <v/>
      </c>
      <c r="X242" s="152">
        <f>IF(W242="","",1+COUNTIFS($W$4:$W$3003,"&gt;"&amp;W242)+COUNTIFS($W$4:W242,W242)-1)</f>
        <v/>
      </c>
      <c r="Y242" s="175">
        <f>IF(OR(I242="",'02_대상물건입력'!B19="",'02_대상물건입력'!B19&lt;=0),"",ABS(I242-'02_대상물건입력'!B19)/'02_대상물건입력'!B19)</f>
        <v/>
      </c>
      <c r="Z242" s="172">
        <f>IF(OR(Y242="",'01_설정'!B31="",'01_설정'!B31&lt;=0,'01_설정'!B32="",'01_설정'!B32&lt;=0),"",MAX(0,(1-Y242/'01_설정'!B32))*'01_설정'!B31)</f>
        <v/>
      </c>
    </row>
    <row r="243" ht="17.25" customHeight="1">
      <c r="A243" s="152">
        <f>IF(INDEX('04A_국토부원자료'!$A:$A,ROW()+1)="","",ROW()-3)</f>
        <v/>
      </c>
      <c r="B243" s="48">
        <f>IFERROR(INDEX('04A_국토부원자료'!$A:$T,ROW()+1,MATCH("시군구",'04A_국토부원자료'!$A$4:$T$4,0)),"")</f>
        <v/>
      </c>
      <c r="C243" s="48">
        <f>IF(B243="","",IFERROR(INDEX('04A_국토부원자료'!$A:$T,ROW()+1,MATCH("번지",'04A_국토부원자료'!$A$4:$T$4,0)),""))</f>
        <v/>
      </c>
      <c r="D243" s="48">
        <f>IF(B243="","",IF(Q243=1,'02_대상물건입력'!$B$8,IFERROR(INDEX('04A_국토부원자료'!$A:$T,ROW()+1,MATCH("단지명",'04A_국토부원자료'!$A$4:$T$4,0)),"")))</f>
        <v/>
      </c>
      <c r="E243" s="172">
        <f>IFERROR(VALUE(SUBSTITUTE(INDEX('04A_국토부원자료'!$A:$T,ROW()+1,MATCH("전용면적(㎡)",'04A_국토부원자료'!$A$4:$T$4,0)),",","")),"")</f>
        <v/>
      </c>
      <c r="F2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3" s="51">
        <f>IFERROR(VALUE(SUBSTITUTE(INDEX('04A_국토부원자료'!$A:$T,ROW()+1,MATCH("거래금액(만원)",'04A_국토부원자료'!$A$4:$T$4,0)),",","")),"")</f>
        <v/>
      </c>
      <c r="H243" s="174">
        <f>IF(G243="","",G243*10000)</f>
        <v/>
      </c>
      <c r="I243" s="174">
        <f>IFERROR(IF(AND(H243&gt;0,E243&gt;0),H243/E243,""),"")</f>
        <v/>
      </c>
      <c r="J243" s="152">
        <f>IFERROR(VALUE(SUBSTITUTE(INDEX('04A_국토부원자료'!$A:$T,ROW()+1,MATCH("층",'04A_국토부원자료'!$A$4:$T$4,0)),",","")),"")</f>
        <v/>
      </c>
      <c r="K243" s="152">
        <f>IFERROR(VALUE(SUBSTITUTE(INDEX('04A_국토부원자료'!$A:$T,ROW()+1,MATCH("건축년도",'04A_국토부원자료'!$A$4:$T$4,0)),",","")),"")</f>
        <v/>
      </c>
      <c r="L243" s="176">
        <f>IFERROR(INDEX('04A_국토부원자료'!$A:$T,ROW()+1,MATCH("도로명",'04A_국토부원자료'!$A$4:$T$4,0)),"")</f>
        <v/>
      </c>
      <c r="M243" s="48">
        <f>IFERROR(INDEX('04A_국토부원자료'!$A:$T,ROW()+1,MATCH("거래유형",'04A_국토부원자료'!$A$4:$T$4,0)),"")</f>
        <v/>
      </c>
      <c r="N243" s="152">
        <f>IF(B243="","",IF('02_대상물건입력'!B5="",1,IF(ISNUMBER(SEARCH('02_대상물건입력'!B5,B243)),1,0)))</f>
        <v/>
      </c>
      <c r="O243" s="152">
        <f>IF(B243="","",IF('02_대상물건입력'!B6="",1,IF(ISNUMBER(SEARCH('02_대상물건입력'!B6,B243)),1,0)))</f>
        <v/>
      </c>
      <c r="P243" s="152">
        <f>IF(L243="","",IF('02_대상물건입력'!B15="",0,IF(ISNUMBER(SEARCH('02_대상물건입력'!B15,L243)),1,0)))</f>
        <v/>
      </c>
      <c r="Q243" s="152">
        <f>IF(OR(C243="",L243=""),0,IF(AND(TRIM(C243)=TRIM(RIGHT(SUBSTITUTE(TRIM('02_대상물건입력'!$B$7)," ",REPT(" ",99)),99)),IF('02_대상물건입력'!B15="",TRUE(),ISNUMBER(SEARCH('02_대상물건입력'!B15,L243)))),1,0))</f>
        <v/>
      </c>
      <c r="R243" s="175">
        <f>IFERROR(ABS(E243-'02_대상물건입력'!B11)/'02_대상물건입력'!B11,"")</f>
        <v/>
      </c>
      <c r="S243" s="152">
        <f>IFERROR(ABS(J243-'02_대상물건입력'!B10),"")</f>
        <v/>
      </c>
      <c r="T243" s="152">
        <f>IFERROR(ABS('01_설정'!B4-F243),"")</f>
        <v/>
      </c>
      <c r="U243" s="152">
        <f>IFERROR(ABS(K243-YEAR('02_대상물건입력'!B14)),"")</f>
        <v/>
      </c>
      <c r="V243" s="152">
        <f>IF(B243="","",IF(AND(E243&gt;0,F243&gt;0,H243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243=1,TRUE()),R243&lt;='01_설정'!B5,S243&lt;='01_설정'!B6,T243&lt;='01_설정'!B7,U243&lt;='01_설정'!B8),"Y",""))</f>
        <v/>
      </c>
      <c r="W243" s="172">
        <f>IF(V243&lt;&gt;"Y","",MAX(0,(1-R243/'01_설정'!B5))*'01_설정'!B14+MAX(0,(1-S243/'01_설정'!B6))*'01_설정'!B15+MAX(0,(1-T243/'01_설정'!B7))*'01_설정'!B16+MAX(0,(1-U243/'01_설정'!B8))*'01_설정'!B17+O243*'01_설정'!B11+Q243*'01_설정'!B12+P243*'01_설정'!B13+IF(Z243="",0,Z243))</f>
        <v/>
      </c>
      <c r="X243" s="152">
        <f>IF(W243="","",1+COUNTIFS($W$4:$W$3003,"&gt;"&amp;W243)+COUNTIFS($W$4:W243,W243)-1)</f>
        <v/>
      </c>
      <c r="Y243" s="175">
        <f>IF(OR(I243="",'02_대상물건입력'!B19="",'02_대상물건입력'!B19&lt;=0),"",ABS(I243-'02_대상물건입력'!B19)/'02_대상물건입력'!B19)</f>
        <v/>
      </c>
      <c r="Z243" s="172">
        <f>IF(OR(Y243="",'01_설정'!B31="",'01_설정'!B31&lt;=0,'01_설정'!B32="",'01_설정'!B32&lt;=0),"",MAX(0,(1-Y243/'01_설정'!B32))*'01_설정'!B31)</f>
        <v/>
      </c>
    </row>
    <row r="244" ht="17.25" customHeight="1">
      <c r="A244" s="152">
        <f>IF(INDEX('04A_국토부원자료'!$A:$A,ROW()+1)="","",ROW()-3)</f>
        <v/>
      </c>
      <c r="B244" s="48">
        <f>IFERROR(INDEX('04A_국토부원자료'!$A:$T,ROW()+1,MATCH("시군구",'04A_국토부원자료'!$A$4:$T$4,0)),"")</f>
        <v/>
      </c>
      <c r="C244" s="48">
        <f>IF(B244="","",IFERROR(INDEX('04A_국토부원자료'!$A:$T,ROW()+1,MATCH("번지",'04A_국토부원자료'!$A$4:$T$4,0)),""))</f>
        <v/>
      </c>
      <c r="D244" s="48">
        <f>IF(B244="","",IF(Q244=1,'02_대상물건입력'!$B$8,IFERROR(INDEX('04A_국토부원자료'!$A:$T,ROW()+1,MATCH("단지명",'04A_국토부원자료'!$A$4:$T$4,0)),"")))</f>
        <v/>
      </c>
      <c r="E244" s="172">
        <f>IFERROR(VALUE(SUBSTITUTE(INDEX('04A_국토부원자료'!$A:$T,ROW()+1,MATCH("전용면적(㎡)",'04A_국토부원자료'!$A$4:$T$4,0)),",","")),"")</f>
        <v/>
      </c>
      <c r="F2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4" s="51">
        <f>IFERROR(VALUE(SUBSTITUTE(INDEX('04A_국토부원자료'!$A:$T,ROW()+1,MATCH("거래금액(만원)",'04A_국토부원자료'!$A$4:$T$4,0)),",","")),"")</f>
        <v/>
      </c>
      <c r="H244" s="174">
        <f>IF(G244="","",G244*10000)</f>
        <v/>
      </c>
      <c r="I244" s="174">
        <f>IFERROR(IF(AND(H244&gt;0,E244&gt;0),H244/E244,""),"")</f>
        <v/>
      </c>
      <c r="J244" s="152">
        <f>IFERROR(VALUE(SUBSTITUTE(INDEX('04A_국토부원자료'!$A:$T,ROW()+1,MATCH("층",'04A_국토부원자료'!$A$4:$T$4,0)),",","")),"")</f>
        <v/>
      </c>
      <c r="K244" s="152">
        <f>IFERROR(VALUE(SUBSTITUTE(INDEX('04A_국토부원자료'!$A:$T,ROW()+1,MATCH("건축년도",'04A_국토부원자료'!$A$4:$T$4,0)),",","")),"")</f>
        <v/>
      </c>
      <c r="L244" s="176">
        <f>IFERROR(INDEX('04A_국토부원자료'!$A:$T,ROW()+1,MATCH("도로명",'04A_국토부원자료'!$A$4:$T$4,0)),"")</f>
        <v/>
      </c>
      <c r="M244" s="48">
        <f>IFERROR(INDEX('04A_국토부원자료'!$A:$T,ROW()+1,MATCH("거래유형",'04A_국토부원자료'!$A$4:$T$4,0)),"")</f>
        <v/>
      </c>
      <c r="N244" s="152">
        <f>IF(B244="","",IF('02_대상물건입력'!B5="",1,IF(ISNUMBER(SEARCH('02_대상물건입력'!B5,B244)),1,0)))</f>
        <v/>
      </c>
      <c r="O244" s="152">
        <f>IF(B244="","",IF('02_대상물건입력'!B6="",1,IF(ISNUMBER(SEARCH('02_대상물건입력'!B6,B244)),1,0)))</f>
        <v/>
      </c>
      <c r="P244" s="152">
        <f>IF(L244="","",IF('02_대상물건입력'!B15="",0,IF(ISNUMBER(SEARCH('02_대상물건입력'!B15,L244)),1,0)))</f>
        <v/>
      </c>
      <c r="Q244" s="152">
        <f>IF(OR(C244="",L244=""),0,IF(AND(TRIM(C244)=TRIM(RIGHT(SUBSTITUTE(TRIM('02_대상물건입력'!$B$7)," ",REPT(" ",99)),99)),IF('02_대상물건입력'!B15="",TRUE(),ISNUMBER(SEARCH('02_대상물건입력'!B15,L244)))),1,0))</f>
        <v/>
      </c>
      <c r="R244" s="175">
        <f>IFERROR(ABS(E244-'02_대상물건입력'!B11)/'02_대상물건입력'!B11,"")</f>
        <v/>
      </c>
      <c r="S244" s="152">
        <f>IFERROR(ABS(J244-'02_대상물건입력'!B10),"")</f>
        <v/>
      </c>
      <c r="T244" s="152">
        <f>IFERROR(ABS('01_설정'!B4-F244),"")</f>
        <v/>
      </c>
      <c r="U244" s="152">
        <f>IFERROR(ABS(K244-YEAR('02_대상물건입력'!B14)),"")</f>
        <v/>
      </c>
      <c r="V244" s="152">
        <f>IF(B244="","",IF(AND(E244&gt;0,F244&gt;0,H244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244=1,TRUE()),R244&lt;='01_설정'!B5,S244&lt;='01_설정'!B6,T244&lt;='01_설정'!B7,U244&lt;='01_설정'!B8),"Y",""))</f>
        <v/>
      </c>
      <c r="W244" s="172">
        <f>IF(V244&lt;&gt;"Y","",MAX(0,(1-R244/'01_설정'!B5))*'01_설정'!B14+MAX(0,(1-S244/'01_설정'!B6))*'01_설정'!B15+MAX(0,(1-T244/'01_설정'!B7))*'01_설정'!B16+MAX(0,(1-U244/'01_설정'!B8))*'01_설정'!B17+O244*'01_설정'!B11+Q244*'01_설정'!B12+P244*'01_설정'!B13+IF(Z244="",0,Z244))</f>
        <v/>
      </c>
      <c r="X244" s="152">
        <f>IF(W244="","",1+COUNTIFS($W$4:$W$3003,"&gt;"&amp;W244)+COUNTIFS($W$4:W244,W244)-1)</f>
        <v/>
      </c>
      <c r="Y244" s="175">
        <f>IF(OR(I244="",'02_대상물건입력'!B19="",'02_대상물건입력'!B19&lt;=0),"",ABS(I244-'02_대상물건입력'!B19)/'02_대상물건입력'!B19)</f>
        <v/>
      </c>
      <c r="Z244" s="172">
        <f>IF(OR(Y244="",'01_설정'!B31="",'01_설정'!B31&lt;=0,'01_설정'!B32="",'01_설정'!B32&lt;=0),"",MAX(0,(1-Y244/'01_설정'!B32))*'01_설정'!B31)</f>
        <v/>
      </c>
    </row>
    <row r="245" ht="17.25" customHeight="1">
      <c r="A245" s="152">
        <f>IF(INDEX('04A_국토부원자료'!$A:$A,ROW()+1)="","",ROW()-3)</f>
        <v/>
      </c>
      <c r="B245" s="48">
        <f>IFERROR(INDEX('04A_국토부원자료'!$A:$T,ROW()+1,MATCH("시군구",'04A_국토부원자료'!$A$4:$T$4,0)),"")</f>
        <v/>
      </c>
      <c r="C245" s="48">
        <f>IF(B245="","",IFERROR(INDEX('04A_국토부원자료'!$A:$T,ROW()+1,MATCH("번지",'04A_국토부원자료'!$A$4:$T$4,0)),""))</f>
        <v/>
      </c>
      <c r="D245" s="48">
        <f>IF(B245="","",IF(Q245=1,'02_대상물건입력'!$B$8,IFERROR(INDEX('04A_국토부원자료'!$A:$T,ROW()+1,MATCH("단지명",'04A_국토부원자료'!$A$4:$T$4,0)),"")))</f>
        <v/>
      </c>
      <c r="E245" s="172">
        <f>IFERROR(VALUE(SUBSTITUTE(INDEX('04A_국토부원자료'!$A:$T,ROW()+1,MATCH("전용면적(㎡)",'04A_국토부원자료'!$A$4:$T$4,0)),",","")),"")</f>
        <v/>
      </c>
      <c r="F2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5" s="51">
        <f>IFERROR(VALUE(SUBSTITUTE(INDEX('04A_국토부원자료'!$A:$T,ROW()+1,MATCH("거래금액(만원)",'04A_국토부원자료'!$A$4:$T$4,0)),",","")),"")</f>
        <v/>
      </c>
      <c r="H245" s="174">
        <f>IF(G245="","",G245*10000)</f>
        <v/>
      </c>
      <c r="I245" s="174">
        <f>IFERROR(IF(AND(H245&gt;0,E245&gt;0),H245/E245,""),"")</f>
        <v/>
      </c>
      <c r="J245" s="152">
        <f>IFERROR(VALUE(SUBSTITUTE(INDEX('04A_국토부원자료'!$A:$T,ROW()+1,MATCH("층",'04A_국토부원자료'!$A$4:$T$4,0)),",","")),"")</f>
        <v/>
      </c>
      <c r="K245" s="152">
        <f>IFERROR(VALUE(SUBSTITUTE(INDEX('04A_국토부원자료'!$A:$T,ROW()+1,MATCH("건축년도",'04A_국토부원자료'!$A$4:$T$4,0)),",","")),"")</f>
        <v/>
      </c>
      <c r="L245" s="176">
        <f>IFERROR(INDEX('04A_국토부원자료'!$A:$T,ROW()+1,MATCH("도로명",'04A_국토부원자료'!$A$4:$T$4,0)),"")</f>
        <v/>
      </c>
      <c r="M245" s="48">
        <f>IFERROR(INDEX('04A_국토부원자료'!$A:$T,ROW()+1,MATCH("거래유형",'04A_국토부원자료'!$A$4:$T$4,0)),"")</f>
        <v/>
      </c>
      <c r="N245" s="152">
        <f>IF(B245="","",IF('02_대상물건입력'!B5="",1,IF(ISNUMBER(SEARCH('02_대상물건입력'!B5,B245)),1,0)))</f>
        <v/>
      </c>
      <c r="O245" s="152">
        <f>IF(B245="","",IF('02_대상물건입력'!B6="",1,IF(ISNUMBER(SEARCH('02_대상물건입력'!B6,B245)),1,0)))</f>
        <v/>
      </c>
      <c r="P245" s="152">
        <f>IF(L245="","",IF('02_대상물건입력'!B15="",0,IF(ISNUMBER(SEARCH('02_대상물건입력'!B15,L245)),1,0)))</f>
        <v/>
      </c>
      <c r="Q245" s="152">
        <f>IF(OR(C245="",L245=""),0,IF(AND(TRIM(C245)=TRIM(RIGHT(SUBSTITUTE(TRIM('02_대상물건입력'!$B$7)," ",REPT(" ",99)),99)),IF('02_대상물건입력'!B15="",TRUE(),ISNUMBER(SEARCH('02_대상물건입력'!B15,L245)))),1,0))</f>
        <v/>
      </c>
      <c r="R245" s="175">
        <f>IFERROR(ABS(E245-'02_대상물건입력'!B11)/'02_대상물건입력'!B11,"")</f>
        <v/>
      </c>
      <c r="S245" s="152">
        <f>IFERROR(ABS(J245-'02_대상물건입력'!B10),"")</f>
        <v/>
      </c>
      <c r="T245" s="152">
        <f>IFERROR(ABS('01_설정'!B4-F245),"")</f>
        <v/>
      </c>
      <c r="U245" s="152">
        <f>IFERROR(ABS(K245-YEAR('02_대상물건입력'!B14)),"")</f>
        <v/>
      </c>
      <c r="V245" s="152">
        <f>IF(B245="","",IF(AND(E245&gt;0,F245&gt;0,H245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245=1,TRUE()),R245&lt;='01_설정'!B5,S245&lt;='01_설정'!B6,T245&lt;='01_설정'!B7,U245&lt;='01_설정'!B8),"Y",""))</f>
        <v/>
      </c>
      <c r="W245" s="172">
        <f>IF(V245&lt;&gt;"Y","",MAX(0,(1-R245/'01_설정'!B5))*'01_설정'!B14+MAX(0,(1-S245/'01_설정'!B6))*'01_설정'!B15+MAX(0,(1-T245/'01_설정'!B7))*'01_설정'!B16+MAX(0,(1-U245/'01_설정'!B8))*'01_설정'!B17+O245*'01_설정'!B11+Q245*'01_설정'!B12+P245*'01_설정'!B13+IF(Z245="",0,Z245))</f>
        <v/>
      </c>
      <c r="X245" s="152">
        <f>IF(W245="","",1+COUNTIFS($W$4:$W$3003,"&gt;"&amp;W245)+COUNTIFS($W$4:W245,W245)-1)</f>
        <v/>
      </c>
      <c r="Y245" s="175">
        <f>IF(OR(I245="",'02_대상물건입력'!B19="",'02_대상물건입력'!B19&lt;=0),"",ABS(I245-'02_대상물건입력'!B19)/'02_대상물건입력'!B19)</f>
        <v/>
      </c>
      <c r="Z245" s="172">
        <f>IF(OR(Y245="",'01_설정'!B31="",'01_설정'!B31&lt;=0,'01_설정'!B32="",'01_설정'!B32&lt;=0),"",MAX(0,(1-Y245/'01_설정'!B32))*'01_설정'!B31)</f>
        <v/>
      </c>
    </row>
    <row r="246" ht="17.25" customHeight="1">
      <c r="A246" s="152">
        <f>IF(INDEX('04A_국토부원자료'!$A:$A,ROW()+1)="","",ROW()-3)</f>
        <v/>
      </c>
      <c r="B246" s="48">
        <f>IFERROR(INDEX('04A_국토부원자료'!$A:$T,ROW()+1,MATCH("시군구",'04A_국토부원자료'!$A$4:$T$4,0)),"")</f>
        <v/>
      </c>
      <c r="C246" s="48">
        <f>IF(B246="","",IFERROR(INDEX('04A_국토부원자료'!$A:$T,ROW()+1,MATCH("번지",'04A_국토부원자료'!$A$4:$T$4,0)),""))</f>
        <v/>
      </c>
      <c r="D246" s="48">
        <f>IF(B246="","",IF(Q246=1,'02_대상물건입력'!$B$8,IFERROR(INDEX('04A_국토부원자료'!$A:$T,ROW()+1,MATCH("단지명",'04A_국토부원자료'!$A$4:$T$4,0)),"")))</f>
        <v/>
      </c>
      <c r="E246" s="172">
        <f>IFERROR(VALUE(SUBSTITUTE(INDEX('04A_국토부원자료'!$A:$T,ROW()+1,MATCH("전용면적(㎡)",'04A_국토부원자료'!$A$4:$T$4,0)),",","")),"")</f>
        <v/>
      </c>
      <c r="F2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6" s="51">
        <f>IFERROR(VALUE(SUBSTITUTE(INDEX('04A_국토부원자료'!$A:$T,ROW()+1,MATCH("거래금액(만원)",'04A_국토부원자료'!$A$4:$T$4,0)),",","")),"")</f>
        <v/>
      </c>
      <c r="H246" s="174">
        <f>IF(G246="","",G246*10000)</f>
        <v/>
      </c>
      <c r="I246" s="174">
        <f>IFERROR(IF(AND(H246&gt;0,E246&gt;0),H246/E246,""),"")</f>
        <v/>
      </c>
      <c r="J246" s="152">
        <f>IFERROR(VALUE(SUBSTITUTE(INDEX('04A_국토부원자료'!$A:$T,ROW()+1,MATCH("층",'04A_국토부원자료'!$A$4:$T$4,0)),",","")),"")</f>
        <v/>
      </c>
      <c r="K246" s="152">
        <f>IFERROR(VALUE(SUBSTITUTE(INDEX('04A_국토부원자료'!$A:$T,ROW()+1,MATCH("건축년도",'04A_국토부원자료'!$A$4:$T$4,0)),",","")),"")</f>
        <v/>
      </c>
      <c r="L246" s="176">
        <f>IFERROR(INDEX('04A_국토부원자료'!$A:$T,ROW()+1,MATCH("도로명",'04A_국토부원자료'!$A$4:$T$4,0)),"")</f>
        <v/>
      </c>
      <c r="M246" s="48">
        <f>IFERROR(INDEX('04A_국토부원자료'!$A:$T,ROW()+1,MATCH("거래유형",'04A_국토부원자료'!$A$4:$T$4,0)),"")</f>
        <v/>
      </c>
      <c r="N246" s="152">
        <f>IF(B246="","",IF('02_대상물건입력'!B5="",1,IF(ISNUMBER(SEARCH('02_대상물건입력'!B5,B246)),1,0)))</f>
        <v/>
      </c>
      <c r="O246" s="152">
        <f>IF(B246="","",IF('02_대상물건입력'!B6="",1,IF(ISNUMBER(SEARCH('02_대상물건입력'!B6,B246)),1,0)))</f>
        <v/>
      </c>
      <c r="P246" s="152">
        <f>IF(L246="","",IF('02_대상물건입력'!B15="",0,IF(ISNUMBER(SEARCH('02_대상물건입력'!B15,L246)),1,0)))</f>
        <v/>
      </c>
      <c r="Q246" s="152">
        <f>IF(OR(C246="",L246=""),0,IF(AND(TRIM(C246)=TRIM(RIGHT(SUBSTITUTE(TRIM('02_대상물건입력'!$B$7)," ",REPT(" ",99)),99)),IF('02_대상물건입력'!B15="",TRUE(),ISNUMBER(SEARCH('02_대상물건입력'!B15,L246)))),1,0))</f>
        <v/>
      </c>
      <c r="R246" s="175">
        <f>IFERROR(ABS(E246-'02_대상물건입력'!B11)/'02_대상물건입력'!B11,"")</f>
        <v/>
      </c>
      <c r="S246" s="152">
        <f>IFERROR(ABS(J246-'02_대상물건입력'!B10),"")</f>
        <v/>
      </c>
      <c r="T246" s="152">
        <f>IFERROR(ABS('01_설정'!B4-F246),"")</f>
        <v/>
      </c>
      <c r="U246" s="152">
        <f>IFERROR(ABS(K246-YEAR('02_대상물건입력'!B14)),"")</f>
        <v/>
      </c>
      <c r="V246" s="152">
        <f>IF(B246="","",IF(AND(E246&gt;0,F246&gt;0,H246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246=1,TRUE()),R246&lt;='01_설정'!B5,S246&lt;='01_설정'!B6,T246&lt;='01_설정'!B7,U246&lt;='01_설정'!B8),"Y",""))</f>
        <v/>
      </c>
      <c r="W246" s="172">
        <f>IF(V246&lt;&gt;"Y","",MAX(0,(1-R246/'01_설정'!B5))*'01_설정'!B14+MAX(0,(1-S246/'01_설정'!B6))*'01_설정'!B15+MAX(0,(1-T246/'01_설정'!B7))*'01_설정'!B16+MAX(0,(1-U246/'01_설정'!B8))*'01_설정'!B17+O246*'01_설정'!B11+Q246*'01_설정'!B12+P246*'01_설정'!B13+IF(Z246="",0,Z246))</f>
        <v/>
      </c>
      <c r="X246" s="152">
        <f>IF(W246="","",1+COUNTIFS($W$4:$W$3003,"&gt;"&amp;W246)+COUNTIFS($W$4:W246,W246)-1)</f>
        <v/>
      </c>
      <c r="Y246" s="175">
        <f>IF(OR(I246="",'02_대상물건입력'!B19="",'02_대상물건입력'!B19&lt;=0),"",ABS(I246-'02_대상물건입력'!B19)/'02_대상물건입력'!B19)</f>
        <v/>
      </c>
      <c r="Z246" s="172">
        <f>IF(OR(Y246="",'01_설정'!B31="",'01_설정'!B31&lt;=0,'01_설정'!B32="",'01_설정'!B32&lt;=0),"",MAX(0,(1-Y246/'01_설정'!B32))*'01_설정'!B31)</f>
        <v/>
      </c>
    </row>
    <row r="247" ht="17.25" customHeight="1">
      <c r="A247" s="152">
        <f>IF(INDEX('04A_국토부원자료'!$A:$A,ROW()+1)="","",ROW()-3)</f>
        <v/>
      </c>
      <c r="B247" s="48">
        <f>IFERROR(INDEX('04A_국토부원자료'!$A:$T,ROW()+1,MATCH("시군구",'04A_국토부원자료'!$A$4:$T$4,0)),"")</f>
        <v/>
      </c>
      <c r="C247" s="48">
        <f>IF(B247="","",IFERROR(INDEX('04A_국토부원자료'!$A:$T,ROW()+1,MATCH("번지",'04A_국토부원자료'!$A$4:$T$4,0)),""))</f>
        <v/>
      </c>
      <c r="D247" s="48">
        <f>IF(B247="","",IF(Q247=1,'02_대상물건입력'!$B$8,IFERROR(INDEX('04A_국토부원자료'!$A:$T,ROW()+1,MATCH("단지명",'04A_국토부원자료'!$A$4:$T$4,0)),"")))</f>
        <v/>
      </c>
      <c r="E247" s="172">
        <f>IFERROR(VALUE(SUBSTITUTE(INDEX('04A_국토부원자료'!$A:$T,ROW()+1,MATCH("전용면적(㎡)",'04A_국토부원자료'!$A$4:$T$4,0)),",","")),"")</f>
        <v/>
      </c>
      <c r="F2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7" s="51">
        <f>IFERROR(VALUE(SUBSTITUTE(INDEX('04A_국토부원자료'!$A:$T,ROW()+1,MATCH("거래금액(만원)",'04A_국토부원자료'!$A$4:$T$4,0)),",","")),"")</f>
        <v/>
      </c>
      <c r="H247" s="174">
        <f>IF(G247="","",G247*10000)</f>
        <v/>
      </c>
      <c r="I247" s="174">
        <f>IFERROR(IF(AND(H247&gt;0,E247&gt;0),H247/E247,""),"")</f>
        <v/>
      </c>
      <c r="J247" s="152">
        <f>IFERROR(VALUE(SUBSTITUTE(INDEX('04A_국토부원자료'!$A:$T,ROW()+1,MATCH("층",'04A_국토부원자료'!$A$4:$T$4,0)),",","")),"")</f>
        <v/>
      </c>
      <c r="K247" s="152">
        <f>IFERROR(VALUE(SUBSTITUTE(INDEX('04A_국토부원자료'!$A:$T,ROW()+1,MATCH("건축년도",'04A_국토부원자료'!$A$4:$T$4,0)),",","")),"")</f>
        <v/>
      </c>
      <c r="L247" s="176">
        <f>IFERROR(INDEX('04A_국토부원자료'!$A:$T,ROW()+1,MATCH("도로명",'04A_국토부원자료'!$A$4:$T$4,0)),"")</f>
        <v/>
      </c>
      <c r="M247" s="48">
        <f>IFERROR(INDEX('04A_국토부원자료'!$A:$T,ROW()+1,MATCH("거래유형",'04A_국토부원자료'!$A$4:$T$4,0)),"")</f>
        <v/>
      </c>
      <c r="N247" s="152">
        <f>IF(B247="","",IF('02_대상물건입력'!B5="",1,IF(ISNUMBER(SEARCH('02_대상물건입력'!B5,B247)),1,0)))</f>
        <v/>
      </c>
      <c r="O247" s="152">
        <f>IF(B247="","",IF('02_대상물건입력'!B6="",1,IF(ISNUMBER(SEARCH('02_대상물건입력'!B6,B247)),1,0)))</f>
        <v/>
      </c>
      <c r="P247" s="152">
        <f>IF(L247="","",IF('02_대상물건입력'!B15="",0,IF(ISNUMBER(SEARCH('02_대상물건입력'!B15,L247)),1,0)))</f>
        <v/>
      </c>
      <c r="Q247" s="152">
        <f>IF(OR(C247="",L247=""),0,IF(AND(TRIM(C247)=TRIM(RIGHT(SUBSTITUTE(TRIM('02_대상물건입력'!$B$7)," ",REPT(" ",99)),99)),IF('02_대상물건입력'!B15="",TRUE(),ISNUMBER(SEARCH('02_대상물건입력'!B15,L247)))),1,0))</f>
        <v/>
      </c>
      <c r="R247" s="175">
        <f>IFERROR(ABS(E247-'02_대상물건입력'!B11)/'02_대상물건입력'!B11,"")</f>
        <v/>
      </c>
      <c r="S247" s="152">
        <f>IFERROR(ABS(J247-'02_대상물건입력'!B10),"")</f>
        <v/>
      </c>
      <c r="T247" s="152">
        <f>IFERROR(ABS('01_설정'!B4-F247),"")</f>
        <v/>
      </c>
      <c r="U247" s="152">
        <f>IFERROR(ABS(K247-YEAR('02_대상물건입력'!B14)),"")</f>
        <v/>
      </c>
      <c r="V247" s="152">
        <f>IF(B247="","",IF(AND(E247&gt;0,F247&gt;0,H247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247=1,TRUE()),R247&lt;='01_설정'!B5,S247&lt;='01_설정'!B6,T247&lt;='01_설정'!B7,U247&lt;='01_설정'!B8),"Y",""))</f>
        <v/>
      </c>
      <c r="W247" s="172">
        <f>IF(V247&lt;&gt;"Y","",MAX(0,(1-R247/'01_설정'!B5))*'01_설정'!B14+MAX(0,(1-S247/'01_설정'!B6))*'01_설정'!B15+MAX(0,(1-T247/'01_설정'!B7))*'01_설정'!B16+MAX(0,(1-U247/'01_설정'!B8))*'01_설정'!B17+O247*'01_설정'!B11+Q247*'01_설정'!B12+P247*'01_설정'!B13+IF(Z247="",0,Z247))</f>
        <v/>
      </c>
      <c r="X247" s="152">
        <f>IF(W247="","",1+COUNTIFS($W$4:$W$3003,"&gt;"&amp;W247)+COUNTIFS($W$4:W247,W247)-1)</f>
        <v/>
      </c>
      <c r="Y247" s="175">
        <f>IF(OR(I247="",'02_대상물건입력'!B19="",'02_대상물건입력'!B19&lt;=0),"",ABS(I247-'02_대상물건입력'!B19)/'02_대상물건입력'!B19)</f>
        <v/>
      </c>
      <c r="Z247" s="172">
        <f>IF(OR(Y247="",'01_설정'!B31="",'01_설정'!B31&lt;=0,'01_설정'!B32="",'01_설정'!B32&lt;=0),"",MAX(0,(1-Y247/'01_설정'!B32))*'01_설정'!B31)</f>
        <v/>
      </c>
    </row>
    <row r="248" ht="17.25" customHeight="1">
      <c r="A248" s="152">
        <f>IF(INDEX('04A_국토부원자료'!$A:$A,ROW()+1)="","",ROW()-3)</f>
        <v/>
      </c>
      <c r="B248" s="48">
        <f>IFERROR(INDEX('04A_국토부원자료'!$A:$T,ROW()+1,MATCH("시군구",'04A_국토부원자료'!$A$4:$T$4,0)),"")</f>
        <v/>
      </c>
      <c r="C248" s="48">
        <f>IF(B248="","",IFERROR(INDEX('04A_국토부원자료'!$A:$T,ROW()+1,MATCH("번지",'04A_국토부원자료'!$A$4:$T$4,0)),""))</f>
        <v/>
      </c>
      <c r="D248" s="48">
        <f>IF(B248="","",IF(Q248=1,'02_대상물건입력'!$B$8,IFERROR(INDEX('04A_국토부원자료'!$A:$T,ROW()+1,MATCH("단지명",'04A_국토부원자료'!$A$4:$T$4,0)),"")))</f>
        <v/>
      </c>
      <c r="E248" s="172">
        <f>IFERROR(VALUE(SUBSTITUTE(INDEX('04A_국토부원자료'!$A:$T,ROW()+1,MATCH("전용면적(㎡)",'04A_국토부원자료'!$A$4:$T$4,0)),",","")),"")</f>
        <v/>
      </c>
      <c r="F2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8" s="51">
        <f>IFERROR(VALUE(SUBSTITUTE(INDEX('04A_국토부원자료'!$A:$T,ROW()+1,MATCH("거래금액(만원)",'04A_국토부원자료'!$A$4:$T$4,0)),",","")),"")</f>
        <v/>
      </c>
      <c r="H248" s="174">
        <f>IF(G248="","",G248*10000)</f>
        <v/>
      </c>
      <c r="I248" s="174">
        <f>IFERROR(IF(AND(H248&gt;0,E248&gt;0),H248/E248,""),"")</f>
        <v/>
      </c>
      <c r="J248" s="152">
        <f>IFERROR(VALUE(SUBSTITUTE(INDEX('04A_국토부원자료'!$A:$T,ROW()+1,MATCH("층",'04A_국토부원자료'!$A$4:$T$4,0)),",","")),"")</f>
        <v/>
      </c>
      <c r="K248" s="152">
        <f>IFERROR(VALUE(SUBSTITUTE(INDEX('04A_국토부원자료'!$A:$T,ROW()+1,MATCH("건축년도",'04A_국토부원자료'!$A$4:$T$4,0)),",","")),"")</f>
        <v/>
      </c>
      <c r="L248" s="176">
        <f>IFERROR(INDEX('04A_국토부원자료'!$A:$T,ROW()+1,MATCH("도로명",'04A_국토부원자료'!$A$4:$T$4,0)),"")</f>
        <v/>
      </c>
      <c r="M248" s="48">
        <f>IFERROR(INDEX('04A_국토부원자료'!$A:$T,ROW()+1,MATCH("거래유형",'04A_국토부원자료'!$A$4:$T$4,0)),"")</f>
        <v/>
      </c>
      <c r="N248" s="152">
        <f>IF(B248="","",IF('02_대상물건입력'!B5="",1,IF(ISNUMBER(SEARCH('02_대상물건입력'!B5,B248)),1,0)))</f>
        <v/>
      </c>
      <c r="O248" s="152">
        <f>IF(B248="","",IF('02_대상물건입력'!B6="",1,IF(ISNUMBER(SEARCH('02_대상물건입력'!B6,B248)),1,0)))</f>
        <v/>
      </c>
      <c r="P248" s="152">
        <f>IF(L248="","",IF('02_대상물건입력'!B15="",0,IF(ISNUMBER(SEARCH('02_대상물건입력'!B15,L248)),1,0)))</f>
        <v/>
      </c>
      <c r="Q248" s="152">
        <f>IF(OR(C248="",L248=""),0,IF(AND(TRIM(C248)=TRIM(RIGHT(SUBSTITUTE(TRIM('02_대상물건입력'!$B$7)," ",REPT(" ",99)),99)),IF('02_대상물건입력'!B15="",TRUE(),ISNUMBER(SEARCH('02_대상물건입력'!B15,L248)))),1,0))</f>
        <v/>
      </c>
      <c r="R248" s="175">
        <f>IFERROR(ABS(E248-'02_대상물건입력'!B11)/'02_대상물건입력'!B11,"")</f>
        <v/>
      </c>
      <c r="S248" s="152">
        <f>IFERROR(ABS(J248-'02_대상물건입력'!B10),"")</f>
        <v/>
      </c>
      <c r="T248" s="152">
        <f>IFERROR(ABS('01_설정'!B4-F248),"")</f>
        <v/>
      </c>
      <c r="U248" s="152">
        <f>IFERROR(ABS(K248-YEAR('02_대상물건입력'!B14)),"")</f>
        <v/>
      </c>
      <c r="V248" s="152">
        <f>IF(B248="","",IF(AND(E248&gt;0,F248&gt;0,H248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248=1,TRUE()),R248&lt;='01_설정'!B5,S248&lt;='01_설정'!B6,T248&lt;='01_설정'!B7,U248&lt;='01_설정'!B8),"Y",""))</f>
        <v/>
      </c>
      <c r="W248" s="172">
        <f>IF(V248&lt;&gt;"Y","",MAX(0,(1-R248/'01_설정'!B5))*'01_설정'!B14+MAX(0,(1-S248/'01_설정'!B6))*'01_설정'!B15+MAX(0,(1-T248/'01_설정'!B7))*'01_설정'!B16+MAX(0,(1-U248/'01_설정'!B8))*'01_설정'!B17+O248*'01_설정'!B11+Q248*'01_설정'!B12+P248*'01_설정'!B13+IF(Z248="",0,Z248))</f>
        <v/>
      </c>
      <c r="X248" s="152">
        <f>IF(W248="","",1+COUNTIFS($W$4:$W$3003,"&gt;"&amp;W248)+COUNTIFS($W$4:W248,W248)-1)</f>
        <v/>
      </c>
      <c r="Y248" s="175">
        <f>IF(OR(I248="",'02_대상물건입력'!B19="",'02_대상물건입력'!B19&lt;=0),"",ABS(I248-'02_대상물건입력'!B19)/'02_대상물건입력'!B19)</f>
        <v/>
      </c>
      <c r="Z248" s="172">
        <f>IF(OR(Y248="",'01_설정'!B31="",'01_설정'!B31&lt;=0,'01_설정'!B32="",'01_설정'!B32&lt;=0),"",MAX(0,(1-Y248/'01_설정'!B32))*'01_설정'!B31)</f>
        <v/>
      </c>
    </row>
    <row r="249" ht="17.25" customHeight="1">
      <c r="A249" s="152">
        <f>IF(INDEX('04A_국토부원자료'!$A:$A,ROW()+1)="","",ROW()-3)</f>
        <v/>
      </c>
      <c r="B249" s="48">
        <f>IFERROR(INDEX('04A_국토부원자료'!$A:$T,ROW()+1,MATCH("시군구",'04A_국토부원자료'!$A$4:$T$4,0)),"")</f>
        <v/>
      </c>
      <c r="C249" s="48">
        <f>IF(B249="","",IFERROR(INDEX('04A_국토부원자료'!$A:$T,ROW()+1,MATCH("번지",'04A_국토부원자료'!$A$4:$T$4,0)),""))</f>
        <v/>
      </c>
      <c r="D249" s="48">
        <f>IF(B249="","",IF(Q249=1,'02_대상물건입력'!$B$8,IFERROR(INDEX('04A_국토부원자료'!$A:$T,ROW()+1,MATCH("단지명",'04A_국토부원자료'!$A$4:$T$4,0)),"")))</f>
        <v/>
      </c>
      <c r="E249" s="172">
        <f>IFERROR(VALUE(SUBSTITUTE(INDEX('04A_국토부원자료'!$A:$T,ROW()+1,MATCH("전용면적(㎡)",'04A_국토부원자료'!$A$4:$T$4,0)),",","")),"")</f>
        <v/>
      </c>
      <c r="F2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9" s="51">
        <f>IFERROR(VALUE(SUBSTITUTE(INDEX('04A_국토부원자료'!$A:$T,ROW()+1,MATCH("거래금액(만원)",'04A_국토부원자료'!$A$4:$T$4,0)),",","")),"")</f>
        <v/>
      </c>
      <c r="H249" s="174">
        <f>IF(G249="","",G249*10000)</f>
        <v/>
      </c>
      <c r="I249" s="174">
        <f>IFERROR(IF(AND(H249&gt;0,E249&gt;0),H249/E249,""),"")</f>
        <v/>
      </c>
      <c r="J249" s="152">
        <f>IFERROR(VALUE(SUBSTITUTE(INDEX('04A_국토부원자료'!$A:$T,ROW()+1,MATCH("층",'04A_국토부원자료'!$A$4:$T$4,0)),",","")),"")</f>
        <v/>
      </c>
      <c r="K249" s="152">
        <f>IFERROR(VALUE(SUBSTITUTE(INDEX('04A_국토부원자료'!$A:$T,ROW()+1,MATCH("건축년도",'04A_국토부원자료'!$A$4:$T$4,0)),",","")),"")</f>
        <v/>
      </c>
      <c r="L249" s="176">
        <f>IFERROR(INDEX('04A_국토부원자료'!$A:$T,ROW()+1,MATCH("도로명",'04A_국토부원자료'!$A$4:$T$4,0)),"")</f>
        <v/>
      </c>
      <c r="M249" s="48">
        <f>IFERROR(INDEX('04A_국토부원자료'!$A:$T,ROW()+1,MATCH("거래유형",'04A_국토부원자료'!$A$4:$T$4,0)),"")</f>
        <v/>
      </c>
      <c r="N249" s="152">
        <f>IF(B249="","",IF('02_대상물건입력'!B5="",1,IF(ISNUMBER(SEARCH('02_대상물건입력'!B5,B249)),1,0)))</f>
        <v/>
      </c>
      <c r="O249" s="152">
        <f>IF(B249="","",IF('02_대상물건입력'!B6="",1,IF(ISNUMBER(SEARCH('02_대상물건입력'!B6,B249)),1,0)))</f>
        <v/>
      </c>
      <c r="P249" s="152">
        <f>IF(L249="","",IF('02_대상물건입력'!B15="",0,IF(ISNUMBER(SEARCH('02_대상물건입력'!B15,L249)),1,0)))</f>
        <v/>
      </c>
      <c r="Q249" s="152">
        <f>IF(OR(C249="",L249=""),0,IF(AND(TRIM(C249)=TRIM(RIGHT(SUBSTITUTE(TRIM('02_대상물건입력'!$B$7)," ",REPT(" ",99)),99)),IF('02_대상물건입력'!B15="",TRUE(),ISNUMBER(SEARCH('02_대상물건입력'!B15,L249)))),1,0))</f>
        <v/>
      </c>
      <c r="R249" s="175">
        <f>IFERROR(ABS(E249-'02_대상물건입력'!B11)/'02_대상물건입력'!B11,"")</f>
        <v/>
      </c>
      <c r="S249" s="152">
        <f>IFERROR(ABS(J249-'02_대상물건입력'!B10),"")</f>
        <v/>
      </c>
      <c r="T249" s="152">
        <f>IFERROR(ABS('01_설정'!B4-F249),"")</f>
        <v/>
      </c>
      <c r="U249" s="152">
        <f>IFERROR(ABS(K249-YEAR('02_대상물건입력'!B14)),"")</f>
        <v/>
      </c>
      <c r="V249" s="152">
        <f>IF(B249="","",IF(AND(E249&gt;0,F249&gt;0,H249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249=1,TRUE()),R249&lt;='01_설정'!B5,S249&lt;='01_설정'!B6,T249&lt;='01_설정'!B7,U249&lt;='01_설정'!B8),"Y",""))</f>
        <v/>
      </c>
      <c r="W249" s="172">
        <f>IF(V249&lt;&gt;"Y","",MAX(0,(1-R249/'01_설정'!B5))*'01_설정'!B14+MAX(0,(1-S249/'01_설정'!B6))*'01_설정'!B15+MAX(0,(1-T249/'01_설정'!B7))*'01_설정'!B16+MAX(0,(1-U249/'01_설정'!B8))*'01_설정'!B17+O249*'01_설정'!B11+Q249*'01_설정'!B12+P249*'01_설정'!B13+IF(Z249="",0,Z249))</f>
        <v/>
      </c>
      <c r="X249" s="152">
        <f>IF(W249="","",1+COUNTIFS($W$4:$W$3003,"&gt;"&amp;W249)+COUNTIFS($W$4:W249,W249)-1)</f>
        <v/>
      </c>
      <c r="Y249" s="175">
        <f>IF(OR(I249="",'02_대상물건입력'!B19="",'02_대상물건입력'!B19&lt;=0),"",ABS(I249-'02_대상물건입력'!B19)/'02_대상물건입력'!B19)</f>
        <v/>
      </c>
      <c r="Z249" s="172">
        <f>IF(OR(Y249="",'01_설정'!B31="",'01_설정'!B31&lt;=0,'01_설정'!B32="",'01_설정'!B32&lt;=0),"",MAX(0,(1-Y249/'01_설정'!B32))*'01_설정'!B31)</f>
        <v/>
      </c>
    </row>
    <row r="250" ht="17.25" customHeight="1">
      <c r="A250" s="152">
        <f>IF(INDEX('04A_국토부원자료'!$A:$A,ROW()+1)="","",ROW()-3)</f>
        <v/>
      </c>
      <c r="B250" s="48">
        <f>IFERROR(INDEX('04A_국토부원자료'!$A:$T,ROW()+1,MATCH("시군구",'04A_국토부원자료'!$A$4:$T$4,0)),"")</f>
        <v/>
      </c>
      <c r="C250" s="48">
        <f>IF(B250="","",IFERROR(INDEX('04A_국토부원자료'!$A:$T,ROW()+1,MATCH("번지",'04A_국토부원자료'!$A$4:$T$4,0)),""))</f>
        <v/>
      </c>
      <c r="D250" s="48">
        <f>IF(B250="","",IF(Q250=1,'02_대상물건입력'!$B$8,IFERROR(INDEX('04A_국토부원자료'!$A:$T,ROW()+1,MATCH("단지명",'04A_국토부원자료'!$A$4:$T$4,0)),"")))</f>
        <v/>
      </c>
      <c r="E250" s="172">
        <f>IFERROR(VALUE(SUBSTITUTE(INDEX('04A_국토부원자료'!$A:$T,ROW()+1,MATCH("전용면적(㎡)",'04A_국토부원자료'!$A$4:$T$4,0)),",","")),"")</f>
        <v/>
      </c>
      <c r="F2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0" s="51">
        <f>IFERROR(VALUE(SUBSTITUTE(INDEX('04A_국토부원자료'!$A:$T,ROW()+1,MATCH("거래금액(만원)",'04A_국토부원자료'!$A$4:$T$4,0)),",","")),"")</f>
        <v/>
      </c>
      <c r="H250" s="174">
        <f>IF(G250="","",G250*10000)</f>
        <v/>
      </c>
      <c r="I250" s="174">
        <f>IFERROR(IF(AND(H250&gt;0,E250&gt;0),H250/E250,""),"")</f>
        <v/>
      </c>
      <c r="J250" s="152">
        <f>IFERROR(VALUE(SUBSTITUTE(INDEX('04A_국토부원자료'!$A:$T,ROW()+1,MATCH("층",'04A_국토부원자료'!$A$4:$T$4,0)),",","")),"")</f>
        <v/>
      </c>
      <c r="K250" s="152">
        <f>IFERROR(VALUE(SUBSTITUTE(INDEX('04A_국토부원자료'!$A:$T,ROW()+1,MATCH("건축년도",'04A_국토부원자료'!$A$4:$T$4,0)),",","")),"")</f>
        <v/>
      </c>
      <c r="L250" s="176">
        <f>IFERROR(INDEX('04A_국토부원자료'!$A:$T,ROW()+1,MATCH("도로명",'04A_국토부원자료'!$A$4:$T$4,0)),"")</f>
        <v/>
      </c>
      <c r="M250" s="48">
        <f>IFERROR(INDEX('04A_국토부원자료'!$A:$T,ROW()+1,MATCH("거래유형",'04A_국토부원자료'!$A$4:$T$4,0)),"")</f>
        <v/>
      </c>
      <c r="N250" s="152">
        <f>IF(B250="","",IF('02_대상물건입력'!B5="",1,IF(ISNUMBER(SEARCH('02_대상물건입력'!B5,B250)),1,0)))</f>
        <v/>
      </c>
      <c r="O250" s="152">
        <f>IF(B250="","",IF('02_대상물건입력'!B6="",1,IF(ISNUMBER(SEARCH('02_대상물건입력'!B6,B250)),1,0)))</f>
        <v/>
      </c>
      <c r="P250" s="152">
        <f>IF(L250="","",IF('02_대상물건입력'!B15="",0,IF(ISNUMBER(SEARCH('02_대상물건입력'!B15,L250)),1,0)))</f>
        <v/>
      </c>
      <c r="Q250" s="152">
        <f>IF(OR(C250="",L250=""),0,IF(AND(TRIM(C250)=TRIM(RIGHT(SUBSTITUTE(TRIM('02_대상물건입력'!$B$7)," ",REPT(" ",99)),99)),IF('02_대상물건입력'!B15="",TRUE(),ISNUMBER(SEARCH('02_대상물건입력'!B15,L250)))),1,0))</f>
        <v/>
      </c>
      <c r="R250" s="175">
        <f>IFERROR(ABS(E250-'02_대상물건입력'!B11)/'02_대상물건입력'!B11,"")</f>
        <v/>
      </c>
      <c r="S250" s="152">
        <f>IFERROR(ABS(J250-'02_대상물건입력'!B10),"")</f>
        <v/>
      </c>
      <c r="T250" s="152">
        <f>IFERROR(ABS('01_설정'!B4-F250),"")</f>
        <v/>
      </c>
      <c r="U250" s="152">
        <f>IFERROR(ABS(K250-YEAR('02_대상물건입력'!B14)),"")</f>
        <v/>
      </c>
      <c r="V250" s="152">
        <f>IF(B250="","",IF(AND(E250&gt;0,F250&gt;0,H250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250=1,TRUE()),R250&lt;='01_설정'!B5,S250&lt;='01_설정'!B6,T250&lt;='01_설정'!B7,U250&lt;='01_설정'!B8),"Y",""))</f>
        <v/>
      </c>
      <c r="W250" s="172">
        <f>IF(V250&lt;&gt;"Y","",MAX(0,(1-R250/'01_설정'!B5))*'01_설정'!B14+MAX(0,(1-S250/'01_설정'!B6))*'01_설정'!B15+MAX(0,(1-T250/'01_설정'!B7))*'01_설정'!B16+MAX(0,(1-U250/'01_설정'!B8))*'01_설정'!B17+O250*'01_설정'!B11+Q250*'01_설정'!B12+P250*'01_설정'!B13+IF(Z250="",0,Z250))</f>
        <v/>
      </c>
      <c r="X250" s="152">
        <f>IF(W250="","",1+COUNTIFS($W$4:$W$3003,"&gt;"&amp;W250)+COUNTIFS($W$4:W250,W250)-1)</f>
        <v/>
      </c>
      <c r="Y250" s="175">
        <f>IF(OR(I250="",'02_대상물건입력'!B19="",'02_대상물건입력'!B19&lt;=0),"",ABS(I250-'02_대상물건입력'!B19)/'02_대상물건입력'!B19)</f>
        <v/>
      </c>
      <c r="Z250" s="172">
        <f>IF(OR(Y250="",'01_설정'!B31="",'01_설정'!B31&lt;=0,'01_설정'!B32="",'01_설정'!B32&lt;=0),"",MAX(0,(1-Y250/'01_설정'!B32))*'01_설정'!B31)</f>
        <v/>
      </c>
    </row>
    <row r="251" ht="17.25" customHeight="1">
      <c r="A251" s="152">
        <f>IF(INDEX('04A_국토부원자료'!$A:$A,ROW()+1)="","",ROW()-3)</f>
        <v/>
      </c>
      <c r="B251" s="48">
        <f>IFERROR(INDEX('04A_국토부원자료'!$A:$T,ROW()+1,MATCH("시군구",'04A_국토부원자료'!$A$4:$T$4,0)),"")</f>
        <v/>
      </c>
      <c r="C251" s="48">
        <f>IF(B251="","",IFERROR(INDEX('04A_국토부원자료'!$A:$T,ROW()+1,MATCH("번지",'04A_국토부원자료'!$A$4:$T$4,0)),""))</f>
        <v/>
      </c>
      <c r="D251" s="48">
        <f>IF(B251="","",IF(Q251=1,'02_대상물건입력'!$B$8,IFERROR(INDEX('04A_국토부원자료'!$A:$T,ROW()+1,MATCH("단지명",'04A_국토부원자료'!$A$4:$T$4,0)),"")))</f>
        <v/>
      </c>
      <c r="E251" s="172">
        <f>IFERROR(VALUE(SUBSTITUTE(INDEX('04A_국토부원자료'!$A:$T,ROW()+1,MATCH("전용면적(㎡)",'04A_국토부원자료'!$A$4:$T$4,0)),",","")),"")</f>
        <v/>
      </c>
      <c r="F2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1" s="51">
        <f>IFERROR(VALUE(SUBSTITUTE(INDEX('04A_국토부원자료'!$A:$T,ROW()+1,MATCH("거래금액(만원)",'04A_국토부원자료'!$A$4:$T$4,0)),",","")),"")</f>
        <v/>
      </c>
      <c r="H251" s="174">
        <f>IF(G251="","",G251*10000)</f>
        <v/>
      </c>
      <c r="I251" s="174">
        <f>IFERROR(IF(AND(H251&gt;0,E251&gt;0),H251/E251,""),"")</f>
        <v/>
      </c>
      <c r="J251" s="152">
        <f>IFERROR(VALUE(SUBSTITUTE(INDEX('04A_국토부원자료'!$A:$T,ROW()+1,MATCH("층",'04A_국토부원자료'!$A$4:$T$4,0)),",","")),"")</f>
        <v/>
      </c>
      <c r="K251" s="152">
        <f>IFERROR(VALUE(SUBSTITUTE(INDEX('04A_국토부원자료'!$A:$T,ROW()+1,MATCH("건축년도",'04A_국토부원자료'!$A$4:$T$4,0)),",","")),"")</f>
        <v/>
      </c>
      <c r="L251" s="176">
        <f>IFERROR(INDEX('04A_국토부원자료'!$A:$T,ROW()+1,MATCH("도로명",'04A_국토부원자료'!$A$4:$T$4,0)),"")</f>
        <v/>
      </c>
      <c r="M251" s="48">
        <f>IFERROR(INDEX('04A_국토부원자료'!$A:$T,ROW()+1,MATCH("거래유형",'04A_국토부원자료'!$A$4:$T$4,0)),"")</f>
        <v/>
      </c>
      <c r="N251" s="152">
        <f>IF(B251="","",IF('02_대상물건입력'!B5="",1,IF(ISNUMBER(SEARCH('02_대상물건입력'!B5,B251)),1,0)))</f>
        <v/>
      </c>
      <c r="O251" s="152">
        <f>IF(B251="","",IF('02_대상물건입력'!B6="",1,IF(ISNUMBER(SEARCH('02_대상물건입력'!B6,B251)),1,0)))</f>
        <v/>
      </c>
      <c r="P251" s="152">
        <f>IF(L251="","",IF('02_대상물건입력'!B15="",0,IF(ISNUMBER(SEARCH('02_대상물건입력'!B15,L251)),1,0)))</f>
        <v/>
      </c>
      <c r="Q251" s="152">
        <f>IF(OR(C251="",L251=""),0,IF(AND(TRIM(C251)=TRIM(RIGHT(SUBSTITUTE(TRIM('02_대상물건입력'!$B$7)," ",REPT(" ",99)),99)),IF('02_대상물건입력'!B15="",TRUE(),ISNUMBER(SEARCH('02_대상물건입력'!B15,L251)))),1,0))</f>
        <v/>
      </c>
      <c r="R251" s="175">
        <f>IFERROR(ABS(E251-'02_대상물건입력'!B11)/'02_대상물건입력'!B11,"")</f>
        <v/>
      </c>
      <c r="S251" s="152">
        <f>IFERROR(ABS(J251-'02_대상물건입력'!B10),"")</f>
        <v/>
      </c>
      <c r="T251" s="152">
        <f>IFERROR(ABS('01_설정'!B4-F251),"")</f>
        <v/>
      </c>
      <c r="U251" s="152">
        <f>IFERROR(ABS(K251-YEAR('02_대상물건입력'!B14)),"")</f>
        <v/>
      </c>
      <c r="V251" s="152">
        <f>IF(B251="","",IF(AND(E251&gt;0,F251&gt;0,H251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251=1,TRUE()),R251&lt;='01_설정'!B5,S251&lt;='01_설정'!B6,T251&lt;='01_설정'!B7,U251&lt;='01_설정'!B8),"Y",""))</f>
        <v/>
      </c>
      <c r="W251" s="172">
        <f>IF(V251&lt;&gt;"Y","",MAX(0,(1-R251/'01_설정'!B5))*'01_설정'!B14+MAX(0,(1-S251/'01_설정'!B6))*'01_설정'!B15+MAX(0,(1-T251/'01_설정'!B7))*'01_설정'!B16+MAX(0,(1-U251/'01_설정'!B8))*'01_설정'!B17+O251*'01_설정'!B11+Q251*'01_설정'!B12+P251*'01_설정'!B13+IF(Z251="",0,Z251))</f>
        <v/>
      </c>
      <c r="X251" s="152">
        <f>IF(W251="","",1+COUNTIFS($W$4:$W$3003,"&gt;"&amp;W251)+COUNTIFS($W$4:W251,W251)-1)</f>
        <v/>
      </c>
      <c r="Y251" s="175">
        <f>IF(OR(I251="",'02_대상물건입력'!B19="",'02_대상물건입력'!B19&lt;=0),"",ABS(I251-'02_대상물건입력'!B19)/'02_대상물건입력'!B19)</f>
        <v/>
      </c>
      <c r="Z251" s="172">
        <f>IF(OR(Y251="",'01_설정'!B31="",'01_설정'!B31&lt;=0,'01_설정'!B32="",'01_설정'!B32&lt;=0),"",MAX(0,(1-Y251/'01_설정'!B32))*'01_설정'!B31)</f>
        <v/>
      </c>
    </row>
    <row r="252" ht="17.25" customHeight="1">
      <c r="A252" s="152">
        <f>IF(INDEX('04A_국토부원자료'!$A:$A,ROW()+1)="","",ROW()-3)</f>
        <v/>
      </c>
      <c r="B252" s="48">
        <f>IFERROR(INDEX('04A_국토부원자료'!$A:$T,ROW()+1,MATCH("시군구",'04A_국토부원자료'!$A$4:$T$4,0)),"")</f>
        <v/>
      </c>
      <c r="C252" s="48">
        <f>IF(B252="","",IFERROR(INDEX('04A_국토부원자료'!$A:$T,ROW()+1,MATCH("번지",'04A_국토부원자료'!$A$4:$T$4,0)),""))</f>
        <v/>
      </c>
      <c r="D252" s="48">
        <f>IF(B252="","",IF(Q252=1,'02_대상물건입력'!$B$8,IFERROR(INDEX('04A_국토부원자료'!$A:$T,ROW()+1,MATCH("단지명",'04A_국토부원자료'!$A$4:$T$4,0)),"")))</f>
        <v/>
      </c>
      <c r="E252" s="172">
        <f>IFERROR(VALUE(SUBSTITUTE(INDEX('04A_국토부원자료'!$A:$T,ROW()+1,MATCH("전용면적(㎡)",'04A_국토부원자료'!$A$4:$T$4,0)),",","")),"")</f>
        <v/>
      </c>
      <c r="F2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2" s="51">
        <f>IFERROR(VALUE(SUBSTITUTE(INDEX('04A_국토부원자료'!$A:$T,ROW()+1,MATCH("거래금액(만원)",'04A_국토부원자료'!$A$4:$T$4,0)),",","")),"")</f>
        <v/>
      </c>
      <c r="H252" s="174">
        <f>IF(G252="","",G252*10000)</f>
        <v/>
      </c>
      <c r="I252" s="174">
        <f>IFERROR(IF(AND(H252&gt;0,E252&gt;0),H252/E252,""),"")</f>
        <v/>
      </c>
      <c r="J252" s="152">
        <f>IFERROR(VALUE(SUBSTITUTE(INDEX('04A_국토부원자료'!$A:$T,ROW()+1,MATCH("층",'04A_국토부원자료'!$A$4:$T$4,0)),",","")),"")</f>
        <v/>
      </c>
      <c r="K252" s="152">
        <f>IFERROR(VALUE(SUBSTITUTE(INDEX('04A_국토부원자료'!$A:$T,ROW()+1,MATCH("건축년도",'04A_국토부원자료'!$A$4:$T$4,0)),",","")),"")</f>
        <v/>
      </c>
      <c r="L252" s="176">
        <f>IFERROR(INDEX('04A_국토부원자료'!$A:$T,ROW()+1,MATCH("도로명",'04A_국토부원자료'!$A$4:$T$4,0)),"")</f>
        <v/>
      </c>
      <c r="M252" s="48">
        <f>IFERROR(INDEX('04A_국토부원자료'!$A:$T,ROW()+1,MATCH("거래유형",'04A_국토부원자료'!$A$4:$T$4,0)),"")</f>
        <v/>
      </c>
      <c r="N252" s="152">
        <f>IF(B252="","",IF('02_대상물건입력'!B5="",1,IF(ISNUMBER(SEARCH('02_대상물건입력'!B5,B252)),1,0)))</f>
        <v/>
      </c>
      <c r="O252" s="152">
        <f>IF(B252="","",IF('02_대상물건입력'!B6="",1,IF(ISNUMBER(SEARCH('02_대상물건입력'!B6,B252)),1,0)))</f>
        <v/>
      </c>
      <c r="P252" s="152">
        <f>IF(L252="","",IF('02_대상물건입력'!B15="",0,IF(ISNUMBER(SEARCH('02_대상물건입력'!B15,L252)),1,0)))</f>
        <v/>
      </c>
      <c r="Q252" s="152">
        <f>IF(OR(C252="",L252=""),0,IF(AND(TRIM(C252)=TRIM(RIGHT(SUBSTITUTE(TRIM('02_대상물건입력'!$B$7)," ",REPT(" ",99)),99)),IF('02_대상물건입력'!B15="",TRUE(),ISNUMBER(SEARCH('02_대상물건입력'!B15,L252)))),1,0))</f>
        <v/>
      </c>
      <c r="R252" s="175">
        <f>IFERROR(ABS(E252-'02_대상물건입력'!B11)/'02_대상물건입력'!B11,"")</f>
        <v/>
      </c>
      <c r="S252" s="152">
        <f>IFERROR(ABS(J252-'02_대상물건입력'!B10),"")</f>
        <v/>
      </c>
      <c r="T252" s="152">
        <f>IFERROR(ABS('01_설정'!B4-F252),"")</f>
        <v/>
      </c>
      <c r="U252" s="152">
        <f>IFERROR(ABS(K252-YEAR('02_대상물건입력'!B14)),"")</f>
        <v/>
      </c>
      <c r="V252" s="152">
        <f>IF(B252="","",IF(AND(E252&gt;0,F252&gt;0,H252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252=1,TRUE()),R252&lt;='01_설정'!B5,S252&lt;='01_설정'!B6,T252&lt;='01_설정'!B7,U252&lt;='01_설정'!B8),"Y",""))</f>
        <v/>
      </c>
      <c r="W252" s="172">
        <f>IF(V252&lt;&gt;"Y","",MAX(0,(1-R252/'01_설정'!B5))*'01_설정'!B14+MAX(0,(1-S252/'01_설정'!B6))*'01_설정'!B15+MAX(0,(1-T252/'01_설정'!B7))*'01_설정'!B16+MAX(0,(1-U252/'01_설정'!B8))*'01_설정'!B17+O252*'01_설정'!B11+Q252*'01_설정'!B12+P252*'01_설정'!B13+IF(Z252="",0,Z252))</f>
        <v/>
      </c>
      <c r="X252" s="152">
        <f>IF(W252="","",1+COUNTIFS($W$4:$W$3003,"&gt;"&amp;W252)+COUNTIFS($W$4:W252,W252)-1)</f>
        <v/>
      </c>
      <c r="Y252" s="175">
        <f>IF(OR(I252="",'02_대상물건입력'!B19="",'02_대상물건입력'!B19&lt;=0),"",ABS(I252-'02_대상물건입력'!B19)/'02_대상물건입력'!B19)</f>
        <v/>
      </c>
      <c r="Z252" s="172">
        <f>IF(OR(Y252="",'01_설정'!B31="",'01_설정'!B31&lt;=0,'01_설정'!B32="",'01_설정'!B32&lt;=0),"",MAX(0,(1-Y252/'01_설정'!B32))*'01_설정'!B31)</f>
        <v/>
      </c>
    </row>
    <row r="253" ht="17.25" customHeight="1">
      <c r="A253" s="152">
        <f>IF(INDEX('04A_국토부원자료'!$A:$A,ROW()+1)="","",ROW()-3)</f>
        <v/>
      </c>
      <c r="B253" s="48">
        <f>IFERROR(INDEX('04A_국토부원자료'!$A:$T,ROW()+1,MATCH("시군구",'04A_국토부원자료'!$A$4:$T$4,0)),"")</f>
        <v/>
      </c>
      <c r="C253" s="48">
        <f>IF(B253="","",IFERROR(INDEX('04A_국토부원자료'!$A:$T,ROW()+1,MATCH("번지",'04A_국토부원자료'!$A$4:$T$4,0)),""))</f>
        <v/>
      </c>
      <c r="D253" s="48">
        <f>IF(B253="","",IF(Q253=1,'02_대상물건입력'!$B$8,IFERROR(INDEX('04A_국토부원자료'!$A:$T,ROW()+1,MATCH("단지명",'04A_국토부원자료'!$A$4:$T$4,0)),"")))</f>
        <v/>
      </c>
      <c r="E253" s="172">
        <f>IFERROR(VALUE(SUBSTITUTE(INDEX('04A_국토부원자료'!$A:$T,ROW()+1,MATCH("전용면적(㎡)",'04A_국토부원자료'!$A$4:$T$4,0)),",","")),"")</f>
        <v/>
      </c>
      <c r="F2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3" s="51">
        <f>IFERROR(VALUE(SUBSTITUTE(INDEX('04A_국토부원자료'!$A:$T,ROW()+1,MATCH("거래금액(만원)",'04A_국토부원자료'!$A$4:$T$4,0)),",","")),"")</f>
        <v/>
      </c>
      <c r="H253" s="174">
        <f>IF(G253="","",G253*10000)</f>
        <v/>
      </c>
      <c r="I253" s="174">
        <f>IFERROR(IF(AND(H253&gt;0,E253&gt;0),H253/E253,""),"")</f>
        <v/>
      </c>
      <c r="J253" s="152">
        <f>IFERROR(VALUE(SUBSTITUTE(INDEX('04A_국토부원자료'!$A:$T,ROW()+1,MATCH("층",'04A_국토부원자료'!$A$4:$T$4,0)),",","")),"")</f>
        <v/>
      </c>
      <c r="K253" s="152">
        <f>IFERROR(VALUE(SUBSTITUTE(INDEX('04A_국토부원자료'!$A:$T,ROW()+1,MATCH("건축년도",'04A_국토부원자료'!$A$4:$T$4,0)),",","")),"")</f>
        <v/>
      </c>
      <c r="L253" s="176">
        <f>IFERROR(INDEX('04A_국토부원자료'!$A:$T,ROW()+1,MATCH("도로명",'04A_국토부원자료'!$A$4:$T$4,0)),"")</f>
        <v/>
      </c>
      <c r="M253" s="48">
        <f>IFERROR(INDEX('04A_국토부원자료'!$A:$T,ROW()+1,MATCH("거래유형",'04A_국토부원자료'!$A$4:$T$4,0)),"")</f>
        <v/>
      </c>
      <c r="N253" s="152">
        <f>IF(B253="","",IF('02_대상물건입력'!B5="",1,IF(ISNUMBER(SEARCH('02_대상물건입력'!B5,B253)),1,0)))</f>
        <v/>
      </c>
      <c r="O253" s="152">
        <f>IF(B253="","",IF('02_대상물건입력'!B6="",1,IF(ISNUMBER(SEARCH('02_대상물건입력'!B6,B253)),1,0)))</f>
        <v/>
      </c>
      <c r="P253" s="152">
        <f>IF(L253="","",IF('02_대상물건입력'!B15="",0,IF(ISNUMBER(SEARCH('02_대상물건입력'!B15,L253)),1,0)))</f>
        <v/>
      </c>
      <c r="Q253" s="152">
        <f>IF(OR(C253="",L253=""),0,IF(AND(TRIM(C253)=TRIM(RIGHT(SUBSTITUTE(TRIM('02_대상물건입력'!$B$7)," ",REPT(" ",99)),99)),IF('02_대상물건입력'!B15="",TRUE(),ISNUMBER(SEARCH('02_대상물건입력'!B15,L253)))),1,0))</f>
        <v/>
      </c>
      <c r="R253" s="175">
        <f>IFERROR(ABS(E253-'02_대상물건입력'!B11)/'02_대상물건입력'!B11,"")</f>
        <v/>
      </c>
      <c r="S253" s="152">
        <f>IFERROR(ABS(J253-'02_대상물건입력'!B10),"")</f>
        <v/>
      </c>
      <c r="T253" s="152">
        <f>IFERROR(ABS('01_설정'!B4-F253),"")</f>
        <v/>
      </c>
      <c r="U253" s="152">
        <f>IFERROR(ABS(K253-YEAR('02_대상물건입력'!B14)),"")</f>
        <v/>
      </c>
      <c r="V253" s="152">
        <f>IF(B253="","",IF(AND(E253&gt;0,F253&gt;0,H253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253=1,TRUE()),R253&lt;='01_설정'!B5,S253&lt;='01_설정'!B6,T253&lt;='01_설정'!B7,U253&lt;='01_설정'!B8),"Y",""))</f>
        <v/>
      </c>
      <c r="W253" s="172">
        <f>IF(V253&lt;&gt;"Y","",MAX(0,(1-R253/'01_설정'!B5))*'01_설정'!B14+MAX(0,(1-S253/'01_설정'!B6))*'01_설정'!B15+MAX(0,(1-T253/'01_설정'!B7))*'01_설정'!B16+MAX(0,(1-U253/'01_설정'!B8))*'01_설정'!B17+O253*'01_설정'!B11+Q253*'01_설정'!B12+P253*'01_설정'!B13+IF(Z253="",0,Z253))</f>
        <v/>
      </c>
      <c r="X253" s="152">
        <f>IF(W253="","",1+COUNTIFS($W$4:$W$3003,"&gt;"&amp;W253)+COUNTIFS($W$4:W253,W253)-1)</f>
        <v/>
      </c>
      <c r="Y253" s="175">
        <f>IF(OR(I253="",'02_대상물건입력'!B19="",'02_대상물건입력'!B19&lt;=0),"",ABS(I253-'02_대상물건입력'!B19)/'02_대상물건입력'!B19)</f>
        <v/>
      </c>
      <c r="Z253" s="172">
        <f>IF(OR(Y253="",'01_설정'!B31="",'01_설정'!B31&lt;=0,'01_설정'!B32="",'01_설정'!B32&lt;=0),"",MAX(0,(1-Y253/'01_설정'!B32))*'01_설정'!B31)</f>
        <v/>
      </c>
    </row>
    <row r="254" ht="17.25" customHeight="1">
      <c r="A254" s="152">
        <f>IF(INDEX('04A_국토부원자료'!$A:$A,ROW()+1)="","",ROW()-3)</f>
        <v/>
      </c>
      <c r="B254" s="48">
        <f>IFERROR(INDEX('04A_국토부원자료'!$A:$T,ROW()+1,MATCH("시군구",'04A_국토부원자료'!$A$4:$T$4,0)),"")</f>
        <v/>
      </c>
      <c r="C254" s="48">
        <f>IF(B254="","",IFERROR(INDEX('04A_국토부원자료'!$A:$T,ROW()+1,MATCH("번지",'04A_국토부원자료'!$A$4:$T$4,0)),""))</f>
        <v/>
      </c>
      <c r="D254" s="48">
        <f>IF(B254="","",IF(Q254=1,'02_대상물건입력'!$B$8,IFERROR(INDEX('04A_국토부원자료'!$A:$T,ROW()+1,MATCH("단지명",'04A_국토부원자료'!$A$4:$T$4,0)),"")))</f>
        <v/>
      </c>
      <c r="E254" s="172">
        <f>IFERROR(VALUE(SUBSTITUTE(INDEX('04A_국토부원자료'!$A:$T,ROW()+1,MATCH("전용면적(㎡)",'04A_국토부원자료'!$A$4:$T$4,0)),",","")),"")</f>
        <v/>
      </c>
      <c r="F2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4" s="51">
        <f>IFERROR(VALUE(SUBSTITUTE(INDEX('04A_국토부원자료'!$A:$T,ROW()+1,MATCH("거래금액(만원)",'04A_국토부원자료'!$A$4:$T$4,0)),",","")),"")</f>
        <v/>
      </c>
      <c r="H254" s="174">
        <f>IF(G254="","",G254*10000)</f>
        <v/>
      </c>
      <c r="I254" s="174">
        <f>IFERROR(IF(AND(H254&gt;0,E254&gt;0),H254/E254,""),"")</f>
        <v/>
      </c>
      <c r="J254" s="152">
        <f>IFERROR(VALUE(SUBSTITUTE(INDEX('04A_국토부원자료'!$A:$T,ROW()+1,MATCH("층",'04A_국토부원자료'!$A$4:$T$4,0)),",","")),"")</f>
        <v/>
      </c>
      <c r="K254" s="152">
        <f>IFERROR(VALUE(SUBSTITUTE(INDEX('04A_국토부원자료'!$A:$T,ROW()+1,MATCH("건축년도",'04A_국토부원자료'!$A$4:$T$4,0)),",","")),"")</f>
        <v/>
      </c>
      <c r="L254" s="176">
        <f>IFERROR(INDEX('04A_국토부원자료'!$A:$T,ROW()+1,MATCH("도로명",'04A_국토부원자료'!$A$4:$T$4,0)),"")</f>
        <v/>
      </c>
      <c r="M254" s="48">
        <f>IFERROR(INDEX('04A_국토부원자료'!$A:$T,ROW()+1,MATCH("거래유형",'04A_국토부원자료'!$A$4:$T$4,0)),"")</f>
        <v/>
      </c>
      <c r="N254" s="152">
        <f>IF(B254="","",IF('02_대상물건입력'!B5="",1,IF(ISNUMBER(SEARCH('02_대상물건입력'!B5,B254)),1,0)))</f>
        <v/>
      </c>
      <c r="O254" s="152">
        <f>IF(B254="","",IF('02_대상물건입력'!B6="",1,IF(ISNUMBER(SEARCH('02_대상물건입력'!B6,B254)),1,0)))</f>
        <v/>
      </c>
      <c r="P254" s="152">
        <f>IF(L254="","",IF('02_대상물건입력'!B15="",0,IF(ISNUMBER(SEARCH('02_대상물건입력'!B15,L254)),1,0)))</f>
        <v/>
      </c>
      <c r="Q254" s="152">
        <f>IF(OR(C254="",L254=""),0,IF(AND(TRIM(C254)=TRIM(RIGHT(SUBSTITUTE(TRIM('02_대상물건입력'!$B$7)," ",REPT(" ",99)),99)),IF('02_대상물건입력'!B15="",TRUE(),ISNUMBER(SEARCH('02_대상물건입력'!B15,L254)))),1,0))</f>
        <v/>
      </c>
      <c r="R254" s="175">
        <f>IFERROR(ABS(E254-'02_대상물건입력'!B11)/'02_대상물건입력'!B11,"")</f>
        <v/>
      </c>
      <c r="S254" s="152">
        <f>IFERROR(ABS(J254-'02_대상물건입력'!B10),"")</f>
        <v/>
      </c>
      <c r="T254" s="152">
        <f>IFERROR(ABS('01_설정'!B4-F254),"")</f>
        <v/>
      </c>
      <c r="U254" s="152">
        <f>IFERROR(ABS(K254-YEAR('02_대상물건입력'!B14)),"")</f>
        <v/>
      </c>
      <c r="V254" s="152">
        <f>IF(B254="","",IF(AND(E254&gt;0,F254&gt;0,H254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254=1,TRUE()),R254&lt;='01_설정'!B5,S254&lt;='01_설정'!B6,T254&lt;='01_설정'!B7,U254&lt;='01_설정'!B8),"Y",""))</f>
        <v/>
      </c>
      <c r="W254" s="172">
        <f>IF(V254&lt;&gt;"Y","",MAX(0,(1-R254/'01_설정'!B5))*'01_설정'!B14+MAX(0,(1-S254/'01_설정'!B6))*'01_설정'!B15+MAX(0,(1-T254/'01_설정'!B7))*'01_설정'!B16+MAX(0,(1-U254/'01_설정'!B8))*'01_설정'!B17+O254*'01_설정'!B11+Q254*'01_설정'!B12+P254*'01_설정'!B13+IF(Z254="",0,Z254))</f>
        <v/>
      </c>
      <c r="X254" s="152">
        <f>IF(W254="","",1+COUNTIFS($W$4:$W$3003,"&gt;"&amp;W254)+COUNTIFS($W$4:W254,W254)-1)</f>
        <v/>
      </c>
      <c r="Y254" s="175">
        <f>IF(OR(I254="",'02_대상물건입력'!B19="",'02_대상물건입력'!B19&lt;=0),"",ABS(I254-'02_대상물건입력'!B19)/'02_대상물건입력'!B19)</f>
        <v/>
      </c>
      <c r="Z254" s="172">
        <f>IF(OR(Y254="",'01_설정'!B31="",'01_설정'!B31&lt;=0,'01_설정'!B32="",'01_설정'!B32&lt;=0),"",MAX(0,(1-Y254/'01_설정'!B32))*'01_설정'!B31)</f>
        <v/>
      </c>
    </row>
    <row r="255" ht="17.25" customHeight="1">
      <c r="A255" s="152">
        <f>IF(INDEX('04A_국토부원자료'!$A:$A,ROW()+1)="","",ROW()-3)</f>
        <v/>
      </c>
      <c r="B255" s="48">
        <f>IFERROR(INDEX('04A_국토부원자료'!$A:$T,ROW()+1,MATCH("시군구",'04A_국토부원자료'!$A$4:$T$4,0)),"")</f>
        <v/>
      </c>
      <c r="C255" s="48">
        <f>IF(B255="","",IFERROR(INDEX('04A_국토부원자료'!$A:$T,ROW()+1,MATCH("번지",'04A_국토부원자료'!$A$4:$T$4,0)),""))</f>
        <v/>
      </c>
      <c r="D255" s="48">
        <f>IF(B255="","",IF(Q255=1,'02_대상물건입력'!$B$8,IFERROR(INDEX('04A_국토부원자료'!$A:$T,ROW()+1,MATCH("단지명",'04A_국토부원자료'!$A$4:$T$4,0)),"")))</f>
        <v/>
      </c>
      <c r="E255" s="172">
        <f>IFERROR(VALUE(SUBSTITUTE(INDEX('04A_국토부원자료'!$A:$T,ROW()+1,MATCH("전용면적(㎡)",'04A_국토부원자료'!$A$4:$T$4,0)),",","")),"")</f>
        <v/>
      </c>
      <c r="F2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5" s="51">
        <f>IFERROR(VALUE(SUBSTITUTE(INDEX('04A_국토부원자료'!$A:$T,ROW()+1,MATCH("거래금액(만원)",'04A_국토부원자료'!$A$4:$T$4,0)),",","")),"")</f>
        <v/>
      </c>
      <c r="H255" s="174">
        <f>IF(G255="","",G255*10000)</f>
        <v/>
      </c>
      <c r="I255" s="174">
        <f>IFERROR(IF(AND(H255&gt;0,E255&gt;0),H255/E255,""),"")</f>
        <v/>
      </c>
      <c r="J255" s="152">
        <f>IFERROR(VALUE(SUBSTITUTE(INDEX('04A_국토부원자료'!$A:$T,ROW()+1,MATCH("층",'04A_국토부원자료'!$A$4:$T$4,0)),",","")),"")</f>
        <v/>
      </c>
      <c r="K255" s="152">
        <f>IFERROR(VALUE(SUBSTITUTE(INDEX('04A_국토부원자료'!$A:$T,ROW()+1,MATCH("건축년도",'04A_국토부원자료'!$A$4:$T$4,0)),",","")),"")</f>
        <v/>
      </c>
      <c r="L255" s="176">
        <f>IFERROR(INDEX('04A_국토부원자료'!$A:$T,ROW()+1,MATCH("도로명",'04A_국토부원자료'!$A$4:$T$4,0)),"")</f>
        <v/>
      </c>
      <c r="M255" s="48">
        <f>IFERROR(INDEX('04A_국토부원자료'!$A:$T,ROW()+1,MATCH("거래유형",'04A_국토부원자료'!$A$4:$T$4,0)),"")</f>
        <v/>
      </c>
      <c r="N255" s="152">
        <f>IF(B255="","",IF('02_대상물건입력'!B5="",1,IF(ISNUMBER(SEARCH('02_대상물건입력'!B5,B255)),1,0)))</f>
        <v/>
      </c>
      <c r="O255" s="152">
        <f>IF(B255="","",IF('02_대상물건입력'!B6="",1,IF(ISNUMBER(SEARCH('02_대상물건입력'!B6,B255)),1,0)))</f>
        <v/>
      </c>
      <c r="P255" s="152">
        <f>IF(L255="","",IF('02_대상물건입력'!B15="",0,IF(ISNUMBER(SEARCH('02_대상물건입력'!B15,L255)),1,0)))</f>
        <v/>
      </c>
      <c r="Q255" s="152">
        <f>IF(OR(C255="",L255=""),0,IF(AND(TRIM(C255)=TRIM(RIGHT(SUBSTITUTE(TRIM('02_대상물건입력'!$B$7)," ",REPT(" ",99)),99)),IF('02_대상물건입력'!B15="",TRUE(),ISNUMBER(SEARCH('02_대상물건입력'!B15,L255)))),1,0))</f>
        <v/>
      </c>
      <c r="R255" s="175">
        <f>IFERROR(ABS(E255-'02_대상물건입력'!B11)/'02_대상물건입력'!B11,"")</f>
        <v/>
      </c>
      <c r="S255" s="152">
        <f>IFERROR(ABS(J255-'02_대상물건입력'!B10),"")</f>
        <v/>
      </c>
      <c r="T255" s="152">
        <f>IFERROR(ABS('01_설정'!B4-F255),"")</f>
        <v/>
      </c>
      <c r="U255" s="152">
        <f>IFERROR(ABS(K255-YEAR('02_대상물건입력'!B14)),"")</f>
        <v/>
      </c>
      <c r="V255" s="152">
        <f>IF(B255="","",IF(AND(E255&gt;0,F255&gt;0,H255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255=1,TRUE()),R255&lt;='01_설정'!B5,S255&lt;='01_설정'!B6,T255&lt;='01_설정'!B7,U255&lt;='01_설정'!B8),"Y",""))</f>
        <v/>
      </c>
      <c r="W255" s="172">
        <f>IF(V255&lt;&gt;"Y","",MAX(0,(1-R255/'01_설정'!B5))*'01_설정'!B14+MAX(0,(1-S255/'01_설정'!B6))*'01_설정'!B15+MAX(0,(1-T255/'01_설정'!B7))*'01_설정'!B16+MAX(0,(1-U255/'01_설정'!B8))*'01_설정'!B17+O255*'01_설정'!B11+Q255*'01_설정'!B12+P255*'01_설정'!B13+IF(Z255="",0,Z255))</f>
        <v/>
      </c>
      <c r="X255" s="152">
        <f>IF(W255="","",1+COUNTIFS($W$4:$W$3003,"&gt;"&amp;W255)+COUNTIFS($W$4:W255,W255)-1)</f>
        <v/>
      </c>
      <c r="Y255" s="175">
        <f>IF(OR(I255="",'02_대상물건입력'!B19="",'02_대상물건입력'!B19&lt;=0),"",ABS(I255-'02_대상물건입력'!B19)/'02_대상물건입력'!B19)</f>
        <v/>
      </c>
      <c r="Z255" s="172">
        <f>IF(OR(Y255="",'01_설정'!B31="",'01_설정'!B31&lt;=0,'01_설정'!B32="",'01_설정'!B32&lt;=0),"",MAX(0,(1-Y255/'01_설정'!B32))*'01_설정'!B31)</f>
        <v/>
      </c>
    </row>
    <row r="256" ht="17.25" customHeight="1">
      <c r="A256" s="152">
        <f>IF(INDEX('04A_국토부원자료'!$A:$A,ROW()+1)="","",ROW()-3)</f>
        <v/>
      </c>
      <c r="B256" s="48">
        <f>IFERROR(INDEX('04A_국토부원자료'!$A:$T,ROW()+1,MATCH("시군구",'04A_국토부원자료'!$A$4:$T$4,0)),"")</f>
        <v/>
      </c>
      <c r="C256" s="48">
        <f>IF(B256="","",IFERROR(INDEX('04A_국토부원자료'!$A:$T,ROW()+1,MATCH("번지",'04A_국토부원자료'!$A$4:$T$4,0)),""))</f>
        <v/>
      </c>
      <c r="D256" s="48">
        <f>IF(B256="","",IF(Q256=1,'02_대상물건입력'!$B$8,IFERROR(INDEX('04A_국토부원자료'!$A:$T,ROW()+1,MATCH("단지명",'04A_국토부원자료'!$A$4:$T$4,0)),"")))</f>
        <v/>
      </c>
      <c r="E256" s="172">
        <f>IFERROR(VALUE(SUBSTITUTE(INDEX('04A_국토부원자료'!$A:$T,ROW()+1,MATCH("전용면적(㎡)",'04A_국토부원자료'!$A$4:$T$4,0)),",","")),"")</f>
        <v/>
      </c>
      <c r="F2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6" s="51">
        <f>IFERROR(VALUE(SUBSTITUTE(INDEX('04A_국토부원자료'!$A:$T,ROW()+1,MATCH("거래금액(만원)",'04A_국토부원자료'!$A$4:$T$4,0)),",","")),"")</f>
        <v/>
      </c>
      <c r="H256" s="174">
        <f>IF(G256="","",G256*10000)</f>
        <v/>
      </c>
      <c r="I256" s="174">
        <f>IFERROR(IF(AND(H256&gt;0,E256&gt;0),H256/E256,""),"")</f>
        <v/>
      </c>
      <c r="J256" s="152">
        <f>IFERROR(VALUE(SUBSTITUTE(INDEX('04A_국토부원자료'!$A:$T,ROW()+1,MATCH("층",'04A_국토부원자료'!$A$4:$T$4,0)),",","")),"")</f>
        <v/>
      </c>
      <c r="K256" s="152">
        <f>IFERROR(VALUE(SUBSTITUTE(INDEX('04A_국토부원자료'!$A:$T,ROW()+1,MATCH("건축년도",'04A_국토부원자료'!$A$4:$T$4,0)),",","")),"")</f>
        <v/>
      </c>
      <c r="L256" s="176">
        <f>IFERROR(INDEX('04A_국토부원자료'!$A:$T,ROW()+1,MATCH("도로명",'04A_국토부원자료'!$A$4:$T$4,0)),"")</f>
        <v/>
      </c>
      <c r="M256" s="48">
        <f>IFERROR(INDEX('04A_국토부원자료'!$A:$T,ROW()+1,MATCH("거래유형",'04A_국토부원자료'!$A$4:$T$4,0)),"")</f>
        <v/>
      </c>
      <c r="N256" s="152">
        <f>IF(B256="","",IF('02_대상물건입력'!B5="",1,IF(ISNUMBER(SEARCH('02_대상물건입력'!B5,B256)),1,0)))</f>
        <v/>
      </c>
      <c r="O256" s="152">
        <f>IF(B256="","",IF('02_대상물건입력'!B6="",1,IF(ISNUMBER(SEARCH('02_대상물건입력'!B6,B256)),1,0)))</f>
        <v/>
      </c>
      <c r="P256" s="152">
        <f>IF(L256="","",IF('02_대상물건입력'!B15="",0,IF(ISNUMBER(SEARCH('02_대상물건입력'!B15,L256)),1,0)))</f>
        <v/>
      </c>
      <c r="Q256" s="152">
        <f>IF(OR(C256="",L256=""),0,IF(AND(TRIM(C256)=TRIM(RIGHT(SUBSTITUTE(TRIM('02_대상물건입력'!$B$7)," ",REPT(" ",99)),99)),IF('02_대상물건입력'!B15="",TRUE(),ISNUMBER(SEARCH('02_대상물건입력'!B15,L256)))),1,0))</f>
        <v/>
      </c>
      <c r="R256" s="175">
        <f>IFERROR(ABS(E256-'02_대상물건입력'!B11)/'02_대상물건입력'!B11,"")</f>
        <v/>
      </c>
      <c r="S256" s="152">
        <f>IFERROR(ABS(J256-'02_대상물건입력'!B10),"")</f>
        <v/>
      </c>
      <c r="T256" s="152">
        <f>IFERROR(ABS('01_설정'!B4-F256),"")</f>
        <v/>
      </c>
      <c r="U256" s="152">
        <f>IFERROR(ABS(K256-YEAR('02_대상물건입력'!B14)),"")</f>
        <v/>
      </c>
      <c r="V256" s="152">
        <f>IF(B256="","",IF(AND(E256&gt;0,F256&gt;0,H256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256=1,TRUE()),R256&lt;='01_설정'!B5,S256&lt;='01_설정'!B6,T256&lt;='01_설정'!B7,U256&lt;='01_설정'!B8),"Y",""))</f>
        <v/>
      </c>
      <c r="W256" s="172">
        <f>IF(V256&lt;&gt;"Y","",MAX(0,(1-R256/'01_설정'!B5))*'01_설정'!B14+MAX(0,(1-S256/'01_설정'!B6))*'01_설정'!B15+MAX(0,(1-T256/'01_설정'!B7))*'01_설정'!B16+MAX(0,(1-U256/'01_설정'!B8))*'01_설정'!B17+O256*'01_설정'!B11+Q256*'01_설정'!B12+P256*'01_설정'!B13+IF(Z256="",0,Z256))</f>
        <v/>
      </c>
      <c r="X256" s="152">
        <f>IF(W256="","",1+COUNTIFS($W$4:$W$3003,"&gt;"&amp;W256)+COUNTIFS($W$4:W256,W256)-1)</f>
        <v/>
      </c>
      <c r="Y256" s="175">
        <f>IF(OR(I256="",'02_대상물건입력'!B19="",'02_대상물건입력'!B19&lt;=0),"",ABS(I256-'02_대상물건입력'!B19)/'02_대상물건입력'!B19)</f>
        <v/>
      </c>
      <c r="Z256" s="172">
        <f>IF(OR(Y256="",'01_설정'!B31="",'01_설정'!B31&lt;=0,'01_설정'!B32="",'01_설정'!B32&lt;=0),"",MAX(0,(1-Y256/'01_설정'!B32))*'01_설정'!B31)</f>
        <v/>
      </c>
    </row>
    <row r="257" ht="17.25" customHeight="1">
      <c r="A257" s="152">
        <f>IF(INDEX('04A_국토부원자료'!$A:$A,ROW()+1)="","",ROW()-3)</f>
        <v/>
      </c>
      <c r="B257" s="48">
        <f>IFERROR(INDEX('04A_국토부원자료'!$A:$T,ROW()+1,MATCH("시군구",'04A_국토부원자료'!$A$4:$T$4,0)),"")</f>
        <v/>
      </c>
      <c r="C257" s="48">
        <f>IF(B257="","",IFERROR(INDEX('04A_국토부원자료'!$A:$T,ROW()+1,MATCH("번지",'04A_국토부원자료'!$A$4:$T$4,0)),""))</f>
        <v/>
      </c>
      <c r="D257" s="48">
        <f>IF(B257="","",IF(Q257=1,'02_대상물건입력'!$B$8,IFERROR(INDEX('04A_국토부원자료'!$A:$T,ROW()+1,MATCH("단지명",'04A_국토부원자료'!$A$4:$T$4,0)),"")))</f>
        <v/>
      </c>
      <c r="E257" s="172">
        <f>IFERROR(VALUE(SUBSTITUTE(INDEX('04A_국토부원자료'!$A:$T,ROW()+1,MATCH("전용면적(㎡)",'04A_국토부원자료'!$A$4:$T$4,0)),",","")),"")</f>
        <v/>
      </c>
      <c r="F2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7" s="51">
        <f>IFERROR(VALUE(SUBSTITUTE(INDEX('04A_국토부원자료'!$A:$T,ROW()+1,MATCH("거래금액(만원)",'04A_국토부원자료'!$A$4:$T$4,0)),",","")),"")</f>
        <v/>
      </c>
      <c r="H257" s="174">
        <f>IF(G257="","",G257*10000)</f>
        <v/>
      </c>
      <c r="I257" s="174">
        <f>IFERROR(IF(AND(H257&gt;0,E257&gt;0),H257/E257,""),"")</f>
        <v/>
      </c>
      <c r="J257" s="152">
        <f>IFERROR(VALUE(SUBSTITUTE(INDEX('04A_국토부원자료'!$A:$T,ROW()+1,MATCH("층",'04A_국토부원자료'!$A$4:$T$4,0)),",","")),"")</f>
        <v/>
      </c>
      <c r="K257" s="152">
        <f>IFERROR(VALUE(SUBSTITUTE(INDEX('04A_국토부원자료'!$A:$T,ROW()+1,MATCH("건축년도",'04A_국토부원자료'!$A$4:$T$4,0)),",","")),"")</f>
        <v/>
      </c>
      <c r="L257" s="176">
        <f>IFERROR(INDEX('04A_국토부원자료'!$A:$T,ROW()+1,MATCH("도로명",'04A_국토부원자료'!$A$4:$T$4,0)),"")</f>
        <v/>
      </c>
      <c r="M257" s="48">
        <f>IFERROR(INDEX('04A_국토부원자료'!$A:$T,ROW()+1,MATCH("거래유형",'04A_국토부원자료'!$A$4:$T$4,0)),"")</f>
        <v/>
      </c>
      <c r="N257" s="152">
        <f>IF(B257="","",IF('02_대상물건입력'!B5="",1,IF(ISNUMBER(SEARCH('02_대상물건입력'!B5,B257)),1,0)))</f>
        <v/>
      </c>
      <c r="O257" s="152">
        <f>IF(B257="","",IF('02_대상물건입력'!B6="",1,IF(ISNUMBER(SEARCH('02_대상물건입력'!B6,B257)),1,0)))</f>
        <v/>
      </c>
      <c r="P257" s="152">
        <f>IF(L257="","",IF('02_대상물건입력'!B15="",0,IF(ISNUMBER(SEARCH('02_대상물건입력'!B15,L257)),1,0)))</f>
        <v/>
      </c>
      <c r="Q257" s="152">
        <f>IF(OR(C257="",L257=""),0,IF(AND(TRIM(C257)=TRIM(RIGHT(SUBSTITUTE(TRIM('02_대상물건입력'!$B$7)," ",REPT(" ",99)),99)),IF('02_대상물건입력'!B15="",TRUE(),ISNUMBER(SEARCH('02_대상물건입력'!B15,L257)))),1,0))</f>
        <v/>
      </c>
      <c r="R257" s="175">
        <f>IFERROR(ABS(E257-'02_대상물건입력'!B11)/'02_대상물건입력'!B11,"")</f>
        <v/>
      </c>
      <c r="S257" s="152">
        <f>IFERROR(ABS(J257-'02_대상물건입력'!B10),"")</f>
        <v/>
      </c>
      <c r="T257" s="152">
        <f>IFERROR(ABS('01_설정'!B4-F257),"")</f>
        <v/>
      </c>
      <c r="U257" s="152">
        <f>IFERROR(ABS(K257-YEAR('02_대상물건입력'!B14)),"")</f>
        <v/>
      </c>
      <c r="V257" s="152">
        <f>IF(B257="","",IF(AND(E257&gt;0,F257&gt;0,H257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257=1,TRUE()),R257&lt;='01_설정'!B5,S257&lt;='01_설정'!B6,T257&lt;='01_설정'!B7,U257&lt;='01_설정'!B8),"Y",""))</f>
        <v/>
      </c>
      <c r="W257" s="172">
        <f>IF(V257&lt;&gt;"Y","",MAX(0,(1-R257/'01_설정'!B5))*'01_설정'!B14+MAX(0,(1-S257/'01_설정'!B6))*'01_설정'!B15+MAX(0,(1-T257/'01_설정'!B7))*'01_설정'!B16+MAX(0,(1-U257/'01_설정'!B8))*'01_설정'!B17+O257*'01_설정'!B11+Q257*'01_설정'!B12+P257*'01_설정'!B13+IF(Z257="",0,Z257))</f>
        <v/>
      </c>
      <c r="X257" s="152">
        <f>IF(W257="","",1+COUNTIFS($W$4:$W$3003,"&gt;"&amp;W257)+COUNTIFS($W$4:W257,W257)-1)</f>
        <v/>
      </c>
      <c r="Y257" s="175">
        <f>IF(OR(I257="",'02_대상물건입력'!B19="",'02_대상물건입력'!B19&lt;=0),"",ABS(I257-'02_대상물건입력'!B19)/'02_대상물건입력'!B19)</f>
        <v/>
      </c>
      <c r="Z257" s="172">
        <f>IF(OR(Y257="",'01_설정'!B31="",'01_설정'!B31&lt;=0,'01_설정'!B32="",'01_설정'!B32&lt;=0),"",MAX(0,(1-Y257/'01_설정'!B32))*'01_설정'!B31)</f>
        <v/>
      </c>
    </row>
    <row r="258" ht="17.25" customHeight="1">
      <c r="A258" s="152">
        <f>IF(INDEX('04A_국토부원자료'!$A:$A,ROW()+1)="","",ROW()-3)</f>
        <v/>
      </c>
      <c r="B258" s="48">
        <f>IFERROR(INDEX('04A_국토부원자료'!$A:$T,ROW()+1,MATCH("시군구",'04A_국토부원자료'!$A$4:$T$4,0)),"")</f>
        <v/>
      </c>
      <c r="C258" s="48">
        <f>IF(B258="","",IFERROR(INDEX('04A_국토부원자료'!$A:$T,ROW()+1,MATCH("번지",'04A_국토부원자료'!$A$4:$T$4,0)),""))</f>
        <v/>
      </c>
      <c r="D258" s="48">
        <f>IF(B258="","",IF(Q258=1,'02_대상물건입력'!$B$8,IFERROR(INDEX('04A_국토부원자료'!$A:$T,ROW()+1,MATCH("단지명",'04A_국토부원자료'!$A$4:$T$4,0)),"")))</f>
        <v/>
      </c>
      <c r="E258" s="172">
        <f>IFERROR(VALUE(SUBSTITUTE(INDEX('04A_국토부원자료'!$A:$T,ROW()+1,MATCH("전용면적(㎡)",'04A_국토부원자료'!$A$4:$T$4,0)),",","")),"")</f>
        <v/>
      </c>
      <c r="F2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8" s="51">
        <f>IFERROR(VALUE(SUBSTITUTE(INDEX('04A_국토부원자료'!$A:$T,ROW()+1,MATCH("거래금액(만원)",'04A_국토부원자료'!$A$4:$T$4,0)),",","")),"")</f>
        <v/>
      </c>
      <c r="H258" s="174">
        <f>IF(G258="","",G258*10000)</f>
        <v/>
      </c>
      <c r="I258" s="174">
        <f>IFERROR(IF(AND(H258&gt;0,E258&gt;0),H258/E258,""),"")</f>
        <v/>
      </c>
      <c r="J258" s="152">
        <f>IFERROR(VALUE(SUBSTITUTE(INDEX('04A_국토부원자료'!$A:$T,ROW()+1,MATCH("층",'04A_국토부원자료'!$A$4:$T$4,0)),",","")),"")</f>
        <v/>
      </c>
      <c r="K258" s="152">
        <f>IFERROR(VALUE(SUBSTITUTE(INDEX('04A_국토부원자료'!$A:$T,ROW()+1,MATCH("건축년도",'04A_국토부원자료'!$A$4:$T$4,0)),",","")),"")</f>
        <v/>
      </c>
      <c r="L258" s="176">
        <f>IFERROR(INDEX('04A_국토부원자료'!$A:$T,ROW()+1,MATCH("도로명",'04A_국토부원자료'!$A$4:$T$4,0)),"")</f>
        <v/>
      </c>
      <c r="M258" s="48">
        <f>IFERROR(INDEX('04A_국토부원자료'!$A:$T,ROW()+1,MATCH("거래유형",'04A_국토부원자료'!$A$4:$T$4,0)),"")</f>
        <v/>
      </c>
      <c r="N258" s="152">
        <f>IF(B258="","",IF('02_대상물건입력'!B5="",1,IF(ISNUMBER(SEARCH('02_대상물건입력'!B5,B258)),1,0)))</f>
        <v/>
      </c>
      <c r="O258" s="152">
        <f>IF(B258="","",IF('02_대상물건입력'!B6="",1,IF(ISNUMBER(SEARCH('02_대상물건입력'!B6,B258)),1,0)))</f>
        <v/>
      </c>
      <c r="P258" s="152">
        <f>IF(L258="","",IF('02_대상물건입력'!B15="",0,IF(ISNUMBER(SEARCH('02_대상물건입력'!B15,L258)),1,0)))</f>
        <v/>
      </c>
      <c r="Q258" s="152">
        <f>IF(OR(C258="",L258=""),0,IF(AND(TRIM(C258)=TRIM(RIGHT(SUBSTITUTE(TRIM('02_대상물건입력'!$B$7)," ",REPT(" ",99)),99)),IF('02_대상물건입력'!B15="",TRUE(),ISNUMBER(SEARCH('02_대상물건입력'!B15,L258)))),1,0))</f>
        <v/>
      </c>
      <c r="R258" s="175">
        <f>IFERROR(ABS(E258-'02_대상물건입력'!B11)/'02_대상물건입력'!B11,"")</f>
        <v/>
      </c>
      <c r="S258" s="152">
        <f>IFERROR(ABS(J258-'02_대상물건입력'!B10),"")</f>
        <v/>
      </c>
      <c r="T258" s="152">
        <f>IFERROR(ABS('01_설정'!B4-F258),"")</f>
        <v/>
      </c>
      <c r="U258" s="152">
        <f>IFERROR(ABS(K258-YEAR('02_대상물건입력'!B14)),"")</f>
        <v/>
      </c>
      <c r="V258" s="152">
        <f>IF(B258="","",IF(AND(E258&gt;0,F258&gt;0,H258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258=1,TRUE()),R258&lt;='01_설정'!B5,S258&lt;='01_설정'!B6,T258&lt;='01_설정'!B7,U258&lt;='01_설정'!B8),"Y",""))</f>
        <v/>
      </c>
      <c r="W258" s="172">
        <f>IF(V258&lt;&gt;"Y","",MAX(0,(1-R258/'01_설정'!B5))*'01_설정'!B14+MAX(0,(1-S258/'01_설정'!B6))*'01_설정'!B15+MAX(0,(1-T258/'01_설정'!B7))*'01_설정'!B16+MAX(0,(1-U258/'01_설정'!B8))*'01_설정'!B17+O258*'01_설정'!B11+Q258*'01_설정'!B12+P258*'01_설정'!B13+IF(Z258="",0,Z258))</f>
        <v/>
      </c>
      <c r="X258" s="152">
        <f>IF(W258="","",1+COUNTIFS($W$4:$W$3003,"&gt;"&amp;W258)+COUNTIFS($W$4:W258,W258)-1)</f>
        <v/>
      </c>
      <c r="Y258" s="175">
        <f>IF(OR(I258="",'02_대상물건입력'!B19="",'02_대상물건입력'!B19&lt;=0),"",ABS(I258-'02_대상물건입력'!B19)/'02_대상물건입력'!B19)</f>
        <v/>
      </c>
      <c r="Z258" s="172">
        <f>IF(OR(Y258="",'01_설정'!B31="",'01_설정'!B31&lt;=0,'01_설정'!B32="",'01_설정'!B32&lt;=0),"",MAX(0,(1-Y258/'01_설정'!B32))*'01_설정'!B31)</f>
        <v/>
      </c>
    </row>
    <row r="259" ht="17.25" customHeight="1">
      <c r="A259" s="152">
        <f>IF(INDEX('04A_국토부원자료'!$A:$A,ROW()+1)="","",ROW()-3)</f>
        <v/>
      </c>
      <c r="B259" s="48">
        <f>IFERROR(INDEX('04A_국토부원자료'!$A:$T,ROW()+1,MATCH("시군구",'04A_국토부원자료'!$A$4:$T$4,0)),"")</f>
        <v/>
      </c>
      <c r="C259" s="48">
        <f>IF(B259="","",IFERROR(INDEX('04A_국토부원자료'!$A:$T,ROW()+1,MATCH("번지",'04A_국토부원자료'!$A$4:$T$4,0)),""))</f>
        <v/>
      </c>
      <c r="D259" s="48">
        <f>IF(B259="","",IF(Q259=1,'02_대상물건입력'!$B$8,IFERROR(INDEX('04A_국토부원자료'!$A:$T,ROW()+1,MATCH("단지명",'04A_국토부원자료'!$A$4:$T$4,0)),"")))</f>
        <v/>
      </c>
      <c r="E259" s="172">
        <f>IFERROR(VALUE(SUBSTITUTE(INDEX('04A_국토부원자료'!$A:$T,ROW()+1,MATCH("전용면적(㎡)",'04A_국토부원자료'!$A$4:$T$4,0)),",","")),"")</f>
        <v/>
      </c>
      <c r="F2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9" s="51">
        <f>IFERROR(VALUE(SUBSTITUTE(INDEX('04A_국토부원자료'!$A:$T,ROW()+1,MATCH("거래금액(만원)",'04A_국토부원자료'!$A$4:$T$4,0)),",","")),"")</f>
        <v/>
      </c>
      <c r="H259" s="174">
        <f>IF(G259="","",G259*10000)</f>
        <v/>
      </c>
      <c r="I259" s="174">
        <f>IFERROR(IF(AND(H259&gt;0,E259&gt;0),H259/E259,""),"")</f>
        <v/>
      </c>
      <c r="J259" s="152">
        <f>IFERROR(VALUE(SUBSTITUTE(INDEX('04A_국토부원자료'!$A:$T,ROW()+1,MATCH("층",'04A_국토부원자료'!$A$4:$T$4,0)),",","")),"")</f>
        <v/>
      </c>
      <c r="K259" s="152">
        <f>IFERROR(VALUE(SUBSTITUTE(INDEX('04A_국토부원자료'!$A:$T,ROW()+1,MATCH("건축년도",'04A_국토부원자료'!$A$4:$T$4,0)),",","")),"")</f>
        <v/>
      </c>
      <c r="L259" s="176">
        <f>IFERROR(INDEX('04A_국토부원자료'!$A:$T,ROW()+1,MATCH("도로명",'04A_국토부원자료'!$A$4:$T$4,0)),"")</f>
        <v/>
      </c>
      <c r="M259" s="48">
        <f>IFERROR(INDEX('04A_국토부원자료'!$A:$T,ROW()+1,MATCH("거래유형",'04A_국토부원자료'!$A$4:$T$4,0)),"")</f>
        <v/>
      </c>
      <c r="N259" s="152">
        <f>IF(B259="","",IF('02_대상물건입력'!B5="",1,IF(ISNUMBER(SEARCH('02_대상물건입력'!B5,B259)),1,0)))</f>
        <v/>
      </c>
      <c r="O259" s="152">
        <f>IF(B259="","",IF('02_대상물건입력'!B6="",1,IF(ISNUMBER(SEARCH('02_대상물건입력'!B6,B259)),1,0)))</f>
        <v/>
      </c>
      <c r="P259" s="152">
        <f>IF(L259="","",IF('02_대상물건입력'!B15="",0,IF(ISNUMBER(SEARCH('02_대상물건입력'!B15,L259)),1,0)))</f>
        <v/>
      </c>
      <c r="Q259" s="152">
        <f>IF(OR(C259="",L259=""),0,IF(AND(TRIM(C259)=TRIM(RIGHT(SUBSTITUTE(TRIM('02_대상물건입력'!$B$7)," ",REPT(" ",99)),99)),IF('02_대상물건입력'!B15="",TRUE(),ISNUMBER(SEARCH('02_대상물건입력'!B15,L259)))),1,0))</f>
        <v/>
      </c>
      <c r="R259" s="175">
        <f>IFERROR(ABS(E259-'02_대상물건입력'!B11)/'02_대상물건입력'!B11,"")</f>
        <v/>
      </c>
      <c r="S259" s="152">
        <f>IFERROR(ABS(J259-'02_대상물건입력'!B10),"")</f>
        <v/>
      </c>
      <c r="T259" s="152">
        <f>IFERROR(ABS('01_설정'!B4-F259),"")</f>
        <v/>
      </c>
      <c r="U259" s="152">
        <f>IFERROR(ABS(K259-YEAR('02_대상물건입력'!B14)),"")</f>
        <v/>
      </c>
      <c r="V259" s="152">
        <f>IF(B259="","",IF(AND(E259&gt;0,F259&gt;0,H259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259=1,TRUE()),R259&lt;='01_설정'!B5,S259&lt;='01_설정'!B6,T259&lt;='01_설정'!B7,U259&lt;='01_설정'!B8),"Y",""))</f>
        <v/>
      </c>
      <c r="W259" s="172">
        <f>IF(V259&lt;&gt;"Y","",MAX(0,(1-R259/'01_설정'!B5))*'01_설정'!B14+MAX(0,(1-S259/'01_설정'!B6))*'01_설정'!B15+MAX(0,(1-T259/'01_설정'!B7))*'01_설정'!B16+MAX(0,(1-U259/'01_설정'!B8))*'01_설정'!B17+O259*'01_설정'!B11+Q259*'01_설정'!B12+P259*'01_설정'!B13+IF(Z259="",0,Z259))</f>
        <v/>
      </c>
      <c r="X259" s="152">
        <f>IF(W259="","",1+COUNTIFS($W$4:$W$3003,"&gt;"&amp;W259)+COUNTIFS($W$4:W259,W259)-1)</f>
        <v/>
      </c>
      <c r="Y259" s="175">
        <f>IF(OR(I259="",'02_대상물건입력'!B19="",'02_대상물건입력'!B19&lt;=0),"",ABS(I259-'02_대상물건입력'!B19)/'02_대상물건입력'!B19)</f>
        <v/>
      </c>
      <c r="Z259" s="172">
        <f>IF(OR(Y259="",'01_설정'!B31="",'01_설정'!B31&lt;=0,'01_설정'!B32="",'01_설정'!B32&lt;=0),"",MAX(0,(1-Y259/'01_설정'!B32))*'01_설정'!B31)</f>
        <v/>
      </c>
    </row>
    <row r="260" ht="17.25" customHeight="1">
      <c r="A260" s="152">
        <f>IF(INDEX('04A_국토부원자료'!$A:$A,ROW()+1)="","",ROW()-3)</f>
        <v/>
      </c>
      <c r="B260" s="48">
        <f>IFERROR(INDEX('04A_국토부원자료'!$A:$T,ROW()+1,MATCH("시군구",'04A_국토부원자료'!$A$4:$T$4,0)),"")</f>
        <v/>
      </c>
      <c r="C260" s="48">
        <f>IF(B260="","",IFERROR(INDEX('04A_국토부원자료'!$A:$T,ROW()+1,MATCH("번지",'04A_국토부원자료'!$A$4:$T$4,0)),""))</f>
        <v/>
      </c>
      <c r="D260" s="48">
        <f>IF(B260="","",IF(Q260=1,'02_대상물건입력'!$B$8,IFERROR(INDEX('04A_국토부원자료'!$A:$T,ROW()+1,MATCH("단지명",'04A_국토부원자료'!$A$4:$T$4,0)),"")))</f>
        <v/>
      </c>
      <c r="E260" s="172">
        <f>IFERROR(VALUE(SUBSTITUTE(INDEX('04A_국토부원자료'!$A:$T,ROW()+1,MATCH("전용면적(㎡)",'04A_국토부원자료'!$A$4:$T$4,0)),",","")),"")</f>
        <v/>
      </c>
      <c r="F2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0" s="51">
        <f>IFERROR(VALUE(SUBSTITUTE(INDEX('04A_국토부원자료'!$A:$T,ROW()+1,MATCH("거래금액(만원)",'04A_국토부원자료'!$A$4:$T$4,0)),",","")),"")</f>
        <v/>
      </c>
      <c r="H260" s="174">
        <f>IF(G260="","",G260*10000)</f>
        <v/>
      </c>
      <c r="I260" s="174">
        <f>IFERROR(IF(AND(H260&gt;0,E260&gt;0),H260/E260,""),"")</f>
        <v/>
      </c>
      <c r="J260" s="152">
        <f>IFERROR(VALUE(SUBSTITUTE(INDEX('04A_국토부원자료'!$A:$T,ROW()+1,MATCH("층",'04A_국토부원자료'!$A$4:$T$4,0)),",","")),"")</f>
        <v/>
      </c>
      <c r="K260" s="152">
        <f>IFERROR(VALUE(SUBSTITUTE(INDEX('04A_국토부원자료'!$A:$T,ROW()+1,MATCH("건축년도",'04A_국토부원자료'!$A$4:$T$4,0)),",","")),"")</f>
        <v/>
      </c>
      <c r="L260" s="176">
        <f>IFERROR(INDEX('04A_국토부원자료'!$A:$T,ROW()+1,MATCH("도로명",'04A_국토부원자료'!$A$4:$T$4,0)),"")</f>
        <v/>
      </c>
      <c r="M260" s="48">
        <f>IFERROR(INDEX('04A_국토부원자료'!$A:$T,ROW()+1,MATCH("거래유형",'04A_국토부원자료'!$A$4:$T$4,0)),"")</f>
        <v/>
      </c>
      <c r="N260" s="152">
        <f>IF(B260="","",IF('02_대상물건입력'!B5="",1,IF(ISNUMBER(SEARCH('02_대상물건입력'!B5,B260)),1,0)))</f>
        <v/>
      </c>
      <c r="O260" s="152">
        <f>IF(B260="","",IF('02_대상물건입력'!B6="",1,IF(ISNUMBER(SEARCH('02_대상물건입력'!B6,B260)),1,0)))</f>
        <v/>
      </c>
      <c r="P260" s="152">
        <f>IF(L260="","",IF('02_대상물건입력'!B15="",0,IF(ISNUMBER(SEARCH('02_대상물건입력'!B15,L260)),1,0)))</f>
        <v/>
      </c>
      <c r="Q260" s="152">
        <f>IF(OR(C260="",L260=""),0,IF(AND(TRIM(C260)=TRIM(RIGHT(SUBSTITUTE(TRIM('02_대상물건입력'!$B$7)," ",REPT(" ",99)),99)),IF('02_대상물건입력'!B15="",TRUE(),ISNUMBER(SEARCH('02_대상물건입력'!B15,L260)))),1,0))</f>
        <v/>
      </c>
      <c r="R260" s="175">
        <f>IFERROR(ABS(E260-'02_대상물건입력'!B11)/'02_대상물건입력'!B11,"")</f>
        <v/>
      </c>
      <c r="S260" s="152">
        <f>IFERROR(ABS(J260-'02_대상물건입력'!B10),"")</f>
        <v/>
      </c>
      <c r="T260" s="152">
        <f>IFERROR(ABS('01_설정'!B4-F260),"")</f>
        <v/>
      </c>
      <c r="U260" s="152">
        <f>IFERROR(ABS(K260-YEAR('02_대상물건입력'!B14)),"")</f>
        <v/>
      </c>
      <c r="V260" s="152">
        <f>IF(B260="","",IF(AND(E260&gt;0,F260&gt;0,H260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260=1,TRUE()),R260&lt;='01_설정'!B5,S260&lt;='01_설정'!B6,T260&lt;='01_설정'!B7,U260&lt;='01_설정'!B8),"Y",""))</f>
        <v/>
      </c>
      <c r="W260" s="172">
        <f>IF(V260&lt;&gt;"Y","",MAX(0,(1-R260/'01_설정'!B5))*'01_설정'!B14+MAX(0,(1-S260/'01_설정'!B6))*'01_설정'!B15+MAX(0,(1-T260/'01_설정'!B7))*'01_설정'!B16+MAX(0,(1-U260/'01_설정'!B8))*'01_설정'!B17+O260*'01_설정'!B11+Q260*'01_설정'!B12+P260*'01_설정'!B13+IF(Z260="",0,Z260))</f>
        <v/>
      </c>
      <c r="X260" s="152">
        <f>IF(W260="","",1+COUNTIFS($W$4:$W$3003,"&gt;"&amp;W260)+COUNTIFS($W$4:W260,W260)-1)</f>
        <v/>
      </c>
      <c r="Y260" s="175">
        <f>IF(OR(I260="",'02_대상물건입력'!B19="",'02_대상물건입력'!B19&lt;=0),"",ABS(I260-'02_대상물건입력'!B19)/'02_대상물건입력'!B19)</f>
        <v/>
      </c>
      <c r="Z260" s="172">
        <f>IF(OR(Y260="",'01_설정'!B31="",'01_설정'!B31&lt;=0,'01_설정'!B32="",'01_설정'!B32&lt;=0),"",MAX(0,(1-Y260/'01_설정'!B32))*'01_설정'!B31)</f>
        <v/>
      </c>
    </row>
    <row r="261" ht="17.25" customHeight="1">
      <c r="A261" s="152">
        <f>IF(INDEX('04A_국토부원자료'!$A:$A,ROW()+1)="","",ROW()-3)</f>
        <v/>
      </c>
      <c r="B261" s="48">
        <f>IFERROR(INDEX('04A_국토부원자료'!$A:$T,ROW()+1,MATCH("시군구",'04A_국토부원자료'!$A$4:$T$4,0)),"")</f>
        <v/>
      </c>
      <c r="C261" s="48">
        <f>IF(B261="","",IFERROR(INDEX('04A_국토부원자료'!$A:$T,ROW()+1,MATCH("번지",'04A_국토부원자료'!$A$4:$T$4,0)),""))</f>
        <v/>
      </c>
      <c r="D261" s="48">
        <f>IF(B261="","",IF(Q261=1,'02_대상물건입력'!$B$8,IFERROR(INDEX('04A_국토부원자료'!$A:$T,ROW()+1,MATCH("단지명",'04A_국토부원자료'!$A$4:$T$4,0)),"")))</f>
        <v/>
      </c>
      <c r="E261" s="172">
        <f>IFERROR(VALUE(SUBSTITUTE(INDEX('04A_국토부원자료'!$A:$T,ROW()+1,MATCH("전용면적(㎡)",'04A_국토부원자료'!$A$4:$T$4,0)),",","")),"")</f>
        <v/>
      </c>
      <c r="F2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1" s="51">
        <f>IFERROR(VALUE(SUBSTITUTE(INDEX('04A_국토부원자료'!$A:$T,ROW()+1,MATCH("거래금액(만원)",'04A_국토부원자료'!$A$4:$T$4,0)),",","")),"")</f>
        <v/>
      </c>
      <c r="H261" s="174">
        <f>IF(G261="","",G261*10000)</f>
        <v/>
      </c>
      <c r="I261" s="174">
        <f>IFERROR(IF(AND(H261&gt;0,E261&gt;0),H261/E261,""),"")</f>
        <v/>
      </c>
      <c r="J261" s="152">
        <f>IFERROR(VALUE(SUBSTITUTE(INDEX('04A_국토부원자료'!$A:$T,ROW()+1,MATCH("층",'04A_국토부원자료'!$A$4:$T$4,0)),",","")),"")</f>
        <v/>
      </c>
      <c r="K261" s="152">
        <f>IFERROR(VALUE(SUBSTITUTE(INDEX('04A_국토부원자료'!$A:$T,ROW()+1,MATCH("건축년도",'04A_국토부원자료'!$A$4:$T$4,0)),",","")),"")</f>
        <v/>
      </c>
      <c r="L261" s="176">
        <f>IFERROR(INDEX('04A_국토부원자료'!$A:$T,ROW()+1,MATCH("도로명",'04A_국토부원자료'!$A$4:$T$4,0)),"")</f>
        <v/>
      </c>
      <c r="M261" s="48">
        <f>IFERROR(INDEX('04A_국토부원자료'!$A:$T,ROW()+1,MATCH("거래유형",'04A_국토부원자료'!$A$4:$T$4,0)),"")</f>
        <v/>
      </c>
      <c r="N261" s="152">
        <f>IF(B261="","",IF('02_대상물건입력'!B5="",1,IF(ISNUMBER(SEARCH('02_대상물건입력'!B5,B261)),1,0)))</f>
        <v/>
      </c>
      <c r="O261" s="152">
        <f>IF(B261="","",IF('02_대상물건입력'!B6="",1,IF(ISNUMBER(SEARCH('02_대상물건입력'!B6,B261)),1,0)))</f>
        <v/>
      </c>
      <c r="P261" s="152">
        <f>IF(L261="","",IF('02_대상물건입력'!B15="",0,IF(ISNUMBER(SEARCH('02_대상물건입력'!B15,L261)),1,0)))</f>
        <v/>
      </c>
      <c r="Q261" s="152">
        <f>IF(OR(C261="",L261=""),0,IF(AND(TRIM(C261)=TRIM(RIGHT(SUBSTITUTE(TRIM('02_대상물건입력'!$B$7)," ",REPT(" ",99)),99)),IF('02_대상물건입력'!B15="",TRUE(),ISNUMBER(SEARCH('02_대상물건입력'!B15,L261)))),1,0))</f>
        <v/>
      </c>
      <c r="R261" s="175">
        <f>IFERROR(ABS(E261-'02_대상물건입력'!B11)/'02_대상물건입력'!B11,"")</f>
        <v/>
      </c>
      <c r="S261" s="152">
        <f>IFERROR(ABS(J261-'02_대상물건입력'!B10),"")</f>
        <v/>
      </c>
      <c r="T261" s="152">
        <f>IFERROR(ABS('01_설정'!B4-F261),"")</f>
        <v/>
      </c>
      <c r="U261" s="152">
        <f>IFERROR(ABS(K261-YEAR('02_대상물건입력'!B14)),"")</f>
        <v/>
      </c>
      <c r="V261" s="152">
        <f>IF(B261="","",IF(AND(E261&gt;0,F261&gt;0,H261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261=1,TRUE()),R261&lt;='01_설정'!B5,S261&lt;='01_설정'!B6,T261&lt;='01_설정'!B7,U261&lt;='01_설정'!B8),"Y",""))</f>
        <v/>
      </c>
      <c r="W261" s="172">
        <f>IF(V261&lt;&gt;"Y","",MAX(0,(1-R261/'01_설정'!B5))*'01_설정'!B14+MAX(0,(1-S261/'01_설정'!B6))*'01_설정'!B15+MAX(0,(1-T261/'01_설정'!B7))*'01_설정'!B16+MAX(0,(1-U261/'01_설정'!B8))*'01_설정'!B17+O261*'01_설정'!B11+Q261*'01_설정'!B12+P261*'01_설정'!B13+IF(Z261="",0,Z261))</f>
        <v/>
      </c>
      <c r="X261" s="152">
        <f>IF(W261="","",1+COUNTIFS($W$4:$W$3003,"&gt;"&amp;W261)+COUNTIFS($W$4:W261,W261)-1)</f>
        <v/>
      </c>
      <c r="Y261" s="175">
        <f>IF(OR(I261="",'02_대상물건입력'!B19="",'02_대상물건입력'!B19&lt;=0),"",ABS(I261-'02_대상물건입력'!B19)/'02_대상물건입력'!B19)</f>
        <v/>
      </c>
      <c r="Z261" s="172">
        <f>IF(OR(Y261="",'01_설정'!B31="",'01_설정'!B31&lt;=0,'01_설정'!B32="",'01_설정'!B32&lt;=0),"",MAX(0,(1-Y261/'01_설정'!B32))*'01_설정'!B31)</f>
        <v/>
      </c>
    </row>
    <row r="262" ht="17.25" customHeight="1">
      <c r="A262" s="152">
        <f>IF(INDEX('04A_국토부원자료'!$A:$A,ROW()+1)="","",ROW()-3)</f>
        <v/>
      </c>
      <c r="B262" s="48">
        <f>IFERROR(INDEX('04A_국토부원자료'!$A:$T,ROW()+1,MATCH("시군구",'04A_국토부원자료'!$A$4:$T$4,0)),"")</f>
        <v/>
      </c>
      <c r="C262" s="48">
        <f>IF(B262="","",IFERROR(INDEX('04A_국토부원자료'!$A:$T,ROW()+1,MATCH("번지",'04A_국토부원자료'!$A$4:$T$4,0)),""))</f>
        <v/>
      </c>
      <c r="D262" s="48">
        <f>IF(B262="","",IF(Q262=1,'02_대상물건입력'!$B$8,IFERROR(INDEX('04A_국토부원자료'!$A:$T,ROW()+1,MATCH("단지명",'04A_국토부원자료'!$A$4:$T$4,0)),"")))</f>
        <v/>
      </c>
      <c r="E262" s="172">
        <f>IFERROR(VALUE(SUBSTITUTE(INDEX('04A_국토부원자료'!$A:$T,ROW()+1,MATCH("전용면적(㎡)",'04A_국토부원자료'!$A$4:$T$4,0)),",","")),"")</f>
        <v/>
      </c>
      <c r="F2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2" s="51">
        <f>IFERROR(VALUE(SUBSTITUTE(INDEX('04A_국토부원자료'!$A:$T,ROW()+1,MATCH("거래금액(만원)",'04A_국토부원자료'!$A$4:$T$4,0)),",","")),"")</f>
        <v/>
      </c>
      <c r="H262" s="174">
        <f>IF(G262="","",G262*10000)</f>
        <v/>
      </c>
      <c r="I262" s="174">
        <f>IFERROR(IF(AND(H262&gt;0,E262&gt;0),H262/E262,""),"")</f>
        <v/>
      </c>
      <c r="J262" s="152">
        <f>IFERROR(VALUE(SUBSTITUTE(INDEX('04A_국토부원자료'!$A:$T,ROW()+1,MATCH("층",'04A_국토부원자료'!$A$4:$T$4,0)),",","")),"")</f>
        <v/>
      </c>
      <c r="K262" s="152">
        <f>IFERROR(VALUE(SUBSTITUTE(INDEX('04A_국토부원자료'!$A:$T,ROW()+1,MATCH("건축년도",'04A_국토부원자료'!$A$4:$T$4,0)),",","")),"")</f>
        <v/>
      </c>
      <c r="L262" s="176">
        <f>IFERROR(INDEX('04A_국토부원자료'!$A:$T,ROW()+1,MATCH("도로명",'04A_국토부원자료'!$A$4:$T$4,0)),"")</f>
        <v/>
      </c>
      <c r="M262" s="48">
        <f>IFERROR(INDEX('04A_국토부원자료'!$A:$T,ROW()+1,MATCH("거래유형",'04A_국토부원자료'!$A$4:$T$4,0)),"")</f>
        <v/>
      </c>
      <c r="N262" s="152">
        <f>IF(B262="","",IF('02_대상물건입력'!B5="",1,IF(ISNUMBER(SEARCH('02_대상물건입력'!B5,B262)),1,0)))</f>
        <v/>
      </c>
      <c r="O262" s="152">
        <f>IF(B262="","",IF('02_대상물건입력'!B6="",1,IF(ISNUMBER(SEARCH('02_대상물건입력'!B6,B262)),1,0)))</f>
        <v/>
      </c>
      <c r="P262" s="152">
        <f>IF(L262="","",IF('02_대상물건입력'!B15="",0,IF(ISNUMBER(SEARCH('02_대상물건입력'!B15,L262)),1,0)))</f>
        <v/>
      </c>
      <c r="Q262" s="152">
        <f>IF(OR(C262="",L262=""),0,IF(AND(TRIM(C262)=TRIM(RIGHT(SUBSTITUTE(TRIM('02_대상물건입력'!$B$7)," ",REPT(" ",99)),99)),IF('02_대상물건입력'!B15="",TRUE(),ISNUMBER(SEARCH('02_대상물건입력'!B15,L262)))),1,0))</f>
        <v/>
      </c>
      <c r="R262" s="175">
        <f>IFERROR(ABS(E262-'02_대상물건입력'!B11)/'02_대상물건입력'!B11,"")</f>
        <v/>
      </c>
      <c r="S262" s="152">
        <f>IFERROR(ABS(J262-'02_대상물건입력'!B10),"")</f>
        <v/>
      </c>
      <c r="T262" s="152">
        <f>IFERROR(ABS('01_설정'!B4-F262),"")</f>
        <v/>
      </c>
      <c r="U262" s="152">
        <f>IFERROR(ABS(K262-YEAR('02_대상물건입력'!B14)),"")</f>
        <v/>
      </c>
      <c r="V262" s="152">
        <f>IF(B262="","",IF(AND(E262&gt;0,F262&gt;0,H262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262=1,TRUE()),R262&lt;='01_설정'!B5,S262&lt;='01_설정'!B6,T262&lt;='01_설정'!B7,U262&lt;='01_설정'!B8),"Y",""))</f>
        <v/>
      </c>
      <c r="W262" s="172">
        <f>IF(V262&lt;&gt;"Y","",MAX(0,(1-R262/'01_설정'!B5))*'01_설정'!B14+MAX(0,(1-S262/'01_설정'!B6))*'01_설정'!B15+MAX(0,(1-T262/'01_설정'!B7))*'01_설정'!B16+MAX(0,(1-U262/'01_설정'!B8))*'01_설정'!B17+O262*'01_설정'!B11+Q262*'01_설정'!B12+P262*'01_설정'!B13+IF(Z262="",0,Z262))</f>
        <v/>
      </c>
      <c r="X262" s="152">
        <f>IF(W262="","",1+COUNTIFS($W$4:$W$3003,"&gt;"&amp;W262)+COUNTIFS($W$4:W262,W262)-1)</f>
        <v/>
      </c>
      <c r="Y262" s="175">
        <f>IF(OR(I262="",'02_대상물건입력'!B19="",'02_대상물건입력'!B19&lt;=0),"",ABS(I262-'02_대상물건입력'!B19)/'02_대상물건입력'!B19)</f>
        <v/>
      </c>
      <c r="Z262" s="172">
        <f>IF(OR(Y262="",'01_설정'!B31="",'01_설정'!B31&lt;=0,'01_설정'!B32="",'01_설정'!B32&lt;=0),"",MAX(0,(1-Y262/'01_설정'!B32))*'01_설정'!B31)</f>
        <v/>
      </c>
    </row>
    <row r="263" ht="17.25" customHeight="1">
      <c r="A263" s="152">
        <f>IF(INDEX('04A_국토부원자료'!$A:$A,ROW()+1)="","",ROW()-3)</f>
        <v/>
      </c>
      <c r="B263" s="48">
        <f>IFERROR(INDEX('04A_국토부원자료'!$A:$T,ROW()+1,MATCH("시군구",'04A_국토부원자료'!$A$4:$T$4,0)),"")</f>
        <v/>
      </c>
      <c r="C263" s="48">
        <f>IF(B263="","",IFERROR(INDEX('04A_국토부원자료'!$A:$T,ROW()+1,MATCH("번지",'04A_국토부원자료'!$A$4:$T$4,0)),""))</f>
        <v/>
      </c>
      <c r="D263" s="48">
        <f>IF(B263="","",IF(Q263=1,'02_대상물건입력'!$B$8,IFERROR(INDEX('04A_국토부원자료'!$A:$T,ROW()+1,MATCH("단지명",'04A_국토부원자료'!$A$4:$T$4,0)),"")))</f>
        <v/>
      </c>
      <c r="E263" s="172">
        <f>IFERROR(VALUE(SUBSTITUTE(INDEX('04A_국토부원자료'!$A:$T,ROW()+1,MATCH("전용면적(㎡)",'04A_국토부원자료'!$A$4:$T$4,0)),",","")),"")</f>
        <v/>
      </c>
      <c r="F2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3" s="51">
        <f>IFERROR(VALUE(SUBSTITUTE(INDEX('04A_국토부원자료'!$A:$T,ROW()+1,MATCH("거래금액(만원)",'04A_국토부원자료'!$A$4:$T$4,0)),",","")),"")</f>
        <v/>
      </c>
      <c r="H263" s="174">
        <f>IF(G263="","",G263*10000)</f>
        <v/>
      </c>
      <c r="I263" s="174">
        <f>IFERROR(IF(AND(H263&gt;0,E263&gt;0),H263/E263,""),"")</f>
        <v/>
      </c>
      <c r="J263" s="152">
        <f>IFERROR(VALUE(SUBSTITUTE(INDEX('04A_국토부원자료'!$A:$T,ROW()+1,MATCH("층",'04A_국토부원자료'!$A$4:$T$4,0)),",","")),"")</f>
        <v/>
      </c>
      <c r="K263" s="152">
        <f>IFERROR(VALUE(SUBSTITUTE(INDEX('04A_국토부원자료'!$A:$T,ROW()+1,MATCH("건축년도",'04A_국토부원자료'!$A$4:$T$4,0)),",","")),"")</f>
        <v/>
      </c>
      <c r="L263" s="176">
        <f>IFERROR(INDEX('04A_국토부원자료'!$A:$T,ROW()+1,MATCH("도로명",'04A_국토부원자료'!$A$4:$T$4,0)),"")</f>
        <v/>
      </c>
      <c r="M263" s="48">
        <f>IFERROR(INDEX('04A_국토부원자료'!$A:$T,ROW()+1,MATCH("거래유형",'04A_국토부원자료'!$A$4:$T$4,0)),"")</f>
        <v/>
      </c>
      <c r="N263" s="152">
        <f>IF(B263="","",IF('02_대상물건입력'!B5="",1,IF(ISNUMBER(SEARCH('02_대상물건입력'!B5,B263)),1,0)))</f>
        <v/>
      </c>
      <c r="O263" s="152">
        <f>IF(B263="","",IF('02_대상물건입력'!B6="",1,IF(ISNUMBER(SEARCH('02_대상물건입력'!B6,B263)),1,0)))</f>
        <v/>
      </c>
      <c r="P263" s="152">
        <f>IF(L263="","",IF('02_대상물건입력'!B15="",0,IF(ISNUMBER(SEARCH('02_대상물건입력'!B15,L263)),1,0)))</f>
        <v/>
      </c>
      <c r="Q263" s="152">
        <f>IF(OR(C263="",L263=""),0,IF(AND(TRIM(C263)=TRIM(RIGHT(SUBSTITUTE(TRIM('02_대상물건입력'!$B$7)," ",REPT(" ",99)),99)),IF('02_대상물건입력'!B15="",TRUE(),ISNUMBER(SEARCH('02_대상물건입력'!B15,L263)))),1,0))</f>
        <v/>
      </c>
      <c r="R263" s="175">
        <f>IFERROR(ABS(E263-'02_대상물건입력'!B11)/'02_대상물건입력'!B11,"")</f>
        <v/>
      </c>
      <c r="S263" s="152">
        <f>IFERROR(ABS(J263-'02_대상물건입력'!B10),"")</f>
        <v/>
      </c>
      <c r="T263" s="152">
        <f>IFERROR(ABS('01_설정'!B4-F263),"")</f>
        <v/>
      </c>
      <c r="U263" s="152">
        <f>IFERROR(ABS(K263-YEAR('02_대상물건입력'!B14)),"")</f>
        <v/>
      </c>
      <c r="V263" s="152">
        <f>IF(B263="","",IF(AND(E263&gt;0,F263&gt;0,H263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263=1,TRUE()),R263&lt;='01_설정'!B5,S263&lt;='01_설정'!B6,T263&lt;='01_설정'!B7,U263&lt;='01_설정'!B8),"Y",""))</f>
        <v/>
      </c>
      <c r="W263" s="172">
        <f>IF(V263&lt;&gt;"Y","",MAX(0,(1-R263/'01_설정'!B5))*'01_설정'!B14+MAX(0,(1-S263/'01_설정'!B6))*'01_설정'!B15+MAX(0,(1-T263/'01_설정'!B7))*'01_설정'!B16+MAX(0,(1-U263/'01_설정'!B8))*'01_설정'!B17+O263*'01_설정'!B11+Q263*'01_설정'!B12+P263*'01_설정'!B13+IF(Z263="",0,Z263))</f>
        <v/>
      </c>
      <c r="X263" s="152">
        <f>IF(W263="","",1+COUNTIFS($W$4:$W$3003,"&gt;"&amp;W263)+COUNTIFS($W$4:W263,W263)-1)</f>
        <v/>
      </c>
      <c r="Y263" s="175">
        <f>IF(OR(I263="",'02_대상물건입력'!B19="",'02_대상물건입력'!B19&lt;=0),"",ABS(I263-'02_대상물건입력'!B19)/'02_대상물건입력'!B19)</f>
        <v/>
      </c>
      <c r="Z263" s="172">
        <f>IF(OR(Y263="",'01_설정'!B31="",'01_설정'!B31&lt;=0,'01_설정'!B32="",'01_설정'!B32&lt;=0),"",MAX(0,(1-Y263/'01_설정'!B32))*'01_설정'!B31)</f>
        <v/>
      </c>
    </row>
    <row r="264" ht="17.25" customHeight="1">
      <c r="A264" s="152">
        <f>IF(INDEX('04A_국토부원자료'!$A:$A,ROW()+1)="","",ROW()-3)</f>
        <v/>
      </c>
      <c r="B264" s="48">
        <f>IFERROR(INDEX('04A_국토부원자료'!$A:$T,ROW()+1,MATCH("시군구",'04A_국토부원자료'!$A$4:$T$4,0)),"")</f>
        <v/>
      </c>
      <c r="C264" s="48">
        <f>IF(B264="","",IFERROR(INDEX('04A_국토부원자료'!$A:$T,ROW()+1,MATCH("번지",'04A_국토부원자료'!$A$4:$T$4,0)),""))</f>
        <v/>
      </c>
      <c r="D264" s="48">
        <f>IF(B264="","",IF(Q264=1,'02_대상물건입력'!$B$8,IFERROR(INDEX('04A_국토부원자료'!$A:$T,ROW()+1,MATCH("단지명",'04A_국토부원자료'!$A$4:$T$4,0)),"")))</f>
        <v/>
      </c>
      <c r="E264" s="172">
        <f>IFERROR(VALUE(SUBSTITUTE(INDEX('04A_국토부원자료'!$A:$T,ROW()+1,MATCH("전용면적(㎡)",'04A_국토부원자료'!$A$4:$T$4,0)),",","")),"")</f>
        <v/>
      </c>
      <c r="F2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4" s="51">
        <f>IFERROR(VALUE(SUBSTITUTE(INDEX('04A_국토부원자료'!$A:$T,ROW()+1,MATCH("거래금액(만원)",'04A_국토부원자료'!$A$4:$T$4,0)),",","")),"")</f>
        <v/>
      </c>
      <c r="H264" s="174">
        <f>IF(G264="","",G264*10000)</f>
        <v/>
      </c>
      <c r="I264" s="174">
        <f>IFERROR(IF(AND(H264&gt;0,E264&gt;0),H264/E264,""),"")</f>
        <v/>
      </c>
      <c r="J264" s="152">
        <f>IFERROR(VALUE(SUBSTITUTE(INDEX('04A_국토부원자료'!$A:$T,ROW()+1,MATCH("층",'04A_국토부원자료'!$A$4:$T$4,0)),",","")),"")</f>
        <v/>
      </c>
      <c r="K264" s="152">
        <f>IFERROR(VALUE(SUBSTITUTE(INDEX('04A_국토부원자료'!$A:$T,ROW()+1,MATCH("건축년도",'04A_국토부원자료'!$A$4:$T$4,0)),",","")),"")</f>
        <v/>
      </c>
      <c r="L264" s="176">
        <f>IFERROR(INDEX('04A_국토부원자료'!$A:$T,ROW()+1,MATCH("도로명",'04A_국토부원자료'!$A$4:$T$4,0)),"")</f>
        <v/>
      </c>
      <c r="M264" s="48">
        <f>IFERROR(INDEX('04A_국토부원자료'!$A:$T,ROW()+1,MATCH("거래유형",'04A_국토부원자료'!$A$4:$T$4,0)),"")</f>
        <v/>
      </c>
      <c r="N264" s="152">
        <f>IF(B264="","",IF('02_대상물건입력'!B5="",1,IF(ISNUMBER(SEARCH('02_대상물건입력'!B5,B264)),1,0)))</f>
        <v/>
      </c>
      <c r="O264" s="152">
        <f>IF(B264="","",IF('02_대상물건입력'!B6="",1,IF(ISNUMBER(SEARCH('02_대상물건입력'!B6,B264)),1,0)))</f>
        <v/>
      </c>
      <c r="P264" s="152">
        <f>IF(L264="","",IF('02_대상물건입력'!B15="",0,IF(ISNUMBER(SEARCH('02_대상물건입력'!B15,L264)),1,0)))</f>
        <v/>
      </c>
      <c r="Q264" s="152">
        <f>IF(OR(C264="",L264=""),0,IF(AND(TRIM(C264)=TRIM(RIGHT(SUBSTITUTE(TRIM('02_대상물건입력'!$B$7)," ",REPT(" ",99)),99)),IF('02_대상물건입력'!B15="",TRUE(),ISNUMBER(SEARCH('02_대상물건입력'!B15,L264)))),1,0))</f>
        <v/>
      </c>
      <c r="R264" s="175">
        <f>IFERROR(ABS(E264-'02_대상물건입력'!B11)/'02_대상물건입력'!B11,"")</f>
        <v/>
      </c>
      <c r="S264" s="152">
        <f>IFERROR(ABS(J264-'02_대상물건입력'!B10),"")</f>
        <v/>
      </c>
      <c r="T264" s="152">
        <f>IFERROR(ABS('01_설정'!B4-F264),"")</f>
        <v/>
      </c>
      <c r="U264" s="152">
        <f>IFERROR(ABS(K264-YEAR('02_대상물건입력'!B14)),"")</f>
        <v/>
      </c>
      <c r="V264" s="152">
        <f>IF(B264="","",IF(AND(E264&gt;0,F264&gt;0,H264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264=1,TRUE()),R264&lt;='01_설정'!B5,S264&lt;='01_설정'!B6,T264&lt;='01_설정'!B7,U264&lt;='01_설정'!B8),"Y",""))</f>
        <v/>
      </c>
      <c r="W264" s="172">
        <f>IF(V264&lt;&gt;"Y","",MAX(0,(1-R264/'01_설정'!B5))*'01_설정'!B14+MAX(0,(1-S264/'01_설정'!B6))*'01_설정'!B15+MAX(0,(1-T264/'01_설정'!B7))*'01_설정'!B16+MAX(0,(1-U264/'01_설정'!B8))*'01_설정'!B17+O264*'01_설정'!B11+Q264*'01_설정'!B12+P264*'01_설정'!B13+IF(Z264="",0,Z264))</f>
        <v/>
      </c>
      <c r="X264" s="152">
        <f>IF(W264="","",1+COUNTIFS($W$4:$W$3003,"&gt;"&amp;W264)+COUNTIFS($W$4:W264,W264)-1)</f>
        <v/>
      </c>
      <c r="Y264" s="175">
        <f>IF(OR(I264="",'02_대상물건입력'!B19="",'02_대상물건입력'!B19&lt;=0),"",ABS(I264-'02_대상물건입력'!B19)/'02_대상물건입력'!B19)</f>
        <v/>
      </c>
      <c r="Z264" s="172">
        <f>IF(OR(Y264="",'01_설정'!B31="",'01_설정'!B31&lt;=0,'01_설정'!B32="",'01_설정'!B32&lt;=0),"",MAX(0,(1-Y264/'01_설정'!B32))*'01_설정'!B31)</f>
        <v/>
      </c>
    </row>
    <row r="265" ht="17.25" customHeight="1">
      <c r="A265" s="152">
        <f>IF(INDEX('04A_국토부원자료'!$A:$A,ROW()+1)="","",ROW()-3)</f>
        <v/>
      </c>
      <c r="B265" s="48">
        <f>IFERROR(INDEX('04A_국토부원자료'!$A:$T,ROW()+1,MATCH("시군구",'04A_국토부원자료'!$A$4:$T$4,0)),"")</f>
        <v/>
      </c>
      <c r="C265" s="48">
        <f>IF(B265="","",IFERROR(INDEX('04A_국토부원자료'!$A:$T,ROW()+1,MATCH("번지",'04A_국토부원자료'!$A$4:$T$4,0)),""))</f>
        <v/>
      </c>
      <c r="D265" s="48">
        <f>IF(B265="","",IF(Q265=1,'02_대상물건입력'!$B$8,IFERROR(INDEX('04A_국토부원자료'!$A:$T,ROW()+1,MATCH("단지명",'04A_국토부원자료'!$A$4:$T$4,0)),"")))</f>
        <v/>
      </c>
      <c r="E265" s="172">
        <f>IFERROR(VALUE(SUBSTITUTE(INDEX('04A_국토부원자료'!$A:$T,ROW()+1,MATCH("전용면적(㎡)",'04A_국토부원자료'!$A$4:$T$4,0)),",","")),"")</f>
        <v/>
      </c>
      <c r="F2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5" s="51">
        <f>IFERROR(VALUE(SUBSTITUTE(INDEX('04A_국토부원자료'!$A:$T,ROW()+1,MATCH("거래금액(만원)",'04A_국토부원자료'!$A$4:$T$4,0)),",","")),"")</f>
        <v/>
      </c>
      <c r="H265" s="174">
        <f>IF(G265="","",G265*10000)</f>
        <v/>
      </c>
      <c r="I265" s="174">
        <f>IFERROR(IF(AND(H265&gt;0,E265&gt;0),H265/E265,""),"")</f>
        <v/>
      </c>
      <c r="J265" s="152">
        <f>IFERROR(VALUE(SUBSTITUTE(INDEX('04A_국토부원자료'!$A:$T,ROW()+1,MATCH("층",'04A_국토부원자료'!$A$4:$T$4,0)),",","")),"")</f>
        <v/>
      </c>
      <c r="K265" s="152">
        <f>IFERROR(VALUE(SUBSTITUTE(INDEX('04A_국토부원자료'!$A:$T,ROW()+1,MATCH("건축년도",'04A_국토부원자료'!$A$4:$T$4,0)),",","")),"")</f>
        <v/>
      </c>
      <c r="L265" s="176">
        <f>IFERROR(INDEX('04A_국토부원자료'!$A:$T,ROW()+1,MATCH("도로명",'04A_국토부원자료'!$A$4:$T$4,0)),"")</f>
        <v/>
      </c>
      <c r="M265" s="48">
        <f>IFERROR(INDEX('04A_국토부원자료'!$A:$T,ROW()+1,MATCH("거래유형",'04A_국토부원자료'!$A$4:$T$4,0)),"")</f>
        <v/>
      </c>
      <c r="N265" s="152">
        <f>IF(B265="","",IF('02_대상물건입력'!B5="",1,IF(ISNUMBER(SEARCH('02_대상물건입력'!B5,B265)),1,0)))</f>
        <v/>
      </c>
      <c r="O265" s="152">
        <f>IF(B265="","",IF('02_대상물건입력'!B6="",1,IF(ISNUMBER(SEARCH('02_대상물건입력'!B6,B265)),1,0)))</f>
        <v/>
      </c>
      <c r="P265" s="152">
        <f>IF(L265="","",IF('02_대상물건입력'!B15="",0,IF(ISNUMBER(SEARCH('02_대상물건입력'!B15,L265)),1,0)))</f>
        <v/>
      </c>
      <c r="Q265" s="152">
        <f>IF(OR(C265="",L265=""),0,IF(AND(TRIM(C265)=TRIM(RIGHT(SUBSTITUTE(TRIM('02_대상물건입력'!$B$7)," ",REPT(" ",99)),99)),IF('02_대상물건입력'!B15="",TRUE(),ISNUMBER(SEARCH('02_대상물건입력'!B15,L265)))),1,0))</f>
        <v/>
      </c>
      <c r="R265" s="175">
        <f>IFERROR(ABS(E265-'02_대상물건입력'!B11)/'02_대상물건입력'!B11,"")</f>
        <v/>
      </c>
      <c r="S265" s="152">
        <f>IFERROR(ABS(J265-'02_대상물건입력'!B10),"")</f>
        <v/>
      </c>
      <c r="T265" s="152">
        <f>IFERROR(ABS('01_설정'!B4-F265),"")</f>
        <v/>
      </c>
      <c r="U265" s="152">
        <f>IFERROR(ABS(K265-YEAR('02_대상물건입력'!B14)),"")</f>
        <v/>
      </c>
      <c r="V265" s="152">
        <f>IF(B265="","",IF(AND(E265&gt;0,F265&gt;0,H265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265=1,TRUE()),R265&lt;='01_설정'!B5,S265&lt;='01_설정'!B6,T265&lt;='01_설정'!B7,U265&lt;='01_설정'!B8),"Y",""))</f>
        <v/>
      </c>
      <c r="W265" s="172">
        <f>IF(V265&lt;&gt;"Y","",MAX(0,(1-R265/'01_설정'!B5))*'01_설정'!B14+MAX(0,(1-S265/'01_설정'!B6))*'01_설정'!B15+MAX(0,(1-T265/'01_설정'!B7))*'01_설정'!B16+MAX(0,(1-U265/'01_설정'!B8))*'01_설정'!B17+O265*'01_설정'!B11+Q265*'01_설정'!B12+P265*'01_설정'!B13+IF(Z265="",0,Z265))</f>
        <v/>
      </c>
      <c r="X265" s="152">
        <f>IF(W265="","",1+COUNTIFS($W$4:$W$3003,"&gt;"&amp;W265)+COUNTIFS($W$4:W265,W265)-1)</f>
        <v/>
      </c>
      <c r="Y265" s="175">
        <f>IF(OR(I265="",'02_대상물건입력'!B19="",'02_대상물건입력'!B19&lt;=0),"",ABS(I265-'02_대상물건입력'!B19)/'02_대상물건입력'!B19)</f>
        <v/>
      </c>
      <c r="Z265" s="172">
        <f>IF(OR(Y265="",'01_설정'!B31="",'01_설정'!B31&lt;=0,'01_설정'!B32="",'01_설정'!B32&lt;=0),"",MAX(0,(1-Y265/'01_설정'!B32))*'01_설정'!B31)</f>
        <v/>
      </c>
    </row>
    <row r="266" ht="17.25" customHeight="1">
      <c r="A266" s="152">
        <f>IF(INDEX('04A_국토부원자료'!$A:$A,ROW()+1)="","",ROW()-3)</f>
        <v/>
      </c>
      <c r="B266" s="48">
        <f>IFERROR(INDEX('04A_국토부원자료'!$A:$T,ROW()+1,MATCH("시군구",'04A_국토부원자료'!$A$4:$T$4,0)),"")</f>
        <v/>
      </c>
      <c r="C266" s="48">
        <f>IF(B266="","",IFERROR(INDEX('04A_국토부원자료'!$A:$T,ROW()+1,MATCH("번지",'04A_국토부원자료'!$A$4:$T$4,0)),""))</f>
        <v/>
      </c>
      <c r="D266" s="48">
        <f>IF(B266="","",IF(Q266=1,'02_대상물건입력'!$B$8,IFERROR(INDEX('04A_국토부원자료'!$A:$T,ROW()+1,MATCH("단지명",'04A_국토부원자료'!$A$4:$T$4,0)),"")))</f>
        <v/>
      </c>
      <c r="E266" s="172">
        <f>IFERROR(VALUE(SUBSTITUTE(INDEX('04A_국토부원자료'!$A:$T,ROW()+1,MATCH("전용면적(㎡)",'04A_국토부원자료'!$A$4:$T$4,0)),",","")),"")</f>
        <v/>
      </c>
      <c r="F2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6" s="51">
        <f>IFERROR(VALUE(SUBSTITUTE(INDEX('04A_국토부원자료'!$A:$T,ROW()+1,MATCH("거래금액(만원)",'04A_국토부원자료'!$A$4:$T$4,0)),",","")),"")</f>
        <v/>
      </c>
      <c r="H266" s="174">
        <f>IF(G266="","",G266*10000)</f>
        <v/>
      </c>
      <c r="I266" s="174">
        <f>IFERROR(IF(AND(H266&gt;0,E266&gt;0),H266/E266,""),"")</f>
        <v/>
      </c>
      <c r="J266" s="152">
        <f>IFERROR(VALUE(SUBSTITUTE(INDEX('04A_국토부원자료'!$A:$T,ROW()+1,MATCH("층",'04A_국토부원자료'!$A$4:$T$4,0)),",","")),"")</f>
        <v/>
      </c>
      <c r="K266" s="152">
        <f>IFERROR(VALUE(SUBSTITUTE(INDEX('04A_국토부원자료'!$A:$T,ROW()+1,MATCH("건축년도",'04A_국토부원자료'!$A$4:$T$4,0)),",","")),"")</f>
        <v/>
      </c>
      <c r="L266" s="176">
        <f>IFERROR(INDEX('04A_국토부원자료'!$A:$T,ROW()+1,MATCH("도로명",'04A_국토부원자료'!$A$4:$T$4,0)),"")</f>
        <v/>
      </c>
      <c r="M266" s="48">
        <f>IFERROR(INDEX('04A_국토부원자료'!$A:$T,ROW()+1,MATCH("거래유형",'04A_국토부원자료'!$A$4:$T$4,0)),"")</f>
        <v/>
      </c>
      <c r="N266" s="152">
        <f>IF(B266="","",IF('02_대상물건입력'!B5="",1,IF(ISNUMBER(SEARCH('02_대상물건입력'!B5,B266)),1,0)))</f>
        <v/>
      </c>
      <c r="O266" s="152">
        <f>IF(B266="","",IF('02_대상물건입력'!B6="",1,IF(ISNUMBER(SEARCH('02_대상물건입력'!B6,B266)),1,0)))</f>
        <v/>
      </c>
      <c r="P266" s="152">
        <f>IF(L266="","",IF('02_대상물건입력'!B15="",0,IF(ISNUMBER(SEARCH('02_대상물건입력'!B15,L266)),1,0)))</f>
        <v/>
      </c>
      <c r="Q266" s="152">
        <f>IF(OR(C266="",L266=""),0,IF(AND(TRIM(C266)=TRIM(RIGHT(SUBSTITUTE(TRIM('02_대상물건입력'!$B$7)," ",REPT(" ",99)),99)),IF('02_대상물건입력'!B15="",TRUE(),ISNUMBER(SEARCH('02_대상물건입력'!B15,L266)))),1,0))</f>
        <v/>
      </c>
      <c r="R266" s="175">
        <f>IFERROR(ABS(E266-'02_대상물건입력'!B11)/'02_대상물건입력'!B11,"")</f>
        <v/>
      </c>
      <c r="S266" s="152">
        <f>IFERROR(ABS(J266-'02_대상물건입력'!B10),"")</f>
        <v/>
      </c>
      <c r="T266" s="152">
        <f>IFERROR(ABS('01_설정'!B4-F266),"")</f>
        <v/>
      </c>
      <c r="U266" s="152">
        <f>IFERROR(ABS(K266-YEAR('02_대상물건입력'!B14)),"")</f>
        <v/>
      </c>
      <c r="V266" s="152">
        <f>IF(B266="","",IF(AND(E266&gt;0,F266&gt;0,H266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266=1,TRUE()),R266&lt;='01_설정'!B5,S266&lt;='01_설정'!B6,T266&lt;='01_설정'!B7,U266&lt;='01_설정'!B8),"Y",""))</f>
        <v/>
      </c>
      <c r="W266" s="172">
        <f>IF(V266&lt;&gt;"Y","",MAX(0,(1-R266/'01_설정'!B5))*'01_설정'!B14+MAX(0,(1-S266/'01_설정'!B6))*'01_설정'!B15+MAX(0,(1-T266/'01_설정'!B7))*'01_설정'!B16+MAX(0,(1-U266/'01_설정'!B8))*'01_설정'!B17+O266*'01_설정'!B11+Q266*'01_설정'!B12+P266*'01_설정'!B13+IF(Z266="",0,Z266))</f>
        <v/>
      </c>
      <c r="X266" s="152">
        <f>IF(W266="","",1+COUNTIFS($W$4:$W$3003,"&gt;"&amp;W266)+COUNTIFS($W$4:W266,W266)-1)</f>
        <v/>
      </c>
      <c r="Y266" s="175">
        <f>IF(OR(I266="",'02_대상물건입력'!B19="",'02_대상물건입력'!B19&lt;=0),"",ABS(I266-'02_대상물건입력'!B19)/'02_대상물건입력'!B19)</f>
        <v/>
      </c>
      <c r="Z266" s="172">
        <f>IF(OR(Y266="",'01_설정'!B31="",'01_설정'!B31&lt;=0,'01_설정'!B32="",'01_설정'!B32&lt;=0),"",MAX(0,(1-Y266/'01_설정'!B32))*'01_설정'!B31)</f>
        <v/>
      </c>
    </row>
    <row r="267" ht="17.25" customHeight="1">
      <c r="A267" s="152">
        <f>IF(INDEX('04A_국토부원자료'!$A:$A,ROW()+1)="","",ROW()-3)</f>
        <v/>
      </c>
      <c r="B267" s="48">
        <f>IFERROR(INDEX('04A_국토부원자료'!$A:$T,ROW()+1,MATCH("시군구",'04A_국토부원자료'!$A$4:$T$4,0)),"")</f>
        <v/>
      </c>
      <c r="C267" s="48">
        <f>IF(B267="","",IFERROR(INDEX('04A_국토부원자료'!$A:$T,ROW()+1,MATCH("번지",'04A_국토부원자료'!$A$4:$T$4,0)),""))</f>
        <v/>
      </c>
      <c r="D267" s="48">
        <f>IF(B267="","",IF(Q267=1,'02_대상물건입력'!$B$8,IFERROR(INDEX('04A_국토부원자료'!$A:$T,ROW()+1,MATCH("단지명",'04A_국토부원자료'!$A$4:$T$4,0)),"")))</f>
        <v/>
      </c>
      <c r="E267" s="172">
        <f>IFERROR(VALUE(SUBSTITUTE(INDEX('04A_국토부원자료'!$A:$T,ROW()+1,MATCH("전용면적(㎡)",'04A_국토부원자료'!$A$4:$T$4,0)),",","")),"")</f>
        <v/>
      </c>
      <c r="F2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7" s="51">
        <f>IFERROR(VALUE(SUBSTITUTE(INDEX('04A_국토부원자료'!$A:$T,ROW()+1,MATCH("거래금액(만원)",'04A_국토부원자료'!$A$4:$T$4,0)),",","")),"")</f>
        <v/>
      </c>
      <c r="H267" s="174">
        <f>IF(G267="","",G267*10000)</f>
        <v/>
      </c>
      <c r="I267" s="174">
        <f>IFERROR(IF(AND(H267&gt;0,E267&gt;0),H267/E267,""),"")</f>
        <v/>
      </c>
      <c r="J267" s="152">
        <f>IFERROR(VALUE(SUBSTITUTE(INDEX('04A_국토부원자료'!$A:$T,ROW()+1,MATCH("층",'04A_국토부원자료'!$A$4:$T$4,0)),",","")),"")</f>
        <v/>
      </c>
      <c r="K267" s="152">
        <f>IFERROR(VALUE(SUBSTITUTE(INDEX('04A_국토부원자료'!$A:$T,ROW()+1,MATCH("건축년도",'04A_국토부원자료'!$A$4:$T$4,0)),",","")),"")</f>
        <v/>
      </c>
      <c r="L267" s="176">
        <f>IFERROR(INDEX('04A_국토부원자료'!$A:$T,ROW()+1,MATCH("도로명",'04A_국토부원자료'!$A$4:$T$4,0)),"")</f>
        <v/>
      </c>
      <c r="M267" s="48">
        <f>IFERROR(INDEX('04A_국토부원자료'!$A:$T,ROW()+1,MATCH("거래유형",'04A_국토부원자료'!$A$4:$T$4,0)),"")</f>
        <v/>
      </c>
      <c r="N267" s="152">
        <f>IF(B267="","",IF('02_대상물건입력'!B5="",1,IF(ISNUMBER(SEARCH('02_대상물건입력'!B5,B267)),1,0)))</f>
        <v/>
      </c>
      <c r="O267" s="152">
        <f>IF(B267="","",IF('02_대상물건입력'!B6="",1,IF(ISNUMBER(SEARCH('02_대상물건입력'!B6,B267)),1,0)))</f>
        <v/>
      </c>
      <c r="P267" s="152">
        <f>IF(L267="","",IF('02_대상물건입력'!B15="",0,IF(ISNUMBER(SEARCH('02_대상물건입력'!B15,L267)),1,0)))</f>
        <v/>
      </c>
      <c r="Q267" s="152">
        <f>IF(OR(C267="",L267=""),0,IF(AND(TRIM(C267)=TRIM(RIGHT(SUBSTITUTE(TRIM('02_대상물건입력'!$B$7)," ",REPT(" ",99)),99)),IF('02_대상물건입력'!B15="",TRUE(),ISNUMBER(SEARCH('02_대상물건입력'!B15,L267)))),1,0))</f>
        <v/>
      </c>
      <c r="R267" s="175">
        <f>IFERROR(ABS(E267-'02_대상물건입력'!B11)/'02_대상물건입력'!B11,"")</f>
        <v/>
      </c>
      <c r="S267" s="152">
        <f>IFERROR(ABS(J267-'02_대상물건입력'!B10),"")</f>
        <v/>
      </c>
      <c r="T267" s="152">
        <f>IFERROR(ABS('01_설정'!B4-F267),"")</f>
        <v/>
      </c>
      <c r="U267" s="152">
        <f>IFERROR(ABS(K267-YEAR('02_대상물건입력'!B14)),"")</f>
        <v/>
      </c>
      <c r="V267" s="152">
        <f>IF(B267="","",IF(AND(E267&gt;0,F267&gt;0,H267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267=1,TRUE()),R267&lt;='01_설정'!B5,S267&lt;='01_설정'!B6,T267&lt;='01_설정'!B7,U267&lt;='01_설정'!B8),"Y",""))</f>
        <v/>
      </c>
      <c r="W267" s="172">
        <f>IF(V267&lt;&gt;"Y","",MAX(0,(1-R267/'01_설정'!B5))*'01_설정'!B14+MAX(0,(1-S267/'01_설정'!B6))*'01_설정'!B15+MAX(0,(1-T267/'01_설정'!B7))*'01_설정'!B16+MAX(0,(1-U267/'01_설정'!B8))*'01_설정'!B17+O267*'01_설정'!B11+Q267*'01_설정'!B12+P267*'01_설정'!B13+IF(Z267="",0,Z267))</f>
        <v/>
      </c>
      <c r="X267" s="152">
        <f>IF(W267="","",1+COUNTIFS($W$4:$W$3003,"&gt;"&amp;W267)+COUNTIFS($W$4:W267,W267)-1)</f>
        <v/>
      </c>
      <c r="Y267" s="175">
        <f>IF(OR(I267="",'02_대상물건입력'!B19="",'02_대상물건입력'!B19&lt;=0),"",ABS(I267-'02_대상물건입력'!B19)/'02_대상물건입력'!B19)</f>
        <v/>
      </c>
      <c r="Z267" s="172">
        <f>IF(OR(Y267="",'01_설정'!B31="",'01_설정'!B31&lt;=0,'01_설정'!B32="",'01_설정'!B32&lt;=0),"",MAX(0,(1-Y267/'01_설정'!B32))*'01_설정'!B31)</f>
        <v/>
      </c>
    </row>
    <row r="268" ht="17.25" customHeight="1">
      <c r="A268" s="152">
        <f>IF(INDEX('04A_국토부원자료'!$A:$A,ROW()+1)="","",ROW()-3)</f>
        <v/>
      </c>
      <c r="B268" s="48">
        <f>IFERROR(INDEX('04A_국토부원자료'!$A:$T,ROW()+1,MATCH("시군구",'04A_국토부원자료'!$A$4:$T$4,0)),"")</f>
        <v/>
      </c>
      <c r="C268" s="48">
        <f>IF(B268="","",IFERROR(INDEX('04A_국토부원자료'!$A:$T,ROW()+1,MATCH("번지",'04A_국토부원자료'!$A$4:$T$4,0)),""))</f>
        <v/>
      </c>
      <c r="D268" s="48">
        <f>IF(B268="","",IF(Q268=1,'02_대상물건입력'!$B$8,IFERROR(INDEX('04A_국토부원자료'!$A:$T,ROW()+1,MATCH("단지명",'04A_국토부원자료'!$A$4:$T$4,0)),"")))</f>
        <v/>
      </c>
      <c r="E268" s="172">
        <f>IFERROR(VALUE(SUBSTITUTE(INDEX('04A_국토부원자료'!$A:$T,ROW()+1,MATCH("전용면적(㎡)",'04A_국토부원자료'!$A$4:$T$4,0)),",","")),"")</f>
        <v/>
      </c>
      <c r="F2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8" s="51">
        <f>IFERROR(VALUE(SUBSTITUTE(INDEX('04A_국토부원자료'!$A:$T,ROW()+1,MATCH("거래금액(만원)",'04A_국토부원자료'!$A$4:$T$4,0)),",","")),"")</f>
        <v/>
      </c>
      <c r="H268" s="174">
        <f>IF(G268="","",G268*10000)</f>
        <v/>
      </c>
      <c r="I268" s="174">
        <f>IFERROR(IF(AND(H268&gt;0,E268&gt;0),H268/E268,""),"")</f>
        <v/>
      </c>
      <c r="J268" s="152">
        <f>IFERROR(VALUE(SUBSTITUTE(INDEX('04A_국토부원자료'!$A:$T,ROW()+1,MATCH("층",'04A_국토부원자료'!$A$4:$T$4,0)),",","")),"")</f>
        <v/>
      </c>
      <c r="K268" s="152">
        <f>IFERROR(VALUE(SUBSTITUTE(INDEX('04A_국토부원자료'!$A:$T,ROW()+1,MATCH("건축년도",'04A_국토부원자료'!$A$4:$T$4,0)),",","")),"")</f>
        <v/>
      </c>
      <c r="L268" s="176">
        <f>IFERROR(INDEX('04A_국토부원자료'!$A:$T,ROW()+1,MATCH("도로명",'04A_국토부원자료'!$A$4:$T$4,0)),"")</f>
        <v/>
      </c>
      <c r="M268" s="48">
        <f>IFERROR(INDEX('04A_국토부원자료'!$A:$T,ROW()+1,MATCH("거래유형",'04A_국토부원자료'!$A$4:$T$4,0)),"")</f>
        <v/>
      </c>
      <c r="N268" s="152">
        <f>IF(B268="","",IF('02_대상물건입력'!B5="",1,IF(ISNUMBER(SEARCH('02_대상물건입력'!B5,B268)),1,0)))</f>
        <v/>
      </c>
      <c r="O268" s="152">
        <f>IF(B268="","",IF('02_대상물건입력'!B6="",1,IF(ISNUMBER(SEARCH('02_대상물건입력'!B6,B268)),1,0)))</f>
        <v/>
      </c>
      <c r="P268" s="152">
        <f>IF(L268="","",IF('02_대상물건입력'!B15="",0,IF(ISNUMBER(SEARCH('02_대상물건입력'!B15,L268)),1,0)))</f>
        <v/>
      </c>
      <c r="Q268" s="152">
        <f>IF(OR(C268="",L268=""),0,IF(AND(TRIM(C268)=TRIM(RIGHT(SUBSTITUTE(TRIM('02_대상물건입력'!$B$7)," ",REPT(" ",99)),99)),IF('02_대상물건입력'!B15="",TRUE(),ISNUMBER(SEARCH('02_대상물건입력'!B15,L268)))),1,0))</f>
        <v/>
      </c>
      <c r="R268" s="175">
        <f>IFERROR(ABS(E268-'02_대상물건입력'!B11)/'02_대상물건입력'!B11,"")</f>
        <v/>
      </c>
      <c r="S268" s="152">
        <f>IFERROR(ABS(J268-'02_대상물건입력'!B10),"")</f>
        <v/>
      </c>
      <c r="T268" s="152">
        <f>IFERROR(ABS('01_설정'!B4-F268),"")</f>
        <v/>
      </c>
      <c r="U268" s="152">
        <f>IFERROR(ABS(K268-YEAR('02_대상물건입력'!B14)),"")</f>
        <v/>
      </c>
      <c r="V268" s="152">
        <f>IF(B268="","",IF(AND(E268&gt;0,F268&gt;0,H268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268=1,TRUE()),R268&lt;='01_설정'!B5,S268&lt;='01_설정'!B6,T268&lt;='01_설정'!B7,U268&lt;='01_설정'!B8),"Y",""))</f>
        <v/>
      </c>
      <c r="W268" s="172">
        <f>IF(V268&lt;&gt;"Y","",MAX(0,(1-R268/'01_설정'!B5))*'01_설정'!B14+MAX(0,(1-S268/'01_설정'!B6))*'01_설정'!B15+MAX(0,(1-T268/'01_설정'!B7))*'01_설정'!B16+MAX(0,(1-U268/'01_설정'!B8))*'01_설정'!B17+O268*'01_설정'!B11+Q268*'01_설정'!B12+P268*'01_설정'!B13+IF(Z268="",0,Z268))</f>
        <v/>
      </c>
      <c r="X268" s="152">
        <f>IF(W268="","",1+COUNTIFS($W$4:$W$3003,"&gt;"&amp;W268)+COUNTIFS($W$4:W268,W268)-1)</f>
        <v/>
      </c>
      <c r="Y268" s="175">
        <f>IF(OR(I268="",'02_대상물건입력'!B19="",'02_대상물건입력'!B19&lt;=0),"",ABS(I268-'02_대상물건입력'!B19)/'02_대상물건입력'!B19)</f>
        <v/>
      </c>
      <c r="Z268" s="172">
        <f>IF(OR(Y268="",'01_설정'!B31="",'01_설정'!B31&lt;=0,'01_설정'!B32="",'01_설정'!B32&lt;=0),"",MAX(0,(1-Y268/'01_설정'!B32))*'01_설정'!B31)</f>
        <v/>
      </c>
    </row>
    <row r="269" ht="17.25" customHeight="1">
      <c r="A269" s="152">
        <f>IF(INDEX('04A_국토부원자료'!$A:$A,ROW()+1)="","",ROW()-3)</f>
        <v/>
      </c>
      <c r="B269" s="48">
        <f>IFERROR(INDEX('04A_국토부원자료'!$A:$T,ROW()+1,MATCH("시군구",'04A_국토부원자료'!$A$4:$T$4,0)),"")</f>
        <v/>
      </c>
      <c r="C269" s="48">
        <f>IF(B269="","",IFERROR(INDEX('04A_국토부원자료'!$A:$T,ROW()+1,MATCH("번지",'04A_국토부원자료'!$A$4:$T$4,0)),""))</f>
        <v/>
      </c>
      <c r="D269" s="48">
        <f>IF(B269="","",IF(Q269=1,'02_대상물건입력'!$B$8,IFERROR(INDEX('04A_국토부원자료'!$A:$T,ROW()+1,MATCH("단지명",'04A_국토부원자료'!$A$4:$T$4,0)),"")))</f>
        <v/>
      </c>
      <c r="E269" s="172">
        <f>IFERROR(VALUE(SUBSTITUTE(INDEX('04A_국토부원자료'!$A:$T,ROW()+1,MATCH("전용면적(㎡)",'04A_국토부원자료'!$A$4:$T$4,0)),",","")),"")</f>
        <v/>
      </c>
      <c r="F2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9" s="51">
        <f>IFERROR(VALUE(SUBSTITUTE(INDEX('04A_국토부원자료'!$A:$T,ROW()+1,MATCH("거래금액(만원)",'04A_국토부원자료'!$A$4:$T$4,0)),",","")),"")</f>
        <v/>
      </c>
      <c r="H269" s="174">
        <f>IF(G269="","",G269*10000)</f>
        <v/>
      </c>
      <c r="I269" s="174">
        <f>IFERROR(IF(AND(H269&gt;0,E269&gt;0),H269/E269,""),"")</f>
        <v/>
      </c>
      <c r="J269" s="152">
        <f>IFERROR(VALUE(SUBSTITUTE(INDEX('04A_국토부원자료'!$A:$T,ROW()+1,MATCH("층",'04A_국토부원자료'!$A$4:$T$4,0)),",","")),"")</f>
        <v/>
      </c>
      <c r="K269" s="152">
        <f>IFERROR(VALUE(SUBSTITUTE(INDEX('04A_국토부원자료'!$A:$T,ROW()+1,MATCH("건축년도",'04A_국토부원자료'!$A$4:$T$4,0)),",","")),"")</f>
        <v/>
      </c>
      <c r="L269" s="176">
        <f>IFERROR(INDEX('04A_국토부원자료'!$A:$T,ROW()+1,MATCH("도로명",'04A_국토부원자료'!$A$4:$T$4,0)),"")</f>
        <v/>
      </c>
      <c r="M269" s="48">
        <f>IFERROR(INDEX('04A_국토부원자료'!$A:$T,ROW()+1,MATCH("거래유형",'04A_국토부원자료'!$A$4:$T$4,0)),"")</f>
        <v/>
      </c>
      <c r="N269" s="152">
        <f>IF(B269="","",IF('02_대상물건입력'!B5="",1,IF(ISNUMBER(SEARCH('02_대상물건입력'!B5,B269)),1,0)))</f>
        <v/>
      </c>
      <c r="O269" s="152">
        <f>IF(B269="","",IF('02_대상물건입력'!B6="",1,IF(ISNUMBER(SEARCH('02_대상물건입력'!B6,B269)),1,0)))</f>
        <v/>
      </c>
      <c r="P269" s="152">
        <f>IF(L269="","",IF('02_대상물건입력'!B15="",0,IF(ISNUMBER(SEARCH('02_대상물건입력'!B15,L269)),1,0)))</f>
        <v/>
      </c>
      <c r="Q269" s="152">
        <f>IF(OR(C269="",L269=""),0,IF(AND(TRIM(C269)=TRIM(RIGHT(SUBSTITUTE(TRIM('02_대상물건입력'!$B$7)," ",REPT(" ",99)),99)),IF('02_대상물건입력'!B15="",TRUE(),ISNUMBER(SEARCH('02_대상물건입력'!B15,L269)))),1,0))</f>
        <v/>
      </c>
      <c r="R269" s="175">
        <f>IFERROR(ABS(E269-'02_대상물건입력'!B11)/'02_대상물건입력'!B11,"")</f>
        <v/>
      </c>
      <c r="S269" s="152">
        <f>IFERROR(ABS(J269-'02_대상물건입력'!B10),"")</f>
        <v/>
      </c>
      <c r="T269" s="152">
        <f>IFERROR(ABS('01_설정'!B4-F269),"")</f>
        <v/>
      </c>
      <c r="U269" s="152">
        <f>IFERROR(ABS(K269-YEAR('02_대상물건입력'!B14)),"")</f>
        <v/>
      </c>
      <c r="V269" s="152">
        <f>IF(B269="","",IF(AND(E269&gt;0,F269&gt;0,H269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269=1,TRUE()),R269&lt;='01_설정'!B5,S269&lt;='01_설정'!B6,T269&lt;='01_설정'!B7,U269&lt;='01_설정'!B8),"Y",""))</f>
        <v/>
      </c>
      <c r="W269" s="172">
        <f>IF(V269&lt;&gt;"Y","",MAX(0,(1-R269/'01_설정'!B5))*'01_설정'!B14+MAX(0,(1-S269/'01_설정'!B6))*'01_설정'!B15+MAX(0,(1-T269/'01_설정'!B7))*'01_설정'!B16+MAX(0,(1-U269/'01_설정'!B8))*'01_설정'!B17+O269*'01_설정'!B11+Q269*'01_설정'!B12+P269*'01_설정'!B13+IF(Z269="",0,Z269))</f>
        <v/>
      </c>
      <c r="X269" s="152">
        <f>IF(W269="","",1+COUNTIFS($W$4:$W$3003,"&gt;"&amp;W269)+COUNTIFS($W$4:W269,W269)-1)</f>
        <v/>
      </c>
      <c r="Y269" s="175">
        <f>IF(OR(I269="",'02_대상물건입력'!B19="",'02_대상물건입력'!B19&lt;=0),"",ABS(I269-'02_대상물건입력'!B19)/'02_대상물건입력'!B19)</f>
        <v/>
      </c>
      <c r="Z269" s="172">
        <f>IF(OR(Y269="",'01_설정'!B31="",'01_설정'!B31&lt;=0,'01_설정'!B32="",'01_설정'!B32&lt;=0),"",MAX(0,(1-Y269/'01_설정'!B32))*'01_설정'!B31)</f>
        <v/>
      </c>
    </row>
    <row r="270" ht="17.25" customHeight="1">
      <c r="A270" s="152">
        <f>IF(INDEX('04A_국토부원자료'!$A:$A,ROW()+1)="","",ROW()-3)</f>
        <v/>
      </c>
      <c r="B270" s="48">
        <f>IFERROR(INDEX('04A_국토부원자료'!$A:$T,ROW()+1,MATCH("시군구",'04A_국토부원자료'!$A$4:$T$4,0)),"")</f>
        <v/>
      </c>
      <c r="C270" s="48">
        <f>IF(B270="","",IFERROR(INDEX('04A_국토부원자료'!$A:$T,ROW()+1,MATCH("번지",'04A_국토부원자료'!$A$4:$T$4,0)),""))</f>
        <v/>
      </c>
      <c r="D270" s="48">
        <f>IF(B270="","",IF(Q270=1,'02_대상물건입력'!$B$8,IFERROR(INDEX('04A_국토부원자료'!$A:$T,ROW()+1,MATCH("단지명",'04A_국토부원자료'!$A$4:$T$4,0)),"")))</f>
        <v/>
      </c>
      <c r="E270" s="172">
        <f>IFERROR(VALUE(SUBSTITUTE(INDEX('04A_국토부원자료'!$A:$T,ROW()+1,MATCH("전용면적(㎡)",'04A_국토부원자료'!$A$4:$T$4,0)),",","")),"")</f>
        <v/>
      </c>
      <c r="F2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0" s="51">
        <f>IFERROR(VALUE(SUBSTITUTE(INDEX('04A_국토부원자료'!$A:$T,ROW()+1,MATCH("거래금액(만원)",'04A_국토부원자료'!$A$4:$T$4,0)),",","")),"")</f>
        <v/>
      </c>
      <c r="H270" s="174">
        <f>IF(G270="","",G270*10000)</f>
        <v/>
      </c>
      <c r="I270" s="174">
        <f>IFERROR(IF(AND(H270&gt;0,E270&gt;0),H270/E270,""),"")</f>
        <v/>
      </c>
      <c r="J270" s="152">
        <f>IFERROR(VALUE(SUBSTITUTE(INDEX('04A_국토부원자료'!$A:$T,ROW()+1,MATCH("층",'04A_국토부원자료'!$A$4:$T$4,0)),",","")),"")</f>
        <v/>
      </c>
      <c r="K270" s="152">
        <f>IFERROR(VALUE(SUBSTITUTE(INDEX('04A_국토부원자료'!$A:$T,ROW()+1,MATCH("건축년도",'04A_국토부원자료'!$A$4:$T$4,0)),",","")),"")</f>
        <v/>
      </c>
      <c r="L270" s="176">
        <f>IFERROR(INDEX('04A_국토부원자료'!$A:$T,ROW()+1,MATCH("도로명",'04A_국토부원자료'!$A$4:$T$4,0)),"")</f>
        <v/>
      </c>
      <c r="M270" s="48">
        <f>IFERROR(INDEX('04A_국토부원자료'!$A:$T,ROW()+1,MATCH("거래유형",'04A_국토부원자료'!$A$4:$T$4,0)),"")</f>
        <v/>
      </c>
      <c r="N270" s="152">
        <f>IF(B270="","",IF('02_대상물건입력'!B5="",1,IF(ISNUMBER(SEARCH('02_대상물건입력'!B5,B270)),1,0)))</f>
        <v/>
      </c>
      <c r="O270" s="152">
        <f>IF(B270="","",IF('02_대상물건입력'!B6="",1,IF(ISNUMBER(SEARCH('02_대상물건입력'!B6,B270)),1,0)))</f>
        <v/>
      </c>
      <c r="P270" s="152">
        <f>IF(L270="","",IF('02_대상물건입력'!B15="",0,IF(ISNUMBER(SEARCH('02_대상물건입력'!B15,L270)),1,0)))</f>
        <v/>
      </c>
      <c r="Q270" s="152">
        <f>IF(OR(C270="",L270=""),0,IF(AND(TRIM(C270)=TRIM(RIGHT(SUBSTITUTE(TRIM('02_대상물건입력'!$B$7)," ",REPT(" ",99)),99)),IF('02_대상물건입력'!B15="",TRUE(),ISNUMBER(SEARCH('02_대상물건입력'!B15,L270)))),1,0))</f>
        <v/>
      </c>
      <c r="R270" s="175">
        <f>IFERROR(ABS(E270-'02_대상물건입력'!B11)/'02_대상물건입력'!B11,"")</f>
        <v/>
      </c>
      <c r="S270" s="152">
        <f>IFERROR(ABS(J270-'02_대상물건입력'!B10),"")</f>
        <v/>
      </c>
      <c r="T270" s="152">
        <f>IFERROR(ABS('01_설정'!B4-F270),"")</f>
        <v/>
      </c>
      <c r="U270" s="152">
        <f>IFERROR(ABS(K270-YEAR('02_대상물건입력'!B14)),"")</f>
        <v/>
      </c>
      <c r="V270" s="152">
        <f>IF(B270="","",IF(AND(E270&gt;0,F270&gt;0,H270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270=1,TRUE()),R270&lt;='01_설정'!B5,S270&lt;='01_설정'!B6,T270&lt;='01_설정'!B7,U270&lt;='01_설정'!B8),"Y",""))</f>
        <v/>
      </c>
      <c r="W270" s="172">
        <f>IF(V270&lt;&gt;"Y","",MAX(0,(1-R270/'01_설정'!B5))*'01_설정'!B14+MAX(0,(1-S270/'01_설정'!B6))*'01_설정'!B15+MAX(0,(1-T270/'01_설정'!B7))*'01_설정'!B16+MAX(0,(1-U270/'01_설정'!B8))*'01_설정'!B17+O270*'01_설정'!B11+Q270*'01_설정'!B12+P270*'01_설정'!B13+IF(Z270="",0,Z270))</f>
        <v/>
      </c>
      <c r="X270" s="152">
        <f>IF(W270="","",1+COUNTIFS($W$4:$W$3003,"&gt;"&amp;W270)+COUNTIFS($W$4:W270,W270)-1)</f>
        <v/>
      </c>
      <c r="Y270" s="175">
        <f>IF(OR(I270="",'02_대상물건입력'!B19="",'02_대상물건입력'!B19&lt;=0),"",ABS(I270-'02_대상물건입력'!B19)/'02_대상물건입력'!B19)</f>
        <v/>
      </c>
      <c r="Z270" s="172">
        <f>IF(OR(Y270="",'01_설정'!B31="",'01_설정'!B31&lt;=0,'01_설정'!B32="",'01_설정'!B32&lt;=0),"",MAX(0,(1-Y270/'01_설정'!B32))*'01_설정'!B31)</f>
        <v/>
      </c>
    </row>
    <row r="271" ht="17.25" customHeight="1">
      <c r="A271" s="152">
        <f>IF(INDEX('04A_국토부원자료'!$A:$A,ROW()+1)="","",ROW()-3)</f>
        <v/>
      </c>
      <c r="B271" s="48">
        <f>IFERROR(INDEX('04A_국토부원자료'!$A:$T,ROW()+1,MATCH("시군구",'04A_국토부원자료'!$A$4:$T$4,0)),"")</f>
        <v/>
      </c>
      <c r="C271" s="48">
        <f>IF(B271="","",IFERROR(INDEX('04A_국토부원자료'!$A:$T,ROW()+1,MATCH("번지",'04A_국토부원자료'!$A$4:$T$4,0)),""))</f>
        <v/>
      </c>
      <c r="D271" s="48">
        <f>IF(B271="","",IF(Q271=1,'02_대상물건입력'!$B$8,IFERROR(INDEX('04A_국토부원자료'!$A:$T,ROW()+1,MATCH("단지명",'04A_국토부원자료'!$A$4:$T$4,0)),"")))</f>
        <v/>
      </c>
      <c r="E271" s="172">
        <f>IFERROR(VALUE(SUBSTITUTE(INDEX('04A_국토부원자료'!$A:$T,ROW()+1,MATCH("전용면적(㎡)",'04A_국토부원자료'!$A$4:$T$4,0)),",","")),"")</f>
        <v/>
      </c>
      <c r="F2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1" s="51">
        <f>IFERROR(VALUE(SUBSTITUTE(INDEX('04A_국토부원자료'!$A:$T,ROW()+1,MATCH("거래금액(만원)",'04A_국토부원자료'!$A$4:$T$4,0)),",","")),"")</f>
        <v/>
      </c>
      <c r="H271" s="174">
        <f>IF(G271="","",G271*10000)</f>
        <v/>
      </c>
      <c r="I271" s="174">
        <f>IFERROR(IF(AND(H271&gt;0,E271&gt;0),H271/E271,""),"")</f>
        <v/>
      </c>
      <c r="J271" s="152">
        <f>IFERROR(VALUE(SUBSTITUTE(INDEX('04A_국토부원자료'!$A:$T,ROW()+1,MATCH("층",'04A_국토부원자료'!$A$4:$T$4,0)),",","")),"")</f>
        <v/>
      </c>
      <c r="K271" s="152">
        <f>IFERROR(VALUE(SUBSTITUTE(INDEX('04A_국토부원자료'!$A:$T,ROW()+1,MATCH("건축년도",'04A_국토부원자료'!$A$4:$T$4,0)),",","")),"")</f>
        <v/>
      </c>
      <c r="L271" s="176">
        <f>IFERROR(INDEX('04A_국토부원자료'!$A:$T,ROW()+1,MATCH("도로명",'04A_국토부원자료'!$A$4:$T$4,0)),"")</f>
        <v/>
      </c>
      <c r="M271" s="48">
        <f>IFERROR(INDEX('04A_국토부원자료'!$A:$T,ROW()+1,MATCH("거래유형",'04A_국토부원자료'!$A$4:$T$4,0)),"")</f>
        <v/>
      </c>
      <c r="N271" s="152">
        <f>IF(B271="","",IF('02_대상물건입력'!B5="",1,IF(ISNUMBER(SEARCH('02_대상물건입력'!B5,B271)),1,0)))</f>
        <v/>
      </c>
      <c r="O271" s="152">
        <f>IF(B271="","",IF('02_대상물건입력'!B6="",1,IF(ISNUMBER(SEARCH('02_대상물건입력'!B6,B271)),1,0)))</f>
        <v/>
      </c>
      <c r="P271" s="152">
        <f>IF(L271="","",IF('02_대상물건입력'!B15="",0,IF(ISNUMBER(SEARCH('02_대상물건입력'!B15,L271)),1,0)))</f>
        <v/>
      </c>
      <c r="Q271" s="152">
        <f>IF(OR(C271="",L271=""),0,IF(AND(TRIM(C271)=TRIM(RIGHT(SUBSTITUTE(TRIM('02_대상물건입력'!$B$7)," ",REPT(" ",99)),99)),IF('02_대상물건입력'!B15="",TRUE(),ISNUMBER(SEARCH('02_대상물건입력'!B15,L271)))),1,0))</f>
        <v/>
      </c>
      <c r="R271" s="175">
        <f>IFERROR(ABS(E271-'02_대상물건입력'!B11)/'02_대상물건입력'!B11,"")</f>
        <v/>
      </c>
      <c r="S271" s="152">
        <f>IFERROR(ABS(J271-'02_대상물건입력'!B10),"")</f>
        <v/>
      </c>
      <c r="T271" s="152">
        <f>IFERROR(ABS('01_설정'!B4-F271),"")</f>
        <v/>
      </c>
      <c r="U271" s="152">
        <f>IFERROR(ABS(K271-YEAR('02_대상물건입력'!B14)),"")</f>
        <v/>
      </c>
      <c r="V271" s="152">
        <f>IF(B271="","",IF(AND(E271&gt;0,F271&gt;0,H271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271=1,TRUE()),R271&lt;='01_설정'!B5,S271&lt;='01_설정'!B6,T271&lt;='01_설정'!B7,U271&lt;='01_설정'!B8),"Y",""))</f>
        <v/>
      </c>
      <c r="W271" s="172">
        <f>IF(V271&lt;&gt;"Y","",MAX(0,(1-R271/'01_설정'!B5))*'01_설정'!B14+MAX(0,(1-S271/'01_설정'!B6))*'01_설정'!B15+MAX(0,(1-T271/'01_설정'!B7))*'01_설정'!B16+MAX(0,(1-U271/'01_설정'!B8))*'01_설정'!B17+O271*'01_설정'!B11+Q271*'01_설정'!B12+P271*'01_설정'!B13+IF(Z271="",0,Z271))</f>
        <v/>
      </c>
      <c r="X271" s="152">
        <f>IF(W271="","",1+COUNTIFS($W$4:$W$3003,"&gt;"&amp;W271)+COUNTIFS($W$4:W271,W271)-1)</f>
        <v/>
      </c>
      <c r="Y271" s="175">
        <f>IF(OR(I271="",'02_대상물건입력'!B19="",'02_대상물건입력'!B19&lt;=0),"",ABS(I271-'02_대상물건입력'!B19)/'02_대상물건입력'!B19)</f>
        <v/>
      </c>
      <c r="Z271" s="172">
        <f>IF(OR(Y271="",'01_설정'!B31="",'01_설정'!B31&lt;=0,'01_설정'!B32="",'01_설정'!B32&lt;=0),"",MAX(0,(1-Y271/'01_설정'!B32))*'01_설정'!B31)</f>
        <v/>
      </c>
    </row>
    <row r="272" ht="17.25" customHeight="1">
      <c r="A272" s="152">
        <f>IF(INDEX('04A_국토부원자료'!$A:$A,ROW()+1)="","",ROW()-3)</f>
        <v/>
      </c>
      <c r="B272" s="48">
        <f>IFERROR(INDEX('04A_국토부원자료'!$A:$T,ROW()+1,MATCH("시군구",'04A_국토부원자료'!$A$4:$T$4,0)),"")</f>
        <v/>
      </c>
      <c r="C272" s="48">
        <f>IF(B272="","",IFERROR(INDEX('04A_국토부원자료'!$A:$T,ROW()+1,MATCH("번지",'04A_국토부원자료'!$A$4:$T$4,0)),""))</f>
        <v/>
      </c>
      <c r="D272" s="48">
        <f>IF(B272="","",IF(Q272=1,'02_대상물건입력'!$B$8,IFERROR(INDEX('04A_국토부원자료'!$A:$T,ROW()+1,MATCH("단지명",'04A_국토부원자료'!$A$4:$T$4,0)),"")))</f>
        <v/>
      </c>
      <c r="E272" s="172">
        <f>IFERROR(VALUE(SUBSTITUTE(INDEX('04A_국토부원자료'!$A:$T,ROW()+1,MATCH("전용면적(㎡)",'04A_국토부원자료'!$A$4:$T$4,0)),",","")),"")</f>
        <v/>
      </c>
      <c r="F2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2" s="51">
        <f>IFERROR(VALUE(SUBSTITUTE(INDEX('04A_국토부원자료'!$A:$T,ROW()+1,MATCH("거래금액(만원)",'04A_국토부원자료'!$A$4:$T$4,0)),",","")),"")</f>
        <v/>
      </c>
      <c r="H272" s="174">
        <f>IF(G272="","",G272*10000)</f>
        <v/>
      </c>
      <c r="I272" s="174">
        <f>IFERROR(IF(AND(H272&gt;0,E272&gt;0),H272/E272,""),"")</f>
        <v/>
      </c>
      <c r="J272" s="152">
        <f>IFERROR(VALUE(SUBSTITUTE(INDEX('04A_국토부원자료'!$A:$T,ROW()+1,MATCH("층",'04A_국토부원자료'!$A$4:$T$4,0)),",","")),"")</f>
        <v/>
      </c>
      <c r="K272" s="152">
        <f>IFERROR(VALUE(SUBSTITUTE(INDEX('04A_국토부원자료'!$A:$T,ROW()+1,MATCH("건축년도",'04A_국토부원자료'!$A$4:$T$4,0)),",","")),"")</f>
        <v/>
      </c>
      <c r="L272" s="176">
        <f>IFERROR(INDEX('04A_국토부원자료'!$A:$T,ROW()+1,MATCH("도로명",'04A_국토부원자료'!$A$4:$T$4,0)),"")</f>
        <v/>
      </c>
      <c r="M272" s="48">
        <f>IFERROR(INDEX('04A_국토부원자료'!$A:$T,ROW()+1,MATCH("거래유형",'04A_국토부원자료'!$A$4:$T$4,0)),"")</f>
        <v/>
      </c>
      <c r="N272" s="152">
        <f>IF(B272="","",IF('02_대상물건입력'!B5="",1,IF(ISNUMBER(SEARCH('02_대상물건입력'!B5,B272)),1,0)))</f>
        <v/>
      </c>
      <c r="O272" s="152">
        <f>IF(B272="","",IF('02_대상물건입력'!B6="",1,IF(ISNUMBER(SEARCH('02_대상물건입력'!B6,B272)),1,0)))</f>
        <v/>
      </c>
      <c r="P272" s="152">
        <f>IF(L272="","",IF('02_대상물건입력'!B15="",0,IF(ISNUMBER(SEARCH('02_대상물건입력'!B15,L272)),1,0)))</f>
        <v/>
      </c>
      <c r="Q272" s="152">
        <f>IF(OR(C272="",L272=""),0,IF(AND(TRIM(C272)=TRIM(RIGHT(SUBSTITUTE(TRIM('02_대상물건입력'!$B$7)," ",REPT(" ",99)),99)),IF('02_대상물건입력'!B15="",TRUE(),ISNUMBER(SEARCH('02_대상물건입력'!B15,L272)))),1,0))</f>
        <v/>
      </c>
      <c r="R272" s="175">
        <f>IFERROR(ABS(E272-'02_대상물건입력'!B11)/'02_대상물건입력'!B11,"")</f>
        <v/>
      </c>
      <c r="S272" s="152">
        <f>IFERROR(ABS(J272-'02_대상물건입력'!B10),"")</f>
        <v/>
      </c>
      <c r="T272" s="152">
        <f>IFERROR(ABS('01_설정'!B4-F272),"")</f>
        <v/>
      </c>
      <c r="U272" s="152">
        <f>IFERROR(ABS(K272-YEAR('02_대상물건입력'!B14)),"")</f>
        <v/>
      </c>
      <c r="V272" s="152">
        <f>IF(B272="","",IF(AND(E272&gt;0,F272&gt;0,H272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272=1,TRUE()),R272&lt;='01_설정'!B5,S272&lt;='01_설정'!B6,T272&lt;='01_설정'!B7,U272&lt;='01_설정'!B8),"Y",""))</f>
        <v/>
      </c>
      <c r="W272" s="172">
        <f>IF(V272&lt;&gt;"Y","",MAX(0,(1-R272/'01_설정'!B5))*'01_설정'!B14+MAX(0,(1-S272/'01_설정'!B6))*'01_설정'!B15+MAX(0,(1-T272/'01_설정'!B7))*'01_설정'!B16+MAX(0,(1-U272/'01_설정'!B8))*'01_설정'!B17+O272*'01_설정'!B11+Q272*'01_설정'!B12+P272*'01_설정'!B13+IF(Z272="",0,Z272))</f>
        <v/>
      </c>
      <c r="X272" s="152">
        <f>IF(W272="","",1+COUNTIFS($W$4:$W$3003,"&gt;"&amp;W272)+COUNTIFS($W$4:W272,W272)-1)</f>
        <v/>
      </c>
      <c r="Y272" s="175">
        <f>IF(OR(I272="",'02_대상물건입력'!B19="",'02_대상물건입력'!B19&lt;=0),"",ABS(I272-'02_대상물건입력'!B19)/'02_대상물건입력'!B19)</f>
        <v/>
      </c>
      <c r="Z272" s="172">
        <f>IF(OR(Y272="",'01_설정'!B31="",'01_설정'!B31&lt;=0,'01_설정'!B32="",'01_설정'!B32&lt;=0),"",MAX(0,(1-Y272/'01_설정'!B32))*'01_설정'!B31)</f>
        <v/>
      </c>
    </row>
    <row r="273" ht="17.25" customHeight="1">
      <c r="A273" s="152">
        <f>IF(INDEX('04A_국토부원자료'!$A:$A,ROW()+1)="","",ROW()-3)</f>
        <v/>
      </c>
      <c r="B273" s="48">
        <f>IFERROR(INDEX('04A_국토부원자료'!$A:$T,ROW()+1,MATCH("시군구",'04A_국토부원자료'!$A$4:$T$4,0)),"")</f>
        <v/>
      </c>
      <c r="C273" s="48">
        <f>IF(B273="","",IFERROR(INDEX('04A_국토부원자료'!$A:$T,ROW()+1,MATCH("번지",'04A_국토부원자료'!$A$4:$T$4,0)),""))</f>
        <v/>
      </c>
      <c r="D273" s="48">
        <f>IF(B273="","",IF(Q273=1,'02_대상물건입력'!$B$8,IFERROR(INDEX('04A_국토부원자료'!$A:$T,ROW()+1,MATCH("단지명",'04A_국토부원자료'!$A$4:$T$4,0)),"")))</f>
        <v/>
      </c>
      <c r="E273" s="172">
        <f>IFERROR(VALUE(SUBSTITUTE(INDEX('04A_국토부원자료'!$A:$T,ROW()+1,MATCH("전용면적(㎡)",'04A_국토부원자료'!$A$4:$T$4,0)),",","")),"")</f>
        <v/>
      </c>
      <c r="F2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3" s="51">
        <f>IFERROR(VALUE(SUBSTITUTE(INDEX('04A_국토부원자료'!$A:$T,ROW()+1,MATCH("거래금액(만원)",'04A_국토부원자료'!$A$4:$T$4,0)),",","")),"")</f>
        <v/>
      </c>
      <c r="H273" s="174">
        <f>IF(G273="","",G273*10000)</f>
        <v/>
      </c>
      <c r="I273" s="174">
        <f>IFERROR(IF(AND(H273&gt;0,E273&gt;0),H273/E273,""),"")</f>
        <v/>
      </c>
      <c r="J273" s="152">
        <f>IFERROR(VALUE(SUBSTITUTE(INDEX('04A_국토부원자료'!$A:$T,ROW()+1,MATCH("층",'04A_국토부원자료'!$A$4:$T$4,0)),",","")),"")</f>
        <v/>
      </c>
      <c r="K273" s="152">
        <f>IFERROR(VALUE(SUBSTITUTE(INDEX('04A_국토부원자료'!$A:$T,ROW()+1,MATCH("건축년도",'04A_국토부원자료'!$A$4:$T$4,0)),",","")),"")</f>
        <v/>
      </c>
      <c r="L273" s="176">
        <f>IFERROR(INDEX('04A_국토부원자료'!$A:$T,ROW()+1,MATCH("도로명",'04A_국토부원자료'!$A$4:$T$4,0)),"")</f>
        <v/>
      </c>
      <c r="M273" s="48">
        <f>IFERROR(INDEX('04A_국토부원자료'!$A:$T,ROW()+1,MATCH("거래유형",'04A_국토부원자료'!$A$4:$T$4,0)),"")</f>
        <v/>
      </c>
      <c r="N273" s="152">
        <f>IF(B273="","",IF('02_대상물건입력'!B5="",1,IF(ISNUMBER(SEARCH('02_대상물건입력'!B5,B273)),1,0)))</f>
        <v/>
      </c>
      <c r="O273" s="152">
        <f>IF(B273="","",IF('02_대상물건입력'!B6="",1,IF(ISNUMBER(SEARCH('02_대상물건입력'!B6,B273)),1,0)))</f>
        <v/>
      </c>
      <c r="P273" s="152">
        <f>IF(L273="","",IF('02_대상물건입력'!B15="",0,IF(ISNUMBER(SEARCH('02_대상물건입력'!B15,L273)),1,0)))</f>
        <v/>
      </c>
      <c r="Q273" s="152">
        <f>IF(OR(C273="",L273=""),0,IF(AND(TRIM(C273)=TRIM(RIGHT(SUBSTITUTE(TRIM('02_대상물건입력'!$B$7)," ",REPT(" ",99)),99)),IF('02_대상물건입력'!B15="",TRUE(),ISNUMBER(SEARCH('02_대상물건입력'!B15,L273)))),1,0))</f>
        <v/>
      </c>
      <c r="R273" s="175">
        <f>IFERROR(ABS(E273-'02_대상물건입력'!B11)/'02_대상물건입력'!B11,"")</f>
        <v/>
      </c>
      <c r="S273" s="152">
        <f>IFERROR(ABS(J273-'02_대상물건입력'!B10),"")</f>
        <v/>
      </c>
      <c r="T273" s="152">
        <f>IFERROR(ABS('01_설정'!B4-F273),"")</f>
        <v/>
      </c>
      <c r="U273" s="152">
        <f>IFERROR(ABS(K273-YEAR('02_대상물건입력'!B14)),"")</f>
        <v/>
      </c>
      <c r="V273" s="152">
        <f>IF(B273="","",IF(AND(E273&gt;0,F273&gt;0,H273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273=1,TRUE()),R273&lt;='01_설정'!B5,S273&lt;='01_설정'!B6,T273&lt;='01_설정'!B7,U273&lt;='01_설정'!B8),"Y",""))</f>
        <v/>
      </c>
      <c r="W273" s="172">
        <f>IF(V273&lt;&gt;"Y","",MAX(0,(1-R273/'01_설정'!B5))*'01_설정'!B14+MAX(0,(1-S273/'01_설정'!B6))*'01_설정'!B15+MAX(0,(1-T273/'01_설정'!B7))*'01_설정'!B16+MAX(0,(1-U273/'01_설정'!B8))*'01_설정'!B17+O273*'01_설정'!B11+Q273*'01_설정'!B12+P273*'01_설정'!B13+IF(Z273="",0,Z273))</f>
        <v/>
      </c>
      <c r="X273" s="152">
        <f>IF(W273="","",1+COUNTIFS($W$4:$W$3003,"&gt;"&amp;W273)+COUNTIFS($W$4:W273,W273)-1)</f>
        <v/>
      </c>
      <c r="Y273" s="175">
        <f>IF(OR(I273="",'02_대상물건입력'!B19="",'02_대상물건입력'!B19&lt;=0),"",ABS(I273-'02_대상물건입력'!B19)/'02_대상물건입력'!B19)</f>
        <v/>
      </c>
      <c r="Z273" s="172">
        <f>IF(OR(Y273="",'01_설정'!B31="",'01_설정'!B31&lt;=0,'01_설정'!B32="",'01_설정'!B32&lt;=0),"",MAX(0,(1-Y273/'01_설정'!B32))*'01_설정'!B31)</f>
        <v/>
      </c>
    </row>
    <row r="274" ht="17.25" customHeight="1">
      <c r="A274" s="152">
        <f>IF(INDEX('04A_국토부원자료'!$A:$A,ROW()+1)="","",ROW()-3)</f>
        <v/>
      </c>
      <c r="B274" s="48">
        <f>IFERROR(INDEX('04A_국토부원자료'!$A:$T,ROW()+1,MATCH("시군구",'04A_국토부원자료'!$A$4:$T$4,0)),"")</f>
        <v/>
      </c>
      <c r="C274" s="48">
        <f>IF(B274="","",IFERROR(INDEX('04A_국토부원자료'!$A:$T,ROW()+1,MATCH("번지",'04A_국토부원자료'!$A$4:$T$4,0)),""))</f>
        <v/>
      </c>
      <c r="D274" s="48">
        <f>IF(B274="","",IF(Q274=1,'02_대상물건입력'!$B$8,IFERROR(INDEX('04A_국토부원자료'!$A:$T,ROW()+1,MATCH("단지명",'04A_국토부원자료'!$A$4:$T$4,0)),"")))</f>
        <v/>
      </c>
      <c r="E274" s="172">
        <f>IFERROR(VALUE(SUBSTITUTE(INDEX('04A_국토부원자료'!$A:$T,ROW()+1,MATCH("전용면적(㎡)",'04A_국토부원자료'!$A$4:$T$4,0)),",","")),"")</f>
        <v/>
      </c>
      <c r="F2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4" s="51">
        <f>IFERROR(VALUE(SUBSTITUTE(INDEX('04A_국토부원자료'!$A:$T,ROW()+1,MATCH("거래금액(만원)",'04A_국토부원자료'!$A$4:$T$4,0)),",","")),"")</f>
        <v/>
      </c>
      <c r="H274" s="174">
        <f>IF(G274="","",G274*10000)</f>
        <v/>
      </c>
      <c r="I274" s="174">
        <f>IFERROR(IF(AND(H274&gt;0,E274&gt;0),H274/E274,""),"")</f>
        <v/>
      </c>
      <c r="J274" s="152">
        <f>IFERROR(VALUE(SUBSTITUTE(INDEX('04A_국토부원자료'!$A:$T,ROW()+1,MATCH("층",'04A_국토부원자료'!$A$4:$T$4,0)),",","")),"")</f>
        <v/>
      </c>
      <c r="K274" s="152">
        <f>IFERROR(VALUE(SUBSTITUTE(INDEX('04A_국토부원자료'!$A:$T,ROW()+1,MATCH("건축년도",'04A_국토부원자료'!$A$4:$T$4,0)),",","")),"")</f>
        <v/>
      </c>
      <c r="L274" s="176">
        <f>IFERROR(INDEX('04A_국토부원자료'!$A:$T,ROW()+1,MATCH("도로명",'04A_국토부원자료'!$A$4:$T$4,0)),"")</f>
        <v/>
      </c>
      <c r="M274" s="48">
        <f>IFERROR(INDEX('04A_국토부원자료'!$A:$T,ROW()+1,MATCH("거래유형",'04A_국토부원자료'!$A$4:$T$4,0)),"")</f>
        <v/>
      </c>
      <c r="N274" s="152">
        <f>IF(B274="","",IF('02_대상물건입력'!B5="",1,IF(ISNUMBER(SEARCH('02_대상물건입력'!B5,B274)),1,0)))</f>
        <v/>
      </c>
      <c r="O274" s="152">
        <f>IF(B274="","",IF('02_대상물건입력'!B6="",1,IF(ISNUMBER(SEARCH('02_대상물건입력'!B6,B274)),1,0)))</f>
        <v/>
      </c>
      <c r="P274" s="152">
        <f>IF(L274="","",IF('02_대상물건입력'!B15="",0,IF(ISNUMBER(SEARCH('02_대상물건입력'!B15,L274)),1,0)))</f>
        <v/>
      </c>
      <c r="Q274" s="152">
        <f>IF(OR(C274="",L274=""),0,IF(AND(TRIM(C274)=TRIM(RIGHT(SUBSTITUTE(TRIM('02_대상물건입력'!$B$7)," ",REPT(" ",99)),99)),IF('02_대상물건입력'!B15="",TRUE(),ISNUMBER(SEARCH('02_대상물건입력'!B15,L274)))),1,0))</f>
        <v/>
      </c>
      <c r="R274" s="175">
        <f>IFERROR(ABS(E274-'02_대상물건입력'!B11)/'02_대상물건입력'!B11,"")</f>
        <v/>
      </c>
      <c r="S274" s="152">
        <f>IFERROR(ABS(J274-'02_대상물건입력'!B10),"")</f>
        <v/>
      </c>
      <c r="T274" s="152">
        <f>IFERROR(ABS('01_설정'!B4-F274),"")</f>
        <v/>
      </c>
      <c r="U274" s="152">
        <f>IFERROR(ABS(K274-YEAR('02_대상물건입력'!B14)),"")</f>
        <v/>
      </c>
      <c r="V274" s="152">
        <f>IF(B274="","",IF(AND(E274&gt;0,F274&gt;0,H274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274=1,TRUE()),R274&lt;='01_설정'!B5,S274&lt;='01_설정'!B6,T274&lt;='01_설정'!B7,U274&lt;='01_설정'!B8),"Y",""))</f>
        <v/>
      </c>
      <c r="W274" s="172">
        <f>IF(V274&lt;&gt;"Y","",MAX(0,(1-R274/'01_설정'!B5))*'01_설정'!B14+MAX(0,(1-S274/'01_설정'!B6))*'01_설정'!B15+MAX(0,(1-T274/'01_설정'!B7))*'01_설정'!B16+MAX(0,(1-U274/'01_설정'!B8))*'01_설정'!B17+O274*'01_설정'!B11+Q274*'01_설정'!B12+P274*'01_설정'!B13+IF(Z274="",0,Z274))</f>
        <v/>
      </c>
      <c r="X274" s="152">
        <f>IF(W274="","",1+COUNTIFS($W$4:$W$3003,"&gt;"&amp;W274)+COUNTIFS($W$4:W274,W274)-1)</f>
        <v/>
      </c>
      <c r="Y274" s="175">
        <f>IF(OR(I274="",'02_대상물건입력'!B19="",'02_대상물건입력'!B19&lt;=0),"",ABS(I274-'02_대상물건입력'!B19)/'02_대상물건입력'!B19)</f>
        <v/>
      </c>
      <c r="Z274" s="172">
        <f>IF(OR(Y274="",'01_설정'!B31="",'01_설정'!B31&lt;=0,'01_설정'!B32="",'01_설정'!B32&lt;=0),"",MAX(0,(1-Y274/'01_설정'!B32))*'01_설정'!B31)</f>
        <v/>
      </c>
    </row>
    <row r="275" ht="17.25" customHeight="1">
      <c r="A275" s="152">
        <f>IF(INDEX('04A_국토부원자료'!$A:$A,ROW()+1)="","",ROW()-3)</f>
        <v/>
      </c>
      <c r="B275" s="48">
        <f>IFERROR(INDEX('04A_국토부원자료'!$A:$T,ROW()+1,MATCH("시군구",'04A_국토부원자료'!$A$4:$T$4,0)),"")</f>
        <v/>
      </c>
      <c r="C275" s="48">
        <f>IF(B275="","",IFERROR(INDEX('04A_국토부원자료'!$A:$T,ROW()+1,MATCH("번지",'04A_국토부원자료'!$A$4:$T$4,0)),""))</f>
        <v/>
      </c>
      <c r="D275" s="48">
        <f>IF(B275="","",IF(Q275=1,'02_대상물건입력'!$B$8,IFERROR(INDEX('04A_국토부원자료'!$A:$T,ROW()+1,MATCH("단지명",'04A_국토부원자료'!$A$4:$T$4,0)),"")))</f>
        <v/>
      </c>
      <c r="E275" s="172">
        <f>IFERROR(VALUE(SUBSTITUTE(INDEX('04A_국토부원자료'!$A:$T,ROW()+1,MATCH("전용면적(㎡)",'04A_국토부원자료'!$A$4:$T$4,0)),",","")),"")</f>
        <v/>
      </c>
      <c r="F2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5" s="51">
        <f>IFERROR(VALUE(SUBSTITUTE(INDEX('04A_국토부원자료'!$A:$T,ROW()+1,MATCH("거래금액(만원)",'04A_국토부원자료'!$A$4:$T$4,0)),",","")),"")</f>
        <v/>
      </c>
      <c r="H275" s="174">
        <f>IF(G275="","",G275*10000)</f>
        <v/>
      </c>
      <c r="I275" s="174">
        <f>IFERROR(IF(AND(H275&gt;0,E275&gt;0),H275/E275,""),"")</f>
        <v/>
      </c>
      <c r="J275" s="152">
        <f>IFERROR(VALUE(SUBSTITUTE(INDEX('04A_국토부원자료'!$A:$T,ROW()+1,MATCH("층",'04A_국토부원자료'!$A$4:$T$4,0)),",","")),"")</f>
        <v/>
      </c>
      <c r="K275" s="152">
        <f>IFERROR(VALUE(SUBSTITUTE(INDEX('04A_국토부원자료'!$A:$T,ROW()+1,MATCH("건축년도",'04A_국토부원자료'!$A$4:$T$4,0)),",","")),"")</f>
        <v/>
      </c>
      <c r="L275" s="176">
        <f>IFERROR(INDEX('04A_국토부원자료'!$A:$T,ROW()+1,MATCH("도로명",'04A_국토부원자료'!$A$4:$T$4,0)),"")</f>
        <v/>
      </c>
      <c r="M275" s="48">
        <f>IFERROR(INDEX('04A_국토부원자료'!$A:$T,ROW()+1,MATCH("거래유형",'04A_국토부원자료'!$A$4:$T$4,0)),"")</f>
        <v/>
      </c>
      <c r="N275" s="152">
        <f>IF(B275="","",IF('02_대상물건입력'!B5="",1,IF(ISNUMBER(SEARCH('02_대상물건입력'!B5,B275)),1,0)))</f>
        <v/>
      </c>
      <c r="O275" s="152">
        <f>IF(B275="","",IF('02_대상물건입력'!B6="",1,IF(ISNUMBER(SEARCH('02_대상물건입력'!B6,B275)),1,0)))</f>
        <v/>
      </c>
      <c r="P275" s="152">
        <f>IF(L275="","",IF('02_대상물건입력'!B15="",0,IF(ISNUMBER(SEARCH('02_대상물건입력'!B15,L275)),1,0)))</f>
        <v/>
      </c>
      <c r="Q275" s="152">
        <f>IF(OR(C275="",L275=""),0,IF(AND(TRIM(C275)=TRIM(RIGHT(SUBSTITUTE(TRIM('02_대상물건입력'!$B$7)," ",REPT(" ",99)),99)),IF('02_대상물건입력'!B15="",TRUE(),ISNUMBER(SEARCH('02_대상물건입력'!B15,L275)))),1,0))</f>
        <v/>
      </c>
      <c r="R275" s="175">
        <f>IFERROR(ABS(E275-'02_대상물건입력'!B11)/'02_대상물건입력'!B11,"")</f>
        <v/>
      </c>
      <c r="S275" s="152">
        <f>IFERROR(ABS(J275-'02_대상물건입력'!B10),"")</f>
        <v/>
      </c>
      <c r="T275" s="152">
        <f>IFERROR(ABS('01_설정'!B4-F275),"")</f>
        <v/>
      </c>
      <c r="U275" s="152">
        <f>IFERROR(ABS(K275-YEAR('02_대상물건입력'!B14)),"")</f>
        <v/>
      </c>
      <c r="V275" s="152">
        <f>IF(B275="","",IF(AND(E275&gt;0,F275&gt;0,H275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275=1,TRUE()),R275&lt;='01_설정'!B5,S275&lt;='01_설정'!B6,T275&lt;='01_설정'!B7,U275&lt;='01_설정'!B8),"Y",""))</f>
        <v/>
      </c>
      <c r="W275" s="172">
        <f>IF(V275&lt;&gt;"Y","",MAX(0,(1-R275/'01_설정'!B5))*'01_설정'!B14+MAX(0,(1-S275/'01_설정'!B6))*'01_설정'!B15+MAX(0,(1-T275/'01_설정'!B7))*'01_설정'!B16+MAX(0,(1-U275/'01_설정'!B8))*'01_설정'!B17+O275*'01_설정'!B11+Q275*'01_설정'!B12+P275*'01_설정'!B13+IF(Z275="",0,Z275))</f>
        <v/>
      </c>
      <c r="X275" s="152">
        <f>IF(W275="","",1+COUNTIFS($W$4:$W$3003,"&gt;"&amp;W275)+COUNTIFS($W$4:W275,W275)-1)</f>
        <v/>
      </c>
      <c r="Y275" s="175">
        <f>IF(OR(I275="",'02_대상물건입력'!B19="",'02_대상물건입력'!B19&lt;=0),"",ABS(I275-'02_대상물건입력'!B19)/'02_대상물건입력'!B19)</f>
        <v/>
      </c>
      <c r="Z275" s="172">
        <f>IF(OR(Y275="",'01_설정'!B31="",'01_설정'!B31&lt;=0,'01_설정'!B32="",'01_설정'!B32&lt;=0),"",MAX(0,(1-Y275/'01_설정'!B32))*'01_설정'!B31)</f>
        <v/>
      </c>
    </row>
    <row r="276" ht="17.25" customHeight="1">
      <c r="A276" s="152">
        <f>IF(INDEX('04A_국토부원자료'!$A:$A,ROW()+1)="","",ROW()-3)</f>
        <v/>
      </c>
      <c r="B276" s="48">
        <f>IFERROR(INDEX('04A_국토부원자료'!$A:$T,ROW()+1,MATCH("시군구",'04A_국토부원자료'!$A$4:$T$4,0)),"")</f>
        <v/>
      </c>
      <c r="C276" s="48">
        <f>IF(B276="","",IFERROR(INDEX('04A_국토부원자료'!$A:$T,ROW()+1,MATCH("번지",'04A_국토부원자료'!$A$4:$T$4,0)),""))</f>
        <v/>
      </c>
      <c r="D276" s="48">
        <f>IF(B276="","",IF(Q276=1,'02_대상물건입력'!$B$8,IFERROR(INDEX('04A_국토부원자료'!$A:$T,ROW()+1,MATCH("단지명",'04A_국토부원자료'!$A$4:$T$4,0)),"")))</f>
        <v/>
      </c>
      <c r="E276" s="172">
        <f>IFERROR(VALUE(SUBSTITUTE(INDEX('04A_국토부원자료'!$A:$T,ROW()+1,MATCH("전용면적(㎡)",'04A_국토부원자료'!$A$4:$T$4,0)),",","")),"")</f>
        <v/>
      </c>
      <c r="F2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6" s="51">
        <f>IFERROR(VALUE(SUBSTITUTE(INDEX('04A_국토부원자료'!$A:$T,ROW()+1,MATCH("거래금액(만원)",'04A_국토부원자료'!$A$4:$T$4,0)),",","")),"")</f>
        <v/>
      </c>
      <c r="H276" s="174">
        <f>IF(G276="","",G276*10000)</f>
        <v/>
      </c>
      <c r="I276" s="174">
        <f>IFERROR(IF(AND(H276&gt;0,E276&gt;0),H276/E276,""),"")</f>
        <v/>
      </c>
      <c r="J276" s="152">
        <f>IFERROR(VALUE(SUBSTITUTE(INDEX('04A_국토부원자료'!$A:$T,ROW()+1,MATCH("층",'04A_국토부원자료'!$A$4:$T$4,0)),",","")),"")</f>
        <v/>
      </c>
      <c r="K276" s="152">
        <f>IFERROR(VALUE(SUBSTITUTE(INDEX('04A_국토부원자료'!$A:$T,ROW()+1,MATCH("건축년도",'04A_국토부원자료'!$A$4:$T$4,0)),",","")),"")</f>
        <v/>
      </c>
      <c r="L276" s="176">
        <f>IFERROR(INDEX('04A_국토부원자료'!$A:$T,ROW()+1,MATCH("도로명",'04A_국토부원자료'!$A$4:$T$4,0)),"")</f>
        <v/>
      </c>
      <c r="M276" s="48">
        <f>IFERROR(INDEX('04A_국토부원자료'!$A:$T,ROW()+1,MATCH("거래유형",'04A_국토부원자료'!$A$4:$T$4,0)),"")</f>
        <v/>
      </c>
      <c r="N276" s="152">
        <f>IF(B276="","",IF('02_대상물건입력'!B5="",1,IF(ISNUMBER(SEARCH('02_대상물건입력'!B5,B276)),1,0)))</f>
        <v/>
      </c>
      <c r="O276" s="152">
        <f>IF(B276="","",IF('02_대상물건입력'!B6="",1,IF(ISNUMBER(SEARCH('02_대상물건입력'!B6,B276)),1,0)))</f>
        <v/>
      </c>
      <c r="P276" s="152">
        <f>IF(L276="","",IF('02_대상물건입력'!B15="",0,IF(ISNUMBER(SEARCH('02_대상물건입력'!B15,L276)),1,0)))</f>
        <v/>
      </c>
      <c r="Q276" s="152">
        <f>IF(OR(C276="",L276=""),0,IF(AND(TRIM(C276)=TRIM(RIGHT(SUBSTITUTE(TRIM('02_대상물건입력'!$B$7)," ",REPT(" ",99)),99)),IF('02_대상물건입력'!B15="",TRUE(),ISNUMBER(SEARCH('02_대상물건입력'!B15,L276)))),1,0))</f>
        <v/>
      </c>
      <c r="R276" s="175">
        <f>IFERROR(ABS(E276-'02_대상물건입력'!B11)/'02_대상물건입력'!B11,"")</f>
        <v/>
      </c>
      <c r="S276" s="152">
        <f>IFERROR(ABS(J276-'02_대상물건입력'!B10),"")</f>
        <v/>
      </c>
      <c r="T276" s="152">
        <f>IFERROR(ABS('01_설정'!B4-F276),"")</f>
        <v/>
      </c>
      <c r="U276" s="152">
        <f>IFERROR(ABS(K276-YEAR('02_대상물건입력'!B14)),"")</f>
        <v/>
      </c>
      <c r="V276" s="152">
        <f>IF(B276="","",IF(AND(E276&gt;0,F276&gt;0,H276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276=1,TRUE()),R276&lt;='01_설정'!B5,S276&lt;='01_설정'!B6,T276&lt;='01_설정'!B7,U276&lt;='01_설정'!B8),"Y",""))</f>
        <v/>
      </c>
      <c r="W276" s="172">
        <f>IF(V276&lt;&gt;"Y","",MAX(0,(1-R276/'01_설정'!B5))*'01_설정'!B14+MAX(0,(1-S276/'01_설정'!B6))*'01_설정'!B15+MAX(0,(1-T276/'01_설정'!B7))*'01_설정'!B16+MAX(0,(1-U276/'01_설정'!B8))*'01_설정'!B17+O276*'01_설정'!B11+Q276*'01_설정'!B12+P276*'01_설정'!B13+IF(Z276="",0,Z276))</f>
        <v/>
      </c>
      <c r="X276" s="152">
        <f>IF(W276="","",1+COUNTIFS($W$4:$W$3003,"&gt;"&amp;W276)+COUNTIFS($W$4:W276,W276)-1)</f>
        <v/>
      </c>
      <c r="Y276" s="175">
        <f>IF(OR(I276="",'02_대상물건입력'!B19="",'02_대상물건입력'!B19&lt;=0),"",ABS(I276-'02_대상물건입력'!B19)/'02_대상물건입력'!B19)</f>
        <v/>
      </c>
      <c r="Z276" s="172">
        <f>IF(OR(Y276="",'01_설정'!B31="",'01_설정'!B31&lt;=0,'01_설정'!B32="",'01_설정'!B32&lt;=0),"",MAX(0,(1-Y276/'01_설정'!B32))*'01_설정'!B31)</f>
        <v/>
      </c>
    </row>
    <row r="277" ht="17.25" customHeight="1">
      <c r="A277" s="152">
        <f>IF(INDEX('04A_국토부원자료'!$A:$A,ROW()+1)="","",ROW()-3)</f>
        <v/>
      </c>
      <c r="B277" s="48">
        <f>IFERROR(INDEX('04A_국토부원자료'!$A:$T,ROW()+1,MATCH("시군구",'04A_국토부원자료'!$A$4:$T$4,0)),"")</f>
        <v/>
      </c>
      <c r="C277" s="48">
        <f>IF(B277="","",IFERROR(INDEX('04A_국토부원자료'!$A:$T,ROW()+1,MATCH("번지",'04A_국토부원자료'!$A$4:$T$4,0)),""))</f>
        <v/>
      </c>
      <c r="D277" s="48">
        <f>IF(B277="","",IF(Q277=1,'02_대상물건입력'!$B$8,IFERROR(INDEX('04A_국토부원자료'!$A:$T,ROW()+1,MATCH("단지명",'04A_국토부원자료'!$A$4:$T$4,0)),"")))</f>
        <v/>
      </c>
      <c r="E277" s="172">
        <f>IFERROR(VALUE(SUBSTITUTE(INDEX('04A_국토부원자료'!$A:$T,ROW()+1,MATCH("전용면적(㎡)",'04A_국토부원자료'!$A$4:$T$4,0)),",","")),"")</f>
        <v/>
      </c>
      <c r="F2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7" s="51">
        <f>IFERROR(VALUE(SUBSTITUTE(INDEX('04A_국토부원자료'!$A:$T,ROW()+1,MATCH("거래금액(만원)",'04A_국토부원자료'!$A$4:$T$4,0)),",","")),"")</f>
        <v/>
      </c>
      <c r="H277" s="174">
        <f>IF(G277="","",G277*10000)</f>
        <v/>
      </c>
      <c r="I277" s="174">
        <f>IFERROR(IF(AND(H277&gt;0,E277&gt;0),H277/E277,""),"")</f>
        <v/>
      </c>
      <c r="J277" s="152">
        <f>IFERROR(VALUE(SUBSTITUTE(INDEX('04A_국토부원자료'!$A:$T,ROW()+1,MATCH("층",'04A_국토부원자료'!$A$4:$T$4,0)),",","")),"")</f>
        <v/>
      </c>
      <c r="K277" s="152">
        <f>IFERROR(VALUE(SUBSTITUTE(INDEX('04A_국토부원자료'!$A:$T,ROW()+1,MATCH("건축년도",'04A_국토부원자료'!$A$4:$T$4,0)),",","")),"")</f>
        <v/>
      </c>
      <c r="L277" s="176">
        <f>IFERROR(INDEX('04A_국토부원자료'!$A:$T,ROW()+1,MATCH("도로명",'04A_국토부원자료'!$A$4:$T$4,0)),"")</f>
        <v/>
      </c>
      <c r="M277" s="48">
        <f>IFERROR(INDEX('04A_국토부원자료'!$A:$T,ROW()+1,MATCH("거래유형",'04A_국토부원자료'!$A$4:$T$4,0)),"")</f>
        <v/>
      </c>
      <c r="N277" s="152">
        <f>IF(B277="","",IF('02_대상물건입력'!B5="",1,IF(ISNUMBER(SEARCH('02_대상물건입력'!B5,B277)),1,0)))</f>
        <v/>
      </c>
      <c r="O277" s="152">
        <f>IF(B277="","",IF('02_대상물건입력'!B6="",1,IF(ISNUMBER(SEARCH('02_대상물건입력'!B6,B277)),1,0)))</f>
        <v/>
      </c>
      <c r="P277" s="152">
        <f>IF(L277="","",IF('02_대상물건입력'!B15="",0,IF(ISNUMBER(SEARCH('02_대상물건입력'!B15,L277)),1,0)))</f>
        <v/>
      </c>
      <c r="Q277" s="152">
        <f>IF(OR(C277="",L277=""),0,IF(AND(TRIM(C277)=TRIM(RIGHT(SUBSTITUTE(TRIM('02_대상물건입력'!$B$7)," ",REPT(" ",99)),99)),IF('02_대상물건입력'!B15="",TRUE(),ISNUMBER(SEARCH('02_대상물건입력'!B15,L277)))),1,0))</f>
        <v/>
      </c>
      <c r="R277" s="175">
        <f>IFERROR(ABS(E277-'02_대상물건입력'!B11)/'02_대상물건입력'!B11,"")</f>
        <v/>
      </c>
      <c r="S277" s="152">
        <f>IFERROR(ABS(J277-'02_대상물건입력'!B10),"")</f>
        <v/>
      </c>
      <c r="T277" s="152">
        <f>IFERROR(ABS('01_설정'!B4-F277),"")</f>
        <v/>
      </c>
      <c r="U277" s="152">
        <f>IFERROR(ABS(K277-YEAR('02_대상물건입력'!B14)),"")</f>
        <v/>
      </c>
      <c r="V277" s="152">
        <f>IF(B277="","",IF(AND(E277&gt;0,F277&gt;0,H277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277=1,TRUE()),R277&lt;='01_설정'!B5,S277&lt;='01_설정'!B6,T277&lt;='01_설정'!B7,U277&lt;='01_설정'!B8),"Y",""))</f>
        <v/>
      </c>
      <c r="W277" s="172">
        <f>IF(V277&lt;&gt;"Y","",MAX(0,(1-R277/'01_설정'!B5))*'01_설정'!B14+MAX(0,(1-S277/'01_설정'!B6))*'01_설정'!B15+MAX(0,(1-T277/'01_설정'!B7))*'01_설정'!B16+MAX(0,(1-U277/'01_설정'!B8))*'01_설정'!B17+O277*'01_설정'!B11+Q277*'01_설정'!B12+P277*'01_설정'!B13+IF(Z277="",0,Z277))</f>
        <v/>
      </c>
      <c r="X277" s="152">
        <f>IF(W277="","",1+COUNTIFS($W$4:$W$3003,"&gt;"&amp;W277)+COUNTIFS($W$4:W277,W277)-1)</f>
        <v/>
      </c>
      <c r="Y277" s="175">
        <f>IF(OR(I277="",'02_대상물건입력'!B19="",'02_대상물건입력'!B19&lt;=0),"",ABS(I277-'02_대상물건입력'!B19)/'02_대상물건입력'!B19)</f>
        <v/>
      </c>
      <c r="Z277" s="172">
        <f>IF(OR(Y277="",'01_설정'!B31="",'01_설정'!B31&lt;=0,'01_설정'!B32="",'01_설정'!B32&lt;=0),"",MAX(0,(1-Y277/'01_설정'!B32))*'01_설정'!B31)</f>
        <v/>
      </c>
    </row>
    <row r="278" ht="17.25" customHeight="1">
      <c r="A278" s="152">
        <f>IF(INDEX('04A_국토부원자료'!$A:$A,ROW()+1)="","",ROW()-3)</f>
        <v/>
      </c>
      <c r="B278" s="48">
        <f>IFERROR(INDEX('04A_국토부원자료'!$A:$T,ROW()+1,MATCH("시군구",'04A_국토부원자료'!$A$4:$T$4,0)),"")</f>
        <v/>
      </c>
      <c r="C278" s="48">
        <f>IF(B278="","",IFERROR(INDEX('04A_국토부원자료'!$A:$T,ROW()+1,MATCH("번지",'04A_국토부원자료'!$A$4:$T$4,0)),""))</f>
        <v/>
      </c>
      <c r="D278" s="48">
        <f>IF(B278="","",IF(Q278=1,'02_대상물건입력'!$B$8,IFERROR(INDEX('04A_국토부원자료'!$A:$T,ROW()+1,MATCH("단지명",'04A_국토부원자료'!$A$4:$T$4,0)),"")))</f>
        <v/>
      </c>
      <c r="E278" s="172">
        <f>IFERROR(VALUE(SUBSTITUTE(INDEX('04A_국토부원자료'!$A:$T,ROW()+1,MATCH("전용면적(㎡)",'04A_국토부원자료'!$A$4:$T$4,0)),",","")),"")</f>
        <v/>
      </c>
      <c r="F2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8" s="51">
        <f>IFERROR(VALUE(SUBSTITUTE(INDEX('04A_국토부원자료'!$A:$T,ROW()+1,MATCH("거래금액(만원)",'04A_국토부원자료'!$A$4:$T$4,0)),",","")),"")</f>
        <v/>
      </c>
      <c r="H278" s="174">
        <f>IF(G278="","",G278*10000)</f>
        <v/>
      </c>
      <c r="I278" s="174">
        <f>IFERROR(IF(AND(H278&gt;0,E278&gt;0),H278/E278,""),"")</f>
        <v/>
      </c>
      <c r="J278" s="152">
        <f>IFERROR(VALUE(SUBSTITUTE(INDEX('04A_국토부원자료'!$A:$T,ROW()+1,MATCH("층",'04A_국토부원자료'!$A$4:$T$4,0)),",","")),"")</f>
        <v/>
      </c>
      <c r="K278" s="152">
        <f>IFERROR(VALUE(SUBSTITUTE(INDEX('04A_국토부원자료'!$A:$T,ROW()+1,MATCH("건축년도",'04A_국토부원자료'!$A$4:$T$4,0)),",","")),"")</f>
        <v/>
      </c>
      <c r="L278" s="176">
        <f>IFERROR(INDEX('04A_국토부원자료'!$A:$T,ROW()+1,MATCH("도로명",'04A_국토부원자료'!$A$4:$T$4,0)),"")</f>
        <v/>
      </c>
      <c r="M278" s="48">
        <f>IFERROR(INDEX('04A_국토부원자료'!$A:$T,ROW()+1,MATCH("거래유형",'04A_국토부원자료'!$A$4:$T$4,0)),"")</f>
        <v/>
      </c>
      <c r="N278" s="152">
        <f>IF(B278="","",IF('02_대상물건입력'!B5="",1,IF(ISNUMBER(SEARCH('02_대상물건입력'!B5,B278)),1,0)))</f>
        <v/>
      </c>
      <c r="O278" s="152">
        <f>IF(B278="","",IF('02_대상물건입력'!B6="",1,IF(ISNUMBER(SEARCH('02_대상물건입력'!B6,B278)),1,0)))</f>
        <v/>
      </c>
      <c r="P278" s="152">
        <f>IF(L278="","",IF('02_대상물건입력'!B15="",0,IF(ISNUMBER(SEARCH('02_대상물건입력'!B15,L278)),1,0)))</f>
        <v/>
      </c>
      <c r="Q278" s="152">
        <f>IF(OR(C278="",L278=""),0,IF(AND(TRIM(C278)=TRIM(RIGHT(SUBSTITUTE(TRIM('02_대상물건입력'!$B$7)," ",REPT(" ",99)),99)),IF('02_대상물건입력'!B15="",TRUE(),ISNUMBER(SEARCH('02_대상물건입력'!B15,L278)))),1,0))</f>
        <v/>
      </c>
      <c r="R278" s="175">
        <f>IFERROR(ABS(E278-'02_대상물건입력'!B11)/'02_대상물건입력'!B11,"")</f>
        <v/>
      </c>
      <c r="S278" s="152">
        <f>IFERROR(ABS(J278-'02_대상물건입력'!B10),"")</f>
        <v/>
      </c>
      <c r="T278" s="152">
        <f>IFERROR(ABS('01_설정'!B4-F278),"")</f>
        <v/>
      </c>
      <c r="U278" s="152">
        <f>IFERROR(ABS(K278-YEAR('02_대상물건입력'!B14)),"")</f>
        <v/>
      </c>
      <c r="V278" s="152">
        <f>IF(B278="","",IF(AND(E278&gt;0,F278&gt;0,H278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278=1,TRUE()),R278&lt;='01_설정'!B5,S278&lt;='01_설정'!B6,T278&lt;='01_설정'!B7,U278&lt;='01_설정'!B8),"Y",""))</f>
        <v/>
      </c>
      <c r="W278" s="172">
        <f>IF(V278&lt;&gt;"Y","",MAX(0,(1-R278/'01_설정'!B5))*'01_설정'!B14+MAX(0,(1-S278/'01_설정'!B6))*'01_설정'!B15+MAX(0,(1-T278/'01_설정'!B7))*'01_설정'!B16+MAX(0,(1-U278/'01_설정'!B8))*'01_설정'!B17+O278*'01_설정'!B11+Q278*'01_설정'!B12+P278*'01_설정'!B13+IF(Z278="",0,Z278))</f>
        <v/>
      </c>
      <c r="X278" s="152">
        <f>IF(W278="","",1+COUNTIFS($W$4:$W$3003,"&gt;"&amp;W278)+COUNTIFS($W$4:W278,W278)-1)</f>
        <v/>
      </c>
      <c r="Y278" s="175">
        <f>IF(OR(I278="",'02_대상물건입력'!B19="",'02_대상물건입력'!B19&lt;=0),"",ABS(I278-'02_대상물건입력'!B19)/'02_대상물건입력'!B19)</f>
        <v/>
      </c>
      <c r="Z278" s="172">
        <f>IF(OR(Y278="",'01_설정'!B31="",'01_설정'!B31&lt;=0,'01_설정'!B32="",'01_설정'!B32&lt;=0),"",MAX(0,(1-Y278/'01_설정'!B32))*'01_설정'!B31)</f>
        <v/>
      </c>
    </row>
    <row r="279" ht="17.25" customHeight="1">
      <c r="A279" s="152">
        <f>IF(INDEX('04A_국토부원자료'!$A:$A,ROW()+1)="","",ROW()-3)</f>
        <v/>
      </c>
      <c r="B279" s="48">
        <f>IFERROR(INDEX('04A_국토부원자료'!$A:$T,ROW()+1,MATCH("시군구",'04A_국토부원자료'!$A$4:$T$4,0)),"")</f>
        <v/>
      </c>
      <c r="C279" s="48">
        <f>IF(B279="","",IFERROR(INDEX('04A_국토부원자료'!$A:$T,ROW()+1,MATCH("번지",'04A_국토부원자료'!$A$4:$T$4,0)),""))</f>
        <v/>
      </c>
      <c r="D279" s="48">
        <f>IF(B279="","",IF(Q279=1,'02_대상물건입력'!$B$8,IFERROR(INDEX('04A_국토부원자료'!$A:$T,ROW()+1,MATCH("단지명",'04A_국토부원자료'!$A$4:$T$4,0)),"")))</f>
        <v/>
      </c>
      <c r="E279" s="172">
        <f>IFERROR(VALUE(SUBSTITUTE(INDEX('04A_국토부원자료'!$A:$T,ROW()+1,MATCH("전용면적(㎡)",'04A_국토부원자료'!$A$4:$T$4,0)),",","")),"")</f>
        <v/>
      </c>
      <c r="F2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9" s="51">
        <f>IFERROR(VALUE(SUBSTITUTE(INDEX('04A_국토부원자료'!$A:$T,ROW()+1,MATCH("거래금액(만원)",'04A_국토부원자료'!$A$4:$T$4,0)),",","")),"")</f>
        <v/>
      </c>
      <c r="H279" s="174">
        <f>IF(G279="","",G279*10000)</f>
        <v/>
      </c>
      <c r="I279" s="174">
        <f>IFERROR(IF(AND(H279&gt;0,E279&gt;0),H279/E279,""),"")</f>
        <v/>
      </c>
      <c r="J279" s="152">
        <f>IFERROR(VALUE(SUBSTITUTE(INDEX('04A_국토부원자료'!$A:$T,ROW()+1,MATCH("층",'04A_국토부원자료'!$A$4:$T$4,0)),",","")),"")</f>
        <v/>
      </c>
      <c r="K279" s="152">
        <f>IFERROR(VALUE(SUBSTITUTE(INDEX('04A_국토부원자료'!$A:$T,ROW()+1,MATCH("건축년도",'04A_국토부원자료'!$A$4:$T$4,0)),",","")),"")</f>
        <v/>
      </c>
      <c r="L279" s="176">
        <f>IFERROR(INDEX('04A_국토부원자료'!$A:$T,ROW()+1,MATCH("도로명",'04A_국토부원자료'!$A$4:$T$4,0)),"")</f>
        <v/>
      </c>
      <c r="M279" s="48">
        <f>IFERROR(INDEX('04A_국토부원자료'!$A:$T,ROW()+1,MATCH("거래유형",'04A_국토부원자료'!$A$4:$T$4,0)),"")</f>
        <v/>
      </c>
      <c r="N279" s="152">
        <f>IF(B279="","",IF('02_대상물건입력'!B5="",1,IF(ISNUMBER(SEARCH('02_대상물건입력'!B5,B279)),1,0)))</f>
        <v/>
      </c>
      <c r="O279" s="152">
        <f>IF(B279="","",IF('02_대상물건입력'!B6="",1,IF(ISNUMBER(SEARCH('02_대상물건입력'!B6,B279)),1,0)))</f>
        <v/>
      </c>
      <c r="P279" s="152">
        <f>IF(L279="","",IF('02_대상물건입력'!B15="",0,IF(ISNUMBER(SEARCH('02_대상물건입력'!B15,L279)),1,0)))</f>
        <v/>
      </c>
      <c r="Q279" s="152">
        <f>IF(OR(C279="",L279=""),0,IF(AND(TRIM(C279)=TRIM(RIGHT(SUBSTITUTE(TRIM('02_대상물건입력'!$B$7)," ",REPT(" ",99)),99)),IF('02_대상물건입력'!B15="",TRUE(),ISNUMBER(SEARCH('02_대상물건입력'!B15,L279)))),1,0))</f>
        <v/>
      </c>
      <c r="R279" s="175">
        <f>IFERROR(ABS(E279-'02_대상물건입력'!B11)/'02_대상물건입력'!B11,"")</f>
        <v/>
      </c>
      <c r="S279" s="152">
        <f>IFERROR(ABS(J279-'02_대상물건입력'!B10),"")</f>
        <v/>
      </c>
      <c r="T279" s="152">
        <f>IFERROR(ABS('01_설정'!B4-F279),"")</f>
        <v/>
      </c>
      <c r="U279" s="152">
        <f>IFERROR(ABS(K279-YEAR('02_대상물건입력'!B14)),"")</f>
        <v/>
      </c>
      <c r="V279" s="152">
        <f>IF(B279="","",IF(AND(E279&gt;0,F279&gt;0,H279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279=1,TRUE()),R279&lt;='01_설정'!B5,S279&lt;='01_설정'!B6,T279&lt;='01_설정'!B7,U279&lt;='01_설정'!B8),"Y",""))</f>
        <v/>
      </c>
      <c r="W279" s="172">
        <f>IF(V279&lt;&gt;"Y","",MAX(0,(1-R279/'01_설정'!B5))*'01_설정'!B14+MAX(0,(1-S279/'01_설정'!B6))*'01_설정'!B15+MAX(0,(1-T279/'01_설정'!B7))*'01_설정'!B16+MAX(0,(1-U279/'01_설정'!B8))*'01_설정'!B17+O279*'01_설정'!B11+Q279*'01_설정'!B12+P279*'01_설정'!B13+IF(Z279="",0,Z279))</f>
        <v/>
      </c>
      <c r="X279" s="152">
        <f>IF(W279="","",1+COUNTIFS($W$4:$W$3003,"&gt;"&amp;W279)+COUNTIFS($W$4:W279,W279)-1)</f>
        <v/>
      </c>
      <c r="Y279" s="175">
        <f>IF(OR(I279="",'02_대상물건입력'!B19="",'02_대상물건입력'!B19&lt;=0),"",ABS(I279-'02_대상물건입력'!B19)/'02_대상물건입력'!B19)</f>
        <v/>
      </c>
      <c r="Z279" s="172">
        <f>IF(OR(Y279="",'01_설정'!B31="",'01_설정'!B31&lt;=0,'01_설정'!B32="",'01_설정'!B32&lt;=0),"",MAX(0,(1-Y279/'01_설정'!B32))*'01_설정'!B31)</f>
        <v/>
      </c>
    </row>
    <row r="280" ht="17.25" customHeight="1">
      <c r="A280" s="152">
        <f>IF(INDEX('04A_국토부원자료'!$A:$A,ROW()+1)="","",ROW()-3)</f>
        <v/>
      </c>
      <c r="B280" s="48">
        <f>IFERROR(INDEX('04A_국토부원자료'!$A:$T,ROW()+1,MATCH("시군구",'04A_국토부원자료'!$A$4:$T$4,0)),"")</f>
        <v/>
      </c>
      <c r="C280" s="48">
        <f>IF(B280="","",IFERROR(INDEX('04A_국토부원자료'!$A:$T,ROW()+1,MATCH("번지",'04A_국토부원자료'!$A$4:$T$4,0)),""))</f>
        <v/>
      </c>
      <c r="D280" s="48">
        <f>IF(B280="","",IF(Q280=1,'02_대상물건입력'!$B$8,IFERROR(INDEX('04A_국토부원자료'!$A:$T,ROW()+1,MATCH("단지명",'04A_국토부원자료'!$A$4:$T$4,0)),"")))</f>
        <v/>
      </c>
      <c r="E280" s="172">
        <f>IFERROR(VALUE(SUBSTITUTE(INDEX('04A_국토부원자료'!$A:$T,ROW()+1,MATCH("전용면적(㎡)",'04A_국토부원자료'!$A$4:$T$4,0)),",","")),"")</f>
        <v/>
      </c>
      <c r="F2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0" s="51">
        <f>IFERROR(VALUE(SUBSTITUTE(INDEX('04A_국토부원자료'!$A:$T,ROW()+1,MATCH("거래금액(만원)",'04A_국토부원자료'!$A$4:$T$4,0)),",","")),"")</f>
        <v/>
      </c>
      <c r="H280" s="174">
        <f>IF(G280="","",G280*10000)</f>
        <v/>
      </c>
      <c r="I280" s="174">
        <f>IFERROR(IF(AND(H280&gt;0,E280&gt;0),H280/E280,""),"")</f>
        <v/>
      </c>
      <c r="J280" s="152">
        <f>IFERROR(VALUE(SUBSTITUTE(INDEX('04A_국토부원자료'!$A:$T,ROW()+1,MATCH("층",'04A_국토부원자료'!$A$4:$T$4,0)),",","")),"")</f>
        <v/>
      </c>
      <c r="K280" s="152">
        <f>IFERROR(VALUE(SUBSTITUTE(INDEX('04A_국토부원자료'!$A:$T,ROW()+1,MATCH("건축년도",'04A_국토부원자료'!$A$4:$T$4,0)),",","")),"")</f>
        <v/>
      </c>
      <c r="L280" s="176">
        <f>IFERROR(INDEX('04A_국토부원자료'!$A:$T,ROW()+1,MATCH("도로명",'04A_국토부원자료'!$A$4:$T$4,0)),"")</f>
        <v/>
      </c>
      <c r="M280" s="48">
        <f>IFERROR(INDEX('04A_국토부원자료'!$A:$T,ROW()+1,MATCH("거래유형",'04A_국토부원자료'!$A$4:$T$4,0)),"")</f>
        <v/>
      </c>
      <c r="N280" s="152">
        <f>IF(B280="","",IF('02_대상물건입력'!B5="",1,IF(ISNUMBER(SEARCH('02_대상물건입력'!B5,B280)),1,0)))</f>
        <v/>
      </c>
      <c r="O280" s="152">
        <f>IF(B280="","",IF('02_대상물건입력'!B6="",1,IF(ISNUMBER(SEARCH('02_대상물건입력'!B6,B280)),1,0)))</f>
        <v/>
      </c>
      <c r="P280" s="152">
        <f>IF(L280="","",IF('02_대상물건입력'!B15="",0,IF(ISNUMBER(SEARCH('02_대상물건입력'!B15,L280)),1,0)))</f>
        <v/>
      </c>
      <c r="Q280" s="152">
        <f>IF(OR(C280="",L280=""),0,IF(AND(TRIM(C280)=TRIM(RIGHT(SUBSTITUTE(TRIM('02_대상물건입력'!$B$7)," ",REPT(" ",99)),99)),IF('02_대상물건입력'!B15="",TRUE(),ISNUMBER(SEARCH('02_대상물건입력'!B15,L280)))),1,0))</f>
        <v/>
      </c>
      <c r="R280" s="175">
        <f>IFERROR(ABS(E280-'02_대상물건입력'!B11)/'02_대상물건입력'!B11,"")</f>
        <v/>
      </c>
      <c r="S280" s="152">
        <f>IFERROR(ABS(J280-'02_대상물건입력'!B10),"")</f>
        <v/>
      </c>
      <c r="T280" s="152">
        <f>IFERROR(ABS('01_설정'!B4-F280),"")</f>
        <v/>
      </c>
      <c r="U280" s="152">
        <f>IFERROR(ABS(K280-YEAR('02_대상물건입력'!B14)),"")</f>
        <v/>
      </c>
      <c r="V280" s="152">
        <f>IF(B280="","",IF(AND(E280&gt;0,F280&gt;0,H280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280=1,TRUE()),R280&lt;='01_설정'!B5,S280&lt;='01_설정'!B6,T280&lt;='01_설정'!B7,U280&lt;='01_설정'!B8),"Y",""))</f>
        <v/>
      </c>
      <c r="W280" s="172">
        <f>IF(V280&lt;&gt;"Y","",MAX(0,(1-R280/'01_설정'!B5))*'01_설정'!B14+MAX(0,(1-S280/'01_설정'!B6))*'01_설정'!B15+MAX(0,(1-T280/'01_설정'!B7))*'01_설정'!B16+MAX(0,(1-U280/'01_설정'!B8))*'01_설정'!B17+O280*'01_설정'!B11+Q280*'01_설정'!B12+P280*'01_설정'!B13+IF(Z280="",0,Z280))</f>
        <v/>
      </c>
      <c r="X280" s="152">
        <f>IF(W280="","",1+COUNTIFS($W$4:$W$3003,"&gt;"&amp;W280)+COUNTIFS($W$4:W280,W280)-1)</f>
        <v/>
      </c>
      <c r="Y280" s="175">
        <f>IF(OR(I280="",'02_대상물건입력'!B19="",'02_대상물건입력'!B19&lt;=0),"",ABS(I280-'02_대상물건입력'!B19)/'02_대상물건입력'!B19)</f>
        <v/>
      </c>
      <c r="Z280" s="172">
        <f>IF(OR(Y280="",'01_설정'!B31="",'01_설정'!B31&lt;=0,'01_설정'!B32="",'01_설정'!B32&lt;=0),"",MAX(0,(1-Y280/'01_설정'!B32))*'01_설정'!B31)</f>
        <v/>
      </c>
    </row>
    <row r="281" ht="17.25" customHeight="1">
      <c r="A281" s="152">
        <f>IF(INDEX('04A_국토부원자료'!$A:$A,ROW()+1)="","",ROW()-3)</f>
        <v/>
      </c>
      <c r="B281" s="48">
        <f>IFERROR(INDEX('04A_국토부원자료'!$A:$T,ROW()+1,MATCH("시군구",'04A_국토부원자료'!$A$4:$T$4,0)),"")</f>
        <v/>
      </c>
      <c r="C281" s="48">
        <f>IF(B281="","",IFERROR(INDEX('04A_국토부원자료'!$A:$T,ROW()+1,MATCH("번지",'04A_국토부원자료'!$A$4:$T$4,0)),""))</f>
        <v/>
      </c>
      <c r="D281" s="48">
        <f>IF(B281="","",IF(Q281=1,'02_대상물건입력'!$B$8,IFERROR(INDEX('04A_국토부원자료'!$A:$T,ROW()+1,MATCH("단지명",'04A_국토부원자료'!$A$4:$T$4,0)),"")))</f>
        <v/>
      </c>
      <c r="E281" s="172">
        <f>IFERROR(VALUE(SUBSTITUTE(INDEX('04A_국토부원자료'!$A:$T,ROW()+1,MATCH("전용면적(㎡)",'04A_국토부원자료'!$A$4:$T$4,0)),",","")),"")</f>
        <v/>
      </c>
      <c r="F2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1" s="51">
        <f>IFERROR(VALUE(SUBSTITUTE(INDEX('04A_국토부원자료'!$A:$T,ROW()+1,MATCH("거래금액(만원)",'04A_국토부원자료'!$A$4:$T$4,0)),",","")),"")</f>
        <v/>
      </c>
      <c r="H281" s="174">
        <f>IF(G281="","",G281*10000)</f>
        <v/>
      </c>
      <c r="I281" s="174">
        <f>IFERROR(IF(AND(H281&gt;0,E281&gt;0),H281/E281,""),"")</f>
        <v/>
      </c>
      <c r="J281" s="152">
        <f>IFERROR(VALUE(SUBSTITUTE(INDEX('04A_국토부원자료'!$A:$T,ROW()+1,MATCH("층",'04A_국토부원자료'!$A$4:$T$4,0)),",","")),"")</f>
        <v/>
      </c>
      <c r="K281" s="152">
        <f>IFERROR(VALUE(SUBSTITUTE(INDEX('04A_국토부원자료'!$A:$T,ROW()+1,MATCH("건축년도",'04A_국토부원자료'!$A$4:$T$4,0)),",","")),"")</f>
        <v/>
      </c>
      <c r="L281" s="176">
        <f>IFERROR(INDEX('04A_국토부원자료'!$A:$T,ROW()+1,MATCH("도로명",'04A_국토부원자료'!$A$4:$T$4,0)),"")</f>
        <v/>
      </c>
      <c r="M281" s="48">
        <f>IFERROR(INDEX('04A_국토부원자료'!$A:$T,ROW()+1,MATCH("거래유형",'04A_국토부원자료'!$A$4:$T$4,0)),"")</f>
        <v/>
      </c>
      <c r="N281" s="152">
        <f>IF(B281="","",IF('02_대상물건입력'!B5="",1,IF(ISNUMBER(SEARCH('02_대상물건입력'!B5,B281)),1,0)))</f>
        <v/>
      </c>
      <c r="O281" s="152">
        <f>IF(B281="","",IF('02_대상물건입력'!B6="",1,IF(ISNUMBER(SEARCH('02_대상물건입력'!B6,B281)),1,0)))</f>
        <v/>
      </c>
      <c r="P281" s="152">
        <f>IF(L281="","",IF('02_대상물건입력'!B15="",0,IF(ISNUMBER(SEARCH('02_대상물건입력'!B15,L281)),1,0)))</f>
        <v/>
      </c>
      <c r="Q281" s="152">
        <f>IF(OR(C281="",L281=""),0,IF(AND(TRIM(C281)=TRIM(RIGHT(SUBSTITUTE(TRIM('02_대상물건입력'!$B$7)," ",REPT(" ",99)),99)),IF('02_대상물건입력'!B15="",TRUE(),ISNUMBER(SEARCH('02_대상물건입력'!B15,L281)))),1,0))</f>
        <v/>
      </c>
      <c r="R281" s="175">
        <f>IFERROR(ABS(E281-'02_대상물건입력'!B11)/'02_대상물건입력'!B11,"")</f>
        <v/>
      </c>
      <c r="S281" s="152">
        <f>IFERROR(ABS(J281-'02_대상물건입력'!B10),"")</f>
        <v/>
      </c>
      <c r="T281" s="152">
        <f>IFERROR(ABS('01_설정'!B4-F281),"")</f>
        <v/>
      </c>
      <c r="U281" s="152">
        <f>IFERROR(ABS(K281-YEAR('02_대상물건입력'!B14)),"")</f>
        <v/>
      </c>
      <c r="V281" s="152">
        <f>IF(B281="","",IF(AND(E281&gt;0,F281&gt;0,H281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281=1,TRUE()),R281&lt;='01_설정'!B5,S281&lt;='01_설정'!B6,T281&lt;='01_설정'!B7,U281&lt;='01_설정'!B8),"Y",""))</f>
        <v/>
      </c>
      <c r="W281" s="172">
        <f>IF(V281&lt;&gt;"Y","",MAX(0,(1-R281/'01_설정'!B5))*'01_설정'!B14+MAX(0,(1-S281/'01_설정'!B6))*'01_설정'!B15+MAX(0,(1-T281/'01_설정'!B7))*'01_설정'!B16+MAX(0,(1-U281/'01_설정'!B8))*'01_설정'!B17+O281*'01_설정'!B11+Q281*'01_설정'!B12+P281*'01_설정'!B13+IF(Z281="",0,Z281))</f>
        <v/>
      </c>
      <c r="X281" s="152">
        <f>IF(W281="","",1+COUNTIFS($W$4:$W$3003,"&gt;"&amp;W281)+COUNTIFS($W$4:W281,W281)-1)</f>
        <v/>
      </c>
      <c r="Y281" s="175">
        <f>IF(OR(I281="",'02_대상물건입력'!B19="",'02_대상물건입력'!B19&lt;=0),"",ABS(I281-'02_대상물건입력'!B19)/'02_대상물건입력'!B19)</f>
        <v/>
      </c>
      <c r="Z281" s="172">
        <f>IF(OR(Y281="",'01_설정'!B31="",'01_설정'!B31&lt;=0,'01_설정'!B32="",'01_설정'!B32&lt;=0),"",MAX(0,(1-Y281/'01_설정'!B32))*'01_설정'!B31)</f>
        <v/>
      </c>
    </row>
    <row r="282" ht="17.25" customHeight="1">
      <c r="A282" s="152">
        <f>IF(INDEX('04A_국토부원자료'!$A:$A,ROW()+1)="","",ROW()-3)</f>
        <v/>
      </c>
      <c r="B282" s="48">
        <f>IFERROR(INDEX('04A_국토부원자료'!$A:$T,ROW()+1,MATCH("시군구",'04A_국토부원자료'!$A$4:$T$4,0)),"")</f>
        <v/>
      </c>
      <c r="C282" s="48">
        <f>IF(B282="","",IFERROR(INDEX('04A_국토부원자료'!$A:$T,ROW()+1,MATCH("번지",'04A_국토부원자료'!$A$4:$T$4,0)),""))</f>
        <v/>
      </c>
      <c r="D282" s="48">
        <f>IF(B282="","",IF(Q282=1,'02_대상물건입력'!$B$8,IFERROR(INDEX('04A_국토부원자료'!$A:$T,ROW()+1,MATCH("단지명",'04A_국토부원자료'!$A$4:$T$4,0)),"")))</f>
        <v/>
      </c>
      <c r="E282" s="172">
        <f>IFERROR(VALUE(SUBSTITUTE(INDEX('04A_국토부원자료'!$A:$T,ROW()+1,MATCH("전용면적(㎡)",'04A_국토부원자료'!$A$4:$T$4,0)),",","")),"")</f>
        <v/>
      </c>
      <c r="F2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2" s="51">
        <f>IFERROR(VALUE(SUBSTITUTE(INDEX('04A_국토부원자료'!$A:$T,ROW()+1,MATCH("거래금액(만원)",'04A_국토부원자료'!$A$4:$T$4,0)),",","")),"")</f>
        <v/>
      </c>
      <c r="H282" s="174">
        <f>IF(G282="","",G282*10000)</f>
        <v/>
      </c>
      <c r="I282" s="174">
        <f>IFERROR(IF(AND(H282&gt;0,E282&gt;0),H282/E282,""),"")</f>
        <v/>
      </c>
      <c r="J282" s="152">
        <f>IFERROR(VALUE(SUBSTITUTE(INDEX('04A_국토부원자료'!$A:$T,ROW()+1,MATCH("층",'04A_국토부원자료'!$A$4:$T$4,0)),",","")),"")</f>
        <v/>
      </c>
      <c r="K282" s="152">
        <f>IFERROR(VALUE(SUBSTITUTE(INDEX('04A_국토부원자료'!$A:$T,ROW()+1,MATCH("건축년도",'04A_국토부원자료'!$A$4:$T$4,0)),",","")),"")</f>
        <v/>
      </c>
      <c r="L282" s="176">
        <f>IFERROR(INDEX('04A_국토부원자료'!$A:$T,ROW()+1,MATCH("도로명",'04A_국토부원자료'!$A$4:$T$4,0)),"")</f>
        <v/>
      </c>
      <c r="M282" s="48">
        <f>IFERROR(INDEX('04A_국토부원자료'!$A:$T,ROW()+1,MATCH("거래유형",'04A_국토부원자료'!$A$4:$T$4,0)),"")</f>
        <v/>
      </c>
      <c r="N282" s="152">
        <f>IF(B282="","",IF('02_대상물건입력'!B5="",1,IF(ISNUMBER(SEARCH('02_대상물건입력'!B5,B282)),1,0)))</f>
        <v/>
      </c>
      <c r="O282" s="152">
        <f>IF(B282="","",IF('02_대상물건입력'!B6="",1,IF(ISNUMBER(SEARCH('02_대상물건입력'!B6,B282)),1,0)))</f>
        <v/>
      </c>
      <c r="P282" s="152">
        <f>IF(L282="","",IF('02_대상물건입력'!B15="",0,IF(ISNUMBER(SEARCH('02_대상물건입력'!B15,L282)),1,0)))</f>
        <v/>
      </c>
      <c r="Q282" s="152">
        <f>IF(OR(C282="",L282=""),0,IF(AND(TRIM(C282)=TRIM(RIGHT(SUBSTITUTE(TRIM('02_대상물건입력'!$B$7)," ",REPT(" ",99)),99)),IF('02_대상물건입력'!B15="",TRUE(),ISNUMBER(SEARCH('02_대상물건입력'!B15,L282)))),1,0))</f>
        <v/>
      </c>
      <c r="R282" s="175">
        <f>IFERROR(ABS(E282-'02_대상물건입력'!B11)/'02_대상물건입력'!B11,"")</f>
        <v/>
      </c>
      <c r="S282" s="152">
        <f>IFERROR(ABS(J282-'02_대상물건입력'!B10),"")</f>
        <v/>
      </c>
      <c r="T282" s="152">
        <f>IFERROR(ABS('01_설정'!B4-F282),"")</f>
        <v/>
      </c>
      <c r="U282" s="152">
        <f>IFERROR(ABS(K282-YEAR('02_대상물건입력'!B14)),"")</f>
        <v/>
      </c>
      <c r="V282" s="152">
        <f>IF(B282="","",IF(AND(E282&gt;0,F282&gt;0,H282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282=1,TRUE()),R282&lt;='01_설정'!B5,S282&lt;='01_설정'!B6,T282&lt;='01_설정'!B7,U282&lt;='01_설정'!B8),"Y",""))</f>
        <v/>
      </c>
      <c r="W282" s="172">
        <f>IF(V282&lt;&gt;"Y","",MAX(0,(1-R282/'01_설정'!B5))*'01_설정'!B14+MAX(0,(1-S282/'01_설정'!B6))*'01_설정'!B15+MAX(0,(1-T282/'01_설정'!B7))*'01_설정'!B16+MAX(0,(1-U282/'01_설정'!B8))*'01_설정'!B17+O282*'01_설정'!B11+Q282*'01_설정'!B12+P282*'01_설정'!B13+IF(Z282="",0,Z282))</f>
        <v/>
      </c>
      <c r="X282" s="152">
        <f>IF(W282="","",1+COUNTIFS($W$4:$W$3003,"&gt;"&amp;W282)+COUNTIFS($W$4:W282,W282)-1)</f>
        <v/>
      </c>
      <c r="Y282" s="175">
        <f>IF(OR(I282="",'02_대상물건입력'!B19="",'02_대상물건입력'!B19&lt;=0),"",ABS(I282-'02_대상물건입력'!B19)/'02_대상물건입력'!B19)</f>
        <v/>
      </c>
      <c r="Z282" s="172">
        <f>IF(OR(Y282="",'01_설정'!B31="",'01_설정'!B31&lt;=0,'01_설정'!B32="",'01_설정'!B32&lt;=0),"",MAX(0,(1-Y282/'01_설정'!B32))*'01_설정'!B31)</f>
        <v/>
      </c>
    </row>
    <row r="283" ht="17.25" customHeight="1">
      <c r="A283" s="152">
        <f>IF(INDEX('04A_국토부원자료'!$A:$A,ROW()+1)="","",ROW()-3)</f>
        <v/>
      </c>
      <c r="B283" s="48">
        <f>IFERROR(INDEX('04A_국토부원자료'!$A:$T,ROW()+1,MATCH("시군구",'04A_국토부원자료'!$A$4:$T$4,0)),"")</f>
        <v/>
      </c>
      <c r="C283" s="48">
        <f>IF(B283="","",IFERROR(INDEX('04A_국토부원자료'!$A:$T,ROW()+1,MATCH("번지",'04A_국토부원자료'!$A$4:$T$4,0)),""))</f>
        <v/>
      </c>
      <c r="D283" s="48">
        <f>IF(B283="","",IF(Q283=1,'02_대상물건입력'!$B$8,IFERROR(INDEX('04A_국토부원자료'!$A:$T,ROW()+1,MATCH("단지명",'04A_국토부원자료'!$A$4:$T$4,0)),"")))</f>
        <v/>
      </c>
      <c r="E283" s="172">
        <f>IFERROR(VALUE(SUBSTITUTE(INDEX('04A_국토부원자료'!$A:$T,ROW()+1,MATCH("전용면적(㎡)",'04A_국토부원자료'!$A$4:$T$4,0)),",","")),"")</f>
        <v/>
      </c>
      <c r="F2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3" s="51">
        <f>IFERROR(VALUE(SUBSTITUTE(INDEX('04A_국토부원자료'!$A:$T,ROW()+1,MATCH("거래금액(만원)",'04A_국토부원자료'!$A$4:$T$4,0)),",","")),"")</f>
        <v/>
      </c>
      <c r="H283" s="174">
        <f>IF(G283="","",G283*10000)</f>
        <v/>
      </c>
      <c r="I283" s="174">
        <f>IFERROR(IF(AND(H283&gt;0,E283&gt;0),H283/E283,""),"")</f>
        <v/>
      </c>
      <c r="J283" s="152">
        <f>IFERROR(VALUE(SUBSTITUTE(INDEX('04A_국토부원자료'!$A:$T,ROW()+1,MATCH("층",'04A_국토부원자료'!$A$4:$T$4,0)),",","")),"")</f>
        <v/>
      </c>
      <c r="K283" s="152">
        <f>IFERROR(VALUE(SUBSTITUTE(INDEX('04A_국토부원자료'!$A:$T,ROW()+1,MATCH("건축년도",'04A_국토부원자료'!$A$4:$T$4,0)),",","")),"")</f>
        <v/>
      </c>
      <c r="L283" s="176">
        <f>IFERROR(INDEX('04A_국토부원자료'!$A:$T,ROW()+1,MATCH("도로명",'04A_국토부원자료'!$A$4:$T$4,0)),"")</f>
        <v/>
      </c>
      <c r="M283" s="48">
        <f>IFERROR(INDEX('04A_국토부원자료'!$A:$T,ROW()+1,MATCH("거래유형",'04A_국토부원자료'!$A$4:$T$4,0)),"")</f>
        <v/>
      </c>
      <c r="N283" s="152">
        <f>IF(B283="","",IF('02_대상물건입력'!B5="",1,IF(ISNUMBER(SEARCH('02_대상물건입력'!B5,B283)),1,0)))</f>
        <v/>
      </c>
      <c r="O283" s="152">
        <f>IF(B283="","",IF('02_대상물건입력'!B6="",1,IF(ISNUMBER(SEARCH('02_대상물건입력'!B6,B283)),1,0)))</f>
        <v/>
      </c>
      <c r="P283" s="152">
        <f>IF(L283="","",IF('02_대상물건입력'!B15="",0,IF(ISNUMBER(SEARCH('02_대상물건입력'!B15,L283)),1,0)))</f>
        <v/>
      </c>
      <c r="Q283" s="152">
        <f>IF(OR(C283="",L283=""),0,IF(AND(TRIM(C283)=TRIM(RIGHT(SUBSTITUTE(TRIM('02_대상물건입력'!$B$7)," ",REPT(" ",99)),99)),IF('02_대상물건입력'!B15="",TRUE(),ISNUMBER(SEARCH('02_대상물건입력'!B15,L283)))),1,0))</f>
        <v/>
      </c>
      <c r="R283" s="175">
        <f>IFERROR(ABS(E283-'02_대상물건입력'!B11)/'02_대상물건입력'!B11,"")</f>
        <v/>
      </c>
      <c r="S283" s="152">
        <f>IFERROR(ABS(J283-'02_대상물건입력'!B10),"")</f>
        <v/>
      </c>
      <c r="T283" s="152">
        <f>IFERROR(ABS('01_설정'!B4-F283),"")</f>
        <v/>
      </c>
      <c r="U283" s="152">
        <f>IFERROR(ABS(K283-YEAR('02_대상물건입력'!B14)),"")</f>
        <v/>
      </c>
      <c r="V283" s="152">
        <f>IF(B283="","",IF(AND(E283&gt;0,F283&gt;0,H283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283=1,TRUE()),R283&lt;='01_설정'!B5,S283&lt;='01_설정'!B6,T283&lt;='01_설정'!B7,U283&lt;='01_설정'!B8),"Y",""))</f>
        <v/>
      </c>
      <c r="W283" s="172">
        <f>IF(V283&lt;&gt;"Y","",MAX(0,(1-R283/'01_설정'!B5))*'01_설정'!B14+MAX(0,(1-S283/'01_설정'!B6))*'01_설정'!B15+MAX(0,(1-T283/'01_설정'!B7))*'01_설정'!B16+MAX(0,(1-U283/'01_설정'!B8))*'01_설정'!B17+O283*'01_설정'!B11+Q283*'01_설정'!B12+P283*'01_설정'!B13+IF(Z283="",0,Z283))</f>
        <v/>
      </c>
      <c r="X283" s="152">
        <f>IF(W283="","",1+COUNTIFS($W$4:$W$3003,"&gt;"&amp;W283)+COUNTIFS($W$4:W283,W283)-1)</f>
        <v/>
      </c>
      <c r="Y283" s="175">
        <f>IF(OR(I283="",'02_대상물건입력'!B19="",'02_대상물건입력'!B19&lt;=0),"",ABS(I283-'02_대상물건입력'!B19)/'02_대상물건입력'!B19)</f>
        <v/>
      </c>
      <c r="Z283" s="172">
        <f>IF(OR(Y283="",'01_설정'!B31="",'01_설정'!B31&lt;=0,'01_설정'!B32="",'01_설정'!B32&lt;=0),"",MAX(0,(1-Y283/'01_설정'!B32))*'01_설정'!B31)</f>
        <v/>
      </c>
    </row>
    <row r="284" ht="17.25" customHeight="1">
      <c r="A284" s="152">
        <f>IF(INDEX('04A_국토부원자료'!$A:$A,ROW()+1)="","",ROW()-3)</f>
        <v/>
      </c>
      <c r="B284" s="48">
        <f>IFERROR(INDEX('04A_국토부원자료'!$A:$T,ROW()+1,MATCH("시군구",'04A_국토부원자료'!$A$4:$T$4,0)),"")</f>
        <v/>
      </c>
      <c r="C284" s="48">
        <f>IF(B284="","",IFERROR(INDEX('04A_국토부원자료'!$A:$T,ROW()+1,MATCH("번지",'04A_국토부원자료'!$A$4:$T$4,0)),""))</f>
        <v/>
      </c>
      <c r="D284" s="48">
        <f>IF(B284="","",IF(Q284=1,'02_대상물건입력'!$B$8,IFERROR(INDEX('04A_국토부원자료'!$A:$T,ROW()+1,MATCH("단지명",'04A_국토부원자료'!$A$4:$T$4,0)),"")))</f>
        <v/>
      </c>
      <c r="E284" s="172">
        <f>IFERROR(VALUE(SUBSTITUTE(INDEX('04A_국토부원자료'!$A:$T,ROW()+1,MATCH("전용면적(㎡)",'04A_국토부원자료'!$A$4:$T$4,0)),",","")),"")</f>
        <v/>
      </c>
      <c r="F2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4" s="51">
        <f>IFERROR(VALUE(SUBSTITUTE(INDEX('04A_국토부원자료'!$A:$T,ROW()+1,MATCH("거래금액(만원)",'04A_국토부원자료'!$A$4:$T$4,0)),",","")),"")</f>
        <v/>
      </c>
      <c r="H284" s="174">
        <f>IF(G284="","",G284*10000)</f>
        <v/>
      </c>
      <c r="I284" s="174">
        <f>IFERROR(IF(AND(H284&gt;0,E284&gt;0),H284/E284,""),"")</f>
        <v/>
      </c>
      <c r="J284" s="152">
        <f>IFERROR(VALUE(SUBSTITUTE(INDEX('04A_국토부원자료'!$A:$T,ROW()+1,MATCH("층",'04A_국토부원자료'!$A$4:$T$4,0)),",","")),"")</f>
        <v/>
      </c>
      <c r="K284" s="152">
        <f>IFERROR(VALUE(SUBSTITUTE(INDEX('04A_국토부원자료'!$A:$T,ROW()+1,MATCH("건축년도",'04A_국토부원자료'!$A$4:$T$4,0)),",","")),"")</f>
        <v/>
      </c>
      <c r="L284" s="176">
        <f>IFERROR(INDEX('04A_국토부원자료'!$A:$T,ROW()+1,MATCH("도로명",'04A_국토부원자료'!$A$4:$T$4,0)),"")</f>
        <v/>
      </c>
      <c r="M284" s="48">
        <f>IFERROR(INDEX('04A_국토부원자료'!$A:$T,ROW()+1,MATCH("거래유형",'04A_국토부원자료'!$A$4:$T$4,0)),"")</f>
        <v/>
      </c>
      <c r="N284" s="152">
        <f>IF(B284="","",IF('02_대상물건입력'!B5="",1,IF(ISNUMBER(SEARCH('02_대상물건입력'!B5,B284)),1,0)))</f>
        <v/>
      </c>
      <c r="O284" s="152">
        <f>IF(B284="","",IF('02_대상물건입력'!B6="",1,IF(ISNUMBER(SEARCH('02_대상물건입력'!B6,B284)),1,0)))</f>
        <v/>
      </c>
      <c r="P284" s="152">
        <f>IF(L284="","",IF('02_대상물건입력'!B15="",0,IF(ISNUMBER(SEARCH('02_대상물건입력'!B15,L284)),1,0)))</f>
        <v/>
      </c>
      <c r="Q284" s="152">
        <f>IF(OR(C284="",L284=""),0,IF(AND(TRIM(C284)=TRIM(RIGHT(SUBSTITUTE(TRIM('02_대상물건입력'!$B$7)," ",REPT(" ",99)),99)),IF('02_대상물건입력'!B15="",TRUE(),ISNUMBER(SEARCH('02_대상물건입력'!B15,L284)))),1,0))</f>
        <v/>
      </c>
      <c r="R284" s="175">
        <f>IFERROR(ABS(E284-'02_대상물건입력'!B11)/'02_대상물건입력'!B11,"")</f>
        <v/>
      </c>
      <c r="S284" s="152">
        <f>IFERROR(ABS(J284-'02_대상물건입력'!B10),"")</f>
        <v/>
      </c>
      <c r="T284" s="152">
        <f>IFERROR(ABS('01_설정'!B4-F284),"")</f>
        <v/>
      </c>
      <c r="U284" s="152">
        <f>IFERROR(ABS(K284-YEAR('02_대상물건입력'!B14)),"")</f>
        <v/>
      </c>
      <c r="V284" s="152">
        <f>IF(B284="","",IF(AND(E284&gt;0,F284&gt;0,H284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284=1,TRUE()),R284&lt;='01_설정'!B5,S284&lt;='01_설정'!B6,T284&lt;='01_설정'!B7,U284&lt;='01_설정'!B8),"Y",""))</f>
        <v/>
      </c>
      <c r="W284" s="172">
        <f>IF(V284&lt;&gt;"Y","",MAX(0,(1-R284/'01_설정'!B5))*'01_설정'!B14+MAX(0,(1-S284/'01_설정'!B6))*'01_설정'!B15+MAX(0,(1-T284/'01_설정'!B7))*'01_설정'!B16+MAX(0,(1-U284/'01_설정'!B8))*'01_설정'!B17+O284*'01_설정'!B11+Q284*'01_설정'!B12+P284*'01_설정'!B13+IF(Z284="",0,Z284))</f>
        <v/>
      </c>
      <c r="X284" s="152">
        <f>IF(W284="","",1+COUNTIFS($W$4:$W$3003,"&gt;"&amp;W284)+COUNTIFS($W$4:W284,W284)-1)</f>
        <v/>
      </c>
      <c r="Y284" s="175">
        <f>IF(OR(I284="",'02_대상물건입력'!B19="",'02_대상물건입력'!B19&lt;=0),"",ABS(I284-'02_대상물건입력'!B19)/'02_대상물건입력'!B19)</f>
        <v/>
      </c>
      <c r="Z284" s="172">
        <f>IF(OR(Y284="",'01_설정'!B31="",'01_설정'!B31&lt;=0,'01_설정'!B32="",'01_설정'!B32&lt;=0),"",MAX(0,(1-Y284/'01_설정'!B32))*'01_설정'!B31)</f>
        <v/>
      </c>
    </row>
    <row r="285" ht="17.25" customHeight="1">
      <c r="A285" s="152">
        <f>IF(INDEX('04A_국토부원자료'!$A:$A,ROW()+1)="","",ROW()-3)</f>
        <v/>
      </c>
      <c r="B285" s="48">
        <f>IFERROR(INDEX('04A_국토부원자료'!$A:$T,ROW()+1,MATCH("시군구",'04A_국토부원자료'!$A$4:$T$4,0)),"")</f>
        <v/>
      </c>
      <c r="C285" s="48">
        <f>IF(B285="","",IFERROR(INDEX('04A_국토부원자료'!$A:$T,ROW()+1,MATCH("번지",'04A_국토부원자료'!$A$4:$T$4,0)),""))</f>
        <v/>
      </c>
      <c r="D285" s="48">
        <f>IF(B285="","",IF(Q285=1,'02_대상물건입력'!$B$8,IFERROR(INDEX('04A_국토부원자료'!$A:$T,ROW()+1,MATCH("단지명",'04A_국토부원자료'!$A$4:$T$4,0)),"")))</f>
        <v/>
      </c>
      <c r="E285" s="172">
        <f>IFERROR(VALUE(SUBSTITUTE(INDEX('04A_국토부원자료'!$A:$T,ROW()+1,MATCH("전용면적(㎡)",'04A_국토부원자료'!$A$4:$T$4,0)),",","")),"")</f>
        <v/>
      </c>
      <c r="F2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5" s="51">
        <f>IFERROR(VALUE(SUBSTITUTE(INDEX('04A_국토부원자료'!$A:$T,ROW()+1,MATCH("거래금액(만원)",'04A_국토부원자료'!$A$4:$T$4,0)),",","")),"")</f>
        <v/>
      </c>
      <c r="H285" s="174">
        <f>IF(G285="","",G285*10000)</f>
        <v/>
      </c>
      <c r="I285" s="174">
        <f>IFERROR(IF(AND(H285&gt;0,E285&gt;0),H285/E285,""),"")</f>
        <v/>
      </c>
      <c r="J285" s="152">
        <f>IFERROR(VALUE(SUBSTITUTE(INDEX('04A_국토부원자료'!$A:$T,ROW()+1,MATCH("층",'04A_국토부원자료'!$A$4:$T$4,0)),",","")),"")</f>
        <v/>
      </c>
      <c r="K285" s="152">
        <f>IFERROR(VALUE(SUBSTITUTE(INDEX('04A_국토부원자료'!$A:$T,ROW()+1,MATCH("건축년도",'04A_국토부원자료'!$A$4:$T$4,0)),",","")),"")</f>
        <v/>
      </c>
      <c r="L285" s="176">
        <f>IFERROR(INDEX('04A_국토부원자료'!$A:$T,ROW()+1,MATCH("도로명",'04A_국토부원자료'!$A$4:$T$4,0)),"")</f>
        <v/>
      </c>
      <c r="M285" s="48">
        <f>IFERROR(INDEX('04A_국토부원자료'!$A:$T,ROW()+1,MATCH("거래유형",'04A_국토부원자료'!$A$4:$T$4,0)),"")</f>
        <v/>
      </c>
      <c r="N285" s="152">
        <f>IF(B285="","",IF('02_대상물건입력'!B5="",1,IF(ISNUMBER(SEARCH('02_대상물건입력'!B5,B285)),1,0)))</f>
        <v/>
      </c>
      <c r="O285" s="152">
        <f>IF(B285="","",IF('02_대상물건입력'!B6="",1,IF(ISNUMBER(SEARCH('02_대상물건입력'!B6,B285)),1,0)))</f>
        <v/>
      </c>
      <c r="P285" s="152">
        <f>IF(L285="","",IF('02_대상물건입력'!B15="",0,IF(ISNUMBER(SEARCH('02_대상물건입력'!B15,L285)),1,0)))</f>
        <v/>
      </c>
      <c r="Q285" s="152">
        <f>IF(OR(C285="",L285=""),0,IF(AND(TRIM(C285)=TRIM(RIGHT(SUBSTITUTE(TRIM('02_대상물건입력'!$B$7)," ",REPT(" ",99)),99)),IF('02_대상물건입력'!B15="",TRUE(),ISNUMBER(SEARCH('02_대상물건입력'!B15,L285)))),1,0))</f>
        <v/>
      </c>
      <c r="R285" s="175">
        <f>IFERROR(ABS(E285-'02_대상물건입력'!B11)/'02_대상물건입력'!B11,"")</f>
        <v/>
      </c>
      <c r="S285" s="152">
        <f>IFERROR(ABS(J285-'02_대상물건입력'!B10),"")</f>
        <v/>
      </c>
      <c r="T285" s="152">
        <f>IFERROR(ABS('01_설정'!B4-F285),"")</f>
        <v/>
      </c>
      <c r="U285" s="152">
        <f>IFERROR(ABS(K285-YEAR('02_대상물건입력'!B14)),"")</f>
        <v/>
      </c>
      <c r="V285" s="152">
        <f>IF(B285="","",IF(AND(E285&gt;0,F285&gt;0,H285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285=1,TRUE()),R285&lt;='01_설정'!B5,S285&lt;='01_설정'!B6,T285&lt;='01_설정'!B7,U285&lt;='01_설정'!B8),"Y",""))</f>
        <v/>
      </c>
      <c r="W285" s="172">
        <f>IF(V285&lt;&gt;"Y","",MAX(0,(1-R285/'01_설정'!B5))*'01_설정'!B14+MAX(0,(1-S285/'01_설정'!B6))*'01_설정'!B15+MAX(0,(1-T285/'01_설정'!B7))*'01_설정'!B16+MAX(0,(1-U285/'01_설정'!B8))*'01_설정'!B17+O285*'01_설정'!B11+Q285*'01_설정'!B12+P285*'01_설정'!B13+IF(Z285="",0,Z285))</f>
        <v/>
      </c>
      <c r="X285" s="152">
        <f>IF(W285="","",1+COUNTIFS($W$4:$W$3003,"&gt;"&amp;W285)+COUNTIFS($W$4:W285,W285)-1)</f>
        <v/>
      </c>
      <c r="Y285" s="175">
        <f>IF(OR(I285="",'02_대상물건입력'!B19="",'02_대상물건입력'!B19&lt;=0),"",ABS(I285-'02_대상물건입력'!B19)/'02_대상물건입력'!B19)</f>
        <v/>
      </c>
      <c r="Z285" s="172">
        <f>IF(OR(Y285="",'01_설정'!B31="",'01_설정'!B31&lt;=0,'01_설정'!B32="",'01_설정'!B32&lt;=0),"",MAX(0,(1-Y285/'01_설정'!B32))*'01_설정'!B31)</f>
        <v/>
      </c>
    </row>
    <row r="286" ht="17.25" customHeight="1">
      <c r="A286" s="152">
        <f>IF(INDEX('04A_국토부원자료'!$A:$A,ROW()+1)="","",ROW()-3)</f>
        <v/>
      </c>
      <c r="B286" s="48">
        <f>IFERROR(INDEX('04A_국토부원자료'!$A:$T,ROW()+1,MATCH("시군구",'04A_국토부원자료'!$A$4:$T$4,0)),"")</f>
        <v/>
      </c>
      <c r="C286" s="48">
        <f>IF(B286="","",IFERROR(INDEX('04A_국토부원자료'!$A:$T,ROW()+1,MATCH("번지",'04A_국토부원자료'!$A$4:$T$4,0)),""))</f>
        <v/>
      </c>
      <c r="D286" s="48">
        <f>IF(B286="","",IF(Q286=1,'02_대상물건입력'!$B$8,IFERROR(INDEX('04A_국토부원자료'!$A:$T,ROW()+1,MATCH("단지명",'04A_국토부원자료'!$A$4:$T$4,0)),"")))</f>
        <v/>
      </c>
      <c r="E286" s="172">
        <f>IFERROR(VALUE(SUBSTITUTE(INDEX('04A_국토부원자료'!$A:$T,ROW()+1,MATCH("전용면적(㎡)",'04A_국토부원자료'!$A$4:$T$4,0)),",","")),"")</f>
        <v/>
      </c>
      <c r="F2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6" s="51">
        <f>IFERROR(VALUE(SUBSTITUTE(INDEX('04A_국토부원자료'!$A:$T,ROW()+1,MATCH("거래금액(만원)",'04A_국토부원자료'!$A$4:$T$4,0)),",","")),"")</f>
        <v/>
      </c>
      <c r="H286" s="174">
        <f>IF(G286="","",G286*10000)</f>
        <v/>
      </c>
      <c r="I286" s="174">
        <f>IFERROR(IF(AND(H286&gt;0,E286&gt;0),H286/E286,""),"")</f>
        <v/>
      </c>
      <c r="J286" s="152">
        <f>IFERROR(VALUE(SUBSTITUTE(INDEX('04A_국토부원자료'!$A:$T,ROW()+1,MATCH("층",'04A_국토부원자료'!$A$4:$T$4,0)),",","")),"")</f>
        <v/>
      </c>
      <c r="K286" s="152">
        <f>IFERROR(VALUE(SUBSTITUTE(INDEX('04A_국토부원자료'!$A:$T,ROW()+1,MATCH("건축년도",'04A_국토부원자료'!$A$4:$T$4,0)),",","")),"")</f>
        <v/>
      </c>
      <c r="L286" s="176">
        <f>IFERROR(INDEX('04A_국토부원자료'!$A:$T,ROW()+1,MATCH("도로명",'04A_국토부원자료'!$A$4:$T$4,0)),"")</f>
        <v/>
      </c>
      <c r="M286" s="48">
        <f>IFERROR(INDEX('04A_국토부원자료'!$A:$T,ROW()+1,MATCH("거래유형",'04A_국토부원자료'!$A$4:$T$4,0)),"")</f>
        <v/>
      </c>
      <c r="N286" s="152">
        <f>IF(B286="","",IF('02_대상물건입력'!B5="",1,IF(ISNUMBER(SEARCH('02_대상물건입력'!B5,B286)),1,0)))</f>
        <v/>
      </c>
      <c r="O286" s="152">
        <f>IF(B286="","",IF('02_대상물건입력'!B6="",1,IF(ISNUMBER(SEARCH('02_대상물건입력'!B6,B286)),1,0)))</f>
        <v/>
      </c>
      <c r="P286" s="152">
        <f>IF(L286="","",IF('02_대상물건입력'!B15="",0,IF(ISNUMBER(SEARCH('02_대상물건입력'!B15,L286)),1,0)))</f>
        <v/>
      </c>
      <c r="Q286" s="152">
        <f>IF(OR(C286="",L286=""),0,IF(AND(TRIM(C286)=TRIM(RIGHT(SUBSTITUTE(TRIM('02_대상물건입력'!$B$7)," ",REPT(" ",99)),99)),IF('02_대상물건입력'!B15="",TRUE(),ISNUMBER(SEARCH('02_대상물건입력'!B15,L286)))),1,0))</f>
        <v/>
      </c>
      <c r="R286" s="175">
        <f>IFERROR(ABS(E286-'02_대상물건입력'!B11)/'02_대상물건입력'!B11,"")</f>
        <v/>
      </c>
      <c r="S286" s="152">
        <f>IFERROR(ABS(J286-'02_대상물건입력'!B10),"")</f>
        <v/>
      </c>
      <c r="T286" s="152">
        <f>IFERROR(ABS('01_설정'!B4-F286),"")</f>
        <v/>
      </c>
      <c r="U286" s="152">
        <f>IFERROR(ABS(K286-YEAR('02_대상물건입력'!B14)),"")</f>
        <v/>
      </c>
      <c r="V286" s="152">
        <f>IF(B286="","",IF(AND(E286&gt;0,F286&gt;0,H286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286=1,TRUE()),R286&lt;='01_설정'!B5,S286&lt;='01_설정'!B6,T286&lt;='01_설정'!B7,U286&lt;='01_설정'!B8),"Y",""))</f>
        <v/>
      </c>
      <c r="W286" s="172">
        <f>IF(V286&lt;&gt;"Y","",MAX(0,(1-R286/'01_설정'!B5))*'01_설정'!B14+MAX(0,(1-S286/'01_설정'!B6))*'01_설정'!B15+MAX(0,(1-T286/'01_설정'!B7))*'01_설정'!B16+MAX(0,(1-U286/'01_설정'!B8))*'01_설정'!B17+O286*'01_설정'!B11+Q286*'01_설정'!B12+P286*'01_설정'!B13+IF(Z286="",0,Z286))</f>
        <v/>
      </c>
      <c r="X286" s="152">
        <f>IF(W286="","",1+COUNTIFS($W$4:$W$3003,"&gt;"&amp;W286)+COUNTIFS($W$4:W286,W286)-1)</f>
        <v/>
      </c>
      <c r="Y286" s="175">
        <f>IF(OR(I286="",'02_대상물건입력'!B19="",'02_대상물건입력'!B19&lt;=0),"",ABS(I286-'02_대상물건입력'!B19)/'02_대상물건입력'!B19)</f>
        <v/>
      </c>
      <c r="Z286" s="172">
        <f>IF(OR(Y286="",'01_설정'!B31="",'01_설정'!B31&lt;=0,'01_설정'!B32="",'01_설정'!B32&lt;=0),"",MAX(0,(1-Y286/'01_설정'!B32))*'01_설정'!B31)</f>
        <v/>
      </c>
    </row>
    <row r="287" ht="17.25" customHeight="1">
      <c r="A287" s="152">
        <f>IF(INDEX('04A_국토부원자료'!$A:$A,ROW()+1)="","",ROW()-3)</f>
        <v/>
      </c>
      <c r="B287" s="48">
        <f>IFERROR(INDEX('04A_국토부원자료'!$A:$T,ROW()+1,MATCH("시군구",'04A_국토부원자료'!$A$4:$T$4,0)),"")</f>
        <v/>
      </c>
      <c r="C287" s="48">
        <f>IF(B287="","",IFERROR(INDEX('04A_국토부원자료'!$A:$T,ROW()+1,MATCH("번지",'04A_국토부원자료'!$A$4:$T$4,0)),""))</f>
        <v/>
      </c>
      <c r="D287" s="48">
        <f>IF(B287="","",IF(Q287=1,'02_대상물건입력'!$B$8,IFERROR(INDEX('04A_국토부원자료'!$A:$T,ROW()+1,MATCH("단지명",'04A_국토부원자료'!$A$4:$T$4,0)),"")))</f>
        <v/>
      </c>
      <c r="E287" s="172">
        <f>IFERROR(VALUE(SUBSTITUTE(INDEX('04A_국토부원자료'!$A:$T,ROW()+1,MATCH("전용면적(㎡)",'04A_국토부원자료'!$A$4:$T$4,0)),",","")),"")</f>
        <v/>
      </c>
      <c r="F2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7" s="51">
        <f>IFERROR(VALUE(SUBSTITUTE(INDEX('04A_국토부원자료'!$A:$T,ROW()+1,MATCH("거래금액(만원)",'04A_국토부원자료'!$A$4:$T$4,0)),",","")),"")</f>
        <v/>
      </c>
      <c r="H287" s="174">
        <f>IF(G287="","",G287*10000)</f>
        <v/>
      </c>
      <c r="I287" s="174">
        <f>IFERROR(IF(AND(H287&gt;0,E287&gt;0),H287/E287,""),"")</f>
        <v/>
      </c>
      <c r="J287" s="152">
        <f>IFERROR(VALUE(SUBSTITUTE(INDEX('04A_국토부원자료'!$A:$T,ROW()+1,MATCH("층",'04A_국토부원자료'!$A$4:$T$4,0)),",","")),"")</f>
        <v/>
      </c>
      <c r="K287" s="152">
        <f>IFERROR(VALUE(SUBSTITUTE(INDEX('04A_국토부원자료'!$A:$T,ROW()+1,MATCH("건축년도",'04A_국토부원자료'!$A$4:$T$4,0)),",","")),"")</f>
        <v/>
      </c>
      <c r="L287" s="176">
        <f>IFERROR(INDEX('04A_국토부원자료'!$A:$T,ROW()+1,MATCH("도로명",'04A_국토부원자료'!$A$4:$T$4,0)),"")</f>
        <v/>
      </c>
      <c r="M287" s="48">
        <f>IFERROR(INDEX('04A_국토부원자료'!$A:$T,ROW()+1,MATCH("거래유형",'04A_국토부원자료'!$A$4:$T$4,0)),"")</f>
        <v/>
      </c>
      <c r="N287" s="152">
        <f>IF(B287="","",IF('02_대상물건입력'!B5="",1,IF(ISNUMBER(SEARCH('02_대상물건입력'!B5,B287)),1,0)))</f>
        <v/>
      </c>
      <c r="O287" s="152">
        <f>IF(B287="","",IF('02_대상물건입력'!B6="",1,IF(ISNUMBER(SEARCH('02_대상물건입력'!B6,B287)),1,0)))</f>
        <v/>
      </c>
      <c r="P287" s="152">
        <f>IF(L287="","",IF('02_대상물건입력'!B15="",0,IF(ISNUMBER(SEARCH('02_대상물건입력'!B15,L287)),1,0)))</f>
        <v/>
      </c>
      <c r="Q287" s="152">
        <f>IF(OR(C287="",L287=""),0,IF(AND(TRIM(C287)=TRIM(RIGHT(SUBSTITUTE(TRIM('02_대상물건입력'!$B$7)," ",REPT(" ",99)),99)),IF('02_대상물건입력'!B15="",TRUE(),ISNUMBER(SEARCH('02_대상물건입력'!B15,L287)))),1,0))</f>
        <v/>
      </c>
      <c r="R287" s="175">
        <f>IFERROR(ABS(E287-'02_대상물건입력'!B11)/'02_대상물건입력'!B11,"")</f>
        <v/>
      </c>
      <c r="S287" s="152">
        <f>IFERROR(ABS(J287-'02_대상물건입력'!B10),"")</f>
        <v/>
      </c>
      <c r="T287" s="152">
        <f>IFERROR(ABS('01_설정'!B4-F287),"")</f>
        <v/>
      </c>
      <c r="U287" s="152">
        <f>IFERROR(ABS(K287-YEAR('02_대상물건입력'!B14)),"")</f>
        <v/>
      </c>
      <c r="V287" s="152">
        <f>IF(B287="","",IF(AND(E287&gt;0,F287&gt;0,H287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287=1,TRUE()),R287&lt;='01_설정'!B5,S287&lt;='01_설정'!B6,T287&lt;='01_설정'!B7,U287&lt;='01_설정'!B8),"Y",""))</f>
        <v/>
      </c>
      <c r="W287" s="172">
        <f>IF(V287&lt;&gt;"Y","",MAX(0,(1-R287/'01_설정'!B5))*'01_설정'!B14+MAX(0,(1-S287/'01_설정'!B6))*'01_설정'!B15+MAX(0,(1-T287/'01_설정'!B7))*'01_설정'!B16+MAX(0,(1-U287/'01_설정'!B8))*'01_설정'!B17+O287*'01_설정'!B11+Q287*'01_설정'!B12+P287*'01_설정'!B13+IF(Z287="",0,Z287))</f>
        <v/>
      </c>
      <c r="X287" s="152">
        <f>IF(W287="","",1+COUNTIFS($W$4:$W$3003,"&gt;"&amp;W287)+COUNTIFS($W$4:W287,W287)-1)</f>
        <v/>
      </c>
      <c r="Y287" s="175">
        <f>IF(OR(I287="",'02_대상물건입력'!B19="",'02_대상물건입력'!B19&lt;=0),"",ABS(I287-'02_대상물건입력'!B19)/'02_대상물건입력'!B19)</f>
        <v/>
      </c>
      <c r="Z287" s="172">
        <f>IF(OR(Y287="",'01_설정'!B31="",'01_설정'!B31&lt;=0,'01_설정'!B32="",'01_설정'!B32&lt;=0),"",MAX(0,(1-Y287/'01_설정'!B32))*'01_설정'!B31)</f>
        <v/>
      </c>
    </row>
    <row r="288" ht="17.25" customHeight="1">
      <c r="A288" s="152">
        <f>IF(INDEX('04A_국토부원자료'!$A:$A,ROW()+1)="","",ROW()-3)</f>
        <v/>
      </c>
      <c r="B288" s="48">
        <f>IFERROR(INDEX('04A_국토부원자료'!$A:$T,ROW()+1,MATCH("시군구",'04A_국토부원자료'!$A$4:$T$4,0)),"")</f>
        <v/>
      </c>
      <c r="C288" s="48">
        <f>IF(B288="","",IFERROR(INDEX('04A_국토부원자료'!$A:$T,ROW()+1,MATCH("번지",'04A_국토부원자료'!$A$4:$T$4,0)),""))</f>
        <v/>
      </c>
      <c r="D288" s="48">
        <f>IF(B288="","",IF(Q288=1,'02_대상물건입력'!$B$8,IFERROR(INDEX('04A_국토부원자료'!$A:$T,ROW()+1,MATCH("단지명",'04A_국토부원자료'!$A$4:$T$4,0)),"")))</f>
        <v/>
      </c>
      <c r="E288" s="172">
        <f>IFERROR(VALUE(SUBSTITUTE(INDEX('04A_국토부원자료'!$A:$T,ROW()+1,MATCH("전용면적(㎡)",'04A_국토부원자료'!$A$4:$T$4,0)),",","")),"")</f>
        <v/>
      </c>
      <c r="F2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8" s="51">
        <f>IFERROR(VALUE(SUBSTITUTE(INDEX('04A_국토부원자료'!$A:$T,ROW()+1,MATCH("거래금액(만원)",'04A_국토부원자료'!$A$4:$T$4,0)),",","")),"")</f>
        <v/>
      </c>
      <c r="H288" s="174">
        <f>IF(G288="","",G288*10000)</f>
        <v/>
      </c>
      <c r="I288" s="174">
        <f>IFERROR(IF(AND(H288&gt;0,E288&gt;0),H288/E288,""),"")</f>
        <v/>
      </c>
      <c r="J288" s="152">
        <f>IFERROR(VALUE(SUBSTITUTE(INDEX('04A_국토부원자료'!$A:$T,ROW()+1,MATCH("층",'04A_국토부원자료'!$A$4:$T$4,0)),",","")),"")</f>
        <v/>
      </c>
      <c r="K288" s="152">
        <f>IFERROR(VALUE(SUBSTITUTE(INDEX('04A_국토부원자료'!$A:$T,ROW()+1,MATCH("건축년도",'04A_국토부원자료'!$A$4:$T$4,0)),",","")),"")</f>
        <v/>
      </c>
      <c r="L288" s="176">
        <f>IFERROR(INDEX('04A_국토부원자료'!$A:$T,ROW()+1,MATCH("도로명",'04A_국토부원자료'!$A$4:$T$4,0)),"")</f>
        <v/>
      </c>
      <c r="M288" s="48">
        <f>IFERROR(INDEX('04A_국토부원자료'!$A:$T,ROW()+1,MATCH("거래유형",'04A_국토부원자료'!$A$4:$T$4,0)),"")</f>
        <v/>
      </c>
      <c r="N288" s="152">
        <f>IF(B288="","",IF('02_대상물건입력'!B5="",1,IF(ISNUMBER(SEARCH('02_대상물건입력'!B5,B288)),1,0)))</f>
        <v/>
      </c>
      <c r="O288" s="152">
        <f>IF(B288="","",IF('02_대상물건입력'!B6="",1,IF(ISNUMBER(SEARCH('02_대상물건입력'!B6,B288)),1,0)))</f>
        <v/>
      </c>
      <c r="P288" s="152">
        <f>IF(L288="","",IF('02_대상물건입력'!B15="",0,IF(ISNUMBER(SEARCH('02_대상물건입력'!B15,L288)),1,0)))</f>
        <v/>
      </c>
      <c r="Q288" s="152">
        <f>IF(OR(C288="",L288=""),0,IF(AND(TRIM(C288)=TRIM(RIGHT(SUBSTITUTE(TRIM('02_대상물건입력'!$B$7)," ",REPT(" ",99)),99)),IF('02_대상물건입력'!B15="",TRUE(),ISNUMBER(SEARCH('02_대상물건입력'!B15,L288)))),1,0))</f>
        <v/>
      </c>
      <c r="R288" s="175">
        <f>IFERROR(ABS(E288-'02_대상물건입력'!B11)/'02_대상물건입력'!B11,"")</f>
        <v/>
      </c>
      <c r="S288" s="152">
        <f>IFERROR(ABS(J288-'02_대상물건입력'!B10),"")</f>
        <v/>
      </c>
      <c r="T288" s="152">
        <f>IFERROR(ABS('01_설정'!B4-F288),"")</f>
        <v/>
      </c>
      <c r="U288" s="152">
        <f>IFERROR(ABS(K288-YEAR('02_대상물건입력'!B14)),"")</f>
        <v/>
      </c>
      <c r="V288" s="152">
        <f>IF(B288="","",IF(AND(E288&gt;0,F288&gt;0,H288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288=1,TRUE()),R288&lt;='01_설정'!B5,S288&lt;='01_설정'!B6,T288&lt;='01_설정'!B7,U288&lt;='01_설정'!B8),"Y",""))</f>
        <v/>
      </c>
      <c r="W288" s="172">
        <f>IF(V288&lt;&gt;"Y","",MAX(0,(1-R288/'01_설정'!B5))*'01_설정'!B14+MAX(0,(1-S288/'01_설정'!B6))*'01_설정'!B15+MAX(0,(1-T288/'01_설정'!B7))*'01_설정'!B16+MAX(0,(1-U288/'01_설정'!B8))*'01_설정'!B17+O288*'01_설정'!B11+Q288*'01_설정'!B12+P288*'01_설정'!B13+IF(Z288="",0,Z288))</f>
        <v/>
      </c>
      <c r="X288" s="152">
        <f>IF(W288="","",1+COUNTIFS($W$4:$W$3003,"&gt;"&amp;W288)+COUNTIFS($W$4:W288,W288)-1)</f>
        <v/>
      </c>
      <c r="Y288" s="175">
        <f>IF(OR(I288="",'02_대상물건입력'!B19="",'02_대상물건입력'!B19&lt;=0),"",ABS(I288-'02_대상물건입력'!B19)/'02_대상물건입력'!B19)</f>
        <v/>
      </c>
      <c r="Z288" s="172">
        <f>IF(OR(Y288="",'01_설정'!B31="",'01_설정'!B31&lt;=0,'01_설정'!B32="",'01_설정'!B32&lt;=0),"",MAX(0,(1-Y288/'01_설정'!B32))*'01_설정'!B31)</f>
        <v/>
      </c>
    </row>
    <row r="289" ht="17.25" customHeight="1">
      <c r="A289" s="152">
        <f>IF(INDEX('04A_국토부원자료'!$A:$A,ROW()+1)="","",ROW()-3)</f>
        <v/>
      </c>
      <c r="B289" s="48">
        <f>IFERROR(INDEX('04A_국토부원자료'!$A:$T,ROW()+1,MATCH("시군구",'04A_국토부원자료'!$A$4:$T$4,0)),"")</f>
        <v/>
      </c>
      <c r="C289" s="48">
        <f>IF(B289="","",IFERROR(INDEX('04A_국토부원자료'!$A:$T,ROW()+1,MATCH("번지",'04A_국토부원자료'!$A$4:$T$4,0)),""))</f>
        <v/>
      </c>
      <c r="D289" s="48">
        <f>IF(B289="","",IF(Q289=1,'02_대상물건입력'!$B$8,IFERROR(INDEX('04A_국토부원자료'!$A:$T,ROW()+1,MATCH("단지명",'04A_국토부원자료'!$A$4:$T$4,0)),"")))</f>
        <v/>
      </c>
      <c r="E289" s="172">
        <f>IFERROR(VALUE(SUBSTITUTE(INDEX('04A_국토부원자료'!$A:$T,ROW()+1,MATCH("전용면적(㎡)",'04A_국토부원자료'!$A$4:$T$4,0)),",","")),"")</f>
        <v/>
      </c>
      <c r="F2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9" s="51">
        <f>IFERROR(VALUE(SUBSTITUTE(INDEX('04A_국토부원자료'!$A:$T,ROW()+1,MATCH("거래금액(만원)",'04A_국토부원자료'!$A$4:$T$4,0)),",","")),"")</f>
        <v/>
      </c>
      <c r="H289" s="174">
        <f>IF(G289="","",G289*10000)</f>
        <v/>
      </c>
      <c r="I289" s="174">
        <f>IFERROR(IF(AND(H289&gt;0,E289&gt;0),H289/E289,""),"")</f>
        <v/>
      </c>
      <c r="J289" s="152">
        <f>IFERROR(VALUE(SUBSTITUTE(INDEX('04A_국토부원자료'!$A:$T,ROW()+1,MATCH("층",'04A_국토부원자료'!$A$4:$T$4,0)),",","")),"")</f>
        <v/>
      </c>
      <c r="K289" s="152">
        <f>IFERROR(VALUE(SUBSTITUTE(INDEX('04A_국토부원자료'!$A:$T,ROW()+1,MATCH("건축년도",'04A_국토부원자료'!$A$4:$T$4,0)),",","")),"")</f>
        <v/>
      </c>
      <c r="L289" s="176">
        <f>IFERROR(INDEX('04A_국토부원자료'!$A:$T,ROW()+1,MATCH("도로명",'04A_국토부원자료'!$A$4:$T$4,0)),"")</f>
        <v/>
      </c>
      <c r="M289" s="48">
        <f>IFERROR(INDEX('04A_국토부원자료'!$A:$T,ROW()+1,MATCH("거래유형",'04A_국토부원자료'!$A$4:$T$4,0)),"")</f>
        <v/>
      </c>
      <c r="N289" s="152">
        <f>IF(B289="","",IF('02_대상물건입력'!B5="",1,IF(ISNUMBER(SEARCH('02_대상물건입력'!B5,B289)),1,0)))</f>
        <v/>
      </c>
      <c r="O289" s="152">
        <f>IF(B289="","",IF('02_대상물건입력'!B6="",1,IF(ISNUMBER(SEARCH('02_대상물건입력'!B6,B289)),1,0)))</f>
        <v/>
      </c>
      <c r="P289" s="152">
        <f>IF(L289="","",IF('02_대상물건입력'!B15="",0,IF(ISNUMBER(SEARCH('02_대상물건입력'!B15,L289)),1,0)))</f>
        <v/>
      </c>
      <c r="Q289" s="152">
        <f>IF(OR(C289="",L289=""),0,IF(AND(TRIM(C289)=TRIM(RIGHT(SUBSTITUTE(TRIM('02_대상물건입력'!$B$7)," ",REPT(" ",99)),99)),IF('02_대상물건입력'!B15="",TRUE(),ISNUMBER(SEARCH('02_대상물건입력'!B15,L289)))),1,0))</f>
        <v/>
      </c>
      <c r="R289" s="175">
        <f>IFERROR(ABS(E289-'02_대상물건입력'!B11)/'02_대상물건입력'!B11,"")</f>
        <v/>
      </c>
      <c r="S289" s="152">
        <f>IFERROR(ABS(J289-'02_대상물건입력'!B10),"")</f>
        <v/>
      </c>
      <c r="T289" s="152">
        <f>IFERROR(ABS('01_설정'!B4-F289),"")</f>
        <v/>
      </c>
      <c r="U289" s="152">
        <f>IFERROR(ABS(K289-YEAR('02_대상물건입력'!B14)),"")</f>
        <v/>
      </c>
      <c r="V289" s="152">
        <f>IF(B289="","",IF(AND(E289&gt;0,F289&gt;0,H289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289=1,TRUE()),R289&lt;='01_설정'!B5,S289&lt;='01_설정'!B6,T289&lt;='01_설정'!B7,U289&lt;='01_설정'!B8),"Y",""))</f>
        <v/>
      </c>
      <c r="W289" s="172">
        <f>IF(V289&lt;&gt;"Y","",MAX(0,(1-R289/'01_설정'!B5))*'01_설정'!B14+MAX(0,(1-S289/'01_설정'!B6))*'01_설정'!B15+MAX(0,(1-T289/'01_설정'!B7))*'01_설정'!B16+MAX(0,(1-U289/'01_설정'!B8))*'01_설정'!B17+O289*'01_설정'!B11+Q289*'01_설정'!B12+P289*'01_설정'!B13+IF(Z289="",0,Z289))</f>
        <v/>
      </c>
      <c r="X289" s="152">
        <f>IF(W289="","",1+COUNTIFS($W$4:$W$3003,"&gt;"&amp;W289)+COUNTIFS($W$4:W289,W289)-1)</f>
        <v/>
      </c>
      <c r="Y289" s="175">
        <f>IF(OR(I289="",'02_대상물건입력'!B19="",'02_대상물건입력'!B19&lt;=0),"",ABS(I289-'02_대상물건입력'!B19)/'02_대상물건입력'!B19)</f>
        <v/>
      </c>
      <c r="Z289" s="172">
        <f>IF(OR(Y289="",'01_설정'!B31="",'01_설정'!B31&lt;=0,'01_설정'!B32="",'01_설정'!B32&lt;=0),"",MAX(0,(1-Y289/'01_설정'!B32))*'01_설정'!B31)</f>
        <v/>
      </c>
    </row>
    <row r="290" ht="17.25" customHeight="1">
      <c r="A290" s="152">
        <f>IF(INDEX('04A_국토부원자료'!$A:$A,ROW()+1)="","",ROW()-3)</f>
        <v/>
      </c>
      <c r="B290" s="48">
        <f>IFERROR(INDEX('04A_국토부원자료'!$A:$T,ROW()+1,MATCH("시군구",'04A_국토부원자료'!$A$4:$T$4,0)),"")</f>
        <v/>
      </c>
      <c r="C290" s="48">
        <f>IF(B290="","",IFERROR(INDEX('04A_국토부원자료'!$A:$T,ROW()+1,MATCH("번지",'04A_국토부원자료'!$A$4:$T$4,0)),""))</f>
        <v/>
      </c>
      <c r="D290" s="48">
        <f>IF(B290="","",IF(Q290=1,'02_대상물건입력'!$B$8,IFERROR(INDEX('04A_국토부원자료'!$A:$T,ROW()+1,MATCH("단지명",'04A_국토부원자료'!$A$4:$T$4,0)),"")))</f>
        <v/>
      </c>
      <c r="E290" s="172">
        <f>IFERROR(VALUE(SUBSTITUTE(INDEX('04A_국토부원자료'!$A:$T,ROW()+1,MATCH("전용면적(㎡)",'04A_국토부원자료'!$A$4:$T$4,0)),",","")),"")</f>
        <v/>
      </c>
      <c r="F2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0" s="51">
        <f>IFERROR(VALUE(SUBSTITUTE(INDEX('04A_국토부원자료'!$A:$T,ROW()+1,MATCH("거래금액(만원)",'04A_국토부원자료'!$A$4:$T$4,0)),",","")),"")</f>
        <v/>
      </c>
      <c r="H290" s="174">
        <f>IF(G290="","",G290*10000)</f>
        <v/>
      </c>
      <c r="I290" s="174">
        <f>IFERROR(IF(AND(H290&gt;0,E290&gt;0),H290/E290,""),"")</f>
        <v/>
      </c>
      <c r="J290" s="152">
        <f>IFERROR(VALUE(SUBSTITUTE(INDEX('04A_국토부원자료'!$A:$T,ROW()+1,MATCH("층",'04A_국토부원자료'!$A$4:$T$4,0)),",","")),"")</f>
        <v/>
      </c>
      <c r="K290" s="152">
        <f>IFERROR(VALUE(SUBSTITUTE(INDEX('04A_국토부원자료'!$A:$T,ROW()+1,MATCH("건축년도",'04A_국토부원자료'!$A$4:$T$4,0)),",","")),"")</f>
        <v/>
      </c>
      <c r="L290" s="176">
        <f>IFERROR(INDEX('04A_국토부원자료'!$A:$T,ROW()+1,MATCH("도로명",'04A_국토부원자료'!$A$4:$T$4,0)),"")</f>
        <v/>
      </c>
      <c r="M290" s="48">
        <f>IFERROR(INDEX('04A_국토부원자료'!$A:$T,ROW()+1,MATCH("거래유형",'04A_국토부원자료'!$A$4:$T$4,0)),"")</f>
        <v/>
      </c>
      <c r="N290" s="152">
        <f>IF(B290="","",IF('02_대상물건입력'!B5="",1,IF(ISNUMBER(SEARCH('02_대상물건입력'!B5,B290)),1,0)))</f>
        <v/>
      </c>
      <c r="O290" s="152">
        <f>IF(B290="","",IF('02_대상물건입력'!B6="",1,IF(ISNUMBER(SEARCH('02_대상물건입력'!B6,B290)),1,0)))</f>
        <v/>
      </c>
      <c r="P290" s="152">
        <f>IF(L290="","",IF('02_대상물건입력'!B15="",0,IF(ISNUMBER(SEARCH('02_대상물건입력'!B15,L290)),1,0)))</f>
        <v/>
      </c>
      <c r="Q290" s="152">
        <f>IF(OR(C290="",L290=""),0,IF(AND(TRIM(C290)=TRIM(RIGHT(SUBSTITUTE(TRIM('02_대상물건입력'!$B$7)," ",REPT(" ",99)),99)),IF('02_대상물건입력'!B15="",TRUE(),ISNUMBER(SEARCH('02_대상물건입력'!B15,L290)))),1,0))</f>
        <v/>
      </c>
      <c r="R290" s="175">
        <f>IFERROR(ABS(E290-'02_대상물건입력'!B11)/'02_대상물건입력'!B11,"")</f>
        <v/>
      </c>
      <c r="S290" s="152">
        <f>IFERROR(ABS(J290-'02_대상물건입력'!B10),"")</f>
        <v/>
      </c>
      <c r="T290" s="152">
        <f>IFERROR(ABS('01_설정'!B4-F290),"")</f>
        <v/>
      </c>
      <c r="U290" s="152">
        <f>IFERROR(ABS(K290-YEAR('02_대상물건입력'!B14)),"")</f>
        <v/>
      </c>
      <c r="V290" s="152">
        <f>IF(B290="","",IF(AND(E290&gt;0,F290&gt;0,H290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290=1,TRUE()),R290&lt;='01_설정'!B5,S290&lt;='01_설정'!B6,T290&lt;='01_설정'!B7,U290&lt;='01_설정'!B8),"Y",""))</f>
        <v/>
      </c>
      <c r="W290" s="172">
        <f>IF(V290&lt;&gt;"Y","",MAX(0,(1-R290/'01_설정'!B5))*'01_설정'!B14+MAX(0,(1-S290/'01_설정'!B6))*'01_설정'!B15+MAX(0,(1-T290/'01_설정'!B7))*'01_설정'!B16+MAX(0,(1-U290/'01_설정'!B8))*'01_설정'!B17+O290*'01_설정'!B11+Q290*'01_설정'!B12+P290*'01_설정'!B13+IF(Z290="",0,Z290))</f>
        <v/>
      </c>
      <c r="X290" s="152">
        <f>IF(W290="","",1+COUNTIFS($W$4:$W$3003,"&gt;"&amp;W290)+COUNTIFS($W$4:W290,W290)-1)</f>
        <v/>
      </c>
      <c r="Y290" s="175">
        <f>IF(OR(I290="",'02_대상물건입력'!B19="",'02_대상물건입력'!B19&lt;=0),"",ABS(I290-'02_대상물건입력'!B19)/'02_대상물건입력'!B19)</f>
        <v/>
      </c>
      <c r="Z290" s="172">
        <f>IF(OR(Y290="",'01_설정'!B31="",'01_설정'!B31&lt;=0,'01_설정'!B32="",'01_설정'!B32&lt;=0),"",MAX(0,(1-Y290/'01_설정'!B32))*'01_설정'!B31)</f>
        <v/>
      </c>
    </row>
    <row r="291" ht="17.25" customHeight="1">
      <c r="A291" s="152">
        <f>IF(INDEX('04A_국토부원자료'!$A:$A,ROW()+1)="","",ROW()-3)</f>
        <v/>
      </c>
      <c r="B291" s="48">
        <f>IFERROR(INDEX('04A_국토부원자료'!$A:$T,ROW()+1,MATCH("시군구",'04A_국토부원자료'!$A$4:$T$4,0)),"")</f>
        <v/>
      </c>
      <c r="C291" s="48">
        <f>IF(B291="","",IFERROR(INDEX('04A_국토부원자료'!$A:$T,ROW()+1,MATCH("번지",'04A_국토부원자료'!$A$4:$T$4,0)),""))</f>
        <v/>
      </c>
      <c r="D291" s="48">
        <f>IF(B291="","",IF(Q291=1,'02_대상물건입력'!$B$8,IFERROR(INDEX('04A_국토부원자료'!$A:$T,ROW()+1,MATCH("단지명",'04A_국토부원자료'!$A$4:$T$4,0)),"")))</f>
        <v/>
      </c>
      <c r="E291" s="172">
        <f>IFERROR(VALUE(SUBSTITUTE(INDEX('04A_국토부원자료'!$A:$T,ROW()+1,MATCH("전용면적(㎡)",'04A_국토부원자료'!$A$4:$T$4,0)),",","")),"")</f>
        <v/>
      </c>
      <c r="F2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1" s="51">
        <f>IFERROR(VALUE(SUBSTITUTE(INDEX('04A_국토부원자료'!$A:$T,ROW()+1,MATCH("거래금액(만원)",'04A_국토부원자료'!$A$4:$T$4,0)),",","")),"")</f>
        <v/>
      </c>
      <c r="H291" s="174">
        <f>IF(G291="","",G291*10000)</f>
        <v/>
      </c>
      <c r="I291" s="174">
        <f>IFERROR(IF(AND(H291&gt;0,E291&gt;0),H291/E291,""),"")</f>
        <v/>
      </c>
      <c r="J291" s="152">
        <f>IFERROR(VALUE(SUBSTITUTE(INDEX('04A_국토부원자료'!$A:$T,ROW()+1,MATCH("층",'04A_국토부원자료'!$A$4:$T$4,0)),",","")),"")</f>
        <v/>
      </c>
      <c r="K291" s="152">
        <f>IFERROR(VALUE(SUBSTITUTE(INDEX('04A_국토부원자료'!$A:$T,ROW()+1,MATCH("건축년도",'04A_국토부원자료'!$A$4:$T$4,0)),",","")),"")</f>
        <v/>
      </c>
      <c r="L291" s="176">
        <f>IFERROR(INDEX('04A_국토부원자료'!$A:$T,ROW()+1,MATCH("도로명",'04A_국토부원자료'!$A$4:$T$4,0)),"")</f>
        <v/>
      </c>
      <c r="M291" s="48">
        <f>IFERROR(INDEX('04A_국토부원자료'!$A:$T,ROW()+1,MATCH("거래유형",'04A_국토부원자료'!$A$4:$T$4,0)),"")</f>
        <v/>
      </c>
      <c r="N291" s="152">
        <f>IF(B291="","",IF('02_대상물건입력'!B5="",1,IF(ISNUMBER(SEARCH('02_대상물건입력'!B5,B291)),1,0)))</f>
        <v/>
      </c>
      <c r="O291" s="152">
        <f>IF(B291="","",IF('02_대상물건입력'!B6="",1,IF(ISNUMBER(SEARCH('02_대상물건입력'!B6,B291)),1,0)))</f>
        <v/>
      </c>
      <c r="P291" s="152">
        <f>IF(L291="","",IF('02_대상물건입력'!B15="",0,IF(ISNUMBER(SEARCH('02_대상물건입력'!B15,L291)),1,0)))</f>
        <v/>
      </c>
      <c r="Q291" s="152">
        <f>IF(OR(C291="",L291=""),0,IF(AND(TRIM(C291)=TRIM(RIGHT(SUBSTITUTE(TRIM('02_대상물건입력'!$B$7)," ",REPT(" ",99)),99)),IF('02_대상물건입력'!B15="",TRUE(),ISNUMBER(SEARCH('02_대상물건입력'!B15,L291)))),1,0))</f>
        <v/>
      </c>
      <c r="R291" s="175">
        <f>IFERROR(ABS(E291-'02_대상물건입력'!B11)/'02_대상물건입력'!B11,"")</f>
        <v/>
      </c>
      <c r="S291" s="152">
        <f>IFERROR(ABS(J291-'02_대상물건입력'!B10),"")</f>
        <v/>
      </c>
      <c r="T291" s="152">
        <f>IFERROR(ABS('01_설정'!B4-F291),"")</f>
        <v/>
      </c>
      <c r="U291" s="152">
        <f>IFERROR(ABS(K291-YEAR('02_대상물건입력'!B14)),"")</f>
        <v/>
      </c>
      <c r="V291" s="152">
        <f>IF(B291="","",IF(AND(E291&gt;0,F291&gt;0,H291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291=1,TRUE()),R291&lt;='01_설정'!B5,S291&lt;='01_설정'!B6,T291&lt;='01_설정'!B7,U291&lt;='01_설정'!B8),"Y",""))</f>
        <v/>
      </c>
      <c r="W291" s="172">
        <f>IF(V291&lt;&gt;"Y","",MAX(0,(1-R291/'01_설정'!B5))*'01_설정'!B14+MAX(0,(1-S291/'01_설정'!B6))*'01_설정'!B15+MAX(0,(1-T291/'01_설정'!B7))*'01_설정'!B16+MAX(0,(1-U291/'01_설정'!B8))*'01_설정'!B17+O291*'01_설정'!B11+Q291*'01_설정'!B12+P291*'01_설정'!B13+IF(Z291="",0,Z291))</f>
        <v/>
      </c>
      <c r="X291" s="152">
        <f>IF(W291="","",1+COUNTIFS($W$4:$W$3003,"&gt;"&amp;W291)+COUNTIFS($W$4:W291,W291)-1)</f>
        <v/>
      </c>
      <c r="Y291" s="175">
        <f>IF(OR(I291="",'02_대상물건입력'!B19="",'02_대상물건입력'!B19&lt;=0),"",ABS(I291-'02_대상물건입력'!B19)/'02_대상물건입력'!B19)</f>
        <v/>
      </c>
      <c r="Z291" s="172">
        <f>IF(OR(Y291="",'01_설정'!B31="",'01_설정'!B31&lt;=0,'01_설정'!B32="",'01_설정'!B32&lt;=0),"",MAX(0,(1-Y291/'01_설정'!B32))*'01_설정'!B31)</f>
        <v/>
      </c>
    </row>
    <row r="292" ht="17.25" customHeight="1">
      <c r="A292" s="152">
        <f>IF(INDEX('04A_국토부원자료'!$A:$A,ROW()+1)="","",ROW()-3)</f>
        <v/>
      </c>
      <c r="B292" s="48">
        <f>IFERROR(INDEX('04A_국토부원자료'!$A:$T,ROW()+1,MATCH("시군구",'04A_국토부원자료'!$A$4:$T$4,0)),"")</f>
        <v/>
      </c>
      <c r="C292" s="48">
        <f>IF(B292="","",IFERROR(INDEX('04A_국토부원자료'!$A:$T,ROW()+1,MATCH("번지",'04A_국토부원자료'!$A$4:$T$4,0)),""))</f>
        <v/>
      </c>
      <c r="D292" s="48">
        <f>IF(B292="","",IF(Q292=1,'02_대상물건입력'!$B$8,IFERROR(INDEX('04A_국토부원자료'!$A:$T,ROW()+1,MATCH("단지명",'04A_국토부원자료'!$A$4:$T$4,0)),"")))</f>
        <v/>
      </c>
      <c r="E292" s="172">
        <f>IFERROR(VALUE(SUBSTITUTE(INDEX('04A_국토부원자료'!$A:$T,ROW()+1,MATCH("전용면적(㎡)",'04A_국토부원자료'!$A$4:$T$4,0)),",","")),"")</f>
        <v/>
      </c>
      <c r="F2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2" s="51">
        <f>IFERROR(VALUE(SUBSTITUTE(INDEX('04A_국토부원자료'!$A:$T,ROW()+1,MATCH("거래금액(만원)",'04A_국토부원자료'!$A$4:$T$4,0)),",","")),"")</f>
        <v/>
      </c>
      <c r="H292" s="174">
        <f>IF(G292="","",G292*10000)</f>
        <v/>
      </c>
      <c r="I292" s="174">
        <f>IFERROR(IF(AND(H292&gt;0,E292&gt;0),H292/E292,""),"")</f>
        <v/>
      </c>
      <c r="J292" s="152">
        <f>IFERROR(VALUE(SUBSTITUTE(INDEX('04A_국토부원자료'!$A:$T,ROW()+1,MATCH("층",'04A_국토부원자료'!$A$4:$T$4,0)),",","")),"")</f>
        <v/>
      </c>
      <c r="K292" s="152">
        <f>IFERROR(VALUE(SUBSTITUTE(INDEX('04A_국토부원자료'!$A:$T,ROW()+1,MATCH("건축년도",'04A_국토부원자료'!$A$4:$T$4,0)),",","")),"")</f>
        <v/>
      </c>
      <c r="L292" s="176">
        <f>IFERROR(INDEX('04A_국토부원자료'!$A:$T,ROW()+1,MATCH("도로명",'04A_국토부원자료'!$A$4:$T$4,0)),"")</f>
        <v/>
      </c>
      <c r="M292" s="48">
        <f>IFERROR(INDEX('04A_국토부원자료'!$A:$T,ROW()+1,MATCH("거래유형",'04A_국토부원자료'!$A$4:$T$4,0)),"")</f>
        <v/>
      </c>
      <c r="N292" s="152">
        <f>IF(B292="","",IF('02_대상물건입력'!B5="",1,IF(ISNUMBER(SEARCH('02_대상물건입력'!B5,B292)),1,0)))</f>
        <v/>
      </c>
      <c r="O292" s="152">
        <f>IF(B292="","",IF('02_대상물건입력'!B6="",1,IF(ISNUMBER(SEARCH('02_대상물건입력'!B6,B292)),1,0)))</f>
        <v/>
      </c>
      <c r="P292" s="152">
        <f>IF(L292="","",IF('02_대상물건입력'!B15="",0,IF(ISNUMBER(SEARCH('02_대상물건입력'!B15,L292)),1,0)))</f>
        <v/>
      </c>
      <c r="Q292" s="152">
        <f>IF(OR(C292="",L292=""),0,IF(AND(TRIM(C292)=TRIM(RIGHT(SUBSTITUTE(TRIM('02_대상물건입력'!$B$7)," ",REPT(" ",99)),99)),IF('02_대상물건입력'!B15="",TRUE(),ISNUMBER(SEARCH('02_대상물건입력'!B15,L292)))),1,0))</f>
        <v/>
      </c>
      <c r="R292" s="175">
        <f>IFERROR(ABS(E292-'02_대상물건입력'!B11)/'02_대상물건입력'!B11,"")</f>
        <v/>
      </c>
      <c r="S292" s="152">
        <f>IFERROR(ABS(J292-'02_대상물건입력'!B10),"")</f>
        <v/>
      </c>
      <c r="T292" s="152">
        <f>IFERROR(ABS('01_설정'!B4-F292),"")</f>
        <v/>
      </c>
      <c r="U292" s="152">
        <f>IFERROR(ABS(K292-YEAR('02_대상물건입력'!B14)),"")</f>
        <v/>
      </c>
      <c r="V292" s="152">
        <f>IF(B292="","",IF(AND(E292&gt;0,F292&gt;0,H292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292=1,TRUE()),R292&lt;='01_설정'!B5,S292&lt;='01_설정'!B6,T292&lt;='01_설정'!B7,U292&lt;='01_설정'!B8),"Y",""))</f>
        <v/>
      </c>
      <c r="W292" s="172">
        <f>IF(V292&lt;&gt;"Y","",MAX(0,(1-R292/'01_설정'!B5))*'01_설정'!B14+MAX(0,(1-S292/'01_설정'!B6))*'01_설정'!B15+MAX(0,(1-T292/'01_설정'!B7))*'01_설정'!B16+MAX(0,(1-U292/'01_설정'!B8))*'01_설정'!B17+O292*'01_설정'!B11+Q292*'01_설정'!B12+P292*'01_설정'!B13+IF(Z292="",0,Z292))</f>
        <v/>
      </c>
      <c r="X292" s="152">
        <f>IF(W292="","",1+COUNTIFS($W$4:$W$3003,"&gt;"&amp;W292)+COUNTIFS($W$4:W292,W292)-1)</f>
        <v/>
      </c>
      <c r="Y292" s="175">
        <f>IF(OR(I292="",'02_대상물건입력'!B19="",'02_대상물건입력'!B19&lt;=0),"",ABS(I292-'02_대상물건입력'!B19)/'02_대상물건입력'!B19)</f>
        <v/>
      </c>
      <c r="Z292" s="172">
        <f>IF(OR(Y292="",'01_설정'!B31="",'01_설정'!B31&lt;=0,'01_설정'!B32="",'01_설정'!B32&lt;=0),"",MAX(0,(1-Y292/'01_설정'!B32))*'01_설정'!B31)</f>
        <v/>
      </c>
    </row>
    <row r="293" ht="17.25" customHeight="1">
      <c r="A293" s="152">
        <f>IF(INDEX('04A_국토부원자료'!$A:$A,ROW()+1)="","",ROW()-3)</f>
        <v/>
      </c>
      <c r="B293" s="48">
        <f>IFERROR(INDEX('04A_국토부원자료'!$A:$T,ROW()+1,MATCH("시군구",'04A_국토부원자료'!$A$4:$T$4,0)),"")</f>
        <v/>
      </c>
      <c r="C293" s="48">
        <f>IF(B293="","",IFERROR(INDEX('04A_국토부원자료'!$A:$T,ROW()+1,MATCH("번지",'04A_국토부원자료'!$A$4:$T$4,0)),""))</f>
        <v/>
      </c>
      <c r="D293" s="48">
        <f>IF(B293="","",IF(Q293=1,'02_대상물건입력'!$B$8,IFERROR(INDEX('04A_국토부원자료'!$A:$T,ROW()+1,MATCH("단지명",'04A_국토부원자료'!$A$4:$T$4,0)),"")))</f>
        <v/>
      </c>
      <c r="E293" s="172">
        <f>IFERROR(VALUE(SUBSTITUTE(INDEX('04A_국토부원자료'!$A:$T,ROW()+1,MATCH("전용면적(㎡)",'04A_국토부원자료'!$A$4:$T$4,0)),",","")),"")</f>
        <v/>
      </c>
      <c r="F2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3" s="51">
        <f>IFERROR(VALUE(SUBSTITUTE(INDEX('04A_국토부원자료'!$A:$T,ROW()+1,MATCH("거래금액(만원)",'04A_국토부원자료'!$A$4:$T$4,0)),",","")),"")</f>
        <v/>
      </c>
      <c r="H293" s="174">
        <f>IF(G293="","",G293*10000)</f>
        <v/>
      </c>
      <c r="I293" s="174">
        <f>IFERROR(IF(AND(H293&gt;0,E293&gt;0),H293/E293,""),"")</f>
        <v/>
      </c>
      <c r="J293" s="152">
        <f>IFERROR(VALUE(SUBSTITUTE(INDEX('04A_국토부원자료'!$A:$T,ROW()+1,MATCH("층",'04A_국토부원자료'!$A$4:$T$4,0)),",","")),"")</f>
        <v/>
      </c>
      <c r="K293" s="152">
        <f>IFERROR(VALUE(SUBSTITUTE(INDEX('04A_국토부원자료'!$A:$T,ROW()+1,MATCH("건축년도",'04A_국토부원자료'!$A$4:$T$4,0)),",","")),"")</f>
        <v/>
      </c>
      <c r="L293" s="176">
        <f>IFERROR(INDEX('04A_국토부원자료'!$A:$T,ROW()+1,MATCH("도로명",'04A_국토부원자료'!$A$4:$T$4,0)),"")</f>
        <v/>
      </c>
      <c r="M293" s="48">
        <f>IFERROR(INDEX('04A_국토부원자료'!$A:$T,ROW()+1,MATCH("거래유형",'04A_국토부원자료'!$A$4:$T$4,0)),"")</f>
        <v/>
      </c>
      <c r="N293" s="152">
        <f>IF(B293="","",IF('02_대상물건입력'!B5="",1,IF(ISNUMBER(SEARCH('02_대상물건입력'!B5,B293)),1,0)))</f>
        <v/>
      </c>
      <c r="O293" s="152">
        <f>IF(B293="","",IF('02_대상물건입력'!B6="",1,IF(ISNUMBER(SEARCH('02_대상물건입력'!B6,B293)),1,0)))</f>
        <v/>
      </c>
      <c r="P293" s="152">
        <f>IF(L293="","",IF('02_대상물건입력'!B15="",0,IF(ISNUMBER(SEARCH('02_대상물건입력'!B15,L293)),1,0)))</f>
        <v/>
      </c>
      <c r="Q293" s="152">
        <f>IF(OR(C293="",L293=""),0,IF(AND(TRIM(C293)=TRIM(RIGHT(SUBSTITUTE(TRIM('02_대상물건입력'!$B$7)," ",REPT(" ",99)),99)),IF('02_대상물건입력'!B15="",TRUE(),ISNUMBER(SEARCH('02_대상물건입력'!B15,L293)))),1,0))</f>
        <v/>
      </c>
      <c r="R293" s="175">
        <f>IFERROR(ABS(E293-'02_대상물건입력'!B11)/'02_대상물건입력'!B11,"")</f>
        <v/>
      </c>
      <c r="S293" s="152">
        <f>IFERROR(ABS(J293-'02_대상물건입력'!B10),"")</f>
        <v/>
      </c>
      <c r="T293" s="152">
        <f>IFERROR(ABS('01_설정'!B4-F293),"")</f>
        <v/>
      </c>
      <c r="U293" s="152">
        <f>IFERROR(ABS(K293-YEAR('02_대상물건입력'!B14)),"")</f>
        <v/>
      </c>
      <c r="V293" s="152">
        <f>IF(B293="","",IF(AND(E293&gt;0,F293&gt;0,H293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293=1,TRUE()),R293&lt;='01_설정'!B5,S293&lt;='01_설정'!B6,T293&lt;='01_설정'!B7,U293&lt;='01_설정'!B8),"Y",""))</f>
        <v/>
      </c>
      <c r="W293" s="172">
        <f>IF(V293&lt;&gt;"Y","",MAX(0,(1-R293/'01_설정'!B5))*'01_설정'!B14+MAX(0,(1-S293/'01_설정'!B6))*'01_설정'!B15+MAX(0,(1-T293/'01_설정'!B7))*'01_설정'!B16+MAX(0,(1-U293/'01_설정'!B8))*'01_설정'!B17+O293*'01_설정'!B11+Q293*'01_설정'!B12+P293*'01_설정'!B13+IF(Z293="",0,Z293))</f>
        <v/>
      </c>
      <c r="X293" s="152">
        <f>IF(W293="","",1+COUNTIFS($W$4:$W$3003,"&gt;"&amp;W293)+COUNTIFS($W$4:W293,W293)-1)</f>
        <v/>
      </c>
      <c r="Y293" s="175">
        <f>IF(OR(I293="",'02_대상물건입력'!B19="",'02_대상물건입력'!B19&lt;=0),"",ABS(I293-'02_대상물건입력'!B19)/'02_대상물건입력'!B19)</f>
        <v/>
      </c>
      <c r="Z293" s="172">
        <f>IF(OR(Y293="",'01_설정'!B31="",'01_설정'!B31&lt;=0,'01_설정'!B32="",'01_설정'!B32&lt;=0),"",MAX(0,(1-Y293/'01_설정'!B32))*'01_설정'!B31)</f>
        <v/>
      </c>
    </row>
    <row r="294" ht="17.25" customHeight="1">
      <c r="A294" s="152">
        <f>IF(INDEX('04A_국토부원자료'!$A:$A,ROW()+1)="","",ROW()-3)</f>
        <v/>
      </c>
      <c r="B294" s="48">
        <f>IFERROR(INDEX('04A_국토부원자료'!$A:$T,ROW()+1,MATCH("시군구",'04A_국토부원자료'!$A$4:$T$4,0)),"")</f>
        <v/>
      </c>
      <c r="C294" s="48">
        <f>IF(B294="","",IFERROR(INDEX('04A_국토부원자료'!$A:$T,ROW()+1,MATCH("번지",'04A_국토부원자료'!$A$4:$T$4,0)),""))</f>
        <v/>
      </c>
      <c r="D294" s="48">
        <f>IF(B294="","",IF(Q294=1,'02_대상물건입력'!$B$8,IFERROR(INDEX('04A_국토부원자료'!$A:$T,ROW()+1,MATCH("단지명",'04A_국토부원자료'!$A$4:$T$4,0)),"")))</f>
        <v/>
      </c>
      <c r="E294" s="172">
        <f>IFERROR(VALUE(SUBSTITUTE(INDEX('04A_국토부원자료'!$A:$T,ROW()+1,MATCH("전용면적(㎡)",'04A_국토부원자료'!$A$4:$T$4,0)),",","")),"")</f>
        <v/>
      </c>
      <c r="F2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4" s="51">
        <f>IFERROR(VALUE(SUBSTITUTE(INDEX('04A_국토부원자료'!$A:$T,ROW()+1,MATCH("거래금액(만원)",'04A_국토부원자료'!$A$4:$T$4,0)),",","")),"")</f>
        <v/>
      </c>
      <c r="H294" s="174">
        <f>IF(G294="","",G294*10000)</f>
        <v/>
      </c>
      <c r="I294" s="174">
        <f>IFERROR(IF(AND(H294&gt;0,E294&gt;0),H294/E294,""),"")</f>
        <v/>
      </c>
      <c r="J294" s="152">
        <f>IFERROR(VALUE(SUBSTITUTE(INDEX('04A_국토부원자료'!$A:$T,ROW()+1,MATCH("층",'04A_국토부원자료'!$A$4:$T$4,0)),",","")),"")</f>
        <v/>
      </c>
      <c r="K294" s="152">
        <f>IFERROR(VALUE(SUBSTITUTE(INDEX('04A_국토부원자료'!$A:$T,ROW()+1,MATCH("건축년도",'04A_국토부원자료'!$A$4:$T$4,0)),",","")),"")</f>
        <v/>
      </c>
      <c r="L294" s="176">
        <f>IFERROR(INDEX('04A_국토부원자료'!$A:$T,ROW()+1,MATCH("도로명",'04A_국토부원자료'!$A$4:$T$4,0)),"")</f>
        <v/>
      </c>
      <c r="M294" s="48">
        <f>IFERROR(INDEX('04A_국토부원자료'!$A:$T,ROW()+1,MATCH("거래유형",'04A_국토부원자료'!$A$4:$T$4,0)),"")</f>
        <v/>
      </c>
      <c r="N294" s="152">
        <f>IF(B294="","",IF('02_대상물건입력'!B5="",1,IF(ISNUMBER(SEARCH('02_대상물건입력'!B5,B294)),1,0)))</f>
        <v/>
      </c>
      <c r="O294" s="152">
        <f>IF(B294="","",IF('02_대상물건입력'!B6="",1,IF(ISNUMBER(SEARCH('02_대상물건입력'!B6,B294)),1,0)))</f>
        <v/>
      </c>
      <c r="P294" s="152">
        <f>IF(L294="","",IF('02_대상물건입력'!B15="",0,IF(ISNUMBER(SEARCH('02_대상물건입력'!B15,L294)),1,0)))</f>
        <v/>
      </c>
      <c r="Q294" s="152">
        <f>IF(OR(C294="",L294=""),0,IF(AND(TRIM(C294)=TRIM(RIGHT(SUBSTITUTE(TRIM('02_대상물건입력'!$B$7)," ",REPT(" ",99)),99)),IF('02_대상물건입력'!B15="",TRUE(),ISNUMBER(SEARCH('02_대상물건입력'!B15,L294)))),1,0))</f>
        <v/>
      </c>
      <c r="R294" s="175">
        <f>IFERROR(ABS(E294-'02_대상물건입력'!B11)/'02_대상물건입력'!B11,"")</f>
        <v/>
      </c>
      <c r="S294" s="152">
        <f>IFERROR(ABS(J294-'02_대상물건입력'!B10),"")</f>
        <v/>
      </c>
      <c r="T294" s="152">
        <f>IFERROR(ABS('01_설정'!B4-F294),"")</f>
        <v/>
      </c>
      <c r="U294" s="152">
        <f>IFERROR(ABS(K294-YEAR('02_대상물건입력'!B14)),"")</f>
        <v/>
      </c>
      <c r="V294" s="152">
        <f>IF(B294="","",IF(AND(E294&gt;0,F294&gt;0,H294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294=1,TRUE()),R294&lt;='01_설정'!B5,S294&lt;='01_설정'!B6,T294&lt;='01_설정'!B7,U294&lt;='01_설정'!B8),"Y",""))</f>
        <v/>
      </c>
      <c r="W294" s="172">
        <f>IF(V294&lt;&gt;"Y","",MAX(0,(1-R294/'01_설정'!B5))*'01_설정'!B14+MAX(0,(1-S294/'01_설정'!B6))*'01_설정'!B15+MAX(0,(1-T294/'01_설정'!B7))*'01_설정'!B16+MAX(0,(1-U294/'01_설정'!B8))*'01_설정'!B17+O294*'01_설정'!B11+Q294*'01_설정'!B12+P294*'01_설정'!B13+IF(Z294="",0,Z294))</f>
        <v/>
      </c>
      <c r="X294" s="152">
        <f>IF(W294="","",1+COUNTIFS($W$4:$W$3003,"&gt;"&amp;W294)+COUNTIFS($W$4:W294,W294)-1)</f>
        <v/>
      </c>
      <c r="Y294" s="175">
        <f>IF(OR(I294="",'02_대상물건입력'!B19="",'02_대상물건입력'!B19&lt;=0),"",ABS(I294-'02_대상물건입력'!B19)/'02_대상물건입력'!B19)</f>
        <v/>
      </c>
      <c r="Z294" s="172">
        <f>IF(OR(Y294="",'01_설정'!B31="",'01_설정'!B31&lt;=0,'01_설정'!B32="",'01_설정'!B32&lt;=0),"",MAX(0,(1-Y294/'01_설정'!B32))*'01_설정'!B31)</f>
        <v/>
      </c>
    </row>
    <row r="295" ht="17.25" customHeight="1">
      <c r="A295" s="152">
        <f>IF(INDEX('04A_국토부원자료'!$A:$A,ROW()+1)="","",ROW()-3)</f>
        <v/>
      </c>
      <c r="B295" s="48">
        <f>IFERROR(INDEX('04A_국토부원자료'!$A:$T,ROW()+1,MATCH("시군구",'04A_국토부원자료'!$A$4:$T$4,0)),"")</f>
        <v/>
      </c>
      <c r="C295" s="48">
        <f>IF(B295="","",IFERROR(INDEX('04A_국토부원자료'!$A:$T,ROW()+1,MATCH("번지",'04A_국토부원자료'!$A$4:$T$4,0)),""))</f>
        <v/>
      </c>
      <c r="D295" s="48">
        <f>IF(B295="","",IF(Q295=1,'02_대상물건입력'!$B$8,IFERROR(INDEX('04A_국토부원자료'!$A:$T,ROW()+1,MATCH("단지명",'04A_국토부원자료'!$A$4:$T$4,0)),"")))</f>
        <v/>
      </c>
      <c r="E295" s="172">
        <f>IFERROR(VALUE(SUBSTITUTE(INDEX('04A_국토부원자료'!$A:$T,ROW()+1,MATCH("전용면적(㎡)",'04A_국토부원자료'!$A$4:$T$4,0)),",","")),"")</f>
        <v/>
      </c>
      <c r="F2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5" s="51">
        <f>IFERROR(VALUE(SUBSTITUTE(INDEX('04A_국토부원자료'!$A:$T,ROW()+1,MATCH("거래금액(만원)",'04A_국토부원자료'!$A$4:$T$4,0)),",","")),"")</f>
        <v/>
      </c>
      <c r="H295" s="174">
        <f>IF(G295="","",G295*10000)</f>
        <v/>
      </c>
      <c r="I295" s="174">
        <f>IFERROR(IF(AND(H295&gt;0,E295&gt;0),H295/E295,""),"")</f>
        <v/>
      </c>
      <c r="J295" s="152">
        <f>IFERROR(VALUE(SUBSTITUTE(INDEX('04A_국토부원자료'!$A:$T,ROW()+1,MATCH("층",'04A_국토부원자료'!$A$4:$T$4,0)),",","")),"")</f>
        <v/>
      </c>
      <c r="K295" s="152">
        <f>IFERROR(VALUE(SUBSTITUTE(INDEX('04A_국토부원자료'!$A:$T,ROW()+1,MATCH("건축년도",'04A_국토부원자료'!$A$4:$T$4,0)),",","")),"")</f>
        <v/>
      </c>
      <c r="L295" s="176">
        <f>IFERROR(INDEX('04A_국토부원자료'!$A:$T,ROW()+1,MATCH("도로명",'04A_국토부원자료'!$A$4:$T$4,0)),"")</f>
        <v/>
      </c>
      <c r="M295" s="48">
        <f>IFERROR(INDEX('04A_국토부원자료'!$A:$T,ROW()+1,MATCH("거래유형",'04A_국토부원자료'!$A$4:$T$4,0)),"")</f>
        <v/>
      </c>
      <c r="N295" s="152">
        <f>IF(B295="","",IF('02_대상물건입력'!B5="",1,IF(ISNUMBER(SEARCH('02_대상물건입력'!B5,B295)),1,0)))</f>
        <v/>
      </c>
      <c r="O295" s="152">
        <f>IF(B295="","",IF('02_대상물건입력'!B6="",1,IF(ISNUMBER(SEARCH('02_대상물건입력'!B6,B295)),1,0)))</f>
        <v/>
      </c>
      <c r="P295" s="152">
        <f>IF(L295="","",IF('02_대상물건입력'!B15="",0,IF(ISNUMBER(SEARCH('02_대상물건입력'!B15,L295)),1,0)))</f>
        <v/>
      </c>
      <c r="Q295" s="152">
        <f>IF(OR(C295="",L295=""),0,IF(AND(TRIM(C295)=TRIM(RIGHT(SUBSTITUTE(TRIM('02_대상물건입력'!$B$7)," ",REPT(" ",99)),99)),IF('02_대상물건입력'!B15="",TRUE(),ISNUMBER(SEARCH('02_대상물건입력'!B15,L295)))),1,0))</f>
        <v/>
      </c>
      <c r="R295" s="175">
        <f>IFERROR(ABS(E295-'02_대상물건입력'!B11)/'02_대상물건입력'!B11,"")</f>
        <v/>
      </c>
      <c r="S295" s="152">
        <f>IFERROR(ABS(J295-'02_대상물건입력'!B10),"")</f>
        <v/>
      </c>
      <c r="T295" s="152">
        <f>IFERROR(ABS('01_설정'!B4-F295),"")</f>
        <v/>
      </c>
      <c r="U295" s="152">
        <f>IFERROR(ABS(K295-YEAR('02_대상물건입력'!B14)),"")</f>
        <v/>
      </c>
      <c r="V295" s="152">
        <f>IF(B295="","",IF(AND(E295&gt;0,F295&gt;0,H295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295=1,TRUE()),R295&lt;='01_설정'!B5,S295&lt;='01_설정'!B6,T295&lt;='01_설정'!B7,U295&lt;='01_설정'!B8),"Y",""))</f>
        <v/>
      </c>
      <c r="W295" s="172">
        <f>IF(V295&lt;&gt;"Y","",MAX(0,(1-R295/'01_설정'!B5))*'01_설정'!B14+MAX(0,(1-S295/'01_설정'!B6))*'01_설정'!B15+MAX(0,(1-T295/'01_설정'!B7))*'01_설정'!B16+MAX(0,(1-U295/'01_설정'!B8))*'01_설정'!B17+O295*'01_설정'!B11+Q295*'01_설정'!B12+P295*'01_설정'!B13+IF(Z295="",0,Z295))</f>
        <v/>
      </c>
      <c r="X295" s="152">
        <f>IF(W295="","",1+COUNTIFS($W$4:$W$3003,"&gt;"&amp;W295)+COUNTIFS($W$4:W295,W295)-1)</f>
        <v/>
      </c>
      <c r="Y295" s="175">
        <f>IF(OR(I295="",'02_대상물건입력'!B19="",'02_대상물건입력'!B19&lt;=0),"",ABS(I295-'02_대상물건입력'!B19)/'02_대상물건입력'!B19)</f>
        <v/>
      </c>
      <c r="Z295" s="172">
        <f>IF(OR(Y295="",'01_설정'!B31="",'01_설정'!B31&lt;=0,'01_설정'!B32="",'01_설정'!B32&lt;=0),"",MAX(0,(1-Y295/'01_설정'!B32))*'01_설정'!B31)</f>
        <v/>
      </c>
    </row>
    <row r="296" ht="17.25" customHeight="1">
      <c r="A296" s="152">
        <f>IF(INDEX('04A_국토부원자료'!$A:$A,ROW()+1)="","",ROW()-3)</f>
        <v/>
      </c>
      <c r="B296" s="48">
        <f>IFERROR(INDEX('04A_국토부원자료'!$A:$T,ROW()+1,MATCH("시군구",'04A_국토부원자료'!$A$4:$T$4,0)),"")</f>
        <v/>
      </c>
      <c r="C296" s="48">
        <f>IF(B296="","",IFERROR(INDEX('04A_국토부원자료'!$A:$T,ROW()+1,MATCH("번지",'04A_국토부원자료'!$A$4:$T$4,0)),""))</f>
        <v/>
      </c>
      <c r="D296" s="48">
        <f>IF(B296="","",IF(Q296=1,'02_대상물건입력'!$B$8,IFERROR(INDEX('04A_국토부원자료'!$A:$T,ROW()+1,MATCH("단지명",'04A_국토부원자료'!$A$4:$T$4,0)),"")))</f>
        <v/>
      </c>
      <c r="E296" s="172">
        <f>IFERROR(VALUE(SUBSTITUTE(INDEX('04A_국토부원자료'!$A:$T,ROW()+1,MATCH("전용면적(㎡)",'04A_국토부원자료'!$A$4:$T$4,0)),",","")),"")</f>
        <v/>
      </c>
      <c r="F2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6" s="51">
        <f>IFERROR(VALUE(SUBSTITUTE(INDEX('04A_국토부원자료'!$A:$T,ROW()+1,MATCH("거래금액(만원)",'04A_국토부원자료'!$A$4:$T$4,0)),",","")),"")</f>
        <v/>
      </c>
      <c r="H296" s="174">
        <f>IF(G296="","",G296*10000)</f>
        <v/>
      </c>
      <c r="I296" s="174">
        <f>IFERROR(IF(AND(H296&gt;0,E296&gt;0),H296/E296,""),"")</f>
        <v/>
      </c>
      <c r="J296" s="152">
        <f>IFERROR(VALUE(SUBSTITUTE(INDEX('04A_국토부원자료'!$A:$T,ROW()+1,MATCH("층",'04A_국토부원자료'!$A$4:$T$4,0)),",","")),"")</f>
        <v/>
      </c>
      <c r="K296" s="152">
        <f>IFERROR(VALUE(SUBSTITUTE(INDEX('04A_국토부원자료'!$A:$T,ROW()+1,MATCH("건축년도",'04A_국토부원자료'!$A$4:$T$4,0)),",","")),"")</f>
        <v/>
      </c>
      <c r="L296" s="176">
        <f>IFERROR(INDEX('04A_국토부원자료'!$A:$T,ROW()+1,MATCH("도로명",'04A_국토부원자료'!$A$4:$T$4,0)),"")</f>
        <v/>
      </c>
      <c r="M296" s="48">
        <f>IFERROR(INDEX('04A_국토부원자료'!$A:$T,ROW()+1,MATCH("거래유형",'04A_국토부원자료'!$A$4:$T$4,0)),"")</f>
        <v/>
      </c>
      <c r="N296" s="152">
        <f>IF(B296="","",IF('02_대상물건입력'!B5="",1,IF(ISNUMBER(SEARCH('02_대상물건입력'!B5,B296)),1,0)))</f>
        <v/>
      </c>
      <c r="O296" s="152">
        <f>IF(B296="","",IF('02_대상물건입력'!B6="",1,IF(ISNUMBER(SEARCH('02_대상물건입력'!B6,B296)),1,0)))</f>
        <v/>
      </c>
      <c r="P296" s="152">
        <f>IF(L296="","",IF('02_대상물건입력'!B15="",0,IF(ISNUMBER(SEARCH('02_대상물건입력'!B15,L296)),1,0)))</f>
        <v/>
      </c>
      <c r="Q296" s="152">
        <f>IF(OR(C296="",L296=""),0,IF(AND(TRIM(C296)=TRIM(RIGHT(SUBSTITUTE(TRIM('02_대상물건입력'!$B$7)," ",REPT(" ",99)),99)),IF('02_대상물건입력'!B15="",TRUE(),ISNUMBER(SEARCH('02_대상물건입력'!B15,L296)))),1,0))</f>
        <v/>
      </c>
      <c r="R296" s="175">
        <f>IFERROR(ABS(E296-'02_대상물건입력'!B11)/'02_대상물건입력'!B11,"")</f>
        <v/>
      </c>
      <c r="S296" s="152">
        <f>IFERROR(ABS(J296-'02_대상물건입력'!B10),"")</f>
        <v/>
      </c>
      <c r="T296" s="152">
        <f>IFERROR(ABS('01_설정'!B4-F296),"")</f>
        <v/>
      </c>
      <c r="U296" s="152">
        <f>IFERROR(ABS(K296-YEAR('02_대상물건입력'!B14)),"")</f>
        <v/>
      </c>
      <c r="V296" s="152">
        <f>IF(B296="","",IF(AND(E296&gt;0,F296&gt;0,H296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296=1,TRUE()),R296&lt;='01_설정'!B5,S296&lt;='01_설정'!B6,T296&lt;='01_설정'!B7,U296&lt;='01_설정'!B8),"Y",""))</f>
        <v/>
      </c>
      <c r="W296" s="172">
        <f>IF(V296&lt;&gt;"Y","",MAX(0,(1-R296/'01_설정'!B5))*'01_설정'!B14+MAX(0,(1-S296/'01_설정'!B6))*'01_설정'!B15+MAX(0,(1-T296/'01_설정'!B7))*'01_설정'!B16+MAX(0,(1-U296/'01_설정'!B8))*'01_설정'!B17+O296*'01_설정'!B11+Q296*'01_설정'!B12+P296*'01_설정'!B13+IF(Z296="",0,Z296))</f>
        <v/>
      </c>
      <c r="X296" s="152">
        <f>IF(W296="","",1+COUNTIFS($W$4:$W$3003,"&gt;"&amp;W296)+COUNTIFS($W$4:W296,W296)-1)</f>
        <v/>
      </c>
      <c r="Y296" s="175">
        <f>IF(OR(I296="",'02_대상물건입력'!B19="",'02_대상물건입력'!B19&lt;=0),"",ABS(I296-'02_대상물건입력'!B19)/'02_대상물건입력'!B19)</f>
        <v/>
      </c>
      <c r="Z296" s="172">
        <f>IF(OR(Y296="",'01_설정'!B31="",'01_설정'!B31&lt;=0,'01_설정'!B32="",'01_설정'!B32&lt;=0),"",MAX(0,(1-Y296/'01_설정'!B32))*'01_설정'!B31)</f>
        <v/>
      </c>
    </row>
    <row r="297" ht="17.25" customHeight="1">
      <c r="A297" s="152">
        <f>IF(INDEX('04A_국토부원자료'!$A:$A,ROW()+1)="","",ROW()-3)</f>
        <v/>
      </c>
      <c r="B297" s="48">
        <f>IFERROR(INDEX('04A_국토부원자료'!$A:$T,ROW()+1,MATCH("시군구",'04A_국토부원자료'!$A$4:$T$4,0)),"")</f>
        <v/>
      </c>
      <c r="C297" s="48">
        <f>IF(B297="","",IFERROR(INDEX('04A_국토부원자료'!$A:$T,ROW()+1,MATCH("번지",'04A_국토부원자료'!$A$4:$T$4,0)),""))</f>
        <v/>
      </c>
      <c r="D297" s="48">
        <f>IF(B297="","",IF(Q297=1,'02_대상물건입력'!$B$8,IFERROR(INDEX('04A_국토부원자료'!$A:$T,ROW()+1,MATCH("단지명",'04A_국토부원자료'!$A$4:$T$4,0)),"")))</f>
        <v/>
      </c>
      <c r="E297" s="172">
        <f>IFERROR(VALUE(SUBSTITUTE(INDEX('04A_국토부원자료'!$A:$T,ROW()+1,MATCH("전용면적(㎡)",'04A_국토부원자료'!$A$4:$T$4,0)),",","")),"")</f>
        <v/>
      </c>
      <c r="F2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7" s="51">
        <f>IFERROR(VALUE(SUBSTITUTE(INDEX('04A_국토부원자료'!$A:$T,ROW()+1,MATCH("거래금액(만원)",'04A_국토부원자료'!$A$4:$T$4,0)),",","")),"")</f>
        <v/>
      </c>
      <c r="H297" s="174">
        <f>IF(G297="","",G297*10000)</f>
        <v/>
      </c>
      <c r="I297" s="174">
        <f>IFERROR(IF(AND(H297&gt;0,E297&gt;0),H297/E297,""),"")</f>
        <v/>
      </c>
      <c r="J297" s="152">
        <f>IFERROR(VALUE(SUBSTITUTE(INDEX('04A_국토부원자료'!$A:$T,ROW()+1,MATCH("층",'04A_국토부원자료'!$A$4:$T$4,0)),",","")),"")</f>
        <v/>
      </c>
      <c r="K297" s="152">
        <f>IFERROR(VALUE(SUBSTITUTE(INDEX('04A_국토부원자료'!$A:$T,ROW()+1,MATCH("건축년도",'04A_국토부원자료'!$A$4:$T$4,0)),",","")),"")</f>
        <v/>
      </c>
      <c r="L297" s="176">
        <f>IFERROR(INDEX('04A_국토부원자료'!$A:$T,ROW()+1,MATCH("도로명",'04A_국토부원자료'!$A$4:$T$4,0)),"")</f>
        <v/>
      </c>
      <c r="M297" s="48">
        <f>IFERROR(INDEX('04A_국토부원자료'!$A:$T,ROW()+1,MATCH("거래유형",'04A_국토부원자료'!$A$4:$T$4,0)),"")</f>
        <v/>
      </c>
      <c r="N297" s="152">
        <f>IF(B297="","",IF('02_대상물건입력'!B5="",1,IF(ISNUMBER(SEARCH('02_대상물건입력'!B5,B297)),1,0)))</f>
        <v/>
      </c>
      <c r="O297" s="152">
        <f>IF(B297="","",IF('02_대상물건입력'!B6="",1,IF(ISNUMBER(SEARCH('02_대상물건입력'!B6,B297)),1,0)))</f>
        <v/>
      </c>
      <c r="P297" s="152">
        <f>IF(L297="","",IF('02_대상물건입력'!B15="",0,IF(ISNUMBER(SEARCH('02_대상물건입력'!B15,L297)),1,0)))</f>
        <v/>
      </c>
      <c r="Q297" s="152">
        <f>IF(OR(C297="",L297=""),0,IF(AND(TRIM(C297)=TRIM(RIGHT(SUBSTITUTE(TRIM('02_대상물건입력'!$B$7)," ",REPT(" ",99)),99)),IF('02_대상물건입력'!B15="",TRUE(),ISNUMBER(SEARCH('02_대상물건입력'!B15,L297)))),1,0))</f>
        <v/>
      </c>
      <c r="R297" s="175">
        <f>IFERROR(ABS(E297-'02_대상물건입력'!B11)/'02_대상물건입력'!B11,"")</f>
        <v/>
      </c>
      <c r="S297" s="152">
        <f>IFERROR(ABS(J297-'02_대상물건입력'!B10),"")</f>
        <v/>
      </c>
      <c r="T297" s="152">
        <f>IFERROR(ABS('01_설정'!B4-F297),"")</f>
        <v/>
      </c>
      <c r="U297" s="152">
        <f>IFERROR(ABS(K297-YEAR('02_대상물건입력'!B14)),"")</f>
        <v/>
      </c>
      <c r="V297" s="152">
        <f>IF(B297="","",IF(AND(E297&gt;0,F297&gt;0,H297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297=1,TRUE()),R297&lt;='01_설정'!B5,S297&lt;='01_설정'!B6,T297&lt;='01_설정'!B7,U297&lt;='01_설정'!B8),"Y",""))</f>
        <v/>
      </c>
      <c r="W297" s="172">
        <f>IF(V297&lt;&gt;"Y","",MAX(0,(1-R297/'01_설정'!B5))*'01_설정'!B14+MAX(0,(1-S297/'01_설정'!B6))*'01_설정'!B15+MAX(0,(1-T297/'01_설정'!B7))*'01_설정'!B16+MAX(0,(1-U297/'01_설정'!B8))*'01_설정'!B17+O297*'01_설정'!B11+Q297*'01_설정'!B12+P297*'01_설정'!B13+IF(Z297="",0,Z297))</f>
        <v/>
      </c>
      <c r="X297" s="152">
        <f>IF(W297="","",1+COUNTIFS($W$4:$W$3003,"&gt;"&amp;W297)+COUNTIFS($W$4:W297,W297)-1)</f>
        <v/>
      </c>
      <c r="Y297" s="175">
        <f>IF(OR(I297="",'02_대상물건입력'!B19="",'02_대상물건입력'!B19&lt;=0),"",ABS(I297-'02_대상물건입력'!B19)/'02_대상물건입력'!B19)</f>
        <v/>
      </c>
      <c r="Z297" s="172">
        <f>IF(OR(Y297="",'01_설정'!B31="",'01_설정'!B31&lt;=0,'01_설정'!B32="",'01_설정'!B32&lt;=0),"",MAX(0,(1-Y297/'01_설정'!B32))*'01_설정'!B31)</f>
        <v/>
      </c>
    </row>
    <row r="298" ht="17.25" customHeight="1">
      <c r="A298" s="152">
        <f>IF(INDEX('04A_국토부원자료'!$A:$A,ROW()+1)="","",ROW()-3)</f>
        <v/>
      </c>
      <c r="B298" s="48">
        <f>IFERROR(INDEX('04A_국토부원자료'!$A:$T,ROW()+1,MATCH("시군구",'04A_국토부원자료'!$A$4:$T$4,0)),"")</f>
        <v/>
      </c>
      <c r="C298" s="48">
        <f>IF(B298="","",IFERROR(INDEX('04A_국토부원자료'!$A:$T,ROW()+1,MATCH("번지",'04A_국토부원자료'!$A$4:$T$4,0)),""))</f>
        <v/>
      </c>
      <c r="D298" s="48">
        <f>IF(B298="","",IF(Q298=1,'02_대상물건입력'!$B$8,IFERROR(INDEX('04A_국토부원자료'!$A:$T,ROW()+1,MATCH("단지명",'04A_국토부원자료'!$A$4:$T$4,0)),"")))</f>
        <v/>
      </c>
      <c r="E298" s="172">
        <f>IFERROR(VALUE(SUBSTITUTE(INDEX('04A_국토부원자료'!$A:$T,ROW()+1,MATCH("전용면적(㎡)",'04A_국토부원자료'!$A$4:$T$4,0)),",","")),"")</f>
        <v/>
      </c>
      <c r="F2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8" s="51">
        <f>IFERROR(VALUE(SUBSTITUTE(INDEX('04A_국토부원자료'!$A:$T,ROW()+1,MATCH("거래금액(만원)",'04A_국토부원자료'!$A$4:$T$4,0)),",","")),"")</f>
        <v/>
      </c>
      <c r="H298" s="174">
        <f>IF(G298="","",G298*10000)</f>
        <v/>
      </c>
      <c r="I298" s="174">
        <f>IFERROR(IF(AND(H298&gt;0,E298&gt;0),H298/E298,""),"")</f>
        <v/>
      </c>
      <c r="J298" s="152">
        <f>IFERROR(VALUE(SUBSTITUTE(INDEX('04A_국토부원자료'!$A:$T,ROW()+1,MATCH("층",'04A_국토부원자료'!$A$4:$T$4,0)),",","")),"")</f>
        <v/>
      </c>
      <c r="K298" s="152">
        <f>IFERROR(VALUE(SUBSTITUTE(INDEX('04A_국토부원자료'!$A:$T,ROW()+1,MATCH("건축년도",'04A_국토부원자료'!$A$4:$T$4,0)),",","")),"")</f>
        <v/>
      </c>
      <c r="L298" s="176">
        <f>IFERROR(INDEX('04A_국토부원자료'!$A:$T,ROW()+1,MATCH("도로명",'04A_국토부원자료'!$A$4:$T$4,0)),"")</f>
        <v/>
      </c>
      <c r="M298" s="48">
        <f>IFERROR(INDEX('04A_국토부원자료'!$A:$T,ROW()+1,MATCH("거래유형",'04A_국토부원자료'!$A$4:$T$4,0)),"")</f>
        <v/>
      </c>
      <c r="N298" s="152">
        <f>IF(B298="","",IF('02_대상물건입력'!B5="",1,IF(ISNUMBER(SEARCH('02_대상물건입력'!B5,B298)),1,0)))</f>
        <v/>
      </c>
      <c r="O298" s="152">
        <f>IF(B298="","",IF('02_대상물건입력'!B6="",1,IF(ISNUMBER(SEARCH('02_대상물건입력'!B6,B298)),1,0)))</f>
        <v/>
      </c>
      <c r="P298" s="152">
        <f>IF(L298="","",IF('02_대상물건입력'!B15="",0,IF(ISNUMBER(SEARCH('02_대상물건입력'!B15,L298)),1,0)))</f>
        <v/>
      </c>
      <c r="Q298" s="152">
        <f>IF(OR(C298="",L298=""),0,IF(AND(TRIM(C298)=TRIM(RIGHT(SUBSTITUTE(TRIM('02_대상물건입력'!$B$7)," ",REPT(" ",99)),99)),IF('02_대상물건입력'!B15="",TRUE(),ISNUMBER(SEARCH('02_대상물건입력'!B15,L298)))),1,0))</f>
        <v/>
      </c>
      <c r="R298" s="175">
        <f>IFERROR(ABS(E298-'02_대상물건입력'!B11)/'02_대상물건입력'!B11,"")</f>
        <v/>
      </c>
      <c r="S298" s="152">
        <f>IFERROR(ABS(J298-'02_대상물건입력'!B10),"")</f>
        <v/>
      </c>
      <c r="T298" s="152">
        <f>IFERROR(ABS('01_설정'!B4-F298),"")</f>
        <v/>
      </c>
      <c r="U298" s="152">
        <f>IFERROR(ABS(K298-YEAR('02_대상물건입력'!B14)),"")</f>
        <v/>
      </c>
      <c r="V298" s="152">
        <f>IF(B298="","",IF(AND(E298&gt;0,F298&gt;0,H298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298=1,TRUE()),R298&lt;='01_설정'!B5,S298&lt;='01_설정'!B6,T298&lt;='01_설정'!B7,U298&lt;='01_설정'!B8),"Y",""))</f>
        <v/>
      </c>
      <c r="W298" s="172">
        <f>IF(V298&lt;&gt;"Y","",MAX(0,(1-R298/'01_설정'!B5))*'01_설정'!B14+MAX(0,(1-S298/'01_설정'!B6))*'01_설정'!B15+MAX(0,(1-T298/'01_설정'!B7))*'01_설정'!B16+MAX(0,(1-U298/'01_설정'!B8))*'01_설정'!B17+O298*'01_설정'!B11+Q298*'01_설정'!B12+P298*'01_설정'!B13+IF(Z298="",0,Z298))</f>
        <v/>
      </c>
      <c r="X298" s="152">
        <f>IF(W298="","",1+COUNTIFS($W$4:$W$3003,"&gt;"&amp;W298)+COUNTIFS($W$4:W298,W298)-1)</f>
        <v/>
      </c>
      <c r="Y298" s="175">
        <f>IF(OR(I298="",'02_대상물건입력'!B19="",'02_대상물건입력'!B19&lt;=0),"",ABS(I298-'02_대상물건입력'!B19)/'02_대상물건입력'!B19)</f>
        <v/>
      </c>
      <c r="Z298" s="172">
        <f>IF(OR(Y298="",'01_설정'!B31="",'01_설정'!B31&lt;=0,'01_설정'!B32="",'01_설정'!B32&lt;=0),"",MAX(0,(1-Y298/'01_설정'!B32))*'01_설정'!B31)</f>
        <v/>
      </c>
    </row>
    <row r="299" ht="17.25" customHeight="1">
      <c r="A299" s="152">
        <f>IF(INDEX('04A_국토부원자료'!$A:$A,ROW()+1)="","",ROW()-3)</f>
        <v/>
      </c>
      <c r="B299" s="48">
        <f>IFERROR(INDEX('04A_국토부원자료'!$A:$T,ROW()+1,MATCH("시군구",'04A_국토부원자료'!$A$4:$T$4,0)),"")</f>
        <v/>
      </c>
      <c r="C299" s="48">
        <f>IF(B299="","",IFERROR(INDEX('04A_국토부원자료'!$A:$T,ROW()+1,MATCH("번지",'04A_국토부원자료'!$A$4:$T$4,0)),""))</f>
        <v/>
      </c>
      <c r="D299" s="48">
        <f>IF(B299="","",IF(Q299=1,'02_대상물건입력'!$B$8,IFERROR(INDEX('04A_국토부원자료'!$A:$T,ROW()+1,MATCH("단지명",'04A_국토부원자료'!$A$4:$T$4,0)),"")))</f>
        <v/>
      </c>
      <c r="E299" s="172">
        <f>IFERROR(VALUE(SUBSTITUTE(INDEX('04A_국토부원자료'!$A:$T,ROW()+1,MATCH("전용면적(㎡)",'04A_국토부원자료'!$A$4:$T$4,0)),",","")),"")</f>
        <v/>
      </c>
      <c r="F2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9" s="51">
        <f>IFERROR(VALUE(SUBSTITUTE(INDEX('04A_국토부원자료'!$A:$T,ROW()+1,MATCH("거래금액(만원)",'04A_국토부원자료'!$A$4:$T$4,0)),",","")),"")</f>
        <v/>
      </c>
      <c r="H299" s="174">
        <f>IF(G299="","",G299*10000)</f>
        <v/>
      </c>
      <c r="I299" s="174">
        <f>IFERROR(IF(AND(H299&gt;0,E299&gt;0),H299/E299,""),"")</f>
        <v/>
      </c>
      <c r="J299" s="152">
        <f>IFERROR(VALUE(SUBSTITUTE(INDEX('04A_국토부원자료'!$A:$T,ROW()+1,MATCH("층",'04A_국토부원자료'!$A$4:$T$4,0)),",","")),"")</f>
        <v/>
      </c>
      <c r="K299" s="152">
        <f>IFERROR(VALUE(SUBSTITUTE(INDEX('04A_국토부원자료'!$A:$T,ROW()+1,MATCH("건축년도",'04A_국토부원자료'!$A$4:$T$4,0)),",","")),"")</f>
        <v/>
      </c>
      <c r="L299" s="176">
        <f>IFERROR(INDEX('04A_국토부원자료'!$A:$T,ROW()+1,MATCH("도로명",'04A_국토부원자료'!$A$4:$T$4,0)),"")</f>
        <v/>
      </c>
      <c r="M299" s="48">
        <f>IFERROR(INDEX('04A_국토부원자료'!$A:$T,ROW()+1,MATCH("거래유형",'04A_국토부원자료'!$A$4:$T$4,0)),"")</f>
        <v/>
      </c>
      <c r="N299" s="152">
        <f>IF(B299="","",IF('02_대상물건입력'!B5="",1,IF(ISNUMBER(SEARCH('02_대상물건입력'!B5,B299)),1,0)))</f>
        <v/>
      </c>
      <c r="O299" s="152">
        <f>IF(B299="","",IF('02_대상물건입력'!B6="",1,IF(ISNUMBER(SEARCH('02_대상물건입력'!B6,B299)),1,0)))</f>
        <v/>
      </c>
      <c r="P299" s="152">
        <f>IF(L299="","",IF('02_대상물건입력'!B15="",0,IF(ISNUMBER(SEARCH('02_대상물건입력'!B15,L299)),1,0)))</f>
        <v/>
      </c>
      <c r="Q299" s="152">
        <f>IF(OR(C299="",L299=""),0,IF(AND(TRIM(C299)=TRIM(RIGHT(SUBSTITUTE(TRIM('02_대상물건입력'!$B$7)," ",REPT(" ",99)),99)),IF('02_대상물건입력'!B15="",TRUE(),ISNUMBER(SEARCH('02_대상물건입력'!B15,L299)))),1,0))</f>
        <v/>
      </c>
      <c r="R299" s="175">
        <f>IFERROR(ABS(E299-'02_대상물건입력'!B11)/'02_대상물건입력'!B11,"")</f>
        <v/>
      </c>
      <c r="S299" s="152">
        <f>IFERROR(ABS(J299-'02_대상물건입력'!B10),"")</f>
        <v/>
      </c>
      <c r="T299" s="152">
        <f>IFERROR(ABS('01_설정'!B4-F299),"")</f>
        <v/>
      </c>
      <c r="U299" s="152">
        <f>IFERROR(ABS(K299-YEAR('02_대상물건입력'!B14)),"")</f>
        <v/>
      </c>
      <c r="V299" s="152">
        <f>IF(B299="","",IF(AND(E299&gt;0,F299&gt;0,H299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299=1,TRUE()),R299&lt;='01_설정'!B5,S299&lt;='01_설정'!B6,T299&lt;='01_설정'!B7,U299&lt;='01_설정'!B8),"Y",""))</f>
        <v/>
      </c>
      <c r="W299" s="172">
        <f>IF(V299&lt;&gt;"Y","",MAX(0,(1-R299/'01_설정'!B5))*'01_설정'!B14+MAX(0,(1-S299/'01_설정'!B6))*'01_설정'!B15+MAX(0,(1-T299/'01_설정'!B7))*'01_설정'!B16+MAX(0,(1-U299/'01_설정'!B8))*'01_설정'!B17+O299*'01_설정'!B11+Q299*'01_설정'!B12+P299*'01_설정'!B13+IF(Z299="",0,Z299))</f>
        <v/>
      </c>
      <c r="X299" s="152">
        <f>IF(W299="","",1+COUNTIFS($W$4:$W$3003,"&gt;"&amp;W299)+COUNTIFS($W$4:W299,W299)-1)</f>
        <v/>
      </c>
      <c r="Y299" s="175">
        <f>IF(OR(I299="",'02_대상물건입력'!B19="",'02_대상물건입력'!B19&lt;=0),"",ABS(I299-'02_대상물건입력'!B19)/'02_대상물건입력'!B19)</f>
        <v/>
      </c>
      <c r="Z299" s="172">
        <f>IF(OR(Y299="",'01_설정'!B31="",'01_설정'!B31&lt;=0,'01_설정'!B32="",'01_설정'!B32&lt;=0),"",MAX(0,(1-Y299/'01_설정'!B32))*'01_설정'!B31)</f>
        <v/>
      </c>
    </row>
    <row r="300" ht="17.25" customHeight="1">
      <c r="A300" s="152">
        <f>IF(INDEX('04A_국토부원자료'!$A:$A,ROW()+1)="","",ROW()-3)</f>
        <v/>
      </c>
      <c r="B300" s="48">
        <f>IFERROR(INDEX('04A_국토부원자료'!$A:$T,ROW()+1,MATCH("시군구",'04A_국토부원자료'!$A$4:$T$4,0)),"")</f>
        <v/>
      </c>
      <c r="C300" s="48">
        <f>IF(B300="","",IFERROR(INDEX('04A_국토부원자료'!$A:$T,ROW()+1,MATCH("번지",'04A_국토부원자료'!$A$4:$T$4,0)),""))</f>
        <v/>
      </c>
      <c r="D300" s="48">
        <f>IF(B300="","",IF(Q300=1,'02_대상물건입력'!$B$8,IFERROR(INDEX('04A_국토부원자료'!$A:$T,ROW()+1,MATCH("단지명",'04A_국토부원자료'!$A$4:$T$4,0)),"")))</f>
        <v/>
      </c>
      <c r="E300" s="172">
        <f>IFERROR(VALUE(SUBSTITUTE(INDEX('04A_국토부원자료'!$A:$T,ROW()+1,MATCH("전용면적(㎡)",'04A_국토부원자료'!$A$4:$T$4,0)),",","")),"")</f>
        <v/>
      </c>
      <c r="F3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00" s="51">
        <f>IFERROR(VALUE(SUBSTITUTE(INDEX('04A_국토부원자료'!$A:$T,ROW()+1,MATCH("거래금액(만원)",'04A_국토부원자료'!$A$4:$T$4,0)),",","")),"")</f>
        <v/>
      </c>
      <c r="H300" s="174">
        <f>IF(G300="","",G300*10000)</f>
        <v/>
      </c>
      <c r="I300" s="174">
        <f>IFERROR(IF(AND(H300&gt;0,E300&gt;0),H300/E300,""),"")</f>
        <v/>
      </c>
      <c r="J300" s="152">
        <f>IFERROR(VALUE(SUBSTITUTE(INDEX('04A_국토부원자료'!$A:$T,ROW()+1,MATCH("층",'04A_국토부원자료'!$A$4:$T$4,0)),",","")),"")</f>
        <v/>
      </c>
      <c r="K300" s="152">
        <f>IFERROR(VALUE(SUBSTITUTE(INDEX('04A_국토부원자료'!$A:$T,ROW()+1,MATCH("건축년도",'04A_국토부원자료'!$A$4:$T$4,0)),",","")),"")</f>
        <v/>
      </c>
      <c r="L300" s="176">
        <f>IFERROR(INDEX('04A_국토부원자료'!$A:$T,ROW()+1,MATCH("도로명",'04A_국토부원자료'!$A$4:$T$4,0)),"")</f>
        <v/>
      </c>
      <c r="M300" s="48">
        <f>IFERROR(INDEX('04A_국토부원자료'!$A:$T,ROW()+1,MATCH("거래유형",'04A_국토부원자료'!$A$4:$T$4,0)),"")</f>
        <v/>
      </c>
      <c r="N300" s="152">
        <f>IF(B300="","",IF('02_대상물건입력'!B5="",1,IF(ISNUMBER(SEARCH('02_대상물건입력'!B5,B300)),1,0)))</f>
        <v/>
      </c>
      <c r="O300" s="152">
        <f>IF(B300="","",IF('02_대상물건입력'!B6="",1,IF(ISNUMBER(SEARCH('02_대상물건입력'!B6,B300)),1,0)))</f>
        <v/>
      </c>
      <c r="P300" s="152">
        <f>IF(L300="","",IF('02_대상물건입력'!B15="",0,IF(ISNUMBER(SEARCH('02_대상물건입력'!B15,L300)),1,0)))</f>
        <v/>
      </c>
      <c r="Q300" s="152">
        <f>IF(OR(C300="",L300=""),0,IF(AND(TRIM(C300)=TRIM(RIGHT(SUBSTITUTE(TRIM('02_대상물건입력'!$B$7)," ",REPT(" ",99)),99)),IF('02_대상물건입력'!B15="",TRUE(),ISNUMBER(SEARCH('02_대상물건입력'!B15,L300)))),1,0))</f>
        <v/>
      </c>
      <c r="R300" s="175">
        <f>IFERROR(ABS(E300-'02_대상물건입력'!B11)/'02_대상물건입력'!B11,"")</f>
        <v/>
      </c>
      <c r="S300" s="152">
        <f>IFERROR(ABS(J300-'02_대상물건입력'!B10),"")</f>
        <v/>
      </c>
      <c r="T300" s="152">
        <f>IFERROR(ABS('01_설정'!B4-F300),"")</f>
        <v/>
      </c>
      <c r="U300" s="152">
        <f>IFERROR(ABS(K300-YEAR('02_대상물건입력'!B14)),"")</f>
        <v/>
      </c>
      <c r="V300" s="152">
        <f>IF(B300="","",IF(AND(E300&gt;0,F300&gt;0,H300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300=1,TRUE()),R300&lt;='01_설정'!B5,S300&lt;='01_설정'!B6,T300&lt;='01_설정'!B7,U300&lt;='01_설정'!B8),"Y",""))</f>
        <v/>
      </c>
      <c r="W300" s="172">
        <f>IF(V300&lt;&gt;"Y","",MAX(0,(1-R300/'01_설정'!B5))*'01_설정'!B14+MAX(0,(1-S300/'01_설정'!B6))*'01_설정'!B15+MAX(0,(1-T300/'01_설정'!B7))*'01_설정'!B16+MAX(0,(1-U300/'01_설정'!B8))*'01_설정'!B17+O300*'01_설정'!B11+Q300*'01_설정'!B12+P300*'01_설정'!B13+IF(Z300="",0,Z300))</f>
        <v/>
      </c>
      <c r="X300" s="152">
        <f>IF(W300="","",1+COUNTIFS($W$4:$W$3003,"&gt;"&amp;W300)+COUNTIFS($W$4:W300,W300)-1)</f>
        <v/>
      </c>
      <c r="Y300" s="175">
        <f>IF(OR(I300="",'02_대상물건입력'!B19="",'02_대상물건입력'!B19&lt;=0),"",ABS(I300-'02_대상물건입력'!B19)/'02_대상물건입력'!B19)</f>
        <v/>
      </c>
      <c r="Z300" s="172">
        <f>IF(OR(Y300="",'01_설정'!B31="",'01_설정'!B31&lt;=0,'01_설정'!B32="",'01_설정'!B32&lt;=0),"",MAX(0,(1-Y300/'01_설정'!B32))*'01_설정'!B31)</f>
        <v/>
      </c>
    </row>
    <row r="301" ht="17.25" customHeight="1">
      <c r="A301" s="152">
        <f>IF(INDEX('04A_국토부원자료'!$A:$A,ROW()+1)="","",ROW()-3)</f>
        <v/>
      </c>
      <c r="B301" s="48">
        <f>IFERROR(INDEX('04A_국토부원자료'!$A:$T,ROW()+1,MATCH("시군구",'04A_국토부원자료'!$A$4:$T$4,0)),"")</f>
        <v/>
      </c>
      <c r="C301" s="48">
        <f>IF(B301="","",IFERROR(INDEX('04A_국토부원자료'!$A:$T,ROW()+1,MATCH("번지",'04A_국토부원자료'!$A$4:$T$4,0)),""))</f>
        <v/>
      </c>
      <c r="D301" s="48">
        <f>IF(B301="","",IF(Q301=1,'02_대상물건입력'!$B$8,IFERROR(INDEX('04A_국토부원자료'!$A:$T,ROW()+1,MATCH("단지명",'04A_국토부원자료'!$A$4:$T$4,0)),"")))</f>
        <v/>
      </c>
      <c r="E301" s="172">
        <f>IFERROR(VALUE(SUBSTITUTE(INDEX('04A_국토부원자료'!$A:$T,ROW()+1,MATCH("전용면적(㎡)",'04A_국토부원자료'!$A$4:$T$4,0)),",","")),"")</f>
        <v/>
      </c>
      <c r="F3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01" s="51">
        <f>IFERROR(VALUE(SUBSTITUTE(INDEX('04A_국토부원자료'!$A:$T,ROW()+1,MATCH("거래금액(만원)",'04A_국토부원자료'!$A$4:$T$4,0)),",","")),"")</f>
        <v/>
      </c>
      <c r="H301" s="174">
        <f>IF(G301="","",G301*10000)</f>
        <v/>
      </c>
      <c r="I301" s="174">
        <f>IFERROR(IF(AND(H301&gt;0,E301&gt;0),H301/E301,""),"")</f>
        <v/>
      </c>
      <c r="J301" s="152">
        <f>IFERROR(VALUE(SUBSTITUTE(INDEX('04A_국토부원자료'!$A:$T,ROW()+1,MATCH("층",'04A_국토부원자료'!$A$4:$T$4,0)),",","")),"")</f>
        <v/>
      </c>
      <c r="K301" s="152">
        <f>IFERROR(VALUE(SUBSTITUTE(INDEX('04A_국토부원자료'!$A:$T,ROW()+1,MATCH("건축년도",'04A_국토부원자료'!$A$4:$T$4,0)),",","")),"")</f>
        <v/>
      </c>
      <c r="L301" s="176">
        <f>IFERROR(INDEX('04A_국토부원자료'!$A:$T,ROW()+1,MATCH("도로명",'04A_국토부원자료'!$A$4:$T$4,0)),"")</f>
        <v/>
      </c>
      <c r="M301" s="48">
        <f>IFERROR(INDEX('04A_국토부원자료'!$A:$T,ROW()+1,MATCH("거래유형",'04A_국토부원자료'!$A$4:$T$4,0)),"")</f>
        <v/>
      </c>
      <c r="N301" s="152">
        <f>IF(B301="","",IF('02_대상물건입력'!B5="",1,IF(ISNUMBER(SEARCH('02_대상물건입력'!B5,B301)),1,0)))</f>
        <v/>
      </c>
      <c r="O301" s="152">
        <f>IF(B301="","",IF('02_대상물건입력'!B6="",1,IF(ISNUMBER(SEARCH('02_대상물건입력'!B6,B301)),1,0)))</f>
        <v/>
      </c>
      <c r="P301" s="152">
        <f>IF(L301="","",IF('02_대상물건입력'!B15="",0,IF(ISNUMBER(SEARCH('02_대상물건입력'!B15,L301)),1,0)))</f>
        <v/>
      </c>
      <c r="Q301" s="152">
        <f>IF(OR(C301="",L301=""),0,IF(AND(TRIM(C301)=TRIM(RIGHT(SUBSTITUTE(TRIM('02_대상물건입력'!$B$7)," ",REPT(" ",99)),99)),IF('02_대상물건입력'!B15="",TRUE(),ISNUMBER(SEARCH('02_대상물건입력'!B15,L301)))),1,0))</f>
        <v/>
      </c>
      <c r="R301" s="175">
        <f>IFERROR(ABS(E301-'02_대상물건입력'!B11)/'02_대상물건입력'!B11,"")</f>
        <v/>
      </c>
      <c r="S301" s="152">
        <f>IFERROR(ABS(J301-'02_대상물건입력'!B10),"")</f>
        <v/>
      </c>
      <c r="T301" s="152">
        <f>IFERROR(ABS('01_설정'!B4-F301),"")</f>
        <v/>
      </c>
      <c r="U301" s="152">
        <f>IFERROR(ABS(K301-YEAR('02_대상물건입력'!B14)),"")</f>
        <v/>
      </c>
      <c r="V301" s="152">
        <f>IF(B301="","",IF(AND(E301&gt;0,F301&gt;0,H301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301=1,TRUE()),R301&lt;='01_설정'!B5,S301&lt;='01_설정'!B6,T301&lt;='01_설정'!B7,U301&lt;='01_설정'!B8),"Y",""))</f>
        <v/>
      </c>
      <c r="W301" s="172">
        <f>IF(V301&lt;&gt;"Y","",MAX(0,(1-R301/'01_설정'!B5))*'01_설정'!B14+MAX(0,(1-S301/'01_설정'!B6))*'01_설정'!B15+MAX(0,(1-T301/'01_설정'!B7))*'01_설정'!B16+MAX(0,(1-U301/'01_설정'!B8))*'01_설정'!B17+O301*'01_설정'!B11+Q301*'01_설정'!B12+P301*'01_설정'!B13+IF(Z301="",0,Z301))</f>
        <v/>
      </c>
      <c r="X301" s="152">
        <f>IF(W301="","",1+COUNTIFS($W$4:$W$3003,"&gt;"&amp;W301)+COUNTIFS($W$4:W301,W301)-1)</f>
        <v/>
      </c>
      <c r="Y301" s="175">
        <f>IF(OR(I301="",'02_대상물건입력'!B19="",'02_대상물건입력'!B19&lt;=0),"",ABS(I301-'02_대상물건입력'!B19)/'02_대상물건입력'!B19)</f>
        <v/>
      </c>
      <c r="Z301" s="172">
        <f>IF(OR(Y301="",'01_설정'!B31="",'01_설정'!B31&lt;=0,'01_설정'!B32="",'01_설정'!B32&lt;=0),"",MAX(0,(1-Y301/'01_설정'!B32))*'01_설정'!B31)</f>
        <v/>
      </c>
    </row>
    <row r="302" ht="17.25" customHeight="1">
      <c r="A302" s="152">
        <f>IF(INDEX('04A_국토부원자료'!$A:$A,ROW()+1)="","",ROW()-3)</f>
        <v/>
      </c>
      <c r="B302" s="48">
        <f>IFERROR(INDEX('04A_국토부원자료'!$A:$T,ROW()+1,MATCH("시군구",'04A_국토부원자료'!$A$4:$T$4,0)),"")</f>
        <v/>
      </c>
      <c r="C302" s="48">
        <f>IF(B302="","",IFERROR(INDEX('04A_국토부원자료'!$A:$T,ROW()+1,MATCH("번지",'04A_국토부원자료'!$A$4:$T$4,0)),""))</f>
        <v/>
      </c>
      <c r="D302" s="48">
        <f>IF(B302="","",IF(Q302=1,'02_대상물건입력'!$B$8,IFERROR(INDEX('04A_국토부원자료'!$A:$T,ROW()+1,MATCH("단지명",'04A_국토부원자료'!$A$4:$T$4,0)),"")))</f>
        <v/>
      </c>
      <c r="E302" s="172">
        <f>IFERROR(VALUE(SUBSTITUTE(INDEX('04A_국토부원자료'!$A:$T,ROW()+1,MATCH("전용면적(㎡)",'04A_국토부원자료'!$A$4:$T$4,0)),",","")),"")</f>
        <v/>
      </c>
      <c r="F3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02" s="51">
        <f>IFERROR(VALUE(SUBSTITUTE(INDEX('04A_국토부원자료'!$A:$T,ROW()+1,MATCH("거래금액(만원)",'04A_국토부원자료'!$A$4:$T$4,0)),",","")),"")</f>
        <v/>
      </c>
      <c r="H302" s="174">
        <f>IF(G302="","",G302*10000)</f>
        <v/>
      </c>
      <c r="I302" s="174">
        <f>IFERROR(IF(AND(H302&gt;0,E302&gt;0),H302/E302,""),"")</f>
        <v/>
      </c>
      <c r="J302" s="152">
        <f>IFERROR(VALUE(SUBSTITUTE(INDEX('04A_국토부원자료'!$A:$T,ROW()+1,MATCH("층",'04A_국토부원자료'!$A$4:$T$4,0)),",","")),"")</f>
        <v/>
      </c>
      <c r="K302" s="152">
        <f>IFERROR(VALUE(SUBSTITUTE(INDEX('04A_국토부원자료'!$A:$T,ROW()+1,MATCH("건축년도",'04A_국토부원자료'!$A$4:$T$4,0)),",","")),"")</f>
        <v/>
      </c>
      <c r="L302" s="176">
        <f>IFERROR(INDEX('04A_국토부원자료'!$A:$T,ROW()+1,MATCH("도로명",'04A_국토부원자료'!$A$4:$T$4,0)),"")</f>
        <v/>
      </c>
      <c r="M302" s="48">
        <f>IFERROR(INDEX('04A_국토부원자료'!$A:$T,ROW()+1,MATCH("거래유형",'04A_국토부원자료'!$A$4:$T$4,0)),"")</f>
        <v/>
      </c>
      <c r="N302" s="152">
        <f>IF(B302="","",IF('02_대상물건입력'!B5="",1,IF(ISNUMBER(SEARCH('02_대상물건입력'!B5,B302)),1,0)))</f>
        <v/>
      </c>
      <c r="O302" s="152">
        <f>IF(B302="","",IF('02_대상물건입력'!B6="",1,IF(ISNUMBER(SEARCH('02_대상물건입력'!B6,B302)),1,0)))</f>
        <v/>
      </c>
      <c r="P302" s="152">
        <f>IF(L302="","",IF('02_대상물건입력'!B15="",0,IF(ISNUMBER(SEARCH('02_대상물건입력'!B15,L302)),1,0)))</f>
        <v/>
      </c>
      <c r="Q302" s="152">
        <f>IF(OR(C302="",L302=""),0,IF(AND(TRIM(C302)=TRIM(RIGHT(SUBSTITUTE(TRIM('02_대상물건입력'!$B$7)," ",REPT(" ",99)),99)),IF('02_대상물건입력'!B15="",TRUE(),ISNUMBER(SEARCH('02_대상물건입력'!B15,L302)))),1,0))</f>
        <v/>
      </c>
      <c r="R302" s="175">
        <f>IFERROR(ABS(E302-'02_대상물건입력'!B11)/'02_대상물건입력'!B11,"")</f>
        <v/>
      </c>
      <c r="S302" s="152">
        <f>IFERROR(ABS(J302-'02_대상물건입력'!B10),"")</f>
        <v/>
      </c>
      <c r="T302" s="152">
        <f>IFERROR(ABS('01_설정'!B4-F302),"")</f>
        <v/>
      </c>
      <c r="U302" s="152">
        <f>IFERROR(ABS(K302-YEAR('02_대상물건입력'!B14)),"")</f>
        <v/>
      </c>
      <c r="V302" s="152">
        <f>IF(B302="","",IF(AND(E302&gt;0,F302&gt;0,H302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302=1,TRUE()),R302&lt;='01_설정'!B5,S302&lt;='01_설정'!B6,T302&lt;='01_설정'!B7,U302&lt;='01_설정'!B8),"Y",""))</f>
        <v/>
      </c>
      <c r="W302" s="172">
        <f>IF(V302&lt;&gt;"Y","",MAX(0,(1-R302/'01_설정'!B5))*'01_설정'!B14+MAX(0,(1-S302/'01_설정'!B6))*'01_설정'!B15+MAX(0,(1-T302/'01_설정'!B7))*'01_설정'!B16+MAX(0,(1-U302/'01_설정'!B8))*'01_설정'!B17+O302*'01_설정'!B11+Q302*'01_설정'!B12+P302*'01_설정'!B13+IF(Z302="",0,Z302))</f>
        <v/>
      </c>
      <c r="X302" s="152">
        <f>IF(W302="","",1+COUNTIFS($W$4:$W$3003,"&gt;"&amp;W302)+COUNTIFS($W$4:W302,W302)-1)</f>
        <v/>
      </c>
      <c r="Y302" s="175">
        <f>IF(OR(I302="",'02_대상물건입력'!B19="",'02_대상물건입력'!B19&lt;=0),"",ABS(I302-'02_대상물건입력'!B19)/'02_대상물건입력'!B19)</f>
        <v/>
      </c>
      <c r="Z302" s="172">
        <f>IF(OR(Y302="",'01_설정'!B31="",'01_설정'!B31&lt;=0,'01_설정'!B32="",'01_설정'!B32&lt;=0),"",MAX(0,(1-Y302/'01_설정'!B32))*'01_설정'!B31)</f>
        <v/>
      </c>
    </row>
    <row r="303" ht="17.25" customHeight="1">
      <c r="A303" s="152">
        <f>IF(INDEX('04A_국토부원자료'!$A:$A,ROW()+1)="","",ROW()-3)</f>
        <v/>
      </c>
      <c r="B303" s="48">
        <f>IFERROR(INDEX('04A_국토부원자료'!$A:$T,ROW()+1,MATCH("시군구",'04A_국토부원자료'!$A$4:$T$4,0)),"")</f>
        <v/>
      </c>
      <c r="C303" s="48">
        <f>IF(B303="","",IFERROR(INDEX('04A_국토부원자료'!$A:$T,ROW()+1,MATCH("번지",'04A_국토부원자료'!$A$4:$T$4,0)),""))</f>
        <v/>
      </c>
      <c r="D303" s="48">
        <f>IF(B303="","",IF(Q303=1,'02_대상물건입력'!$B$8,IFERROR(INDEX('04A_국토부원자료'!$A:$T,ROW()+1,MATCH("단지명",'04A_국토부원자료'!$A$4:$T$4,0)),"")))</f>
        <v/>
      </c>
      <c r="E303" s="172">
        <f>IFERROR(VALUE(SUBSTITUTE(INDEX('04A_국토부원자료'!$A:$T,ROW()+1,MATCH("전용면적(㎡)",'04A_국토부원자료'!$A$4:$T$4,0)),",","")),"")</f>
        <v/>
      </c>
      <c r="F3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03" s="51">
        <f>IFERROR(VALUE(SUBSTITUTE(INDEX('04A_국토부원자료'!$A:$T,ROW()+1,MATCH("거래금액(만원)",'04A_국토부원자료'!$A$4:$T$4,0)),",","")),"")</f>
        <v/>
      </c>
      <c r="H303" s="174">
        <f>IF(G303="","",G303*10000)</f>
        <v/>
      </c>
      <c r="I303" s="174">
        <f>IFERROR(IF(AND(H303&gt;0,E303&gt;0),H303/E303,""),"")</f>
        <v/>
      </c>
      <c r="J303" s="152">
        <f>IFERROR(VALUE(SUBSTITUTE(INDEX('04A_국토부원자료'!$A:$T,ROW()+1,MATCH("층",'04A_국토부원자료'!$A$4:$T$4,0)),",","")),"")</f>
        <v/>
      </c>
      <c r="K303" s="152">
        <f>IFERROR(VALUE(SUBSTITUTE(INDEX('04A_국토부원자료'!$A:$T,ROW()+1,MATCH("건축년도",'04A_국토부원자료'!$A$4:$T$4,0)),",","")),"")</f>
        <v/>
      </c>
      <c r="L303" s="176">
        <f>IFERROR(INDEX('04A_국토부원자료'!$A:$T,ROW()+1,MATCH("도로명",'04A_국토부원자료'!$A$4:$T$4,0)),"")</f>
        <v/>
      </c>
      <c r="M303" s="48">
        <f>IFERROR(INDEX('04A_국토부원자료'!$A:$T,ROW()+1,MATCH("거래유형",'04A_국토부원자료'!$A$4:$T$4,0)),"")</f>
        <v/>
      </c>
      <c r="N303" s="152">
        <f>IF(B303="","",IF('02_대상물건입력'!B5="",1,IF(ISNUMBER(SEARCH('02_대상물건입력'!B5,B303)),1,0)))</f>
        <v/>
      </c>
      <c r="O303" s="152">
        <f>IF(B303="","",IF('02_대상물건입력'!B6="",1,IF(ISNUMBER(SEARCH('02_대상물건입력'!B6,B303)),1,0)))</f>
        <v/>
      </c>
      <c r="P303" s="152">
        <f>IF(L303="","",IF('02_대상물건입력'!B15="",0,IF(ISNUMBER(SEARCH('02_대상물건입력'!B15,L303)),1,0)))</f>
        <v/>
      </c>
      <c r="Q303" s="152">
        <f>IF(OR(C303="",L303=""),0,IF(AND(TRIM(C303)=TRIM(RIGHT(SUBSTITUTE(TRIM('02_대상물건입력'!$B$7)," ",REPT(" ",99)),99)),IF('02_대상물건입력'!B15="",TRUE(),ISNUMBER(SEARCH('02_대상물건입력'!B15,L303)))),1,0))</f>
        <v/>
      </c>
      <c r="R303" s="175">
        <f>IFERROR(ABS(E303-'02_대상물건입력'!B11)/'02_대상물건입력'!B11,"")</f>
        <v/>
      </c>
      <c r="S303" s="152">
        <f>IFERROR(ABS(J303-'02_대상물건입력'!B10),"")</f>
        <v/>
      </c>
      <c r="T303" s="152">
        <f>IFERROR(ABS('01_설정'!B4-F303),"")</f>
        <v/>
      </c>
      <c r="U303" s="152">
        <f>IFERROR(ABS(K303-YEAR('02_대상물건입력'!B14)),"")</f>
        <v/>
      </c>
      <c r="V303" s="152">
        <f>IF(B303="","",IF(AND(E303&gt;0,F303&gt;0,H303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303=1,TRUE()),R303&lt;='01_설정'!B5,S303&lt;='01_설정'!B6,T303&lt;='01_설정'!B7,U303&lt;='01_설정'!B8),"Y",""))</f>
        <v/>
      </c>
      <c r="W303" s="172">
        <f>IF(V303&lt;&gt;"Y","",MAX(0,(1-R303/'01_설정'!B5))*'01_설정'!B14+MAX(0,(1-S303/'01_설정'!B6))*'01_설정'!B15+MAX(0,(1-T303/'01_설정'!B7))*'01_설정'!B16+MAX(0,(1-U303/'01_설정'!B8))*'01_설정'!B17+O303*'01_설정'!B11+Q303*'01_설정'!B12+P303*'01_설정'!B13+IF(Z303="",0,Z303))</f>
        <v/>
      </c>
      <c r="X303" s="152">
        <f>IF(W303="","",1+COUNTIFS($W$4:$W$3003,"&gt;"&amp;W303)+COUNTIFS($W$4:W303,W303)-1)</f>
        <v/>
      </c>
      <c r="Y303" s="175">
        <f>IF(OR(I303="",'02_대상물건입력'!B19="",'02_대상물건입력'!B19&lt;=0),"",ABS(I303-'02_대상물건입력'!B19)/'02_대상물건입력'!B19)</f>
        <v/>
      </c>
      <c r="Z303" s="172">
        <f>IF(OR(Y303="",'01_설정'!B31="",'01_설정'!B31&lt;=0,'01_설정'!B32="",'01_설정'!B32&lt;=0),"",MAX(0,(1-Y303/'01_설정'!B32))*'01_설정'!B31)</f>
        <v/>
      </c>
    </row>
    <row r="304" ht="17.25" customHeight="1">
      <c r="A304" s="152">
        <f>IF(INDEX('04A_국토부원자료'!$A:$A,ROW()+1)="","",ROW()-3)</f>
        <v/>
      </c>
      <c r="B304" s="48">
        <f>IFERROR(INDEX('04A_국토부원자료'!$A:$T,ROW()+1,MATCH("시군구",'04A_국토부원자료'!$A$4:$T$4,0)),"")</f>
        <v/>
      </c>
      <c r="C304" s="48">
        <f>IF(B304="","",IFERROR(INDEX('04A_국토부원자료'!$A:$T,ROW()+1,MATCH("번지",'04A_국토부원자료'!$A$4:$T$4,0)),""))</f>
        <v/>
      </c>
      <c r="D304" s="48">
        <f>IF(B304="","",IF(Q304=1,'02_대상물건입력'!$B$8,IFERROR(INDEX('04A_국토부원자료'!$A:$T,ROW()+1,MATCH("단지명",'04A_국토부원자료'!$A$4:$T$4,0)),"")))</f>
        <v/>
      </c>
      <c r="E304" s="172">
        <f>IFERROR(VALUE(SUBSTITUTE(INDEX('04A_국토부원자료'!$A:$T,ROW()+1,MATCH("전용면적(㎡)",'04A_국토부원자료'!$A$4:$T$4,0)),",","")),"")</f>
        <v/>
      </c>
      <c r="F3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04" s="51">
        <f>IFERROR(VALUE(SUBSTITUTE(INDEX('04A_국토부원자료'!$A:$T,ROW()+1,MATCH("거래금액(만원)",'04A_국토부원자료'!$A$4:$T$4,0)),",","")),"")</f>
        <v/>
      </c>
      <c r="H304" s="174">
        <f>IF(G304="","",G304*10000)</f>
        <v/>
      </c>
      <c r="I304" s="174">
        <f>IFERROR(IF(AND(H304&gt;0,E304&gt;0),H304/E304,""),"")</f>
        <v/>
      </c>
      <c r="J304" s="152">
        <f>IFERROR(VALUE(SUBSTITUTE(INDEX('04A_국토부원자료'!$A:$T,ROW()+1,MATCH("층",'04A_국토부원자료'!$A$4:$T$4,0)),",","")),"")</f>
        <v/>
      </c>
      <c r="K304" s="152">
        <f>IFERROR(VALUE(SUBSTITUTE(INDEX('04A_국토부원자료'!$A:$T,ROW()+1,MATCH("건축년도",'04A_국토부원자료'!$A$4:$T$4,0)),",","")),"")</f>
        <v/>
      </c>
      <c r="L304" s="176">
        <f>IFERROR(INDEX('04A_국토부원자료'!$A:$T,ROW()+1,MATCH("도로명",'04A_국토부원자료'!$A$4:$T$4,0)),"")</f>
        <v/>
      </c>
      <c r="M304" s="48">
        <f>IFERROR(INDEX('04A_국토부원자료'!$A:$T,ROW()+1,MATCH("거래유형",'04A_국토부원자료'!$A$4:$T$4,0)),"")</f>
        <v/>
      </c>
      <c r="N304" s="152">
        <f>IF(B304="","",IF('02_대상물건입력'!B5="",1,IF(ISNUMBER(SEARCH('02_대상물건입력'!B5,B304)),1,0)))</f>
        <v/>
      </c>
      <c r="O304" s="152">
        <f>IF(B304="","",IF('02_대상물건입력'!B6="",1,IF(ISNUMBER(SEARCH('02_대상물건입력'!B6,B304)),1,0)))</f>
        <v/>
      </c>
      <c r="P304" s="152">
        <f>IF(L304="","",IF('02_대상물건입력'!B15="",0,IF(ISNUMBER(SEARCH('02_대상물건입력'!B15,L304)),1,0)))</f>
        <v/>
      </c>
      <c r="Q304" s="152">
        <f>IF(OR(C304="",L304=""),0,IF(AND(TRIM(C304)=TRIM(RIGHT(SUBSTITUTE(TRIM('02_대상물건입력'!$B$7)," ",REPT(" ",99)),99)),IF('02_대상물건입력'!B15="",TRUE(),ISNUMBER(SEARCH('02_대상물건입력'!B15,L304)))),1,0))</f>
        <v/>
      </c>
      <c r="R304" s="175">
        <f>IFERROR(ABS(E304-'02_대상물건입력'!B11)/'02_대상물건입력'!B11,"")</f>
        <v/>
      </c>
      <c r="S304" s="152">
        <f>IFERROR(ABS(J304-'02_대상물건입력'!B10),"")</f>
        <v/>
      </c>
      <c r="T304" s="152">
        <f>IFERROR(ABS('01_설정'!B4-F304),"")</f>
        <v/>
      </c>
      <c r="U304" s="152">
        <f>IFERROR(ABS(K304-YEAR('02_대상물건입력'!B14)),"")</f>
        <v/>
      </c>
      <c r="V304" s="152">
        <f>IF(B304="","",IF(AND(E304&gt;0,F304&gt;0,H304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304=1,TRUE()),R304&lt;='01_설정'!B5,S304&lt;='01_설정'!B6,T304&lt;='01_설정'!B7,U304&lt;='01_설정'!B8),"Y",""))</f>
        <v/>
      </c>
      <c r="W304" s="172">
        <f>IF(V304&lt;&gt;"Y","",MAX(0,(1-R304/'01_설정'!B5))*'01_설정'!B14+MAX(0,(1-S304/'01_설정'!B6))*'01_설정'!B15+MAX(0,(1-T304/'01_설정'!B7))*'01_설정'!B16+MAX(0,(1-U304/'01_설정'!B8))*'01_설정'!B17+O304*'01_설정'!B11+Q304*'01_설정'!B12+P304*'01_설정'!B13+IF(Z304="",0,Z304))</f>
        <v/>
      </c>
      <c r="X304" s="152">
        <f>IF(W304="","",1+COUNTIFS($W$4:$W$3003,"&gt;"&amp;W304)+COUNTIFS($W$4:W304,W304)-1)</f>
        <v/>
      </c>
      <c r="Y304" s="175">
        <f>IF(OR(I304="",'02_대상물건입력'!B19="",'02_대상물건입력'!B19&lt;=0),"",ABS(I304-'02_대상물건입력'!B19)/'02_대상물건입력'!B19)</f>
        <v/>
      </c>
      <c r="Z304" s="172">
        <f>IF(OR(Y304="",'01_설정'!B31="",'01_설정'!B31&lt;=0,'01_설정'!B32="",'01_설정'!B32&lt;=0),"",MAX(0,(1-Y304/'01_설정'!B32))*'01_설정'!B31)</f>
        <v/>
      </c>
    </row>
    <row r="305" ht="17.25" customHeight="1">
      <c r="A305" s="152">
        <f>IF(INDEX('04A_국토부원자료'!$A:$A,ROW()+1)="","",ROW()-3)</f>
        <v/>
      </c>
      <c r="B305" s="48">
        <f>IFERROR(INDEX('04A_국토부원자료'!$A:$T,ROW()+1,MATCH("시군구",'04A_국토부원자료'!$A$4:$T$4,0)),"")</f>
        <v/>
      </c>
      <c r="C305" s="48">
        <f>IF(B305="","",IFERROR(INDEX('04A_국토부원자료'!$A:$T,ROW()+1,MATCH("번지",'04A_국토부원자료'!$A$4:$T$4,0)),""))</f>
        <v/>
      </c>
      <c r="D305" s="48">
        <f>IF(B305="","",IF(Q305=1,'02_대상물건입력'!$B$8,IFERROR(INDEX('04A_국토부원자료'!$A:$T,ROW()+1,MATCH("단지명",'04A_국토부원자료'!$A$4:$T$4,0)),"")))</f>
        <v/>
      </c>
      <c r="E305" s="172">
        <f>IFERROR(VALUE(SUBSTITUTE(INDEX('04A_국토부원자료'!$A:$T,ROW()+1,MATCH("전용면적(㎡)",'04A_국토부원자료'!$A$4:$T$4,0)),",","")),"")</f>
        <v/>
      </c>
      <c r="F3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05" s="51">
        <f>IFERROR(VALUE(SUBSTITUTE(INDEX('04A_국토부원자료'!$A:$T,ROW()+1,MATCH("거래금액(만원)",'04A_국토부원자료'!$A$4:$T$4,0)),",","")),"")</f>
        <v/>
      </c>
      <c r="H305" s="174">
        <f>IF(G305="","",G305*10000)</f>
        <v/>
      </c>
      <c r="I305" s="174">
        <f>IFERROR(IF(AND(H305&gt;0,E305&gt;0),H305/E305,""),"")</f>
        <v/>
      </c>
      <c r="J305" s="152">
        <f>IFERROR(VALUE(SUBSTITUTE(INDEX('04A_국토부원자료'!$A:$T,ROW()+1,MATCH("층",'04A_국토부원자료'!$A$4:$T$4,0)),",","")),"")</f>
        <v/>
      </c>
      <c r="K305" s="152">
        <f>IFERROR(VALUE(SUBSTITUTE(INDEX('04A_국토부원자료'!$A:$T,ROW()+1,MATCH("건축년도",'04A_국토부원자료'!$A$4:$T$4,0)),",","")),"")</f>
        <v/>
      </c>
      <c r="L305" s="176">
        <f>IFERROR(INDEX('04A_국토부원자료'!$A:$T,ROW()+1,MATCH("도로명",'04A_국토부원자료'!$A$4:$T$4,0)),"")</f>
        <v/>
      </c>
      <c r="M305" s="48">
        <f>IFERROR(INDEX('04A_국토부원자료'!$A:$T,ROW()+1,MATCH("거래유형",'04A_국토부원자료'!$A$4:$T$4,0)),"")</f>
        <v/>
      </c>
      <c r="N305" s="152">
        <f>IF(B305="","",IF('02_대상물건입력'!B5="",1,IF(ISNUMBER(SEARCH('02_대상물건입력'!B5,B305)),1,0)))</f>
        <v/>
      </c>
      <c r="O305" s="152">
        <f>IF(B305="","",IF('02_대상물건입력'!B6="",1,IF(ISNUMBER(SEARCH('02_대상물건입력'!B6,B305)),1,0)))</f>
        <v/>
      </c>
      <c r="P305" s="152">
        <f>IF(L305="","",IF('02_대상물건입력'!B15="",0,IF(ISNUMBER(SEARCH('02_대상물건입력'!B15,L305)),1,0)))</f>
        <v/>
      </c>
      <c r="Q305" s="152">
        <f>IF(OR(C305="",L305=""),0,IF(AND(TRIM(C305)=TRIM(RIGHT(SUBSTITUTE(TRIM('02_대상물건입력'!$B$7)," ",REPT(" ",99)),99)),IF('02_대상물건입력'!B15="",TRUE(),ISNUMBER(SEARCH('02_대상물건입력'!B15,L305)))),1,0))</f>
        <v/>
      </c>
      <c r="R305" s="175">
        <f>IFERROR(ABS(E305-'02_대상물건입력'!B11)/'02_대상물건입력'!B11,"")</f>
        <v/>
      </c>
      <c r="S305" s="152">
        <f>IFERROR(ABS(J305-'02_대상물건입력'!B10),"")</f>
        <v/>
      </c>
      <c r="T305" s="152">
        <f>IFERROR(ABS('01_설정'!B4-F305),"")</f>
        <v/>
      </c>
      <c r="U305" s="152">
        <f>IFERROR(ABS(K305-YEAR('02_대상물건입력'!B14)),"")</f>
        <v/>
      </c>
      <c r="V305" s="152">
        <f>IF(B305="","",IF(AND(E305&gt;0,F305&gt;0,H305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305=1,TRUE()),R305&lt;='01_설정'!B5,S305&lt;='01_설정'!B6,T305&lt;='01_설정'!B7,U305&lt;='01_설정'!B8),"Y",""))</f>
        <v/>
      </c>
      <c r="W305" s="172">
        <f>IF(V305&lt;&gt;"Y","",MAX(0,(1-R305/'01_설정'!B5))*'01_설정'!B14+MAX(0,(1-S305/'01_설정'!B6))*'01_설정'!B15+MAX(0,(1-T305/'01_설정'!B7))*'01_설정'!B16+MAX(0,(1-U305/'01_설정'!B8))*'01_설정'!B17+O305*'01_설정'!B11+Q305*'01_설정'!B12+P305*'01_설정'!B13+IF(Z305="",0,Z305))</f>
        <v/>
      </c>
      <c r="X305" s="152">
        <f>IF(W305="","",1+COUNTIFS($W$4:$W$3003,"&gt;"&amp;W305)+COUNTIFS($W$4:W305,W305)-1)</f>
        <v/>
      </c>
      <c r="Y305" s="175">
        <f>IF(OR(I305="",'02_대상물건입력'!B19="",'02_대상물건입력'!B19&lt;=0),"",ABS(I305-'02_대상물건입력'!B19)/'02_대상물건입력'!B19)</f>
        <v/>
      </c>
      <c r="Z305" s="172">
        <f>IF(OR(Y305="",'01_설정'!B31="",'01_설정'!B31&lt;=0,'01_설정'!B32="",'01_설정'!B32&lt;=0),"",MAX(0,(1-Y305/'01_설정'!B32))*'01_설정'!B31)</f>
        <v/>
      </c>
    </row>
    <row r="306" ht="17.25" customHeight="1">
      <c r="A306" s="152">
        <f>IF(INDEX('04A_국토부원자료'!$A:$A,ROW()+1)="","",ROW()-3)</f>
        <v/>
      </c>
      <c r="B306" s="48">
        <f>IFERROR(INDEX('04A_국토부원자료'!$A:$T,ROW()+1,MATCH("시군구",'04A_국토부원자료'!$A$4:$T$4,0)),"")</f>
        <v/>
      </c>
      <c r="C306" s="48">
        <f>IF(B306="","",IFERROR(INDEX('04A_국토부원자료'!$A:$T,ROW()+1,MATCH("번지",'04A_국토부원자료'!$A$4:$T$4,0)),""))</f>
        <v/>
      </c>
      <c r="D306" s="48">
        <f>IF(B306="","",IF(Q306=1,'02_대상물건입력'!$B$8,IFERROR(INDEX('04A_국토부원자료'!$A:$T,ROW()+1,MATCH("단지명",'04A_국토부원자료'!$A$4:$T$4,0)),"")))</f>
        <v/>
      </c>
      <c r="E306" s="172">
        <f>IFERROR(VALUE(SUBSTITUTE(INDEX('04A_국토부원자료'!$A:$T,ROW()+1,MATCH("전용면적(㎡)",'04A_국토부원자료'!$A$4:$T$4,0)),",","")),"")</f>
        <v/>
      </c>
      <c r="F3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06" s="51">
        <f>IFERROR(VALUE(SUBSTITUTE(INDEX('04A_국토부원자료'!$A:$T,ROW()+1,MATCH("거래금액(만원)",'04A_국토부원자료'!$A$4:$T$4,0)),",","")),"")</f>
        <v/>
      </c>
      <c r="H306" s="174">
        <f>IF(G306="","",G306*10000)</f>
        <v/>
      </c>
      <c r="I306" s="174">
        <f>IFERROR(IF(AND(H306&gt;0,E306&gt;0),H306/E306,""),"")</f>
        <v/>
      </c>
      <c r="J306" s="152">
        <f>IFERROR(VALUE(SUBSTITUTE(INDEX('04A_국토부원자료'!$A:$T,ROW()+1,MATCH("층",'04A_국토부원자료'!$A$4:$T$4,0)),",","")),"")</f>
        <v/>
      </c>
      <c r="K306" s="152">
        <f>IFERROR(VALUE(SUBSTITUTE(INDEX('04A_국토부원자료'!$A:$T,ROW()+1,MATCH("건축년도",'04A_국토부원자료'!$A$4:$T$4,0)),",","")),"")</f>
        <v/>
      </c>
      <c r="L306" s="176">
        <f>IFERROR(INDEX('04A_국토부원자료'!$A:$T,ROW()+1,MATCH("도로명",'04A_국토부원자료'!$A$4:$T$4,0)),"")</f>
        <v/>
      </c>
      <c r="M306" s="48">
        <f>IFERROR(INDEX('04A_국토부원자료'!$A:$T,ROW()+1,MATCH("거래유형",'04A_국토부원자료'!$A$4:$T$4,0)),"")</f>
        <v/>
      </c>
      <c r="N306" s="152">
        <f>IF(B306="","",IF('02_대상물건입력'!B5="",1,IF(ISNUMBER(SEARCH('02_대상물건입력'!B5,B306)),1,0)))</f>
        <v/>
      </c>
      <c r="O306" s="152">
        <f>IF(B306="","",IF('02_대상물건입력'!B6="",1,IF(ISNUMBER(SEARCH('02_대상물건입력'!B6,B306)),1,0)))</f>
        <v/>
      </c>
      <c r="P306" s="152">
        <f>IF(L306="","",IF('02_대상물건입력'!B15="",0,IF(ISNUMBER(SEARCH('02_대상물건입력'!B15,L306)),1,0)))</f>
        <v/>
      </c>
      <c r="Q306" s="152">
        <f>IF(OR(C306="",L306=""),0,IF(AND(TRIM(C306)=TRIM(RIGHT(SUBSTITUTE(TRIM('02_대상물건입력'!$B$7)," ",REPT(" ",99)),99)),IF('02_대상물건입력'!B15="",TRUE(),ISNUMBER(SEARCH('02_대상물건입력'!B15,L306)))),1,0))</f>
        <v/>
      </c>
      <c r="R306" s="175">
        <f>IFERROR(ABS(E306-'02_대상물건입력'!B11)/'02_대상물건입력'!B11,"")</f>
        <v/>
      </c>
      <c r="S306" s="152">
        <f>IFERROR(ABS(J306-'02_대상물건입력'!B10),"")</f>
        <v/>
      </c>
      <c r="T306" s="152">
        <f>IFERROR(ABS('01_설정'!B4-F306),"")</f>
        <v/>
      </c>
      <c r="U306" s="152">
        <f>IFERROR(ABS(K306-YEAR('02_대상물건입력'!B14)),"")</f>
        <v/>
      </c>
      <c r="V306" s="152">
        <f>IF(B306="","",IF(AND(E306&gt;0,F306&gt;0,H306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306=1,TRUE()),R306&lt;='01_설정'!B5,S306&lt;='01_설정'!B6,T306&lt;='01_설정'!B7,U306&lt;='01_설정'!B8),"Y",""))</f>
        <v/>
      </c>
      <c r="W306" s="172">
        <f>IF(V306&lt;&gt;"Y","",MAX(0,(1-R306/'01_설정'!B5))*'01_설정'!B14+MAX(0,(1-S306/'01_설정'!B6))*'01_설정'!B15+MAX(0,(1-T306/'01_설정'!B7))*'01_설정'!B16+MAX(0,(1-U306/'01_설정'!B8))*'01_설정'!B17+O306*'01_설정'!B11+Q306*'01_설정'!B12+P306*'01_설정'!B13+IF(Z306="",0,Z306))</f>
        <v/>
      </c>
      <c r="X306" s="152">
        <f>IF(W306="","",1+COUNTIFS($W$4:$W$3003,"&gt;"&amp;W306)+COUNTIFS($W$4:W306,W306)-1)</f>
        <v/>
      </c>
      <c r="Y306" s="175">
        <f>IF(OR(I306="",'02_대상물건입력'!B19="",'02_대상물건입력'!B19&lt;=0),"",ABS(I306-'02_대상물건입력'!B19)/'02_대상물건입력'!B19)</f>
        <v/>
      </c>
      <c r="Z306" s="172">
        <f>IF(OR(Y306="",'01_설정'!B31="",'01_설정'!B31&lt;=0,'01_설정'!B32="",'01_설정'!B32&lt;=0),"",MAX(0,(1-Y306/'01_설정'!B32))*'01_설정'!B31)</f>
        <v/>
      </c>
    </row>
    <row r="307" ht="17.25" customHeight="1">
      <c r="A307" s="152">
        <f>IF(INDEX('04A_국토부원자료'!$A:$A,ROW()+1)="","",ROW()-3)</f>
        <v/>
      </c>
      <c r="B307" s="48">
        <f>IFERROR(INDEX('04A_국토부원자료'!$A:$T,ROW()+1,MATCH("시군구",'04A_국토부원자료'!$A$4:$T$4,0)),"")</f>
        <v/>
      </c>
      <c r="C307" s="48">
        <f>IF(B307="","",IFERROR(INDEX('04A_국토부원자료'!$A:$T,ROW()+1,MATCH("번지",'04A_국토부원자료'!$A$4:$T$4,0)),""))</f>
        <v/>
      </c>
      <c r="D307" s="48">
        <f>IF(B307="","",IF(Q307=1,'02_대상물건입력'!$B$8,IFERROR(INDEX('04A_국토부원자료'!$A:$T,ROW()+1,MATCH("단지명",'04A_국토부원자료'!$A$4:$T$4,0)),"")))</f>
        <v/>
      </c>
      <c r="E307" s="172">
        <f>IFERROR(VALUE(SUBSTITUTE(INDEX('04A_국토부원자료'!$A:$T,ROW()+1,MATCH("전용면적(㎡)",'04A_국토부원자료'!$A$4:$T$4,0)),",","")),"")</f>
        <v/>
      </c>
      <c r="F3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07" s="51">
        <f>IFERROR(VALUE(SUBSTITUTE(INDEX('04A_국토부원자료'!$A:$T,ROW()+1,MATCH("거래금액(만원)",'04A_국토부원자료'!$A$4:$T$4,0)),",","")),"")</f>
        <v/>
      </c>
      <c r="H307" s="174">
        <f>IF(G307="","",G307*10000)</f>
        <v/>
      </c>
      <c r="I307" s="174">
        <f>IFERROR(IF(AND(H307&gt;0,E307&gt;0),H307/E307,""),"")</f>
        <v/>
      </c>
      <c r="J307" s="152">
        <f>IFERROR(VALUE(SUBSTITUTE(INDEX('04A_국토부원자료'!$A:$T,ROW()+1,MATCH("층",'04A_국토부원자료'!$A$4:$T$4,0)),",","")),"")</f>
        <v/>
      </c>
      <c r="K307" s="152">
        <f>IFERROR(VALUE(SUBSTITUTE(INDEX('04A_국토부원자료'!$A:$T,ROW()+1,MATCH("건축년도",'04A_국토부원자료'!$A$4:$T$4,0)),",","")),"")</f>
        <v/>
      </c>
      <c r="L307" s="176">
        <f>IFERROR(INDEX('04A_국토부원자료'!$A:$T,ROW()+1,MATCH("도로명",'04A_국토부원자료'!$A$4:$T$4,0)),"")</f>
        <v/>
      </c>
      <c r="M307" s="48">
        <f>IFERROR(INDEX('04A_국토부원자료'!$A:$T,ROW()+1,MATCH("거래유형",'04A_국토부원자료'!$A$4:$T$4,0)),"")</f>
        <v/>
      </c>
      <c r="N307" s="152">
        <f>IF(B307="","",IF('02_대상물건입력'!B5="",1,IF(ISNUMBER(SEARCH('02_대상물건입력'!B5,B307)),1,0)))</f>
        <v/>
      </c>
      <c r="O307" s="152">
        <f>IF(B307="","",IF('02_대상물건입력'!B6="",1,IF(ISNUMBER(SEARCH('02_대상물건입력'!B6,B307)),1,0)))</f>
        <v/>
      </c>
      <c r="P307" s="152">
        <f>IF(L307="","",IF('02_대상물건입력'!B15="",0,IF(ISNUMBER(SEARCH('02_대상물건입력'!B15,L307)),1,0)))</f>
        <v/>
      </c>
      <c r="Q307" s="152">
        <f>IF(OR(C307="",L307=""),0,IF(AND(TRIM(C307)=TRIM(RIGHT(SUBSTITUTE(TRIM('02_대상물건입력'!$B$7)," ",REPT(" ",99)),99)),IF('02_대상물건입력'!B15="",TRUE(),ISNUMBER(SEARCH('02_대상물건입력'!B15,L307)))),1,0))</f>
        <v/>
      </c>
      <c r="R307" s="175">
        <f>IFERROR(ABS(E307-'02_대상물건입력'!B11)/'02_대상물건입력'!B11,"")</f>
        <v/>
      </c>
      <c r="S307" s="152">
        <f>IFERROR(ABS(J307-'02_대상물건입력'!B10),"")</f>
        <v/>
      </c>
      <c r="T307" s="152">
        <f>IFERROR(ABS('01_설정'!B4-F307),"")</f>
        <v/>
      </c>
      <c r="U307" s="152">
        <f>IFERROR(ABS(K307-YEAR('02_대상물건입력'!B14)),"")</f>
        <v/>
      </c>
      <c r="V307" s="152">
        <f>IF(B307="","",IF(AND(E307&gt;0,F307&gt;0,H307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307=1,TRUE()),R307&lt;='01_설정'!B5,S307&lt;='01_설정'!B6,T307&lt;='01_설정'!B7,U307&lt;='01_설정'!B8),"Y",""))</f>
        <v/>
      </c>
      <c r="W307" s="172">
        <f>IF(V307&lt;&gt;"Y","",MAX(0,(1-R307/'01_설정'!B5))*'01_설정'!B14+MAX(0,(1-S307/'01_설정'!B6))*'01_설정'!B15+MAX(0,(1-T307/'01_설정'!B7))*'01_설정'!B16+MAX(0,(1-U307/'01_설정'!B8))*'01_설정'!B17+O307*'01_설정'!B11+Q307*'01_설정'!B12+P307*'01_설정'!B13+IF(Z307="",0,Z307))</f>
        <v/>
      </c>
      <c r="X307" s="152">
        <f>IF(W307="","",1+COUNTIFS($W$4:$W$3003,"&gt;"&amp;W307)+COUNTIFS($W$4:W307,W307)-1)</f>
        <v/>
      </c>
      <c r="Y307" s="175">
        <f>IF(OR(I307="",'02_대상물건입력'!B19="",'02_대상물건입력'!B19&lt;=0),"",ABS(I307-'02_대상물건입력'!B19)/'02_대상물건입력'!B19)</f>
        <v/>
      </c>
      <c r="Z307" s="172">
        <f>IF(OR(Y307="",'01_설정'!B31="",'01_설정'!B31&lt;=0,'01_설정'!B32="",'01_설정'!B32&lt;=0),"",MAX(0,(1-Y307/'01_설정'!B32))*'01_설정'!B31)</f>
        <v/>
      </c>
    </row>
    <row r="308" ht="17.25" customHeight="1">
      <c r="A308" s="152">
        <f>IF(INDEX('04A_국토부원자료'!$A:$A,ROW()+1)="","",ROW()-3)</f>
        <v/>
      </c>
      <c r="B308" s="48">
        <f>IFERROR(INDEX('04A_국토부원자료'!$A:$T,ROW()+1,MATCH("시군구",'04A_국토부원자료'!$A$4:$T$4,0)),"")</f>
        <v/>
      </c>
      <c r="C308" s="48">
        <f>IF(B308="","",IFERROR(INDEX('04A_국토부원자료'!$A:$T,ROW()+1,MATCH("번지",'04A_국토부원자료'!$A$4:$T$4,0)),""))</f>
        <v/>
      </c>
      <c r="D308" s="48">
        <f>IF(B308="","",IF(Q308=1,'02_대상물건입력'!$B$8,IFERROR(INDEX('04A_국토부원자료'!$A:$T,ROW()+1,MATCH("단지명",'04A_국토부원자료'!$A$4:$T$4,0)),"")))</f>
        <v/>
      </c>
      <c r="E308" s="172">
        <f>IFERROR(VALUE(SUBSTITUTE(INDEX('04A_국토부원자료'!$A:$T,ROW()+1,MATCH("전용면적(㎡)",'04A_국토부원자료'!$A$4:$T$4,0)),",","")),"")</f>
        <v/>
      </c>
      <c r="F3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08" s="51">
        <f>IFERROR(VALUE(SUBSTITUTE(INDEX('04A_국토부원자료'!$A:$T,ROW()+1,MATCH("거래금액(만원)",'04A_국토부원자료'!$A$4:$T$4,0)),",","")),"")</f>
        <v/>
      </c>
      <c r="H308" s="174">
        <f>IF(G308="","",G308*10000)</f>
        <v/>
      </c>
      <c r="I308" s="174">
        <f>IFERROR(IF(AND(H308&gt;0,E308&gt;0),H308/E308,""),"")</f>
        <v/>
      </c>
      <c r="J308" s="152">
        <f>IFERROR(VALUE(SUBSTITUTE(INDEX('04A_국토부원자료'!$A:$T,ROW()+1,MATCH("층",'04A_국토부원자료'!$A$4:$T$4,0)),",","")),"")</f>
        <v/>
      </c>
      <c r="K308" s="152">
        <f>IFERROR(VALUE(SUBSTITUTE(INDEX('04A_국토부원자료'!$A:$T,ROW()+1,MATCH("건축년도",'04A_국토부원자료'!$A$4:$T$4,0)),",","")),"")</f>
        <v/>
      </c>
      <c r="L308" s="176">
        <f>IFERROR(INDEX('04A_국토부원자료'!$A:$T,ROW()+1,MATCH("도로명",'04A_국토부원자료'!$A$4:$T$4,0)),"")</f>
        <v/>
      </c>
      <c r="M308" s="48">
        <f>IFERROR(INDEX('04A_국토부원자료'!$A:$T,ROW()+1,MATCH("거래유형",'04A_국토부원자료'!$A$4:$T$4,0)),"")</f>
        <v/>
      </c>
      <c r="N308" s="152">
        <f>IF(B308="","",IF('02_대상물건입력'!B5="",1,IF(ISNUMBER(SEARCH('02_대상물건입력'!B5,B308)),1,0)))</f>
        <v/>
      </c>
      <c r="O308" s="152">
        <f>IF(B308="","",IF('02_대상물건입력'!B6="",1,IF(ISNUMBER(SEARCH('02_대상물건입력'!B6,B308)),1,0)))</f>
        <v/>
      </c>
      <c r="P308" s="152">
        <f>IF(L308="","",IF('02_대상물건입력'!B15="",0,IF(ISNUMBER(SEARCH('02_대상물건입력'!B15,L308)),1,0)))</f>
        <v/>
      </c>
      <c r="Q308" s="152">
        <f>IF(OR(C308="",L308=""),0,IF(AND(TRIM(C308)=TRIM(RIGHT(SUBSTITUTE(TRIM('02_대상물건입력'!$B$7)," ",REPT(" ",99)),99)),IF('02_대상물건입력'!B15="",TRUE(),ISNUMBER(SEARCH('02_대상물건입력'!B15,L308)))),1,0))</f>
        <v/>
      </c>
      <c r="R308" s="175">
        <f>IFERROR(ABS(E308-'02_대상물건입력'!B11)/'02_대상물건입력'!B11,"")</f>
        <v/>
      </c>
      <c r="S308" s="152">
        <f>IFERROR(ABS(J308-'02_대상물건입력'!B10),"")</f>
        <v/>
      </c>
      <c r="T308" s="152">
        <f>IFERROR(ABS('01_설정'!B4-F308),"")</f>
        <v/>
      </c>
      <c r="U308" s="152">
        <f>IFERROR(ABS(K308-YEAR('02_대상물건입력'!B14)),"")</f>
        <v/>
      </c>
      <c r="V308" s="152">
        <f>IF(B308="","",IF(AND(E308&gt;0,F308&gt;0,H308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308=1,TRUE()),R308&lt;='01_설정'!B5,S308&lt;='01_설정'!B6,T308&lt;='01_설정'!B7,U308&lt;='01_설정'!B8),"Y",""))</f>
        <v/>
      </c>
      <c r="W308" s="172">
        <f>IF(V308&lt;&gt;"Y","",MAX(0,(1-R308/'01_설정'!B5))*'01_설정'!B14+MAX(0,(1-S308/'01_설정'!B6))*'01_설정'!B15+MAX(0,(1-T308/'01_설정'!B7))*'01_설정'!B16+MAX(0,(1-U308/'01_설정'!B8))*'01_설정'!B17+O308*'01_설정'!B11+Q308*'01_설정'!B12+P308*'01_설정'!B13+IF(Z308="",0,Z308))</f>
        <v/>
      </c>
      <c r="X308" s="152">
        <f>IF(W308="","",1+COUNTIFS($W$4:$W$3003,"&gt;"&amp;W308)+COUNTIFS($W$4:W308,W308)-1)</f>
        <v/>
      </c>
      <c r="Y308" s="175">
        <f>IF(OR(I308="",'02_대상물건입력'!B19="",'02_대상물건입력'!B19&lt;=0),"",ABS(I308-'02_대상물건입력'!B19)/'02_대상물건입력'!B19)</f>
        <v/>
      </c>
      <c r="Z308" s="172">
        <f>IF(OR(Y308="",'01_설정'!B31="",'01_설정'!B31&lt;=0,'01_설정'!B32="",'01_설정'!B32&lt;=0),"",MAX(0,(1-Y308/'01_설정'!B32))*'01_설정'!B31)</f>
        <v/>
      </c>
    </row>
    <row r="309" ht="17.25" customHeight="1">
      <c r="A309" s="152">
        <f>IF(INDEX('04A_국토부원자료'!$A:$A,ROW()+1)="","",ROW()-3)</f>
        <v/>
      </c>
      <c r="B309" s="48">
        <f>IFERROR(INDEX('04A_국토부원자료'!$A:$T,ROW()+1,MATCH("시군구",'04A_국토부원자료'!$A$4:$T$4,0)),"")</f>
        <v/>
      </c>
      <c r="C309" s="48">
        <f>IF(B309="","",IFERROR(INDEX('04A_국토부원자료'!$A:$T,ROW()+1,MATCH("번지",'04A_국토부원자료'!$A$4:$T$4,0)),""))</f>
        <v/>
      </c>
      <c r="D309" s="48">
        <f>IF(B309="","",IF(Q309=1,'02_대상물건입력'!$B$8,IFERROR(INDEX('04A_국토부원자료'!$A:$T,ROW()+1,MATCH("단지명",'04A_국토부원자료'!$A$4:$T$4,0)),"")))</f>
        <v/>
      </c>
      <c r="E309" s="172">
        <f>IFERROR(VALUE(SUBSTITUTE(INDEX('04A_국토부원자료'!$A:$T,ROW()+1,MATCH("전용면적(㎡)",'04A_국토부원자료'!$A$4:$T$4,0)),",","")),"")</f>
        <v/>
      </c>
      <c r="F3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09" s="51">
        <f>IFERROR(VALUE(SUBSTITUTE(INDEX('04A_국토부원자료'!$A:$T,ROW()+1,MATCH("거래금액(만원)",'04A_국토부원자료'!$A$4:$T$4,0)),",","")),"")</f>
        <v/>
      </c>
      <c r="H309" s="174">
        <f>IF(G309="","",G309*10000)</f>
        <v/>
      </c>
      <c r="I309" s="174">
        <f>IFERROR(IF(AND(H309&gt;0,E309&gt;0),H309/E309,""),"")</f>
        <v/>
      </c>
      <c r="J309" s="152">
        <f>IFERROR(VALUE(SUBSTITUTE(INDEX('04A_국토부원자료'!$A:$T,ROW()+1,MATCH("층",'04A_국토부원자료'!$A$4:$T$4,0)),",","")),"")</f>
        <v/>
      </c>
      <c r="K309" s="152">
        <f>IFERROR(VALUE(SUBSTITUTE(INDEX('04A_국토부원자료'!$A:$T,ROW()+1,MATCH("건축년도",'04A_국토부원자료'!$A$4:$T$4,0)),",","")),"")</f>
        <v/>
      </c>
      <c r="L309" s="176">
        <f>IFERROR(INDEX('04A_국토부원자료'!$A:$T,ROW()+1,MATCH("도로명",'04A_국토부원자료'!$A$4:$T$4,0)),"")</f>
        <v/>
      </c>
      <c r="M309" s="48">
        <f>IFERROR(INDEX('04A_국토부원자료'!$A:$T,ROW()+1,MATCH("거래유형",'04A_국토부원자료'!$A$4:$T$4,0)),"")</f>
        <v/>
      </c>
      <c r="N309" s="152">
        <f>IF(B309="","",IF('02_대상물건입력'!B5="",1,IF(ISNUMBER(SEARCH('02_대상물건입력'!B5,B309)),1,0)))</f>
        <v/>
      </c>
      <c r="O309" s="152">
        <f>IF(B309="","",IF('02_대상물건입력'!B6="",1,IF(ISNUMBER(SEARCH('02_대상물건입력'!B6,B309)),1,0)))</f>
        <v/>
      </c>
      <c r="P309" s="152">
        <f>IF(L309="","",IF('02_대상물건입력'!B15="",0,IF(ISNUMBER(SEARCH('02_대상물건입력'!B15,L309)),1,0)))</f>
        <v/>
      </c>
      <c r="Q309" s="152">
        <f>IF(OR(C309="",L309=""),0,IF(AND(TRIM(C309)=TRIM(RIGHT(SUBSTITUTE(TRIM('02_대상물건입력'!$B$7)," ",REPT(" ",99)),99)),IF('02_대상물건입력'!B15="",TRUE(),ISNUMBER(SEARCH('02_대상물건입력'!B15,L309)))),1,0))</f>
        <v/>
      </c>
      <c r="R309" s="175">
        <f>IFERROR(ABS(E309-'02_대상물건입력'!B11)/'02_대상물건입력'!B11,"")</f>
        <v/>
      </c>
      <c r="S309" s="152">
        <f>IFERROR(ABS(J309-'02_대상물건입력'!B10),"")</f>
        <v/>
      </c>
      <c r="T309" s="152">
        <f>IFERROR(ABS('01_설정'!B4-F309),"")</f>
        <v/>
      </c>
      <c r="U309" s="152">
        <f>IFERROR(ABS(K309-YEAR('02_대상물건입력'!B14)),"")</f>
        <v/>
      </c>
      <c r="V309" s="152">
        <f>IF(B309="","",IF(AND(E309&gt;0,F309&gt;0,H309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309=1,TRUE()),R309&lt;='01_설정'!B5,S309&lt;='01_설정'!B6,T309&lt;='01_설정'!B7,U309&lt;='01_설정'!B8),"Y",""))</f>
        <v/>
      </c>
      <c r="W309" s="172">
        <f>IF(V309&lt;&gt;"Y","",MAX(0,(1-R309/'01_설정'!B5))*'01_설정'!B14+MAX(0,(1-S309/'01_설정'!B6))*'01_설정'!B15+MAX(0,(1-T309/'01_설정'!B7))*'01_설정'!B16+MAX(0,(1-U309/'01_설정'!B8))*'01_설정'!B17+O309*'01_설정'!B11+Q309*'01_설정'!B12+P309*'01_설정'!B13+IF(Z309="",0,Z309))</f>
        <v/>
      </c>
      <c r="X309" s="152">
        <f>IF(W309="","",1+COUNTIFS($W$4:$W$3003,"&gt;"&amp;W309)+COUNTIFS($W$4:W309,W309)-1)</f>
        <v/>
      </c>
      <c r="Y309" s="175">
        <f>IF(OR(I309="",'02_대상물건입력'!B19="",'02_대상물건입력'!B19&lt;=0),"",ABS(I309-'02_대상물건입력'!B19)/'02_대상물건입력'!B19)</f>
        <v/>
      </c>
      <c r="Z309" s="172">
        <f>IF(OR(Y309="",'01_설정'!B31="",'01_설정'!B31&lt;=0,'01_설정'!B32="",'01_설정'!B32&lt;=0),"",MAX(0,(1-Y309/'01_설정'!B32))*'01_설정'!B31)</f>
        <v/>
      </c>
    </row>
    <row r="310" ht="17.25" customHeight="1">
      <c r="A310" s="152">
        <f>IF(INDEX('04A_국토부원자료'!$A:$A,ROW()+1)="","",ROW()-3)</f>
        <v/>
      </c>
      <c r="B310" s="48">
        <f>IFERROR(INDEX('04A_국토부원자료'!$A:$T,ROW()+1,MATCH("시군구",'04A_국토부원자료'!$A$4:$T$4,0)),"")</f>
        <v/>
      </c>
      <c r="C310" s="48">
        <f>IF(B310="","",IFERROR(INDEX('04A_국토부원자료'!$A:$T,ROW()+1,MATCH("번지",'04A_국토부원자료'!$A$4:$T$4,0)),""))</f>
        <v/>
      </c>
      <c r="D310" s="48">
        <f>IF(B310="","",IF(Q310=1,'02_대상물건입력'!$B$8,IFERROR(INDEX('04A_국토부원자료'!$A:$T,ROW()+1,MATCH("단지명",'04A_국토부원자료'!$A$4:$T$4,0)),"")))</f>
        <v/>
      </c>
      <c r="E310" s="172">
        <f>IFERROR(VALUE(SUBSTITUTE(INDEX('04A_국토부원자료'!$A:$T,ROW()+1,MATCH("전용면적(㎡)",'04A_국토부원자료'!$A$4:$T$4,0)),",","")),"")</f>
        <v/>
      </c>
      <c r="F3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10" s="51">
        <f>IFERROR(VALUE(SUBSTITUTE(INDEX('04A_국토부원자료'!$A:$T,ROW()+1,MATCH("거래금액(만원)",'04A_국토부원자료'!$A$4:$T$4,0)),",","")),"")</f>
        <v/>
      </c>
      <c r="H310" s="174">
        <f>IF(G310="","",G310*10000)</f>
        <v/>
      </c>
      <c r="I310" s="174">
        <f>IFERROR(IF(AND(H310&gt;0,E310&gt;0),H310/E310,""),"")</f>
        <v/>
      </c>
      <c r="J310" s="152">
        <f>IFERROR(VALUE(SUBSTITUTE(INDEX('04A_국토부원자료'!$A:$T,ROW()+1,MATCH("층",'04A_국토부원자료'!$A$4:$T$4,0)),",","")),"")</f>
        <v/>
      </c>
      <c r="K310" s="152">
        <f>IFERROR(VALUE(SUBSTITUTE(INDEX('04A_국토부원자료'!$A:$T,ROW()+1,MATCH("건축년도",'04A_국토부원자료'!$A$4:$T$4,0)),",","")),"")</f>
        <v/>
      </c>
      <c r="L310" s="176">
        <f>IFERROR(INDEX('04A_국토부원자료'!$A:$T,ROW()+1,MATCH("도로명",'04A_국토부원자료'!$A$4:$T$4,0)),"")</f>
        <v/>
      </c>
      <c r="M310" s="48">
        <f>IFERROR(INDEX('04A_국토부원자료'!$A:$T,ROW()+1,MATCH("거래유형",'04A_국토부원자료'!$A$4:$T$4,0)),"")</f>
        <v/>
      </c>
      <c r="N310" s="152">
        <f>IF(B310="","",IF('02_대상물건입력'!B5="",1,IF(ISNUMBER(SEARCH('02_대상물건입력'!B5,B310)),1,0)))</f>
        <v/>
      </c>
      <c r="O310" s="152">
        <f>IF(B310="","",IF('02_대상물건입력'!B6="",1,IF(ISNUMBER(SEARCH('02_대상물건입력'!B6,B310)),1,0)))</f>
        <v/>
      </c>
      <c r="P310" s="152">
        <f>IF(L310="","",IF('02_대상물건입력'!B15="",0,IF(ISNUMBER(SEARCH('02_대상물건입력'!B15,L310)),1,0)))</f>
        <v/>
      </c>
      <c r="Q310" s="152">
        <f>IF(OR(C310="",L310=""),0,IF(AND(TRIM(C310)=TRIM(RIGHT(SUBSTITUTE(TRIM('02_대상물건입력'!$B$7)," ",REPT(" ",99)),99)),IF('02_대상물건입력'!B15="",TRUE(),ISNUMBER(SEARCH('02_대상물건입력'!B15,L310)))),1,0))</f>
        <v/>
      </c>
      <c r="R310" s="175">
        <f>IFERROR(ABS(E310-'02_대상물건입력'!B11)/'02_대상물건입력'!B11,"")</f>
        <v/>
      </c>
      <c r="S310" s="152">
        <f>IFERROR(ABS(J310-'02_대상물건입력'!B10),"")</f>
        <v/>
      </c>
      <c r="T310" s="152">
        <f>IFERROR(ABS('01_설정'!B4-F310),"")</f>
        <v/>
      </c>
      <c r="U310" s="152">
        <f>IFERROR(ABS(K310-YEAR('02_대상물건입력'!B14)),"")</f>
        <v/>
      </c>
      <c r="V310" s="152">
        <f>IF(B310="","",IF(AND(E310&gt;0,F310&gt;0,H310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310=1,TRUE()),R310&lt;='01_설정'!B5,S310&lt;='01_설정'!B6,T310&lt;='01_설정'!B7,U310&lt;='01_설정'!B8),"Y",""))</f>
        <v/>
      </c>
      <c r="W310" s="172">
        <f>IF(V310&lt;&gt;"Y","",MAX(0,(1-R310/'01_설정'!B5))*'01_설정'!B14+MAX(0,(1-S310/'01_설정'!B6))*'01_설정'!B15+MAX(0,(1-T310/'01_설정'!B7))*'01_설정'!B16+MAX(0,(1-U310/'01_설정'!B8))*'01_설정'!B17+O310*'01_설정'!B11+Q310*'01_설정'!B12+P310*'01_설정'!B13+IF(Z310="",0,Z310))</f>
        <v/>
      </c>
      <c r="X310" s="152">
        <f>IF(W310="","",1+COUNTIFS($W$4:$W$3003,"&gt;"&amp;W310)+COUNTIFS($W$4:W310,W310)-1)</f>
        <v/>
      </c>
      <c r="Y310" s="175">
        <f>IF(OR(I310="",'02_대상물건입력'!B19="",'02_대상물건입력'!B19&lt;=0),"",ABS(I310-'02_대상물건입력'!B19)/'02_대상물건입력'!B19)</f>
        <v/>
      </c>
      <c r="Z310" s="172">
        <f>IF(OR(Y310="",'01_설정'!B31="",'01_설정'!B31&lt;=0,'01_설정'!B32="",'01_설정'!B32&lt;=0),"",MAX(0,(1-Y310/'01_설정'!B32))*'01_설정'!B31)</f>
        <v/>
      </c>
    </row>
    <row r="311" ht="17.25" customHeight="1">
      <c r="A311" s="152">
        <f>IF(INDEX('04A_국토부원자료'!$A:$A,ROW()+1)="","",ROW()-3)</f>
        <v/>
      </c>
      <c r="B311" s="48">
        <f>IFERROR(INDEX('04A_국토부원자료'!$A:$T,ROW()+1,MATCH("시군구",'04A_국토부원자료'!$A$4:$T$4,0)),"")</f>
        <v/>
      </c>
      <c r="C311" s="48">
        <f>IF(B311="","",IFERROR(INDEX('04A_국토부원자료'!$A:$T,ROW()+1,MATCH("번지",'04A_국토부원자료'!$A$4:$T$4,0)),""))</f>
        <v/>
      </c>
      <c r="D311" s="48">
        <f>IF(B311="","",IF(Q311=1,'02_대상물건입력'!$B$8,IFERROR(INDEX('04A_국토부원자료'!$A:$T,ROW()+1,MATCH("단지명",'04A_국토부원자료'!$A$4:$T$4,0)),"")))</f>
        <v/>
      </c>
      <c r="E311" s="172">
        <f>IFERROR(VALUE(SUBSTITUTE(INDEX('04A_국토부원자료'!$A:$T,ROW()+1,MATCH("전용면적(㎡)",'04A_국토부원자료'!$A$4:$T$4,0)),",","")),"")</f>
        <v/>
      </c>
      <c r="F3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11" s="51">
        <f>IFERROR(VALUE(SUBSTITUTE(INDEX('04A_국토부원자료'!$A:$T,ROW()+1,MATCH("거래금액(만원)",'04A_국토부원자료'!$A$4:$T$4,0)),",","")),"")</f>
        <v/>
      </c>
      <c r="H311" s="174">
        <f>IF(G311="","",G311*10000)</f>
        <v/>
      </c>
      <c r="I311" s="174">
        <f>IFERROR(IF(AND(H311&gt;0,E311&gt;0),H311/E311,""),"")</f>
        <v/>
      </c>
      <c r="J311" s="152">
        <f>IFERROR(VALUE(SUBSTITUTE(INDEX('04A_국토부원자료'!$A:$T,ROW()+1,MATCH("층",'04A_국토부원자료'!$A$4:$T$4,0)),",","")),"")</f>
        <v/>
      </c>
      <c r="K311" s="152">
        <f>IFERROR(VALUE(SUBSTITUTE(INDEX('04A_국토부원자료'!$A:$T,ROW()+1,MATCH("건축년도",'04A_국토부원자료'!$A$4:$T$4,0)),",","")),"")</f>
        <v/>
      </c>
      <c r="L311" s="176">
        <f>IFERROR(INDEX('04A_국토부원자료'!$A:$T,ROW()+1,MATCH("도로명",'04A_국토부원자료'!$A$4:$T$4,0)),"")</f>
        <v/>
      </c>
      <c r="M311" s="48">
        <f>IFERROR(INDEX('04A_국토부원자료'!$A:$T,ROW()+1,MATCH("거래유형",'04A_국토부원자료'!$A$4:$T$4,0)),"")</f>
        <v/>
      </c>
      <c r="N311" s="152">
        <f>IF(B311="","",IF('02_대상물건입력'!B5="",1,IF(ISNUMBER(SEARCH('02_대상물건입력'!B5,B311)),1,0)))</f>
        <v/>
      </c>
      <c r="O311" s="152">
        <f>IF(B311="","",IF('02_대상물건입력'!B6="",1,IF(ISNUMBER(SEARCH('02_대상물건입력'!B6,B311)),1,0)))</f>
        <v/>
      </c>
      <c r="P311" s="152">
        <f>IF(L311="","",IF('02_대상물건입력'!B15="",0,IF(ISNUMBER(SEARCH('02_대상물건입력'!B15,L311)),1,0)))</f>
        <v/>
      </c>
      <c r="Q311" s="152">
        <f>IF(OR(C311="",L311=""),0,IF(AND(TRIM(C311)=TRIM(RIGHT(SUBSTITUTE(TRIM('02_대상물건입력'!$B$7)," ",REPT(" ",99)),99)),IF('02_대상물건입력'!B15="",TRUE(),ISNUMBER(SEARCH('02_대상물건입력'!B15,L311)))),1,0))</f>
        <v/>
      </c>
      <c r="R311" s="175">
        <f>IFERROR(ABS(E311-'02_대상물건입력'!B11)/'02_대상물건입력'!B11,"")</f>
        <v/>
      </c>
      <c r="S311" s="152">
        <f>IFERROR(ABS(J311-'02_대상물건입력'!B10),"")</f>
        <v/>
      </c>
      <c r="T311" s="152">
        <f>IFERROR(ABS('01_설정'!B4-F311),"")</f>
        <v/>
      </c>
      <c r="U311" s="152">
        <f>IFERROR(ABS(K311-YEAR('02_대상물건입력'!B14)),"")</f>
        <v/>
      </c>
      <c r="V311" s="152">
        <f>IF(B311="","",IF(AND(E311&gt;0,F311&gt;0,H311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311=1,TRUE()),R311&lt;='01_설정'!B5,S311&lt;='01_설정'!B6,T311&lt;='01_설정'!B7,U311&lt;='01_설정'!B8),"Y",""))</f>
        <v/>
      </c>
      <c r="W311" s="172">
        <f>IF(V311&lt;&gt;"Y","",MAX(0,(1-R311/'01_설정'!B5))*'01_설정'!B14+MAX(0,(1-S311/'01_설정'!B6))*'01_설정'!B15+MAX(0,(1-T311/'01_설정'!B7))*'01_설정'!B16+MAX(0,(1-U311/'01_설정'!B8))*'01_설정'!B17+O311*'01_설정'!B11+Q311*'01_설정'!B12+P311*'01_설정'!B13+IF(Z311="",0,Z311))</f>
        <v/>
      </c>
      <c r="X311" s="152">
        <f>IF(W311="","",1+COUNTIFS($W$4:$W$3003,"&gt;"&amp;W311)+COUNTIFS($W$4:W311,W311)-1)</f>
        <v/>
      </c>
      <c r="Y311" s="175">
        <f>IF(OR(I311="",'02_대상물건입력'!B19="",'02_대상물건입력'!B19&lt;=0),"",ABS(I311-'02_대상물건입력'!B19)/'02_대상물건입력'!B19)</f>
        <v/>
      </c>
      <c r="Z311" s="172">
        <f>IF(OR(Y311="",'01_설정'!B31="",'01_설정'!B31&lt;=0,'01_설정'!B32="",'01_설정'!B32&lt;=0),"",MAX(0,(1-Y311/'01_설정'!B32))*'01_설정'!B31)</f>
        <v/>
      </c>
    </row>
    <row r="312" ht="17.25" customHeight="1">
      <c r="A312" s="152">
        <f>IF(INDEX('04A_국토부원자료'!$A:$A,ROW()+1)="","",ROW()-3)</f>
        <v/>
      </c>
      <c r="B312" s="48">
        <f>IFERROR(INDEX('04A_국토부원자료'!$A:$T,ROW()+1,MATCH("시군구",'04A_국토부원자료'!$A$4:$T$4,0)),"")</f>
        <v/>
      </c>
      <c r="C312" s="48">
        <f>IF(B312="","",IFERROR(INDEX('04A_국토부원자료'!$A:$T,ROW()+1,MATCH("번지",'04A_국토부원자료'!$A$4:$T$4,0)),""))</f>
        <v/>
      </c>
      <c r="D312" s="48">
        <f>IF(B312="","",IF(Q312=1,'02_대상물건입력'!$B$8,IFERROR(INDEX('04A_국토부원자료'!$A:$T,ROW()+1,MATCH("단지명",'04A_국토부원자료'!$A$4:$T$4,0)),"")))</f>
        <v/>
      </c>
      <c r="E312" s="172">
        <f>IFERROR(VALUE(SUBSTITUTE(INDEX('04A_국토부원자료'!$A:$T,ROW()+1,MATCH("전용면적(㎡)",'04A_국토부원자료'!$A$4:$T$4,0)),",","")),"")</f>
        <v/>
      </c>
      <c r="F3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12" s="51">
        <f>IFERROR(VALUE(SUBSTITUTE(INDEX('04A_국토부원자료'!$A:$T,ROW()+1,MATCH("거래금액(만원)",'04A_국토부원자료'!$A$4:$T$4,0)),",","")),"")</f>
        <v/>
      </c>
      <c r="H312" s="174">
        <f>IF(G312="","",G312*10000)</f>
        <v/>
      </c>
      <c r="I312" s="174">
        <f>IFERROR(IF(AND(H312&gt;0,E312&gt;0),H312/E312,""),"")</f>
        <v/>
      </c>
      <c r="J312" s="152">
        <f>IFERROR(VALUE(SUBSTITUTE(INDEX('04A_국토부원자료'!$A:$T,ROW()+1,MATCH("층",'04A_국토부원자료'!$A$4:$T$4,0)),",","")),"")</f>
        <v/>
      </c>
      <c r="K312" s="152">
        <f>IFERROR(VALUE(SUBSTITUTE(INDEX('04A_국토부원자료'!$A:$T,ROW()+1,MATCH("건축년도",'04A_국토부원자료'!$A$4:$T$4,0)),",","")),"")</f>
        <v/>
      </c>
      <c r="L312" s="176">
        <f>IFERROR(INDEX('04A_국토부원자료'!$A:$T,ROW()+1,MATCH("도로명",'04A_국토부원자료'!$A$4:$T$4,0)),"")</f>
        <v/>
      </c>
      <c r="M312" s="48">
        <f>IFERROR(INDEX('04A_국토부원자료'!$A:$T,ROW()+1,MATCH("거래유형",'04A_국토부원자료'!$A$4:$T$4,0)),"")</f>
        <v/>
      </c>
      <c r="N312" s="152">
        <f>IF(B312="","",IF('02_대상물건입력'!B5="",1,IF(ISNUMBER(SEARCH('02_대상물건입력'!B5,B312)),1,0)))</f>
        <v/>
      </c>
      <c r="O312" s="152">
        <f>IF(B312="","",IF('02_대상물건입력'!B6="",1,IF(ISNUMBER(SEARCH('02_대상물건입력'!B6,B312)),1,0)))</f>
        <v/>
      </c>
      <c r="P312" s="152">
        <f>IF(L312="","",IF('02_대상물건입력'!B15="",0,IF(ISNUMBER(SEARCH('02_대상물건입력'!B15,L312)),1,0)))</f>
        <v/>
      </c>
      <c r="Q312" s="152">
        <f>IF(OR(C312="",L312=""),0,IF(AND(TRIM(C312)=TRIM(RIGHT(SUBSTITUTE(TRIM('02_대상물건입력'!$B$7)," ",REPT(" ",99)),99)),IF('02_대상물건입력'!B15="",TRUE(),ISNUMBER(SEARCH('02_대상물건입력'!B15,L312)))),1,0))</f>
        <v/>
      </c>
      <c r="R312" s="175">
        <f>IFERROR(ABS(E312-'02_대상물건입력'!B11)/'02_대상물건입력'!B11,"")</f>
        <v/>
      </c>
      <c r="S312" s="152">
        <f>IFERROR(ABS(J312-'02_대상물건입력'!B10),"")</f>
        <v/>
      </c>
      <c r="T312" s="152">
        <f>IFERROR(ABS('01_설정'!B4-F312),"")</f>
        <v/>
      </c>
      <c r="U312" s="152">
        <f>IFERROR(ABS(K312-YEAR('02_대상물건입력'!B14)),"")</f>
        <v/>
      </c>
      <c r="V312" s="152">
        <f>IF(B312="","",IF(AND(E312&gt;0,F312&gt;0,H312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312=1,TRUE()),R312&lt;='01_설정'!B5,S312&lt;='01_설정'!B6,T312&lt;='01_설정'!B7,U312&lt;='01_설정'!B8),"Y",""))</f>
        <v/>
      </c>
      <c r="W312" s="172">
        <f>IF(V312&lt;&gt;"Y","",MAX(0,(1-R312/'01_설정'!B5))*'01_설정'!B14+MAX(0,(1-S312/'01_설정'!B6))*'01_설정'!B15+MAX(0,(1-T312/'01_설정'!B7))*'01_설정'!B16+MAX(0,(1-U312/'01_설정'!B8))*'01_설정'!B17+O312*'01_설정'!B11+Q312*'01_설정'!B12+P312*'01_설정'!B13+IF(Z312="",0,Z312))</f>
        <v/>
      </c>
      <c r="X312" s="152">
        <f>IF(W312="","",1+COUNTIFS($W$4:$W$3003,"&gt;"&amp;W312)+COUNTIFS($W$4:W312,W312)-1)</f>
        <v/>
      </c>
      <c r="Y312" s="175">
        <f>IF(OR(I312="",'02_대상물건입력'!B19="",'02_대상물건입력'!B19&lt;=0),"",ABS(I312-'02_대상물건입력'!B19)/'02_대상물건입력'!B19)</f>
        <v/>
      </c>
      <c r="Z312" s="172">
        <f>IF(OR(Y312="",'01_설정'!B31="",'01_설정'!B31&lt;=0,'01_설정'!B32="",'01_설정'!B32&lt;=0),"",MAX(0,(1-Y312/'01_설정'!B32))*'01_설정'!B31)</f>
        <v/>
      </c>
    </row>
    <row r="313" ht="17.25" customHeight="1">
      <c r="A313" s="152">
        <f>IF(INDEX('04A_국토부원자료'!$A:$A,ROW()+1)="","",ROW()-3)</f>
        <v/>
      </c>
      <c r="B313" s="48">
        <f>IFERROR(INDEX('04A_국토부원자료'!$A:$T,ROW()+1,MATCH("시군구",'04A_국토부원자료'!$A$4:$T$4,0)),"")</f>
        <v/>
      </c>
      <c r="C313" s="48">
        <f>IF(B313="","",IFERROR(INDEX('04A_국토부원자료'!$A:$T,ROW()+1,MATCH("번지",'04A_국토부원자료'!$A$4:$T$4,0)),""))</f>
        <v/>
      </c>
      <c r="D313" s="48">
        <f>IF(B313="","",IF(Q313=1,'02_대상물건입력'!$B$8,IFERROR(INDEX('04A_국토부원자료'!$A:$T,ROW()+1,MATCH("단지명",'04A_국토부원자료'!$A$4:$T$4,0)),"")))</f>
        <v/>
      </c>
      <c r="E313" s="172">
        <f>IFERROR(VALUE(SUBSTITUTE(INDEX('04A_국토부원자료'!$A:$T,ROW()+1,MATCH("전용면적(㎡)",'04A_국토부원자료'!$A$4:$T$4,0)),",","")),"")</f>
        <v/>
      </c>
      <c r="F3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13" s="51">
        <f>IFERROR(VALUE(SUBSTITUTE(INDEX('04A_국토부원자료'!$A:$T,ROW()+1,MATCH("거래금액(만원)",'04A_국토부원자료'!$A$4:$T$4,0)),",","")),"")</f>
        <v/>
      </c>
      <c r="H313" s="174">
        <f>IF(G313="","",G313*10000)</f>
        <v/>
      </c>
      <c r="I313" s="174">
        <f>IFERROR(IF(AND(H313&gt;0,E313&gt;0),H313/E313,""),"")</f>
        <v/>
      </c>
      <c r="J313" s="152">
        <f>IFERROR(VALUE(SUBSTITUTE(INDEX('04A_국토부원자료'!$A:$T,ROW()+1,MATCH("층",'04A_국토부원자료'!$A$4:$T$4,0)),",","")),"")</f>
        <v/>
      </c>
      <c r="K313" s="152">
        <f>IFERROR(VALUE(SUBSTITUTE(INDEX('04A_국토부원자료'!$A:$T,ROW()+1,MATCH("건축년도",'04A_국토부원자료'!$A$4:$T$4,0)),",","")),"")</f>
        <v/>
      </c>
      <c r="L313" s="176">
        <f>IFERROR(INDEX('04A_국토부원자료'!$A:$T,ROW()+1,MATCH("도로명",'04A_국토부원자료'!$A$4:$T$4,0)),"")</f>
        <v/>
      </c>
      <c r="M313" s="48">
        <f>IFERROR(INDEX('04A_국토부원자료'!$A:$T,ROW()+1,MATCH("거래유형",'04A_국토부원자료'!$A$4:$T$4,0)),"")</f>
        <v/>
      </c>
      <c r="N313" s="152">
        <f>IF(B313="","",IF('02_대상물건입력'!B5="",1,IF(ISNUMBER(SEARCH('02_대상물건입력'!B5,B313)),1,0)))</f>
        <v/>
      </c>
      <c r="O313" s="152">
        <f>IF(B313="","",IF('02_대상물건입력'!B6="",1,IF(ISNUMBER(SEARCH('02_대상물건입력'!B6,B313)),1,0)))</f>
        <v/>
      </c>
      <c r="P313" s="152">
        <f>IF(L313="","",IF('02_대상물건입력'!B15="",0,IF(ISNUMBER(SEARCH('02_대상물건입력'!B15,L313)),1,0)))</f>
        <v/>
      </c>
      <c r="Q313" s="152">
        <f>IF(OR(C313="",L313=""),0,IF(AND(TRIM(C313)=TRIM(RIGHT(SUBSTITUTE(TRIM('02_대상물건입력'!$B$7)," ",REPT(" ",99)),99)),IF('02_대상물건입력'!B15="",TRUE(),ISNUMBER(SEARCH('02_대상물건입력'!B15,L313)))),1,0))</f>
        <v/>
      </c>
      <c r="R313" s="175">
        <f>IFERROR(ABS(E313-'02_대상물건입력'!B11)/'02_대상물건입력'!B11,"")</f>
        <v/>
      </c>
      <c r="S313" s="152">
        <f>IFERROR(ABS(J313-'02_대상물건입력'!B10),"")</f>
        <v/>
      </c>
      <c r="T313" s="152">
        <f>IFERROR(ABS('01_설정'!B4-F313),"")</f>
        <v/>
      </c>
      <c r="U313" s="152">
        <f>IFERROR(ABS(K313-YEAR('02_대상물건입력'!B14)),"")</f>
        <v/>
      </c>
      <c r="V313" s="152">
        <f>IF(B313="","",IF(AND(E313&gt;0,F313&gt;0,H313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313=1,TRUE()),R313&lt;='01_설정'!B5,S313&lt;='01_설정'!B6,T313&lt;='01_설정'!B7,U313&lt;='01_설정'!B8),"Y",""))</f>
        <v/>
      </c>
      <c r="W313" s="172">
        <f>IF(V313&lt;&gt;"Y","",MAX(0,(1-R313/'01_설정'!B5))*'01_설정'!B14+MAX(0,(1-S313/'01_설정'!B6))*'01_설정'!B15+MAX(0,(1-T313/'01_설정'!B7))*'01_설정'!B16+MAX(0,(1-U313/'01_설정'!B8))*'01_설정'!B17+O313*'01_설정'!B11+Q313*'01_설정'!B12+P313*'01_설정'!B13+IF(Z313="",0,Z313))</f>
        <v/>
      </c>
      <c r="X313" s="152">
        <f>IF(W313="","",1+COUNTIFS($W$4:$W$3003,"&gt;"&amp;W313)+COUNTIFS($W$4:W313,W313)-1)</f>
        <v/>
      </c>
      <c r="Y313" s="175">
        <f>IF(OR(I313="",'02_대상물건입력'!B19="",'02_대상물건입력'!B19&lt;=0),"",ABS(I313-'02_대상물건입력'!B19)/'02_대상물건입력'!B19)</f>
        <v/>
      </c>
      <c r="Z313" s="172">
        <f>IF(OR(Y313="",'01_설정'!B31="",'01_설정'!B31&lt;=0,'01_설정'!B32="",'01_설정'!B32&lt;=0),"",MAX(0,(1-Y313/'01_설정'!B32))*'01_설정'!B31)</f>
        <v/>
      </c>
    </row>
    <row r="314" ht="17.25" customHeight="1">
      <c r="A314" s="152">
        <f>IF(INDEX('04A_국토부원자료'!$A:$A,ROW()+1)="","",ROW()-3)</f>
        <v/>
      </c>
      <c r="B314" s="48">
        <f>IFERROR(INDEX('04A_국토부원자료'!$A:$T,ROW()+1,MATCH("시군구",'04A_국토부원자료'!$A$4:$T$4,0)),"")</f>
        <v/>
      </c>
      <c r="C314" s="48">
        <f>IF(B314="","",IFERROR(INDEX('04A_국토부원자료'!$A:$T,ROW()+1,MATCH("번지",'04A_국토부원자료'!$A$4:$T$4,0)),""))</f>
        <v/>
      </c>
      <c r="D314" s="48">
        <f>IF(B314="","",IF(Q314=1,'02_대상물건입력'!$B$8,IFERROR(INDEX('04A_국토부원자료'!$A:$T,ROW()+1,MATCH("단지명",'04A_국토부원자료'!$A$4:$T$4,0)),"")))</f>
        <v/>
      </c>
      <c r="E314" s="172">
        <f>IFERROR(VALUE(SUBSTITUTE(INDEX('04A_국토부원자료'!$A:$T,ROW()+1,MATCH("전용면적(㎡)",'04A_국토부원자료'!$A$4:$T$4,0)),",","")),"")</f>
        <v/>
      </c>
      <c r="F3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14" s="51">
        <f>IFERROR(VALUE(SUBSTITUTE(INDEX('04A_국토부원자료'!$A:$T,ROW()+1,MATCH("거래금액(만원)",'04A_국토부원자료'!$A$4:$T$4,0)),",","")),"")</f>
        <v/>
      </c>
      <c r="H314" s="174">
        <f>IF(G314="","",G314*10000)</f>
        <v/>
      </c>
      <c r="I314" s="174">
        <f>IFERROR(IF(AND(H314&gt;0,E314&gt;0),H314/E314,""),"")</f>
        <v/>
      </c>
      <c r="J314" s="152">
        <f>IFERROR(VALUE(SUBSTITUTE(INDEX('04A_국토부원자료'!$A:$T,ROW()+1,MATCH("층",'04A_국토부원자료'!$A$4:$T$4,0)),",","")),"")</f>
        <v/>
      </c>
      <c r="K314" s="152">
        <f>IFERROR(VALUE(SUBSTITUTE(INDEX('04A_국토부원자료'!$A:$T,ROW()+1,MATCH("건축년도",'04A_국토부원자료'!$A$4:$T$4,0)),",","")),"")</f>
        <v/>
      </c>
      <c r="L314" s="176">
        <f>IFERROR(INDEX('04A_국토부원자료'!$A:$T,ROW()+1,MATCH("도로명",'04A_국토부원자료'!$A$4:$T$4,0)),"")</f>
        <v/>
      </c>
      <c r="M314" s="48">
        <f>IFERROR(INDEX('04A_국토부원자료'!$A:$T,ROW()+1,MATCH("거래유형",'04A_국토부원자료'!$A$4:$T$4,0)),"")</f>
        <v/>
      </c>
      <c r="N314" s="152">
        <f>IF(B314="","",IF('02_대상물건입력'!B5="",1,IF(ISNUMBER(SEARCH('02_대상물건입력'!B5,B314)),1,0)))</f>
        <v/>
      </c>
      <c r="O314" s="152">
        <f>IF(B314="","",IF('02_대상물건입력'!B6="",1,IF(ISNUMBER(SEARCH('02_대상물건입력'!B6,B314)),1,0)))</f>
        <v/>
      </c>
      <c r="P314" s="152">
        <f>IF(L314="","",IF('02_대상물건입력'!B15="",0,IF(ISNUMBER(SEARCH('02_대상물건입력'!B15,L314)),1,0)))</f>
        <v/>
      </c>
      <c r="Q314" s="152">
        <f>IF(OR(C314="",L314=""),0,IF(AND(TRIM(C314)=TRIM(RIGHT(SUBSTITUTE(TRIM('02_대상물건입력'!$B$7)," ",REPT(" ",99)),99)),IF('02_대상물건입력'!B15="",TRUE(),ISNUMBER(SEARCH('02_대상물건입력'!B15,L314)))),1,0))</f>
        <v/>
      </c>
      <c r="R314" s="175">
        <f>IFERROR(ABS(E314-'02_대상물건입력'!B11)/'02_대상물건입력'!B11,"")</f>
        <v/>
      </c>
      <c r="S314" s="152">
        <f>IFERROR(ABS(J314-'02_대상물건입력'!B10),"")</f>
        <v/>
      </c>
      <c r="T314" s="152">
        <f>IFERROR(ABS('01_설정'!B4-F314),"")</f>
        <v/>
      </c>
      <c r="U314" s="152">
        <f>IFERROR(ABS(K314-YEAR('02_대상물건입력'!B14)),"")</f>
        <v/>
      </c>
      <c r="V314" s="152">
        <f>IF(B314="","",IF(AND(E314&gt;0,F314&gt;0,H314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314=1,TRUE()),R314&lt;='01_설정'!B5,S314&lt;='01_설정'!B6,T314&lt;='01_설정'!B7,U314&lt;='01_설정'!B8),"Y",""))</f>
        <v/>
      </c>
      <c r="W314" s="172">
        <f>IF(V314&lt;&gt;"Y","",MAX(0,(1-R314/'01_설정'!B5))*'01_설정'!B14+MAX(0,(1-S314/'01_설정'!B6))*'01_설정'!B15+MAX(0,(1-T314/'01_설정'!B7))*'01_설정'!B16+MAX(0,(1-U314/'01_설정'!B8))*'01_설정'!B17+O314*'01_설정'!B11+Q314*'01_설정'!B12+P314*'01_설정'!B13+IF(Z314="",0,Z314))</f>
        <v/>
      </c>
      <c r="X314" s="152">
        <f>IF(W314="","",1+COUNTIFS($W$4:$W$3003,"&gt;"&amp;W314)+COUNTIFS($W$4:W314,W314)-1)</f>
        <v/>
      </c>
      <c r="Y314" s="175">
        <f>IF(OR(I314="",'02_대상물건입력'!B19="",'02_대상물건입력'!B19&lt;=0),"",ABS(I314-'02_대상물건입력'!B19)/'02_대상물건입력'!B19)</f>
        <v/>
      </c>
      <c r="Z314" s="172">
        <f>IF(OR(Y314="",'01_설정'!B31="",'01_설정'!B31&lt;=0,'01_설정'!B32="",'01_설정'!B32&lt;=0),"",MAX(0,(1-Y314/'01_설정'!B32))*'01_설정'!B31)</f>
        <v/>
      </c>
    </row>
    <row r="315" ht="17.25" customHeight="1">
      <c r="A315" s="152">
        <f>IF(INDEX('04A_국토부원자료'!$A:$A,ROW()+1)="","",ROW()-3)</f>
        <v/>
      </c>
      <c r="B315" s="48">
        <f>IFERROR(INDEX('04A_국토부원자료'!$A:$T,ROW()+1,MATCH("시군구",'04A_국토부원자료'!$A$4:$T$4,0)),"")</f>
        <v/>
      </c>
      <c r="C315" s="48">
        <f>IF(B315="","",IFERROR(INDEX('04A_국토부원자료'!$A:$T,ROW()+1,MATCH("번지",'04A_국토부원자료'!$A$4:$T$4,0)),""))</f>
        <v/>
      </c>
      <c r="D315" s="48">
        <f>IF(B315="","",IF(Q315=1,'02_대상물건입력'!$B$8,IFERROR(INDEX('04A_국토부원자료'!$A:$T,ROW()+1,MATCH("단지명",'04A_국토부원자료'!$A$4:$T$4,0)),"")))</f>
        <v/>
      </c>
      <c r="E315" s="172">
        <f>IFERROR(VALUE(SUBSTITUTE(INDEX('04A_국토부원자료'!$A:$T,ROW()+1,MATCH("전용면적(㎡)",'04A_국토부원자료'!$A$4:$T$4,0)),",","")),"")</f>
        <v/>
      </c>
      <c r="F3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15" s="51">
        <f>IFERROR(VALUE(SUBSTITUTE(INDEX('04A_국토부원자료'!$A:$T,ROW()+1,MATCH("거래금액(만원)",'04A_국토부원자료'!$A$4:$T$4,0)),",","")),"")</f>
        <v/>
      </c>
      <c r="H315" s="174">
        <f>IF(G315="","",G315*10000)</f>
        <v/>
      </c>
      <c r="I315" s="174">
        <f>IFERROR(IF(AND(H315&gt;0,E315&gt;0),H315/E315,""),"")</f>
        <v/>
      </c>
      <c r="J315" s="152">
        <f>IFERROR(VALUE(SUBSTITUTE(INDEX('04A_국토부원자료'!$A:$T,ROW()+1,MATCH("층",'04A_국토부원자료'!$A$4:$T$4,0)),",","")),"")</f>
        <v/>
      </c>
      <c r="K315" s="152">
        <f>IFERROR(VALUE(SUBSTITUTE(INDEX('04A_국토부원자료'!$A:$T,ROW()+1,MATCH("건축년도",'04A_국토부원자료'!$A$4:$T$4,0)),",","")),"")</f>
        <v/>
      </c>
      <c r="L315" s="176">
        <f>IFERROR(INDEX('04A_국토부원자료'!$A:$T,ROW()+1,MATCH("도로명",'04A_국토부원자료'!$A$4:$T$4,0)),"")</f>
        <v/>
      </c>
      <c r="M315" s="48">
        <f>IFERROR(INDEX('04A_국토부원자료'!$A:$T,ROW()+1,MATCH("거래유형",'04A_국토부원자료'!$A$4:$T$4,0)),"")</f>
        <v/>
      </c>
      <c r="N315" s="152">
        <f>IF(B315="","",IF('02_대상물건입력'!B5="",1,IF(ISNUMBER(SEARCH('02_대상물건입력'!B5,B315)),1,0)))</f>
        <v/>
      </c>
      <c r="O315" s="152">
        <f>IF(B315="","",IF('02_대상물건입력'!B6="",1,IF(ISNUMBER(SEARCH('02_대상물건입력'!B6,B315)),1,0)))</f>
        <v/>
      </c>
      <c r="P315" s="152">
        <f>IF(L315="","",IF('02_대상물건입력'!B15="",0,IF(ISNUMBER(SEARCH('02_대상물건입력'!B15,L315)),1,0)))</f>
        <v/>
      </c>
      <c r="Q315" s="152">
        <f>IF(OR(C315="",L315=""),0,IF(AND(TRIM(C315)=TRIM(RIGHT(SUBSTITUTE(TRIM('02_대상물건입력'!$B$7)," ",REPT(" ",99)),99)),IF('02_대상물건입력'!B15="",TRUE(),ISNUMBER(SEARCH('02_대상물건입력'!B15,L315)))),1,0))</f>
        <v/>
      </c>
      <c r="R315" s="175">
        <f>IFERROR(ABS(E315-'02_대상물건입력'!B11)/'02_대상물건입력'!B11,"")</f>
        <v/>
      </c>
      <c r="S315" s="152">
        <f>IFERROR(ABS(J315-'02_대상물건입력'!B10),"")</f>
        <v/>
      </c>
      <c r="T315" s="152">
        <f>IFERROR(ABS('01_설정'!B4-F315),"")</f>
        <v/>
      </c>
      <c r="U315" s="152">
        <f>IFERROR(ABS(K315-YEAR('02_대상물건입력'!B14)),"")</f>
        <v/>
      </c>
      <c r="V315" s="152">
        <f>IF(B315="","",IF(AND(E315&gt;0,F315&gt;0,H315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315=1,TRUE()),R315&lt;='01_설정'!B5,S315&lt;='01_설정'!B6,T315&lt;='01_설정'!B7,U315&lt;='01_설정'!B8),"Y",""))</f>
        <v/>
      </c>
      <c r="W315" s="172">
        <f>IF(V315&lt;&gt;"Y","",MAX(0,(1-R315/'01_설정'!B5))*'01_설정'!B14+MAX(0,(1-S315/'01_설정'!B6))*'01_설정'!B15+MAX(0,(1-T315/'01_설정'!B7))*'01_설정'!B16+MAX(0,(1-U315/'01_설정'!B8))*'01_설정'!B17+O315*'01_설정'!B11+Q315*'01_설정'!B12+P315*'01_설정'!B13+IF(Z315="",0,Z315))</f>
        <v/>
      </c>
      <c r="X315" s="152">
        <f>IF(W315="","",1+COUNTIFS($W$4:$W$3003,"&gt;"&amp;W315)+COUNTIFS($W$4:W315,W315)-1)</f>
        <v/>
      </c>
      <c r="Y315" s="175">
        <f>IF(OR(I315="",'02_대상물건입력'!B19="",'02_대상물건입력'!B19&lt;=0),"",ABS(I315-'02_대상물건입력'!B19)/'02_대상물건입력'!B19)</f>
        <v/>
      </c>
      <c r="Z315" s="172">
        <f>IF(OR(Y315="",'01_설정'!B31="",'01_설정'!B31&lt;=0,'01_설정'!B32="",'01_설정'!B32&lt;=0),"",MAX(0,(1-Y315/'01_설정'!B32))*'01_설정'!B31)</f>
        <v/>
      </c>
    </row>
    <row r="316" ht="17.25" customHeight="1">
      <c r="A316" s="152">
        <f>IF(INDEX('04A_국토부원자료'!$A:$A,ROW()+1)="","",ROW()-3)</f>
        <v/>
      </c>
      <c r="B316" s="48">
        <f>IFERROR(INDEX('04A_국토부원자료'!$A:$T,ROW()+1,MATCH("시군구",'04A_국토부원자료'!$A$4:$T$4,0)),"")</f>
        <v/>
      </c>
      <c r="C316" s="48">
        <f>IF(B316="","",IFERROR(INDEX('04A_국토부원자료'!$A:$T,ROW()+1,MATCH("번지",'04A_국토부원자료'!$A$4:$T$4,0)),""))</f>
        <v/>
      </c>
      <c r="D316" s="48">
        <f>IF(B316="","",IF(Q316=1,'02_대상물건입력'!$B$8,IFERROR(INDEX('04A_국토부원자료'!$A:$T,ROW()+1,MATCH("단지명",'04A_국토부원자료'!$A$4:$T$4,0)),"")))</f>
        <v/>
      </c>
      <c r="E316" s="172">
        <f>IFERROR(VALUE(SUBSTITUTE(INDEX('04A_국토부원자료'!$A:$T,ROW()+1,MATCH("전용면적(㎡)",'04A_국토부원자료'!$A$4:$T$4,0)),",","")),"")</f>
        <v/>
      </c>
      <c r="F3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16" s="51">
        <f>IFERROR(VALUE(SUBSTITUTE(INDEX('04A_국토부원자료'!$A:$T,ROW()+1,MATCH("거래금액(만원)",'04A_국토부원자료'!$A$4:$T$4,0)),",","")),"")</f>
        <v/>
      </c>
      <c r="H316" s="174">
        <f>IF(G316="","",G316*10000)</f>
        <v/>
      </c>
      <c r="I316" s="174">
        <f>IFERROR(IF(AND(H316&gt;0,E316&gt;0),H316/E316,""),"")</f>
        <v/>
      </c>
      <c r="J316" s="152">
        <f>IFERROR(VALUE(SUBSTITUTE(INDEX('04A_국토부원자료'!$A:$T,ROW()+1,MATCH("층",'04A_국토부원자료'!$A$4:$T$4,0)),",","")),"")</f>
        <v/>
      </c>
      <c r="K316" s="152">
        <f>IFERROR(VALUE(SUBSTITUTE(INDEX('04A_국토부원자료'!$A:$T,ROW()+1,MATCH("건축년도",'04A_국토부원자료'!$A$4:$T$4,0)),",","")),"")</f>
        <v/>
      </c>
      <c r="L316" s="176">
        <f>IFERROR(INDEX('04A_국토부원자료'!$A:$T,ROW()+1,MATCH("도로명",'04A_국토부원자료'!$A$4:$T$4,0)),"")</f>
        <v/>
      </c>
      <c r="M316" s="48">
        <f>IFERROR(INDEX('04A_국토부원자료'!$A:$T,ROW()+1,MATCH("거래유형",'04A_국토부원자료'!$A$4:$T$4,0)),"")</f>
        <v/>
      </c>
      <c r="N316" s="152">
        <f>IF(B316="","",IF('02_대상물건입력'!B5="",1,IF(ISNUMBER(SEARCH('02_대상물건입력'!B5,B316)),1,0)))</f>
        <v/>
      </c>
      <c r="O316" s="152">
        <f>IF(B316="","",IF('02_대상물건입력'!B6="",1,IF(ISNUMBER(SEARCH('02_대상물건입력'!B6,B316)),1,0)))</f>
        <v/>
      </c>
      <c r="P316" s="152">
        <f>IF(L316="","",IF('02_대상물건입력'!B15="",0,IF(ISNUMBER(SEARCH('02_대상물건입력'!B15,L316)),1,0)))</f>
        <v/>
      </c>
      <c r="Q316" s="152">
        <f>IF(OR(C316="",L316=""),0,IF(AND(TRIM(C316)=TRIM(RIGHT(SUBSTITUTE(TRIM('02_대상물건입력'!$B$7)," ",REPT(" ",99)),99)),IF('02_대상물건입력'!B15="",TRUE(),ISNUMBER(SEARCH('02_대상물건입력'!B15,L316)))),1,0))</f>
        <v/>
      </c>
      <c r="R316" s="175">
        <f>IFERROR(ABS(E316-'02_대상물건입력'!B11)/'02_대상물건입력'!B11,"")</f>
        <v/>
      </c>
      <c r="S316" s="152">
        <f>IFERROR(ABS(J316-'02_대상물건입력'!B10),"")</f>
        <v/>
      </c>
      <c r="T316" s="152">
        <f>IFERROR(ABS('01_설정'!B4-F316),"")</f>
        <v/>
      </c>
      <c r="U316" s="152">
        <f>IFERROR(ABS(K316-YEAR('02_대상물건입력'!B14)),"")</f>
        <v/>
      </c>
      <c r="V316" s="152">
        <f>IF(B316="","",IF(AND(E316&gt;0,F316&gt;0,H316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316=1,TRUE()),R316&lt;='01_설정'!B5,S316&lt;='01_설정'!B6,T316&lt;='01_설정'!B7,U316&lt;='01_설정'!B8),"Y",""))</f>
        <v/>
      </c>
      <c r="W316" s="172">
        <f>IF(V316&lt;&gt;"Y","",MAX(0,(1-R316/'01_설정'!B5))*'01_설정'!B14+MAX(0,(1-S316/'01_설정'!B6))*'01_설정'!B15+MAX(0,(1-T316/'01_설정'!B7))*'01_설정'!B16+MAX(0,(1-U316/'01_설정'!B8))*'01_설정'!B17+O316*'01_설정'!B11+Q316*'01_설정'!B12+P316*'01_설정'!B13+IF(Z316="",0,Z316))</f>
        <v/>
      </c>
      <c r="X316" s="152">
        <f>IF(W316="","",1+COUNTIFS($W$4:$W$3003,"&gt;"&amp;W316)+COUNTIFS($W$4:W316,W316)-1)</f>
        <v/>
      </c>
      <c r="Y316" s="175">
        <f>IF(OR(I316="",'02_대상물건입력'!B19="",'02_대상물건입력'!B19&lt;=0),"",ABS(I316-'02_대상물건입력'!B19)/'02_대상물건입력'!B19)</f>
        <v/>
      </c>
      <c r="Z316" s="172">
        <f>IF(OR(Y316="",'01_설정'!B31="",'01_설정'!B31&lt;=0,'01_설정'!B32="",'01_설정'!B32&lt;=0),"",MAX(0,(1-Y316/'01_설정'!B32))*'01_설정'!B31)</f>
        <v/>
      </c>
    </row>
    <row r="317" ht="17.25" customHeight="1">
      <c r="A317" s="152">
        <f>IF(INDEX('04A_국토부원자료'!$A:$A,ROW()+1)="","",ROW()-3)</f>
        <v/>
      </c>
      <c r="B317" s="48">
        <f>IFERROR(INDEX('04A_국토부원자료'!$A:$T,ROW()+1,MATCH("시군구",'04A_국토부원자료'!$A$4:$T$4,0)),"")</f>
        <v/>
      </c>
      <c r="C317" s="48">
        <f>IF(B317="","",IFERROR(INDEX('04A_국토부원자료'!$A:$T,ROW()+1,MATCH("번지",'04A_국토부원자료'!$A$4:$T$4,0)),""))</f>
        <v/>
      </c>
      <c r="D317" s="48">
        <f>IF(B317="","",IF(Q317=1,'02_대상물건입력'!$B$8,IFERROR(INDEX('04A_국토부원자료'!$A:$T,ROW()+1,MATCH("단지명",'04A_국토부원자료'!$A$4:$T$4,0)),"")))</f>
        <v/>
      </c>
      <c r="E317" s="172">
        <f>IFERROR(VALUE(SUBSTITUTE(INDEX('04A_국토부원자료'!$A:$T,ROW()+1,MATCH("전용면적(㎡)",'04A_국토부원자료'!$A$4:$T$4,0)),",","")),"")</f>
        <v/>
      </c>
      <c r="F3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17" s="51">
        <f>IFERROR(VALUE(SUBSTITUTE(INDEX('04A_국토부원자료'!$A:$T,ROW()+1,MATCH("거래금액(만원)",'04A_국토부원자료'!$A$4:$T$4,0)),",","")),"")</f>
        <v/>
      </c>
      <c r="H317" s="174">
        <f>IF(G317="","",G317*10000)</f>
        <v/>
      </c>
      <c r="I317" s="174">
        <f>IFERROR(IF(AND(H317&gt;0,E317&gt;0),H317/E317,""),"")</f>
        <v/>
      </c>
      <c r="J317" s="152">
        <f>IFERROR(VALUE(SUBSTITUTE(INDEX('04A_국토부원자료'!$A:$T,ROW()+1,MATCH("층",'04A_국토부원자료'!$A$4:$T$4,0)),",","")),"")</f>
        <v/>
      </c>
      <c r="K317" s="152">
        <f>IFERROR(VALUE(SUBSTITUTE(INDEX('04A_국토부원자료'!$A:$T,ROW()+1,MATCH("건축년도",'04A_국토부원자료'!$A$4:$T$4,0)),",","")),"")</f>
        <v/>
      </c>
      <c r="L317" s="176">
        <f>IFERROR(INDEX('04A_국토부원자료'!$A:$T,ROW()+1,MATCH("도로명",'04A_국토부원자료'!$A$4:$T$4,0)),"")</f>
        <v/>
      </c>
      <c r="M317" s="48">
        <f>IFERROR(INDEX('04A_국토부원자료'!$A:$T,ROW()+1,MATCH("거래유형",'04A_국토부원자료'!$A$4:$T$4,0)),"")</f>
        <v/>
      </c>
      <c r="N317" s="152">
        <f>IF(B317="","",IF('02_대상물건입력'!B5="",1,IF(ISNUMBER(SEARCH('02_대상물건입력'!B5,B317)),1,0)))</f>
        <v/>
      </c>
      <c r="O317" s="152">
        <f>IF(B317="","",IF('02_대상물건입력'!B6="",1,IF(ISNUMBER(SEARCH('02_대상물건입력'!B6,B317)),1,0)))</f>
        <v/>
      </c>
      <c r="P317" s="152">
        <f>IF(L317="","",IF('02_대상물건입력'!B15="",0,IF(ISNUMBER(SEARCH('02_대상물건입력'!B15,L317)),1,0)))</f>
        <v/>
      </c>
      <c r="Q317" s="152">
        <f>IF(OR(C317="",L317=""),0,IF(AND(TRIM(C317)=TRIM(RIGHT(SUBSTITUTE(TRIM('02_대상물건입력'!$B$7)," ",REPT(" ",99)),99)),IF('02_대상물건입력'!B15="",TRUE(),ISNUMBER(SEARCH('02_대상물건입력'!B15,L317)))),1,0))</f>
        <v/>
      </c>
      <c r="R317" s="175">
        <f>IFERROR(ABS(E317-'02_대상물건입력'!B11)/'02_대상물건입력'!B11,"")</f>
        <v/>
      </c>
      <c r="S317" s="152">
        <f>IFERROR(ABS(J317-'02_대상물건입력'!B10),"")</f>
        <v/>
      </c>
      <c r="T317" s="152">
        <f>IFERROR(ABS('01_설정'!B4-F317),"")</f>
        <v/>
      </c>
      <c r="U317" s="152">
        <f>IFERROR(ABS(K317-YEAR('02_대상물건입력'!B14)),"")</f>
        <v/>
      </c>
      <c r="V317" s="152">
        <f>IF(B317="","",IF(AND(E317&gt;0,F317&gt;0,H317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317=1,TRUE()),R317&lt;='01_설정'!B5,S317&lt;='01_설정'!B6,T317&lt;='01_설정'!B7,U317&lt;='01_설정'!B8),"Y",""))</f>
        <v/>
      </c>
      <c r="W317" s="172">
        <f>IF(V317&lt;&gt;"Y","",MAX(0,(1-R317/'01_설정'!B5))*'01_설정'!B14+MAX(0,(1-S317/'01_설정'!B6))*'01_설정'!B15+MAX(0,(1-T317/'01_설정'!B7))*'01_설정'!B16+MAX(0,(1-U317/'01_설정'!B8))*'01_설정'!B17+O317*'01_설정'!B11+Q317*'01_설정'!B12+P317*'01_설정'!B13+IF(Z317="",0,Z317))</f>
        <v/>
      </c>
      <c r="X317" s="152">
        <f>IF(W317="","",1+COUNTIFS($W$4:$W$3003,"&gt;"&amp;W317)+COUNTIFS($W$4:W317,W317)-1)</f>
        <v/>
      </c>
      <c r="Y317" s="175">
        <f>IF(OR(I317="",'02_대상물건입력'!B19="",'02_대상물건입력'!B19&lt;=0),"",ABS(I317-'02_대상물건입력'!B19)/'02_대상물건입력'!B19)</f>
        <v/>
      </c>
      <c r="Z317" s="172">
        <f>IF(OR(Y317="",'01_설정'!B31="",'01_설정'!B31&lt;=0,'01_설정'!B32="",'01_설정'!B32&lt;=0),"",MAX(0,(1-Y317/'01_설정'!B32))*'01_설정'!B31)</f>
        <v/>
      </c>
    </row>
    <row r="318" ht="17.25" customHeight="1">
      <c r="A318" s="152">
        <f>IF(INDEX('04A_국토부원자료'!$A:$A,ROW()+1)="","",ROW()-3)</f>
        <v/>
      </c>
      <c r="B318" s="48">
        <f>IFERROR(INDEX('04A_국토부원자료'!$A:$T,ROW()+1,MATCH("시군구",'04A_국토부원자료'!$A$4:$T$4,0)),"")</f>
        <v/>
      </c>
      <c r="C318" s="48">
        <f>IF(B318="","",IFERROR(INDEX('04A_국토부원자료'!$A:$T,ROW()+1,MATCH("번지",'04A_국토부원자료'!$A$4:$T$4,0)),""))</f>
        <v/>
      </c>
      <c r="D318" s="48">
        <f>IF(B318="","",IF(Q318=1,'02_대상물건입력'!$B$8,IFERROR(INDEX('04A_국토부원자료'!$A:$T,ROW()+1,MATCH("단지명",'04A_국토부원자료'!$A$4:$T$4,0)),"")))</f>
        <v/>
      </c>
      <c r="E318" s="172">
        <f>IFERROR(VALUE(SUBSTITUTE(INDEX('04A_국토부원자료'!$A:$T,ROW()+1,MATCH("전용면적(㎡)",'04A_국토부원자료'!$A$4:$T$4,0)),",","")),"")</f>
        <v/>
      </c>
      <c r="F3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18" s="51">
        <f>IFERROR(VALUE(SUBSTITUTE(INDEX('04A_국토부원자료'!$A:$T,ROW()+1,MATCH("거래금액(만원)",'04A_국토부원자료'!$A$4:$T$4,0)),",","")),"")</f>
        <v/>
      </c>
      <c r="H318" s="174">
        <f>IF(G318="","",G318*10000)</f>
        <v/>
      </c>
      <c r="I318" s="174">
        <f>IFERROR(IF(AND(H318&gt;0,E318&gt;0),H318/E318,""),"")</f>
        <v/>
      </c>
      <c r="J318" s="152">
        <f>IFERROR(VALUE(SUBSTITUTE(INDEX('04A_국토부원자료'!$A:$T,ROW()+1,MATCH("층",'04A_국토부원자료'!$A$4:$T$4,0)),",","")),"")</f>
        <v/>
      </c>
      <c r="K318" s="152">
        <f>IFERROR(VALUE(SUBSTITUTE(INDEX('04A_국토부원자료'!$A:$T,ROW()+1,MATCH("건축년도",'04A_국토부원자료'!$A$4:$T$4,0)),",","")),"")</f>
        <v/>
      </c>
      <c r="L318" s="176">
        <f>IFERROR(INDEX('04A_국토부원자료'!$A:$T,ROW()+1,MATCH("도로명",'04A_국토부원자료'!$A$4:$T$4,0)),"")</f>
        <v/>
      </c>
      <c r="M318" s="48">
        <f>IFERROR(INDEX('04A_국토부원자료'!$A:$T,ROW()+1,MATCH("거래유형",'04A_국토부원자료'!$A$4:$T$4,0)),"")</f>
        <v/>
      </c>
      <c r="N318" s="152">
        <f>IF(B318="","",IF('02_대상물건입력'!B5="",1,IF(ISNUMBER(SEARCH('02_대상물건입력'!B5,B318)),1,0)))</f>
        <v/>
      </c>
      <c r="O318" s="152">
        <f>IF(B318="","",IF('02_대상물건입력'!B6="",1,IF(ISNUMBER(SEARCH('02_대상물건입력'!B6,B318)),1,0)))</f>
        <v/>
      </c>
      <c r="P318" s="152">
        <f>IF(L318="","",IF('02_대상물건입력'!B15="",0,IF(ISNUMBER(SEARCH('02_대상물건입력'!B15,L318)),1,0)))</f>
        <v/>
      </c>
      <c r="Q318" s="152">
        <f>IF(OR(C318="",L318=""),0,IF(AND(TRIM(C318)=TRIM(RIGHT(SUBSTITUTE(TRIM('02_대상물건입력'!$B$7)," ",REPT(" ",99)),99)),IF('02_대상물건입력'!B15="",TRUE(),ISNUMBER(SEARCH('02_대상물건입력'!B15,L318)))),1,0))</f>
        <v/>
      </c>
      <c r="R318" s="175">
        <f>IFERROR(ABS(E318-'02_대상물건입력'!B11)/'02_대상물건입력'!B11,"")</f>
        <v/>
      </c>
      <c r="S318" s="152">
        <f>IFERROR(ABS(J318-'02_대상물건입력'!B10),"")</f>
        <v/>
      </c>
      <c r="T318" s="152">
        <f>IFERROR(ABS('01_설정'!B4-F318),"")</f>
        <v/>
      </c>
      <c r="U318" s="152">
        <f>IFERROR(ABS(K318-YEAR('02_대상물건입력'!B14)),"")</f>
        <v/>
      </c>
      <c r="V318" s="152">
        <f>IF(B318="","",IF(AND(E318&gt;0,F318&gt;0,H318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318=1,TRUE()),R318&lt;='01_설정'!B5,S318&lt;='01_설정'!B6,T318&lt;='01_설정'!B7,U318&lt;='01_설정'!B8),"Y",""))</f>
        <v/>
      </c>
      <c r="W318" s="172">
        <f>IF(V318&lt;&gt;"Y","",MAX(0,(1-R318/'01_설정'!B5))*'01_설정'!B14+MAX(0,(1-S318/'01_설정'!B6))*'01_설정'!B15+MAX(0,(1-T318/'01_설정'!B7))*'01_설정'!B16+MAX(0,(1-U318/'01_설정'!B8))*'01_설정'!B17+O318*'01_설정'!B11+Q318*'01_설정'!B12+P318*'01_설정'!B13+IF(Z318="",0,Z318))</f>
        <v/>
      </c>
      <c r="X318" s="152">
        <f>IF(W318="","",1+COUNTIFS($W$4:$W$3003,"&gt;"&amp;W318)+COUNTIFS($W$4:W318,W318)-1)</f>
        <v/>
      </c>
      <c r="Y318" s="175">
        <f>IF(OR(I318="",'02_대상물건입력'!B19="",'02_대상물건입력'!B19&lt;=0),"",ABS(I318-'02_대상물건입력'!B19)/'02_대상물건입력'!B19)</f>
        <v/>
      </c>
      <c r="Z318" s="172">
        <f>IF(OR(Y318="",'01_설정'!B31="",'01_설정'!B31&lt;=0,'01_설정'!B32="",'01_설정'!B32&lt;=0),"",MAX(0,(1-Y318/'01_설정'!B32))*'01_설정'!B31)</f>
        <v/>
      </c>
    </row>
    <row r="319" ht="17.25" customHeight="1">
      <c r="A319" s="152">
        <f>IF(INDEX('04A_국토부원자료'!$A:$A,ROW()+1)="","",ROW()-3)</f>
        <v/>
      </c>
      <c r="B319" s="48">
        <f>IFERROR(INDEX('04A_국토부원자료'!$A:$T,ROW()+1,MATCH("시군구",'04A_국토부원자료'!$A$4:$T$4,0)),"")</f>
        <v/>
      </c>
      <c r="C319" s="48">
        <f>IF(B319="","",IFERROR(INDEX('04A_국토부원자료'!$A:$T,ROW()+1,MATCH("번지",'04A_국토부원자료'!$A$4:$T$4,0)),""))</f>
        <v/>
      </c>
      <c r="D319" s="48">
        <f>IF(B319="","",IF(Q319=1,'02_대상물건입력'!$B$8,IFERROR(INDEX('04A_국토부원자료'!$A:$T,ROW()+1,MATCH("단지명",'04A_국토부원자료'!$A$4:$T$4,0)),"")))</f>
        <v/>
      </c>
      <c r="E319" s="172">
        <f>IFERROR(VALUE(SUBSTITUTE(INDEX('04A_국토부원자료'!$A:$T,ROW()+1,MATCH("전용면적(㎡)",'04A_국토부원자료'!$A$4:$T$4,0)),",","")),"")</f>
        <v/>
      </c>
      <c r="F3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19" s="51">
        <f>IFERROR(VALUE(SUBSTITUTE(INDEX('04A_국토부원자료'!$A:$T,ROW()+1,MATCH("거래금액(만원)",'04A_국토부원자료'!$A$4:$T$4,0)),",","")),"")</f>
        <v/>
      </c>
      <c r="H319" s="174">
        <f>IF(G319="","",G319*10000)</f>
        <v/>
      </c>
      <c r="I319" s="174">
        <f>IFERROR(IF(AND(H319&gt;0,E319&gt;0),H319/E319,""),"")</f>
        <v/>
      </c>
      <c r="J319" s="152">
        <f>IFERROR(VALUE(SUBSTITUTE(INDEX('04A_국토부원자료'!$A:$T,ROW()+1,MATCH("층",'04A_국토부원자료'!$A$4:$T$4,0)),",","")),"")</f>
        <v/>
      </c>
      <c r="K319" s="152">
        <f>IFERROR(VALUE(SUBSTITUTE(INDEX('04A_국토부원자료'!$A:$T,ROW()+1,MATCH("건축년도",'04A_국토부원자료'!$A$4:$T$4,0)),",","")),"")</f>
        <v/>
      </c>
      <c r="L319" s="176">
        <f>IFERROR(INDEX('04A_국토부원자료'!$A:$T,ROW()+1,MATCH("도로명",'04A_국토부원자료'!$A$4:$T$4,0)),"")</f>
        <v/>
      </c>
      <c r="M319" s="48">
        <f>IFERROR(INDEX('04A_국토부원자료'!$A:$T,ROW()+1,MATCH("거래유형",'04A_국토부원자료'!$A$4:$T$4,0)),"")</f>
        <v/>
      </c>
      <c r="N319" s="152">
        <f>IF(B319="","",IF('02_대상물건입력'!B5="",1,IF(ISNUMBER(SEARCH('02_대상물건입력'!B5,B319)),1,0)))</f>
        <v/>
      </c>
      <c r="O319" s="152">
        <f>IF(B319="","",IF('02_대상물건입력'!B6="",1,IF(ISNUMBER(SEARCH('02_대상물건입력'!B6,B319)),1,0)))</f>
        <v/>
      </c>
      <c r="P319" s="152">
        <f>IF(L319="","",IF('02_대상물건입력'!B15="",0,IF(ISNUMBER(SEARCH('02_대상물건입력'!B15,L319)),1,0)))</f>
        <v/>
      </c>
      <c r="Q319" s="152">
        <f>IF(OR(C319="",L319=""),0,IF(AND(TRIM(C319)=TRIM(RIGHT(SUBSTITUTE(TRIM('02_대상물건입력'!$B$7)," ",REPT(" ",99)),99)),IF('02_대상물건입력'!B15="",TRUE(),ISNUMBER(SEARCH('02_대상물건입력'!B15,L319)))),1,0))</f>
        <v/>
      </c>
      <c r="R319" s="175">
        <f>IFERROR(ABS(E319-'02_대상물건입력'!B11)/'02_대상물건입력'!B11,"")</f>
        <v/>
      </c>
      <c r="S319" s="152">
        <f>IFERROR(ABS(J319-'02_대상물건입력'!B10),"")</f>
        <v/>
      </c>
      <c r="T319" s="152">
        <f>IFERROR(ABS('01_설정'!B4-F319),"")</f>
        <v/>
      </c>
      <c r="U319" s="152">
        <f>IFERROR(ABS(K319-YEAR('02_대상물건입력'!B14)),"")</f>
        <v/>
      </c>
      <c r="V319" s="152">
        <f>IF(B319="","",IF(AND(E319&gt;0,F319&gt;0,H319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319=1,TRUE()),R319&lt;='01_설정'!B5,S319&lt;='01_설정'!B6,T319&lt;='01_설정'!B7,U319&lt;='01_설정'!B8),"Y",""))</f>
        <v/>
      </c>
      <c r="W319" s="172">
        <f>IF(V319&lt;&gt;"Y","",MAX(0,(1-R319/'01_설정'!B5))*'01_설정'!B14+MAX(0,(1-S319/'01_설정'!B6))*'01_설정'!B15+MAX(0,(1-T319/'01_설정'!B7))*'01_설정'!B16+MAX(0,(1-U319/'01_설정'!B8))*'01_설정'!B17+O319*'01_설정'!B11+Q319*'01_설정'!B12+P319*'01_설정'!B13+IF(Z319="",0,Z319))</f>
        <v/>
      </c>
      <c r="X319" s="152">
        <f>IF(W319="","",1+COUNTIFS($W$4:$W$3003,"&gt;"&amp;W319)+COUNTIFS($W$4:W319,W319)-1)</f>
        <v/>
      </c>
      <c r="Y319" s="175">
        <f>IF(OR(I319="",'02_대상물건입력'!B19="",'02_대상물건입력'!B19&lt;=0),"",ABS(I319-'02_대상물건입력'!B19)/'02_대상물건입력'!B19)</f>
        <v/>
      </c>
      <c r="Z319" s="172">
        <f>IF(OR(Y319="",'01_설정'!B31="",'01_설정'!B31&lt;=0,'01_설정'!B32="",'01_설정'!B32&lt;=0),"",MAX(0,(1-Y319/'01_설정'!B32))*'01_설정'!B31)</f>
        <v/>
      </c>
    </row>
    <row r="320" ht="17.25" customHeight="1">
      <c r="A320" s="152">
        <f>IF(INDEX('04A_국토부원자료'!$A:$A,ROW()+1)="","",ROW()-3)</f>
        <v/>
      </c>
      <c r="B320" s="48">
        <f>IFERROR(INDEX('04A_국토부원자료'!$A:$T,ROW()+1,MATCH("시군구",'04A_국토부원자료'!$A$4:$T$4,0)),"")</f>
        <v/>
      </c>
      <c r="C320" s="48">
        <f>IF(B320="","",IFERROR(INDEX('04A_국토부원자료'!$A:$T,ROW()+1,MATCH("번지",'04A_국토부원자료'!$A$4:$T$4,0)),""))</f>
        <v/>
      </c>
      <c r="D320" s="48">
        <f>IF(B320="","",IF(Q320=1,'02_대상물건입력'!$B$8,IFERROR(INDEX('04A_국토부원자료'!$A:$T,ROW()+1,MATCH("단지명",'04A_국토부원자료'!$A$4:$T$4,0)),"")))</f>
        <v/>
      </c>
      <c r="E320" s="172">
        <f>IFERROR(VALUE(SUBSTITUTE(INDEX('04A_국토부원자료'!$A:$T,ROW()+1,MATCH("전용면적(㎡)",'04A_국토부원자료'!$A$4:$T$4,0)),",","")),"")</f>
        <v/>
      </c>
      <c r="F3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20" s="51">
        <f>IFERROR(VALUE(SUBSTITUTE(INDEX('04A_국토부원자료'!$A:$T,ROW()+1,MATCH("거래금액(만원)",'04A_국토부원자료'!$A$4:$T$4,0)),",","")),"")</f>
        <v/>
      </c>
      <c r="H320" s="174">
        <f>IF(G320="","",G320*10000)</f>
        <v/>
      </c>
      <c r="I320" s="174">
        <f>IFERROR(IF(AND(H320&gt;0,E320&gt;0),H320/E320,""),"")</f>
        <v/>
      </c>
      <c r="J320" s="152">
        <f>IFERROR(VALUE(SUBSTITUTE(INDEX('04A_국토부원자료'!$A:$T,ROW()+1,MATCH("층",'04A_국토부원자료'!$A$4:$T$4,0)),",","")),"")</f>
        <v/>
      </c>
      <c r="K320" s="152">
        <f>IFERROR(VALUE(SUBSTITUTE(INDEX('04A_국토부원자료'!$A:$T,ROW()+1,MATCH("건축년도",'04A_국토부원자료'!$A$4:$T$4,0)),",","")),"")</f>
        <v/>
      </c>
      <c r="L320" s="176">
        <f>IFERROR(INDEX('04A_국토부원자료'!$A:$T,ROW()+1,MATCH("도로명",'04A_국토부원자료'!$A$4:$T$4,0)),"")</f>
        <v/>
      </c>
      <c r="M320" s="48">
        <f>IFERROR(INDEX('04A_국토부원자료'!$A:$T,ROW()+1,MATCH("거래유형",'04A_국토부원자료'!$A$4:$T$4,0)),"")</f>
        <v/>
      </c>
      <c r="N320" s="152">
        <f>IF(B320="","",IF('02_대상물건입력'!B5="",1,IF(ISNUMBER(SEARCH('02_대상물건입력'!B5,B320)),1,0)))</f>
        <v/>
      </c>
      <c r="O320" s="152">
        <f>IF(B320="","",IF('02_대상물건입력'!B6="",1,IF(ISNUMBER(SEARCH('02_대상물건입력'!B6,B320)),1,0)))</f>
        <v/>
      </c>
      <c r="P320" s="152">
        <f>IF(L320="","",IF('02_대상물건입력'!B15="",0,IF(ISNUMBER(SEARCH('02_대상물건입력'!B15,L320)),1,0)))</f>
        <v/>
      </c>
      <c r="Q320" s="152">
        <f>IF(OR(C320="",L320=""),0,IF(AND(TRIM(C320)=TRIM(RIGHT(SUBSTITUTE(TRIM('02_대상물건입력'!$B$7)," ",REPT(" ",99)),99)),IF('02_대상물건입력'!B15="",TRUE(),ISNUMBER(SEARCH('02_대상물건입력'!B15,L320)))),1,0))</f>
        <v/>
      </c>
      <c r="R320" s="175">
        <f>IFERROR(ABS(E320-'02_대상물건입력'!B11)/'02_대상물건입력'!B11,"")</f>
        <v/>
      </c>
      <c r="S320" s="152">
        <f>IFERROR(ABS(J320-'02_대상물건입력'!B10),"")</f>
        <v/>
      </c>
      <c r="T320" s="152">
        <f>IFERROR(ABS('01_설정'!B4-F320),"")</f>
        <v/>
      </c>
      <c r="U320" s="152">
        <f>IFERROR(ABS(K320-YEAR('02_대상물건입력'!B14)),"")</f>
        <v/>
      </c>
      <c r="V320" s="152">
        <f>IF(B320="","",IF(AND(E320&gt;0,F320&gt;0,H320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320=1,TRUE()),R320&lt;='01_설정'!B5,S320&lt;='01_설정'!B6,T320&lt;='01_설정'!B7,U320&lt;='01_설정'!B8),"Y",""))</f>
        <v/>
      </c>
      <c r="W320" s="172">
        <f>IF(V320&lt;&gt;"Y","",MAX(0,(1-R320/'01_설정'!B5))*'01_설정'!B14+MAX(0,(1-S320/'01_설정'!B6))*'01_설정'!B15+MAX(0,(1-T320/'01_설정'!B7))*'01_설정'!B16+MAX(0,(1-U320/'01_설정'!B8))*'01_설정'!B17+O320*'01_설정'!B11+Q320*'01_설정'!B12+P320*'01_설정'!B13+IF(Z320="",0,Z320))</f>
        <v/>
      </c>
      <c r="X320" s="152">
        <f>IF(W320="","",1+COUNTIFS($W$4:$W$3003,"&gt;"&amp;W320)+COUNTIFS($W$4:W320,W320)-1)</f>
        <v/>
      </c>
      <c r="Y320" s="175">
        <f>IF(OR(I320="",'02_대상물건입력'!B19="",'02_대상물건입력'!B19&lt;=0),"",ABS(I320-'02_대상물건입력'!B19)/'02_대상물건입력'!B19)</f>
        <v/>
      </c>
      <c r="Z320" s="172">
        <f>IF(OR(Y320="",'01_설정'!B31="",'01_설정'!B31&lt;=0,'01_설정'!B32="",'01_설정'!B32&lt;=0),"",MAX(0,(1-Y320/'01_설정'!B32))*'01_설정'!B31)</f>
        <v/>
      </c>
    </row>
    <row r="321" ht="17.25" customHeight="1">
      <c r="A321" s="152">
        <f>IF(INDEX('04A_국토부원자료'!$A:$A,ROW()+1)="","",ROW()-3)</f>
        <v/>
      </c>
      <c r="B321" s="48">
        <f>IFERROR(INDEX('04A_국토부원자료'!$A:$T,ROW()+1,MATCH("시군구",'04A_국토부원자료'!$A$4:$T$4,0)),"")</f>
        <v/>
      </c>
      <c r="C321" s="48">
        <f>IF(B321="","",IFERROR(INDEX('04A_국토부원자료'!$A:$T,ROW()+1,MATCH("번지",'04A_국토부원자료'!$A$4:$T$4,0)),""))</f>
        <v/>
      </c>
      <c r="D321" s="48">
        <f>IF(B321="","",IF(Q321=1,'02_대상물건입력'!$B$8,IFERROR(INDEX('04A_국토부원자료'!$A:$T,ROW()+1,MATCH("단지명",'04A_국토부원자료'!$A$4:$T$4,0)),"")))</f>
        <v/>
      </c>
      <c r="E321" s="172">
        <f>IFERROR(VALUE(SUBSTITUTE(INDEX('04A_국토부원자료'!$A:$T,ROW()+1,MATCH("전용면적(㎡)",'04A_국토부원자료'!$A$4:$T$4,0)),",","")),"")</f>
        <v/>
      </c>
      <c r="F3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21" s="51">
        <f>IFERROR(VALUE(SUBSTITUTE(INDEX('04A_국토부원자료'!$A:$T,ROW()+1,MATCH("거래금액(만원)",'04A_국토부원자료'!$A$4:$T$4,0)),",","")),"")</f>
        <v/>
      </c>
      <c r="H321" s="174">
        <f>IF(G321="","",G321*10000)</f>
        <v/>
      </c>
      <c r="I321" s="174">
        <f>IFERROR(IF(AND(H321&gt;0,E321&gt;0),H321/E321,""),"")</f>
        <v/>
      </c>
      <c r="J321" s="152">
        <f>IFERROR(VALUE(SUBSTITUTE(INDEX('04A_국토부원자료'!$A:$T,ROW()+1,MATCH("층",'04A_국토부원자료'!$A$4:$T$4,0)),",","")),"")</f>
        <v/>
      </c>
      <c r="K321" s="152">
        <f>IFERROR(VALUE(SUBSTITUTE(INDEX('04A_국토부원자료'!$A:$T,ROW()+1,MATCH("건축년도",'04A_국토부원자료'!$A$4:$T$4,0)),",","")),"")</f>
        <v/>
      </c>
      <c r="L321" s="176">
        <f>IFERROR(INDEX('04A_국토부원자료'!$A:$T,ROW()+1,MATCH("도로명",'04A_국토부원자료'!$A$4:$T$4,0)),"")</f>
        <v/>
      </c>
      <c r="M321" s="48">
        <f>IFERROR(INDEX('04A_국토부원자료'!$A:$T,ROW()+1,MATCH("거래유형",'04A_국토부원자료'!$A$4:$T$4,0)),"")</f>
        <v/>
      </c>
      <c r="N321" s="152">
        <f>IF(B321="","",IF('02_대상물건입력'!B5="",1,IF(ISNUMBER(SEARCH('02_대상물건입력'!B5,B321)),1,0)))</f>
        <v/>
      </c>
      <c r="O321" s="152">
        <f>IF(B321="","",IF('02_대상물건입력'!B6="",1,IF(ISNUMBER(SEARCH('02_대상물건입력'!B6,B321)),1,0)))</f>
        <v/>
      </c>
      <c r="P321" s="152">
        <f>IF(L321="","",IF('02_대상물건입력'!B15="",0,IF(ISNUMBER(SEARCH('02_대상물건입력'!B15,L321)),1,0)))</f>
        <v/>
      </c>
      <c r="Q321" s="152">
        <f>IF(OR(C321="",L321=""),0,IF(AND(TRIM(C321)=TRIM(RIGHT(SUBSTITUTE(TRIM('02_대상물건입력'!$B$7)," ",REPT(" ",99)),99)),IF('02_대상물건입력'!B15="",TRUE(),ISNUMBER(SEARCH('02_대상물건입력'!B15,L321)))),1,0))</f>
        <v/>
      </c>
      <c r="R321" s="175">
        <f>IFERROR(ABS(E321-'02_대상물건입력'!B11)/'02_대상물건입력'!B11,"")</f>
        <v/>
      </c>
      <c r="S321" s="152">
        <f>IFERROR(ABS(J321-'02_대상물건입력'!B10),"")</f>
        <v/>
      </c>
      <c r="T321" s="152">
        <f>IFERROR(ABS('01_설정'!B4-F321),"")</f>
        <v/>
      </c>
      <c r="U321" s="152">
        <f>IFERROR(ABS(K321-YEAR('02_대상물건입력'!B14)),"")</f>
        <v/>
      </c>
      <c r="V321" s="152">
        <f>IF(B321="","",IF(AND(E321&gt;0,F321&gt;0,H321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321=1,TRUE()),R321&lt;='01_설정'!B5,S321&lt;='01_설정'!B6,T321&lt;='01_설정'!B7,U321&lt;='01_설정'!B8),"Y",""))</f>
        <v/>
      </c>
      <c r="W321" s="172">
        <f>IF(V321&lt;&gt;"Y","",MAX(0,(1-R321/'01_설정'!B5))*'01_설정'!B14+MAX(0,(1-S321/'01_설정'!B6))*'01_설정'!B15+MAX(0,(1-T321/'01_설정'!B7))*'01_설정'!B16+MAX(0,(1-U321/'01_설정'!B8))*'01_설정'!B17+O321*'01_설정'!B11+Q321*'01_설정'!B12+P321*'01_설정'!B13+IF(Z321="",0,Z321))</f>
        <v/>
      </c>
      <c r="X321" s="152">
        <f>IF(W321="","",1+COUNTIFS($W$4:$W$3003,"&gt;"&amp;W321)+COUNTIFS($W$4:W321,W321)-1)</f>
        <v/>
      </c>
      <c r="Y321" s="175">
        <f>IF(OR(I321="",'02_대상물건입력'!B19="",'02_대상물건입력'!B19&lt;=0),"",ABS(I321-'02_대상물건입력'!B19)/'02_대상물건입력'!B19)</f>
        <v/>
      </c>
      <c r="Z321" s="172">
        <f>IF(OR(Y321="",'01_설정'!B31="",'01_설정'!B31&lt;=0,'01_설정'!B32="",'01_설정'!B32&lt;=0),"",MAX(0,(1-Y321/'01_설정'!B32))*'01_설정'!B31)</f>
        <v/>
      </c>
    </row>
    <row r="322" ht="17.25" customHeight="1">
      <c r="A322" s="152">
        <f>IF(INDEX('04A_국토부원자료'!$A:$A,ROW()+1)="","",ROW()-3)</f>
        <v/>
      </c>
      <c r="B322" s="48">
        <f>IFERROR(INDEX('04A_국토부원자료'!$A:$T,ROW()+1,MATCH("시군구",'04A_국토부원자료'!$A$4:$T$4,0)),"")</f>
        <v/>
      </c>
      <c r="C322" s="48">
        <f>IF(B322="","",IFERROR(INDEX('04A_국토부원자료'!$A:$T,ROW()+1,MATCH("번지",'04A_국토부원자료'!$A$4:$T$4,0)),""))</f>
        <v/>
      </c>
      <c r="D322" s="48">
        <f>IF(B322="","",IF(Q322=1,'02_대상물건입력'!$B$8,IFERROR(INDEX('04A_국토부원자료'!$A:$T,ROW()+1,MATCH("단지명",'04A_국토부원자료'!$A$4:$T$4,0)),"")))</f>
        <v/>
      </c>
      <c r="E322" s="172">
        <f>IFERROR(VALUE(SUBSTITUTE(INDEX('04A_국토부원자료'!$A:$T,ROW()+1,MATCH("전용면적(㎡)",'04A_국토부원자료'!$A$4:$T$4,0)),",","")),"")</f>
        <v/>
      </c>
      <c r="F3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22" s="51">
        <f>IFERROR(VALUE(SUBSTITUTE(INDEX('04A_국토부원자료'!$A:$T,ROW()+1,MATCH("거래금액(만원)",'04A_국토부원자료'!$A$4:$T$4,0)),",","")),"")</f>
        <v/>
      </c>
      <c r="H322" s="174">
        <f>IF(G322="","",G322*10000)</f>
        <v/>
      </c>
      <c r="I322" s="174">
        <f>IFERROR(IF(AND(H322&gt;0,E322&gt;0),H322/E322,""),"")</f>
        <v/>
      </c>
      <c r="J322" s="152">
        <f>IFERROR(VALUE(SUBSTITUTE(INDEX('04A_국토부원자료'!$A:$T,ROW()+1,MATCH("층",'04A_국토부원자료'!$A$4:$T$4,0)),",","")),"")</f>
        <v/>
      </c>
      <c r="K322" s="152">
        <f>IFERROR(VALUE(SUBSTITUTE(INDEX('04A_국토부원자료'!$A:$T,ROW()+1,MATCH("건축년도",'04A_국토부원자료'!$A$4:$T$4,0)),",","")),"")</f>
        <v/>
      </c>
      <c r="L322" s="176">
        <f>IFERROR(INDEX('04A_국토부원자료'!$A:$T,ROW()+1,MATCH("도로명",'04A_국토부원자료'!$A$4:$T$4,0)),"")</f>
        <v/>
      </c>
      <c r="M322" s="48">
        <f>IFERROR(INDEX('04A_국토부원자료'!$A:$T,ROW()+1,MATCH("거래유형",'04A_국토부원자료'!$A$4:$T$4,0)),"")</f>
        <v/>
      </c>
      <c r="N322" s="152">
        <f>IF(B322="","",IF('02_대상물건입력'!B5="",1,IF(ISNUMBER(SEARCH('02_대상물건입력'!B5,B322)),1,0)))</f>
        <v/>
      </c>
      <c r="O322" s="152">
        <f>IF(B322="","",IF('02_대상물건입력'!B6="",1,IF(ISNUMBER(SEARCH('02_대상물건입력'!B6,B322)),1,0)))</f>
        <v/>
      </c>
      <c r="P322" s="152">
        <f>IF(L322="","",IF('02_대상물건입력'!B15="",0,IF(ISNUMBER(SEARCH('02_대상물건입력'!B15,L322)),1,0)))</f>
        <v/>
      </c>
      <c r="Q322" s="152">
        <f>IF(OR(C322="",L322=""),0,IF(AND(TRIM(C322)=TRIM(RIGHT(SUBSTITUTE(TRIM('02_대상물건입력'!$B$7)," ",REPT(" ",99)),99)),IF('02_대상물건입력'!B15="",TRUE(),ISNUMBER(SEARCH('02_대상물건입력'!B15,L322)))),1,0))</f>
        <v/>
      </c>
      <c r="R322" s="175">
        <f>IFERROR(ABS(E322-'02_대상물건입력'!B11)/'02_대상물건입력'!B11,"")</f>
        <v/>
      </c>
      <c r="S322" s="152">
        <f>IFERROR(ABS(J322-'02_대상물건입력'!B10),"")</f>
        <v/>
      </c>
      <c r="T322" s="152">
        <f>IFERROR(ABS('01_설정'!B4-F322),"")</f>
        <v/>
      </c>
      <c r="U322" s="152">
        <f>IFERROR(ABS(K322-YEAR('02_대상물건입력'!B14)),"")</f>
        <v/>
      </c>
      <c r="V322" s="152">
        <f>IF(B322="","",IF(AND(E322&gt;0,F322&gt;0,H322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322=1,TRUE()),R322&lt;='01_설정'!B5,S322&lt;='01_설정'!B6,T322&lt;='01_설정'!B7,U322&lt;='01_설정'!B8),"Y",""))</f>
        <v/>
      </c>
      <c r="W322" s="172">
        <f>IF(V322&lt;&gt;"Y","",MAX(0,(1-R322/'01_설정'!B5))*'01_설정'!B14+MAX(0,(1-S322/'01_설정'!B6))*'01_설정'!B15+MAX(0,(1-T322/'01_설정'!B7))*'01_설정'!B16+MAX(0,(1-U322/'01_설정'!B8))*'01_설정'!B17+O322*'01_설정'!B11+Q322*'01_설정'!B12+P322*'01_설정'!B13+IF(Z322="",0,Z322))</f>
        <v/>
      </c>
      <c r="X322" s="152">
        <f>IF(W322="","",1+COUNTIFS($W$4:$W$3003,"&gt;"&amp;W322)+COUNTIFS($W$4:W322,W322)-1)</f>
        <v/>
      </c>
      <c r="Y322" s="175">
        <f>IF(OR(I322="",'02_대상물건입력'!B19="",'02_대상물건입력'!B19&lt;=0),"",ABS(I322-'02_대상물건입력'!B19)/'02_대상물건입력'!B19)</f>
        <v/>
      </c>
      <c r="Z322" s="172">
        <f>IF(OR(Y322="",'01_설정'!B31="",'01_설정'!B31&lt;=0,'01_설정'!B32="",'01_설정'!B32&lt;=0),"",MAX(0,(1-Y322/'01_설정'!B32))*'01_설정'!B31)</f>
        <v/>
      </c>
    </row>
    <row r="323" ht="17.25" customHeight="1">
      <c r="A323" s="152">
        <f>IF(INDEX('04A_국토부원자료'!$A:$A,ROW()+1)="","",ROW()-3)</f>
        <v/>
      </c>
      <c r="B323" s="48">
        <f>IFERROR(INDEX('04A_국토부원자료'!$A:$T,ROW()+1,MATCH("시군구",'04A_국토부원자료'!$A$4:$T$4,0)),"")</f>
        <v/>
      </c>
      <c r="C323" s="48">
        <f>IF(B323="","",IFERROR(INDEX('04A_국토부원자료'!$A:$T,ROW()+1,MATCH("번지",'04A_국토부원자료'!$A$4:$T$4,0)),""))</f>
        <v/>
      </c>
      <c r="D323" s="48">
        <f>IF(B323="","",IF(Q323=1,'02_대상물건입력'!$B$8,IFERROR(INDEX('04A_국토부원자료'!$A:$T,ROW()+1,MATCH("단지명",'04A_국토부원자료'!$A$4:$T$4,0)),"")))</f>
        <v/>
      </c>
      <c r="E323" s="172">
        <f>IFERROR(VALUE(SUBSTITUTE(INDEX('04A_국토부원자료'!$A:$T,ROW()+1,MATCH("전용면적(㎡)",'04A_국토부원자료'!$A$4:$T$4,0)),",","")),"")</f>
        <v/>
      </c>
      <c r="F3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23" s="51">
        <f>IFERROR(VALUE(SUBSTITUTE(INDEX('04A_국토부원자료'!$A:$T,ROW()+1,MATCH("거래금액(만원)",'04A_국토부원자료'!$A$4:$T$4,0)),",","")),"")</f>
        <v/>
      </c>
      <c r="H323" s="174">
        <f>IF(G323="","",G323*10000)</f>
        <v/>
      </c>
      <c r="I323" s="174">
        <f>IFERROR(IF(AND(H323&gt;0,E323&gt;0),H323/E323,""),"")</f>
        <v/>
      </c>
      <c r="J323" s="152">
        <f>IFERROR(VALUE(SUBSTITUTE(INDEX('04A_국토부원자료'!$A:$T,ROW()+1,MATCH("층",'04A_국토부원자료'!$A$4:$T$4,0)),",","")),"")</f>
        <v/>
      </c>
      <c r="K323" s="152">
        <f>IFERROR(VALUE(SUBSTITUTE(INDEX('04A_국토부원자료'!$A:$T,ROW()+1,MATCH("건축년도",'04A_국토부원자료'!$A$4:$T$4,0)),",","")),"")</f>
        <v/>
      </c>
      <c r="L323" s="176">
        <f>IFERROR(INDEX('04A_국토부원자료'!$A:$T,ROW()+1,MATCH("도로명",'04A_국토부원자료'!$A$4:$T$4,0)),"")</f>
        <v/>
      </c>
      <c r="M323" s="48">
        <f>IFERROR(INDEX('04A_국토부원자료'!$A:$T,ROW()+1,MATCH("거래유형",'04A_국토부원자료'!$A$4:$T$4,0)),"")</f>
        <v/>
      </c>
      <c r="N323" s="152">
        <f>IF(B323="","",IF('02_대상물건입력'!B5="",1,IF(ISNUMBER(SEARCH('02_대상물건입력'!B5,B323)),1,0)))</f>
        <v/>
      </c>
      <c r="O323" s="152">
        <f>IF(B323="","",IF('02_대상물건입력'!B6="",1,IF(ISNUMBER(SEARCH('02_대상물건입력'!B6,B323)),1,0)))</f>
        <v/>
      </c>
      <c r="P323" s="152">
        <f>IF(L323="","",IF('02_대상물건입력'!B15="",0,IF(ISNUMBER(SEARCH('02_대상물건입력'!B15,L323)),1,0)))</f>
        <v/>
      </c>
      <c r="Q323" s="152">
        <f>IF(OR(C323="",L323=""),0,IF(AND(TRIM(C323)=TRIM(RIGHT(SUBSTITUTE(TRIM('02_대상물건입력'!$B$7)," ",REPT(" ",99)),99)),IF('02_대상물건입력'!B15="",TRUE(),ISNUMBER(SEARCH('02_대상물건입력'!B15,L323)))),1,0))</f>
        <v/>
      </c>
      <c r="R323" s="175">
        <f>IFERROR(ABS(E323-'02_대상물건입력'!B11)/'02_대상물건입력'!B11,"")</f>
        <v/>
      </c>
      <c r="S323" s="152">
        <f>IFERROR(ABS(J323-'02_대상물건입력'!B10),"")</f>
        <v/>
      </c>
      <c r="T323" s="152">
        <f>IFERROR(ABS('01_설정'!B4-F323),"")</f>
        <v/>
      </c>
      <c r="U323" s="152">
        <f>IFERROR(ABS(K323-YEAR('02_대상물건입력'!B14)),"")</f>
        <v/>
      </c>
      <c r="V323" s="152">
        <f>IF(B323="","",IF(AND(E323&gt;0,F323&gt;0,H323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323=1,TRUE()),R323&lt;='01_설정'!B5,S323&lt;='01_설정'!B6,T323&lt;='01_설정'!B7,U323&lt;='01_설정'!B8),"Y",""))</f>
        <v/>
      </c>
      <c r="W323" s="172">
        <f>IF(V323&lt;&gt;"Y","",MAX(0,(1-R323/'01_설정'!B5))*'01_설정'!B14+MAX(0,(1-S323/'01_설정'!B6))*'01_설정'!B15+MAX(0,(1-T323/'01_설정'!B7))*'01_설정'!B16+MAX(0,(1-U323/'01_설정'!B8))*'01_설정'!B17+O323*'01_설정'!B11+Q323*'01_설정'!B12+P323*'01_설정'!B13+IF(Z323="",0,Z323))</f>
        <v/>
      </c>
      <c r="X323" s="152">
        <f>IF(W323="","",1+COUNTIFS($W$4:$W$3003,"&gt;"&amp;W323)+COUNTIFS($W$4:W323,W323)-1)</f>
        <v/>
      </c>
      <c r="Y323" s="175">
        <f>IF(OR(I323="",'02_대상물건입력'!B19="",'02_대상물건입력'!B19&lt;=0),"",ABS(I323-'02_대상물건입력'!B19)/'02_대상물건입력'!B19)</f>
        <v/>
      </c>
      <c r="Z323" s="172">
        <f>IF(OR(Y323="",'01_설정'!B31="",'01_설정'!B31&lt;=0,'01_설정'!B32="",'01_설정'!B32&lt;=0),"",MAX(0,(1-Y323/'01_설정'!B32))*'01_설정'!B31)</f>
        <v/>
      </c>
    </row>
    <row r="324" ht="17.25" customHeight="1">
      <c r="A324" s="152">
        <f>IF(INDEX('04A_국토부원자료'!$A:$A,ROW()+1)="","",ROW()-3)</f>
        <v/>
      </c>
      <c r="B324" s="48">
        <f>IFERROR(INDEX('04A_국토부원자료'!$A:$T,ROW()+1,MATCH("시군구",'04A_국토부원자료'!$A$4:$T$4,0)),"")</f>
        <v/>
      </c>
      <c r="C324" s="48">
        <f>IF(B324="","",IFERROR(INDEX('04A_국토부원자료'!$A:$T,ROW()+1,MATCH("번지",'04A_국토부원자료'!$A$4:$T$4,0)),""))</f>
        <v/>
      </c>
      <c r="D324" s="48">
        <f>IF(B324="","",IF(Q324=1,'02_대상물건입력'!$B$8,IFERROR(INDEX('04A_국토부원자료'!$A:$T,ROW()+1,MATCH("단지명",'04A_국토부원자료'!$A$4:$T$4,0)),"")))</f>
        <v/>
      </c>
      <c r="E324" s="172">
        <f>IFERROR(VALUE(SUBSTITUTE(INDEX('04A_국토부원자료'!$A:$T,ROW()+1,MATCH("전용면적(㎡)",'04A_국토부원자료'!$A$4:$T$4,0)),",","")),"")</f>
        <v/>
      </c>
      <c r="F3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24" s="51">
        <f>IFERROR(VALUE(SUBSTITUTE(INDEX('04A_국토부원자료'!$A:$T,ROW()+1,MATCH("거래금액(만원)",'04A_국토부원자료'!$A$4:$T$4,0)),",","")),"")</f>
        <v/>
      </c>
      <c r="H324" s="174">
        <f>IF(G324="","",G324*10000)</f>
        <v/>
      </c>
      <c r="I324" s="174">
        <f>IFERROR(IF(AND(H324&gt;0,E324&gt;0),H324/E324,""),"")</f>
        <v/>
      </c>
      <c r="J324" s="152">
        <f>IFERROR(VALUE(SUBSTITUTE(INDEX('04A_국토부원자료'!$A:$T,ROW()+1,MATCH("층",'04A_국토부원자료'!$A$4:$T$4,0)),",","")),"")</f>
        <v/>
      </c>
      <c r="K324" s="152">
        <f>IFERROR(VALUE(SUBSTITUTE(INDEX('04A_국토부원자료'!$A:$T,ROW()+1,MATCH("건축년도",'04A_국토부원자료'!$A$4:$T$4,0)),",","")),"")</f>
        <v/>
      </c>
      <c r="L324" s="176">
        <f>IFERROR(INDEX('04A_국토부원자료'!$A:$T,ROW()+1,MATCH("도로명",'04A_국토부원자료'!$A$4:$T$4,0)),"")</f>
        <v/>
      </c>
      <c r="M324" s="48">
        <f>IFERROR(INDEX('04A_국토부원자료'!$A:$T,ROW()+1,MATCH("거래유형",'04A_국토부원자료'!$A$4:$T$4,0)),"")</f>
        <v/>
      </c>
      <c r="N324" s="152">
        <f>IF(B324="","",IF('02_대상물건입력'!B5="",1,IF(ISNUMBER(SEARCH('02_대상물건입력'!B5,B324)),1,0)))</f>
        <v/>
      </c>
      <c r="O324" s="152">
        <f>IF(B324="","",IF('02_대상물건입력'!B6="",1,IF(ISNUMBER(SEARCH('02_대상물건입력'!B6,B324)),1,0)))</f>
        <v/>
      </c>
      <c r="P324" s="152">
        <f>IF(L324="","",IF('02_대상물건입력'!B15="",0,IF(ISNUMBER(SEARCH('02_대상물건입력'!B15,L324)),1,0)))</f>
        <v/>
      </c>
      <c r="Q324" s="152">
        <f>IF(OR(C324="",L324=""),0,IF(AND(TRIM(C324)=TRIM(RIGHT(SUBSTITUTE(TRIM('02_대상물건입력'!$B$7)," ",REPT(" ",99)),99)),IF('02_대상물건입력'!B15="",TRUE(),ISNUMBER(SEARCH('02_대상물건입력'!B15,L324)))),1,0))</f>
        <v/>
      </c>
      <c r="R324" s="175">
        <f>IFERROR(ABS(E324-'02_대상물건입력'!B11)/'02_대상물건입력'!B11,"")</f>
        <v/>
      </c>
      <c r="S324" s="152">
        <f>IFERROR(ABS(J324-'02_대상물건입력'!B10),"")</f>
        <v/>
      </c>
      <c r="T324" s="152">
        <f>IFERROR(ABS('01_설정'!B4-F324),"")</f>
        <v/>
      </c>
      <c r="U324" s="152">
        <f>IFERROR(ABS(K324-YEAR('02_대상물건입력'!B14)),"")</f>
        <v/>
      </c>
      <c r="V324" s="152">
        <f>IF(B324="","",IF(AND(E324&gt;0,F324&gt;0,H324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324=1,TRUE()),R324&lt;='01_설정'!B5,S324&lt;='01_설정'!B6,T324&lt;='01_설정'!B7,U324&lt;='01_설정'!B8),"Y",""))</f>
        <v/>
      </c>
      <c r="W324" s="172">
        <f>IF(V324&lt;&gt;"Y","",MAX(0,(1-R324/'01_설정'!B5))*'01_설정'!B14+MAX(0,(1-S324/'01_설정'!B6))*'01_설정'!B15+MAX(0,(1-T324/'01_설정'!B7))*'01_설정'!B16+MAX(0,(1-U324/'01_설정'!B8))*'01_설정'!B17+O324*'01_설정'!B11+Q324*'01_설정'!B12+P324*'01_설정'!B13+IF(Z324="",0,Z324))</f>
        <v/>
      </c>
      <c r="X324" s="152">
        <f>IF(W324="","",1+COUNTIFS($W$4:$W$3003,"&gt;"&amp;W324)+COUNTIFS($W$4:W324,W324)-1)</f>
        <v/>
      </c>
      <c r="Y324" s="175">
        <f>IF(OR(I324="",'02_대상물건입력'!B19="",'02_대상물건입력'!B19&lt;=0),"",ABS(I324-'02_대상물건입력'!B19)/'02_대상물건입력'!B19)</f>
        <v/>
      </c>
      <c r="Z324" s="172">
        <f>IF(OR(Y324="",'01_설정'!B31="",'01_설정'!B31&lt;=0,'01_설정'!B32="",'01_설정'!B32&lt;=0),"",MAX(0,(1-Y324/'01_설정'!B32))*'01_설정'!B31)</f>
        <v/>
      </c>
    </row>
    <row r="325" ht="17.25" customHeight="1">
      <c r="A325" s="152">
        <f>IF(INDEX('04A_국토부원자료'!$A:$A,ROW()+1)="","",ROW()-3)</f>
        <v/>
      </c>
      <c r="B325" s="48">
        <f>IFERROR(INDEX('04A_국토부원자료'!$A:$T,ROW()+1,MATCH("시군구",'04A_국토부원자료'!$A$4:$T$4,0)),"")</f>
        <v/>
      </c>
      <c r="C325" s="48">
        <f>IF(B325="","",IFERROR(INDEX('04A_국토부원자료'!$A:$T,ROW()+1,MATCH("번지",'04A_국토부원자료'!$A$4:$T$4,0)),""))</f>
        <v/>
      </c>
      <c r="D325" s="48">
        <f>IF(B325="","",IF(Q325=1,'02_대상물건입력'!$B$8,IFERROR(INDEX('04A_국토부원자료'!$A:$T,ROW()+1,MATCH("단지명",'04A_국토부원자료'!$A$4:$T$4,0)),"")))</f>
        <v/>
      </c>
      <c r="E325" s="172">
        <f>IFERROR(VALUE(SUBSTITUTE(INDEX('04A_국토부원자료'!$A:$T,ROW()+1,MATCH("전용면적(㎡)",'04A_국토부원자료'!$A$4:$T$4,0)),",","")),"")</f>
        <v/>
      </c>
      <c r="F3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25" s="51">
        <f>IFERROR(VALUE(SUBSTITUTE(INDEX('04A_국토부원자료'!$A:$T,ROW()+1,MATCH("거래금액(만원)",'04A_국토부원자료'!$A$4:$T$4,0)),",","")),"")</f>
        <v/>
      </c>
      <c r="H325" s="174">
        <f>IF(G325="","",G325*10000)</f>
        <v/>
      </c>
      <c r="I325" s="174">
        <f>IFERROR(IF(AND(H325&gt;0,E325&gt;0),H325/E325,""),"")</f>
        <v/>
      </c>
      <c r="J325" s="152">
        <f>IFERROR(VALUE(SUBSTITUTE(INDEX('04A_국토부원자료'!$A:$T,ROW()+1,MATCH("층",'04A_국토부원자료'!$A$4:$T$4,0)),",","")),"")</f>
        <v/>
      </c>
      <c r="K325" s="152">
        <f>IFERROR(VALUE(SUBSTITUTE(INDEX('04A_국토부원자료'!$A:$T,ROW()+1,MATCH("건축년도",'04A_국토부원자료'!$A$4:$T$4,0)),",","")),"")</f>
        <v/>
      </c>
      <c r="L325" s="176">
        <f>IFERROR(INDEX('04A_국토부원자료'!$A:$T,ROW()+1,MATCH("도로명",'04A_국토부원자료'!$A$4:$T$4,0)),"")</f>
        <v/>
      </c>
      <c r="M325" s="48">
        <f>IFERROR(INDEX('04A_국토부원자료'!$A:$T,ROW()+1,MATCH("거래유형",'04A_국토부원자료'!$A$4:$T$4,0)),"")</f>
        <v/>
      </c>
      <c r="N325" s="152">
        <f>IF(B325="","",IF('02_대상물건입력'!B5="",1,IF(ISNUMBER(SEARCH('02_대상물건입력'!B5,B325)),1,0)))</f>
        <v/>
      </c>
      <c r="O325" s="152">
        <f>IF(B325="","",IF('02_대상물건입력'!B6="",1,IF(ISNUMBER(SEARCH('02_대상물건입력'!B6,B325)),1,0)))</f>
        <v/>
      </c>
      <c r="P325" s="152">
        <f>IF(L325="","",IF('02_대상물건입력'!B15="",0,IF(ISNUMBER(SEARCH('02_대상물건입력'!B15,L325)),1,0)))</f>
        <v/>
      </c>
      <c r="Q325" s="152">
        <f>IF(OR(C325="",L325=""),0,IF(AND(TRIM(C325)=TRIM(RIGHT(SUBSTITUTE(TRIM('02_대상물건입력'!$B$7)," ",REPT(" ",99)),99)),IF('02_대상물건입력'!B15="",TRUE(),ISNUMBER(SEARCH('02_대상물건입력'!B15,L325)))),1,0))</f>
        <v/>
      </c>
      <c r="R325" s="175">
        <f>IFERROR(ABS(E325-'02_대상물건입력'!B11)/'02_대상물건입력'!B11,"")</f>
        <v/>
      </c>
      <c r="S325" s="152">
        <f>IFERROR(ABS(J325-'02_대상물건입력'!B10),"")</f>
        <v/>
      </c>
      <c r="T325" s="152">
        <f>IFERROR(ABS('01_설정'!B4-F325),"")</f>
        <v/>
      </c>
      <c r="U325" s="152">
        <f>IFERROR(ABS(K325-YEAR('02_대상물건입력'!B14)),"")</f>
        <v/>
      </c>
      <c r="V325" s="152">
        <f>IF(B325="","",IF(AND(E325&gt;0,F325&gt;0,H325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325=1,TRUE()),R325&lt;='01_설정'!B5,S325&lt;='01_설정'!B6,T325&lt;='01_설정'!B7,U325&lt;='01_설정'!B8),"Y",""))</f>
        <v/>
      </c>
      <c r="W325" s="172">
        <f>IF(V325&lt;&gt;"Y","",MAX(0,(1-R325/'01_설정'!B5))*'01_설정'!B14+MAX(0,(1-S325/'01_설정'!B6))*'01_설정'!B15+MAX(0,(1-T325/'01_설정'!B7))*'01_설정'!B16+MAX(0,(1-U325/'01_설정'!B8))*'01_설정'!B17+O325*'01_설정'!B11+Q325*'01_설정'!B12+P325*'01_설정'!B13+IF(Z325="",0,Z325))</f>
        <v/>
      </c>
      <c r="X325" s="152">
        <f>IF(W325="","",1+COUNTIFS($W$4:$W$3003,"&gt;"&amp;W325)+COUNTIFS($W$4:W325,W325)-1)</f>
        <v/>
      </c>
      <c r="Y325" s="175">
        <f>IF(OR(I325="",'02_대상물건입력'!B19="",'02_대상물건입력'!B19&lt;=0),"",ABS(I325-'02_대상물건입력'!B19)/'02_대상물건입력'!B19)</f>
        <v/>
      </c>
      <c r="Z325" s="172">
        <f>IF(OR(Y325="",'01_설정'!B31="",'01_설정'!B31&lt;=0,'01_설정'!B32="",'01_설정'!B32&lt;=0),"",MAX(0,(1-Y325/'01_설정'!B32))*'01_설정'!B31)</f>
        <v/>
      </c>
    </row>
    <row r="326" ht="17.25" customHeight="1">
      <c r="A326" s="152">
        <f>IF(INDEX('04A_국토부원자료'!$A:$A,ROW()+1)="","",ROW()-3)</f>
        <v/>
      </c>
      <c r="B326" s="48">
        <f>IFERROR(INDEX('04A_국토부원자료'!$A:$T,ROW()+1,MATCH("시군구",'04A_국토부원자료'!$A$4:$T$4,0)),"")</f>
        <v/>
      </c>
      <c r="C326" s="48">
        <f>IF(B326="","",IFERROR(INDEX('04A_국토부원자료'!$A:$T,ROW()+1,MATCH("번지",'04A_국토부원자료'!$A$4:$T$4,0)),""))</f>
        <v/>
      </c>
      <c r="D326" s="48">
        <f>IF(B326="","",IF(Q326=1,'02_대상물건입력'!$B$8,IFERROR(INDEX('04A_국토부원자료'!$A:$T,ROW()+1,MATCH("단지명",'04A_국토부원자료'!$A$4:$T$4,0)),"")))</f>
        <v/>
      </c>
      <c r="E326" s="172">
        <f>IFERROR(VALUE(SUBSTITUTE(INDEX('04A_국토부원자료'!$A:$T,ROW()+1,MATCH("전용면적(㎡)",'04A_국토부원자료'!$A$4:$T$4,0)),",","")),"")</f>
        <v/>
      </c>
      <c r="F3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26" s="51">
        <f>IFERROR(VALUE(SUBSTITUTE(INDEX('04A_국토부원자료'!$A:$T,ROW()+1,MATCH("거래금액(만원)",'04A_국토부원자료'!$A$4:$T$4,0)),",","")),"")</f>
        <v/>
      </c>
      <c r="H326" s="174">
        <f>IF(G326="","",G326*10000)</f>
        <v/>
      </c>
      <c r="I326" s="174">
        <f>IFERROR(IF(AND(H326&gt;0,E326&gt;0),H326/E326,""),"")</f>
        <v/>
      </c>
      <c r="J326" s="152">
        <f>IFERROR(VALUE(SUBSTITUTE(INDEX('04A_국토부원자료'!$A:$T,ROW()+1,MATCH("층",'04A_국토부원자료'!$A$4:$T$4,0)),",","")),"")</f>
        <v/>
      </c>
      <c r="K326" s="152">
        <f>IFERROR(VALUE(SUBSTITUTE(INDEX('04A_국토부원자료'!$A:$T,ROW()+1,MATCH("건축년도",'04A_국토부원자료'!$A$4:$T$4,0)),",","")),"")</f>
        <v/>
      </c>
      <c r="L326" s="176">
        <f>IFERROR(INDEX('04A_국토부원자료'!$A:$T,ROW()+1,MATCH("도로명",'04A_국토부원자료'!$A$4:$T$4,0)),"")</f>
        <v/>
      </c>
      <c r="M326" s="48">
        <f>IFERROR(INDEX('04A_국토부원자료'!$A:$T,ROW()+1,MATCH("거래유형",'04A_국토부원자료'!$A$4:$T$4,0)),"")</f>
        <v/>
      </c>
      <c r="N326" s="152">
        <f>IF(B326="","",IF('02_대상물건입력'!B5="",1,IF(ISNUMBER(SEARCH('02_대상물건입력'!B5,B326)),1,0)))</f>
        <v/>
      </c>
      <c r="O326" s="152">
        <f>IF(B326="","",IF('02_대상물건입력'!B6="",1,IF(ISNUMBER(SEARCH('02_대상물건입력'!B6,B326)),1,0)))</f>
        <v/>
      </c>
      <c r="P326" s="152">
        <f>IF(L326="","",IF('02_대상물건입력'!B15="",0,IF(ISNUMBER(SEARCH('02_대상물건입력'!B15,L326)),1,0)))</f>
        <v/>
      </c>
      <c r="Q326" s="152">
        <f>IF(OR(C326="",L326=""),0,IF(AND(TRIM(C326)=TRIM(RIGHT(SUBSTITUTE(TRIM('02_대상물건입력'!$B$7)," ",REPT(" ",99)),99)),IF('02_대상물건입력'!B15="",TRUE(),ISNUMBER(SEARCH('02_대상물건입력'!B15,L326)))),1,0))</f>
        <v/>
      </c>
      <c r="R326" s="175">
        <f>IFERROR(ABS(E326-'02_대상물건입력'!B11)/'02_대상물건입력'!B11,"")</f>
        <v/>
      </c>
      <c r="S326" s="152">
        <f>IFERROR(ABS(J326-'02_대상물건입력'!B10),"")</f>
        <v/>
      </c>
      <c r="T326" s="152">
        <f>IFERROR(ABS('01_설정'!B4-F326),"")</f>
        <v/>
      </c>
      <c r="U326" s="152">
        <f>IFERROR(ABS(K326-YEAR('02_대상물건입력'!B14)),"")</f>
        <v/>
      </c>
      <c r="V326" s="152">
        <f>IF(B326="","",IF(AND(E326&gt;0,F326&gt;0,H326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326=1,TRUE()),R326&lt;='01_설정'!B5,S326&lt;='01_설정'!B6,T326&lt;='01_설정'!B7,U326&lt;='01_설정'!B8),"Y",""))</f>
        <v/>
      </c>
      <c r="W326" s="172">
        <f>IF(V326&lt;&gt;"Y","",MAX(0,(1-R326/'01_설정'!B5))*'01_설정'!B14+MAX(0,(1-S326/'01_설정'!B6))*'01_설정'!B15+MAX(0,(1-T326/'01_설정'!B7))*'01_설정'!B16+MAX(0,(1-U326/'01_설정'!B8))*'01_설정'!B17+O326*'01_설정'!B11+Q326*'01_설정'!B12+P326*'01_설정'!B13+IF(Z326="",0,Z326))</f>
        <v/>
      </c>
      <c r="X326" s="152">
        <f>IF(W326="","",1+COUNTIFS($W$4:$W$3003,"&gt;"&amp;W326)+COUNTIFS($W$4:W326,W326)-1)</f>
        <v/>
      </c>
      <c r="Y326" s="175">
        <f>IF(OR(I326="",'02_대상물건입력'!B19="",'02_대상물건입력'!B19&lt;=0),"",ABS(I326-'02_대상물건입력'!B19)/'02_대상물건입력'!B19)</f>
        <v/>
      </c>
      <c r="Z326" s="172">
        <f>IF(OR(Y326="",'01_설정'!B31="",'01_설정'!B31&lt;=0,'01_설정'!B32="",'01_설정'!B32&lt;=0),"",MAX(0,(1-Y326/'01_설정'!B32))*'01_설정'!B31)</f>
        <v/>
      </c>
    </row>
    <row r="327" ht="17.25" customHeight="1">
      <c r="A327" s="152">
        <f>IF(INDEX('04A_국토부원자료'!$A:$A,ROW()+1)="","",ROW()-3)</f>
        <v/>
      </c>
      <c r="B327" s="48">
        <f>IFERROR(INDEX('04A_국토부원자료'!$A:$T,ROW()+1,MATCH("시군구",'04A_국토부원자료'!$A$4:$T$4,0)),"")</f>
        <v/>
      </c>
      <c r="C327" s="48">
        <f>IF(B327="","",IFERROR(INDEX('04A_국토부원자료'!$A:$T,ROW()+1,MATCH("번지",'04A_국토부원자료'!$A$4:$T$4,0)),""))</f>
        <v/>
      </c>
      <c r="D327" s="48">
        <f>IF(B327="","",IF(Q327=1,'02_대상물건입력'!$B$8,IFERROR(INDEX('04A_국토부원자료'!$A:$T,ROW()+1,MATCH("단지명",'04A_국토부원자료'!$A$4:$T$4,0)),"")))</f>
        <v/>
      </c>
      <c r="E327" s="172">
        <f>IFERROR(VALUE(SUBSTITUTE(INDEX('04A_국토부원자료'!$A:$T,ROW()+1,MATCH("전용면적(㎡)",'04A_국토부원자료'!$A$4:$T$4,0)),",","")),"")</f>
        <v/>
      </c>
      <c r="F3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27" s="51">
        <f>IFERROR(VALUE(SUBSTITUTE(INDEX('04A_국토부원자료'!$A:$T,ROW()+1,MATCH("거래금액(만원)",'04A_국토부원자료'!$A$4:$T$4,0)),",","")),"")</f>
        <v/>
      </c>
      <c r="H327" s="174">
        <f>IF(G327="","",G327*10000)</f>
        <v/>
      </c>
      <c r="I327" s="174">
        <f>IFERROR(IF(AND(H327&gt;0,E327&gt;0),H327/E327,""),"")</f>
        <v/>
      </c>
      <c r="J327" s="152">
        <f>IFERROR(VALUE(SUBSTITUTE(INDEX('04A_국토부원자료'!$A:$T,ROW()+1,MATCH("층",'04A_국토부원자료'!$A$4:$T$4,0)),",","")),"")</f>
        <v/>
      </c>
      <c r="K327" s="152">
        <f>IFERROR(VALUE(SUBSTITUTE(INDEX('04A_국토부원자료'!$A:$T,ROW()+1,MATCH("건축년도",'04A_국토부원자료'!$A$4:$T$4,0)),",","")),"")</f>
        <v/>
      </c>
      <c r="L327" s="176">
        <f>IFERROR(INDEX('04A_국토부원자료'!$A:$T,ROW()+1,MATCH("도로명",'04A_국토부원자료'!$A$4:$T$4,0)),"")</f>
        <v/>
      </c>
      <c r="M327" s="48">
        <f>IFERROR(INDEX('04A_국토부원자료'!$A:$T,ROW()+1,MATCH("거래유형",'04A_국토부원자료'!$A$4:$T$4,0)),"")</f>
        <v/>
      </c>
      <c r="N327" s="152">
        <f>IF(B327="","",IF('02_대상물건입력'!B5="",1,IF(ISNUMBER(SEARCH('02_대상물건입력'!B5,B327)),1,0)))</f>
        <v/>
      </c>
      <c r="O327" s="152">
        <f>IF(B327="","",IF('02_대상물건입력'!B6="",1,IF(ISNUMBER(SEARCH('02_대상물건입력'!B6,B327)),1,0)))</f>
        <v/>
      </c>
      <c r="P327" s="152">
        <f>IF(L327="","",IF('02_대상물건입력'!B15="",0,IF(ISNUMBER(SEARCH('02_대상물건입력'!B15,L327)),1,0)))</f>
        <v/>
      </c>
      <c r="Q327" s="152">
        <f>IF(OR(C327="",L327=""),0,IF(AND(TRIM(C327)=TRIM(RIGHT(SUBSTITUTE(TRIM('02_대상물건입력'!$B$7)," ",REPT(" ",99)),99)),IF('02_대상물건입력'!B15="",TRUE(),ISNUMBER(SEARCH('02_대상물건입력'!B15,L327)))),1,0))</f>
        <v/>
      </c>
      <c r="R327" s="175">
        <f>IFERROR(ABS(E327-'02_대상물건입력'!B11)/'02_대상물건입력'!B11,"")</f>
        <v/>
      </c>
      <c r="S327" s="152">
        <f>IFERROR(ABS(J327-'02_대상물건입력'!B10),"")</f>
        <v/>
      </c>
      <c r="T327" s="152">
        <f>IFERROR(ABS('01_설정'!B4-F327),"")</f>
        <v/>
      </c>
      <c r="U327" s="152">
        <f>IFERROR(ABS(K327-YEAR('02_대상물건입력'!B14)),"")</f>
        <v/>
      </c>
      <c r="V327" s="152">
        <f>IF(B327="","",IF(AND(E327&gt;0,F327&gt;0,H327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327=1,TRUE()),R327&lt;='01_설정'!B5,S327&lt;='01_설정'!B6,T327&lt;='01_설정'!B7,U327&lt;='01_설정'!B8),"Y",""))</f>
        <v/>
      </c>
      <c r="W327" s="172">
        <f>IF(V327&lt;&gt;"Y","",MAX(0,(1-R327/'01_설정'!B5))*'01_설정'!B14+MAX(0,(1-S327/'01_설정'!B6))*'01_설정'!B15+MAX(0,(1-T327/'01_설정'!B7))*'01_설정'!B16+MAX(0,(1-U327/'01_설정'!B8))*'01_설정'!B17+O327*'01_설정'!B11+Q327*'01_설정'!B12+P327*'01_설정'!B13+IF(Z327="",0,Z327))</f>
        <v/>
      </c>
      <c r="X327" s="152">
        <f>IF(W327="","",1+COUNTIFS($W$4:$W$3003,"&gt;"&amp;W327)+COUNTIFS($W$4:W327,W327)-1)</f>
        <v/>
      </c>
      <c r="Y327" s="175">
        <f>IF(OR(I327="",'02_대상물건입력'!B19="",'02_대상물건입력'!B19&lt;=0),"",ABS(I327-'02_대상물건입력'!B19)/'02_대상물건입력'!B19)</f>
        <v/>
      </c>
      <c r="Z327" s="172">
        <f>IF(OR(Y327="",'01_설정'!B31="",'01_설정'!B31&lt;=0,'01_설정'!B32="",'01_설정'!B32&lt;=0),"",MAX(0,(1-Y327/'01_설정'!B32))*'01_설정'!B31)</f>
        <v/>
      </c>
    </row>
    <row r="328" ht="17.25" customHeight="1">
      <c r="A328" s="152">
        <f>IF(INDEX('04A_국토부원자료'!$A:$A,ROW()+1)="","",ROW()-3)</f>
        <v/>
      </c>
      <c r="B328" s="48">
        <f>IFERROR(INDEX('04A_국토부원자료'!$A:$T,ROW()+1,MATCH("시군구",'04A_국토부원자료'!$A$4:$T$4,0)),"")</f>
        <v/>
      </c>
      <c r="C328" s="48">
        <f>IF(B328="","",IFERROR(INDEX('04A_국토부원자료'!$A:$T,ROW()+1,MATCH("번지",'04A_국토부원자료'!$A$4:$T$4,0)),""))</f>
        <v/>
      </c>
      <c r="D328" s="48">
        <f>IF(B328="","",IF(Q328=1,'02_대상물건입력'!$B$8,IFERROR(INDEX('04A_국토부원자료'!$A:$T,ROW()+1,MATCH("단지명",'04A_국토부원자료'!$A$4:$T$4,0)),"")))</f>
        <v/>
      </c>
      <c r="E328" s="172">
        <f>IFERROR(VALUE(SUBSTITUTE(INDEX('04A_국토부원자료'!$A:$T,ROW()+1,MATCH("전용면적(㎡)",'04A_국토부원자료'!$A$4:$T$4,0)),",","")),"")</f>
        <v/>
      </c>
      <c r="F3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28" s="51">
        <f>IFERROR(VALUE(SUBSTITUTE(INDEX('04A_국토부원자료'!$A:$T,ROW()+1,MATCH("거래금액(만원)",'04A_국토부원자료'!$A$4:$T$4,0)),",","")),"")</f>
        <v/>
      </c>
      <c r="H328" s="174">
        <f>IF(G328="","",G328*10000)</f>
        <v/>
      </c>
      <c r="I328" s="174">
        <f>IFERROR(IF(AND(H328&gt;0,E328&gt;0),H328/E328,""),"")</f>
        <v/>
      </c>
      <c r="J328" s="152">
        <f>IFERROR(VALUE(SUBSTITUTE(INDEX('04A_국토부원자료'!$A:$T,ROW()+1,MATCH("층",'04A_국토부원자료'!$A$4:$T$4,0)),",","")),"")</f>
        <v/>
      </c>
      <c r="K328" s="152">
        <f>IFERROR(VALUE(SUBSTITUTE(INDEX('04A_국토부원자료'!$A:$T,ROW()+1,MATCH("건축년도",'04A_국토부원자료'!$A$4:$T$4,0)),",","")),"")</f>
        <v/>
      </c>
      <c r="L328" s="176">
        <f>IFERROR(INDEX('04A_국토부원자료'!$A:$T,ROW()+1,MATCH("도로명",'04A_국토부원자료'!$A$4:$T$4,0)),"")</f>
        <v/>
      </c>
      <c r="M328" s="48">
        <f>IFERROR(INDEX('04A_국토부원자료'!$A:$T,ROW()+1,MATCH("거래유형",'04A_국토부원자료'!$A$4:$T$4,0)),"")</f>
        <v/>
      </c>
      <c r="N328" s="152">
        <f>IF(B328="","",IF('02_대상물건입력'!B5="",1,IF(ISNUMBER(SEARCH('02_대상물건입력'!B5,B328)),1,0)))</f>
        <v/>
      </c>
      <c r="O328" s="152">
        <f>IF(B328="","",IF('02_대상물건입력'!B6="",1,IF(ISNUMBER(SEARCH('02_대상물건입력'!B6,B328)),1,0)))</f>
        <v/>
      </c>
      <c r="P328" s="152">
        <f>IF(L328="","",IF('02_대상물건입력'!B15="",0,IF(ISNUMBER(SEARCH('02_대상물건입력'!B15,L328)),1,0)))</f>
        <v/>
      </c>
      <c r="Q328" s="152">
        <f>IF(OR(C328="",L328=""),0,IF(AND(TRIM(C328)=TRIM(RIGHT(SUBSTITUTE(TRIM('02_대상물건입력'!$B$7)," ",REPT(" ",99)),99)),IF('02_대상물건입력'!B15="",TRUE(),ISNUMBER(SEARCH('02_대상물건입력'!B15,L328)))),1,0))</f>
        <v/>
      </c>
      <c r="R328" s="175">
        <f>IFERROR(ABS(E328-'02_대상물건입력'!B11)/'02_대상물건입력'!B11,"")</f>
        <v/>
      </c>
      <c r="S328" s="152">
        <f>IFERROR(ABS(J328-'02_대상물건입력'!B10),"")</f>
        <v/>
      </c>
      <c r="T328" s="152">
        <f>IFERROR(ABS('01_설정'!B4-F328),"")</f>
        <v/>
      </c>
      <c r="U328" s="152">
        <f>IFERROR(ABS(K328-YEAR('02_대상물건입력'!B14)),"")</f>
        <v/>
      </c>
      <c r="V328" s="152">
        <f>IF(B328="","",IF(AND(E328&gt;0,F328&gt;0,H328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328=1,TRUE()),R328&lt;='01_설정'!B5,S328&lt;='01_설정'!B6,T328&lt;='01_설정'!B7,U328&lt;='01_설정'!B8),"Y",""))</f>
        <v/>
      </c>
      <c r="W328" s="172">
        <f>IF(V328&lt;&gt;"Y","",MAX(0,(1-R328/'01_설정'!B5))*'01_설정'!B14+MAX(0,(1-S328/'01_설정'!B6))*'01_설정'!B15+MAX(0,(1-T328/'01_설정'!B7))*'01_설정'!B16+MAX(0,(1-U328/'01_설정'!B8))*'01_설정'!B17+O328*'01_설정'!B11+Q328*'01_설정'!B12+P328*'01_설정'!B13+IF(Z328="",0,Z328))</f>
        <v/>
      </c>
      <c r="X328" s="152">
        <f>IF(W328="","",1+COUNTIFS($W$4:$W$3003,"&gt;"&amp;W328)+COUNTIFS($W$4:W328,W328)-1)</f>
        <v/>
      </c>
      <c r="Y328" s="175">
        <f>IF(OR(I328="",'02_대상물건입력'!B19="",'02_대상물건입력'!B19&lt;=0),"",ABS(I328-'02_대상물건입력'!B19)/'02_대상물건입력'!B19)</f>
        <v/>
      </c>
      <c r="Z328" s="172">
        <f>IF(OR(Y328="",'01_설정'!B31="",'01_설정'!B31&lt;=0,'01_설정'!B32="",'01_설정'!B32&lt;=0),"",MAX(0,(1-Y328/'01_설정'!B32))*'01_설정'!B31)</f>
        <v/>
      </c>
    </row>
    <row r="329" ht="17.25" customHeight="1">
      <c r="A329" s="152">
        <f>IF(INDEX('04A_국토부원자료'!$A:$A,ROW()+1)="","",ROW()-3)</f>
        <v/>
      </c>
      <c r="B329" s="48">
        <f>IFERROR(INDEX('04A_국토부원자료'!$A:$T,ROW()+1,MATCH("시군구",'04A_국토부원자료'!$A$4:$T$4,0)),"")</f>
        <v/>
      </c>
      <c r="C329" s="48">
        <f>IF(B329="","",IFERROR(INDEX('04A_국토부원자료'!$A:$T,ROW()+1,MATCH("번지",'04A_국토부원자료'!$A$4:$T$4,0)),""))</f>
        <v/>
      </c>
      <c r="D329" s="48">
        <f>IF(B329="","",IF(Q329=1,'02_대상물건입력'!$B$8,IFERROR(INDEX('04A_국토부원자료'!$A:$T,ROW()+1,MATCH("단지명",'04A_국토부원자료'!$A$4:$T$4,0)),"")))</f>
        <v/>
      </c>
      <c r="E329" s="172">
        <f>IFERROR(VALUE(SUBSTITUTE(INDEX('04A_국토부원자료'!$A:$T,ROW()+1,MATCH("전용면적(㎡)",'04A_국토부원자료'!$A$4:$T$4,0)),",","")),"")</f>
        <v/>
      </c>
      <c r="F3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29" s="51">
        <f>IFERROR(VALUE(SUBSTITUTE(INDEX('04A_국토부원자료'!$A:$T,ROW()+1,MATCH("거래금액(만원)",'04A_국토부원자료'!$A$4:$T$4,0)),",","")),"")</f>
        <v/>
      </c>
      <c r="H329" s="174">
        <f>IF(G329="","",G329*10000)</f>
        <v/>
      </c>
      <c r="I329" s="174">
        <f>IFERROR(IF(AND(H329&gt;0,E329&gt;0),H329/E329,""),"")</f>
        <v/>
      </c>
      <c r="J329" s="152">
        <f>IFERROR(VALUE(SUBSTITUTE(INDEX('04A_국토부원자료'!$A:$T,ROW()+1,MATCH("층",'04A_국토부원자료'!$A$4:$T$4,0)),",","")),"")</f>
        <v/>
      </c>
      <c r="K329" s="152">
        <f>IFERROR(VALUE(SUBSTITUTE(INDEX('04A_국토부원자료'!$A:$T,ROW()+1,MATCH("건축년도",'04A_국토부원자료'!$A$4:$T$4,0)),",","")),"")</f>
        <v/>
      </c>
      <c r="L329" s="176">
        <f>IFERROR(INDEX('04A_국토부원자료'!$A:$T,ROW()+1,MATCH("도로명",'04A_국토부원자료'!$A$4:$T$4,0)),"")</f>
        <v/>
      </c>
      <c r="M329" s="48">
        <f>IFERROR(INDEX('04A_국토부원자료'!$A:$T,ROW()+1,MATCH("거래유형",'04A_국토부원자료'!$A$4:$T$4,0)),"")</f>
        <v/>
      </c>
      <c r="N329" s="152">
        <f>IF(B329="","",IF('02_대상물건입력'!B5="",1,IF(ISNUMBER(SEARCH('02_대상물건입력'!B5,B329)),1,0)))</f>
        <v/>
      </c>
      <c r="O329" s="152">
        <f>IF(B329="","",IF('02_대상물건입력'!B6="",1,IF(ISNUMBER(SEARCH('02_대상물건입력'!B6,B329)),1,0)))</f>
        <v/>
      </c>
      <c r="P329" s="152">
        <f>IF(L329="","",IF('02_대상물건입력'!B15="",0,IF(ISNUMBER(SEARCH('02_대상물건입력'!B15,L329)),1,0)))</f>
        <v/>
      </c>
      <c r="Q329" s="152">
        <f>IF(OR(C329="",L329=""),0,IF(AND(TRIM(C329)=TRIM(RIGHT(SUBSTITUTE(TRIM('02_대상물건입력'!$B$7)," ",REPT(" ",99)),99)),IF('02_대상물건입력'!B15="",TRUE(),ISNUMBER(SEARCH('02_대상물건입력'!B15,L329)))),1,0))</f>
        <v/>
      </c>
      <c r="R329" s="175">
        <f>IFERROR(ABS(E329-'02_대상물건입력'!B11)/'02_대상물건입력'!B11,"")</f>
        <v/>
      </c>
      <c r="S329" s="152">
        <f>IFERROR(ABS(J329-'02_대상물건입력'!B10),"")</f>
        <v/>
      </c>
      <c r="T329" s="152">
        <f>IFERROR(ABS('01_설정'!B4-F329),"")</f>
        <v/>
      </c>
      <c r="U329" s="152">
        <f>IFERROR(ABS(K329-YEAR('02_대상물건입력'!B14)),"")</f>
        <v/>
      </c>
      <c r="V329" s="152">
        <f>IF(B329="","",IF(AND(E329&gt;0,F329&gt;0,H329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329=1,TRUE()),R329&lt;='01_설정'!B5,S329&lt;='01_설정'!B6,T329&lt;='01_설정'!B7,U329&lt;='01_설정'!B8),"Y",""))</f>
        <v/>
      </c>
      <c r="W329" s="172">
        <f>IF(V329&lt;&gt;"Y","",MAX(0,(1-R329/'01_설정'!B5))*'01_설정'!B14+MAX(0,(1-S329/'01_설정'!B6))*'01_설정'!B15+MAX(0,(1-T329/'01_설정'!B7))*'01_설정'!B16+MAX(0,(1-U329/'01_설정'!B8))*'01_설정'!B17+O329*'01_설정'!B11+Q329*'01_설정'!B12+P329*'01_설정'!B13+IF(Z329="",0,Z329))</f>
        <v/>
      </c>
      <c r="X329" s="152">
        <f>IF(W329="","",1+COUNTIFS($W$4:$W$3003,"&gt;"&amp;W329)+COUNTIFS($W$4:W329,W329)-1)</f>
        <v/>
      </c>
      <c r="Y329" s="175">
        <f>IF(OR(I329="",'02_대상물건입력'!B19="",'02_대상물건입력'!B19&lt;=0),"",ABS(I329-'02_대상물건입력'!B19)/'02_대상물건입력'!B19)</f>
        <v/>
      </c>
      <c r="Z329" s="172">
        <f>IF(OR(Y329="",'01_설정'!B31="",'01_설정'!B31&lt;=0,'01_설정'!B32="",'01_설정'!B32&lt;=0),"",MAX(0,(1-Y329/'01_설정'!B32))*'01_설정'!B31)</f>
        <v/>
      </c>
    </row>
    <row r="330" ht="17.25" customHeight="1">
      <c r="A330" s="152">
        <f>IF(INDEX('04A_국토부원자료'!$A:$A,ROW()+1)="","",ROW()-3)</f>
        <v/>
      </c>
      <c r="B330" s="48">
        <f>IFERROR(INDEX('04A_국토부원자료'!$A:$T,ROW()+1,MATCH("시군구",'04A_국토부원자료'!$A$4:$T$4,0)),"")</f>
        <v/>
      </c>
      <c r="C330" s="48">
        <f>IF(B330="","",IFERROR(INDEX('04A_국토부원자료'!$A:$T,ROW()+1,MATCH("번지",'04A_국토부원자료'!$A$4:$T$4,0)),""))</f>
        <v/>
      </c>
      <c r="D330" s="48">
        <f>IF(B330="","",IF(Q330=1,'02_대상물건입력'!$B$8,IFERROR(INDEX('04A_국토부원자료'!$A:$T,ROW()+1,MATCH("단지명",'04A_국토부원자료'!$A$4:$T$4,0)),"")))</f>
        <v/>
      </c>
      <c r="E330" s="172">
        <f>IFERROR(VALUE(SUBSTITUTE(INDEX('04A_국토부원자료'!$A:$T,ROW()+1,MATCH("전용면적(㎡)",'04A_국토부원자료'!$A$4:$T$4,0)),",","")),"")</f>
        <v/>
      </c>
      <c r="F3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30" s="51">
        <f>IFERROR(VALUE(SUBSTITUTE(INDEX('04A_국토부원자료'!$A:$T,ROW()+1,MATCH("거래금액(만원)",'04A_국토부원자료'!$A$4:$T$4,0)),",","")),"")</f>
        <v/>
      </c>
      <c r="H330" s="174">
        <f>IF(G330="","",G330*10000)</f>
        <v/>
      </c>
      <c r="I330" s="174">
        <f>IFERROR(IF(AND(H330&gt;0,E330&gt;0),H330/E330,""),"")</f>
        <v/>
      </c>
      <c r="J330" s="152">
        <f>IFERROR(VALUE(SUBSTITUTE(INDEX('04A_국토부원자료'!$A:$T,ROW()+1,MATCH("층",'04A_국토부원자료'!$A$4:$T$4,0)),",","")),"")</f>
        <v/>
      </c>
      <c r="K330" s="152">
        <f>IFERROR(VALUE(SUBSTITUTE(INDEX('04A_국토부원자료'!$A:$T,ROW()+1,MATCH("건축년도",'04A_국토부원자료'!$A$4:$T$4,0)),",","")),"")</f>
        <v/>
      </c>
      <c r="L330" s="176">
        <f>IFERROR(INDEX('04A_국토부원자료'!$A:$T,ROW()+1,MATCH("도로명",'04A_국토부원자료'!$A$4:$T$4,0)),"")</f>
        <v/>
      </c>
      <c r="M330" s="48">
        <f>IFERROR(INDEX('04A_국토부원자료'!$A:$T,ROW()+1,MATCH("거래유형",'04A_국토부원자료'!$A$4:$T$4,0)),"")</f>
        <v/>
      </c>
      <c r="N330" s="152">
        <f>IF(B330="","",IF('02_대상물건입력'!B5="",1,IF(ISNUMBER(SEARCH('02_대상물건입력'!B5,B330)),1,0)))</f>
        <v/>
      </c>
      <c r="O330" s="152">
        <f>IF(B330="","",IF('02_대상물건입력'!B6="",1,IF(ISNUMBER(SEARCH('02_대상물건입력'!B6,B330)),1,0)))</f>
        <v/>
      </c>
      <c r="P330" s="152">
        <f>IF(L330="","",IF('02_대상물건입력'!B15="",0,IF(ISNUMBER(SEARCH('02_대상물건입력'!B15,L330)),1,0)))</f>
        <v/>
      </c>
      <c r="Q330" s="152">
        <f>IF(OR(C330="",L330=""),0,IF(AND(TRIM(C330)=TRIM(RIGHT(SUBSTITUTE(TRIM('02_대상물건입력'!$B$7)," ",REPT(" ",99)),99)),IF('02_대상물건입력'!B15="",TRUE(),ISNUMBER(SEARCH('02_대상물건입력'!B15,L330)))),1,0))</f>
        <v/>
      </c>
      <c r="R330" s="175">
        <f>IFERROR(ABS(E330-'02_대상물건입력'!B11)/'02_대상물건입력'!B11,"")</f>
        <v/>
      </c>
      <c r="S330" s="152">
        <f>IFERROR(ABS(J330-'02_대상물건입력'!B10),"")</f>
        <v/>
      </c>
      <c r="T330" s="152">
        <f>IFERROR(ABS('01_설정'!B4-F330),"")</f>
        <v/>
      </c>
      <c r="U330" s="152">
        <f>IFERROR(ABS(K330-YEAR('02_대상물건입력'!B14)),"")</f>
        <v/>
      </c>
      <c r="V330" s="152">
        <f>IF(B330="","",IF(AND(E330&gt;0,F330&gt;0,H330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330=1,TRUE()),R330&lt;='01_설정'!B5,S330&lt;='01_설정'!B6,T330&lt;='01_설정'!B7,U330&lt;='01_설정'!B8),"Y",""))</f>
        <v/>
      </c>
      <c r="W330" s="172">
        <f>IF(V330&lt;&gt;"Y","",MAX(0,(1-R330/'01_설정'!B5))*'01_설정'!B14+MAX(0,(1-S330/'01_설정'!B6))*'01_설정'!B15+MAX(0,(1-T330/'01_설정'!B7))*'01_설정'!B16+MAX(0,(1-U330/'01_설정'!B8))*'01_설정'!B17+O330*'01_설정'!B11+Q330*'01_설정'!B12+P330*'01_설정'!B13+IF(Z330="",0,Z330))</f>
        <v/>
      </c>
      <c r="X330" s="152">
        <f>IF(W330="","",1+COUNTIFS($W$4:$W$3003,"&gt;"&amp;W330)+COUNTIFS($W$4:W330,W330)-1)</f>
        <v/>
      </c>
      <c r="Y330" s="175">
        <f>IF(OR(I330="",'02_대상물건입력'!B19="",'02_대상물건입력'!B19&lt;=0),"",ABS(I330-'02_대상물건입력'!B19)/'02_대상물건입력'!B19)</f>
        <v/>
      </c>
      <c r="Z330" s="172">
        <f>IF(OR(Y330="",'01_설정'!B31="",'01_설정'!B31&lt;=0,'01_설정'!B32="",'01_설정'!B32&lt;=0),"",MAX(0,(1-Y330/'01_설정'!B32))*'01_설정'!B31)</f>
        <v/>
      </c>
    </row>
    <row r="331" ht="17.25" customHeight="1">
      <c r="A331" s="152">
        <f>IF(INDEX('04A_국토부원자료'!$A:$A,ROW()+1)="","",ROW()-3)</f>
        <v/>
      </c>
      <c r="B331" s="48">
        <f>IFERROR(INDEX('04A_국토부원자료'!$A:$T,ROW()+1,MATCH("시군구",'04A_국토부원자료'!$A$4:$T$4,0)),"")</f>
        <v/>
      </c>
      <c r="C331" s="48">
        <f>IF(B331="","",IFERROR(INDEX('04A_국토부원자료'!$A:$T,ROW()+1,MATCH("번지",'04A_국토부원자료'!$A$4:$T$4,0)),""))</f>
        <v/>
      </c>
      <c r="D331" s="48">
        <f>IF(B331="","",IF(Q331=1,'02_대상물건입력'!$B$8,IFERROR(INDEX('04A_국토부원자료'!$A:$T,ROW()+1,MATCH("단지명",'04A_국토부원자료'!$A$4:$T$4,0)),"")))</f>
        <v/>
      </c>
      <c r="E331" s="172">
        <f>IFERROR(VALUE(SUBSTITUTE(INDEX('04A_국토부원자료'!$A:$T,ROW()+1,MATCH("전용면적(㎡)",'04A_국토부원자료'!$A$4:$T$4,0)),",","")),"")</f>
        <v/>
      </c>
      <c r="F3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31" s="51">
        <f>IFERROR(VALUE(SUBSTITUTE(INDEX('04A_국토부원자료'!$A:$T,ROW()+1,MATCH("거래금액(만원)",'04A_국토부원자료'!$A$4:$T$4,0)),",","")),"")</f>
        <v/>
      </c>
      <c r="H331" s="174">
        <f>IF(G331="","",G331*10000)</f>
        <v/>
      </c>
      <c r="I331" s="174">
        <f>IFERROR(IF(AND(H331&gt;0,E331&gt;0),H331/E331,""),"")</f>
        <v/>
      </c>
      <c r="J331" s="152">
        <f>IFERROR(VALUE(SUBSTITUTE(INDEX('04A_국토부원자료'!$A:$T,ROW()+1,MATCH("층",'04A_국토부원자료'!$A$4:$T$4,0)),",","")),"")</f>
        <v/>
      </c>
      <c r="K331" s="152">
        <f>IFERROR(VALUE(SUBSTITUTE(INDEX('04A_국토부원자료'!$A:$T,ROW()+1,MATCH("건축년도",'04A_국토부원자료'!$A$4:$T$4,0)),",","")),"")</f>
        <v/>
      </c>
      <c r="L331" s="176">
        <f>IFERROR(INDEX('04A_국토부원자료'!$A:$T,ROW()+1,MATCH("도로명",'04A_국토부원자료'!$A$4:$T$4,0)),"")</f>
        <v/>
      </c>
      <c r="M331" s="48">
        <f>IFERROR(INDEX('04A_국토부원자료'!$A:$T,ROW()+1,MATCH("거래유형",'04A_국토부원자료'!$A$4:$T$4,0)),"")</f>
        <v/>
      </c>
      <c r="N331" s="152">
        <f>IF(B331="","",IF('02_대상물건입력'!B5="",1,IF(ISNUMBER(SEARCH('02_대상물건입력'!B5,B331)),1,0)))</f>
        <v/>
      </c>
      <c r="O331" s="152">
        <f>IF(B331="","",IF('02_대상물건입력'!B6="",1,IF(ISNUMBER(SEARCH('02_대상물건입력'!B6,B331)),1,0)))</f>
        <v/>
      </c>
      <c r="P331" s="152">
        <f>IF(L331="","",IF('02_대상물건입력'!B15="",0,IF(ISNUMBER(SEARCH('02_대상물건입력'!B15,L331)),1,0)))</f>
        <v/>
      </c>
      <c r="Q331" s="152">
        <f>IF(OR(C331="",L331=""),0,IF(AND(TRIM(C331)=TRIM(RIGHT(SUBSTITUTE(TRIM('02_대상물건입력'!$B$7)," ",REPT(" ",99)),99)),IF('02_대상물건입력'!B15="",TRUE(),ISNUMBER(SEARCH('02_대상물건입력'!B15,L331)))),1,0))</f>
        <v/>
      </c>
      <c r="R331" s="175">
        <f>IFERROR(ABS(E331-'02_대상물건입력'!B11)/'02_대상물건입력'!B11,"")</f>
        <v/>
      </c>
      <c r="S331" s="152">
        <f>IFERROR(ABS(J331-'02_대상물건입력'!B10),"")</f>
        <v/>
      </c>
      <c r="T331" s="152">
        <f>IFERROR(ABS('01_설정'!B4-F331),"")</f>
        <v/>
      </c>
      <c r="U331" s="152">
        <f>IFERROR(ABS(K331-YEAR('02_대상물건입력'!B14)),"")</f>
        <v/>
      </c>
      <c r="V331" s="152">
        <f>IF(B331="","",IF(AND(E331&gt;0,F331&gt;0,H331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331=1,TRUE()),R331&lt;='01_설정'!B5,S331&lt;='01_설정'!B6,T331&lt;='01_설정'!B7,U331&lt;='01_설정'!B8),"Y",""))</f>
        <v/>
      </c>
      <c r="W331" s="172">
        <f>IF(V331&lt;&gt;"Y","",MAX(0,(1-R331/'01_설정'!B5))*'01_설정'!B14+MAX(0,(1-S331/'01_설정'!B6))*'01_설정'!B15+MAX(0,(1-T331/'01_설정'!B7))*'01_설정'!B16+MAX(0,(1-U331/'01_설정'!B8))*'01_설정'!B17+O331*'01_설정'!B11+Q331*'01_설정'!B12+P331*'01_설정'!B13+IF(Z331="",0,Z331))</f>
        <v/>
      </c>
      <c r="X331" s="152">
        <f>IF(W331="","",1+COUNTIFS($W$4:$W$3003,"&gt;"&amp;W331)+COUNTIFS($W$4:W331,W331)-1)</f>
        <v/>
      </c>
      <c r="Y331" s="175">
        <f>IF(OR(I331="",'02_대상물건입력'!B19="",'02_대상물건입력'!B19&lt;=0),"",ABS(I331-'02_대상물건입력'!B19)/'02_대상물건입력'!B19)</f>
        <v/>
      </c>
      <c r="Z331" s="172">
        <f>IF(OR(Y331="",'01_설정'!B31="",'01_설정'!B31&lt;=0,'01_설정'!B32="",'01_설정'!B32&lt;=0),"",MAX(0,(1-Y331/'01_설정'!B32))*'01_설정'!B31)</f>
        <v/>
      </c>
    </row>
    <row r="332" ht="17.25" customHeight="1">
      <c r="A332" s="152">
        <f>IF(INDEX('04A_국토부원자료'!$A:$A,ROW()+1)="","",ROW()-3)</f>
        <v/>
      </c>
      <c r="B332" s="48">
        <f>IFERROR(INDEX('04A_국토부원자료'!$A:$T,ROW()+1,MATCH("시군구",'04A_국토부원자료'!$A$4:$T$4,0)),"")</f>
        <v/>
      </c>
      <c r="C332" s="48">
        <f>IF(B332="","",IFERROR(INDEX('04A_국토부원자료'!$A:$T,ROW()+1,MATCH("번지",'04A_국토부원자료'!$A$4:$T$4,0)),""))</f>
        <v/>
      </c>
      <c r="D332" s="48">
        <f>IF(B332="","",IF(Q332=1,'02_대상물건입력'!$B$8,IFERROR(INDEX('04A_국토부원자료'!$A:$T,ROW()+1,MATCH("단지명",'04A_국토부원자료'!$A$4:$T$4,0)),"")))</f>
        <v/>
      </c>
      <c r="E332" s="172">
        <f>IFERROR(VALUE(SUBSTITUTE(INDEX('04A_국토부원자료'!$A:$T,ROW()+1,MATCH("전용면적(㎡)",'04A_국토부원자료'!$A$4:$T$4,0)),",","")),"")</f>
        <v/>
      </c>
      <c r="F3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32" s="51">
        <f>IFERROR(VALUE(SUBSTITUTE(INDEX('04A_국토부원자료'!$A:$T,ROW()+1,MATCH("거래금액(만원)",'04A_국토부원자료'!$A$4:$T$4,0)),",","")),"")</f>
        <v/>
      </c>
      <c r="H332" s="174">
        <f>IF(G332="","",G332*10000)</f>
        <v/>
      </c>
      <c r="I332" s="174">
        <f>IFERROR(IF(AND(H332&gt;0,E332&gt;0),H332/E332,""),"")</f>
        <v/>
      </c>
      <c r="J332" s="152">
        <f>IFERROR(VALUE(SUBSTITUTE(INDEX('04A_국토부원자료'!$A:$T,ROW()+1,MATCH("층",'04A_국토부원자료'!$A$4:$T$4,0)),",","")),"")</f>
        <v/>
      </c>
      <c r="K332" s="152">
        <f>IFERROR(VALUE(SUBSTITUTE(INDEX('04A_국토부원자료'!$A:$T,ROW()+1,MATCH("건축년도",'04A_국토부원자료'!$A$4:$T$4,0)),",","")),"")</f>
        <v/>
      </c>
      <c r="L332" s="176">
        <f>IFERROR(INDEX('04A_국토부원자료'!$A:$T,ROW()+1,MATCH("도로명",'04A_국토부원자료'!$A$4:$T$4,0)),"")</f>
        <v/>
      </c>
      <c r="M332" s="48">
        <f>IFERROR(INDEX('04A_국토부원자료'!$A:$T,ROW()+1,MATCH("거래유형",'04A_국토부원자료'!$A$4:$T$4,0)),"")</f>
        <v/>
      </c>
      <c r="N332" s="152">
        <f>IF(B332="","",IF('02_대상물건입력'!B5="",1,IF(ISNUMBER(SEARCH('02_대상물건입력'!B5,B332)),1,0)))</f>
        <v/>
      </c>
      <c r="O332" s="152">
        <f>IF(B332="","",IF('02_대상물건입력'!B6="",1,IF(ISNUMBER(SEARCH('02_대상물건입력'!B6,B332)),1,0)))</f>
        <v/>
      </c>
      <c r="P332" s="152">
        <f>IF(L332="","",IF('02_대상물건입력'!B15="",0,IF(ISNUMBER(SEARCH('02_대상물건입력'!B15,L332)),1,0)))</f>
        <v/>
      </c>
      <c r="Q332" s="152">
        <f>IF(OR(C332="",L332=""),0,IF(AND(TRIM(C332)=TRIM(RIGHT(SUBSTITUTE(TRIM('02_대상물건입력'!$B$7)," ",REPT(" ",99)),99)),IF('02_대상물건입력'!B15="",TRUE(),ISNUMBER(SEARCH('02_대상물건입력'!B15,L332)))),1,0))</f>
        <v/>
      </c>
      <c r="R332" s="175">
        <f>IFERROR(ABS(E332-'02_대상물건입력'!B11)/'02_대상물건입력'!B11,"")</f>
        <v/>
      </c>
      <c r="S332" s="152">
        <f>IFERROR(ABS(J332-'02_대상물건입력'!B10),"")</f>
        <v/>
      </c>
      <c r="T332" s="152">
        <f>IFERROR(ABS('01_설정'!B4-F332),"")</f>
        <v/>
      </c>
      <c r="U332" s="152">
        <f>IFERROR(ABS(K332-YEAR('02_대상물건입력'!B14)),"")</f>
        <v/>
      </c>
      <c r="V332" s="152">
        <f>IF(B332="","",IF(AND(E332&gt;0,F332&gt;0,H332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332=1,TRUE()),R332&lt;='01_설정'!B5,S332&lt;='01_설정'!B6,T332&lt;='01_설정'!B7,U332&lt;='01_설정'!B8),"Y",""))</f>
        <v/>
      </c>
      <c r="W332" s="172">
        <f>IF(V332&lt;&gt;"Y","",MAX(0,(1-R332/'01_설정'!B5))*'01_설정'!B14+MAX(0,(1-S332/'01_설정'!B6))*'01_설정'!B15+MAX(0,(1-T332/'01_설정'!B7))*'01_설정'!B16+MAX(0,(1-U332/'01_설정'!B8))*'01_설정'!B17+O332*'01_설정'!B11+Q332*'01_설정'!B12+P332*'01_설정'!B13+IF(Z332="",0,Z332))</f>
        <v/>
      </c>
      <c r="X332" s="152">
        <f>IF(W332="","",1+COUNTIFS($W$4:$W$3003,"&gt;"&amp;W332)+COUNTIFS($W$4:W332,W332)-1)</f>
        <v/>
      </c>
      <c r="Y332" s="175">
        <f>IF(OR(I332="",'02_대상물건입력'!B19="",'02_대상물건입력'!B19&lt;=0),"",ABS(I332-'02_대상물건입력'!B19)/'02_대상물건입력'!B19)</f>
        <v/>
      </c>
      <c r="Z332" s="172">
        <f>IF(OR(Y332="",'01_설정'!B31="",'01_설정'!B31&lt;=0,'01_설정'!B32="",'01_설정'!B32&lt;=0),"",MAX(0,(1-Y332/'01_설정'!B32))*'01_설정'!B31)</f>
        <v/>
      </c>
    </row>
    <row r="333" ht="17.25" customHeight="1">
      <c r="A333" s="152">
        <f>IF(INDEX('04A_국토부원자료'!$A:$A,ROW()+1)="","",ROW()-3)</f>
        <v/>
      </c>
      <c r="B333" s="48">
        <f>IFERROR(INDEX('04A_국토부원자료'!$A:$T,ROW()+1,MATCH("시군구",'04A_국토부원자료'!$A$4:$T$4,0)),"")</f>
        <v/>
      </c>
      <c r="C333" s="48">
        <f>IF(B333="","",IFERROR(INDEX('04A_국토부원자료'!$A:$T,ROW()+1,MATCH("번지",'04A_국토부원자료'!$A$4:$T$4,0)),""))</f>
        <v/>
      </c>
      <c r="D333" s="48">
        <f>IF(B333="","",IF(Q333=1,'02_대상물건입력'!$B$8,IFERROR(INDEX('04A_국토부원자료'!$A:$T,ROW()+1,MATCH("단지명",'04A_국토부원자료'!$A$4:$T$4,0)),"")))</f>
        <v/>
      </c>
      <c r="E333" s="172">
        <f>IFERROR(VALUE(SUBSTITUTE(INDEX('04A_국토부원자료'!$A:$T,ROW()+1,MATCH("전용면적(㎡)",'04A_국토부원자료'!$A$4:$T$4,0)),",","")),"")</f>
        <v/>
      </c>
      <c r="F3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33" s="51">
        <f>IFERROR(VALUE(SUBSTITUTE(INDEX('04A_국토부원자료'!$A:$T,ROW()+1,MATCH("거래금액(만원)",'04A_국토부원자료'!$A$4:$T$4,0)),",","")),"")</f>
        <v/>
      </c>
      <c r="H333" s="174">
        <f>IF(G333="","",G333*10000)</f>
        <v/>
      </c>
      <c r="I333" s="174">
        <f>IFERROR(IF(AND(H333&gt;0,E333&gt;0),H333/E333,""),"")</f>
        <v/>
      </c>
      <c r="J333" s="152">
        <f>IFERROR(VALUE(SUBSTITUTE(INDEX('04A_국토부원자료'!$A:$T,ROW()+1,MATCH("층",'04A_국토부원자료'!$A$4:$T$4,0)),",","")),"")</f>
        <v/>
      </c>
      <c r="K333" s="152">
        <f>IFERROR(VALUE(SUBSTITUTE(INDEX('04A_국토부원자료'!$A:$T,ROW()+1,MATCH("건축년도",'04A_국토부원자료'!$A$4:$T$4,0)),",","")),"")</f>
        <v/>
      </c>
      <c r="L333" s="176">
        <f>IFERROR(INDEX('04A_국토부원자료'!$A:$T,ROW()+1,MATCH("도로명",'04A_국토부원자료'!$A$4:$T$4,0)),"")</f>
        <v/>
      </c>
      <c r="M333" s="48">
        <f>IFERROR(INDEX('04A_국토부원자료'!$A:$T,ROW()+1,MATCH("거래유형",'04A_국토부원자료'!$A$4:$T$4,0)),"")</f>
        <v/>
      </c>
      <c r="N333" s="152">
        <f>IF(B333="","",IF('02_대상물건입력'!B5="",1,IF(ISNUMBER(SEARCH('02_대상물건입력'!B5,B333)),1,0)))</f>
        <v/>
      </c>
      <c r="O333" s="152">
        <f>IF(B333="","",IF('02_대상물건입력'!B6="",1,IF(ISNUMBER(SEARCH('02_대상물건입력'!B6,B333)),1,0)))</f>
        <v/>
      </c>
      <c r="P333" s="152">
        <f>IF(L333="","",IF('02_대상물건입력'!B15="",0,IF(ISNUMBER(SEARCH('02_대상물건입력'!B15,L333)),1,0)))</f>
        <v/>
      </c>
      <c r="Q333" s="152">
        <f>IF(OR(C333="",L333=""),0,IF(AND(TRIM(C333)=TRIM(RIGHT(SUBSTITUTE(TRIM('02_대상물건입력'!$B$7)," ",REPT(" ",99)),99)),IF('02_대상물건입력'!B15="",TRUE(),ISNUMBER(SEARCH('02_대상물건입력'!B15,L333)))),1,0))</f>
        <v/>
      </c>
      <c r="R333" s="175">
        <f>IFERROR(ABS(E333-'02_대상물건입력'!B11)/'02_대상물건입력'!B11,"")</f>
        <v/>
      </c>
      <c r="S333" s="152">
        <f>IFERROR(ABS(J333-'02_대상물건입력'!B10),"")</f>
        <v/>
      </c>
      <c r="T333" s="152">
        <f>IFERROR(ABS('01_설정'!B4-F333),"")</f>
        <v/>
      </c>
      <c r="U333" s="152">
        <f>IFERROR(ABS(K333-YEAR('02_대상물건입력'!B14)),"")</f>
        <v/>
      </c>
      <c r="V333" s="152">
        <f>IF(B333="","",IF(AND(E333&gt;0,F333&gt;0,H333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333=1,TRUE()),R333&lt;='01_설정'!B5,S333&lt;='01_설정'!B6,T333&lt;='01_설정'!B7,U333&lt;='01_설정'!B8),"Y",""))</f>
        <v/>
      </c>
      <c r="W333" s="172">
        <f>IF(V333&lt;&gt;"Y","",MAX(0,(1-R333/'01_설정'!B5))*'01_설정'!B14+MAX(0,(1-S333/'01_설정'!B6))*'01_설정'!B15+MAX(0,(1-T333/'01_설정'!B7))*'01_설정'!B16+MAX(0,(1-U333/'01_설정'!B8))*'01_설정'!B17+O333*'01_설정'!B11+Q333*'01_설정'!B12+P333*'01_설정'!B13+IF(Z333="",0,Z333))</f>
        <v/>
      </c>
      <c r="X333" s="152">
        <f>IF(W333="","",1+COUNTIFS($W$4:$W$3003,"&gt;"&amp;W333)+COUNTIFS($W$4:W333,W333)-1)</f>
        <v/>
      </c>
      <c r="Y333" s="175">
        <f>IF(OR(I333="",'02_대상물건입력'!B19="",'02_대상물건입력'!B19&lt;=0),"",ABS(I333-'02_대상물건입력'!B19)/'02_대상물건입력'!B19)</f>
        <v/>
      </c>
      <c r="Z333" s="172">
        <f>IF(OR(Y333="",'01_설정'!B31="",'01_설정'!B31&lt;=0,'01_설정'!B32="",'01_설정'!B32&lt;=0),"",MAX(0,(1-Y333/'01_설정'!B32))*'01_설정'!B31)</f>
        <v/>
      </c>
    </row>
    <row r="334" ht="17.25" customHeight="1">
      <c r="A334" s="152">
        <f>IF(INDEX('04A_국토부원자료'!$A:$A,ROW()+1)="","",ROW()-3)</f>
        <v/>
      </c>
      <c r="B334" s="48">
        <f>IFERROR(INDEX('04A_국토부원자료'!$A:$T,ROW()+1,MATCH("시군구",'04A_국토부원자료'!$A$4:$T$4,0)),"")</f>
        <v/>
      </c>
      <c r="C334" s="48">
        <f>IF(B334="","",IFERROR(INDEX('04A_국토부원자료'!$A:$T,ROW()+1,MATCH("번지",'04A_국토부원자료'!$A$4:$T$4,0)),""))</f>
        <v/>
      </c>
      <c r="D334" s="48">
        <f>IF(B334="","",IF(Q334=1,'02_대상물건입력'!$B$8,IFERROR(INDEX('04A_국토부원자료'!$A:$T,ROW()+1,MATCH("단지명",'04A_국토부원자료'!$A$4:$T$4,0)),"")))</f>
        <v/>
      </c>
      <c r="E334" s="172">
        <f>IFERROR(VALUE(SUBSTITUTE(INDEX('04A_국토부원자료'!$A:$T,ROW()+1,MATCH("전용면적(㎡)",'04A_국토부원자료'!$A$4:$T$4,0)),",","")),"")</f>
        <v/>
      </c>
      <c r="F3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34" s="51">
        <f>IFERROR(VALUE(SUBSTITUTE(INDEX('04A_국토부원자료'!$A:$T,ROW()+1,MATCH("거래금액(만원)",'04A_국토부원자료'!$A$4:$T$4,0)),",","")),"")</f>
        <v/>
      </c>
      <c r="H334" s="174">
        <f>IF(G334="","",G334*10000)</f>
        <v/>
      </c>
      <c r="I334" s="174">
        <f>IFERROR(IF(AND(H334&gt;0,E334&gt;0),H334/E334,""),"")</f>
        <v/>
      </c>
      <c r="J334" s="152">
        <f>IFERROR(VALUE(SUBSTITUTE(INDEX('04A_국토부원자료'!$A:$T,ROW()+1,MATCH("층",'04A_국토부원자료'!$A$4:$T$4,0)),",","")),"")</f>
        <v/>
      </c>
      <c r="K334" s="152">
        <f>IFERROR(VALUE(SUBSTITUTE(INDEX('04A_국토부원자료'!$A:$T,ROW()+1,MATCH("건축년도",'04A_국토부원자료'!$A$4:$T$4,0)),",","")),"")</f>
        <v/>
      </c>
      <c r="L334" s="176">
        <f>IFERROR(INDEX('04A_국토부원자료'!$A:$T,ROW()+1,MATCH("도로명",'04A_국토부원자료'!$A$4:$T$4,0)),"")</f>
        <v/>
      </c>
      <c r="M334" s="48">
        <f>IFERROR(INDEX('04A_국토부원자료'!$A:$T,ROW()+1,MATCH("거래유형",'04A_국토부원자료'!$A$4:$T$4,0)),"")</f>
        <v/>
      </c>
      <c r="N334" s="152">
        <f>IF(B334="","",IF('02_대상물건입력'!B5="",1,IF(ISNUMBER(SEARCH('02_대상물건입력'!B5,B334)),1,0)))</f>
        <v/>
      </c>
      <c r="O334" s="152">
        <f>IF(B334="","",IF('02_대상물건입력'!B6="",1,IF(ISNUMBER(SEARCH('02_대상물건입력'!B6,B334)),1,0)))</f>
        <v/>
      </c>
      <c r="P334" s="152">
        <f>IF(L334="","",IF('02_대상물건입력'!B15="",0,IF(ISNUMBER(SEARCH('02_대상물건입력'!B15,L334)),1,0)))</f>
        <v/>
      </c>
      <c r="Q334" s="152">
        <f>IF(OR(C334="",L334=""),0,IF(AND(TRIM(C334)=TRIM(RIGHT(SUBSTITUTE(TRIM('02_대상물건입력'!$B$7)," ",REPT(" ",99)),99)),IF('02_대상물건입력'!B15="",TRUE(),ISNUMBER(SEARCH('02_대상물건입력'!B15,L334)))),1,0))</f>
        <v/>
      </c>
      <c r="R334" s="175">
        <f>IFERROR(ABS(E334-'02_대상물건입력'!B11)/'02_대상물건입력'!B11,"")</f>
        <v/>
      </c>
      <c r="S334" s="152">
        <f>IFERROR(ABS(J334-'02_대상물건입력'!B10),"")</f>
        <v/>
      </c>
      <c r="T334" s="152">
        <f>IFERROR(ABS('01_설정'!B4-F334),"")</f>
        <v/>
      </c>
      <c r="U334" s="152">
        <f>IFERROR(ABS(K334-YEAR('02_대상물건입력'!B14)),"")</f>
        <v/>
      </c>
      <c r="V334" s="152">
        <f>IF(B334="","",IF(AND(E334&gt;0,F334&gt;0,H334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334=1,TRUE()),R334&lt;='01_설정'!B5,S334&lt;='01_설정'!B6,T334&lt;='01_설정'!B7,U334&lt;='01_설정'!B8),"Y",""))</f>
        <v/>
      </c>
      <c r="W334" s="172">
        <f>IF(V334&lt;&gt;"Y","",MAX(0,(1-R334/'01_설정'!B5))*'01_설정'!B14+MAX(0,(1-S334/'01_설정'!B6))*'01_설정'!B15+MAX(0,(1-T334/'01_설정'!B7))*'01_설정'!B16+MAX(0,(1-U334/'01_설정'!B8))*'01_설정'!B17+O334*'01_설정'!B11+Q334*'01_설정'!B12+P334*'01_설정'!B13+IF(Z334="",0,Z334))</f>
        <v/>
      </c>
      <c r="X334" s="152">
        <f>IF(W334="","",1+COUNTIFS($W$4:$W$3003,"&gt;"&amp;W334)+COUNTIFS($W$4:W334,W334)-1)</f>
        <v/>
      </c>
      <c r="Y334" s="175">
        <f>IF(OR(I334="",'02_대상물건입력'!B19="",'02_대상물건입력'!B19&lt;=0),"",ABS(I334-'02_대상물건입력'!B19)/'02_대상물건입력'!B19)</f>
        <v/>
      </c>
      <c r="Z334" s="172">
        <f>IF(OR(Y334="",'01_설정'!B31="",'01_설정'!B31&lt;=0,'01_설정'!B32="",'01_설정'!B32&lt;=0),"",MAX(0,(1-Y334/'01_설정'!B32))*'01_설정'!B31)</f>
        <v/>
      </c>
    </row>
    <row r="335" ht="17.25" customHeight="1">
      <c r="A335" s="152">
        <f>IF(INDEX('04A_국토부원자료'!$A:$A,ROW()+1)="","",ROW()-3)</f>
        <v/>
      </c>
      <c r="B335" s="48">
        <f>IFERROR(INDEX('04A_국토부원자료'!$A:$T,ROW()+1,MATCH("시군구",'04A_국토부원자료'!$A$4:$T$4,0)),"")</f>
        <v/>
      </c>
      <c r="C335" s="48">
        <f>IF(B335="","",IFERROR(INDEX('04A_국토부원자료'!$A:$T,ROW()+1,MATCH("번지",'04A_국토부원자료'!$A$4:$T$4,0)),""))</f>
        <v/>
      </c>
      <c r="D335" s="48">
        <f>IF(B335="","",IF(Q335=1,'02_대상물건입력'!$B$8,IFERROR(INDEX('04A_국토부원자료'!$A:$T,ROW()+1,MATCH("단지명",'04A_국토부원자료'!$A$4:$T$4,0)),"")))</f>
        <v/>
      </c>
      <c r="E335" s="172">
        <f>IFERROR(VALUE(SUBSTITUTE(INDEX('04A_국토부원자료'!$A:$T,ROW()+1,MATCH("전용면적(㎡)",'04A_국토부원자료'!$A$4:$T$4,0)),",","")),"")</f>
        <v/>
      </c>
      <c r="F3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35" s="51">
        <f>IFERROR(VALUE(SUBSTITUTE(INDEX('04A_국토부원자료'!$A:$T,ROW()+1,MATCH("거래금액(만원)",'04A_국토부원자료'!$A$4:$T$4,0)),",","")),"")</f>
        <v/>
      </c>
      <c r="H335" s="174">
        <f>IF(G335="","",G335*10000)</f>
        <v/>
      </c>
      <c r="I335" s="174">
        <f>IFERROR(IF(AND(H335&gt;0,E335&gt;0),H335/E335,""),"")</f>
        <v/>
      </c>
      <c r="J335" s="152">
        <f>IFERROR(VALUE(SUBSTITUTE(INDEX('04A_국토부원자료'!$A:$T,ROW()+1,MATCH("층",'04A_국토부원자료'!$A$4:$T$4,0)),",","")),"")</f>
        <v/>
      </c>
      <c r="K335" s="152">
        <f>IFERROR(VALUE(SUBSTITUTE(INDEX('04A_국토부원자료'!$A:$T,ROW()+1,MATCH("건축년도",'04A_국토부원자료'!$A$4:$T$4,0)),",","")),"")</f>
        <v/>
      </c>
      <c r="L335" s="176">
        <f>IFERROR(INDEX('04A_국토부원자료'!$A:$T,ROW()+1,MATCH("도로명",'04A_국토부원자료'!$A$4:$T$4,0)),"")</f>
        <v/>
      </c>
      <c r="M335" s="48">
        <f>IFERROR(INDEX('04A_국토부원자료'!$A:$T,ROW()+1,MATCH("거래유형",'04A_국토부원자료'!$A$4:$T$4,0)),"")</f>
        <v/>
      </c>
      <c r="N335" s="152">
        <f>IF(B335="","",IF('02_대상물건입력'!B5="",1,IF(ISNUMBER(SEARCH('02_대상물건입력'!B5,B335)),1,0)))</f>
        <v/>
      </c>
      <c r="O335" s="152">
        <f>IF(B335="","",IF('02_대상물건입력'!B6="",1,IF(ISNUMBER(SEARCH('02_대상물건입력'!B6,B335)),1,0)))</f>
        <v/>
      </c>
      <c r="P335" s="152">
        <f>IF(L335="","",IF('02_대상물건입력'!B15="",0,IF(ISNUMBER(SEARCH('02_대상물건입력'!B15,L335)),1,0)))</f>
        <v/>
      </c>
      <c r="Q335" s="152">
        <f>IF(OR(C335="",L335=""),0,IF(AND(TRIM(C335)=TRIM(RIGHT(SUBSTITUTE(TRIM('02_대상물건입력'!$B$7)," ",REPT(" ",99)),99)),IF('02_대상물건입력'!B15="",TRUE(),ISNUMBER(SEARCH('02_대상물건입력'!B15,L335)))),1,0))</f>
        <v/>
      </c>
      <c r="R335" s="175">
        <f>IFERROR(ABS(E335-'02_대상물건입력'!B11)/'02_대상물건입력'!B11,"")</f>
        <v/>
      </c>
      <c r="S335" s="152">
        <f>IFERROR(ABS(J335-'02_대상물건입력'!B10),"")</f>
        <v/>
      </c>
      <c r="T335" s="152">
        <f>IFERROR(ABS('01_설정'!B4-F335),"")</f>
        <v/>
      </c>
      <c r="U335" s="152">
        <f>IFERROR(ABS(K335-YEAR('02_대상물건입력'!B14)),"")</f>
        <v/>
      </c>
      <c r="V335" s="152">
        <f>IF(B335="","",IF(AND(E335&gt;0,F335&gt;0,H335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335=1,TRUE()),R335&lt;='01_설정'!B5,S335&lt;='01_설정'!B6,T335&lt;='01_설정'!B7,U335&lt;='01_설정'!B8),"Y",""))</f>
        <v/>
      </c>
      <c r="W335" s="172">
        <f>IF(V335&lt;&gt;"Y","",MAX(0,(1-R335/'01_설정'!B5))*'01_설정'!B14+MAX(0,(1-S335/'01_설정'!B6))*'01_설정'!B15+MAX(0,(1-T335/'01_설정'!B7))*'01_설정'!B16+MAX(0,(1-U335/'01_설정'!B8))*'01_설정'!B17+O335*'01_설정'!B11+Q335*'01_설정'!B12+P335*'01_설정'!B13+IF(Z335="",0,Z335))</f>
        <v/>
      </c>
      <c r="X335" s="152">
        <f>IF(W335="","",1+COUNTIFS($W$4:$W$3003,"&gt;"&amp;W335)+COUNTIFS($W$4:W335,W335)-1)</f>
        <v/>
      </c>
      <c r="Y335" s="175">
        <f>IF(OR(I335="",'02_대상물건입력'!B19="",'02_대상물건입력'!B19&lt;=0),"",ABS(I335-'02_대상물건입력'!B19)/'02_대상물건입력'!B19)</f>
        <v/>
      </c>
      <c r="Z335" s="172">
        <f>IF(OR(Y335="",'01_설정'!B31="",'01_설정'!B31&lt;=0,'01_설정'!B32="",'01_설정'!B32&lt;=0),"",MAX(0,(1-Y335/'01_설정'!B32))*'01_설정'!B31)</f>
        <v/>
      </c>
    </row>
    <row r="336" ht="17.25" customHeight="1">
      <c r="A336" s="152">
        <f>IF(INDEX('04A_국토부원자료'!$A:$A,ROW()+1)="","",ROW()-3)</f>
        <v/>
      </c>
      <c r="B336" s="48">
        <f>IFERROR(INDEX('04A_국토부원자료'!$A:$T,ROW()+1,MATCH("시군구",'04A_국토부원자료'!$A$4:$T$4,0)),"")</f>
        <v/>
      </c>
      <c r="C336" s="48">
        <f>IF(B336="","",IFERROR(INDEX('04A_국토부원자료'!$A:$T,ROW()+1,MATCH("번지",'04A_국토부원자료'!$A$4:$T$4,0)),""))</f>
        <v/>
      </c>
      <c r="D336" s="48">
        <f>IF(B336="","",IF(Q336=1,'02_대상물건입력'!$B$8,IFERROR(INDEX('04A_국토부원자료'!$A:$T,ROW()+1,MATCH("단지명",'04A_국토부원자료'!$A$4:$T$4,0)),"")))</f>
        <v/>
      </c>
      <c r="E336" s="172">
        <f>IFERROR(VALUE(SUBSTITUTE(INDEX('04A_국토부원자료'!$A:$T,ROW()+1,MATCH("전용면적(㎡)",'04A_국토부원자료'!$A$4:$T$4,0)),",","")),"")</f>
        <v/>
      </c>
      <c r="F3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36" s="51">
        <f>IFERROR(VALUE(SUBSTITUTE(INDEX('04A_국토부원자료'!$A:$T,ROW()+1,MATCH("거래금액(만원)",'04A_국토부원자료'!$A$4:$T$4,0)),",","")),"")</f>
        <v/>
      </c>
      <c r="H336" s="174">
        <f>IF(G336="","",G336*10000)</f>
        <v/>
      </c>
      <c r="I336" s="174">
        <f>IFERROR(IF(AND(H336&gt;0,E336&gt;0),H336/E336,""),"")</f>
        <v/>
      </c>
      <c r="J336" s="152">
        <f>IFERROR(VALUE(SUBSTITUTE(INDEX('04A_국토부원자료'!$A:$T,ROW()+1,MATCH("층",'04A_국토부원자료'!$A$4:$T$4,0)),",","")),"")</f>
        <v/>
      </c>
      <c r="K336" s="152">
        <f>IFERROR(VALUE(SUBSTITUTE(INDEX('04A_국토부원자료'!$A:$T,ROW()+1,MATCH("건축년도",'04A_국토부원자료'!$A$4:$T$4,0)),",","")),"")</f>
        <v/>
      </c>
      <c r="L336" s="176">
        <f>IFERROR(INDEX('04A_국토부원자료'!$A:$T,ROW()+1,MATCH("도로명",'04A_국토부원자료'!$A$4:$T$4,0)),"")</f>
        <v/>
      </c>
      <c r="M336" s="48">
        <f>IFERROR(INDEX('04A_국토부원자료'!$A:$T,ROW()+1,MATCH("거래유형",'04A_국토부원자료'!$A$4:$T$4,0)),"")</f>
        <v/>
      </c>
      <c r="N336" s="152">
        <f>IF(B336="","",IF('02_대상물건입력'!B5="",1,IF(ISNUMBER(SEARCH('02_대상물건입력'!B5,B336)),1,0)))</f>
        <v/>
      </c>
      <c r="O336" s="152">
        <f>IF(B336="","",IF('02_대상물건입력'!B6="",1,IF(ISNUMBER(SEARCH('02_대상물건입력'!B6,B336)),1,0)))</f>
        <v/>
      </c>
      <c r="P336" s="152">
        <f>IF(L336="","",IF('02_대상물건입력'!B15="",0,IF(ISNUMBER(SEARCH('02_대상물건입력'!B15,L336)),1,0)))</f>
        <v/>
      </c>
      <c r="Q336" s="152">
        <f>IF(OR(C336="",L336=""),0,IF(AND(TRIM(C336)=TRIM(RIGHT(SUBSTITUTE(TRIM('02_대상물건입력'!$B$7)," ",REPT(" ",99)),99)),IF('02_대상물건입력'!B15="",TRUE(),ISNUMBER(SEARCH('02_대상물건입력'!B15,L336)))),1,0))</f>
        <v/>
      </c>
      <c r="R336" s="175">
        <f>IFERROR(ABS(E336-'02_대상물건입력'!B11)/'02_대상물건입력'!B11,"")</f>
        <v/>
      </c>
      <c r="S336" s="152">
        <f>IFERROR(ABS(J336-'02_대상물건입력'!B10),"")</f>
        <v/>
      </c>
      <c r="T336" s="152">
        <f>IFERROR(ABS('01_설정'!B4-F336),"")</f>
        <v/>
      </c>
      <c r="U336" s="152">
        <f>IFERROR(ABS(K336-YEAR('02_대상물건입력'!B14)),"")</f>
        <v/>
      </c>
      <c r="V336" s="152">
        <f>IF(B336="","",IF(AND(E336&gt;0,F336&gt;0,H336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336=1,TRUE()),R336&lt;='01_설정'!B5,S336&lt;='01_설정'!B6,T336&lt;='01_설정'!B7,U336&lt;='01_설정'!B8),"Y",""))</f>
        <v/>
      </c>
      <c r="W336" s="172">
        <f>IF(V336&lt;&gt;"Y","",MAX(0,(1-R336/'01_설정'!B5))*'01_설정'!B14+MAX(0,(1-S336/'01_설정'!B6))*'01_설정'!B15+MAX(0,(1-T336/'01_설정'!B7))*'01_설정'!B16+MAX(0,(1-U336/'01_설정'!B8))*'01_설정'!B17+O336*'01_설정'!B11+Q336*'01_설정'!B12+P336*'01_설정'!B13+IF(Z336="",0,Z336))</f>
        <v/>
      </c>
      <c r="X336" s="152">
        <f>IF(W336="","",1+COUNTIFS($W$4:$W$3003,"&gt;"&amp;W336)+COUNTIFS($W$4:W336,W336)-1)</f>
        <v/>
      </c>
      <c r="Y336" s="175">
        <f>IF(OR(I336="",'02_대상물건입력'!B19="",'02_대상물건입력'!B19&lt;=0),"",ABS(I336-'02_대상물건입력'!B19)/'02_대상물건입력'!B19)</f>
        <v/>
      </c>
      <c r="Z336" s="172">
        <f>IF(OR(Y336="",'01_설정'!B31="",'01_설정'!B31&lt;=0,'01_설정'!B32="",'01_설정'!B32&lt;=0),"",MAX(0,(1-Y336/'01_설정'!B32))*'01_설정'!B31)</f>
        <v/>
      </c>
    </row>
    <row r="337" ht="17.25" customHeight="1">
      <c r="A337" s="152">
        <f>IF(INDEX('04A_국토부원자료'!$A:$A,ROW()+1)="","",ROW()-3)</f>
        <v/>
      </c>
      <c r="B337" s="48">
        <f>IFERROR(INDEX('04A_국토부원자료'!$A:$T,ROW()+1,MATCH("시군구",'04A_국토부원자료'!$A$4:$T$4,0)),"")</f>
        <v/>
      </c>
      <c r="C337" s="48">
        <f>IF(B337="","",IFERROR(INDEX('04A_국토부원자료'!$A:$T,ROW()+1,MATCH("번지",'04A_국토부원자료'!$A$4:$T$4,0)),""))</f>
        <v/>
      </c>
      <c r="D337" s="48">
        <f>IF(B337="","",IF(Q337=1,'02_대상물건입력'!$B$8,IFERROR(INDEX('04A_국토부원자료'!$A:$T,ROW()+1,MATCH("단지명",'04A_국토부원자료'!$A$4:$T$4,0)),"")))</f>
        <v/>
      </c>
      <c r="E337" s="172">
        <f>IFERROR(VALUE(SUBSTITUTE(INDEX('04A_국토부원자료'!$A:$T,ROW()+1,MATCH("전용면적(㎡)",'04A_국토부원자료'!$A$4:$T$4,0)),",","")),"")</f>
        <v/>
      </c>
      <c r="F3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37" s="51">
        <f>IFERROR(VALUE(SUBSTITUTE(INDEX('04A_국토부원자료'!$A:$T,ROW()+1,MATCH("거래금액(만원)",'04A_국토부원자료'!$A$4:$T$4,0)),",","")),"")</f>
        <v/>
      </c>
      <c r="H337" s="174">
        <f>IF(G337="","",G337*10000)</f>
        <v/>
      </c>
      <c r="I337" s="174">
        <f>IFERROR(IF(AND(H337&gt;0,E337&gt;0),H337/E337,""),"")</f>
        <v/>
      </c>
      <c r="J337" s="152">
        <f>IFERROR(VALUE(SUBSTITUTE(INDEX('04A_국토부원자료'!$A:$T,ROW()+1,MATCH("층",'04A_국토부원자료'!$A$4:$T$4,0)),",","")),"")</f>
        <v/>
      </c>
      <c r="K337" s="152">
        <f>IFERROR(VALUE(SUBSTITUTE(INDEX('04A_국토부원자료'!$A:$T,ROW()+1,MATCH("건축년도",'04A_국토부원자료'!$A$4:$T$4,0)),",","")),"")</f>
        <v/>
      </c>
      <c r="L337" s="176">
        <f>IFERROR(INDEX('04A_국토부원자료'!$A:$T,ROW()+1,MATCH("도로명",'04A_국토부원자료'!$A$4:$T$4,0)),"")</f>
        <v/>
      </c>
      <c r="M337" s="48">
        <f>IFERROR(INDEX('04A_국토부원자료'!$A:$T,ROW()+1,MATCH("거래유형",'04A_국토부원자료'!$A$4:$T$4,0)),"")</f>
        <v/>
      </c>
      <c r="N337" s="152">
        <f>IF(B337="","",IF('02_대상물건입력'!B5="",1,IF(ISNUMBER(SEARCH('02_대상물건입력'!B5,B337)),1,0)))</f>
        <v/>
      </c>
      <c r="O337" s="152">
        <f>IF(B337="","",IF('02_대상물건입력'!B6="",1,IF(ISNUMBER(SEARCH('02_대상물건입력'!B6,B337)),1,0)))</f>
        <v/>
      </c>
      <c r="P337" s="152">
        <f>IF(L337="","",IF('02_대상물건입력'!B15="",0,IF(ISNUMBER(SEARCH('02_대상물건입력'!B15,L337)),1,0)))</f>
        <v/>
      </c>
      <c r="Q337" s="152">
        <f>IF(OR(C337="",L337=""),0,IF(AND(TRIM(C337)=TRIM(RIGHT(SUBSTITUTE(TRIM('02_대상물건입력'!$B$7)," ",REPT(" ",99)),99)),IF('02_대상물건입력'!B15="",TRUE(),ISNUMBER(SEARCH('02_대상물건입력'!B15,L337)))),1,0))</f>
        <v/>
      </c>
      <c r="R337" s="175">
        <f>IFERROR(ABS(E337-'02_대상물건입력'!B11)/'02_대상물건입력'!B11,"")</f>
        <v/>
      </c>
      <c r="S337" s="152">
        <f>IFERROR(ABS(J337-'02_대상물건입력'!B10),"")</f>
        <v/>
      </c>
      <c r="T337" s="152">
        <f>IFERROR(ABS('01_설정'!B4-F337),"")</f>
        <v/>
      </c>
      <c r="U337" s="152">
        <f>IFERROR(ABS(K337-YEAR('02_대상물건입력'!B14)),"")</f>
        <v/>
      </c>
      <c r="V337" s="152">
        <f>IF(B337="","",IF(AND(E337&gt;0,F337&gt;0,H337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337=1,TRUE()),R337&lt;='01_설정'!B5,S337&lt;='01_설정'!B6,T337&lt;='01_설정'!B7,U337&lt;='01_설정'!B8),"Y",""))</f>
        <v/>
      </c>
      <c r="W337" s="172">
        <f>IF(V337&lt;&gt;"Y","",MAX(0,(1-R337/'01_설정'!B5))*'01_설정'!B14+MAX(0,(1-S337/'01_설정'!B6))*'01_설정'!B15+MAX(0,(1-T337/'01_설정'!B7))*'01_설정'!B16+MAX(0,(1-U337/'01_설정'!B8))*'01_설정'!B17+O337*'01_설정'!B11+Q337*'01_설정'!B12+P337*'01_설정'!B13+IF(Z337="",0,Z337))</f>
        <v/>
      </c>
      <c r="X337" s="152">
        <f>IF(W337="","",1+COUNTIFS($W$4:$W$3003,"&gt;"&amp;W337)+COUNTIFS($W$4:W337,W337)-1)</f>
        <v/>
      </c>
      <c r="Y337" s="175">
        <f>IF(OR(I337="",'02_대상물건입력'!B19="",'02_대상물건입력'!B19&lt;=0),"",ABS(I337-'02_대상물건입력'!B19)/'02_대상물건입력'!B19)</f>
        <v/>
      </c>
      <c r="Z337" s="172">
        <f>IF(OR(Y337="",'01_설정'!B31="",'01_설정'!B31&lt;=0,'01_설정'!B32="",'01_설정'!B32&lt;=0),"",MAX(0,(1-Y337/'01_설정'!B32))*'01_설정'!B31)</f>
        <v/>
      </c>
    </row>
    <row r="338" ht="17.25" customHeight="1">
      <c r="A338" s="152">
        <f>IF(INDEX('04A_국토부원자료'!$A:$A,ROW()+1)="","",ROW()-3)</f>
        <v/>
      </c>
      <c r="B338" s="48">
        <f>IFERROR(INDEX('04A_국토부원자료'!$A:$T,ROW()+1,MATCH("시군구",'04A_국토부원자료'!$A$4:$T$4,0)),"")</f>
        <v/>
      </c>
      <c r="C338" s="48">
        <f>IF(B338="","",IFERROR(INDEX('04A_국토부원자료'!$A:$T,ROW()+1,MATCH("번지",'04A_국토부원자료'!$A$4:$T$4,0)),""))</f>
        <v/>
      </c>
      <c r="D338" s="48">
        <f>IF(B338="","",IF(Q338=1,'02_대상물건입력'!$B$8,IFERROR(INDEX('04A_국토부원자료'!$A:$T,ROW()+1,MATCH("단지명",'04A_국토부원자료'!$A$4:$T$4,0)),"")))</f>
        <v/>
      </c>
      <c r="E338" s="172">
        <f>IFERROR(VALUE(SUBSTITUTE(INDEX('04A_국토부원자료'!$A:$T,ROW()+1,MATCH("전용면적(㎡)",'04A_국토부원자료'!$A$4:$T$4,0)),",","")),"")</f>
        <v/>
      </c>
      <c r="F3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38" s="51">
        <f>IFERROR(VALUE(SUBSTITUTE(INDEX('04A_국토부원자료'!$A:$T,ROW()+1,MATCH("거래금액(만원)",'04A_국토부원자료'!$A$4:$T$4,0)),",","")),"")</f>
        <v/>
      </c>
      <c r="H338" s="174">
        <f>IF(G338="","",G338*10000)</f>
        <v/>
      </c>
      <c r="I338" s="174">
        <f>IFERROR(IF(AND(H338&gt;0,E338&gt;0),H338/E338,""),"")</f>
        <v/>
      </c>
      <c r="J338" s="152">
        <f>IFERROR(VALUE(SUBSTITUTE(INDEX('04A_국토부원자료'!$A:$T,ROW()+1,MATCH("층",'04A_국토부원자료'!$A$4:$T$4,0)),",","")),"")</f>
        <v/>
      </c>
      <c r="K338" s="152">
        <f>IFERROR(VALUE(SUBSTITUTE(INDEX('04A_국토부원자료'!$A:$T,ROW()+1,MATCH("건축년도",'04A_국토부원자료'!$A$4:$T$4,0)),",","")),"")</f>
        <v/>
      </c>
      <c r="L338" s="176">
        <f>IFERROR(INDEX('04A_국토부원자료'!$A:$T,ROW()+1,MATCH("도로명",'04A_국토부원자료'!$A$4:$T$4,0)),"")</f>
        <v/>
      </c>
      <c r="M338" s="48">
        <f>IFERROR(INDEX('04A_국토부원자료'!$A:$T,ROW()+1,MATCH("거래유형",'04A_국토부원자료'!$A$4:$T$4,0)),"")</f>
        <v/>
      </c>
      <c r="N338" s="152">
        <f>IF(B338="","",IF('02_대상물건입력'!B5="",1,IF(ISNUMBER(SEARCH('02_대상물건입력'!B5,B338)),1,0)))</f>
        <v/>
      </c>
      <c r="O338" s="152">
        <f>IF(B338="","",IF('02_대상물건입력'!B6="",1,IF(ISNUMBER(SEARCH('02_대상물건입력'!B6,B338)),1,0)))</f>
        <v/>
      </c>
      <c r="P338" s="152">
        <f>IF(L338="","",IF('02_대상물건입력'!B15="",0,IF(ISNUMBER(SEARCH('02_대상물건입력'!B15,L338)),1,0)))</f>
        <v/>
      </c>
      <c r="Q338" s="152">
        <f>IF(OR(C338="",L338=""),0,IF(AND(TRIM(C338)=TRIM(RIGHT(SUBSTITUTE(TRIM('02_대상물건입력'!$B$7)," ",REPT(" ",99)),99)),IF('02_대상물건입력'!B15="",TRUE(),ISNUMBER(SEARCH('02_대상물건입력'!B15,L338)))),1,0))</f>
        <v/>
      </c>
      <c r="R338" s="175">
        <f>IFERROR(ABS(E338-'02_대상물건입력'!B11)/'02_대상물건입력'!B11,"")</f>
        <v/>
      </c>
      <c r="S338" s="152">
        <f>IFERROR(ABS(J338-'02_대상물건입력'!B10),"")</f>
        <v/>
      </c>
      <c r="T338" s="152">
        <f>IFERROR(ABS('01_설정'!B4-F338),"")</f>
        <v/>
      </c>
      <c r="U338" s="152">
        <f>IFERROR(ABS(K338-YEAR('02_대상물건입력'!B14)),"")</f>
        <v/>
      </c>
      <c r="V338" s="152">
        <f>IF(B338="","",IF(AND(E338&gt;0,F338&gt;0,H338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338=1,TRUE()),R338&lt;='01_설정'!B5,S338&lt;='01_설정'!B6,T338&lt;='01_설정'!B7,U338&lt;='01_설정'!B8),"Y",""))</f>
        <v/>
      </c>
      <c r="W338" s="172">
        <f>IF(V338&lt;&gt;"Y","",MAX(0,(1-R338/'01_설정'!B5))*'01_설정'!B14+MAX(0,(1-S338/'01_설정'!B6))*'01_설정'!B15+MAX(0,(1-T338/'01_설정'!B7))*'01_설정'!B16+MAX(0,(1-U338/'01_설정'!B8))*'01_설정'!B17+O338*'01_설정'!B11+Q338*'01_설정'!B12+P338*'01_설정'!B13+IF(Z338="",0,Z338))</f>
        <v/>
      </c>
      <c r="X338" s="152">
        <f>IF(W338="","",1+COUNTIFS($W$4:$W$3003,"&gt;"&amp;W338)+COUNTIFS($W$4:W338,W338)-1)</f>
        <v/>
      </c>
      <c r="Y338" s="175">
        <f>IF(OR(I338="",'02_대상물건입력'!B19="",'02_대상물건입력'!B19&lt;=0),"",ABS(I338-'02_대상물건입력'!B19)/'02_대상물건입력'!B19)</f>
        <v/>
      </c>
      <c r="Z338" s="172">
        <f>IF(OR(Y338="",'01_설정'!B31="",'01_설정'!B31&lt;=0,'01_설정'!B32="",'01_설정'!B32&lt;=0),"",MAX(0,(1-Y338/'01_설정'!B32))*'01_설정'!B31)</f>
        <v/>
      </c>
    </row>
    <row r="339" ht="17.25" customHeight="1">
      <c r="A339" s="152">
        <f>IF(INDEX('04A_국토부원자료'!$A:$A,ROW()+1)="","",ROW()-3)</f>
        <v/>
      </c>
      <c r="B339" s="48">
        <f>IFERROR(INDEX('04A_국토부원자료'!$A:$T,ROW()+1,MATCH("시군구",'04A_국토부원자료'!$A$4:$T$4,0)),"")</f>
        <v/>
      </c>
      <c r="C339" s="48">
        <f>IF(B339="","",IFERROR(INDEX('04A_국토부원자료'!$A:$T,ROW()+1,MATCH("번지",'04A_국토부원자료'!$A$4:$T$4,0)),""))</f>
        <v/>
      </c>
      <c r="D339" s="48">
        <f>IF(B339="","",IF(Q339=1,'02_대상물건입력'!$B$8,IFERROR(INDEX('04A_국토부원자료'!$A:$T,ROW()+1,MATCH("단지명",'04A_국토부원자료'!$A$4:$T$4,0)),"")))</f>
        <v/>
      </c>
      <c r="E339" s="172">
        <f>IFERROR(VALUE(SUBSTITUTE(INDEX('04A_국토부원자료'!$A:$T,ROW()+1,MATCH("전용면적(㎡)",'04A_국토부원자료'!$A$4:$T$4,0)),",","")),"")</f>
        <v/>
      </c>
      <c r="F3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39" s="51">
        <f>IFERROR(VALUE(SUBSTITUTE(INDEX('04A_국토부원자료'!$A:$T,ROW()+1,MATCH("거래금액(만원)",'04A_국토부원자료'!$A$4:$T$4,0)),",","")),"")</f>
        <v/>
      </c>
      <c r="H339" s="174">
        <f>IF(G339="","",G339*10000)</f>
        <v/>
      </c>
      <c r="I339" s="174">
        <f>IFERROR(IF(AND(H339&gt;0,E339&gt;0),H339/E339,""),"")</f>
        <v/>
      </c>
      <c r="J339" s="152">
        <f>IFERROR(VALUE(SUBSTITUTE(INDEX('04A_국토부원자료'!$A:$T,ROW()+1,MATCH("층",'04A_국토부원자료'!$A$4:$T$4,0)),",","")),"")</f>
        <v/>
      </c>
      <c r="K339" s="152">
        <f>IFERROR(VALUE(SUBSTITUTE(INDEX('04A_국토부원자료'!$A:$T,ROW()+1,MATCH("건축년도",'04A_국토부원자료'!$A$4:$T$4,0)),",","")),"")</f>
        <v/>
      </c>
      <c r="L339" s="176">
        <f>IFERROR(INDEX('04A_국토부원자료'!$A:$T,ROW()+1,MATCH("도로명",'04A_국토부원자료'!$A$4:$T$4,0)),"")</f>
        <v/>
      </c>
      <c r="M339" s="48">
        <f>IFERROR(INDEX('04A_국토부원자료'!$A:$T,ROW()+1,MATCH("거래유형",'04A_국토부원자료'!$A$4:$T$4,0)),"")</f>
        <v/>
      </c>
      <c r="N339" s="152">
        <f>IF(B339="","",IF('02_대상물건입력'!B5="",1,IF(ISNUMBER(SEARCH('02_대상물건입력'!B5,B339)),1,0)))</f>
        <v/>
      </c>
      <c r="O339" s="152">
        <f>IF(B339="","",IF('02_대상물건입력'!B6="",1,IF(ISNUMBER(SEARCH('02_대상물건입력'!B6,B339)),1,0)))</f>
        <v/>
      </c>
      <c r="P339" s="152">
        <f>IF(L339="","",IF('02_대상물건입력'!B15="",0,IF(ISNUMBER(SEARCH('02_대상물건입력'!B15,L339)),1,0)))</f>
        <v/>
      </c>
      <c r="Q339" s="152">
        <f>IF(OR(C339="",L339=""),0,IF(AND(TRIM(C339)=TRIM(RIGHT(SUBSTITUTE(TRIM('02_대상물건입력'!$B$7)," ",REPT(" ",99)),99)),IF('02_대상물건입력'!B15="",TRUE(),ISNUMBER(SEARCH('02_대상물건입력'!B15,L339)))),1,0))</f>
        <v/>
      </c>
      <c r="R339" s="175">
        <f>IFERROR(ABS(E339-'02_대상물건입력'!B11)/'02_대상물건입력'!B11,"")</f>
        <v/>
      </c>
      <c r="S339" s="152">
        <f>IFERROR(ABS(J339-'02_대상물건입력'!B10),"")</f>
        <v/>
      </c>
      <c r="T339" s="152">
        <f>IFERROR(ABS('01_설정'!B4-F339),"")</f>
        <v/>
      </c>
      <c r="U339" s="152">
        <f>IFERROR(ABS(K339-YEAR('02_대상물건입력'!B14)),"")</f>
        <v/>
      </c>
      <c r="V339" s="152">
        <f>IF(B339="","",IF(AND(E339&gt;0,F339&gt;0,H339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339=1,TRUE()),R339&lt;='01_설정'!B5,S339&lt;='01_설정'!B6,T339&lt;='01_설정'!B7,U339&lt;='01_설정'!B8),"Y",""))</f>
        <v/>
      </c>
      <c r="W339" s="172">
        <f>IF(V339&lt;&gt;"Y","",MAX(0,(1-R339/'01_설정'!B5))*'01_설정'!B14+MAX(0,(1-S339/'01_설정'!B6))*'01_설정'!B15+MAX(0,(1-T339/'01_설정'!B7))*'01_설정'!B16+MAX(0,(1-U339/'01_설정'!B8))*'01_설정'!B17+O339*'01_설정'!B11+Q339*'01_설정'!B12+P339*'01_설정'!B13+IF(Z339="",0,Z339))</f>
        <v/>
      </c>
      <c r="X339" s="152">
        <f>IF(W339="","",1+COUNTIFS($W$4:$W$3003,"&gt;"&amp;W339)+COUNTIFS($W$4:W339,W339)-1)</f>
        <v/>
      </c>
      <c r="Y339" s="175">
        <f>IF(OR(I339="",'02_대상물건입력'!B19="",'02_대상물건입력'!B19&lt;=0),"",ABS(I339-'02_대상물건입력'!B19)/'02_대상물건입력'!B19)</f>
        <v/>
      </c>
      <c r="Z339" s="172">
        <f>IF(OR(Y339="",'01_설정'!B31="",'01_설정'!B31&lt;=0,'01_설정'!B32="",'01_설정'!B32&lt;=0),"",MAX(0,(1-Y339/'01_설정'!B32))*'01_설정'!B31)</f>
        <v/>
      </c>
    </row>
    <row r="340" ht="17.25" customHeight="1">
      <c r="A340" s="152">
        <f>IF(INDEX('04A_국토부원자료'!$A:$A,ROW()+1)="","",ROW()-3)</f>
        <v/>
      </c>
      <c r="B340" s="48">
        <f>IFERROR(INDEX('04A_국토부원자료'!$A:$T,ROW()+1,MATCH("시군구",'04A_국토부원자료'!$A$4:$T$4,0)),"")</f>
        <v/>
      </c>
      <c r="C340" s="48">
        <f>IF(B340="","",IFERROR(INDEX('04A_국토부원자료'!$A:$T,ROW()+1,MATCH("번지",'04A_국토부원자료'!$A$4:$T$4,0)),""))</f>
        <v/>
      </c>
      <c r="D340" s="48">
        <f>IF(B340="","",IF(Q340=1,'02_대상물건입력'!$B$8,IFERROR(INDEX('04A_국토부원자료'!$A:$T,ROW()+1,MATCH("단지명",'04A_국토부원자료'!$A$4:$T$4,0)),"")))</f>
        <v/>
      </c>
      <c r="E340" s="172">
        <f>IFERROR(VALUE(SUBSTITUTE(INDEX('04A_국토부원자료'!$A:$T,ROW()+1,MATCH("전용면적(㎡)",'04A_국토부원자료'!$A$4:$T$4,0)),",","")),"")</f>
        <v/>
      </c>
      <c r="F3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40" s="51">
        <f>IFERROR(VALUE(SUBSTITUTE(INDEX('04A_국토부원자료'!$A:$T,ROW()+1,MATCH("거래금액(만원)",'04A_국토부원자료'!$A$4:$T$4,0)),",","")),"")</f>
        <v/>
      </c>
      <c r="H340" s="174">
        <f>IF(G340="","",G340*10000)</f>
        <v/>
      </c>
      <c r="I340" s="174">
        <f>IFERROR(IF(AND(H340&gt;0,E340&gt;0),H340/E340,""),"")</f>
        <v/>
      </c>
      <c r="J340" s="152">
        <f>IFERROR(VALUE(SUBSTITUTE(INDEX('04A_국토부원자료'!$A:$T,ROW()+1,MATCH("층",'04A_국토부원자료'!$A$4:$T$4,0)),",","")),"")</f>
        <v/>
      </c>
      <c r="K340" s="152">
        <f>IFERROR(VALUE(SUBSTITUTE(INDEX('04A_국토부원자료'!$A:$T,ROW()+1,MATCH("건축년도",'04A_국토부원자료'!$A$4:$T$4,0)),",","")),"")</f>
        <v/>
      </c>
      <c r="L340" s="176">
        <f>IFERROR(INDEX('04A_국토부원자료'!$A:$T,ROW()+1,MATCH("도로명",'04A_국토부원자료'!$A$4:$T$4,0)),"")</f>
        <v/>
      </c>
      <c r="M340" s="48">
        <f>IFERROR(INDEX('04A_국토부원자료'!$A:$T,ROW()+1,MATCH("거래유형",'04A_국토부원자료'!$A$4:$T$4,0)),"")</f>
        <v/>
      </c>
      <c r="N340" s="152">
        <f>IF(B340="","",IF('02_대상물건입력'!B5="",1,IF(ISNUMBER(SEARCH('02_대상물건입력'!B5,B340)),1,0)))</f>
        <v/>
      </c>
      <c r="O340" s="152">
        <f>IF(B340="","",IF('02_대상물건입력'!B6="",1,IF(ISNUMBER(SEARCH('02_대상물건입력'!B6,B340)),1,0)))</f>
        <v/>
      </c>
      <c r="P340" s="152">
        <f>IF(L340="","",IF('02_대상물건입력'!B15="",0,IF(ISNUMBER(SEARCH('02_대상물건입력'!B15,L340)),1,0)))</f>
        <v/>
      </c>
      <c r="Q340" s="152">
        <f>IF(OR(C340="",L340=""),0,IF(AND(TRIM(C340)=TRIM(RIGHT(SUBSTITUTE(TRIM('02_대상물건입력'!$B$7)," ",REPT(" ",99)),99)),IF('02_대상물건입력'!B15="",TRUE(),ISNUMBER(SEARCH('02_대상물건입력'!B15,L340)))),1,0))</f>
        <v/>
      </c>
      <c r="R340" s="175">
        <f>IFERROR(ABS(E340-'02_대상물건입력'!B11)/'02_대상물건입력'!B11,"")</f>
        <v/>
      </c>
      <c r="S340" s="152">
        <f>IFERROR(ABS(J340-'02_대상물건입력'!B10),"")</f>
        <v/>
      </c>
      <c r="T340" s="152">
        <f>IFERROR(ABS('01_설정'!B4-F340),"")</f>
        <v/>
      </c>
      <c r="U340" s="152">
        <f>IFERROR(ABS(K340-YEAR('02_대상물건입력'!B14)),"")</f>
        <v/>
      </c>
      <c r="V340" s="152">
        <f>IF(B340="","",IF(AND(E340&gt;0,F340&gt;0,H340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340=1,TRUE()),R340&lt;='01_설정'!B5,S340&lt;='01_설정'!B6,T340&lt;='01_설정'!B7,U340&lt;='01_설정'!B8),"Y",""))</f>
        <v/>
      </c>
      <c r="W340" s="172">
        <f>IF(V340&lt;&gt;"Y","",MAX(0,(1-R340/'01_설정'!B5))*'01_설정'!B14+MAX(0,(1-S340/'01_설정'!B6))*'01_설정'!B15+MAX(0,(1-T340/'01_설정'!B7))*'01_설정'!B16+MAX(0,(1-U340/'01_설정'!B8))*'01_설정'!B17+O340*'01_설정'!B11+Q340*'01_설정'!B12+P340*'01_설정'!B13+IF(Z340="",0,Z340))</f>
        <v/>
      </c>
      <c r="X340" s="152">
        <f>IF(W340="","",1+COUNTIFS($W$4:$W$3003,"&gt;"&amp;W340)+COUNTIFS($W$4:W340,W340)-1)</f>
        <v/>
      </c>
      <c r="Y340" s="175">
        <f>IF(OR(I340="",'02_대상물건입력'!B19="",'02_대상물건입력'!B19&lt;=0),"",ABS(I340-'02_대상물건입력'!B19)/'02_대상물건입력'!B19)</f>
        <v/>
      </c>
      <c r="Z340" s="172">
        <f>IF(OR(Y340="",'01_설정'!B31="",'01_설정'!B31&lt;=0,'01_설정'!B32="",'01_설정'!B32&lt;=0),"",MAX(0,(1-Y340/'01_설정'!B32))*'01_설정'!B31)</f>
        <v/>
      </c>
    </row>
    <row r="341" ht="17.25" customHeight="1">
      <c r="A341" s="152">
        <f>IF(INDEX('04A_국토부원자료'!$A:$A,ROW()+1)="","",ROW()-3)</f>
        <v/>
      </c>
      <c r="B341" s="48">
        <f>IFERROR(INDEX('04A_국토부원자료'!$A:$T,ROW()+1,MATCH("시군구",'04A_국토부원자료'!$A$4:$T$4,0)),"")</f>
        <v/>
      </c>
      <c r="C341" s="48">
        <f>IF(B341="","",IFERROR(INDEX('04A_국토부원자료'!$A:$T,ROW()+1,MATCH("번지",'04A_국토부원자료'!$A$4:$T$4,0)),""))</f>
        <v/>
      </c>
      <c r="D341" s="48">
        <f>IF(B341="","",IF(Q341=1,'02_대상물건입력'!$B$8,IFERROR(INDEX('04A_국토부원자료'!$A:$T,ROW()+1,MATCH("단지명",'04A_국토부원자료'!$A$4:$T$4,0)),"")))</f>
        <v/>
      </c>
      <c r="E341" s="172">
        <f>IFERROR(VALUE(SUBSTITUTE(INDEX('04A_국토부원자료'!$A:$T,ROW()+1,MATCH("전용면적(㎡)",'04A_국토부원자료'!$A$4:$T$4,0)),",","")),"")</f>
        <v/>
      </c>
      <c r="F3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41" s="51">
        <f>IFERROR(VALUE(SUBSTITUTE(INDEX('04A_국토부원자료'!$A:$T,ROW()+1,MATCH("거래금액(만원)",'04A_국토부원자료'!$A$4:$T$4,0)),",","")),"")</f>
        <v/>
      </c>
      <c r="H341" s="174">
        <f>IF(G341="","",G341*10000)</f>
        <v/>
      </c>
      <c r="I341" s="174">
        <f>IFERROR(IF(AND(H341&gt;0,E341&gt;0),H341/E341,""),"")</f>
        <v/>
      </c>
      <c r="J341" s="152">
        <f>IFERROR(VALUE(SUBSTITUTE(INDEX('04A_국토부원자료'!$A:$T,ROW()+1,MATCH("층",'04A_국토부원자료'!$A$4:$T$4,0)),",","")),"")</f>
        <v/>
      </c>
      <c r="K341" s="152">
        <f>IFERROR(VALUE(SUBSTITUTE(INDEX('04A_국토부원자료'!$A:$T,ROW()+1,MATCH("건축년도",'04A_국토부원자료'!$A$4:$T$4,0)),",","")),"")</f>
        <v/>
      </c>
      <c r="L341" s="176">
        <f>IFERROR(INDEX('04A_국토부원자료'!$A:$T,ROW()+1,MATCH("도로명",'04A_국토부원자료'!$A$4:$T$4,0)),"")</f>
        <v/>
      </c>
      <c r="M341" s="48">
        <f>IFERROR(INDEX('04A_국토부원자료'!$A:$T,ROW()+1,MATCH("거래유형",'04A_국토부원자료'!$A$4:$T$4,0)),"")</f>
        <v/>
      </c>
      <c r="N341" s="152">
        <f>IF(B341="","",IF('02_대상물건입력'!B5="",1,IF(ISNUMBER(SEARCH('02_대상물건입력'!B5,B341)),1,0)))</f>
        <v/>
      </c>
      <c r="O341" s="152">
        <f>IF(B341="","",IF('02_대상물건입력'!B6="",1,IF(ISNUMBER(SEARCH('02_대상물건입력'!B6,B341)),1,0)))</f>
        <v/>
      </c>
      <c r="P341" s="152">
        <f>IF(L341="","",IF('02_대상물건입력'!B15="",0,IF(ISNUMBER(SEARCH('02_대상물건입력'!B15,L341)),1,0)))</f>
        <v/>
      </c>
      <c r="Q341" s="152">
        <f>IF(OR(C341="",L341=""),0,IF(AND(TRIM(C341)=TRIM(RIGHT(SUBSTITUTE(TRIM('02_대상물건입력'!$B$7)," ",REPT(" ",99)),99)),IF('02_대상물건입력'!B15="",TRUE(),ISNUMBER(SEARCH('02_대상물건입력'!B15,L341)))),1,0))</f>
        <v/>
      </c>
      <c r="R341" s="175">
        <f>IFERROR(ABS(E341-'02_대상물건입력'!B11)/'02_대상물건입력'!B11,"")</f>
        <v/>
      </c>
      <c r="S341" s="152">
        <f>IFERROR(ABS(J341-'02_대상물건입력'!B10),"")</f>
        <v/>
      </c>
      <c r="T341" s="152">
        <f>IFERROR(ABS('01_설정'!B4-F341),"")</f>
        <v/>
      </c>
      <c r="U341" s="152">
        <f>IFERROR(ABS(K341-YEAR('02_대상물건입력'!B14)),"")</f>
        <v/>
      </c>
      <c r="V341" s="152">
        <f>IF(B341="","",IF(AND(E341&gt;0,F341&gt;0,H341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341=1,TRUE()),R341&lt;='01_설정'!B5,S341&lt;='01_설정'!B6,T341&lt;='01_설정'!B7,U341&lt;='01_설정'!B8),"Y",""))</f>
        <v/>
      </c>
      <c r="W341" s="172">
        <f>IF(V341&lt;&gt;"Y","",MAX(0,(1-R341/'01_설정'!B5))*'01_설정'!B14+MAX(0,(1-S341/'01_설정'!B6))*'01_설정'!B15+MAX(0,(1-T341/'01_설정'!B7))*'01_설정'!B16+MAX(0,(1-U341/'01_설정'!B8))*'01_설정'!B17+O341*'01_설정'!B11+Q341*'01_설정'!B12+P341*'01_설정'!B13+IF(Z341="",0,Z341))</f>
        <v/>
      </c>
      <c r="X341" s="152">
        <f>IF(W341="","",1+COUNTIFS($W$4:$W$3003,"&gt;"&amp;W341)+COUNTIFS($W$4:W341,W341)-1)</f>
        <v/>
      </c>
      <c r="Y341" s="175">
        <f>IF(OR(I341="",'02_대상물건입력'!B19="",'02_대상물건입력'!B19&lt;=0),"",ABS(I341-'02_대상물건입력'!B19)/'02_대상물건입력'!B19)</f>
        <v/>
      </c>
      <c r="Z341" s="172">
        <f>IF(OR(Y341="",'01_설정'!B31="",'01_설정'!B31&lt;=0,'01_설정'!B32="",'01_설정'!B32&lt;=0),"",MAX(0,(1-Y341/'01_설정'!B32))*'01_설정'!B31)</f>
        <v/>
      </c>
    </row>
    <row r="342" ht="17.25" customHeight="1">
      <c r="A342" s="152">
        <f>IF(INDEX('04A_국토부원자료'!$A:$A,ROW()+1)="","",ROW()-3)</f>
        <v/>
      </c>
      <c r="B342" s="48">
        <f>IFERROR(INDEX('04A_국토부원자료'!$A:$T,ROW()+1,MATCH("시군구",'04A_국토부원자료'!$A$4:$T$4,0)),"")</f>
        <v/>
      </c>
      <c r="C342" s="48">
        <f>IF(B342="","",IFERROR(INDEX('04A_국토부원자료'!$A:$T,ROW()+1,MATCH("번지",'04A_국토부원자료'!$A$4:$T$4,0)),""))</f>
        <v/>
      </c>
      <c r="D342" s="48">
        <f>IF(B342="","",IF(Q342=1,'02_대상물건입력'!$B$8,IFERROR(INDEX('04A_국토부원자료'!$A:$T,ROW()+1,MATCH("단지명",'04A_국토부원자료'!$A$4:$T$4,0)),"")))</f>
        <v/>
      </c>
      <c r="E342" s="172">
        <f>IFERROR(VALUE(SUBSTITUTE(INDEX('04A_국토부원자료'!$A:$T,ROW()+1,MATCH("전용면적(㎡)",'04A_국토부원자료'!$A$4:$T$4,0)),",","")),"")</f>
        <v/>
      </c>
      <c r="F3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42" s="51">
        <f>IFERROR(VALUE(SUBSTITUTE(INDEX('04A_국토부원자료'!$A:$T,ROW()+1,MATCH("거래금액(만원)",'04A_국토부원자료'!$A$4:$T$4,0)),",","")),"")</f>
        <v/>
      </c>
      <c r="H342" s="174">
        <f>IF(G342="","",G342*10000)</f>
        <v/>
      </c>
      <c r="I342" s="174">
        <f>IFERROR(IF(AND(H342&gt;0,E342&gt;0),H342/E342,""),"")</f>
        <v/>
      </c>
      <c r="J342" s="152">
        <f>IFERROR(VALUE(SUBSTITUTE(INDEX('04A_국토부원자료'!$A:$T,ROW()+1,MATCH("층",'04A_국토부원자료'!$A$4:$T$4,0)),",","")),"")</f>
        <v/>
      </c>
      <c r="K342" s="152">
        <f>IFERROR(VALUE(SUBSTITUTE(INDEX('04A_국토부원자료'!$A:$T,ROW()+1,MATCH("건축년도",'04A_국토부원자료'!$A$4:$T$4,0)),",","")),"")</f>
        <v/>
      </c>
      <c r="L342" s="176">
        <f>IFERROR(INDEX('04A_국토부원자료'!$A:$T,ROW()+1,MATCH("도로명",'04A_국토부원자료'!$A$4:$T$4,0)),"")</f>
        <v/>
      </c>
      <c r="M342" s="48">
        <f>IFERROR(INDEX('04A_국토부원자료'!$A:$T,ROW()+1,MATCH("거래유형",'04A_국토부원자료'!$A$4:$T$4,0)),"")</f>
        <v/>
      </c>
      <c r="N342" s="152">
        <f>IF(B342="","",IF('02_대상물건입력'!B5="",1,IF(ISNUMBER(SEARCH('02_대상물건입력'!B5,B342)),1,0)))</f>
        <v/>
      </c>
      <c r="O342" s="152">
        <f>IF(B342="","",IF('02_대상물건입력'!B6="",1,IF(ISNUMBER(SEARCH('02_대상물건입력'!B6,B342)),1,0)))</f>
        <v/>
      </c>
      <c r="P342" s="152">
        <f>IF(L342="","",IF('02_대상물건입력'!B15="",0,IF(ISNUMBER(SEARCH('02_대상물건입력'!B15,L342)),1,0)))</f>
        <v/>
      </c>
      <c r="Q342" s="152">
        <f>IF(OR(C342="",L342=""),0,IF(AND(TRIM(C342)=TRIM(RIGHT(SUBSTITUTE(TRIM('02_대상물건입력'!$B$7)," ",REPT(" ",99)),99)),IF('02_대상물건입력'!B15="",TRUE(),ISNUMBER(SEARCH('02_대상물건입력'!B15,L342)))),1,0))</f>
        <v/>
      </c>
      <c r="R342" s="175">
        <f>IFERROR(ABS(E342-'02_대상물건입력'!B11)/'02_대상물건입력'!B11,"")</f>
        <v/>
      </c>
      <c r="S342" s="152">
        <f>IFERROR(ABS(J342-'02_대상물건입력'!B10),"")</f>
        <v/>
      </c>
      <c r="T342" s="152">
        <f>IFERROR(ABS('01_설정'!B4-F342),"")</f>
        <v/>
      </c>
      <c r="U342" s="152">
        <f>IFERROR(ABS(K342-YEAR('02_대상물건입력'!B14)),"")</f>
        <v/>
      </c>
      <c r="V342" s="152">
        <f>IF(B342="","",IF(AND(E342&gt;0,F342&gt;0,H342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342=1,TRUE()),R342&lt;='01_설정'!B5,S342&lt;='01_설정'!B6,T342&lt;='01_설정'!B7,U342&lt;='01_설정'!B8),"Y",""))</f>
        <v/>
      </c>
      <c r="W342" s="172">
        <f>IF(V342&lt;&gt;"Y","",MAX(0,(1-R342/'01_설정'!B5))*'01_설정'!B14+MAX(0,(1-S342/'01_설정'!B6))*'01_설정'!B15+MAX(0,(1-T342/'01_설정'!B7))*'01_설정'!B16+MAX(0,(1-U342/'01_설정'!B8))*'01_설정'!B17+O342*'01_설정'!B11+Q342*'01_설정'!B12+P342*'01_설정'!B13+IF(Z342="",0,Z342))</f>
        <v/>
      </c>
      <c r="X342" s="152">
        <f>IF(W342="","",1+COUNTIFS($W$4:$W$3003,"&gt;"&amp;W342)+COUNTIFS($W$4:W342,W342)-1)</f>
        <v/>
      </c>
      <c r="Y342" s="175">
        <f>IF(OR(I342="",'02_대상물건입력'!B19="",'02_대상물건입력'!B19&lt;=0),"",ABS(I342-'02_대상물건입력'!B19)/'02_대상물건입력'!B19)</f>
        <v/>
      </c>
      <c r="Z342" s="172">
        <f>IF(OR(Y342="",'01_설정'!B31="",'01_설정'!B31&lt;=0,'01_설정'!B32="",'01_설정'!B32&lt;=0),"",MAX(0,(1-Y342/'01_설정'!B32))*'01_설정'!B31)</f>
        <v/>
      </c>
    </row>
    <row r="343" ht="17.25" customHeight="1">
      <c r="A343" s="152">
        <f>IF(INDEX('04A_국토부원자료'!$A:$A,ROW()+1)="","",ROW()-3)</f>
        <v/>
      </c>
      <c r="B343" s="48">
        <f>IFERROR(INDEX('04A_국토부원자료'!$A:$T,ROW()+1,MATCH("시군구",'04A_국토부원자료'!$A$4:$T$4,0)),"")</f>
        <v/>
      </c>
      <c r="C343" s="48">
        <f>IF(B343="","",IFERROR(INDEX('04A_국토부원자료'!$A:$T,ROW()+1,MATCH("번지",'04A_국토부원자료'!$A$4:$T$4,0)),""))</f>
        <v/>
      </c>
      <c r="D343" s="48">
        <f>IF(B343="","",IF(Q343=1,'02_대상물건입력'!$B$8,IFERROR(INDEX('04A_국토부원자료'!$A:$T,ROW()+1,MATCH("단지명",'04A_국토부원자료'!$A$4:$T$4,0)),"")))</f>
        <v/>
      </c>
      <c r="E343" s="172">
        <f>IFERROR(VALUE(SUBSTITUTE(INDEX('04A_국토부원자료'!$A:$T,ROW()+1,MATCH("전용면적(㎡)",'04A_국토부원자료'!$A$4:$T$4,0)),",","")),"")</f>
        <v/>
      </c>
      <c r="F3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43" s="51">
        <f>IFERROR(VALUE(SUBSTITUTE(INDEX('04A_국토부원자료'!$A:$T,ROW()+1,MATCH("거래금액(만원)",'04A_국토부원자료'!$A$4:$T$4,0)),",","")),"")</f>
        <v/>
      </c>
      <c r="H343" s="174">
        <f>IF(G343="","",G343*10000)</f>
        <v/>
      </c>
      <c r="I343" s="174">
        <f>IFERROR(IF(AND(H343&gt;0,E343&gt;0),H343/E343,""),"")</f>
        <v/>
      </c>
      <c r="J343" s="152">
        <f>IFERROR(VALUE(SUBSTITUTE(INDEX('04A_국토부원자료'!$A:$T,ROW()+1,MATCH("층",'04A_국토부원자료'!$A$4:$T$4,0)),",","")),"")</f>
        <v/>
      </c>
      <c r="K343" s="152">
        <f>IFERROR(VALUE(SUBSTITUTE(INDEX('04A_국토부원자료'!$A:$T,ROW()+1,MATCH("건축년도",'04A_국토부원자료'!$A$4:$T$4,0)),",","")),"")</f>
        <v/>
      </c>
      <c r="L343" s="176">
        <f>IFERROR(INDEX('04A_국토부원자료'!$A:$T,ROW()+1,MATCH("도로명",'04A_국토부원자료'!$A$4:$T$4,0)),"")</f>
        <v/>
      </c>
      <c r="M343" s="48">
        <f>IFERROR(INDEX('04A_국토부원자료'!$A:$T,ROW()+1,MATCH("거래유형",'04A_국토부원자료'!$A$4:$T$4,0)),"")</f>
        <v/>
      </c>
      <c r="N343" s="152">
        <f>IF(B343="","",IF('02_대상물건입력'!B5="",1,IF(ISNUMBER(SEARCH('02_대상물건입력'!B5,B343)),1,0)))</f>
        <v/>
      </c>
      <c r="O343" s="152">
        <f>IF(B343="","",IF('02_대상물건입력'!B6="",1,IF(ISNUMBER(SEARCH('02_대상물건입력'!B6,B343)),1,0)))</f>
        <v/>
      </c>
      <c r="P343" s="152">
        <f>IF(L343="","",IF('02_대상물건입력'!B15="",0,IF(ISNUMBER(SEARCH('02_대상물건입력'!B15,L343)),1,0)))</f>
        <v/>
      </c>
      <c r="Q343" s="152">
        <f>IF(OR(C343="",L343=""),0,IF(AND(TRIM(C343)=TRIM(RIGHT(SUBSTITUTE(TRIM('02_대상물건입력'!$B$7)," ",REPT(" ",99)),99)),IF('02_대상물건입력'!B15="",TRUE(),ISNUMBER(SEARCH('02_대상물건입력'!B15,L343)))),1,0))</f>
        <v/>
      </c>
      <c r="R343" s="175">
        <f>IFERROR(ABS(E343-'02_대상물건입력'!B11)/'02_대상물건입력'!B11,"")</f>
        <v/>
      </c>
      <c r="S343" s="152">
        <f>IFERROR(ABS(J343-'02_대상물건입력'!B10),"")</f>
        <v/>
      </c>
      <c r="T343" s="152">
        <f>IFERROR(ABS('01_설정'!B4-F343),"")</f>
        <v/>
      </c>
      <c r="U343" s="152">
        <f>IFERROR(ABS(K343-YEAR('02_대상물건입력'!B14)),"")</f>
        <v/>
      </c>
      <c r="V343" s="152">
        <f>IF(B343="","",IF(AND(E343&gt;0,F343&gt;0,H343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343=1,TRUE()),R343&lt;='01_설정'!B5,S343&lt;='01_설정'!B6,T343&lt;='01_설정'!B7,U343&lt;='01_설정'!B8),"Y",""))</f>
        <v/>
      </c>
      <c r="W343" s="172">
        <f>IF(V343&lt;&gt;"Y","",MAX(0,(1-R343/'01_설정'!B5))*'01_설정'!B14+MAX(0,(1-S343/'01_설정'!B6))*'01_설정'!B15+MAX(0,(1-T343/'01_설정'!B7))*'01_설정'!B16+MAX(0,(1-U343/'01_설정'!B8))*'01_설정'!B17+O343*'01_설정'!B11+Q343*'01_설정'!B12+P343*'01_설정'!B13+IF(Z343="",0,Z343))</f>
        <v/>
      </c>
      <c r="X343" s="152">
        <f>IF(W343="","",1+COUNTIFS($W$4:$W$3003,"&gt;"&amp;W343)+COUNTIFS($W$4:W343,W343)-1)</f>
        <v/>
      </c>
      <c r="Y343" s="175">
        <f>IF(OR(I343="",'02_대상물건입력'!B19="",'02_대상물건입력'!B19&lt;=0),"",ABS(I343-'02_대상물건입력'!B19)/'02_대상물건입력'!B19)</f>
        <v/>
      </c>
      <c r="Z343" s="172">
        <f>IF(OR(Y343="",'01_설정'!B31="",'01_설정'!B31&lt;=0,'01_설정'!B32="",'01_설정'!B32&lt;=0),"",MAX(0,(1-Y343/'01_설정'!B32))*'01_설정'!B31)</f>
        <v/>
      </c>
    </row>
    <row r="344" ht="17.25" customHeight="1">
      <c r="A344" s="152">
        <f>IF(INDEX('04A_국토부원자료'!$A:$A,ROW()+1)="","",ROW()-3)</f>
        <v/>
      </c>
      <c r="B344" s="48">
        <f>IFERROR(INDEX('04A_국토부원자료'!$A:$T,ROW()+1,MATCH("시군구",'04A_국토부원자료'!$A$4:$T$4,0)),"")</f>
        <v/>
      </c>
      <c r="C344" s="48">
        <f>IF(B344="","",IFERROR(INDEX('04A_국토부원자료'!$A:$T,ROW()+1,MATCH("번지",'04A_국토부원자료'!$A$4:$T$4,0)),""))</f>
        <v/>
      </c>
      <c r="D344" s="48">
        <f>IF(B344="","",IF(Q344=1,'02_대상물건입력'!$B$8,IFERROR(INDEX('04A_국토부원자료'!$A:$T,ROW()+1,MATCH("단지명",'04A_국토부원자료'!$A$4:$T$4,0)),"")))</f>
        <v/>
      </c>
      <c r="E344" s="172">
        <f>IFERROR(VALUE(SUBSTITUTE(INDEX('04A_국토부원자료'!$A:$T,ROW()+1,MATCH("전용면적(㎡)",'04A_국토부원자료'!$A$4:$T$4,0)),",","")),"")</f>
        <v/>
      </c>
      <c r="F3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44" s="51">
        <f>IFERROR(VALUE(SUBSTITUTE(INDEX('04A_국토부원자료'!$A:$T,ROW()+1,MATCH("거래금액(만원)",'04A_국토부원자료'!$A$4:$T$4,0)),",","")),"")</f>
        <v/>
      </c>
      <c r="H344" s="174">
        <f>IF(G344="","",G344*10000)</f>
        <v/>
      </c>
      <c r="I344" s="174">
        <f>IFERROR(IF(AND(H344&gt;0,E344&gt;0),H344/E344,""),"")</f>
        <v/>
      </c>
      <c r="J344" s="152">
        <f>IFERROR(VALUE(SUBSTITUTE(INDEX('04A_국토부원자료'!$A:$T,ROW()+1,MATCH("층",'04A_국토부원자료'!$A$4:$T$4,0)),",","")),"")</f>
        <v/>
      </c>
      <c r="K344" s="152">
        <f>IFERROR(VALUE(SUBSTITUTE(INDEX('04A_국토부원자료'!$A:$T,ROW()+1,MATCH("건축년도",'04A_국토부원자료'!$A$4:$T$4,0)),",","")),"")</f>
        <v/>
      </c>
      <c r="L344" s="176">
        <f>IFERROR(INDEX('04A_국토부원자료'!$A:$T,ROW()+1,MATCH("도로명",'04A_국토부원자료'!$A$4:$T$4,0)),"")</f>
        <v/>
      </c>
      <c r="M344" s="48">
        <f>IFERROR(INDEX('04A_국토부원자료'!$A:$T,ROW()+1,MATCH("거래유형",'04A_국토부원자료'!$A$4:$T$4,0)),"")</f>
        <v/>
      </c>
      <c r="N344" s="152">
        <f>IF(B344="","",IF('02_대상물건입력'!B5="",1,IF(ISNUMBER(SEARCH('02_대상물건입력'!B5,B344)),1,0)))</f>
        <v/>
      </c>
      <c r="O344" s="152">
        <f>IF(B344="","",IF('02_대상물건입력'!B6="",1,IF(ISNUMBER(SEARCH('02_대상물건입력'!B6,B344)),1,0)))</f>
        <v/>
      </c>
      <c r="P344" s="152">
        <f>IF(L344="","",IF('02_대상물건입력'!B15="",0,IF(ISNUMBER(SEARCH('02_대상물건입력'!B15,L344)),1,0)))</f>
        <v/>
      </c>
      <c r="Q344" s="152">
        <f>IF(OR(C344="",L344=""),0,IF(AND(TRIM(C344)=TRIM(RIGHT(SUBSTITUTE(TRIM('02_대상물건입력'!$B$7)," ",REPT(" ",99)),99)),IF('02_대상물건입력'!B15="",TRUE(),ISNUMBER(SEARCH('02_대상물건입력'!B15,L344)))),1,0))</f>
        <v/>
      </c>
      <c r="R344" s="175">
        <f>IFERROR(ABS(E344-'02_대상물건입력'!B11)/'02_대상물건입력'!B11,"")</f>
        <v/>
      </c>
      <c r="S344" s="152">
        <f>IFERROR(ABS(J344-'02_대상물건입력'!B10),"")</f>
        <v/>
      </c>
      <c r="T344" s="152">
        <f>IFERROR(ABS('01_설정'!B4-F344),"")</f>
        <v/>
      </c>
      <c r="U344" s="152">
        <f>IFERROR(ABS(K344-YEAR('02_대상물건입력'!B14)),"")</f>
        <v/>
      </c>
      <c r="V344" s="152">
        <f>IF(B344="","",IF(AND(E344&gt;0,F344&gt;0,H344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344=1,TRUE()),R344&lt;='01_설정'!B5,S344&lt;='01_설정'!B6,T344&lt;='01_설정'!B7,U344&lt;='01_설정'!B8),"Y",""))</f>
        <v/>
      </c>
      <c r="W344" s="172">
        <f>IF(V344&lt;&gt;"Y","",MAX(0,(1-R344/'01_설정'!B5))*'01_설정'!B14+MAX(0,(1-S344/'01_설정'!B6))*'01_설정'!B15+MAX(0,(1-T344/'01_설정'!B7))*'01_설정'!B16+MAX(0,(1-U344/'01_설정'!B8))*'01_설정'!B17+O344*'01_설정'!B11+Q344*'01_설정'!B12+P344*'01_설정'!B13+IF(Z344="",0,Z344))</f>
        <v/>
      </c>
      <c r="X344" s="152">
        <f>IF(W344="","",1+COUNTIFS($W$4:$W$3003,"&gt;"&amp;W344)+COUNTIFS($W$4:W344,W344)-1)</f>
        <v/>
      </c>
      <c r="Y344" s="175">
        <f>IF(OR(I344="",'02_대상물건입력'!B19="",'02_대상물건입력'!B19&lt;=0),"",ABS(I344-'02_대상물건입력'!B19)/'02_대상물건입력'!B19)</f>
        <v/>
      </c>
      <c r="Z344" s="172">
        <f>IF(OR(Y344="",'01_설정'!B31="",'01_설정'!B31&lt;=0,'01_설정'!B32="",'01_설정'!B32&lt;=0),"",MAX(0,(1-Y344/'01_설정'!B32))*'01_설정'!B31)</f>
        <v/>
      </c>
    </row>
    <row r="345" ht="17.25" customHeight="1">
      <c r="A345" s="152">
        <f>IF(INDEX('04A_국토부원자료'!$A:$A,ROW()+1)="","",ROW()-3)</f>
        <v/>
      </c>
      <c r="B345" s="48">
        <f>IFERROR(INDEX('04A_국토부원자료'!$A:$T,ROW()+1,MATCH("시군구",'04A_국토부원자료'!$A$4:$T$4,0)),"")</f>
        <v/>
      </c>
      <c r="C345" s="48">
        <f>IF(B345="","",IFERROR(INDEX('04A_국토부원자료'!$A:$T,ROW()+1,MATCH("번지",'04A_국토부원자료'!$A$4:$T$4,0)),""))</f>
        <v/>
      </c>
      <c r="D345" s="48">
        <f>IF(B345="","",IF(Q345=1,'02_대상물건입력'!$B$8,IFERROR(INDEX('04A_국토부원자료'!$A:$T,ROW()+1,MATCH("단지명",'04A_국토부원자료'!$A$4:$T$4,0)),"")))</f>
        <v/>
      </c>
      <c r="E345" s="172">
        <f>IFERROR(VALUE(SUBSTITUTE(INDEX('04A_국토부원자료'!$A:$T,ROW()+1,MATCH("전용면적(㎡)",'04A_국토부원자료'!$A$4:$T$4,0)),",","")),"")</f>
        <v/>
      </c>
      <c r="F3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45" s="51">
        <f>IFERROR(VALUE(SUBSTITUTE(INDEX('04A_국토부원자료'!$A:$T,ROW()+1,MATCH("거래금액(만원)",'04A_국토부원자료'!$A$4:$T$4,0)),",","")),"")</f>
        <v/>
      </c>
      <c r="H345" s="174">
        <f>IF(G345="","",G345*10000)</f>
        <v/>
      </c>
      <c r="I345" s="174">
        <f>IFERROR(IF(AND(H345&gt;0,E345&gt;0),H345/E345,""),"")</f>
        <v/>
      </c>
      <c r="J345" s="152">
        <f>IFERROR(VALUE(SUBSTITUTE(INDEX('04A_국토부원자료'!$A:$T,ROW()+1,MATCH("층",'04A_국토부원자료'!$A$4:$T$4,0)),",","")),"")</f>
        <v/>
      </c>
      <c r="K345" s="152">
        <f>IFERROR(VALUE(SUBSTITUTE(INDEX('04A_국토부원자료'!$A:$T,ROW()+1,MATCH("건축년도",'04A_국토부원자료'!$A$4:$T$4,0)),",","")),"")</f>
        <v/>
      </c>
      <c r="L345" s="176">
        <f>IFERROR(INDEX('04A_국토부원자료'!$A:$T,ROW()+1,MATCH("도로명",'04A_국토부원자료'!$A$4:$T$4,0)),"")</f>
        <v/>
      </c>
      <c r="M345" s="48">
        <f>IFERROR(INDEX('04A_국토부원자료'!$A:$T,ROW()+1,MATCH("거래유형",'04A_국토부원자료'!$A$4:$T$4,0)),"")</f>
        <v/>
      </c>
      <c r="N345" s="152">
        <f>IF(B345="","",IF('02_대상물건입력'!B5="",1,IF(ISNUMBER(SEARCH('02_대상물건입력'!B5,B345)),1,0)))</f>
        <v/>
      </c>
      <c r="O345" s="152">
        <f>IF(B345="","",IF('02_대상물건입력'!B6="",1,IF(ISNUMBER(SEARCH('02_대상물건입력'!B6,B345)),1,0)))</f>
        <v/>
      </c>
      <c r="P345" s="152">
        <f>IF(L345="","",IF('02_대상물건입력'!B15="",0,IF(ISNUMBER(SEARCH('02_대상물건입력'!B15,L345)),1,0)))</f>
        <v/>
      </c>
      <c r="Q345" s="152">
        <f>IF(OR(C345="",L345=""),0,IF(AND(TRIM(C345)=TRIM(RIGHT(SUBSTITUTE(TRIM('02_대상물건입력'!$B$7)," ",REPT(" ",99)),99)),IF('02_대상물건입력'!B15="",TRUE(),ISNUMBER(SEARCH('02_대상물건입력'!B15,L345)))),1,0))</f>
        <v/>
      </c>
      <c r="R345" s="175">
        <f>IFERROR(ABS(E345-'02_대상물건입력'!B11)/'02_대상물건입력'!B11,"")</f>
        <v/>
      </c>
      <c r="S345" s="152">
        <f>IFERROR(ABS(J345-'02_대상물건입력'!B10),"")</f>
        <v/>
      </c>
      <c r="T345" s="152">
        <f>IFERROR(ABS('01_설정'!B4-F345),"")</f>
        <v/>
      </c>
      <c r="U345" s="152">
        <f>IFERROR(ABS(K345-YEAR('02_대상물건입력'!B14)),"")</f>
        <v/>
      </c>
      <c r="V345" s="152">
        <f>IF(B345="","",IF(AND(E345&gt;0,F345&gt;0,H345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345=1,TRUE()),R345&lt;='01_설정'!B5,S345&lt;='01_설정'!B6,T345&lt;='01_설정'!B7,U345&lt;='01_설정'!B8),"Y",""))</f>
        <v/>
      </c>
      <c r="W345" s="172">
        <f>IF(V345&lt;&gt;"Y","",MAX(0,(1-R345/'01_설정'!B5))*'01_설정'!B14+MAX(0,(1-S345/'01_설정'!B6))*'01_설정'!B15+MAX(0,(1-T345/'01_설정'!B7))*'01_설정'!B16+MAX(0,(1-U345/'01_설정'!B8))*'01_설정'!B17+O345*'01_설정'!B11+Q345*'01_설정'!B12+P345*'01_설정'!B13+IF(Z345="",0,Z345))</f>
        <v/>
      </c>
      <c r="X345" s="152">
        <f>IF(W345="","",1+COUNTIFS($W$4:$W$3003,"&gt;"&amp;W345)+COUNTIFS($W$4:W345,W345)-1)</f>
        <v/>
      </c>
      <c r="Y345" s="175">
        <f>IF(OR(I345="",'02_대상물건입력'!B19="",'02_대상물건입력'!B19&lt;=0),"",ABS(I345-'02_대상물건입력'!B19)/'02_대상물건입력'!B19)</f>
        <v/>
      </c>
      <c r="Z345" s="172">
        <f>IF(OR(Y345="",'01_설정'!B31="",'01_설정'!B31&lt;=0,'01_설정'!B32="",'01_설정'!B32&lt;=0),"",MAX(0,(1-Y345/'01_설정'!B32))*'01_설정'!B31)</f>
        <v/>
      </c>
    </row>
    <row r="346" ht="17.25" customHeight="1">
      <c r="A346" s="152">
        <f>IF(INDEX('04A_국토부원자료'!$A:$A,ROW()+1)="","",ROW()-3)</f>
        <v/>
      </c>
      <c r="B346" s="48">
        <f>IFERROR(INDEX('04A_국토부원자료'!$A:$T,ROW()+1,MATCH("시군구",'04A_국토부원자료'!$A$4:$T$4,0)),"")</f>
        <v/>
      </c>
      <c r="C346" s="48">
        <f>IF(B346="","",IFERROR(INDEX('04A_국토부원자료'!$A:$T,ROW()+1,MATCH("번지",'04A_국토부원자료'!$A$4:$T$4,0)),""))</f>
        <v/>
      </c>
      <c r="D346" s="48">
        <f>IF(B346="","",IF(Q346=1,'02_대상물건입력'!$B$8,IFERROR(INDEX('04A_국토부원자료'!$A:$T,ROW()+1,MATCH("단지명",'04A_국토부원자료'!$A$4:$T$4,0)),"")))</f>
        <v/>
      </c>
      <c r="E346" s="172">
        <f>IFERROR(VALUE(SUBSTITUTE(INDEX('04A_국토부원자료'!$A:$T,ROW()+1,MATCH("전용면적(㎡)",'04A_국토부원자료'!$A$4:$T$4,0)),",","")),"")</f>
        <v/>
      </c>
      <c r="F3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46" s="51">
        <f>IFERROR(VALUE(SUBSTITUTE(INDEX('04A_국토부원자료'!$A:$T,ROW()+1,MATCH("거래금액(만원)",'04A_국토부원자료'!$A$4:$T$4,0)),",","")),"")</f>
        <v/>
      </c>
      <c r="H346" s="174">
        <f>IF(G346="","",G346*10000)</f>
        <v/>
      </c>
      <c r="I346" s="174">
        <f>IFERROR(IF(AND(H346&gt;0,E346&gt;0),H346/E346,""),"")</f>
        <v/>
      </c>
      <c r="J346" s="152">
        <f>IFERROR(VALUE(SUBSTITUTE(INDEX('04A_국토부원자료'!$A:$T,ROW()+1,MATCH("층",'04A_국토부원자료'!$A$4:$T$4,0)),",","")),"")</f>
        <v/>
      </c>
      <c r="K346" s="152">
        <f>IFERROR(VALUE(SUBSTITUTE(INDEX('04A_국토부원자료'!$A:$T,ROW()+1,MATCH("건축년도",'04A_국토부원자료'!$A$4:$T$4,0)),",","")),"")</f>
        <v/>
      </c>
      <c r="L346" s="176">
        <f>IFERROR(INDEX('04A_국토부원자료'!$A:$T,ROW()+1,MATCH("도로명",'04A_국토부원자료'!$A$4:$T$4,0)),"")</f>
        <v/>
      </c>
      <c r="M346" s="48">
        <f>IFERROR(INDEX('04A_국토부원자료'!$A:$T,ROW()+1,MATCH("거래유형",'04A_국토부원자료'!$A$4:$T$4,0)),"")</f>
        <v/>
      </c>
      <c r="N346" s="152">
        <f>IF(B346="","",IF('02_대상물건입력'!B5="",1,IF(ISNUMBER(SEARCH('02_대상물건입력'!B5,B346)),1,0)))</f>
        <v/>
      </c>
      <c r="O346" s="152">
        <f>IF(B346="","",IF('02_대상물건입력'!B6="",1,IF(ISNUMBER(SEARCH('02_대상물건입력'!B6,B346)),1,0)))</f>
        <v/>
      </c>
      <c r="P346" s="152">
        <f>IF(L346="","",IF('02_대상물건입력'!B15="",0,IF(ISNUMBER(SEARCH('02_대상물건입력'!B15,L346)),1,0)))</f>
        <v/>
      </c>
      <c r="Q346" s="152">
        <f>IF(OR(C346="",L346=""),0,IF(AND(TRIM(C346)=TRIM(RIGHT(SUBSTITUTE(TRIM('02_대상물건입력'!$B$7)," ",REPT(" ",99)),99)),IF('02_대상물건입력'!B15="",TRUE(),ISNUMBER(SEARCH('02_대상물건입력'!B15,L346)))),1,0))</f>
        <v/>
      </c>
      <c r="R346" s="175">
        <f>IFERROR(ABS(E346-'02_대상물건입력'!B11)/'02_대상물건입력'!B11,"")</f>
        <v/>
      </c>
      <c r="S346" s="152">
        <f>IFERROR(ABS(J346-'02_대상물건입력'!B10),"")</f>
        <v/>
      </c>
      <c r="T346" s="152">
        <f>IFERROR(ABS('01_설정'!B4-F346),"")</f>
        <v/>
      </c>
      <c r="U346" s="152">
        <f>IFERROR(ABS(K346-YEAR('02_대상물건입력'!B14)),"")</f>
        <v/>
      </c>
      <c r="V346" s="152">
        <f>IF(B346="","",IF(AND(E346&gt;0,F346&gt;0,H346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346=1,TRUE()),R346&lt;='01_설정'!B5,S346&lt;='01_설정'!B6,T346&lt;='01_설정'!B7,U346&lt;='01_설정'!B8),"Y",""))</f>
        <v/>
      </c>
      <c r="W346" s="172">
        <f>IF(V346&lt;&gt;"Y","",MAX(0,(1-R346/'01_설정'!B5))*'01_설정'!B14+MAX(0,(1-S346/'01_설정'!B6))*'01_설정'!B15+MAX(0,(1-T346/'01_설정'!B7))*'01_설정'!B16+MAX(0,(1-U346/'01_설정'!B8))*'01_설정'!B17+O346*'01_설정'!B11+Q346*'01_설정'!B12+P346*'01_설정'!B13+IF(Z346="",0,Z346))</f>
        <v/>
      </c>
      <c r="X346" s="152">
        <f>IF(W346="","",1+COUNTIFS($W$4:$W$3003,"&gt;"&amp;W346)+COUNTIFS($W$4:W346,W346)-1)</f>
        <v/>
      </c>
      <c r="Y346" s="175">
        <f>IF(OR(I346="",'02_대상물건입력'!B19="",'02_대상물건입력'!B19&lt;=0),"",ABS(I346-'02_대상물건입력'!B19)/'02_대상물건입력'!B19)</f>
        <v/>
      </c>
      <c r="Z346" s="172">
        <f>IF(OR(Y346="",'01_설정'!B31="",'01_설정'!B31&lt;=0,'01_설정'!B32="",'01_설정'!B32&lt;=0),"",MAX(0,(1-Y346/'01_설정'!B32))*'01_설정'!B31)</f>
        <v/>
      </c>
    </row>
    <row r="347" ht="17.25" customHeight="1">
      <c r="A347" s="152">
        <f>IF(INDEX('04A_국토부원자료'!$A:$A,ROW()+1)="","",ROW()-3)</f>
        <v/>
      </c>
      <c r="B347" s="48">
        <f>IFERROR(INDEX('04A_국토부원자료'!$A:$T,ROW()+1,MATCH("시군구",'04A_국토부원자료'!$A$4:$T$4,0)),"")</f>
        <v/>
      </c>
      <c r="C347" s="48">
        <f>IF(B347="","",IFERROR(INDEX('04A_국토부원자료'!$A:$T,ROW()+1,MATCH("번지",'04A_국토부원자료'!$A$4:$T$4,0)),""))</f>
        <v/>
      </c>
      <c r="D347" s="48">
        <f>IF(B347="","",IF(Q347=1,'02_대상물건입력'!$B$8,IFERROR(INDEX('04A_국토부원자료'!$A:$T,ROW()+1,MATCH("단지명",'04A_국토부원자료'!$A$4:$T$4,0)),"")))</f>
        <v/>
      </c>
      <c r="E347" s="172">
        <f>IFERROR(VALUE(SUBSTITUTE(INDEX('04A_국토부원자료'!$A:$T,ROW()+1,MATCH("전용면적(㎡)",'04A_국토부원자료'!$A$4:$T$4,0)),",","")),"")</f>
        <v/>
      </c>
      <c r="F3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47" s="51">
        <f>IFERROR(VALUE(SUBSTITUTE(INDEX('04A_국토부원자료'!$A:$T,ROW()+1,MATCH("거래금액(만원)",'04A_국토부원자료'!$A$4:$T$4,0)),",","")),"")</f>
        <v/>
      </c>
      <c r="H347" s="174">
        <f>IF(G347="","",G347*10000)</f>
        <v/>
      </c>
      <c r="I347" s="174">
        <f>IFERROR(IF(AND(H347&gt;0,E347&gt;0),H347/E347,""),"")</f>
        <v/>
      </c>
      <c r="J347" s="152">
        <f>IFERROR(VALUE(SUBSTITUTE(INDEX('04A_국토부원자료'!$A:$T,ROW()+1,MATCH("층",'04A_국토부원자료'!$A$4:$T$4,0)),",","")),"")</f>
        <v/>
      </c>
      <c r="K347" s="152">
        <f>IFERROR(VALUE(SUBSTITUTE(INDEX('04A_국토부원자료'!$A:$T,ROW()+1,MATCH("건축년도",'04A_국토부원자료'!$A$4:$T$4,0)),",","")),"")</f>
        <v/>
      </c>
      <c r="L347" s="176">
        <f>IFERROR(INDEX('04A_국토부원자료'!$A:$T,ROW()+1,MATCH("도로명",'04A_국토부원자료'!$A$4:$T$4,0)),"")</f>
        <v/>
      </c>
      <c r="M347" s="48">
        <f>IFERROR(INDEX('04A_국토부원자료'!$A:$T,ROW()+1,MATCH("거래유형",'04A_국토부원자료'!$A$4:$T$4,0)),"")</f>
        <v/>
      </c>
      <c r="N347" s="152">
        <f>IF(B347="","",IF('02_대상물건입력'!B5="",1,IF(ISNUMBER(SEARCH('02_대상물건입력'!B5,B347)),1,0)))</f>
        <v/>
      </c>
      <c r="O347" s="152">
        <f>IF(B347="","",IF('02_대상물건입력'!B6="",1,IF(ISNUMBER(SEARCH('02_대상물건입력'!B6,B347)),1,0)))</f>
        <v/>
      </c>
      <c r="P347" s="152">
        <f>IF(L347="","",IF('02_대상물건입력'!B15="",0,IF(ISNUMBER(SEARCH('02_대상물건입력'!B15,L347)),1,0)))</f>
        <v/>
      </c>
      <c r="Q347" s="152">
        <f>IF(OR(C347="",L347=""),0,IF(AND(TRIM(C347)=TRIM(RIGHT(SUBSTITUTE(TRIM('02_대상물건입력'!$B$7)," ",REPT(" ",99)),99)),IF('02_대상물건입력'!B15="",TRUE(),ISNUMBER(SEARCH('02_대상물건입력'!B15,L347)))),1,0))</f>
        <v/>
      </c>
      <c r="R347" s="175">
        <f>IFERROR(ABS(E347-'02_대상물건입력'!B11)/'02_대상물건입력'!B11,"")</f>
        <v/>
      </c>
      <c r="S347" s="152">
        <f>IFERROR(ABS(J347-'02_대상물건입력'!B10),"")</f>
        <v/>
      </c>
      <c r="T347" s="152">
        <f>IFERROR(ABS('01_설정'!B4-F347),"")</f>
        <v/>
      </c>
      <c r="U347" s="152">
        <f>IFERROR(ABS(K347-YEAR('02_대상물건입력'!B14)),"")</f>
        <v/>
      </c>
      <c r="V347" s="152">
        <f>IF(B347="","",IF(AND(E347&gt;0,F347&gt;0,H347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347=1,TRUE()),R347&lt;='01_설정'!B5,S347&lt;='01_설정'!B6,T347&lt;='01_설정'!B7,U347&lt;='01_설정'!B8),"Y",""))</f>
        <v/>
      </c>
      <c r="W347" s="172">
        <f>IF(V347&lt;&gt;"Y","",MAX(0,(1-R347/'01_설정'!B5))*'01_설정'!B14+MAX(0,(1-S347/'01_설정'!B6))*'01_설정'!B15+MAX(0,(1-T347/'01_설정'!B7))*'01_설정'!B16+MAX(0,(1-U347/'01_설정'!B8))*'01_설정'!B17+O347*'01_설정'!B11+Q347*'01_설정'!B12+P347*'01_설정'!B13+IF(Z347="",0,Z347))</f>
        <v/>
      </c>
      <c r="X347" s="152">
        <f>IF(W347="","",1+COUNTIFS($W$4:$W$3003,"&gt;"&amp;W347)+COUNTIFS($W$4:W347,W347)-1)</f>
        <v/>
      </c>
      <c r="Y347" s="175">
        <f>IF(OR(I347="",'02_대상물건입력'!B19="",'02_대상물건입력'!B19&lt;=0),"",ABS(I347-'02_대상물건입력'!B19)/'02_대상물건입력'!B19)</f>
        <v/>
      </c>
      <c r="Z347" s="172">
        <f>IF(OR(Y347="",'01_설정'!B31="",'01_설정'!B31&lt;=0,'01_설정'!B32="",'01_설정'!B32&lt;=0),"",MAX(0,(1-Y347/'01_설정'!B32))*'01_설정'!B31)</f>
        <v/>
      </c>
    </row>
    <row r="348" ht="17.25" customHeight="1">
      <c r="A348" s="152">
        <f>IF(INDEX('04A_국토부원자료'!$A:$A,ROW()+1)="","",ROW()-3)</f>
        <v/>
      </c>
      <c r="B348" s="48">
        <f>IFERROR(INDEX('04A_국토부원자료'!$A:$T,ROW()+1,MATCH("시군구",'04A_국토부원자료'!$A$4:$T$4,0)),"")</f>
        <v/>
      </c>
      <c r="C348" s="48">
        <f>IF(B348="","",IFERROR(INDEX('04A_국토부원자료'!$A:$T,ROW()+1,MATCH("번지",'04A_국토부원자료'!$A$4:$T$4,0)),""))</f>
        <v/>
      </c>
      <c r="D348" s="48">
        <f>IF(B348="","",IF(Q348=1,'02_대상물건입력'!$B$8,IFERROR(INDEX('04A_국토부원자료'!$A:$T,ROW()+1,MATCH("단지명",'04A_국토부원자료'!$A$4:$T$4,0)),"")))</f>
        <v/>
      </c>
      <c r="E348" s="172">
        <f>IFERROR(VALUE(SUBSTITUTE(INDEX('04A_국토부원자료'!$A:$T,ROW()+1,MATCH("전용면적(㎡)",'04A_국토부원자료'!$A$4:$T$4,0)),",","")),"")</f>
        <v/>
      </c>
      <c r="F3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48" s="51">
        <f>IFERROR(VALUE(SUBSTITUTE(INDEX('04A_국토부원자료'!$A:$T,ROW()+1,MATCH("거래금액(만원)",'04A_국토부원자료'!$A$4:$T$4,0)),",","")),"")</f>
        <v/>
      </c>
      <c r="H348" s="174">
        <f>IF(G348="","",G348*10000)</f>
        <v/>
      </c>
      <c r="I348" s="174">
        <f>IFERROR(IF(AND(H348&gt;0,E348&gt;0),H348/E348,""),"")</f>
        <v/>
      </c>
      <c r="J348" s="152">
        <f>IFERROR(VALUE(SUBSTITUTE(INDEX('04A_국토부원자료'!$A:$T,ROW()+1,MATCH("층",'04A_국토부원자료'!$A$4:$T$4,0)),",","")),"")</f>
        <v/>
      </c>
      <c r="K348" s="152">
        <f>IFERROR(VALUE(SUBSTITUTE(INDEX('04A_국토부원자료'!$A:$T,ROW()+1,MATCH("건축년도",'04A_국토부원자료'!$A$4:$T$4,0)),",","")),"")</f>
        <v/>
      </c>
      <c r="L348" s="176">
        <f>IFERROR(INDEX('04A_국토부원자료'!$A:$T,ROW()+1,MATCH("도로명",'04A_국토부원자료'!$A$4:$T$4,0)),"")</f>
        <v/>
      </c>
      <c r="M348" s="48">
        <f>IFERROR(INDEX('04A_국토부원자료'!$A:$T,ROW()+1,MATCH("거래유형",'04A_국토부원자료'!$A$4:$T$4,0)),"")</f>
        <v/>
      </c>
      <c r="N348" s="152">
        <f>IF(B348="","",IF('02_대상물건입력'!B5="",1,IF(ISNUMBER(SEARCH('02_대상물건입력'!B5,B348)),1,0)))</f>
        <v/>
      </c>
      <c r="O348" s="152">
        <f>IF(B348="","",IF('02_대상물건입력'!B6="",1,IF(ISNUMBER(SEARCH('02_대상물건입력'!B6,B348)),1,0)))</f>
        <v/>
      </c>
      <c r="P348" s="152">
        <f>IF(L348="","",IF('02_대상물건입력'!B15="",0,IF(ISNUMBER(SEARCH('02_대상물건입력'!B15,L348)),1,0)))</f>
        <v/>
      </c>
      <c r="Q348" s="152">
        <f>IF(OR(C348="",L348=""),0,IF(AND(TRIM(C348)=TRIM(RIGHT(SUBSTITUTE(TRIM('02_대상물건입력'!$B$7)," ",REPT(" ",99)),99)),IF('02_대상물건입력'!B15="",TRUE(),ISNUMBER(SEARCH('02_대상물건입력'!B15,L348)))),1,0))</f>
        <v/>
      </c>
      <c r="R348" s="175">
        <f>IFERROR(ABS(E348-'02_대상물건입력'!B11)/'02_대상물건입력'!B11,"")</f>
        <v/>
      </c>
      <c r="S348" s="152">
        <f>IFERROR(ABS(J348-'02_대상물건입력'!B10),"")</f>
        <v/>
      </c>
      <c r="T348" s="152">
        <f>IFERROR(ABS('01_설정'!B4-F348),"")</f>
        <v/>
      </c>
      <c r="U348" s="152">
        <f>IFERROR(ABS(K348-YEAR('02_대상물건입력'!B14)),"")</f>
        <v/>
      </c>
      <c r="V348" s="152">
        <f>IF(B348="","",IF(AND(E348&gt;0,F348&gt;0,H348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348=1,TRUE()),R348&lt;='01_설정'!B5,S348&lt;='01_설정'!B6,T348&lt;='01_설정'!B7,U348&lt;='01_설정'!B8),"Y",""))</f>
        <v/>
      </c>
      <c r="W348" s="172">
        <f>IF(V348&lt;&gt;"Y","",MAX(0,(1-R348/'01_설정'!B5))*'01_설정'!B14+MAX(0,(1-S348/'01_설정'!B6))*'01_설정'!B15+MAX(0,(1-T348/'01_설정'!B7))*'01_설정'!B16+MAX(0,(1-U348/'01_설정'!B8))*'01_설정'!B17+O348*'01_설정'!B11+Q348*'01_설정'!B12+P348*'01_설정'!B13+IF(Z348="",0,Z348))</f>
        <v/>
      </c>
      <c r="X348" s="152">
        <f>IF(W348="","",1+COUNTIFS($W$4:$W$3003,"&gt;"&amp;W348)+COUNTIFS($W$4:W348,W348)-1)</f>
        <v/>
      </c>
      <c r="Y348" s="175">
        <f>IF(OR(I348="",'02_대상물건입력'!B19="",'02_대상물건입력'!B19&lt;=0),"",ABS(I348-'02_대상물건입력'!B19)/'02_대상물건입력'!B19)</f>
        <v/>
      </c>
      <c r="Z348" s="172">
        <f>IF(OR(Y348="",'01_설정'!B31="",'01_설정'!B31&lt;=0,'01_설정'!B32="",'01_설정'!B32&lt;=0),"",MAX(0,(1-Y348/'01_설정'!B32))*'01_설정'!B31)</f>
        <v/>
      </c>
    </row>
    <row r="349" ht="17.25" customHeight="1">
      <c r="A349" s="152">
        <f>IF(INDEX('04A_국토부원자료'!$A:$A,ROW()+1)="","",ROW()-3)</f>
        <v/>
      </c>
      <c r="B349" s="48">
        <f>IFERROR(INDEX('04A_국토부원자료'!$A:$T,ROW()+1,MATCH("시군구",'04A_국토부원자료'!$A$4:$T$4,0)),"")</f>
        <v/>
      </c>
      <c r="C349" s="48">
        <f>IF(B349="","",IFERROR(INDEX('04A_국토부원자료'!$A:$T,ROW()+1,MATCH("번지",'04A_국토부원자료'!$A$4:$T$4,0)),""))</f>
        <v/>
      </c>
      <c r="D349" s="48">
        <f>IF(B349="","",IF(Q349=1,'02_대상물건입력'!$B$8,IFERROR(INDEX('04A_국토부원자료'!$A:$T,ROW()+1,MATCH("단지명",'04A_국토부원자료'!$A$4:$T$4,0)),"")))</f>
        <v/>
      </c>
      <c r="E349" s="172">
        <f>IFERROR(VALUE(SUBSTITUTE(INDEX('04A_국토부원자료'!$A:$T,ROW()+1,MATCH("전용면적(㎡)",'04A_국토부원자료'!$A$4:$T$4,0)),",","")),"")</f>
        <v/>
      </c>
      <c r="F3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49" s="51">
        <f>IFERROR(VALUE(SUBSTITUTE(INDEX('04A_국토부원자료'!$A:$T,ROW()+1,MATCH("거래금액(만원)",'04A_국토부원자료'!$A$4:$T$4,0)),",","")),"")</f>
        <v/>
      </c>
      <c r="H349" s="174">
        <f>IF(G349="","",G349*10000)</f>
        <v/>
      </c>
      <c r="I349" s="174">
        <f>IFERROR(IF(AND(H349&gt;0,E349&gt;0),H349/E349,""),"")</f>
        <v/>
      </c>
      <c r="J349" s="152">
        <f>IFERROR(VALUE(SUBSTITUTE(INDEX('04A_국토부원자료'!$A:$T,ROW()+1,MATCH("층",'04A_국토부원자료'!$A$4:$T$4,0)),",","")),"")</f>
        <v/>
      </c>
      <c r="K349" s="152">
        <f>IFERROR(VALUE(SUBSTITUTE(INDEX('04A_국토부원자료'!$A:$T,ROW()+1,MATCH("건축년도",'04A_국토부원자료'!$A$4:$T$4,0)),",","")),"")</f>
        <v/>
      </c>
      <c r="L349" s="176">
        <f>IFERROR(INDEX('04A_국토부원자료'!$A:$T,ROW()+1,MATCH("도로명",'04A_국토부원자료'!$A$4:$T$4,0)),"")</f>
        <v/>
      </c>
      <c r="M349" s="48">
        <f>IFERROR(INDEX('04A_국토부원자료'!$A:$T,ROW()+1,MATCH("거래유형",'04A_국토부원자료'!$A$4:$T$4,0)),"")</f>
        <v/>
      </c>
      <c r="N349" s="152">
        <f>IF(B349="","",IF('02_대상물건입력'!B5="",1,IF(ISNUMBER(SEARCH('02_대상물건입력'!B5,B349)),1,0)))</f>
        <v/>
      </c>
      <c r="O349" s="152">
        <f>IF(B349="","",IF('02_대상물건입력'!B6="",1,IF(ISNUMBER(SEARCH('02_대상물건입력'!B6,B349)),1,0)))</f>
        <v/>
      </c>
      <c r="P349" s="152">
        <f>IF(L349="","",IF('02_대상물건입력'!B15="",0,IF(ISNUMBER(SEARCH('02_대상물건입력'!B15,L349)),1,0)))</f>
        <v/>
      </c>
      <c r="Q349" s="152">
        <f>IF(OR(C349="",L349=""),0,IF(AND(TRIM(C349)=TRIM(RIGHT(SUBSTITUTE(TRIM('02_대상물건입력'!$B$7)," ",REPT(" ",99)),99)),IF('02_대상물건입력'!B15="",TRUE(),ISNUMBER(SEARCH('02_대상물건입력'!B15,L349)))),1,0))</f>
        <v/>
      </c>
      <c r="R349" s="175">
        <f>IFERROR(ABS(E349-'02_대상물건입력'!B11)/'02_대상물건입력'!B11,"")</f>
        <v/>
      </c>
      <c r="S349" s="152">
        <f>IFERROR(ABS(J349-'02_대상물건입력'!B10),"")</f>
        <v/>
      </c>
      <c r="T349" s="152">
        <f>IFERROR(ABS('01_설정'!B4-F349),"")</f>
        <v/>
      </c>
      <c r="U349" s="152">
        <f>IFERROR(ABS(K349-YEAR('02_대상물건입력'!B14)),"")</f>
        <v/>
      </c>
      <c r="V349" s="152">
        <f>IF(B349="","",IF(AND(E349&gt;0,F349&gt;0,H349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349=1,TRUE()),R349&lt;='01_설정'!B5,S349&lt;='01_설정'!B6,T349&lt;='01_설정'!B7,U349&lt;='01_설정'!B8),"Y",""))</f>
        <v/>
      </c>
      <c r="W349" s="172">
        <f>IF(V349&lt;&gt;"Y","",MAX(0,(1-R349/'01_설정'!B5))*'01_설정'!B14+MAX(0,(1-S349/'01_설정'!B6))*'01_설정'!B15+MAX(0,(1-T349/'01_설정'!B7))*'01_설정'!B16+MAX(0,(1-U349/'01_설정'!B8))*'01_설정'!B17+O349*'01_설정'!B11+Q349*'01_설정'!B12+P349*'01_설정'!B13+IF(Z349="",0,Z349))</f>
        <v/>
      </c>
      <c r="X349" s="152">
        <f>IF(W349="","",1+COUNTIFS($W$4:$W$3003,"&gt;"&amp;W349)+COUNTIFS($W$4:W349,W349)-1)</f>
        <v/>
      </c>
      <c r="Y349" s="175">
        <f>IF(OR(I349="",'02_대상물건입력'!B19="",'02_대상물건입력'!B19&lt;=0),"",ABS(I349-'02_대상물건입력'!B19)/'02_대상물건입력'!B19)</f>
        <v/>
      </c>
      <c r="Z349" s="172">
        <f>IF(OR(Y349="",'01_설정'!B31="",'01_설정'!B31&lt;=0,'01_설정'!B32="",'01_설정'!B32&lt;=0),"",MAX(0,(1-Y349/'01_설정'!B32))*'01_설정'!B31)</f>
        <v/>
      </c>
    </row>
    <row r="350" ht="17.25" customHeight="1">
      <c r="A350" s="152">
        <f>IF(INDEX('04A_국토부원자료'!$A:$A,ROW()+1)="","",ROW()-3)</f>
        <v/>
      </c>
      <c r="B350" s="48">
        <f>IFERROR(INDEX('04A_국토부원자료'!$A:$T,ROW()+1,MATCH("시군구",'04A_국토부원자료'!$A$4:$T$4,0)),"")</f>
        <v/>
      </c>
      <c r="C350" s="48">
        <f>IF(B350="","",IFERROR(INDEX('04A_국토부원자료'!$A:$T,ROW()+1,MATCH("번지",'04A_국토부원자료'!$A$4:$T$4,0)),""))</f>
        <v/>
      </c>
      <c r="D350" s="48">
        <f>IF(B350="","",IF(Q350=1,'02_대상물건입력'!$B$8,IFERROR(INDEX('04A_국토부원자료'!$A:$T,ROW()+1,MATCH("단지명",'04A_국토부원자료'!$A$4:$T$4,0)),"")))</f>
        <v/>
      </c>
      <c r="E350" s="172">
        <f>IFERROR(VALUE(SUBSTITUTE(INDEX('04A_국토부원자료'!$A:$T,ROW()+1,MATCH("전용면적(㎡)",'04A_국토부원자료'!$A$4:$T$4,0)),",","")),"")</f>
        <v/>
      </c>
      <c r="F3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50" s="51">
        <f>IFERROR(VALUE(SUBSTITUTE(INDEX('04A_국토부원자료'!$A:$T,ROW()+1,MATCH("거래금액(만원)",'04A_국토부원자료'!$A$4:$T$4,0)),",","")),"")</f>
        <v/>
      </c>
      <c r="H350" s="174">
        <f>IF(G350="","",G350*10000)</f>
        <v/>
      </c>
      <c r="I350" s="174">
        <f>IFERROR(IF(AND(H350&gt;0,E350&gt;0),H350/E350,""),"")</f>
        <v/>
      </c>
      <c r="J350" s="152">
        <f>IFERROR(VALUE(SUBSTITUTE(INDEX('04A_국토부원자료'!$A:$T,ROW()+1,MATCH("층",'04A_국토부원자료'!$A$4:$T$4,0)),",","")),"")</f>
        <v/>
      </c>
      <c r="K350" s="152">
        <f>IFERROR(VALUE(SUBSTITUTE(INDEX('04A_국토부원자료'!$A:$T,ROW()+1,MATCH("건축년도",'04A_국토부원자료'!$A$4:$T$4,0)),",","")),"")</f>
        <v/>
      </c>
      <c r="L350" s="176">
        <f>IFERROR(INDEX('04A_국토부원자료'!$A:$T,ROW()+1,MATCH("도로명",'04A_국토부원자료'!$A$4:$T$4,0)),"")</f>
        <v/>
      </c>
      <c r="M350" s="48">
        <f>IFERROR(INDEX('04A_국토부원자료'!$A:$T,ROW()+1,MATCH("거래유형",'04A_국토부원자료'!$A$4:$T$4,0)),"")</f>
        <v/>
      </c>
      <c r="N350" s="152">
        <f>IF(B350="","",IF('02_대상물건입력'!B5="",1,IF(ISNUMBER(SEARCH('02_대상물건입력'!B5,B350)),1,0)))</f>
        <v/>
      </c>
      <c r="O350" s="152">
        <f>IF(B350="","",IF('02_대상물건입력'!B6="",1,IF(ISNUMBER(SEARCH('02_대상물건입력'!B6,B350)),1,0)))</f>
        <v/>
      </c>
      <c r="P350" s="152">
        <f>IF(L350="","",IF('02_대상물건입력'!B15="",0,IF(ISNUMBER(SEARCH('02_대상물건입력'!B15,L350)),1,0)))</f>
        <v/>
      </c>
      <c r="Q350" s="152">
        <f>IF(OR(C350="",L350=""),0,IF(AND(TRIM(C350)=TRIM(RIGHT(SUBSTITUTE(TRIM('02_대상물건입력'!$B$7)," ",REPT(" ",99)),99)),IF('02_대상물건입력'!B15="",TRUE(),ISNUMBER(SEARCH('02_대상물건입력'!B15,L350)))),1,0))</f>
        <v/>
      </c>
      <c r="R350" s="175">
        <f>IFERROR(ABS(E350-'02_대상물건입력'!B11)/'02_대상물건입력'!B11,"")</f>
        <v/>
      </c>
      <c r="S350" s="152">
        <f>IFERROR(ABS(J350-'02_대상물건입력'!B10),"")</f>
        <v/>
      </c>
      <c r="T350" s="152">
        <f>IFERROR(ABS('01_설정'!B4-F350),"")</f>
        <v/>
      </c>
      <c r="U350" s="152">
        <f>IFERROR(ABS(K350-YEAR('02_대상물건입력'!B14)),"")</f>
        <v/>
      </c>
      <c r="V350" s="152">
        <f>IF(B350="","",IF(AND(E350&gt;0,F350&gt;0,H350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350=1,TRUE()),R350&lt;='01_설정'!B5,S350&lt;='01_설정'!B6,T350&lt;='01_설정'!B7,U350&lt;='01_설정'!B8),"Y",""))</f>
        <v/>
      </c>
      <c r="W350" s="172">
        <f>IF(V350&lt;&gt;"Y","",MAX(0,(1-R350/'01_설정'!B5))*'01_설정'!B14+MAX(0,(1-S350/'01_설정'!B6))*'01_설정'!B15+MAX(0,(1-T350/'01_설정'!B7))*'01_설정'!B16+MAX(0,(1-U350/'01_설정'!B8))*'01_설정'!B17+O350*'01_설정'!B11+Q350*'01_설정'!B12+P350*'01_설정'!B13+IF(Z350="",0,Z350))</f>
        <v/>
      </c>
      <c r="X350" s="152">
        <f>IF(W350="","",1+COUNTIFS($W$4:$W$3003,"&gt;"&amp;W350)+COUNTIFS($W$4:W350,W350)-1)</f>
        <v/>
      </c>
      <c r="Y350" s="175">
        <f>IF(OR(I350="",'02_대상물건입력'!B19="",'02_대상물건입력'!B19&lt;=0),"",ABS(I350-'02_대상물건입력'!B19)/'02_대상물건입력'!B19)</f>
        <v/>
      </c>
      <c r="Z350" s="172">
        <f>IF(OR(Y350="",'01_설정'!B31="",'01_설정'!B31&lt;=0,'01_설정'!B32="",'01_설정'!B32&lt;=0),"",MAX(0,(1-Y350/'01_설정'!B32))*'01_설정'!B31)</f>
        <v/>
      </c>
    </row>
    <row r="351" ht="17.25" customHeight="1">
      <c r="A351" s="152">
        <f>IF(INDEX('04A_국토부원자료'!$A:$A,ROW()+1)="","",ROW()-3)</f>
        <v/>
      </c>
      <c r="B351" s="48">
        <f>IFERROR(INDEX('04A_국토부원자료'!$A:$T,ROW()+1,MATCH("시군구",'04A_국토부원자료'!$A$4:$T$4,0)),"")</f>
        <v/>
      </c>
      <c r="C351" s="48">
        <f>IF(B351="","",IFERROR(INDEX('04A_국토부원자료'!$A:$T,ROW()+1,MATCH("번지",'04A_국토부원자료'!$A$4:$T$4,0)),""))</f>
        <v/>
      </c>
      <c r="D351" s="48">
        <f>IF(B351="","",IF(Q351=1,'02_대상물건입력'!$B$8,IFERROR(INDEX('04A_국토부원자료'!$A:$T,ROW()+1,MATCH("단지명",'04A_국토부원자료'!$A$4:$T$4,0)),"")))</f>
        <v/>
      </c>
      <c r="E351" s="172">
        <f>IFERROR(VALUE(SUBSTITUTE(INDEX('04A_국토부원자료'!$A:$T,ROW()+1,MATCH("전용면적(㎡)",'04A_국토부원자료'!$A$4:$T$4,0)),",","")),"")</f>
        <v/>
      </c>
      <c r="F3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51" s="51">
        <f>IFERROR(VALUE(SUBSTITUTE(INDEX('04A_국토부원자료'!$A:$T,ROW()+1,MATCH("거래금액(만원)",'04A_국토부원자료'!$A$4:$T$4,0)),",","")),"")</f>
        <v/>
      </c>
      <c r="H351" s="174">
        <f>IF(G351="","",G351*10000)</f>
        <v/>
      </c>
      <c r="I351" s="174">
        <f>IFERROR(IF(AND(H351&gt;0,E351&gt;0),H351/E351,""),"")</f>
        <v/>
      </c>
      <c r="J351" s="152">
        <f>IFERROR(VALUE(SUBSTITUTE(INDEX('04A_국토부원자료'!$A:$T,ROW()+1,MATCH("층",'04A_국토부원자료'!$A$4:$T$4,0)),",","")),"")</f>
        <v/>
      </c>
      <c r="K351" s="152">
        <f>IFERROR(VALUE(SUBSTITUTE(INDEX('04A_국토부원자료'!$A:$T,ROW()+1,MATCH("건축년도",'04A_국토부원자료'!$A$4:$T$4,0)),",","")),"")</f>
        <v/>
      </c>
      <c r="L351" s="176">
        <f>IFERROR(INDEX('04A_국토부원자료'!$A:$T,ROW()+1,MATCH("도로명",'04A_국토부원자료'!$A$4:$T$4,0)),"")</f>
        <v/>
      </c>
      <c r="M351" s="48">
        <f>IFERROR(INDEX('04A_국토부원자료'!$A:$T,ROW()+1,MATCH("거래유형",'04A_국토부원자료'!$A$4:$T$4,0)),"")</f>
        <v/>
      </c>
      <c r="N351" s="152">
        <f>IF(B351="","",IF('02_대상물건입력'!B5="",1,IF(ISNUMBER(SEARCH('02_대상물건입력'!B5,B351)),1,0)))</f>
        <v/>
      </c>
      <c r="O351" s="152">
        <f>IF(B351="","",IF('02_대상물건입력'!B6="",1,IF(ISNUMBER(SEARCH('02_대상물건입력'!B6,B351)),1,0)))</f>
        <v/>
      </c>
      <c r="P351" s="152">
        <f>IF(L351="","",IF('02_대상물건입력'!B15="",0,IF(ISNUMBER(SEARCH('02_대상물건입력'!B15,L351)),1,0)))</f>
        <v/>
      </c>
      <c r="Q351" s="152">
        <f>IF(OR(C351="",L351=""),0,IF(AND(TRIM(C351)=TRIM(RIGHT(SUBSTITUTE(TRIM('02_대상물건입력'!$B$7)," ",REPT(" ",99)),99)),IF('02_대상물건입력'!B15="",TRUE(),ISNUMBER(SEARCH('02_대상물건입력'!B15,L351)))),1,0))</f>
        <v/>
      </c>
      <c r="R351" s="175">
        <f>IFERROR(ABS(E351-'02_대상물건입력'!B11)/'02_대상물건입력'!B11,"")</f>
        <v/>
      </c>
      <c r="S351" s="152">
        <f>IFERROR(ABS(J351-'02_대상물건입력'!B10),"")</f>
        <v/>
      </c>
      <c r="T351" s="152">
        <f>IFERROR(ABS('01_설정'!B4-F351),"")</f>
        <v/>
      </c>
      <c r="U351" s="152">
        <f>IFERROR(ABS(K351-YEAR('02_대상물건입력'!B14)),"")</f>
        <v/>
      </c>
      <c r="V351" s="152">
        <f>IF(B351="","",IF(AND(E351&gt;0,F351&gt;0,H351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351=1,TRUE()),R351&lt;='01_설정'!B5,S351&lt;='01_설정'!B6,T351&lt;='01_설정'!B7,U351&lt;='01_설정'!B8),"Y",""))</f>
        <v/>
      </c>
      <c r="W351" s="172">
        <f>IF(V351&lt;&gt;"Y","",MAX(0,(1-R351/'01_설정'!B5))*'01_설정'!B14+MAX(0,(1-S351/'01_설정'!B6))*'01_설정'!B15+MAX(0,(1-T351/'01_설정'!B7))*'01_설정'!B16+MAX(0,(1-U351/'01_설정'!B8))*'01_설정'!B17+O351*'01_설정'!B11+Q351*'01_설정'!B12+P351*'01_설정'!B13+IF(Z351="",0,Z351))</f>
        <v/>
      </c>
      <c r="X351" s="152">
        <f>IF(W351="","",1+COUNTIFS($W$4:$W$3003,"&gt;"&amp;W351)+COUNTIFS($W$4:W351,W351)-1)</f>
        <v/>
      </c>
      <c r="Y351" s="175">
        <f>IF(OR(I351="",'02_대상물건입력'!B19="",'02_대상물건입력'!B19&lt;=0),"",ABS(I351-'02_대상물건입력'!B19)/'02_대상물건입력'!B19)</f>
        <v/>
      </c>
      <c r="Z351" s="172">
        <f>IF(OR(Y351="",'01_설정'!B31="",'01_설정'!B31&lt;=0,'01_설정'!B32="",'01_설정'!B32&lt;=0),"",MAX(0,(1-Y351/'01_설정'!B32))*'01_설정'!B31)</f>
        <v/>
      </c>
    </row>
    <row r="352" ht="17.25" customHeight="1">
      <c r="A352" s="152">
        <f>IF(INDEX('04A_국토부원자료'!$A:$A,ROW()+1)="","",ROW()-3)</f>
        <v/>
      </c>
      <c r="B352" s="48">
        <f>IFERROR(INDEX('04A_국토부원자료'!$A:$T,ROW()+1,MATCH("시군구",'04A_국토부원자료'!$A$4:$T$4,0)),"")</f>
        <v/>
      </c>
      <c r="C352" s="48">
        <f>IF(B352="","",IFERROR(INDEX('04A_국토부원자료'!$A:$T,ROW()+1,MATCH("번지",'04A_국토부원자료'!$A$4:$T$4,0)),""))</f>
        <v/>
      </c>
      <c r="D352" s="48">
        <f>IF(B352="","",IF(Q352=1,'02_대상물건입력'!$B$8,IFERROR(INDEX('04A_국토부원자료'!$A:$T,ROW()+1,MATCH("단지명",'04A_국토부원자료'!$A$4:$T$4,0)),"")))</f>
        <v/>
      </c>
      <c r="E352" s="172">
        <f>IFERROR(VALUE(SUBSTITUTE(INDEX('04A_국토부원자료'!$A:$T,ROW()+1,MATCH("전용면적(㎡)",'04A_국토부원자료'!$A$4:$T$4,0)),",","")),"")</f>
        <v/>
      </c>
      <c r="F3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52" s="51">
        <f>IFERROR(VALUE(SUBSTITUTE(INDEX('04A_국토부원자료'!$A:$T,ROW()+1,MATCH("거래금액(만원)",'04A_국토부원자료'!$A$4:$T$4,0)),",","")),"")</f>
        <v/>
      </c>
      <c r="H352" s="174">
        <f>IF(G352="","",G352*10000)</f>
        <v/>
      </c>
      <c r="I352" s="174">
        <f>IFERROR(IF(AND(H352&gt;0,E352&gt;0),H352/E352,""),"")</f>
        <v/>
      </c>
      <c r="J352" s="152">
        <f>IFERROR(VALUE(SUBSTITUTE(INDEX('04A_국토부원자료'!$A:$T,ROW()+1,MATCH("층",'04A_국토부원자료'!$A$4:$T$4,0)),",","")),"")</f>
        <v/>
      </c>
      <c r="K352" s="152">
        <f>IFERROR(VALUE(SUBSTITUTE(INDEX('04A_국토부원자료'!$A:$T,ROW()+1,MATCH("건축년도",'04A_국토부원자료'!$A$4:$T$4,0)),",","")),"")</f>
        <v/>
      </c>
      <c r="L352" s="176">
        <f>IFERROR(INDEX('04A_국토부원자료'!$A:$T,ROW()+1,MATCH("도로명",'04A_국토부원자료'!$A$4:$T$4,0)),"")</f>
        <v/>
      </c>
      <c r="M352" s="48">
        <f>IFERROR(INDEX('04A_국토부원자료'!$A:$T,ROW()+1,MATCH("거래유형",'04A_국토부원자료'!$A$4:$T$4,0)),"")</f>
        <v/>
      </c>
      <c r="N352" s="152">
        <f>IF(B352="","",IF('02_대상물건입력'!B5="",1,IF(ISNUMBER(SEARCH('02_대상물건입력'!B5,B352)),1,0)))</f>
        <v/>
      </c>
      <c r="O352" s="152">
        <f>IF(B352="","",IF('02_대상물건입력'!B6="",1,IF(ISNUMBER(SEARCH('02_대상물건입력'!B6,B352)),1,0)))</f>
        <v/>
      </c>
      <c r="P352" s="152">
        <f>IF(L352="","",IF('02_대상물건입력'!B15="",0,IF(ISNUMBER(SEARCH('02_대상물건입력'!B15,L352)),1,0)))</f>
        <v/>
      </c>
      <c r="Q352" s="152">
        <f>IF(OR(C352="",L352=""),0,IF(AND(TRIM(C352)=TRIM(RIGHT(SUBSTITUTE(TRIM('02_대상물건입력'!$B$7)," ",REPT(" ",99)),99)),IF('02_대상물건입력'!B15="",TRUE(),ISNUMBER(SEARCH('02_대상물건입력'!B15,L352)))),1,0))</f>
        <v/>
      </c>
      <c r="R352" s="175">
        <f>IFERROR(ABS(E352-'02_대상물건입력'!B11)/'02_대상물건입력'!B11,"")</f>
        <v/>
      </c>
      <c r="S352" s="152">
        <f>IFERROR(ABS(J352-'02_대상물건입력'!B10),"")</f>
        <v/>
      </c>
      <c r="T352" s="152">
        <f>IFERROR(ABS('01_설정'!B4-F352),"")</f>
        <v/>
      </c>
      <c r="U352" s="152">
        <f>IFERROR(ABS(K352-YEAR('02_대상물건입력'!B14)),"")</f>
        <v/>
      </c>
      <c r="V352" s="152">
        <f>IF(B352="","",IF(AND(E352&gt;0,F352&gt;0,H352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352=1,TRUE()),R352&lt;='01_설정'!B5,S352&lt;='01_설정'!B6,T352&lt;='01_설정'!B7,U352&lt;='01_설정'!B8),"Y",""))</f>
        <v/>
      </c>
      <c r="W352" s="172">
        <f>IF(V352&lt;&gt;"Y","",MAX(0,(1-R352/'01_설정'!B5))*'01_설정'!B14+MAX(0,(1-S352/'01_설정'!B6))*'01_설정'!B15+MAX(0,(1-T352/'01_설정'!B7))*'01_설정'!B16+MAX(0,(1-U352/'01_설정'!B8))*'01_설정'!B17+O352*'01_설정'!B11+Q352*'01_설정'!B12+P352*'01_설정'!B13+IF(Z352="",0,Z352))</f>
        <v/>
      </c>
      <c r="X352" s="152">
        <f>IF(W352="","",1+COUNTIFS($W$4:$W$3003,"&gt;"&amp;W352)+COUNTIFS($W$4:W352,W352)-1)</f>
        <v/>
      </c>
      <c r="Y352" s="175">
        <f>IF(OR(I352="",'02_대상물건입력'!B19="",'02_대상물건입력'!B19&lt;=0),"",ABS(I352-'02_대상물건입력'!B19)/'02_대상물건입력'!B19)</f>
        <v/>
      </c>
      <c r="Z352" s="172">
        <f>IF(OR(Y352="",'01_설정'!B31="",'01_설정'!B31&lt;=0,'01_설정'!B32="",'01_설정'!B32&lt;=0),"",MAX(0,(1-Y352/'01_설정'!B32))*'01_설정'!B31)</f>
        <v/>
      </c>
    </row>
    <row r="353" ht="17.25" customHeight="1">
      <c r="A353" s="152">
        <f>IF(INDEX('04A_국토부원자료'!$A:$A,ROW()+1)="","",ROW()-3)</f>
        <v/>
      </c>
      <c r="B353" s="48">
        <f>IFERROR(INDEX('04A_국토부원자료'!$A:$T,ROW()+1,MATCH("시군구",'04A_국토부원자료'!$A$4:$T$4,0)),"")</f>
        <v/>
      </c>
      <c r="C353" s="48">
        <f>IF(B353="","",IFERROR(INDEX('04A_국토부원자료'!$A:$T,ROW()+1,MATCH("번지",'04A_국토부원자료'!$A$4:$T$4,0)),""))</f>
        <v/>
      </c>
      <c r="D353" s="48">
        <f>IF(B353="","",IF(Q353=1,'02_대상물건입력'!$B$8,IFERROR(INDEX('04A_국토부원자료'!$A:$T,ROW()+1,MATCH("단지명",'04A_국토부원자료'!$A$4:$T$4,0)),"")))</f>
        <v/>
      </c>
      <c r="E353" s="172">
        <f>IFERROR(VALUE(SUBSTITUTE(INDEX('04A_국토부원자료'!$A:$T,ROW()+1,MATCH("전용면적(㎡)",'04A_국토부원자료'!$A$4:$T$4,0)),",","")),"")</f>
        <v/>
      </c>
      <c r="F3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53" s="51">
        <f>IFERROR(VALUE(SUBSTITUTE(INDEX('04A_국토부원자료'!$A:$T,ROW()+1,MATCH("거래금액(만원)",'04A_국토부원자료'!$A$4:$T$4,0)),",","")),"")</f>
        <v/>
      </c>
      <c r="H353" s="174">
        <f>IF(G353="","",G353*10000)</f>
        <v/>
      </c>
      <c r="I353" s="174">
        <f>IFERROR(IF(AND(H353&gt;0,E353&gt;0),H353/E353,""),"")</f>
        <v/>
      </c>
      <c r="J353" s="152">
        <f>IFERROR(VALUE(SUBSTITUTE(INDEX('04A_국토부원자료'!$A:$T,ROW()+1,MATCH("층",'04A_국토부원자료'!$A$4:$T$4,0)),",","")),"")</f>
        <v/>
      </c>
      <c r="K353" s="152">
        <f>IFERROR(VALUE(SUBSTITUTE(INDEX('04A_국토부원자료'!$A:$T,ROW()+1,MATCH("건축년도",'04A_국토부원자료'!$A$4:$T$4,0)),",","")),"")</f>
        <v/>
      </c>
      <c r="L353" s="176">
        <f>IFERROR(INDEX('04A_국토부원자료'!$A:$T,ROW()+1,MATCH("도로명",'04A_국토부원자료'!$A$4:$T$4,0)),"")</f>
        <v/>
      </c>
      <c r="M353" s="48">
        <f>IFERROR(INDEX('04A_국토부원자료'!$A:$T,ROW()+1,MATCH("거래유형",'04A_국토부원자료'!$A$4:$T$4,0)),"")</f>
        <v/>
      </c>
      <c r="N353" s="152">
        <f>IF(B353="","",IF('02_대상물건입력'!B5="",1,IF(ISNUMBER(SEARCH('02_대상물건입력'!B5,B353)),1,0)))</f>
        <v/>
      </c>
      <c r="O353" s="152">
        <f>IF(B353="","",IF('02_대상물건입력'!B6="",1,IF(ISNUMBER(SEARCH('02_대상물건입력'!B6,B353)),1,0)))</f>
        <v/>
      </c>
      <c r="P353" s="152">
        <f>IF(L353="","",IF('02_대상물건입력'!B15="",0,IF(ISNUMBER(SEARCH('02_대상물건입력'!B15,L353)),1,0)))</f>
        <v/>
      </c>
      <c r="Q353" s="152">
        <f>IF(OR(C353="",L353=""),0,IF(AND(TRIM(C353)=TRIM(RIGHT(SUBSTITUTE(TRIM('02_대상물건입력'!$B$7)," ",REPT(" ",99)),99)),IF('02_대상물건입력'!B15="",TRUE(),ISNUMBER(SEARCH('02_대상물건입력'!B15,L353)))),1,0))</f>
        <v/>
      </c>
      <c r="R353" s="175">
        <f>IFERROR(ABS(E353-'02_대상물건입력'!B11)/'02_대상물건입력'!B11,"")</f>
        <v/>
      </c>
      <c r="S353" s="152">
        <f>IFERROR(ABS(J353-'02_대상물건입력'!B10),"")</f>
        <v/>
      </c>
      <c r="T353" s="152">
        <f>IFERROR(ABS('01_설정'!B4-F353),"")</f>
        <v/>
      </c>
      <c r="U353" s="152">
        <f>IFERROR(ABS(K353-YEAR('02_대상물건입력'!B14)),"")</f>
        <v/>
      </c>
      <c r="V353" s="152">
        <f>IF(B353="","",IF(AND(E353&gt;0,F353&gt;0,H353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353=1,TRUE()),R353&lt;='01_설정'!B5,S353&lt;='01_설정'!B6,T353&lt;='01_설정'!B7,U353&lt;='01_설정'!B8),"Y",""))</f>
        <v/>
      </c>
      <c r="W353" s="172">
        <f>IF(V353&lt;&gt;"Y","",MAX(0,(1-R353/'01_설정'!B5))*'01_설정'!B14+MAX(0,(1-S353/'01_설정'!B6))*'01_설정'!B15+MAX(0,(1-T353/'01_설정'!B7))*'01_설정'!B16+MAX(0,(1-U353/'01_설정'!B8))*'01_설정'!B17+O353*'01_설정'!B11+Q353*'01_설정'!B12+P353*'01_설정'!B13+IF(Z353="",0,Z353))</f>
        <v/>
      </c>
      <c r="X353" s="152">
        <f>IF(W353="","",1+COUNTIFS($W$4:$W$3003,"&gt;"&amp;W353)+COUNTIFS($W$4:W353,W353)-1)</f>
        <v/>
      </c>
      <c r="Y353" s="175">
        <f>IF(OR(I353="",'02_대상물건입력'!B19="",'02_대상물건입력'!B19&lt;=0),"",ABS(I353-'02_대상물건입력'!B19)/'02_대상물건입력'!B19)</f>
        <v/>
      </c>
      <c r="Z353" s="172">
        <f>IF(OR(Y353="",'01_설정'!B31="",'01_설정'!B31&lt;=0,'01_설정'!B32="",'01_설정'!B32&lt;=0),"",MAX(0,(1-Y353/'01_설정'!B32))*'01_설정'!B31)</f>
        <v/>
      </c>
    </row>
    <row r="354" ht="17.25" customHeight="1">
      <c r="A354" s="152">
        <f>IF(INDEX('04A_국토부원자료'!$A:$A,ROW()+1)="","",ROW()-3)</f>
        <v/>
      </c>
      <c r="B354" s="48">
        <f>IFERROR(INDEX('04A_국토부원자료'!$A:$T,ROW()+1,MATCH("시군구",'04A_국토부원자료'!$A$4:$T$4,0)),"")</f>
        <v/>
      </c>
      <c r="C354" s="48">
        <f>IF(B354="","",IFERROR(INDEX('04A_국토부원자료'!$A:$T,ROW()+1,MATCH("번지",'04A_국토부원자료'!$A$4:$T$4,0)),""))</f>
        <v/>
      </c>
      <c r="D354" s="48">
        <f>IF(B354="","",IF(Q354=1,'02_대상물건입력'!$B$8,IFERROR(INDEX('04A_국토부원자료'!$A:$T,ROW()+1,MATCH("단지명",'04A_국토부원자료'!$A$4:$T$4,0)),"")))</f>
        <v/>
      </c>
      <c r="E354" s="172">
        <f>IFERROR(VALUE(SUBSTITUTE(INDEX('04A_국토부원자료'!$A:$T,ROW()+1,MATCH("전용면적(㎡)",'04A_국토부원자료'!$A$4:$T$4,0)),",","")),"")</f>
        <v/>
      </c>
      <c r="F3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54" s="51">
        <f>IFERROR(VALUE(SUBSTITUTE(INDEX('04A_국토부원자료'!$A:$T,ROW()+1,MATCH("거래금액(만원)",'04A_국토부원자료'!$A$4:$T$4,0)),",","")),"")</f>
        <v/>
      </c>
      <c r="H354" s="174">
        <f>IF(G354="","",G354*10000)</f>
        <v/>
      </c>
      <c r="I354" s="174">
        <f>IFERROR(IF(AND(H354&gt;0,E354&gt;0),H354/E354,""),"")</f>
        <v/>
      </c>
      <c r="J354" s="152">
        <f>IFERROR(VALUE(SUBSTITUTE(INDEX('04A_국토부원자료'!$A:$T,ROW()+1,MATCH("층",'04A_국토부원자료'!$A$4:$T$4,0)),",","")),"")</f>
        <v/>
      </c>
      <c r="K354" s="152">
        <f>IFERROR(VALUE(SUBSTITUTE(INDEX('04A_국토부원자료'!$A:$T,ROW()+1,MATCH("건축년도",'04A_국토부원자료'!$A$4:$T$4,0)),",","")),"")</f>
        <v/>
      </c>
      <c r="L354" s="176">
        <f>IFERROR(INDEX('04A_국토부원자료'!$A:$T,ROW()+1,MATCH("도로명",'04A_국토부원자료'!$A$4:$T$4,0)),"")</f>
        <v/>
      </c>
      <c r="M354" s="48">
        <f>IFERROR(INDEX('04A_국토부원자료'!$A:$T,ROW()+1,MATCH("거래유형",'04A_국토부원자료'!$A$4:$T$4,0)),"")</f>
        <v/>
      </c>
      <c r="N354" s="152">
        <f>IF(B354="","",IF('02_대상물건입력'!B5="",1,IF(ISNUMBER(SEARCH('02_대상물건입력'!B5,B354)),1,0)))</f>
        <v/>
      </c>
      <c r="O354" s="152">
        <f>IF(B354="","",IF('02_대상물건입력'!B6="",1,IF(ISNUMBER(SEARCH('02_대상물건입력'!B6,B354)),1,0)))</f>
        <v/>
      </c>
      <c r="P354" s="152">
        <f>IF(L354="","",IF('02_대상물건입력'!B15="",0,IF(ISNUMBER(SEARCH('02_대상물건입력'!B15,L354)),1,0)))</f>
        <v/>
      </c>
      <c r="Q354" s="152">
        <f>IF(OR(C354="",L354=""),0,IF(AND(TRIM(C354)=TRIM(RIGHT(SUBSTITUTE(TRIM('02_대상물건입력'!$B$7)," ",REPT(" ",99)),99)),IF('02_대상물건입력'!B15="",TRUE(),ISNUMBER(SEARCH('02_대상물건입력'!B15,L354)))),1,0))</f>
        <v/>
      </c>
      <c r="R354" s="175">
        <f>IFERROR(ABS(E354-'02_대상물건입력'!B11)/'02_대상물건입력'!B11,"")</f>
        <v/>
      </c>
      <c r="S354" s="152">
        <f>IFERROR(ABS(J354-'02_대상물건입력'!B10),"")</f>
        <v/>
      </c>
      <c r="T354" s="152">
        <f>IFERROR(ABS('01_설정'!B4-F354),"")</f>
        <v/>
      </c>
      <c r="U354" s="152">
        <f>IFERROR(ABS(K354-YEAR('02_대상물건입력'!B14)),"")</f>
        <v/>
      </c>
      <c r="V354" s="152">
        <f>IF(B354="","",IF(AND(E354&gt;0,F354&gt;0,H354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354=1,TRUE()),R354&lt;='01_설정'!B5,S354&lt;='01_설정'!B6,T354&lt;='01_설정'!B7,U354&lt;='01_설정'!B8),"Y",""))</f>
        <v/>
      </c>
      <c r="W354" s="172">
        <f>IF(V354&lt;&gt;"Y","",MAX(0,(1-R354/'01_설정'!B5))*'01_설정'!B14+MAX(0,(1-S354/'01_설정'!B6))*'01_설정'!B15+MAX(0,(1-T354/'01_설정'!B7))*'01_설정'!B16+MAX(0,(1-U354/'01_설정'!B8))*'01_설정'!B17+O354*'01_설정'!B11+Q354*'01_설정'!B12+P354*'01_설정'!B13+IF(Z354="",0,Z354))</f>
        <v/>
      </c>
      <c r="X354" s="152">
        <f>IF(W354="","",1+COUNTIFS($W$4:$W$3003,"&gt;"&amp;W354)+COUNTIFS($W$4:W354,W354)-1)</f>
        <v/>
      </c>
      <c r="Y354" s="175">
        <f>IF(OR(I354="",'02_대상물건입력'!B19="",'02_대상물건입력'!B19&lt;=0),"",ABS(I354-'02_대상물건입력'!B19)/'02_대상물건입력'!B19)</f>
        <v/>
      </c>
      <c r="Z354" s="172">
        <f>IF(OR(Y354="",'01_설정'!B31="",'01_설정'!B31&lt;=0,'01_설정'!B32="",'01_설정'!B32&lt;=0),"",MAX(0,(1-Y354/'01_설정'!B32))*'01_설정'!B31)</f>
        <v/>
      </c>
    </row>
    <row r="355" ht="17.25" customHeight="1">
      <c r="A355" s="152">
        <f>IF(INDEX('04A_국토부원자료'!$A:$A,ROW()+1)="","",ROW()-3)</f>
        <v/>
      </c>
      <c r="B355" s="48">
        <f>IFERROR(INDEX('04A_국토부원자료'!$A:$T,ROW()+1,MATCH("시군구",'04A_국토부원자료'!$A$4:$T$4,0)),"")</f>
        <v/>
      </c>
      <c r="C355" s="48">
        <f>IF(B355="","",IFERROR(INDEX('04A_국토부원자료'!$A:$T,ROW()+1,MATCH("번지",'04A_국토부원자료'!$A$4:$T$4,0)),""))</f>
        <v/>
      </c>
      <c r="D355" s="48">
        <f>IF(B355="","",IF(Q355=1,'02_대상물건입력'!$B$8,IFERROR(INDEX('04A_국토부원자료'!$A:$T,ROW()+1,MATCH("단지명",'04A_국토부원자료'!$A$4:$T$4,0)),"")))</f>
        <v/>
      </c>
      <c r="E355" s="172">
        <f>IFERROR(VALUE(SUBSTITUTE(INDEX('04A_국토부원자료'!$A:$T,ROW()+1,MATCH("전용면적(㎡)",'04A_국토부원자료'!$A$4:$T$4,0)),",","")),"")</f>
        <v/>
      </c>
      <c r="F3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55" s="51">
        <f>IFERROR(VALUE(SUBSTITUTE(INDEX('04A_국토부원자료'!$A:$T,ROW()+1,MATCH("거래금액(만원)",'04A_국토부원자료'!$A$4:$T$4,0)),",","")),"")</f>
        <v/>
      </c>
      <c r="H355" s="174">
        <f>IF(G355="","",G355*10000)</f>
        <v/>
      </c>
      <c r="I355" s="174">
        <f>IFERROR(IF(AND(H355&gt;0,E355&gt;0),H355/E355,""),"")</f>
        <v/>
      </c>
      <c r="J355" s="152">
        <f>IFERROR(VALUE(SUBSTITUTE(INDEX('04A_국토부원자료'!$A:$T,ROW()+1,MATCH("층",'04A_국토부원자료'!$A$4:$T$4,0)),",","")),"")</f>
        <v/>
      </c>
      <c r="K355" s="152">
        <f>IFERROR(VALUE(SUBSTITUTE(INDEX('04A_국토부원자료'!$A:$T,ROW()+1,MATCH("건축년도",'04A_국토부원자료'!$A$4:$T$4,0)),",","")),"")</f>
        <v/>
      </c>
      <c r="L355" s="176">
        <f>IFERROR(INDEX('04A_국토부원자료'!$A:$T,ROW()+1,MATCH("도로명",'04A_국토부원자료'!$A$4:$T$4,0)),"")</f>
        <v/>
      </c>
      <c r="M355" s="48">
        <f>IFERROR(INDEX('04A_국토부원자료'!$A:$T,ROW()+1,MATCH("거래유형",'04A_국토부원자료'!$A$4:$T$4,0)),"")</f>
        <v/>
      </c>
      <c r="N355" s="152">
        <f>IF(B355="","",IF('02_대상물건입력'!B5="",1,IF(ISNUMBER(SEARCH('02_대상물건입력'!B5,B355)),1,0)))</f>
        <v/>
      </c>
      <c r="O355" s="152">
        <f>IF(B355="","",IF('02_대상물건입력'!B6="",1,IF(ISNUMBER(SEARCH('02_대상물건입력'!B6,B355)),1,0)))</f>
        <v/>
      </c>
      <c r="P355" s="152">
        <f>IF(L355="","",IF('02_대상물건입력'!B15="",0,IF(ISNUMBER(SEARCH('02_대상물건입력'!B15,L355)),1,0)))</f>
        <v/>
      </c>
      <c r="Q355" s="152">
        <f>IF(OR(C355="",L355=""),0,IF(AND(TRIM(C355)=TRIM(RIGHT(SUBSTITUTE(TRIM('02_대상물건입력'!$B$7)," ",REPT(" ",99)),99)),IF('02_대상물건입력'!B15="",TRUE(),ISNUMBER(SEARCH('02_대상물건입력'!B15,L355)))),1,0))</f>
        <v/>
      </c>
      <c r="R355" s="175">
        <f>IFERROR(ABS(E355-'02_대상물건입력'!B11)/'02_대상물건입력'!B11,"")</f>
        <v/>
      </c>
      <c r="S355" s="152">
        <f>IFERROR(ABS(J355-'02_대상물건입력'!B10),"")</f>
        <v/>
      </c>
      <c r="T355" s="152">
        <f>IFERROR(ABS('01_설정'!B4-F355),"")</f>
        <v/>
      </c>
      <c r="U355" s="152">
        <f>IFERROR(ABS(K355-YEAR('02_대상물건입력'!B14)),"")</f>
        <v/>
      </c>
      <c r="V355" s="152">
        <f>IF(B355="","",IF(AND(E355&gt;0,F355&gt;0,H355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355=1,TRUE()),R355&lt;='01_설정'!B5,S355&lt;='01_설정'!B6,T355&lt;='01_설정'!B7,U355&lt;='01_설정'!B8),"Y",""))</f>
        <v/>
      </c>
      <c r="W355" s="172">
        <f>IF(V355&lt;&gt;"Y","",MAX(0,(1-R355/'01_설정'!B5))*'01_설정'!B14+MAX(0,(1-S355/'01_설정'!B6))*'01_설정'!B15+MAX(0,(1-T355/'01_설정'!B7))*'01_설정'!B16+MAX(0,(1-U355/'01_설정'!B8))*'01_설정'!B17+O355*'01_설정'!B11+Q355*'01_설정'!B12+P355*'01_설정'!B13+IF(Z355="",0,Z355))</f>
        <v/>
      </c>
      <c r="X355" s="152">
        <f>IF(W355="","",1+COUNTIFS($W$4:$W$3003,"&gt;"&amp;W355)+COUNTIFS($W$4:W355,W355)-1)</f>
        <v/>
      </c>
      <c r="Y355" s="175">
        <f>IF(OR(I355="",'02_대상물건입력'!B19="",'02_대상물건입력'!B19&lt;=0),"",ABS(I355-'02_대상물건입력'!B19)/'02_대상물건입력'!B19)</f>
        <v/>
      </c>
      <c r="Z355" s="172">
        <f>IF(OR(Y355="",'01_설정'!B31="",'01_설정'!B31&lt;=0,'01_설정'!B32="",'01_설정'!B32&lt;=0),"",MAX(0,(1-Y355/'01_설정'!B32))*'01_설정'!B31)</f>
        <v/>
      </c>
    </row>
    <row r="356" ht="17.25" customHeight="1">
      <c r="A356" s="152">
        <f>IF(INDEX('04A_국토부원자료'!$A:$A,ROW()+1)="","",ROW()-3)</f>
        <v/>
      </c>
      <c r="B356" s="48">
        <f>IFERROR(INDEX('04A_국토부원자료'!$A:$T,ROW()+1,MATCH("시군구",'04A_국토부원자료'!$A$4:$T$4,0)),"")</f>
        <v/>
      </c>
      <c r="C356" s="48">
        <f>IF(B356="","",IFERROR(INDEX('04A_국토부원자료'!$A:$T,ROW()+1,MATCH("번지",'04A_국토부원자료'!$A$4:$T$4,0)),""))</f>
        <v/>
      </c>
      <c r="D356" s="48">
        <f>IF(B356="","",IF(Q356=1,'02_대상물건입력'!$B$8,IFERROR(INDEX('04A_국토부원자료'!$A:$T,ROW()+1,MATCH("단지명",'04A_국토부원자료'!$A$4:$T$4,0)),"")))</f>
        <v/>
      </c>
      <c r="E356" s="172">
        <f>IFERROR(VALUE(SUBSTITUTE(INDEX('04A_국토부원자료'!$A:$T,ROW()+1,MATCH("전용면적(㎡)",'04A_국토부원자료'!$A$4:$T$4,0)),",","")),"")</f>
        <v/>
      </c>
      <c r="F3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56" s="51">
        <f>IFERROR(VALUE(SUBSTITUTE(INDEX('04A_국토부원자료'!$A:$T,ROW()+1,MATCH("거래금액(만원)",'04A_국토부원자료'!$A$4:$T$4,0)),",","")),"")</f>
        <v/>
      </c>
      <c r="H356" s="174">
        <f>IF(G356="","",G356*10000)</f>
        <v/>
      </c>
      <c r="I356" s="174">
        <f>IFERROR(IF(AND(H356&gt;0,E356&gt;0),H356/E356,""),"")</f>
        <v/>
      </c>
      <c r="J356" s="152">
        <f>IFERROR(VALUE(SUBSTITUTE(INDEX('04A_국토부원자료'!$A:$T,ROW()+1,MATCH("층",'04A_국토부원자료'!$A$4:$T$4,0)),",","")),"")</f>
        <v/>
      </c>
      <c r="K356" s="152">
        <f>IFERROR(VALUE(SUBSTITUTE(INDEX('04A_국토부원자료'!$A:$T,ROW()+1,MATCH("건축년도",'04A_국토부원자료'!$A$4:$T$4,0)),",","")),"")</f>
        <v/>
      </c>
      <c r="L356" s="176">
        <f>IFERROR(INDEX('04A_국토부원자료'!$A:$T,ROW()+1,MATCH("도로명",'04A_국토부원자료'!$A$4:$T$4,0)),"")</f>
        <v/>
      </c>
      <c r="M356" s="48">
        <f>IFERROR(INDEX('04A_국토부원자료'!$A:$T,ROW()+1,MATCH("거래유형",'04A_국토부원자료'!$A$4:$T$4,0)),"")</f>
        <v/>
      </c>
      <c r="N356" s="152">
        <f>IF(B356="","",IF('02_대상물건입력'!B5="",1,IF(ISNUMBER(SEARCH('02_대상물건입력'!B5,B356)),1,0)))</f>
        <v/>
      </c>
      <c r="O356" s="152">
        <f>IF(B356="","",IF('02_대상물건입력'!B6="",1,IF(ISNUMBER(SEARCH('02_대상물건입력'!B6,B356)),1,0)))</f>
        <v/>
      </c>
      <c r="P356" s="152">
        <f>IF(L356="","",IF('02_대상물건입력'!B15="",0,IF(ISNUMBER(SEARCH('02_대상물건입력'!B15,L356)),1,0)))</f>
        <v/>
      </c>
      <c r="Q356" s="152">
        <f>IF(OR(C356="",L356=""),0,IF(AND(TRIM(C356)=TRIM(RIGHT(SUBSTITUTE(TRIM('02_대상물건입력'!$B$7)," ",REPT(" ",99)),99)),IF('02_대상물건입력'!B15="",TRUE(),ISNUMBER(SEARCH('02_대상물건입력'!B15,L356)))),1,0))</f>
        <v/>
      </c>
      <c r="R356" s="175">
        <f>IFERROR(ABS(E356-'02_대상물건입력'!B11)/'02_대상물건입력'!B11,"")</f>
        <v/>
      </c>
      <c r="S356" s="152">
        <f>IFERROR(ABS(J356-'02_대상물건입력'!B10),"")</f>
        <v/>
      </c>
      <c r="T356" s="152">
        <f>IFERROR(ABS('01_설정'!B4-F356),"")</f>
        <v/>
      </c>
      <c r="U356" s="152">
        <f>IFERROR(ABS(K356-YEAR('02_대상물건입력'!B14)),"")</f>
        <v/>
      </c>
      <c r="V356" s="152">
        <f>IF(B356="","",IF(AND(E356&gt;0,F356&gt;0,H356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356=1,TRUE()),R356&lt;='01_설정'!B5,S356&lt;='01_설정'!B6,T356&lt;='01_설정'!B7,U356&lt;='01_설정'!B8),"Y",""))</f>
        <v/>
      </c>
      <c r="W356" s="172">
        <f>IF(V356&lt;&gt;"Y","",MAX(0,(1-R356/'01_설정'!B5))*'01_설정'!B14+MAX(0,(1-S356/'01_설정'!B6))*'01_설정'!B15+MAX(0,(1-T356/'01_설정'!B7))*'01_설정'!B16+MAX(0,(1-U356/'01_설정'!B8))*'01_설정'!B17+O356*'01_설정'!B11+Q356*'01_설정'!B12+P356*'01_설정'!B13+IF(Z356="",0,Z356))</f>
        <v/>
      </c>
      <c r="X356" s="152">
        <f>IF(W356="","",1+COUNTIFS($W$4:$W$3003,"&gt;"&amp;W356)+COUNTIFS($W$4:W356,W356)-1)</f>
        <v/>
      </c>
      <c r="Y356" s="175">
        <f>IF(OR(I356="",'02_대상물건입력'!B19="",'02_대상물건입력'!B19&lt;=0),"",ABS(I356-'02_대상물건입력'!B19)/'02_대상물건입력'!B19)</f>
        <v/>
      </c>
      <c r="Z356" s="172">
        <f>IF(OR(Y356="",'01_설정'!B31="",'01_설정'!B31&lt;=0,'01_설정'!B32="",'01_설정'!B32&lt;=0),"",MAX(0,(1-Y356/'01_설정'!B32))*'01_설정'!B31)</f>
        <v/>
      </c>
    </row>
    <row r="357" ht="17.25" customHeight="1">
      <c r="A357" s="152">
        <f>IF(INDEX('04A_국토부원자료'!$A:$A,ROW()+1)="","",ROW()-3)</f>
        <v/>
      </c>
      <c r="B357" s="48">
        <f>IFERROR(INDEX('04A_국토부원자료'!$A:$T,ROW()+1,MATCH("시군구",'04A_국토부원자료'!$A$4:$T$4,0)),"")</f>
        <v/>
      </c>
      <c r="C357" s="48">
        <f>IF(B357="","",IFERROR(INDEX('04A_국토부원자료'!$A:$T,ROW()+1,MATCH("번지",'04A_국토부원자료'!$A$4:$T$4,0)),""))</f>
        <v/>
      </c>
      <c r="D357" s="48">
        <f>IF(B357="","",IF(Q357=1,'02_대상물건입력'!$B$8,IFERROR(INDEX('04A_국토부원자료'!$A:$T,ROW()+1,MATCH("단지명",'04A_국토부원자료'!$A$4:$T$4,0)),"")))</f>
        <v/>
      </c>
      <c r="E357" s="172">
        <f>IFERROR(VALUE(SUBSTITUTE(INDEX('04A_국토부원자료'!$A:$T,ROW()+1,MATCH("전용면적(㎡)",'04A_국토부원자료'!$A$4:$T$4,0)),",","")),"")</f>
        <v/>
      </c>
      <c r="F3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57" s="51">
        <f>IFERROR(VALUE(SUBSTITUTE(INDEX('04A_국토부원자료'!$A:$T,ROW()+1,MATCH("거래금액(만원)",'04A_국토부원자료'!$A$4:$T$4,0)),",","")),"")</f>
        <v/>
      </c>
      <c r="H357" s="174">
        <f>IF(G357="","",G357*10000)</f>
        <v/>
      </c>
      <c r="I357" s="174">
        <f>IFERROR(IF(AND(H357&gt;0,E357&gt;0),H357/E357,""),"")</f>
        <v/>
      </c>
      <c r="J357" s="152">
        <f>IFERROR(VALUE(SUBSTITUTE(INDEX('04A_국토부원자료'!$A:$T,ROW()+1,MATCH("층",'04A_국토부원자료'!$A$4:$T$4,0)),",","")),"")</f>
        <v/>
      </c>
      <c r="K357" s="152">
        <f>IFERROR(VALUE(SUBSTITUTE(INDEX('04A_국토부원자료'!$A:$T,ROW()+1,MATCH("건축년도",'04A_국토부원자료'!$A$4:$T$4,0)),",","")),"")</f>
        <v/>
      </c>
      <c r="L357" s="176">
        <f>IFERROR(INDEX('04A_국토부원자료'!$A:$T,ROW()+1,MATCH("도로명",'04A_국토부원자료'!$A$4:$T$4,0)),"")</f>
        <v/>
      </c>
      <c r="M357" s="48">
        <f>IFERROR(INDEX('04A_국토부원자료'!$A:$T,ROW()+1,MATCH("거래유형",'04A_국토부원자료'!$A$4:$T$4,0)),"")</f>
        <v/>
      </c>
      <c r="N357" s="152">
        <f>IF(B357="","",IF('02_대상물건입력'!B5="",1,IF(ISNUMBER(SEARCH('02_대상물건입력'!B5,B357)),1,0)))</f>
        <v/>
      </c>
      <c r="O357" s="152">
        <f>IF(B357="","",IF('02_대상물건입력'!B6="",1,IF(ISNUMBER(SEARCH('02_대상물건입력'!B6,B357)),1,0)))</f>
        <v/>
      </c>
      <c r="P357" s="152">
        <f>IF(L357="","",IF('02_대상물건입력'!B15="",0,IF(ISNUMBER(SEARCH('02_대상물건입력'!B15,L357)),1,0)))</f>
        <v/>
      </c>
      <c r="Q357" s="152">
        <f>IF(OR(C357="",L357=""),0,IF(AND(TRIM(C357)=TRIM(RIGHT(SUBSTITUTE(TRIM('02_대상물건입력'!$B$7)," ",REPT(" ",99)),99)),IF('02_대상물건입력'!B15="",TRUE(),ISNUMBER(SEARCH('02_대상물건입력'!B15,L357)))),1,0))</f>
        <v/>
      </c>
      <c r="R357" s="175">
        <f>IFERROR(ABS(E357-'02_대상물건입력'!B11)/'02_대상물건입력'!B11,"")</f>
        <v/>
      </c>
      <c r="S357" s="152">
        <f>IFERROR(ABS(J357-'02_대상물건입력'!B10),"")</f>
        <v/>
      </c>
      <c r="T357" s="152">
        <f>IFERROR(ABS('01_설정'!B4-F357),"")</f>
        <v/>
      </c>
      <c r="U357" s="152">
        <f>IFERROR(ABS(K357-YEAR('02_대상물건입력'!B14)),"")</f>
        <v/>
      </c>
      <c r="V357" s="152">
        <f>IF(B357="","",IF(AND(E357&gt;0,F357&gt;0,H357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357=1,TRUE()),R357&lt;='01_설정'!B5,S357&lt;='01_설정'!B6,T357&lt;='01_설정'!B7,U357&lt;='01_설정'!B8),"Y",""))</f>
        <v/>
      </c>
      <c r="W357" s="172">
        <f>IF(V357&lt;&gt;"Y","",MAX(0,(1-R357/'01_설정'!B5))*'01_설정'!B14+MAX(0,(1-S357/'01_설정'!B6))*'01_설정'!B15+MAX(0,(1-T357/'01_설정'!B7))*'01_설정'!B16+MAX(0,(1-U357/'01_설정'!B8))*'01_설정'!B17+O357*'01_설정'!B11+Q357*'01_설정'!B12+P357*'01_설정'!B13+IF(Z357="",0,Z357))</f>
        <v/>
      </c>
      <c r="X357" s="152">
        <f>IF(W357="","",1+COUNTIFS($W$4:$W$3003,"&gt;"&amp;W357)+COUNTIFS($W$4:W357,W357)-1)</f>
        <v/>
      </c>
      <c r="Y357" s="175">
        <f>IF(OR(I357="",'02_대상물건입력'!B19="",'02_대상물건입력'!B19&lt;=0),"",ABS(I357-'02_대상물건입력'!B19)/'02_대상물건입력'!B19)</f>
        <v/>
      </c>
      <c r="Z357" s="172">
        <f>IF(OR(Y357="",'01_설정'!B31="",'01_설정'!B31&lt;=0,'01_설정'!B32="",'01_설정'!B32&lt;=0),"",MAX(0,(1-Y357/'01_설정'!B32))*'01_설정'!B31)</f>
        <v/>
      </c>
    </row>
    <row r="358" ht="17.25" customHeight="1">
      <c r="A358" s="152">
        <f>IF(INDEX('04A_국토부원자료'!$A:$A,ROW()+1)="","",ROW()-3)</f>
        <v/>
      </c>
      <c r="B358" s="48">
        <f>IFERROR(INDEX('04A_국토부원자료'!$A:$T,ROW()+1,MATCH("시군구",'04A_국토부원자료'!$A$4:$T$4,0)),"")</f>
        <v/>
      </c>
      <c r="C358" s="48">
        <f>IF(B358="","",IFERROR(INDEX('04A_국토부원자료'!$A:$T,ROW()+1,MATCH("번지",'04A_국토부원자료'!$A$4:$T$4,0)),""))</f>
        <v/>
      </c>
      <c r="D358" s="48">
        <f>IF(B358="","",IF(Q358=1,'02_대상물건입력'!$B$8,IFERROR(INDEX('04A_국토부원자료'!$A:$T,ROW()+1,MATCH("단지명",'04A_국토부원자료'!$A$4:$T$4,0)),"")))</f>
        <v/>
      </c>
      <c r="E358" s="172">
        <f>IFERROR(VALUE(SUBSTITUTE(INDEX('04A_국토부원자료'!$A:$T,ROW()+1,MATCH("전용면적(㎡)",'04A_국토부원자료'!$A$4:$T$4,0)),",","")),"")</f>
        <v/>
      </c>
      <c r="F3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58" s="51">
        <f>IFERROR(VALUE(SUBSTITUTE(INDEX('04A_국토부원자료'!$A:$T,ROW()+1,MATCH("거래금액(만원)",'04A_국토부원자료'!$A$4:$T$4,0)),",","")),"")</f>
        <v/>
      </c>
      <c r="H358" s="174">
        <f>IF(G358="","",G358*10000)</f>
        <v/>
      </c>
      <c r="I358" s="174">
        <f>IFERROR(IF(AND(H358&gt;0,E358&gt;0),H358/E358,""),"")</f>
        <v/>
      </c>
      <c r="J358" s="152">
        <f>IFERROR(VALUE(SUBSTITUTE(INDEX('04A_국토부원자료'!$A:$T,ROW()+1,MATCH("층",'04A_국토부원자료'!$A$4:$T$4,0)),",","")),"")</f>
        <v/>
      </c>
      <c r="K358" s="152">
        <f>IFERROR(VALUE(SUBSTITUTE(INDEX('04A_국토부원자료'!$A:$T,ROW()+1,MATCH("건축년도",'04A_국토부원자료'!$A$4:$T$4,0)),",","")),"")</f>
        <v/>
      </c>
      <c r="L358" s="176">
        <f>IFERROR(INDEX('04A_국토부원자료'!$A:$T,ROW()+1,MATCH("도로명",'04A_국토부원자료'!$A$4:$T$4,0)),"")</f>
        <v/>
      </c>
      <c r="M358" s="48">
        <f>IFERROR(INDEX('04A_국토부원자료'!$A:$T,ROW()+1,MATCH("거래유형",'04A_국토부원자료'!$A$4:$T$4,0)),"")</f>
        <v/>
      </c>
      <c r="N358" s="152">
        <f>IF(B358="","",IF('02_대상물건입력'!B5="",1,IF(ISNUMBER(SEARCH('02_대상물건입력'!B5,B358)),1,0)))</f>
        <v/>
      </c>
      <c r="O358" s="152">
        <f>IF(B358="","",IF('02_대상물건입력'!B6="",1,IF(ISNUMBER(SEARCH('02_대상물건입력'!B6,B358)),1,0)))</f>
        <v/>
      </c>
      <c r="P358" s="152">
        <f>IF(L358="","",IF('02_대상물건입력'!B15="",0,IF(ISNUMBER(SEARCH('02_대상물건입력'!B15,L358)),1,0)))</f>
        <v/>
      </c>
      <c r="Q358" s="152">
        <f>IF(OR(C358="",L358=""),0,IF(AND(TRIM(C358)=TRIM(RIGHT(SUBSTITUTE(TRIM('02_대상물건입력'!$B$7)," ",REPT(" ",99)),99)),IF('02_대상물건입력'!B15="",TRUE(),ISNUMBER(SEARCH('02_대상물건입력'!B15,L358)))),1,0))</f>
        <v/>
      </c>
      <c r="R358" s="175">
        <f>IFERROR(ABS(E358-'02_대상물건입력'!B11)/'02_대상물건입력'!B11,"")</f>
        <v/>
      </c>
      <c r="S358" s="152">
        <f>IFERROR(ABS(J358-'02_대상물건입력'!B10),"")</f>
        <v/>
      </c>
      <c r="T358" s="152">
        <f>IFERROR(ABS('01_설정'!B4-F358),"")</f>
        <v/>
      </c>
      <c r="U358" s="152">
        <f>IFERROR(ABS(K358-YEAR('02_대상물건입력'!B14)),"")</f>
        <v/>
      </c>
      <c r="V358" s="152">
        <f>IF(B358="","",IF(AND(E358&gt;0,F358&gt;0,H358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358=1,TRUE()),R358&lt;='01_설정'!B5,S358&lt;='01_설정'!B6,T358&lt;='01_설정'!B7,U358&lt;='01_설정'!B8),"Y",""))</f>
        <v/>
      </c>
      <c r="W358" s="172">
        <f>IF(V358&lt;&gt;"Y","",MAX(0,(1-R358/'01_설정'!B5))*'01_설정'!B14+MAX(0,(1-S358/'01_설정'!B6))*'01_설정'!B15+MAX(0,(1-T358/'01_설정'!B7))*'01_설정'!B16+MAX(0,(1-U358/'01_설정'!B8))*'01_설정'!B17+O358*'01_설정'!B11+Q358*'01_설정'!B12+P358*'01_설정'!B13+IF(Z358="",0,Z358))</f>
        <v/>
      </c>
      <c r="X358" s="152">
        <f>IF(W358="","",1+COUNTIFS($W$4:$W$3003,"&gt;"&amp;W358)+COUNTIFS($W$4:W358,W358)-1)</f>
        <v/>
      </c>
      <c r="Y358" s="175">
        <f>IF(OR(I358="",'02_대상물건입력'!B19="",'02_대상물건입력'!B19&lt;=0),"",ABS(I358-'02_대상물건입력'!B19)/'02_대상물건입력'!B19)</f>
        <v/>
      </c>
      <c r="Z358" s="172">
        <f>IF(OR(Y358="",'01_설정'!B31="",'01_설정'!B31&lt;=0,'01_설정'!B32="",'01_설정'!B32&lt;=0),"",MAX(0,(1-Y358/'01_설정'!B32))*'01_설정'!B31)</f>
        <v/>
      </c>
    </row>
    <row r="359" ht="17.25" customHeight="1">
      <c r="A359" s="152">
        <f>IF(INDEX('04A_국토부원자료'!$A:$A,ROW()+1)="","",ROW()-3)</f>
        <v/>
      </c>
      <c r="B359" s="48">
        <f>IFERROR(INDEX('04A_국토부원자료'!$A:$T,ROW()+1,MATCH("시군구",'04A_국토부원자료'!$A$4:$T$4,0)),"")</f>
        <v/>
      </c>
      <c r="C359" s="48">
        <f>IF(B359="","",IFERROR(INDEX('04A_국토부원자료'!$A:$T,ROW()+1,MATCH("번지",'04A_국토부원자료'!$A$4:$T$4,0)),""))</f>
        <v/>
      </c>
      <c r="D359" s="48">
        <f>IF(B359="","",IF(Q359=1,'02_대상물건입력'!$B$8,IFERROR(INDEX('04A_국토부원자료'!$A:$T,ROW()+1,MATCH("단지명",'04A_국토부원자료'!$A$4:$T$4,0)),"")))</f>
        <v/>
      </c>
      <c r="E359" s="172">
        <f>IFERROR(VALUE(SUBSTITUTE(INDEX('04A_국토부원자료'!$A:$T,ROW()+1,MATCH("전용면적(㎡)",'04A_국토부원자료'!$A$4:$T$4,0)),",","")),"")</f>
        <v/>
      </c>
      <c r="F3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59" s="51">
        <f>IFERROR(VALUE(SUBSTITUTE(INDEX('04A_국토부원자료'!$A:$T,ROW()+1,MATCH("거래금액(만원)",'04A_국토부원자료'!$A$4:$T$4,0)),",","")),"")</f>
        <v/>
      </c>
      <c r="H359" s="174">
        <f>IF(G359="","",G359*10000)</f>
        <v/>
      </c>
      <c r="I359" s="174">
        <f>IFERROR(IF(AND(H359&gt;0,E359&gt;0),H359/E359,""),"")</f>
        <v/>
      </c>
      <c r="J359" s="152">
        <f>IFERROR(VALUE(SUBSTITUTE(INDEX('04A_국토부원자료'!$A:$T,ROW()+1,MATCH("층",'04A_국토부원자료'!$A$4:$T$4,0)),",","")),"")</f>
        <v/>
      </c>
      <c r="K359" s="152">
        <f>IFERROR(VALUE(SUBSTITUTE(INDEX('04A_국토부원자료'!$A:$T,ROW()+1,MATCH("건축년도",'04A_국토부원자료'!$A$4:$T$4,0)),",","")),"")</f>
        <v/>
      </c>
      <c r="L359" s="176">
        <f>IFERROR(INDEX('04A_국토부원자료'!$A:$T,ROW()+1,MATCH("도로명",'04A_국토부원자료'!$A$4:$T$4,0)),"")</f>
        <v/>
      </c>
      <c r="M359" s="48">
        <f>IFERROR(INDEX('04A_국토부원자료'!$A:$T,ROW()+1,MATCH("거래유형",'04A_국토부원자료'!$A$4:$T$4,0)),"")</f>
        <v/>
      </c>
      <c r="N359" s="152">
        <f>IF(B359="","",IF('02_대상물건입력'!B5="",1,IF(ISNUMBER(SEARCH('02_대상물건입력'!B5,B359)),1,0)))</f>
        <v/>
      </c>
      <c r="O359" s="152">
        <f>IF(B359="","",IF('02_대상물건입력'!B6="",1,IF(ISNUMBER(SEARCH('02_대상물건입력'!B6,B359)),1,0)))</f>
        <v/>
      </c>
      <c r="P359" s="152">
        <f>IF(L359="","",IF('02_대상물건입력'!B15="",0,IF(ISNUMBER(SEARCH('02_대상물건입력'!B15,L359)),1,0)))</f>
        <v/>
      </c>
      <c r="Q359" s="152">
        <f>IF(OR(C359="",L359=""),0,IF(AND(TRIM(C359)=TRIM(RIGHT(SUBSTITUTE(TRIM('02_대상물건입력'!$B$7)," ",REPT(" ",99)),99)),IF('02_대상물건입력'!B15="",TRUE(),ISNUMBER(SEARCH('02_대상물건입력'!B15,L359)))),1,0))</f>
        <v/>
      </c>
      <c r="R359" s="175">
        <f>IFERROR(ABS(E359-'02_대상물건입력'!B11)/'02_대상물건입력'!B11,"")</f>
        <v/>
      </c>
      <c r="S359" s="152">
        <f>IFERROR(ABS(J359-'02_대상물건입력'!B10),"")</f>
        <v/>
      </c>
      <c r="T359" s="152">
        <f>IFERROR(ABS('01_설정'!B4-F359),"")</f>
        <v/>
      </c>
      <c r="U359" s="152">
        <f>IFERROR(ABS(K359-YEAR('02_대상물건입력'!B14)),"")</f>
        <v/>
      </c>
      <c r="V359" s="152">
        <f>IF(B359="","",IF(AND(E359&gt;0,F359&gt;0,H359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359=1,TRUE()),R359&lt;='01_설정'!B5,S359&lt;='01_설정'!B6,T359&lt;='01_설정'!B7,U359&lt;='01_설정'!B8),"Y",""))</f>
        <v/>
      </c>
      <c r="W359" s="172">
        <f>IF(V359&lt;&gt;"Y","",MAX(0,(1-R359/'01_설정'!B5))*'01_설정'!B14+MAX(0,(1-S359/'01_설정'!B6))*'01_설정'!B15+MAX(0,(1-T359/'01_설정'!B7))*'01_설정'!B16+MAX(0,(1-U359/'01_설정'!B8))*'01_설정'!B17+O359*'01_설정'!B11+Q359*'01_설정'!B12+P359*'01_설정'!B13+IF(Z359="",0,Z359))</f>
        <v/>
      </c>
      <c r="X359" s="152">
        <f>IF(W359="","",1+COUNTIFS($W$4:$W$3003,"&gt;"&amp;W359)+COUNTIFS($W$4:W359,W359)-1)</f>
        <v/>
      </c>
      <c r="Y359" s="175">
        <f>IF(OR(I359="",'02_대상물건입력'!B19="",'02_대상물건입력'!B19&lt;=0),"",ABS(I359-'02_대상물건입력'!B19)/'02_대상물건입력'!B19)</f>
        <v/>
      </c>
      <c r="Z359" s="172">
        <f>IF(OR(Y359="",'01_설정'!B31="",'01_설정'!B31&lt;=0,'01_설정'!B32="",'01_설정'!B32&lt;=0),"",MAX(0,(1-Y359/'01_설정'!B32))*'01_설정'!B31)</f>
        <v/>
      </c>
    </row>
    <row r="360" ht="17.25" customHeight="1">
      <c r="A360" s="152">
        <f>IF(INDEX('04A_국토부원자료'!$A:$A,ROW()+1)="","",ROW()-3)</f>
        <v/>
      </c>
      <c r="B360" s="48">
        <f>IFERROR(INDEX('04A_국토부원자료'!$A:$T,ROW()+1,MATCH("시군구",'04A_국토부원자료'!$A$4:$T$4,0)),"")</f>
        <v/>
      </c>
      <c r="C360" s="48">
        <f>IF(B360="","",IFERROR(INDEX('04A_국토부원자료'!$A:$T,ROW()+1,MATCH("번지",'04A_국토부원자료'!$A$4:$T$4,0)),""))</f>
        <v/>
      </c>
      <c r="D360" s="48">
        <f>IF(B360="","",IF(Q360=1,'02_대상물건입력'!$B$8,IFERROR(INDEX('04A_국토부원자료'!$A:$T,ROW()+1,MATCH("단지명",'04A_국토부원자료'!$A$4:$T$4,0)),"")))</f>
        <v/>
      </c>
      <c r="E360" s="172">
        <f>IFERROR(VALUE(SUBSTITUTE(INDEX('04A_국토부원자료'!$A:$T,ROW()+1,MATCH("전용면적(㎡)",'04A_국토부원자료'!$A$4:$T$4,0)),",","")),"")</f>
        <v/>
      </c>
      <c r="F3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60" s="51">
        <f>IFERROR(VALUE(SUBSTITUTE(INDEX('04A_국토부원자료'!$A:$T,ROW()+1,MATCH("거래금액(만원)",'04A_국토부원자료'!$A$4:$T$4,0)),",","")),"")</f>
        <v/>
      </c>
      <c r="H360" s="174">
        <f>IF(G360="","",G360*10000)</f>
        <v/>
      </c>
      <c r="I360" s="174">
        <f>IFERROR(IF(AND(H360&gt;0,E360&gt;0),H360/E360,""),"")</f>
        <v/>
      </c>
      <c r="J360" s="152">
        <f>IFERROR(VALUE(SUBSTITUTE(INDEX('04A_국토부원자료'!$A:$T,ROW()+1,MATCH("층",'04A_국토부원자료'!$A$4:$T$4,0)),",","")),"")</f>
        <v/>
      </c>
      <c r="K360" s="152">
        <f>IFERROR(VALUE(SUBSTITUTE(INDEX('04A_국토부원자료'!$A:$T,ROW()+1,MATCH("건축년도",'04A_국토부원자료'!$A$4:$T$4,0)),",","")),"")</f>
        <v/>
      </c>
      <c r="L360" s="176">
        <f>IFERROR(INDEX('04A_국토부원자료'!$A:$T,ROW()+1,MATCH("도로명",'04A_국토부원자료'!$A$4:$T$4,0)),"")</f>
        <v/>
      </c>
      <c r="M360" s="48">
        <f>IFERROR(INDEX('04A_국토부원자료'!$A:$T,ROW()+1,MATCH("거래유형",'04A_국토부원자료'!$A$4:$T$4,0)),"")</f>
        <v/>
      </c>
      <c r="N360" s="152">
        <f>IF(B360="","",IF('02_대상물건입력'!B5="",1,IF(ISNUMBER(SEARCH('02_대상물건입력'!B5,B360)),1,0)))</f>
        <v/>
      </c>
      <c r="O360" s="152">
        <f>IF(B360="","",IF('02_대상물건입력'!B6="",1,IF(ISNUMBER(SEARCH('02_대상물건입력'!B6,B360)),1,0)))</f>
        <v/>
      </c>
      <c r="P360" s="152">
        <f>IF(L360="","",IF('02_대상물건입력'!B15="",0,IF(ISNUMBER(SEARCH('02_대상물건입력'!B15,L360)),1,0)))</f>
        <v/>
      </c>
      <c r="Q360" s="152">
        <f>IF(OR(C360="",L360=""),0,IF(AND(TRIM(C360)=TRIM(RIGHT(SUBSTITUTE(TRIM('02_대상물건입력'!$B$7)," ",REPT(" ",99)),99)),IF('02_대상물건입력'!B15="",TRUE(),ISNUMBER(SEARCH('02_대상물건입력'!B15,L360)))),1,0))</f>
        <v/>
      </c>
      <c r="R360" s="175">
        <f>IFERROR(ABS(E360-'02_대상물건입력'!B11)/'02_대상물건입력'!B11,"")</f>
        <v/>
      </c>
      <c r="S360" s="152">
        <f>IFERROR(ABS(J360-'02_대상물건입력'!B10),"")</f>
        <v/>
      </c>
      <c r="T360" s="152">
        <f>IFERROR(ABS('01_설정'!B4-F360),"")</f>
        <v/>
      </c>
      <c r="U360" s="152">
        <f>IFERROR(ABS(K360-YEAR('02_대상물건입력'!B14)),"")</f>
        <v/>
      </c>
      <c r="V360" s="152">
        <f>IF(B360="","",IF(AND(E360&gt;0,F360&gt;0,H360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360=1,TRUE()),R360&lt;='01_설정'!B5,S360&lt;='01_설정'!B6,T360&lt;='01_설정'!B7,U360&lt;='01_설정'!B8),"Y",""))</f>
        <v/>
      </c>
      <c r="W360" s="172">
        <f>IF(V360&lt;&gt;"Y","",MAX(0,(1-R360/'01_설정'!B5))*'01_설정'!B14+MAX(0,(1-S360/'01_설정'!B6))*'01_설정'!B15+MAX(0,(1-T360/'01_설정'!B7))*'01_설정'!B16+MAX(0,(1-U360/'01_설정'!B8))*'01_설정'!B17+O360*'01_설정'!B11+Q360*'01_설정'!B12+P360*'01_설정'!B13+IF(Z360="",0,Z360))</f>
        <v/>
      </c>
      <c r="X360" s="152">
        <f>IF(W360="","",1+COUNTIFS($W$4:$W$3003,"&gt;"&amp;W360)+COUNTIFS($W$4:W360,W360)-1)</f>
        <v/>
      </c>
      <c r="Y360" s="175">
        <f>IF(OR(I360="",'02_대상물건입력'!B19="",'02_대상물건입력'!B19&lt;=0),"",ABS(I360-'02_대상물건입력'!B19)/'02_대상물건입력'!B19)</f>
        <v/>
      </c>
      <c r="Z360" s="172">
        <f>IF(OR(Y360="",'01_설정'!B31="",'01_설정'!B31&lt;=0,'01_설정'!B32="",'01_설정'!B32&lt;=0),"",MAX(0,(1-Y360/'01_설정'!B32))*'01_설정'!B31)</f>
        <v/>
      </c>
    </row>
    <row r="361" ht="17.25" customHeight="1">
      <c r="A361" s="152">
        <f>IF(INDEX('04A_국토부원자료'!$A:$A,ROW()+1)="","",ROW()-3)</f>
        <v/>
      </c>
      <c r="B361" s="48">
        <f>IFERROR(INDEX('04A_국토부원자료'!$A:$T,ROW()+1,MATCH("시군구",'04A_국토부원자료'!$A$4:$T$4,0)),"")</f>
        <v/>
      </c>
      <c r="C361" s="48">
        <f>IF(B361="","",IFERROR(INDEX('04A_국토부원자료'!$A:$T,ROW()+1,MATCH("번지",'04A_국토부원자료'!$A$4:$T$4,0)),""))</f>
        <v/>
      </c>
      <c r="D361" s="48">
        <f>IF(B361="","",IF(Q361=1,'02_대상물건입력'!$B$8,IFERROR(INDEX('04A_국토부원자료'!$A:$T,ROW()+1,MATCH("단지명",'04A_국토부원자료'!$A$4:$T$4,0)),"")))</f>
        <v/>
      </c>
      <c r="E361" s="172">
        <f>IFERROR(VALUE(SUBSTITUTE(INDEX('04A_국토부원자료'!$A:$T,ROW()+1,MATCH("전용면적(㎡)",'04A_국토부원자료'!$A$4:$T$4,0)),",","")),"")</f>
        <v/>
      </c>
      <c r="F3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61" s="51">
        <f>IFERROR(VALUE(SUBSTITUTE(INDEX('04A_국토부원자료'!$A:$T,ROW()+1,MATCH("거래금액(만원)",'04A_국토부원자료'!$A$4:$T$4,0)),",","")),"")</f>
        <v/>
      </c>
      <c r="H361" s="174">
        <f>IF(G361="","",G361*10000)</f>
        <v/>
      </c>
      <c r="I361" s="174">
        <f>IFERROR(IF(AND(H361&gt;0,E361&gt;0),H361/E361,""),"")</f>
        <v/>
      </c>
      <c r="J361" s="152">
        <f>IFERROR(VALUE(SUBSTITUTE(INDEX('04A_국토부원자료'!$A:$T,ROW()+1,MATCH("층",'04A_국토부원자료'!$A$4:$T$4,0)),",","")),"")</f>
        <v/>
      </c>
      <c r="K361" s="152">
        <f>IFERROR(VALUE(SUBSTITUTE(INDEX('04A_국토부원자료'!$A:$T,ROW()+1,MATCH("건축년도",'04A_국토부원자료'!$A$4:$T$4,0)),",","")),"")</f>
        <v/>
      </c>
      <c r="L361" s="176">
        <f>IFERROR(INDEX('04A_국토부원자료'!$A:$T,ROW()+1,MATCH("도로명",'04A_국토부원자료'!$A$4:$T$4,0)),"")</f>
        <v/>
      </c>
      <c r="M361" s="48">
        <f>IFERROR(INDEX('04A_국토부원자료'!$A:$T,ROW()+1,MATCH("거래유형",'04A_국토부원자료'!$A$4:$T$4,0)),"")</f>
        <v/>
      </c>
      <c r="N361" s="152">
        <f>IF(B361="","",IF('02_대상물건입력'!B5="",1,IF(ISNUMBER(SEARCH('02_대상물건입력'!B5,B361)),1,0)))</f>
        <v/>
      </c>
      <c r="O361" s="152">
        <f>IF(B361="","",IF('02_대상물건입력'!B6="",1,IF(ISNUMBER(SEARCH('02_대상물건입력'!B6,B361)),1,0)))</f>
        <v/>
      </c>
      <c r="P361" s="152">
        <f>IF(L361="","",IF('02_대상물건입력'!B15="",0,IF(ISNUMBER(SEARCH('02_대상물건입력'!B15,L361)),1,0)))</f>
        <v/>
      </c>
      <c r="Q361" s="152">
        <f>IF(OR(C361="",L361=""),0,IF(AND(TRIM(C361)=TRIM(RIGHT(SUBSTITUTE(TRIM('02_대상물건입력'!$B$7)," ",REPT(" ",99)),99)),IF('02_대상물건입력'!B15="",TRUE(),ISNUMBER(SEARCH('02_대상물건입력'!B15,L361)))),1,0))</f>
        <v/>
      </c>
      <c r="R361" s="175">
        <f>IFERROR(ABS(E361-'02_대상물건입력'!B11)/'02_대상물건입력'!B11,"")</f>
        <v/>
      </c>
      <c r="S361" s="152">
        <f>IFERROR(ABS(J361-'02_대상물건입력'!B10),"")</f>
        <v/>
      </c>
      <c r="T361" s="152">
        <f>IFERROR(ABS('01_설정'!B4-F361),"")</f>
        <v/>
      </c>
      <c r="U361" s="152">
        <f>IFERROR(ABS(K361-YEAR('02_대상물건입력'!B14)),"")</f>
        <v/>
      </c>
      <c r="V361" s="152">
        <f>IF(B361="","",IF(AND(E361&gt;0,F361&gt;0,H361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361=1,TRUE()),R361&lt;='01_설정'!B5,S361&lt;='01_설정'!B6,T361&lt;='01_설정'!B7,U361&lt;='01_설정'!B8),"Y",""))</f>
        <v/>
      </c>
      <c r="W361" s="172">
        <f>IF(V361&lt;&gt;"Y","",MAX(0,(1-R361/'01_설정'!B5))*'01_설정'!B14+MAX(0,(1-S361/'01_설정'!B6))*'01_설정'!B15+MAX(0,(1-T361/'01_설정'!B7))*'01_설정'!B16+MAX(0,(1-U361/'01_설정'!B8))*'01_설정'!B17+O361*'01_설정'!B11+Q361*'01_설정'!B12+P361*'01_설정'!B13+IF(Z361="",0,Z361))</f>
        <v/>
      </c>
      <c r="X361" s="152">
        <f>IF(W361="","",1+COUNTIFS($W$4:$W$3003,"&gt;"&amp;W361)+COUNTIFS($W$4:W361,W361)-1)</f>
        <v/>
      </c>
      <c r="Y361" s="175">
        <f>IF(OR(I361="",'02_대상물건입력'!B19="",'02_대상물건입력'!B19&lt;=0),"",ABS(I361-'02_대상물건입력'!B19)/'02_대상물건입력'!B19)</f>
        <v/>
      </c>
      <c r="Z361" s="172">
        <f>IF(OR(Y361="",'01_설정'!B31="",'01_설정'!B31&lt;=0,'01_설정'!B32="",'01_설정'!B32&lt;=0),"",MAX(0,(1-Y361/'01_설정'!B32))*'01_설정'!B31)</f>
        <v/>
      </c>
    </row>
    <row r="362" ht="17.25" customHeight="1">
      <c r="A362" s="152">
        <f>IF(INDEX('04A_국토부원자료'!$A:$A,ROW()+1)="","",ROW()-3)</f>
        <v/>
      </c>
      <c r="B362" s="48">
        <f>IFERROR(INDEX('04A_국토부원자료'!$A:$T,ROW()+1,MATCH("시군구",'04A_국토부원자료'!$A$4:$T$4,0)),"")</f>
        <v/>
      </c>
      <c r="C362" s="48">
        <f>IF(B362="","",IFERROR(INDEX('04A_국토부원자료'!$A:$T,ROW()+1,MATCH("번지",'04A_국토부원자료'!$A$4:$T$4,0)),""))</f>
        <v/>
      </c>
      <c r="D362" s="48">
        <f>IF(B362="","",IF(Q362=1,'02_대상물건입력'!$B$8,IFERROR(INDEX('04A_국토부원자료'!$A:$T,ROW()+1,MATCH("단지명",'04A_국토부원자료'!$A$4:$T$4,0)),"")))</f>
        <v/>
      </c>
      <c r="E362" s="172">
        <f>IFERROR(VALUE(SUBSTITUTE(INDEX('04A_국토부원자료'!$A:$T,ROW()+1,MATCH("전용면적(㎡)",'04A_국토부원자료'!$A$4:$T$4,0)),",","")),"")</f>
        <v/>
      </c>
      <c r="F3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62" s="51">
        <f>IFERROR(VALUE(SUBSTITUTE(INDEX('04A_국토부원자료'!$A:$T,ROW()+1,MATCH("거래금액(만원)",'04A_국토부원자료'!$A$4:$T$4,0)),",","")),"")</f>
        <v/>
      </c>
      <c r="H362" s="174">
        <f>IF(G362="","",G362*10000)</f>
        <v/>
      </c>
      <c r="I362" s="174">
        <f>IFERROR(IF(AND(H362&gt;0,E362&gt;0),H362/E362,""),"")</f>
        <v/>
      </c>
      <c r="J362" s="152">
        <f>IFERROR(VALUE(SUBSTITUTE(INDEX('04A_국토부원자료'!$A:$T,ROW()+1,MATCH("층",'04A_국토부원자료'!$A$4:$T$4,0)),",","")),"")</f>
        <v/>
      </c>
      <c r="K362" s="152">
        <f>IFERROR(VALUE(SUBSTITUTE(INDEX('04A_국토부원자료'!$A:$T,ROW()+1,MATCH("건축년도",'04A_국토부원자료'!$A$4:$T$4,0)),",","")),"")</f>
        <v/>
      </c>
      <c r="L362" s="176">
        <f>IFERROR(INDEX('04A_국토부원자료'!$A:$T,ROW()+1,MATCH("도로명",'04A_국토부원자료'!$A$4:$T$4,0)),"")</f>
        <v/>
      </c>
      <c r="M362" s="48">
        <f>IFERROR(INDEX('04A_국토부원자료'!$A:$T,ROW()+1,MATCH("거래유형",'04A_국토부원자료'!$A$4:$T$4,0)),"")</f>
        <v/>
      </c>
      <c r="N362" s="152">
        <f>IF(B362="","",IF('02_대상물건입력'!B5="",1,IF(ISNUMBER(SEARCH('02_대상물건입력'!B5,B362)),1,0)))</f>
        <v/>
      </c>
      <c r="O362" s="152">
        <f>IF(B362="","",IF('02_대상물건입력'!B6="",1,IF(ISNUMBER(SEARCH('02_대상물건입력'!B6,B362)),1,0)))</f>
        <v/>
      </c>
      <c r="P362" s="152">
        <f>IF(L362="","",IF('02_대상물건입력'!B15="",0,IF(ISNUMBER(SEARCH('02_대상물건입력'!B15,L362)),1,0)))</f>
        <v/>
      </c>
      <c r="Q362" s="152">
        <f>IF(OR(C362="",L362=""),0,IF(AND(TRIM(C362)=TRIM(RIGHT(SUBSTITUTE(TRIM('02_대상물건입력'!$B$7)," ",REPT(" ",99)),99)),IF('02_대상물건입력'!B15="",TRUE(),ISNUMBER(SEARCH('02_대상물건입력'!B15,L362)))),1,0))</f>
        <v/>
      </c>
      <c r="R362" s="175">
        <f>IFERROR(ABS(E362-'02_대상물건입력'!B11)/'02_대상물건입력'!B11,"")</f>
        <v/>
      </c>
      <c r="S362" s="152">
        <f>IFERROR(ABS(J362-'02_대상물건입력'!B10),"")</f>
        <v/>
      </c>
      <c r="T362" s="152">
        <f>IFERROR(ABS('01_설정'!B4-F362),"")</f>
        <v/>
      </c>
      <c r="U362" s="152">
        <f>IFERROR(ABS(K362-YEAR('02_대상물건입력'!B14)),"")</f>
        <v/>
      </c>
      <c r="V362" s="152">
        <f>IF(B362="","",IF(AND(E362&gt;0,F362&gt;0,H362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362=1,TRUE()),R362&lt;='01_설정'!B5,S362&lt;='01_설정'!B6,T362&lt;='01_설정'!B7,U362&lt;='01_설정'!B8),"Y",""))</f>
        <v/>
      </c>
      <c r="W362" s="172">
        <f>IF(V362&lt;&gt;"Y","",MAX(0,(1-R362/'01_설정'!B5))*'01_설정'!B14+MAX(0,(1-S362/'01_설정'!B6))*'01_설정'!B15+MAX(0,(1-T362/'01_설정'!B7))*'01_설정'!B16+MAX(0,(1-U362/'01_설정'!B8))*'01_설정'!B17+O362*'01_설정'!B11+Q362*'01_설정'!B12+P362*'01_설정'!B13+IF(Z362="",0,Z362))</f>
        <v/>
      </c>
      <c r="X362" s="152">
        <f>IF(W362="","",1+COUNTIFS($W$4:$W$3003,"&gt;"&amp;W362)+COUNTIFS($W$4:W362,W362)-1)</f>
        <v/>
      </c>
      <c r="Y362" s="175">
        <f>IF(OR(I362="",'02_대상물건입력'!B19="",'02_대상물건입력'!B19&lt;=0),"",ABS(I362-'02_대상물건입력'!B19)/'02_대상물건입력'!B19)</f>
        <v/>
      </c>
      <c r="Z362" s="172">
        <f>IF(OR(Y362="",'01_설정'!B31="",'01_설정'!B31&lt;=0,'01_설정'!B32="",'01_설정'!B32&lt;=0),"",MAX(0,(1-Y362/'01_설정'!B32))*'01_설정'!B31)</f>
        <v/>
      </c>
    </row>
    <row r="363" ht="17.25" customHeight="1">
      <c r="A363" s="152">
        <f>IF(INDEX('04A_국토부원자료'!$A:$A,ROW()+1)="","",ROW()-3)</f>
        <v/>
      </c>
      <c r="B363" s="48">
        <f>IFERROR(INDEX('04A_국토부원자료'!$A:$T,ROW()+1,MATCH("시군구",'04A_국토부원자료'!$A$4:$T$4,0)),"")</f>
        <v/>
      </c>
      <c r="C363" s="48">
        <f>IF(B363="","",IFERROR(INDEX('04A_국토부원자료'!$A:$T,ROW()+1,MATCH("번지",'04A_국토부원자료'!$A$4:$T$4,0)),""))</f>
        <v/>
      </c>
      <c r="D363" s="48">
        <f>IF(B363="","",IF(Q363=1,'02_대상물건입력'!$B$8,IFERROR(INDEX('04A_국토부원자료'!$A:$T,ROW()+1,MATCH("단지명",'04A_국토부원자료'!$A$4:$T$4,0)),"")))</f>
        <v/>
      </c>
      <c r="E363" s="172">
        <f>IFERROR(VALUE(SUBSTITUTE(INDEX('04A_국토부원자료'!$A:$T,ROW()+1,MATCH("전용면적(㎡)",'04A_국토부원자료'!$A$4:$T$4,0)),",","")),"")</f>
        <v/>
      </c>
      <c r="F3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63" s="51">
        <f>IFERROR(VALUE(SUBSTITUTE(INDEX('04A_국토부원자료'!$A:$T,ROW()+1,MATCH("거래금액(만원)",'04A_국토부원자료'!$A$4:$T$4,0)),",","")),"")</f>
        <v/>
      </c>
      <c r="H363" s="174">
        <f>IF(G363="","",G363*10000)</f>
        <v/>
      </c>
      <c r="I363" s="174">
        <f>IFERROR(IF(AND(H363&gt;0,E363&gt;0),H363/E363,""),"")</f>
        <v/>
      </c>
      <c r="J363" s="152">
        <f>IFERROR(VALUE(SUBSTITUTE(INDEX('04A_국토부원자료'!$A:$T,ROW()+1,MATCH("층",'04A_국토부원자료'!$A$4:$T$4,0)),",","")),"")</f>
        <v/>
      </c>
      <c r="K363" s="152">
        <f>IFERROR(VALUE(SUBSTITUTE(INDEX('04A_국토부원자료'!$A:$T,ROW()+1,MATCH("건축년도",'04A_국토부원자료'!$A$4:$T$4,0)),",","")),"")</f>
        <v/>
      </c>
      <c r="L363" s="176">
        <f>IFERROR(INDEX('04A_국토부원자료'!$A:$T,ROW()+1,MATCH("도로명",'04A_국토부원자료'!$A$4:$T$4,0)),"")</f>
        <v/>
      </c>
      <c r="M363" s="48">
        <f>IFERROR(INDEX('04A_국토부원자료'!$A:$T,ROW()+1,MATCH("거래유형",'04A_국토부원자료'!$A$4:$T$4,0)),"")</f>
        <v/>
      </c>
      <c r="N363" s="152">
        <f>IF(B363="","",IF('02_대상물건입력'!B5="",1,IF(ISNUMBER(SEARCH('02_대상물건입력'!B5,B363)),1,0)))</f>
        <v/>
      </c>
      <c r="O363" s="152">
        <f>IF(B363="","",IF('02_대상물건입력'!B6="",1,IF(ISNUMBER(SEARCH('02_대상물건입력'!B6,B363)),1,0)))</f>
        <v/>
      </c>
      <c r="P363" s="152">
        <f>IF(L363="","",IF('02_대상물건입력'!B15="",0,IF(ISNUMBER(SEARCH('02_대상물건입력'!B15,L363)),1,0)))</f>
        <v/>
      </c>
      <c r="Q363" s="152">
        <f>IF(OR(C363="",L363=""),0,IF(AND(TRIM(C363)=TRIM(RIGHT(SUBSTITUTE(TRIM('02_대상물건입력'!$B$7)," ",REPT(" ",99)),99)),IF('02_대상물건입력'!B15="",TRUE(),ISNUMBER(SEARCH('02_대상물건입력'!B15,L363)))),1,0))</f>
        <v/>
      </c>
      <c r="R363" s="175">
        <f>IFERROR(ABS(E363-'02_대상물건입력'!B11)/'02_대상물건입력'!B11,"")</f>
        <v/>
      </c>
      <c r="S363" s="152">
        <f>IFERROR(ABS(J363-'02_대상물건입력'!B10),"")</f>
        <v/>
      </c>
      <c r="T363" s="152">
        <f>IFERROR(ABS('01_설정'!B4-F363),"")</f>
        <v/>
      </c>
      <c r="U363" s="152">
        <f>IFERROR(ABS(K363-YEAR('02_대상물건입력'!B14)),"")</f>
        <v/>
      </c>
      <c r="V363" s="152">
        <f>IF(B363="","",IF(AND(E363&gt;0,F363&gt;0,H363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363=1,TRUE()),R363&lt;='01_설정'!B5,S363&lt;='01_설정'!B6,T363&lt;='01_설정'!B7,U363&lt;='01_설정'!B8),"Y",""))</f>
        <v/>
      </c>
      <c r="W363" s="172">
        <f>IF(V363&lt;&gt;"Y","",MAX(0,(1-R363/'01_설정'!B5))*'01_설정'!B14+MAX(0,(1-S363/'01_설정'!B6))*'01_설정'!B15+MAX(0,(1-T363/'01_설정'!B7))*'01_설정'!B16+MAX(0,(1-U363/'01_설정'!B8))*'01_설정'!B17+O363*'01_설정'!B11+Q363*'01_설정'!B12+P363*'01_설정'!B13+IF(Z363="",0,Z363))</f>
        <v/>
      </c>
      <c r="X363" s="152">
        <f>IF(W363="","",1+COUNTIFS($W$4:$W$3003,"&gt;"&amp;W363)+COUNTIFS($W$4:W363,W363)-1)</f>
        <v/>
      </c>
      <c r="Y363" s="175">
        <f>IF(OR(I363="",'02_대상물건입력'!B19="",'02_대상물건입력'!B19&lt;=0),"",ABS(I363-'02_대상물건입력'!B19)/'02_대상물건입력'!B19)</f>
        <v/>
      </c>
      <c r="Z363" s="172">
        <f>IF(OR(Y363="",'01_설정'!B31="",'01_설정'!B31&lt;=0,'01_설정'!B32="",'01_설정'!B32&lt;=0),"",MAX(0,(1-Y363/'01_설정'!B32))*'01_설정'!B31)</f>
        <v/>
      </c>
    </row>
    <row r="364" ht="17.25" customHeight="1">
      <c r="A364" s="152">
        <f>IF(INDEX('04A_국토부원자료'!$A:$A,ROW()+1)="","",ROW()-3)</f>
        <v/>
      </c>
      <c r="B364" s="48">
        <f>IFERROR(INDEX('04A_국토부원자료'!$A:$T,ROW()+1,MATCH("시군구",'04A_국토부원자료'!$A$4:$T$4,0)),"")</f>
        <v/>
      </c>
      <c r="C364" s="48">
        <f>IF(B364="","",IFERROR(INDEX('04A_국토부원자료'!$A:$T,ROW()+1,MATCH("번지",'04A_국토부원자료'!$A$4:$T$4,0)),""))</f>
        <v/>
      </c>
      <c r="D364" s="48">
        <f>IF(B364="","",IF(Q364=1,'02_대상물건입력'!$B$8,IFERROR(INDEX('04A_국토부원자료'!$A:$T,ROW()+1,MATCH("단지명",'04A_국토부원자료'!$A$4:$T$4,0)),"")))</f>
        <v/>
      </c>
      <c r="E364" s="172">
        <f>IFERROR(VALUE(SUBSTITUTE(INDEX('04A_국토부원자료'!$A:$T,ROW()+1,MATCH("전용면적(㎡)",'04A_국토부원자료'!$A$4:$T$4,0)),",","")),"")</f>
        <v/>
      </c>
      <c r="F3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64" s="51">
        <f>IFERROR(VALUE(SUBSTITUTE(INDEX('04A_국토부원자료'!$A:$T,ROW()+1,MATCH("거래금액(만원)",'04A_국토부원자료'!$A$4:$T$4,0)),",","")),"")</f>
        <v/>
      </c>
      <c r="H364" s="174">
        <f>IF(G364="","",G364*10000)</f>
        <v/>
      </c>
      <c r="I364" s="174">
        <f>IFERROR(IF(AND(H364&gt;0,E364&gt;0),H364/E364,""),"")</f>
        <v/>
      </c>
      <c r="J364" s="152">
        <f>IFERROR(VALUE(SUBSTITUTE(INDEX('04A_국토부원자료'!$A:$T,ROW()+1,MATCH("층",'04A_국토부원자료'!$A$4:$T$4,0)),",","")),"")</f>
        <v/>
      </c>
      <c r="K364" s="152">
        <f>IFERROR(VALUE(SUBSTITUTE(INDEX('04A_국토부원자료'!$A:$T,ROW()+1,MATCH("건축년도",'04A_국토부원자료'!$A$4:$T$4,0)),",","")),"")</f>
        <v/>
      </c>
      <c r="L364" s="176">
        <f>IFERROR(INDEX('04A_국토부원자료'!$A:$T,ROW()+1,MATCH("도로명",'04A_국토부원자료'!$A$4:$T$4,0)),"")</f>
        <v/>
      </c>
      <c r="M364" s="48">
        <f>IFERROR(INDEX('04A_국토부원자료'!$A:$T,ROW()+1,MATCH("거래유형",'04A_국토부원자료'!$A$4:$T$4,0)),"")</f>
        <v/>
      </c>
      <c r="N364" s="152">
        <f>IF(B364="","",IF('02_대상물건입력'!B5="",1,IF(ISNUMBER(SEARCH('02_대상물건입력'!B5,B364)),1,0)))</f>
        <v/>
      </c>
      <c r="O364" s="152">
        <f>IF(B364="","",IF('02_대상물건입력'!B6="",1,IF(ISNUMBER(SEARCH('02_대상물건입력'!B6,B364)),1,0)))</f>
        <v/>
      </c>
      <c r="P364" s="152">
        <f>IF(L364="","",IF('02_대상물건입력'!B15="",0,IF(ISNUMBER(SEARCH('02_대상물건입력'!B15,L364)),1,0)))</f>
        <v/>
      </c>
      <c r="Q364" s="152">
        <f>IF(OR(C364="",L364=""),0,IF(AND(TRIM(C364)=TRIM(RIGHT(SUBSTITUTE(TRIM('02_대상물건입력'!$B$7)," ",REPT(" ",99)),99)),IF('02_대상물건입력'!B15="",TRUE(),ISNUMBER(SEARCH('02_대상물건입력'!B15,L364)))),1,0))</f>
        <v/>
      </c>
      <c r="R364" s="175">
        <f>IFERROR(ABS(E364-'02_대상물건입력'!B11)/'02_대상물건입력'!B11,"")</f>
        <v/>
      </c>
      <c r="S364" s="152">
        <f>IFERROR(ABS(J364-'02_대상물건입력'!B10),"")</f>
        <v/>
      </c>
      <c r="T364" s="152">
        <f>IFERROR(ABS('01_설정'!B4-F364),"")</f>
        <v/>
      </c>
      <c r="U364" s="152">
        <f>IFERROR(ABS(K364-YEAR('02_대상물건입력'!B14)),"")</f>
        <v/>
      </c>
      <c r="V364" s="152">
        <f>IF(B364="","",IF(AND(E364&gt;0,F364&gt;0,H364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364=1,TRUE()),R364&lt;='01_설정'!B5,S364&lt;='01_설정'!B6,T364&lt;='01_설정'!B7,U364&lt;='01_설정'!B8),"Y",""))</f>
        <v/>
      </c>
      <c r="W364" s="172">
        <f>IF(V364&lt;&gt;"Y","",MAX(0,(1-R364/'01_설정'!B5))*'01_설정'!B14+MAX(0,(1-S364/'01_설정'!B6))*'01_설정'!B15+MAX(0,(1-T364/'01_설정'!B7))*'01_설정'!B16+MAX(0,(1-U364/'01_설정'!B8))*'01_설정'!B17+O364*'01_설정'!B11+Q364*'01_설정'!B12+P364*'01_설정'!B13+IF(Z364="",0,Z364))</f>
        <v/>
      </c>
      <c r="X364" s="152">
        <f>IF(W364="","",1+COUNTIFS($W$4:$W$3003,"&gt;"&amp;W364)+COUNTIFS($W$4:W364,W364)-1)</f>
        <v/>
      </c>
      <c r="Y364" s="175">
        <f>IF(OR(I364="",'02_대상물건입력'!B19="",'02_대상물건입력'!B19&lt;=0),"",ABS(I364-'02_대상물건입력'!B19)/'02_대상물건입력'!B19)</f>
        <v/>
      </c>
      <c r="Z364" s="172">
        <f>IF(OR(Y364="",'01_설정'!B31="",'01_설정'!B31&lt;=0,'01_설정'!B32="",'01_설정'!B32&lt;=0),"",MAX(0,(1-Y364/'01_설정'!B32))*'01_설정'!B31)</f>
        <v/>
      </c>
    </row>
    <row r="365" ht="17.25" customHeight="1">
      <c r="A365" s="152">
        <f>IF(INDEX('04A_국토부원자료'!$A:$A,ROW()+1)="","",ROW()-3)</f>
        <v/>
      </c>
      <c r="B365" s="48">
        <f>IFERROR(INDEX('04A_국토부원자료'!$A:$T,ROW()+1,MATCH("시군구",'04A_국토부원자료'!$A$4:$T$4,0)),"")</f>
        <v/>
      </c>
      <c r="C365" s="48">
        <f>IF(B365="","",IFERROR(INDEX('04A_국토부원자료'!$A:$T,ROW()+1,MATCH("번지",'04A_국토부원자료'!$A$4:$T$4,0)),""))</f>
        <v/>
      </c>
      <c r="D365" s="48">
        <f>IF(B365="","",IF(Q365=1,'02_대상물건입력'!$B$8,IFERROR(INDEX('04A_국토부원자료'!$A:$T,ROW()+1,MATCH("단지명",'04A_국토부원자료'!$A$4:$T$4,0)),"")))</f>
        <v/>
      </c>
      <c r="E365" s="172">
        <f>IFERROR(VALUE(SUBSTITUTE(INDEX('04A_국토부원자료'!$A:$T,ROW()+1,MATCH("전용면적(㎡)",'04A_국토부원자료'!$A$4:$T$4,0)),",","")),"")</f>
        <v/>
      </c>
      <c r="F3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65" s="51">
        <f>IFERROR(VALUE(SUBSTITUTE(INDEX('04A_국토부원자료'!$A:$T,ROW()+1,MATCH("거래금액(만원)",'04A_국토부원자료'!$A$4:$T$4,0)),",","")),"")</f>
        <v/>
      </c>
      <c r="H365" s="174">
        <f>IF(G365="","",G365*10000)</f>
        <v/>
      </c>
      <c r="I365" s="174">
        <f>IFERROR(IF(AND(H365&gt;0,E365&gt;0),H365/E365,""),"")</f>
        <v/>
      </c>
      <c r="J365" s="152">
        <f>IFERROR(VALUE(SUBSTITUTE(INDEX('04A_국토부원자료'!$A:$T,ROW()+1,MATCH("층",'04A_국토부원자료'!$A$4:$T$4,0)),",","")),"")</f>
        <v/>
      </c>
      <c r="K365" s="152">
        <f>IFERROR(VALUE(SUBSTITUTE(INDEX('04A_국토부원자료'!$A:$T,ROW()+1,MATCH("건축년도",'04A_국토부원자료'!$A$4:$T$4,0)),",","")),"")</f>
        <v/>
      </c>
      <c r="L365" s="176">
        <f>IFERROR(INDEX('04A_국토부원자료'!$A:$T,ROW()+1,MATCH("도로명",'04A_국토부원자료'!$A$4:$T$4,0)),"")</f>
        <v/>
      </c>
      <c r="M365" s="48">
        <f>IFERROR(INDEX('04A_국토부원자료'!$A:$T,ROW()+1,MATCH("거래유형",'04A_국토부원자료'!$A$4:$T$4,0)),"")</f>
        <v/>
      </c>
      <c r="N365" s="152">
        <f>IF(B365="","",IF('02_대상물건입력'!B5="",1,IF(ISNUMBER(SEARCH('02_대상물건입력'!B5,B365)),1,0)))</f>
        <v/>
      </c>
      <c r="O365" s="152">
        <f>IF(B365="","",IF('02_대상물건입력'!B6="",1,IF(ISNUMBER(SEARCH('02_대상물건입력'!B6,B365)),1,0)))</f>
        <v/>
      </c>
      <c r="P365" s="152">
        <f>IF(L365="","",IF('02_대상물건입력'!B15="",0,IF(ISNUMBER(SEARCH('02_대상물건입력'!B15,L365)),1,0)))</f>
        <v/>
      </c>
      <c r="Q365" s="152">
        <f>IF(OR(C365="",L365=""),0,IF(AND(TRIM(C365)=TRIM(RIGHT(SUBSTITUTE(TRIM('02_대상물건입력'!$B$7)," ",REPT(" ",99)),99)),IF('02_대상물건입력'!B15="",TRUE(),ISNUMBER(SEARCH('02_대상물건입력'!B15,L365)))),1,0))</f>
        <v/>
      </c>
      <c r="R365" s="175">
        <f>IFERROR(ABS(E365-'02_대상물건입력'!B11)/'02_대상물건입력'!B11,"")</f>
        <v/>
      </c>
      <c r="S365" s="152">
        <f>IFERROR(ABS(J365-'02_대상물건입력'!B10),"")</f>
        <v/>
      </c>
      <c r="T365" s="152">
        <f>IFERROR(ABS('01_설정'!B4-F365),"")</f>
        <v/>
      </c>
      <c r="U365" s="152">
        <f>IFERROR(ABS(K365-YEAR('02_대상물건입력'!B14)),"")</f>
        <v/>
      </c>
      <c r="V365" s="152">
        <f>IF(B365="","",IF(AND(E365&gt;0,F365&gt;0,H365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365=1,TRUE()),R365&lt;='01_설정'!B5,S365&lt;='01_설정'!B6,T365&lt;='01_설정'!B7,U365&lt;='01_설정'!B8),"Y",""))</f>
        <v/>
      </c>
      <c r="W365" s="172">
        <f>IF(V365&lt;&gt;"Y","",MAX(0,(1-R365/'01_설정'!B5))*'01_설정'!B14+MAX(0,(1-S365/'01_설정'!B6))*'01_설정'!B15+MAX(0,(1-T365/'01_설정'!B7))*'01_설정'!B16+MAX(0,(1-U365/'01_설정'!B8))*'01_설정'!B17+O365*'01_설정'!B11+Q365*'01_설정'!B12+P365*'01_설정'!B13+IF(Z365="",0,Z365))</f>
        <v/>
      </c>
      <c r="X365" s="152">
        <f>IF(W365="","",1+COUNTIFS($W$4:$W$3003,"&gt;"&amp;W365)+COUNTIFS($W$4:W365,W365)-1)</f>
        <v/>
      </c>
      <c r="Y365" s="175">
        <f>IF(OR(I365="",'02_대상물건입력'!B19="",'02_대상물건입력'!B19&lt;=0),"",ABS(I365-'02_대상물건입력'!B19)/'02_대상물건입력'!B19)</f>
        <v/>
      </c>
      <c r="Z365" s="172">
        <f>IF(OR(Y365="",'01_설정'!B31="",'01_설정'!B31&lt;=0,'01_설정'!B32="",'01_설정'!B32&lt;=0),"",MAX(0,(1-Y365/'01_설정'!B32))*'01_설정'!B31)</f>
        <v/>
      </c>
    </row>
    <row r="366" ht="17.25" customHeight="1">
      <c r="A366" s="152">
        <f>IF(INDEX('04A_국토부원자료'!$A:$A,ROW()+1)="","",ROW()-3)</f>
        <v/>
      </c>
      <c r="B366" s="48">
        <f>IFERROR(INDEX('04A_국토부원자료'!$A:$T,ROW()+1,MATCH("시군구",'04A_국토부원자료'!$A$4:$T$4,0)),"")</f>
        <v/>
      </c>
      <c r="C366" s="48">
        <f>IF(B366="","",IFERROR(INDEX('04A_국토부원자료'!$A:$T,ROW()+1,MATCH("번지",'04A_국토부원자료'!$A$4:$T$4,0)),""))</f>
        <v/>
      </c>
      <c r="D366" s="48">
        <f>IF(B366="","",IF(Q366=1,'02_대상물건입력'!$B$8,IFERROR(INDEX('04A_국토부원자료'!$A:$T,ROW()+1,MATCH("단지명",'04A_국토부원자료'!$A$4:$T$4,0)),"")))</f>
        <v/>
      </c>
      <c r="E366" s="172">
        <f>IFERROR(VALUE(SUBSTITUTE(INDEX('04A_국토부원자료'!$A:$T,ROW()+1,MATCH("전용면적(㎡)",'04A_국토부원자료'!$A$4:$T$4,0)),",","")),"")</f>
        <v/>
      </c>
      <c r="F3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66" s="51">
        <f>IFERROR(VALUE(SUBSTITUTE(INDEX('04A_국토부원자료'!$A:$T,ROW()+1,MATCH("거래금액(만원)",'04A_국토부원자료'!$A$4:$T$4,0)),",","")),"")</f>
        <v/>
      </c>
      <c r="H366" s="174">
        <f>IF(G366="","",G366*10000)</f>
        <v/>
      </c>
      <c r="I366" s="174">
        <f>IFERROR(IF(AND(H366&gt;0,E366&gt;0),H366/E366,""),"")</f>
        <v/>
      </c>
      <c r="J366" s="152">
        <f>IFERROR(VALUE(SUBSTITUTE(INDEX('04A_국토부원자료'!$A:$T,ROW()+1,MATCH("층",'04A_국토부원자료'!$A$4:$T$4,0)),",","")),"")</f>
        <v/>
      </c>
      <c r="K366" s="152">
        <f>IFERROR(VALUE(SUBSTITUTE(INDEX('04A_국토부원자료'!$A:$T,ROW()+1,MATCH("건축년도",'04A_국토부원자료'!$A$4:$T$4,0)),",","")),"")</f>
        <v/>
      </c>
      <c r="L366" s="176">
        <f>IFERROR(INDEX('04A_국토부원자료'!$A:$T,ROW()+1,MATCH("도로명",'04A_국토부원자료'!$A$4:$T$4,0)),"")</f>
        <v/>
      </c>
      <c r="M366" s="48">
        <f>IFERROR(INDEX('04A_국토부원자료'!$A:$T,ROW()+1,MATCH("거래유형",'04A_국토부원자료'!$A$4:$T$4,0)),"")</f>
        <v/>
      </c>
      <c r="N366" s="152">
        <f>IF(B366="","",IF('02_대상물건입력'!B5="",1,IF(ISNUMBER(SEARCH('02_대상물건입력'!B5,B366)),1,0)))</f>
        <v/>
      </c>
      <c r="O366" s="152">
        <f>IF(B366="","",IF('02_대상물건입력'!B6="",1,IF(ISNUMBER(SEARCH('02_대상물건입력'!B6,B366)),1,0)))</f>
        <v/>
      </c>
      <c r="P366" s="152">
        <f>IF(L366="","",IF('02_대상물건입력'!B15="",0,IF(ISNUMBER(SEARCH('02_대상물건입력'!B15,L366)),1,0)))</f>
        <v/>
      </c>
      <c r="Q366" s="152">
        <f>IF(OR(C366="",L366=""),0,IF(AND(TRIM(C366)=TRIM(RIGHT(SUBSTITUTE(TRIM('02_대상물건입력'!$B$7)," ",REPT(" ",99)),99)),IF('02_대상물건입력'!B15="",TRUE(),ISNUMBER(SEARCH('02_대상물건입력'!B15,L366)))),1,0))</f>
        <v/>
      </c>
      <c r="R366" s="175">
        <f>IFERROR(ABS(E366-'02_대상물건입력'!B11)/'02_대상물건입력'!B11,"")</f>
        <v/>
      </c>
      <c r="S366" s="152">
        <f>IFERROR(ABS(J366-'02_대상물건입력'!B10),"")</f>
        <v/>
      </c>
      <c r="T366" s="152">
        <f>IFERROR(ABS('01_설정'!B4-F366),"")</f>
        <v/>
      </c>
      <c r="U366" s="152">
        <f>IFERROR(ABS(K366-YEAR('02_대상물건입력'!B14)),"")</f>
        <v/>
      </c>
      <c r="V366" s="152">
        <f>IF(B366="","",IF(AND(E366&gt;0,F366&gt;0,H366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366=1,TRUE()),R366&lt;='01_설정'!B5,S366&lt;='01_설정'!B6,T366&lt;='01_설정'!B7,U366&lt;='01_설정'!B8),"Y",""))</f>
        <v/>
      </c>
      <c r="W366" s="172">
        <f>IF(V366&lt;&gt;"Y","",MAX(0,(1-R366/'01_설정'!B5))*'01_설정'!B14+MAX(0,(1-S366/'01_설정'!B6))*'01_설정'!B15+MAX(0,(1-T366/'01_설정'!B7))*'01_설정'!B16+MAX(0,(1-U366/'01_설정'!B8))*'01_설정'!B17+O366*'01_설정'!B11+Q366*'01_설정'!B12+P366*'01_설정'!B13+IF(Z366="",0,Z366))</f>
        <v/>
      </c>
      <c r="X366" s="152">
        <f>IF(W366="","",1+COUNTIFS($W$4:$W$3003,"&gt;"&amp;W366)+COUNTIFS($W$4:W366,W366)-1)</f>
        <v/>
      </c>
      <c r="Y366" s="175">
        <f>IF(OR(I366="",'02_대상물건입력'!B19="",'02_대상물건입력'!B19&lt;=0),"",ABS(I366-'02_대상물건입력'!B19)/'02_대상물건입력'!B19)</f>
        <v/>
      </c>
      <c r="Z366" s="172">
        <f>IF(OR(Y366="",'01_설정'!B31="",'01_설정'!B31&lt;=0,'01_설정'!B32="",'01_설정'!B32&lt;=0),"",MAX(0,(1-Y366/'01_설정'!B32))*'01_설정'!B31)</f>
        <v/>
      </c>
    </row>
    <row r="367" ht="17.25" customHeight="1">
      <c r="A367" s="152">
        <f>IF(INDEX('04A_국토부원자료'!$A:$A,ROW()+1)="","",ROW()-3)</f>
        <v/>
      </c>
      <c r="B367" s="48">
        <f>IFERROR(INDEX('04A_국토부원자료'!$A:$T,ROW()+1,MATCH("시군구",'04A_국토부원자료'!$A$4:$T$4,0)),"")</f>
        <v/>
      </c>
      <c r="C367" s="48">
        <f>IF(B367="","",IFERROR(INDEX('04A_국토부원자료'!$A:$T,ROW()+1,MATCH("번지",'04A_국토부원자료'!$A$4:$T$4,0)),""))</f>
        <v/>
      </c>
      <c r="D367" s="48">
        <f>IF(B367="","",IF(Q367=1,'02_대상물건입력'!$B$8,IFERROR(INDEX('04A_국토부원자료'!$A:$T,ROW()+1,MATCH("단지명",'04A_국토부원자료'!$A$4:$T$4,0)),"")))</f>
        <v/>
      </c>
      <c r="E367" s="172">
        <f>IFERROR(VALUE(SUBSTITUTE(INDEX('04A_국토부원자료'!$A:$T,ROW()+1,MATCH("전용면적(㎡)",'04A_국토부원자료'!$A$4:$T$4,0)),",","")),"")</f>
        <v/>
      </c>
      <c r="F3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67" s="51">
        <f>IFERROR(VALUE(SUBSTITUTE(INDEX('04A_국토부원자료'!$A:$T,ROW()+1,MATCH("거래금액(만원)",'04A_국토부원자료'!$A$4:$T$4,0)),",","")),"")</f>
        <v/>
      </c>
      <c r="H367" s="174">
        <f>IF(G367="","",G367*10000)</f>
        <v/>
      </c>
      <c r="I367" s="174">
        <f>IFERROR(IF(AND(H367&gt;0,E367&gt;0),H367/E367,""),"")</f>
        <v/>
      </c>
      <c r="J367" s="152">
        <f>IFERROR(VALUE(SUBSTITUTE(INDEX('04A_국토부원자료'!$A:$T,ROW()+1,MATCH("층",'04A_국토부원자료'!$A$4:$T$4,0)),",","")),"")</f>
        <v/>
      </c>
      <c r="K367" s="152">
        <f>IFERROR(VALUE(SUBSTITUTE(INDEX('04A_국토부원자료'!$A:$T,ROW()+1,MATCH("건축년도",'04A_국토부원자료'!$A$4:$T$4,0)),",","")),"")</f>
        <v/>
      </c>
      <c r="L367" s="176">
        <f>IFERROR(INDEX('04A_국토부원자료'!$A:$T,ROW()+1,MATCH("도로명",'04A_국토부원자료'!$A$4:$T$4,0)),"")</f>
        <v/>
      </c>
      <c r="M367" s="48">
        <f>IFERROR(INDEX('04A_국토부원자료'!$A:$T,ROW()+1,MATCH("거래유형",'04A_국토부원자료'!$A$4:$T$4,0)),"")</f>
        <v/>
      </c>
      <c r="N367" s="152">
        <f>IF(B367="","",IF('02_대상물건입력'!B5="",1,IF(ISNUMBER(SEARCH('02_대상물건입력'!B5,B367)),1,0)))</f>
        <v/>
      </c>
      <c r="O367" s="152">
        <f>IF(B367="","",IF('02_대상물건입력'!B6="",1,IF(ISNUMBER(SEARCH('02_대상물건입력'!B6,B367)),1,0)))</f>
        <v/>
      </c>
      <c r="P367" s="152">
        <f>IF(L367="","",IF('02_대상물건입력'!B15="",0,IF(ISNUMBER(SEARCH('02_대상물건입력'!B15,L367)),1,0)))</f>
        <v/>
      </c>
      <c r="Q367" s="152">
        <f>IF(OR(C367="",L367=""),0,IF(AND(TRIM(C367)=TRIM(RIGHT(SUBSTITUTE(TRIM('02_대상물건입력'!$B$7)," ",REPT(" ",99)),99)),IF('02_대상물건입력'!B15="",TRUE(),ISNUMBER(SEARCH('02_대상물건입력'!B15,L367)))),1,0))</f>
        <v/>
      </c>
      <c r="R367" s="175">
        <f>IFERROR(ABS(E367-'02_대상물건입력'!B11)/'02_대상물건입력'!B11,"")</f>
        <v/>
      </c>
      <c r="S367" s="152">
        <f>IFERROR(ABS(J367-'02_대상물건입력'!B10),"")</f>
        <v/>
      </c>
      <c r="T367" s="152">
        <f>IFERROR(ABS('01_설정'!B4-F367),"")</f>
        <v/>
      </c>
      <c r="U367" s="152">
        <f>IFERROR(ABS(K367-YEAR('02_대상물건입력'!B14)),"")</f>
        <v/>
      </c>
      <c r="V367" s="152">
        <f>IF(B367="","",IF(AND(E367&gt;0,F367&gt;0,H367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367=1,TRUE()),R367&lt;='01_설정'!B5,S367&lt;='01_설정'!B6,T367&lt;='01_설정'!B7,U367&lt;='01_설정'!B8),"Y",""))</f>
        <v/>
      </c>
      <c r="W367" s="172">
        <f>IF(V367&lt;&gt;"Y","",MAX(0,(1-R367/'01_설정'!B5))*'01_설정'!B14+MAX(0,(1-S367/'01_설정'!B6))*'01_설정'!B15+MAX(0,(1-T367/'01_설정'!B7))*'01_설정'!B16+MAX(0,(1-U367/'01_설정'!B8))*'01_설정'!B17+O367*'01_설정'!B11+Q367*'01_설정'!B12+P367*'01_설정'!B13+IF(Z367="",0,Z367))</f>
        <v/>
      </c>
      <c r="X367" s="152">
        <f>IF(W367="","",1+COUNTIFS($W$4:$W$3003,"&gt;"&amp;W367)+COUNTIFS($W$4:W367,W367)-1)</f>
        <v/>
      </c>
      <c r="Y367" s="175">
        <f>IF(OR(I367="",'02_대상물건입력'!B19="",'02_대상물건입력'!B19&lt;=0),"",ABS(I367-'02_대상물건입력'!B19)/'02_대상물건입력'!B19)</f>
        <v/>
      </c>
      <c r="Z367" s="172">
        <f>IF(OR(Y367="",'01_설정'!B31="",'01_설정'!B31&lt;=0,'01_설정'!B32="",'01_설정'!B32&lt;=0),"",MAX(0,(1-Y367/'01_설정'!B32))*'01_설정'!B31)</f>
        <v/>
      </c>
    </row>
    <row r="368" ht="17.25" customHeight="1">
      <c r="A368" s="152">
        <f>IF(INDEX('04A_국토부원자료'!$A:$A,ROW()+1)="","",ROW()-3)</f>
        <v/>
      </c>
      <c r="B368" s="48">
        <f>IFERROR(INDEX('04A_국토부원자료'!$A:$T,ROW()+1,MATCH("시군구",'04A_국토부원자료'!$A$4:$T$4,0)),"")</f>
        <v/>
      </c>
      <c r="C368" s="48">
        <f>IF(B368="","",IFERROR(INDEX('04A_국토부원자료'!$A:$T,ROW()+1,MATCH("번지",'04A_국토부원자료'!$A$4:$T$4,0)),""))</f>
        <v/>
      </c>
      <c r="D368" s="48">
        <f>IF(B368="","",IF(Q368=1,'02_대상물건입력'!$B$8,IFERROR(INDEX('04A_국토부원자료'!$A:$T,ROW()+1,MATCH("단지명",'04A_국토부원자료'!$A$4:$T$4,0)),"")))</f>
        <v/>
      </c>
      <c r="E368" s="172">
        <f>IFERROR(VALUE(SUBSTITUTE(INDEX('04A_국토부원자료'!$A:$T,ROW()+1,MATCH("전용면적(㎡)",'04A_국토부원자료'!$A$4:$T$4,0)),",","")),"")</f>
        <v/>
      </c>
      <c r="F3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68" s="51">
        <f>IFERROR(VALUE(SUBSTITUTE(INDEX('04A_국토부원자료'!$A:$T,ROW()+1,MATCH("거래금액(만원)",'04A_국토부원자료'!$A$4:$T$4,0)),",","")),"")</f>
        <v/>
      </c>
      <c r="H368" s="174">
        <f>IF(G368="","",G368*10000)</f>
        <v/>
      </c>
      <c r="I368" s="174">
        <f>IFERROR(IF(AND(H368&gt;0,E368&gt;0),H368/E368,""),"")</f>
        <v/>
      </c>
      <c r="J368" s="152">
        <f>IFERROR(VALUE(SUBSTITUTE(INDEX('04A_국토부원자료'!$A:$T,ROW()+1,MATCH("층",'04A_국토부원자료'!$A$4:$T$4,0)),",","")),"")</f>
        <v/>
      </c>
      <c r="K368" s="152">
        <f>IFERROR(VALUE(SUBSTITUTE(INDEX('04A_국토부원자료'!$A:$T,ROW()+1,MATCH("건축년도",'04A_국토부원자료'!$A$4:$T$4,0)),",","")),"")</f>
        <v/>
      </c>
      <c r="L368" s="176">
        <f>IFERROR(INDEX('04A_국토부원자료'!$A:$T,ROW()+1,MATCH("도로명",'04A_국토부원자료'!$A$4:$T$4,0)),"")</f>
        <v/>
      </c>
      <c r="M368" s="48">
        <f>IFERROR(INDEX('04A_국토부원자료'!$A:$T,ROW()+1,MATCH("거래유형",'04A_국토부원자료'!$A$4:$T$4,0)),"")</f>
        <v/>
      </c>
      <c r="N368" s="152">
        <f>IF(B368="","",IF('02_대상물건입력'!B5="",1,IF(ISNUMBER(SEARCH('02_대상물건입력'!B5,B368)),1,0)))</f>
        <v/>
      </c>
      <c r="O368" s="152">
        <f>IF(B368="","",IF('02_대상물건입력'!B6="",1,IF(ISNUMBER(SEARCH('02_대상물건입력'!B6,B368)),1,0)))</f>
        <v/>
      </c>
      <c r="P368" s="152">
        <f>IF(L368="","",IF('02_대상물건입력'!B15="",0,IF(ISNUMBER(SEARCH('02_대상물건입력'!B15,L368)),1,0)))</f>
        <v/>
      </c>
      <c r="Q368" s="152">
        <f>IF(OR(C368="",L368=""),0,IF(AND(TRIM(C368)=TRIM(RIGHT(SUBSTITUTE(TRIM('02_대상물건입력'!$B$7)," ",REPT(" ",99)),99)),IF('02_대상물건입력'!B15="",TRUE(),ISNUMBER(SEARCH('02_대상물건입력'!B15,L368)))),1,0))</f>
        <v/>
      </c>
      <c r="R368" s="175">
        <f>IFERROR(ABS(E368-'02_대상물건입력'!B11)/'02_대상물건입력'!B11,"")</f>
        <v/>
      </c>
      <c r="S368" s="152">
        <f>IFERROR(ABS(J368-'02_대상물건입력'!B10),"")</f>
        <v/>
      </c>
      <c r="T368" s="152">
        <f>IFERROR(ABS('01_설정'!B4-F368),"")</f>
        <v/>
      </c>
      <c r="U368" s="152">
        <f>IFERROR(ABS(K368-YEAR('02_대상물건입력'!B14)),"")</f>
        <v/>
      </c>
      <c r="V368" s="152">
        <f>IF(B368="","",IF(AND(E368&gt;0,F368&gt;0,H368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368=1,TRUE()),R368&lt;='01_설정'!B5,S368&lt;='01_설정'!B6,T368&lt;='01_설정'!B7,U368&lt;='01_설정'!B8),"Y",""))</f>
        <v/>
      </c>
      <c r="W368" s="172">
        <f>IF(V368&lt;&gt;"Y","",MAX(0,(1-R368/'01_설정'!B5))*'01_설정'!B14+MAX(0,(1-S368/'01_설정'!B6))*'01_설정'!B15+MAX(0,(1-T368/'01_설정'!B7))*'01_설정'!B16+MAX(0,(1-U368/'01_설정'!B8))*'01_설정'!B17+O368*'01_설정'!B11+Q368*'01_설정'!B12+P368*'01_설정'!B13+IF(Z368="",0,Z368))</f>
        <v/>
      </c>
      <c r="X368" s="152">
        <f>IF(W368="","",1+COUNTIFS($W$4:$W$3003,"&gt;"&amp;W368)+COUNTIFS($W$4:W368,W368)-1)</f>
        <v/>
      </c>
      <c r="Y368" s="175">
        <f>IF(OR(I368="",'02_대상물건입력'!B19="",'02_대상물건입력'!B19&lt;=0),"",ABS(I368-'02_대상물건입력'!B19)/'02_대상물건입력'!B19)</f>
        <v/>
      </c>
      <c r="Z368" s="172">
        <f>IF(OR(Y368="",'01_설정'!B31="",'01_설정'!B31&lt;=0,'01_설정'!B32="",'01_설정'!B32&lt;=0),"",MAX(0,(1-Y368/'01_설정'!B32))*'01_설정'!B31)</f>
        <v/>
      </c>
    </row>
    <row r="369" ht="17.25" customHeight="1">
      <c r="A369" s="152">
        <f>IF(INDEX('04A_국토부원자료'!$A:$A,ROW()+1)="","",ROW()-3)</f>
        <v/>
      </c>
      <c r="B369" s="48">
        <f>IFERROR(INDEX('04A_국토부원자료'!$A:$T,ROW()+1,MATCH("시군구",'04A_국토부원자료'!$A$4:$T$4,0)),"")</f>
        <v/>
      </c>
      <c r="C369" s="48">
        <f>IF(B369="","",IFERROR(INDEX('04A_국토부원자료'!$A:$T,ROW()+1,MATCH("번지",'04A_국토부원자료'!$A$4:$T$4,0)),""))</f>
        <v/>
      </c>
      <c r="D369" s="48">
        <f>IF(B369="","",IF(Q369=1,'02_대상물건입력'!$B$8,IFERROR(INDEX('04A_국토부원자료'!$A:$T,ROW()+1,MATCH("단지명",'04A_국토부원자료'!$A$4:$T$4,0)),"")))</f>
        <v/>
      </c>
      <c r="E369" s="172">
        <f>IFERROR(VALUE(SUBSTITUTE(INDEX('04A_국토부원자료'!$A:$T,ROW()+1,MATCH("전용면적(㎡)",'04A_국토부원자료'!$A$4:$T$4,0)),",","")),"")</f>
        <v/>
      </c>
      <c r="F3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69" s="51">
        <f>IFERROR(VALUE(SUBSTITUTE(INDEX('04A_국토부원자료'!$A:$T,ROW()+1,MATCH("거래금액(만원)",'04A_국토부원자료'!$A$4:$T$4,0)),",","")),"")</f>
        <v/>
      </c>
      <c r="H369" s="174">
        <f>IF(G369="","",G369*10000)</f>
        <v/>
      </c>
      <c r="I369" s="174">
        <f>IFERROR(IF(AND(H369&gt;0,E369&gt;0),H369/E369,""),"")</f>
        <v/>
      </c>
      <c r="J369" s="152">
        <f>IFERROR(VALUE(SUBSTITUTE(INDEX('04A_국토부원자료'!$A:$T,ROW()+1,MATCH("층",'04A_국토부원자료'!$A$4:$T$4,0)),",","")),"")</f>
        <v/>
      </c>
      <c r="K369" s="152">
        <f>IFERROR(VALUE(SUBSTITUTE(INDEX('04A_국토부원자료'!$A:$T,ROW()+1,MATCH("건축년도",'04A_국토부원자료'!$A$4:$T$4,0)),",","")),"")</f>
        <v/>
      </c>
      <c r="L369" s="176">
        <f>IFERROR(INDEX('04A_국토부원자료'!$A:$T,ROW()+1,MATCH("도로명",'04A_국토부원자료'!$A$4:$T$4,0)),"")</f>
        <v/>
      </c>
      <c r="M369" s="48">
        <f>IFERROR(INDEX('04A_국토부원자료'!$A:$T,ROW()+1,MATCH("거래유형",'04A_국토부원자료'!$A$4:$T$4,0)),"")</f>
        <v/>
      </c>
      <c r="N369" s="152">
        <f>IF(B369="","",IF('02_대상물건입력'!B5="",1,IF(ISNUMBER(SEARCH('02_대상물건입력'!B5,B369)),1,0)))</f>
        <v/>
      </c>
      <c r="O369" s="152">
        <f>IF(B369="","",IF('02_대상물건입력'!B6="",1,IF(ISNUMBER(SEARCH('02_대상물건입력'!B6,B369)),1,0)))</f>
        <v/>
      </c>
      <c r="P369" s="152">
        <f>IF(L369="","",IF('02_대상물건입력'!B15="",0,IF(ISNUMBER(SEARCH('02_대상물건입력'!B15,L369)),1,0)))</f>
        <v/>
      </c>
      <c r="Q369" s="152">
        <f>IF(OR(C369="",L369=""),0,IF(AND(TRIM(C369)=TRIM(RIGHT(SUBSTITUTE(TRIM('02_대상물건입력'!$B$7)," ",REPT(" ",99)),99)),IF('02_대상물건입력'!B15="",TRUE(),ISNUMBER(SEARCH('02_대상물건입력'!B15,L369)))),1,0))</f>
        <v/>
      </c>
      <c r="R369" s="175">
        <f>IFERROR(ABS(E369-'02_대상물건입력'!B11)/'02_대상물건입력'!B11,"")</f>
        <v/>
      </c>
      <c r="S369" s="152">
        <f>IFERROR(ABS(J369-'02_대상물건입력'!B10),"")</f>
        <v/>
      </c>
      <c r="T369" s="152">
        <f>IFERROR(ABS('01_설정'!B4-F369),"")</f>
        <v/>
      </c>
      <c r="U369" s="152">
        <f>IFERROR(ABS(K369-YEAR('02_대상물건입력'!B14)),"")</f>
        <v/>
      </c>
      <c r="V369" s="152">
        <f>IF(B369="","",IF(AND(E369&gt;0,F369&gt;0,H369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369=1,TRUE()),R369&lt;='01_설정'!B5,S369&lt;='01_설정'!B6,T369&lt;='01_설정'!B7,U369&lt;='01_설정'!B8),"Y",""))</f>
        <v/>
      </c>
      <c r="W369" s="172">
        <f>IF(V369&lt;&gt;"Y","",MAX(0,(1-R369/'01_설정'!B5))*'01_설정'!B14+MAX(0,(1-S369/'01_설정'!B6))*'01_설정'!B15+MAX(0,(1-T369/'01_설정'!B7))*'01_설정'!B16+MAX(0,(1-U369/'01_설정'!B8))*'01_설정'!B17+O369*'01_설정'!B11+Q369*'01_설정'!B12+P369*'01_설정'!B13+IF(Z369="",0,Z369))</f>
        <v/>
      </c>
      <c r="X369" s="152">
        <f>IF(W369="","",1+COUNTIFS($W$4:$W$3003,"&gt;"&amp;W369)+COUNTIFS($W$4:W369,W369)-1)</f>
        <v/>
      </c>
      <c r="Y369" s="175">
        <f>IF(OR(I369="",'02_대상물건입력'!B19="",'02_대상물건입력'!B19&lt;=0),"",ABS(I369-'02_대상물건입력'!B19)/'02_대상물건입력'!B19)</f>
        <v/>
      </c>
      <c r="Z369" s="172">
        <f>IF(OR(Y369="",'01_설정'!B31="",'01_설정'!B31&lt;=0,'01_설정'!B32="",'01_설정'!B32&lt;=0),"",MAX(0,(1-Y369/'01_설정'!B32))*'01_설정'!B31)</f>
        <v/>
      </c>
    </row>
    <row r="370" ht="17.25" customHeight="1">
      <c r="A370" s="152">
        <f>IF(INDEX('04A_국토부원자료'!$A:$A,ROW()+1)="","",ROW()-3)</f>
        <v/>
      </c>
      <c r="B370" s="48">
        <f>IFERROR(INDEX('04A_국토부원자료'!$A:$T,ROW()+1,MATCH("시군구",'04A_국토부원자료'!$A$4:$T$4,0)),"")</f>
        <v/>
      </c>
      <c r="C370" s="48">
        <f>IF(B370="","",IFERROR(INDEX('04A_국토부원자료'!$A:$T,ROW()+1,MATCH("번지",'04A_국토부원자료'!$A$4:$T$4,0)),""))</f>
        <v/>
      </c>
      <c r="D370" s="48">
        <f>IF(B370="","",IF(Q370=1,'02_대상물건입력'!$B$8,IFERROR(INDEX('04A_국토부원자료'!$A:$T,ROW()+1,MATCH("단지명",'04A_국토부원자료'!$A$4:$T$4,0)),"")))</f>
        <v/>
      </c>
      <c r="E370" s="172">
        <f>IFERROR(VALUE(SUBSTITUTE(INDEX('04A_국토부원자료'!$A:$T,ROW()+1,MATCH("전용면적(㎡)",'04A_국토부원자료'!$A$4:$T$4,0)),",","")),"")</f>
        <v/>
      </c>
      <c r="F3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70" s="51">
        <f>IFERROR(VALUE(SUBSTITUTE(INDEX('04A_국토부원자료'!$A:$T,ROW()+1,MATCH("거래금액(만원)",'04A_국토부원자료'!$A$4:$T$4,0)),",","")),"")</f>
        <v/>
      </c>
      <c r="H370" s="174">
        <f>IF(G370="","",G370*10000)</f>
        <v/>
      </c>
      <c r="I370" s="174">
        <f>IFERROR(IF(AND(H370&gt;0,E370&gt;0),H370/E370,""),"")</f>
        <v/>
      </c>
      <c r="J370" s="152">
        <f>IFERROR(VALUE(SUBSTITUTE(INDEX('04A_국토부원자료'!$A:$T,ROW()+1,MATCH("층",'04A_국토부원자료'!$A$4:$T$4,0)),",","")),"")</f>
        <v/>
      </c>
      <c r="K370" s="152">
        <f>IFERROR(VALUE(SUBSTITUTE(INDEX('04A_국토부원자료'!$A:$T,ROW()+1,MATCH("건축년도",'04A_국토부원자료'!$A$4:$T$4,0)),",","")),"")</f>
        <v/>
      </c>
      <c r="L370" s="176">
        <f>IFERROR(INDEX('04A_국토부원자료'!$A:$T,ROW()+1,MATCH("도로명",'04A_국토부원자료'!$A$4:$T$4,0)),"")</f>
        <v/>
      </c>
      <c r="M370" s="48">
        <f>IFERROR(INDEX('04A_국토부원자료'!$A:$T,ROW()+1,MATCH("거래유형",'04A_국토부원자료'!$A$4:$T$4,0)),"")</f>
        <v/>
      </c>
      <c r="N370" s="152">
        <f>IF(B370="","",IF('02_대상물건입력'!B5="",1,IF(ISNUMBER(SEARCH('02_대상물건입력'!B5,B370)),1,0)))</f>
        <v/>
      </c>
      <c r="O370" s="152">
        <f>IF(B370="","",IF('02_대상물건입력'!B6="",1,IF(ISNUMBER(SEARCH('02_대상물건입력'!B6,B370)),1,0)))</f>
        <v/>
      </c>
      <c r="P370" s="152">
        <f>IF(L370="","",IF('02_대상물건입력'!B15="",0,IF(ISNUMBER(SEARCH('02_대상물건입력'!B15,L370)),1,0)))</f>
        <v/>
      </c>
      <c r="Q370" s="152">
        <f>IF(OR(C370="",L370=""),0,IF(AND(TRIM(C370)=TRIM(RIGHT(SUBSTITUTE(TRIM('02_대상물건입력'!$B$7)," ",REPT(" ",99)),99)),IF('02_대상물건입력'!B15="",TRUE(),ISNUMBER(SEARCH('02_대상물건입력'!B15,L370)))),1,0))</f>
        <v/>
      </c>
      <c r="R370" s="175">
        <f>IFERROR(ABS(E370-'02_대상물건입력'!B11)/'02_대상물건입력'!B11,"")</f>
        <v/>
      </c>
      <c r="S370" s="152">
        <f>IFERROR(ABS(J370-'02_대상물건입력'!B10),"")</f>
        <v/>
      </c>
      <c r="T370" s="152">
        <f>IFERROR(ABS('01_설정'!B4-F370),"")</f>
        <v/>
      </c>
      <c r="U370" s="152">
        <f>IFERROR(ABS(K370-YEAR('02_대상물건입력'!B14)),"")</f>
        <v/>
      </c>
      <c r="V370" s="152">
        <f>IF(B370="","",IF(AND(E370&gt;0,F370&gt;0,H370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370=1,TRUE()),R370&lt;='01_설정'!B5,S370&lt;='01_설정'!B6,T370&lt;='01_설정'!B7,U370&lt;='01_설정'!B8),"Y",""))</f>
        <v/>
      </c>
      <c r="W370" s="172">
        <f>IF(V370&lt;&gt;"Y","",MAX(0,(1-R370/'01_설정'!B5))*'01_설정'!B14+MAX(0,(1-S370/'01_설정'!B6))*'01_설정'!B15+MAX(0,(1-T370/'01_설정'!B7))*'01_설정'!B16+MAX(0,(1-U370/'01_설정'!B8))*'01_설정'!B17+O370*'01_설정'!B11+Q370*'01_설정'!B12+P370*'01_설정'!B13+IF(Z370="",0,Z370))</f>
        <v/>
      </c>
      <c r="X370" s="152">
        <f>IF(W370="","",1+COUNTIFS($W$4:$W$3003,"&gt;"&amp;W370)+COUNTIFS($W$4:W370,W370)-1)</f>
        <v/>
      </c>
      <c r="Y370" s="175">
        <f>IF(OR(I370="",'02_대상물건입력'!B19="",'02_대상물건입력'!B19&lt;=0),"",ABS(I370-'02_대상물건입력'!B19)/'02_대상물건입력'!B19)</f>
        <v/>
      </c>
      <c r="Z370" s="172">
        <f>IF(OR(Y370="",'01_설정'!B31="",'01_설정'!B31&lt;=0,'01_설정'!B32="",'01_설정'!B32&lt;=0),"",MAX(0,(1-Y370/'01_설정'!B32))*'01_설정'!B31)</f>
        <v/>
      </c>
    </row>
    <row r="371" ht="17.25" customHeight="1">
      <c r="A371" s="152">
        <f>IF(INDEX('04A_국토부원자료'!$A:$A,ROW()+1)="","",ROW()-3)</f>
        <v/>
      </c>
      <c r="B371" s="48">
        <f>IFERROR(INDEX('04A_국토부원자료'!$A:$T,ROW()+1,MATCH("시군구",'04A_국토부원자료'!$A$4:$T$4,0)),"")</f>
        <v/>
      </c>
      <c r="C371" s="48">
        <f>IF(B371="","",IFERROR(INDEX('04A_국토부원자료'!$A:$T,ROW()+1,MATCH("번지",'04A_국토부원자료'!$A$4:$T$4,0)),""))</f>
        <v/>
      </c>
      <c r="D371" s="48">
        <f>IF(B371="","",IF(Q371=1,'02_대상물건입력'!$B$8,IFERROR(INDEX('04A_국토부원자료'!$A:$T,ROW()+1,MATCH("단지명",'04A_국토부원자료'!$A$4:$T$4,0)),"")))</f>
        <v/>
      </c>
      <c r="E371" s="172">
        <f>IFERROR(VALUE(SUBSTITUTE(INDEX('04A_국토부원자료'!$A:$T,ROW()+1,MATCH("전용면적(㎡)",'04A_국토부원자료'!$A$4:$T$4,0)),",","")),"")</f>
        <v/>
      </c>
      <c r="F3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71" s="51">
        <f>IFERROR(VALUE(SUBSTITUTE(INDEX('04A_국토부원자료'!$A:$T,ROW()+1,MATCH("거래금액(만원)",'04A_국토부원자료'!$A$4:$T$4,0)),",","")),"")</f>
        <v/>
      </c>
      <c r="H371" s="174">
        <f>IF(G371="","",G371*10000)</f>
        <v/>
      </c>
      <c r="I371" s="174">
        <f>IFERROR(IF(AND(H371&gt;0,E371&gt;0),H371/E371,""),"")</f>
        <v/>
      </c>
      <c r="J371" s="152">
        <f>IFERROR(VALUE(SUBSTITUTE(INDEX('04A_국토부원자료'!$A:$T,ROW()+1,MATCH("층",'04A_국토부원자료'!$A$4:$T$4,0)),",","")),"")</f>
        <v/>
      </c>
      <c r="K371" s="152">
        <f>IFERROR(VALUE(SUBSTITUTE(INDEX('04A_국토부원자료'!$A:$T,ROW()+1,MATCH("건축년도",'04A_국토부원자료'!$A$4:$T$4,0)),",","")),"")</f>
        <v/>
      </c>
      <c r="L371" s="176">
        <f>IFERROR(INDEX('04A_국토부원자료'!$A:$T,ROW()+1,MATCH("도로명",'04A_국토부원자료'!$A$4:$T$4,0)),"")</f>
        <v/>
      </c>
      <c r="M371" s="48">
        <f>IFERROR(INDEX('04A_국토부원자료'!$A:$T,ROW()+1,MATCH("거래유형",'04A_국토부원자료'!$A$4:$T$4,0)),"")</f>
        <v/>
      </c>
      <c r="N371" s="152">
        <f>IF(B371="","",IF('02_대상물건입력'!B5="",1,IF(ISNUMBER(SEARCH('02_대상물건입력'!B5,B371)),1,0)))</f>
        <v/>
      </c>
      <c r="O371" s="152">
        <f>IF(B371="","",IF('02_대상물건입력'!B6="",1,IF(ISNUMBER(SEARCH('02_대상물건입력'!B6,B371)),1,0)))</f>
        <v/>
      </c>
      <c r="P371" s="152">
        <f>IF(L371="","",IF('02_대상물건입력'!B15="",0,IF(ISNUMBER(SEARCH('02_대상물건입력'!B15,L371)),1,0)))</f>
        <v/>
      </c>
      <c r="Q371" s="152">
        <f>IF(OR(C371="",L371=""),0,IF(AND(TRIM(C371)=TRIM(RIGHT(SUBSTITUTE(TRIM('02_대상물건입력'!$B$7)," ",REPT(" ",99)),99)),IF('02_대상물건입력'!B15="",TRUE(),ISNUMBER(SEARCH('02_대상물건입력'!B15,L371)))),1,0))</f>
        <v/>
      </c>
      <c r="R371" s="175">
        <f>IFERROR(ABS(E371-'02_대상물건입력'!B11)/'02_대상물건입력'!B11,"")</f>
        <v/>
      </c>
      <c r="S371" s="152">
        <f>IFERROR(ABS(J371-'02_대상물건입력'!B10),"")</f>
        <v/>
      </c>
      <c r="T371" s="152">
        <f>IFERROR(ABS('01_설정'!B4-F371),"")</f>
        <v/>
      </c>
      <c r="U371" s="152">
        <f>IFERROR(ABS(K371-YEAR('02_대상물건입력'!B14)),"")</f>
        <v/>
      </c>
      <c r="V371" s="152">
        <f>IF(B371="","",IF(AND(E371&gt;0,F371&gt;0,H371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371=1,TRUE()),R371&lt;='01_설정'!B5,S371&lt;='01_설정'!B6,T371&lt;='01_설정'!B7,U371&lt;='01_설정'!B8),"Y",""))</f>
        <v/>
      </c>
      <c r="W371" s="172">
        <f>IF(V371&lt;&gt;"Y","",MAX(0,(1-R371/'01_설정'!B5))*'01_설정'!B14+MAX(0,(1-S371/'01_설정'!B6))*'01_설정'!B15+MAX(0,(1-T371/'01_설정'!B7))*'01_설정'!B16+MAX(0,(1-U371/'01_설정'!B8))*'01_설정'!B17+O371*'01_설정'!B11+Q371*'01_설정'!B12+P371*'01_설정'!B13+IF(Z371="",0,Z371))</f>
        <v/>
      </c>
      <c r="X371" s="152">
        <f>IF(W371="","",1+COUNTIFS($W$4:$W$3003,"&gt;"&amp;W371)+COUNTIFS($W$4:W371,W371)-1)</f>
        <v/>
      </c>
      <c r="Y371" s="175">
        <f>IF(OR(I371="",'02_대상물건입력'!B19="",'02_대상물건입력'!B19&lt;=0),"",ABS(I371-'02_대상물건입력'!B19)/'02_대상물건입력'!B19)</f>
        <v/>
      </c>
      <c r="Z371" s="172">
        <f>IF(OR(Y371="",'01_설정'!B31="",'01_설정'!B31&lt;=0,'01_설정'!B32="",'01_설정'!B32&lt;=0),"",MAX(0,(1-Y371/'01_설정'!B32))*'01_설정'!B31)</f>
        <v/>
      </c>
    </row>
    <row r="372" ht="17.25" customHeight="1">
      <c r="A372" s="152">
        <f>IF(INDEX('04A_국토부원자료'!$A:$A,ROW()+1)="","",ROW()-3)</f>
        <v/>
      </c>
      <c r="B372" s="48">
        <f>IFERROR(INDEX('04A_국토부원자료'!$A:$T,ROW()+1,MATCH("시군구",'04A_국토부원자료'!$A$4:$T$4,0)),"")</f>
        <v/>
      </c>
      <c r="C372" s="48">
        <f>IF(B372="","",IFERROR(INDEX('04A_국토부원자료'!$A:$T,ROW()+1,MATCH("번지",'04A_국토부원자료'!$A$4:$T$4,0)),""))</f>
        <v/>
      </c>
      <c r="D372" s="48">
        <f>IF(B372="","",IF(Q372=1,'02_대상물건입력'!$B$8,IFERROR(INDEX('04A_국토부원자료'!$A:$T,ROW()+1,MATCH("단지명",'04A_국토부원자료'!$A$4:$T$4,0)),"")))</f>
        <v/>
      </c>
      <c r="E372" s="172">
        <f>IFERROR(VALUE(SUBSTITUTE(INDEX('04A_국토부원자료'!$A:$T,ROW()+1,MATCH("전용면적(㎡)",'04A_국토부원자료'!$A$4:$T$4,0)),",","")),"")</f>
        <v/>
      </c>
      <c r="F3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72" s="51">
        <f>IFERROR(VALUE(SUBSTITUTE(INDEX('04A_국토부원자료'!$A:$T,ROW()+1,MATCH("거래금액(만원)",'04A_국토부원자료'!$A$4:$T$4,0)),",","")),"")</f>
        <v/>
      </c>
      <c r="H372" s="174">
        <f>IF(G372="","",G372*10000)</f>
        <v/>
      </c>
      <c r="I372" s="174">
        <f>IFERROR(IF(AND(H372&gt;0,E372&gt;0),H372/E372,""),"")</f>
        <v/>
      </c>
      <c r="J372" s="152">
        <f>IFERROR(VALUE(SUBSTITUTE(INDEX('04A_국토부원자료'!$A:$T,ROW()+1,MATCH("층",'04A_국토부원자료'!$A$4:$T$4,0)),",","")),"")</f>
        <v/>
      </c>
      <c r="K372" s="152">
        <f>IFERROR(VALUE(SUBSTITUTE(INDEX('04A_국토부원자료'!$A:$T,ROW()+1,MATCH("건축년도",'04A_국토부원자료'!$A$4:$T$4,0)),",","")),"")</f>
        <v/>
      </c>
      <c r="L372" s="176">
        <f>IFERROR(INDEX('04A_국토부원자료'!$A:$T,ROW()+1,MATCH("도로명",'04A_국토부원자료'!$A$4:$T$4,0)),"")</f>
        <v/>
      </c>
      <c r="M372" s="48">
        <f>IFERROR(INDEX('04A_국토부원자료'!$A:$T,ROW()+1,MATCH("거래유형",'04A_국토부원자료'!$A$4:$T$4,0)),"")</f>
        <v/>
      </c>
      <c r="N372" s="152">
        <f>IF(B372="","",IF('02_대상물건입력'!B5="",1,IF(ISNUMBER(SEARCH('02_대상물건입력'!B5,B372)),1,0)))</f>
        <v/>
      </c>
      <c r="O372" s="152">
        <f>IF(B372="","",IF('02_대상물건입력'!B6="",1,IF(ISNUMBER(SEARCH('02_대상물건입력'!B6,B372)),1,0)))</f>
        <v/>
      </c>
      <c r="P372" s="152">
        <f>IF(L372="","",IF('02_대상물건입력'!B15="",0,IF(ISNUMBER(SEARCH('02_대상물건입력'!B15,L372)),1,0)))</f>
        <v/>
      </c>
      <c r="Q372" s="152">
        <f>IF(OR(C372="",L372=""),0,IF(AND(TRIM(C372)=TRIM(RIGHT(SUBSTITUTE(TRIM('02_대상물건입력'!$B$7)," ",REPT(" ",99)),99)),IF('02_대상물건입력'!B15="",TRUE(),ISNUMBER(SEARCH('02_대상물건입력'!B15,L372)))),1,0))</f>
        <v/>
      </c>
      <c r="R372" s="175">
        <f>IFERROR(ABS(E372-'02_대상물건입력'!B11)/'02_대상물건입력'!B11,"")</f>
        <v/>
      </c>
      <c r="S372" s="152">
        <f>IFERROR(ABS(J372-'02_대상물건입력'!B10),"")</f>
        <v/>
      </c>
      <c r="T372" s="152">
        <f>IFERROR(ABS('01_설정'!B4-F372),"")</f>
        <v/>
      </c>
      <c r="U372" s="152">
        <f>IFERROR(ABS(K372-YEAR('02_대상물건입력'!B14)),"")</f>
        <v/>
      </c>
      <c r="V372" s="152">
        <f>IF(B372="","",IF(AND(E372&gt;0,F372&gt;0,H372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372=1,TRUE()),R372&lt;='01_설정'!B5,S372&lt;='01_설정'!B6,T372&lt;='01_설정'!B7,U372&lt;='01_설정'!B8),"Y",""))</f>
        <v/>
      </c>
      <c r="W372" s="172">
        <f>IF(V372&lt;&gt;"Y","",MAX(0,(1-R372/'01_설정'!B5))*'01_설정'!B14+MAX(0,(1-S372/'01_설정'!B6))*'01_설정'!B15+MAX(0,(1-T372/'01_설정'!B7))*'01_설정'!B16+MAX(0,(1-U372/'01_설정'!B8))*'01_설정'!B17+O372*'01_설정'!B11+Q372*'01_설정'!B12+P372*'01_설정'!B13+IF(Z372="",0,Z372))</f>
        <v/>
      </c>
      <c r="X372" s="152">
        <f>IF(W372="","",1+COUNTIFS($W$4:$W$3003,"&gt;"&amp;W372)+COUNTIFS($W$4:W372,W372)-1)</f>
        <v/>
      </c>
      <c r="Y372" s="175">
        <f>IF(OR(I372="",'02_대상물건입력'!B19="",'02_대상물건입력'!B19&lt;=0),"",ABS(I372-'02_대상물건입력'!B19)/'02_대상물건입력'!B19)</f>
        <v/>
      </c>
      <c r="Z372" s="172">
        <f>IF(OR(Y372="",'01_설정'!B31="",'01_설정'!B31&lt;=0,'01_설정'!B32="",'01_설정'!B32&lt;=0),"",MAX(0,(1-Y372/'01_설정'!B32))*'01_설정'!B31)</f>
        <v/>
      </c>
    </row>
    <row r="373" ht="17.25" customHeight="1">
      <c r="A373" s="152">
        <f>IF(INDEX('04A_국토부원자료'!$A:$A,ROW()+1)="","",ROW()-3)</f>
        <v/>
      </c>
      <c r="B373" s="48">
        <f>IFERROR(INDEX('04A_국토부원자료'!$A:$T,ROW()+1,MATCH("시군구",'04A_국토부원자료'!$A$4:$T$4,0)),"")</f>
        <v/>
      </c>
      <c r="C373" s="48">
        <f>IF(B373="","",IFERROR(INDEX('04A_국토부원자료'!$A:$T,ROW()+1,MATCH("번지",'04A_국토부원자료'!$A$4:$T$4,0)),""))</f>
        <v/>
      </c>
      <c r="D373" s="48">
        <f>IF(B373="","",IF(Q373=1,'02_대상물건입력'!$B$8,IFERROR(INDEX('04A_국토부원자료'!$A:$T,ROW()+1,MATCH("단지명",'04A_국토부원자료'!$A$4:$T$4,0)),"")))</f>
        <v/>
      </c>
      <c r="E373" s="172">
        <f>IFERROR(VALUE(SUBSTITUTE(INDEX('04A_국토부원자료'!$A:$T,ROW()+1,MATCH("전용면적(㎡)",'04A_국토부원자료'!$A$4:$T$4,0)),",","")),"")</f>
        <v/>
      </c>
      <c r="F3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73" s="51">
        <f>IFERROR(VALUE(SUBSTITUTE(INDEX('04A_국토부원자료'!$A:$T,ROW()+1,MATCH("거래금액(만원)",'04A_국토부원자료'!$A$4:$T$4,0)),",","")),"")</f>
        <v/>
      </c>
      <c r="H373" s="174">
        <f>IF(G373="","",G373*10000)</f>
        <v/>
      </c>
      <c r="I373" s="174">
        <f>IFERROR(IF(AND(H373&gt;0,E373&gt;0),H373/E373,""),"")</f>
        <v/>
      </c>
      <c r="J373" s="152">
        <f>IFERROR(VALUE(SUBSTITUTE(INDEX('04A_국토부원자료'!$A:$T,ROW()+1,MATCH("층",'04A_국토부원자료'!$A$4:$T$4,0)),",","")),"")</f>
        <v/>
      </c>
      <c r="K373" s="152">
        <f>IFERROR(VALUE(SUBSTITUTE(INDEX('04A_국토부원자료'!$A:$T,ROW()+1,MATCH("건축년도",'04A_국토부원자료'!$A$4:$T$4,0)),",","")),"")</f>
        <v/>
      </c>
      <c r="L373" s="176">
        <f>IFERROR(INDEX('04A_국토부원자료'!$A:$T,ROW()+1,MATCH("도로명",'04A_국토부원자료'!$A$4:$T$4,0)),"")</f>
        <v/>
      </c>
      <c r="M373" s="48">
        <f>IFERROR(INDEX('04A_국토부원자료'!$A:$T,ROW()+1,MATCH("거래유형",'04A_국토부원자료'!$A$4:$T$4,0)),"")</f>
        <v/>
      </c>
      <c r="N373" s="152">
        <f>IF(B373="","",IF('02_대상물건입력'!B5="",1,IF(ISNUMBER(SEARCH('02_대상물건입력'!B5,B373)),1,0)))</f>
        <v/>
      </c>
      <c r="O373" s="152">
        <f>IF(B373="","",IF('02_대상물건입력'!B6="",1,IF(ISNUMBER(SEARCH('02_대상물건입력'!B6,B373)),1,0)))</f>
        <v/>
      </c>
      <c r="P373" s="152">
        <f>IF(L373="","",IF('02_대상물건입력'!B15="",0,IF(ISNUMBER(SEARCH('02_대상물건입력'!B15,L373)),1,0)))</f>
        <v/>
      </c>
      <c r="Q373" s="152">
        <f>IF(OR(C373="",L373=""),0,IF(AND(TRIM(C373)=TRIM(RIGHT(SUBSTITUTE(TRIM('02_대상물건입력'!$B$7)," ",REPT(" ",99)),99)),IF('02_대상물건입력'!B15="",TRUE(),ISNUMBER(SEARCH('02_대상물건입력'!B15,L373)))),1,0))</f>
        <v/>
      </c>
      <c r="R373" s="175">
        <f>IFERROR(ABS(E373-'02_대상물건입력'!B11)/'02_대상물건입력'!B11,"")</f>
        <v/>
      </c>
      <c r="S373" s="152">
        <f>IFERROR(ABS(J373-'02_대상물건입력'!B10),"")</f>
        <v/>
      </c>
      <c r="T373" s="152">
        <f>IFERROR(ABS('01_설정'!B4-F373),"")</f>
        <v/>
      </c>
      <c r="U373" s="152">
        <f>IFERROR(ABS(K373-YEAR('02_대상물건입력'!B14)),"")</f>
        <v/>
      </c>
      <c r="V373" s="152">
        <f>IF(B373="","",IF(AND(E373&gt;0,F373&gt;0,H373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373=1,TRUE()),R373&lt;='01_설정'!B5,S373&lt;='01_설정'!B6,T373&lt;='01_설정'!B7,U373&lt;='01_설정'!B8),"Y",""))</f>
        <v/>
      </c>
      <c r="W373" s="172">
        <f>IF(V373&lt;&gt;"Y","",MAX(0,(1-R373/'01_설정'!B5))*'01_설정'!B14+MAX(0,(1-S373/'01_설정'!B6))*'01_설정'!B15+MAX(0,(1-T373/'01_설정'!B7))*'01_설정'!B16+MAX(0,(1-U373/'01_설정'!B8))*'01_설정'!B17+O373*'01_설정'!B11+Q373*'01_설정'!B12+P373*'01_설정'!B13+IF(Z373="",0,Z373))</f>
        <v/>
      </c>
      <c r="X373" s="152">
        <f>IF(W373="","",1+COUNTIFS($W$4:$W$3003,"&gt;"&amp;W373)+COUNTIFS($W$4:W373,W373)-1)</f>
        <v/>
      </c>
      <c r="Y373" s="175">
        <f>IF(OR(I373="",'02_대상물건입력'!B19="",'02_대상물건입력'!B19&lt;=0),"",ABS(I373-'02_대상물건입력'!B19)/'02_대상물건입력'!B19)</f>
        <v/>
      </c>
      <c r="Z373" s="172">
        <f>IF(OR(Y373="",'01_설정'!B31="",'01_설정'!B31&lt;=0,'01_설정'!B32="",'01_설정'!B32&lt;=0),"",MAX(0,(1-Y373/'01_설정'!B32))*'01_설정'!B31)</f>
        <v/>
      </c>
    </row>
    <row r="374" ht="17.25" customHeight="1">
      <c r="A374" s="152">
        <f>IF(INDEX('04A_국토부원자료'!$A:$A,ROW()+1)="","",ROW()-3)</f>
        <v/>
      </c>
      <c r="B374" s="48">
        <f>IFERROR(INDEX('04A_국토부원자료'!$A:$T,ROW()+1,MATCH("시군구",'04A_국토부원자료'!$A$4:$T$4,0)),"")</f>
        <v/>
      </c>
      <c r="C374" s="48">
        <f>IF(B374="","",IFERROR(INDEX('04A_국토부원자료'!$A:$T,ROW()+1,MATCH("번지",'04A_국토부원자료'!$A$4:$T$4,0)),""))</f>
        <v/>
      </c>
      <c r="D374" s="48">
        <f>IF(B374="","",IF(Q374=1,'02_대상물건입력'!$B$8,IFERROR(INDEX('04A_국토부원자료'!$A:$T,ROW()+1,MATCH("단지명",'04A_국토부원자료'!$A$4:$T$4,0)),"")))</f>
        <v/>
      </c>
      <c r="E374" s="172">
        <f>IFERROR(VALUE(SUBSTITUTE(INDEX('04A_국토부원자료'!$A:$T,ROW()+1,MATCH("전용면적(㎡)",'04A_국토부원자료'!$A$4:$T$4,0)),",","")),"")</f>
        <v/>
      </c>
      <c r="F3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74" s="51">
        <f>IFERROR(VALUE(SUBSTITUTE(INDEX('04A_국토부원자료'!$A:$T,ROW()+1,MATCH("거래금액(만원)",'04A_국토부원자료'!$A$4:$T$4,0)),",","")),"")</f>
        <v/>
      </c>
      <c r="H374" s="174">
        <f>IF(G374="","",G374*10000)</f>
        <v/>
      </c>
      <c r="I374" s="174">
        <f>IFERROR(IF(AND(H374&gt;0,E374&gt;0),H374/E374,""),"")</f>
        <v/>
      </c>
      <c r="J374" s="152">
        <f>IFERROR(VALUE(SUBSTITUTE(INDEX('04A_국토부원자료'!$A:$T,ROW()+1,MATCH("층",'04A_국토부원자료'!$A$4:$T$4,0)),",","")),"")</f>
        <v/>
      </c>
      <c r="K374" s="152">
        <f>IFERROR(VALUE(SUBSTITUTE(INDEX('04A_국토부원자료'!$A:$T,ROW()+1,MATCH("건축년도",'04A_국토부원자료'!$A$4:$T$4,0)),",","")),"")</f>
        <v/>
      </c>
      <c r="L374" s="176">
        <f>IFERROR(INDEX('04A_국토부원자료'!$A:$T,ROW()+1,MATCH("도로명",'04A_국토부원자료'!$A$4:$T$4,0)),"")</f>
        <v/>
      </c>
      <c r="M374" s="48">
        <f>IFERROR(INDEX('04A_국토부원자료'!$A:$T,ROW()+1,MATCH("거래유형",'04A_국토부원자료'!$A$4:$T$4,0)),"")</f>
        <v/>
      </c>
      <c r="N374" s="152">
        <f>IF(B374="","",IF('02_대상물건입력'!B5="",1,IF(ISNUMBER(SEARCH('02_대상물건입력'!B5,B374)),1,0)))</f>
        <v/>
      </c>
      <c r="O374" s="152">
        <f>IF(B374="","",IF('02_대상물건입력'!B6="",1,IF(ISNUMBER(SEARCH('02_대상물건입력'!B6,B374)),1,0)))</f>
        <v/>
      </c>
      <c r="P374" s="152">
        <f>IF(L374="","",IF('02_대상물건입력'!B15="",0,IF(ISNUMBER(SEARCH('02_대상물건입력'!B15,L374)),1,0)))</f>
        <v/>
      </c>
      <c r="Q374" s="152">
        <f>IF(OR(C374="",L374=""),0,IF(AND(TRIM(C374)=TRIM(RIGHT(SUBSTITUTE(TRIM('02_대상물건입력'!$B$7)," ",REPT(" ",99)),99)),IF('02_대상물건입력'!B15="",TRUE(),ISNUMBER(SEARCH('02_대상물건입력'!B15,L374)))),1,0))</f>
        <v/>
      </c>
      <c r="R374" s="175">
        <f>IFERROR(ABS(E374-'02_대상물건입력'!B11)/'02_대상물건입력'!B11,"")</f>
        <v/>
      </c>
      <c r="S374" s="152">
        <f>IFERROR(ABS(J374-'02_대상물건입력'!B10),"")</f>
        <v/>
      </c>
      <c r="T374" s="152">
        <f>IFERROR(ABS('01_설정'!B4-F374),"")</f>
        <v/>
      </c>
      <c r="U374" s="152">
        <f>IFERROR(ABS(K374-YEAR('02_대상물건입력'!B14)),"")</f>
        <v/>
      </c>
      <c r="V374" s="152">
        <f>IF(B374="","",IF(AND(E374&gt;0,F374&gt;0,H374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374=1,TRUE()),R374&lt;='01_설정'!B5,S374&lt;='01_설정'!B6,T374&lt;='01_설정'!B7,U374&lt;='01_설정'!B8),"Y",""))</f>
        <v/>
      </c>
      <c r="W374" s="172">
        <f>IF(V374&lt;&gt;"Y","",MAX(0,(1-R374/'01_설정'!B5))*'01_설정'!B14+MAX(0,(1-S374/'01_설정'!B6))*'01_설정'!B15+MAX(0,(1-T374/'01_설정'!B7))*'01_설정'!B16+MAX(0,(1-U374/'01_설정'!B8))*'01_설정'!B17+O374*'01_설정'!B11+Q374*'01_설정'!B12+P374*'01_설정'!B13+IF(Z374="",0,Z374))</f>
        <v/>
      </c>
      <c r="X374" s="152">
        <f>IF(W374="","",1+COUNTIFS($W$4:$W$3003,"&gt;"&amp;W374)+COUNTIFS($W$4:W374,W374)-1)</f>
        <v/>
      </c>
      <c r="Y374" s="175">
        <f>IF(OR(I374="",'02_대상물건입력'!B19="",'02_대상물건입력'!B19&lt;=0),"",ABS(I374-'02_대상물건입력'!B19)/'02_대상물건입력'!B19)</f>
        <v/>
      </c>
      <c r="Z374" s="172">
        <f>IF(OR(Y374="",'01_설정'!B31="",'01_설정'!B31&lt;=0,'01_설정'!B32="",'01_설정'!B32&lt;=0),"",MAX(0,(1-Y374/'01_설정'!B32))*'01_설정'!B31)</f>
        <v/>
      </c>
    </row>
    <row r="375" ht="17.25" customHeight="1">
      <c r="A375" s="152">
        <f>IF(INDEX('04A_국토부원자료'!$A:$A,ROW()+1)="","",ROW()-3)</f>
        <v/>
      </c>
      <c r="B375" s="48">
        <f>IFERROR(INDEX('04A_국토부원자료'!$A:$T,ROW()+1,MATCH("시군구",'04A_국토부원자료'!$A$4:$T$4,0)),"")</f>
        <v/>
      </c>
      <c r="C375" s="48">
        <f>IF(B375="","",IFERROR(INDEX('04A_국토부원자료'!$A:$T,ROW()+1,MATCH("번지",'04A_국토부원자료'!$A$4:$T$4,0)),""))</f>
        <v/>
      </c>
      <c r="D375" s="48">
        <f>IF(B375="","",IF(Q375=1,'02_대상물건입력'!$B$8,IFERROR(INDEX('04A_국토부원자료'!$A:$T,ROW()+1,MATCH("단지명",'04A_국토부원자료'!$A$4:$T$4,0)),"")))</f>
        <v/>
      </c>
      <c r="E375" s="172">
        <f>IFERROR(VALUE(SUBSTITUTE(INDEX('04A_국토부원자료'!$A:$T,ROW()+1,MATCH("전용면적(㎡)",'04A_국토부원자료'!$A$4:$T$4,0)),",","")),"")</f>
        <v/>
      </c>
      <c r="F3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75" s="51">
        <f>IFERROR(VALUE(SUBSTITUTE(INDEX('04A_국토부원자료'!$A:$T,ROW()+1,MATCH("거래금액(만원)",'04A_국토부원자료'!$A$4:$T$4,0)),",","")),"")</f>
        <v/>
      </c>
      <c r="H375" s="174">
        <f>IF(G375="","",G375*10000)</f>
        <v/>
      </c>
      <c r="I375" s="174">
        <f>IFERROR(IF(AND(H375&gt;0,E375&gt;0),H375/E375,""),"")</f>
        <v/>
      </c>
      <c r="J375" s="152">
        <f>IFERROR(VALUE(SUBSTITUTE(INDEX('04A_국토부원자료'!$A:$T,ROW()+1,MATCH("층",'04A_국토부원자료'!$A$4:$T$4,0)),",","")),"")</f>
        <v/>
      </c>
      <c r="K375" s="152">
        <f>IFERROR(VALUE(SUBSTITUTE(INDEX('04A_국토부원자료'!$A:$T,ROW()+1,MATCH("건축년도",'04A_국토부원자료'!$A$4:$T$4,0)),",","")),"")</f>
        <v/>
      </c>
      <c r="L375" s="176">
        <f>IFERROR(INDEX('04A_국토부원자료'!$A:$T,ROW()+1,MATCH("도로명",'04A_국토부원자료'!$A$4:$T$4,0)),"")</f>
        <v/>
      </c>
      <c r="M375" s="48">
        <f>IFERROR(INDEX('04A_국토부원자료'!$A:$T,ROW()+1,MATCH("거래유형",'04A_국토부원자료'!$A$4:$T$4,0)),"")</f>
        <v/>
      </c>
      <c r="N375" s="152">
        <f>IF(B375="","",IF('02_대상물건입력'!B5="",1,IF(ISNUMBER(SEARCH('02_대상물건입력'!B5,B375)),1,0)))</f>
        <v/>
      </c>
      <c r="O375" s="152">
        <f>IF(B375="","",IF('02_대상물건입력'!B6="",1,IF(ISNUMBER(SEARCH('02_대상물건입력'!B6,B375)),1,0)))</f>
        <v/>
      </c>
      <c r="P375" s="152">
        <f>IF(L375="","",IF('02_대상물건입력'!B15="",0,IF(ISNUMBER(SEARCH('02_대상물건입력'!B15,L375)),1,0)))</f>
        <v/>
      </c>
      <c r="Q375" s="152">
        <f>IF(OR(C375="",L375=""),0,IF(AND(TRIM(C375)=TRIM(RIGHT(SUBSTITUTE(TRIM('02_대상물건입력'!$B$7)," ",REPT(" ",99)),99)),IF('02_대상물건입력'!B15="",TRUE(),ISNUMBER(SEARCH('02_대상물건입력'!B15,L375)))),1,0))</f>
        <v/>
      </c>
      <c r="R375" s="175">
        <f>IFERROR(ABS(E375-'02_대상물건입력'!B11)/'02_대상물건입력'!B11,"")</f>
        <v/>
      </c>
      <c r="S375" s="152">
        <f>IFERROR(ABS(J375-'02_대상물건입력'!B10),"")</f>
        <v/>
      </c>
      <c r="T375" s="152">
        <f>IFERROR(ABS('01_설정'!B4-F375),"")</f>
        <v/>
      </c>
      <c r="U375" s="152">
        <f>IFERROR(ABS(K375-YEAR('02_대상물건입력'!B14)),"")</f>
        <v/>
      </c>
      <c r="V375" s="152">
        <f>IF(B375="","",IF(AND(E375&gt;0,F375&gt;0,H375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375=1,TRUE()),R375&lt;='01_설정'!B5,S375&lt;='01_설정'!B6,T375&lt;='01_설정'!B7,U375&lt;='01_설정'!B8),"Y",""))</f>
        <v/>
      </c>
      <c r="W375" s="172">
        <f>IF(V375&lt;&gt;"Y","",MAX(0,(1-R375/'01_설정'!B5))*'01_설정'!B14+MAX(0,(1-S375/'01_설정'!B6))*'01_설정'!B15+MAX(0,(1-T375/'01_설정'!B7))*'01_설정'!B16+MAX(0,(1-U375/'01_설정'!B8))*'01_설정'!B17+O375*'01_설정'!B11+Q375*'01_설정'!B12+P375*'01_설정'!B13+IF(Z375="",0,Z375))</f>
        <v/>
      </c>
      <c r="X375" s="152">
        <f>IF(W375="","",1+COUNTIFS($W$4:$W$3003,"&gt;"&amp;W375)+COUNTIFS($W$4:W375,W375)-1)</f>
        <v/>
      </c>
      <c r="Y375" s="175">
        <f>IF(OR(I375="",'02_대상물건입력'!B19="",'02_대상물건입력'!B19&lt;=0),"",ABS(I375-'02_대상물건입력'!B19)/'02_대상물건입력'!B19)</f>
        <v/>
      </c>
      <c r="Z375" s="172">
        <f>IF(OR(Y375="",'01_설정'!B31="",'01_설정'!B31&lt;=0,'01_설정'!B32="",'01_설정'!B32&lt;=0),"",MAX(0,(1-Y375/'01_설정'!B32))*'01_설정'!B31)</f>
        <v/>
      </c>
    </row>
    <row r="376" ht="17.25" customHeight="1">
      <c r="A376" s="152">
        <f>IF(INDEX('04A_국토부원자료'!$A:$A,ROW()+1)="","",ROW()-3)</f>
        <v/>
      </c>
      <c r="B376" s="48">
        <f>IFERROR(INDEX('04A_국토부원자료'!$A:$T,ROW()+1,MATCH("시군구",'04A_국토부원자료'!$A$4:$T$4,0)),"")</f>
        <v/>
      </c>
      <c r="C376" s="48">
        <f>IF(B376="","",IFERROR(INDEX('04A_국토부원자료'!$A:$T,ROW()+1,MATCH("번지",'04A_국토부원자료'!$A$4:$T$4,0)),""))</f>
        <v/>
      </c>
      <c r="D376" s="48">
        <f>IF(B376="","",IF(Q376=1,'02_대상물건입력'!$B$8,IFERROR(INDEX('04A_국토부원자료'!$A:$T,ROW()+1,MATCH("단지명",'04A_국토부원자료'!$A$4:$T$4,0)),"")))</f>
        <v/>
      </c>
      <c r="E376" s="172">
        <f>IFERROR(VALUE(SUBSTITUTE(INDEX('04A_국토부원자료'!$A:$T,ROW()+1,MATCH("전용면적(㎡)",'04A_국토부원자료'!$A$4:$T$4,0)),",","")),"")</f>
        <v/>
      </c>
      <c r="F3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76" s="51">
        <f>IFERROR(VALUE(SUBSTITUTE(INDEX('04A_국토부원자료'!$A:$T,ROW()+1,MATCH("거래금액(만원)",'04A_국토부원자료'!$A$4:$T$4,0)),",","")),"")</f>
        <v/>
      </c>
      <c r="H376" s="174">
        <f>IF(G376="","",G376*10000)</f>
        <v/>
      </c>
      <c r="I376" s="174">
        <f>IFERROR(IF(AND(H376&gt;0,E376&gt;0),H376/E376,""),"")</f>
        <v/>
      </c>
      <c r="J376" s="152">
        <f>IFERROR(VALUE(SUBSTITUTE(INDEX('04A_국토부원자료'!$A:$T,ROW()+1,MATCH("층",'04A_국토부원자료'!$A$4:$T$4,0)),",","")),"")</f>
        <v/>
      </c>
      <c r="K376" s="152">
        <f>IFERROR(VALUE(SUBSTITUTE(INDEX('04A_국토부원자료'!$A:$T,ROW()+1,MATCH("건축년도",'04A_국토부원자료'!$A$4:$T$4,0)),",","")),"")</f>
        <v/>
      </c>
      <c r="L376" s="176">
        <f>IFERROR(INDEX('04A_국토부원자료'!$A:$T,ROW()+1,MATCH("도로명",'04A_국토부원자료'!$A$4:$T$4,0)),"")</f>
        <v/>
      </c>
      <c r="M376" s="48">
        <f>IFERROR(INDEX('04A_국토부원자료'!$A:$T,ROW()+1,MATCH("거래유형",'04A_국토부원자료'!$A$4:$T$4,0)),"")</f>
        <v/>
      </c>
      <c r="N376" s="152">
        <f>IF(B376="","",IF('02_대상물건입력'!B5="",1,IF(ISNUMBER(SEARCH('02_대상물건입력'!B5,B376)),1,0)))</f>
        <v/>
      </c>
      <c r="O376" s="152">
        <f>IF(B376="","",IF('02_대상물건입력'!B6="",1,IF(ISNUMBER(SEARCH('02_대상물건입력'!B6,B376)),1,0)))</f>
        <v/>
      </c>
      <c r="P376" s="152">
        <f>IF(L376="","",IF('02_대상물건입력'!B15="",0,IF(ISNUMBER(SEARCH('02_대상물건입력'!B15,L376)),1,0)))</f>
        <v/>
      </c>
      <c r="Q376" s="152">
        <f>IF(OR(C376="",L376=""),0,IF(AND(TRIM(C376)=TRIM(RIGHT(SUBSTITUTE(TRIM('02_대상물건입력'!$B$7)," ",REPT(" ",99)),99)),IF('02_대상물건입력'!B15="",TRUE(),ISNUMBER(SEARCH('02_대상물건입력'!B15,L376)))),1,0))</f>
        <v/>
      </c>
      <c r="R376" s="175">
        <f>IFERROR(ABS(E376-'02_대상물건입력'!B11)/'02_대상물건입력'!B11,"")</f>
        <v/>
      </c>
      <c r="S376" s="152">
        <f>IFERROR(ABS(J376-'02_대상물건입력'!B10),"")</f>
        <v/>
      </c>
      <c r="T376" s="152">
        <f>IFERROR(ABS('01_설정'!B4-F376),"")</f>
        <v/>
      </c>
      <c r="U376" s="152">
        <f>IFERROR(ABS(K376-YEAR('02_대상물건입력'!B14)),"")</f>
        <v/>
      </c>
      <c r="V376" s="152">
        <f>IF(B376="","",IF(AND(E376&gt;0,F376&gt;0,H376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376=1,TRUE()),R376&lt;='01_설정'!B5,S376&lt;='01_설정'!B6,T376&lt;='01_설정'!B7,U376&lt;='01_설정'!B8),"Y",""))</f>
        <v/>
      </c>
      <c r="W376" s="172">
        <f>IF(V376&lt;&gt;"Y","",MAX(0,(1-R376/'01_설정'!B5))*'01_설정'!B14+MAX(0,(1-S376/'01_설정'!B6))*'01_설정'!B15+MAX(0,(1-T376/'01_설정'!B7))*'01_설정'!B16+MAX(0,(1-U376/'01_설정'!B8))*'01_설정'!B17+O376*'01_설정'!B11+Q376*'01_설정'!B12+P376*'01_설정'!B13+IF(Z376="",0,Z376))</f>
        <v/>
      </c>
      <c r="X376" s="152">
        <f>IF(W376="","",1+COUNTIFS($W$4:$W$3003,"&gt;"&amp;W376)+COUNTIFS($W$4:W376,W376)-1)</f>
        <v/>
      </c>
      <c r="Y376" s="175">
        <f>IF(OR(I376="",'02_대상물건입력'!B19="",'02_대상물건입력'!B19&lt;=0),"",ABS(I376-'02_대상물건입력'!B19)/'02_대상물건입력'!B19)</f>
        <v/>
      </c>
      <c r="Z376" s="172">
        <f>IF(OR(Y376="",'01_설정'!B31="",'01_설정'!B31&lt;=0,'01_설정'!B32="",'01_설정'!B32&lt;=0),"",MAX(0,(1-Y376/'01_설정'!B32))*'01_설정'!B31)</f>
        <v/>
      </c>
    </row>
    <row r="377" ht="17.25" customHeight="1">
      <c r="A377" s="152">
        <f>IF(INDEX('04A_국토부원자료'!$A:$A,ROW()+1)="","",ROW()-3)</f>
        <v/>
      </c>
      <c r="B377" s="48">
        <f>IFERROR(INDEX('04A_국토부원자료'!$A:$T,ROW()+1,MATCH("시군구",'04A_국토부원자료'!$A$4:$T$4,0)),"")</f>
        <v/>
      </c>
      <c r="C377" s="48">
        <f>IF(B377="","",IFERROR(INDEX('04A_국토부원자료'!$A:$T,ROW()+1,MATCH("번지",'04A_국토부원자료'!$A$4:$T$4,0)),""))</f>
        <v/>
      </c>
      <c r="D377" s="48">
        <f>IF(B377="","",IF(Q377=1,'02_대상물건입력'!$B$8,IFERROR(INDEX('04A_국토부원자료'!$A:$T,ROW()+1,MATCH("단지명",'04A_국토부원자료'!$A$4:$T$4,0)),"")))</f>
        <v/>
      </c>
      <c r="E377" s="172">
        <f>IFERROR(VALUE(SUBSTITUTE(INDEX('04A_국토부원자료'!$A:$T,ROW()+1,MATCH("전용면적(㎡)",'04A_국토부원자료'!$A$4:$T$4,0)),",","")),"")</f>
        <v/>
      </c>
      <c r="F3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77" s="51">
        <f>IFERROR(VALUE(SUBSTITUTE(INDEX('04A_국토부원자료'!$A:$T,ROW()+1,MATCH("거래금액(만원)",'04A_국토부원자료'!$A$4:$T$4,0)),",","")),"")</f>
        <v/>
      </c>
      <c r="H377" s="174">
        <f>IF(G377="","",G377*10000)</f>
        <v/>
      </c>
      <c r="I377" s="174">
        <f>IFERROR(IF(AND(H377&gt;0,E377&gt;0),H377/E377,""),"")</f>
        <v/>
      </c>
      <c r="J377" s="152">
        <f>IFERROR(VALUE(SUBSTITUTE(INDEX('04A_국토부원자료'!$A:$T,ROW()+1,MATCH("층",'04A_국토부원자료'!$A$4:$T$4,0)),",","")),"")</f>
        <v/>
      </c>
      <c r="K377" s="152">
        <f>IFERROR(VALUE(SUBSTITUTE(INDEX('04A_국토부원자료'!$A:$T,ROW()+1,MATCH("건축년도",'04A_국토부원자료'!$A$4:$T$4,0)),",","")),"")</f>
        <v/>
      </c>
      <c r="L377" s="176">
        <f>IFERROR(INDEX('04A_국토부원자료'!$A:$T,ROW()+1,MATCH("도로명",'04A_국토부원자료'!$A$4:$T$4,0)),"")</f>
        <v/>
      </c>
      <c r="M377" s="48">
        <f>IFERROR(INDEX('04A_국토부원자료'!$A:$T,ROW()+1,MATCH("거래유형",'04A_국토부원자료'!$A$4:$T$4,0)),"")</f>
        <v/>
      </c>
      <c r="N377" s="152">
        <f>IF(B377="","",IF('02_대상물건입력'!B5="",1,IF(ISNUMBER(SEARCH('02_대상물건입력'!B5,B377)),1,0)))</f>
        <v/>
      </c>
      <c r="O377" s="152">
        <f>IF(B377="","",IF('02_대상물건입력'!B6="",1,IF(ISNUMBER(SEARCH('02_대상물건입력'!B6,B377)),1,0)))</f>
        <v/>
      </c>
      <c r="P377" s="152">
        <f>IF(L377="","",IF('02_대상물건입력'!B15="",0,IF(ISNUMBER(SEARCH('02_대상물건입력'!B15,L377)),1,0)))</f>
        <v/>
      </c>
      <c r="Q377" s="152">
        <f>IF(OR(C377="",L377=""),0,IF(AND(TRIM(C377)=TRIM(RIGHT(SUBSTITUTE(TRIM('02_대상물건입력'!$B$7)," ",REPT(" ",99)),99)),IF('02_대상물건입력'!B15="",TRUE(),ISNUMBER(SEARCH('02_대상물건입력'!B15,L377)))),1,0))</f>
        <v/>
      </c>
      <c r="R377" s="175">
        <f>IFERROR(ABS(E377-'02_대상물건입력'!B11)/'02_대상물건입력'!B11,"")</f>
        <v/>
      </c>
      <c r="S377" s="152">
        <f>IFERROR(ABS(J377-'02_대상물건입력'!B10),"")</f>
        <v/>
      </c>
      <c r="T377" s="152">
        <f>IFERROR(ABS('01_설정'!B4-F377),"")</f>
        <v/>
      </c>
      <c r="U377" s="152">
        <f>IFERROR(ABS(K377-YEAR('02_대상물건입력'!B14)),"")</f>
        <v/>
      </c>
      <c r="V377" s="152">
        <f>IF(B377="","",IF(AND(E377&gt;0,F377&gt;0,H377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377=1,TRUE()),R377&lt;='01_설정'!B5,S377&lt;='01_설정'!B6,T377&lt;='01_설정'!B7,U377&lt;='01_설정'!B8),"Y",""))</f>
        <v/>
      </c>
      <c r="W377" s="172">
        <f>IF(V377&lt;&gt;"Y","",MAX(0,(1-R377/'01_설정'!B5))*'01_설정'!B14+MAX(0,(1-S377/'01_설정'!B6))*'01_설정'!B15+MAX(0,(1-T377/'01_설정'!B7))*'01_설정'!B16+MAX(0,(1-U377/'01_설정'!B8))*'01_설정'!B17+O377*'01_설정'!B11+Q377*'01_설정'!B12+P377*'01_설정'!B13+IF(Z377="",0,Z377))</f>
        <v/>
      </c>
      <c r="X377" s="152">
        <f>IF(W377="","",1+COUNTIFS($W$4:$W$3003,"&gt;"&amp;W377)+COUNTIFS($W$4:W377,W377)-1)</f>
        <v/>
      </c>
      <c r="Y377" s="175">
        <f>IF(OR(I377="",'02_대상물건입력'!B19="",'02_대상물건입력'!B19&lt;=0),"",ABS(I377-'02_대상물건입력'!B19)/'02_대상물건입력'!B19)</f>
        <v/>
      </c>
      <c r="Z377" s="172">
        <f>IF(OR(Y377="",'01_설정'!B31="",'01_설정'!B31&lt;=0,'01_설정'!B32="",'01_설정'!B32&lt;=0),"",MAX(0,(1-Y377/'01_설정'!B32))*'01_설정'!B31)</f>
        <v/>
      </c>
    </row>
    <row r="378" ht="17.25" customHeight="1">
      <c r="A378" s="152">
        <f>IF(INDEX('04A_국토부원자료'!$A:$A,ROW()+1)="","",ROW()-3)</f>
        <v/>
      </c>
      <c r="B378" s="48">
        <f>IFERROR(INDEX('04A_국토부원자료'!$A:$T,ROW()+1,MATCH("시군구",'04A_국토부원자료'!$A$4:$T$4,0)),"")</f>
        <v/>
      </c>
      <c r="C378" s="48">
        <f>IF(B378="","",IFERROR(INDEX('04A_국토부원자료'!$A:$T,ROW()+1,MATCH("번지",'04A_국토부원자료'!$A$4:$T$4,0)),""))</f>
        <v/>
      </c>
      <c r="D378" s="48">
        <f>IF(B378="","",IF(Q378=1,'02_대상물건입력'!$B$8,IFERROR(INDEX('04A_국토부원자료'!$A:$T,ROW()+1,MATCH("단지명",'04A_국토부원자료'!$A$4:$T$4,0)),"")))</f>
        <v/>
      </c>
      <c r="E378" s="172">
        <f>IFERROR(VALUE(SUBSTITUTE(INDEX('04A_국토부원자료'!$A:$T,ROW()+1,MATCH("전용면적(㎡)",'04A_국토부원자료'!$A$4:$T$4,0)),",","")),"")</f>
        <v/>
      </c>
      <c r="F3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78" s="51">
        <f>IFERROR(VALUE(SUBSTITUTE(INDEX('04A_국토부원자료'!$A:$T,ROW()+1,MATCH("거래금액(만원)",'04A_국토부원자료'!$A$4:$T$4,0)),",","")),"")</f>
        <v/>
      </c>
      <c r="H378" s="174">
        <f>IF(G378="","",G378*10000)</f>
        <v/>
      </c>
      <c r="I378" s="174">
        <f>IFERROR(IF(AND(H378&gt;0,E378&gt;0),H378/E378,""),"")</f>
        <v/>
      </c>
      <c r="J378" s="152">
        <f>IFERROR(VALUE(SUBSTITUTE(INDEX('04A_국토부원자료'!$A:$T,ROW()+1,MATCH("층",'04A_국토부원자료'!$A$4:$T$4,0)),",","")),"")</f>
        <v/>
      </c>
      <c r="K378" s="152">
        <f>IFERROR(VALUE(SUBSTITUTE(INDEX('04A_국토부원자료'!$A:$T,ROW()+1,MATCH("건축년도",'04A_국토부원자료'!$A$4:$T$4,0)),",","")),"")</f>
        <v/>
      </c>
      <c r="L378" s="176">
        <f>IFERROR(INDEX('04A_국토부원자료'!$A:$T,ROW()+1,MATCH("도로명",'04A_국토부원자료'!$A$4:$T$4,0)),"")</f>
        <v/>
      </c>
      <c r="M378" s="48">
        <f>IFERROR(INDEX('04A_국토부원자료'!$A:$T,ROW()+1,MATCH("거래유형",'04A_국토부원자료'!$A$4:$T$4,0)),"")</f>
        <v/>
      </c>
      <c r="N378" s="152">
        <f>IF(B378="","",IF('02_대상물건입력'!B5="",1,IF(ISNUMBER(SEARCH('02_대상물건입력'!B5,B378)),1,0)))</f>
        <v/>
      </c>
      <c r="O378" s="152">
        <f>IF(B378="","",IF('02_대상물건입력'!B6="",1,IF(ISNUMBER(SEARCH('02_대상물건입력'!B6,B378)),1,0)))</f>
        <v/>
      </c>
      <c r="P378" s="152">
        <f>IF(L378="","",IF('02_대상물건입력'!B15="",0,IF(ISNUMBER(SEARCH('02_대상물건입력'!B15,L378)),1,0)))</f>
        <v/>
      </c>
      <c r="Q378" s="152">
        <f>IF(OR(C378="",L378=""),0,IF(AND(TRIM(C378)=TRIM(RIGHT(SUBSTITUTE(TRIM('02_대상물건입력'!$B$7)," ",REPT(" ",99)),99)),IF('02_대상물건입력'!B15="",TRUE(),ISNUMBER(SEARCH('02_대상물건입력'!B15,L378)))),1,0))</f>
        <v/>
      </c>
      <c r="R378" s="175">
        <f>IFERROR(ABS(E378-'02_대상물건입력'!B11)/'02_대상물건입력'!B11,"")</f>
        <v/>
      </c>
      <c r="S378" s="152">
        <f>IFERROR(ABS(J378-'02_대상물건입력'!B10),"")</f>
        <v/>
      </c>
      <c r="T378" s="152">
        <f>IFERROR(ABS('01_설정'!B4-F378),"")</f>
        <v/>
      </c>
      <c r="U378" s="152">
        <f>IFERROR(ABS(K378-YEAR('02_대상물건입력'!B14)),"")</f>
        <v/>
      </c>
      <c r="V378" s="152">
        <f>IF(B378="","",IF(AND(E378&gt;0,F378&gt;0,H378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378=1,TRUE()),R378&lt;='01_설정'!B5,S378&lt;='01_설정'!B6,T378&lt;='01_설정'!B7,U378&lt;='01_설정'!B8),"Y",""))</f>
        <v/>
      </c>
      <c r="W378" s="172">
        <f>IF(V378&lt;&gt;"Y","",MAX(0,(1-R378/'01_설정'!B5))*'01_설정'!B14+MAX(0,(1-S378/'01_설정'!B6))*'01_설정'!B15+MAX(0,(1-T378/'01_설정'!B7))*'01_설정'!B16+MAX(0,(1-U378/'01_설정'!B8))*'01_설정'!B17+O378*'01_설정'!B11+Q378*'01_설정'!B12+P378*'01_설정'!B13+IF(Z378="",0,Z378))</f>
        <v/>
      </c>
      <c r="X378" s="152">
        <f>IF(W378="","",1+COUNTIFS($W$4:$W$3003,"&gt;"&amp;W378)+COUNTIFS($W$4:W378,W378)-1)</f>
        <v/>
      </c>
      <c r="Y378" s="175">
        <f>IF(OR(I378="",'02_대상물건입력'!B19="",'02_대상물건입력'!B19&lt;=0),"",ABS(I378-'02_대상물건입력'!B19)/'02_대상물건입력'!B19)</f>
        <v/>
      </c>
      <c r="Z378" s="172">
        <f>IF(OR(Y378="",'01_설정'!B31="",'01_설정'!B31&lt;=0,'01_설정'!B32="",'01_설정'!B32&lt;=0),"",MAX(0,(1-Y378/'01_설정'!B32))*'01_설정'!B31)</f>
        <v/>
      </c>
    </row>
    <row r="379" ht="17.25" customHeight="1">
      <c r="A379" s="152">
        <f>IF(INDEX('04A_국토부원자료'!$A:$A,ROW()+1)="","",ROW()-3)</f>
        <v/>
      </c>
      <c r="B379" s="48">
        <f>IFERROR(INDEX('04A_국토부원자료'!$A:$T,ROW()+1,MATCH("시군구",'04A_국토부원자료'!$A$4:$T$4,0)),"")</f>
        <v/>
      </c>
      <c r="C379" s="48">
        <f>IF(B379="","",IFERROR(INDEX('04A_국토부원자료'!$A:$T,ROW()+1,MATCH("번지",'04A_국토부원자료'!$A$4:$T$4,0)),""))</f>
        <v/>
      </c>
      <c r="D379" s="48">
        <f>IF(B379="","",IF(Q379=1,'02_대상물건입력'!$B$8,IFERROR(INDEX('04A_국토부원자료'!$A:$T,ROW()+1,MATCH("단지명",'04A_국토부원자료'!$A$4:$T$4,0)),"")))</f>
        <v/>
      </c>
      <c r="E379" s="172">
        <f>IFERROR(VALUE(SUBSTITUTE(INDEX('04A_국토부원자료'!$A:$T,ROW()+1,MATCH("전용면적(㎡)",'04A_국토부원자료'!$A$4:$T$4,0)),",","")),"")</f>
        <v/>
      </c>
      <c r="F3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79" s="51">
        <f>IFERROR(VALUE(SUBSTITUTE(INDEX('04A_국토부원자료'!$A:$T,ROW()+1,MATCH("거래금액(만원)",'04A_국토부원자료'!$A$4:$T$4,0)),",","")),"")</f>
        <v/>
      </c>
      <c r="H379" s="174">
        <f>IF(G379="","",G379*10000)</f>
        <v/>
      </c>
      <c r="I379" s="174">
        <f>IFERROR(IF(AND(H379&gt;0,E379&gt;0),H379/E379,""),"")</f>
        <v/>
      </c>
      <c r="J379" s="152">
        <f>IFERROR(VALUE(SUBSTITUTE(INDEX('04A_국토부원자료'!$A:$T,ROW()+1,MATCH("층",'04A_국토부원자료'!$A$4:$T$4,0)),",","")),"")</f>
        <v/>
      </c>
      <c r="K379" s="152">
        <f>IFERROR(VALUE(SUBSTITUTE(INDEX('04A_국토부원자료'!$A:$T,ROW()+1,MATCH("건축년도",'04A_국토부원자료'!$A$4:$T$4,0)),",","")),"")</f>
        <v/>
      </c>
      <c r="L379" s="176">
        <f>IFERROR(INDEX('04A_국토부원자료'!$A:$T,ROW()+1,MATCH("도로명",'04A_국토부원자료'!$A$4:$T$4,0)),"")</f>
        <v/>
      </c>
      <c r="M379" s="48">
        <f>IFERROR(INDEX('04A_국토부원자료'!$A:$T,ROW()+1,MATCH("거래유형",'04A_국토부원자료'!$A$4:$T$4,0)),"")</f>
        <v/>
      </c>
      <c r="N379" s="152">
        <f>IF(B379="","",IF('02_대상물건입력'!B5="",1,IF(ISNUMBER(SEARCH('02_대상물건입력'!B5,B379)),1,0)))</f>
        <v/>
      </c>
      <c r="O379" s="152">
        <f>IF(B379="","",IF('02_대상물건입력'!B6="",1,IF(ISNUMBER(SEARCH('02_대상물건입력'!B6,B379)),1,0)))</f>
        <v/>
      </c>
      <c r="P379" s="152">
        <f>IF(L379="","",IF('02_대상물건입력'!B15="",0,IF(ISNUMBER(SEARCH('02_대상물건입력'!B15,L379)),1,0)))</f>
        <v/>
      </c>
      <c r="Q379" s="152">
        <f>IF(OR(C379="",L379=""),0,IF(AND(TRIM(C379)=TRIM(RIGHT(SUBSTITUTE(TRIM('02_대상물건입력'!$B$7)," ",REPT(" ",99)),99)),IF('02_대상물건입력'!B15="",TRUE(),ISNUMBER(SEARCH('02_대상물건입력'!B15,L379)))),1,0))</f>
        <v/>
      </c>
      <c r="R379" s="175">
        <f>IFERROR(ABS(E379-'02_대상물건입력'!B11)/'02_대상물건입력'!B11,"")</f>
        <v/>
      </c>
      <c r="S379" s="152">
        <f>IFERROR(ABS(J379-'02_대상물건입력'!B10),"")</f>
        <v/>
      </c>
      <c r="T379" s="152">
        <f>IFERROR(ABS('01_설정'!B4-F379),"")</f>
        <v/>
      </c>
      <c r="U379" s="152">
        <f>IFERROR(ABS(K379-YEAR('02_대상물건입력'!B14)),"")</f>
        <v/>
      </c>
      <c r="V379" s="152">
        <f>IF(B379="","",IF(AND(E379&gt;0,F379&gt;0,H379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379=1,TRUE()),R379&lt;='01_설정'!B5,S379&lt;='01_설정'!B6,T379&lt;='01_설정'!B7,U379&lt;='01_설정'!B8),"Y",""))</f>
        <v/>
      </c>
      <c r="W379" s="172">
        <f>IF(V379&lt;&gt;"Y","",MAX(0,(1-R379/'01_설정'!B5))*'01_설정'!B14+MAX(0,(1-S379/'01_설정'!B6))*'01_설정'!B15+MAX(0,(1-T379/'01_설정'!B7))*'01_설정'!B16+MAX(0,(1-U379/'01_설정'!B8))*'01_설정'!B17+O379*'01_설정'!B11+Q379*'01_설정'!B12+P379*'01_설정'!B13+IF(Z379="",0,Z379))</f>
        <v/>
      </c>
      <c r="X379" s="152">
        <f>IF(W379="","",1+COUNTIFS($W$4:$W$3003,"&gt;"&amp;W379)+COUNTIFS($W$4:W379,W379)-1)</f>
        <v/>
      </c>
      <c r="Y379" s="175">
        <f>IF(OR(I379="",'02_대상물건입력'!B19="",'02_대상물건입력'!B19&lt;=0),"",ABS(I379-'02_대상물건입력'!B19)/'02_대상물건입력'!B19)</f>
        <v/>
      </c>
      <c r="Z379" s="172">
        <f>IF(OR(Y379="",'01_설정'!B31="",'01_설정'!B31&lt;=0,'01_설정'!B32="",'01_설정'!B32&lt;=0),"",MAX(0,(1-Y379/'01_설정'!B32))*'01_설정'!B31)</f>
        <v/>
      </c>
    </row>
    <row r="380" ht="17.25" customHeight="1">
      <c r="A380" s="152">
        <f>IF(INDEX('04A_국토부원자료'!$A:$A,ROW()+1)="","",ROW()-3)</f>
        <v/>
      </c>
      <c r="B380" s="48">
        <f>IFERROR(INDEX('04A_국토부원자료'!$A:$T,ROW()+1,MATCH("시군구",'04A_국토부원자료'!$A$4:$T$4,0)),"")</f>
        <v/>
      </c>
      <c r="C380" s="48">
        <f>IF(B380="","",IFERROR(INDEX('04A_국토부원자료'!$A:$T,ROW()+1,MATCH("번지",'04A_국토부원자료'!$A$4:$T$4,0)),""))</f>
        <v/>
      </c>
      <c r="D380" s="48">
        <f>IF(B380="","",IF(Q380=1,'02_대상물건입력'!$B$8,IFERROR(INDEX('04A_국토부원자료'!$A:$T,ROW()+1,MATCH("단지명",'04A_국토부원자료'!$A$4:$T$4,0)),"")))</f>
        <v/>
      </c>
      <c r="E380" s="172">
        <f>IFERROR(VALUE(SUBSTITUTE(INDEX('04A_국토부원자료'!$A:$T,ROW()+1,MATCH("전용면적(㎡)",'04A_국토부원자료'!$A$4:$T$4,0)),",","")),"")</f>
        <v/>
      </c>
      <c r="F3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80" s="51">
        <f>IFERROR(VALUE(SUBSTITUTE(INDEX('04A_국토부원자료'!$A:$T,ROW()+1,MATCH("거래금액(만원)",'04A_국토부원자료'!$A$4:$T$4,0)),",","")),"")</f>
        <v/>
      </c>
      <c r="H380" s="174">
        <f>IF(G380="","",G380*10000)</f>
        <v/>
      </c>
      <c r="I380" s="174">
        <f>IFERROR(IF(AND(H380&gt;0,E380&gt;0),H380/E380,""),"")</f>
        <v/>
      </c>
      <c r="J380" s="152">
        <f>IFERROR(VALUE(SUBSTITUTE(INDEX('04A_국토부원자료'!$A:$T,ROW()+1,MATCH("층",'04A_국토부원자료'!$A$4:$T$4,0)),",","")),"")</f>
        <v/>
      </c>
      <c r="K380" s="152">
        <f>IFERROR(VALUE(SUBSTITUTE(INDEX('04A_국토부원자료'!$A:$T,ROW()+1,MATCH("건축년도",'04A_국토부원자료'!$A$4:$T$4,0)),",","")),"")</f>
        <v/>
      </c>
      <c r="L380" s="176">
        <f>IFERROR(INDEX('04A_국토부원자료'!$A:$T,ROW()+1,MATCH("도로명",'04A_국토부원자료'!$A$4:$T$4,0)),"")</f>
        <v/>
      </c>
      <c r="M380" s="48">
        <f>IFERROR(INDEX('04A_국토부원자료'!$A:$T,ROW()+1,MATCH("거래유형",'04A_국토부원자료'!$A$4:$T$4,0)),"")</f>
        <v/>
      </c>
      <c r="N380" s="152">
        <f>IF(B380="","",IF('02_대상물건입력'!B5="",1,IF(ISNUMBER(SEARCH('02_대상물건입력'!B5,B380)),1,0)))</f>
        <v/>
      </c>
      <c r="O380" s="152">
        <f>IF(B380="","",IF('02_대상물건입력'!B6="",1,IF(ISNUMBER(SEARCH('02_대상물건입력'!B6,B380)),1,0)))</f>
        <v/>
      </c>
      <c r="P380" s="152">
        <f>IF(L380="","",IF('02_대상물건입력'!B15="",0,IF(ISNUMBER(SEARCH('02_대상물건입력'!B15,L380)),1,0)))</f>
        <v/>
      </c>
      <c r="Q380" s="152">
        <f>IF(OR(C380="",L380=""),0,IF(AND(TRIM(C380)=TRIM(RIGHT(SUBSTITUTE(TRIM('02_대상물건입력'!$B$7)," ",REPT(" ",99)),99)),IF('02_대상물건입력'!B15="",TRUE(),ISNUMBER(SEARCH('02_대상물건입력'!B15,L380)))),1,0))</f>
        <v/>
      </c>
      <c r="R380" s="175">
        <f>IFERROR(ABS(E380-'02_대상물건입력'!B11)/'02_대상물건입력'!B11,"")</f>
        <v/>
      </c>
      <c r="S380" s="152">
        <f>IFERROR(ABS(J380-'02_대상물건입력'!B10),"")</f>
        <v/>
      </c>
      <c r="T380" s="152">
        <f>IFERROR(ABS('01_설정'!B4-F380),"")</f>
        <v/>
      </c>
      <c r="U380" s="152">
        <f>IFERROR(ABS(K380-YEAR('02_대상물건입력'!B14)),"")</f>
        <v/>
      </c>
      <c r="V380" s="152">
        <f>IF(B380="","",IF(AND(E380&gt;0,F380&gt;0,H380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380=1,TRUE()),R380&lt;='01_설정'!B5,S380&lt;='01_설정'!B6,T380&lt;='01_설정'!B7,U380&lt;='01_설정'!B8),"Y",""))</f>
        <v/>
      </c>
      <c r="W380" s="172">
        <f>IF(V380&lt;&gt;"Y","",MAX(0,(1-R380/'01_설정'!B5))*'01_설정'!B14+MAX(0,(1-S380/'01_설정'!B6))*'01_설정'!B15+MAX(0,(1-T380/'01_설정'!B7))*'01_설정'!B16+MAX(0,(1-U380/'01_설정'!B8))*'01_설정'!B17+O380*'01_설정'!B11+Q380*'01_설정'!B12+P380*'01_설정'!B13+IF(Z380="",0,Z380))</f>
        <v/>
      </c>
      <c r="X380" s="152">
        <f>IF(W380="","",1+COUNTIFS($W$4:$W$3003,"&gt;"&amp;W380)+COUNTIFS($W$4:W380,W380)-1)</f>
        <v/>
      </c>
      <c r="Y380" s="175">
        <f>IF(OR(I380="",'02_대상물건입력'!B19="",'02_대상물건입력'!B19&lt;=0),"",ABS(I380-'02_대상물건입력'!B19)/'02_대상물건입력'!B19)</f>
        <v/>
      </c>
      <c r="Z380" s="172">
        <f>IF(OR(Y380="",'01_설정'!B31="",'01_설정'!B31&lt;=0,'01_설정'!B32="",'01_설정'!B32&lt;=0),"",MAX(0,(1-Y380/'01_설정'!B32))*'01_설정'!B31)</f>
        <v/>
      </c>
    </row>
    <row r="381" ht="17.25" customHeight="1">
      <c r="A381" s="152">
        <f>IF(INDEX('04A_국토부원자료'!$A:$A,ROW()+1)="","",ROW()-3)</f>
        <v/>
      </c>
      <c r="B381" s="48">
        <f>IFERROR(INDEX('04A_국토부원자료'!$A:$T,ROW()+1,MATCH("시군구",'04A_국토부원자료'!$A$4:$T$4,0)),"")</f>
        <v/>
      </c>
      <c r="C381" s="48">
        <f>IF(B381="","",IFERROR(INDEX('04A_국토부원자료'!$A:$T,ROW()+1,MATCH("번지",'04A_국토부원자료'!$A$4:$T$4,0)),""))</f>
        <v/>
      </c>
      <c r="D381" s="48">
        <f>IF(B381="","",IF(Q381=1,'02_대상물건입력'!$B$8,IFERROR(INDEX('04A_국토부원자료'!$A:$T,ROW()+1,MATCH("단지명",'04A_국토부원자료'!$A$4:$T$4,0)),"")))</f>
        <v/>
      </c>
      <c r="E381" s="172">
        <f>IFERROR(VALUE(SUBSTITUTE(INDEX('04A_국토부원자료'!$A:$T,ROW()+1,MATCH("전용면적(㎡)",'04A_국토부원자료'!$A$4:$T$4,0)),",","")),"")</f>
        <v/>
      </c>
      <c r="F3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81" s="51">
        <f>IFERROR(VALUE(SUBSTITUTE(INDEX('04A_국토부원자료'!$A:$T,ROW()+1,MATCH("거래금액(만원)",'04A_국토부원자료'!$A$4:$T$4,0)),",","")),"")</f>
        <v/>
      </c>
      <c r="H381" s="174">
        <f>IF(G381="","",G381*10000)</f>
        <v/>
      </c>
      <c r="I381" s="174">
        <f>IFERROR(IF(AND(H381&gt;0,E381&gt;0),H381/E381,""),"")</f>
        <v/>
      </c>
      <c r="J381" s="152">
        <f>IFERROR(VALUE(SUBSTITUTE(INDEX('04A_국토부원자료'!$A:$T,ROW()+1,MATCH("층",'04A_국토부원자료'!$A$4:$T$4,0)),",","")),"")</f>
        <v/>
      </c>
      <c r="K381" s="152">
        <f>IFERROR(VALUE(SUBSTITUTE(INDEX('04A_국토부원자료'!$A:$T,ROW()+1,MATCH("건축년도",'04A_국토부원자료'!$A$4:$T$4,0)),",","")),"")</f>
        <v/>
      </c>
      <c r="L381" s="176">
        <f>IFERROR(INDEX('04A_국토부원자료'!$A:$T,ROW()+1,MATCH("도로명",'04A_국토부원자료'!$A$4:$T$4,0)),"")</f>
        <v/>
      </c>
      <c r="M381" s="48">
        <f>IFERROR(INDEX('04A_국토부원자료'!$A:$T,ROW()+1,MATCH("거래유형",'04A_국토부원자료'!$A$4:$T$4,0)),"")</f>
        <v/>
      </c>
      <c r="N381" s="152">
        <f>IF(B381="","",IF('02_대상물건입력'!B5="",1,IF(ISNUMBER(SEARCH('02_대상물건입력'!B5,B381)),1,0)))</f>
        <v/>
      </c>
      <c r="O381" s="152">
        <f>IF(B381="","",IF('02_대상물건입력'!B6="",1,IF(ISNUMBER(SEARCH('02_대상물건입력'!B6,B381)),1,0)))</f>
        <v/>
      </c>
      <c r="P381" s="152">
        <f>IF(L381="","",IF('02_대상물건입력'!B15="",0,IF(ISNUMBER(SEARCH('02_대상물건입력'!B15,L381)),1,0)))</f>
        <v/>
      </c>
      <c r="Q381" s="152">
        <f>IF(OR(C381="",L381=""),0,IF(AND(TRIM(C381)=TRIM(RIGHT(SUBSTITUTE(TRIM('02_대상물건입력'!$B$7)," ",REPT(" ",99)),99)),IF('02_대상물건입력'!B15="",TRUE(),ISNUMBER(SEARCH('02_대상물건입력'!B15,L381)))),1,0))</f>
        <v/>
      </c>
      <c r="R381" s="175">
        <f>IFERROR(ABS(E381-'02_대상물건입력'!B11)/'02_대상물건입력'!B11,"")</f>
        <v/>
      </c>
      <c r="S381" s="152">
        <f>IFERROR(ABS(J381-'02_대상물건입력'!B10),"")</f>
        <v/>
      </c>
      <c r="T381" s="152">
        <f>IFERROR(ABS('01_설정'!B4-F381),"")</f>
        <v/>
      </c>
      <c r="U381" s="152">
        <f>IFERROR(ABS(K381-YEAR('02_대상물건입력'!B14)),"")</f>
        <v/>
      </c>
      <c r="V381" s="152">
        <f>IF(B381="","",IF(AND(E381&gt;0,F381&gt;0,H381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381=1,TRUE()),R381&lt;='01_설정'!B5,S381&lt;='01_설정'!B6,T381&lt;='01_설정'!B7,U381&lt;='01_설정'!B8),"Y",""))</f>
        <v/>
      </c>
      <c r="W381" s="172">
        <f>IF(V381&lt;&gt;"Y","",MAX(0,(1-R381/'01_설정'!B5))*'01_설정'!B14+MAX(0,(1-S381/'01_설정'!B6))*'01_설정'!B15+MAX(0,(1-T381/'01_설정'!B7))*'01_설정'!B16+MAX(0,(1-U381/'01_설정'!B8))*'01_설정'!B17+O381*'01_설정'!B11+Q381*'01_설정'!B12+P381*'01_설정'!B13+IF(Z381="",0,Z381))</f>
        <v/>
      </c>
      <c r="X381" s="152">
        <f>IF(W381="","",1+COUNTIFS($W$4:$W$3003,"&gt;"&amp;W381)+COUNTIFS($W$4:W381,W381)-1)</f>
        <v/>
      </c>
      <c r="Y381" s="175">
        <f>IF(OR(I381="",'02_대상물건입력'!B19="",'02_대상물건입력'!B19&lt;=0),"",ABS(I381-'02_대상물건입력'!B19)/'02_대상물건입력'!B19)</f>
        <v/>
      </c>
      <c r="Z381" s="172">
        <f>IF(OR(Y381="",'01_설정'!B31="",'01_설정'!B31&lt;=0,'01_설정'!B32="",'01_설정'!B32&lt;=0),"",MAX(0,(1-Y381/'01_설정'!B32))*'01_설정'!B31)</f>
        <v/>
      </c>
    </row>
    <row r="382" ht="17.25" customHeight="1">
      <c r="A382" s="152">
        <f>IF(INDEX('04A_국토부원자료'!$A:$A,ROW()+1)="","",ROW()-3)</f>
        <v/>
      </c>
      <c r="B382" s="48">
        <f>IFERROR(INDEX('04A_국토부원자료'!$A:$T,ROW()+1,MATCH("시군구",'04A_국토부원자료'!$A$4:$T$4,0)),"")</f>
        <v/>
      </c>
      <c r="C382" s="48">
        <f>IF(B382="","",IFERROR(INDEX('04A_국토부원자료'!$A:$T,ROW()+1,MATCH("번지",'04A_국토부원자료'!$A$4:$T$4,0)),""))</f>
        <v/>
      </c>
      <c r="D382" s="48">
        <f>IF(B382="","",IF(Q382=1,'02_대상물건입력'!$B$8,IFERROR(INDEX('04A_국토부원자료'!$A:$T,ROW()+1,MATCH("단지명",'04A_국토부원자료'!$A$4:$T$4,0)),"")))</f>
        <v/>
      </c>
      <c r="E382" s="172">
        <f>IFERROR(VALUE(SUBSTITUTE(INDEX('04A_국토부원자료'!$A:$T,ROW()+1,MATCH("전용면적(㎡)",'04A_국토부원자료'!$A$4:$T$4,0)),",","")),"")</f>
        <v/>
      </c>
      <c r="F3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82" s="51">
        <f>IFERROR(VALUE(SUBSTITUTE(INDEX('04A_국토부원자료'!$A:$T,ROW()+1,MATCH("거래금액(만원)",'04A_국토부원자료'!$A$4:$T$4,0)),",","")),"")</f>
        <v/>
      </c>
      <c r="H382" s="174">
        <f>IF(G382="","",G382*10000)</f>
        <v/>
      </c>
      <c r="I382" s="174">
        <f>IFERROR(IF(AND(H382&gt;0,E382&gt;0),H382/E382,""),"")</f>
        <v/>
      </c>
      <c r="J382" s="152">
        <f>IFERROR(VALUE(SUBSTITUTE(INDEX('04A_국토부원자료'!$A:$T,ROW()+1,MATCH("층",'04A_국토부원자료'!$A$4:$T$4,0)),",","")),"")</f>
        <v/>
      </c>
      <c r="K382" s="152">
        <f>IFERROR(VALUE(SUBSTITUTE(INDEX('04A_국토부원자료'!$A:$T,ROW()+1,MATCH("건축년도",'04A_국토부원자료'!$A$4:$T$4,0)),",","")),"")</f>
        <v/>
      </c>
      <c r="L382" s="176">
        <f>IFERROR(INDEX('04A_국토부원자료'!$A:$T,ROW()+1,MATCH("도로명",'04A_국토부원자료'!$A$4:$T$4,0)),"")</f>
        <v/>
      </c>
      <c r="M382" s="48">
        <f>IFERROR(INDEX('04A_국토부원자료'!$A:$T,ROW()+1,MATCH("거래유형",'04A_국토부원자료'!$A$4:$T$4,0)),"")</f>
        <v/>
      </c>
      <c r="N382" s="152">
        <f>IF(B382="","",IF('02_대상물건입력'!B5="",1,IF(ISNUMBER(SEARCH('02_대상물건입력'!B5,B382)),1,0)))</f>
        <v/>
      </c>
      <c r="O382" s="152">
        <f>IF(B382="","",IF('02_대상물건입력'!B6="",1,IF(ISNUMBER(SEARCH('02_대상물건입력'!B6,B382)),1,0)))</f>
        <v/>
      </c>
      <c r="P382" s="152">
        <f>IF(L382="","",IF('02_대상물건입력'!B15="",0,IF(ISNUMBER(SEARCH('02_대상물건입력'!B15,L382)),1,0)))</f>
        <v/>
      </c>
      <c r="Q382" s="152">
        <f>IF(OR(C382="",L382=""),0,IF(AND(TRIM(C382)=TRIM(RIGHT(SUBSTITUTE(TRIM('02_대상물건입력'!$B$7)," ",REPT(" ",99)),99)),IF('02_대상물건입력'!B15="",TRUE(),ISNUMBER(SEARCH('02_대상물건입력'!B15,L382)))),1,0))</f>
        <v/>
      </c>
      <c r="R382" s="175">
        <f>IFERROR(ABS(E382-'02_대상물건입력'!B11)/'02_대상물건입력'!B11,"")</f>
        <v/>
      </c>
      <c r="S382" s="152">
        <f>IFERROR(ABS(J382-'02_대상물건입력'!B10),"")</f>
        <v/>
      </c>
      <c r="T382" s="152">
        <f>IFERROR(ABS('01_설정'!B4-F382),"")</f>
        <v/>
      </c>
      <c r="U382" s="152">
        <f>IFERROR(ABS(K382-YEAR('02_대상물건입력'!B14)),"")</f>
        <v/>
      </c>
      <c r="V382" s="152">
        <f>IF(B382="","",IF(AND(E382&gt;0,F382&gt;0,H382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382=1,TRUE()),R382&lt;='01_설정'!B5,S382&lt;='01_설정'!B6,T382&lt;='01_설정'!B7,U382&lt;='01_설정'!B8),"Y",""))</f>
        <v/>
      </c>
      <c r="W382" s="172">
        <f>IF(V382&lt;&gt;"Y","",MAX(0,(1-R382/'01_설정'!B5))*'01_설정'!B14+MAX(0,(1-S382/'01_설정'!B6))*'01_설정'!B15+MAX(0,(1-T382/'01_설정'!B7))*'01_설정'!B16+MAX(0,(1-U382/'01_설정'!B8))*'01_설정'!B17+O382*'01_설정'!B11+Q382*'01_설정'!B12+P382*'01_설정'!B13+IF(Z382="",0,Z382))</f>
        <v/>
      </c>
      <c r="X382" s="152">
        <f>IF(W382="","",1+COUNTIFS($W$4:$W$3003,"&gt;"&amp;W382)+COUNTIFS($W$4:W382,W382)-1)</f>
        <v/>
      </c>
      <c r="Y382" s="175">
        <f>IF(OR(I382="",'02_대상물건입력'!B19="",'02_대상물건입력'!B19&lt;=0),"",ABS(I382-'02_대상물건입력'!B19)/'02_대상물건입력'!B19)</f>
        <v/>
      </c>
      <c r="Z382" s="172">
        <f>IF(OR(Y382="",'01_설정'!B31="",'01_설정'!B31&lt;=0,'01_설정'!B32="",'01_설정'!B32&lt;=0),"",MAX(0,(1-Y382/'01_설정'!B32))*'01_설정'!B31)</f>
        <v/>
      </c>
    </row>
    <row r="383" ht="17.25" customHeight="1">
      <c r="A383" s="152">
        <f>IF(INDEX('04A_국토부원자료'!$A:$A,ROW()+1)="","",ROW()-3)</f>
        <v/>
      </c>
      <c r="B383" s="48">
        <f>IFERROR(INDEX('04A_국토부원자료'!$A:$T,ROW()+1,MATCH("시군구",'04A_국토부원자료'!$A$4:$T$4,0)),"")</f>
        <v/>
      </c>
      <c r="C383" s="48">
        <f>IF(B383="","",IFERROR(INDEX('04A_국토부원자료'!$A:$T,ROW()+1,MATCH("번지",'04A_국토부원자료'!$A$4:$T$4,0)),""))</f>
        <v/>
      </c>
      <c r="D383" s="48">
        <f>IF(B383="","",IF(Q383=1,'02_대상물건입력'!$B$8,IFERROR(INDEX('04A_국토부원자료'!$A:$T,ROW()+1,MATCH("단지명",'04A_국토부원자료'!$A$4:$T$4,0)),"")))</f>
        <v/>
      </c>
      <c r="E383" s="172">
        <f>IFERROR(VALUE(SUBSTITUTE(INDEX('04A_국토부원자료'!$A:$T,ROW()+1,MATCH("전용면적(㎡)",'04A_국토부원자료'!$A$4:$T$4,0)),",","")),"")</f>
        <v/>
      </c>
      <c r="F3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83" s="51">
        <f>IFERROR(VALUE(SUBSTITUTE(INDEX('04A_국토부원자료'!$A:$T,ROW()+1,MATCH("거래금액(만원)",'04A_국토부원자료'!$A$4:$T$4,0)),",","")),"")</f>
        <v/>
      </c>
      <c r="H383" s="174">
        <f>IF(G383="","",G383*10000)</f>
        <v/>
      </c>
      <c r="I383" s="174">
        <f>IFERROR(IF(AND(H383&gt;0,E383&gt;0),H383/E383,""),"")</f>
        <v/>
      </c>
      <c r="J383" s="152">
        <f>IFERROR(VALUE(SUBSTITUTE(INDEX('04A_국토부원자료'!$A:$T,ROW()+1,MATCH("층",'04A_국토부원자료'!$A$4:$T$4,0)),",","")),"")</f>
        <v/>
      </c>
      <c r="K383" s="152">
        <f>IFERROR(VALUE(SUBSTITUTE(INDEX('04A_국토부원자료'!$A:$T,ROW()+1,MATCH("건축년도",'04A_국토부원자료'!$A$4:$T$4,0)),",","")),"")</f>
        <v/>
      </c>
      <c r="L383" s="176">
        <f>IFERROR(INDEX('04A_국토부원자료'!$A:$T,ROW()+1,MATCH("도로명",'04A_국토부원자료'!$A$4:$T$4,0)),"")</f>
        <v/>
      </c>
      <c r="M383" s="48">
        <f>IFERROR(INDEX('04A_국토부원자료'!$A:$T,ROW()+1,MATCH("거래유형",'04A_국토부원자료'!$A$4:$T$4,0)),"")</f>
        <v/>
      </c>
      <c r="N383" s="152">
        <f>IF(B383="","",IF('02_대상물건입력'!B5="",1,IF(ISNUMBER(SEARCH('02_대상물건입력'!B5,B383)),1,0)))</f>
        <v/>
      </c>
      <c r="O383" s="152">
        <f>IF(B383="","",IF('02_대상물건입력'!B6="",1,IF(ISNUMBER(SEARCH('02_대상물건입력'!B6,B383)),1,0)))</f>
        <v/>
      </c>
      <c r="P383" s="152">
        <f>IF(L383="","",IF('02_대상물건입력'!B15="",0,IF(ISNUMBER(SEARCH('02_대상물건입력'!B15,L383)),1,0)))</f>
        <v/>
      </c>
      <c r="Q383" s="152">
        <f>IF(OR(C383="",L383=""),0,IF(AND(TRIM(C383)=TRIM(RIGHT(SUBSTITUTE(TRIM('02_대상물건입력'!$B$7)," ",REPT(" ",99)),99)),IF('02_대상물건입력'!B15="",TRUE(),ISNUMBER(SEARCH('02_대상물건입력'!B15,L383)))),1,0))</f>
        <v/>
      </c>
      <c r="R383" s="175">
        <f>IFERROR(ABS(E383-'02_대상물건입력'!B11)/'02_대상물건입력'!B11,"")</f>
        <v/>
      </c>
      <c r="S383" s="152">
        <f>IFERROR(ABS(J383-'02_대상물건입력'!B10),"")</f>
        <v/>
      </c>
      <c r="T383" s="152">
        <f>IFERROR(ABS('01_설정'!B4-F383),"")</f>
        <v/>
      </c>
      <c r="U383" s="152">
        <f>IFERROR(ABS(K383-YEAR('02_대상물건입력'!B14)),"")</f>
        <v/>
      </c>
      <c r="V383" s="152">
        <f>IF(B383="","",IF(AND(E383&gt;0,F383&gt;0,H383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383=1,TRUE()),R383&lt;='01_설정'!B5,S383&lt;='01_설정'!B6,T383&lt;='01_설정'!B7,U383&lt;='01_설정'!B8),"Y",""))</f>
        <v/>
      </c>
      <c r="W383" s="172">
        <f>IF(V383&lt;&gt;"Y","",MAX(0,(1-R383/'01_설정'!B5))*'01_설정'!B14+MAX(0,(1-S383/'01_설정'!B6))*'01_설정'!B15+MAX(0,(1-T383/'01_설정'!B7))*'01_설정'!B16+MAX(0,(1-U383/'01_설정'!B8))*'01_설정'!B17+O383*'01_설정'!B11+Q383*'01_설정'!B12+P383*'01_설정'!B13+IF(Z383="",0,Z383))</f>
        <v/>
      </c>
      <c r="X383" s="152">
        <f>IF(W383="","",1+COUNTIFS($W$4:$W$3003,"&gt;"&amp;W383)+COUNTIFS($W$4:W383,W383)-1)</f>
        <v/>
      </c>
      <c r="Y383" s="175">
        <f>IF(OR(I383="",'02_대상물건입력'!B19="",'02_대상물건입력'!B19&lt;=0),"",ABS(I383-'02_대상물건입력'!B19)/'02_대상물건입력'!B19)</f>
        <v/>
      </c>
      <c r="Z383" s="172">
        <f>IF(OR(Y383="",'01_설정'!B31="",'01_설정'!B31&lt;=0,'01_설정'!B32="",'01_설정'!B32&lt;=0),"",MAX(0,(1-Y383/'01_설정'!B32))*'01_설정'!B31)</f>
        <v/>
      </c>
    </row>
    <row r="384" ht="17.25" customHeight="1">
      <c r="A384" s="152">
        <f>IF(INDEX('04A_국토부원자료'!$A:$A,ROW()+1)="","",ROW()-3)</f>
        <v/>
      </c>
      <c r="B384" s="48">
        <f>IFERROR(INDEX('04A_국토부원자료'!$A:$T,ROW()+1,MATCH("시군구",'04A_국토부원자료'!$A$4:$T$4,0)),"")</f>
        <v/>
      </c>
      <c r="C384" s="48">
        <f>IF(B384="","",IFERROR(INDEX('04A_국토부원자료'!$A:$T,ROW()+1,MATCH("번지",'04A_국토부원자료'!$A$4:$T$4,0)),""))</f>
        <v/>
      </c>
      <c r="D384" s="48">
        <f>IF(B384="","",IF(Q384=1,'02_대상물건입력'!$B$8,IFERROR(INDEX('04A_국토부원자료'!$A:$T,ROW()+1,MATCH("단지명",'04A_국토부원자료'!$A$4:$T$4,0)),"")))</f>
        <v/>
      </c>
      <c r="E384" s="172">
        <f>IFERROR(VALUE(SUBSTITUTE(INDEX('04A_국토부원자료'!$A:$T,ROW()+1,MATCH("전용면적(㎡)",'04A_국토부원자료'!$A$4:$T$4,0)),",","")),"")</f>
        <v/>
      </c>
      <c r="F3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84" s="51">
        <f>IFERROR(VALUE(SUBSTITUTE(INDEX('04A_국토부원자료'!$A:$T,ROW()+1,MATCH("거래금액(만원)",'04A_국토부원자료'!$A$4:$T$4,0)),",","")),"")</f>
        <v/>
      </c>
      <c r="H384" s="174">
        <f>IF(G384="","",G384*10000)</f>
        <v/>
      </c>
      <c r="I384" s="174">
        <f>IFERROR(IF(AND(H384&gt;0,E384&gt;0),H384/E384,""),"")</f>
        <v/>
      </c>
      <c r="J384" s="152">
        <f>IFERROR(VALUE(SUBSTITUTE(INDEX('04A_국토부원자료'!$A:$T,ROW()+1,MATCH("층",'04A_국토부원자료'!$A$4:$T$4,0)),",","")),"")</f>
        <v/>
      </c>
      <c r="K384" s="152">
        <f>IFERROR(VALUE(SUBSTITUTE(INDEX('04A_국토부원자료'!$A:$T,ROW()+1,MATCH("건축년도",'04A_국토부원자료'!$A$4:$T$4,0)),",","")),"")</f>
        <v/>
      </c>
      <c r="L384" s="176">
        <f>IFERROR(INDEX('04A_국토부원자료'!$A:$T,ROW()+1,MATCH("도로명",'04A_국토부원자료'!$A$4:$T$4,0)),"")</f>
        <v/>
      </c>
      <c r="M384" s="48">
        <f>IFERROR(INDEX('04A_국토부원자료'!$A:$T,ROW()+1,MATCH("거래유형",'04A_국토부원자료'!$A$4:$T$4,0)),"")</f>
        <v/>
      </c>
      <c r="N384" s="152">
        <f>IF(B384="","",IF('02_대상물건입력'!B5="",1,IF(ISNUMBER(SEARCH('02_대상물건입력'!B5,B384)),1,0)))</f>
        <v/>
      </c>
      <c r="O384" s="152">
        <f>IF(B384="","",IF('02_대상물건입력'!B6="",1,IF(ISNUMBER(SEARCH('02_대상물건입력'!B6,B384)),1,0)))</f>
        <v/>
      </c>
      <c r="P384" s="152">
        <f>IF(L384="","",IF('02_대상물건입력'!B15="",0,IF(ISNUMBER(SEARCH('02_대상물건입력'!B15,L384)),1,0)))</f>
        <v/>
      </c>
      <c r="Q384" s="152">
        <f>IF(OR(C384="",L384=""),0,IF(AND(TRIM(C384)=TRIM(RIGHT(SUBSTITUTE(TRIM('02_대상물건입력'!$B$7)," ",REPT(" ",99)),99)),IF('02_대상물건입력'!B15="",TRUE(),ISNUMBER(SEARCH('02_대상물건입력'!B15,L384)))),1,0))</f>
        <v/>
      </c>
      <c r="R384" s="175">
        <f>IFERROR(ABS(E384-'02_대상물건입력'!B11)/'02_대상물건입력'!B11,"")</f>
        <v/>
      </c>
      <c r="S384" s="152">
        <f>IFERROR(ABS(J384-'02_대상물건입력'!B10),"")</f>
        <v/>
      </c>
      <c r="T384" s="152">
        <f>IFERROR(ABS('01_설정'!B4-F384),"")</f>
        <v/>
      </c>
      <c r="U384" s="152">
        <f>IFERROR(ABS(K384-YEAR('02_대상물건입력'!B14)),"")</f>
        <v/>
      </c>
      <c r="V384" s="152">
        <f>IF(B384="","",IF(AND(E384&gt;0,F384&gt;0,H384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384=1,TRUE()),R384&lt;='01_설정'!B5,S384&lt;='01_설정'!B6,T384&lt;='01_설정'!B7,U384&lt;='01_설정'!B8),"Y",""))</f>
        <v/>
      </c>
      <c r="W384" s="172">
        <f>IF(V384&lt;&gt;"Y","",MAX(0,(1-R384/'01_설정'!B5))*'01_설정'!B14+MAX(0,(1-S384/'01_설정'!B6))*'01_설정'!B15+MAX(0,(1-T384/'01_설정'!B7))*'01_설정'!B16+MAX(0,(1-U384/'01_설정'!B8))*'01_설정'!B17+O384*'01_설정'!B11+Q384*'01_설정'!B12+P384*'01_설정'!B13+IF(Z384="",0,Z384))</f>
        <v/>
      </c>
      <c r="X384" s="152">
        <f>IF(W384="","",1+COUNTIFS($W$4:$W$3003,"&gt;"&amp;W384)+COUNTIFS($W$4:W384,W384)-1)</f>
        <v/>
      </c>
      <c r="Y384" s="175">
        <f>IF(OR(I384="",'02_대상물건입력'!B19="",'02_대상물건입력'!B19&lt;=0),"",ABS(I384-'02_대상물건입력'!B19)/'02_대상물건입력'!B19)</f>
        <v/>
      </c>
      <c r="Z384" s="172">
        <f>IF(OR(Y384="",'01_설정'!B31="",'01_설정'!B31&lt;=0,'01_설정'!B32="",'01_설정'!B32&lt;=0),"",MAX(0,(1-Y384/'01_설정'!B32))*'01_설정'!B31)</f>
        <v/>
      </c>
    </row>
    <row r="385" ht="17.25" customHeight="1">
      <c r="A385" s="152">
        <f>IF(INDEX('04A_국토부원자료'!$A:$A,ROW()+1)="","",ROW()-3)</f>
        <v/>
      </c>
      <c r="B385" s="48">
        <f>IFERROR(INDEX('04A_국토부원자료'!$A:$T,ROW()+1,MATCH("시군구",'04A_국토부원자료'!$A$4:$T$4,0)),"")</f>
        <v/>
      </c>
      <c r="C385" s="48">
        <f>IF(B385="","",IFERROR(INDEX('04A_국토부원자료'!$A:$T,ROW()+1,MATCH("번지",'04A_국토부원자료'!$A$4:$T$4,0)),""))</f>
        <v/>
      </c>
      <c r="D385" s="48">
        <f>IF(B385="","",IF(Q385=1,'02_대상물건입력'!$B$8,IFERROR(INDEX('04A_국토부원자료'!$A:$T,ROW()+1,MATCH("단지명",'04A_국토부원자료'!$A$4:$T$4,0)),"")))</f>
        <v/>
      </c>
      <c r="E385" s="172">
        <f>IFERROR(VALUE(SUBSTITUTE(INDEX('04A_국토부원자료'!$A:$T,ROW()+1,MATCH("전용면적(㎡)",'04A_국토부원자료'!$A$4:$T$4,0)),",","")),"")</f>
        <v/>
      </c>
      <c r="F3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85" s="51">
        <f>IFERROR(VALUE(SUBSTITUTE(INDEX('04A_국토부원자료'!$A:$T,ROW()+1,MATCH("거래금액(만원)",'04A_국토부원자료'!$A$4:$T$4,0)),",","")),"")</f>
        <v/>
      </c>
      <c r="H385" s="174">
        <f>IF(G385="","",G385*10000)</f>
        <v/>
      </c>
      <c r="I385" s="174">
        <f>IFERROR(IF(AND(H385&gt;0,E385&gt;0),H385/E385,""),"")</f>
        <v/>
      </c>
      <c r="J385" s="152">
        <f>IFERROR(VALUE(SUBSTITUTE(INDEX('04A_국토부원자료'!$A:$T,ROW()+1,MATCH("층",'04A_국토부원자료'!$A$4:$T$4,0)),",","")),"")</f>
        <v/>
      </c>
      <c r="K385" s="152">
        <f>IFERROR(VALUE(SUBSTITUTE(INDEX('04A_국토부원자료'!$A:$T,ROW()+1,MATCH("건축년도",'04A_국토부원자료'!$A$4:$T$4,0)),",","")),"")</f>
        <v/>
      </c>
      <c r="L385" s="176">
        <f>IFERROR(INDEX('04A_국토부원자료'!$A:$T,ROW()+1,MATCH("도로명",'04A_국토부원자료'!$A$4:$T$4,0)),"")</f>
        <v/>
      </c>
      <c r="M385" s="48">
        <f>IFERROR(INDEX('04A_국토부원자료'!$A:$T,ROW()+1,MATCH("거래유형",'04A_국토부원자료'!$A$4:$T$4,0)),"")</f>
        <v/>
      </c>
      <c r="N385" s="152">
        <f>IF(B385="","",IF('02_대상물건입력'!B5="",1,IF(ISNUMBER(SEARCH('02_대상물건입력'!B5,B385)),1,0)))</f>
        <v/>
      </c>
      <c r="O385" s="152">
        <f>IF(B385="","",IF('02_대상물건입력'!B6="",1,IF(ISNUMBER(SEARCH('02_대상물건입력'!B6,B385)),1,0)))</f>
        <v/>
      </c>
      <c r="P385" s="152">
        <f>IF(L385="","",IF('02_대상물건입력'!B15="",0,IF(ISNUMBER(SEARCH('02_대상물건입력'!B15,L385)),1,0)))</f>
        <v/>
      </c>
      <c r="Q385" s="152">
        <f>IF(OR(C385="",L385=""),0,IF(AND(TRIM(C385)=TRIM(RIGHT(SUBSTITUTE(TRIM('02_대상물건입력'!$B$7)," ",REPT(" ",99)),99)),IF('02_대상물건입력'!B15="",TRUE(),ISNUMBER(SEARCH('02_대상물건입력'!B15,L385)))),1,0))</f>
        <v/>
      </c>
      <c r="R385" s="175">
        <f>IFERROR(ABS(E385-'02_대상물건입력'!B11)/'02_대상물건입력'!B11,"")</f>
        <v/>
      </c>
      <c r="S385" s="152">
        <f>IFERROR(ABS(J385-'02_대상물건입력'!B10),"")</f>
        <v/>
      </c>
      <c r="T385" s="152">
        <f>IFERROR(ABS('01_설정'!B4-F385),"")</f>
        <v/>
      </c>
      <c r="U385" s="152">
        <f>IFERROR(ABS(K385-YEAR('02_대상물건입력'!B14)),"")</f>
        <v/>
      </c>
      <c r="V385" s="152">
        <f>IF(B385="","",IF(AND(E385&gt;0,F385&gt;0,H385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385=1,TRUE()),R385&lt;='01_설정'!B5,S385&lt;='01_설정'!B6,T385&lt;='01_설정'!B7,U385&lt;='01_설정'!B8),"Y",""))</f>
        <v/>
      </c>
      <c r="W385" s="172">
        <f>IF(V385&lt;&gt;"Y","",MAX(0,(1-R385/'01_설정'!B5))*'01_설정'!B14+MAX(0,(1-S385/'01_설정'!B6))*'01_설정'!B15+MAX(0,(1-T385/'01_설정'!B7))*'01_설정'!B16+MAX(0,(1-U385/'01_설정'!B8))*'01_설정'!B17+O385*'01_설정'!B11+Q385*'01_설정'!B12+P385*'01_설정'!B13+IF(Z385="",0,Z385))</f>
        <v/>
      </c>
      <c r="X385" s="152">
        <f>IF(W385="","",1+COUNTIFS($W$4:$W$3003,"&gt;"&amp;W385)+COUNTIFS($W$4:W385,W385)-1)</f>
        <v/>
      </c>
      <c r="Y385" s="175">
        <f>IF(OR(I385="",'02_대상물건입력'!B19="",'02_대상물건입력'!B19&lt;=0),"",ABS(I385-'02_대상물건입력'!B19)/'02_대상물건입력'!B19)</f>
        <v/>
      </c>
      <c r="Z385" s="172">
        <f>IF(OR(Y385="",'01_설정'!B31="",'01_설정'!B31&lt;=0,'01_설정'!B32="",'01_설정'!B32&lt;=0),"",MAX(0,(1-Y385/'01_설정'!B32))*'01_설정'!B31)</f>
        <v/>
      </c>
    </row>
    <row r="386" ht="17.25" customHeight="1">
      <c r="A386" s="152">
        <f>IF(INDEX('04A_국토부원자료'!$A:$A,ROW()+1)="","",ROW()-3)</f>
        <v/>
      </c>
      <c r="B386" s="48">
        <f>IFERROR(INDEX('04A_국토부원자료'!$A:$T,ROW()+1,MATCH("시군구",'04A_국토부원자료'!$A$4:$T$4,0)),"")</f>
        <v/>
      </c>
      <c r="C386" s="48">
        <f>IF(B386="","",IFERROR(INDEX('04A_국토부원자료'!$A:$T,ROW()+1,MATCH("번지",'04A_국토부원자료'!$A$4:$T$4,0)),""))</f>
        <v/>
      </c>
      <c r="D386" s="48">
        <f>IF(B386="","",IF(Q386=1,'02_대상물건입력'!$B$8,IFERROR(INDEX('04A_국토부원자료'!$A:$T,ROW()+1,MATCH("단지명",'04A_국토부원자료'!$A$4:$T$4,0)),"")))</f>
        <v/>
      </c>
      <c r="E386" s="172">
        <f>IFERROR(VALUE(SUBSTITUTE(INDEX('04A_국토부원자료'!$A:$T,ROW()+1,MATCH("전용면적(㎡)",'04A_국토부원자료'!$A$4:$T$4,0)),",","")),"")</f>
        <v/>
      </c>
      <c r="F3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86" s="51">
        <f>IFERROR(VALUE(SUBSTITUTE(INDEX('04A_국토부원자료'!$A:$T,ROW()+1,MATCH("거래금액(만원)",'04A_국토부원자료'!$A$4:$T$4,0)),",","")),"")</f>
        <v/>
      </c>
      <c r="H386" s="174">
        <f>IF(G386="","",G386*10000)</f>
        <v/>
      </c>
      <c r="I386" s="174">
        <f>IFERROR(IF(AND(H386&gt;0,E386&gt;0),H386/E386,""),"")</f>
        <v/>
      </c>
      <c r="J386" s="152">
        <f>IFERROR(VALUE(SUBSTITUTE(INDEX('04A_국토부원자료'!$A:$T,ROW()+1,MATCH("층",'04A_국토부원자료'!$A$4:$T$4,0)),",","")),"")</f>
        <v/>
      </c>
      <c r="K386" s="152">
        <f>IFERROR(VALUE(SUBSTITUTE(INDEX('04A_국토부원자료'!$A:$T,ROW()+1,MATCH("건축년도",'04A_국토부원자료'!$A$4:$T$4,0)),",","")),"")</f>
        <v/>
      </c>
      <c r="L386" s="176">
        <f>IFERROR(INDEX('04A_국토부원자료'!$A:$T,ROW()+1,MATCH("도로명",'04A_국토부원자료'!$A$4:$T$4,0)),"")</f>
        <v/>
      </c>
      <c r="M386" s="48">
        <f>IFERROR(INDEX('04A_국토부원자료'!$A:$T,ROW()+1,MATCH("거래유형",'04A_국토부원자료'!$A$4:$T$4,0)),"")</f>
        <v/>
      </c>
      <c r="N386" s="152">
        <f>IF(B386="","",IF('02_대상물건입력'!B5="",1,IF(ISNUMBER(SEARCH('02_대상물건입력'!B5,B386)),1,0)))</f>
        <v/>
      </c>
      <c r="O386" s="152">
        <f>IF(B386="","",IF('02_대상물건입력'!B6="",1,IF(ISNUMBER(SEARCH('02_대상물건입력'!B6,B386)),1,0)))</f>
        <v/>
      </c>
      <c r="P386" s="152">
        <f>IF(L386="","",IF('02_대상물건입력'!B15="",0,IF(ISNUMBER(SEARCH('02_대상물건입력'!B15,L386)),1,0)))</f>
        <v/>
      </c>
      <c r="Q386" s="152">
        <f>IF(OR(C386="",L386=""),0,IF(AND(TRIM(C386)=TRIM(RIGHT(SUBSTITUTE(TRIM('02_대상물건입력'!$B$7)," ",REPT(" ",99)),99)),IF('02_대상물건입력'!B15="",TRUE(),ISNUMBER(SEARCH('02_대상물건입력'!B15,L386)))),1,0))</f>
        <v/>
      </c>
      <c r="R386" s="175">
        <f>IFERROR(ABS(E386-'02_대상물건입력'!B11)/'02_대상물건입력'!B11,"")</f>
        <v/>
      </c>
      <c r="S386" s="152">
        <f>IFERROR(ABS(J386-'02_대상물건입력'!B10),"")</f>
        <v/>
      </c>
      <c r="T386" s="152">
        <f>IFERROR(ABS('01_설정'!B4-F386),"")</f>
        <v/>
      </c>
      <c r="U386" s="152">
        <f>IFERROR(ABS(K386-YEAR('02_대상물건입력'!B14)),"")</f>
        <v/>
      </c>
      <c r="V386" s="152">
        <f>IF(B386="","",IF(AND(E386&gt;0,F386&gt;0,H386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386=1,TRUE()),R386&lt;='01_설정'!B5,S386&lt;='01_설정'!B6,T386&lt;='01_설정'!B7,U386&lt;='01_설정'!B8),"Y",""))</f>
        <v/>
      </c>
      <c r="W386" s="172">
        <f>IF(V386&lt;&gt;"Y","",MAX(0,(1-R386/'01_설정'!B5))*'01_설정'!B14+MAX(0,(1-S386/'01_설정'!B6))*'01_설정'!B15+MAX(0,(1-T386/'01_설정'!B7))*'01_설정'!B16+MAX(0,(1-U386/'01_설정'!B8))*'01_설정'!B17+O386*'01_설정'!B11+Q386*'01_설정'!B12+P386*'01_설정'!B13+IF(Z386="",0,Z386))</f>
        <v/>
      </c>
      <c r="X386" s="152">
        <f>IF(W386="","",1+COUNTIFS($W$4:$W$3003,"&gt;"&amp;W386)+COUNTIFS($W$4:W386,W386)-1)</f>
        <v/>
      </c>
      <c r="Y386" s="175">
        <f>IF(OR(I386="",'02_대상물건입력'!B19="",'02_대상물건입력'!B19&lt;=0),"",ABS(I386-'02_대상물건입력'!B19)/'02_대상물건입력'!B19)</f>
        <v/>
      </c>
      <c r="Z386" s="172">
        <f>IF(OR(Y386="",'01_설정'!B31="",'01_설정'!B31&lt;=0,'01_설정'!B32="",'01_설정'!B32&lt;=0),"",MAX(0,(1-Y386/'01_설정'!B32))*'01_설정'!B31)</f>
        <v/>
      </c>
    </row>
    <row r="387" ht="17.25" customHeight="1">
      <c r="A387" s="152">
        <f>IF(INDEX('04A_국토부원자료'!$A:$A,ROW()+1)="","",ROW()-3)</f>
        <v/>
      </c>
      <c r="B387" s="48">
        <f>IFERROR(INDEX('04A_국토부원자료'!$A:$T,ROW()+1,MATCH("시군구",'04A_국토부원자료'!$A$4:$T$4,0)),"")</f>
        <v/>
      </c>
      <c r="C387" s="48">
        <f>IF(B387="","",IFERROR(INDEX('04A_국토부원자료'!$A:$T,ROW()+1,MATCH("번지",'04A_국토부원자료'!$A$4:$T$4,0)),""))</f>
        <v/>
      </c>
      <c r="D387" s="48">
        <f>IF(B387="","",IF(Q387=1,'02_대상물건입력'!$B$8,IFERROR(INDEX('04A_국토부원자료'!$A:$T,ROW()+1,MATCH("단지명",'04A_국토부원자료'!$A$4:$T$4,0)),"")))</f>
        <v/>
      </c>
      <c r="E387" s="172">
        <f>IFERROR(VALUE(SUBSTITUTE(INDEX('04A_국토부원자료'!$A:$T,ROW()+1,MATCH("전용면적(㎡)",'04A_국토부원자료'!$A$4:$T$4,0)),",","")),"")</f>
        <v/>
      </c>
      <c r="F3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87" s="51">
        <f>IFERROR(VALUE(SUBSTITUTE(INDEX('04A_국토부원자료'!$A:$T,ROW()+1,MATCH("거래금액(만원)",'04A_국토부원자료'!$A$4:$T$4,0)),",","")),"")</f>
        <v/>
      </c>
      <c r="H387" s="174">
        <f>IF(G387="","",G387*10000)</f>
        <v/>
      </c>
      <c r="I387" s="174">
        <f>IFERROR(IF(AND(H387&gt;0,E387&gt;0),H387/E387,""),"")</f>
        <v/>
      </c>
      <c r="J387" s="152">
        <f>IFERROR(VALUE(SUBSTITUTE(INDEX('04A_국토부원자료'!$A:$T,ROW()+1,MATCH("층",'04A_국토부원자료'!$A$4:$T$4,0)),",","")),"")</f>
        <v/>
      </c>
      <c r="K387" s="152">
        <f>IFERROR(VALUE(SUBSTITUTE(INDEX('04A_국토부원자료'!$A:$T,ROW()+1,MATCH("건축년도",'04A_국토부원자료'!$A$4:$T$4,0)),",","")),"")</f>
        <v/>
      </c>
      <c r="L387" s="176">
        <f>IFERROR(INDEX('04A_국토부원자료'!$A:$T,ROW()+1,MATCH("도로명",'04A_국토부원자료'!$A$4:$T$4,0)),"")</f>
        <v/>
      </c>
      <c r="M387" s="48">
        <f>IFERROR(INDEX('04A_국토부원자료'!$A:$T,ROW()+1,MATCH("거래유형",'04A_국토부원자료'!$A$4:$T$4,0)),"")</f>
        <v/>
      </c>
      <c r="N387" s="152">
        <f>IF(B387="","",IF('02_대상물건입력'!B5="",1,IF(ISNUMBER(SEARCH('02_대상물건입력'!B5,B387)),1,0)))</f>
        <v/>
      </c>
      <c r="O387" s="152">
        <f>IF(B387="","",IF('02_대상물건입력'!B6="",1,IF(ISNUMBER(SEARCH('02_대상물건입력'!B6,B387)),1,0)))</f>
        <v/>
      </c>
      <c r="P387" s="152">
        <f>IF(L387="","",IF('02_대상물건입력'!B15="",0,IF(ISNUMBER(SEARCH('02_대상물건입력'!B15,L387)),1,0)))</f>
        <v/>
      </c>
      <c r="Q387" s="152">
        <f>IF(OR(C387="",L387=""),0,IF(AND(TRIM(C387)=TRIM(RIGHT(SUBSTITUTE(TRIM('02_대상물건입력'!$B$7)," ",REPT(" ",99)),99)),IF('02_대상물건입력'!B15="",TRUE(),ISNUMBER(SEARCH('02_대상물건입력'!B15,L387)))),1,0))</f>
        <v/>
      </c>
      <c r="R387" s="175">
        <f>IFERROR(ABS(E387-'02_대상물건입력'!B11)/'02_대상물건입력'!B11,"")</f>
        <v/>
      </c>
      <c r="S387" s="152">
        <f>IFERROR(ABS(J387-'02_대상물건입력'!B10),"")</f>
        <v/>
      </c>
      <c r="T387" s="152">
        <f>IFERROR(ABS('01_설정'!B4-F387),"")</f>
        <v/>
      </c>
      <c r="U387" s="152">
        <f>IFERROR(ABS(K387-YEAR('02_대상물건입력'!B14)),"")</f>
        <v/>
      </c>
      <c r="V387" s="152">
        <f>IF(B387="","",IF(AND(E387&gt;0,F387&gt;0,H387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387=1,TRUE()),R387&lt;='01_설정'!B5,S387&lt;='01_설정'!B6,T387&lt;='01_설정'!B7,U387&lt;='01_설정'!B8),"Y",""))</f>
        <v/>
      </c>
      <c r="W387" s="172">
        <f>IF(V387&lt;&gt;"Y","",MAX(0,(1-R387/'01_설정'!B5))*'01_설정'!B14+MAX(0,(1-S387/'01_설정'!B6))*'01_설정'!B15+MAX(0,(1-T387/'01_설정'!B7))*'01_설정'!B16+MAX(0,(1-U387/'01_설정'!B8))*'01_설정'!B17+O387*'01_설정'!B11+Q387*'01_설정'!B12+P387*'01_설정'!B13+IF(Z387="",0,Z387))</f>
        <v/>
      </c>
      <c r="X387" s="152">
        <f>IF(W387="","",1+COUNTIFS($W$4:$W$3003,"&gt;"&amp;W387)+COUNTIFS($W$4:W387,W387)-1)</f>
        <v/>
      </c>
      <c r="Y387" s="175">
        <f>IF(OR(I387="",'02_대상물건입력'!B19="",'02_대상물건입력'!B19&lt;=0),"",ABS(I387-'02_대상물건입력'!B19)/'02_대상물건입력'!B19)</f>
        <v/>
      </c>
      <c r="Z387" s="172">
        <f>IF(OR(Y387="",'01_설정'!B31="",'01_설정'!B31&lt;=0,'01_설정'!B32="",'01_설정'!B32&lt;=0),"",MAX(0,(1-Y387/'01_설정'!B32))*'01_설정'!B31)</f>
        <v/>
      </c>
    </row>
    <row r="388" ht="17.25" customHeight="1">
      <c r="A388" s="152">
        <f>IF(INDEX('04A_국토부원자료'!$A:$A,ROW()+1)="","",ROW()-3)</f>
        <v/>
      </c>
      <c r="B388" s="48">
        <f>IFERROR(INDEX('04A_국토부원자료'!$A:$T,ROW()+1,MATCH("시군구",'04A_국토부원자료'!$A$4:$T$4,0)),"")</f>
        <v/>
      </c>
      <c r="C388" s="48">
        <f>IF(B388="","",IFERROR(INDEX('04A_국토부원자료'!$A:$T,ROW()+1,MATCH("번지",'04A_국토부원자료'!$A$4:$T$4,0)),""))</f>
        <v/>
      </c>
      <c r="D388" s="48">
        <f>IF(B388="","",IF(Q388=1,'02_대상물건입력'!$B$8,IFERROR(INDEX('04A_국토부원자료'!$A:$T,ROW()+1,MATCH("단지명",'04A_국토부원자료'!$A$4:$T$4,0)),"")))</f>
        <v/>
      </c>
      <c r="E388" s="172">
        <f>IFERROR(VALUE(SUBSTITUTE(INDEX('04A_국토부원자료'!$A:$T,ROW()+1,MATCH("전용면적(㎡)",'04A_국토부원자료'!$A$4:$T$4,0)),",","")),"")</f>
        <v/>
      </c>
      <c r="F3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88" s="51">
        <f>IFERROR(VALUE(SUBSTITUTE(INDEX('04A_국토부원자료'!$A:$T,ROW()+1,MATCH("거래금액(만원)",'04A_국토부원자료'!$A$4:$T$4,0)),",","")),"")</f>
        <v/>
      </c>
      <c r="H388" s="174">
        <f>IF(G388="","",G388*10000)</f>
        <v/>
      </c>
      <c r="I388" s="174">
        <f>IFERROR(IF(AND(H388&gt;0,E388&gt;0),H388/E388,""),"")</f>
        <v/>
      </c>
      <c r="J388" s="152">
        <f>IFERROR(VALUE(SUBSTITUTE(INDEX('04A_국토부원자료'!$A:$T,ROW()+1,MATCH("층",'04A_국토부원자료'!$A$4:$T$4,0)),",","")),"")</f>
        <v/>
      </c>
      <c r="K388" s="152">
        <f>IFERROR(VALUE(SUBSTITUTE(INDEX('04A_국토부원자료'!$A:$T,ROW()+1,MATCH("건축년도",'04A_국토부원자료'!$A$4:$T$4,0)),",","")),"")</f>
        <v/>
      </c>
      <c r="L388" s="176">
        <f>IFERROR(INDEX('04A_국토부원자료'!$A:$T,ROW()+1,MATCH("도로명",'04A_국토부원자료'!$A$4:$T$4,0)),"")</f>
        <v/>
      </c>
      <c r="M388" s="48">
        <f>IFERROR(INDEX('04A_국토부원자료'!$A:$T,ROW()+1,MATCH("거래유형",'04A_국토부원자료'!$A$4:$T$4,0)),"")</f>
        <v/>
      </c>
      <c r="N388" s="152">
        <f>IF(B388="","",IF('02_대상물건입력'!B5="",1,IF(ISNUMBER(SEARCH('02_대상물건입력'!B5,B388)),1,0)))</f>
        <v/>
      </c>
      <c r="O388" s="152">
        <f>IF(B388="","",IF('02_대상물건입력'!B6="",1,IF(ISNUMBER(SEARCH('02_대상물건입력'!B6,B388)),1,0)))</f>
        <v/>
      </c>
      <c r="P388" s="152">
        <f>IF(L388="","",IF('02_대상물건입력'!B15="",0,IF(ISNUMBER(SEARCH('02_대상물건입력'!B15,L388)),1,0)))</f>
        <v/>
      </c>
      <c r="Q388" s="152">
        <f>IF(OR(C388="",L388=""),0,IF(AND(TRIM(C388)=TRIM(RIGHT(SUBSTITUTE(TRIM('02_대상물건입력'!$B$7)," ",REPT(" ",99)),99)),IF('02_대상물건입력'!B15="",TRUE(),ISNUMBER(SEARCH('02_대상물건입력'!B15,L388)))),1,0))</f>
        <v/>
      </c>
      <c r="R388" s="175">
        <f>IFERROR(ABS(E388-'02_대상물건입력'!B11)/'02_대상물건입력'!B11,"")</f>
        <v/>
      </c>
      <c r="S388" s="152">
        <f>IFERROR(ABS(J388-'02_대상물건입력'!B10),"")</f>
        <v/>
      </c>
      <c r="T388" s="152">
        <f>IFERROR(ABS('01_설정'!B4-F388),"")</f>
        <v/>
      </c>
      <c r="U388" s="152">
        <f>IFERROR(ABS(K388-YEAR('02_대상물건입력'!B14)),"")</f>
        <v/>
      </c>
      <c r="V388" s="152">
        <f>IF(B388="","",IF(AND(E388&gt;0,F388&gt;0,H388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388=1,TRUE()),R388&lt;='01_설정'!B5,S388&lt;='01_설정'!B6,T388&lt;='01_설정'!B7,U388&lt;='01_설정'!B8),"Y",""))</f>
        <v/>
      </c>
      <c r="W388" s="172">
        <f>IF(V388&lt;&gt;"Y","",MAX(0,(1-R388/'01_설정'!B5))*'01_설정'!B14+MAX(0,(1-S388/'01_설정'!B6))*'01_설정'!B15+MAX(0,(1-T388/'01_설정'!B7))*'01_설정'!B16+MAX(0,(1-U388/'01_설정'!B8))*'01_설정'!B17+O388*'01_설정'!B11+Q388*'01_설정'!B12+P388*'01_설정'!B13+IF(Z388="",0,Z388))</f>
        <v/>
      </c>
      <c r="X388" s="152">
        <f>IF(W388="","",1+COUNTIFS($W$4:$W$3003,"&gt;"&amp;W388)+COUNTIFS($W$4:W388,W388)-1)</f>
        <v/>
      </c>
      <c r="Y388" s="175">
        <f>IF(OR(I388="",'02_대상물건입력'!B19="",'02_대상물건입력'!B19&lt;=0),"",ABS(I388-'02_대상물건입력'!B19)/'02_대상물건입력'!B19)</f>
        <v/>
      </c>
      <c r="Z388" s="172">
        <f>IF(OR(Y388="",'01_설정'!B31="",'01_설정'!B31&lt;=0,'01_설정'!B32="",'01_설정'!B32&lt;=0),"",MAX(0,(1-Y388/'01_설정'!B32))*'01_설정'!B31)</f>
        <v/>
      </c>
    </row>
    <row r="389" ht="17.25" customHeight="1">
      <c r="A389" s="152">
        <f>IF(INDEX('04A_국토부원자료'!$A:$A,ROW()+1)="","",ROW()-3)</f>
        <v/>
      </c>
      <c r="B389" s="48">
        <f>IFERROR(INDEX('04A_국토부원자료'!$A:$T,ROW()+1,MATCH("시군구",'04A_국토부원자료'!$A$4:$T$4,0)),"")</f>
        <v/>
      </c>
      <c r="C389" s="48">
        <f>IF(B389="","",IFERROR(INDEX('04A_국토부원자료'!$A:$T,ROW()+1,MATCH("번지",'04A_국토부원자료'!$A$4:$T$4,0)),""))</f>
        <v/>
      </c>
      <c r="D389" s="48">
        <f>IF(B389="","",IF(Q389=1,'02_대상물건입력'!$B$8,IFERROR(INDEX('04A_국토부원자료'!$A:$T,ROW()+1,MATCH("단지명",'04A_국토부원자료'!$A$4:$T$4,0)),"")))</f>
        <v/>
      </c>
      <c r="E389" s="172">
        <f>IFERROR(VALUE(SUBSTITUTE(INDEX('04A_국토부원자료'!$A:$T,ROW()+1,MATCH("전용면적(㎡)",'04A_국토부원자료'!$A$4:$T$4,0)),",","")),"")</f>
        <v/>
      </c>
      <c r="F3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89" s="51">
        <f>IFERROR(VALUE(SUBSTITUTE(INDEX('04A_국토부원자료'!$A:$T,ROW()+1,MATCH("거래금액(만원)",'04A_국토부원자료'!$A$4:$T$4,0)),",","")),"")</f>
        <v/>
      </c>
      <c r="H389" s="174">
        <f>IF(G389="","",G389*10000)</f>
        <v/>
      </c>
      <c r="I389" s="174">
        <f>IFERROR(IF(AND(H389&gt;0,E389&gt;0),H389/E389,""),"")</f>
        <v/>
      </c>
      <c r="J389" s="152">
        <f>IFERROR(VALUE(SUBSTITUTE(INDEX('04A_국토부원자료'!$A:$T,ROW()+1,MATCH("층",'04A_국토부원자료'!$A$4:$T$4,0)),",","")),"")</f>
        <v/>
      </c>
      <c r="K389" s="152">
        <f>IFERROR(VALUE(SUBSTITUTE(INDEX('04A_국토부원자료'!$A:$T,ROW()+1,MATCH("건축년도",'04A_국토부원자료'!$A$4:$T$4,0)),",","")),"")</f>
        <v/>
      </c>
      <c r="L389" s="176">
        <f>IFERROR(INDEX('04A_국토부원자료'!$A:$T,ROW()+1,MATCH("도로명",'04A_국토부원자료'!$A$4:$T$4,0)),"")</f>
        <v/>
      </c>
      <c r="M389" s="48">
        <f>IFERROR(INDEX('04A_국토부원자료'!$A:$T,ROW()+1,MATCH("거래유형",'04A_국토부원자료'!$A$4:$T$4,0)),"")</f>
        <v/>
      </c>
      <c r="N389" s="152">
        <f>IF(B389="","",IF('02_대상물건입력'!B5="",1,IF(ISNUMBER(SEARCH('02_대상물건입력'!B5,B389)),1,0)))</f>
        <v/>
      </c>
      <c r="O389" s="152">
        <f>IF(B389="","",IF('02_대상물건입력'!B6="",1,IF(ISNUMBER(SEARCH('02_대상물건입력'!B6,B389)),1,0)))</f>
        <v/>
      </c>
      <c r="P389" s="152">
        <f>IF(L389="","",IF('02_대상물건입력'!B15="",0,IF(ISNUMBER(SEARCH('02_대상물건입력'!B15,L389)),1,0)))</f>
        <v/>
      </c>
      <c r="Q389" s="152">
        <f>IF(OR(C389="",L389=""),0,IF(AND(TRIM(C389)=TRIM(RIGHT(SUBSTITUTE(TRIM('02_대상물건입력'!$B$7)," ",REPT(" ",99)),99)),IF('02_대상물건입력'!B15="",TRUE(),ISNUMBER(SEARCH('02_대상물건입력'!B15,L389)))),1,0))</f>
        <v/>
      </c>
      <c r="R389" s="175">
        <f>IFERROR(ABS(E389-'02_대상물건입력'!B11)/'02_대상물건입력'!B11,"")</f>
        <v/>
      </c>
      <c r="S389" s="152">
        <f>IFERROR(ABS(J389-'02_대상물건입력'!B10),"")</f>
        <v/>
      </c>
      <c r="T389" s="152">
        <f>IFERROR(ABS('01_설정'!B4-F389),"")</f>
        <v/>
      </c>
      <c r="U389" s="152">
        <f>IFERROR(ABS(K389-YEAR('02_대상물건입력'!B14)),"")</f>
        <v/>
      </c>
      <c r="V389" s="152">
        <f>IF(B389="","",IF(AND(E389&gt;0,F389&gt;0,H389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389=1,TRUE()),R389&lt;='01_설정'!B5,S389&lt;='01_설정'!B6,T389&lt;='01_설정'!B7,U389&lt;='01_설정'!B8),"Y",""))</f>
        <v/>
      </c>
      <c r="W389" s="172">
        <f>IF(V389&lt;&gt;"Y","",MAX(0,(1-R389/'01_설정'!B5))*'01_설정'!B14+MAX(0,(1-S389/'01_설정'!B6))*'01_설정'!B15+MAX(0,(1-T389/'01_설정'!B7))*'01_설정'!B16+MAX(0,(1-U389/'01_설정'!B8))*'01_설정'!B17+O389*'01_설정'!B11+Q389*'01_설정'!B12+P389*'01_설정'!B13+IF(Z389="",0,Z389))</f>
        <v/>
      </c>
      <c r="X389" s="152">
        <f>IF(W389="","",1+COUNTIFS($W$4:$W$3003,"&gt;"&amp;W389)+COUNTIFS($W$4:W389,W389)-1)</f>
        <v/>
      </c>
      <c r="Y389" s="175">
        <f>IF(OR(I389="",'02_대상물건입력'!B19="",'02_대상물건입력'!B19&lt;=0),"",ABS(I389-'02_대상물건입력'!B19)/'02_대상물건입력'!B19)</f>
        <v/>
      </c>
      <c r="Z389" s="172">
        <f>IF(OR(Y389="",'01_설정'!B31="",'01_설정'!B31&lt;=0,'01_설정'!B32="",'01_설정'!B32&lt;=0),"",MAX(0,(1-Y389/'01_설정'!B32))*'01_설정'!B31)</f>
        <v/>
      </c>
    </row>
    <row r="390" ht="17.25" customHeight="1">
      <c r="A390" s="152">
        <f>IF(INDEX('04A_국토부원자료'!$A:$A,ROW()+1)="","",ROW()-3)</f>
        <v/>
      </c>
      <c r="B390" s="48">
        <f>IFERROR(INDEX('04A_국토부원자료'!$A:$T,ROW()+1,MATCH("시군구",'04A_국토부원자료'!$A$4:$T$4,0)),"")</f>
        <v/>
      </c>
      <c r="C390" s="48">
        <f>IF(B390="","",IFERROR(INDEX('04A_국토부원자료'!$A:$T,ROW()+1,MATCH("번지",'04A_국토부원자료'!$A$4:$T$4,0)),""))</f>
        <v/>
      </c>
      <c r="D390" s="48">
        <f>IF(B390="","",IF(Q390=1,'02_대상물건입력'!$B$8,IFERROR(INDEX('04A_국토부원자료'!$A:$T,ROW()+1,MATCH("단지명",'04A_국토부원자료'!$A$4:$T$4,0)),"")))</f>
        <v/>
      </c>
      <c r="E390" s="172">
        <f>IFERROR(VALUE(SUBSTITUTE(INDEX('04A_국토부원자료'!$A:$T,ROW()+1,MATCH("전용면적(㎡)",'04A_국토부원자료'!$A$4:$T$4,0)),",","")),"")</f>
        <v/>
      </c>
      <c r="F3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90" s="51">
        <f>IFERROR(VALUE(SUBSTITUTE(INDEX('04A_국토부원자료'!$A:$T,ROW()+1,MATCH("거래금액(만원)",'04A_국토부원자료'!$A$4:$T$4,0)),",","")),"")</f>
        <v/>
      </c>
      <c r="H390" s="174">
        <f>IF(G390="","",G390*10000)</f>
        <v/>
      </c>
      <c r="I390" s="174">
        <f>IFERROR(IF(AND(H390&gt;0,E390&gt;0),H390/E390,""),"")</f>
        <v/>
      </c>
      <c r="J390" s="152">
        <f>IFERROR(VALUE(SUBSTITUTE(INDEX('04A_국토부원자료'!$A:$T,ROW()+1,MATCH("층",'04A_국토부원자료'!$A$4:$T$4,0)),",","")),"")</f>
        <v/>
      </c>
      <c r="K390" s="152">
        <f>IFERROR(VALUE(SUBSTITUTE(INDEX('04A_국토부원자료'!$A:$T,ROW()+1,MATCH("건축년도",'04A_국토부원자료'!$A$4:$T$4,0)),",","")),"")</f>
        <v/>
      </c>
      <c r="L390" s="176">
        <f>IFERROR(INDEX('04A_국토부원자료'!$A:$T,ROW()+1,MATCH("도로명",'04A_국토부원자료'!$A$4:$T$4,0)),"")</f>
        <v/>
      </c>
      <c r="M390" s="48">
        <f>IFERROR(INDEX('04A_국토부원자료'!$A:$T,ROW()+1,MATCH("거래유형",'04A_국토부원자료'!$A$4:$T$4,0)),"")</f>
        <v/>
      </c>
      <c r="N390" s="152">
        <f>IF(B390="","",IF('02_대상물건입력'!B5="",1,IF(ISNUMBER(SEARCH('02_대상물건입력'!B5,B390)),1,0)))</f>
        <v/>
      </c>
      <c r="O390" s="152">
        <f>IF(B390="","",IF('02_대상물건입력'!B6="",1,IF(ISNUMBER(SEARCH('02_대상물건입력'!B6,B390)),1,0)))</f>
        <v/>
      </c>
      <c r="P390" s="152">
        <f>IF(L390="","",IF('02_대상물건입력'!B15="",0,IF(ISNUMBER(SEARCH('02_대상물건입력'!B15,L390)),1,0)))</f>
        <v/>
      </c>
      <c r="Q390" s="152">
        <f>IF(OR(C390="",L390=""),0,IF(AND(TRIM(C390)=TRIM(RIGHT(SUBSTITUTE(TRIM('02_대상물건입력'!$B$7)," ",REPT(" ",99)),99)),IF('02_대상물건입력'!B15="",TRUE(),ISNUMBER(SEARCH('02_대상물건입력'!B15,L390)))),1,0))</f>
        <v/>
      </c>
      <c r="R390" s="175">
        <f>IFERROR(ABS(E390-'02_대상물건입력'!B11)/'02_대상물건입력'!B11,"")</f>
        <v/>
      </c>
      <c r="S390" s="152">
        <f>IFERROR(ABS(J390-'02_대상물건입력'!B10),"")</f>
        <v/>
      </c>
      <c r="T390" s="152">
        <f>IFERROR(ABS('01_설정'!B4-F390),"")</f>
        <v/>
      </c>
      <c r="U390" s="152">
        <f>IFERROR(ABS(K390-YEAR('02_대상물건입력'!B14)),"")</f>
        <v/>
      </c>
      <c r="V390" s="152">
        <f>IF(B390="","",IF(AND(E390&gt;0,F390&gt;0,H390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390=1,TRUE()),R390&lt;='01_설정'!B5,S390&lt;='01_설정'!B6,T390&lt;='01_설정'!B7,U390&lt;='01_설정'!B8),"Y",""))</f>
        <v/>
      </c>
      <c r="W390" s="172">
        <f>IF(V390&lt;&gt;"Y","",MAX(0,(1-R390/'01_설정'!B5))*'01_설정'!B14+MAX(0,(1-S390/'01_설정'!B6))*'01_설정'!B15+MAX(0,(1-T390/'01_설정'!B7))*'01_설정'!B16+MAX(0,(1-U390/'01_설정'!B8))*'01_설정'!B17+O390*'01_설정'!B11+Q390*'01_설정'!B12+P390*'01_설정'!B13+IF(Z390="",0,Z390))</f>
        <v/>
      </c>
      <c r="X390" s="152">
        <f>IF(W390="","",1+COUNTIFS($W$4:$W$3003,"&gt;"&amp;W390)+COUNTIFS($W$4:W390,W390)-1)</f>
        <v/>
      </c>
      <c r="Y390" s="175">
        <f>IF(OR(I390="",'02_대상물건입력'!B19="",'02_대상물건입력'!B19&lt;=0),"",ABS(I390-'02_대상물건입력'!B19)/'02_대상물건입력'!B19)</f>
        <v/>
      </c>
      <c r="Z390" s="172">
        <f>IF(OR(Y390="",'01_설정'!B31="",'01_설정'!B31&lt;=0,'01_설정'!B32="",'01_설정'!B32&lt;=0),"",MAX(0,(1-Y390/'01_설정'!B32))*'01_설정'!B31)</f>
        <v/>
      </c>
    </row>
    <row r="391" ht="17.25" customHeight="1">
      <c r="A391" s="152">
        <f>IF(INDEX('04A_국토부원자료'!$A:$A,ROW()+1)="","",ROW()-3)</f>
        <v/>
      </c>
      <c r="B391" s="48">
        <f>IFERROR(INDEX('04A_국토부원자료'!$A:$T,ROW()+1,MATCH("시군구",'04A_국토부원자료'!$A$4:$T$4,0)),"")</f>
        <v/>
      </c>
      <c r="C391" s="48">
        <f>IF(B391="","",IFERROR(INDEX('04A_국토부원자료'!$A:$T,ROW()+1,MATCH("번지",'04A_국토부원자료'!$A$4:$T$4,0)),""))</f>
        <v/>
      </c>
      <c r="D391" s="48">
        <f>IF(B391="","",IF(Q391=1,'02_대상물건입력'!$B$8,IFERROR(INDEX('04A_국토부원자료'!$A:$T,ROW()+1,MATCH("단지명",'04A_국토부원자료'!$A$4:$T$4,0)),"")))</f>
        <v/>
      </c>
      <c r="E391" s="172">
        <f>IFERROR(VALUE(SUBSTITUTE(INDEX('04A_국토부원자료'!$A:$T,ROW()+1,MATCH("전용면적(㎡)",'04A_국토부원자료'!$A$4:$T$4,0)),",","")),"")</f>
        <v/>
      </c>
      <c r="F3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91" s="51">
        <f>IFERROR(VALUE(SUBSTITUTE(INDEX('04A_국토부원자료'!$A:$T,ROW()+1,MATCH("거래금액(만원)",'04A_국토부원자료'!$A$4:$T$4,0)),",","")),"")</f>
        <v/>
      </c>
      <c r="H391" s="174">
        <f>IF(G391="","",G391*10000)</f>
        <v/>
      </c>
      <c r="I391" s="174">
        <f>IFERROR(IF(AND(H391&gt;0,E391&gt;0),H391/E391,""),"")</f>
        <v/>
      </c>
      <c r="J391" s="152">
        <f>IFERROR(VALUE(SUBSTITUTE(INDEX('04A_국토부원자료'!$A:$T,ROW()+1,MATCH("층",'04A_국토부원자료'!$A$4:$T$4,0)),",","")),"")</f>
        <v/>
      </c>
      <c r="K391" s="152">
        <f>IFERROR(VALUE(SUBSTITUTE(INDEX('04A_국토부원자료'!$A:$T,ROW()+1,MATCH("건축년도",'04A_국토부원자료'!$A$4:$T$4,0)),",","")),"")</f>
        <v/>
      </c>
      <c r="L391" s="176">
        <f>IFERROR(INDEX('04A_국토부원자료'!$A:$T,ROW()+1,MATCH("도로명",'04A_국토부원자료'!$A$4:$T$4,0)),"")</f>
        <v/>
      </c>
      <c r="M391" s="48">
        <f>IFERROR(INDEX('04A_국토부원자료'!$A:$T,ROW()+1,MATCH("거래유형",'04A_국토부원자료'!$A$4:$T$4,0)),"")</f>
        <v/>
      </c>
      <c r="N391" s="152">
        <f>IF(B391="","",IF('02_대상물건입력'!B5="",1,IF(ISNUMBER(SEARCH('02_대상물건입력'!B5,B391)),1,0)))</f>
        <v/>
      </c>
      <c r="O391" s="152">
        <f>IF(B391="","",IF('02_대상물건입력'!B6="",1,IF(ISNUMBER(SEARCH('02_대상물건입력'!B6,B391)),1,0)))</f>
        <v/>
      </c>
      <c r="P391" s="152">
        <f>IF(L391="","",IF('02_대상물건입력'!B15="",0,IF(ISNUMBER(SEARCH('02_대상물건입력'!B15,L391)),1,0)))</f>
        <v/>
      </c>
      <c r="Q391" s="152">
        <f>IF(OR(C391="",L391=""),0,IF(AND(TRIM(C391)=TRIM(RIGHT(SUBSTITUTE(TRIM('02_대상물건입력'!$B$7)," ",REPT(" ",99)),99)),IF('02_대상물건입력'!B15="",TRUE(),ISNUMBER(SEARCH('02_대상물건입력'!B15,L391)))),1,0))</f>
        <v/>
      </c>
      <c r="R391" s="175">
        <f>IFERROR(ABS(E391-'02_대상물건입력'!B11)/'02_대상물건입력'!B11,"")</f>
        <v/>
      </c>
      <c r="S391" s="152">
        <f>IFERROR(ABS(J391-'02_대상물건입력'!B10),"")</f>
        <v/>
      </c>
      <c r="T391" s="152">
        <f>IFERROR(ABS('01_설정'!B4-F391),"")</f>
        <v/>
      </c>
      <c r="U391" s="152">
        <f>IFERROR(ABS(K391-YEAR('02_대상물건입력'!B14)),"")</f>
        <v/>
      </c>
      <c r="V391" s="152">
        <f>IF(B391="","",IF(AND(E391&gt;0,F391&gt;0,H391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391=1,TRUE()),R391&lt;='01_설정'!B5,S391&lt;='01_설정'!B6,T391&lt;='01_설정'!B7,U391&lt;='01_설정'!B8),"Y",""))</f>
        <v/>
      </c>
      <c r="W391" s="172">
        <f>IF(V391&lt;&gt;"Y","",MAX(0,(1-R391/'01_설정'!B5))*'01_설정'!B14+MAX(0,(1-S391/'01_설정'!B6))*'01_설정'!B15+MAX(0,(1-T391/'01_설정'!B7))*'01_설정'!B16+MAX(0,(1-U391/'01_설정'!B8))*'01_설정'!B17+O391*'01_설정'!B11+Q391*'01_설정'!B12+P391*'01_설정'!B13+IF(Z391="",0,Z391))</f>
        <v/>
      </c>
      <c r="X391" s="152">
        <f>IF(W391="","",1+COUNTIFS($W$4:$W$3003,"&gt;"&amp;W391)+COUNTIFS($W$4:W391,W391)-1)</f>
        <v/>
      </c>
      <c r="Y391" s="175">
        <f>IF(OR(I391="",'02_대상물건입력'!B19="",'02_대상물건입력'!B19&lt;=0),"",ABS(I391-'02_대상물건입력'!B19)/'02_대상물건입력'!B19)</f>
        <v/>
      </c>
      <c r="Z391" s="172">
        <f>IF(OR(Y391="",'01_설정'!B31="",'01_설정'!B31&lt;=0,'01_설정'!B32="",'01_설정'!B32&lt;=0),"",MAX(0,(1-Y391/'01_설정'!B32))*'01_설정'!B31)</f>
        <v/>
      </c>
    </row>
    <row r="392" ht="17.25" customHeight="1">
      <c r="A392" s="152">
        <f>IF(INDEX('04A_국토부원자료'!$A:$A,ROW()+1)="","",ROW()-3)</f>
        <v/>
      </c>
      <c r="B392" s="48">
        <f>IFERROR(INDEX('04A_국토부원자료'!$A:$T,ROW()+1,MATCH("시군구",'04A_국토부원자료'!$A$4:$T$4,0)),"")</f>
        <v/>
      </c>
      <c r="C392" s="48">
        <f>IF(B392="","",IFERROR(INDEX('04A_국토부원자료'!$A:$T,ROW()+1,MATCH("번지",'04A_국토부원자료'!$A$4:$T$4,0)),""))</f>
        <v/>
      </c>
      <c r="D392" s="48">
        <f>IF(B392="","",IF(Q392=1,'02_대상물건입력'!$B$8,IFERROR(INDEX('04A_국토부원자료'!$A:$T,ROW()+1,MATCH("단지명",'04A_국토부원자료'!$A$4:$T$4,0)),"")))</f>
        <v/>
      </c>
      <c r="E392" s="172">
        <f>IFERROR(VALUE(SUBSTITUTE(INDEX('04A_국토부원자료'!$A:$T,ROW()+1,MATCH("전용면적(㎡)",'04A_국토부원자료'!$A$4:$T$4,0)),",","")),"")</f>
        <v/>
      </c>
      <c r="F3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92" s="51">
        <f>IFERROR(VALUE(SUBSTITUTE(INDEX('04A_국토부원자료'!$A:$T,ROW()+1,MATCH("거래금액(만원)",'04A_국토부원자료'!$A$4:$T$4,0)),",","")),"")</f>
        <v/>
      </c>
      <c r="H392" s="174">
        <f>IF(G392="","",G392*10000)</f>
        <v/>
      </c>
      <c r="I392" s="174">
        <f>IFERROR(IF(AND(H392&gt;0,E392&gt;0),H392/E392,""),"")</f>
        <v/>
      </c>
      <c r="J392" s="152">
        <f>IFERROR(VALUE(SUBSTITUTE(INDEX('04A_국토부원자료'!$A:$T,ROW()+1,MATCH("층",'04A_국토부원자료'!$A$4:$T$4,0)),",","")),"")</f>
        <v/>
      </c>
      <c r="K392" s="152">
        <f>IFERROR(VALUE(SUBSTITUTE(INDEX('04A_국토부원자료'!$A:$T,ROW()+1,MATCH("건축년도",'04A_국토부원자료'!$A$4:$T$4,0)),",","")),"")</f>
        <v/>
      </c>
      <c r="L392" s="176">
        <f>IFERROR(INDEX('04A_국토부원자료'!$A:$T,ROW()+1,MATCH("도로명",'04A_국토부원자료'!$A$4:$T$4,0)),"")</f>
        <v/>
      </c>
      <c r="M392" s="48">
        <f>IFERROR(INDEX('04A_국토부원자료'!$A:$T,ROW()+1,MATCH("거래유형",'04A_국토부원자료'!$A$4:$T$4,0)),"")</f>
        <v/>
      </c>
      <c r="N392" s="152">
        <f>IF(B392="","",IF('02_대상물건입력'!B5="",1,IF(ISNUMBER(SEARCH('02_대상물건입력'!B5,B392)),1,0)))</f>
        <v/>
      </c>
      <c r="O392" s="152">
        <f>IF(B392="","",IF('02_대상물건입력'!B6="",1,IF(ISNUMBER(SEARCH('02_대상물건입력'!B6,B392)),1,0)))</f>
        <v/>
      </c>
      <c r="P392" s="152">
        <f>IF(L392="","",IF('02_대상물건입력'!B15="",0,IF(ISNUMBER(SEARCH('02_대상물건입력'!B15,L392)),1,0)))</f>
        <v/>
      </c>
      <c r="Q392" s="152">
        <f>IF(OR(C392="",L392=""),0,IF(AND(TRIM(C392)=TRIM(RIGHT(SUBSTITUTE(TRIM('02_대상물건입력'!$B$7)," ",REPT(" ",99)),99)),IF('02_대상물건입력'!B15="",TRUE(),ISNUMBER(SEARCH('02_대상물건입력'!B15,L392)))),1,0))</f>
        <v/>
      </c>
      <c r="R392" s="175">
        <f>IFERROR(ABS(E392-'02_대상물건입력'!B11)/'02_대상물건입력'!B11,"")</f>
        <v/>
      </c>
      <c r="S392" s="152">
        <f>IFERROR(ABS(J392-'02_대상물건입력'!B10),"")</f>
        <v/>
      </c>
      <c r="T392" s="152">
        <f>IFERROR(ABS('01_설정'!B4-F392),"")</f>
        <v/>
      </c>
      <c r="U392" s="152">
        <f>IFERROR(ABS(K392-YEAR('02_대상물건입력'!B14)),"")</f>
        <v/>
      </c>
      <c r="V392" s="152">
        <f>IF(B392="","",IF(AND(E392&gt;0,F392&gt;0,H392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392=1,TRUE()),R392&lt;='01_설정'!B5,S392&lt;='01_설정'!B6,T392&lt;='01_설정'!B7,U392&lt;='01_설정'!B8),"Y",""))</f>
        <v/>
      </c>
      <c r="W392" s="172">
        <f>IF(V392&lt;&gt;"Y","",MAX(0,(1-R392/'01_설정'!B5))*'01_설정'!B14+MAX(0,(1-S392/'01_설정'!B6))*'01_설정'!B15+MAX(0,(1-T392/'01_설정'!B7))*'01_설정'!B16+MAX(0,(1-U392/'01_설정'!B8))*'01_설정'!B17+O392*'01_설정'!B11+Q392*'01_설정'!B12+P392*'01_설정'!B13+IF(Z392="",0,Z392))</f>
        <v/>
      </c>
      <c r="X392" s="152">
        <f>IF(W392="","",1+COUNTIFS($W$4:$W$3003,"&gt;"&amp;W392)+COUNTIFS($W$4:W392,W392)-1)</f>
        <v/>
      </c>
      <c r="Y392" s="175">
        <f>IF(OR(I392="",'02_대상물건입력'!B19="",'02_대상물건입력'!B19&lt;=0),"",ABS(I392-'02_대상물건입력'!B19)/'02_대상물건입력'!B19)</f>
        <v/>
      </c>
      <c r="Z392" s="172">
        <f>IF(OR(Y392="",'01_설정'!B31="",'01_설정'!B31&lt;=0,'01_설정'!B32="",'01_설정'!B32&lt;=0),"",MAX(0,(1-Y392/'01_설정'!B32))*'01_설정'!B31)</f>
        <v/>
      </c>
    </row>
    <row r="393" ht="17.25" customHeight="1">
      <c r="A393" s="152">
        <f>IF(INDEX('04A_국토부원자료'!$A:$A,ROW()+1)="","",ROW()-3)</f>
        <v/>
      </c>
      <c r="B393" s="48">
        <f>IFERROR(INDEX('04A_국토부원자료'!$A:$T,ROW()+1,MATCH("시군구",'04A_국토부원자료'!$A$4:$T$4,0)),"")</f>
        <v/>
      </c>
      <c r="C393" s="48">
        <f>IF(B393="","",IFERROR(INDEX('04A_국토부원자료'!$A:$T,ROW()+1,MATCH("번지",'04A_국토부원자료'!$A$4:$T$4,0)),""))</f>
        <v/>
      </c>
      <c r="D393" s="48">
        <f>IF(B393="","",IF(Q393=1,'02_대상물건입력'!$B$8,IFERROR(INDEX('04A_국토부원자료'!$A:$T,ROW()+1,MATCH("단지명",'04A_국토부원자료'!$A$4:$T$4,0)),"")))</f>
        <v/>
      </c>
      <c r="E393" s="172">
        <f>IFERROR(VALUE(SUBSTITUTE(INDEX('04A_국토부원자료'!$A:$T,ROW()+1,MATCH("전용면적(㎡)",'04A_국토부원자료'!$A$4:$T$4,0)),",","")),"")</f>
        <v/>
      </c>
      <c r="F3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93" s="51">
        <f>IFERROR(VALUE(SUBSTITUTE(INDEX('04A_국토부원자료'!$A:$T,ROW()+1,MATCH("거래금액(만원)",'04A_국토부원자료'!$A$4:$T$4,0)),",","")),"")</f>
        <v/>
      </c>
      <c r="H393" s="174">
        <f>IF(G393="","",G393*10000)</f>
        <v/>
      </c>
      <c r="I393" s="174">
        <f>IFERROR(IF(AND(H393&gt;0,E393&gt;0),H393/E393,""),"")</f>
        <v/>
      </c>
      <c r="J393" s="152">
        <f>IFERROR(VALUE(SUBSTITUTE(INDEX('04A_국토부원자료'!$A:$T,ROW()+1,MATCH("층",'04A_국토부원자료'!$A$4:$T$4,0)),",","")),"")</f>
        <v/>
      </c>
      <c r="K393" s="152">
        <f>IFERROR(VALUE(SUBSTITUTE(INDEX('04A_국토부원자료'!$A:$T,ROW()+1,MATCH("건축년도",'04A_국토부원자료'!$A$4:$T$4,0)),",","")),"")</f>
        <v/>
      </c>
      <c r="L393" s="176">
        <f>IFERROR(INDEX('04A_국토부원자료'!$A:$T,ROW()+1,MATCH("도로명",'04A_국토부원자료'!$A$4:$T$4,0)),"")</f>
        <v/>
      </c>
      <c r="M393" s="48">
        <f>IFERROR(INDEX('04A_국토부원자료'!$A:$T,ROW()+1,MATCH("거래유형",'04A_국토부원자료'!$A$4:$T$4,0)),"")</f>
        <v/>
      </c>
      <c r="N393" s="152">
        <f>IF(B393="","",IF('02_대상물건입력'!B5="",1,IF(ISNUMBER(SEARCH('02_대상물건입력'!B5,B393)),1,0)))</f>
        <v/>
      </c>
      <c r="O393" s="152">
        <f>IF(B393="","",IF('02_대상물건입력'!B6="",1,IF(ISNUMBER(SEARCH('02_대상물건입력'!B6,B393)),1,0)))</f>
        <v/>
      </c>
      <c r="P393" s="152">
        <f>IF(L393="","",IF('02_대상물건입력'!B15="",0,IF(ISNUMBER(SEARCH('02_대상물건입력'!B15,L393)),1,0)))</f>
        <v/>
      </c>
      <c r="Q393" s="152">
        <f>IF(OR(C393="",L393=""),0,IF(AND(TRIM(C393)=TRIM(RIGHT(SUBSTITUTE(TRIM('02_대상물건입력'!$B$7)," ",REPT(" ",99)),99)),IF('02_대상물건입력'!B15="",TRUE(),ISNUMBER(SEARCH('02_대상물건입력'!B15,L393)))),1,0))</f>
        <v/>
      </c>
      <c r="R393" s="175">
        <f>IFERROR(ABS(E393-'02_대상물건입력'!B11)/'02_대상물건입력'!B11,"")</f>
        <v/>
      </c>
      <c r="S393" s="152">
        <f>IFERROR(ABS(J393-'02_대상물건입력'!B10),"")</f>
        <v/>
      </c>
      <c r="T393" s="152">
        <f>IFERROR(ABS('01_설정'!B4-F393),"")</f>
        <v/>
      </c>
      <c r="U393" s="152">
        <f>IFERROR(ABS(K393-YEAR('02_대상물건입력'!B14)),"")</f>
        <v/>
      </c>
      <c r="V393" s="152">
        <f>IF(B393="","",IF(AND(E393&gt;0,F393&gt;0,H393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393=1,TRUE()),R393&lt;='01_설정'!B5,S393&lt;='01_설정'!B6,T393&lt;='01_설정'!B7,U393&lt;='01_설정'!B8),"Y",""))</f>
        <v/>
      </c>
      <c r="W393" s="172">
        <f>IF(V393&lt;&gt;"Y","",MAX(0,(1-R393/'01_설정'!B5))*'01_설정'!B14+MAX(0,(1-S393/'01_설정'!B6))*'01_설정'!B15+MAX(0,(1-T393/'01_설정'!B7))*'01_설정'!B16+MAX(0,(1-U393/'01_설정'!B8))*'01_설정'!B17+O393*'01_설정'!B11+Q393*'01_설정'!B12+P393*'01_설정'!B13+IF(Z393="",0,Z393))</f>
        <v/>
      </c>
      <c r="X393" s="152">
        <f>IF(W393="","",1+COUNTIFS($W$4:$W$3003,"&gt;"&amp;W393)+COUNTIFS($W$4:W393,W393)-1)</f>
        <v/>
      </c>
      <c r="Y393" s="175">
        <f>IF(OR(I393="",'02_대상물건입력'!B19="",'02_대상물건입력'!B19&lt;=0),"",ABS(I393-'02_대상물건입력'!B19)/'02_대상물건입력'!B19)</f>
        <v/>
      </c>
      <c r="Z393" s="172">
        <f>IF(OR(Y393="",'01_설정'!B31="",'01_설정'!B31&lt;=0,'01_설정'!B32="",'01_설정'!B32&lt;=0),"",MAX(0,(1-Y393/'01_설정'!B32))*'01_설정'!B31)</f>
        <v/>
      </c>
    </row>
    <row r="394" ht="17.25" customHeight="1">
      <c r="A394" s="152">
        <f>IF(INDEX('04A_국토부원자료'!$A:$A,ROW()+1)="","",ROW()-3)</f>
        <v/>
      </c>
      <c r="B394" s="48">
        <f>IFERROR(INDEX('04A_국토부원자료'!$A:$T,ROW()+1,MATCH("시군구",'04A_국토부원자료'!$A$4:$T$4,0)),"")</f>
        <v/>
      </c>
      <c r="C394" s="48">
        <f>IF(B394="","",IFERROR(INDEX('04A_국토부원자료'!$A:$T,ROW()+1,MATCH("번지",'04A_국토부원자료'!$A$4:$T$4,0)),""))</f>
        <v/>
      </c>
      <c r="D394" s="48">
        <f>IF(B394="","",IF(Q394=1,'02_대상물건입력'!$B$8,IFERROR(INDEX('04A_국토부원자료'!$A:$T,ROW()+1,MATCH("단지명",'04A_국토부원자료'!$A$4:$T$4,0)),"")))</f>
        <v/>
      </c>
      <c r="E394" s="172">
        <f>IFERROR(VALUE(SUBSTITUTE(INDEX('04A_국토부원자료'!$A:$T,ROW()+1,MATCH("전용면적(㎡)",'04A_국토부원자료'!$A$4:$T$4,0)),",","")),"")</f>
        <v/>
      </c>
      <c r="F3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94" s="51">
        <f>IFERROR(VALUE(SUBSTITUTE(INDEX('04A_국토부원자료'!$A:$T,ROW()+1,MATCH("거래금액(만원)",'04A_국토부원자료'!$A$4:$T$4,0)),",","")),"")</f>
        <v/>
      </c>
      <c r="H394" s="174">
        <f>IF(G394="","",G394*10000)</f>
        <v/>
      </c>
      <c r="I394" s="174">
        <f>IFERROR(IF(AND(H394&gt;0,E394&gt;0),H394/E394,""),"")</f>
        <v/>
      </c>
      <c r="J394" s="152">
        <f>IFERROR(VALUE(SUBSTITUTE(INDEX('04A_국토부원자료'!$A:$T,ROW()+1,MATCH("층",'04A_국토부원자료'!$A$4:$T$4,0)),",","")),"")</f>
        <v/>
      </c>
      <c r="K394" s="152">
        <f>IFERROR(VALUE(SUBSTITUTE(INDEX('04A_국토부원자료'!$A:$T,ROW()+1,MATCH("건축년도",'04A_국토부원자료'!$A$4:$T$4,0)),",","")),"")</f>
        <v/>
      </c>
      <c r="L394" s="176">
        <f>IFERROR(INDEX('04A_국토부원자료'!$A:$T,ROW()+1,MATCH("도로명",'04A_국토부원자료'!$A$4:$T$4,0)),"")</f>
        <v/>
      </c>
      <c r="M394" s="48">
        <f>IFERROR(INDEX('04A_국토부원자료'!$A:$T,ROW()+1,MATCH("거래유형",'04A_국토부원자료'!$A$4:$T$4,0)),"")</f>
        <v/>
      </c>
      <c r="N394" s="152">
        <f>IF(B394="","",IF('02_대상물건입력'!B5="",1,IF(ISNUMBER(SEARCH('02_대상물건입력'!B5,B394)),1,0)))</f>
        <v/>
      </c>
      <c r="O394" s="152">
        <f>IF(B394="","",IF('02_대상물건입력'!B6="",1,IF(ISNUMBER(SEARCH('02_대상물건입력'!B6,B394)),1,0)))</f>
        <v/>
      </c>
      <c r="P394" s="152">
        <f>IF(L394="","",IF('02_대상물건입력'!B15="",0,IF(ISNUMBER(SEARCH('02_대상물건입력'!B15,L394)),1,0)))</f>
        <v/>
      </c>
      <c r="Q394" s="152">
        <f>IF(OR(C394="",L394=""),0,IF(AND(TRIM(C394)=TRIM(RIGHT(SUBSTITUTE(TRIM('02_대상물건입력'!$B$7)," ",REPT(" ",99)),99)),IF('02_대상물건입력'!B15="",TRUE(),ISNUMBER(SEARCH('02_대상물건입력'!B15,L394)))),1,0))</f>
        <v/>
      </c>
      <c r="R394" s="175">
        <f>IFERROR(ABS(E394-'02_대상물건입력'!B11)/'02_대상물건입력'!B11,"")</f>
        <v/>
      </c>
      <c r="S394" s="152">
        <f>IFERROR(ABS(J394-'02_대상물건입력'!B10),"")</f>
        <v/>
      </c>
      <c r="T394" s="152">
        <f>IFERROR(ABS('01_설정'!B4-F394),"")</f>
        <v/>
      </c>
      <c r="U394" s="152">
        <f>IFERROR(ABS(K394-YEAR('02_대상물건입력'!B14)),"")</f>
        <v/>
      </c>
      <c r="V394" s="152">
        <f>IF(B394="","",IF(AND(E394&gt;0,F394&gt;0,H394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394=1,TRUE()),R394&lt;='01_설정'!B5,S394&lt;='01_설정'!B6,T394&lt;='01_설정'!B7,U394&lt;='01_설정'!B8),"Y",""))</f>
        <v/>
      </c>
      <c r="W394" s="172">
        <f>IF(V394&lt;&gt;"Y","",MAX(0,(1-R394/'01_설정'!B5))*'01_설정'!B14+MAX(0,(1-S394/'01_설정'!B6))*'01_설정'!B15+MAX(0,(1-T394/'01_설정'!B7))*'01_설정'!B16+MAX(0,(1-U394/'01_설정'!B8))*'01_설정'!B17+O394*'01_설정'!B11+Q394*'01_설정'!B12+P394*'01_설정'!B13+IF(Z394="",0,Z394))</f>
        <v/>
      </c>
      <c r="X394" s="152">
        <f>IF(W394="","",1+COUNTIFS($W$4:$W$3003,"&gt;"&amp;W394)+COUNTIFS($W$4:W394,W394)-1)</f>
        <v/>
      </c>
      <c r="Y394" s="175">
        <f>IF(OR(I394="",'02_대상물건입력'!B19="",'02_대상물건입력'!B19&lt;=0),"",ABS(I394-'02_대상물건입력'!B19)/'02_대상물건입력'!B19)</f>
        <v/>
      </c>
      <c r="Z394" s="172">
        <f>IF(OR(Y394="",'01_설정'!B31="",'01_설정'!B31&lt;=0,'01_설정'!B32="",'01_설정'!B32&lt;=0),"",MAX(0,(1-Y394/'01_설정'!B32))*'01_설정'!B31)</f>
        <v/>
      </c>
    </row>
    <row r="395" ht="17.25" customHeight="1">
      <c r="A395" s="152">
        <f>IF(INDEX('04A_국토부원자료'!$A:$A,ROW()+1)="","",ROW()-3)</f>
        <v/>
      </c>
      <c r="B395" s="48">
        <f>IFERROR(INDEX('04A_국토부원자료'!$A:$T,ROW()+1,MATCH("시군구",'04A_국토부원자료'!$A$4:$T$4,0)),"")</f>
        <v/>
      </c>
      <c r="C395" s="48">
        <f>IF(B395="","",IFERROR(INDEX('04A_국토부원자료'!$A:$T,ROW()+1,MATCH("번지",'04A_국토부원자료'!$A$4:$T$4,0)),""))</f>
        <v/>
      </c>
      <c r="D395" s="48">
        <f>IF(B395="","",IF(Q395=1,'02_대상물건입력'!$B$8,IFERROR(INDEX('04A_국토부원자료'!$A:$T,ROW()+1,MATCH("단지명",'04A_국토부원자료'!$A$4:$T$4,0)),"")))</f>
        <v/>
      </c>
      <c r="E395" s="172">
        <f>IFERROR(VALUE(SUBSTITUTE(INDEX('04A_국토부원자료'!$A:$T,ROW()+1,MATCH("전용면적(㎡)",'04A_국토부원자료'!$A$4:$T$4,0)),",","")),"")</f>
        <v/>
      </c>
      <c r="F3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95" s="51">
        <f>IFERROR(VALUE(SUBSTITUTE(INDEX('04A_국토부원자료'!$A:$T,ROW()+1,MATCH("거래금액(만원)",'04A_국토부원자료'!$A$4:$T$4,0)),",","")),"")</f>
        <v/>
      </c>
      <c r="H395" s="174">
        <f>IF(G395="","",G395*10000)</f>
        <v/>
      </c>
      <c r="I395" s="174">
        <f>IFERROR(IF(AND(H395&gt;0,E395&gt;0),H395/E395,""),"")</f>
        <v/>
      </c>
      <c r="J395" s="152">
        <f>IFERROR(VALUE(SUBSTITUTE(INDEX('04A_국토부원자료'!$A:$T,ROW()+1,MATCH("층",'04A_국토부원자료'!$A$4:$T$4,0)),",","")),"")</f>
        <v/>
      </c>
      <c r="K395" s="152">
        <f>IFERROR(VALUE(SUBSTITUTE(INDEX('04A_국토부원자료'!$A:$T,ROW()+1,MATCH("건축년도",'04A_국토부원자료'!$A$4:$T$4,0)),",","")),"")</f>
        <v/>
      </c>
      <c r="L395" s="176">
        <f>IFERROR(INDEX('04A_국토부원자료'!$A:$T,ROW()+1,MATCH("도로명",'04A_국토부원자료'!$A$4:$T$4,0)),"")</f>
        <v/>
      </c>
      <c r="M395" s="48">
        <f>IFERROR(INDEX('04A_국토부원자료'!$A:$T,ROW()+1,MATCH("거래유형",'04A_국토부원자료'!$A$4:$T$4,0)),"")</f>
        <v/>
      </c>
      <c r="N395" s="152">
        <f>IF(B395="","",IF('02_대상물건입력'!B5="",1,IF(ISNUMBER(SEARCH('02_대상물건입력'!B5,B395)),1,0)))</f>
        <v/>
      </c>
      <c r="O395" s="152">
        <f>IF(B395="","",IF('02_대상물건입력'!B6="",1,IF(ISNUMBER(SEARCH('02_대상물건입력'!B6,B395)),1,0)))</f>
        <v/>
      </c>
      <c r="P395" s="152">
        <f>IF(L395="","",IF('02_대상물건입력'!B15="",0,IF(ISNUMBER(SEARCH('02_대상물건입력'!B15,L395)),1,0)))</f>
        <v/>
      </c>
      <c r="Q395" s="152">
        <f>IF(OR(C395="",L395=""),0,IF(AND(TRIM(C395)=TRIM(RIGHT(SUBSTITUTE(TRIM('02_대상물건입력'!$B$7)," ",REPT(" ",99)),99)),IF('02_대상물건입력'!B15="",TRUE(),ISNUMBER(SEARCH('02_대상물건입력'!B15,L395)))),1,0))</f>
        <v/>
      </c>
      <c r="R395" s="175">
        <f>IFERROR(ABS(E395-'02_대상물건입력'!B11)/'02_대상물건입력'!B11,"")</f>
        <v/>
      </c>
      <c r="S395" s="152">
        <f>IFERROR(ABS(J395-'02_대상물건입력'!B10),"")</f>
        <v/>
      </c>
      <c r="T395" s="152">
        <f>IFERROR(ABS('01_설정'!B4-F395),"")</f>
        <v/>
      </c>
      <c r="U395" s="152">
        <f>IFERROR(ABS(K395-YEAR('02_대상물건입력'!B14)),"")</f>
        <v/>
      </c>
      <c r="V395" s="152">
        <f>IF(B395="","",IF(AND(E395&gt;0,F395&gt;0,H395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395=1,TRUE()),R395&lt;='01_설정'!B5,S395&lt;='01_설정'!B6,T395&lt;='01_설정'!B7,U395&lt;='01_설정'!B8),"Y",""))</f>
        <v/>
      </c>
      <c r="W395" s="172">
        <f>IF(V395&lt;&gt;"Y","",MAX(0,(1-R395/'01_설정'!B5))*'01_설정'!B14+MAX(0,(1-S395/'01_설정'!B6))*'01_설정'!B15+MAX(0,(1-T395/'01_설정'!B7))*'01_설정'!B16+MAX(0,(1-U395/'01_설정'!B8))*'01_설정'!B17+O395*'01_설정'!B11+Q395*'01_설정'!B12+P395*'01_설정'!B13+IF(Z395="",0,Z395))</f>
        <v/>
      </c>
      <c r="X395" s="152">
        <f>IF(W395="","",1+COUNTIFS($W$4:$W$3003,"&gt;"&amp;W395)+COUNTIFS($W$4:W395,W395)-1)</f>
        <v/>
      </c>
      <c r="Y395" s="175">
        <f>IF(OR(I395="",'02_대상물건입력'!B19="",'02_대상물건입력'!B19&lt;=0),"",ABS(I395-'02_대상물건입력'!B19)/'02_대상물건입력'!B19)</f>
        <v/>
      </c>
      <c r="Z395" s="172">
        <f>IF(OR(Y395="",'01_설정'!B31="",'01_설정'!B31&lt;=0,'01_설정'!B32="",'01_설정'!B32&lt;=0),"",MAX(0,(1-Y395/'01_설정'!B32))*'01_설정'!B31)</f>
        <v/>
      </c>
    </row>
    <row r="396" ht="17.25" customHeight="1">
      <c r="A396" s="152">
        <f>IF(INDEX('04A_국토부원자료'!$A:$A,ROW()+1)="","",ROW()-3)</f>
        <v/>
      </c>
      <c r="B396" s="48">
        <f>IFERROR(INDEX('04A_국토부원자료'!$A:$T,ROW()+1,MATCH("시군구",'04A_국토부원자료'!$A$4:$T$4,0)),"")</f>
        <v/>
      </c>
      <c r="C396" s="48">
        <f>IF(B396="","",IFERROR(INDEX('04A_국토부원자료'!$A:$T,ROW()+1,MATCH("번지",'04A_국토부원자료'!$A$4:$T$4,0)),""))</f>
        <v/>
      </c>
      <c r="D396" s="48">
        <f>IF(B396="","",IF(Q396=1,'02_대상물건입력'!$B$8,IFERROR(INDEX('04A_국토부원자료'!$A:$T,ROW()+1,MATCH("단지명",'04A_국토부원자료'!$A$4:$T$4,0)),"")))</f>
        <v/>
      </c>
      <c r="E396" s="172">
        <f>IFERROR(VALUE(SUBSTITUTE(INDEX('04A_국토부원자료'!$A:$T,ROW()+1,MATCH("전용면적(㎡)",'04A_국토부원자료'!$A$4:$T$4,0)),",","")),"")</f>
        <v/>
      </c>
      <c r="F3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96" s="51">
        <f>IFERROR(VALUE(SUBSTITUTE(INDEX('04A_국토부원자료'!$A:$T,ROW()+1,MATCH("거래금액(만원)",'04A_국토부원자료'!$A$4:$T$4,0)),",","")),"")</f>
        <v/>
      </c>
      <c r="H396" s="174">
        <f>IF(G396="","",G396*10000)</f>
        <v/>
      </c>
      <c r="I396" s="174">
        <f>IFERROR(IF(AND(H396&gt;0,E396&gt;0),H396/E396,""),"")</f>
        <v/>
      </c>
      <c r="J396" s="152">
        <f>IFERROR(VALUE(SUBSTITUTE(INDEX('04A_국토부원자료'!$A:$T,ROW()+1,MATCH("층",'04A_국토부원자료'!$A$4:$T$4,0)),",","")),"")</f>
        <v/>
      </c>
      <c r="K396" s="152">
        <f>IFERROR(VALUE(SUBSTITUTE(INDEX('04A_국토부원자료'!$A:$T,ROW()+1,MATCH("건축년도",'04A_국토부원자료'!$A$4:$T$4,0)),",","")),"")</f>
        <v/>
      </c>
      <c r="L396" s="176">
        <f>IFERROR(INDEX('04A_국토부원자료'!$A:$T,ROW()+1,MATCH("도로명",'04A_국토부원자료'!$A$4:$T$4,0)),"")</f>
        <v/>
      </c>
      <c r="M396" s="48">
        <f>IFERROR(INDEX('04A_국토부원자료'!$A:$T,ROW()+1,MATCH("거래유형",'04A_국토부원자료'!$A$4:$T$4,0)),"")</f>
        <v/>
      </c>
      <c r="N396" s="152">
        <f>IF(B396="","",IF('02_대상물건입력'!B5="",1,IF(ISNUMBER(SEARCH('02_대상물건입력'!B5,B396)),1,0)))</f>
        <v/>
      </c>
      <c r="O396" s="152">
        <f>IF(B396="","",IF('02_대상물건입력'!B6="",1,IF(ISNUMBER(SEARCH('02_대상물건입력'!B6,B396)),1,0)))</f>
        <v/>
      </c>
      <c r="P396" s="152">
        <f>IF(L396="","",IF('02_대상물건입력'!B15="",0,IF(ISNUMBER(SEARCH('02_대상물건입력'!B15,L396)),1,0)))</f>
        <v/>
      </c>
      <c r="Q396" s="152">
        <f>IF(OR(C396="",L396=""),0,IF(AND(TRIM(C396)=TRIM(RIGHT(SUBSTITUTE(TRIM('02_대상물건입력'!$B$7)," ",REPT(" ",99)),99)),IF('02_대상물건입력'!B15="",TRUE(),ISNUMBER(SEARCH('02_대상물건입력'!B15,L396)))),1,0))</f>
        <v/>
      </c>
      <c r="R396" s="175">
        <f>IFERROR(ABS(E396-'02_대상물건입력'!B11)/'02_대상물건입력'!B11,"")</f>
        <v/>
      </c>
      <c r="S396" s="152">
        <f>IFERROR(ABS(J396-'02_대상물건입력'!B10),"")</f>
        <v/>
      </c>
      <c r="T396" s="152">
        <f>IFERROR(ABS('01_설정'!B4-F396),"")</f>
        <v/>
      </c>
      <c r="U396" s="152">
        <f>IFERROR(ABS(K396-YEAR('02_대상물건입력'!B14)),"")</f>
        <v/>
      </c>
      <c r="V396" s="152">
        <f>IF(B396="","",IF(AND(E396&gt;0,F396&gt;0,H396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396=1,TRUE()),R396&lt;='01_설정'!B5,S396&lt;='01_설정'!B6,T396&lt;='01_설정'!B7,U396&lt;='01_설정'!B8),"Y",""))</f>
        <v/>
      </c>
      <c r="W396" s="172">
        <f>IF(V396&lt;&gt;"Y","",MAX(0,(1-R396/'01_설정'!B5))*'01_설정'!B14+MAX(0,(1-S396/'01_설정'!B6))*'01_설정'!B15+MAX(0,(1-T396/'01_설정'!B7))*'01_설정'!B16+MAX(0,(1-U396/'01_설정'!B8))*'01_설정'!B17+O396*'01_설정'!B11+Q396*'01_설정'!B12+P396*'01_설정'!B13+IF(Z396="",0,Z396))</f>
        <v/>
      </c>
      <c r="X396" s="152">
        <f>IF(W396="","",1+COUNTIFS($W$4:$W$3003,"&gt;"&amp;W396)+COUNTIFS($W$4:W396,W396)-1)</f>
        <v/>
      </c>
      <c r="Y396" s="175">
        <f>IF(OR(I396="",'02_대상물건입력'!B19="",'02_대상물건입력'!B19&lt;=0),"",ABS(I396-'02_대상물건입력'!B19)/'02_대상물건입력'!B19)</f>
        <v/>
      </c>
      <c r="Z396" s="172">
        <f>IF(OR(Y396="",'01_설정'!B31="",'01_설정'!B31&lt;=0,'01_설정'!B32="",'01_설정'!B32&lt;=0),"",MAX(0,(1-Y396/'01_설정'!B32))*'01_설정'!B31)</f>
        <v/>
      </c>
    </row>
    <row r="397" ht="17.25" customHeight="1">
      <c r="A397" s="152">
        <f>IF(INDEX('04A_국토부원자료'!$A:$A,ROW()+1)="","",ROW()-3)</f>
        <v/>
      </c>
      <c r="B397" s="48">
        <f>IFERROR(INDEX('04A_국토부원자료'!$A:$T,ROW()+1,MATCH("시군구",'04A_국토부원자료'!$A$4:$T$4,0)),"")</f>
        <v/>
      </c>
      <c r="C397" s="48">
        <f>IF(B397="","",IFERROR(INDEX('04A_국토부원자료'!$A:$T,ROW()+1,MATCH("번지",'04A_국토부원자료'!$A$4:$T$4,0)),""))</f>
        <v/>
      </c>
      <c r="D397" s="48">
        <f>IF(B397="","",IF(Q397=1,'02_대상물건입력'!$B$8,IFERROR(INDEX('04A_국토부원자료'!$A:$T,ROW()+1,MATCH("단지명",'04A_국토부원자료'!$A$4:$T$4,0)),"")))</f>
        <v/>
      </c>
      <c r="E397" s="172">
        <f>IFERROR(VALUE(SUBSTITUTE(INDEX('04A_국토부원자료'!$A:$T,ROW()+1,MATCH("전용면적(㎡)",'04A_국토부원자료'!$A$4:$T$4,0)),",","")),"")</f>
        <v/>
      </c>
      <c r="F3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97" s="51">
        <f>IFERROR(VALUE(SUBSTITUTE(INDEX('04A_국토부원자료'!$A:$T,ROW()+1,MATCH("거래금액(만원)",'04A_국토부원자료'!$A$4:$T$4,0)),",","")),"")</f>
        <v/>
      </c>
      <c r="H397" s="174">
        <f>IF(G397="","",G397*10000)</f>
        <v/>
      </c>
      <c r="I397" s="174">
        <f>IFERROR(IF(AND(H397&gt;0,E397&gt;0),H397/E397,""),"")</f>
        <v/>
      </c>
      <c r="J397" s="152">
        <f>IFERROR(VALUE(SUBSTITUTE(INDEX('04A_국토부원자료'!$A:$T,ROW()+1,MATCH("층",'04A_국토부원자료'!$A$4:$T$4,0)),",","")),"")</f>
        <v/>
      </c>
      <c r="K397" s="152">
        <f>IFERROR(VALUE(SUBSTITUTE(INDEX('04A_국토부원자료'!$A:$T,ROW()+1,MATCH("건축년도",'04A_국토부원자료'!$A$4:$T$4,0)),",","")),"")</f>
        <v/>
      </c>
      <c r="L397" s="176">
        <f>IFERROR(INDEX('04A_국토부원자료'!$A:$T,ROW()+1,MATCH("도로명",'04A_국토부원자료'!$A$4:$T$4,0)),"")</f>
        <v/>
      </c>
      <c r="M397" s="48">
        <f>IFERROR(INDEX('04A_국토부원자료'!$A:$T,ROW()+1,MATCH("거래유형",'04A_국토부원자료'!$A$4:$T$4,0)),"")</f>
        <v/>
      </c>
      <c r="N397" s="152">
        <f>IF(B397="","",IF('02_대상물건입력'!B5="",1,IF(ISNUMBER(SEARCH('02_대상물건입력'!B5,B397)),1,0)))</f>
        <v/>
      </c>
      <c r="O397" s="152">
        <f>IF(B397="","",IF('02_대상물건입력'!B6="",1,IF(ISNUMBER(SEARCH('02_대상물건입력'!B6,B397)),1,0)))</f>
        <v/>
      </c>
      <c r="P397" s="152">
        <f>IF(L397="","",IF('02_대상물건입력'!B15="",0,IF(ISNUMBER(SEARCH('02_대상물건입력'!B15,L397)),1,0)))</f>
        <v/>
      </c>
      <c r="Q397" s="152">
        <f>IF(OR(C397="",L397=""),0,IF(AND(TRIM(C397)=TRIM(RIGHT(SUBSTITUTE(TRIM('02_대상물건입력'!$B$7)," ",REPT(" ",99)),99)),IF('02_대상물건입력'!B15="",TRUE(),ISNUMBER(SEARCH('02_대상물건입력'!B15,L397)))),1,0))</f>
        <v/>
      </c>
      <c r="R397" s="175">
        <f>IFERROR(ABS(E397-'02_대상물건입력'!B11)/'02_대상물건입력'!B11,"")</f>
        <v/>
      </c>
      <c r="S397" s="152">
        <f>IFERROR(ABS(J397-'02_대상물건입력'!B10),"")</f>
        <v/>
      </c>
      <c r="T397" s="152">
        <f>IFERROR(ABS('01_설정'!B4-F397),"")</f>
        <v/>
      </c>
      <c r="U397" s="152">
        <f>IFERROR(ABS(K397-YEAR('02_대상물건입력'!B14)),"")</f>
        <v/>
      </c>
      <c r="V397" s="152">
        <f>IF(B397="","",IF(AND(E397&gt;0,F397&gt;0,H397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397=1,TRUE()),R397&lt;='01_설정'!B5,S397&lt;='01_설정'!B6,T397&lt;='01_설정'!B7,U397&lt;='01_설정'!B8),"Y",""))</f>
        <v/>
      </c>
      <c r="W397" s="172">
        <f>IF(V397&lt;&gt;"Y","",MAX(0,(1-R397/'01_설정'!B5))*'01_설정'!B14+MAX(0,(1-S397/'01_설정'!B6))*'01_설정'!B15+MAX(0,(1-T397/'01_설정'!B7))*'01_설정'!B16+MAX(0,(1-U397/'01_설정'!B8))*'01_설정'!B17+O397*'01_설정'!B11+Q397*'01_설정'!B12+P397*'01_설정'!B13+IF(Z397="",0,Z397))</f>
        <v/>
      </c>
      <c r="X397" s="152">
        <f>IF(W397="","",1+COUNTIFS($W$4:$W$3003,"&gt;"&amp;W397)+COUNTIFS($W$4:W397,W397)-1)</f>
        <v/>
      </c>
      <c r="Y397" s="175">
        <f>IF(OR(I397="",'02_대상물건입력'!B19="",'02_대상물건입력'!B19&lt;=0),"",ABS(I397-'02_대상물건입력'!B19)/'02_대상물건입력'!B19)</f>
        <v/>
      </c>
      <c r="Z397" s="172">
        <f>IF(OR(Y397="",'01_설정'!B31="",'01_설정'!B31&lt;=0,'01_설정'!B32="",'01_설정'!B32&lt;=0),"",MAX(0,(1-Y397/'01_설정'!B32))*'01_설정'!B31)</f>
        <v/>
      </c>
    </row>
    <row r="398" ht="17.25" customHeight="1">
      <c r="A398" s="152">
        <f>IF(INDEX('04A_국토부원자료'!$A:$A,ROW()+1)="","",ROW()-3)</f>
        <v/>
      </c>
      <c r="B398" s="48">
        <f>IFERROR(INDEX('04A_국토부원자료'!$A:$T,ROW()+1,MATCH("시군구",'04A_국토부원자료'!$A$4:$T$4,0)),"")</f>
        <v/>
      </c>
      <c r="C398" s="48">
        <f>IF(B398="","",IFERROR(INDEX('04A_국토부원자료'!$A:$T,ROW()+1,MATCH("번지",'04A_국토부원자료'!$A$4:$T$4,0)),""))</f>
        <v/>
      </c>
      <c r="D398" s="48">
        <f>IF(B398="","",IF(Q398=1,'02_대상물건입력'!$B$8,IFERROR(INDEX('04A_국토부원자료'!$A:$T,ROW()+1,MATCH("단지명",'04A_국토부원자료'!$A$4:$T$4,0)),"")))</f>
        <v/>
      </c>
      <c r="E398" s="172">
        <f>IFERROR(VALUE(SUBSTITUTE(INDEX('04A_국토부원자료'!$A:$T,ROW()+1,MATCH("전용면적(㎡)",'04A_국토부원자료'!$A$4:$T$4,0)),",","")),"")</f>
        <v/>
      </c>
      <c r="F3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98" s="51">
        <f>IFERROR(VALUE(SUBSTITUTE(INDEX('04A_국토부원자료'!$A:$T,ROW()+1,MATCH("거래금액(만원)",'04A_국토부원자료'!$A$4:$T$4,0)),",","")),"")</f>
        <v/>
      </c>
      <c r="H398" s="174">
        <f>IF(G398="","",G398*10000)</f>
        <v/>
      </c>
      <c r="I398" s="174">
        <f>IFERROR(IF(AND(H398&gt;0,E398&gt;0),H398/E398,""),"")</f>
        <v/>
      </c>
      <c r="J398" s="152">
        <f>IFERROR(VALUE(SUBSTITUTE(INDEX('04A_국토부원자료'!$A:$T,ROW()+1,MATCH("층",'04A_국토부원자료'!$A$4:$T$4,0)),",","")),"")</f>
        <v/>
      </c>
      <c r="K398" s="152">
        <f>IFERROR(VALUE(SUBSTITUTE(INDEX('04A_국토부원자료'!$A:$T,ROW()+1,MATCH("건축년도",'04A_국토부원자료'!$A$4:$T$4,0)),",","")),"")</f>
        <v/>
      </c>
      <c r="L398" s="176">
        <f>IFERROR(INDEX('04A_국토부원자료'!$A:$T,ROW()+1,MATCH("도로명",'04A_국토부원자료'!$A$4:$T$4,0)),"")</f>
        <v/>
      </c>
      <c r="M398" s="48">
        <f>IFERROR(INDEX('04A_국토부원자료'!$A:$T,ROW()+1,MATCH("거래유형",'04A_국토부원자료'!$A$4:$T$4,0)),"")</f>
        <v/>
      </c>
      <c r="N398" s="152">
        <f>IF(B398="","",IF('02_대상물건입력'!B5="",1,IF(ISNUMBER(SEARCH('02_대상물건입력'!B5,B398)),1,0)))</f>
        <v/>
      </c>
      <c r="O398" s="152">
        <f>IF(B398="","",IF('02_대상물건입력'!B6="",1,IF(ISNUMBER(SEARCH('02_대상물건입력'!B6,B398)),1,0)))</f>
        <v/>
      </c>
      <c r="P398" s="152">
        <f>IF(L398="","",IF('02_대상물건입력'!B15="",0,IF(ISNUMBER(SEARCH('02_대상물건입력'!B15,L398)),1,0)))</f>
        <v/>
      </c>
      <c r="Q398" s="152">
        <f>IF(OR(C398="",L398=""),0,IF(AND(TRIM(C398)=TRIM(RIGHT(SUBSTITUTE(TRIM('02_대상물건입력'!$B$7)," ",REPT(" ",99)),99)),IF('02_대상물건입력'!B15="",TRUE(),ISNUMBER(SEARCH('02_대상물건입력'!B15,L398)))),1,0))</f>
        <v/>
      </c>
      <c r="R398" s="175">
        <f>IFERROR(ABS(E398-'02_대상물건입력'!B11)/'02_대상물건입력'!B11,"")</f>
        <v/>
      </c>
      <c r="S398" s="152">
        <f>IFERROR(ABS(J398-'02_대상물건입력'!B10),"")</f>
        <v/>
      </c>
      <c r="T398" s="152">
        <f>IFERROR(ABS('01_설정'!B4-F398),"")</f>
        <v/>
      </c>
      <c r="U398" s="152">
        <f>IFERROR(ABS(K398-YEAR('02_대상물건입력'!B14)),"")</f>
        <v/>
      </c>
      <c r="V398" s="152">
        <f>IF(B398="","",IF(AND(E398&gt;0,F398&gt;0,H398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398=1,TRUE()),R398&lt;='01_설정'!B5,S398&lt;='01_설정'!B6,T398&lt;='01_설정'!B7,U398&lt;='01_설정'!B8),"Y",""))</f>
        <v/>
      </c>
      <c r="W398" s="172">
        <f>IF(V398&lt;&gt;"Y","",MAX(0,(1-R398/'01_설정'!B5))*'01_설정'!B14+MAX(0,(1-S398/'01_설정'!B6))*'01_설정'!B15+MAX(0,(1-T398/'01_설정'!B7))*'01_설정'!B16+MAX(0,(1-U398/'01_설정'!B8))*'01_설정'!B17+O398*'01_설정'!B11+Q398*'01_설정'!B12+P398*'01_설정'!B13+IF(Z398="",0,Z398))</f>
        <v/>
      </c>
      <c r="X398" s="152">
        <f>IF(W398="","",1+COUNTIFS($W$4:$W$3003,"&gt;"&amp;W398)+COUNTIFS($W$4:W398,W398)-1)</f>
        <v/>
      </c>
      <c r="Y398" s="175">
        <f>IF(OR(I398="",'02_대상물건입력'!B19="",'02_대상물건입력'!B19&lt;=0),"",ABS(I398-'02_대상물건입력'!B19)/'02_대상물건입력'!B19)</f>
        <v/>
      </c>
      <c r="Z398" s="172">
        <f>IF(OR(Y398="",'01_설정'!B31="",'01_설정'!B31&lt;=0,'01_설정'!B32="",'01_설정'!B32&lt;=0),"",MAX(0,(1-Y398/'01_설정'!B32))*'01_설정'!B31)</f>
        <v/>
      </c>
    </row>
    <row r="399" ht="17.25" customHeight="1">
      <c r="A399" s="152">
        <f>IF(INDEX('04A_국토부원자료'!$A:$A,ROW()+1)="","",ROW()-3)</f>
        <v/>
      </c>
      <c r="B399" s="48">
        <f>IFERROR(INDEX('04A_국토부원자료'!$A:$T,ROW()+1,MATCH("시군구",'04A_국토부원자료'!$A$4:$T$4,0)),"")</f>
        <v/>
      </c>
      <c r="C399" s="48">
        <f>IF(B399="","",IFERROR(INDEX('04A_국토부원자료'!$A:$T,ROW()+1,MATCH("번지",'04A_국토부원자료'!$A$4:$T$4,0)),""))</f>
        <v/>
      </c>
      <c r="D399" s="48">
        <f>IF(B399="","",IF(Q399=1,'02_대상물건입력'!$B$8,IFERROR(INDEX('04A_국토부원자료'!$A:$T,ROW()+1,MATCH("단지명",'04A_국토부원자료'!$A$4:$T$4,0)),"")))</f>
        <v/>
      </c>
      <c r="E399" s="172">
        <f>IFERROR(VALUE(SUBSTITUTE(INDEX('04A_국토부원자료'!$A:$T,ROW()+1,MATCH("전용면적(㎡)",'04A_국토부원자료'!$A$4:$T$4,0)),",","")),"")</f>
        <v/>
      </c>
      <c r="F3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99" s="51">
        <f>IFERROR(VALUE(SUBSTITUTE(INDEX('04A_국토부원자료'!$A:$T,ROW()+1,MATCH("거래금액(만원)",'04A_국토부원자료'!$A$4:$T$4,0)),",","")),"")</f>
        <v/>
      </c>
      <c r="H399" s="174">
        <f>IF(G399="","",G399*10000)</f>
        <v/>
      </c>
      <c r="I399" s="174">
        <f>IFERROR(IF(AND(H399&gt;0,E399&gt;0),H399/E399,""),"")</f>
        <v/>
      </c>
      <c r="J399" s="152">
        <f>IFERROR(VALUE(SUBSTITUTE(INDEX('04A_국토부원자료'!$A:$T,ROW()+1,MATCH("층",'04A_국토부원자료'!$A$4:$T$4,0)),",","")),"")</f>
        <v/>
      </c>
      <c r="K399" s="152">
        <f>IFERROR(VALUE(SUBSTITUTE(INDEX('04A_국토부원자료'!$A:$T,ROW()+1,MATCH("건축년도",'04A_국토부원자료'!$A$4:$T$4,0)),",","")),"")</f>
        <v/>
      </c>
      <c r="L399" s="176">
        <f>IFERROR(INDEX('04A_국토부원자료'!$A:$T,ROW()+1,MATCH("도로명",'04A_국토부원자료'!$A$4:$T$4,0)),"")</f>
        <v/>
      </c>
      <c r="M399" s="48">
        <f>IFERROR(INDEX('04A_국토부원자료'!$A:$T,ROW()+1,MATCH("거래유형",'04A_국토부원자료'!$A$4:$T$4,0)),"")</f>
        <v/>
      </c>
      <c r="N399" s="152">
        <f>IF(B399="","",IF('02_대상물건입력'!B5="",1,IF(ISNUMBER(SEARCH('02_대상물건입력'!B5,B399)),1,0)))</f>
        <v/>
      </c>
      <c r="O399" s="152">
        <f>IF(B399="","",IF('02_대상물건입력'!B6="",1,IF(ISNUMBER(SEARCH('02_대상물건입력'!B6,B399)),1,0)))</f>
        <v/>
      </c>
      <c r="P399" s="152">
        <f>IF(L399="","",IF('02_대상물건입력'!B15="",0,IF(ISNUMBER(SEARCH('02_대상물건입력'!B15,L399)),1,0)))</f>
        <v/>
      </c>
      <c r="Q399" s="152">
        <f>IF(OR(C399="",L399=""),0,IF(AND(TRIM(C399)=TRIM(RIGHT(SUBSTITUTE(TRIM('02_대상물건입력'!$B$7)," ",REPT(" ",99)),99)),IF('02_대상물건입력'!B15="",TRUE(),ISNUMBER(SEARCH('02_대상물건입력'!B15,L399)))),1,0))</f>
        <v/>
      </c>
      <c r="R399" s="175">
        <f>IFERROR(ABS(E399-'02_대상물건입력'!B11)/'02_대상물건입력'!B11,"")</f>
        <v/>
      </c>
      <c r="S399" s="152">
        <f>IFERROR(ABS(J399-'02_대상물건입력'!B10),"")</f>
        <v/>
      </c>
      <c r="T399" s="152">
        <f>IFERROR(ABS('01_설정'!B4-F399),"")</f>
        <v/>
      </c>
      <c r="U399" s="152">
        <f>IFERROR(ABS(K399-YEAR('02_대상물건입력'!B14)),"")</f>
        <v/>
      </c>
      <c r="V399" s="152">
        <f>IF(B399="","",IF(AND(E399&gt;0,F399&gt;0,H399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399=1,TRUE()),R399&lt;='01_설정'!B5,S399&lt;='01_설정'!B6,T399&lt;='01_설정'!B7,U399&lt;='01_설정'!B8),"Y",""))</f>
        <v/>
      </c>
      <c r="W399" s="172">
        <f>IF(V399&lt;&gt;"Y","",MAX(0,(1-R399/'01_설정'!B5))*'01_설정'!B14+MAX(0,(1-S399/'01_설정'!B6))*'01_설정'!B15+MAX(0,(1-T399/'01_설정'!B7))*'01_설정'!B16+MAX(0,(1-U399/'01_설정'!B8))*'01_설정'!B17+O399*'01_설정'!B11+Q399*'01_설정'!B12+P399*'01_설정'!B13+IF(Z399="",0,Z399))</f>
        <v/>
      </c>
      <c r="X399" s="152">
        <f>IF(W399="","",1+COUNTIFS($W$4:$W$3003,"&gt;"&amp;W399)+COUNTIFS($W$4:W399,W399)-1)</f>
        <v/>
      </c>
      <c r="Y399" s="175">
        <f>IF(OR(I399="",'02_대상물건입력'!B19="",'02_대상물건입력'!B19&lt;=0),"",ABS(I399-'02_대상물건입력'!B19)/'02_대상물건입력'!B19)</f>
        <v/>
      </c>
      <c r="Z399" s="172">
        <f>IF(OR(Y399="",'01_설정'!B31="",'01_설정'!B31&lt;=0,'01_설정'!B32="",'01_설정'!B32&lt;=0),"",MAX(0,(1-Y399/'01_설정'!B32))*'01_설정'!B31)</f>
        <v/>
      </c>
    </row>
    <row r="400" ht="17.25" customHeight="1">
      <c r="A400" s="152">
        <f>IF(INDEX('04A_국토부원자료'!$A:$A,ROW()+1)="","",ROW()-3)</f>
        <v/>
      </c>
      <c r="B400" s="48">
        <f>IFERROR(INDEX('04A_국토부원자료'!$A:$T,ROW()+1,MATCH("시군구",'04A_국토부원자료'!$A$4:$T$4,0)),"")</f>
        <v/>
      </c>
      <c r="C400" s="48">
        <f>IF(B400="","",IFERROR(INDEX('04A_국토부원자료'!$A:$T,ROW()+1,MATCH("번지",'04A_국토부원자료'!$A$4:$T$4,0)),""))</f>
        <v/>
      </c>
      <c r="D400" s="48">
        <f>IF(B400="","",IF(Q400=1,'02_대상물건입력'!$B$8,IFERROR(INDEX('04A_국토부원자료'!$A:$T,ROW()+1,MATCH("단지명",'04A_국토부원자료'!$A$4:$T$4,0)),"")))</f>
        <v/>
      </c>
      <c r="E400" s="172">
        <f>IFERROR(VALUE(SUBSTITUTE(INDEX('04A_국토부원자료'!$A:$T,ROW()+1,MATCH("전용면적(㎡)",'04A_국토부원자료'!$A$4:$T$4,0)),",","")),"")</f>
        <v/>
      </c>
      <c r="F4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00" s="51">
        <f>IFERROR(VALUE(SUBSTITUTE(INDEX('04A_국토부원자료'!$A:$T,ROW()+1,MATCH("거래금액(만원)",'04A_국토부원자료'!$A$4:$T$4,0)),",","")),"")</f>
        <v/>
      </c>
      <c r="H400" s="174">
        <f>IF(G400="","",G400*10000)</f>
        <v/>
      </c>
      <c r="I400" s="174">
        <f>IFERROR(IF(AND(H400&gt;0,E400&gt;0),H400/E400,""),"")</f>
        <v/>
      </c>
      <c r="J400" s="152">
        <f>IFERROR(VALUE(SUBSTITUTE(INDEX('04A_국토부원자료'!$A:$T,ROW()+1,MATCH("층",'04A_국토부원자료'!$A$4:$T$4,0)),",","")),"")</f>
        <v/>
      </c>
      <c r="K400" s="152">
        <f>IFERROR(VALUE(SUBSTITUTE(INDEX('04A_국토부원자료'!$A:$T,ROW()+1,MATCH("건축년도",'04A_국토부원자료'!$A$4:$T$4,0)),",","")),"")</f>
        <v/>
      </c>
      <c r="L400" s="176">
        <f>IFERROR(INDEX('04A_국토부원자료'!$A:$T,ROW()+1,MATCH("도로명",'04A_국토부원자료'!$A$4:$T$4,0)),"")</f>
        <v/>
      </c>
      <c r="M400" s="48">
        <f>IFERROR(INDEX('04A_국토부원자료'!$A:$T,ROW()+1,MATCH("거래유형",'04A_국토부원자료'!$A$4:$T$4,0)),"")</f>
        <v/>
      </c>
      <c r="N400" s="152">
        <f>IF(B400="","",IF('02_대상물건입력'!B5="",1,IF(ISNUMBER(SEARCH('02_대상물건입력'!B5,B400)),1,0)))</f>
        <v/>
      </c>
      <c r="O400" s="152">
        <f>IF(B400="","",IF('02_대상물건입력'!B6="",1,IF(ISNUMBER(SEARCH('02_대상물건입력'!B6,B400)),1,0)))</f>
        <v/>
      </c>
      <c r="P400" s="152">
        <f>IF(L400="","",IF('02_대상물건입력'!B15="",0,IF(ISNUMBER(SEARCH('02_대상물건입력'!B15,L400)),1,0)))</f>
        <v/>
      </c>
      <c r="Q400" s="152">
        <f>IF(OR(C400="",L400=""),0,IF(AND(TRIM(C400)=TRIM(RIGHT(SUBSTITUTE(TRIM('02_대상물건입력'!$B$7)," ",REPT(" ",99)),99)),IF('02_대상물건입력'!B15="",TRUE(),ISNUMBER(SEARCH('02_대상물건입력'!B15,L400)))),1,0))</f>
        <v/>
      </c>
      <c r="R400" s="175">
        <f>IFERROR(ABS(E400-'02_대상물건입력'!B11)/'02_대상물건입력'!B11,"")</f>
        <v/>
      </c>
      <c r="S400" s="152">
        <f>IFERROR(ABS(J400-'02_대상물건입력'!B10),"")</f>
        <v/>
      </c>
      <c r="T400" s="152">
        <f>IFERROR(ABS('01_설정'!B4-F400),"")</f>
        <v/>
      </c>
      <c r="U400" s="152">
        <f>IFERROR(ABS(K400-YEAR('02_대상물건입력'!B14)),"")</f>
        <v/>
      </c>
      <c r="V400" s="152">
        <f>IF(B400="","",IF(AND(E400&gt;0,F400&gt;0,H400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400=1,TRUE()),R400&lt;='01_설정'!B5,S400&lt;='01_설정'!B6,T400&lt;='01_설정'!B7,U400&lt;='01_설정'!B8),"Y",""))</f>
        <v/>
      </c>
      <c r="W400" s="172">
        <f>IF(V400&lt;&gt;"Y","",MAX(0,(1-R400/'01_설정'!B5))*'01_설정'!B14+MAX(0,(1-S400/'01_설정'!B6))*'01_설정'!B15+MAX(0,(1-T400/'01_설정'!B7))*'01_설정'!B16+MAX(0,(1-U400/'01_설정'!B8))*'01_설정'!B17+O400*'01_설정'!B11+Q400*'01_설정'!B12+P400*'01_설정'!B13+IF(Z400="",0,Z400))</f>
        <v/>
      </c>
      <c r="X400" s="152">
        <f>IF(W400="","",1+COUNTIFS($W$4:$W$3003,"&gt;"&amp;W400)+COUNTIFS($W$4:W400,W400)-1)</f>
        <v/>
      </c>
      <c r="Y400" s="175">
        <f>IF(OR(I400="",'02_대상물건입력'!B19="",'02_대상물건입력'!B19&lt;=0),"",ABS(I400-'02_대상물건입력'!B19)/'02_대상물건입력'!B19)</f>
        <v/>
      </c>
      <c r="Z400" s="172">
        <f>IF(OR(Y400="",'01_설정'!B31="",'01_설정'!B31&lt;=0,'01_설정'!B32="",'01_설정'!B32&lt;=0),"",MAX(0,(1-Y400/'01_설정'!B32))*'01_설정'!B31)</f>
        <v/>
      </c>
    </row>
    <row r="401" ht="17.25" customHeight="1">
      <c r="A401" s="152">
        <f>IF(INDEX('04A_국토부원자료'!$A:$A,ROW()+1)="","",ROW()-3)</f>
        <v/>
      </c>
      <c r="B401" s="48">
        <f>IFERROR(INDEX('04A_국토부원자료'!$A:$T,ROW()+1,MATCH("시군구",'04A_국토부원자료'!$A$4:$T$4,0)),"")</f>
        <v/>
      </c>
      <c r="C401" s="48">
        <f>IF(B401="","",IFERROR(INDEX('04A_국토부원자료'!$A:$T,ROW()+1,MATCH("번지",'04A_국토부원자료'!$A$4:$T$4,0)),""))</f>
        <v/>
      </c>
      <c r="D401" s="48">
        <f>IF(B401="","",IF(Q401=1,'02_대상물건입력'!$B$8,IFERROR(INDEX('04A_국토부원자료'!$A:$T,ROW()+1,MATCH("단지명",'04A_국토부원자료'!$A$4:$T$4,0)),"")))</f>
        <v/>
      </c>
      <c r="E401" s="172">
        <f>IFERROR(VALUE(SUBSTITUTE(INDEX('04A_국토부원자료'!$A:$T,ROW()+1,MATCH("전용면적(㎡)",'04A_국토부원자료'!$A$4:$T$4,0)),",","")),"")</f>
        <v/>
      </c>
      <c r="F4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01" s="51">
        <f>IFERROR(VALUE(SUBSTITUTE(INDEX('04A_국토부원자료'!$A:$T,ROW()+1,MATCH("거래금액(만원)",'04A_국토부원자료'!$A$4:$T$4,0)),",","")),"")</f>
        <v/>
      </c>
      <c r="H401" s="174">
        <f>IF(G401="","",G401*10000)</f>
        <v/>
      </c>
      <c r="I401" s="174">
        <f>IFERROR(IF(AND(H401&gt;0,E401&gt;0),H401/E401,""),"")</f>
        <v/>
      </c>
      <c r="J401" s="152">
        <f>IFERROR(VALUE(SUBSTITUTE(INDEX('04A_국토부원자료'!$A:$T,ROW()+1,MATCH("층",'04A_국토부원자료'!$A$4:$T$4,0)),",","")),"")</f>
        <v/>
      </c>
      <c r="K401" s="152">
        <f>IFERROR(VALUE(SUBSTITUTE(INDEX('04A_국토부원자료'!$A:$T,ROW()+1,MATCH("건축년도",'04A_국토부원자료'!$A$4:$T$4,0)),",","")),"")</f>
        <v/>
      </c>
      <c r="L401" s="176">
        <f>IFERROR(INDEX('04A_국토부원자료'!$A:$T,ROW()+1,MATCH("도로명",'04A_국토부원자료'!$A$4:$T$4,0)),"")</f>
        <v/>
      </c>
      <c r="M401" s="48">
        <f>IFERROR(INDEX('04A_국토부원자료'!$A:$T,ROW()+1,MATCH("거래유형",'04A_국토부원자료'!$A$4:$T$4,0)),"")</f>
        <v/>
      </c>
      <c r="N401" s="152">
        <f>IF(B401="","",IF('02_대상물건입력'!B5="",1,IF(ISNUMBER(SEARCH('02_대상물건입력'!B5,B401)),1,0)))</f>
        <v/>
      </c>
      <c r="O401" s="152">
        <f>IF(B401="","",IF('02_대상물건입력'!B6="",1,IF(ISNUMBER(SEARCH('02_대상물건입력'!B6,B401)),1,0)))</f>
        <v/>
      </c>
      <c r="P401" s="152">
        <f>IF(L401="","",IF('02_대상물건입력'!B15="",0,IF(ISNUMBER(SEARCH('02_대상물건입력'!B15,L401)),1,0)))</f>
        <v/>
      </c>
      <c r="Q401" s="152">
        <f>IF(OR(C401="",L401=""),0,IF(AND(TRIM(C401)=TRIM(RIGHT(SUBSTITUTE(TRIM('02_대상물건입력'!$B$7)," ",REPT(" ",99)),99)),IF('02_대상물건입력'!B15="",TRUE(),ISNUMBER(SEARCH('02_대상물건입력'!B15,L401)))),1,0))</f>
        <v/>
      </c>
      <c r="R401" s="175">
        <f>IFERROR(ABS(E401-'02_대상물건입력'!B11)/'02_대상물건입력'!B11,"")</f>
        <v/>
      </c>
      <c r="S401" s="152">
        <f>IFERROR(ABS(J401-'02_대상물건입력'!B10),"")</f>
        <v/>
      </c>
      <c r="T401" s="152">
        <f>IFERROR(ABS('01_설정'!B4-F401),"")</f>
        <v/>
      </c>
      <c r="U401" s="152">
        <f>IFERROR(ABS(K401-YEAR('02_대상물건입력'!B14)),"")</f>
        <v/>
      </c>
      <c r="V401" s="152">
        <f>IF(B401="","",IF(AND(E401&gt;0,F401&gt;0,H401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401=1,TRUE()),R401&lt;='01_설정'!B5,S401&lt;='01_설정'!B6,T401&lt;='01_설정'!B7,U401&lt;='01_설정'!B8),"Y",""))</f>
        <v/>
      </c>
      <c r="W401" s="172">
        <f>IF(V401&lt;&gt;"Y","",MAX(0,(1-R401/'01_설정'!B5))*'01_설정'!B14+MAX(0,(1-S401/'01_설정'!B6))*'01_설정'!B15+MAX(0,(1-T401/'01_설정'!B7))*'01_설정'!B16+MAX(0,(1-U401/'01_설정'!B8))*'01_설정'!B17+O401*'01_설정'!B11+Q401*'01_설정'!B12+P401*'01_설정'!B13+IF(Z401="",0,Z401))</f>
        <v/>
      </c>
      <c r="X401" s="152">
        <f>IF(W401="","",1+COUNTIFS($W$4:$W$3003,"&gt;"&amp;W401)+COUNTIFS($W$4:W401,W401)-1)</f>
        <v/>
      </c>
      <c r="Y401" s="175">
        <f>IF(OR(I401="",'02_대상물건입력'!B19="",'02_대상물건입력'!B19&lt;=0),"",ABS(I401-'02_대상물건입력'!B19)/'02_대상물건입력'!B19)</f>
        <v/>
      </c>
      <c r="Z401" s="172">
        <f>IF(OR(Y401="",'01_설정'!B31="",'01_설정'!B31&lt;=0,'01_설정'!B32="",'01_설정'!B32&lt;=0),"",MAX(0,(1-Y401/'01_설정'!B32))*'01_설정'!B31)</f>
        <v/>
      </c>
    </row>
    <row r="402" ht="17.25" customHeight="1">
      <c r="A402" s="152">
        <f>IF(INDEX('04A_국토부원자료'!$A:$A,ROW()+1)="","",ROW()-3)</f>
        <v/>
      </c>
      <c r="B402" s="48">
        <f>IFERROR(INDEX('04A_국토부원자료'!$A:$T,ROW()+1,MATCH("시군구",'04A_국토부원자료'!$A$4:$T$4,0)),"")</f>
        <v/>
      </c>
      <c r="C402" s="48">
        <f>IF(B402="","",IFERROR(INDEX('04A_국토부원자료'!$A:$T,ROW()+1,MATCH("번지",'04A_국토부원자료'!$A$4:$T$4,0)),""))</f>
        <v/>
      </c>
      <c r="D402" s="48">
        <f>IF(B402="","",IF(Q402=1,'02_대상물건입력'!$B$8,IFERROR(INDEX('04A_국토부원자료'!$A:$T,ROW()+1,MATCH("단지명",'04A_국토부원자료'!$A$4:$T$4,0)),"")))</f>
        <v/>
      </c>
      <c r="E402" s="172">
        <f>IFERROR(VALUE(SUBSTITUTE(INDEX('04A_국토부원자료'!$A:$T,ROW()+1,MATCH("전용면적(㎡)",'04A_국토부원자료'!$A$4:$T$4,0)),",","")),"")</f>
        <v/>
      </c>
      <c r="F4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02" s="51">
        <f>IFERROR(VALUE(SUBSTITUTE(INDEX('04A_국토부원자료'!$A:$T,ROW()+1,MATCH("거래금액(만원)",'04A_국토부원자료'!$A$4:$T$4,0)),",","")),"")</f>
        <v/>
      </c>
      <c r="H402" s="174">
        <f>IF(G402="","",G402*10000)</f>
        <v/>
      </c>
      <c r="I402" s="174">
        <f>IFERROR(IF(AND(H402&gt;0,E402&gt;0),H402/E402,""),"")</f>
        <v/>
      </c>
      <c r="J402" s="152">
        <f>IFERROR(VALUE(SUBSTITUTE(INDEX('04A_국토부원자료'!$A:$T,ROW()+1,MATCH("층",'04A_국토부원자료'!$A$4:$T$4,0)),",","")),"")</f>
        <v/>
      </c>
      <c r="K402" s="152">
        <f>IFERROR(VALUE(SUBSTITUTE(INDEX('04A_국토부원자료'!$A:$T,ROW()+1,MATCH("건축년도",'04A_국토부원자료'!$A$4:$T$4,0)),",","")),"")</f>
        <v/>
      </c>
      <c r="L402" s="176">
        <f>IFERROR(INDEX('04A_국토부원자료'!$A:$T,ROW()+1,MATCH("도로명",'04A_국토부원자료'!$A$4:$T$4,0)),"")</f>
        <v/>
      </c>
      <c r="M402" s="48">
        <f>IFERROR(INDEX('04A_국토부원자료'!$A:$T,ROW()+1,MATCH("거래유형",'04A_국토부원자료'!$A$4:$T$4,0)),"")</f>
        <v/>
      </c>
      <c r="N402" s="152">
        <f>IF(B402="","",IF('02_대상물건입력'!B5="",1,IF(ISNUMBER(SEARCH('02_대상물건입력'!B5,B402)),1,0)))</f>
        <v/>
      </c>
      <c r="O402" s="152">
        <f>IF(B402="","",IF('02_대상물건입력'!B6="",1,IF(ISNUMBER(SEARCH('02_대상물건입력'!B6,B402)),1,0)))</f>
        <v/>
      </c>
      <c r="P402" s="152">
        <f>IF(L402="","",IF('02_대상물건입력'!B15="",0,IF(ISNUMBER(SEARCH('02_대상물건입력'!B15,L402)),1,0)))</f>
        <v/>
      </c>
      <c r="Q402" s="152">
        <f>IF(OR(C402="",L402=""),0,IF(AND(TRIM(C402)=TRIM(RIGHT(SUBSTITUTE(TRIM('02_대상물건입력'!$B$7)," ",REPT(" ",99)),99)),IF('02_대상물건입력'!B15="",TRUE(),ISNUMBER(SEARCH('02_대상물건입력'!B15,L402)))),1,0))</f>
        <v/>
      </c>
      <c r="R402" s="175">
        <f>IFERROR(ABS(E402-'02_대상물건입력'!B11)/'02_대상물건입력'!B11,"")</f>
        <v/>
      </c>
      <c r="S402" s="152">
        <f>IFERROR(ABS(J402-'02_대상물건입력'!B10),"")</f>
        <v/>
      </c>
      <c r="T402" s="152">
        <f>IFERROR(ABS('01_설정'!B4-F402),"")</f>
        <v/>
      </c>
      <c r="U402" s="152">
        <f>IFERROR(ABS(K402-YEAR('02_대상물건입력'!B14)),"")</f>
        <v/>
      </c>
      <c r="V402" s="152">
        <f>IF(B402="","",IF(AND(E402&gt;0,F402&gt;0,H402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402=1,TRUE()),R402&lt;='01_설정'!B5,S402&lt;='01_설정'!B6,T402&lt;='01_설정'!B7,U402&lt;='01_설정'!B8),"Y",""))</f>
        <v/>
      </c>
      <c r="W402" s="172">
        <f>IF(V402&lt;&gt;"Y","",MAX(0,(1-R402/'01_설정'!B5))*'01_설정'!B14+MAX(0,(1-S402/'01_설정'!B6))*'01_설정'!B15+MAX(0,(1-T402/'01_설정'!B7))*'01_설정'!B16+MAX(0,(1-U402/'01_설정'!B8))*'01_설정'!B17+O402*'01_설정'!B11+Q402*'01_설정'!B12+P402*'01_설정'!B13+IF(Z402="",0,Z402))</f>
        <v/>
      </c>
      <c r="X402" s="152">
        <f>IF(W402="","",1+COUNTIFS($W$4:$W$3003,"&gt;"&amp;W402)+COUNTIFS($W$4:W402,W402)-1)</f>
        <v/>
      </c>
      <c r="Y402" s="175">
        <f>IF(OR(I402="",'02_대상물건입력'!B19="",'02_대상물건입력'!B19&lt;=0),"",ABS(I402-'02_대상물건입력'!B19)/'02_대상물건입력'!B19)</f>
        <v/>
      </c>
      <c r="Z402" s="172">
        <f>IF(OR(Y402="",'01_설정'!B31="",'01_설정'!B31&lt;=0,'01_설정'!B32="",'01_설정'!B32&lt;=0),"",MAX(0,(1-Y402/'01_설정'!B32))*'01_설정'!B31)</f>
        <v/>
      </c>
    </row>
    <row r="403" ht="17.25" customHeight="1">
      <c r="A403" s="152">
        <f>IF(INDEX('04A_국토부원자료'!$A:$A,ROW()+1)="","",ROW()-3)</f>
        <v/>
      </c>
      <c r="B403" s="48">
        <f>IFERROR(INDEX('04A_국토부원자료'!$A:$T,ROW()+1,MATCH("시군구",'04A_국토부원자료'!$A$4:$T$4,0)),"")</f>
        <v/>
      </c>
      <c r="C403" s="48">
        <f>IF(B403="","",IFERROR(INDEX('04A_국토부원자료'!$A:$T,ROW()+1,MATCH("번지",'04A_국토부원자료'!$A$4:$T$4,0)),""))</f>
        <v/>
      </c>
      <c r="D403" s="48">
        <f>IF(B403="","",IF(Q403=1,'02_대상물건입력'!$B$8,IFERROR(INDEX('04A_국토부원자료'!$A:$T,ROW()+1,MATCH("단지명",'04A_국토부원자료'!$A$4:$T$4,0)),"")))</f>
        <v/>
      </c>
      <c r="E403" s="172">
        <f>IFERROR(VALUE(SUBSTITUTE(INDEX('04A_국토부원자료'!$A:$T,ROW()+1,MATCH("전용면적(㎡)",'04A_국토부원자료'!$A$4:$T$4,0)),",","")),"")</f>
        <v/>
      </c>
      <c r="F4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03" s="51">
        <f>IFERROR(VALUE(SUBSTITUTE(INDEX('04A_국토부원자료'!$A:$T,ROW()+1,MATCH("거래금액(만원)",'04A_국토부원자료'!$A$4:$T$4,0)),",","")),"")</f>
        <v/>
      </c>
      <c r="H403" s="174">
        <f>IF(G403="","",G403*10000)</f>
        <v/>
      </c>
      <c r="I403" s="174">
        <f>IFERROR(IF(AND(H403&gt;0,E403&gt;0),H403/E403,""),"")</f>
        <v/>
      </c>
      <c r="J403" s="152">
        <f>IFERROR(VALUE(SUBSTITUTE(INDEX('04A_국토부원자료'!$A:$T,ROW()+1,MATCH("층",'04A_국토부원자료'!$A$4:$T$4,0)),",","")),"")</f>
        <v/>
      </c>
      <c r="K403" s="152">
        <f>IFERROR(VALUE(SUBSTITUTE(INDEX('04A_국토부원자료'!$A:$T,ROW()+1,MATCH("건축년도",'04A_국토부원자료'!$A$4:$T$4,0)),",","")),"")</f>
        <v/>
      </c>
      <c r="L403" s="176">
        <f>IFERROR(INDEX('04A_국토부원자료'!$A:$T,ROW()+1,MATCH("도로명",'04A_국토부원자료'!$A$4:$T$4,0)),"")</f>
        <v/>
      </c>
      <c r="M403" s="48">
        <f>IFERROR(INDEX('04A_국토부원자료'!$A:$T,ROW()+1,MATCH("거래유형",'04A_국토부원자료'!$A$4:$T$4,0)),"")</f>
        <v/>
      </c>
      <c r="N403" s="152">
        <f>IF(B403="","",IF('02_대상물건입력'!B5="",1,IF(ISNUMBER(SEARCH('02_대상물건입력'!B5,B403)),1,0)))</f>
        <v/>
      </c>
      <c r="O403" s="152">
        <f>IF(B403="","",IF('02_대상물건입력'!B6="",1,IF(ISNUMBER(SEARCH('02_대상물건입력'!B6,B403)),1,0)))</f>
        <v/>
      </c>
      <c r="P403" s="152">
        <f>IF(L403="","",IF('02_대상물건입력'!B15="",0,IF(ISNUMBER(SEARCH('02_대상물건입력'!B15,L403)),1,0)))</f>
        <v/>
      </c>
      <c r="Q403" s="152">
        <f>IF(OR(C403="",L403=""),0,IF(AND(TRIM(C403)=TRIM(RIGHT(SUBSTITUTE(TRIM('02_대상물건입력'!$B$7)," ",REPT(" ",99)),99)),IF('02_대상물건입력'!B15="",TRUE(),ISNUMBER(SEARCH('02_대상물건입력'!B15,L403)))),1,0))</f>
        <v/>
      </c>
      <c r="R403" s="175">
        <f>IFERROR(ABS(E403-'02_대상물건입력'!B11)/'02_대상물건입력'!B11,"")</f>
        <v/>
      </c>
      <c r="S403" s="152">
        <f>IFERROR(ABS(J403-'02_대상물건입력'!B10),"")</f>
        <v/>
      </c>
      <c r="T403" s="152">
        <f>IFERROR(ABS('01_설정'!B4-F403),"")</f>
        <v/>
      </c>
      <c r="U403" s="152">
        <f>IFERROR(ABS(K403-YEAR('02_대상물건입력'!B14)),"")</f>
        <v/>
      </c>
      <c r="V403" s="152">
        <f>IF(B403="","",IF(AND(E403&gt;0,F403&gt;0,H403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403=1,TRUE()),R403&lt;='01_설정'!B5,S403&lt;='01_설정'!B6,T403&lt;='01_설정'!B7,U403&lt;='01_설정'!B8),"Y",""))</f>
        <v/>
      </c>
      <c r="W403" s="172">
        <f>IF(V403&lt;&gt;"Y","",MAX(0,(1-R403/'01_설정'!B5))*'01_설정'!B14+MAX(0,(1-S403/'01_설정'!B6))*'01_설정'!B15+MAX(0,(1-T403/'01_설정'!B7))*'01_설정'!B16+MAX(0,(1-U403/'01_설정'!B8))*'01_설정'!B17+O403*'01_설정'!B11+Q403*'01_설정'!B12+P403*'01_설정'!B13+IF(Z403="",0,Z403))</f>
        <v/>
      </c>
      <c r="X403" s="152">
        <f>IF(W403="","",1+COUNTIFS($W$4:$W$3003,"&gt;"&amp;W403)+COUNTIFS($W$4:W403,W403)-1)</f>
        <v/>
      </c>
      <c r="Y403" s="175">
        <f>IF(OR(I403="",'02_대상물건입력'!B19="",'02_대상물건입력'!B19&lt;=0),"",ABS(I403-'02_대상물건입력'!B19)/'02_대상물건입력'!B19)</f>
        <v/>
      </c>
      <c r="Z403" s="172">
        <f>IF(OR(Y403="",'01_설정'!B31="",'01_설정'!B31&lt;=0,'01_설정'!B32="",'01_설정'!B32&lt;=0),"",MAX(0,(1-Y403/'01_설정'!B32))*'01_설정'!B31)</f>
        <v/>
      </c>
    </row>
    <row r="404" ht="17.25" customHeight="1">
      <c r="A404" s="152">
        <f>IF(INDEX('04A_국토부원자료'!$A:$A,ROW()+1)="","",ROW()-3)</f>
        <v/>
      </c>
      <c r="B404" s="48">
        <f>IFERROR(INDEX('04A_국토부원자료'!$A:$T,ROW()+1,MATCH("시군구",'04A_국토부원자료'!$A$4:$T$4,0)),"")</f>
        <v/>
      </c>
      <c r="C404" s="48">
        <f>IF(B404="","",IFERROR(INDEX('04A_국토부원자료'!$A:$T,ROW()+1,MATCH("번지",'04A_국토부원자료'!$A$4:$T$4,0)),""))</f>
        <v/>
      </c>
      <c r="D404" s="48">
        <f>IF(B404="","",IF(Q404=1,'02_대상물건입력'!$B$8,IFERROR(INDEX('04A_국토부원자료'!$A:$T,ROW()+1,MATCH("단지명",'04A_국토부원자료'!$A$4:$T$4,0)),"")))</f>
        <v/>
      </c>
      <c r="E404" s="172">
        <f>IFERROR(VALUE(SUBSTITUTE(INDEX('04A_국토부원자료'!$A:$T,ROW()+1,MATCH("전용면적(㎡)",'04A_국토부원자료'!$A$4:$T$4,0)),",","")),"")</f>
        <v/>
      </c>
      <c r="F4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04" s="51">
        <f>IFERROR(VALUE(SUBSTITUTE(INDEX('04A_국토부원자료'!$A:$T,ROW()+1,MATCH("거래금액(만원)",'04A_국토부원자료'!$A$4:$T$4,0)),",","")),"")</f>
        <v/>
      </c>
      <c r="H404" s="174">
        <f>IF(G404="","",G404*10000)</f>
        <v/>
      </c>
      <c r="I404" s="174">
        <f>IFERROR(IF(AND(H404&gt;0,E404&gt;0),H404/E404,""),"")</f>
        <v/>
      </c>
      <c r="J404" s="152">
        <f>IFERROR(VALUE(SUBSTITUTE(INDEX('04A_국토부원자료'!$A:$T,ROW()+1,MATCH("층",'04A_국토부원자료'!$A$4:$T$4,0)),",","")),"")</f>
        <v/>
      </c>
      <c r="K404" s="152">
        <f>IFERROR(VALUE(SUBSTITUTE(INDEX('04A_국토부원자료'!$A:$T,ROW()+1,MATCH("건축년도",'04A_국토부원자료'!$A$4:$T$4,0)),",","")),"")</f>
        <v/>
      </c>
      <c r="L404" s="176">
        <f>IFERROR(INDEX('04A_국토부원자료'!$A:$T,ROW()+1,MATCH("도로명",'04A_국토부원자료'!$A$4:$T$4,0)),"")</f>
        <v/>
      </c>
      <c r="M404" s="48">
        <f>IFERROR(INDEX('04A_국토부원자료'!$A:$T,ROW()+1,MATCH("거래유형",'04A_국토부원자료'!$A$4:$T$4,0)),"")</f>
        <v/>
      </c>
      <c r="N404" s="152">
        <f>IF(B404="","",IF('02_대상물건입력'!B5="",1,IF(ISNUMBER(SEARCH('02_대상물건입력'!B5,B404)),1,0)))</f>
        <v/>
      </c>
      <c r="O404" s="152">
        <f>IF(B404="","",IF('02_대상물건입력'!B6="",1,IF(ISNUMBER(SEARCH('02_대상물건입력'!B6,B404)),1,0)))</f>
        <v/>
      </c>
      <c r="P404" s="152">
        <f>IF(L404="","",IF('02_대상물건입력'!B15="",0,IF(ISNUMBER(SEARCH('02_대상물건입력'!B15,L404)),1,0)))</f>
        <v/>
      </c>
      <c r="Q404" s="152">
        <f>IF(OR(C404="",L404=""),0,IF(AND(TRIM(C404)=TRIM(RIGHT(SUBSTITUTE(TRIM('02_대상물건입력'!$B$7)," ",REPT(" ",99)),99)),IF('02_대상물건입력'!B15="",TRUE(),ISNUMBER(SEARCH('02_대상물건입력'!B15,L404)))),1,0))</f>
        <v/>
      </c>
      <c r="R404" s="175">
        <f>IFERROR(ABS(E404-'02_대상물건입력'!B11)/'02_대상물건입력'!B11,"")</f>
        <v/>
      </c>
      <c r="S404" s="152">
        <f>IFERROR(ABS(J404-'02_대상물건입력'!B10),"")</f>
        <v/>
      </c>
      <c r="T404" s="152">
        <f>IFERROR(ABS('01_설정'!B4-F404),"")</f>
        <v/>
      </c>
      <c r="U404" s="152">
        <f>IFERROR(ABS(K404-YEAR('02_대상물건입력'!B14)),"")</f>
        <v/>
      </c>
      <c r="V404" s="152">
        <f>IF(B404="","",IF(AND(E404&gt;0,F404&gt;0,H404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404=1,TRUE()),R404&lt;='01_설정'!B5,S404&lt;='01_설정'!B6,T404&lt;='01_설정'!B7,U404&lt;='01_설정'!B8),"Y",""))</f>
        <v/>
      </c>
      <c r="W404" s="172">
        <f>IF(V404&lt;&gt;"Y","",MAX(0,(1-R404/'01_설정'!B5))*'01_설정'!B14+MAX(0,(1-S404/'01_설정'!B6))*'01_설정'!B15+MAX(0,(1-T404/'01_설정'!B7))*'01_설정'!B16+MAX(0,(1-U404/'01_설정'!B8))*'01_설정'!B17+O404*'01_설정'!B11+Q404*'01_설정'!B12+P404*'01_설정'!B13+IF(Z404="",0,Z404))</f>
        <v/>
      </c>
      <c r="X404" s="152">
        <f>IF(W404="","",1+COUNTIFS($W$4:$W$3003,"&gt;"&amp;W404)+COUNTIFS($W$4:W404,W404)-1)</f>
        <v/>
      </c>
      <c r="Y404" s="175">
        <f>IF(OR(I404="",'02_대상물건입력'!B19="",'02_대상물건입력'!B19&lt;=0),"",ABS(I404-'02_대상물건입력'!B19)/'02_대상물건입력'!B19)</f>
        <v/>
      </c>
      <c r="Z404" s="172">
        <f>IF(OR(Y404="",'01_설정'!B31="",'01_설정'!B31&lt;=0,'01_설정'!B32="",'01_설정'!B32&lt;=0),"",MAX(0,(1-Y404/'01_설정'!B32))*'01_설정'!B31)</f>
        <v/>
      </c>
    </row>
    <row r="405" ht="17.25" customHeight="1">
      <c r="A405" s="152">
        <f>IF(INDEX('04A_국토부원자료'!$A:$A,ROW()+1)="","",ROW()-3)</f>
        <v/>
      </c>
      <c r="B405" s="48">
        <f>IFERROR(INDEX('04A_국토부원자료'!$A:$T,ROW()+1,MATCH("시군구",'04A_국토부원자료'!$A$4:$T$4,0)),"")</f>
        <v/>
      </c>
      <c r="C405" s="48">
        <f>IF(B405="","",IFERROR(INDEX('04A_국토부원자료'!$A:$T,ROW()+1,MATCH("번지",'04A_국토부원자료'!$A$4:$T$4,0)),""))</f>
        <v/>
      </c>
      <c r="D405" s="48">
        <f>IF(B405="","",IF(Q405=1,'02_대상물건입력'!$B$8,IFERROR(INDEX('04A_국토부원자료'!$A:$T,ROW()+1,MATCH("단지명",'04A_국토부원자료'!$A$4:$T$4,0)),"")))</f>
        <v/>
      </c>
      <c r="E405" s="172">
        <f>IFERROR(VALUE(SUBSTITUTE(INDEX('04A_국토부원자료'!$A:$T,ROW()+1,MATCH("전용면적(㎡)",'04A_국토부원자료'!$A$4:$T$4,0)),",","")),"")</f>
        <v/>
      </c>
      <c r="F4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05" s="51">
        <f>IFERROR(VALUE(SUBSTITUTE(INDEX('04A_국토부원자료'!$A:$T,ROW()+1,MATCH("거래금액(만원)",'04A_국토부원자료'!$A$4:$T$4,0)),",","")),"")</f>
        <v/>
      </c>
      <c r="H405" s="174">
        <f>IF(G405="","",G405*10000)</f>
        <v/>
      </c>
      <c r="I405" s="174">
        <f>IFERROR(IF(AND(H405&gt;0,E405&gt;0),H405/E405,""),"")</f>
        <v/>
      </c>
      <c r="J405" s="152">
        <f>IFERROR(VALUE(SUBSTITUTE(INDEX('04A_국토부원자료'!$A:$T,ROW()+1,MATCH("층",'04A_국토부원자료'!$A$4:$T$4,0)),",","")),"")</f>
        <v/>
      </c>
      <c r="K405" s="152">
        <f>IFERROR(VALUE(SUBSTITUTE(INDEX('04A_국토부원자료'!$A:$T,ROW()+1,MATCH("건축년도",'04A_국토부원자료'!$A$4:$T$4,0)),",","")),"")</f>
        <v/>
      </c>
      <c r="L405" s="176">
        <f>IFERROR(INDEX('04A_국토부원자료'!$A:$T,ROW()+1,MATCH("도로명",'04A_국토부원자료'!$A$4:$T$4,0)),"")</f>
        <v/>
      </c>
      <c r="M405" s="48">
        <f>IFERROR(INDEX('04A_국토부원자료'!$A:$T,ROW()+1,MATCH("거래유형",'04A_국토부원자료'!$A$4:$T$4,0)),"")</f>
        <v/>
      </c>
      <c r="N405" s="152">
        <f>IF(B405="","",IF('02_대상물건입력'!B5="",1,IF(ISNUMBER(SEARCH('02_대상물건입력'!B5,B405)),1,0)))</f>
        <v/>
      </c>
      <c r="O405" s="152">
        <f>IF(B405="","",IF('02_대상물건입력'!B6="",1,IF(ISNUMBER(SEARCH('02_대상물건입력'!B6,B405)),1,0)))</f>
        <v/>
      </c>
      <c r="P405" s="152">
        <f>IF(L405="","",IF('02_대상물건입력'!B15="",0,IF(ISNUMBER(SEARCH('02_대상물건입력'!B15,L405)),1,0)))</f>
        <v/>
      </c>
      <c r="Q405" s="152">
        <f>IF(OR(C405="",L405=""),0,IF(AND(TRIM(C405)=TRIM(RIGHT(SUBSTITUTE(TRIM('02_대상물건입력'!$B$7)," ",REPT(" ",99)),99)),IF('02_대상물건입력'!B15="",TRUE(),ISNUMBER(SEARCH('02_대상물건입력'!B15,L405)))),1,0))</f>
        <v/>
      </c>
      <c r="R405" s="175">
        <f>IFERROR(ABS(E405-'02_대상물건입력'!B11)/'02_대상물건입력'!B11,"")</f>
        <v/>
      </c>
      <c r="S405" s="152">
        <f>IFERROR(ABS(J405-'02_대상물건입력'!B10),"")</f>
        <v/>
      </c>
      <c r="T405" s="152">
        <f>IFERROR(ABS('01_설정'!B4-F405),"")</f>
        <v/>
      </c>
      <c r="U405" s="152">
        <f>IFERROR(ABS(K405-YEAR('02_대상물건입력'!B14)),"")</f>
        <v/>
      </c>
      <c r="V405" s="152">
        <f>IF(B405="","",IF(AND(E405&gt;0,F405&gt;0,H405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405=1,TRUE()),R405&lt;='01_설정'!B5,S405&lt;='01_설정'!B6,T405&lt;='01_설정'!B7,U405&lt;='01_설정'!B8),"Y",""))</f>
        <v/>
      </c>
      <c r="W405" s="172">
        <f>IF(V405&lt;&gt;"Y","",MAX(0,(1-R405/'01_설정'!B5))*'01_설정'!B14+MAX(0,(1-S405/'01_설정'!B6))*'01_설정'!B15+MAX(0,(1-T405/'01_설정'!B7))*'01_설정'!B16+MAX(0,(1-U405/'01_설정'!B8))*'01_설정'!B17+O405*'01_설정'!B11+Q405*'01_설정'!B12+P405*'01_설정'!B13+IF(Z405="",0,Z405))</f>
        <v/>
      </c>
      <c r="X405" s="152">
        <f>IF(W405="","",1+COUNTIFS($W$4:$W$3003,"&gt;"&amp;W405)+COUNTIFS($W$4:W405,W405)-1)</f>
        <v/>
      </c>
      <c r="Y405" s="175">
        <f>IF(OR(I405="",'02_대상물건입력'!B19="",'02_대상물건입력'!B19&lt;=0),"",ABS(I405-'02_대상물건입력'!B19)/'02_대상물건입력'!B19)</f>
        <v/>
      </c>
      <c r="Z405" s="172">
        <f>IF(OR(Y405="",'01_설정'!B31="",'01_설정'!B31&lt;=0,'01_설정'!B32="",'01_설정'!B32&lt;=0),"",MAX(0,(1-Y405/'01_설정'!B32))*'01_설정'!B31)</f>
        <v/>
      </c>
    </row>
    <row r="406" ht="17.25" customHeight="1">
      <c r="A406" s="152">
        <f>IF(INDEX('04A_국토부원자료'!$A:$A,ROW()+1)="","",ROW()-3)</f>
        <v/>
      </c>
      <c r="B406" s="48">
        <f>IFERROR(INDEX('04A_국토부원자료'!$A:$T,ROW()+1,MATCH("시군구",'04A_국토부원자료'!$A$4:$T$4,0)),"")</f>
        <v/>
      </c>
      <c r="C406" s="48">
        <f>IF(B406="","",IFERROR(INDEX('04A_국토부원자료'!$A:$T,ROW()+1,MATCH("번지",'04A_국토부원자료'!$A$4:$T$4,0)),""))</f>
        <v/>
      </c>
      <c r="D406" s="48">
        <f>IF(B406="","",IF(Q406=1,'02_대상물건입력'!$B$8,IFERROR(INDEX('04A_국토부원자료'!$A:$T,ROW()+1,MATCH("단지명",'04A_국토부원자료'!$A$4:$T$4,0)),"")))</f>
        <v/>
      </c>
      <c r="E406" s="172">
        <f>IFERROR(VALUE(SUBSTITUTE(INDEX('04A_국토부원자료'!$A:$T,ROW()+1,MATCH("전용면적(㎡)",'04A_국토부원자료'!$A$4:$T$4,0)),",","")),"")</f>
        <v/>
      </c>
      <c r="F4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06" s="51">
        <f>IFERROR(VALUE(SUBSTITUTE(INDEX('04A_국토부원자료'!$A:$T,ROW()+1,MATCH("거래금액(만원)",'04A_국토부원자료'!$A$4:$T$4,0)),",","")),"")</f>
        <v/>
      </c>
      <c r="H406" s="174">
        <f>IF(G406="","",G406*10000)</f>
        <v/>
      </c>
      <c r="I406" s="174">
        <f>IFERROR(IF(AND(H406&gt;0,E406&gt;0),H406/E406,""),"")</f>
        <v/>
      </c>
      <c r="J406" s="152">
        <f>IFERROR(VALUE(SUBSTITUTE(INDEX('04A_국토부원자료'!$A:$T,ROW()+1,MATCH("층",'04A_국토부원자료'!$A$4:$T$4,0)),",","")),"")</f>
        <v/>
      </c>
      <c r="K406" s="152">
        <f>IFERROR(VALUE(SUBSTITUTE(INDEX('04A_국토부원자료'!$A:$T,ROW()+1,MATCH("건축년도",'04A_국토부원자료'!$A$4:$T$4,0)),",","")),"")</f>
        <v/>
      </c>
      <c r="L406" s="176">
        <f>IFERROR(INDEX('04A_국토부원자료'!$A:$T,ROW()+1,MATCH("도로명",'04A_국토부원자료'!$A$4:$T$4,0)),"")</f>
        <v/>
      </c>
      <c r="M406" s="48">
        <f>IFERROR(INDEX('04A_국토부원자료'!$A:$T,ROW()+1,MATCH("거래유형",'04A_국토부원자료'!$A$4:$T$4,0)),"")</f>
        <v/>
      </c>
      <c r="N406" s="152">
        <f>IF(B406="","",IF('02_대상물건입력'!B5="",1,IF(ISNUMBER(SEARCH('02_대상물건입력'!B5,B406)),1,0)))</f>
        <v/>
      </c>
      <c r="O406" s="152">
        <f>IF(B406="","",IF('02_대상물건입력'!B6="",1,IF(ISNUMBER(SEARCH('02_대상물건입력'!B6,B406)),1,0)))</f>
        <v/>
      </c>
      <c r="P406" s="152">
        <f>IF(L406="","",IF('02_대상물건입력'!B15="",0,IF(ISNUMBER(SEARCH('02_대상물건입력'!B15,L406)),1,0)))</f>
        <v/>
      </c>
      <c r="Q406" s="152">
        <f>IF(OR(C406="",L406=""),0,IF(AND(TRIM(C406)=TRIM(RIGHT(SUBSTITUTE(TRIM('02_대상물건입력'!$B$7)," ",REPT(" ",99)),99)),IF('02_대상물건입력'!B15="",TRUE(),ISNUMBER(SEARCH('02_대상물건입력'!B15,L406)))),1,0))</f>
        <v/>
      </c>
      <c r="R406" s="175">
        <f>IFERROR(ABS(E406-'02_대상물건입력'!B11)/'02_대상물건입력'!B11,"")</f>
        <v/>
      </c>
      <c r="S406" s="152">
        <f>IFERROR(ABS(J406-'02_대상물건입력'!B10),"")</f>
        <v/>
      </c>
      <c r="T406" s="152">
        <f>IFERROR(ABS('01_설정'!B4-F406),"")</f>
        <v/>
      </c>
      <c r="U406" s="152">
        <f>IFERROR(ABS(K406-YEAR('02_대상물건입력'!B14)),"")</f>
        <v/>
      </c>
      <c r="V406" s="152">
        <f>IF(B406="","",IF(AND(E406&gt;0,F406&gt;0,H406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406=1,TRUE()),R406&lt;='01_설정'!B5,S406&lt;='01_설정'!B6,T406&lt;='01_설정'!B7,U406&lt;='01_설정'!B8),"Y",""))</f>
        <v/>
      </c>
      <c r="W406" s="172">
        <f>IF(V406&lt;&gt;"Y","",MAX(0,(1-R406/'01_설정'!B5))*'01_설정'!B14+MAX(0,(1-S406/'01_설정'!B6))*'01_설정'!B15+MAX(0,(1-T406/'01_설정'!B7))*'01_설정'!B16+MAX(0,(1-U406/'01_설정'!B8))*'01_설정'!B17+O406*'01_설정'!B11+Q406*'01_설정'!B12+P406*'01_설정'!B13+IF(Z406="",0,Z406))</f>
        <v/>
      </c>
      <c r="X406" s="152">
        <f>IF(W406="","",1+COUNTIFS($W$4:$W$3003,"&gt;"&amp;W406)+COUNTIFS($W$4:W406,W406)-1)</f>
        <v/>
      </c>
      <c r="Y406" s="175">
        <f>IF(OR(I406="",'02_대상물건입력'!B19="",'02_대상물건입력'!B19&lt;=0),"",ABS(I406-'02_대상물건입력'!B19)/'02_대상물건입력'!B19)</f>
        <v/>
      </c>
      <c r="Z406" s="172">
        <f>IF(OR(Y406="",'01_설정'!B31="",'01_설정'!B31&lt;=0,'01_설정'!B32="",'01_설정'!B32&lt;=0),"",MAX(0,(1-Y406/'01_설정'!B32))*'01_설정'!B31)</f>
        <v/>
      </c>
    </row>
    <row r="407" ht="17.25" customHeight="1">
      <c r="A407" s="152">
        <f>IF(INDEX('04A_국토부원자료'!$A:$A,ROW()+1)="","",ROW()-3)</f>
        <v/>
      </c>
      <c r="B407" s="48">
        <f>IFERROR(INDEX('04A_국토부원자료'!$A:$T,ROW()+1,MATCH("시군구",'04A_국토부원자료'!$A$4:$T$4,0)),"")</f>
        <v/>
      </c>
      <c r="C407" s="48">
        <f>IF(B407="","",IFERROR(INDEX('04A_국토부원자료'!$A:$T,ROW()+1,MATCH("번지",'04A_국토부원자료'!$A$4:$T$4,0)),""))</f>
        <v/>
      </c>
      <c r="D407" s="48">
        <f>IF(B407="","",IF(Q407=1,'02_대상물건입력'!$B$8,IFERROR(INDEX('04A_국토부원자료'!$A:$T,ROW()+1,MATCH("단지명",'04A_국토부원자료'!$A$4:$T$4,0)),"")))</f>
        <v/>
      </c>
      <c r="E407" s="172">
        <f>IFERROR(VALUE(SUBSTITUTE(INDEX('04A_국토부원자료'!$A:$T,ROW()+1,MATCH("전용면적(㎡)",'04A_국토부원자료'!$A$4:$T$4,0)),",","")),"")</f>
        <v/>
      </c>
      <c r="F4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07" s="51">
        <f>IFERROR(VALUE(SUBSTITUTE(INDEX('04A_국토부원자료'!$A:$T,ROW()+1,MATCH("거래금액(만원)",'04A_국토부원자료'!$A$4:$T$4,0)),",","")),"")</f>
        <v/>
      </c>
      <c r="H407" s="174">
        <f>IF(G407="","",G407*10000)</f>
        <v/>
      </c>
      <c r="I407" s="174">
        <f>IFERROR(IF(AND(H407&gt;0,E407&gt;0),H407/E407,""),"")</f>
        <v/>
      </c>
      <c r="J407" s="152">
        <f>IFERROR(VALUE(SUBSTITUTE(INDEX('04A_국토부원자료'!$A:$T,ROW()+1,MATCH("층",'04A_국토부원자료'!$A$4:$T$4,0)),",","")),"")</f>
        <v/>
      </c>
      <c r="K407" s="152">
        <f>IFERROR(VALUE(SUBSTITUTE(INDEX('04A_국토부원자료'!$A:$T,ROW()+1,MATCH("건축년도",'04A_국토부원자료'!$A$4:$T$4,0)),",","")),"")</f>
        <v/>
      </c>
      <c r="L407" s="176">
        <f>IFERROR(INDEX('04A_국토부원자료'!$A:$T,ROW()+1,MATCH("도로명",'04A_국토부원자료'!$A$4:$T$4,0)),"")</f>
        <v/>
      </c>
      <c r="M407" s="48">
        <f>IFERROR(INDEX('04A_국토부원자료'!$A:$T,ROW()+1,MATCH("거래유형",'04A_국토부원자료'!$A$4:$T$4,0)),"")</f>
        <v/>
      </c>
      <c r="N407" s="152">
        <f>IF(B407="","",IF('02_대상물건입력'!B5="",1,IF(ISNUMBER(SEARCH('02_대상물건입력'!B5,B407)),1,0)))</f>
        <v/>
      </c>
      <c r="O407" s="152">
        <f>IF(B407="","",IF('02_대상물건입력'!B6="",1,IF(ISNUMBER(SEARCH('02_대상물건입력'!B6,B407)),1,0)))</f>
        <v/>
      </c>
      <c r="P407" s="152">
        <f>IF(L407="","",IF('02_대상물건입력'!B15="",0,IF(ISNUMBER(SEARCH('02_대상물건입력'!B15,L407)),1,0)))</f>
        <v/>
      </c>
      <c r="Q407" s="152">
        <f>IF(OR(C407="",L407=""),0,IF(AND(TRIM(C407)=TRIM(RIGHT(SUBSTITUTE(TRIM('02_대상물건입력'!$B$7)," ",REPT(" ",99)),99)),IF('02_대상물건입력'!B15="",TRUE(),ISNUMBER(SEARCH('02_대상물건입력'!B15,L407)))),1,0))</f>
        <v/>
      </c>
      <c r="R407" s="175">
        <f>IFERROR(ABS(E407-'02_대상물건입력'!B11)/'02_대상물건입력'!B11,"")</f>
        <v/>
      </c>
      <c r="S407" s="152">
        <f>IFERROR(ABS(J407-'02_대상물건입력'!B10),"")</f>
        <v/>
      </c>
      <c r="T407" s="152">
        <f>IFERROR(ABS('01_설정'!B4-F407),"")</f>
        <v/>
      </c>
      <c r="U407" s="152">
        <f>IFERROR(ABS(K407-YEAR('02_대상물건입력'!B14)),"")</f>
        <v/>
      </c>
      <c r="V407" s="152">
        <f>IF(B407="","",IF(AND(E407&gt;0,F407&gt;0,H407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407=1,TRUE()),R407&lt;='01_설정'!B5,S407&lt;='01_설정'!B6,T407&lt;='01_설정'!B7,U407&lt;='01_설정'!B8),"Y",""))</f>
        <v/>
      </c>
      <c r="W407" s="172">
        <f>IF(V407&lt;&gt;"Y","",MAX(0,(1-R407/'01_설정'!B5))*'01_설정'!B14+MAX(0,(1-S407/'01_설정'!B6))*'01_설정'!B15+MAX(0,(1-T407/'01_설정'!B7))*'01_설정'!B16+MAX(0,(1-U407/'01_설정'!B8))*'01_설정'!B17+O407*'01_설정'!B11+Q407*'01_설정'!B12+P407*'01_설정'!B13+IF(Z407="",0,Z407))</f>
        <v/>
      </c>
      <c r="X407" s="152">
        <f>IF(W407="","",1+COUNTIFS($W$4:$W$3003,"&gt;"&amp;W407)+COUNTIFS($W$4:W407,W407)-1)</f>
        <v/>
      </c>
      <c r="Y407" s="175">
        <f>IF(OR(I407="",'02_대상물건입력'!B19="",'02_대상물건입력'!B19&lt;=0),"",ABS(I407-'02_대상물건입력'!B19)/'02_대상물건입력'!B19)</f>
        <v/>
      </c>
      <c r="Z407" s="172">
        <f>IF(OR(Y407="",'01_설정'!B31="",'01_설정'!B31&lt;=0,'01_설정'!B32="",'01_설정'!B32&lt;=0),"",MAX(0,(1-Y407/'01_설정'!B32))*'01_설정'!B31)</f>
        <v/>
      </c>
    </row>
    <row r="408" ht="17.25" customHeight="1">
      <c r="A408" s="152">
        <f>IF(INDEX('04A_국토부원자료'!$A:$A,ROW()+1)="","",ROW()-3)</f>
        <v/>
      </c>
      <c r="B408" s="48">
        <f>IFERROR(INDEX('04A_국토부원자료'!$A:$T,ROW()+1,MATCH("시군구",'04A_국토부원자료'!$A$4:$T$4,0)),"")</f>
        <v/>
      </c>
      <c r="C408" s="48">
        <f>IF(B408="","",IFERROR(INDEX('04A_국토부원자료'!$A:$T,ROW()+1,MATCH("번지",'04A_국토부원자료'!$A$4:$T$4,0)),""))</f>
        <v/>
      </c>
      <c r="D408" s="48">
        <f>IF(B408="","",IF(Q408=1,'02_대상물건입력'!$B$8,IFERROR(INDEX('04A_국토부원자료'!$A:$T,ROW()+1,MATCH("단지명",'04A_국토부원자료'!$A$4:$T$4,0)),"")))</f>
        <v/>
      </c>
      <c r="E408" s="172">
        <f>IFERROR(VALUE(SUBSTITUTE(INDEX('04A_국토부원자료'!$A:$T,ROW()+1,MATCH("전용면적(㎡)",'04A_국토부원자료'!$A$4:$T$4,0)),",","")),"")</f>
        <v/>
      </c>
      <c r="F4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08" s="51">
        <f>IFERROR(VALUE(SUBSTITUTE(INDEX('04A_국토부원자료'!$A:$T,ROW()+1,MATCH("거래금액(만원)",'04A_국토부원자료'!$A$4:$T$4,0)),",","")),"")</f>
        <v/>
      </c>
      <c r="H408" s="174">
        <f>IF(G408="","",G408*10000)</f>
        <v/>
      </c>
      <c r="I408" s="174">
        <f>IFERROR(IF(AND(H408&gt;0,E408&gt;0),H408/E408,""),"")</f>
        <v/>
      </c>
      <c r="J408" s="152">
        <f>IFERROR(VALUE(SUBSTITUTE(INDEX('04A_국토부원자료'!$A:$T,ROW()+1,MATCH("층",'04A_국토부원자료'!$A$4:$T$4,0)),",","")),"")</f>
        <v/>
      </c>
      <c r="K408" s="152">
        <f>IFERROR(VALUE(SUBSTITUTE(INDEX('04A_국토부원자료'!$A:$T,ROW()+1,MATCH("건축년도",'04A_국토부원자료'!$A$4:$T$4,0)),",","")),"")</f>
        <v/>
      </c>
      <c r="L408" s="176">
        <f>IFERROR(INDEX('04A_국토부원자료'!$A:$T,ROW()+1,MATCH("도로명",'04A_국토부원자료'!$A$4:$T$4,0)),"")</f>
        <v/>
      </c>
      <c r="M408" s="48">
        <f>IFERROR(INDEX('04A_국토부원자료'!$A:$T,ROW()+1,MATCH("거래유형",'04A_국토부원자료'!$A$4:$T$4,0)),"")</f>
        <v/>
      </c>
      <c r="N408" s="152">
        <f>IF(B408="","",IF('02_대상물건입력'!B5="",1,IF(ISNUMBER(SEARCH('02_대상물건입력'!B5,B408)),1,0)))</f>
        <v/>
      </c>
      <c r="O408" s="152">
        <f>IF(B408="","",IF('02_대상물건입력'!B6="",1,IF(ISNUMBER(SEARCH('02_대상물건입력'!B6,B408)),1,0)))</f>
        <v/>
      </c>
      <c r="P408" s="152">
        <f>IF(L408="","",IF('02_대상물건입력'!B15="",0,IF(ISNUMBER(SEARCH('02_대상물건입력'!B15,L408)),1,0)))</f>
        <v/>
      </c>
      <c r="Q408" s="152">
        <f>IF(OR(C408="",L408=""),0,IF(AND(TRIM(C408)=TRIM(RIGHT(SUBSTITUTE(TRIM('02_대상물건입력'!$B$7)," ",REPT(" ",99)),99)),IF('02_대상물건입력'!B15="",TRUE(),ISNUMBER(SEARCH('02_대상물건입력'!B15,L408)))),1,0))</f>
        <v/>
      </c>
      <c r="R408" s="175">
        <f>IFERROR(ABS(E408-'02_대상물건입력'!B11)/'02_대상물건입력'!B11,"")</f>
        <v/>
      </c>
      <c r="S408" s="152">
        <f>IFERROR(ABS(J408-'02_대상물건입력'!B10),"")</f>
        <v/>
      </c>
      <c r="T408" s="152">
        <f>IFERROR(ABS('01_설정'!B4-F408),"")</f>
        <v/>
      </c>
      <c r="U408" s="152">
        <f>IFERROR(ABS(K408-YEAR('02_대상물건입력'!B14)),"")</f>
        <v/>
      </c>
      <c r="V408" s="152">
        <f>IF(B408="","",IF(AND(E408&gt;0,F408&gt;0,H408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408=1,TRUE()),R408&lt;='01_설정'!B5,S408&lt;='01_설정'!B6,T408&lt;='01_설정'!B7,U408&lt;='01_설정'!B8),"Y",""))</f>
        <v/>
      </c>
      <c r="W408" s="172">
        <f>IF(V408&lt;&gt;"Y","",MAX(0,(1-R408/'01_설정'!B5))*'01_설정'!B14+MAX(0,(1-S408/'01_설정'!B6))*'01_설정'!B15+MAX(0,(1-T408/'01_설정'!B7))*'01_설정'!B16+MAX(0,(1-U408/'01_설정'!B8))*'01_설정'!B17+O408*'01_설정'!B11+Q408*'01_설정'!B12+P408*'01_설정'!B13+IF(Z408="",0,Z408))</f>
        <v/>
      </c>
      <c r="X408" s="152">
        <f>IF(W408="","",1+COUNTIFS($W$4:$W$3003,"&gt;"&amp;W408)+COUNTIFS($W$4:W408,W408)-1)</f>
        <v/>
      </c>
      <c r="Y408" s="175">
        <f>IF(OR(I408="",'02_대상물건입력'!B19="",'02_대상물건입력'!B19&lt;=0),"",ABS(I408-'02_대상물건입력'!B19)/'02_대상물건입력'!B19)</f>
        <v/>
      </c>
      <c r="Z408" s="172">
        <f>IF(OR(Y408="",'01_설정'!B31="",'01_설정'!B31&lt;=0,'01_설정'!B32="",'01_설정'!B32&lt;=0),"",MAX(0,(1-Y408/'01_설정'!B32))*'01_설정'!B31)</f>
        <v/>
      </c>
    </row>
    <row r="409" ht="17.25" customHeight="1">
      <c r="A409" s="152">
        <f>IF(INDEX('04A_국토부원자료'!$A:$A,ROW()+1)="","",ROW()-3)</f>
        <v/>
      </c>
      <c r="B409" s="48">
        <f>IFERROR(INDEX('04A_국토부원자료'!$A:$T,ROW()+1,MATCH("시군구",'04A_국토부원자료'!$A$4:$T$4,0)),"")</f>
        <v/>
      </c>
      <c r="C409" s="48">
        <f>IF(B409="","",IFERROR(INDEX('04A_국토부원자료'!$A:$T,ROW()+1,MATCH("번지",'04A_국토부원자료'!$A$4:$T$4,0)),""))</f>
        <v/>
      </c>
      <c r="D409" s="48">
        <f>IF(B409="","",IF(Q409=1,'02_대상물건입력'!$B$8,IFERROR(INDEX('04A_국토부원자료'!$A:$T,ROW()+1,MATCH("단지명",'04A_국토부원자료'!$A$4:$T$4,0)),"")))</f>
        <v/>
      </c>
      <c r="E409" s="172">
        <f>IFERROR(VALUE(SUBSTITUTE(INDEX('04A_국토부원자료'!$A:$T,ROW()+1,MATCH("전용면적(㎡)",'04A_국토부원자료'!$A$4:$T$4,0)),",","")),"")</f>
        <v/>
      </c>
      <c r="F4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09" s="51">
        <f>IFERROR(VALUE(SUBSTITUTE(INDEX('04A_국토부원자료'!$A:$T,ROW()+1,MATCH("거래금액(만원)",'04A_국토부원자료'!$A$4:$T$4,0)),",","")),"")</f>
        <v/>
      </c>
      <c r="H409" s="174">
        <f>IF(G409="","",G409*10000)</f>
        <v/>
      </c>
      <c r="I409" s="174">
        <f>IFERROR(IF(AND(H409&gt;0,E409&gt;0),H409/E409,""),"")</f>
        <v/>
      </c>
      <c r="J409" s="152">
        <f>IFERROR(VALUE(SUBSTITUTE(INDEX('04A_국토부원자료'!$A:$T,ROW()+1,MATCH("층",'04A_국토부원자료'!$A$4:$T$4,0)),",","")),"")</f>
        <v/>
      </c>
      <c r="K409" s="152">
        <f>IFERROR(VALUE(SUBSTITUTE(INDEX('04A_국토부원자료'!$A:$T,ROW()+1,MATCH("건축년도",'04A_국토부원자료'!$A$4:$T$4,0)),",","")),"")</f>
        <v/>
      </c>
      <c r="L409" s="176">
        <f>IFERROR(INDEX('04A_국토부원자료'!$A:$T,ROW()+1,MATCH("도로명",'04A_국토부원자료'!$A$4:$T$4,0)),"")</f>
        <v/>
      </c>
      <c r="M409" s="48">
        <f>IFERROR(INDEX('04A_국토부원자료'!$A:$T,ROW()+1,MATCH("거래유형",'04A_국토부원자료'!$A$4:$T$4,0)),"")</f>
        <v/>
      </c>
      <c r="N409" s="152">
        <f>IF(B409="","",IF('02_대상물건입력'!B5="",1,IF(ISNUMBER(SEARCH('02_대상물건입력'!B5,B409)),1,0)))</f>
        <v/>
      </c>
      <c r="O409" s="152">
        <f>IF(B409="","",IF('02_대상물건입력'!B6="",1,IF(ISNUMBER(SEARCH('02_대상물건입력'!B6,B409)),1,0)))</f>
        <v/>
      </c>
      <c r="P409" s="152">
        <f>IF(L409="","",IF('02_대상물건입력'!B15="",0,IF(ISNUMBER(SEARCH('02_대상물건입력'!B15,L409)),1,0)))</f>
        <v/>
      </c>
      <c r="Q409" s="152">
        <f>IF(OR(C409="",L409=""),0,IF(AND(TRIM(C409)=TRIM(RIGHT(SUBSTITUTE(TRIM('02_대상물건입력'!$B$7)," ",REPT(" ",99)),99)),IF('02_대상물건입력'!B15="",TRUE(),ISNUMBER(SEARCH('02_대상물건입력'!B15,L409)))),1,0))</f>
        <v/>
      </c>
      <c r="R409" s="175">
        <f>IFERROR(ABS(E409-'02_대상물건입력'!B11)/'02_대상물건입력'!B11,"")</f>
        <v/>
      </c>
      <c r="S409" s="152">
        <f>IFERROR(ABS(J409-'02_대상물건입력'!B10),"")</f>
        <v/>
      </c>
      <c r="T409" s="152">
        <f>IFERROR(ABS('01_설정'!B4-F409),"")</f>
        <v/>
      </c>
      <c r="U409" s="152">
        <f>IFERROR(ABS(K409-YEAR('02_대상물건입력'!B14)),"")</f>
        <v/>
      </c>
      <c r="V409" s="152">
        <f>IF(B409="","",IF(AND(E409&gt;0,F409&gt;0,H409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409=1,TRUE()),R409&lt;='01_설정'!B5,S409&lt;='01_설정'!B6,T409&lt;='01_설정'!B7,U409&lt;='01_설정'!B8),"Y",""))</f>
        <v/>
      </c>
      <c r="W409" s="172">
        <f>IF(V409&lt;&gt;"Y","",MAX(0,(1-R409/'01_설정'!B5))*'01_설정'!B14+MAX(0,(1-S409/'01_설정'!B6))*'01_설정'!B15+MAX(0,(1-T409/'01_설정'!B7))*'01_설정'!B16+MAX(0,(1-U409/'01_설정'!B8))*'01_설정'!B17+O409*'01_설정'!B11+Q409*'01_설정'!B12+P409*'01_설정'!B13+IF(Z409="",0,Z409))</f>
        <v/>
      </c>
      <c r="X409" s="152">
        <f>IF(W409="","",1+COUNTIFS($W$4:$W$3003,"&gt;"&amp;W409)+COUNTIFS($W$4:W409,W409)-1)</f>
        <v/>
      </c>
      <c r="Y409" s="175">
        <f>IF(OR(I409="",'02_대상물건입력'!B19="",'02_대상물건입력'!B19&lt;=0),"",ABS(I409-'02_대상물건입력'!B19)/'02_대상물건입력'!B19)</f>
        <v/>
      </c>
      <c r="Z409" s="172">
        <f>IF(OR(Y409="",'01_설정'!B31="",'01_설정'!B31&lt;=0,'01_설정'!B32="",'01_설정'!B32&lt;=0),"",MAX(0,(1-Y409/'01_설정'!B32))*'01_설정'!B31)</f>
        <v/>
      </c>
    </row>
    <row r="410" ht="17.25" customHeight="1">
      <c r="A410" s="152">
        <f>IF(INDEX('04A_국토부원자료'!$A:$A,ROW()+1)="","",ROW()-3)</f>
        <v/>
      </c>
      <c r="B410" s="48">
        <f>IFERROR(INDEX('04A_국토부원자료'!$A:$T,ROW()+1,MATCH("시군구",'04A_국토부원자료'!$A$4:$T$4,0)),"")</f>
        <v/>
      </c>
      <c r="C410" s="48">
        <f>IF(B410="","",IFERROR(INDEX('04A_국토부원자료'!$A:$T,ROW()+1,MATCH("번지",'04A_국토부원자료'!$A$4:$T$4,0)),""))</f>
        <v/>
      </c>
      <c r="D410" s="48">
        <f>IF(B410="","",IF(Q410=1,'02_대상물건입력'!$B$8,IFERROR(INDEX('04A_국토부원자료'!$A:$T,ROW()+1,MATCH("단지명",'04A_국토부원자료'!$A$4:$T$4,0)),"")))</f>
        <v/>
      </c>
      <c r="E410" s="172">
        <f>IFERROR(VALUE(SUBSTITUTE(INDEX('04A_국토부원자료'!$A:$T,ROW()+1,MATCH("전용면적(㎡)",'04A_국토부원자료'!$A$4:$T$4,0)),",","")),"")</f>
        <v/>
      </c>
      <c r="F4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10" s="51">
        <f>IFERROR(VALUE(SUBSTITUTE(INDEX('04A_국토부원자료'!$A:$T,ROW()+1,MATCH("거래금액(만원)",'04A_국토부원자료'!$A$4:$T$4,0)),",","")),"")</f>
        <v/>
      </c>
      <c r="H410" s="174">
        <f>IF(G410="","",G410*10000)</f>
        <v/>
      </c>
      <c r="I410" s="174">
        <f>IFERROR(IF(AND(H410&gt;0,E410&gt;0),H410/E410,""),"")</f>
        <v/>
      </c>
      <c r="J410" s="152">
        <f>IFERROR(VALUE(SUBSTITUTE(INDEX('04A_국토부원자료'!$A:$T,ROW()+1,MATCH("층",'04A_국토부원자료'!$A$4:$T$4,0)),",","")),"")</f>
        <v/>
      </c>
      <c r="K410" s="152">
        <f>IFERROR(VALUE(SUBSTITUTE(INDEX('04A_국토부원자료'!$A:$T,ROW()+1,MATCH("건축년도",'04A_국토부원자료'!$A$4:$T$4,0)),",","")),"")</f>
        <v/>
      </c>
      <c r="L410" s="176">
        <f>IFERROR(INDEX('04A_국토부원자료'!$A:$T,ROW()+1,MATCH("도로명",'04A_국토부원자료'!$A$4:$T$4,0)),"")</f>
        <v/>
      </c>
      <c r="M410" s="48">
        <f>IFERROR(INDEX('04A_국토부원자료'!$A:$T,ROW()+1,MATCH("거래유형",'04A_국토부원자료'!$A$4:$T$4,0)),"")</f>
        <v/>
      </c>
      <c r="N410" s="152">
        <f>IF(B410="","",IF('02_대상물건입력'!B5="",1,IF(ISNUMBER(SEARCH('02_대상물건입력'!B5,B410)),1,0)))</f>
        <v/>
      </c>
      <c r="O410" s="152">
        <f>IF(B410="","",IF('02_대상물건입력'!B6="",1,IF(ISNUMBER(SEARCH('02_대상물건입력'!B6,B410)),1,0)))</f>
        <v/>
      </c>
      <c r="P410" s="152">
        <f>IF(L410="","",IF('02_대상물건입력'!B15="",0,IF(ISNUMBER(SEARCH('02_대상물건입력'!B15,L410)),1,0)))</f>
        <v/>
      </c>
      <c r="Q410" s="152">
        <f>IF(OR(C410="",L410=""),0,IF(AND(TRIM(C410)=TRIM(RIGHT(SUBSTITUTE(TRIM('02_대상물건입력'!$B$7)," ",REPT(" ",99)),99)),IF('02_대상물건입력'!B15="",TRUE(),ISNUMBER(SEARCH('02_대상물건입력'!B15,L410)))),1,0))</f>
        <v/>
      </c>
      <c r="R410" s="175">
        <f>IFERROR(ABS(E410-'02_대상물건입력'!B11)/'02_대상물건입력'!B11,"")</f>
        <v/>
      </c>
      <c r="S410" s="152">
        <f>IFERROR(ABS(J410-'02_대상물건입력'!B10),"")</f>
        <v/>
      </c>
      <c r="T410" s="152">
        <f>IFERROR(ABS('01_설정'!B4-F410),"")</f>
        <v/>
      </c>
      <c r="U410" s="152">
        <f>IFERROR(ABS(K410-YEAR('02_대상물건입력'!B14)),"")</f>
        <v/>
      </c>
      <c r="V410" s="152">
        <f>IF(B410="","",IF(AND(E410&gt;0,F410&gt;0,H410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410=1,TRUE()),R410&lt;='01_설정'!B5,S410&lt;='01_설정'!B6,T410&lt;='01_설정'!B7,U410&lt;='01_설정'!B8),"Y",""))</f>
        <v/>
      </c>
      <c r="W410" s="172">
        <f>IF(V410&lt;&gt;"Y","",MAX(0,(1-R410/'01_설정'!B5))*'01_설정'!B14+MAX(0,(1-S410/'01_설정'!B6))*'01_설정'!B15+MAX(0,(1-T410/'01_설정'!B7))*'01_설정'!B16+MAX(0,(1-U410/'01_설정'!B8))*'01_설정'!B17+O410*'01_설정'!B11+Q410*'01_설정'!B12+P410*'01_설정'!B13+IF(Z410="",0,Z410))</f>
        <v/>
      </c>
      <c r="X410" s="152">
        <f>IF(W410="","",1+COUNTIFS($W$4:$W$3003,"&gt;"&amp;W410)+COUNTIFS($W$4:W410,W410)-1)</f>
        <v/>
      </c>
      <c r="Y410" s="175">
        <f>IF(OR(I410="",'02_대상물건입력'!B19="",'02_대상물건입력'!B19&lt;=0),"",ABS(I410-'02_대상물건입력'!B19)/'02_대상물건입력'!B19)</f>
        <v/>
      </c>
      <c r="Z410" s="172">
        <f>IF(OR(Y410="",'01_설정'!B31="",'01_설정'!B31&lt;=0,'01_설정'!B32="",'01_설정'!B32&lt;=0),"",MAX(0,(1-Y410/'01_설정'!B32))*'01_설정'!B31)</f>
        <v/>
      </c>
    </row>
    <row r="411" ht="17.25" customHeight="1">
      <c r="A411" s="152">
        <f>IF(INDEX('04A_국토부원자료'!$A:$A,ROW()+1)="","",ROW()-3)</f>
        <v/>
      </c>
      <c r="B411" s="48">
        <f>IFERROR(INDEX('04A_국토부원자료'!$A:$T,ROW()+1,MATCH("시군구",'04A_국토부원자료'!$A$4:$T$4,0)),"")</f>
        <v/>
      </c>
      <c r="C411" s="48">
        <f>IF(B411="","",IFERROR(INDEX('04A_국토부원자료'!$A:$T,ROW()+1,MATCH("번지",'04A_국토부원자료'!$A$4:$T$4,0)),""))</f>
        <v/>
      </c>
      <c r="D411" s="48">
        <f>IF(B411="","",IF(Q411=1,'02_대상물건입력'!$B$8,IFERROR(INDEX('04A_국토부원자료'!$A:$T,ROW()+1,MATCH("단지명",'04A_국토부원자료'!$A$4:$T$4,0)),"")))</f>
        <v/>
      </c>
      <c r="E411" s="172">
        <f>IFERROR(VALUE(SUBSTITUTE(INDEX('04A_국토부원자료'!$A:$T,ROW()+1,MATCH("전용면적(㎡)",'04A_국토부원자료'!$A$4:$T$4,0)),",","")),"")</f>
        <v/>
      </c>
      <c r="F4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11" s="51">
        <f>IFERROR(VALUE(SUBSTITUTE(INDEX('04A_국토부원자료'!$A:$T,ROW()+1,MATCH("거래금액(만원)",'04A_국토부원자료'!$A$4:$T$4,0)),",","")),"")</f>
        <v/>
      </c>
      <c r="H411" s="174">
        <f>IF(G411="","",G411*10000)</f>
        <v/>
      </c>
      <c r="I411" s="174">
        <f>IFERROR(IF(AND(H411&gt;0,E411&gt;0),H411/E411,""),"")</f>
        <v/>
      </c>
      <c r="J411" s="152">
        <f>IFERROR(VALUE(SUBSTITUTE(INDEX('04A_국토부원자료'!$A:$T,ROW()+1,MATCH("층",'04A_국토부원자료'!$A$4:$T$4,0)),",","")),"")</f>
        <v/>
      </c>
      <c r="K411" s="152">
        <f>IFERROR(VALUE(SUBSTITUTE(INDEX('04A_국토부원자료'!$A:$T,ROW()+1,MATCH("건축년도",'04A_국토부원자료'!$A$4:$T$4,0)),",","")),"")</f>
        <v/>
      </c>
      <c r="L411" s="176">
        <f>IFERROR(INDEX('04A_국토부원자료'!$A:$T,ROW()+1,MATCH("도로명",'04A_국토부원자료'!$A$4:$T$4,0)),"")</f>
        <v/>
      </c>
      <c r="M411" s="48">
        <f>IFERROR(INDEX('04A_국토부원자료'!$A:$T,ROW()+1,MATCH("거래유형",'04A_국토부원자료'!$A$4:$T$4,0)),"")</f>
        <v/>
      </c>
      <c r="N411" s="152">
        <f>IF(B411="","",IF('02_대상물건입력'!B5="",1,IF(ISNUMBER(SEARCH('02_대상물건입력'!B5,B411)),1,0)))</f>
        <v/>
      </c>
      <c r="O411" s="152">
        <f>IF(B411="","",IF('02_대상물건입력'!B6="",1,IF(ISNUMBER(SEARCH('02_대상물건입력'!B6,B411)),1,0)))</f>
        <v/>
      </c>
      <c r="P411" s="152">
        <f>IF(L411="","",IF('02_대상물건입력'!B15="",0,IF(ISNUMBER(SEARCH('02_대상물건입력'!B15,L411)),1,0)))</f>
        <v/>
      </c>
      <c r="Q411" s="152">
        <f>IF(OR(C411="",L411=""),0,IF(AND(TRIM(C411)=TRIM(RIGHT(SUBSTITUTE(TRIM('02_대상물건입력'!$B$7)," ",REPT(" ",99)),99)),IF('02_대상물건입력'!B15="",TRUE(),ISNUMBER(SEARCH('02_대상물건입력'!B15,L411)))),1,0))</f>
        <v/>
      </c>
      <c r="R411" s="175">
        <f>IFERROR(ABS(E411-'02_대상물건입력'!B11)/'02_대상물건입력'!B11,"")</f>
        <v/>
      </c>
      <c r="S411" s="152">
        <f>IFERROR(ABS(J411-'02_대상물건입력'!B10),"")</f>
        <v/>
      </c>
      <c r="T411" s="152">
        <f>IFERROR(ABS('01_설정'!B4-F411),"")</f>
        <v/>
      </c>
      <c r="U411" s="152">
        <f>IFERROR(ABS(K411-YEAR('02_대상물건입력'!B14)),"")</f>
        <v/>
      </c>
      <c r="V411" s="152">
        <f>IF(B411="","",IF(AND(E411&gt;0,F411&gt;0,H411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411=1,TRUE()),R411&lt;='01_설정'!B5,S411&lt;='01_설정'!B6,T411&lt;='01_설정'!B7,U411&lt;='01_설정'!B8),"Y",""))</f>
        <v/>
      </c>
      <c r="W411" s="172">
        <f>IF(V411&lt;&gt;"Y","",MAX(0,(1-R411/'01_설정'!B5))*'01_설정'!B14+MAX(0,(1-S411/'01_설정'!B6))*'01_설정'!B15+MAX(0,(1-T411/'01_설정'!B7))*'01_설정'!B16+MAX(0,(1-U411/'01_설정'!B8))*'01_설정'!B17+O411*'01_설정'!B11+Q411*'01_설정'!B12+P411*'01_설정'!B13+IF(Z411="",0,Z411))</f>
        <v/>
      </c>
      <c r="X411" s="152">
        <f>IF(W411="","",1+COUNTIFS($W$4:$W$3003,"&gt;"&amp;W411)+COUNTIFS($W$4:W411,W411)-1)</f>
        <v/>
      </c>
      <c r="Y411" s="175">
        <f>IF(OR(I411="",'02_대상물건입력'!B19="",'02_대상물건입력'!B19&lt;=0),"",ABS(I411-'02_대상물건입력'!B19)/'02_대상물건입력'!B19)</f>
        <v/>
      </c>
      <c r="Z411" s="172">
        <f>IF(OR(Y411="",'01_설정'!B31="",'01_설정'!B31&lt;=0,'01_설정'!B32="",'01_설정'!B32&lt;=0),"",MAX(0,(1-Y411/'01_설정'!B32))*'01_설정'!B31)</f>
        <v/>
      </c>
    </row>
    <row r="412" ht="17.25" customHeight="1">
      <c r="A412" s="152">
        <f>IF(INDEX('04A_국토부원자료'!$A:$A,ROW()+1)="","",ROW()-3)</f>
        <v/>
      </c>
      <c r="B412" s="48">
        <f>IFERROR(INDEX('04A_국토부원자료'!$A:$T,ROW()+1,MATCH("시군구",'04A_국토부원자료'!$A$4:$T$4,0)),"")</f>
        <v/>
      </c>
      <c r="C412" s="48">
        <f>IF(B412="","",IFERROR(INDEX('04A_국토부원자료'!$A:$T,ROW()+1,MATCH("번지",'04A_국토부원자료'!$A$4:$T$4,0)),""))</f>
        <v/>
      </c>
      <c r="D412" s="48">
        <f>IF(B412="","",IF(Q412=1,'02_대상물건입력'!$B$8,IFERROR(INDEX('04A_국토부원자료'!$A:$T,ROW()+1,MATCH("단지명",'04A_국토부원자료'!$A$4:$T$4,0)),"")))</f>
        <v/>
      </c>
      <c r="E412" s="172">
        <f>IFERROR(VALUE(SUBSTITUTE(INDEX('04A_국토부원자료'!$A:$T,ROW()+1,MATCH("전용면적(㎡)",'04A_국토부원자료'!$A$4:$T$4,0)),",","")),"")</f>
        <v/>
      </c>
      <c r="F4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12" s="51">
        <f>IFERROR(VALUE(SUBSTITUTE(INDEX('04A_국토부원자료'!$A:$T,ROW()+1,MATCH("거래금액(만원)",'04A_국토부원자료'!$A$4:$T$4,0)),",","")),"")</f>
        <v/>
      </c>
      <c r="H412" s="174">
        <f>IF(G412="","",G412*10000)</f>
        <v/>
      </c>
      <c r="I412" s="174">
        <f>IFERROR(IF(AND(H412&gt;0,E412&gt;0),H412/E412,""),"")</f>
        <v/>
      </c>
      <c r="J412" s="152">
        <f>IFERROR(VALUE(SUBSTITUTE(INDEX('04A_국토부원자료'!$A:$T,ROW()+1,MATCH("층",'04A_국토부원자료'!$A$4:$T$4,0)),",","")),"")</f>
        <v/>
      </c>
      <c r="K412" s="152">
        <f>IFERROR(VALUE(SUBSTITUTE(INDEX('04A_국토부원자료'!$A:$T,ROW()+1,MATCH("건축년도",'04A_국토부원자료'!$A$4:$T$4,0)),",","")),"")</f>
        <v/>
      </c>
      <c r="L412" s="176">
        <f>IFERROR(INDEX('04A_국토부원자료'!$A:$T,ROW()+1,MATCH("도로명",'04A_국토부원자료'!$A$4:$T$4,0)),"")</f>
        <v/>
      </c>
      <c r="M412" s="48">
        <f>IFERROR(INDEX('04A_국토부원자료'!$A:$T,ROW()+1,MATCH("거래유형",'04A_국토부원자료'!$A$4:$T$4,0)),"")</f>
        <v/>
      </c>
      <c r="N412" s="152">
        <f>IF(B412="","",IF('02_대상물건입력'!B5="",1,IF(ISNUMBER(SEARCH('02_대상물건입력'!B5,B412)),1,0)))</f>
        <v/>
      </c>
      <c r="O412" s="152">
        <f>IF(B412="","",IF('02_대상물건입력'!B6="",1,IF(ISNUMBER(SEARCH('02_대상물건입력'!B6,B412)),1,0)))</f>
        <v/>
      </c>
      <c r="P412" s="152">
        <f>IF(L412="","",IF('02_대상물건입력'!B15="",0,IF(ISNUMBER(SEARCH('02_대상물건입력'!B15,L412)),1,0)))</f>
        <v/>
      </c>
      <c r="Q412" s="152">
        <f>IF(OR(C412="",L412=""),0,IF(AND(TRIM(C412)=TRIM(RIGHT(SUBSTITUTE(TRIM('02_대상물건입력'!$B$7)," ",REPT(" ",99)),99)),IF('02_대상물건입력'!B15="",TRUE(),ISNUMBER(SEARCH('02_대상물건입력'!B15,L412)))),1,0))</f>
        <v/>
      </c>
      <c r="R412" s="175">
        <f>IFERROR(ABS(E412-'02_대상물건입력'!B11)/'02_대상물건입력'!B11,"")</f>
        <v/>
      </c>
      <c r="S412" s="152">
        <f>IFERROR(ABS(J412-'02_대상물건입력'!B10),"")</f>
        <v/>
      </c>
      <c r="T412" s="152">
        <f>IFERROR(ABS('01_설정'!B4-F412),"")</f>
        <v/>
      </c>
      <c r="U412" s="152">
        <f>IFERROR(ABS(K412-YEAR('02_대상물건입력'!B14)),"")</f>
        <v/>
      </c>
      <c r="V412" s="152">
        <f>IF(B412="","",IF(AND(E412&gt;0,F412&gt;0,H412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412=1,TRUE()),R412&lt;='01_설정'!B5,S412&lt;='01_설정'!B6,T412&lt;='01_설정'!B7,U412&lt;='01_설정'!B8),"Y",""))</f>
        <v/>
      </c>
      <c r="W412" s="172">
        <f>IF(V412&lt;&gt;"Y","",MAX(0,(1-R412/'01_설정'!B5))*'01_설정'!B14+MAX(0,(1-S412/'01_설정'!B6))*'01_설정'!B15+MAX(0,(1-T412/'01_설정'!B7))*'01_설정'!B16+MAX(0,(1-U412/'01_설정'!B8))*'01_설정'!B17+O412*'01_설정'!B11+Q412*'01_설정'!B12+P412*'01_설정'!B13+IF(Z412="",0,Z412))</f>
        <v/>
      </c>
      <c r="X412" s="152">
        <f>IF(W412="","",1+COUNTIFS($W$4:$W$3003,"&gt;"&amp;W412)+COUNTIFS($W$4:W412,W412)-1)</f>
        <v/>
      </c>
      <c r="Y412" s="175">
        <f>IF(OR(I412="",'02_대상물건입력'!B19="",'02_대상물건입력'!B19&lt;=0),"",ABS(I412-'02_대상물건입력'!B19)/'02_대상물건입력'!B19)</f>
        <v/>
      </c>
      <c r="Z412" s="172">
        <f>IF(OR(Y412="",'01_설정'!B31="",'01_설정'!B31&lt;=0,'01_설정'!B32="",'01_설정'!B32&lt;=0),"",MAX(0,(1-Y412/'01_설정'!B32))*'01_설정'!B31)</f>
        <v/>
      </c>
    </row>
    <row r="413" ht="17.25" customHeight="1">
      <c r="A413" s="152">
        <f>IF(INDEX('04A_국토부원자료'!$A:$A,ROW()+1)="","",ROW()-3)</f>
        <v/>
      </c>
      <c r="B413" s="48">
        <f>IFERROR(INDEX('04A_국토부원자료'!$A:$T,ROW()+1,MATCH("시군구",'04A_국토부원자료'!$A$4:$T$4,0)),"")</f>
        <v/>
      </c>
      <c r="C413" s="48">
        <f>IF(B413="","",IFERROR(INDEX('04A_국토부원자료'!$A:$T,ROW()+1,MATCH("번지",'04A_국토부원자료'!$A$4:$T$4,0)),""))</f>
        <v/>
      </c>
      <c r="D413" s="48">
        <f>IF(B413="","",IF(Q413=1,'02_대상물건입력'!$B$8,IFERROR(INDEX('04A_국토부원자료'!$A:$T,ROW()+1,MATCH("단지명",'04A_국토부원자료'!$A$4:$T$4,0)),"")))</f>
        <v/>
      </c>
      <c r="E413" s="172">
        <f>IFERROR(VALUE(SUBSTITUTE(INDEX('04A_국토부원자료'!$A:$T,ROW()+1,MATCH("전용면적(㎡)",'04A_국토부원자료'!$A$4:$T$4,0)),",","")),"")</f>
        <v/>
      </c>
      <c r="F4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13" s="51">
        <f>IFERROR(VALUE(SUBSTITUTE(INDEX('04A_국토부원자료'!$A:$T,ROW()+1,MATCH("거래금액(만원)",'04A_국토부원자료'!$A$4:$T$4,0)),",","")),"")</f>
        <v/>
      </c>
      <c r="H413" s="174">
        <f>IF(G413="","",G413*10000)</f>
        <v/>
      </c>
      <c r="I413" s="174">
        <f>IFERROR(IF(AND(H413&gt;0,E413&gt;0),H413/E413,""),"")</f>
        <v/>
      </c>
      <c r="J413" s="152">
        <f>IFERROR(VALUE(SUBSTITUTE(INDEX('04A_국토부원자료'!$A:$T,ROW()+1,MATCH("층",'04A_국토부원자료'!$A$4:$T$4,0)),",","")),"")</f>
        <v/>
      </c>
      <c r="K413" s="152">
        <f>IFERROR(VALUE(SUBSTITUTE(INDEX('04A_국토부원자료'!$A:$T,ROW()+1,MATCH("건축년도",'04A_국토부원자료'!$A$4:$T$4,0)),",","")),"")</f>
        <v/>
      </c>
      <c r="L413" s="176">
        <f>IFERROR(INDEX('04A_국토부원자료'!$A:$T,ROW()+1,MATCH("도로명",'04A_국토부원자료'!$A$4:$T$4,0)),"")</f>
        <v/>
      </c>
      <c r="M413" s="48">
        <f>IFERROR(INDEX('04A_국토부원자료'!$A:$T,ROW()+1,MATCH("거래유형",'04A_국토부원자료'!$A$4:$T$4,0)),"")</f>
        <v/>
      </c>
      <c r="N413" s="152">
        <f>IF(B413="","",IF('02_대상물건입력'!B5="",1,IF(ISNUMBER(SEARCH('02_대상물건입력'!B5,B413)),1,0)))</f>
        <v/>
      </c>
      <c r="O413" s="152">
        <f>IF(B413="","",IF('02_대상물건입력'!B6="",1,IF(ISNUMBER(SEARCH('02_대상물건입력'!B6,B413)),1,0)))</f>
        <v/>
      </c>
      <c r="P413" s="152">
        <f>IF(L413="","",IF('02_대상물건입력'!B15="",0,IF(ISNUMBER(SEARCH('02_대상물건입력'!B15,L413)),1,0)))</f>
        <v/>
      </c>
      <c r="Q413" s="152">
        <f>IF(OR(C413="",L413=""),0,IF(AND(TRIM(C413)=TRIM(RIGHT(SUBSTITUTE(TRIM('02_대상물건입력'!$B$7)," ",REPT(" ",99)),99)),IF('02_대상물건입력'!B15="",TRUE(),ISNUMBER(SEARCH('02_대상물건입력'!B15,L413)))),1,0))</f>
        <v/>
      </c>
      <c r="R413" s="175">
        <f>IFERROR(ABS(E413-'02_대상물건입력'!B11)/'02_대상물건입력'!B11,"")</f>
        <v/>
      </c>
      <c r="S413" s="152">
        <f>IFERROR(ABS(J413-'02_대상물건입력'!B10),"")</f>
        <v/>
      </c>
      <c r="T413" s="152">
        <f>IFERROR(ABS('01_설정'!B4-F413),"")</f>
        <v/>
      </c>
      <c r="U413" s="152">
        <f>IFERROR(ABS(K413-YEAR('02_대상물건입력'!B14)),"")</f>
        <v/>
      </c>
      <c r="V413" s="152">
        <f>IF(B413="","",IF(AND(E413&gt;0,F413&gt;0,H413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413=1,TRUE()),R413&lt;='01_설정'!B5,S413&lt;='01_설정'!B6,T413&lt;='01_설정'!B7,U413&lt;='01_설정'!B8),"Y",""))</f>
        <v/>
      </c>
      <c r="W413" s="172">
        <f>IF(V413&lt;&gt;"Y","",MAX(0,(1-R413/'01_설정'!B5))*'01_설정'!B14+MAX(0,(1-S413/'01_설정'!B6))*'01_설정'!B15+MAX(0,(1-T413/'01_설정'!B7))*'01_설정'!B16+MAX(0,(1-U413/'01_설정'!B8))*'01_설정'!B17+O413*'01_설정'!B11+Q413*'01_설정'!B12+P413*'01_설정'!B13+IF(Z413="",0,Z413))</f>
        <v/>
      </c>
      <c r="X413" s="152">
        <f>IF(W413="","",1+COUNTIFS($W$4:$W$3003,"&gt;"&amp;W413)+COUNTIFS($W$4:W413,W413)-1)</f>
        <v/>
      </c>
      <c r="Y413" s="175">
        <f>IF(OR(I413="",'02_대상물건입력'!B19="",'02_대상물건입력'!B19&lt;=0),"",ABS(I413-'02_대상물건입력'!B19)/'02_대상물건입력'!B19)</f>
        <v/>
      </c>
      <c r="Z413" s="172">
        <f>IF(OR(Y413="",'01_설정'!B31="",'01_설정'!B31&lt;=0,'01_설정'!B32="",'01_설정'!B32&lt;=0),"",MAX(0,(1-Y413/'01_설정'!B32))*'01_설정'!B31)</f>
        <v/>
      </c>
    </row>
    <row r="414" ht="17.25" customHeight="1">
      <c r="A414" s="152">
        <f>IF(INDEX('04A_국토부원자료'!$A:$A,ROW()+1)="","",ROW()-3)</f>
        <v/>
      </c>
      <c r="B414" s="48">
        <f>IFERROR(INDEX('04A_국토부원자료'!$A:$T,ROW()+1,MATCH("시군구",'04A_국토부원자료'!$A$4:$T$4,0)),"")</f>
        <v/>
      </c>
      <c r="C414" s="48">
        <f>IF(B414="","",IFERROR(INDEX('04A_국토부원자료'!$A:$T,ROW()+1,MATCH("번지",'04A_국토부원자료'!$A$4:$T$4,0)),""))</f>
        <v/>
      </c>
      <c r="D414" s="48">
        <f>IF(B414="","",IF(Q414=1,'02_대상물건입력'!$B$8,IFERROR(INDEX('04A_국토부원자료'!$A:$T,ROW()+1,MATCH("단지명",'04A_국토부원자료'!$A$4:$T$4,0)),"")))</f>
        <v/>
      </c>
      <c r="E414" s="172">
        <f>IFERROR(VALUE(SUBSTITUTE(INDEX('04A_국토부원자료'!$A:$T,ROW()+1,MATCH("전용면적(㎡)",'04A_국토부원자료'!$A$4:$T$4,0)),",","")),"")</f>
        <v/>
      </c>
      <c r="F4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14" s="51">
        <f>IFERROR(VALUE(SUBSTITUTE(INDEX('04A_국토부원자료'!$A:$T,ROW()+1,MATCH("거래금액(만원)",'04A_국토부원자료'!$A$4:$T$4,0)),",","")),"")</f>
        <v/>
      </c>
      <c r="H414" s="174">
        <f>IF(G414="","",G414*10000)</f>
        <v/>
      </c>
      <c r="I414" s="174">
        <f>IFERROR(IF(AND(H414&gt;0,E414&gt;0),H414/E414,""),"")</f>
        <v/>
      </c>
      <c r="J414" s="152">
        <f>IFERROR(VALUE(SUBSTITUTE(INDEX('04A_국토부원자료'!$A:$T,ROW()+1,MATCH("층",'04A_국토부원자료'!$A$4:$T$4,0)),",","")),"")</f>
        <v/>
      </c>
      <c r="K414" s="152">
        <f>IFERROR(VALUE(SUBSTITUTE(INDEX('04A_국토부원자료'!$A:$T,ROW()+1,MATCH("건축년도",'04A_국토부원자료'!$A$4:$T$4,0)),",","")),"")</f>
        <v/>
      </c>
      <c r="L414" s="176">
        <f>IFERROR(INDEX('04A_국토부원자료'!$A:$T,ROW()+1,MATCH("도로명",'04A_국토부원자료'!$A$4:$T$4,0)),"")</f>
        <v/>
      </c>
      <c r="M414" s="48">
        <f>IFERROR(INDEX('04A_국토부원자료'!$A:$T,ROW()+1,MATCH("거래유형",'04A_국토부원자료'!$A$4:$T$4,0)),"")</f>
        <v/>
      </c>
      <c r="N414" s="152">
        <f>IF(B414="","",IF('02_대상물건입력'!B5="",1,IF(ISNUMBER(SEARCH('02_대상물건입력'!B5,B414)),1,0)))</f>
        <v/>
      </c>
      <c r="O414" s="152">
        <f>IF(B414="","",IF('02_대상물건입력'!B6="",1,IF(ISNUMBER(SEARCH('02_대상물건입력'!B6,B414)),1,0)))</f>
        <v/>
      </c>
      <c r="P414" s="152">
        <f>IF(L414="","",IF('02_대상물건입력'!B15="",0,IF(ISNUMBER(SEARCH('02_대상물건입력'!B15,L414)),1,0)))</f>
        <v/>
      </c>
      <c r="Q414" s="152">
        <f>IF(OR(C414="",L414=""),0,IF(AND(TRIM(C414)=TRIM(RIGHT(SUBSTITUTE(TRIM('02_대상물건입력'!$B$7)," ",REPT(" ",99)),99)),IF('02_대상물건입력'!B15="",TRUE(),ISNUMBER(SEARCH('02_대상물건입력'!B15,L414)))),1,0))</f>
        <v/>
      </c>
      <c r="R414" s="175">
        <f>IFERROR(ABS(E414-'02_대상물건입력'!B11)/'02_대상물건입력'!B11,"")</f>
        <v/>
      </c>
      <c r="S414" s="152">
        <f>IFERROR(ABS(J414-'02_대상물건입력'!B10),"")</f>
        <v/>
      </c>
      <c r="T414" s="152">
        <f>IFERROR(ABS('01_설정'!B4-F414),"")</f>
        <v/>
      </c>
      <c r="U414" s="152">
        <f>IFERROR(ABS(K414-YEAR('02_대상물건입력'!B14)),"")</f>
        <v/>
      </c>
      <c r="V414" s="152">
        <f>IF(B414="","",IF(AND(E414&gt;0,F414&gt;0,H414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414=1,TRUE()),R414&lt;='01_설정'!B5,S414&lt;='01_설정'!B6,T414&lt;='01_설정'!B7,U414&lt;='01_설정'!B8),"Y",""))</f>
        <v/>
      </c>
      <c r="W414" s="172">
        <f>IF(V414&lt;&gt;"Y","",MAX(0,(1-R414/'01_설정'!B5))*'01_설정'!B14+MAX(0,(1-S414/'01_설정'!B6))*'01_설정'!B15+MAX(0,(1-T414/'01_설정'!B7))*'01_설정'!B16+MAX(0,(1-U414/'01_설정'!B8))*'01_설정'!B17+O414*'01_설정'!B11+Q414*'01_설정'!B12+P414*'01_설정'!B13+IF(Z414="",0,Z414))</f>
        <v/>
      </c>
      <c r="X414" s="152">
        <f>IF(W414="","",1+COUNTIFS($W$4:$W$3003,"&gt;"&amp;W414)+COUNTIFS($W$4:W414,W414)-1)</f>
        <v/>
      </c>
      <c r="Y414" s="175">
        <f>IF(OR(I414="",'02_대상물건입력'!B19="",'02_대상물건입력'!B19&lt;=0),"",ABS(I414-'02_대상물건입력'!B19)/'02_대상물건입력'!B19)</f>
        <v/>
      </c>
      <c r="Z414" s="172">
        <f>IF(OR(Y414="",'01_설정'!B31="",'01_설정'!B31&lt;=0,'01_설정'!B32="",'01_설정'!B32&lt;=0),"",MAX(0,(1-Y414/'01_설정'!B32))*'01_설정'!B31)</f>
        <v/>
      </c>
    </row>
    <row r="415" ht="17.25" customHeight="1">
      <c r="A415" s="152">
        <f>IF(INDEX('04A_국토부원자료'!$A:$A,ROW()+1)="","",ROW()-3)</f>
        <v/>
      </c>
      <c r="B415" s="48">
        <f>IFERROR(INDEX('04A_국토부원자료'!$A:$T,ROW()+1,MATCH("시군구",'04A_국토부원자료'!$A$4:$T$4,0)),"")</f>
        <v/>
      </c>
      <c r="C415" s="48">
        <f>IF(B415="","",IFERROR(INDEX('04A_국토부원자료'!$A:$T,ROW()+1,MATCH("번지",'04A_국토부원자료'!$A$4:$T$4,0)),""))</f>
        <v/>
      </c>
      <c r="D415" s="48">
        <f>IF(B415="","",IF(Q415=1,'02_대상물건입력'!$B$8,IFERROR(INDEX('04A_국토부원자료'!$A:$T,ROW()+1,MATCH("단지명",'04A_국토부원자료'!$A$4:$T$4,0)),"")))</f>
        <v/>
      </c>
      <c r="E415" s="172">
        <f>IFERROR(VALUE(SUBSTITUTE(INDEX('04A_국토부원자료'!$A:$T,ROW()+1,MATCH("전용면적(㎡)",'04A_국토부원자료'!$A$4:$T$4,0)),",","")),"")</f>
        <v/>
      </c>
      <c r="F4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15" s="51">
        <f>IFERROR(VALUE(SUBSTITUTE(INDEX('04A_국토부원자료'!$A:$T,ROW()+1,MATCH("거래금액(만원)",'04A_국토부원자료'!$A$4:$T$4,0)),",","")),"")</f>
        <v/>
      </c>
      <c r="H415" s="174">
        <f>IF(G415="","",G415*10000)</f>
        <v/>
      </c>
      <c r="I415" s="174">
        <f>IFERROR(IF(AND(H415&gt;0,E415&gt;0),H415/E415,""),"")</f>
        <v/>
      </c>
      <c r="J415" s="152">
        <f>IFERROR(VALUE(SUBSTITUTE(INDEX('04A_국토부원자료'!$A:$T,ROW()+1,MATCH("층",'04A_국토부원자료'!$A$4:$T$4,0)),",","")),"")</f>
        <v/>
      </c>
      <c r="K415" s="152">
        <f>IFERROR(VALUE(SUBSTITUTE(INDEX('04A_국토부원자료'!$A:$T,ROW()+1,MATCH("건축년도",'04A_국토부원자료'!$A$4:$T$4,0)),",","")),"")</f>
        <v/>
      </c>
      <c r="L415" s="176">
        <f>IFERROR(INDEX('04A_국토부원자료'!$A:$T,ROW()+1,MATCH("도로명",'04A_국토부원자료'!$A$4:$T$4,0)),"")</f>
        <v/>
      </c>
      <c r="M415" s="48">
        <f>IFERROR(INDEX('04A_국토부원자료'!$A:$T,ROW()+1,MATCH("거래유형",'04A_국토부원자료'!$A$4:$T$4,0)),"")</f>
        <v/>
      </c>
      <c r="N415" s="152">
        <f>IF(B415="","",IF('02_대상물건입력'!B5="",1,IF(ISNUMBER(SEARCH('02_대상물건입력'!B5,B415)),1,0)))</f>
        <v/>
      </c>
      <c r="O415" s="152">
        <f>IF(B415="","",IF('02_대상물건입력'!B6="",1,IF(ISNUMBER(SEARCH('02_대상물건입력'!B6,B415)),1,0)))</f>
        <v/>
      </c>
      <c r="P415" s="152">
        <f>IF(L415="","",IF('02_대상물건입력'!B15="",0,IF(ISNUMBER(SEARCH('02_대상물건입력'!B15,L415)),1,0)))</f>
        <v/>
      </c>
      <c r="Q415" s="152">
        <f>IF(OR(C415="",L415=""),0,IF(AND(TRIM(C415)=TRIM(RIGHT(SUBSTITUTE(TRIM('02_대상물건입력'!$B$7)," ",REPT(" ",99)),99)),IF('02_대상물건입력'!B15="",TRUE(),ISNUMBER(SEARCH('02_대상물건입력'!B15,L415)))),1,0))</f>
        <v/>
      </c>
      <c r="R415" s="175">
        <f>IFERROR(ABS(E415-'02_대상물건입력'!B11)/'02_대상물건입력'!B11,"")</f>
        <v/>
      </c>
      <c r="S415" s="152">
        <f>IFERROR(ABS(J415-'02_대상물건입력'!B10),"")</f>
        <v/>
      </c>
      <c r="T415" s="152">
        <f>IFERROR(ABS('01_설정'!B4-F415),"")</f>
        <v/>
      </c>
      <c r="U415" s="152">
        <f>IFERROR(ABS(K415-YEAR('02_대상물건입력'!B14)),"")</f>
        <v/>
      </c>
      <c r="V415" s="152">
        <f>IF(B415="","",IF(AND(E415&gt;0,F415&gt;0,H415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415=1,TRUE()),R415&lt;='01_설정'!B5,S415&lt;='01_설정'!B6,T415&lt;='01_설정'!B7,U415&lt;='01_설정'!B8),"Y",""))</f>
        <v/>
      </c>
      <c r="W415" s="172">
        <f>IF(V415&lt;&gt;"Y","",MAX(0,(1-R415/'01_설정'!B5))*'01_설정'!B14+MAX(0,(1-S415/'01_설정'!B6))*'01_설정'!B15+MAX(0,(1-T415/'01_설정'!B7))*'01_설정'!B16+MAX(0,(1-U415/'01_설정'!B8))*'01_설정'!B17+O415*'01_설정'!B11+Q415*'01_설정'!B12+P415*'01_설정'!B13+IF(Z415="",0,Z415))</f>
        <v/>
      </c>
      <c r="X415" s="152">
        <f>IF(W415="","",1+COUNTIFS($W$4:$W$3003,"&gt;"&amp;W415)+COUNTIFS($W$4:W415,W415)-1)</f>
        <v/>
      </c>
      <c r="Y415" s="175">
        <f>IF(OR(I415="",'02_대상물건입력'!B19="",'02_대상물건입력'!B19&lt;=0),"",ABS(I415-'02_대상물건입력'!B19)/'02_대상물건입력'!B19)</f>
        <v/>
      </c>
      <c r="Z415" s="172">
        <f>IF(OR(Y415="",'01_설정'!B31="",'01_설정'!B31&lt;=0,'01_설정'!B32="",'01_설정'!B32&lt;=0),"",MAX(0,(1-Y415/'01_설정'!B32))*'01_설정'!B31)</f>
        <v/>
      </c>
    </row>
    <row r="416" ht="17.25" customHeight="1">
      <c r="A416" s="152">
        <f>IF(INDEX('04A_국토부원자료'!$A:$A,ROW()+1)="","",ROW()-3)</f>
        <v/>
      </c>
      <c r="B416" s="48">
        <f>IFERROR(INDEX('04A_국토부원자료'!$A:$T,ROW()+1,MATCH("시군구",'04A_국토부원자료'!$A$4:$T$4,0)),"")</f>
        <v/>
      </c>
      <c r="C416" s="48">
        <f>IF(B416="","",IFERROR(INDEX('04A_국토부원자료'!$A:$T,ROW()+1,MATCH("번지",'04A_국토부원자료'!$A$4:$T$4,0)),""))</f>
        <v/>
      </c>
      <c r="D416" s="48">
        <f>IF(B416="","",IF(Q416=1,'02_대상물건입력'!$B$8,IFERROR(INDEX('04A_국토부원자료'!$A:$T,ROW()+1,MATCH("단지명",'04A_국토부원자료'!$A$4:$T$4,0)),"")))</f>
        <v/>
      </c>
      <c r="E416" s="172">
        <f>IFERROR(VALUE(SUBSTITUTE(INDEX('04A_국토부원자료'!$A:$T,ROW()+1,MATCH("전용면적(㎡)",'04A_국토부원자료'!$A$4:$T$4,0)),",","")),"")</f>
        <v/>
      </c>
      <c r="F4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16" s="51">
        <f>IFERROR(VALUE(SUBSTITUTE(INDEX('04A_국토부원자료'!$A:$T,ROW()+1,MATCH("거래금액(만원)",'04A_국토부원자료'!$A$4:$T$4,0)),",","")),"")</f>
        <v/>
      </c>
      <c r="H416" s="174">
        <f>IF(G416="","",G416*10000)</f>
        <v/>
      </c>
      <c r="I416" s="174">
        <f>IFERROR(IF(AND(H416&gt;0,E416&gt;0),H416/E416,""),"")</f>
        <v/>
      </c>
      <c r="J416" s="152">
        <f>IFERROR(VALUE(SUBSTITUTE(INDEX('04A_국토부원자료'!$A:$T,ROW()+1,MATCH("층",'04A_국토부원자료'!$A$4:$T$4,0)),",","")),"")</f>
        <v/>
      </c>
      <c r="K416" s="152">
        <f>IFERROR(VALUE(SUBSTITUTE(INDEX('04A_국토부원자료'!$A:$T,ROW()+1,MATCH("건축년도",'04A_국토부원자료'!$A$4:$T$4,0)),",","")),"")</f>
        <v/>
      </c>
      <c r="L416" s="176">
        <f>IFERROR(INDEX('04A_국토부원자료'!$A:$T,ROW()+1,MATCH("도로명",'04A_국토부원자료'!$A$4:$T$4,0)),"")</f>
        <v/>
      </c>
      <c r="M416" s="48">
        <f>IFERROR(INDEX('04A_국토부원자료'!$A:$T,ROW()+1,MATCH("거래유형",'04A_국토부원자료'!$A$4:$T$4,0)),"")</f>
        <v/>
      </c>
      <c r="N416" s="152">
        <f>IF(B416="","",IF('02_대상물건입력'!B5="",1,IF(ISNUMBER(SEARCH('02_대상물건입력'!B5,B416)),1,0)))</f>
        <v/>
      </c>
      <c r="O416" s="152">
        <f>IF(B416="","",IF('02_대상물건입력'!B6="",1,IF(ISNUMBER(SEARCH('02_대상물건입력'!B6,B416)),1,0)))</f>
        <v/>
      </c>
      <c r="P416" s="152">
        <f>IF(L416="","",IF('02_대상물건입력'!B15="",0,IF(ISNUMBER(SEARCH('02_대상물건입력'!B15,L416)),1,0)))</f>
        <v/>
      </c>
      <c r="Q416" s="152">
        <f>IF(OR(C416="",L416=""),0,IF(AND(TRIM(C416)=TRIM(RIGHT(SUBSTITUTE(TRIM('02_대상물건입력'!$B$7)," ",REPT(" ",99)),99)),IF('02_대상물건입력'!B15="",TRUE(),ISNUMBER(SEARCH('02_대상물건입력'!B15,L416)))),1,0))</f>
        <v/>
      </c>
      <c r="R416" s="175">
        <f>IFERROR(ABS(E416-'02_대상물건입력'!B11)/'02_대상물건입력'!B11,"")</f>
        <v/>
      </c>
      <c r="S416" s="152">
        <f>IFERROR(ABS(J416-'02_대상물건입력'!B10),"")</f>
        <v/>
      </c>
      <c r="T416" s="152">
        <f>IFERROR(ABS('01_설정'!B4-F416),"")</f>
        <v/>
      </c>
      <c r="U416" s="152">
        <f>IFERROR(ABS(K416-YEAR('02_대상물건입력'!B14)),"")</f>
        <v/>
      </c>
      <c r="V416" s="152">
        <f>IF(B416="","",IF(AND(E416&gt;0,F416&gt;0,H416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416=1,TRUE()),R416&lt;='01_설정'!B5,S416&lt;='01_설정'!B6,T416&lt;='01_설정'!B7,U416&lt;='01_설정'!B8),"Y",""))</f>
        <v/>
      </c>
      <c r="W416" s="172">
        <f>IF(V416&lt;&gt;"Y","",MAX(0,(1-R416/'01_설정'!B5))*'01_설정'!B14+MAX(0,(1-S416/'01_설정'!B6))*'01_설정'!B15+MAX(0,(1-T416/'01_설정'!B7))*'01_설정'!B16+MAX(0,(1-U416/'01_설정'!B8))*'01_설정'!B17+O416*'01_설정'!B11+Q416*'01_설정'!B12+P416*'01_설정'!B13+IF(Z416="",0,Z416))</f>
        <v/>
      </c>
      <c r="X416" s="152">
        <f>IF(W416="","",1+COUNTIFS($W$4:$W$3003,"&gt;"&amp;W416)+COUNTIFS($W$4:W416,W416)-1)</f>
        <v/>
      </c>
      <c r="Y416" s="175">
        <f>IF(OR(I416="",'02_대상물건입력'!B19="",'02_대상물건입력'!B19&lt;=0),"",ABS(I416-'02_대상물건입력'!B19)/'02_대상물건입력'!B19)</f>
        <v/>
      </c>
      <c r="Z416" s="172">
        <f>IF(OR(Y416="",'01_설정'!B31="",'01_설정'!B31&lt;=0,'01_설정'!B32="",'01_설정'!B32&lt;=0),"",MAX(0,(1-Y416/'01_설정'!B32))*'01_설정'!B31)</f>
        <v/>
      </c>
    </row>
    <row r="417" ht="17.25" customHeight="1">
      <c r="A417" s="152">
        <f>IF(INDEX('04A_국토부원자료'!$A:$A,ROW()+1)="","",ROW()-3)</f>
        <v/>
      </c>
      <c r="B417" s="48">
        <f>IFERROR(INDEX('04A_국토부원자료'!$A:$T,ROW()+1,MATCH("시군구",'04A_국토부원자료'!$A$4:$T$4,0)),"")</f>
        <v/>
      </c>
      <c r="C417" s="48">
        <f>IF(B417="","",IFERROR(INDEX('04A_국토부원자료'!$A:$T,ROW()+1,MATCH("번지",'04A_국토부원자료'!$A$4:$T$4,0)),""))</f>
        <v/>
      </c>
      <c r="D417" s="48">
        <f>IF(B417="","",IF(Q417=1,'02_대상물건입력'!$B$8,IFERROR(INDEX('04A_국토부원자료'!$A:$T,ROW()+1,MATCH("단지명",'04A_국토부원자료'!$A$4:$T$4,0)),"")))</f>
        <v/>
      </c>
      <c r="E417" s="172">
        <f>IFERROR(VALUE(SUBSTITUTE(INDEX('04A_국토부원자료'!$A:$T,ROW()+1,MATCH("전용면적(㎡)",'04A_국토부원자료'!$A$4:$T$4,0)),",","")),"")</f>
        <v/>
      </c>
      <c r="F4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17" s="51">
        <f>IFERROR(VALUE(SUBSTITUTE(INDEX('04A_국토부원자료'!$A:$T,ROW()+1,MATCH("거래금액(만원)",'04A_국토부원자료'!$A$4:$T$4,0)),",","")),"")</f>
        <v/>
      </c>
      <c r="H417" s="174">
        <f>IF(G417="","",G417*10000)</f>
        <v/>
      </c>
      <c r="I417" s="174">
        <f>IFERROR(IF(AND(H417&gt;0,E417&gt;0),H417/E417,""),"")</f>
        <v/>
      </c>
      <c r="J417" s="152">
        <f>IFERROR(VALUE(SUBSTITUTE(INDEX('04A_국토부원자료'!$A:$T,ROW()+1,MATCH("층",'04A_국토부원자료'!$A$4:$T$4,0)),",","")),"")</f>
        <v/>
      </c>
      <c r="K417" s="152">
        <f>IFERROR(VALUE(SUBSTITUTE(INDEX('04A_국토부원자료'!$A:$T,ROW()+1,MATCH("건축년도",'04A_국토부원자료'!$A$4:$T$4,0)),",","")),"")</f>
        <v/>
      </c>
      <c r="L417" s="176">
        <f>IFERROR(INDEX('04A_국토부원자료'!$A:$T,ROW()+1,MATCH("도로명",'04A_국토부원자료'!$A$4:$T$4,0)),"")</f>
        <v/>
      </c>
      <c r="M417" s="48">
        <f>IFERROR(INDEX('04A_국토부원자료'!$A:$T,ROW()+1,MATCH("거래유형",'04A_국토부원자료'!$A$4:$T$4,0)),"")</f>
        <v/>
      </c>
      <c r="N417" s="152">
        <f>IF(B417="","",IF('02_대상물건입력'!B5="",1,IF(ISNUMBER(SEARCH('02_대상물건입력'!B5,B417)),1,0)))</f>
        <v/>
      </c>
      <c r="O417" s="152">
        <f>IF(B417="","",IF('02_대상물건입력'!B6="",1,IF(ISNUMBER(SEARCH('02_대상물건입력'!B6,B417)),1,0)))</f>
        <v/>
      </c>
      <c r="P417" s="152">
        <f>IF(L417="","",IF('02_대상물건입력'!B15="",0,IF(ISNUMBER(SEARCH('02_대상물건입력'!B15,L417)),1,0)))</f>
        <v/>
      </c>
      <c r="Q417" s="152">
        <f>IF(OR(C417="",L417=""),0,IF(AND(TRIM(C417)=TRIM(RIGHT(SUBSTITUTE(TRIM('02_대상물건입력'!$B$7)," ",REPT(" ",99)),99)),IF('02_대상물건입력'!B15="",TRUE(),ISNUMBER(SEARCH('02_대상물건입력'!B15,L417)))),1,0))</f>
        <v/>
      </c>
      <c r="R417" s="175">
        <f>IFERROR(ABS(E417-'02_대상물건입력'!B11)/'02_대상물건입력'!B11,"")</f>
        <v/>
      </c>
      <c r="S417" s="152">
        <f>IFERROR(ABS(J417-'02_대상물건입력'!B10),"")</f>
        <v/>
      </c>
      <c r="T417" s="152">
        <f>IFERROR(ABS('01_설정'!B4-F417),"")</f>
        <v/>
      </c>
      <c r="U417" s="152">
        <f>IFERROR(ABS(K417-YEAR('02_대상물건입력'!B14)),"")</f>
        <v/>
      </c>
      <c r="V417" s="152">
        <f>IF(B417="","",IF(AND(E417&gt;0,F417&gt;0,H417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417=1,TRUE()),R417&lt;='01_설정'!B5,S417&lt;='01_설정'!B6,T417&lt;='01_설정'!B7,U417&lt;='01_설정'!B8),"Y",""))</f>
        <v/>
      </c>
      <c r="W417" s="172">
        <f>IF(V417&lt;&gt;"Y","",MAX(0,(1-R417/'01_설정'!B5))*'01_설정'!B14+MAX(0,(1-S417/'01_설정'!B6))*'01_설정'!B15+MAX(0,(1-T417/'01_설정'!B7))*'01_설정'!B16+MAX(0,(1-U417/'01_설정'!B8))*'01_설정'!B17+O417*'01_설정'!B11+Q417*'01_설정'!B12+P417*'01_설정'!B13+IF(Z417="",0,Z417))</f>
        <v/>
      </c>
      <c r="X417" s="152">
        <f>IF(W417="","",1+COUNTIFS($W$4:$W$3003,"&gt;"&amp;W417)+COUNTIFS($W$4:W417,W417)-1)</f>
        <v/>
      </c>
      <c r="Y417" s="175">
        <f>IF(OR(I417="",'02_대상물건입력'!B19="",'02_대상물건입력'!B19&lt;=0),"",ABS(I417-'02_대상물건입력'!B19)/'02_대상물건입력'!B19)</f>
        <v/>
      </c>
      <c r="Z417" s="172">
        <f>IF(OR(Y417="",'01_설정'!B31="",'01_설정'!B31&lt;=0,'01_설정'!B32="",'01_설정'!B32&lt;=0),"",MAX(0,(1-Y417/'01_설정'!B32))*'01_설정'!B31)</f>
        <v/>
      </c>
    </row>
    <row r="418" ht="17.25" customHeight="1">
      <c r="A418" s="152">
        <f>IF(INDEX('04A_국토부원자료'!$A:$A,ROW()+1)="","",ROW()-3)</f>
        <v/>
      </c>
      <c r="B418" s="48">
        <f>IFERROR(INDEX('04A_국토부원자료'!$A:$T,ROW()+1,MATCH("시군구",'04A_국토부원자료'!$A$4:$T$4,0)),"")</f>
        <v/>
      </c>
      <c r="C418" s="48">
        <f>IF(B418="","",IFERROR(INDEX('04A_국토부원자료'!$A:$T,ROW()+1,MATCH("번지",'04A_국토부원자료'!$A$4:$T$4,0)),""))</f>
        <v/>
      </c>
      <c r="D418" s="48">
        <f>IF(B418="","",IF(Q418=1,'02_대상물건입력'!$B$8,IFERROR(INDEX('04A_국토부원자료'!$A:$T,ROW()+1,MATCH("단지명",'04A_국토부원자료'!$A$4:$T$4,0)),"")))</f>
        <v/>
      </c>
      <c r="E418" s="172">
        <f>IFERROR(VALUE(SUBSTITUTE(INDEX('04A_국토부원자료'!$A:$T,ROW()+1,MATCH("전용면적(㎡)",'04A_국토부원자료'!$A$4:$T$4,0)),",","")),"")</f>
        <v/>
      </c>
      <c r="F4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18" s="51">
        <f>IFERROR(VALUE(SUBSTITUTE(INDEX('04A_국토부원자료'!$A:$T,ROW()+1,MATCH("거래금액(만원)",'04A_국토부원자료'!$A$4:$T$4,0)),",","")),"")</f>
        <v/>
      </c>
      <c r="H418" s="174">
        <f>IF(G418="","",G418*10000)</f>
        <v/>
      </c>
      <c r="I418" s="174">
        <f>IFERROR(IF(AND(H418&gt;0,E418&gt;0),H418/E418,""),"")</f>
        <v/>
      </c>
      <c r="J418" s="152">
        <f>IFERROR(VALUE(SUBSTITUTE(INDEX('04A_국토부원자료'!$A:$T,ROW()+1,MATCH("층",'04A_국토부원자료'!$A$4:$T$4,0)),",","")),"")</f>
        <v/>
      </c>
      <c r="K418" s="152">
        <f>IFERROR(VALUE(SUBSTITUTE(INDEX('04A_국토부원자료'!$A:$T,ROW()+1,MATCH("건축년도",'04A_국토부원자료'!$A$4:$T$4,0)),",","")),"")</f>
        <v/>
      </c>
      <c r="L418" s="176">
        <f>IFERROR(INDEX('04A_국토부원자료'!$A:$T,ROW()+1,MATCH("도로명",'04A_국토부원자료'!$A$4:$T$4,0)),"")</f>
        <v/>
      </c>
      <c r="M418" s="48">
        <f>IFERROR(INDEX('04A_국토부원자료'!$A:$T,ROW()+1,MATCH("거래유형",'04A_국토부원자료'!$A$4:$T$4,0)),"")</f>
        <v/>
      </c>
      <c r="N418" s="152">
        <f>IF(B418="","",IF('02_대상물건입력'!B5="",1,IF(ISNUMBER(SEARCH('02_대상물건입력'!B5,B418)),1,0)))</f>
        <v/>
      </c>
      <c r="O418" s="152">
        <f>IF(B418="","",IF('02_대상물건입력'!B6="",1,IF(ISNUMBER(SEARCH('02_대상물건입력'!B6,B418)),1,0)))</f>
        <v/>
      </c>
      <c r="P418" s="152">
        <f>IF(L418="","",IF('02_대상물건입력'!B15="",0,IF(ISNUMBER(SEARCH('02_대상물건입력'!B15,L418)),1,0)))</f>
        <v/>
      </c>
      <c r="Q418" s="152">
        <f>IF(OR(C418="",L418=""),0,IF(AND(TRIM(C418)=TRIM(RIGHT(SUBSTITUTE(TRIM('02_대상물건입력'!$B$7)," ",REPT(" ",99)),99)),IF('02_대상물건입력'!B15="",TRUE(),ISNUMBER(SEARCH('02_대상물건입력'!B15,L418)))),1,0))</f>
        <v/>
      </c>
      <c r="R418" s="175">
        <f>IFERROR(ABS(E418-'02_대상물건입력'!B11)/'02_대상물건입력'!B11,"")</f>
        <v/>
      </c>
      <c r="S418" s="152">
        <f>IFERROR(ABS(J418-'02_대상물건입력'!B10),"")</f>
        <v/>
      </c>
      <c r="T418" s="152">
        <f>IFERROR(ABS('01_설정'!B4-F418),"")</f>
        <v/>
      </c>
      <c r="U418" s="152">
        <f>IFERROR(ABS(K418-YEAR('02_대상물건입력'!B14)),"")</f>
        <v/>
      </c>
      <c r="V418" s="152">
        <f>IF(B418="","",IF(AND(E418&gt;0,F418&gt;0,H418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418=1,TRUE()),R418&lt;='01_설정'!B5,S418&lt;='01_설정'!B6,T418&lt;='01_설정'!B7,U418&lt;='01_설정'!B8),"Y",""))</f>
        <v/>
      </c>
      <c r="W418" s="172">
        <f>IF(V418&lt;&gt;"Y","",MAX(0,(1-R418/'01_설정'!B5))*'01_설정'!B14+MAX(0,(1-S418/'01_설정'!B6))*'01_설정'!B15+MAX(0,(1-T418/'01_설정'!B7))*'01_설정'!B16+MAX(0,(1-U418/'01_설정'!B8))*'01_설정'!B17+O418*'01_설정'!B11+Q418*'01_설정'!B12+P418*'01_설정'!B13+IF(Z418="",0,Z418))</f>
        <v/>
      </c>
      <c r="X418" s="152">
        <f>IF(W418="","",1+COUNTIFS($W$4:$W$3003,"&gt;"&amp;W418)+COUNTIFS($W$4:W418,W418)-1)</f>
        <v/>
      </c>
      <c r="Y418" s="175">
        <f>IF(OR(I418="",'02_대상물건입력'!B19="",'02_대상물건입력'!B19&lt;=0),"",ABS(I418-'02_대상물건입력'!B19)/'02_대상물건입력'!B19)</f>
        <v/>
      </c>
      <c r="Z418" s="172">
        <f>IF(OR(Y418="",'01_설정'!B31="",'01_설정'!B31&lt;=0,'01_설정'!B32="",'01_설정'!B32&lt;=0),"",MAX(0,(1-Y418/'01_설정'!B32))*'01_설정'!B31)</f>
        <v/>
      </c>
    </row>
    <row r="419" ht="17.25" customHeight="1">
      <c r="A419" s="152">
        <f>IF(INDEX('04A_국토부원자료'!$A:$A,ROW()+1)="","",ROW()-3)</f>
        <v/>
      </c>
      <c r="B419" s="48">
        <f>IFERROR(INDEX('04A_국토부원자료'!$A:$T,ROW()+1,MATCH("시군구",'04A_국토부원자료'!$A$4:$T$4,0)),"")</f>
        <v/>
      </c>
      <c r="C419" s="48">
        <f>IF(B419="","",IFERROR(INDEX('04A_국토부원자료'!$A:$T,ROW()+1,MATCH("번지",'04A_국토부원자료'!$A$4:$T$4,0)),""))</f>
        <v/>
      </c>
      <c r="D419" s="48">
        <f>IF(B419="","",IF(Q419=1,'02_대상물건입력'!$B$8,IFERROR(INDEX('04A_국토부원자료'!$A:$T,ROW()+1,MATCH("단지명",'04A_국토부원자료'!$A$4:$T$4,0)),"")))</f>
        <v/>
      </c>
      <c r="E419" s="172">
        <f>IFERROR(VALUE(SUBSTITUTE(INDEX('04A_국토부원자료'!$A:$T,ROW()+1,MATCH("전용면적(㎡)",'04A_국토부원자료'!$A$4:$T$4,0)),",","")),"")</f>
        <v/>
      </c>
      <c r="F4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19" s="51">
        <f>IFERROR(VALUE(SUBSTITUTE(INDEX('04A_국토부원자료'!$A:$T,ROW()+1,MATCH("거래금액(만원)",'04A_국토부원자료'!$A$4:$T$4,0)),",","")),"")</f>
        <v/>
      </c>
      <c r="H419" s="174">
        <f>IF(G419="","",G419*10000)</f>
        <v/>
      </c>
      <c r="I419" s="174">
        <f>IFERROR(IF(AND(H419&gt;0,E419&gt;0),H419/E419,""),"")</f>
        <v/>
      </c>
      <c r="J419" s="152">
        <f>IFERROR(VALUE(SUBSTITUTE(INDEX('04A_국토부원자료'!$A:$T,ROW()+1,MATCH("층",'04A_국토부원자료'!$A$4:$T$4,0)),",","")),"")</f>
        <v/>
      </c>
      <c r="K419" s="152">
        <f>IFERROR(VALUE(SUBSTITUTE(INDEX('04A_국토부원자료'!$A:$T,ROW()+1,MATCH("건축년도",'04A_국토부원자료'!$A$4:$T$4,0)),",","")),"")</f>
        <v/>
      </c>
      <c r="L419" s="176">
        <f>IFERROR(INDEX('04A_국토부원자료'!$A:$T,ROW()+1,MATCH("도로명",'04A_국토부원자료'!$A$4:$T$4,0)),"")</f>
        <v/>
      </c>
      <c r="M419" s="48">
        <f>IFERROR(INDEX('04A_국토부원자료'!$A:$T,ROW()+1,MATCH("거래유형",'04A_국토부원자료'!$A$4:$T$4,0)),"")</f>
        <v/>
      </c>
      <c r="N419" s="152">
        <f>IF(B419="","",IF('02_대상물건입력'!B5="",1,IF(ISNUMBER(SEARCH('02_대상물건입력'!B5,B419)),1,0)))</f>
        <v/>
      </c>
      <c r="O419" s="152">
        <f>IF(B419="","",IF('02_대상물건입력'!B6="",1,IF(ISNUMBER(SEARCH('02_대상물건입력'!B6,B419)),1,0)))</f>
        <v/>
      </c>
      <c r="P419" s="152">
        <f>IF(L419="","",IF('02_대상물건입력'!B15="",0,IF(ISNUMBER(SEARCH('02_대상물건입력'!B15,L419)),1,0)))</f>
        <v/>
      </c>
      <c r="Q419" s="152">
        <f>IF(OR(C419="",L419=""),0,IF(AND(TRIM(C419)=TRIM(RIGHT(SUBSTITUTE(TRIM('02_대상물건입력'!$B$7)," ",REPT(" ",99)),99)),IF('02_대상물건입력'!B15="",TRUE(),ISNUMBER(SEARCH('02_대상물건입력'!B15,L419)))),1,0))</f>
        <v/>
      </c>
      <c r="R419" s="175">
        <f>IFERROR(ABS(E419-'02_대상물건입력'!B11)/'02_대상물건입력'!B11,"")</f>
        <v/>
      </c>
      <c r="S419" s="152">
        <f>IFERROR(ABS(J419-'02_대상물건입력'!B10),"")</f>
        <v/>
      </c>
      <c r="T419" s="152">
        <f>IFERROR(ABS('01_설정'!B4-F419),"")</f>
        <v/>
      </c>
      <c r="U419" s="152">
        <f>IFERROR(ABS(K419-YEAR('02_대상물건입력'!B14)),"")</f>
        <v/>
      </c>
      <c r="V419" s="152">
        <f>IF(B419="","",IF(AND(E419&gt;0,F419&gt;0,H419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419=1,TRUE()),R419&lt;='01_설정'!B5,S419&lt;='01_설정'!B6,T419&lt;='01_설정'!B7,U419&lt;='01_설정'!B8),"Y",""))</f>
        <v/>
      </c>
      <c r="W419" s="172">
        <f>IF(V419&lt;&gt;"Y","",MAX(0,(1-R419/'01_설정'!B5))*'01_설정'!B14+MAX(0,(1-S419/'01_설정'!B6))*'01_설정'!B15+MAX(0,(1-T419/'01_설정'!B7))*'01_설정'!B16+MAX(0,(1-U419/'01_설정'!B8))*'01_설정'!B17+O419*'01_설정'!B11+Q419*'01_설정'!B12+P419*'01_설정'!B13+IF(Z419="",0,Z419))</f>
        <v/>
      </c>
      <c r="X419" s="152">
        <f>IF(W419="","",1+COUNTIFS($W$4:$W$3003,"&gt;"&amp;W419)+COUNTIFS($W$4:W419,W419)-1)</f>
        <v/>
      </c>
      <c r="Y419" s="175">
        <f>IF(OR(I419="",'02_대상물건입력'!B19="",'02_대상물건입력'!B19&lt;=0),"",ABS(I419-'02_대상물건입력'!B19)/'02_대상물건입력'!B19)</f>
        <v/>
      </c>
      <c r="Z419" s="172">
        <f>IF(OR(Y419="",'01_설정'!B31="",'01_설정'!B31&lt;=0,'01_설정'!B32="",'01_설정'!B32&lt;=0),"",MAX(0,(1-Y419/'01_설정'!B32))*'01_설정'!B31)</f>
        <v/>
      </c>
    </row>
    <row r="420" ht="17.25" customHeight="1">
      <c r="A420" s="152">
        <f>IF(INDEX('04A_국토부원자료'!$A:$A,ROW()+1)="","",ROW()-3)</f>
        <v/>
      </c>
      <c r="B420" s="48">
        <f>IFERROR(INDEX('04A_국토부원자료'!$A:$T,ROW()+1,MATCH("시군구",'04A_국토부원자료'!$A$4:$T$4,0)),"")</f>
        <v/>
      </c>
      <c r="C420" s="48">
        <f>IF(B420="","",IFERROR(INDEX('04A_국토부원자료'!$A:$T,ROW()+1,MATCH("번지",'04A_국토부원자료'!$A$4:$T$4,0)),""))</f>
        <v/>
      </c>
      <c r="D420" s="48">
        <f>IF(B420="","",IF(Q420=1,'02_대상물건입력'!$B$8,IFERROR(INDEX('04A_국토부원자료'!$A:$T,ROW()+1,MATCH("단지명",'04A_국토부원자료'!$A$4:$T$4,0)),"")))</f>
        <v/>
      </c>
      <c r="E420" s="172">
        <f>IFERROR(VALUE(SUBSTITUTE(INDEX('04A_국토부원자료'!$A:$T,ROW()+1,MATCH("전용면적(㎡)",'04A_국토부원자료'!$A$4:$T$4,0)),",","")),"")</f>
        <v/>
      </c>
      <c r="F4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20" s="51">
        <f>IFERROR(VALUE(SUBSTITUTE(INDEX('04A_국토부원자료'!$A:$T,ROW()+1,MATCH("거래금액(만원)",'04A_국토부원자료'!$A$4:$T$4,0)),",","")),"")</f>
        <v/>
      </c>
      <c r="H420" s="174">
        <f>IF(G420="","",G420*10000)</f>
        <v/>
      </c>
      <c r="I420" s="174">
        <f>IFERROR(IF(AND(H420&gt;0,E420&gt;0),H420/E420,""),"")</f>
        <v/>
      </c>
      <c r="J420" s="152">
        <f>IFERROR(VALUE(SUBSTITUTE(INDEX('04A_국토부원자료'!$A:$T,ROW()+1,MATCH("층",'04A_국토부원자료'!$A$4:$T$4,0)),",","")),"")</f>
        <v/>
      </c>
      <c r="K420" s="152">
        <f>IFERROR(VALUE(SUBSTITUTE(INDEX('04A_국토부원자료'!$A:$T,ROW()+1,MATCH("건축년도",'04A_국토부원자료'!$A$4:$T$4,0)),",","")),"")</f>
        <v/>
      </c>
      <c r="L420" s="176">
        <f>IFERROR(INDEX('04A_국토부원자료'!$A:$T,ROW()+1,MATCH("도로명",'04A_국토부원자료'!$A$4:$T$4,0)),"")</f>
        <v/>
      </c>
      <c r="M420" s="48">
        <f>IFERROR(INDEX('04A_국토부원자료'!$A:$T,ROW()+1,MATCH("거래유형",'04A_국토부원자료'!$A$4:$T$4,0)),"")</f>
        <v/>
      </c>
      <c r="N420" s="152">
        <f>IF(B420="","",IF('02_대상물건입력'!B5="",1,IF(ISNUMBER(SEARCH('02_대상물건입력'!B5,B420)),1,0)))</f>
        <v/>
      </c>
      <c r="O420" s="152">
        <f>IF(B420="","",IF('02_대상물건입력'!B6="",1,IF(ISNUMBER(SEARCH('02_대상물건입력'!B6,B420)),1,0)))</f>
        <v/>
      </c>
      <c r="P420" s="152">
        <f>IF(L420="","",IF('02_대상물건입력'!B15="",0,IF(ISNUMBER(SEARCH('02_대상물건입력'!B15,L420)),1,0)))</f>
        <v/>
      </c>
      <c r="Q420" s="152">
        <f>IF(OR(C420="",L420=""),0,IF(AND(TRIM(C420)=TRIM(RIGHT(SUBSTITUTE(TRIM('02_대상물건입력'!$B$7)," ",REPT(" ",99)),99)),IF('02_대상물건입력'!B15="",TRUE(),ISNUMBER(SEARCH('02_대상물건입력'!B15,L420)))),1,0))</f>
        <v/>
      </c>
      <c r="R420" s="175">
        <f>IFERROR(ABS(E420-'02_대상물건입력'!B11)/'02_대상물건입력'!B11,"")</f>
        <v/>
      </c>
      <c r="S420" s="152">
        <f>IFERROR(ABS(J420-'02_대상물건입력'!B10),"")</f>
        <v/>
      </c>
      <c r="T420" s="152">
        <f>IFERROR(ABS('01_설정'!B4-F420),"")</f>
        <v/>
      </c>
      <c r="U420" s="152">
        <f>IFERROR(ABS(K420-YEAR('02_대상물건입력'!B14)),"")</f>
        <v/>
      </c>
      <c r="V420" s="152">
        <f>IF(B420="","",IF(AND(E420&gt;0,F420&gt;0,H420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420=1,TRUE()),R420&lt;='01_설정'!B5,S420&lt;='01_설정'!B6,T420&lt;='01_설정'!B7,U420&lt;='01_설정'!B8),"Y",""))</f>
        <v/>
      </c>
      <c r="W420" s="172">
        <f>IF(V420&lt;&gt;"Y","",MAX(0,(1-R420/'01_설정'!B5))*'01_설정'!B14+MAX(0,(1-S420/'01_설정'!B6))*'01_설정'!B15+MAX(0,(1-T420/'01_설정'!B7))*'01_설정'!B16+MAX(0,(1-U420/'01_설정'!B8))*'01_설정'!B17+O420*'01_설정'!B11+Q420*'01_설정'!B12+P420*'01_설정'!B13+IF(Z420="",0,Z420))</f>
        <v/>
      </c>
      <c r="X420" s="152">
        <f>IF(W420="","",1+COUNTIFS($W$4:$W$3003,"&gt;"&amp;W420)+COUNTIFS($W$4:W420,W420)-1)</f>
        <v/>
      </c>
      <c r="Y420" s="175">
        <f>IF(OR(I420="",'02_대상물건입력'!B19="",'02_대상물건입력'!B19&lt;=0),"",ABS(I420-'02_대상물건입력'!B19)/'02_대상물건입력'!B19)</f>
        <v/>
      </c>
      <c r="Z420" s="172">
        <f>IF(OR(Y420="",'01_설정'!B31="",'01_설정'!B31&lt;=0,'01_설정'!B32="",'01_설정'!B32&lt;=0),"",MAX(0,(1-Y420/'01_설정'!B32))*'01_설정'!B31)</f>
        <v/>
      </c>
    </row>
    <row r="421" ht="17.25" customHeight="1">
      <c r="A421" s="152">
        <f>IF(INDEX('04A_국토부원자료'!$A:$A,ROW()+1)="","",ROW()-3)</f>
        <v/>
      </c>
      <c r="B421" s="48">
        <f>IFERROR(INDEX('04A_국토부원자료'!$A:$T,ROW()+1,MATCH("시군구",'04A_국토부원자료'!$A$4:$T$4,0)),"")</f>
        <v/>
      </c>
      <c r="C421" s="48">
        <f>IF(B421="","",IFERROR(INDEX('04A_국토부원자료'!$A:$T,ROW()+1,MATCH("번지",'04A_국토부원자료'!$A$4:$T$4,0)),""))</f>
        <v/>
      </c>
      <c r="D421" s="48">
        <f>IF(B421="","",IF(Q421=1,'02_대상물건입력'!$B$8,IFERROR(INDEX('04A_국토부원자료'!$A:$T,ROW()+1,MATCH("단지명",'04A_국토부원자료'!$A$4:$T$4,0)),"")))</f>
        <v/>
      </c>
      <c r="E421" s="172">
        <f>IFERROR(VALUE(SUBSTITUTE(INDEX('04A_국토부원자료'!$A:$T,ROW()+1,MATCH("전용면적(㎡)",'04A_국토부원자료'!$A$4:$T$4,0)),",","")),"")</f>
        <v/>
      </c>
      <c r="F4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21" s="51">
        <f>IFERROR(VALUE(SUBSTITUTE(INDEX('04A_국토부원자료'!$A:$T,ROW()+1,MATCH("거래금액(만원)",'04A_국토부원자료'!$A$4:$T$4,0)),",","")),"")</f>
        <v/>
      </c>
      <c r="H421" s="174">
        <f>IF(G421="","",G421*10000)</f>
        <v/>
      </c>
      <c r="I421" s="174">
        <f>IFERROR(IF(AND(H421&gt;0,E421&gt;0),H421/E421,""),"")</f>
        <v/>
      </c>
      <c r="J421" s="152">
        <f>IFERROR(VALUE(SUBSTITUTE(INDEX('04A_국토부원자료'!$A:$T,ROW()+1,MATCH("층",'04A_국토부원자료'!$A$4:$T$4,0)),",","")),"")</f>
        <v/>
      </c>
      <c r="K421" s="152">
        <f>IFERROR(VALUE(SUBSTITUTE(INDEX('04A_국토부원자료'!$A:$T,ROW()+1,MATCH("건축년도",'04A_국토부원자료'!$A$4:$T$4,0)),",","")),"")</f>
        <v/>
      </c>
      <c r="L421" s="176">
        <f>IFERROR(INDEX('04A_국토부원자료'!$A:$T,ROW()+1,MATCH("도로명",'04A_국토부원자료'!$A$4:$T$4,0)),"")</f>
        <v/>
      </c>
      <c r="M421" s="48">
        <f>IFERROR(INDEX('04A_국토부원자료'!$A:$T,ROW()+1,MATCH("거래유형",'04A_국토부원자료'!$A$4:$T$4,0)),"")</f>
        <v/>
      </c>
      <c r="N421" s="152">
        <f>IF(B421="","",IF('02_대상물건입력'!B5="",1,IF(ISNUMBER(SEARCH('02_대상물건입력'!B5,B421)),1,0)))</f>
        <v/>
      </c>
      <c r="O421" s="152">
        <f>IF(B421="","",IF('02_대상물건입력'!B6="",1,IF(ISNUMBER(SEARCH('02_대상물건입력'!B6,B421)),1,0)))</f>
        <v/>
      </c>
      <c r="P421" s="152">
        <f>IF(L421="","",IF('02_대상물건입력'!B15="",0,IF(ISNUMBER(SEARCH('02_대상물건입력'!B15,L421)),1,0)))</f>
        <v/>
      </c>
      <c r="Q421" s="152">
        <f>IF(OR(C421="",L421=""),0,IF(AND(TRIM(C421)=TRIM(RIGHT(SUBSTITUTE(TRIM('02_대상물건입력'!$B$7)," ",REPT(" ",99)),99)),IF('02_대상물건입력'!B15="",TRUE(),ISNUMBER(SEARCH('02_대상물건입력'!B15,L421)))),1,0))</f>
        <v/>
      </c>
      <c r="R421" s="175">
        <f>IFERROR(ABS(E421-'02_대상물건입력'!B11)/'02_대상물건입력'!B11,"")</f>
        <v/>
      </c>
      <c r="S421" s="152">
        <f>IFERROR(ABS(J421-'02_대상물건입력'!B10),"")</f>
        <v/>
      </c>
      <c r="T421" s="152">
        <f>IFERROR(ABS('01_설정'!B4-F421),"")</f>
        <v/>
      </c>
      <c r="U421" s="152">
        <f>IFERROR(ABS(K421-YEAR('02_대상물건입력'!B14)),"")</f>
        <v/>
      </c>
      <c r="V421" s="152">
        <f>IF(B421="","",IF(AND(E421&gt;0,F421&gt;0,H421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421=1,TRUE()),R421&lt;='01_설정'!B5,S421&lt;='01_설정'!B6,T421&lt;='01_설정'!B7,U421&lt;='01_설정'!B8),"Y",""))</f>
        <v/>
      </c>
      <c r="W421" s="172">
        <f>IF(V421&lt;&gt;"Y","",MAX(0,(1-R421/'01_설정'!B5))*'01_설정'!B14+MAX(0,(1-S421/'01_설정'!B6))*'01_설정'!B15+MAX(0,(1-T421/'01_설정'!B7))*'01_설정'!B16+MAX(0,(1-U421/'01_설정'!B8))*'01_설정'!B17+O421*'01_설정'!B11+Q421*'01_설정'!B12+P421*'01_설정'!B13+IF(Z421="",0,Z421))</f>
        <v/>
      </c>
      <c r="X421" s="152">
        <f>IF(W421="","",1+COUNTIFS($W$4:$W$3003,"&gt;"&amp;W421)+COUNTIFS($W$4:W421,W421)-1)</f>
        <v/>
      </c>
      <c r="Y421" s="175">
        <f>IF(OR(I421="",'02_대상물건입력'!B19="",'02_대상물건입력'!B19&lt;=0),"",ABS(I421-'02_대상물건입력'!B19)/'02_대상물건입력'!B19)</f>
        <v/>
      </c>
      <c r="Z421" s="172">
        <f>IF(OR(Y421="",'01_설정'!B31="",'01_설정'!B31&lt;=0,'01_설정'!B32="",'01_설정'!B32&lt;=0),"",MAX(0,(1-Y421/'01_설정'!B32))*'01_설정'!B31)</f>
        <v/>
      </c>
    </row>
    <row r="422" ht="17.25" customHeight="1">
      <c r="A422" s="152">
        <f>IF(INDEX('04A_국토부원자료'!$A:$A,ROW()+1)="","",ROW()-3)</f>
        <v/>
      </c>
      <c r="B422" s="48">
        <f>IFERROR(INDEX('04A_국토부원자료'!$A:$T,ROW()+1,MATCH("시군구",'04A_국토부원자료'!$A$4:$T$4,0)),"")</f>
        <v/>
      </c>
      <c r="C422" s="48">
        <f>IF(B422="","",IFERROR(INDEX('04A_국토부원자료'!$A:$T,ROW()+1,MATCH("번지",'04A_국토부원자료'!$A$4:$T$4,0)),""))</f>
        <v/>
      </c>
      <c r="D422" s="48">
        <f>IF(B422="","",IF(Q422=1,'02_대상물건입력'!$B$8,IFERROR(INDEX('04A_국토부원자료'!$A:$T,ROW()+1,MATCH("단지명",'04A_국토부원자료'!$A$4:$T$4,0)),"")))</f>
        <v/>
      </c>
      <c r="E422" s="172">
        <f>IFERROR(VALUE(SUBSTITUTE(INDEX('04A_국토부원자료'!$A:$T,ROW()+1,MATCH("전용면적(㎡)",'04A_국토부원자료'!$A$4:$T$4,0)),",","")),"")</f>
        <v/>
      </c>
      <c r="F4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22" s="51">
        <f>IFERROR(VALUE(SUBSTITUTE(INDEX('04A_국토부원자료'!$A:$T,ROW()+1,MATCH("거래금액(만원)",'04A_국토부원자료'!$A$4:$T$4,0)),",","")),"")</f>
        <v/>
      </c>
      <c r="H422" s="174">
        <f>IF(G422="","",G422*10000)</f>
        <v/>
      </c>
      <c r="I422" s="174">
        <f>IFERROR(IF(AND(H422&gt;0,E422&gt;0),H422/E422,""),"")</f>
        <v/>
      </c>
      <c r="J422" s="152">
        <f>IFERROR(VALUE(SUBSTITUTE(INDEX('04A_국토부원자료'!$A:$T,ROW()+1,MATCH("층",'04A_국토부원자료'!$A$4:$T$4,0)),",","")),"")</f>
        <v/>
      </c>
      <c r="K422" s="152">
        <f>IFERROR(VALUE(SUBSTITUTE(INDEX('04A_국토부원자료'!$A:$T,ROW()+1,MATCH("건축년도",'04A_국토부원자료'!$A$4:$T$4,0)),",","")),"")</f>
        <v/>
      </c>
      <c r="L422" s="176">
        <f>IFERROR(INDEX('04A_국토부원자료'!$A:$T,ROW()+1,MATCH("도로명",'04A_국토부원자료'!$A$4:$T$4,0)),"")</f>
        <v/>
      </c>
      <c r="M422" s="48">
        <f>IFERROR(INDEX('04A_국토부원자료'!$A:$T,ROW()+1,MATCH("거래유형",'04A_국토부원자료'!$A$4:$T$4,0)),"")</f>
        <v/>
      </c>
      <c r="N422" s="152">
        <f>IF(B422="","",IF('02_대상물건입력'!B5="",1,IF(ISNUMBER(SEARCH('02_대상물건입력'!B5,B422)),1,0)))</f>
        <v/>
      </c>
      <c r="O422" s="152">
        <f>IF(B422="","",IF('02_대상물건입력'!B6="",1,IF(ISNUMBER(SEARCH('02_대상물건입력'!B6,B422)),1,0)))</f>
        <v/>
      </c>
      <c r="P422" s="152">
        <f>IF(L422="","",IF('02_대상물건입력'!B15="",0,IF(ISNUMBER(SEARCH('02_대상물건입력'!B15,L422)),1,0)))</f>
        <v/>
      </c>
      <c r="Q422" s="152">
        <f>IF(OR(C422="",L422=""),0,IF(AND(TRIM(C422)=TRIM(RIGHT(SUBSTITUTE(TRIM('02_대상물건입력'!$B$7)," ",REPT(" ",99)),99)),IF('02_대상물건입력'!B15="",TRUE(),ISNUMBER(SEARCH('02_대상물건입력'!B15,L422)))),1,0))</f>
        <v/>
      </c>
      <c r="R422" s="175">
        <f>IFERROR(ABS(E422-'02_대상물건입력'!B11)/'02_대상물건입력'!B11,"")</f>
        <v/>
      </c>
      <c r="S422" s="152">
        <f>IFERROR(ABS(J422-'02_대상물건입력'!B10),"")</f>
        <v/>
      </c>
      <c r="T422" s="152">
        <f>IFERROR(ABS('01_설정'!B4-F422),"")</f>
        <v/>
      </c>
      <c r="U422" s="152">
        <f>IFERROR(ABS(K422-YEAR('02_대상물건입력'!B14)),"")</f>
        <v/>
      </c>
      <c r="V422" s="152">
        <f>IF(B422="","",IF(AND(E422&gt;0,F422&gt;0,H422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422=1,TRUE()),R422&lt;='01_설정'!B5,S422&lt;='01_설정'!B6,T422&lt;='01_설정'!B7,U422&lt;='01_설정'!B8),"Y",""))</f>
        <v/>
      </c>
      <c r="W422" s="172">
        <f>IF(V422&lt;&gt;"Y","",MAX(0,(1-R422/'01_설정'!B5))*'01_설정'!B14+MAX(0,(1-S422/'01_설정'!B6))*'01_설정'!B15+MAX(0,(1-T422/'01_설정'!B7))*'01_설정'!B16+MAX(0,(1-U422/'01_설정'!B8))*'01_설정'!B17+O422*'01_설정'!B11+Q422*'01_설정'!B12+P422*'01_설정'!B13+IF(Z422="",0,Z422))</f>
        <v/>
      </c>
      <c r="X422" s="152">
        <f>IF(W422="","",1+COUNTIFS($W$4:$W$3003,"&gt;"&amp;W422)+COUNTIFS($W$4:W422,W422)-1)</f>
        <v/>
      </c>
      <c r="Y422" s="175">
        <f>IF(OR(I422="",'02_대상물건입력'!B19="",'02_대상물건입력'!B19&lt;=0),"",ABS(I422-'02_대상물건입력'!B19)/'02_대상물건입력'!B19)</f>
        <v/>
      </c>
      <c r="Z422" s="172">
        <f>IF(OR(Y422="",'01_설정'!B31="",'01_설정'!B31&lt;=0,'01_설정'!B32="",'01_설정'!B32&lt;=0),"",MAX(0,(1-Y422/'01_설정'!B32))*'01_설정'!B31)</f>
        <v/>
      </c>
    </row>
    <row r="423" ht="17.25" customHeight="1">
      <c r="A423" s="152">
        <f>IF(INDEX('04A_국토부원자료'!$A:$A,ROW()+1)="","",ROW()-3)</f>
        <v/>
      </c>
      <c r="B423" s="48">
        <f>IFERROR(INDEX('04A_국토부원자료'!$A:$T,ROW()+1,MATCH("시군구",'04A_국토부원자료'!$A$4:$T$4,0)),"")</f>
        <v/>
      </c>
      <c r="C423" s="48">
        <f>IF(B423="","",IFERROR(INDEX('04A_국토부원자료'!$A:$T,ROW()+1,MATCH("번지",'04A_국토부원자료'!$A$4:$T$4,0)),""))</f>
        <v/>
      </c>
      <c r="D423" s="48">
        <f>IF(B423="","",IF(Q423=1,'02_대상물건입력'!$B$8,IFERROR(INDEX('04A_국토부원자료'!$A:$T,ROW()+1,MATCH("단지명",'04A_국토부원자료'!$A$4:$T$4,0)),"")))</f>
        <v/>
      </c>
      <c r="E423" s="172">
        <f>IFERROR(VALUE(SUBSTITUTE(INDEX('04A_국토부원자료'!$A:$T,ROW()+1,MATCH("전용면적(㎡)",'04A_국토부원자료'!$A$4:$T$4,0)),",","")),"")</f>
        <v/>
      </c>
      <c r="F4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23" s="51">
        <f>IFERROR(VALUE(SUBSTITUTE(INDEX('04A_국토부원자료'!$A:$T,ROW()+1,MATCH("거래금액(만원)",'04A_국토부원자료'!$A$4:$T$4,0)),",","")),"")</f>
        <v/>
      </c>
      <c r="H423" s="174">
        <f>IF(G423="","",G423*10000)</f>
        <v/>
      </c>
      <c r="I423" s="174">
        <f>IFERROR(IF(AND(H423&gt;0,E423&gt;0),H423/E423,""),"")</f>
        <v/>
      </c>
      <c r="J423" s="152">
        <f>IFERROR(VALUE(SUBSTITUTE(INDEX('04A_국토부원자료'!$A:$T,ROW()+1,MATCH("층",'04A_국토부원자료'!$A$4:$T$4,0)),",","")),"")</f>
        <v/>
      </c>
      <c r="K423" s="152">
        <f>IFERROR(VALUE(SUBSTITUTE(INDEX('04A_국토부원자료'!$A:$T,ROW()+1,MATCH("건축년도",'04A_국토부원자료'!$A$4:$T$4,0)),",","")),"")</f>
        <v/>
      </c>
      <c r="L423" s="176">
        <f>IFERROR(INDEX('04A_국토부원자료'!$A:$T,ROW()+1,MATCH("도로명",'04A_국토부원자료'!$A$4:$T$4,0)),"")</f>
        <v/>
      </c>
      <c r="M423" s="48">
        <f>IFERROR(INDEX('04A_국토부원자료'!$A:$T,ROW()+1,MATCH("거래유형",'04A_국토부원자료'!$A$4:$T$4,0)),"")</f>
        <v/>
      </c>
      <c r="N423" s="152">
        <f>IF(B423="","",IF('02_대상물건입력'!B5="",1,IF(ISNUMBER(SEARCH('02_대상물건입력'!B5,B423)),1,0)))</f>
        <v/>
      </c>
      <c r="O423" s="152">
        <f>IF(B423="","",IF('02_대상물건입력'!B6="",1,IF(ISNUMBER(SEARCH('02_대상물건입력'!B6,B423)),1,0)))</f>
        <v/>
      </c>
      <c r="P423" s="152">
        <f>IF(L423="","",IF('02_대상물건입력'!B15="",0,IF(ISNUMBER(SEARCH('02_대상물건입력'!B15,L423)),1,0)))</f>
        <v/>
      </c>
      <c r="Q423" s="152">
        <f>IF(OR(C423="",L423=""),0,IF(AND(TRIM(C423)=TRIM(RIGHT(SUBSTITUTE(TRIM('02_대상물건입력'!$B$7)," ",REPT(" ",99)),99)),IF('02_대상물건입력'!B15="",TRUE(),ISNUMBER(SEARCH('02_대상물건입력'!B15,L423)))),1,0))</f>
        <v/>
      </c>
      <c r="R423" s="175">
        <f>IFERROR(ABS(E423-'02_대상물건입력'!B11)/'02_대상물건입력'!B11,"")</f>
        <v/>
      </c>
      <c r="S423" s="152">
        <f>IFERROR(ABS(J423-'02_대상물건입력'!B10),"")</f>
        <v/>
      </c>
      <c r="T423" s="152">
        <f>IFERROR(ABS('01_설정'!B4-F423),"")</f>
        <v/>
      </c>
      <c r="U423" s="152">
        <f>IFERROR(ABS(K423-YEAR('02_대상물건입력'!B14)),"")</f>
        <v/>
      </c>
      <c r="V423" s="152">
        <f>IF(B423="","",IF(AND(E423&gt;0,F423&gt;0,H423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423=1,TRUE()),R423&lt;='01_설정'!B5,S423&lt;='01_설정'!B6,T423&lt;='01_설정'!B7,U423&lt;='01_설정'!B8),"Y",""))</f>
        <v/>
      </c>
      <c r="W423" s="172">
        <f>IF(V423&lt;&gt;"Y","",MAX(0,(1-R423/'01_설정'!B5))*'01_설정'!B14+MAX(0,(1-S423/'01_설정'!B6))*'01_설정'!B15+MAX(0,(1-T423/'01_설정'!B7))*'01_설정'!B16+MAX(0,(1-U423/'01_설정'!B8))*'01_설정'!B17+O423*'01_설정'!B11+Q423*'01_설정'!B12+P423*'01_설정'!B13+IF(Z423="",0,Z423))</f>
        <v/>
      </c>
      <c r="X423" s="152">
        <f>IF(W423="","",1+COUNTIFS($W$4:$W$3003,"&gt;"&amp;W423)+COUNTIFS($W$4:W423,W423)-1)</f>
        <v/>
      </c>
      <c r="Y423" s="175">
        <f>IF(OR(I423="",'02_대상물건입력'!B19="",'02_대상물건입력'!B19&lt;=0),"",ABS(I423-'02_대상물건입력'!B19)/'02_대상물건입력'!B19)</f>
        <v/>
      </c>
      <c r="Z423" s="172">
        <f>IF(OR(Y423="",'01_설정'!B31="",'01_설정'!B31&lt;=0,'01_설정'!B32="",'01_설정'!B32&lt;=0),"",MAX(0,(1-Y423/'01_설정'!B32))*'01_설정'!B31)</f>
        <v/>
      </c>
    </row>
    <row r="424" ht="17.25" customHeight="1">
      <c r="A424" s="152">
        <f>IF(INDEX('04A_국토부원자료'!$A:$A,ROW()+1)="","",ROW()-3)</f>
        <v/>
      </c>
      <c r="B424" s="48">
        <f>IFERROR(INDEX('04A_국토부원자료'!$A:$T,ROW()+1,MATCH("시군구",'04A_국토부원자료'!$A$4:$T$4,0)),"")</f>
        <v/>
      </c>
      <c r="C424" s="48">
        <f>IF(B424="","",IFERROR(INDEX('04A_국토부원자료'!$A:$T,ROW()+1,MATCH("번지",'04A_국토부원자료'!$A$4:$T$4,0)),""))</f>
        <v/>
      </c>
      <c r="D424" s="48">
        <f>IF(B424="","",IF(Q424=1,'02_대상물건입력'!$B$8,IFERROR(INDEX('04A_국토부원자료'!$A:$T,ROW()+1,MATCH("단지명",'04A_국토부원자료'!$A$4:$T$4,0)),"")))</f>
        <v/>
      </c>
      <c r="E424" s="172">
        <f>IFERROR(VALUE(SUBSTITUTE(INDEX('04A_국토부원자료'!$A:$T,ROW()+1,MATCH("전용면적(㎡)",'04A_국토부원자료'!$A$4:$T$4,0)),",","")),"")</f>
        <v/>
      </c>
      <c r="F4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24" s="51">
        <f>IFERROR(VALUE(SUBSTITUTE(INDEX('04A_국토부원자료'!$A:$T,ROW()+1,MATCH("거래금액(만원)",'04A_국토부원자료'!$A$4:$T$4,0)),",","")),"")</f>
        <v/>
      </c>
      <c r="H424" s="174">
        <f>IF(G424="","",G424*10000)</f>
        <v/>
      </c>
      <c r="I424" s="174">
        <f>IFERROR(IF(AND(H424&gt;0,E424&gt;0),H424/E424,""),"")</f>
        <v/>
      </c>
      <c r="J424" s="152">
        <f>IFERROR(VALUE(SUBSTITUTE(INDEX('04A_국토부원자료'!$A:$T,ROW()+1,MATCH("층",'04A_국토부원자료'!$A$4:$T$4,0)),",","")),"")</f>
        <v/>
      </c>
      <c r="K424" s="152">
        <f>IFERROR(VALUE(SUBSTITUTE(INDEX('04A_국토부원자료'!$A:$T,ROW()+1,MATCH("건축년도",'04A_국토부원자료'!$A$4:$T$4,0)),",","")),"")</f>
        <v/>
      </c>
      <c r="L424" s="176">
        <f>IFERROR(INDEX('04A_국토부원자료'!$A:$T,ROW()+1,MATCH("도로명",'04A_국토부원자료'!$A$4:$T$4,0)),"")</f>
        <v/>
      </c>
      <c r="M424" s="48">
        <f>IFERROR(INDEX('04A_국토부원자료'!$A:$T,ROW()+1,MATCH("거래유형",'04A_국토부원자료'!$A$4:$T$4,0)),"")</f>
        <v/>
      </c>
      <c r="N424" s="152">
        <f>IF(B424="","",IF('02_대상물건입력'!B5="",1,IF(ISNUMBER(SEARCH('02_대상물건입력'!B5,B424)),1,0)))</f>
        <v/>
      </c>
      <c r="O424" s="152">
        <f>IF(B424="","",IF('02_대상물건입력'!B6="",1,IF(ISNUMBER(SEARCH('02_대상물건입력'!B6,B424)),1,0)))</f>
        <v/>
      </c>
      <c r="P424" s="152">
        <f>IF(L424="","",IF('02_대상물건입력'!B15="",0,IF(ISNUMBER(SEARCH('02_대상물건입력'!B15,L424)),1,0)))</f>
        <v/>
      </c>
      <c r="Q424" s="152">
        <f>IF(OR(C424="",L424=""),0,IF(AND(TRIM(C424)=TRIM(RIGHT(SUBSTITUTE(TRIM('02_대상물건입력'!$B$7)," ",REPT(" ",99)),99)),IF('02_대상물건입력'!B15="",TRUE(),ISNUMBER(SEARCH('02_대상물건입력'!B15,L424)))),1,0))</f>
        <v/>
      </c>
      <c r="R424" s="175">
        <f>IFERROR(ABS(E424-'02_대상물건입력'!B11)/'02_대상물건입력'!B11,"")</f>
        <v/>
      </c>
      <c r="S424" s="152">
        <f>IFERROR(ABS(J424-'02_대상물건입력'!B10),"")</f>
        <v/>
      </c>
      <c r="T424" s="152">
        <f>IFERROR(ABS('01_설정'!B4-F424),"")</f>
        <v/>
      </c>
      <c r="U424" s="152">
        <f>IFERROR(ABS(K424-YEAR('02_대상물건입력'!B14)),"")</f>
        <v/>
      </c>
      <c r="V424" s="152">
        <f>IF(B424="","",IF(AND(E424&gt;0,F424&gt;0,H424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424=1,TRUE()),R424&lt;='01_설정'!B5,S424&lt;='01_설정'!B6,T424&lt;='01_설정'!B7,U424&lt;='01_설정'!B8),"Y",""))</f>
        <v/>
      </c>
      <c r="W424" s="172">
        <f>IF(V424&lt;&gt;"Y","",MAX(0,(1-R424/'01_설정'!B5))*'01_설정'!B14+MAX(0,(1-S424/'01_설정'!B6))*'01_설정'!B15+MAX(0,(1-T424/'01_설정'!B7))*'01_설정'!B16+MAX(0,(1-U424/'01_설정'!B8))*'01_설정'!B17+O424*'01_설정'!B11+Q424*'01_설정'!B12+P424*'01_설정'!B13+IF(Z424="",0,Z424))</f>
        <v/>
      </c>
      <c r="X424" s="152">
        <f>IF(W424="","",1+COUNTIFS($W$4:$W$3003,"&gt;"&amp;W424)+COUNTIFS($W$4:W424,W424)-1)</f>
        <v/>
      </c>
      <c r="Y424" s="175">
        <f>IF(OR(I424="",'02_대상물건입력'!B19="",'02_대상물건입력'!B19&lt;=0),"",ABS(I424-'02_대상물건입력'!B19)/'02_대상물건입력'!B19)</f>
        <v/>
      </c>
      <c r="Z424" s="172">
        <f>IF(OR(Y424="",'01_설정'!B31="",'01_설정'!B31&lt;=0,'01_설정'!B32="",'01_설정'!B32&lt;=0),"",MAX(0,(1-Y424/'01_설정'!B32))*'01_설정'!B31)</f>
        <v/>
      </c>
    </row>
    <row r="425" ht="17.25" customHeight="1">
      <c r="A425" s="152">
        <f>IF(INDEX('04A_국토부원자료'!$A:$A,ROW()+1)="","",ROW()-3)</f>
        <v/>
      </c>
      <c r="B425" s="48">
        <f>IFERROR(INDEX('04A_국토부원자료'!$A:$T,ROW()+1,MATCH("시군구",'04A_국토부원자료'!$A$4:$T$4,0)),"")</f>
        <v/>
      </c>
      <c r="C425" s="48">
        <f>IF(B425="","",IFERROR(INDEX('04A_국토부원자료'!$A:$T,ROW()+1,MATCH("번지",'04A_국토부원자료'!$A$4:$T$4,0)),""))</f>
        <v/>
      </c>
      <c r="D425" s="48">
        <f>IF(B425="","",IF(Q425=1,'02_대상물건입력'!$B$8,IFERROR(INDEX('04A_국토부원자료'!$A:$T,ROW()+1,MATCH("단지명",'04A_국토부원자료'!$A$4:$T$4,0)),"")))</f>
        <v/>
      </c>
      <c r="E425" s="172">
        <f>IFERROR(VALUE(SUBSTITUTE(INDEX('04A_국토부원자료'!$A:$T,ROW()+1,MATCH("전용면적(㎡)",'04A_국토부원자료'!$A$4:$T$4,0)),",","")),"")</f>
        <v/>
      </c>
      <c r="F4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25" s="51">
        <f>IFERROR(VALUE(SUBSTITUTE(INDEX('04A_국토부원자료'!$A:$T,ROW()+1,MATCH("거래금액(만원)",'04A_국토부원자료'!$A$4:$T$4,0)),",","")),"")</f>
        <v/>
      </c>
      <c r="H425" s="174">
        <f>IF(G425="","",G425*10000)</f>
        <v/>
      </c>
      <c r="I425" s="174">
        <f>IFERROR(IF(AND(H425&gt;0,E425&gt;0),H425/E425,""),"")</f>
        <v/>
      </c>
      <c r="J425" s="152">
        <f>IFERROR(VALUE(SUBSTITUTE(INDEX('04A_국토부원자료'!$A:$T,ROW()+1,MATCH("층",'04A_국토부원자료'!$A$4:$T$4,0)),",","")),"")</f>
        <v/>
      </c>
      <c r="K425" s="152">
        <f>IFERROR(VALUE(SUBSTITUTE(INDEX('04A_국토부원자료'!$A:$T,ROW()+1,MATCH("건축년도",'04A_국토부원자료'!$A$4:$T$4,0)),",","")),"")</f>
        <v/>
      </c>
      <c r="L425" s="176">
        <f>IFERROR(INDEX('04A_국토부원자료'!$A:$T,ROW()+1,MATCH("도로명",'04A_국토부원자료'!$A$4:$T$4,0)),"")</f>
        <v/>
      </c>
      <c r="M425" s="48">
        <f>IFERROR(INDEX('04A_국토부원자료'!$A:$T,ROW()+1,MATCH("거래유형",'04A_국토부원자료'!$A$4:$T$4,0)),"")</f>
        <v/>
      </c>
      <c r="N425" s="152">
        <f>IF(B425="","",IF('02_대상물건입력'!B5="",1,IF(ISNUMBER(SEARCH('02_대상물건입력'!B5,B425)),1,0)))</f>
        <v/>
      </c>
      <c r="O425" s="152">
        <f>IF(B425="","",IF('02_대상물건입력'!B6="",1,IF(ISNUMBER(SEARCH('02_대상물건입력'!B6,B425)),1,0)))</f>
        <v/>
      </c>
      <c r="P425" s="152">
        <f>IF(L425="","",IF('02_대상물건입력'!B15="",0,IF(ISNUMBER(SEARCH('02_대상물건입력'!B15,L425)),1,0)))</f>
        <v/>
      </c>
      <c r="Q425" s="152">
        <f>IF(OR(C425="",L425=""),0,IF(AND(TRIM(C425)=TRIM(RIGHT(SUBSTITUTE(TRIM('02_대상물건입력'!$B$7)," ",REPT(" ",99)),99)),IF('02_대상물건입력'!B15="",TRUE(),ISNUMBER(SEARCH('02_대상물건입력'!B15,L425)))),1,0))</f>
        <v/>
      </c>
      <c r="R425" s="175">
        <f>IFERROR(ABS(E425-'02_대상물건입력'!B11)/'02_대상물건입력'!B11,"")</f>
        <v/>
      </c>
      <c r="S425" s="152">
        <f>IFERROR(ABS(J425-'02_대상물건입력'!B10),"")</f>
        <v/>
      </c>
      <c r="T425" s="152">
        <f>IFERROR(ABS('01_설정'!B4-F425),"")</f>
        <v/>
      </c>
      <c r="U425" s="152">
        <f>IFERROR(ABS(K425-YEAR('02_대상물건입력'!B14)),"")</f>
        <v/>
      </c>
      <c r="V425" s="152">
        <f>IF(B425="","",IF(AND(E425&gt;0,F425&gt;0,H425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425=1,TRUE()),R425&lt;='01_설정'!B5,S425&lt;='01_설정'!B6,T425&lt;='01_설정'!B7,U425&lt;='01_설정'!B8),"Y",""))</f>
        <v/>
      </c>
      <c r="W425" s="172">
        <f>IF(V425&lt;&gt;"Y","",MAX(0,(1-R425/'01_설정'!B5))*'01_설정'!B14+MAX(0,(1-S425/'01_설정'!B6))*'01_설정'!B15+MAX(0,(1-T425/'01_설정'!B7))*'01_설정'!B16+MAX(0,(1-U425/'01_설정'!B8))*'01_설정'!B17+O425*'01_설정'!B11+Q425*'01_설정'!B12+P425*'01_설정'!B13+IF(Z425="",0,Z425))</f>
        <v/>
      </c>
      <c r="X425" s="152">
        <f>IF(W425="","",1+COUNTIFS($W$4:$W$3003,"&gt;"&amp;W425)+COUNTIFS($W$4:W425,W425)-1)</f>
        <v/>
      </c>
      <c r="Y425" s="175">
        <f>IF(OR(I425="",'02_대상물건입력'!B19="",'02_대상물건입력'!B19&lt;=0),"",ABS(I425-'02_대상물건입력'!B19)/'02_대상물건입력'!B19)</f>
        <v/>
      </c>
      <c r="Z425" s="172">
        <f>IF(OR(Y425="",'01_설정'!B31="",'01_설정'!B31&lt;=0,'01_설정'!B32="",'01_설정'!B32&lt;=0),"",MAX(0,(1-Y425/'01_설정'!B32))*'01_설정'!B31)</f>
        <v/>
      </c>
    </row>
    <row r="426" ht="17.25" customHeight="1">
      <c r="A426" s="152">
        <f>IF(INDEX('04A_국토부원자료'!$A:$A,ROW()+1)="","",ROW()-3)</f>
        <v/>
      </c>
      <c r="B426" s="48">
        <f>IFERROR(INDEX('04A_국토부원자료'!$A:$T,ROW()+1,MATCH("시군구",'04A_국토부원자료'!$A$4:$T$4,0)),"")</f>
        <v/>
      </c>
      <c r="C426" s="48">
        <f>IF(B426="","",IFERROR(INDEX('04A_국토부원자료'!$A:$T,ROW()+1,MATCH("번지",'04A_국토부원자료'!$A$4:$T$4,0)),""))</f>
        <v/>
      </c>
      <c r="D426" s="48">
        <f>IF(B426="","",IF(Q426=1,'02_대상물건입력'!$B$8,IFERROR(INDEX('04A_국토부원자료'!$A:$T,ROW()+1,MATCH("단지명",'04A_국토부원자료'!$A$4:$T$4,0)),"")))</f>
        <v/>
      </c>
      <c r="E426" s="172">
        <f>IFERROR(VALUE(SUBSTITUTE(INDEX('04A_국토부원자료'!$A:$T,ROW()+1,MATCH("전용면적(㎡)",'04A_국토부원자료'!$A$4:$T$4,0)),",","")),"")</f>
        <v/>
      </c>
      <c r="F4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26" s="51">
        <f>IFERROR(VALUE(SUBSTITUTE(INDEX('04A_국토부원자료'!$A:$T,ROW()+1,MATCH("거래금액(만원)",'04A_국토부원자료'!$A$4:$T$4,0)),",","")),"")</f>
        <v/>
      </c>
      <c r="H426" s="174">
        <f>IF(G426="","",G426*10000)</f>
        <v/>
      </c>
      <c r="I426" s="174">
        <f>IFERROR(IF(AND(H426&gt;0,E426&gt;0),H426/E426,""),"")</f>
        <v/>
      </c>
      <c r="J426" s="152">
        <f>IFERROR(VALUE(SUBSTITUTE(INDEX('04A_국토부원자료'!$A:$T,ROW()+1,MATCH("층",'04A_국토부원자료'!$A$4:$T$4,0)),",","")),"")</f>
        <v/>
      </c>
      <c r="K426" s="152">
        <f>IFERROR(VALUE(SUBSTITUTE(INDEX('04A_국토부원자료'!$A:$T,ROW()+1,MATCH("건축년도",'04A_국토부원자료'!$A$4:$T$4,0)),",","")),"")</f>
        <v/>
      </c>
      <c r="L426" s="176">
        <f>IFERROR(INDEX('04A_국토부원자료'!$A:$T,ROW()+1,MATCH("도로명",'04A_국토부원자료'!$A$4:$T$4,0)),"")</f>
        <v/>
      </c>
      <c r="M426" s="48">
        <f>IFERROR(INDEX('04A_국토부원자료'!$A:$T,ROW()+1,MATCH("거래유형",'04A_국토부원자료'!$A$4:$T$4,0)),"")</f>
        <v/>
      </c>
      <c r="N426" s="152">
        <f>IF(B426="","",IF('02_대상물건입력'!B5="",1,IF(ISNUMBER(SEARCH('02_대상물건입력'!B5,B426)),1,0)))</f>
        <v/>
      </c>
      <c r="O426" s="152">
        <f>IF(B426="","",IF('02_대상물건입력'!B6="",1,IF(ISNUMBER(SEARCH('02_대상물건입력'!B6,B426)),1,0)))</f>
        <v/>
      </c>
      <c r="P426" s="152">
        <f>IF(L426="","",IF('02_대상물건입력'!B15="",0,IF(ISNUMBER(SEARCH('02_대상물건입력'!B15,L426)),1,0)))</f>
        <v/>
      </c>
      <c r="Q426" s="152">
        <f>IF(OR(C426="",L426=""),0,IF(AND(TRIM(C426)=TRIM(RIGHT(SUBSTITUTE(TRIM('02_대상물건입력'!$B$7)," ",REPT(" ",99)),99)),IF('02_대상물건입력'!B15="",TRUE(),ISNUMBER(SEARCH('02_대상물건입력'!B15,L426)))),1,0))</f>
        <v/>
      </c>
      <c r="R426" s="175">
        <f>IFERROR(ABS(E426-'02_대상물건입력'!B11)/'02_대상물건입력'!B11,"")</f>
        <v/>
      </c>
      <c r="S426" s="152">
        <f>IFERROR(ABS(J426-'02_대상물건입력'!B10),"")</f>
        <v/>
      </c>
      <c r="T426" s="152">
        <f>IFERROR(ABS('01_설정'!B4-F426),"")</f>
        <v/>
      </c>
      <c r="U426" s="152">
        <f>IFERROR(ABS(K426-YEAR('02_대상물건입력'!B14)),"")</f>
        <v/>
      </c>
      <c r="V426" s="152">
        <f>IF(B426="","",IF(AND(E426&gt;0,F426&gt;0,H426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426=1,TRUE()),R426&lt;='01_설정'!B5,S426&lt;='01_설정'!B6,T426&lt;='01_설정'!B7,U426&lt;='01_설정'!B8),"Y",""))</f>
        <v/>
      </c>
      <c r="W426" s="172">
        <f>IF(V426&lt;&gt;"Y","",MAX(0,(1-R426/'01_설정'!B5))*'01_설정'!B14+MAX(0,(1-S426/'01_설정'!B6))*'01_설정'!B15+MAX(0,(1-T426/'01_설정'!B7))*'01_설정'!B16+MAX(0,(1-U426/'01_설정'!B8))*'01_설정'!B17+O426*'01_설정'!B11+Q426*'01_설정'!B12+P426*'01_설정'!B13+IF(Z426="",0,Z426))</f>
        <v/>
      </c>
      <c r="X426" s="152">
        <f>IF(W426="","",1+COUNTIFS($W$4:$W$3003,"&gt;"&amp;W426)+COUNTIFS($W$4:W426,W426)-1)</f>
        <v/>
      </c>
      <c r="Y426" s="175">
        <f>IF(OR(I426="",'02_대상물건입력'!B19="",'02_대상물건입력'!B19&lt;=0),"",ABS(I426-'02_대상물건입력'!B19)/'02_대상물건입력'!B19)</f>
        <v/>
      </c>
      <c r="Z426" s="172">
        <f>IF(OR(Y426="",'01_설정'!B31="",'01_설정'!B31&lt;=0,'01_설정'!B32="",'01_설정'!B32&lt;=0),"",MAX(0,(1-Y426/'01_설정'!B32))*'01_설정'!B31)</f>
        <v/>
      </c>
    </row>
    <row r="427" ht="17.25" customHeight="1">
      <c r="A427" s="152">
        <f>IF(INDEX('04A_국토부원자료'!$A:$A,ROW()+1)="","",ROW()-3)</f>
        <v/>
      </c>
      <c r="B427" s="48">
        <f>IFERROR(INDEX('04A_국토부원자료'!$A:$T,ROW()+1,MATCH("시군구",'04A_국토부원자료'!$A$4:$T$4,0)),"")</f>
        <v/>
      </c>
      <c r="C427" s="48">
        <f>IF(B427="","",IFERROR(INDEX('04A_국토부원자료'!$A:$T,ROW()+1,MATCH("번지",'04A_국토부원자료'!$A$4:$T$4,0)),""))</f>
        <v/>
      </c>
      <c r="D427" s="48">
        <f>IF(B427="","",IF(Q427=1,'02_대상물건입력'!$B$8,IFERROR(INDEX('04A_국토부원자료'!$A:$T,ROW()+1,MATCH("단지명",'04A_국토부원자료'!$A$4:$T$4,0)),"")))</f>
        <v/>
      </c>
      <c r="E427" s="172">
        <f>IFERROR(VALUE(SUBSTITUTE(INDEX('04A_국토부원자료'!$A:$T,ROW()+1,MATCH("전용면적(㎡)",'04A_국토부원자료'!$A$4:$T$4,0)),",","")),"")</f>
        <v/>
      </c>
      <c r="F4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27" s="51">
        <f>IFERROR(VALUE(SUBSTITUTE(INDEX('04A_국토부원자료'!$A:$T,ROW()+1,MATCH("거래금액(만원)",'04A_국토부원자료'!$A$4:$T$4,0)),",","")),"")</f>
        <v/>
      </c>
      <c r="H427" s="174">
        <f>IF(G427="","",G427*10000)</f>
        <v/>
      </c>
      <c r="I427" s="174">
        <f>IFERROR(IF(AND(H427&gt;0,E427&gt;0),H427/E427,""),"")</f>
        <v/>
      </c>
      <c r="J427" s="152">
        <f>IFERROR(VALUE(SUBSTITUTE(INDEX('04A_국토부원자료'!$A:$T,ROW()+1,MATCH("층",'04A_국토부원자료'!$A$4:$T$4,0)),",","")),"")</f>
        <v/>
      </c>
      <c r="K427" s="152">
        <f>IFERROR(VALUE(SUBSTITUTE(INDEX('04A_국토부원자료'!$A:$T,ROW()+1,MATCH("건축년도",'04A_국토부원자료'!$A$4:$T$4,0)),",","")),"")</f>
        <v/>
      </c>
      <c r="L427" s="176">
        <f>IFERROR(INDEX('04A_국토부원자료'!$A:$T,ROW()+1,MATCH("도로명",'04A_국토부원자료'!$A$4:$T$4,0)),"")</f>
        <v/>
      </c>
      <c r="M427" s="48">
        <f>IFERROR(INDEX('04A_국토부원자료'!$A:$T,ROW()+1,MATCH("거래유형",'04A_국토부원자료'!$A$4:$T$4,0)),"")</f>
        <v/>
      </c>
      <c r="N427" s="152">
        <f>IF(B427="","",IF('02_대상물건입력'!B5="",1,IF(ISNUMBER(SEARCH('02_대상물건입력'!B5,B427)),1,0)))</f>
        <v/>
      </c>
      <c r="O427" s="152">
        <f>IF(B427="","",IF('02_대상물건입력'!B6="",1,IF(ISNUMBER(SEARCH('02_대상물건입력'!B6,B427)),1,0)))</f>
        <v/>
      </c>
      <c r="P427" s="152">
        <f>IF(L427="","",IF('02_대상물건입력'!B15="",0,IF(ISNUMBER(SEARCH('02_대상물건입력'!B15,L427)),1,0)))</f>
        <v/>
      </c>
      <c r="Q427" s="152">
        <f>IF(OR(C427="",L427=""),0,IF(AND(TRIM(C427)=TRIM(RIGHT(SUBSTITUTE(TRIM('02_대상물건입력'!$B$7)," ",REPT(" ",99)),99)),IF('02_대상물건입력'!B15="",TRUE(),ISNUMBER(SEARCH('02_대상물건입력'!B15,L427)))),1,0))</f>
        <v/>
      </c>
      <c r="R427" s="175">
        <f>IFERROR(ABS(E427-'02_대상물건입력'!B11)/'02_대상물건입력'!B11,"")</f>
        <v/>
      </c>
      <c r="S427" s="152">
        <f>IFERROR(ABS(J427-'02_대상물건입력'!B10),"")</f>
        <v/>
      </c>
      <c r="T427" s="152">
        <f>IFERROR(ABS('01_설정'!B4-F427),"")</f>
        <v/>
      </c>
      <c r="U427" s="152">
        <f>IFERROR(ABS(K427-YEAR('02_대상물건입력'!B14)),"")</f>
        <v/>
      </c>
      <c r="V427" s="152">
        <f>IF(B427="","",IF(AND(E427&gt;0,F427&gt;0,H427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427=1,TRUE()),R427&lt;='01_설정'!B5,S427&lt;='01_설정'!B6,T427&lt;='01_설정'!B7,U427&lt;='01_설정'!B8),"Y",""))</f>
        <v/>
      </c>
      <c r="W427" s="172">
        <f>IF(V427&lt;&gt;"Y","",MAX(0,(1-R427/'01_설정'!B5))*'01_설정'!B14+MAX(0,(1-S427/'01_설정'!B6))*'01_설정'!B15+MAX(0,(1-T427/'01_설정'!B7))*'01_설정'!B16+MAX(0,(1-U427/'01_설정'!B8))*'01_설정'!B17+O427*'01_설정'!B11+Q427*'01_설정'!B12+P427*'01_설정'!B13+IF(Z427="",0,Z427))</f>
        <v/>
      </c>
      <c r="X427" s="152">
        <f>IF(W427="","",1+COUNTIFS($W$4:$W$3003,"&gt;"&amp;W427)+COUNTIFS($W$4:W427,W427)-1)</f>
        <v/>
      </c>
      <c r="Y427" s="175">
        <f>IF(OR(I427="",'02_대상물건입력'!B19="",'02_대상물건입력'!B19&lt;=0),"",ABS(I427-'02_대상물건입력'!B19)/'02_대상물건입력'!B19)</f>
        <v/>
      </c>
      <c r="Z427" s="172">
        <f>IF(OR(Y427="",'01_설정'!B31="",'01_설정'!B31&lt;=0,'01_설정'!B32="",'01_설정'!B32&lt;=0),"",MAX(0,(1-Y427/'01_설정'!B32))*'01_설정'!B31)</f>
        <v/>
      </c>
    </row>
    <row r="428" ht="17.25" customHeight="1">
      <c r="A428" s="152">
        <f>IF(INDEX('04A_국토부원자료'!$A:$A,ROW()+1)="","",ROW()-3)</f>
        <v/>
      </c>
      <c r="B428" s="48">
        <f>IFERROR(INDEX('04A_국토부원자료'!$A:$T,ROW()+1,MATCH("시군구",'04A_국토부원자료'!$A$4:$T$4,0)),"")</f>
        <v/>
      </c>
      <c r="C428" s="48">
        <f>IF(B428="","",IFERROR(INDEX('04A_국토부원자료'!$A:$T,ROW()+1,MATCH("번지",'04A_국토부원자료'!$A$4:$T$4,0)),""))</f>
        <v/>
      </c>
      <c r="D428" s="48">
        <f>IF(B428="","",IF(Q428=1,'02_대상물건입력'!$B$8,IFERROR(INDEX('04A_국토부원자료'!$A:$T,ROW()+1,MATCH("단지명",'04A_국토부원자료'!$A$4:$T$4,0)),"")))</f>
        <v/>
      </c>
      <c r="E428" s="172">
        <f>IFERROR(VALUE(SUBSTITUTE(INDEX('04A_국토부원자료'!$A:$T,ROW()+1,MATCH("전용면적(㎡)",'04A_국토부원자료'!$A$4:$T$4,0)),",","")),"")</f>
        <v/>
      </c>
      <c r="F4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28" s="51">
        <f>IFERROR(VALUE(SUBSTITUTE(INDEX('04A_국토부원자료'!$A:$T,ROW()+1,MATCH("거래금액(만원)",'04A_국토부원자료'!$A$4:$T$4,0)),",","")),"")</f>
        <v/>
      </c>
      <c r="H428" s="174">
        <f>IF(G428="","",G428*10000)</f>
        <v/>
      </c>
      <c r="I428" s="174">
        <f>IFERROR(IF(AND(H428&gt;0,E428&gt;0),H428/E428,""),"")</f>
        <v/>
      </c>
      <c r="J428" s="152">
        <f>IFERROR(VALUE(SUBSTITUTE(INDEX('04A_국토부원자료'!$A:$T,ROW()+1,MATCH("층",'04A_국토부원자료'!$A$4:$T$4,0)),",","")),"")</f>
        <v/>
      </c>
      <c r="K428" s="152">
        <f>IFERROR(VALUE(SUBSTITUTE(INDEX('04A_국토부원자료'!$A:$T,ROW()+1,MATCH("건축년도",'04A_국토부원자료'!$A$4:$T$4,0)),",","")),"")</f>
        <v/>
      </c>
      <c r="L428" s="176">
        <f>IFERROR(INDEX('04A_국토부원자료'!$A:$T,ROW()+1,MATCH("도로명",'04A_국토부원자료'!$A$4:$T$4,0)),"")</f>
        <v/>
      </c>
      <c r="M428" s="48">
        <f>IFERROR(INDEX('04A_국토부원자료'!$A:$T,ROW()+1,MATCH("거래유형",'04A_국토부원자료'!$A$4:$T$4,0)),"")</f>
        <v/>
      </c>
      <c r="N428" s="152">
        <f>IF(B428="","",IF('02_대상물건입력'!B5="",1,IF(ISNUMBER(SEARCH('02_대상물건입력'!B5,B428)),1,0)))</f>
        <v/>
      </c>
      <c r="O428" s="152">
        <f>IF(B428="","",IF('02_대상물건입력'!B6="",1,IF(ISNUMBER(SEARCH('02_대상물건입력'!B6,B428)),1,0)))</f>
        <v/>
      </c>
      <c r="P428" s="152">
        <f>IF(L428="","",IF('02_대상물건입력'!B15="",0,IF(ISNUMBER(SEARCH('02_대상물건입력'!B15,L428)),1,0)))</f>
        <v/>
      </c>
      <c r="Q428" s="152">
        <f>IF(OR(C428="",L428=""),0,IF(AND(TRIM(C428)=TRIM(RIGHT(SUBSTITUTE(TRIM('02_대상물건입력'!$B$7)," ",REPT(" ",99)),99)),IF('02_대상물건입력'!B15="",TRUE(),ISNUMBER(SEARCH('02_대상물건입력'!B15,L428)))),1,0))</f>
        <v/>
      </c>
      <c r="R428" s="175">
        <f>IFERROR(ABS(E428-'02_대상물건입력'!B11)/'02_대상물건입력'!B11,"")</f>
        <v/>
      </c>
      <c r="S428" s="152">
        <f>IFERROR(ABS(J428-'02_대상물건입력'!B10),"")</f>
        <v/>
      </c>
      <c r="T428" s="152">
        <f>IFERROR(ABS('01_설정'!B4-F428),"")</f>
        <v/>
      </c>
      <c r="U428" s="152">
        <f>IFERROR(ABS(K428-YEAR('02_대상물건입력'!B14)),"")</f>
        <v/>
      </c>
      <c r="V428" s="152">
        <f>IF(B428="","",IF(AND(E428&gt;0,F428&gt;0,H428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428=1,TRUE()),R428&lt;='01_설정'!B5,S428&lt;='01_설정'!B6,T428&lt;='01_설정'!B7,U428&lt;='01_설정'!B8),"Y",""))</f>
        <v/>
      </c>
      <c r="W428" s="172">
        <f>IF(V428&lt;&gt;"Y","",MAX(0,(1-R428/'01_설정'!B5))*'01_설정'!B14+MAX(0,(1-S428/'01_설정'!B6))*'01_설정'!B15+MAX(0,(1-T428/'01_설정'!B7))*'01_설정'!B16+MAX(0,(1-U428/'01_설정'!B8))*'01_설정'!B17+O428*'01_설정'!B11+Q428*'01_설정'!B12+P428*'01_설정'!B13+IF(Z428="",0,Z428))</f>
        <v/>
      </c>
      <c r="X428" s="152">
        <f>IF(W428="","",1+COUNTIFS($W$4:$W$3003,"&gt;"&amp;W428)+COUNTIFS($W$4:W428,W428)-1)</f>
        <v/>
      </c>
      <c r="Y428" s="175">
        <f>IF(OR(I428="",'02_대상물건입력'!B19="",'02_대상물건입력'!B19&lt;=0),"",ABS(I428-'02_대상물건입력'!B19)/'02_대상물건입력'!B19)</f>
        <v/>
      </c>
      <c r="Z428" s="172">
        <f>IF(OR(Y428="",'01_설정'!B31="",'01_설정'!B31&lt;=0,'01_설정'!B32="",'01_설정'!B32&lt;=0),"",MAX(0,(1-Y428/'01_설정'!B32))*'01_설정'!B31)</f>
        <v/>
      </c>
    </row>
    <row r="429" ht="17.25" customHeight="1">
      <c r="A429" s="152">
        <f>IF(INDEX('04A_국토부원자료'!$A:$A,ROW()+1)="","",ROW()-3)</f>
        <v/>
      </c>
      <c r="B429" s="48">
        <f>IFERROR(INDEX('04A_국토부원자료'!$A:$T,ROW()+1,MATCH("시군구",'04A_국토부원자료'!$A$4:$T$4,0)),"")</f>
        <v/>
      </c>
      <c r="C429" s="48">
        <f>IF(B429="","",IFERROR(INDEX('04A_국토부원자료'!$A:$T,ROW()+1,MATCH("번지",'04A_국토부원자료'!$A$4:$T$4,0)),""))</f>
        <v/>
      </c>
      <c r="D429" s="48">
        <f>IF(B429="","",IF(Q429=1,'02_대상물건입력'!$B$8,IFERROR(INDEX('04A_국토부원자료'!$A:$T,ROW()+1,MATCH("단지명",'04A_국토부원자료'!$A$4:$T$4,0)),"")))</f>
        <v/>
      </c>
      <c r="E429" s="172">
        <f>IFERROR(VALUE(SUBSTITUTE(INDEX('04A_국토부원자료'!$A:$T,ROW()+1,MATCH("전용면적(㎡)",'04A_국토부원자료'!$A$4:$T$4,0)),",","")),"")</f>
        <v/>
      </c>
      <c r="F4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29" s="51">
        <f>IFERROR(VALUE(SUBSTITUTE(INDEX('04A_국토부원자료'!$A:$T,ROW()+1,MATCH("거래금액(만원)",'04A_국토부원자료'!$A$4:$T$4,0)),",","")),"")</f>
        <v/>
      </c>
      <c r="H429" s="174">
        <f>IF(G429="","",G429*10000)</f>
        <v/>
      </c>
      <c r="I429" s="174">
        <f>IFERROR(IF(AND(H429&gt;0,E429&gt;0),H429/E429,""),"")</f>
        <v/>
      </c>
      <c r="J429" s="152">
        <f>IFERROR(VALUE(SUBSTITUTE(INDEX('04A_국토부원자료'!$A:$T,ROW()+1,MATCH("층",'04A_국토부원자료'!$A$4:$T$4,0)),",","")),"")</f>
        <v/>
      </c>
      <c r="K429" s="152">
        <f>IFERROR(VALUE(SUBSTITUTE(INDEX('04A_국토부원자료'!$A:$T,ROW()+1,MATCH("건축년도",'04A_국토부원자료'!$A$4:$T$4,0)),",","")),"")</f>
        <v/>
      </c>
      <c r="L429" s="176">
        <f>IFERROR(INDEX('04A_국토부원자료'!$A:$T,ROW()+1,MATCH("도로명",'04A_국토부원자료'!$A$4:$T$4,0)),"")</f>
        <v/>
      </c>
      <c r="M429" s="48">
        <f>IFERROR(INDEX('04A_국토부원자료'!$A:$T,ROW()+1,MATCH("거래유형",'04A_국토부원자료'!$A$4:$T$4,0)),"")</f>
        <v/>
      </c>
      <c r="N429" s="152">
        <f>IF(B429="","",IF('02_대상물건입력'!B5="",1,IF(ISNUMBER(SEARCH('02_대상물건입력'!B5,B429)),1,0)))</f>
        <v/>
      </c>
      <c r="O429" s="152">
        <f>IF(B429="","",IF('02_대상물건입력'!B6="",1,IF(ISNUMBER(SEARCH('02_대상물건입력'!B6,B429)),1,0)))</f>
        <v/>
      </c>
      <c r="P429" s="152">
        <f>IF(L429="","",IF('02_대상물건입력'!B15="",0,IF(ISNUMBER(SEARCH('02_대상물건입력'!B15,L429)),1,0)))</f>
        <v/>
      </c>
      <c r="Q429" s="152">
        <f>IF(OR(C429="",L429=""),0,IF(AND(TRIM(C429)=TRIM(RIGHT(SUBSTITUTE(TRIM('02_대상물건입력'!$B$7)," ",REPT(" ",99)),99)),IF('02_대상물건입력'!B15="",TRUE(),ISNUMBER(SEARCH('02_대상물건입력'!B15,L429)))),1,0))</f>
        <v/>
      </c>
      <c r="R429" s="175">
        <f>IFERROR(ABS(E429-'02_대상물건입력'!B11)/'02_대상물건입력'!B11,"")</f>
        <v/>
      </c>
      <c r="S429" s="152">
        <f>IFERROR(ABS(J429-'02_대상물건입력'!B10),"")</f>
        <v/>
      </c>
      <c r="T429" s="152">
        <f>IFERROR(ABS('01_설정'!B4-F429),"")</f>
        <v/>
      </c>
      <c r="U429" s="152">
        <f>IFERROR(ABS(K429-YEAR('02_대상물건입력'!B14)),"")</f>
        <v/>
      </c>
      <c r="V429" s="152">
        <f>IF(B429="","",IF(AND(E429&gt;0,F429&gt;0,H429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429=1,TRUE()),R429&lt;='01_설정'!B5,S429&lt;='01_설정'!B6,T429&lt;='01_설정'!B7,U429&lt;='01_설정'!B8),"Y",""))</f>
        <v/>
      </c>
      <c r="W429" s="172">
        <f>IF(V429&lt;&gt;"Y","",MAX(0,(1-R429/'01_설정'!B5))*'01_설정'!B14+MAX(0,(1-S429/'01_설정'!B6))*'01_설정'!B15+MAX(0,(1-T429/'01_설정'!B7))*'01_설정'!B16+MAX(0,(1-U429/'01_설정'!B8))*'01_설정'!B17+O429*'01_설정'!B11+Q429*'01_설정'!B12+P429*'01_설정'!B13+IF(Z429="",0,Z429))</f>
        <v/>
      </c>
      <c r="X429" s="152">
        <f>IF(W429="","",1+COUNTIFS($W$4:$W$3003,"&gt;"&amp;W429)+COUNTIFS($W$4:W429,W429)-1)</f>
        <v/>
      </c>
      <c r="Y429" s="175">
        <f>IF(OR(I429="",'02_대상물건입력'!B19="",'02_대상물건입력'!B19&lt;=0),"",ABS(I429-'02_대상물건입력'!B19)/'02_대상물건입력'!B19)</f>
        <v/>
      </c>
      <c r="Z429" s="172">
        <f>IF(OR(Y429="",'01_설정'!B31="",'01_설정'!B31&lt;=0,'01_설정'!B32="",'01_설정'!B32&lt;=0),"",MAX(0,(1-Y429/'01_설정'!B32))*'01_설정'!B31)</f>
        <v/>
      </c>
    </row>
    <row r="430" ht="17.25" customHeight="1">
      <c r="A430" s="152">
        <f>IF(INDEX('04A_국토부원자료'!$A:$A,ROW()+1)="","",ROW()-3)</f>
        <v/>
      </c>
      <c r="B430" s="48">
        <f>IFERROR(INDEX('04A_국토부원자료'!$A:$T,ROW()+1,MATCH("시군구",'04A_국토부원자료'!$A$4:$T$4,0)),"")</f>
        <v/>
      </c>
      <c r="C430" s="48">
        <f>IF(B430="","",IFERROR(INDEX('04A_국토부원자료'!$A:$T,ROW()+1,MATCH("번지",'04A_국토부원자료'!$A$4:$T$4,0)),""))</f>
        <v/>
      </c>
      <c r="D430" s="48">
        <f>IF(B430="","",IF(Q430=1,'02_대상물건입력'!$B$8,IFERROR(INDEX('04A_국토부원자료'!$A:$T,ROW()+1,MATCH("단지명",'04A_국토부원자료'!$A$4:$T$4,0)),"")))</f>
        <v/>
      </c>
      <c r="E430" s="172">
        <f>IFERROR(VALUE(SUBSTITUTE(INDEX('04A_국토부원자료'!$A:$T,ROW()+1,MATCH("전용면적(㎡)",'04A_국토부원자료'!$A$4:$T$4,0)),",","")),"")</f>
        <v/>
      </c>
      <c r="F4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30" s="51">
        <f>IFERROR(VALUE(SUBSTITUTE(INDEX('04A_국토부원자료'!$A:$T,ROW()+1,MATCH("거래금액(만원)",'04A_국토부원자료'!$A$4:$T$4,0)),",","")),"")</f>
        <v/>
      </c>
      <c r="H430" s="174">
        <f>IF(G430="","",G430*10000)</f>
        <v/>
      </c>
      <c r="I430" s="174">
        <f>IFERROR(IF(AND(H430&gt;0,E430&gt;0),H430/E430,""),"")</f>
        <v/>
      </c>
      <c r="J430" s="152">
        <f>IFERROR(VALUE(SUBSTITUTE(INDEX('04A_국토부원자료'!$A:$T,ROW()+1,MATCH("층",'04A_국토부원자료'!$A$4:$T$4,0)),",","")),"")</f>
        <v/>
      </c>
      <c r="K430" s="152">
        <f>IFERROR(VALUE(SUBSTITUTE(INDEX('04A_국토부원자료'!$A:$T,ROW()+1,MATCH("건축년도",'04A_국토부원자료'!$A$4:$T$4,0)),",","")),"")</f>
        <v/>
      </c>
      <c r="L430" s="176">
        <f>IFERROR(INDEX('04A_국토부원자료'!$A:$T,ROW()+1,MATCH("도로명",'04A_국토부원자료'!$A$4:$T$4,0)),"")</f>
        <v/>
      </c>
      <c r="M430" s="48">
        <f>IFERROR(INDEX('04A_국토부원자료'!$A:$T,ROW()+1,MATCH("거래유형",'04A_국토부원자료'!$A$4:$T$4,0)),"")</f>
        <v/>
      </c>
      <c r="N430" s="152">
        <f>IF(B430="","",IF('02_대상물건입력'!B5="",1,IF(ISNUMBER(SEARCH('02_대상물건입력'!B5,B430)),1,0)))</f>
        <v/>
      </c>
      <c r="O430" s="152">
        <f>IF(B430="","",IF('02_대상물건입력'!B6="",1,IF(ISNUMBER(SEARCH('02_대상물건입력'!B6,B430)),1,0)))</f>
        <v/>
      </c>
      <c r="P430" s="152">
        <f>IF(L430="","",IF('02_대상물건입력'!B15="",0,IF(ISNUMBER(SEARCH('02_대상물건입력'!B15,L430)),1,0)))</f>
        <v/>
      </c>
      <c r="Q430" s="152">
        <f>IF(OR(C430="",L430=""),0,IF(AND(TRIM(C430)=TRIM(RIGHT(SUBSTITUTE(TRIM('02_대상물건입력'!$B$7)," ",REPT(" ",99)),99)),IF('02_대상물건입력'!B15="",TRUE(),ISNUMBER(SEARCH('02_대상물건입력'!B15,L430)))),1,0))</f>
        <v/>
      </c>
      <c r="R430" s="175">
        <f>IFERROR(ABS(E430-'02_대상물건입력'!B11)/'02_대상물건입력'!B11,"")</f>
        <v/>
      </c>
      <c r="S430" s="152">
        <f>IFERROR(ABS(J430-'02_대상물건입력'!B10),"")</f>
        <v/>
      </c>
      <c r="T430" s="152">
        <f>IFERROR(ABS('01_설정'!B4-F430),"")</f>
        <v/>
      </c>
      <c r="U430" s="152">
        <f>IFERROR(ABS(K430-YEAR('02_대상물건입력'!B14)),"")</f>
        <v/>
      </c>
      <c r="V430" s="152">
        <f>IF(B430="","",IF(AND(E430&gt;0,F430&gt;0,H430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430=1,TRUE()),R430&lt;='01_설정'!B5,S430&lt;='01_설정'!B6,T430&lt;='01_설정'!B7,U430&lt;='01_설정'!B8),"Y",""))</f>
        <v/>
      </c>
      <c r="W430" s="172">
        <f>IF(V430&lt;&gt;"Y","",MAX(0,(1-R430/'01_설정'!B5))*'01_설정'!B14+MAX(0,(1-S430/'01_설정'!B6))*'01_설정'!B15+MAX(0,(1-T430/'01_설정'!B7))*'01_설정'!B16+MAX(0,(1-U430/'01_설정'!B8))*'01_설정'!B17+O430*'01_설정'!B11+Q430*'01_설정'!B12+P430*'01_설정'!B13+IF(Z430="",0,Z430))</f>
        <v/>
      </c>
      <c r="X430" s="152">
        <f>IF(W430="","",1+COUNTIFS($W$4:$W$3003,"&gt;"&amp;W430)+COUNTIFS($W$4:W430,W430)-1)</f>
        <v/>
      </c>
      <c r="Y430" s="175">
        <f>IF(OR(I430="",'02_대상물건입력'!B19="",'02_대상물건입력'!B19&lt;=0),"",ABS(I430-'02_대상물건입력'!B19)/'02_대상물건입력'!B19)</f>
        <v/>
      </c>
      <c r="Z430" s="172">
        <f>IF(OR(Y430="",'01_설정'!B31="",'01_설정'!B31&lt;=0,'01_설정'!B32="",'01_설정'!B32&lt;=0),"",MAX(0,(1-Y430/'01_설정'!B32))*'01_설정'!B31)</f>
        <v/>
      </c>
    </row>
    <row r="431" ht="17.25" customHeight="1">
      <c r="A431" s="152">
        <f>IF(INDEX('04A_국토부원자료'!$A:$A,ROW()+1)="","",ROW()-3)</f>
        <v/>
      </c>
      <c r="B431" s="48">
        <f>IFERROR(INDEX('04A_국토부원자료'!$A:$T,ROW()+1,MATCH("시군구",'04A_국토부원자료'!$A$4:$T$4,0)),"")</f>
        <v/>
      </c>
      <c r="C431" s="48">
        <f>IF(B431="","",IFERROR(INDEX('04A_국토부원자료'!$A:$T,ROW()+1,MATCH("번지",'04A_국토부원자료'!$A$4:$T$4,0)),""))</f>
        <v/>
      </c>
      <c r="D431" s="48">
        <f>IF(B431="","",IF(Q431=1,'02_대상물건입력'!$B$8,IFERROR(INDEX('04A_국토부원자료'!$A:$T,ROW()+1,MATCH("단지명",'04A_국토부원자료'!$A$4:$T$4,0)),"")))</f>
        <v/>
      </c>
      <c r="E431" s="172">
        <f>IFERROR(VALUE(SUBSTITUTE(INDEX('04A_국토부원자료'!$A:$T,ROW()+1,MATCH("전용면적(㎡)",'04A_국토부원자료'!$A$4:$T$4,0)),",","")),"")</f>
        <v/>
      </c>
      <c r="F4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31" s="51">
        <f>IFERROR(VALUE(SUBSTITUTE(INDEX('04A_국토부원자료'!$A:$T,ROW()+1,MATCH("거래금액(만원)",'04A_국토부원자료'!$A$4:$T$4,0)),",","")),"")</f>
        <v/>
      </c>
      <c r="H431" s="174">
        <f>IF(G431="","",G431*10000)</f>
        <v/>
      </c>
      <c r="I431" s="174">
        <f>IFERROR(IF(AND(H431&gt;0,E431&gt;0),H431/E431,""),"")</f>
        <v/>
      </c>
      <c r="J431" s="152">
        <f>IFERROR(VALUE(SUBSTITUTE(INDEX('04A_국토부원자료'!$A:$T,ROW()+1,MATCH("층",'04A_국토부원자료'!$A$4:$T$4,0)),",","")),"")</f>
        <v/>
      </c>
      <c r="K431" s="152">
        <f>IFERROR(VALUE(SUBSTITUTE(INDEX('04A_국토부원자료'!$A:$T,ROW()+1,MATCH("건축년도",'04A_국토부원자료'!$A$4:$T$4,0)),",","")),"")</f>
        <v/>
      </c>
      <c r="L431" s="176">
        <f>IFERROR(INDEX('04A_국토부원자료'!$A:$T,ROW()+1,MATCH("도로명",'04A_국토부원자료'!$A$4:$T$4,0)),"")</f>
        <v/>
      </c>
      <c r="M431" s="48">
        <f>IFERROR(INDEX('04A_국토부원자료'!$A:$T,ROW()+1,MATCH("거래유형",'04A_국토부원자료'!$A$4:$T$4,0)),"")</f>
        <v/>
      </c>
      <c r="N431" s="152">
        <f>IF(B431="","",IF('02_대상물건입력'!B5="",1,IF(ISNUMBER(SEARCH('02_대상물건입력'!B5,B431)),1,0)))</f>
        <v/>
      </c>
      <c r="O431" s="152">
        <f>IF(B431="","",IF('02_대상물건입력'!B6="",1,IF(ISNUMBER(SEARCH('02_대상물건입력'!B6,B431)),1,0)))</f>
        <v/>
      </c>
      <c r="P431" s="152">
        <f>IF(L431="","",IF('02_대상물건입력'!B15="",0,IF(ISNUMBER(SEARCH('02_대상물건입력'!B15,L431)),1,0)))</f>
        <v/>
      </c>
      <c r="Q431" s="152">
        <f>IF(OR(C431="",L431=""),0,IF(AND(TRIM(C431)=TRIM(RIGHT(SUBSTITUTE(TRIM('02_대상물건입력'!$B$7)," ",REPT(" ",99)),99)),IF('02_대상물건입력'!B15="",TRUE(),ISNUMBER(SEARCH('02_대상물건입력'!B15,L431)))),1,0))</f>
        <v/>
      </c>
      <c r="R431" s="175">
        <f>IFERROR(ABS(E431-'02_대상물건입력'!B11)/'02_대상물건입력'!B11,"")</f>
        <v/>
      </c>
      <c r="S431" s="152">
        <f>IFERROR(ABS(J431-'02_대상물건입력'!B10),"")</f>
        <v/>
      </c>
      <c r="T431" s="152">
        <f>IFERROR(ABS('01_설정'!B4-F431),"")</f>
        <v/>
      </c>
      <c r="U431" s="152">
        <f>IFERROR(ABS(K431-YEAR('02_대상물건입력'!B14)),"")</f>
        <v/>
      </c>
      <c r="V431" s="152">
        <f>IF(B431="","",IF(AND(E431&gt;0,F431&gt;0,H431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431=1,TRUE()),R431&lt;='01_설정'!B5,S431&lt;='01_설정'!B6,T431&lt;='01_설정'!B7,U431&lt;='01_설정'!B8),"Y",""))</f>
        <v/>
      </c>
      <c r="W431" s="172">
        <f>IF(V431&lt;&gt;"Y","",MAX(0,(1-R431/'01_설정'!B5))*'01_설정'!B14+MAX(0,(1-S431/'01_설정'!B6))*'01_설정'!B15+MAX(0,(1-T431/'01_설정'!B7))*'01_설정'!B16+MAX(0,(1-U431/'01_설정'!B8))*'01_설정'!B17+O431*'01_설정'!B11+Q431*'01_설정'!B12+P431*'01_설정'!B13+IF(Z431="",0,Z431))</f>
        <v/>
      </c>
      <c r="X431" s="152">
        <f>IF(W431="","",1+COUNTIFS($W$4:$W$3003,"&gt;"&amp;W431)+COUNTIFS($W$4:W431,W431)-1)</f>
        <v/>
      </c>
      <c r="Y431" s="175">
        <f>IF(OR(I431="",'02_대상물건입력'!B19="",'02_대상물건입력'!B19&lt;=0),"",ABS(I431-'02_대상물건입력'!B19)/'02_대상물건입력'!B19)</f>
        <v/>
      </c>
      <c r="Z431" s="172">
        <f>IF(OR(Y431="",'01_설정'!B31="",'01_설정'!B31&lt;=0,'01_설정'!B32="",'01_설정'!B32&lt;=0),"",MAX(0,(1-Y431/'01_설정'!B32))*'01_설정'!B31)</f>
        <v/>
      </c>
    </row>
    <row r="432" ht="17.25" customHeight="1">
      <c r="A432" s="152">
        <f>IF(INDEX('04A_국토부원자료'!$A:$A,ROW()+1)="","",ROW()-3)</f>
        <v/>
      </c>
      <c r="B432" s="48">
        <f>IFERROR(INDEX('04A_국토부원자료'!$A:$T,ROW()+1,MATCH("시군구",'04A_국토부원자료'!$A$4:$T$4,0)),"")</f>
        <v/>
      </c>
      <c r="C432" s="48">
        <f>IF(B432="","",IFERROR(INDEX('04A_국토부원자료'!$A:$T,ROW()+1,MATCH("번지",'04A_국토부원자료'!$A$4:$T$4,0)),""))</f>
        <v/>
      </c>
      <c r="D432" s="48">
        <f>IF(B432="","",IF(Q432=1,'02_대상물건입력'!$B$8,IFERROR(INDEX('04A_국토부원자료'!$A:$T,ROW()+1,MATCH("단지명",'04A_국토부원자료'!$A$4:$T$4,0)),"")))</f>
        <v/>
      </c>
      <c r="E432" s="172">
        <f>IFERROR(VALUE(SUBSTITUTE(INDEX('04A_국토부원자료'!$A:$T,ROW()+1,MATCH("전용면적(㎡)",'04A_국토부원자료'!$A$4:$T$4,0)),",","")),"")</f>
        <v/>
      </c>
      <c r="F4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32" s="51">
        <f>IFERROR(VALUE(SUBSTITUTE(INDEX('04A_국토부원자료'!$A:$T,ROW()+1,MATCH("거래금액(만원)",'04A_국토부원자료'!$A$4:$T$4,0)),",","")),"")</f>
        <v/>
      </c>
      <c r="H432" s="174">
        <f>IF(G432="","",G432*10000)</f>
        <v/>
      </c>
      <c r="I432" s="174">
        <f>IFERROR(IF(AND(H432&gt;0,E432&gt;0),H432/E432,""),"")</f>
        <v/>
      </c>
      <c r="J432" s="152">
        <f>IFERROR(VALUE(SUBSTITUTE(INDEX('04A_국토부원자료'!$A:$T,ROW()+1,MATCH("층",'04A_국토부원자료'!$A$4:$T$4,0)),",","")),"")</f>
        <v/>
      </c>
      <c r="K432" s="152">
        <f>IFERROR(VALUE(SUBSTITUTE(INDEX('04A_국토부원자료'!$A:$T,ROW()+1,MATCH("건축년도",'04A_국토부원자료'!$A$4:$T$4,0)),",","")),"")</f>
        <v/>
      </c>
      <c r="L432" s="176">
        <f>IFERROR(INDEX('04A_국토부원자료'!$A:$T,ROW()+1,MATCH("도로명",'04A_국토부원자료'!$A$4:$T$4,0)),"")</f>
        <v/>
      </c>
      <c r="M432" s="48">
        <f>IFERROR(INDEX('04A_국토부원자료'!$A:$T,ROW()+1,MATCH("거래유형",'04A_국토부원자료'!$A$4:$T$4,0)),"")</f>
        <v/>
      </c>
      <c r="N432" s="152">
        <f>IF(B432="","",IF('02_대상물건입력'!B5="",1,IF(ISNUMBER(SEARCH('02_대상물건입력'!B5,B432)),1,0)))</f>
        <v/>
      </c>
      <c r="O432" s="152">
        <f>IF(B432="","",IF('02_대상물건입력'!B6="",1,IF(ISNUMBER(SEARCH('02_대상물건입력'!B6,B432)),1,0)))</f>
        <v/>
      </c>
      <c r="P432" s="152">
        <f>IF(L432="","",IF('02_대상물건입력'!B15="",0,IF(ISNUMBER(SEARCH('02_대상물건입력'!B15,L432)),1,0)))</f>
        <v/>
      </c>
      <c r="Q432" s="152">
        <f>IF(OR(C432="",L432=""),0,IF(AND(TRIM(C432)=TRIM(RIGHT(SUBSTITUTE(TRIM('02_대상물건입력'!$B$7)," ",REPT(" ",99)),99)),IF('02_대상물건입력'!B15="",TRUE(),ISNUMBER(SEARCH('02_대상물건입력'!B15,L432)))),1,0))</f>
        <v/>
      </c>
      <c r="R432" s="175">
        <f>IFERROR(ABS(E432-'02_대상물건입력'!B11)/'02_대상물건입력'!B11,"")</f>
        <v/>
      </c>
      <c r="S432" s="152">
        <f>IFERROR(ABS(J432-'02_대상물건입력'!B10),"")</f>
        <v/>
      </c>
      <c r="T432" s="152">
        <f>IFERROR(ABS('01_설정'!B4-F432),"")</f>
        <v/>
      </c>
      <c r="U432" s="152">
        <f>IFERROR(ABS(K432-YEAR('02_대상물건입력'!B14)),"")</f>
        <v/>
      </c>
      <c r="V432" s="152">
        <f>IF(B432="","",IF(AND(E432&gt;0,F432&gt;0,H432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432=1,TRUE()),R432&lt;='01_설정'!B5,S432&lt;='01_설정'!B6,T432&lt;='01_설정'!B7,U432&lt;='01_설정'!B8),"Y",""))</f>
        <v/>
      </c>
      <c r="W432" s="172">
        <f>IF(V432&lt;&gt;"Y","",MAX(0,(1-R432/'01_설정'!B5))*'01_설정'!B14+MAX(0,(1-S432/'01_설정'!B6))*'01_설정'!B15+MAX(0,(1-T432/'01_설정'!B7))*'01_설정'!B16+MAX(0,(1-U432/'01_설정'!B8))*'01_설정'!B17+O432*'01_설정'!B11+Q432*'01_설정'!B12+P432*'01_설정'!B13+IF(Z432="",0,Z432))</f>
        <v/>
      </c>
      <c r="X432" s="152">
        <f>IF(W432="","",1+COUNTIFS($W$4:$W$3003,"&gt;"&amp;W432)+COUNTIFS($W$4:W432,W432)-1)</f>
        <v/>
      </c>
      <c r="Y432" s="175">
        <f>IF(OR(I432="",'02_대상물건입력'!B19="",'02_대상물건입력'!B19&lt;=0),"",ABS(I432-'02_대상물건입력'!B19)/'02_대상물건입력'!B19)</f>
        <v/>
      </c>
      <c r="Z432" s="172">
        <f>IF(OR(Y432="",'01_설정'!B31="",'01_설정'!B31&lt;=0,'01_설정'!B32="",'01_설정'!B32&lt;=0),"",MAX(0,(1-Y432/'01_설정'!B32))*'01_설정'!B31)</f>
        <v/>
      </c>
    </row>
    <row r="433" ht="17.25" customHeight="1">
      <c r="A433" s="152">
        <f>IF(INDEX('04A_국토부원자료'!$A:$A,ROW()+1)="","",ROW()-3)</f>
        <v/>
      </c>
      <c r="B433" s="48">
        <f>IFERROR(INDEX('04A_국토부원자료'!$A:$T,ROW()+1,MATCH("시군구",'04A_국토부원자료'!$A$4:$T$4,0)),"")</f>
        <v/>
      </c>
      <c r="C433" s="48">
        <f>IF(B433="","",IFERROR(INDEX('04A_국토부원자료'!$A:$T,ROW()+1,MATCH("번지",'04A_국토부원자료'!$A$4:$T$4,0)),""))</f>
        <v/>
      </c>
      <c r="D433" s="48">
        <f>IF(B433="","",IF(Q433=1,'02_대상물건입력'!$B$8,IFERROR(INDEX('04A_국토부원자료'!$A:$T,ROW()+1,MATCH("단지명",'04A_국토부원자료'!$A$4:$T$4,0)),"")))</f>
        <v/>
      </c>
      <c r="E433" s="172">
        <f>IFERROR(VALUE(SUBSTITUTE(INDEX('04A_국토부원자료'!$A:$T,ROW()+1,MATCH("전용면적(㎡)",'04A_국토부원자료'!$A$4:$T$4,0)),",","")),"")</f>
        <v/>
      </c>
      <c r="F4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33" s="51">
        <f>IFERROR(VALUE(SUBSTITUTE(INDEX('04A_국토부원자료'!$A:$T,ROW()+1,MATCH("거래금액(만원)",'04A_국토부원자료'!$A$4:$T$4,0)),",","")),"")</f>
        <v/>
      </c>
      <c r="H433" s="174">
        <f>IF(G433="","",G433*10000)</f>
        <v/>
      </c>
      <c r="I433" s="174">
        <f>IFERROR(IF(AND(H433&gt;0,E433&gt;0),H433/E433,""),"")</f>
        <v/>
      </c>
      <c r="J433" s="152">
        <f>IFERROR(VALUE(SUBSTITUTE(INDEX('04A_국토부원자료'!$A:$T,ROW()+1,MATCH("층",'04A_국토부원자료'!$A$4:$T$4,0)),",","")),"")</f>
        <v/>
      </c>
      <c r="K433" s="152">
        <f>IFERROR(VALUE(SUBSTITUTE(INDEX('04A_국토부원자료'!$A:$T,ROW()+1,MATCH("건축년도",'04A_국토부원자료'!$A$4:$T$4,0)),",","")),"")</f>
        <v/>
      </c>
      <c r="L433" s="176">
        <f>IFERROR(INDEX('04A_국토부원자료'!$A:$T,ROW()+1,MATCH("도로명",'04A_국토부원자료'!$A$4:$T$4,0)),"")</f>
        <v/>
      </c>
      <c r="M433" s="48">
        <f>IFERROR(INDEX('04A_국토부원자료'!$A:$T,ROW()+1,MATCH("거래유형",'04A_국토부원자료'!$A$4:$T$4,0)),"")</f>
        <v/>
      </c>
      <c r="N433" s="152">
        <f>IF(B433="","",IF('02_대상물건입력'!B5="",1,IF(ISNUMBER(SEARCH('02_대상물건입력'!B5,B433)),1,0)))</f>
        <v/>
      </c>
      <c r="O433" s="152">
        <f>IF(B433="","",IF('02_대상물건입력'!B6="",1,IF(ISNUMBER(SEARCH('02_대상물건입력'!B6,B433)),1,0)))</f>
        <v/>
      </c>
      <c r="P433" s="152">
        <f>IF(L433="","",IF('02_대상물건입력'!B15="",0,IF(ISNUMBER(SEARCH('02_대상물건입력'!B15,L433)),1,0)))</f>
        <v/>
      </c>
      <c r="Q433" s="152">
        <f>IF(OR(C433="",L433=""),0,IF(AND(TRIM(C433)=TRIM(RIGHT(SUBSTITUTE(TRIM('02_대상물건입력'!$B$7)," ",REPT(" ",99)),99)),IF('02_대상물건입력'!B15="",TRUE(),ISNUMBER(SEARCH('02_대상물건입력'!B15,L433)))),1,0))</f>
        <v/>
      </c>
      <c r="R433" s="175">
        <f>IFERROR(ABS(E433-'02_대상물건입력'!B11)/'02_대상물건입력'!B11,"")</f>
        <v/>
      </c>
      <c r="S433" s="152">
        <f>IFERROR(ABS(J433-'02_대상물건입력'!B10),"")</f>
        <v/>
      </c>
      <c r="T433" s="152">
        <f>IFERROR(ABS('01_설정'!B4-F433),"")</f>
        <v/>
      </c>
      <c r="U433" s="152">
        <f>IFERROR(ABS(K433-YEAR('02_대상물건입력'!B14)),"")</f>
        <v/>
      </c>
      <c r="V433" s="152">
        <f>IF(B433="","",IF(AND(E433&gt;0,F433&gt;0,H433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433=1,TRUE()),R433&lt;='01_설정'!B5,S433&lt;='01_설정'!B6,T433&lt;='01_설정'!B7,U433&lt;='01_설정'!B8),"Y",""))</f>
        <v/>
      </c>
      <c r="W433" s="172">
        <f>IF(V433&lt;&gt;"Y","",MAX(0,(1-R433/'01_설정'!B5))*'01_설정'!B14+MAX(0,(1-S433/'01_설정'!B6))*'01_설정'!B15+MAX(0,(1-T433/'01_설정'!B7))*'01_설정'!B16+MAX(0,(1-U433/'01_설정'!B8))*'01_설정'!B17+O433*'01_설정'!B11+Q433*'01_설정'!B12+P433*'01_설정'!B13+IF(Z433="",0,Z433))</f>
        <v/>
      </c>
      <c r="X433" s="152">
        <f>IF(W433="","",1+COUNTIFS($W$4:$W$3003,"&gt;"&amp;W433)+COUNTIFS($W$4:W433,W433)-1)</f>
        <v/>
      </c>
      <c r="Y433" s="175">
        <f>IF(OR(I433="",'02_대상물건입력'!B19="",'02_대상물건입력'!B19&lt;=0),"",ABS(I433-'02_대상물건입력'!B19)/'02_대상물건입력'!B19)</f>
        <v/>
      </c>
      <c r="Z433" s="172">
        <f>IF(OR(Y433="",'01_설정'!B31="",'01_설정'!B31&lt;=0,'01_설정'!B32="",'01_설정'!B32&lt;=0),"",MAX(0,(1-Y433/'01_설정'!B32))*'01_설정'!B31)</f>
        <v/>
      </c>
    </row>
    <row r="434" ht="17.25" customHeight="1">
      <c r="A434" s="152">
        <f>IF(INDEX('04A_국토부원자료'!$A:$A,ROW()+1)="","",ROW()-3)</f>
        <v/>
      </c>
      <c r="B434" s="48">
        <f>IFERROR(INDEX('04A_국토부원자료'!$A:$T,ROW()+1,MATCH("시군구",'04A_국토부원자료'!$A$4:$T$4,0)),"")</f>
        <v/>
      </c>
      <c r="C434" s="48">
        <f>IF(B434="","",IFERROR(INDEX('04A_국토부원자료'!$A:$T,ROW()+1,MATCH("번지",'04A_국토부원자료'!$A$4:$T$4,0)),""))</f>
        <v/>
      </c>
      <c r="D434" s="48">
        <f>IF(B434="","",IF(Q434=1,'02_대상물건입력'!$B$8,IFERROR(INDEX('04A_국토부원자료'!$A:$T,ROW()+1,MATCH("단지명",'04A_국토부원자료'!$A$4:$T$4,0)),"")))</f>
        <v/>
      </c>
      <c r="E434" s="172">
        <f>IFERROR(VALUE(SUBSTITUTE(INDEX('04A_국토부원자료'!$A:$T,ROW()+1,MATCH("전용면적(㎡)",'04A_국토부원자료'!$A$4:$T$4,0)),",","")),"")</f>
        <v/>
      </c>
      <c r="F4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34" s="51">
        <f>IFERROR(VALUE(SUBSTITUTE(INDEX('04A_국토부원자료'!$A:$T,ROW()+1,MATCH("거래금액(만원)",'04A_국토부원자료'!$A$4:$T$4,0)),",","")),"")</f>
        <v/>
      </c>
      <c r="H434" s="174">
        <f>IF(G434="","",G434*10000)</f>
        <v/>
      </c>
      <c r="I434" s="174">
        <f>IFERROR(IF(AND(H434&gt;0,E434&gt;0),H434/E434,""),"")</f>
        <v/>
      </c>
      <c r="J434" s="152">
        <f>IFERROR(VALUE(SUBSTITUTE(INDEX('04A_국토부원자료'!$A:$T,ROW()+1,MATCH("층",'04A_국토부원자료'!$A$4:$T$4,0)),",","")),"")</f>
        <v/>
      </c>
      <c r="K434" s="152">
        <f>IFERROR(VALUE(SUBSTITUTE(INDEX('04A_국토부원자료'!$A:$T,ROW()+1,MATCH("건축년도",'04A_국토부원자료'!$A$4:$T$4,0)),",","")),"")</f>
        <v/>
      </c>
      <c r="L434" s="176">
        <f>IFERROR(INDEX('04A_국토부원자료'!$A:$T,ROW()+1,MATCH("도로명",'04A_국토부원자료'!$A$4:$T$4,0)),"")</f>
        <v/>
      </c>
      <c r="M434" s="48">
        <f>IFERROR(INDEX('04A_국토부원자료'!$A:$T,ROW()+1,MATCH("거래유형",'04A_국토부원자료'!$A$4:$T$4,0)),"")</f>
        <v/>
      </c>
      <c r="N434" s="152">
        <f>IF(B434="","",IF('02_대상물건입력'!B5="",1,IF(ISNUMBER(SEARCH('02_대상물건입력'!B5,B434)),1,0)))</f>
        <v/>
      </c>
      <c r="O434" s="152">
        <f>IF(B434="","",IF('02_대상물건입력'!B6="",1,IF(ISNUMBER(SEARCH('02_대상물건입력'!B6,B434)),1,0)))</f>
        <v/>
      </c>
      <c r="P434" s="152">
        <f>IF(L434="","",IF('02_대상물건입력'!B15="",0,IF(ISNUMBER(SEARCH('02_대상물건입력'!B15,L434)),1,0)))</f>
        <v/>
      </c>
      <c r="Q434" s="152">
        <f>IF(OR(C434="",L434=""),0,IF(AND(TRIM(C434)=TRIM(RIGHT(SUBSTITUTE(TRIM('02_대상물건입력'!$B$7)," ",REPT(" ",99)),99)),IF('02_대상물건입력'!B15="",TRUE(),ISNUMBER(SEARCH('02_대상물건입력'!B15,L434)))),1,0))</f>
        <v/>
      </c>
      <c r="R434" s="175">
        <f>IFERROR(ABS(E434-'02_대상물건입력'!B11)/'02_대상물건입력'!B11,"")</f>
        <v/>
      </c>
      <c r="S434" s="152">
        <f>IFERROR(ABS(J434-'02_대상물건입력'!B10),"")</f>
        <v/>
      </c>
      <c r="T434" s="152">
        <f>IFERROR(ABS('01_설정'!B4-F434),"")</f>
        <v/>
      </c>
      <c r="U434" s="152">
        <f>IFERROR(ABS(K434-YEAR('02_대상물건입력'!B14)),"")</f>
        <v/>
      </c>
      <c r="V434" s="152">
        <f>IF(B434="","",IF(AND(E434&gt;0,F434&gt;0,H434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434=1,TRUE()),R434&lt;='01_설정'!B5,S434&lt;='01_설정'!B6,T434&lt;='01_설정'!B7,U434&lt;='01_설정'!B8),"Y",""))</f>
        <v/>
      </c>
      <c r="W434" s="172">
        <f>IF(V434&lt;&gt;"Y","",MAX(0,(1-R434/'01_설정'!B5))*'01_설정'!B14+MAX(0,(1-S434/'01_설정'!B6))*'01_설정'!B15+MAX(0,(1-T434/'01_설정'!B7))*'01_설정'!B16+MAX(0,(1-U434/'01_설정'!B8))*'01_설정'!B17+O434*'01_설정'!B11+Q434*'01_설정'!B12+P434*'01_설정'!B13+IF(Z434="",0,Z434))</f>
        <v/>
      </c>
      <c r="X434" s="152">
        <f>IF(W434="","",1+COUNTIFS($W$4:$W$3003,"&gt;"&amp;W434)+COUNTIFS($W$4:W434,W434)-1)</f>
        <v/>
      </c>
      <c r="Y434" s="175">
        <f>IF(OR(I434="",'02_대상물건입력'!B19="",'02_대상물건입력'!B19&lt;=0),"",ABS(I434-'02_대상물건입력'!B19)/'02_대상물건입력'!B19)</f>
        <v/>
      </c>
      <c r="Z434" s="172">
        <f>IF(OR(Y434="",'01_설정'!B31="",'01_설정'!B31&lt;=0,'01_설정'!B32="",'01_설정'!B32&lt;=0),"",MAX(0,(1-Y434/'01_설정'!B32))*'01_설정'!B31)</f>
        <v/>
      </c>
    </row>
    <row r="435" ht="17.25" customHeight="1">
      <c r="A435" s="152">
        <f>IF(INDEX('04A_국토부원자료'!$A:$A,ROW()+1)="","",ROW()-3)</f>
        <v/>
      </c>
      <c r="B435" s="48">
        <f>IFERROR(INDEX('04A_국토부원자료'!$A:$T,ROW()+1,MATCH("시군구",'04A_국토부원자료'!$A$4:$T$4,0)),"")</f>
        <v/>
      </c>
      <c r="C435" s="48">
        <f>IF(B435="","",IFERROR(INDEX('04A_국토부원자료'!$A:$T,ROW()+1,MATCH("번지",'04A_국토부원자료'!$A$4:$T$4,0)),""))</f>
        <v/>
      </c>
      <c r="D435" s="48">
        <f>IF(B435="","",IF(Q435=1,'02_대상물건입력'!$B$8,IFERROR(INDEX('04A_국토부원자료'!$A:$T,ROW()+1,MATCH("단지명",'04A_국토부원자료'!$A$4:$T$4,0)),"")))</f>
        <v/>
      </c>
      <c r="E435" s="172">
        <f>IFERROR(VALUE(SUBSTITUTE(INDEX('04A_국토부원자료'!$A:$T,ROW()+1,MATCH("전용면적(㎡)",'04A_국토부원자료'!$A$4:$T$4,0)),",","")),"")</f>
        <v/>
      </c>
      <c r="F4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35" s="51">
        <f>IFERROR(VALUE(SUBSTITUTE(INDEX('04A_국토부원자료'!$A:$T,ROW()+1,MATCH("거래금액(만원)",'04A_국토부원자료'!$A$4:$T$4,0)),",","")),"")</f>
        <v/>
      </c>
      <c r="H435" s="174">
        <f>IF(G435="","",G435*10000)</f>
        <v/>
      </c>
      <c r="I435" s="174">
        <f>IFERROR(IF(AND(H435&gt;0,E435&gt;0),H435/E435,""),"")</f>
        <v/>
      </c>
      <c r="J435" s="152">
        <f>IFERROR(VALUE(SUBSTITUTE(INDEX('04A_국토부원자료'!$A:$T,ROW()+1,MATCH("층",'04A_국토부원자료'!$A$4:$T$4,0)),",","")),"")</f>
        <v/>
      </c>
      <c r="K435" s="152">
        <f>IFERROR(VALUE(SUBSTITUTE(INDEX('04A_국토부원자료'!$A:$T,ROW()+1,MATCH("건축년도",'04A_국토부원자료'!$A$4:$T$4,0)),",","")),"")</f>
        <v/>
      </c>
      <c r="L435" s="176">
        <f>IFERROR(INDEX('04A_국토부원자료'!$A:$T,ROW()+1,MATCH("도로명",'04A_국토부원자료'!$A$4:$T$4,0)),"")</f>
        <v/>
      </c>
      <c r="M435" s="48">
        <f>IFERROR(INDEX('04A_국토부원자료'!$A:$T,ROW()+1,MATCH("거래유형",'04A_국토부원자료'!$A$4:$T$4,0)),"")</f>
        <v/>
      </c>
      <c r="N435" s="152">
        <f>IF(B435="","",IF('02_대상물건입력'!B5="",1,IF(ISNUMBER(SEARCH('02_대상물건입력'!B5,B435)),1,0)))</f>
        <v/>
      </c>
      <c r="O435" s="152">
        <f>IF(B435="","",IF('02_대상물건입력'!B6="",1,IF(ISNUMBER(SEARCH('02_대상물건입력'!B6,B435)),1,0)))</f>
        <v/>
      </c>
      <c r="P435" s="152">
        <f>IF(L435="","",IF('02_대상물건입력'!B15="",0,IF(ISNUMBER(SEARCH('02_대상물건입력'!B15,L435)),1,0)))</f>
        <v/>
      </c>
      <c r="Q435" s="152">
        <f>IF(OR(C435="",L435=""),0,IF(AND(TRIM(C435)=TRIM(RIGHT(SUBSTITUTE(TRIM('02_대상물건입력'!$B$7)," ",REPT(" ",99)),99)),IF('02_대상물건입력'!B15="",TRUE(),ISNUMBER(SEARCH('02_대상물건입력'!B15,L435)))),1,0))</f>
        <v/>
      </c>
      <c r="R435" s="175">
        <f>IFERROR(ABS(E435-'02_대상물건입력'!B11)/'02_대상물건입력'!B11,"")</f>
        <v/>
      </c>
      <c r="S435" s="152">
        <f>IFERROR(ABS(J435-'02_대상물건입력'!B10),"")</f>
        <v/>
      </c>
      <c r="T435" s="152">
        <f>IFERROR(ABS('01_설정'!B4-F435),"")</f>
        <v/>
      </c>
      <c r="U435" s="152">
        <f>IFERROR(ABS(K435-YEAR('02_대상물건입력'!B14)),"")</f>
        <v/>
      </c>
      <c r="V435" s="152">
        <f>IF(B435="","",IF(AND(E435&gt;0,F435&gt;0,H435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435=1,TRUE()),R435&lt;='01_설정'!B5,S435&lt;='01_설정'!B6,T435&lt;='01_설정'!B7,U435&lt;='01_설정'!B8),"Y",""))</f>
        <v/>
      </c>
      <c r="W435" s="172">
        <f>IF(V435&lt;&gt;"Y","",MAX(0,(1-R435/'01_설정'!B5))*'01_설정'!B14+MAX(0,(1-S435/'01_설정'!B6))*'01_설정'!B15+MAX(0,(1-T435/'01_설정'!B7))*'01_설정'!B16+MAX(0,(1-U435/'01_설정'!B8))*'01_설정'!B17+O435*'01_설정'!B11+Q435*'01_설정'!B12+P435*'01_설정'!B13+IF(Z435="",0,Z435))</f>
        <v/>
      </c>
      <c r="X435" s="152">
        <f>IF(W435="","",1+COUNTIFS($W$4:$W$3003,"&gt;"&amp;W435)+COUNTIFS($W$4:W435,W435)-1)</f>
        <v/>
      </c>
      <c r="Y435" s="175">
        <f>IF(OR(I435="",'02_대상물건입력'!B19="",'02_대상물건입력'!B19&lt;=0),"",ABS(I435-'02_대상물건입력'!B19)/'02_대상물건입력'!B19)</f>
        <v/>
      </c>
      <c r="Z435" s="172">
        <f>IF(OR(Y435="",'01_설정'!B31="",'01_설정'!B31&lt;=0,'01_설정'!B32="",'01_설정'!B32&lt;=0),"",MAX(0,(1-Y435/'01_설정'!B32))*'01_설정'!B31)</f>
        <v/>
      </c>
    </row>
    <row r="436" ht="17.25" customHeight="1">
      <c r="A436" s="152">
        <f>IF(INDEX('04A_국토부원자료'!$A:$A,ROW()+1)="","",ROW()-3)</f>
        <v/>
      </c>
      <c r="B436" s="48">
        <f>IFERROR(INDEX('04A_국토부원자료'!$A:$T,ROW()+1,MATCH("시군구",'04A_국토부원자료'!$A$4:$T$4,0)),"")</f>
        <v/>
      </c>
      <c r="C436" s="48">
        <f>IF(B436="","",IFERROR(INDEX('04A_국토부원자료'!$A:$T,ROW()+1,MATCH("번지",'04A_국토부원자료'!$A$4:$T$4,0)),""))</f>
        <v/>
      </c>
      <c r="D436" s="48">
        <f>IF(B436="","",IF(Q436=1,'02_대상물건입력'!$B$8,IFERROR(INDEX('04A_국토부원자료'!$A:$T,ROW()+1,MATCH("단지명",'04A_국토부원자료'!$A$4:$T$4,0)),"")))</f>
        <v/>
      </c>
      <c r="E436" s="172">
        <f>IFERROR(VALUE(SUBSTITUTE(INDEX('04A_국토부원자료'!$A:$T,ROW()+1,MATCH("전용면적(㎡)",'04A_국토부원자료'!$A$4:$T$4,0)),",","")),"")</f>
        <v/>
      </c>
      <c r="F4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36" s="51">
        <f>IFERROR(VALUE(SUBSTITUTE(INDEX('04A_국토부원자료'!$A:$T,ROW()+1,MATCH("거래금액(만원)",'04A_국토부원자료'!$A$4:$T$4,0)),",","")),"")</f>
        <v/>
      </c>
      <c r="H436" s="174">
        <f>IF(G436="","",G436*10000)</f>
        <v/>
      </c>
      <c r="I436" s="174">
        <f>IFERROR(IF(AND(H436&gt;0,E436&gt;0),H436/E436,""),"")</f>
        <v/>
      </c>
      <c r="J436" s="152">
        <f>IFERROR(VALUE(SUBSTITUTE(INDEX('04A_국토부원자료'!$A:$T,ROW()+1,MATCH("층",'04A_국토부원자료'!$A$4:$T$4,0)),",","")),"")</f>
        <v/>
      </c>
      <c r="K436" s="152">
        <f>IFERROR(VALUE(SUBSTITUTE(INDEX('04A_국토부원자료'!$A:$T,ROW()+1,MATCH("건축년도",'04A_국토부원자료'!$A$4:$T$4,0)),",","")),"")</f>
        <v/>
      </c>
      <c r="L436" s="176">
        <f>IFERROR(INDEX('04A_국토부원자료'!$A:$T,ROW()+1,MATCH("도로명",'04A_국토부원자료'!$A$4:$T$4,0)),"")</f>
        <v/>
      </c>
      <c r="M436" s="48">
        <f>IFERROR(INDEX('04A_국토부원자료'!$A:$T,ROW()+1,MATCH("거래유형",'04A_국토부원자료'!$A$4:$T$4,0)),"")</f>
        <v/>
      </c>
      <c r="N436" s="152">
        <f>IF(B436="","",IF('02_대상물건입력'!B5="",1,IF(ISNUMBER(SEARCH('02_대상물건입력'!B5,B436)),1,0)))</f>
        <v/>
      </c>
      <c r="O436" s="152">
        <f>IF(B436="","",IF('02_대상물건입력'!B6="",1,IF(ISNUMBER(SEARCH('02_대상물건입력'!B6,B436)),1,0)))</f>
        <v/>
      </c>
      <c r="P436" s="152">
        <f>IF(L436="","",IF('02_대상물건입력'!B15="",0,IF(ISNUMBER(SEARCH('02_대상물건입력'!B15,L436)),1,0)))</f>
        <v/>
      </c>
      <c r="Q436" s="152">
        <f>IF(OR(C436="",L436=""),0,IF(AND(TRIM(C436)=TRIM(RIGHT(SUBSTITUTE(TRIM('02_대상물건입력'!$B$7)," ",REPT(" ",99)),99)),IF('02_대상물건입력'!B15="",TRUE(),ISNUMBER(SEARCH('02_대상물건입력'!B15,L436)))),1,0))</f>
        <v/>
      </c>
      <c r="R436" s="175">
        <f>IFERROR(ABS(E436-'02_대상물건입력'!B11)/'02_대상물건입력'!B11,"")</f>
        <v/>
      </c>
      <c r="S436" s="152">
        <f>IFERROR(ABS(J436-'02_대상물건입력'!B10),"")</f>
        <v/>
      </c>
      <c r="T436" s="152">
        <f>IFERROR(ABS('01_설정'!B4-F436),"")</f>
        <v/>
      </c>
      <c r="U436" s="152">
        <f>IFERROR(ABS(K436-YEAR('02_대상물건입력'!B14)),"")</f>
        <v/>
      </c>
      <c r="V436" s="152">
        <f>IF(B436="","",IF(AND(E436&gt;0,F436&gt;0,H436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436=1,TRUE()),R436&lt;='01_설정'!B5,S436&lt;='01_설정'!B6,T436&lt;='01_설정'!B7,U436&lt;='01_설정'!B8),"Y",""))</f>
        <v/>
      </c>
      <c r="W436" s="172">
        <f>IF(V436&lt;&gt;"Y","",MAX(0,(1-R436/'01_설정'!B5))*'01_설정'!B14+MAX(0,(1-S436/'01_설정'!B6))*'01_설정'!B15+MAX(0,(1-T436/'01_설정'!B7))*'01_설정'!B16+MAX(0,(1-U436/'01_설정'!B8))*'01_설정'!B17+O436*'01_설정'!B11+Q436*'01_설정'!B12+P436*'01_설정'!B13+IF(Z436="",0,Z436))</f>
        <v/>
      </c>
      <c r="X436" s="152">
        <f>IF(W436="","",1+COUNTIFS($W$4:$W$3003,"&gt;"&amp;W436)+COUNTIFS($W$4:W436,W436)-1)</f>
        <v/>
      </c>
      <c r="Y436" s="175">
        <f>IF(OR(I436="",'02_대상물건입력'!B19="",'02_대상물건입력'!B19&lt;=0),"",ABS(I436-'02_대상물건입력'!B19)/'02_대상물건입력'!B19)</f>
        <v/>
      </c>
      <c r="Z436" s="172">
        <f>IF(OR(Y436="",'01_설정'!B31="",'01_설정'!B31&lt;=0,'01_설정'!B32="",'01_설정'!B32&lt;=0),"",MAX(0,(1-Y436/'01_설정'!B32))*'01_설정'!B31)</f>
        <v/>
      </c>
    </row>
    <row r="437" ht="17.25" customHeight="1">
      <c r="A437" s="152">
        <f>IF(INDEX('04A_국토부원자료'!$A:$A,ROW()+1)="","",ROW()-3)</f>
        <v/>
      </c>
      <c r="B437" s="48">
        <f>IFERROR(INDEX('04A_국토부원자료'!$A:$T,ROW()+1,MATCH("시군구",'04A_국토부원자료'!$A$4:$T$4,0)),"")</f>
        <v/>
      </c>
      <c r="C437" s="48">
        <f>IF(B437="","",IFERROR(INDEX('04A_국토부원자료'!$A:$T,ROW()+1,MATCH("번지",'04A_국토부원자료'!$A$4:$T$4,0)),""))</f>
        <v/>
      </c>
      <c r="D437" s="48">
        <f>IF(B437="","",IF(Q437=1,'02_대상물건입력'!$B$8,IFERROR(INDEX('04A_국토부원자료'!$A:$T,ROW()+1,MATCH("단지명",'04A_국토부원자료'!$A$4:$T$4,0)),"")))</f>
        <v/>
      </c>
      <c r="E437" s="172">
        <f>IFERROR(VALUE(SUBSTITUTE(INDEX('04A_국토부원자료'!$A:$T,ROW()+1,MATCH("전용면적(㎡)",'04A_국토부원자료'!$A$4:$T$4,0)),",","")),"")</f>
        <v/>
      </c>
      <c r="F4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37" s="51">
        <f>IFERROR(VALUE(SUBSTITUTE(INDEX('04A_국토부원자료'!$A:$T,ROW()+1,MATCH("거래금액(만원)",'04A_국토부원자료'!$A$4:$T$4,0)),",","")),"")</f>
        <v/>
      </c>
      <c r="H437" s="174">
        <f>IF(G437="","",G437*10000)</f>
        <v/>
      </c>
      <c r="I437" s="174">
        <f>IFERROR(IF(AND(H437&gt;0,E437&gt;0),H437/E437,""),"")</f>
        <v/>
      </c>
      <c r="J437" s="152">
        <f>IFERROR(VALUE(SUBSTITUTE(INDEX('04A_국토부원자료'!$A:$T,ROW()+1,MATCH("층",'04A_국토부원자료'!$A$4:$T$4,0)),",","")),"")</f>
        <v/>
      </c>
      <c r="K437" s="152">
        <f>IFERROR(VALUE(SUBSTITUTE(INDEX('04A_국토부원자료'!$A:$T,ROW()+1,MATCH("건축년도",'04A_국토부원자료'!$A$4:$T$4,0)),",","")),"")</f>
        <v/>
      </c>
      <c r="L437" s="176">
        <f>IFERROR(INDEX('04A_국토부원자료'!$A:$T,ROW()+1,MATCH("도로명",'04A_국토부원자료'!$A$4:$T$4,0)),"")</f>
        <v/>
      </c>
      <c r="M437" s="48">
        <f>IFERROR(INDEX('04A_국토부원자료'!$A:$T,ROW()+1,MATCH("거래유형",'04A_국토부원자료'!$A$4:$T$4,0)),"")</f>
        <v/>
      </c>
      <c r="N437" s="152">
        <f>IF(B437="","",IF('02_대상물건입력'!B5="",1,IF(ISNUMBER(SEARCH('02_대상물건입력'!B5,B437)),1,0)))</f>
        <v/>
      </c>
      <c r="O437" s="152">
        <f>IF(B437="","",IF('02_대상물건입력'!B6="",1,IF(ISNUMBER(SEARCH('02_대상물건입력'!B6,B437)),1,0)))</f>
        <v/>
      </c>
      <c r="P437" s="152">
        <f>IF(L437="","",IF('02_대상물건입력'!B15="",0,IF(ISNUMBER(SEARCH('02_대상물건입력'!B15,L437)),1,0)))</f>
        <v/>
      </c>
      <c r="Q437" s="152">
        <f>IF(OR(C437="",L437=""),0,IF(AND(TRIM(C437)=TRIM(RIGHT(SUBSTITUTE(TRIM('02_대상물건입력'!$B$7)," ",REPT(" ",99)),99)),IF('02_대상물건입력'!B15="",TRUE(),ISNUMBER(SEARCH('02_대상물건입력'!B15,L437)))),1,0))</f>
        <v/>
      </c>
      <c r="R437" s="175">
        <f>IFERROR(ABS(E437-'02_대상물건입력'!B11)/'02_대상물건입력'!B11,"")</f>
        <v/>
      </c>
      <c r="S437" s="152">
        <f>IFERROR(ABS(J437-'02_대상물건입력'!B10),"")</f>
        <v/>
      </c>
      <c r="T437" s="152">
        <f>IFERROR(ABS('01_설정'!B4-F437),"")</f>
        <v/>
      </c>
      <c r="U437" s="152">
        <f>IFERROR(ABS(K437-YEAR('02_대상물건입력'!B14)),"")</f>
        <v/>
      </c>
      <c r="V437" s="152">
        <f>IF(B437="","",IF(AND(E437&gt;0,F437&gt;0,H437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437=1,TRUE()),R437&lt;='01_설정'!B5,S437&lt;='01_설정'!B6,T437&lt;='01_설정'!B7,U437&lt;='01_설정'!B8),"Y",""))</f>
        <v/>
      </c>
      <c r="W437" s="172">
        <f>IF(V437&lt;&gt;"Y","",MAX(0,(1-R437/'01_설정'!B5))*'01_설정'!B14+MAX(0,(1-S437/'01_설정'!B6))*'01_설정'!B15+MAX(0,(1-T437/'01_설정'!B7))*'01_설정'!B16+MAX(0,(1-U437/'01_설정'!B8))*'01_설정'!B17+O437*'01_설정'!B11+Q437*'01_설정'!B12+P437*'01_설정'!B13+IF(Z437="",0,Z437))</f>
        <v/>
      </c>
      <c r="X437" s="152">
        <f>IF(W437="","",1+COUNTIFS($W$4:$W$3003,"&gt;"&amp;W437)+COUNTIFS($W$4:W437,W437)-1)</f>
        <v/>
      </c>
      <c r="Y437" s="175">
        <f>IF(OR(I437="",'02_대상물건입력'!B19="",'02_대상물건입력'!B19&lt;=0),"",ABS(I437-'02_대상물건입력'!B19)/'02_대상물건입력'!B19)</f>
        <v/>
      </c>
      <c r="Z437" s="172">
        <f>IF(OR(Y437="",'01_설정'!B31="",'01_설정'!B31&lt;=0,'01_설정'!B32="",'01_설정'!B32&lt;=0),"",MAX(0,(1-Y437/'01_설정'!B32))*'01_설정'!B31)</f>
        <v/>
      </c>
    </row>
    <row r="438" ht="17.25" customHeight="1">
      <c r="A438" s="152">
        <f>IF(INDEX('04A_국토부원자료'!$A:$A,ROW()+1)="","",ROW()-3)</f>
        <v/>
      </c>
      <c r="B438" s="48">
        <f>IFERROR(INDEX('04A_국토부원자료'!$A:$T,ROW()+1,MATCH("시군구",'04A_국토부원자료'!$A$4:$T$4,0)),"")</f>
        <v/>
      </c>
      <c r="C438" s="48">
        <f>IF(B438="","",IFERROR(INDEX('04A_국토부원자료'!$A:$T,ROW()+1,MATCH("번지",'04A_국토부원자료'!$A$4:$T$4,0)),""))</f>
        <v/>
      </c>
      <c r="D438" s="48">
        <f>IF(B438="","",IF(Q438=1,'02_대상물건입력'!$B$8,IFERROR(INDEX('04A_국토부원자료'!$A:$T,ROW()+1,MATCH("단지명",'04A_국토부원자료'!$A$4:$T$4,0)),"")))</f>
        <v/>
      </c>
      <c r="E438" s="172">
        <f>IFERROR(VALUE(SUBSTITUTE(INDEX('04A_국토부원자료'!$A:$T,ROW()+1,MATCH("전용면적(㎡)",'04A_국토부원자료'!$A$4:$T$4,0)),",","")),"")</f>
        <v/>
      </c>
      <c r="F4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38" s="51">
        <f>IFERROR(VALUE(SUBSTITUTE(INDEX('04A_국토부원자료'!$A:$T,ROW()+1,MATCH("거래금액(만원)",'04A_국토부원자료'!$A$4:$T$4,0)),",","")),"")</f>
        <v/>
      </c>
      <c r="H438" s="174">
        <f>IF(G438="","",G438*10000)</f>
        <v/>
      </c>
      <c r="I438" s="174">
        <f>IFERROR(IF(AND(H438&gt;0,E438&gt;0),H438/E438,""),"")</f>
        <v/>
      </c>
      <c r="J438" s="152">
        <f>IFERROR(VALUE(SUBSTITUTE(INDEX('04A_국토부원자료'!$A:$T,ROW()+1,MATCH("층",'04A_국토부원자료'!$A$4:$T$4,0)),",","")),"")</f>
        <v/>
      </c>
      <c r="K438" s="152">
        <f>IFERROR(VALUE(SUBSTITUTE(INDEX('04A_국토부원자료'!$A:$T,ROW()+1,MATCH("건축년도",'04A_국토부원자료'!$A$4:$T$4,0)),",","")),"")</f>
        <v/>
      </c>
      <c r="L438" s="176">
        <f>IFERROR(INDEX('04A_국토부원자료'!$A:$T,ROW()+1,MATCH("도로명",'04A_국토부원자료'!$A$4:$T$4,0)),"")</f>
        <v/>
      </c>
      <c r="M438" s="48">
        <f>IFERROR(INDEX('04A_국토부원자료'!$A:$T,ROW()+1,MATCH("거래유형",'04A_국토부원자료'!$A$4:$T$4,0)),"")</f>
        <v/>
      </c>
      <c r="N438" s="152">
        <f>IF(B438="","",IF('02_대상물건입력'!B5="",1,IF(ISNUMBER(SEARCH('02_대상물건입력'!B5,B438)),1,0)))</f>
        <v/>
      </c>
      <c r="O438" s="152">
        <f>IF(B438="","",IF('02_대상물건입력'!B6="",1,IF(ISNUMBER(SEARCH('02_대상물건입력'!B6,B438)),1,0)))</f>
        <v/>
      </c>
      <c r="P438" s="152">
        <f>IF(L438="","",IF('02_대상물건입력'!B15="",0,IF(ISNUMBER(SEARCH('02_대상물건입력'!B15,L438)),1,0)))</f>
        <v/>
      </c>
      <c r="Q438" s="152">
        <f>IF(OR(C438="",L438=""),0,IF(AND(TRIM(C438)=TRIM(RIGHT(SUBSTITUTE(TRIM('02_대상물건입력'!$B$7)," ",REPT(" ",99)),99)),IF('02_대상물건입력'!B15="",TRUE(),ISNUMBER(SEARCH('02_대상물건입력'!B15,L438)))),1,0))</f>
        <v/>
      </c>
      <c r="R438" s="175">
        <f>IFERROR(ABS(E438-'02_대상물건입력'!B11)/'02_대상물건입력'!B11,"")</f>
        <v/>
      </c>
      <c r="S438" s="152">
        <f>IFERROR(ABS(J438-'02_대상물건입력'!B10),"")</f>
        <v/>
      </c>
      <c r="T438" s="152">
        <f>IFERROR(ABS('01_설정'!B4-F438),"")</f>
        <v/>
      </c>
      <c r="U438" s="152">
        <f>IFERROR(ABS(K438-YEAR('02_대상물건입력'!B14)),"")</f>
        <v/>
      </c>
      <c r="V438" s="152">
        <f>IF(B438="","",IF(AND(E438&gt;0,F438&gt;0,H438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438=1,TRUE()),R438&lt;='01_설정'!B5,S438&lt;='01_설정'!B6,T438&lt;='01_설정'!B7,U438&lt;='01_설정'!B8),"Y",""))</f>
        <v/>
      </c>
      <c r="W438" s="172">
        <f>IF(V438&lt;&gt;"Y","",MAX(0,(1-R438/'01_설정'!B5))*'01_설정'!B14+MAX(0,(1-S438/'01_설정'!B6))*'01_설정'!B15+MAX(0,(1-T438/'01_설정'!B7))*'01_설정'!B16+MAX(0,(1-U438/'01_설정'!B8))*'01_설정'!B17+O438*'01_설정'!B11+Q438*'01_설정'!B12+P438*'01_설정'!B13+IF(Z438="",0,Z438))</f>
        <v/>
      </c>
      <c r="X438" s="152">
        <f>IF(W438="","",1+COUNTIFS($W$4:$W$3003,"&gt;"&amp;W438)+COUNTIFS($W$4:W438,W438)-1)</f>
        <v/>
      </c>
      <c r="Y438" s="175">
        <f>IF(OR(I438="",'02_대상물건입력'!B19="",'02_대상물건입력'!B19&lt;=0),"",ABS(I438-'02_대상물건입력'!B19)/'02_대상물건입력'!B19)</f>
        <v/>
      </c>
      <c r="Z438" s="172">
        <f>IF(OR(Y438="",'01_설정'!B31="",'01_설정'!B31&lt;=0,'01_설정'!B32="",'01_설정'!B32&lt;=0),"",MAX(0,(1-Y438/'01_설정'!B32))*'01_설정'!B31)</f>
        <v/>
      </c>
    </row>
    <row r="439" ht="17.25" customHeight="1">
      <c r="A439" s="152">
        <f>IF(INDEX('04A_국토부원자료'!$A:$A,ROW()+1)="","",ROW()-3)</f>
        <v/>
      </c>
      <c r="B439" s="48">
        <f>IFERROR(INDEX('04A_국토부원자료'!$A:$T,ROW()+1,MATCH("시군구",'04A_국토부원자료'!$A$4:$T$4,0)),"")</f>
        <v/>
      </c>
      <c r="C439" s="48">
        <f>IF(B439="","",IFERROR(INDEX('04A_국토부원자료'!$A:$T,ROW()+1,MATCH("번지",'04A_국토부원자료'!$A$4:$T$4,0)),""))</f>
        <v/>
      </c>
      <c r="D439" s="48">
        <f>IF(B439="","",IF(Q439=1,'02_대상물건입력'!$B$8,IFERROR(INDEX('04A_국토부원자료'!$A:$T,ROW()+1,MATCH("단지명",'04A_국토부원자료'!$A$4:$T$4,0)),"")))</f>
        <v/>
      </c>
      <c r="E439" s="172">
        <f>IFERROR(VALUE(SUBSTITUTE(INDEX('04A_국토부원자료'!$A:$T,ROW()+1,MATCH("전용면적(㎡)",'04A_국토부원자료'!$A$4:$T$4,0)),",","")),"")</f>
        <v/>
      </c>
      <c r="F4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39" s="51">
        <f>IFERROR(VALUE(SUBSTITUTE(INDEX('04A_국토부원자료'!$A:$T,ROW()+1,MATCH("거래금액(만원)",'04A_국토부원자료'!$A$4:$T$4,0)),",","")),"")</f>
        <v/>
      </c>
      <c r="H439" s="174">
        <f>IF(G439="","",G439*10000)</f>
        <v/>
      </c>
      <c r="I439" s="174">
        <f>IFERROR(IF(AND(H439&gt;0,E439&gt;0),H439/E439,""),"")</f>
        <v/>
      </c>
      <c r="J439" s="152">
        <f>IFERROR(VALUE(SUBSTITUTE(INDEX('04A_국토부원자료'!$A:$T,ROW()+1,MATCH("층",'04A_국토부원자료'!$A$4:$T$4,0)),",","")),"")</f>
        <v/>
      </c>
      <c r="K439" s="152">
        <f>IFERROR(VALUE(SUBSTITUTE(INDEX('04A_국토부원자료'!$A:$T,ROW()+1,MATCH("건축년도",'04A_국토부원자료'!$A$4:$T$4,0)),",","")),"")</f>
        <v/>
      </c>
      <c r="L439" s="176">
        <f>IFERROR(INDEX('04A_국토부원자료'!$A:$T,ROW()+1,MATCH("도로명",'04A_국토부원자료'!$A$4:$T$4,0)),"")</f>
        <v/>
      </c>
      <c r="M439" s="48">
        <f>IFERROR(INDEX('04A_국토부원자료'!$A:$T,ROW()+1,MATCH("거래유형",'04A_국토부원자료'!$A$4:$T$4,0)),"")</f>
        <v/>
      </c>
      <c r="N439" s="152">
        <f>IF(B439="","",IF('02_대상물건입력'!B5="",1,IF(ISNUMBER(SEARCH('02_대상물건입력'!B5,B439)),1,0)))</f>
        <v/>
      </c>
      <c r="O439" s="152">
        <f>IF(B439="","",IF('02_대상물건입력'!B6="",1,IF(ISNUMBER(SEARCH('02_대상물건입력'!B6,B439)),1,0)))</f>
        <v/>
      </c>
      <c r="P439" s="152">
        <f>IF(L439="","",IF('02_대상물건입력'!B15="",0,IF(ISNUMBER(SEARCH('02_대상물건입력'!B15,L439)),1,0)))</f>
        <v/>
      </c>
      <c r="Q439" s="152">
        <f>IF(OR(C439="",L439=""),0,IF(AND(TRIM(C439)=TRIM(RIGHT(SUBSTITUTE(TRIM('02_대상물건입력'!$B$7)," ",REPT(" ",99)),99)),IF('02_대상물건입력'!B15="",TRUE(),ISNUMBER(SEARCH('02_대상물건입력'!B15,L439)))),1,0))</f>
        <v/>
      </c>
      <c r="R439" s="175">
        <f>IFERROR(ABS(E439-'02_대상물건입력'!B11)/'02_대상물건입력'!B11,"")</f>
        <v/>
      </c>
      <c r="S439" s="152">
        <f>IFERROR(ABS(J439-'02_대상물건입력'!B10),"")</f>
        <v/>
      </c>
      <c r="T439" s="152">
        <f>IFERROR(ABS('01_설정'!B4-F439),"")</f>
        <v/>
      </c>
      <c r="U439" s="152">
        <f>IFERROR(ABS(K439-YEAR('02_대상물건입력'!B14)),"")</f>
        <v/>
      </c>
      <c r="V439" s="152">
        <f>IF(B439="","",IF(AND(E439&gt;0,F439&gt;0,H439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439=1,TRUE()),R439&lt;='01_설정'!B5,S439&lt;='01_설정'!B6,T439&lt;='01_설정'!B7,U439&lt;='01_설정'!B8),"Y",""))</f>
        <v/>
      </c>
      <c r="W439" s="172">
        <f>IF(V439&lt;&gt;"Y","",MAX(0,(1-R439/'01_설정'!B5))*'01_설정'!B14+MAX(0,(1-S439/'01_설정'!B6))*'01_설정'!B15+MAX(0,(1-T439/'01_설정'!B7))*'01_설정'!B16+MAX(0,(1-U439/'01_설정'!B8))*'01_설정'!B17+O439*'01_설정'!B11+Q439*'01_설정'!B12+P439*'01_설정'!B13+IF(Z439="",0,Z439))</f>
        <v/>
      </c>
      <c r="X439" s="152">
        <f>IF(W439="","",1+COUNTIFS($W$4:$W$3003,"&gt;"&amp;W439)+COUNTIFS($W$4:W439,W439)-1)</f>
        <v/>
      </c>
      <c r="Y439" s="175">
        <f>IF(OR(I439="",'02_대상물건입력'!B19="",'02_대상물건입력'!B19&lt;=0),"",ABS(I439-'02_대상물건입력'!B19)/'02_대상물건입력'!B19)</f>
        <v/>
      </c>
      <c r="Z439" s="172">
        <f>IF(OR(Y439="",'01_설정'!B31="",'01_설정'!B31&lt;=0,'01_설정'!B32="",'01_설정'!B32&lt;=0),"",MAX(0,(1-Y439/'01_설정'!B32))*'01_설정'!B31)</f>
        <v/>
      </c>
    </row>
    <row r="440" ht="17.25" customHeight="1">
      <c r="A440" s="152">
        <f>IF(INDEX('04A_국토부원자료'!$A:$A,ROW()+1)="","",ROW()-3)</f>
        <v/>
      </c>
      <c r="B440" s="48">
        <f>IFERROR(INDEX('04A_국토부원자료'!$A:$T,ROW()+1,MATCH("시군구",'04A_국토부원자료'!$A$4:$T$4,0)),"")</f>
        <v/>
      </c>
      <c r="C440" s="48">
        <f>IF(B440="","",IFERROR(INDEX('04A_국토부원자료'!$A:$T,ROW()+1,MATCH("번지",'04A_국토부원자료'!$A$4:$T$4,0)),""))</f>
        <v/>
      </c>
      <c r="D440" s="48">
        <f>IF(B440="","",IF(Q440=1,'02_대상물건입력'!$B$8,IFERROR(INDEX('04A_국토부원자료'!$A:$T,ROW()+1,MATCH("단지명",'04A_국토부원자료'!$A$4:$T$4,0)),"")))</f>
        <v/>
      </c>
      <c r="E440" s="172">
        <f>IFERROR(VALUE(SUBSTITUTE(INDEX('04A_국토부원자료'!$A:$T,ROW()+1,MATCH("전용면적(㎡)",'04A_국토부원자료'!$A$4:$T$4,0)),",","")),"")</f>
        <v/>
      </c>
      <c r="F4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40" s="51">
        <f>IFERROR(VALUE(SUBSTITUTE(INDEX('04A_국토부원자료'!$A:$T,ROW()+1,MATCH("거래금액(만원)",'04A_국토부원자료'!$A$4:$T$4,0)),",","")),"")</f>
        <v/>
      </c>
      <c r="H440" s="174">
        <f>IF(G440="","",G440*10000)</f>
        <v/>
      </c>
      <c r="I440" s="174">
        <f>IFERROR(IF(AND(H440&gt;0,E440&gt;0),H440/E440,""),"")</f>
        <v/>
      </c>
      <c r="J440" s="152">
        <f>IFERROR(VALUE(SUBSTITUTE(INDEX('04A_국토부원자료'!$A:$T,ROW()+1,MATCH("층",'04A_국토부원자료'!$A$4:$T$4,0)),",","")),"")</f>
        <v/>
      </c>
      <c r="K440" s="152">
        <f>IFERROR(VALUE(SUBSTITUTE(INDEX('04A_국토부원자료'!$A:$T,ROW()+1,MATCH("건축년도",'04A_국토부원자료'!$A$4:$T$4,0)),",","")),"")</f>
        <v/>
      </c>
      <c r="L440" s="176">
        <f>IFERROR(INDEX('04A_국토부원자료'!$A:$T,ROW()+1,MATCH("도로명",'04A_국토부원자료'!$A$4:$T$4,0)),"")</f>
        <v/>
      </c>
      <c r="M440" s="48">
        <f>IFERROR(INDEX('04A_국토부원자료'!$A:$T,ROW()+1,MATCH("거래유형",'04A_국토부원자료'!$A$4:$T$4,0)),"")</f>
        <v/>
      </c>
      <c r="N440" s="152">
        <f>IF(B440="","",IF('02_대상물건입력'!B5="",1,IF(ISNUMBER(SEARCH('02_대상물건입력'!B5,B440)),1,0)))</f>
        <v/>
      </c>
      <c r="O440" s="152">
        <f>IF(B440="","",IF('02_대상물건입력'!B6="",1,IF(ISNUMBER(SEARCH('02_대상물건입력'!B6,B440)),1,0)))</f>
        <v/>
      </c>
      <c r="P440" s="152">
        <f>IF(L440="","",IF('02_대상물건입력'!B15="",0,IF(ISNUMBER(SEARCH('02_대상물건입력'!B15,L440)),1,0)))</f>
        <v/>
      </c>
      <c r="Q440" s="152">
        <f>IF(OR(C440="",L440=""),0,IF(AND(TRIM(C440)=TRIM(RIGHT(SUBSTITUTE(TRIM('02_대상물건입력'!$B$7)," ",REPT(" ",99)),99)),IF('02_대상물건입력'!B15="",TRUE(),ISNUMBER(SEARCH('02_대상물건입력'!B15,L440)))),1,0))</f>
        <v/>
      </c>
      <c r="R440" s="175">
        <f>IFERROR(ABS(E440-'02_대상물건입력'!B11)/'02_대상물건입력'!B11,"")</f>
        <v/>
      </c>
      <c r="S440" s="152">
        <f>IFERROR(ABS(J440-'02_대상물건입력'!B10),"")</f>
        <v/>
      </c>
      <c r="T440" s="152">
        <f>IFERROR(ABS('01_설정'!B4-F440),"")</f>
        <v/>
      </c>
      <c r="U440" s="152">
        <f>IFERROR(ABS(K440-YEAR('02_대상물건입력'!B14)),"")</f>
        <v/>
      </c>
      <c r="V440" s="152">
        <f>IF(B440="","",IF(AND(E440&gt;0,F440&gt;0,H440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440=1,TRUE()),R440&lt;='01_설정'!B5,S440&lt;='01_설정'!B6,T440&lt;='01_설정'!B7,U440&lt;='01_설정'!B8),"Y",""))</f>
        <v/>
      </c>
      <c r="W440" s="172">
        <f>IF(V440&lt;&gt;"Y","",MAX(0,(1-R440/'01_설정'!B5))*'01_설정'!B14+MAX(0,(1-S440/'01_설정'!B6))*'01_설정'!B15+MAX(0,(1-T440/'01_설정'!B7))*'01_설정'!B16+MAX(0,(1-U440/'01_설정'!B8))*'01_설정'!B17+O440*'01_설정'!B11+Q440*'01_설정'!B12+P440*'01_설정'!B13+IF(Z440="",0,Z440))</f>
        <v/>
      </c>
      <c r="X440" s="152">
        <f>IF(W440="","",1+COUNTIFS($W$4:$W$3003,"&gt;"&amp;W440)+COUNTIFS($W$4:W440,W440)-1)</f>
        <v/>
      </c>
      <c r="Y440" s="175">
        <f>IF(OR(I440="",'02_대상물건입력'!B19="",'02_대상물건입력'!B19&lt;=0),"",ABS(I440-'02_대상물건입력'!B19)/'02_대상물건입력'!B19)</f>
        <v/>
      </c>
      <c r="Z440" s="172">
        <f>IF(OR(Y440="",'01_설정'!B31="",'01_설정'!B31&lt;=0,'01_설정'!B32="",'01_설정'!B32&lt;=0),"",MAX(0,(1-Y440/'01_설정'!B32))*'01_설정'!B31)</f>
        <v/>
      </c>
    </row>
    <row r="441" ht="17.25" customHeight="1">
      <c r="A441" s="152">
        <f>IF(INDEX('04A_국토부원자료'!$A:$A,ROW()+1)="","",ROW()-3)</f>
        <v/>
      </c>
      <c r="B441" s="48">
        <f>IFERROR(INDEX('04A_국토부원자료'!$A:$T,ROW()+1,MATCH("시군구",'04A_국토부원자료'!$A$4:$T$4,0)),"")</f>
        <v/>
      </c>
      <c r="C441" s="48">
        <f>IF(B441="","",IFERROR(INDEX('04A_국토부원자료'!$A:$T,ROW()+1,MATCH("번지",'04A_국토부원자료'!$A$4:$T$4,0)),""))</f>
        <v/>
      </c>
      <c r="D441" s="48">
        <f>IF(B441="","",IF(Q441=1,'02_대상물건입력'!$B$8,IFERROR(INDEX('04A_국토부원자료'!$A:$T,ROW()+1,MATCH("단지명",'04A_국토부원자료'!$A$4:$T$4,0)),"")))</f>
        <v/>
      </c>
      <c r="E441" s="172">
        <f>IFERROR(VALUE(SUBSTITUTE(INDEX('04A_국토부원자료'!$A:$T,ROW()+1,MATCH("전용면적(㎡)",'04A_국토부원자료'!$A$4:$T$4,0)),",","")),"")</f>
        <v/>
      </c>
      <c r="F4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41" s="51">
        <f>IFERROR(VALUE(SUBSTITUTE(INDEX('04A_국토부원자료'!$A:$T,ROW()+1,MATCH("거래금액(만원)",'04A_국토부원자료'!$A$4:$T$4,0)),",","")),"")</f>
        <v/>
      </c>
      <c r="H441" s="174">
        <f>IF(G441="","",G441*10000)</f>
        <v/>
      </c>
      <c r="I441" s="174">
        <f>IFERROR(IF(AND(H441&gt;0,E441&gt;0),H441/E441,""),"")</f>
        <v/>
      </c>
      <c r="J441" s="152">
        <f>IFERROR(VALUE(SUBSTITUTE(INDEX('04A_국토부원자료'!$A:$T,ROW()+1,MATCH("층",'04A_국토부원자료'!$A$4:$T$4,0)),",","")),"")</f>
        <v/>
      </c>
      <c r="K441" s="152">
        <f>IFERROR(VALUE(SUBSTITUTE(INDEX('04A_국토부원자료'!$A:$T,ROW()+1,MATCH("건축년도",'04A_국토부원자료'!$A$4:$T$4,0)),",","")),"")</f>
        <v/>
      </c>
      <c r="L441" s="176">
        <f>IFERROR(INDEX('04A_국토부원자료'!$A:$T,ROW()+1,MATCH("도로명",'04A_국토부원자료'!$A$4:$T$4,0)),"")</f>
        <v/>
      </c>
      <c r="M441" s="48">
        <f>IFERROR(INDEX('04A_국토부원자료'!$A:$T,ROW()+1,MATCH("거래유형",'04A_국토부원자료'!$A$4:$T$4,0)),"")</f>
        <v/>
      </c>
      <c r="N441" s="152">
        <f>IF(B441="","",IF('02_대상물건입력'!B5="",1,IF(ISNUMBER(SEARCH('02_대상물건입력'!B5,B441)),1,0)))</f>
        <v/>
      </c>
      <c r="O441" s="152">
        <f>IF(B441="","",IF('02_대상물건입력'!B6="",1,IF(ISNUMBER(SEARCH('02_대상물건입력'!B6,B441)),1,0)))</f>
        <v/>
      </c>
      <c r="P441" s="152">
        <f>IF(L441="","",IF('02_대상물건입력'!B15="",0,IF(ISNUMBER(SEARCH('02_대상물건입력'!B15,L441)),1,0)))</f>
        <v/>
      </c>
      <c r="Q441" s="152">
        <f>IF(OR(C441="",L441=""),0,IF(AND(TRIM(C441)=TRIM(RIGHT(SUBSTITUTE(TRIM('02_대상물건입력'!$B$7)," ",REPT(" ",99)),99)),IF('02_대상물건입력'!B15="",TRUE(),ISNUMBER(SEARCH('02_대상물건입력'!B15,L441)))),1,0))</f>
        <v/>
      </c>
      <c r="R441" s="175">
        <f>IFERROR(ABS(E441-'02_대상물건입력'!B11)/'02_대상물건입력'!B11,"")</f>
        <v/>
      </c>
      <c r="S441" s="152">
        <f>IFERROR(ABS(J441-'02_대상물건입력'!B10),"")</f>
        <v/>
      </c>
      <c r="T441" s="152">
        <f>IFERROR(ABS('01_설정'!B4-F441),"")</f>
        <v/>
      </c>
      <c r="U441" s="152">
        <f>IFERROR(ABS(K441-YEAR('02_대상물건입력'!B14)),"")</f>
        <v/>
      </c>
      <c r="V441" s="152">
        <f>IF(B441="","",IF(AND(E441&gt;0,F441&gt;0,H441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441=1,TRUE()),R441&lt;='01_설정'!B5,S441&lt;='01_설정'!B6,T441&lt;='01_설정'!B7,U441&lt;='01_설정'!B8),"Y",""))</f>
        <v/>
      </c>
      <c r="W441" s="172">
        <f>IF(V441&lt;&gt;"Y","",MAX(0,(1-R441/'01_설정'!B5))*'01_설정'!B14+MAX(0,(1-S441/'01_설정'!B6))*'01_설정'!B15+MAX(0,(1-T441/'01_설정'!B7))*'01_설정'!B16+MAX(0,(1-U441/'01_설정'!B8))*'01_설정'!B17+O441*'01_설정'!B11+Q441*'01_설정'!B12+P441*'01_설정'!B13+IF(Z441="",0,Z441))</f>
        <v/>
      </c>
      <c r="X441" s="152">
        <f>IF(W441="","",1+COUNTIFS($W$4:$W$3003,"&gt;"&amp;W441)+COUNTIFS($W$4:W441,W441)-1)</f>
        <v/>
      </c>
      <c r="Y441" s="175">
        <f>IF(OR(I441="",'02_대상물건입력'!B19="",'02_대상물건입력'!B19&lt;=0),"",ABS(I441-'02_대상물건입력'!B19)/'02_대상물건입력'!B19)</f>
        <v/>
      </c>
      <c r="Z441" s="172">
        <f>IF(OR(Y441="",'01_설정'!B31="",'01_설정'!B31&lt;=0,'01_설정'!B32="",'01_설정'!B32&lt;=0),"",MAX(0,(1-Y441/'01_설정'!B32))*'01_설정'!B31)</f>
        <v/>
      </c>
    </row>
    <row r="442" ht="17.25" customHeight="1">
      <c r="A442" s="152">
        <f>IF(INDEX('04A_국토부원자료'!$A:$A,ROW()+1)="","",ROW()-3)</f>
        <v/>
      </c>
      <c r="B442" s="48">
        <f>IFERROR(INDEX('04A_국토부원자료'!$A:$T,ROW()+1,MATCH("시군구",'04A_국토부원자료'!$A$4:$T$4,0)),"")</f>
        <v/>
      </c>
      <c r="C442" s="48">
        <f>IF(B442="","",IFERROR(INDEX('04A_국토부원자료'!$A:$T,ROW()+1,MATCH("번지",'04A_국토부원자료'!$A$4:$T$4,0)),""))</f>
        <v/>
      </c>
      <c r="D442" s="48">
        <f>IF(B442="","",IF(Q442=1,'02_대상물건입력'!$B$8,IFERROR(INDEX('04A_국토부원자료'!$A:$T,ROW()+1,MATCH("단지명",'04A_국토부원자료'!$A$4:$T$4,0)),"")))</f>
        <v/>
      </c>
      <c r="E442" s="172">
        <f>IFERROR(VALUE(SUBSTITUTE(INDEX('04A_국토부원자료'!$A:$T,ROW()+1,MATCH("전용면적(㎡)",'04A_국토부원자료'!$A$4:$T$4,0)),",","")),"")</f>
        <v/>
      </c>
      <c r="F4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42" s="51">
        <f>IFERROR(VALUE(SUBSTITUTE(INDEX('04A_국토부원자료'!$A:$T,ROW()+1,MATCH("거래금액(만원)",'04A_국토부원자료'!$A$4:$T$4,0)),",","")),"")</f>
        <v/>
      </c>
      <c r="H442" s="174">
        <f>IF(G442="","",G442*10000)</f>
        <v/>
      </c>
      <c r="I442" s="174">
        <f>IFERROR(IF(AND(H442&gt;0,E442&gt;0),H442/E442,""),"")</f>
        <v/>
      </c>
      <c r="J442" s="152">
        <f>IFERROR(VALUE(SUBSTITUTE(INDEX('04A_국토부원자료'!$A:$T,ROW()+1,MATCH("층",'04A_국토부원자료'!$A$4:$T$4,0)),",","")),"")</f>
        <v/>
      </c>
      <c r="K442" s="152">
        <f>IFERROR(VALUE(SUBSTITUTE(INDEX('04A_국토부원자료'!$A:$T,ROW()+1,MATCH("건축년도",'04A_국토부원자료'!$A$4:$T$4,0)),",","")),"")</f>
        <v/>
      </c>
      <c r="L442" s="176">
        <f>IFERROR(INDEX('04A_국토부원자료'!$A:$T,ROW()+1,MATCH("도로명",'04A_국토부원자료'!$A$4:$T$4,0)),"")</f>
        <v/>
      </c>
      <c r="M442" s="48">
        <f>IFERROR(INDEX('04A_국토부원자료'!$A:$T,ROW()+1,MATCH("거래유형",'04A_국토부원자료'!$A$4:$T$4,0)),"")</f>
        <v/>
      </c>
      <c r="N442" s="152">
        <f>IF(B442="","",IF('02_대상물건입력'!B5="",1,IF(ISNUMBER(SEARCH('02_대상물건입력'!B5,B442)),1,0)))</f>
        <v/>
      </c>
      <c r="O442" s="152">
        <f>IF(B442="","",IF('02_대상물건입력'!B6="",1,IF(ISNUMBER(SEARCH('02_대상물건입력'!B6,B442)),1,0)))</f>
        <v/>
      </c>
      <c r="P442" s="152">
        <f>IF(L442="","",IF('02_대상물건입력'!B15="",0,IF(ISNUMBER(SEARCH('02_대상물건입력'!B15,L442)),1,0)))</f>
        <v/>
      </c>
      <c r="Q442" s="152">
        <f>IF(OR(C442="",L442=""),0,IF(AND(TRIM(C442)=TRIM(RIGHT(SUBSTITUTE(TRIM('02_대상물건입력'!$B$7)," ",REPT(" ",99)),99)),IF('02_대상물건입력'!B15="",TRUE(),ISNUMBER(SEARCH('02_대상물건입력'!B15,L442)))),1,0))</f>
        <v/>
      </c>
      <c r="R442" s="175">
        <f>IFERROR(ABS(E442-'02_대상물건입력'!B11)/'02_대상물건입력'!B11,"")</f>
        <v/>
      </c>
      <c r="S442" s="152">
        <f>IFERROR(ABS(J442-'02_대상물건입력'!B10),"")</f>
        <v/>
      </c>
      <c r="T442" s="152">
        <f>IFERROR(ABS('01_설정'!B4-F442),"")</f>
        <v/>
      </c>
      <c r="U442" s="152">
        <f>IFERROR(ABS(K442-YEAR('02_대상물건입력'!B14)),"")</f>
        <v/>
      </c>
      <c r="V442" s="152">
        <f>IF(B442="","",IF(AND(E442&gt;0,F442&gt;0,H442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442=1,TRUE()),R442&lt;='01_설정'!B5,S442&lt;='01_설정'!B6,T442&lt;='01_설정'!B7,U442&lt;='01_설정'!B8),"Y",""))</f>
        <v/>
      </c>
      <c r="W442" s="172">
        <f>IF(V442&lt;&gt;"Y","",MAX(0,(1-R442/'01_설정'!B5))*'01_설정'!B14+MAX(0,(1-S442/'01_설정'!B6))*'01_설정'!B15+MAX(0,(1-T442/'01_설정'!B7))*'01_설정'!B16+MAX(0,(1-U442/'01_설정'!B8))*'01_설정'!B17+O442*'01_설정'!B11+Q442*'01_설정'!B12+P442*'01_설정'!B13+IF(Z442="",0,Z442))</f>
        <v/>
      </c>
      <c r="X442" s="152">
        <f>IF(W442="","",1+COUNTIFS($W$4:$W$3003,"&gt;"&amp;W442)+COUNTIFS($W$4:W442,W442)-1)</f>
        <v/>
      </c>
      <c r="Y442" s="175">
        <f>IF(OR(I442="",'02_대상물건입력'!B19="",'02_대상물건입력'!B19&lt;=0),"",ABS(I442-'02_대상물건입력'!B19)/'02_대상물건입력'!B19)</f>
        <v/>
      </c>
      <c r="Z442" s="172">
        <f>IF(OR(Y442="",'01_설정'!B31="",'01_설정'!B31&lt;=0,'01_설정'!B32="",'01_설정'!B32&lt;=0),"",MAX(0,(1-Y442/'01_설정'!B32))*'01_설정'!B31)</f>
        <v/>
      </c>
    </row>
    <row r="443" ht="17.25" customHeight="1">
      <c r="A443" s="152">
        <f>IF(INDEX('04A_국토부원자료'!$A:$A,ROW()+1)="","",ROW()-3)</f>
        <v/>
      </c>
      <c r="B443" s="48">
        <f>IFERROR(INDEX('04A_국토부원자료'!$A:$T,ROW()+1,MATCH("시군구",'04A_국토부원자료'!$A$4:$T$4,0)),"")</f>
        <v/>
      </c>
      <c r="C443" s="48">
        <f>IF(B443="","",IFERROR(INDEX('04A_국토부원자료'!$A:$T,ROW()+1,MATCH("번지",'04A_국토부원자료'!$A$4:$T$4,0)),""))</f>
        <v/>
      </c>
      <c r="D443" s="48">
        <f>IF(B443="","",IF(Q443=1,'02_대상물건입력'!$B$8,IFERROR(INDEX('04A_국토부원자료'!$A:$T,ROW()+1,MATCH("단지명",'04A_국토부원자료'!$A$4:$T$4,0)),"")))</f>
        <v/>
      </c>
      <c r="E443" s="172">
        <f>IFERROR(VALUE(SUBSTITUTE(INDEX('04A_국토부원자료'!$A:$T,ROW()+1,MATCH("전용면적(㎡)",'04A_국토부원자료'!$A$4:$T$4,0)),",","")),"")</f>
        <v/>
      </c>
      <c r="F4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43" s="51">
        <f>IFERROR(VALUE(SUBSTITUTE(INDEX('04A_국토부원자료'!$A:$T,ROW()+1,MATCH("거래금액(만원)",'04A_국토부원자료'!$A$4:$T$4,0)),",","")),"")</f>
        <v/>
      </c>
      <c r="H443" s="174">
        <f>IF(G443="","",G443*10000)</f>
        <v/>
      </c>
      <c r="I443" s="174">
        <f>IFERROR(IF(AND(H443&gt;0,E443&gt;0),H443/E443,""),"")</f>
        <v/>
      </c>
      <c r="J443" s="152">
        <f>IFERROR(VALUE(SUBSTITUTE(INDEX('04A_국토부원자료'!$A:$T,ROW()+1,MATCH("층",'04A_국토부원자료'!$A$4:$T$4,0)),",","")),"")</f>
        <v/>
      </c>
      <c r="K443" s="152">
        <f>IFERROR(VALUE(SUBSTITUTE(INDEX('04A_국토부원자료'!$A:$T,ROW()+1,MATCH("건축년도",'04A_국토부원자료'!$A$4:$T$4,0)),",","")),"")</f>
        <v/>
      </c>
      <c r="L443" s="176">
        <f>IFERROR(INDEX('04A_국토부원자료'!$A:$T,ROW()+1,MATCH("도로명",'04A_국토부원자료'!$A$4:$T$4,0)),"")</f>
        <v/>
      </c>
      <c r="M443" s="48">
        <f>IFERROR(INDEX('04A_국토부원자료'!$A:$T,ROW()+1,MATCH("거래유형",'04A_국토부원자료'!$A$4:$T$4,0)),"")</f>
        <v/>
      </c>
      <c r="N443" s="152">
        <f>IF(B443="","",IF('02_대상물건입력'!B5="",1,IF(ISNUMBER(SEARCH('02_대상물건입력'!B5,B443)),1,0)))</f>
        <v/>
      </c>
      <c r="O443" s="152">
        <f>IF(B443="","",IF('02_대상물건입력'!B6="",1,IF(ISNUMBER(SEARCH('02_대상물건입력'!B6,B443)),1,0)))</f>
        <v/>
      </c>
      <c r="P443" s="152">
        <f>IF(L443="","",IF('02_대상물건입력'!B15="",0,IF(ISNUMBER(SEARCH('02_대상물건입력'!B15,L443)),1,0)))</f>
        <v/>
      </c>
      <c r="Q443" s="152">
        <f>IF(OR(C443="",L443=""),0,IF(AND(TRIM(C443)=TRIM(RIGHT(SUBSTITUTE(TRIM('02_대상물건입력'!$B$7)," ",REPT(" ",99)),99)),IF('02_대상물건입력'!B15="",TRUE(),ISNUMBER(SEARCH('02_대상물건입력'!B15,L443)))),1,0))</f>
        <v/>
      </c>
      <c r="R443" s="175">
        <f>IFERROR(ABS(E443-'02_대상물건입력'!B11)/'02_대상물건입력'!B11,"")</f>
        <v/>
      </c>
      <c r="S443" s="152">
        <f>IFERROR(ABS(J443-'02_대상물건입력'!B10),"")</f>
        <v/>
      </c>
      <c r="T443" s="152">
        <f>IFERROR(ABS('01_설정'!B4-F443),"")</f>
        <v/>
      </c>
      <c r="U443" s="152">
        <f>IFERROR(ABS(K443-YEAR('02_대상물건입력'!B14)),"")</f>
        <v/>
      </c>
      <c r="V443" s="152">
        <f>IF(B443="","",IF(AND(E443&gt;0,F443&gt;0,H443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443=1,TRUE()),R443&lt;='01_설정'!B5,S443&lt;='01_설정'!B6,T443&lt;='01_설정'!B7,U443&lt;='01_설정'!B8),"Y",""))</f>
        <v/>
      </c>
      <c r="W443" s="172">
        <f>IF(V443&lt;&gt;"Y","",MAX(0,(1-R443/'01_설정'!B5))*'01_설정'!B14+MAX(0,(1-S443/'01_설정'!B6))*'01_설정'!B15+MAX(0,(1-T443/'01_설정'!B7))*'01_설정'!B16+MAX(0,(1-U443/'01_설정'!B8))*'01_설정'!B17+O443*'01_설정'!B11+Q443*'01_설정'!B12+P443*'01_설정'!B13+IF(Z443="",0,Z443))</f>
        <v/>
      </c>
      <c r="X443" s="152">
        <f>IF(W443="","",1+COUNTIFS($W$4:$W$3003,"&gt;"&amp;W443)+COUNTIFS($W$4:W443,W443)-1)</f>
        <v/>
      </c>
      <c r="Y443" s="175">
        <f>IF(OR(I443="",'02_대상물건입력'!B19="",'02_대상물건입력'!B19&lt;=0),"",ABS(I443-'02_대상물건입력'!B19)/'02_대상물건입력'!B19)</f>
        <v/>
      </c>
      <c r="Z443" s="172">
        <f>IF(OR(Y443="",'01_설정'!B31="",'01_설정'!B31&lt;=0,'01_설정'!B32="",'01_설정'!B32&lt;=0),"",MAX(0,(1-Y443/'01_설정'!B32))*'01_설정'!B31)</f>
        <v/>
      </c>
    </row>
    <row r="444" ht="17.25" customHeight="1">
      <c r="A444" s="152">
        <f>IF(INDEX('04A_국토부원자료'!$A:$A,ROW()+1)="","",ROW()-3)</f>
        <v/>
      </c>
      <c r="B444" s="48">
        <f>IFERROR(INDEX('04A_국토부원자료'!$A:$T,ROW()+1,MATCH("시군구",'04A_국토부원자료'!$A$4:$T$4,0)),"")</f>
        <v/>
      </c>
      <c r="C444" s="48">
        <f>IF(B444="","",IFERROR(INDEX('04A_국토부원자료'!$A:$T,ROW()+1,MATCH("번지",'04A_국토부원자료'!$A$4:$T$4,0)),""))</f>
        <v/>
      </c>
      <c r="D444" s="48">
        <f>IF(B444="","",IF(Q444=1,'02_대상물건입력'!$B$8,IFERROR(INDEX('04A_국토부원자료'!$A:$T,ROW()+1,MATCH("단지명",'04A_국토부원자료'!$A$4:$T$4,0)),"")))</f>
        <v/>
      </c>
      <c r="E444" s="172">
        <f>IFERROR(VALUE(SUBSTITUTE(INDEX('04A_국토부원자료'!$A:$T,ROW()+1,MATCH("전용면적(㎡)",'04A_국토부원자료'!$A$4:$T$4,0)),",","")),"")</f>
        <v/>
      </c>
      <c r="F4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44" s="51">
        <f>IFERROR(VALUE(SUBSTITUTE(INDEX('04A_국토부원자료'!$A:$T,ROW()+1,MATCH("거래금액(만원)",'04A_국토부원자료'!$A$4:$T$4,0)),",","")),"")</f>
        <v/>
      </c>
      <c r="H444" s="174">
        <f>IF(G444="","",G444*10000)</f>
        <v/>
      </c>
      <c r="I444" s="174">
        <f>IFERROR(IF(AND(H444&gt;0,E444&gt;0),H444/E444,""),"")</f>
        <v/>
      </c>
      <c r="J444" s="152">
        <f>IFERROR(VALUE(SUBSTITUTE(INDEX('04A_국토부원자료'!$A:$T,ROW()+1,MATCH("층",'04A_국토부원자료'!$A$4:$T$4,0)),",","")),"")</f>
        <v/>
      </c>
      <c r="K444" s="152">
        <f>IFERROR(VALUE(SUBSTITUTE(INDEX('04A_국토부원자료'!$A:$T,ROW()+1,MATCH("건축년도",'04A_국토부원자료'!$A$4:$T$4,0)),",","")),"")</f>
        <v/>
      </c>
      <c r="L444" s="176">
        <f>IFERROR(INDEX('04A_국토부원자료'!$A:$T,ROW()+1,MATCH("도로명",'04A_국토부원자료'!$A$4:$T$4,0)),"")</f>
        <v/>
      </c>
      <c r="M444" s="48">
        <f>IFERROR(INDEX('04A_국토부원자료'!$A:$T,ROW()+1,MATCH("거래유형",'04A_국토부원자료'!$A$4:$T$4,0)),"")</f>
        <v/>
      </c>
      <c r="N444" s="152">
        <f>IF(B444="","",IF('02_대상물건입력'!B5="",1,IF(ISNUMBER(SEARCH('02_대상물건입력'!B5,B444)),1,0)))</f>
        <v/>
      </c>
      <c r="O444" s="152">
        <f>IF(B444="","",IF('02_대상물건입력'!B6="",1,IF(ISNUMBER(SEARCH('02_대상물건입력'!B6,B444)),1,0)))</f>
        <v/>
      </c>
      <c r="P444" s="152">
        <f>IF(L444="","",IF('02_대상물건입력'!B15="",0,IF(ISNUMBER(SEARCH('02_대상물건입력'!B15,L444)),1,0)))</f>
        <v/>
      </c>
      <c r="Q444" s="152">
        <f>IF(OR(C444="",L444=""),0,IF(AND(TRIM(C444)=TRIM(RIGHT(SUBSTITUTE(TRIM('02_대상물건입력'!$B$7)," ",REPT(" ",99)),99)),IF('02_대상물건입력'!B15="",TRUE(),ISNUMBER(SEARCH('02_대상물건입력'!B15,L444)))),1,0))</f>
        <v/>
      </c>
      <c r="R444" s="175">
        <f>IFERROR(ABS(E444-'02_대상물건입력'!B11)/'02_대상물건입력'!B11,"")</f>
        <v/>
      </c>
      <c r="S444" s="152">
        <f>IFERROR(ABS(J444-'02_대상물건입력'!B10),"")</f>
        <v/>
      </c>
      <c r="T444" s="152">
        <f>IFERROR(ABS('01_설정'!B4-F444),"")</f>
        <v/>
      </c>
      <c r="U444" s="152">
        <f>IFERROR(ABS(K444-YEAR('02_대상물건입력'!B14)),"")</f>
        <v/>
      </c>
      <c r="V444" s="152">
        <f>IF(B444="","",IF(AND(E444&gt;0,F444&gt;0,H444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444=1,TRUE()),R444&lt;='01_설정'!B5,S444&lt;='01_설정'!B6,T444&lt;='01_설정'!B7,U444&lt;='01_설정'!B8),"Y",""))</f>
        <v/>
      </c>
      <c r="W444" s="172">
        <f>IF(V444&lt;&gt;"Y","",MAX(0,(1-R444/'01_설정'!B5))*'01_설정'!B14+MAX(0,(1-S444/'01_설정'!B6))*'01_설정'!B15+MAX(0,(1-T444/'01_설정'!B7))*'01_설정'!B16+MAX(0,(1-U444/'01_설정'!B8))*'01_설정'!B17+O444*'01_설정'!B11+Q444*'01_설정'!B12+P444*'01_설정'!B13+IF(Z444="",0,Z444))</f>
        <v/>
      </c>
      <c r="X444" s="152">
        <f>IF(W444="","",1+COUNTIFS($W$4:$W$3003,"&gt;"&amp;W444)+COUNTIFS($W$4:W444,W444)-1)</f>
        <v/>
      </c>
      <c r="Y444" s="175">
        <f>IF(OR(I444="",'02_대상물건입력'!B19="",'02_대상물건입력'!B19&lt;=0),"",ABS(I444-'02_대상물건입력'!B19)/'02_대상물건입력'!B19)</f>
        <v/>
      </c>
      <c r="Z444" s="172">
        <f>IF(OR(Y444="",'01_설정'!B31="",'01_설정'!B31&lt;=0,'01_설정'!B32="",'01_설정'!B32&lt;=0),"",MAX(0,(1-Y444/'01_설정'!B32))*'01_설정'!B31)</f>
        <v/>
      </c>
    </row>
    <row r="445" ht="17.25" customHeight="1">
      <c r="A445" s="152">
        <f>IF(INDEX('04A_국토부원자료'!$A:$A,ROW()+1)="","",ROW()-3)</f>
        <v/>
      </c>
      <c r="B445" s="48">
        <f>IFERROR(INDEX('04A_국토부원자료'!$A:$T,ROW()+1,MATCH("시군구",'04A_국토부원자료'!$A$4:$T$4,0)),"")</f>
        <v/>
      </c>
      <c r="C445" s="48">
        <f>IF(B445="","",IFERROR(INDEX('04A_국토부원자료'!$A:$T,ROW()+1,MATCH("번지",'04A_국토부원자료'!$A$4:$T$4,0)),""))</f>
        <v/>
      </c>
      <c r="D445" s="48">
        <f>IF(B445="","",IF(Q445=1,'02_대상물건입력'!$B$8,IFERROR(INDEX('04A_국토부원자료'!$A:$T,ROW()+1,MATCH("단지명",'04A_국토부원자료'!$A$4:$T$4,0)),"")))</f>
        <v/>
      </c>
      <c r="E445" s="172">
        <f>IFERROR(VALUE(SUBSTITUTE(INDEX('04A_국토부원자료'!$A:$T,ROW()+1,MATCH("전용면적(㎡)",'04A_국토부원자료'!$A$4:$T$4,0)),",","")),"")</f>
        <v/>
      </c>
      <c r="F4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45" s="51">
        <f>IFERROR(VALUE(SUBSTITUTE(INDEX('04A_국토부원자료'!$A:$T,ROW()+1,MATCH("거래금액(만원)",'04A_국토부원자료'!$A$4:$T$4,0)),",","")),"")</f>
        <v/>
      </c>
      <c r="H445" s="174">
        <f>IF(G445="","",G445*10000)</f>
        <v/>
      </c>
      <c r="I445" s="174">
        <f>IFERROR(IF(AND(H445&gt;0,E445&gt;0),H445/E445,""),"")</f>
        <v/>
      </c>
      <c r="J445" s="152">
        <f>IFERROR(VALUE(SUBSTITUTE(INDEX('04A_국토부원자료'!$A:$T,ROW()+1,MATCH("층",'04A_국토부원자료'!$A$4:$T$4,0)),",","")),"")</f>
        <v/>
      </c>
      <c r="K445" s="152">
        <f>IFERROR(VALUE(SUBSTITUTE(INDEX('04A_국토부원자료'!$A:$T,ROW()+1,MATCH("건축년도",'04A_국토부원자료'!$A$4:$T$4,0)),",","")),"")</f>
        <v/>
      </c>
      <c r="L445" s="176">
        <f>IFERROR(INDEX('04A_국토부원자료'!$A:$T,ROW()+1,MATCH("도로명",'04A_국토부원자료'!$A$4:$T$4,0)),"")</f>
        <v/>
      </c>
      <c r="M445" s="48">
        <f>IFERROR(INDEX('04A_국토부원자료'!$A:$T,ROW()+1,MATCH("거래유형",'04A_국토부원자료'!$A$4:$T$4,0)),"")</f>
        <v/>
      </c>
      <c r="N445" s="152">
        <f>IF(B445="","",IF('02_대상물건입력'!B5="",1,IF(ISNUMBER(SEARCH('02_대상물건입력'!B5,B445)),1,0)))</f>
        <v/>
      </c>
      <c r="O445" s="152">
        <f>IF(B445="","",IF('02_대상물건입력'!B6="",1,IF(ISNUMBER(SEARCH('02_대상물건입력'!B6,B445)),1,0)))</f>
        <v/>
      </c>
      <c r="P445" s="152">
        <f>IF(L445="","",IF('02_대상물건입력'!B15="",0,IF(ISNUMBER(SEARCH('02_대상물건입력'!B15,L445)),1,0)))</f>
        <v/>
      </c>
      <c r="Q445" s="152">
        <f>IF(OR(C445="",L445=""),0,IF(AND(TRIM(C445)=TRIM(RIGHT(SUBSTITUTE(TRIM('02_대상물건입력'!$B$7)," ",REPT(" ",99)),99)),IF('02_대상물건입력'!B15="",TRUE(),ISNUMBER(SEARCH('02_대상물건입력'!B15,L445)))),1,0))</f>
        <v/>
      </c>
      <c r="R445" s="175">
        <f>IFERROR(ABS(E445-'02_대상물건입력'!B11)/'02_대상물건입력'!B11,"")</f>
        <v/>
      </c>
      <c r="S445" s="152">
        <f>IFERROR(ABS(J445-'02_대상물건입력'!B10),"")</f>
        <v/>
      </c>
      <c r="T445" s="152">
        <f>IFERROR(ABS('01_설정'!B4-F445),"")</f>
        <v/>
      </c>
      <c r="U445" s="152">
        <f>IFERROR(ABS(K445-YEAR('02_대상물건입력'!B14)),"")</f>
        <v/>
      </c>
      <c r="V445" s="152">
        <f>IF(B445="","",IF(AND(E445&gt;0,F445&gt;0,H445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445=1,TRUE()),R445&lt;='01_설정'!B5,S445&lt;='01_설정'!B6,T445&lt;='01_설정'!B7,U445&lt;='01_설정'!B8),"Y",""))</f>
        <v/>
      </c>
      <c r="W445" s="172">
        <f>IF(V445&lt;&gt;"Y","",MAX(0,(1-R445/'01_설정'!B5))*'01_설정'!B14+MAX(0,(1-S445/'01_설정'!B6))*'01_설정'!B15+MAX(0,(1-T445/'01_설정'!B7))*'01_설정'!B16+MAX(0,(1-U445/'01_설정'!B8))*'01_설정'!B17+O445*'01_설정'!B11+Q445*'01_설정'!B12+P445*'01_설정'!B13+IF(Z445="",0,Z445))</f>
        <v/>
      </c>
      <c r="X445" s="152">
        <f>IF(W445="","",1+COUNTIFS($W$4:$W$3003,"&gt;"&amp;W445)+COUNTIFS($W$4:W445,W445)-1)</f>
        <v/>
      </c>
      <c r="Y445" s="175">
        <f>IF(OR(I445="",'02_대상물건입력'!B19="",'02_대상물건입력'!B19&lt;=0),"",ABS(I445-'02_대상물건입력'!B19)/'02_대상물건입력'!B19)</f>
        <v/>
      </c>
      <c r="Z445" s="172">
        <f>IF(OR(Y445="",'01_설정'!B31="",'01_설정'!B31&lt;=0,'01_설정'!B32="",'01_설정'!B32&lt;=0),"",MAX(0,(1-Y445/'01_설정'!B32))*'01_설정'!B31)</f>
        <v/>
      </c>
    </row>
    <row r="446" ht="17.25" customHeight="1">
      <c r="A446" s="152">
        <f>IF(INDEX('04A_국토부원자료'!$A:$A,ROW()+1)="","",ROW()-3)</f>
        <v/>
      </c>
      <c r="B446" s="48">
        <f>IFERROR(INDEX('04A_국토부원자료'!$A:$T,ROW()+1,MATCH("시군구",'04A_국토부원자료'!$A$4:$T$4,0)),"")</f>
        <v/>
      </c>
      <c r="C446" s="48">
        <f>IF(B446="","",IFERROR(INDEX('04A_국토부원자료'!$A:$T,ROW()+1,MATCH("번지",'04A_국토부원자료'!$A$4:$T$4,0)),""))</f>
        <v/>
      </c>
      <c r="D446" s="48">
        <f>IF(B446="","",IF(Q446=1,'02_대상물건입력'!$B$8,IFERROR(INDEX('04A_국토부원자료'!$A:$T,ROW()+1,MATCH("단지명",'04A_국토부원자료'!$A$4:$T$4,0)),"")))</f>
        <v/>
      </c>
      <c r="E446" s="172">
        <f>IFERROR(VALUE(SUBSTITUTE(INDEX('04A_국토부원자료'!$A:$T,ROW()+1,MATCH("전용면적(㎡)",'04A_국토부원자료'!$A$4:$T$4,0)),",","")),"")</f>
        <v/>
      </c>
      <c r="F4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46" s="51">
        <f>IFERROR(VALUE(SUBSTITUTE(INDEX('04A_국토부원자료'!$A:$T,ROW()+1,MATCH("거래금액(만원)",'04A_국토부원자료'!$A$4:$T$4,0)),",","")),"")</f>
        <v/>
      </c>
      <c r="H446" s="174">
        <f>IF(G446="","",G446*10000)</f>
        <v/>
      </c>
      <c r="I446" s="174">
        <f>IFERROR(IF(AND(H446&gt;0,E446&gt;0),H446/E446,""),"")</f>
        <v/>
      </c>
      <c r="J446" s="152">
        <f>IFERROR(VALUE(SUBSTITUTE(INDEX('04A_국토부원자료'!$A:$T,ROW()+1,MATCH("층",'04A_국토부원자료'!$A$4:$T$4,0)),",","")),"")</f>
        <v/>
      </c>
      <c r="K446" s="152">
        <f>IFERROR(VALUE(SUBSTITUTE(INDEX('04A_국토부원자료'!$A:$T,ROW()+1,MATCH("건축년도",'04A_국토부원자료'!$A$4:$T$4,0)),",","")),"")</f>
        <v/>
      </c>
      <c r="L446" s="176">
        <f>IFERROR(INDEX('04A_국토부원자료'!$A:$T,ROW()+1,MATCH("도로명",'04A_국토부원자료'!$A$4:$T$4,0)),"")</f>
        <v/>
      </c>
      <c r="M446" s="48">
        <f>IFERROR(INDEX('04A_국토부원자료'!$A:$T,ROW()+1,MATCH("거래유형",'04A_국토부원자료'!$A$4:$T$4,0)),"")</f>
        <v/>
      </c>
      <c r="N446" s="152">
        <f>IF(B446="","",IF('02_대상물건입력'!B5="",1,IF(ISNUMBER(SEARCH('02_대상물건입력'!B5,B446)),1,0)))</f>
        <v/>
      </c>
      <c r="O446" s="152">
        <f>IF(B446="","",IF('02_대상물건입력'!B6="",1,IF(ISNUMBER(SEARCH('02_대상물건입력'!B6,B446)),1,0)))</f>
        <v/>
      </c>
      <c r="P446" s="152">
        <f>IF(L446="","",IF('02_대상물건입력'!B15="",0,IF(ISNUMBER(SEARCH('02_대상물건입력'!B15,L446)),1,0)))</f>
        <v/>
      </c>
      <c r="Q446" s="152">
        <f>IF(OR(C446="",L446=""),0,IF(AND(TRIM(C446)=TRIM(RIGHT(SUBSTITUTE(TRIM('02_대상물건입력'!$B$7)," ",REPT(" ",99)),99)),IF('02_대상물건입력'!B15="",TRUE(),ISNUMBER(SEARCH('02_대상물건입력'!B15,L446)))),1,0))</f>
        <v/>
      </c>
      <c r="R446" s="175">
        <f>IFERROR(ABS(E446-'02_대상물건입력'!B11)/'02_대상물건입력'!B11,"")</f>
        <v/>
      </c>
      <c r="S446" s="152">
        <f>IFERROR(ABS(J446-'02_대상물건입력'!B10),"")</f>
        <v/>
      </c>
      <c r="T446" s="152">
        <f>IFERROR(ABS('01_설정'!B4-F446),"")</f>
        <v/>
      </c>
      <c r="U446" s="152">
        <f>IFERROR(ABS(K446-YEAR('02_대상물건입력'!B14)),"")</f>
        <v/>
      </c>
      <c r="V446" s="152">
        <f>IF(B446="","",IF(AND(E446&gt;0,F446&gt;0,H446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446=1,TRUE()),R446&lt;='01_설정'!B5,S446&lt;='01_설정'!B6,T446&lt;='01_설정'!B7,U446&lt;='01_설정'!B8),"Y",""))</f>
        <v/>
      </c>
      <c r="W446" s="172">
        <f>IF(V446&lt;&gt;"Y","",MAX(0,(1-R446/'01_설정'!B5))*'01_설정'!B14+MAX(0,(1-S446/'01_설정'!B6))*'01_설정'!B15+MAX(0,(1-T446/'01_설정'!B7))*'01_설정'!B16+MAX(0,(1-U446/'01_설정'!B8))*'01_설정'!B17+O446*'01_설정'!B11+Q446*'01_설정'!B12+P446*'01_설정'!B13+IF(Z446="",0,Z446))</f>
        <v/>
      </c>
      <c r="X446" s="152">
        <f>IF(W446="","",1+COUNTIFS($W$4:$W$3003,"&gt;"&amp;W446)+COUNTIFS($W$4:W446,W446)-1)</f>
        <v/>
      </c>
      <c r="Y446" s="175">
        <f>IF(OR(I446="",'02_대상물건입력'!B19="",'02_대상물건입력'!B19&lt;=0),"",ABS(I446-'02_대상물건입력'!B19)/'02_대상물건입력'!B19)</f>
        <v/>
      </c>
      <c r="Z446" s="172">
        <f>IF(OR(Y446="",'01_설정'!B31="",'01_설정'!B31&lt;=0,'01_설정'!B32="",'01_설정'!B32&lt;=0),"",MAX(0,(1-Y446/'01_설정'!B32))*'01_설정'!B31)</f>
        <v/>
      </c>
    </row>
    <row r="447" ht="17.25" customHeight="1">
      <c r="A447" s="152">
        <f>IF(INDEX('04A_국토부원자료'!$A:$A,ROW()+1)="","",ROW()-3)</f>
        <v/>
      </c>
      <c r="B447" s="48">
        <f>IFERROR(INDEX('04A_국토부원자료'!$A:$T,ROW()+1,MATCH("시군구",'04A_국토부원자료'!$A$4:$T$4,0)),"")</f>
        <v/>
      </c>
      <c r="C447" s="48">
        <f>IF(B447="","",IFERROR(INDEX('04A_국토부원자료'!$A:$T,ROW()+1,MATCH("번지",'04A_국토부원자료'!$A$4:$T$4,0)),""))</f>
        <v/>
      </c>
      <c r="D447" s="48">
        <f>IF(B447="","",IF(Q447=1,'02_대상물건입력'!$B$8,IFERROR(INDEX('04A_국토부원자료'!$A:$T,ROW()+1,MATCH("단지명",'04A_국토부원자료'!$A$4:$T$4,0)),"")))</f>
        <v/>
      </c>
      <c r="E447" s="172">
        <f>IFERROR(VALUE(SUBSTITUTE(INDEX('04A_국토부원자료'!$A:$T,ROW()+1,MATCH("전용면적(㎡)",'04A_국토부원자료'!$A$4:$T$4,0)),",","")),"")</f>
        <v/>
      </c>
      <c r="F4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47" s="51">
        <f>IFERROR(VALUE(SUBSTITUTE(INDEX('04A_국토부원자료'!$A:$T,ROW()+1,MATCH("거래금액(만원)",'04A_국토부원자료'!$A$4:$T$4,0)),",","")),"")</f>
        <v/>
      </c>
      <c r="H447" s="174">
        <f>IF(G447="","",G447*10000)</f>
        <v/>
      </c>
      <c r="I447" s="174">
        <f>IFERROR(IF(AND(H447&gt;0,E447&gt;0),H447/E447,""),"")</f>
        <v/>
      </c>
      <c r="J447" s="152">
        <f>IFERROR(VALUE(SUBSTITUTE(INDEX('04A_국토부원자료'!$A:$T,ROW()+1,MATCH("층",'04A_국토부원자료'!$A$4:$T$4,0)),",","")),"")</f>
        <v/>
      </c>
      <c r="K447" s="152">
        <f>IFERROR(VALUE(SUBSTITUTE(INDEX('04A_국토부원자료'!$A:$T,ROW()+1,MATCH("건축년도",'04A_국토부원자료'!$A$4:$T$4,0)),",","")),"")</f>
        <v/>
      </c>
      <c r="L447" s="176">
        <f>IFERROR(INDEX('04A_국토부원자료'!$A:$T,ROW()+1,MATCH("도로명",'04A_국토부원자료'!$A$4:$T$4,0)),"")</f>
        <v/>
      </c>
      <c r="M447" s="48">
        <f>IFERROR(INDEX('04A_국토부원자료'!$A:$T,ROW()+1,MATCH("거래유형",'04A_국토부원자료'!$A$4:$T$4,0)),"")</f>
        <v/>
      </c>
      <c r="N447" s="152">
        <f>IF(B447="","",IF('02_대상물건입력'!B5="",1,IF(ISNUMBER(SEARCH('02_대상물건입력'!B5,B447)),1,0)))</f>
        <v/>
      </c>
      <c r="O447" s="152">
        <f>IF(B447="","",IF('02_대상물건입력'!B6="",1,IF(ISNUMBER(SEARCH('02_대상물건입력'!B6,B447)),1,0)))</f>
        <v/>
      </c>
      <c r="P447" s="152">
        <f>IF(L447="","",IF('02_대상물건입력'!B15="",0,IF(ISNUMBER(SEARCH('02_대상물건입력'!B15,L447)),1,0)))</f>
        <v/>
      </c>
      <c r="Q447" s="152">
        <f>IF(OR(C447="",L447=""),0,IF(AND(TRIM(C447)=TRIM(RIGHT(SUBSTITUTE(TRIM('02_대상물건입력'!$B$7)," ",REPT(" ",99)),99)),IF('02_대상물건입력'!B15="",TRUE(),ISNUMBER(SEARCH('02_대상물건입력'!B15,L447)))),1,0))</f>
        <v/>
      </c>
      <c r="R447" s="175">
        <f>IFERROR(ABS(E447-'02_대상물건입력'!B11)/'02_대상물건입력'!B11,"")</f>
        <v/>
      </c>
      <c r="S447" s="152">
        <f>IFERROR(ABS(J447-'02_대상물건입력'!B10),"")</f>
        <v/>
      </c>
      <c r="T447" s="152">
        <f>IFERROR(ABS('01_설정'!B4-F447),"")</f>
        <v/>
      </c>
      <c r="U447" s="152">
        <f>IFERROR(ABS(K447-YEAR('02_대상물건입력'!B14)),"")</f>
        <v/>
      </c>
      <c r="V447" s="152">
        <f>IF(B447="","",IF(AND(E447&gt;0,F447&gt;0,H447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447=1,TRUE()),R447&lt;='01_설정'!B5,S447&lt;='01_설정'!B6,T447&lt;='01_설정'!B7,U447&lt;='01_설정'!B8),"Y",""))</f>
        <v/>
      </c>
      <c r="W447" s="172">
        <f>IF(V447&lt;&gt;"Y","",MAX(0,(1-R447/'01_설정'!B5))*'01_설정'!B14+MAX(0,(1-S447/'01_설정'!B6))*'01_설정'!B15+MAX(0,(1-T447/'01_설정'!B7))*'01_설정'!B16+MAX(0,(1-U447/'01_설정'!B8))*'01_설정'!B17+O447*'01_설정'!B11+Q447*'01_설정'!B12+P447*'01_설정'!B13+IF(Z447="",0,Z447))</f>
        <v/>
      </c>
      <c r="X447" s="152">
        <f>IF(W447="","",1+COUNTIFS($W$4:$W$3003,"&gt;"&amp;W447)+COUNTIFS($W$4:W447,W447)-1)</f>
        <v/>
      </c>
      <c r="Y447" s="175">
        <f>IF(OR(I447="",'02_대상물건입력'!B19="",'02_대상물건입력'!B19&lt;=0),"",ABS(I447-'02_대상물건입력'!B19)/'02_대상물건입력'!B19)</f>
        <v/>
      </c>
      <c r="Z447" s="172">
        <f>IF(OR(Y447="",'01_설정'!B31="",'01_설정'!B31&lt;=0,'01_설정'!B32="",'01_설정'!B32&lt;=0),"",MAX(0,(1-Y447/'01_설정'!B32))*'01_설정'!B31)</f>
        <v/>
      </c>
    </row>
    <row r="448" ht="17.25" customHeight="1">
      <c r="A448" s="152">
        <f>IF(INDEX('04A_국토부원자료'!$A:$A,ROW()+1)="","",ROW()-3)</f>
        <v/>
      </c>
      <c r="B448" s="48">
        <f>IFERROR(INDEX('04A_국토부원자료'!$A:$T,ROW()+1,MATCH("시군구",'04A_국토부원자료'!$A$4:$T$4,0)),"")</f>
        <v/>
      </c>
      <c r="C448" s="48">
        <f>IF(B448="","",IFERROR(INDEX('04A_국토부원자료'!$A:$T,ROW()+1,MATCH("번지",'04A_국토부원자료'!$A$4:$T$4,0)),""))</f>
        <v/>
      </c>
      <c r="D448" s="48">
        <f>IF(B448="","",IF(Q448=1,'02_대상물건입력'!$B$8,IFERROR(INDEX('04A_국토부원자료'!$A:$T,ROW()+1,MATCH("단지명",'04A_국토부원자료'!$A$4:$T$4,0)),"")))</f>
        <v/>
      </c>
      <c r="E448" s="172">
        <f>IFERROR(VALUE(SUBSTITUTE(INDEX('04A_국토부원자료'!$A:$T,ROW()+1,MATCH("전용면적(㎡)",'04A_국토부원자료'!$A$4:$T$4,0)),",","")),"")</f>
        <v/>
      </c>
      <c r="F4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48" s="51">
        <f>IFERROR(VALUE(SUBSTITUTE(INDEX('04A_국토부원자료'!$A:$T,ROW()+1,MATCH("거래금액(만원)",'04A_국토부원자료'!$A$4:$T$4,0)),",","")),"")</f>
        <v/>
      </c>
      <c r="H448" s="174">
        <f>IF(G448="","",G448*10000)</f>
        <v/>
      </c>
      <c r="I448" s="174">
        <f>IFERROR(IF(AND(H448&gt;0,E448&gt;0),H448/E448,""),"")</f>
        <v/>
      </c>
      <c r="J448" s="152">
        <f>IFERROR(VALUE(SUBSTITUTE(INDEX('04A_국토부원자료'!$A:$T,ROW()+1,MATCH("층",'04A_국토부원자료'!$A$4:$T$4,0)),",","")),"")</f>
        <v/>
      </c>
      <c r="K448" s="152">
        <f>IFERROR(VALUE(SUBSTITUTE(INDEX('04A_국토부원자료'!$A:$T,ROW()+1,MATCH("건축년도",'04A_국토부원자료'!$A$4:$T$4,0)),",","")),"")</f>
        <v/>
      </c>
      <c r="L448" s="176">
        <f>IFERROR(INDEX('04A_국토부원자료'!$A:$T,ROW()+1,MATCH("도로명",'04A_국토부원자료'!$A$4:$T$4,0)),"")</f>
        <v/>
      </c>
      <c r="M448" s="48">
        <f>IFERROR(INDEX('04A_국토부원자료'!$A:$T,ROW()+1,MATCH("거래유형",'04A_국토부원자료'!$A$4:$T$4,0)),"")</f>
        <v/>
      </c>
      <c r="N448" s="152">
        <f>IF(B448="","",IF('02_대상물건입력'!B5="",1,IF(ISNUMBER(SEARCH('02_대상물건입력'!B5,B448)),1,0)))</f>
        <v/>
      </c>
      <c r="O448" s="152">
        <f>IF(B448="","",IF('02_대상물건입력'!B6="",1,IF(ISNUMBER(SEARCH('02_대상물건입력'!B6,B448)),1,0)))</f>
        <v/>
      </c>
      <c r="P448" s="152">
        <f>IF(L448="","",IF('02_대상물건입력'!B15="",0,IF(ISNUMBER(SEARCH('02_대상물건입력'!B15,L448)),1,0)))</f>
        <v/>
      </c>
      <c r="Q448" s="152">
        <f>IF(OR(C448="",L448=""),0,IF(AND(TRIM(C448)=TRIM(RIGHT(SUBSTITUTE(TRIM('02_대상물건입력'!$B$7)," ",REPT(" ",99)),99)),IF('02_대상물건입력'!B15="",TRUE(),ISNUMBER(SEARCH('02_대상물건입력'!B15,L448)))),1,0))</f>
        <v/>
      </c>
      <c r="R448" s="175">
        <f>IFERROR(ABS(E448-'02_대상물건입력'!B11)/'02_대상물건입력'!B11,"")</f>
        <v/>
      </c>
      <c r="S448" s="152">
        <f>IFERROR(ABS(J448-'02_대상물건입력'!B10),"")</f>
        <v/>
      </c>
      <c r="T448" s="152">
        <f>IFERROR(ABS('01_설정'!B4-F448),"")</f>
        <v/>
      </c>
      <c r="U448" s="152">
        <f>IFERROR(ABS(K448-YEAR('02_대상물건입력'!B14)),"")</f>
        <v/>
      </c>
      <c r="V448" s="152">
        <f>IF(B448="","",IF(AND(E448&gt;0,F448&gt;0,H448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448=1,TRUE()),R448&lt;='01_설정'!B5,S448&lt;='01_설정'!B6,T448&lt;='01_설정'!B7,U448&lt;='01_설정'!B8),"Y",""))</f>
        <v/>
      </c>
      <c r="W448" s="172">
        <f>IF(V448&lt;&gt;"Y","",MAX(0,(1-R448/'01_설정'!B5))*'01_설정'!B14+MAX(0,(1-S448/'01_설정'!B6))*'01_설정'!B15+MAX(0,(1-T448/'01_설정'!B7))*'01_설정'!B16+MAX(0,(1-U448/'01_설정'!B8))*'01_설정'!B17+O448*'01_설정'!B11+Q448*'01_설정'!B12+P448*'01_설정'!B13+IF(Z448="",0,Z448))</f>
        <v/>
      </c>
      <c r="X448" s="152">
        <f>IF(W448="","",1+COUNTIFS($W$4:$W$3003,"&gt;"&amp;W448)+COUNTIFS($W$4:W448,W448)-1)</f>
        <v/>
      </c>
      <c r="Y448" s="175">
        <f>IF(OR(I448="",'02_대상물건입력'!B19="",'02_대상물건입력'!B19&lt;=0),"",ABS(I448-'02_대상물건입력'!B19)/'02_대상물건입력'!B19)</f>
        <v/>
      </c>
      <c r="Z448" s="172">
        <f>IF(OR(Y448="",'01_설정'!B31="",'01_설정'!B31&lt;=0,'01_설정'!B32="",'01_설정'!B32&lt;=0),"",MAX(0,(1-Y448/'01_설정'!B32))*'01_설정'!B31)</f>
        <v/>
      </c>
    </row>
    <row r="449" ht="17.25" customHeight="1">
      <c r="A449" s="152">
        <f>IF(INDEX('04A_국토부원자료'!$A:$A,ROW()+1)="","",ROW()-3)</f>
        <v/>
      </c>
      <c r="B449" s="48">
        <f>IFERROR(INDEX('04A_국토부원자료'!$A:$T,ROW()+1,MATCH("시군구",'04A_국토부원자료'!$A$4:$T$4,0)),"")</f>
        <v/>
      </c>
      <c r="C449" s="48">
        <f>IF(B449="","",IFERROR(INDEX('04A_국토부원자료'!$A:$T,ROW()+1,MATCH("번지",'04A_국토부원자료'!$A$4:$T$4,0)),""))</f>
        <v/>
      </c>
      <c r="D449" s="48">
        <f>IF(B449="","",IF(Q449=1,'02_대상물건입력'!$B$8,IFERROR(INDEX('04A_국토부원자료'!$A:$T,ROW()+1,MATCH("단지명",'04A_국토부원자료'!$A$4:$T$4,0)),"")))</f>
        <v/>
      </c>
      <c r="E449" s="172">
        <f>IFERROR(VALUE(SUBSTITUTE(INDEX('04A_국토부원자료'!$A:$T,ROW()+1,MATCH("전용면적(㎡)",'04A_국토부원자료'!$A$4:$T$4,0)),",","")),"")</f>
        <v/>
      </c>
      <c r="F4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49" s="51">
        <f>IFERROR(VALUE(SUBSTITUTE(INDEX('04A_국토부원자료'!$A:$T,ROW()+1,MATCH("거래금액(만원)",'04A_국토부원자료'!$A$4:$T$4,0)),",","")),"")</f>
        <v/>
      </c>
      <c r="H449" s="174">
        <f>IF(G449="","",G449*10000)</f>
        <v/>
      </c>
      <c r="I449" s="174">
        <f>IFERROR(IF(AND(H449&gt;0,E449&gt;0),H449/E449,""),"")</f>
        <v/>
      </c>
      <c r="J449" s="152">
        <f>IFERROR(VALUE(SUBSTITUTE(INDEX('04A_국토부원자료'!$A:$T,ROW()+1,MATCH("층",'04A_국토부원자료'!$A$4:$T$4,0)),",","")),"")</f>
        <v/>
      </c>
      <c r="K449" s="152">
        <f>IFERROR(VALUE(SUBSTITUTE(INDEX('04A_국토부원자료'!$A:$T,ROW()+1,MATCH("건축년도",'04A_국토부원자료'!$A$4:$T$4,0)),",","")),"")</f>
        <v/>
      </c>
      <c r="L449" s="176">
        <f>IFERROR(INDEX('04A_국토부원자료'!$A:$T,ROW()+1,MATCH("도로명",'04A_국토부원자료'!$A$4:$T$4,0)),"")</f>
        <v/>
      </c>
      <c r="M449" s="48">
        <f>IFERROR(INDEX('04A_국토부원자료'!$A:$T,ROW()+1,MATCH("거래유형",'04A_국토부원자료'!$A$4:$T$4,0)),"")</f>
        <v/>
      </c>
      <c r="N449" s="152">
        <f>IF(B449="","",IF('02_대상물건입력'!B5="",1,IF(ISNUMBER(SEARCH('02_대상물건입력'!B5,B449)),1,0)))</f>
        <v/>
      </c>
      <c r="O449" s="152">
        <f>IF(B449="","",IF('02_대상물건입력'!B6="",1,IF(ISNUMBER(SEARCH('02_대상물건입력'!B6,B449)),1,0)))</f>
        <v/>
      </c>
      <c r="P449" s="152">
        <f>IF(L449="","",IF('02_대상물건입력'!B15="",0,IF(ISNUMBER(SEARCH('02_대상물건입력'!B15,L449)),1,0)))</f>
        <v/>
      </c>
      <c r="Q449" s="152">
        <f>IF(OR(C449="",L449=""),0,IF(AND(TRIM(C449)=TRIM(RIGHT(SUBSTITUTE(TRIM('02_대상물건입력'!$B$7)," ",REPT(" ",99)),99)),IF('02_대상물건입력'!B15="",TRUE(),ISNUMBER(SEARCH('02_대상물건입력'!B15,L449)))),1,0))</f>
        <v/>
      </c>
      <c r="R449" s="175">
        <f>IFERROR(ABS(E449-'02_대상물건입력'!B11)/'02_대상물건입력'!B11,"")</f>
        <v/>
      </c>
      <c r="S449" s="152">
        <f>IFERROR(ABS(J449-'02_대상물건입력'!B10),"")</f>
        <v/>
      </c>
      <c r="T449" s="152">
        <f>IFERROR(ABS('01_설정'!B4-F449),"")</f>
        <v/>
      </c>
      <c r="U449" s="152">
        <f>IFERROR(ABS(K449-YEAR('02_대상물건입력'!B14)),"")</f>
        <v/>
      </c>
      <c r="V449" s="152">
        <f>IF(B449="","",IF(AND(E449&gt;0,F449&gt;0,H449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449=1,TRUE()),R449&lt;='01_설정'!B5,S449&lt;='01_설정'!B6,T449&lt;='01_설정'!B7,U449&lt;='01_설정'!B8),"Y",""))</f>
        <v/>
      </c>
      <c r="W449" s="172">
        <f>IF(V449&lt;&gt;"Y","",MAX(0,(1-R449/'01_설정'!B5))*'01_설정'!B14+MAX(0,(1-S449/'01_설정'!B6))*'01_설정'!B15+MAX(0,(1-T449/'01_설정'!B7))*'01_설정'!B16+MAX(0,(1-U449/'01_설정'!B8))*'01_설정'!B17+O449*'01_설정'!B11+Q449*'01_설정'!B12+P449*'01_설정'!B13+IF(Z449="",0,Z449))</f>
        <v/>
      </c>
      <c r="X449" s="152">
        <f>IF(W449="","",1+COUNTIFS($W$4:$W$3003,"&gt;"&amp;W449)+COUNTIFS($W$4:W449,W449)-1)</f>
        <v/>
      </c>
      <c r="Y449" s="175">
        <f>IF(OR(I449="",'02_대상물건입력'!B19="",'02_대상물건입력'!B19&lt;=0),"",ABS(I449-'02_대상물건입력'!B19)/'02_대상물건입력'!B19)</f>
        <v/>
      </c>
      <c r="Z449" s="172">
        <f>IF(OR(Y449="",'01_설정'!B31="",'01_설정'!B31&lt;=0,'01_설정'!B32="",'01_설정'!B32&lt;=0),"",MAX(0,(1-Y449/'01_설정'!B32))*'01_설정'!B31)</f>
        <v/>
      </c>
    </row>
    <row r="450" ht="17.25" customHeight="1">
      <c r="A450" s="152">
        <f>IF(INDEX('04A_국토부원자료'!$A:$A,ROW()+1)="","",ROW()-3)</f>
        <v/>
      </c>
      <c r="B450" s="48">
        <f>IFERROR(INDEX('04A_국토부원자료'!$A:$T,ROW()+1,MATCH("시군구",'04A_국토부원자료'!$A$4:$T$4,0)),"")</f>
        <v/>
      </c>
      <c r="C450" s="48">
        <f>IF(B450="","",IFERROR(INDEX('04A_국토부원자료'!$A:$T,ROW()+1,MATCH("번지",'04A_국토부원자료'!$A$4:$T$4,0)),""))</f>
        <v/>
      </c>
      <c r="D450" s="48">
        <f>IF(B450="","",IF(Q450=1,'02_대상물건입력'!$B$8,IFERROR(INDEX('04A_국토부원자료'!$A:$T,ROW()+1,MATCH("단지명",'04A_국토부원자료'!$A$4:$T$4,0)),"")))</f>
        <v/>
      </c>
      <c r="E450" s="172">
        <f>IFERROR(VALUE(SUBSTITUTE(INDEX('04A_국토부원자료'!$A:$T,ROW()+1,MATCH("전용면적(㎡)",'04A_국토부원자료'!$A$4:$T$4,0)),",","")),"")</f>
        <v/>
      </c>
      <c r="F4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50" s="51">
        <f>IFERROR(VALUE(SUBSTITUTE(INDEX('04A_국토부원자료'!$A:$T,ROW()+1,MATCH("거래금액(만원)",'04A_국토부원자료'!$A$4:$T$4,0)),",","")),"")</f>
        <v/>
      </c>
      <c r="H450" s="174">
        <f>IF(G450="","",G450*10000)</f>
        <v/>
      </c>
      <c r="I450" s="174">
        <f>IFERROR(IF(AND(H450&gt;0,E450&gt;0),H450/E450,""),"")</f>
        <v/>
      </c>
      <c r="J450" s="152">
        <f>IFERROR(VALUE(SUBSTITUTE(INDEX('04A_국토부원자료'!$A:$T,ROW()+1,MATCH("층",'04A_국토부원자료'!$A$4:$T$4,0)),",","")),"")</f>
        <v/>
      </c>
      <c r="K450" s="152">
        <f>IFERROR(VALUE(SUBSTITUTE(INDEX('04A_국토부원자료'!$A:$T,ROW()+1,MATCH("건축년도",'04A_국토부원자료'!$A$4:$T$4,0)),",","")),"")</f>
        <v/>
      </c>
      <c r="L450" s="176">
        <f>IFERROR(INDEX('04A_국토부원자료'!$A:$T,ROW()+1,MATCH("도로명",'04A_국토부원자료'!$A$4:$T$4,0)),"")</f>
        <v/>
      </c>
      <c r="M450" s="48">
        <f>IFERROR(INDEX('04A_국토부원자료'!$A:$T,ROW()+1,MATCH("거래유형",'04A_국토부원자료'!$A$4:$T$4,0)),"")</f>
        <v/>
      </c>
      <c r="N450" s="152">
        <f>IF(B450="","",IF('02_대상물건입력'!B5="",1,IF(ISNUMBER(SEARCH('02_대상물건입력'!B5,B450)),1,0)))</f>
        <v/>
      </c>
      <c r="O450" s="152">
        <f>IF(B450="","",IF('02_대상물건입력'!B6="",1,IF(ISNUMBER(SEARCH('02_대상물건입력'!B6,B450)),1,0)))</f>
        <v/>
      </c>
      <c r="P450" s="152">
        <f>IF(L450="","",IF('02_대상물건입력'!B15="",0,IF(ISNUMBER(SEARCH('02_대상물건입력'!B15,L450)),1,0)))</f>
        <v/>
      </c>
      <c r="Q450" s="152">
        <f>IF(OR(C450="",L450=""),0,IF(AND(TRIM(C450)=TRIM(RIGHT(SUBSTITUTE(TRIM('02_대상물건입력'!$B$7)," ",REPT(" ",99)),99)),IF('02_대상물건입력'!B15="",TRUE(),ISNUMBER(SEARCH('02_대상물건입력'!B15,L450)))),1,0))</f>
        <v/>
      </c>
      <c r="R450" s="175">
        <f>IFERROR(ABS(E450-'02_대상물건입력'!B11)/'02_대상물건입력'!B11,"")</f>
        <v/>
      </c>
      <c r="S450" s="152">
        <f>IFERROR(ABS(J450-'02_대상물건입력'!B10),"")</f>
        <v/>
      </c>
      <c r="T450" s="152">
        <f>IFERROR(ABS('01_설정'!B4-F450),"")</f>
        <v/>
      </c>
      <c r="U450" s="152">
        <f>IFERROR(ABS(K450-YEAR('02_대상물건입력'!B14)),"")</f>
        <v/>
      </c>
      <c r="V450" s="152">
        <f>IF(B450="","",IF(AND(E450&gt;0,F450&gt;0,H450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450=1,TRUE()),R450&lt;='01_설정'!B5,S450&lt;='01_설정'!B6,T450&lt;='01_설정'!B7,U450&lt;='01_설정'!B8),"Y",""))</f>
        <v/>
      </c>
      <c r="W450" s="172">
        <f>IF(V450&lt;&gt;"Y","",MAX(0,(1-R450/'01_설정'!B5))*'01_설정'!B14+MAX(0,(1-S450/'01_설정'!B6))*'01_설정'!B15+MAX(0,(1-T450/'01_설정'!B7))*'01_설정'!B16+MAX(0,(1-U450/'01_설정'!B8))*'01_설정'!B17+O450*'01_설정'!B11+Q450*'01_설정'!B12+P450*'01_설정'!B13+IF(Z450="",0,Z450))</f>
        <v/>
      </c>
      <c r="X450" s="152">
        <f>IF(W450="","",1+COUNTIFS($W$4:$W$3003,"&gt;"&amp;W450)+COUNTIFS($W$4:W450,W450)-1)</f>
        <v/>
      </c>
      <c r="Y450" s="175">
        <f>IF(OR(I450="",'02_대상물건입력'!B19="",'02_대상물건입력'!B19&lt;=0),"",ABS(I450-'02_대상물건입력'!B19)/'02_대상물건입력'!B19)</f>
        <v/>
      </c>
      <c r="Z450" s="172">
        <f>IF(OR(Y450="",'01_설정'!B31="",'01_설정'!B31&lt;=0,'01_설정'!B32="",'01_설정'!B32&lt;=0),"",MAX(0,(1-Y450/'01_설정'!B32))*'01_설정'!B31)</f>
        <v/>
      </c>
    </row>
    <row r="451" ht="17.25" customHeight="1">
      <c r="A451" s="152">
        <f>IF(INDEX('04A_국토부원자료'!$A:$A,ROW()+1)="","",ROW()-3)</f>
        <v/>
      </c>
      <c r="B451" s="48">
        <f>IFERROR(INDEX('04A_국토부원자료'!$A:$T,ROW()+1,MATCH("시군구",'04A_국토부원자료'!$A$4:$T$4,0)),"")</f>
        <v/>
      </c>
      <c r="C451" s="48">
        <f>IF(B451="","",IFERROR(INDEX('04A_국토부원자료'!$A:$T,ROW()+1,MATCH("번지",'04A_국토부원자료'!$A$4:$T$4,0)),""))</f>
        <v/>
      </c>
      <c r="D451" s="48">
        <f>IF(B451="","",IF(Q451=1,'02_대상물건입력'!$B$8,IFERROR(INDEX('04A_국토부원자료'!$A:$T,ROW()+1,MATCH("단지명",'04A_국토부원자료'!$A$4:$T$4,0)),"")))</f>
        <v/>
      </c>
      <c r="E451" s="172">
        <f>IFERROR(VALUE(SUBSTITUTE(INDEX('04A_국토부원자료'!$A:$T,ROW()+1,MATCH("전용면적(㎡)",'04A_국토부원자료'!$A$4:$T$4,0)),",","")),"")</f>
        <v/>
      </c>
      <c r="F4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51" s="51">
        <f>IFERROR(VALUE(SUBSTITUTE(INDEX('04A_국토부원자료'!$A:$T,ROW()+1,MATCH("거래금액(만원)",'04A_국토부원자료'!$A$4:$T$4,0)),",","")),"")</f>
        <v/>
      </c>
      <c r="H451" s="174">
        <f>IF(G451="","",G451*10000)</f>
        <v/>
      </c>
      <c r="I451" s="174">
        <f>IFERROR(IF(AND(H451&gt;0,E451&gt;0),H451/E451,""),"")</f>
        <v/>
      </c>
      <c r="J451" s="152">
        <f>IFERROR(VALUE(SUBSTITUTE(INDEX('04A_국토부원자료'!$A:$T,ROW()+1,MATCH("층",'04A_국토부원자료'!$A$4:$T$4,0)),",","")),"")</f>
        <v/>
      </c>
      <c r="K451" s="152">
        <f>IFERROR(VALUE(SUBSTITUTE(INDEX('04A_국토부원자료'!$A:$T,ROW()+1,MATCH("건축년도",'04A_국토부원자료'!$A$4:$T$4,0)),",","")),"")</f>
        <v/>
      </c>
      <c r="L451" s="176">
        <f>IFERROR(INDEX('04A_국토부원자료'!$A:$T,ROW()+1,MATCH("도로명",'04A_국토부원자료'!$A$4:$T$4,0)),"")</f>
        <v/>
      </c>
      <c r="M451" s="48">
        <f>IFERROR(INDEX('04A_국토부원자료'!$A:$T,ROW()+1,MATCH("거래유형",'04A_국토부원자료'!$A$4:$T$4,0)),"")</f>
        <v/>
      </c>
      <c r="N451" s="152">
        <f>IF(B451="","",IF('02_대상물건입력'!B5="",1,IF(ISNUMBER(SEARCH('02_대상물건입력'!B5,B451)),1,0)))</f>
        <v/>
      </c>
      <c r="O451" s="152">
        <f>IF(B451="","",IF('02_대상물건입력'!B6="",1,IF(ISNUMBER(SEARCH('02_대상물건입력'!B6,B451)),1,0)))</f>
        <v/>
      </c>
      <c r="P451" s="152">
        <f>IF(L451="","",IF('02_대상물건입력'!B15="",0,IF(ISNUMBER(SEARCH('02_대상물건입력'!B15,L451)),1,0)))</f>
        <v/>
      </c>
      <c r="Q451" s="152">
        <f>IF(OR(C451="",L451=""),0,IF(AND(TRIM(C451)=TRIM(RIGHT(SUBSTITUTE(TRIM('02_대상물건입력'!$B$7)," ",REPT(" ",99)),99)),IF('02_대상물건입력'!B15="",TRUE(),ISNUMBER(SEARCH('02_대상물건입력'!B15,L451)))),1,0))</f>
        <v/>
      </c>
      <c r="R451" s="175">
        <f>IFERROR(ABS(E451-'02_대상물건입력'!B11)/'02_대상물건입력'!B11,"")</f>
        <v/>
      </c>
      <c r="S451" s="152">
        <f>IFERROR(ABS(J451-'02_대상물건입력'!B10),"")</f>
        <v/>
      </c>
      <c r="T451" s="152">
        <f>IFERROR(ABS('01_설정'!B4-F451),"")</f>
        <v/>
      </c>
      <c r="U451" s="152">
        <f>IFERROR(ABS(K451-YEAR('02_대상물건입력'!B14)),"")</f>
        <v/>
      </c>
      <c r="V451" s="152">
        <f>IF(B451="","",IF(AND(E451&gt;0,F451&gt;0,H451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451=1,TRUE()),R451&lt;='01_설정'!B5,S451&lt;='01_설정'!B6,T451&lt;='01_설정'!B7,U451&lt;='01_설정'!B8),"Y",""))</f>
        <v/>
      </c>
      <c r="W451" s="172">
        <f>IF(V451&lt;&gt;"Y","",MAX(0,(1-R451/'01_설정'!B5))*'01_설정'!B14+MAX(0,(1-S451/'01_설정'!B6))*'01_설정'!B15+MAX(0,(1-T451/'01_설정'!B7))*'01_설정'!B16+MAX(0,(1-U451/'01_설정'!B8))*'01_설정'!B17+O451*'01_설정'!B11+Q451*'01_설정'!B12+P451*'01_설정'!B13+IF(Z451="",0,Z451))</f>
        <v/>
      </c>
      <c r="X451" s="152">
        <f>IF(W451="","",1+COUNTIFS($W$4:$W$3003,"&gt;"&amp;W451)+COUNTIFS($W$4:W451,W451)-1)</f>
        <v/>
      </c>
      <c r="Y451" s="175">
        <f>IF(OR(I451="",'02_대상물건입력'!B19="",'02_대상물건입력'!B19&lt;=0),"",ABS(I451-'02_대상물건입력'!B19)/'02_대상물건입력'!B19)</f>
        <v/>
      </c>
      <c r="Z451" s="172">
        <f>IF(OR(Y451="",'01_설정'!B31="",'01_설정'!B31&lt;=0,'01_설정'!B32="",'01_설정'!B32&lt;=0),"",MAX(0,(1-Y451/'01_설정'!B32))*'01_설정'!B31)</f>
        <v/>
      </c>
    </row>
    <row r="452" ht="17.25" customHeight="1">
      <c r="A452" s="152">
        <f>IF(INDEX('04A_국토부원자료'!$A:$A,ROW()+1)="","",ROW()-3)</f>
        <v/>
      </c>
      <c r="B452" s="48">
        <f>IFERROR(INDEX('04A_국토부원자료'!$A:$T,ROW()+1,MATCH("시군구",'04A_국토부원자료'!$A$4:$T$4,0)),"")</f>
        <v/>
      </c>
      <c r="C452" s="48">
        <f>IF(B452="","",IFERROR(INDEX('04A_국토부원자료'!$A:$T,ROW()+1,MATCH("번지",'04A_국토부원자료'!$A$4:$T$4,0)),""))</f>
        <v/>
      </c>
      <c r="D452" s="48">
        <f>IF(B452="","",IF(Q452=1,'02_대상물건입력'!$B$8,IFERROR(INDEX('04A_국토부원자료'!$A:$T,ROW()+1,MATCH("단지명",'04A_국토부원자료'!$A$4:$T$4,0)),"")))</f>
        <v/>
      </c>
      <c r="E452" s="172">
        <f>IFERROR(VALUE(SUBSTITUTE(INDEX('04A_국토부원자료'!$A:$T,ROW()+1,MATCH("전용면적(㎡)",'04A_국토부원자료'!$A$4:$T$4,0)),",","")),"")</f>
        <v/>
      </c>
      <c r="F4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52" s="51">
        <f>IFERROR(VALUE(SUBSTITUTE(INDEX('04A_국토부원자료'!$A:$T,ROW()+1,MATCH("거래금액(만원)",'04A_국토부원자료'!$A$4:$T$4,0)),",","")),"")</f>
        <v/>
      </c>
      <c r="H452" s="174">
        <f>IF(G452="","",G452*10000)</f>
        <v/>
      </c>
      <c r="I452" s="174">
        <f>IFERROR(IF(AND(H452&gt;0,E452&gt;0),H452/E452,""),"")</f>
        <v/>
      </c>
      <c r="J452" s="152">
        <f>IFERROR(VALUE(SUBSTITUTE(INDEX('04A_국토부원자료'!$A:$T,ROW()+1,MATCH("층",'04A_국토부원자료'!$A$4:$T$4,0)),",","")),"")</f>
        <v/>
      </c>
      <c r="K452" s="152">
        <f>IFERROR(VALUE(SUBSTITUTE(INDEX('04A_국토부원자료'!$A:$T,ROW()+1,MATCH("건축년도",'04A_국토부원자료'!$A$4:$T$4,0)),",","")),"")</f>
        <v/>
      </c>
      <c r="L452" s="176">
        <f>IFERROR(INDEX('04A_국토부원자료'!$A:$T,ROW()+1,MATCH("도로명",'04A_국토부원자료'!$A$4:$T$4,0)),"")</f>
        <v/>
      </c>
      <c r="M452" s="48">
        <f>IFERROR(INDEX('04A_국토부원자료'!$A:$T,ROW()+1,MATCH("거래유형",'04A_국토부원자료'!$A$4:$T$4,0)),"")</f>
        <v/>
      </c>
      <c r="N452" s="152">
        <f>IF(B452="","",IF('02_대상물건입력'!B5="",1,IF(ISNUMBER(SEARCH('02_대상물건입력'!B5,B452)),1,0)))</f>
        <v/>
      </c>
      <c r="O452" s="152">
        <f>IF(B452="","",IF('02_대상물건입력'!B6="",1,IF(ISNUMBER(SEARCH('02_대상물건입력'!B6,B452)),1,0)))</f>
        <v/>
      </c>
      <c r="P452" s="152">
        <f>IF(L452="","",IF('02_대상물건입력'!B15="",0,IF(ISNUMBER(SEARCH('02_대상물건입력'!B15,L452)),1,0)))</f>
        <v/>
      </c>
      <c r="Q452" s="152">
        <f>IF(OR(C452="",L452=""),0,IF(AND(TRIM(C452)=TRIM(RIGHT(SUBSTITUTE(TRIM('02_대상물건입력'!$B$7)," ",REPT(" ",99)),99)),IF('02_대상물건입력'!B15="",TRUE(),ISNUMBER(SEARCH('02_대상물건입력'!B15,L452)))),1,0))</f>
        <v/>
      </c>
      <c r="R452" s="175">
        <f>IFERROR(ABS(E452-'02_대상물건입력'!B11)/'02_대상물건입력'!B11,"")</f>
        <v/>
      </c>
      <c r="S452" s="152">
        <f>IFERROR(ABS(J452-'02_대상물건입력'!B10),"")</f>
        <v/>
      </c>
      <c r="T452" s="152">
        <f>IFERROR(ABS('01_설정'!B4-F452),"")</f>
        <v/>
      </c>
      <c r="U452" s="152">
        <f>IFERROR(ABS(K452-YEAR('02_대상물건입력'!B14)),"")</f>
        <v/>
      </c>
      <c r="V452" s="152">
        <f>IF(B452="","",IF(AND(E452&gt;0,F452&gt;0,H452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452=1,TRUE()),R452&lt;='01_설정'!B5,S452&lt;='01_설정'!B6,T452&lt;='01_설정'!B7,U452&lt;='01_설정'!B8),"Y",""))</f>
        <v/>
      </c>
      <c r="W452" s="172">
        <f>IF(V452&lt;&gt;"Y","",MAX(0,(1-R452/'01_설정'!B5))*'01_설정'!B14+MAX(0,(1-S452/'01_설정'!B6))*'01_설정'!B15+MAX(0,(1-T452/'01_설정'!B7))*'01_설정'!B16+MAX(0,(1-U452/'01_설정'!B8))*'01_설정'!B17+O452*'01_설정'!B11+Q452*'01_설정'!B12+P452*'01_설정'!B13+IF(Z452="",0,Z452))</f>
        <v/>
      </c>
      <c r="X452" s="152">
        <f>IF(W452="","",1+COUNTIFS($W$4:$W$3003,"&gt;"&amp;W452)+COUNTIFS($W$4:W452,W452)-1)</f>
        <v/>
      </c>
      <c r="Y452" s="175">
        <f>IF(OR(I452="",'02_대상물건입력'!B19="",'02_대상물건입력'!B19&lt;=0),"",ABS(I452-'02_대상물건입력'!B19)/'02_대상물건입력'!B19)</f>
        <v/>
      </c>
      <c r="Z452" s="172">
        <f>IF(OR(Y452="",'01_설정'!B31="",'01_설정'!B31&lt;=0,'01_설정'!B32="",'01_설정'!B32&lt;=0),"",MAX(0,(1-Y452/'01_설정'!B32))*'01_설정'!B31)</f>
        <v/>
      </c>
    </row>
    <row r="453" ht="17.25" customHeight="1">
      <c r="A453" s="152">
        <f>IF(INDEX('04A_국토부원자료'!$A:$A,ROW()+1)="","",ROW()-3)</f>
        <v/>
      </c>
      <c r="B453" s="48">
        <f>IFERROR(INDEX('04A_국토부원자료'!$A:$T,ROW()+1,MATCH("시군구",'04A_국토부원자료'!$A$4:$T$4,0)),"")</f>
        <v/>
      </c>
      <c r="C453" s="48">
        <f>IF(B453="","",IFERROR(INDEX('04A_국토부원자료'!$A:$T,ROW()+1,MATCH("번지",'04A_국토부원자료'!$A$4:$T$4,0)),""))</f>
        <v/>
      </c>
      <c r="D453" s="48">
        <f>IF(B453="","",IF(Q453=1,'02_대상물건입력'!$B$8,IFERROR(INDEX('04A_국토부원자료'!$A:$T,ROW()+1,MATCH("단지명",'04A_국토부원자료'!$A$4:$T$4,0)),"")))</f>
        <v/>
      </c>
      <c r="E453" s="172">
        <f>IFERROR(VALUE(SUBSTITUTE(INDEX('04A_국토부원자료'!$A:$T,ROW()+1,MATCH("전용면적(㎡)",'04A_국토부원자료'!$A$4:$T$4,0)),",","")),"")</f>
        <v/>
      </c>
      <c r="F4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53" s="51">
        <f>IFERROR(VALUE(SUBSTITUTE(INDEX('04A_국토부원자료'!$A:$T,ROW()+1,MATCH("거래금액(만원)",'04A_국토부원자료'!$A$4:$T$4,0)),",","")),"")</f>
        <v/>
      </c>
      <c r="H453" s="174">
        <f>IF(G453="","",G453*10000)</f>
        <v/>
      </c>
      <c r="I453" s="174">
        <f>IFERROR(IF(AND(H453&gt;0,E453&gt;0),H453/E453,""),"")</f>
        <v/>
      </c>
      <c r="J453" s="152">
        <f>IFERROR(VALUE(SUBSTITUTE(INDEX('04A_국토부원자료'!$A:$T,ROW()+1,MATCH("층",'04A_국토부원자료'!$A$4:$T$4,0)),",","")),"")</f>
        <v/>
      </c>
      <c r="K453" s="152">
        <f>IFERROR(VALUE(SUBSTITUTE(INDEX('04A_국토부원자료'!$A:$T,ROW()+1,MATCH("건축년도",'04A_국토부원자료'!$A$4:$T$4,0)),",","")),"")</f>
        <v/>
      </c>
      <c r="L453" s="176">
        <f>IFERROR(INDEX('04A_국토부원자료'!$A:$T,ROW()+1,MATCH("도로명",'04A_국토부원자료'!$A$4:$T$4,0)),"")</f>
        <v/>
      </c>
      <c r="M453" s="48">
        <f>IFERROR(INDEX('04A_국토부원자료'!$A:$T,ROW()+1,MATCH("거래유형",'04A_국토부원자료'!$A$4:$T$4,0)),"")</f>
        <v/>
      </c>
      <c r="N453" s="152">
        <f>IF(B453="","",IF('02_대상물건입력'!B5="",1,IF(ISNUMBER(SEARCH('02_대상물건입력'!B5,B453)),1,0)))</f>
        <v/>
      </c>
      <c r="O453" s="152">
        <f>IF(B453="","",IF('02_대상물건입력'!B6="",1,IF(ISNUMBER(SEARCH('02_대상물건입력'!B6,B453)),1,0)))</f>
        <v/>
      </c>
      <c r="P453" s="152">
        <f>IF(L453="","",IF('02_대상물건입력'!B15="",0,IF(ISNUMBER(SEARCH('02_대상물건입력'!B15,L453)),1,0)))</f>
        <v/>
      </c>
      <c r="Q453" s="152">
        <f>IF(OR(C453="",L453=""),0,IF(AND(TRIM(C453)=TRIM(RIGHT(SUBSTITUTE(TRIM('02_대상물건입력'!$B$7)," ",REPT(" ",99)),99)),IF('02_대상물건입력'!B15="",TRUE(),ISNUMBER(SEARCH('02_대상물건입력'!B15,L453)))),1,0))</f>
        <v/>
      </c>
      <c r="R453" s="175">
        <f>IFERROR(ABS(E453-'02_대상물건입력'!B11)/'02_대상물건입력'!B11,"")</f>
        <v/>
      </c>
      <c r="S453" s="152">
        <f>IFERROR(ABS(J453-'02_대상물건입력'!B10),"")</f>
        <v/>
      </c>
      <c r="T453" s="152">
        <f>IFERROR(ABS('01_설정'!B4-F453),"")</f>
        <v/>
      </c>
      <c r="U453" s="152">
        <f>IFERROR(ABS(K453-YEAR('02_대상물건입력'!B14)),"")</f>
        <v/>
      </c>
      <c r="V453" s="152">
        <f>IF(B453="","",IF(AND(E453&gt;0,F453&gt;0,H453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453=1,TRUE()),R453&lt;='01_설정'!B5,S453&lt;='01_설정'!B6,T453&lt;='01_설정'!B7,U453&lt;='01_설정'!B8),"Y",""))</f>
        <v/>
      </c>
      <c r="W453" s="172">
        <f>IF(V453&lt;&gt;"Y","",MAX(0,(1-R453/'01_설정'!B5))*'01_설정'!B14+MAX(0,(1-S453/'01_설정'!B6))*'01_설정'!B15+MAX(0,(1-T453/'01_설정'!B7))*'01_설정'!B16+MAX(0,(1-U453/'01_설정'!B8))*'01_설정'!B17+O453*'01_설정'!B11+Q453*'01_설정'!B12+P453*'01_설정'!B13+IF(Z453="",0,Z453))</f>
        <v/>
      </c>
      <c r="X453" s="152">
        <f>IF(W453="","",1+COUNTIFS($W$4:$W$3003,"&gt;"&amp;W453)+COUNTIFS($W$4:W453,W453)-1)</f>
        <v/>
      </c>
      <c r="Y453" s="175">
        <f>IF(OR(I453="",'02_대상물건입력'!B19="",'02_대상물건입력'!B19&lt;=0),"",ABS(I453-'02_대상물건입력'!B19)/'02_대상물건입력'!B19)</f>
        <v/>
      </c>
      <c r="Z453" s="172">
        <f>IF(OR(Y453="",'01_설정'!B31="",'01_설정'!B31&lt;=0,'01_설정'!B32="",'01_설정'!B32&lt;=0),"",MAX(0,(1-Y453/'01_설정'!B32))*'01_설정'!B31)</f>
        <v/>
      </c>
    </row>
    <row r="454" ht="17.25" customHeight="1">
      <c r="A454" s="152">
        <f>IF(INDEX('04A_국토부원자료'!$A:$A,ROW()+1)="","",ROW()-3)</f>
        <v/>
      </c>
      <c r="B454" s="48">
        <f>IFERROR(INDEX('04A_국토부원자료'!$A:$T,ROW()+1,MATCH("시군구",'04A_국토부원자료'!$A$4:$T$4,0)),"")</f>
        <v/>
      </c>
      <c r="C454" s="48">
        <f>IF(B454="","",IFERROR(INDEX('04A_국토부원자료'!$A:$T,ROW()+1,MATCH("번지",'04A_국토부원자료'!$A$4:$T$4,0)),""))</f>
        <v/>
      </c>
      <c r="D454" s="48">
        <f>IF(B454="","",IF(Q454=1,'02_대상물건입력'!$B$8,IFERROR(INDEX('04A_국토부원자료'!$A:$T,ROW()+1,MATCH("단지명",'04A_국토부원자료'!$A$4:$T$4,0)),"")))</f>
        <v/>
      </c>
      <c r="E454" s="172">
        <f>IFERROR(VALUE(SUBSTITUTE(INDEX('04A_국토부원자료'!$A:$T,ROW()+1,MATCH("전용면적(㎡)",'04A_국토부원자료'!$A$4:$T$4,0)),",","")),"")</f>
        <v/>
      </c>
      <c r="F4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54" s="51">
        <f>IFERROR(VALUE(SUBSTITUTE(INDEX('04A_국토부원자료'!$A:$T,ROW()+1,MATCH("거래금액(만원)",'04A_국토부원자료'!$A$4:$T$4,0)),",","")),"")</f>
        <v/>
      </c>
      <c r="H454" s="174">
        <f>IF(G454="","",G454*10000)</f>
        <v/>
      </c>
      <c r="I454" s="174">
        <f>IFERROR(IF(AND(H454&gt;0,E454&gt;0),H454/E454,""),"")</f>
        <v/>
      </c>
      <c r="J454" s="152">
        <f>IFERROR(VALUE(SUBSTITUTE(INDEX('04A_국토부원자료'!$A:$T,ROW()+1,MATCH("층",'04A_국토부원자료'!$A$4:$T$4,0)),",","")),"")</f>
        <v/>
      </c>
      <c r="K454" s="152">
        <f>IFERROR(VALUE(SUBSTITUTE(INDEX('04A_국토부원자료'!$A:$T,ROW()+1,MATCH("건축년도",'04A_국토부원자료'!$A$4:$T$4,0)),",","")),"")</f>
        <v/>
      </c>
      <c r="L454" s="176">
        <f>IFERROR(INDEX('04A_국토부원자료'!$A:$T,ROW()+1,MATCH("도로명",'04A_국토부원자료'!$A$4:$T$4,0)),"")</f>
        <v/>
      </c>
      <c r="M454" s="48">
        <f>IFERROR(INDEX('04A_국토부원자료'!$A:$T,ROW()+1,MATCH("거래유형",'04A_국토부원자료'!$A$4:$T$4,0)),"")</f>
        <v/>
      </c>
      <c r="N454" s="152">
        <f>IF(B454="","",IF('02_대상물건입력'!B5="",1,IF(ISNUMBER(SEARCH('02_대상물건입력'!B5,B454)),1,0)))</f>
        <v/>
      </c>
      <c r="O454" s="152">
        <f>IF(B454="","",IF('02_대상물건입력'!B6="",1,IF(ISNUMBER(SEARCH('02_대상물건입력'!B6,B454)),1,0)))</f>
        <v/>
      </c>
      <c r="P454" s="152">
        <f>IF(L454="","",IF('02_대상물건입력'!B15="",0,IF(ISNUMBER(SEARCH('02_대상물건입력'!B15,L454)),1,0)))</f>
        <v/>
      </c>
      <c r="Q454" s="152">
        <f>IF(OR(C454="",L454=""),0,IF(AND(TRIM(C454)=TRIM(RIGHT(SUBSTITUTE(TRIM('02_대상물건입력'!$B$7)," ",REPT(" ",99)),99)),IF('02_대상물건입력'!B15="",TRUE(),ISNUMBER(SEARCH('02_대상물건입력'!B15,L454)))),1,0))</f>
        <v/>
      </c>
      <c r="R454" s="175">
        <f>IFERROR(ABS(E454-'02_대상물건입력'!B11)/'02_대상물건입력'!B11,"")</f>
        <v/>
      </c>
      <c r="S454" s="152">
        <f>IFERROR(ABS(J454-'02_대상물건입력'!B10),"")</f>
        <v/>
      </c>
      <c r="T454" s="152">
        <f>IFERROR(ABS('01_설정'!B4-F454),"")</f>
        <v/>
      </c>
      <c r="U454" s="152">
        <f>IFERROR(ABS(K454-YEAR('02_대상물건입력'!B14)),"")</f>
        <v/>
      </c>
      <c r="V454" s="152">
        <f>IF(B454="","",IF(AND(E454&gt;0,F454&gt;0,H454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454=1,TRUE()),R454&lt;='01_설정'!B5,S454&lt;='01_설정'!B6,T454&lt;='01_설정'!B7,U454&lt;='01_설정'!B8),"Y",""))</f>
        <v/>
      </c>
      <c r="W454" s="172">
        <f>IF(V454&lt;&gt;"Y","",MAX(0,(1-R454/'01_설정'!B5))*'01_설정'!B14+MAX(0,(1-S454/'01_설정'!B6))*'01_설정'!B15+MAX(0,(1-T454/'01_설정'!B7))*'01_설정'!B16+MAX(0,(1-U454/'01_설정'!B8))*'01_설정'!B17+O454*'01_설정'!B11+Q454*'01_설정'!B12+P454*'01_설정'!B13+IF(Z454="",0,Z454))</f>
        <v/>
      </c>
      <c r="X454" s="152">
        <f>IF(W454="","",1+COUNTIFS($W$4:$W$3003,"&gt;"&amp;W454)+COUNTIFS($W$4:W454,W454)-1)</f>
        <v/>
      </c>
      <c r="Y454" s="175">
        <f>IF(OR(I454="",'02_대상물건입력'!B19="",'02_대상물건입력'!B19&lt;=0),"",ABS(I454-'02_대상물건입력'!B19)/'02_대상물건입력'!B19)</f>
        <v/>
      </c>
      <c r="Z454" s="172">
        <f>IF(OR(Y454="",'01_설정'!B31="",'01_설정'!B31&lt;=0,'01_설정'!B32="",'01_설정'!B32&lt;=0),"",MAX(0,(1-Y454/'01_설정'!B32))*'01_설정'!B31)</f>
        <v/>
      </c>
    </row>
    <row r="455" ht="17.25" customHeight="1">
      <c r="A455" s="152">
        <f>IF(INDEX('04A_국토부원자료'!$A:$A,ROW()+1)="","",ROW()-3)</f>
        <v/>
      </c>
      <c r="B455" s="48">
        <f>IFERROR(INDEX('04A_국토부원자료'!$A:$T,ROW()+1,MATCH("시군구",'04A_국토부원자료'!$A$4:$T$4,0)),"")</f>
        <v/>
      </c>
      <c r="C455" s="48">
        <f>IF(B455="","",IFERROR(INDEX('04A_국토부원자료'!$A:$T,ROW()+1,MATCH("번지",'04A_국토부원자료'!$A$4:$T$4,0)),""))</f>
        <v/>
      </c>
      <c r="D455" s="48">
        <f>IF(B455="","",IF(Q455=1,'02_대상물건입력'!$B$8,IFERROR(INDEX('04A_국토부원자료'!$A:$T,ROW()+1,MATCH("단지명",'04A_국토부원자료'!$A$4:$T$4,0)),"")))</f>
        <v/>
      </c>
      <c r="E455" s="172">
        <f>IFERROR(VALUE(SUBSTITUTE(INDEX('04A_국토부원자료'!$A:$T,ROW()+1,MATCH("전용면적(㎡)",'04A_국토부원자료'!$A$4:$T$4,0)),",","")),"")</f>
        <v/>
      </c>
      <c r="F4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55" s="51">
        <f>IFERROR(VALUE(SUBSTITUTE(INDEX('04A_국토부원자료'!$A:$T,ROW()+1,MATCH("거래금액(만원)",'04A_국토부원자료'!$A$4:$T$4,0)),",","")),"")</f>
        <v/>
      </c>
      <c r="H455" s="174">
        <f>IF(G455="","",G455*10000)</f>
        <v/>
      </c>
      <c r="I455" s="174">
        <f>IFERROR(IF(AND(H455&gt;0,E455&gt;0),H455/E455,""),"")</f>
        <v/>
      </c>
      <c r="J455" s="152">
        <f>IFERROR(VALUE(SUBSTITUTE(INDEX('04A_국토부원자료'!$A:$T,ROW()+1,MATCH("층",'04A_국토부원자료'!$A$4:$T$4,0)),",","")),"")</f>
        <v/>
      </c>
      <c r="K455" s="152">
        <f>IFERROR(VALUE(SUBSTITUTE(INDEX('04A_국토부원자료'!$A:$T,ROW()+1,MATCH("건축년도",'04A_국토부원자료'!$A$4:$T$4,0)),",","")),"")</f>
        <v/>
      </c>
      <c r="L455" s="176">
        <f>IFERROR(INDEX('04A_국토부원자료'!$A:$T,ROW()+1,MATCH("도로명",'04A_국토부원자료'!$A$4:$T$4,0)),"")</f>
        <v/>
      </c>
      <c r="M455" s="48">
        <f>IFERROR(INDEX('04A_국토부원자료'!$A:$T,ROW()+1,MATCH("거래유형",'04A_국토부원자료'!$A$4:$T$4,0)),"")</f>
        <v/>
      </c>
      <c r="N455" s="152">
        <f>IF(B455="","",IF('02_대상물건입력'!B5="",1,IF(ISNUMBER(SEARCH('02_대상물건입력'!B5,B455)),1,0)))</f>
        <v/>
      </c>
      <c r="O455" s="152">
        <f>IF(B455="","",IF('02_대상물건입력'!B6="",1,IF(ISNUMBER(SEARCH('02_대상물건입력'!B6,B455)),1,0)))</f>
        <v/>
      </c>
      <c r="P455" s="152">
        <f>IF(L455="","",IF('02_대상물건입력'!B15="",0,IF(ISNUMBER(SEARCH('02_대상물건입력'!B15,L455)),1,0)))</f>
        <v/>
      </c>
      <c r="Q455" s="152">
        <f>IF(OR(C455="",L455=""),0,IF(AND(TRIM(C455)=TRIM(RIGHT(SUBSTITUTE(TRIM('02_대상물건입력'!$B$7)," ",REPT(" ",99)),99)),IF('02_대상물건입력'!B15="",TRUE(),ISNUMBER(SEARCH('02_대상물건입력'!B15,L455)))),1,0))</f>
        <v/>
      </c>
      <c r="R455" s="175">
        <f>IFERROR(ABS(E455-'02_대상물건입력'!B11)/'02_대상물건입력'!B11,"")</f>
        <v/>
      </c>
      <c r="S455" s="152">
        <f>IFERROR(ABS(J455-'02_대상물건입력'!B10),"")</f>
        <v/>
      </c>
      <c r="T455" s="152">
        <f>IFERROR(ABS('01_설정'!B4-F455),"")</f>
        <v/>
      </c>
      <c r="U455" s="152">
        <f>IFERROR(ABS(K455-YEAR('02_대상물건입력'!B14)),"")</f>
        <v/>
      </c>
      <c r="V455" s="152">
        <f>IF(B455="","",IF(AND(E455&gt;0,F455&gt;0,H455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455=1,TRUE()),R455&lt;='01_설정'!B5,S455&lt;='01_설정'!B6,T455&lt;='01_설정'!B7,U455&lt;='01_설정'!B8),"Y",""))</f>
        <v/>
      </c>
      <c r="W455" s="172">
        <f>IF(V455&lt;&gt;"Y","",MAX(0,(1-R455/'01_설정'!B5))*'01_설정'!B14+MAX(0,(1-S455/'01_설정'!B6))*'01_설정'!B15+MAX(0,(1-T455/'01_설정'!B7))*'01_설정'!B16+MAX(0,(1-U455/'01_설정'!B8))*'01_설정'!B17+O455*'01_설정'!B11+Q455*'01_설정'!B12+P455*'01_설정'!B13+IF(Z455="",0,Z455))</f>
        <v/>
      </c>
      <c r="X455" s="152">
        <f>IF(W455="","",1+COUNTIFS($W$4:$W$3003,"&gt;"&amp;W455)+COUNTIFS($W$4:W455,W455)-1)</f>
        <v/>
      </c>
      <c r="Y455" s="175">
        <f>IF(OR(I455="",'02_대상물건입력'!B19="",'02_대상물건입력'!B19&lt;=0),"",ABS(I455-'02_대상물건입력'!B19)/'02_대상물건입력'!B19)</f>
        <v/>
      </c>
      <c r="Z455" s="172">
        <f>IF(OR(Y455="",'01_설정'!B31="",'01_설정'!B31&lt;=0,'01_설정'!B32="",'01_설정'!B32&lt;=0),"",MAX(0,(1-Y455/'01_설정'!B32))*'01_설정'!B31)</f>
        <v/>
      </c>
    </row>
    <row r="456" ht="17.25" customHeight="1">
      <c r="A456" s="152">
        <f>IF(INDEX('04A_국토부원자료'!$A:$A,ROW()+1)="","",ROW()-3)</f>
        <v/>
      </c>
      <c r="B456" s="48">
        <f>IFERROR(INDEX('04A_국토부원자료'!$A:$T,ROW()+1,MATCH("시군구",'04A_국토부원자료'!$A$4:$T$4,0)),"")</f>
        <v/>
      </c>
      <c r="C456" s="48">
        <f>IF(B456="","",IFERROR(INDEX('04A_국토부원자료'!$A:$T,ROW()+1,MATCH("번지",'04A_국토부원자료'!$A$4:$T$4,0)),""))</f>
        <v/>
      </c>
      <c r="D456" s="48">
        <f>IF(B456="","",IF(Q456=1,'02_대상물건입력'!$B$8,IFERROR(INDEX('04A_국토부원자료'!$A:$T,ROW()+1,MATCH("단지명",'04A_국토부원자료'!$A$4:$T$4,0)),"")))</f>
        <v/>
      </c>
      <c r="E456" s="172">
        <f>IFERROR(VALUE(SUBSTITUTE(INDEX('04A_국토부원자료'!$A:$T,ROW()+1,MATCH("전용면적(㎡)",'04A_국토부원자료'!$A$4:$T$4,0)),",","")),"")</f>
        <v/>
      </c>
      <c r="F4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56" s="51">
        <f>IFERROR(VALUE(SUBSTITUTE(INDEX('04A_국토부원자료'!$A:$T,ROW()+1,MATCH("거래금액(만원)",'04A_국토부원자료'!$A$4:$T$4,0)),",","")),"")</f>
        <v/>
      </c>
      <c r="H456" s="174">
        <f>IF(G456="","",G456*10000)</f>
        <v/>
      </c>
      <c r="I456" s="174">
        <f>IFERROR(IF(AND(H456&gt;0,E456&gt;0),H456/E456,""),"")</f>
        <v/>
      </c>
      <c r="J456" s="152">
        <f>IFERROR(VALUE(SUBSTITUTE(INDEX('04A_국토부원자료'!$A:$T,ROW()+1,MATCH("층",'04A_국토부원자료'!$A$4:$T$4,0)),",","")),"")</f>
        <v/>
      </c>
      <c r="K456" s="152">
        <f>IFERROR(VALUE(SUBSTITUTE(INDEX('04A_국토부원자료'!$A:$T,ROW()+1,MATCH("건축년도",'04A_국토부원자료'!$A$4:$T$4,0)),",","")),"")</f>
        <v/>
      </c>
      <c r="L456" s="176">
        <f>IFERROR(INDEX('04A_국토부원자료'!$A:$T,ROW()+1,MATCH("도로명",'04A_국토부원자료'!$A$4:$T$4,0)),"")</f>
        <v/>
      </c>
      <c r="M456" s="48">
        <f>IFERROR(INDEX('04A_국토부원자료'!$A:$T,ROW()+1,MATCH("거래유형",'04A_국토부원자료'!$A$4:$T$4,0)),"")</f>
        <v/>
      </c>
      <c r="N456" s="152">
        <f>IF(B456="","",IF('02_대상물건입력'!B5="",1,IF(ISNUMBER(SEARCH('02_대상물건입력'!B5,B456)),1,0)))</f>
        <v/>
      </c>
      <c r="O456" s="152">
        <f>IF(B456="","",IF('02_대상물건입력'!B6="",1,IF(ISNUMBER(SEARCH('02_대상물건입력'!B6,B456)),1,0)))</f>
        <v/>
      </c>
      <c r="P456" s="152">
        <f>IF(L456="","",IF('02_대상물건입력'!B15="",0,IF(ISNUMBER(SEARCH('02_대상물건입력'!B15,L456)),1,0)))</f>
        <v/>
      </c>
      <c r="Q456" s="152">
        <f>IF(OR(C456="",L456=""),0,IF(AND(TRIM(C456)=TRIM(RIGHT(SUBSTITUTE(TRIM('02_대상물건입력'!$B$7)," ",REPT(" ",99)),99)),IF('02_대상물건입력'!B15="",TRUE(),ISNUMBER(SEARCH('02_대상물건입력'!B15,L456)))),1,0))</f>
        <v/>
      </c>
      <c r="R456" s="175">
        <f>IFERROR(ABS(E456-'02_대상물건입력'!B11)/'02_대상물건입력'!B11,"")</f>
        <v/>
      </c>
      <c r="S456" s="152">
        <f>IFERROR(ABS(J456-'02_대상물건입력'!B10),"")</f>
        <v/>
      </c>
      <c r="T456" s="152">
        <f>IFERROR(ABS('01_설정'!B4-F456),"")</f>
        <v/>
      </c>
      <c r="U456" s="152">
        <f>IFERROR(ABS(K456-YEAR('02_대상물건입력'!B14)),"")</f>
        <v/>
      </c>
      <c r="V456" s="152">
        <f>IF(B456="","",IF(AND(E456&gt;0,F456&gt;0,H456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456=1,TRUE()),R456&lt;='01_설정'!B5,S456&lt;='01_설정'!B6,T456&lt;='01_설정'!B7,U456&lt;='01_설정'!B8),"Y",""))</f>
        <v/>
      </c>
      <c r="W456" s="172">
        <f>IF(V456&lt;&gt;"Y","",MAX(0,(1-R456/'01_설정'!B5))*'01_설정'!B14+MAX(0,(1-S456/'01_설정'!B6))*'01_설정'!B15+MAX(0,(1-T456/'01_설정'!B7))*'01_설정'!B16+MAX(0,(1-U456/'01_설정'!B8))*'01_설정'!B17+O456*'01_설정'!B11+Q456*'01_설정'!B12+P456*'01_설정'!B13+IF(Z456="",0,Z456))</f>
        <v/>
      </c>
      <c r="X456" s="152">
        <f>IF(W456="","",1+COUNTIFS($W$4:$W$3003,"&gt;"&amp;W456)+COUNTIFS($W$4:W456,W456)-1)</f>
        <v/>
      </c>
      <c r="Y456" s="175">
        <f>IF(OR(I456="",'02_대상물건입력'!B19="",'02_대상물건입력'!B19&lt;=0),"",ABS(I456-'02_대상물건입력'!B19)/'02_대상물건입력'!B19)</f>
        <v/>
      </c>
      <c r="Z456" s="172">
        <f>IF(OR(Y456="",'01_설정'!B31="",'01_설정'!B31&lt;=0,'01_설정'!B32="",'01_설정'!B32&lt;=0),"",MAX(0,(1-Y456/'01_설정'!B32))*'01_설정'!B31)</f>
        <v/>
      </c>
    </row>
    <row r="457" ht="17.25" customHeight="1">
      <c r="A457" s="152">
        <f>IF(INDEX('04A_국토부원자료'!$A:$A,ROW()+1)="","",ROW()-3)</f>
        <v/>
      </c>
      <c r="B457" s="48">
        <f>IFERROR(INDEX('04A_국토부원자료'!$A:$T,ROW()+1,MATCH("시군구",'04A_국토부원자료'!$A$4:$T$4,0)),"")</f>
        <v/>
      </c>
      <c r="C457" s="48">
        <f>IF(B457="","",IFERROR(INDEX('04A_국토부원자료'!$A:$T,ROW()+1,MATCH("번지",'04A_국토부원자료'!$A$4:$T$4,0)),""))</f>
        <v/>
      </c>
      <c r="D457" s="48">
        <f>IF(B457="","",IF(Q457=1,'02_대상물건입력'!$B$8,IFERROR(INDEX('04A_국토부원자료'!$A:$T,ROW()+1,MATCH("단지명",'04A_국토부원자료'!$A$4:$T$4,0)),"")))</f>
        <v/>
      </c>
      <c r="E457" s="172">
        <f>IFERROR(VALUE(SUBSTITUTE(INDEX('04A_국토부원자료'!$A:$T,ROW()+1,MATCH("전용면적(㎡)",'04A_국토부원자료'!$A$4:$T$4,0)),",","")),"")</f>
        <v/>
      </c>
      <c r="F4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57" s="51">
        <f>IFERROR(VALUE(SUBSTITUTE(INDEX('04A_국토부원자료'!$A:$T,ROW()+1,MATCH("거래금액(만원)",'04A_국토부원자료'!$A$4:$T$4,0)),",","")),"")</f>
        <v/>
      </c>
      <c r="H457" s="174">
        <f>IF(G457="","",G457*10000)</f>
        <v/>
      </c>
      <c r="I457" s="174">
        <f>IFERROR(IF(AND(H457&gt;0,E457&gt;0),H457/E457,""),"")</f>
        <v/>
      </c>
      <c r="J457" s="152">
        <f>IFERROR(VALUE(SUBSTITUTE(INDEX('04A_국토부원자료'!$A:$T,ROW()+1,MATCH("층",'04A_국토부원자료'!$A$4:$T$4,0)),",","")),"")</f>
        <v/>
      </c>
      <c r="K457" s="152">
        <f>IFERROR(VALUE(SUBSTITUTE(INDEX('04A_국토부원자료'!$A:$T,ROW()+1,MATCH("건축년도",'04A_국토부원자료'!$A$4:$T$4,0)),",","")),"")</f>
        <v/>
      </c>
      <c r="L457" s="176">
        <f>IFERROR(INDEX('04A_국토부원자료'!$A:$T,ROW()+1,MATCH("도로명",'04A_국토부원자료'!$A$4:$T$4,0)),"")</f>
        <v/>
      </c>
      <c r="M457" s="48">
        <f>IFERROR(INDEX('04A_국토부원자료'!$A:$T,ROW()+1,MATCH("거래유형",'04A_국토부원자료'!$A$4:$T$4,0)),"")</f>
        <v/>
      </c>
      <c r="N457" s="152">
        <f>IF(B457="","",IF('02_대상물건입력'!B5="",1,IF(ISNUMBER(SEARCH('02_대상물건입력'!B5,B457)),1,0)))</f>
        <v/>
      </c>
      <c r="O457" s="152">
        <f>IF(B457="","",IF('02_대상물건입력'!B6="",1,IF(ISNUMBER(SEARCH('02_대상물건입력'!B6,B457)),1,0)))</f>
        <v/>
      </c>
      <c r="P457" s="152">
        <f>IF(L457="","",IF('02_대상물건입력'!B15="",0,IF(ISNUMBER(SEARCH('02_대상물건입력'!B15,L457)),1,0)))</f>
        <v/>
      </c>
      <c r="Q457" s="152">
        <f>IF(OR(C457="",L457=""),0,IF(AND(TRIM(C457)=TRIM(RIGHT(SUBSTITUTE(TRIM('02_대상물건입력'!$B$7)," ",REPT(" ",99)),99)),IF('02_대상물건입력'!B15="",TRUE(),ISNUMBER(SEARCH('02_대상물건입력'!B15,L457)))),1,0))</f>
        <v/>
      </c>
      <c r="R457" s="175">
        <f>IFERROR(ABS(E457-'02_대상물건입력'!B11)/'02_대상물건입력'!B11,"")</f>
        <v/>
      </c>
      <c r="S457" s="152">
        <f>IFERROR(ABS(J457-'02_대상물건입력'!B10),"")</f>
        <v/>
      </c>
      <c r="T457" s="152">
        <f>IFERROR(ABS('01_설정'!B4-F457),"")</f>
        <v/>
      </c>
      <c r="U457" s="152">
        <f>IFERROR(ABS(K457-YEAR('02_대상물건입력'!B14)),"")</f>
        <v/>
      </c>
      <c r="V457" s="152">
        <f>IF(B457="","",IF(AND(E457&gt;0,F457&gt;0,H457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457=1,TRUE()),R457&lt;='01_설정'!B5,S457&lt;='01_설정'!B6,T457&lt;='01_설정'!B7,U457&lt;='01_설정'!B8),"Y",""))</f>
        <v/>
      </c>
      <c r="W457" s="172">
        <f>IF(V457&lt;&gt;"Y","",MAX(0,(1-R457/'01_설정'!B5))*'01_설정'!B14+MAX(0,(1-S457/'01_설정'!B6))*'01_설정'!B15+MAX(0,(1-T457/'01_설정'!B7))*'01_설정'!B16+MAX(0,(1-U457/'01_설정'!B8))*'01_설정'!B17+O457*'01_설정'!B11+Q457*'01_설정'!B12+P457*'01_설정'!B13+IF(Z457="",0,Z457))</f>
        <v/>
      </c>
      <c r="X457" s="152">
        <f>IF(W457="","",1+COUNTIFS($W$4:$W$3003,"&gt;"&amp;W457)+COUNTIFS($W$4:W457,W457)-1)</f>
        <v/>
      </c>
      <c r="Y457" s="175">
        <f>IF(OR(I457="",'02_대상물건입력'!B19="",'02_대상물건입력'!B19&lt;=0),"",ABS(I457-'02_대상물건입력'!B19)/'02_대상물건입력'!B19)</f>
        <v/>
      </c>
      <c r="Z457" s="172">
        <f>IF(OR(Y457="",'01_설정'!B31="",'01_설정'!B31&lt;=0,'01_설정'!B32="",'01_설정'!B32&lt;=0),"",MAX(0,(1-Y457/'01_설정'!B32))*'01_설정'!B31)</f>
        <v/>
      </c>
    </row>
    <row r="458" ht="17.25" customHeight="1">
      <c r="A458" s="152">
        <f>IF(INDEX('04A_국토부원자료'!$A:$A,ROW()+1)="","",ROW()-3)</f>
        <v/>
      </c>
      <c r="B458" s="48">
        <f>IFERROR(INDEX('04A_국토부원자료'!$A:$T,ROW()+1,MATCH("시군구",'04A_국토부원자료'!$A$4:$T$4,0)),"")</f>
        <v/>
      </c>
      <c r="C458" s="48">
        <f>IF(B458="","",IFERROR(INDEX('04A_국토부원자료'!$A:$T,ROW()+1,MATCH("번지",'04A_국토부원자료'!$A$4:$T$4,0)),""))</f>
        <v/>
      </c>
      <c r="D458" s="48">
        <f>IF(B458="","",IF(Q458=1,'02_대상물건입력'!$B$8,IFERROR(INDEX('04A_국토부원자료'!$A:$T,ROW()+1,MATCH("단지명",'04A_국토부원자료'!$A$4:$T$4,0)),"")))</f>
        <v/>
      </c>
      <c r="E458" s="172">
        <f>IFERROR(VALUE(SUBSTITUTE(INDEX('04A_국토부원자료'!$A:$T,ROW()+1,MATCH("전용면적(㎡)",'04A_국토부원자료'!$A$4:$T$4,0)),",","")),"")</f>
        <v/>
      </c>
      <c r="F4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58" s="51">
        <f>IFERROR(VALUE(SUBSTITUTE(INDEX('04A_국토부원자료'!$A:$T,ROW()+1,MATCH("거래금액(만원)",'04A_국토부원자료'!$A$4:$T$4,0)),",","")),"")</f>
        <v/>
      </c>
      <c r="H458" s="174">
        <f>IF(G458="","",G458*10000)</f>
        <v/>
      </c>
      <c r="I458" s="174">
        <f>IFERROR(IF(AND(H458&gt;0,E458&gt;0),H458/E458,""),"")</f>
        <v/>
      </c>
      <c r="J458" s="152">
        <f>IFERROR(VALUE(SUBSTITUTE(INDEX('04A_국토부원자료'!$A:$T,ROW()+1,MATCH("층",'04A_국토부원자료'!$A$4:$T$4,0)),",","")),"")</f>
        <v/>
      </c>
      <c r="K458" s="152">
        <f>IFERROR(VALUE(SUBSTITUTE(INDEX('04A_국토부원자료'!$A:$T,ROW()+1,MATCH("건축년도",'04A_국토부원자료'!$A$4:$T$4,0)),",","")),"")</f>
        <v/>
      </c>
      <c r="L458" s="176">
        <f>IFERROR(INDEX('04A_국토부원자료'!$A:$T,ROW()+1,MATCH("도로명",'04A_국토부원자료'!$A$4:$T$4,0)),"")</f>
        <v/>
      </c>
      <c r="M458" s="48">
        <f>IFERROR(INDEX('04A_국토부원자료'!$A:$T,ROW()+1,MATCH("거래유형",'04A_국토부원자료'!$A$4:$T$4,0)),"")</f>
        <v/>
      </c>
      <c r="N458" s="152">
        <f>IF(B458="","",IF('02_대상물건입력'!B5="",1,IF(ISNUMBER(SEARCH('02_대상물건입력'!B5,B458)),1,0)))</f>
        <v/>
      </c>
      <c r="O458" s="152">
        <f>IF(B458="","",IF('02_대상물건입력'!B6="",1,IF(ISNUMBER(SEARCH('02_대상물건입력'!B6,B458)),1,0)))</f>
        <v/>
      </c>
      <c r="P458" s="152">
        <f>IF(L458="","",IF('02_대상물건입력'!B15="",0,IF(ISNUMBER(SEARCH('02_대상물건입력'!B15,L458)),1,0)))</f>
        <v/>
      </c>
      <c r="Q458" s="152">
        <f>IF(OR(C458="",L458=""),0,IF(AND(TRIM(C458)=TRIM(RIGHT(SUBSTITUTE(TRIM('02_대상물건입력'!$B$7)," ",REPT(" ",99)),99)),IF('02_대상물건입력'!B15="",TRUE(),ISNUMBER(SEARCH('02_대상물건입력'!B15,L458)))),1,0))</f>
        <v/>
      </c>
      <c r="R458" s="175">
        <f>IFERROR(ABS(E458-'02_대상물건입력'!B11)/'02_대상물건입력'!B11,"")</f>
        <v/>
      </c>
      <c r="S458" s="152">
        <f>IFERROR(ABS(J458-'02_대상물건입력'!B10),"")</f>
        <v/>
      </c>
      <c r="T458" s="152">
        <f>IFERROR(ABS('01_설정'!B4-F458),"")</f>
        <v/>
      </c>
      <c r="U458" s="152">
        <f>IFERROR(ABS(K458-YEAR('02_대상물건입력'!B14)),"")</f>
        <v/>
      </c>
      <c r="V458" s="152">
        <f>IF(B458="","",IF(AND(E458&gt;0,F458&gt;0,H458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458=1,TRUE()),R458&lt;='01_설정'!B5,S458&lt;='01_설정'!B6,T458&lt;='01_설정'!B7,U458&lt;='01_설정'!B8),"Y",""))</f>
        <v/>
      </c>
      <c r="W458" s="172">
        <f>IF(V458&lt;&gt;"Y","",MAX(0,(1-R458/'01_설정'!B5))*'01_설정'!B14+MAX(0,(1-S458/'01_설정'!B6))*'01_설정'!B15+MAX(0,(1-T458/'01_설정'!B7))*'01_설정'!B16+MAX(0,(1-U458/'01_설정'!B8))*'01_설정'!B17+O458*'01_설정'!B11+Q458*'01_설정'!B12+P458*'01_설정'!B13+IF(Z458="",0,Z458))</f>
        <v/>
      </c>
      <c r="X458" s="152">
        <f>IF(W458="","",1+COUNTIFS($W$4:$W$3003,"&gt;"&amp;W458)+COUNTIFS($W$4:W458,W458)-1)</f>
        <v/>
      </c>
      <c r="Y458" s="175">
        <f>IF(OR(I458="",'02_대상물건입력'!B19="",'02_대상물건입력'!B19&lt;=0),"",ABS(I458-'02_대상물건입력'!B19)/'02_대상물건입력'!B19)</f>
        <v/>
      </c>
      <c r="Z458" s="172">
        <f>IF(OR(Y458="",'01_설정'!B31="",'01_설정'!B31&lt;=0,'01_설정'!B32="",'01_설정'!B32&lt;=0),"",MAX(0,(1-Y458/'01_설정'!B32))*'01_설정'!B31)</f>
        <v/>
      </c>
    </row>
    <row r="459" ht="17.25" customHeight="1">
      <c r="A459" s="152">
        <f>IF(INDEX('04A_국토부원자료'!$A:$A,ROW()+1)="","",ROW()-3)</f>
        <v/>
      </c>
      <c r="B459" s="48">
        <f>IFERROR(INDEX('04A_국토부원자료'!$A:$T,ROW()+1,MATCH("시군구",'04A_국토부원자료'!$A$4:$T$4,0)),"")</f>
        <v/>
      </c>
      <c r="C459" s="48">
        <f>IF(B459="","",IFERROR(INDEX('04A_국토부원자료'!$A:$T,ROW()+1,MATCH("번지",'04A_국토부원자료'!$A$4:$T$4,0)),""))</f>
        <v/>
      </c>
      <c r="D459" s="48">
        <f>IF(B459="","",IF(Q459=1,'02_대상물건입력'!$B$8,IFERROR(INDEX('04A_국토부원자료'!$A:$T,ROW()+1,MATCH("단지명",'04A_국토부원자료'!$A$4:$T$4,0)),"")))</f>
        <v/>
      </c>
      <c r="E459" s="172">
        <f>IFERROR(VALUE(SUBSTITUTE(INDEX('04A_국토부원자료'!$A:$T,ROW()+1,MATCH("전용면적(㎡)",'04A_국토부원자료'!$A$4:$T$4,0)),",","")),"")</f>
        <v/>
      </c>
      <c r="F4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59" s="51">
        <f>IFERROR(VALUE(SUBSTITUTE(INDEX('04A_국토부원자료'!$A:$T,ROW()+1,MATCH("거래금액(만원)",'04A_국토부원자료'!$A$4:$T$4,0)),",","")),"")</f>
        <v/>
      </c>
      <c r="H459" s="174">
        <f>IF(G459="","",G459*10000)</f>
        <v/>
      </c>
      <c r="I459" s="174">
        <f>IFERROR(IF(AND(H459&gt;0,E459&gt;0),H459/E459,""),"")</f>
        <v/>
      </c>
      <c r="J459" s="152">
        <f>IFERROR(VALUE(SUBSTITUTE(INDEX('04A_국토부원자료'!$A:$T,ROW()+1,MATCH("층",'04A_국토부원자료'!$A$4:$T$4,0)),",","")),"")</f>
        <v/>
      </c>
      <c r="K459" s="152">
        <f>IFERROR(VALUE(SUBSTITUTE(INDEX('04A_국토부원자료'!$A:$T,ROW()+1,MATCH("건축년도",'04A_국토부원자료'!$A$4:$T$4,0)),",","")),"")</f>
        <v/>
      </c>
      <c r="L459" s="176">
        <f>IFERROR(INDEX('04A_국토부원자료'!$A:$T,ROW()+1,MATCH("도로명",'04A_국토부원자료'!$A$4:$T$4,0)),"")</f>
        <v/>
      </c>
      <c r="M459" s="48">
        <f>IFERROR(INDEX('04A_국토부원자료'!$A:$T,ROW()+1,MATCH("거래유형",'04A_국토부원자료'!$A$4:$T$4,0)),"")</f>
        <v/>
      </c>
      <c r="N459" s="152">
        <f>IF(B459="","",IF('02_대상물건입력'!B5="",1,IF(ISNUMBER(SEARCH('02_대상물건입력'!B5,B459)),1,0)))</f>
        <v/>
      </c>
      <c r="O459" s="152">
        <f>IF(B459="","",IF('02_대상물건입력'!B6="",1,IF(ISNUMBER(SEARCH('02_대상물건입력'!B6,B459)),1,0)))</f>
        <v/>
      </c>
      <c r="P459" s="152">
        <f>IF(L459="","",IF('02_대상물건입력'!B15="",0,IF(ISNUMBER(SEARCH('02_대상물건입력'!B15,L459)),1,0)))</f>
        <v/>
      </c>
      <c r="Q459" s="152">
        <f>IF(OR(C459="",L459=""),0,IF(AND(TRIM(C459)=TRIM(RIGHT(SUBSTITUTE(TRIM('02_대상물건입력'!$B$7)," ",REPT(" ",99)),99)),IF('02_대상물건입력'!B15="",TRUE(),ISNUMBER(SEARCH('02_대상물건입력'!B15,L459)))),1,0))</f>
        <v/>
      </c>
      <c r="R459" s="175">
        <f>IFERROR(ABS(E459-'02_대상물건입력'!B11)/'02_대상물건입력'!B11,"")</f>
        <v/>
      </c>
      <c r="S459" s="152">
        <f>IFERROR(ABS(J459-'02_대상물건입력'!B10),"")</f>
        <v/>
      </c>
      <c r="T459" s="152">
        <f>IFERROR(ABS('01_설정'!B4-F459),"")</f>
        <v/>
      </c>
      <c r="U459" s="152">
        <f>IFERROR(ABS(K459-YEAR('02_대상물건입력'!B14)),"")</f>
        <v/>
      </c>
      <c r="V459" s="152">
        <f>IF(B459="","",IF(AND(E459&gt;0,F459&gt;0,H459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459=1,TRUE()),R459&lt;='01_설정'!B5,S459&lt;='01_설정'!B6,T459&lt;='01_설정'!B7,U459&lt;='01_설정'!B8),"Y",""))</f>
        <v/>
      </c>
      <c r="W459" s="172">
        <f>IF(V459&lt;&gt;"Y","",MAX(0,(1-R459/'01_설정'!B5))*'01_설정'!B14+MAX(0,(1-S459/'01_설정'!B6))*'01_설정'!B15+MAX(0,(1-T459/'01_설정'!B7))*'01_설정'!B16+MAX(0,(1-U459/'01_설정'!B8))*'01_설정'!B17+O459*'01_설정'!B11+Q459*'01_설정'!B12+P459*'01_설정'!B13+IF(Z459="",0,Z459))</f>
        <v/>
      </c>
      <c r="X459" s="152">
        <f>IF(W459="","",1+COUNTIFS($W$4:$W$3003,"&gt;"&amp;W459)+COUNTIFS($W$4:W459,W459)-1)</f>
        <v/>
      </c>
      <c r="Y459" s="175">
        <f>IF(OR(I459="",'02_대상물건입력'!B19="",'02_대상물건입력'!B19&lt;=0),"",ABS(I459-'02_대상물건입력'!B19)/'02_대상물건입력'!B19)</f>
        <v/>
      </c>
      <c r="Z459" s="172">
        <f>IF(OR(Y459="",'01_설정'!B31="",'01_설정'!B31&lt;=0,'01_설정'!B32="",'01_설정'!B32&lt;=0),"",MAX(0,(1-Y459/'01_설정'!B32))*'01_설정'!B31)</f>
        <v/>
      </c>
    </row>
    <row r="460" ht="17.25" customHeight="1">
      <c r="A460" s="152">
        <f>IF(INDEX('04A_국토부원자료'!$A:$A,ROW()+1)="","",ROW()-3)</f>
        <v/>
      </c>
      <c r="B460" s="48">
        <f>IFERROR(INDEX('04A_국토부원자료'!$A:$T,ROW()+1,MATCH("시군구",'04A_국토부원자료'!$A$4:$T$4,0)),"")</f>
        <v/>
      </c>
      <c r="C460" s="48">
        <f>IF(B460="","",IFERROR(INDEX('04A_국토부원자료'!$A:$T,ROW()+1,MATCH("번지",'04A_국토부원자료'!$A$4:$T$4,0)),""))</f>
        <v/>
      </c>
      <c r="D460" s="48">
        <f>IF(B460="","",IF(Q460=1,'02_대상물건입력'!$B$8,IFERROR(INDEX('04A_국토부원자료'!$A:$T,ROW()+1,MATCH("단지명",'04A_국토부원자료'!$A$4:$T$4,0)),"")))</f>
        <v/>
      </c>
      <c r="E460" s="172">
        <f>IFERROR(VALUE(SUBSTITUTE(INDEX('04A_국토부원자료'!$A:$T,ROW()+1,MATCH("전용면적(㎡)",'04A_국토부원자료'!$A$4:$T$4,0)),",","")),"")</f>
        <v/>
      </c>
      <c r="F4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60" s="51">
        <f>IFERROR(VALUE(SUBSTITUTE(INDEX('04A_국토부원자료'!$A:$T,ROW()+1,MATCH("거래금액(만원)",'04A_국토부원자료'!$A$4:$T$4,0)),",","")),"")</f>
        <v/>
      </c>
      <c r="H460" s="174">
        <f>IF(G460="","",G460*10000)</f>
        <v/>
      </c>
      <c r="I460" s="174">
        <f>IFERROR(IF(AND(H460&gt;0,E460&gt;0),H460/E460,""),"")</f>
        <v/>
      </c>
      <c r="J460" s="152">
        <f>IFERROR(VALUE(SUBSTITUTE(INDEX('04A_국토부원자료'!$A:$T,ROW()+1,MATCH("층",'04A_국토부원자료'!$A$4:$T$4,0)),",","")),"")</f>
        <v/>
      </c>
      <c r="K460" s="152">
        <f>IFERROR(VALUE(SUBSTITUTE(INDEX('04A_국토부원자료'!$A:$T,ROW()+1,MATCH("건축년도",'04A_국토부원자료'!$A$4:$T$4,0)),",","")),"")</f>
        <v/>
      </c>
      <c r="L460" s="176">
        <f>IFERROR(INDEX('04A_국토부원자료'!$A:$T,ROW()+1,MATCH("도로명",'04A_국토부원자료'!$A$4:$T$4,0)),"")</f>
        <v/>
      </c>
      <c r="M460" s="48">
        <f>IFERROR(INDEX('04A_국토부원자료'!$A:$T,ROW()+1,MATCH("거래유형",'04A_국토부원자료'!$A$4:$T$4,0)),"")</f>
        <v/>
      </c>
      <c r="N460" s="152">
        <f>IF(B460="","",IF('02_대상물건입력'!B5="",1,IF(ISNUMBER(SEARCH('02_대상물건입력'!B5,B460)),1,0)))</f>
        <v/>
      </c>
      <c r="O460" s="152">
        <f>IF(B460="","",IF('02_대상물건입력'!B6="",1,IF(ISNUMBER(SEARCH('02_대상물건입력'!B6,B460)),1,0)))</f>
        <v/>
      </c>
      <c r="P460" s="152">
        <f>IF(L460="","",IF('02_대상물건입력'!B15="",0,IF(ISNUMBER(SEARCH('02_대상물건입력'!B15,L460)),1,0)))</f>
        <v/>
      </c>
      <c r="Q460" s="152">
        <f>IF(OR(C460="",L460=""),0,IF(AND(TRIM(C460)=TRIM(RIGHT(SUBSTITUTE(TRIM('02_대상물건입력'!$B$7)," ",REPT(" ",99)),99)),IF('02_대상물건입력'!B15="",TRUE(),ISNUMBER(SEARCH('02_대상물건입력'!B15,L460)))),1,0))</f>
        <v/>
      </c>
      <c r="R460" s="175">
        <f>IFERROR(ABS(E460-'02_대상물건입력'!B11)/'02_대상물건입력'!B11,"")</f>
        <v/>
      </c>
      <c r="S460" s="152">
        <f>IFERROR(ABS(J460-'02_대상물건입력'!B10),"")</f>
        <v/>
      </c>
      <c r="T460" s="152">
        <f>IFERROR(ABS('01_설정'!B4-F460),"")</f>
        <v/>
      </c>
      <c r="U460" s="152">
        <f>IFERROR(ABS(K460-YEAR('02_대상물건입력'!B14)),"")</f>
        <v/>
      </c>
      <c r="V460" s="152">
        <f>IF(B460="","",IF(AND(E460&gt;0,F460&gt;0,H460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460=1,TRUE()),R460&lt;='01_설정'!B5,S460&lt;='01_설정'!B6,T460&lt;='01_설정'!B7,U460&lt;='01_설정'!B8),"Y",""))</f>
        <v/>
      </c>
      <c r="W460" s="172">
        <f>IF(V460&lt;&gt;"Y","",MAX(0,(1-R460/'01_설정'!B5))*'01_설정'!B14+MAX(0,(1-S460/'01_설정'!B6))*'01_설정'!B15+MAX(0,(1-T460/'01_설정'!B7))*'01_설정'!B16+MAX(0,(1-U460/'01_설정'!B8))*'01_설정'!B17+O460*'01_설정'!B11+Q460*'01_설정'!B12+P460*'01_설정'!B13+IF(Z460="",0,Z460))</f>
        <v/>
      </c>
      <c r="X460" s="152">
        <f>IF(W460="","",1+COUNTIFS($W$4:$W$3003,"&gt;"&amp;W460)+COUNTIFS($W$4:W460,W460)-1)</f>
        <v/>
      </c>
      <c r="Y460" s="175">
        <f>IF(OR(I460="",'02_대상물건입력'!B19="",'02_대상물건입력'!B19&lt;=0),"",ABS(I460-'02_대상물건입력'!B19)/'02_대상물건입력'!B19)</f>
        <v/>
      </c>
      <c r="Z460" s="172">
        <f>IF(OR(Y460="",'01_설정'!B31="",'01_설정'!B31&lt;=0,'01_설정'!B32="",'01_설정'!B32&lt;=0),"",MAX(0,(1-Y460/'01_설정'!B32))*'01_설정'!B31)</f>
        <v/>
      </c>
    </row>
    <row r="461" ht="17.25" customHeight="1">
      <c r="A461" s="152">
        <f>IF(INDEX('04A_국토부원자료'!$A:$A,ROW()+1)="","",ROW()-3)</f>
        <v/>
      </c>
      <c r="B461" s="48">
        <f>IFERROR(INDEX('04A_국토부원자료'!$A:$T,ROW()+1,MATCH("시군구",'04A_국토부원자료'!$A$4:$T$4,0)),"")</f>
        <v/>
      </c>
      <c r="C461" s="48">
        <f>IF(B461="","",IFERROR(INDEX('04A_국토부원자료'!$A:$T,ROW()+1,MATCH("번지",'04A_국토부원자료'!$A$4:$T$4,0)),""))</f>
        <v/>
      </c>
      <c r="D461" s="48">
        <f>IF(B461="","",IF(Q461=1,'02_대상물건입력'!$B$8,IFERROR(INDEX('04A_국토부원자료'!$A:$T,ROW()+1,MATCH("단지명",'04A_국토부원자료'!$A$4:$T$4,0)),"")))</f>
        <v/>
      </c>
      <c r="E461" s="172">
        <f>IFERROR(VALUE(SUBSTITUTE(INDEX('04A_국토부원자료'!$A:$T,ROW()+1,MATCH("전용면적(㎡)",'04A_국토부원자료'!$A$4:$T$4,0)),",","")),"")</f>
        <v/>
      </c>
      <c r="F4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61" s="51">
        <f>IFERROR(VALUE(SUBSTITUTE(INDEX('04A_국토부원자료'!$A:$T,ROW()+1,MATCH("거래금액(만원)",'04A_국토부원자료'!$A$4:$T$4,0)),",","")),"")</f>
        <v/>
      </c>
      <c r="H461" s="174">
        <f>IF(G461="","",G461*10000)</f>
        <v/>
      </c>
      <c r="I461" s="174">
        <f>IFERROR(IF(AND(H461&gt;0,E461&gt;0),H461/E461,""),"")</f>
        <v/>
      </c>
      <c r="J461" s="152">
        <f>IFERROR(VALUE(SUBSTITUTE(INDEX('04A_국토부원자료'!$A:$T,ROW()+1,MATCH("층",'04A_국토부원자료'!$A$4:$T$4,0)),",","")),"")</f>
        <v/>
      </c>
      <c r="K461" s="152">
        <f>IFERROR(VALUE(SUBSTITUTE(INDEX('04A_국토부원자료'!$A:$T,ROW()+1,MATCH("건축년도",'04A_국토부원자료'!$A$4:$T$4,0)),",","")),"")</f>
        <v/>
      </c>
      <c r="L461" s="176">
        <f>IFERROR(INDEX('04A_국토부원자료'!$A:$T,ROW()+1,MATCH("도로명",'04A_국토부원자료'!$A$4:$T$4,0)),"")</f>
        <v/>
      </c>
      <c r="M461" s="48">
        <f>IFERROR(INDEX('04A_국토부원자료'!$A:$T,ROW()+1,MATCH("거래유형",'04A_국토부원자료'!$A$4:$T$4,0)),"")</f>
        <v/>
      </c>
      <c r="N461" s="152">
        <f>IF(B461="","",IF('02_대상물건입력'!B5="",1,IF(ISNUMBER(SEARCH('02_대상물건입력'!B5,B461)),1,0)))</f>
        <v/>
      </c>
      <c r="O461" s="152">
        <f>IF(B461="","",IF('02_대상물건입력'!B6="",1,IF(ISNUMBER(SEARCH('02_대상물건입력'!B6,B461)),1,0)))</f>
        <v/>
      </c>
      <c r="P461" s="152">
        <f>IF(L461="","",IF('02_대상물건입력'!B15="",0,IF(ISNUMBER(SEARCH('02_대상물건입력'!B15,L461)),1,0)))</f>
        <v/>
      </c>
      <c r="Q461" s="152">
        <f>IF(OR(C461="",L461=""),0,IF(AND(TRIM(C461)=TRIM(RIGHT(SUBSTITUTE(TRIM('02_대상물건입력'!$B$7)," ",REPT(" ",99)),99)),IF('02_대상물건입력'!B15="",TRUE(),ISNUMBER(SEARCH('02_대상물건입력'!B15,L461)))),1,0))</f>
        <v/>
      </c>
      <c r="R461" s="175">
        <f>IFERROR(ABS(E461-'02_대상물건입력'!B11)/'02_대상물건입력'!B11,"")</f>
        <v/>
      </c>
      <c r="S461" s="152">
        <f>IFERROR(ABS(J461-'02_대상물건입력'!B10),"")</f>
        <v/>
      </c>
      <c r="T461" s="152">
        <f>IFERROR(ABS('01_설정'!B4-F461),"")</f>
        <v/>
      </c>
      <c r="U461" s="152">
        <f>IFERROR(ABS(K461-YEAR('02_대상물건입력'!B14)),"")</f>
        <v/>
      </c>
      <c r="V461" s="152">
        <f>IF(B461="","",IF(AND(E461&gt;0,F461&gt;0,H461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461=1,TRUE()),R461&lt;='01_설정'!B5,S461&lt;='01_설정'!B6,T461&lt;='01_설정'!B7,U461&lt;='01_설정'!B8),"Y",""))</f>
        <v/>
      </c>
      <c r="W461" s="172">
        <f>IF(V461&lt;&gt;"Y","",MAX(0,(1-R461/'01_설정'!B5))*'01_설정'!B14+MAX(0,(1-S461/'01_설정'!B6))*'01_설정'!B15+MAX(0,(1-T461/'01_설정'!B7))*'01_설정'!B16+MAX(0,(1-U461/'01_설정'!B8))*'01_설정'!B17+O461*'01_설정'!B11+Q461*'01_설정'!B12+P461*'01_설정'!B13+IF(Z461="",0,Z461))</f>
        <v/>
      </c>
      <c r="X461" s="152">
        <f>IF(W461="","",1+COUNTIFS($W$4:$W$3003,"&gt;"&amp;W461)+COUNTIFS($W$4:W461,W461)-1)</f>
        <v/>
      </c>
      <c r="Y461" s="175">
        <f>IF(OR(I461="",'02_대상물건입력'!B19="",'02_대상물건입력'!B19&lt;=0),"",ABS(I461-'02_대상물건입력'!B19)/'02_대상물건입력'!B19)</f>
        <v/>
      </c>
      <c r="Z461" s="172">
        <f>IF(OR(Y461="",'01_설정'!B31="",'01_설정'!B31&lt;=0,'01_설정'!B32="",'01_설정'!B32&lt;=0),"",MAX(0,(1-Y461/'01_설정'!B32))*'01_설정'!B31)</f>
        <v/>
      </c>
    </row>
    <row r="462" ht="17.25" customHeight="1">
      <c r="A462" s="152">
        <f>IF(INDEX('04A_국토부원자료'!$A:$A,ROW()+1)="","",ROW()-3)</f>
        <v/>
      </c>
      <c r="B462" s="48">
        <f>IFERROR(INDEX('04A_국토부원자료'!$A:$T,ROW()+1,MATCH("시군구",'04A_국토부원자료'!$A$4:$T$4,0)),"")</f>
        <v/>
      </c>
      <c r="C462" s="48">
        <f>IF(B462="","",IFERROR(INDEX('04A_국토부원자료'!$A:$T,ROW()+1,MATCH("번지",'04A_국토부원자료'!$A$4:$T$4,0)),""))</f>
        <v/>
      </c>
      <c r="D462" s="48">
        <f>IF(B462="","",IF(Q462=1,'02_대상물건입력'!$B$8,IFERROR(INDEX('04A_국토부원자료'!$A:$T,ROW()+1,MATCH("단지명",'04A_국토부원자료'!$A$4:$T$4,0)),"")))</f>
        <v/>
      </c>
      <c r="E462" s="172">
        <f>IFERROR(VALUE(SUBSTITUTE(INDEX('04A_국토부원자료'!$A:$T,ROW()+1,MATCH("전용면적(㎡)",'04A_국토부원자료'!$A$4:$T$4,0)),",","")),"")</f>
        <v/>
      </c>
      <c r="F4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62" s="51">
        <f>IFERROR(VALUE(SUBSTITUTE(INDEX('04A_국토부원자료'!$A:$T,ROW()+1,MATCH("거래금액(만원)",'04A_국토부원자료'!$A$4:$T$4,0)),",","")),"")</f>
        <v/>
      </c>
      <c r="H462" s="174">
        <f>IF(G462="","",G462*10000)</f>
        <v/>
      </c>
      <c r="I462" s="174">
        <f>IFERROR(IF(AND(H462&gt;0,E462&gt;0),H462/E462,""),"")</f>
        <v/>
      </c>
      <c r="J462" s="152">
        <f>IFERROR(VALUE(SUBSTITUTE(INDEX('04A_국토부원자료'!$A:$T,ROW()+1,MATCH("층",'04A_국토부원자료'!$A$4:$T$4,0)),",","")),"")</f>
        <v/>
      </c>
      <c r="K462" s="152">
        <f>IFERROR(VALUE(SUBSTITUTE(INDEX('04A_국토부원자료'!$A:$T,ROW()+1,MATCH("건축년도",'04A_국토부원자료'!$A$4:$T$4,0)),",","")),"")</f>
        <v/>
      </c>
      <c r="L462" s="176">
        <f>IFERROR(INDEX('04A_국토부원자료'!$A:$T,ROW()+1,MATCH("도로명",'04A_국토부원자료'!$A$4:$T$4,0)),"")</f>
        <v/>
      </c>
      <c r="M462" s="48">
        <f>IFERROR(INDEX('04A_국토부원자료'!$A:$T,ROW()+1,MATCH("거래유형",'04A_국토부원자료'!$A$4:$T$4,0)),"")</f>
        <v/>
      </c>
      <c r="N462" s="152">
        <f>IF(B462="","",IF('02_대상물건입력'!B5="",1,IF(ISNUMBER(SEARCH('02_대상물건입력'!B5,B462)),1,0)))</f>
        <v/>
      </c>
      <c r="O462" s="152">
        <f>IF(B462="","",IF('02_대상물건입력'!B6="",1,IF(ISNUMBER(SEARCH('02_대상물건입력'!B6,B462)),1,0)))</f>
        <v/>
      </c>
      <c r="P462" s="152">
        <f>IF(L462="","",IF('02_대상물건입력'!B15="",0,IF(ISNUMBER(SEARCH('02_대상물건입력'!B15,L462)),1,0)))</f>
        <v/>
      </c>
      <c r="Q462" s="152">
        <f>IF(OR(C462="",L462=""),0,IF(AND(TRIM(C462)=TRIM(RIGHT(SUBSTITUTE(TRIM('02_대상물건입력'!$B$7)," ",REPT(" ",99)),99)),IF('02_대상물건입력'!B15="",TRUE(),ISNUMBER(SEARCH('02_대상물건입력'!B15,L462)))),1,0))</f>
        <v/>
      </c>
      <c r="R462" s="175">
        <f>IFERROR(ABS(E462-'02_대상물건입력'!B11)/'02_대상물건입력'!B11,"")</f>
        <v/>
      </c>
      <c r="S462" s="152">
        <f>IFERROR(ABS(J462-'02_대상물건입력'!B10),"")</f>
        <v/>
      </c>
      <c r="T462" s="152">
        <f>IFERROR(ABS('01_설정'!B4-F462),"")</f>
        <v/>
      </c>
      <c r="U462" s="152">
        <f>IFERROR(ABS(K462-YEAR('02_대상물건입력'!B14)),"")</f>
        <v/>
      </c>
      <c r="V462" s="152">
        <f>IF(B462="","",IF(AND(E462&gt;0,F462&gt;0,H462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462=1,TRUE()),R462&lt;='01_설정'!B5,S462&lt;='01_설정'!B6,T462&lt;='01_설정'!B7,U462&lt;='01_설정'!B8),"Y",""))</f>
        <v/>
      </c>
      <c r="W462" s="172">
        <f>IF(V462&lt;&gt;"Y","",MAX(0,(1-R462/'01_설정'!B5))*'01_설정'!B14+MAX(0,(1-S462/'01_설정'!B6))*'01_설정'!B15+MAX(0,(1-T462/'01_설정'!B7))*'01_설정'!B16+MAX(0,(1-U462/'01_설정'!B8))*'01_설정'!B17+O462*'01_설정'!B11+Q462*'01_설정'!B12+P462*'01_설정'!B13+IF(Z462="",0,Z462))</f>
        <v/>
      </c>
      <c r="X462" s="152">
        <f>IF(W462="","",1+COUNTIFS($W$4:$W$3003,"&gt;"&amp;W462)+COUNTIFS($W$4:W462,W462)-1)</f>
        <v/>
      </c>
      <c r="Y462" s="175">
        <f>IF(OR(I462="",'02_대상물건입력'!B19="",'02_대상물건입력'!B19&lt;=0),"",ABS(I462-'02_대상물건입력'!B19)/'02_대상물건입력'!B19)</f>
        <v/>
      </c>
      <c r="Z462" s="172">
        <f>IF(OR(Y462="",'01_설정'!B31="",'01_설정'!B31&lt;=0,'01_설정'!B32="",'01_설정'!B32&lt;=0),"",MAX(0,(1-Y462/'01_설정'!B32))*'01_설정'!B31)</f>
        <v/>
      </c>
    </row>
    <row r="463" ht="17.25" customHeight="1">
      <c r="A463" s="152">
        <f>IF(INDEX('04A_국토부원자료'!$A:$A,ROW()+1)="","",ROW()-3)</f>
        <v/>
      </c>
      <c r="B463" s="48">
        <f>IFERROR(INDEX('04A_국토부원자료'!$A:$T,ROW()+1,MATCH("시군구",'04A_국토부원자료'!$A$4:$T$4,0)),"")</f>
        <v/>
      </c>
      <c r="C463" s="48">
        <f>IF(B463="","",IFERROR(INDEX('04A_국토부원자료'!$A:$T,ROW()+1,MATCH("번지",'04A_국토부원자료'!$A$4:$T$4,0)),""))</f>
        <v/>
      </c>
      <c r="D463" s="48">
        <f>IF(B463="","",IF(Q463=1,'02_대상물건입력'!$B$8,IFERROR(INDEX('04A_국토부원자료'!$A:$T,ROW()+1,MATCH("단지명",'04A_국토부원자료'!$A$4:$T$4,0)),"")))</f>
        <v/>
      </c>
      <c r="E463" s="172">
        <f>IFERROR(VALUE(SUBSTITUTE(INDEX('04A_국토부원자료'!$A:$T,ROW()+1,MATCH("전용면적(㎡)",'04A_국토부원자료'!$A$4:$T$4,0)),",","")),"")</f>
        <v/>
      </c>
      <c r="F4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63" s="51">
        <f>IFERROR(VALUE(SUBSTITUTE(INDEX('04A_국토부원자료'!$A:$T,ROW()+1,MATCH("거래금액(만원)",'04A_국토부원자료'!$A$4:$T$4,0)),",","")),"")</f>
        <v/>
      </c>
      <c r="H463" s="174">
        <f>IF(G463="","",G463*10000)</f>
        <v/>
      </c>
      <c r="I463" s="174">
        <f>IFERROR(IF(AND(H463&gt;0,E463&gt;0),H463/E463,""),"")</f>
        <v/>
      </c>
      <c r="J463" s="152">
        <f>IFERROR(VALUE(SUBSTITUTE(INDEX('04A_국토부원자료'!$A:$T,ROW()+1,MATCH("층",'04A_국토부원자료'!$A$4:$T$4,0)),",","")),"")</f>
        <v/>
      </c>
      <c r="K463" s="152">
        <f>IFERROR(VALUE(SUBSTITUTE(INDEX('04A_국토부원자료'!$A:$T,ROW()+1,MATCH("건축년도",'04A_국토부원자료'!$A$4:$T$4,0)),",","")),"")</f>
        <v/>
      </c>
      <c r="L463" s="176">
        <f>IFERROR(INDEX('04A_국토부원자료'!$A:$T,ROW()+1,MATCH("도로명",'04A_국토부원자료'!$A$4:$T$4,0)),"")</f>
        <v/>
      </c>
      <c r="M463" s="48">
        <f>IFERROR(INDEX('04A_국토부원자료'!$A:$T,ROW()+1,MATCH("거래유형",'04A_국토부원자료'!$A$4:$T$4,0)),"")</f>
        <v/>
      </c>
      <c r="N463" s="152">
        <f>IF(B463="","",IF('02_대상물건입력'!B5="",1,IF(ISNUMBER(SEARCH('02_대상물건입력'!B5,B463)),1,0)))</f>
        <v/>
      </c>
      <c r="O463" s="152">
        <f>IF(B463="","",IF('02_대상물건입력'!B6="",1,IF(ISNUMBER(SEARCH('02_대상물건입력'!B6,B463)),1,0)))</f>
        <v/>
      </c>
      <c r="P463" s="152">
        <f>IF(L463="","",IF('02_대상물건입력'!B15="",0,IF(ISNUMBER(SEARCH('02_대상물건입력'!B15,L463)),1,0)))</f>
        <v/>
      </c>
      <c r="Q463" s="152">
        <f>IF(OR(C463="",L463=""),0,IF(AND(TRIM(C463)=TRIM(RIGHT(SUBSTITUTE(TRIM('02_대상물건입력'!$B$7)," ",REPT(" ",99)),99)),IF('02_대상물건입력'!B15="",TRUE(),ISNUMBER(SEARCH('02_대상물건입력'!B15,L463)))),1,0))</f>
        <v/>
      </c>
      <c r="R463" s="175">
        <f>IFERROR(ABS(E463-'02_대상물건입력'!B11)/'02_대상물건입력'!B11,"")</f>
        <v/>
      </c>
      <c r="S463" s="152">
        <f>IFERROR(ABS(J463-'02_대상물건입력'!B10),"")</f>
        <v/>
      </c>
      <c r="T463" s="152">
        <f>IFERROR(ABS('01_설정'!B4-F463),"")</f>
        <v/>
      </c>
      <c r="U463" s="152">
        <f>IFERROR(ABS(K463-YEAR('02_대상물건입력'!B14)),"")</f>
        <v/>
      </c>
      <c r="V463" s="152">
        <f>IF(B463="","",IF(AND(E463&gt;0,F463&gt;0,H463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463=1,TRUE()),R463&lt;='01_설정'!B5,S463&lt;='01_설정'!B6,T463&lt;='01_설정'!B7,U463&lt;='01_설정'!B8),"Y",""))</f>
        <v/>
      </c>
      <c r="W463" s="172">
        <f>IF(V463&lt;&gt;"Y","",MAX(0,(1-R463/'01_설정'!B5))*'01_설정'!B14+MAX(0,(1-S463/'01_설정'!B6))*'01_설정'!B15+MAX(0,(1-T463/'01_설정'!B7))*'01_설정'!B16+MAX(0,(1-U463/'01_설정'!B8))*'01_설정'!B17+O463*'01_설정'!B11+Q463*'01_설정'!B12+P463*'01_설정'!B13+IF(Z463="",0,Z463))</f>
        <v/>
      </c>
      <c r="X463" s="152">
        <f>IF(W463="","",1+COUNTIFS($W$4:$W$3003,"&gt;"&amp;W463)+COUNTIFS($W$4:W463,W463)-1)</f>
        <v/>
      </c>
      <c r="Y463" s="175">
        <f>IF(OR(I463="",'02_대상물건입력'!B19="",'02_대상물건입력'!B19&lt;=0),"",ABS(I463-'02_대상물건입력'!B19)/'02_대상물건입력'!B19)</f>
        <v/>
      </c>
      <c r="Z463" s="172">
        <f>IF(OR(Y463="",'01_설정'!B31="",'01_설정'!B31&lt;=0,'01_설정'!B32="",'01_설정'!B32&lt;=0),"",MAX(0,(1-Y463/'01_설정'!B32))*'01_설정'!B31)</f>
        <v/>
      </c>
    </row>
    <row r="464" ht="17.25" customHeight="1">
      <c r="A464" s="152">
        <f>IF(INDEX('04A_국토부원자료'!$A:$A,ROW()+1)="","",ROW()-3)</f>
        <v/>
      </c>
      <c r="B464" s="48">
        <f>IFERROR(INDEX('04A_국토부원자료'!$A:$T,ROW()+1,MATCH("시군구",'04A_국토부원자료'!$A$4:$T$4,0)),"")</f>
        <v/>
      </c>
      <c r="C464" s="48">
        <f>IF(B464="","",IFERROR(INDEX('04A_국토부원자료'!$A:$T,ROW()+1,MATCH("번지",'04A_국토부원자료'!$A$4:$T$4,0)),""))</f>
        <v/>
      </c>
      <c r="D464" s="48">
        <f>IF(B464="","",IF(Q464=1,'02_대상물건입력'!$B$8,IFERROR(INDEX('04A_국토부원자료'!$A:$T,ROW()+1,MATCH("단지명",'04A_국토부원자료'!$A$4:$T$4,0)),"")))</f>
        <v/>
      </c>
      <c r="E464" s="172">
        <f>IFERROR(VALUE(SUBSTITUTE(INDEX('04A_국토부원자료'!$A:$T,ROW()+1,MATCH("전용면적(㎡)",'04A_국토부원자료'!$A$4:$T$4,0)),",","")),"")</f>
        <v/>
      </c>
      <c r="F4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64" s="51">
        <f>IFERROR(VALUE(SUBSTITUTE(INDEX('04A_국토부원자료'!$A:$T,ROW()+1,MATCH("거래금액(만원)",'04A_국토부원자료'!$A$4:$T$4,0)),",","")),"")</f>
        <v/>
      </c>
      <c r="H464" s="174">
        <f>IF(G464="","",G464*10000)</f>
        <v/>
      </c>
      <c r="I464" s="174">
        <f>IFERROR(IF(AND(H464&gt;0,E464&gt;0),H464/E464,""),"")</f>
        <v/>
      </c>
      <c r="J464" s="152">
        <f>IFERROR(VALUE(SUBSTITUTE(INDEX('04A_국토부원자료'!$A:$T,ROW()+1,MATCH("층",'04A_국토부원자료'!$A$4:$T$4,0)),",","")),"")</f>
        <v/>
      </c>
      <c r="K464" s="152">
        <f>IFERROR(VALUE(SUBSTITUTE(INDEX('04A_국토부원자료'!$A:$T,ROW()+1,MATCH("건축년도",'04A_국토부원자료'!$A$4:$T$4,0)),",","")),"")</f>
        <v/>
      </c>
      <c r="L464" s="176">
        <f>IFERROR(INDEX('04A_국토부원자료'!$A:$T,ROW()+1,MATCH("도로명",'04A_국토부원자료'!$A$4:$T$4,0)),"")</f>
        <v/>
      </c>
      <c r="M464" s="48">
        <f>IFERROR(INDEX('04A_국토부원자료'!$A:$T,ROW()+1,MATCH("거래유형",'04A_국토부원자료'!$A$4:$T$4,0)),"")</f>
        <v/>
      </c>
      <c r="N464" s="152">
        <f>IF(B464="","",IF('02_대상물건입력'!B5="",1,IF(ISNUMBER(SEARCH('02_대상물건입력'!B5,B464)),1,0)))</f>
        <v/>
      </c>
      <c r="O464" s="152">
        <f>IF(B464="","",IF('02_대상물건입력'!B6="",1,IF(ISNUMBER(SEARCH('02_대상물건입력'!B6,B464)),1,0)))</f>
        <v/>
      </c>
      <c r="P464" s="152">
        <f>IF(L464="","",IF('02_대상물건입력'!B15="",0,IF(ISNUMBER(SEARCH('02_대상물건입력'!B15,L464)),1,0)))</f>
        <v/>
      </c>
      <c r="Q464" s="152">
        <f>IF(OR(C464="",L464=""),0,IF(AND(TRIM(C464)=TRIM(RIGHT(SUBSTITUTE(TRIM('02_대상물건입력'!$B$7)," ",REPT(" ",99)),99)),IF('02_대상물건입력'!B15="",TRUE(),ISNUMBER(SEARCH('02_대상물건입력'!B15,L464)))),1,0))</f>
        <v/>
      </c>
      <c r="R464" s="175">
        <f>IFERROR(ABS(E464-'02_대상물건입력'!B11)/'02_대상물건입력'!B11,"")</f>
        <v/>
      </c>
      <c r="S464" s="152">
        <f>IFERROR(ABS(J464-'02_대상물건입력'!B10),"")</f>
        <v/>
      </c>
      <c r="T464" s="152">
        <f>IFERROR(ABS('01_설정'!B4-F464),"")</f>
        <v/>
      </c>
      <c r="U464" s="152">
        <f>IFERROR(ABS(K464-YEAR('02_대상물건입력'!B14)),"")</f>
        <v/>
      </c>
      <c r="V464" s="152">
        <f>IF(B464="","",IF(AND(E464&gt;0,F464&gt;0,H464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464=1,TRUE()),R464&lt;='01_설정'!B5,S464&lt;='01_설정'!B6,T464&lt;='01_설정'!B7,U464&lt;='01_설정'!B8),"Y",""))</f>
        <v/>
      </c>
      <c r="W464" s="172">
        <f>IF(V464&lt;&gt;"Y","",MAX(0,(1-R464/'01_설정'!B5))*'01_설정'!B14+MAX(0,(1-S464/'01_설정'!B6))*'01_설정'!B15+MAX(0,(1-T464/'01_설정'!B7))*'01_설정'!B16+MAX(0,(1-U464/'01_설정'!B8))*'01_설정'!B17+O464*'01_설정'!B11+Q464*'01_설정'!B12+P464*'01_설정'!B13+IF(Z464="",0,Z464))</f>
        <v/>
      </c>
      <c r="X464" s="152">
        <f>IF(W464="","",1+COUNTIFS($W$4:$W$3003,"&gt;"&amp;W464)+COUNTIFS($W$4:W464,W464)-1)</f>
        <v/>
      </c>
      <c r="Y464" s="175">
        <f>IF(OR(I464="",'02_대상물건입력'!B19="",'02_대상물건입력'!B19&lt;=0),"",ABS(I464-'02_대상물건입력'!B19)/'02_대상물건입력'!B19)</f>
        <v/>
      </c>
      <c r="Z464" s="172">
        <f>IF(OR(Y464="",'01_설정'!B31="",'01_설정'!B31&lt;=0,'01_설정'!B32="",'01_설정'!B32&lt;=0),"",MAX(0,(1-Y464/'01_설정'!B32))*'01_설정'!B31)</f>
        <v/>
      </c>
    </row>
    <row r="465" ht="17.25" customHeight="1">
      <c r="A465" s="152">
        <f>IF(INDEX('04A_국토부원자료'!$A:$A,ROW()+1)="","",ROW()-3)</f>
        <v/>
      </c>
      <c r="B465" s="48">
        <f>IFERROR(INDEX('04A_국토부원자료'!$A:$T,ROW()+1,MATCH("시군구",'04A_국토부원자료'!$A$4:$T$4,0)),"")</f>
        <v/>
      </c>
      <c r="C465" s="48">
        <f>IF(B465="","",IFERROR(INDEX('04A_국토부원자료'!$A:$T,ROW()+1,MATCH("번지",'04A_국토부원자료'!$A$4:$T$4,0)),""))</f>
        <v/>
      </c>
      <c r="D465" s="48">
        <f>IF(B465="","",IF(Q465=1,'02_대상물건입력'!$B$8,IFERROR(INDEX('04A_국토부원자료'!$A:$T,ROW()+1,MATCH("단지명",'04A_국토부원자료'!$A$4:$T$4,0)),"")))</f>
        <v/>
      </c>
      <c r="E465" s="172">
        <f>IFERROR(VALUE(SUBSTITUTE(INDEX('04A_국토부원자료'!$A:$T,ROW()+1,MATCH("전용면적(㎡)",'04A_국토부원자료'!$A$4:$T$4,0)),",","")),"")</f>
        <v/>
      </c>
      <c r="F4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65" s="51">
        <f>IFERROR(VALUE(SUBSTITUTE(INDEX('04A_국토부원자료'!$A:$T,ROW()+1,MATCH("거래금액(만원)",'04A_국토부원자료'!$A$4:$T$4,0)),",","")),"")</f>
        <v/>
      </c>
      <c r="H465" s="174">
        <f>IF(G465="","",G465*10000)</f>
        <v/>
      </c>
      <c r="I465" s="174">
        <f>IFERROR(IF(AND(H465&gt;0,E465&gt;0),H465/E465,""),"")</f>
        <v/>
      </c>
      <c r="J465" s="152">
        <f>IFERROR(VALUE(SUBSTITUTE(INDEX('04A_국토부원자료'!$A:$T,ROW()+1,MATCH("층",'04A_국토부원자료'!$A$4:$T$4,0)),",","")),"")</f>
        <v/>
      </c>
      <c r="K465" s="152">
        <f>IFERROR(VALUE(SUBSTITUTE(INDEX('04A_국토부원자료'!$A:$T,ROW()+1,MATCH("건축년도",'04A_국토부원자료'!$A$4:$T$4,0)),",","")),"")</f>
        <v/>
      </c>
      <c r="L465" s="176">
        <f>IFERROR(INDEX('04A_국토부원자료'!$A:$T,ROW()+1,MATCH("도로명",'04A_국토부원자료'!$A$4:$T$4,0)),"")</f>
        <v/>
      </c>
      <c r="M465" s="48">
        <f>IFERROR(INDEX('04A_국토부원자료'!$A:$T,ROW()+1,MATCH("거래유형",'04A_국토부원자료'!$A$4:$T$4,0)),"")</f>
        <v/>
      </c>
      <c r="N465" s="152">
        <f>IF(B465="","",IF('02_대상물건입력'!B5="",1,IF(ISNUMBER(SEARCH('02_대상물건입력'!B5,B465)),1,0)))</f>
        <v/>
      </c>
      <c r="O465" s="152">
        <f>IF(B465="","",IF('02_대상물건입력'!B6="",1,IF(ISNUMBER(SEARCH('02_대상물건입력'!B6,B465)),1,0)))</f>
        <v/>
      </c>
      <c r="P465" s="152">
        <f>IF(L465="","",IF('02_대상물건입력'!B15="",0,IF(ISNUMBER(SEARCH('02_대상물건입력'!B15,L465)),1,0)))</f>
        <v/>
      </c>
      <c r="Q465" s="152">
        <f>IF(OR(C465="",L465=""),0,IF(AND(TRIM(C465)=TRIM(RIGHT(SUBSTITUTE(TRIM('02_대상물건입력'!$B$7)," ",REPT(" ",99)),99)),IF('02_대상물건입력'!B15="",TRUE(),ISNUMBER(SEARCH('02_대상물건입력'!B15,L465)))),1,0))</f>
        <v/>
      </c>
      <c r="R465" s="175">
        <f>IFERROR(ABS(E465-'02_대상물건입력'!B11)/'02_대상물건입력'!B11,"")</f>
        <v/>
      </c>
      <c r="S465" s="152">
        <f>IFERROR(ABS(J465-'02_대상물건입력'!B10),"")</f>
        <v/>
      </c>
      <c r="T465" s="152">
        <f>IFERROR(ABS('01_설정'!B4-F465),"")</f>
        <v/>
      </c>
      <c r="U465" s="152">
        <f>IFERROR(ABS(K465-YEAR('02_대상물건입력'!B14)),"")</f>
        <v/>
      </c>
      <c r="V465" s="152">
        <f>IF(B465="","",IF(AND(E465&gt;0,F465&gt;0,H465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465=1,TRUE()),R465&lt;='01_설정'!B5,S465&lt;='01_설정'!B6,T465&lt;='01_설정'!B7,U465&lt;='01_설정'!B8),"Y",""))</f>
        <v/>
      </c>
      <c r="W465" s="172">
        <f>IF(V465&lt;&gt;"Y","",MAX(0,(1-R465/'01_설정'!B5))*'01_설정'!B14+MAX(0,(1-S465/'01_설정'!B6))*'01_설정'!B15+MAX(0,(1-T465/'01_설정'!B7))*'01_설정'!B16+MAX(0,(1-U465/'01_설정'!B8))*'01_설정'!B17+O465*'01_설정'!B11+Q465*'01_설정'!B12+P465*'01_설정'!B13+IF(Z465="",0,Z465))</f>
        <v/>
      </c>
      <c r="X465" s="152">
        <f>IF(W465="","",1+COUNTIFS($W$4:$W$3003,"&gt;"&amp;W465)+COUNTIFS($W$4:W465,W465)-1)</f>
        <v/>
      </c>
      <c r="Y465" s="175">
        <f>IF(OR(I465="",'02_대상물건입력'!B19="",'02_대상물건입력'!B19&lt;=0),"",ABS(I465-'02_대상물건입력'!B19)/'02_대상물건입력'!B19)</f>
        <v/>
      </c>
      <c r="Z465" s="172">
        <f>IF(OR(Y465="",'01_설정'!B31="",'01_설정'!B31&lt;=0,'01_설정'!B32="",'01_설정'!B32&lt;=0),"",MAX(0,(1-Y465/'01_설정'!B32))*'01_설정'!B31)</f>
        <v/>
      </c>
    </row>
    <row r="466" ht="17.25" customHeight="1">
      <c r="A466" s="152">
        <f>IF(INDEX('04A_국토부원자료'!$A:$A,ROW()+1)="","",ROW()-3)</f>
        <v/>
      </c>
      <c r="B466" s="48">
        <f>IFERROR(INDEX('04A_국토부원자료'!$A:$T,ROW()+1,MATCH("시군구",'04A_국토부원자료'!$A$4:$T$4,0)),"")</f>
        <v/>
      </c>
      <c r="C466" s="48">
        <f>IF(B466="","",IFERROR(INDEX('04A_국토부원자료'!$A:$T,ROW()+1,MATCH("번지",'04A_국토부원자료'!$A$4:$T$4,0)),""))</f>
        <v/>
      </c>
      <c r="D466" s="48">
        <f>IF(B466="","",IF(Q466=1,'02_대상물건입력'!$B$8,IFERROR(INDEX('04A_국토부원자료'!$A:$T,ROW()+1,MATCH("단지명",'04A_국토부원자료'!$A$4:$T$4,0)),"")))</f>
        <v/>
      </c>
      <c r="E466" s="172">
        <f>IFERROR(VALUE(SUBSTITUTE(INDEX('04A_국토부원자료'!$A:$T,ROW()+1,MATCH("전용면적(㎡)",'04A_국토부원자료'!$A$4:$T$4,0)),",","")),"")</f>
        <v/>
      </c>
      <c r="F4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66" s="51">
        <f>IFERROR(VALUE(SUBSTITUTE(INDEX('04A_국토부원자료'!$A:$T,ROW()+1,MATCH("거래금액(만원)",'04A_국토부원자료'!$A$4:$T$4,0)),",","")),"")</f>
        <v/>
      </c>
      <c r="H466" s="174">
        <f>IF(G466="","",G466*10000)</f>
        <v/>
      </c>
      <c r="I466" s="174">
        <f>IFERROR(IF(AND(H466&gt;0,E466&gt;0),H466/E466,""),"")</f>
        <v/>
      </c>
      <c r="J466" s="152">
        <f>IFERROR(VALUE(SUBSTITUTE(INDEX('04A_국토부원자료'!$A:$T,ROW()+1,MATCH("층",'04A_국토부원자료'!$A$4:$T$4,0)),",","")),"")</f>
        <v/>
      </c>
      <c r="K466" s="152">
        <f>IFERROR(VALUE(SUBSTITUTE(INDEX('04A_국토부원자료'!$A:$T,ROW()+1,MATCH("건축년도",'04A_국토부원자료'!$A$4:$T$4,0)),",","")),"")</f>
        <v/>
      </c>
      <c r="L466" s="176">
        <f>IFERROR(INDEX('04A_국토부원자료'!$A:$T,ROW()+1,MATCH("도로명",'04A_국토부원자료'!$A$4:$T$4,0)),"")</f>
        <v/>
      </c>
      <c r="M466" s="48">
        <f>IFERROR(INDEX('04A_국토부원자료'!$A:$T,ROW()+1,MATCH("거래유형",'04A_국토부원자료'!$A$4:$T$4,0)),"")</f>
        <v/>
      </c>
      <c r="N466" s="152">
        <f>IF(B466="","",IF('02_대상물건입력'!B5="",1,IF(ISNUMBER(SEARCH('02_대상물건입력'!B5,B466)),1,0)))</f>
        <v/>
      </c>
      <c r="O466" s="152">
        <f>IF(B466="","",IF('02_대상물건입력'!B6="",1,IF(ISNUMBER(SEARCH('02_대상물건입력'!B6,B466)),1,0)))</f>
        <v/>
      </c>
      <c r="P466" s="152">
        <f>IF(L466="","",IF('02_대상물건입력'!B15="",0,IF(ISNUMBER(SEARCH('02_대상물건입력'!B15,L466)),1,0)))</f>
        <v/>
      </c>
      <c r="Q466" s="152">
        <f>IF(OR(C466="",L466=""),0,IF(AND(TRIM(C466)=TRIM(RIGHT(SUBSTITUTE(TRIM('02_대상물건입력'!$B$7)," ",REPT(" ",99)),99)),IF('02_대상물건입력'!B15="",TRUE(),ISNUMBER(SEARCH('02_대상물건입력'!B15,L466)))),1,0))</f>
        <v/>
      </c>
      <c r="R466" s="175">
        <f>IFERROR(ABS(E466-'02_대상물건입력'!B11)/'02_대상물건입력'!B11,"")</f>
        <v/>
      </c>
      <c r="S466" s="152">
        <f>IFERROR(ABS(J466-'02_대상물건입력'!B10),"")</f>
        <v/>
      </c>
      <c r="T466" s="152">
        <f>IFERROR(ABS('01_설정'!B4-F466),"")</f>
        <v/>
      </c>
      <c r="U466" s="152">
        <f>IFERROR(ABS(K466-YEAR('02_대상물건입력'!B14)),"")</f>
        <v/>
      </c>
      <c r="V466" s="152">
        <f>IF(B466="","",IF(AND(E466&gt;0,F466&gt;0,H466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466=1,TRUE()),R466&lt;='01_설정'!B5,S466&lt;='01_설정'!B6,T466&lt;='01_설정'!B7,U466&lt;='01_설정'!B8),"Y",""))</f>
        <v/>
      </c>
      <c r="W466" s="172">
        <f>IF(V466&lt;&gt;"Y","",MAX(0,(1-R466/'01_설정'!B5))*'01_설정'!B14+MAX(0,(1-S466/'01_설정'!B6))*'01_설정'!B15+MAX(0,(1-T466/'01_설정'!B7))*'01_설정'!B16+MAX(0,(1-U466/'01_설정'!B8))*'01_설정'!B17+O466*'01_설정'!B11+Q466*'01_설정'!B12+P466*'01_설정'!B13+IF(Z466="",0,Z466))</f>
        <v/>
      </c>
      <c r="X466" s="152">
        <f>IF(W466="","",1+COUNTIFS($W$4:$W$3003,"&gt;"&amp;W466)+COUNTIFS($W$4:W466,W466)-1)</f>
        <v/>
      </c>
      <c r="Y466" s="175">
        <f>IF(OR(I466="",'02_대상물건입력'!B19="",'02_대상물건입력'!B19&lt;=0),"",ABS(I466-'02_대상물건입력'!B19)/'02_대상물건입력'!B19)</f>
        <v/>
      </c>
      <c r="Z466" s="172">
        <f>IF(OR(Y466="",'01_설정'!B31="",'01_설정'!B31&lt;=0,'01_설정'!B32="",'01_설정'!B32&lt;=0),"",MAX(0,(1-Y466/'01_설정'!B32))*'01_설정'!B31)</f>
        <v/>
      </c>
    </row>
    <row r="467" ht="17.25" customHeight="1">
      <c r="A467" s="152">
        <f>IF(INDEX('04A_국토부원자료'!$A:$A,ROW()+1)="","",ROW()-3)</f>
        <v/>
      </c>
      <c r="B467" s="48">
        <f>IFERROR(INDEX('04A_국토부원자료'!$A:$T,ROW()+1,MATCH("시군구",'04A_국토부원자료'!$A$4:$T$4,0)),"")</f>
        <v/>
      </c>
      <c r="C467" s="48">
        <f>IF(B467="","",IFERROR(INDEX('04A_국토부원자료'!$A:$T,ROW()+1,MATCH("번지",'04A_국토부원자료'!$A$4:$T$4,0)),""))</f>
        <v/>
      </c>
      <c r="D467" s="48">
        <f>IF(B467="","",IF(Q467=1,'02_대상물건입력'!$B$8,IFERROR(INDEX('04A_국토부원자료'!$A:$T,ROW()+1,MATCH("단지명",'04A_국토부원자료'!$A$4:$T$4,0)),"")))</f>
        <v/>
      </c>
      <c r="E467" s="172">
        <f>IFERROR(VALUE(SUBSTITUTE(INDEX('04A_국토부원자료'!$A:$T,ROW()+1,MATCH("전용면적(㎡)",'04A_국토부원자료'!$A$4:$T$4,0)),",","")),"")</f>
        <v/>
      </c>
      <c r="F4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67" s="51">
        <f>IFERROR(VALUE(SUBSTITUTE(INDEX('04A_국토부원자료'!$A:$T,ROW()+1,MATCH("거래금액(만원)",'04A_국토부원자료'!$A$4:$T$4,0)),",","")),"")</f>
        <v/>
      </c>
      <c r="H467" s="174">
        <f>IF(G467="","",G467*10000)</f>
        <v/>
      </c>
      <c r="I467" s="174">
        <f>IFERROR(IF(AND(H467&gt;0,E467&gt;0),H467/E467,""),"")</f>
        <v/>
      </c>
      <c r="J467" s="152">
        <f>IFERROR(VALUE(SUBSTITUTE(INDEX('04A_국토부원자료'!$A:$T,ROW()+1,MATCH("층",'04A_국토부원자료'!$A$4:$T$4,0)),",","")),"")</f>
        <v/>
      </c>
      <c r="K467" s="152">
        <f>IFERROR(VALUE(SUBSTITUTE(INDEX('04A_국토부원자료'!$A:$T,ROW()+1,MATCH("건축년도",'04A_국토부원자료'!$A$4:$T$4,0)),",","")),"")</f>
        <v/>
      </c>
      <c r="L467" s="176">
        <f>IFERROR(INDEX('04A_국토부원자료'!$A:$T,ROW()+1,MATCH("도로명",'04A_국토부원자료'!$A$4:$T$4,0)),"")</f>
        <v/>
      </c>
      <c r="M467" s="48">
        <f>IFERROR(INDEX('04A_국토부원자료'!$A:$T,ROW()+1,MATCH("거래유형",'04A_국토부원자료'!$A$4:$T$4,0)),"")</f>
        <v/>
      </c>
      <c r="N467" s="152">
        <f>IF(B467="","",IF('02_대상물건입력'!B5="",1,IF(ISNUMBER(SEARCH('02_대상물건입력'!B5,B467)),1,0)))</f>
        <v/>
      </c>
      <c r="O467" s="152">
        <f>IF(B467="","",IF('02_대상물건입력'!B6="",1,IF(ISNUMBER(SEARCH('02_대상물건입력'!B6,B467)),1,0)))</f>
        <v/>
      </c>
      <c r="P467" s="152">
        <f>IF(L467="","",IF('02_대상물건입력'!B15="",0,IF(ISNUMBER(SEARCH('02_대상물건입력'!B15,L467)),1,0)))</f>
        <v/>
      </c>
      <c r="Q467" s="152">
        <f>IF(OR(C467="",L467=""),0,IF(AND(TRIM(C467)=TRIM(RIGHT(SUBSTITUTE(TRIM('02_대상물건입력'!$B$7)," ",REPT(" ",99)),99)),IF('02_대상물건입력'!B15="",TRUE(),ISNUMBER(SEARCH('02_대상물건입력'!B15,L467)))),1,0))</f>
        <v/>
      </c>
      <c r="R467" s="175">
        <f>IFERROR(ABS(E467-'02_대상물건입력'!B11)/'02_대상물건입력'!B11,"")</f>
        <v/>
      </c>
      <c r="S467" s="152">
        <f>IFERROR(ABS(J467-'02_대상물건입력'!B10),"")</f>
        <v/>
      </c>
      <c r="T467" s="152">
        <f>IFERROR(ABS('01_설정'!B4-F467),"")</f>
        <v/>
      </c>
      <c r="U467" s="152">
        <f>IFERROR(ABS(K467-YEAR('02_대상물건입력'!B14)),"")</f>
        <v/>
      </c>
      <c r="V467" s="152">
        <f>IF(B467="","",IF(AND(E467&gt;0,F467&gt;0,H467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467=1,TRUE()),R467&lt;='01_설정'!B5,S467&lt;='01_설정'!B6,T467&lt;='01_설정'!B7,U467&lt;='01_설정'!B8),"Y",""))</f>
        <v/>
      </c>
      <c r="W467" s="172">
        <f>IF(V467&lt;&gt;"Y","",MAX(0,(1-R467/'01_설정'!B5))*'01_설정'!B14+MAX(0,(1-S467/'01_설정'!B6))*'01_설정'!B15+MAX(0,(1-T467/'01_설정'!B7))*'01_설정'!B16+MAX(0,(1-U467/'01_설정'!B8))*'01_설정'!B17+O467*'01_설정'!B11+Q467*'01_설정'!B12+P467*'01_설정'!B13+IF(Z467="",0,Z467))</f>
        <v/>
      </c>
      <c r="X467" s="152">
        <f>IF(W467="","",1+COUNTIFS($W$4:$W$3003,"&gt;"&amp;W467)+COUNTIFS($W$4:W467,W467)-1)</f>
        <v/>
      </c>
      <c r="Y467" s="175">
        <f>IF(OR(I467="",'02_대상물건입력'!B19="",'02_대상물건입력'!B19&lt;=0),"",ABS(I467-'02_대상물건입력'!B19)/'02_대상물건입력'!B19)</f>
        <v/>
      </c>
      <c r="Z467" s="172">
        <f>IF(OR(Y467="",'01_설정'!B31="",'01_설정'!B31&lt;=0,'01_설정'!B32="",'01_설정'!B32&lt;=0),"",MAX(0,(1-Y467/'01_설정'!B32))*'01_설정'!B31)</f>
        <v/>
      </c>
    </row>
    <row r="468" ht="17.25" customHeight="1">
      <c r="A468" s="152">
        <f>IF(INDEX('04A_국토부원자료'!$A:$A,ROW()+1)="","",ROW()-3)</f>
        <v/>
      </c>
      <c r="B468" s="48">
        <f>IFERROR(INDEX('04A_국토부원자료'!$A:$T,ROW()+1,MATCH("시군구",'04A_국토부원자료'!$A$4:$T$4,0)),"")</f>
        <v/>
      </c>
      <c r="C468" s="48">
        <f>IF(B468="","",IFERROR(INDEX('04A_국토부원자료'!$A:$T,ROW()+1,MATCH("번지",'04A_국토부원자료'!$A$4:$T$4,0)),""))</f>
        <v/>
      </c>
      <c r="D468" s="48">
        <f>IF(B468="","",IF(Q468=1,'02_대상물건입력'!$B$8,IFERROR(INDEX('04A_국토부원자료'!$A:$T,ROW()+1,MATCH("단지명",'04A_국토부원자료'!$A$4:$T$4,0)),"")))</f>
        <v/>
      </c>
      <c r="E468" s="172">
        <f>IFERROR(VALUE(SUBSTITUTE(INDEX('04A_국토부원자료'!$A:$T,ROW()+1,MATCH("전용면적(㎡)",'04A_국토부원자료'!$A$4:$T$4,0)),",","")),"")</f>
        <v/>
      </c>
      <c r="F4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68" s="51">
        <f>IFERROR(VALUE(SUBSTITUTE(INDEX('04A_국토부원자료'!$A:$T,ROW()+1,MATCH("거래금액(만원)",'04A_국토부원자료'!$A$4:$T$4,0)),",","")),"")</f>
        <v/>
      </c>
      <c r="H468" s="174">
        <f>IF(G468="","",G468*10000)</f>
        <v/>
      </c>
      <c r="I468" s="174">
        <f>IFERROR(IF(AND(H468&gt;0,E468&gt;0),H468/E468,""),"")</f>
        <v/>
      </c>
      <c r="J468" s="152">
        <f>IFERROR(VALUE(SUBSTITUTE(INDEX('04A_국토부원자료'!$A:$T,ROW()+1,MATCH("층",'04A_국토부원자료'!$A$4:$T$4,0)),",","")),"")</f>
        <v/>
      </c>
      <c r="K468" s="152">
        <f>IFERROR(VALUE(SUBSTITUTE(INDEX('04A_국토부원자료'!$A:$T,ROW()+1,MATCH("건축년도",'04A_국토부원자료'!$A$4:$T$4,0)),",","")),"")</f>
        <v/>
      </c>
      <c r="L468" s="176">
        <f>IFERROR(INDEX('04A_국토부원자료'!$A:$T,ROW()+1,MATCH("도로명",'04A_국토부원자료'!$A$4:$T$4,0)),"")</f>
        <v/>
      </c>
      <c r="M468" s="48">
        <f>IFERROR(INDEX('04A_국토부원자료'!$A:$T,ROW()+1,MATCH("거래유형",'04A_국토부원자료'!$A$4:$T$4,0)),"")</f>
        <v/>
      </c>
      <c r="N468" s="152">
        <f>IF(B468="","",IF('02_대상물건입력'!B5="",1,IF(ISNUMBER(SEARCH('02_대상물건입력'!B5,B468)),1,0)))</f>
        <v/>
      </c>
      <c r="O468" s="152">
        <f>IF(B468="","",IF('02_대상물건입력'!B6="",1,IF(ISNUMBER(SEARCH('02_대상물건입력'!B6,B468)),1,0)))</f>
        <v/>
      </c>
      <c r="P468" s="152">
        <f>IF(L468="","",IF('02_대상물건입력'!B15="",0,IF(ISNUMBER(SEARCH('02_대상물건입력'!B15,L468)),1,0)))</f>
        <v/>
      </c>
      <c r="Q468" s="152">
        <f>IF(OR(C468="",L468=""),0,IF(AND(TRIM(C468)=TRIM(RIGHT(SUBSTITUTE(TRIM('02_대상물건입력'!$B$7)," ",REPT(" ",99)),99)),IF('02_대상물건입력'!B15="",TRUE(),ISNUMBER(SEARCH('02_대상물건입력'!B15,L468)))),1,0))</f>
        <v/>
      </c>
      <c r="R468" s="175">
        <f>IFERROR(ABS(E468-'02_대상물건입력'!B11)/'02_대상물건입력'!B11,"")</f>
        <v/>
      </c>
      <c r="S468" s="152">
        <f>IFERROR(ABS(J468-'02_대상물건입력'!B10),"")</f>
        <v/>
      </c>
      <c r="T468" s="152">
        <f>IFERROR(ABS('01_설정'!B4-F468),"")</f>
        <v/>
      </c>
      <c r="U468" s="152">
        <f>IFERROR(ABS(K468-YEAR('02_대상물건입력'!B14)),"")</f>
        <v/>
      </c>
      <c r="V468" s="152">
        <f>IF(B468="","",IF(AND(E468&gt;0,F468&gt;0,H468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468=1,TRUE()),R468&lt;='01_설정'!B5,S468&lt;='01_설정'!B6,T468&lt;='01_설정'!B7,U468&lt;='01_설정'!B8),"Y",""))</f>
        <v/>
      </c>
      <c r="W468" s="172">
        <f>IF(V468&lt;&gt;"Y","",MAX(0,(1-R468/'01_설정'!B5))*'01_설정'!B14+MAX(0,(1-S468/'01_설정'!B6))*'01_설정'!B15+MAX(0,(1-T468/'01_설정'!B7))*'01_설정'!B16+MAX(0,(1-U468/'01_설정'!B8))*'01_설정'!B17+O468*'01_설정'!B11+Q468*'01_설정'!B12+P468*'01_설정'!B13+IF(Z468="",0,Z468))</f>
        <v/>
      </c>
      <c r="X468" s="152">
        <f>IF(W468="","",1+COUNTIFS($W$4:$W$3003,"&gt;"&amp;W468)+COUNTIFS($W$4:W468,W468)-1)</f>
        <v/>
      </c>
      <c r="Y468" s="175">
        <f>IF(OR(I468="",'02_대상물건입력'!B19="",'02_대상물건입력'!B19&lt;=0),"",ABS(I468-'02_대상물건입력'!B19)/'02_대상물건입력'!B19)</f>
        <v/>
      </c>
      <c r="Z468" s="172">
        <f>IF(OR(Y468="",'01_설정'!B31="",'01_설정'!B31&lt;=0,'01_설정'!B32="",'01_설정'!B32&lt;=0),"",MAX(0,(1-Y468/'01_설정'!B32))*'01_설정'!B31)</f>
        <v/>
      </c>
    </row>
    <row r="469" ht="17.25" customHeight="1">
      <c r="A469" s="152">
        <f>IF(INDEX('04A_국토부원자료'!$A:$A,ROW()+1)="","",ROW()-3)</f>
        <v/>
      </c>
      <c r="B469" s="48">
        <f>IFERROR(INDEX('04A_국토부원자료'!$A:$T,ROW()+1,MATCH("시군구",'04A_국토부원자료'!$A$4:$T$4,0)),"")</f>
        <v/>
      </c>
      <c r="C469" s="48">
        <f>IF(B469="","",IFERROR(INDEX('04A_국토부원자료'!$A:$T,ROW()+1,MATCH("번지",'04A_국토부원자료'!$A$4:$T$4,0)),""))</f>
        <v/>
      </c>
      <c r="D469" s="48">
        <f>IF(B469="","",IF(Q469=1,'02_대상물건입력'!$B$8,IFERROR(INDEX('04A_국토부원자료'!$A:$T,ROW()+1,MATCH("단지명",'04A_국토부원자료'!$A$4:$T$4,0)),"")))</f>
        <v/>
      </c>
      <c r="E469" s="172">
        <f>IFERROR(VALUE(SUBSTITUTE(INDEX('04A_국토부원자료'!$A:$T,ROW()+1,MATCH("전용면적(㎡)",'04A_국토부원자료'!$A$4:$T$4,0)),",","")),"")</f>
        <v/>
      </c>
      <c r="F4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69" s="51">
        <f>IFERROR(VALUE(SUBSTITUTE(INDEX('04A_국토부원자료'!$A:$T,ROW()+1,MATCH("거래금액(만원)",'04A_국토부원자료'!$A$4:$T$4,0)),",","")),"")</f>
        <v/>
      </c>
      <c r="H469" s="174">
        <f>IF(G469="","",G469*10000)</f>
        <v/>
      </c>
      <c r="I469" s="174">
        <f>IFERROR(IF(AND(H469&gt;0,E469&gt;0),H469/E469,""),"")</f>
        <v/>
      </c>
      <c r="J469" s="152">
        <f>IFERROR(VALUE(SUBSTITUTE(INDEX('04A_국토부원자료'!$A:$T,ROW()+1,MATCH("층",'04A_국토부원자료'!$A$4:$T$4,0)),",","")),"")</f>
        <v/>
      </c>
      <c r="K469" s="152">
        <f>IFERROR(VALUE(SUBSTITUTE(INDEX('04A_국토부원자료'!$A:$T,ROW()+1,MATCH("건축년도",'04A_국토부원자료'!$A$4:$T$4,0)),",","")),"")</f>
        <v/>
      </c>
      <c r="L469" s="176">
        <f>IFERROR(INDEX('04A_국토부원자료'!$A:$T,ROW()+1,MATCH("도로명",'04A_국토부원자료'!$A$4:$T$4,0)),"")</f>
        <v/>
      </c>
      <c r="M469" s="48">
        <f>IFERROR(INDEX('04A_국토부원자료'!$A:$T,ROW()+1,MATCH("거래유형",'04A_국토부원자료'!$A$4:$T$4,0)),"")</f>
        <v/>
      </c>
      <c r="N469" s="152">
        <f>IF(B469="","",IF('02_대상물건입력'!B5="",1,IF(ISNUMBER(SEARCH('02_대상물건입력'!B5,B469)),1,0)))</f>
        <v/>
      </c>
      <c r="O469" s="152">
        <f>IF(B469="","",IF('02_대상물건입력'!B6="",1,IF(ISNUMBER(SEARCH('02_대상물건입력'!B6,B469)),1,0)))</f>
        <v/>
      </c>
      <c r="P469" s="152">
        <f>IF(L469="","",IF('02_대상물건입력'!B15="",0,IF(ISNUMBER(SEARCH('02_대상물건입력'!B15,L469)),1,0)))</f>
        <v/>
      </c>
      <c r="Q469" s="152">
        <f>IF(OR(C469="",L469=""),0,IF(AND(TRIM(C469)=TRIM(RIGHT(SUBSTITUTE(TRIM('02_대상물건입력'!$B$7)," ",REPT(" ",99)),99)),IF('02_대상물건입력'!B15="",TRUE(),ISNUMBER(SEARCH('02_대상물건입력'!B15,L469)))),1,0))</f>
        <v/>
      </c>
      <c r="R469" s="175">
        <f>IFERROR(ABS(E469-'02_대상물건입력'!B11)/'02_대상물건입력'!B11,"")</f>
        <v/>
      </c>
      <c r="S469" s="152">
        <f>IFERROR(ABS(J469-'02_대상물건입력'!B10),"")</f>
        <v/>
      </c>
      <c r="T469" s="152">
        <f>IFERROR(ABS('01_설정'!B4-F469),"")</f>
        <v/>
      </c>
      <c r="U469" s="152">
        <f>IFERROR(ABS(K469-YEAR('02_대상물건입력'!B14)),"")</f>
        <v/>
      </c>
      <c r="V469" s="152">
        <f>IF(B469="","",IF(AND(E469&gt;0,F469&gt;0,H469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469=1,TRUE()),R469&lt;='01_설정'!B5,S469&lt;='01_설정'!B6,T469&lt;='01_설정'!B7,U469&lt;='01_설정'!B8),"Y",""))</f>
        <v/>
      </c>
      <c r="W469" s="172">
        <f>IF(V469&lt;&gt;"Y","",MAX(0,(1-R469/'01_설정'!B5))*'01_설정'!B14+MAX(0,(1-S469/'01_설정'!B6))*'01_설정'!B15+MAX(0,(1-T469/'01_설정'!B7))*'01_설정'!B16+MAX(0,(1-U469/'01_설정'!B8))*'01_설정'!B17+O469*'01_설정'!B11+Q469*'01_설정'!B12+P469*'01_설정'!B13+IF(Z469="",0,Z469))</f>
        <v/>
      </c>
      <c r="X469" s="152">
        <f>IF(W469="","",1+COUNTIFS($W$4:$W$3003,"&gt;"&amp;W469)+COUNTIFS($W$4:W469,W469)-1)</f>
        <v/>
      </c>
      <c r="Y469" s="175">
        <f>IF(OR(I469="",'02_대상물건입력'!B19="",'02_대상물건입력'!B19&lt;=0),"",ABS(I469-'02_대상물건입력'!B19)/'02_대상물건입력'!B19)</f>
        <v/>
      </c>
      <c r="Z469" s="172">
        <f>IF(OR(Y469="",'01_설정'!B31="",'01_설정'!B31&lt;=0,'01_설정'!B32="",'01_설정'!B32&lt;=0),"",MAX(0,(1-Y469/'01_설정'!B32))*'01_설정'!B31)</f>
        <v/>
      </c>
    </row>
    <row r="470" ht="17.25" customHeight="1">
      <c r="A470" s="152">
        <f>IF(INDEX('04A_국토부원자료'!$A:$A,ROW()+1)="","",ROW()-3)</f>
        <v/>
      </c>
      <c r="B470" s="48">
        <f>IFERROR(INDEX('04A_국토부원자료'!$A:$T,ROW()+1,MATCH("시군구",'04A_국토부원자료'!$A$4:$T$4,0)),"")</f>
        <v/>
      </c>
      <c r="C470" s="48">
        <f>IF(B470="","",IFERROR(INDEX('04A_국토부원자료'!$A:$T,ROW()+1,MATCH("번지",'04A_국토부원자료'!$A$4:$T$4,0)),""))</f>
        <v/>
      </c>
      <c r="D470" s="48">
        <f>IF(B470="","",IF(Q470=1,'02_대상물건입력'!$B$8,IFERROR(INDEX('04A_국토부원자료'!$A:$T,ROW()+1,MATCH("단지명",'04A_국토부원자료'!$A$4:$T$4,0)),"")))</f>
        <v/>
      </c>
      <c r="E470" s="172">
        <f>IFERROR(VALUE(SUBSTITUTE(INDEX('04A_국토부원자료'!$A:$T,ROW()+1,MATCH("전용면적(㎡)",'04A_국토부원자료'!$A$4:$T$4,0)),",","")),"")</f>
        <v/>
      </c>
      <c r="F4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70" s="51">
        <f>IFERROR(VALUE(SUBSTITUTE(INDEX('04A_국토부원자료'!$A:$T,ROW()+1,MATCH("거래금액(만원)",'04A_국토부원자료'!$A$4:$T$4,0)),",","")),"")</f>
        <v/>
      </c>
      <c r="H470" s="174">
        <f>IF(G470="","",G470*10000)</f>
        <v/>
      </c>
      <c r="I470" s="174">
        <f>IFERROR(IF(AND(H470&gt;0,E470&gt;0),H470/E470,""),"")</f>
        <v/>
      </c>
      <c r="J470" s="152">
        <f>IFERROR(VALUE(SUBSTITUTE(INDEX('04A_국토부원자료'!$A:$T,ROW()+1,MATCH("층",'04A_국토부원자료'!$A$4:$T$4,0)),",","")),"")</f>
        <v/>
      </c>
      <c r="K470" s="152">
        <f>IFERROR(VALUE(SUBSTITUTE(INDEX('04A_국토부원자료'!$A:$T,ROW()+1,MATCH("건축년도",'04A_국토부원자료'!$A$4:$T$4,0)),",","")),"")</f>
        <v/>
      </c>
      <c r="L470" s="176">
        <f>IFERROR(INDEX('04A_국토부원자료'!$A:$T,ROW()+1,MATCH("도로명",'04A_국토부원자료'!$A$4:$T$4,0)),"")</f>
        <v/>
      </c>
      <c r="M470" s="48">
        <f>IFERROR(INDEX('04A_국토부원자료'!$A:$T,ROW()+1,MATCH("거래유형",'04A_국토부원자료'!$A$4:$T$4,0)),"")</f>
        <v/>
      </c>
      <c r="N470" s="152">
        <f>IF(B470="","",IF('02_대상물건입력'!B5="",1,IF(ISNUMBER(SEARCH('02_대상물건입력'!B5,B470)),1,0)))</f>
        <v/>
      </c>
      <c r="O470" s="152">
        <f>IF(B470="","",IF('02_대상물건입력'!B6="",1,IF(ISNUMBER(SEARCH('02_대상물건입력'!B6,B470)),1,0)))</f>
        <v/>
      </c>
      <c r="P470" s="152">
        <f>IF(L470="","",IF('02_대상물건입력'!B15="",0,IF(ISNUMBER(SEARCH('02_대상물건입력'!B15,L470)),1,0)))</f>
        <v/>
      </c>
      <c r="Q470" s="152">
        <f>IF(OR(C470="",L470=""),0,IF(AND(TRIM(C470)=TRIM(RIGHT(SUBSTITUTE(TRIM('02_대상물건입력'!$B$7)," ",REPT(" ",99)),99)),IF('02_대상물건입력'!B15="",TRUE(),ISNUMBER(SEARCH('02_대상물건입력'!B15,L470)))),1,0))</f>
        <v/>
      </c>
      <c r="R470" s="175">
        <f>IFERROR(ABS(E470-'02_대상물건입력'!B11)/'02_대상물건입력'!B11,"")</f>
        <v/>
      </c>
      <c r="S470" s="152">
        <f>IFERROR(ABS(J470-'02_대상물건입력'!B10),"")</f>
        <v/>
      </c>
      <c r="T470" s="152">
        <f>IFERROR(ABS('01_설정'!B4-F470),"")</f>
        <v/>
      </c>
      <c r="U470" s="152">
        <f>IFERROR(ABS(K470-YEAR('02_대상물건입력'!B14)),"")</f>
        <v/>
      </c>
      <c r="V470" s="152">
        <f>IF(B470="","",IF(AND(E470&gt;0,F470&gt;0,H470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470=1,TRUE()),R470&lt;='01_설정'!B5,S470&lt;='01_설정'!B6,T470&lt;='01_설정'!B7,U470&lt;='01_설정'!B8),"Y",""))</f>
        <v/>
      </c>
      <c r="W470" s="172">
        <f>IF(V470&lt;&gt;"Y","",MAX(0,(1-R470/'01_설정'!B5))*'01_설정'!B14+MAX(0,(1-S470/'01_설정'!B6))*'01_설정'!B15+MAX(0,(1-T470/'01_설정'!B7))*'01_설정'!B16+MAX(0,(1-U470/'01_설정'!B8))*'01_설정'!B17+O470*'01_설정'!B11+Q470*'01_설정'!B12+P470*'01_설정'!B13+IF(Z470="",0,Z470))</f>
        <v/>
      </c>
      <c r="X470" s="152">
        <f>IF(W470="","",1+COUNTIFS($W$4:$W$3003,"&gt;"&amp;W470)+COUNTIFS($W$4:W470,W470)-1)</f>
        <v/>
      </c>
      <c r="Y470" s="175">
        <f>IF(OR(I470="",'02_대상물건입력'!B19="",'02_대상물건입력'!B19&lt;=0),"",ABS(I470-'02_대상물건입력'!B19)/'02_대상물건입력'!B19)</f>
        <v/>
      </c>
      <c r="Z470" s="172">
        <f>IF(OR(Y470="",'01_설정'!B31="",'01_설정'!B31&lt;=0,'01_설정'!B32="",'01_설정'!B32&lt;=0),"",MAX(0,(1-Y470/'01_설정'!B32))*'01_설정'!B31)</f>
        <v/>
      </c>
    </row>
    <row r="471" ht="17.25" customHeight="1">
      <c r="A471" s="152">
        <f>IF(INDEX('04A_국토부원자료'!$A:$A,ROW()+1)="","",ROW()-3)</f>
        <v/>
      </c>
      <c r="B471" s="48">
        <f>IFERROR(INDEX('04A_국토부원자료'!$A:$T,ROW()+1,MATCH("시군구",'04A_국토부원자료'!$A$4:$T$4,0)),"")</f>
        <v/>
      </c>
      <c r="C471" s="48">
        <f>IF(B471="","",IFERROR(INDEX('04A_국토부원자료'!$A:$T,ROW()+1,MATCH("번지",'04A_국토부원자료'!$A$4:$T$4,0)),""))</f>
        <v/>
      </c>
      <c r="D471" s="48">
        <f>IF(B471="","",IF(Q471=1,'02_대상물건입력'!$B$8,IFERROR(INDEX('04A_국토부원자료'!$A:$T,ROW()+1,MATCH("단지명",'04A_국토부원자료'!$A$4:$T$4,0)),"")))</f>
        <v/>
      </c>
      <c r="E471" s="172">
        <f>IFERROR(VALUE(SUBSTITUTE(INDEX('04A_국토부원자료'!$A:$T,ROW()+1,MATCH("전용면적(㎡)",'04A_국토부원자료'!$A$4:$T$4,0)),",","")),"")</f>
        <v/>
      </c>
      <c r="F4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71" s="51">
        <f>IFERROR(VALUE(SUBSTITUTE(INDEX('04A_국토부원자료'!$A:$T,ROW()+1,MATCH("거래금액(만원)",'04A_국토부원자료'!$A$4:$T$4,0)),",","")),"")</f>
        <v/>
      </c>
      <c r="H471" s="174">
        <f>IF(G471="","",G471*10000)</f>
        <v/>
      </c>
      <c r="I471" s="174">
        <f>IFERROR(IF(AND(H471&gt;0,E471&gt;0),H471/E471,""),"")</f>
        <v/>
      </c>
      <c r="J471" s="152">
        <f>IFERROR(VALUE(SUBSTITUTE(INDEX('04A_국토부원자료'!$A:$T,ROW()+1,MATCH("층",'04A_국토부원자료'!$A$4:$T$4,0)),",","")),"")</f>
        <v/>
      </c>
      <c r="K471" s="152">
        <f>IFERROR(VALUE(SUBSTITUTE(INDEX('04A_국토부원자료'!$A:$T,ROW()+1,MATCH("건축년도",'04A_국토부원자료'!$A$4:$T$4,0)),",","")),"")</f>
        <v/>
      </c>
      <c r="L471" s="176">
        <f>IFERROR(INDEX('04A_국토부원자료'!$A:$T,ROW()+1,MATCH("도로명",'04A_국토부원자료'!$A$4:$T$4,0)),"")</f>
        <v/>
      </c>
      <c r="M471" s="48">
        <f>IFERROR(INDEX('04A_국토부원자료'!$A:$T,ROW()+1,MATCH("거래유형",'04A_국토부원자료'!$A$4:$T$4,0)),"")</f>
        <v/>
      </c>
      <c r="N471" s="152">
        <f>IF(B471="","",IF('02_대상물건입력'!B5="",1,IF(ISNUMBER(SEARCH('02_대상물건입력'!B5,B471)),1,0)))</f>
        <v/>
      </c>
      <c r="O471" s="152">
        <f>IF(B471="","",IF('02_대상물건입력'!B6="",1,IF(ISNUMBER(SEARCH('02_대상물건입력'!B6,B471)),1,0)))</f>
        <v/>
      </c>
      <c r="P471" s="152">
        <f>IF(L471="","",IF('02_대상물건입력'!B15="",0,IF(ISNUMBER(SEARCH('02_대상물건입력'!B15,L471)),1,0)))</f>
        <v/>
      </c>
      <c r="Q471" s="152">
        <f>IF(OR(C471="",L471=""),0,IF(AND(TRIM(C471)=TRIM(RIGHT(SUBSTITUTE(TRIM('02_대상물건입력'!$B$7)," ",REPT(" ",99)),99)),IF('02_대상물건입력'!B15="",TRUE(),ISNUMBER(SEARCH('02_대상물건입력'!B15,L471)))),1,0))</f>
        <v/>
      </c>
      <c r="R471" s="175">
        <f>IFERROR(ABS(E471-'02_대상물건입력'!B11)/'02_대상물건입력'!B11,"")</f>
        <v/>
      </c>
      <c r="S471" s="152">
        <f>IFERROR(ABS(J471-'02_대상물건입력'!B10),"")</f>
        <v/>
      </c>
      <c r="T471" s="152">
        <f>IFERROR(ABS('01_설정'!B4-F471),"")</f>
        <v/>
      </c>
      <c r="U471" s="152">
        <f>IFERROR(ABS(K471-YEAR('02_대상물건입력'!B14)),"")</f>
        <v/>
      </c>
      <c r="V471" s="152">
        <f>IF(B471="","",IF(AND(E471&gt;0,F471&gt;0,H471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471=1,TRUE()),R471&lt;='01_설정'!B5,S471&lt;='01_설정'!B6,T471&lt;='01_설정'!B7,U471&lt;='01_설정'!B8),"Y",""))</f>
        <v/>
      </c>
      <c r="W471" s="172">
        <f>IF(V471&lt;&gt;"Y","",MAX(0,(1-R471/'01_설정'!B5))*'01_설정'!B14+MAX(0,(1-S471/'01_설정'!B6))*'01_설정'!B15+MAX(0,(1-T471/'01_설정'!B7))*'01_설정'!B16+MAX(0,(1-U471/'01_설정'!B8))*'01_설정'!B17+O471*'01_설정'!B11+Q471*'01_설정'!B12+P471*'01_설정'!B13+IF(Z471="",0,Z471))</f>
        <v/>
      </c>
      <c r="X471" s="152">
        <f>IF(W471="","",1+COUNTIFS($W$4:$W$3003,"&gt;"&amp;W471)+COUNTIFS($W$4:W471,W471)-1)</f>
        <v/>
      </c>
      <c r="Y471" s="175">
        <f>IF(OR(I471="",'02_대상물건입력'!B19="",'02_대상물건입력'!B19&lt;=0),"",ABS(I471-'02_대상물건입력'!B19)/'02_대상물건입력'!B19)</f>
        <v/>
      </c>
      <c r="Z471" s="172">
        <f>IF(OR(Y471="",'01_설정'!B31="",'01_설정'!B31&lt;=0,'01_설정'!B32="",'01_설정'!B32&lt;=0),"",MAX(0,(1-Y471/'01_설정'!B32))*'01_설정'!B31)</f>
        <v/>
      </c>
    </row>
    <row r="472" ht="17.25" customHeight="1">
      <c r="A472" s="152">
        <f>IF(INDEX('04A_국토부원자료'!$A:$A,ROW()+1)="","",ROW()-3)</f>
        <v/>
      </c>
      <c r="B472" s="48">
        <f>IFERROR(INDEX('04A_국토부원자료'!$A:$T,ROW()+1,MATCH("시군구",'04A_국토부원자료'!$A$4:$T$4,0)),"")</f>
        <v/>
      </c>
      <c r="C472" s="48">
        <f>IF(B472="","",IFERROR(INDEX('04A_국토부원자료'!$A:$T,ROW()+1,MATCH("번지",'04A_국토부원자료'!$A$4:$T$4,0)),""))</f>
        <v/>
      </c>
      <c r="D472" s="48">
        <f>IF(B472="","",IF(Q472=1,'02_대상물건입력'!$B$8,IFERROR(INDEX('04A_국토부원자료'!$A:$T,ROW()+1,MATCH("단지명",'04A_국토부원자료'!$A$4:$T$4,0)),"")))</f>
        <v/>
      </c>
      <c r="E472" s="172">
        <f>IFERROR(VALUE(SUBSTITUTE(INDEX('04A_국토부원자료'!$A:$T,ROW()+1,MATCH("전용면적(㎡)",'04A_국토부원자료'!$A$4:$T$4,0)),",","")),"")</f>
        <v/>
      </c>
      <c r="F4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72" s="51">
        <f>IFERROR(VALUE(SUBSTITUTE(INDEX('04A_국토부원자료'!$A:$T,ROW()+1,MATCH("거래금액(만원)",'04A_국토부원자료'!$A$4:$T$4,0)),",","")),"")</f>
        <v/>
      </c>
      <c r="H472" s="174">
        <f>IF(G472="","",G472*10000)</f>
        <v/>
      </c>
      <c r="I472" s="174">
        <f>IFERROR(IF(AND(H472&gt;0,E472&gt;0),H472/E472,""),"")</f>
        <v/>
      </c>
      <c r="J472" s="152">
        <f>IFERROR(VALUE(SUBSTITUTE(INDEX('04A_국토부원자료'!$A:$T,ROW()+1,MATCH("층",'04A_국토부원자료'!$A$4:$T$4,0)),",","")),"")</f>
        <v/>
      </c>
      <c r="K472" s="152">
        <f>IFERROR(VALUE(SUBSTITUTE(INDEX('04A_국토부원자료'!$A:$T,ROW()+1,MATCH("건축년도",'04A_국토부원자료'!$A$4:$T$4,0)),",","")),"")</f>
        <v/>
      </c>
      <c r="L472" s="176">
        <f>IFERROR(INDEX('04A_국토부원자료'!$A:$T,ROW()+1,MATCH("도로명",'04A_국토부원자료'!$A$4:$T$4,0)),"")</f>
        <v/>
      </c>
      <c r="M472" s="48">
        <f>IFERROR(INDEX('04A_국토부원자료'!$A:$T,ROW()+1,MATCH("거래유형",'04A_국토부원자료'!$A$4:$T$4,0)),"")</f>
        <v/>
      </c>
      <c r="N472" s="152">
        <f>IF(B472="","",IF('02_대상물건입력'!B5="",1,IF(ISNUMBER(SEARCH('02_대상물건입력'!B5,B472)),1,0)))</f>
        <v/>
      </c>
      <c r="O472" s="152">
        <f>IF(B472="","",IF('02_대상물건입력'!B6="",1,IF(ISNUMBER(SEARCH('02_대상물건입력'!B6,B472)),1,0)))</f>
        <v/>
      </c>
      <c r="P472" s="152">
        <f>IF(L472="","",IF('02_대상물건입력'!B15="",0,IF(ISNUMBER(SEARCH('02_대상물건입력'!B15,L472)),1,0)))</f>
        <v/>
      </c>
      <c r="Q472" s="152">
        <f>IF(OR(C472="",L472=""),0,IF(AND(TRIM(C472)=TRIM(RIGHT(SUBSTITUTE(TRIM('02_대상물건입력'!$B$7)," ",REPT(" ",99)),99)),IF('02_대상물건입력'!B15="",TRUE(),ISNUMBER(SEARCH('02_대상물건입력'!B15,L472)))),1,0))</f>
        <v/>
      </c>
      <c r="R472" s="175">
        <f>IFERROR(ABS(E472-'02_대상물건입력'!B11)/'02_대상물건입력'!B11,"")</f>
        <v/>
      </c>
      <c r="S472" s="152">
        <f>IFERROR(ABS(J472-'02_대상물건입력'!B10),"")</f>
        <v/>
      </c>
      <c r="T472" s="152">
        <f>IFERROR(ABS('01_설정'!B4-F472),"")</f>
        <v/>
      </c>
      <c r="U472" s="152">
        <f>IFERROR(ABS(K472-YEAR('02_대상물건입력'!B14)),"")</f>
        <v/>
      </c>
      <c r="V472" s="152">
        <f>IF(B472="","",IF(AND(E472&gt;0,F472&gt;0,H472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472=1,TRUE()),R472&lt;='01_설정'!B5,S472&lt;='01_설정'!B6,T472&lt;='01_설정'!B7,U472&lt;='01_설정'!B8),"Y",""))</f>
        <v/>
      </c>
      <c r="W472" s="172">
        <f>IF(V472&lt;&gt;"Y","",MAX(0,(1-R472/'01_설정'!B5))*'01_설정'!B14+MAX(0,(1-S472/'01_설정'!B6))*'01_설정'!B15+MAX(0,(1-T472/'01_설정'!B7))*'01_설정'!B16+MAX(0,(1-U472/'01_설정'!B8))*'01_설정'!B17+O472*'01_설정'!B11+Q472*'01_설정'!B12+P472*'01_설정'!B13+IF(Z472="",0,Z472))</f>
        <v/>
      </c>
      <c r="X472" s="152">
        <f>IF(W472="","",1+COUNTIFS($W$4:$W$3003,"&gt;"&amp;W472)+COUNTIFS($W$4:W472,W472)-1)</f>
        <v/>
      </c>
      <c r="Y472" s="175">
        <f>IF(OR(I472="",'02_대상물건입력'!B19="",'02_대상물건입력'!B19&lt;=0),"",ABS(I472-'02_대상물건입력'!B19)/'02_대상물건입력'!B19)</f>
        <v/>
      </c>
      <c r="Z472" s="172">
        <f>IF(OR(Y472="",'01_설정'!B31="",'01_설정'!B31&lt;=0,'01_설정'!B32="",'01_설정'!B32&lt;=0),"",MAX(0,(1-Y472/'01_설정'!B32))*'01_설정'!B31)</f>
        <v/>
      </c>
    </row>
    <row r="473" ht="17.25" customHeight="1">
      <c r="A473" s="152">
        <f>IF(INDEX('04A_국토부원자료'!$A:$A,ROW()+1)="","",ROW()-3)</f>
        <v/>
      </c>
      <c r="B473" s="48">
        <f>IFERROR(INDEX('04A_국토부원자료'!$A:$T,ROW()+1,MATCH("시군구",'04A_국토부원자료'!$A$4:$T$4,0)),"")</f>
        <v/>
      </c>
      <c r="C473" s="48">
        <f>IF(B473="","",IFERROR(INDEX('04A_국토부원자료'!$A:$T,ROW()+1,MATCH("번지",'04A_국토부원자료'!$A$4:$T$4,0)),""))</f>
        <v/>
      </c>
      <c r="D473" s="48">
        <f>IF(B473="","",IF(Q473=1,'02_대상물건입력'!$B$8,IFERROR(INDEX('04A_국토부원자료'!$A:$T,ROW()+1,MATCH("단지명",'04A_국토부원자료'!$A$4:$T$4,0)),"")))</f>
        <v/>
      </c>
      <c r="E473" s="172">
        <f>IFERROR(VALUE(SUBSTITUTE(INDEX('04A_국토부원자료'!$A:$T,ROW()+1,MATCH("전용면적(㎡)",'04A_국토부원자료'!$A$4:$T$4,0)),",","")),"")</f>
        <v/>
      </c>
      <c r="F4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73" s="51">
        <f>IFERROR(VALUE(SUBSTITUTE(INDEX('04A_국토부원자료'!$A:$T,ROW()+1,MATCH("거래금액(만원)",'04A_국토부원자료'!$A$4:$T$4,0)),",","")),"")</f>
        <v/>
      </c>
      <c r="H473" s="174">
        <f>IF(G473="","",G473*10000)</f>
        <v/>
      </c>
      <c r="I473" s="174">
        <f>IFERROR(IF(AND(H473&gt;0,E473&gt;0),H473/E473,""),"")</f>
        <v/>
      </c>
      <c r="J473" s="152">
        <f>IFERROR(VALUE(SUBSTITUTE(INDEX('04A_국토부원자료'!$A:$T,ROW()+1,MATCH("층",'04A_국토부원자료'!$A$4:$T$4,0)),",","")),"")</f>
        <v/>
      </c>
      <c r="K473" s="152">
        <f>IFERROR(VALUE(SUBSTITUTE(INDEX('04A_국토부원자료'!$A:$T,ROW()+1,MATCH("건축년도",'04A_국토부원자료'!$A$4:$T$4,0)),",","")),"")</f>
        <v/>
      </c>
      <c r="L473" s="176">
        <f>IFERROR(INDEX('04A_국토부원자료'!$A:$T,ROW()+1,MATCH("도로명",'04A_국토부원자료'!$A$4:$T$4,0)),"")</f>
        <v/>
      </c>
      <c r="M473" s="48">
        <f>IFERROR(INDEX('04A_국토부원자료'!$A:$T,ROW()+1,MATCH("거래유형",'04A_국토부원자료'!$A$4:$T$4,0)),"")</f>
        <v/>
      </c>
      <c r="N473" s="152">
        <f>IF(B473="","",IF('02_대상물건입력'!B5="",1,IF(ISNUMBER(SEARCH('02_대상물건입력'!B5,B473)),1,0)))</f>
        <v/>
      </c>
      <c r="O473" s="152">
        <f>IF(B473="","",IF('02_대상물건입력'!B6="",1,IF(ISNUMBER(SEARCH('02_대상물건입력'!B6,B473)),1,0)))</f>
        <v/>
      </c>
      <c r="P473" s="152">
        <f>IF(L473="","",IF('02_대상물건입력'!B15="",0,IF(ISNUMBER(SEARCH('02_대상물건입력'!B15,L473)),1,0)))</f>
        <v/>
      </c>
      <c r="Q473" s="152">
        <f>IF(OR(C473="",L473=""),0,IF(AND(TRIM(C473)=TRIM(RIGHT(SUBSTITUTE(TRIM('02_대상물건입력'!$B$7)," ",REPT(" ",99)),99)),IF('02_대상물건입력'!B15="",TRUE(),ISNUMBER(SEARCH('02_대상물건입력'!B15,L473)))),1,0))</f>
        <v/>
      </c>
      <c r="R473" s="175">
        <f>IFERROR(ABS(E473-'02_대상물건입력'!B11)/'02_대상물건입력'!B11,"")</f>
        <v/>
      </c>
      <c r="S473" s="152">
        <f>IFERROR(ABS(J473-'02_대상물건입력'!B10),"")</f>
        <v/>
      </c>
      <c r="T473" s="152">
        <f>IFERROR(ABS('01_설정'!B4-F473),"")</f>
        <v/>
      </c>
      <c r="U473" s="152">
        <f>IFERROR(ABS(K473-YEAR('02_대상물건입력'!B14)),"")</f>
        <v/>
      </c>
      <c r="V473" s="152">
        <f>IF(B473="","",IF(AND(E473&gt;0,F473&gt;0,H473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473=1,TRUE()),R473&lt;='01_설정'!B5,S473&lt;='01_설정'!B6,T473&lt;='01_설정'!B7,U473&lt;='01_설정'!B8),"Y",""))</f>
        <v/>
      </c>
      <c r="W473" s="172">
        <f>IF(V473&lt;&gt;"Y","",MAX(0,(1-R473/'01_설정'!B5))*'01_설정'!B14+MAX(0,(1-S473/'01_설정'!B6))*'01_설정'!B15+MAX(0,(1-T473/'01_설정'!B7))*'01_설정'!B16+MAX(0,(1-U473/'01_설정'!B8))*'01_설정'!B17+O473*'01_설정'!B11+Q473*'01_설정'!B12+P473*'01_설정'!B13+IF(Z473="",0,Z473))</f>
        <v/>
      </c>
      <c r="X473" s="152">
        <f>IF(W473="","",1+COUNTIFS($W$4:$W$3003,"&gt;"&amp;W473)+COUNTIFS($W$4:W473,W473)-1)</f>
        <v/>
      </c>
      <c r="Y473" s="175">
        <f>IF(OR(I473="",'02_대상물건입력'!B19="",'02_대상물건입력'!B19&lt;=0),"",ABS(I473-'02_대상물건입력'!B19)/'02_대상물건입력'!B19)</f>
        <v/>
      </c>
      <c r="Z473" s="172">
        <f>IF(OR(Y473="",'01_설정'!B31="",'01_설정'!B31&lt;=0,'01_설정'!B32="",'01_설정'!B32&lt;=0),"",MAX(0,(1-Y473/'01_설정'!B32))*'01_설정'!B31)</f>
        <v/>
      </c>
    </row>
    <row r="474" ht="17.25" customHeight="1">
      <c r="A474" s="152">
        <f>IF(INDEX('04A_국토부원자료'!$A:$A,ROW()+1)="","",ROW()-3)</f>
        <v/>
      </c>
      <c r="B474" s="48">
        <f>IFERROR(INDEX('04A_국토부원자료'!$A:$T,ROW()+1,MATCH("시군구",'04A_국토부원자료'!$A$4:$T$4,0)),"")</f>
        <v/>
      </c>
      <c r="C474" s="48">
        <f>IF(B474="","",IFERROR(INDEX('04A_국토부원자료'!$A:$T,ROW()+1,MATCH("번지",'04A_국토부원자료'!$A$4:$T$4,0)),""))</f>
        <v/>
      </c>
      <c r="D474" s="48">
        <f>IF(B474="","",IF(Q474=1,'02_대상물건입력'!$B$8,IFERROR(INDEX('04A_국토부원자료'!$A:$T,ROW()+1,MATCH("단지명",'04A_국토부원자료'!$A$4:$T$4,0)),"")))</f>
        <v/>
      </c>
      <c r="E474" s="172">
        <f>IFERROR(VALUE(SUBSTITUTE(INDEX('04A_국토부원자료'!$A:$T,ROW()+1,MATCH("전용면적(㎡)",'04A_국토부원자료'!$A$4:$T$4,0)),",","")),"")</f>
        <v/>
      </c>
      <c r="F4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74" s="51">
        <f>IFERROR(VALUE(SUBSTITUTE(INDEX('04A_국토부원자료'!$A:$T,ROW()+1,MATCH("거래금액(만원)",'04A_국토부원자료'!$A$4:$T$4,0)),",","")),"")</f>
        <v/>
      </c>
      <c r="H474" s="174">
        <f>IF(G474="","",G474*10000)</f>
        <v/>
      </c>
      <c r="I474" s="174">
        <f>IFERROR(IF(AND(H474&gt;0,E474&gt;0),H474/E474,""),"")</f>
        <v/>
      </c>
      <c r="J474" s="152">
        <f>IFERROR(VALUE(SUBSTITUTE(INDEX('04A_국토부원자료'!$A:$T,ROW()+1,MATCH("층",'04A_국토부원자료'!$A$4:$T$4,0)),",","")),"")</f>
        <v/>
      </c>
      <c r="K474" s="152">
        <f>IFERROR(VALUE(SUBSTITUTE(INDEX('04A_국토부원자료'!$A:$T,ROW()+1,MATCH("건축년도",'04A_국토부원자료'!$A$4:$T$4,0)),",","")),"")</f>
        <v/>
      </c>
      <c r="L474" s="176">
        <f>IFERROR(INDEX('04A_국토부원자료'!$A:$T,ROW()+1,MATCH("도로명",'04A_국토부원자료'!$A$4:$T$4,0)),"")</f>
        <v/>
      </c>
      <c r="M474" s="48">
        <f>IFERROR(INDEX('04A_국토부원자료'!$A:$T,ROW()+1,MATCH("거래유형",'04A_국토부원자료'!$A$4:$T$4,0)),"")</f>
        <v/>
      </c>
      <c r="N474" s="152">
        <f>IF(B474="","",IF('02_대상물건입력'!B5="",1,IF(ISNUMBER(SEARCH('02_대상물건입력'!B5,B474)),1,0)))</f>
        <v/>
      </c>
      <c r="O474" s="152">
        <f>IF(B474="","",IF('02_대상물건입력'!B6="",1,IF(ISNUMBER(SEARCH('02_대상물건입력'!B6,B474)),1,0)))</f>
        <v/>
      </c>
      <c r="P474" s="152">
        <f>IF(L474="","",IF('02_대상물건입력'!B15="",0,IF(ISNUMBER(SEARCH('02_대상물건입력'!B15,L474)),1,0)))</f>
        <v/>
      </c>
      <c r="Q474" s="152">
        <f>IF(OR(C474="",L474=""),0,IF(AND(TRIM(C474)=TRIM(RIGHT(SUBSTITUTE(TRIM('02_대상물건입력'!$B$7)," ",REPT(" ",99)),99)),IF('02_대상물건입력'!B15="",TRUE(),ISNUMBER(SEARCH('02_대상물건입력'!B15,L474)))),1,0))</f>
        <v/>
      </c>
      <c r="R474" s="175">
        <f>IFERROR(ABS(E474-'02_대상물건입력'!B11)/'02_대상물건입력'!B11,"")</f>
        <v/>
      </c>
      <c r="S474" s="152">
        <f>IFERROR(ABS(J474-'02_대상물건입력'!B10),"")</f>
        <v/>
      </c>
      <c r="T474" s="152">
        <f>IFERROR(ABS('01_설정'!B4-F474),"")</f>
        <v/>
      </c>
      <c r="U474" s="152">
        <f>IFERROR(ABS(K474-YEAR('02_대상물건입력'!B14)),"")</f>
        <v/>
      </c>
      <c r="V474" s="152">
        <f>IF(B474="","",IF(AND(E474&gt;0,F474&gt;0,H474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474=1,TRUE()),R474&lt;='01_설정'!B5,S474&lt;='01_설정'!B6,T474&lt;='01_설정'!B7,U474&lt;='01_설정'!B8),"Y",""))</f>
        <v/>
      </c>
      <c r="W474" s="172">
        <f>IF(V474&lt;&gt;"Y","",MAX(0,(1-R474/'01_설정'!B5))*'01_설정'!B14+MAX(0,(1-S474/'01_설정'!B6))*'01_설정'!B15+MAX(0,(1-T474/'01_설정'!B7))*'01_설정'!B16+MAX(0,(1-U474/'01_설정'!B8))*'01_설정'!B17+O474*'01_설정'!B11+Q474*'01_설정'!B12+P474*'01_설정'!B13+IF(Z474="",0,Z474))</f>
        <v/>
      </c>
      <c r="X474" s="152">
        <f>IF(W474="","",1+COUNTIFS($W$4:$W$3003,"&gt;"&amp;W474)+COUNTIFS($W$4:W474,W474)-1)</f>
        <v/>
      </c>
      <c r="Y474" s="175">
        <f>IF(OR(I474="",'02_대상물건입력'!B19="",'02_대상물건입력'!B19&lt;=0),"",ABS(I474-'02_대상물건입력'!B19)/'02_대상물건입력'!B19)</f>
        <v/>
      </c>
      <c r="Z474" s="172">
        <f>IF(OR(Y474="",'01_설정'!B31="",'01_설정'!B31&lt;=0,'01_설정'!B32="",'01_설정'!B32&lt;=0),"",MAX(0,(1-Y474/'01_설정'!B32))*'01_설정'!B31)</f>
        <v/>
      </c>
    </row>
    <row r="475" ht="17.25" customHeight="1">
      <c r="A475" s="152">
        <f>IF(INDEX('04A_국토부원자료'!$A:$A,ROW()+1)="","",ROW()-3)</f>
        <v/>
      </c>
      <c r="B475" s="48">
        <f>IFERROR(INDEX('04A_국토부원자료'!$A:$T,ROW()+1,MATCH("시군구",'04A_국토부원자료'!$A$4:$T$4,0)),"")</f>
        <v/>
      </c>
      <c r="C475" s="48">
        <f>IF(B475="","",IFERROR(INDEX('04A_국토부원자료'!$A:$T,ROW()+1,MATCH("번지",'04A_국토부원자료'!$A$4:$T$4,0)),""))</f>
        <v/>
      </c>
      <c r="D475" s="48">
        <f>IF(B475="","",IF(Q475=1,'02_대상물건입력'!$B$8,IFERROR(INDEX('04A_국토부원자료'!$A:$T,ROW()+1,MATCH("단지명",'04A_국토부원자료'!$A$4:$T$4,0)),"")))</f>
        <v/>
      </c>
      <c r="E475" s="172">
        <f>IFERROR(VALUE(SUBSTITUTE(INDEX('04A_국토부원자료'!$A:$T,ROW()+1,MATCH("전용면적(㎡)",'04A_국토부원자료'!$A$4:$T$4,0)),",","")),"")</f>
        <v/>
      </c>
      <c r="F4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75" s="51">
        <f>IFERROR(VALUE(SUBSTITUTE(INDEX('04A_국토부원자료'!$A:$T,ROW()+1,MATCH("거래금액(만원)",'04A_국토부원자료'!$A$4:$T$4,0)),",","")),"")</f>
        <v/>
      </c>
      <c r="H475" s="174">
        <f>IF(G475="","",G475*10000)</f>
        <v/>
      </c>
      <c r="I475" s="174">
        <f>IFERROR(IF(AND(H475&gt;0,E475&gt;0),H475/E475,""),"")</f>
        <v/>
      </c>
      <c r="J475" s="152">
        <f>IFERROR(VALUE(SUBSTITUTE(INDEX('04A_국토부원자료'!$A:$T,ROW()+1,MATCH("층",'04A_국토부원자료'!$A$4:$T$4,0)),",","")),"")</f>
        <v/>
      </c>
      <c r="K475" s="152">
        <f>IFERROR(VALUE(SUBSTITUTE(INDEX('04A_국토부원자료'!$A:$T,ROW()+1,MATCH("건축년도",'04A_국토부원자료'!$A$4:$T$4,0)),",","")),"")</f>
        <v/>
      </c>
      <c r="L475" s="176">
        <f>IFERROR(INDEX('04A_국토부원자료'!$A:$T,ROW()+1,MATCH("도로명",'04A_국토부원자료'!$A$4:$T$4,0)),"")</f>
        <v/>
      </c>
      <c r="M475" s="48">
        <f>IFERROR(INDEX('04A_국토부원자료'!$A:$T,ROW()+1,MATCH("거래유형",'04A_국토부원자료'!$A$4:$T$4,0)),"")</f>
        <v/>
      </c>
      <c r="N475" s="152">
        <f>IF(B475="","",IF('02_대상물건입력'!B5="",1,IF(ISNUMBER(SEARCH('02_대상물건입력'!B5,B475)),1,0)))</f>
        <v/>
      </c>
      <c r="O475" s="152">
        <f>IF(B475="","",IF('02_대상물건입력'!B6="",1,IF(ISNUMBER(SEARCH('02_대상물건입력'!B6,B475)),1,0)))</f>
        <v/>
      </c>
      <c r="P475" s="152">
        <f>IF(L475="","",IF('02_대상물건입력'!B15="",0,IF(ISNUMBER(SEARCH('02_대상물건입력'!B15,L475)),1,0)))</f>
        <v/>
      </c>
      <c r="Q475" s="152">
        <f>IF(OR(C475="",L475=""),0,IF(AND(TRIM(C475)=TRIM(RIGHT(SUBSTITUTE(TRIM('02_대상물건입력'!$B$7)," ",REPT(" ",99)),99)),IF('02_대상물건입력'!B15="",TRUE(),ISNUMBER(SEARCH('02_대상물건입력'!B15,L475)))),1,0))</f>
        <v/>
      </c>
      <c r="R475" s="175">
        <f>IFERROR(ABS(E475-'02_대상물건입력'!B11)/'02_대상물건입력'!B11,"")</f>
        <v/>
      </c>
      <c r="S475" s="152">
        <f>IFERROR(ABS(J475-'02_대상물건입력'!B10),"")</f>
        <v/>
      </c>
      <c r="T475" s="152">
        <f>IFERROR(ABS('01_설정'!B4-F475),"")</f>
        <v/>
      </c>
      <c r="U475" s="152">
        <f>IFERROR(ABS(K475-YEAR('02_대상물건입력'!B14)),"")</f>
        <v/>
      </c>
      <c r="V475" s="152">
        <f>IF(B475="","",IF(AND(E475&gt;0,F475&gt;0,H475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475=1,TRUE()),R475&lt;='01_설정'!B5,S475&lt;='01_설정'!B6,T475&lt;='01_설정'!B7,U475&lt;='01_설정'!B8),"Y",""))</f>
        <v/>
      </c>
      <c r="W475" s="172">
        <f>IF(V475&lt;&gt;"Y","",MAX(0,(1-R475/'01_설정'!B5))*'01_설정'!B14+MAX(0,(1-S475/'01_설정'!B6))*'01_설정'!B15+MAX(0,(1-T475/'01_설정'!B7))*'01_설정'!B16+MAX(0,(1-U475/'01_설정'!B8))*'01_설정'!B17+O475*'01_설정'!B11+Q475*'01_설정'!B12+P475*'01_설정'!B13+IF(Z475="",0,Z475))</f>
        <v/>
      </c>
      <c r="X475" s="152">
        <f>IF(W475="","",1+COUNTIFS($W$4:$W$3003,"&gt;"&amp;W475)+COUNTIFS($W$4:W475,W475)-1)</f>
        <v/>
      </c>
      <c r="Y475" s="175">
        <f>IF(OR(I475="",'02_대상물건입력'!B19="",'02_대상물건입력'!B19&lt;=0),"",ABS(I475-'02_대상물건입력'!B19)/'02_대상물건입력'!B19)</f>
        <v/>
      </c>
      <c r="Z475" s="172">
        <f>IF(OR(Y475="",'01_설정'!B31="",'01_설정'!B31&lt;=0,'01_설정'!B32="",'01_설정'!B32&lt;=0),"",MAX(0,(1-Y475/'01_설정'!B32))*'01_설정'!B31)</f>
        <v/>
      </c>
    </row>
    <row r="476" ht="17.25" customHeight="1">
      <c r="A476" s="152">
        <f>IF(INDEX('04A_국토부원자료'!$A:$A,ROW()+1)="","",ROW()-3)</f>
        <v/>
      </c>
      <c r="B476" s="48">
        <f>IFERROR(INDEX('04A_국토부원자료'!$A:$T,ROW()+1,MATCH("시군구",'04A_국토부원자료'!$A$4:$T$4,0)),"")</f>
        <v/>
      </c>
      <c r="C476" s="48">
        <f>IF(B476="","",IFERROR(INDEX('04A_국토부원자료'!$A:$T,ROW()+1,MATCH("번지",'04A_국토부원자료'!$A$4:$T$4,0)),""))</f>
        <v/>
      </c>
      <c r="D476" s="48">
        <f>IF(B476="","",IF(Q476=1,'02_대상물건입력'!$B$8,IFERROR(INDEX('04A_국토부원자료'!$A:$T,ROW()+1,MATCH("단지명",'04A_국토부원자료'!$A$4:$T$4,0)),"")))</f>
        <v/>
      </c>
      <c r="E476" s="172">
        <f>IFERROR(VALUE(SUBSTITUTE(INDEX('04A_국토부원자료'!$A:$T,ROW()+1,MATCH("전용면적(㎡)",'04A_국토부원자료'!$A$4:$T$4,0)),",","")),"")</f>
        <v/>
      </c>
      <c r="F4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76" s="51">
        <f>IFERROR(VALUE(SUBSTITUTE(INDEX('04A_국토부원자료'!$A:$T,ROW()+1,MATCH("거래금액(만원)",'04A_국토부원자료'!$A$4:$T$4,0)),",","")),"")</f>
        <v/>
      </c>
      <c r="H476" s="174">
        <f>IF(G476="","",G476*10000)</f>
        <v/>
      </c>
      <c r="I476" s="174">
        <f>IFERROR(IF(AND(H476&gt;0,E476&gt;0),H476/E476,""),"")</f>
        <v/>
      </c>
      <c r="J476" s="152">
        <f>IFERROR(VALUE(SUBSTITUTE(INDEX('04A_국토부원자료'!$A:$T,ROW()+1,MATCH("층",'04A_국토부원자료'!$A$4:$T$4,0)),",","")),"")</f>
        <v/>
      </c>
      <c r="K476" s="152">
        <f>IFERROR(VALUE(SUBSTITUTE(INDEX('04A_국토부원자료'!$A:$T,ROW()+1,MATCH("건축년도",'04A_국토부원자료'!$A$4:$T$4,0)),",","")),"")</f>
        <v/>
      </c>
      <c r="L476" s="176">
        <f>IFERROR(INDEX('04A_국토부원자료'!$A:$T,ROW()+1,MATCH("도로명",'04A_국토부원자료'!$A$4:$T$4,0)),"")</f>
        <v/>
      </c>
      <c r="M476" s="48">
        <f>IFERROR(INDEX('04A_국토부원자료'!$A:$T,ROW()+1,MATCH("거래유형",'04A_국토부원자료'!$A$4:$T$4,0)),"")</f>
        <v/>
      </c>
      <c r="N476" s="152">
        <f>IF(B476="","",IF('02_대상물건입력'!B5="",1,IF(ISNUMBER(SEARCH('02_대상물건입력'!B5,B476)),1,0)))</f>
        <v/>
      </c>
      <c r="O476" s="152">
        <f>IF(B476="","",IF('02_대상물건입력'!B6="",1,IF(ISNUMBER(SEARCH('02_대상물건입력'!B6,B476)),1,0)))</f>
        <v/>
      </c>
      <c r="P476" s="152">
        <f>IF(L476="","",IF('02_대상물건입력'!B15="",0,IF(ISNUMBER(SEARCH('02_대상물건입력'!B15,L476)),1,0)))</f>
        <v/>
      </c>
      <c r="Q476" s="152">
        <f>IF(OR(C476="",L476=""),0,IF(AND(TRIM(C476)=TRIM(RIGHT(SUBSTITUTE(TRIM('02_대상물건입력'!$B$7)," ",REPT(" ",99)),99)),IF('02_대상물건입력'!B15="",TRUE(),ISNUMBER(SEARCH('02_대상물건입력'!B15,L476)))),1,0))</f>
        <v/>
      </c>
      <c r="R476" s="175">
        <f>IFERROR(ABS(E476-'02_대상물건입력'!B11)/'02_대상물건입력'!B11,"")</f>
        <v/>
      </c>
      <c r="S476" s="152">
        <f>IFERROR(ABS(J476-'02_대상물건입력'!B10),"")</f>
        <v/>
      </c>
      <c r="T476" s="152">
        <f>IFERROR(ABS('01_설정'!B4-F476),"")</f>
        <v/>
      </c>
      <c r="U476" s="152">
        <f>IFERROR(ABS(K476-YEAR('02_대상물건입력'!B14)),"")</f>
        <v/>
      </c>
      <c r="V476" s="152">
        <f>IF(B476="","",IF(AND(E476&gt;0,F476&gt;0,H476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476=1,TRUE()),R476&lt;='01_설정'!B5,S476&lt;='01_설정'!B6,T476&lt;='01_설정'!B7,U476&lt;='01_설정'!B8),"Y",""))</f>
        <v/>
      </c>
      <c r="W476" s="172">
        <f>IF(V476&lt;&gt;"Y","",MAX(0,(1-R476/'01_설정'!B5))*'01_설정'!B14+MAX(0,(1-S476/'01_설정'!B6))*'01_설정'!B15+MAX(0,(1-T476/'01_설정'!B7))*'01_설정'!B16+MAX(0,(1-U476/'01_설정'!B8))*'01_설정'!B17+O476*'01_설정'!B11+Q476*'01_설정'!B12+P476*'01_설정'!B13+IF(Z476="",0,Z476))</f>
        <v/>
      </c>
      <c r="X476" s="152">
        <f>IF(W476="","",1+COUNTIFS($W$4:$W$3003,"&gt;"&amp;W476)+COUNTIFS($W$4:W476,W476)-1)</f>
        <v/>
      </c>
      <c r="Y476" s="175">
        <f>IF(OR(I476="",'02_대상물건입력'!B19="",'02_대상물건입력'!B19&lt;=0),"",ABS(I476-'02_대상물건입력'!B19)/'02_대상물건입력'!B19)</f>
        <v/>
      </c>
      <c r="Z476" s="172">
        <f>IF(OR(Y476="",'01_설정'!B31="",'01_설정'!B31&lt;=0,'01_설정'!B32="",'01_설정'!B32&lt;=0),"",MAX(0,(1-Y476/'01_설정'!B32))*'01_설정'!B31)</f>
        <v/>
      </c>
    </row>
    <row r="477" ht="17.25" customHeight="1">
      <c r="A477" s="152">
        <f>IF(INDEX('04A_국토부원자료'!$A:$A,ROW()+1)="","",ROW()-3)</f>
        <v/>
      </c>
      <c r="B477" s="48">
        <f>IFERROR(INDEX('04A_국토부원자료'!$A:$T,ROW()+1,MATCH("시군구",'04A_국토부원자료'!$A$4:$T$4,0)),"")</f>
        <v/>
      </c>
      <c r="C477" s="48">
        <f>IF(B477="","",IFERROR(INDEX('04A_국토부원자료'!$A:$T,ROW()+1,MATCH("번지",'04A_국토부원자료'!$A$4:$T$4,0)),""))</f>
        <v/>
      </c>
      <c r="D477" s="48">
        <f>IF(B477="","",IF(Q477=1,'02_대상물건입력'!$B$8,IFERROR(INDEX('04A_국토부원자료'!$A:$T,ROW()+1,MATCH("단지명",'04A_국토부원자료'!$A$4:$T$4,0)),"")))</f>
        <v/>
      </c>
      <c r="E477" s="172">
        <f>IFERROR(VALUE(SUBSTITUTE(INDEX('04A_국토부원자료'!$A:$T,ROW()+1,MATCH("전용면적(㎡)",'04A_국토부원자료'!$A$4:$T$4,0)),",","")),"")</f>
        <v/>
      </c>
      <c r="F4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77" s="51">
        <f>IFERROR(VALUE(SUBSTITUTE(INDEX('04A_국토부원자료'!$A:$T,ROW()+1,MATCH("거래금액(만원)",'04A_국토부원자료'!$A$4:$T$4,0)),",","")),"")</f>
        <v/>
      </c>
      <c r="H477" s="174">
        <f>IF(G477="","",G477*10000)</f>
        <v/>
      </c>
      <c r="I477" s="174">
        <f>IFERROR(IF(AND(H477&gt;0,E477&gt;0),H477/E477,""),"")</f>
        <v/>
      </c>
      <c r="J477" s="152">
        <f>IFERROR(VALUE(SUBSTITUTE(INDEX('04A_국토부원자료'!$A:$T,ROW()+1,MATCH("층",'04A_국토부원자료'!$A$4:$T$4,0)),",","")),"")</f>
        <v/>
      </c>
      <c r="K477" s="152">
        <f>IFERROR(VALUE(SUBSTITUTE(INDEX('04A_국토부원자료'!$A:$T,ROW()+1,MATCH("건축년도",'04A_국토부원자료'!$A$4:$T$4,0)),",","")),"")</f>
        <v/>
      </c>
      <c r="L477" s="176">
        <f>IFERROR(INDEX('04A_국토부원자료'!$A:$T,ROW()+1,MATCH("도로명",'04A_국토부원자료'!$A$4:$T$4,0)),"")</f>
        <v/>
      </c>
      <c r="M477" s="48">
        <f>IFERROR(INDEX('04A_국토부원자료'!$A:$T,ROW()+1,MATCH("거래유형",'04A_국토부원자료'!$A$4:$T$4,0)),"")</f>
        <v/>
      </c>
      <c r="N477" s="152">
        <f>IF(B477="","",IF('02_대상물건입력'!B5="",1,IF(ISNUMBER(SEARCH('02_대상물건입력'!B5,B477)),1,0)))</f>
        <v/>
      </c>
      <c r="O477" s="152">
        <f>IF(B477="","",IF('02_대상물건입력'!B6="",1,IF(ISNUMBER(SEARCH('02_대상물건입력'!B6,B477)),1,0)))</f>
        <v/>
      </c>
      <c r="P477" s="152">
        <f>IF(L477="","",IF('02_대상물건입력'!B15="",0,IF(ISNUMBER(SEARCH('02_대상물건입력'!B15,L477)),1,0)))</f>
        <v/>
      </c>
      <c r="Q477" s="152">
        <f>IF(OR(C477="",L477=""),0,IF(AND(TRIM(C477)=TRIM(RIGHT(SUBSTITUTE(TRIM('02_대상물건입력'!$B$7)," ",REPT(" ",99)),99)),IF('02_대상물건입력'!B15="",TRUE(),ISNUMBER(SEARCH('02_대상물건입력'!B15,L477)))),1,0))</f>
        <v/>
      </c>
      <c r="R477" s="175">
        <f>IFERROR(ABS(E477-'02_대상물건입력'!B11)/'02_대상물건입력'!B11,"")</f>
        <v/>
      </c>
      <c r="S477" s="152">
        <f>IFERROR(ABS(J477-'02_대상물건입력'!B10),"")</f>
        <v/>
      </c>
      <c r="T477" s="152">
        <f>IFERROR(ABS('01_설정'!B4-F477),"")</f>
        <v/>
      </c>
      <c r="U477" s="152">
        <f>IFERROR(ABS(K477-YEAR('02_대상물건입력'!B14)),"")</f>
        <v/>
      </c>
      <c r="V477" s="152">
        <f>IF(B477="","",IF(AND(E477&gt;0,F477&gt;0,H477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477=1,TRUE()),R477&lt;='01_설정'!B5,S477&lt;='01_설정'!B6,T477&lt;='01_설정'!B7,U477&lt;='01_설정'!B8),"Y",""))</f>
        <v/>
      </c>
      <c r="W477" s="172">
        <f>IF(V477&lt;&gt;"Y","",MAX(0,(1-R477/'01_설정'!B5))*'01_설정'!B14+MAX(0,(1-S477/'01_설정'!B6))*'01_설정'!B15+MAX(0,(1-T477/'01_설정'!B7))*'01_설정'!B16+MAX(0,(1-U477/'01_설정'!B8))*'01_설정'!B17+O477*'01_설정'!B11+Q477*'01_설정'!B12+P477*'01_설정'!B13+IF(Z477="",0,Z477))</f>
        <v/>
      </c>
      <c r="X477" s="152">
        <f>IF(W477="","",1+COUNTIFS($W$4:$W$3003,"&gt;"&amp;W477)+COUNTIFS($W$4:W477,W477)-1)</f>
        <v/>
      </c>
      <c r="Y477" s="175">
        <f>IF(OR(I477="",'02_대상물건입력'!B19="",'02_대상물건입력'!B19&lt;=0),"",ABS(I477-'02_대상물건입력'!B19)/'02_대상물건입력'!B19)</f>
        <v/>
      </c>
      <c r="Z477" s="172">
        <f>IF(OR(Y477="",'01_설정'!B31="",'01_설정'!B31&lt;=0,'01_설정'!B32="",'01_설정'!B32&lt;=0),"",MAX(0,(1-Y477/'01_설정'!B32))*'01_설정'!B31)</f>
        <v/>
      </c>
    </row>
    <row r="478" ht="17.25" customHeight="1">
      <c r="A478" s="152">
        <f>IF(INDEX('04A_국토부원자료'!$A:$A,ROW()+1)="","",ROW()-3)</f>
        <v/>
      </c>
      <c r="B478" s="48">
        <f>IFERROR(INDEX('04A_국토부원자료'!$A:$T,ROW()+1,MATCH("시군구",'04A_국토부원자료'!$A$4:$T$4,0)),"")</f>
        <v/>
      </c>
      <c r="C478" s="48">
        <f>IF(B478="","",IFERROR(INDEX('04A_국토부원자료'!$A:$T,ROW()+1,MATCH("번지",'04A_국토부원자료'!$A$4:$T$4,0)),""))</f>
        <v/>
      </c>
      <c r="D478" s="48">
        <f>IF(B478="","",IF(Q478=1,'02_대상물건입력'!$B$8,IFERROR(INDEX('04A_국토부원자료'!$A:$T,ROW()+1,MATCH("단지명",'04A_국토부원자료'!$A$4:$T$4,0)),"")))</f>
        <v/>
      </c>
      <c r="E478" s="172">
        <f>IFERROR(VALUE(SUBSTITUTE(INDEX('04A_국토부원자료'!$A:$T,ROW()+1,MATCH("전용면적(㎡)",'04A_국토부원자료'!$A$4:$T$4,0)),",","")),"")</f>
        <v/>
      </c>
      <c r="F4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78" s="51">
        <f>IFERROR(VALUE(SUBSTITUTE(INDEX('04A_국토부원자료'!$A:$T,ROW()+1,MATCH("거래금액(만원)",'04A_국토부원자료'!$A$4:$T$4,0)),",","")),"")</f>
        <v/>
      </c>
      <c r="H478" s="174">
        <f>IF(G478="","",G478*10000)</f>
        <v/>
      </c>
      <c r="I478" s="174">
        <f>IFERROR(IF(AND(H478&gt;0,E478&gt;0),H478/E478,""),"")</f>
        <v/>
      </c>
      <c r="J478" s="152">
        <f>IFERROR(VALUE(SUBSTITUTE(INDEX('04A_국토부원자료'!$A:$T,ROW()+1,MATCH("층",'04A_국토부원자료'!$A$4:$T$4,0)),",","")),"")</f>
        <v/>
      </c>
      <c r="K478" s="152">
        <f>IFERROR(VALUE(SUBSTITUTE(INDEX('04A_국토부원자료'!$A:$T,ROW()+1,MATCH("건축년도",'04A_국토부원자료'!$A$4:$T$4,0)),",","")),"")</f>
        <v/>
      </c>
      <c r="L478" s="176">
        <f>IFERROR(INDEX('04A_국토부원자료'!$A:$T,ROW()+1,MATCH("도로명",'04A_국토부원자료'!$A$4:$T$4,0)),"")</f>
        <v/>
      </c>
      <c r="M478" s="48">
        <f>IFERROR(INDEX('04A_국토부원자료'!$A:$T,ROW()+1,MATCH("거래유형",'04A_국토부원자료'!$A$4:$T$4,0)),"")</f>
        <v/>
      </c>
      <c r="N478" s="152">
        <f>IF(B478="","",IF('02_대상물건입력'!B5="",1,IF(ISNUMBER(SEARCH('02_대상물건입력'!B5,B478)),1,0)))</f>
        <v/>
      </c>
      <c r="O478" s="152">
        <f>IF(B478="","",IF('02_대상물건입력'!B6="",1,IF(ISNUMBER(SEARCH('02_대상물건입력'!B6,B478)),1,0)))</f>
        <v/>
      </c>
      <c r="P478" s="152">
        <f>IF(L478="","",IF('02_대상물건입력'!B15="",0,IF(ISNUMBER(SEARCH('02_대상물건입력'!B15,L478)),1,0)))</f>
        <v/>
      </c>
      <c r="Q478" s="152">
        <f>IF(OR(C478="",L478=""),0,IF(AND(TRIM(C478)=TRIM(RIGHT(SUBSTITUTE(TRIM('02_대상물건입력'!$B$7)," ",REPT(" ",99)),99)),IF('02_대상물건입력'!B15="",TRUE(),ISNUMBER(SEARCH('02_대상물건입력'!B15,L478)))),1,0))</f>
        <v/>
      </c>
      <c r="R478" s="175">
        <f>IFERROR(ABS(E478-'02_대상물건입력'!B11)/'02_대상물건입력'!B11,"")</f>
        <v/>
      </c>
      <c r="S478" s="152">
        <f>IFERROR(ABS(J478-'02_대상물건입력'!B10),"")</f>
        <v/>
      </c>
      <c r="T478" s="152">
        <f>IFERROR(ABS('01_설정'!B4-F478),"")</f>
        <v/>
      </c>
      <c r="U478" s="152">
        <f>IFERROR(ABS(K478-YEAR('02_대상물건입력'!B14)),"")</f>
        <v/>
      </c>
      <c r="V478" s="152">
        <f>IF(B478="","",IF(AND(E478&gt;0,F478&gt;0,H478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478=1,TRUE()),R478&lt;='01_설정'!B5,S478&lt;='01_설정'!B6,T478&lt;='01_설정'!B7,U478&lt;='01_설정'!B8),"Y",""))</f>
        <v/>
      </c>
      <c r="W478" s="172">
        <f>IF(V478&lt;&gt;"Y","",MAX(0,(1-R478/'01_설정'!B5))*'01_설정'!B14+MAX(0,(1-S478/'01_설정'!B6))*'01_설정'!B15+MAX(0,(1-T478/'01_설정'!B7))*'01_설정'!B16+MAX(0,(1-U478/'01_설정'!B8))*'01_설정'!B17+O478*'01_설정'!B11+Q478*'01_설정'!B12+P478*'01_설정'!B13+IF(Z478="",0,Z478))</f>
        <v/>
      </c>
      <c r="X478" s="152">
        <f>IF(W478="","",1+COUNTIFS($W$4:$W$3003,"&gt;"&amp;W478)+COUNTIFS($W$4:W478,W478)-1)</f>
        <v/>
      </c>
      <c r="Y478" s="175">
        <f>IF(OR(I478="",'02_대상물건입력'!B19="",'02_대상물건입력'!B19&lt;=0),"",ABS(I478-'02_대상물건입력'!B19)/'02_대상물건입력'!B19)</f>
        <v/>
      </c>
      <c r="Z478" s="172">
        <f>IF(OR(Y478="",'01_설정'!B31="",'01_설정'!B31&lt;=0,'01_설정'!B32="",'01_설정'!B32&lt;=0),"",MAX(0,(1-Y478/'01_설정'!B32))*'01_설정'!B31)</f>
        <v/>
      </c>
    </row>
    <row r="479" ht="17.25" customHeight="1">
      <c r="A479" s="152">
        <f>IF(INDEX('04A_국토부원자료'!$A:$A,ROW()+1)="","",ROW()-3)</f>
        <v/>
      </c>
      <c r="B479" s="48">
        <f>IFERROR(INDEX('04A_국토부원자료'!$A:$T,ROW()+1,MATCH("시군구",'04A_국토부원자료'!$A$4:$T$4,0)),"")</f>
        <v/>
      </c>
      <c r="C479" s="48">
        <f>IF(B479="","",IFERROR(INDEX('04A_국토부원자료'!$A:$T,ROW()+1,MATCH("번지",'04A_국토부원자료'!$A$4:$T$4,0)),""))</f>
        <v/>
      </c>
      <c r="D479" s="48">
        <f>IF(B479="","",IF(Q479=1,'02_대상물건입력'!$B$8,IFERROR(INDEX('04A_국토부원자료'!$A:$T,ROW()+1,MATCH("단지명",'04A_국토부원자료'!$A$4:$T$4,0)),"")))</f>
        <v/>
      </c>
      <c r="E479" s="172">
        <f>IFERROR(VALUE(SUBSTITUTE(INDEX('04A_국토부원자료'!$A:$T,ROW()+1,MATCH("전용면적(㎡)",'04A_국토부원자료'!$A$4:$T$4,0)),",","")),"")</f>
        <v/>
      </c>
      <c r="F4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79" s="51">
        <f>IFERROR(VALUE(SUBSTITUTE(INDEX('04A_국토부원자료'!$A:$T,ROW()+1,MATCH("거래금액(만원)",'04A_국토부원자료'!$A$4:$T$4,0)),",","")),"")</f>
        <v/>
      </c>
      <c r="H479" s="174">
        <f>IF(G479="","",G479*10000)</f>
        <v/>
      </c>
      <c r="I479" s="174">
        <f>IFERROR(IF(AND(H479&gt;0,E479&gt;0),H479/E479,""),"")</f>
        <v/>
      </c>
      <c r="J479" s="152">
        <f>IFERROR(VALUE(SUBSTITUTE(INDEX('04A_국토부원자료'!$A:$T,ROW()+1,MATCH("층",'04A_국토부원자료'!$A$4:$T$4,0)),",","")),"")</f>
        <v/>
      </c>
      <c r="K479" s="152">
        <f>IFERROR(VALUE(SUBSTITUTE(INDEX('04A_국토부원자료'!$A:$T,ROW()+1,MATCH("건축년도",'04A_국토부원자료'!$A$4:$T$4,0)),",","")),"")</f>
        <v/>
      </c>
      <c r="L479" s="176">
        <f>IFERROR(INDEX('04A_국토부원자료'!$A:$T,ROW()+1,MATCH("도로명",'04A_국토부원자료'!$A$4:$T$4,0)),"")</f>
        <v/>
      </c>
      <c r="M479" s="48">
        <f>IFERROR(INDEX('04A_국토부원자료'!$A:$T,ROW()+1,MATCH("거래유형",'04A_국토부원자료'!$A$4:$T$4,0)),"")</f>
        <v/>
      </c>
      <c r="N479" s="152">
        <f>IF(B479="","",IF('02_대상물건입력'!B5="",1,IF(ISNUMBER(SEARCH('02_대상물건입력'!B5,B479)),1,0)))</f>
        <v/>
      </c>
      <c r="O479" s="152">
        <f>IF(B479="","",IF('02_대상물건입력'!B6="",1,IF(ISNUMBER(SEARCH('02_대상물건입력'!B6,B479)),1,0)))</f>
        <v/>
      </c>
      <c r="P479" s="152">
        <f>IF(L479="","",IF('02_대상물건입력'!B15="",0,IF(ISNUMBER(SEARCH('02_대상물건입력'!B15,L479)),1,0)))</f>
        <v/>
      </c>
      <c r="Q479" s="152">
        <f>IF(OR(C479="",L479=""),0,IF(AND(TRIM(C479)=TRIM(RIGHT(SUBSTITUTE(TRIM('02_대상물건입력'!$B$7)," ",REPT(" ",99)),99)),IF('02_대상물건입력'!B15="",TRUE(),ISNUMBER(SEARCH('02_대상물건입력'!B15,L479)))),1,0))</f>
        <v/>
      </c>
      <c r="R479" s="175">
        <f>IFERROR(ABS(E479-'02_대상물건입력'!B11)/'02_대상물건입력'!B11,"")</f>
        <v/>
      </c>
      <c r="S479" s="152">
        <f>IFERROR(ABS(J479-'02_대상물건입력'!B10),"")</f>
        <v/>
      </c>
      <c r="T479" s="152">
        <f>IFERROR(ABS('01_설정'!B4-F479),"")</f>
        <v/>
      </c>
      <c r="U479" s="152">
        <f>IFERROR(ABS(K479-YEAR('02_대상물건입력'!B14)),"")</f>
        <v/>
      </c>
      <c r="V479" s="152">
        <f>IF(B479="","",IF(AND(E479&gt;0,F479&gt;0,H479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479=1,TRUE()),R479&lt;='01_설정'!B5,S479&lt;='01_설정'!B6,T479&lt;='01_설정'!B7,U479&lt;='01_설정'!B8),"Y",""))</f>
        <v/>
      </c>
      <c r="W479" s="172">
        <f>IF(V479&lt;&gt;"Y","",MAX(0,(1-R479/'01_설정'!B5))*'01_설정'!B14+MAX(0,(1-S479/'01_설정'!B6))*'01_설정'!B15+MAX(0,(1-T479/'01_설정'!B7))*'01_설정'!B16+MAX(0,(1-U479/'01_설정'!B8))*'01_설정'!B17+O479*'01_설정'!B11+Q479*'01_설정'!B12+P479*'01_설정'!B13+IF(Z479="",0,Z479))</f>
        <v/>
      </c>
      <c r="X479" s="152">
        <f>IF(W479="","",1+COUNTIFS($W$4:$W$3003,"&gt;"&amp;W479)+COUNTIFS($W$4:W479,W479)-1)</f>
        <v/>
      </c>
      <c r="Y479" s="175">
        <f>IF(OR(I479="",'02_대상물건입력'!B19="",'02_대상물건입력'!B19&lt;=0),"",ABS(I479-'02_대상물건입력'!B19)/'02_대상물건입력'!B19)</f>
        <v/>
      </c>
      <c r="Z479" s="172">
        <f>IF(OR(Y479="",'01_설정'!B31="",'01_설정'!B31&lt;=0,'01_설정'!B32="",'01_설정'!B32&lt;=0),"",MAX(0,(1-Y479/'01_설정'!B32))*'01_설정'!B31)</f>
        <v/>
      </c>
    </row>
    <row r="480" ht="17.25" customHeight="1">
      <c r="A480" s="152">
        <f>IF(INDEX('04A_국토부원자료'!$A:$A,ROW()+1)="","",ROW()-3)</f>
        <v/>
      </c>
      <c r="B480" s="48">
        <f>IFERROR(INDEX('04A_국토부원자료'!$A:$T,ROW()+1,MATCH("시군구",'04A_국토부원자료'!$A$4:$T$4,0)),"")</f>
        <v/>
      </c>
      <c r="C480" s="48">
        <f>IF(B480="","",IFERROR(INDEX('04A_국토부원자료'!$A:$T,ROW()+1,MATCH("번지",'04A_국토부원자료'!$A$4:$T$4,0)),""))</f>
        <v/>
      </c>
      <c r="D480" s="48">
        <f>IF(B480="","",IF(Q480=1,'02_대상물건입력'!$B$8,IFERROR(INDEX('04A_국토부원자료'!$A:$T,ROW()+1,MATCH("단지명",'04A_국토부원자료'!$A$4:$T$4,0)),"")))</f>
        <v/>
      </c>
      <c r="E480" s="172">
        <f>IFERROR(VALUE(SUBSTITUTE(INDEX('04A_국토부원자료'!$A:$T,ROW()+1,MATCH("전용면적(㎡)",'04A_국토부원자료'!$A$4:$T$4,0)),",","")),"")</f>
        <v/>
      </c>
      <c r="F4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80" s="51">
        <f>IFERROR(VALUE(SUBSTITUTE(INDEX('04A_국토부원자료'!$A:$T,ROW()+1,MATCH("거래금액(만원)",'04A_국토부원자료'!$A$4:$T$4,0)),",","")),"")</f>
        <v/>
      </c>
      <c r="H480" s="174">
        <f>IF(G480="","",G480*10000)</f>
        <v/>
      </c>
      <c r="I480" s="174">
        <f>IFERROR(IF(AND(H480&gt;0,E480&gt;0),H480/E480,""),"")</f>
        <v/>
      </c>
      <c r="J480" s="152">
        <f>IFERROR(VALUE(SUBSTITUTE(INDEX('04A_국토부원자료'!$A:$T,ROW()+1,MATCH("층",'04A_국토부원자료'!$A$4:$T$4,0)),",","")),"")</f>
        <v/>
      </c>
      <c r="K480" s="152">
        <f>IFERROR(VALUE(SUBSTITUTE(INDEX('04A_국토부원자료'!$A:$T,ROW()+1,MATCH("건축년도",'04A_국토부원자료'!$A$4:$T$4,0)),",","")),"")</f>
        <v/>
      </c>
      <c r="L480" s="176">
        <f>IFERROR(INDEX('04A_국토부원자료'!$A:$T,ROW()+1,MATCH("도로명",'04A_국토부원자료'!$A$4:$T$4,0)),"")</f>
        <v/>
      </c>
      <c r="M480" s="48">
        <f>IFERROR(INDEX('04A_국토부원자료'!$A:$T,ROW()+1,MATCH("거래유형",'04A_국토부원자료'!$A$4:$T$4,0)),"")</f>
        <v/>
      </c>
      <c r="N480" s="152">
        <f>IF(B480="","",IF('02_대상물건입력'!B5="",1,IF(ISNUMBER(SEARCH('02_대상물건입력'!B5,B480)),1,0)))</f>
        <v/>
      </c>
      <c r="O480" s="152">
        <f>IF(B480="","",IF('02_대상물건입력'!B6="",1,IF(ISNUMBER(SEARCH('02_대상물건입력'!B6,B480)),1,0)))</f>
        <v/>
      </c>
      <c r="P480" s="152">
        <f>IF(L480="","",IF('02_대상물건입력'!B15="",0,IF(ISNUMBER(SEARCH('02_대상물건입력'!B15,L480)),1,0)))</f>
        <v/>
      </c>
      <c r="Q480" s="152">
        <f>IF(OR(C480="",L480=""),0,IF(AND(TRIM(C480)=TRIM(RIGHT(SUBSTITUTE(TRIM('02_대상물건입력'!$B$7)," ",REPT(" ",99)),99)),IF('02_대상물건입력'!B15="",TRUE(),ISNUMBER(SEARCH('02_대상물건입력'!B15,L480)))),1,0))</f>
        <v/>
      </c>
      <c r="R480" s="175">
        <f>IFERROR(ABS(E480-'02_대상물건입력'!B11)/'02_대상물건입력'!B11,"")</f>
        <v/>
      </c>
      <c r="S480" s="152">
        <f>IFERROR(ABS(J480-'02_대상물건입력'!B10),"")</f>
        <v/>
      </c>
      <c r="T480" s="152">
        <f>IFERROR(ABS('01_설정'!B4-F480),"")</f>
        <v/>
      </c>
      <c r="U480" s="152">
        <f>IFERROR(ABS(K480-YEAR('02_대상물건입력'!B14)),"")</f>
        <v/>
      </c>
      <c r="V480" s="152">
        <f>IF(B480="","",IF(AND(E480&gt;0,F480&gt;0,H480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480=1,TRUE()),R480&lt;='01_설정'!B5,S480&lt;='01_설정'!B6,T480&lt;='01_설정'!B7,U480&lt;='01_설정'!B8),"Y",""))</f>
        <v/>
      </c>
      <c r="W480" s="172">
        <f>IF(V480&lt;&gt;"Y","",MAX(0,(1-R480/'01_설정'!B5))*'01_설정'!B14+MAX(0,(1-S480/'01_설정'!B6))*'01_설정'!B15+MAX(0,(1-T480/'01_설정'!B7))*'01_설정'!B16+MAX(0,(1-U480/'01_설정'!B8))*'01_설정'!B17+O480*'01_설정'!B11+Q480*'01_설정'!B12+P480*'01_설정'!B13+IF(Z480="",0,Z480))</f>
        <v/>
      </c>
      <c r="X480" s="152">
        <f>IF(W480="","",1+COUNTIFS($W$4:$W$3003,"&gt;"&amp;W480)+COUNTIFS($W$4:W480,W480)-1)</f>
        <v/>
      </c>
      <c r="Y480" s="175">
        <f>IF(OR(I480="",'02_대상물건입력'!B19="",'02_대상물건입력'!B19&lt;=0),"",ABS(I480-'02_대상물건입력'!B19)/'02_대상물건입력'!B19)</f>
        <v/>
      </c>
      <c r="Z480" s="172">
        <f>IF(OR(Y480="",'01_설정'!B31="",'01_설정'!B31&lt;=0,'01_설정'!B32="",'01_설정'!B32&lt;=0),"",MAX(0,(1-Y480/'01_설정'!B32))*'01_설정'!B31)</f>
        <v/>
      </c>
    </row>
    <row r="481" ht="17.25" customHeight="1">
      <c r="A481" s="152">
        <f>IF(INDEX('04A_국토부원자료'!$A:$A,ROW()+1)="","",ROW()-3)</f>
        <v/>
      </c>
      <c r="B481" s="48">
        <f>IFERROR(INDEX('04A_국토부원자료'!$A:$T,ROW()+1,MATCH("시군구",'04A_국토부원자료'!$A$4:$T$4,0)),"")</f>
        <v/>
      </c>
      <c r="C481" s="48">
        <f>IF(B481="","",IFERROR(INDEX('04A_국토부원자료'!$A:$T,ROW()+1,MATCH("번지",'04A_국토부원자료'!$A$4:$T$4,0)),""))</f>
        <v/>
      </c>
      <c r="D481" s="48">
        <f>IF(B481="","",IF(Q481=1,'02_대상물건입력'!$B$8,IFERROR(INDEX('04A_국토부원자료'!$A:$T,ROW()+1,MATCH("단지명",'04A_국토부원자료'!$A$4:$T$4,0)),"")))</f>
        <v/>
      </c>
      <c r="E481" s="172">
        <f>IFERROR(VALUE(SUBSTITUTE(INDEX('04A_국토부원자료'!$A:$T,ROW()+1,MATCH("전용면적(㎡)",'04A_국토부원자료'!$A$4:$T$4,0)),",","")),"")</f>
        <v/>
      </c>
      <c r="F4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81" s="51">
        <f>IFERROR(VALUE(SUBSTITUTE(INDEX('04A_국토부원자료'!$A:$T,ROW()+1,MATCH("거래금액(만원)",'04A_국토부원자료'!$A$4:$T$4,0)),",","")),"")</f>
        <v/>
      </c>
      <c r="H481" s="174">
        <f>IF(G481="","",G481*10000)</f>
        <v/>
      </c>
      <c r="I481" s="174">
        <f>IFERROR(IF(AND(H481&gt;0,E481&gt;0),H481/E481,""),"")</f>
        <v/>
      </c>
      <c r="J481" s="152">
        <f>IFERROR(VALUE(SUBSTITUTE(INDEX('04A_국토부원자료'!$A:$T,ROW()+1,MATCH("층",'04A_국토부원자료'!$A$4:$T$4,0)),",","")),"")</f>
        <v/>
      </c>
      <c r="K481" s="152">
        <f>IFERROR(VALUE(SUBSTITUTE(INDEX('04A_국토부원자료'!$A:$T,ROW()+1,MATCH("건축년도",'04A_국토부원자료'!$A$4:$T$4,0)),",","")),"")</f>
        <v/>
      </c>
      <c r="L481" s="176">
        <f>IFERROR(INDEX('04A_국토부원자료'!$A:$T,ROW()+1,MATCH("도로명",'04A_국토부원자료'!$A$4:$T$4,0)),"")</f>
        <v/>
      </c>
      <c r="M481" s="48">
        <f>IFERROR(INDEX('04A_국토부원자료'!$A:$T,ROW()+1,MATCH("거래유형",'04A_국토부원자료'!$A$4:$T$4,0)),"")</f>
        <v/>
      </c>
      <c r="N481" s="152">
        <f>IF(B481="","",IF('02_대상물건입력'!B5="",1,IF(ISNUMBER(SEARCH('02_대상물건입력'!B5,B481)),1,0)))</f>
        <v/>
      </c>
      <c r="O481" s="152">
        <f>IF(B481="","",IF('02_대상물건입력'!B6="",1,IF(ISNUMBER(SEARCH('02_대상물건입력'!B6,B481)),1,0)))</f>
        <v/>
      </c>
      <c r="P481" s="152">
        <f>IF(L481="","",IF('02_대상물건입력'!B15="",0,IF(ISNUMBER(SEARCH('02_대상물건입력'!B15,L481)),1,0)))</f>
        <v/>
      </c>
      <c r="Q481" s="152">
        <f>IF(OR(C481="",L481=""),0,IF(AND(TRIM(C481)=TRIM(RIGHT(SUBSTITUTE(TRIM('02_대상물건입력'!$B$7)," ",REPT(" ",99)),99)),IF('02_대상물건입력'!B15="",TRUE(),ISNUMBER(SEARCH('02_대상물건입력'!B15,L481)))),1,0))</f>
        <v/>
      </c>
      <c r="R481" s="175">
        <f>IFERROR(ABS(E481-'02_대상물건입력'!B11)/'02_대상물건입력'!B11,"")</f>
        <v/>
      </c>
      <c r="S481" s="152">
        <f>IFERROR(ABS(J481-'02_대상물건입력'!B10),"")</f>
        <v/>
      </c>
      <c r="T481" s="152">
        <f>IFERROR(ABS('01_설정'!B4-F481),"")</f>
        <v/>
      </c>
      <c r="U481" s="152">
        <f>IFERROR(ABS(K481-YEAR('02_대상물건입력'!B14)),"")</f>
        <v/>
      </c>
      <c r="V481" s="152">
        <f>IF(B481="","",IF(AND(E481&gt;0,F481&gt;0,H481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481=1,TRUE()),R481&lt;='01_설정'!B5,S481&lt;='01_설정'!B6,T481&lt;='01_설정'!B7,U481&lt;='01_설정'!B8),"Y",""))</f>
        <v/>
      </c>
      <c r="W481" s="172">
        <f>IF(V481&lt;&gt;"Y","",MAX(0,(1-R481/'01_설정'!B5))*'01_설정'!B14+MAX(0,(1-S481/'01_설정'!B6))*'01_설정'!B15+MAX(0,(1-T481/'01_설정'!B7))*'01_설정'!B16+MAX(0,(1-U481/'01_설정'!B8))*'01_설정'!B17+O481*'01_설정'!B11+Q481*'01_설정'!B12+P481*'01_설정'!B13+IF(Z481="",0,Z481))</f>
        <v/>
      </c>
      <c r="X481" s="152">
        <f>IF(W481="","",1+COUNTIFS($W$4:$W$3003,"&gt;"&amp;W481)+COUNTIFS($W$4:W481,W481)-1)</f>
        <v/>
      </c>
      <c r="Y481" s="175">
        <f>IF(OR(I481="",'02_대상물건입력'!B19="",'02_대상물건입력'!B19&lt;=0),"",ABS(I481-'02_대상물건입력'!B19)/'02_대상물건입력'!B19)</f>
        <v/>
      </c>
      <c r="Z481" s="172">
        <f>IF(OR(Y481="",'01_설정'!B31="",'01_설정'!B31&lt;=0,'01_설정'!B32="",'01_설정'!B32&lt;=0),"",MAX(0,(1-Y481/'01_설정'!B32))*'01_설정'!B31)</f>
        <v/>
      </c>
    </row>
    <row r="482" ht="17.25" customHeight="1">
      <c r="A482" s="152">
        <f>IF(INDEX('04A_국토부원자료'!$A:$A,ROW()+1)="","",ROW()-3)</f>
        <v/>
      </c>
      <c r="B482" s="48">
        <f>IFERROR(INDEX('04A_국토부원자료'!$A:$T,ROW()+1,MATCH("시군구",'04A_국토부원자료'!$A$4:$T$4,0)),"")</f>
        <v/>
      </c>
      <c r="C482" s="48">
        <f>IF(B482="","",IFERROR(INDEX('04A_국토부원자료'!$A:$T,ROW()+1,MATCH("번지",'04A_국토부원자료'!$A$4:$T$4,0)),""))</f>
        <v/>
      </c>
      <c r="D482" s="48">
        <f>IF(B482="","",IF(Q482=1,'02_대상물건입력'!$B$8,IFERROR(INDEX('04A_국토부원자료'!$A:$T,ROW()+1,MATCH("단지명",'04A_국토부원자료'!$A$4:$T$4,0)),"")))</f>
        <v/>
      </c>
      <c r="E482" s="172">
        <f>IFERROR(VALUE(SUBSTITUTE(INDEX('04A_국토부원자료'!$A:$T,ROW()+1,MATCH("전용면적(㎡)",'04A_국토부원자료'!$A$4:$T$4,0)),",","")),"")</f>
        <v/>
      </c>
      <c r="F4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82" s="51">
        <f>IFERROR(VALUE(SUBSTITUTE(INDEX('04A_국토부원자료'!$A:$T,ROW()+1,MATCH("거래금액(만원)",'04A_국토부원자료'!$A$4:$T$4,0)),",","")),"")</f>
        <v/>
      </c>
      <c r="H482" s="174">
        <f>IF(G482="","",G482*10000)</f>
        <v/>
      </c>
      <c r="I482" s="174">
        <f>IFERROR(IF(AND(H482&gt;0,E482&gt;0),H482/E482,""),"")</f>
        <v/>
      </c>
      <c r="J482" s="152">
        <f>IFERROR(VALUE(SUBSTITUTE(INDEX('04A_국토부원자료'!$A:$T,ROW()+1,MATCH("층",'04A_국토부원자료'!$A$4:$T$4,0)),",","")),"")</f>
        <v/>
      </c>
      <c r="K482" s="152">
        <f>IFERROR(VALUE(SUBSTITUTE(INDEX('04A_국토부원자료'!$A:$T,ROW()+1,MATCH("건축년도",'04A_국토부원자료'!$A$4:$T$4,0)),",","")),"")</f>
        <v/>
      </c>
      <c r="L482" s="176">
        <f>IFERROR(INDEX('04A_국토부원자료'!$A:$T,ROW()+1,MATCH("도로명",'04A_국토부원자료'!$A$4:$T$4,0)),"")</f>
        <v/>
      </c>
      <c r="M482" s="48">
        <f>IFERROR(INDEX('04A_국토부원자료'!$A:$T,ROW()+1,MATCH("거래유형",'04A_국토부원자료'!$A$4:$T$4,0)),"")</f>
        <v/>
      </c>
      <c r="N482" s="152">
        <f>IF(B482="","",IF('02_대상물건입력'!B5="",1,IF(ISNUMBER(SEARCH('02_대상물건입력'!B5,B482)),1,0)))</f>
        <v/>
      </c>
      <c r="O482" s="152">
        <f>IF(B482="","",IF('02_대상물건입력'!B6="",1,IF(ISNUMBER(SEARCH('02_대상물건입력'!B6,B482)),1,0)))</f>
        <v/>
      </c>
      <c r="P482" s="152">
        <f>IF(L482="","",IF('02_대상물건입력'!B15="",0,IF(ISNUMBER(SEARCH('02_대상물건입력'!B15,L482)),1,0)))</f>
        <v/>
      </c>
      <c r="Q482" s="152">
        <f>IF(OR(C482="",L482=""),0,IF(AND(TRIM(C482)=TRIM(RIGHT(SUBSTITUTE(TRIM('02_대상물건입력'!$B$7)," ",REPT(" ",99)),99)),IF('02_대상물건입력'!B15="",TRUE(),ISNUMBER(SEARCH('02_대상물건입력'!B15,L482)))),1,0))</f>
        <v/>
      </c>
      <c r="R482" s="175">
        <f>IFERROR(ABS(E482-'02_대상물건입력'!B11)/'02_대상물건입력'!B11,"")</f>
        <v/>
      </c>
      <c r="S482" s="152">
        <f>IFERROR(ABS(J482-'02_대상물건입력'!B10),"")</f>
        <v/>
      </c>
      <c r="T482" s="152">
        <f>IFERROR(ABS('01_설정'!B4-F482),"")</f>
        <v/>
      </c>
      <c r="U482" s="152">
        <f>IFERROR(ABS(K482-YEAR('02_대상물건입력'!B14)),"")</f>
        <v/>
      </c>
      <c r="V482" s="152">
        <f>IF(B482="","",IF(AND(E482&gt;0,F482&gt;0,H482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482=1,TRUE()),R482&lt;='01_설정'!B5,S482&lt;='01_설정'!B6,T482&lt;='01_설정'!B7,U482&lt;='01_설정'!B8),"Y",""))</f>
        <v/>
      </c>
      <c r="W482" s="172">
        <f>IF(V482&lt;&gt;"Y","",MAX(0,(1-R482/'01_설정'!B5))*'01_설정'!B14+MAX(0,(1-S482/'01_설정'!B6))*'01_설정'!B15+MAX(0,(1-T482/'01_설정'!B7))*'01_설정'!B16+MAX(0,(1-U482/'01_설정'!B8))*'01_설정'!B17+O482*'01_설정'!B11+Q482*'01_설정'!B12+P482*'01_설정'!B13+IF(Z482="",0,Z482))</f>
        <v/>
      </c>
      <c r="X482" s="152">
        <f>IF(W482="","",1+COUNTIFS($W$4:$W$3003,"&gt;"&amp;W482)+COUNTIFS($W$4:W482,W482)-1)</f>
        <v/>
      </c>
      <c r="Y482" s="175">
        <f>IF(OR(I482="",'02_대상물건입력'!B19="",'02_대상물건입력'!B19&lt;=0),"",ABS(I482-'02_대상물건입력'!B19)/'02_대상물건입력'!B19)</f>
        <v/>
      </c>
      <c r="Z482" s="172">
        <f>IF(OR(Y482="",'01_설정'!B31="",'01_설정'!B31&lt;=0,'01_설정'!B32="",'01_설정'!B32&lt;=0),"",MAX(0,(1-Y482/'01_설정'!B32))*'01_설정'!B31)</f>
        <v/>
      </c>
    </row>
    <row r="483" ht="17.25" customHeight="1">
      <c r="A483" s="152">
        <f>IF(INDEX('04A_국토부원자료'!$A:$A,ROW()+1)="","",ROW()-3)</f>
        <v/>
      </c>
      <c r="B483" s="48">
        <f>IFERROR(INDEX('04A_국토부원자료'!$A:$T,ROW()+1,MATCH("시군구",'04A_국토부원자료'!$A$4:$T$4,0)),"")</f>
        <v/>
      </c>
      <c r="C483" s="48">
        <f>IF(B483="","",IFERROR(INDEX('04A_국토부원자료'!$A:$T,ROW()+1,MATCH("번지",'04A_국토부원자료'!$A$4:$T$4,0)),""))</f>
        <v/>
      </c>
      <c r="D483" s="48">
        <f>IF(B483="","",IF(Q483=1,'02_대상물건입력'!$B$8,IFERROR(INDEX('04A_국토부원자료'!$A:$T,ROW()+1,MATCH("단지명",'04A_국토부원자료'!$A$4:$T$4,0)),"")))</f>
        <v/>
      </c>
      <c r="E483" s="172">
        <f>IFERROR(VALUE(SUBSTITUTE(INDEX('04A_국토부원자료'!$A:$T,ROW()+1,MATCH("전용면적(㎡)",'04A_국토부원자료'!$A$4:$T$4,0)),",","")),"")</f>
        <v/>
      </c>
      <c r="F4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83" s="51">
        <f>IFERROR(VALUE(SUBSTITUTE(INDEX('04A_국토부원자료'!$A:$T,ROW()+1,MATCH("거래금액(만원)",'04A_국토부원자료'!$A$4:$T$4,0)),",","")),"")</f>
        <v/>
      </c>
      <c r="H483" s="174">
        <f>IF(G483="","",G483*10000)</f>
        <v/>
      </c>
      <c r="I483" s="174">
        <f>IFERROR(IF(AND(H483&gt;0,E483&gt;0),H483/E483,""),"")</f>
        <v/>
      </c>
      <c r="J483" s="152">
        <f>IFERROR(VALUE(SUBSTITUTE(INDEX('04A_국토부원자료'!$A:$T,ROW()+1,MATCH("층",'04A_국토부원자료'!$A$4:$T$4,0)),",","")),"")</f>
        <v/>
      </c>
      <c r="K483" s="152">
        <f>IFERROR(VALUE(SUBSTITUTE(INDEX('04A_국토부원자료'!$A:$T,ROW()+1,MATCH("건축년도",'04A_국토부원자료'!$A$4:$T$4,0)),",","")),"")</f>
        <v/>
      </c>
      <c r="L483" s="176">
        <f>IFERROR(INDEX('04A_국토부원자료'!$A:$T,ROW()+1,MATCH("도로명",'04A_국토부원자료'!$A$4:$T$4,0)),"")</f>
        <v/>
      </c>
      <c r="M483" s="48">
        <f>IFERROR(INDEX('04A_국토부원자료'!$A:$T,ROW()+1,MATCH("거래유형",'04A_국토부원자료'!$A$4:$T$4,0)),"")</f>
        <v/>
      </c>
      <c r="N483" s="152">
        <f>IF(B483="","",IF('02_대상물건입력'!B5="",1,IF(ISNUMBER(SEARCH('02_대상물건입력'!B5,B483)),1,0)))</f>
        <v/>
      </c>
      <c r="O483" s="152">
        <f>IF(B483="","",IF('02_대상물건입력'!B6="",1,IF(ISNUMBER(SEARCH('02_대상물건입력'!B6,B483)),1,0)))</f>
        <v/>
      </c>
      <c r="P483" s="152">
        <f>IF(L483="","",IF('02_대상물건입력'!B15="",0,IF(ISNUMBER(SEARCH('02_대상물건입력'!B15,L483)),1,0)))</f>
        <v/>
      </c>
      <c r="Q483" s="152">
        <f>IF(OR(C483="",L483=""),0,IF(AND(TRIM(C483)=TRIM(RIGHT(SUBSTITUTE(TRIM('02_대상물건입력'!$B$7)," ",REPT(" ",99)),99)),IF('02_대상물건입력'!B15="",TRUE(),ISNUMBER(SEARCH('02_대상물건입력'!B15,L483)))),1,0))</f>
        <v/>
      </c>
      <c r="R483" s="175">
        <f>IFERROR(ABS(E483-'02_대상물건입력'!B11)/'02_대상물건입력'!B11,"")</f>
        <v/>
      </c>
      <c r="S483" s="152">
        <f>IFERROR(ABS(J483-'02_대상물건입력'!B10),"")</f>
        <v/>
      </c>
      <c r="T483" s="152">
        <f>IFERROR(ABS('01_설정'!B4-F483),"")</f>
        <v/>
      </c>
      <c r="U483" s="152">
        <f>IFERROR(ABS(K483-YEAR('02_대상물건입력'!B14)),"")</f>
        <v/>
      </c>
      <c r="V483" s="152">
        <f>IF(B483="","",IF(AND(E483&gt;0,F483&gt;0,H483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483=1,TRUE()),R483&lt;='01_설정'!B5,S483&lt;='01_설정'!B6,T483&lt;='01_설정'!B7,U483&lt;='01_설정'!B8),"Y",""))</f>
        <v/>
      </c>
      <c r="W483" s="172">
        <f>IF(V483&lt;&gt;"Y","",MAX(0,(1-R483/'01_설정'!B5))*'01_설정'!B14+MAX(0,(1-S483/'01_설정'!B6))*'01_설정'!B15+MAX(0,(1-T483/'01_설정'!B7))*'01_설정'!B16+MAX(0,(1-U483/'01_설정'!B8))*'01_설정'!B17+O483*'01_설정'!B11+Q483*'01_설정'!B12+P483*'01_설정'!B13+IF(Z483="",0,Z483))</f>
        <v/>
      </c>
      <c r="X483" s="152">
        <f>IF(W483="","",1+COUNTIFS($W$4:$W$3003,"&gt;"&amp;W483)+COUNTIFS($W$4:W483,W483)-1)</f>
        <v/>
      </c>
      <c r="Y483" s="175">
        <f>IF(OR(I483="",'02_대상물건입력'!B19="",'02_대상물건입력'!B19&lt;=0),"",ABS(I483-'02_대상물건입력'!B19)/'02_대상물건입력'!B19)</f>
        <v/>
      </c>
      <c r="Z483" s="172">
        <f>IF(OR(Y483="",'01_설정'!B31="",'01_설정'!B31&lt;=0,'01_설정'!B32="",'01_설정'!B32&lt;=0),"",MAX(0,(1-Y483/'01_설정'!B32))*'01_설정'!B31)</f>
        <v/>
      </c>
    </row>
    <row r="484" ht="17.25" customHeight="1">
      <c r="A484" s="152">
        <f>IF(INDEX('04A_국토부원자료'!$A:$A,ROW()+1)="","",ROW()-3)</f>
        <v/>
      </c>
      <c r="B484" s="48">
        <f>IFERROR(INDEX('04A_국토부원자료'!$A:$T,ROW()+1,MATCH("시군구",'04A_국토부원자료'!$A$4:$T$4,0)),"")</f>
        <v/>
      </c>
      <c r="C484" s="48">
        <f>IF(B484="","",IFERROR(INDEX('04A_국토부원자료'!$A:$T,ROW()+1,MATCH("번지",'04A_국토부원자료'!$A$4:$T$4,0)),""))</f>
        <v/>
      </c>
      <c r="D484" s="48">
        <f>IF(B484="","",IF(Q484=1,'02_대상물건입력'!$B$8,IFERROR(INDEX('04A_국토부원자료'!$A:$T,ROW()+1,MATCH("단지명",'04A_국토부원자료'!$A$4:$T$4,0)),"")))</f>
        <v/>
      </c>
      <c r="E484" s="172">
        <f>IFERROR(VALUE(SUBSTITUTE(INDEX('04A_국토부원자료'!$A:$T,ROW()+1,MATCH("전용면적(㎡)",'04A_국토부원자료'!$A$4:$T$4,0)),",","")),"")</f>
        <v/>
      </c>
      <c r="F4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84" s="51">
        <f>IFERROR(VALUE(SUBSTITUTE(INDEX('04A_국토부원자료'!$A:$T,ROW()+1,MATCH("거래금액(만원)",'04A_국토부원자료'!$A$4:$T$4,0)),",","")),"")</f>
        <v/>
      </c>
      <c r="H484" s="174">
        <f>IF(G484="","",G484*10000)</f>
        <v/>
      </c>
      <c r="I484" s="174">
        <f>IFERROR(IF(AND(H484&gt;0,E484&gt;0),H484/E484,""),"")</f>
        <v/>
      </c>
      <c r="J484" s="152">
        <f>IFERROR(VALUE(SUBSTITUTE(INDEX('04A_국토부원자료'!$A:$T,ROW()+1,MATCH("층",'04A_국토부원자료'!$A$4:$T$4,0)),",","")),"")</f>
        <v/>
      </c>
      <c r="K484" s="152">
        <f>IFERROR(VALUE(SUBSTITUTE(INDEX('04A_국토부원자료'!$A:$T,ROW()+1,MATCH("건축년도",'04A_국토부원자료'!$A$4:$T$4,0)),",","")),"")</f>
        <v/>
      </c>
      <c r="L484" s="176">
        <f>IFERROR(INDEX('04A_국토부원자료'!$A:$T,ROW()+1,MATCH("도로명",'04A_국토부원자료'!$A$4:$T$4,0)),"")</f>
        <v/>
      </c>
      <c r="M484" s="48">
        <f>IFERROR(INDEX('04A_국토부원자료'!$A:$T,ROW()+1,MATCH("거래유형",'04A_국토부원자료'!$A$4:$T$4,0)),"")</f>
        <v/>
      </c>
      <c r="N484" s="152">
        <f>IF(B484="","",IF('02_대상물건입력'!B5="",1,IF(ISNUMBER(SEARCH('02_대상물건입력'!B5,B484)),1,0)))</f>
        <v/>
      </c>
      <c r="O484" s="152">
        <f>IF(B484="","",IF('02_대상물건입력'!B6="",1,IF(ISNUMBER(SEARCH('02_대상물건입력'!B6,B484)),1,0)))</f>
        <v/>
      </c>
      <c r="P484" s="152">
        <f>IF(L484="","",IF('02_대상물건입력'!B15="",0,IF(ISNUMBER(SEARCH('02_대상물건입력'!B15,L484)),1,0)))</f>
        <v/>
      </c>
      <c r="Q484" s="152">
        <f>IF(OR(C484="",L484=""),0,IF(AND(TRIM(C484)=TRIM(RIGHT(SUBSTITUTE(TRIM('02_대상물건입력'!$B$7)," ",REPT(" ",99)),99)),IF('02_대상물건입력'!B15="",TRUE(),ISNUMBER(SEARCH('02_대상물건입력'!B15,L484)))),1,0))</f>
        <v/>
      </c>
      <c r="R484" s="175">
        <f>IFERROR(ABS(E484-'02_대상물건입력'!B11)/'02_대상물건입력'!B11,"")</f>
        <v/>
      </c>
      <c r="S484" s="152">
        <f>IFERROR(ABS(J484-'02_대상물건입력'!B10),"")</f>
        <v/>
      </c>
      <c r="T484" s="152">
        <f>IFERROR(ABS('01_설정'!B4-F484),"")</f>
        <v/>
      </c>
      <c r="U484" s="152">
        <f>IFERROR(ABS(K484-YEAR('02_대상물건입력'!B14)),"")</f>
        <v/>
      </c>
      <c r="V484" s="152">
        <f>IF(B484="","",IF(AND(E484&gt;0,F484&gt;0,H484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484=1,TRUE()),R484&lt;='01_설정'!B5,S484&lt;='01_설정'!B6,T484&lt;='01_설정'!B7,U484&lt;='01_설정'!B8),"Y",""))</f>
        <v/>
      </c>
      <c r="W484" s="172">
        <f>IF(V484&lt;&gt;"Y","",MAX(0,(1-R484/'01_설정'!B5))*'01_설정'!B14+MAX(0,(1-S484/'01_설정'!B6))*'01_설정'!B15+MAX(0,(1-T484/'01_설정'!B7))*'01_설정'!B16+MAX(0,(1-U484/'01_설정'!B8))*'01_설정'!B17+O484*'01_설정'!B11+Q484*'01_설정'!B12+P484*'01_설정'!B13+IF(Z484="",0,Z484))</f>
        <v/>
      </c>
      <c r="X484" s="152">
        <f>IF(W484="","",1+COUNTIFS($W$4:$W$3003,"&gt;"&amp;W484)+COUNTIFS($W$4:W484,W484)-1)</f>
        <v/>
      </c>
      <c r="Y484" s="175">
        <f>IF(OR(I484="",'02_대상물건입력'!B19="",'02_대상물건입력'!B19&lt;=0),"",ABS(I484-'02_대상물건입력'!B19)/'02_대상물건입력'!B19)</f>
        <v/>
      </c>
      <c r="Z484" s="172">
        <f>IF(OR(Y484="",'01_설정'!B31="",'01_설정'!B31&lt;=0,'01_설정'!B32="",'01_설정'!B32&lt;=0),"",MAX(0,(1-Y484/'01_설정'!B32))*'01_설정'!B31)</f>
        <v/>
      </c>
    </row>
    <row r="485" ht="17.25" customHeight="1">
      <c r="A485" s="152">
        <f>IF(INDEX('04A_국토부원자료'!$A:$A,ROW()+1)="","",ROW()-3)</f>
        <v/>
      </c>
      <c r="B485" s="48">
        <f>IFERROR(INDEX('04A_국토부원자료'!$A:$T,ROW()+1,MATCH("시군구",'04A_국토부원자료'!$A$4:$T$4,0)),"")</f>
        <v/>
      </c>
      <c r="C485" s="48">
        <f>IF(B485="","",IFERROR(INDEX('04A_국토부원자료'!$A:$T,ROW()+1,MATCH("번지",'04A_국토부원자료'!$A$4:$T$4,0)),""))</f>
        <v/>
      </c>
      <c r="D485" s="48">
        <f>IF(B485="","",IF(Q485=1,'02_대상물건입력'!$B$8,IFERROR(INDEX('04A_국토부원자료'!$A:$T,ROW()+1,MATCH("단지명",'04A_국토부원자료'!$A$4:$T$4,0)),"")))</f>
        <v/>
      </c>
      <c r="E485" s="172">
        <f>IFERROR(VALUE(SUBSTITUTE(INDEX('04A_국토부원자료'!$A:$T,ROW()+1,MATCH("전용면적(㎡)",'04A_국토부원자료'!$A$4:$T$4,0)),",","")),"")</f>
        <v/>
      </c>
      <c r="F4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85" s="51">
        <f>IFERROR(VALUE(SUBSTITUTE(INDEX('04A_국토부원자료'!$A:$T,ROW()+1,MATCH("거래금액(만원)",'04A_국토부원자료'!$A$4:$T$4,0)),",","")),"")</f>
        <v/>
      </c>
      <c r="H485" s="174">
        <f>IF(G485="","",G485*10000)</f>
        <v/>
      </c>
      <c r="I485" s="174">
        <f>IFERROR(IF(AND(H485&gt;0,E485&gt;0),H485/E485,""),"")</f>
        <v/>
      </c>
      <c r="J485" s="152">
        <f>IFERROR(VALUE(SUBSTITUTE(INDEX('04A_국토부원자료'!$A:$T,ROW()+1,MATCH("층",'04A_국토부원자료'!$A$4:$T$4,0)),",","")),"")</f>
        <v/>
      </c>
      <c r="K485" s="152">
        <f>IFERROR(VALUE(SUBSTITUTE(INDEX('04A_국토부원자료'!$A:$T,ROW()+1,MATCH("건축년도",'04A_국토부원자료'!$A$4:$T$4,0)),",","")),"")</f>
        <v/>
      </c>
      <c r="L485" s="176">
        <f>IFERROR(INDEX('04A_국토부원자료'!$A:$T,ROW()+1,MATCH("도로명",'04A_국토부원자료'!$A$4:$T$4,0)),"")</f>
        <v/>
      </c>
      <c r="M485" s="48">
        <f>IFERROR(INDEX('04A_국토부원자료'!$A:$T,ROW()+1,MATCH("거래유형",'04A_국토부원자료'!$A$4:$T$4,0)),"")</f>
        <v/>
      </c>
      <c r="N485" s="152">
        <f>IF(B485="","",IF('02_대상물건입력'!B5="",1,IF(ISNUMBER(SEARCH('02_대상물건입력'!B5,B485)),1,0)))</f>
        <v/>
      </c>
      <c r="O485" s="152">
        <f>IF(B485="","",IF('02_대상물건입력'!B6="",1,IF(ISNUMBER(SEARCH('02_대상물건입력'!B6,B485)),1,0)))</f>
        <v/>
      </c>
      <c r="P485" s="152">
        <f>IF(L485="","",IF('02_대상물건입력'!B15="",0,IF(ISNUMBER(SEARCH('02_대상물건입력'!B15,L485)),1,0)))</f>
        <v/>
      </c>
      <c r="Q485" s="152">
        <f>IF(OR(C485="",L485=""),0,IF(AND(TRIM(C485)=TRIM(RIGHT(SUBSTITUTE(TRIM('02_대상물건입력'!$B$7)," ",REPT(" ",99)),99)),IF('02_대상물건입력'!B15="",TRUE(),ISNUMBER(SEARCH('02_대상물건입력'!B15,L485)))),1,0))</f>
        <v/>
      </c>
      <c r="R485" s="175">
        <f>IFERROR(ABS(E485-'02_대상물건입력'!B11)/'02_대상물건입력'!B11,"")</f>
        <v/>
      </c>
      <c r="S485" s="152">
        <f>IFERROR(ABS(J485-'02_대상물건입력'!B10),"")</f>
        <v/>
      </c>
      <c r="T485" s="152">
        <f>IFERROR(ABS('01_설정'!B4-F485),"")</f>
        <v/>
      </c>
      <c r="U485" s="152">
        <f>IFERROR(ABS(K485-YEAR('02_대상물건입력'!B14)),"")</f>
        <v/>
      </c>
      <c r="V485" s="152">
        <f>IF(B485="","",IF(AND(E485&gt;0,F485&gt;0,H485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485=1,TRUE()),R485&lt;='01_설정'!B5,S485&lt;='01_설정'!B6,T485&lt;='01_설정'!B7,U485&lt;='01_설정'!B8),"Y",""))</f>
        <v/>
      </c>
      <c r="W485" s="172">
        <f>IF(V485&lt;&gt;"Y","",MAX(0,(1-R485/'01_설정'!B5))*'01_설정'!B14+MAX(0,(1-S485/'01_설정'!B6))*'01_설정'!B15+MAX(0,(1-T485/'01_설정'!B7))*'01_설정'!B16+MAX(0,(1-U485/'01_설정'!B8))*'01_설정'!B17+O485*'01_설정'!B11+Q485*'01_설정'!B12+P485*'01_설정'!B13+IF(Z485="",0,Z485))</f>
        <v/>
      </c>
      <c r="X485" s="152">
        <f>IF(W485="","",1+COUNTIFS($W$4:$W$3003,"&gt;"&amp;W485)+COUNTIFS($W$4:W485,W485)-1)</f>
        <v/>
      </c>
      <c r="Y485" s="175">
        <f>IF(OR(I485="",'02_대상물건입력'!B19="",'02_대상물건입력'!B19&lt;=0),"",ABS(I485-'02_대상물건입력'!B19)/'02_대상물건입력'!B19)</f>
        <v/>
      </c>
      <c r="Z485" s="172">
        <f>IF(OR(Y485="",'01_설정'!B31="",'01_설정'!B31&lt;=0,'01_설정'!B32="",'01_설정'!B32&lt;=0),"",MAX(0,(1-Y485/'01_설정'!B32))*'01_설정'!B31)</f>
        <v/>
      </c>
    </row>
    <row r="486" ht="17.25" customHeight="1">
      <c r="A486" s="152">
        <f>IF(INDEX('04A_국토부원자료'!$A:$A,ROW()+1)="","",ROW()-3)</f>
        <v/>
      </c>
      <c r="B486" s="48">
        <f>IFERROR(INDEX('04A_국토부원자료'!$A:$T,ROW()+1,MATCH("시군구",'04A_국토부원자료'!$A$4:$T$4,0)),"")</f>
        <v/>
      </c>
      <c r="C486" s="48">
        <f>IF(B486="","",IFERROR(INDEX('04A_국토부원자료'!$A:$T,ROW()+1,MATCH("번지",'04A_국토부원자료'!$A$4:$T$4,0)),""))</f>
        <v/>
      </c>
      <c r="D486" s="48">
        <f>IF(B486="","",IF(Q486=1,'02_대상물건입력'!$B$8,IFERROR(INDEX('04A_국토부원자료'!$A:$T,ROW()+1,MATCH("단지명",'04A_국토부원자료'!$A$4:$T$4,0)),"")))</f>
        <v/>
      </c>
      <c r="E486" s="172">
        <f>IFERROR(VALUE(SUBSTITUTE(INDEX('04A_국토부원자료'!$A:$T,ROW()+1,MATCH("전용면적(㎡)",'04A_국토부원자료'!$A$4:$T$4,0)),",","")),"")</f>
        <v/>
      </c>
      <c r="F4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86" s="51">
        <f>IFERROR(VALUE(SUBSTITUTE(INDEX('04A_국토부원자료'!$A:$T,ROW()+1,MATCH("거래금액(만원)",'04A_국토부원자료'!$A$4:$T$4,0)),",","")),"")</f>
        <v/>
      </c>
      <c r="H486" s="174">
        <f>IF(G486="","",G486*10000)</f>
        <v/>
      </c>
      <c r="I486" s="174">
        <f>IFERROR(IF(AND(H486&gt;0,E486&gt;0),H486/E486,""),"")</f>
        <v/>
      </c>
      <c r="J486" s="152">
        <f>IFERROR(VALUE(SUBSTITUTE(INDEX('04A_국토부원자료'!$A:$T,ROW()+1,MATCH("층",'04A_국토부원자료'!$A$4:$T$4,0)),",","")),"")</f>
        <v/>
      </c>
      <c r="K486" s="152">
        <f>IFERROR(VALUE(SUBSTITUTE(INDEX('04A_국토부원자료'!$A:$T,ROW()+1,MATCH("건축년도",'04A_국토부원자료'!$A$4:$T$4,0)),",","")),"")</f>
        <v/>
      </c>
      <c r="L486" s="176">
        <f>IFERROR(INDEX('04A_국토부원자료'!$A:$T,ROW()+1,MATCH("도로명",'04A_국토부원자료'!$A$4:$T$4,0)),"")</f>
        <v/>
      </c>
      <c r="M486" s="48">
        <f>IFERROR(INDEX('04A_국토부원자료'!$A:$T,ROW()+1,MATCH("거래유형",'04A_국토부원자료'!$A$4:$T$4,0)),"")</f>
        <v/>
      </c>
      <c r="N486" s="152">
        <f>IF(B486="","",IF('02_대상물건입력'!B5="",1,IF(ISNUMBER(SEARCH('02_대상물건입력'!B5,B486)),1,0)))</f>
        <v/>
      </c>
      <c r="O486" s="152">
        <f>IF(B486="","",IF('02_대상물건입력'!B6="",1,IF(ISNUMBER(SEARCH('02_대상물건입력'!B6,B486)),1,0)))</f>
        <v/>
      </c>
      <c r="P486" s="152">
        <f>IF(L486="","",IF('02_대상물건입력'!B15="",0,IF(ISNUMBER(SEARCH('02_대상물건입력'!B15,L486)),1,0)))</f>
        <v/>
      </c>
      <c r="Q486" s="152">
        <f>IF(OR(C486="",L486=""),0,IF(AND(TRIM(C486)=TRIM(RIGHT(SUBSTITUTE(TRIM('02_대상물건입력'!$B$7)," ",REPT(" ",99)),99)),IF('02_대상물건입력'!B15="",TRUE(),ISNUMBER(SEARCH('02_대상물건입력'!B15,L486)))),1,0))</f>
        <v/>
      </c>
      <c r="R486" s="175">
        <f>IFERROR(ABS(E486-'02_대상물건입력'!B11)/'02_대상물건입력'!B11,"")</f>
        <v/>
      </c>
      <c r="S486" s="152">
        <f>IFERROR(ABS(J486-'02_대상물건입력'!B10),"")</f>
        <v/>
      </c>
      <c r="T486" s="152">
        <f>IFERROR(ABS('01_설정'!B4-F486),"")</f>
        <v/>
      </c>
      <c r="U486" s="152">
        <f>IFERROR(ABS(K486-YEAR('02_대상물건입력'!B14)),"")</f>
        <v/>
      </c>
      <c r="V486" s="152">
        <f>IF(B486="","",IF(AND(E486&gt;0,F486&gt;0,H486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486=1,TRUE()),R486&lt;='01_설정'!B5,S486&lt;='01_설정'!B6,T486&lt;='01_설정'!B7,U486&lt;='01_설정'!B8),"Y",""))</f>
        <v/>
      </c>
      <c r="W486" s="172">
        <f>IF(V486&lt;&gt;"Y","",MAX(0,(1-R486/'01_설정'!B5))*'01_설정'!B14+MAX(0,(1-S486/'01_설정'!B6))*'01_설정'!B15+MAX(0,(1-T486/'01_설정'!B7))*'01_설정'!B16+MAX(0,(1-U486/'01_설정'!B8))*'01_설정'!B17+O486*'01_설정'!B11+Q486*'01_설정'!B12+P486*'01_설정'!B13+IF(Z486="",0,Z486))</f>
        <v/>
      </c>
      <c r="X486" s="152">
        <f>IF(W486="","",1+COUNTIFS($W$4:$W$3003,"&gt;"&amp;W486)+COUNTIFS($W$4:W486,W486)-1)</f>
        <v/>
      </c>
      <c r="Y486" s="175">
        <f>IF(OR(I486="",'02_대상물건입력'!B19="",'02_대상물건입력'!B19&lt;=0),"",ABS(I486-'02_대상물건입력'!B19)/'02_대상물건입력'!B19)</f>
        <v/>
      </c>
      <c r="Z486" s="172">
        <f>IF(OR(Y486="",'01_설정'!B31="",'01_설정'!B31&lt;=0,'01_설정'!B32="",'01_설정'!B32&lt;=0),"",MAX(0,(1-Y486/'01_설정'!B32))*'01_설정'!B31)</f>
        <v/>
      </c>
    </row>
    <row r="487" ht="17.25" customHeight="1">
      <c r="A487" s="152">
        <f>IF(INDEX('04A_국토부원자료'!$A:$A,ROW()+1)="","",ROW()-3)</f>
        <v/>
      </c>
      <c r="B487" s="48">
        <f>IFERROR(INDEX('04A_국토부원자료'!$A:$T,ROW()+1,MATCH("시군구",'04A_국토부원자료'!$A$4:$T$4,0)),"")</f>
        <v/>
      </c>
      <c r="C487" s="48">
        <f>IF(B487="","",IFERROR(INDEX('04A_국토부원자료'!$A:$T,ROW()+1,MATCH("번지",'04A_국토부원자료'!$A$4:$T$4,0)),""))</f>
        <v/>
      </c>
      <c r="D487" s="48">
        <f>IF(B487="","",IF(Q487=1,'02_대상물건입력'!$B$8,IFERROR(INDEX('04A_국토부원자료'!$A:$T,ROW()+1,MATCH("단지명",'04A_국토부원자료'!$A$4:$T$4,0)),"")))</f>
        <v/>
      </c>
      <c r="E487" s="172">
        <f>IFERROR(VALUE(SUBSTITUTE(INDEX('04A_국토부원자료'!$A:$T,ROW()+1,MATCH("전용면적(㎡)",'04A_국토부원자료'!$A$4:$T$4,0)),",","")),"")</f>
        <v/>
      </c>
      <c r="F4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87" s="51">
        <f>IFERROR(VALUE(SUBSTITUTE(INDEX('04A_국토부원자료'!$A:$T,ROW()+1,MATCH("거래금액(만원)",'04A_국토부원자료'!$A$4:$T$4,0)),",","")),"")</f>
        <v/>
      </c>
      <c r="H487" s="174">
        <f>IF(G487="","",G487*10000)</f>
        <v/>
      </c>
      <c r="I487" s="174">
        <f>IFERROR(IF(AND(H487&gt;0,E487&gt;0),H487/E487,""),"")</f>
        <v/>
      </c>
      <c r="J487" s="152">
        <f>IFERROR(VALUE(SUBSTITUTE(INDEX('04A_국토부원자료'!$A:$T,ROW()+1,MATCH("층",'04A_국토부원자료'!$A$4:$T$4,0)),",","")),"")</f>
        <v/>
      </c>
      <c r="K487" s="152">
        <f>IFERROR(VALUE(SUBSTITUTE(INDEX('04A_국토부원자료'!$A:$T,ROW()+1,MATCH("건축년도",'04A_국토부원자료'!$A$4:$T$4,0)),",","")),"")</f>
        <v/>
      </c>
      <c r="L487" s="176">
        <f>IFERROR(INDEX('04A_국토부원자료'!$A:$T,ROW()+1,MATCH("도로명",'04A_국토부원자료'!$A$4:$T$4,0)),"")</f>
        <v/>
      </c>
      <c r="M487" s="48">
        <f>IFERROR(INDEX('04A_국토부원자료'!$A:$T,ROW()+1,MATCH("거래유형",'04A_국토부원자료'!$A$4:$T$4,0)),"")</f>
        <v/>
      </c>
      <c r="N487" s="152">
        <f>IF(B487="","",IF('02_대상물건입력'!B5="",1,IF(ISNUMBER(SEARCH('02_대상물건입력'!B5,B487)),1,0)))</f>
        <v/>
      </c>
      <c r="O487" s="152">
        <f>IF(B487="","",IF('02_대상물건입력'!B6="",1,IF(ISNUMBER(SEARCH('02_대상물건입력'!B6,B487)),1,0)))</f>
        <v/>
      </c>
      <c r="P487" s="152">
        <f>IF(L487="","",IF('02_대상물건입력'!B15="",0,IF(ISNUMBER(SEARCH('02_대상물건입력'!B15,L487)),1,0)))</f>
        <v/>
      </c>
      <c r="Q487" s="152">
        <f>IF(OR(C487="",L487=""),0,IF(AND(TRIM(C487)=TRIM(RIGHT(SUBSTITUTE(TRIM('02_대상물건입력'!$B$7)," ",REPT(" ",99)),99)),IF('02_대상물건입력'!B15="",TRUE(),ISNUMBER(SEARCH('02_대상물건입력'!B15,L487)))),1,0))</f>
        <v/>
      </c>
      <c r="R487" s="175">
        <f>IFERROR(ABS(E487-'02_대상물건입력'!B11)/'02_대상물건입력'!B11,"")</f>
        <v/>
      </c>
      <c r="S487" s="152">
        <f>IFERROR(ABS(J487-'02_대상물건입력'!B10),"")</f>
        <v/>
      </c>
      <c r="T487" s="152">
        <f>IFERROR(ABS('01_설정'!B4-F487),"")</f>
        <v/>
      </c>
      <c r="U487" s="152">
        <f>IFERROR(ABS(K487-YEAR('02_대상물건입력'!B14)),"")</f>
        <v/>
      </c>
      <c r="V487" s="152">
        <f>IF(B487="","",IF(AND(E487&gt;0,F487&gt;0,H487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487=1,TRUE()),R487&lt;='01_설정'!B5,S487&lt;='01_설정'!B6,T487&lt;='01_설정'!B7,U487&lt;='01_설정'!B8),"Y",""))</f>
        <v/>
      </c>
      <c r="W487" s="172">
        <f>IF(V487&lt;&gt;"Y","",MAX(0,(1-R487/'01_설정'!B5))*'01_설정'!B14+MAX(0,(1-S487/'01_설정'!B6))*'01_설정'!B15+MAX(0,(1-T487/'01_설정'!B7))*'01_설정'!B16+MAX(0,(1-U487/'01_설정'!B8))*'01_설정'!B17+O487*'01_설정'!B11+Q487*'01_설정'!B12+P487*'01_설정'!B13+IF(Z487="",0,Z487))</f>
        <v/>
      </c>
      <c r="X487" s="152">
        <f>IF(W487="","",1+COUNTIFS($W$4:$W$3003,"&gt;"&amp;W487)+COUNTIFS($W$4:W487,W487)-1)</f>
        <v/>
      </c>
      <c r="Y487" s="175">
        <f>IF(OR(I487="",'02_대상물건입력'!B19="",'02_대상물건입력'!B19&lt;=0),"",ABS(I487-'02_대상물건입력'!B19)/'02_대상물건입력'!B19)</f>
        <v/>
      </c>
      <c r="Z487" s="172">
        <f>IF(OR(Y487="",'01_설정'!B31="",'01_설정'!B31&lt;=0,'01_설정'!B32="",'01_설정'!B32&lt;=0),"",MAX(0,(1-Y487/'01_설정'!B32))*'01_설정'!B31)</f>
        <v/>
      </c>
    </row>
    <row r="488" ht="17.25" customHeight="1">
      <c r="A488" s="152">
        <f>IF(INDEX('04A_국토부원자료'!$A:$A,ROW()+1)="","",ROW()-3)</f>
        <v/>
      </c>
      <c r="B488" s="48">
        <f>IFERROR(INDEX('04A_국토부원자료'!$A:$T,ROW()+1,MATCH("시군구",'04A_국토부원자료'!$A$4:$T$4,0)),"")</f>
        <v/>
      </c>
      <c r="C488" s="48">
        <f>IF(B488="","",IFERROR(INDEX('04A_국토부원자료'!$A:$T,ROW()+1,MATCH("번지",'04A_국토부원자료'!$A$4:$T$4,0)),""))</f>
        <v/>
      </c>
      <c r="D488" s="48">
        <f>IF(B488="","",IF(Q488=1,'02_대상물건입력'!$B$8,IFERROR(INDEX('04A_국토부원자료'!$A:$T,ROW()+1,MATCH("단지명",'04A_국토부원자료'!$A$4:$T$4,0)),"")))</f>
        <v/>
      </c>
      <c r="E488" s="172">
        <f>IFERROR(VALUE(SUBSTITUTE(INDEX('04A_국토부원자료'!$A:$T,ROW()+1,MATCH("전용면적(㎡)",'04A_국토부원자료'!$A$4:$T$4,0)),",","")),"")</f>
        <v/>
      </c>
      <c r="F4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88" s="51">
        <f>IFERROR(VALUE(SUBSTITUTE(INDEX('04A_국토부원자료'!$A:$T,ROW()+1,MATCH("거래금액(만원)",'04A_국토부원자료'!$A$4:$T$4,0)),",","")),"")</f>
        <v/>
      </c>
      <c r="H488" s="174">
        <f>IF(G488="","",G488*10000)</f>
        <v/>
      </c>
      <c r="I488" s="174">
        <f>IFERROR(IF(AND(H488&gt;0,E488&gt;0),H488/E488,""),"")</f>
        <v/>
      </c>
      <c r="J488" s="152">
        <f>IFERROR(VALUE(SUBSTITUTE(INDEX('04A_국토부원자료'!$A:$T,ROW()+1,MATCH("층",'04A_국토부원자료'!$A$4:$T$4,0)),",","")),"")</f>
        <v/>
      </c>
      <c r="K488" s="152">
        <f>IFERROR(VALUE(SUBSTITUTE(INDEX('04A_국토부원자료'!$A:$T,ROW()+1,MATCH("건축년도",'04A_국토부원자료'!$A$4:$T$4,0)),",","")),"")</f>
        <v/>
      </c>
      <c r="L488" s="176">
        <f>IFERROR(INDEX('04A_국토부원자료'!$A:$T,ROW()+1,MATCH("도로명",'04A_국토부원자료'!$A$4:$T$4,0)),"")</f>
        <v/>
      </c>
      <c r="M488" s="48">
        <f>IFERROR(INDEX('04A_국토부원자료'!$A:$T,ROW()+1,MATCH("거래유형",'04A_국토부원자료'!$A$4:$T$4,0)),"")</f>
        <v/>
      </c>
      <c r="N488" s="152">
        <f>IF(B488="","",IF('02_대상물건입력'!B5="",1,IF(ISNUMBER(SEARCH('02_대상물건입력'!B5,B488)),1,0)))</f>
        <v/>
      </c>
      <c r="O488" s="152">
        <f>IF(B488="","",IF('02_대상물건입력'!B6="",1,IF(ISNUMBER(SEARCH('02_대상물건입력'!B6,B488)),1,0)))</f>
        <v/>
      </c>
      <c r="P488" s="152">
        <f>IF(L488="","",IF('02_대상물건입력'!B15="",0,IF(ISNUMBER(SEARCH('02_대상물건입력'!B15,L488)),1,0)))</f>
        <v/>
      </c>
      <c r="Q488" s="152">
        <f>IF(OR(C488="",L488=""),0,IF(AND(TRIM(C488)=TRIM(RIGHT(SUBSTITUTE(TRIM('02_대상물건입력'!$B$7)," ",REPT(" ",99)),99)),IF('02_대상물건입력'!B15="",TRUE(),ISNUMBER(SEARCH('02_대상물건입력'!B15,L488)))),1,0))</f>
        <v/>
      </c>
      <c r="R488" s="175">
        <f>IFERROR(ABS(E488-'02_대상물건입력'!B11)/'02_대상물건입력'!B11,"")</f>
        <v/>
      </c>
      <c r="S488" s="152">
        <f>IFERROR(ABS(J488-'02_대상물건입력'!B10),"")</f>
        <v/>
      </c>
      <c r="T488" s="152">
        <f>IFERROR(ABS('01_설정'!B4-F488),"")</f>
        <v/>
      </c>
      <c r="U488" s="152">
        <f>IFERROR(ABS(K488-YEAR('02_대상물건입력'!B14)),"")</f>
        <v/>
      </c>
      <c r="V488" s="152">
        <f>IF(B488="","",IF(AND(E488&gt;0,F488&gt;0,H488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488=1,TRUE()),R488&lt;='01_설정'!B5,S488&lt;='01_설정'!B6,T488&lt;='01_설정'!B7,U488&lt;='01_설정'!B8),"Y",""))</f>
        <v/>
      </c>
      <c r="W488" s="172">
        <f>IF(V488&lt;&gt;"Y","",MAX(0,(1-R488/'01_설정'!B5))*'01_설정'!B14+MAX(0,(1-S488/'01_설정'!B6))*'01_설정'!B15+MAX(0,(1-T488/'01_설정'!B7))*'01_설정'!B16+MAX(0,(1-U488/'01_설정'!B8))*'01_설정'!B17+O488*'01_설정'!B11+Q488*'01_설정'!B12+P488*'01_설정'!B13+IF(Z488="",0,Z488))</f>
        <v/>
      </c>
      <c r="X488" s="152">
        <f>IF(W488="","",1+COUNTIFS($W$4:$W$3003,"&gt;"&amp;W488)+COUNTIFS($W$4:W488,W488)-1)</f>
        <v/>
      </c>
      <c r="Y488" s="175">
        <f>IF(OR(I488="",'02_대상물건입력'!B19="",'02_대상물건입력'!B19&lt;=0),"",ABS(I488-'02_대상물건입력'!B19)/'02_대상물건입력'!B19)</f>
        <v/>
      </c>
      <c r="Z488" s="172">
        <f>IF(OR(Y488="",'01_설정'!B31="",'01_설정'!B31&lt;=0,'01_설정'!B32="",'01_설정'!B32&lt;=0),"",MAX(0,(1-Y488/'01_설정'!B32))*'01_설정'!B31)</f>
        <v/>
      </c>
    </row>
    <row r="489" ht="17.25" customHeight="1">
      <c r="A489" s="152">
        <f>IF(INDEX('04A_국토부원자료'!$A:$A,ROW()+1)="","",ROW()-3)</f>
        <v/>
      </c>
      <c r="B489" s="48">
        <f>IFERROR(INDEX('04A_국토부원자료'!$A:$T,ROW()+1,MATCH("시군구",'04A_국토부원자료'!$A$4:$T$4,0)),"")</f>
        <v/>
      </c>
      <c r="C489" s="48">
        <f>IF(B489="","",IFERROR(INDEX('04A_국토부원자료'!$A:$T,ROW()+1,MATCH("번지",'04A_국토부원자료'!$A$4:$T$4,0)),""))</f>
        <v/>
      </c>
      <c r="D489" s="48">
        <f>IF(B489="","",IF(Q489=1,'02_대상물건입력'!$B$8,IFERROR(INDEX('04A_국토부원자료'!$A:$T,ROW()+1,MATCH("단지명",'04A_국토부원자료'!$A$4:$T$4,0)),"")))</f>
        <v/>
      </c>
      <c r="E489" s="172">
        <f>IFERROR(VALUE(SUBSTITUTE(INDEX('04A_국토부원자료'!$A:$T,ROW()+1,MATCH("전용면적(㎡)",'04A_국토부원자료'!$A$4:$T$4,0)),",","")),"")</f>
        <v/>
      </c>
      <c r="F4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89" s="51">
        <f>IFERROR(VALUE(SUBSTITUTE(INDEX('04A_국토부원자료'!$A:$T,ROW()+1,MATCH("거래금액(만원)",'04A_국토부원자료'!$A$4:$T$4,0)),",","")),"")</f>
        <v/>
      </c>
      <c r="H489" s="174">
        <f>IF(G489="","",G489*10000)</f>
        <v/>
      </c>
      <c r="I489" s="174">
        <f>IFERROR(IF(AND(H489&gt;0,E489&gt;0),H489/E489,""),"")</f>
        <v/>
      </c>
      <c r="J489" s="152">
        <f>IFERROR(VALUE(SUBSTITUTE(INDEX('04A_국토부원자료'!$A:$T,ROW()+1,MATCH("층",'04A_국토부원자료'!$A$4:$T$4,0)),",","")),"")</f>
        <v/>
      </c>
      <c r="K489" s="152">
        <f>IFERROR(VALUE(SUBSTITUTE(INDEX('04A_국토부원자료'!$A:$T,ROW()+1,MATCH("건축년도",'04A_국토부원자료'!$A$4:$T$4,0)),",","")),"")</f>
        <v/>
      </c>
      <c r="L489" s="176">
        <f>IFERROR(INDEX('04A_국토부원자료'!$A:$T,ROW()+1,MATCH("도로명",'04A_국토부원자료'!$A$4:$T$4,0)),"")</f>
        <v/>
      </c>
      <c r="M489" s="48">
        <f>IFERROR(INDEX('04A_국토부원자료'!$A:$T,ROW()+1,MATCH("거래유형",'04A_국토부원자료'!$A$4:$T$4,0)),"")</f>
        <v/>
      </c>
      <c r="N489" s="152">
        <f>IF(B489="","",IF('02_대상물건입력'!B5="",1,IF(ISNUMBER(SEARCH('02_대상물건입력'!B5,B489)),1,0)))</f>
        <v/>
      </c>
      <c r="O489" s="152">
        <f>IF(B489="","",IF('02_대상물건입력'!B6="",1,IF(ISNUMBER(SEARCH('02_대상물건입력'!B6,B489)),1,0)))</f>
        <v/>
      </c>
      <c r="P489" s="152">
        <f>IF(L489="","",IF('02_대상물건입력'!B15="",0,IF(ISNUMBER(SEARCH('02_대상물건입력'!B15,L489)),1,0)))</f>
        <v/>
      </c>
      <c r="Q489" s="152">
        <f>IF(OR(C489="",L489=""),0,IF(AND(TRIM(C489)=TRIM(RIGHT(SUBSTITUTE(TRIM('02_대상물건입력'!$B$7)," ",REPT(" ",99)),99)),IF('02_대상물건입력'!B15="",TRUE(),ISNUMBER(SEARCH('02_대상물건입력'!B15,L489)))),1,0))</f>
        <v/>
      </c>
      <c r="R489" s="175">
        <f>IFERROR(ABS(E489-'02_대상물건입력'!B11)/'02_대상물건입력'!B11,"")</f>
        <v/>
      </c>
      <c r="S489" s="152">
        <f>IFERROR(ABS(J489-'02_대상물건입력'!B10),"")</f>
        <v/>
      </c>
      <c r="T489" s="152">
        <f>IFERROR(ABS('01_설정'!B4-F489),"")</f>
        <v/>
      </c>
      <c r="U489" s="152">
        <f>IFERROR(ABS(K489-YEAR('02_대상물건입력'!B14)),"")</f>
        <v/>
      </c>
      <c r="V489" s="152">
        <f>IF(B489="","",IF(AND(E489&gt;0,F489&gt;0,H489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489=1,TRUE()),R489&lt;='01_설정'!B5,S489&lt;='01_설정'!B6,T489&lt;='01_설정'!B7,U489&lt;='01_설정'!B8),"Y",""))</f>
        <v/>
      </c>
      <c r="W489" s="172">
        <f>IF(V489&lt;&gt;"Y","",MAX(0,(1-R489/'01_설정'!B5))*'01_설정'!B14+MAX(0,(1-S489/'01_설정'!B6))*'01_설정'!B15+MAX(0,(1-T489/'01_설정'!B7))*'01_설정'!B16+MAX(0,(1-U489/'01_설정'!B8))*'01_설정'!B17+O489*'01_설정'!B11+Q489*'01_설정'!B12+P489*'01_설정'!B13+IF(Z489="",0,Z489))</f>
        <v/>
      </c>
      <c r="X489" s="152">
        <f>IF(W489="","",1+COUNTIFS($W$4:$W$3003,"&gt;"&amp;W489)+COUNTIFS($W$4:W489,W489)-1)</f>
        <v/>
      </c>
      <c r="Y489" s="175">
        <f>IF(OR(I489="",'02_대상물건입력'!B19="",'02_대상물건입력'!B19&lt;=0),"",ABS(I489-'02_대상물건입력'!B19)/'02_대상물건입력'!B19)</f>
        <v/>
      </c>
      <c r="Z489" s="172">
        <f>IF(OR(Y489="",'01_설정'!B31="",'01_설정'!B31&lt;=0,'01_설정'!B32="",'01_설정'!B32&lt;=0),"",MAX(0,(1-Y489/'01_설정'!B32))*'01_설정'!B31)</f>
        <v/>
      </c>
    </row>
    <row r="490" ht="17.25" customHeight="1">
      <c r="A490" s="152">
        <f>IF(INDEX('04A_국토부원자료'!$A:$A,ROW()+1)="","",ROW()-3)</f>
        <v/>
      </c>
      <c r="B490" s="48">
        <f>IFERROR(INDEX('04A_국토부원자료'!$A:$T,ROW()+1,MATCH("시군구",'04A_국토부원자료'!$A$4:$T$4,0)),"")</f>
        <v/>
      </c>
      <c r="C490" s="48">
        <f>IF(B490="","",IFERROR(INDEX('04A_국토부원자료'!$A:$T,ROW()+1,MATCH("번지",'04A_국토부원자료'!$A$4:$T$4,0)),""))</f>
        <v/>
      </c>
      <c r="D490" s="48">
        <f>IF(B490="","",IF(Q490=1,'02_대상물건입력'!$B$8,IFERROR(INDEX('04A_국토부원자료'!$A:$T,ROW()+1,MATCH("단지명",'04A_국토부원자료'!$A$4:$T$4,0)),"")))</f>
        <v/>
      </c>
      <c r="E490" s="172">
        <f>IFERROR(VALUE(SUBSTITUTE(INDEX('04A_국토부원자료'!$A:$T,ROW()+1,MATCH("전용면적(㎡)",'04A_국토부원자료'!$A$4:$T$4,0)),",","")),"")</f>
        <v/>
      </c>
      <c r="F4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90" s="51">
        <f>IFERROR(VALUE(SUBSTITUTE(INDEX('04A_국토부원자료'!$A:$T,ROW()+1,MATCH("거래금액(만원)",'04A_국토부원자료'!$A$4:$T$4,0)),",","")),"")</f>
        <v/>
      </c>
      <c r="H490" s="174">
        <f>IF(G490="","",G490*10000)</f>
        <v/>
      </c>
      <c r="I490" s="174">
        <f>IFERROR(IF(AND(H490&gt;0,E490&gt;0),H490/E490,""),"")</f>
        <v/>
      </c>
      <c r="J490" s="152">
        <f>IFERROR(VALUE(SUBSTITUTE(INDEX('04A_국토부원자료'!$A:$T,ROW()+1,MATCH("층",'04A_국토부원자료'!$A$4:$T$4,0)),",","")),"")</f>
        <v/>
      </c>
      <c r="K490" s="152">
        <f>IFERROR(VALUE(SUBSTITUTE(INDEX('04A_국토부원자료'!$A:$T,ROW()+1,MATCH("건축년도",'04A_국토부원자료'!$A$4:$T$4,0)),",","")),"")</f>
        <v/>
      </c>
      <c r="L490" s="176">
        <f>IFERROR(INDEX('04A_국토부원자료'!$A:$T,ROW()+1,MATCH("도로명",'04A_국토부원자료'!$A$4:$T$4,0)),"")</f>
        <v/>
      </c>
      <c r="M490" s="48">
        <f>IFERROR(INDEX('04A_국토부원자료'!$A:$T,ROW()+1,MATCH("거래유형",'04A_국토부원자료'!$A$4:$T$4,0)),"")</f>
        <v/>
      </c>
      <c r="N490" s="152">
        <f>IF(B490="","",IF('02_대상물건입력'!B5="",1,IF(ISNUMBER(SEARCH('02_대상물건입력'!B5,B490)),1,0)))</f>
        <v/>
      </c>
      <c r="O490" s="152">
        <f>IF(B490="","",IF('02_대상물건입력'!B6="",1,IF(ISNUMBER(SEARCH('02_대상물건입력'!B6,B490)),1,0)))</f>
        <v/>
      </c>
      <c r="P490" s="152">
        <f>IF(L490="","",IF('02_대상물건입력'!B15="",0,IF(ISNUMBER(SEARCH('02_대상물건입력'!B15,L490)),1,0)))</f>
        <v/>
      </c>
      <c r="Q490" s="152">
        <f>IF(OR(C490="",L490=""),0,IF(AND(TRIM(C490)=TRIM(RIGHT(SUBSTITUTE(TRIM('02_대상물건입력'!$B$7)," ",REPT(" ",99)),99)),IF('02_대상물건입력'!B15="",TRUE(),ISNUMBER(SEARCH('02_대상물건입력'!B15,L490)))),1,0))</f>
        <v/>
      </c>
      <c r="R490" s="175">
        <f>IFERROR(ABS(E490-'02_대상물건입력'!B11)/'02_대상물건입력'!B11,"")</f>
        <v/>
      </c>
      <c r="S490" s="152">
        <f>IFERROR(ABS(J490-'02_대상물건입력'!B10),"")</f>
        <v/>
      </c>
      <c r="T490" s="152">
        <f>IFERROR(ABS('01_설정'!B4-F490),"")</f>
        <v/>
      </c>
      <c r="U490" s="152">
        <f>IFERROR(ABS(K490-YEAR('02_대상물건입력'!B14)),"")</f>
        <v/>
      </c>
      <c r="V490" s="152">
        <f>IF(B490="","",IF(AND(E490&gt;0,F490&gt;0,H490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490=1,TRUE()),R490&lt;='01_설정'!B5,S490&lt;='01_설정'!B6,T490&lt;='01_설정'!B7,U490&lt;='01_설정'!B8),"Y",""))</f>
        <v/>
      </c>
      <c r="W490" s="172">
        <f>IF(V490&lt;&gt;"Y","",MAX(0,(1-R490/'01_설정'!B5))*'01_설정'!B14+MAX(0,(1-S490/'01_설정'!B6))*'01_설정'!B15+MAX(0,(1-T490/'01_설정'!B7))*'01_설정'!B16+MAX(0,(1-U490/'01_설정'!B8))*'01_설정'!B17+O490*'01_설정'!B11+Q490*'01_설정'!B12+P490*'01_설정'!B13+IF(Z490="",0,Z490))</f>
        <v/>
      </c>
      <c r="X490" s="152">
        <f>IF(W490="","",1+COUNTIFS($W$4:$W$3003,"&gt;"&amp;W490)+COUNTIFS($W$4:W490,W490)-1)</f>
        <v/>
      </c>
      <c r="Y490" s="175">
        <f>IF(OR(I490="",'02_대상물건입력'!B19="",'02_대상물건입력'!B19&lt;=0),"",ABS(I490-'02_대상물건입력'!B19)/'02_대상물건입력'!B19)</f>
        <v/>
      </c>
      <c r="Z490" s="172">
        <f>IF(OR(Y490="",'01_설정'!B31="",'01_설정'!B31&lt;=0,'01_설정'!B32="",'01_설정'!B32&lt;=0),"",MAX(0,(1-Y490/'01_설정'!B32))*'01_설정'!B31)</f>
        <v/>
      </c>
    </row>
    <row r="491" ht="17.25" customHeight="1">
      <c r="A491" s="152">
        <f>IF(INDEX('04A_국토부원자료'!$A:$A,ROW()+1)="","",ROW()-3)</f>
        <v/>
      </c>
      <c r="B491" s="48">
        <f>IFERROR(INDEX('04A_국토부원자료'!$A:$T,ROW()+1,MATCH("시군구",'04A_국토부원자료'!$A$4:$T$4,0)),"")</f>
        <v/>
      </c>
      <c r="C491" s="48">
        <f>IF(B491="","",IFERROR(INDEX('04A_국토부원자료'!$A:$T,ROW()+1,MATCH("번지",'04A_국토부원자료'!$A$4:$T$4,0)),""))</f>
        <v/>
      </c>
      <c r="D491" s="48">
        <f>IF(B491="","",IF(Q491=1,'02_대상물건입력'!$B$8,IFERROR(INDEX('04A_국토부원자료'!$A:$T,ROW()+1,MATCH("단지명",'04A_국토부원자료'!$A$4:$T$4,0)),"")))</f>
        <v/>
      </c>
      <c r="E491" s="172">
        <f>IFERROR(VALUE(SUBSTITUTE(INDEX('04A_국토부원자료'!$A:$T,ROW()+1,MATCH("전용면적(㎡)",'04A_국토부원자료'!$A$4:$T$4,0)),",","")),"")</f>
        <v/>
      </c>
      <c r="F4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91" s="51">
        <f>IFERROR(VALUE(SUBSTITUTE(INDEX('04A_국토부원자료'!$A:$T,ROW()+1,MATCH("거래금액(만원)",'04A_국토부원자료'!$A$4:$T$4,0)),",","")),"")</f>
        <v/>
      </c>
      <c r="H491" s="174">
        <f>IF(G491="","",G491*10000)</f>
        <v/>
      </c>
      <c r="I491" s="174">
        <f>IFERROR(IF(AND(H491&gt;0,E491&gt;0),H491/E491,""),"")</f>
        <v/>
      </c>
      <c r="J491" s="152">
        <f>IFERROR(VALUE(SUBSTITUTE(INDEX('04A_국토부원자료'!$A:$T,ROW()+1,MATCH("층",'04A_국토부원자료'!$A$4:$T$4,0)),",","")),"")</f>
        <v/>
      </c>
      <c r="K491" s="152">
        <f>IFERROR(VALUE(SUBSTITUTE(INDEX('04A_국토부원자료'!$A:$T,ROW()+1,MATCH("건축년도",'04A_국토부원자료'!$A$4:$T$4,0)),",","")),"")</f>
        <v/>
      </c>
      <c r="L491" s="176">
        <f>IFERROR(INDEX('04A_국토부원자료'!$A:$T,ROW()+1,MATCH("도로명",'04A_국토부원자료'!$A$4:$T$4,0)),"")</f>
        <v/>
      </c>
      <c r="M491" s="48">
        <f>IFERROR(INDEX('04A_국토부원자료'!$A:$T,ROW()+1,MATCH("거래유형",'04A_국토부원자료'!$A$4:$T$4,0)),"")</f>
        <v/>
      </c>
      <c r="N491" s="152">
        <f>IF(B491="","",IF('02_대상물건입력'!B5="",1,IF(ISNUMBER(SEARCH('02_대상물건입력'!B5,B491)),1,0)))</f>
        <v/>
      </c>
      <c r="O491" s="152">
        <f>IF(B491="","",IF('02_대상물건입력'!B6="",1,IF(ISNUMBER(SEARCH('02_대상물건입력'!B6,B491)),1,0)))</f>
        <v/>
      </c>
      <c r="P491" s="152">
        <f>IF(L491="","",IF('02_대상물건입력'!B15="",0,IF(ISNUMBER(SEARCH('02_대상물건입력'!B15,L491)),1,0)))</f>
        <v/>
      </c>
      <c r="Q491" s="152">
        <f>IF(OR(C491="",L491=""),0,IF(AND(TRIM(C491)=TRIM(RIGHT(SUBSTITUTE(TRIM('02_대상물건입력'!$B$7)," ",REPT(" ",99)),99)),IF('02_대상물건입력'!B15="",TRUE(),ISNUMBER(SEARCH('02_대상물건입력'!B15,L491)))),1,0))</f>
        <v/>
      </c>
      <c r="R491" s="175">
        <f>IFERROR(ABS(E491-'02_대상물건입력'!B11)/'02_대상물건입력'!B11,"")</f>
        <v/>
      </c>
      <c r="S491" s="152">
        <f>IFERROR(ABS(J491-'02_대상물건입력'!B10),"")</f>
        <v/>
      </c>
      <c r="T491" s="152">
        <f>IFERROR(ABS('01_설정'!B4-F491),"")</f>
        <v/>
      </c>
      <c r="U491" s="152">
        <f>IFERROR(ABS(K491-YEAR('02_대상물건입력'!B14)),"")</f>
        <v/>
      </c>
      <c r="V491" s="152">
        <f>IF(B491="","",IF(AND(E491&gt;0,F491&gt;0,H491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491=1,TRUE()),R491&lt;='01_설정'!B5,S491&lt;='01_설정'!B6,T491&lt;='01_설정'!B7,U491&lt;='01_설정'!B8),"Y",""))</f>
        <v/>
      </c>
      <c r="W491" s="172">
        <f>IF(V491&lt;&gt;"Y","",MAX(0,(1-R491/'01_설정'!B5))*'01_설정'!B14+MAX(0,(1-S491/'01_설정'!B6))*'01_설정'!B15+MAX(0,(1-T491/'01_설정'!B7))*'01_설정'!B16+MAX(0,(1-U491/'01_설정'!B8))*'01_설정'!B17+O491*'01_설정'!B11+Q491*'01_설정'!B12+P491*'01_설정'!B13+IF(Z491="",0,Z491))</f>
        <v/>
      </c>
      <c r="X491" s="152">
        <f>IF(W491="","",1+COUNTIFS($W$4:$W$3003,"&gt;"&amp;W491)+COUNTIFS($W$4:W491,W491)-1)</f>
        <v/>
      </c>
      <c r="Y491" s="175">
        <f>IF(OR(I491="",'02_대상물건입력'!B19="",'02_대상물건입력'!B19&lt;=0),"",ABS(I491-'02_대상물건입력'!B19)/'02_대상물건입력'!B19)</f>
        <v/>
      </c>
      <c r="Z491" s="172">
        <f>IF(OR(Y491="",'01_설정'!B31="",'01_설정'!B31&lt;=0,'01_설정'!B32="",'01_설정'!B32&lt;=0),"",MAX(0,(1-Y491/'01_설정'!B32))*'01_설정'!B31)</f>
        <v/>
      </c>
    </row>
    <row r="492" ht="17.25" customHeight="1">
      <c r="A492" s="152">
        <f>IF(INDEX('04A_국토부원자료'!$A:$A,ROW()+1)="","",ROW()-3)</f>
        <v/>
      </c>
      <c r="B492" s="48">
        <f>IFERROR(INDEX('04A_국토부원자료'!$A:$T,ROW()+1,MATCH("시군구",'04A_국토부원자료'!$A$4:$T$4,0)),"")</f>
        <v/>
      </c>
      <c r="C492" s="48">
        <f>IF(B492="","",IFERROR(INDEX('04A_국토부원자료'!$A:$T,ROW()+1,MATCH("번지",'04A_국토부원자료'!$A$4:$T$4,0)),""))</f>
        <v/>
      </c>
      <c r="D492" s="48">
        <f>IF(B492="","",IF(Q492=1,'02_대상물건입력'!$B$8,IFERROR(INDEX('04A_국토부원자료'!$A:$T,ROW()+1,MATCH("단지명",'04A_국토부원자료'!$A$4:$T$4,0)),"")))</f>
        <v/>
      </c>
      <c r="E492" s="172">
        <f>IFERROR(VALUE(SUBSTITUTE(INDEX('04A_국토부원자료'!$A:$T,ROW()+1,MATCH("전용면적(㎡)",'04A_국토부원자료'!$A$4:$T$4,0)),",","")),"")</f>
        <v/>
      </c>
      <c r="F4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92" s="51">
        <f>IFERROR(VALUE(SUBSTITUTE(INDEX('04A_국토부원자료'!$A:$T,ROW()+1,MATCH("거래금액(만원)",'04A_국토부원자료'!$A$4:$T$4,0)),",","")),"")</f>
        <v/>
      </c>
      <c r="H492" s="174">
        <f>IF(G492="","",G492*10000)</f>
        <v/>
      </c>
      <c r="I492" s="174">
        <f>IFERROR(IF(AND(H492&gt;0,E492&gt;0),H492/E492,""),"")</f>
        <v/>
      </c>
      <c r="J492" s="152">
        <f>IFERROR(VALUE(SUBSTITUTE(INDEX('04A_국토부원자료'!$A:$T,ROW()+1,MATCH("층",'04A_국토부원자료'!$A$4:$T$4,0)),",","")),"")</f>
        <v/>
      </c>
      <c r="K492" s="152">
        <f>IFERROR(VALUE(SUBSTITUTE(INDEX('04A_국토부원자료'!$A:$T,ROW()+1,MATCH("건축년도",'04A_국토부원자료'!$A$4:$T$4,0)),",","")),"")</f>
        <v/>
      </c>
      <c r="L492" s="176">
        <f>IFERROR(INDEX('04A_국토부원자료'!$A:$T,ROW()+1,MATCH("도로명",'04A_국토부원자료'!$A$4:$T$4,0)),"")</f>
        <v/>
      </c>
      <c r="M492" s="48">
        <f>IFERROR(INDEX('04A_국토부원자료'!$A:$T,ROW()+1,MATCH("거래유형",'04A_국토부원자료'!$A$4:$T$4,0)),"")</f>
        <v/>
      </c>
      <c r="N492" s="152">
        <f>IF(B492="","",IF('02_대상물건입력'!B5="",1,IF(ISNUMBER(SEARCH('02_대상물건입력'!B5,B492)),1,0)))</f>
        <v/>
      </c>
      <c r="O492" s="152">
        <f>IF(B492="","",IF('02_대상물건입력'!B6="",1,IF(ISNUMBER(SEARCH('02_대상물건입력'!B6,B492)),1,0)))</f>
        <v/>
      </c>
      <c r="P492" s="152">
        <f>IF(L492="","",IF('02_대상물건입력'!B15="",0,IF(ISNUMBER(SEARCH('02_대상물건입력'!B15,L492)),1,0)))</f>
        <v/>
      </c>
      <c r="Q492" s="152">
        <f>IF(OR(C492="",L492=""),0,IF(AND(TRIM(C492)=TRIM(RIGHT(SUBSTITUTE(TRIM('02_대상물건입력'!$B$7)," ",REPT(" ",99)),99)),IF('02_대상물건입력'!B15="",TRUE(),ISNUMBER(SEARCH('02_대상물건입력'!B15,L492)))),1,0))</f>
        <v/>
      </c>
      <c r="R492" s="175">
        <f>IFERROR(ABS(E492-'02_대상물건입력'!B11)/'02_대상물건입력'!B11,"")</f>
        <v/>
      </c>
      <c r="S492" s="152">
        <f>IFERROR(ABS(J492-'02_대상물건입력'!B10),"")</f>
        <v/>
      </c>
      <c r="T492" s="152">
        <f>IFERROR(ABS('01_설정'!B4-F492),"")</f>
        <v/>
      </c>
      <c r="U492" s="152">
        <f>IFERROR(ABS(K492-YEAR('02_대상물건입력'!B14)),"")</f>
        <v/>
      </c>
      <c r="V492" s="152">
        <f>IF(B492="","",IF(AND(E492&gt;0,F492&gt;0,H492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492=1,TRUE()),R492&lt;='01_설정'!B5,S492&lt;='01_설정'!B6,T492&lt;='01_설정'!B7,U492&lt;='01_설정'!B8),"Y",""))</f>
        <v/>
      </c>
      <c r="W492" s="172">
        <f>IF(V492&lt;&gt;"Y","",MAX(0,(1-R492/'01_설정'!B5))*'01_설정'!B14+MAX(0,(1-S492/'01_설정'!B6))*'01_설정'!B15+MAX(0,(1-T492/'01_설정'!B7))*'01_설정'!B16+MAX(0,(1-U492/'01_설정'!B8))*'01_설정'!B17+O492*'01_설정'!B11+Q492*'01_설정'!B12+P492*'01_설정'!B13+IF(Z492="",0,Z492))</f>
        <v/>
      </c>
      <c r="X492" s="152">
        <f>IF(W492="","",1+COUNTIFS($W$4:$W$3003,"&gt;"&amp;W492)+COUNTIFS($W$4:W492,W492)-1)</f>
        <v/>
      </c>
      <c r="Y492" s="175">
        <f>IF(OR(I492="",'02_대상물건입력'!B19="",'02_대상물건입력'!B19&lt;=0),"",ABS(I492-'02_대상물건입력'!B19)/'02_대상물건입력'!B19)</f>
        <v/>
      </c>
      <c r="Z492" s="172">
        <f>IF(OR(Y492="",'01_설정'!B31="",'01_설정'!B31&lt;=0,'01_설정'!B32="",'01_설정'!B32&lt;=0),"",MAX(0,(1-Y492/'01_설정'!B32))*'01_설정'!B31)</f>
        <v/>
      </c>
    </row>
    <row r="493" ht="17.25" customHeight="1">
      <c r="A493" s="152">
        <f>IF(INDEX('04A_국토부원자료'!$A:$A,ROW()+1)="","",ROW()-3)</f>
        <v/>
      </c>
      <c r="B493" s="48">
        <f>IFERROR(INDEX('04A_국토부원자료'!$A:$T,ROW()+1,MATCH("시군구",'04A_국토부원자료'!$A$4:$T$4,0)),"")</f>
        <v/>
      </c>
      <c r="C493" s="48">
        <f>IF(B493="","",IFERROR(INDEX('04A_국토부원자료'!$A:$T,ROW()+1,MATCH("번지",'04A_국토부원자료'!$A$4:$T$4,0)),""))</f>
        <v/>
      </c>
      <c r="D493" s="48">
        <f>IF(B493="","",IF(Q493=1,'02_대상물건입력'!$B$8,IFERROR(INDEX('04A_국토부원자료'!$A:$T,ROW()+1,MATCH("단지명",'04A_국토부원자료'!$A$4:$T$4,0)),"")))</f>
        <v/>
      </c>
      <c r="E493" s="172">
        <f>IFERROR(VALUE(SUBSTITUTE(INDEX('04A_국토부원자료'!$A:$T,ROW()+1,MATCH("전용면적(㎡)",'04A_국토부원자료'!$A$4:$T$4,0)),",","")),"")</f>
        <v/>
      </c>
      <c r="F4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93" s="51">
        <f>IFERROR(VALUE(SUBSTITUTE(INDEX('04A_국토부원자료'!$A:$T,ROW()+1,MATCH("거래금액(만원)",'04A_국토부원자료'!$A$4:$T$4,0)),",","")),"")</f>
        <v/>
      </c>
      <c r="H493" s="174">
        <f>IF(G493="","",G493*10000)</f>
        <v/>
      </c>
      <c r="I493" s="174">
        <f>IFERROR(IF(AND(H493&gt;0,E493&gt;0),H493/E493,""),"")</f>
        <v/>
      </c>
      <c r="J493" s="152">
        <f>IFERROR(VALUE(SUBSTITUTE(INDEX('04A_국토부원자료'!$A:$T,ROW()+1,MATCH("층",'04A_국토부원자료'!$A$4:$T$4,0)),",","")),"")</f>
        <v/>
      </c>
      <c r="K493" s="152">
        <f>IFERROR(VALUE(SUBSTITUTE(INDEX('04A_국토부원자료'!$A:$T,ROW()+1,MATCH("건축년도",'04A_국토부원자료'!$A$4:$T$4,0)),",","")),"")</f>
        <v/>
      </c>
      <c r="L493" s="176">
        <f>IFERROR(INDEX('04A_국토부원자료'!$A:$T,ROW()+1,MATCH("도로명",'04A_국토부원자료'!$A$4:$T$4,0)),"")</f>
        <v/>
      </c>
      <c r="M493" s="48">
        <f>IFERROR(INDEX('04A_국토부원자료'!$A:$T,ROW()+1,MATCH("거래유형",'04A_국토부원자료'!$A$4:$T$4,0)),"")</f>
        <v/>
      </c>
      <c r="N493" s="152">
        <f>IF(B493="","",IF('02_대상물건입력'!B5="",1,IF(ISNUMBER(SEARCH('02_대상물건입력'!B5,B493)),1,0)))</f>
        <v/>
      </c>
      <c r="O493" s="152">
        <f>IF(B493="","",IF('02_대상물건입력'!B6="",1,IF(ISNUMBER(SEARCH('02_대상물건입력'!B6,B493)),1,0)))</f>
        <v/>
      </c>
      <c r="P493" s="152">
        <f>IF(L493="","",IF('02_대상물건입력'!B15="",0,IF(ISNUMBER(SEARCH('02_대상물건입력'!B15,L493)),1,0)))</f>
        <v/>
      </c>
      <c r="Q493" s="152">
        <f>IF(OR(C493="",L493=""),0,IF(AND(TRIM(C493)=TRIM(RIGHT(SUBSTITUTE(TRIM('02_대상물건입력'!$B$7)," ",REPT(" ",99)),99)),IF('02_대상물건입력'!B15="",TRUE(),ISNUMBER(SEARCH('02_대상물건입력'!B15,L493)))),1,0))</f>
        <v/>
      </c>
      <c r="R493" s="175">
        <f>IFERROR(ABS(E493-'02_대상물건입력'!B11)/'02_대상물건입력'!B11,"")</f>
        <v/>
      </c>
      <c r="S493" s="152">
        <f>IFERROR(ABS(J493-'02_대상물건입력'!B10),"")</f>
        <v/>
      </c>
      <c r="T493" s="152">
        <f>IFERROR(ABS('01_설정'!B4-F493),"")</f>
        <v/>
      </c>
      <c r="U493" s="152">
        <f>IFERROR(ABS(K493-YEAR('02_대상물건입력'!B14)),"")</f>
        <v/>
      </c>
      <c r="V493" s="152">
        <f>IF(B493="","",IF(AND(E493&gt;0,F493&gt;0,H493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493=1,TRUE()),R493&lt;='01_설정'!B5,S493&lt;='01_설정'!B6,T493&lt;='01_설정'!B7,U493&lt;='01_설정'!B8),"Y",""))</f>
        <v/>
      </c>
      <c r="W493" s="172">
        <f>IF(V493&lt;&gt;"Y","",MAX(0,(1-R493/'01_설정'!B5))*'01_설정'!B14+MAX(0,(1-S493/'01_설정'!B6))*'01_설정'!B15+MAX(0,(1-T493/'01_설정'!B7))*'01_설정'!B16+MAX(0,(1-U493/'01_설정'!B8))*'01_설정'!B17+O493*'01_설정'!B11+Q493*'01_설정'!B12+P493*'01_설정'!B13+IF(Z493="",0,Z493))</f>
        <v/>
      </c>
      <c r="X493" s="152">
        <f>IF(W493="","",1+COUNTIFS($W$4:$W$3003,"&gt;"&amp;W493)+COUNTIFS($W$4:W493,W493)-1)</f>
        <v/>
      </c>
      <c r="Y493" s="175">
        <f>IF(OR(I493="",'02_대상물건입력'!B19="",'02_대상물건입력'!B19&lt;=0),"",ABS(I493-'02_대상물건입력'!B19)/'02_대상물건입력'!B19)</f>
        <v/>
      </c>
      <c r="Z493" s="172">
        <f>IF(OR(Y493="",'01_설정'!B31="",'01_설정'!B31&lt;=0,'01_설정'!B32="",'01_설정'!B32&lt;=0),"",MAX(0,(1-Y493/'01_설정'!B32))*'01_설정'!B31)</f>
        <v/>
      </c>
    </row>
    <row r="494" ht="17.25" customHeight="1">
      <c r="A494" s="152">
        <f>IF(INDEX('04A_국토부원자료'!$A:$A,ROW()+1)="","",ROW()-3)</f>
        <v/>
      </c>
      <c r="B494" s="48">
        <f>IFERROR(INDEX('04A_국토부원자료'!$A:$T,ROW()+1,MATCH("시군구",'04A_국토부원자료'!$A$4:$T$4,0)),"")</f>
        <v/>
      </c>
      <c r="C494" s="48">
        <f>IF(B494="","",IFERROR(INDEX('04A_국토부원자료'!$A:$T,ROW()+1,MATCH("번지",'04A_국토부원자료'!$A$4:$T$4,0)),""))</f>
        <v/>
      </c>
      <c r="D494" s="48">
        <f>IF(B494="","",IF(Q494=1,'02_대상물건입력'!$B$8,IFERROR(INDEX('04A_국토부원자료'!$A:$T,ROW()+1,MATCH("단지명",'04A_국토부원자료'!$A$4:$T$4,0)),"")))</f>
        <v/>
      </c>
      <c r="E494" s="172">
        <f>IFERROR(VALUE(SUBSTITUTE(INDEX('04A_국토부원자료'!$A:$T,ROW()+1,MATCH("전용면적(㎡)",'04A_국토부원자료'!$A$4:$T$4,0)),",","")),"")</f>
        <v/>
      </c>
      <c r="F4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94" s="51">
        <f>IFERROR(VALUE(SUBSTITUTE(INDEX('04A_국토부원자료'!$A:$T,ROW()+1,MATCH("거래금액(만원)",'04A_국토부원자료'!$A$4:$T$4,0)),",","")),"")</f>
        <v/>
      </c>
      <c r="H494" s="174">
        <f>IF(G494="","",G494*10000)</f>
        <v/>
      </c>
      <c r="I494" s="174">
        <f>IFERROR(IF(AND(H494&gt;0,E494&gt;0),H494/E494,""),"")</f>
        <v/>
      </c>
      <c r="J494" s="152">
        <f>IFERROR(VALUE(SUBSTITUTE(INDEX('04A_국토부원자료'!$A:$T,ROW()+1,MATCH("층",'04A_국토부원자료'!$A$4:$T$4,0)),",","")),"")</f>
        <v/>
      </c>
      <c r="K494" s="152">
        <f>IFERROR(VALUE(SUBSTITUTE(INDEX('04A_국토부원자료'!$A:$T,ROW()+1,MATCH("건축년도",'04A_국토부원자료'!$A$4:$T$4,0)),",","")),"")</f>
        <v/>
      </c>
      <c r="L494" s="176">
        <f>IFERROR(INDEX('04A_국토부원자료'!$A:$T,ROW()+1,MATCH("도로명",'04A_국토부원자료'!$A$4:$T$4,0)),"")</f>
        <v/>
      </c>
      <c r="M494" s="48">
        <f>IFERROR(INDEX('04A_국토부원자료'!$A:$T,ROW()+1,MATCH("거래유형",'04A_국토부원자료'!$A$4:$T$4,0)),"")</f>
        <v/>
      </c>
      <c r="N494" s="152">
        <f>IF(B494="","",IF('02_대상물건입력'!B5="",1,IF(ISNUMBER(SEARCH('02_대상물건입력'!B5,B494)),1,0)))</f>
        <v/>
      </c>
      <c r="O494" s="152">
        <f>IF(B494="","",IF('02_대상물건입력'!B6="",1,IF(ISNUMBER(SEARCH('02_대상물건입력'!B6,B494)),1,0)))</f>
        <v/>
      </c>
      <c r="P494" s="152">
        <f>IF(L494="","",IF('02_대상물건입력'!B15="",0,IF(ISNUMBER(SEARCH('02_대상물건입력'!B15,L494)),1,0)))</f>
        <v/>
      </c>
      <c r="Q494" s="152">
        <f>IF(OR(C494="",L494=""),0,IF(AND(TRIM(C494)=TRIM(RIGHT(SUBSTITUTE(TRIM('02_대상물건입력'!$B$7)," ",REPT(" ",99)),99)),IF('02_대상물건입력'!B15="",TRUE(),ISNUMBER(SEARCH('02_대상물건입력'!B15,L494)))),1,0))</f>
        <v/>
      </c>
      <c r="R494" s="175">
        <f>IFERROR(ABS(E494-'02_대상물건입력'!B11)/'02_대상물건입력'!B11,"")</f>
        <v/>
      </c>
      <c r="S494" s="152">
        <f>IFERROR(ABS(J494-'02_대상물건입력'!B10),"")</f>
        <v/>
      </c>
      <c r="T494" s="152">
        <f>IFERROR(ABS('01_설정'!B4-F494),"")</f>
        <v/>
      </c>
      <c r="U494" s="152">
        <f>IFERROR(ABS(K494-YEAR('02_대상물건입력'!B14)),"")</f>
        <v/>
      </c>
      <c r="V494" s="152">
        <f>IF(B494="","",IF(AND(E494&gt;0,F494&gt;0,H494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494=1,TRUE()),R494&lt;='01_설정'!B5,S494&lt;='01_설정'!B6,T494&lt;='01_설정'!B7,U494&lt;='01_설정'!B8),"Y",""))</f>
        <v/>
      </c>
      <c r="W494" s="172">
        <f>IF(V494&lt;&gt;"Y","",MAX(0,(1-R494/'01_설정'!B5))*'01_설정'!B14+MAX(0,(1-S494/'01_설정'!B6))*'01_설정'!B15+MAX(0,(1-T494/'01_설정'!B7))*'01_설정'!B16+MAX(0,(1-U494/'01_설정'!B8))*'01_설정'!B17+O494*'01_설정'!B11+Q494*'01_설정'!B12+P494*'01_설정'!B13+IF(Z494="",0,Z494))</f>
        <v/>
      </c>
      <c r="X494" s="152">
        <f>IF(W494="","",1+COUNTIFS($W$4:$W$3003,"&gt;"&amp;W494)+COUNTIFS($W$4:W494,W494)-1)</f>
        <v/>
      </c>
      <c r="Y494" s="175">
        <f>IF(OR(I494="",'02_대상물건입력'!B19="",'02_대상물건입력'!B19&lt;=0),"",ABS(I494-'02_대상물건입력'!B19)/'02_대상물건입력'!B19)</f>
        <v/>
      </c>
      <c r="Z494" s="172">
        <f>IF(OR(Y494="",'01_설정'!B31="",'01_설정'!B31&lt;=0,'01_설정'!B32="",'01_설정'!B32&lt;=0),"",MAX(0,(1-Y494/'01_설정'!B32))*'01_설정'!B31)</f>
        <v/>
      </c>
    </row>
    <row r="495" ht="17.25" customHeight="1">
      <c r="A495" s="152">
        <f>IF(INDEX('04A_국토부원자료'!$A:$A,ROW()+1)="","",ROW()-3)</f>
        <v/>
      </c>
      <c r="B495" s="48">
        <f>IFERROR(INDEX('04A_국토부원자료'!$A:$T,ROW()+1,MATCH("시군구",'04A_국토부원자료'!$A$4:$T$4,0)),"")</f>
        <v/>
      </c>
      <c r="C495" s="48">
        <f>IF(B495="","",IFERROR(INDEX('04A_국토부원자료'!$A:$T,ROW()+1,MATCH("번지",'04A_국토부원자료'!$A$4:$T$4,0)),""))</f>
        <v/>
      </c>
      <c r="D495" s="48">
        <f>IF(B495="","",IF(Q495=1,'02_대상물건입력'!$B$8,IFERROR(INDEX('04A_국토부원자료'!$A:$T,ROW()+1,MATCH("단지명",'04A_국토부원자료'!$A$4:$T$4,0)),"")))</f>
        <v/>
      </c>
      <c r="E495" s="172">
        <f>IFERROR(VALUE(SUBSTITUTE(INDEX('04A_국토부원자료'!$A:$T,ROW()+1,MATCH("전용면적(㎡)",'04A_국토부원자료'!$A$4:$T$4,0)),",","")),"")</f>
        <v/>
      </c>
      <c r="F4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95" s="51">
        <f>IFERROR(VALUE(SUBSTITUTE(INDEX('04A_국토부원자료'!$A:$T,ROW()+1,MATCH("거래금액(만원)",'04A_국토부원자료'!$A$4:$T$4,0)),",","")),"")</f>
        <v/>
      </c>
      <c r="H495" s="174">
        <f>IF(G495="","",G495*10000)</f>
        <v/>
      </c>
      <c r="I495" s="174">
        <f>IFERROR(IF(AND(H495&gt;0,E495&gt;0),H495/E495,""),"")</f>
        <v/>
      </c>
      <c r="J495" s="152">
        <f>IFERROR(VALUE(SUBSTITUTE(INDEX('04A_국토부원자료'!$A:$T,ROW()+1,MATCH("층",'04A_국토부원자료'!$A$4:$T$4,0)),",","")),"")</f>
        <v/>
      </c>
      <c r="K495" s="152">
        <f>IFERROR(VALUE(SUBSTITUTE(INDEX('04A_국토부원자료'!$A:$T,ROW()+1,MATCH("건축년도",'04A_국토부원자료'!$A$4:$T$4,0)),",","")),"")</f>
        <v/>
      </c>
      <c r="L495" s="176">
        <f>IFERROR(INDEX('04A_국토부원자료'!$A:$T,ROW()+1,MATCH("도로명",'04A_국토부원자료'!$A$4:$T$4,0)),"")</f>
        <v/>
      </c>
      <c r="M495" s="48">
        <f>IFERROR(INDEX('04A_국토부원자료'!$A:$T,ROW()+1,MATCH("거래유형",'04A_국토부원자료'!$A$4:$T$4,0)),"")</f>
        <v/>
      </c>
      <c r="N495" s="152">
        <f>IF(B495="","",IF('02_대상물건입력'!B5="",1,IF(ISNUMBER(SEARCH('02_대상물건입력'!B5,B495)),1,0)))</f>
        <v/>
      </c>
      <c r="O495" s="152">
        <f>IF(B495="","",IF('02_대상물건입력'!B6="",1,IF(ISNUMBER(SEARCH('02_대상물건입력'!B6,B495)),1,0)))</f>
        <v/>
      </c>
      <c r="P495" s="152">
        <f>IF(L495="","",IF('02_대상물건입력'!B15="",0,IF(ISNUMBER(SEARCH('02_대상물건입력'!B15,L495)),1,0)))</f>
        <v/>
      </c>
      <c r="Q495" s="152">
        <f>IF(OR(C495="",L495=""),0,IF(AND(TRIM(C495)=TRIM(RIGHT(SUBSTITUTE(TRIM('02_대상물건입력'!$B$7)," ",REPT(" ",99)),99)),IF('02_대상물건입력'!B15="",TRUE(),ISNUMBER(SEARCH('02_대상물건입력'!B15,L495)))),1,0))</f>
        <v/>
      </c>
      <c r="R495" s="175">
        <f>IFERROR(ABS(E495-'02_대상물건입력'!B11)/'02_대상물건입력'!B11,"")</f>
        <v/>
      </c>
      <c r="S495" s="152">
        <f>IFERROR(ABS(J495-'02_대상물건입력'!B10),"")</f>
        <v/>
      </c>
      <c r="T495" s="152">
        <f>IFERROR(ABS('01_설정'!B4-F495),"")</f>
        <v/>
      </c>
      <c r="U495" s="152">
        <f>IFERROR(ABS(K495-YEAR('02_대상물건입력'!B14)),"")</f>
        <v/>
      </c>
      <c r="V495" s="152">
        <f>IF(B495="","",IF(AND(E495&gt;0,F495&gt;0,H495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495=1,TRUE()),R495&lt;='01_설정'!B5,S495&lt;='01_설정'!B6,T495&lt;='01_설정'!B7,U495&lt;='01_설정'!B8),"Y",""))</f>
        <v/>
      </c>
      <c r="W495" s="172">
        <f>IF(V495&lt;&gt;"Y","",MAX(0,(1-R495/'01_설정'!B5))*'01_설정'!B14+MAX(0,(1-S495/'01_설정'!B6))*'01_설정'!B15+MAX(0,(1-T495/'01_설정'!B7))*'01_설정'!B16+MAX(0,(1-U495/'01_설정'!B8))*'01_설정'!B17+O495*'01_설정'!B11+Q495*'01_설정'!B12+P495*'01_설정'!B13+IF(Z495="",0,Z495))</f>
        <v/>
      </c>
      <c r="X495" s="152">
        <f>IF(W495="","",1+COUNTIFS($W$4:$W$3003,"&gt;"&amp;W495)+COUNTIFS($W$4:W495,W495)-1)</f>
        <v/>
      </c>
      <c r="Y495" s="175">
        <f>IF(OR(I495="",'02_대상물건입력'!B19="",'02_대상물건입력'!B19&lt;=0),"",ABS(I495-'02_대상물건입력'!B19)/'02_대상물건입력'!B19)</f>
        <v/>
      </c>
      <c r="Z495" s="172">
        <f>IF(OR(Y495="",'01_설정'!B31="",'01_설정'!B31&lt;=0,'01_설정'!B32="",'01_설정'!B32&lt;=0),"",MAX(0,(1-Y495/'01_설정'!B32))*'01_설정'!B31)</f>
        <v/>
      </c>
    </row>
    <row r="496" ht="17.25" customHeight="1">
      <c r="A496" s="152">
        <f>IF(INDEX('04A_국토부원자료'!$A:$A,ROW()+1)="","",ROW()-3)</f>
        <v/>
      </c>
      <c r="B496" s="48">
        <f>IFERROR(INDEX('04A_국토부원자료'!$A:$T,ROW()+1,MATCH("시군구",'04A_국토부원자료'!$A$4:$T$4,0)),"")</f>
        <v/>
      </c>
      <c r="C496" s="48">
        <f>IF(B496="","",IFERROR(INDEX('04A_국토부원자료'!$A:$T,ROW()+1,MATCH("번지",'04A_국토부원자료'!$A$4:$T$4,0)),""))</f>
        <v/>
      </c>
      <c r="D496" s="48">
        <f>IF(B496="","",IF(Q496=1,'02_대상물건입력'!$B$8,IFERROR(INDEX('04A_국토부원자료'!$A:$T,ROW()+1,MATCH("단지명",'04A_국토부원자료'!$A$4:$T$4,0)),"")))</f>
        <v/>
      </c>
      <c r="E496" s="172">
        <f>IFERROR(VALUE(SUBSTITUTE(INDEX('04A_국토부원자료'!$A:$T,ROW()+1,MATCH("전용면적(㎡)",'04A_국토부원자료'!$A$4:$T$4,0)),",","")),"")</f>
        <v/>
      </c>
      <c r="F4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96" s="51">
        <f>IFERROR(VALUE(SUBSTITUTE(INDEX('04A_국토부원자료'!$A:$T,ROW()+1,MATCH("거래금액(만원)",'04A_국토부원자료'!$A$4:$T$4,0)),",","")),"")</f>
        <v/>
      </c>
      <c r="H496" s="174">
        <f>IF(G496="","",G496*10000)</f>
        <v/>
      </c>
      <c r="I496" s="174">
        <f>IFERROR(IF(AND(H496&gt;0,E496&gt;0),H496/E496,""),"")</f>
        <v/>
      </c>
      <c r="J496" s="152">
        <f>IFERROR(VALUE(SUBSTITUTE(INDEX('04A_국토부원자료'!$A:$T,ROW()+1,MATCH("층",'04A_국토부원자료'!$A$4:$T$4,0)),",","")),"")</f>
        <v/>
      </c>
      <c r="K496" s="152">
        <f>IFERROR(VALUE(SUBSTITUTE(INDEX('04A_국토부원자료'!$A:$T,ROW()+1,MATCH("건축년도",'04A_국토부원자료'!$A$4:$T$4,0)),",","")),"")</f>
        <v/>
      </c>
      <c r="L496" s="176">
        <f>IFERROR(INDEX('04A_국토부원자료'!$A:$T,ROW()+1,MATCH("도로명",'04A_국토부원자료'!$A$4:$T$4,0)),"")</f>
        <v/>
      </c>
      <c r="M496" s="48">
        <f>IFERROR(INDEX('04A_국토부원자료'!$A:$T,ROW()+1,MATCH("거래유형",'04A_국토부원자료'!$A$4:$T$4,0)),"")</f>
        <v/>
      </c>
      <c r="N496" s="152">
        <f>IF(B496="","",IF('02_대상물건입력'!B5="",1,IF(ISNUMBER(SEARCH('02_대상물건입력'!B5,B496)),1,0)))</f>
        <v/>
      </c>
      <c r="O496" s="152">
        <f>IF(B496="","",IF('02_대상물건입력'!B6="",1,IF(ISNUMBER(SEARCH('02_대상물건입력'!B6,B496)),1,0)))</f>
        <v/>
      </c>
      <c r="P496" s="152">
        <f>IF(L496="","",IF('02_대상물건입력'!B15="",0,IF(ISNUMBER(SEARCH('02_대상물건입력'!B15,L496)),1,0)))</f>
        <v/>
      </c>
      <c r="Q496" s="152">
        <f>IF(OR(C496="",L496=""),0,IF(AND(TRIM(C496)=TRIM(RIGHT(SUBSTITUTE(TRIM('02_대상물건입력'!$B$7)," ",REPT(" ",99)),99)),IF('02_대상물건입력'!B15="",TRUE(),ISNUMBER(SEARCH('02_대상물건입력'!B15,L496)))),1,0))</f>
        <v/>
      </c>
      <c r="R496" s="175">
        <f>IFERROR(ABS(E496-'02_대상물건입력'!B11)/'02_대상물건입력'!B11,"")</f>
        <v/>
      </c>
      <c r="S496" s="152">
        <f>IFERROR(ABS(J496-'02_대상물건입력'!B10),"")</f>
        <v/>
      </c>
      <c r="T496" s="152">
        <f>IFERROR(ABS('01_설정'!B4-F496),"")</f>
        <v/>
      </c>
      <c r="U496" s="152">
        <f>IFERROR(ABS(K496-YEAR('02_대상물건입력'!B14)),"")</f>
        <v/>
      </c>
      <c r="V496" s="152">
        <f>IF(B496="","",IF(AND(E496&gt;0,F496&gt;0,H496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496=1,TRUE()),R496&lt;='01_설정'!B5,S496&lt;='01_설정'!B6,T496&lt;='01_설정'!B7,U496&lt;='01_설정'!B8),"Y",""))</f>
        <v/>
      </c>
      <c r="W496" s="172">
        <f>IF(V496&lt;&gt;"Y","",MAX(0,(1-R496/'01_설정'!B5))*'01_설정'!B14+MAX(0,(1-S496/'01_설정'!B6))*'01_설정'!B15+MAX(0,(1-T496/'01_설정'!B7))*'01_설정'!B16+MAX(0,(1-U496/'01_설정'!B8))*'01_설정'!B17+O496*'01_설정'!B11+Q496*'01_설정'!B12+P496*'01_설정'!B13+IF(Z496="",0,Z496))</f>
        <v/>
      </c>
      <c r="X496" s="152">
        <f>IF(W496="","",1+COUNTIFS($W$4:$W$3003,"&gt;"&amp;W496)+COUNTIFS($W$4:W496,W496)-1)</f>
        <v/>
      </c>
      <c r="Y496" s="175">
        <f>IF(OR(I496="",'02_대상물건입력'!B19="",'02_대상물건입력'!B19&lt;=0),"",ABS(I496-'02_대상물건입력'!B19)/'02_대상물건입력'!B19)</f>
        <v/>
      </c>
      <c r="Z496" s="172">
        <f>IF(OR(Y496="",'01_설정'!B31="",'01_설정'!B31&lt;=0,'01_설정'!B32="",'01_설정'!B32&lt;=0),"",MAX(0,(1-Y496/'01_설정'!B32))*'01_설정'!B31)</f>
        <v/>
      </c>
    </row>
    <row r="497" ht="17.25" customHeight="1">
      <c r="A497" s="152">
        <f>IF(INDEX('04A_국토부원자료'!$A:$A,ROW()+1)="","",ROW()-3)</f>
        <v/>
      </c>
      <c r="B497" s="48">
        <f>IFERROR(INDEX('04A_국토부원자료'!$A:$T,ROW()+1,MATCH("시군구",'04A_국토부원자료'!$A$4:$T$4,0)),"")</f>
        <v/>
      </c>
      <c r="C497" s="48">
        <f>IF(B497="","",IFERROR(INDEX('04A_국토부원자료'!$A:$T,ROW()+1,MATCH("번지",'04A_국토부원자료'!$A$4:$T$4,0)),""))</f>
        <v/>
      </c>
      <c r="D497" s="48">
        <f>IF(B497="","",IF(Q497=1,'02_대상물건입력'!$B$8,IFERROR(INDEX('04A_국토부원자료'!$A:$T,ROW()+1,MATCH("단지명",'04A_국토부원자료'!$A$4:$T$4,0)),"")))</f>
        <v/>
      </c>
      <c r="E497" s="172">
        <f>IFERROR(VALUE(SUBSTITUTE(INDEX('04A_국토부원자료'!$A:$T,ROW()+1,MATCH("전용면적(㎡)",'04A_국토부원자료'!$A$4:$T$4,0)),",","")),"")</f>
        <v/>
      </c>
      <c r="F4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97" s="51">
        <f>IFERROR(VALUE(SUBSTITUTE(INDEX('04A_국토부원자료'!$A:$T,ROW()+1,MATCH("거래금액(만원)",'04A_국토부원자료'!$A$4:$T$4,0)),",","")),"")</f>
        <v/>
      </c>
      <c r="H497" s="174">
        <f>IF(G497="","",G497*10000)</f>
        <v/>
      </c>
      <c r="I497" s="174">
        <f>IFERROR(IF(AND(H497&gt;0,E497&gt;0),H497/E497,""),"")</f>
        <v/>
      </c>
      <c r="J497" s="152">
        <f>IFERROR(VALUE(SUBSTITUTE(INDEX('04A_국토부원자료'!$A:$T,ROW()+1,MATCH("층",'04A_국토부원자료'!$A$4:$T$4,0)),",","")),"")</f>
        <v/>
      </c>
      <c r="K497" s="152">
        <f>IFERROR(VALUE(SUBSTITUTE(INDEX('04A_국토부원자료'!$A:$T,ROW()+1,MATCH("건축년도",'04A_국토부원자료'!$A$4:$T$4,0)),",","")),"")</f>
        <v/>
      </c>
      <c r="L497" s="176">
        <f>IFERROR(INDEX('04A_국토부원자료'!$A:$T,ROW()+1,MATCH("도로명",'04A_국토부원자료'!$A$4:$T$4,0)),"")</f>
        <v/>
      </c>
      <c r="M497" s="48">
        <f>IFERROR(INDEX('04A_국토부원자료'!$A:$T,ROW()+1,MATCH("거래유형",'04A_국토부원자료'!$A$4:$T$4,0)),"")</f>
        <v/>
      </c>
      <c r="N497" s="152">
        <f>IF(B497="","",IF('02_대상물건입력'!B5="",1,IF(ISNUMBER(SEARCH('02_대상물건입력'!B5,B497)),1,0)))</f>
        <v/>
      </c>
      <c r="O497" s="152">
        <f>IF(B497="","",IF('02_대상물건입력'!B6="",1,IF(ISNUMBER(SEARCH('02_대상물건입력'!B6,B497)),1,0)))</f>
        <v/>
      </c>
      <c r="P497" s="152">
        <f>IF(L497="","",IF('02_대상물건입력'!B15="",0,IF(ISNUMBER(SEARCH('02_대상물건입력'!B15,L497)),1,0)))</f>
        <v/>
      </c>
      <c r="Q497" s="152">
        <f>IF(OR(C497="",L497=""),0,IF(AND(TRIM(C497)=TRIM(RIGHT(SUBSTITUTE(TRIM('02_대상물건입력'!$B$7)," ",REPT(" ",99)),99)),IF('02_대상물건입력'!B15="",TRUE(),ISNUMBER(SEARCH('02_대상물건입력'!B15,L497)))),1,0))</f>
        <v/>
      </c>
      <c r="R497" s="175">
        <f>IFERROR(ABS(E497-'02_대상물건입력'!B11)/'02_대상물건입력'!B11,"")</f>
        <v/>
      </c>
      <c r="S497" s="152">
        <f>IFERROR(ABS(J497-'02_대상물건입력'!B10),"")</f>
        <v/>
      </c>
      <c r="T497" s="152">
        <f>IFERROR(ABS('01_설정'!B4-F497),"")</f>
        <v/>
      </c>
      <c r="U497" s="152">
        <f>IFERROR(ABS(K497-YEAR('02_대상물건입력'!B14)),"")</f>
        <v/>
      </c>
      <c r="V497" s="152">
        <f>IF(B497="","",IF(AND(E497&gt;0,F497&gt;0,H497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497=1,TRUE()),R497&lt;='01_설정'!B5,S497&lt;='01_설정'!B6,T497&lt;='01_설정'!B7,U497&lt;='01_설정'!B8),"Y",""))</f>
        <v/>
      </c>
      <c r="W497" s="172">
        <f>IF(V497&lt;&gt;"Y","",MAX(0,(1-R497/'01_설정'!B5))*'01_설정'!B14+MAX(0,(1-S497/'01_설정'!B6))*'01_설정'!B15+MAX(0,(1-T497/'01_설정'!B7))*'01_설정'!B16+MAX(0,(1-U497/'01_설정'!B8))*'01_설정'!B17+O497*'01_설정'!B11+Q497*'01_설정'!B12+P497*'01_설정'!B13+IF(Z497="",0,Z497))</f>
        <v/>
      </c>
      <c r="X497" s="152">
        <f>IF(W497="","",1+COUNTIFS($W$4:$W$3003,"&gt;"&amp;W497)+COUNTIFS($W$4:W497,W497)-1)</f>
        <v/>
      </c>
      <c r="Y497" s="175">
        <f>IF(OR(I497="",'02_대상물건입력'!B19="",'02_대상물건입력'!B19&lt;=0),"",ABS(I497-'02_대상물건입력'!B19)/'02_대상물건입력'!B19)</f>
        <v/>
      </c>
      <c r="Z497" s="172">
        <f>IF(OR(Y497="",'01_설정'!B31="",'01_설정'!B31&lt;=0,'01_설정'!B32="",'01_설정'!B32&lt;=0),"",MAX(0,(1-Y497/'01_설정'!B32))*'01_설정'!B31)</f>
        <v/>
      </c>
    </row>
    <row r="498" ht="17.25" customHeight="1">
      <c r="A498" s="152">
        <f>IF(INDEX('04A_국토부원자료'!$A:$A,ROW()+1)="","",ROW()-3)</f>
        <v/>
      </c>
      <c r="B498" s="48">
        <f>IFERROR(INDEX('04A_국토부원자료'!$A:$T,ROW()+1,MATCH("시군구",'04A_국토부원자료'!$A$4:$T$4,0)),"")</f>
        <v/>
      </c>
      <c r="C498" s="48">
        <f>IF(B498="","",IFERROR(INDEX('04A_국토부원자료'!$A:$T,ROW()+1,MATCH("번지",'04A_국토부원자료'!$A$4:$T$4,0)),""))</f>
        <v/>
      </c>
      <c r="D498" s="48">
        <f>IF(B498="","",IF(Q498=1,'02_대상물건입력'!$B$8,IFERROR(INDEX('04A_국토부원자료'!$A:$T,ROW()+1,MATCH("단지명",'04A_국토부원자료'!$A$4:$T$4,0)),"")))</f>
        <v/>
      </c>
      <c r="E498" s="172">
        <f>IFERROR(VALUE(SUBSTITUTE(INDEX('04A_국토부원자료'!$A:$T,ROW()+1,MATCH("전용면적(㎡)",'04A_국토부원자료'!$A$4:$T$4,0)),",","")),"")</f>
        <v/>
      </c>
      <c r="F4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98" s="51">
        <f>IFERROR(VALUE(SUBSTITUTE(INDEX('04A_국토부원자료'!$A:$T,ROW()+1,MATCH("거래금액(만원)",'04A_국토부원자료'!$A$4:$T$4,0)),",","")),"")</f>
        <v/>
      </c>
      <c r="H498" s="174">
        <f>IF(G498="","",G498*10000)</f>
        <v/>
      </c>
      <c r="I498" s="174">
        <f>IFERROR(IF(AND(H498&gt;0,E498&gt;0),H498/E498,""),"")</f>
        <v/>
      </c>
      <c r="J498" s="152">
        <f>IFERROR(VALUE(SUBSTITUTE(INDEX('04A_국토부원자료'!$A:$T,ROW()+1,MATCH("층",'04A_국토부원자료'!$A$4:$T$4,0)),",","")),"")</f>
        <v/>
      </c>
      <c r="K498" s="152">
        <f>IFERROR(VALUE(SUBSTITUTE(INDEX('04A_국토부원자료'!$A:$T,ROW()+1,MATCH("건축년도",'04A_국토부원자료'!$A$4:$T$4,0)),",","")),"")</f>
        <v/>
      </c>
      <c r="L498" s="176">
        <f>IFERROR(INDEX('04A_국토부원자료'!$A:$T,ROW()+1,MATCH("도로명",'04A_국토부원자료'!$A$4:$T$4,0)),"")</f>
        <v/>
      </c>
      <c r="M498" s="48">
        <f>IFERROR(INDEX('04A_국토부원자료'!$A:$T,ROW()+1,MATCH("거래유형",'04A_국토부원자료'!$A$4:$T$4,0)),"")</f>
        <v/>
      </c>
      <c r="N498" s="152">
        <f>IF(B498="","",IF('02_대상물건입력'!B5="",1,IF(ISNUMBER(SEARCH('02_대상물건입력'!B5,B498)),1,0)))</f>
        <v/>
      </c>
      <c r="O498" s="152">
        <f>IF(B498="","",IF('02_대상물건입력'!B6="",1,IF(ISNUMBER(SEARCH('02_대상물건입력'!B6,B498)),1,0)))</f>
        <v/>
      </c>
      <c r="P498" s="152">
        <f>IF(L498="","",IF('02_대상물건입력'!B15="",0,IF(ISNUMBER(SEARCH('02_대상물건입력'!B15,L498)),1,0)))</f>
        <v/>
      </c>
      <c r="Q498" s="152">
        <f>IF(OR(C498="",L498=""),0,IF(AND(TRIM(C498)=TRIM(RIGHT(SUBSTITUTE(TRIM('02_대상물건입력'!$B$7)," ",REPT(" ",99)),99)),IF('02_대상물건입력'!B15="",TRUE(),ISNUMBER(SEARCH('02_대상물건입력'!B15,L498)))),1,0))</f>
        <v/>
      </c>
      <c r="R498" s="175">
        <f>IFERROR(ABS(E498-'02_대상물건입력'!B11)/'02_대상물건입력'!B11,"")</f>
        <v/>
      </c>
      <c r="S498" s="152">
        <f>IFERROR(ABS(J498-'02_대상물건입력'!B10),"")</f>
        <v/>
      </c>
      <c r="T498" s="152">
        <f>IFERROR(ABS('01_설정'!B4-F498),"")</f>
        <v/>
      </c>
      <c r="U498" s="152">
        <f>IFERROR(ABS(K498-YEAR('02_대상물건입력'!B14)),"")</f>
        <v/>
      </c>
      <c r="V498" s="152">
        <f>IF(B498="","",IF(AND(E498&gt;0,F498&gt;0,H498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498=1,TRUE()),R498&lt;='01_설정'!B5,S498&lt;='01_설정'!B6,T498&lt;='01_설정'!B7,U498&lt;='01_설정'!B8),"Y",""))</f>
        <v/>
      </c>
      <c r="W498" s="172">
        <f>IF(V498&lt;&gt;"Y","",MAX(0,(1-R498/'01_설정'!B5))*'01_설정'!B14+MAX(0,(1-S498/'01_설정'!B6))*'01_설정'!B15+MAX(0,(1-T498/'01_설정'!B7))*'01_설정'!B16+MAX(0,(1-U498/'01_설정'!B8))*'01_설정'!B17+O498*'01_설정'!B11+Q498*'01_설정'!B12+P498*'01_설정'!B13+IF(Z498="",0,Z498))</f>
        <v/>
      </c>
      <c r="X498" s="152">
        <f>IF(W498="","",1+COUNTIFS($W$4:$W$3003,"&gt;"&amp;W498)+COUNTIFS($W$4:W498,W498)-1)</f>
        <v/>
      </c>
      <c r="Y498" s="175">
        <f>IF(OR(I498="",'02_대상물건입력'!B19="",'02_대상물건입력'!B19&lt;=0),"",ABS(I498-'02_대상물건입력'!B19)/'02_대상물건입력'!B19)</f>
        <v/>
      </c>
      <c r="Z498" s="172">
        <f>IF(OR(Y498="",'01_설정'!B31="",'01_설정'!B31&lt;=0,'01_설정'!B32="",'01_설정'!B32&lt;=0),"",MAX(0,(1-Y498/'01_설정'!B32))*'01_설정'!B31)</f>
        <v/>
      </c>
    </row>
    <row r="499" ht="17.25" customHeight="1">
      <c r="A499" s="152">
        <f>IF(INDEX('04A_국토부원자료'!$A:$A,ROW()+1)="","",ROW()-3)</f>
        <v/>
      </c>
      <c r="B499" s="48">
        <f>IFERROR(INDEX('04A_국토부원자료'!$A:$T,ROW()+1,MATCH("시군구",'04A_국토부원자료'!$A$4:$T$4,0)),"")</f>
        <v/>
      </c>
      <c r="C499" s="48">
        <f>IF(B499="","",IFERROR(INDEX('04A_국토부원자료'!$A:$T,ROW()+1,MATCH("번지",'04A_국토부원자료'!$A$4:$T$4,0)),""))</f>
        <v/>
      </c>
      <c r="D499" s="48">
        <f>IF(B499="","",IF(Q499=1,'02_대상물건입력'!$B$8,IFERROR(INDEX('04A_국토부원자료'!$A:$T,ROW()+1,MATCH("단지명",'04A_국토부원자료'!$A$4:$T$4,0)),"")))</f>
        <v/>
      </c>
      <c r="E499" s="172">
        <f>IFERROR(VALUE(SUBSTITUTE(INDEX('04A_국토부원자료'!$A:$T,ROW()+1,MATCH("전용면적(㎡)",'04A_국토부원자료'!$A$4:$T$4,0)),",","")),"")</f>
        <v/>
      </c>
      <c r="F4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499" s="51">
        <f>IFERROR(VALUE(SUBSTITUTE(INDEX('04A_국토부원자료'!$A:$T,ROW()+1,MATCH("거래금액(만원)",'04A_국토부원자료'!$A$4:$T$4,0)),",","")),"")</f>
        <v/>
      </c>
      <c r="H499" s="174">
        <f>IF(G499="","",G499*10000)</f>
        <v/>
      </c>
      <c r="I499" s="174">
        <f>IFERROR(IF(AND(H499&gt;0,E499&gt;0),H499/E499,""),"")</f>
        <v/>
      </c>
      <c r="J499" s="152">
        <f>IFERROR(VALUE(SUBSTITUTE(INDEX('04A_국토부원자료'!$A:$T,ROW()+1,MATCH("층",'04A_국토부원자료'!$A$4:$T$4,0)),",","")),"")</f>
        <v/>
      </c>
      <c r="K499" s="152">
        <f>IFERROR(VALUE(SUBSTITUTE(INDEX('04A_국토부원자료'!$A:$T,ROW()+1,MATCH("건축년도",'04A_국토부원자료'!$A$4:$T$4,0)),",","")),"")</f>
        <v/>
      </c>
      <c r="L499" s="176">
        <f>IFERROR(INDEX('04A_국토부원자료'!$A:$T,ROW()+1,MATCH("도로명",'04A_국토부원자료'!$A$4:$T$4,0)),"")</f>
        <v/>
      </c>
      <c r="M499" s="48">
        <f>IFERROR(INDEX('04A_국토부원자료'!$A:$T,ROW()+1,MATCH("거래유형",'04A_국토부원자료'!$A$4:$T$4,0)),"")</f>
        <v/>
      </c>
      <c r="N499" s="152">
        <f>IF(B499="","",IF('02_대상물건입력'!B5="",1,IF(ISNUMBER(SEARCH('02_대상물건입력'!B5,B499)),1,0)))</f>
        <v/>
      </c>
      <c r="O499" s="152">
        <f>IF(B499="","",IF('02_대상물건입력'!B6="",1,IF(ISNUMBER(SEARCH('02_대상물건입력'!B6,B499)),1,0)))</f>
        <v/>
      </c>
      <c r="P499" s="152">
        <f>IF(L499="","",IF('02_대상물건입력'!B15="",0,IF(ISNUMBER(SEARCH('02_대상물건입력'!B15,L499)),1,0)))</f>
        <v/>
      </c>
      <c r="Q499" s="152">
        <f>IF(OR(C499="",L499=""),0,IF(AND(TRIM(C499)=TRIM(RIGHT(SUBSTITUTE(TRIM('02_대상물건입력'!$B$7)," ",REPT(" ",99)),99)),IF('02_대상물건입력'!B15="",TRUE(),ISNUMBER(SEARCH('02_대상물건입력'!B15,L499)))),1,0))</f>
        <v/>
      </c>
      <c r="R499" s="175">
        <f>IFERROR(ABS(E499-'02_대상물건입력'!B11)/'02_대상물건입력'!B11,"")</f>
        <v/>
      </c>
      <c r="S499" s="152">
        <f>IFERROR(ABS(J499-'02_대상물건입력'!B10),"")</f>
        <v/>
      </c>
      <c r="T499" s="152">
        <f>IFERROR(ABS('01_설정'!B4-F499),"")</f>
        <v/>
      </c>
      <c r="U499" s="152">
        <f>IFERROR(ABS(K499-YEAR('02_대상물건입력'!B14)),"")</f>
        <v/>
      </c>
      <c r="V499" s="152">
        <f>IF(B499="","",IF(AND(E499&gt;0,F499&gt;0,H499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499=1,TRUE()),R499&lt;='01_설정'!B5,S499&lt;='01_설정'!B6,T499&lt;='01_설정'!B7,U499&lt;='01_설정'!B8),"Y",""))</f>
        <v/>
      </c>
      <c r="W499" s="172">
        <f>IF(V499&lt;&gt;"Y","",MAX(0,(1-R499/'01_설정'!B5))*'01_설정'!B14+MAX(0,(1-S499/'01_설정'!B6))*'01_설정'!B15+MAX(0,(1-T499/'01_설정'!B7))*'01_설정'!B16+MAX(0,(1-U499/'01_설정'!B8))*'01_설정'!B17+O499*'01_설정'!B11+Q499*'01_설정'!B12+P499*'01_설정'!B13+IF(Z499="",0,Z499))</f>
        <v/>
      </c>
      <c r="X499" s="152">
        <f>IF(W499="","",1+COUNTIFS($W$4:$W$3003,"&gt;"&amp;W499)+COUNTIFS($W$4:W499,W499)-1)</f>
        <v/>
      </c>
      <c r="Y499" s="175">
        <f>IF(OR(I499="",'02_대상물건입력'!B19="",'02_대상물건입력'!B19&lt;=0),"",ABS(I499-'02_대상물건입력'!B19)/'02_대상물건입력'!B19)</f>
        <v/>
      </c>
      <c r="Z499" s="172">
        <f>IF(OR(Y499="",'01_설정'!B31="",'01_설정'!B31&lt;=0,'01_설정'!B32="",'01_설정'!B32&lt;=0),"",MAX(0,(1-Y499/'01_설정'!B32))*'01_설정'!B31)</f>
        <v/>
      </c>
    </row>
    <row r="500" ht="17.25" customHeight="1">
      <c r="A500" s="152">
        <f>IF(INDEX('04A_국토부원자료'!$A:$A,ROW()+1)="","",ROW()-3)</f>
        <v/>
      </c>
      <c r="B500" s="48">
        <f>IFERROR(INDEX('04A_국토부원자료'!$A:$T,ROW()+1,MATCH("시군구",'04A_국토부원자료'!$A$4:$T$4,0)),"")</f>
        <v/>
      </c>
      <c r="C500" s="48">
        <f>IF(B500="","",IFERROR(INDEX('04A_국토부원자료'!$A:$T,ROW()+1,MATCH("번지",'04A_국토부원자료'!$A$4:$T$4,0)),""))</f>
        <v/>
      </c>
      <c r="D500" s="48">
        <f>IF(B500="","",IF(Q500=1,'02_대상물건입력'!$B$8,IFERROR(INDEX('04A_국토부원자료'!$A:$T,ROW()+1,MATCH("단지명",'04A_국토부원자료'!$A$4:$T$4,0)),"")))</f>
        <v/>
      </c>
      <c r="E500" s="172">
        <f>IFERROR(VALUE(SUBSTITUTE(INDEX('04A_국토부원자료'!$A:$T,ROW()+1,MATCH("전용면적(㎡)",'04A_국토부원자료'!$A$4:$T$4,0)),",","")),"")</f>
        <v/>
      </c>
      <c r="F5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00" s="51">
        <f>IFERROR(VALUE(SUBSTITUTE(INDEX('04A_국토부원자료'!$A:$T,ROW()+1,MATCH("거래금액(만원)",'04A_국토부원자료'!$A$4:$T$4,0)),",","")),"")</f>
        <v/>
      </c>
      <c r="H500" s="174">
        <f>IF(G500="","",G500*10000)</f>
        <v/>
      </c>
      <c r="I500" s="174">
        <f>IFERROR(IF(AND(H500&gt;0,E500&gt;0),H500/E500,""),"")</f>
        <v/>
      </c>
      <c r="J500" s="152">
        <f>IFERROR(VALUE(SUBSTITUTE(INDEX('04A_국토부원자료'!$A:$T,ROW()+1,MATCH("층",'04A_국토부원자료'!$A$4:$T$4,0)),",","")),"")</f>
        <v/>
      </c>
      <c r="K500" s="152">
        <f>IFERROR(VALUE(SUBSTITUTE(INDEX('04A_국토부원자료'!$A:$T,ROW()+1,MATCH("건축년도",'04A_국토부원자료'!$A$4:$T$4,0)),",","")),"")</f>
        <v/>
      </c>
      <c r="L500" s="176">
        <f>IFERROR(INDEX('04A_국토부원자료'!$A:$T,ROW()+1,MATCH("도로명",'04A_국토부원자료'!$A$4:$T$4,0)),"")</f>
        <v/>
      </c>
      <c r="M500" s="48">
        <f>IFERROR(INDEX('04A_국토부원자료'!$A:$T,ROW()+1,MATCH("거래유형",'04A_국토부원자료'!$A$4:$T$4,0)),"")</f>
        <v/>
      </c>
      <c r="N500" s="152">
        <f>IF(B500="","",IF('02_대상물건입력'!B5="",1,IF(ISNUMBER(SEARCH('02_대상물건입력'!B5,B500)),1,0)))</f>
        <v/>
      </c>
      <c r="O500" s="152">
        <f>IF(B500="","",IF('02_대상물건입력'!B6="",1,IF(ISNUMBER(SEARCH('02_대상물건입력'!B6,B500)),1,0)))</f>
        <v/>
      </c>
      <c r="P500" s="152">
        <f>IF(L500="","",IF('02_대상물건입력'!B15="",0,IF(ISNUMBER(SEARCH('02_대상물건입력'!B15,L500)),1,0)))</f>
        <v/>
      </c>
      <c r="Q500" s="152">
        <f>IF(OR(C500="",L500=""),0,IF(AND(TRIM(C500)=TRIM(RIGHT(SUBSTITUTE(TRIM('02_대상물건입력'!$B$7)," ",REPT(" ",99)),99)),IF('02_대상물건입력'!B15="",TRUE(),ISNUMBER(SEARCH('02_대상물건입력'!B15,L500)))),1,0))</f>
        <v/>
      </c>
      <c r="R500" s="175">
        <f>IFERROR(ABS(E500-'02_대상물건입력'!B11)/'02_대상물건입력'!B11,"")</f>
        <v/>
      </c>
      <c r="S500" s="152">
        <f>IFERROR(ABS(J500-'02_대상물건입력'!B10),"")</f>
        <v/>
      </c>
      <c r="T500" s="152">
        <f>IFERROR(ABS('01_설정'!B4-F500),"")</f>
        <v/>
      </c>
      <c r="U500" s="152">
        <f>IFERROR(ABS(K500-YEAR('02_대상물건입력'!B14)),"")</f>
        <v/>
      </c>
      <c r="V500" s="152">
        <f>IF(B500="","",IF(AND(E500&gt;0,F500&gt;0,H500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500=1,TRUE()),R500&lt;='01_설정'!B5,S500&lt;='01_설정'!B6,T500&lt;='01_설정'!B7,U500&lt;='01_설정'!B8),"Y",""))</f>
        <v/>
      </c>
      <c r="W500" s="172">
        <f>IF(V500&lt;&gt;"Y","",MAX(0,(1-R500/'01_설정'!B5))*'01_설정'!B14+MAX(0,(1-S500/'01_설정'!B6))*'01_설정'!B15+MAX(0,(1-T500/'01_설정'!B7))*'01_설정'!B16+MAX(0,(1-U500/'01_설정'!B8))*'01_설정'!B17+O500*'01_설정'!B11+Q500*'01_설정'!B12+P500*'01_설정'!B13+IF(Z500="",0,Z500))</f>
        <v/>
      </c>
      <c r="X500" s="152">
        <f>IF(W500="","",1+COUNTIFS($W$4:$W$3003,"&gt;"&amp;W500)+COUNTIFS($W$4:W500,W500)-1)</f>
        <v/>
      </c>
      <c r="Y500" s="175">
        <f>IF(OR(I500="",'02_대상물건입력'!B19="",'02_대상물건입력'!B19&lt;=0),"",ABS(I500-'02_대상물건입력'!B19)/'02_대상물건입력'!B19)</f>
        <v/>
      </c>
      <c r="Z500" s="172">
        <f>IF(OR(Y500="",'01_설정'!B31="",'01_설정'!B31&lt;=0,'01_설정'!B32="",'01_설정'!B32&lt;=0),"",MAX(0,(1-Y500/'01_설정'!B32))*'01_설정'!B31)</f>
        <v/>
      </c>
    </row>
    <row r="501" ht="17.25" customHeight="1">
      <c r="A501" s="152">
        <f>IF(INDEX('04A_국토부원자료'!$A:$A,ROW()+1)="","",ROW()-3)</f>
        <v/>
      </c>
      <c r="B501" s="48">
        <f>IFERROR(INDEX('04A_국토부원자료'!$A:$T,ROW()+1,MATCH("시군구",'04A_국토부원자료'!$A$4:$T$4,0)),"")</f>
        <v/>
      </c>
      <c r="C501" s="48">
        <f>IF(B501="","",IFERROR(INDEX('04A_국토부원자료'!$A:$T,ROW()+1,MATCH("번지",'04A_국토부원자료'!$A$4:$T$4,0)),""))</f>
        <v/>
      </c>
      <c r="D501" s="48">
        <f>IF(B501="","",IF(Q501=1,'02_대상물건입력'!$B$8,IFERROR(INDEX('04A_국토부원자료'!$A:$T,ROW()+1,MATCH("단지명",'04A_국토부원자료'!$A$4:$T$4,0)),"")))</f>
        <v/>
      </c>
      <c r="E501" s="172">
        <f>IFERROR(VALUE(SUBSTITUTE(INDEX('04A_국토부원자료'!$A:$T,ROW()+1,MATCH("전용면적(㎡)",'04A_국토부원자료'!$A$4:$T$4,0)),",","")),"")</f>
        <v/>
      </c>
      <c r="F5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01" s="51">
        <f>IFERROR(VALUE(SUBSTITUTE(INDEX('04A_국토부원자료'!$A:$T,ROW()+1,MATCH("거래금액(만원)",'04A_국토부원자료'!$A$4:$T$4,0)),",","")),"")</f>
        <v/>
      </c>
      <c r="H501" s="174">
        <f>IF(G501="","",G501*10000)</f>
        <v/>
      </c>
      <c r="I501" s="174">
        <f>IFERROR(IF(AND(H501&gt;0,E501&gt;0),H501/E501,""),"")</f>
        <v/>
      </c>
      <c r="J501" s="152">
        <f>IFERROR(VALUE(SUBSTITUTE(INDEX('04A_국토부원자료'!$A:$T,ROW()+1,MATCH("층",'04A_국토부원자료'!$A$4:$T$4,0)),",","")),"")</f>
        <v/>
      </c>
      <c r="K501" s="152">
        <f>IFERROR(VALUE(SUBSTITUTE(INDEX('04A_국토부원자료'!$A:$T,ROW()+1,MATCH("건축년도",'04A_국토부원자료'!$A$4:$T$4,0)),",","")),"")</f>
        <v/>
      </c>
      <c r="L501" s="176">
        <f>IFERROR(INDEX('04A_국토부원자료'!$A:$T,ROW()+1,MATCH("도로명",'04A_국토부원자료'!$A$4:$T$4,0)),"")</f>
        <v/>
      </c>
      <c r="M501" s="48">
        <f>IFERROR(INDEX('04A_국토부원자료'!$A:$T,ROW()+1,MATCH("거래유형",'04A_국토부원자료'!$A$4:$T$4,0)),"")</f>
        <v/>
      </c>
      <c r="N501" s="152">
        <f>IF(B501="","",IF('02_대상물건입력'!B5="",1,IF(ISNUMBER(SEARCH('02_대상물건입력'!B5,B501)),1,0)))</f>
        <v/>
      </c>
      <c r="O501" s="152">
        <f>IF(B501="","",IF('02_대상물건입력'!B6="",1,IF(ISNUMBER(SEARCH('02_대상물건입력'!B6,B501)),1,0)))</f>
        <v/>
      </c>
      <c r="P501" s="152">
        <f>IF(L501="","",IF('02_대상물건입력'!B15="",0,IF(ISNUMBER(SEARCH('02_대상물건입력'!B15,L501)),1,0)))</f>
        <v/>
      </c>
      <c r="Q501" s="152">
        <f>IF(OR(C501="",L501=""),0,IF(AND(TRIM(C501)=TRIM(RIGHT(SUBSTITUTE(TRIM('02_대상물건입력'!$B$7)," ",REPT(" ",99)),99)),IF('02_대상물건입력'!B15="",TRUE(),ISNUMBER(SEARCH('02_대상물건입력'!B15,L501)))),1,0))</f>
        <v/>
      </c>
      <c r="R501" s="175">
        <f>IFERROR(ABS(E501-'02_대상물건입력'!B11)/'02_대상물건입력'!B11,"")</f>
        <v/>
      </c>
      <c r="S501" s="152">
        <f>IFERROR(ABS(J501-'02_대상물건입력'!B10),"")</f>
        <v/>
      </c>
      <c r="T501" s="152">
        <f>IFERROR(ABS('01_설정'!B4-F501),"")</f>
        <v/>
      </c>
      <c r="U501" s="152">
        <f>IFERROR(ABS(K501-YEAR('02_대상물건입력'!B14)),"")</f>
        <v/>
      </c>
      <c r="V501" s="152">
        <f>IF(B501="","",IF(AND(E501&gt;0,F501&gt;0,H501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501=1,TRUE()),R501&lt;='01_설정'!B5,S501&lt;='01_설정'!B6,T501&lt;='01_설정'!B7,U501&lt;='01_설정'!B8),"Y",""))</f>
        <v/>
      </c>
      <c r="W501" s="172">
        <f>IF(V501&lt;&gt;"Y","",MAX(0,(1-R501/'01_설정'!B5))*'01_설정'!B14+MAX(0,(1-S501/'01_설정'!B6))*'01_설정'!B15+MAX(0,(1-T501/'01_설정'!B7))*'01_설정'!B16+MAX(0,(1-U501/'01_설정'!B8))*'01_설정'!B17+O501*'01_설정'!B11+Q501*'01_설정'!B12+P501*'01_설정'!B13+IF(Z501="",0,Z501))</f>
        <v/>
      </c>
      <c r="X501" s="152">
        <f>IF(W501="","",1+COUNTIFS($W$4:$W$3003,"&gt;"&amp;W501)+COUNTIFS($W$4:W501,W501)-1)</f>
        <v/>
      </c>
      <c r="Y501" s="175">
        <f>IF(OR(I501="",'02_대상물건입력'!B19="",'02_대상물건입력'!B19&lt;=0),"",ABS(I501-'02_대상물건입력'!B19)/'02_대상물건입력'!B19)</f>
        <v/>
      </c>
      <c r="Z501" s="172">
        <f>IF(OR(Y501="",'01_설정'!B31="",'01_설정'!B31&lt;=0,'01_설정'!B32="",'01_설정'!B32&lt;=0),"",MAX(0,(1-Y501/'01_설정'!B32))*'01_설정'!B31)</f>
        <v/>
      </c>
    </row>
    <row r="502" ht="17.25" customHeight="1">
      <c r="A502" s="152">
        <f>IF(INDEX('04A_국토부원자료'!$A:$A,ROW()+1)="","",ROW()-3)</f>
        <v/>
      </c>
      <c r="B502" s="48">
        <f>IFERROR(INDEX('04A_국토부원자료'!$A:$T,ROW()+1,MATCH("시군구",'04A_국토부원자료'!$A$4:$T$4,0)),"")</f>
        <v/>
      </c>
      <c r="C502" s="48">
        <f>IF(B502="","",IFERROR(INDEX('04A_국토부원자료'!$A:$T,ROW()+1,MATCH("번지",'04A_국토부원자료'!$A$4:$T$4,0)),""))</f>
        <v/>
      </c>
      <c r="D502" s="48">
        <f>IF(B502="","",IF(Q502=1,'02_대상물건입력'!$B$8,IFERROR(INDEX('04A_국토부원자료'!$A:$T,ROW()+1,MATCH("단지명",'04A_국토부원자료'!$A$4:$T$4,0)),"")))</f>
        <v/>
      </c>
      <c r="E502" s="172">
        <f>IFERROR(VALUE(SUBSTITUTE(INDEX('04A_국토부원자료'!$A:$T,ROW()+1,MATCH("전용면적(㎡)",'04A_국토부원자료'!$A$4:$T$4,0)),",","")),"")</f>
        <v/>
      </c>
      <c r="F5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02" s="51">
        <f>IFERROR(VALUE(SUBSTITUTE(INDEX('04A_국토부원자료'!$A:$T,ROW()+1,MATCH("거래금액(만원)",'04A_국토부원자료'!$A$4:$T$4,0)),",","")),"")</f>
        <v/>
      </c>
      <c r="H502" s="174">
        <f>IF(G502="","",G502*10000)</f>
        <v/>
      </c>
      <c r="I502" s="174">
        <f>IFERROR(IF(AND(H502&gt;0,E502&gt;0),H502/E502,""),"")</f>
        <v/>
      </c>
      <c r="J502" s="152">
        <f>IFERROR(VALUE(SUBSTITUTE(INDEX('04A_국토부원자료'!$A:$T,ROW()+1,MATCH("층",'04A_국토부원자료'!$A$4:$T$4,0)),",","")),"")</f>
        <v/>
      </c>
      <c r="K502" s="152">
        <f>IFERROR(VALUE(SUBSTITUTE(INDEX('04A_국토부원자료'!$A:$T,ROW()+1,MATCH("건축년도",'04A_국토부원자료'!$A$4:$T$4,0)),",","")),"")</f>
        <v/>
      </c>
      <c r="L502" s="176">
        <f>IFERROR(INDEX('04A_국토부원자료'!$A:$T,ROW()+1,MATCH("도로명",'04A_국토부원자료'!$A$4:$T$4,0)),"")</f>
        <v/>
      </c>
      <c r="M502" s="48">
        <f>IFERROR(INDEX('04A_국토부원자료'!$A:$T,ROW()+1,MATCH("거래유형",'04A_국토부원자료'!$A$4:$T$4,0)),"")</f>
        <v/>
      </c>
      <c r="N502" s="152">
        <f>IF(B502="","",IF('02_대상물건입력'!B5="",1,IF(ISNUMBER(SEARCH('02_대상물건입력'!B5,B502)),1,0)))</f>
        <v/>
      </c>
      <c r="O502" s="152">
        <f>IF(B502="","",IF('02_대상물건입력'!B6="",1,IF(ISNUMBER(SEARCH('02_대상물건입력'!B6,B502)),1,0)))</f>
        <v/>
      </c>
      <c r="P502" s="152">
        <f>IF(L502="","",IF('02_대상물건입력'!B15="",0,IF(ISNUMBER(SEARCH('02_대상물건입력'!B15,L502)),1,0)))</f>
        <v/>
      </c>
      <c r="Q502" s="152">
        <f>IF(OR(C502="",L502=""),0,IF(AND(TRIM(C502)=TRIM(RIGHT(SUBSTITUTE(TRIM('02_대상물건입력'!$B$7)," ",REPT(" ",99)),99)),IF('02_대상물건입력'!B15="",TRUE(),ISNUMBER(SEARCH('02_대상물건입력'!B15,L502)))),1,0))</f>
        <v/>
      </c>
      <c r="R502" s="175">
        <f>IFERROR(ABS(E502-'02_대상물건입력'!B11)/'02_대상물건입력'!B11,"")</f>
        <v/>
      </c>
      <c r="S502" s="152">
        <f>IFERROR(ABS(J502-'02_대상물건입력'!B10),"")</f>
        <v/>
      </c>
      <c r="T502" s="152">
        <f>IFERROR(ABS('01_설정'!B4-F502),"")</f>
        <v/>
      </c>
      <c r="U502" s="152">
        <f>IFERROR(ABS(K502-YEAR('02_대상물건입력'!B14)),"")</f>
        <v/>
      </c>
      <c r="V502" s="152">
        <f>IF(B502="","",IF(AND(E502&gt;0,F502&gt;0,H502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502=1,TRUE()),R502&lt;='01_설정'!B5,S502&lt;='01_설정'!B6,T502&lt;='01_설정'!B7,U502&lt;='01_설정'!B8),"Y",""))</f>
        <v/>
      </c>
      <c r="W502" s="172">
        <f>IF(V502&lt;&gt;"Y","",MAX(0,(1-R502/'01_설정'!B5))*'01_설정'!B14+MAX(0,(1-S502/'01_설정'!B6))*'01_설정'!B15+MAX(0,(1-T502/'01_설정'!B7))*'01_설정'!B16+MAX(0,(1-U502/'01_설정'!B8))*'01_설정'!B17+O502*'01_설정'!B11+Q502*'01_설정'!B12+P502*'01_설정'!B13+IF(Z502="",0,Z502))</f>
        <v/>
      </c>
      <c r="X502" s="152">
        <f>IF(W502="","",1+COUNTIFS($W$4:$W$3003,"&gt;"&amp;W502)+COUNTIFS($W$4:W502,W502)-1)</f>
        <v/>
      </c>
      <c r="Y502" s="175">
        <f>IF(OR(I502="",'02_대상물건입력'!B19="",'02_대상물건입력'!B19&lt;=0),"",ABS(I502-'02_대상물건입력'!B19)/'02_대상물건입력'!B19)</f>
        <v/>
      </c>
      <c r="Z502" s="172">
        <f>IF(OR(Y502="",'01_설정'!B31="",'01_설정'!B31&lt;=0,'01_설정'!B32="",'01_설정'!B32&lt;=0),"",MAX(0,(1-Y502/'01_설정'!B32))*'01_설정'!B31)</f>
        <v/>
      </c>
    </row>
    <row r="503" ht="17.25" customHeight="1">
      <c r="A503" s="152">
        <f>IF(INDEX('04A_국토부원자료'!$A:$A,ROW()+1)="","",ROW()-3)</f>
        <v/>
      </c>
      <c r="B503" s="48">
        <f>IFERROR(INDEX('04A_국토부원자료'!$A:$T,ROW()+1,MATCH("시군구",'04A_국토부원자료'!$A$4:$T$4,0)),"")</f>
        <v/>
      </c>
      <c r="C503" s="48">
        <f>IF(B503="","",IFERROR(INDEX('04A_국토부원자료'!$A:$T,ROW()+1,MATCH("번지",'04A_국토부원자료'!$A$4:$T$4,0)),""))</f>
        <v/>
      </c>
      <c r="D503" s="48">
        <f>IF(B503="","",IF(Q503=1,'02_대상물건입력'!$B$8,IFERROR(INDEX('04A_국토부원자료'!$A:$T,ROW()+1,MATCH("단지명",'04A_국토부원자료'!$A$4:$T$4,0)),"")))</f>
        <v/>
      </c>
      <c r="E503" s="172">
        <f>IFERROR(VALUE(SUBSTITUTE(INDEX('04A_국토부원자료'!$A:$T,ROW()+1,MATCH("전용면적(㎡)",'04A_국토부원자료'!$A$4:$T$4,0)),",","")),"")</f>
        <v/>
      </c>
      <c r="F5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03" s="51">
        <f>IFERROR(VALUE(SUBSTITUTE(INDEX('04A_국토부원자료'!$A:$T,ROW()+1,MATCH("거래금액(만원)",'04A_국토부원자료'!$A$4:$T$4,0)),",","")),"")</f>
        <v/>
      </c>
      <c r="H503" s="174">
        <f>IF(G503="","",G503*10000)</f>
        <v/>
      </c>
      <c r="I503" s="174">
        <f>IFERROR(IF(AND(H503&gt;0,E503&gt;0),H503/E503,""),"")</f>
        <v/>
      </c>
      <c r="J503" s="152">
        <f>IFERROR(VALUE(SUBSTITUTE(INDEX('04A_국토부원자료'!$A:$T,ROW()+1,MATCH("층",'04A_국토부원자료'!$A$4:$T$4,0)),",","")),"")</f>
        <v/>
      </c>
      <c r="K503" s="152">
        <f>IFERROR(VALUE(SUBSTITUTE(INDEX('04A_국토부원자료'!$A:$T,ROW()+1,MATCH("건축년도",'04A_국토부원자료'!$A$4:$T$4,0)),",","")),"")</f>
        <v/>
      </c>
      <c r="L503" s="176">
        <f>IFERROR(INDEX('04A_국토부원자료'!$A:$T,ROW()+1,MATCH("도로명",'04A_국토부원자료'!$A$4:$T$4,0)),"")</f>
        <v/>
      </c>
      <c r="M503" s="48">
        <f>IFERROR(INDEX('04A_국토부원자료'!$A:$T,ROW()+1,MATCH("거래유형",'04A_국토부원자료'!$A$4:$T$4,0)),"")</f>
        <v/>
      </c>
      <c r="N503" s="152">
        <f>IF(B503="","",IF('02_대상물건입력'!B5="",1,IF(ISNUMBER(SEARCH('02_대상물건입력'!B5,B503)),1,0)))</f>
        <v/>
      </c>
      <c r="O503" s="152">
        <f>IF(B503="","",IF('02_대상물건입력'!B6="",1,IF(ISNUMBER(SEARCH('02_대상물건입력'!B6,B503)),1,0)))</f>
        <v/>
      </c>
      <c r="P503" s="152">
        <f>IF(L503="","",IF('02_대상물건입력'!B15="",0,IF(ISNUMBER(SEARCH('02_대상물건입력'!B15,L503)),1,0)))</f>
        <v/>
      </c>
      <c r="Q503" s="152">
        <f>IF(OR(C503="",L503=""),0,IF(AND(TRIM(C503)=TRIM(RIGHT(SUBSTITUTE(TRIM('02_대상물건입력'!$B$7)," ",REPT(" ",99)),99)),IF('02_대상물건입력'!B15="",TRUE(),ISNUMBER(SEARCH('02_대상물건입력'!B15,L503)))),1,0))</f>
        <v/>
      </c>
      <c r="R503" s="175">
        <f>IFERROR(ABS(E503-'02_대상물건입력'!B11)/'02_대상물건입력'!B11,"")</f>
        <v/>
      </c>
      <c r="S503" s="152">
        <f>IFERROR(ABS(J503-'02_대상물건입력'!B10),"")</f>
        <v/>
      </c>
      <c r="T503" s="152">
        <f>IFERROR(ABS('01_설정'!B4-F503),"")</f>
        <v/>
      </c>
      <c r="U503" s="152">
        <f>IFERROR(ABS(K503-YEAR('02_대상물건입력'!B14)),"")</f>
        <v/>
      </c>
      <c r="V503" s="152">
        <f>IF(B503="","",IF(AND(E503&gt;0,F503&gt;0,H503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503=1,TRUE()),R503&lt;='01_설정'!B5,S503&lt;='01_설정'!B6,T503&lt;='01_설정'!B7,U503&lt;='01_설정'!B8),"Y",""))</f>
        <v/>
      </c>
      <c r="W503" s="172">
        <f>IF(V503&lt;&gt;"Y","",MAX(0,(1-R503/'01_설정'!B5))*'01_설정'!B14+MAX(0,(1-S503/'01_설정'!B6))*'01_설정'!B15+MAX(0,(1-T503/'01_설정'!B7))*'01_설정'!B16+MAX(0,(1-U503/'01_설정'!B8))*'01_설정'!B17+O503*'01_설정'!B11+Q503*'01_설정'!B12+P503*'01_설정'!B13+IF(Z503="",0,Z503))</f>
        <v/>
      </c>
      <c r="X503" s="152">
        <f>IF(W503="","",1+COUNTIFS($W$4:$W$3003,"&gt;"&amp;W503)+COUNTIFS($W$4:W503,W503)-1)</f>
        <v/>
      </c>
      <c r="Y503" s="175">
        <f>IF(OR(I503="",'02_대상물건입력'!B19="",'02_대상물건입력'!B19&lt;=0),"",ABS(I503-'02_대상물건입력'!B19)/'02_대상물건입력'!B19)</f>
        <v/>
      </c>
      <c r="Z503" s="172">
        <f>IF(OR(Y503="",'01_설정'!B31="",'01_설정'!B31&lt;=0,'01_설정'!B32="",'01_설정'!B32&lt;=0),"",MAX(0,(1-Y503/'01_설정'!B32))*'01_설정'!B31)</f>
        <v/>
      </c>
    </row>
    <row r="504" ht="17.25" customHeight="1">
      <c r="A504" s="152">
        <f>IF(INDEX('04A_국토부원자료'!$A:$A,ROW()+1)="","",ROW()-3)</f>
        <v/>
      </c>
      <c r="B504" s="48">
        <f>IFERROR(INDEX('04A_국토부원자료'!$A:$T,ROW()+1,MATCH("시군구",'04A_국토부원자료'!$A$4:$T$4,0)),"")</f>
        <v/>
      </c>
      <c r="C504" s="48">
        <f>IF(B504="","",IFERROR(INDEX('04A_국토부원자료'!$A:$T,ROW()+1,MATCH("번지",'04A_국토부원자료'!$A$4:$T$4,0)),""))</f>
        <v/>
      </c>
      <c r="D504" s="48">
        <f>IF(B504="","",IF(Q504=1,'02_대상물건입력'!$B$8,IFERROR(INDEX('04A_국토부원자료'!$A:$T,ROW()+1,MATCH("단지명",'04A_국토부원자료'!$A$4:$T$4,0)),"")))</f>
        <v/>
      </c>
      <c r="E504" s="172">
        <f>IFERROR(VALUE(SUBSTITUTE(INDEX('04A_국토부원자료'!$A:$T,ROW()+1,MATCH("전용면적(㎡)",'04A_국토부원자료'!$A$4:$T$4,0)),",","")),"")</f>
        <v/>
      </c>
      <c r="F5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04" s="51">
        <f>IFERROR(VALUE(SUBSTITUTE(INDEX('04A_국토부원자료'!$A:$T,ROW()+1,MATCH("거래금액(만원)",'04A_국토부원자료'!$A$4:$T$4,0)),",","")),"")</f>
        <v/>
      </c>
      <c r="H504" s="174">
        <f>IF(G504="","",G504*10000)</f>
        <v/>
      </c>
      <c r="I504" s="174">
        <f>IFERROR(IF(AND(H504&gt;0,E504&gt;0),H504/E504,""),"")</f>
        <v/>
      </c>
      <c r="J504" s="152">
        <f>IFERROR(VALUE(SUBSTITUTE(INDEX('04A_국토부원자료'!$A:$T,ROW()+1,MATCH("층",'04A_국토부원자료'!$A$4:$T$4,0)),",","")),"")</f>
        <v/>
      </c>
      <c r="K504" s="152">
        <f>IFERROR(VALUE(SUBSTITUTE(INDEX('04A_국토부원자료'!$A:$T,ROW()+1,MATCH("건축년도",'04A_국토부원자료'!$A$4:$T$4,0)),",","")),"")</f>
        <v/>
      </c>
      <c r="L504" s="176">
        <f>IFERROR(INDEX('04A_국토부원자료'!$A:$T,ROW()+1,MATCH("도로명",'04A_국토부원자료'!$A$4:$T$4,0)),"")</f>
        <v/>
      </c>
      <c r="M504" s="48">
        <f>IFERROR(INDEX('04A_국토부원자료'!$A:$T,ROW()+1,MATCH("거래유형",'04A_국토부원자료'!$A$4:$T$4,0)),"")</f>
        <v/>
      </c>
      <c r="N504" s="152">
        <f>IF(B504="","",IF('02_대상물건입력'!B5="",1,IF(ISNUMBER(SEARCH('02_대상물건입력'!B5,B504)),1,0)))</f>
        <v/>
      </c>
      <c r="O504" s="152">
        <f>IF(B504="","",IF('02_대상물건입력'!B6="",1,IF(ISNUMBER(SEARCH('02_대상물건입력'!B6,B504)),1,0)))</f>
        <v/>
      </c>
      <c r="P504" s="152">
        <f>IF(L504="","",IF('02_대상물건입력'!B15="",0,IF(ISNUMBER(SEARCH('02_대상물건입력'!B15,L504)),1,0)))</f>
        <v/>
      </c>
      <c r="Q504" s="152">
        <f>IF(OR(C504="",L504=""),0,IF(AND(TRIM(C504)=TRIM(RIGHT(SUBSTITUTE(TRIM('02_대상물건입력'!$B$7)," ",REPT(" ",99)),99)),IF('02_대상물건입력'!B15="",TRUE(),ISNUMBER(SEARCH('02_대상물건입력'!B15,L504)))),1,0))</f>
        <v/>
      </c>
      <c r="R504" s="175">
        <f>IFERROR(ABS(E504-'02_대상물건입력'!B11)/'02_대상물건입력'!B11,"")</f>
        <v/>
      </c>
      <c r="S504" s="152">
        <f>IFERROR(ABS(J504-'02_대상물건입력'!B10),"")</f>
        <v/>
      </c>
      <c r="T504" s="152">
        <f>IFERROR(ABS('01_설정'!B4-F504),"")</f>
        <v/>
      </c>
      <c r="U504" s="152">
        <f>IFERROR(ABS(K504-YEAR('02_대상물건입력'!B14)),"")</f>
        <v/>
      </c>
      <c r="V504" s="152">
        <f>IF(B504="","",IF(AND(E504&gt;0,F504&gt;0,H504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504=1,TRUE()),R504&lt;='01_설정'!B5,S504&lt;='01_설정'!B6,T504&lt;='01_설정'!B7,U504&lt;='01_설정'!B8),"Y",""))</f>
        <v/>
      </c>
      <c r="W504" s="172">
        <f>IF(V504&lt;&gt;"Y","",MAX(0,(1-R504/'01_설정'!B5))*'01_설정'!B14+MAX(0,(1-S504/'01_설정'!B6))*'01_설정'!B15+MAX(0,(1-T504/'01_설정'!B7))*'01_설정'!B16+MAX(0,(1-U504/'01_설정'!B8))*'01_설정'!B17+O504*'01_설정'!B11+Q504*'01_설정'!B12+P504*'01_설정'!B13+IF(Z504="",0,Z504))</f>
        <v/>
      </c>
      <c r="X504" s="152">
        <f>IF(W504="","",1+COUNTIFS($W$4:$W$3003,"&gt;"&amp;W504)+COUNTIFS($W$4:W504,W504)-1)</f>
        <v/>
      </c>
      <c r="Y504" s="175">
        <f>IF(OR(I504="",'02_대상물건입력'!B19="",'02_대상물건입력'!B19&lt;=0),"",ABS(I504-'02_대상물건입력'!B19)/'02_대상물건입력'!B19)</f>
        <v/>
      </c>
      <c r="Z504" s="172">
        <f>IF(OR(Y504="",'01_설정'!B31="",'01_설정'!B31&lt;=0,'01_설정'!B32="",'01_설정'!B32&lt;=0),"",MAX(0,(1-Y504/'01_설정'!B32))*'01_설정'!B31)</f>
        <v/>
      </c>
    </row>
    <row r="505" ht="17.25" customHeight="1">
      <c r="A505" s="152">
        <f>IF(INDEX('04A_국토부원자료'!$A:$A,ROW()+1)="","",ROW()-3)</f>
        <v/>
      </c>
      <c r="B505" s="48">
        <f>IFERROR(INDEX('04A_국토부원자료'!$A:$T,ROW()+1,MATCH("시군구",'04A_국토부원자료'!$A$4:$T$4,0)),"")</f>
        <v/>
      </c>
      <c r="C505" s="48">
        <f>IF(B505="","",IFERROR(INDEX('04A_국토부원자료'!$A:$T,ROW()+1,MATCH("번지",'04A_국토부원자료'!$A$4:$T$4,0)),""))</f>
        <v/>
      </c>
      <c r="D505" s="48">
        <f>IF(B505="","",IF(Q505=1,'02_대상물건입력'!$B$8,IFERROR(INDEX('04A_국토부원자료'!$A:$T,ROW()+1,MATCH("단지명",'04A_국토부원자료'!$A$4:$T$4,0)),"")))</f>
        <v/>
      </c>
      <c r="E505" s="172">
        <f>IFERROR(VALUE(SUBSTITUTE(INDEX('04A_국토부원자료'!$A:$T,ROW()+1,MATCH("전용면적(㎡)",'04A_국토부원자료'!$A$4:$T$4,0)),",","")),"")</f>
        <v/>
      </c>
      <c r="F5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05" s="51">
        <f>IFERROR(VALUE(SUBSTITUTE(INDEX('04A_국토부원자료'!$A:$T,ROW()+1,MATCH("거래금액(만원)",'04A_국토부원자료'!$A$4:$T$4,0)),",","")),"")</f>
        <v/>
      </c>
      <c r="H505" s="174">
        <f>IF(G505="","",G505*10000)</f>
        <v/>
      </c>
      <c r="I505" s="174">
        <f>IFERROR(IF(AND(H505&gt;0,E505&gt;0),H505/E505,""),"")</f>
        <v/>
      </c>
      <c r="J505" s="152">
        <f>IFERROR(VALUE(SUBSTITUTE(INDEX('04A_국토부원자료'!$A:$T,ROW()+1,MATCH("층",'04A_국토부원자료'!$A$4:$T$4,0)),",","")),"")</f>
        <v/>
      </c>
      <c r="K505" s="152">
        <f>IFERROR(VALUE(SUBSTITUTE(INDEX('04A_국토부원자료'!$A:$T,ROW()+1,MATCH("건축년도",'04A_국토부원자료'!$A$4:$T$4,0)),",","")),"")</f>
        <v/>
      </c>
      <c r="L505" s="176">
        <f>IFERROR(INDEX('04A_국토부원자료'!$A:$T,ROW()+1,MATCH("도로명",'04A_국토부원자료'!$A$4:$T$4,0)),"")</f>
        <v/>
      </c>
      <c r="M505" s="48">
        <f>IFERROR(INDEX('04A_국토부원자료'!$A:$T,ROW()+1,MATCH("거래유형",'04A_국토부원자료'!$A$4:$T$4,0)),"")</f>
        <v/>
      </c>
      <c r="N505" s="152">
        <f>IF(B505="","",IF('02_대상물건입력'!B5="",1,IF(ISNUMBER(SEARCH('02_대상물건입력'!B5,B505)),1,0)))</f>
        <v/>
      </c>
      <c r="O505" s="152">
        <f>IF(B505="","",IF('02_대상물건입력'!B6="",1,IF(ISNUMBER(SEARCH('02_대상물건입력'!B6,B505)),1,0)))</f>
        <v/>
      </c>
      <c r="P505" s="152">
        <f>IF(L505="","",IF('02_대상물건입력'!B15="",0,IF(ISNUMBER(SEARCH('02_대상물건입력'!B15,L505)),1,0)))</f>
        <v/>
      </c>
      <c r="Q505" s="152">
        <f>IF(OR(C505="",L505=""),0,IF(AND(TRIM(C505)=TRIM(RIGHT(SUBSTITUTE(TRIM('02_대상물건입력'!$B$7)," ",REPT(" ",99)),99)),IF('02_대상물건입력'!B15="",TRUE(),ISNUMBER(SEARCH('02_대상물건입력'!B15,L505)))),1,0))</f>
        <v/>
      </c>
      <c r="R505" s="175">
        <f>IFERROR(ABS(E505-'02_대상물건입력'!B11)/'02_대상물건입력'!B11,"")</f>
        <v/>
      </c>
      <c r="S505" s="152">
        <f>IFERROR(ABS(J505-'02_대상물건입력'!B10),"")</f>
        <v/>
      </c>
      <c r="T505" s="152">
        <f>IFERROR(ABS('01_설정'!B4-F505),"")</f>
        <v/>
      </c>
      <c r="U505" s="152">
        <f>IFERROR(ABS(K505-YEAR('02_대상물건입력'!B14)),"")</f>
        <v/>
      </c>
      <c r="V505" s="152">
        <f>IF(B505="","",IF(AND(E505&gt;0,F505&gt;0,H505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505=1,TRUE()),R505&lt;='01_설정'!B5,S505&lt;='01_설정'!B6,T505&lt;='01_설정'!B7,U505&lt;='01_설정'!B8),"Y",""))</f>
        <v/>
      </c>
      <c r="W505" s="172">
        <f>IF(V505&lt;&gt;"Y","",MAX(0,(1-R505/'01_설정'!B5))*'01_설정'!B14+MAX(0,(1-S505/'01_설정'!B6))*'01_설정'!B15+MAX(0,(1-T505/'01_설정'!B7))*'01_설정'!B16+MAX(0,(1-U505/'01_설정'!B8))*'01_설정'!B17+O505*'01_설정'!B11+Q505*'01_설정'!B12+P505*'01_설정'!B13+IF(Z505="",0,Z505))</f>
        <v/>
      </c>
      <c r="X505" s="152">
        <f>IF(W505="","",1+COUNTIFS($W$4:$W$3003,"&gt;"&amp;W505)+COUNTIFS($W$4:W505,W505)-1)</f>
        <v/>
      </c>
      <c r="Y505" s="175">
        <f>IF(OR(I505="",'02_대상물건입력'!B19="",'02_대상물건입력'!B19&lt;=0),"",ABS(I505-'02_대상물건입력'!B19)/'02_대상물건입력'!B19)</f>
        <v/>
      </c>
      <c r="Z505" s="172">
        <f>IF(OR(Y505="",'01_설정'!B31="",'01_설정'!B31&lt;=0,'01_설정'!B32="",'01_설정'!B32&lt;=0),"",MAX(0,(1-Y505/'01_설정'!B32))*'01_설정'!B31)</f>
        <v/>
      </c>
    </row>
    <row r="506" ht="17.25" customHeight="1">
      <c r="A506" s="152">
        <f>IF(INDEX('04A_국토부원자료'!$A:$A,ROW()+1)="","",ROW()-3)</f>
        <v/>
      </c>
      <c r="B506" s="48">
        <f>IFERROR(INDEX('04A_국토부원자료'!$A:$T,ROW()+1,MATCH("시군구",'04A_국토부원자료'!$A$4:$T$4,0)),"")</f>
        <v/>
      </c>
      <c r="C506" s="48">
        <f>IF(B506="","",IFERROR(INDEX('04A_국토부원자료'!$A:$T,ROW()+1,MATCH("번지",'04A_국토부원자료'!$A$4:$T$4,0)),""))</f>
        <v/>
      </c>
      <c r="D506" s="48">
        <f>IF(B506="","",IF(Q506=1,'02_대상물건입력'!$B$8,IFERROR(INDEX('04A_국토부원자료'!$A:$T,ROW()+1,MATCH("단지명",'04A_국토부원자료'!$A$4:$T$4,0)),"")))</f>
        <v/>
      </c>
      <c r="E506" s="172">
        <f>IFERROR(VALUE(SUBSTITUTE(INDEX('04A_국토부원자료'!$A:$T,ROW()+1,MATCH("전용면적(㎡)",'04A_국토부원자료'!$A$4:$T$4,0)),",","")),"")</f>
        <v/>
      </c>
      <c r="F5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06" s="51">
        <f>IFERROR(VALUE(SUBSTITUTE(INDEX('04A_국토부원자료'!$A:$T,ROW()+1,MATCH("거래금액(만원)",'04A_국토부원자료'!$A$4:$T$4,0)),",","")),"")</f>
        <v/>
      </c>
      <c r="H506" s="174">
        <f>IF(G506="","",G506*10000)</f>
        <v/>
      </c>
      <c r="I506" s="174">
        <f>IFERROR(IF(AND(H506&gt;0,E506&gt;0),H506/E506,""),"")</f>
        <v/>
      </c>
      <c r="J506" s="152">
        <f>IFERROR(VALUE(SUBSTITUTE(INDEX('04A_국토부원자료'!$A:$T,ROW()+1,MATCH("층",'04A_국토부원자료'!$A$4:$T$4,0)),",","")),"")</f>
        <v/>
      </c>
      <c r="K506" s="152">
        <f>IFERROR(VALUE(SUBSTITUTE(INDEX('04A_국토부원자료'!$A:$T,ROW()+1,MATCH("건축년도",'04A_국토부원자료'!$A$4:$T$4,0)),",","")),"")</f>
        <v/>
      </c>
      <c r="L506" s="176">
        <f>IFERROR(INDEX('04A_국토부원자료'!$A:$T,ROW()+1,MATCH("도로명",'04A_국토부원자료'!$A$4:$T$4,0)),"")</f>
        <v/>
      </c>
      <c r="M506" s="48">
        <f>IFERROR(INDEX('04A_국토부원자료'!$A:$T,ROW()+1,MATCH("거래유형",'04A_국토부원자료'!$A$4:$T$4,0)),"")</f>
        <v/>
      </c>
      <c r="N506" s="152">
        <f>IF(B506="","",IF('02_대상물건입력'!B5="",1,IF(ISNUMBER(SEARCH('02_대상물건입력'!B5,B506)),1,0)))</f>
        <v/>
      </c>
      <c r="O506" s="152">
        <f>IF(B506="","",IF('02_대상물건입력'!B6="",1,IF(ISNUMBER(SEARCH('02_대상물건입력'!B6,B506)),1,0)))</f>
        <v/>
      </c>
      <c r="P506" s="152">
        <f>IF(L506="","",IF('02_대상물건입력'!B15="",0,IF(ISNUMBER(SEARCH('02_대상물건입력'!B15,L506)),1,0)))</f>
        <v/>
      </c>
      <c r="Q506" s="152">
        <f>IF(OR(C506="",L506=""),0,IF(AND(TRIM(C506)=TRIM(RIGHT(SUBSTITUTE(TRIM('02_대상물건입력'!$B$7)," ",REPT(" ",99)),99)),IF('02_대상물건입력'!B15="",TRUE(),ISNUMBER(SEARCH('02_대상물건입력'!B15,L506)))),1,0))</f>
        <v/>
      </c>
      <c r="R506" s="175">
        <f>IFERROR(ABS(E506-'02_대상물건입력'!B11)/'02_대상물건입력'!B11,"")</f>
        <v/>
      </c>
      <c r="S506" s="152">
        <f>IFERROR(ABS(J506-'02_대상물건입력'!B10),"")</f>
        <v/>
      </c>
      <c r="T506" s="152">
        <f>IFERROR(ABS('01_설정'!B4-F506),"")</f>
        <v/>
      </c>
      <c r="U506" s="152">
        <f>IFERROR(ABS(K506-YEAR('02_대상물건입력'!B14)),"")</f>
        <v/>
      </c>
      <c r="V506" s="152">
        <f>IF(B506="","",IF(AND(E506&gt;0,F506&gt;0,H506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506=1,TRUE()),R506&lt;='01_설정'!B5,S506&lt;='01_설정'!B6,T506&lt;='01_설정'!B7,U506&lt;='01_설정'!B8),"Y",""))</f>
        <v/>
      </c>
      <c r="W506" s="172">
        <f>IF(V506&lt;&gt;"Y","",MAX(0,(1-R506/'01_설정'!B5))*'01_설정'!B14+MAX(0,(1-S506/'01_설정'!B6))*'01_설정'!B15+MAX(0,(1-T506/'01_설정'!B7))*'01_설정'!B16+MAX(0,(1-U506/'01_설정'!B8))*'01_설정'!B17+O506*'01_설정'!B11+Q506*'01_설정'!B12+P506*'01_설정'!B13+IF(Z506="",0,Z506))</f>
        <v/>
      </c>
      <c r="X506" s="152">
        <f>IF(W506="","",1+COUNTIFS($W$4:$W$3003,"&gt;"&amp;W506)+COUNTIFS($W$4:W506,W506)-1)</f>
        <v/>
      </c>
      <c r="Y506" s="175">
        <f>IF(OR(I506="",'02_대상물건입력'!B19="",'02_대상물건입력'!B19&lt;=0),"",ABS(I506-'02_대상물건입력'!B19)/'02_대상물건입력'!B19)</f>
        <v/>
      </c>
      <c r="Z506" s="172">
        <f>IF(OR(Y506="",'01_설정'!B31="",'01_설정'!B31&lt;=0,'01_설정'!B32="",'01_설정'!B32&lt;=0),"",MAX(0,(1-Y506/'01_설정'!B32))*'01_설정'!B31)</f>
        <v/>
      </c>
    </row>
    <row r="507" ht="17.25" customHeight="1">
      <c r="A507" s="152">
        <f>IF(INDEX('04A_국토부원자료'!$A:$A,ROW()+1)="","",ROW()-3)</f>
        <v/>
      </c>
      <c r="B507" s="48">
        <f>IFERROR(INDEX('04A_국토부원자료'!$A:$T,ROW()+1,MATCH("시군구",'04A_국토부원자료'!$A$4:$T$4,0)),"")</f>
        <v/>
      </c>
      <c r="C507" s="48">
        <f>IF(B507="","",IFERROR(INDEX('04A_국토부원자료'!$A:$T,ROW()+1,MATCH("번지",'04A_국토부원자료'!$A$4:$T$4,0)),""))</f>
        <v/>
      </c>
      <c r="D507" s="48">
        <f>IF(B507="","",IF(Q507=1,'02_대상물건입력'!$B$8,IFERROR(INDEX('04A_국토부원자료'!$A:$T,ROW()+1,MATCH("단지명",'04A_국토부원자료'!$A$4:$T$4,0)),"")))</f>
        <v/>
      </c>
      <c r="E507" s="172">
        <f>IFERROR(VALUE(SUBSTITUTE(INDEX('04A_국토부원자료'!$A:$T,ROW()+1,MATCH("전용면적(㎡)",'04A_국토부원자료'!$A$4:$T$4,0)),",","")),"")</f>
        <v/>
      </c>
      <c r="F5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07" s="51">
        <f>IFERROR(VALUE(SUBSTITUTE(INDEX('04A_국토부원자료'!$A:$T,ROW()+1,MATCH("거래금액(만원)",'04A_국토부원자료'!$A$4:$T$4,0)),",","")),"")</f>
        <v/>
      </c>
      <c r="H507" s="174">
        <f>IF(G507="","",G507*10000)</f>
        <v/>
      </c>
      <c r="I507" s="174">
        <f>IFERROR(IF(AND(H507&gt;0,E507&gt;0),H507/E507,""),"")</f>
        <v/>
      </c>
      <c r="J507" s="152">
        <f>IFERROR(VALUE(SUBSTITUTE(INDEX('04A_국토부원자료'!$A:$T,ROW()+1,MATCH("층",'04A_국토부원자료'!$A$4:$T$4,0)),",","")),"")</f>
        <v/>
      </c>
      <c r="K507" s="152">
        <f>IFERROR(VALUE(SUBSTITUTE(INDEX('04A_국토부원자료'!$A:$T,ROW()+1,MATCH("건축년도",'04A_국토부원자료'!$A$4:$T$4,0)),",","")),"")</f>
        <v/>
      </c>
      <c r="L507" s="176">
        <f>IFERROR(INDEX('04A_국토부원자료'!$A:$T,ROW()+1,MATCH("도로명",'04A_국토부원자료'!$A$4:$T$4,0)),"")</f>
        <v/>
      </c>
      <c r="M507" s="48">
        <f>IFERROR(INDEX('04A_국토부원자료'!$A:$T,ROW()+1,MATCH("거래유형",'04A_국토부원자료'!$A$4:$T$4,0)),"")</f>
        <v/>
      </c>
      <c r="N507" s="152">
        <f>IF(B507="","",IF('02_대상물건입력'!B5="",1,IF(ISNUMBER(SEARCH('02_대상물건입력'!B5,B507)),1,0)))</f>
        <v/>
      </c>
      <c r="O507" s="152">
        <f>IF(B507="","",IF('02_대상물건입력'!B6="",1,IF(ISNUMBER(SEARCH('02_대상물건입력'!B6,B507)),1,0)))</f>
        <v/>
      </c>
      <c r="P507" s="152">
        <f>IF(L507="","",IF('02_대상물건입력'!B15="",0,IF(ISNUMBER(SEARCH('02_대상물건입력'!B15,L507)),1,0)))</f>
        <v/>
      </c>
      <c r="Q507" s="152">
        <f>IF(OR(C507="",L507=""),0,IF(AND(TRIM(C507)=TRIM(RIGHT(SUBSTITUTE(TRIM('02_대상물건입력'!$B$7)," ",REPT(" ",99)),99)),IF('02_대상물건입력'!B15="",TRUE(),ISNUMBER(SEARCH('02_대상물건입력'!B15,L507)))),1,0))</f>
        <v/>
      </c>
      <c r="R507" s="175">
        <f>IFERROR(ABS(E507-'02_대상물건입력'!B11)/'02_대상물건입력'!B11,"")</f>
        <v/>
      </c>
      <c r="S507" s="152">
        <f>IFERROR(ABS(J507-'02_대상물건입력'!B10),"")</f>
        <v/>
      </c>
      <c r="T507" s="152">
        <f>IFERROR(ABS('01_설정'!B4-F507),"")</f>
        <v/>
      </c>
      <c r="U507" s="152">
        <f>IFERROR(ABS(K507-YEAR('02_대상물건입력'!B14)),"")</f>
        <v/>
      </c>
      <c r="V507" s="152">
        <f>IF(B507="","",IF(AND(E507&gt;0,F507&gt;0,H507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507=1,TRUE()),R507&lt;='01_설정'!B5,S507&lt;='01_설정'!B6,T507&lt;='01_설정'!B7,U507&lt;='01_설정'!B8),"Y",""))</f>
        <v/>
      </c>
      <c r="W507" s="172">
        <f>IF(V507&lt;&gt;"Y","",MAX(0,(1-R507/'01_설정'!B5))*'01_설정'!B14+MAX(0,(1-S507/'01_설정'!B6))*'01_설정'!B15+MAX(0,(1-T507/'01_설정'!B7))*'01_설정'!B16+MAX(0,(1-U507/'01_설정'!B8))*'01_설정'!B17+O507*'01_설정'!B11+Q507*'01_설정'!B12+P507*'01_설정'!B13+IF(Z507="",0,Z507))</f>
        <v/>
      </c>
      <c r="X507" s="152">
        <f>IF(W507="","",1+COUNTIFS($W$4:$W$3003,"&gt;"&amp;W507)+COUNTIFS($W$4:W507,W507)-1)</f>
        <v/>
      </c>
      <c r="Y507" s="175">
        <f>IF(OR(I507="",'02_대상물건입력'!B19="",'02_대상물건입력'!B19&lt;=0),"",ABS(I507-'02_대상물건입력'!B19)/'02_대상물건입력'!B19)</f>
        <v/>
      </c>
      <c r="Z507" s="172">
        <f>IF(OR(Y507="",'01_설정'!B31="",'01_설정'!B31&lt;=0,'01_설정'!B32="",'01_설정'!B32&lt;=0),"",MAX(0,(1-Y507/'01_설정'!B32))*'01_설정'!B31)</f>
        <v/>
      </c>
    </row>
    <row r="508" ht="17.25" customHeight="1">
      <c r="A508" s="152">
        <f>IF(INDEX('04A_국토부원자료'!$A:$A,ROW()+1)="","",ROW()-3)</f>
        <v/>
      </c>
      <c r="B508" s="48">
        <f>IFERROR(INDEX('04A_국토부원자료'!$A:$T,ROW()+1,MATCH("시군구",'04A_국토부원자료'!$A$4:$T$4,0)),"")</f>
        <v/>
      </c>
      <c r="C508" s="48">
        <f>IF(B508="","",IFERROR(INDEX('04A_국토부원자료'!$A:$T,ROW()+1,MATCH("번지",'04A_국토부원자료'!$A$4:$T$4,0)),""))</f>
        <v/>
      </c>
      <c r="D508" s="48">
        <f>IF(B508="","",IF(Q508=1,'02_대상물건입력'!$B$8,IFERROR(INDEX('04A_국토부원자료'!$A:$T,ROW()+1,MATCH("단지명",'04A_국토부원자료'!$A$4:$T$4,0)),"")))</f>
        <v/>
      </c>
      <c r="E508" s="172">
        <f>IFERROR(VALUE(SUBSTITUTE(INDEX('04A_국토부원자료'!$A:$T,ROW()+1,MATCH("전용면적(㎡)",'04A_국토부원자료'!$A$4:$T$4,0)),",","")),"")</f>
        <v/>
      </c>
      <c r="F5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08" s="51">
        <f>IFERROR(VALUE(SUBSTITUTE(INDEX('04A_국토부원자료'!$A:$T,ROW()+1,MATCH("거래금액(만원)",'04A_국토부원자료'!$A$4:$T$4,0)),",","")),"")</f>
        <v/>
      </c>
      <c r="H508" s="174">
        <f>IF(G508="","",G508*10000)</f>
        <v/>
      </c>
      <c r="I508" s="174">
        <f>IFERROR(IF(AND(H508&gt;0,E508&gt;0),H508/E508,""),"")</f>
        <v/>
      </c>
      <c r="J508" s="152">
        <f>IFERROR(VALUE(SUBSTITUTE(INDEX('04A_국토부원자료'!$A:$T,ROW()+1,MATCH("층",'04A_국토부원자료'!$A$4:$T$4,0)),",","")),"")</f>
        <v/>
      </c>
      <c r="K508" s="152">
        <f>IFERROR(VALUE(SUBSTITUTE(INDEX('04A_국토부원자료'!$A:$T,ROW()+1,MATCH("건축년도",'04A_국토부원자료'!$A$4:$T$4,0)),",","")),"")</f>
        <v/>
      </c>
      <c r="L508" s="176">
        <f>IFERROR(INDEX('04A_국토부원자료'!$A:$T,ROW()+1,MATCH("도로명",'04A_국토부원자료'!$A$4:$T$4,0)),"")</f>
        <v/>
      </c>
      <c r="M508" s="48">
        <f>IFERROR(INDEX('04A_국토부원자료'!$A:$T,ROW()+1,MATCH("거래유형",'04A_국토부원자료'!$A$4:$T$4,0)),"")</f>
        <v/>
      </c>
      <c r="N508" s="152">
        <f>IF(B508="","",IF('02_대상물건입력'!B5="",1,IF(ISNUMBER(SEARCH('02_대상물건입력'!B5,B508)),1,0)))</f>
        <v/>
      </c>
      <c r="O508" s="152">
        <f>IF(B508="","",IF('02_대상물건입력'!B6="",1,IF(ISNUMBER(SEARCH('02_대상물건입력'!B6,B508)),1,0)))</f>
        <v/>
      </c>
      <c r="P508" s="152">
        <f>IF(L508="","",IF('02_대상물건입력'!B15="",0,IF(ISNUMBER(SEARCH('02_대상물건입력'!B15,L508)),1,0)))</f>
        <v/>
      </c>
      <c r="Q508" s="152">
        <f>IF(OR(C508="",L508=""),0,IF(AND(TRIM(C508)=TRIM(RIGHT(SUBSTITUTE(TRIM('02_대상물건입력'!$B$7)," ",REPT(" ",99)),99)),IF('02_대상물건입력'!B15="",TRUE(),ISNUMBER(SEARCH('02_대상물건입력'!B15,L508)))),1,0))</f>
        <v/>
      </c>
      <c r="R508" s="175">
        <f>IFERROR(ABS(E508-'02_대상물건입력'!B11)/'02_대상물건입력'!B11,"")</f>
        <v/>
      </c>
      <c r="S508" s="152">
        <f>IFERROR(ABS(J508-'02_대상물건입력'!B10),"")</f>
        <v/>
      </c>
      <c r="T508" s="152">
        <f>IFERROR(ABS('01_설정'!B4-F508),"")</f>
        <v/>
      </c>
      <c r="U508" s="152">
        <f>IFERROR(ABS(K508-YEAR('02_대상물건입력'!B14)),"")</f>
        <v/>
      </c>
      <c r="V508" s="152">
        <f>IF(B508="","",IF(AND(E508&gt;0,F508&gt;0,H508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508=1,TRUE()),R508&lt;='01_설정'!B5,S508&lt;='01_설정'!B6,T508&lt;='01_설정'!B7,U508&lt;='01_설정'!B8),"Y",""))</f>
        <v/>
      </c>
      <c r="W508" s="172">
        <f>IF(V508&lt;&gt;"Y","",MAX(0,(1-R508/'01_설정'!B5))*'01_설정'!B14+MAX(0,(1-S508/'01_설정'!B6))*'01_설정'!B15+MAX(0,(1-T508/'01_설정'!B7))*'01_설정'!B16+MAX(0,(1-U508/'01_설정'!B8))*'01_설정'!B17+O508*'01_설정'!B11+Q508*'01_설정'!B12+P508*'01_설정'!B13+IF(Z508="",0,Z508))</f>
        <v/>
      </c>
      <c r="X508" s="152">
        <f>IF(W508="","",1+COUNTIFS($W$4:$W$3003,"&gt;"&amp;W508)+COUNTIFS($W$4:W508,W508)-1)</f>
        <v/>
      </c>
      <c r="Y508" s="175">
        <f>IF(OR(I508="",'02_대상물건입력'!B19="",'02_대상물건입력'!B19&lt;=0),"",ABS(I508-'02_대상물건입력'!B19)/'02_대상물건입력'!B19)</f>
        <v/>
      </c>
      <c r="Z508" s="172">
        <f>IF(OR(Y508="",'01_설정'!B31="",'01_설정'!B31&lt;=0,'01_설정'!B32="",'01_설정'!B32&lt;=0),"",MAX(0,(1-Y508/'01_설정'!B32))*'01_설정'!B31)</f>
        <v/>
      </c>
    </row>
    <row r="509" ht="17.25" customHeight="1">
      <c r="A509" s="152">
        <f>IF(INDEX('04A_국토부원자료'!$A:$A,ROW()+1)="","",ROW()-3)</f>
        <v/>
      </c>
      <c r="B509" s="48">
        <f>IFERROR(INDEX('04A_국토부원자료'!$A:$T,ROW()+1,MATCH("시군구",'04A_국토부원자료'!$A$4:$T$4,0)),"")</f>
        <v/>
      </c>
      <c r="C509" s="48">
        <f>IF(B509="","",IFERROR(INDEX('04A_국토부원자료'!$A:$T,ROW()+1,MATCH("번지",'04A_국토부원자료'!$A$4:$T$4,0)),""))</f>
        <v/>
      </c>
      <c r="D509" s="48">
        <f>IF(B509="","",IF(Q509=1,'02_대상물건입력'!$B$8,IFERROR(INDEX('04A_국토부원자료'!$A:$T,ROW()+1,MATCH("단지명",'04A_국토부원자료'!$A$4:$T$4,0)),"")))</f>
        <v/>
      </c>
      <c r="E509" s="172">
        <f>IFERROR(VALUE(SUBSTITUTE(INDEX('04A_국토부원자료'!$A:$T,ROW()+1,MATCH("전용면적(㎡)",'04A_국토부원자료'!$A$4:$T$4,0)),",","")),"")</f>
        <v/>
      </c>
      <c r="F5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09" s="51">
        <f>IFERROR(VALUE(SUBSTITUTE(INDEX('04A_국토부원자료'!$A:$T,ROW()+1,MATCH("거래금액(만원)",'04A_국토부원자료'!$A$4:$T$4,0)),",","")),"")</f>
        <v/>
      </c>
      <c r="H509" s="174">
        <f>IF(G509="","",G509*10000)</f>
        <v/>
      </c>
      <c r="I509" s="174">
        <f>IFERROR(IF(AND(H509&gt;0,E509&gt;0),H509/E509,""),"")</f>
        <v/>
      </c>
      <c r="J509" s="152">
        <f>IFERROR(VALUE(SUBSTITUTE(INDEX('04A_국토부원자료'!$A:$T,ROW()+1,MATCH("층",'04A_국토부원자료'!$A$4:$T$4,0)),",","")),"")</f>
        <v/>
      </c>
      <c r="K509" s="152">
        <f>IFERROR(VALUE(SUBSTITUTE(INDEX('04A_국토부원자료'!$A:$T,ROW()+1,MATCH("건축년도",'04A_국토부원자료'!$A$4:$T$4,0)),",","")),"")</f>
        <v/>
      </c>
      <c r="L509" s="176">
        <f>IFERROR(INDEX('04A_국토부원자료'!$A:$T,ROW()+1,MATCH("도로명",'04A_국토부원자료'!$A$4:$T$4,0)),"")</f>
        <v/>
      </c>
      <c r="M509" s="48">
        <f>IFERROR(INDEX('04A_국토부원자료'!$A:$T,ROW()+1,MATCH("거래유형",'04A_국토부원자료'!$A$4:$T$4,0)),"")</f>
        <v/>
      </c>
      <c r="N509" s="152">
        <f>IF(B509="","",IF('02_대상물건입력'!B5="",1,IF(ISNUMBER(SEARCH('02_대상물건입력'!B5,B509)),1,0)))</f>
        <v/>
      </c>
      <c r="O509" s="152">
        <f>IF(B509="","",IF('02_대상물건입력'!B6="",1,IF(ISNUMBER(SEARCH('02_대상물건입력'!B6,B509)),1,0)))</f>
        <v/>
      </c>
      <c r="P509" s="152">
        <f>IF(L509="","",IF('02_대상물건입력'!B15="",0,IF(ISNUMBER(SEARCH('02_대상물건입력'!B15,L509)),1,0)))</f>
        <v/>
      </c>
      <c r="Q509" s="152">
        <f>IF(OR(C509="",L509=""),0,IF(AND(TRIM(C509)=TRIM(RIGHT(SUBSTITUTE(TRIM('02_대상물건입력'!$B$7)," ",REPT(" ",99)),99)),IF('02_대상물건입력'!B15="",TRUE(),ISNUMBER(SEARCH('02_대상물건입력'!B15,L509)))),1,0))</f>
        <v/>
      </c>
      <c r="R509" s="175">
        <f>IFERROR(ABS(E509-'02_대상물건입력'!B11)/'02_대상물건입력'!B11,"")</f>
        <v/>
      </c>
      <c r="S509" s="152">
        <f>IFERROR(ABS(J509-'02_대상물건입력'!B10),"")</f>
        <v/>
      </c>
      <c r="T509" s="152">
        <f>IFERROR(ABS('01_설정'!B4-F509),"")</f>
        <v/>
      </c>
      <c r="U509" s="152">
        <f>IFERROR(ABS(K509-YEAR('02_대상물건입력'!B14)),"")</f>
        <v/>
      </c>
      <c r="V509" s="152">
        <f>IF(B509="","",IF(AND(E509&gt;0,F509&gt;0,H509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509=1,TRUE()),R509&lt;='01_설정'!B5,S509&lt;='01_설정'!B6,T509&lt;='01_설정'!B7,U509&lt;='01_설정'!B8),"Y",""))</f>
        <v/>
      </c>
      <c r="W509" s="172">
        <f>IF(V509&lt;&gt;"Y","",MAX(0,(1-R509/'01_설정'!B5))*'01_설정'!B14+MAX(0,(1-S509/'01_설정'!B6))*'01_설정'!B15+MAX(0,(1-T509/'01_설정'!B7))*'01_설정'!B16+MAX(0,(1-U509/'01_설정'!B8))*'01_설정'!B17+O509*'01_설정'!B11+Q509*'01_설정'!B12+P509*'01_설정'!B13+IF(Z509="",0,Z509))</f>
        <v/>
      </c>
      <c r="X509" s="152">
        <f>IF(W509="","",1+COUNTIFS($W$4:$W$3003,"&gt;"&amp;W509)+COUNTIFS($W$4:W509,W509)-1)</f>
        <v/>
      </c>
      <c r="Y509" s="175">
        <f>IF(OR(I509="",'02_대상물건입력'!B19="",'02_대상물건입력'!B19&lt;=0),"",ABS(I509-'02_대상물건입력'!B19)/'02_대상물건입력'!B19)</f>
        <v/>
      </c>
      <c r="Z509" s="172">
        <f>IF(OR(Y509="",'01_설정'!B31="",'01_설정'!B31&lt;=0,'01_설정'!B32="",'01_설정'!B32&lt;=0),"",MAX(0,(1-Y509/'01_설정'!B32))*'01_설정'!B31)</f>
        <v/>
      </c>
    </row>
    <row r="510" ht="17.25" customHeight="1">
      <c r="A510" s="152">
        <f>IF(INDEX('04A_국토부원자료'!$A:$A,ROW()+1)="","",ROW()-3)</f>
        <v/>
      </c>
      <c r="B510" s="48">
        <f>IFERROR(INDEX('04A_국토부원자료'!$A:$T,ROW()+1,MATCH("시군구",'04A_국토부원자료'!$A$4:$T$4,0)),"")</f>
        <v/>
      </c>
      <c r="C510" s="48">
        <f>IF(B510="","",IFERROR(INDEX('04A_국토부원자료'!$A:$T,ROW()+1,MATCH("번지",'04A_국토부원자료'!$A$4:$T$4,0)),""))</f>
        <v/>
      </c>
      <c r="D510" s="48">
        <f>IF(B510="","",IF(Q510=1,'02_대상물건입력'!$B$8,IFERROR(INDEX('04A_국토부원자료'!$A:$T,ROW()+1,MATCH("단지명",'04A_국토부원자료'!$A$4:$T$4,0)),"")))</f>
        <v/>
      </c>
      <c r="E510" s="172">
        <f>IFERROR(VALUE(SUBSTITUTE(INDEX('04A_국토부원자료'!$A:$T,ROW()+1,MATCH("전용면적(㎡)",'04A_국토부원자료'!$A$4:$T$4,0)),",","")),"")</f>
        <v/>
      </c>
      <c r="F5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10" s="51">
        <f>IFERROR(VALUE(SUBSTITUTE(INDEX('04A_국토부원자료'!$A:$T,ROW()+1,MATCH("거래금액(만원)",'04A_국토부원자료'!$A$4:$T$4,0)),",","")),"")</f>
        <v/>
      </c>
      <c r="H510" s="174">
        <f>IF(G510="","",G510*10000)</f>
        <v/>
      </c>
      <c r="I510" s="174">
        <f>IFERROR(IF(AND(H510&gt;0,E510&gt;0),H510/E510,""),"")</f>
        <v/>
      </c>
      <c r="J510" s="152">
        <f>IFERROR(VALUE(SUBSTITUTE(INDEX('04A_국토부원자료'!$A:$T,ROW()+1,MATCH("층",'04A_국토부원자료'!$A$4:$T$4,0)),",","")),"")</f>
        <v/>
      </c>
      <c r="K510" s="152">
        <f>IFERROR(VALUE(SUBSTITUTE(INDEX('04A_국토부원자료'!$A:$T,ROW()+1,MATCH("건축년도",'04A_국토부원자료'!$A$4:$T$4,0)),",","")),"")</f>
        <v/>
      </c>
      <c r="L510" s="176">
        <f>IFERROR(INDEX('04A_국토부원자료'!$A:$T,ROW()+1,MATCH("도로명",'04A_국토부원자료'!$A$4:$T$4,0)),"")</f>
        <v/>
      </c>
      <c r="M510" s="48">
        <f>IFERROR(INDEX('04A_국토부원자료'!$A:$T,ROW()+1,MATCH("거래유형",'04A_국토부원자료'!$A$4:$T$4,0)),"")</f>
        <v/>
      </c>
      <c r="N510" s="152">
        <f>IF(B510="","",IF('02_대상물건입력'!B5="",1,IF(ISNUMBER(SEARCH('02_대상물건입력'!B5,B510)),1,0)))</f>
        <v/>
      </c>
      <c r="O510" s="152">
        <f>IF(B510="","",IF('02_대상물건입력'!B6="",1,IF(ISNUMBER(SEARCH('02_대상물건입력'!B6,B510)),1,0)))</f>
        <v/>
      </c>
      <c r="P510" s="152">
        <f>IF(L510="","",IF('02_대상물건입력'!B15="",0,IF(ISNUMBER(SEARCH('02_대상물건입력'!B15,L510)),1,0)))</f>
        <v/>
      </c>
      <c r="Q510" s="152">
        <f>IF(OR(C510="",L510=""),0,IF(AND(TRIM(C510)=TRIM(RIGHT(SUBSTITUTE(TRIM('02_대상물건입력'!$B$7)," ",REPT(" ",99)),99)),IF('02_대상물건입력'!B15="",TRUE(),ISNUMBER(SEARCH('02_대상물건입력'!B15,L510)))),1,0))</f>
        <v/>
      </c>
      <c r="R510" s="175">
        <f>IFERROR(ABS(E510-'02_대상물건입력'!B11)/'02_대상물건입력'!B11,"")</f>
        <v/>
      </c>
      <c r="S510" s="152">
        <f>IFERROR(ABS(J510-'02_대상물건입력'!B10),"")</f>
        <v/>
      </c>
      <c r="T510" s="152">
        <f>IFERROR(ABS('01_설정'!B4-F510),"")</f>
        <v/>
      </c>
      <c r="U510" s="152">
        <f>IFERROR(ABS(K510-YEAR('02_대상물건입력'!B14)),"")</f>
        <v/>
      </c>
      <c r="V510" s="152">
        <f>IF(B510="","",IF(AND(E510&gt;0,F510&gt;0,H510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510=1,TRUE()),R510&lt;='01_설정'!B5,S510&lt;='01_설정'!B6,T510&lt;='01_설정'!B7,U510&lt;='01_설정'!B8),"Y",""))</f>
        <v/>
      </c>
      <c r="W510" s="172">
        <f>IF(V510&lt;&gt;"Y","",MAX(0,(1-R510/'01_설정'!B5))*'01_설정'!B14+MAX(0,(1-S510/'01_설정'!B6))*'01_설정'!B15+MAX(0,(1-T510/'01_설정'!B7))*'01_설정'!B16+MAX(0,(1-U510/'01_설정'!B8))*'01_설정'!B17+O510*'01_설정'!B11+Q510*'01_설정'!B12+P510*'01_설정'!B13+IF(Z510="",0,Z510))</f>
        <v/>
      </c>
      <c r="X510" s="152">
        <f>IF(W510="","",1+COUNTIFS($W$4:$W$3003,"&gt;"&amp;W510)+COUNTIFS($W$4:W510,W510)-1)</f>
        <v/>
      </c>
      <c r="Y510" s="175">
        <f>IF(OR(I510="",'02_대상물건입력'!B19="",'02_대상물건입력'!B19&lt;=0),"",ABS(I510-'02_대상물건입력'!B19)/'02_대상물건입력'!B19)</f>
        <v/>
      </c>
      <c r="Z510" s="172">
        <f>IF(OR(Y510="",'01_설정'!B31="",'01_설정'!B31&lt;=0,'01_설정'!B32="",'01_설정'!B32&lt;=0),"",MAX(0,(1-Y510/'01_설정'!B32))*'01_설정'!B31)</f>
        <v/>
      </c>
    </row>
    <row r="511" ht="17.25" customHeight="1">
      <c r="A511" s="152">
        <f>IF(INDEX('04A_국토부원자료'!$A:$A,ROW()+1)="","",ROW()-3)</f>
        <v/>
      </c>
      <c r="B511" s="48">
        <f>IFERROR(INDEX('04A_국토부원자료'!$A:$T,ROW()+1,MATCH("시군구",'04A_국토부원자료'!$A$4:$T$4,0)),"")</f>
        <v/>
      </c>
      <c r="C511" s="48">
        <f>IF(B511="","",IFERROR(INDEX('04A_국토부원자료'!$A:$T,ROW()+1,MATCH("번지",'04A_국토부원자료'!$A$4:$T$4,0)),""))</f>
        <v/>
      </c>
      <c r="D511" s="48">
        <f>IF(B511="","",IF(Q511=1,'02_대상물건입력'!$B$8,IFERROR(INDEX('04A_국토부원자료'!$A:$T,ROW()+1,MATCH("단지명",'04A_국토부원자료'!$A$4:$T$4,0)),"")))</f>
        <v/>
      </c>
      <c r="E511" s="172">
        <f>IFERROR(VALUE(SUBSTITUTE(INDEX('04A_국토부원자료'!$A:$T,ROW()+1,MATCH("전용면적(㎡)",'04A_국토부원자료'!$A$4:$T$4,0)),",","")),"")</f>
        <v/>
      </c>
      <c r="F5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11" s="51">
        <f>IFERROR(VALUE(SUBSTITUTE(INDEX('04A_국토부원자료'!$A:$T,ROW()+1,MATCH("거래금액(만원)",'04A_국토부원자료'!$A$4:$T$4,0)),",","")),"")</f>
        <v/>
      </c>
      <c r="H511" s="174">
        <f>IF(G511="","",G511*10000)</f>
        <v/>
      </c>
      <c r="I511" s="174">
        <f>IFERROR(IF(AND(H511&gt;0,E511&gt;0),H511/E511,""),"")</f>
        <v/>
      </c>
      <c r="J511" s="152">
        <f>IFERROR(VALUE(SUBSTITUTE(INDEX('04A_국토부원자료'!$A:$T,ROW()+1,MATCH("층",'04A_국토부원자료'!$A$4:$T$4,0)),",","")),"")</f>
        <v/>
      </c>
      <c r="K511" s="152">
        <f>IFERROR(VALUE(SUBSTITUTE(INDEX('04A_국토부원자료'!$A:$T,ROW()+1,MATCH("건축년도",'04A_국토부원자료'!$A$4:$T$4,0)),",","")),"")</f>
        <v/>
      </c>
      <c r="L511" s="176">
        <f>IFERROR(INDEX('04A_국토부원자료'!$A:$T,ROW()+1,MATCH("도로명",'04A_국토부원자료'!$A$4:$T$4,0)),"")</f>
        <v/>
      </c>
      <c r="M511" s="48">
        <f>IFERROR(INDEX('04A_국토부원자료'!$A:$T,ROW()+1,MATCH("거래유형",'04A_국토부원자료'!$A$4:$T$4,0)),"")</f>
        <v/>
      </c>
      <c r="N511" s="152">
        <f>IF(B511="","",IF('02_대상물건입력'!B5="",1,IF(ISNUMBER(SEARCH('02_대상물건입력'!B5,B511)),1,0)))</f>
        <v/>
      </c>
      <c r="O511" s="152">
        <f>IF(B511="","",IF('02_대상물건입력'!B6="",1,IF(ISNUMBER(SEARCH('02_대상물건입력'!B6,B511)),1,0)))</f>
        <v/>
      </c>
      <c r="P511" s="152">
        <f>IF(L511="","",IF('02_대상물건입력'!B15="",0,IF(ISNUMBER(SEARCH('02_대상물건입력'!B15,L511)),1,0)))</f>
        <v/>
      </c>
      <c r="Q511" s="152">
        <f>IF(OR(C511="",L511=""),0,IF(AND(TRIM(C511)=TRIM(RIGHT(SUBSTITUTE(TRIM('02_대상물건입력'!$B$7)," ",REPT(" ",99)),99)),IF('02_대상물건입력'!B15="",TRUE(),ISNUMBER(SEARCH('02_대상물건입력'!B15,L511)))),1,0))</f>
        <v/>
      </c>
      <c r="R511" s="175">
        <f>IFERROR(ABS(E511-'02_대상물건입력'!B11)/'02_대상물건입력'!B11,"")</f>
        <v/>
      </c>
      <c r="S511" s="152">
        <f>IFERROR(ABS(J511-'02_대상물건입력'!B10),"")</f>
        <v/>
      </c>
      <c r="T511" s="152">
        <f>IFERROR(ABS('01_설정'!B4-F511),"")</f>
        <v/>
      </c>
      <c r="U511" s="152">
        <f>IFERROR(ABS(K511-YEAR('02_대상물건입력'!B14)),"")</f>
        <v/>
      </c>
      <c r="V511" s="152">
        <f>IF(B511="","",IF(AND(E511&gt;0,F511&gt;0,H511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511=1,TRUE()),R511&lt;='01_설정'!B5,S511&lt;='01_설정'!B6,T511&lt;='01_설정'!B7,U511&lt;='01_설정'!B8),"Y",""))</f>
        <v/>
      </c>
      <c r="W511" s="172">
        <f>IF(V511&lt;&gt;"Y","",MAX(0,(1-R511/'01_설정'!B5))*'01_설정'!B14+MAX(0,(1-S511/'01_설정'!B6))*'01_설정'!B15+MAX(0,(1-T511/'01_설정'!B7))*'01_설정'!B16+MAX(0,(1-U511/'01_설정'!B8))*'01_설정'!B17+O511*'01_설정'!B11+Q511*'01_설정'!B12+P511*'01_설정'!B13+IF(Z511="",0,Z511))</f>
        <v/>
      </c>
      <c r="X511" s="152">
        <f>IF(W511="","",1+COUNTIFS($W$4:$W$3003,"&gt;"&amp;W511)+COUNTIFS($W$4:W511,W511)-1)</f>
        <v/>
      </c>
      <c r="Y511" s="175">
        <f>IF(OR(I511="",'02_대상물건입력'!B19="",'02_대상물건입력'!B19&lt;=0),"",ABS(I511-'02_대상물건입력'!B19)/'02_대상물건입력'!B19)</f>
        <v/>
      </c>
      <c r="Z511" s="172">
        <f>IF(OR(Y511="",'01_설정'!B31="",'01_설정'!B31&lt;=0,'01_설정'!B32="",'01_설정'!B32&lt;=0),"",MAX(0,(1-Y511/'01_설정'!B32))*'01_설정'!B31)</f>
        <v/>
      </c>
    </row>
    <row r="512" ht="17.25" customHeight="1">
      <c r="A512" s="152">
        <f>IF(INDEX('04A_국토부원자료'!$A:$A,ROW()+1)="","",ROW()-3)</f>
        <v/>
      </c>
      <c r="B512" s="48">
        <f>IFERROR(INDEX('04A_국토부원자료'!$A:$T,ROW()+1,MATCH("시군구",'04A_국토부원자료'!$A$4:$T$4,0)),"")</f>
        <v/>
      </c>
      <c r="C512" s="48">
        <f>IF(B512="","",IFERROR(INDEX('04A_국토부원자료'!$A:$T,ROW()+1,MATCH("번지",'04A_국토부원자료'!$A$4:$T$4,0)),""))</f>
        <v/>
      </c>
      <c r="D512" s="48">
        <f>IF(B512="","",IF(Q512=1,'02_대상물건입력'!$B$8,IFERROR(INDEX('04A_국토부원자료'!$A:$T,ROW()+1,MATCH("단지명",'04A_국토부원자료'!$A$4:$T$4,0)),"")))</f>
        <v/>
      </c>
      <c r="E512" s="172">
        <f>IFERROR(VALUE(SUBSTITUTE(INDEX('04A_국토부원자료'!$A:$T,ROW()+1,MATCH("전용면적(㎡)",'04A_국토부원자료'!$A$4:$T$4,0)),",","")),"")</f>
        <v/>
      </c>
      <c r="F5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12" s="51">
        <f>IFERROR(VALUE(SUBSTITUTE(INDEX('04A_국토부원자료'!$A:$T,ROW()+1,MATCH("거래금액(만원)",'04A_국토부원자료'!$A$4:$T$4,0)),",","")),"")</f>
        <v/>
      </c>
      <c r="H512" s="174">
        <f>IF(G512="","",G512*10000)</f>
        <v/>
      </c>
      <c r="I512" s="174">
        <f>IFERROR(IF(AND(H512&gt;0,E512&gt;0),H512/E512,""),"")</f>
        <v/>
      </c>
      <c r="J512" s="152">
        <f>IFERROR(VALUE(SUBSTITUTE(INDEX('04A_국토부원자료'!$A:$T,ROW()+1,MATCH("층",'04A_국토부원자료'!$A$4:$T$4,0)),",","")),"")</f>
        <v/>
      </c>
      <c r="K512" s="152">
        <f>IFERROR(VALUE(SUBSTITUTE(INDEX('04A_국토부원자료'!$A:$T,ROW()+1,MATCH("건축년도",'04A_국토부원자료'!$A$4:$T$4,0)),",","")),"")</f>
        <v/>
      </c>
      <c r="L512" s="176">
        <f>IFERROR(INDEX('04A_국토부원자료'!$A:$T,ROW()+1,MATCH("도로명",'04A_국토부원자료'!$A$4:$T$4,0)),"")</f>
        <v/>
      </c>
      <c r="M512" s="48">
        <f>IFERROR(INDEX('04A_국토부원자료'!$A:$T,ROW()+1,MATCH("거래유형",'04A_국토부원자료'!$A$4:$T$4,0)),"")</f>
        <v/>
      </c>
      <c r="N512" s="152">
        <f>IF(B512="","",IF('02_대상물건입력'!B5="",1,IF(ISNUMBER(SEARCH('02_대상물건입력'!B5,B512)),1,0)))</f>
        <v/>
      </c>
      <c r="O512" s="152">
        <f>IF(B512="","",IF('02_대상물건입력'!B6="",1,IF(ISNUMBER(SEARCH('02_대상물건입력'!B6,B512)),1,0)))</f>
        <v/>
      </c>
      <c r="P512" s="152">
        <f>IF(L512="","",IF('02_대상물건입력'!B15="",0,IF(ISNUMBER(SEARCH('02_대상물건입력'!B15,L512)),1,0)))</f>
        <v/>
      </c>
      <c r="Q512" s="152">
        <f>IF(OR(C512="",L512=""),0,IF(AND(TRIM(C512)=TRIM(RIGHT(SUBSTITUTE(TRIM('02_대상물건입력'!$B$7)," ",REPT(" ",99)),99)),IF('02_대상물건입력'!B15="",TRUE(),ISNUMBER(SEARCH('02_대상물건입력'!B15,L512)))),1,0))</f>
        <v/>
      </c>
      <c r="R512" s="175">
        <f>IFERROR(ABS(E512-'02_대상물건입력'!B11)/'02_대상물건입력'!B11,"")</f>
        <v/>
      </c>
      <c r="S512" s="152">
        <f>IFERROR(ABS(J512-'02_대상물건입력'!B10),"")</f>
        <v/>
      </c>
      <c r="T512" s="152">
        <f>IFERROR(ABS('01_설정'!B4-F512),"")</f>
        <v/>
      </c>
      <c r="U512" s="152">
        <f>IFERROR(ABS(K512-YEAR('02_대상물건입력'!B14)),"")</f>
        <v/>
      </c>
      <c r="V512" s="152">
        <f>IF(B512="","",IF(AND(E512&gt;0,F512&gt;0,H512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512=1,TRUE()),R512&lt;='01_설정'!B5,S512&lt;='01_설정'!B6,T512&lt;='01_설정'!B7,U512&lt;='01_설정'!B8),"Y",""))</f>
        <v/>
      </c>
      <c r="W512" s="172">
        <f>IF(V512&lt;&gt;"Y","",MAX(0,(1-R512/'01_설정'!B5))*'01_설정'!B14+MAX(0,(1-S512/'01_설정'!B6))*'01_설정'!B15+MAX(0,(1-T512/'01_설정'!B7))*'01_설정'!B16+MAX(0,(1-U512/'01_설정'!B8))*'01_설정'!B17+O512*'01_설정'!B11+Q512*'01_설정'!B12+P512*'01_설정'!B13+IF(Z512="",0,Z512))</f>
        <v/>
      </c>
      <c r="X512" s="152">
        <f>IF(W512="","",1+COUNTIFS($W$4:$W$3003,"&gt;"&amp;W512)+COUNTIFS($W$4:W512,W512)-1)</f>
        <v/>
      </c>
      <c r="Y512" s="175">
        <f>IF(OR(I512="",'02_대상물건입력'!B19="",'02_대상물건입력'!B19&lt;=0),"",ABS(I512-'02_대상물건입력'!B19)/'02_대상물건입력'!B19)</f>
        <v/>
      </c>
      <c r="Z512" s="172">
        <f>IF(OR(Y512="",'01_설정'!B31="",'01_설정'!B31&lt;=0,'01_설정'!B32="",'01_설정'!B32&lt;=0),"",MAX(0,(1-Y512/'01_설정'!B32))*'01_설정'!B31)</f>
        <v/>
      </c>
    </row>
    <row r="513" ht="17.25" customHeight="1">
      <c r="A513" s="152">
        <f>IF(INDEX('04A_국토부원자료'!$A:$A,ROW()+1)="","",ROW()-3)</f>
        <v/>
      </c>
      <c r="B513" s="48">
        <f>IFERROR(INDEX('04A_국토부원자료'!$A:$T,ROW()+1,MATCH("시군구",'04A_국토부원자료'!$A$4:$T$4,0)),"")</f>
        <v/>
      </c>
      <c r="C513" s="48">
        <f>IF(B513="","",IFERROR(INDEX('04A_국토부원자료'!$A:$T,ROW()+1,MATCH("번지",'04A_국토부원자료'!$A$4:$T$4,0)),""))</f>
        <v/>
      </c>
      <c r="D513" s="48">
        <f>IF(B513="","",IF(Q513=1,'02_대상물건입력'!$B$8,IFERROR(INDEX('04A_국토부원자료'!$A:$T,ROW()+1,MATCH("단지명",'04A_국토부원자료'!$A$4:$T$4,0)),"")))</f>
        <v/>
      </c>
      <c r="E513" s="172">
        <f>IFERROR(VALUE(SUBSTITUTE(INDEX('04A_국토부원자료'!$A:$T,ROW()+1,MATCH("전용면적(㎡)",'04A_국토부원자료'!$A$4:$T$4,0)),",","")),"")</f>
        <v/>
      </c>
      <c r="F5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13" s="51">
        <f>IFERROR(VALUE(SUBSTITUTE(INDEX('04A_국토부원자료'!$A:$T,ROW()+1,MATCH("거래금액(만원)",'04A_국토부원자료'!$A$4:$T$4,0)),",","")),"")</f>
        <v/>
      </c>
      <c r="H513" s="174">
        <f>IF(G513="","",G513*10000)</f>
        <v/>
      </c>
      <c r="I513" s="174">
        <f>IFERROR(IF(AND(H513&gt;0,E513&gt;0),H513/E513,""),"")</f>
        <v/>
      </c>
      <c r="J513" s="152">
        <f>IFERROR(VALUE(SUBSTITUTE(INDEX('04A_국토부원자료'!$A:$T,ROW()+1,MATCH("층",'04A_국토부원자료'!$A$4:$T$4,0)),",","")),"")</f>
        <v/>
      </c>
      <c r="K513" s="152">
        <f>IFERROR(VALUE(SUBSTITUTE(INDEX('04A_국토부원자료'!$A:$T,ROW()+1,MATCH("건축년도",'04A_국토부원자료'!$A$4:$T$4,0)),",","")),"")</f>
        <v/>
      </c>
      <c r="L513" s="176">
        <f>IFERROR(INDEX('04A_국토부원자료'!$A:$T,ROW()+1,MATCH("도로명",'04A_국토부원자료'!$A$4:$T$4,0)),"")</f>
        <v/>
      </c>
      <c r="M513" s="48">
        <f>IFERROR(INDEX('04A_국토부원자료'!$A:$T,ROW()+1,MATCH("거래유형",'04A_국토부원자료'!$A$4:$T$4,0)),"")</f>
        <v/>
      </c>
      <c r="N513" s="152">
        <f>IF(B513="","",IF('02_대상물건입력'!B5="",1,IF(ISNUMBER(SEARCH('02_대상물건입력'!B5,B513)),1,0)))</f>
        <v/>
      </c>
      <c r="O513" s="152">
        <f>IF(B513="","",IF('02_대상물건입력'!B6="",1,IF(ISNUMBER(SEARCH('02_대상물건입력'!B6,B513)),1,0)))</f>
        <v/>
      </c>
      <c r="P513" s="152">
        <f>IF(L513="","",IF('02_대상물건입력'!B15="",0,IF(ISNUMBER(SEARCH('02_대상물건입력'!B15,L513)),1,0)))</f>
        <v/>
      </c>
      <c r="Q513" s="152">
        <f>IF(OR(C513="",L513=""),0,IF(AND(TRIM(C513)=TRIM(RIGHT(SUBSTITUTE(TRIM('02_대상물건입력'!$B$7)," ",REPT(" ",99)),99)),IF('02_대상물건입력'!B15="",TRUE(),ISNUMBER(SEARCH('02_대상물건입력'!B15,L513)))),1,0))</f>
        <v/>
      </c>
      <c r="R513" s="175">
        <f>IFERROR(ABS(E513-'02_대상물건입력'!B11)/'02_대상물건입력'!B11,"")</f>
        <v/>
      </c>
      <c r="S513" s="152">
        <f>IFERROR(ABS(J513-'02_대상물건입력'!B10),"")</f>
        <v/>
      </c>
      <c r="T513" s="152">
        <f>IFERROR(ABS('01_설정'!B4-F513),"")</f>
        <v/>
      </c>
      <c r="U513" s="152">
        <f>IFERROR(ABS(K513-YEAR('02_대상물건입력'!B14)),"")</f>
        <v/>
      </c>
      <c r="V513" s="152">
        <f>IF(B513="","",IF(AND(E513&gt;0,F513&gt;0,H513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513=1,TRUE()),R513&lt;='01_설정'!B5,S513&lt;='01_설정'!B6,T513&lt;='01_설정'!B7,U513&lt;='01_설정'!B8),"Y",""))</f>
        <v/>
      </c>
      <c r="W513" s="172">
        <f>IF(V513&lt;&gt;"Y","",MAX(0,(1-R513/'01_설정'!B5))*'01_설정'!B14+MAX(0,(1-S513/'01_설정'!B6))*'01_설정'!B15+MAX(0,(1-T513/'01_설정'!B7))*'01_설정'!B16+MAX(0,(1-U513/'01_설정'!B8))*'01_설정'!B17+O513*'01_설정'!B11+Q513*'01_설정'!B12+P513*'01_설정'!B13+IF(Z513="",0,Z513))</f>
        <v/>
      </c>
      <c r="X513" s="152">
        <f>IF(W513="","",1+COUNTIFS($W$4:$W$3003,"&gt;"&amp;W513)+COUNTIFS($W$4:W513,W513)-1)</f>
        <v/>
      </c>
      <c r="Y513" s="175">
        <f>IF(OR(I513="",'02_대상물건입력'!B19="",'02_대상물건입력'!B19&lt;=0),"",ABS(I513-'02_대상물건입력'!B19)/'02_대상물건입력'!B19)</f>
        <v/>
      </c>
      <c r="Z513" s="172">
        <f>IF(OR(Y513="",'01_설정'!B31="",'01_설정'!B31&lt;=0,'01_설정'!B32="",'01_설정'!B32&lt;=0),"",MAX(0,(1-Y513/'01_설정'!B32))*'01_설정'!B31)</f>
        <v/>
      </c>
    </row>
    <row r="514" ht="17.25" customHeight="1">
      <c r="A514" s="152">
        <f>IF(INDEX('04A_국토부원자료'!$A:$A,ROW()+1)="","",ROW()-3)</f>
        <v/>
      </c>
      <c r="B514" s="48">
        <f>IFERROR(INDEX('04A_국토부원자료'!$A:$T,ROW()+1,MATCH("시군구",'04A_국토부원자료'!$A$4:$T$4,0)),"")</f>
        <v/>
      </c>
      <c r="C514" s="48">
        <f>IF(B514="","",IFERROR(INDEX('04A_국토부원자료'!$A:$T,ROW()+1,MATCH("번지",'04A_국토부원자료'!$A$4:$T$4,0)),""))</f>
        <v/>
      </c>
      <c r="D514" s="48">
        <f>IF(B514="","",IF(Q514=1,'02_대상물건입력'!$B$8,IFERROR(INDEX('04A_국토부원자료'!$A:$T,ROW()+1,MATCH("단지명",'04A_국토부원자료'!$A$4:$T$4,0)),"")))</f>
        <v/>
      </c>
      <c r="E514" s="172">
        <f>IFERROR(VALUE(SUBSTITUTE(INDEX('04A_국토부원자료'!$A:$T,ROW()+1,MATCH("전용면적(㎡)",'04A_국토부원자료'!$A$4:$T$4,0)),",","")),"")</f>
        <v/>
      </c>
      <c r="F5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14" s="51">
        <f>IFERROR(VALUE(SUBSTITUTE(INDEX('04A_국토부원자료'!$A:$T,ROW()+1,MATCH("거래금액(만원)",'04A_국토부원자료'!$A$4:$T$4,0)),",","")),"")</f>
        <v/>
      </c>
      <c r="H514" s="174">
        <f>IF(G514="","",G514*10000)</f>
        <v/>
      </c>
      <c r="I514" s="174">
        <f>IFERROR(IF(AND(H514&gt;0,E514&gt;0),H514/E514,""),"")</f>
        <v/>
      </c>
      <c r="J514" s="152">
        <f>IFERROR(VALUE(SUBSTITUTE(INDEX('04A_국토부원자료'!$A:$T,ROW()+1,MATCH("층",'04A_국토부원자료'!$A$4:$T$4,0)),",","")),"")</f>
        <v/>
      </c>
      <c r="K514" s="152">
        <f>IFERROR(VALUE(SUBSTITUTE(INDEX('04A_국토부원자료'!$A:$T,ROW()+1,MATCH("건축년도",'04A_국토부원자료'!$A$4:$T$4,0)),",","")),"")</f>
        <v/>
      </c>
      <c r="L514" s="176">
        <f>IFERROR(INDEX('04A_국토부원자료'!$A:$T,ROW()+1,MATCH("도로명",'04A_국토부원자료'!$A$4:$T$4,0)),"")</f>
        <v/>
      </c>
      <c r="M514" s="48">
        <f>IFERROR(INDEX('04A_국토부원자료'!$A:$T,ROW()+1,MATCH("거래유형",'04A_국토부원자료'!$A$4:$T$4,0)),"")</f>
        <v/>
      </c>
      <c r="N514" s="152">
        <f>IF(B514="","",IF('02_대상물건입력'!B5="",1,IF(ISNUMBER(SEARCH('02_대상물건입력'!B5,B514)),1,0)))</f>
        <v/>
      </c>
      <c r="O514" s="152">
        <f>IF(B514="","",IF('02_대상물건입력'!B6="",1,IF(ISNUMBER(SEARCH('02_대상물건입력'!B6,B514)),1,0)))</f>
        <v/>
      </c>
      <c r="P514" s="152">
        <f>IF(L514="","",IF('02_대상물건입력'!B15="",0,IF(ISNUMBER(SEARCH('02_대상물건입력'!B15,L514)),1,0)))</f>
        <v/>
      </c>
      <c r="Q514" s="152">
        <f>IF(OR(C514="",L514=""),0,IF(AND(TRIM(C514)=TRIM(RIGHT(SUBSTITUTE(TRIM('02_대상물건입력'!$B$7)," ",REPT(" ",99)),99)),IF('02_대상물건입력'!B15="",TRUE(),ISNUMBER(SEARCH('02_대상물건입력'!B15,L514)))),1,0))</f>
        <v/>
      </c>
      <c r="R514" s="175">
        <f>IFERROR(ABS(E514-'02_대상물건입력'!B11)/'02_대상물건입력'!B11,"")</f>
        <v/>
      </c>
      <c r="S514" s="152">
        <f>IFERROR(ABS(J514-'02_대상물건입력'!B10),"")</f>
        <v/>
      </c>
      <c r="T514" s="152">
        <f>IFERROR(ABS('01_설정'!B4-F514),"")</f>
        <v/>
      </c>
      <c r="U514" s="152">
        <f>IFERROR(ABS(K514-YEAR('02_대상물건입력'!B14)),"")</f>
        <v/>
      </c>
      <c r="V514" s="152">
        <f>IF(B514="","",IF(AND(E514&gt;0,F514&gt;0,H514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514=1,TRUE()),R514&lt;='01_설정'!B5,S514&lt;='01_설정'!B6,T514&lt;='01_설정'!B7,U514&lt;='01_설정'!B8),"Y",""))</f>
        <v/>
      </c>
      <c r="W514" s="172">
        <f>IF(V514&lt;&gt;"Y","",MAX(0,(1-R514/'01_설정'!B5))*'01_설정'!B14+MAX(0,(1-S514/'01_설정'!B6))*'01_설정'!B15+MAX(0,(1-T514/'01_설정'!B7))*'01_설정'!B16+MAX(0,(1-U514/'01_설정'!B8))*'01_설정'!B17+O514*'01_설정'!B11+Q514*'01_설정'!B12+P514*'01_설정'!B13+IF(Z514="",0,Z514))</f>
        <v/>
      </c>
      <c r="X514" s="152">
        <f>IF(W514="","",1+COUNTIFS($W$4:$W$3003,"&gt;"&amp;W514)+COUNTIFS($W$4:W514,W514)-1)</f>
        <v/>
      </c>
      <c r="Y514" s="175">
        <f>IF(OR(I514="",'02_대상물건입력'!B19="",'02_대상물건입력'!B19&lt;=0),"",ABS(I514-'02_대상물건입력'!B19)/'02_대상물건입력'!B19)</f>
        <v/>
      </c>
      <c r="Z514" s="172">
        <f>IF(OR(Y514="",'01_설정'!B31="",'01_설정'!B31&lt;=0,'01_설정'!B32="",'01_설정'!B32&lt;=0),"",MAX(0,(1-Y514/'01_설정'!B32))*'01_설정'!B31)</f>
        <v/>
      </c>
    </row>
    <row r="515" ht="17.25" customHeight="1">
      <c r="A515" s="152">
        <f>IF(INDEX('04A_국토부원자료'!$A:$A,ROW()+1)="","",ROW()-3)</f>
        <v/>
      </c>
      <c r="B515" s="48">
        <f>IFERROR(INDEX('04A_국토부원자료'!$A:$T,ROW()+1,MATCH("시군구",'04A_국토부원자료'!$A$4:$T$4,0)),"")</f>
        <v/>
      </c>
      <c r="C515" s="48">
        <f>IF(B515="","",IFERROR(INDEX('04A_국토부원자료'!$A:$T,ROW()+1,MATCH("번지",'04A_국토부원자료'!$A$4:$T$4,0)),""))</f>
        <v/>
      </c>
      <c r="D515" s="48">
        <f>IF(B515="","",IF(Q515=1,'02_대상물건입력'!$B$8,IFERROR(INDEX('04A_국토부원자료'!$A:$T,ROW()+1,MATCH("단지명",'04A_국토부원자료'!$A$4:$T$4,0)),"")))</f>
        <v/>
      </c>
      <c r="E515" s="172">
        <f>IFERROR(VALUE(SUBSTITUTE(INDEX('04A_국토부원자료'!$A:$T,ROW()+1,MATCH("전용면적(㎡)",'04A_국토부원자료'!$A$4:$T$4,0)),",","")),"")</f>
        <v/>
      </c>
      <c r="F5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15" s="51">
        <f>IFERROR(VALUE(SUBSTITUTE(INDEX('04A_국토부원자료'!$A:$T,ROW()+1,MATCH("거래금액(만원)",'04A_국토부원자료'!$A$4:$T$4,0)),",","")),"")</f>
        <v/>
      </c>
      <c r="H515" s="174">
        <f>IF(G515="","",G515*10000)</f>
        <v/>
      </c>
      <c r="I515" s="174">
        <f>IFERROR(IF(AND(H515&gt;0,E515&gt;0),H515/E515,""),"")</f>
        <v/>
      </c>
      <c r="J515" s="152">
        <f>IFERROR(VALUE(SUBSTITUTE(INDEX('04A_국토부원자료'!$A:$T,ROW()+1,MATCH("층",'04A_국토부원자료'!$A$4:$T$4,0)),",","")),"")</f>
        <v/>
      </c>
      <c r="K515" s="152">
        <f>IFERROR(VALUE(SUBSTITUTE(INDEX('04A_국토부원자료'!$A:$T,ROW()+1,MATCH("건축년도",'04A_국토부원자료'!$A$4:$T$4,0)),",","")),"")</f>
        <v/>
      </c>
      <c r="L515" s="176">
        <f>IFERROR(INDEX('04A_국토부원자료'!$A:$T,ROW()+1,MATCH("도로명",'04A_국토부원자료'!$A$4:$T$4,0)),"")</f>
        <v/>
      </c>
      <c r="M515" s="48">
        <f>IFERROR(INDEX('04A_국토부원자료'!$A:$T,ROW()+1,MATCH("거래유형",'04A_국토부원자료'!$A$4:$T$4,0)),"")</f>
        <v/>
      </c>
      <c r="N515" s="152">
        <f>IF(B515="","",IF('02_대상물건입력'!B5="",1,IF(ISNUMBER(SEARCH('02_대상물건입력'!B5,B515)),1,0)))</f>
        <v/>
      </c>
      <c r="O515" s="152">
        <f>IF(B515="","",IF('02_대상물건입력'!B6="",1,IF(ISNUMBER(SEARCH('02_대상물건입력'!B6,B515)),1,0)))</f>
        <v/>
      </c>
      <c r="P515" s="152">
        <f>IF(L515="","",IF('02_대상물건입력'!B15="",0,IF(ISNUMBER(SEARCH('02_대상물건입력'!B15,L515)),1,0)))</f>
        <v/>
      </c>
      <c r="Q515" s="152">
        <f>IF(OR(C515="",L515=""),0,IF(AND(TRIM(C515)=TRIM(RIGHT(SUBSTITUTE(TRIM('02_대상물건입력'!$B$7)," ",REPT(" ",99)),99)),IF('02_대상물건입력'!B15="",TRUE(),ISNUMBER(SEARCH('02_대상물건입력'!B15,L515)))),1,0))</f>
        <v/>
      </c>
      <c r="R515" s="175">
        <f>IFERROR(ABS(E515-'02_대상물건입력'!B11)/'02_대상물건입력'!B11,"")</f>
        <v/>
      </c>
      <c r="S515" s="152">
        <f>IFERROR(ABS(J515-'02_대상물건입력'!B10),"")</f>
        <v/>
      </c>
      <c r="T515" s="152">
        <f>IFERROR(ABS('01_설정'!B4-F515),"")</f>
        <v/>
      </c>
      <c r="U515" s="152">
        <f>IFERROR(ABS(K515-YEAR('02_대상물건입력'!B14)),"")</f>
        <v/>
      </c>
      <c r="V515" s="152">
        <f>IF(B515="","",IF(AND(E515&gt;0,F515&gt;0,H515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515=1,TRUE()),R515&lt;='01_설정'!B5,S515&lt;='01_설정'!B6,T515&lt;='01_설정'!B7,U515&lt;='01_설정'!B8),"Y",""))</f>
        <v/>
      </c>
      <c r="W515" s="172">
        <f>IF(V515&lt;&gt;"Y","",MAX(0,(1-R515/'01_설정'!B5))*'01_설정'!B14+MAX(0,(1-S515/'01_설정'!B6))*'01_설정'!B15+MAX(0,(1-T515/'01_설정'!B7))*'01_설정'!B16+MAX(0,(1-U515/'01_설정'!B8))*'01_설정'!B17+O515*'01_설정'!B11+Q515*'01_설정'!B12+P515*'01_설정'!B13+IF(Z515="",0,Z515))</f>
        <v/>
      </c>
      <c r="X515" s="152">
        <f>IF(W515="","",1+COUNTIFS($W$4:$W$3003,"&gt;"&amp;W515)+COUNTIFS($W$4:W515,W515)-1)</f>
        <v/>
      </c>
      <c r="Y515" s="175">
        <f>IF(OR(I515="",'02_대상물건입력'!B19="",'02_대상물건입력'!B19&lt;=0),"",ABS(I515-'02_대상물건입력'!B19)/'02_대상물건입력'!B19)</f>
        <v/>
      </c>
      <c r="Z515" s="172">
        <f>IF(OR(Y515="",'01_설정'!B31="",'01_설정'!B31&lt;=0,'01_설정'!B32="",'01_설정'!B32&lt;=0),"",MAX(0,(1-Y515/'01_설정'!B32))*'01_설정'!B31)</f>
        <v/>
      </c>
    </row>
    <row r="516" ht="17.25" customHeight="1">
      <c r="A516" s="152">
        <f>IF(INDEX('04A_국토부원자료'!$A:$A,ROW()+1)="","",ROW()-3)</f>
        <v/>
      </c>
      <c r="B516" s="48">
        <f>IFERROR(INDEX('04A_국토부원자료'!$A:$T,ROW()+1,MATCH("시군구",'04A_국토부원자료'!$A$4:$T$4,0)),"")</f>
        <v/>
      </c>
      <c r="C516" s="48">
        <f>IF(B516="","",IFERROR(INDEX('04A_국토부원자료'!$A:$T,ROW()+1,MATCH("번지",'04A_국토부원자료'!$A$4:$T$4,0)),""))</f>
        <v/>
      </c>
      <c r="D516" s="48">
        <f>IF(B516="","",IF(Q516=1,'02_대상물건입력'!$B$8,IFERROR(INDEX('04A_국토부원자료'!$A:$T,ROW()+1,MATCH("단지명",'04A_국토부원자료'!$A$4:$T$4,0)),"")))</f>
        <v/>
      </c>
      <c r="E516" s="172">
        <f>IFERROR(VALUE(SUBSTITUTE(INDEX('04A_국토부원자료'!$A:$T,ROW()+1,MATCH("전용면적(㎡)",'04A_국토부원자료'!$A$4:$T$4,0)),",","")),"")</f>
        <v/>
      </c>
      <c r="F5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16" s="51">
        <f>IFERROR(VALUE(SUBSTITUTE(INDEX('04A_국토부원자료'!$A:$T,ROW()+1,MATCH("거래금액(만원)",'04A_국토부원자료'!$A$4:$T$4,0)),",","")),"")</f>
        <v/>
      </c>
      <c r="H516" s="174">
        <f>IF(G516="","",G516*10000)</f>
        <v/>
      </c>
      <c r="I516" s="174">
        <f>IFERROR(IF(AND(H516&gt;0,E516&gt;0),H516/E516,""),"")</f>
        <v/>
      </c>
      <c r="J516" s="152">
        <f>IFERROR(VALUE(SUBSTITUTE(INDEX('04A_국토부원자료'!$A:$T,ROW()+1,MATCH("층",'04A_국토부원자료'!$A$4:$T$4,0)),",","")),"")</f>
        <v/>
      </c>
      <c r="K516" s="152">
        <f>IFERROR(VALUE(SUBSTITUTE(INDEX('04A_국토부원자료'!$A:$T,ROW()+1,MATCH("건축년도",'04A_국토부원자료'!$A$4:$T$4,0)),",","")),"")</f>
        <v/>
      </c>
      <c r="L516" s="176">
        <f>IFERROR(INDEX('04A_국토부원자료'!$A:$T,ROW()+1,MATCH("도로명",'04A_국토부원자료'!$A$4:$T$4,0)),"")</f>
        <v/>
      </c>
      <c r="M516" s="48">
        <f>IFERROR(INDEX('04A_국토부원자료'!$A:$T,ROW()+1,MATCH("거래유형",'04A_국토부원자료'!$A$4:$T$4,0)),"")</f>
        <v/>
      </c>
      <c r="N516" s="152">
        <f>IF(B516="","",IF('02_대상물건입력'!B5="",1,IF(ISNUMBER(SEARCH('02_대상물건입력'!B5,B516)),1,0)))</f>
        <v/>
      </c>
      <c r="O516" s="152">
        <f>IF(B516="","",IF('02_대상물건입력'!B6="",1,IF(ISNUMBER(SEARCH('02_대상물건입력'!B6,B516)),1,0)))</f>
        <v/>
      </c>
      <c r="P516" s="152">
        <f>IF(L516="","",IF('02_대상물건입력'!B15="",0,IF(ISNUMBER(SEARCH('02_대상물건입력'!B15,L516)),1,0)))</f>
        <v/>
      </c>
      <c r="Q516" s="152">
        <f>IF(OR(C516="",L516=""),0,IF(AND(TRIM(C516)=TRIM(RIGHT(SUBSTITUTE(TRIM('02_대상물건입력'!$B$7)," ",REPT(" ",99)),99)),IF('02_대상물건입력'!B15="",TRUE(),ISNUMBER(SEARCH('02_대상물건입력'!B15,L516)))),1,0))</f>
        <v/>
      </c>
      <c r="R516" s="175">
        <f>IFERROR(ABS(E516-'02_대상물건입력'!B11)/'02_대상물건입력'!B11,"")</f>
        <v/>
      </c>
      <c r="S516" s="152">
        <f>IFERROR(ABS(J516-'02_대상물건입력'!B10),"")</f>
        <v/>
      </c>
      <c r="T516" s="152">
        <f>IFERROR(ABS('01_설정'!B4-F516),"")</f>
        <v/>
      </c>
      <c r="U516" s="152">
        <f>IFERROR(ABS(K516-YEAR('02_대상물건입력'!B14)),"")</f>
        <v/>
      </c>
      <c r="V516" s="152">
        <f>IF(B516="","",IF(AND(E516&gt;0,F516&gt;0,H516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516=1,TRUE()),R516&lt;='01_설정'!B5,S516&lt;='01_설정'!B6,T516&lt;='01_설정'!B7,U516&lt;='01_설정'!B8),"Y",""))</f>
        <v/>
      </c>
      <c r="W516" s="172">
        <f>IF(V516&lt;&gt;"Y","",MAX(0,(1-R516/'01_설정'!B5))*'01_설정'!B14+MAX(0,(1-S516/'01_설정'!B6))*'01_설정'!B15+MAX(0,(1-T516/'01_설정'!B7))*'01_설정'!B16+MAX(0,(1-U516/'01_설정'!B8))*'01_설정'!B17+O516*'01_설정'!B11+Q516*'01_설정'!B12+P516*'01_설정'!B13+IF(Z516="",0,Z516))</f>
        <v/>
      </c>
      <c r="X516" s="152">
        <f>IF(W516="","",1+COUNTIFS($W$4:$W$3003,"&gt;"&amp;W516)+COUNTIFS($W$4:W516,W516)-1)</f>
        <v/>
      </c>
      <c r="Y516" s="175">
        <f>IF(OR(I516="",'02_대상물건입력'!B19="",'02_대상물건입력'!B19&lt;=0),"",ABS(I516-'02_대상물건입력'!B19)/'02_대상물건입력'!B19)</f>
        <v/>
      </c>
      <c r="Z516" s="172">
        <f>IF(OR(Y516="",'01_설정'!B31="",'01_설정'!B31&lt;=0,'01_설정'!B32="",'01_설정'!B32&lt;=0),"",MAX(0,(1-Y516/'01_설정'!B32))*'01_설정'!B31)</f>
        <v/>
      </c>
    </row>
    <row r="517" ht="17.25" customHeight="1">
      <c r="A517" s="152">
        <f>IF(INDEX('04A_국토부원자료'!$A:$A,ROW()+1)="","",ROW()-3)</f>
        <v/>
      </c>
      <c r="B517" s="48">
        <f>IFERROR(INDEX('04A_국토부원자료'!$A:$T,ROW()+1,MATCH("시군구",'04A_국토부원자료'!$A$4:$T$4,0)),"")</f>
        <v/>
      </c>
      <c r="C517" s="48">
        <f>IF(B517="","",IFERROR(INDEX('04A_국토부원자료'!$A:$T,ROW()+1,MATCH("번지",'04A_국토부원자료'!$A$4:$T$4,0)),""))</f>
        <v/>
      </c>
      <c r="D517" s="48">
        <f>IF(B517="","",IF(Q517=1,'02_대상물건입력'!$B$8,IFERROR(INDEX('04A_국토부원자료'!$A:$T,ROW()+1,MATCH("단지명",'04A_국토부원자료'!$A$4:$T$4,0)),"")))</f>
        <v/>
      </c>
      <c r="E517" s="172">
        <f>IFERROR(VALUE(SUBSTITUTE(INDEX('04A_국토부원자료'!$A:$T,ROW()+1,MATCH("전용면적(㎡)",'04A_국토부원자료'!$A$4:$T$4,0)),",","")),"")</f>
        <v/>
      </c>
      <c r="F5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17" s="51">
        <f>IFERROR(VALUE(SUBSTITUTE(INDEX('04A_국토부원자료'!$A:$T,ROW()+1,MATCH("거래금액(만원)",'04A_국토부원자료'!$A$4:$T$4,0)),",","")),"")</f>
        <v/>
      </c>
      <c r="H517" s="174">
        <f>IF(G517="","",G517*10000)</f>
        <v/>
      </c>
      <c r="I517" s="174">
        <f>IFERROR(IF(AND(H517&gt;0,E517&gt;0),H517/E517,""),"")</f>
        <v/>
      </c>
      <c r="J517" s="152">
        <f>IFERROR(VALUE(SUBSTITUTE(INDEX('04A_국토부원자료'!$A:$T,ROW()+1,MATCH("층",'04A_국토부원자료'!$A$4:$T$4,0)),",","")),"")</f>
        <v/>
      </c>
      <c r="K517" s="152">
        <f>IFERROR(VALUE(SUBSTITUTE(INDEX('04A_국토부원자료'!$A:$T,ROW()+1,MATCH("건축년도",'04A_국토부원자료'!$A$4:$T$4,0)),",","")),"")</f>
        <v/>
      </c>
      <c r="L517" s="176">
        <f>IFERROR(INDEX('04A_국토부원자료'!$A:$T,ROW()+1,MATCH("도로명",'04A_국토부원자료'!$A$4:$T$4,0)),"")</f>
        <v/>
      </c>
      <c r="M517" s="48">
        <f>IFERROR(INDEX('04A_국토부원자료'!$A:$T,ROW()+1,MATCH("거래유형",'04A_국토부원자료'!$A$4:$T$4,0)),"")</f>
        <v/>
      </c>
      <c r="N517" s="152">
        <f>IF(B517="","",IF('02_대상물건입력'!B5="",1,IF(ISNUMBER(SEARCH('02_대상물건입력'!B5,B517)),1,0)))</f>
        <v/>
      </c>
      <c r="O517" s="152">
        <f>IF(B517="","",IF('02_대상물건입력'!B6="",1,IF(ISNUMBER(SEARCH('02_대상물건입력'!B6,B517)),1,0)))</f>
        <v/>
      </c>
      <c r="P517" s="152">
        <f>IF(L517="","",IF('02_대상물건입력'!B15="",0,IF(ISNUMBER(SEARCH('02_대상물건입력'!B15,L517)),1,0)))</f>
        <v/>
      </c>
      <c r="Q517" s="152">
        <f>IF(OR(C517="",L517=""),0,IF(AND(TRIM(C517)=TRIM(RIGHT(SUBSTITUTE(TRIM('02_대상물건입력'!$B$7)," ",REPT(" ",99)),99)),IF('02_대상물건입력'!B15="",TRUE(),ISNUMBER(SEARCH('02_대상물건입력'!B15,L517)))),1,0))</f>
        <v/>
      </c>
      <c r="R517" s="175">
        <f>IFERROR(ABS(E517-'02_대상물건입력'!B11)/'02_대상물건입력'!B11,"")</f>
        <v/>
      </c>
      <c r="S517" s="152">
        <f>IFERROR(ABS(J517-'02_대상물건입력'!B10),"")</f>
        <v/>
      </c>
      <c r="T517" s="152">
        <f>IFERROR(ABS('01_설정'!B4-F517),"")</f>
        <v/>
      </c>
      <c r="U517" s="152">
        <f>IFERROR(ABS(K517-YEAR('02_대상물건입력'!B14)),"")</f>
        <v/>
      </c>
      <c r="V517" s="152">
        <f>IF(B517="","",IF(AND(E517&gt;0,F517&gt;0,H517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517=1,TRUE()),R517&lt;='01_설정'!B5,S517&lt;='01_설정'!B6,T517&lt;='01_설정'!B7,U517&lt;='01_설정'!B8),"Y",""))</f>
        <v/>
      </c>
      <c r="W517" s="172">
        <f>IF(V517&lt;&gt;"Y","",MAX(0,(1-R517/'01_설정'!B5))*'01_설정'!B14+MAX(0,(1-S517/'01_설정'!B6))*'01_설정'!B15+MAX(0,(1-T517/'01_설정'!B7))*'01_설정'!B16+MAX(0,(1-U517/'01_설정'!B8))*'01_설정'!B17+O517*'01_설정'!B11+Q517*'01_설정'!B12+P517*'01_설정'!B13+IF(Z517="",0,Z517))</f>
        <v/>
      </c>
      <c r="X517" s="152">
        <f>IF(W517="","",1+COUNTIFS($W$4:$W$3003,"&gt;"&amp;W517)+COUNTIFS($W$4:W517,W517)-1)</f>
        <v/>
      </c>
      <c r="Y517" s="175">
        <f>IF(OR(I517="",'02_대상물건입력'!B19="",'02_대상물건입력'!B19&lt;=0),"",ABS(I517-'02_대상물건입력'!B19)/'02_대상물건입력'!B19)</f>
        <v/>
      </c>
      <c r="Z517" s="172">
        <f>IF(OR(Y517="",'01_설정'!B31="",'01_설정'!B31&lt;=0,'01_설정'!B32="",'01_설정'!B32&lt;=0),"",MAX(0,(1-Y517/'01_설정'!B32))*'01_설정'!B31)</f>
        <v/>
      </c>
    </row>
    <row r="518" ht="17.25" customHeight="1">
      <c r="A518" s="152">
        <f>IF(INDEX('04A_국토부원자료'!$A:$A,ROW()+1)="","",ROW()-3)</f>
        <v/>
      </c>
      <c r="B518" s="48">
        <f>IFERROR(INDEX('04A_국토부원자료'!$A:$T,ROW()+1,MATCH("시군구",'04A_국토부원자료'!$A$4:$T$4,0)),"")</f>
        <v/>
      </c>
      <c r="C518" s="48">
        <f>IF(B518="","",IFERROR(INDEX('04A_국토부원자료'!$A:$T,ROW()+1,MATCH("번지",'04A_국토부원자료'!$A$4:$T$4,0)),""))</f>
        <v/>
      </c>
      <c r="D518" s="48">
        <f>IF(B518="","",IF(Q518=1,'02_대상물건입력'!$B$8,IFERROR(INDEX('04A_국토부원자료'!$A:$T,ROW()+1,MATCH("단지명",'04A_국토부원자료'!$A$4:$T$4,0)),"")))</f>
        <v/>
      </c>
      <c r="E518" s="172">
        <f>IFERROR(VALUE(SUBSTITUTE(INDEX('04A_국토부원자료'!$A:$T,ROW()+1,MATCH("전용면적(㎡)",'04A_국토부원자료'!$A$4:$T$4,0)),",","")),"")</f>
        <v/>
      </c>
      <c r="F5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18" s="51">
        <f>IFERROR(VALUE(SUBSTITUTE(INDEX('04A_국토부원자료'!$A:$T,ROW()+1,MATCH("거래금액(만원)",'04A_국토부원자료'!$A$4:$T$4,0)),",","")),"")</f>
        <v/>
      </c>
      <c r="H518" s="174">
        <f>IF(G518="","",G518*10000)</f>
        <v/>
      </c>
      <c r="I518" s="174">
        <f>IFERROR(IF(AND(H518&gt;0,E518&gt;0),H518/E518,""),"")</f>
        <v/>
      </c>
      <c r="J518" s="152">
        <f>IFERROR(VALUE(SUBSTITUTE(INDEX('04A_국토부원자료'!$A:$T,ROW()+1,MATCH("층",'04A_국토부원자료'!$A$4:$T$4,0)),",","")),"")</f>
        <v/>
      </c>
      <c r="K518" s="152">
        <f>IFERROR(VALUE(SUBSTITUTE(INDEX('04A_국토부원자료'!$A:$T,ROW()+1,MATCH("건축년도",'04A_국토부원자료'!$A$4:$T$4,0)),",","")),"")</f>
        <v/>
      </c>
      <c r="L518" s="176">
        <f>IFERROR(INDEX('04A_국토부원자료'!$A:$T,ROW()+1,MATCH("도로명",'04A_국토부원자료'!$A$4:$T$4,0)),"")</f>
        <v/>
      </c>
      <c r="M518" s="48">
        <f>IFERROR(INDEX('04A_국토부원자료'!$A:$T,ROW()+1,MATCH("거래유형",'04A_국토부원자료'!$A$4:$T$4,0)),"")</f>
        <v/>
      </c>
      <c r="N518" s="152">
        <f>IF(B518="","",IF('02_대상물건입력'!B5="",1,IF(ISNUMBER(SEARCH('02_대상물건입력'!B5,B518)),1,0)))</f>
        <v/>
      </c>
      <c r="O518" s="152">
        <f>IF(B518="","",IF('02_대상물건입력'!B6="",1,IF(ISNUMBER(SEARCH('02_대상물건입력'!B6,B518)),1,0)))</f>
        <v/>
      </c>
      <c r="P518" s="152">
        <f>IF(L518="","",IF('02_대상물건입력'!B15="",0,IF(ISNUMBER(SEARCH('02_대상물건입력'!B15,L518)),1,0)))</f>
        <v/>
      </c>
      <c r="Q518" s="152">
        <f>IF(OR(C518="",L518=""),0,IF(AND(TRIM(C518)=TRIM(RIGHT(SUBSTITUTE(TRIM('02_대상물건입력'!$B$7)," ",REPT(" ",99)),99)),IF('02_대상물건입력'!B15="",TRUE(),ISNUMBER(SEARCH('02_대상물건입력'!B15,L518)))),1,0))</f>
        <v/>
      </c>
      <c r="R518" s="175">
        <f>IFERROR(ABS(E518-'02_대상물건입력'!B11)/'02_대상물건입력'!B11,"")</f>
        <v/>
      </c>
      <c r="S518" s="152">
        <f>IFERROR(ABS(J518-'02_대상물건입력'!B10),"")</f>
        <v/>
      </c>
      <c r="T518" s="152">
        <f>IFERROR(ABS('01_설정'!B4-F518),"")</f>
        <v/>
      </c>
      <c r="U518" s="152">
        <f>IFERROR(ABS(K518-YEAR('02_대상물건입력'!B14)),"")</f>
        <v/>
      </c>
      <c r="V518" s="152">
        <f>IF(B518="","",IF(AND(E518&gt;0,F518&gt;0,H518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518=1,TRUE()),R518&lt;='01_설정'!B5,S518&lt;='01_설정'!B6,T518&lt;='01_설정'!B7,U518&lt;='01_설정'!B8),"Y",""))</f>
        <v/>
      </c>
      <c r="W518" s="172">
        <f>IF(V518&lt;&gt;"Y","",MAX(0,(1-R518/'01_설정'!B5))*'01_설정'!B14+MAX(0,(1-S518/'01_설정'!B6))*'01_설정'!B15+MAX(0,(1-T518/'01_설정'!B7))*'01_설정'!B16+MAX(0,(1-U518/'01_설정'!B8))*'01_설정'!B17+O518*'01_설정'!B11+Q518*'01_설정'!B12+P518*'01_설정'!B13+IF(Z518="",0,Z518))</f>
        <v/>
      </c>
      <c r="X518" s="152">
        <f>IF(W518="","",1+COUNTIFS($W$4:$W$3003,"&gt;"&amp;W518)+COUNTIFS($W$4:W518,W518)-1)</f>
        <v/>
      </c>
      <c r="Y518" s="175">
        <f>IF(OR(I518="",'02_대상물건입력'!B19="",'02_대상물건입력'!B19&lt;=0),"",ABS(I518-'02_대상물건입력'!B19)/'02_대상물건입력'!B19)</f>
        <v/>
      </c>
      <c r="Z518" s="172">
        <f>IF(OR(Y518="",'01_설정'!B31="",'01_설정'!B31&lt;=0,'01_설정'!B32="",'01_설정'!B32&lt;=0),"",MAX(0,(1-Y518/'01_설정'!B32))*'01_설정'!B31)</f>
        <v/>
      </c>
    </row>
    <row r="519" ht="17.25" customHeight="1">
      <c r="A519" s="152">
        <f>IF(INDEX('04A_국토부원자료'!$A:$A,ROW()+1)="","",ROW()-3)</f>
        <v/>
      </c>
      <c r="B519" s="48">
        <f>IFERROR(INDEX('04A_국토부원자료'!$A:$T,ROW()+1,MATCH("시군구",'04A_국토부원자료'!$A$4:$T$4,0)),"")</f>
        <v/>
      </c>
      <c r="C519" s="48">
        <f>IF(B519="","",IFERROR(INDEX('04A_국토부원자료'!$A:$T,ROW()+1,MATCH("번지",'04A_국토부원자료'!$A$4:$T$4,0)),""))</f>
        <v/>
      </c>
      <c r="D519" s="48">
        <f>IF(B519="","",IF(Q519=1,'02_대상물건입력'!$B$8,IFERROR(INDEX('04A_국토부원자료'!$A:$T,ROW()+1,MATCH("단지명",'04A_국토부원자료'!$A$4:$T$4,0)),"")))</f>
        <v/>
      </c>
      <c r="E519" s="172">
        <f>IFERROR(VALUE(SUBSTITUTE(INDEX('04A_국토부원자료'!$A:$T,ROW()+1,MATCH("전용면적(㎡)",'04A_국토부원자료'!$A$4:$T$4,0)),",","")),"")</f>
        <v/>
      </c>
      <c r="F5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19" s="51">
        <f>IFERROR(VALUE(SUBSTITUTE(INDEX('04A_국토부원자료'!$A:$T,ROW()+1,MATCH("거래금액(만원)",'04A_국토부원자료'!$A$4:$T$4,0)),",","")),"")</f>
        <v/>
      </c>
      <c r="H519" s="174">
        <f>IF(G519="","",G519*10000)</f>
        <v/>
      </c>
      <c r="I519" s="174">
        <f>IFERROR(IF(AND(H519&gt;0,E519&gt;0),H519/E519,""),"")</f>
        <v/>
      </c>
      <c r="J519" s="152">
        <f>IFERROR(VALUE(SUBSTITUTE(INDEX('04A_국토부원자료'!$A:$T,ROW()+1,MATCH("층",'04A_국토부원자료'!$A$4:$T$4,0)),",","")),"")</f>
        <v/>
      </c>
      <c r="K519" s="152">
        <f>IFERROR(VALUE(SUBSTITUTE(INDEX('04A_국토부원자료'!$A:$T,ROW()+1,MATCH("건축년도",'04A_국토부원자료'!$A$4:$T$4,0)),",","")),"")</f>
        <v/>
      </c>
      <c r="L519" s="176">
        <f>IFERROR(INDEX('04A_국토부원자료'!$A:$T,ROW()+1,MATCH("도로명",'04A_국토부원자료'!$A$4:$T$4,0)),"")</f>
        <v/>
      </c>
      <c r="M519" s="48">
        <f>IFERROR(INDEX('04A_국토부원자료'!$A:$T,ROW()+1,MATCH("거래유형",'04A_국토부원자료'!$A$4:$T$4,0)),"")</f>
        <v/>
      </c>
      <c r="N519" s="152">
        <f>IF(B519="","",IF('02_대상물건입력'!B5="",1,IF(ISNUMBER(SEARCH('02_대상물건입력'!B5,B519)),1,0)))</f>
        <v/>
      </c>
      <c r="O519" s="152">
        <f>IF(B519="","",IF('02_대상물건입력'!B6="",1,IF(ISNUMBER(SEARCH('02_대상물건입력'!B6,B519)),1,0)))</f>
        <v/>
      </c>
      <c r="P519" s="152">
        <f>IF(L519="","",IF('02_대상물건입력'!B15="",0,IF(ISNUMBER(SEARCH('02_대상물건입력'!B15,L519)),1,0)))</f>
        <v/>
      </c>
      <c r="Q519" s="152">
        <f>IF(OR(C519="",L519=""),0,IF(AND(TRIM(C519)=TRIM(RIGHT(SUBSTITUTE(TRIM('02_대상물건입력'!$B$7)," ",REPT(" ",99)),99)),IF('02_대상물건입력'!B15="",TRUE(),ISNUMBER(SEARCH('02_대상물건입력'!B15,L519)))),1,0))</f>
        <v/>
      </c>
      <c r="R519" s="175">
        <f>IFERROR(ABS(E519-'02_대상물건입력'!B11)/'02_대상물건입력'!B11,"")</f>
        <v/>
      </c>
      <c r="S519" s="152">
        <f>IFERROR(ABS(J519-'02_대상물건입력'!B10),"")</f>
        <v/>
      </c>
      <c r="T519" s="152">
        <f>IFERROR(ABS('01_설정'!B4-F519),"")</f>
        <v/>
      </c>
      <c r="U519" s="152">
        <f>IFERROR(ABS(K519-YEAR('02_대상물건입력'!B14)),"")</f>
        <v/>
      </c>
      <c r="V519" s="152">
        <f>IF(B519="","",IF(AND(E519&gt;0,F519&gt;0,H519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519=1,TRUE()),R519&lt;='01_설정'!B5,S519&lt;='01_설정'!B6,T519&lt;='01_설정'!B7,U519&lt;='01_설정'!B8),"Y",""))</f>
        <v/>
      </c>
      <c r="W519" s="172">
        <f>IF(V519&lt;&gt;"Y","",MAX(0,(1-R519/'01_설정'!B5))*'01_설정'!B14+MAX(0,(1-S519/'01_설정'!B6))*'01_설정'!B15+MAX(0,(1-T519/'01_설정'!B7))*'01_설정'!B16+MAX(0,(1-U519/'01_설정'!B8))*'01_설정'!B17+O519*'01_설정'!B11+Q519*'01_설정'!B12+P519*'01_설정'!B13+IF(Z519="",0,Z519))</f>
        <v/>
      </c>
      <c r="X519" s="152">
        <f>IF(W519="","",1+COUNTIFS($W$4:$W$3003,"&gt;"&amp;W519)+COUNTIFS($W$4:W519,W519)-1)</f>
        <v/>
      </c>
      <c r="Y519" s="175">
        <f>IF(OR(I519="",'02_대상물건입력'!B19="",'02_대상물건입력'!B19&lt;=0),"",ABS(I519-'02_대상물건입력'!B19)/'02_대상물건입력'!B19)</f>
        <v/>
      </c>
      <c r="Z519" s="172">
        <f>IF(OR(Y519="",'01_설정'!B31="",'01_설정'!B31&lt;=0,'01_설정'!B32="",'01_설정'!B32&lt;=0),"",MAX(0,(1-Y519/'01_설정'!B32))*'01_설정'!B31)</f>
        <v/>
      </c>
    </row>
    <row r="520" ht="17.25" customHeight="1">
      <c r="A520" s="152">
        <f>IF(INDEX('04A_국토부원자료'!$A:$A,ROW()+1)="","",ROW()-3)</f>
        <v/>
      </c>
      <c r="B520" s="48">
        <f>IFERROR(INDEX('04A_국토부원자료'!$A:$T,ROW()+1,MATCH("시군구",'04A_국토부원자료'!$A$4:$T$4,0)),"")</f>
        <v/>
      </c>
      <c r="C520" s="48">
        <f>IF(B520="","",IFERROR(INDEX('04A_국토부원자료'!$A:$T,ROW()+1,MATCH("번지",'04A_국토부원자료'!$A$4:$T$4,0)),""))</f>
        <v/>
      </c>
      <c r="D520" s="48">
        <f>IF(B520="","",IF(Q520=1,'02_대상물건입력'!$B$8,IFERROR(INDEX('04A_국토부원자료'!$A:$T,ROW()+1,MATCH("단지명",'04A_국토부원자료'!$A$4:$T$4,0)),"")))</f>
        <v/>
      </c>
      <c r="E520" s="172">
        <f>IFERROR(VALUE(SUBSTITUTE(INDEX('04A_국토부원자료'!$A:$T,ROW()+1,MATCH("전용면적(㎡)",'04A_국토부원자료'!$A$4:$T$4,0)),",","")),"")</f>
        <v/>
      </c>
      <c r="F5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20" s="51">
        <f>IFERROR(VALUE(SUBSTITUTE(INDEX('04A_국토부원자료'!$A:$T,ROW()+1,MATCH("거래금액(만원)",'04A_국토부원자료'!$A$4:$T$4,0)),",","")),"")</f>
        <v/>
      </c>
      <c r="H520" s="174">
        <f>IF(G520="","",G520*10000)</f>
        <v/>
      </c>
      <c r="I520" s="174">
        <f>IFERROR(IF(AND(H520&gt;0,E520&gt;0),H520/E520,""),"")</f>
        <v/>
      </c>
      <c r="J520" s="152">
        <f>IFERROR(VALUE(SUBSTITUTE(INDEX('04A_국토부원자료'!$A:$T,ROW()+1,MATCH("층",'04A_국토부원자료'!$A$4:$T$4,0)),",","")),"")</f>
        <v/>
      </c>
      <c r="K520" s="152">
        <f>IFERROR(VALUE(SUBSTITUTE(INDEX('04A_국토부원자료'!$A:$T,ROW()+1,MATCH("건축년도",'04A_국토부원자료'!$A$4:$T$4,0)),",","")),"")</f>
        <v/>
      </c>
      <c r="L520" s="176">
        <f>IFERROR(INDEX('04A_국토부원자료'!$A:$T,ROW()+1,MATCH("도로명",'04A_국토부원자료'!$A$4:$T$4,0)),"")</f>
        <v/>
      </c>
      <c r="M520" s="48">
        <f>IFERROR(INDEX('04A_국토부원자료'!$A:$T,ROW()+1,MATCH("거래유형",'04A_국토부원자료'!$A$4:$T$4,0)),"")</f>
        <v/>
      </c>
      <c r="N520" s="152">
        <f>IF(B520="","",IF('02_대상물건입력'!B5="",1,IF(ISNUMBER(SEARCH('02_대상물건입력'!B5,B520)),1,0)))</f>
        <v/>
      </c>
      <c r="O520" s="152">
        <f>IF(B520="","",IF('02_대상물건입력'!B6="",1,IF(ISNUMBER(SEARCH('02_대상물건입력'!B6,B520)),1,0)))</f>
        <v/>
      </c>
      <c r="P520" s="152">
        <f>IF(L520="","",IF('02_대상물건입력'!B15="",0,IF(ISNUMBER(SEARCH('02_대상물건입력'!B15,L520)),1,0)))</f>
        <v/>
      </c>
      <c r="Q520" s="152">
        <f>IF(OR(C520="",L520=""),0,IF(AND(TRIM(C520)=TRIM(RIGHT(SUBSTITUTE(TRIM('02_대상물건입력'!$B$7)," ",REPT(" ",99)),99)),IF('02_대상물건입력'!B15="",TRUE(),ISNUMBER(SEARCH('02_대상물건입력'!B15,L520)))),1,0))</f>
        <v/>
      </c>
      <c r="R520" s="175">
        <f>IFERROR(ABS(E520-'02_대상물건입력'!B11)/'02_대상물건입력'!B11,"")</f>
        <v/>
      </c>
      <c r="S520" s="152">
        <f>IFERROR(ABS(J520-'02_대상물건입력'!B10),"")</f>
        <v/>
      </c>
      <c r="T520" s="152">
        <f>IFERROR(ABS('01_설정'!B4-F520),"")</f>
        <v/>
      </c>
      <c r="U520" s="152">
        <f>IFERROR(ABS(K520-YEAR('02_대상물건입력'!B14)),"")</f>
        <v/>
      </c>
      <c r="V520" s="152">
        <f>IF(B520="","",IF(AND(E520&gt;0,F520&gt;0,H520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520=1,TRUE()),R520&lt;='01_설정'!B5,S520&lt;='01_설정'!B6,T520&lt;='01_설정'!B7,U520&lt;='01_설정'!B8),"Y",""))</f>
        <v/>
      </c>
      <c r="W520" s="172">
        <f>IF(V520&lt;&gt;"Y","",MAX(0,(1-R520/'01_설정'!B5))*'01_설정'!B14+MAX(0,(1-S520/'01_설정'!B6))*'01_설정'!B15+MAX(0,(1-T520/'01_설정'!B7))*'01_설정'!B16+MAX(0,(1-U520/'01_설정'!B8))*'01_설정'!B17+O520*'01_설정'!B11+Q520*'01_설정'!B12+P520*'01_설정'!B13+IF(Z520="",0,Z520))</f>
        <v/>
      </c>
      <c r="X520" s="152">
        <f>IF(W520="","",1+COUNTIFS($W$4:$W$3003,"&gt;"&amp;W520)+COUNTIFS($W$4:W520,W520)-1)</f>
        <v/>
      </c>
      <c r="Y520" s="175">
        <f>IF(OR(I520="",'02_대상물건입력'!B19="",'02_대상물건입력'!B19&lt;=0),"",ABS(I520-'02_대상물건입력'!B19)/'02_대상물건입력'!B19)</f>
        <v/>
      </c>
      <c r="Z520" s="172">
        <f>IF(OR(Y520="",'01_설정'!B31="",'01_설정'!B31&lt;=0,'01_설정'!B32="",'01_설정'!B32&lt;=0),"",MAX(0,(1-Y520/'01_설정'!B32))*'01_설정'!B31)</f>
        <v/>
      </c>
    </row>
    <row r="521" ht="17.25" customHeight="1">
      <c r="A521" s="152">
        <f>IF(INDEX('04A_국토부원자료'!$A:$A,ROW()+1)="","",ROW()-3)</f>
        <v/>
      </c>
      <c r="B521" s="48">
        <f>IFERROR(INDEX('04A_국토부원자료'!$A:$T,ROW()+1,MATCH("시군구",'04A_국토부원자료'!$A$4:$T$4,0)),"")</f>
        <v/>
      </c>
      <c r="C521" s="48">
        <f>IF(B521="","",IFERROR(INDEX('04A_국토부원자료'!$A:$T,ROW()+1,MATCH("번지",'04A_국토부원자료'!$A$4:$T$4,0)),""))</f>
        <v/>
      </c>
      <c r="D521" s="48">
        <f>IF(B521="","",IF(Q521=1,'02_대상물건입력'!$B$8,IFERROR(INDEX('04A_국토부원자료'!$A:$T,ROW()+1,MATCH("단지명",'04A_국토부원자료'!$A$4:$T$4,0)),"")))</f>
        <v/>
      </c>
      <c r="E521" s="172">
        <f>IFERROR(VALUE(SUBSTITUTE(INDEX('04A_국토부원자료'!$A:$T,ROW()+1,MATCH("전용면적(㎡)",'04A_국토부원자료'!$A$4:$T$4,0)),",","")),"")</f>
        <v/>
      </c>
      <c r="F5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21" s="51">
        <f>IFERROR(VALUE(SUBSTITUTE(INDEX('04A_국토부원자료'!$A:$T,ROW()+1,MATCH("거래금액(만원)",'04A_국토부원자료'!$A$4:$T$4,0)),",","")),"")</f>
        <v/>
      </c>
      <c r="H521" s="174">
        <f>IF(G521="","",G521*10000)</f>
        <v/>
      </c>
      <c r="I521" s="174">
        <f>IFERROR(IF(AND(H521&gt;0,E521&gt;0),H521/E521,""),"")</f>
        <v/>
      </c>
      <c r="J521" s="152">
        <f>IFERROR(VALUE(SUBSTITUTE(INDEX('04A_국토부원자료'!$A:$T,ROW()+1,MATCH("층",'04A_국토부원자료'!$A$4:$T$4,0)),",","")),"")</f>
        <v/>
      </c>
      <c r="K521" s="152">
        <f>IFERROR(VALUE(SUBSTITUTE(INDEX('04A_국토부원자료'!$A:$T,ROW()+1,MATCH("건축년도",'04A_국토부원자료'!$A$4:$T$4,0)),",","")),"")</f>
        <v/>
      </c>
      <c r="L521" s="176">
        <f>IFERROR(INDEX('04A_국토부원자료'!$A:$T,ROW()+1,MATCH("도로명",'04A_국토부원자료'!$A$4:$T$4,0)),"")</f>
        <v/>
      </c>
      <c r="M521" s="48">
        <f>IFERROR(INDEX('04A_국토부원자료'!$A:$T,ROW()+1,MATCH("거래유형",'04A_국토부원자료'!$A$4:$T$4,0)),"")</f>
        <v/>
      </c>
      <c r="N521" s="152">
        <f>IF(B521="","",IF('02_대상물건입력'!B5="",1,IF(ISNUMBER(SEARCH('02_대상물건입력'!B5,B521)),1,0)))</f>
        <v/>
      </c>
      <c r="O521" s="152">
        <f>IF(B521="","",IF('02_대상물건입력'!B6="",1,IF(ISNUMBER(SEARCH('02_대상물건입력'!B6,B521)),1,0)))</f>
        <v/>
      </c>
      <c r="P521" s="152">
        <f>IF(L521="","",IF('02_대상물건입력'!B15="",0,IF(ISNUMBER(SEARCH('02_대상물건입력'!B15,L521)),1,0)))</f>
        <v/>
      </c>
      <c r="Q521" s="152">
        <f>IF(OR(C521="",L521=""),0,IF(AND(TRIM(C521)=TRIM(RIGHT(SUBSTITUTE(TRIM('02_대상물건입력'!$B$7)," ",REPT(" ",99)),99)),IF('02_대상물건입력'!B15="",TRUE(),ISNUMBER(SEARCH('02_대상물건입력'!B15,L521)))),1,0))</f>
        <v/>
      </c>
      <c r="R521" s="175">
        <f>IFERROR(ABS(E521-'02_대상물건입력'!B11)/'02_대상물건입력'!B11,"")</f>
        <v/>
      </c>
      <c r="S521" s="152">
        <f>IFERROR(ABS(J521-'02_대상물건입력'!B10),"")</f>
        <v/>
      </c>
      <c r="T521" s="152">
        <f>IFERROR(ABS('01_설정'!B4-F521),"")</f>
        <v/>
      </c>
      <c r="U521" s="152">
        <f>IFERROR(ABS(K521-YEAR('02_대상물건입력'!B14)),"")</f>
        <v/>
      </c>
      <c r="V521" s="152">
        <f>IF(B521="","",IF(AND(E521&gt;0,F521&gt;0,H521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521=1,TRUE()),R521&lt;='01_설정'!B5,S521&lt;='01_설정'!B6,T521&lt;='01_설정'!B7,U521&lt;='01_설정'!B8),"Y",""))</f>
        <v/>
      </c>
      <c r="W521" s="172">
        <f>IF(V521&lt;&gt;"Y","",MAX(0,(1-R521/'01_설정'!B5))*'01_설정'!B14+MAX(0,(1-S521/'01_설정'!B6))*'01_설정'!B15+MAX(0,(1-T521/'01_설정'!B7))*'01_설정'!B16+MAX(0,(1-U521/'01_설정'!B8))*'01_설정'!B17+O521*'01_설정'!B11+Q521*'01_설정'!B12+P521*'01_설정'!B13+IF(Z521="",0,Z521))</f>
        <v/>
      </c>
      <c r="X521" s="152">
        <f>IF(W521="","",1+COUNTIFS($W$4:$W$3003,"&gt;"&amp;W521)+COUNTIFS($W$4:W521,W521)-1)</f>
        <v/>
      </c>
      <c r="Y521" s="175">
        <f>IF(OR(I521="",'02_대상물건입력'!B19="",'02_대상물건입력'!B19&lt;=0),"",ABS(I521-'02_대상물건입력'!B19)/'02_대상물건입력'!B19)</f>
        <v/>
      </c>
      <c r="Z521" s="172">
        <f>IF(OR(Y521="",'01_설정'!B31="",'01_설정'!B31&lt;=0,'01_설정'!B32="",'01_설정'!B32&lt;=0),"",MAX(0,(1-Y521/'01_설정'!B32))*'01_설정'!B31)</f>
        <v/>
      </c>
    </row>
    <row r="522" ht="17.25" customHeight="1">
      <c r="A522" s="152">
        <f>IF(INDEX('04A_국토부원자료'!$A:$A,ROW()+1)="","",ROW()-3)</f>
        <v/>
      </c>
      <c r="B522" s="48">
        <f>IFERROR(INDEX('04A_국토부원자료'!$A:$T,ROW()+1,MATCH("시군구",'04A_국토부원자료'!$A$4:$T$4,0)),"")</f>
        <v/>
      </c>
      <c r="C522" s="48">
        <f>IF(B522="","",IFERROR(INDEX('04A_국토부원자료'!$A:$T,ROW()+1,MATCH("번지",'04A_국토부원자료'!$A$4:$T$4,0)),""))</f>
        <v/>
      </c>
      <c r="D522" s="48">
        <f>IF(B522="","",IF(Q522=1,'02_대상물건입력'!$B$8,IFERROR(INDEX('04A_국토부원자료'!$A:$T,ROW()+1,MATCH("단지명",'04A_국토부원자료'!$A$4:$T$4,0)),"")))</f>
        <v/>
      </c>
      <c r="E522" s="172">
        <f>IFERROR(VALUE(SUBSTITUTE(INDEX('04A_국토부원자료'!$A:$T,ROW()+1,MATCH("전용면적(㎡)",'04A_국토부원자료'!$A$4:$T$4,0)),",","")),"")</f>
        <v/>
      </c>
      <c r="F5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22" s="51">
        <f>IFERROR(VALUE(SUBSTITUTE(INDEX('04A_국토부원자료'!$A:$T,ROW()+1,MATCH("거래금액(만원)",'04A_국토부원자료'!$A$4:$T$4,0)),",","")),"")</f>
        <v/>
      </c>
      <c r="H522" s="174">
        <f>IF(G522="","",G522*10000)</f>
        <v/>
      </c>
      <c r="I522" s="174">
        <f>IFERROR(IF(AND(H522&gt;0,E522&gt;0),H522/E522,""),"")</f>
        <v/>
      </c>
      <c r="J522" s="152">
        <f>IFERROR(VALUE(SUBSTITUTE(INDEX('04A_국토부원자료'!$A:$T,ROW()+1,MATCH("층",'04A_국토부원자료'!$A$4:$T$4,0)),",","")),"")</f>
        <v/>
      </c>
      <c r="K522" s="152">
        <f>IFERROR(VALUE(SUBSTITUTE(INDEX('04A_국토부원자료'!$A:$T,ROW()+1,MATCH("건축년도",'04A_국토부원자료'!$A$4:$T$4,0)),",","")),"")</f>
        <v/>
      </c>
      <c r="L522" s="176">
        <f>IFERROR(INDEX('04A_국토부원자료'!$A:$T,ROW()+1,MATCH("도로명",'04A_국토부원자료'!$A$4:$T$4,0)),"")</f>
        <v/>
      </c>
      <c r="M522" s="48">
        <f>IFERROR(INDEX('04A_국토부원자료'!$A:$T,ROW()+1,MATCH("거래유형",'04A_국토부원자료'!$A$4:$T$4,0)),"")</f>
        <v/>
      </c>
      <c r="N522" s="152">
        <f>IF(B522="","",IF('02_대상물건입력'!B5="",1,IF(ISNUMBER(SEARCH('02_대상물건입력'!B5,B522)),1,0)))</f>
        <v/>
      </c>
      <c r="O522" s="152">
        <f>IF(B522="","",IF('02_대상물건입력'!B6="",1,IF(ISNUMBER(SEARCH('02_대상물건입력'!B6,B522)),1,0)))</f>
        <v/>
      </c>
      <c r="P522" s="152">
        <f>IF(L522="","",IF('02_대상물건입력'!B15="",0,IF(ISNUMBER(SEARCH('02_대상물건입력'!B15,L522)),1,0)))</f>
        <v/>
      </c>
      <c r="Q522" s="152">
        <f>IF(OR(C522="",L522=""),0,IF(AND(TRIM(C522)=TRIM(RIGHT(SUBSTITUTE(TRIM('02_대상물건입력'!$B$7)," ",REPT(" ",99)),99)),IF('02_대상물건입력'!B15="",TRUE(),ISNUMBER(SEARCH('02_대상물건입력'!B15,L522)))),1,0))</f>
        <v/>
      </c>
      <c r="R522" s="175">
        <f>IFERROR(ABS(E522-'02_대상물건입력'!B11)/'02_대상물건입력'!B11,"")</f>
        <v/>
      </c>
      <c r="S522" s="152">
        <f>IFERROR(ABS(J522-'02_대상물건입력'!B10),"")</f>
        <v/>
      </c>
      <c r="T522" s="152">
        <f>IFERROR(ABS('01_설정'!B4-F522),"")</f>
        <v/>
      </c>
      <c r="U522" s="152">
        <f>IFERROR(ABS(K522-YEAR('02_대상물건입력'!B14)),"")</f>
        <v/>
      </c>
      <c r="V522" s="152">
        <f>IF(B522="","",IF(AND(E522&gt;0,F522&gt;0,H522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522=1,TRUE()),R522&lt;='01_설정'!B5,S522&lt;='01_설정'!B6,T522&lt;='01_설정'!B7,U522&lt;='01_설정'!B8),"Y",""))</f>
        <v/>
      </c>
      <c r="W522" s="172">
        <f>IF(V522&lt;&gt;"Y","",MAX(0,(1-R522/'01_설정'!B5))*'01_설정'!B14+MAX(0,(1-S522/'01_설정'!B6))*'01_설정'!B15+MAX(0,(1-T522/'01_설정'!B7))*'01_설정'!B16+MAX(0,(1-U522/'01_설정'!B8))*'01_설정'!B17+O522*'01_설정'!B11+Q522*'01_설정'!B12+P522*'01_설정'!B13+IF(Z522="",0,Z522))</f>
        <v/>
      </c>
      <c r="X522" s="152">
        <f>IF(W522="","",1+COUNTIFS($W$4:$W$3003,"&gt;"&amp;W522)+COUNTIFS($W$4:W522,W522)-1)</f>
        <v/>
      </c>
      <c r="Y522" s="175">
        <f>IF(OR(I522="",'02_대상물건입력'!B19="",'02_대상물건입력'!B19&lt;=0),"",ABS(I522-'02_대상물건입력'!B19)/'02_대상물건입력'!B19)</f>
        <v/>
      </c>
      <c r="Z522" s="172">
        <f>IF(OR(Y522="",'01_설정'!B31="",'01_설정'!B31&lt;=0,'01_설정'!B32="",'01_설정'!B32&lt;=0),"",MAX(0,(1-Y522/'01_설정'!B32))*'01_설정'!B31)</f>
        <v/>
      </c>
    </row>
    <row r="523" ht="17.25" customHeight="1">
      <c r="A523" s="152">
        <f>IF(INDEX('04A_국토부원자료'!$A:$A,ROW()+1)="","",ROW()-3)</f>
        <v/>
      </c>
      <c r="B523" s="48">
        <f>IFERROR(INDEX('04A_국토부원자료'!$A:$T,ROW()+1,MATCH("시군구",'04A_국토부원자료'!$A$4:$T$4,0)),"")</f>
        <v/>
      </c>
      <c r="C523" s="48">
        <f>IF(B523="","",IFERROR(INDEX('04A_국토부원자료'!$A:$T,ROW()+1,MATCH("번지",'04A_국토부원자료'!$A$4:$T$4,0)),""))</f>
        <v/>
      </c>
      <c r="D523" s="48">
        <f>IF(B523="","",IF(Q523=1,'02_대상물건입력'!$B$8,IFERROR(INDEX('04A_국토부원자료'!$A:$T,ROW()+1,MATCH("단지명",'04A_국토부원자료'!$A$4:$T$4,0)),"")))</f>
        <v/>
      </c>
      <c r="E523" s="172">
        <f>IFERROR(VALUE(SUBSTITUTE(INDEX('04A_국토부원자료'!$A:$T,ROW()+1,MATCH("전용면적(㎡)",'04A_국토부원자료'!$A$4:$T$4,0)),",","")),"")</f>
        <v/>
      </c>
      <c r="F5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23" s="51">
        <f>IFERROR(VALUE(SUBSTITUTE(INDEX('04A_국토부원자료'!$A:$T,ROW()+1,MATCH("거래금액(만원)",'04A_국토부원자료'!$A$4:$T$4,0)),",","")),"")</f>
        <v/>
      </c>
      <c r="H523" s="174">
        <f>IF(G523="","",G523*10000)</f>
        <v/>
      </c>
      <c r="I523" s="174">
        <f>IFERROR(IF(AND(H523&gt;0,E523&gt;0),H523/E523,""),"")</f>
        <v/>
      </c>
      <c r="J523" s="152">
        <f>IFERROR(VALUE(SUBSTITUTE(INDEX('04A_국토부원자료'!$A:$T,ROW()+1,MATCH("층",'04A_국토부원자료'!$A$4:$T$4,0)),",","")),"")</f>
        <v/>
      </c>
      <c r="K523" s="152">
        <f>IFERROR(VALUE(SUBSTITUTE(INDEX('04A_국토부원자료'!$A:$T,ROW()+1,MATCH("건축년도",'04A_국토부원자료'!$A$4:$T$4,0)),",","")),"")</f>
        <v/>
      </c>
      <c r="L523" s="176">
        <f>IFERROR(INDEX('04A_국토부원자료'!$A:$T,ROW()+1,MATCH("도로명",'04A_국토부원자료'!$A$4:$T$4,0)),"")</f>
        <v/>
      </c>
      <c r="M523" s="48">
        <f>IFERROR(INDEX('04A_국토부원자료'!$A:$T,ROW()+1,MATCH("거래유형",'04A_국토부원자료'!$A$4:$T$4,0)),"")</f>
        <v/>
      </c>
      <c r="N523" s="152">
        <f>IF(B523="","",IF('02_대상물건입력'!B5="",1,IF(ISNUMBER(SEARCH('02_대상물건입력'!B5,B523)),1,0)))</f>
        <v/>
      </c>
      <c r="O523" s="152">
        <f>IF(B523="","",IF('02_대상물건입력'!B6="",1,IF(ISNUMBER(SEARCH('02_대상물건입력'!B6,B523)),1,0)))</f>
        <v/>
      </c>
      <c r="P523" s="152">
        <f>IF(L523="","",IF('02_대상물건입력'!B15="",0,IF(ISNUMBER(SEARCH('02_대상물건입력'!B15,L523)),1,0)))</f>
        <v/>
      </c>
      <c r="Q523" s="152">
        <f>IF(OR(C523="",L523=""),0,IF(AND(TRIM(C523)=TRIM(RIGHT(SUBSTITUTE(TRIM('02_대상물건입력'!$B$7)," ",REPT(" ",99)),99)),IF('02_대상물건입력'!B15="",TRUE(),ISNUMBER(SEARCH('02_대상물건입력'!B15,L523)))),1,0))</f>
        <v/>
      </c>
      <c r="R523" s="175">
        <f>IFERROR(ABS(E523-'02_대상물건입력'!B11)/'02_대상물건입력'!B11,"")</f>
        <v/>
      </c>
      <c r="S523" s="152">
        <f>IFERROR(ABS(J523-'02_대상물건입력'!B10),"")</f>
        <v/>
      </c>
      <c r="T523" s="152">
        <f>IFERROR(ABS('01_설정'!B4-F523),"")</f>
        <v/>
      </c>
      <c r="U523" s="152">
        <f>IFERROR(ABS(K523-YEAR('02_대상물건입력'!B14)),"")</f>
        <v/>
      </c>
      <c r="V523" s="152">
        <f>IF(B523="","",IF(AND(E523&gt;0,F523&gt;0,H523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523=1,TRUE()),R523&lt;='01_설정'!B5,S523&lt;='01_설정'!B6,T523&lt;='01_설정'!B7,U523&lt;='01_설정'!B8),"Y",""))</f>
        <v/>
      </c>
      <c r="W523" s="172">
        <f>IF(V523&lt;&gt;"Y","",MAX(0,(1-R523/'01_설정'!B5))*'01_설정'!B14+MAX(0,(1-S523/'01_설정'!B6))*'01_설정'!B15+MAX(0,(1-T523/'01_설정'!B7))*'01_설정'!B16+MAX(0,(1-U523/'01_설정'!B8))*'01_설정'!B17+O523*'01_설정'!B11+Q523*'01_설정'!B12+P523*'01_설정'!B13+IF(Z523="",0,Z523))</f>
        <v/>
      </c>
      <c r="X523" s="152">
        <f>IF(W523="","",1+COUNTIFS($W$4:$W$3003,"&gt;"&amp;W523)+COUNTIFS($W$4:W523,W523)-1)</f>
        <v/>
      </c>
      <c r="Y523" s="175">
        <f>IF(OR(I523="",'02_대상물건입력'!B19="",'02_대상물건입력'!B19&lt;=0),"",ABS(I523-'02_대상물건입력'!B19)/'02_대상물건입력'!B19)</f>
        <v/>
      </c>
      <c r="Z523" s="172">
        <f>IF(OR(Y523="",'01_설정'!B31="",'01_설정'!B31&lt;=0,'01_설정'!B32="",'01_설정'!B32&lt;=0),"",MAX(0,(1-Y523/'01_설정'!B32))*'01_설정'!B31)</f>
        <v/>
      </c>
    </row>
    <row r="524" ht="17.25" customHeight="1">
      <c r="A524" s="152">
        <f>IF(INDEX('04A_국토부원자료'!$A:$A,ROW()+1)="","",ROW()-3)</f>
        <v/>
      </c>
      <c r="B524" s="48">
        <f>IFERROR(INDEX('04A_국토부원자료'!$A:$T,ROW()+1,MATCH("시군구",'04A_국토부원자료'!$A$4:$T$4,0)),"")</f>
        <v/>
      </c>
      <c r="C524" s="48">
        <f>IF(B524="","",IFERROR(INDEX('04A_국토부원자료'!$A:$T,ROW()+1,MATCH("번지",'04A_국토부원자료'!$A$4:$T$4,0)),""))</f>
        <v/>
      </c>
      <c r="D524" s="48">
        <f>IF(B524="","",IF(Q524=1,'02_대상물건입력'!$B$8,IFERROR(INDEX('04A_국토부원자료'!$A:$T,ROW()+1,MATCH("단지명",'04A_국토부원자료'!$A$4:$T$4,0)),"")))</f>
        <v/>
      </c>
      <c r="E524" s="172">
        <f>IFERROR(VALUE(SUBSTITUTE(INDEX('04A_국토부원자료'!$A:$T,ROW()+1,MATCH("전용면적(㎡)",'04A_국토부원자료'!$A$4:$T$4,0)),",","")),"")</f>
        <v/>
      </c>
      <c r="F5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24" s="51">
        <f>IFERROR(VALUE(SUBSTITUTE(INDEX('04A_국토부원자료'!$A:$T,ROW()+1,MATCH("거래금액(만원)",'04A_국토부원자료'!$A$4:$T$4,0)),",","")),"")</f>
        <v/>
      </c>
      <c r="H524" s="174">
        <f>IF(G524="","",G524*10000)</f>
        <v/>
      </c>
      <c r="I524" s="174">
        <f>IFERROR(IF(AND(H524&gt;0,E524&gt;0),H524/E524,""),"")</f>
        <v/>
      </c>
      <c r="J524" s="152">
        <f>IFERROR(VALUE(SUBSTITUTE(INDEX('04A_국토부원자료'!$A:$T,ROW()+1,MATCH("층",'04A_국토부원자료'!$A$4:$T$4,0)),",","")),"")</f>
        <v/>
      </c>
      <c r="K524" s="152">
        <f>IFERROR(VALUE(SUBSTITUTE(INDEX('04A_국토부원자료'!$A:$T,ROW()+1,MATCH("건축년도",'04A_국토부원자료'!$A$4:$T$4,0)),",","")),"")</f>
        <v/>
      </c>
      <c r="L524" s="176">
        <f>IFERROR(INDEX('04A_국토부원자료'!$A:$T,ROW()+1,MATCH("도로명",'04A_국토부원자료'!$A$4:$T$4,0)),"")</f>
        <v/>
      </c>
      <c r="M524" s="48">
        <f>IFERROR(INDEX('04A_국토부원자료'!$A:$T,ROW()+1,MATCH("거래유형",'04A_국토부원자료'!$A$4:$T$4,0)),"")</f>
        <v/>
      </c>
      <c r="N524" s="152">
        <f>IF(B524="","",IF('02_대상물건입력'!B5="",1,IF(ISNUMBER(SEARCH('02_대상물건입력'!B5,B524)),1,0)))</f>
        <v/>
      </c>
      <c r="O524" s="152">
        <f>IF(B524="","",IF('02_대상물건입력'!B6="",1,IF(ISNUMBER(SEARCH('02_대상물건입력'!B6,B524)),1,0)))</f>
        <v/>
      </c>
      <c r="P524" s="152">
        <f>IF(L524="","",IF('02_대상물건입력'!B15="",0,IF(ISNUMBER(SEARCH('02_대상물건입력'!B15,L524)),1,0)))</f>
        <v/>
      </c>
      <c r="Q524" s="152">
        <f>IF(OR(C524="",L524=""),0,IF(AND(TRIM(C524)=TRIM(RIGHT(SUBSTITUTE(TRIM('02_대상물건입력'!$B$7)," ",REPT(" ",99)),99)),IF('02_대상물건입력'!B15="",TRUE(),ISNUMBER(SEARCH('02_대상물건입력'!B15,L524)))),1,0))</f>
        <v/>
      </c>
      <c r="R524" s="175">
        <f>IFERROR(ABS(E524-'02_대상물건입력'!B11)/'02_대상물건입력'!B11,"")</f>
        <v/>
      </c>
      <c r="S524" s="152">
        <f>IFERROR(ABS(J524-'02_대상물건입력'!B10),"")</f>
        <v/>
      </c>
      <c r="T524" s="152">
        <f>IFERROR(ABS('01_설정'!B4-F524),"")</f>
        <v/>
      </c>
      <c r="U524" s="152">
        <f>IFERROR(ABS(K524-YEAR('02_대상물건입력'!B14)),"")</f>
        <v/>
      </c>
      <c r="V524" s="152">
        <f>IF(B524="","",IF(AND(E524&gt;0,F524&gt;0,H524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524=1,TRUE()),R524&lt;='01_설정'!B5,S524&lt;='01_설정'!B6,T524&lt;='01_설정'!B7,U524&lt;='01_설정'!B8),"Y",""))</f>
        <v/>
      </c>
      <c r="W524" s="172">
        <f>IF(V524&lt;&gt;"Y","",MAX(0,(1-R524/'01_설정'!B5))*'01_설정'!B14+MAX(0,(1-S524/'01_설정'!B6))*'01_설정'!B15+MAX(0,(1-T524/'01_설정'!B7))*'01_설정'!B16+MAX(0,(1-U524/'01_설정'!B8))*'01_설정'!B17+O524*'01_설정'!B11+Q524*'01_설정'!B12+P524*'01_설정'!B13+IF(Z524="",0,Z524))</f>
        <v/>
      </c>
      <c r="X524" s="152">
        <f>IF(W524="","",1+COUNTIFS($W$4:$W$3003,"&gt;"&amp;W524)+COUNTIFS($W$4:W524,W524)-1)</f>
        <v/>
      </c>
      <c r="Y524" s="175">
        <f>IF(OR(I524="",'02_대상물건입력'!B19="",'02_대상물건입력'!B19&lt;=0),"",ABS(I524-'02_대상물건입력'!B19)/'02_대상물건입력'!B19)</f>
        <v/>
      </c>
      <c r="Z524" s="172">
        <f>IF(OR(Y524="",'01_설정'!B31="",'01_설정'!B31&lt;=0,'01_설정'!B32="",'01_설정'!B32&lt;=0),"",MAX(0,(1-Y524/'01_설정'!B32))*'01_설정'!B31)</f>
        <v/>
      </c>
    </row>
    <row r="525" ht="17.25" customHeight="1">
      <c r="A525" s="152">
        <f>IF(INDEX('04A_국토부원자료'!$A:$A,ROW()+1)="","",ROW()-3)</f>
        <v/>
      </c>
      <c r="B525" s="48">
        <f>IFERROR(INDEX('04A_국토부원자료'!$A:$T,ROW()+1,MATCH("시군구",'04A_국토부원자료'!$A$4:$T$4,0)),"")</f>
        <v/>
      </c>
      <c r="C525" s="48">
        <f>IF(B525="","",IFERROR(INDEX('04A_국토부원자료'!$A:$T,ROW()+1,MATCH("번지",'04A_국토부원자료'!$A$4:$T$4,0)),""))</f>
        <v/>
      </c>
      <c r="D525" s="48">
        <f>IF(B525="","",IF(Q525=1,'02_대상물건입력'!$B$8,IFERROR(INDEX('04A_국토부원자료'!$A:$T,ROW()+1,MATCH("단지명",'04A_국토부원자료'!$A$4:$T$4,0)),"")))</f>
        <v/>
      </c>
      <c r="E525" s="172">
        <f>IFERROR(VALUE(SUBSTITUTE(INDEX('04A_국토부원자료'!$A:$T,ROW()+1,MATCH("전용면적(㎡)",'04A_국토부원자료'!$A$4:$T$4,0)),",","")),"")</f>
        <v/>
      </c>
      <c r="F5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25" s="51">
        <f>IFERROR(VALUE(SUBSTITUTE(INDEX('04A_국토부원자료'!$A:$T,ROW()+1,MATCH("거래금액(만원)",'04A_국토부원자료'!$A$4:$T$4,0)),",","")),"")</f>
        <v/>
      </c>
      <c r="H525" s="174">
        <f>IF(G525="","",G525*10000)</f>
        <v/>
      </c>
      <c r="I525" s="174">
        <f>IFERROR(IF(AND(H525&gt;0,E525&gt;0),H525/E525,""),"")</f>
        <v/>
      </c>
      <c r="J525" s="152">
        <f>IFERROR(VALUE(SUBSTITUTE(INDEX('04A_국토부원자료'!$A:$T,ROW()+1,MATCH("층",'04A_국토부원자료'!$A$4:$T$4,0)),",","")),"")</f>
        <v/>
      </c>
      <c r="K525" s="152">
        <f>IFERROR(VALUE(SUBSTITUTE(INDEX('04A_국토부원자료'!$A:$T,ROW()+1,MATCH("건축년도",'04A_국토부원자료'!$A$4:$T$4,0)),",","")),"")</f>
        <v/>
      </c>
      <c r="L525" s="176">
        <f>IFERROR(INDEX('04A_국토부원자료'!$A:$T,ROW()+1,MATCH("도로명",'04A_국토부원자료'!$A$4:$T$4,0)),"")</f>
        <v/>
      </c>
      <c r="M525" s="48">
        <f>IFERROR(INDEX('04A_국토부원자료'!$A:$T,ROW()+1,MATCH("거래유형",'04A_국토부원자료'!$A$4:$T$4,0)),"")</f>
        <v/>
      </c>
      <c r="N525" s="152">
        <f>IF(B525="","",IF('02_대상물건입력'!B5="",1,IF(ISNUMBER(SEARCH('02_대상물건입력'!B5,B525)),1,0)))</f>
        <v/>
      </c>
      <c r="O525" s="152">
        <f>IF(B525="","",IF('02_대상물건입력'!B6="",1,IF(ISNUMBER(SEARCH('02_대상물건입력'!B6,B525)),1,0)))</f>
        <v/>
      </c>
      <c r="P525" s="152">
        <f>IF(L525="","",IF('02_대상물건입력'!B15="",0,IF(ISNUMBER(SEARCH('02_대상물건입력'!B15,L525)),1,0)))</f>
        <v/>
      </c>
      <c r="Q525" s="152">
        <f>IF(OR(C525="",L525=""),0,IF(AND(TRIM(C525)=TRIM(RIGHT(SUBSTITUTE(TRIM('02_대상물건입력'!$B$7)," ",REPT(" ",99)),99)),IF('02_대상물건입력'!B15="",TRUE(),ISNUMBER(SEARCH('02_대상물건입력'!B15,L525)))),1,0))</f>
        <v/>
      </c>
      <c r="R525" s="175">
        <f>IFERROR(ABS(E525-'02_대상물건입력'!B11)/'02_대상물건입력'!B11,"")</f>
        <v/>
      </c>
      <c r="S525" s="152">
        <f>IFERROR(ABS(J525-'02_대상물건입력'!B10),"")</f>
        <v/>
      </c>
      <c r="T525" s="152">
        <f>IFERROR(ABS('01_설정'!B4-F525),"")</f>
        <v/>
      </c>
      <c r="U525" s="152">
        <f>IFERROR(ABS(K525-YEAR('02_대상물건입력'!B14)),"")</f>
        <v/>
      </c>
      <c r="V525" s="152">
        <f>IF(B525="","",IF(AND(E525&gt;0,F525&gt;0,H525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525=1,TRUE()),R525&lt;='01_설정'!B5,S525&lt;='01_설정'!B6,T525&lt;='01_설정'!B7,U525&lt;='01_설정'!B8),"Y",""))</f>
        <v/>
      </c>
      <c r="W525" s="172">
        <f>IF(V525&lt;&gt;"Y","",MAX(0,(1-R525/'01_설정'!B5))*'01_설정'!B14+MAX(0,(1-S525/'01_설정'!B6))*'01_설정'!B15+MAX(0,(1-T525/'01_설정'!B7))*'01_설정'!B16+MAX(0,(1-U525/'01_설정'!B8))*'01_설정'!B17+O525*'01_설정'!B11+Q525*'01_설정'!B12+P525*'01_설정'!B13+IF(Z525="",0,Z525))</f>
        <v/>
      </c>
      <c r="X525" s="152">
        <f>IF(W525="","",1+COUNTIFS($W$4:$W$3003,"&gt;"&amp;W525)+COUNTIFS($W$4:W525,W525)-1)</f>
        <v/>
      </c>
      <c r="Y525" s="175">
        <f>IF(OR(I525="",'02_대상물건입력'!B19="",'02_대상물건입력'!B19&lt;=0),"",ABS(I525-'02_대상물건입력'!B19)/'02_대상물건입력'!B19)</f>
        <v/>
      </c>
      <c r="Z525" s="172">
        <f>IF(OR(Y525="",'01_설정'!B31="",'01_설정'!B31&lt;=0,'01_설정'!B32="",'01_설정'!B32&lt;=0),"",MAX(0,(1-Y525/'01_설정'!B32))*'01_설정'!B31)</f>
        <v/>
      </c>
    </row>
    <row r="526" ht="17.25" customHeight="1">
      <c r="A526" s="152">
        <f>IF(INDEX('04A_국토부원자료'!$A:$A,ROW()+1)="","",ROW()-3)</f>
        <v/>
      </c>
      <c r="B526" s="48">
        <f>IFERROR(INDEX('04A_국토부원자료'!$A:$T,ROW()+1,MATCH("시군구",'04A_국토부원자료'!$A$4:$T$4,0)),"")</f>
        <v/>
      </c>
      <c r="C526" s="48">
        <f>IF(B526="","",IFERROR(INDEX('04A_국토부원자료'!$A:$T,ROW()+1,MATCH("번지",'04A_국토부원자료'!$A$4:$T$4,0)),""))</f>
        <v/>
      </c>
      <c r="D526" s="48">
        <f>IF(B526="","",IF(Q526=1,'02_대상물건입력'!$B$8,IFERROR(INDEX('04A_국토부원자료'!$A:$T,ROW()+1,MATCH("단지명",'04A_국토부원자료'!$A$4:$T$4,0)),"")))</f>
        <v/>
      </c>
      <c r="E526" s="172">
        <f>IFERROR(VALUE(SUBSTITUTE(INDEX('04A_국토부원자료'!$A:$T,ROW()+1,MATCH("전용면적(㎡)",'04A_국토부원자료'!$A$4:$T$4,0)),",","")),"")</f>
        <v/>
      </c>
      <c r="F5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26" s="51">
        <f>IFERROR(VALUE(SUBSTITUTE(INDEX('04A_국토부원자료'!$A:$T,ROW()+1,MATCH("거래금액(만원)",'04A_국토부원자료'!$A$4:$T$4,0)),",","")),"")</f>
        <v/>
      </c>
      <c r="H526" s="174">
        <f>IF(G526="","",G526*10000)</f>
        <v/>
      </c>
      <c r="I526" s="174">
        <f>IFERROR(IF(AND(H526&gt;0,E526&gt;0),H526/E526,""),"")</f>
        <v/>
      </c>
      <c r="J526" s="152">
        <f>IFERROR(VALUE(SUBSTITUTE(INDEX('04A_국토부원자료'!$A:$T,ROW()+1,MATCH("층",'04A_국토부원자료'!$A$4:$T$4,0)),",","")),"")</f>
        <v/>
      </c>
      <c r="K526" s="152">
        <f>IFERROR(VALUE(SUBSTITUTE(INDEX('04A_국토부원자료'!$A:$T,ROW()+1,MATCH("건축년도",'04A_국토부원자료'!$A$4:$T$4,0)),",","")),"")</f>
        <v/>
      </c>
      <c r="L526" s="176">
        <f>IFERROR(INDEX('04A_국토부원자료'!$A:$T,ROW()+1,MATCH("도로명",'04A_국토부원자료'!$A$4:$T$4,0)),"")</f>
        <v/>
      </c>
      <c r="M526" s="48">
        <f>IFERROR(INDEX('04A_국토부원자료'!$A:$T,ROW()+1,MATCH("거래유형",'04A_국토부원자료'!$A$4:$T$4,0)),"")</f>
        <v/>
      </c>
      <c r="N526" s="152">
        <f>IF(B526="","",IF('02_대상물건입력'!B5="",1,IF(ISNUMBER(SEARCH('02_대상물건입력'!B5,B526)),1,0)))</f>
        <v/>
      </c>
      <c r="O526" s="152">
        <f>IF(B526="","",IF('02_대상물건입력'!B6="",1,IF(ISNUMBER(SEARCH('02_대상물건입력'!B6,B526)),1,0)))</f>
        <v/>
      </c>
      <c r="P526" s="152">
        <f>IF(L526="","",IF('02_대상물건입력'!B15="",0,IF(ISNUMBER(SEARCH('02_대상물건입력'!B15,L526)),1,0)))</f>
        <v/>
      </c>
      <c r="Q526" s="152">
        <f>IF(OR(C526="",L526=""),0,IF(AND(TRIM(C526)=TRIM(RIGHT(SUBSTITUTE(TRIM('02_대상물건입력'!$B$7)," ",REPT(" ",99)),99)),IF('02_대상물건입력'!B15="",TRUE(),ISNUMBER(SEARCH('02_대상물건입력'!B15,L526)))),1,0))</f>
        <v/>
      </c>
      <c r="R526" s="175">
        <f>IFERROR(ABS(E526-'02_대상물건입력'!B11)/'02_대상물건입력'!B11,"")</f>
        <v/>
      </c>
      <c r="S526" s="152">
        <f>IFERROR(ABS(J526-'02_대상물건입력'!B10),"")</f>
        <v/>
      </c>
      <c r="T526" s="152">
        <f>IFERROR(ABS('01_설정'!B4-F526),"")</f>
        <v/>
      </c>
      <c r="U526" s="152">
        <f>IFERROR(ABS(K526-YEAR('02_대상물건입력'!B14)),"")</f>
        <v/>
      </c>
      <c r="V526" s="152">
        <f>IF(B526="","",IF(AND(E526&gt;0,F526&gt;0,H526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526=1,TRUE()),R526&lt;='01_설정'!B5,S526&lt;='01_설정'!B6,T526&lt;='01_설정'!B7,U526&lt;='01_설정'!B8),"Y",""))</f>
        <v/>
      </c>
      <c r="W526" s="172">
        <f>IF(V526&lt;&gt;"Y","",MAX(0,(1-R526/'01_설정'!B5))*'01_설정'!B14+MAX(0,(1-S526/'01_설정'!B6))*'01_설정'!B15+MAX(0,(1-T526/'01_설정'!B7))*'01_설정'!B16+MAX(0,(1-U526/'01_설정'!B8))*'01_설정'!B17+O526*'01_설정'!B11+Q526*'01_설정'!B12+P526*'01_설정'!B13+IF(Z526="",0,Z526))</f>
        <v/>
      </c>
      <c r="X526" s="152">
        <f>IF(W526="","",1+COUNTIFS($W$4:$W$3003,"&gt;"&amp;W526)+COUNTIFS($W$4:W526,W526)-1)</f>
        <v/>
      </c>
      <c r="Y526" s="175">
        <f>IF(OR(I526="",'02_대상물건입력'!B19="",'02_대상물건입력'!B19&lt;=0),"",ABS(I526-'02_대상물건입력'!B19)/'02_대상물건입력'!B19)</f>
        <v/>
      </c>
      <c r="Z526" s="172">
        <f>IF(OR(Y526="",'01_설정'!B31="",'01_설정'!B31&lt;=0,'01_설정'!B32="",'01_설정'!B32&lt;=0),"",MAX(0,(1-Y526/'01_설정'!B32))*'01_설정'!B31)</f>
        <v/>
      </c>
    </row>
    <row r="527" ht="17.25" customHeight="1">
      <c r="A527" s="152">
        <f>IF(INDEX('04A_국토부원자료'!$A:$A,ROW()+1)="","",ROW()-3)</f>
        <v/>
      </c>
      <c r="B527" s="48">
        <f>IFERROR(INDEX('04A_국토부원자료'!$A:$T,ROW()+1,MATCH("시군구",'04A_국토부원자료'!$A$4:$T$4,0)),"")</f>
        <v/>
      </c>
      <c r="C527" s="48">
        <f>IF(B527="","",IFERROR(INDEX('04A_국토부원자료'!$A:$T,ROW()+1,MATCH("번지",'04A_국토부원자료'!$A$4:$T$4,0)),""))</f>
        <v/>
      </c>
      <c r="D527" s="48">
        <f>IF(B527="","",IF(Q527=1,'02_대상물건입력'!$B$8,IFERROR(INDEX('04A_국토부원자료'!$A:$T,ROW()+1,MATCH("단지명",'04A_국토부원자료'!$A$4:$T$4,0)),"")))</f>
        <v/>
      </c>
      <c r="E527" s="172">
        <f>IFERROR(VALUE(SUBSTITUTE(INDEX('04A_국토부원자료'!$A:$T,ROW()+1,MATCH("전용면적(㎡)",'04A_국토부원자료'!$A$4:$T$4,0)),",","")),"")</f>
        <v/>
      </c>
      <c r="F5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27" s="51">
        <f>IFERROR(VALUE(SUBSTITUTE(INDEX('04A_국토부원자료'!$A:$T,ROW()+1,MATCH("거래금액(만원)",'04A_국토부원자료'!$A$4:$T$4,0)),",","")),"")</f>
        <v/>
      </c>
      <c r="H527" s="174">
        <f>IF(G527="","",G527*10000)</f>
        <v/>
      </c>
      <c r="I527" s="174">
        <f>IFERROR(IF(AND(H527&gt;0,E527&gt;0),H527/E527,""),"")</f>
        <v/>
      </c>
      <c r="J527" s="152">
        <f>IFERROR(VALUE(SUBSTITUTE(INDEX('04A_국토부원자료'!$A:$T,ROW()+1,MATCH("층",'04A_국토부원자료'!$A$4:$T$4,0)),",","")),"")</f>
        <v/>
      </c>
      <c r="K527" s="152">
        <f>IFERROR(VALUE(SUBSTITUTE(INDEX('04A_국토부원자료'!$A:$T,ROW()+1,MATCH("건축년도",'04A_국토부원자료'!$A$4:$T$4,0)),",","")),"")</f>
        <v/>
      </c>
      <c r="L527" s="176">
        <f>IFERROR(INDEX('04A_국토부원자료'!$A:$T,ROW()+1,MATCH("도로명",'04A_국토부원자료'!$A$4:$T$4,0)),"")</f>
        <v/>
      </c>
      <c r="M527" s="48">
        <f>IFERROR(INDEX('04A_국토부원자료'!$A:$T,ROW()+1,MATCH("거래유형",'04A_국토부원자료'!$A$4:$T$4,0)),"")</f>
        <v/>
      </c>
      <c r="N527" s="152">
        <f>IF(B527="","",IF('02_대상물건입력'!B5="",1,IF(ISNUMBER(SEARCH('02_대상물건입력'!B5,B527)),1,0)))</f>
        <v/>
      </c>
      <c r="O527" s="152">
        <f>IF(B527="","",IF('02_대상물건입력'!B6="",1,IF(ISNUMBER(SEARCH('02_대상물건입력'!B6,B527)),1,0)))</f>
        <v/>
      </c>
      <c r="P527" s="152">
        <f>IF(L527="","",IF('02_대상물건입력'!B15="",0,IF(ISNUMBER(SEARCH('02_대상물건입력'!B15,L527)),1,0)))</f>
        <v/>
      </c>
      <c r="Q527" s="152">
        <f>IF(OR(C527="",L527=""),0,IF(AND(TRIM(C527)=TRIM(RIGHT(SUBSTITUTE(TRIM('02_대상물건입력'!$B$7)," ",REPT(" ",99)),99)),IF('02_대상물건입력'!B15="",TRUE(),ISNUMBER(SEARCH('02_대상물건입력'!B15,L527)))),1,0))</f>
        <v/>
      </c>
      <c r="R527" s="175">
        <f>IFERROR(ABS(E527-'02_대상물건입력'!B11)/'02_대상물건입력'!B11,"")</f>
        <v/>
      </c>
      <c r="S527" s="152">
        <f>IFERROR(ABS(J527-'02_대상물건입력'!B10),"")</f>
        <v/>
      </c>
      <c r="T527" s="152">
        <f>IFERROR(ABS('01_설정'!B4-F527),"")</f>
        <v/>
      </c>
      <c r="U527" s="152">
        <f>IFERROR(ABS(K527-YEAR('02_대상물건입력'!B14)),"")</f>
        <v/>
      </c>
      <c r="V527" s="152">
        <f>IF(B527="","",IF(AND(E527&gt;0,F527&gt;0,H527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527=1,TRUE()),R527&lt;='01_설정'!B5,S527&lt;='01_설정'!B6,T527&lt;='01_설정'!B7,U527&lt;='01_설정'!B8),"Y",""))</f>
        <v/>
      </c>
      <c r="W527" s="172">
        <f>IF(V527&lt;&gt;"Y","",MAX(0,(1-R527/'01_설정'!B5))*'01_설정'!B14+MAX(0,(1-S527/'01_설정'!B6))*'01_설정'!B15+MAX(0,(1-T527/'01_설정'!B7))*'01_설정'!B16+MAX(0,(1-U527/'01_설정'!B8))*'01_설정'!B17+O527*'01_설정'!B11+Q527*'01_설정'!B12+P527*'01_설정'!B13+IF(Z527="",0,Z527))</f>
        <v/>
      </c>
      <c r="X527" s="152">
        <f>IF(W527="","",1+COUNTIFS($W$4:$W$3003,"&gt;"&amp;W527)+COUNTIFS($W$4:W527,W527)-1)</f>
        <v/>
      </c>
      <c r="Y527" s="175">
        <f>IF(OR(I527="",'02_대상물건입력'!B19="",'02_대상물건입력'!B19&lt;=0),"",ABS(I527-'02_대상물건입력'!B19)/'02_대상물건입력'!B19)</f>
        <v/>
      </c>
      <c r="Z527" s="172">
        <f>IF(OR(Y527="",'01_설정'!B31="",'01_설정'!B31&lt;=0,'01_설정'!B32="",'01_설정'!B32&lt;=0),"",MAX(0,(1-Y527/'01_설정'!B32))*'01_설정'!B31)</f>
        <v/>
      </c>
    </row>
    <row r="528" ht="17.25" customHeight="1">
      <c r="A528" s="152">
        <f>IF(INDEX('04A_국토부원자료'!$A:$A,ROW()+1)="","",ROW()-3)</f>
        <v/>
      </c>
      <c r="B528" s="48">
        <f>IFERROR(INDEX('04A_국토부원자료'!$A:$T,ROW()+1,MATCH("시군구",'04A_국토부원자료'!$A$4:$T$4,0)),"")</f>
        <v/>
      </c>
      <c r="C528" s="48">
        <f>IF(B528="","",IFERROR(INDEX('04A_국토부원자료'!$A:$T,ROW()+1,MATCH("번지",'04A_국토부원자료'!$A$4:$T$4,0)),""))</f>
        <v/>
      </c>
      <c r="D528" s="48">
        <f>IF(B528="","",IF(Q528=1,'02_대상물건입력'!$B$8,IFERROR(INDEX('04A_국토부원자료'!$A:$T,ROW()+1,MATCH("단지명",'04A_국토부원자료'!$A$4:$T$4,0)),"")))</f>
        <v/>
      </c>
      <c r="E528" s="172">
        <f>IFERROR(VALUE(SUBSTITUTE(INDEX('04A_국토부원자료'!$A:$T,ROW()+1,MATCH("전용면적(㎡)",'04A_국토부원자료'!$A$4:$T$4,0)),",","")),"")</f>
        <v/>
      </c>
      <c r="F5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28" s="51">
        <f>IFERROR(VALUE(SUBSTITUTE(INDEX('04A_국토부원자료'!$A:$T,ROW()+1,MATCH("거래금액(만원)",'04A_국토부원자료'!$A$4:$T$4,0)),",","")),"")</f>
        <v/>
      </c>
      <c r="H528" s="174">
        <f>IF(G528="","",G528*10000)</f>
        <v/>
      </c>
      <c r="I528" s="174">
        <f>IFERROR(IF(AND(H528&gt;0,E528&gt;0),H528/E528,""),"")</f>
        <v/>
      </c>
      <c r="J528" s="152">
        <f>IFERROR(VALUE(SUBSTITUTE(INDEX('04A_국토부원자료'!$A:$T,ROW()+1,MATCH("층",'04A_국토부원자료'!$A$4:$T$4,0)),",","")),"")</f>
        <v/>
      </c>
      <c r="K528" s="152">
        <f>IFERROR(VALUE(SUBSTITUTE(INDEX('04A_국토부원자료'!$A:$T,ROW()+1,MATCH("건축년도",'04A_국토부원자료'!$A$4:$T$4,0)),",","")),"")</f>
        <v/>
      </c>
      <c r="L528" s="176">
        <f>IFERROR(INDEX('04A_국토부원자료'!$A:$T,ROW()+1,MATCH("도로명",'04A_국토부원자료'!$A$4:$T$4,0)),"")</f>
        <v/>
      </c>
      <c r="M528" s="48">
        <f>IFERROR(INDEX('04A_국토부원자료'!$A:$T,ROW()+1,MATCH("거래유형",'04A_국토부원자료'!$A$4:$T$4,0)),"")</f>
        <v/>
      </c>
      <c r="N528" s="152">
        <f>IF(B528="","",IF('02_대상물건입력'!B5="",1,IF(ISNUMBER(SEARCH('02_대상물건입력'!B5,B528)),1,0)))</f>
        <v/>
      </c>
      <c r="O528" s="152">
        <f>IF(B528="","",IF('02_대상물건입력'!B6="",1,IF(ISNUMBER(SEARCH('02_대상물건입력'!B6,B528)),1,0)))</f>
        <v/>
      </c>
      <c r="P528" s="152">
        <f>IF(L528="","",IF('02_대상물건입력'!B15="",0,IF(ISNUMBER(SEARCH('02_대상물건입력'!B15,L528)),1,0)))</f>
        <v/>
      </c>
      <c r="Q528" s="152">
        <f>IF(OR(C528="",L528=""),0,IF(AND(TRIM(C528)=TRIM(RIGHT(SUBSTITUTE(TRIM('02_대상물건입력'!$B$7)," ",REPT(" ",99)),99)),IF('02_대상물건입력'!B15="",TRUE(),ISNUMBER(SEARCH('02_대상물건입력'!B15,L528)))),1,0))</f>
        <v/>
      </c>
      <c r="R528" s="175">
        <f>IFERROR(ABS(E528-'02_대상물건입력'!B11)/'02_대상물건입력'!B11,"")</f>
        <v/>
      </c>
      <c r="S528" s="152">
        <f>IFERROR(ABS(J528-'02_대상물건입력'!B10),"")</f>
        <v/>
      </c>
      <c r="T528" s="152">
        <f>IFERROR(ABS('01_설정'!B4-F528),"")</f>
        <v/>
      </c>
      <c r="U528" s="152">
        <f>IFERROR(ABS(K528-YEAR('02_대상물건입력'!B14)),"")</f>
        <v/>
      </c>
      <c r="V528" s="152">
        <f>IF(B528="","",IF(AND(E528&gt;0,F528&gt;0,H528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528=1,TRUE()),R528&lt;='01_설정'!B5,S528&lt;='01_설정'!B6,T528&lt;='01_설정'!B7,U528&lt;='01_설정'!B8),"Y",""))</f>
        <v/>
      </c>
      <c r="W528" s="172">
        <f>IF(V528&lt;&gt;"Y","",MAX(0,(1-R528/'01_설정'!B5))*'01_설정'!B14+MAX(0,(1-S528/'01_설정'!B6))*'01_설정'!B15+MAX(0,(1-T528/'01_설정'!B7))*'01_설정'!B16+MAX(0,(1-U528/'01_설정'!B8))*'01_설정'!B17+O528*'01_설정'!B11+Q528*'01_설정'!B12+P528*'01_설정'!B13+IF(Z528="",0,Z528))</f>
        <v/>
      </c>
      <c r="X528" s="152">
        <f>IF(W528="","",1+COUNTIFS($W$4:$W$3003,"&gt;"&amp;W528)+COUNTIFS($W$4:W528,W528)-1)</f>
        <v/>
      </c>
      <c r="Y528" s="175">
        <f>IF(OR(I528="",'02_대상물건입력'!B19="",'02_대상물건입력'!B19&lt;=0),"",ABS(I528-'02_대상물건입력'!B19)/'02_대상물건입력'!B19)</f>
        <v/>
      </c>
      <c r="Z528" s="172">
        <f>IF(OR(Y528="",'01_설정'!B31="",'01_설정'!B31&lt;=0,'01_설정'!B32="",'01_설정'!B32&lt;=0),"",MAX(0,(1-Y528/'01_설정'!B32))*'01_설정'!B31)</f>
        <v/>
      </c>
    </row>
    <row r="529" ht="17.25" customHeight="1">
      <c r="A529" s="152">
        <f>IF(INDEX('04A_국토부원자료'!$A:$A,ROW()+1)="","",ROW()-3)</f>
        <v/>
      </c>
      <c r="B529" s="48">
        <f>IFERROR(INDEX('04A_국토부원자료'!$A:$T,ROW()+1,MATCH("시군구",'04A_국토부원자료'!$A$4:$T$4,0)),"")</f>
        <v/>
      </c>
      <c r="C529" s="48">
        <f>IF(B529="","",IFERROR(INDEX('04A_국토부원자료'!$A:$T,ROW()+1,MATCH("번지",'04A_국토부원자료'!$A$4:$T$4,0)),""))</f>
        <v/>
      </c>
      <c r="D529" s="48">
        <f>IF(B529="","",IF(Q529=1,'02_대상물건입력'!$B$8,IFERROR(INDEX('04A_국토부원자료'!$A:$T,ROW()+1,MATCH("단지명",'04A_국토부원자료'!$A$4:$T$4,0)),"")))</f>
        <v/>
      </c>
      <c r="E529" s="172">
        <f>IFERROR(VALUE(SUBSTITUTE(INDEX('04A_국토부원자료'!$A:$T,ROW()+1,MATCH("전용면적(㎡)",'04A_국토부원자료'!$A$4:$T$4,0)),",","")),"")</f>
        <v/>
      </c>
      <c r="F5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29" s="51">
        <f>IFERROR(VALUE(SUBSTITUTE(INDEX('04A_국토부원자료'!$A:$T,ROW()+1,MATCH("거래금액(만원)",'04A_국토부원자료'!$A$4:$T$4,0)),",","")),"")</f>
        <v/>
      </c>
      <c r="H529" s="174">
        <f>IF(G529="","",G529*10000)</f>
        <v/>
      </c>
      <c r="I529" s="174">
        <f>IFERROR(IF(AND(H529&gt;0,E529&gt;0),H529/E529,""),"")</f>
        <v/>
      </c>
      <c r="J529" s="152">
        <f>IFERROR(VALUE(SUBSTITUTE(INDEX('04A_국토부원자료'!$A:$T,ROW()+1,MATCH("층",'04A_국토부원자료'!$A$4:$T$4,0)),",","")),"")</f>
        <v/>
      </c>
      <c r="K529" s="152">
        <f>IFERROR(VALUE(SUBSTITUTE(INDEX('04A_국토부원자료'!$A:$T,ROW()+1,MATCH("건축년도",'04A_국토부원자료'!$A$4:$T$4,0)),",","")),"")</f>
        <v/>
      </c>
      <c r="L529" s="176">
        <f>IFERROR(INDEX('04A_국토부원자료'!$A:$T,ROW()+1,MATCH("도로명",'04A_국토부원자료'!$A$4:$T$4,0)),"")</f>
        <v/>
      </c>
      <c r="M529" s="48">
        <f>IFERROR(INDEX('04A_국토부원자료'!$A:$T,ROW()+1,MATCH("거래유형",'04A_국토부원자료'!$A$4:$T$4,0)),"")</f>
        <v/>
      </c>
      <c r="N529" s="152">
        <f>IF(B529="","",IF('02_대상물건입력'!B5="",1,IF(ISNUMBER(SEARCH('02_대상물건입력'!B5,B529)),1,0)))</f>
        <v/>
      </c>
      <c r="O529" s="152">
        <f>IF(B529="","",IF('02_대상물건입력'!B6="",1,IF(ISNUMBER(SEARCH('02_대상물건입력'!B6,B529)),1,0)))</f>
        <v/>
      </c>
      <c r="P529" s="152">
        <f>IF(L529="","",IF('02_대상물건입력'!B15="",0,IF(ISNUMBER(SEARCH('02_대상물건입력'!B15,L529)),1,0)))</f>
        <v/>
      </c>
      <c r="Q529" s="152">
        <f>IF(OR(C529="",L529=""),0,IF(AND(TRIM(C529)=TRIM(RIGHT(SUBSTITUTE(TRIM('02_대상물건입력'!$B$7)," ",REPT(" ",99)),99)),IF('02_대상물건입력'!B15="",TRUE(),ISNUMBER(SEARCH('02_대상물건입력'!B15,L529)))),1,0))</f>
        <v/>
      </c>
      <c r="R529" s="175">
        <f>IFERROR(ABS(E529-'02_대상물건입력'!B11)/'02_대상물건입력'!B11,"")</f>
        <v/>
      </c>
      <c r="S529" s="152">
        <f>IFERROR(ABS(J529-'02_대상물건입력'!B10),"")</f>
        <v/>
      </c>
      <c r="T529" s="152">
        <f>IFERROR(ABS('01_설정'!B4-F529),"")</f>
        <v/>
      </c>
      <c r="U529" s="152">
        <f>IFERROR(ABS(K529-YEAR('02_대상물건입력'!B14)),"")</f>
        <v/>
      </c>
      <c r="V529" s="152">
        <f>IF(B529="","",IF(AND(E529&gt;0,F529&gt;0,H529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529=1,TRUE()),R529&lt;='01_설정'!B5,S529&lt;='01_설정'!B6,T529&lt;='01_설정'!B7,U529&lt;='01_설정'!B8),"Y",""))</f>
        <v/>
      </c>
      <c r="W529" s="172">
        <f>IF(V529&lt;&gt;"Y","",MAX(0,(1-R529/'01_설정'!B5))*'01_설정'!B14+MAX(0,(1-S529/'01_설정'!B6))*'01_설정'!B15+MAX(0,(1-T529/'01_설정'!B7))*'01_설정'!B16+MAX(0,(1-U529/'01_설정'!B8))*'01_설정'!B17+O529*'01_설정'!B11+Q529*'01_설정'!B12+P529*'01_설정'!B13+IF(Z529="",0,Z529))</f>
        <v/>
      </c>
      <c r="X529" s="152">
        <f>IF(W529="","",1+COUNTIFS($W$4:$W$3003,"&gt;"&amp;W529)+COUNTIFS($W$4:W529,W529)-1)</f>
        <v/>
      </c>
      <c r="Y529" s="175">
        <f>IF(OR(I529="",'02_대상물건입력'!B19="",'02_대상물건입력'!B19&lt;=0),"",ABS(I529-'02_대상물건입력'!B19)/'02_대상물건입력'!B19)</f>
        <v/>
      </c>
      <c r="Z529" s="172">
        <f>IF(OR(Y529="",'01_설정'!B31="",'01_설정'!B31&lt;=0,'01_설정'!B32="",'01_설정'!B32&lt;=0),"",MAX(0,(1-Y529/'01_설정'!B32))*'01_설정'!B31)</f>
        <v/>
      </c>
    </row>
    <row r="530" ht="17.25" customHeight="1">
      <c r="A530" s="152">
        <f>IF(INDEX('04A_국토부원자료'!$A:$A,ROW()+1)="","",ROW()-3)</f>
        <v/>
      </c>
      <c r="B530" s="48">
        <f>IFERROR(INDEX('04A_국토부원자료'!$A:$T,ROW()+1,MATCH("시군구",'04A_국토부원자료'!$A$4:$T$4,0)),"")</f>
        <v/>
      </c>
      <c r="C530" s="48">
        <f>IF(B530="","",IFERROR(INDEX('04A_국토부원자료'!$A:$T,ROW()+1,MATCH("번지",'04A_국토부원자료'!$A$4:$T$4,0)),""))</f>
        <v/>
      </c>
      <c r="D530" s="48">
        <f>IF(B530="","",IF(Q530=1,'02_대상물건입력'!$B$8,IFERROR(INDEX('04A_국토부원자료'!$A:$T,ROW()+1,MATCH("단지명",'04A_국토부원자료'!$A$4:$T$4,0)),"")))</f>
        <v/>
      </c>
      <c r="E530" s="172">
        <f>IFERROR(VALUE(SUBSTITUTE(INDEX('04A_국토부원자료'!$A:$T,ROW()+1,MATCH("전용면적(㎡)",'04A_국토부원자료'!$A$4:$T$4,0)),",","")),"")</f>
        <v/>
      </c>
      <c r="F5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30" s="51">
        <f>IFERROR(VALUE(SUBSTITUTE(INDEX('04A_국토부원자료'!$A:$T,ROW()+1,MATCH("거래금액(만원)",'04A_국토부원자료'!$A$4:$T$4,0)),",","")),"")</f>
        <v/>
      </c>
      <c r="H530" s="174">
        <f>IF(G530="","",G530*10000)</f>
        <v/>
      </c>
      <c r="I530" s="174">
        <f>IFERROR(IF(AND(H530&gt;0,E530&gt;0),H530/E530,""),"")</f>
        <v/>
      </c>
      <c r="J530" s="152">
        <f>IFERROR(VALUE(SUBSTITUTE(INDEX('04A_국토부원자료'!$A:$T,ROW()+1,MATCH("층",'04A_국토부원자료'!$A$4:$T$4,0)),",","")),"")</f>
        <v/>
      </c>
      <c r="K530" s="152">
        <f>IFERROR(VALUE(SUBSTITUTE(INDEX('04A_국토부원자료'!$A:$T,ROW()+1,MATCH("건축년도",'04A_국토부원자료'!$A$4:$T$4,0)),",","")),"")</f>
        <v/>
      </c>
      <c r="L530" s="176">
        <f>IFERROR(INDEX('04A_국토부원자료'!$A:$T,ROW()+1,MATCH("도로명",'04A_국토부원자료'!$A$4:$T$4,0)),"")</f>
        <v/>
      </c>
      <c r="M530" s="48">
        <f>IFERROR(INDEX('04A_국토부원자료'!$A:$T,ROW()+1,MATCH("거래유형",'04A_국토부원자료'!$A$4:$T$4,0)),"")</f>
        <v/>
      </c>
      <c r="N530" s="152">
        <f>IF(B530="","",IF('02_대상물건입력'!B5="",1,IF(ISNUMBER(SEARCH('02_대상물건입력'!B5,B530)),1,0)))</f>
        <v/>
      </c>
      <c r="O530" s="152">
        <f>IF(B530="","",IF('02_대상물건입력'!B6="",1,IF(ISNUMBER(SEARCH('02_대상물건입력'!B6,B530)),1,0)))</f>
        <v/>
      </c>
      <c r="P530" s="152">
        <f>IF(L530="","",IF('02_대상물건입력'!B15="",0,IF(ISNUMBER(SEARCH('02_대상물건입력'!B15,L530)),1,0)))</f>
        <v/>
      </c>
      <c r="Q530" s="152">
        <f>IF(OR(C530="",L530=""),0,IF(AND(TRIM(C530)=TRIM(RIGHT(SUBSTITUTE(TRIM('02_대상물건입력'!$B$7)," ",REPT(" ",99)),99)),IF('02_대상물건입력'!B15="",TRUE(),ISNUMBER(SEARCH('02_대상물건입력'!B15,L530)))),1,0))</f>
        <v/>
      </c>
      <c r="R530" s="175">
        <f>IFERROR(ABS(E530-'02_대상물건입력'!B11)/'02_대상물건입력'!B11,"")</f>
        <v/>
      </c>
      <c r="S530" s="152">
        <f>IFERROR(ABS(J530-'02_대상물건입력'!B10),"")</f>
        <v/>
      </c>
      <c r="T530" s="152">
        <f>IFERROR(ABS('01_설정'!B4-F530),"")</f>
        <v/>
      </c>
      <c r="U530" s="152">
        <f>IFERROR(ABS(K530-YEAR('02_대상물건입력'!B14)),"")</f>
        <v/>
      </c>
      <c r="V530" s="152">
        <f>IF(B530="","",IF(AND(E530&gt;0,F530&gt;0,H530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530=1,TRUE()),R530&lt;='01_설정'!B5,S530&lt;='01_설정'!B6,T530&lt;='01_설정'!B7,U530&lt;='01_설정'!B8),"Y",""))</f>
        <v/>
      </c>
      <c r="W530" s="172">
        <f>IF(V530&lt;&gt;"Y","",MAX(0,(1-R530/'01_설정'!B5))*'01_설정'!B14+MAX(0,(1-S530/'01_설정'!B6))*'01_설정'!B15+MAX(0,(1-T530/'01_설정'!B7))*'01_설정'!B16+MAX(0,(1-U530/'01_설정'!B8))*'01_설정'!B17+O530*'01_설정'!B11+Q530*'01_설정'!B12+P530*'01_설정'!B13+IF(Z530="",0,Z530))</f>
        <v/>
      </c>
      <c r="X530" s="152">
        <f>IF(W530="","",1+COUNTIFS($W$4:$W$3003,"&gt;"&amp;W530)+COUNTIFS($W$4:W530,W530)-1)</f>
        <v/>
      </c>
      <c r="Y530" s="175">
        <f>IF(OR(I530="",'02_대상물건입력'!B19="",'02_대상물건입력'!B19&lt;=0),"",ABS(I530-'02_대상물건입력'!B19)/'02_대상물건입력'!B19)</f>
        <v/>
      </c>
      <c r="Z530" s="172">
        <f>IF(OR(Y530="",'01_설정'!B31="",'01_설정'!B31&lt;=0,'01_설정'!B32="",'01_설정'!B32&lt;=0),"",MAX(0,(1-Y530/'01_설정'!B32))*'01_설정'!B31)</f>
        <v/>
      </c>
    </row>
    <row r="531" ht="17.25" customHeight="1">
      <c r="A531" s="152">
        <f>IF(INDEX('04A_국토부원자료'!$A:$A,ROW()+1)="","",ROW()-3)</f>
        <v/>
      </c>
      <c r="B531" s="48">
        <f>IFERROR(INDEX('04A_국토부원자료'!$A:$T,ROW()+1,MATCH("시군구",'04A_국토부원자료'!$A$4:$T$4,0)),"")</f>
        <v/>
      </c>
      <c r="C531" s="48">
        <f>IF(B531="","",IFERROR(INDEX('04A_국토부원자료'!$A:$T,ROW()+1,MATCH("번지",'04A_국토부원자료'!$A$4:$T$4,0)),""))</f>
        <v/>
      </c>
      <c r="D531" s="48">
        <f>IF(B531="","",IF(Q531=1,'02_대상물건입력'!$B$8,IFERROR(INDEX('04A_국토부원자료'!$A:$T,ROW()+1,MATCH("단지명",'04A_국토부원자료'!$A$4:$T$4,0)),"")))</f>
        <v/>
      </c>
      <c r="E531" s="172">
        <f>IFERROR(VALUE(SUBSTITUTE(INDEX('04A_국토부원자료'!$A:$T,ROW()+1,MATCH("전용면적(㎡)",'04A_국토부원자료'!$A$4:$T$4,0)),",","")),"")</f>
        <v/>
      </c>
      <c r="F5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31" s="51">
        <f>IFERROR(VALUE(SUBSTITUTE(INDEX('04A_국토부원자료'!$A:$T,ROW()+1,MATCH("거래금액(만원)",'04A_국토부원자료'!$A$4:$T$4,0)),",","")),"")</f>
        <v/>
      </c>
      <c r="H531" s="174">
        <f>IF(G531="","",G531*10000)</f>
        <v/>
      </c>
      <c r="I531" s="174">
        <f>IFERROR(IF(AND(H531&gt;0,E531&gt;0),H531/E531,""),"")</f>
        <v/>
      </c>
      <c r="J531" s="152">
        <f>IFERROR(VALUE(SUBSTITUTE(INDEX('04A_국토부원자료'!$A:$T,ROW()+1,MATCH("층",'04A_국토부원자료'!$A$4:$T$4,0)),",","")),"")</f>
        <v/>
      </c>
      <c r="K531" s="152">
        <f>IFERROR(VALUE(SUBSTITUTE(INDEX('04A_국토부원자료'!$A:$T,ROW()+1,MATCH("건축년도",'04A_국토부원자료'!$A$4:$T$4,0)),",","")),"")</f>
        <v/>
      </c>
      <c r="L531" s="176">
        <f>IFERROR(INDEX('04A_국토부원자료'!$A:$T,ROW()+1,MATCH("도로명",'04A_국토부원자료'!$A$4:$T$4,0)),"")</f>
        <v/>
      </c>
      <c r="M531" s="48">
        <f>IFERROR(INDEX('04A_국토부원자료'!$A:$T,ROW()+1,MATCH("거래유형",'04A_국토부원자료'!$A$4:$T$4,0)),"")</f>
        <v/>
      </c>
      <c r="N531" s="152">
        <f>IF(B531="","",IF('02_대상물건입력'!B5="",1,IF(ISNUMBER(SEARCH('02_대상물건입력'!B5,B531)),1,0)))</f>
        <v/>
      </c>
      <c r="O531" s="152">
        <f>IF(B531="","",IF('02_대상물건입력'!B6="",1,IF(ISNUMBER(SEARCH('02_대상물건입력'!B6,B531)),1,0)))</f>
        <v/>
      </c>
      <c r="P531" s="152">
        <f>IF(L531="","",IF('02_대상물건입력'!B15="",0,IF(ISNUMBER(SEARCH('02_대상물건입력'!B15,L531)),1,0)))</f>
        <v/>
      </c>
      <c r="Q531" s="152">
        <f>IF(OR(C531="",L531=""),0,IF(AND(TRIM(C531)=TRIM(RIGHT(SUBSTITUTE(TRIM('02_대상물건입력'!$B$7)," ",REPT(" ",99)),99)),IF('02_대상물건입력'!B15="",TRUE(),ISNUMBER(SEARCH('02_대상물건입력'!B15,L531)))),1,0))</f>
        <v/>
      </c>
      <c r="R531" s="175">
        <f>IFERROR(ABS(E531-'02_대상물건입력'!B11)/'02_대상물건입력'!B11,"")</f>
        <v/>
      </c>
      <c r="S531" s="152">
        <f>IFERROR(ABS(J531-'02_대상물건입력'!B10),"")</f>
        <v/>
      </c>
      <c r="T531" s="152">
        <f>IFERROR(ABS('01_설정'!B4-F531),"")</f>
        <v/>
      </c>
      <c r="U531" s="152">
        <f>IFERROR(ABS(K531-YEAR('02_대상물건입력'!B14)),"")</f>
        <v/>
      </c>
      <c r="V531" s="152">
        <f>IF(B531="","",IF(AND(E531&gt;0,F531&gt;0,H531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531=1,TRUE()),R531&lt;='01_설정'!B5,S531&lt;='01_설정'!B6,T531&lt;='01_설정'!B7,U531&lt;='01_설정'!B8),"Y",""))</f>
        <v/>
      </c>
      <c r="W531" s="172">
        <f>IF(V531&lt;&gt;"Y","",MAX(0,(1-R531/'01_설정'!B5))*'01_설정'!B14+MAX(0,(1-S531/'01_설정'!B6))*'01_설정'!B15+MAX(0,(1-T531/'01_설정'!B7))*'01_설정'!B16+MAX(0,(1-U531/'01_설정'!B8))*'01_설정'!B17+O531*'01_설정'!B11+Q531*'01_설정'!B12+P531*'01_설정'!B13+IF(Z531="",0,Z531))</f>
        <v/>
      </c>
      <c r="X531" s="152">
        <f>IF(W531="","",1+COUNTIFS($W$4:$W$3003,"&gt;"&amp;W531)+COUNTIFS($W$4:W531,W531)-1)</f>
        <v/>
      </c>
      <c r="Y531" s="175">
        <f>IF(OR(I531="",'02_대상물건입력'!B19="",'02_대상물건입력'!B19&lt;=0),"",ABS(I531-'02_대상물건입력'!B19)/'02_대상물건입력'!B19)</f>
        <v/>
      </c>
      <c r="Z531" s="172">
        <f>IF(OR(Y531="",'01_설정'!B31="",'01_설정'!B31&lt;=0,'01_설정'!B32="",'01_설정'!B32&lt;=0),"",MAX(0,(1-Y531/'01_설정'!B32))*'01_설정'!B31)</f>
        <v/>
      </c>
    </row>
    <row r="532" ht="17.25" customHeight="1">
      <c r="A532" s="152">
        <f>IF(INDEX('04A_국토부원자료'!$A:$A,ROW()+1)="","",ROW()-3)</f>
        <v/>
      </c>
      <c r="B532" s="48">
        <f>IFERROR(INDEX('04A_국토부원자료'!$A:$T,ROW()+1,MATCH("시군구",'04A_국토부원자료'!$A$4:$T$4,0)),"")</f>
        <v/>
      </c>
      <c r="C532" s="48">
        <f>IF(B532="","",IFERROR(INDEX('04A_국토부원자료'!$A:$T,ROW()+1,MATCH("번지",'04A_국토부원자료'!$A$4:$T$4,0)),""))</f>
        <v/>
      </c>
      <c r="D532" s="48">
        <f>IF(B532="","",IF(Q532=1,'02_대상물건입력'!$B$8,IFERROR(INDEX('04A_국토부원자료'!$A:$T,ROW()+1,MATCH("단지명",'04A_국토부원자료'!$A$4:$T$4,0)),"")))</f>
        <v/>
      </c>
      <c r="E532" s="172">
        <f>IFERROR(VALUE(SUBSTITUTE(INDEX('04A_국토부원자료'!$A:$T,ROW()+1,MATCH("전용면적(㎡)",'04A_국토부원자료'!$A$4:$T$4,0)),",","")),"")</f>
        <v/>
      </c>
      <c r="F5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32" s="51">
        <f>IFERROR(VALUE(SUBSTITUTE(INDEX('04A_국토부원자료'!$A:$T,ROW()+1,MATCH("거래금액(만원)",'04A_국토부원자료'!$A$4:$T$4,0)),",","")),"")</f>
        <v/>
      </c>
      <c r="H532" s="174">
        <f>IF(G532="","",G532*10000)</f>
        <v/>
      </c>
      <c r="I532" s="174">
        <f>IFERROR(IF(AND(H532&gt;0,E532&gt;0),H532/E532,""),"")</f>
        <v/>
      </c>
      <c r="J532" s="152">
        <f>IFERROR(VALUE(SUBSTITUTE(INDEX('04A_국토부원자료'!$A:$T,ROW()+1,MATCH("층",'04A_국토부원자료'!$A$4:$T$4,0)),",","")),"")</f>
        <v/>
      </c>
      <c r="K532" s="152">
        <f>IFERROR(VALUE(SUBSTITUTE(INDEX('04A_국토부원자료'!$A:$T,ROW()+1,MATCH("건축년도",'04A_국토부원자료'!$A$4:$T$4,0)),",","")),"")</f>
        <v/>
      </c>
      <c r="L532" s="176">
        <f>IFERROR(INDEX('04A_국토부원자료'!$A:$T,ROW()+1,MATCH("도로명",'04A_국토부원자료'!$A$4:$T$4,0)),"")</f>
        <v/>
      </c>
      <c r="M532" s="48">
        <f>IFERROR(INDEX('04A_국토부원자료'!$A:$T,ROW()+1,MATCH("거래유형",'04A_국토부원자료'!$A$4:$T$4,0)),"")</f>
        <v/>
      </c>
      <c r="N532" s="152">
        <f>IF(B532="","",IF('02_대상물건입력'!B5="",1,IF(ISNUMBER(SEARCH('02_대상물건입력'!B5,B532)),1,0)))</f>
        <v/>
      </c>
      <c r="O532" s="152">
        <f>IF(B532="","",IF('02_대상물건입력'!B6="",1,IF(ISNUMBER(SEARCH('02_대상물건입력'!B6,B532)),1,0)))</f>
        <v/>
      </c>
      <c r="P532" s="152">
        <f>IF(L532="","",IF('02_대상물건입력'!B15="",0,IF(ISNUMBER(SEARCH('02_대상물건입력'!B15,L532)),1,0)))</f>
        <v/>
      </c>
      <c r="Q532" s="152">
        <f>IF(OR(C532="",L532=""),0,IF(AND(TRIM(C532)=TRIM(RIGHT(SUBSTITUTE(TRIM('02_대상물건입력'!$B$7)," ",REPT(" ",99)),99)),IF('02_대상물건입력'!B15="",TRUE(),ISNUMBER(SEARCH('02_대상물건입력'!B15,L532)))),1,0))</f>
        <v/>
      </c>
      <c r="R532" s="175">
        <f>IFERROR(ABS(E532-'02_대상물건입력'!B11)/'02_대상물건입력'!B11,"")</f>
        <v/>
      </c>
      <c r="S532" s="152">
        <f>IFERROR(ABS(J532-'02_대상물건입력'!B10),"")</f>
        <v/>
      </c>
      <c r="T532" s="152">
        <f>IFERROR(ABS('01_설정'!B4-F532),"")</f>
        <v/>
      </c>
      <c r="U532" s="152">
        <f>IFERROR(ABS(K532-YEAR('02_대상물건입력'!B14)),"")</f>
        <v/>
      </c>
      <c r="V532" s="152">
        <f>IF(B532="","",IF(AND(E532&gt;0,F532&gt;0,H532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532=1,TRUE()),R532&lt;='01_설정'!B5,S532&lt;='01_설정'!B6,T532&lt;='01_설정'!B7,U532&lt;='01_설정'!B8),"Y",""))</f>
        <v/>
      </c>
      <c r="W532" s="172">
        <f>IF(V532&lt;&gt;"Y","",MAX(0,(1-R532/'01_설정'!B5))*'01_설정'!B14+MAX(0,(1-S532/'01_설정'!B6))*'01_설정'!B15+MAX(0,(1-T532/'01_설정'!B7))*'01_설정'!B16+MAX(0,(1-U532/'01_설정'!B8))*'01_설정'!B17+O532*'01_설정'!B11+Q532*'01_설정'!B12+P532*'01_설정'!B13+IF(Z532="",0,Z532))</f>
        <v/>
      </c>
      <c r="X532" s="152">
        <f>IF(W532="","",1+COUNTIFS($W$4:$W$3003,"&gt;"&amp;W532)+COUNTIFS($W$4:W532,W532)-1)</f>
        <v/>
      </c>
      <c r="Y532" s="175">
        <f>IF(OR(I532="",'02_대상물건입력'!B19="",'02_대상물건입력'!B19&lt;=0),"",ABS(I532-'02_대상물건입력'!B19)/'02_대상물건입력'!B19)</f>
        <v/>
      </c>
      <c r="Z532" s="172">
        <f>IF(OR(Y532="",'01_설정'!B31="",'01_설정'!B31&lt;=0,'01_설정'!B32="",'01_설정'!B32&lt;=0),"",MAX(0,(1-Y532/'01_설정'!B32))*'01_설정'!B31)</f>
        <v/>
      </c>
    </row>
    <row r="533" ht="17.25" customHeight="1">
      <c r="A533" s="152">
        <f>IF(INDEX('04A_국토부원자료'!$A:$A,ROW()+1)="","",ROW()-3)</f>
        <v/>
      </c>
      <c r="B533" s="48">
        <f>IFERROR(INDEX('04A_국토부원자료'!$A:$T,ROW()+1,MATCH("시군구",'04A_국토부원자료'!$A$4:$T$4,0)),"")</f>
        <v/>
      </c>
      <c r="C533" s="48">
        <f>IF(B533="","",IFERROR(INDEX('04A_국토부원자료'!$A:$T,ROW()+1,MATCH("번지",'04A_국토부원자료'!$A$4:$T$4,0)),""))</f>
        <v/>
      </c>
      <c r="D533" s="48">
        <f>IF(B533="","",IF(Q533=1,'02_대상물건입력'!$B$8,IFERROR(INDEX('04A_국토부원자료'!$A:$T,ROW()+1,MATCH("단지명",'04A_국토부원자료'!$A$4:$T$4,0)),"")))</f>
        <v/>
      </c>
      <c r="E533" s="172">
        <f>IFERROR(VALUE(SUBSTITUTE(INDEX('04A_국토부원자료'!$A:$T,ROW()+1,MATCH("전용면적(㎡)",'04A_국토부원자료'!$A$4:$T$4,0)),",","")),"")</f>
        <v/>
      </c>
      <c r="F5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33" s="51">
        <f>IFERROR(VALUE(SUBSTITUTE(INDEX('04A_국토부원자료'!$A:$T,ROW()+1,MATCH("거래금액(만원)",'04A_국토부원자료'!$A$4:$T$4,0)),",","")),"")</f>
        <v/>
      </c>
      <c r="H533" s="174">
        <f>IF(G533="","",G533*10000)</f>
        <v/>
      </c>
      <c r="I533" s="174">
        <f>IFERROR(IF(AND(H533&gt;0,E533&gt;0),H533/E533,""),"")</f>
        <v/>
      </c>
      <c r="J533" s="152">
        <f>IFERROR(VALUE(SUBSTITUTE(INDEX('04A_국토부원자료'!$A:$T,ROW()+1,MATCH("층",'04A_국토부원자료'!$A$4:$T$4,0)),",","")),"")</f>
        <v/>
      </c>
      <c r="K533" s="152">
        <f>IFERROR(VALUE(SUBSTITUTE(INDEX('04A_국토부원자료'!$A:$T,ROW()+1,MATCH("건축년도",'04A_국토부원자료'!$A$4:$T$4,0)),",","")),"")</f>
        <v/>
      </c>
      <c r="L533" s="176">
        <f>IFERROR(INDEX('04A_국토부원자료'!$A:$T,ROW()+1,MATCH("도로명",'04A_국토부원자료'!$A$4:$T$4,0)),"")</f>
        <v/>
      </c>
      <c r="M533" s="48">
        <f>IFERROR(INDEX('04A_국토부원자료'!$A:$T,ROW()+1,MATCH("거래유형",'04A_국토부원자료'!$A$4:$T$4,0)),"")</f>
        <v/>
      </c>
      <c r="N533" s="152">
        <f>IF(B533="","",IF('02_대상물건입력'!B5="",1,IF(ISNUMBER(SEARCH('02_대상물건입력'!B5,B533)),1,0)))</f>
        <v/>
      </c>
      <c r="O533" s="152">
        <f>IF(B533="","",IF('02_대상물건입력'!B6="",1,IF(ISNUMBER(SEARCH('02_대상물건입력'!B6,B533)),1,0)))</f>
        <v/>
      </c>
      <c r="P533" s="152">
        <f>IF(L533="","",IF('02_대상물건입력'!B15="",0,IF(ISNUMBER(SEARCH('02_대상물건입력'!B15,L533)),1,0)))</f>
        <v/>
      </c>
      <c r="Q533" s="152">
        <f>IF(OR(C533="",L533=""),0,IF(AND(TRIM(C533)=TRIM(RIGHT(SUBSTITUTE(TRIM('02_대상물건입력'!$B$7)," ",REPT(" ",99)),99)),IF('02_대상물건입력'!B15="",TRUE(),ISNUMBER(SEARCH('02_대상물건입력'!B15,L533)))),1,0))</f>
        <v/>
      </c>
      <c r="R533" s="175">
        <f>IFERROR(ABS(E533-'02_대상물건입력'!B11)/'02_대상물건입력'!B11,"")</f>
        <v/>
      </c>
      <c r="S533" s="152">
        <f>IFERROR(ABS(J533-'02_대상물건입력'!B10),"")</f>
        <v/>
      </c>
      <c r="T533" s="152">
        <f>IFERROR(ABS('01_설정'!B4-F533),"")</f>
        <v/>
      </c>
      <c r="U533" s="152">
        <f>IFERROR(ABS(K533-YEAR('02_대상물건입력'!B14)),"")</f>
        <v/>
      </c>
      <c r="V533" s="152">
        <f>IF(B533="","",IF(AND(E533&gt;0,F533&gt;0,H533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533=1,TRUE()),R533&lt;='01_설정'!B5,S533&lt;='01_설정'!B6,T533&lt;='01_설정'!B7,U533&lt;='01_설정'!B8),"Y",""))</f>
        <v/>
      </c>
      <c r="W533" s="172">
        <f>IF(V533&lt;&gt;"Y","",MAX(0,(1-R533/'01_설정'!B5))*'01_설정'!B14+MAX(0,(1-S533/'01_설정'!B6))*'01_설정'!B15+MAX(0,(1-T533/'01_설정'!B7))*'01_설정'!B16+MAX(0,(1-U533/'01_설정'!B8))*'01_설정'!B17+O533*'01_설정'!B11+Q533*'01_설정'!B12+P533*'01_설정'!B13+IF(Z533="",0,Z533))</f>
        <v/>
      </c>
      <c r="X533" s="152">
        <f>IF(W533="","",1+COUNTIFS($W$4:$W$3003,"&gt;"&amp;W533)+COUNTIFS($W$4:W533,W533)-1)</f>
        <v/>
      </c>
      <c r="Y533" s="175">
        <f>IF(OR(I533="",'02_대상물건입력'!B19="",'02_대상물건입력'!B19&lt;=0),"",ABS(I533-'02_대상물건입력'!B19)/'02_대상물건입력'!B19)</f>
        <v/>
      </c>
      <c r="Z533" s="172">
        <f>IF(OR(Y533="",'01_설정'!B31="",'01_설정'!B31&lt;=0,'01_설정'!B32="",'01_설정'!B32&lt;=0),"",MAX(0,(1-Y533/'01_설정'!B32))*'01_설정'!B31)</f>
        <v/>
      </c>
    </row>
    <row r="534" ht="17.25" customHeight="1">
      <c r="A534" s="152">
        <f>IF(INDEX('04A_국토부원자료'!$A:$A,ROW()+1)="","",ROW()-3)</f>
        <v/>
      </c>
      <c r="B534" s="48">
        <f>IFERROR(INDEX('04A_국토부원자료'!$A:$T,ROW()+1,MATCH("시군구",'04A_국토부원자료'!$A$4:$T$4,0)),"")</f>
        <v/>
      </c>
      <c r="C534" s="48">
        <f>IF(B534="","",IFERROR(INDEX('04A_국토부원자료'!$A:$T,ROW()+1,MATCH("번지",'04A_국토부원자료'!$A$4:$T$4,0)),""))</f>
        <v/>
      </c>
      <c r="D534" s="48">
        <f>IF(B534="","",IF(Q534=1,'02_대상물건입력'!$B$8,IFERROR(INDEX('04A_국토부원자료'!$A:$T,ROW()+1,MATCH("단지명",'04A_국토부원자료'!$A$4:$T$4,0)),"")))</f>
        <v/>
      </c>
      <c r="E534" s="172">
        <f>IFERROR(VALUE(SUBSTITUTE(INDEX('04A_국토부원자료'!$A:$T,ROW()+1,MATCH("전용면적(㎡)",'04A_국토부원자료'!$A$4:$T$4,0)),",","")),"")</f>
        <v/>
      </c>
      <c r="F5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34" s="51">
        <f>IFERROR(VALUE(SUBSTITUTE(INDEX('04A_국토부원자료'!$A:$T,ROW()+1,MATCH("거래금액(만원)",'04A_국토부원자료'!$A$4:$T$4,0)),",","")),"")</f>
        <v/>
      </c>
      <c r="H534" s="174">
        <f>IF(G534="","",G534*10000)</f>
        <v/>
      </c>
      <c r="I534" s="174">
        <f>IFERROR(IF(AND(H534&gt;0,E534&gt;0),H534/E534,""),"")</f>
        <v/>
      </c>
      <c r="J534" s="152">
        <f>IFERROR(VALUE(SUBSTITUTE(INDEX('04A_국토부원자료'!$A:$T,ROW()+1,MATCH("층",'04A_국토부원자료'!$A$4:$T$4,0)),",","")),"")</f>
        <v/>
      </c>
      <c r="K534" s="152">
        <f>IFERROR(VALUE(SUBSTITUTE(INDEX('04A_국토부원자료'!$A:$T,ROW()+1,MATCH("건축년도",'04A_국토부원자료'!$A$4:$T$4,0)),",","")),"")</f>
        <v/>
      </c>
      <c r="L534" s="176">
        <f>IFERROR(INDEX('04A_국토부원자료'!$A:$T,ROW()+1,MATCH("도로명",'04A_국토부원자료'!$A$4:$T$4,0)),"")</f>
        <v/>
      </c>
      <c r="M534" s="48">
        <f>IFERROR(INDEX('04A_국토부원자료'!$A:$T,ROW()+1,MATCH("거래유형",'04A_국토부원자료'!$A$4:$T$4,0)),"")</f>
        <v/>
      </c>
      <c r="N534" s="152">
        <f>IF(B534="","",IF('02_대상물건입력'!B5="",1,IF(ISNUMBER(SEARCH('02_대상물건입력'!B5,B534)),1,0)))</f>
        <v/>
      </c>
      <c r="O534" s="152">
        <f>IF(B534="","",IF('02_대상물건입력'!B6="",1,IF(ISNUMBER(SEARCH('02_대상물건입력'!B6,B534)),1,0)))</f>
        <v/>
      </c>
      <c r="P534" s="152">
        <f>IF(L534="","",IF('02_대상물건입력'!B15="",0,IF(ISNUMBER(SEARCH('02_대상물건입력'!B15,L534)),1,0)))</f>
        <v/>
      </c>
      <c r="Q534" s="152">
        <f>IF(OR(C534="",L534=""),0,IF(AND(TRIM(C534)=TRIM(RIGHT(SUBSTITUTE(TRIM('02_대상물건입력'!$B$7)," ",REPT(" ",99)),99)),IF('02_대상물건입력'!B15="",TRUE(),ISNUMBER(SEARCH('02_대상물건입력'!B15,L534)))),1,0))</f>
        <v/>
      </c>
      <c r="R534" s="175">
        <f>IFERROR(ABS(E534-'02_대상물건입력'!B11)/'02_대상물건입력'!B11,"")</f>
        <v/>
      </c>
      <c r="S534" s="152">
        <f>IFERROR(ABS(J534-'02_대상물건입력'!B10),"")</f>
        <v/>
      </c>
      <c r="T534" s="152">
        <f>IFERROR(ABS('01_설정'!B4-F534),"")</f>
        <v/>
      </c>
      <c r="U534" s="152">
        <f>IFERROR(ABS(K534-YEAR('02_대상물건입력'!B14)),"")</f>
        <v/>
      </c>
      <c r="V534" s="152">
        <f>IF(B534="","",IF(AND(E534&gt;0,F534&gt;0,H534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534=1,TRUE()),R534&lt;='01_설정'!B5,S534&lt;='01_설정'!B6,T534&lt;='01_설정'!B7,U534&lt;='01_설정'!B8),"Y",""))</f>
        <v/>
      </c>
      <c r="W534" s="172">
        <f>IF(V534&lt;&gt;"Y","",MAX(0,(1-R534/'01_설정'!B5))*'01_설정'!B14+MAX(0,(1-S534/'01_설정'!B6))*'01_설정'!B15+MAX(0,(1-T534/'01_설정'!B7))*'01_설정'!B16+MAX(0,(1-U534/'01_설정'!B8))*'01_설정'!B17+O534*'01_설정'!B11+Q534*'01_설정'!B12+P534*'01_설정'!B13+IF(Z534="",0,Z534))</f>
        <v/>
      </c>
      <c r="X534" s="152">
        <f>IF(W534="","",1+COUNTIFS($W$4:$W$3003,"&gt;"&amp;W534)+COUNTIFS($W$4:W534,W534)-1)</f>
        <v/>
      </c>
      <c r="Y534" s="175">
        <f>IF(OR(I534="",'02_대상물건입력'!B19="",'02_대상물건입력'!B19&lt;=0),"",ABS(I534-'02_대상물건입력'!B19)/'02_대상물건입력'!B19)</f>
        <v/>
      </c>
      <c r="Z534" s="172">
        <f>IF(OR(Y534="",'01_설정'!B31="",'01_설정'!B31&lt;=0,'01_설정'!B32="",'01_설정'!B32&lt;=0),"",MAX(0,(1-Y534/'01_설정'!B32))*'01_설정'!B31)</f>
        <v/>
      </c>
    </row>
    <row r="535" ht="17.25" customHeight="1">
      <c r="A535" s="152">
        <f>IF(INDEX('04A_국토부원자료'!$A:$A,ROW()+1)="","",ROW()-3)</f>
        <v/>
      </c>
      <c r="B535" s="48">
        <f>IFERROR(INDEX('04A_국토부원자료'!$A:$T,ROW()+1,MATCH("시군구",'04A_국토부원자료'!$A$4:$T$4,0)),"")</f>
        <v/>
      </c>
      <c r="C535" s="48">
        <f>IF(B535="","",IFERROR(INDEX('04A_국토부원자료'!$A:$T,ROW()+1,MATCH("번지",'04A_국토부원자료'!$A$4:$T$4,0)),""))</f>
        <v/>
      </c>
      <c r="D535" s="48">
        <f>IF(B535="","",IF(Q535=1,'02_대상물건입력'!$B$8,IFERROR(INDEX('04A_국토부원자료'!$A:$T,ROW()+1,MATCH("단지명",'04A_국토부원자료'!$A$4:$T$4,0)),"")))</f>
        <v/>
      </c>
      <c r="E535" s="172">
        <f>IFERROR(VALUE(SUBSTITUTE(INDEX('04A_국토부원자료'!$A:$T,ROW()+1,MATCH("전용면적(㎡)",'04A_국토부원자료'!$A$4:$T$4,0)),",","")),"")</f>
        <v/>
      </c>
      <c r="F5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35" s="51">
        <f>IFERROR(VALUE(SUBSTITUTE(INDEX('04A_국토부원자료'!$A:$T,ROW()+1,MATCH("거래금액(만원)",'04A_국토부원자료'!$A$4:$T$4,0)),",","")),"")</f>
        <v/>
      </c>
      <c r="H535" s="174">
        <f>IF(G535="","",G535*10000)</f>
        <v/>
      </c>
      <c r="I535" s="174">
        <f>IFERROR(IF(AND(H535&gt;0,E535&gt;0),H535/E535,""),"")</f>
        <v/>
      </c>
      <c r="J535" s="152">
        <f>IFERROR(VALUE(SUBSTITUTE(INDEX('04A_국토부원자료'!$A:$T,ROW()+1,MATCH("층",'04A_국토부원자료'!$A$4:$T$4,0)),",","")),"")</f>
        <v/>
      </c>
      <c r="K535" s="152">
        <f>IFERROR(VALUE(SUBSTITUTE(INDEX('04A_국토부원자료'!$A:$T,ROW()+1,MATCH("건축년도",'04A_국토부원자료'!$A$4:$T$4,0)),",","")),"")</f>
        <v/>
      </c>
      <c r="L535" s="176">
        <f>IFERROR(INDEX('04A_국토부원자료'!$A:$T,ROW()+1,MATCH("도로명",'04A_국토부원자료'!$A$4:$T$4,0)),"")</f>
        <v/>
      </c>
      <c r="M535" s="48">
        <f>IFERROR(INDEX('04A_국토부원자료'!$A:$T,ROW()+1,MATCH("거래유형",'04A_국토부원자료'!$A$4:$T$4,0)),"")</f>
        <v/>
      </c>
      <c r="N535" s="152">
        <f>IF(B535="","",IF('02_대상물건입력'!B5="",1,IF(ISNUMBER(SEARCH('02_대상물건입력'!B5,B535)),1,0)))</f>
        <v/>
      </c>
      <c r="O535" s="152">
        <f>IF(B535="","",IF('02_대상물건입력'!B6="",1,IF(ISNUMBER(SEARCH('02_대상물건입력'!B6,B535)),1,0)))</f>
        <v/>
      </c>
      <c r="P535" s="152">
        <f>IF(L535="","",IF('02_대상물건입력'!B15="",0,IF(ISNUMBER(SEARCH('02_대상물건입력'!B15,L535)),1,0)))</f>
        <v/>
      </c>
      <c r="Q535" s="152">
        <f>IF(OR(C535="",L535=""),0,IF(AND(TRIM(C535)=TRIM(RIGHT(SUBSTITUTE(TRIM('02_대상물건입력'!$B$7)," ",REPT(" ",99)),99)),IF('02_대상물건입력'!B15="",TRUE(),ISNUMBER(SEARCH('02_대상물건입력'!B15,L535)))),1,0))</f>
        <v/>
      </c>
      <c r="R535" s="175">
        <f>IFERROR(ABS(E535-'02_대상물건입력'!B11)/'02_대상물건입력'!B11,"")</f>
        <v/>
      </c>
      <c r="S535" s="152">
        <f>IFERROR(ABS(J535-'02_대상물건입력'!B10),"")</f>
        <v/>
      </c>
      <c r="T535" s="152">
        <f>IFERROR(ABS('01_설정'!B4-F535),"")</f>
        <v/>
      </c>
      <c r="U535" s="152">
        <f>IFERROR(ABS(K535-YEAR('02_대상물건입력'!B14)),"")</f>
        <v/>
      </c>
      <c r="V535" s="152">
        <f>IF(B535="","",IF(AND(E535&gt;0,F535&gt;0,H535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535=1,TRUE()),R535&lt;='01_설정'!B5,S535&lt;='01_설정'!B6,T535&lt;='01_설정'!B7,U535&lt;='01_설정'!B8),"Y",""))</f>
        <v/>
      </c>
      <c r="W535" s="172">
        <f>IF(V535&lt;&gt;"Y","",MAX(0,(1-R535/'01_설정'!B5))*'01_설정'!B14+MAX(0,(1-S535/'01_설정'!B6))*'01_설정'!B15+MAX(0,(1-T535/'01_설정'!B7))*'01_설정'!B16+MAX(0,(1-U535/'01_설정'!B8))*'01_설정'!B17+O535*'01_설정'!B11+Q535*'01_설정'!B12+P535*'01_설정'!B13+IF(Z535="",0,Z535))</f>
        <v/>
      </c>
      <c r="X535" s="152">
        <f>IF(W535="","",1+COUNTIFS($W$4:$W$3003,"&gt;"&amp;W535)+COUNTIFS($W$4:W535,W535)-1)</f>
        <v/>
      </c>
      <c r="Y535" s="175">
        <f>IF(OR(I535="",'02_대상물건입력'!B19="",'02_대상물건입력'!B19&lt;=0),"",ABS(I535-'02_대상물건입력'!B19)/'02_대상물건입력'!B19)</f>
        <v/>
      </c>
      <c r="Z535" s="172">
        <f>IF(OR(Y535="",'01_설정'!B31="",'01_설정'!B31&lt;=0,'01_설정'!B32="",'01_설정'!B32&lt;=0),"",MAX(0,(1-Y535/'01_설정'!B32))*'01_설정'!B31)</f>
        <v/>
      </c>
    </row>
    <row r="536" ht="17.25" customHeight="1">
      <c r="A536" s="152">
        <f>IF(INDEX('04A_국토부원자료'!$A:$A,ROW()+1)="","",ROW()-3)</f>
        <v/>
      </c>
      <c r="B536" s="48">
        <f>IFERROR(INDEX('04A_국토부원자료'!$A:$T,ROW()+1,MATCH("시군구",'04A_국토부원자료'!$A$4:$T$4,0)),"")</f>
        <v/>
      </c>
      <c r="C536" s="48">
        <f>IF(B536="","",IFERROR(INDEX('04A_국토부원자료'!$A:$T,ROW()+1,MATCH("번지",'04A_국토부원자료'!$A$4:$T$4,0)),""))</f>
        <v/>
      </c>
      <c r="D536" s="48">
        <f>IF(B536="","",IF(Q536=1,'02_대상물건입력'!$B$8,IFERROR(INDEX('04A_국토부원자료'!$A:$T,ROW()+1,MATCH("단지명",'04A_국토부원자료'!$A$4:$T$4,0)),"")))</f>
        <v/>
      </c>
      <c r="E536" s="172">
        <f>IFERROR(VALUE(SUBSTITUTE(INDEX('04A_국토부원자료'!$A:$T,ROW()+1,MATCH("전용면적(㎡)",'04A_국토부원자료'!$A$4:$T$4,0)),",","")),"")</f>
        <v/>
      </c>
      <c r="F5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36" s="51">
        <f>IFERROR(VALUE(SUBSTITUTE(INDEX('04A_국토부원자료'!$A:$T,ROW()+1,MATCH("거래금액(만원)",'04A_국토부원자료'!$A$4:$T$4,0)),",","")),"")</f>
        <v/>
      </c>
      <c r="H536" s="174">
        <f>IF(G536="","",G536*10000)</f>
        <v/>
      </c>
      <c r="I536" s="174">
        <f>IFERROR(IF(AND(H536&gt;0,E536&gt;0),H536/E536,""),"")</f>
        <v/>
      </c>
      <c r="J536" s="152">
        <f>IFERROR(VALUE(SUBSTITUTE(INDEX('04A_국토부원자료'!$A:$T,ROW()+1,MATCH("층",'04A_국토부원자료'!$A$4:$T$4,0)),",","")),"")</f>
        <v/>
      </c>
      <c r="K536" s="152">
        <f>IFERROR(VALUE(SUBSTITUTE(INDEX('04A_국토부원자료'!$A:$T,ROW()+1,MATCH("건축년도",'04A_국토부원자료'!$A$4:$T$4,0)),",","")),"")</f>
        <v/>
      </c>
      <c r="L536" s="176">
        <f>IFERROR(INDEX('04A_국토부원자료'!$A:$T,ROW()+1,MATCH("도로명",'04A_국토부원자료'!$A$4:$T$4,0)),"")</f>
        <v/>
      </c>
      <c r="M536" s="48">
        <f>IFERROR(INDEX('04A_국토부원자료'!$A:$T,ROW()+1,MATCH("거래유형",'04A_국토부원자료'!$A$4:$T$4,0)),"")</f>
        <v/>
      </c>
      <c r="N536" s="152">
        <f>IF(B536="","",IF('02_대상물건입력'!B5="",1,IF(ISNUMBER(SEARCH('02_대상물건입력'!B5,B536)),1,0)))</f>
        <v/>
      </c>
      <c r="O536" s="152">
        <f>IF(B536="","",IF('02_대상물건입력'!B6="",1,IF(ISNUMBER(SEARCH('02_대상물건입력'!B6,B536)),1,0)))</f>
        <v/>
      </c>
      <c r="P536" s="152">
        <f>IF(L536="","",IF('02_대상물건입력'!B15="",0,IF(ISNUMBER(SEARCH('02_대상물건입력'!B15,L536)),1,0)))</f>
        <v/>
      </c>
      <c r="Q536" s="152">
        <f>IF(OR(C536="",L536=""),0,IF(AND(TRIM(C536)=TRIM(RIGHT(SUBSTITUTE(TRIM('02_대상물건입력'!$B$7)," ",REPT(" ",99)),99)),IF('02_대상물건입력'!B15="",TRUE(),ISNUMBER(SEARCH('02_대상물건입력'!B15,L536)))),1,0))</f>
        <v/>
      </c>
      <c r="R536" s="175">
        <f>IFERROR(ABS(E536-'02_대상물건입력'!B11)/'02_대상물건입력'!B11,"")</f>
        <v/>
      </c>
      <c r="S536" s="152">
        <f>IFERROR(ABS(J536-'02_대상물건입력'!B10),"")</f>
        <v/>
      </c>
      <c r="T536" s="152">
        <f>IFERROR(ABS('01_설정'!B4-F536),"")</f>
        <v/>
      </c>
      <c r="U536" s="152">
        <f>IFERROR(ABS(K536-YEAR('02_대상물건입력'!B14)),"")</f>
        <v/>
      </c>
      <c r="V536" s="152">
        <f>IF(B536="","",IF(AND(E536&gt;0,F536&gt;0,H536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536=1,TRUE()),R536&lt;='01_설정'!B5,S536&lt;='01_설정'!B6,T536&lt;='01_설정'!B7,U536&lt;='01_설정'!B8),"Y",""))</f>
        <v/>
      </c>
      <c r="W536" s="172">
        <f>IF(V536&lt;&gt;"Y","",MAX(0,(1-R536/'01_설정'!B5))*'01_설정'!B14+MAX(0,(1-S536/'01_설정'!B6))*'01_설정'!B15+MAX(0,(1-T536/'01_설정'!B7))*'01_설정'!B16+MAX(0,(1-U536/'01_설정'!B8))*'01_설정'!B17+O536*'01_설정'!B11+Q536*'01_설정'!B12+P536*'01_설정'!B13+IF(Z536="",0,Z536))</f>
        <v/>
      </c>
      <c r="X536" s="152">
        <f>IF(W536="","",1+COUNTIFS($W$4:$W$3003,"&gt;"&amp;W536)+COUNTIFS($W$4:W536,W536)-1)</f>
        <v/>
      </c>
      <c r="Y536" s="175">
        <f>IF(OR(I536="",'02_대상물건입력'!B19="",'02_대상물건입력'!B19&lt;=0),"",ABS(I536-'02_대상물건입력'!B19)/'02_대상물건입력'!B19)</f>
        <v/>
      </c>
      <c r="Z536" s="172">
        <f>IF(OR(Y536="",'01_설정'!B31="",'01_설정'!B31&lt;=0,'01_설정'!B32="",'01_설정'!B32&lt;=0),"",MAX(0,(1-Y536/'01_설정'!B32))*'01_설정'!B31)</f>
        <v/>
      </c>
    </row>
    <row r="537" ht="17.25" customHeight="1">
      <c r="A537" s="152">
        <f>IF(INDEX('04A_국토부원자료'!$A:$A,ROW()+1)="","",ROW()-3)</f>
        <v/>
      </c>
      <c r="B537" s="48">
        <f>IFERROR(INDEX('04A_국토부원자료'!$A:$T,ROW()+1,MATCH("시군구",'04A_국토부원자료'!$A$4:$T$4,0)),"")</f>
        <v/>
      </c>
      <c r="C537" s="48">
        <f>IF(B537="","",IFERROR(INDEX('04A_국토부원자료'!$A:$T,ROW()+1,MATCH("번지",'04A_국토부원자료'!$A$4:$T$4,0)),""))</f>
        <v/>
      </c>
      <c r="D537" s="48">
        <f>IF(B537="","",IF(Q537=1,'02_대상물건입력'!$B$8,IFERROR(INDEX('04A_국토부원자료'!$A:$T,ROW()+1,MATCH("단지명",'04A_국토부원자료'!$A$4:$T$4,0)),"")))</f>
        <v/>
      </c>
      <c r="E537" s="172">
        <f>IFERROR(VALUE(SUBSTITUTE(INDEX('04A_국토부원자료'!$A:$T,ROW()+1,MATCH("전용면적(㎡)",'04A_국토부원자료'!$A$4:$T$4,0)),",","")),"")</f>
        <v/>
      </c>
      <c r="F5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37" s="51">
        <f>IFERROR(VALUE(SUBSTITUTE(INDEX('04A_국토부원자료'!$A:$T,ROW()+1,MATCH("거래금액(만원)",'04A_국토부원자료'!$A$4:$T$4,0)),",","")),"")</f>
        <v/>
      </c>
      <c r="H537" s="174">
        <f>IF(G537="","",G537*10000)</f>
        <v/>
      </c>
      <c r="I537" s="174">
        <f>IFERROR(IF(AND(H537&gt;0,E537&gt;0),H537/E537,""),"")</f>
        <v/>
      </c>
      <c r="J537" s="152">
        <f>IFERROR(VALUE(SUBSTITUTE(INDEX('04A_국토부원자료'!$A:$T,ROW()+1,MATCH("층",'04A_국토부원자료'!$A$4:$T$4,0)),",","")),"")</f>
        <v/>
      </c>
      <c r="K537" s="152">
        <f>IFERROR(VALUE(SUBSTITUTE(INDEX('04A_국토부원자료'!$A:$T,ROW()+1,MATCH("건축년도",'04A_국토부원자료'!$A$4:$T$4,0)),",","")),"")</f>
        <v/>
      </c>
      <c r="L537" s="176">
        <f>IFERROR(INDEX('04A_국토부원자료'!$A:$T,ROW()+1,MATCH("도로명",'04A_국토부원자료'!$A$4:$T$4,0)),"")</f>
        <v/>
      </c>
      <c r="M537" s="48">
        <f>IFERROR(INDEX('04A_국토부원자료'!$A:$T,ROW()+1,MATCH("거래유형",'04A_국토부원자료'!$A$4:$T$4,0)),"")</f>
        <v/>
      </c>
      <c r="N537" s="152">
        <f>IF(B537="","",IF('02_대상물건입력'!B5="",1,IF(ISNUMBER(SEARCH('02_대상물건입력'!B5,B537)),1,0)))</f>
        <v/>
      </c>
      <c r="O537" s="152">
        <f>IF(B537="","",IF('02_대상물건입력'!B6="",1,IF(ISNUMBER(SEARCH('02_대상물건입력'!B6,B537)),1,0)))</f>
        <v/>
      </c>
      <c r="P537" s="152">
        <f>IF(L537="","",IF('02_대상물건입력'!B15="",0,IF(ISNUMBER(SEARCH('02_대상물건입력'!B15,L537)),1,0)))</f>
        <v/>
      </c>
      <c r="Q537" s="152">
        <f>IF(OR(C537="",L537=""),0,IF(AND(TRIM(C537)=TRIM(RIGHT(SUBSTITUTE(TRIM('02_대상물건입력'!$B$7)," ",REPT(" ",99)),99)),IF('02_대상물건입력'!B15="",TRUE(),ISNUMBER(SEARCH('02_대상물건입력'!B15,L537)))),1,0))</f>
        <v/>
      </c>
      <c r="R537" s="175">
        <f>IFERROR(ABS(E537-'02_대상물건입력'!B11)/'02_대상물건입력'!B11,"")</f>
        <v/>
      </c>
      <c r="S537" s="152">
        <f>IFERROR(ABS(J537-'02_대상물건입력'!B10),"")</f>
        <v/>
      </c>
      <c r="T537" s="152">
        <f>IFERROR(ABS('01_설정'!B4-F537),"")</f>
        <v/>
      </c>
      <c r="U537" s="152">
        <f>IFERROR(ABS(K537-YEAR('02_대상물건입력'!B14)),"")</f>
        <v/>
      </c>
      <c r="V537" s="152">
        <f>IF(B537="","",IF(AND(E537&gt;0,F537&gt;0,H537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537=1,TRUE()),R537&lt;='01_설정'!B5,S537&lt;='01_설정'!B6,T537&lt;='01_설정'!B7,U537&lt;='01_설정'!B8),"Y",""))</f>
        <v/>
      </c>
      <c r="W537" s="172">
        <f>IF(V537&lt;&gt;"Y","",MAX(0,(1-R537/'01_설정'!B5))*'01_설정'!B14+MAX(0,(1-S537/'01_설정'!B6))*'01_설정'!B15+MAX(0,(1-T537/'01_설정'!B7))*'01_설정'!B16+MAX(0,(1-U537/'01_설정'!B8))*'01_설정'!B17+O537*'01_설정'!B11+Q537*'01_설정'!B12+P537*'01_설정'!B13+IF(Z537="",0,Z537))</f>
        <v/>
      </c>
      <c r="X537" s="152">
        <f>IF(W537="","",1+COUNTIFS($W$4:$W$3003,"&gt;"&amp;W537)+COUNTIFS($W$4:W537,W537)-1)</f>
        <v/>
      </c>
      <c r="Y537" s="175">
        <f>IF(OR(I537="",'02_대상물건입력'!B19="",'02_대상물건입력'!B19&lt;=0),"",ABS(I537-'02_대상물건입력'!B19)/'02_대상물건입력'!B19)</f>
        <v/>
      </c>
      <c r="Z537" s="172">
        <f>IF(OR(Y537="",'01_설정'!B31="",'01_설정'!B31&lt;=0,'01_설정'!B32="",'01_설정'!B32&lt;=0),"",MAX(0,(1-Y537/'01_설정'!B32))*'01_설정'!B31)</f>
        <v/>
      </c>
    </row>
    <row r="538" ht="17.25" customHeight="1">
      <c r="A538" s="152">
        <f>IF(INDEX('04A_국토부원자료'!$A:$A,ROW()+1)="","",ROW()-3)</f>
        <v/>
      </c>
      <c r="B538" s="48">
        <f>IFERROR(INDEX('04A_국토부원자료'!$A:$T,ROW()+1,MATCH("시군구",'04A_국토부원자료'!$A$4:$T$4,0)),"")</f>
        <v/>
      </c>
      <c r="C538" s="48">
        <f>IF(B538="","",IFERROR(INDEX('04A_국토부원자료'!$A:$T,ROW()+1,MATCH("번지",'04A_국토부원자료'!$A$4:$T$4,0)),""))</f>
        <v/>
      </c>
      <c r="D538" s="48">
        <f>IF(B538="","",IF(Q538=1,'02_대상물건입력'!$B$8,IFERROR(INDEX('04A_국토부원자료'!$A:$T,ROW()+1,MATCH("단지명",'04A_국토부원자료'!$A$4:$T$4,0)),"")))</f>
        <v/>
      </c>
      <c r="E538" s="172">
        <f>IFERROR(VALUE(SUBSTITUTE(INDEX('04A_국토부원자료'!$A:$T,ROW()+1,MATCH("전용면적(㎡)",'04A_국토부원자료'!$A$4:$T$4,0)),",","")),"")</f>
        <v/>
      </c>
      <c r="F5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38" s="51">
        <f>IFERROR(VALUE(SUBSTITUTE(INDEX('04A_국토부원자료'!$A:$T,ROW()+1,MATCH("거래금액(만원)",'04A_국토부원자료'!$A$4:$T$4,0)),",","")),"")</f>
        <v/>
      </c>
      <c r="H538" s="174">
        <f>IF(G538="","",G538*10000)</f>
        <v/>
      </c>
      <c r="I538" s="174">
        <f>IFERROR(IF(AND(H538&gt;0,E538&gt;0),H538/E538,""),"")</f>
        <v/>
      </c>
      <c r="J538" s="152">
        <f>IFERROR(VALUE(SUBSTITUTE(INDEX('04A_국토부원자료'!$A:$T,ROW()+1,MATCH("층",'04A_국토부원자료'!$A$4:$T$4,0)),",","")),"")</f>
        <v/>
      </c>
      <c r="K538" s="152">
        <f>IFERROR(VALUE(SUBSTITUTE(INDEX('04A_국토부원자료'!$A:$T,ROW()+1,MATCH("건축년도",'04A_국토부원자료'!$A$4:$T$4,0)),",","")),"")</f>
        <v/>
      </c>
      <c r="L538" s="176">
        <f>IFERROR(INDEX('04A_국토부원자료'!$A:$T,ROW()+1,MATCH("도로명",'04A_국토부원자료'!$A$4:$T$4,0)),"")</f>
        <v/>
      </c>
      <c r="M538" s="48">
        <f>IFERROR(INDEX('04A_국토부원자료'!$A:$T,ROW()+1,MATCH("거래유형",'04A_국토부원자료'!$A$4:$T$4,0)),"")</f>
        <v/>
      </c>
      <c r="N538" s="152">
        <f>IF(B538="","",IF('02_대상물건입력'!B5="",1,IF(ISNUMBER(SEARCH('02_대상물건입력'!B5,B538)),1,0)))</f>
        <v/>
      </c>
      <c r="O538" s="152">
        <f>IF(B538="","",IF('02_대상물건입력'!B6="",1,IF(ISNUMBER(SEARCH('02_대상물건입력'!B6,B538)),1,0)))</f>
        <v/>
      </c>
      <c r="P538" s="152">
        <f>IF(L538="","",IF('02_대상물건입력'!B15="",0,IF(ISNUMBER(SEARCH('02_대상물건입력'!B15,L538)),1,0)))</f>
        <v/>
      </c>
      <c r="Q538" s="152">
        <f>IF(OR(C538="",L538=""),0,IF(AND(TRIM(C538)=TRIM(RIGHT(SUBSTITUTE(TRIM('02_대상물건입력'!$B$7)," ",REPT(" ",99)),99)),IF('02_대상물건입력'!B15="",TRUE(),ISNUMBER(SEARCH('02_대상물건입력'!B15,L538)))),1,0))</f>
        <v/>
      </c>
      <c r="R538" s="175">
        <f>IFERROR(ABS(E538-'02_대상물건입력'!B11)/'02_대상물건입력'!B11,"")</f>
        <v/>
      </c>
      <c r="S538" s="152">
        <f>IFERROR(ABS(J538-'02_대상물건입력'!B10),"")</f>
        <v/>
      </c>
      <c r="T538" s="152">
        <f>IFERROR(ABS('01_설정'!B4-F538),"")</f>
        <v/>
      </c>
      <c r="U538" s="152">
        <f>IFERROR(ABS(K538-YEAR('02_대상물건입력'!B14)),"")</f>
        <v/>
      </c>
      <c r="V538" s="152">
        <f>IF(B538="","",IF(AND(E538&gt;0,F538&gt;0,H538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538=1,TRUE()),R538&lt;='01_설정'!B5,S538&lt;='01_설정'!B6,T538&lt;='01_설정'!B7,U538&lt;='01_설정'!B8),"Y",""))</f>
        <v/>
      </c>
      <c r="W538" s="172">
        <f>IF(V538&lt;&gt;"Y","",MAX(0,(1-R538/'01_설정'!B5))*'01_설정'!B14+MAX(0,(1-S538/'01_설정'!B6))*'01_설정'!B15+MAX(0,(1-T538/'01_설정'!B7))*'01_설정'!B16+MAX(0,(1-U538/'01_설정'!B8))*'01_설정'!B17+O538*'01_설정'!B11+Q538*'01_설정'!B12+P538*'01_설정'!B13+IF(Z538="",0,Z538))</f>
        <v/>
      </c>
      <c r="X538" s="152">
        <f>IF(W538="","",1+COUNTIFS($W$4:$W$3003,"&gt;"&amp;W538)+COUNTIFS($W$4:W538,W538)-1)</f>
        <v/>
      </c>
      <c r="Y538" s="175">
        <f>IF(OR(I538="",'02_대상물건입력'!B19="",'02_대상물건입력'!B19&lt;=0),"",ABS(I538-'02_대상물건입력'!B19)/'02_대상물건입력'!B19)</f>
        <v/>
      </c>
      <c r="Z538" s="172">
        <f>IF(OR(Y538="",'01_설정'!B31="",'01_설정'!B31&lt;=0,'01_설정'!B32="",'01_설정'!B32&lt;=0),"",MAX(0,(1-Y538/'01_설정'!B32))*'01_설정'!B31)</f>
        <v/>
      </c>
    </row>
    <row r="539" ht="17.25" customHeight="1">
      <c r="A539" s="152">
        <f>IF(INDEX('04A_국토부원자료'!$A:$A,ROW()+1)="","",ROW()-3)</f>
        <v/>
      </c>
      <c r="B539" s="48">
        <f>IFERROR(INDEX('04A_국토부원자료'!$A:$T,ROW()+1,MATCH("시군구",'04A_국토부원자료'!$A$4:$T$4,0)),"")</f>
        <v/>
      </c>
      <c r="C539" s="48">
        <f>IF(B539="","",IFERROR(INDEX('04A_국토부원자료'!$A:$T,ROW()+1,MATCH("번지",'04A_국토부원자료'!$A$4:$T$4,0)),""))</f>
        <v/>
      </c>
      <c r="D539" s="48">
        <f>IF(B539="","",IF(Q539=1,'02_대상물건입력'!$B$8,IFERROR(INDEX('04A_국토부원자료'!$A:$T,ROW()+1,MATCH("단지명",'04A_국토부원자료'!$A$4:$T$4,0)),"")))</f>
        <v/>
      </c>
      <c r="E539" s="172">
        <f>IFERROR(VALUE(SUBSTITUTE(INDEX('04A_국토부원자료'!$A:$T,ROW()+1,MATCH("전용면적(㎡)",'04A_국토부원자료'!$A$4:$T$4,0)),",","")),"")</f>
        <v/>
      </c>
      <c r="F5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39" s="51">
        <f>IFERROR(VALUE(SUBSTITUTE(INDEX('04A_국토부원자료'!$A:$T,ROW()+1,MATCH("거래금액(만원)",'04A_국토부원자료'!$A$4:$T$4,0)),",","")),"")</f>
        <v/>
      </c>
      <c r="H539" s="174">
        <f>IF(G539="","",G539*10000)</f>
        <v/>
      </c>
      <c r="I539" s="174">
        <f>IFERROR(IF(AND(H539&gt;0,E539&gt;0),H539/E539,""),"")</f>
        <v/>
      </c>
      <c r="J539" s="152">
        <f>IFERROR(VALUE(SUBSTITUTE(INDEX('04A_국토부원자료'!$A:$T,ROW()+1,MATCH("층",'04A_국토부원자료'!$A$4:$T$4,0)),",","")),"")</f>
        <v/>
      </c>
      <c r="K539" s="152">
        <f>IFERROR(VALUE(SUBSTITUTE(INDEX('04A_국토부원자료'!$A:$T,ROW()+1,MATCH("건축년도",'04A_국토부원자료'!$A$4:$T$4,0)),",","")),"")</f>
        <v/>
      </c>
      <c r="L539" s="176">
        <f>IFERROR(INDEX('04A_국토부원자료'!$A:$T,ROW()+1,MATCH("도로명",'04A_국토부원자료'!$A$4:$T$4,0)),"")</f>
        <v/>
      </c>
      <c r="M539" s="48">
        <f>IFERROR(INDEX('04A_국토부원자료'!$A:$T,ROW()+1,MATCH("거래유형",'04A_국토부원자료'!$A$4:$T$4,0)),"")</f>
        <v/>
      </c>
      <c r="N539" s="152">
        <f>IF(B539="","",IF('02_대상물건입력'!B5="",1,IF(ISNUMBER(SEARCH('02_대상물건입력'!B5,B539)),1,0)))</f>
        <v/>
      </c>
      <c r="O539" s="152">
        <f>IF(B539="","",IF('02_대상물건입력'!B6="",1,IF(ISNUMBER(SEARCH('02_대상물건입력'!B6,B539)),1,0)))</f>
        <v/>
      </c>
      <c r="P539" s="152">
        <f>IF(L539="","",IF('02_대상물건입력'!B15="",0,IF(ISNUMBER(SEARCH('02_대상물건입력'!B15,L539)),1,0)))</f>
        <v/>
      </c>
      <c r="Q539" s="152">
        <f>IF(OR(C539="",L539=""),0,IF(AND(TRIM(C539)=TRIM(RIGHT(SUBSTITUTE(TRIM('02_대상물건입력'!$B$7)," ",REPT(" ",99)),99)),IF('02_대상물건입력'!B15="",TRUE(),ISNUMBER(SEARCH('02_대상물건입력'!B15,L539)))),1,0))</f>
        <v/>
      </c>
      <c r="R539" s="175">
        <f>IFERROR(ABS(E539-'02_대상물건입력'!B11)/'02_대상물건입력'!B11,"")</f>
        <v/>
      </c>
      <c r="S539" s="152">
        <f>IFERROR(ABS(J539-'02_대상물건입력'!B10),"")</f>
        <v/>
      </c>
      <c r="T539" s="152">
        <f>IFERROR(ABS('01_설정'!B4-F539),"")</f>
        <v/>
      </c>
      <c r="U539" s="152">
        <f>IFERROR(ABS(K539-YEAR('02_대상물건입력'!B14)),"")</f>
        <v/>
      </c>
      <c r="V539" s="152">
        <f>IF(B539="","",IF(AND(E539&gt;0,F539&gt;0,H539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539=1,TRUE()),R539&lt;='01_설정'!B5,S539&lt;='01_설정'!B6,T539&lt;='01_설정'!B7,U539&lt;='01_설정'!B8),"Y",""))</f>
        <v/>
      </c>
      <c r="W539" s="172">
        <f>IF(V539&lt;&gt;"Y","",MAX(0,(1-R539/'01_설정'!B5))*'01_설정'!B14+MAX(0,(1-S539/'01_설정'!B6))*'01_설정'!B15+MAX(0,(1-T539/'01_설정'!B7))*'01_설정'!B16+MAX(0,(1-U539/'01_설정'!B8))*'01_설정'!B17+O539*'01_설정'!B11+Q539*'01_설정'!B12+P539*'01_설정'!B13+IF(Z539="",0,Z539))</f>
        <v/>
      </c>
      <c r="X539" s="152">
        <f>IF(W539="","",1+COUNTIFS($W$4:$W$3003,"&gt;"&amp;W539)+COUNTIFS($W$4:W539,W539)-1)</f>
        <v/>
      </c>
      <c r="Y539" s="175">
        <f>IF(OR(I539="",'02_대상물건입력'!B19="",'02_대상물건입력'!B19&lt;=0),"",ABS(I539-'02_대상물건입력'!B19)/'02_대상물건입력'!B19)</f>
        <v/>
      </c>
      <c r="Z539" s="172">
        <f>IF(OR(Y539="",'01_설정'!B31="",'01_설정'!B31&lt;=0,'01_설정'!B32="",'01_설정'!B32&lt;=0),"",MAX(0,(1-Y539/'01_설정'!B32))*'01_설정'!B31)</f>
        <v/>
      </c>
    </row>
    <row r="540" ht="17.25" customHeight="1">
      <c r="A540" s="152">
        <f>IF(INDEX('04A_국토부원자료'!$A:$A,ROW()+1)="","",ROW()-3)</f>
        <v/>
      </c>
      <c r="B540" s="48">
        <f>IFERROR(INDEX('04A_국토부원자료'!$A:$T,ROW()+1,MATCH("시군구",'04A_국토부원자료'!$A$4:$T$4,0)),"")</f>
        <v/>
      </c>
      <c r="C540" s="48">
        <f>IF(B540="","",IFERROR(INDEX('04A_국토부원자료'!$A:$T,ROW()+1,MATCH("번지",'04A_국토부원자료'!$A$4:$T$4,0)),""))</f>
        <v/>
      </c>
      <c r="D540" s="48">
        <f>IF(B540="","",IF(Q540=1,'02_대상물건입력'!$B$8,IFERROR(INDEX('04A_국토부원자료'!$A:$T,ROW()+1,MATCH("단지명",'04A_국토부원자료'!$A$4:$T$4,0)),"")))</f>
        <v/>
      </c>
      <c r="E540" s="172">
        <f>IFERROR(VALUE(SUBSTITUTE(INDEX('04A_국토부원자료'!$A:$T,ROW()+1,MATCH("전용면적(㎡)",'04A_국토부원자료'!$A$4:$T$4,0)),",","")),"")</f>
        <v/>
      </c>
      <c r="F5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40" s="51">
        <f>IFERROR(VALUE(SUBSTITUTE(INDEX('04A_국토부원자료'!$A:$T,ROW()+1,MATCH("거래금액(만원)",'04A_국토부원자료'!$A$4:$T$4,0)),",","")),"")</f>
        <v/>
      </c>
      <c r="H540" s="174">
        <f>IF(G540="","",G540*10000)</f>
        <v/>
      </c>
      <c r="I540" s="174">
        <f>IFERROR(IF(AND(H540&gt;0,E540&gt;0),H540/E540,""),"")</f>
        <v/>
      </c>
      <c r="J540" s="152">
        <f>IFERROR(VALUE(SUBSTITUTE(INDEX('04A_국토부원자료'!$A:$T,ROW()+1,MATCH("층",'04A_국토부원자료'!$A$4:$T$4,0)),",","")),"")</f>
        <v/>
      </c>
      <c r="K540" s="152">
        <f>IFERROR(VALUE(SUBSTITUTE(INDEX('04A_국토부원자료'!$A:$T,ROW()+1,MATCH("건축년도",'04A_국토부원자료'!$A$4:$T$4,0)),",","")),"")</f>
        <v/>
      </c>
      <c r="L540" s="176">
        <f>IFERROR(INDEX('04A_국토부원자료'!$A:$T,ROW()+1,MATCH("도로명",'04A_국토부원자료'!$A$4:$T$4,0)),"")</f>
        <v/>
      </c>
      <c r="M540" s="48">
        <f>IFERROR(INDEX('04A_국토부원자료'!$A:$T,ROW()+1,MATCH("거래유형",'04A_국토부원자료'!$A$4:$T$4,0)),"")</f>
        <v/>
      </c>
      <c r="N540" s="152">
        <f>IF(B540="","",IF('02_대상물건입력'!B5="",1,IF(ISNUMBER(SEARCH('02_대상물건입력'!B5,B540)),1,0)))</f>
        <v/>
      </c>
      <c r="O540" s="152">
        <f>IF(B540="","",IF('02_대상물건입력'!B6="",1,IF(ISNUMBER(SEARCH('02_대상물건입력'!B6,B540)),1,0)))</f>
        <v/>
      </c>
      <c r="P540" s="152">
        <f>IF(L540="","",IF('02_대상물건입력'!B15="",0,IF(ISNUMBER(SEARCH('02_대상물건입력'!B15,L540)),1,0)))</f>
        <v/>
      </c>
      <c r="Q540" s="152">
        <f>IF(OR(C540="",L540=""),0,IF(AND(TRIM(C540)=TRIM(RIGHT(SUBSTITUTE(TRIM('02_대상물건입력'!$B$7)," ",REPT(" ",99)),99)),IF('02_대상물건입력'!B15="",TRUE(),ISNUMBER(SEARCH('02_대상물건입력'!B15,L540)))),1,0))</f>
        <v/>
      </c>
      <c r="R540" s="175">
        <f>IFERROR(ABS(E540-'02_대상물건입력'!B11)/'02_대상물건입력'!B11,"")</f>
        <v/>
      </c>
      <c r="S540" s="152">
        <f>IFERROR(ABS(J540-'02_대상물건입력'!B10),"")</f>
        <v/>
      </c>
      <c r="T540" s="152">
        <f>IFERROR(ABS('01_설정'!B4-F540),"")</f>
        <v/>
      </c>
      <c r="U540" s="152">
        <f>IFERROR(ABS(K540-YEAR('02_대상물건입력'!B14)),"")</f>
        <v/>
      </c>
      <c r="V540" s="152">
        <f>IF(B540="","",IF(AND(E540&gt;0,F540&gt;0,H540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540=1,TRUE()),R540&lt;='01_설정'!B5,S540&lt;='01_설정'!B6,T540&lt;='01_설정'!B7,U540&lt;='01_설정'!B8),"Y",""))</f>
        <v/>
      </c>
      <c r="W540" s="172">
        <f>IF(V540&lt;&gt;"Y","",MAX(0,(1-R540/'01_설정'!B5))*'01_설정'!B14+MAX(0,(1-S540/'01_설정'!B6))*'01_설정'!B15+MAX(0,(1-T540/'01_설정'!B7))*'01_설정'!B16+MAX(0,(1-U540/'01_설정'!B8))*'01_설정'!B17+O540*'01_설정'!B11+Q540*'01_설정'!B12+P540*'01_설정'!B13+IF(Z540="",0,Z540))</f>
        <v/>
      </c>
      <c r="X540" s="152">
        <f>IF(W540="","",1+COUNTIFS($W$4:$W$3003,"&gt;"&amp;W540)+COUNTIFS($W$4:W540,W540)-1)</f>
        <v/>
      </c>
      <c r="Y540" s="175">
        <f>IF(OR(I540="",'02_대상물건입력'!B19="",'02_대상물건입력'!B19&lt;=0),"",ABS(I540-'02_대상물건입력'!B19)/'02_대상물건입력'!B19)</f>
        <v/>
      </c>
      <c r="Z540" s="172">
        <f>IF(OR(Y540="",'01_설정'!B31="",'01_설정'!B31&lt;=0,'01_설정'!B32="",'01_설정'!B32&lt;=0),"",MAX(0,(1-Y540/'01_설정'!B32))*'01_설정'!B31)</f>
        <v/>
      </c>
    </row>
    <row r="541" ht="17.25" customHeight="1">
      <c r="A541" s="152">
        <f>IF(INDEX('04A_국토부원자료'!$A:$A,ROW()+1)="","",ROW()-3)</f>
        <v/>
      </c>
      <c r="B541" s="48">
        <f>IFERROR(INDEX('04A_국토부원자료'!$A:$T,ROW()+1,MATCH("시군구",'04A_국토부원자료'!$A$4:$T$4,0)),"")</f>
        <v/>
      </c>
      <c r="C541" s="48">
        <f>IF(B541="","",IFERROR(INDEX('04A_국토부원자료'!$A:$T,ROW()+1,MATCH("번지",'04A_국토부원자료'!$A$4:$T$4,0)),""))</f>
        <v/>
      </c>
      <c r="D541" s="48">
        <f>IF(B541="","",IF(Q541=1,'02_대상물건입력'!$B$8,IFERROR(INDEX('04A_국토부원자료'!$A:$T,ROW()+1,MATCH("단지명",'04A_국토부원자료'!$A$4:$T$4,0)),"")))</f>
        <v/>
      </c>
      <c r="E541" s="172">
        <f>IFERROR(VALUE(SUBSTITUTE(INDEX('04A_국토부원자료'!$A:$T,ROW()+1,MATCH("전용면적(㎡)",'04A_국토부원자료'!$A$4:$T$4,0)),",","")),"")</f>
        <v/>
      </c>
      <c r="F5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41" s="51">
        <f>IFERROR(VALUE(SUBSTITUTE(INDEX('04A_국토부원자료'!$A:$T,ROW()+1,MATCH("거래금액(만원)",'04A_국토부원자료'!$A$4:$T$4,0)),",","")),"")</f>
        <v/>
      </c>
      <c r="H541" s="174">
        <f>IF(G541="","",G541*10000)</f>
        <v/>
      </c>
      <c r="I541" s="174">
        <f>IFERROR(IF(AND(H541&gt;0,E541&gt;0),H541/E541,""),"")</f>
        <v/>
      </c>
      <c r="J541" s="152">
        <f>IFERROR(VALUE(SUBSTITUTE(INDEX('04A_국토부원자료'!$A:$T,ROW()+1,MATCH("층",'04A_국토부원자료'!$A$4:$T$4,0)),",","")),"")</f>
        <v/>
      </c>
      <c r="K541" s="152">
        <f>IFERROR(VALUE(SUBSTITUTE(INDEX('04A_국토부원자료'!$A:$T,ROW()+1,MATCH("건축년도",'04A_국토부원자료'!$A$4:$T$4,0)),",","")),"")</f>
        <v/>
      </c>
      <c r="L541" s="176">
        <f>IFERROR(INDEX('04A_국토부원자료'!$A:$T,ROW()+1,MATCH("도로명",'04A_국토부원자료'!$A$4:$T$4,0)),"")</f>
        <v/>
      </c>
      <c r="M541" s="48">
        <f>IFERROR(INDEX('04A_국토부원자료'!$A:$T,ROW()+1,MATCH("거래유형",'04A_국토부원자료'!$A$4:$T$4,0)),"")</f>
        <v/>
      </c>
      <c r="N541" s="152">
        <f>IF(B541="","",IF('02_대상물건입력'!B5="",1,IF(ISNUMBER(SEARCH('02_대상물건입력'!B5,B541)),1,0)))</f>
        <v/>
      </c>
      <c r="O541" s="152">
        <f>IF(B541="","",IF('02_대상물건입력'!B6="",1,IF(ISNUMBER(SEARCH('02_대상물건입력'!B6,B541)),1,0)))</f>
        <v/>
      </c>
      <c r="P541" s="152">
        <f>IF(L541="","",IF('02_대상물건입력'!B15="",0,IF(ISNUMBER(SEARCH('02_대상물건입력'!B15,L541)),1,0)))</f>
        <v/>
      </c>
      <c r="Q541" s="152">
        <f>IF(OR(C541="",L541=""),0,IF(AND(TRIM(C541)=TRIM(RIGHT(SUBSTITUTE(TRIM('02_대상물건입력'!$B$7)," ",REPT(" ",99)),99)),IF('02_대상물건입력'!B15="",TRUE(),ISNUMBER(SEARCH('02_대상물건입력'!B15,L541)))),1,0))</f>
        <v/>
      </c>
      <c r="R541" s="175">
        <f>IFERROR(ABS(E541-'02_대상물건입력'!B11)/'02_대상물건입력'!B11,"")</f>
        <v/>
      </c>
      <c r="S541" s="152">
        <f>IFERROR(ABS(J541-'02_대상물건입력'!B10),"")</f>
        <v/>
      </c>
      <c r="T541" s="152">
        <f>IFERROR(ABS('01_설정'!B4-F541),"")</f>
        <v/>
      </c>
      <c r="U541" s="152">
        <f>IFERROR(ABS(K541-YEAR('02_대상물건입력'!B14)),"")</f>
        <v/>
      </c>
      <c r="V541" s="152">
        <f>IF(B541="","",IF(AND(E541&gt;0,F541&gt;0,H541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541=1,TRUE()),R541&lt;='01_설정'!B5,S541&lt;='01_설정'!B6,T541&lt;='01_설정'!B7,U541&lt;='01_설정'!B8),"Y",""))</f>
        <v/>
      </c>
      <c r="W541" s="172">
        <f>IF(V541&lt;&gt;"Y","",MAX(0,(1-R541/'01_설정'!B5))*'01_설정'!B14+MAX(0,(1-S541/'01_설정'!B6))*'01_설정'!B15+MAX(0,(1-T541/'01_설정'!B7))*'01_설정'!B16+MAX(0,(1-U541/'01_설정'!B8))*'01_설정'!B17+O541*'01_설정'!B11+Q541*'01_설정'!B12+P541*'01_설정'!B13+IF(Z541="",0,Z541))</f>
        <v/>
      </c>
      <c r="X541" s="152">
        <f>IF(W541="","",1+COUNTIFS($W$4:$W$3003,"&gt;"&amp;W541)+COUNTIFS($W$4:W541,W541)-1)</f>
        <v/>
      </c>
      <c r="Y541" s="175">
        <f>IF(OR(I541="",'02_대상물건입력'!B19="",'02_대상물건입력'!B19&lt;=0),"",ABS(I541-'02_대상물건입력'!B19)/'02_대상물건입력'!B19)</f>
        <v/>
      </c>
      <c r="Z541" s="172">
        <f>IF(OR(Y541="",'01_설정'!B31="",'01_설정'!B31&lt;=0,'01_설정'!B32="",'01_설정'!B32&lt;=0),"",MAX(0,(1-Y541/'01_설정'!B32))*'01_설정'!B31)</f>
        <v/>
      </c>
    </row>
    <row r="542" ht="17.25" customHeight="1">
      <c r="A542" s="152">
        <f>IF(INDEX('04A_국토부원자료'!$A:$A,ROW()+1)="","",ROW()-3)</f>
        <v/>
      </c>
      <c r="B542" s="48">
        <f>IFERROR(INDEX('04A_국토부원자료'!$A:$T,ROW()+1,MATCH("시군구",'04A_국토부원자료'!$A$4:$T$4,0)),"")</f>
        <v/>
      </c>
      <c r="C542" s="48">
        <f>IF(B542="","",IFERROR(INDEX('04A_국토부원자료'!$A:$T,ROW()+1,MATCH("번지",'04A_국토부원자료'!$A$4:$T$4,0)),""))</f>
        <v/>
      </c>
      <c r="D542" s="48">
        <f>IF(B542="","",IF(Q542=1,'02_대상물건입력'!$B$8,IFERROR(INDEX('04A_국토부원자료'!$A:$T,ROW()+1,MATCH("단지명",'04A_국토부원자료'!$A$4:$T$4,0)),"")))</f>
        <v/>
      </c>
      <c r="E542" s="172">
        <f>IFERROR(VALUE(SUBSTITUTE(INDEX('04A_국토부원자료'!$A:$T,ROW()+1,MATCH("전용면적(㎡)",'04A_국토부원자료'!$A$4:$T$4,0)),",","")),"")</f>
        <v/>
      </c>
      <c r="F5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42" s="51">
        <f>IFERROR(VALUE(SUBSTITUTE(INDEX('04A_국토부원자료'!$A:$T,ROW()+1,MATCH("거래금액(만원)",'04A_국토부원자료'!$A$4:$T$4,0)),",","")),"")</f>
        <v/>
      </c>
      <c r="H542" s="174">
        <f>IF(G542="","",G542*10000)</f>
        <v/>
      </c>
      <c r="I542" s="174">
        <f>IFERROR(IF(AND(H542&gt;0,E542&gt;0),H542/E542,""),"")</f>
        <v/>
      </c>
      <c r="J542" s="152">
        <f>IFERROR(VALUE(SUBSTITUTE(INDEX('04A_국토부원자료'!$A:$T,ROW()+1,MATCH("층",'04A_국토부원자료'!$A$4:$T$4,0)),",","")),"")</f>
        <v/>
      </c>
      <c r="K542" s="152">
        <f>IFERROR(VALUE(SUBSTITUTE(INDEX('04A_국토부원자료'!$A:$T,ROW()+1,MATCH("건축년도",'04A_국토부원자료'!$A$4:$T$4,0)),",","")),"")</f>
        <v/>
      </c>
      <c r="L542" s="176">
        <f>IFERROR(INDEX('04A_국토부원자료'!$A:$T,ROW()+1,MATCH("도로명",'04A_국토부원자료'!$A$4:$T$4,0)),"")</f>
        <v/>
      </c>
      <c r="M542" s="48">
        <f>IFERROR(INDEX('04A_국토부원자료'!$A:$T,ROW()+1,MATCH("거래유형",'04A_국토부원자료'!$A$4:$T$4,0)),"")</f>
        <v/>
      </c>
      <c r="N542" s="152">
        <f>IF(B542="","",IF('02_대상물건입력'!B5="",1,IF(ISNUMBER(SEARCH('02_대상물건입력'!B5,B542)),1,0)))</f>
        <v/>
      </c>
      <c r="O542" s="152">
        <f>IF(B542="","",IF('02_대상물건입력'!B6="",1,IF(ISNUMBER(SEARCH('02_대상물건입력'!B6,B542)),1,0)))</f>
        <v/>
      </c>
      <c r="P542" s="152">
        <f>IF(L542="","",IF('02_대상물건입력'!B15="",0,IF(ISNUMBER(SEARCH('02_대상물건입력'!B15,L542)),1,0)))</f>
        <v/>
      </c>
      <c r="Q542" s="152">
        <f>IF(OR(C542="",L542=""),0,IF(AND(TRIM(C542)=TRIM(RIGHT(SUBSTITUTE(TRIM('02_대상물건입력'!$B$7)," ",REPT(" ",99)),99)),IF('02_대상물건입력'!B15="",TRUE(),ISNUMBER(SEARCH('02_대상물건입력'!B15,L542)))),1,0))</f>
        <v/>
      </c>
      <c r="R542" s="175">
        <f>IFERROR(ABS(E542-'02_대상물건입력'!B11)/'02_대상물건입력'!B11,"")</f>
        <v/>
      </c>
      <c r="S542" s="152">
        <f>IFERROR(ABS(J542-'02_대상물건입력'!B10),"")</f>
        <v/>
      </c>
      <c r="T542" s="152">
        <f>IFERROR(ABS('01_설정'!B4-F542),"")</f>
        <v/>
      </c>
      <c r="U542" s="152">
        <f>IFERROR(ABS(K542-YEAR('02_대상물건입력'!B14)),"")</f>
        <v/>
      </c>
      <c r="V542" s="152">
        <f>IF(B542="","",IF(AND(E542&gt;0,F542&gt;0,H542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542=1,TRUE()),R542&lt;='01_설정'!B5,S542&lt;='01_설정'!B6,T542&lt;='01_설정'!B7,U542&lt;='01_설정'!B8),"Y",""))</f>
        <v/>
      </c>
      <c r="W542" s="172">
        <f>IF(V542&lt;&gt;"Y","",MAX(0,(1-R542/'01_설정'!B5))*'01_설정'!B14+MAX(0,(1-S542/'01_설정'!B6))*'01_설정'!B15+MAX(0,(1-T542/'01_설정'!B7))*'01_설정'!B16+MAX(0,(1-U542/'01_설정'!B8))*'01_설정'!B17+O542*'01_설정'!B11+Q542*'01_설정'!B12+P542*'01_설정'!B13+IF(Z542="",0,Z542))</f>
        <v/>
      </c>
      <c r="X542" s="152">
        <f>IF(W542="","",1+COUNTIFS($W$4:$W$3003,"&gt;"&amp;W542)+COUNTIFS($W$4:W542,W542)-1)</f>
        <v/>
      </c>
      <c r="Y542" s="175">
        <f>IF(OR(I542="",'02_대상물건입력'!B19="",'02_대상물건입력'!B19&lt;=0),"",ABS(I542-'02_대상물건입력'!B19)/'02_대상물건입력'!B19)</f>
        <v/>
      </c>
      <c r="Z542" s="172">
        <f>IF(OR(Y542="",'01_설정'!B31="",'01_설정'!B31&lt;=0,'01_설정'!B32="",'01_설정'!B32&lt;=0),"",MAX(0,(1-Y542/'01_설정'!B32))*'01_설정'!B31)</f>
        <v/>
      </c>
    </row>
    <row r="543" ht="17.25" customHeight="1">
      <c r="A543" s="152">
        <f>IF(INDEX('04A_국토부원자료'!$A:$A,ROW()+1)="","",ROW()-3)</f>
        <v/>
      </c>
      <c r="B543" s="48">
        <f>IFERROR(INDEX('04A_국토부원자료'!$A:$T,ROW()+1,MATCH("시군구",'04A_국토부원자료'!$A$4:$T$4,0)),"")</f>
        <v/>
      </c>
      <c r="C543" s="48">
        <f>IF(B543="","",IFERROR(INDEX('04A_국토부원자료'!$A:$T,ROW()+1,MATCH("번지",'04A_국토부원자료'!$A$4:$T$4,0)),""))</f>
        <v/>
      </c>
      <c r="D543" s="48">
        <f>IF(B543="","",IF(Q543=1,'02_대상물건입력'!$B$8,IFERROR(INDEX('04A_국토부원자료'!$A:$T,ROW()+1,MATCH("단지명",'04A_국토부원자료'!$A$4:$T$4,0)),"")))</f>
        <v/>
      </c>
      <c r="E543" s="172">
        <f>IFERROR(VALUE(SUBSTITUTE(INDEX('04A_국토부원자료'!$A:$T,ROW()+1,MATCH("전용면적(㎡)",'04A_국토부원자료'!$A$4:$T$4,0)),",","")),"")</f>
        <v/>
      </c>
      <c r="F5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43" s="51">
        <f>IFERROR(VALUE(SUBSTITUTE(INDEX('04A_국토부원자료'!$A:$T,ROW()+1,MATCH("거래금액(만원)",'04A_국토부원자료'!$A$4:$T$4,0)),",","")),"")</f>
        <v/>
      </c>
      <c r="H543" s="174">
        <f>IF(G543="","",G543*10000)</f>
        <v/>
      </c>
      <c r="I543" s="174">
        <f>IFERROR(IF(AND(H543&gt;0,E543&gt;0),H543/E543,""),"")</f>
        <v/>
      </c>
      <c r="J543" s="152">
        <f>IFERROR(VALUE(SUBSTITUTE(INDEX('04A_국토부원자료'!$A:$T,ROW()+1,MATCH("층",'04A_국토부원자료'!$A$4:$T$4,0)),",","")),"")</f>
        <v/>
      </c>
      <c r="K543" s="152">
        <f>IFERROR(VALUE(SUBSTITUTE(INDEX('04A_국토부원자료'!$A:$T,ROW()+1,MATCH("건축년도",'04A_국토부원자료'!$A$4:$T$4,0)),",","")),"")</f>
        <v/>
      </c>
      <c r="L543" s="176">
        <f>IFERROR(INDEX('04A_국토부원자료'!$A:$T,ROW()+1,MATCH("도로명",'04A_국토부원자료'!$A$4:$T$4,0)),"")</f>
        <v/>
      </c>
      <c r="M543" s="48">
        <f>IFERROR(INDEX('04A_국토부원자료'!$A:$T,ROW()+1,MATCH("거래유형",'04A_국토부원자료'!$A$4:$T$4,0)),"")</f>
        <v/>
      </c>
      <c r="N543" s="152">
        <f>IF(B543="","",IF('02_대상물건입력'!B5="",1,IF(ISNUMBER(SEARCH('02_대상물건입력'!B5,B543)),1,0)))</f>
        <v/>
      </c>
      <c r="O543" s="152">
        <f>IF(B543="","",IF('02_대상물건입력'!B6="",1,IF(ISNUMBER(SEARCH('02_대상물건입력'!B6,B543)),1,0)))</f>
        <v/>
      </c>
      <c r="P543" s="152">
        <f>IF(L543="","",IF('02_대상물건입력'!B15="",0,IF(ISNUMBER(SEARCH('02_대상물건입력'!B15,L543)),1,0)))</f>
        <v/>
      </c>
      <c r="Q543" s="152">
        <f>IF(OR(C543="",L543=""),0,IF(AND(TRIM(C543)=TRIM(RIGHT(SUBSTITUTE(TRIM('02_대상물건입력'!$B$7)," ",REPT(" ",99)),99)),IF('02_대상물건입력'!B15="",TRUE(),ISNUMBER(SEARCH('02_대상물건입력'!B15,L543)))),1,0))</f>
        <v/>
      </c>
      <c r="R543" s="175">
        <f>IFERROR(ABS(E543-'02_대상물건입력'!B11)/'02_대상물건입력'!B11,"")</f>
        <v/>
      </c>
      <c r="S543" s="152">
        <f>IFERROR(ABS(J543-'02_대상물건입력'!B10),"")</f>
        <v/>
      </c>
      <c r="T543" s="152">
        <f>IFERROR(ABS('01_설정'!B4-F543),"")</f>
        <v/>
      </c>
      <c r="U543" s="152">
        <f>IFERROR(ABS(K543-YEAR('02_대상물건입력'!B14)),"")</f>
        <v/>
      </c>
      <c r="V543" s="152">
        <f>IF(B543="","",IF(AND(E543&gt;0,F543&gt;0,H543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543=1,TRUE()),R543&lt;='01_설정'!B5,S543&lt;='01_설정'!B6,T543&lt;='01_설정'!B7,U543&lt;='01_설정'!B8),"Y",""))</f>
        <v/>
      </c>
      <c r="W543" s="172">
        <f>IF(V543&lt;&gt;"Y","",MAX(0,(1-R543/'01_설정'!B5))*'01_설정'!B14+MAX(0,(1-S543/'01_설정'!B6))*'01_설정'!B15+MAX(0,(1-T543/'01_설정'!B7))*'01_설정'!B16+MAX(0,(1-U543/'01_설정'!B8))*'01_설정'!B17+O543*'01_설정'!B11+Q543*'01_설정'!B12+P543*'01_설정'!B13+IF(Z543="",0,Z543))</f>
        <v/>
      </c>
      <c r="X543" s="152">
        <f>IF(W543="","",1+COUNTIFS($W$4:$W$3003,"&gt;"&amp;W543)+COUNTIFS($W$4:W543,W543)-1)</f>
        <v/>
      </c>
      <c r="Y543" s="175">
        <f>IF(OR(I543="",'02_대상물건입력'!B19="",'02_대상물건입력'!B19&lt;=0),"",ABS(I543-'02_대상물건입력'!B19)/'02_대상물건입력'!B19)</f>
        <v/>
      </c>
      <c r="Z543" s="172">
        <f>IF(OR(Y543="",'01_설정'!B31="",'01_설정'!B31&lt;=0,'01_설정'!B32="",'01_설정'!B32&lt;=0),"",MAX(0,(1-Y543/'01_설정'!B32))*'01_설정'!B31)</f>
        <v/>
      </c>
    </row>
    <row r="544" ht="17.25" customHeight="1">
      <c r="A544" s="152">
        <f>IF(INDEX('04A_국토부원자료'!$A:$A,ROW()+1)="","",ROW()-3)</f>
        <v/>
      </c>
      <c r="B544" s="48">
        <f>IFERROR(INDEX('04A_국토부원자료'!$A:$T,ROW()+1,MATCH("시군구",'04A_국토부원자료'!$A$4:$T$4,0)),"")</f>
        <v/>
      </c>
      <c r="C544" s="48">
        <f>IF(B544="","",IFERROR(INDEX('04A_국토부원자료'!$A:$T,ROW()+1,MATCH("번지",'04A_국토부원자료'!$A$4:$T$4,0)),""))</f>
        <v/>
      </c>
      <c r="D544" s="48">
        <f>IF(B544="","",IF(Q544=1,'02_대상물건입력'!$B$8,IFERROR(INDEX('04A_국토부원자료'!$A:$T,ROW()+1,MATCH("단지명",'04A_국토부원자료'!$A$4:$T$4,0)),"")))</f>
        <v/>
      </c>
      <c r="E544" s="172">
        <f>IFERROR(VALUE(SUBSTITUTE(INDEX('04A_국토부원자료'!$A:$T,ROW()+1,MATCH("전용면적(㎡)",'04A_국토부원자료'!$A$4:$T$4,0)),",","")),"")</f>
        <v/>
      </c>
      <c r="F5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44" s="51">
        <f>IFERROR(VALUE(SUBSTITUTE(INDEX('04A_국토부원자료'!$A:$T,ROW()+1,MATCH("거래금액(만원)",'04A_국토부원자료'!$A$4:$T$4,0)),",","")),"")</f>
        <v/>
      </c>
      <c r="H544" s="174">
        <f>IF(G544="","",G544*10000)</f>
        <v/>
      </c>
      <c r="I544" s="174">
        <f>IFERROR(IF(AND(H544&gt;0,E544&gt;0),H544/E544,""),"")</f>
        <v/>
      </c>
      <c r="J544" s="152">
        <f>IFERROR(VALUE(SUBSTITUTE(INDEX('04A_국토부원자료'!$A:$T,ROW()+1,MATCH("층",'04A_국토부원자료'!$A$4:$T$4,0)),",","")),"")</f>
        <v/>
      </c>
      <c r="K544" s="152">
        <f>IFERROR(VALUE(SUBSTITUTE(INDEX('04A_국토부원자료'!$A:$T,ROW()+1,MATCH("건축년도",'04A_국토부원자료'!$A$4:$T$4,0)),",","")),"")</f>
        <v/>
      </c>
      <c r="L544" s="176">
        <f>IFERROR(INDEX('04A_국토부원자료'!$A:$T,ROW()+1,MATCH("도로명",'04A_국토부원자료'!$A$4:$T$4,0)),"")</f>
        <v/>
      </c>
      <c r="M544" s="48">
        <f>IFERROR(INDEX('04A_국토부원자료'!$A:$T,ROW()+1,MATCH("거래유형",'04A_국토부원자료'!$A$4:$T$4,0)),"")</f>
        <v/>
      </c>
      <c r="N544" s="152">
        <f>IF(B544="","",IF('02_대상물건입력'!B5="",1,IF(ISNUMBER(SEARCH('02_대상물건입력'!B5,B544)),1,0)))</f>
        <v/>
      </c>
      <c r="O544" s="152">
        <f>IF(B544="","",IF('02_대상물건입력'!B6="",1,IF(ISNUMBER(SEARCH('02_대상물건입력'!B6,B544)),1,0)))</f>
        <v/>
      </c>
      <c r="P544" s="152">
        <f>IF(L544="","",IF('02_대상물건입력'!B15="",0,IF(ISNUMBER(SEARCH('02_대상물건입력'!B15,L544)),1,0)))</f>
        <v/>
      </c>
      <c r="Q544" s="152">
        <f>IF(OR(C544="",L544=""),0,IF(AND(TRIM(C544)=TRIM(RIGHT(SUBSTITUTE(TRIM('02_대상물건입력'!$B$7)," ",REPT(" ",99)),99)),IF('02_대상물건입력'!B15="",TRUE(),ISNUMBER(SEARCH('02_대상물건입력'!B15,L544)))),1,0))</f>
        <v/>
      </c>
      <c r="R544" s="175">
        <f>IFERROR(ABS(E544-'02_대상물건입력'!B11)/'02_대상물건입력'!B11,"")</f>
        <v/>
      </c>
      <c r="S544" s="152">
        <f>IFERROR(ABS(J544-'02_대상물건입력'!B10),"")</f>
        <v/>
      </c>
      <c r="T544" s="152">
        <f>IFERROR(ABS('01_설정'!B4-F544),"")</f>
        <v/>
      </c>
      <c r="U544" s="152">
        <f>IFERROR(ABS(K544-YEAR('02_대상물건입력'!B14)),"")</f>
        <v/>
      </c>
      <c r="V544" s="152">
        <f>IF(B544="","",IF(AND(E544&gt;0,F544&gt;0,H544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544=1,TRUE()),R544&lt;='01_설정'!B5,S544&lt;='01_설정'!B6,T544&lt;='01_설정'!B7,U544&lt;='01_설정'!B8),"Y",""))</f>
        <v/>
      </c>
      <c r="W544" s="172">
        <f>IF(V544&lt;&gt;"Y","",MAX(0,(1-R544/'01_설정'!B5))*'01_설정'!B14+MAX(0,(1-S544/'01_설정'!B6))*'01_설정'!B15+MAX(0,(1-T544/'01_설정'!B7))*'01_설정'!B16+MAX(0,(1-U544/'01_설정'!B8))*'01_설정'!B17+O544*'01_설정'!B11+Q544*'01_설정'!B12+P544*'01_설정'!B13+IF(Z544="",0,Z544))</f>
        <v/>
      </c>
      <c r="X544" s="152">
        <f>IF(W544="","",1+COUNTIFS($W$4:$W$3003,"&gt;"&amp;W544)+COUNTIFS($W$4:W544,W544)-1)</f>
        <v/>
      </c>
      <c r="Y544" s="175">
        <f>IF(OR(I544="",'02_대상물건입력'!B19="",'02_대상물건입력'!B19&lt;=0),"",ABS(I544-'02_대상물건입력'!B19)/'02_대상물건입력'!B19)</f>
        <v/>
      </c>
      <c r="Z544" s="172">
        <f>IF(OR(Y544="",'01_설정'!B31="",'01_설정'!B31&lt;=0,'01_설정'!B32="",'01_설정'!B32&lt;=0),"",MAX(0,(1-Y544/'01_설정'!B32))*'01_설정'!B31)</f>
        <v/>
      </c>
    </row>
    <row r="545" ht="17.25" customHeight="1">
      <c r="A545" s="152">
        <f>IF(INDEX('04A_국토부원자료'!$A:$A,ROW()+1)="","",ROW()-3)</f>
        <v/>
      </c>
      <c r="B545" s="48">
        <f>IFERROR(INDEX('04A_국토부원자료'!$A:$T,ROW()+1,MATCH("시군구",'04A_국토부원자료'!$A$4:$T$4,0)),"")</f>
        <v/>
      </c>
      <c r="C545" s="48">
        <f>IF(B545="","",IFERROR(INDEX('04A_국토부원자료'!$A:$T,ROW()+1,MATCH("번지",'04A_국토부원자료'!$A$4:$T$4,0)),""))</f>
        <v/>
      </c>
      <c r="D545" s="48">
        <f>IF(B545="","",IF(Q545=1,'02_대상물건입력'!$B$8,IFERROR(INDEX('04A_국토부원자료'!$A:$T,ROW()+1,MATCH("단지명",'04A_국토부원자료'!$A$4:$T$4,0)),"")))</f>
        <v/>
      </c>
      <c r="E545" s="172">
        <f>IFERROR(VALUE(SUBSTITUTE(INDEX('04A_국토부원자료'!$A:$T,ROW()+1,MATCH("전용면적(㎡)",'04A_국토부원자료'!$A$4:$T$4,0)),",","")),"")</f>
        <v/>
      </c>
      <c r="F5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45" s="51">
        <f>IFERROR(VALUE(SUBSTITUTE(INDEX('04A_국토부원자료'!$A:$T,ROW()+1,MATCH("거래금액(만원)",'04A_국토부원자료'!$A$4:$T$4,0)),",","")),"")</f>
        <v/>
      </c>
      <c r="H545" s="174">
        <f>IF(G545="","",G545*10000)</f>
        <v/>
      </c>
      <c r="I545" s="174">
        <f>IFERROR(IF(AND(H545&gt;0,E545&gt;0),H545/E545,""),"")</f>
        <v/>
      </c>
      <c r="J545" s="152">
        <f>IFERROR(VALUE(SUBSTITUTE(INDEX('04A_국토부원자료'!$A:$T,ROW()+1,MATCH("층",'04A_국토부원자료'!$A$4:$T$4,0)),",","")),"")</f>
        <v/>
      </c>
      <c r="K545" s="152">
        <f>IFERROR(VALUE(SUBSTITUTE(INDEX('04A_국토부원자료'!$A:$T,ROW()+1,MATCH("건축년도",'04A_국토부원자료'!$A$4:$T$4,0)),",","")),"")</f>
        <v/>
      </c>
      <c r="L545" s="176">
        <f>IFERROR(INDEX('04A_국토부원자료'!$A:$T,ROW()+1,MATCH("도로명",'04A_국토부원자료'!$A$4:$T$4,0)),"")</f>
        <v/>
      </c>
      <c r="M545" s="48">
        <f>IFERROR(INDEX('04A_국토부원자료'!$A:$T,ROW()+1,MATCH("거래유형",'04A_국토부원자료'!$A$4:$T$4,0)),"")</f>
        <v/>
      </c>
      <c r="N545" s="152">
        <f>IF(B545="","",IF('02_대상물건입력'!B5="",1,IF(ISNUMBER(SEARCH('02_대상물건입력'!B5,B545)),1,0)))</f>
        <v/>
      </c>
      <c r="O545" s="152">
        <f>IF(B545="","",IF('02_대상물건입력'!B6="",1,IF(ISNUMBER(SEARCH('02_대상물건입력'!B6,B545)),1,0)))</f>
        <v/>
      </c>
      <c r="P545" s="152">
        <f>IF(L545="","",IF('02_대상물건입력'!B15="",0,IF(ISNUMBER(SEARCH('02_대상물건입력'!B15,L545)),1,0)))</f>
        <v/>
      </c>
      <c r="Q545" s="152">
        <f>IF(OR(C545="",L545=""),0,IF(AND(TRIM(C545)=TRIM(RIGHT(SUBSTITUTE(TRIM('02_대상물건입력'!$B$7)," ",REPT(" ",99)),99)),IF('02_대상물건입력'!B15="",TRUE(),ISNUMBER(SEARCH('02_대상물건입력'!B15,L545)))),1,0))</f>
        <v/>
      </c>
      <c r="R545" s="175">
        <f>IFERROR(ABS(E545-'02_대상물건입력'!B11)/'02_대상물건입력'!B11,"")</f>
        <v/>
      </c>
      <c r="S545" s="152">
        <f>IFERROR(ABS(J545-'02_대상물건입력'!B10),"")</f>
        <v/>
      </c>
      <c r="T545" s="152">
        <f>IFERROR(ABS('01_설정'!B4-F545),"")</f>
        <v/>
      </c>
      <c r="U545" s="152">
        <f>IFERROR(ABS(K545-YEAR('02_대상물건입력'!B14)),"")</f>
        <v/>
      </c>
      <c r="V545" s="152">
        <f>IF(B545="","",IF(AND(E545&gt;0,F545&gt;0,H545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545=1,TRUE()),R545&lt;='01_설정'!B5,S545&lt;='01_설정'!B6,T545&lt;='01_설정'!B7,U545&lt;='01_설정'!B8),"Y",""))</f>
        <v/>
      </c>
      <c r="W545" s="172">
        <f>IF(V545&lt;&gt;"Y","",MAX(0,(1-R545/'01_설정'!B5))*'01_설정'!B14+MAX(0,(1-S545/'01_설정'!B6))*'01_설정'!B15+MAX(0,(1-T545/'01_설정'!B7))*'01_설정'!B16+MAX(0,(1-U545/'01_설정'!B8))*'01_설정'!B17+O545*'01_설정'!B11+Q545*'01_설정'!B12+P545*'01_설정'!B13+IF(Z545="",0,Z545))</f>
        <v/>
      </c>
      <c r="X545" s="152">
        <f>IF(W545="","",1+COUNTIFS($W$4:$W$3003,"&gt;"&amp;W545)+COUNTIFS($W$4:W545,W545)-1)</f>
        <v/>
      </c>
      <c r="Y545" s="175">
        <f>IF(OR(I545="",'02_대상물건입력'!B19="",'02_대상물건입력'!B19&lt;=0),"",ABS(I545-'02_대상물건입력'!B19)/'02_대상물건입력'!B19)</f>
        <v/>
      </c>
      <c r="Z545" s="172">
        <f>IF(OR(Y545="",'01_설정'!B31="",'01_설정'!B31&lt;=0,'01_설정'!B32="",'01_설정'!B32&lt;=0),"",MAX(0,(1-Y545/'01_설정'!B32))*'01_설정'!B31)</f>
        <v/>
      </c>
    </row>
    <row r="546" ht="17.25" customHeight="1">
      <c r="A546" s="152">
        <f>IF(INDEX('04A_국토부원자료'!$A:$A,ROW()+1)="","",ROW()-3)</f>
        <v/>
      </c>
      <c r="B546" s="48">
        <f>IFERROR(INDEX('04A_국토부원자료'!$A:$T,ROW()+1,MATCH("시군구",'04A_국토부원자료'!$A$4:$T$4,0)),"")</f>
        <v/>
      </c>
      <c r="C546" s="48">
        <f>IF(B546="","",IFERROR(INDEX('04A_국토부원자료'!$A:$T,ROW()+1,MATCH("번지",'04A_국토부원자료'!$A$4:$T$4,0)),""))</f>
        <v/>
      </c>
      <c r="D546" s="48">
        <f>IF(B546="","",IF(Q546=1,'02_대상물건입력'!$B$8,IFERROR(INDEX('04A_국토부원자료'!$A:$T,ROW()+1,MATCH("단지명",'04A_국토부원자료'!$A$4:$T$4,0)),"")))</f>
        <v/>
      </c>
      <c r="E546" s="172">
        <f>IFERROR(VALUE(SUBSTITUTE(INDEX('04A_국토부원자료'!$A:$T,ROW()+1,MATCH("전용면적(㎡)",'04A_국토부원자료'!$A$4:$T$4,0)),",","")),"")</f>
        <v/>
      </c>
      <c r="F5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46" s="51">
        <f>IFERROR(VALUE(SUBSTITUTE(INDEX('04A_국토부원자료'!$A:$T,ROW()+1,MATCH("거래금액(만원)",'04A_국토부원자료'!$A$4:$T$4,0)),",","")),"")</f>
        <v/>
      </c>
      <c r="H546" s="174">
        <f>IF(G546="","",G546*10000)</f>
        <v/>
      </c>
      <c r="I546" s="174">
        <f>IFERROR(IF(AND(H546&gt;0,E546&gt;0),H546/E546,""),"")</f>
        <v/>
      </c>
      <c r="J546" s="152">
        <f>IFERROR(VALUE(SUBSTITUTE(INDEX('04A_국토부원자료'!$A:$T,ROW()+1,MATCH("층",'04A_국토부원자료'!$A$4:$T$4,0)),",","")),"")</f>
        <v/>
      </c>
      <c r="K546" s="152">
        <f>IFERROR(VALUE(SUBSTITUTE(INDEX('04A_국토부원자료'!$A:$T,ROW()+1,MATCH("건축년도",'04A_국토부원자료'!$A$4:$T$4,0)),",","")),"")</f>
        <v/>
      </c>
      <c r="L546" s="176">
        <f>IFERROR(INDEX('04A_국토부원자료'!$A:$T,ROW()+1,MATCH("도로명",'04A_국토부원자료'!$A$4:$T$4,0)),"")</f>
        <v/>
      </c>
      <c r="M546" s="48">
        <f>IFERROR(INDEX('04A_국토부원자료'!$A:$T,ROW()+1,MATCH("거래유형",'04A_국토부원자료'!$A$4:$T$4,0)),"")</f>
        <v/>
      </c>
      <c r="N546" s="152">
        <f>IF(B546="","",IF('02_대상물건입력'!B5="",1,IF(ISNUMBER(SEARCH('02_대상물건입력'!B5,B546)),1,0)))</f>
        <v/>
      </c>
      <c r="O546" s="152">
        <f>IF(B546="","",IF('02_대상물건입력'!B6="",1,IF(ISNUMBER(SEARCH('02_대상물건입력'!B6,B546)),1,0)))</f>
        <v/>
      </c>
      <c r="P546" s="152">
        <f>IF(L546="","",IF('02_대상물건입력'!B15="",0,IF(ISNUMBER(SEARCH('02_대상물건입력'!B15,L546)),1,0)))</f>
        <v/>
      </c>
      <c r="Q546" s="152">
        <f>IF(OR(C546="",L546=""),0,IF(AND(TRIM(C546)=TRIM(RIGHT(SUBSTITUTE(TRIM('02_대상물건입력'!$B$7)," ",REPT(" ",99)),99)),IF('02_대상물건입력'!B15="",TRUE(),ISNUMBER(SEARCH('02_대상물건입력'!B15,L546)))),1,0))</f>
        <v/>
      </c>
      <c r="R546" s="175">
        <f>IFERROR(ABS(E546-'02_대상물건입력'!B11)/'02_대상물건입력'!B11,"")</f>
        <v/>
      </c>
      <c r="S546" s="152">
        <f>IFERROR(ABS(J546-'02_대상물건입력'!B10),"")</f>
        <v/>
      </c>
      <c r="T546" s="152">
        <f>IFERROR(ABS('01_설정'!B4-F546),"")</f>
        <v/>
      </c>
      <c r="U546" s="152">
        <f>IFERROR(ABS(K546-YEAR('02_대상물건입력'!B14)),"")</f>
        <v/>
      </c>
      <c r="V546" s="152">
        <f>IF(B546="","",IF(AND(E546&gt;0,F546&gt;0,H546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546=1,TRUE()),R546&lt;='01_설정'!B5,S546&lt;='01_설정'!B6,T546&lt;='01_설정'!B7,U546&lt;='01_설정'!B8),"Y",""))</f>
        <v/>
      </c>
      <c r="W546" s="172">
        <f>IF(V546&lt;&gt;"Y","",MAX(0,(1-R546/'01_설정'!B5))*'01_설정'!B14+MAX(0,(1-S546/'01_설정'!B6))*'01_설정'!B15+MAX(0,(1-T546/'01_설정'!B7))*'01_설정'!B16+MAX(0,(1-U546/'01_설정'!B8))*'01_설정'!B17+O546*'01_설정'!B11+Q546*'01_설정'!B12+P546*'01_설정'!B13+IF(Z546="",0,Z546))</f>
        <v/>
      </c>
      <c r="X546" s="152">
        <f>IF(W546="","",1+COUNTIFS($W$4:$W$3003,"&gt;"&amp;W546)+COUNTIFS($W$4:W546,W546)-1)</f>
        <v/>
      </c>
      <c r="Y546" s="175">
        <f>IF(OR(I546="",'02_대상물건입력'!B19="",'02_대상물건입력'!B19&lt;=0),"",ABS(I546-'02_대상물건입력'!B19)/'02_대상물건입력'!B19)</f>
        <v/>
      </c>
      <c r="Z546" s="172">
        <f>IF(OR(Y546="",'01_설정'!B31="",'01_설정'!B31&lt;=0,'01_설정'!B32="",'01_설정'!B32&lt;=0),"",MAX(0,(1-Y546/'01_설정'!B32))*'01_설정'!B31)</f>
        <v/>
      </c>
    </row>
    <row r="547" ht="17.25" customHeight="1">
      <c r="A547" s="152">
        <f>IF(INDEX('04A_국토부원자료'!$A:$A,ROW()+1)="","",ROW()-3)</f>
        <v/>
      </c>
      <c r="B547" s="48">
        <f>IFERROR(INDEX('04A_국토부원자료'!$A:$T,ROW()+1,MATCH("시군구",'04A_국토부원자료'!$A$4:$T$4,0)),"")</f>
        <v/>
      </c>
      <c r="C547" s="48">
        <f>IF(B547="","",IFERROR(INDEX('04A_국토부원자료'!$A:$T,ROW()+1,MATCH("번지",'04A_국토부원자료'!$A$4:$T$4,0)),""))</f>
        <v/>
      </c>
      <c r="D547" s="48">
        <f>IF(B547="","",IF(Q547=1,'02_대상물건입력'!$B$8,IFERROR(INDEX('04A_국토부원자료'!$A:$T,ROW()+1,MATCH("단지명",'04A_국토부원자료'!$A$4:$T$4,0)),"")))</f>
        <v/>
      </c>
      <c r="E547" s="172">
        <f>IFERROR(VALUE(SUBSTITUTE(INDEX('04A_국토부원자료'!$A:$T,ROW()+1,MATCH("전용면적(㎡)",'04A_국토부원자료'!$A$4:$T$4,0)),",","")),"")</f>
        <v/>
      </c>
      <c r="F5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47" s="51">
        <f>IFERROR(VALUE(SUBSTITUTE(INDEX('04A_국토부원자료'!$A:$T,ROW()+1,MATCH("거래금액(만원)",'04A_국토부원자료'!$A$4:$T$4,0)),",","")),"")</f>
        <v/>
      </c>
      <c r="H547" s="174">
        <f>IF(G547="","",G547*10000)</f>
        <v/>
      </c>
      <c r="I547" s="174">
        <f>IFERROR(IF(AND(H547&gt;0,E547&gt;0),H547/E547,""),"")</f>
        <v/>
      </c>
      <c r="J547" s="152">
        <f>IFERROR(VALUE(SUBSTITUTE(INDEX('04A_국토부원자료'!$A:$T,ROW()+1,MATCH("층",'04A_국토부원자료'!$A$4:$T$4,0)),",","")),"")</f>
        <v/>
      </c>
      <c r="K547" s="152">
        <f>IFERROR(VALUE(SUBSTITUTE(INDEX('04A_국토부원자료'!$A:$T,ROW()+1,MATCH("건축년도",'04A_국토부원자료'!$A$4:$T$4,0)),",","")),"")</f>
        <v/>
      </c>
      <c r="L547" s="176">
        <f>IFERROR(INDEX('04A_국토부원자료'!$A:$T,ROW()+1,MATCH("도로명",'04A_국토부원자료'!$A$4:$T$4,0)),"")</f>
        <v/>
      </c>
      <c r="M547" s="48">
        <f>IFERROR(INDEX('04A_국토부원자료'!$A:$T,ROW()+1,MATCH("거래유형",'04A_국토부원자료'!$A$4:$T$4,0)),"")</f>
        <v/>
      </c>
      <c r="N547" s="152">
        <f>IF(B547="","",IF('02_대상물건입력'!B5="",1,IF(ISNUMBER(SEARCH('02_대상물건입력'!B5,B547)),1,0)))</f>
        <v/>
      </c>
      <c r="O547" s="152">
        <f>IF(B547="","",IF('02_대상물건입력'!B6="",1,IF(ISNUMBER(SEARCH('02_대상물건입력'!B6,B547)),1,0)))</f>
        <v/>
      </c>
      <c r="P547" s="152">
        <f>IF(L547="","",IF('02_대상물건입력'!B15="",0,IF(ISNUMBER(SEARCH('02_대상물건입력'!B15,L547)),1,0)))</f>
        <v/>
      </c>
      <c r="Q547" s="152">
        <f>IF(OR(C547="",L547=""),0,IF(AND(TRIM(C547)=TRIM(RIGHT(SUBSTITUTE(TRIM('02_대상물건입력'!$B$7)," ",REPT(" ",99)),99)),IF('02_대상물건입력'!B15="",TRUE(),ISNUMBER(SEARCH('02_대상물건입력'!B15,L547)))),1,0))</f>
        <v/>
      </c>
      <c r="R547" s="175">
        <f>IFERROR(ABS(E547-'02_대상물건입력'!B11)/'02_대상물건입력'!B11,"")</f>
        <v/>
      </c>
      <c r="S547" s="152">
        <f>IFERROR(ABS(J547-'02_대상물건입력'!B10),"")</f>
        <v/>
      </c>
      <c r="T547" s="152">
        <f>IFERROR(ABS('01_설정'!B4-F547),"")</f>
        <v/>
      </c>
      <c r="U547" s="152">
        <f>IFERROR(ABS(K547-YEAR('02_대상물건입력'!B14)),"")</f>
        <v/>
      </c>
      <c r="V547" s="152">
        <f>IF(B547="","",IF(AND(E547&gt;0,F547&gt;0,H547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547=1,TRUE()),R547&lt;='01_설정'!B5,S547&lt;='01_설정'!B6,T547&lt;='01_설정'!B7,U547&lt;='01_설정'!B8),"Y",""))</f>
        <v/>
      </c>
      <c r="W547" s="172">
        <f>IF(V547&lt;&gt;"Y","",MAX(0,(1-R547/'01_설정'!B5))*'01_설정'!B14+MAX(0,(1-S547/'01_설정'!B6))*'01_설정'!B15+MAX(0,(1-T547/'01_설정'!B7))*'01_설정'!B16+MAX(0,(1-U547/'01_설정'!B8))*'01_설정'!B17+O547*'01_설정'!B11+Q547*'01_설정'!B12+P547*'01_설정'!B13+IF(Z547="",0,Z547))</f>
        <v/>
      </c>
      <c r="X547" s="152">
        <f>IF(W547="","",1+COUNTIFS($W$4:$W$3003,"&gt;"&amp;W547)+COUNTIFS($W$4:W547,W547)-1)</f>
        <v/>
      </c>
      <c r="Y547" s="175">
        <f>IF(OR(I547="",'02_대상물건입력'!B19="",'02_대상물건입력'!B19&lt;=0),"",ABS(I547-'02_대상물건입력'!B19)/'02_대상물건입력'!B19)</f>
        <v/>
      </c>
      <c r="Z547" s="172">
        <f>IF(OR(Y547="",'01_설정'!B31="",'01_설정'!B31&lt;=0,'01_설정'!B32="",'01_설정'!B32&lt;=0),"",MAX(0,(1-Y547/'01_설정'!B32))*'01_설정'!B31)</f>
        <v/>
      </c>
    </row>
    <row r="548" ht="17.25" customHeight="1">
      <c r="A548" s="152">
        <f>IF(INDEX('04A_국토부원자료'!$A:$A,ROW()+1)="","",ROW()-3)</f>
        <v/>
      </c>
      <c r="B548" s="48">
        <f>IFERROR(INDEX('04A_국토부원자료'!$A:$T,ROW()+1,MATCH("시군구",'04A_국토부원자료'!$A$4:$T$4,0)),"")</f>
        <v/>
      </c>
      <c r="C548" s="48">
        <f>IF(B548="","",IFERROR(INDEX('04A_국토부원자료'!$A:$T,ROW()+1,MATCH("번지",'04A_국토부원자료'!$A$4:$T$4,0)),""))</f>
        <v/>
      </c>
      <c r="D548" s="48">
        <f>IF(B548="","",IF(Q548=1,'02_대상물건입력'!$B$8,IFERROR(INDEX('04A_국토부원자료'!$A:$T,ROW()+1,MATCH("단지명",'04A_국토부원자료'!$A$4:$T$4,0)),"")))</f>
        <v/>
      </c>
      <c r="E548" s="172">
        <f>IFERROR(VALUE(SUBSTITUTE(INDEX('04A_국토부원자료'!$A:$T,ROW()+1,MATCH("전용면적(㎡)",'04A_국토부원자료'!$A$4:$T$4,0)),",","")),"")</f>
        <v/>
      </c>
      <c r="F5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48" s="51">
        <f>IFERROR(VALUE(SUBSTITUTE(INDEX('04A_국토부원자료'!$A:$T,ROW()+1,MATCH("거래금액(만원)",'04A_국토부원자료'!$A$4:$T$4,0)),",","")),"")</f>
        <v/>
      </c>
      <c r="H548" s="174">
        <f>IF(G548="","",G548*10000)</f>
        <v/>
      </c>
      <c r="I548" s="174">
        <f>IFERROR(IF(AND(H548&gt;0,E548&gt;0),H548/E548,""),"")</f>
        <v/>
      </c>
      <c r="J548" s="152">
        <f>IFERROR(VALUE(SUBSTITUTE(INDEX('04A_국토부원자료'!$A:$T,ROW()+1,MATCH("층",'04A_국토부원자료'!$A$4:$T$4,0)),",","")),"")</f>
        <v/>
      </c>
      <c r="K548" s="152">
        <f>IFERROR(VALUE(SUBSTITUTE(INDEX('04A_국토부원자료'!$A:$T,ROW()+1,MATCH("건축년도",'04A_국토부원자료'!$A$4:$T$4,0)),",","")),"")</f>
        <v/>
      </c>
      <c r="L548" s="176">
        <f>IFERROR(INDEX('04A_국토부원자료'!$A:$T,ROW()+1,MATCH("도로명",'04A_국토부원자료'!$A$4:$T$4,0)),"")</f>
        <v/>
      </c>
      <c r="M548" s="48">
        <f>IFERROR(INDEX('04A_국토부원자료'!$A:$T,ROW()+1,MATCH("거래유형",'04A_국토부원자료'!$A$4:$T$4,0)),"")</f>
        <v/>
      </c>
      <c r="N548" s="152">
        <f>IF(B548="","",IF('02_대상물건입력'!B5="",1,IF(ISNUMBER(SEARCH('02_대상물건입력'!B5,B548)),1,0)))</f>
        <v/>
      </c>
      <c r="O548" s="152">
        <f>IF(B548="","",IF('02_대상물건입력'!B6="",1,IF(ISNUMBER(SEARCH('02_대상물건입력'!B6,B548)),1,0)))</f>
        <v/>
      </c>
      <c r="P548" s="152">
        <f>IF(L548="","",IF('02_대상물건입력'!B15="",0,IF(ISNUMBER(SEARCH('02_대상물건입력'!B15,L548)),1,0)))</f>
        <v/>
      </c>
      <c r="Q548" s="152">
        <f>IF(OR(C548="",L548=""),0,IF(AND(TRIM(C548)=TRIM(RIGHT(SUBSTITUTE(TRIM('02_대상물건입력'!$B$7)," ",REPT(" ",99)),99)),IF('02_대상물건입력'!B15="",TRUE(),ISNUMBER(SEARCH('02_대상물건입력'!B15,L548)))),1,0))</f>
        <v/>
      </c>
      <c r="R548" s="175">
        <f>IFERROR(ABS(E548-'02_대상물건입력'!B11)/'02_대상물건입력'!B11,"")</f>
        <v/>
      </c>
      <c r="S548" s="152">
        <f>IFERROR(ABS(J548-'02_대상물건입력'!B10),"")</f>
        <v/>
      </c>
      <c r="T548" s="152">
        <f>IFERROR(ABS('01_설정'!B4-F548),"")</f>
        <v/>
      </c>
      <c r="U548" s="152">
        <f>IFERROR(ABS(K548-YEAR('02_대상물건입력'!B14)),"")</f>
        <v/>
      </c>
      <c r="V548" s="152">
        <f>IF(B548="","",IF(AND(E548&gt;0,F548&gt;0,H548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548=1,TRUE()),R548&lt;='01_설정'!B5,S548&lt;='01_설정'!B6,T548&lt;='01_설정'!B7,U548&lt;='01_설정'!B8),"Y",""))</f>
        <v/>
      </c>
      <c r="W548" s="172">
        <f>IF(V548&lt;&gt;"Y","",MAX(0,(1-R548/'01_설정'!B5))*'01_설정'!B14+MAX(0,(1-S548/'01_설정'!B6))*'01_설정'!B15+MAX(0,(1-T548/'01_설정'!B7))*'01_설정'!B16+MAX(0,(1-U548/'01_설정'!B8))*'01_설정'!B17+O548*'01_설정'!B11+Q548*'01_설정'!B12+P548*'01_설정'!B13+IF(Z548="",0,Z548))</f>
        <v/>
      </c>
      <c r="X548" s="152">
        <f>IF(W548="","",1+COUNTIFS($W$4:$W$3003,"&gt;"&amp;W548)+COUNTIFS($W$4:W548,W548)-1)</f>
        <v/>
      </c>
      <c r="Y548" s="175">
        <f>IF(OR(I548="",'02_대상물건입력'!B19="",'02_대상물건입력'!B19&lt;=0),"",ABS(I548-'02_대상물건입력'!B19)/'02_대상물건입력'!B19)</f>
        <v/>
      </c>
      <c r="Z548" s="172">
        <f>IF(OR(Y548="",'01_설정'!B31="",'01_설정'!B31&lt;=0,'01_설정'!B32="",'01_설정'!B32&lt;=0),"",MAX(0,(1-Y548/'01_설정'!B32))*'01_설정'!B31)</f>
        <v/>
      </c>
    </row>
    <row r="549" ht="17.25" customHeight="1">
      <c r="A549" s="152">
        <f>IF(INDEX('04A_국토부원자료'!$A:$A,ROW()+1)="","",ROW()-3)</f>
        <v/>
      </c>
      <c r="B549" s="48">
        <f>IFERROR(INDEX('04A_국토부원자료'!$A:$T,ROW()+1,MATCH("시군구",'04A_국토부원자료'!$A$4:$T$4,0)),"")</f>
        <v/>
      </c>
      <c r="C549" s="48">
        <f>IF(B549="","",IFERROR(INDEX('04A_국토부원자료'!$A:$T,ROW()+1,MATCH("번지",'04A_국토부원자료'!$A$4:$T$4,0)),""))</f>
        <v/>
      </c>
      <c r="D549" s="48">
        <f>IF(B549="","",IF(Q549=1,'02_대상물건입력'!$B$8,IFERROR(INDEX('04A_국토부원자료'!$A:$T,ROW()+1,MATCH("단지명",'04A_국토부원자료'!$A$4:$T$4,0)),"")))</f>
        <v/>
      </c>
      <c r="E549" s="172">
        <f>IFERROR(VALUE(SUBSTITUTE(INDEX('04A_국토부원자료'!$A:$T,ROW()+1,MATCH("전용면적(㎡)",'04A_국토부원자료'!$A$4:$T$4,0)),",","")),"")</f>
        <v/>
      </c>
      <c r="F5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49" s="51">
        <f>IFERROR(VALUE(SUBSTITUTE(INDEX('04A_국토부원자료'!$A:$T,ROW()+1,MATCH("거래금액(만원)",'04A_국토부원자료'!$A$4:$T$4,0)),",","")),"")</f>
        <v/>
      </c>
      <c r="H549" s="174">
        <f>IF(G549="","",G549*10000)</f>
        <v/>
      </c>
      <c r="I549" s="174">
        <f>IFERROR(IF(AND(H549&gt;0,E549&gt;0),H549/E549,""),"")</f>
        <v/>
      </c>
      <c r="J549" s="152">
        <f>IFERROR(VALUE(SUBSTITUTE(INDEX('04A_국토부원자료'!$A:$T,ROW()+1,MATCH("층",'04A_국토부원자료'!$A$4:$T$4,0)),",","")),"")</f>
        <v/>
      </c>
      <c r="K549" s="152">
        <f>IFERROR(VALUE(SUBSTITUTE(INDEX('04A_국토부원자료'!$A:$T,ROW()+1,MATCH("건축년도",'04A_국토부원자료'!$A$4:$T$4,0)),",","")),"")</f>
        <v/>
      </c>
      <c r="L549" s="176">
        <f>IFERROR(INDEX('04A_국토부원자료'!$A:$T,ROW()+1,MATCH("도로명",'04A_국토부원자료'!$A$4:$T$4,0)),"")</f>
        <v/>
      </c>
      <c r="M549" s="48">
        <f>IFERROR(INDEX('04A_국토부원자료'!$A:$T,ROW()+1,MATCH("거래유형",'04A_국토부원자료'!$A$4:$T$4,0)),"")</f>
        <v/>
      </c>
      <c r="N549" s="152">
        <f>IF(B549="","",IF('02_대상물건입력'!B5="",1,IF(ISNUMBER(SEARCH('02_대상물건입력'!B5,B549)),1,0)))</f>
        <v/>
      </c>
      <c r="O549" s="152">
        <f>IF(B549="","",IF('02_대상물건입력'!B6="",1,IF(ISNUMBER(SEARCH('02_대상물건입력'!B6,B549)),1,0)))</f>
        <v/>
      </c>
      <c r="P549" s="152">
        <f>IF(L549="","",IF('02_대상물건입력'!B15="",0,IF(ISNUMBER(SEARCH('02_대상물건입력'!B15,L549)),1,0)))</f>
        <v/>
      </c>
      <c r="Q549" s="152">
        <f>IF(OR(C549="",L549=""),0,IF(AND(TRIM(C549)=TRIM(RIGHT(SUBSTITUTE(TRIM('02_대상물건입력'!$B$7)," ",REPT(" ",99)),99)),IF('02_대상물건입력'!B15="",TRUE(),ISNUMBER(SEARCH('02_대상물건입력'!B15,L549)))),1,0))</f>
        <v/>
      </c>
      <c r="R549" s="175">
        <f>IFERROR(ABS(E549-'02_대상물건입력'!B11)/'02_대상물건입력'!B11,"")</f>
        <v/>
      </c>
      <c r="S549" s="152">
        <f>IFERROR(ABS(J549-'02_대상물건입력'!B10),"")</f>
        <v/>
      </c>
      <c r="T549" s="152">
        <f>IFERROR(ABS('01_설정'!B4-F549),"")</f>
        <v/>
      </c>
      <c r="U549" s="152">
        <f>IFERROR(ABS(K549-YEAR('02_대상물건입력'!B14)),"")</f>
        <v/>
      </c>
      <c r="V549" s="152">
        <f>IF(B549="","",IF(AND(E549&gt;0,F549&gt;0,H549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549=1,TRUE()),R549&lt;='01_설정'!B5,S549&lt;='01_설정'!B6,T549&lt;='01_설정'!B7,U549&lt;='01_설정'!B8),"Y",""))</f>
        <v/>
      </c>
      <c r="W549" s="172">
        <f>IF(V549&lt;&gt;"Y","",MAX(0,(1-R549/'01_설정'!B5))*'01_설정'!B14+MAX(0,(1-S549/'01_설정'!B6))*'01_설정'!B15+MAX(0,(1-T549/'01_설정'!B7))*'01_설정'!B16+MAX(0,(1-U549/'01_설정'!B8))*'01_설정'!B17+O549*'01_설정'!B11+Q549*'01_설정'!B12+P549*'01_설정'!B13+IF(Z549="",0,Z549))</f>
        <v/>
      </c>
      <c r="X549" s="152">
        <f>IF(W549="","",1+COUNTIFS($W$4:$W$3003,"&gt;"&amp;W549)+COUNTIFS($W$4:W549,W549)-1)</f>
        <v/>
      </c>
      <c r="Y549" s="175">
        <f>IF(OR(I549="",'02_대상물건입력'!B19="",'02_대상물건입력'!B19&lt;=0),"",ABS(I549-'02_대상물건입력'!B19)/'02_대상물건입력'!B19)</f>
        <v/>
      </c>
      <c r="Z549" s="172">
        <f>IF(OR(Y549="",'01_설정'!B31="",'01_설정'!B31&lt;=0,'01_설정'!B32="",'01_설정'!B32&lt;=0),"",MAX(0,(1-Y549/'01_설정'!B32))*'01_설정'!B31)</f>
        <v/>
      </c>
    </row>
    <row r="550" ht="17.25" customHeight="1">
      <c r="A550" s="152">
        <f>IF(INDEX('04A_국토부원자료'!$A:$A,ROW()+1)="","",ROW()-3)</f>
        <v/>
      </c>
      <c r="B550" s="48">
        <f>IFERROR(INDEX('04A_국토부원자료'!$A:$T,ROW()+1,MATCH("시군구",'04A_국토부원자료'!$A$4:$T$4,0)),"")</f>
        <v/>
      </c>
      <c r="C550" s="48">
        <f>IF(B550="","",IFERROR(INDEX('04A_국토부원자료'!$A:$T,ROW()+1,MATCH("번지",'04A_국토부원자료'!$A$4:$T$4,0)),""))</f>
        <v/>
      </c>
      <c r="D550" s="48">
        <f>IF(B550="","",IF(Q550=1,'02_대상물건입력'!$B$8,IFERROR(INDEX('04A_국토부원자료'!$A:$T,ROW()+1,MATCH("단지명",'04A_국토부원자료'!$A$4:$T$4,0)),"")))</f>
        <v/>
      </c>
      <c r="E550" s="172">
        <f>IFERROR(VALUE(SUBSTITUTE(INDEX('04A_국토부원자료'!$A:$T,ROW()+1,MATCH("전용면적(㎡)",'04A_국토부원자료'!$A$4:$T$4,0)),",","")),"")</f>
        <v/>
      </c>
      <c r="F5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50" s="51">
        <f>IFERROR(VALUE(SUBSTITUTE(INDEX('04A_국토부원자료'!$A:$T,ROW()+1,MATCH("거래금액(만원)",'04A_국토부원자료'!$A$4:$T$4,0)),",","")),"")</f>
        <v/>
      </c>
      <c r="H550" s="174">
        <f>IF(G550="","",G550*10000)</f>
        <v/>
      </c>
      <c r="I550" s="174">
        <f>IFERROR(IF(AND(H550&gt;0,E550&gt;0),H550/E550,""),"")</f>
        <v/>
      </c>
      <c r="J550" s="152">
        <f>IFERROR(VALUE(SUBSTITUTE(INDEX('04A_국토부원자료'!$A:$T,ROW()+1,MATCH("층",'04A_국토부원자료'!$A$4:$T$4,0)),",","")),"")</f>
        <v/>
      </c>
      <c r="K550" s="152">
        <f>IFERROR(VALUE(SUBSTITUTE(INDEX('04A_국토부원자료'!$A:$T,ROW()+1,MATCH("건축년도",'04A_국토부원자료'!$A$4:$T$4,0)),",","")),"")</f>
        <v/>
      </c>
      <c r="L550" s="176">
        <f>IFERROR(INDEX('04A_국토부원자료'!$A:$T,ROW()+1,MATCH("도로명",'04A_국토부원자료'!$A$4:$T$4,0)),"")</f>
        <v/>
      </c>
      <c r="M550" s="48">
        <f>IFERROR(INDEX('04A_국토부원자료'!$A:$T,ROW()+1,MATCH("거래유형",'04A_국토부원자료'!$A$4:$T$4,0)),"")</f>
        <v/>
      </c>
      <c r="N550" s="152">
        <f>IF(B550="","",IF('02_대상물건입력'!B5="",1,IF(ISNUMBER(SEARCH('02_대상물건입력'!B5,B550)),1,0)))</f>
        <v/>
      </c>
      <c r="O550" s="152">
        <f>IF(B550="","",IF('02_대상물건입력'!B6="",1,IF(ISNUMBER(SEARCH('02_대상물건입력'!B6,B550)),1,0)))</f>
        <v/>
      </c>
      <c r="P550" s="152">
        <f>IF(L550="","",IF('02_대상물건입력'!B15="",0,IF(ISNUMBER(SEARCH('02_대상물건입력'!B15,L550)),1,0)))</f>
        <v/>
      </c>
      <c r="Q550" s="152">
        <f>IF(OR(C550="",L550=""),0,IF(AND(TRIM(C550)=TRIM(RIGHT(SUBSTITUTE(TRIM('02_대상물건입력'!$B$7)," ",REPT(" ",99)),99)),IF('02_대상물건입력'!B15="",TRUE(),ISNUMBER(SEARCH('02_대상물건입력'!B15,L550)))),1,0))</f>
        <v/>
      </c>
      <c r="R550" s="175">
        <f>IFERROR(ABS(E550-'02_대상물건입력'!B11)/'02_대상물건입력'!B11,"")</f>
        <v/>
      </c>
      <c r="S550" s="152">
        <f>IFERROR(ABS(J550-'02_대상물건입력'!B10),"")</f>
        <v/>
      </c>
      <c r="T550" s="152">
        <f>IFERROR(ABS('01_설정'!B4-F550),"")</f>
        <v/>
      </c>
      <c r="U550" s="152">
        <f>IFERROR(ABS(K550-YEAR('02_대상물건입력'!B14)),"")</f>
        <v/>
      </c>
      <c r="V550" s="152">
        <f>IF(B550="","",IF(AND(E550&gt;0,F550&gt;0,H550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550=1,TRUE()),R550&lt;='01_설정'!B5,S550&lt;='01_설정'!B6,T550&lt;='01_설정'!B7,U550&lt;='01_설정'!B8),"Y",""))</f>
        <v/>
      </c>
      <c r="W550" s="172">
        <f>IF(V550&lt;&gt;"Y","",MAX(0,(1-R550/'01_설정'!B5))*'01_설정'!B14+MAX(0,(1-S550/'01_설정'!B6))*'01_설정'!B15+MAX(0,(1-T550/'01_설정'!B7))*'01_설정'!B16+MAX(0,(1-U550/'01_설정'!B8))*'01_설정'!B17+O550*'01_설정'!B11+Q550*'01_설정'!B12+P550*'01_설정'!B13+IF(Z550="",0,Z550))</f>
        <v/>
      </c>
      <c r="X550" s="152">
        <f>IF(W550="","",1+COUNTIFS($W$4:$W$3003,"&gt;"&amp;W550)+COUNTIFS($W$4:W550,W550)-1)</f>
        <v/>
      </c>
      <c r="Y550" s="175">
        <f>IF(OR(I550="",'02_대상물건입력'!B19="",'02_대상물건입력'!B19&lt;=0),"",ABS(I550-'02_대상물건입력'!B19)/'02_대상물건입력'!B19)</f>
        <v/>
      </c>
      <c r="Z550" s="172">
        <f>IF(OR(Y550="",'01_설정'!B31="",'01_설정'!B31&lt;=0,'01_설정'!B32="",'01_설정'!B32&lt;=0),"",MAX(0,(1-Y550/'01_설정'!B32))*'01_설정'!B31)</f>
        <v/>
      </c>
    </row>
    <row r="551" ht="17.25" customHeight="1">
      <c r="A551" s="152">
        <f>IF(INDEX('04A_국토부원자료'!$A:$A,ROW()+1)="","",ROW()-3)</f>
        <v/>
      </c>
      <c r="B551" s="48">
        <f>IFERROR(INDEX('04A_국토부원자료'!$A:$T,ROW()+1,MATCH("시군구",'04A_국토부원자료'!$A$4:$T$4,0)),"")</f>
        <v/>
      </c>
      <c r="C551" s="48">
        <f>IF(B551="","",IFERROR(INDEX('04A_국토부원자료'!$A:$T,ROW()+1,MATCH("번지",'04A_국토부원자료'!$A$4:$T$4,0)),""))</f>
        <v/>
      </c>
      <c r="D551" s="48">
        <f>IF(B551="","",IF(Q551=1,'02_대상물건입력'!$B$8,IFERROR(INDEX('04A_국토부원자료'!$A:$T,ROW()+1,MATCH("단지명",'04A_국토부원자료'!$A$4:$T$4,0)),"")))</f>
        <v/>
      </c>
      <c r="E551" s="172">
        <f>IFERROR(VALUE(SUBSTITUTE(INDEX('04A_국토부원자료'!$A:$T,ROW()+1,MATCH("전용면적(㎡)",'04A_국토부원자료'!$A$4:$T$4,0)),",","")),"")</f>
        <v/>
      </c>
      <c r="F5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51" s="51">
        <f>IFERROR(VALUE(SUBSTITUTE(INDEX('04A_국토부원자료'!$A:$T,ROW()+1,MATCH("거래금액(만원)",'04A_국토부원자료'!$A$4:$T$4,0)),",","")),"")</f>
        <v/>
      </c>
      <c r="H551" s="174">
        <f>IF(G551="","",G551*10000)</f>
        <v/>
      </c>
      <c r="I551" s="174">
        <f>IFERROR(IF(AND(H551&gt;0,E551&gt;0),H551/E551,""),"")</f>
        <v/>
      </c>
      <c r="J551" s="152">
        <f>IFERROR(VALUE(SUBSTITUTE(INDEX('04A_국토부원자료'!$A:$T,ROW()+1,MATCH("층",'04A_국토부원자료'!$A$4:$T$4,0)),",","")),"")</f>
        <v/>
      </c>
      <c r="K551" s="152">
        <f>IFERROR(VALUE(SUBSTITUTE(INDEX('04A_국토부원자료'!$A:$T,ROW()+1,MATCH("건축년도",'04A_국토부원자료'!$A$4:$T$4,0)),",","")),"")</f>
        <v/>
      </c>
      <c r="L551" s="176">
        <f>IFERROR(INDEX('04A_국토부원자료'!$A:$T,ROW()+1,MATCH("도로명",'04A_국토부원자료'!$A$4:$T$4,0)),"")</f>
        <v/>
      </c>
      <c r="M551" s="48">
        <f>IFERROR(INDEX('04A_국토부원자료'!$A:$T,ROW()+1,MATCH("거래유형",'04A_국토부원자료'!$A$4:$T$4,0)),"")</f>
        <v/>
      </c>
      <c r="N551" s="152">
        <f>IF(B551="","",IF('02_대상물건입력'!B5="",1,IF(ISNUMBER(SEARCH('02_대상물건입력'!B5,B551)),1,0)))</f>
        <v/>
      </c>
      <c r="O551" s="152">
        <f>IF(B551="","",IF('02_대상물건입력'!B6="",1,IF(ISNUMBER(SEARCH('02_대상물건입력'!B6,B551)),1,0)))</f>
        <v/>
      </c>
      <c r="P551" s="152">
        <f>IF(L551="","",IF('02_대상물건입력'!B15="",0,IF(ISNUMBER(SEARCH('02_대상물건입력'!B15,L551)),1,0)))</f>
        <v/>
      </c>
      <c r="Q551" s="152">
        <f>IF(OR(C551="",L551=""),0,IF(AND(TRIM(C551)=TRIM(RIGHT(SUBSTITUTE(TRIM('02_대상물건입력'!$B$7)," ",REPT(" ",99)),99)),IF('02_대상물건입력'!B15="",TRUE(),ISNUMBER(SEARCH('02_대상물건입력'!B15,L551)))),1,0))</f>
        <v/>
      </c>
      <c r="R551" s="175">
        <f>IFERROR(ABS(E551-'02_대상물건입력'!B11)/'02_대상물건입력'!B11,"")</f>
        <v/>
      </c>
      <c r="S551" s="152">
        <f>IFERROR(ABS(J551-'02_대상물건입력'!B10),"")</f>
        <v/>
      </c>
      <c r="T551" s="152">
        <f>IFERROR(ABS('01_설정'!B4-F551),"")</f>
        <v/>
      </c>
      <c r="U551" s="152">
        <f>IFERROR(ABS(K551-YEAR('02_대상물건입력'!B14)),"")</f>
        <v/>
      </c>
      <c r="V551" s="152">
        <f>IF(B551="","",IF(AND(E551&gt;0,F551&gt;0,H551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551=1,TRUE()),R551&lt;='01_설정'!B5,S551&lt;='01_설정'!B6,T551&lt;='01_설정'!B7,U551&lt;='01_설정'!B8),"Y",""))</f>
        <v/>
      </c>
      <c r="W551" s="172">
        <f>IF(V551&lt;&gt;"Y","",MAX(0,(1-R551/'01_설정'!B5))*'01_설정'!B14+MAX(0,(1-S551/'01_설정'!B6))*'01_설정'!B15+MAX(0,(1-T551/'01_설정'!B7))*'01_설정'!B16+MAX(0,(1-U551/'01_설정'!B8))*'01_설정'!B17+O551*'01_설정'!B11+Q551*'01_설정'!B12+P551*'01_설정'!B13+IF(Z551="",0,Z551))</f>
        <v/>
      </c>
      <c r="X551" s="152">
        <f>IF(W551="","",1+COUNTIFS($W$4:$W$3003,"&gt;"&amp;W551)+COUNTIFS($W$4:W551,W551)-1)</f>
        <v/>
      </c>
      <c r="Y551" s="175">
        <f>IF(OR(I551="",'02_대상물건입력'!B19="",'02_대상물건입력'!B19&lt;=0),"",ABS(I551-'02_대상물건입력'!B19)/'02_대상물건입력'!B19)</f>
        <v/>
      </c>
      <c r="Z551" s="172">
        <f>IF(OR(Y551="",'01_설정'!B31="",'01_설정'!B31&lt;=0,'01_설정'!B32="",'01_설정'!B32&lt;=0),"",MAX(0,(1-Y551/'01_설정'!B32))*'01_설정'!B31)</f>
        <v/>
      </c>
    </row>
    <row r="552" ht="17.25" customHeight="1">
      <c r="A552" s="152">
        <f>IF(INDEX('04A_국토부원자료'!$A:$A,ROW()+1)="","",ROW()-3)</f>
        <v/>
      </c>
      <c r="B552" s="48">
        <f>IFERROR(INDEX('04A_국토부원자료'!$A:$T,ROW()+1,MATCH("시군구",'04A_국토부원자료'!$A$4:$T$4,0)),"")</f>
        <v/>
      </c>
      <c r="C552" s="48">
        <f>IF(B552="","",IFERROR(INDEX('04A_국토부원자료'!$A:$T,ROW()+1,MATCH("번지",'04A_국토부원자료'!$A$4:$T$4,0)),""))</f>
        <v/>
      </c>
      <c r="D552" s="48">
        <f>IF(B552="","",IF(Q552=1,'02_대상물건입력'!$B$8,IFERROR(INDEX('04A_국토부원자료'!$A:$T,ROW()+1,MATCH("단지명",'04A_국토부원자료'!$A$4:$T$4,0)),"")))</f>
        <v/>
      </c>
      <c r="E552" s="172">
        <f>IFERROR(VALUE(SUBSTITUTE(INDEX('04A_국토부원자료'!$A:$T,ROW()+1,MATCH("전용면적(㎡)",'04A_국토부원자료'!$A$4:$T$4,0)),",","")),"")</f>
        <v/>
      </c>
      <c r="F5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52" s="51">
        <f>IFERROR(VALUE(SUBSTITUTE(INDEX('04A_국토부원자료'!$A:$T,ROW()+1,MATCH("거래금액(만원)",'04A_국토부원자료'!$A$4:$T$4,0)),",","")),"")</f>
        <v/>
      </c>
      <c r="H552" s="174">
        <f>IF(G552="","",G552*10000)</f>
        <v/>
      </c>
      <c r="I552" s="174">
        <f>IFERROR(IF(AND(H552&gt;0,E552&gt;0),H552/E552,""),"")</f>
        <v/>
      </c>
      <c r="J552" s="152">
        <f>IFERROR(VALUE(SUBSTITUTE(INDEX('04A_국토부원자료'!$A:$T,ROW()+1,MATCH("층",'04A_국토부원자료'!$A$4:$T$4,0)),",","")),"")</f>
        <v/>
      </c>
      <c r="K552" s="152">
        <f>IFERROR(VALUE(SUBSTITUTE(INDEX('04A_국토부원자료'!$A:$T,ROW()+1,MATCH("건축년도",'04A_국토부원자료'!$A$4:$T$4,0)),",","")),"")</f>
        <v/>
      </c>
      <c r="L552" s="176">
        <f>IFERROR(INDEX('04A_국토부원자료'!$A:$T,ROW()+1,MATCH("도로명",'04A_국토부원자료'!$A$4:$T$4,0)),"")</f>
        <v/>
      </c>
      <c r="M552" s="48">
        <f>IFERROR(INDEX('04A_국토부원자료'!$A:$T,ROW()+1,MATCH("거래유형",'04A_국토부원자료'!$A$4:$T$4,0)),"")</f>
        <v/>
      </c>
      <c r="N552" s="152">
        <f>IF(B552="","",IF('02_대상물건입력'!B5="",1,IF(ISNUMBER(SEARCH('02_대상물건입력'!B5,B552)),1,0)))</f>
        <v/>
      </c>
      <c r="O552" s="152">
        <f>IF(B552="","",IF('02_대상물건입력'!B6="",1,IF(ISNUMBER(SEARCH('02_대상물건입력'!B6,B552)),1,0)))</f>
        <v/>
      </c>
      <c r="P552" s="152">
        <f>IF(L552="","",IF('02_대상물건입력'!B15="",0,IF(ISNUMBER(SEARCH('02_대상물건입력'!B15,L552)),1,0)))</f>
        <v/>
      </c>
      <c r="Q552" s="152">
        <f>IF(OR(C552="",L552=""),0,IF(AND(TRIM(C552)=TRIM(RIGHT(SUBSTITUTE(TRIM('02_대상물건입력'!$B$7)," ",REPT(" ",99)),99)),IF('02_대상물건입력'!B15="",TRUE(),ISNUMBER(SEARCH('02_대상물건입력'!B15,L552)))),1,0))</f>
        <v/>
      </c>
      <c r="R552" s="175">
        <f>IFERROR(ABS(E552-'02_대상물건입력'!B11)/'02_대상물건입력'!B11,"")</f>
        <v/>
      </c>
      <c r="S552" s="152">
        <f>IFERROR(ABS(J552-'02_대상물건입력'!B10),"")</f>
        <v/>
      </c>
      <c r="T552" s="152">
        <f>IFERROR(ABS('01_설정'!B4-F552),"")</f>
        <v/>
      </c>
      <c r="U552" s="152">
        <f>IFERROR(ABS(K552-YEAR('02_대상물건입력'!B14)),"")</f>
        <v/>
      </c>
      <c r="V552" s="152">
        <f>IF(B552="","",IF(AND(E552&gt;0,F552&gt;0,H552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552=1,TRUE()),R552&lt;='01_설정'!B5,S552&lt;='01_설정'!B6,T552&lt;='01_설정'!B7,U552&lt;='01_설정'!B8),"Y",""))</f>
        <v/>
      </c>
      <c r="W552" s="172">
        <f>IF(V552&lt;&gt;"Y","",MAX(0,(1-R552/'01_설정'!B5))*'01_설정'!B14+MAX(0,(1-S552/'01_설정'!B6))*'01_설정'!B15+MAX(0,(1-T552/'01_설정'!B7))*'01_설정'!B16+MAX(0,(1-U552/'01_설정'!B8))*'01_설정'!B17+O552*'01_설정'!B11+Q552*'01_설정'!B12+P552*'01_설정'!B13+IF(Z552="",0,Z552))</f>
        <v/>
      </c>
      <c r="X552" s="152">
        <f>IF(W552="","",1+COUNTIFS($W$4:$W$3003,"&gt;"&amp;W552)+COUNTIFS($W$4:W552,W552)-1)</f>
        <v/>
      </c>
      <c r="Y552" s="175">
        <f>IF(OR(I552="",'02_대상물건입력'!B19="",'02_대상물건입력'!B19&lt;=0),"",ABS(I552-'02_대상물건입력'!B19)/'02_대상물건입력'!B19)</f>
        <v/>
      </c>
      <c r="Z552" s="172">
        <f>IF(OR(Y552="",'01_설정'!B31="",'01_설정'!B31&lt;=0,'01_설정'!B32="",'01_설정'!B32&lt;=0),"",MAX(0,(1-Y552/'01_설정'!B32))*'01_설정'!B31)</f>
        <v/>
      </c>
    </row>
    <row r="553" ht="17.25" customHeight="1">
      <c r="A553" s="152">
        <f>IF(INDEX('04A_국토부원자료'!$A:$A,ROW()+1)="","",ROW()-3)</f>
        <v/>
      </c>
      <c r="B553" s="48">
        <f>IFERROR(INDEX('04A_국토부원자료'!$A:$T,ROW()+1,MATCH("시군구",'04A_국토부원자료'!$A$4:$T$4,0)),"")</f>
        <v/>
      </c>
      <c r="C553" s="48">
        <f>IF(B553="","",IFERROR(INDEX('04A_국토부원자료'!$A:$T,ROW()+1,MATCH("번지",'04A_국토부원자료'!$A$4:$T$4,0)),""))</f>
        <v/>
      </c>
      <c r="D553" s="48">
        <f>IF(B553="","",IF(Q553=1,'02_대상물건입력'!$B$8,IFERROR(INDEX('04A_국토부원자료'!$A:$T,ROW()+1,MATCH("단지명",'04A_국토부원자료'!$A$4:$T$4,0)),"")))</f>
        <v/>
      </c>
      <c r="E553" s="172">
        <f>IFERROR(VALUE(SUBSTITUTE(INDEX('04A_국토부원자료'!$A:$T,ROW()+1,MATCH("전용면적(㎡)",'04A_국토부원자료'!$A$4:$T$4,0)),",","")),"")</f>
        <v/>
      </c>
      <c r="F5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53" s="51">
        <f>IFERROR(VALUE(SUBSTITUTE(INDEX('04A_국토부원자료'!$A:$T,ROW()+1,MATCH("거래금액(만원)",'04A_국토부원자료'!$A$4:$T$4,0)),",","")),"")</f>
        <v/>
      </c>
      <c r="H553" s="174">
        <f>IF(G553="","",G553*10000)</f>
        <v/>
      </c>
      <c r="I553" s="174">
        <f>IFERROR(IF(AND(H553&gt;0,E553&gt;0),H553/E553,""),"")</f>
        <v/>
      </c>
      <c r="J553" s="152">
        <f>IFERROR(VALUE(SUBSTITUTE(INDEX('04A_국토부원자료'!$A:$T,ROW()+1,MATCH("층",'04A_국토부원자료'!$A$4:$T$4,0)),",","")),"")</f>
        <v/>
      </c>
      <c r="K553" s="152">
        <f>IFERROR(VALUE(SUBSTITUTE(INDEX('04A_국토부원자료'!$A:$T,ROW()+1,MATCH("건축년도",'04A_국토부원자료'!$A$4:$T$4,0)),",","")),"")</f>
        <v/>
      </c>
      <c r="L553" s="176">
        <f>IFERROR(INDEX('04A_국토부원자료'!$A:$T,ROW()+1,MATCH("도로명",'04A_국토부원자료'!$A$4:$T$4,0)),"")</f>
        <v/>
      </c>
      <c r="M553" s="48">
        <f>IFERROR(INDEX('04A_국토부원자료'!$A:$T,ROW()+1,MATCH("거래유형",'04A_국토부원자료'!$A$4:$T$4,0)),"")</f>
        <v/>
      </c>
      <c r="N553" s="152">
        <f>IF(B553="","",IF('02_대상물건입력'!B5="",1,IF(ISNUMBER(SEARCH('02_대상물건입력'!B5,B553)),1,0)))</f>
        <v/>
      </c>
      <c r="O553" s="152">
        <f>IF(B553="","",IF('02_대상물건입력'!B6="",1,IF(ISNUMBER(SEARCH('02_대상물건입력'!B6,B553)),1,0)))</f>
        <v/>
      </c>
      <c r="P553" s="152">
        <f>IF(L553="","",IF('02_대상물건입력'!B15="",0,IF(ISNUMBER(SEARCH('02_대상물건입력'!B15,L553)),1,0)))</f>
        <v/>
      </c>
      <c r="Q553" s="152">
        <f>IF(OR(C553="",L553=""),0,IF(AND(TRIM(C553)=TRIM(RIGHT(SUBSTITUTE(TRIM('02_대상물건입력'!$B$7)," ",REPT(" ",99)),99)),IF('02_대상물건입력'!B15="",TRUE(),ISNUMBER(SEARCH('02_대상물건입력'!B15,L553)))),1,0))</f>
        <v/>
      </c>
      <c r="R553" s="175">
        <f>IFERROR(ABS(E553-'02_대상물건입력'!B11)/'02_대상물건입력'!B11,"")</f>
        <v/>
      </c>
      <c r="S553" s="152">
        <f>IFERROR(ABS(J553-'02_대상물건입력'!B10),"")</f>
        <v/>
      </c>
      <c r="T553" s="152">
        <f>IFERROR(ABS('01_설정'!B4-F553),"")</f>
        <v/>
      </c>
      <c r="U553" s="152">
        <f>IFERROR(ABS(K553-YEAR('02_대상물건입력'!B14)),"")</f>
        <v/>
      </c>
      <c r="V553" s="152">
        <f>IF(B553="","",IF(AND(E553&gt;0,F553&gt;0,H553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553=1,TRUE()),R553&lt;='01_설정'!B5,S553&lt;='01_설정'!B6,T553&lt;='01_설정'!B7,U553&lt;='01_설정'!B8),"Y",""))</f>
        <v/>
      </c>
      <c r="W553" s="172">
        <f>IF(V553&lt;&gt;"Y","",MAX(0,(1-R553/'01_설정'!B5))*'01_설정'!B14+MAX(0,(1-S553/'01_설정'!B6))*'01_설정'!B15+MAX(0,(1-T553/'01_설정'!B7))*'01_설정'!B16+MAX(0,(1-U553/'01_설정'!B8))*'01_설정'!B17+O553*'01_설정'!B11+Q553*'01_설정'!B12+P553*'01_설정'!B13+IF(Z553="",0,Z553))</f>
        <v/>
      </c>
      <c r="X553" s="152">
        <f>IF(W553="","",1+COUNTIFS($W$4:$W$3003,"&gt;"&amp;W553)+COUNTIFS($W$4:W553,W553)-1)</f>
        <v/>
      </c>
      <c r="Y553" s="175">
        <f>IF(OR(I553="",'02_대상물건입력'!B19="",'02_대상물건입력'!B19&lt;=0),"",ABS(I553-'02_대상물건입력'!B19)/'02_대상물건입력'!B19)</f>
        <v/>
      </c>
      <c r="Z553" s="172">
        <f>IF(OR(Y553="",'01_설정'!B31="",'01_설정'!B31&lt;=0,'01_설정'!B32="",'01_설정'!B32&lt;=0),"",MAX(0,(1-Y553/'01_설정'!B32))*'01_설정'!B31)</f>
        <v/>
      </c>
    </row>
    <row r="554" ht="17.25" customHeight="1">
      <c r="A554" s="152">
        <f>IF(INDEX('04A_국토부원자료'!$A:$A,ROW()+1)="","",ROW()-3)</f>
        <v/>
      </c>
      <c r="B554" s="48">
        <f>IFERROR(INDEX('04A_국토부원자료'!$A:$T,ROW()+1,MATCH("시군구",'04A_국토부원자료'!$A$4:$T$4,0)),"")</f>
        <v/>
      </c>
      <c r="C554" s="48">
        <f>IF(B554="","",IFERROR(INDEX('04A_국토부원자료'!$A:$T,ROW()+1,MATCH("번지",'04A_국토부원자료'!$A$4:$T$4,0)),""))</f>
        <v/>
      </c>
      <c r="D554" s="48">
        <f>IF(B554="","",IF(Q554=1,'02_대상물건입력'!$B$8,IFERROR(INDEX('04A_국토부원자료'!$A:$T,ROW()+1,MATCH("단지명",'04A_국토부원자료'!$A$4:$T$4,0)),"")))</f>
        <v/>
      </c>
      <c r="E554" s="172">
        <f>IFERROR(VALUE(SUBSTITUTE(INDEX('04A_국토부원자료'!$A:$T,ROW()+1,MATCH("전용면적(㎡)",'04A_국토부원자료'!$A$4:$T$4,0)),",","")),"")</f>
        <v/>
      </c>
      <c r="F5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54" s="51">
        <f>IFERROR(VALUE(SUBSTITUTE(INDEX('04A_국토부원자료'!$A:$T,ROW()+1,MATCH("거래금액(만원)",'04A_국토부원자료'!$A$4:$T$4,0)),",","")),"")</f>
        <v/>
      </c>
      <c r="H554" s="174">
        <f>IF(G554="","",G554*10000)</f>
        <v/>
      </c>
      <c r="I554" s="174">
        <f>IFERROR(IF(AND(H554&gt;0,E554&gt;0),H554/E554,""),"")</f>
        <v/>
      </c>
      <c r="J554" s="152">
        <f>IFERROR(VALUE(SUBSTITUTE(INDEX('04A_국토부원자료'!$A:$T,ROW()+1,MATCH("층",'04A_국토부원자료'!$A$4:$T$4,0)),",","")),"")</f>
        <v/>
      </c>
      <c r="K554" s="152">
        <f>IFERROR(VALUE(SUBSTITUTE(INDEX('04A_국토부원자료'!$A:$T,ROW()+1,MATCH("건축년도",'04A_국토부원자료'!$A$4:$T$4,0)),",","")),"")</f>
        <v/>
      </c>
      <c r="L554" s="176">
        <f>IFERROR(INDEX('04A_국토부원자료'!$A:$T,ROW()+1,MATCH("도로명",'04A_국토부원자료'!$A$4:$T$4,0)),"")</f>
        <v/>
      </c>
      <c r="M554" s="48">
        <f>IFERROR(INDEX('04A_국토부원자료'!$A:$T,ROW()+1,MATCH("거래유형",'04A_국토부원자료'!$A$4:$T$4,0)),"")</f>
        <v/>
      </c>
      <c r="N554" s="152">
        <f>IF(B554="","",IF('02_대상물건입력'!B5="",1,IF(ISNUMBER(SEARCH('02_대상물건입력'!B5,B554)),1,0)))</f>
        <v/>
      </c>
      <c r="O554" s="152">
        <f>IF(B554="","",IF('02_대상물건입력'!B6="",1,IF(ISNUMBER(SEARCH('02_대상물건입력'!B6,B554)),1,0)))</f>
        <v/>
      </c>
      <c r="P554" s="152">
        <f>IF(L554="","",IF('02_대상물건입력'!B15="",0,IF(ISNUMBER(SEARCH('02_대상물건입력'!B15,L554)),1,0)))</f>
        <v/>
      </c>
      <c r="Q554" s="152">
        <f>IF(OR(C554="",L554=""),0,IF(AND(TRIM(C554)=TRIM(RIGHT(SUBSTITUTE(TRIM('02_대상물건입력'!$B$7)," ",REPT(" ",99)),99)),IF('02_대상물건입력'!B15="",TRUE(),ISNUMBER(SEARCH('02_대상물건입력'!B15,L554)))),1,0))</f>
        <v/>
      </c>
      <c r="R554" s="175">
        <f>IFERROR(ABS(E554-'02_대상물건입력'!B11)/'02_대상물건입력'!B11,"")</f>
        <v/>
      </c>
      <c r="S554" s="152">
        <f>IFERROR(ABS(J554-'02_대상물건입력'!B10),"")</f>
        <v/>
      </c>
      <c r="T554" s="152">
        <f>IFERROR(ABS('01_설정'!B4-F554),"")</f>
        <v/>
      </c>
      <c r="U554" s="152">
        <f>IFERROR(ABS(K554-YEAR('02_대상물건입력'!B14)),"")</f>
        <v/>
      </c>
      <c r="V554" s="152">
        <f>IF(B554="","",IF(AND(E554&gt;0,F554&gt;0,H554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554=1,TRUE()),R554&lt;='01_설정'!B5,S554&lt;='01_설정'!B6,T554&lt;='01_설정'!B7,U554&lt;='01_설정'!B8),"Y",""))</f>
        <v/>
      </c>
      <c r="W554" s="172">
        <f>IF(V554&lt;&gt;"Y","",MAX(0,(1-R554/'01_설정'!B5))*'01_설정'!B14+MAX(0,(1-S554/'01_설정'!B6))*'01_설정'!B15+MAX(0,(1-T554/'01_설정'!B7))*'01_설정'!B16+MAX(0,(1-U554/'01_설정'!B8))*'01_설정'!B17+O554*'01_설정'!B11+Q554*'01_설정'!B12+P554*'01_설정'!B13+IF(Z554="",0,Z554))</f>
        <v/>
      </c>
      <c r="X554" s="152">
        <f>IF(W554="","",1+COUNTIFS($W$4:$W$3003,"&gt;"&amp;W554)+COUNTIFS($W$4:W554,W554)-1)</f>
        <v/>
      </c>
      <c r="Y554" s="175">
        <f>IF(OR(I554="",'02_대상물건입력'!B19="",'02_대상물건입력'!B19&lt;=0),"",ABS(I554-'02_대상물건입력'!B19)/'02_대상물건입력'!B19)</f>
        <v/>
      </c>
      <c r="Z554" s="172">
        <f>IF(OR(Y554="",'01_설정'!B31="",'01_설정'!B31&lt;=0,'01_설정'!B32="",'01_설정'!B32&lt;=0),"",MAX(0,(1-Y554/'01_설정'!B32))*'01_설정'!B31)</f>
        <v/>
      </c>
    </row>
    <row r="555" ht="17.25" customHeight="1">
      <c r="A555" s="152">
        <f>IF(INDEX('04A_국토부원자료'!$A:$A,ROW()+1)="","",ROW()-3)</f>
        <v/>
      </c>
      <c r="B555" s="48">
        <f>IFERROR(INDEX('04A_국토부원자료'!$A:$T,ROW()+1,MATCH("시군구",'04A_국토부원자료'!$A$4:$T$4,0)),"")</f>
        <v/>
      </c>
      <c r="C555" s="48">
        <f>IF(B555="","",IFERROR(INDEX('04A_국토부원자료'!$A:$T,ROW()+1,MATCH("번지",'04A_국토부원자료'!$A$4:$T$4,0)),""))</f>
        <v/>
      </c>
      <c r="D555" s="48">
        <f>IF(B555="","",IF(Q555=1,'02_대상물건입력'!$B$8,IFERROR(INDEX('04A_국토부원자료'!$A:$T,ROW()+1,MATCH("단지명",'04A_국토부원자료'!$A$4:$T$4,0)),"")))</f>
        <v/>
      </c>
      <c r="E555" s="172">
        <f>IFERROR(VALUE(SUBSTITUTE(INDEX('04A_국토부원자료'!$A:$T,ROW()+1,MATCH("전용면적(㎡)",'04A_국토부원자료'!$A$4:$T$4,0)),",","")),"")</f>
        <v/>
      </c>
      <c r="F5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55" s="51">
        <f>IFERROR(VALUE(SUBSTITUTE(INDEX('04A_국토부원자료'!$A:$T,ROW()+1,MATCH("거래금액(만원)",'04A_국토부원자료'!$A$4:$T$4,0)),",","")),"")</f>
        <v/>
      </c>
      <c r="H555" s="174">
        <f>IF(G555="","",G555*10000)</f>
        <v/>
      </c>
      <c r="I555" s="174">
        <f>IFERROR(IF(AND(H555&gt;0,E555&gt;0),H555/E555,""),"")</f>
        <v/>
      </c>
      <c r="J555" s="152">
        <f>IFERROR(VALUE(SUBSTITUTE(INDEX('04A_국토부원자료'!$A:$T,ROW()+1,MATCH("층",'04A_국토부원자료'!$A$4:$T$4,0)),",","")),"")</f>
        <v/>
      </c>
      <c r="K555" s="152">
        <f>IFERROR(VALUE(SUBSTITUTE(INDEX('04A_국토부원자료'!$A:$T,ROW()+1,MATCH("건축년도",'04A_국토부원자료'!$A$4:$T$4,0)),",","")),"")</f>
        <v/>
      </c>
      <c r="L555" s="176">
        <f>IFERROR(INDEX('04A_국토부원자료'!$A:$T,ROW()+1,MATCH("도로명",'04A_국토부원자료'!$A$4:$T$4,0)),"")</f>
        <v/>
      </c>
      <c r="M555" s="48">
        <f>IFERROR(INDEX('04A_국토부원자료'!$A:$T,ROW()+1,MATCH("거래유형",'04A_국토부원자료'!$A$4:$T$4,0)),"")</f>
        <v/>
      </c>
      <c r="N555" s="152">
        <f>IF(B555="","",IF('02_대상물건입력'!B5="",1,IF(ISNUMBER(SEARCH('02_대상물건입력'!B5,B555)),1,0)))</f>
        <v/>
      </c>
      <c r="O555" s="152">
        <f>IF(B555="","",IF('02_대상물건입력'!B6="",1,IF(ISNUMBER(SEARCH('02_대상물건입력'!B6,B555)),1,0)))</f>
        <v/>
      </c>
      <c r="P555" s="152">
        <f>IF(L555="","",IF('02_대상물건입력'!B15="",0,IF(ISNUMBER(SEARCH('02_대상물건입력'!B15,L555)),1,0)))</f>
        <v/>
      </c>
      <c r="Q555" s="152">
        <f>IF(OR(C555="",L555=""),0,IF(AND(TRIM(C555)=TRIM(RIGHT(SUBSTITUTE(TRIM('02_대상물건입력'!$B$7)," ",REPT(" ",99)),99)),IF('02_대상물건입력'!B15="",TRUE(),ISNUMBER(SEARCH('02_대상물건입력'!B15,L555)))),1,0))</f>
        <v/>
      </c>
      <c r="R555" s="175">
        <f>IFERROR(ABS(E555-'02_대상물건입력'!B11)/'02_대상물건입력'!B11,"")</f>
        <v/>
      </c>
      <c r="S555" s="152">
        <f>IFERROR(ABS(J555-'02_대상물건입력'!B10),"")</f>
        <v/>
      </c>
      <c r="T555" s="152">
        <f>IFERROR(ABS('01_설정'!B4-F555),"")</f>
        <v/>
      </c>
      <c r="U555" s="152">
        <f>IFERROR(ABS(K555-YEAR('02_대상물건입력'!B14)),"")</f>
        <v/>
      </c>
      <c r="V555" s="152">
        <f>IF(B555="","",IF(AND(E555&gt;0,F555&gt;0,H555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555=1,TRUE()),R555&lt;='01_설정'!B5,S555&lt;='01_설정'!B6,T555&lt;='01_설정'!B7,U555&lt;='01_설정'!B8),"Y",""))</f>
        <v/>
      </c>
      <c r="W555" s="172">
        <f>IF(V555&lt;&gt;"Y","",MAX(0,(1-R555/'01_설정'!B5))*'01_설정'!B14+MAX(0,(1-S555/'01_설정'!B6))*'01_설정'!B15+MAX(0,(1-T555/'01_설정'!B7))*'01_설정'!B16+MAX(0,(1-U555/'01_설정'!B8))*'01_설정'!B17+O555*'01_설정'!B11+Q555*'01_설정'!B12+P555*'01_설정'!B13+IF(Z555="",0,Z555))</f>
        <v/>
      </c>
      <c r="X555" s="152">
        <f>IF(W555="","",1+COUNTIFS($W$4:$W$3003,"&gt;"&amp;W555)+COUNTIFS($W$4:W555,W555)-1)</f>
        <v/>
      </c>
      <c r="Y555" s="175">
        <f>IF(OR(I555="",'02_대상물건입력'!B19="",'02_대상물건입력'!B19&lt;=0),"",ABS(I555-'02_대상물건입력'!B19)/'02_대상물건입력'!B19)</f>
        <v/>
      </c>
      <c r="Z555" s="172">
        <f>IF(OR(Y555="",'01_설정'!B31="",'01_설정'!B31&lt;=0,'01_설정'!B32="",'01_설정'!B32&lt;=0),"",MAX(0,(1-Y555/'01_설정'!B32))*'01_설정'!B31)</f>
        <v/>
      </c>
    </row>
    <row r="556" ht="17.25" customHeight="1">
      <c r="A556" s="152">
        <f>IF(INDEX('04A_국토부원자료'!$A:$A,ROW()+1)="","",ROW()-3)</f>
        <v/>
      </c>
      <c r="B556" s="48">
        <f>IFERROR(INDEX('04A_국토부원자료'!$A:$T,ROW()+1,MATCH("시군구",'04A_국토부원자료'!$A$4:$T$4,0)),"")</f>
        <v/>
      </c>
      <c r="C556" s="48">
        <f>IF(B556="","",IFERROR(INDEX('04A_국토부원자료'!$A:$T,ROW()+1,MATCH("번지",'04A_국토부원자료'!$A$4:$T$4,0)),""))</f>
        <v/>
      </c>
      <c r="D556" s="48">
        <f>IF(B556="","",IF(Q556=1,'02_대상물건입력'!$B$8,IFERROR(INDEX('04A_국토부원자료'!$A:$T,ROW()+1,MATCH("단지명",'04A_국토부원자료'!$A$4:$T$4,0)),"")))</f>
        <v/>
      </c>
      <c r="E556" s="172">
        <f>IFERROR(VALUE(SUBSTITUTE(INDEX('04A_국토부원자료'!$A:$T,ROW()+1,MATCH("전용면적(㎡)",'04A_국토부원자료'!$A$4:$T$4,0)),",","")),"")</f>
        <v/>
      </c>
      <c r="F5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56" s="51">
        <f>IFERROR(VALUE(SUBSTITUTE(INDEX('04A_국토부원자료'!$A:$T,ROW()+1,MATCH("거래금액(만원)",'04A_국토부원자료'!$A$4:$T$4,0)),",","")),"")</f>
        <v/>
      </c>
      <c r="H556" s="174">
        <f>IF(G556="","",G556*10000)</f>
        <v/>
      </c>
      <c r="I556" s="174">
        <f>IFERROR(IF(AND(H556&gt;0,E556&gt;0),H556/E556,""),"")</f>
        <v/>
      </c>
      <c r="J556" s="152">
        <f>IFERROR(VALUE(SUBSTITUTE(INDEX('04A_국토부원자료'!$A:$T,ROW()+1,MATCH("층",'04A_국토부원자료'!$A$4:$T$4,0)),",","")),"")</f>
        <v/>
      </c>
      <c r="K556" s="152">
        <f>IFERROR(VALUE(SUBSTITUTE(INDEX('04A_국토부원자료'!$A:$T,ROW()+1,MATCH("건축년도",'04A_국토부원자료'!$A$4:$T$4,0)),",","")),"")</f>
        <v/>
      </c>
      <c r="L556" s="176">
        <f>IFERROR(INDEX('04A_국토부원자료'!$A:$T,ROW()+1,MATCH("도로명",'04A_국토부원자료'!$A$4:$T$4,0)),"")</f>
        <v/>
      </c>
      <c r="M556" s="48">
        <f>IFERROR(INDEX('04A_국토부원자료'!$A:$T,ROW()+1,MATCH("거래유형",'04A_국토부원자료'!$A$4:$T$4,0)),"")</f>
        <v/>
      </c>
      <c r="N556" s="152">
        <f>IF(B556="","",IF('02_대상물건입력'!B5="",1,IF(ISNUMBER(SEARCH('02_대상물건입력'!B5,B556)),1,0)))</f>
        <v/>
      </c>
      <c r="O556" s="152">
        <f>IF(B556="","",IF('02_대상물건입력'!B6="",1,IF(ISNUMBER(SEARCH('02_대상물건입력'!B6,B556)),1,0)))</f>
        <v/>
      </c>
      <c r="P556" s="152">
        <f>IF(L556="","",IF('02_대상물건입력'!B15="",0,IF(ISNUMBER(SEARCH('02_대상물건입력'!B15,L556)),1,0)))</f>
        <v/>
      </c>
      <c r="Q556" s="152">
        <f>IF(OR(C556="",L556=""),0,IF(AND(TRIM(C556)=TRIM(RIGHT(SUBSTITUTE(TRIM('02_대상물건입력'!$B$7)," ",REPT(" ",99)),99)),IF('02_대상물건입력'!B15="",TRUE(),ISNUMBER(SEARCH('02_대상물건입력'!B15,L556)))),1,0))</f>
        <v/>
      </c>
      <c r="R556" s="175">
        <f>IFERROR(ABS(E556-'02_대상물건입력'!B11)/'02_대상물건입력'!B11,"")</f>
        <v/>
      </c>
      <c r="S556" s="152">
        <f>IFERROR(ABS(J556-'02_대상물건입력'!B10),"")</f>
        <v/>
      </c>
      <c r="T556" s="152">
        <f>IFERROR(ABS('01_설정'!B4-F556),"")</f>
        <v/>
      </c>
      <c r="U556" s="152">
        <f>IFERROR(ABS(K556-YEAR('02_대상물건입력'!B14)),"")</f>
        <v/>
      </c>
      <c r="V556" s="152">
        <f>IF(B556="","",IF(AND(E556&gt;0,F556&gt;0,H556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556=1,TRUE()),R556&lt;='01_설정'!B5,S556&lt;='01_설정'!B6,T556&lt;='01_설정'!B7,U556&lt;='01_설정'!B8),"Y",""))</f>
        <v/>
      </c>
      <c r="W556" s="172">
        <f>IF(V556&lt;&gt;"Y","",MAX(0,(1-R556/'01_설정'!B5))*'01_설정'!B14+MAX(0,(1-S556/'01_설정'!B6))*'01_설정'!B15+MAX(0,(1-T556/'01_설정'!B7))*'01_설정'!B16+MAX(0,(1-U556/'01_설정'!B8))*'01_설정'!B17+O556*'01_설정'!B11+Q556*'01_설정'!B12+P556*'01_설정'!B13+IF(Z556="",0,Z556))</f>
        <v/>
      </c>
      <c r="X556" s="152">
        <f>IF(W556="","",1+COUNTIFS($W$4:$W$3003,"&gt;"&amp;W556)+COUNTIFS($W$4:W556,W556)-1)</f>
        <v/>
      </c>
      <c r="Y556" s="175">
        <f>IF(OR(I556="",'02_대상물건입력'!B19="",'02_대상물건입력'!B19&lt;=0),"",ABS(I556-'02_대상물건입력'!B19)/'02_대상물건입력'!B19)</f>
        <v/>
      </c>
      <c r="Z556" s="172">
        <f>IF(OR(Y556="",'01_설정'!B31="",'01_설정'!B31&lt;=0,'01_설정'!B32="",'01_설정'!B32&lt;=0),"",MAX(0,(1-Y556/'01_설정'!B32))*'01_설정'!B31)</f>
        <v/>
      </c>
    </row>
    <row r="557" ht="17.25" customHeight="1">
      <c r="A557" s="152">
        <f>IF(INDEX('04A_국토부원자료'!$A:$A,ROW()+1)="","",ROW()-3)</f>
        <v/>
      </c>
      <c r="B557" s="48">
        <f>IFERROR(INDEX('04A_국토부원자료'!$A:$T,ROW()+1,MATCH("시군구",'04A_국토부원자료'!$A$4:$T$4,0)),"")</f>
        <v/>
      </c>
      <c r="C557" s="48">
        <f>IF(B557="","",IFERROR(INDEX('04A_국토부원자료'!$A:$T,ROW()+1,MATCH("번지",'04A_국토부원자료'!$A$4:$T$4,0)),""))</f>
        <v/>
      </c>
      <c r="D557" s="48">
        <f>IF(B557="","",IF(Q557=1,'02_대상물건입력'!$B$8,IFERROR(INDEX('04A_국토부원자료'!$A:$T,ROW()+1,MATCH("단지명",'04A_국토부원자료'!$A$4:$T$4,0)),"")))</f>
        <v/>
      </c>
      <c r="E557" s="172">
        <f>IFERROR(VALUE(SUBSTITUTE(INDEX('04A_국토부원자료'!$A:$T,ROW()+1,MATCH("전용면적(㎡)",'04A_국토부원자료'!$A$4:$T$4,0)),",","")),"")</f>
        <v/>
      </c>
      <c r="F5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57" s="51">
        <f>IFERROR(VALUE(SUBSTITUTE(INDEX('04A_국토부원자료'!$A:$T,ROW()+1,MATCH("거래금액(만원)",'04A_국토부원자료'!$A$4:$T$4,0)),",","")),"")</f>
        <v/>
      </c>
      <c r="H557" s="174">
        <f>IF(G557="","",G557*10000)</f>
        <v/>
      </c>
      <c r="I557" s="174">
        <f>IFERROR(IF(AND(H557&gt;0,E557&gt;0),H557/E557,""),"")</f>
        <v/>
      </c>
      <c r="J557" s="152">
        <f>IFERROR(VALUE(SUBSTITUTE(INDEX('04A_국토부원자료'!$A:$T,ROW()+1,MATCH("층",'04A_국토부원자료'!$A$4:$T$4,0)),",","")),"")</f>
        <v/>
      </c>
      <c r="K557" s="152">
        <f>IFERROR(VALUE(SUBSTITUTE(INDEX('04A_국토부원자료'!$A:$T,ROW()+1,MATCH("건축년도",'04A_국토부원자료'!$A$4:$T$4,0)),",","")),"")</f>
        <v/>
      </c>
      <c r="L557" s="176">
        <f>IFERROR(INDEX('04A_국토부원자료'!$A:$T,ROW()+1,MATCH("도로명",'04A_국토부원자료'!$A$4:$T$4,0)),"")</f>
        <v/>
      </c>
      <c r="M557" s="48">
        <f>IFERROR(INDEX('04A_국토부원자료'!$A:$T,ROW()+1,MATCH("거래유형",'04A_국토부원자료'!$A$4:$T$4,0)),"")</f>
        <v/>
      </c>
      <c r="N557" s="152">
        <f>IF(B557="","",IF('02_대상물건입력'!B5="",1,IF(ISNUMBER(SEARCH('02_대상물건입력'!B5,B557)),1,0)))</f>
        <v/>
      </c>
      <c r="O557" s="152">
        <f>IF(B557="","",IF('02_대상물건입력'!B6="",1,IF(ISNUMBER(SEARCH('02_대상물건입력'!B6,B557)),1,0)))</f>
        <v/>
      </c>
      <c r="P557" s="152">
        <f>IF(L557="","",IF('02_대상물건입력'!B15="",0,IF(ISNUMBER(SEARCH('02_대상물건입력'!B15,L557)),1,0)))</f>
        <v/>
      </c>
      <c r="Q557" s="152">
        <f>IF(OR(C557="",L557=""),0,IF(AND(TRIM(C557)=TRIM(RIGHT(SUBSTITUTE(TRIM('02_대상물건입력'!$B$7)," ",REPT(" ",99)),99)),IF('02_대상물건입력'!B15="",TRUE(),ISNUMBER(SEARCH('02_대상물건입력'!B15,L557)))),1,0))</f>
        <v/>
      </c>
      <c r="R557" s="175">
        <f>IFERROR(ABS(E557-'02_대상물건입력'!B11)/'02_대상물건입력'!B11,"")</f>
        <v/>
      </c>
      <c r="S557" s="152">
        <f>IFERROR(ABS(J557-'02_대상물건입력'!B10),"")</f>
        <v/>
      </c>
      <c r="T557" s="152">
        <f>IFERROR(ABS('01_설정'!B4-F557),"")</f>
        <v/>
      </c>
      <c r="U557" s="152">
        <f>IFERROR(ABS(K557-YEAR('02_대상물건입력'!B14)),"")</f>
        <v/>
      </c>
      <c r="V557" s="152">
        <f>IF(B557="","",IF(AND(E557&gt;0,F557&gt;0,H557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557=1,TRUE()),R557&lt;='01_설정'!B5,S557&lt;='01_설정'!B6,T557&lt;='01_설정'!B7,U557&lt;='01_설정'!B8),"Y",""))</f>
        <v/>
      </c>
      <c r="W557" s="172">
        <f>IF(V557&lt;&gt;"Y","",MAX(0,(1-R557/'01_설정'!B5))*'01_설정'!B14+MAX(0,(1-S557/'01_설정'!B6))*'01_설정'!B15+MAX(0,(1-T557/'01_설정'!B7))*'01_설정'!B16+MAX(0,(1-U557/'01_설정'!B8))*'01_설정'!B17+O557*'01_설정'!B11+Q557*'01_설정'!B12+P557*'01_설정'!B13+IF(Z557="",0,Z557))</f>
        <v/>
      </c>
      <c r="X557" s="152">
        <f>IF(W557="","",1+COUNTIFS($W$4:$W$3003,"&gt;"&amp;W557)+COUNTIFS($W$4:W557,W557)-1)</f>
        <v/>
      </c>
      <c r="Y557" s="175">
        <f>IF(OR(I557="",'02_대상물건입력'!B19="",'02_대상물건입력'!B19&lt;=0),"",ABS(I557-'02_대상물건입력'!B19)/'02_대상물건입력'!B19)</f>
        <v/>
      </c>
      <c r="Z557" s="172">
        <f>IF(OR(Y557="",'01_설정'!B31="",'01_설정'!B31&lt;=0,'01_설정'!B32="",'01_설정'!B32&lt;=0),"",MAX(0,(1-Y557/'01_설정'!B32))*'01_설정'!B31)</f>
        <v/>
      </c>
    </row>
    <row r="558" ht="17.25" customHeight="1">
      <c r="A558" s="152">
        <f>IF(INDEX('04A_국토부원자료'!$A:$A,ROW()+1)="","",ROW()-3)</f>
        <v/>
      </c>
      <c r="B558" s="48">
        <f>IFERROR(INDEX('04A_국토부원자료'!$A:$T,ROW()+1,MATCH("시군구",'04A_국토부원자료'!$A$4:$T$4,0)),"")</f>
        <v/>
      </c>
      <c r="C558" s="48">
        <f>IF(B558="","",IFERROR(INDEX('04A_국토부원자료'!$A:$T,ROW()+1,MATCH("번지",'04A_국토부원자료'!$A$4:$T$4,0)),""))</f>
        <v/>
      </c>
      <c r="D558" s="48">
        <f>IF(B558="","",IF(Q558=1,'02_대상물건입력'!$B$8,IFERROR(INDEX('04A_국토부원자료'!$A:$T,ROW()+1,MATCH("단지명",'04A_국토부원자료'!$A$4:$T$4,0)),"")))</f>
        <v/>
      </c>
      <c r="E558" s="172">
        <f>IFERROR(VALUE(SUBSTITUTE(INDEX('04A_국토부원자료'!$A:$T,ROW()+1,MATCH("전용면적(㎡)",'04A_국토부원자료'!$A$4:$T$4,0)),",","")),"")</f>
        <v/>
      </c>
      <c r="F5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58" s="51">
        <f>IFERROR(VALUE(SUBSTITUTE(INDEX('04A_국토부원자료'!$A:$T,ROW()+1,MATCH("거래금액(만원)",'04A_국토부원자료'!$A$4:$T$4,0)),",","")),"")</f>
        <v/>
      </c>
      <c r="H558" s="174">
        <f>IF(G558="","",G558*10000)</f>
        <v/>
      </c>
      <c r="I558" s="174">
        <f>IFERROR(IF(AND(H558&gt;0,E558&gt;0),H558/E558,""),"")</f>
        <v/>
      </c>
      <c r="J558" s="152">
        <f>IFERROR(VALUE(SUBSTITUTE(INDEX('04A_국토부원자료'!$A:$T,ROW()+1,MATCH("층",'04A_국토부원자료'!$A$4:$T$4,0)),",","")),"")</f>
        <v/>
      </c>
      <c r="K558" s="152">
        <f>IFERROR(VALUE(SUBSTITUTE(INDEX('04A_국토부원자료'!$A:$T,ROW()+1,MATCH("건축년도",'04A_국토부원자료'!$A$4:$T$4,0)),",","")),"")</f>
        <v/>
      </c>
      <c r="L558" s="176">
        <f>IFERROR(INDEX('04A_국토부원자료'!$A:$T,ROW()+1,MATCH("도로명",'04A_국토부원자료'!$A$4:$T$4,0)),"")</f>
        <v/>
      </c>
      <c r="M558" s="48">
        <f>IFERROR(INDEX('04A_국토부원자료'!$A:$T,ROW()+1,MATCH("거래유형",'04A_국토부원자료'!$A$4:$T$4,0)),"")</f>
        <v/>
      </c>
      <c r="N558" s="152">
        <f>IF(B558="","",IF('02_대상물건입력'!B5="",1,IF(ISNUMBER(SEARCH('02_대상물건입력'!B5,B558)),1,0)))</f>
        <v/>
      </c>
      <c r="O558" s="152">
        <f>IF(B558="","",IF('02_대상물건입력'!B6="",1,IF(ISNUMBER(SEARCH('02_대상물건입력'!B6,B558)),1,0)))</f>
        <v/>
      </c>
      <c r="P558" s="152">
        <f>IF(L558="","",IF('02_대상물건입력'!B15="",0,IF(ISNUMBER(SEARCH('02_대상물건입력'!B15,L558)),1,0)))</f>
        <v/>
      </c>
      <c r="Q558" s="152">
        <f>IF(OR(C558="",L558=""),0,IF(AND(TRIM(C558)=TRIM(RIGHT(SUBSTITUTE(TRIM('02_대상물건입력'!$B$7)," ",REPT(" ",99)),99)),IF('02_대상물건입력'!B15="",TRUE(),ISNUMBER(SEARCH('02_대상물건입력'!B15,L558)))),1,0))</f>
        <v/>
      </c>
      <c r="R558" s="175">
        <f>IFERROR(ABS(E558-'02_대상물건입력'!B11)/'02_대상물건입력'!B11,"")</f>
        <v/>
      </c>
      <c r="S558" s="152">
        <f>IFERROR(ABS(J558-'02_대상물건입력'!B10),"")</f>
        <v/>
      </c>
      <c r="T558" s="152">
        <f>IFERROR(ABS('01_설정'!B4-F558),"")</f>
        <v/>
      </c>
      <c r="U558" s="152">
        <f>IFERROR(ABS(K558-YEAR('02_대상물건입력'!B14)),"")</f>
        <v/>
      </c>
      <c r="V558" s="152">
        <f>IF(B558="","",IF(AND(E558&gt;0,F558&gt;0,H558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558=1,TRUE()),R558&lt;='01_설정'!B5,S558&lt;='01_설정'!B6,T558&lt;='01_설정'!B7,U558&lt;='01_설정'!B8),"Y",""))</f>
        <v/>
      </c>
      <c r="W558" s="172">
        <f>IF(V558&lt;&gt;"Y","",MAX(0,(1-R558/'01_설정'!B5))*'01_설정'!B14+MAX(0,(1-S558/'01_설정'!B6))*'01_설정'!B15+MAX(0,(1-T558/'01_설정'!B7))*'01_설정'!B16+MAX(0,(1-U558/'01_설정'!B8))*'01_설정'!B17+O558*'01_설정'!B11+Q558*'01_설정'!B12+P558*'01_설정'!B13+IF(Z558="",0,Z558))</f>
        <v/>
      </c>
      <c r="X558" s="152">
        <f>IF(W558="","",1+COUNTIFS($W$4:$W$3003,"&gt;"&amp;W558)+COUNTIFS($W$4:W558,W558)-1)</f>
        <v/>
      </c>
      <c r="Y558" s="175">
        <f>IF(OR(I558="",'02_대상물건입력'!B19="",'02_대상물건입력'!B19&lt;=0),"",ABS(I558-'02_대상물건입력'!B19)/'02_대상물건입력'!B19)</f>
        <v/>
      </c>
      <c r="Z558" s="172">
        <f>IF(OR(Y558="",'01_설정'!B31="",'01_설정'!B31&lt;=0,'01_설정'!B32="",'01_설정'!B32&lt;=0),"",MAX(0,(1-Y558/'01_설정'!B32))*'01_설정'!B31)</f>
        <v/>
      </c>
    </row>
    <row r="559" ht="17.25" customHeight="1">
      <c r="A559" s="152">
        <f>IF(INDEX('04A_국토부원자료'!$A:$A,ROW()+1)="","",ROW()-3)</f>
        <v/>
      </c>
      <c r="B559" s="48">
        <f>IFERROR(INDEX('04A_국토부원자료'!$A:$T,ROW()+1,MATCH("시군구",'04A_국토부원자료'!$A$4:$T$4,0)),"")</f>
        <v/>
      </c>
      <c r="C559" s="48">
        <f>IF(B559="","",IFERROR(INDEX('04A_국토부원자료'!$A:$T,ROW()+1,MATCH("번지",'04A_국토부원자료'!$A$4:$T$4,0)),""))</f>
        <v/>
      </c>
      <c r="D559" s="48">
        <f>IF(B559="","",IF(Q559=1,'02_대상물건입력'!$B$8,IFERROR(INDEX('04A_국토부원자료'!$A:$T,ROW()+1,MATCH("단지명",'04A_국토부원자료'!$A$4:$T$4,0)),"")))</f>
        <v/>
      </c>
      <c r="E559" s="172">
        <f>IFERROR(VALUE(SUBSTITUTE(INDEX('04A_국토부원자료'!$A:$T,ROW()+1,MATCH("전용면적(㎡)",'04A_국토부원자료'!$A$4:$T$4,0)),",","")),"")</f>
        <v/>
      </c>
      <c r="F5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59" s="51">
        <f>IFERROR(VALUE(SUBSTITUTE(INDEX('04A_국토부원자료'!$A:$T,ROW()+1,MATCH("거래금액(만원)",'04A_국토부원자료'!$A$4:$T$4,0)),",","")),"")</f>
        <v/>
      </c>
      <c r="H559" s="174">
        <f>IF(G559="","",G559*10000)</f>
        <v/>
      </c>
      <c r="I559" s="174">
        <f>IFERROR(IF(AND(H559&gt;0,E559&gt;0),H559/E559,""),"")</f>
        <v/>
      </c>
      <c r="J559" s="152">
        <f>IFERROR(VALUE(SUBSTITUTE(INDEX('04A_국토부원자료'!$A:$T,ROW()+1,MATCH("층",'04A_국토부원자료'!$A$4:$T$4,0)),",","")),"")</f>
        <v/>
      </c>
      <c r="K559" s="152">
        <f>IFERROR(VALUE(SUBSTITUTE(INDEX('04A_국토부원자료'!$A:$T,ROW()+1,MATCH("건축년도",'04A_국토부원자료'!$A$4:$T$4,0)),",","")),"")</f>
        <v/>
      </c>
      <c r="L559" s="176">
        <f>IFERROR(INDEX('04A_국토부원자료'!$A:$T,ROW()+1,MATCH("도로명",'04A_국토부원자료'!$A$4:$T$4,0)),"")</f>
        <v/>
      </c>
      <c r="M559" s="48">
        <f>IFERROR(INDEX('04A_국토부원자료'!$A:$T,ROW()+1,MATCH("거래유형",'04A_국토부원자료'!$A$4:$T$4,0)),"")</f>
        <v/>
      </c>
      <c r="N559" s="152">
        <f>IF(B559="","",IF('02_대상물건입력'!B5="",1,IF(ISNUMBER(SEARCH('02_대상물건입력'!B5,B559)),1,0)))</f>
        <v/>
      </c>
      <c r="O559" s="152">
        <f>IF(B559="","",IF('02_대상물건입력'!B6="",1,IF(ISNUMBER(SEARCH('02_대상물건입력'!B6,B559)),1,0)))</f>
        <v/>
      </c>
      <c r="P559" s="152">
        <f>IF(L559="","",IF('02_대상물건입력'!B15="",0,IF(ISNUMBER(SEARCH('02_대상물건입력'!B15,L559)),1,0)))</f>
        <v/>
      </c>
      <c r="Q559" s="152">
        <f>IF(OR(C559="",L559=""),0,IF(AND(TRIM(C559)=TRIM(RIGHT(SUBSTITUTE(TRIM('02_대상물건입력'!$B$7)," ",REPT(" ",99)),99)),IF('02_대상물건입력'!B15="",TRUE(),ISNUMBER(SEARCH('02_대상물건입력'!B15,L559)))),1,0))</f>
        <v/>
      </c>
      <c r="R559" s="175">
        <f>IFERROR(ABS(E559-'02_대상물건입력'!B11)/'02_대상물건입력'!B11,"")</f>
        <v/>
      </c>
      <c r="S559" s="152">
        <f>IFERROR(ABS(J559-'02_대상물건입력'!B10),"")</f>
        <v/>
      </c>
      <c r="T559" s="152">
        <f>IFERROR(ABS('01_설정'!B4-F559),"")</f>
        <v/>
      </c>
      <c r="U559" s="152">
        <f>IFERROR(ABS(K559-YEAR('02_대상물건입력'!B14)),"")</f>
        <v/>
      </c>
      <c r="V559" s="152">
        <f>IF(B559="","",IF(AND(E559&gt;0,F559&gt;0,H559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559=1,TRUE()),R559&lt;='01_설정'!B5,S559&lt;='01_설정'!B6,T559&lt;='01_설정'!B7,U559&lt;='01_설정'!B8),"Y",""))</f>
        <v/>
      </c>
      <c r="W559" s="172">
        <f>IF(V559&lt;&gt;"Y","",MAX(0,(1-R559/'01_설정'!B5))*'01_설정'!B14+MAX(0,(1-S559/'01_설정'!B6))*'01_설정'!B15+MAX(0,(1-T559/'01_설정'!B7))*'01_설정'!B16+MAX(0,(1-U559/'01_설정'!B8))*'01_설정'!B17+O559*'01_설정'!B11+Q559*'01_설정'!B12+P559*'01_설정'!B13+IF(Z559="",0,Z559))</f>
        <v/>
      </c>
      <c r="X559" s="152">
        <f>IF(W559="","",1+COUNTIFS($W$4:$W$3003,"&gt;"&amp;W559)+COUNTIFS($W$4:W559,W559)-1)</f>
        <v/>
      </c>
      <c r="Y559" s="175">
        <f>IF(OR(I559="",'02_대상물건입력'!B19="",'02_대상물건입력'!B19&lt;=0),"",ABS(I559-'02_대상물건입력'!B19)/'02_대상물건입력'!B19)</f>
        <v/>
      </c>
      <c r="Z559" s="172">
        <f>IF(OR(Y559="",'01_설정'!B31="",'01_설정'!B31&lt;=0,'01_설정'!B32="",'01_설정'!B32&lt;=0),"",MAX(0,(1-Y559/'01_설정'!B32))*'01_설정'!B31)</f>
        <v/>
      </c>
    </row>
    <row r="560" ht="17.25" customHeight="1">
      <c r="A560" s="152">
        <f>IF(INDEX('04A_국토부원자료'!$A:$A,ROW()+1)="","",ROW()-3)</f>
        <v/>
      </c>
      <c r="B560" s="48">
        <f>IFERROR(INDEX('04A_국토부원자료'!$A:$T,ROW()+1,MATCH("시군구",'04A_국토부원자료'!$A$4:$T$4,0)),"")</f>
        <v/>
      </c>
      <c r="C560" s="48">
        <f>IF(B560="","",IFERROR(INDEX('04A_국토부원자료'!$A:$T,ROW()+1,MATCH("번지",'04A_국토부원자료'!$A$4:$T$4,0)),""))</f>
        <v/>
      </c>
      <c r="D560" s="48">
        <f>IF(B560="","",IF(Q560=1,'02_대상물건입력'!$B$8,IFERROR(INDEX('04A_국토부원자료'!$A:$T,ROW()+1,MATCH("단지명",'04A_국토부원자료'!$A$4:$T$4,0)),"")))</f>
        <v/>
      </c>
      <c r="E560" s="172">
        <f>IFERROR(VALUE(SUBSTITUTE(INDEX('04A_국토부원자료'!$A:$T,ROW()+1,MATCH("전용면적(㎡)",'04A_국토부원자료'!$A$4:$T$4,0)),",","")),"")</f>
        <v/>
      </c>
      <c r="F5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60" s="51">
        <f>IFERROR(VALUE(SUBSTITUTE(INDEX('04A_국토부원자료'!$A:$T,ROW()+1,MATCH("거래금액(만원)",'04A_국토부원자료'!$A$4:$T$4,0)),",","")),"")</f>
        <v/>
      </c>
      <c r="H560" s="174">
        <f>IF(G560="","",G560*10000)</f>
        <v/>
      </c>
      <c r="I560" s="174">
        <f>IFERROR(IF(AND(H560&gt;0,E560&gt;0),H560/E560,""),"")</f>
        <v/>
      </c>
      <c r="J560" s="152">
        <f>IFERROR(VALUE(SUBSTITUTE(INDEX('04A_국토부원자료'!$A:$T,ROW()+1,MATCH("층",'04A_국토부원자료'!$A$4:$T$4,0)),",","")),"")</f>
        <v/>
      </c>
      <c r="K560" s="152">
        <f>IFERROR(VALUE(SUBSTITUTE(INDEX('04A_국토부원자료'!$A:$T,ROW()+1,MATCH("건축년도",'04A_국토부원자료'!$A$4:$T$4,0)),",","")),"")</f>
        <v/>
      </c>
      <c r="L560" s="176">
        <f>IFERROR(INDEX('04A_국토부원자료'!$A:$T,ROW()+1,MATCH("도로명",'04A_국토부원자료'!$A$4:$T$4,0)),"")</f>
        <v/>
      </c>
      <c r="M560" s="48">
        <f>IFERROR(INDEX('04A_국토부원자료'!$A:$T,ROW()+1,MATCH("거래유형",'04A_국토부원자료'!$A$4:$T$4,0)),"")</f>
        <v/>
      </c>
      <c r="N560" s="152">
        <f>IF(B560="","",IF('02_대상물건입력'!B5="",1,IF(ISNUMBER(SEARCH('02_대상물건입력'!B5,B560)),1,0)))</f>
        <v/>
      </c>
      <c r="O560" s="152">
        <f>IF(B560="","",IF('02_대상물건입력'!B6="",1,IF(ISNUMBER(SEARCH('02_대상물건입력'!B6,B560)),1,0)))</f>
        <v/>
      </c>
      <c r="P560" s="152">
        <f>IF(L560="","",IF('02_대상물건입력'!B15="",0,IF(ISNUMBER(SEARCH('02_대상물건입력'!B15,L560)),1,0)))</f>
        <v/>
      </c>
      <c r="Q560" s="152">
        <f>IF(OR(C560="",L560=""),0,IF(AND(TRIM(C560)=TRIM(RIGHT(SUBSTITUTE(TRIM('02_대상물건입력'!$B$7)," ",REPT(" ",99)),99)),IF('02_대상물건입력'!B15="",TRUE(),ISNUMBER(SEARCH('02_대상물건입력'!B15,L560)))),1,0))</f>
        <v/>
      </c>
      <c r="R560" s="175">
        <f>IFERROR(ABS(E560-'02_대상물건입력'!B11)/'02_대상물건입력'!B11,"")</f>
        <v/>
      </c>
      <c r="S560" s="152">
        <f>IFERROR(ABS(J560-'02_대상물건입력'!B10),"")</f>
        <v/>
      </c>
      <c r="T560" s="152">
        <f>IFERROR(ABS('01_설정'!B4-F560),"")</f>
        <v/>
      </c>
      <c r="U560" s="152">
        <f>IFERROR(ABS(K560-YEAR('02_대상물건입력'!B14)),"")</f>
        <v/>
      </c>
      <c r="V560" s="152">
        <f>IF(B560="","",IF(AND(E560&gt;0,F560&gt;0,H560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560=1,TRUE()),R560&lt;='01_설정'!B5,S560&lt;='01_설정'!B6,T560&lt;='01_설정'!B7,U560&lt;='01_설정'!B8),"Y",""))</f>
        <v/>
      </c>
      <c r="W560" s="172">
        <f>IF(V560&lt;&gt;"Y","",MAX(0,(1-R560/'01_설정'!B5))*'01_설정'!B14+MAX(0,(1-S560/'01_설정'!B6))*'01_설정'!B15+MAX(0,(1-T560/'01_설정'!B7))*'01_설정'!B16+MAX(0,(1-U560/'01_설정'!B8))*'01_설정'!B17+O560*'01_설정'!B11+Q560*'01_설정'!B12+P560*'01_설정'!B13+IF(Z560="",0,Z560))</f>
        <v/>
      </c>
      <c r="X560" s="152">
        <f>IF(W560="","",1+COUNTIFS($W$4:$W$3003,"&gt;"&amp;W560)+COUNTIFS($W$4:W560,W560)-1)</f>
        <v/>
      </c>
      <c r="Y560" s="175">
        <f>IF(OR(I560="",'02_대상물건입력'!B19="",'02_대상물건입력'!B19&lt;=0),"",ABS(I560-'02_대상물건입력'!B19)/'02_대상물건입력'!B19)</f>
        <v/>
      </c>
      <c r="Z560" s="172">
        <f>IF(OR(Y560="",'01_설정'!B31="",'01_설정'!B31&lt;=0,'01_설정'!B32="",'01_설정'!B32&lt;=0),"",MAX(0,(1-Y560/'01_설정'!B32))*'01_설정'!B31)</f>
        <v/>
      </c>
    </row>
    <row r="561" ht="17.25" customHeight="1">
      <c r="A561" s="152">
        <f>IF(INDEX('04A_국토부원자료'!$A:$A,ROW()+1)="","",ROW()-3)</f>
        <v/>
      </c>
      <c r="B561" s="48">
        <f>IFERROR(INDEX('04A_국토부원자료'!$A:$T,ROW()+1,MATCH("시군구",'04A_국토부원자료'!$A$4:$T$4,0)),"")</f>
        <v/>
      </c>
      <c r="C561" s="48">
        <f>IF(B561="","",IFERROR(INDEX('04A_국토부원자료'!$A:$T,ROW()+1,MATCH("번지",'04A_국토부원자료'!$A$4:$T$4,0)),""))</f>
        <v/>
      </c>
      <c r="D561" s="48">
        <f>IF(B561="","",IF(Q561=1,'02_대상물건입력'!$B$8,IFERROR(INDEX('04A_국토부원자료'!$A:$T,ROW()+1,MATCH("단지명",'04A_국토부원자료'!$A$4:$T$4,0)),"")))</f>
        <v/>
      </c>
      <c r="E561" s="172">
        <f>IFERROR(VALUE(SUBSTITUTE(INDEX('04A_국토부원자료'!$A:$T,ROW()+1,MATCH("전용면적(㎡)",'04A_국토부원자료'!$A$4:$T$4,0)),",","")),"")</f>
        <v/>
      </c>
      <c r="F5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61" s="51">
        <f>IFERROR(VALUE(SUBSTITUTE(INDEX('04A_국토부원자료'!$A:$T,ROW()+1,MATCH("거래금액(만원)",'04A_국토부원자료'!$A$4:$T$4,0)),",","")),"")</f>
        <v/>
      </c>
      <c r="H561" s="174">
        <f>IF(G561="","",G561*10000)</f>
        <v/>
      </c>
      <c r="I561" s="174">
        <f>IFERROR(IF(AND(H561&gt;0,E561&gt;0),H561/E561,""),"")</f>
        <v/>
      </c>
      <c r="J561" s="152">
        <f>IFERROR(VALUE(SUBSTITUTE(INDEX('04A_국토부원자료'!$A:$T,ROW()+1,MATCH("층",'04A_국토부원자료'!$A$4:$T$4,0)),",","")),"")</f>
        <v/>
      </c>
      <c r="K561" s="152">
        <f>IFERROR(VALUE(SUBSTITUTE(INDEX('04A_국토부원자료'!$A:$T,ROW()+1,MATCH("건축년도",'04A_국토부원자료'!$A$4:$T$4,0)),",","")),"")</f>
        <v/>
      </c>
      <c r="L561" s="176">
        <f>IFERROR(INDEX('04A_국토부원자료'!$A:$T,ROW()+1,MATCH("도로명",'04A_국토부원자료'!$A$4:$T$4,0)),"")</f>
        <v/>
      </c>
      <c r="M561" s="48">
        <f>IFERROR(INDEX('04A_국토부원자료'!$A:$T,ROW()+1,MATCH("거래유형",'04A_국토부원자료'!$A$4:$T$4,0)),"")</f>
        <v/>
      </c>
      <c r="N561" s="152">
        <f>IF(B561="","",IF('02_대상물건입력'!B5="",1,IF(ISNUMBER(SEARCH('02_대상물건입력'!B5,B561)),1,0)))</f>
        <v/>
      </c>
      <c r="O561" s="152">
        <f>IF(B561="","",IF('02_대상물건입력'!B6="",1,IF(ISNUMBER(SEARCH('02_대상물건입력'!B6,B561)),1,0)))</f>
        <v/>
      </c>
      <c r="P561" s="152">
        <f>IF(L561="","",IF('02_대상물건입력'!B15="",0,IF(ISNUMBER(SEARCH('02_대상물건입력'!B15,L561)),1,0)))</f>
        <v/>
      </c>
      <c r="Q561" s="152">
        <f>IF(OR(C561="",L561=""),0,IF(AND(TRIM(C561)=TRIM(RIGHT(SUBSTITUTE(TRIM('02_대상물건입력'!$B$7)," ",REPT(" ",99)),99)),IF('02_대상물건입력'!B15="",TRUE(),ISNUMBER(SEARCH('02_대상물건입력'!B15,L561)))),1,0))</f>
        <v/>
      </c>
      <c r="R561" s="175">
        <f>IFERROR(ABS(E561-'02_대상물건입력'!B11)/'02_대상물건입력'!B11,"")</f>
        <v/>
      </c>
      <c r="S561" s="152">
        <f>IFERROR(ABS(J561-'02_대상물건입력'!B10),"")</f>
        <v/>
      </c>
      <c r="T561" s="152">
        <f>IFERROR(ABS('01_설정'!B4-F561),"")</f>
        <v/>
      </c>
      <c r="U561" s="152">
        <f>IFERROR(ABS(K561-YEAR('02_대상물건입력'!B14)),"")</f>
        <v/>
      </c>
      <c r="V561" s="152">
        <f>IF(B561="","",IF(AND(E561&gt;0,F561&gt;0,H561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561=1,TRUE()),R561&lt;='01_설정'!B5,S561&lt;='01_설정'!B6,T561&lt;='01_설정'!B7,U561&lt;='01_설정'!B8),"Y",""))</f>
        <v/>
      </c>
      <c r="W561" s="172">
        <f>IF(V561&lt;&gt;"Y","",MAX(0,(1-R561/'01_설정'!B5))*'01_설정'!B14+MAX(0,(1-S561/'01_설정'!B6))*'01_설정'!B15+MAX(0,(1-T561/'01_설정'!B7))*'01_설정'!B16+MAX(0,(1-U561/'01_설정'!B8))*'01_설정'!B17+O561*'01_설정'!B11+Q561*'01_설정'!B12+P561*'01_설정'!B13+IF(Z561="",0,Z561))</f>
        <v/>
      </c>
      <c r="X561" s="152">
        <f>IF(W561="","",1+COUNTIFS($W$4:$W$3003,"&gt;"&amp;W561)+COUNTIFS($W$4:W561,W561)-1)</f>
        <v/>
      </c>
      <c r="Y561" s="175">
        <f>IF(OR(I561="",'02_대상물건입력'!B19="",'02_대상물건입력'!B19&lt;=0),"",ABS(I561-'02_대상물건입력'!B19)/'02_대상물건입력'!B19)</f>
        <v/>
      </c>
      <c r="Z561" s="172">
        <f>IF(OR(Y561="",'01_설정'!B31="",'01_설정'!B31&lt;=0,'01_설정'!B32="",'01_설정'!B32&lt;=0),"",MAX(0,(1-Y561/'01_설정'!B32))*'01_설정'!B31)</f>
        <v/>
      </c>
    </row>
    <row r="562" ht="17.25" customHeight="1">
      <c r="A562" s="152">
        <f>IF(INDEX('04A_국토부원자료'!$A:$A,ROW()+1)="","",ROW()-3)</f>
        <v/>
      </c>
      <c r="B562" s="48">
        <f>IFERROR(INDEX('04A_국토부원자료'!$A:$T,ROW()+1,MATCH("시군구",'04A_국토부원자료'!$A$4:$T$4,0)),"")</f>
        <v/>
      </c>
      <c r="C562" s="48">
        <f>IF(B562="","",IFERROR(INDEX('04A_국토부원자료'!$A:$T,ROW()+1,MATCH("번지",'04A_국토부원자료'!$A$4:$T$4,0)),""))</f>
        <v/>
      </c>
      <c r="D562" s="48">
        <f>IF(B562="","",IF(Q562=1,'02_대상물건입력'!$B$8,IFERROR(INDEX('04A_국토부원자료'!$A:$T,ROW()+1,MATCH("단지명",'04A_국토부원자료'!$A$4:$T$4,0)),"")))</f>
        <v/>
      </c>
      <c r="E562" s="172">
        <f>IFERROR(VALUE(SUBSTITUTE(INDEX('04A_국토부원자료'!$A:$T,ROW()+1,MATCH("전용면적(㎡)",'04A_국토부원자료'!$A$4:$T$4,0)),",","")),"")</f>
        <v/>
      </c>
      <c r="F5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62" s="51">
        <f>IFERROR(VALUE(SUBSTITUTE(INDEX('04A_국토부원자료'!$A:$T,ROW()+1,MATCH("거래금액(만원)",'04A_국토부원자료'!$A$4:$T$4,0)),",","")),"")</f>
        <v/>
      </c>
      <c r="H562" s="174">
        <f>IF(G562="","",G562*10000)</f>
        <v/>
      </c>
      <c r="I562" s="174">
        <f>IFERROR(IF(AND(H562&gt;0,E562&gt;0),H562/E562,""),"")</f>
        <v/>
      </c>
      <c r="J562" s="152">
        <f>IFERROR(VALUE(SUBSTITUTE(INDEX('04A_국토부원자료'!$A:$T,ROW()+1,MATCH("층",'04A_국토부원자료'!$A$4:$T$4,0)),",","")),"")</f>
        <v/>
      </c>
      <c r="K562" s="152">
        <f>IFERROR(VALUE(SUBSTITUTE(INDEX('04A_국토부원자료'!$A:$T,ROW()+1,MATCH("건축년도",'04A_국토부원자료'!$A$4:$T$4,0)),",","")),"")</f>
        <v/>
      </c>
      <c r="L562" s="176">
        <f>IFERROR(INDEX('04A_국토부원자료'!$A:$T,ROW()+1,MATCH("도로명",'04A_국토부원자료'!$A$4:$T$4,0)),"")</f>
        <v/>
      </c>
      <c r="M562" s="48">
        <f>IFERROR(INDEX('04A_국토부원자료'!$A:$T,ROW()+1,MATCH("거래유형",'04A_국토부원자료'!$A$4:$T$4,0)),"")</f>
        <v/>
      </c>
      <c r="N562" s="152">
        <f>IF(B562="","",IF('02_대상물건입력'!B5="",1,IF(ISNUMBER(SEARCH('02_대상물건입력'!B5,B562)),1,0)))</f>
        <v/>
      </c>
      <c r="O562" s="152">
        <f>IF(B562="","",IF('02_대상물건입력'!B6="",1,IF(ISNUMBER(SEARCH('02_대상물건입력'!B6,B562)),1,0)))</f>
        <v/>
      </c>
      <c r="P562" s="152">
        <f>IF(L562="","",IF('02_대상물건입력'!B15="",0,IF(ISNUMBER(SEARCH('02_대상물건입력'!B15,L562)),1,0)))</f>
        <v/>
      </c>
      <c r="Q562" s="152">
        <f>IF(OR(C562="",L562=""),0,IF(AND(TRIM(C562)=TRIM(RIGHT(SUBSTITUTE(TRIM('02_대상물건입력'!$B$7)," ",REPT(" ",99)),99)),IF('02_대상물건입력'!B15="",TRUE(),ISNUMBER(SEARCH('02_대상물건입력'!B15,L562)))),1,0))</f>
        <v/>
      </c>
      <c r="R562" s="175">
        <f>IFERROR(ABS(E562-'02_대상물건입력'!B11)/'02_대상물건입력'!B11,"")</f>
        <v/>
      </c>
      <c r="S562" s="152">
        <f>IFERROR(ABS(J562-'02_대상물건입력'!B10),"")</f>
        <v/>
      </c>
      <c r="T562" s="152">
        <f>IFERROR(ABS('01_설정'!B4-F562),"")</f>
        <v/>
      </c>
      <c r="U562" s="152">
        <f>IFERROR(ABS(K562-YEAR('02_대상물건입력'!B14)),"")</f>
        <v/>
      </c>
      <c r="V562" s="152">
        <f>IF(B562="","",IF(AND(E562&gt;0,F562&gt;0,H562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562=1,TRUE()),R562&lt;='01_설정'!B5,S562&lt;='01_설정'!B6,T562&lt;='01_설정'!B7,U562&lt;='01_설정'!B8),"Y",""))</f>
        <v/>
      </c>
      <c r="W562" s="172">
        <f>IF(V562&lt;&gt;"Y","",MAX(0,(1-R562/'01_설정'!B5))*'01_설정'!B14+MAX(0,(1-S562/'01_설정'!B6))*'01_설정'!B15+MAX(0,(1-T562/'01_설정'!B7))*'01_설정'!B16+MAX(0,(1-U562/'01_설정'!B8))*'01_설정'!B17+O562*'01_설정'!B11+Q562*'01_설정'!B12+P562*'01_설정'!B13+IF(Z562="",0,Z562))</f>
        <v/>
      </c>
      <c r="X562" s="152">
        <f>IF(W562="","",1+COUNTIFS($W$4:$W$3003,"&gt;"&amp;W562)+COUNTIFS($W$4:W562,W562)-1)</f>
        <v/>
      </c>
      <c r="Y562" s="175">
        <f>IF(OR(I562="",'02_대상물건입력'!B19="",'02_대상물건입력'!B19&lt;=0),"",ABS(I562-'02_대상물건입력'!B19)/'02_대상물건입력'!B19)</f>
        <v/>
      </c>
      <c r="Z562" s="172">
        <f>IF(OR(Y562="",'01_설정'!B31="",'01_설정'!B31&lt;=0,'01_설정'!B32="",'01_설정'!B32&lt;=0),"",MAX(0,(1-Y562/'01_설정'!B32))*'01_설정'!B31)</f>
        <v/>
      </c>
    </row>
    <row r="563" ht="17.25" customHeight="1">
      <c r="A563" s="152">
        <f>IF(INDEX('04A_국토부원자료'!$A:$A,ROW()+1)="","",ROW()-3)</f>
        <v/>
      </c>
      <c r="B563" s="48">
        <f>IFERROR(INDEX('04A_국토부원자료'!$A:$T,ROW()+1,MATCH("시군구",'04A_국토부원자료'!$A$4:$T$4,0)),"")</f>
        <v/>
      </c>
      <c r="C563" s="48">
        <f>IF(B563="","",IFERROR(INDEX('04A_국토부원자료'!$A:$T,ROW()+1,MATCH("번지",'04A_국토부원자료'!$A$4:$T$4,0)),""))</f>
        <v/>
      </c>
      <c r="D563" s="48">
        <f>IF(B563="","",IF(Q563=1,'02_대상물건입력'!$B$8,IFERROR(INDEX('04A_국토부원자료'!$A:$T,ROW()+1,MATCH("단지명",'04A_국토부원자료'!$A$4:$T$4,0)),"")))</f>
        <v/>
      </c>
      <c r="E563" s="172">
        <f>IFERROR(VALUE(SUBSTITUTE(INDEX('04A_국토부원자료'!$A:$T,ROW()+1,MATCH("전용면적(㎡)",'04A_국토부원자료'!$A$4:$T$4,0)),",","")),"")</f>
        <v/>
      </c>
      <c r="F5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63" s="51">
        <f>IFERROR(VALUE(SUBSTITUTE(INDEX('04A_국토부원자료'!$A:$T,ROW()+1,MATCH("거래금액(만원)",'04A_국토부원자료'!$A$4:$T$4,0)),",","")),"")</f>
        <v/>
      </c>
      <c r="H563" s="174">
        <f>IF(G563="","",G563*10000)</f>
        <v/>
      </c>
      <c r="I563" s="174">
        <f>IFERROR(IF(AND(H563&gt;0,E563&gt;0),H563/E563,""),"")</f>
        <v/>
      </c>
      <c r="J563" s="152">
        <f>IFERROR(VALUE(SUBSTITUTE(INDEX('04A_국토부원자료'!$A:$T,ROW()+1,MATCH("층",'04A_국토부원자료'!$A$4:$T$4,0)),",","")),"")</f>
        <v/>
      </c>
      <c r="K563" s="152">
        <f>IFERROR(VALUE(SUBSTITUTE(INDEX('04A_국토부원자료'!$A:$T,ROW()+1,MATCH("건축년도",'04A_국토부원자료'!$A$4:$T$4,0)),",","")),"")</f>
        <v/>
      </c>
      <c r="L563" s="176">
        <f>IFERROR(INDEX('04A_국토부원자료'!$A:$T,ROW()+1,MATCH("도로명",'04A_국토부원자료'!$A$4:$T$4,0)),"")</f>
        <v/>
      </c>
      <c r="M563" s="48">
        <f>IFERROR(INDEX('04A_국토부원자료'!$A:$T,ROW()+1,MATCH("거래유형",'04A_국토부원자료'!$A$4:$T$4,0)),"")</f>
        <v/>
      </c>
      <c r="N563" s="152">
        <f>IF(B563="","",IF('02_대상물건입력'!B5="",1,IF(ISNUMBER(SEARCH('02_대상물건입력'!B5,B563)),1,0)))</f>
        <v/>
      </c>
      <c r="O563" s="152">
        <f>IF(B563="","",IF('02_대상물건입력'!B6="",1,IF(ISNUMBER(SEARCH('02_대상물건입력'!B6,B563)),1,0)))</f>
        <v/>
      </c>
      <c r="P563" s="152">
        <f>IF(L563="","",IF('02_대상물건입력'!B15="",0,IF(ISNUMBER(SEARCH('02_대상물건입력'!B15,L563)),1,0)))</f>
        <v/>
      </c>
      <c r="Q563" s="152">
        <f>IF(OR(C563="",L563=""),0,IF(AND(TRIM(C563)=TRIM(RIGHT(SUBSTITUTE(TRIM('02_대상물건입력'!$B$7)," ",REPT(" ",99)),99)),IF('02_대상물건입력'!B15="",TRUE(),ISNUMBER(SEARCH('02_대상물건입력'!B15,L563)))),1,0))</f>
        <v/>
      </c>
      <c r="R563" s="175">
        <f>IFERROR(ABS(E563-'02_대상물건입력'!B11)/'02_대상물건입력'!B11,"")</f>
        <v/>
      </c>
      <c r="S563" s="152">
        <f>IFERROR(ABS(J563-'02_대상물건입력'!B10),"")</f>
        <v/>
      </c>
      <c r="T563" s="152">
        <f>IFERROR(ABS('01_설정'!B4-F563),"")</f>
        <v/>
      </c>
      <c r="U563" s="152">
        <f>IFERROR(ABS(K563-YEAR('02_대상물건입력'!B14)),"")</f>
        <v/>
      </c>
      <c r="V563" s="152">
        <f>IF(B563="","",IF(AND(E563&gt;0,F563&gt;0,H563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563=1,TRUE()),R563&lt;='01_설정'!B5,S563&lt;='01_설정'!B6,T563&lt;='01_설정'!B7,U563&lt;='01_설정'!B8),"Y",""))</f>
        <v/>
      </c>
      <c r="W563" s="172">
        <f>IF(V563&lt;&gt;"Y","",MAX(0,(1-R563/'01_설정'!B5))*'01_설정'!B14+MAX(0,(1-S563/'01_설정'!B6))*'01_설정'!B15+MAX(0,(1-T563/'01_설정'!B7))*'01_설정'!B16+MAX(0,(1-U563/'01_설정'!B8))*'01_설정'!B17+O563*'01_설정'!B11+Q563*'01_설정'!B12+P563*'01_설정'!B13+IF(Z563="",0,Z563))</f>
        <v/>
      </c>
      <c r="X563" s="152">
        <f>IF(W563="","",1+COUNTIFS($W$4:$W$3003,"&gt;"&amp;W563)+COUNTIFS($W$4:W563,W563)-1)</f>
        <v/>
      </c>
      <c r="Y563" s="175">
        <f>IF(OR(I563="",'02_대상물건입력'!B19="",'02_대상물건입력'!B19&lt;=0),"",ABS(I563-'02_대상물건입력'!B19)/'02_대상물건입력'!B19)</f>
        <v/>
      </c>
      <c r="Z563" s="172">
        <f>IF(OR(Y563="",'01_설정'!B31="",'01_설정'!B31&lt;=0,'01_설정'!B32="",'01_설정'!B32&lt;=0),"",MAX(0,(1-Y563/'01_설정'!B32))*'01_설정'!B31)</f>
        <v/>
      </c>
    </row>
    <row r="564" ht="17.25" customHeight="1">
      <c r="A564" s="152">
        <f>IF(INDEX('04A_국토부원자료'!$A:$A,ROW()+1)="","",ROW()-3)</f>
        <v/>
      </c>
      <c r="B564" s="48">
        <f>IFERROR(INDEX('04A_국토부원자료'!$A:$T,ROW()+1,MATCH("시군구",'04A_국토부원자료'!$A$4:$T$4,0)),"")</f>
        <v/>
      </c>
      <c r="C564" s="48">
        <f>IF(B564="","",IFERROR(INDEX('04A_국토부원자료'!$A:$T,ROW()+1,MATCH("번지",'04A_국토부원자료'!$A$4:$T$4,0)),""))</f>
        <v/>
      </c>
      <c r="D564" s="48">
        <f>IF(B564="","",IF(Q564=1,'02_대상물건입력'!$B$8,IFERROR(INDEX('04A_국토부원자료'!$A:$T,ROW()+1,MATCH("단지명",'04A_국토부원자료'!$A$4:$T$4,0)),"")))</f>
        <v/>
      </c>
      <c r="E564" s="172">
        <f>IFERROR(VALUE(SUBSTITUTE(INDEX('04A_국토부원자료'!$A:$T,ROW()+1,MATCH("전용면적(㎡)",'04A_국토부원자료'!$A$4:$T$4,0)),",","")),"")</f>
        <v/>
      </c>
      <c r="F5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64" s="51">
        <f>IFERROR(VALUE(SUBSTITUTE(INDEX('04A_국토부원자료'!$A:$T,ROW()+1,MATCH("거래금액(만원)",'04A_국토부원자료'!$A$4:$T$4,0)),",","")),"")</f>
        <v/>
      </c>
      <c r="H564" s="174">
        <f>IF(G564="","",G564*10000)</f>
        <v/>
      </c>
      <c r="I564" s="174">
        <f>IFERROR(IF(AND(H564&gt;0,E564&gt;0),H564/E564,""),"")</f>
        <v/>
      </c>
      <c r="J564" s="152">
        <f>IFERROR(VALUE(SUBSTITUTE(INDEX('04A_국토부원자료'!$A:$T,ROW()+1,MATCH("층",'04A_국토부원자료'!$A$4:$T$4,0)),",","")),"")</f>
        <v/>
      </c>
      <c r="K564" s="152">
        <f>IFERROR(VALUE(SUBSTITUTE(INDEX('04A_국토부원자료'!$A:$T,ROW()+1,MATCH("건축년도",'04A_국토부원자료'!$A$4:$T$4,0)),",","")),"")</f>
        <v/>
      </c>
      <c r="L564" s="176">
        <f>IFERROR(INDEX('04A_국토부원자료'!$A:$T,ROW()+1,MATCH("도로명",'04A_국토부원자료'!$A$4:$T$4,0)),"")</f>
        <v/>
      </c>
      <c r="M564" s="48">
        <f>IFERROR(INDEX('04A_국토부원자료'!$A:$T,ROW()+1,MATCH("거래유형",'04A_국토부원자료'!$A$4:$T$4,0)),"")</f>
        <v/>
      </c>
      <c r="N564" s="152">
        <f>IF(B564="","",IF('02_대상물건입력'!B5="",1,IF(ISNUMBER(SEARCH('02_대상물건입력'!B5,B564)),1,0)))</f>
        <v/>
      </c>
      <c r="O564" s="152">
        <f>IF(B564="","",IF('02_대상물건입력'!B6="",1,IF(ISNUMBER(SEARCH('02_대상물건입력'!B6,B564)),1,0)))</f>
        <v/>
      </c>
      <c r="P564" s="152">
        <f>IF(L564="","",IF('02_대상물건입력'!B15="",0,IF(ISNUMBER(SEARCH('02_대상물건입력'!B15,L564)),1,0)))</f>
        <v/>
      </c>
      <c r="Q564" s="152">
        <f>IF(OR(C564="",L564=""),0,IF(AND(TRIM(C564)=TRIM(RIGHT(SUBSTITUTE(TRIM('02_대상물건입력'!$B$7)," ",REPT(" ",99)),99)),IF('02_대상물건입력'!B15="",TRUE(),ISNUMBER(SEARCH('02_대상물건입력'!B15,L564)))),1,0))</f>
        <v/>
      </c>
      <c r="R564" s="175">
        <f>IFERROR(ABS(E564-'02_대상물건입력'!B11)/'02_대상물건입력'!B11,"")</f>
        <v/>
      </c>
      <c r="S564" s="152">
        <f>IFERROR(ABS(J564-'02_대상물건입력'!B10),"")</f>
        <v/>
      </c>
      <c r="T564" s="152">
        <f>IFERROR(ABS('01_설정'!B4-F564),"")</f>
        <v/>
      </c>
      <c r="U564" s="152">
        <f>IFERROR(ABS(K564-YEAR('02_대상물건입력'!B14)),"")</f>
        <v/>
      </c>
      <c r="V564" s="152">
        <f>IF(B564="","",IF(AND(E564&gt;0,F564&gt;0,H564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564=1,TRUE()),R564&lt;='01_설정'!B5,S564&lt;='01_설정'!B6,T564&lt;='01_설정'!B7,U564&lt;='01_설정'!B8),"Y",""))</f>
        <v/>
      </c>
      <c r="W564" s="172">
        <f>IF(V564&lt;&gt;"Y","",MAX(0,(1-R564/'01_설정'!B5))*'01_설정'!B14+MAX(0,(1-S564/'01_설정'!B6))*'01_설정'!B15+MAX(0,(1-T564/'01_설정'!B7))*'01_설정'!B16+MAX(0,(1-U564/'01_설정'!B8))*'01_설정'!B17+O564*'01_설정'!B11+Q564*'01_설정'!B12+P564*'01_설정'!B13+IF(Z564="",0,Z564))</f>
        <v/>
      </c>
      <c r="X564" s="152">
        <f>IF(W564="","",1+COUNTIFS($W$4:$W$3003,"&gt;"&amp;W564)+COUNTIFS($W$4:W564,W564)-1)</f>
        <v/>
      </c>
      <c r="Y564" s="175">
        <f>IF(OR(I564="",'02_대상물건입력'!B19="",'02_대상물건입력'!B19&lt;=0),"",ABS(I564-'02_대상물건입력'!B19)/'02_대상물건입력'!B19)</f>
        <v/>
      </c>
      <c r="Z564" s="172">
        <f>IF(OR(Y564="",'01_설정'!B31="",'01_설정'!B31&lt;=0,'01_설정'!B32="",'01_설정'!B32&lt;=0),"",MAX(0,(1-Y564/'01_설정'!B32))*'01_설정'!B31)</f>
        <v/>
      </c>
    </row>
    <row r="565" ht="17.25" customHeight="1">
      <c r="A565" s="152">
        <f>IF(INDEX('04A_국토부원자료'!$A:$A,ROW()+1)="","",ROW()-3)</f>
        <v/>
      </c>
      <c r="B565" s="48">
        <f>IFERROR(INDEX('04A_국토부원자료'!$A:$T,ROW()+1,MATCH("시군구",'04A_국토부원자료'!$A$4:$T$4,0)),"")</f>
        <v/>
      </c>
      <c r="C565" s="48">
        <f>IF(B565="","",IFERROR(INDEX('04A_국토부원자료'!$A:$T,ROW()+1,MATCH("번지",'04A_국토부원자료'!$A$4:$T$4,0)),""))</f>
        <v/>
      </c>
      <c r="D565" s="48">
        <f>IF(B565="","",IF(Q565=1,'02_대상물건입력'!$B$8,IFERROR(INDEX('04A_국토부원자료'!$A:$T,ROW()+1,MATCH("단지명",'04A_국토부원자료'!$A$4:$T$4,0)),"")))</f>
        <v/>
      </c>
      <c r="E565" s="172">
        <f>IFERROR(VALUE(SUBSTITUTE(INDEX('04A_국토부원자료'!$A:$T,ROW()+1,MATCH("전용면적(㎡)",'04A_국토부원자료'!$A$4:$T$4,0)),",","")),"")</f>
        <v/>
      </c>
      <c r="F5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65" s="51">
        <f>IFERROR(VALUE(SUBSTITUTE(INDEX('04A_국토부원자료'!$A:$T,ROW()+1,MATCH("거래금액(만원)",'04A_국토부원자료'!$A$4:$T$4,0)),",","")),"")</f>
        <v/>
      </c>
      <c r="H565" s="174">
        <f>IF(G565="","",G565*10000)</f>
        <v/>
      </c>
      <c r="I565" s="174">
        <f>IFERROR(IF(AND(H565&gt;0,E565&gt;0),H565/E565,""),"")</f>
        <v/>
      </c>
      <c r="J565" s="152">
        <f>IFERROR(VALUE(SUBSTITUTE(INDEX('04A_국토부원자료'!$A:$T,ROW()+1,MATCH("층",'04A_국토부원자료'!$A$4:$T$4,0)),",","")),"")</f>
        <v/>
      </c>
      <c r="K565" s="152">
        <f>IFERROR(VALUE(SUBSTITUTE(INDEX('04A_국토부원자료'!$A:$T,ROW()+1,MATCH("건축년도",'04A_국토부원자료'!$A$4:$T$4,0)),",","")),"")</f>
        <v/>
      </c>
      <c r="L565" s="176">
        <f>IFERROR(INDEX('04A_국토부원자료'!$A:$T,ROW()+1,MATCH("도로명",'04A_국토부원자료'!$A$4:$T$4,0)),"")</f>
        <v/>
      </c>
      <c r="M565" s="48">
        <f>IFERROR(INDEX('04A_국토부원자료'!$A:$T,ROW()+1,MATCH("거래유형",'04A_국토부원자료'!$A$4:$T$4,0)),"")</f>
        <v/>
      </c>
      <c r="N565" s="152">
        <f>IF(B565="","",IF('02_대상물건입력'!B5="",1,IF(ISNUMBER(SEARCH('02_대상물건입력'!B5,B565)),1,0)))</f>
        <v/>
      </c>
      <c r="O565" s="152">
        <f>IF(B565="","",IF('02_대상물건입력'!B6="",1,IF(ISNUMBER(SEARCH('02_대상물건입력'!B6,B565)),1,0)))</f>
        <v/>
      </c>
      <c r="P565" s="152">
        <f>IF(L565="","",IF('02_대상물건입력'!B15="",0,IF(ISNUMBER(SEARCH('02_대상물건입력'!B15,L565)),1,0)))</f>
        <v/>
      </c>
      <c r="Q565" s="152">
        <f>IF(OR(C565="",L565=""),0,IF(AND(TRIM(C565)=TRIM(RIGHT(SUBSTITUTE(TRIM('02_대상물건입력'!$B$7)," ",REPT(" ",99)),99)),IF('02_대상물건입력'!B15="",TRUE(),ISNUMBER(SEARCH('02_대상물건입력'!B15,L565)))),1,0))</f>
        <v/>
      </c>
      <c r="R565" s="175">
        <f>IFERROR(ABS(E565-'02_대상물건입력'!B11)/'02_대상물건입력'!B11,"")</f>
        <v/>
      </c>
      <c r="S565" s="152">
        <f>IFERROR(ABS(J565-'02_대상물건입력'!B10),"")</f>
        <v/>
      </c>
      <c r="T565" s="152">
        <f>IFERROR(ABS('01_설정'!B4-F565),"")</f>
        <v/>
      </c>
      <c r="U565" s="152">
        <f>IFERROR(ABS(K565-YEAR('02_대상물건입력'!B14)),"")</f>
        <v/>
      </c>
      <c r="V565" s="152">
        <f>IF(B565="","",IF(AND(E565&gt;0,F565&gt;0,H565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565=1,TRUE()),R565&lt;='01_설정'!B5,S565&lt;='01_설정'!B6,T565&lt;='01_설정'!B7,U565&lt;='01_설정'!B8),"Y",""))</f>
        <v/>
      </c>
      <c r="W565" s="172">
        <f>IF(V565&lt;&gt;"Y","",MAX(0,(1-R565/'01_설정'!B5))*'01_설정'!B14+MAX(0,(1-S565/'01_설정'!B6))*'01_설정'!B15+MAX(0,(1-T565/'01_설정'!B7))*'01_설정'!B16+MAX(0,(1-U565/'01_설정'!B8))*'01_설정'!B17+O565*'01_설정'!B11+Q565*'01_설정'!B12+P565*'01_설정'!B13+IF(Z565="",0,Z565))</f>
        <v/>
      </c>
      <c r="X565" s="152">
        <f>IF(W565="","",1+COUNTIFS($W$4:$W$3003,"&gt;"&amp;W565)+COUNTIFS($W$4:W565,W565)-1)</f>
        <v/>
      </c>
      <c r="Y565" s="175">
        <f>IF(OR(I565="",'02_대상물건입력'!B19="",'02_대상물건입력'!B19&lt;=0),"",ABS(I565-'02_대상물건입력'!B19)/'02_대상물건입력'!B19)</f>
        <v/>
      </c>
      <c r="Z565" s="172">
        <f>IF(OR(Y565="",'01_설정'!B31="",'01_설정'!B31&lt;=0,'01_설정'!B32="",'01_설정'!B32&lt;=0),"",MAX(0,(1-Y565/'01_설정'!B32))*'01_설정'!B31)</f>
        <v/>
      </c>
    </row>
    <row r="566" ht="17.25" customHeight="1">
      <c r="A566" s="152">
        <f>IF(INDEX('04A_국토부원자료'!$A:$A,ROW()+1)="","",ROW()-3)</f>
        <v/>
      </c>
      <c r="B566" s="48">
        <f>IFERROR(INDEX('04A_국토부원자료'!$A:$T,ROW()+1,MATCH("시군구",'04A_국토부원자료'!$A$4:$T$4,0)),"")</f>
        <v/>
      </c>
      <c r="C566" s="48">
        <f>IF(B566="","",IFERROR(INDEX('04A_국토부원자료'!$A:$T,ROW()+1,MATCH("번지",'04A_국토부원자료'!$A$4:$T$4,0)),""))</f>
        <v/>
      </c>
      <c r="D566" s="48">
        <f>IF(B566="","",IF(Q566=1,'02_대상물건입력'!$B$8,IFERROR(INDEX('04A_국토부원자료'!$A:$T,ROW()+1,MATCH("단지명",'04A_국토부원자료'!$A$4:$T$4,0)),"")))</f>
        <v/>
      </c>
      <c r="E566" s="172">
        <f>IFERROR(VALUE(SUBSTITUTE(INDEX('04A_국토부원자료'!$A:$T,ROW()+1,MATCH("전용면적(㎡)",'04A_국토부원자료'!$A$4:$T$4,0)),",","")),"")</f>
        <v/>
      </c>
      <c r="F5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66" s="51">
        <f>IFERROR(VALUE(SUBSTITUTE(INDEX('04A_국토부원자료'!$A:$T,ROW()+1,MATCH("거래금액(만원)",'04A_국토부원자료'!$A$4:$T$4,0)),",","")),"")</f>
        <v/>
      </c>
      <c r="H566" s="174">
        <f>IF(G566="","",G566*10000)</f>
        <v/>
      </c>
      <c r="I566" s="174">
        <f>IFERROR(IF(AND(H566&gt;0,E566&gt;0),H566/E566,""),"")</f>
        <v/>
      </c>
      <c r="J566" s="152">
        <f>IFERROR(VALUE(SUBSTITUTE(INDEX('04A_국토부원자료'!$A:$T,ROW()+1,MATCH("층",'04A_국토부원자료'!$A$4:$T$4,0)),",","")),"")</f>
        <v/>
      </c>
      <c r="K566" s="152">
        <f>IFERROR(VALUE(SUBSTITUTE(INDEX('04A_국토부원자료'!$A:$T,ROW()+1,MATCH("건축년도",'04A_국토부원자료'!$A$4:$T$4,0)),",","")),"")</f>
        <v/>
      </c>
      <c r="L566" s="176">
        <f>IFERROR(INDEX('04A_국토부원자료'!$A:$T,ROW()+1,MATCH("도로명",'04A_국토부원자료'!$A$4:$T$4,0)),"")</f>
        <v/>
      </c>
      <c r="M566" s="48">
        <f>IFERROR(INDEX('04A_국토부원자료'!$A:$T,ROW()+1,MATCH("거래유형",'04A_국토부원자료'!$A$4:$T$4,0)),"")</f>
        <v/>
      </c>
      <c r="N566" s="152">
        <f>IF(B566="","",IF('02_대상물건입력'!B5="",1,IF(ISNUMBER(SEARCH('02_대상물건입력'!B5,B566)),1,0)))</f>
        <v/>
      </c>
      <c r="O566" s="152">
        <f>IF(B566="","",IF('02_대상물건입력'!B6="",1,IF(ISNUMBER(SEARCH('02_대상물건입력'!B6,B566)),1,0)))</f>
        <v/>
      </c>
      <c r="P566" s="152">
        <f>IF(L566="","",IF('02_대상물건입력'!B15="",0,IF(ISNUMBER(SEARCH('02_대상물건입력'!B15,L566)),1,0)))</f>
        <v/>
      </c>
      <c r="Q566" s="152">
        <f>IF(OR(C566="",L566=""),0,IF(AND(TRIM(C566)=TRIM(RIGHT(SUBSTITUTE(TRIM('02_대상물건입력'!$B$7)," ",REPT(" ",99)),99)),IF('02_대상물건입력'!B15="",TRUE(),ISNUMBER(SEARCH('02_대상물건입력'!B15,L566)))),1,0))</f>
        <v/>
      </c>
      <c r="R566" s="175">
        <f>IFERROR(ABS(E566-'02_대상물건입력'!B11)/'02_대상물건입력'!B11,"")</f>
        <v/>
      </c>
      <c r="S566" s="152">
        <f>IFERROR(ABS(J566-'02_대상물건입력'!B10),"")</f>
        <v/>
      </c>
      <c r="T566" s="152">
        <f>IFERROR(ABS('01_설정'!B4-F566),"")</f>
        <v/>
      </c>
      <c r="U566" s="152">
        <f>IFERROR(ABS(K566-YEAR('02_대상물건입력'!B14)),"")</f>
        <v/>
      </c>
      <c r="V566" s="152">
        <f>IF(B566="","",IF(AND(E566&gt;0,F566&gt;0,H566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566=1,TRUE()),R566&lt;='01_설정'!B5,S566&lt;='01_설정'!B6,T566&lt;='01_설정'!B7,U566&lt;='01_설정'!B8),"Y",""))</f>
        <v/>
      </c>
      <c r="W566" s="172">
        <f>IF(V566&lt;&gt;"Y","",MAX(0,(1-R566/'01_설정'!B5))*'01_설정'!B14+MAX(0,(1-S566/'01_설정'!B6))*'01_설정'!B15+MAX(0,(1-T566/'01_설정'!B7))*'01_설정'!B16+MAX(0,(1-U566/'01_설정'!B8))*'01_설정'!B17+O566*'01_설정'!B11+Q566*'01_설정'!B12+P566*'01_설정'!B13+IF(Z566="",0,Z566))</f>
        <v/>
      </c>
      <c r="X566" s="152">
        <f>IF(W566="","",1+COUNTIFS($W$4:$W$3003,"&gt;"&amp;W566)+COUNTIFS($W$4:W566,W566)-1)</f>
        <v/>
      </c>
      <c r="Y566" s="175">
        <f>IF(OR(I566="",'02_대상물건입력'!B19="",'02_대상물건입력'!B19&lt;=0),"",ABS(I566-'02_대상물건입력'!B19)/'02_대상물건입력'!B19)</f>
        <v/>
      </c>
      <c r="Z566" s="172">
        <f>IF(OR(Y566="",'01_설정'!B31="",'01_설정'!B31&lt;=0,'01_설정'!B32="",'01_설정'!B32&lt;=0),"",MAX(0,(1-Y566/'01_설정'!B32))*'01_설정'!B31)</f>
        <v/>
      </c>
    </row>
    <row r="567" ht="17.25" customHeight="1">
      <c r="A567" s="152">
        <f>IF(INDEX('04A_국토부원자료'!$A:$A,ROW()+1)="","",ROW()-3)</f>
        <v/>
      </c>
      <c r="B567" s="48">
        <f>IFERROR(INDEX('04A_국토부원자료'!$A:$T,ROW()+1,MATCH("시군구",'04A_국토부원자료'!$A$4:$T$4,0)),"")</f>
        <v/>
      </c>
      <c r="C567" s="48">
        <f>IF(B567="","",IFERROR(INDEX('04A_국토부원자료'!$A:$T,ROW()+1,MATCH("번지",'04A_국토부원자료'!$A$4:$T$4,0)),""))</f>
        <v/>
      </c>
      <c r="D567" s="48">
        <f>IF(B567="","",IF(Q567=1,'02_대상물건입력'!$B$8,IFERROR(INDEX('04A_국토부원자료'!$A:$T,ROW()+1,MATCH("단지명",'04A_국토부원자료'!$A$4:$T$4,0)),"")))</f>
        <v/>
      </c>
      <c r="E567" s="172">
        <f>IFERROR(VALUE(SUBSTITUTE(INDEX('04A_국토부원자료'!$A:$T,ROW()+1,MATCH("전용면적(㎡)",'04A_국토부원자료'!$A$4:$T$4,0)),",","")),"")</f>
        <v/>
      </c>
      <c r="F5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67" s="51">
        <f>IFERROR(VALUE(SUBSTITUTE(INDEX('04A_국토부원자료'!$A:$T,ROW()+1,MATCH("거래금액(만원)",'04A_국토부원자료'!$A$4:$T$4,0)),",","")),"")</f>
        <v/>
      </c>
      <c r="H567" s="174">
        <f>IF(G567="","",G567*10000)</f>
        <v/>
      </c>
      <c r="I567" s="174">
        <f>IFERROR(IF(AND(H567&gt;0,E567&gt;0),H567/E567,""),"")</f>
        <v/>
      </c>
      <c r="J567" s="152">
        <f>IFERROR(VALUE(SUBSTITUTE(INDEX('04A_국토부원자료'!$A:$T,ROW()+1,MATCH("층",'04A_국토부원자료'!$A$4:$T$4,0)),",","")),"")</f>
        <v/>
      </c>
      <c r="K567" s="152">
        <f>IFERROR(VALUE(SUBSTITUTE(INDEX('04A_국토부원자료'!$A:$T,ROW()+1,MATCH("건축년도",'04A_국토부원자료'!$A$4:$T$4,0)),",","")),"")</f>
        <v/>
      </c>
      <c r="L567" s="176">
        <f>IFERROR(INDEX('04A_국토부원자료'!$A:$T,ROW()+1,MATCH("도로명",'04A_국토부원자료'!$A$4:$T$4,0)),"")</f>
        <v/>
      </c>
      <c r="M567" s="48">
        <f>IFERROR(INDEX('04A_국토부원자료'!$A:$T,ROW()+1,MATCH("거래유형",'04A_국토부원자료'!$A$4:$T$4,0)),"")</f>
        <v/>
      </c>
      <c r="N567" s="152">
        <f>IF(B567="","",IF('02_대상물건입력'!B5="",1,IF(ISNUMBER(SEARCH('02_대상물건입력'!B5,B567)),1,0)))</f>
        <v/>
      </c>
      <c r="O567" s="152">
        <f>IF(B567="","",IF('02_대상물건입력'!B6="",1,IF(ISNUMBER(SEARCH('02_대상물건입력'!B6,B567)),1,0)))</f>
        <v/>
      </c>
      <c r="P567" s="152">
        <f>IF(L567="","",IF('02_대상물건입력'!B15="",0,IF(ISNUMBER(SEARCH('02_대상물건입력'!B15,L567)),1,0)))</f>
        <v/>
      </c>
      <c r="Q567" s="152">
        <f>IF(OR(C567="",L567=""),0,IF(AND(TRIM(C567)=TRIM(RIGHT(SUBSTITUTE(TRIM('02_대상물건입력'!$B$7)," ",REPT(" ",99)),99)),IF('02_대상물건입력'!B15="",TRUE(),ISNUMBER(SEARCH('02_대상물건입력'!B15,L567)))),1,0))</f>
        <v/>
      </c>
      <c r="R567" s="175">
        <f>IFERROR(ABS(E567-'02_대상물건입력'!B11)/'02_대상물건입력'!B11,"")</f>
        <v/>
      </c>
      <c r="S567" s="152">
        <f>IFERROR(ABS(J567-'02_대상물건입력'!B10),"")</f>
        <v/>
      </c>
      <c r="T567" s="152">
        <f>IFERROR(ABS('01_설정'!B4-F567),"")</f>
        <v/>
      </c>
      <c r="U567" s="152">
        <f>IFERROR(ABS(K567-YEAR('02_대상물건입력'!B14)),"")</f>
        <v/>
      </c>
      <c r="V567" s="152">
        <f>IF(B567="","",IF(AND(E567&gt;0,F567&gt;0,H567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567=1,TRUE()),R567&lt;='01_설정'!B5,S567&lt;='01_설정'!B6,T567&lt;='01_설정'!B7,U567&lt;='01_설정'!B8),"Y",""))</f>
        <v/>
      </c>
      <c r="W567" s="172">
        <f>IF(V567&lt;&gt;"Y","",MAX(0,(1-R567/'01_설정'!B5))*'01_설정'!B14+MAX(0,(1-S567/'01_설정'!B6))*'01_설정'!B15+MAX(0,(1-T567/'01_설정'!B7))*'01_설정'!B16+MAX(0,(1-U567/'01_설정'!B8))*'01_설정'!B17+O567*'01_설정'!B11+Q567*'01_설정'!B12+P567*'01_설정'!B13+IF(Z567="",0,Z567))</f>
        <v/>
      </c>
      <c r="X567" s="152">
        <f>IF(W567="","",1+COUNTIFS($W$4:$W$3003,"&gt;"&amp;W567)+COUNTIFS($W$4:W567,W567)-1)</f>
        <v/>
      </c>
      <c r="Y567" s="175">
        <f>IF(OR(I567="",'02_대상물건입력'!B19="",'02_대상물건입력'!B19&lt;=0),"",ABS(I567-'02_대상물건입력'!B19)/'02_대상물건입력'!B19)</f>
        <v/>
      </c>
      <c r="Z567" s="172">
        <f>IF(OR(Y567="",'01_설정'!B31="",'01_설정'!B31&lt;=0,'01_설정'!B32="",'01_설정'!B32&lt;=0),"",MAX(0,(1-Y567/'01_설정'!B32))*'01_설정'!B31)</f>
        <v/>
      </c>
    </row>
    <row r="568" ht="17.25" customHeight="1">
      <c r="A568" s="152">
        <f>IF(INDEX('04A_국토부원자료'!$A:$A,ROW()+1)="","",ROW()-3)</f>
        <v/>
      </c>
      <c r="B568" s="48">
        <f>IFERROR(INDEX('04A_국토부원자료'!$A:$T,ROW()+1,MATCH("시군구",'04A_국토부원자료'!$A$4:$T$4,0)),"")</f>
        <v/>
      </c>
      <c r="C568" s="48">
        <f>IF(B568="","",IFERROR(INDEX('04A_국토부원자료'!$A:$T,ROW()+1,MATCH("번지",'04A_국토부원자료'!$A$4:$T$4,0)),""))</f>
        <v/>
      </c>
      <c r="D568" s="48">
        <f>IF(B568="","",IF(Q568=1,'02_대상물건입력'!$B$8,IFERROR(INDEX('04A_국토부원자료'!$A:$T,ROW()+1,MATCH("단지명",'04A_국토부원자료'!$A$4:$T$4,0)),"")))</f>
        <v/>
      </c>
      <c r="E568" s="172">
        <f>IFERROR(VALUE(SUBSTITUTE(INDEX('04A_국토부원자료'!$A:$T,ROW()+1,MATCH("전용면적(㎡)",'04A_국토부원자료'!$A$4:$T$4,0)),",","")),"")</f>
        <v/>
      </c>
      <c r="F5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68" s="51">
        <f>IFERROR(VALUE(SUBSTITUTE(INDEX('04A_국토부원자료'!$A:$T,ROW()+1,MATCH("거래금액(만원)",'04A_국토부원자료'!$A$4:$T$4,0)),",","")),"")</f>
        <v/>
      </c>
      <c r="H568" s="174">
        <f>IF(G568="","",G568*10000)</f>
        <v/>
      </c>
      <c r="I568" s="174">
        <f>IFERROR(IF(AND(H568&gt;0,E568&gt;0),H568/E568,""),"")</f>
        <v/>
      </c>
      <c r="J568" s="152">
        <f>IFERROR(VALUE(SUBSTITUTE(INDEX('04A_국토부원자료'!$A:$T,ROW()+1,MATCH("층",'04A_국토부원자료'!$A$4:$T$4,0)),",","")),"")</f>
        <v/>
      </c>
      <c r="K568" s="152">
        <f>IFERROR(VALUE(SUBSTITUTE(INDEX('04A_국토부원자료'!$A:$T,ROW()+1,MATCH("건축년도",'04A_국토부원자료'!$A$4:$T$4,0)),",","")),"")</f>
        <v/>
      </c>
      <c r="L568" s="176">
        <f>IFERROR(INDEX('04A_국토부원자료'!$A:$T,ROW()+1,MATCH("도로명",'04A_국토부원자료'!$A$4:$T$4,0)),"")</f>
        <v/>
      </c>
      <c r="M568" s="48">
        <f>IFERROR(INDEX('04A_국토부원자료'!$A:$T,ROW()+1,MATCH("거래유형",'04A_국토부원자료'!$A$4:$T$4,0)),"")</f>
        <v/>
      </c>
      <c r="N568" s="152">
        <f>IF(B568="","",IF('02_대상물건입력'!B5="",1,IF(ISNUMBER(SEARCH('02_대상물건입력'!B5,B568)),1,0)))</f>
        <v/>
      </c>
      <c r="O568" s="152">
        <f>IF(B568="","",IF('02_대상물건입력'!B6="",1,IF(ISNUMBER(SEARCH('02_대상물건입력'!B6,B568)),1,0)))</f>
        <v/>
      </c>
      <c r="P568" s="152">
        <f>IF(L568="","",IF('02_대상물건입력'!B15="",0,IF(ISNUMBER(SEARCH('02_대상물건입력'!B15,L568)),1,0)))</f>
        <v/>
      </c>
      <c r="Q568" s="152">
        <f>IF(OR(C568="",L568=""),0,IF(AND(TRIM(C568)=TRIM(RIGHT(SUBSTITUTE(TRIM('02_대상물건입력'!$B$7)," ",REPT(" ",99)),99)),IF('02_대상물건입력'!B15="",TRUE(),ISNUMBER(SEARCH('02_대상물건입력'!B15,L568)))),1,0))</f>
        <v/>
      </c>
      <c r="R568" s="175">
        <f>IFERROR(ABS(E568-'02_대상물건입력'!B11)/'02_대상물건입력'!B11,"")</f>
        <v/>
      </c>
      <c r="S568" s="152">
        <f>IFERROR(ABS(J568-'02_대상물건입력'!B10),"")</f>
        <v/>
      </c>
      <c r="T568" s="152">
        <f>IFERROR(ABS('01_설정'!B4-F568),"")</f>
        <v/>
      </c>
      <c r="U568" s="152">
        <f>IFERROR(ABS(K568-YEAR('02_대상물건입력'!B14)),"")</f>
        <v/>
      </c>
      <c r="V568" s="152">
        <f>IF(B568="","",IF(AND(E568&gt;0,F568&gt;0,H568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568=1,TRUE()),R568&lt;='01_설정'!B5,S568&lt;='01_설정'!B6,T568&lt;='01_설정'!B7,U568&lt;='01_설정'!B8),"Y",""))</f>
        <v/>
      </c>
      <c r="W568" s="172">
        <f>IF(V568&lt;&gt;"Y","",MAX(0,(1-R568/'01_설정'!B5))*'01_설정'!B14+MAX(0,(1-S568/'01_설정'!B6))*'01_설정'!B15+MAX(0,(1-T568/'01_설정'!B7))*'01_설정'!B16+MAX(0,(1-U568/'01_설정'!B8))*'01_설정'!B17+O568*'01_설정'!B11+Q568*'01_설정'!B12+P568*'01_설정'!B13+IF(Z568="",0,Z568))</f>
        <v/>
      </c>
      <c r="X568" s="152">
        <f>IF(W568="","",1+COUNTIFS($W$4:$W$3003,"&gt;"&amp;W568)+COUNTIFS($W$4:W568,W568)-1)</f>
        <v/>
      </c>
      <c r="Y568" s="175">
        <f>IF(OR(I568="",'02_대상물건입력'!B19="",'02_대상물건입력'!B19&lt;=0),"",ABS(I568-'02_대상물건입력'!B19)/'02_대상물건입력'!B19)</f>
        <v/>
      </c>
      <c r="Z568" s="172">
        <f>IF(OR(Y568="",'01_설정'!B31="",'01_설정'!B31&lt;=0,'01_설정'!B32="",'01_설정'!B32&lt;=0),"",MAX(0,(1-Y568/'01_설정'!B32))*'01_설정'!B31)</f>
        <v/>
      </c>
    </row>
    <row r="569" ht="17.25" customHeight="1">
      <c r="A569" s="152">
        <f>IF(INDEX('04A_국토부원자료'!$A:$A,ROW()+1)="","",ROW()-3)</f>
        <v/>
      </c>
      <c r="B569" s="48">
        <f>IFERROR(INDEX('04A_국토부원자료'!$A:$T,ROW()+1,MATCH("시군구",'04A_국토부원자료'!$A$4:$T$4,0)),"")</f>
        <v/>
      </c>
      <c r="C569" s="48">
        <f>IF(B569="","",IFERROR(INDEX('04A_국토부원자료'!$A:$T,ROW()+1,MATCH("번지",'04A_국토부원자료'!$A$4:$T$4,0)),""))</f>
        <v/>
      </c>
      <c r="D569" s="48">
        <f>IF(B569="","",IF(Q569=1,'02_대상물건입력'!$B$8,IFERROR(INDEX('04A_국토부원자료'!$A:$T,ROW()+1,MATCH("단지명",'04A_국토부원자료'!$A$4:$T$4,0)),"")))</f>
        <v/>
      </c>
      <c r="E569" s="172">
        <f>IFERROR(VALUE(SUBSTITUTE(INDEX('04A_국토부원자료'!$A:$T,ROW()+1,MATCH("전용면적(㎡)",'04A_국토부원자료'!$A$4:$T$4,0)),",","")),"")</f>
        <v/>
      </c>
      <c r="F5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69" s="51">
        <f>IFERROR(VALUE(SUBSTITUTE(INDEX('04A_국토부원자료'!$A:$T,ROW()+1,MATCH("거래금액(만원)",'04A_국토부원자료'!$A$4:$T$4,0)),",","")),"")</f>
        <v/>
      </c>
      <c r="H569" s="174">
        <f>IF(G569="","",G569*10000)</f>
        <v/>
      </c>
      <c r="I569" s="174">
        <f>IFERROR(IF(AND(H569&gt;0,E569&gt;0),H569/E569,""),"")</f>
        <v/>
      </c>
      <c r="J569" s="152">
        <f>IFERROR(VALUE(SUBSTITUTE(INDEX('04A_국토부원자료'!$A:$T,ROW()+1,MATCH("층",'04A_국토부원자료'!$A$4:$T$4,0)),",","")),"")</f>
        <v/>
      </c>
      <c r="K569" s="152">
        <f>IFERROR(VALUE(SUBSTITUTE(INDEX('04A_국토부원자료'!$A:$T,ROW()+1,MATCH("건축년도",'04A_국토부원자료'!$A$4:$T$4,0)),",","")),"")</f>
        <v/>
      </c>
      <c r="L569" s="176">
        <f>IFERROR(INDEX('04A_국토부원자료'!$A:$T,ROW()+1,MATCH("도로명",'04A_국토부원자료'!$A$4:$T$4,0)),"")</f>
        <v/>
      </c>
      <c r="M569" s="48">
        <f>IFERROR(INDEX('04A_국토부원자료'!$A:$T,ROW()+1,MATCH("거래유형",'04A_국토부원자료'!$A$4:$T$4,0)),"")</f>
        <v/>
      </c>
      <c r="N569" s="152">
        <f>IF(B569="","",IF('02_대상물건입력'!B5="",1,IF(ISNUMBER(SEARCH('02_대상물건입력'!B5,B569)),1,0)))</f>
        <v/>
      </c>
      <c r="O569" s="152">
        <f>IF(B569="","",IF('02_대상물건입력'!B6="",1,IF(ISNUMBER(SEARCH('02_대상물건입력'!B6,B569)),1,0)))</f>
        <v/>
      </c>
      <c r="P569" s="152">
        <f>IF(L569="","",IF('02_대상물건입력'!B15="",0,IF(ISNUMBER(SEARCH('02_대상물건입력'!B15,L569)),1,0)))</f>
        <v/>
      </c>
      <c r="Q569" s="152">
        <f>IF(OR(C569="",L569=""),0,IF(AND(TRIM(C569)=TRIM(RIGHT(SUBSTITUTE(TRIM('02_대상물건입력'!$B$7)," ",REPT(" ",99)),99)),IF('02_대상물건입력'!B15="",TRUE(),ISNUMBER(SEARCH('02_대상물건입력'!B15,L569)))),1,0))</f>
        <v/>
      </c>
      <c r="R569" s="175">
        <f>IFERROR(ABS(E569-'02_대상물건입력'!B11)/'02_대상물건입력'!B11,"")</f>
        <v/>
      </c>
      <c r="S569" s="152">
        <f>IFERROR(ABS(J569-'02_대상물건입력'!B10),"")</f>
        <v/>
      </c>
      <c r="T569" s="152">
        <f>IFERROR(ABS('01_설정'!B4-F569),"")</f>
        <v/>
      </c>
      <c r="U569" s="152">
        <f>IFERROR(ABS(K569-YEAR('02_대상물건입력'!B14)),"")</f>
        <v/>
      </c>
      <c r="V569" s="152">
        <f>IF(B569="","",IF(AND(E569&gt;0,F569&gt;0,H569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569=1,TRUE()),R569&lt;='01_설정'!B5,S569&lt;='01_설정'!B6,T569&lt;='01_설정'!B7,U569&lt;='01_설정'!B8),"Y",""))</f>
        <v/>
      </c>
      <c r="W569" s="172">
        <f>IF(V569&lt;&gt;"Y","",MAX(0,(1-R569/'01_설정'!B5))*'01_설정'!B14+MAX(0,(1-S569/'01_설정'!B6))*'01_설정'!B15+MAX(0,(1-T569/'01_설정'!B7))*'01_설정'!B16+MAX(0,(1-U569/'01_설정'!B8))*'01_설정'!B17+O569*'01_설정'!B11+Q569*'01_설정'!B12+P569*'01_설정'!B13+IF(Z569="",0,Z569))</f>
        <v/>
      </c>
      <c r="X569" s="152">
        <f>IF(W569="","",1+COUNTIFS($W$4:$W$3003,"&gt;"&amp;W569)+COUNTIFS($W$4:W569,W569)-1)</f>
        <v/>
      </c>
      <c r="Y569" s="175">
        <f>IF(OR(I569="",'02_대상물건입력'!B19="",'02_대상물건입력'!B19&lt;=0),"",ABS(I569-'02_대상물건입력'!B19)/'02_대상물건입력'!B19)</f>
        <v/>
      </c>
      <c r="Z569" s="172">
        <f>IF(OR(Y569="",'01_설정'!B31="",'01_설정'!B31&lt;=0,'01_설정'!B32="",'01_설정'!B32&lt;=0),"",MAX(0,(1-Y569/'01_설정'!B32))*'01_설정'!B31)</f>
        <v/>
      </c>
    </row>
    <row r="570" ht="17.25" customHeight="1">
      <c r="A570" s="152">
        <f>IF(INDEX('04A_국토부원자료'!$A:$A,ROW()+1)="","",ROW()-3)</f>
        <v/>
      </c>
      <c r="B570" s="48">
        <f>IFERROR(INDEX('04A_국토부원자료'!$A:$T,ROW()+1,MATCH("시군구",'04A_국토부원자료'!$A$4:$T$4,0)),"")</f>
        <v/>
      </c>
      <c r="C570" s="48">
        <f>IF(B570="","",IFERROR(INDEX('04A_국토부원자료'!$A:$T,ROW()+1,MATCH("번지",'04A_국토부원자료'!$A$4:$T$4,0)),""))</f>
        <v/>
      </c>
      <c r="D570" s="48">
        <f>IF(B570="","",IF(Q570=1,'02_대상물건입력'!$B$8,IFERROR(INDEX('04A_국토부원자료'!$A:$T,ROW()+1,MATCH("단지명",'04A_국토부원자료'!$A$4:$T$4,0)),"")))</f>
        <v/>
      </c>
      <c r="E570" s="172">
        <f>IFERROR(VALUE(SUBSTITUTE(INDEX('04A_국토부원자료'!$A:$T,ROW()+1,MATCH("전용면적(㎡)",'04A_국토부원자료'!$A$4:$T$4,0)),",","")),"")</f>
        <v/>
      </c>
      <c r="F5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70" s="51">
        <f>IFERROR(VALUE(SUBSTITUTE(INDEX('04A_국토부원자료'!$A:$T,ROW()+1,MATCH("거래금액(만원)",'04A_국토부원자료'!$A$4:$T$4,0)),",","")),"")</f>
        <v/>
      </c>
      <c r="H570" s="174">
        <f>IF(G570="","",G570*10000)</f>
        <v/>
      </c>
      <c r="I570" s="174">
        <f>IFERROR(IF(AND(H570&gt;0,E570&gt;0),H570/E570,""),"")</f>
        <v/>
      </c>
      <c r="J570" s="152">
        <f>IFERROR(VALUE(SUBSTITUTE(INDEX('04A_국토부원자료'!$A:$T,ROW()+1,MATCH("층",'04A_국토부원자료'!$A$4:$T$4,0)),",","")),"")</f>
        <v/>
      </c>
      <c r="K570" s="152">
        <f>IFERROR(VALUE(SUBSTITUTE(INDEX('04A_국토부원자료'!$A:$T,ROW()+1,MATCH("건축년도",'04A_국토부원자료'!$A$4:$T$4,0)),",","")),"")</f>
        <v/>
      </c>
      <c r="L570" s="176">
        <f>IFERROR(INDEX('04A_국토부원자료'!$A:$T,ROW()+1,MATCH("도로명",'04A_국토부원자료'!$A$4:$T$4,0)),"")</f>
        <v/>
      </c>
      <c r="M570" s="48">
        <f>IFERROR(INDEX('04A_국토부원자료'!$A:$T,ROW()+1,MATCH("거래유형",'04A_국토부원자료'!$A$4:$T$4,0)),"")</f>
        <v/>
      </c>
      <c r="N570" s="152">
        <f>IF(B570="","",IF('02_대상물건입력'!B5="",1,IF(ISNUMBER(SEARCH('02_대상물건입력'!B5,B570)),1,0)))</f>
        <v/>
      </c>
      <c r="O570" s="152">
        <f>IF(B570="","",IF('02_대상물건입력'!B6="",1,IF(ISNUMBER(SEARCH('02_대상물건입력'!B6,B570)),1,0)))</f>
        <v/>
      </c>
      <c r="P570" s="152">
        <f>IF(L570="","",IF('02_대상물건입력'!B15="",0,IF(ISNUMBER(SEARCH('02_대상물건입력'!B15,L570)),1,0)))</f>
        <v/>
      </c>
      <c r="Q570" s="152">
        <f>IF(OR(C570="",L570=""),0,IF(AND(TRIM(C570)=TRIM(RIGHT(SUBSTITUTE(TRIM('02_대상물건입력'!$B$7)," ",REPT(" ",99)),99)),IF('02_대상물건입력'!B15="",TRUE(),ISNUMBER(SEARCH('02_대상물건입력'!B15,L570)))),1,0))</f>
        <v/>
      </c>
      <c r="R570" s="175">
        <f>IFERROR(ABS(E570-'02_대상물건입력'!B11)/'02_대상물건입력'!B11,"")</f>
        <v/>
      </c>
      <c r="S570" s="152">
        <f>IFERROR(ABS(J570-'02_대상물건입력'!B10),"")</f>
        <v/>
      </c>
      <c r="T570" s="152">
        <f>IFERROR(ABS('01_설정'!B4-F570),"")</f>
        <v/>
      </c>
      <c r="U570" s="152">
        <f>IFERROR(ABS(K570-YEAR('02_대상물건입력'!B14)),"")</f>
        <v/>
      </c>
      <c r="V570" s="152">
        <f>IF(B570="","",IF(AND(E570&gt;0,F570&gt;0,H570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570=1,TRUE()),R570&lt;='01_설정'!B5,S570&lt;='01_설정'!B6,T570&lt;='01_설정'!B7,U570&lt;='01_설정'!B8),"Y",""))</f>
        <v/>
      </c>
      <c r="W570" s="172">
        <f>IF(V570&lt;&gt;"Y","",MAX(0,(1-R570/'01_설정'!B5))*'01_설정'!B14+MAX(0,(1-S570/'01_설정'!B6))*'01_설정'!B15+MAX(0,(1-T570/'01_설정'!B7))*'01_설정'!B16+MAX(0,(1-U570/'01_설정'!B8))*'01_설정'!B17+O570*'01_설정'!B11+Q570*'01_설정'!B12+P570*'01_설정'!B13+IF(Z570="",0,Z570))</f>
        <v/>
      </c>
      <c r="X570" s="152">
        <f>IF(W570="","",1+COUNTIFS($W$4:$W$3003,"&gt;"&amp;W570)+COUNTIFS($W$4:W570,W570)-1)</f>
        <v/>
      </c>
      <c r="Y570" s="175">
        <f>IF(OR(I570="",'02_대상물건입력'!B19="",'02_대상물건입력'!B19&lt;=0),"",ABS(I570-'02_대상물건입력'!B19)/'02_대상물건입력'!B19)</f>
        <v/>
      </c>
      <c r="Z570" s="172">
        <f>IF(OR(Y570="",'01_설정'!B31="",'01_설정'!B31&lt;=0,'01_설정'!B32="",'01_설정'!B32&lt;=0),"",MAX(0,(1-Y570/'01_설정'!B32))*'01_설정'!B31)</f>
        <v/>
      </c>
    </row>
    <row r="571" ht="17.25" customHeight="1">
      <c r="A571" s="152">
        <f>IF(INDEX('04A_국토부원자료'!$A:$A,ROW()+1)="","",ROW()-3)</f>
        <v/>
      </c>
      <c r="B571" s="48">
        <f>IFERROR(INDEX('04A_국토부원자료'!$A:$T,ROW()+1,MATCH("시군구",'04A_국토부원자료'!$A$4:$T$4,0)),"")</f>
        <v/>
      </c>
      <c r="C571" s="48">
        <f>IF(B571="","",IFERROR(INDEX('04A_국토부원자료'!$A:$T,ROW()+1,MATCH("번지",'04A_국토부원자료'!$A$4:$T$4,0)),""))</f>
        <v/>
      </c>
      <c r="D571" s="48">
        <f>IF(B571="","",IF(Q571=1,'02_대상물건입력'!$B$8,IFERROR(INDEX('04A_국토부원자료'!$A:$T,ROW()+1,MATCH("단지명",'04A_국토부원자료'!$A$4:$T$4,0)),"")))</f>
        <v/>
      </c>
      <c r="E571" s="172">
        <f>IFERROR(VALUE(SUBSTITUTE(INDEX('04A_국토부원자료'!$A:$T,ROW()+1,MATCH("전용면적(㎡)",'04A_국토부원자료'!$A$4:$T$4,0)),",","")),"")</f>
        <v/>
      </c>
      <c r="F5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71" s="51">
        <f>IFERROR(VALUE(SUBSTITUTE(INDEX('04A_국토부원자료'!$A:$T,ROW()+1,MATCH("거래금액(만원)",'04A_국토부원자료'!$A$4:$T$4,0)),",","")),"")</f>
        <v/>
      </c>
      <c r="H571" s="174">
        <f>IF(G571="","",G571*10000)</f>
        <v/>
      </c>
      <c r="I571" s="174">
        <f>IFERROR(IF(AND(H571&gt;0,E571&gt;0),H571/E571,""),"")</f>
        <v/>
      </c>
      <c r="J571" s="152">
        <f>IFERROR(VALUE(SUBSTITUTE(INDEX('04A_국토부원자료'!$A:$T,ROW()+1,MATCH("층",'04A_국토부원자료'!$A$4:$T$4,0)),",","")),"")</f>
        <v/>
      </c>
      <c r="K571" s="152">
        <f>IFERROR(VALUE(SUBSTITUTE(INDEX('04A_국토부원자료'!$A:$T,ROW()+1,MATCH("건축년도",'04A_국토부원자료'!$A$4:$T$4,0)),",","")),"")</f>
        <v/>
      </c>
      <c r="L571" s="176">
        <f>IFERROR(INDEX('04A_국토부원자료'!$A:$T,ROW()+1,MATCH("도로명",'04A_국토부원자료'!$A$4:$T$4,0)),"")</f>
        <v/>
      </c>
      <c r="M571" s="48">
        <f>IFERROR(INDEX('04A_국토부원자료'!$A:$T,ROW()+1,MATCH("거래유형",'04A_국토부원자료'!$A$4:$T$4,0)),"")</f>
        <v/>
      </c>
      <c r="N571" s="152">
        <f>IF(B571="","",IF('02_대상물건입력'!B5="",1,IF(ISNUMBER(SEARCH('02_대상물건입력'!B5,B571)),1,0)))</f>
        <v/>
      </c>
      <c r="O571" s="152">
        <f>IF(B571="","",IF('02_대상물건입력'!B6="",1,IF(ISNUMBER(SEARCH('02_대상물건입력'!B6,B571)),1,0)))</f>
        <v/>
      </c>
      <c r="P571" s="152">
        <f>IF(L571="","",IF('02_대상물건입력'!B15="",0,IF(ISNUMBER(SEARCH('02_대상물건입력'!B15,L571)),1,0)))</f>
        <v/>
      </c>
      <c r="Q571" s="152">
        <f>IF(OR(C571="",L571=""),0,IF(AND(TRIM(C571)=TRIM(RIGHT(SUBSTITUTE(TRIM('02_대상물건입력'!$B$7)," ",REPT(" ",99)),99)),IF('02_대상물건입력'!B15="",TRUE(),ISNUMBER(SEARCH('02_대상물건입력'!B15,L571)))),1,0))</f>
        <v/>
      </c>
      <c r="R571" s="175">
        <f>IFERROR(ABS(E571-'02_대상물건입력'!B11)/'02_대상물건입력'!B11,"")</f>
        <v/>
      </c>
      <c r="S571" s="152">
        <f>IFERROR(ABS(J571-'02_대상물건입력'!B10),"")</f>
        <v/>
      </c>
      <c r="T571" s="152">
        <f>IFERROR(ABS('01_설정'!B4-F571),"")</f>
        <v/>
      </c>
      <c r="U571" s="152">
        <f>IFERROR(ABS(K571-YEAR('02_대상물건입력'!B14)),"")</f>
        <v/>
      </c>
      <c r="V571" s="152">
        <f>IF(B571="","",IF(AND(E571&gt;0,F571&gt;0,H571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571=1,TRUE()),R571&lt;='01_설정'!B5,S571&lt;='01_설정'!B6,T571&lt;='01_설정'!B7,U571&lt;='01_설정'!B8),"Y",""))</f>
        <v/>
      </c>
      <c r="W571" s="172">
        <f>IF(V571&lt;&gt;"Y","",MAX(0,(1-R571/'01_설정'!B5))*'01_설정'!B14+MAX(0,(1-S571/'01_설정'!B6))*'01_설정'!B15+MAX(0,(1-T571/'01_설정'!B7))*'01_설정'!B16+MAX(0,(1-U571/'01_설정'!B8))*'01_설정'!B17+O571*'01_설정'!B11+Q571*'01_설정'!B12+P571*'01_설정'!B13+IF(Z571="",0,Z571))</f>
        <v/>
      </c>
      <c r="X571" s="152">
        <f>IF(W571="","",1+COUNTIFS($W$4:$W$3003,"&gt;"&amp;W571)+COUNTIFS($W$4:W571,W571)-1)</f>
        <v/>
      </c>
      <c r="Y571" s="175">
        <f>IF(OR(I571="",'02_대상물건입력'!B19="",'02_대상물건입력'!B19&lt;=0),"",ABS(I571-'02_대상물건입력'!B19)/'02_대상물건입력'!B19)</f>
        <v/>
      </c>
      <c r="Z571" s="172">
        <f>IF(OR(Y571="",'01_설정'!B31="",'01_설정'!B31&lt;=0,'01_설정'!B32="",'01_설정'!B32&lt;=0),"",MAX(0,(1-Y571/'01_설정'!B32))*'01_설정'!B31)</f>
        <v/>
      </c>
    </row>
    <row r="572" ht="17.25" customHeight="1">
      <c r="A572" s="152">
        <f>IF(INDEX('04A_국토부원자료'!$A:$A,ROW()+1)="","",ROW()-3)</f>
        <v/>
      </c>
      <c r="B572" s="48">
        <f>IFERROR(INDEX('04A_국토부원자료'!$A:$T,ROW()+1,MATCH("시군구",'04A_국토부원자료'!$A$4:$T$4,0)),"")</f>
        <v/>
      </c>
      <c r="C572" s="48">
        <f>IF(B572="","",IFERROR(INDEX('04A_국토부원자료'!$A:$T,ROW()+1,MATCH("번지",'04A_국토부원자료'!$A$4:$T$4,0)),""))</f>
        <v/>
      </c>
      <c r="D572" s="48">
        <f>IF(B572="","",IF(Q572=1,'02_대상물건입력'!$B$8,IFERROR(INDEX('04A_국토부원자료'!$A:$T,ROW()+1,MATCH("단지명",'04A_국토부원자료'!$A$4:$T$4,0)),"")))</f>
        <v/>
      </c>
      <c r="E572" s="172">
        <f>IFERROR(VALUE(SUBSTITUTE(INDEX('04A_국토부원자료'!$A:$T,ROW()+1,MATCH("전용면적(㎡)",'04A_국토부원자료'!$A$4:$T$4,0)),",","")),"")</f>
        <v/>
      </c>
      <c r="F5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72" s="51">
        <f>IFERROR(VALUE(SUBSTITUTE(INDEX('04A_국토부원자료'!$A:$T,ROW()+1,MATCH("거래금액(만원)",'04A_국토부원자료'!$A$4:$T$4,0)),",","")),"")</f>
        <v/>
      </c>
      <c r="H572" s="174">
        <f>IF(G572="","",G572*10000)</f>
        <v/>
      </c>
      <c r="I572" s="174">
        <f>IFERROR(IF(AND(H572&gt;0,E572&gt;0),H572/E572,""),"")</f>
        <v/>
      </c>
      <c r="J572" s="152">
        <f>IFERROR(VALUE(SUBSTITUTE(INDEX('04A_국토부원자료'!$A:$T,ROW()+1,MATCH("층",'04A_국토부원자료'!$A$4:$T$4,0)),",","")),"")</f>
        <v/>
      </c>
      <c r="K572" s="152">
        <f>IFERROR(VALUE(SUBSTITUTE(INDEX('04A_국토부원자료'!$A:$T,ROW()+1,MATCH("건축년도",'04A_국토부원자료'!$A$4:$T$4,0)),",","")),"")</f>
        <v/>
      </c>
      <c r="L572" s="176">
        <f>IFERROR(INDEX('04A_국토부원자료'!$A:$T,ROW()+1,MATCH("도로명",'04A_국토부원자료'!$A$4:$T$4,0)),"")</f>
        <v/>
      </c>
      <c r="M572" s="48">
        <f>IFERROR(INDEX('04A_국토부원자료'!$A:$T,ROW()+1,MATCH("거래유형",'04A_국토부원자료'!$A$4:$T$4,0)),"")</f>
        <v/>
      </c>
      <c r="N572" s="152">
        <f>IF(B572="","",IF('02_대상물건입력'!B5="",1,IF(ISNUMBER(SEARCH('02_대상물건입력'!B5,B572)),1,0)))</f>
        <v/>
      </c>
      <c r="O572" s="152">
        <f>IF(B572="","",IF('02_대상물건입력'!B6="",1,IF(ISNUMBER(SEARCH('02_대상물건입력'!B6,B572)),1,0)))</f>
        <v/>
      </c>
      <c r="P572" s="152">
        <f>IF(L572="","",IF('02_대상물건입력'!B15="",0,IF(ISNUMBER(SEARCH('02_대상물건입력'!B15,L572)),1,0)))</f>
        <v/>
      </c>
      <c r="Q572" s="152">
        <f>IF(OR(C572="",L572=""),0,IF(AND(TRIM(C572)=TRIM(RIGHT(SUBSTITUTE(TRIM('02_대상물건입력'!$B$7)," ",REPT(" ",99)),99)),IF('02_대상물건입력'!B15="",TRUE(),ISNUMBER(SEARCH('02_대상물건입력'!B15,L572)))),1,0))</f>
        <v/>
      </c>
      <c r="R572" s="175">
        <f>IFERROR(ABS(E572-'02_대상물건입력'!B11)/'02_대상물건입력'!B11,"")</f>
        <v/>
      </c>
      <c r="S572" s="152">
        <f>IFERROR(ABS(J572-'02_대상물건입력'!B10),"")</f>
        <v/>
      </c>
      <c r="T572" s="152">
        <f>IFERROR(ABS('01_설정'!B4-F572),"")</f>
        <v/>
      </c>
      <c r="U572" s="152">
        <f>IFERROR(ABS(K572-YEAR('02_대상물건입력'!B14)),"")</f>
        <v/>
      </c>
      <c r="V572" s="152">
        <f>IF(B572="","",IF(AND(E572&gt;0,F572&gt;0,H572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572=1,TRUE()),R572&lt;='01_설정'!B5,S572&lt;='01_설정'!B6,T572&lt;='01_설정'!B7,U572&lt;='01_설정'!B8),"Y",""))</f>
        <v/>
      </c>
      <c r="W572" s="172">
        <f>IF(V572&lt;&gt;"Y","",MAX(0,(1-R572/'01_설정'!B5))*'01_설정'!B14+MAX(0,(1-S572/'01_설정'!B6))*'01_설정'!B15+MAX(0,(1-T572/'01_설정'!B7))*'01_설정'!B16+MAX(0,(1-U572/'01_설정'!B8))*'01_설정'!B17+O572*'01_설정'!B11+Q572*'01_설정'!B12+P572*'01_설정'!B13+IF(Z572="",0,Z572))</f>
        <v/>
      </c>
      <c r="X572" s="152">
        <f>IF(W572="","",1+COUNTIFS($W$4:$W$3003,"&gt;"&amp;W572)+COUNTIFS($W$4:W572,W572)-1)</f>
        <v/>
      </c>
      <c r="Y572" s="175">
        <f>IF(OR(I572="",'02_대상물건입력'!B19="",'02_대상물건입력'!B19&lt;=0),"",ABS(I572-'02_대상물건입력'!B19)/'02_대상물건입력'!B19)</f>
        <v/>
      </c>
      <c r="Z572" s="172">
        <f>IF(OR(Y572="",'01_설정'!B31="",'01_설정'!B31&lt;=0,'01_설정'!B32="",'01_설정'!B32&lt;=0),"",MAX(0,(1-Y572/'01_설정'!B32))*'01_설정'!B31)</f>
        <v/>
      </c>
    </row>
    <row r="573" ht="17.25" customHeight="1">
      <c r="A573" s="152">
        <f>IF(INDEX('04A_국토부원자료'!$A:$A,ROW()+1)="","",ROW()-3)</f>
        <v/>
      </c>
      <c r="B573" s="48">
        <f>IFERROR(INDEX('04A_국토부원자료'!$A:$T,ROW()+1,MATCH("시군구",'04A_국토부원자료'!$A$4:$T$4,0)),"")</f>
        <v/>
      </c>
      <c r="C573" s="48">
        <f>IF(B573="","",IFERROR(INDEX('04A_국토부원자료'!$A:$T,ROW()+1,MATCH("번지",'04A_국토부원자료'!$A$4:$T$4,0)),""))</f>
        <v/>
      </c>
      <c r="D573" s="48">
        <f>IF(B573="","",IF(Q573=1,'02_대상물건입력'!$B$8,IFERROR(INDEX('04A_국토부원자료'!$A:$T,ROW()+1,MATCH("단지명",'04A_국토부원자료'!$A$4:$T$4,0)),"")))</f>
        <v/>
      </c>
      <c r="E573" s="172">
        <f>IFERROR(VALUE(SUBSTITUTE(INDEX('04A_국토부원자료'!$A:$T,ROW()+1,MATCH("전용면적(㎡)",'04A_국토부원자료'!$A$4:$T$4,0)),",","")),"")</f>
        <v/>
      </c>
      <c r="F5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73" s="51">
        <f>IFERROR(VALUE(SUBSTITUTE(INDEX('04A_국토부원자료'!$A:$T,ROW()+1,MATCH("거래금액(만원)",'04A_국토부원자료'!$A$4:$T$4,0)),",","")),"")</f>
        <v/>
      </c>
      <c r="H573" s="174">
        <f>IF(G573="","",G573*10000)</f>
        <v/>
      </c>
      <c r="I573" s="174">
        <f>IFERROR(IF(AND(H573&gt;0,E573&gt;0),H573/E573,""),"")</f>
        <v/>
      </c>
      <c r="J573" s="152">
        <f>IFERROR(VALUE(SUBSTITUTE(INDEX('04A_국토부원자료'!$A:$T,ROW()+1,MATCH("층",'04A_국토부원자료'!$A$4:$T$4,0)),",","")),"")</f>
        <v/>
      </c>
      <c r="K573" s="152">
        <f>IFERROR(VALUE(SUBSTITUTE(INDEX('04A_국토부원자료'!$A:$T,ROW()+1,MATCH("건축년도",'04A_국토부원자료'!$A$4:$T$4,0)),",","")),"")</f>
        <v/>
      </c>
      <c r="L573" s="176">
        <f>IFERROR(INDEX('04A_국토부원자료'!$A:$T,ROW()+1,MATCH("도로명",'04A_국토부원자료'!$A$4:$T$4,0)),"")</f>
        <v/>
      </c>
      <c r="M573" s="48">
        <f>IFERROR(INDEX('04A_국토부원자료'!$A:$T,ROW()+1,MATCH("거래유형",'04A_국토부원자료'!$A$4:$T$4,0)),"")</f>
        <v/>
      </c>
      <c r="N573" s="152">
        <f>IF(B573="","",IF('02_대상물건입력'!B5="",1,IF(ISNUMBER(SEARCH('02_대상물건입력'!B5,B573)),1,0)))</f>
        <v/>
      </c>
      <c r="O573" s="152">
        <f>IF(B573="","",IF('02_대상물건입력'!B6="",1,IF(ISNUMBER(SEARCH('02_대상물건입력'!B6,B573)),1,0)))</f>
        <v/>
      </c>
      <c r="P573" s="152">
        <f>IF(L573="","",IF('02_대상물건입력'!B15="",0,IF(ISNUMBER(SEARCH('02_대상물건입력'!B15,L573)),1,0)))</f>
        <v/>
      </c>
      <c r="Q573" s="152">
        <f>IF(OR(C573="",L573=""),0,IF(AND(TRIM(C573)=TRIM(RIGHT(SUBSTITUTE(TRIM('02_대상물건입력'!$B$7)," ",REPT(" ",99)),99)),IF('02_대상물건입력'!B15="",TRUE(),ISNUMBER(SEARCH('02_대상물건입력'!B15,L573)))),1,0))</f>
        <v/>
      </c>
      <c r="R573" s="175">
        <f>IFERROR(ABS(E573-'02_대상물건입력'!B11)/'02_대상물건입력'!B11,"")</f>
        <v/>
      </c>
      <c r="S573" s="152">
        <f>IFERROR(ABS(J573-'02_대상물건입력'!B10),"")</f>
        <v/>
      </c>
      <c r="T573" s="152">
        <f>IFERROR(ABS('01_설정'!B4-F573),"")</f>
        <v/>
      </c>
      <c r="U573" s="152">
        <f>IFERROR(ABS(K573-YEAR('02_대상물건입력'!B14)),"")</f>
        <v/>
      </c>
      <c r="V573" s="152">
        <f>IF(B573="","",IF(AND(E573&gt;0,F573&gt;0,H573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573=1,TRUE()),R573&lt;='01_설정'!B5,S573&lt;='01_설정'!B6,T573&lt;='01_설정'!B7,U573&lt;='01_설정'!B8),"Y",""))</f>
        <v/>
      </c>
      <c r="W573" s="172">
        <f>IF(V573&lt;&gt;"Y","",MAX(0,(1-R573/'01_설정'!B5))*'01_설정'!B14+MAX(0,(1-S573/'01_설정'!B6))*'01_설정'!B15+MAX(0,(1-T573/'01_설정'!B7))*'01_설정'!B16+MAX(0,(1-U573/'01_설정'!B8))*'01_설정'!B17+O573*'01_설정'!B11+Q573*'01_설정'!B12+P573*'01_설정'!B13+IF(Z573="",0,Z573))</f>
        <v/>
      </c>
      <c r="X573" s="152">
        <f>IF(W573="","",1+COUNTIFS($W$4:$W$3003,"&gt;"&amp;W573)+COUNTIFS($W$4:W573,W573)-1)</f>
        <v/>
      </c>
      <c r="Y573" s="175">
        <f>IF(OR(I573="",'02_대상물건입력'!B19="",'02_대상물건입력'!B19&lt;=0),"",ABS(I573-'02_대상물건입력'!B19)/'02_대상물건입력'!B19)</f>
        <v/>
      </c>
      <c r="Z573" s="172">
        <f>IF(OR(Y573="",'01_설정'!B31="",'01_설정'!B31&lt;=0,'01_설정'!B32="",'01_설정'!B32&lt;=0),"",MAX(0,(1-Y573/'01_설정'!B32))*'01_설정'!B31)</f>
        <v/>
      </c>
    </row>
    <row r="574" ht="17.25" customHeight="1">
      <c r="A574" s="152">
        <f>IF(INDEX('04A_국토부원자료'!$A:$A,ROW()+1)="","",ROW()-3)</f>
        <v/>
      </c>
      <c r="B574" s="48">
        <f>IFERROR(INDEX('04A_국토부원자료'!$A:$T,ROW()+1,MATCH("시군구",'04A_국토부원자료'!$A$4:$T$4,0)),"")</f>
        <v/>
      </c>
      <c r="C574" s="48">
        <f>IF(B574="","",IFERROR(INDEX('04A_국토부원자료'!$A:$T,ROW()+1,MATCH("번지",'04A_국토부원자료'!$A$4:$T$4,0)),""))</f>
        <v/>
      </c>
      <c r="D574" s="48">
        <f>IF(B574="","",IF(Q574=1,'02_대상물건입력'!$B$8,IFERROR(INDEX('04A_국토부원자료'!$A:$T,ROW()+1,MATCH("단지명",'04A_국토부원자료'!$A$4:$T$4,0)),"")))</f>
        <v/>
      </c>
      <c r="E574" s="172">
        <f>IFERROR(VALUE(SUBSTITUTE(INDEX('04A_국토부원자료'!$A:$T,ROW()+1,MATCH("전용면적(㎡)",'04A_국토부원자료'!$A$4:$T$4,0)),",","")),"")</f>
        <v/>
      </c>
      <c r="F5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74" s="51">
        <f>IFERROR(VALUE(SUBSTITUTE(INDEX('04A_국토부원자료'!$A:$T,ROW()+1,MATCH("거래금액(만원)",'04A_국토부원자료'!$A$4:$T$4,0)),",","")),"")</f>
        <v/>
      </c>
      <c r="H574" s="174">
        <f>IF(G574="","",G574*10000)</f>
        <v/>
      </c>
      <c r="I574" s="174">
        <f>IFERROR(IF(AND(H574&gt;0,E574&gt;0),H574/E574,""),"")</f>
        <v/>
      </c>
      <c r="J574" s="152">
        <f>IFERROR(VALUE(SUBSTITUTE(INDEX('04A_국토부원자료'!$A:$T,ROW()+1,MATCH("층",'04A_국토부원자료'!$A$4:$T$4,0)),",","")),"")</f>
        <v/>
      </c>
      <c r="K574" s="152">
        <f>IFERROR(VALUE(SUBSTITUTE(INDEX('04A_국토부원자료'!$A:$T,ROW()+1,MATCH("건축년도",'04A_국토부원자료'!$A$4:$T$4,0)),",","")),"")</f>
        <v/>
      </c>
      <c r="L574" s="176">
        <f>IFERROR(INDEX('04A_국토부원자료'!$A:$T,ROW()+1,MATCH("도로명",'04A_국토부원자료'!$A$4:$T$4,0)),"")</f>
        <v/>
      </c>
      <c r="M574" s="48">
        <f>IFERROR(INDEX('04A_국토부원자료'!$A:$T,ROW()+1,MATCH("거래유형",'04A_국토부원자료'!$A$4:$T$4,0)),"")</f>
        <v/>
      </c>
      <c r="N574" s="152">
        <f>IF(B574="","",IF('02_대상물건입력'!B5="",1,IF(ISNUMBER(SEARCH('02_대상물건입력'!B5,B574)),1,0)))</f>
        <v/>
      </c>
      <c r="O574" s="152">
        <f>IF(B574="","",IF('02_대상물건입력'!B6="",1,IF(ISNUMBER(SEARCH('02_대상물건입력'!B6,B574)),1,0)))</f>
        <v/>
      </c>
      <c r="P574" s="152">
        <f>IF(L574="","",IF('02_대상물건입력'!B15="",0,IF(ISNUMBER(SEARCH('02_대상물건입력'!B15,L574)),1,0)))</f>
        <v/>
      </c>
      <c r="Q574" s="152">
        <f>IF(OR(C574="",L574=""),0,IF(AND(TRIM(C574)=TRIM(RIGHT(SUBSTITUTE(TRIM('02_대상물건입력'!$B$7)," ",REPT(" ",99)),99)),IF('02_대상물건입력'!B15="",TRUE(),ISNUMBER(SEARCH('02_대상물건입력'!B15,L574)))),1,0))</f>
        <v/>
      </c>
      <c r="R574" s="175">
        <f>IFERROR(ABS(E574-'02_대상물건입력'!B11)/'02_대상물건입력'!B11,"")</f>
        <v/>
      </c>
      <c r="S574" s="152">
        <f>IFERROR(ABS(J574-'02_대상물건입력'!B10),"")</f>
        <v/>
      </c>
      <c r="T574" s="152">
        <f>IFERROR(ABS('01_설정'!B4-F574),"")</f>
        <v/>
      </c>
      <c r="U574" s="152">
        <f>IFERROR(ABS(K574-YEAR('02_대상물건입력'!B14)),"")</f>
        <v/>
      </c>
      <c r="V574" s="152">
        <f>IF(B574="","",IF(AND(E574&gt;0,F574&gt;0,H574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574=1,TRUE()),R574&lt;='01_설정'!B5,S574&lt;='01_설정'!B6,T574&lt;='01_설정'!B7,U574&lt;='01_설정'!B8),"Y",""))</f>
        <v/>
      </c>
      <c r="W574" s="172">
        <f>IF(V574&lt;&gt;"Y","",MAX(0,(1-R574/'01_설정'!B5))*'01_설정'!B14+MAX(0,(1-S574/'01_설정'!B6))*'01_설정'!B15+MAX(0,(1-T574/'01_설정'!B7))*'01_설정'!B16+MAX(0,(1-U574/'01_설정'!B8))*'01_설정'!B17+O574*'01_설정'!B11+Q574*'01_설정'!B12+P574*'01_설정'!B13+IF(Z574="",0,Z574))</f>
        <v/>
      </c>
      <c r="X574" s="152">
        <f>IF(W574="","",1+COUNTIFS($W$4:$W$3003,"&gt;"&amp;W574)+COUNTIFS($W$4:W574,W574)-1)</f>
        <v/>
      </c>
      <c r="Y574" s="175">
        <f>IF(OR(I574="",'02_대상물건입력'!B19="",'02_대상물건입력'!B19&lt;=0),"",ABS(I574-'02_대상물건입력'!B19)/'02_대상물건입력'!B19)</f>
        <v/>
      </c>
      <c r="Z574" s="172">
        <f>IF(OR(Y574="",'01_설정'!B31="",'01_설정'!B31&lt;=0,'01_설정'!B32="",'01_설정'!B32&lt;=0),"",MAX(0,(1-Y574/'01_설정'!B32))*'01_설정'!B31)</f>
        <v/>
      </c>
    </row>
    <row r="575" ht="17.25" customHeight="1">
      <c r="A575" s="152">
        <f>IF(INDEX('04A_국토부원자료'!$A:$A,ROW()+1)="","",ROW()-3)</f>
        <v/>
      </c>
      <c r="B575" s="48">
        <f>IFERROR(INDEX('04A_국토부원자료'!$A:$T,ROW()+1,MATCH("시군구",'04A_국토부원자료'!$A$4:$T$4,0)),"")</f>
        <v/>
      </c>
      <c r="C575" s="48">
        <f>IF(B575="","",IFERROR(INDEX('04A_국토부원자료'!$A:$T,ROW()+1,MATCH("번지",'04A_국토부원자료'!$A$4:$T$4,0)),""))</f>
        <v/>
      </c>
      <c r="D575" s="48">
        <f>IF(B575="","",IF(Q575=1,'02_대상물건입력'!$B$8,IFERROR(INDEX('04A_국토부원자료'!$A:$T,ROW()+1,MATCH("단지명",'04A_국토부원자료'!$A$4:$T$4,0)),"")))</f>
        <v/>
      </c>
      <c r="E575" s="172">
        <f>IFERROR(VALUE(SUBSTITUTE(INDEX('04A_국토부원자료'!$A:$T,ROW()+1,MATCH("전용면적(㎡)",'04A_국토부원자료'!$A$4:$T$4,0)),",","")),"")</f>
        <v/>
      </c>
      <c r="F5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75" s="51">
        <f>IFERROR(VALUE(SUBSTITUTE(INDEX('04A_국토부원자료'!$A:$T,ROW()+1,MATCH("거래금액(만원)",'04A_국토부원자료'!$A$4:$T$4,0)),",","")),"")</f>
        <v/>
      </c>
      <c r="H575" s="174">
        <f>IF(G575="","",G575*10000)</f>
        <v/>
      </c>
      <c r="I575" s="174">
        <f>IFERROR(IF(AND(H575&gt;0,E575&gt;0),H575/E575,""),"")</f>
        <v/>
      </c>
      <c r="J575" s="152">
        <f>IFERROR(VALUE(SUBSTITUTE(INDEX('04A_국토부원자료'!$A:$T,ROW()+1,MATCH("층",'04A_국토부원자료'!$A$4:$T$4,0)),",","")),"")</f>
        <v/>
      </c>
      <c r="K575" s="152">
        <f>IFERROR(VALUE(SUBSTITUTE(INDEX('04A_국토부원자료'!$A:$T,ROW()+1,MATCH("건축년도",'04A_국토부원자료'!$A$4:$T$4,0)),",","")),"")</f>
        <v/>
      </c>
      <c r="L575" s="176">
        <f>IFERROR(INDEX('04A_국토부원자료'!$A:$T,ROW()+1,MATCH("도로명",'04A_국토부원자료'!$A$4:$T$4,0)),"")</f>
        <v/>
      </c>
      <c r="M575" s="48">
        <f>IFERROR(INDEX('04A_국토부원자료'!$A:$T,ROW()+1,MATCH("거래유형",'04A_국토부원자료'!$A$4:$T$4,0)),"")</f>
        <v/>
      </c>
      <c r="N575" s="152">
        <f>IF(B575="","",IF('02_대상물건입력'!B5="",1,IF(ISNUMBER(SEARCH('02_대상물건입력'!B5,B575)),1,0)))</f>
        <v/>
      </c>
      <c r="O575" s="152">
        <f>IF(B575="","",IF('02_대상물건입력'!B6="",1,IF(ISNUMBER(SEARCH('02_대상물건입력'!B6,B575)),1,0)))</f>
        <v/>
      </c>
      <c r="P575" s="152">
        <f>IF(L575="","",IF('02_대상물건입력'!B15="",0,IF(ISNUMBER(SEARCH('02_대상물건입력'!B15,L575)),1,0)))</f>
        <v/>
      </c>
      <c r="Q575" s="152">
        <f>IF(OR(C575="",L575=""),0,IF(AND(TRIM(C575)=TRIM(RIGHT(SUBSTITUTE(TRIM('02_대상물건입력'!$B$7)," ",REPT(" ",99)),99)),IF('02_대상물건입력'!B15="",TRUE(),ISNUMBER(SEARCH('02_대상물건입력'!B15,L575)))),1,0))</f>
        <v/>
      </c>
      <c r="R575" s="175">
        <f>IFERROR(ABS(E575-'02_대상물건입력'!B11)/'02_대상물건입력'!B11,"")</f>
        <v/>
      </c>
      <c r="S575" s="152">
        <f>IFERROR(ABS(J575-'02_대상물건입력'!B10),"")</f>
        <v/>
      </c>
      <c r="T575" s="152">
        <f>IFERROR(ABS('01_설정'!B4-F575),"")</f>
        <v/>
      </c>
      <c r="U575" s="152">
        <f>IFERROR(ABS(K575-YEAR('02_대상물건입력'!B14)),"")</f>
        <v/>
      </c>
      <c r="V575" s="152">
        <f>IF(B575="","",IF(AND(E575&gt;0,F575&gt;0,H575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575=1,TRUE()),R575&lt;='01_설정'!B5,S575&lt;='01_설정'!B6,T575&lt;='01_설정'!B7,U575&lt;='01_설정'!B8),"Y",""))</f>
        <v/>
      </c>
      <c r="W575" s="172">
        <f>IF(V575&lt;&gt;"Y","",MAX(0,(1-R575/'01_설정'!B5))*'01_설정'!B14+MAX(0,(1-S575/'01_설정'!B6))*'01_설정'!B15+MAX(0,(1-T575/'01_설정'!B7))*'01_설정'!B16+MAX(0,(1-U575/'01_설정'!B8))*'01_설정'!B17+O575*'01_설정'!B11+Q575*'01_설정'!B12+P575*'01_설정'!B13+IF(Z575="",0,Z575))</f>
        <v/>
      </c>
      <c r="X575" s="152">
        <f>IF(W575="","",1+COUNTIFS($W$4:$W$3003,"&gt;"&amp;W575)+COUNTIFS($W$4:W575,W575)-1)</f>
        <v/>
      </c>
      <c r="Y575" s="175">
        <f>IF(OR(I575="",'02_대상물건입력'!B19="",'02_대상물건입력'!B19&lt;=0),"",ABS(I575-'02_대상물건입력'!B19)/'02_대상물건입력'!B19)</f>
        <v/>
      </c>
      <c r="Z575" s="172">
        <f>IF(OR(Y575="",'01_설정'!B31="",'01_설정'!B31&lt;=0,'01_설정'!B32="",'01_설정'!B32&lt;=0),"",MAX(0,(1-Y575/'01_설정'!B32))*'01_설정'!B31)</f>
        <v/>
      </c>
    </row>
    <row r="576" ht="17.25" customHeight="1">
      <c r="A576" s="152">
        <f>IF(INDEX('04A_국토부원자료'!$A:$A,ROW()+1)="","",ROW()-3)</f>
        <v/>
      </c>
      <c r="B576" s="48">
        <f>IFERROR(INDEX('04A_국토부원자료'!$A:$T,ROW()+1,MATCH("시군구",'04A_국토부원자료'!$A$4:$T$4,0)),"")</f>
        <v/>
      </c>
      <c r="C576" s="48">
        <f>IF(B576="","",IFERROR(INDEX('04A_국토부원자료'!$A:$T,ROW()+1,MATCH("번지",'04A_국토부원자료'!$A$4:$T$4,0)),""))</f>
        <v/>
      </c>
      <c r="D576" s="48">
        <f>IF(B576="","",IF(Q576=1,'02_대상물건입력'!$B$8,IFERROR(INDEX('04A_국토부원자료'!$A:$T,ROW()+1,MATCH("단지명",'04A_국토부원자료'!$A$4:$T$4,0)),"")))</f>
        <v/>
      </c>
      <c r="E576" s="172">
        <f>IFERROR(VALUE(SUBSTITUTE(INDEX('04A_국토부원자료'!$A:$T,ROW()+1,MATCH("전용면적(㎡)",'04A_국토부원자료'!$A$4:$T$4,0)),",","")),"")</f>
        <v/>
      </c>
      <c r="F5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76" s="51">
        <f>IFERROR(VALUE(SUBSTITUTE(INDEX('04A_국토부원자료'!$A:$T,ROW()+1,MATCH("거래금액(만원)",'04A_국토부원자료'!$A$4:$T$4,0)),",","")),"")</f>
        <v/>
      </c>
      <c r="H576" s="174">
        <f>IF(G576="","",G576*10000)</f>
        <v/>
      </c>
      <c r="I576" s="174">
        <f>IFERROR(IF(AND(H576&gt;0,E576&gt;0),H576/E576,""),"")</f>
        <v/>
      </c>
      <c r="J576" s="152">
        <f>IFERROR(VALUE(SUBSTITUTE(INDEX('04A_국토부원자료'!$A:$T,ROW()+1,MATCH("층",'04A_국토부원자료'!$A$4:$T$4,0)),",","")),"")</f>
        <v/>
      </c>
      <c r="K576" s="152">
        <f>IFERROR(VALUE(SUBSTITUTE(INDEX('04A_국토부원자료'!$A:$T,ROW()+1,MATCH("건축년도",'04A_국토부원자료'!$A$4:$T$4,0)),",","")),"")</f>
        <v/>
      </c>
      <c r="L576" s="176">
        <f>IFERROR(INDEX('04A_국토부원자료'!$A:$T,ROW()+1,MATCH("도로명",'04A_국토부원자료'!$A$4:$T$4,0)),"")</f>
        <v/>
      </c>
      <c r="M576" s="48">
        <f>IFERROR(INDEX('04A_국토부원자료'!$A:$T,ROW()+1,MATCH("거래유형",'04A_국토부원자료'!$A$4:$T$4,0)),"")</f>
        <v/>
      </c>
      <c r="N576" s="152">
        <f>IF(B576="","",IF('02_대상물건입력'!B5="",1,IF(ISNUMBER(SEARCH('02_대상물건입력'!B5,B576)),1,0)))</f>
        <v/>
      </c>
      <c r="O576" s="152">
        <f>IF(B576="","",IF('02_대상물건입력'!B6="",1,IF(ISNUMBER(SEARCH('02_대상물건입력'!B6,B576)),1,0)))</f>
        <v/>
      </c>
      <c r="P576" s="152">
        <f>IF(L576="","",IF('02_대상물건입력'!B15="",0,IF(ISNUMBER(SEARCH('02_대상물건입력'!B15,L576)),1,0)))</f>
        <v/>
      </c>
      <c r="Q576" s="152">
        <f>IF(OR(C576="",L576=""),0,IF(AND(TRIM(C576)=TRIM(RIGHT(SUBSTITUTE(TRIM('02_대상물건입력'!$B$7)," ",REPT(" ",99)),99)),IF('02_대상물건입력'!B15="",TRUE(),ISNUMBER(SEARCH('02_대상물건입력'!B15,L576)))),1,0))</f>
        <v/>
      </c>
      <c r="R576" s="175">
        <f>IFERROR(ABS(E576-'02_대상물건입력'!B11)/'02_대상물건입력'!B11,"")</f>
        <v/>
      </c>
      <c r="S576" s="152">
        <f>IFERROR(ABS(J576-'02_대상물건입력'!B10),"")</f>
        <v/>
      </c>
      <c r="T576" s="152">
        <f>IFERROR(ABS('01_설정'!B4-F576),"")</f>
        <v/>
      </c>
      <c r="U576" s="152">
        <f>IFERROR(ABS(K576-YEAR('02_대상물건입력'!B14)),"")</f>
        <v/>
      </c>
      <c r="V576" s="152">
        <f>IF(B576="","",IF(AND(E576&gt;0,F576&gt;0,H576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576=1,TRUE()),R576&lt;='01_설정'!B5,S576&lt;='01_설정'!B6,T576&lt;='01_설정'!B7,U576&lt;='01_설정'!B8),"Y",""))</f>
        <v/>
      </c>
      <c r="W576" s="172">
        <f>IF(V576&lt;&gt;"Y","",MAX(0,(1-R576/'01_설정'!B5))*'01_설정'!B14+MAX(0,(1-S576/'01_설정'!B6))*'01_설정'!B15+MAX(0,(1-T576/'01_설정'!B7))*'01_설정'!B16+MAX(0,(1-U576/'01_설정'!B8))*'01_설정'!B17+O576*'01_설정'!B11+Q576*'01_설정'!B12+P576*'01_설정'!B13+IF(Z576="",0,Z576))</f>
        <v/>
      </c>
      <c r="X576" s="152">
        <f>IF(W576="","",1+COUNTIFS($W$4:$W$3003,"&gt;"&amp;W576)+COUNTIFS($W$4:W576,W576)-1)</f>
        <v/>
      </c>
      <c r="Y576" s="175">
        <f>IF(OR(I576="",'02_대상물건입력'!B19="",'02_대상물건입력'!B19&lt;=0),"",ABS(I576-'02_대상물건입력'!B19)/'02_대상물건입력'!B19)</f>
        <v/>
      </c>
      <c r="Z576" s="172">
        <f>IF(OR(Y576="",'01_설정'!B31="",'01_설정'!B31&lt;=0,'01_설정'!B32="",'01_설정'!B32&lt;=0),"",MAX(0,(1-Y576/'01_설정'!B32))*'01_설정'!B31)</f>
        <v/>
      </c>
    </row>
    <row r="577" ht="17.25" customHeight="1">
      <c r="A577" s="152">
        <f>IF(INDEX('04A_국토부원자료'!$A:$A,ROW()+1)="","",ROW()-3)</f>
        <v/>
      </c>
      <c r="B577" s="48">
        <f>IFERROR(INDEX('04A_국토부원자료'!$A:$T,ROW()+1,MATCH("시군구",'04A_국토부원자료'!$A$4:$T$4,0)),"")</f>
        <v/>
      </c>
      <c r="C577" s="48">
        <f>IF(B577="","",IFERROR(INDEX('04A_국토부원자료'!$A:$T,ROW()+1,MATCH("번지",'04A_국토부원자료'!$A$4:$T$4,0)),""))</f>
        <v/>
      </c>
      <c r="D577" s="48">
        <f>IF(B577="","",IF(Q577=1,'02_대상물건입력'!$B$8,IFERROR(INDEX('04A_국토부원자료'!$A:$T,ROW()+1,MATCH("단지명",'04A_국토부원자료'!$A$4:$T$4,0)),"")))</f>
        <v/>
      </c>
      <c r="E577" s="172">
        <f>IFERROR(VALUE(SUBSTITUTE(INDEX('04A_국토부원자료'!$A:$T,ROW()+1,MATCH("전용면적(㎡)",'04A_국토부원자료'!$A$4:$T$4,0)),",","")),"")</f>
        <v/>
      </c>
      <c r="F5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77" s="51">
        <f>IFERROR(VALUE(SUBSTITUTE(INDEX('04A_국토부원자료'!$A:$T,ROW()+1,MATCH("거래금액(만원)",'04A_국토부원자료'!$A$4:$T$4,0)),",","")),"")</f>
        <v/>
      </c>
      <c r="H577" s="174">
        <f>IF(G577="","",G577*10000)</f>
        <v/>
      </c>
      <c r="I577" s="174">
        <f>IFERROR(IF(AND(H577&gt;0,E577&gt;0),H577/E577,""),"")</f>
        <v/>
      </c>
      <c r="J577" s="152">
        <f>IFERROR(VALUE(SUBSTITUTE(INDEX('04A_국토부원자료'!$A:$T,ROW()+1,MATCH("층",'04A_국토부원자료'!$A$4:$T$4,0)),",","")),"")</f>
        <v/>
      </c>
      <c r="K577" s="152">
        <f>IFERROR(VALUE(SUBSTITUTE(INDEX('04A_국토부원자료'!$A:$T,ROW()+1,MATCH("건축년도",'04A_국토부원자료'!$A$4:$T$4,0)),",","")),"")</f>
        <v/>
      </c>
      <c r="L577" s="176">
        <f>IFERROR(INDEX('04A_국토부원자료'!$A:$T,ROW()+1,MATCH("도로명",'04A_국토부원자료'!$A$4:$T$4,0)),"")</f>
        <v/>
      </c>
      <c r="M577" s="48">
        <f>IFERROR(INDEX('04A_국토부원자료'!$A:$T,ROW()+1,MATCH("거래유형",'04A_국토부원자료'!$A$4:$T$4,0)),"")</f>
        <v/>
      </c>
      <c r="N577" s="152">
        <f>IF(B577="","",IF('02_대상물건입력'!B5="",1,IF(ISNUMBER(SEARCH('02_대상물건입력'!B5,B577)),1,0)))</f>
        <v/>
      </c>
      <c r="O577" s="152">
        <f>IF(B577="","",IF('02_대상물건입력'!B6="",1,IF(ISNUMBER(SEARCH('02_대상물건입력'!B6,B577)),1,0)))</f>
        <v/>
      </c>
      <c r="P577" s="152">
        <f>IF(L577="","",IF('02_대상물건입력'!B15="",0,IF(ISNUMBER(SEARCH('02_대상물건입력'!B15,L577)),1,0)))</f>
        <v/>
      </c>
      <c r="Q577" s="152">
        <f>IF(OR(C577="",L577=""),0,IF(AND(TRIM(C577)=TRIM(RIGHT(SUBSTITUTE(TRIM('02_대상물건입력'!$B$7)," ",REPT(" ",99)),99)),IF('02_대상물건입력'!B15="",TRUE(),ISNUMBER(SEARCH('02_대상물건입력'!B15,L577)))),1,0))</f>
        <v/>
      </c>
      <c r="R577" s="175">
        <f>IFERROR(ABS(E577-'02_대상물건입력'!B11)/'02_대상물건입력'!B11,"")</f>
        <v/>
      </c>
      <c r="S577" s="152">
        <f>IFERROR(ABS(J577-'02_대상물건입력'!B10),"")</f>
        <v/>
      </c>
      <c r="T577" s="152">
        <f>IFERROR(ABS('01_설정'!B4-F577),"")</f>
        <v/>
      </c>
      <c r="U577" s="152">
        <f>IFERROR(ABS(K577-YEAR('02_대상물건입력'!B14)),"")</f>
        <v/>
      </c>
      <c r="V577" s="152">
        <f>IF(B577="","",IF(AND(E577&gt;0,F577&gt;0,H577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577=1,TRUE()),R577&lt;='01_설정'!B5,S577&lt;='01_설정'!B6,T577&lt;='01_설정'!B7,U577&lt;='01_설정'!B8),"Y",""))</f>
        <v/>
      </c>
      <c r="W577" s="172">
        <f>IF(V577&lt;&gt;"Y","",MAX(0,(1-R577/'01_설정'!B5))*'01_설정'!B14+MAX(0,(1-S577/'01_설정'!B6))*'01_설정'!B15+MAX(0,(1-T577/'01_설정'!B7))*'01_설정'!B16+MAX(0,(1-U577/'01_설정'!B8))*'01_설정'!B17+O577*'01_설정'!B11+Q577*'01_설정'!B12+P577*'01_설정'!B13+IF(Z577="",0,Z577))</f>
        <v/>
      </c>
      <c r="X577" s="152">
        <f>IF(W577="","",1+COUNTIFS($W$4:$W$3003,"&gt;"&amp;W577)+COUNTIFS($W$4:W577,W577)-1)</f>
        <v/>
      </c>
      <c r="Y577" s="175">
        <f>IF(OR(I577="",'02_대상물건입력'!B19="",'02_대상물건입력'!B19&lt;=0),"",ABS(I577-'02_대상물건입력'!B19)/'02_대상물건입력'!B19)</f>
        <v/>
      </c>
      <c r="Z577" s="172">
        <f>IF(OR(Y577="",'01_설정'!B31="",'01_설정'!B31&lt;=0,'01_설정'!B32="",'01_설정'!B32&lt;=0),"",MAX(0,(1-Y577/'01_설정'!B32))*'01_설정'!B31)</f>
        <v/>
      </c>
    </row>
    <row r="578" ht="17.25" customHeight="1">
      <c r="A578" s="152">
        <f>IF(INDEX('04A_국토부원자료'!$A:$A,ROW()+1)="","",ROW()-3)</f>
        <v/>
      </c>
      <c r="B578" s="48">
        <f>IFERROR(INDEX('04A_국토부원자료'!$A:$T,ROW()+1,MATCH("시군구",'04A_국토부원자료'!$A$4:$T$4,0)),"")</f>
        <v/>
      </c>
      <c r="C578" s="48">
        <f>IF(B578="","",IFERROR(INDEX('04A_국토부원자료'!$A:$T,ROW()+1,MATCH("번지",'04A_국토부원자료'!$A$4:$T$4,0)),""))</f>
        <v/>
      </c>
      <c r="D578" s="48">
        <f>IF(B578="","",IF(Q578=1,'02_대상물건입력'!$B$8,IFERROR(INDEX('04A_국토부원자료'!$A:$T,ROW()+1,MATCH("단지명",'04A_국토부원자료'!$A$4:$T$4,0)),"")))</f>
        <v/>
      </c>
      <c r="E578" s="172">
        <f>IFERROR(VALUE(SUBSTITUTE(INDEX('04A_국토부원자료'!$A:$T,ROW()+1,MATCH("전용면적(㎡)",'04A_국토부원자료'!$A$4:$T$4,0)),",","")),"")</f>
        <v/>
      </c>
      <c r="F5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78" s="51">
        <f>IFERROR(VALUE(SUBSTITUTE(INDEX('04A_국토부원자료'!$A:$T,ROW()+1,MATCH("거래금액(만원)",'04A_국토부원자료'!$A$4:$T$4,0)),",","")),"")</f>
        <v/>
      </c>
      <c r="H578" s="174">
        <f>IF(G578="","",G578*10000)</f>
        <v/>
      </c>
      <c r="I578" s="174">
        <f>IFERROR(IF(AND(H578&gt;0,E578&gt;0),H578/E578,""),"")</f>
        <v/>
      </c>
      <c r="J578" s="152">
        <f>IFERROR(VALUE(SUBSTITUTE(INDEX('04A_국토부원자료'!$A:$T,ROW()+1,MATCH("층",'04A_국토부원자료'!$A$4:$T$4,0)),",","")),"")</f>
        <v/>
      </c>
      <c r="K578" s="152">
        <f>IFERROR(VALUE(SUBSTITUTE(INDEX('04A_국토부원자료'!$A:$T,ROW()+1,MATCH("건축년도",'04A_국토부원자료'!$A$4:$T$4,0)),",","")),"")</f>
        <v/>
      </c>
      <c r="L578" s="176">
        <f>IFERROR(INDEX('04A_국토부원자료'!$A:$T,ROW()+1,MATCH("도로명",'04A_국토부원자료'!$A$4:$T$4,0)),"")</f>
        <v/>
      </c>
      <c r="M578" s="48">
        <f>IFERROR(INDEX('04A_국토부원자료'!$A:$T,ROW()+1,MATCH("거래유형",'04A_국토부원자료'!$A$4:$T$4,0)),"")</f>
        <v/>
      </c>
      <c r="N578" s="152">
        <f>IF(B578="","",IF('02_대상물건입력'!B5="",1,IF(ISNUMBER(SEARCH('02_대상물건입력'!B5,B578)),1,0)))</f>
        <v/>
      </c>
      <c r="O578" s="152">
        <f>IF(B578="","",IF('02_대상물건입력'!B6="",1,IF(ISNUMBER(SEARCH('02_대상물건입력'!B6,B578)),1,0)))</f>
        <v/>
      </c>
      <c r="P578" s="152">
        <f>IF(L578="","",IF('02_대상물건입력'!B15="",0,IF(ISNUMBER(SEARCH('02_대상물건입력'!B15,L578)),1,0)))</f>
        <v/>
      </c>
      <c r="Q578" s="152">
        <f>IF(OR(C578="",L578=""),0,IF(AND(TRIM(C578)=TRIM(RIGHT(SUBSTITUTE(TRIM('02_대상물건입력'!$B$7)," ",REPT(" ",99)),99)),IF('02_대상물건입력'!B15="",TRUE(),ISNUMBER(SEARCH('02_대상물건입력'!B15,L578)))),1,0))</f>
        <v/>
      </c>
      <c r="R578" s="175">
        <f>IFERROR(ABS(E578-'02_대상물건입력'!B11)/'02_대상물건입력'!B11,"")</f>
        <v/>
      </c>
      <c r="S578" s="152">
        <f>IFERROR(ABS(J578-'02_대상물건입력'!B10),"")</f>
        <v/>
      </c>
      <c r="T578" s="152">
        <f>IFERROR(ABS('01_설정'!B4-F578),"")</f>
        <v/>
      </c>
      <c r="U578" s="152">
        <f>IFERROR(ABS(K578-YEAR('02_대상물건입력'!B14)),"")</f>
        <v/>
      </c>
      <c r="V578" s="152">
        <f>IF(B578="","",IF(AND(E578&gt;0,F578&gt;0,H578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578=1,TRUE()),R578&lt;='01_설정'!B5,S578&lt;='01_설정'!B6,T578&lt;='01_설정'!B7,U578&lt;='01_설정'!B8),"Y",""))</f>
        <v/>
      </c>
      <c r="W578" s="172">
        <f>IF(V578&lt;&gt;"Y","",MAX(0,(1-R578/'01_설정'!B5))*'01_설정'!B14+MAX(0,(1-S578/'01_설정'!B6))*'01_설정'!B15+MAX(0,(1-T578/'01_설정'!B7))*'01_설정'!B16+MAX(0,(1-U578/'01_설정'!B8))*'01_설정'!B17+O578*'01_설정'!B11+Q578*'01_설정'!B12+P578*'01_설정'!B13+IF(Z578="",0,Z578))</f>
        <v/>
      </c>
      <c r="X578" s="152">
        <f>IF(W578="","",1+COUNTIFS($W$4:$W$3003,"&gt;"&amp;W578)+COUNTIFS($W$4:W578,W578)-1)</f>
        <v/>
      </c>
      <c r="Y578" s="175">
        <f>IF(OR(I578="",'02_대상물건입력'!B19="",'02_대상물건입력'!B19&lt;=0),"",ABS(I578-'02_대상물건입력'!B19)/'02_대상물건입력'!B19)</f>
        <v/>
      </c>
      <c r="Z578" s="172">
        <f>IF(OR(Y578="",'01_설정'!B31="",'01_설정'!B31&lt;=0,'01_설정'!B32="",'01_설정'!B32&lt;=0),"",MAX(0,(1-Y578/'01_설정'!B32))*'01_설정'!B31)</f>
        <v/>
      </c>
    </row>
    <row r="579" ht="17.25" customHeight="1">
      <c r="A579" s="152">
        <f>IF(INDEX('04A_국토부원자료'!$A:$A,ROW()+1)="","",ROW()-3)</f>
        <v/>
      </c>
      <c r="B579" s="48">
        <f>IFERROR(INDEX('04A_국토부원자료'!$A:$T,ROW()+1,MATCH("시군구",'04A_국토부원자료'!$A$4:$T$4,0)),"")</f>
        <v/>
      </c>
      <c r="C579" s="48">
        <f>IF(B579="","",IFERROR(INDEX('04A_국토부원자료'!$A:$T,ROW()+1,MATCH("번지",'04A_국토부원자료'!$A$4:$T$4,0)),""))</f>
        <v/>
      </c>
      <c r="D579" s="48">
        <f>IF(B579="","",IF(Q579=1,'02_대상물건입력'!$B$8,IFERROR(INDEX('04A_국토부원자료'!$A:$T,ROW()+1,MATCH("단지명",'04A_국토부원자료'!$A$4:$T$4,0)),"")))</f>
        <v/>
      </c>
      <c r="E579" s="172">
        <f>IFERROR(VALUE(SUBSTITUTE(INDEX('04A_국토부원자료'!$A:$T,ROW()+1,MATCH("전용면적(㎡)",'04A_국토부원자료'!$A$4:$T$4,0)),",","")),"")</f>
        <v/>
      </c>
      <c r="F5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79" s="51">
        <f>IFERROR(VALUE(SUBSTITUTE(INDEX('04A_국토부원자료'!$A:$T,ROW()+1,MATCH("거래금액(만원)",'04A_국토부원자료'!$A$4:$T$4,0)),",","")),"")</f>
        <v/>
      </c>
      <c r="H579" s="174">
        <f>IF(G579="","",G579*10000)</f>
        <v/>
      </c>
      <c r="I579" s="174">
        <f>IFERROR(IF(AND(H579&gt;0,E579&gt;0),H579/E579,""),"")</f>
        <v/>
      </c>
      <c r="J579" s="152">
        <f>IFERROR(VALUE(SUBSTITUTE(INDEX('04A_국토부원자료'!$A:$T,ROW()+1,MATCH("층",'04A_국토부원자료'!$A$4:$T$4,0)),",","")),"")</f>
        <v/>
      </c>
      <c r="K579" s="152">
        <f>IFERROR(VALUE(SUBSTITUTE(INDEX('04A_국토부원자료'!$A:$T,ROW()+1,MATCH("건축년도",'04A_국토부원자료'!$A$4:$T$4,0)),",","")),"")</f>
        <v/>
      </c>
      <c r="L579" s="176">
        <f>IFERROR(INDEX('04A_국토부원자료'!$A:$T,ROW()+1,MATCH("도로명",'04A_국토부원자료'!$A$4:$T$4,0)),"")</f>
        <v/>
      </c>
      <c r="M579" s="48">
        <f>IFERROR(INDEX('04A_국토부원자료'!$A:$T,ROW()+1,MATCH("거래유형",'04A_국토부원자료'!$A$4:$T$4,0)),"")</f>
        <v/>
      </c>
      <c r="N579" s="152">
        <f>IF(B579="","",IF('02_대상물건입력'!B5="",1,IF(ISNUMBER(SEARCH('02_대상물건입력'!B5,B579)),1,0)))</f>
        <v/>
      </c>
      <c r="O579" s="152">
        <f>IF(B579="","",IF('02_대상물건입력'!B6="",1,IF(ISNUMBER(SEARCH('02_대상물건입력'!B6,B579)),1,0)))</f>
        <v/>
      </c>
      <c r="P579" s="152">
        <f>IF(L579="","",IF('02_대상물건입력'!B15="",0,IF(ISNUMBER(SEARCH('02_대상물건입력'!B15,L579)),1,0)))</f>
        <v/>
      </c>
      <c r="Q579" s="152">
        <f>IF(OR(C579="",L579=""),0,IF(AND(TRIM(C579)=TRIM(RIGHT(SUBSTITUTE(TRIM('02_대상물건입력'!$B$7)," ",REPT(" ",99)),99)),IF('02_대상물건입력'!B15="",TRUE(),ISNUMBER(SEARCH('02_대상물건입력'!B15,L579)))),1,0))</f>
        <v/>
      </c>
      <c r="R579" s="175">
        <f>IFERROR(ABS(E579-'02_대상물건입력'!B11)/'02_대상물건입력'!B11,"")</f>
        <v/>
      </c>
      <c r="S579" s="152">
        <f>IFERROR(ABS(J579-'02_대상물건입력'!B10),"")</f>
        <v/>
      </c>
      <c r="T579" s="152">
        <f>IFERROR(ABS('01_설정'!B4-F579),"")</f>
        <v/>
      </c>
      <c r="U579" s="152">
        <f>IFERROR(ABS(K579-YEAR('02_대상물건입력'!B14)),"")</f>
        <v/>
      </c>
      <c r="V579" s="152">
        <f>IF(B579="","",IF(AND(E579&gt;0,F579&gt;0,H579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579=1,TRUE()),R579&lt;='01_설정'!B5,S579&lt;='01_설정'!B6,T579&lt;='01_설정'!B7,U579&lt;='01_설정'!B8),"Y",""))</f>
        <v/>
      </c>
      <c r="W579" s="172">
        <f>IF(V579&lt;&gt;"Y","",MAX(0,(1-R579/'01_설정'!B5))*'01_설정'!B14+MAX(0,(1-S579/'01_설정'!B6))*'01_설정'!B15+MAX(0,(1-T579/'01_설정'!B7))*'01_설정'!B16+MAX(0,(1-U579/'01_설정'!B8))*'01_설정'!B17+O579*'01_설정'!B11+Q579*'01_설정'!B12+P579*'01_설정'!B13+IF(Z579="",0,Z579))</f>
        <v/>
      </c>
      <c r="X579" s="152">
        <f>IF(W579="","",1+COUNTIFS($W$4:$W$3003,"&gt;"&amp;W579)+COUNTIFS($W$4:W579,W579)-1)</f>
        <v/>
      </c>
      <c r="Y579" s="175">
        <f>IF(OR(I579="",'02_대상물건입력'!B19="",'02_대상물건입력'!B19&lt;=0),"",ABS(I579-'02_대상물건입력'!B19)/'02_대상물건입력'!B19)</f>
        <v/>
      </c>
      <c r="Z579" s="172">
        <f>IF(OR(Y579="",'01_설정'!B31="",'01_설정'!B31&lt;=0,'01_설정'!B32="",'01_설정'!B32&lt;=0),"",MAX(0,(1-Y579/'01_설정'!B32))*'01_설정'!B31)</f>
        <v/>
      </c>
    </row>
    <row r="580" ht="17.25" customHeight="1">
      <c r="A580" s="152">
        <f>IF(INDEX('04A_국토부원자료'!$A:$A,ROW()+1)="","",ROW()-3)</f>
        <v/>
      </c>
      <c r="B580" s="48">
        <f>IFERROR(INDEX('04A_국토부원자료'!$A:$T,ROW()+1,MATCH("시군구",'04A_국토부원자료'!$A$4:$T$4,0)),"")</f>
        <v/>
      </c>
      <c r="C580" s="48">
        <f>IF(B580="","",IFERROR(INDEX('04A_국토부원자료'!$A:$T,ROW()+1,MATCH("번지",'04A_국토부원자료'!$A$4:$T$4,0)),""))</f>
        <v/>
      </c>
      <c r="D580" s="48">
        <f>IF(B580="","",IF(Q580=1,'02_대상물건입력'!$B$8,IFERROR(INDEX('04A_국토부원자료'!$A:$T,ROW()+1,MATCH("단지명",'04A_국토부원자료'!$A$4:$T$4,0)),"")))</f>
        <v/>
      </c>
      <c r="E580" s="172">
        <f>IFERROR(VALUE(SUBSTITUTE(INDEX('04A_국토부원자료'!$A:$T,ROW()+1,MATCH("전용면적(㎡)",'04A_국토부원자료'!$A$4:$T$4,0)),",","")),"")</f>
        <v/>
      </c>
      <c r="F5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80" s="51">
        <f>IFERROR(VALUE(SUBSTITUTE(INDEX('04A_국토부원자료'!$A:$T,ROW()+1,MATCH("거래금액(만원)",'04A_국토부원자료'!$A$4:$T$4,0)),",","")),"")</f>
        <v/>
      </c>
      <c r="H580" s="174">
        <f>IF(G580="","",G580*10000)</f>
        <v/>
      </c>
      <c r="I580" s="174">
        <f>IFERROR(IF(AND(H580&gt;0,E580&gt;0),H580/E580,""),"")</f>
        <v/>
      </c>
      <c r="J580" s="152">
        <f>IFERROR(VALUE(SUBSTITUTE(INDEX('04A_국토부원자료'!$A:$T,ROW()+1,MATCH("층",'04A_국토부원자료'!$A$4:$T$4,0)),",","")),"")</f>
        <v/>
      </c>
      <c r="K580" s="152">
        <f>IFERROR(VALUE(SUBSTITUTE(INDEX('04A_국토부원자료'!$A:$T,ROW()+1,MATCH("건축년도",'04A_국토부원자료'!$A$4:$T$4,0)),",","")),"")</f>
        <v/>
      </c>
      <c r="L580" s="176">
        <f>IFERROR(INDEX('04A_국토부원자료'!$A:$T,ROW()+1,MATCH("도로명",'04A_국토부원자료'!$A$4:$T$4,0)),"")</f>
        <v/>
      </c>
      <c r="M580" s="48">
        <f>IFERROR(INDEX('04A_국토부원자료'!$A:$T,ROW()+1,MATCH("거래유형",'04A_국토부원자료'!$A$4:$T$4,0)),"")</f>
        <v/>
      </c>
      <c r="N580" s="152">
        <f>IF(B580="","",IF('02_대상물건입력'!B5="",1,IF(ISNUMBER(SEARCH('02_대상물건입력'!B5,B580)),1,0)))</f>
        <v/>
      </c>
      <c r="O580" s="152">
        <f>IF(B580="","",IF('02_대상물건입력'!B6="",1,IF(ISNUMBER(SEARCH('02_대상물건입력'!B6,B580)),1,0)))</f>
        <v/>
      </c>
      <c r="P580" s="152">
        <f>IF(L580="","",IF('02_대상물건입력'!B15="",0,IF(ISNUMBER(SEARCH('02_대상물건입력'!B15,L580)),1,0)))</f>
        <v/>
      </c>
      <c r="Q580" s="152">
        <f>IF(OR(C580="",L580=""),0,IF(AND(TRIM(C580)=TRIM(RIGHT(SUBSTITUTE(TRIM('02_대상물건입력'!$B$7)," ",REPT(" ",99)),99)),IF('02_대상물건입력'!B15="",TRUE(),ISNUMBER(SEARCH('02_대상물건입력'!B15,L580)))),1,0))</f>
        <v/>
      </c>
      <c r="R580" s="175">
        <f>IFERROR(ABS(E580-'02_대상물건입력'!B11)/'02_대상물건입력'!B11,"")</f>
        <v/>
      </c>
      <c r="S580" s="152">
        <f>IFERROR(ABS(J580-'02_대상물건입력'!B10),"")</f>
        <v/>
      </c>
      <c r="T580" s="152">
        <f>IFERROR(ABS('01_설정'!B4-F580),"")</f>
        <v/>
      </c>
      <c r="U580" s="152">
        <f>IFERROR(ABS(K580-YEAR('02_대상물건입력'!B14)),"")</f>
        <v/>
      </c>
      <c r="V580" s="152">
        <f>IF(B580="","",IF(AND(E580&gt;0,F580&gt;0,H580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580=1,TRUE()),R580&lt;='01_설정'!B5,S580&lt;='01_설정'!B6,T580&lt;='01_설정'!B7,U580&lt;='01_설정'!B8),"Y",""))</f>
        <v/>
      </c>
      <c r="W580" s="172">
        <f>IF(V580&lt;&gt;"Y","",MAX(0,(1-R580/'01_설정'!B5))*'01_설정'!B14+MAX(0,(1-S580/'01_설정'!B6))*'01_설정'!B15+MAX(0,(1-T580/'01_설정'!B7))*'01_설정'!B16+MAX(0,(1-U580/'01_설정'!B8))*'01_설정'!B17+O580*'01_설정'!B11+Q580*'01_설정'!B12+P580*'01_설정'!B13+IF(Z580="",0,Z580))</f>
        <v/>
      </c>
      <c r="X580" s="152">
        <f>IF(W580="","",1+COUNTIFS($W$4:$W$3003,"&gt;"&amp;W580)+COUNTIFS($W$4:W580,W580)-1)</f>
        <v/>
      </c>
      <c r="Y580" s="175">
        <f>IF(OR(I580="",'02_대상물건입력'!B19="",'02_대상물건입력'!B19&lt;=0),"",ABS(I580-'02_대상물건입력'!B19)/'02_대상물건입력'!B19)</f>
        <v/>
      </c>
      <c r="Z580" s="172">
        <f>IF(OR(Y580="",'01_설정'!B31="",'01_설정'!B31&lt;=0,'01_설정'!B32="",'01_설정'!B32&lt;=0),"",MAX(0,(1-Y580/'01_설정'!B32))*'01_설정'!B31)</f>
        <v/>
      </c>
    </row>
    <row r="581" ht="17.25" customHeight="1">
      <c r="A581" s="152">
        <f>IF(INDEX('04A_국토부원자료'!$A:$A,ROW()+1)="","",ROW()-3)</f>
        <v/>
      </c>
      <c r="B581" s="48">
        <f>IFERROR(INDEX('04A_국토부원자료'!$A:$T,ROW()+1,MATCH("시군구",'04A_국토부원자료'!$A$4:$T$4,0)),"")</f>
        <v/>
      </c>
      <c r="C581" s="48">
        <f>IF(B581="","",IFERROR(INDEX('04A_국토부원자료'!$A:$T,ROW()+1,MATCH("번지",'04A_국토부원자료'!$A$4:$T$4,0)),""))</f>
        <v/>
      </c>
      <c r="D581" s="48">
        <f>IF(B581="","",IF(Q581=1,'02_대상물건입력'!$B$8,IFERROR(INDEX('04A_국토부원자료'!$A:$T,ROW()+1,MATCH("단지명",'04A_국토부원자료'!$A$4:$T$4,0)),"")))</f>
        <v/>
      </c>
      <c r="E581" s="172">
        <f>IFERROR(VALUE(SUBSTITUTE(INDEX('04A_국토부원자료'!$A:$T,ROW()+1,MATCH("전용면적(㎡)",'04A_국토부원자료'!$A$4:$T$4,0)),",","")),"")</f>
        <v/>
      </c>
      <c r="F5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81" s="51">
        <f>IFERROR(VALUE(SUBSTITUTE(INDEX('04A_국토부원자료'!$A:$T,ROW()+1,MATCH("거래금액(만원)",'04A_국토부원자료'!$A$4:$T$4,0)),",","")),"")</f>
        <v/>
      </c>
      <c r="H581" s="174">
        <f>IF(G581="","",G581*10000)</f>
        <v/>
      </c>
      <c r="I581" s="174">
        <f>IFERROR(IF(AND(H581&gt;0,E581&gt;0),H581/E581,""),"")</f>
        <v/>
      </c>
      <c r="J581" s="152">
        <f>IFERROR(VALUE(SUBSTITUTE(INDEX('04A_국토부원자료'!$A:$T,ROW()+1,MATCH("층",'04A_국토부원자료'!$A$4:$T$4,0)),",","")),"")</f>
        <v/>
      </c>
      <c r="K581" s="152">
        <f>IFERROR(VALUE(SUBSTITUTE(INDEX('04A_국토부원자료'!$A:$T,ROW()+1,MATCH("건축년도",'04A_국토부원자료'!$A$4:$T$4,0)),",","")),"")</f>
        <v/>
      </c>
      <c r="L581" s="176">
        <f>IFERROR(INDEX('04A_국토부원자료'!$A:$T,ROW()+1,MATCH("도로명",'04A_국토부원자료'!$A$4:$T$4,0)),"")</f>
        <v/>
      </c>
      <c r="M581" s="48">
        <f>IFERROR(INDEX('04A_국토부원자료'!$A:$T,ROW()+1,MATCH("거래유형",'04A_국토부원자료'!$A$4:$T$4,0)),"")</f>
        <v/>
      </c>
      <c r="N581" s="152">
        <f>IF(B581="","",IF('02_대상물건입력'!B5="",1,IF(ISNUMBER(SEARCH('02_대상물건입력'!B5,B581)),1,0)))</f>
        <v/>
      </c>
      <c r="O581" s="152">
        <f>IF(B581="","",IF('02_대상물건입력'!B6="",1,IF(ISNUMBER(SEARCH('02_대상물건입력'!B6,B581)),1,0)))</f>
        <v/>
      </c>
      <c r="P581" s="152">
        <f>IF(L581="","",IF('02_대상물건입력'!B15="",0,IF(ISNUMBER(SEARCH('02_대상물건입력'!B15,L581)),1,0)))</f>
        <v/>
      </c>
      <c r="Q581" s="152">
        <f>IF(OR(C581="",L581=""),0,IF(AND(TRIM(C581)=TRIM(RIGHT(SUBSTITUTE(TRIM('02_대상물건입력'!$B$7)," ",REPT(" ",99)),99)),IF('02_대상물건입력'!B15="",TRUE(),ISNUMBER(SEARCH('02_대상물건입력'!B15,L581)))),1,0))</f>
        <v/>
      </c>
      <c r="R581" s="175">
        <f>IFERROR(ABS(E581-'02_대상물건입력'!B11)/'02_대상물건입력'!B11,"")</f>
        <v/>
      </c>
      <c r="S581" s="152">
        <f>IFERROR(ABS(J581-'02_대상물건입력'!B10),"")</f>
        <v/>
      </c>
      <c r="T581" s="152">
        <f>IFERROR(ABS('01_설정'!B4-F581),"")</f>
        <v/>
      </c>
      <c r="U581" s="152">
        <f>IFERROR(ABS(K581-YEAR('02_대상물건입력'!B14)),"")</f>
        <v/>
      </c>
      <c r="V581" s="152">
        <f>IF(B581="","",IF(AND(E581&gt;0,F581&gt;0,H581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581=1,TRUE()),R581&lt;='01_설정'!B5,S581&lt;='01_설정'!B6,T581&lt;='01_설정'!B7,U581&lt;='01_설정'!B8),"Y",""))</f>
        <v/>
      </c>
      <c r="W581" s="172">
        <f>IF(V581&lt;&gt;"Y","",MAX(0,(1-R581/'01_설정'!B5))*'01_설정'!B14+MAX(0,(1-S581/'01_설정'!B6))*'01_설정'!B15+MAX(0,(1-T581/'01_설정'!B7))*'01_설정'!B16+MAX(0,(1-U581/'01_설정'!B8))*'01_설정'!B17+O581*'01_설정'!B11+Q581*'01_설정'!B12+P581*'01_설정'!B13+IF(Z581="",0,Z581))</f>
        <v/>
      </c>
      <c r="X581" s="152">
        <f>IF(W581="","",1+COUNTIFS($W$4:$W$3003,"&gt;"&amp;W581)+COUNTIFS($W$4:W581,W581)-1)</f>
        <v/>
      </c>
      <c r="Y581" s="175">
        <f>IF(OR(I581="",'02_대상물건입력'!B19="",'02_대상물건입력'!B19&lt;=0),"",ABS(I581-'02_대상물건입력'!B19)/'02_대상물건입력'!B19)</f>
        <v/>
      </c>
      <c r="Z581" s="172">
        <f>IF(OR(Y581="",'01_설정'!B31="",'01_설정'!B31&lt;=0,'01_설정'!B32="",'01_설정'!B32&lt;=0),"",MAX(0,(1-Y581/'01_설정'!B32))*'01_설정'!B31)</f>
        <v/>
      </c>
    </row>
    <row r="582" ht="17.25" customHeight="1">
      <c r="A582" s="152">
        <f>IF(INDEX('04A_국토부원자료'!$A:$A,ROW()+1)="","",ROW()-3)</f>
        <v/>
      </c>
      <c r="B582" s="48">
        <f>IFERROR(INDEX('04A_국토부원자료'!$A:$T,ROW()+1,MATCH("시군구",'04A_국토부원자료'!$A$4:$T$4,0)),"")</f>
        <v/>
      </c>
      <c r="C582" s="48">
        <f>IF(B582="","",IFERROR(INDEX('04A_국토부원자료'!$A:$T,ROW()+1,MATCH("번지",'04A_국토부원자료'!$A$4:$T$4,0)),""))</f>
        <v/>
      </c>
      <c r="D582" s="48">
        <f>IF(B582="","",IF(Q582=1,'02_대상물건입력'!$B$8,IFERROR(INDEX('04A_국토부원자료'!$A:$T,ROW()+1,MATCH("단지명",'04A_국토부원자료'!$A$4:$T$4,0)),"")))</f>
        <v/>
      </c>
      <c r="E582" s="172">
        <f>IFERROR(VALUE(SUBSTITUTE(INDEX('04A_국토부원자료'!$A:$T,ROW()+1,MATCH("전용면적(㎡)",'04A_국토부원자료'!$A$4:$T$4,0)),",","")),"")</f>
        <v/>
      </c>
      <c r="F5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82" s="51">
        <f>IFERROR(VALUE(SUBSTITUTE(INDEX('04A_국토부원자료'!$A:$T,ROW()+1,MATCH("거래금액(만원)",'04A_국토부원자료'!$A$4:$T$4,0)),",","")),"")</f>
        <v/>
      </c>
      <c r="H582" s="174">
        <f>IF(G582="","",G582*10000)</f>
        <v/>
      </c>
      <c r="I582" s="174">
        <f>IFERROR(IF(AND(H582&gt;0,E582&gt;0),H582/E582,""),"")</f>
        <v/>
      </c>
      <c r="J582" s="152">
        <f>IFERROR(VALUE(SUBSTITUTE(INDEX('04A_국토부원자료'!$A:$T,ROW()+1,MATCH("층",'04A_국토부원자료'!$A$4:$T$4,0)),",","")),"")</f>
        <v/>
      </c>
      <c r="K582" s="152">
        <f>IFERROR(VALUE(SUBSTITUTE(INDEX('04A_국토부원자료'!$A:$T,ROW()+1,MATCH("건축년도",'04A_국토부원자료'!$A$4:$T$4,0)),",","")),"")</f>
        <v/>
      </c>
      <c r="L582" s="176">
        <f>IFERROR(INDEX('04A_국토부원자료'!$A:$T,ROW()+1,MATCH("도로명",'04A_국토부원자료'!$A$4:$T$4,0)),"")</f>
        <v/>
      </c>
      <c r="M582" s="48">
        <f>IFERROR(INDEX('04A_국토부원자료'!$A:$T,ROW()+1,MATCH("거래유형",'04A_국토부원자료'!$A$4:$T$4,0)),"")</f>
        <v/>
      </c>
      <c r="N582" s="152">
        <f>IF(B582="","",IF('02_대상물건입력'!B5="",1,IF(ISNUMBER(SEARCH('02_대상물건입력'!B5,B582)),1,0)))</f>
        <v/>
      </c>
      <c r="O582" s="152">
        <f>IF(B582="","",IF('02_대상물건입력'!B6="",1,IF(ISNUMBER(SEARCH('02_대상물건입력'!B6,B582)),1,0)))</f>
        <v/>
      </c>
      <c r="P582" s="152">
        <f>IF(L582="","",IF('02_대상물건입력'!B15="",0,IF(ISNUMBER(SEARCH('02_대상물건입력'!B15,L582)),1,0)))</f>
        <v/>
      </c>
      <c r="Q582" s="152">
        <f>IF(OR(C582="",L582=""),0,IF(AND(TRIM(C582)=TRIM(RIGHT(SUBSTITUTE(TRIM('02_대상물건입력'!$B$7)," ",REPT(" ",99)),99)),IF('02_대상물건입력'!B15="",TRUE(),ISNUMBER(SEARCH('02_대상물건입력'!B15,L582)))),1,0))</f>
        <v/>
      </c>
      <c r="R582" s="175">
        <f>IFERROR(ABS(E582-'02_대상물건입력'!B11)/'02_대상물건입력'!B11,"")</f>
        <v/>
      </c>
      <c r="S582" s="152">
        <f>IFERROR(ABS(J582-'02_대상물건입력'!B10),"")</f>
        <v/>
      </c>
      <c r="T582" s="152">
        <f>IFERROR(ABS('01_설정'!B4-F582),"")</f>
        <v/>
      </c>
      <c r="U582" s="152">
        <f>IFERROR(ABS(K582-YEAR('02_대상물건입력'!B14)),"")</f>
        <v/>
      </c>
      <c r="V582" s="152">
        <f>IF(B582="","",IF(AND(E582&gt;0,F582&gt;0,H582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582=1,TRUE()),R582&lt;='01_설정'!B5,S582&lt;='01_설정'!B6,T582&lt;='01_설정'!B7,U582&lt;='01_설정'!B8),"Y",""))</f>
        <v/>
      </c>
      <c r="W582" s="172">
        <f>IF(V582&lt;&gt;"Y","",MAX(0,(1-R582/'01_설정'!B5))*'01_설정'!B14+MAX(0,(1-S582/'01_설정'!B6))*'01_설정'!B15+MAX(0,(1-T582/'01_설정'!B7))*'01_설정'!B16+MAX(0,(1-U582/'01_설정'!B8))*'01_설정'!B17+O582*'01_설정'!B11+Q582*'01_설정'!B12+P582*'01_설정'!B13+IF(Z582="",0,Z582))</f>
        <v/>
      </c>
      <c r="X582" s="152">
        <f>IF(W582="","",1+COUNTIFS($W$4:$W$3003,"&gt;"&amp;W582)+COUNTIFS($W$4:W582,W582)-1)</f>
        <v/>
      </c>
      <c r="Y582" s="175">
        <f>IF(OR(I582="",'02_대상물건입력'!B19="",'02_대상물건입력'!B19&lt;=0),"",ABS(I582-'02_대상물건입력'!B19)/'02_대상물건입력'!B19)</f>
        <v/>
      </c>
      <c r="Z582" s="172">
        <f>IF(OR(Y582="",'01_설정'!B31="",'01_설정'!B31&lt;=0,'01_설정'!B32="",'01_설정'!B32&lt;=0),"",MAX(0,(1-Y582/'01_설정'!B32))*'01_설정'!B31)</f>
        <v/>
      </c>
    </row>
    <row r="583" ht="17.25" customHeight="1">
      <c r="A583" s="152">
        <f>IF(INDEX('04A_국토부원자료'!$A:$A,ROW()+1)="","",ROW()-3)</f>
        <v/>
      </c>
      <c r="B583" s="48">
        <f>IFERROR(INDEX('04A_국토부원자료'!$A:$T,ROW()+1,MATCH("시군구",'04A_국토부원자료'!$A$4:$T$4,0)),"")</f>
        <v/>
      </c>
      <c r="C583" s="48">
        <f>IF(B583="","",IFERROR(INDEX('04A_국토부원자료'!$A:$T,ROW()+1,MATCH("번지",'04A_국토부원자료'!$A$4:$T$4,0)),""))</f>
        <v/>
      </c>
      <c r="D583" s="48">
        <f>IF(B583="","",IF(Q583=1,'02_대상물건입력'!$B$8,IFERROR(INDEX('04A_국토부원자료'!$A:$T,ROW()+1,MATCH("단지명",'04A_국토부원자료'!$A$4:$T$4,0)),"")))</f>
        <v/>
      </c>
      <c r="E583" s="172">
        <f>IFERROR(VALUE(SUBSTITUTE(INDEX('04A_국토부원자료'!$A:$T,ROW()+1,MATCH("전용면적(㎡)",'04A_국토부원자료'!$A$4:$T$4,0)),",","")),"")</f>
        <v/>
      </c>
      <c r="F5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83" s="51">
        <f>IFERROR(VALUE(SUBSTITUTE(INDEX('04A_국토부원자료'!$A:$T,ROW()+1,MATCH("거래금액(만원)",'04A_국토부원자료'!$A$4:$T$4,0)),",","")),"")</f>
        <v/>
      </c>
      <c r="H583" s="174">
        <f>IF(G583="","",G583*10000)</f>
        <v/>
      </c>
      <c r="I583" s="174">
        <f>IFERROR(IF(AND(H583&gt;0,E583&gt;0),H583/E583,""),"")</f>
        <v/>
      </c>
      <c r="J583" s="152">
        <f>IFERROR(VALUE(SUBSTITUTE(INDEX('04A_국토부원자료'!$A:$T,ROW()+1,MATCH("층",'04A_국토부원자료'!$A$4:$T$4,0)),",","")),"")</f>
        <v/>
      </c>
      <c r="K583" s="152">
        <f>IFERROR(VALUE(SUBSTITUTE(INDEX('04A_국토부원자료'!$A:$T,ROW()+1,MATCH("건축년도",'04A_국토부원자료'!$A$4:$T$4,0)),",","")),"")</f>
        <v/>
      </c>
      <c r="L583" s="176">
        <f>IFERROR(INDEX('04A_국토부원자료'!$A:$T,ROW()+1,MATCH("도로명",'04A_국토부원자료'!$A$4:$T$4,0)),"")</f>
        <v/>
      </c>
      <c r="M583" s="48">
        <f>IFERROR(INDEX('04A_국토부원자료'!$A:$T,ROW()+1,MATCH("거래유형",'04A_국토부원자료'!$A$4:$T$4,0)),"")</f>
        <v/>
      </c>
      <c r="N583" s="152">
        <f>IF(B583="","",IF('02_대상물건입력'!B5="",1,IF(ISNUMBER(SEARCH('02_대상물건입력'!B5,B583)),1,0)))</f>
        <v/>
      </c>
      <c r="O583" s="152">
        <f>IF(B583="","",IF('02_대상물건입력'!B6="",1,IF(ISNUMBER(SEARCH('02_대상물건입력'!B6,B583)),1,0)))</f>
        <v/>
      </c>
      <c r="P583" s="152">
        <f>IF(L583="","",IF('02_대상물건입력'!B15="",0,IF(ISNUMBER(SEARCH('02_대상물건입력'!B15,L583)),1,0)))</f>
        <v/>
      </c>
      <c r="Q583" s="152">
        <f>IF(OR(C583="",L583=""),0,IF(AND(TRIM(C583)=TRIM(RIGHT(SUBSTITUTE(TRIM('02_대상물건입력'!$B$7)," ",REPT(" ",99)),99)),IF('02_대상물건입력'!B15="",TRUE(),ISNUMBER(SEARCH('02_대상물건입력'!B15,L583)))),1,0))</f>
        <v/>
      </c>
      <c r="R583" s="175">
        <f>IFERROR(ABS(E583-'02_대상물건입력'!B11)/'02_대상물건입력'!B11,"")</f>
        <v/>
      </c>
      <c r="S583" s="152">
        <f>IFERROR(ABS(J583-'02_대상물건입력'!B10),"")</f>
        <v/>
      </c>
      <c r="T583" s="152">
        <f>IFERROR(ABS('01_설정'!B4-F583),"")</f>
        <v/>
      </c>
      <c r="U583" s="152">
        <f>IFERROR(ABS(K583-YEAR('02_대상물건입력'!B14)),"")</f>
        <v/>
      </c>
      <c r="V583" s="152">
        <f>IF(B583="","",IF(AND(E583&gt;0,F583&gt;0,H583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583=1,TRUE()),R583&lt;='01_설정'!B5,S583&lt;='01_설정'!B6,T583&lt;='01_설정'!B7,U583&lt;='01_설정'!B8),"Y",""))</f>
        <v/>
      </c>
      <c r="W583" s="172">
        <f>IF(V583&lt;&gt;"Y","",MAX(0,(1-R583/'01_설정'!B5))*'01_설정'!B14+MAX(0,(1-S583/'01_설정'!B6))*'01_설정'!B15+MAX(0,(1-T583/'01_설정'!B7))*'01_설정'!B16+MAX(0,(1-U583/'01_설정'!B8))*'01_설정'!B17+O583*'01_설정'!B11+Q583*'01_설정'!B12+P583*'01_설정'!B13+IF(Z583="",0,Z583))</f>
        <v/>
      </c>
      <c r="X583" s="152">
        <f>IF(W583="","",1+COUNTIFS($W$4:$W$3003,"&gt;"&amp;W583)+COUNTIFS($W$4:W583,W583)-1)</f>
        <v/>
      </c>
      <c r="Y583" s="175">
        <f>IF(OR(I583="",'02_대상물건입력'!B19="",'02_대상물건입력'!B19&lt;=0),"",ABS(I583-'02_대상물건입력'!B19)/'02_대상물건입력'!B19)</f>
        <v/>
      </c>
      <c r="Z583" s="172">
        <f>IF(OR(Y583="",'01_설정'!B31="",'01_설정'!B31&lt;=0,'01_설정'!B32="",'01_설정'!B32&lt;=0),"",MAX(0,(1-Y583/'01_설정'!B32))*'01_설정'!B31)</f>
        <v/>
      </c>
    </row>
    <row r="584" ht="17.25" customHeight="1">
      <c r="A584" s="152">
        <f>IF(INDEX('04A_국토부원자료'!$A:$A,ROW()+1)="","",ROW()-3)</f>
        <v/>
      </c>
      <c r="B584" s="48">
        <f>IFERROR(INDEX('04A_국토부원자료'!$A:$T,ROW()+1,MATCH("시군구",'04A_국토부원자료'!$A$4:$T$4,0)),"")</f>
        <v/>
      </c>
      <c r="C584" s="48">
        <f>IF(B584="","",IFERROR(INDEX('04A_국토부원자료'!$A:$T,ROW()+1,MATCH("번지",'04A_국토부원자료'!$A$4:$T$4,0)),""))</f>
        <v/>
      </c>
      <c r="D584" s="48">
        <f>IF(B584="","",IF(Q584=1,'02_대상물건입력'!$B$8,IFERROR(INDEX('04A_국토부원자료'!$A:$T,ROW()+1,MATCH("단지명",'04A_국토부원자료'!$A$4:$T$4,0)),"")))</f>
        <v/>
      </c>
      <c r="E584" s="172">
        <f>IFERROR(VALUE(SUBSTITUTE(INDEX('04A_국토부원자료'!$A:$T,ROW()+1,MATCH("전용면적(㎡)",'04A_국토부원자료'!$A$4:$T$4,0)),",","")),"")</f>
        <v/>
      </c>
      <c r="F5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84" s="51">
        <f>IFERROR(VALUE(SUBSTITUTE(INDEX('04A_국토부원자료'!$A:$T,ROW()+1,MATCH("거래금액(만원)",'04A_국토부원자료'!$A$4:$T$4,0)),",","")),"")</f>
        <v/>
      </c>
      <c r="H584" s="174">
        <f>IF(G584="","",G584*10000)</f>
        <v/>
      </c>
      <c r="I584" s="174">
        <f>IFERROR(IF(AND(H584&gt;0,E584&gt;0),H584/E584,""),"")</f>
        <v/>
      </c>
      <c r="J584" s="152">
        <f>IFERROR(VALUE(SUBSTITUTE(INDEX('04A_국토부원자료'!$A:$T,ROW()+1,MATCH("층",'04A_국토부원자료'!$A$4:$T$4,0)),",","")),"")</f>
        <v/>
      </c>
      <c r="K584" s="152">
        <f>IFERROR(VALUE(SUBSTITUTE(INDEX('04A_국토부원자료'!$A:$T,ROW()+1,MATCH("건축년도",'04A_국토부원자료'!$A$4:$T$4,0)),",","")),"")</f>
        <v/>
      </c>
      <c r="L584" s="176">
        <f>IFERROR(INDEX('04A_국토부원자료'!$A:$T,ROW()+1,MATCH("도로명",'04A_국토부원자료'!$A$4:$T$4,0)),"")</f>
        <v/>
      </c>
      <c r="M584" s="48">
        <f>IFERROR(INDEX('04A_국토부원자료'!$A:$T,ROW()+1,MATCH("거래유형",'04A_국토부원자료'!$A$4:$T$4,0)),"")</f>
        <v/>
      </c>
      <c r="N584" s="152">
        <f>IF(B584="","",IF('02_대상물건입력'!B5="",1,IF(ISNUMBER(SEARCH('02_대상물건입력'!B5,B584)),1,0)))</f>
        <v/>
      </c>
      <c r="O584" s="152">
        <f>IF(B584="","",IF('02_대상물건입력'!B6="",1,IF(ISNUMBER(SEARCH('02_대상물건입력'!B6,B584)),1,0)))</f>
        <v/>
      </c>
      <c r="P584" s="152">
        <f>IF(L584="","",IF('02_대상물건입력'!B15="",0,IF(ISNUMBER(SEARCH('02_대상물건입력'!B15,L584)),1,0)))</f>
        <v/>
      </c>
      <c r="Q584" s="152">
        <f>IF(OR(C584="",L584=""),0,IF(AND(TRIM(C584)=TRIM(RIGHT(SUBSTITUTE(TRIM('02_대상물건입력'!$B$7)," ",REPT(" ",99)),99)),IF('02_대상물건입력'!B15="",TRUE(),ISNUMBER(SEARCH('02_대상물건입력'!B15,L584)))),1,0))</f>
        <v/>
      </c>
      <c r="R584" s="175">
        <f>IFERROR(ABS(E584-'02_대상물건입력'!B11)/'02_대상물건입력'!B11,"")</f>
        <v/>
      </c>
      <c r="S584" s="152">
        <f>IFERROR(ABS(J584-'02_대상물건입력'!B10),"")</f>
        <v/>
      </c>
      <c r="T584" s="152">
        <f>IFERROR(ABS('01_설정'!B4-F584),"")</f>
        <v/>
      </c>
      <c r="U584" s="152">
        <f>IFERROR(ABS(K584-YEAR('02_대상물건입력'!B14)),"")</f>
        <v/>
      </c>
      <c r="V584" s="152">
        <f>IF(B584="","",IF(AND(E584&gt;0,F584&gt;0,H584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584=1,TRUE()),R584&lt;='01_설정'!B5,S584&lt;='01_설정'!B6,T584&lt;='01_설정'!B7,U584&lt;='01_설정'!B8),"Y",""))</f>
        <v/>
      </c>
      <c r="W584" s="172">
        <f>IF(V584&lt;&gt;"Y","",MAX(0,(1-R584/'01_설정'!B5))*'01_설정'!B14+MAX(0,(1-S584/'01_설정'!B6))*'01_설정'!B15+MAX(0,(1-T584/'01_설정'!B7))*'01_설정'!B16+MAX(0,(1-U584/'01_설정'!B8))*'01_설정'!B17+O584*'01_설정'!B11+Q584*'01_설정'!B12+P584*'01_설정'!B13+IF(Z584="",0,Z584))</f>
        <v/>
      </c>
      <c r="X584" s="152">
        <f>IF(W584="","",1+COUNTIFS($W$4:$W$3003,"&gt;"&amp;W584)+COUNTIFS($W$4:W584,W584)-1)</f>
        <v/>
      </c>
      <c r="Y584" s="175">
        <f>IF(OR(I584="",'02_대상물건입력'!B19="",'02_대상물건입력'!B19&lt;=0),"",ABS(I584-'02_대상물건입력'!B19)/'02_대상물건입력'!B19)</f>
        <v/>
      </c>
      <c r="Z584" s="172">
        <f>IF(OR(Y584="",'01_설정'!B31="",'01_설정'!B31&lt;=0,'01_설정'!B32="",'01_설정'!B32&lt;=0),"",MAX(0,(1-Y584/'01_설정'!B32))*'01_설정'!B31)</f>
        <v/>
      </c>
    </row>
    <row r="585" ht="17.25" customHeight="1">
      <c r="A585" s="152">
        <f>IF(INDEX('04A_국토부원자료'!$A:$A,ROW()+1)="","",ROW()-3)</f>
        <v/>
      </c>
      <c r="B585" s="48">
        <f>IFERROR(INDEX('04A_국토부원자료'!$A:$T,ROW()+1,MATCH("시군구",'04A_국토부원자료'!$A$4:$T$4,0)),"")</f>
        <v/>
      </c>
      <c r="C585" s="48">
        <f>IF(B585="","",IFERROR(INDEX('04A_국토부원자료'!$A:$T,ROW()+1,MATCH("번지",'04A_국토부원자료'!$A$4:$T$4,0)),""))</f>
        <v/>
      </c>
      <c r="D585" s="48">
        <f>IF(B585="","",IF(Q585=1,'02_대상물건입력'!$B$8,IFERROR(INDEX('04A_국토부원자료'!$A:$T,ROW()+1,MATCH("단지명",'04A_국토부원자료'!$A$4:$T$4,0)),"")))</f>
        <v/>
      </c>
      <c r="E585" s="172">
        <f>IFERROR(VALUE(SUBSTITUTE(INDEX('04A_국토부원자료'!$A:$T,ROW()+1,MATCH("전용면적(㎡)",'04A_국토부원자료'!$A$4:$T$4,0)),",","")),"")</f>
        <v/>
      </c>
      <c r="F5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85" s="51">
        <f>IFERROR(VALUE(SUBSTITUTE(INDEX('04A_국토부원자료'!$A:$T,ROW()+1,MATCH("거래금액(만원)",'04A_국토부원자료'!$A$4:$T$4,0)),",","")),"")</f>
        <v/>
      </c>
      <c r="H585" s="174">
        <f>IF(G585="","",G585*10000)</f>
        <v/>
      </c>
      <c r="I585" s="174">
        <f>IFERROR(IF(AND(H585&gt;0,E585&gt;0),H585/E585,""),"")</f>
        <v/>
      </c>
      <c r="J585" s="152">
        <f>IFERROR(VALUE(SUBSTITUTE(INDEX('04A_국토부원자료'!$A:$T,ROW()+1,MATCH("층",'04A_국토부원자료'!$A$4:$T$4,0)),",","")),"")</f>
        <v/>
      </c>
      <c r="K585" s="152">
        <f>IFERROR(VALUE(SUBSTITUTE(INDEX('04A_국토부원자료'!$A:$T,ROW()+1,MATCH("건축년도",'04A_국토부원자료'!$A$4:$T$4,0)),",","")),"")</f>
        <v/>
      </c>
      <c r="L585" s="176">
        <f>IFERROR(INDEX('04A_국토부원자료'!$A:$T,ROW()+1,MATCH("도로명",'04A_국토부원자료'!$A$4:$T$4,0)),"")</f>
        <v/>
      </c>
      <c r="M585" s="48">
        <f>IFERROR(INDEX('04A_국토부원자료'!$A:$T,ROW()+1,MATCH("거래유형",'04A_국토부원자료'!$A$4:$T$4,0)),"")</f>
        <v/>
      </c>
      <c r="N585" s="152">
        <f>IF(B585="","",IF('02_대상물건입력'!B5="",1,IF(ISNUMBER(SEARCH('02_대상물건입력'!B5,B585)),1,0)))</f>
        <v/>
      </c>
      <c r="O585" s="152">
        <f>IF(B585="","",IF('02_대상물건입력'!B6="",1,IF(ISNUMBER(SEARCH('02_대상물건입력'!B6,B585)),1,0)))</f>
        <v/>
      </c>
      <c r="P585" s="152">
        <f>IF(L585="","",IF('02_대상물건입력'!B15="",0,IF(ISNUMBER(SEARCH('02_대상물건입력'!B15,L585)),1,0)))</f>
        <v/>
      </c>
      <c r="Q585" s="152">
        <f>IF(OR(C585="",L585=""),0,IF(AND(TRIM(C585)=TRIM(RIGHT(SUBSTITUTE(TRIM('02_대상물건입력'!$B$7)," ",REPT(" ",99)),99)),IF('02_대상물건입력'!B15="",TRUE(),ISNUMBER(SEARCH('02_대상물건입력'!B15,L585)))),1,0))</f>
        <v/>
      </c>
      <c r="R585" s="175">
        <f>IFERROR(ABS(E585-'02_대상물건입력'!B11)/'02_대상물건입력'!B11,"")</f>
        <v/>
      </c>
      <c r="S585" s="152">
        <f>IFERROR(ABS(J585-'02_대상물건입력'!B10),"")</f>
        <v/>
      </c>
      <c r="T585" s="152">
        <f>IFERROR(ABS('01_설정'!B4-F585),"")</f>
        <v/>
      </c>
      <c r="U585" s="152">
        <f>IFERROR(ABS(K585-YEAR('02_대상물건입력'!B14)),"")</f>
        <v/>
      </c>
      <c r="V585" s="152">
        <f>IF(B585="","",IF(AND(E585&gt;0,F585&gt;0,H585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585=1,TRUE()),R585&lt;='01_설정'!B5,S585&lt;='01_설정'!B6,T585&lt;='01_설정'!B7,U585&lt;='01_설정'!B8),"Y",""))</f>
        <v/>
      </c>
      <c r="W585" s="172">
        <f>IF(V585&lt;&gt;"Y","",MAX(0,(1-R585/'01_설정'!B5))*'01_설정'!B14+MAX(0,(1-S585/'01_설정'!B6))*'01_설정'!B15+MAX(0,(1-T585/'01_설정'!B7))*'01_설정'!B16+MAX(0,(1-U585/'01_설정'!B8))*'01_설정'!B17+O585*'01_설정'!B11+Q585*'01_설정'!B12+P585*'01_설정'!B13+IF(Z585="",0,Z585))</f>
        <v/>
      </c>
      <c r="X585" s="152">
        <f>IF(W585="","",1+COUNTIFS($W$4:$W$3003,"&gt;"&amp;W585)+COUNTIFS($W$4:W585,W585)-1)</f>
        <v/>
      </c>
      <c r="Y585" s="175">
        <f>IF(OR(I585="",'02_대상물건입력'!B19="",'02_대상물건입력'!B19&lt;=0),"",ABS(I585-'02_대상물건입력'!B19)/'02_대상물건입력'!B19)</f>
        <v/>
      </c>
      <c r="Z585" s="172">
        <f>IF(OR(Y585="",'01_설정'!B31="",'01_설정'!B31&lt;=0,'01_설정'!B32="",'01_설정'!B32&lt;=0),"",MAX(0,(1-Y585/'01_설정'!B32))*'01_설정'!B31)</f>
        <v/>
      </c>
    </row>
    <row r="586" ht="17.25" customHeight="1">
      <c r="A586" s="152">
        <f>IF(INDEX('04A_국토부원자료'!$A:$A,ROW()+1)="","",ROW()-3)</f>
        <v/>
      </c>
      <c r="B586" s="48">
        <f>IFERROR(INDEX('04A_국토부원자료'!$A:$T,ROW()+1,MATCH("시군구",'04A_국토부원자료'!$A$4:$T$4,0)),"")</f>
        <v/>
      </c>
      <c r="C586" s="48">
        <f>IF(B586="","",IFERROR(INDEX('04A_국토부원자료'!$A:$T,ROW()+1,MATCH("번지",'04A_국토부원자료'!$A$4:$T$4,0)),""))</f>
        <v/>
      </c>
      <c r="D586" s="48">
        <f>IF(B586="","",IF(Q586=1,'02_대상물건입력'!$B$8,IFERROR(INDEX('04A_국토부원자료'!$A:$T,ROW()+1,MATCH("단지명",'04A_국토부원자료'!$A$4:$T$4,0)),"")))</f>
        <v/>
      </c>
      <c r="E586" s="172">
        <f>IFERROR(VALUE(SUBSTITUTE(INDEX('04A_국토부원자료'!$A:$T,ROW()+1,MATCH("전용면적(㎡)",'04A_국토부원자료'!$A$4:$T$4,0)),",","")),"")</f>
        <v/>
      </c>
      <c r="F5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86" s="51">
        <f>IFERROR(VALUE(SUBSTITUTE(INDEX('04A_국토부원자료'!$A:$T,ROW()+1,MATCH("거래금액(만원)",'04A_국토부원자료'!$A$4:$T$4,0)),",","")),"")</f>
        <v/>
      </c>
      <c r="H586" s="174">
        <f>IF(G586="","",G586*10000)</f>
        <v/>
      </c>
      <c r="I586" s="174">
        <f>IFERROR(IF(AND(H586&gt;0,E586&gt;0),H586/E586,""),"")</f>
        <v/>
      </c>
      <c r="J586" s="152">
        <f>IFERROR(VALUE(SUBSTITUTE(INDEX('04A_국토부원자료'!$A:$T,ROW()+1,MATCH("층",'04A_국토부원자료'!$A$4:$T$4,0)),",","")),"")</f>
        <v/>
      </c>
      <c r="K586" s="152">
        <f>IFERROR(VALUE(SUBSTITUTE(INDEX('04A_국토부원자료'!$A:$T,ROW()+1,MATCH("건축년도",'04A_국토부원자료'!$A$4:$T$4,0)),",","")),"")</f>
        <v/>
      </c>
      <c r="L586" s="176">
        <f>IFERROR(INDEX('04A_국토부원자료'!$A:$T,ROW()+1,MATCH("도로명",'04A_국토부원자료'!$A$4:$T$4,0)),"")</f>
        <v/>
      </c>
      <c r="M586" s="48">
        <f>IFERROR(INDEX('04A_국토부원자료'!$A:$T,ROW()+1,MATCH("거래유형",'04A_국토부원자료'!$A$4:$T$4,0)),"")</f>
        <v/>
      </c>
      <c r="N586" s="152">
        <f>IF(B586="","",IF('02_대상물건입력'!B5="",1,IF(ISNUMBER(SEARCH('02_대상물건입력'!B5,B586)),1,0)))</f>
        <v/>
      </c>
      <c r="O586" s="152">
        <f>IF(B586="","",IF('02_대상물건입력'!B6="",1,IF(ISNUMBER(SEARCH('02_대상물건입력'!B6,B586)),1,0)))</f>
        <v/>
      </c>
      <c r="P586" s="152">
        <f>IF(L586="","",IF('02_대상물건입력'!B15="",0,IF(ISNUMBER(SEARCH('02_대상물건입력'!B15,L586)),1,0)))</f>
        <v/>
      </c>
      <c r="Q586" s="152">
        <f>IF(OR(C586="",L586=""),0,IF(AND(TRIM(C586)=TRIM(RIGHT(SUBSTITUTE(TRIM('02_대상물건입력'!$B$7)," ",REPT(" ",99)),99)),IF('02_대상물건입력'!B15="",TRUE(),ISNUMBER(SEARCH('02_대상물건입력'!B15,L586)))),1,0))</f>
        <v/>
      </c>
      <c r="R586" s="175">
        <f>IFERROR(ABS(E586-'02_대상물건입력'!B11)/'02_대상물건입력'!B11,"")</f>
        <v/>
      </c>
      <c r="S586" s="152">
        <f>IFERROR(ABS(J586-'02_대상물건입력'!B10),"")</f>
        <v/>
      </c>
      <c r="T586" s="152">
        <f>IFERROR(ABS('01_설정'!B4-F586),"")</f>
        <v/>
      </c>
      <c r="U586" s="152">
        <f>IFERROR(ABS(K586-YEAR('02_대상물건입력'!B14)),"")</f>
        <v/>
      </c>
      <c r="V586" s="152">
        <f>IF(B586="","",IF(AND(E586&gt;0,F586&gt;0,H586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586=1,TRUE()),R586&lt;='01_설정'!B5,S586&lt;='01_설정'!B6,T586&lt;='01_설정'!B7,U586&lt;='01_설정'!B8),"Y",""))</f>
        <v/>
      </c>
      <c r="W586" s="172">
        <f>IF(V586&lt;&gt;"Y","",MAX(0,(1-R586/'01_설정'!B5))*'01_설정'!B14+MAX(0,(1-S586/'01_설정'!B6))*'01_설정'!B15+MAX(0,(1-T586/'01_설정'!B7))*'01_설정'!B16+MAX(0,(1-U586/'01_설정'!B8))*'01_설정'!B17+O586*'01_설정'!B11+Q586*'01_설정'!B12+P586*'01_설정'!B13+IF(Z586="",0,Z586))</f>
        <v/>
      </c>
      <c r="X586" s="152">
        <f>IF(W586="","",1+COUNTIFS($W$4:$W$3003,"&gt;"&amp;W586)+COUNTIFS($W$4:W586,W586)-1)</f>
        <v/>
      </c>
      <c r="Y586" s="175">
        <f>IF(OR(I586="",'02_대상물건입력'!B19="",'02_대상물건입력'!B19&lt;=0),"",ABS(I586-'02_대상물건입력'!B19)/'02_대상물건입력'!B19)</f>
        <v/>
      </c>
      <c r="Z586" s="172">
        <f>IF(OR(Y586="",'01_설정'!B31="",'01_설정'!B31&lt;=0,'01_설정'!B32="",'01_설정'!B32&lt;=0),"",MAX(0,(1-Y586/'01_설정'!B32))*'01_설정'!B31)</f>
        <v/>
      </c>
    </row>
    <row r="587" ht="17.25" customHeight="1">
      <c r="A587" s="152">
        <f>IF(INDEX('04A_국토부원자료'!$A:$A,ROW()+1)="","",ROW()-3)</f>
        <v/>
      </c>
      <c r="B587" s="48">
        <f>IFERROR(INDEX('04A_국토부원자료'!$A:$T,ROW()+1,MATCH("시군구",'04A_국토부원자료'!$A$4:$T$4,0)),"")</f>
        <v/>
      </c>
      <c r="C587" s="48">
        <f>IF(B587="","",IFERROR(INDEX('04A_국토부원자료'!$A:$T,ROW()+1,MATCH("번지",'04A_국토부원자료'!$A$4:$T$4,0)),""))</f>
        <v/>
      </c>
      <c r="D587" s="48">
        <f>IF(B587="","",IF(Q587=1,'02_대상물건입력'!$B$8,IFERROR(INDEX('04A_국토부원자료'!$A:$T,ROW()+1,MATCH("단지명",'04A_국토부원자료'!$A$4:$T$4,0)),"")))</f>
        <v/>
      </c>
      <c r="E587" s="172">
        <f>IFERROR(VALUE(SUBSTITUTE(INDEX('04A_국토부원자료'!$A:$T,ROW()+1,MATCH("전용면적(㎡)",'04A_국토부원자료'!$A$4:$T$4,0)),",","")),"")</f>
        <v/>
      </c>
      <c r="F5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87" s="51">
        <f>IFERROR(VALUE(SUBSTITUTE(INDEX('04A_국토부원자료'!$A:$T,ROW()+1,MATCH("거래금액(만원)",'04A_국토부원자료'!$A$4:$T$4,0)),",","")),"")</f>
        <v/>
      </c>
      <c r="H587" s="174">
        <f>IF(G587="","",G587*10000)</f>
        <v/>
      </c>
      <c r="I587" s="174">
        <f>IFERROR(IF(AND(H587&gt;0,E587&gt;0),H587/E587,""),"")</f>
        <v/>
      </c>
      <c r="J587" s="152">
        <f>IFERROR(VALUE(SUBSTITUTE(INDEX('04A_국토부원자료'!$A:$T,ROW()+1,MATCH("층",'04A_국토부원자료'!$A$4:$T$4,0)),",","")),"")</f>
        <v/>
      </c>
      <c r="K587" s="152">
        <f>IFERROR(VALUE(SUBSTITUTE(INDEX('04A_국토부원자료'!$A:$T,ROW()+1,MATCH("건축년도",'04A_국토부원자료'!$A$4:$T$4,0)),",","")),"")</f>
        <v/>
      </c>
      <c r="L587" s="176">
        <f>IFERROR(INDEX('04A_국토부원자료'!$A:$T,ROW()+1,MATCH("도로명",'04A_국토부원자료'!$A$4:$T$4,0)),"")</f>
        <v/>
      </c>
      <c r="M587" s="48">
        <f>IFERROR(INDEX('04A_국토부원자료'!$A:$T,ROW()+1,MATCH("거래유형",'04A_국토부원자료'!$A$4:$T$4,0)),"")</f>
        <v/>
      </c>
      <c r="N587" s="152">
        <f>IF(B587="","",IF('02_대상물건입력'!B5="",1,IF(ISNUMBER(SEARCH('02_대상물건입력'!B5,B587)),1,0)))</f>
        <v/>
      </c>
      <c r="O587" s="152">
        <f>IF(B587="","",IF('02_대상물건입력'!B6="",1,IF(ISNUMBER(SEARCH('02_대상물건입력'!B6,B587)),1,0)))</f>
        <v/>
      </c>
      <c r="P587" s="152">
        <f>IF(L587="","",IF('02_대상물건입력'!B15="",0,IF(ISNUMBER(SEARCH('02_대상물건입력'!B15,L587)),1,0)))</f>
        <v/>
      </c>
      <c r="Q587" s="152">
        <f>IF(OR(C587="",L587=""),0,IF(AND(TRIM(C587)=TRIM(RIGHT(SUBSTITUTE(TRIM('02_대상물건입력'!$B$7)," ",REPT(" ",99)),99)),IF('02_대상물건입력'!B15="",TRUE(),ISNUMBER(SEARCH('02_대상물건입력'!B15,L587)))),1,0))</f>
        <v/>
      </c>
      <c r="R587" s="175">
        <f>IFERROR(ABS(E587-'02_대상물건입력'!B11)/'02_대상물건입력'!B11,"")</f>
        <v/>
      </c>
      <c r="S587" s="152">
        <f>IFERROR(ABS(J587-'02_대상물건입력'!B10),"")</f>
        <v/>
      </c>
      <c r="T587" s="152">
        <f>IFERROR(ABS('01_설정'!B4-F587),"")</f>
        <v/>
      </c>
      <c r="U587" s="152">
        <f>IFERROR(ABS(K587-YEAR('02_대상물건입력'!B14)),"")</f>
        <v/>
      </c>
      <c r="V587" s="152">
        <f>IF(B587="","",IF(AND(E587&gt;0,F587&gt;0,H587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587=1,TRUE()),R587&lt;='01_설정'!B5,S587&lt;='01_설정'!B6,T587&lt;='01_설정'!B7,U587&lt;='01_설정'!B8),"Y",""))</f>
        <v/>
      </c>
      <c r="W587" s="172">
        <f>IF(V587&lt;&gt;"Y","",MAX(0,(1-R587/'01_설정'!B5))*'01_설정'!B14+MAX(0,(1-S587/'01_설정'!B6))*'01_설정'!B15+MAX(0,(1-T587/'01_설정'!B7))*'01_설정'!B16+MAX(0,(1-U587/'01_설정'!B8))*'01_설정'!B17+O587*'01_설정'!B11+Q587*'01_설정'!B12+P587*'01_설정'!B13+IF(Z587="",0,Z587))</f>
        <v/>
      </c>
      <c r="X587" s="152">
        <f>IF(W587="","",1+COUNTIFS($W$4:$W$3003,"&gt;"&amp;W587)+COUNTIFS($W$4:W587,W587)-1)</f>
        <v/>
      </c>
      <c r="Y587" s="175">
        <f>IF(OR(I587="",'02_대상물건입력'!B19="",'02_대상물건입력'!B19&lt;=0),"",ABS(I587-'02_대상물건입력'!B19)/'02_대상물건입력'!B19)</f>
        <v/>
      </c>
      <c r="Z587" s="172">
        <f>IF(OR(Y587="",'01_설정'!B31="",'01_설정'!B31&lt;=0,'01_설정'!B32="",'01_설정'!B32&lt;=0),"",MAX(0,(1-Y587/'01_설정'!B32))*'01_설정'!B31)</f>
        <v/>
      </c>
    </row>
    <row r="588" ht="17.25" customHeight="1">
      <c r="A588" s="152">
        <f>IF(INDEX('04A_국토부원자료'!$A:$A,ROW()+1)="","",ROW()-3)</f>
        <v/>
      </c>
      <c r="B588" s="48">
        <f>IFERROR(INDEX('04A_국토부원자료'!$A:$T,ROW()+1,MATCH("시군구",'04A_국토부원자료'!$A$4:$T$4,0)),"")</f>
        <v/>
      </c>
      <c r="C588" s="48">
        <f>IF(B588="","",IFERROR(INDEX('04A_국토부원자료'!$A:$T,ROW()+1,MATCH("번지",'04A_국토부원자료'!$A$4:$T$4,0)),""))</f>
        <v/>
      </c>
      <c r="D588" s="48">
        <f>IF(B588="","",IF(Q588=1,'02_대상물건입력'!$B$8,IFERROR(INDEX('04A_국토부원자료'!$A:$T,ROW()+1,MATCH("단지명",'04A_국토부원자료'!$A$4:$T$4,0)),"")))</f>
        <v/>
      </c>
      <c r="E588" s="172">
        <f>IFERROR(VALUE(SUBSTITUTE(INDEX('04A_국토부원자료'!$A:$T,ROW()+1,MATCH("전용면적(㎡)",'04A_국토부원자료'!$A$4:$T$4,0)),",","")),"")</f>
        <v/>
      </c>
      <c r="F5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88" s="51">
        <f>IFERROR(VALUE(SUBSTITUTE(INDEX('04A_국토부원자료'!$A:$T,ROW()+1,MATCH("거래금액(만원)",'04A_국토부원자료'!$A$4:$T$4,0)),",","")),"")</f>
        <v/>
      </c>
      <c r="H588" s="174">
        <f>IF(G588="","",G588*10000)</f>
        <v/>
      </c>
      <c r="I588" s="174">
        <f>IFERROR(IF(AND(H588&gt;0,E588&gt;0),H588/E588,""),"")</f>
        <v/>
      </c>
      <c r="J588" s="152">
        <f>IFERROR(VALUE(SUBSTITUTE(INDEX('04A_국토부원자료'!$A:$T,ROW()+1,MATCH("층",'04A_국토부원자료'!$A$4:$T$4,0)),",","")),"")</f>
        <v/>
      </c>
      <c r="K588" s="152">
        <f>IFERROR(VALUE(SUBSTITUTE(INDEX('04A_국토부원자료'!$A:$T,ROW()+1,MATCH("건축년도",'04A_국토부원자료'!$A$4:$T$4,0)),",","")),"")</f>
        <v/>
      </c>
      <c r="L588" s="176">
        <f>IFERROR(INDEX('04A_국토부원자료'!$A:$T,ROW()+1,MATCH("도로명",'04A_국토부원자료'!$A$4:$T$4,0)),"")</f>
        <v/>
      </c>
      <c r="M588" s="48">
        <f>IFERROR(INDEX('04A_국토부원자료'!$A:$T,ROW()+1,MATCH("거래유형",'04A_국토부원자료'!$A$4:$T$4,0)),"")</f>
        <v/>
      </c>
      <c r="N588" s="152">
        <f>IF(B588="","",IF('02_대상물건입력'!B5="",1,IF(ISNUMBER(SEARCH('02_대상물건입력'!B5,B588)),1,0)))</f>
        <v/>
      </c>
      <c r="O588" s="152">
        <f>IF(B588="","",IF('02_대상물건입력'!B6="",1,IF(ISNUMBER(SEARCH('02_대상물건입력'!B6,B588)),1,0)))</f>
        <v/>
      </c>
      <c r="P588" s="152">
        <f>IF(L588="","",IF('02_대상물건입력'!B15="",0,IF(ISNUMBER(SEARCH('02_대상물건입력'!B15,L588)),1,0)))</f>
        <v/>
      </c>
      <c r="Q588" s="152">
        <f>IF(OR(C588="",L588=""),0,IF(AND(TRIM(C588)=TRIM(RIGHT(SUBSTITUTE(TRIM('02_대상물건입력'!$B$7)," ",REPT(" ",99)),99)),IF('02_대상물건입력'!B15="",TRUE(),ISNUMBER(SEARCH('02_대상물건입력'!B15,L588)))),1,0))</f>
        <v/>
      </c>
      <c r="R588" s="175">
        <f>IFERROR(ABS(E588-'02_대상물건입력'!B11)/'02_대상물건입력'!B11,"")</f>
        <v/>
      </c>
      <c r="S588" s="152">
        <f>IFERROR(ABS(J588-'02_대상물건입력'!B10),"")</f>
        <v/>
      </c>
      <c r="T588" s="152">
        <f>IFERROR(ABS('01_설정'!B4-F588),"")</f>
        <v/>
      </c>
      <c r="U588" s="152">
        <f>IFERROR(ABS(K588-YEAR('02_대상물건입력'!B14)),"")</f>
        <v/>
      </c>
      <c r="V588" s="152">
        <f>IF(B588="","",IF(AND(E588&gt;0,F588&gt;0,H588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588=1,TRUE()),R588&lt;='01_설정'!B5,S588&lt;='01_설정'!B6,T588&lt;='01_설정'!B7,U588&lt;='01_설정'!B8),"Y",""))</f>
        <v/>
      </c>
      <c r="W588" s="172">
        <f>IF(V588&lt;&gt;"Y","",MAX(0,(1-R588/'01_설정'!B5))*'01_설정'!B14+MAX(0,(1-S588/'01_설정'!B6))*'01_설정'!B15+MAX(0,(1-T588/'01_설정'!B7))*'01_설정'!B16+MAX(0,(1-U588/'01_설정'!B8))*'01_설정'!B17+O588*'01_설정'!B11+Q588*'01_설정'!B12+P588*'01_설정'!B13+IF(Z588="",0,Z588))</f>
        <v/>
      </c>
      <c r="X588" s="152">
        <f>IF(W588="","",1+COUNTIFS($W$4:$W$3003,"&gt;"&amp;W588)+COUNTIFS($W$4:W588,W588)-1)</f>
        <v/>
      </c>
      <c r="Y588" s="175">
        <f>IF(OR(I588="",'02_대상물건입력'!B19="",'02_대상물건입력'!B19&lt;=0),"",ABS(I588-'02_대상물건입력'!B19)/'02_대상물건입력'!B19)</f>
        <v/>
      </c>
      <c r="Z588" s="172">
        <f>IF(OR(Y588="",'01_설정'!B31="",'01_설정'!B31&lt;=0,'01_설정'!B32="",'01_설정'!B32&lt;=0),"",MAX(0,(1-Y588/'01_설정'!B32))*'01_설정'!B31)</f>
        <v/>
      </c>
    </row>
    <row r="589" ht="17.25" customHeight="1">
      <c r="A589" s="152">
        <f>IF(INDEX('04A_국토부원자료'!$A:$A,ROW()+1)="","",ROW()-3)</f>
        <v/>
      </c>
      <c r="B589" s="48">
        <f>IFERROR(INDEX('04A_국토부원자료'!$A:$T,ROW()+1,MATCH("시군구",'04A_국토부원자료'!$A$4:$T$4,0)),"")</f>
        <v/>
      </c>
      <c r="C589" s="48">
        <f>IF(B589="","",IFERROR(INDEX('04A_국토부원자료'!$A:$T,ROW()+1,MATCH("번지",'04A_국토부원자료'!$A$4:$T$4,0)),""))</f>
        <v/>
      </c>
      <c r="D589" s="48">
        <f>IF(B589="","",IF(Q589=1,'02_대상물건입력'!$B$8,IFERROR(INDEX('04A_국토부원자료'!$A:$T,ROW()+1,MATCH("단지명",'04A_국토부원자료'!$A$4:$T$4,0)),"")))</f>
        <v/>
      </c>
      <c r="E589" s="172">
        <f>IFERROR(VALUE(SUBSTITUTE(INDEX('04A_국토부원자료'!$A:$T,ROW()+1,MATCH("전용면적(㎡)",'04A_국토부원자료'!$A$4:$T$4,0)),",","")),"")</f>
        <v/>
      </c>
      <c r="F5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89" s="51">
        <f>IFERROR(VALUE(SUBSTITUTE(INDEX('04A_국토부원자료'!$A:$T,ROW()+1,MATCH("거래금액(만원)",'04A_국토부원자료'!$A$4:$T$4,0)),",","")),"")</f>
        <v/>
      </c>
      <c r="H589" s="174">
        <f>IF(G589="","",G589*10000)</f>
        <v/>
      </c>
      <c r="I589" s="174">
        <f>IFERROR(IF(AND(H589&gt;0,E589&gt;0),H589/E589,""),"")</f>
        <v/>
      </c>
      <c r="J589" s="152">
        <f>IFERROR(VALUE(SUBSTITUTE(INDEX('04A_국토부원자료'!$A:$T,ROW()+1,MATCH("층",'04A_국토부원자료'!$A$4:$T$4,0)),",","")),"")</f>
        <v/>
      </c>
      <c r="K589" s="152">
        <f>IFERROR(VALUE(SUBSTITUTE(INDEX('04A_국토부원자료'!$A:$T,ROW()+1,MATCH("건축년도",'04A_국토부원자료'!$A$4:$T$4,0)),",","")),"")</f>
        <v/>
      </c>
      <c r="L589" s="176">
        <f>IFERROR(INDEX('04A_국토부원자료'!$A:$T,ROW()+1,MATCH("도로명",'04A_국토부원자료'!$A$4:$T$4,0)),"")</f>
        <v/>
      </c>
      <c r="M589" s="48">
        <f>IFERROR(INDEX('04A_국토부원자료'!$A:$T,ROW()+1,MATCH("거래유형",'04A_국토부원자료'!$A$4:$T$4,0)),"")</f>
        <v/>
      </c>
      <c r="N589" s="152">
        <f>IF(B589="","",IF('02_대상물건입력'!B5="",1,IF(ISNUMBER(SEARCH('02_대상물건입력'!B5,B589)),1,0)))</f>
        <v/>
      </c>
      <c r="O589" s="152">
        <f>IF(B589="","",IF('02_대상물건입력'!B6="",1,IF(ISNUMBER(SEARCH('02_대상물건입력'!B6,B589)),1,0)))</f>
        <v/>
      </c>
      <c r="P589" s="152">
        <f>IF(L589="","",IF('02_대상물건입력'!B15="",0,IF(ISNUMBER(SEARCH('02_대상물건입력'!B15,L589)),1,0)))</f>
        <v/>
      </c>
      <c r="Q589" s="152">
        <f>IF(OR(C589="",L589=""),0,IF(AND(TRIM(C589)=TRIM(RIGHT(SUBSTITUTE(TRIM('02_대상물건입력'!$B$7)," ",REPT(" ",99)),99)),IF('02_대상물건입력'!B15="",TRUE(),ISNUMBER(SEARCH('02_대상물건입력'!B15,L589)))),1,0))</f>
        <v/>
      </c>
      <c r="R589" s="175">
        <f>IFERROR(ABS(E589-'02_대상물건입력'!B11)/'02_대상물건입력'!B11,"")</f>
        <v/>
      </c>
      <c r="S589" s="152">
        <f>IFERROR(ABS(J589-'02_대상물건입력'!B10),"")</f>
        <v/>
      </c>
      <c r="T589" s="152">
        <f>IFERROR(ABS('01_설정'!B4-F589),"")</f>
        <v/>
      </c>
      <c r="U589" s="152">
        <f>IFERROR(ABS(K589-YEAR('02_대상물건입력'!B14)),"")</f>
        <v/>
      </c>
      <c r="V589" s="152">
        <f>IF(B589="","",IF(AND(E589&gt;0,F589&gt;0,H589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589=1,TRUE()),R589&lt;='01_설정'!B5,S589&lt;='01_설정'!B6,T589&lt;='01_설정'!B7,U589&lt;='01_설정'!B8),"Y",""))</f>
        <v/>
      </c>
      <c r="W589" s="172">
        <f>IF(V589&lt;&gt;"Y","",MAX(0,(1-R589/'01_설정'!B5))*'01_설정'!B14+MAX(0,(1-S589/'01_설정'!B6))*'01_설정'!B15+MAX(0,(1-T589/'01_설정'!B7))*'01_설정'!B16+MAX(0,(1-U589/'01_설정'!B8))*'01_설정'!B17+O589*'01_설정'!B11+Q589*'01_설정'!B12+P589*'01_설정'!B13+IF(Z589="",0,Z589))</f>
        <v/>
      </c>
      <c r="X589" s="152">
        <f>IF(W589="","",1+COUNTIFS($W$4:$W$3003,"&gt;"&amp;W589)+COUNTIFS($W$4:W589,W589)-1)</f>
        <v/>
      </c>
      <c r="Y589" s="175">
        <f>IF(OR(I589="",'02_대상물건입력'!B19="",'02_대상물건입력'!B19&lt;=0),"",ABS(I589-'02_대상물건입력'!B19)/'02_대상물건입력'!B19)</f>
        <v/>
      </c>
      <c r="Z589" s="172">
        <f>IF(OR(Y589="",'01_설정'!B31="",'01_설정'!B31&lt;=0,'01_설정'!B32="",'01_설정'!B32&lt;=0),"",MAX(0,(1-Y589/'01_설정'!B32))*'01_설정'!B31)</f>
        <v/>
      </c>
    </row>
    <row r="590" ht="17.25" customHeight="1">
      <c r="A590" s="152">
        <f>IF(INDEX('04A_국토부원자료'!$A:$A,ROW()+1)="","",ROW()-3)</f>
        <v/>
      </c>
      <c r="B590" s="48">
        <f>IFERROR(INDEX('04A_국토부원자료'!$A:$T,ROW()+1,MATCH("시군구",'04A_국토부원자료'!$A$4:$T$4,0)),"")</f>
        <v/>
      </c>
      <c r="C590" s="48">
        <f>IF(B590="","",IFERROR(INDEX('04A_국토부원자료'!$A:$T,ROW()+1,MATCH("번지",'04A_국토부원자료'!$A$4:$T$4,0)),""))</f>
        <v/>
      </c>
      <c r="D590" s="48">
        <f>IF(B590="","",IF(Q590=1,'02_대상물건입력'!$B$8,IFERROR(INDEX('04A_국토부원자료'!$A:$T,ROW()+1,MATCH("단지명",'04A_국토부원자료'!$A$4:$T$4,0)),"")))</f>
        <v/>
      </c>
      <c r="E590" s="172">
        <f>IFERROR(VALUE(SUBSTITUTE(INDEX('04A_국토부원자료'!$A:$T,ROW()+1,MATCH("전용면적(㎡)",'04A_국토부원자료'!$A$4:$T$4,0)),",","")),"")</f>
        <v/>
      </c>
      <c r="F5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90" s="51">
        <f>IFERROR(VALUE(SUBSTITUTE(INDEX('04A_국토부원자료'!$A:$T,ROW()+1,MATCH("거래금액(만원)",'04A_국토부원자료'!$A$4:$T$4,0)),",","")),"")</f>
        <v/>
      </c>
      <c r="H590" s="174">
        <f>IF(G590="","",G590*10000)</f>
        <v/>
      </c>
      <c r="I590" s="174">
        <f>IFERROR(IF(AND(H590&gt;0,E590&gt;0),H590/E590,""),"")</f>
        <v/>
      </c>
      <c r="J590" s="152">
        <f>IFERROR(VALUE(SUBSTITUTE(INDEX('04A_국토부원자료'!$A:$T,ROW()+1,MATCH("층",'04A_국토부원자료'!$A$4:$T$4,0)),",","")),"")</f>
        <v/>
      </c>
      <c r="K590" s="152">
        <f>IFERROR(VALUE(SUBSTITUTE(INDEX('04A_국토부원자료'!$A:$T,ROW()+1,MATCH("건축년도",'04A_국토부원자료'!$A$4:$T$4,0)),",","")),"")</f>
        <v/>
      </c>
      <c r="L590" s="176">
        <f>IFERROR(INDEX('04A_국토부원자료'!$A:$T,ROW()+1,MATCH("도로명",'04A_국토부원자료'!$A$4:$T$4,0)),"")</f>
        <v/>
      </c>
      <c r="M590" s="48">
        <f>IFERROR(INDEX('04A_국토부원자료'!$A:$T,ROW()+1,MATCH("거래유형",'04A_국토부원자료'!$A$4:$T$4,0)),"")</f>
        <v/>
      </c>
      <c r="N590" s="152">
        <f>IF(B590="","",IF('02_대상물건입력'!B5="",1,IF(ISNUMBER(SEARCH('02_대상물건입력'!B5,B590)),1,0)))</f>
        <v/>
      </c>
      <c r="O590" s="152">
        <f>IF(B590="","",IF('02_대상물건입력'!B6="",1,IF(ISNUMBER(SEARCH('02_대상물건입력'!B6,B590)),1,0)))</f>
        <v/>
      </c>
      <c r="P590" s="152">
        <f>IF(L590="","",IF('02_대상물건입력'!B15="",0,IF(ISNUMBER(SEARCH('02_대상물건입력'!B15,L590)),1,0)))</f>
        <v/>
      </c>
      <c r="Q590" s="152">
        <f>IF(OR(C590="",L590=""),0,IF(AND(TRIM(C590)=TRIM(RIGHT(SUBSTITUTE(TRIM('02_대상물건입력'!$B$7)," ",REPT(" ",99)),99)),IF('02_대상물건입력'!B15="",TRUE(),ISNUMBER(SEARCH('02_대상물건입력'!B15,L590)))),1,0))</f>
        <v/>
      </c>
      <c r="R590" s="175">
        <f>IFERROR(ABS(E590-'02_대상물건입력'!B11)/'02_대상물건입력'!B11,"")</f>
        <v/>
      </c>
      <c r="S590" s="152">
        <f>IFERROR(ABS(J590-'02_대상물건입력'!B10),"")</f>
        <v/>
      </c>
      <c r="T590" s="152">
        <f>IFERROR(ABS('01_설정'!B4-F590),"")</f>
        <v/>
      </c>
      <c r="U590" s="152">
        <f>IFERROR(ABS(K590-YEAR('02_대상물건입력'!B14)),"")</f>
        <v/>
      </c>
      <c r="V590" s="152">
        <f>IF(B590="","",IF(AND(E590&gt;0,F590&gt;0,H590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590=1,TRUE()),R590&lt;='01_설정'!B5,S590&lt;='01_설정'!B6,T590&lt;='01_설정'!B7,U590&lt;='01_설정'!B8),"Y",""))</f>
        <v/>
      </c>
      <c r="W590" s="172">
        <f>IF(V590&lt;&gt;"Y","",MAX(0,(1-R590/'01_설정'!B5))*'01_설정'!B14+MAX(0,(1-S590/'01_설정'!B6))*'01_설정'!B15+MAX(0,(1-T590/'01_설정'!B7))*'01_설정'!B16+MAX(0,(1-U590/'01_설정'!B8))*'01_설정'!B17+O590*'01_설정'!B11+Q590*'01_설정'!B12+P590*'01_설정'!B13+IF(Z590="",0,Z590))</f>
        <v/>
      </c>
      <c r="X590" s="152">
        <f>IF(W590="","",1+COUNTIFS($W$4:$W$3003,"&gt;"&amp;W590)+COUNTIFS($W$4:W590,W590)-1)</f>
        <v/>
      </c>
      <c r="Y590" s="175">
        <f>IF(OR(I590="",'02_대상물건입력'!B19="",'02_대상물건입력'!B19&lt;=0),"",ABS(I590-'02_대상물건입력'!B19)/'02_대상물건입력'!B19)</f>
        <v/>
      </c>
      <c r="Z590" s="172">
        <f>IF(OR(Y590="",'01_설정'!B31="",'01_설정'!B31&lt;=0,'01_설정'!B32="",'01_설정'!B32&lt;=0),"",MAX(0,(1-Y590/'01_설정'!B32))*'01_설정'!B31)</f>
        <v/>
      </c>
    </row>
    <row r="591" ht="17.25" customHeight="1">
      <c r="A591" s="152">
        <f>IF(INDEX('04A_국토부원자료'!$A:$A,ROW()+1)="","",ROW()-3)</f>
        <v/>
      </c>
      <c r="B591" s="48">
        <f>IFERROR(INDEX('04A_국토부원자료'!$A:$T,ROW()+1,MATCH("시군구",'04A_국토부원자료'!$A$4:$T$4,0)),"")</f>
        <v/>
      </c>
      <c r="C591" s="48">
        <f>IF(B591="","",IFERROR(INDEX('04A_국토부원자료'!$A:$T,ROW()+1,MATCH("번지",'04A_국토부원자료'!$A$4:$T$4,0)),""))</f>
        <v/>
      </c>
      <c r="D591" s="48">
        <f>IF(B591="","",IF(Q591=1,'02_대상물건입력'!$B$8,IFERROR(INDEX('04A_국토부원자료'!$A:$T,ROW()+1,MATCH("단지명",'04A_국토부원자료'!$A$4:$T$4,0)),"")))</f>
        <v/>
      </c>
      <c r="E591" s="172">
        <f>IFERROR(VALUE(SUBSTITUTE(INDEX('04A_국토부원자료'!$A:$T,ROW()+1,MATCH("전용면적(㎡)",'04A_국토부원자료'!$A$4:$T$4,0)),",","")),"")</f>
        <v/>
      </c>
      <c r="F5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91" s="51">
        <f>IFERROR(VALUE(SUBSTITUTE(INDEX('04A_국토부원자료'!$A:$T,ROW()+1,MATCH("거래금액(만원)",'04A_국토부원자료'!$A$4:$T$4,0)),",","")),"")</f>
        <v/>
      </c>
      <c r="H591" s="174">
        <f>IF(G591="","",G591*10000)</f>
        <v/>
      </c>
      <c r="I591" s="174">
        <f>IFERROR(IF(AND(H591&gt;0,E591&gt;0),H591/E591,""),"")</f>
        <v/>
      </c>
      <c r="J591" s="152">
        <f>IFERROR(VALUE(SUBSTITUTE(INDEX('04A_국토부원자료'!$A:$T,ROW()+1,MATCH("층",'04A_국토부원자료'!$A$4:$T$4,0)),",","")),"")</f>
        <v/>
      </c>
      <c r="K591" s="152">
        <f>IFERROR(VALUE(SUBSTITUTE(INDEX('04A_국토부원자료'!$A:$T,ROW()+1,MATCH("건축년도",'04A_국토부원자료'!$A$4:$T$4,0)),",","")),"")</f>
        <v/>
      </c>
      <c r="L591" s="176">
        <f>IFERROR(INDEX('04A_국토부원자료'!$A:$T,ROW()+1,MATCH("도로명",'04A_국토부원자료'!$A$4:$T$4,0)),"")</f>
        <v/>
      </c>
      <c r="M591" s="48">
        <f>IFERROR(INDEX('04A_국토부원자료'!$A:$T,ROW()+1,MATCH("거래유형",'04A_국토부원자료'!$A$4:$T$4,0)),"")</f>
        <v/>
      </c>
      <c r="N591" s="152">
        <f>IF(B591="","",IF('02_대상물건입력'!B5="",1,IF(ISNUMBER(SEARCH('02_대상물건입력'!B5,B591)),1,0)))</f>
        <v/>
      </c>
      <c r="O591" s="152">
        <f>IF(B591="","",IF('02_대상물건입력'!B6="",1,IF(ISNUMBER(SEARCH('02_대상물건입력'!B6,B591)),1,0)))</f>
        <v/>
      </c>
      <c r="P591" s="152">
        <f>IF(L591="","",IF('02_대상물건입력'!B15="",0,IF(ISNUMBER(SEARCH('02_대상물건입력'!B15,L591)),1,0)))</f>
        <v/>
      </c>
      <c r="Q591" s="152">
        <f>IF(OR(C591="",L591=""),0,IF(AND(TRIM(C591)=TRIM(RIGHT(SUBSTITUTE(TRIM('02_대상물건입력'!$B$7)," ",REPT(" ",99)),99)),IF('02_대상물건입력'!B15="",TRUE(),ISNUMBER(SEARCH('02_대상물건입력'!B15,L591)))),1,0))</f>
        <v/>
      </c>
      <c r="R591" s="175">
        <f>IFERROR(ABS(E591-'02_대상물건입력'!B11)/'02_대상물건입력'!B11,"")</f>
        <v/>
      </c>
      <c r="S591" s="152">
        <f>IFERROR(ABS(J591-'02_대상물건입력'!B10),"")</f>
        <v/>
      </c>
      <c r="T591" s="152">
        <f>IFERROR(ABS('01_설정'!B4-F591),"")</f>
        <v/>
      </c>
      <c r="U591" s="152">
        <f>IFERROR(ABS(K591-YEAR('02_대상물건입력'!B14)),"")</f>
        <v/>
      </c>
      <c r="V591" s="152">
        <f>IF(B591="","",IF(AND(E591&gt;0,F591&gt;0,H591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591=1,TRUE()),R591&lt;='01_설정'!B5,S591&lt;='01_설정'!B6,T591&lt;='01_설정'!B7,U591&lt;='01_설정'!B8),"Y",""))</f>
        <v/>
      </c>
      <c r="W591" s="172">
        <f>IF(V591&lt;&gt;"Y","",MAX(0,(1-R591/'01_설정'!B5))*'01_설정'!B14+MAX(0,(1-S591/'01_설정'!B6))*'01_설정'!B15+MAX(0,(1-T591/'01_설정'!B7))*'01_설정'!B16+MAX(0,(1-U591/'01_설정'!B8))*'01_설정'!B17+O591*'01_설정'!B11+Q591*'01_설정'!B12+P591*'01_설정'!B13+IF(Z591="",0,Z591))</f>
        <v/>
      </c>
      <c r="X591" s="152">
        <f>IF(W591="","",1+COUNTIFS($W$4:$W$3003,"&gt;"&amp;W591)+COUNTIFS($W$4:W591,W591)-1)</f>
        <v/>
      </c>
      <c r="Y591" s="175">
        <f>IF(OR(I591="",'02_대상물건입력'!B19="",'02_대상물건입력'!B19&lt;=0),"",ABS(I591-'02_대상물건입력'!B19)/'02_대상물건입력'!B19)</f>
        <v/>
      </c>
      <c r="Z591" s="172">
        <f>IF(OR(Y591="",'01_설정'!B31="",'01_설정'!B31&lt;=0,'01_설정'!B32="",'01_설정'!B32&lt;=0),"",MAX(0,(1-Y591/'01_설정'!B32))*'01_설정'!B31)</f>
        <v/>
      </c>
    </row>
    <row r="592" ht="17.25" customHeight="1">
      <c r="A592" s="152">
        <f>IF(INDEX('04A_국토부원자료'!$A:$A,ROW()+1)="","",ROW()-3)</f>
        <v/>
      </c>
      <c r="B592" s="48">
        <f>IFERROR(INDEX('04A_국토부원자료'!$A:$T,ROW()+1,MATCH("시군구",'04A_국토부원자료'!$A$4:$T$4,0)),"")</f>
        <v/>
      </c>
      <c r="C592" s="48">
        <f>IF(B592="","",IFERROR(INDEX('04A_국토부원자료'!$A:$T,ROW()+1,MATCH("번지",'04A_국토부원자료'!$A$4:$T$4,0)),""))</f>
        <v/>
      </c>
      <c r="D592" s="48">
        <f>IF(B592="","",IF(Q592=1,'02_대상물건입력'!$B$8,IFERROR(INDEX('04A_국토부원자료'!$A:$T,ROW()+1,MATCH("단지명",'04A_국토부원자료'!$A$4:$T$4,0)),"")))</f>
        <v/>
      </c>
      <c r="E592" s="172">
        <f>IFERROR(VALUE(SUBSTITUTE(INDEX('04A_국토부원자료'!$A:$T,ROW()+1,MATCH("전용면적(㎡)",'04A_국토부원자료'!$A$4:$T$4,0)),",","")),"")</f>
        <v/>
      </c>
      <c r="F5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92" s="51">
        <f>IFERROR(VALUE(SUBSTITUTE(INDEX('04A_국토부원자료'!$A:$T,ROW()+1,MATCH("거래금액(만원)",'04A_국토부원자료'!$A$4:$T$4,0)),",","")),"")</f>
        <v/>
      </c>
      <c r="H592" s="174">
        <f>IF(G592="","",G592*10000)</f>
        <v/>
      </c>
      <c r="I592" s="174">
        <f>IFERROR(IF(AND(H592&gt;0,E592&gt;0),H592/E592,""),"")</f>
        <v/>
      </c>
      <c r="J592" s="152">
        <f>IFERROR(VALUE(SUBSTITUTE(INDEX('04A_국토부원자료'!$A:$T,ROW()+1,MATCH("층",'04A_국토부원자료'!$A$4:$T$4,0)),",","")),"")</f>
        <v/>
      </c>
      <c r="K592" s="152">
        <f>IFERROR(VALUE(SUBSTITUTE(INDEX('04A_국토부원자료'!$A:$T,ROW()+1,MATCH("건축년도",'04A_국토부원자료'!$A$4:$T$4,0)),",","")),"")</f>
        <v/>
      </c>
      <c r="L592" s="176">
        <f>IFERROR(INDEX('04A_국토부원자료'!$A:$T,ROW()+1,MATCH("도로명",'04A_국토부원자료'!$A$4:$T$4,0)),"")</f>
        <v/>
      </c>
      <c r="M592" s="48">
        <f>IFERROR(INDEX('04A_국토부원자료'!$A:$T,ROW()+1,MATCH("거래유형",'04A_국토부원자료'!$A$4:$T$4,0)),"")</f>
        <v/>
      </c>
      <c r="N592" s="152">
        <f>IF(B592="","",IF('02_대상물건입력'!B5="",1,IF(ISNUMBER(SEARCH('02_대상물건입력'!B5,B592)),1,0)))</f>
        <v/>
      </c>
      <c r="O592" s="152">
        <f>IF(B592="","",IF('02_대상물건입력'!B6="",1,IF(ISNUMBER(SEARCH('02_대상물건입력'!B6,B592)),1,0)))</f>
        <v/>
      </c>
      <c r="P592" s="152">
        <f>IF(L592="","",IF('02_대상물건입력'!B15="",0,IF(ISNUMBER(SEARCH('02_대상물건입력'!B15,L592)),1,0)))</f>
        <v/>
      </c>
      <c r="Q592" s="152">
        <f>IF(OR(C592="",L592=""),0,IF(AND(TRIM(C592)=TRIM(RIGHT(SUBSTITUTE(TRIM('02_대상물건입력'!$B$7)," ",REPT(" ",99)),99)),IF('02_대상물건입력'!B15="",TRUE(),ISNUMBER(SEARCH('02_대상물건입력'!B15,L592)))),1,0))</f>
        <v/>
      </c>
      <c r="R592" s="175">
        <f>IFERROR(ABS(E592-'02_대상물건입력'!B11)/'02_대상물건입력'!B11,"")</f>
        <v/>
      </c>
      <c r="S592" s="152">
        <f>IFERROR(ABS(J592-'02_대상물건입력'!B10),"")</f>
        <v/>
      </c>
      <c r="T592" s="152">
        <f>IFERROR(ABS('01_설정'!B4-F592),"")</f>
        <v/>
      </c>
      <c r="U592" s="152">
        <f>IFERROR(ABS(K592-YEAR('02_대상물건입력'!B14)),"")</f>
        <v/>
      </c>
      <c r="V592" s="152">
        <f>IF(B592="","",IF(AND(E592&gt;0,F592&gt;0,H592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592=1,TRUE()),R592&lt;='01_설정'!B5,S592&lt;='01_설정'!B6,T592&lt;='01_설정'!B7,U592&lt;='01_설정'!B8),"Y",""))</f>
        <v/>
      </c>
      <c r="W592" s="172">
        <f>IF(V592&lt;&gt;"Y","",MAX(0,(1-R592/'01_설정'!B5))*'01_설정'!B14+MAX(0,(1-S592/'01_설정'!B6))*'01_설정'!B15+MAX(0,(1-T592/'01_설정'!B7))*'01_설정'!B16+MAX(0,(1-U592/'01_설정'!B8))*'01_설정'!B17+O592*'01_설정'!B11+Q592*'01_설정'!B12+P592*'01_설정'!B13+IF(Z592="",0,Z592))</f>
        <v/>
      </c>
      <c r="X592" s="152">
        <f>IF(W592="","",1+COUNTIFS($W$4:$W$3003,"&gt;"&amp;W592)+COUNTIFS($W$4:W592,W592)-1)</f>
        <v/>
      </c>
      <c r="Y592" s="175">
        <f>IF(OR(I592="",'02_대상물건입력'!B19="",'02_대상물건입력'!B19&lt;=0),"",ABS(I592-'02_대상물건입력'!B19)/'02_대상물건입력'!B19)</f>
        <v/>
      </c>
      <c r="Z592" s="172">
        <f>IF(OR(Y592="",'01_설정'!B31="",'01_설정'!B31&lt;=0,'01_설정'!B32="",'01_설정'!B32&lt;=0),"",MAX(0,(1-Y592/'01_설정'!B32))*'01_설정'!B31)</f>
        <v/>
      </c>
    </row>
    <row r="593" ht="17.25" customHeight="1">
      <c r="A593" s="152">
        <f>IF(INDEX('04A_국토부원자료'!$A:$A,ROW()+1)="","",ROW()-3)</f>
        <v/>
      </c>
      <c r="B593" s="48">
        <f>IFERROR(INDEX('04A_국토부원자료'!$A:$T,ROW()+1,MATCH("시군구",'04A_국토부원자료'!$A$4:$T$4,0)),"")</f>
        <v/>
      </c>
      <c r="C593" s="48">
        <f>IF(B593="","",IFERROR(INDEX('04A_국토부원자료'!$A:$T,ROW()+1,MATCH("번지",'04A_국토부원자료'!$A$4:$T$4,0)),""))</f>
        <v/>
      </c>
      <c r="D593" s="48">
        <f>IF(B593="","",IF(Q593=1,'02_대상물건입력'!$B$8,IFERROR(INDEX('04A_국토부원자료'!$A:$T,ROW()+1,MATCH("단지명",'04A_국토부원자료'!$A$4:$T$4,0)),"")))</f>
        <v/>
      </c>
      <c r="E593" s="172">
        <f>IFERROR(VALUE(SUBSTITUTE(INDEX('04A_국토부원자료'!$A:$T,ROW()+1,MATCH("전용면적(㎡)",'04A_국토부원자료'!$A$4:$T$4,0)),",","")),"")</f>
        <v/>
      </c>
      <c r="F5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93" s="51">
        <f>IFERROR(VALUE(SUBSTITUTE(INDEX('04A_국토부원자료'!$A:$T,ROW()+1,MATCH("거래금액(만원)",'04A_국토부원자료'!$A$4:$T$4,0)),",","")),"")</f>
        <v/>
      </c>
      <c r="H593" s="174">
        <f>IF(G593="","",G593*10000)</f>
        <v/>
      </c>
      <c r="I593" s="174">
        <f>IFERROR(IF(AND(H593&gt;0,E593&gt;0),H593/E593,""),"")</f>
        <v/>
      </c>
      <c r="J593" s="152">
        <f>IFERROR(VALUE(SUBSTITUTE(INDEX('04A_국토부원자료'!$A:$T,ROW()+1,MATCH("층",'04A_국토부원자료'!$A$4:$T$4,0)),",","")),"")</f>
        <v/>
      </c>
      <c r="K593" s="152">
        <f>IFERROR(VALUE(SUBSTITUTE(INDEX('04A_국토부원자료'!$A:$T,ROW()+1,MATCH("건축년도",'04A_국토부원자료'!$A$4:$T$4,0)),",","")),"")</f>
        <v/>
      </c>
      <c r="L593" s="176">
        <f>IFERROR(INDEX('04A_국토부원자료'!$A:$T,ROW()+1,MATCH("도로명",'04A_국토부원자료'!$A$4:$T$4,0)),"")</f>
        <v/>
      </c>
      <c r="M593" s="48">
        <f>IFERROR(INDEX('04A_국토부원자료'!$A:$T,ROW()+1,MATCH("거래유형",'04A_국토부원자료'!$A$4:$T$4,0)),"")</f>
        <v/>
      </c>
      <c r="N593" s="152">
        <f>IF(B593="","",IF('02_대상물건입력'!B5="",1,IF(ISNUMBER(SEARCH('02_대상물건입력'!B5,B593)),1,0)))</f>
        <v/>
      </c>
      <c r="O593" s="152">
        <f>IF(B593="","",IF('02_대상물건입력'!B6="",1,IF(ISNUMBER(SEARCH('02_대상물건입력'!B6,B593)),1,0)))</f>
        <v/>
      </c>
      <c r="P593" s="152">
        <f>IF(L593="","",IF('02_대상물건입력'!B15="",0,IF(ISNUMBER(SEARCH('02_대상물건입력'!B15,L593)),1,0)))</f>
        <v/>
      </c>
      <c r="Q593" s="152">
        <f>IF(OR(C593="",L593=""),0,IF(AND(TRIM(C593)=TRIM(RIGHT(SUBSTITUTE(TRIM('02_대상물건입력'!$B$7)," ",REPT(" ",99)),99)),IF('02_대상물건입력'!B15="",TRUE(),ISNUMBER(SEARCH('02_대상물건입력'!B15,L593)))),1,0))</f>
        <v/>
      </c>
      <c r="R593" s="175">
        <f>IFERROR(ABS(E593-'02_대상물건입력'!B11)/'02_대상물건입력'!B11,"")</f>
        <v/>
      </c>
      <c r="S593" s="152">
        <f>IFERROR(ABS(J593-'02_대상물건입력'!B10),"")</f>
        <v/>
      </c>
      <c r="T593" s="152">
        <f>IFERROR(ABS('01_설정'!B4-F593),"")</f>
        <v/>
      </c>
      <c r="U593" s="152">
        <f>IFERROR(ABS(K593-YEAR('02_대상물건입력'!B14)),"")</f>
        <v/>
      </c>
      <c r="V593" s="152">
        <f>IF(B593="","",IF(AND(E593&gt;0,F593&gt;0,H593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593=1,TRUE()),R593&lt;='01_설정'!B5,S593&lt;='01_설정'!B6,T593&lt;='01_설정'!B7,U593&lt;='01_설정'!B8),"Y",""))</f>
        <v/>
      </c>
      <c r="W593" s="172">
        <f>IF(V593&lt;&gt;"Y","",MAX(0,(1-R593/'01_설정'!B5))*'01_설정'!B14+MAX(0,(1-S593/'01_설정'!B6))*'01_설정'!B15+MAX(0,(1-T593/'01_설정'!B7))*'01_설정'!B16+MAX(0,(1-U593/'01_설정'!B8))*'01_설정'!B17+O593*'01_설정'!B11+Q593*'01_설정'!B12+P593*'01_설정'!B13+IF(Z593="",0,Z593))</f>
        <v/>
      </c>
      <c r="X593" s="152">
        <f>IF(W593="","",1+COUNTIFS($W$4:$W$3003,"&gt;"&amp;W593)+COUNTIFS($W$4:W593,W593)-1)</f>
        <v/>
      </c>
      <c r="Y593" s="175">
        <f>IF(OR(I593="",'02_대상물건입력'!B19="",'02_대상물건입력'!B19&lt;=0),"",ABS(I593-'02_대상물건입력'!B19)/'02_대상물건입력'!B19)</f>
        <v/>
      </c>
      <c r="Z593" s="172">
        <f>IF(OR(Y593="",'01_설정'!B31="",'01_설정'!B31&lt;=0,'01_설정'!B32="",'01_설정'!B32&lt;=0),"",MAX(0,(1-Y593/'01_설정'!B32))*'01_설정'!B31)</f>
        <v/>
      </c>
    </row>
    <row r="594" ht="17.25" customHeight="1">
      <c r="A594" s="152">
        <f>IF(INDEX('04A_국토부원자료'!$A:$A,ROW()+1)="","",ROW()-3)</f>
        <v/>
      </c>
      <c r="B594" s="48">
        <f>IFERROR(INDEX('04A_국토부원자료'!$A:$T,ROW()+1,MATCH("시군구",'04A_국토부원자료'!$A$4:$T$4,0)),"")</f>
        <v/>
      </c>
      <c r="C594" s="48">
        <f>IF(B594="","",IFERROR(INDEX('04A_국토부원자료'!$A:$T,ROW()+1,MATCH("번지",'04A_국토부원자료'!$A$4:$T$4,0)),""))</f>
        <v/>
      </c>
      <c r="D594" s="48">
        <f>IF(B594="","",IF(Q594=1,'02_대상물건입력'!$B$8,IFERROR(INDEX('04A_국토부원자료'!$A:$T,ROW()+1,MATCH("단지명",'04A_국토부원자료'!$A$4:$T$4,0)),"")))</f>
        <v/>
      </c>
      <c r="E594" s="172">
        <f>IFERROR(VALUE(SUBSTITUTE(INDEX('04A_국토부원자료'!$A:$T,ROW()+1,MATCH("전용면적(㎡)",'04A_국토부원자료'!$A$4:$T$4,0)),",","")),"")</f>
        <v/>
      </c>
      <c r="F5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94" s="51">
        <f>IFERROR(VALUE(SUBSTITUTE(INDEX('04A_국토부원자료'!$A:$T,ROW()+1,MATCH("거래금액(만원)",'04A_국토부원자료'!$A$4:$T$4,0)),",","")),"")</f>
        <v/>
      </c>
      <c r="H594" s="174">
        <f>IF(G594="","",G594*10000)</f>
        <v/>
      </c>
      <c r="I594" s="174">
        <f>IFERROR(IF(AND(H594&gt;0,E594&gt;0),H594/E594,""),"")</f>
        <v/>
      </c>
      <c r="J594" s="152">
        <f>IFERROR(VALUE(SUBSTITUTE(INDEX('04A_국토부원자료'!$A:$T,ROW()+1,MATCH("층",'04A_국토부원자료'!$A$4:$T$4,0)),",","")),"")</f>
        <v/>
      </c>
      <c r="K594" s="152">
        <f>IFERROR(VALUE(SUBSTITUTE(INDEX('04A_국토부원자료'!$A:$T,ROW()+1,MATCH("건축년도",'04A_국토부원자료'!$A$4:$T$4,0)),",","")),"")</f>
        <v/>
      </c>
      <c r="L594" s="176">
        <f>IFERROR(INDEX('04A_국토부원자료'!$A:$T,ROW()+1,MATCH("도로명",'04A_국토부원자료'!$A$4:$T$4,0)),"")</f>
        <v/>
      </c>
      <c r="M594" s="48">
        <f>IFERROR(INDEX('04A_국토부원자료'!$A:$T,ROW()+1,MATCH("거래유형",'04A_국토부원자료'!$A$4:$T$4,0)),"")</f>
        <v/>
      </c>
      <c r="N594" s="152">
        <f>IF(B594="","",IF('02_대상물건입력'!B5="",1,IF(ISNUMBER(SEARCH('02_대상물건입력'!B5,B594)),1,0)))</f>
        <v/>
      </c>
      <c r="O594" s="152">
        <f>IF(B594="","",IF('02_대상물건입력'!B6="",1,IF(ISNUMBER(SEARCH('02_대상물건입력'!B6,B594)),1,0)))</f>
        <v/>
      </c>
      <c r="P594" s="152">
        <f>IF(L594="","",IF('02_대상물건입력'!B15="",0,IF(ISNUMBER(SEARCH('02_대상물건입력'!B15,L594)),1,0)))</f>
        <v/>
      </c>
      <c r="Q594" s="152">
        <f>IF(OR(C594="",L594=""),0,IF(AND(TRIM(C594)=TRIM(RIGHT(SUBSTITUTE(TRIM('02_대상물건입력'!$B$7)," ",REPT(" ",99)),99)),IF('02_대상물건입력'!B15="",TRUE(),ISNUMBER(SEARCH('02_대상물건입력'!B15,L594)))),1,0))</f>
        <v/>
      </c>
      <c r="R594" s="175">
        <f>IFERROR(ABS(E594-'02_대상물건입력'!B11)/'02_대상물건입력'!B11,"")</f>
        <v/>
      </c>
      <c r="S594" s="152">
        <f>IFERROR(ABS(J594-'02_대상물건입력'!B10),"")</f>
        <v/>
      </c>
      <c r="T594" s="152">
        <f>IFERROR(ABS('01_설정'!B4-F594),"")</f>
        <v/>
      </c>
      <c r="U594" s="152">
        <f>IFERROR(ABS(K594-YEAR('02_대상물건입력'!B14)),"")</f>
        <v/>
      </c>
      <c r="V594" s="152">
        <f>IF(B594="","",IF(AND(E594&gt;0,F594&gt;0,H594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594=1,TRUE()),R594&lt;='01_설정'!B5,S594&lt;='01_설정'!B6,T594&lt;='01_설정'!B7,U594&lt;='01_설정'!B8),"Y",""))</f>
        <v/>
      </c>
      <c r="W594" s="172">
        <f>IF(V594&lt;&gt;"Y","",MAX(0,(1-R594/'01_설정'!B5))*'01_설정'!B14+MAX(0,(1-S594/'01_설정'!B6))*'01_설정'!B15+MAX(0,(1-T594/'01_설정'!B7))*'01_설정'!B16+MAX(0,(1-U594/'01_설정'!B8))*'01_설정'!B17+O594*'01_설정'!B11+Q594*'01_설정'!B12+P594*'01_설정'!B13+IF(Z594="",0,Z594))</f>
        <v/>
      </c>
      <c r="X594" s="152">
        <f>IF(W594="","",1+COUNTIFS($W$4:$W$3003,"&gt;"&amp;W594)+COUNTIFS($W$4:W594,W594)-1)</f>
        <v/>
      </c>
      <c r="Y594" s="175">
        <f>IF(OR(I594="",'02_대상물건입력'!B19="",'02_대상물건입력'!B19&lt;=0),"",ABS(I594-'02_대상물건입력'!B19)/'02_대상물건입력'!B19)</f>
        <v/>
      </c>
      <c r="Z594" s="172">
        <f>IF(OR(Y594="",'01_설정'!B31="",'01_설정'!B31&lt;=0,'01_설정'!B32="",'01_설정'!B32&lt;=0),"",MAX(0,(1-Y594/'01_설정'!B32))*'01_설정'!B31)</f>
        <v/>
      </c>
    </row>
    <row r="595" ht="17.25" customHeight="1">
      <c r="A595" s="152">
        <f>IF(INDEX('04A_국토부원자료'!$A:$A,ROW()+1)="","",ROW()-3)</f>
        <v/>
      </c>
      <c r="B595" s="48">
        <f>IFERROR(INDEX('04A_국토부원자료'!$A:$T,ROW()+1,MATCH("시군구",'04A_국토부원자료'!$A$4:$T$4,0)),"")</f>
        <v/>
      </c>
      <c r="C595" s="48">
        <f>IF(B595="","",IFERROR(INDEX('04A_국토부원자료'!$A:$T,ROW()+1,MATCH("번지",'04A_국토부원자료'!$A$4:$T$4,0)),""))</f>
        <v/>
      </c>
      <c r="D595" s="48">
        <f>IF(B595="","",IF(Q595=1,'02_대상물건입력'!$B$8,IFERROR(INDEX('04A_국토부원자료'!$A:$T,ROW()+1,MATCH("단지명",'04A_국토부원자료'!$A$4:$T$4,0)),"")))</f>
        <v/>
      </c>
      <c r="E595" s="172">
        <f>IFERROR(VALUE(SUBSTITUTE(INDEX('04A_국토부원자료'!$A:$T,ROW()+1,MATCH("전용면적(㎡)",'04A_국토부원자료'!$A$4:$T$4,0)),",","")),"")</f>
        <v/>
      </c>
      <c r="F5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95" s="51">
        <f>IFERROR(VALUE(SUBSTITUTE(INDEX('04A_국토부원자료'!$A:$T,ROW()+1,MATCH("거래금액(만원)",'04A_국토부원자료'!$A$4:$T$4,0)),",","")),"")</f>
        <v/>
      </c>
      <c r="H595" s="174">
        <f>IF(G595="","",G595*10000)</f>
        <v/>
      </c>
      <c r="I595" s="174">
        <f>IFERROR(IF(AND(H595&gt;0,E595&gt;0),H595/E595,""),"")</f>
        <v/>
      </c>
      <c r="J595" s="152">
        <f>IFERROR(VALUE(SUBSTITUTE(INDEX('04A_국토부원자료'!$A:$T,ROW()+1,MATCH("층",'04A_국토부원자료'!$A$4:$T$4,0)),",","")),"")</f>
        <v/>
      </c>
      <c r="K595" s="152">
        <f>IFERROR(VALUE(SUBSTITUTE(INDEX('04A_국토부원자료'!$A:$T,ROW()+1,MATCH("건축년도",'04A_국토부원자료'!$A$4:$T$4,0)),",","")),"")</f>
        <v/>
      </c>
      <c r="L595" s="176">
        <f>IFERROR(INDEX('04A_국토부원자료'!$A:$T,ROW()+1,MATCH("도로명",'04A_국토부원자료'!$A$4:$T$4,0)),"")</f>
        <v/>
      </c>
      <c r="M595" s="48">
        <f>IFERROR(INDEX('04A_국토부원자료'!$A:$T,ROW()+1,MATCH("거래유형",'04A_국토부원자료'!$A$4:$T$4,0)),"")</f>
        <v/>
      </c>
      <c r="N595" s="152">
        <f>IF(B595="","",IF('02_대상물건입력'!B5="",1,IF(ISNUMBER(SEARCH('02_대상물건입력'!B5,B595)),1,0)))</f>
        <v/>
      </c>
      <c r="O595" s="152">
        <f>IF(B595="","",IF('02_대상물건입력'!B6="",1,IF(ISNUMBER(SEARCH('02_대상물건입력'!B6,B595)),1,0)))</f>
        <v/>
      </c>
      <c r="P595" s="152">
        <f>IF(L595="","",IF('02_대상물건입력'!B15="",0,IF(ISNUMBER(SEARCH('02_대상물건입력'!B15,L595)),1,0)))</f>
        <v/>
      </c>
      <c r="Q595" s="152">
        <f>IF(OR(C595="",L595=""),0,IF(AND(TRIM(C595)=TRIM(RIGHT(SUBSTITUTE(TRIM('02_대상물건입력'!$B$7)," ",REPT(" ",99)),99)),IF('02_대상물건입력'!B15="",TRUE(),ISNUMBER(SEARCH('02_대상물건입력'!B15,L595)))),1,0))</f>
        <v/>
      </c>
      <c r="R595" s="175">
        <f>IFERROR(ABS(E595-'02_대상물건입력'!B11)/'02_대상물건입력'!B11,"")</f>
        <v/>
      </c>
      <c r="S595" s="152">
        <f>IFERROR(ABS(J595-'02_대상물건입력'!B10),"")</f>
        <v/>
      </c>
      <c r="T595" s="152">
        <f>IFERROR(ABS('01_설정'!B4-F595),"")</f>
        <v/>
      </c>
      <c r="U595" s="152">
        <f>IFERROR(ABS(K595-YEAR('02_대상물건입력'!B14)),"")</f>
        <v/>
      </c>
      <c r="V595" s="152">
        <f>IF(B595="","",IF(AND(E595&gt;0,F595&gt;0,H595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595=1,TRUE()),R595&lt;='01_설정'!B5,S595&lt;='01_설정'!B6,T595&lt;='01_설정'!B7,U595&lt;='01_설정'!B8),"Y",""))</f>
        <v/>
      </c>
      <c r="W595" s="172">
        <f>IF(V595&lt;&gt;"Y","",MAX(0,(1-R595/'01_설정'!B5))*'01_설정'!B14+MAX(0,(1-S595/'01_설정'!B6))*'01_설정'!B15+MAX(0,(1-T595/'01_설정'!B7))*'01_설정'!B16+MAX(0,(1-U595/'01_설정'!B8))*'01_설정'!B17+O595*'01_설정'!B11+Q595*'01_설정'!B12+P595*'01_설정'!B13+IF(Z595="",0,Z595))</f>
        <v/>
      </c>
      <c r="X595" s="152">
        <f>IF(W595="","",1+COUNTIFS($W$4:$W$3003,"&gt;"&amp;W595)+COUNTIFS($W$4:W595,W595)-1)</f>
        <v/>
      </c>
      <c r="Y595" s="175">
        <f>IF(OR(I595="",'02_대상물건입력'!B19="",'02_대상물건입력'!B19&lt;=0),"",ABS(I595-'02_대상물건입력'!B19)/'02_대상물건입력'!B19)</f>
        <v/>
      </c>
      <c r="Z595" s="172">
        <f>IF(OR(Y595="",'01_설정'!B31="",'01_설정'!B31&lt;=0,'01_설정'!B32="",'01_설정'!B32&lt;=0),"",MAX(0,(1-Y595/'01_설정'!B32))*'01_설정'!B31)</f>
        <v/>
      </c>
    </row>
    <row r="596" ht="17.25" customHeight="1">
      <c r="A596" s="152">
        <f>IF(INDEX('04A_국토부원자료'!$A:$A,ROW()+1)="","",ROW()-3)</f>
        <v/>
      </c>
      <c r="B596" s="48">
        <f>IFERROR(INDEX('04A_국토부원자료'!$A:$T,ROW()+1,MATCH("시군구",'04A_국토부원자료'!$A$4:$T$4,0)),"")</f>
        <v/>
      </c>
      <c r="C596" s="48">
        <f>IF(B596="","",IFERROR(INDEX('04A_국토부원자료'!$A:$T,ROW()+1,MATCH("번지",'04A_국토부원자료'!$A$4:$T$4,0)),""))</f>
        <v/>
      </c>
      <c r="D596" s="48">
        <f>IF(B596="","",IF(Q596=1,'02_대상물건입력'!$B$8,IFERROR(INDEX('04A_국토부원자료'!$A:$T,ROW()+1,MATCH("단지명",'04A_국토부원자료'!$A$4:$T$4,0)),"")))</f>
        <v/>
      </c>
      <c r="E596" s="172">
        <f>IFERROR(VALUE(SUBSTITUTE(INDEX('04A_국토부원자료'!$A:$T,ROW()+1,MATCH("전용면적(㎡)",'04A_국토부원자료'!$A$4:$T$4,0)),",","")),"")</f>
        <v/>
      </c>
      <c r="F5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96" s="51">
        <f>IFERROR(VALUE(SUBSTITUTE(INDEX('04A_국토부원자료'!$A:$T,ROW()+1,MATCH("거래금액(만원)",'04A_국토부원자료'!$A$4:$T$4,0)),",","")),"")</f>
        <v/>
      </c>
      <c r="H596" s="174">
        <f>IF(G596="","",G596*10000)</f>
        <v/>
      </c>
      <c r="I596" s="174">
        <f>IFERROR(IF(AND(H596&gt;0,E596&gt;0),H596/E596,""),"")</f>
        <v/>
      </c>
      <c r="J596" s="152">
        <f>IFERROR(VALUE(SUBSTITUTE(INDEX('04A_국토부원자료'!$A:$T,ROW()+1,MATCH("층",'04A_국토부원자료'!$A$4:$T$4,0)),",","")),"")</f>
        <v/>
      </c>
      <c r="K596" s="152">
        <f>IFERROR(VALUE(SUBSTITUTE(INDEX('04A_국토부원자료'!$A:$T,ROW()+1,MATCH("건축년도",'04A_국토부원자료'!$A$4:$T$4,0)),",","")),"")</f>
        <v/>
      </c>
      <c r="L596" s="176">
        <f>IFERROR(INDEX('04A_국토부원자료'!$A:$T,ROW()+1,MATCH("도로명",'04A_국토부원자료'!$A$4:$T$4,0)),"")</f>
        <v/>
      </c>
      <c r="M596" s="48">
        <f>IFERROR(INDEX('04A_국토부원자료'!$A:$T,ROW()+1,MATCH("거래유형",'04A_국토부원자료'!$A$4:$T$4,0)),"")</f>
        <v/>
      </c>
      <c r="N596" s="152">
        <f>IF(B596="","",IF('02_대상물건입력'!B5="",1,IF(ISNUMBER(SEARCH('02_대상물건입력'!B5,B596)),1,0)))</f>
        <v/>
      </c>
      <c r="O596" s="152">
        <f>IF(B596="","",IF('02_대상물건입력'!B6="",1,IF(ISNUMBER(SEARCH('02_대상물건입력'!B6,B596)),1,0)))</f>
        <v/>
      </c>
      <c r="P596" s="152">
        <f>IF(L596="","",IF('02_대상물건입력'!B15="",0,IF(ISNUMBER(SEARCH('02_대상물건입력'!B15,L596)),1,0)))</f>
        <v/>
      </c>
      <c r="Q596" s="152">
        <f>IF(OR(C596="",L596=""),0,IF(AND(TRIM(C596)=TRIM(RIGHT(SUBSTITUTE(TRIM('02_대상물건입력'!$B$7)," ",REPT(" ",99)),99)),IF('02_대상물건입력'!B15="",TRUE(),ISNUMBER(SEARCH('02_대상물건입력'!B15,L596)))),1,0))</f>
        <v/>
      </c>
      <c r="R596" s="175">
        <f>IFERROR(ABS(E596-'02_대상물건입력'!B11)/'02_대상물건입력'!B11,"")</f>
        <v/>
      </c>
      <c r="S596" s="152">
        <f>IFERROR(ABS(J596-'02_대상물건입력'!B10),"")</f>
        <v/>
      </c>
      <c r="T596" s="152">
        <f>IFERROR(ABS('01_설정'!B4-F596),"")</f>
        <v/>
      </c>
      <c r="U596" s="152">
        <f>IFERROR(ABS(K596-YEAR('02_대상물건입력'!B14)),"")</f>
        <v/>
      </c>
      <c r="V596" s="152">
        <f>IF(B596="","",IF(AND(E596&gt;0,F596&gt;0,H596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596=1,TRUE()),R596&lt;='01_설정'!B5,S596&lt;='01_설정'!B6,T596&lt;='01_설정'!B7,U596&lt;='01_설정'!B8),"Y",""))</f>
        <v/>
      </c>
      <c r="W596" s="172">
        <f>IF(V596&lt;&gt;"Y","",MAX(0,(1-R596/'01_설정'!B5))*'01_설정'!B14+MAX(0,(1-S596/'01_설정'!B6))*'01_설정'!B15+MAX(0,(1-T596/'01_설정'!B7))*'01_설정'!B16+MAX(0,(1-U596/'01_설정'!B8))*'01_설정'!B17+O596*'01_설정'!B11+Q596*'01_설정'!B12+P596*'01_설정'!B13+IF(Z596="",0,Z596))</f>
        <v/>
      </c>
      <c r="X596" s="152">
        <f>IF(W596="","",1+COUNTIFS($W$4:$W$3003,"&gt;"&amp;W596)+COUNTIFS($W$4:W596,W596)-1)</f>
        <v/>
      </c>
      <c r="Y596" s="175">
        <f>IF(OR(I596="",'02_대상물건입력'!B19="",'02_대상물건입력'!B19&lt;=0),"",ABS(I596-'02_대상물건입력'!B19)/'02_대상물건입력'!B19)</f>
        <v/>
      </c>
      <c r="Z596" s="172">
        <f>IF(OR(Y596="",'01_설정'!B31="",'01_설정'!B31&lt;=0,'01_설정'!B32="",'01_설정'!B32&lt;=0),"",MAX(0,(1-Y596/'01_설정'!B32))*'01_설정'!B31)</f>
        <v/>
      </c>
    </row>
    <row r="597" ht="17.25" customHeight="1">
      <c r="A597" s="152">
        <f>IF(INDEX('04A_국토부원자료'!$A:$A,ROW()+1)="","",ROW()-3)</f>
        <v/>
      </c>
      <c r="B597" s="48">
        <f>IFERROR(INDEX('04A_국토부원자료'!$A:$T,ROW()+1,MATCH("시군구",'04A_국토부원자료'!$A$4:$T$4,0)),"")</f>
        <v/>
      </c>
      <c r="C597" s="48">
        <f>IF(B597="","",IFERROR(INDEX('04A_국토부원자료'!$A:$T,ROW()+1,MATCH("번지",'04A_국토부원자료'!$A$4:$T$4,0)),""))</f>
        <v/>
      </c>
      <c r="D597" s="48">
        <f>IF(B597="","",IF(Q597=1,'02_대상물건입력'!$B$8,IFERROR(INDEX('04A_국토부원자료'!$A:$T,ROW()+1,MATCH("단지명",'04A_국토부원자료'!$A$4:$T$4,0)),"")))</f>
        <v/>
      </c>
      <c r="E597" s="172">
        <f>IFERROR(VALUE(SUBSTITUTE(INDEX('04A_국토부원자료'!$A:$T,ROW()+1,MATCH("전용면적(㎡)",'04A_국토부원자료'!$A$4:$T$4,0)),",","")),"")</f>
        <v/>
      </c>
      <c r="F5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97" s="51">
        <f>IFERROR(VALUE(SUBSTITUTE(INDEX('04A_국토부원자료'!$A:$T,ROW()+1,MATCH("거래금액(만원)",'04A_국토부원자료'!$A$4:$T$4,0)),",","")),"")</f>
        <v/>
      </c>
      <c r="H597" s="174">
        <f>IF(G597="","",G597*10000)</f>
        <v/>
      </c>
      <c r="I597" s="174">
        <f>IFERROR(IF(AND(H597&gt;0,E597&gt;0),H597/E597,""),"")</f>
        <v/>
      </c>
      <c r="J597" s="152">
        <f>IFERROR(VALUE(SUBSTITUTE(INDEX('04A_국토부원자료'!$A:$T,ROW()+1,MATCH("층",'04A_국토부원자료'!$A$4:$T$4,0)),",","")),"")</f>
        <v/>
      </c>
      <c r="K597" s="152">
        <f>IFERROR(VALUE(SUBSTITUTE(INDEX('04A_국토부원자료'!$A:$T,ROW()+1,MATCH("건축년도",'04A_국토부원자료'!$A$4:$T$4,0)),",","")),"")</f>
        <v/>
      </c>
      <c r="L597" s="176">
        <f>IFERROR(INDEX('04A_국토부원자료'!$A:$T,ROW()+1,MATCH("도로명",'04A_국토부원자료'!$A$4:$T$4,0)),"")</f>
        <v/>
      </c>
      <c r="M597" s="48">
        <f>IFERROR(INDEX('04A_국토부원자료'!$A:$T,ROW()+1,MATCH("거래유형",'04A_국토부원자료'!$A$4:$T$4,0)),"")</f>
        <v/>
      </c>
      <c r="N597" s="152">
        <f>IF(B597="","",IF('02_대상물건입력'!B5="",1,IF(ISNUMBER(SEARCH('02_대상물건입력'!B5,B597)),1,0)))</f>
        <v/>
      </c>
      <c r="O597" s="152">
        <f>IF(B597="","",IF('02_대상물건입력'!B6="",1,IF(ISNUMBER(SEARCH('02_대상물건입력'!B6,B597)),1,0)))</f>
        <v/>
      </c>
      <c r="P597" s="152">
        <f>IF(L597="","",IF('02_대상물건입력'!B15="",0,IF(ISNUMBER(SEARCH('02_대상물건입력'!B15,L597)),1,0)))</f>
        <v/>
      </c>
      <c r="Q597" s="152">
        <f>IF(OR(C597="",L597=""),0,IF(AND(TRIM(C597)=TRIM(RIGHT(SUBSTITUTE(TRIM('02_대상물건입력'!$B$7)," ",REPT(" ",99)),99)),IF('02_대상물건입력'!B15="",TRUE(),ISNUMBER(SEARCH('02_대상물건입력'!B15,L597)))),1,0))</f>
        <v/>
      </c>
      <c r="R597" s="175">
        <f>IFERROR(ABS(E597-'02_대상물건입력'!B11)/'02_대상물건입력'!B11,"")</f>
        <v/>
      </c>
      <c r="S597" s="152">
        <f>IFERROR(ABS(J597-'02_대상물건입력'!B10),"")</f>
        <v/>
      </c>
      <c r="T597" s="152">
        <f>IFERROR(ABS('01_설정'!B4-F597),"")</f>
        <v/>
      </c>
      <c r="U597" s="152">
        <f>IFERROR(ABS(K597-YEAR('02_대상물건입력'!B14)),"")</f>
        <v/>
      </c>
      <c r="V597" s="152">
        <f>IF(B597="","",IF(AND(E597&gt;0,F597&gt;0,H597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597=1,TRUE()),R597&lt;='01_설정'!B5,S597&lt;='01_설정'!B6,T597&lt;='01_설정'!B7,U597&lt;='01_설정'!B8),"Y",""))</f>
        <v/>
      </c>
      <c r="W597" s="172">
        <f>IF(V597&lt;&gt;"Y","",MAX(0,(1-R597/'01_설정'!B5))*'01_설정'!B14+MAX(0,(1-S597/'01_설정'!B6))*'01_설정'!B15+MAX(0,(1-T597/'01_설정'!B7))*'01_설정'!B16+MAX(0,(1-U597/'01_설정'!B8))*'01_설정'!B17+O597*'01_설정'!B11+Q597*'01_설정'!B12+P597*'01_설정'!B13+IF(Z597="",0,Z597))</f>
        <v/>
      </c>
      <c r="X597" s="152">
        <f>IF(W597="","",1+COUNTIFS($W$4:$W$3003,"&gt;"&amp;W597)+COUNTIFS($W$4:W597,W597)-1)</f>
        <v/>
      </c>
      <c r="Y597" s="175">
        <f>IF(OR(I597="",'02_대상물건입력'!B19="",'02_대상물건입력'!B19&lt;=0),"",ABS(I597-'02_대상물건입력'!B19)/'02_대상물건입력'!B19)</f>
        <v/>
      </c>
      <c r="Z597" s="172">
        <f>IF(OR(Y597="",'01_설정'!B31="",'01_설정'!B31&lt;=0,'01_설정'!B32="",'01_설정'!B32&lt;=0),"",MAX(0,(1-Y597/'01_설정'!B32))*'01_설정'!B31)</f>
        <v/>
      </c>
    </row>
    <row r="598" ht="17.25" customHeight="1">
      <c r="A598" s="152">
        <f>IF(INDEX('04A_국토부원자료'!$A:$A,ROW()+1)="","",ROW()-3)</f>
        <v/>
      </c>
      <c r="B598" s="48">
        <f>IFERROR(INDEX('04A_국토부원자료'!$A:$T,ROW()+1,MATCH("시군구",'04A_국토부원자료'!$A$4:$T$4,0)),"")</f>
        <v/>
      </c>
      <c r="C598" s="48">
        <f>IF(B598="","",IFERROR(INDEX('04A_국토부원자료'!$A:$T,ROW()+1,MATCH("번지",'04A_국토부원자료'!$A$4:$T$4,0)),""))</f>
        <v/>
      </c>
      <c r="D598" s="48">
        <f>IF(B598="","",IF(Q598=1,'02_대상물건입력'!$B$8,IFERROR(INDEX('04A_국토부원자료'!$A:$T,ROW()+1,MATCH("단지명",'04A_국토부원자료'!$A$4:$T$4,0)),"")))</f>
        <v/>
      </c>
      <c r="E598" s="172">
        <f>IFERROR(VALUE(SUBSTITUTE(INDEX('04A_국토부원자료'!$A:$T,ROW()+1,MATCH("전용면적(㎡)",'04A_국토부원자료'!$A$4:$T$4,0)),",","")),"")</f>
        <v/>
      </c>
      <c r="F5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98" s="51">
        <f>IFERROR(VALUE(SUBSTITUTE(INDEX('04A_국토부원자료'!$A:$T,ROW()+1,MATCH("거래금액(만원)",'04A_국토부원자료'!$A$4:$T$4,0)),",","")),"")</f>
        <v/>
      </c>
      <c r="H598" s="174">
        <f>IF(G598="","",G598*10000)</f>
        <v/>
      </c>
      <c r="I598" s="174">
        <f>IFERROR(IF(AND(H598&gt;0,E598&gt;0),H598/E598,""),"")</f>
        <v/>
      </c>
      <c r="J598" s="152">
        <f>IFERROR(VALUE(SUBSTITUTE(INDEX('04A_국토부원자료'!$A:$T,ROW()+1,MATCH("층",'04A_국토부원자료'!$A$4:$T$4,0)),",","")),"")</f>
        <v/>
      </c>
      <c r="K598" s="152">
        <f>IFERROR(VALUE(SUBSTITUTE(INDEX('04A_국토부원자료'!$A:$T,ROW()+1,MATCH("건축년도",'04A_국토부원자료'!$A$4:$T$4,0)),",","")),"")</f>
        <v/>
      </c>
      <c r="L598" s="176">
        <f>IFERROR(INDEX('04A_국토부원자료'!$A:$T,ROW()+1,MATCH("도로명",'04A_국토부원자료'!$A$4:$T$4,0)),"")</f>
        <v/>
      </c>
      <c r="M598" s="48">
        <f>IFERROR(INDEX('04A_국토부원자료'!$A:$T,ROW()+1,MATCH("거래유형",'04A_국토부원자료'!$A$4:$T$4,0)),"")</f>
        <v/>
      </c>
      <c r="N598" s="152">
        <f>IF(B598="","",IF('02_대상물건입력'!B5="",1,IF(ISNUMBER(SEARCH('02_대상물건입력'!B5,B598)),1,0)))</f>
        <v/>
      </c>
      <c r="O598" s="152">
        <f>IF(B598="","",IF('02_대상물건입력'!B6="",1,IF(ISNUMBER(SEARCH('02_대상물건입력'!B6,B598)),1,0)))</f>
        <v/>
      </c>
      <c r="P598" s="152">
        <f>IF(L598="","",IF('02_대상물건입력'!B15="",0,IF(ISNUMBER(SEARCH('02_대상물건입력'!B15,L598)),1,0)))</f>
        <v/>
      </c>
      <c r="Q598" s="152">
        <f>IF(OR(C598="",L598=""),0,IF(AND(TRIM(C598)=TRIM(RIGHT(SUBSTITUTE(TRIM('02_대상물건입력'!$B$7)," ",REPT(" ",99)),99)),IF('02_대상물건입력'!B15="",TRUE(),ISNUMBER(SEARCH('02_대상물건입력'!B15,L598)))),1,0))</f>
        <v/>
      </c>
      <c r="R598" s="175">
        <f>IFERROR(ABS(E598-'02_대상물건입력'!B11)/'02_대상물건입력'!B11,"")</f>
        <v/>
      </c>
      <c r="S598" s="152">
        <f>IFERROR(ABS(J598-'02_대상물건입력'!B10),"")</f>
        <v/>
      </c>
      <c r="T598" s="152">
        <f>IFERROR(ABS('01_설정'!B4-F598),"")</f>
        <v/>
      </c>
      <c r="U598" s="152">
        <f>IFERROR(ABS(K598-YEAR('02_대상물건입력'!B14)),"")</f>
        <v/>
      </c>
      <c r="V598" s="152">
        <f>IF(B598="","",IF(AND(E598&gt;0,F598&gt;0,H598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598=1,TRUE()),R598&lt;='01_설정'!B5,S598&lt;='01_설정'!B6,T598&lt;='01_설정'!B7,U598&lt;='01_설정'!B8),"Y",""))</f>
        <v/>
      </c>
      <c r="W598" s="172">
        <f>IF(V598&lt;&gt;"Y","",MAX(0,(1-R598/'01_설정'!B5))*'01_설정'!B14+MAX(0,(1-S598/'01_설정'!B6))*'01_설정'!B15+MAX(0,(1-T598/'01_설정'!B7))*'01_설정'!B16+MAX(0,(1-U598/'01_설정'!B8))*'01_설정'!B17+O598*'01_설정'!B11+Q598*'01_설정'!B12+P598*'01_설정'!B13+IF(Z598="",0,Z598))</f>
        <v/>
      </c>
      <c r="X598" s="152">
        <f>IF(W598="","",1+COUNTIFS($W$4:$W$3003,"&gt;"&amp;W598)+COUNTIFS($W$4:W598,W598)-1)</f>
        <v/>
      </c>
      <c r="Y598" s="175">
        <f>IF(OR(I598="",'02_대상물건입력'!B19="",'02_대상물건입력'!B19&lt;=0),"",ABS(I598-'02_대상물건입력'!B19)/'02_대상물건입력'!B19)</f>
        <v/>
      </c>
      <c r="Z598" s="172">
        <f>IF(OR(Y598="",'01_설정'!B31="",'01_설정'!B31&lt;=0,'01_설정'!B32="",'01_설정'!B32&lt;=0),"",MAX(0,(1-Y598/'01_설정'!B32))*'01_설정'!B31)</f>
        <v/>
      </c>
    </row>
    <row r="599" ht="17.25" customHeight="1">
      <c r="A599" s="152">
        <f>IF(INDEX('04A_국토부원자료'!$A:$A,ROW()+1)="","",ROW()-3)</f>
        <v/>
      </c>
      <c r="B599" s="48">
        <f>IFERROR(INDEX('04A_국토부원자료'!$A:$T,ROW()+1,MATCH("시군구",'04A_국토부원자료'!$A$4:$T$4,0)),"")</f>
        <v/>
      </c>
      <c r="C599" s="48">
        <f>IF(B599="","",IFERROR(INDEX('04A_국토부원자료'!$A:$T,ROW()+1,MATCH("번지",'04A_국토부원자료'!$A$4:$T$4,0)),""))</f>
        <v/>
      </c>
      <c r="D599" s="48">
        <f>IF(B599="","",IF(Q599=1,'02_대상물건입력'!$B$8,IFERROR(INDEX('04A_국토부원자료'!$A:$T,ROW()+1,MATCH("단지명",'04A_국토부원자료'!$A$4:$T$4,0)),"")))</f>
        <v/>
      </c>
      <c r="E599" s="172">
        <f>IFERROR(VALUE(SUBSTITUTE(INDEX('04A_국토부원자료'!$A:$T,ROW()+1,MATCH("전용면적(㎡)",'04A_국토부원자료'!$A$4:$T$4,0)),",","")),"")</f>
        <v/>
      </c>
      <c r="F5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599" s="51">
        <f>IFERROR(VALUE(SUBSTITUTE(INDEX('04A_국토부원자료'!$A:$T,ROW()+1,MATCH("거래금액(만원)",'04A_국토부원자료'!$A$4:$T$4,0)),",","")),"")</f>
        <v/>
      </c>
      <c r="H599" s="174">
        <f>IF(G599="","",G599*10000)</f>
        <v/>
      </c>
      <c r="I599" s="174">
        <f>IFERROR(IF(AND(H599&gt;0,E599&gt;0),H599/E599,""),"")</f>
        <v/>
      </c>
      <c r="J599" s="152">
        <f>IFERROR(VALUE(SUBSTITUTE(INDEX('04A_국토부원자료'!$A:$T,ROW()+1,MATCH("층",'04A_국토부원자료'!$A$4:$T$4,0)),",","")),"")</f>
        <v/>
      </c>
      <c r="K599" s="152">
        <f>IFERROR(VALUE(SUBSTITUTE(INDEX('04A_국토부원자료'!$A:$T,ROW()+1,MATCH("건축년도",'04A_국토부원자료'!$A$4:$T$4,0)),",","")),"")</f>
        <v/>
      </c>
      <c r="L599" s="176">
        <f>IFERROR(INDEX('04A_국토부원자료'!$A:$T,ROW()+1,MATCH("도로명",'04A_국토부원자료'!$A$4:$T$4,0)),"")</f>
        <v/>
      </c>
      <c r="M599" s="48">
        <f>IFERROR(INDEX('04A_국토부원자료'!$A:$T,ROW()+1,MATCH("거래유형",'04A_국토부원자료'!$A$4:$T$4,0)),"")</f>
        <v/>
      </c>
      <c r="N599" s="152">
        <f>IF(B599="","",IF('02_대상물건입력'!B5="",1,IF(ISNUMBER(SEARCH('02_대상물건입력'!B5,B599)),1,0)))</f>
        <v/>
      </c>
      <c r="O599" s="152">
        <f>IF(B599="","",IF('02_대상물건입력'!B6="",1,IF(ISNUMBER(SEARCH('02_대상물건입력'!B6,B599)),1,0)))</f>
        <v/>
      </c>
      <c r="P599" s="152">
        <f>IF(L599="","",IF('02_대상물건입력'!B15="",0,IF(ISNUMBER(SEARCH('02_대상물건입력'!B15,L599)),1,0)))</f>
        <v/>
      </c>
      <c r="Q599" s="152">
        <f>IF(OR(C599="",L599=""),0,IF(AND(TRIM(C599)=TRIM(RIGHT(SUBSTITUTE(TRIM('02_대상물건입력'!$B$7)," ",REPT(" ",99)),99)),IF('02_대상물건입력'!B15="",TRUE(),ISNUMBER(SEARCH('02_대상물건입력'!B15,L599)))),1,0))</f>
        <v/>
      </c>
      <c r="R599" s="175">
        <f>IFERROR(ABS(E599-'02_대상물건입력'!B11)/'02_대상물건입력'!B11,"")</f>
        <v/>
      </c>
      <c r="S599" s="152">
        <f>IFERROR(ABS(J599-'02_대상물건입력'!B10),"")</f>
        <v/>
      </c>
      <c r="T599" s="152">
        <f>IFERROR(ABS('01_설정'!B4-F599),"")</f>
        <v/>
      </c>
      <c r="U599" s="152">
        <f>IFERROR(ABS(K599-YEAR('02_대상물건입력'!B14)),"")</f>
        <v/>
      </c>
      <c r="V599" s="152">
        <f>IF(B599="","",IF(AND(E599&gt;0,F599&gt;0,H599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599=1,TRUE()),R599&lt;='01_설정'!B5,S599&lt;='01_설정'!B6,T599&lt;='01_설정'!B7,U599&lt;='01_설정'!B8),"Y",""))</f>
        <v/>
      </c>
      <c r="W599" s="172">
        <f>IF(V599&lt;&gt;"Y","",MAX(0,(1-R599/'01_설정'!B5))*'01_설정'!B14+MAX(0,(1-S599/'01_설정'!B6))*'01_설정'!B15+MAX(0,(1-T599/'01_설정'!B7))*'01_설정'!B16+MAX(0,(1-U599/'01_설정'!B8))*'01_설정'!B17+O599*'01_설정'!B11+Q599*'01_설정'!B12+P599*'01_설정'!B13+IF(Z599="",0,Z599))</f>
        <v/>
      </c>
      <c r="X599" s="152">
        <f>IF(W599="","",1+COUNTIFS($W$4:$W$3003,"&gt;"&amp;W599)+COUNTIFS($W$4:W599,W599)-1)</f>
        <v/>
      </c>
      <c r="Y599" s="175">
        <f>IF(OR(I599="",'02_대상물건입력'!B19="",'02_대상물건입력'!B19&lt;=0),"",ABS(I599-'02_대상물건입력'!B19)/'02_대상물건입력'!B19)</f>
        <v/>
      </c>
      <c r="Z599" s="172">
        <f>IF(OR(Y599="",'01_설정'!B31="",'01_설정'!B31&lt;=0,'01_설정'!B32="",'01_설정'!B32&lt;=0),"",MAX(0,(1-Y599/'01_설정'!B32))*'01_설정'!B31)</f>
        <v/>
      </c>
    </row>
    <row r="600" ht="17.25" customHeight="1">
      <c r="A600" s="152">
        <f>IF(INDEX('04A_국토부원자료'!$A:$A,ROW()+1)="","",ROW()-3)</f>
        <v/>
      </c>
      <c r="B600" s="48">
        <f>IFERROR(INDEX('04A_국토부원자료'!$A:$T,ROW()+1,MATCH("시군구",'04A_국토부원자료'!$A$4:$T$4,0)),"")</f>
        <v/>
      </c>
      <c r="C600" s="48">
        <f>IF(B600="","",IFERROR(INDEX('04A_국토부원자료'!$A:$T,ROW()+1,MATCH("번지",'04A_국토부원자료'!$A$4:$T$4,0)),""))</f>
        <v/>
      </c>
      <c r="D600" s="48">
        <f>IF(B600="","",IF(Q600=1,'02_대상물건입력'!$B$8,IFERROR(INDEX('04A_국토부원자료'!$A:$T,ROW()+1,MATCH("단지명",'04A_국토부원자료'!$A$4:$T$4,0)),"")))</f>
        <v/>
      </c>
      <c r="E600" s="172">
        <f>IFERROR(VALUE(SUBSTITUTE(INDEX('04A_국토부원자료'!$A:$T,ROW()+1,MATCH("전용면적(㎡)",'04A_국토부원자료'!$A$4:$T$4,0)),",","")),"")</f>
        <v/>
      </c>
      <c r="F6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00" s="51">
        <f>IFERROR(VALUE(SUBSTITUTE(INDEX('04A_국토부원자료'!$A:$T,ROW()+1,MATCH("거래금액(만원)",'04A_국토부원자료'!$A$4:$T$4,0)),",","")),"")</f>
        <v/>
      </c>
      <c r="H600" s="174">
        <f>IF(G600="","",G600*10000)</f>
        <v/>
      </c>
      <c r="I600" s="174">
        <f>IFERROR(IF(AND(H600&gt;0,E600&gt;0),H600/E600,""),"")</f>
        <v/>
      </c>
      <c r="J600" s="152">
        <f>IFERROR(VALUE(SUBSTITUTE(INDEX('04A_국토부원자료'!$A:$T,ROW()+1,MATCH("층",'04A_국토부원자료'!$A$4:$T$4,0)),",","")),"")</f>
        <v/>
      </c>
      <c r="K600" s="152">
        <f>IFERROR(VALUE(SUBSTITUTE(INDEX('04A_국토부원자료'!$A:$T,ROW()+1,MATCH("건축년도",'04A_국토부원자료'!$A$4:$T$4,0)),",","")),"")</f>
        <v/>
      </c>
      <c r="L600" s="176">
        <f>IFERROR(INDEX('04A_국토부원자료'!$A:$T,ROW()+1,MATCH("도로명",'04A_국토부원자료'!$A$4:$T$4,0)),"")</f>
        <v/>
      </c>
      <c r="M600" s="48">
        <f>IFERROR(INDEX('04A_국토부원자료'!$A:$T,ROW()+1,MATCH("거래유형",'04A_국토부원자료'!$A$4:$T$4,0)),"")</f>
        <v/>
      </c>
      <c r="N600" s="152">
        <f>IF(B600="","",IF('02_대상물건입력'!B5="",1,IF(ISNUMBER(SEARCH('02_대상물건입력'!B5,B600)),1,0)))</f>
        <v/>
      </c>
      <c r="O600" s="152">
        <f>IF(B600="","",IF('02_대상물건입력'!B6="",1,IF(ISNUMBER(SEARCH('02_대상물건입력'!B6,B600)),1,0)))</f>
        <v/>
      </c>
      <c r="P600" s="152">
        <f>IF(L600="","",IF('02_대상물건입력'!B15="",0,IF(ISNUMBER(SEARCH('02_대상물건입력'!B15,L600)),1,0)))</f>
        <v/>
      </c>
      <c r="Q600" s="152">
        <f>IF(OR(C600="",L600=""),0,IF(AND(TRIM(C600)=TRIM(RIGHT(SUBSTITUTE(TRIM('02_대상물건입력'!$B$7)," ",REPT(" ",99)),99)),IF('02_대상물건입력'!B15="",TRUE(),ISNUMBER(SEARCH('02_대상물건입력'!B15,L600)))),1,0))</f>
        <v/>
      </c>
      <c r="R600" s="175">
        <f>IFERROR(ABS(E600-'02_대상물건입력'!B11)/'02_대상물건입력'!B11,"")</f>
        <v/>
      </c>
      <c r="S600" s="152">
        <f>IFERROR(ABS(J600-'02_대상물건입력'!B10),"")</f>
        <v/>
      </c>
      <c r="T600" s="152">
        <f>IFERROR(ABS('01_설정'!B4-F600),"")</f>
        <v/>
      </c>
      <c r="U600" s="152">
        <f>IFERROR(ABS(K600-YEAR('02_대상물건입력'!B14)),"")</f>
        <v/>
      </c>
      <c r="V600" s="152">
        <f>IF(B600="","",IF(AND(E600&gt;0,F600&gt;0,H600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600=1,TRUE()),R600&lt;='01_설정'!B5,S600&lt;='01_설정'!B6,T600&lt;='01_설정'!B7,U600&lt;='01_설정'!B8),"Y",""))</f>
        <v/>
      </c>
      <c r="W600" s="172">
        <f>IF(V600&lt;&gt;"Y","",MAX(0,(1-R600/'01_설정'!B5))*'01_설정'!B14+MAX(0,(1-S600/'01_설정'!B6))*'01_설정'!B15+MAX(0,(1-T600/'01_설정'!B7))*'01_설정'!B16+MAX(0,(1-U600/'01_설정'!B8))*'01_설정'!B17+O600*'01_설정'!B11+Q600*'01_설정'!B12+P600*'01_설정'!B13+IF(Z600="",0,Z600))</f>
        <v/>
      </c>
      <c r="X600" s="152">
        <f>IF(W600="","",1+COUNTIFS($W$4:$W$3003,"&gt;"&amp;W600)+COUNTIFS($W$4:W600,W600)-1)</f>
        <v/>
      </c>
      <c r="Y600" s="175">
        <f>IF(OR(I600="",'02_대상물건입력'!B19="",'02_대상물건입력'!B19&lt;=0),"",ABS(I600-'02_대상물건입력'!B19)/'02_대상물건입력'!B19)</f>
        <v/>
      </c>
      <c r="Z600" s="172">
        <f>IF(OR(Y600="",'01_설정'!B31="",'01_설정'!B31&lt;=0,'01_설정'!B32="",'01_설정'!B32&lt;=0),"",MAX(0,(1-Y600/'01_설정'!B32))*'01_설정'!B31)</f>
        <v/>
      </c>
    </row>
    <row r="601" ht="17.25" customHeight="1">
      <c r="A601" s="152">
        <f>IF(INDEX('04A_국토부원자료'!$A:$A,ROW()+1)="","",ROW()-3)</f>
        <v/>
      </c>
      <c r="B601" s="48">
        <f>IFERROR(INDEX('04A_국토부원자료'!$A:$T,ROW()+1,MATCH("시군구",'04A_국토부원자료'!$A$4:$T$4,0)),"")</f>
        <v/>
      </c>
      <c r="C601" s="48">
        <f>IF(B601="","",IFERROR(INDEX('04A_국토부원자료'!$A:$T,ROW()+1,MATCH("번지",'04A_국토부원자료'!$A$4:$T$4,0)),""))</f>
        <v/>
      </c>
      <c r="D601" s="48">
        <f>IF(B601="","",IF(Q601=1,'02_대상물건입력'!$B$8,IFERROR(INDEX('04A_국토부원자료'!$A:$T,ROW()+1,MATCH("단지명",'04A_국토부원자료'!$A$4:$T$4,0)),"")))</f>
        <v/>
      </c>
      <c r="E601" s="172">
        <f>IFERROR(VALUE(SUBSTITUTE(INDEX('04A_국토부원자료'!$A:$T,ROW()+1,MATCH("전용면적(㎡)",'04A_국토부원자료'!$A$4:$T$4,0)),",","")),"")</f>
        <v/>
      </c>
      <c r="F6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01" s="51">
        <f>IFERROR(VALUE(SUBSTITUTE(INDEX('04A_국토부원자료'!$A:$T,ROW()+1,MATCH("거래금액(만원)",'04A_국토부원자료'!$A$4:$T$4,0)),",","")),"")</f>
        <v/>
      </c>
      <c r="H601" s="174">
        <f>IF(G601="","",G601*10000)</f>
        <v/>
      </c>
      <c r="I601" s="174">
        <f>IFERROR(IF(AND(H601&gt;0,E601&gt;0),H601/E601,""),"")</f>
        <v/>
      </c>
      <c r="J601" s="152">
        <f>IFERROR(VALUE(SUBSTITUTE(INDEX('04A_국토부원자료'!$A:$T,ROW()+1,MATCH("층",'04A_국토부원자료'!$A$4:$T$4,0)),",","")),"")</f>
        <v/>
      </c>
      <c r="K601" s="152">
        <f>IFERROR(VALUE(SUBSTITUTE(INDEX('04A_국토부원자료'!$A:$T,ROW()+1,MATCH("건축년도",'04A_국토부원자료'!$A$4:$T$4,0)),",","")),"")</f>
        <v/>
      </c>
      <c r="L601" s="176">
        <f>IFERROR(INDEX('04A_국토부원자료'!$A:$T,ROW()+1,MATCH("도로명",'04A_국토부원자료'!$A$4:$T$4,0)),"")</f>
        <v/>
      </c>
      <c r="M601" s="48">
        <f>IFERROR(INDEX('04A_국토부원자료'!$A:$T,ROW()+1,MATCH("거래유형",'04A_국토부원자료'!$A$4:$T$4,0)),"")</f>
        <v/>
      </c>
      <c r="N601" s="152">
        <f>IF(B601="","",IF('02_대상물건입력'!B5="",1,IF(ISNUMBER(SEARCH('02_대상물건입력'!B5,B601)),1,0)))</f>
        <v/>
      </c>
      <c r="O601" s="152">
        <f>IF(B601="","",IF('02_대상물건입력'!B6="",1,IF(ISNUMBER(SEARCH('02_대상물건입력'!B6,B601)),1,0)))</f>
        <v/>
      </c>
      <c r="P601" s="152">
        <f>IF(L601="","",IF('02_대상물건입력'!B15="",0,IF(ISNUMBER(SEARCH('02_대상물건입력'!B15,L601)),1,0)))</f>
        <v/>
      </c>
      <c r="Q601" s="152">
        <f>IF(OR(C601="",L601=""),0,IF(AND(TRIM(C601)=TRIM(RIGHT(SUBSTITUTE(TRIM('02_대상물건입력'!$B$7)," ",REPT(" ",99)),99)),IF('02_대상물건입력'!B15="",TRUE(),ISNUMBER(SEARCH('02_대상물건입력'!B15,L601)))),1,0))</f>
        <v/>
      </c>
      <c r="R601" s="175">
        <f>IFERROR(ABS(E601-'02_대상물건입력'!B11)/'02_대상물건입력'!B11,"")</f>
        <v/>
      </c>
      <c r="S601" s="152">
        <f>IFERROR(ABS(J601-'02_대상물건입력'!B10),"")</f>
        <v/>
      </c>
      <c r="T601" s="152">
        <f>IFERROR(ABS('01_설정'!B4-F601),"")</f>
        <v/>
      </c>
      <c r="U601" s="152">
        <f>IFERROR(ABS(K601-YEAR('02_대상물건입력'!B14)),"")</f>
        <v/>
      </c>
      <c r="V601" s="152">
        <f>IF(B601="","",IF(AND(E601&gt;0,F601&gt;0,H601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601=1,TRUE()),R601&lt;='01_설정'!B5,S601&lt;='01_설정'!B6,T601&lt;='01_설정'!B7,U601&lt;='01_설정'!B8),"Y",""))</f>
        <v/>
      </c>
      <c r="W601" s="172">
        <f>IF(V601&lt;&gt;"Y","",MAX(0,(1-R601/'01_설정'!B5))*'01_설정'!B14+MAX(0,(1-S601/'01_설정'!B6))*'01_설정'!B15+MAX(0,(1-T601/'01_설정'!B7))*'01_설정'!B16+MAX(0,(1-U601/'01_설정'!B8))*'01_설정'!B17+O601*'01_설정'!B11+Q601*'01_설정'!B12+P601*'01_설정'!B13+IF(Z601="",0,Z601))</f>
        <v/>
      </c>
      <c r="X601" s="152">
        <f>IF(W601="","",1+COUNTIFS($W$4:$W$3003,"&gt;"&amp;W601)+COUNTIFS($W$4:W601,W601)-1)</f>
        <v/>
      </c>
      <c r="Y601" s="175">
        <f>IF(OR(I601="",'02_대상물건입력'!B19="",'02_대상물건입력'!B19&lt;=0),"",ABS(I601-'02_대상물건입력'!B19)/'02_대상물건입력'!B19)</f>
        <v/>
      </c>
      <c r="Z601" s="172">
        <f>IF(OR(Y601="",'01_설정'!B31="",'01_설정'!B31&lt;=0,'01_설정'!B32="",'01_설정'!B32&lt;=0),"",MAX(0,(1-Y601/'01_설정'!B32))*'01_설정'!B31)</f>
        <v/>
      </c>
    </row>
    <row r="602" ht="17.25" customHeight="1">
      <c r="A602" s="152">
        <f>IF(INDEX('04A_국토부원자료'!$A:$A,ROW()+1)="","",ROW()-3)</f>
        <v/>
      </c>
      <c r="B602" s="48">
        <f>IFERROR(INDEX('04A_국토부원자료'!$A:$T,ROW()+1,MATCH("시군구",'04A_국토부원자료'!$A$4:$T$4,0)),"")</f>
        <v/>
      </c>
      <c r="C602" s="48">
        <f>IF(B602="","",IFERROR(INDEX('04A_국토부원자료'!$A:$T,ROW()+1,MATCH("번지",'04A_국토부원자료'!$A$4:$T$4,0)),""))</f>
        <v/>
      </c>
      <c r="D602" s="48">
        <f>IF(B602="","",IF(Q602=1,'02_대상물건입력'!$B$8,IFERROR(INDEX('04A_국토부원자료'!$A:$T,ROW()+1,MATCH("단지명",'04A_국토부원자료'!$A$4:$T$4,0)),"")))</f>
        <v/>
      </c>
      <c r="E602" s="172">
        <f>IFERROR(VALUE(SUBSTITUTE(INDEX('04A_국토부원자료'!$A:$T,ROW()+1,MATCH("전용면적(㎡)",'04A_국토부원자료'!$A$4:$T$4,0)),",","")),"")</f>
        <v/>
      </c>
      <c r="F6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02" s="51">
        <f>IFERROR(VALUE(SUBSTITUTE(INDEX('04A_국토부원자료'!$A:$T,ROW()+1,MATCH("거래금액(만원)",'04A_국토부원자료'!$A$4:$T$4,0)),",","")),"")</f>
        <v/>
      </c>
      <c r="H602" s="174">
        <f>IF(G602="","",G602*10000)</f>
        <v/>
      </c>
      <c r="I602" s="174">
        <f>IFERROR(IF(AND(H602&gt;0,E602&gt;0),H602/E602,""),"")</f>
        <v/>
      </c>
      <c r="J602" s="152">
        <f>IFERROR(VALUE(SUBSTITUTE(INDEX('04A_국토부원자료'!$A:$T,ROW()+1,MATCH("층",'04A_국토부원자료'!$A$4:$T$4,0)),",","")),"")</f>
        <v/>
      </c>
      <c r="K602" s="152">
        <f>IFERROR(VALUE(SUBSTITUTE(INDEX('04A_국토부원자료'!$A:$T,ROW()+1,MATCH("건축년도",'04A_국토부원자료'!$A$4:$T$4,0)),",","")),"")</f>
        <v/>
      </c>
      <c r="L602" s="176">
        <f>IFERROR(INDEX('04A_국토부원자료'!$A:$T,ROW()+1,MATCH("도로명",'04A_국토부원자료'!$A$4:$T$4,0)),"")</f>
        <v/>
      </c>
      <c r="M602" s="48">
        <f>IFERROR(INDEX('04A_국토부원자료'!$A:$T,ROW()+1,MATCH("거래유형",'04A_국토부원자료'!$A$4:$T$4,0)),"")</f>
        <v/>
      </c>
      <c r="N602" s="152">
        <f>IF(B602="","",IF('02_대상물건입력'!B5="",1,IF(ISNUMBER(SEARCH('02_대상물건입력'!B5,B602)),1,0)))</f>
        <v/>
      </c>
      <c r="O602" s="152">
        <f>IF(B602="","",IF('02_대상물건입력'!B6="",1,IF(ISNUMBER(SEARCH('02_대상물건입력'!B6,B602)),1,0)))</f>
        <v/>
      </c>
      <c r="P602" s="152">
        <f>IF(L602="","",IF('02_대상물건입력'!B15="",0,IF(ISNUMBER(SEARCH('02_대상물건입력'!B15,L602)),1,0)))</f>
        <v/>
      </c>
      <c r="Q602" s="152">
        <f>IF(OR(C602="",L602=""),0,IF(AND(TRIM(C602)=TRIM(RIGHT(SUBSTITUTE(TRIM('02_대상물건입력'!$B$7)," ",REPT(" ",99)),99)),IF('02_대상물건입력'!B15="",TRUE(),ISNUMBER(SEARCH('02_대상물건입력'!B15,L602)))),1,0))</f>
        <v/>
      </c>
      <c r="R602" s="175">
        <f>IFERROR(ABS(E602-'02_대상물건입력'!B11)/'02_대상물건입력'!B11,"")</f>
        <v/>
      </c>
      <c r="S602" s="152">
        <f>IFERROR(ABS(J602-'02_대상물건입력'!B10),"")</f>
        <v/>
      </c>
      <c r="T602" s="152">
        <f>IFERROR(ABS('01_설정'!B4-F602),"")</f>
        <v/>
      </c>
      <c r="U602" s="152">
        <f>IFERROR(ABS(K602-YEAR('02_대상물건입력'!B14)),"")</f>
        <v/>
      </c>
      <c r="V602" s="152">
        <f>IF(B602="","",IF(AND(E602&gt;0,F602&gt;0,H602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602=1,TRUE()),R602&lt;='01_설정'!B5,S602&lt;='01_설정'!B6,T602&lt;='01_설정'!B7,U602&lt;='01_설정'!B8),"Y",""))</f>
        <v/>
      </c>
      <c r="W602" s="172">
        <f>IF(V602&lt;&gt;"Y","",MAX(0,(1-R602/'01_설정'!B5))*'01_설정'!B14+MAX(0,(1-S602/'01_설정'!B6))*'01_설정'!B15+MAX(0,(1-T602/'01_설정'!B7))*'01_설정'!B16+MAX(0,(1-U602/'01_설정'!B8))*'01_설정'!B17+O602*'01_설정'!B11+Q602*'01_설정'!B12+P602*'01_설정'!B13+IF(Z602="",0,Z602))</f>
        <v/>
      </c>
      <c r="X602" s="152">
        <f>IF(W602="","",1+COUNTIFS($W$4:$W$3003,"&gt;"&amp;W602)+COUNTIFS($W$4:W602,W602)-1)</f>
        <v/>
      </c>
      <c r="Y602" s="175">
        <f>IF(OR(I602="",'02_대상물건입력'!B19="",'02_대상물건입력'!B19&lt;=0),"",ABS(I602-'02_대상물건입력'!B19)/'02_대상물건입력'!B19)</f>
        <v/>
      </c>
      <c r="Z602" s="172">
        <f>IF(OR(Y602="",'01_설정'!B31="",'01_설정'!B31&lt;=0,'01_설정'!B32="",'01_설정'!B32&lt;=0),"",MAX(0,(1-Y602/'01_설정'!B32))*'01_설정'!B31)</f>
        <v/>
      </c>
    </row>
    <row r="603" ht="17.25" customHeight="1">
      <c r="A603" s="152">
        <f>IF(INDEX('04A_국토부원자료'!$A:$A,ROW()+1)="","",ROW()-3)</f>
        <v/>
      </c>
      <c r="B603" s="48">
        <f>IFERROR(INDEX('04A_국토부원자료'!$A:$T,ROW()+1,MATCH("시군구",'04A_국토부원자료'!$A$4:$T$4,0)),"")</f>
        <v/>
      </c>
      <c r="C603" s="48">
        <f>IF(B603="","",IFERROR(INDEX('04A_국토부원자료'!$A:$T,ROW()+1,MATCH("번지",'04A_국토부원자료'!$A$4:$T$4,0)),""))</f>
        <v/>
      </c>
      <c r="D603" s="48">
        <f>IF(B603="","",IF(Q603=1,'02_대상물건입력'!$B$8,IFERROR(INDEX('04A_국토부원자료'!$A:$T,ROW()+1,MATCH("단지명",'04A_국토부원자료'!$A$4:$T$4,0)),"")))</f>
        <v/>
      </c>
      <c r="E603" s="172">
        <f>IFERROR(VALUE(SUBSTITUTE(INDEX('04A_국토부원자료'!$A:$T,ROW()+1,MATCH("전용면적(㎡)",'04A_국토부원자료'!$A$4:$T$4,0)),",","")),"")</f>
        <v/>
      </c>
      <c r="F6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03" s="51">
        <f>IFERROR(VALUE(SUBSTITUTE(INDEX('04A_국토부원자료'!$A:$T,ROW()+1,MATCH("거래금액(만원)",'04A_국토부원자료'!$A$4:$T$4,0)),",","")),"")</f>
        <v/>
      </c>
      <c r="H603" s="174">
        <f>IF(G603="","",G603*10000)</f>
        <v/>
      </c>
      <c r="I603" s="174">
        <f>IFERROR(IF(AND(H603&gt;0,E603&gt;0),H603/E603,""),"")</f>
        <v/>
      </c>
      <c r="J603" s="152">
        <f>IFERROR(VALUE(SUBSTITUTE(INDEX('04A_국토부원자료'!$A:$T,ROW()+1,MATCH("층",'04A_국토부원자료'!$A$4:$T$4,0)),",","")),"")</f>
        <v/>
      </c>
      <c r="K603" s="152">
        <f>IFERROR(VALUE(SUBSTITUTE(INDEX('04A_국토부원자료'!$A:$T,ROW()+1,MATCH("건축년도",'04A_국토부원자료'!$A$4:$T$4,0)),",","")),"")</f>
        <v/>
      </c>
      <c r="L603" s="176">
        <f>IFERROR(INDEX('04A_국토부원자료'!$A:$T,ROW()+1,MATCH("도로명",'04A_국토부원자료'!$A$4:$T$4,0)),"")</f>
        <v/>
      </c>
      <c r="M603" s="48">
        <f>IFERROR(INDEX('04A_국토부원자료'!$A:$T,ROW()+1,MATCH("거래유형",'04A_국토부원자료'!$A$4:$T$4,0)),"")</f>
        <v/>
      </c>
      <c r="N603" s="152">
        <f>IF(B603="","",IF('02_대상물건입력'!B5="",1,IF(ISNUMBER(SEARCH('02_대상물건입력'!B5,B603)),1,0)))</f>
        <v/>
      </c>
      <c r="O603" s="152">
        <f>IF(B603="","",IF('02_대상물건입력'!B6="",1,IF(ISNUMBER(SEARCH('02_대상물건입력'!B6,B603)),1,0)))</f>
        <v/>
      </c>
      <c r="P603" s="152">
        <f>IF(L603="","",IF('02_대상물건입력'!B15="",0,IF(ISNUMBER(SEARCH('02_대상물건입력'!B15,L603)),1,0)))</f>
        <v/>
      </c>
      <c r="Q603" s="152">
        <f>IF(OR(C603="",L603=""),0,IF(AND(TRIM(C603)=TRIM(RIGHT(SUBSTITUTE(TRIM('02_대상물건입력'!$B$7)," ",REPT(" ",99)),99)),IF('02_대상물건입력'!B15="",TRUE(),ISNUMBER(SEARCH('02_대상물건입력'!B15,L603)))),1,0))</f>
        <v/>
      </c>
      <c r="R603" s="175">
        <f>IFERROR(ABS(E603-'02_대상물건입력'!B11)/'02_대상물건입력'!B11,"")</f>
        <v/>
      </c>
      <c r="S603" s="152">
        <f>IFERROR(ABS(J603-'02_대상물건입력'!B10),"")</f>
        <v/>
      </c>
      <c r="T603" s="152">
        <f>IFERROR(ABS('01_설정'!B4-F603),"")</f>
        <v/>
      </c>
      <c r="U603" s="152">
        <f>IFERROR(ABS(K603-YEAR('02_대상물건입력'!B14)),"")</f>
        <v/>
      </c>
      <c r="V603" s="152">
        <f>IF(B603="","",IF(AND(E603&gt;0,F603&gt;0,H603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603=1,TRUE()),R603&lt;='01_설정'!B5,S603&lt;='01_설정'!B6,T603&lt;='01_설정'!B7,U603&lt;='01_설정'!B8),"Y",""))</f>
        <v/>
      </c>
      <c r="W603" s="172">
        <f>IF(V603&lt;&gt;"Y","",MAX(0,(1-R603/'01_설정'!B5))*'01_설정'!B14+MAX(0,(1-S603/'01_설정'!B6))*'01_설정'!B15+MAX(0,(1-T603/'01_설정'!B7))*'01_설정'!B16+MAX(0,(1-U603/'01_설정'!B8))*'01_설정'!B17+O603*'01_설정'!B11+Q603*'01_설정'!B12+P603*'01_설정'!B13+IF(Z603="",0,Z603))</f>
        <v/>
      </c>
      <c r="X603" s="152">
        <f>IF(W603="","",1+COUNTIFS($W$4:$W$3003,"&gt;"&amp;W603)+COUNTIFS($W$4:W603,W603)-1)</f>
        <v/>
      </c>
      <c r="Y603" s="175">
        <f>IF(OR(I603="",'02_대상물건입력'!B19="",'02_대상물건입력'!B19&lt;=0),"",ABS(I603-'02_대상물건입력'!B19)/'02_대상물건입력'!B19)</f>
        <v/>
      </c>
      <c r="Z603" s="172">
        <f>IF(OR(Y603="",'01_설정'!B31="",'01_설정'!B31&lt;=0,'01_설정'!B32="",'01_설정'!B32&lt;=0),"",MAX(0,(1-Y603/'01_설정'!B32))*'01_설정'!B31)</f>
        <v/>
      </c>
    </row>
    <row r="604" ht="17.25" customHeight="1">
      <c r="A604" s="152">
        <f>IF(INDEX('04A_국토부원자료'!$A:$A,ROW()+1)="","",ROW()-3)</f>
        <v/>
      </c>
      <c r="B604" s="48">
        <f>IFERROR(INDEX('04A_국토부원자료'!$A:$T,ROW()+1,MATCH("시군구",'04A_국토부원자료'!$A$4:$T$4,0)),"")</f>
        <v/>
      </c>
      <c r="C604" s="48">
        <f>IF(B604="","",IFERROR(INDEX('04A_국토부원자료'!$A:$T,ROW()+1,MATCH("번지",'04A_국토부원자료'!$A$4:$T$4,0)),""))</f>
        <v/>
      </c>
      <c r="D604" s="48">
        <f>IF(B604="","",IF(Q604=1,'02_대상물건입력'!$B$8,IFERROR(INDEX('04A_국토부원자료'!$A:$T,ROW()+1,MATCH("단지명",'04A_국토부원자료'!$A$4:$T$4,0)),"")))</f>
        <v/>
      </c>
      <c r="E604" s="172">
        <f>IFERROR(VALUE(SUBSTITUTE(INDEX('04A_국토부원자료'!$A:$T,ROW()+1,MATCH("전용면적(㎡)",'04A_국토부원자료'!$A$4:$T$4,0)),",","")),"")</f>
        <v/>
      </c>
      <c r="F6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04" s="51">
        <f>IFERROR(VALUE(SUBSTITUTE(INDEX('04A_국토부원자료'!$A:$T,ROW()+1,MATCH("거래금액(만원)",'04A_국토부원자료'!$A$4:$T$4,0)),",","")),"")</f>
        <v/>
      </c>
      <c r="H604" s="174">
        <f>IF(G604="","",G604*10000)</f>
        <v/>
      </c>
      <c r="I604" s="174">
        <f>IFERROR(IF(AND(H604&gt;0,E604&gt;0),H604/E604,""),"")</f>
        <v/>
      </c>
      <c r="J604" s="152">
        <f>IFERROR(VALUE(SUBSTITUTE(INDEX('04A_국토부원자료'!$A:$T,ROW()+1,MATCH("층",'04A_국토부원자료'!$A$4:$T$4,0)),",","")),"")</f>
        <v/>
      </c>
      <c r="K604" s="152">
        <f>IFERROR(VALUE(SUBSTITUTE(INDEX('04A_국토부원자료'!$A:$T,ROW()+1,MATCH("건축년도",'04A_국토부원자료'!$A$4:$T$4,0)),",","")),"")</f>
        <v/>
      </c>
      <c r="L604" s="176">
        <f>IFERROR(INDEX('04A_국토부원자료'!$A:$T,ROW()+1,MATCH("도로명",'04A_국토부원자료'!$A$4:$T$4,0)),"")</f>
        <v/>
      </c>
      <c r="M604" s="48">
        <f>IFERROR(INDEX('04A_국토부원자료'!$A:$T,ROW()+1,MATCH("거래유형",'04A_국토부원자료'!$A$4:$T$4,0)),"")</f>
        <v/>
      </c>
      <c r="N604" s="152">
        <f>IF(B604="","",IF('02_대상물건입력'!B5="",1,IF(ISNUMBER(SEARCH('02_대상물건입력'!B5,B604)),1,0)))</f>
        <v/>
      </c>
      <c r="O604" s="152">
        <f>IF(B604="","",IF('02_대상물건입력'!B6="",1,IF(ISNUMBER(SEARCH('02_대상물건입력'!B6,B604)),1,0)))</f>
        <v/>
      </c>
      <c r="P604" s="152">
        <f>IF(L604="","",IF('02_대상물건입력'!B15="",0,IF(ISNUMBER(SEARCH('02_대상물건입력'!B15,L604)),1,0)))</f>
        <v/>
      </c>
      <c r="Q604" s="152">
        <f>IF(OR(C604="",L604=""),0,IF(AND(TRIM(C604)=TRIM(RIGHT(SUBSTITUTE(TRIM('02_대상물건입력'!$B$7)," ",REPT(" ",99)),99)),IF('02_대상물건입력'!B15="",TRUE(),ISNUMBER(SEARCH('02_대상물건입력'!B15,L604)))),1,0))</f>
        <v/>
      </c>
      <c r="R604" s="175">
        <f>IFERROR(ABS(E604-'02_대상물건입력'!B11)/'02_대상물건입력'!B11,"")</f>
        <v/>
      </c>
      <c r="S604" s="152">
        <f>IFERROR(ABS(J604-'02_대상물건입력'!B10),"")</f>
        <v/>
      </c>
      <c r="T604" s="152">
        <f>IFERROR(ABS('01_설정'!B4-F604),"")</f>
        <v/>
      </c>
      <c r="U604" s="152">
        <f>IFERROR(ABS(K604-YEAR('02_대상물건입력'!B14)),"")</f>
        <v/>
      </c>
      <c r="V604" s="152">
        <f>IF(B604="","",IF(AND(E604&gt;0,F604&gt;0,H604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604=1,TRUE()),R604&lt;='01_설정'!B5,S604&lt;='01_설정'!B6,T604&lt;='01_설정'!B7,U604&lt;='01_설정'!B8),"Y",""))</f>
        <v/>
      </c>
      <c r="W604" s="172">
        <f>IF(V604&lt;&gt;"Y","",MAX(0,(1-R604/'01_설정'!B5))*'01_설정'!B14+MAX(0,(1-S604/'01_설정'!B6))*'01_설정'!B15+MAX(0,(1-T604/'01_설정'!B7))*'01_설정'!B16+MAX(0,(1-U604/'01_설정'!B8))*'01_설정'!B17+O604*'01_설정'!B11+Q604*'01_설정'!B12+P604*'01_설정'!B13+IF(Z604="",0,Z604))</f>
        <v/>
      </c>
      <c r="X604" s="152">
        <f>IF(W604="","",1+COUNTIFS($W$4:$W$3003,"&gt;"&amp;W604)+COUNTIFS($W$4:W604,W604)-1)</f>
        <v/>
      </c>
      <c r="Y604" s="175">
        <f>IF(OR(I604="",'02_대상물건입력'!B19="",'02_대상물건입력'!B19&lt;=0),"",ABS(I604-'02_대상물건입력'!B19)/'02_대상물건입력'!B19)</f>
        <v/>
      </c>
      <c r="Z604" s="172">
        <f>IF(OR(Y604="",'01_설정'!B31="",'01_설정'!B31&lt;=0,'01_설정'!B32="",'01_설정'!B32&lt;=0),"",MAX(0,(1-Y604/'01_설정'!B32))*'01_설정'!B31)</f>
        <v/>
      </c>
    </row>
    <row r="605" ht="17.25" customHeight="1">
      <c r="A605" s="152">
        <f>IF(INDEX('04A_국토부원자료'!$A:$A,ROW()+1)="","",ROW()-3)</f>
        <v/>
      </c>
      <c r="B605" s="48">
        <f>IFERROR(INDEX('04A_국토부원자료'!$A:$T,ROW()+1,MATCH("시군구",'04A_국토부원자료'!$A$4:$T$4,0)),"")</f>
        <v/>
      </c>
      <c r="C605" s="48">
        <f>IF(B605="","",IFERROR(INDEX('04A_국토부원자료'!$A:$T,ROW()+1,MATCH("번지",'04A_국토부원자료'!$A$4:$T$4,0)),""))</f>
        <v/>
      </c>
      <c r="D605" s="48">
        <f>IF(B605="","",IF(Q605=1,'02_대상물건입력'!$B$8,IFERROR(INDEX('04A_국토부원자료'!$A:$T,ROW()+1,MATCH("단지명",'04A_국토부원자료'!$A$4:$T$4,0)),"")))</f>
        <v/>
      </c>
      <c r="E605" s="172">
        <f>IFERROR(VALUE(SUBSTITUTE(INDEX('04A_국토부원자료'!$A:$T,ROW()+1,MATCH("전용면적(㎡)",'04A_국토부원자료'!$A$4:$T$4,0)),",","")),"")</f>
        <v/>
      </c>
      <c r="F6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05" s="51">
        <f>IFERROR(VALUE(SUBSTITUTE(INDEX('04A_국토부원자료'!$A:$T,ROW()+1,MATCH("거래금액(만원)",'04A_국토부원자료'!$A$4:$T$4,0)),",","")),"")</f>
        <v/>
      </c>
      <c r="H605" s="174">
        <f>IF(G605="","",G605*10000)</f>
        <v/>
      </c>
      <c r="I605" s="174">
        <f>IFERROR(IF(AND(H605&gt;0,E605&gt;0),H605/E605,""),"")</f>
        <v/>
      </c>
      <c r="J605" s="152">
        <f>IFERROR(VALUE(SUBSTITUTE(INDEX('04A_국토부원자료'!$A:$T,ROW()+1,MATCH("층",'04A_국토부원자료'!$A$4:$T$4,0)),",","")),"")</f>
        <v/>
      </c>
      <c r="K605" s="152">
        <f>IFERROR(VALUE(SUBSTITUTE(INDEX('04A_국토부원자료'!$A:$T,ROW()+1,MATCH("건축년도",'04A_국토부원자료'!$A$4:$T$4,0)),",","")),"")</f>
        <v/>
      </c>
      <c r="L605" s="176">
        <f>IFERROR(INDEX('04A_국토부원자료'!$A:$T,ROW()+1,MATCH("도로명",'04A_국토부원자료'!$A$4:$T$4,0)),"")</f>
        <v/>
      </c>
      <c r="M605" s="48">
        <f>IFERROR(INDEX('04A_국토부원자료'!$A:$T,ROW()+1,MATCH("거래유형",'04A_국토부원자료'!$A$4:$T$4,0)),"")</f>
        <v/>
      </c>
      <c r="N605" s="152">
        <f>IF(B605="","",IF('02_대상물건입력'!B5="",1,IF(ISNUMBER(SEARCH('02_대상물건입력'!B5,B605)),1,0)))</f>
        <v/>
      </c>
      <c r="O605" s="152">
        <f>IF(B605="","",IF('02_대상물건입력'!B6="",1,IF(ISNUMBER(SEARCH('02_대상물건입력'!B6,B605)),1,0)))</f>
        <v/>
      </c>
      <c r="P605" s="152">
        <f>IF(L605="","",IF('02_대상물건입력'!B15="",0,IF(ISNUMBER(SEARCH('02_대상물건입력'!B15,L605)),1,0)))</f>
        <v/>
      </c>
      <c r="Q605" s="152">
        <f>IF(OR(C605="",L605=""),0,IF(AND(TRIM(C605)=TRIM(RIGHT(SUBSTITUTE(TRIM('02_대상물건입력'!$B$7)," ",REPT(" ",99)),99)),IF('02_대상물건입력'!B15="",TRUE(),ISNUMBER(SEARCH('02_대상물건입력'!B15,L605)))),1,0))</f>
        <v/>
      </c>
      <c r="R605" s="175">
        <f>IFERROR(ABS(E605-'02_대상물건입력'!B11)/'02_대상물건입력'!B11,"")</f>
        <v/>
      </c>
      <c r="S605" s="152">
        <f>IFERROR(ABS(J605-'02_대상물건입력'!B10),"")</f>
        <v/>
      </c>
      <c r="T605" s="152">
        <f>IFERROR(ABS('01_설정'!B4-F605),"")</f>
        <v/>
      </c>
      <c r="U605" s="152">
        <f>IFERROR(ABS(K605-YEAR('02_대상물건입력'!B14)),"")</f>
        <v/>
      </c>
      <c r="V605" s="152">
        <f>IF(B605="","",IF(AND(E605&gt;0,F605&gt;0,H605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605=1,TRUE()),R605&lt;='01_설정'!B5,S605&lt;='01_설정'!B6,T605&lt;='01_설정'!B7,U605&lt;='01_설정'!B8),"Y",""))</f>
        <v/>
      </c>
      <c r="W605" s="172">
        <f>IF(V605&lt;&gt;"Y","",MAX(0,(1-R605/'01_설정'!B5))*'01_설정'!B14+MAX(0,(1-S605/'01_설정'!B6))*'01_설정'!B15+MAX(0,(1-T605/'01_설정'!B7))*'01_설정'!B16+MAX(0,(1-U605/'01_설정'!B8))*'01_설정'!B17+O605*'01_설정'!B11+Q605*'01_설정'!B12+P605*'01_설정'!B13+IF(Z605="",0,Z605))</f>
        <v/>
      </c>
      <c r="X605" s="152">
        <f>IF(W605="","",1+COUNTIFS($W$4:$W$3003,"&gt;"&amp;W605)+COUNTIFS($W$4:W605,W605)-1)</f>
        <v/>
      </c>
      <c r="Y605" s="175">
        <f>IF(OR(I605="",'02_대상물건입력'!B19="",'02_대상물건입력'!B19&lt;=0),"",ABS(I605-'02_대상물건입력'!B19)/'02_대상물건입력'!B19)</f>
        <v/>
      </c>
      <c r="Z605" s="172">
        <f>IF(OR(Y605="",'01_설정'!B31="",'01_설정'!B31&lt;=0,'01_설정'!B32="",'01_설정'!B32&lt;=0),"",MAX(0,(1-Y605/'01_설정'!B32))*'01_설정'!B31)</f>
        <v/>
      </c>
    </row>
    <row r="606" ht="17.25" customHeight="1">
      <c r="A606" s="152">
        <f>IF(INDEX('04A_국토부원자료'!$A:$A,ROW()+1)="","",ROW()-3)</f>
        <v/>
      </c>
      <c r="B606" s="48">
        <f>IFERROR(INDEX('04A_국토부원자료'!$A:$T,ROW()+1,MATCH("시군구",'04A_국토부원자료'!$A$4:$T$4,0)),"")</f>
        <v/>
      </c>
      <c r="C606" s="48">
        <f>IF(B606="","",IFERROR(INDEX('04A_국토부원자료'!$A:$T,ROW()+1,MATCH("번지",'04A_국토부원자료'!$A$4:$T$4,0)),""))</f>
        <v/>
      </c>
      <c r="D606" s="48">
        <f>IF(B606="","",IF(Q606=1,'02_대상물건입력'!$B$8,IFERROR(INDEX('04A_국토부원자료'!$A:$T,ROW()+1,MATCH("단지명",'04A_국토부원자료'!$A$4:$T$4,0)),"")))</f>
        <v/>
      </c>
      <c r="E606" s="172">
        <f>IFERROR(VALUE(SUBSTITUTE(INDEX('04A_국토부원자료'!$A:$T,ROW()+1,MATCH("전용면적(㎡)",'04A_국토부원자료'!$A$4:$T$4,0)),",","")),"")</f>
        <v/>
      </c>
      <c r="F6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06" s="51">
        <f>IFERROR(VALUE(SUBSTITUTE(INDEX('04A_국토부원자료'!$A:$T,ROW()+1,MATCH("거래금액(만원)",'04A_국토부원자료'!$A$4:$T$4,0)),",","")),"")</f>
        <v/>
      </c>
      <c r="H606" s="174">
        <f>IF(G606="","",G606*10000)</f>
        <v/>
      </c>
      <c r="I606" s="174">
        <f>IFERROR(IF(AND(H606&gt;0,E606&gt;0),H606/E606,""),"")</f>
        <v/>
      </c>
      <c r="J606" s="152">
        <f>IFERROR(VALUE(SUBSTITUTE(INDEX('04A_국토부원자료'!$A:$T,ROW()+1,MATCH("층",'04A_국토부원자료'!$A$4:$T$4,0)),",","")),"")</f>
        <v/>
      </c>
      <c r="K606" s="152">
        <f>IFERROR(VALUE(SUBSTITUTE(INDEX('04A_국토부원자료'!$A:$T,ROW()+1,MATCH("건축년도",'04A_국토부원자료'!$A$4:$T$4,0)),",","")),"")</f>
        <v/>
      </c>
      <c r="L606" s="176">
        <f>IFERROR(INDEX('04A_국토부원자료'!$A:$T,ROW()+1,MATCH("도로명",'04A_국토부원자료'!$A$4:$T$4,0)),"")</f>
        <v/>
      </c>
      <c r="M606" s="48">
        <f>IFERROR(INDEX('04A_국토부원자료'!$A:$T,ROW()+1,MATCH("거래유형",'04A_국토부원자료'!$A$4:$T$4,0)),"")</f>
        <v/>
      </c>
      <c r="N606" s="152">
        <f>IF(B606="","",IF('02_대상물건입력'!B5="",1,IF(ISNUMBER(SEARCH('02_대상물건입력'!B5,B606)),1,0)))</f>
        <v/>
      </c>
      <c r="O606" s="152">
        <f>IF(B606="","",IF('02_대상물건입력'!B6="",1,IF(ISNUMBER(SEARCH('02_대상물건입력'!B6,B606)),1,0)))</f>
        <v/>
      </c>
      <c r="P606" s="152">
        <f>IF(L606="","",IF('02_대상물건입력'!B15="",0,IF(ISNUMBER(SEARCH('02_대상물건입력'!B15,L606)),1,0)))</f>
        <v/>
      </c>
      <c r="Q606" s="152">
        <f>IF(OR(C606="",L606=""),0,IF(AND(TRIM(C606)=TRIM(RIGHT(SUBSTITUTE(TRIM('02_대상물건입력'!$B$7)," ",REPT(" ",99)),99)),IF('02_대상물건입력'!B15="",TRUE(),ISNUMBER(SEARCH('02_대상물건입력'!B15,L606)))),1,0))</f>
        <v/>
      </c>
      <c r="R606" s="175">
        <f>IFERROR(ABS(E606-'02_대상물건입력'!B11)/'02_대상물건입력'!B11,"")</f>
        <v/>
      </c>
      <c r="S606" s="152">
        <f>IFERROR(ABS(J606-'02_대상물건입력'!B10),"")</f>
        <v/>
      </c>
      <c r="T606" s="152">
        <f>IFERROR(ABS('01_설정'!B4-F606),"")</f>
        <v/>
      </c>
      <c r="U606" s="152">
        <f>IFERROR(ABS(K606-YEAR('02_대상물건입력'!B14)),"")</f>
        <v/>
      </c>
      <c r="V606" s="152">
        <f>IF(B606="","",IF(AND(E606&gt;0,F606&gt;0,H606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606=1,TRUE()),R606&lt;='01_설정'!B5,S606&lt;='01_설정'!B6,T606&lt;='01_설정'!B7,U606&lt;='01_설정'!B8),"Y",""))</f>
        <v/>
      </c>
      <c r="W606" s="172">
        <f>IF(V606&lt;&gt;"Y","",MAX(0,(1-R606/'01_설정'!B5))*'01_설정'!B14+MAX(0,(1-S606/'01_설정'!B6))*'01_설정'!B15+MAX(0,(1-T606/'01_설정'!B7))*'01_설정'!B16+MAX(0,(1-U606/'01_설정'!B8))*'01_설정'!B17+O606*'01_설정'!B11+Q606*'01_설정'!B12+P606*'01_설정'!B13+IF(Z606="",0,Z606))</f>
        <v/>
      </c>
      <c r="X606" s="152">
        <f>IF(W606="","",1+COUNTIFS($W$4:$W$3003,"&gt;"&amp;W606)+COUNTIFS($W$4:W606,W606)-1)</f>
        <v/>
      </c>
      <c r="Y606" s="175">
        <f>IF(OR(I606="",'02_대상물건입력'!B19="",'02_대상물건입력'!B19&lt;=0),"",ABS(I606-'02_대상물건입력'!B19)/'02_대상물건입력'!B19)</f>
        <v/>
      </c>
      <c r="Z606" s="172">
        <f>IF(OR(Y606="",'01_설정'!B31="",'01_설정'!B31&lt;=0,'01_설정'!B32="",'01_설정'!B32&lt;=0),"",MAX(0,(1-Y606/'01_설정'!B32))*'01_설정'!B31)</f>
        <v/>
      </c>
    </row>
    <row r="607" ht="17.25" customHeight="1">
      <c r="A607" s="152">
        <f>IF(INDEX('04A_국토부원자료'!$A:$A,ROW()+1)="","",ROW()-3)</f>
        <v/>
      </c>
      <c r="B607" s="48">
        <f>IFERROR(INDEX('04A_국토부원자료'!$A:$T,ROW()+1,MATCH("시군구",'04A_국토부원자료'!$A$4:$T$4,0)),"")</f>
        <v/>
      </c>
      <c r="C607" s="48">
        <f>IF(B607="","",IFERROR(INDEX('04A_국토부원자료'!$A:$T,ROW()+1,MATCH("번지",'04A_국토부원자료'!$A$4:$T$4,0)),""))</f>
        <v/>
      </c>
      <c r="D607" s="48">
        <f>IF(B607="","",IF(Q607=1,'02_대상물건입력'!$B$8,IFERROR(INDEX('04A_국토부원자료'!$A:$T,ROW()+1,MATCH("단지명",'04A_국토부원자료'!$A$4:$T$4,0)),"")))</f>
        <v/>
      </c>
      <c r="E607" s="172">
        <f>IFERROR(VALUE(SUBSTITUTE(INDEX('04A_국토부원자료'!$A:$T,ROW()+1,MATCH("전용면적(㎡)",'04A_국토부원자료'!$A$4:$T$4,0)),",","")),"")</f>
        <v/>
      </c>
      <c r="F6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07" s="51">
        <f>IFERROR(VALUE(SUBSTITUTE(INDEX('04A_국토부원자료'!$A:$T,ROW()+1,MATCH("거래금액(만원)",'04A_국토부원자료'!$A$4:$T$4,0)),",","")),"")</f>
        <v/>
      </c>
      <c r="H607" s="174">
        <f>IF(G607="","",G607*10000)</f>
        <v/>
      </c>
      <c r="I607" s="174">
        <f>IFERROR(IF(AND(H607&gt;0,E607&gt;0),H607/E607,""),"")</f>
        <v/>
      </c>
      <c r="J607" s="152">
        <f>IFERROR(VALUE(SUBSTITUTE(INDEX('04A_국토부원자료'!$A:$T,ROW()+1,MATCH("층",'04A_국토부원자료'!$A$4:$T$4,0)),",","")),"")</f>
        <v/>
      </c>
      <c r="K607" s="152">
        <f>IFERROR(VALUE(SUBSTITUTE(INDEX('04A_국토부원자료'!$A:$T,ROW()+1,MATCH("건축년도",'04A_국토부원자료'!$A$4:$T$4,0)),",","")),"")</f>
        <v/>
      </c>
      <c r="L607" s="176">
        <f>IFERROR(INDEX('04A_국토부원자료'!$A:$T,ROW()+1,MATCH("도로명",'04A_국토부원자료'!$A$4:$T$4,0)),"")</f>
        <v/>
      </c>
      <c r="M607" s="48">
        <f>IFERROR(INDEX('04A_국토부원자료'!$A:$T,ROW()+1,MATCH("거래유형",'04A_국토부원자료'!$A$4:$T$4,0)),"")</f>
        <v/>
      </c>
      <c r="N607" s="152">
        <f>IF(B607="","",IF('02_대상물건입력'!B5="",1,IF(ISNUMBER(SEARCH('02_대상물건입력'!B5,B607)),1,0)))</f>
        <v/>
      </c>
      <c r="O607" s="152">
        <f>IF(B607="","",IF('02_대상물건입력'!B6="",1,IF(ISNUMBER(SEARCH('02_대상물건입력'!B6,B607)),1,0)))</f>
        <v/>
      </c>
      <c r="P607" s="152">
        <f>IF(L607="","",IF('02_대상물건입력'!B15="",0,IF(ISNUMBER(SEARCH('02_대상물건입력'!B15,L607)),1,0)))</f>
        <v/>
      </c>
      <c r="Q607" s="152">
        <f>IF(OR(C607="",L607=""),0,IF(AND(TRIM(C607)=TRIM(RIGHT(SUBSTITUTE(TRIM('02_대상물건입력'!$B$7)," ",REPT(" ",99)),99)),IF('02_대상물건입력'!B15="",TRUE(),ISNUMBER(SEARCH('02_대상물건입력'!B15,L607)))),1,0))</f>
        <v/>
      </c>
      <c r="R607" s="175">
        <f>IFERROR(ABS(E607-'02_대상물건입력'!B11)/'02_대상물건입력'!B11,"")</f>
        <v/>
      </c>
      <c r="S607" s="152">
        <f>IFERROR(ABS(J607-'02_대상물건입력'!B10),"")</f>
        <v/>
      </c>
      <c r="T607" s="152">
        <f>IFERROR(ABS('01_설정'!B4-F607),"")</f>
        <v/>
      </c>
      <c r="U607" s="152">
        <f>IFERROR(ABS(K607-YEAR('02_대상물건입력'!B14)),"")</f>
        <v/>
      </c>
      <c r="V607" s="152">
        <f>IF(B607="","",IF(AND(E607&gt;0,F607&gt;0,H607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607=1,TRUE()),R607&lt;='01_설정'!B5,S607&lt;='01_설정'!B6,T607&lt;='01_설정'!B7,U607&lt;='01_설정'!B8),"Y",""))</f>
        <v/>
      </c>
      <c r="W607" s="172">
        <f>IF(V607&lt;&gt;"Y","",MAX(0,(1-R607/'01_설정'!B5))*'01_설정'!B14+MAX(0,(1-S607/'01_설정'!B6))*'01_설정'!B15+MAX(0,(1-T607/'01_설정'!B7))*'01_설정'!B16+MAX(0,(1-U607/'01_설정'!B8))*'01_설정'!B17+O607*'01_설정'!B11+Q607*'01_설정'!B12+P607*'01_설정'!B13+IF(Z607="",0,Z607))</f>
        <v/>
      </c>
      <c r="X607" s="152">
        <f>IF(W607="","",1+COUNTIFS($W$4:$W$3003,"&gt;"&amp;W607)+COUNTIFS($W$4:W607,W607)-1)</f>
        <v/>
      </c>
      <c r="Y607" s="175">
        <f>IF(OR(I607="",'02_대상물건입력'!B19="",'02_대상물건입력'!B19&lt;=0),"",ABS(I607-'02_대상물건입력'!B19)/'02_대상물건입력'!B19)</f>
        <v/>
      </c>
      <c r="Z607" s="172">
        <f>IF(OR(Y607="",'01_설정'!B31="",'01_설정'!B31&lt;=0,'01_설정'!B32="",'01_설정'!B32&lt;=0),"",MAX(0,(1-Y607/'01_설정'!B32))*'01_설정'!B31)</f>
        <v/>
      </c>
    </row>
    <row r="608" ht="17.25" customHeight="1">
      <c r="A608" s="152">
        <f>IF(INDEX('04A_국토부원자료'!$A:$A,ROW()+1)="","",ROW()-3)</f>
        <v/>
      </c>
      <c r="B608" s="48">
        <f>IFERROR(INDEX('04A_국토부원자료'!$A:$T,ROW()+1,MATCH("시군구",'04A_국토부원자료'!$A$4:$T$4,0)),"")</f>
        <v/>
      </c>
      <c r="C608" s="48">
        <f>IF(B608="","",IFERROR(INDEX('04A_국토부원자료'!$A:$T,ROW()+1,MATCH("번지",'04A_국토부원자료'!$A$4:$T$4,0)),""))</f>
        <v/>
      </c>
      <c r="D608" s="48">
        <f>IF(B608="","",IF(Q608=1,'02_대상물건입력'!$B$8,IFERROR(INDEX('04A_국토부원자료'!$A:$T,ROW()+1,MATCH("단지명",'04A_국토부원자료'!$A$4:$T$4,0)),"")))</f>
        <v/>
      </c>
      <c r="E608" s="172">
        <f>IFERROR(VALUE(SUBSTITUTE(INDEX('04A_국토부원자료'!$A:$T,ROW()+1,MATCH("전용면적(㎡)",'04A_국토부원자료'!$A$4:$T$4,0)),",","")),"")</f>
        <v/>
      </c>
      <c r="F6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08" s="51">
        <f>IFERROR(VALUE(SUBSTITUTE(INDEX('04A_국토부원자료'!$A:$T,ROW()+1,MATCH("거래금액(만원)",'04A_국토부원자료'!$A$4:$T$4,0)),",","")),"")</f>
        <v/>
      </c>
      <c r="H608" s="174">
        <f>IF(G608="","",G608*10000)</f>
        <v/>
      </c>
      <c r="I608" s="174">
        <f>IFERROR(IF(AND(H608&gt;0,E608&gt;0),H608/E608,""),"")</f>
        <v/>
      </c>
      <c r="J608" s="152">
        <f>IFERROR(VALUE(SUBSTITUTE(INDEX('04A_국토부원자료'!$A:$T,ROW()+1,MATCH("층",'04A_국토부원자료'!$A$4:$T$4,0)),",","")),"")</f>
        <v/>
      </c>
      <c r="K608" s="152">
        <f>IFERROR(VALUE(SUBSTITUTE(INDEX('04A_국토부원자료'!$A:$T,ROW()+1,MATCH("건축년도",'04A_국토부원자료'!$A$4:$T$4,0)),",","")),"")</f>
        <v/>
      </c>
      <c r="L608" s="176">
        <f>IFERROR(INDEX('04A_국토부원자료'!$A:$T,ROW()+1,MATCH("도로명",'04A_국토부원자료'!$A$4:$T$4,0)),"")</f>
        <v/>
      </c>
      <c r="M608" s="48">
        <f>IFERROR(INDEX('04A_국토부원자료'!$A:$T,ROW()+1,MATCH("거래유형",'04A_국토부원자료'!$A$4:$T$4,0)),"")</f>
        <v/>
      </c>
      <c r="N608" s="152">
        <f>IF(B608="","",IF('02_대상물건입력'!B5="",1,IF(ISNUMBER(SEARCH('02_대상물건입력'!B5,B608)),1,0)))</f>
        <v/>
      </c>
      <c r="O608" s="152">
        <f>IF(B608="","",IF('02_대상물건입력'!B6="",1,IF(ISNUMBER(SEARCH('02_대상물건입력'!B6,B608)),1,0)))</f>
        <v/>
      </c>
      <c r="P608" s="152">
        <f>IF(L608="","",IF('02_대상물건입력'!B15="",0,IF(ISNUMBER(SEARCH('02_대상물건입력'!B15,L608)),1,0)))</f>
        <v/>
      </c>
      <c r="Q608" s="152">
        <f>IF(OR(C608="",L608=""),0,IF(AND(TRIM(C608)=TRIM(RIGHT(SUBSTITUTE(TRIM('02_대상물건입력'!$B$7)," ",REPT(" ",99)),99)),IF('02_대상물건입력'!B15="",TRUE(),ISNUMBER(SEARCH('02_대상물건입력'!B15,L608)))),1,0))</f>
        <v/>
      </c>
      <c r="R608" s="175">
        <f>IFERROR(ABS(E608-'02_대상물건입력'!B11)/'02_대상물건입력'!B11,"")</f>
        <v/>
      </c>
      <c r="S608" s="152">
        <f>IFERROR(ABS(J608-'02_대상물건입력'!B10),"")</f>
        <v/>
      </c>
      <c r="T608" s="152">
        <f>IFERROR(ABS('01_설정'!B4-F608),"")</f>
        <v/>
      </c>
      <c r="U608" s="152">
        <f>IFERROR(ABS(K608-YEAR('02_대상물건입력'!B14)),"")</f>
        <v/>
      </c>
      <c r="V608" s="152">
        <f>IF(B608="","",IF(AND(E608&gt;0,F608&gt;0,H608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608=1,TRUE()),R608&lt;='01_설정'!B5,S608&lt;='01_설정'!B6,T608&lt;='01_설정'!B7,U608&lt;='01_설정'!B8),"Y",""))</f>
        <v/>
      </c>
      <c r="W608" s="172">
        <f>IF(V608&lt;&gt;"Y","",MAX(0,(1-R608/'01_설정'!B5))*'01_설정'!B14+MAX(0,(1-S608/'01_설정'!B6))*'01_설정'!B15+MAX(0,(1-T608/'01_설정'!B7))*'01_설정'!B16+MAX(0,(1-U608/'01_설정'!B8))*'01_설정'!B17+O608*'01_설정'!B11+Q608*'01_설정'!B12+P608*'01_설정'!B13+IF(Z608="",0,Z608))</f>
        <v/>
      </c>
      <c r="X608" s="152">
        <f>IF(W608="","",1+COUNTIFS($W$4:$W$3003,"&gt;"&amp;W608)+COUNTIFS($W$4:W608,W608)-1)</f>
        <v/>
      </c>
      <c r="Y608" s="175">
        <f>IF(OR(I608="",'02_대상물건입력'!B19="",'02_대상물건입력'!B19&lt;=0),"",ABS(I608-'02_대상물건입력'!B19)/'02_대상물건입력'!B19)</f>
        <v/>
      </c>
      <c r="Z608" s="172">
        <f>IF(OR(Y608="",'01_설정'!B31="",'01_설정'!B31&lt;=0,'01_설정'!B32="",'01_설정'!B32&lt;=0),"",MAX(0,(1-Y608/'01_설정'!B32))*'01_설정'!B31)</f>
        <v/>
      </c>
    </row>
    <row r="609" ht="17.25" customHeight="1">
      <c r="A609" s="152">
        <f>IF(INDEX('04A_국토부원자료'!$A:$A,ROW()+1)="","",ROW()-3)</f>
        <v/>
      </c>
      <c r="B609" s="48">
        <f>IFERROR(INDEX('04A_국토부원자료'!$A:$T,ROW()+1,MATCH("시군구",'04A_국토부원자료'!$A$4:$T$4,0)),"")</f>
        <v/>
      </c>
      <c r="C609" s="48">
        <f>IF(B609="","",IFERROR(INDEX('04A_국토부원자료'!$A:$T,ROW()+1,MATCH("번지",'04A_국토부원자료'!$A$4:$T$4,0)),""))</f>
        <v/>
      </c>
      <c r="D609" s="48">
        <f>IF(B609="","",IF(Q609=1,'02_대상물건입력'!$B$8,IFERROR(INDEX('04A_국토부원자료'!$A:$T,ROW()+1,MATCH("단지명",'04A_국토부원자료'!$A$4:$T$4,0)),"")))</f>
        <v/>
      </c>
      <c r="E609" s="172">
        <f>IFERROR(VALUE(SUBSTITUTE(INDEX('04A_국토부원자료'!$A:$T,ROW()+1,MATCH("전용면적(㎡)",'04A_국토부원자료'!$A$4:$T$4,0)),",","")),"")</f>
        <v/>
      </c>
      <c r="F6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09" s="51">
        <f>IFERROR(VALUE(SUBSTITUTE(INDEX('04A_국토부원자료'!$A:$T,ROW()+1,MATCH("거래금액(만원)",'04A_국토부원자료'!$A$4:$T$4,0)),",","")),"")</f>
        <v/>
      </c>
      <c r="H609" s="174">
        <f>IF(G609="","",G609*10000)</f>
        <v/>
      </c>
      <c r="I609" s="174">
        <f>IFERROR(IF(AND(H609&gt;0,E609&gt;0),H609/E609,""),"")</f>
        <v/>
      </c>
      <c r="J609" s="152">
        <f>IFERROR(VALUE(SUBSTITUTE(INDEX('04A_국토부원자료'!$A:$T,ROW()+1,MATCH("층",'04A_국토부원자료'!$A$4:$T$4,0)),",","")),"")</f>
        <v/>
      </c>
      <c r="K609" s="152">
        <f>IFERROR(VALUE(SUBSTITUTE(INDEX('04A_국토부원자료'!$A:$T,ROW()+1,MATCH("건축년도",'04A_국토부원자료'!$A$4:$T$4,0)),",","")),"")</f>
        <v/>
      </c>
      <c r="L609" s="176">
        <f>IFERROR(INDEX('04A_국토부원자료'!$A:$T,ROW()+1,MATCH("도로명",'04A_국토부원자료'!$A$4:$T$4,0)),"")</f>
        <v/>
      </c>
      <c r="M609" s="48">
        <f>IFERROR(INDEX('04A_국토부원자료'!$A:$T,ROW()+1,MATCH("거래유형",'04A_국토부원자료'!$A$4:$T$4,0)),"")</f>
        <v/>
      </c>
      <c r="N609" s="152">
        <f>IF(B609="","",IF('02_대상물건입력'!B5="",1,IF(ISNUMBER(SEARCH('02_대상물건입력'!B5,B609)),1,0)))</f>
        <v/>
      </c>
      <c r="O609" s="152">
        <f>IF(B609="","",IF('02_대상물건입력'!B6="",1,IF(ISNUMBER(SEARCH('02_대상물건입력'!B6,B609)),1,0)))</f>
        <v/>
      </c>
      <c r="P609" s="152">
        <f>IF(L609="","",IF('02_대상물건입력'!B15="",0,IF(ISNUMBER(SEARCH('02_대상물건입력'!B15,L609)),1,0)))</f>
        <v/>
      </c>
      <c r="Q609" s="152">
        <f>IF(OR(C609="",L609=""),0,IF(AND(TRIM(C609)=TRIM(RIGHT(SUBSTITUTE(TRIM('02_대상물건입력'!$B$7)," ",REPT(" ",99)),99)),IF('02_대상물건입력'!B15="",TRUE(),ISNUMBER(SEARCH('02_대상물건입력'!B15,L609)))),1,0))</f>
        <v/>
      </c>
      <c r="R609" s="175">
        <f>IFERROR(ABS(E609-'02_대상물건입력'!B11)/'02_대상물건입력'!B11,"")</f>
        <v/>
      </c>
      <c r="S609" s="152">
        <f>IFERROR(ABS(J609-'02_대상물건입력'!B10),"")</f>
        <v/>
      </c>
      <c r="T609" s="152">
        <f>IFERROR(ABS('01_설정'!B4-F609),"")</f>
        <v/>
      </c>
      <c r="U609" s="152">
        <f>IFERROR(ABS(K609-YEAR('02_대상물건입력'!B14)),"")</f>
        <v/>
      </c>
      <c r="V609" s="152">
        <f>IF(B609="","",IF(AND(E609&gt;0,F609&gt;0,H609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609=1,TRUE()),R609&lt;='01_설정'!B5,S609&lt;='01_설정'!B6,T609&lt;='01_설정'!B7,U609&lt;='01_설정'!B8),"Y",""))</f>
        <v/>
      </c>
      <c r="W609" s="172">
        <f>IF(V609&lt;&gt;"Y","",MAX(0,(1-R609/'01_설정'!B5))*'01_설정'!B14+MAX(0,(1-S609/'01_설정'!B6))*'01_설정'!B15+MAX(0,(1-T609/'01_설정'!B7))*'01_설정'!B16+MAX(0,(1-U609/'01_설정'!B8))*'01_설정'!B17+O609*'01_설정'!B11+Q609*'01_설정'!B12+P609*'01_설정'!B13+IF(Z609="",0,Z609))</f>
        <v/>
      </c>
      <c r="X609" s="152">
        <f>IF(W609="","",1+COUNTIFS($W$4:$W$3003,"&gt;"&amp;W609)+COUNTIFS($W$4:W609,W609)-1)</f>
        <v/>
      </c>
      <c r="Y609" s="175">
        <f>IF(OR(I609="",'02_대상물건입력'!B19="",'02_대상물건입력'!B19&lt;=0),"",ABS(I609-'02_대상물건입력'!B19)/'02_대상물건입력'!B19)</f>
        <v/>
      </c>
      <c r="Z609" s="172">
        <f>IF(OR(Y609="",'01_설정'!B31="",'01_설정'!B31&lt;=0,'01_설정'!B32="",'01_설정'!B32&lt;=0),"",MAX(0,(1-Y609/'01_설정'!B32))*'01_설정'!B31)</f>
        <v/>
      </c>
    </row>
    <row r="610" ht="17.25" customHeight="1">
      <c r="A610" s="152">
        <f>IF(INDEX('04A_국토부원자료'!$A:$A,ROW()+1)="","",ROW()-3)</f>
        <v/>
      </c>
      <c r="B610" s="48">
        <f>IFERROR(INDEX('04A_국토부원자료'!$A:$T,ROW()+1,MATCH("시군구",'04A_국토부원자료'!$A$4:$T$4,0)),"")</f>
        <v/>
      </c>
      <c r="C610" s="48">
        <f>IF(B610="","",IFERROR(INDEX('04A_국토부원자료'!$A:$T,ROW()+1,MATCH("번지",'04A_국토부원자료'!$A$4:$T$4,0)),""))</f>
        <v/>
      </c>
      <c r="D610" s="48">
        <f>IF(B610="","",IF(Q610=1,'02_대상물건입력'!$B$8,IFERROR(INDEX('04A_국토부원자료'!$A:$T,ROW()+1,MATCH("단지명",'04A_국토부원자료'!$A$4:$T$4,0)),"")))</f>
        <v/>
      </c>
      <c r="E610" s="172">
        <f>IFERROR(VALUE(SUBSTITUTE(INDEX('04A_국토부원자료'!$A:$T,ROW()+1,MATCH("전용면적(㎡)",'04A_국토부원자료'!$A$4:$T$4,0)),",","")),"")</f>
        <v/>
      </c>
      <c r="F6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10" s="51">
        <f>IFERROR(VALUE(SUBSTITUTE(INDEX('04A_국토부원자료'!$A:$T,ROW()+1,MATCH("거래금액(만원)",'04A_국토부원자료'!$A$4:$T$4,0)),",","")),"")</f>
        <v/>
      </c>
      <c r="H610" s="174">
        <f>IF(G610="","",G610*10000)</f>
        <v/>
      </c>
      <c r="I610" s="174">
        <f>IFERROR(IF(AND(H610&gt;0,E610&gt;0),H610/E610,""),"")</f>
        <v/>
      </c>
      <c r="J610" s="152">
        <f>IFERROR(VALUE(SUBSTITUTE(INDEX('04A_국토부원자료'!$A:$T,ROW()+1,MATCH("층",'04A_국토부원자료'!$A$4:$T$4,0)),",","")),"")</f>
        <v/>
      </c>
      <c r="K610" s="152">
        <f>IFERROR(VALUE(SUBSTITUTE(INDEX('04A_국토부원자료'!$A:$T,ROW()+1,MATCH("건축년도",'04A_국토부원자료'!$A$4:$T$4,0)),",","")),"")</f>
        <v/>
      </c>
      <c r="L610" s="176">
        <f>IFERROR(INDEX('04A_국토부원자료'!$A:$T,ROW()+1,MATCH("도로명",'04A_국토부원자료'!$A$4:$T$4,0)),"")</f>
        <v/>
      </c>
      <c r="M610" s="48">
        <f>IFERROR(INDEX('04A_국토부원자료'!$A:$T,ROW()+1,MATCH("거래유형",'04A_국토부원자료'!$A$4:$T$4,0)),"")</f>
        <v/>
      </c>
      <c r="N610" s="152">
        <f>IF(B610="","",IF('02_대상물건입력'!B5="",1,IF(ISNUMBER(SEARCH('02_대상물건입력'!B5,B610)),1,0)))</f>
        <v/>
      </c>
      <c r="O610" s="152">
        <f>IF(B610="","",IF('02_대상물건입력'!B6="",1,IF(ISNUMBER(SEARCH('02_대상물건입력'!B6,B610)),1,0)))</f>
        <v/>
      </c>
      <c r="P610" s="152">
        <f>IF(L610="","",IF('02_대상물건입력'!B15="",0,IF(ISNUMBER(SEARCH('02_대상물건입력'!B15,L610)),1,0)))</f>
        <v/>
      </c>
      <c r="Q610" s="152">
        <f>IF(OR(C610="",L610=""),0,IF(AND(TRIM(C610)=TRIM(RIGHT(SUBSTITUTE(TRIM('02_대상물건입력'!$B$7)," ",REPT(" ",99)),99)),IF('02_대상물건입력'!B15="",TRUE(),ISNUMBER(SEARCH('02_대상물건입력'!B15,L610)))),1,0))</f>
        <v/>
      </c>
      <c r="R610" s="175">
        <f>IFERROR(ABS(E610-'02_대상물건입력'!B11)/'02_대상물건입력'!B11,"")</f>
        <v/>
      </c>
      <c r="S610" s="152">
        <f>IFERROR(ABS(J610-'02_대상물건입력'!B10),"")</f>
        <v/>
      </c>
      <c r="T610" s="152">
        <f>IFERROR(ABS('01_설정'!B4-F610),"")</f>
        <v/>
      </c>
      <c r="U610" s="152">
        <f>IFERROR(ABS(K610-YEAR('02_대상물건입력'!B14)),"")</f>
        <v/>
      </c>
      <c r="V610" s="152">
        <f>IF(B610="","",IF(AND(E610&gt;0,F610&gt;0,H610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610=1,TRUE()),R610&lt;='01_설정'!B5,S610&lt;='01_설정'!B6,T610&lt;='01_설정'!B7,U610&lt;='01_설정'!B8),"Y",""))</f>
        <v/>
      </c>
      <c r="W610" s="172">
        <f>IF(V610&lt;&gt;"Y","",MAX(0,(1-R610/'01_설정'!B5))*'01_설정'!B14+MAX(0,(1-S610/'01_설정'!B6))*'01_설정'!B15+MAX(0,(1-T610/'01_설정'!B7))*'01_설정'!B16+MAX(0,(1-U610/'01_설정'!B8))*'01_설정'!B17+O610*'01_설정'!B11+Q610*'01_설정'!B12+P610*'01_설정'!B13+IF(Z610="",0,Z610))</f>
        <v/>
      </c>
      <c r="X610" s="152">
        <f>IF(W610="","",1+COUNTIFS($W$4:$W$3003,"&gt;"&amp;W610)+COUNTIFS($W$4:W610,W610)-1)</f>
        <v/>
      </c>
      <c r="Y610" s="175">
        <f>IF(OR(I610="",'02_대상물건입력'!B19="",'02_대상물건입력'!B19&lt;=0),"",ABS(I610-'02_대상물건입력'!B19)/'02_대상물건입력'!B19)</f>
        <v/>
      </c>
      <c r="Z610" s="172">
        <f>IF(OR(Y610="",'01_설정'!B31="",'01_설정'!B31&lt;=0,'01_설정'!B32="",'01_설정'!B32&lt;=0),"",MAX(0,(1-Y610/'01_설정'!B32))*'01_설정'!B31)</f>
        <v/>
      </c>
    </row>
    <row r="611" ht="17.25" customHeight="1">
      <c r="A611" s="152">
        <f>IF(INDEX('04A_국토부원자료'!$A:$A,ROW()+1)="","",ROW()-3)</f>
        <v/>
      </c>
      <c r="B611" s="48">
        <f>IFERROR(INDEX('04A_국토부원자료'!$A:$T,ROW()+1,MATCH("시군구",'04A_국토부원자료'!$A$4:$T$4,0)),"")</f>
        <v/>
      </c>
      <c r="C611" s="48">
        <f>IF(B611="","",IFERROR(INDEX('04A_국토부원자료'!$A:$T,ROW()+1,MATCH("번지",'04A_국토부원자료'!$A$4:$T$4,0)),""))</f>
        <v/>
      </c>
      <c r="D611" s="48">
        <f>IF(B611="","",IF(Q611=1,'02_대상물건입력'!$B$8,IFERROR(INDEX('04A_국토부원자료'!$A:$T,ROW()+1,MATCH("단지명",'04A_국토부원자료'!$A$4:$T$4,0)),"")))</f>
        <v/>
      </c>
      <c r="E611" s="172">
        <f>IFERROR(VALUE(SUBSTITUTE(INDEX('04A_국토부원자료'!$A:$T,ROW()+1,MATCH("전용면적(㎡)",'04A_국토부원자료'!$A$4:$T$4,0)),",","")),"")</f>
        <v/>
      </c>
      <c r="F6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11" s="51">
        <f>IFERROR(VALUE(SUBSTITUTE(INDEX('04A_국토부원자료'!$A:$T,ROW()+1,MATCH("거래금액(만원)",'04A_국토부원자료'!$A$4:$T$4,0)),",","")),"")</f>
        <v/>
      </c>
      <c r="H611" s="174">
        <f>IF(G611="","",G611*10000)</f>
        <v/>
      </c>
      <c r="I611" s="174">
        <f>IFERROR(IF(AND(H611&gt;0,E611&gt;0),H611/E611,""),"")</f>
        <v/>
      </c>
      <c r="J611" s="152">
        <f>IFERROR(VALUE(SUBSTITUTE(INDEX('04A_국토부원자료'!$A:$T,ROW()+1,MATCH("층",'04A_국토부원자료'!$A$4:$T$4,0)),",","")),"")</f>
        <v/>
      </c>
      <c r="K611" s="152">
        <f>IFERROR(VALUE(SUBSTITUTE(INDEX('04A_국토부원자료'!$A:$T,ROW()+1,MATCH("건축년도",'04A_국토부원자료'!$A$4:$T$4,0)),",","")),"")</f>
        <v/>
      </c>
      <c r="L611" s="176">
        <f>IFERROR(INDEX('04A_국토부원자료'!$A:$T,ROW()+1,MATCH("도로명",'04A_국토부원자료'!$A$4:$T$4,0)),"")</f>
        <v/>
      </c>
      <c r="M611" s="48">
        <f>IFERROR(INDEX('04A_국토부원자료'!$A:$T,ROW()+1,MATCH("거래유형",'04A_국토부원자료'!$A$4:$T$4,0)),"")</f>
        <v/>
      </c>
      <c r="N611" s="152">
        <f>IF(B611="","",IF('02_대상물건입력'!B5="",1,IF(ISNUMBER(SEARCH('02_대상물건입력'!B5,B611)),1,0)))</f>
        <v/>
      </c>
      <c r="O611" s="152">
        <f>IF(B611="","",IF('02_대상물건입력'!B6="",1,IF(ISNUMBER(SEARCH('02_대상물건입력'!B6,B611)),1,0)))</f>
        <v/>
      </c>
      <c r="P611" s="152">
        <f>IF(L611="","",IF('02_대상물건입력'!B15="",0,IF(ISNUMBER(SEARCH('02_대상물건입력'!B15,L611)),1,0)))</f>
        <v/>
      </c>
      <c r="Q611" s="152">
        <f>IF(OR(C611="",L611=""),0,IF(AND(TRIM(C611)=TRIM(RIGHT(SUBSTITUTE(TRIM('02_대상물건입력'!$B$7)," ",REPT(" ",99)),99)),IF('02_대상물건입력'!B15="",TRUE(),ISNUMBER(SEARCH('02_대상물건입력'!B15,L611)))),1,0))</f>
        <v/>
      </c>
      <c r="R611" s="175">
        <f>IFERROR(ABS(E611-'02_대상물건입력'!B11)/'02_대상물건입력'!B11,"")</f>
        <v/>
      </c>
      <c r="S611" s="152">
        <f>IFERROR(ABS(J611-'02_대상물건입력'!B10),"")</f>
        <v/>
      </c>
      <c r="T611" s="152">
        <f>IFERROR(ABS('01_설정'!B4-F611),"")</f>
        <v/>
      </c>
      <c r="U611" s="152">
        <f>IFERROR(ABS(K611-YEAR('02_대상물건입력'!B14)),"")</f>
        <v/>
      </c>
      <c r="V611" s="152">
        <f>IF(B611="","",IF(AND(E611&gt;0,F611&gt;0,H611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611=1,TRUE()),R611&lt;='01_설정'!B5,S611&lt;='01_설정'!B6,T611&lt;='01_설정'!B7,U611&lt;='01_설정'!B8),"Y",""))</f>
        <v/>
      </c>
      <c r="W611" s="172">
        <f>IF(V611&lt;&gt;"Y","",MAX(0,(1-R611/'01_설정'!B5))*'01_설정'!B14+MAX(0,(1-S611/'01_설정'!B6))*'01_설정'!B15+MAX(0,(1-T611/'01_설정'!B7))*'01_설정'!B16+MAX(0,(1-U611/'01_설정'!B8))*'01_설정'!B17+O611*'01_설정'!B11+Q611*'01_설정'!B12+P611*'01_설정'!B13+IF(Z611="",0,Z611))</f>
        <v/>
      </c>
      <c r="X611" s="152">
        <f>IF(W611="","",1+COUNTIFS($W$4:$W$3003,"&gt;"&amp;W611)+COUNTIFS($W$4:W611,W611)-1)</f>
        <v/>
      </c>
      <c r="Y611" s="175">
        <f>IF(OR(I611="",'02_대상물건입력'!B19="",'02_대상물건입력'!B19&lt;=0),"",ABS(I611-'02_대상물건입력'!B19)/'02_대상물건입력'!B19)</f>
        <v/>
      </c>
      <c r="Z611" s="172">
        <f>IF(OR(Y611="",'01_설정'!B31="",'01_설정'!B31&lt;=0,'01_설정'!B32="",'01_설정'!B32&lt;=0),"",MAX(0,(1-Y611/'01_설정'!B32))*'01_설정'!B31)</f>
        <v/>
      </c>
    </row>
    <row r="612" ht="17.25" customHeight="1">
      <c r="A612" s="152">
        <f>IF(INDEX('04A_국토부원자료'!$A:$A,ROW()+1)="","",ROW()-3)</f>
        <v/>
      </c>
      <c r="B612" s="48">
        <f>IFERROR(INDEX('04A_국토부원자료'!$A:$T,ROW()+1,MATCH("시군구",'04A_국토부원자료'!$A$4:$T$4,0)),"")</f>
        <v/>
      </c>
      <c r="C612" s="48">
        <f>IF(B612="","",IFERROR(INDEX('04A_국토부원자료'!$A:$T,ROW()+1,MATCH("번지",'04A_국토부원자료'!$A$4:$T$4,0)),""))</f>
        <v/>
      </c>
      <c r="D612" s="48">
        <f>IF(B612="","",IF(Q612=1,'02_대상물건입력'!$B$8,IFERROR(INDEX('04A_국토부원자료'!$A:$T,ROW()+1,MATCH("단지명",'04A_국토부원자료'!$A$4:$T$4,0)),"")))</f>
        <v/>
      </c>
      <c r="E612" s="172">
        <f>IFERROR(VALUE(SUBSTITUTE(INDEX('04A_국토부원자료'!$A:$T,ROW()+1,MATCH("전용면적(㎡)",'04A_국토부원자료'!$A$4:$T$4,0)),",","")),"")</f>
        <v/>
      </c>
      <c r="F6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12" s="51">
        <f>IFERROR(VALUE(SUBSTITUTE(INDEX('04A_국토부원자료'!$A:$T,ROW()+1,MATCH("거래금액(만원)",'04A_국토부원자료'!$A$4:$T$4,0)),",","")),"")</f>
        <v/>
      </c>
      <c r="H612" s="174">
        <f>IF(G612="","",G612*10000)</f>
        <v/>
      </c>
      <c r="I612" s="174">
        <f>IFERROR(IF(AND(H612&gt;0,E612&gt;0),H612/E612,""),"")</f>
        <v/>
      </c>
      <c r="J612" s="152">
        <f>IFERROR(VALUE(SUBSTITUTE(INDEX('04A_국토부원자료'!$A:$T,ROW()+1,MATCH("층",'04A_국토부원자료'!$A$4:$T$4,0)),",","")),"")</f>
        <v/>
      </c>
      <c r="K612" s="152">
        <f>IFERROR(VALUE(SUBSTITUTE(INDEX('04A_국토부원자료'!$A:$T,ROW()+1,MATCH("건축년도",'04A_국토부원자료'!$A$4:$T$4,0)),",","")),"")</f>
        <v/>
      </c>
      <c r="L612" s="176">
        <f>IFERROR(INDEX('04A_국토부원자료'!$A:$T,ROW()+1,MATCH("도로명",'04A_국토부원자료'!$A$4:$T$4,0)),"")</f>
        <v/>
      </c>
      <c r="M612" s="48">
        <f>IFERROR(INDEX('04A_국토부원자료'!$A:$T,ROW()+1,MATCH("거래유형",'04A_국토부원자료'!$A$4:$T$4,0)),"")</f>
        <v/>
      </c>
      <c r="N612" s="152">
        <f>IF(B612="","",IF('02_대상물건입력'!B5="",1,IF(ISNUMBER(SEARCH('02_대상물건입력'!B5,B612)),1,0)))</f>
        <v/>
      </c>
      <c r="O612" s="152">
        <f>IF(B612="","",IF('02_대상물건입력'!B6="",1,IF(ISNUMBER(SEARCH('02_대상물건입력'!B6,B612)),1,0)))</f>
        <v/>
      </c>
      <c r="P612" s="152">
        <f>IF(L612="","",IF('02_대상물건입력'!B15="",0,IF(ISNUMBER(SEARCH('02_대상물건입력'!B15,L612)),1,0)))</f>
        <v/>
      </c>
      <c r="Q612" s="152">
        <f>IF(OR(C612="",L612=""),0,IF(AND(TRIM(C612)=TRIM(RIGHT(SUBSTITUTE(TRIM('02_대상물건입력'!$B$7)," ",REPT(" ",99)),99)),IF('02_대상물건입력'!B15="",TRUE(),ISNUMBER(SEARCH('02_대상물건입력'!B15,L612)))),1,0))</f>
        <v/>
      </c>
      <c r="R612" s="175">
        <f>IFERROR(ABS(E612-'02_대상물건입력'!B11)/'02_대상물건입력'!B11,"")</f>
        <v/>
      </c>
      <c r="S612" s="152">
        <f>IFERROR(ABS(J612-'02_대상물건입력'!B10),"")</f>
        <v/>
      </c>
      <c r="T612" s="152">
        <f>IFERROR(ABS('01_설정'!B4-F612),"")</f>
        <v/>
      </c>
      <c r="U612" s="152">
        <f>IFERROR(ABS(K612-YEAR('02_대상물건입력'!B14)),"")</f>
        <v/>
      </c>
      <c r="V612" s="152">
        <f>IF(B612="","",IF(AND(E612&gt;0,F612&gt;0,H612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612=1,TRUE()),R612&lt;='01_설정'!B5,S612&lt;='01_설정'!B6,T612&lt;='01_설정'!B7,U612&lt;='01_설정'!B8),"Y",""))</f>
        <v/>
      </c>
      <c r="W612" s="172">
        <f>IF(V612&lt;&gt;"Y","",MAX(0,(1-R612/'01_설정'!B5))*'01_설정'!B14+MAX(0,(1-S612/'01_설정'!B6))*'01_설정'!B15+MAX(0,(1-T612/'01_설정'!B7))*'01_설정'!B16+MAX(0,(1-U612/'01_설정'!B8))*'01_설정'!B17+O612*'01_설정'!B11+Q612*'01_설정'!B12+P612*'01_설정'!B13+IF(Z612="",0,Z612))</f>
        <v/>
      </c>
      <c r="X612" s="152">
        <f>IF(W612="","",1+COUNTIFS($W$4:$W$3003,"&gt;"&amp;W612)+COUNTIFS($W$4:W612,W612)-1)</f>
        <v/>
      </c>
      <c r="Y612" s="175">
        <f>IF(OR(I612="",'02_대상물건입력'!B19="",'02_대상물건입력'!B19&lt;=0),"",ABS(I612-'02_대상물건입력'!B19)/'02_대상물건입력'!B19)</f>
        <v/>
      </c>
      <c r="Z612" s="172">
        <f>IF(OR(Y612="",'01_설정'!B31="",'01_설정'!B31&lt;=0,'01_설정'!B32="",'01_설정'!B32&lt;=0),"",MAX(0,(1-Y612/'01_설정'!B32))*'01_설정'!B31)</f>
        <v/>
      </c>
    </row>
    <row r="613" ht="17.25" customHeight="1">
      <c r="A613" s="152">
        <f>IF(INDEX('04A_국토부원자료'!$A:$A,ROW()+1)="","",ROW()-3)</f>
        <v/>
      </c>
      <c r="B613" s="48">
        <f>IFERROR(INDEX('04A_국토부원자료'!$A:$T,ROW()+1,MATCH("시군구",'04A_국토부원자료'!$A$4:$T$4,0)),"")</f>
        <v/>
      </c>
      <c r="C613" s="48">
        <f>IF(B613="","",IFERROR(INDEX('04A_국토부원자료'!$A:$T,ROW()+1,MATCH("번지",'04A_국토부원자료'!$A$4:$T$4,0)),""))</f>
        <v/>
      </c>
      <c r="D613" s="48">
        <f>IF(B613="","",IF(Q613=1,'02_대상물건입력'!$B$8,IFERROR(INDEX('04A_국토부원자료'!$A:$T,ROW()+1,MATCH("단지명",'04A_국토부원자료'!$A$4:$T$4,0)),"")))</f>
        <v/>
      </c>
      <c r="E613" s="172">
        <f>IFERROR(VALUE(SUBSTITUTE(INDEX('04A_국토부원자료'!$A:$T,ROW()+1,MATCH("전용면적(㎡)",'04A_국토부원자료'!$A$4:$T$4,0)),",","")),"")</f>
        <v/>
      </c>
      <c r="F6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13" s="51">
        <f>IFERROR(VALUE(SUBSTITUTE(INDEX('04A_국토부원자료'!$A:$T,ROW()+1,MATCH("거래금액(만원)",'04A_국토부원자료'!$A$4:$T$4,0)),",","")),"")</f>
        <v/>
      </c>
      <c r="H613" s="174">
        <f>IF(G613="","",G613*10000)</f>
        <v/>
      </c>
      <c r="I613" s="174">
        <f>IFERROR(IF(AND(H613&gt;0,E613&gt;0),H613/E613,""),"")</f>
        <v/>
      </c>
      <c r="J613" s="152">
        <f>IFERROR(VALUE(SUBSTITUTE(INDEX('04A_국토부원자료'!$A:$T,ROW()+1,MATCH("층",'04A_국토부원자료'!$A$4:$T$4,0)),",","")),"")</f>
        <v/>
      </c>
      <c r="K613" s="152">
        <f>IFERROR(VALUE(SUBSTITUTE(INDEX('04A_국토부원자료'!$A:$T,ROW()+1,MATCH("건축년도",'04A_국토부원자료'!$A$4:$T$4,0)),",","")),"")</f>
        <v/>
      </c>
      <c r="L613" s="176">
        <f>IFERROR(INDEX('04A_국토부원자료'!$A:$T,ROW()+1,MATCH("도로명",'04A_국토부원자료'!$A$4:$T$4,0)),"")</f>
        <v/>
      </c>
      <c r="M613" s="48">
        <f>IFERROR(INDEX('04A_국토부원자료'!$A:$T,ROW()+1,MATCH("거래유형",'04A_국토부원자료'!$A$4:$T$4,0)),"")</f>
        <v/>
      </c>
      <c r="N613" s="152">
        <f>IF(B613="","",IF('02_대상물건입력'!B5="",1,IF(ISNUMBER(SEARCH('02_대상물건입력'!B5,B613)),1,0)))</f>
        <v/>
      </c>
      <c r="O613" s="152">
        <f>IF(B613="","",IF('02_대상물건입력'!B6="",1,IF(ISNUMBER(SEARCH('02_대상물건입력'!B6,B613)),1,0)))</f>
        <v/>
      </c>
      <c r="P613" s="152">
        <f>IF(L613="","",IF('02_대상물건입력'!B15="",0,IF(ISNUMBER(SEARCH('02_대상물건입력'!B15,L613)),1,0)))</f>
        <v/>
      </c>
      <c r="Q613" s="152">
        <f>IF(OR(C613="",L613=""),0,IF(AND(TRIM(C613)=TRIM(RIGHT(SUBSTITUTE(TRIM('02_대상물건입력'!$B$7)," ",REPT(" ",99)),99)),IF('02_대상물건입력'!B15="",TRUE(),ISNUMBER(SEARCH('02_대상물건입력'!B15,L613)))),1,0))</f>
        <v/>
      </c>
      <c r="R613" s="175">
        <f>IFERROR(ABS(E613-'02_대상물건입력'!B11)/'02_대상물건입력'!B11,"")</f>
        <v/>
      </c>
      <c r="S613" s="152">
        <f>IFERROR(ABS(J613-'02_대상물건입력'!B10),"")</f>
        <v/>
      </c>
      <c r="T613" s="152">
        <f>IFERROR(ABS('01_설정'!B4-F613),"")</f>
        <v/>
      </c>
      <c r="U613" s="152">
        <f>IFERROR(ABS(K613-YEAR('02_대상물건입력'!B14)),"")</f>
        <v/>
      </c>
      <c r="V613" s="152">
        <f>IF(B613="","",IF(AND(E613&gt;0,F613&gt;0,H613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613=1,TRUE()),R613&lt;='01_설정'!B5,S613&lt;='01_설정'!B6,T613&lt;='01_설정'!B7,U613&lt;='01_설정'!B8),"Y",""))</f>
        <v/>
      </c>
      <c r="W613" s="172">
        <f>IF(V613&lt;&gt;"Y","",MAX(0,(1-R613/'01_설정'!B5))*'01_설정'!B14+MAX(0,(1-S613/'01_설정'!B6))*'01_설정'!B15+MAX(0,(1-T613/'01_설정'!B7))*'01_설정'!B16+MAX(0,(1-U613/'01_설정'!B8))*'01_설정'!B17+O613*'01_설정'!B11+Q613*'01_설정'!B12+P613*'01_설정'!B13+IF(Z613="",0,Z613))</f>
        <v/>
      </c>
      <c r="X613" s="152">
        <f>IF(W613="","",1+COUNTIFS($W$4:$W$3003,"&gt;"&amp;W613)+COUNTIFS($W$4:W613,W613)-1)</f>
        <v/>
      </c>
      <c r="Y613" s="175">
        <f>IF(OR(I613="",'02_대상물건입력'!B19="",'02_대상물건입력'!B19&lt;=0),"",ABS(I613-'02_대상물건입력'!B19)/'02_대상물건입력'!B19)</f>
        <v/>
      </c>
      <c r="Z613" s="172">
        <f>IF(OR(Y613="",'01_설정'!B31="",'01_설정'!B31&lt;=0,'01_설정'!B32="",'01_설정'!B32&lt;=0),"",MAX(0,(1-Y613/'01_설정'!B32))*'01_설정'!B31)</f>
        <v/>
      </c>
    </row>
    <row r="614" ht="17.25" customHeight="1">
      <c r="A614" s="152">
        <f>IF(INDEX('04A_국토부원자료'!$A:$A,ROW()+1)="","",ROW()-3)</f>
        <v/>
      </c>
      <c r="B614" s="48">
        <f>IFERROR(INDEX('04A_국토부원자료'!$A:$T,ROW()+1,MATCH("시군구",'04A_국토부원자료'!$A$4:$T$4,0)),"")</f>
        <v/>
      </c>
      <c r="C614" s="48">
        <f>IF(B614="","",IFERROR(INDEX('04A_국토부원자료'!$A:$T,ROW()+1,MATCH("번지",'04A_국토부원자료'!$A$4:$T$4,0)),""))</f>
        <v/>
      </c>
      <c r="D614" s="48">
        <f>IF(B614="","",IF(Q614=1,'02_대상물건입력'!$B$8,IFERROR(INDEX('04A_국토부원자료'!$A:$T,ROW()+1,MATCH("단지명",'04A_국토부원자료'!$A$4:$T$4,0)),"")))</f>
        <v/>
      </c>
      <c r="E614" s="172">
        <f>IFERROR(VALUE(SUBSTITUTE(INDEX('04A_국토부원자료'!$A:$T,ROW()+1,MATCH("전용면적(㎡)",'04A_국토부원자료'!$A$4:$T$4,0)),",","")),"")</f>
        <v/>
      </c>
      <c r="F6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14" s="51">
        <f>IFERROR(VALUE(SUBSTITUTE(INDEX('04A_국토부원자료'!$A:$T,ROW()+1,MATCH("거래금액(만원)",'04A_국토부원자료'!$A$4:$T$4,0)),",","")),"")</f>
        <v/>
      </c>
      <c r="H614" s="174">
        <f>IF(G614="","",G614*10000)</f>
        <v/>
      </c>
      <c r="I614" s="174">
        <f>IFERROR(IF(AND(H614&gt;0,E614&gt;0),H614/E614,""),"")</f>
        <v/>
      </c>
      <c r="J614" s="152">
        <f>IFERROR(VALUE(SUBSTITUTE(INDEX('04A_국토부원자료'!$A:$T,ROW()+1,MATCH("층",'04A_국토부원자료'!$A$4:$T$4,0)),",","")),"")</f>
        <v/>
      </c>
      <c r="K614" s="152">
        <f>IFERROR(VALUE(SUBSTITUTE(INDEX('04A_국토부원자료'!$A:$T,ROW()+1,MATCH("건축년도",'04A_국토부원자료'!$A$4:$T$4,0)),",","")),"")</f>
        <v/>
      </c>
      <c r="L614" s="176">
        <f>IFERROR(INDEX('04A_국토부원자료'!$A:$T,ROW()+1,MATCH("도로명",'04A_국토부원자료'!$A$4:$T$4,0)),"")</f>
        <v/>
      </c>
      <c r="M614" s="48">
        <f>IFERROR(INDEX('04A_국토부원자료'!$A:$T,ROW()+1,MATCH("거래유형",'04A_국토부원자료'!$A$4:$T$4,0)),"")</f>
        <v/>
      </c>
      <c r="N614" s="152">
        <f>IF(B614="","",IF('02_대상물건입력'!B5="",1,IF(ISNUMBER(SEARCH('02_대상물건입력'!B5,B614)),1,0)))</f>
        <v/>
      </c>
      <c r="O614" s="152">
        <f>IF(B614="","",IF('02_대상물건입력'!B6="",1,IF(ISNUMBER(SEARCH('02_대상물건입력'!B6,B614)),1,0)))</f>
        <v/>
      </c>
      <c r="P614" s="152">
        <f>IF(L614="","",IF('02_대상물건입력'!B15="",0,IF(ISNUMBER(SEARCH('02_대상물건입력'!B15,L614)),1,0)))</f>
        <v/>
      </c>
      <c r="Q614" s="152">
        <f>IF(OR(C614="",L614=""),0,IF(AND(TRIM(C614)=TRIM(RIGHT(SUBSTITUTE(TRIM('02_대상물건입력'!$B$7)," ",REPT(" ",99)),99)),IF('02_대상물건입력'!B15="",TRUE(),ISNUMBER(SEARCH('02_대상물건입력'!B15,L614)))),1,0))</f>
        <v/>
      </c>
      <c r="R614" s="175">
        <f>IFERROR(ABS(E614-'02_대상물건입력'!B11)/'02_대상물건입력'!B11,"")</f>
        <v/>
      </c>
      <c r="S614" s="152">
        <f>IFERROR(ABS(J614-'02_대상물건입력'!B10),"")</f>
        <v/>
      </c>
      <c r="T614" s="152">
        <f>IFERROR(ABS('01_설정'!B4-F614),"")</f>
        <v/>
      </c>
      <c r="U614" s="152">
        <f>IFERROR(ABS(K614-YEAR('02_대상물건입력'!B14)),"")</f>
        <v/>
      </c>
      <c r="V614" s="152">
        <f>IF(B614="","",IF(AND(E614&gt;0,F614&gt;0,H614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614=1,TRUE()),R614&lt;='01_설정'!B5,S614&lt;='01_설정'!B6,T614&lt;='01_설정'!B7,U614&lt;='01_설정'!B8),"Y",""))</f>
        <v/>
      </c>
      <c r="W614" s="172">
        <f>IF(V614&lt;&gt;"Y","",MAX(0,(1-R614/'01_설정'!B5))*'01_설정'!B14+MAX(0,(1-S614/'01_설정'!B6))*'01_설정'!B15+MAX(0,(1-T614/'01_설정'!B7))*'01_설정'!B16+MAX(0,(1-U614/'01_설정'!B8))*'01_설정'!B17+O614*'01_설정'!B11+Q614*'01_설정'!B12+P614*'01_설정'!B13+IF(Z614="",0,Z614))</f>
        <v/>
      </c>
      <c r="X614" s="152">
        <f>IF(W614="","",1+COUNTIFS($W$4:$W$3003,"&gt;"&amp;W614)+COUNTIFS($W$4:W614,W614)-1)</f>
        <v/>
      </c>
      <c r="Y614" s="175">
        <f>IF(OR(I614="",'02_대상물건입력'!B19="",'02_대상물건입력'!B19&lt;=0),"",ABS(I614-'02_대상물건입력'!B19)/'02_대상물건입력'!B19)</f>
        <v/>
      </c>
      <c r="Z614" s="172">
        <f>IF(OR(Y614="",'01_설정'!B31="",'01_설정'!B31&lt;=0,'01_설정'!B32="",'01_설정'!B32&lt;=0),"",MAX(0,(1-Y614/'01_설정'!B32))*'01_설정'!B31)</f>
        <v/>
      </c>
    </row>
    <row r="615" ht="17.25" customHeight="1">
      <c r="A615" s="152">
        <f>IF(INDEX('04A_국토부원자료'!$A:$A,ROW()+1)="","",ROW()-3)</f>
        <v/>
      </c>
      <c r="B615" s="48">
        <f>IFERROR(INDEX('04A_국토부원자료'!$A:$T,ROW()+1,MATCH("시군구",'04A_국토부원자료'!$A$4:$T$4,0)),"")</f>
        <v/>
      </c>
      <c r="C615" s="48">
        <f>IF(B615="","",IFERROR(INDEX('04A_국토부원자료'!$A:$T,ROW()+1,MATCH("번지",'04A_국토부원자료'!$A$4:$T$4,0)),""))</f>
        <v/>
      </c>
      <c r="D615" s="48">
        <f>IF(B615="","",IF(Q615=1,'02_대상물건입력'!$B$8,IFERROR(INDEX('04A_국토부원자료'!$A:$T,ROW()+1,MATCH("단지명",'04A_국토부원자료'!$A$4:$T$4,0)),"")))</f>
        <v/>
      </c>
      <c r="E615" s="172">
        <f>IFERROR(VALUE(SUBSTITUTE(INDEX('04A_국토부원자료'!$A:$T,ROW()+1,MATCH("전용면적(㎡)",'04A_국토부원자료'!$A$4:$T$4,0)),",","")),"")</f>
        <v/>
      </c>
      <c r="F6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15" s="51">
        <f>IFERROR(VALUE(SUBSTITUTE(INDEX('04A_국토부원자료'!$A:$T,ROW()+1,MATCH("거래금액(만원)",'04A_국토부원자료'!$A$4:$T$4,0)),",","")),"")</f>
        <v/>
      </c>
      <c r="H615" s="174">
        <f>IF(G615="","",G615*10000)</f>
        <v/>
      </c>
      <c r="I615" s="174">
        <f>IFERROR(IF(AND(H615&gt;0,E615&gt;0),H615/E615,""),"")</f>
        <v/>
      </c>
      <c r="J615" s="152">
        <f>IFERROR(VALUE(SUBSTITUTE(INDEX('04A_국토부원자료'!$A:$T,ROW()+1,MATCH("층",'04A_국토부원자료'!$A$4:$T$4,0)),",","")),"")</f>
        <v/>
      </c>
      <c r="K615" s="152">
        <f>IFERROR(VALUE(SUBSTITUTE(INDEX('04A_국토부원자료'!$A:$T,ROW()+1,MATCH("건축년도",'04A_국토부원자료'!$A$4:$T$4,0)),",","")),"")</f>
        <v/>
      </c>
      <c r="L615" s="176">
        <f>IFERROR(INDEX('04A_국토부원자료'!$A:$T,ROW()+1,MATCH("도로명",'04A_국토부원자료'!$A$4:$T$4,0)),"")</f>
        <v/>
      </c>
      <c r="M615" s="48">
        <f>IFERROR(INDEX('04A_국토부원자료'!$A:$T,ROW()+1,MATCH("거래유형",'04A_국토부원자료'!$A$4:$T$4,0)),"")</f>
        <v/>
      </c>
      <c r="N615" s="152">
        <f>IF(B615="","",IF('02_대상물건입력'!B5="",1,IF(ISNUMBER(SEARCH('02_대상물건입력'!B5,B615)),1,0)))</f>
        <v/>
      </c>
      <c r="O615" s="152">
        <f>IF(B615="","",IF('02_대상물건입력'!B6="",1,IF(ISNUMBER(SEARCH('02_대상물건입력'!B6,B615)),1,0)))</f>
        <v/>
      </c>
      <c r="P615" s="152">
        <f>IF(L615="","",IF('02_대상물건입력'!B15="",0,IF(ISNUMBER(SEARCH('02_대상물건입력'!B15,L615)),1,0)))</f>
        <v/>
      </c>
      <c r="Q615" s="152">
        <f>IF(OR(C615="",L615=""),0,IF(AND(TRIM(C615)=TRIM(RIGHT(SUBSTITUTE(TRIM('02_대상물건입력'!$B$7)," ",REPT(" ",99)),99)),IF('02_대상물건입력'!B15="",TRUE(),ISNUMBER(SEARCH('02_대상물건입력'!B15,L615)))),1,0))</f>
        <v/>
      </c>
      <c r="R615" s="175">
        <f>IFERROR(ABS(E615-'02_대상물건입력'!B11)/'02_대상물건입력'!B11,"")</f>
        <v/>
      </c>
      <c r="S615" s="152">
        <f>IFERROR(ABS(J615-'02_대상물건입력'!B10),"")</f>
        <v/>
      </c>
      <c r="T615" s="152">
        <f>IFERROR(ABS('01_설정'!B4-F615),"")</f>
        <v/>
      </c>
      <c r="U615" s="152">
        <f>IFERROR(ABS(K615-YEAR('02_대상물건입력'!B14)),"")</f>
        <v/>
      </c>
      <c r="V615" s="152">
        <f>IF(B615="","",IF(AND(E615&gt;0,F615&gt;0,H615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615=1,TRUE()),R615&lt;='01_설정'!B5,S615&lt;='01_설정'!B6,T615&lt;='01_설정'!B7,U615&lt;='01_설정'!B8),"Y",""))</f>
        <v/>
      </c>
      <c r="W615" s="172">
        <f>IF(V615&lt;&gt;"Y","",MAX(0,(1-R615/'01_설정'!B5))*'01_설정'!B14+MAX(0,(1-S615/'01_설정'!B6))*'01_설정'!B15+MAX(0,(1-T615/'01_설정'!B7))*'01_설정'!B16+MAX(0,(1-U615/'01_설정'!B8))*'01_설정'!B17+O615*'01_설정'!B11+Q615*'01_설정'!B12+P615*'01_설정'!B13+IF(Z615="",0,Z615))</f>
        <v/>
      </c>
      <c r="X615" s="152">
        <f>IF(W615="","",1+COUNTIFS($W$4:$W$3003,"&gt;"&amp;W615)+COUNTIFS($W$4:W615,W615)-1)</f>
        <v/>
      </c>
      <c r="Y615" s="175">
        <f>IF(OR(I615="",'02_대상물건입력'!B19="",'02_대상물건입력'!B19&lt;=0),"",ABS(I615-'02_대상물건입력'!B19)/'02_대상물건입력'!B19)</f>
        <v/>
      </c>
      <c r="Z615" s="172">
        <f>IF(OR(Y615="",'01_설정'!B31="",'01_설정'!B31&lt;=0,'01_설정'!B32="",'01_설정'!B32&lt;=0),"",MAX(0,(1-Y615/'01_설정'!B32))*'01_설정'!B31)</f>
        <v/>
      </c>
    </row>
    <row r="616" ht="17.25" customHeight="1">
      <c r="A616" s="152">
        <f>IF(INDEX('04A_국토부원자료'!$A:$A,ROW()+1)="","",ROW()-3)</f>
        <v/>
      </c>
      <c r="B616" s="48">
        <f>IFERROR(INDEX('04A_국토부원자료'!$A:$T,ROW()+1,MATCH("시군구",'04A_국토부원자료'!$A$4:$T$4,0)),"")</f>
        <v/>
      </c>
      <c r="C616" s="48">
        <f>IF(B616="","",IFERROR(INDEX('04A_국토부원자료'!$A:$T,ROW()+1,MATCH("번지",'04A_국토부원자료'!$A$4:$T$4,0)),""))</f>
        <v/>
      </c>
      <c r="D616" s="48">
        <f>IF(B616="","",IF(Q616=1,'02_대상물건입력'!$B$8,IFERROR(INDEX('04A_국토부원자료'!$A:$T,ROW()+1,MATCH("단지명",'04A_국토부원자료'!$A$4:$T$4,0)),"")))</f>
        <v/>
      </c>
      <c r="E616" s="172">
        <f>IFERROR(VALUE(SUBSTITUTE(INDEX('04A_국토부원자료'!$A:$T,ROW()+1,MATCH("전용면적(㎡)",'04A_국토부원자료'!$A$4:$T$4,0)),",","")),"")</f>
        <v/>
      </c>
      <c r="F6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16" s="51">
        <f>IFERROR(VALUE(SUBSTITUTE(INDEX('04A_국토부원자료'!$A:$T,ROW()+1,MATCH("거래금액(만원)",'04A_국토부원자료'!$A$4:$T$4,0)),",","")),"")</f>
        <v/>
      </c>
      <c r="H616" s="174">
        <f>IF(G616="","",G616*10000)</f>
        <v/>
      </c>
      <c r="I616" s="174">
        <f>IFERROR(IF(AND(H616&gt;0,E616&gt;0),H616/E616,""),"")</f>
        <v/>
      </c>
      <c r="J616" s="152">
        <f>IFERROR(VALUE(SUBSTITUTE(INDEX('04A_국토부원자료'!$A:$T,ROW()+1,MATCH("층",'04A_국토부원자료'!$A$4:$T$4,0)),",","")),"")</f>
        <v/>
      </c>
      <c r="K616" s="152">
        <f>IFERROR(VALUE(SUBSTITUTE(INDEX('04A_국토부원자료'!$A:$T,ROW()+1,MATCH("건축년도",'04A_국토부원자료'!$A$4:$T$4,0)),",","")),"")</f>
        <v/>
      </c>
      <c r="L616" s="176">
        <f>IFERROR(INDEX('04A_국토부원자료'!$A:$T,ROW()+1,MATCH("도로명",'04A_국토부원자료'!$A$4:$T$4,0)),"")</f>
        <v/>
      </c>
      <c r="M616" s="48">
        <f>IFERROR(INDEX('04A_국토부원자료'!$A:$T,ROW()+1,MATCH("거래유형",'04A_국토부원자료'!$A$4:$T$4,0)),"")</f>
        <v/>
      </c>
      <c r="N616" s="152">
        <f>IF(B616="","",IF('02_대상물건입력'!B5="",1,IF(ISNUMBER(SEARCH('02_대상물건입력'!B5,B616)),1,0)))</f>
        <v/>
      </c>
      <c r="O616" s="152">
        <f>IF(B616="","",IF('02_대상물건입력'!B6="",1,IF(ISNUMBER(SEARCH('02_대상물건입력'!B6,B616)),1,0)))</f>
        <v/>
      </c>
      <c r="P616" s="152">
        <f>IF(L616="","",IF('02_대상물건입력'!B15="",0,IF(ISNUMBER(SEARCH('02_대상물건입력'!B15,L616)),1,0)))</f>
        <v/>
      </c>
      <c r="Q616" s="152">
        <f>IF(OR(C616="",L616=""),0,IF(AND(TRIM(C616)=TRIM(RIGHT(SUBSTITUTE(TRIM('02_대상물건입력'!$B$7)," ",REPT(" ",99)),99)),IF('02_대상물건입력'!B15="",TRUE(),ISNUMBER(SEARCH('02_대상물건입력'!B15,L616)))),1,0))</f>
        <v/>
      </c>
      <c r="R616" s="175">
        <f>IFERROR(ABS(E616-'02_대상물건입력'!B11)/'02_대상물건입력'!B11,"")</f>
        <v/>
      </c>
      <c r="S616" s="152">
        <f>IFERROR(ABS(J616-'02_대상물건입력'!B10),"")</f>
        <v/>
      </c>
      <c r="T616" s="152">
        <f>IFERROR(ABS('01_설정'!B4-F616),"")</f>
        <v/>
      </c>
      <c r="U616" s="152">
        <f>IFERROR(ABS(K616-YEAR('02_대상물건입력'!B14)),"")</f>
        <v/>
      </c>
      <c r="V616" s="152">
        <f>IF(B616="","",IF(AND(E616&gt;0,F616&gt;0,H616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616=1,TRUE()),R616&lt;='01_설정'!B5,S616&lt;='01_설정'!B6,T616&lt;='01_설정'!B7,U616&lt;='01_설정'!B8),"Y",""))</f>
        <v/>
      </c>
      <c r="W616" s="172">
        <f>IF(V616&lt;&gt;"Y","",MAX(0,(1-R616/'01_설정'!B5))*'01_설정'!B14+MAX(0,(1-S616/'01_설정'!B6))*'01_설정'!B15+MAX(0,(1-T616/'01_설정'!B7))*'01_설정'!B16+MAX(0,(1-U616/'01_설정'!B8))*'01_설정'!B17+O616*'01_설정'!B11+Q616*'01_설정'!B12+P616*'01_설정'!B13+IF(Z616="",0,Z616))</f>
        <v/>
      </c>
      <c r="X616" s="152">
        <f>IF(W616="","",1+COUNTIFS($W$4:$W$3003,"&gt;"&amp;W616)+COUNTIFS($W$4:W616,W616)-1)</f>
        <v/>
      </c>
      <c r="Y616" s="175">
        <f>IF(OR(I616="",'02_대상물건입력'!B19="",'02_대상물건입력'!B19&lt;=0),"",ABS(I616-'02_대상물건입력'!B19)/'02_대상물건입력'!B19)</f>
        <v/>
      </c>
      <c r="Z616" s="172">
        <f>IF(OR(Y616="",'01_설정'!B31="",'01_설정'!B31&lt;=0,'01_설정'!B32="",'01_설정'!B32&lt;=0),"",MAX(0,(1-Y616/'01_설정'!B32))*'01_설정'!B31)</f>
        <v/>
      </c>
    </row>
    <row r="617" ht="17.25" customHeight="1">
      <c r="A617" s="152">
        <f>IF(INDEX('04A_국토부원자료'!$A:$A,ROW()+1)="","",ROW()-3)</f>
        <v/>
      </c>
      <c r="B617" s="48">
        <f>IFERROR(INDEX('04A_국토부원자료'!$A:$T,ROW()+1,MATCH("시군구",'04A_국토부원자료'!$A$4:$T$4,0)),"")</f>
        <v/>
      </c>
      <c r="C617" s="48">
        <f>IF(B617="","",IFERROR(INDEX('04A_국토부원자료'!$A:$T,ROW()+1,MATCH("번지",'04A_국토부원자료'!$A$4:$T$4,0)),""))</f>
        <v/>
      </c>
      <c r="D617" s="48">
        <f>IF(B617="","",IF(Q617=1,'02_대상물건입력'!$B$8,IFERROR(INDEX('04A_국토부원자료'!$A:$T,ROW()+1,MATCH("단지명",'04A_국토부원자료'!$A$4:$T$4,0)),"")))</f>
        <v/>
      </c>
      <c r="E617" s="172">
        <f>IFERROR(VALUE(SUBSTITUTE(INDEX('04A_국토부원자료'!$A:$T,ROW()+1,MATCH("전용면적(㎡)",'04A_국토부원자료'!$A$4:$T$4,0)),",","")),"")</f>
        <v/>
      </c>
      <c r="F6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17" s="51">
        <f>IFERROR(VALUE(SUBSTITUTE(INDEX('04A_국토부원자료'!$A:$T,ROW()+1,MATCH("거래금액(만원)",'04A_국토부원자료'!$A$4:$T$4,0)),",","")),"")</f>
        <v/>
      </c>
      <c r="H617" s="174">
        <f>IF(G617="","",G617*10000)</f>
        <v/>
      </c>
      <c r="I617" s="174">
        <f>IFERROR(IF(AND(H617&gt;0,E617&gt;0),H617/E617,""),"")</f>
        <v/>
      </c>
      <c r="J617" s="152">
        <f>IFERROR(VALUE(SUBSTITUTE(INDEX('04A_국토부원자료'!$A:$T,ROW()+1,MATCH("층",'04A_국토부원자료'!$A$4:$T$4,0)),",","")),"")</f>
        <v/>
      </c>
      <c r="K617" s="152">
        <f>IFERROR(VALUE(SUBSTITUTE(INDEX('04A_국토부원자료'!$A:$T,ROW()+1,MATCH("건축년도",'04A_국토부원자료'!$A$4:$T$4,0)),",","")),"")</f>
        <v/>
      </c>
      <c r="L617" s="176">
        <f>IFERROR(INDEX('04A_국토부원자료'!$A:$T,ROW()+1,MATCH("도로명",'04A_국토부원자료'!$A$4:$T$4,0)),"")</f>
        <v/>
      </c>
      <c r="M617" s="48">
        <f>IFERROR(INDEX('04A_국토부원자료'!$A:$T,ROW()+1,MATCH("거래유형",'04A_국토부원자료'!$A$4:$T$4,0)),"")</f>
        <v/>
      </c>
      <c r="N617" s="152">
        <f>IF(B617="","",IF('02_대상물건입력'!B5="",1,IF(ISNUMBER(SEARCH('02_대상물건입력'!B5,B617)),1,0)))</f>
        <v/>
      </c>
      <c r="O617" s="152">
        <f>IF(B617="","",IF('02_대상물건입력'!B6="",1,IF(ISNUMBER(SEARCH('02_대상물건입력'!B6,B617)),1,0)))</f>
        <v/>
      </c>
      <c r="P617" s="152">
        <f>IF(L617="","",IF('02_대상물건입력'!B15="",0,IF(ISNUMBER(SEARCH('02_대상물건입력'!B15,L617)),1,0)))</f>
        <v/>
      </c>
      <c r="Q617" s="152">
        <f>IF(OR(C617="",L617=""),0,IF(AND(TRIM(C617)=TRIM(RIGHT(SUBSTITUTE(TRIM('02_대상물건입력'!$B$7)," ",REPT(" ",99)),99)),IF('02_대상물건입력'!B15="",TRUE(),ISNUMBER(SEARCH('02_대상물건입력'!B15,L617)))),1,0))</f>
        <v/>
      </c>
      <c r="R617" s="175">
        <f>IFERROR(ABS(E617-'02_대상물건입력'!B11)/'02_대상물건입력'!B11,"")</f>
        <v/>
      </c>
      <c r="S617" s="152">
        <f>IFERROR(ABS(J617-'02_대상물건입력'!B10),"")</f>
        <v/>
      </c>
      <c r="T617" s="152">
        <f>IFERROR(ABS('01_설정'!B4-F617),"")</f>
        <v/>
      </c>
      <c r="U617" s="152">
        <f>IFERROR(ABS(K617-YEAR('02_대상물건입력'!B14)),"")</f>
        <v/>
      </c>
      <c r="V617" s="152">
        <f>IF(B617="","",IF(AND(E617&gt;0,F617&gt;0,H617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617=1,TRUE()),R617&lt;='01_설정'!B5,S617&lt;='01_설정'!B6,T617&lt;='01_설정'!B7,U617&lt;='01_설정'!B8),"Y",""))</f>
        <v/>
      </c>
      <c r="W617" s="172">
        <f>IF(V617&lt;&gt;"Y","",MAX(0,(1-R617/'01_설정'!B5))*'01_설정'!B14+MAX(0,(1-S617/'01_설정'!B6))*'01_설정'!B15+MAX(0,(1-T617/'01_설정'!B7))*'01_설정'!B16+MAX(0,(1-U617/'01_설정'!B8))*'01_설정'!B17+O617*'01_설정'!B11+Q617*'01_설정'!B12+P617*'01_설정'!B13+IF(Z617="",0,Z617))</f>
        <v/>
      </c>
      <c r="X617" s="152">
        <f>IF(W617="","",1+COUNTIFS($W$4:$W$3003,"&gt;"&amp;W617)+COUNTIFS($W$4:W617,W617)-1)</f>
        <v/>
      </c>
      <c r="Y617" s="175">
        <f>IF(OR(I617="",'02_대상물건입력'!B19="",'02_대상물건입력'!B19&lt;=0),"",ABS(I617-'02_대상물건입력'!B19)/'02_대상물건입력'!B19)</f>
        <v/>
      </c>
      <c r="Z617" s="172">
        <f>IF(OR(Y617="",'01_설정'!B31="",'01_설정'!B31&lt;=0,'01_설정'!B32="",'01_설정'!B32&lt;=0),"",MAX(0,(1-Y617/'01_설정'!B32))*'01_설정'!B31)</f>
        <v/>
      </c>
    </row>
    <row r="618" ht="17.25" customHeight="1">
      <c r="A618" s="152">
        <f>IF(INDEX('04A_국토부원자료'!$A:$A,ROW()+1)="","",ROW()-3)</f>
        <v/>
      </c>
      <c r="B618" s="48">
        <f>IFERROR(INDEX('04A_국토부원자료'!$A:$T,ROW()+1,MATCH("시군구",'04A_국토부원자료'!$A$4:$T$4,0)),"")</f>
        <v/>
      </c>
      <c r="C618" s="48">
        <f>IF(B618="","",IFERROR(INDEX('04A_국토부원자료'!$A:$T,ROW()+1,MATCH("번지",'04A_국토부원자료'!$A$4:$T$4,0)),""))</f>
        <v/>
      </c>
      <c r="D618" s="48">
        <f>IF(B618="","",IF(Q618=1,'02_대상물건입력'!$B$8,IFERROR(INDEX('04A_국토부원자료'!$A:$T,ROW()+1,MATCH("단지명",'04A_국토부원자료'!$A$4:$T$4,0)),"")))</f>
        <v/>
      </c>
      <c r="E618" s="172">
        <f>IFERROR(VALUE(SUBSTITUTE(INDEX('04A_국토부원자료'!$A:$T,ROW()+1,MATCH("전용면적(㎡)",'04A_국토부원자료'!$A$4:$T$4,0)),",","")),"")</f>
        <v/>
      </c>
      <c r="F6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18" s="51">
        <f>IFERROR(VALUE(SUBSTITUTE(INDEX('04A_국토부원자료'!$A:$T,ROW()+1,MATCH("거래금액(만원)",'04A_국토부원자료'!$A$4:$T$4,0)),",","")),"")</f>
        <v/>
      </c>
      <c r="H618" s="174">
        <f>IF(G618="","",G618*10000)</f>
        <v/>
      </c>
      <c r="I618" s="174">
        <f>IFERROR(IF(AND(H618&gt;0,E618&gt;0),H618/E618,""),"")</f>
        <v/>
      </c>
      <c r="J618" s="152">
        <f>IFERROR(VALUE(SUBSTITUTE(INDEX('04A_국토부원자료'!$A:$T,ROW()+1,MATCH("층",'04A_국토부원자료'!$A$4:$T$4,0)),",","")),"")</f>
        <v/>
      </c>
      <c r="K618" s="152">
        <f>IFERROR(VALUE(SUBSTITUTE(INDEX('04A_국토부원자료'!$A:$T,ROW()+1,MATCH("건축년도",'04A_국토부원자료'!$A$4:$T$4,0)),",","")),"")</f>
        <v/>
      </c>
      <c r="L618" s="176">
        <f>IFERROR(INDEX('04A_국토부원자료'!$A:$T,ROW()+1,MATCH("도로명",'04A_국토부원자료'!$A$4:$T$4,0)),"")</f>
        <v/>
      </c>
      <c r="M618" s="48">
        <f>IFERROR(INDEX('04A_국토부원자료'!$A:$T,ROW()+1,MATCH("거래유형",'04A_국토부원자료'!$A$4:$T$4,0)),"")</f>
        <v/>
      </c>
      <c r="N618" s="152">
        <f>IF(B618="","",IF('02_대상물건입력'!B5="",1,IF(ISNUMBER(SEARCH('02_대상물건입력'!B5,B618)),1,0)))</f>
        <v/>
      </c>
      <c r="O618" s="152">
        <f>IF(B618="","",IF('02_대상물건입력'!B6="",1,IF(ISNUMBER(SEARCH('02_대상물건입력'!B6,B618)),1,0)))</f>
        <v/>
      </c>
      <c r="P618" s="152">
        <f>IF(L618="","",IF('02_대상물건입력'!B15="",0,IF(ISNUMBER(SEARCH('02_대상물건입력'!B15,L618)),1,0)))</f>
        <v/>
      </c>
      <c r="Q618" s="152">
        <f>IF(OR(C618="",L618=""),0,IF(AND(TRIM(C618)=TRIM(RIGHT(SUBSTITUTE(TRIM('02_대상물건입력'!$B$7)," ",REPT(" ",99)),99)),IF('02_대상물건입력'!B15="",TRUE(),ISNUMBER(SEARCH('02_대상물건입력'!B15,L618)))),1,0))</f>
        <v/>
      </c>
      <c r="R618" s="175">
        <f>IFERROR(ABS(E618-'02_대상물건입력'!B11)/'02_대상물건입력'!B11,"")</f>
        <v/>
      </c>
      <c r="S618" s="152">
        <f>IFERROR(ABS(J618-'02_대상물건입력'!B10),"")</f>
        <v/>
      </c>
      <c r="T618" s="152">
        <f>IFERROR(ABS('01_설정'!B4-F618),"")</f>
        <v/>
      </c>
      <c r="U618" s="152">
        <f>IFERROR(ABS(K618-YEAR('02_대상물건입력'!B14)),"")</f>
        <v/>
      </c>
      <c r="V618" s="152">
        <f>IF(B618="","",IF(AND(E618&gt;0,F618&gt;0,H618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618=1,TRUE()),R618&lt;='01_설정'!B5,S618&lt;='01_설정'!B6,T618&lt;='01_설정'!B7,U618&lt;='01_설정'!B8),"Y",""))</f>
        <v/>
      </c>
      <c r="W618" s="172">
        <f>IF(V618&lt;&gt;"Y","",MAX(0,(1-R618/'01_설정'!B5))*'01_설정'!B14+MAX(0,(1-S618/'01_설정'!B6))*'01_설정'!B15+MAX(0,(1-T618/'01_설정'!B7))*'01_설정'!B16+MAX(0,(1-U618/'01_설정'!B8))*'01_설정'!B17+O618*'01_설정'!B11+Q618*'01_설정'!B12+P618*'01_설정'!B13+IF(Z618="",0,Z618))</f>
        <v/>
      </c>
      <c r="X618" s="152">
        <f>IF(W618="","",1+COUNTIFS($W$4:$W$3003,"&gt;"&amp;W618)+COUNTIFS($W$4:W618,W618)-1)</f>
        <v/>
      </c>
      <c r="Y618" s="175">
        <f>IF(OR(I618="",'02_대상물건입력'!B19="",'02_대상물건입력'!B19&lt;=0),"",ABS(I618-'02_대상물건입력'!B19)/'02_대상물건입력'!B19)</f>
        <v/>
      </c>
      <c r="Z618" s="172">
        <f>IF(OR(Y618="",'01_설정'!B31="",'01_설정'!B31&lt;=0,'01_설정'!B32="",'01_설정'!B32&lt;=0),"",MAX(0,(1-Y618/'01_설정'!B32))*'01_설정'!B31)</f>
        <v/>
      </c>
    </row>
    <row r="619" ht="17.25" customHeight="1">
      <c r="A619" s="152">
        <f>IF(INDEX('04A_국토부원자료'!$A:$A,ROW()+1)="","",ROW()-3)</f>
        <v/>
      </c>
      <c r="B619" s="48">
        <f>IFERROR(INDEX('04A_국토부원자료'!$A:$T,ROW()+1,MATCH("시군구",'04A_국토부원자료'!$A$4:$T$4,0)),"")</f>
        <v/>
      </c>
      <c r="C619" s="48">
        <f>IF(B619="","",IFERROR(INDEX('04A_국토부원자료'!$A:$T,ROW()+1,MATCH("번지",'04A_국토부원자료'!$A$4:$T$4,0)),""))</f>
        <v/>
      </c>
      <c r="D619" s="48">
        <f>IF(B619="","",IF(Q619=1,'02_대상물건입력'!$B$8,IFERROR(INDEX('04A_국토부원자료'!$A:$T,ROW()+1,MATCH("단지명",'04A_국토부원자료'!$A$4:$T$4,0)),"")))</f>
        <v/>
      </c>
      <c r="E619" s="172">
        <f>IFERROR(VALUE(SUBSTITUTE(INDEX('04A_국토부원자료'!$A:$T,ROW()+1,MATCH("전용면적(㎡)",'04A_국토부원자료'!$A$4:$T$4,0)),",","")),"")</f>
        <v/>
      </c>
      <c r="F6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19" s="51">
        <f>IFERROR(VALUE(SUBSTITUTE(INDEX('04A_국토부원자료'!$A:$T,ROW()+1,MATCH("거래금액(만원)",'04A_국토부원자료'!$A$4:$T$4,0)),",","")),"")</f>
        <v/>
      </c>
      <c r="H619" s="174">
        <f>IF(G619="","",G619*10000)</f>
        <v/>
      </c>
      <c r="I619" s="174">
        <f>IFERROR(IF(AND(H619&gt;0,E619&gt;0),H619/E619,""),"")</f>
        <v/>
      </c>
      <c r="J619" s="152">
        <f>IFERROR(VALUE(SUBSTITUTE(INDEX('04A_국토부원자료'!$A:$T,ROW()+1,MATCH("층",'04A_국토부원자료'!$A$4:$T$4,0)),",","")),"")</f>
        <v/>
      </c>
      <c r="K619" s="152">
        <f>IFERROR(VALUE(SUBSTITUTE(INDEX('04A_국토부원자료'!$A:$T,ROW()+1,MATCH("건축년도",'04A_국토부원자료'!$A$4:$T$4,0)),",","")),"")</f>
        <v/>
      </c>
      <c r="L619" s="176">
        <f>IFERROR(INDEX('04A_국토부원자료'!$A:$T,ROW()+1,MATCH("도로명",'04A_국토부원자료'!$A$4:$T$4,0)),"")</f>
        <v/>
      </c>
      <c r="M619" s="48">
        <f>IFERROR(INDEX('04A_국토부원자료'!$A:$T,ROW()+1,MATCH("거래유형",'04A_국토부원자료'!$A$4:$T$4,0)),"")</f>
        <v/>
      </c>
      <c r="N619" s="152">
        <f>IF(B619="","",IF('02_대상물건입력'!B5="",1,IF(ISNUMBER(SEARCH('02_대상물건입력'!B5,B619)),1,0)))</f>
        <v/>
      </c>
      <c r="O619" s="152">
        <f>IF(B619="","",IF('02_대상물건입력'!B6="",1,IF(ISNUMBER(SEARCH('02_대상물건입력'!B6,B619)),1,0)))</f>
        <v/>
      </c>
      <c r="P619" s="152">
        <f>IF(L619="","",IF('02_대상물건입력'!B15="",0,IF(ISNUMBER(SEARCH('02_대상물건입력'!B15,L619)),1,0)))</f>
        <v/>
      </c>
      <c r="Q619" s="152">
        <f>IF(OR(C619="",L619=""),0,IF(AND(TRIM(C619)=TRIM(RIGHT(SUBSTITUTE(TRIM('02_대상물건입력'!$B$7)," ",REPT(" ",99)),99)),IF('02_대상물건입력'!B15="",TRUE(),ISNUMBER(SEARCH('02_대상물건입력'!B15,L619)))),1,0))</f>
        <v/>
      </c>
      <c r="R619" s="175">
        <f>IFERROR(ABS(E619-'02_대상물건입력'!B11)/'02_대상물건입력'!B11,"")</f>
        <v/>
      </c>
      <c r="S619" s="152">
        <f>IFERROR(ABS(J619-'02_대상물건입력'!B10),"")</f>
        <v/>
      </c>
      <c r="T619" s="152">
        <f>IFERROR(ABS('01_설정'!B4-F619),"")</f>
        <v/>
      </c>
      <c r="U619" s="152">
        <f>IFERROR(ABS(K619-YEAR('02_대상물건입력'!B14)),"")</f>
        <v/>
      </c>
      <c r="V619" s="152">
        <f>IF(B619="","",IF(AND(E619&gt;0,F619&gt;0,H619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619=1,TRUE()),R619&lt;='01_설정'!B5,S619&lt;='01_설정'!B6,T619&lt;='01_설정'!B7,U619&lt;='01_설정'!B8),"Y",""))</f>
        <v/>
      </c>
      <c r="W619" s="172">
        <f>IF(V619&lt;&gt;"Y","",MAX(0,(1-R619/'01_설정'!B5))*'01_설정'!B14+MAX(0,(1-S619/'01_설정'!B6))*'01_설정'!B15+MAX(0,(1-T619/'01_설정'!B7))*'01_설정'!B16+MAX(0,(1-U619/'01_설정'!B8))*'01_설정'!B17+O619*'01_설정'!B11+Q619*'01_설정'!B12+P619*'01_설정'!B13+IF(Z619="",0,Z619))</f>
        <v/>
      </c>
      <c r="X619" s="152">
        <f>IF(W619="","",1+COUNTIFS($W$4:$W$3003,"&gt;"&amp;W619)+COUNTIFS($W$4:W619,W619)-1)</f>
        <v/>
      </c>
      <c r="Y619" s="175">
        <f>IF(OR(I619="",'02_대상물건입력'!B19="",'02_대상물건입력'!B19&lt;=0),"",ABS(I619-'02_대상물건입력'!B19)/'02_대상물건입력'!B19)</f>
        <v/>
      </c>
      <c r="Z619" s="172">
        <f>IF(OR(Y619="",'01_설정'!B31="",'01_설정'!B31&lt;=0,'01_설정'!B32="",'01_설정'!B32&lt;=0),"",MAX(0,(1-Y619/'01_설정'!B32))*'01_설정'!B31)</f>
        <v/>
      </c>
    </row>
    <row r="620" ht="17.25" customHeight="1">
      <c r="A620" s="152">
        <f>IF(INDEX('04A_국토부원자료'!$A:$A,ROW()+1)="","",ROW()-3)</f>
        <v/>
      </c>
      <c r="B620" s="48">
        <f>IFERROR(INDEX('04A_국토부원자료'!$A:$T,ROW()+1,MATCH("시군구",'04A_국토부원자료'!$A$4:$T$4,0)),"")</f>
        <v/>
      </c>
      <c r="C620" s="48">
        <f>IF(B620="","",IFERROR(INDEX('04A_국토부원자료'!$A:$T,ROW()+1,MATCH("번지",'04A_국토부원자료'!$A$4:$T$4,0)),""))</f>
        <v/>
      </c>
      <c r="D620" s="48">
        <f>IF(B620="","",IF(Q620=1,'02_대상물건입력'!$B$8,IFERROR(INDEX('04A_국토부원자료'!$A:$T,ROW()+1,MATCH("단지명",'04A_국토부원자료'!$A$4:$T$4,0)),"")))</f>
        <v/>
      </c>
      <c r="E620" s="172">
        <f>IFERROR(VALUE(SUBSTITUTE(INDEX('04A_국토부원자료'!$A:$T,ROW()+1,MATCH("전용면적(㎡)",'04A_국토부원자료'!$A$4:$T$4,0)),",","")),"")</f>
        <v/>
      </c>
      <c r="F6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20" s="51">
        <f>IFERROR(VALUE(SUBSTITUTE(INDEX('04A_국토부원자료'!$A:$T,ROW()+1,MATCH("거래금액(만원)",'04A_국토부원자료'!$A$4:$T$4,0)),",","")),"")</f>
        <v/>
      </c>
      <c r="H620" s="174">
        <f>IF(G620="","",G620*10000)</f>
        <v/>
      </c>
      <c r="I620" s="174">
        <f>IFERROR(IF(AND(H620&gt;0,E620&gt;0),H620/E620,""),"")</f>
        <v/>
      </c>
      <c r="J620" s="152">
        <f>IFERROR(VALUE(SUBSTITUTE(INDEX('04A_국토부원자료'!$A:$T,ROW()+1,MATCH("층",'04A_국토부원자료'!$A$4:$T$4,0)),",","")),"")</f>
        <v/>
      </c>
      <c r="K620" s="152">
        <f>IFERROR(VALUE(SUBSTITUTE(INDEX('04A_국토부원자료'!$A:$T,ROW()+1,MATCH("건축년도",'04A_국토부원자료'!$A$4:$T$4,0)),",","")),"")</f>
        <v/>
      </c>
      <c r="L620" s="176">
        <f>IFERROR(INDEX('04A_국토부원자료'!$A:$T,ROW()+1,MATCH("도로명",'04A_국토부원자료'!$A$4:$T$4,0)),"")</f>
        <v/>
      </c>
      <c r="M620" s="48">
        <f>IFERROR(INDEX('04A_국토부원자료'!$A:$T,ROW()+1,MATCH("거래유형",'04A_국토부원자료'!$A$4:$T$4,0)),"")</f>
        <v/>
      </c>
      <c r="N620" s="152">
        <f>IF(B620="","",IF('02_대상물건입력'!B5="",1,IF(ISNUMBER(SEARCH('02_대상물건입력'!B5,B620)),1,0)))</f>
        <v/>
      </c>
      <c r="O620" s="152">
        <f>IF(B620="","",IF('02_대상물건입력'!B6="",1,IF(ISNUMBER(SEARCH('02_대상물건입력'!B6,B620)),1,0)))</f>
        <v/>
      </c>
      <c r="P620" s="152">
        <f>IF(L620="","",IF('02_대상물건입력'!B15="",0,IF(ISNUMBER(SEARCH('02_대상물건입력'!B15,L620)),1,0)))</f>
        <v/>
      </c>
      <c r="Q620" s="152">
        <f>IF(OR(C620="",L620=""),0,IF(AND(TRIM(C620)=TRIM(RIGHT(SUBSTITUTE(TRIM('02_대상물건입력'!$B$7)," ",REPT(" ",99)),99)),IF('02_대상물건입력'!B15="",TRUE(),ISNUMBER(SEARCH('02_대상물건입력'!B15,L620)))),1,0))</f>
        <v/>
      </c>
      <c r="R620" s="175">
        <f>IFERROR(ABS(E620-'02_대상물건입력'!B11)/'02_대상물건입력'!B11,"")</f>
        <v/>
      </c>
      <c r="S620" s="152">
        <f>IFERROR(ABS(J620-'02_대상물건입력'!B10),"")</f>
        <v/>
      </c>
      <c r="T620" s="152">
        <f>IFERROR(ABS('01_설정'!B4-F620),"")</f>
        <v/>
      </c>
      <c r="U620" s="152">
        <f>IFERROR(ABS(K620-YEAR('02_대상물건입력'!B14)),"")</f>
        <v/>
      </c>
      <c r="V620" s="152">
        <f>IF(B620="","",IF(AND(E620&gt;0,F620&gt;0,H620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620=1,TRUE()),R620&lt;='01_설정'!B5,S620&lt;='01_설정'!B6,T620&lt;='01_설정'!B7,U620&lt;='01_설정'!B8),"Y",""))</f>
        <v/>
      </c>
      <c r="W620" s="172">
        <f>IF(V620&lt;&gt;"Y","",MAX(0,(1-R620/'01_설정'!B5))*'01_설정'!B14+MAX(0,(1-S620/'01_설정'!B6))*'01_설정'!B15+MAX(0,(1-T620/'01_설정'!B7))*'01_설정'!B16+MAX(0,(1-U620/'01_설정'!B8))*'01_설정'!B17+O620*'01_설정'!B11+Q620*'01_설정'!B12+P620*'01_설정'!B13+IF(Z620="",0,Z620))</f>
        <v/>
      </c>
      <c r="X620" s="152">
        <f>IF(W620="","",1+COUNTIFS($W$4:$W$3003,"&gt;"&amp;W620)+COUNTIFS($W$4:W620,W620)-1)</f>
        <v/>
      </c>
      <c r="Y620" s="175">
        <f>IF(OR(I620="",'02_대상물건입력'!B19="",'02_대상물건입력'!B19&lt;=0),"",ABS(I620-'02_대상물건입력'!B19)/'02_대상물건입력'!B19)</f>
        <v/>
      </c>
      <c r="Z620" s="172">
        <f>IF(OR(Y620="",'01_설정'!B31="",'01_설정'!B31&lt;=0,'01_설정'!B32="",'01_설정'!B32&lt;=0),"",MAX(0,(1-Y620/'01_설정'!B32))*'01_설정'!B31)</f>
        <v/>
      </c>
    </row>
    <row r="621" ht="17.25" customHeight="1">
      <c r="A621" s="152">
        <f>IF(INDEX('04A_국토부원자료'!$A:$A,ROW()+1)="","",ROW()-3)</f>
        <v/>
      </c>
      <c r="B621" s="48">
        <f>IFERROR(INDEX('04A_국토부원자료'!$A:$T,ROW()+1,MATCH("시군구",'04A_국토부원자료'!$A$4:$T$4,0)),"")</f>
        <v/>
      </c>
      <c r="C621" s="48">
        <f>IF(B621="","",IFERROR(INDEX('04A_국토부원자료'!$A:$T,ROW()+1,MATCH("번지",'04A_국토부원자료'!$A$4:$T$4,0)),""))</f>
        <v/>
      </c>
      <c r="D621" s="48">
        <f>IF(B621="","",IF(Q621=1,'02_대상물건입력'!$B$8,IFERROR(INDEX('04A_국토부원자료'!$A:$T,ROW()+1,MATCH("단지명",'04A_국토부원자료'!$A$4:$T$4,0)),"")))</f>
        <v/>
      </c>
      <c r="E621" s="172">
        <f>IFERROR(VALUE(SUBSTITUTE(INDEX('04A_국토부원자료'!$A:$T,ROW()+1,MATCH("전용면적(㎡)",'04A_국토부원자료'!$A$4:$T$4,0)),",","")),"")</f>
        <v/>
      </c>
      <c r="F6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21" s="51">
        <f>IFERROR(VALUE(SUBSTITUTE(INDEX('04A_국토부원자료'!$A:$T,ROW()+1,MATCH("거래금액(만원)",'04A_국토부원자료'!$A$4:$T$4,0)),",","")),"")</f>
        <v/>
      </c>
      <c r="H621" s="174">
        <f>IF(G621="","",G621*10000)</f>
        <v/>
      </c>
      <c r="I621" s="174">
        <f>IFERROR(IF(AND(H621&gt;0,E621&gt;0),H621/E621,""),"")</f>
        <v/>
      </c>
      <c r="J621" s="152">
        <f>IFERROR(VALUE(SUBSTITUTE(INDEX('04A_국토부원자료'!$A:$T,ROW()+1,MATCH("층",'04A_국토부원자료'!$A$4:$T$4,0)),",","")),"")</f>
        <v/>
      </c>
      <c r="K621" s="152">
        <f>IFERROR(VALUE(SUBSTITUTE(INDEX('04A_국토부원자료'!$A:$T,ROW()+1,MATCH("건축년도",'04A_국토부원자료'!$A$4:$T$4,0)),",","")),"")</f>
        <v/>
      </c>
      <c r="L621" s="176">
        <f>IFERROR(INDEX('04A_국토부원자료'!$A:$T,ROW()+1,MATCH("도로명",'04A_국토부원자료'!$A$4:$T$4,0)),"")</f>
        <v/>
      </c>
      <c r="M621" s="48">
        <f>IFERROR(INDEX('04A_국토부원자료'!$A:$T,ROW()+1,MATCH("거래유형",'04A_국토부원자료'!$A$4:$T$4,0)),"")</f>
        <v/>
      </c>
      <c r="N621" s="152">
        <f>IF(B621="","",IF('02_대상물건입력'!B5="",1,IF(ISNUMBER(SEARCH('02_대상물건입력'!B5,B621)),1,0)))</f>
        <v/>
      </c>
      <c r="O621" s="152">
        <f>IF(B621="","",IF('02_대상물건입력'!B6="",1,IF(ISNUMBER(SEARCH('02_대상물건입력'!B6,B621)),1,0)))</f>
        <v/>
      </c>
      <c r="P621" s="152">
        <f>IF(L621="","",IF('02_대상물건입력'!B15="",0,IF(ISNUMBER(SEARCH('02_대상물건입력'!B15,L621)),1,0)))</f>
        <v/>
      </c>
      <c r="Q621" s="152">
        <f>IF(OR(C621="",L621=""),0,IF(AND(TRIM(C621)=TRIM(RIGHT(SUBSTITUTE(TRIM('02_대상물건입력'!$B$7)," ",REPT(" ",99)),99)),IF('02_대상물건입력'!B15="",TRUE(),ISNUMBER(SEARCH('02_대상물건입력'!B15,L621)))),1,0))</f>
        <v/>
      </c>
      <c r="R621" s="175">
        <f>IFERROR(ABS(E621-'02_대상물건입력'!B11)/'02_대상물건입력'!B11,"")</f>
        <v/>
      </c>
      <c r="S621" s="152">
        <f>IFERROR(ABS(J621-'02_대상물건입력'!B10),"")</f>
        <v/>
      </c>
      <c r="T621" s="152">
        <f>IFERROR(ABS('01_설정'!B4-F621),"")</f>
        <v/>
      </c>
      <c r="U621" s="152">
        <f>IFERROR(ABS(K621-YEAR('02_대상물건입력'!B14)),"")</f>
        <v/>
      </c>
      <c r="V621" s="152">
        <f>IF(B621="","",IF(AND(E621&gt;0,F621&gt;0,H621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621=1,TRUE()),R621&lt;='01_설정'!B5,S621&lt;='01_설정'!B6,T621&lt;='01_설정'!B7,U621&lt;='01_설정'!B8),"Y",""))</f>
        <v/>
      </c>
      <c r="W621" s="172">
        <f>IF(V621&lt;&gt;"Y","",MAX(0,(1-R621/'01_설정'!B5))*'01_설정'!B14+MAX(0,(1-S621/'01_설정'!B6))*'01_설정'!B15+MAX(0,(1-T621/'01_설정'!B7))*'01_설정'!B16+MAX(0,(1-U621/'01_설정'!B8))*'01_설정'!B17+O621*'01_설정'!B11+Q621*'01_설정'!B12+P621*'01_설정'!B13+IF(Z621="",0,Z621))</f>
        <v/>
      </c>
      <c r="X621" s="152">
        <f>IF(W621="","",1+COUNTIFS($W$4:$W$3003,"&gt;"&amp;W621)+COUNTIFS($W$4:W621,W621)-1)</f>
        <v/>
      </c>
      <c r="Y621" s="175">
        <f>IF(OR(I621="",'02_대상물건입력'!B19="",'02_대상물건입력'!B19&lt;=0),"",ABS(I621-'02_대상물건입력'!B19)/'02_대상물건입력'!B19)</f>
        <v/>
      </c>
      <c r="Z621" s="172">
        <f>IF(OR(Y621="",'01_설정'!B31="",'01_설정'!B31&lt;=0,'01_설정'!B32="",'01_설정'!B32&lt;=0),"",MAX(0,(1-Y621/'01_설정'!B32))*'01_설정'!B31)</f>
        <v/>
      </c>
    </row>
    <row r="622" ht="17.25" customHeight="1">
      <c r="A622" s="152">
        <f>IF(INDEX('04A_국토부원자료'!$A:$A,ROW()+1)="","",ROW()-3)</f>
        <v/>
      </c>
      <c r="B622" s="48">
        <f>IFERROR(INDEX('04A_국토부원자료'!$A:$T,ROW()+1,MATCH("시군구",'04A_국토부원자료'!$A$4:$T$4,0)),"")</f>
        <v/>
      </c>
      <c r="C622" s="48">
        <f>IF(B622="","",IFERROR(INDEX('04A_국토부원자료'!$A:$T,ROW()+1,MATCH("번지",'04A_국토부원자료'!$A$4:$T$4,0)),""))</f>
        <v/>
      </c>
      <c r="D622" s="48">
        <f>IF(B622="","",IF(Q622=1,'02_대상물건입력'!$B$8,IFERROR(INDEX('04A_국토부원자료'!$A:$T,ROW()+1,MATCH("단지명",'04A_국토부원자료'!$A$4:$T$4,0)),"")))</f>
        <v/>
      </c>
      <c r="E622" s="172">
        <f>IFERROR(VALUE(SUBSTITUTE(INDEX('04A_국토부원자료'!$A:$T,ROW()+1,MATCH("전용면적(㎡)",'04A_국토부원자료'!$A$4:$T$4,0)),",","")),"")</f>
        <v/>
      </c>
      <c r="F6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22" s="51">
        <f>IFERROR(VALUE(SUBSTITUTE(INDEX('04A_국토부원자료'!$A:$T,ROW()+1,MATCH("거래금액(만원)",'04A_국토부원자료'!$A$4:$T$4,0)),",","")),"")</f>
        <v/>
      </c>
      <c r="H622" s="174">
        <f>IF(G622="","",G622*10000)</f>
        <v/>
      </c>
      <c r="I622" s="174">
        <f>IFERROR(IF(AND(H622&gt;0,E622&gt;0),H622/E622,""),"")</f>
        <v/>
      </c>
      <c r="J622" s="152">
        <f>IFERROR(VALUE(SUBSTITUTE(INDEX('04A_국토부원자료'!$A:$T,ROW()+1,MATCH("층",'04A_국토부원자료'!$A$4:$T$4,0)),",","")),"")</f>
        <v/>
      </c>
      <c r="K622" s="152">
        <f>IFERROR(VALUE(SUBSTITUTE(INDEX('04A_국토부원자료'!$A:$T,ROW()+1,MATCH("건축년도",'04A_국토부원자료'!$A$4:$T$4,0)),",","")),"")</f>
        <v/>
      </c>
      <c r="L622" s="176">
        <f>IFERROR(INDEX('04A_국토부원자료'!$A:$T,ROW()+1,MATCH("도로명",'04A_국토부원자료'!$A$4:$T$4,0)),"")</f>
        <v/>
      </c>
      <c r="M622" s="48">
        <f>IFERROR(INDEX('04A_국토부원자료'!$A:$T,ROW()+1,MATCH("거래유형",'04A_국토부원자료'!$A$4:$T$4,0)),"")</f>
        <v/>
      </c>
      <c r="N622" s="152">
        <f>IF(B622="","",IF('02_대상물건입력'!B5="",1,IF(ISNUMBER(SEARCH('02_대상물건입력'!B5,B622)),1,0)))</f>
        <v/>
      </c>
      <c r="O622" s="152">
        <f>IF(B622="","",IF('02_대상물건입력'!B6="",1,IF(ISNUMBER(SEARCH('02_대상물건입력'!B6,B622)),1,0)))</f>
        <v/>
      </c>
      <c r="P622" s="152">
        <f>IF(L622="","",IF('02_대상물건입력'!B15="",0,IF(ISNUMBER(SEARCH('02_대상물건입력'!B15,L622)),1,0)))</f>
        <v/>
      </c>
      <c r="Q622" s="152">
        <f>IF(OR(C622="",L622=""),0,IF(AND(TRIM(C622)=TRIM(RIGHT(SUBSTITUTE(TRIM('02_대상물건입력'!$B$7)," ",REPT(" ",99)),99)),IF('02_대상물건입력'!B15="",TRUE(),ISNUMBER(SEARCH('02_대상물건입력'!B15,L622)))),1,0))</f>
        <v/>
      </c>
      <c r="R622" s="175">
        <f>IFERROR(ABS(E622-'02_대상물건입력'!B11)/'02_대상물건입력'!B11,"")</f>
        <v/>
      </c>
      <c r="S622" s="152">
        <f>IFERROR(ABS(J622-'02_대상물건입력'!B10),"")</f>
        <v/>
      </c>
      <c r="T622" s="152">
        <f>IFERROR(ABS('01_설정'!B4-F622),"")</f>
        <v/>
      </c>
      <c r="U622" s="152">
        <f>IFERROR(ABS(K622-YEAR('02_대상물건입력'!B14)),"")</f>
        <v/>
      </c>
      <c r="V622" s="152">
        <f>IF(B622="","",IF(AND(E622&gt;0,F622&gt;0,H622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622=1,TRUE()),R622&lt;='01_설정'!B5,S622&lt;='01_설정'!B6,T622&lt;='01_설정'!B7,U622&lt;='01_설정'!B8),"Y",""))</f>
        <v/>
      </c>
      <c r="W622" s="172">
        <f>IF(V622&lt;&gt;"Y","",MAX(0,(1-R622/'01_설정'!B5))*'01_설정'!B14+MAX(0,(1-S622/'01_설정'!B6))*'01_설정'!B15+MAX(0,(1-T622/'01_설정'!B7))*'01_설정'!B16+MAX(0,(1-U622/'01_설정'!B8))*'01_설정'!B17+O622*'01_설정'!B11+Q622*'01_설정'!B12+P622*'01_설정'!B13+IF(Z622="",0,Z622))</f>
        <v/>
      </c>
      <c r="X622" s="152">
        <f>IF(W622="","",1+COUNTIFS($W$4:$W$3003,"&gt;"&amp;W622)+COUNTIFS($W$4:W622,W622)-1)</f>
        <v/>
      </c>
      <c r="Y622" s="175">
        <f>IF(OR(I622="",'02_대상물건입력'!B19="",'02_대상물건입력'!B19&lt;=0),"",ABS(I622-'02_대상물건입력'!B19)/'02_대상물건입력'!B19)</f>
        <v/>
      </c>
      <c r="Z622" s="172">
        <f>IF(OR(Y622="",'01_설정'!B31="",'01_설정'!B31&lt;=0,'01_설정'!B32="",'01_설정'!B32&lt;=0),"",MAX(0,(1-Y622/'01_설정'!B32))*'01_설정'!B31)</f>
        <v/>
      </c>
    </row>
    <row r="623" ht="17.25" customHeight="1">
      <c r="A623" s="152">
        <f>IF(INDEX('04A_국토부원자료'!$A:$A,ROW()+1)="","",ROW()-3)</f>
        <v/>
      </c>
      <c r="B623" s="48">
        <f>IFERROR(INDEX('04A_국토부원자료'!$A:$T,ROW()+1,MATCH("시군구",'04A_국토부원자료'!$A$4:$T$4,0)),"")</f>
        <v/>
      </c>
      <c r="C623" s="48">
        <f>IF(B623="","",IFERROR(INDEX('04A_국토부원자료'!$A:$T,ROW()+1,MATCH("번지",'04A_국토부원자료'!$A$4:$T$4,0)),""))</f>
        <v/>
      </c>
      <c r="D623" s="48">
        <f>IF(B623="","",IF(Q623=1,'02_대상물건입력'!$B$8,IFERROR(INDEX('04A_국토부원자료'!$A:$T,ROW()+1,MATCH("단지명",'04A_국토부원자료'!$A$4:$T$4,0)),"")))</f>
        <v/>
      </c>
      <c r="E623" s="172">
        <f>IFERROR(VALUE(SUBSTITUTE(INDEX('04A_국토부원자료'!$A:$T,ROW()+1,MATCH("전용면적(㎡)",'04A_국토부원자료'!$A$4:$T$4,0)),",","")),"")</f>
        <v/>
      </c>
      <c r="F6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23" s="51">
        <f>IFERROR(VALUE(SUBSTITUTE(INDEX('04A_국토부원자료'!$A:$T,ROW()+1,MATCH("거래금액(만원)",'04A_국토부원자료'!$A$4:$T$4,0)),",","")),"")</f>
        <v/>
      </c>
      <c r="H623" s="174">
        <f>IF(G623="","",G623*10000)</f>
        <v/>
      </c>
      <c r="I623" s="174">
        <f>IFERROR(IF(AND(H623&gt;0,E623&gt;0),H623/E623,""),"")</f>
        <v/>
      </c>
      <c r="J623" s="152">
        <f>IFERROR(VALUE(SUBSTITUTE(INDEX('04A_국토부원자료'!$A:$T,ROW()+1,MATCH("층",'04A_국토부원자료'!$A$4:$T$4,0)),",","")),"")</f>
        <v/>
      </c>
      <c r="K623" s="152">
        <f>IFERROR(VALUE(SUBSTITUTE(INDEX('04A_국토부원자료'!$A:$T,ROW()+1,MATCH("건축년도",'04A_국토부원자료'!$A$4:$T$4,0)),",","")),"")</f>
        <v/>
      </c>
      <c r="L623" s="176">
        <f>IFERROR(INDEX('04A_국토부원자료'!$A:$T,ROW()+1,MATCH("도로명",'04A_국토부원자료'!$A$4:$T$4,0)),"")</f>
        <v/>
      </c>
      <c r="M623" s="48">
        <f>IFERROR(INDEX('04A_국토부원자료'!$A:$T,ROW()+1,MATCH("거래유형",'04A_국토부원자료'!$A$4:$T$4,0)),"")</f>
        <v/>
      </c>
      <c r="N623" s="152">
        <f>IF(B623="","",IF('02_대상물건입력'!B5="",1,IF(ISNUMBER(SEARCH('02_대상물건입력'!B5,B623)),1,0)))</f>
        <v/>
      </c>
      <c r="O623" s="152">
        <f>IF(B623="","",IF('02_대상물건입력'!B6="",1,IF(ISNUMBER(SEARCH('02_대상물건입력'!B6,B623)),1,0)))</f>
        <v/>
      </c>
      <c r="P623" s="152">
        <f>IF(L623="","",IF('02_대상물건입력'!B15="",0,IF(ISNUMBER(SEARCH('02_대상물건입력'!B15,L623)),1,0)))</f>
        <v/>
      </c>
      <c r="Q623" s="152">
        <f>IF(OR(C623="",L623=""),0,IF(AND(TRIM(C623)=TRIM(RIGHT(SUBSTITUTE(TRIM('02_대상물건입력'!$B$7)," ",REPT(" ",99)),99)),IF('02_대상물건입력'!B15="",TRUE(),ISNUMBER(SEARCH('02_대상물건입력'!B15,L623)))),1,0))</f>
        <v/>
      </c>
      <c r="R623" s="175">
        <f>IFERROR(ABS(E623-'02_대상물건입력'!B11)/'02_대상물건입력'!B11,"")</f>
        <v/>
      </c>
      <c r="S623" s="152">
        <f>IFERROR(ABS(J623-'02_대상물건입력'!B10),"")</f>
        <v/>
      </c>
      <c r="T623" s="152">
        <f>IFERROR(ABS('01_설정'!B4-F623),"")</f>
        <v/>
      </c>
      <c r="U623" s="152">
        <f>IFERROR(ABS(K623-YEAR('02_대상물건입력'!B14)),"")</f>
        <v/>
      </c>
      <c r="V623" s="152">
        <f>IF(B623="","",IF(AND(E623&gt;0,F623&gt;0,H623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623=1,TRUE()),R623&lt;='01_설정'!B5,S623&lt;='01_설정'!B6,T623&lt;='01_설정'!B7,U623&lt;='01_설정'!B8),"Y",""))</f>
        <v/>
      </c>
      <c r="W623" s="172">
        <f>IF(V623&lt;&gt;"Y","",MAX(0,(1-R623/'01_설정'!B5))*'01_설정'!B14+MAX(0,(1-S623/'01_설정'!B6))*'01_설정'!B15+MAX(0,(1-T623/'01_설정'!B7))*'01_설정'!B16+MAX(0,(1-U623/'01_설정'!B8))*'01_설정'!B17+O623*'01_설정'!B11+Q623*'01_설정'!B12+P623*'01_설정'!B13+IF(Z623="",0,Z623))</f>
        <v/>
      </c>
      <c r="X623" s="152">
        <f>IF(W623="","",1+COUNTIFS($W$4:$W$3003,"&gt;"&amp;W623)+COUNTIFS($W$4:W623,W623)-1)</f>
        <v/>
      </c>
      <c r="Y623" s="175">
        <f>IF(OR(I623="",'02_대상물건입력'!B19="",'02_대상물건입력'!B19&lt;=0),"",ABS(I623-'02_대상물건입력'!B19)/'02_대상물건입력'!B19)</f>
        <v/>
      </c>
      <c r="Z623" s="172">
        <f>IF(OR(Y623="",'01_설정'!B31="",'01_설정'!B31&lt;=0,'01_설정'!B32="",'01_설정'!B32&lt;=0),"",MAX(0,(1-Y623/'01_설정'!B32))*'01_설정'!B31)</f>
        <v/>
      </c>
    </row>
    <row r="624" ht="17.25" customHeight="1">
      <c r="A624" s="152">
        <f>IF(INDEX('04A_국토부원자료'!$A:$A,ROW()+1)="","",ROW()-3)</f>
        <v/>
      </c>
      <c r="B624" s="48">
        <f>IFERROR(INDEX('04A_국토부원자료'!$A:$T,ROW()+1,MATCH("시군구",'04A_국토부원자료'!$A$4:$T$4,0)),"")</f>
        <v/>
      </c>
      <c r="C624" s="48">
        <f>IF(B624="","",IFERROR(INDEX('04A_국토부원자료'!$A:$T,ROW()+1,MATCH("번지",'04A_국토부원자료'!$A$4:$T$4,0)),""))</f>
        <v/>
      </c>
      <c r="D624" s="48">
        <f>IF(B624="","",IF(Q624=1,'02_대상물건입력'!$B$8,IFERROR(INDEX('04A_국토부원자료'!$A:$T,ROW()+1,MATCH("단지명",'04A_국토부원자료'!$A$4:$T$4,0)),"")))</f>
        <v/>
      </c>
      <c r="E624" s="172">
        <f>IFERROR(VALUE(SUBSTITUTE(INDEX('04A_국토부원자료'!$A:$T,ROW()+1,MATCH("전용면적(㎡)",'04A_국토부원자료'!$A$4:$T$4,0)),",","")),"")</f>
        <v/>
      </c>
      <c r="F6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24" s="51">
        <f>IFERROR(VALUE(SUBSTITUTE(INDEX('04A_국토부원자료'!$A:$T,ROW()+1,MATCH("거래금액(만원)",'04A_국토부원자료'!$A$4:$T$4,0)),",","")),"")</f>
        <v/>
      </c>
      <c r="H624" s="174">
        <f>IF(G624="","",G624*10000)</f>
        <v/>
      </c>
      <c r="I624" s="174">
        <f>IFERROR(IF(AND(H624&gt;0,E624&gt;0),H624/E624,""),"")</f>
        <v/>
      </c>
      <c r="J624" s="152">
        <f>IFERROR(VALUE(SUBSTITUTE(INDEX('04A_국토부원자료'!$A:$T,ROW()+1,MATCH("층",'04A_국토부원자료'!$A$4:$T$4,0)),",","")),"")</f>
        <v/>
      </c>
      <c r="K624" s="152">
        <f>IFERROR(VALUE(SUBSTITUTE(INDEX('04A_국토부원자료'!$A:$T,ROW()+1,MATCH("건축년도",'04A_국토부원자료'!$A$4:$T$4,0)),",","")),"")</f>
        <v/>
      </c>
      <c r="L624" s="176">
        <f>IFERROR(INDEX('04A_국토부원자료'!$A:$T,ROW()+1,MATCH("도로명",'04A_국토부원자료'!$A$4:$T$4,0)),"")</f>
        <v/>
      </c>
      <c r="M624" s="48">
        <f>IFERROR(INDEX('04A_국토부원자료'!$A:$T,ROW()+1,MATCH("거래유형",'04A_국토부원자료'!$A$4:$T$4,0)),"")</f>
        <v/>
      </c>
      <c r="N624" s="152">
        <f>IF(B624="","",IF('02_대상물건입력'!B5="",1,IF(ISNUMBER(SEARCH('02_대상물건입력'!B5,B624)),1,0)))</f>
        <v/>
      </c>
      <c r="O624" s="152">
        <f>IF(B624="","",IF('02_대상물건입력'!B6="",1,IF(ISNUMBER(SEARCH('02_대상물건입력'!B6,B624)),1,0)))</f>
        <v/>
      </c>
      <c r="P624" s="152">
        <f>IF(L624="","",IF('02_대상물건입력'!B15="",0,IF(ISNUMBER(SEARCH('02_대상물건입력'!B15,L624)),1,0)))</f>
        <v/>
      </c>
      <c r="Q624" s="152">
        <f>IF(OR(C624="",L624=""),0,IF(AND(TRIM(C624)=TRIM(RIGHT(SUBSTITUTE(TRIM('02_대상물건입력'!$B$7)," ",REPT(" ",99)),99)),IF('02_대상물건입력'!B15="",TRUE(),ISNUMBER(SEARCH('02_대상물건입력'!B15,L624)))),1,0))</f>
        <v/>
      </c>
      <c r="R624" s="175">
        <f>IFERROR(ABS(E624-'02_대상물건입력'!B11)/'02_대상물건입력'!B11,"")</f>
        <v/>
      </c>
      <c r="S624" s="152">
        <f>IFERROR(ABS(J624-'02_대상물건입력'!B10),"")</f>
        <v/>
      </c>
      <c r="T624" s="152">
        <f>IFERROR(ABS('01_설정'!B4-F624),"")</f>
        <v/>
      </c>
      <c r="U624" s="152">
        <f>IFERROR(ABS(K624-YEAR('02_대상물건입력'!B14)),"")</f>
        <v/>
      </c>
      <c r="V624" s="152">
        <f>IF(B624="","",IF(AND(E624&gt;0,F624&gt;0,H624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624=1,TRUE()),R624&lt;='01_설정'!B5,S624&lt;='01_설정'!B6,T624&lt;='01_설정'!B7,U624&lt;='01_설정'!B8),"Y",""))</f>
        <v/>
      </c>
      <c r="W624" s="172">
        <f>IF(V624&lt;&gt;"Y","",MAX(0,(1-R624/'01_설정'!B5))*'01_설정'!B14+MAX(0,(1-S624/'01_설정'!B6))*'01_설정'!B15+MAX(0,(1-T624/'01_설정'!B7))*'01_설정'!B16+MAX(0,(1-U624/'01_설정'!B8))*'01_설정'!B17+O624*'01_설정'!B11+Q624*'01_설정'!B12+P624*'01_설정'!B13+IF(Z624="",0,Z624))</f>
        <v/>
      </c>
      <c r="X624" s="152">
        <f>IF(W624="","",1+COUNTIFS($W$4:$W$3003,"&gt;"&amp;W624)+COUNTIFS($W$4:W624,W624)-1)</f>
        <v/>
      </c>
      <c r="Y624" s="175">
        <f>IF(OR(I624="",'02_대상물건입력'!B19="",'02_대상물건입력'!B19&lt;=0),"",ABS(I624-'02_대상물건입력'!B19)/'02_대상물건입력'!B19)</f>
        <v/>
      </c>
      <c r="Z624" s="172">
        <f>IF(OR(Y624="",'01_설정'!B31="",'01_설정'!B31&lt;=0,'01_설정'!B32="",'01_설정'!B32&lt;=0),"",MAX(0,(1-Y624/'01_설정'!B32))*'01_설정'!B31)</f>
        <v/>
      </c>
    </row>
    <row r="625" ht="17.25" customHeight="1">
      <c r="A625" s="152">
        <f>IF(INDEX('04A_국토부원자료'!$A:$A,ROW()+1)="","",ROW()-3)</f>
        <v/>
      </c>
      <c r="B625" s="48">
        <f>IFERROR(INDEX('04A_국토부원자료'!$A:$T,ROW()+1,MATCH("시군구",'04A_국토부원자료'!$A$4:$T$4,0)),"")</f>
        <v/>
      </c>
      <c r="C625" s="48">
        <f>IF(B625="","",IFERROR(INDEX('04A_국토부원자료'!$A:$T,ROW()+1,MATCH("번지",'04A_국토부원자료'!$A$4:$T$4,0)),""))</f>
        <v/>
      </c>
      <c r="D625" s="48">
        <f>IF(B625="","",IF(Q625=1,'02_대상물건입력'!$B$8,IFERROR(INDEX('04A_국토부원자료'!$A:$T,ROW()+1,MATCH("단지명",'04A_국토부원자료'!$A$4:$T$4,0)),"")))</f>
        <v/>
      </c>
      <c r="E625" s="172">
        <f>IFERROR(VALUE(SUBSTITUTE(INDEX('04A_국토부원자료'!$A:$T,ROW()+1,MATCH("전용면적(㎡)",'04A_국토부원자료'!$A$4:$T$4,0)),",","")),"")</f>
        <v/>
      </c>
      <c r="F6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25" s="51">
        <f>IFERROR(VALUE(SUBSTITUTE(INDEX('04A_국토부원자료'!$A:$T,ROW()+1,MATCH("거래금액(만원)",'04A_국토부원자료'!$A$4:$T$4,0)),",","")),"")</f>
        <v/>
      </c>
      <c r="H625" s="174">
        <f>IF(G625="","",G625*10000)</f>
        <v/>
      </c>
      <c r="I625" s="174">
        <f>IFERROR(IF(AND(H625&gt;0,E625&gt;0),H625/E625,""),"")</f>
        <v/>
      </c>
      <c r="J625" s="152">
        <f>IFERROR(VALUE(SUBSTITUTE(INDEX('04A_국토부원자료'!$A:$T,ROW()+1,MATCH("층",'04A_국토부원자료'!$A$4:$T$4,0)),",","")),"")</f>
        <v/>
      </c>
      <c r="K625" s="152">
        <f>IFERROR(VALUE(SUBSTITUTE(INDEX('04A_국토부원자료'!$A:$T,ROW()+1,MATCH("건축년도",'04A_국토부원자료'!$A$4:$T$4,0)),",","")),"")</f>
        <v/>
      </c>
      <c r="L625" s="176">
        <f>IFERROR(INDEX('04A_국토부원자료'!$A:$T,ROW()+1,MATCH("도로명",'04A_국토부원자료'!$A$4:$T$4,0)),"")</f>
        <v/>
      </c>
      <c r="M625" s="48">
        <f>IFERROR(INDEX('04A_국토부원자료'!$A:$T,ROW()+1,MATCH("거래유형",'04A_국토부원자료'!$A$4:$T$4,0)),"")</f>
        <v/>
      </c>
      <c r="N625" s="152">
        <f>IF(B625="","",IF('02_대상물건입력'!B5="",1,IF(ISNUMBER(SEARCH('02_대상물건입력'!B5,B625)),1,0)))</f>
        <v/>
      </c>
      <c r="O625" s="152">
        <f>IF(B625="","",IF('02_대상물건입력'!B6="",1,IF(ISNUMBER(SEARCH('02_대상물건입력'!B6,B625)),1,0)))</f>
        <v/>
      </c>
      <c r="P625" s="152">
        <f>IF(L625="","",IF('02_대상물건입력'!B15="",0,IF(ISNUMBER(SEARCH('02_대상물건입력'!B15,L625)),1,0)))</f>
        <v/>
      </c>
      <c r="Q625" s="152">
        <f>IF(OR(C625="",L625=""),0,IF(AND(TRIM(C625)=TRIM(RIGHT(SUBSTITUTE(TRIM('02_대상물건입력'!$B$7)," ",REPT(" ",99)),99)),IF('02_대상물건입력'!B15="",TRUE(),ISNUMBER(SEARCH('02_대상물건입력'!B15,L625)))),1,0))</f>
        <v/>
      </c>
      <c r="R625" s="175">
        <f>IFERROR(ABS(E625-'02_대상물건입력'!B11)/'02_대상물건입력'!B11,"")</f>
        <v/>
      </c>
      <c r="S625" s="152">
        <f>IFERROR(ABS(J625-'02_대상물건입력'!B10),"")</f>
        <v/>
      </c>
      <c r="T625" s="152">
        <f>IFERROR(ABS('01_설정'!B4-F625),"")</f>
        <v/>
      </c>
      <c r="U625" s="152">
        <f>IFERROR(ABS(K625-YEAR('02_대상물건입력'!B14)),"")</f>
        <v/>
      </c>
      <c r="V625" s="152">
        <f>IF(B625="","",IF(AND(E625&gt;0,F625&gt;0,H625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625=1,TRUE()),R625&lt;='01_설정'!B5,S625&lt;='01_설정'!B6,T625&lt;='01_설정'!B7,U625&lt;='01_설정'!B8),"Y",""))</f>
        <v/>
      </c>
      <c r="W625" s="172">
        <f>IF(V625&lt;&gt;"Y","",MAX(0,(1-R625/'01_설정'!B5))*'01_설정'!B14+MAX(0,(1-S625/'01_설정'!B6))*'01_설정'!B15+MAX(0,(1-T625/'01_설정'!B7))*'01_설정'!B16+MAX(0,(1-U625/'01_설정'!B8))*'01_설정'!B17+O625*'01_설정'!B11+Q625*'01_설정'!B12+P625*'01_설정'!B13+IF(Z625="",0,Z625))</f>
        <v/>
      </c>
      <c r="X625" s="152">
        <f>IF(W625="","",1+COUNTIFS($W$4:$W$3003,"&gt;"&amp;W625)+COUNTIFS($W$4:W625,W625)-1)</f>
        <v/>
      </c>
      <c r="Y625" s="175">
        <f>IF(OR(I625="",'02_대상물건입력'!B19="",'02_대상물건입력'!B19&lt;=0),"",ABS(I625-'02_대상물건입력'!B19)/'02_대상물건입력'!B19)</f>
        <v/>
      </c>
      <c r="Z625" s="172">
        <f>IF(OR(Y625="",'01_설정'!B31="",'01_설정'!B31&lt;=0,'01_설정'!B32="",'01_설정'!B32&lt;=0),"",MAX(0,(1-Y625/'01_설정'!B32))*'01_설정'!B31)</f>
        <v/>
      </c>
    </row>
    <row r="626" ht="17.25" customHeight="1">
      <c r="A626" s="152">
        <f>IF(INDEX('04A_국토부원자료'!$A:$A,ROW()+1)="","",ROW()-3)</f>
        <v/>
      </c>
      <c r="B626" s="48">
        <f>IFERROR(INDEX('04A_국토부원자료'!$A:$T,ROW()+1,MATCH("시군구",'04A_국토부원자료'!$A$4:$T$4,0)),"")</f>
        <v/>
      </c>
      <c r="C626" s="48">
        <f>IF(B626="","",IFERROR(INDEX('04A_국토부원자료'!$A:$T,ROW()+1,MATCH("번지",'04A_국토부원자료'!$A$4:$T$4,0)),""))</f>
        <v/>
      </c>
      <c r="D626" s="48">
        <f>IF(B626="","",IF(Q626=1,'02_대상물건입력'!$B$8,IFERROR(INDEX('04A_국토부원자료'!$A:$T,ROW()+1,MATCH("단지명",'04A_국토부원자료'!$A$4:$T$4,0)),"")))</f>
        <v/>
      </c>
      <c r="E626" s="172">
        <f>IFERROR(VALUE(SUBSTITUTE(INDEX('04A_국토부원자료'!$A:$T,ROW()+1,MATCH("전용면적(㎡)",'04A_국토부원자료'!$A$4:$T$4,0)),",","")),"")</f>
        <v/>
      </c>
      <c r="F6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26" s="51">
        <f>IFERROR(VALUE(SUBSTITUTE(INDEX('04A_국토부원자료'!$A:$T,ROW()+1,MATCH("거래금액(만원)",'04A_국토부원자료'!$A$4:$T$4,0)),",","")),"")</f>
        <v/>
      </c>
      <c r="H626" s="174">
        <f>IF(G626="","",G626*10000)</f>
        <v/>
      </c>
      <c r="I626" s="174">
        <f>IFERROR(IF(AND(H626&gt;0,E626&gt;0),H626/E626,""),"")</f>
        <v/>
      </c>
      <c r="J626" s="152">
        <f>IFERROR(VALUE(SUBSTITUTE(INDEX('04A_국토부원자료'!$A:$T,ROW()+1,MATCH("층",'04A_국토부원자료'!$A$4:$T$4,0)),",","")),"")</f>
        <v/>
      </c>
      <c r="K626" s="152">
        <f>IFERROR(VALUE(SUBSTITUTE(INDEX('04A_국토부원자료'!$A:$T,ROW()+1,MATCH("건축년도",'04A_국토부원자료'!$A$4:$T$4,0)),",","")),"")</f>
        <v/>
      </c>
      <c r="L626" s="176">
        <f>IFERROR(INDEX('04A_국토부원자료'!$A:$T,ROW()+1,MATCH("도로명",'04A_국토부원자료'!$A$4:$T$4,0)),"")</f>
        <v/>
      </c>
      <c r="M626" s="48">
        <f>IFERROR(INDEX('04A_국토부원자료'!$A:$T,ROW()+1,MATCH("거래유형",'04A_국토부원자료'!$A$4:$T$4,0)),"")</f>
        <v/>
      </c>
      <c r="N626" s="152">
        <f>IF(B626="","",IF('02_대상물건입력'!B5="",1,IF(ISNUMBER(SEARCH('02_대상물건입력'!B5,B626)),1,0)))</f>
        <v/>
      </c>
      <c r="O626" s="152">
        <f>IF(B626="","",IF('02_대상물건입력'!B6="",1,IF(ISNUMBER(SEARCH('02_대상물건입력'!B6,B626)),1,0)))</f>
        <v/>
      </c>
      <c r="P626" s="152">
        <f>IF(L626="","",IF('02_대상물건입력'!B15="",0,IF(ISNUMBER(SEARCH('02_대상물건입력'!B15,L626)),1,0)))</f>
        <v/>
      </c>
      <c r="Q626" s="152">
        <f>IF(OR(C626="",L626=""),0,IF(AND(TRIM(C626)=TRIM(RIGHT(SUBSTITUTE(TRIM('02_대상물건입력'!$B$7)," ",REPT(" ",99)),99)),IF('02_대상물건입력'!B15="",TRUE(),ISNUMBER(SEARCH('02_대상물건입력'!B15,L626)))),1,0))</f>
        <v/>
      </c>
      <c r="R626" s="175">
        <f>IFERROR(ABS(E626-'02_대상물건입력'!B11)/'02_대상물건입력'!B11,"")</f>
        <v/>
      </c>
      <c r="S626" s="152">
        <f>IFERROR(ABS(J626-'02_대상물건입력'!B10),"")</f>
        <v/>
      </c>
      <c r="T626" s="152">
        <f>IFERROR(ABS('01_설정'!B4-F626),"")</f>
        <v/>
      </c>
      <c r="U626" s="152">
        <f>IFERROR(ABS(K626-YEAR('02_대상물건입력'!B14)),"")</f>
        <v/>
      </c>
      <c r="V626" s="152">
        <f>IF(B626="","",IF(AND(E626&gt;0,F626&gt;0,H626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626=1,TRUE()),R626&lt;='01_설정'!B5,S626&lt;='01_설정'!B6,T626&lt;='01_설정'!B7,U626&lt;='01_설정'!B8),"Y",""))</f>
        <v/>
      </c>
      <c r="W626" s="172">
        <f>IF(V626&lt;&gt;"Y","",MAX(0,(1-R626/'01_설정'!B5))*'01_설정'!B14+MAX(0,(1-S626/'01_설정'!B6))*'01_설정'!B15+MAX(0,(1-T626/'01_설정'!B7))*'01_설정'!B16+MAX(0,(1-U626/'01_설정'!B8))*'01_설정'!B17+O626*'01_설정'!B11+Q626*'01_설정'!B12+P626*'01_설정'!B13+IF(Z626="",0,Z626))</f>
        <v/>
      </c>
      <c r="X626" s="152">
        <f>IF(W626="","",1+COUNTIFS($W$4:$W$3003,"&gt;"&amp;W626)+COUNTIFS($W$4:W626,W626)-1)</f>
        <v/>
      </c>
      <c r="Y626" s="175">
        <f>IF(OR(I626="",'02_대상물건입력'!B19="",'02_대상물건입력'!B19&lt;=0),"",ABS(I626-'02_대상물건입력'!B19)/'02_대상물건입력'!B19)</f>
        <v/>
      </c>
      <c r="Z626" s="172">
        <f>IF(OR(Y626="",'01_설정'!B31="",'01_설정'!B31&lt;=0,'01_설정'!B32="",'01_설정'!B32&lt;=0),"",MAX(0,(1-Y626/'01_설정'!B32))*'01_설정'!B31)</f>
        <v/>
      </c>
    </row>
    <row r="627" ht="17.25" customHeight="1">
      <c r="A627" s="152">
        <f>IF(INDEX('04A_국토부원자료'!$A:$A,ROW()+1)="","",ROW()-3)</f>
        <v/>
      </c>
      <c r="B627" s="48">
        <f>IFERROR(INDEX('04A_국토부원자료'!$A:$T,ROW()+1,MATCH("시군구",'04A_국토부원자료'!$A$4:$T$4,0)),"")</f>
        <v/>
      </c>
      <c r="C627" s="48">
        <f>IF(B627="","",IFERROR(INDEX('04A_국토부원자료'!$A:$T,ROW()+1,MATCH("번지",'04A_국토부원자료'!$A$4:$T$4,0)),""))</f>
        <v/>
      </c>
      <c r="D627" s="48">
        <f>IF(B627="","",IF(Q627=1,'02_대상물건입력'!$B$8,IFERROR(INDEX('04A_국토부원자료'!$A:$T,ROW()+1,MATCH("단지명",'04A_국토부원자료'!$A$4:$T$4,0)),"")))</f>
        <v/>
      </c>
      <c r="E627" s="172">
        <f>IFERROR(VALUE(SUBSTITUTE(INDEX('04A_국토부원자료'!$A:$T,ROW()+1,MATCH("전용면적(㎡)",'04A_국토부원자료'!$A$4:$T$4,0)),",","")),"")</f>
        <v/>
      </c>
      <c r="F6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27" s="51">
        <f>IFERROR(VALUE(SUBSTITUTE(INDEX('04A_국토부원자료'!$A:$T,ROW()+1,MATCH("거래금액(만원)",'04A_국토부원자료'!$A$4:$T$4,0)),",","")),"")</f>
        <v/>
      </c>
      <c r="H627" s="174">
        <f>IF(G627="","",G627*10000)</f>
        <v/>
      </c>
      <c r="I627" s="174">
        <f>IFERROR(IF(AND(H627&gt;0,E627&gt;0),H627/E627,""),"")</f>
        <v/>
      </c>
      <c r="J627" s="152">
        <f>IFERROR(VALUE(SUBSTITUTE(INDEX('04A_국토부원자료'!$A:$T,ROW()+1,MATCH("층",'04A_국토부원자료'!$A$4:$T$4,0)),",","")),"")</f>
        <v/>
      </c>
      <c r="K627" s="152">
        <f>IFERROR(VALUE(SUBSTITUTE(INDEX('04A_국토부원자료'!$A:$T,ROW()+1,MATCH("건축년도",'04A_국토부원자료'!$A$4:$T$4,0)),",","")),"")</f>
        <v/>
      </c>
      <c r="L627" s="176">
        <f>IFERROR(INDEX('04A_국토부원자료'!$A:$T,ROW()+1,MATCH("도로명",'04A_국토부원자료'!$A$4:$T$4,0)),"")</f>
        <v/>
      </c>
      <c r="M627" s="48">
        <f>IFERROR(INDEX('04A_국토부원자료'!$A:$T,ROW()+1,MATCH("거래유형",'04A_국토부원자료'!$A$4:$T$4,0)),"")</f>
        <v/>
      </c>
      <c r="N627" s="152">
        <f>IF(B627="","",IF('02_대상물건입력'!B5="",1,IF(ISNUMBER(SEARCH('02_대상물건입력'!B5,B627)),1,0)))</f>
        <v/>
      </c>
      <c r="O627" s="152">
        <f>IF(B627="","",IF('02_대상물건입력'!B6="",1,IF(ISNUMBER(SEARCH('02_대상물건입력'!B6,B627)),1,0)))</f>
        <v/>
      </c>
      <c r="P627" s="152">
        <f>IF(L627="","",IF('02_대상물건입력'!B15="",0,IF(ISNUMBER(SEARCH('02_대상물건입력'!B15,L627)),1,0)))</f>
        <v/>
      </c>
      <c r="Q627" s="152">
        <f>IF(OR(C627="",L627=""),0,IF(AND(TRIM(C627)=TRIM(RIGHT(SUBSTITUTE(TRIM('02_대상물건입력'!$B$7)," ",REPT(" ",99)),99)),IF('02_대상물건입력'!B15="",TRUE(),ISNUMBER(SEARCH('02_대상물건입력'!B15,L627)))),1,0))</f>
        <v/>
      </c>
      <c r="R627" s="175">
        <f>IFERROR(ABS(E627-'02_대상물건입력'!B11)/'02_대상물건입력'!B11,"")</f>
        <v/>
      </c>
      <c r="S627" s="152">
        <f>IFERROR(ABS(J627-'02_대상물건입력'!B10),"")</f>
        <v/>
      </c>
      <c r="T627" s="152">
        <f>IFERROR(ABS('01_설정'!B4-F627),"")</f>
        <v/>
      </c>
      <c r="U627" s="152">
        <f>IFERROR(ABS(K627-YEAR('02_대상물건입력'!B14)),"")</f>
        <v/>
      </c>
      <c r="V627" s="152">
        <f>IF(B627="","",IF(AND(E627&gt;0,F627&gt;0,H627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627=1,TRUE()),R627&lt;='01_설정'!B5,S627&lt;='01_설정'!B6,T627&lt;='01_설정'!B7,U627&lt;='01_설정'!B8),"Y",""))</f>
        <v/>
      </c>
      <c r="W627" s="172">
        <f>IF(V627&lt;&gt;"Y","",MAX(0,(1-R627/'01_설정'!B5))*'01_설정'!B14+MAX(0,(1-S627/'01_설정'!B6))*'01_설정'!B15+MAX(0,(1-T627/'01_설정'!B7))*'01_설정'!B16+MAX(0,(1-U627/'01_설정'!B8))*'01_설정'!B17+O627*'01_설정'!B11+Q627*'01_설정'!B12+P627*'01_설정'!B13+IF(Z627="",0,Z627))</f>
        <v/>
      </c>
      <c r="X627" s="152">
        <f>IF(W627="","",1+COUNTIFS($W$4:$W$3003,"&gt;"&amp;W627)+COUNTIFS($W$4:W627,W627)-1)</f>
        <v/>
      </c>
      <c r="Y627" s="175">
        <f>IF(OR(I627="",'02_대상물건입력'!B19="",'02_대상물건입력'!B19&lt;=0),"",ABS(I627-'02_대상물건입력'!B19)/'02_대상물건입력'!B19)</f>
        <v/>
      </c>
      <c r="Z627" s="172">
        <f>IF(OR(Y627="",'01_설정'!B31="",'01_설정'!B31&lt;=0,'01_설정'!B32="",'01_설정'!B32&lt;=0),"",MAX(0,(1-Y627/'01_설정'!B32))*'01_설정'!B31)</f>
        <v/>
      </c>
    </row>
    <row r="628" ht="17.25" customHeight="1">
      <c r="A628" s="152">
        <f>IF(INDEX('04A_국토부원자료'!$A:$A,ROW()+1)="","",ROW()-3)</f>
        <v/>
      </c>
      <c r="B628" s="48">
        <f>IFERROR(INDEX('04A_국토부원자료'!$A:$T,ROW()+1,MATCH("시군구",'04A_국토부원자료'!$A$4:$T$4,0)),"")</f>
        <v/>
      </c>
      <c r="C628" s="48">
        <f>IF(B628="","",IFERROR(INDEX('04A_국토부원자료'!$A:$T,ROW()+1,MATCH("번지",'04A_국토부원자료'!$A$4:$T$4,0)),""))</f>
        <v/>
      </c>
      <c r="D628" s="48">
        <f>IF(B628="","",IF(Q628=1,'02_대상물건입력'!$B$8,IFERROR(INDEX('04A_국토부원자료'!$A:$T,ROW()+1,MATCH("단지명",'04A_국토부원자료'!$A$4:$T$4,0)),"")))</f>
        <v/>
      </c>
      <c r="E628" s="172">
        <f>IFERROR(VALUE(SUBSTITUTE(INDEX('04A_국토부원자료'!$A:$T,ROW()+1,MATCH("전용면적(㎡)",'04A_국토부원자료'!$A$4:$T$4,0)),",","")),"")</f>
        <v/>
      </c>
      <c r="F6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28" s="51">
        <f>IFERROR(VALUE(SUBSTITUTE(INDEX('04A_국토부원자료'!$A:$T,ROW()+1,MATCH("거래금액(만원)",'04A_국토부원자료'!$A$4:$T$4,0)),",","")),"")</f>
        <v/>
      </c>
      <c r="H628" s="174">
        <f>IF(G628="","",G628*10000)</f>
        <v/>
      </c>
      <c r="I628" s="174">
        <f>IFERROR(IF(AND(H628&gt;0,E628&gt;0),H628/E628,""),"")</f>
        <v/>
      </c>
      <c r="J628" s="152">
        <f>IFERROR(VALUE(SUBSTITUTE(INDEX('04A_국토부원자료'!$A:$T,ROW()+1,MATCH("층",'04A_국토부원자료'!$A$4:$T$4,0)),",","")),"")</f>
        <v/>
      </c>
      <c r="K628" s="152">
        <f>IFERROR(VALUE(SUBSTITUTE(INDEX('04A_국토부원자료'!$A:$T,ROW()+1,MATCH("건축년도",'04A_국토부원자료'!$A$4:$T$4,0)),",","")),"")</f>
        <v/>
      </c>
      <c r="L628" s="176">
        <f>IFERROR(INDEX('04A_국토부원자료'!$A:$T,ROW()+1,MATCH("도로명",'04A_국토부원자료'!$A$4:$T$4,0)),"")</f>
        <v/>
      </c>
      <c r="M628" s="48">
        <f>IFERROR(INDEX('04A_국토부원자료'!$A:$T,ROW()+1,MATCH("거래유형",'04A_국토부원자료'!$A$4:$T$4,0)),"")</f>
        <v/>
      </c>
      <c r="N628" s="152">
        <f>IF(B628="","",IF('02_대상물건입력'!B5="",1,IF(ISNUMBER(SEARCH('02_대상물건입력'!B5,B628)),1,0)))</f>
        <v/>
      </c>
      <c r="O628" s="152">
        <f>IF(B628="","",IF('02_대상물건입력'!B6="",1,IF(ISNUMBER(SEARCH('02_대상물건입력'!B6,B628)),1,0)))</f>
        <v/>
      </c>
      <c r="P628" s="152">
        <f>IF(L628="","",IF('02_대상물건입력'!B15="",0,IF(ISNUMBER(SEARCH('02_대상물건입력'!B15,L628)),1,0)))</f>
        <v/>
      </c>
      <c r="Q628" s="152">
        <f>IF(OR(C628="",L628=""),0,IF(AND(TRIM(C628)=TRIM(RIGHT(SUBSTITUTE(TRIM('02_대상물건입력'!$B$7)," ",REPT(" ",99)),99)),IF('02_대상물건입력'!B15="",TRUE(),ISNUMBER(SEARCH('02_대상물건입력'!B15,L628)))),1,0))</f>
        <v/>
      </c>
      <c r="R628" s="175">
        <f>IFERROR(ABS(E628-'02_대상물건입력'!B11)/'02_대상물건입력'!B11,"")</f>
        <v/>
      </c>
      <c r="S628" s="152">
        <f>IFERROR(ABS(J628-'02_대상물건입력'!B10),"")</f>
        <v/>
      </c>
      <c r="T628" s="152">
        <f>IFERROR(ABS('01_설정'!B4-F628),"")</f>
        <v/>
      </c>
      <c r="U628" s="152">
        <f>IFERROR(ABS(K628-YEAR('02_대상물건입력'!B14)),"")</f>
        <v/>
      </c>
      <c r="V628" s="152">
        <f>IF(B628="","",IF(AND(E628&gt;0,F628&gt;0,H628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628=1,TRUE()),R628&lt;='01_설정'!B5,S628&lt;='01_설정'!B6,T628&lt;='01_설정'!B7,U628&lt;='01_설정'!B8),"Y",""))</f>
        <v/>
      </c>
      <c r="W628" s="172">
        <f>IF(V628&lt;&gt;"Y","",MAX(0,(1-R628/'01_설정'!B5))*'01_설정'!B14+MAX(0,(1-S628/'01_설정'!B6))*'01_설정'!B15+MAX(0,(1-T628/'01_설정'!B7))*'01_설정'!B16+MAX(0,(1-U628/'01_설정'!B8))*'01_설정'!B17+O628*'01_설정'!B11+Q628*'01_설정'!B12+P628*'01_설정'!B13+IF(Z628="",0,Z628))</f>
        <v/>
      </c>
      <c r="X628" s="152">
        <f>IF(W628="","",1+COUNTIFS($W$4:$W$3003,"&gt;"&amp;W628)+COUNTIFS($W$4:W628,W628)-1)</f>
        <v/>
      </c>
      <c r="Y628" s="175">
        <f>IF(OR(I628="",'02_대상물건입력'!B19="",'02_대상물건입력'!B19&lt;=0),"",ABS(I628-'02_대상물건입력'!B19)/'02_대상물건입력'!B19)</f>
        <v/>
      </c>
      <c r="Z628" s="172">
        <f>IF(OR(Y628="",'01_설정'!B31="",'01_설정'!B31&lt;=0,'01_설정'!B32="",'01_설정'!B32&lt;=0),"",MAX(0,(1-Y628/'01_설정'!B32))*'01_설정'!B31)</f>
        <v/>
      </c>
    </row>
    <row r="629" ht="17.25" customHeight="1">
      <c r="A629" s="152">
        <f>IF(INDEX('04A_국토부원자료'!$A:$A,ROW()+1)="","",ROW()-3)</f>
        <v/>
      </c>
      <c r="B629" s="48">
        <f>IFERROR(INDEX('04A_국토부원자료'!$A:$T,ROW()+1,MATCH("시군구",'04A_국토부원자료'!$A$4:$T$4,0)),"")</f>
        <v/>
      </c>
      <c r="C629" s="48">
        <f>IF(B629="","",IFERROR(INDEX('04A_국토부원자료'!$A:$T,ROW()+1,MATCH("번지",'04A_국토부원자료'!$A$4:$T$4,0)),""))</f>
        <v/>
      </c>
      <c r="D629" s="48">
        <f>IF(B629="","",IF(Q629=1,'02_대상물건입력'!$B$8,IFERROR(INDEX('04A_국토부원자료'!$A:$T,ROW()+1,MATCH("단지명",'04A_국토부원자료'!$A$4:$T$4,0)),"")))</f>
        <v/>
      </c>
      <c r="E629" s="172">
        <f>IFERROR(VALUE(SUBSTITUTE(INDEX('04A_국토부원자료'!$A:$T,ROW()+1,MATCH("전용면적(㎡)",'04A_국토부원자료'!$A$4:$T$4,0)),",","")),"")</f>
        <v/>
      </c>
      <c r="F6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29" s="51">
        <f>IFERROR(VALUE(SUBSTITUTE(INDEX('04A_국토부원자료'!$A:$T,ROW()+1,MATCH("거래금액(만원)",'04A_국토부원자료'!$A$4:$T$4,0)),",","")),"")</f>
        <v/>
      </c>
      <c r="H629" s="174">
        <f>IF(G629="","",G629*10000)</f>
        <v/>
      </c>
      <c r="I629" s="174">
        <f>IFERROR(IF(AND(H629&gt;0,E629&gt;0),H629/E629,""),"")</f>
        <v/>
      </c>
      <c r="J629" s="152">
        <f>IFERROR(VALUE(SUBSTITUTE(INDEX('04A_국토부원자료'!$A:$T,ROW()+1,MATCH("층",'04A_국토부원자료'!$A$4:$T$4,0)),",","")),"")</f>
        <v/>
      </c>
      <c r="K629" s="152">
        <f>IFERROR(VALUE(SUBSTITUTE(INDEX('04A_국토부원자료'!$A:$T,ROW()+1,MATCH("건축년도",'04A_국토부원자료'!$A$4:$T$4,0)),",","")),"")</f>
        <v/>
      </c>
      <c r="L629" s="176">
        <f>IFERROR(INDEX('04A_국토부원자료'!$A:$T,ROW()+1,MATCH("도로명",'04A_국토부원자료'!$A$4:$T$4,0)),"")</f>
        <v/>
      </c>
      <c r="M629" s="48">
        <f>IFERROR(INDEX('04A_국토부원자료'!$A:$T,ROW()+1,MATCH("거래유형",'04A_국토부원자료'!$A$4:$T$4,0)),"")</f>
        <v/>
      </c>
      <c r="N629" s="152">
        <f>IF(B629="","",IF('02_대상물건입력'!B5="",1,IF(ISNUMBER(SEARCH('02_대상물건입력'!B5,B629)),1,0)))</f>
        <v/>
      </c>
      <c r="O629" s="152">
        <f>IF(B629="","",IF('02_대상물건입력'!B6="",1,IF(ISNUMBER(SEARCH('02_대상물건입력'!B6,B629)),1,0)))</f>
        <v/>
      </c>
      <c r="P629" s="152">
        <f>IF(L629="","",IF('02_대상물건입력'!B15="",0,IF(ISNUMBER(SEARCH('02_대상물건입력'!B15,L629)),1,0)))</f>
        <v/>
      </c>
      <c r="Q629" s="152">
        <f>IF(OR(C629="",L629=""),0,IF(AND(TRIM(C629)=TRIM(RIGHT(SUBSTITUTE(TRIM('02_대상물건입력'!$B$7)," ",REPT(" ",99)),99)),IF('02_대상물건입력'!B15="",TRUE(),ISNUMBER(SEARCH('02_대상물건입력'!B15,L629)))),1,0))</f>
        <v/>
      </c>
      <c r="R629" s="175">
        <f>IFERROR(ABS(E629-'02_대상물건입력'!B11)/'02_대상물건입력'!B11,"")</f>
        <v/>
      </c>
      <c r="S629" s="152">
        <f>IFERROR(ABS(J629-'02_대상물건입력'!B10),"")</f>
        <v/>
      </c>
      <c r="T629" s="152">
        <f>IFERROR(ABS('01_설정'!B4-F629),"")</f>
        <v/>
      </c>
      <c r="U629" s="152">
        <f>IFERROR(ABS(K629-YEAR('02_대상물건입력'!B14)),"")</f>
        <v/>
      </c>
      <c r="V629" s="152">
        <f>IF(B629="","",IF(AND(E629&gt;0,F629&gt;0,H629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629=1,TRUE()),R629&lt;='01_설정'!B5,S629&lt;='01_설정'!B6,T629&lt;='01_설정'!B7,U629&lt;='01_설정'!B8),"Y",""))</f>
        <v/>
      </c>
      <c r="W629" s="172">
        <f>IF(V629&lt;&gt;"Y","",MAX(0,(1-R629/'01_설정'!B5))*'01_설정'!B14+MAX(0,(1-S629/'01_설정'!B6))*'01_설정'!B15+MAX(0,(1-T629/'01_설정'!B7))*'01_설정'!B16+MAX(0,(1-U629/'01_설정'!B8))*'01_설정'!B17+O629*'01_설정'!B11+Q629*'01_설정'!B12+P629*'01_설정'!B13+IF(Z629="",0,Z629))</f>
        <v/>
      </c>
      <c r="X629" s="152">
        <f>IF(W629="","",1+COUNTIFS($W$4:$W$3003,"&gt;"&amp;W629)+COUNTIFS($W$4:W629,W629)-1)</f>
        <v/>
      </c>
      <c r="Y629" s="175">
        <f>IF(OR(I629="",'02_대상물건입력'!B19="",'02_대상물건입력'!B19&lt;=0),"",ABS(I629-'02_대상물건입력'!B19)/'02_대상물건입력'!B19)</f>
        <v/>
      </c>
      <c r="Z629" s="172">
        <f>IF(OR(Y629="",'01_설정'!B31="",'01_설정'!B31&lt;=0,'01_설정'!B32="",'01_설정'!B32&lt;=0),"",MAX(0,(1-Y629/'01_설정'!B32))*'01_설정'!B31)</f>
        <v/>
      </c>
    </row>
    <row r="630" ht="17.25" customHeight="1">
      <c r="A630" s="152">
        <f>IF(INDEX('04A_국토부원자료'!$A:$A,ROW()+1)="","",ROW()-3)</f>
        <v/>
      </c>
      <c r="B630" s="48">
        <f>IFERROR(INDEX('04A_국토부원자료'!$A:$T,ROW()+1,MATCH("시군구",'04A_국토부원자료'!$A$4:$T$4,0)),"")</f>
        <v/>
      </c>
      <c r="C630" s="48">
        <f>IF(B630="","",IFERROR(INDEX('04A_국토부원자료'!$A:$T,ROW()+1,MATCH("번지",'04A_국토부원자료'!$A$4:$T$4,0)),""))</f>
        <v/>
      </c>
      <c r="D630" s="48">
        <f>IF(B630="","",IF(Q630=1,'02_대상물건입력'!$B$8,IFERROR(INDEX('04A_국토부원자료'!$A:$T,ROW()+1,MATCH("단지명",'04A_국토부원자료'!$A$4:$T$4,0)),"")))</f>
        <v/>
      </c>
      <c r="E630" s="172">
        <f>IFERROR(VALUE(SUBSTITUTE(INDEX('04A_국토부원자료'!$A:$T,ROW()+1,MATCH("전용면적(㎡)",'04A_국토부원자료'!$A$4:$T$4,0)),",","")),"")</f>
        <v/>
      </c>
      <c r="F6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30" s="51">
        <f>IFERROR(VALUE(SUBSTITUTE(INDEX('04A_국토부원자료'!$A:$T,ROW()+1,MATCH("거래금액(만원)",'04A_국토부원자료'!$A$4:$T$4,0)),",","")),"")</f>
        <v/>
      </c>
      <c r="H630" s="174">
        <f>IF(G630="","",G630*10000)</f>
        <v/>
      </c>
      <c r="I630" s="174">
        <f>IFERROR(IF(AND(H630&gt;0,E630&gt;0),H630/E630,""),"")</f>
        <v/>
      </c>
      <c r="J630" s="152">
        <f>IFERROR(VALUE(SUBSTITUTE(INDEX('04A_국토부원자료'!$A:$T,ROW()+1,MATCH("층",'04A_국토부원자료'!$A$4:$T$4,0)),",","")),"")</f>
        <v/>
      </c>
      <c r="K630" s="152">
        <f>IFERROR(VALUE(SUBSTITUTE(INDEX('04A_국토부원자료'!$A:$T,ROW()+1,MATCH("건축년도",'04A_국토부원자료'!$A$4:$T$4,0)),",","")),"")</f>
        <v/>
      </c>
      <c r="L630" s="176">
        <f>IFERROR(INDEX('04A_국토부원자료'!$A:$T,ROW()+1,MATCH("도로명",'04A_국토부원자료'!$A$4:$T$4,0)),"")</f>
        <v/>
      </c>
      <c r="M630" s="48">
        <f>IFERROR(INDEX('04A_국토부원자료'!$A:$T,ROW()+1,MATCH("거래유형",'04A_국토부원자료'!$A$4:$T$4,0)),"")</f>
        <v/>
      </c>
      <c r="N630" s="152">
        <f>IF(B630="","",IF('02_대상물건입력'!B5="",1,IF(ISNUMBER(SEARCH('02_대상물건입력'!B5,B630)),1,0)))</f>
        <v/>
      </c>
      <c r="O630" s="152">
        <f>IF(B630="","",IF('02_대상물건입력'!B6="",1,IF(ISNUMBER(SEARCH('02_대상물건입력'!B6,B630)),1,0)))</f>
        <v/>
      </c>
      <c r="P630" s="152">
        <f>IF(L630="","",IF('02_대상물건입력'!B15="",0,IF(ISNUMBER(SEARCH('02_대상물건입력'!B15,L630)),1,0)))</f>
        <v/>
      </c>
      <c r="Q630" s="152">
        <f>IF(OR(C630="",L630=""),0,IF(AND(TRIM(C630)=TRIM(RIGHT(SUBSTITUTE(TRIM('02_대상물건입력'!$B$7)," ",REPT(" ",99)),99)),IF('02_대상물건입력'!B15="",TRUE(),ISNUMBER(SEARCH('02_대상물건입력'!B15,L630)))),1,0))</f>
        <v/>
      </c>
      <c r="R630" s="175">
        <f>IFERROR(ABS(E630-'02_대상물건입력'!B11)/'02_대상물건입력'!B11,"")</f>
        <v/>
      </c>
      <c r="S630" s="152">
        <f>IFERROR(ABS(J630-'02_대상물건입력'!B10),"")</f>
        <v/>
      </c>
      <c r="T630" s="152">
        <f>IFERROR(ABS('01_설정'!B4-F630),"")</f>
        <v/>
      </c>
      <c r="U630" s="152">
        <f>IFERROR(ABS(K630-YEAR('02_대상물건입력'!B14)),"")</f>
        <v/>
      </c>
      <c r="V630" s="152">
        <f>IF(B630="","",IF(AND(E630&gt;0,F630&gt;0,H630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630=1,TRUE()),R630&lt;='01_설정'!B5,S630&lt;='01_설정'!B6,T630&lt;='01_설정'!B7,U630&lt;='01_설정'!B8),"Y",""))</f>
        <v/>
      </c>
      <c r="W630" s="172">
        <f>IF(V630&lt;&gt;"Y","",MAX(0,(1-R630/'01_설정'!B5))*'01_설정'!B14+MAX(0,(1-S630/'01_설정'!B6))*'01_설정'!B15+MAX(0,(1-T630/'01_설정'!B7))*'01_설정'!B16+MAX(0,(1-U630/'01_설정'!B8))*'01_설정'!B17+O630*'01_설정'!B11+Q630*'01_설정'!B12+P630*'01_설정'!B13+IF(Z630="",0,Z630))</f>
        <v/>
      </c>
      <c r="X630" s="152">
        <f>IF(W630="","",1+COUNTIFS($W$4:$W$3003,"&gt;"&amp;W630)+COUNTIFS($W$4:W630,W630)-1)</f>
        <v/>
      </c>
      <c r="Y630" s="175">
        <f>IF(OR(I630="",'02_대상물건입력'!B19="",'02_대상물건입력'!B19&lt;=0),"",ABS(I630-'02_대상물건입력'!B19)/'02_대상물건입력'!B19)</f>
        <v/>
      </c>
      <c r="Z630" s="172">
        <f>IF(OR(Y630="",'01_설정'!B31="",'01_설정'!B31&lt;=0,'01_설정'!B32="",'01_설정'!B32&lt;=0),"",MAX(0,(1-Y630/'01_설정'!B32))*'01_설정'!B31)</f>
        <v/>
      </c>
    </row>
    <row r="631" ht="17.25" customHeight="1">
      <c r="A631" s="152">
        <f>IF(INDEX('04A_국토부원자료'!$A:$A,ROW()+1)="","",ROW()-3)</f>
        <v/>
      </c>
      <c r="B631" s="48">
        <f>IFERROR(INDEX('04A_국토부원자료'!$A:$T,ROW()+1,MATCH("시군구",'04A_국토부원자료'!$A$4:$T$4,0)),"")</f>
        <v/>
      </c>
      <c r="C631" s="48">
        <f>IF(B631="","",IFERROR(INDEX('04A_국토부원자료'!$A:$T,ROW()+1,MATCH("번지",'04A_국토부원자료'!$A$4:$T$4,0)),""))</f>
        <v/>
      </c>
      <c r="D631" s="48">
        <f>IF(B631="","",IF(Q631=1,'02_대상물건입력'!$B$8,IFERROR(INDEX('04A_국토부원자료'!$A:$T,ROW()+1,MATCH("단지명",'04A_국토부원자료'!$A$4:$T$4,0)),"")))</f>
        <v/>
      </c>
      <c r="E631" s="172">
        <f>IFERROR(VALUE(SUBSTITUTE(INDEX('04A_국토부원자료'!$A:$T,ROW()+1,MATCH("전용면적(㎡)",'04A_국토부원자료'!$A$4:$T$4,0)),",","")),"")</f>
        <v/>
      </c>
      <c r="F6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31" s="51">
        <f>IFERROR(VALUE(SUBSTITUTE(INDEX('04A_국토부원자료'!$A:$T,ROW()+1,MATCH("거래금액(만원)",'04A_국토부원자료'!$A$4:$T$4,0)),",","")),"")</f>
        <v/>
      </c>
      <c r="H631" s="174">
        <f>IF(G631="","",G631*10000)</f>
        <v/>
      </c>
      <c r="I631" s="174">
        <f>IFERROR(IF(AND(H631&gt;0,E631&gt;0),H631/E631,""),"")</f>
        <v/>
      </c>
      <c r="J631" s="152">
        <f>IFERROR(VALUE(SUBSTITUTE(INDEX('04A_국토부원자료'!$A:$T,ROW()+1,MATCH("층",'04A_국토부원자료'!$A$4:$T$4,0)),",","")),"")</f>
        <v/>
      </c>
      <c r="K631" s="152">
        <f>IFERROR(VALUE(SUBSTITUTE(INDEX('04A_국토부원자료'!$A:$T,ROW()+1,MATCH("건축년도",'04A_국토부원자료'!$A$4:$T$4,0)),",","")),"")</f>
        <v/>
      </c>
      <c r="L631" s="176">
        <f>IFERROR(INDEX('04A_국토부원자료'!$A:$T,ROW()+1,MATCH("도로명",'04A_국토부원자료'!$A$4:$T$4,0)),"")</f>
        <v/>
      </c>
      <c r="M631" s="48">
        <f>IFERROR(INDEX('04A_국토부원자료'!$A:$T,ROW()+1,MATCH("거래유형",'04A_국토부원자료'!$A$4:$T$4,0)),"")</f>
        <v/>
      </c>
      <c r="N631" s="152">
        <f>IF(B631="","",IF('02_대상물건입력'!B5="",1,IF(ISNUMBER(SEARCH('02_대상물건입력'!B5,B631)),1,0)))</f>
        <v/>
      </c>
      <c r="O631" s="152">
        <f>IF(B631="","",IF('02_대상물건입력'!B6="",1,IF(ISNUMBER(SEARCH('02_대상물건입력'!B6,B631)),1,0)))</f>
        <v/>
      </c>
      <c r="P631" s="152">
        <f>IF(L631="","",IF('02_대상물건입력'!B15="",0,IF(ISNUMBER(SEARCH('02_대상물건입력'!B15,L631)),1,0)))</f>
        <v/>
      </c>
      <c r="Q631" s="152">
        <f>IF(OR(C631="",L631=""),0,IF(AND(TRIM(C631)=TRIM(RIGHT(SUBSTITUTE(TRIM('02_대상물건입력'!$B$7)," ",REPT(" ",99)),99)),IF('02_대상물건입력'!B15="",TRUE(),ISNUMBER(SEARCH('02_대상물건입력'!B15,L631)))),1,0))</f>
        <v/>
      </c>
      <c r="R631" s="175">
        <f>IFERROR(ABS(E631-'02_대상물건입력'!B11)/'02_대상물건입력'!B11,"")</f>
        <v/>
      </c>
      <c r="S631" s="152">
        <f>IFERROR(ABS(J631-'02_대상물건입력'!B10),"")</f>
        <v/>
      </c>
      <c r="T631" s="152">
        <f>IFERROR(ABS('01_설정'!B4-F631),"")</f>
        <v/>
      </c>
      <c r="U631" s="152">
        <f>IFERROR(ABS(K631-YEAR('02_대상물건입력'!B14)),"")</f>
        <v/>
      </c>
      <c r="V631" s="152">
        <f>IF(B631="","",IF(AND(E631&gt;0,F631&gt;0,H631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631=1,TRUE()),R631&lt;='01_설정'!B5,S631&lt;='01_설정'!B6,T631&lt;='01_설정'!B7,U631&lt;='01_설정'!B8),"Y",""))</f>
        <v/>
      </c>
      <c r="W631" s="172">
        <f>IF(V631&lt;&gt;"Y","",MAX(0,(1-R631/'01_설정'!B5))*'01_설정'!B14+MAX(0,(1-S631/'01_설정'!B6))*'01_설정'!B15+MAX(0,(1-T631/'01_설정'!B7))*'01_설정'!B16+MAX(0,(1-U631/'01_설정'!B8))*'01_설정'!B17+O631*'01_설정'!B11+Q631*'01_설정'!B12+P631*'01_설정'!B13+IF(Z631="",0,Z631))</f>
        <v/>
      </c>
      <c r="X631" s="152">
        <f>IF(W631="","",1+COUNTIFS($W$4:$W$3003,"&gt;"&amp;W631)+COUNTIFS($W$4:W631,W631)-1)</f>
        <v/>
      </c>
      <c r="Y631" s="175">
        <f>IF(OR(I631="",'02_대상물건입력'!B19="",'02_대상물건입력'!B19&lt;=0),"",ABS(I631-'02_대상물건입력'!B19)/'02_대상물건입력'!B19)</f>
        <v/>
      </c>
      <c r="Z631" s="172">
        <f>IF(OR(Y631="",'01_설정'!B31="",'01_설정'!B31&lt;=0,'01_설정'!B32="",'01_설정'!B32&lt;=0),"",MAX(0,(1-Y631/'01_설정'!B32))*'01_설정'!B31)</f>
        <v/>
      </c>
    </row>
    <row r="632" ht="17.25" customHeight="1">
      <c r="A632" s="152">
        <f>IF(INDEX('04A_국토부원자료'!$A:$A,ROW()+1)="","",ROW()-3)</f>
        <v/>
      </c>
      <c r="B632" s="48">
        <f>IFERROR(INDEX('04A_국토부원자료'!$A:$T,ROW()+1,MATCH("시군구",'04A_국토부원자료'!$A$4:$T$4,0)),"")</f>
        <v/>
      </c>
      <c r="C632" s="48">
        <f>IF(B632="","",IFERROR(INDEX('04A_국토부원자료'!$A:$T,ROW()+1,MATCH("번지",'04A_국토부원자료'!$A$4:$T$4,0)),""))</f>
        <v/>
      </c>
      <c r="D632" s="48">
        <f>IF(B632="","",IF(Q632=1,'02_대상물건입력'!$B$8,IFERROR(INDEX('04A_국토부원자료'!$A:$T,ROW()+1,MATCH("단지명",'04A_국토부원자료'!$A$4:$T$4,0)),"")))</f>
        <v/>
      </c>
      <c r="E632" s="172">
        <f>IFERROR(VALUE(SUBSTITUTE(INDEX('04A_국토부원자료'!$A:$T,ROW()+1,MATCH("전용면적(㎡)",'04A_국토부원자료'!$A$4:$T$4,0)),",","")),"")</f>
        <v/>
      </c>
      <c r="F6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32" s="51">
        <f>IFERROR(VALUE(SUBSTITUTE(INDEX('04A_국토부원자료'!$A:$T,ROW()+1,MATCH("거래금액(만원)",'04A_국토부원자료'!$A$4:$T$4,0)),",","")),"")</f>
        <v/>
      </c>
      <c r="H632" s="174">
        <f>IF(G632="","",G632*10000)</f>
        <v/>
      </c>
      <c r="I632" s="174">
        <f>IFERROR(IF(AND(H632&gt;0,E632&gt;0),H632/E632,""),"")</f>
        <v/>
      </c>
      <c r="J632" s="152">
        <f>IFERROR(VALUE(SUBSTITUTE(INDEX('04A_국토부원자료'!$A:$T,ROW()+1,MATCH("층",'04A_국토부원자료'!$A$4:$T$4,0)),",","")),"")</f>
        <v/>
      </c>
      <c r="K632" s="152">
        <f>IFERROR(VALUE(SUBSTITUTE(INDEX('04A_국토부원자료'!$A:$T,ROW()+1,MATCH("건축년도",'04A_국토부원자료'!$A$4:$T$4,0)),",","")),"")</f>
        <v/>
      </c>
      <c r="L632" s="176">
        <f>IFERROR(INDEX('04A_국토부원자료'!$A:$T,ROW()+1,MATCH("도로명",'04A_국토부원자료'!$A$4:$T$4,0)),"")</f>
        <v/>
      </c>
      <c r="M632" s="48">
        <f>IFERROR(INDEX('04A_국토부원자료'!$A:$T,ROW()+1,MATCH("거래유형",'04A_국토부원자료'!$A$4:$T$4,0)),"")</f>
        <v/>
      </c>
      <c r="N632" s="152">
        <f>IF(B632="","",IF('02_대상물건입력'!B5="",1,IF(ISNUMBER(SEARCH('02_대상물건입력'!B5,B632)),1,0)))</f>
        <v/>
      </c>
      <c r="O632" s="152">
        <f>IF(B632="","",IF('02_대상물건입력'!B6="",1,IF(ISNUMBER(SEARCH('02_대상물건입력'!B6,B632)),1,0)))</f>
        <v/>
      </c>
      <c r="P632" s="152">
        <f>IF(L632="","",IF('02_대상물건입력'!B15="",0,IF(ISNUMBER(SEARCH('02_대상물건입력'!B15,L632)),1,0)))</f>
        <v/>
      </c>
      <c r="Q632" s="152">
        <f>IF(OR(C632="",L632=""),0,IF(AND(TRIM(C632)=TRIM(RIGHT(SUBSTITUTE(TRIM('02_대상물건입력'!$B$7)," ",REPT(" ",99)),99)),IF('02_대상물건입력'!B15="",TRUE(),ISNUMBER(SEARCH('02_대상물건입력'!B15,L632)))),1,0))</f>
        <v/>
      </c>
      <c r="R632" s="175">
        <f>IFERROR(ABS(E632-'02_대상물건입력'!B11)/'02_대상물건입력'!B11,"")</f>
        <v/>
      </c>
      <c r="S632" s="152">
        <f>IFERROR(ABS(J632-'02_대상물건입력'!B10),"")</f>
        <v/>
      </c>
      <c r="T632" s="152">
        <f>IFERROR(ABS('01_설정'!B4-F632),"")</f>
        <v/>
      </c>
      <c r="U632" s="152">
        <f>IFERROR(ABS(K632-YEAR('02_대상물건입력'!B14)),"")</f>
        <v/>
      </c>
      <c r="V632" s="152">
        <f>IF(B632="","",IF(AND(E632&gt;0,F632&gt;0,H632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632=1,TRUE()),R632&lt;='01_설정'!B5,S632&lt;='01_설정'!B6,T632&lt;='01_설정'!B7,U632&lt;='01_설정'!B8),"Y",""))</f>
        <v/>
      </c>
      <c r="W632" s="172">
        <f>IF(V632&lt;&gt;"Y","",MAX(0,(1-R632/'01_설정'!B5))*'01_설정'!B14+MAX(0,(1-S632/'01_설정'!B6))*'01_설정'!B15+MAX(0,(1-T632/'01_설정'!B7))*'01_설정'!B16+MAX(0,(1-U632/'01_설정'!B8))*'01_설정'!B17+O632*'01_설정'!B11+Q632*'01_설정'!B12+P632*'01_설정'!B13+IF(Z632="",0,Z632))</f>
        <v/>
      </c>
      <c r="X632" s="152">
        <f>IF(W632="","",1+COUNTIFS($W$4:$W$3003,"&gt;"&amp;W632)+COUNTIFS($W$4:W632,W632)-1)</f>
        <v/>
      </c>
      <c r="Y632" s="175">
        <f>IF(OR(I632="",'02_대상물건입력'!B19="",'02_대상물건입력'!B19&lt;=0),"",ABS(I632-'02_대상물건입력'!B19)/'02_대상물건입력'!B19)</f>
        <v/>
      </c>
      <c r="Z632" s="172">
        <f>IF(OR(Y632="",'01_설정'!B31="",'01_설정'!B31&lt;=0,'01_설정'!B32="",'01_설정'!B32&lt;=0),"",MAX(0,(1-Y632/'01_설정'!B32))*'01_설정'!B31)</f>
        <v/>
      </c>
    </row>
    <row r="633" ht="17.25" customHeight="1">
      <c r="A633" s="152">
        <f>IF(INDEX('04A_국토부원자료'!$A:$A,ROW()+1)="","",ROW()-3)</f>
        <v/>
      </c>
      <c r="B633" s="48">
        <f>IFERROR(INDEX('04A_국토부원자료'!$A:$T,ROW()+1,MATCH("시군구",'04A_국토부원자료'!$A$4:$T$4,0)),"")</f>
        <v/>
      </c>
      <c r="C633" s="48">
        <f>IF(B633="","",IFERROR(INDEX('04A_국토부원자료'!$A:$T,ROW()+1,MATCH("번지",'04A_국토부원자료'!$A$4:$T$4,0)),""))</f>
        <v/>
      </c>
      <c r="D633" s="48">
        <f>IF(B633="","",IF(Q633=1,'02_대상물건입력'!$B$8,IFERROR(INDEX('04A_국토부원자료'!$A:$T,ROW()+1,MATCH("단지명",'04A_국토부원자료'!$A$4:$T$4,0)),"")))</f>
        <v/>
      </c>
      <c r="E633" s="172">
        <f>IFERROR(VALUE(SUBSTITUTE(INDEX('04A_국토부원자료'!$A:$T,ROW()+1,MATCH("전용면적(㎡)",'04A_국토부원자료'!$A$4:$T$4,0)),",","")),"")</f>
        <v/>
      </c>
      <c r="F6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33" s="51">
        <f>IFERROR(VALUE(SUBSTITUTE(INDEX('04A_국토부원자료'!$A:$T,ROW()+1,MATCH("거래금액(만원)",'04A_국토부원자료'!$A$4:$T$4,0)),",","")),"")</f>
        <v/>
      </c>
      <c r="H633" s="174">
        <f>IF(G633="","",G633*10000)</f>
        <v/>
      </c>
      <c r="I633" s="174">
        <f>IFERROR(IF(AND(H633&gt;0,E633&gt;0),H633/E633,""),"")</f>
        <v/>
      </c>
      <c r="J633" s="152">
        <f>IFERROR(VALUE(SUBSTITUTE(INDEX('04A_국토부원자료'!$A:$T,ROW()+1,MATCH("층",'04A_국토부원자료'!$A$4:$T$4,0)),",","")),"")</f>
        <v/>
      </c>
      <c r="K633" s="152">
        <f>IFERROR(VALUE(SUBSTITUTE(INDEX('04A_국토부원자료'!$A:$T,ROW()+1,MATCH("건축년도",'04A_국토부원자료'!$A$4:$T$4,0)),",","")),"")</f>
        <v/>
      </c>
      <c r="L633" s="176">
        <f>IFERROR(INDEX('04A_국토부원자료'!$A:$T,ROW()+1,MATCH("도로명",'04A_국토부원자료'!$A$4:$T$4,0)),"")</f>
        <v/>
      </c>
      <c r="M633" s="48">
        <f>IFERROR(INDEX('04A_국토부원자료'!$A:$T,ROW()+1,MATCH("거래유형",'04A_국토부원자료'!$A$4:$T$4,0)),"")</f>
        <v/>
      </c>
      <c r="N633" s="152">
        <f>IF(B633="","",IF('02_대상물건입력'!B5="",1,IF(ISNUMBER(SEARCH('02_대상물건입력'!B5,B633)),1,0)))</f>
        <v/>
      </c>
      <c r="O633" s="152">
        <f>IF(B633="","",IF('02_대상물건입력'!B6="",1,IF(ISNUMBER(SEARCH('02_대상물건입력'!B6,B633)),1,0)))</f>
        <v/>
      </c>
      <c r="P633" s="152">
        <f>IF(L633="","",IF('02_대상물건입력'!B15="",0,IF(ISNUMBER(SEARCH('02_대상물건입력'!B15,L633)),1,0)))</f>
        <v/>
      </c>
      <c r="Q633" s="152">
        <f>IF(OR(C633="",L633=""),0,IF(AND(TRIM(C633)=TRIM(RIGHT(SUBSTITUTE(TRIM('02_대상물건입력'!$B$7)," ",REPT(" ",99)),99)),IF('02_대상물건입력'!B15="",TRUE(),ISNUMBER(SEARCH('02_대상물건입력'!B15,L633)))),1,0))</f>
        <v/>
      </c>
      <c r="R633" s="175">
        <f>IFERROR(ABS(E633-'02_대상물건입력'!B11)/'02_대상물건입력'!B11,"")</f>
        <v/>
      </c>
      <c r="S633" s="152">
        <f>IFERROR(ABS(J633-'02_대상물건입력'!B10),"")</f>
        <v/>
      </c>
      <c r="T633" s="152">
        <f>IFERROR(ABS('01_설정'!B4-F633),"")</f>
        <v/>
      </c>
      <c r="U633" s="152">
        <f>IFERROR(ABS(K633-YEAR('02_대상물건입력'!B14)),"")</f>
        <v/>
      </c>
      <c r="V633" s="152">
        <f>IF(B633="","",IF(AND(E633&gt;0,F633&gt;0,H633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633=1,TRUE()),R633&lt;='01_설정'!B5,S633&lt;='01_설정'!B6,T633&lt;='01_설정'!B7,U633&lt;='01_설정'!B8),"Y",""))</f>
        <v/>
      </c>
      <c r="W633" s="172">
        <f>IF(V633&lt;&gt;"Y","",MAX(0,(1-R633/'01_설정'!B5))*'01_설정'!B14+MAX(0,(1-S633/'01_설정'!B6))*'01_설정'!B15+MAX(0,(1-T633/'01_설정'!B7))*'01_설정'!B16+MAX(0,(1-U633/'01_설정'!B8))*'01_설정'!B17+O633*'01_설정'!B11+Q633*'01_설정'!B12+P633*'01_설정'!B13+IF(Z633="",0,Z633))</f>
        <v/>
      </c>
      <c r="X633" s="152">
        <f>IF(W633="","",1+COUNTIFS($W$4:$W$3003,"&gt;"&amp;W633)+COUNTIFS($W$4:W633,W633)-1)</f>
        <v/>
      </c>
      <c r="Y633" s="175">
        <f>IF(OR(I633="",'02_대상물건입력'!B19="",'02_대상물건입력'!B19&lt;=0),"",ABS(I633-'02_대상물건입력'!B19)/'02_대상물건입력'!B19)</f>
        <v/>
      </c>
      <c r="Z633" s="172">
        <f>IF(OR(Y633="",'01_설정'!B31="",'01_설정'!B31&lt;=0,'01_설정'!B32="",'01_설정'!B32&lt;=0),"",MAX(0,(1-Y633/'01_설정'!B32))*'01_설정'!B31)</f>
        <v/>
      </c>
    </row>
    <row r="634" ht="17.25" customHeight="1">
      <c r="A634" s="152">
        <f>IF(INDEX('04A_국토부원자료'!$A:$A,ROW()+1)="","",ROW()-3)</f>
        <v/>
      </c>
      <c r="B634" s="48">
        <f>IFERROR(INDEX('04A_국토부원자료'!$A:$T,ROW()+1,MATCH("시군구",'04A_국토부원자료'!$A$4:$T$4,0)),"")</f>
        <v/>
      </c>
      <c r="C634" s="48">
        <f>IF(B634="","",IFERROR(INDEX('04A_국토부원자료'!$A:$T,ROW()+1,MATCH("번지",'04A_국토부원자료'!$A$4:$T$4,0)),""))</f>
        <v/>
      </c>
      <c r="D634" s="48">
        <f>IF(B634="","",IF(Q634=1,'02_대상물건입력'!$B$8,IFERROR(INDEX('04A_국토부원자료'!$A:$T,ROW()+1,MATCH("단지명",'04A_국토부원자료'!$A$4:$T$4,0)),"")))</f>
        <v/>
      </c>
      <c r="E634" s="172">
        <f>IFERROR(VALUE(SUBSTITUTE(INDEX('04A_국토부원자료'!$A:$T,ROW()+1,MATCH("전용면적(㎡)",'04A_국토부원자료'!$A$4:$T$4,0)),",","")),"")</f>
        <v/>
      </c>
      <c r="F6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34" s="51">
        <f>IFERROR(VALUE(SUBSTITUTE(INDEX('04A_국토부원자료'!$A:$T,ROW()+1,MATCH("거래금액(만원)",'04A_국토부원자료'!$A$4:$T$4,0)),",","")),"")</f>
        <v/>
      </c>
      <c r="H634" s="174">
        <f>IF(G634="","",G634*10000)</f>
        <v/>
      </c>
      <c r="I634" s="174">
        <f>IFERROR(IF(AND(H634&gt;0,E634&gt;0),H634/E634,""),"")</f>
        <v/>
      </c>
      <c r="J634" s="152">
        <f>IFERROR(VALUE(SUBSTITUTE(INDEX('04A_국토부원자료'!$A:$T,ROW()+1,MATCH("층",'04A_국토부원자료'!$A$4:$T$4,0)),",","")),"")</f>
        <v/>
      </c>
      <c r="K634" s="152">
        <f>IFERROR(VALUE(SUBSTITUTE(INDEX('04A_국토부원자료'!$A:$T,ROW()+1,MATCH("건축년도",'04A_국토부원자료'!$A$4:$T$4,0)),",","")),"")</f>
        <v/>
      </c>
      <c r="L634" s="176">
        <f>IFERROR(INDEX('04A_국토부원자료'!$A:$T,ROW()+1,MATCH("도로명",'04A_국토부원자료'!$A$4:$T$4,0)),"")</f>
        <v/>
      </c>
      <c r="M634" s="48">
        <f>IFERROR(INDEX('04A_국토부원자료'!$A:$T,ROW()+1,MATCH("거래유형",'04A_국토부원자료'!$A$4:$T$4,0)),"")</f>
        <v/>
      </c>
      <c r="N634" s="152">
        <f>IF(B634="","",IF('02_대상물건입력'!B5="",1,IF(ISNUMBER(SEARCH('02_대상물건입력'!B5,B634)),1,0)))</f>
        <v/>
      </c>
      <c r="O634" s="152">
        <f>IF(B634="","",IF('02_대상물건입력'!B6="",1,IF(ISNUMBER(SEARCH('02_대상물건입력'!B6,B634)),1,0)))</f>
        <v/>
      </c>
      <c r="P634" s="152">
        <f>IF(L634="","",IF('02_대상물건입력'!B15="",0,IF(ISNUMBER(SEARCH('02_대상물건입력'!B15,L634)),1,0)))</f>
        <v/>
      </c>
      <c r="Q634" s="152">
        <f>IF(OR(C634="",L634=""),0,IF(AND(TRIM(C634)=TRIM(RIGHT(SUBSTITUTE(TRIM('02_대상물건입력'!$B$7)," ",REPT(" ",99)),99)),IF('02_대상물건입력'!B15="",TRUE(),ISNUMBER(SEARCH('02_대상물건입력'!B15,L634)))),1,0))</f>
        <v/>
      </c>
      <c r="R634" s="175">
        <f>IFERROR(ABS(E634-'02_대상물건입력'!B11)/'02_대상물건입력'!B11,"")</f>
        <v/>
      </c>
      <c r="S634" s="152">
        <f>IFERROR(ABS(J634-'02_대상물건입력'!B10),"")</f>
        <v/>
      </c>
      <c r="T634" s="152">
        <f>IFERROR(ABS('01_설정'!B4-F634),"")</f>
        <v/>
      </c>
      <c r="U634" s="152">
        <f>IFERROR(ABS(K634-YEAR('02_대상물건입력'!B14)),"")</f>
        <v/>
      </c>
      <c r="V634" s="152">
        <f>IF(B634="","",IF(AND(E634&gt;0,F634&gt;0,H634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634=1,TRUE()),R634&lt;='01_설정'!B5,S634&lt;='01_설정'!B6,T634&lt;='01_설정'!B7,U634&lt;='01_설정'!B8),"Y",""))</f>
        <v/>
      </c>
      <c r="W634" s="172">
        <f>IF(V634&lt;&gt;"Y","",MAX(0,(1-R634/'01_설정'!B5))*'01_설정'!B14+MAX(0,(1-S634/'01_설정'!B6))*'01_설정'!B15+MAX(0,(1-T634/'01_설정'!B7))*'01_설정'!B16+MAX(0,(1-U634/'01_설정'!B8))*'01_설정'!B17+O634*'01_설정'!B11+Q634*'01_설정'!B12+P634*'01_설정'!B13+IF(Z634="",0,Z634))</f>
        <v/>
      </c>
      <c r="X634" s="152">
        <f>IF(W634="","",1+COUNTIFS($W$4:$W$3003,"&gt;"&amp;W634)+COUNTIFS($W$4:W634,W634)-1)</f>
        <v/>
      </c>
      <c r="Y634" s="175">
        <f>IF(OR(I634="",'02_대상물건입력'!B19="",'02_대상물건입력'!B19&lt;=0),"",ABS(I634-'02_대상물건입력'!B19)/'02_대상물건입력'!B19)</f>
        <v/>
      </c>
      <c r="Z634" s="172">
        <f>IF(OR(Y634="",'01_설정'!B31="",'01_설정'!B31&lt;=0,'01_설정'!B32="",'01_설정'!B32&lt;=0),"",MAX(0,(1-Y634/'01_설정'!B32))*'01_설정'!B31)</f>
        <v/>
      </c>
    </row>
    <row r="635" ht="17.25" customHeight="1">
      <c r="A635" s="152">
        <f>IF(INDEX('04A_국토부원자료'!$A:$A,ROW()+1)="","",ROW()-3)</f>
        <v/>
      </c>
      <c r="B635" s="48">
        <f>IFERROR(INDEX('04A_국토부원자료'!$A:$T,ROW()+1,MATCH("시군구",'04A_국토부원자료'!$A$4:$T$4,0)),"")</f>
        <v/>
      </c>
      <c r="C635" s="48">
        <f>IF(B635="","",IFERROR(INDEX('04A_국토부원자료'!$A:$T,ROW()+1,MATCH("번지",'04A_국토부원자료'!$A$4:$T$4,0)),""))</f>
        <v/>
      </c>
      <c r="D635" s="48">
        <f>IF(B635="","",IF(Q635=1,'02_대상물건입력'!$B$8,IFERROR(INDEX('04A_국토부원자료'!$A:$T,ROW()+1,MATCH("단지명",'04A_국토부원자료'!$A$4:$T$4,0)),"")))</f>
        <v/>
      </c>
      <c r="E635" s="172">
        <f>IFERROR(VALUE(SUBSTITUTE(INDEX('04A_국토부원자료'!$A:$T,ROW()+1,MATCH("전용면적(㎡)",'04A_국토부원자료'!$A$4:$T$4,0)),",","")),"")</f>
        <v/>
      </c>
      <c r="F6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35" s="51">
        <f>IFERROR(VALUE(SUBSTITUTE(INDEX('04A_국토부원자료'!$A:$T,ROW()+1,MATCH("거래금액(만원)",'04A_국토부원자료'!$A$4:$T$4,0)),",","")),"")</f>
        <v/>
      </c>
      <c r="H635" s="174">
        <f>IF(G635="","",G635*10000)</f>
        <v/>
      </c>
      <c r="I635" s="174">
        <f>IFERROR(IF(AND(H635&gt;0,E635&gt;0),H635/E635,""),"")</f>
        <v/>
      </c>
      <c r="J635" s="152">
        <f>IFERROR(VALUE(SUBSTITUTE(INDEX('04A_국토부원자료'!$A:$T,ROW()+1,MATCH("층",'04A_국토부원자료'!$A$4:$T$4,0)),",","")),"")</f>
        <v/>
      </c>
      <c r="K635" s="152">
        <f>IFERROR(VALUE(SUBSTITUTE(INDEX('04A_국토부원자료'!$A:$T,ROW()+1,MATCH("건축년도",'04A_국토부원자료'!$A$4:$T$4,0)),",","")),"")</f>
        <v/>
      </c>
      <c r="L635" s="176">
        <f>IFERROR(INDEX('04A_국토부원자료'!$A:$T,ROW()+1,MATCH("도로명",'04A_국토부원자료'!$A$4:$T$4,0)),"")</f>
        <v/>
      </c>
      <c r="M635" s="48">
        <f>IFERROR(INDEX('04A_국토부원자료'!$A:$T,ROW()+1,MATCH("거래유형",'04A_국토부원자료'!$A$4:$T$4,0)),"")</f>
        <v/>
      </c>
      <c r="N635" s="152">
        <f>IF(B635="","",IF('02_대상물건입력'!B5="",1,IF(ISNUMBER(SEARCH('02_대상물건입력'!B5,B635)),1,0)))</f>
        <v/>
      </c>
      <c r="O635" s="152">
        <f>IF(B635="","",IF('02_대상물건입력'!B6="",1,IF(ISNUMBER(SEARCH('02_대상물건입력'!B6,B635)),1,0)))</f>
        <v/>
      </c>
      <c r="P635" s="152">
        <f>IF(L635="","",IF('02_대상물건입력'!B15="",0,IF(ISNUMBER(SEARCH('02_대상물건입력'!B15,L635)),1,0)))</f>
        <v/>
      </c>
      <c r="Q635" s="152">
        <f>IF(OR(C635="",L635=""),0,IF(AND(TRIM(C635)=TRIM(RIGHT(SUBSTITUTE(TRIM('02_대상물건입력'!$B$7)," ",REPT(" ",99)),99)),IF('02_대상물건입력'!B15="",TRUE(),ISNUMBER(SEARCH('02_대상물건입력'!B15,L635)))),1,0))</f>
        <v/>
      </c>
      <c r="R635" s="175">
        <f>IFERROR(ABS(E635-'02_대상물건입력'!B11)/'02_대상물건입력'!B11,"")</f>
        <v/>
      </c>
      <c r="S635" s="152">
        <f>IFERROR(ABS(J635-'02_대상물건입력'!B10),"")</f>
        <v/>
      </c>
      <c r="T635" s="152">
        <f>IFERROR(ABS('01_설정'!B4-F635),"")</f>
        <v/>
      </c>
      <c r="U635" s="152">
        <f>IFERROR(ABS(K635-YEAR('02_대상물건입력'!B14)),"")</f>
        <v/>
      </c>
      <c r="V635" s="152">
        <f>IF(B635="","",IF(AND(E635&gt;0,F635&gt;0,H635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635=1,TRUE()),R635&lt;='01_설정'!B5,S635&lt;='01_설정'!B6,T635&lt;='01_설정'!B7,U635&lt;='01_설정'!B8),"Y",""))</f>
        <v/>
      </c>
      <c r="W635" s="172">
        <f>IF(V635&lt;&gt;"Y","",MAX(0,(1-R635/'01_설정'!B5))*'01_설정'!B14+MAX(0,(1-S635/'01_설정'!B6))*'01_설정'!B15+MAX(0,(1-T635/'01_설정'!B7))*'01_설정'!B16+MAX(0,(1-U635/'01_설정'!B8))*'01_설정'!B17+O635*'01_설정'!B11+Q635*'01_설정'!B12+P635*'01_설정'!B13+IF(Z635="",0,Z635))</f>
        <v/>
      </c>
      <c r="X635" s="152">
        <f>IF(W635="","",1+COUNTIFS($W$4:$W$3003,"&gt;"&amp;W635)+COUNTIFS($W$4:W635,W635)-1)</f>
        <v/>
      </c>
      <c r="Y635" s="175">
        <f>IF(OR(I635="",'02_대상물건입력'!B19="",'02_대상물건입력'!B19&lt;=0),"",ABS(I635-'02_대상물건입력'!B19)/'02_대상물건입력'!B19)</f>
        <v/>
      </c>
      <c r="Z635" s="172">
        <f>IF(OR(Y635="",'01_설정'!B31="",'01_설정'!B31&lt;=0,'01_설정'!B32="",'01_설정'!B32&lt;=0),"",MAX(0,(1-Y635/'01_설정'!B32))*'01_설정'!B31)</f>
        <v/>
      </c>
    </row>
    <row r="636" ht="17.25" customHeight="1">
      <c r="A636" s="152">
        <f>IF(INDEX('04A_국토부원자료'!$A:$A,ROW()+1)="","",ROW()-3)</f>
        <v/>
      </c>
      <c r="B636" s="48">
        <f>IFERROR(INDEX('04A_국토부원자료'!$A:$T,ROW()+1,MATCH("시군구",'04A_국토부원자료'!$A$4:$T$4,0)),"")</f>
        <v/>
      </c>
      <c r="C636" s="48">
        <f>IF(B636="","",IFERROR(INDEX('04A_국토부원자료'!$A:$T,ROW()+1,MATCH("번지",'04A_국토부원자료'!$A$4:$T$4,0)),""))</f>
        <v/>
      </c>
      <c r="D636" s="48">
        <f>IF(B636="","",IF(Q636=1,'02_대상물건입력'!$B$8,IFERROR(INDEX('04A_국토부원자료'!$A:$T,ROW()+1,MATCH("단지명",'04A_국토부원자료'!$A$4:$T$4,0)),"")))</f>
        <v/>
      </c>
      <c r="E636" s="172">
        <f>IFERROR(VALUE(SUBSTITUTE(INDEX('04A_국토부원자료'!$A:$T,ROW()+1,MATCH("전용면적(㎡)",'04A_국토부원자료'!$A$4:$T$4,0)),",","")),"")</f>
        <v/>
      </c>
      <c r="F6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36" s="51">
        <f>IFERROR(VALUE(SUBSTITUTE(INDEX('04A_국토부원자료'!$A:$T,ROW()+1,MATCH("거래금액(만원)",'04A_국토부원자료'!$A$4:$T$4,0)),",","")),"")</f>
        <v/>
      </c>
      <c r="H636" s="174">
        <f>IF(G636="","",G636*10000)</f>
        <v/>
      </c>
      <c r="I636" s="174">
        <f>IFERROR(IF(AND(H636&gt;0,E636&gt;0),H636/E636,""),"")</f>
        <v/>
      </c>
      <c r="J636" s="152">
        <f>IFERROR(VALUE(SUBSTITUTE(INDEX('04A_국토부원자료'!$A:$T,ROW()+1,MATCH("층",'04A_국토부원자료'!$A$4:$T$4,0)),",","")),"")</f>
        <v/>
      </c>
      <c r="K636" s="152">
        <f>IFERROR(VALUE(SUBSTITUTE(INDEX('04A_국토부원자료'!$A:$T,ROW()+1,MATCH("건축년도",'04A_국토부원자료'!$A$4:$T$4,0)),",","")),"")</f>
        <v/>
      </c>
      <c r="L636" s="176">
        <f>IFERROR(INDEX('04A_국토부원자료'!$A:$T,ROW()+1,MATCH("도로명",'04A_국토부원자료'!$A$4:$T$4,0)),"")</f>
        <v/>
      </c>
      <c r="M636" s="48">
        <f>IFERROR(INDEX('04A_국토부원자료'!$A:$T,ROW()+1,MATCH("거래유형",'04A_국토부원자료'!$A$4:$T$4,0)),"")</f>
        <v/>
      </c>
      <c r="N636" s="152">
        <f>IF(B636="","",IF('02_대상물건입력'!B5="",1,IF(ISNUMBER(SEARCH('02_대상물건입력'!B5,B636)),1,0)))</f>
        <v/>
      </c>
      <c r="O636" s="152">
        <f>IF(B636="","",IF('02_대상물건입력'!B6="",1,IF(ISNUMBER(SEARCH('02_대상물건입력'!B6,B636)),1,0)))</f>
        <v/>
      </c>
      <c r="P636" s="152">
        <f>IF(L636="","",IF('02_대상물건입력'!B15="",0,IF(ISNUMBER(SEARCH('02_대상물건입력'!B15,L636)),1,0)))</f>
        <v/>
      </c>
      <c r="Q636" s="152">
        <f>IF(OR(C636="",L636=""),0,IF(AND(TRIM(C636)=TRIM(RIGHT(SUBSTITUTE(TRIM('02_대상물건입력'!$B$7)," ",REPT(" ",99)),99)),IF('02_대상물건입력'!B15="",TRUE(),ISNUMBER(SEARCH('02_대상물건입력'!B15,L636)))),1,0))</f>
        <v/>
      </c>
      <c r="R636" s="175">
        <f>IFERROR(ABS(E636-'02_대상물건입력'!B11)/'02_대상물건입력'!B11,"")</f>
        <v/>
      </c>
      <c r="S636" s="152">
        <f>IFERROR(ABS(J636-'02_대상물건입력'!B10),"")</f>
        <v/>
      </c>
      <c r="T636" s="152">
        <f>IFERROR(ABS('01_설정'!B4-F636),"")</f>
        <v/>
      </c>
      <c r="U636" s="152">
        <f>IFERROR(ABS(K636-YEAR('02_대상물건입력'!B14)),"")</f>
        <v/>
      </c>
      <c r="V636" s="152">
        <f>IF(B636="","",IF(AND(E636&gt;0,F636&gt;0,H636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636=1,TRUE()),R636&lt;='01_설정'!B5,S636&lt;='01_설정'!B6,T636&lt;='01_설정'!B7,U636&lt;='01_설정'!B8),"Y",""))</f>
        <v/>
      </c>
      <c r="W636" s="172">
        <f>IF(V636&lt;&gt;"Y","",MAX(0,(1-R636/'01_설정'!B5))*'01_설정'!B14+MAX(0,(1-S636/'01_설정'!B6))*'01_설정'!B15+MAX(0,(1-T636/'01_설정'!B7))*'01_설정'!B16+MAX(0,(1-U636/'01_설정'!B8))*'01_설정'!B17+O636*'01_설정'!B11+Q636*'01_설정'!B12+P636*'01_설정'!B13+IF(Z636="",0,Z636))</f>
        <v/>
      </c>
      <c r="X636" s="152">
        <f>IF(W636="","",1+COUNTIFS($W$4:$W$3003,"&gt;"&amp;W636)+COUNTIFS($W$4:W636,W636)-1)</f>
        <v/>
      </c>
      <c r="Y636" s="175">
        <f>IF(OR(I636="",'02_대상물건입력'!B19="",'02_대상물건입력'!B19&lt;=0),"",ABS(I636-'02_대상물건입력'!B19)/'02_대상물건입력'!B19)</f>
        <v/>
      </c>
      <c r="Z636" s="172">
        <f>IF(OR(Y636="",'01_설정'!B31="",'01_설정'!B31&lt;=0,'01_설정'!B32="",'01_설정'!B32&lt;=0),"",MAX(0,(1-Y636/'01_설정'!B32))*'01_설정'!B31)</f>
        <v/>
      </c>
    </row>
    <row r="637" ht="17.25" customHeight="1">
      <c r="A637" s="152">
        <f>IF(INDEX('04A_국토부원자료'!$A:$A,ROW()+1)="","",ROW()-3)</f>
        <v/>
      </c>
      <c r="B637" s="48">
        <f>IFERROR(INDEX('04A_국토부원자료'!$A:$T,ROW()+1,MATCH("시군구",'04A_국토부원자료'!$A$4:$T$4,0)),"")</f>
        <v/>
      </c>
      <c r="C637" s="48">
        <f>IF(B637="","",IFERROR(INDEX('04A_국토부원자료'!$A:$T,ROW()+1,MATCH("번지",'04A_국토부원자료'!$A$4:$T$4,0)),""))</f>
        <v/>
      </c>
      <c r="D637" s="48">
        <f>IF(B637="","",IF(Q637=1,'02_대상물건입력'!$B$8,IFERROR(INDEX('04A_국토부원자료'!$A:$T,ROW()+1,MATCH("단지명",'04A_국토부원자료'!$A$4:$T$4,0)),"")))</f>
        <v/>
      </c>
      <c r="E637" s="172">
        <f>IFERROR(VALUE(SUBSTITUTE(INDEX('04A_국토부원자료'!$A:$T,ROW()+1,MATCH("전용면적(㎡)",'04A_국토부원자료'!$A$4:$T$4,0)),",","")),"")</f>
        <v/>
      </c>
      <c r="F6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37" s="51">
        <f>IFERROR(VALUE(SUBSTITUTE(INDEX('04A_국토부원자료'!$A:$T,ROW()+1,MATCH("거래금액(만원)",'04A_국토부원자료'!$A$4:$T$4,0)),",","")),"")</f>
        <v/>
      </c>
      <c r="H637" s="174">
        <f>IF(G637="","",G637*10000)</f>
        <v/>
      </c>
      <c r="I637" s="174">
        <f>IFERROR(IF(AND(H637&gt;0,E637&gt;0),H637/E637,""),"")</f>
        <v/>
      </c>
      <c r="J637" s="152">
        <f>IFERROR(VALUE(SUBSTITUTE(INDEX('04A_국토부원자료'!$A:$T,ROW()+1,MATCH("층",'04A_국토부원자료'!$A$4:$T$4,0)),",","")),"")</f>
        <v/>
      </c>
      <c r="K637" s="152">
        <f>IFERROR(VALUE(SUBSTITUTE(INDEX('04A_국토부원자료'!$A:$T,ROW()+1,MATCH("건축년도",'04A_국토부원자료'!$A$4:$T$4,0)),",","")),"")</f>
        <v/>
      </c>
      <c r="L637" s="176">
        <f>IFERROR(INDEX('04A_국토부원자료'!$A:$T,ROW()+1,MATCH("도로명",'04A_국토부원자료'!$A$4:$T$4,0)),"")</f>
        <v/>
      </c>
      <c r="M637" s="48">
        <f>IFERROR(INDEX('04A_국토부원자료'!$A:$T,ROW()+1,MATCH("거래유형",'04A_국토부원자료'!$A$4:$T$4,0)),"")</f>
        <v/>
      </c>
      <c r="N637" s="152">
        <f>IF(B637="","",IF('02_대상물건입력'!B5="",1,IF(ISNUMBER(SEARCH('02_대상물건입력'!B5,B637)),1,0)))</f>
        <v/>
      </c>
      <c r="O637" s="152">
        <f>IF(B637="","",IF('02_대상물건입력'!B6="",1,IF(ISNUMBER(SEARCH('02_대상물건입력'!B6,B637)),1,0)))</f>
        <v/>
      </c>
      <c r="P637" s="152">
        <f>IF(L637="","",IF('02_대상물건입력'!B15="",0,IF(ISNUMBER(SEARCH('02_대상물건입력'!B15,L637)),1,0)))</f>
        <v/>
      </c>
      <c r="Q637" s="152">
        <f>IF(OR(C637="",L637=""),0,IF(AND(TRIM(C637)=TRIM(RIGHT(SUBSTITUTE(TRIM('02_대상물건입력'!$B$7)," ",REPT(" ",99)),99)),IF('02_대상물건입력'!B15="",TRUE(),ISNUMBER(SEARCH('02_대상물건입력'!B15,L637)))),1,0))</f>
        <v/>
      </c>
      <c r="R637" s="175">
        <f>IFERROR(ABS(E637-'02_대상물건입력'!B11)/'02_대상물건입력'!B11,"")</f>
        <v/>
      </c>
      <c r="S637" s="152">
        <f>IFERROR(ABS(J637-'02_대상물건입력'!B10),"")</f>
        <v/>
      </c>
      <c r="T637" s="152">
        <f>IFERROR(ABS('01_설정'!B4-F637),"")</f>
        <v/>
      </c>
      <c r="U637" s="152">
        <f>IFERROR(ABS(K637-YEAR('02_대상물건입력'!B14)),"")</f>
        <v/>
      </c>
      <c r="V637" s="152">
        <f>IF(B637="","",IF(AND(E637&gt;0,F637&gt;0,H637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637=1,TRUE()),R637&lt;='01_설정'!B5,S637&lt;='01_설정'!B6,T637&lt;='01_설정'!B7,U637&lt;='01_설정'!B8),"Y",""))</f>
        <v/>
      </c>
      <c r="W637" s="172">
        <f>IF(V637&lt;&gt;"Y","",MAX(0,(1-R637/'01_설정'!B5))*'01_설정'!B14+MAX(0,(1-S637/'01_설정'!B6))*'01_설정'!B15+MAX(0,(1-T637/'01_설정'!B7))*'01_설정'!B16+MAX(0,(1-U637/'01_설정'!B8))*'01_설정'!B17+O637*'01_설정'!B11+Q637*'01_설정'!B12+P637*'01_설정'!B13+IF(Z637="",0,Z637))</f>
        <v/>
      </c>
      <c r="X637" s="152">
        <f>IF(W637="","",1+COUNTIFS($W$4:$W$3003,"&gt;"&amp;W637)+COUNTIFS($W$4:W637,W637)-1)</f>
        <v/>
      </c>
      <c r="Y637" s="175">
        <f>IF(OR(I637="",'02_대상물건입력'!B19="",'02_대상물건입력'!B19&lt;=0),"",ABS(I637-'02_대상물건입력'!B19)/'02_대상물건입력'!B19)</f>
        <v/>
      </c>
      <c r="Z637" s="172">
        <f>IF(OR(Y637="",'01_설정'!B31="",'01_설정'!B31&lt;=0,'01_설정'!B32="",'01_설정'!B32&lt;=0),"",MAX(0,(1-Y637/'01_설정'!B32))*'01_설정'!B31)</f>
        <v/>
      </c>
    </row>
    <row r="638" ht="17.25" customHeight="1">
      <c r="A638" s="152">
        <f>IF(INDEX('04A_국토부원자료'!$A:$A,ROW()+1)="","",ROW()-3)</f>
        <v/>
      </c>
      <c r="B638" s="48">
        <f>IFERROR(INDEX('04A_국토부원자료'!$A:$T,ROW()+1,MATCH("시군구",'04A_국토부원자료'!$A$4:$T$4,0)),"")</f>
        <v/>
      </c>
      <c r="C638" s="48">
        <f>IF(B638="","",IFERROR(INDEX('04A_국토부원자료'!$A:$T,ROW()+1,MATCH("번지",'04A_국토부원자료'!$A$4:$T$4,0)),""))</f>
        <v/>
      </c>
      <c r="D638" s="48">
        <f>IF(B638="","",IF(Q638=1,'02_대상물건입력'!$B$8,IFERROR(INDEX('04A_국토부원자료'!$A:$T,ROW()+1,MATCH("단지명",'04A_국토부원자료'!$A$4:$T$4,0)),"")))</f>
        <v/>
      </c>
      <c r="E638" s="172">
        <f>IFERROR(VALUE(SUBSTITUTE(INDEX('04A_국토부원자료'!$A:$T,ROW()+1,MATCH("전용면적(㎡)",'04A_국토부원자료'!$A$4:$T$4,0)),",","")),"")</f>
        <v/>
      </c>
      <c r="F6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38" s="51">
        <f>IFERROR(VALUE(SUBSTITUTE(INDEX('04A_국토부원자료'!$A:$T,ROW()+1,MATCH("거래금액(만원)",'04A_국토부원자료'!$A$4:$T$4,0)),",","")),"")</f>
        <v/>
      </c>
      <c r="H638" s="174">
        <f>IF(G638="","",G638*10000)</f>
        <v/>
      </c>
      <c r="I638" s="174">
        <f>IFERROR(IF(AND(H638&gt;0,E638&gt;0),H638/E638,""),"")</f>
        <v/>
      </c>
      <c r="J638" s="152">
        <f>IFERROR(VALUE(SUBSTITUTE(INDEX('04A_국토부원자료'!$A:$T,ROW()+1,MATCH("층",'04A_국토부원자료'!$A$4:$T$4,0)),",","")),"")</f>
        <v/>
      </c>
      <c r="K638" s="152">
        <f>IFERROR(VALUE(SUBSTITUTE(INDEX('04A_국토부원자료'!$A:$T,ROW()+1,MATCH("건축년도",'04A_국토부원자료'!$A$4:$T$4,0)),",","")),"")</f>
        <v/>
      </c>
      <c r="L638" s="176">
        <f>IFERROR(INDEX('04A_국토부원자료'!$A:$T,ROW()+1,MATCH("도로명",'04A_국토부원자료'!$A$4:$T$4,0)),"")</f>
        <v/>
      </c>
      <c r="M638" s="48">
        <f>IFERROR(INDEX('04A_국토부원자료'!$A:$T,ROW()+1,MATCH("거래유형",'04A_국토부원자료'!$A$4:$T$4,0)),"")</f>
        <v/>
      </c>
      <c r="N638" s="152">
        <f>IF(B638="","",IF('02_대상물건입력'!B5="",1,IF(ISNUMBER(SEARCH('02_대상물건입력'!B5,B638)),1,0)))</f>
        <v/>
      </c>
      <c r="O638" s="152">
        <f>IF(B638="","",IF('02_대상물건입력'!B6="",1,IF(ISNUMBER(SEARCH('02_대상물건입력'!B6,B638)),1,0)))</f>
        <v/>
      </c>
      <c r="P638" s="152">
        <f>IF(L638="","",IF('02_대상물건입력'!B15="",0,IF(ISNUMBER(SEARCH('02_대상물건입력'!B15,L638)),1,0)))</f>
        <v/>
      </c>
      <c r="Q638" s="152">
        <f>IF(OR(C638="",L638=""),0,IF(AND(TRIM(C638)=TRIM(RIGHT(SUBSTITUTE(TRIM('02_대상물건입력'!$B$7)," ",REPT(" ",99)),99)),IF('02_대상물건입력'!B15="",TRUE(),ISNUMBER(SEARCH('02_대상물건입력'!B15,L638)))),1,0))</f>
        <v/>
      </c>
      <c r="R638" s="175">
        <f>IFERROR(ABS(E638-'02_대상물건입력'!B11)/'02_대상물건입력'!B11,"")</f>
        <v/>
      </c>
      <c r="S638" s="152">
        <f>IFERROR(ABS(J638-'02_대상물건입력'!B10),"")</f>
        <v/>
      </c>
      <c r="T638" s="152">
        <f>IFERROR(ABS('01_설정'!B4-F638),"")</f>
        <v/>
      </c>
      <c r="U638" s="152">
        <f>IFERROR(ABS(K638-YEAR('02_대상물건입력'!B14)),"")</f>
        <v/>
      </c>
      <c r="V638" s="152">
        <f>IF(B638="","",IF(AND(E638&gt;0,F638&gt;0,H638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638=1,TRUE()),R638&lt;='01_설정'!B5,S638&lt;='01_설정'!B6,T638&lt;='01_설정'!B7,U638&lt;='01_설정'!B8),"Y",""))</f>
        <v/>
      </c>
      <c r="W638" s="172">
        <f>IF(V638&lt;&gt;"Y","",MAX(0,(1-R638/'01_설정'!B5))*'01_설정'!B14+MAX(0,(1-S638/'01_설정'!B6))*'01_설정'!B15+MAX(0,(1-T638/'01_설정'!B7))*'01_설정'!B16+MAX(0,(1-U638/'01_설정'!B8))*'01_설정'!B17+O638*'01_설정'!B11+Q638*'01_설정'!B12+P638*'01_설정'!B13+IF(Z638="",0,Z638))</f>
        <v/>
      </c>
      <c r="X638" s="152">
        <f>IF(W638="","",1+COUNTIFS($W$4:$W$3003,"&gt;"&amp;W638)+COUNTIFS($W$4:W638,W638)-1)</f>
        <v/>
      </c>
      <c r="Y638" s="175">
        <f>IF(OR(I638="",'02_대상물건입력'!B19="",'02_대상물건입력'!B19&lt;=0),"",ABS(I638-'02_대상물건입력'!B19)/'02_대상물건입력'!B19)</f>
        <v/>
      </c>
      <c r="Z638" s="172">
        <f>IF(OR(Y638="",'01_설정'!B31="",'01_설정'!B31&lt;=0,'01_설정'!B32="",'01_설정'!B32&lt;=0),"",MAX(0,(1-Y638/'01_설정'!B32))*'01_설정'!B31)</f>
        <v/>
      </c>
    </row>
    <row r="639" ht="17.25" customHeight="1">
      <c r="A639" s="152">
        <f>IF(INDEX('04A_국토부원자료'!$A:$A,ROW()+1)="","",ROW()-3)</f>
        <v/>
      </c>
      <c r="B639" s="48">
        <f>IFERROR(INDEX('04A_국토부원자료'!$A:$T,ROW()+1,MATCH("시군구",'04A_국토부원자료'!$A$4:$T$4,0)),"")</f>
        <v/>
      </c>
      <c r="C639" s="48">
        <f>IF(B639="","",IFERROR(INDEX('04A_국토부원자료'!$A:$T,ROW()+1,MATCH("번지",'04A_국토부원자료'!$A$4:$T$4,0)),""))</f>
        <v/>
      </c>
      <c r="D639" s="48">
        <f>IF(B639="","",IF(Q639=1,'02_대상물건입력'!$B$8,IFERROR(INDEX('04A_국토부원자료'!$A:$T,ROW()+1,MATCH("단지명",'04A_국토부원자료'!$A$4:$T$4,0)),"")))</f>
        <v/>
      </c>
      <c r="E639" s="172">
        <f>IFERROR(VALUE(SUBSTITUTE(INDEX('04A_국토부원자료'!$A:$T,ROW()+1,MATCH("전용면적(㎡)",'04A_국토부원자료'!$A$4:$T$4,0)),",","")),"")</f>
        <v/>
      </c>
      <c r="F6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39" s="51">
        <f>IFERROR(VALUE(SUBSTITUTE(INDEX('04A_국토부원자료'!$A:$T,ROW()+1,MATCH("거래금액(만원)",'04A_국토부원자료'!$A$4:$T$4,0)),",","")),"")</f>
        <v/>
      </c>
      <c r="H639" s="174">
        <f>IF(G639="","",G639*10000)</f>
        <v/>
      </c>
      <c r="I639" s="174">
        <f>IFERROR(IF(AND(H639&gt;0,E639&gt;0),H639/E639,""),"")</f>
        <v/>
      </c>
      <c r="J639" s="152">
        <f>IFERROR(VALUE(SUBSTITUTE(INDEX('04A_국토부원자료'!$A:$T,ROW()+1,MATCH("층",'04A_국토부원자료'!$A$4:$T$4,0)),",","")),"")</f>
        <v/>
      </c>
      <c r="K639" s="152">
        <f>IFERROR(VALUE(SUBSTITUTE(INDEX('04A_국토부원자료'!$A:$T,ROW()+1,MATCH("건축년도",'04A_국토부원자료'!$A$4:$T$4,0)),",","")),"")</f>
        <v/>
      </c>
      <c r="L639" s="176">
        <f>IFERROR(INDEX('04A_국토부원자료'!$A:$T,ROW()+1,MATCH("도로명",'04A_국토부원자료'!$A$4:$T$4,0)),"")</f>
        <v/>
      </c>
      <c r="M639" s="48">
        <f>IFERROR(INDEX('04A_국토부원자료'!$A:$T,ROW()+1,MATCH("거래유형",'04A_국토부원자료'!$A$4:$T$4,0)),"")</f>
        <v/>
      </c>
      <c r="N639" s="152">
        <f>IF(B639="","",IF('02_대상물건입력'!B5="",1,IF(ISNUMBER(SEARCH('02_대상물건입력'!B5,B639)),1,0)))</f>
        <v/>
      </c>
      <c r="O639" s="152">
        <f>IF(B639="","",IF('02_대상물건입력'!B6="",1,IF(ISNUMBER(SEARCH('02_대상물건입력'!B6,B639)),1,0)))</f>
        <v/>
      </c>
      <c r="P639" s="152">
        <f>IF(L639="","",IF('02_대상물건입력'!B15="",0,IF(ISNUMBER(SEARCH('02_대상물건입력'!B15,L639)),1,0)))</f>
        <v/>
      </c>
      <c r="Q639" s="152">
        <f>IF(OR(C639="",L639=""),0,IF(AND(TRIM(C639)=TRIM(RIGHT(SUBSTITUTE(TRIM('02_대상물건입력'!$B$7)," ",REPT(" ",99)),99)),IF('02_대상물건입력'!B15="",TRUE(),ISNUMBER(SEARCH('02_대상물건입력'!B15,L639)))),1,0))</f>
        <v/>
      </c>
      <c r="R639" s="175">
        <f>IFERROR(ABS(E639-'02_대상물건입력'!B11)/'02_대상물건입력'!B11,"")</f>
        <v/>
      </c>
      <c r="S639" s="152">
        <f>IFERROR(ABS(J639-'02_대상물건입력'!B10),"")</f>
        <v/>
      </c>
      <c r="T639" s="152">
        <f>IFERROR(ABS('01_설정'!B4-F639),"")</f>
        <v/>
      </c>
      <c r="U639" s="152">
        <f>IFERROR(ABS(K639-YEAR('02_대상물건입력'!B14)),"")</f>
        <v/>
      </c>
      <c r="V639" s="152">
        <f>IF(B639="","",IF(AND(E639&gt;0,F639&gt;0,H639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639=1,TRUE()),R639&lt;='01_설정'!B5,S639&lt;='01_설정'!B6,T639&lt;='01_설정'!B7,U639&lt;='01_설정'!B8),"Y",""))</f>
        <v/>
      </c>
      <c r="W639" s="172">
        <f>IF(V639&lt;&gt;"Y","",MAX(0,(1-R639/'01_설정'!B5))*'01_설정'!B14+MAX(0,(1-S639/'01_설정'!B6))*'01_설정'!B15+MAX(0,(1-T639/'01_설정'!B7))*'01_설정'!B16+MAX(0,(1-U639/'01_설정'!B8))*'01_설정'!B17+O639*'01_설정'!B11+Q639*'01_설정'!B12+P639*'01_설정'!B13+IF(Z639="",0,Z639))</f>
        <v/>
      </c>
      <c r="X639" s="152">
        <f>IF(W639="","",1+COUNTIFS($W$4:$W$3003,"&gt;"&amp;W639)+COUNTIFS($W$4:W639,W639)-1)</f>
        <v/>
      </c>
      <c r="Y639" s="175">
        <f>IF(OR(I639="",'02_대상물건입력'!B19="",'02_대상물건입력'!B19&lt;=0),"",ABS(I639-'02_대상물건입력'!B19)/'02_대상물건입력'!B19)</f>
        <v/>
      </c>
      <c r="Z639" s="172">
        <f>IF(OR(Y639="",'01_설정'!B31="",'01_설정'!B31&lt;=0,'01_설정'!B32="",'01_설정'!B32&lt;=0),"",MAX(0,(1-Y639/'01_설정'!B32))*'01_설정'!B31)</f>
        <v/>
      </c>
    </row>
    <row r="640" ht="17.25" customHeight="1">
      <c r="A640" s="152">
        <f>IF(INDEX('04A_국토부원자료'!$A:$A,ROW()+1)="","",ROW()-3)</f>
        <v/>
      </c>
      <c r="B640" s="48">
        <f>IFERROR(INDEX('04A_국토부원자료'!$A:$T,ROW()+1,MATCH("시군구",'04A_국토부원자료'!$A$4:$T$4,0)),"")</f>
        <v/>
      </c>
      <c r="C640" s="48">
        <f>IF(B640="","",IFERROR(INDEX('04A_국토부원자료'!$A:$T,ROW()+1,MATCH("번지",'04A_국토부원자료'!$A$4:$T$4,0)),""))</f>
        <v/>
      </c>
      <c r="D640" s="48">
        <f>IF(B640="","",IF(Q640=1,'02_대상물건입력'!$B$8,IFERROR(INDEX('04A_국토부원자료'!$A:$T,ROW()+1,MATCH("단지명",'04A_국토부원자료'!$A$4:$T$4,0)),"")))</f>
        <v/>
      </c>
      <c r="E640" s="172">
        <f>IFERROR(VALUE(SUBSTITUTE(INDEX('04A_국토부원자료'!$A:$T,ROW()+1,MATCH("전용면적(㎡)",'04A_국토부원자료'!$A$4:$T$4,0)),",","")),"")</f>
        <v/>
      </c>
      <c r="F6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40" s="51">
        <f>IFERROR(VALUE(SUBSTITUTE(INDEX('04A_국토부원자료'!$A:$T,ROW()+1,MATCH("거래금액(만원)",'04A_국토부원자료'!$A$4:$T$4,0)),",","")),"")</f>
        <v/>
      </c>
      <c r="H640" s="174">
        <f>IF(G640="","",G640*10000)</f>
        <v/>
      </c>
      <c r="I640" s="174">
        <f>IFERROR(IF(AND(H640&gt;0,E640&gt;0),H640/E640,""),"")</f>
        <v/>
      </c>
      <c r="J640" s="152">
        <f>IFERROR(VALUE(SUBSTITUTE(INDEX('04A_국토부원자료'!$A:$T,ROW()+1,MATCH("층",'04A_국토부원자료'!$A$4:$T$4,0)),",","")),"")</f>
        <v/>
      </c>
      <c r="K640" s="152">
        <f>IFERROR(VALUE(SUBSTITUTE(INDEX('04A_국토부원자료'!$A:$T,ROW()+1,MATCH("건축년도",'04A_국토부원자료'!$A$4:$T$4,0)),",","")),"")</f>
        <v/>
      </c>
      <c r="L640" s="176">
        <f>IFERROR(INDEX('04A_국토부원자료'!$A:$T,ROW()+1,MATCH("도로명",'04A_국토부원자료'!$A$4:$T$4,0)),"")</f>
        <v/>
      </c>
      <c r="M640" s="48">
        <f>IFERROR(INDEX('04A_국토부원자료'!$A:$T,ROW()+1,MATCH("거래유형",'04A_국토부원자료'!$A$4:$T$4,0)),"")</f>
        <v/>
      </c>
      <c r="N640" s="152">
        <f>IF(B640="","",IF('02_대상물건입력'!B5="",1,IF(ISNUMBER(SEARCH('02_대상물건입력'!B5,B640)),1,0)))</f>
        <v/>
      </c>
      <c r="O640" s="152">
        <f>IF(B640="","",IF('02_대상물건입력'!B6="",1,IF(ISNUMBER(SEARCH('02_대상물건입력'!B6,B640)),1,0)))</f>
        <v/>
      </c>
      <c r="P640" s="152">
        <f>IF(L640="","",IF('02_대상물건입력'!B15="",0,IF(ISNUMBER(SEARCH('02_대상물건입력'!B15,L640)),1,0)))</f>
        <v/>
      </c>
      <c r="Q640" s="152">
        <f>IF(OR(C640="",L640=""),0,IF(AND(TRIM(C640)=TRIM(RIGHT(SUBSTITUTE(TRIM('02_대상물건입력'!$B$7)," ",REPT(" ",99)),99)),IF('02_대상물건입력'!B15="",TRUE(),ISNUMBER(SEARCH('02_대상물건입력'!B15,L640)))),1,0))</f>
        <v/>
      </c>
      <c r="R640" s="175">
        <f>IFERROR(ABS(E640-'02_대상물건입력'!B11)/'02_대상물건입력'!B11,"")</f>
        <v/>
      </c>
      <c r="S640" s="152">
        <f>IFERROR(ABS(J640-'02_대상물건입력'!B10),"")</f>
        <v/>
      </c>
      <c r="T640" s="152">
        <f>IFERROR(ABS('01_설정'!B4-F640),"")</f>
        <v/>
      </c>
      <c r="U640" s="152">
        <f>IFERROR(ABS(K640-YEAR('02_대상물건입력'!B14)),"")</f>
        <v/>
      </c>
      <c r="V640" s="152">
        <f>IF(B640="","",IF(AND(E640&gt;0,F640&gt;0,H640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640=1,TRUE()),R640&lt;='01_설정'!B5,S640&lt;='01_설정'!B6,T640&lt;='01_설정'!B7,U640&lt;='01_설정'!B8),"Y",""))</f>
        <v/>
      </c>
      <c r="W640" s="172">
        <f>IF(V640&lt;&gt;"Y","",MAX(0,(1-R640/'01_설정'!B5))*'01_설정'!B14+MAX(0,(1-S640/'01_설정'!B6))*'01_설정'!B15+MAX(0,(1-T640/'01_설정'!B7))*'01_설정'!B16+MAX(0,(1-U640/'01_설정'!B8))*'01_설정'!B17+O640*'01_설정'!B11+Q640*'01_설정'!B12+P640*'01_설정'!B13+IF(Z640="",0,Z640))</f>
        <v/>
      </c>
      <c r="X640" s="152">
        <f>IF(W640="","",1+COUNTIFS($W$4:$W$3003,"&gt;"&amp;W640)+COUNTIFS($W$4:W640,W640)-1)</f>
        <v/>
      </c>
      <c r="Y640" s="175">
        <f>IF(OR(I640="",'02_대상물건입력'!B19="",'02_대상물건입력'!B19&lt;=0),"",ABS(I640-'02_대상물건입력'!B19)/'02_대상물건입력'!B19)</f>
        <v/>
      </c>
      <c r="Z640" s="172">
        <f>IF(OR(Y640="",'01_설정'!B31="",'01_설정'!B31&lt;=0,'01_설정'!B32="",'01_설정'!B32&lt;=0),"",MAX(0,(1-Y640/'01_설정'!B32))*'01_설정'!B31)</f>
        <v/>
      </c>
    </row>
    <row r="641" ht="17.25" customHeight="1">
      <c r="A641" s="152">
        <f>IF(INDEX('04A_국토부원자료'!$A:$A,ROW()+1)="","",ROW()-3)</f>
        <v/>
      </c>
      <c r="B641" s="48">
        <f>IFERROR(INDEX('04A_국토부원자료'!$A:$T,ROW()+1,MATCH("시군구",'04A_국토부원자료'!$A$4:$T$4,0)),"")</f>
        <v/>
      </c>
      <c r="C641" s="48">
        <f>IF(B641="","",IFERROR(INDEX('04A_국토부원자료'!$A:$T,ROW()+1,MATCH("번지",'04A_국토부원자료'!$A$4:$T$4,0)),""))</f>
        <v/>
      </c>
      <c r="D641" s="48">
        <f>IF(B641="","",IF(Q641=1,'02_대상물건입력'!$B$8,IFERROR(INDEX('04A_국토부원자료'!$A:$T,ROW()+1,MATCH("단지명",'04A_국토부원자료'!$A$4:$T$4,0)),"")))</f>
        <v/>
      </c>
      <c r="E641" s="172">
        <f>IFERROR(VALUE(SUBSTITUTE(INDEX('04A_국토부원자료'!$A:$T,ROW()+1,MATCH("전용면적(㎡)",'04A_국토부원자료'!$A$4:$T$4,0)),",","")),"")</f>
        <v/>
      </c>
      <c r="F6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41" s="51">
        <f>IFERROR(VALUE(SUBSTITUTE(INDEX('04A_국토부원자료'!$A:$T,ROW()+1,MATCH("거래금액(만원)",'04A_국토부원자료'!$A$4:$T$4,0)),",","")),"")</f>
        <v/>
      </c>
      <c r="H641" s="174">
        <f>IF(G641="","",G641*10000)</f>
        <v/>
      </c>
      <c r="I641" s="174">
        <f>IFERROR(IF(AND(H641&gt;0,E641&gt;0),H641/E641,""),"")</f>
        <v/>
      </c>
      <c r="J641" s="152">
        <f>IFERROR(VALUE(SUBSTITUTE(INDEX('04A_국토부원자료'!$A:$T,ROW()+1,MATCH("층",'04A_국토부원자료'!$A$4:$T$4,0)),",","")),"")</f>
        <v/>
      </c>
      <c r="K641" s="152">
        <f>IFERROR(VALUE(SUBSTITUTE(INDEX('04A_국토부원자료'!$A:$T,ROW()+1,MATCH("건축년도",'04A_국토부원자료'!$A$4:$T$4,0)),",","")),"")</f>
        <v/>
      </c>
      <c r="L641" s="176">
        <f>IFERROR(INDEX('04A_국토부원자료'!$A:$T,ROW()+1,MATCH("도로명",'04A_국토부원자료'!$A$4:$T$4,0)),"")</f>
        <v/>
      </c>
      <c r="M641" s="48">
        <f>IFERROR(INDEX('04A_국토부원자료'!$A:$T,ROW()+1,MATCH("거래유형",'04A_국토부원자료'!$A$4:$T$4,0)),"")</f>
        <v/>
      </c>
      <c r="N641" s="152">
        <f>IF(B641="","",IF('02_대상물건입력'!B5="",1,IF(ISNUMBER(SEARCH('02_대상물건입력'!B5,B641)),1,0)))</f>
        <v/>
      </c>
      <c r="O641" s="152">
        <f>IF(B641="","",IF('02_대상물건입력'!B6="",1,IF(ISNUMBER(SEARCH('02_대상물건입력'!B6,B641)),1,0)))</f>
        <v/>
      </c>
      <c r="P641" s="152">
        <f>IF(L641="","",IF('02_대상물건입력'!B15="",0,IF(ISNUMBER(SEARCH('02_대상물건입력'!B15,L641)),1,0)))</f>
        <v/>
      </c>
      <c r="Q641" s="152">
        <f>IF(OR(C641="",L641=""),0,IF(AND(TRIM(C641)=TRIM(RIGHT(SUBSTITUTE(TRIM('02_대상물건입력'!$B$7)," ",REPT(" ",99)),99)),IF('02_대상물건입력'!B15="",TRUE(),ISNUMBER(SEARCH('02_대상물건입력'!B15,L641)))),1,0))</f>
        <v/>
      </c>
      <c r="R641" s="175">
        <f>IFERROR(ABS(E641-'02_대상물건입력'!B11)/'02_대상물건입력'!B11,"")</f>
        <v/>
      </c>
      <c r="S641" s="152">
        <f>IFERROR(ABS(J641-'02_대상물건입력'!B10),"")</f>
        <v/>
      </c>
      <c r="T641" s="152">
        <f>IFERROR(ABS('01_설정'!B4-F641),"")</f>
        <v/>
      </c>
      <c r="U641" s="152">
        <f>IFERROR(ABS(K641-YEAR('02_대상물건입력'!B14)),"")</f>
        <v/>
      </c>
      <c r="V641" s="152">
        <f>IF(B641="","",IF(AND(E641&gt;0,F641&gt;0,H641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641=1,TRUE()),R641&lt;='01_설정'!B5,S641&lt;='01_설정'!B6,T641&lt;='01_설정'!B7,U641&lt;='01_설정'!B8),"Y",""))</f>
        <v/>
      </c>
      <c r="W641" s="172">
        <f>IF(V641&lt;&gt;"Y","",MAX(0,(1-R641/'01_설정'!B5))*'01_설정'!B14+MAX(0,(1-S641/'01_설정'!B6))*'01_설정'!B15+MAX(0,(1-T641/'01_설정'!B7))*'01_설정'!B16+MAX(0,(1-U641/'01_설정'!B8))*'01_설정'!B17+O641*'01_설정'!B11+Q641*'01_설정'!B12+P641*'01_설정'!B13+IF(Z641="",0,Z641))</f>
        <v/>
      </c>
      <c r="X641" s="152">
        <f>IF(W641="","",1+COUNTIFS($W$4:$W$3003,"&gt;"&amp;W641)+COUNTIFS($W$4:W641,W641)-1)</f>
        <v/>
      </c>
      <c r="Y641" s="175">
        <f>IF(OR(I641="",'02_대상물건입력'!B19="",'02_대상물건입력'!B19&lt;=0),"",ABS(I641-'02_대상물건입력'!B19)/'02_대상물건입력'!B19)</f>
        <v/>
      </c>
      <c r="Z641" s="172">
        <f>IF(OR(Y641="",'01_설정'!B31="",'01_설정'!B31&lt;=0,'01_설정'!B32="",'01_설정'!B32&lt;=0),"",MAX(0,(1-Y641/'01_설정'!B32))*'01_설정'!B31)</f>
        <v/>
      </c>
    </row>
    <row r="642" ht="17.25" customHeight="1">
      <c r="A642" s="152">
        <f>IF(INDEX('04A_국토부원자료'!$A:$A,ROW()+1)="","",ROW()-3)</f>
        <v/>
      </c>
      <c r="B642" s="48">
        <f>IFERROR(INDEX('04A_국토부원자료'!$A:$T,ROW()+1,MATCH("시군구",'04A_국토부원자료'!$A$4:$T$4,0)),"")</f>
        <v/>
      </c>
      <c r="C642" s="48">
        <f>IF(B642="","",IFERROR(INDEX('04A_국토부원자료'!$A:$T,ROW()+1,MATCH("번지",'04A_국토부원자료'!$A$4:$T$4,0)),""))</f>
        <v/>
      </c>
      <c r="D642" s="48">
        <f>IF(B642="","",IF(Q642=1,'02_대상물건입력'!$B$8,IFERROR(INDEX('04A_국토부원자료'!$A:$T,ROW()+1,MATCH("단지명",'04A_국토부원자료'!$A$4:$T$4,0)),"")))</f>
        <v/>
      </c>
      <c r="E642" s="172">
        <f>IFERROR(VALUE(SUBSTITUTE(INDEX('04A_국토부원자료'!$A:$T,ROW()+1,MATCH("전용면적(㎡)",'04A_국토부원자료'!$A$4:$T$4,0)),",","")),"")</f>
        <v/>
      </c>
      <c r="F6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42" s="51">
        <f>IFERROR(VALUE(SUBSTITUTE(INDEX('04A_국토부원자료'!$A:$T,ROW()+1,MATCH("거래금액(만원)",'04A_국토부원자료'!$A$4:$T$4,0)),",","")),"")</f>
        <v/>
      </c>
      <c r="H642" s="174">
        <f>IF(G642="","",G642*10000)</f>
        <v/>
      </c>
      <c r="I642" s="174">
        <f>IFERROR(IF(AND(H642&gt;0,E642&gt;0),H642/E642,""),"")</f>
        <v/>
      </c>
      <c r="J642" s="152">
        <f>IFERROR(VALUE(SUBSTITUTE(INDEX('04A_국토부원자료'!$A:$T,ROW()+1,MATCH("층",'04A_국토부원자료'!$A$4:$T$4,0)),",","")),"")</f>
        <v/>
      </c>
      <c r="K642" s="152">
        <f>IFERROR(VALUE(SUBSTITUTE(INDEX('04A_국토부원자료'!$A:$T,ROW()+1,MATCH("건축년도",'04A_국토부원자료'!$A$4:$T$4,0)),",","")),"")</f>
        <v/>
      </c>
      <c r="L642" s="176">
        <f>IFERROR(INDEX('04A_국토부원자료'!$A:$T,ROW()+1,MATCH("도로명",'04A_국토부원자료'!$A$4:$T$4,0)),"")</f>
        <v/>
      </c>
      <c r="M642" s="48">
        <f>IFERROR(INDEX('04A_국토부원자료'!$A:$T,ROW()+1,MATCH("거래유형",'04A_국토부원자료'!$A$4:$T$4,0)),"")</f>
        <v/>
      </c>
      <c r="N642" s="152">
        <f>IF(B642="","",IF('02_대상물건입력'!B5="",1,IF(ISNUMBER(SEARCH('02_대상물건입력'!B5,B642)),1,0)))</f>
        <v/>
      </c>
      <c r="O642" s="152">
        <f>IF(B642="","",IF('02_대상물건입력'!B6="",1,IF(ISNUMBER(SEARCH('02_대상물건입력'!B6,B642)),1,0)))</f>
        <v/>
      </c>
      <c r="P642" s="152">
        <f>IF(L642="","",IF('02_대상물건입력'!B15="",0,IF(ISNUMBER(SEARCH('02_대상물건입력'!B15,L642)),1,0)))</f>
        <v/>
      </c>
      <c r="Q642" s="152">
        <f>IF(OR(C642="",L642=""),0,IF(AND(TRIM(C642)=TRIM(RIGHT(SUBSTITUTE(TRIM('02_대상물건입력'!$B$7)," ",REPT(" ",99)),99)),IF('02_대상물건입력'!B15="",TRUE(),ISNUMBER(SEARCH('02_대상물건입력'!B15,L642)))),1,0))</f>
        <v/>
      </c>
      <c r="R642" s="175">
        <f>IFERROR(ABS(E642-'02_대상물건입력'!B11)/'02_대상물건입력'!B11,"")</f>
        <v/>
      </c>
      <c r="S642" s="152">
        <f>IFERROR(ABS(J642-'02_대상물건입력'!B10),"")</f>
        <v/>
      </c>
      <c r="T642" s="152">
        <f>IFERROR(ABS('01_설정'!B4-F642),"")</f>
        <v/>
      </c>
      <c r="U642" s="152">
        <f>IFERROR(ABS(K642-YEAR('02_대상물건입력'!B14)),"")</f>
        <v/>
      </c>
      <c r="V642" s="152">
        <f>IF(B642="","",IF(AND(E642&gt;0,F642&gt;0,H642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642=1,TRUE()),R642&lt;='01_설정'!B5,S642&lt;='01_설정'!B6,T642&lt;='01_설정'!B7,U642&lt;='01_설정'!B8),"Y",""))</f>
        <v/>
      </c>
      <c r="W642" s="172">
        <f>IF(V642&lt;&gt;"Y","",MAX(0,(1-R642/'01_설정'!B5))*'01_설정'!B14+MAX(0,(1-S642/'01_설정'!B6))*'01_설정'!B15+MAX(0,(1-T642/'01_설정'!B7))*'01_설정'!B16+MAX(0,(1-U642/'01_설정'!B8))*'01_설정'!B17+O642*'01_설정'!B11+Q642*'01_설정'!B12+P642*'01_설정'!B13+IF(Z642="",0,Z642))</f>
        <v/>
      </c>
      <c r="X642" s="152">
        <f>IF(W642="","",1+COUNTIFS($W$4:$W$3003,"&gt;"&amp;W642)+COUNTIFS($W$4:W642,W642)-1)</f>
        <v/>
      </c>
      <c r="Y642" s="175">
        <f>IF(OR(I642="",'02_대상물건입력'!B19="",'02_대상물건입력'!B19&lt;=0),"",ABS(I642-'02_대상물건입력'!B19)/'02_대상물건입력'!B19)</f>
        <v/>
      </c>
      <c r="Z642" s="172">
        <f>IF(OR(Y642="",'01_설정'!B31="",'01_설정'!B31&lt;=0,'01_설정'!B32="",'01_설정'!B32&lt;=0),"",MAX(0,(1-Y642/'01_설정'!B32))*'01_설정'!B31)</f>
        <v/>
      </c>
    </row>
    <row r="643" ht="17.25" customHeight="1">
      <c r="A643" s="152">
        <f>IF(INDEX('04A_국토부원자료'!$A:$A,ROW()+1)="","",ROW()-3)</f>
        <v/>
      </c>
      <c r="B643" s="48">
        <f>IFERROR(INDEX('04A_국토부원자료'!$A:$T,ROW()+1,MATCH("시군구",'04A_국토부원자료'!$A$4:$T$4,0)),"")</f>
        <v/>
      </c>
      <c r="C643" s="48">
        <f>IF(B643="","",IFERROR(INDEX('04A_국토부원자료'!$A:$T,ROW()+1,MATCH("번지",'04A_국토부원자료'!$A$4:$T$4,0)),""))</f>
        <v/>
      </c>
      <c r="D643" s="48">
        <f>IF(B643="","",IF(Q643=1,'02_대상물건입력'!$B$8,IFERROR(INDEX('04A_국토부원자료'!$A:$T,ROW()+1,MATCH("단지명",'04A_국토부원자료'!$A$4:$T$4,0)),"")))</f>
        <v/>
      </c>
      <c r="E643" s="172">
        <f>IFERROR(VALUE(SUBSTITUTE(INDEX('04A_국토부원자료'!$A:$T,ROW()+1,MATCH("전용면적(㎡)",'04A_국토부원자료'!$A$4:$T$4,0)),",","")),"")</f>
        <v/>
      </c>
      <c r="F6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43" s="51">
        <f>IFERROR(VALUE(SUBSTITUTE(INDEX('04A_국토부원자료'!$A:$T,ROW()+1,MATCH("거래금액(만원)",'04A_국토부원자료'!$A$4:$T$4,0)),",","")),"")</f>
        <v/>
      </c>
      <c r="H643" s="174">
        <f>IF(G643="","",G643*10000)</f>
        <v/>
      </c>
      <c r="I643" s="174">
        <f>IFERROR(IF(AND(H643&gt;0,E643&gt;0),H643/E643,""),"")</f>
        <v/>
      </c>
      <c r="J643" s="152">
        <f>IFERROR(VALUE(SUBSTITUTE(INDEX('04A_국토부원자료'!$A:$T,ROW()+1,MATCH("층",'04A_국토부원자료'!$A$4:$T$4,0)),",","")),"")</f>
        <v/>
      </c>
      <c r="K643" s="152">
        <f>IFERROR(VALUE(SUBSTITUTE(INDEX('04A_국토부원자료'!$A:$T,ROW()+1,MATCH("건축년도",'04A_국토부원자료'!$A$4:$T$4,0)),",","")),"")</f>
        <v/>
      </c>
      <c r="L643" s="176">
        <f>IFERROR(INDEX('04A_국토부원자료'!$A:$T,ROW()+1,MATCH("도로명",'04A_국토부원자료'!$A$4:$T$4,0)),"")</f>
        <v/>
      </c>
      <c r="M643" s="48">
        <f>IFERROR(INDEX('04A_국토부원자료'!$A:$T,ROW()+1,MATCH("거래유형",'04A_국토부원자료'!$A$4:$T$4,0)),"")</f>
        <v/>
      </c>
      <c r="N643" s="152">
        <f>IF(B643="","",IF('02_대상물건입력'!B5="",1,IF(ISNUMBER(SEARCH('02_대상물건입력'!B5,B643)),1,0)))</f>
        <v/>
      </c>
      <c r="O643" s="152">
        <f>IF(B643="","",IF('02_대상물건입력'!B6="",1,IF(ISNUMBER(SEARCH('02_대상물건입력'!B6,B643)),1,0)))</f>
        <v/>
      </c>
      <c r="P643" s="152">
        <f>IF(L643="","",IF('02_대상물건입력'!B15="",0,IF(ISNUMBER(SEARCH('02_대상물건입력'!B15,L643)),1,0)))</f>
        <v/>
      </c>
      <c r="Q643" s="152">
        <f>IF(OR(C643="",L643=""),0,IF(AND(TRIM(C643)=TRIM(RIGHT(SUBSTITUTE(TRIM('02_대상물건입력'!$B$7)," ",REPT(" ",99)),99)),IF('02_대상물건입력'!B15="",TRUE(),ISNUMBER(SEARCH('02_대상물건입력'!B15,L643)))),1,0))</f>
        <v/>
      </c>
      <c r="R643" s="175">
        <f>IFERROR(ABS(E643-'02_대상물건입력'!B11)/'02_대상물건입력'!B11,"")</f>
        <v/>
      </c>
      <c r="S643" s="152">
        <f>IFERROR(ABS(J643-'02_대상물건입력'!B10),"")</f>
        <v/>
      </c>
      <c r="T643" s="152">
        <f>IFERROR(ABS('01_설정'!B4-F643),"")</f>
        <v/>
      </c>
      <c r="U643" s="152">
        <f>IFERROR(ABS(K643-YEAR('02_대상물건입력'!B14)),"")</f>
        <v/>
      </c>
      <c r="V643" s="152">
        <f>IF(B643="","",IF(AND(E643&gt;0,F643&gt;0,H643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643=1,TRUE()),R643&lt;='01_설정'!B5,S643&lt;='01_설정'!B6,T643&lt;='01_설정'!B7,U643&lt;='01_설정'!B8),"Y",""))</f>
        <v/>
      </c>
      <c r="W643" s="172">
        <f>IF(V643&lt;&gt;"Y","",MAX(0,(1-R643/'01_설정'!B5))*'01_설정'!B14+MAX(0,(1-S643/'01_설정'!B6))*'01_설정'!B15+MAX(0,(1-T643/'01_설정'!B7))*'01_설정'!B16+MAX(0,(1-U643/'01_설정'!B8))*'01_설정'!B17+O643*'01_설정'!B11+Q643*'01_설정'!B12+P643*'01_설정'!B13+IF(Z643="",0,Z643))</f>
        <v/>
      </c>
      <c r="X643" s="152">
        <f>IF(W643="","",1+COUNTIFS($W$4:$W$3003,"&gt;"&amp;W643)+COUNTIFS($W$4:W643,W643)-1)</f>
        <v/>
      </c>
      <c r="Y643" s="175">
        <f>IF(OR(I643="",'02_대상물건입력'!B19="",'02_대상물건입력'!B19&lt;=0),"",ABS(I643-'02_대상물건입력'!B19)/'02_대상물건입력'!B19)</f>
        <v/>
      </c>
      <c r="Z643" s="172">
        <f>IF(OR(Y643="",'01_설정'!B31="",'01_설정'!B31&lt;=0,'01_설정'!B32="",'01_설정'!B32&lt;=0),"",MAX(0,(1-Y643/'01_설정'!B32))*'01_설정'!B31)</f>
        <v/>
      </c>
    </row>
    <row r="644" ht="17.25" customHeight="1">
      <c r="A644" s="152">
        <f>IF(INDEX('04A_국토부원자료'!$A:$A,ROW()+1)="","",ROW()-3)</f>
        <v/>
      </c>
      <c r="B644" s="48">
        <f>IFERROR(INDEX('04A_국토부원자료'!$A:$T,ROW()+1,MATCH("시군구",'04A_국토부원자료'!$A$4:$T$4,0)),"")</f>
        <v/>
      </c>
      <c r="C644" s="48">
        <f>IF(B644="","",IFERROR(INDEX('04A_국토부원자료'!$A:$T,ROW()+1,MATCH("번지",'04A_국토부원자료'!$A$4:$T$4,0)),""))</f>
        <v/>
      </c>
      <c r="D644" s="48">
        <f>IF(B644="","",IF(Q644=1,'02_대상물건입력'!$B$8,IFERROR(INDEX('04A_국토부원자료'!$A:$T,ROW()+1,MATCH("단지명",'04A_국토부원자료'!$A$4:$T$4,0)),"")))</f>
        <v/>
      </c>
      <c r="E644" s="172">
        <f>IFERROR(VALUE(SUBSTITUTE(INDEX('04A_국토부원자료'!$A:$T,ROW()+1,MATCH("전용면적(㎡)",'04A_국토부원자료'!$A$4:$T$4,0)),",","")),"")</f>
        <v/>
      </c>
      <c r="F6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44" s="51">
        <f>IFERROR(VALUE(SUBSTITUTE(INDEX('04A_국토부원자료'!$A:$T,ROW()+1,MATCH("거래금액(만원)",'04A_국토부원자료'!$A$4:$T$4,0)),",","")),"")</f>
        <v/>
      </c>
      <c r="H644" s="174">
        <f>IF(G644="","",G644*10000)</f>
        <v/>
      </c>
      <c r="I644" s="174">
        <f>IFERROR(IF(AND(H644&gt;0,E644&gt;0),H644/E644,""),"")</f>
        <v/>
      </c>
      <c r="J644" s="152">
        <f>IFERROR(VALUE(SUBSTITUTE(INDEX('04A_국토부원자료'!$A:$T,ROW()+1,MATCH("층",'04A_국토부원자료'!$A$4:$T$4,0)),",","")),"")</f>
        <v/>
      </c>
      <c r="K644" s="152">
        <f>IFERROR(VALUE(SUBSTITUTE(INDEX('04A_국토부원자료'!$A:$T,ROW()+1,MATCH("건축년도",'04A_국토부원자료'!$A$4:$T$4,0)),",","")),"")</f>
        <v/>
      </c>
      <c r="L644" s="176">
        <f>IFERROR(INDEX('04A_국토부원자료'!$A:$T,ROW()+1,MATCH("도로명",'04A_국토부원자료'!$A$4:$T$4,0)),"")</f>
        <v/>
      </c>
      <c r="M644" s="48">
        <f>IFERROR(INDEX('04A_국토부원자료'!$A:$T,ROW()+1,MATCH("거래유형",'04A_국토부원자료'!$A$4:$T$4,0)),"")</f>
        <v/>
      </c>
      <c r="N644" s="152">
        <f>IF(B644="","",IF('02_대상물건입력'!B5="",1,IF(ISNUMBER(SEARCH('02_대상물건입력'!B5,B644)),1,0)))</f>
        <v/>
      </c>
      <c r="O644" s="152">
        <f>IF(B644="","",IF('02_대상물건입력'!B6="",1,IF(ISNUMBER(SEARCH('02_대상물건입력'!B6,B644)),1,0)))</f>
        <v/>
      </c>
      <c r="P644" s="152">
        <f>IF(L644="","",IF('02_대상물건입력'!B15="",0,IF(ISNUMBER(SEARCH('02_대상물건입력'!B15,L644)),1,0)))</f>
        <v/>
      </c>
      <c r="Q644" s="152">
        <f>IF(OR(C644="",L644=""),0,IF(AND(TRIM(C644)=TRIM(RIGHT(SUBSTITUTE(TRIM('02_대상물건입력'!$B$7)," ",REPT(" ",99)),99)),IF('02_대상물건입력'!B15="",TRUE(),ISNUMBER(SEARCH('02_대상물건입력'!B15,L644)))),1,0))</f>
        <v/>
      </c>
      <c r="R644" s="175">
        <f>IFERROR(ABS(E644-'02_대상물건입력'!B11)/'02_대상물건입력'!B11,"")</f>
        <v/>
      </c>
      <c r="S644" s="152">
        <f>IFERROR(ABS(J644-'02_대상물건입력'!B10),"")</f>
        <v/>
      </c>
      <c r="T644" s="152">
        <f>IFERROR(ABS('01_설정'!B4-F644),"")</f>
        <v/>
      </c>
      <c r="U644" s="152">
        <f>IFERROR(ABS(K644-YEAR('02_대상물건입력'!B14)),"")</f>
        <v/>
      </c>
      <c r="V644" s="152">
        <f>IF(B644="","",IF(AND(E644&gt;0,F644&gt;0,H644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644=1,TRUE()),R644&lt;='01_설정'!B5,S644&lt;='01_설정'!B6,T644&lt;='01_설정'!B7,U644&lt;='01_설정'!B8),"Y",""))</f>
        <v/>
      </c>
      <c r="W644" s="172">
        <f>IF(V644&lt;&gt;"Y","",MAX(0,(1-R644/'01_설정'!B5))*'01_설정'!B14+MAX(0,(1-S644/'01_설정'!B6))*'01_설정'!B15+MAX(0,(1-T644/'01_설정'!B7))*'01_설정'!B16+MAX(0,(1-U644/'01_설정'!B8))*'01_설정'!B17+O644*'01_설정'!B11+Q644*'01_설정'!B12+P644*'01_설정'!B13+IF(Z644="",0,Z644))</f>
        <v/>
      </c>
      <c r="X644" s="152">
        <f>IF(W644="","",1+COUNTIFS($W$4:$W$3003,"&gt;"&amp;W644)+COUNTIFS($W$4:W644,W644)-1)</f>
        <v/>
      </c>
      <c r="Y644" s="175">
        <f>IF(OR(I644="",'02_대상물건입력'!B19="",'02_대상물건입력'!B19&lt;=0),"",ABS(I644-'02_대상물건입력'!B19)/'02_대상물건입력'!B19)</f>
        <v/>
      </c>
      <c r="Z644" s="172">
        <f>IF(OR(Y644="",'01_설정'!B31="",'01_설정'!B31&lt;=0,'01_설정'!B32="",'01_설정'!B32&lt;=0),"",MAX(0,(1-Y644/'01_설정'!B32))*'01_설정'!B31)</f>
        <v/>
      </c>
    </row>
    <row r="645" ht="17.25" customHeight="1">
      <c r="A645" s="152">
        <f>IF(INDEX('04A_국토부원자료'!$A:$A,ROW()+1)="","",ROW()-3)</f>
        <v/>
      </c>
      <c r="B645" s="48">
        <f>IFERROR(INDEX('04A_국토부원자료'!$A:$T,ROW()+1,MATCH("시군구",'04A_국토부원자료'!$A$4:$T$4,0)),"")</f>
        <v/>
      </c>
      <c r="C645" s="48">
        <f>IF(B645="","",IFERROR(INDEX('04A_국토부원자료'!$A:$T,ROW()+1,MATCH("번지",'04A_국토부원자료'!$A$4:$T$4,0)),""))</f>
        <v/>
      </c>
      <c r="D645" s="48">
        <f>IF(B645="","",IF(Q645=1,'02_대상물건입력'!$B$8,IFERROR(INDEX('04A_국토부원자료'!$A:$T,ROW()+1,MATCH("단지명",'04A_국토부원자료'!$A$4:$T$4,0)),"")))</f>
        <v/>
      </c>
      <c r="E645" s="172">
        <f>IFERROR(VALUE(SUBSTITUTE(INDEX('04A_국토부원자료'!$A:$T,ROW()+1,MATCH("전용면적(㎡)",'04A_국토부원자료'!$A$4:$T$4,0)),",","")),"")</f>
        <v/>
      </c>
      <c r="F6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45" s="51">
        <f>IFERROR(VALUE(SUBSTITUTE(INDEX('04A_국토부원자료'!$A:$T,ROW()+1,MATCH("거래금액(만원)",'04A_국토부원자료'!$A$4:$T$4,0)),",","")),"")</f>
        <v/>
      </c>
      <c r="H645" s="174">
        <f>IF(G645="","",G645*10000)</f>
        <v/>
      </c>
      <c r="I645" s="174">
        <f>IFERROR(IF(AND(H645&gt;0,E645&gt;0),H645/E645,""),"")</f>
        <v/>
      </c>
      <c r="J645" s="152">
        <f>IFERROR(VALUE(SUBSTITUTE(INDEX('04A_국토부원자료'!$A:$T,ROW()+1,MATCH("층",'04A_국토부원자료'!$A$4:$T$4,0)),",","")),"")</f>
        <v/>
      </c>
      <c r="K645" s="152">
        <f>IFERROR(VALUE(SUBSTITUTE(INDEX('04A_국토부원자료'!$A:$T,ROW()+1,MATCH("건축년도",'04A_국토부원자료'!$A$4:$T$4,0)),",","")),"")</f>
        <v/>
      </c>
      <c r="L645" s="176">
        <f>IFERROR(INDEX('04A_국토부원자료'!$A:$T,ROW()+1,MATCH("도로명",'04A_국토부원자료'!$A$4:$T$4,0)),"")</f>
        <v/>
      </c>
      <c r="M645" s="48">
        <f>IFERROR(INDEX('04A_국토부원자료'!$A:$T,ROW()+1,MATCH("거래유형",'04A_국토부원자료'!$A$4:$T$4,0)),"")</f>
        <v/>
      </c>
      <c r="N645" s="152">
        <f>IF(B645="","",IF('02_대상물건입력'!B5="",1,IF(ISNUMBER(SEARCH('02_대상물건입력'!B5,B645)),1,0)))</f>
        <v/>
      </c>
      <c r="O645" s="152">
        <f>IF(B645="","",IF('02_대상물건입력'!B6="",1,IF(ISNUMBER(SEARCH('02_대상물건입력'!B6,B645)),1,0)))</f>
        <v/>
      </c>
      <c r="P645" s="152">
        <f>IF(L645="","",IF('02_대상물건입력'!B15="",0,IF(ISNUMBER(SEARCH('02_대상물건입력'!B15,L645)),1,0)))</f>
        <v/>
      </c>
      <c r="Q645" s="152">
        <f>IF(OR(C645="",L645=""),0,IF(AND(TRIM(C645)=TRIM(RIGHT(SUBSTITUTE(TRIM('02_대상물건입력'!$B$7)," ",REPT(" ",99)),99)),IF('02_대상물건입력'!B15="",TRUE(),ISNUMBER(SEARCH('02_대상물건입력'!B15,L645)))),1,0))</f>
        <v/>
      </c>
      <c r="R645" s="175">
        <f>IFERROR(ABS(E645-'02_대상물건입력'!B11)/'02_대상물건입력'!B11,"")</f>
        <v/>
      </c>
      <c r="S645" s="152">
        <f>IFERROR(ABS(J645-'02_대상물건입력'!B10),"")</f>
        <v/>
      </c>
      <c r="T645" s="152">
        <f>IFERROR(ABS('01_설정'!B4-F645),"")</f>
        <v/>
      </c>
      <c r="U645" s="152">
        <f>IFERROR(ABS(K645-YEAR('02_대상물건입력'!B14)),"")</f>
        <v/>
      </c>
      <c r="V645" s="152">
        <f>IF(B645="","",IF(AND(E645&gt;0,F645&gt;0,H645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645=1,TRUE()),R645&lt;='01_설정'!B5,S645&lt;='01_설정'!B6,T645&lt;='01_설정'!B7,U645&lt;='01_설정'!B8),"Y",""))</f>
        <v/>
      </c>
      <c r="W645" s="172">
        <f>IF(V645&lt;&gt;"Y","",MAX(0,(1-R645/'01_설정'!B5))*'01_설정'!B14+MAX(0,(1-S645/'01_설정'!B6))*'01_설정'!B15+MAX(0,(1-T645/'01_설정'!B7))*'01_설정'!B16+MAX(0,(1-U645/'01_설정'!B8))*'01_설정'!B17+O645*'01_설정'!B11+Q645*'01_설정'!B12+P645*'01_설정'!B13+IF(Z645="",0,Z645))</f>
        <v/>
      </c>
      <c r="X645" s="152">
        <f>IF(W645="","",1+COUNTIFS($W$4:$W$3003,"&gt;"&amp;W645)+COUNTIFS($W$4:W645,W645)-1)</f>
        <v/>
      </c>
      <c r="Y645" s="175">
        <f>IF(OR(I645="",'02_대상물건입력'!B19="",'02_대상물건입력'!B19&lt;=0),"",ABS(I645-'02_대상물건입력'!B19)/'02_대상물건입력'!B19)</f>
        <v/>
      </c>
      <c r="Z645" s="172">
        <f>IF(OR(Y645="",'01_설정'!B31="",'01_설정'!B31&lt;=0,'01_설정'!B32="",'01_설정'!B32&lt;=0),"",MAX(0,(1-Y645/'01_설정'!B32))*'01_설정'!B31)</f>
        <v/>
      </c>
    </row>
    <row r="646" ht="17.25" customHeight="1">
      <c r="A646" s="152">
        <f>IF(INDEX('04A_국토부원자료'!$A:$A,ROW()+1)="","",ROW()-3)</f>
        <v/>
      </c>
      <c r="B646" s="48">
        <f>IFERROR(INDEX('04A_국토부원자료'!$A:$T,ROW()+1,MATCH("시군구",'04A_국토부원자료'!$A$4:$T$4,0)),"")</f>
        <v/>
      </c>
      <c r="C646" s="48">
        <f>IF(B646="","",IFERROR(INDEX('04A_국토부원자료'!$A:$T,ROW()+1,MATCH("번지",'04A_국토부원자료'!$A$4:$T$4,0)),""))</f>
        <v/>
      </c>
      <c r="D646" s="48">
        <f>IF(B646="","",IF(Q646=1,'02_대상물건입력'!$B$8,IFERROR(INDEX('04A_국토부원자료'!$A:$T,ROW()+1,MATCH("단지명",'04A_국토부원자료'!$A$4:$T$4,0)),"")))</f>
        <v/>
      </c>
      <c r="E646" s="172">
        <f>IFERROR(VALUE(SUBSTITUTE(INDEX('04A_국토부원자료'!$A:$T,ROW()+1,MATCH("전용면적(㎡)",'04A_국토부원자료'!$A$4:$T$4,0)),",","")),"")</f>
        <v/>
      </c>
      <c r="F6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46" s="51">
        <f>IFERROR(VALUE(SUBSTITUTE(INDEX('04A_국토부원자료'!$A:$T,ROW()+1,MATCH("거래금액(만원)",'04A_국토부원자료'!$A$4:$T$4,0)),",","")),"")</f>
        <v/>
      </c>
      <c r="H646" s="174">
        <f>IF(G646="","",G646*10000)</f>
        <v/>
      </c>
      <c r="I646" s="174">
        <f>IFERROR(IF(AND(H646&gt;0,E646&gt;0),H646/E646,""),"")</f>
        <v/>
      </c>
      <c r="J646" s="152">
        <f>IFERROR(VALUE(SUBSTITUTE(INDEX('04A_국토부원자료'!$A:$T,ROW()+1,MATCH("층",'04A_국토부원자료'!$A$4:$T$4,0)),",","")),"")</f>
        <v/>
      </c>
      <c r="K646" s="152">
        <f>IFERROR(VALUE(SUBSTITUTE(INDEX('04A_국토부원자료'!$A:$T,ROW()+1,MATCH("건축년도",'04A_국토부원자료'!$A$4:$T$4,0)),",","")),"")</f>
        <v/>
      </c>
      <c r="L646" s="176">
        <f>IFERROR(INDEX('04A_국토부원자료'!$A:$T,ROW()+1,MATCH("도로명",'04A_국토부원자료'!$A$4:$T$4,0)),"")</f>
        <v/>
      </c>
      <c r="M646" s="48">
        <f>IFERROR(INDEX('04A_국토부원자료'!$A:$T,ROW()+1,MATCH("거래유형",'04A_국토부원자료'!$A$4:$T$4,0)),"")</f>
        <v/>
      </c>
      <c r="N646" s="152">
        <f>IF(B646="","",IF('02_대상물건입력'!B5="",1,IF(ISNUMBER(SEARCH('02_대상물건입력'!B5,B646)),1,0)))</f>
        <v/>
      </c>
      <c r="O646" s="152">
        <f>IF(B646="","",IF('02_대상물건입력'!B6="",1,IF(ISNUMBER(SEARCH('02_대상물건입력'!B6,B646)),1,0)))</f>
        <v/>
      </c>
      <c r="P646" s="152">
        <f>IF(L646="","",IF('02_대상물건입력'!B15="",0,IF(ISNUMBER(SEARCH('02_대상물건입력'!B15,L646)),1,0)))</f>
        <v/>
      </c>
      <c r="Q646" s="152">
        <f>IF(OR(C646="",L646=""),0,IF(AND(TRIM(C646)=TRIM(RIGHT(SUBSTITUTE(TRIM('02_대상물건입력'!$B$7)," ",REPT(" ",99)),99)),IF('02_대상물건입력'!B15="",TRUE(),ISNUMBER(SEARCH('02_대상물건입력'!B15,L646)))),1,0))</f>
        <v/>
      </c>
      <c r="R646" s="175">
        <f>IFERROR(ABS(E646-'02_대상물건입력'!B11)/'02_대상물건입력'!B11,"")</f>
        <v/>
      </c>
      <c r="S646" s="152">
        <f>IFERROR(ABS(J646-'02_대상물건입력'!B10),"")</f>
        <v/>
      </c>
      <c r="T646" s="152">
        <f>IFERROR(ABS('01_설정'!B4-F646),"")</f>
        <v/>
      </c>
      <c r="U646" s="152">
        <f>IFERROR(ABS(K646-YEAR('02_대상물건입력'!B14)),"")</f>
        <v/>
      </c>
      <c r="V646" s="152">
        <f>IF(B646="","",IF(AND(E646&gt;0,F646&gt;0,H646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646=1,TRUE()),R646&lt;='01_설정'!B5,S646&lt;='01_설정'!B6,T646&lt;='01_설정'!B7,U646&lt;='01_설정'!B8),"Y",""))</f>
        <v/>
      </c>
      <c r="W646" s="172">
        <f>IF(V646&lt;&gt;"Y","",MAX(0,(1-R646/'01_설정'!B5))*'01_설정'!B14+MAX(0,(1-S646/'01_설정'!B6))*'01_설정'!B15+MAX(0,(1-T646/'01_설정'!B7))*'01_설정'!B16+MAX(0,(1-U646/'01_설정'!B8))*'01_설정'!B17+O646*'01_설정'!B11+Q646*'01_설정'!B12+P646*'01_설정'!B13+IF(Z646="",0,Z646))</f>
        <v/>
      </c>
      <c r="X646" s="152">
        <f>IF(W646="","",1+COUNTIFS($W$4:$W$3003,"&gt;"&amp;W646)+COUNTIFS($W$4:W646,W646)-1)</f>
        <v/>
      </c>
      <c r="Y646" s="175">
        <f>IF(OR(I646="",'02_대상물건입력'!B19="",'02_대상물건입력'!B19&lt;=0),"",ABS(I646-'02_대상물건입력'!B19)/'02_대상물건입력'!B19)</f>
        <v/>
      </c>
      <c r="Z646" s="172">
        <f>IF(OR(Y646="",'01_설정'!B31="",'01_설정'!B31&lt;=0,'01_설정'!B32="",'01_설정'!B32&lt;=0),"",MAX(0,(1-Y646/'01_설정'!B32))*'01_설정'!B31)</f>
        <v/>
      </c>
    </row>
    <row r="647" ht="17.25" customHeight="1">
      <c r="A647" s="152">
        <f>IF(INDEX('04A_국토부원자료'!$A:$A,ROW()+1)="","",ROW()-3)</f>
        <v/>
      </c>
      <c r="B647" s="48">
        <f>IFERROR(INDEX('04A_국토부원자료'!$A:$T,ROW()+1,MATCH("시군구",'04A_국토부원자료'!$A$4:$T$4,0)),"")</f>
        <v/>
      </c>
      <c r="C647" s="48">
        <f>IF(B647="","",IFERROR(INDEX('04A_국토부원자료'!$A:$T,ROW()+1,MATCH("번지",'04A_국토부원자료'!$A$4:$T$4,0)),""))</f>
        <v/>
      </c>
      <c r="D647" s="48">
        <f>IF(B647="","",IF(Q647=1,'02_대상물건입력'!$B$8,IFERROR(INDEX('04A_국토부원자료'!$A:$T,ROW()+1,MATCH("단지명",'04A_국토부원자료'!$A$4:$T$4,0)),"")))</f>
        <v/>
      </c>
      <c r="E647" s="172">
        <f>IFERROR(VALUE(SUBSTITUTE(INDEX('04A_국토부원자료'!$A:$T,ROW()+1,MATCH("전용면적(㎡)",'04A_국토부원자료'!$A$4:$T$4,0)),",","")),"")</f>
        <v/>
      </c>
      <c r="F6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47" s="51">
        <f>IFERROR(VALUE(SUBSTITUTE(INDEX('04A_국토부원자료'!$A:$T,ROW()+1,MATCH("거래금액(만원)",'04A_국토부원자료'!$A$4:$T$4,0)),",","")),"")</f>
        <v/>
      </c>
      <c r="H647" s="174">
        <f>IF(G647="","",G647*10000)</f>
        <v/>
      </c>
      <c r="I647" s="174">
        <f>IFERROR(IF(AND(H647&gt;0,E647&gt;0),H647/E647,""),"")</f>
        <v/>
      </c>
      <c r="J647" s="152">
        <f>IFERROR(VALUE(SUBSTITUTE(INDEX('04A_국토부원자료'!$A:$T,ROW()+1,MATCH("층",'04A_국토부원자료'!$A$4:$T$4,0)),",","")),"")</f>
        <v/>
      </c>
      <c r="K647" s="152">
        <f>IFERROR(VALUE(SUBSTITUTE(INDEX('04A_국토부원자료'!$A:$T,ROW()+1,MATCH("건축년도",'04A_국토부원자료'!$A$4:$T$4,0)),",","")),"")</f>
        <v/>
      </c>
      <c r="L647" s="176">
        <f>IFERROR(INDEX('04A_국토부원자료'!$A:$T,ROW()+1,MATCH("도로명",'04A_국토부원자료'!$A$4:$T$4,0)),"")</f>
        <v/>
      </c>
      <c r="M647" s="48">
        <f>IFERROR(INDEX('04A_국토부원자료'!$A:$T,ROW()+1,MATCH("거래유형",'04A_국토부원자료'!$A$4:$T$4,0)),"")</f>
        <v/>
      </c>
      <c r="N647" s="152">
        <f>IF(B647="","",IF('02_대상물건입력'!B5="",1,IF(ISNUMBER(SEARCH('02_대상물건입력'!B5,B647)),1,0)))</f>
        <v/>
      </c>
      <c r="O647" s="152">
        <f>IF(B647="","",IF('02_대상물건입력'!B6="",1,IF(ISNUMBER(SEARCH('02_대상물건입력'!B6,B647)),1,0)))</f>
        <v/>
      </c>
      <c r="P647" s="152">
        <f>IF(L647="","",IF('02_대상물건입력'!B15="",0,IF(ISNUMBER(SEARCH('02_대상물건입력'!B15,L647)),1,0)))</f>
        <v/>
      </c>
      <c r="Q647" s="152">
        <f>IF(OR(C647="",L647=""),0,IF(AND(TRIM(C647)=TRIM(RIGHT(SUBSTITUTE(TRIM('02_대상물건입력'!$B$7)," ",REPT(" ",99)),99)),IF('02_대상물건입력'!B15="",TRUE(),ISNUMBER(SEARCH('02_대상물건입력'!B15,L647)))),1,0))</f>
        <v/>
      </c>
      <c r="R647" s="175">
        <f>IFERROR(ABS(E647-'02_대상물건입력'!B11)/'02_대상물건입력'!B11,"")</f>
        <v/>
      </c>
      <c r="S647" s="152">
        <f>IFERROR(ABS(J647-'02_대상물건입력'!B10),"")</f>
        <v/>
      </c>
      <c r="T647" s="152">
        <f>IFERROR(ABS('01_설정'!B4-F647),"")</f>
        <v/>
      </c>
      <c r="U647" s="152">
        <f>IFERROR(ABS(K647-YEAR('02_대상물건입력'!B14)),"")</f>
        <v/>
      </c>
      <c r="V647" s="152">
        <f>IF(B647="","",IF(AND(E647&gt;0,F647&gt;0,H647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647=1,TRUE()),R647&lt;='01_설정'!B5,S647&lt;='01_설정'!B6,T647&lt;='01_설정'!B7,U647&lt;='01_설정'!B8),"Y",""))</f>
        <v/>
      </c>
      <c r="W647" s="172">
        <f>IF(V647&lt;&gt;"Y","",MAX(0,(1-R647/'01_설정'!B5))*'01_설정'!B14+MAX(0,(1-S647/'01_설정'!B6))*'01_설정'!B15+MAX(0,(1-T647/'01_설정'!B7))*'01_설정'!B16+MAX(0,(1-U647/'01_설정'!B8))*'01_설정'!B17+O647*'01_설정'!B11+Q647*'01_설정'!B12+P647*'01_설정'!B13+IF(Z647="",0,Z647))</f>
        <v/>
      </c>
      <c r="X647" s="152">
        <f>IF(W647="","",1+COUNTIFS($W$4:$W$3003,"&gt;"&amp;W647)+COUNTIFS($W$4:W647,W647)-1)</f>
        <v/>
      </c>
      <c r="Y647" s="175">
        <f>IF(OR(I647="",'02_대상물건입력'!B19="",'02_대상물건입력'!B19&lt;=0),"",ABS(I647-'02_대상물건입력'!B19)/'02_대상물건입력'!B19)</f>
        <v/>
      </c>
      <c r="Z647" s="172">
        <f>IF(OR(Y647="",'01_설정'!B31="",'01_설정'!B31&lt;=0,'01_설정'!B32="",'01_설정'!B32&lt;=0),"",MAX(0,(1-Y647/'01_설정'!B32))*'01_설정'!B31)</f>
        <v/>
      </c>
    </row>
    <row r="648" ht="17.25" customHeight="1">
      <c r="A648" s="152">
        <f>IF(INDEX('04A_국토부원자료'!$A:$A,ROW()+1)="","",ROW()-3)</f>
        <v/>
      </c>
      <c r="B648" s="48">
        <f>IFERROR(INDEX('04A_국토부원자료'!$A:$T,ROW()+1,MATCH("시군구",'04A_국토부원자료'!$A$4:$T$4,0)),"")</f>
        <v/>
      </c>
      <c r="C648" s="48">
        <f>IF(B648="","",IFERROR(INDEX('04A_국토부원자료'!$A:$T,ROW()+1,MATCH("번지",'04A_국토부원자료'!$A$4:$T$4,0)),""))</f>
        <v/>
      </c>
      <c r="D648" s="48">
        <f>IF(B648="","",IF(Q648=1,'02_대상물건입력'!$B$8,IFERROR(INDEX('04A_국토부원자료'!$A:$T,ROW()+1,MATCH("단지명",'04A_국토부원자료'!$A$4:$T$4,0)),"")))</f>
        <v/>
      </c>
      <c r="E648" s="172">
        <f>IFERROR(VALUE(SUBSTITUTE(INDEX('04A_국토부원자료'!$A:$T,ROW()+1,MATCH("전용면적(㎡)",'04A_국토부원자료'!$A$4:$T$4,0)),",","")),"")</f>
        <v/>
      </c>
      <c r="F6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48" s="51">
        <f>IFERROR(VALUE(SUBSTITUTE(INDEX('04A_국토부원자료'!$A:$T,ROW()+1,MATCH("거래금액(만원)",'04A_국토부원자료'!$A$4:$T$4,0)),",","")),"")</f>
        <v/>
      </c>
      <c r="H648" s="174">
        <f>IF(G648="","",G648*10000)</f>
        <v/>
      </c>
      <c r="I648" s="174">
        <f>IFERROR(IF(AND(H648&gt;0,E648&gt;0),H648/E648,""),"")</f>
        <v/>
      </c>
      <c r="J648" s="152">
        <f>IFERROR(VALUE(SUBSTITUTE(INDEX('04A_국토부원자료'!$A:$T,ROW()+1,MATCH("층",'04A_국토부원자료'!$A$4:$T$4,0)),",","")),"")</f>
        <v/>
      </c>
      <c r="K648" s="152">
        <f>IFERROR(VALUE(SUBSTITUTE(INDEX('04A_국토부원자료'!$A:$T,ROW()+1,MATCH("건축년도",'04A_국토부원자료'!$A$4:$T$4,0)),",","")),"")</f>
        <v/>
      </c>
      <c r="L648" s="176">
        <f>IFERROR(INDEX('04A_국토부원자료'!$A:$T,ROW()+1,MATCH("도로명",'04A_국토부원자료'!$A$4:$T$4,0)),"")</f>
        <v/>
      </c>
      <c r="M648" s="48">
        <f>IFERROR(INDEX('04A_국토부원자료'!$A:$T,ROW()+1,MATCH("거래유형",'04A_국토부원자료'!$A$4:$T$4,0)),"")</f>
        <v/>
      </c>
      <c r="N648" s="152">
        <f>IF(B648="","",IF('02_대상물건입력'!B5="",1,IF(ISNUMBER(SEARCH('02_대상물건입력'!B5,B648)),1,0)))</f>
        <v/>
      </c>
      <c r="O648" s="152">
        <f>IF(B648="","",IF('02_대상물건입력'!B6="",1,IF(ISNUMBER(SEARCH('02_대상물건입력'!B6,B648)),1,0)))</f>
        <v/>
      </c>
      <c r="P648" s="152">
        <f>IF(L648="","",IF('02_대상물건입력'!B15="",0,IF(ISNUMBER(SEARCH('02_대상물건입력'!B15,L648)),1,0)))</f>
        <v/>
      </c>
      <c r="Q648" s="152">
        <f>IF(OR(C648="",L648=""),0,IF(AND(TRIM(C648)=TRIM(RIGHT(SUBSTITUTE(TRIM('02_대상물건입력'!$B$7)," ",REPT(" ",99)),99)),IF('02_대상물건입력'!B15="",TRUE(),ISNUMBER(SEARCH('02_대상물건입력'!B15,L648)))),1,0))</f>
        <v/>
      </c>
      <c r="R648" s="175">
        <f>IFERROR(ABS(E648-'02_대상물건입력'!B11)/'02_대상물건입력'!B11,"")</f>
        <v/>
      </c>
      <c r="S648" s="152">
        <f>IFERROR(ABS(J648-'02_대상물건입력'!B10),"")</f>
        <v/>
      </c>
      <c r="T648" s="152">
        <f>IFERROR(ABS('01_설정'!B4-F648),"")</f>
        <v/>
      </c>
      <c r="U648" s="152">
        <f>IFERROR(ABS(K648-YEAR('02_대상물건입력'!B14)),"")</f>
        <v/>
      </c>
      <c r="V648" s="152">
        <f>IF(B648="","",IF(AND(E648&gt;0,F648&gt;0,H648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648=1,TRUE()),R648&lt;='01_설정'!B5,S648&lt;='01_설정'!B6,T648&lt;='01_설정'!B7,U648&lt;='01_설정'!B8),"Y",""))</f>
        <v/>
      </c>
      <c r="W648" s="172">
        <f>IF(V648&lt;&gt;"Y","",MAX(0,(1-R648/'01_설정'!B5))*'01_설정'!B14+MAX(0,(1-S648/'01_설정'!B6))*'01_설정'!B15+MAX(0,(1-T648/'01_설정'!B7))*'01_설정'!B16+MAX(0,(1-U648/'01_설정'!B8))*'01_설정'!B17+O648*'01_설정'!B11+Q648*'01_설정'!B12+P648*'01_설정'!B13+IF(Z648="",0,Z648))</f>
        <v/>
      </c>
      <c r="X648" s="152">
        <f>IF(W648="","",1+COUNTIFS($W$4:$W$3003,"&gt;"&amp;W648)+COUNTIFS($W$4:W648,W648)-1)</f>
        <v/>
      </c>
      <c r="Y648" s="175">
        <f>IF(OR(I648="",'02_대상물건입력'!B19="",'02_대상물건입력'!B19&lt;=0),"",ABS(I648-'02_대상물건입력'!B19)/'02_대상물건입력'!B19)</f>
        <v/>
      </c>
      <c r="Z648" s="172">
        <f>IF(OR(Y648="",'01_설정'!B31="",'01_설정'!B31&lt;=0,'01_설정'!B32="",'01_설정'!B32&lt;=0),"",MAX(0,(1-Y648/'01_설정'!B32))*'01_설정'!B31)</f>
        <v/>
      </c>
    </row>
    <row r="649" ht="17.25" customHeight="1">
      <c r="A649" s="152">
        <f>IF(INDEX('04A_국토부원자료'!$A:$A,ROW()+1)="","",ROW()-3)</f>
        <v/>
      </c>
      <c r="B649" s="48">
        <f>IFERROR(INDEX('04A_국토부원자료'!$A:$T,ROW()+1,MATCH("시군구",'04A_국토부원자료'!$A$4:$T$4,0)),"")</f>
        <v/>
      </c>
      <c r="C649" s="48">
        <f>IF(B649="","",IFERROR(INDEX('04A_국토부원자료'!$A:$T,ROW()+1,MATCH("번지",'04A_국토부원자료'!$A$4:$T$4,0)),""))</f>
        <v/>
      </c>
      <c r="D649" s="48">
        <f>IF(B649="","",IF(Q649=1,'02_대상물건입력'!$B$8,IFERROR(INDEX('04A_국토부원자료'!$A:$T,ROW()+1,MATCH("단지명",'04A_국토부원자료'!$A$4:$T$4,0)),"")))</f>
        <v/>
      </c>
      <c r="E649" s="172">
        <f>IFERROR(VALUE(SUBSTITUTE(INDEX('04A_국토부원자료'!$A:$T,ROW()+1,MATCH("전용면적(㎡)",'04A_국토부원자료'!$A$4:$T$4,0)),",","")),"")</f>
        <v/>
      </c>
      <c r="F6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49" s="51">
        <f>IFERROR(VALUE(SUBSTITUTE(INDEX('04A_국토부원자료'!$A:$T,ROW()+1,MATCH("거래금액(만원)",'04A_국토부원자료'!$A$4:$T$4,0)),",","")),"")</f>
        <v/>
      </c>
      <c r="H649" s="174">
        <f>IF(G649="","",G649*10000)</f>
        <v/>
      </c>
      <c r="I649" s="174">
        <f>IFERROR(IF(AND(H649&gt;0,E649&gt;0),H649/E649,""),"")</f>
        <v/>
      </c>
      <c r="J649" s="152">
        <f>IFERROR(VALUE(SUBSTITUTE(INDEX('04A_국토부원자료'!$A:$T,ROW()+1,MATCH("층",'04A_국토부원자료'!$A$4:$T$4,0)),",","")),"")</f>
        <v/>
      </c>
      <c r="K649" s="152">
        <f>IFERROR(VALUE(SUBSTITUTE(INDEX('04A_국토부원자료'!$A:$T,ROW()+1,MATCH("건축년도",'04A_국토부원자료'!$A$4:$T$4,0)),",","")),"")</f>
        <v/>
      </c>
      <c r="L649" s="176">
        <f>IFERROR(INDEX('04A_국토부원자료'!$A:$T,ROW()+1,MATCH("도로명",'04A_국토부원자료'!$A$4:$T$4,0)),"")</f>
        <v/>
      </c>
      <c r="M649" s="48">
        <f>IFERROR(INDEX('04A_국토부원자료'!$A:$T,ROW()+1,MATCH("거래유형",'04A_국토부원자료'!$A$4:$T$4,0)),"")</f>
        <v/>
      </c>
      <c r="N649" s="152">
        <f>IF(B649="","",IF('02_대상물건입력'!B5="",1,IF(ISNUMBER(SEARCH('02_대상물건입력'!B5,B649)),1,0)))</f>
        <v/>
      </c>
      <c r="O649" s="152">
        <f>IF(B649="","",IF('02_대상물건입력'!B6="",1,IF(ISNUMBER(SEARCH('02_대상물건입력'!B6,B649)),1,0)))</f>
        <v/>
      </c>
      <c r="P649" s="152">
        <f>IF(L649="","",IF('02_대상물건입력'!B15="",0,IF(ISNUMBER(SEARCH('02_대상물건입력'!B15,L649)),1,0)))</f>
        <v/>
      </c>
      <c r="Q649" s="152">
        <f>IF(OR(C649="",L649=""),0,IF(AND(TRIM(C649)=TRIM(RIGHT(SUBSTITUTE(TRIM('02_대상물건입력'!$B$7)," ",REPT(" ",99)),99)),IF('02_대상물건입력'!B15="",TRUE(),ISNUMBER(SEARCH('02_대상물건입력'!B15,L649)))),1,0))</f>
        <v/>
      </c>
      <c r="R649" s="175">
        <f>IFERROR(ABS(E649-'02_대상물건입력'!B11)/'02_대상물건입력'!B11,"")</f>
        <v/>
      </c>
      <c r="S649" s="152">
        <f>IFERROR(ABS(J649-'02_대상물건입력'!B10),"")</f>
        <v/>
      </c>
      <c r="T649" s="152">
        <f>IFERROR(ABS('01_설정'!B4-F649),"")</f>
        <v/>
      </c>
      <c r="U649" s="152">
        <f>IFERROR(ABS(K649-YEAR('02_대상물건입력'!B14)),"")</f>
        <v/>
      </c>
      <c r="V649" s="152">
        <f>IF(B649="","",IF(AND(E649&gt;0,F649&gt;0,H649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649=1,TRUE()),R649&lt;='01_설정'!B5,S649&lt;='01_설정'!B6,T649&lt;='01_설정'!B7,U649&lt;='01_설정'!B8),"Y",""))</f>
        <v/>
      </c>
      <c r="W649" s="172">
        <f>IF(V649&lt;&gt;"Y","",MAX(0,(1-R649/'01_설정'!B5))*'01_설정'!B14+MAX(0,(1-S649/'01_설정'!B6))*'01_설정'!B15+MAX(0,(1-T649/'01_설정'!B7))*'01_설정'!B16+MAX(0,(1-U649/'01_설정'!B8))*'01_설정'!B17+O649*'01_설정'!B11+Q649*'01_설정'!B12+P649*'01_설정'!B13+IF(Z649="",0,Z649))</f>
        <v/>
      </c>
      <c r="X649" s="152">
        <f>IF(W649="","",1+COUNTIFS($W$4:$W$3003,"&gt;"&amp;W649)+COUNTIFS($W$4:W649,W649)-1)</f>
        <v/>
      </c>
      <c r="Y649" s="175">
        <f>IF(OR(I649="",'02_대상물건입력'!B19="",'02_대상물건입력'!B19&lt;=0),"",ABS(I649-'02_대상물건입력'!B19)/'02_대상물건입력'!B19)</f>
        <v/>
      </c>
      <c r="Z649" s="172">
        <f>IF(OR(Y649="",'01_설정'!B31="",'01_설정'!B31&lt;=0,'01_설정'!B32="",'01_설정'!B32&lt;=0),"",MAX(0,(1-Y649/'01_설정'!B32))*'01_설정'!B31)</f>
        <v/>
      </c>
    </row>
    <row r="650" ht="17.25" customHeight="1">
      <c r="A650" s="152">
        <f>IF(INDEX('04A_국토부원자료'!$A:$A,ROW()+1)="","",ROW()-3)</f>
        <v/>
      </c>
      <c r="B650" s="48">
        <f>IFERROR(INDEX('04A_국토부원자료'!$A:$T,ROW()+1,MATCH("시군구",'04A_국토부원자료'!$A$4:$T$4,0)),"")</f>
        <v/>
      </c>
      <c r="C650" s="48">
        <f>IF(B650="","",IFERROR(INDEX('04A_국토부원자료'!$A:$T,ROW()+1,MATCH("번지",'04A_국토부원자료'!$A$4:$T$4,0)),""))</f>
        <v/>
      </c>
      <c r="D650" s="48">
        <f>IF(B650="","",IF(Q650=1,'02_대상물건입력'!$B$8,IFERROR(INDEX('04A_국토부원자료'!$A:$T,ROW()+1,MATCH("단지명",'04A_국토부원자료'!$A$4:$T$4,0)),"")))</f>
        <v/>
      </c>
      <c r="E650" s="172">
        <f>IFERROR(VALUE(SUBSTITUTE(INDEX('04A_국토부원자료'!$A:$T,ROW()+1,MATCH("전용면적(㎡)",'04A_국토부원자료'!$A$4:$T$4,0)),",","")),"")</f>
        <v/>
      </c>
      <c r="F6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50" s="51">
        <f>IFERROR(VALUE(SUBSTITUTE(INDEX('04A_국토부원자료'!$A:$T,ROW()+1,MATCH("거래금액(만원)",'04A_국토부원자료'!$A$4:$T$4,0)),",","")),"")</f>
        <v/>
      </c>
      <c r="H650" s="174">
        <f>IF(G650="","",G650*10000)</f>
        <v/>
      </c>
      <c r="I650" s="174">
        <f>IFERROR(IF(AND(H650&gt;0,E650&gt;0),H650/E650,""),"")</f>
        <v/>
      </c>
      <c r="J650" s="152">
        <f>IFERROR(VALUE(SUBSTITUTE(INDEX('04A_국토부원자료'!$A:$T,ROW()+1,MATCH("층",'04A_국토부원자료'!$A$4:$T$4,0)),",","")),"")</f>
        <v/>
      </c>
      <c r="K650" s="152">
        <f>IFERROR(VALUE(SUBSTITUTE(INDEX('04A_국토부원자료'!$A:$T,ROW()+1,MATCH("건축년도",'04A_국토부원자료'!$A$4:$T$4,0)),",","")),"")</f>
        <v/>
      </c>
      <c r="L650" s="176">
        <f>IFERROR(INDEX('04A_국토부원자료'!$A:$T,ROW()+1,MATCH("도로명",'04A_국토부원자료'!$A$4:$T$4,0)),"")</f>
        <v/>
      </c>
      <c r="M650" s="48">
        <f>IFERROR(INDEX('04A_국토부원자료'!$A:$T,ROW()+1,MATCH("거래유형",'04A_국토부원자료'!$A$4:$T$4,0)),"")</f>
        <v/>
      </c>
      <c r="N650" s="152">
        <f>IF(B650="","",IF('02_대상물건입력'!B5="",1,IF(ISNUMBER(SEARCH('02_대상물건입력'!B5,B650)),1,0)))</f>
        <v/>
      </c>
      <c r="O650" s="152">
        <f>IF(B650="","",IF('02_대상물건입력'!B6="",1,IF(ISNUMBER(SEARCH('02_대상물건입력'!B6,B650)),1,0)))</f>
        <v/>
      </c>
      <c r="P650" s="152">
        <f>IF(L650="","",IF('02_대상물건입력'!B15="",0,IF(ISNUMBER(SEARCH('02_대상물건입력'!B15,L650)),1,0)))</f>
        <v/>
      </c>
      <c r="Q650" s="152">
        <f>IF(OR(C650="",L650=""),0,IF(AND(TRIM(C650)=TRIM(RIGHT(SUBSTITUTE(TRIM('02_대상물건입력'!$B$7)," ",REPT(" ",99)),99)),IF('02_대상물건입력'!B15="",TRUE(),ISNUMBER(SEARCH('02_대상물건입력'!B15,L650)))),1,0))</f>
        <v/>
      </c>
      <c r="R650" s="175">
        <f>IFERROR(ABS(E650-'02_대상물건입력'!B11)/'02_대상물건입력'!B11,"")</f>
        <v/>
      </c>
      <c r="S650" s="152">
        <f>IFERROR(ABS(J650-'02_대상물건입력'!B10),"")</f>
        <v/>
      </c>
      <c r="T650" s="152">
        <f>IFERROR(ABS('01_설정'!B4-F650),"")</f>
        <v/>
      </c>
      <c r="U650" s="152">
        <f>IFERROR(ABS(K650-YEAR('02_대상물건입력'!B14)),"")</f>
        <v/>
      </c>
      <c r="V650" s="152">
        <f>IF(B650="","",IF(AND(E650&gt;0,F650&gt;0,H650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650=1,TRUE()),R650&lt;='01_설정'!B5,S650&lt;='01_설정'!B6,T650&lt;='01_설정'!B7,U650&lt;='01_설정'!B8),"Y",""))</f>
        <v/>
      </c>
      <c r="W650" s="172">
        <f>IF(V650&lt;&gt;"Y","",MAX(0,(1-R650/'01_설정'!B5))*'01_설정'!B14+MAX(0,(1-S650/'01_설정'!B6))*'01_설정'!B15+MAX(0,(1-T650/'01_설정'!B7))*'01_설정'!B16+MAX(0,(1-U650/'01_설정'!B8))*'01_설정'!B17+O650*'01_설정'!B11+Q650*'01_설정'!B12+P650*'01_설정'!B13+IF(Z650="",0,Z650))</f>
        <v/>
      </c>
      <c r="X650" s="152">
        <f>IF(W650="","",1+COUNTIFS($W$4:$W$3003,"&gt;"&amp;W650)+COUNTIFS($W$4:W650,W650)-1)</f>
        <v/>
      </c>
      <c r="Y650" s="175">
        <f>IF(OR(I650="",'02_대상물건입력'!B19="",'02_대상물건입력'!B19&lt;=0),"",ABS(I650-'02_대상물건입력'!B19)/'02_대상물건입력'!B19)</f>
        <v/>
      </c>
      <c r="Z650" s="172">
        <f>IF(OR(Y650="",'01_설정'!B31="",'01_설정'!B31&lt;=0,'01_설정'!B32="",'01_설정'!B32&lt;=0),"",MAX(0,(1-Y650/'01_설정'!B32))*'01_설정'!B31)</f>
        <v/>
      </c>
    </row>
    <row r="651" ht="17.25" customHeight="1">
      <c r="A651" s="152">
        <f>IF(INDEX('04A_국토부원자료'!$A:$A,ROW()+1)="","",ROW()-3)</f>
        <v/>
      </c>
      <c r="B651" s="48">
        <f>IFERROR(INDEX('04A_국토부원자료'!$A:$T,ROW()+1,MATCH("시군구",'04A_국토부원자료'!$A$4:$T$4,0)),"")</f>
        <v/>
      </c>
      <c r="C651" s="48">
        <f>IF(B651="","",IFERROR(INDEX('04A_국토부원자료'!$A:$T,ROW()+1,MATCH("번지",'04A_국토부원자료'!$A$4:$T$4,0)),""))</f>
        <v/>
      </c>
      <c r="D651" s="48">
        <f>IF(B651="","",IF(Q651=1,'02_대상물건입력'!$B$8,IFERROR(INDEX('04A_국토부원자료'!$A:$T,ROW()+1,MATCH("단지명",'04A_국토부원자료'!$A$4:$T$4,0)),"")))</f>
        <v/>
      </c>
      <c r="E651" s="172">
        <f>IFERROR(VALUE(SUBSTITUTE(INDEX('04A_국토부원자료'!$A:$T,ROW()+1,MATCH("전용면적(㎡)",'04A_국토부원자료'!$A$4:$T$4,0)),",","")),"")</f>
        <v/>
      </c>
      <c r="F6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51" s="51">
        <f>IFERROR(VALUE(SUBSTITUTE(INDEX('04A_국토부원자료'!$A:$T,ROW()+1,MATCH("거래금액(만원)",'04A_국토부원자료'!$A$4:$T$4,0)),",","")),"")</f>
        <v/>
      </c>
      <c r="H651" s="174">
        <f>IF(G651="","",G651*10000)</f>
        <v/>
      </c>
      <c r="I651" s="174">
        <f>IFERROR(IF(AND(H651&gt;0,E651&gt;0),H651/E651,""),"")</f>
        <v/>
      </c>
      <c r="J651" s="152">
        <f>IFERROR(VALUE(SUBSTITUTE(INDEX('04A_국토부원자료'!$A:$T,ROW()+1,MATCH("층",'04A_국토부원자료'!$A$4:$T$4,0)),",","")),"")</f>
        <v/>
      </c>
      <c r="K651" s="152">
        <f>IFERROR(VALUE(SUBSTITUTE(INDEX('04A_국토부원자료'!$A:$T,ROW()+1,MATCH("건축년도",'04A_국토부원자료'!$A$4:$T$4,0)),",","")),"")</f>
        <v/>
      </c>
      <c r="L651" s="176">
        <f>IFERROR(INDEX('04A_국토부원자료'!$A:$T,ROW()+1,MATCH("도로명",'04A_국토부원자료'!$A$4:$T$4,0)),"")</f>
        <v/>
      </c>
      <c r="M651" s="48">
        <f>IFERROR(INDEX('04A_국토부원자료'!$A:$T,ROW()+1,MATCH("거래유형",'04A_국토부원자료'!$A$4:$T$4,0)),"")</f>
        <v/>
      </c>
      <c r="N651" s="152">
        <f>IF(B651="","",IF('02_대상물건입력'!B5="",1,IF(ISNUMBER(SEARCH('02_대상물건입력'!B5,B651)),1,0)))</f>
        <v/>
      </c>
      <c r="O651" s="152">
        <f>IF(B651="","",IF('02_대상물건입력'!B6="",1,IF(ISNUMBER(SEARCH('02_대상물건입력'!B6,B651)),1,0)))</f>
        <v/>
      </c>
      <c r="P651" s="152">
        <f>IF(L651="","",IF('02_대상물건입력'!B15="",0,IF(ISNUMBER(SEARCH('02_대상물건입력'!B15,L651)),1,0)))</f>
        <v/>
      </c>
      <c r="Q651" s="152">
        <f>IF(OR(C651="",L651=""),0,IF(AND(TRIM(C651)=TRIM(RIGHT(SUBSTITUTE(TRIM('02_대상물건입력'!$B$7)," ",REPT(" ",99)),99)),IF('02_대상물건입력'!B15="",TRUE(),ISNUMBER(SEARCH('02_대상물건입력'!B15,L651)))),1,0))</f>
        <v/>
      </c>
      <c r="R651" s="175">
        <f>IFERROR(ABS(E651-'02_대상물건입력'!B11)/'02_대상물건입력'!B11,"")</f>
        <v/>
      </c>
      <c r="S651" s="152">
        <f>IFERROR(ABS(J651-'02_대상물건입력'!B10),"")</f>
        <v/>
      </c>
      <c r="T651" s="152">
        <f>IFERROR(ABS('01_설정'!B4-F651),"")</f>
        <v/>
      </c>
      <c r="U651" s="152">
        <f>IFERROR(ABS(K651-YEAR('02_대상물건입력'!B14)),"")</f>
        <v/>
      </c>
      <c r="V651" s="152">
        <f>IF(B651="","",IF(AND(E651&gt;0,F651&gt;0,H651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651=1,TRUE()),R651&lt;='01_설정'!B5,S651&lt;='01_설정'!B6,T651&lt;='01_설정'!B7,U651&lt;='01_설정'!B8),"Y",""))</f>
        <v/>
      </c>
      <c r="W651" s="172">
        <f>IF(V651&lt;&gt;"Y","",MAX(0,(1-R651/'01_설정'!B5))*'01_설정'!B14+MAX(0,(1-S651/'01_설정'!B6))*'01_설정'!B15+MAX(0,(1-T651/'01_설정'!B7))*'01_설정'!B16+MAX(0,(1-U651/'01_설정'!B8))*'01_설정'!B17+O651*'01_설정'!B11+Q651*'01_설정'!B12+P651*'01_설정'!B13+IF(Z651="",0,Z651))</f>
        <v/>
      </c>
      <c r="X651" s="152">
        <f>IF(W651="","",1+COUNTIFS($W$4:$W$3003,"&gt;"&amp;W651)+COUNTIFS($W$4:W651,W651)-1)</f>
        <v/>
      </c>
      <c r="Y651" s="175">
        <f>IF(OR(I651="",'02_대상물건입력'!B19="",'02_대상물건입력'!B19&lt;=0),"",ABS(I651-'02_대상물건입력'!B19)/'02_대상물건입력'!B19)</f>
        <v/>
      </c>
      <c r="Z651" s="172">
        <f>IF(OR(Y651="",'01_설정'!B31="",'01_설정'!B31&lt;=0,'01_설정'!B32="",'01_설정'!B32&lt;=0),"",MAX(0,(1-Y651/'01_설정'!B32))*'01_설정'!B31)</f>
        <v/>
      </c>
    </row>
    <row r="652" ht="17.25" customHeight="1">
      <c r="A652" s="152">
        <f>IF(INDEX('04A_국토부원자료'!$A:$A,ROW()+1)="","",ROW()-3)</f>
        <v/>
      </c>
      <c r="B652" s="48">
        <f>IFERROR(INDEX('04A_국토부원자료'!$A:$T,ROW()+1,MATCH("시군구",'04A_국토부원자료'!$A$4:$T$4,0)),"")</f>
        <v/>
      </c>
      <c r="C652" s="48">
        <f>IF(B652="","",IFERROR(INDEX('04A_국토부원자료'!$A:$T,ROW()+1,MATCH("번지",'04A_국토부원자료'!$A$4:$T$4,0)),""))</f>
        <v/>
      </c>
      <c r="D652" s="48">
        <f>IF(B652="","",IF(Q652=1,'02_대상물건입력'!$B$8,IFERROR(INDEX('04A_국토부원자료'!$A:$T,ROW()+1,MATCH("단지명",'04A_국토부원자료'!$A$4:$T$4,0)),"")))</f>
        <v/>
      </c>
      <c r="E652" s="172">
        <f>IFERROR(VALUE(SUBSTITUTE(INDEX('04A_국토부원자료'!$A:$T,ROW()+1,MATCH("전용면적(㎡)",'04A_국토부원자료'!$A$4:$T$4,0)),",","")),"")</f>
        <v/>
      </c>
      <c r="F6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52" s="51">
        <f>IFERROR(VALUE(SUBSTITUTE(INDEX('04A_국토부원자료'!$A:$T,ROW()+1,MATCH("거래금액(만원)",'04A_국토부원자료'!$A$4:$T$4,0)),",","")),"")</f>
        <v/>
      </c>
      <c r="H652" s="174">
        <f>IF(G652="","",G652*10000)</f>
        <v/>
      </c>
      <c r="I652" s="174">
        <f>IFERROR(IF(AND(H652&gt;0,E652&gt;0),H652/E652,""),"")</f>
        <v/>
      </c>
      <c r="J652" s="152">
        <f>IFERROR(VALUE(SUBSTITUTE(INDEX('04A_국토부원자료'!$A:$T,ROW()+1,MATCH("층",'04A_국토부원자료'!$A$4:$T$4,0)),",","")),"")</f>
        <v/>
      </c>
      <c r="K652" s="152">
        <f>IFERROR(VALUE(SUBSTITUTE(INDEX('04A_국토부원자료'!$A:$T,ROW()+1,MATCH("건축년도",'04A_국토부원자료'!$A$4:$T$4,0)),",","")),"")</f>
        <v/>
      </c>
      <c r="L652" s="176">
        <f>IFERROR(INDEX('04A_국토부원자료'!$A:$T,ROW()+1,MATCH("도로명",'04A_국토부원자료'!$A$4:$T$4,0)),"")</f>
        <v/>
      </c>
      <c r="M652" s="48">
        <f>IFERROR(INDEX('04A_국토부원자료'!$A:$T,ROW()+1,MATCH("거래유형",'04A_국토부원자료'!$A$4:$T$4,0)),"")</f>
        <v/>
      </c>
      <c r="N652" s="152">
        <f>IF(B652="","",IF('02_대상물건입력'!B5="",1,IF(ISNUMBER(SEARCH('02_대상물건입력'!B5,B652)),1,0)))</f>
        <v/>
      </c>
      <c r="O652" s="152">
        <f>IF(B652="","",IF('02_대상물건입력'!B6="",1,IF(ISNUMBER(SEARCH('02_대상물건입력'!B6,B652)),1,0)))</f>
        <v/>
      </c>
      <c r="P652" s="152">
        <f>IF(L652="","",IF('02_대상물건입력'!B15="",0,IF(ISNUMBER(SEARCH('02_대상물건입력'!B15,L652)),1,0)))</f>
        <v/>
      </c>
      <c r="Q652" s="152">
        <f>IF(OR(C652="",L652=""),0,IF(AND(TRIM(C652)=TRIM(RIGHT(SUBSTITUTE(TRIM('02_대상물건입력'!$B$7)," ",REPT(" ",99)),99)),IF('02_대상물건입력'!B15="",TRUE(),ISNUMBER(SEARCH('02_대상물건입력'!B15,L652)))),1,0))</f>
        <v/>
      </c>
      <c r="R652" s="175">
        <f>IFERROR(ABS(E652-'02_대상물건입력'!B11)/'02_대상물건입력'!B11,"")</f>
        <v/>
      </c>
      <c r="S652" s="152">
        <f>IFERROR(ABS(J652-'02_대상물건입력'!B10),"")</f>
        <v/>
      </c>
      <c r="T652" s="152">
        <f>IFERROR(ABS('01_설정'!B4-F652),"")</f>
        <v/>
      </c>
      <c r="U652" s="152">
        <f>IFERROR(ABS(K652-YEAR('02_대상물건입력'!B14)),"")</f>
        <v/>
      </c>
      <c r="V652" s="152">
        <f>IF(B652="","",IF(AND(E652&gt;0,F652&gt;0,H652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652=1,TRUE()),R652&lt;='01_설정'!B5,S652&lt;='01_설정'!B6,T652&lt;='01_설정'!B7,U652&lt;='01_설정'!B8),"Y",""))</f>
        <v/>
      </c>
      <c r="W652" s="172">
        <f>IF(V652&lt;&gt;"Y","",MAX(0,(1-R652/'01_설정'!B5))*'01_설정'!B14+MAX(0,(1-S652/'01_설정'!B6))*'01_설정'!B15+MAX(0,(1-T652/'01_설정'!B7))*'01_설정'!B16+MAX(0,(1-U652/'01_설정'!B8))*'01_설정'!B17+O652*'01_설정'!B11+Q652*'01_설정'!B12+P652*'01_설정'!B13+IF(Z652="",0,Z652))</f>
        <v/>
      </c>
      <c r="X652" s="152">
        <f>IF(W652="","",1+COUNTIFS($W$4:$W$3003,"&gt;"&amp;W652)+COUNTIFS($W$4:W652,W652)-1)</f>
        <v/>
      </c>
      <c r="Y652" s="175">
        <f>IF(OR(I652="",'02_대상물건입력'!B19="",'02_대상물건입력'!B19&lt;=0),"",ABS(I652-'02_대상물건입력'!B19)/'02_대상물건입력'!B19)</f>
        <v/>
      </c>
      <c r="Z652" s="172">
        <f>IF(OR(Y652="",'01_설정'!B31="",'01_설정'!B31&lt;=0,'01_설정'!B32="",'01_설정'!B32&lt;=0),"",MAX(0,(1-Y652/'01_설정'!B32))*'01_설정'!B31)</f>
        <v/>
      </c>
    </row>
    <row r="653" ht="17.25" customHeight="1">
      <c r="A653" s="152">
        <f>IF(INDEX('04A_국토부원자료'!$A:$A,ROW()+1)="","",ROW()-3)</f>
        <v/>
      </c>
      <c r="B653" s="48">
        <f>IFERROR(INDEX('04A_국토부원자료'!$A:$T,ROW()+1,MATCH("시군구",'04A_국토부원자료'!$A$4:$T$4,0)),"")</f>
        <v/>
      </c>
      <c r="C653" s="48">
        <f>IF(B653="","",IFERROR(INDEX('04A_국토부원자료'!$A:$T,ROW()+1,MATCH("번지",'04A_국토부원자료'!$A$4:$T$4,0)),""))</f>
        <v/>
      </c>
      <c r="D653" s="48">
        <f>IF(B653="","",IF(Q653=1,'02_대상물건입력'!$B$8,IFERROR(INDEX('04A_국토부원자료'!$A:$T,ROW()+1,MATCH("단지명",'04A_국토부원자료'!$A$4:$T$4,0)),"")))</f>
        <v/>
      </c>
      <c r="E653" s="172">
        <f>IFERROR(VALUE(SUBSTITUTE(INDEX('04A_국토부원자료'!$A:$T,ROW()+1,MATCH("전용면적(㎡)",'04A_국토부원자료'!$A$4:$T$4,0)),",","")),"")</f>
        <v/>
      </c>
      <c r="F6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53" s="51">
        <f>IFERROR(VALUE(SUBSTITUTE(INDEX('04A_국토부원자료'!$A:$T,ROW()+1,MATCH("거래금액(만원)",'04A_국토부원자료'!$A$4:$T$4,0)),",","")),"")</f>
        <v/>
      </c>
      <c r="H653" s="174">
        <f>IF(G653="","",G653*10000)</f>
        <v/>
      </c>
      <c r="I653" s="174">
        <f>IFERROR(IF(AND(H653&gt;0,E653&gt;0),H653/E653,""),"")</f>
        <v/>
      </c>
      <c r="J653" s="152">
        <f>IFERROR(VALUE(SUBSTITUTE(INDEX('04A_국토부원자료'!$A:$T,ROW()+1,MATCH("층",'04A_국토부원자료'!$A$4:$T$4,0)),",","")),"")</f>
        <v/>
      </c>
      <c r="K653" s="152">
        <f>IFERROR(VALUE(SUBSTITUTE(INDEX('04A_국토부원자료'!$A:$T,ROW()+1,MATCH("건축년도",'04A_국토부원자료'!$A$4:$T$4,0)),",","")),"")</f>
        <v/>
      </c>
      <c r="L653" s="176">
        <f>IFERROR(INDEX('04A_국토부원자료'!$A:$T,ROW()+1,MATCH("도로명",'04A_국토부원자료'!$A$4:$T$4,0)),"")</f>
        <v/>
      </c>
      <c r="M653" s="48">
        <f>IFERROR(INDEX('04A_국토부원자료'!$A:$T,ROW()+1,MATCH("거래유형",'04A_국토부원자료'!$A$4:$T$4,0)),"")</f>
        <v/>
      </c>
      <c r="N653" s="152">
        <f>IF(B653="","",IF('02_대상물건입력'!B5="",1,IF(ISNUMBER(SEARCH('02_대상물건입력'!B5,B653)),1,0)))</f>
        <v/>
      </c>
      <c r="O653" s="152">
        <f>IF(B653="","",IF('02_대상물건입력'!B6="",1,IF(ISNUMBER(SEARCH('02_대상물건입력'!B6,B653)),1,0)))</f>
        <v/>
      </c>
      <c r="P653" s="152">
        <f>IF(L653="","",IF('02_대상물건입력'!B15="",0,IF(ISNUMBER(SEARCH('02_대상물건입력'!B15,L653)),1,0)))</f>
        <v/>
      </c>
      <c r="Q653" s="152">
        <f>IF(OR(C653="",L653=""),0,IF(AND(TRIM(C653)=TRIM(RIGHT(SUBSTITUTE(TRIM('02_대상물건입력'!$B$7)," ",REPT(" ",99)),99)),IF('02_대상물건입력'!B15="",TRUE(),ISNUMBER(SEARCH('02_대상물건입력'!B15,L653)))),1,0))</f>
        <v/>
      </c>
      <c r="R653" s="175">
        <f>IFERROR(ABS(E653-'02_대상물건입력'!B11)/'02_대상물건입력'!B11,"")</f>
        <v/>
      </c>
      <c r="S653" s="152">
        <f>IFERROR(ABS(J653-'02_대상물건입력'!B10),"")</f>
        <v/>
      </c>
      <c r="T653" s="152">
        <f>IFERROR(ABS('01_설정'!B4-F653),"")</f>
        <v/>
      </c>
      <c r="U653" s="152">
        <f>IFERROR(ABS(K653-YEAR('02_대상물건입력'!B14)),"")</f>
        <v/>
      </c>
      <c r="V653" s="152">
        <f>IF(B653="","",IF(AND(E653&gt;0,F653&gt;0,H653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653=1,TRUE()),R653&lt;='01_설정'!B5,S653&lt;='01_설정'!B6,T653&lt;='01_설정'!B7,U653&lt;='01_설정'!B8),"Y",""))</f>
        <v/>
      </c>
      <c r="W653" s="172">
        <f>IF(V653&lt;&gt;"Y","",MAX(0,(1-R653/'01_설정'!B5))*'01_설정'!B14+MAX(0,(1-S653/'01_설정'!B6))*'01_설정'!B15+MAX(0,(1-T653/'01_설정'!B7))*'01_설정'!B16+MAX(0,(1-U653/'01_설정'!B8))*'01_설정'!B17+O653*'01_설정'!B11+Q653*'01_설정'!B12+P653*'01_설정'!B13+IF(Z653="",0,Z653))</f>
        <v/>
      </c>
      <c r="X653" s="152">
        <f>IF(W653="","",1+COUNTIFS($W$4:$W$3003,"&gt;"&amp;W653)+COUNTIFS($W$4:W653,W653)-1)</f>
        <v/>
      </c>
      <c r="Y653" s="175">
        <f>IF(OR(I653="",'02_대상물건입력'!B19="",'02_대상물건입력'!B19&lt;=0),"",ABS(I653-'02_대상물건입력'!B19)/'02_대상물건입력'!B19)</f>
        <v/>
      </c>
      <c r="Z653" s="172">
        <f>IF(OR(Y653="",'01_설정'!B31="",'01_설정'!B31&lt;=0,'01_설정'!B32="",'01_설정'!B32&lt;=0),"",MAX(0,(1-Y653/'01_설정'!B32))*'01_설정'!B31)</f>
        <v/>
      </c>
    </row>
    <row r="654" ht="17.25" customHeight="1">
      <c r="A654" s="152">
        <f>IF(INDEX('04A_국토부원자료'!$A:$A,ROW()+1)="","",ROW()-3)</f>
        <v/>
      </c>
      <c r="B654" s="48">
        <f>IFERROR(INDEX('04A_국토부원자료'!$A:$T,ROW()+1,MATCH("시군구",'04A_국토부원자료'!$A$4:$T$4,0)),"")</f>
        <v/>
      </c>
      <c r="C654" s="48">
        <f>IF(B654="","",IFERROR(INDEX('04A_국토부원자료'!$A:$T,ROW()+1,MATCH("번지",'04A_국토부원자료'!$A$4:$T$4,0)),""))</f>
        <v/>
      </c>
      <c r="D654" s="48">
        <f>IF(B654="","",IF(Q654=1,'02_대상물건입력'!$B$8,IFERROR(INDEX('04A_국토부원자료'!$A:$T,ROW()+1,MATCH("단지명",'04A_국토부원자료'!$A$4:$T$4,0)),"")))</f>
        <v/>
      </c>
      <c r="E654" s="172">
        <f>IFERROR(VALUE(SUBSTITUTE(INDEX('04A_국토부원자료'!$A:$T,ROW()+1,MATCH("전용면적(㎡)",'04A_국토부원자료'!$A$4:$T$4,0)),",","")),"")</f>
        <v/>
      </c>
      <c r="F6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54" s="51">
        <f>IFERROR(VALUE(SUBSTITUTE(INDEX('04A_국토부원자료'!$A:$T,ROW()+1,MATCH("거래금액(만원)",'04A_국토부원자료'!$A$4:$T$4,0)),",","")),"")</f>
        <v/>
      </c>
      <c r="H654" s="174">
        <f>IF(G654="","",G654*10000)</f>
        <v/>
      </c>
      <c r="I654" s="174">
        <f>IFERROR(IF(AND(H654&gt;0,E654&gt;0),H654/E654,""),"")</f>
        <v/>
      </c>
      <c r="J654" s="152">
        <f>IFERROR(VALUE(SUBSTITUTE(INDEX('04A_국토부원자료'!$A:$T,ROW()+1,MATCH("층",'04A_국토부원자료'!$A$4:$T$4,0)),",","")),"")</f>
        <v/>
      </c>
      <c r="K654" s="152">
        <f>IFERROR(VALUE(SUBSTITUTE(INDEX('04A_국토부원자료'!$A:$T,ROW()+1,MATCH("건축년도",'04A_국토부원자료'!$A$4:$T$4,0)),",","")),"")</f>
        <v/>
      </c>
      <c r="L654" s="176">
        <f>IFERROR(INDEX('04A_국토부원자료'!$A:$T,ROW()+1,MATCH("도로명",'04A_국토부원자료'!$A$4:$T$4,0)),"")</f>
        <v/>
      </c>
      <c r="M654" s="48">
        <f>IFERROR(INDEX('04A_국토부원자료'!$A:$T,ROW()+1,MATCH("거래유형",'04A_국토부원자료'!$A$4:$T$4,0)),"")</f>
        <v/>
      </c>
      <c r="N654" s="152">
        <f>IF(B654="","",IF('02_대상물건입력'!B5="",1,IF(ISNUMBER(SEARCH('02_대상물건입력'!B5,B654)),1,0)))</f>
        <v/>
      </c>
      <c r="O654" s="152">
        <f>IF(B654="","",IF('02_대상물건입력'!B6="",1,IF(ISNUMBER(SEARCH('02_대상물건입력'!B6,B654)),1,0)))</f>
        <v/>
      </c>
      <c r="P654" s="152">
        <f>IF(L654="","",IF('02_대상물건입력'!B15="",0,IF(ISNUMBER(SEARCH('02_대상물건입력'!B15,L654)),1,0)))</f>
        <v/>
      </c>
      <c r="Q654" s="152">
        <f>IF(OR(C654="",L654=""),0,IF(AND(TRIM(C654)=TRIM(RIGHT(SUBSTITUTE(TRIM('02_대상물건입력'!$B$7)," ",REPT(" ",99)),99)),IF('02_대상물건입력'!B15="",TRUE(),ISNUMBER(SEARCH('02_대상물건입력'!B15,L654)))),1,0))</f>
        <v/>
      </c>
      <c r="R654" s="175">
        <f>IFERROR(ABS(E654-'02_대상물건입력'!B11)/'02_대상물건입력'!B11,"")</f>
        <v/>
      </c>
      <c r="S654" s="152">
        <f>IFERROR(ABS(J654-'02_대상물건입력'!B10),"")</f>
        <v/>
      </c>
      <c r="T654" s="152">
        <f>IFERROR(ABS('01_설정'!B4-F654),"")</f>
        <v/>
      </c>
      <c r="U654" s="152">
        <f>IFERROR(ABS(K654-YEAR('02_대상물건입력'!B14)),"")</f>
        <v/>
      </c>
      <c r="V654" s="152">
        <f>IF(B654="","",IF(AND(E654&gt;0,F654&gt;0,H654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654=1,TRUE()),R654&lt;='01_설정'!B5,S654&lt;='01_설정'!B6,T654&lt;='01_설정'!B7,U654&lt;='01_설정'!B8),"Y",""))</f>
        <v/>
      </c>
      <c r="W654" s="172">
        <f>IF(V654&lt;&gt;"Y","",MAX(0,(1-R654/'01_설정'!B5))*'01_설정'!B14+MAX(0,(1-S654/'01_설정'!B6))*'01_설정'!B15+MAX(0,(1-T654/'01_설정'!B7))*'01_설정'!B16+MAX(0,(1-U654/'01_설정'!B8))*'01_설정'!B17+O654*'01_설정'!B11+Q654*'01_설정'!B12+P654*'01_설정'!B13+IF(Z654="",0,Z654))</f>
        <v/>
      </c>
      <c r="X654" s="152">
        <f>IF(W654="","",1+COUNTIFS($W$4:$W$3003,"&gt;"&amp;W654)+COUNTIFS($W$4:W654,W654)-1)</f>
        <v/>
      </c>
      <c r="Y654" s="175">
        <f>IF(OR(I654="",'02_대상물건입력'!B19="",'02_대상물건입력'!B19&lt;=0),"",ABS(I654-'02_대상물건입력'!B19)/'02_대상물건입력'!B19)</f>
        <v/>
      </c>
      <c r="Z654" s="172">
        <f>IF(OR(Y654="",'01_설정'!B31="",'01_설정'!B31&lt;=0,'01_설정'!B32="",'01_설정'!B32&lt;=0),"",MAX(0,(1-Y654/'01_설정'!B32))*'01_설정'!B31)</f>
        <v/>
      </c>
    </row>
    <row r="655" ht="17.25" customHeight="1">
      <c r="A655" s="152">
        <f>IF(INDEX('04A_국토부원자료'!$A:$A,ROW()+1)="","",ROW()-3)</f>
        <v/>
      </c>
      <c r="B655" s="48">
        <f>IFERROR(INDEX('04A_국토부원자료'!$A:$T,ROW()+1,MATCH("시군구",'04A_국토부원자료'!$A$4:$T$4,0)),"")</f>
        <v/>
      </c>
      <c r="C655" s="48">
        <f>IF(B655="","",IFERROR(INDEX('04A_국토부원자료'!$A:$T,ROW()+1,MATCH("번지",'04A_국토부원자료'!$A$4:$T$4,0)),""))</f>
        <v/>
      </c>
      <c r="D655" s="48">
        <f>IF(B655="","",IF(Q655=1,'02_대상물건입력'!$B$8,IFERROR(INDEX('04A_국토부원자료'!$A:$T,ROW()+1,MATCH("단지명",'04A_국토부원자료'!$A$4:$T$4,0)),"")))</f>
        <v/>
      </c>
      <c r="E655" s="172">
        <f>IFERROR(VALUE(SUBSTITUTE(INDEX('04A_국토부원자료'!$A:$T,ROW()+1,MATCH("전용면적(㎡)",'04A_국토부원자료'!$A$4:$T$4,0)),",","")),"")</f>
        <v/>
      </c>
      <c r="F6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55" s="51">
        <f>IFERROR(VALUE(SUBSTITUTE(INDEX('04A_국토부원자료'!$A:$T,ROW()+1,MATCH("거래금액(만원)",'04A_국토부원자료'!$A$4:$T$4,0)),",","")),"")</f>
        <v/>
      </c>
      <c r="H655" s="174">
        <f>IF(G655="","",G655*10000)</f>
        <v/>
      </c>
      <c r="I655" s="174">
        <f>IFERROR(IF(AND(H655&gt;0,E655&gt;0),H655/E655,""),"")</f>
        <v/>
      </c>
      <c r="J655" s="152">
        <f>IFERROR(VALUE(SUBSTITUTE(INDEX('04A_국토부원자료'!$A:$T,ROW()+1,MATCH("층",'04A_국토부원자료'!$A$4:$T$4,0)),",","")),"")</f>
        <v/>
      </c>
      <c r="K655" s="152">
        <f>IFERROR(VALUE(SUBSTITUTE(INDEX('04A_국토부원자료'!$A:$T,ROW()+1,MATCH("건축년도",'04A_국토부원자료'!$A$4:$T$4,0)),",","")),"")</f>
        <v/>
      </c>
      <c r="L655" s="176">
        <f>IFERROR(INDEX('04A_국토부원자료'!$A:$T,ROW()+1,MATCH("도로명",'04A_국토부원자료'!$A$4:$T$4,0)),"")</f>
        <v/>
      </c>
      <c r="M655" s="48">
        <f>IFERROR(INDEX('04A_국토부원자료'!$A:$T,ROW()+1,MATCH("거래유형",'04A_국토부원자료'!$A$4:$T$4,0)),"")</f>
        <v/>
      </c>
      <c r="N655" s="152">
        <f>IF(B655="","",IF('02_대상물건입력'!B5="",1,IF(ISNUMBER(SEARCH('02_대상물건입력'!B5,B655)),1,0)))</f>
        <v/>
      </c>
      <c r="O655" s="152">
        <f>IF(B655="","",IF('02_대상물건입력'!B6="",1,IF(ISNUMBER(SEARCH('02_대상물건입력'!B6,B655)),1,0)))</f>
        <v/>
      </c>
      <c r="P655" s="152">
        <f>IF(L655="","",IF('02_대상물건입력'!B15="",0,IF(ISNUMBER(SEARCH('02_대상물건입력'!B15,L655)),1,0)))</f>
        <v/>
      </c>
      <c r="Q655" s="152">
        <f>IF(OR(C655="",L655=""),0,IF(AND(TRIM(C655)=TRIM(RIGHT(SUBSTITUTE(TRIM('02_대상물건입력'!$B$7)," ",REPT(" ",99)),99)),IF('02_대상물건입력'!B15="",TRUE(),ISNUMBER(SEARCH('02_대상물건입력'!B15,L655)))),1,0))</f>
        <v/>
      </c>
      <c r="R655" s="175">
        <f>IFERROR(ABS(E655-'02_대상물건입력'!B11)/'02_대상물건입력'!B11,"")</f>
        <v/>
      </c>
      <c r="S655" s="152">
        <f>IFERROR(ABS(J655-'02_대상물건입력'!B10),"")</f>
        <v/>
      </c>
      <c r="T655" s="152">
        <f>IFERROR(ABS('01_설정'!B4-F655),"")</f>
        <v/>
      </c>
      <c r="U655" s="152">
        <f>IFERROR(ABS(K655-YEAR('02_대상물건입력'!B14)),"")</f>
        <v/>
      </c>
      <c r="V655" s="152">
        <f>IF(B655="","",IF(AND(E655&gt;0,F655&gt;0,H655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655=1,TRUE()),R655&lt;='01_설정'!B5,S655&lt;='01_설정'!B6,T655&lt;='01_설정'!B7,U655&lt;='01_설정'!B8),"Y",""))</f>
        <v/>
      </c>
      <c r="W655" s="172">
        <f>IF(V655&lt;&gt;"Y","",MAX(0,(1-R655/'01_설정'!B5))*'01_설정'!B14+MAX(0,(1-S655/'01_설정'!B6))*'01_설정'!B15+MAX(0,(1-T655/'01_설정'!B7))*'01_설정'!B16+MAX(0,(1-U655/'01_설정'!B8))*'01_설정'!B17+O655*'01_설정'!B11+Q655*'01_설정'!B12+P655*'01_설정'!B13+IF(Z655="",0,Z655))</f>
        <v/>
      </c>
      <c r="X655" s="152">
        <f>IF(W655="","",1+COUNTIFS($W$4:$W$3003,"&gt;"&amp;W655)+COUNTIFS($W$4:W655,W655)-1)</f>
        <v/>
      </c>
      <c r="Y655" s="175">
        <f>IF(OR(I655="",'02_대상물건입력'!B19="",'02_대상물건입력'!B19&lt;=0),"",ABS(I655-'02_대상물건입력'!B19)/'02_대상물건입력'!B19)</f>
        <v/>
      </c>
      <c r="Z655" s="172">
        <f>IF(OR(Y655="",'01_설정'!B31="",'01_설정'!B31&lt;=0,'01_설정'!B32="",'01_설정'!B32&lt;=0),"",MAX(0,(1-Y655/'01_설정'!B32))*'01_설정'!B31)</f>
        <v/>
      </c>
    </row>
    <row r="656" ht="17.25" customHeight="1">
      <c r="A656" s="152">
        <f>IF(INDEX('04A_국토부원자료'!$A:$A,ROW()+1)="","",ROW()-3)</f>
        <v/>
      </c>
      <c r="B656" s="48">
        <f>IFERROR(INDEX('04A_국토부원자료'!$A:$T,ROW()+1,MATCH("시군구",'04A_국토부원자료'!$A$4:$T$4,0)),"")</f>
        <v/>
      </c>
      <c r="C656" s="48">
        <f>IF(B656="","",IFERROR(INDEX('04A_국토부원자료'!$A:$T,ROW()+1,MATCH("번지",'04A_국토부원자료'!$A$4:$T$4,0)),""))</f>
        <v/>
      </c>
      <c r="D656" s="48">
        <f>IF(B656="","",IF(Q656=1,'02_대상물건입력'!$B$8,IFERROR(INDEX('04A_국토부원자료'!$A:$T,ROW()+1,MATCH("단지명",'04A_국토부원자료'!$A$4:$T$4,0)),"")))</f>
        <v/>
      </c>
      <c r="E656" s="172">
        <f>IFERROR(VALUE(SUBSTITUTE(INDEX('04A_국토부원자료'!$A:$T,ROW()+1,MATCH("전용면적(㎡)",'04A_국토부원자료'!$A$4:$T$4,0)),",","")),"")</f>
        <v/>
      </c>
      <c r="F6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56" s="51">
        <f>IFERROR(VALUE(SUBSTITUTE(INDEX('04A_국토부원자료'!$A:$T,ROW()+1,MATCH("거래금액(만원)",'04A_국토부원자료'!$A$4:$T$4,0)),",","")),"")</f>
        <v/>
      </c>
      <c r="H656" s="174">
        <f>IF(G656="","",G656*10000)</f>
        <v/>
      </c>
      <c r="I656" s="174">
        <f>IFERROR(IF(AND(H656&gt;0,E656&gt;0),H656/E656,""),"")</f>
        <v/>
      </c>
      <c r="J656" s="152">
        <f>IFERROR(VALUE(SUBSTITUTE(INDEX('04A_국토부원자료'!$A:$T,ROW()+1,MATCH("층",'04A_국토부원자료'!$A$4:$T$4,0)),",","")),"")</f>
        <v/>
      </c>
      <c r="K656" s="152">
        <f>IFERROR(VALUE(SUBSTITUTE(INDEX('04A_국토부원자료'!$A:$T,ROW()+1,MATCH("건축년도",'04A_국토부원자료'!$A$4:$T$4,0)),",","")),"")</f>
        <v/>
      </c>
      <c r="L656" s="176">
        <f>IFERROR(INDEX('04A_국토부원자료'!$A:$T,ROW()+1,MATCH("도로명",'04A_국토부원자료'!$A$4:$T$4,0)),"")</f>
        <v/>
      </c>
      <c r="M656" s="48">
        <f>IFERROR(INDEX('04A_국토부원자료'!$A:$T,ROW()+1,MATCH("거래유형",'04A_국토부원자료'!$A$4:$T$4,0)),"")</f>
        <v/>
      </c>
      <c r="N656" s="152">
        <f>IF(B656="","",IF('02_대상물건입력'!B5="",1,IF(ISNUMBER(SEARCH('02_대상물건입력'!B5,B656)),1,0)))</f>
        <v/>
      </c>
      <c r="O656" s="152">
        <f>IF(B656="","",IF('02_대상물건입력'!B6="",1,IF(ISNUMBER(SEARCH('02_대상물건입력'!B6,B656)),1,0)))</f>
        <v/>
      </c>
      <c r="P656" s="152">
        <f>IF(L656="","",IF('02_대상물건입력'!B15="",0,IF(ISNUMBER(SEARCH('02_대상물건입력'!B15,L656)),1,0)))</f>
        <v/>
      </c>
      <c r="Q656" s="152">
        <f>IF(OR(C656="",L656=""),0,IF(AND(TRIM(C656)=TRIM(RIGHT(SUBSTITUTE(TRIM('02_대상물건입력'!$B$7)," ",REPT(" ",99)),99)),IF('02_대상물건입력'!B15="",TRUE(),ISNUMBER(SEARCH('02_대상물건입력'!B15,L656)))),1,0))</f>
        <v/>
      </c>
      <c r="R656" s="175">
        <f>IFERROR(ABS(E656-'02_대상물건입력'!B11)/'02_대상물건입력'!B11,"")</f>
        <v/>
      </c>
      <c r="S656" s="152">
        <f>IFERROR(ABS(J656-'02_대상물건입력'!B10),"")</f>
        <v/>
      </c>
      <c r="T656" s="152">
        <f>IFERROR(ABS('01_설정'!B4-F656),"")</f>
        <v/>
      </c>
      <c r="U656" s="152">
        <f>IFERROR(ABS(K656-YEAR('02_대상물건입력'!B14)),"")</f>
        <v/>
      </c>
      <c r="V656" s="152">
        <f>IF(B656="","",IF(AND(E656&gt;0,F656&gt;0,H656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656=1,TRUE()),R656&lt;='01_설정'!B5,S656&lt;='01_설정'!B6,T656&lt;='01_설정'!B7,U656&lt;='01_설정'!B8),"Y",""))</f>
        <v/>
      </c>
      <c r="W656" s="172">
        <f>IF(V656&lt;&gt;"Y","",MAX(0,(1-R656/'01_설정'!B5))*'01_설정'!B14+MAX(0,(1-S656/'01_설정'!B6))*'01_설정'!B15+MAX(0,(1-T656/'01_설정'!B7))*'01_설정'!B16+MAX(0,(1-U656/'01_설정'!B8))*'01_설정'!B17+O656*'01_설정'!B11+Q656*'01_설정'!B12+P656*'01_설정'!B13+IF(Z656="",0,Z656))</f>
        <v/>
      </c>
      <c r="X656" s="152">
        <f>IF(W656="","",1+COUNTIFS($W$4:$W$3003,"&gt;"&amp;W656)+COUNTIFS($W$4:W656,W656)-1)</f>
        <v/>
      </c>
      <c r="Y656" s="175">
        <f>IF(OR(I656="",'02_대상물건입력'!B19="",'02_대상물건입력'!B19&lt;=0),"",ABS(I656-'02_대상물건입력'!B19)/'02_대상물건입력'!B19)</f>
        <v/>
      </c>
      <c r="Z656" s="172">
        <f>IF(OR(Y656="",'01_설정'!B31="",'01_설정'!B31&lt;=0,'01_설정'!B32="",'01_설정'!B32&lt;=0),"",MAX(0,(1-Y656/'01_설정'!B32))*'01_설정'!B31)</f>
        <v/>
      </c>
    </row>
    <row r="657" ht="17.25" customHeight="1">
      <c r="A657" s="152">
        <f>IF(INDEX('04A_국토부원자료'!$A:$A,ROW()+1)="","",ROW()-3)</f>
        <v/>
      </c>
      <c r="B657" s="48">
        <f>IFERROR(INDEX('04A_국토부원자료'!$A:$T,ROW()+1,MATCH("시군구",'04A_국토부원자료'!$A$4:$T$4,0)),"")</f>
        <v/>
      </c>
      <c r="C657" s="48">
        <f>IF(B657="","",IFERROR(INDEX('04A_국토부원자료'!$A:$T,ROW()+1,MATCH("번지",'04A_국토부원자료'!$A$4:$T$4,0)),""))</f>
        <v/>
      </c>
      <c r="D657" s="48">
        <f>IF(B657="","",IF(Q657=1,'02_대상물건입력'!$B$8,IFERROR(INDEX('04A_국토부원자료'!$A:$T,ROW()+1,MATCH("단지명",'04A_국토부원자료'!$A$4:$T$4,0)),"")))</f>
        <v/>
      </c>
      <c r="E657" s="172">
        <f>IFERROR(VALUE(SUBSTITUTE(INDEX('04A_국토부원자료'!$A:$T,ROW()+1,MATCH("전용면적(㎡)",'04A_국토부원자료'!$A$4:$T$4,0)),",","")),"")</f>
        <v/>
      </c>
      <c r="F6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57" s="51">
        <f>IFERROR(VALUE(SUBSTITUTE(INDEX('04A_국토부원자료'!$A:$T,ROW()+1,MATCH("거래금액(만원)",'04A_국토부원자료'!$A$4:$T$4,0)),",","")),"")</f>
        <v/>
      </c>
      <c r="H657" s="174">
        <f>IF(G657="","",G657*10000)</f>
        <v/>
      </c>
      <c r="I657" s="174">
        <f>IFERROR(IF(AND(H657&gt;0,E657&gt;0),H657/E657,""),"")</f>
        <v/>
      </c>
      <c r="J657" s="152">
        <f>IFERROR(VALUE(SUBSTITUTE(INDEX('04A_국토부원자료'!$A:$T,ROW()+1,MATCH("층",'04A_국토부원자료'!$A$4:$T$4,0)),",","")),"")</f>
        <v/>
      </c>
      <c r="K657" s="152">
        <f>IFERROR(VALUE(SUBSTITUTE(INDEX('04A_국토부원자료'!$A:$T,ROW()+1,MATCH("건축년도",'04A_국토부원자료'!$A$4:$T$4,0)),",","")),"")</f>
        <v/>
      </c>
      <c r="L657" s="176">
        <f>IFERROR(INDEX('04A_국토부원자료'!$A:$T,ROW()+1,MATCH("도로명",'04A_국토부원자료'!$A$4:$T$4,0)),"")</f>
        <v/>
      </c>
      <c r="M657" s="48">
        <f>IFERROR(INDEX('04A_국토부원자료'!$A:$T,ROW()+1,MATCH("거래유형",'04A_국토부원자료'!$A$4:$T$4,0)),"")</f>
        <v/>
      </c>
      <c r="N657" s="152">
        <f>IF(B657="","",IF('02_대상물건입력'!B5="",1,IF(ISNUMBER(SEARCH('02_대상물건입력'!B5,B657)),1,0)))</f>
        <v/>
      </c>
      <c r="O657" s="152">
        <f>IF(B657="","",IF('02_대상물건입력'!B6="",1,IF(ISNUMBER(SEARCH('02_대상물건입력'!B6,B657)),1,0)))</f>
        <v/>
      </c>
      <c r="P657" s="152">
        <f>IF(L657="","",IF('02_대상물건입력'!B15="",0,IF(ISNUMBER(SEARCH('02_대상물건입력'!B15,L657)),1,0)))</f>
        <v/>
      </c>
      <c r="Q657" s="152">
        <f>IF(OR(C657="",L657=""),0,IF(AND(TRIM(C657)=TRIM(RIGHT(SUBSTITUTE(TRIM('02_대상물건입력'!$B$7)," ",REPT(" ",99)),99)),IF('02_대상물건입력'!B15="",TRUE(),ISNUMBER(SEARCH('02_대상물건입력'!B15,L657)))),1,0))</f>
        <v/>
      </c>
      <c r="R657" s="175">
        <f>IFERROR(ABS(E657-'02_대상물건입력'!B11)/'02_대상물건입력'!B11,"")</f>
        <v/>
      </c>
      <c r="S657" s="152">
        <f>IFERROR(ABS(J657-'02_대상물건입력'!B10),"")</f>
        <v/>
      </c>
      <c r="T657" s="152">
        <f>IFERROR(ABS('01_설정'!B4-F657),"")</f>
        <v/>
      </c>
      <c r="U657" s="152">
        <f>IFERROR(ABS(K657-YEAR('02_대상물건입력'!B14)),"")</f>
        <v/>
      </c>
      <c r="V657" s="152">
        <f>IF(B657="","",IF(AND(E657&gt;0,F657&gt;0,H657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657=1,TRUE()),R657&lt;='01_설정'!B5,S657&lt;='01_설정'!B6,T657&lt;='01_설정'!B7,U657&lt;='01_설정'!B8),"Y",""))</f>
        <v/>
      </c>
      <c r="W657" s="172">
        <f>IF(V657&lt;&gt;"Y","",MAX(0,(1-R657/'01_설정'!B5))*'01_설정'!B14+MAX(0,(1-S657/'01_설정'!B6))*'01_설정'!B15+MAX(0,(1-T657/'01_설정'!B7))*'01_설정'!B16+MAX(0,(1-U657/'01_설정'!B8))*'01_설정'!B17+O657*'01_설정'!B11+Q657*'01_설정'!B12+P657*'01_설정'!B13+IF(Z657="",0,Z657))</f>
        <v/>
      </c>
      <c r="X657" s="152">
        <f>IF(W657="","",1+COUNTIFS($W$4:$W$3003,"&gt;"&amp;W657)+COUNTIFS($W$4:W657,W657)-1)</f>
        <v/>
      </c>
      <c r="Y657" s="175">
        <f>IF(OR(I657="",'02_대상물건입력'!B19="",'02_대상물건입력'!B19&lt;=0),"",ABS(I657-'02_대상물건입력'!B19)/'02_대상물건입력'!B19)</f>
        <v/>
      </c>
      <c r="Z657" s="172">
        <f>IF(OR(Y657="",'01_설정'!B31="",'01_설정'!B31&lt;=0,'01_설정'!B32="",'01_설정'!B32&lt;=0),"",MAX(0,(1-Y657/'01_설정'!B32))*'01_설정'!B31)</f>
        <v/>
      </c>
    </row>
    <row r="658" ht="17.25" customHeight="1">
      <c r="A658" s="152">
        <f>IF(INDEX('04A_국토부원자료'!$A:$A,ROW()+1)="","",ROW()-3)</f>
        <v/>
      </c>
      <c r="B658" s="48">
        <f>IFERROR(INDEX('04A_국토부원자료'!$A:$T,ROW()+1,MATCH("시군구",'04A_국토부원자료'!$A$4:$T$4,0)),"")</f>
        <v/>
      </c>
      <c r="C658" s="48">
        <f>IF(B658="","",IFERROR(INDEX('04A_국토부원자료'!$A:$T,ROW()+1,MATCH("번지",'04A_국토부원자료'!$A$4:$T$4,0)),""))</f>
        <v/>
      </c>
      <c r="D658" s="48">
        <f>IF(B658="","",IF(Q658=1,'02_대상물건입력'!$B$8,IFERROR(INDEX('04A_국토부원자료'!$A:$T,ROW()+1,MATCH("단지명",'04A_국토부원자료'!$A$4:$T$4,0)),"")))</f>
        <v/>
      </c>
      <c r="E658" s="172">
        <f>IFERROR(VALUE(SUBSTITUTE(INDEX('04A_국토부원자료'!$A:$T,ROW()+1,MATCH("전용면적(㎡)",'04A_국토부원자료'!$A$4:$T$4,0)),",","")),"")</f>
        <v/>
      </c>
      <c r="F6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58" s="51">
        <f>IFERROR(VALUE(SUBSTITUTE(INDEX('04A_국토부원자료'!$A:$T,ROW()+1,MATCH("거래금액(만원)",'04A_국토부원자료'!$A$4:$T$4,0)),",","")),"")</f>
        <v/>
      </c>
      <c r="H658" s="174">
        <f>IF(G658="","",G658*10000)</f>
        <v/>
      </c>
      <c r="I658" s="174">
        <f>IFERROR(IF(AND(H658&gt;0,E658&gt;0),H658/E658,""),"")</f>
        <v/>
      </c>
      <c r="J658" s="152">
        <f>IFERROR(VALUE(SUBSTITUTE(INDEX('04A_국토부원자료'!$A:$T,ROW()+1,MATCH("층",'04A_국토부원자료'!$A$4:$T$4,0)),",","")),"")</f>
        <v/>
      </c>
      <c r="K658" s="152">
        <f>IFERROR(VALUE(SUBSTITUTE(INDEX('04A_국토부원자료'!$A:$T,ROW()+1,MATCH("건축년도",'04A_국토부원자료'!$A$4:$T$4,0)),",","")),"")</f>
        <v/>
      </c>
      <c r="L658" s="176">
        <f>IFERROR(INDEX('04A_국토부원자료'!$A:$T,ROW()+1,MATCH("도로명",'04A_국토부원자료'!$A$4:$T$4,0)),"")</f>
        <v/>
      </c>
      <c r="M658" s="48">
        <f>IFERROR(INDEX('04A_국토부원자료'!$A:$T,ROW()+1,MATCH("거래유형",'04A_국토부원자료'!$A$4:$T$4,0)),"")</f>
        <v/>
      </c>
      <c r="N658" s="152">
        <f>IF(B658="","",IF('02_대상물건입력'!B5="",1,IF(ISNUMBER(SEARCH('02_대상물건입력'!B5,B658)),1,0)))</f>
        <v/>
      </c>
      <c r="O658" s="152">
        <f>IF(B658="","",IF('02_대상물건입력'!B6="",1,IF(ISNUMBER(SEARCH('02_대상물건입력'!B6,B658)),1,0)))</f>
        <v/>
      </c>
      <c r="P658" s="152">
        <f>IF(L658="","",IF('02_대상물건입력'!B15="",0,IF(ISNUMBER(SEARCH('02_대상물건입력'!B15,L658)),1,0)))</f>
        <v/>
      </c>
      <c r="Q658" s="152">
        <f>IF(OR(C658="",L658=""),0,IF(AND(TRIM(C658)=TRIM(RIGHT(SUBSTITUTE(TRIM('02_대상물건입력'!$B$7)," ",REPT(" ",99)),99)),IF('02_대상물건입력'!B15="",TRUE(),ISNUMBER(SEARCH('02_대상물건입력'!B15,L658)))),1,0))</f>
        <v/>
      </c>
      <c r="R658" s="175">
        <f>IFERROR(ABS(E658-'02_대상물건입력'!B11)/'02_대상물건입력'!B11,"")</f>
        <v/>
      </c>
      <c r="S658" s="152">
        <f>IFERROR(ABS(J658-'02_대상물건입력'!B10),"")</f>
        <v/>
      </c>
      <c r="T658" s="152">
        <f>IFERROR(ABS('01_설정'!B4-F658),"")</f>
        <v/>
      </c>
      <c r="U658" s="152">
        <f>IFERROR(ABS(K658-YEAR('02_대상물건입력'!B14)),"")</f>
        <v/>
      </c>
      <c r="V658" s="152">
        <f>IF(B658="","",IF(AND(E658&gt;0,F658&gt;0,H658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658=1,TRUE()),R658&lt;='01_설정'!B5,S658&lt;='01_설정'!B6,T658&lt;='01_설정'!B7,U658&lt;='01_설정'!B8),"Y",""))</f>
        <v/>
      </c>
      <c r="W658" s="172">
        <f>IF(V658&lt;&gt;"Y","",MAX(0,(1-R658/'01_설정'!B5))*'01_설정'!B14+MAX(0,(1-S658/'01_설정'!B6))*'01_설정'!B15+MAX(0,(1-T658/'01_설정'!B7))*'01_설정'!B16+MAX(0,(1-U658/'01_설정'!B8))*'01_설정'!B17+O658*'01_설정'!B11+Q658*'01_설정'!B12+P658*'01_설정'!B13+IF(Z658="",0,Z658))</f>
        <v/>
      </c>
      <c r="X658" s="152">
        <f>IF(W658="","",1+COUNTIFS($W$4:$W$3003,"&gt;"&amp;W658)+COUNTIFS($W$4:W658,W658)-1)</f>
        <v/>
      </c>
      <c r="Y658" s="175">
        <f>IF(OR(I658="",'02_대상물건입력'!B19="",'02_대상물건입력'!B19&lt;=0),"",ABS(I658-'02_대상물건입력'!B19)/'02_대상물건입력'!B19)</f>
        <v/>
      </c>
      <c r="Z658" s="172">
        <f>IF(OR(Y658="",'01_설정'!B31="",'01_설정'!B31&lt;=0,'01_설정'!B32="",'01_설정'!B32&lt;=0),"",MAX(0,(1-Y658/'01_설정'!B32))*'01_설정'!B31)</f>
        <v/>
      </c>
    </row>
    <row r="659" ht="17.25" customHeight="1">
      <c r="A659" s="152">
        <f>IF(INDEX('04A_국토부원자료'!$A:$A,ROW()+1)="","",ROW()-3)</f>
        <v/>
      </c>
      <c r="B659" s="48">
        <f>IFERROR(INDEX('04A_국토부원자료'!$A:$T,ROW()+1,MATCH("시군구",'04A_국토부원자료'!$A$4:$T$4,0)),"")</f>
        <v/>
      </c>
      <c r="C659" s="48">
        <f>IF(B659="","",IFERROR(INDEX('04A_국토부원자료'!$A:$T,ROW()+1,MATCH("번지",'04A_국토부원자료'!$A$4:$T$4,0)),""))</f>
        <v/>
      </c>
      <c r="D659" s="48">
        <f>IF(B659="","",IF(Q659=1,'02_대상물건입력'!$B$8,IFERROR(INDEX('04A_국토부원자료'!$A:$T,ROW()+1,MATCH("단지명",'04A_국토부원자료'!$A$4:$T$4,0)),"")))</f>
        <v/>
      </c>
      <c r="E659" s="172">
        <f>IFERROR(VALUE(SUBSTITUTE(INDEX('04A_국토부원자료'!$A:$T,ROW()+1,MATCH("전용면적(㎡)",'04A_국토부원자료'!$A$4:$T$4,0)),",","")),"")</f>
        <v/>
      </c>
      <c r="F6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59" s="51">
        <f>IFERROR(VALUE(SUBSTITUTE(INDEX('04A_국토부원자료'!$A:$T,ROW()+1,MATCH("거래금액(만원)",'04A_국토부원자료'!$A$4:$T$4,0)),",","")),"")</f>
        <v/>
      </c>
      <c r="H659" s="174">
        <f>IF(G659="","",G659*10000)</f>
        <v/>
      </c>
      <c r="I659" s="174">
        <f>IFERROR(IF(AND(H659&gt;0,E659&gt;0),H659/E659,""),"")</f>
        <v/>
      </c>
      <c r="J659" s="152">
        <f>IFERROR(VALUE(SUBSTITUTE(INDEX('04A_국토부원자료'!$A:$T,ROW()+1,MATCH("층",'04A_국토부원자료'!$A$4:$T$4,0)),",","")),"")</f>
        <v/>
      </c>
      <c r="K659" s="152">
        <f>IFERROR(VALUE(SUBSTITUTE(INDEX('04A_국토부원자료'!$A:$T,ROW()+1,MATCH("건축년도",'04A_국토부원자료'!$A$4:$T$4,0)),",","")),"")</f>
        <v/>
      </c>
      <c r="L659" s="176">
        <f>IFERROR(INDEX('04A_국토부원자료'!$A:$T,ROW()+1,MATCH("도로명",'04A_국토부원자료'!$A$4:$T$4,0)),"")</f>
        <v/>
      </c>
      <c r="M659" s="48">
        <f>IFERROR(INDEX('04A_국토부원자료'!$A:$T,ROW()+1,MATCH("거래유형",'04A_국토부원자료'!$A$4:$T$4,0)),"")</f>
        <v/>
      </c>
      <c r="N659" s="152">
        <f>IF(B659="","",IF('02_대상물건입력'!B5="",1,IF(ISNUMBER(SEARCH('02_대상물건입력'!B5,B659)),1,0)))</f>
        <v/>
      </c>
      <c r="O659" s="152">
        <f>IF(B659="","",IF('02_대상물건입력'!B6="",1,IF(ISNUMBER(SEARCH('02_대상물건입력'!B6,B659)),1,0)))</f>
        <v/>
      </c>
      <c r="P659" s="152">
        <f>IF(L659="","",IF('02_대상물건입력'!B15="",0,IF(ISNUMBER(SEARCH('02_대상물건입력'!B15,L659)),1,0)))</f>
        <v/>
      </c>
      <c r="Q659" s="152">
        <f>IF(OR(C659="",L659=""),0,IF(AND(TRIM(C659)=TRIM(RIGHT(SUBSTITUTE(TRIM('02_대상물건입력'!$B$7)," ",REPT(" ",99)),99)),IF('02_대상물건입력'!B15="",TRUE(),ISNUMBER(SEARCH('02_대상물건입력'!B15,L659)))),1,0))</f>
        <v/>
      </c>
      <c r="R659" s="175">
        <f>IFERROR(ABS(E659-'02_대상물건입력'!B11)/'02_대상물건입력'!B11,"")</f>
        <v/>
      </c>
      <c r="S659" s="152">
        <f>IFERROR(ABS(J659-'02_대상물건입력'!B10),"")</f>
        <v/>
      </c>
      <c r="T659" s="152">
        <f>IFERROR(ABS('01_설정'!B4-F659),"")</f>
        <v/>
      </c>
      <c r="U659" s="152">
        <f>IFERROR(ABS(K659-YEAR('02_대상물건입력'!B14)),"")</f>
        <v/>
      </c>
      <c r="V659" s="152">
        <f>IF(B659="","",IF(AND(E659&gt;0,F659&gt;0,H659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659=1,TRUE()),R659&lt;='01_설정'!B5,S659&lt;='01_설정'!B6,T659&lt;='01_설정'!B7,U659&lt;='01_설정'!B8),"Y",""))</f>
        <v/>
      </c>
      <c r="W659" s="172">
        <f>IF(V659&lt;&gt;"Y","",MAX(0,(1-R659/'01_설정'!B5))*'01_설정'!B14+MAX(0,(1-S659/'01_설정'!B6))*'01_설정'!B15+MAX(0,(1-T659/'01_설정'!B7))*'01_설정'!B16+MAX(0,(1-U659/'01_설정'!B8))*'01_설정'!B17+O659*'01_설정'!B11+Q659*'01_설정'!B12+P659*'01_설정'!B13+IF(Z659="",0,Z659))</f>
        <v/>
      </c>
      <c r="X659" s="152">
        <f>IF(W659="","",1+COUNTIFS($W$4:$W$3003,"&gt;"&amp;W659)+COUNTIFS($W$4:W659,W659)-1)</f>
        <v/>
      </c>
      <c r="Y659" s="175">
        <f>IF(OR(I659="",'02_대상물건입력'!B19="",'02_대상물건입력'!B19&lt;=0),"",ABS(I659-'02_대상물건입력'!B19)/'02_대상물건입력'!B19)</f>
        <v/>
      </c>
      <c r="Z659" s="172">
        <f>IF(OR(Y659="",'01_설정'!B31="",'01_설정'!B31&lt;=0,'01_설정'!B32="",'01_설정'!B32&lt;=0),"",MAX(0,(1-Y659/'01_설정'!B32))*'01_설정'!B31)</f>
        <v/>
      </c>
    </row>
    <row r="660" ht="17.25" customHeight="1">
      <c r="A660" s="152">
        <f>IF(INDEX('04A_국토부원자료'!$A:$A,ROW()+1)="","",ROW()-3)</f>
        <v/>
      </c>
      <c r="B660" s="48">
        <f>IFERROR(INDEX('04A_국토부원자료'!$A:$T,ROW()+1,MATCH("시군구",'04A_국토부원자료'!$A$4:$T$4,0)),"")</f>
        <v/>
      </c>
      <c r="C660" s="48">
        <f>IF(B660="","",IFERROR(INDEX('04A_국토부원자료'!$A:$T,ROW()+1,MATCH("번지",'04A_국토부원자료'!$A$4:$T$4,0)),""))</f>
        <v/>
      </c>
      <c r="D660" s="48">
        <f>IF(B660="","",IF(Q660=1,'02_대상물건입력'!$B$8,IFERROR(INDEX('04A_국토부원자료'!$A:$T,ROW()+1,MATCH("단지명",'04A_국토부원자료'!$A$4:$T$4,0)),"")))</f>
        <v/>
      </c>
      <c r="E660" s="172">
        <f>IFERROR(VALUE(SUBSTITUTE(INDEX('04A_국토부원자료'!$A:$T,ROW()+1,MATCH("전용면적(㎡)",'04A_국토부원자료'!$A$4:$T$4,0)),",","")),"")</f>
        <v/>
      </c>
      <c r="F6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60" s="51">
        <f>IFERROR(VALUE(SUBSTITUTE(INDEX('04A_국토부원자료'!$A:$T,ROW()+1,MATCH("거래금액(만원)",'04A_국토부원자료'!$A$4:$T$4,0)),",","")),"")</f>
        <v/>
      </c>
      <c r="H660" s="174">
        <f>IF(G660="","",G660*10000)</f>
        <v/>
      </c>
      <c r="I660" s="174">
        <f>IFERROR(IF(AND(H660&gt;0,E660&gt;0),H660/E660,""),"")</f>
        <v/>
      </c>
      <c r="J660" s="152">
        <f>IFERROR(VALUE(SUBSTITUTE(INDEX('04A_국토부원자료'!$A:$T,ROW()+1,MATCH("층",'04A_국토부원자료'!$A$4:$T$4,0)),",","")),"")</f>
        <v/>
      </c>
      <c r="K660" s="152">
        <f>IFERROR(VALUE(SUBSTITUTE(INDEX('04A_국토부원자료'!$A:$T,ROW()+1,MATCH("건축년도",'04A_국토부원자료'!$A$4:$T$4,0)),",","")),"")</f>
        <v/>
      </c>
      <c r="L660" s="176">
        <f>IFERROR(INDEX('04A_국토부원자료'!$A:$T,ROW()+1,MATCH("도로명",'04A_국토부원자료'!$A$4:$T$4,0)),"")</f>
        <v/>
      </c>
      <c r="M660" s="48">
        <f>IFERROR(INDEX('04A_국토부원자료'!$A:$T,ROW()+1,MATCH("거래유형",'04A_국토부원자료'!$A$4:$T$4,0)),"")</f>
        <v/>
      </c>
      <c r="N660" s="152">
        <f>IF(B660="","",IF('02_대상물건입력'!B5="",1,IF(ISNUMBER(SEARCH('02_대상물건입력'!B5,B660)),1,0)))</f>
        <v/>
      </c>
      <c r="O660" s="152">
        <f>IF(B660="","",IF('02_대상물건입력'!B6="",1,IF(ISNUMBER(SEARCH('02_대상물건입력'!B6,B660)),1,0)))</f>
        <v/>
      </c>
      <c r="P660" s="152">
        <f>IF(L660="","",IF('02_대상물건입력'!B15="",0,IF(ISNUMBER(SEARCH('02_대상물건입력'!B15,L660)),1,0)))</f>
        <v/>
      </c>
      <c r="Q660" s="152">
        <f>IF(OR(C660="",L660=""),0,IF(AND(TRIM(C660)=TRIM(RIGHT(SUBSTITUTE(TRIM('02_대상물건입력'!$B$7)," ",REPT(" ",99)),99)),IF('02_대상물건입력'!B15="",TRUE(),ISNUMBER(SEARCH('02_대상물건입력'!B15,L660)))),1,0))</f>
        <v/>
      </c>
      <c r="R660" s="175">
        <f>IFERROR(ABS(E660-'02_대상물건입력'!B11)/'02_대상물건입력'!B11,"")</f>
        <v/>
      </c>
      <c r="S660" s="152">
        <f>IFERROR(ABS(J660-'02_대상물건입력'!B10),"")</f>
        <v/>
      </c>
      <c r="T660" s="152">
        <f>IFERROR(ABS('01_설정'!B4-F660),"")</f>
        <v/>
      </c>
      <c r="U660" s="152">
        <f>IFERROR(ABS(K660-YEAR('02_대상물건입력'!B14)),"")</f>
        <v/>
      </c>
      <c r="V660" s="152">
        <f>IF(B660="","",IF(AND(E660&gt;0,F660&gt;0,H660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660=1,TRUE()),R660&lt;='01_설정'!B5,S660&lt;='01_설정'!B6,T660&lt;='01_설정'!B7,U660&lt;='01_설정'!B8),"Y",""))</f>
        <v/>
      </c>
      <c r="W660" s="172">
        <f>IF(V660&lt;&gt;"Y","",MAX(0,(1-R660/'01_설정'!B5))*'01_설정'!B14+MAX(0,(1-S660/'01_설정'!B6))*'01_설정'!B15+MAX(0,(1-T660/'01_설정'!B7))*'01_설정'!B16+MAX(0,(1-U660/'01_설정'!B8))*'01_설정'!B17+O660*'01_설정'!B11+Q660*'01_설정'!B12+P660*'01_설정'!B13+IF(Z660="",0,Z660))</f>
        <v/>
      </c>
      <c r="X660" s="152">
        <f>IF(W660="","",1+COUNTIFS($W$4:$W$3003,"&gt;"&amp;W660)+COUNTIFS($W$4:W660,W660)-1)</f>
        <v/>
      </c>
      <c r="Y660" s="175">
        <f>IF(OR(I660="",'02_대상물건입력'!B19="",'02_대상물건입력'!B19&lt;=0),"",ABS(I660-'02_대상물건입력'!B19)/'02_대상물건입력'!B19)</f>
        <v/>
      </c>
      <c r="Z660" s="172">
        <f>IF(OR(Y660="",'01_설정'!B31="",'01_설정'!B31&lt;=0,'01_설정'!B32="",'01_설정'!B32&lt;=0),"",MAX(0,(1-Y660/'01_설정'!B32))*'01_설정'!B31)</f>
        <v/>
      </c>
    </row>
    <row r="661" ht="17.25" customHeight="1">
      <c r="A661" s="152">
        <f>IF(INDEX('04A_국토부원자료'!$A:$A,ROW()+1)="","",ROW()-3)</f>
        <v/>
      </c>
      <c r="B661" s="48">
        <f>IFERROR(INDEX('04A_국토부원자료'!$A:$T,ROW()+1,MATCH("시군구",'04A_국토부원자료'!$A$4:$T$4,0)),"")</f>
        <v/>
      </c>
      <c r="C661" s="48">
        <f>IF(B661="","",IFERROR(INDEX('04A_국토부원자료'!$A:$T,ROW()+1,MATCH("번지",'04A_국토부원자료'!$A$4:$T$4,0)),""))</f>
        <v/>
      </c>
      <c r="D661" s="48">
        <f>IF(B661="","",IF(Q661=1,'02_대상물건입력'!$B$8,IFERROR(INDEX('04A_국토부원자료'!$A:$T,ROW()+1,MATCH("단지명",'04A_국토부원자료'!$A$4:$T$4,0)),"")))</f>
        <v/>
      </c>
      <c r="E661" s="172">
        <f>IFERROR(VALUE(SUBSTITUTE(INDEX('04A_국토부원자료'!$A:$T,ROW()+1,MATCH("전용면적(㎡)",'04A_국토부원자료'!$A$4:$T$4,0)),",","")),"")</f>
        <v/>
      </c>
      <c r="F6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61" s="51">
        <f>IFERROR(VALUE(SUBSTITUTE(INDEX('04A_국토부원자료'!$A:$T,ROW()+1,MATCH("거래금액(만원)",'04A_국토부원자료'!$A$4:$T$4,0)),",","")),"")</f>
        <v/>
      </c>
      <c r="H661" s="174">
        <f>IF(G661="","",G661*10000)</f>
        <v/>
      </c>
      <c r="I661" s="174">
        <f>IFERROR(IF(AND(H661&gt;0,E661&gt;0),H661/E661,""),"")</f>
        <v/>
      </c>
      <c r="J661" s="152">
        <f>IFERROR(VALUE(SUBSTITUTE(INDEX('04A_국토부원자료'!$A:$T,ROW()+1,MATCH("층",'04A_국토부원자료'!$A$4:$T$4,0)),",","")),"")</f>
        <v/>
      </c>
      <c r="K661" s="152">
        <f>IFERROR(VALUE(SUBSTITUTE(INDEX('04A_국토부원자료'!$A:$T,ROW()+1,MATCH("건축년도",'04A_국토부원자료'!$A$4:$T$4,0)),",","")),"")</f>
        <v/>
      </c>
      <c r="L661" s="176">
        <f>IFERROR(INDEX('04A_국토부원자료'!$A:$T,ROW()+1,MATCH("도로명",'04A_국토부원자료'!$A$4:$T$4,0)),"")</f>
        <v/>
      </c>
      <c r="M661" s="48">
        <f>IFERROR(INDEX('04A_국토부원자료'!$A:$T,ROW()+1,MATCH("거래유형",'04A_국토부원자료'!$A$4:$T$4,0)),"")</f>
        <v/>
      </c>
      <c r="N661" s="152">
        <f>IF(B661="","",IF('02_대상물건입력'!B5="",1,IF(ISNUMBER(SEARCH('02_대상물건입력'!B5,B661)),1,0)))</f>
        <v/>
      </c>
      <c r="O661" s="152">
        <f>IF(B661="","",IF('02_대상물건입력'!B6="",1,IF(ISNUMBER(SEARCH('02_대상물건입력'!B6,B661)),1,0)))</f>
        <v/>
      </c>
      <c r="P661" s="152">
        <f>IF(L661="","",IF('02_대상물건입력'!B15="",0,IF(ISNUMBER(SEARCH('02_대상물건입력'!B15,L661)),1,0)))</f>
        <v/>
      </c>
      <c r="Q661" s="152">
        <f>IF(OR(C661="",L661=""),0,IF(AND(TRIM(C661)=TRIM(RIGHT(SUBSTITUTE(TRIM('02_대상물건입력'!$B$7)," ",REPT(" ",99)),99)),IF('02_대상물건입력'!B15="",TRUE(),ISNUMBER(SEARCH('02_대상물건입력'!B15,L661)))),1,0))</f>
        <v/>
      </c>
      <c r="R661" s="175">
        <f>IFERROR(ABS(E661-'02_대상물건입력'!B11)/'02_대상물건입력'!B11,"")</f>
        <v/>
      </c>
      <c r="S661" s="152">
        <f>IFERROR(ABS(J661-'02_대상물건입력'!B10),"")</f>
        <v/>
      </c>
      <c r="T661" s="152">
        <f>IFERROR(ABS('01_설정'!B4-F661),"")</f>
        <v/>
      </c>
      <c r="U661" s="152">
        <f>IFERROR(ABS(K661-YEAR('02_대상물건입력'!B14)),"")</f>
        <v/>
      </c>
      <c r="V661" s="152">
        <f>IF(B661="","",IF(AND(E661&gt;0,F661&gt;0,H661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661=1,TRUE()),R661&lt;='01_설정'!B5,S661&lt;='01_설정'!B6,T661&lt;='01_설정'!B7,U661&lt;='01_설정'!B8),"Y",""))</f>
        <v/>
      </c>
      <c r="W661" s="172">
        <f>IF(V661&lt;&gt;"Y","",MAX(0,(1-R661/'01_설정'!B5))*'01_설정'!B14+MAX(0,(1-S661/'01_설정'!B6))*'01_설정'!B15+MAX(0,(1-T661/'01_설정'!B7))*'01_설정'!B16+MAX(0,(1-U661/'01_설정'!B8))*'01_설정'!B17+O661*'01_설정'!B11+Q661*'01_설정'!B12+P661*'01_설정'!B13+IF(Z661="",0,Z661))</f>
        <v/>
      </c>
      <c r="X661" s="152">
        <f>IF(W661="","",1+COUNTIFS($W$4:$W$3003,"&gt;"&amp;W661)+COUNTIFS($W$4:W661,W661)-1)</f>
        <v/>
      </c>
      <c r="Y661" s="175">
        <f>IF(OR(I661="",'02_대상물건입력'!B19="",'02_대상물건입력'!B19&lt;=0),"",ABS(I661-'02_대상물건입력'!B19)/'02_대상물건입력'!B19)</f>
        <v/>
      </c>
      <c r="Z661" s="172">
        <f>IF(OR(Y661="",'01_설정'!B31="",'01_설정'!B31&lt;=0,'01_설정'!B32="",'01_설정'!B32&lt;=0),"",MAX(0,(1-Y661/'01_설정'!B32))*'01_설정'!B31)</f>
        <v/>
      </c>
    </row>
    <row r="662" ht="17.25" customHeight="1">
      <c r="A662" s="152">
        <f>IF(INDEX('04A_국토부원자료'!$A:$A,ROW()+1)="","",ROW()-3)</f>
        <v/>
      </c>
      <c r="B662" s="48">
        <f>IFERROR(INDEX('04A_국토부원자료'!$A:$T,ROW()+1,MATCH("시군구",'04A_국토부원자료'!$A$4:$T$4,0)),"")</f>
        <v/>
      </c>
      <c r="C662" s="48">
        <f>IF(B662="","",IFERROR(INDEX('04A_국토부원자료'!$A:$T,ROW()+1,MATCH("번지",'04A_국토부원자료'!$A$4:$T$4,0)),""))</f>
        <v/>
      </c>
      <c r="D662" s="48">
        <f>IF(B662="","",IF(Q662=1,'02_대상물건입력'!$B$8,IFERROR(INDEX('04A_국토부원자료'!$A:$T,ROW()+1,MATCH("단지명",'04A_국토부원자료'!$A$4:$T$4,0)),"")))</f>
        <v/>
      </c>
      <c r="E662" s="172">
        <f>IFERROR(VALUE(SUBSTITUTE(INDEX('04A_국토부원자료'!$A:$T,ROW()+1,MATCH("전용면적(㎡)",'04A_국토부원자료'!$A$4:$T$4,0)),",","")),"")</f>
        <v/>
      </c>
      <c r="F6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62" s="51">
        <f>IFERROR(VALUE(SUBSTITUTE(INDEX('04A_국토부원자료'!$A:$T,ROW()+1,MATCH("거래금액(만원)",'04A_국토부원자료'!$A$4:$T$4,0)),",","")),"")</f>
        <v/>
      </c>
      <c r="H662" s="174">
        <f>IF(G662="","",G662*10000)</f>
        <v/>
      </c>
      <c r="I662" s="174">
        <f>IFERROR(IF(AND(H662&gt;0,E662&gt;0),H662/E662,""),"")</f>
        <v/>
      </c>
      <c r="J662" s="152">
        <f>IFERROR(VALUE(SUBSTITUTE(INDEX('04A_국토부원자료'!$A:$T,ROW()+1,MATCH("층",'04A_국토부원자료'!$A$4:$T$4,0)),",","")),"")</f>
        <v/>
      </c>
      <c r="K662" s="152">
        <f>IFERROR(VALUE(SUBSTITUTE(INDEX('04A_국토부원자료'!$A:$T,ROW()+1,MATCH("건축년도",'04A_국토부원자료'!$A$4:$T$4,0)),",","")),"")</f>
        <v/>
      </c>
      <c r="L662" s="176">
        <f>IFERROR(INDEX('04A_국토부원자료'!$A:$T,ROW()+1,MATCH("도로명",'04A_국토부원자료'!$A$4:$T$4,0)),"")</f>
        <v/>
      </c>
      <c r="M662" s="48">
        <f>IFERROR(INDEX('04A_국토부원자료'!$A:$T,ROW()+1,MATCH("거래유형",'04A_국토부원자료'!$A$4:$T$4,0)),"")</f>
        <v/>
      </c>
      <c r="N662" s="152">
        <f>IF(B662="","",IF('02_대상물건입력'!B5="",1,IF(ISNUMBER(SEARCH('02_대상물건입력'!B5,B662)),1,0)))</f>
        <v/>
      </c>
      <c r="O662" s="152">
        <f>IF(B662="","",IF('02_대상물건입력'!B6="",1,IF(ISNUMBER(SEARCH('02_대상물건입력'!B6,B662)),1,0)))</f>
        <v/>
      </c>
      <c r="P662" s="152">
        <f>IF(L662="","",IF('02_대상물건입력'!B15="",0,IF(ISNUMBER(SEARCH('02_대상물건입력'!B15,L662)),1,0)))</f>
        <v/>
      </c>
      <c r="Q662" s="152">
        <f>IF(OR(C662="",L662=""),0,IF(AND(TRIM(C662)=TRIM(RIGHT(SUBSTITUTE(TRIM('02_대상물건입력'!$B$7)," ",REPT(" ",99)),99)),IF('02_대상물건입력'!B15="",TRUE(),ISNUMBER(SEARCH('02_대상물건입력'!B15,L662)))),1,0))</f>
        <v/>
      </c>
      <c r="R662" s="175">
        <f>IFERROR(ABS(E662-'02_대상물건입력'!B11)/'02_대상물건입력'!B11,"")</f>
        <v/>
      </c>
      <c r="S662" s="152">
        <f>IFERROR(ABS(J662-'02_대상물건입력'!B10),"")</f>
        <v/>
      </c>
      <c r="T662" s="152">
        <f>IFERROR(ABS('01_설정'!B4-F662),"")</f>
        <v/>
      </c>
      <c r="U662" s="152">
        <f>IFERROR(ABS(K662-YEAR('02_대상물건입력'!B14)),"")</f>
        <v/>
      </c>
      <c r="V662" s="152">
        <f>IF(B662="","",IF(AND(E662&gt;0,F662&gt;0,H662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662=1,TRUE()),R662&lt;='01_설정'!B5,S662&lt;='01_설정'!B6,T662&lt;='01_설정'!B7,U662&lt;='01_설정'!B8),"Y",""))</f>
        <v/>
      </c>
      <c r="W662" s="172">
        <f>IF(V662&lt;&gt;"Y","",MAX(0,(1-R662/'01_설정'!B5))*'01_설정'!B14+MAX(0,(1-S662/'01_설정'!B6))*'01_설정'!B15+MAX(0,(1-T662/'01_설정'!B7))*'01_설정'!B16+MAX(0,(1-U662/'01_설정'!B8))*'01_설정'!B17+O662*'01_설정'!B11+Q662*'01_설정'!B12+P662*'01_설정'!B13+IF(Z662="",0,Z662))</f>
        <v/>
      </c>
      <c r="X662" s="152">
        <f>IF(W662="","",1+COUNTIFS($W$4:$W$3003,"&gt;"&amp;W662)+COUNTIFS($W$4:W662,W662)-1)</f>
        <v/>
      </c>
      <c r="Y662" s="175">
        <f>IF(OR(I662="",'02_대상물건입력'!B19="",'02_대상물건입력'!B19&lt;=0),"",ABS(I662-'02_대상물건입력'!B19)/'02_대상물건입력'!B19)</f>
        <v/>
      </c>
      <c r="Z662" s="172">
        <f>IF(OR(Y662="",'01_설정'!B31="",'01_설정'!B31&lt;=0,'01_설정'!B32="",'01_설정'!B32&lt;=0),"",MAX(0,(1-Y662/'01_설정'!B32))*'01_설정'!B31)</f>
        <v/>
      </c>
    </row>
    <row r="663" ht="17.25" customHeight="1">
      <c r="A663" s="152">
        <f>IF(INDEX('04A_국토부원자료'!$A:$A,ROW()+1)="","",ROW()-3)</f>
        <v/>
      </c>
      <c r="B663" s="48">
        <f>IFERROR(INDEX('04A_국토부원자료'!$A:$T,ROW()+1,MATCH("시군구",'04A_국토부원자료'!$A$4:$T$4,0)),"")</f>
        <v/>
      </c>
      <c r="C663" s="48">
        <f>IF(B663="","",IFERROR(INDEX('04A_국토부원자료'!$A:$T,ROW()+1,MATCH("번지",'04A_국토부원자료'!$A$4:$T$4,0)),""))</f>
        <v/>
      </c>
      <c r="D663" s="48">
        <f>IF(B663="","",IF(Q663=1,'02_대상물건입력'!$B$8,IFERROR(INDEX('04A_국토부원자료'!$A:$T,ROW()+1,MATCH("단지명",'04A_국토부원자료'!$A$4:$T$4,0)),"")))</f>
        <v/>
      </c>
      <c r="E663" s="172">
        <f>IFERROR(VALUE(SUBSTITUTE(INDEX('04A_국토부원자료'!$A:$T,ROW()+1,MATCH("전용면적(㎡)",'04A_국토부원자료'!$A$4:$T$4,0)),",","")),"")</f>
        <v/>
      </c>
      <c r="F6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63" s="51">
        <f>IFERROR(VALUE(SUBSTITUTE(INDEX('04A_국토부원자료'!$A:$T,ROW()+1,MATCH("거래금액(만원)",'04A_국토부원자료'!$A$4:$T$4,0)),",","")),"")</f>
        <v/>
      </c>
      <c r="H663" s="174">
        <f>IF(G663="","",G663*10000)</f>
        <v/>
      </c>
      <c r="I663" s="174">
        <f>IFERROR(IF(AND(H663&gt;0,E663&gt;0),H663/E663,""),"")</f>
        <v/>
      </c>
      <c r="J663" s="152">
        <f>IFERROR(VALUE(SUBSTITUTE(INDEX('04A_국토부원자료'!$A:$T,ROW()+1,MATCH("층",'04A_국토부원자료'!$A$4:$T$4,0)),",","")),"")</f>
        <v/>
      </c>
      <c r="K663" s="152">
        <f>IFERROR(VALUE(SUBSTITUTE(INDEX('04A_국토부원자료'!$A:$T,ROW()+1,MATCH("건축년도",'04A_국토부원자료'!$A$4:$T$4,0)),",","")),"")</f>
        <v/>
      </c>
      <c r="L663" s="176">
        <f>IFERROR(INDEX('04A_국토부원자료'!$A:$T,ROW()+1,MATCH("도로명",'04A_국토부원자료'!$A$4:$T$4,0)),"")</f>
        <v/>
      </c>
      <c r="M663" s="48">
        <f>IFERROR(INDEX('04A_국토부원자료'!$A:$T,ROW()+1,MATCH("거래유형",'04A_국토부원자료'!$A$4:$T$4,0)),"")</f>
        <v/>
      </c>
      <c r="N663" s="152">
        <f>IF(B663="","",IF('02_대상물건입력'!B5="",1,IF(ISNUMBER(SEARCH('02_대상물건입력'!B5,B663)),1,0)))</f>
        <v/>
      </c>
      <c r="O663" s="152">
        <f>IF(B663="","",IF('02_대상물건입력'!B6="",1,IF(ISNUMBER(SEARCH('02_대상물건입력'!B6,B663)),1,0)))</f>
        <v/>
      </c>
      <c r="P663" s="152">
        <f>IF(L663="","",IF('02_대상물건입력'!B15="",0,IF(ISNUMBER(SEARCH('02_대상물건입력'!B15,L663)),1,0)))</f>
        <v/>
      </c>
      <c r="Q663" s="152">
        <f>IF(OR(C663="",L663=""),0,IF(AND(TRIM(C663)=TRIM(RIGHT(SUBSTITUTE(TRIM('02_대상물건입력'!$B$7)," ",REPT(" ",99)),99)),IF('02_대상물건입력'!B15="",TRUE(),ISNUMBER(SEARCH('02_대상물건입력'!B15,L663)))),1,0))</f>
        <v/>
      </c>
      <c r="R663" s="175">
        <f>IFERROR(ABS(E663-'02_대상물건입력'!B11)/'02_대상물건입력'!B11,"")</f>
        <v/>
      </c>
      <c r="S663" s="152">
        <f>IFERROR(ABS(J663-'02_대상물건입력'!B10),"")</f>
        <v/>
      </c>
      <c r="T663" s="152">
        <f>IFERROR(ABS('01_설정'!B4-F663),"")</f>
        <v/>
      </c>
      <c r="U663" s="152">
        <f>IFERROR(ABS(K663-YEAR('02_대상물건입력'!B14)),"")</f>
        <v/>
      </c>
      <c r="V663" s="152">
        <f>IF(B663="","",IF(AND(E663&gt;0,F663&gt;0,H663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663=1,TRUE()),R663&lt;='01_설정'!B5,S663&lt;='01_설정'!B6,T663&lt;='01_설정'!B7,U663&lt;='01_설정'!B8),"Y",""))</f>
        <v/>
      </c>
      <c r="W663" s="172">
        <f>IF(V663&lt;&gt;"Y","",MAX(0,(1-R663/'01_설정'!B5))*'01_설정'!B14+MAX(0,(1-S663/'01_설정'!B6))*'01_설정'!B15+MAX(0,(1-T663/'01_설정'!B7))*'01_설정'!B16+MAX(0,(1-U663/'01_설정'!B8))*'01_설정'!B17+O663*'01_설정'!B11+Q663*'01_설정'!B12+P663*'01_설정'!B13+IF(Z663="",0,Z663))</f>
        <v/>
      </c>
      <c r="X663" s="152">
        <f>IF(W663="","",1+COUNTIFS($W$4:$W$3003,"&gt;"&amp;W663)+COUNTIFS($W$4:W663,W663)-1)</f>
        <v/>
      </c>
      <c r="Y663" s="175">
        <f>IF(OR(I663="",'02_대상물건입력'!B19="",'02_대상물건입력'!B19&lt;=0),"",ABS(I663-'02_대상물건입력'!B19)/'02_대상물건입력'!B19)</f>
        <v/>
      </c>
      <c r="Z663" s="172">
        <f>IF(OR(Y663="",'01_설정'!B31="",'01_설정'!B31&lt;=0,'01_설정'!B32="",'01_설정'!B32&lt;=0),"",MAX(0,(1-Y663/'01_설정'!B32))*'01_설정'!B31)</f>
        <v/>
      </c>
    </row>
    <row r="664" ht="17.25" customHeight="1">
      <c r="A664" s="152">
        <f>IF(INDEX('04A_국토부원자료'!$A:$A,ROW()+1)="","",ROW()-3)</f>
        <v/>
      </c>
      <c r="B664" s="48">
        <f>IFERROR(INDEX('04A_국토부원자료'!$A:$T,ROW()+1,MATCH("시군구",'04A_국토부원자료'!$A$4:$T$4,0)),"")</f>
        <v/>
      </c>
      <c r="C664" s="48">
        <f>IF(B664="","",IFERROR(INDEX('04A_국토부원자료'!$A:$T,ROW()+1,MATCH("번지",'04A_국토부원자료'!$A$4:$T$4,0)),""))</f>
        <v/>
      </c>
      <c r="D664" s="48">
        <f>IF(B664="","",IF(Q664=1,'02_대상물건입력'!$B$8,IFERROR(INDEX('04A_국토부원자료'!$A:$T,ROW()+1,MATCH("단지명",'04A_국토부원자료'!$A$4:$T$4,0)),"")))</f>
        <v/>
      </c>
      <c r="E664" s="172">
        <f>IFERROR(VALUE(SUBSTITUTE(INDEX('04A_국토부원자료'!$A:$T,ROW()+1,MATCH("전용면적(㎡)",'04A_국토부원자료'!$A$4:$T$4,0)),",","")),"")</f>
        <v/>
      </c>
      <c r="F6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64" s="51">
        <f>IFERROR(VALUE(SUBSTITUTE(INDEX('04A_국토부원자료'!$A:$T,ROW()+1,MATCH("거래금액(만원)",'04A_국토부원자료'!$A$4:$T$4,0)),",","")),"")</f>
        <v/>
      </c>
      <c r="H664" s="174">
        <f>IF(G664="","",G664*10000)</f>
        <v/>
      </c>
      <c r="I664" s="174">
        <f>IFERROR(IF(AND(H664&gt;0,E664&gt;0),H664/E664,""),"")</f>
        <v/>
      </c>
      <c r="J664" s="152">
        <f>IFERROR(VALUE(SUBSTITUTE(INDEX('04A_국토부원자료'!$A:$T,ROW()+1,MATCH("층",'04A_국토부원자료'!$A$4:$T$4,0)),",","")),"")</f>
        <v/>
      </c>
      <c r="K664" s="152">
        <f>IFERROR(VALUE(SUBSTITUTE(INDEX('04A_국토부원자료'!$A:$T,ROW()+1,MATCH("건축년도",'04A_국토부원자료'!$A$4:$T$4,0)),",","")),"")</f>
        <v/>
      </c>
      <c r="L664" s="176">
        <f>IFERROR(INDEX('04A_국토부원자료'!$A:$T,ROW()+1,MATCH("도로명",'04A_국토부원자료'!$A$4:$T$4,0)),"")</f>
        <v/>
      </c>
      <c r="M664" s="48">
        <f>IFERROR(INDEX('04A_국토부원자료'!$A:$T,ROW()+1,MATCH("거래유형",'04A_국토부원자료'!$A$4:$T$4,0)),"")</f>
        <v/>
      </c>
      <c r="N664" s="152">
        <f>IF(B664="","",IF('02_대상물건입력'!B5="",1,IF(ISNUMBER(SEARCH('02_대상물건입력'!B5,B664)),1,0)))</f>
        <v/>
      </c>
      <c r="O664" s="152">
        <f>IF(B664="","",IF('02_대상물건입력'!B6="",1,IF(ISNUMBER(SEARCH('02_대상물건입력'!B6,B664)),1,0)))</f>
        <v/>
      </c>
      <c r="P664" s="152">
        <f>IF(L664="","",IF('02_대상물건입력'!B15="",0,IF(ISNUMBER(SEARCH('02_대상물건입력'!B15,L664)),1,0)))</f>
        <v/>
      </c>
      <c r="Q664" s="152">
        <f>IF(OR(C664="",L664=""),0,IF(AND(TRIM(C664)=TRIM(RIGHT(SUBSTITUTE(TRIM('02_대상물건입력'!$B$7)," ",REPT(" ",99)),99)),IF('02_대상물건입력'!B15="",TRUE(),ISNUMBER(SEARCH('02_대상물건입력'!B15,L664)))),1,0))</f>
        <v/>
      </c>
      <c r="R664" s="175">
        <f>IFERROR(ABS(E664-'02_대상물건입력'!B11)/'02_대상물건입력'!B11,"")</f>
        <v/>
      </c>
      <c r="S664" s="152">
        <f>IFERROR(ABS(J664-'02_대상물건입력'!B10),"")</f>
        <v/>
      </c>
      <c r="T664" s="152">
        <f>IFERROR(ABS('01_설정'!B4-F664),"")</f>
        <v/>
      </c>
      <c r="U664" s="152">
        <f>IFERROR(ABS(K664-YEAR('02_대상물건입력'!B14)),"")</f>
        <v/>
      </c>
      <c r="V664" s="152">
        <f>IF(B664="","",IF(AND(E664&gt;0,F664&gt;0,H664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664=1,TRUE()),R664&lt;='01_설정'!B5,S664&lt;='01_설정'!B6,T664&lt;='01_설정'!B7,U664&lt;='01_설정'!B8),"Y",""))</f>
        <v/>
      </c>
      <c r="W664" s="172">
        <f>IF(V664&lt;&gt;"Y","",MAX(0,(1-R664/'01_설정'!B5))*'01_설정'!B14+MAX(0,(1-S664/'01_설정'!B6))*'01_설정'!B15+MAX(0,(1-T664/'01_설정'!B7))*'01_설정'!B16+MAX(0,(1-U664/'01_설정'!B8))*'01_설정'!B17+O664*'01_설정'!B11+Q664*'01_설정'!B12+P664*'01_설정'!B13+IF(Z664="",0,Z664))</f>
        <v/>
      </c>
      <c r="X664" s="152">
        <f>IF(W664="","",1+COUNTIFS($W$4:$W$3003,"&gt;"&amp;W664)+COUNTIFS($W$4:W664,W664)-1)</f>
        <v/>
      </c>
      <c r="Y664" s="175">
        <f>IF(OR(I664="",'02_대상물건입력'!B19="",'02_대상물건입력'!B19&lt;=0),"",ABS(I664-'02_대상물건입력'!B19)/'02_대상물건입력'!B19)</f>
        <v/>
      </c>
      <c r="Z664" s="172">
        <f>IF(OR(Y664="",'01_설정'!B31="",'01_설정'!B31&lt;=0,'01_설정'!B32="",'01_설정'!B32&lt;=0),"",MAX(0,(1-Y664/'01_설정'!B32))*'01_설정'!B31)</f>
        <v/>
      </c>
    </row>
    <row r="665" ht="17.25" customHeight="1">
      <c r="A665" s="152">
        <f>IF(INDEX('04A_국토부원자료'!$A:$A,ROW()+1)="","",ROW()-3)</f>
        <v/>
      </c>
      <c r="B665" s="48">
        <f>IFERROR(INDEX('04A_국토부원자료'!$A:$T,ROW()+1,MATCH("시군구",'04A_국토부원자료'!$A$4:$T$4,0)),"")</f>
        <v/>
      </c>
      <c r="C665" s="48">
        <f>IF(B665="","",IFERROR(INDEX('04A_국토부원자료'!$A:$T,ROW()+1,MATCH("번지",'04A_국토부원자료'!$A$4:$T$4,0)),""))</f>
        <v/>
      </c>
      <c r="D665" s="48">
        <f>IF(B665="","",IF(Q665=1,'02_대상물건입력'!$B$8,IFERROR(INDEX('04A_국토부원자료'!$A:$T,ROW()+1,MATCH("단지명",'04A_국토부원자료'!$A$4:$T$4,0)),"")))</f>
        <v/>
      </c>
      <c r="E665" s="172">
        <f>IFERROR(VALUE(SUBSTITUTE(INDEX('04A_국토부원자료'!$A:$T,ROW()+1,MATCH("전용면적(㎡)",'04A_국토부원자료'!$A$4:$T$4,0)),",","")),"")</f>
        <v/>
      </c>
      <c r="F6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65" s="51">
        <f>IFERROR(VALUE(SUBSTITUTE(INDEX('04A_국토부원자료'!$A:$T,ROW()+1,MATCH("거래금액(만원)",'04A_국토부원자료'!$A$4:$T$4,0)),",","")),"")</f>
        <v/>
      </c>
      <c r="H665" s="174">
        <f>IF(G665="","",G665*10000)</f>
        <v/>
      </c>
      <c r="I665" s="174">
        <f>IFERROR(IF(AND(H665&gt;0,E665&gt;0),H665/E665,""),"")</f>
        <v/>
      </c>
      <c r="J665" s="152">
        <f>IFERROR(VALUE(SUBSTITUTE(INDEX('04A_국토부원자료'!$A:$T,ROW()+1,MATCH("층",'04A_국토부원자료'!$A$4:$T$4,0)),",","")),"")</f>
        <v/>
      </c>
      <c r="K665" s="152">
        <f>IFERROR(VALUE(SUBSTITUTE(INDEX('04A_국토부원자료'!$A:$T,ROW()+1,MATCH("건축년도",'04A_국토부원자료'!$A$4:$T$4,0)),",","")),"")</f>
        <v/>
      </c>
      <c r="L665" s="176">
        <f>IFERROR(INDEX('04A_국토부원자료'!$A:$T,ROW()+1,MATCH("도로명",'04A_국토부원자료'!$A$4:$T$4,0)),"")</f>
        <v/>
      </c>
      <c r="M665" s="48">
        <f>IFERROR(INDEX('04A_국토부원자료'!$A:$T,ROW()+1,MATCH("거래유형",'04A_국토부원자료'!$A$4:$T$4,0)),"")</f>
        <v/>
      </c>
      <c r="N665" s="152">
        <f>IF(B665="","",IF('02_대상물건입력'!B5="",1,IF(ISNUMBER(SEARCH('02_대상물건입력'!B5,B665)),1,0)))</f>
        <v/>
      </c>
      <c r="O665" s="152">
        <f>IF(B665="","",IF('02_대상물건입력'!B6="",1,IF(ISNUMBER(SEARCH('02_대상물건입력'!B6,B665)),1,0)))</f>
        <v/>
      </c>
      <c r="P665" s="152">
        <f>IF(L665="","",IF('02_대상물건입력'!B15="",0,IF(ISNUMBER(SEARCH('02_대상물건입력'!B15,L665)),1,0)))</f>
        <v/>
      </c>
      <c r="Q665" s="152">
        <f>IF(OR(C665="",L665=""),0,IF(AND(TRIM(C665)=TRIM(RIGHT(SUBSTITUTE(TRIM('02_대상물건입력'!$B$7)," ",REPT(" ",99)),99)),IF('02_대상물건입력'!B15="",TRUE(),ISNUMBER(SEARCH('02_대상물건입력'!B15,L665)))),1,0))</f>
        <v/>
      </c>
      <c r="R665" s="175">
        <f>IFERROR(ABS(E665-'02_대상물건입력'!B11)/'02_대상물건입력'!B11,"")</f>
        <v/>
      </c>
      <c r="S665" s="152">
        <f>IFERROR(ABS(J665-'02_대상물건입력'!B10),"")</f>
        <v/>
      </c>
      <c r="T665" s="152">
        <f>IFERROR(ABS('01_설정'!B4-F665),"")</f>
        <v/>
      </c>
      <c r="U665" s="152">
        <f>IFERROR(ABS(K665-YEAR('02_대상물건입력'!B14)),"")</f>
        <v/>
      </c>
      <c r="V665" s="152">
        <f>IF(B665="","",IF(AND(E665&gt;0,F665&gt;0,H665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665=1,TRUE()),R665&lt;='01_설정'!B5,S665&lt;='01_설정'!B6,T665&lt;='01_설정'!B7,U665&lt;='01_설정'!B8),"Y",""))</f>
        <v/>
      </c>
      <c r="W665" s="172">
        <f>IF(V665&lt;&gt;"Y","",MAX(0,(1-R665/'01_설정'!B5))*'01_설정'!B14+MAX(0,(1-S665/'01_설정'!B6))*'01_설정'!B15+MAX(0,(1-T665/'01_설정'!B7))*'01_설정'!B16+MAX(0,(1-U665/'01_설정'!B8))*'01_설정'!B17+O665*'01_설정'!B11+Q665*'01_설정'!B12+P665*'01_설정'!B13+IF(Z665="",0,Z665))</f>
        <v/>
      </c>
      <c r="X665" s="152">
        <f>IF(W665="","",1+COUNTIFS($W$4:$W$3003,"&gt;"&amp;W665)+COUNTIFS($W$4:W665,W665)-1)</f>
        <v/>
      </c>
      <c r="Y665" s="175">
        <f>IF(OR(I665="",'02_대상물건입력'!B19="",'02_대상물건입력'!B19&lt;=0),"",ABS(I665-'02_대상물건입력'!B19)/'02_대상물건입력'!B19)</f>
        <v/>
      </c>
      <c r="Z665" s="172">
        <f>IF(OR(Y665="",'01_설정'!B31="",'01_설정'!B31&lt;=0,'01_설정'!B32="",'01_설정'!B32&lt;=0),"",MAX(0,(1-Y665/'01_설정'!B32))*'01_설정'!B31)</f>
        <v/>
      </c>
    </row>
    <row r="666" ht="17.25" customHeight="1">
      <c r="A666" s="152">
        <f>IF(INDEX('04A_국토부원자료'!$A:$A,ROW()+1)="","",ROW()-3)</f>
        <v/>
      </c>
      <c r="B666" s="48">
        <f>IFERROR(INDEX('04A_국토부원자료'!$A:$T,ROW()+1,MATCH("시군구",'04A_국토부원자료'!$A$4:$T$4,0)),"")</f>
        <v/>
      </c>
      <c r="C666" s="48">
        <f>IF(B666="","",IFERROR(INDEX('04A_국토부원자료'!$A:$T,ROW()+1,MATCH("번지",'04A_국토부원자료'!$A$4:$T$4,0)),""))</f>
        <v/>
      </c>
      <c r="D666" s="48">
        <f>IF(B666="","",IF(Q666=1,'02_대상물건입력'!$B$8,IFERROR(INDEX('04A_국토부원자료'!$A:$T,ROW()+1,MATCH("단지명",'04A_국토부원자료'!$A$4:$T$4,0)),"")))</f>
        <v/>
      </c>
      <c r="E666" s="172">
        <f>IFERROR(VALUE(SUBSTITUTE(INDEX('04A_국토부원자료'!$A:$T,ROW()+1,MATCH("전용면적(㎡)",'04A_국토부원자료'!$A$4:$T$4,0)),",","")),"")</f>
        <v/>
      </c>
      <c r="F6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66" s="51">
        <f>IFERROR(VALUE(SUBSTITUTE(INDEX('04A_국토부원자료'!$A:$T,ROW()+1,MATCH("거래금액(만원)",'04A_국토부원자료'!$A$4:$T$4,0)),",","")),"")</f>
        <v/>
      </c>
      <c r="H666" s="174">
        <f>IF(G666="","",G666*10000)</f>
        <v/>
      </c>
      <c r="I666" s="174">
        <f>IFERROR(IF(AND(H666&gt;0,E666&gt;0),H666/E666,""),"")</f>
        <v/>
      </c>
      <c r="J666" s="152">
        <f>IFERROR(VALUE(SUBSTITUTE(INDEX('04A_국토부원자료'!$A:$T,ROW()+1,MATCH("층",'04A_국토부원자료'!$A$4:$T$4,0)),",","")),"")</f>
        <v/>
      </c>
      <c r="K666" s="152">
        <f>IFERROR(VALUE(SUBSTITUTE(INDEX('04A_국토부원자료'!$A:$T,ROW()+1,MATCH("건축년도",'04A_국토부원자료'!$A$4:$T$4,0)),",","")),"")</f>
        <v/>
      </c>
      <c r="L666" s="176">
        <f>IFERROR(INDEX('04A_국토부원자료'!$A:$T,ROW()+1,MATCH("도로명",'04A_국토부원자료'!$A$4:$T$4,0)),"")</f>
        <v/>
      </c>
      <c r="M666" s="48">
        <f>IFERROR(INDEX('04A_국토부원자료'!$A:$T,ROW()+1,MATCH("거래유형",'04A_국토부원자료'!$A$4:$T$4,0)),"")</f>
        <v/>
      </c>
      <c r="N666" s="152">
        <f>IF(B666="","",IF('02_대상물건입력'!B5="",1,IF(ISNUMBER(SEARCH('02_대상물건입력'!B5,B666)),1,0)))</f>
        <v/>
      </c>
      <c r="O666" s="152">
        <f>IF(B666="","",IF('02_대상물건입력'!B6="",1,IF(ISNUMBER(SEARCH('02_대상물건입력'!B6,B666)),1,0)))</f>
        <v/>
      </c>
      <c r="P666" s="152">
        <f>IF(L666="","",IF('02_대상물건입력'!B15="",0,IF(ISNUMBER(SEARCH('02_대상물건입력'!B15,L666)),1,0)))</f>
        <v/>
      </c>
      <c r="Q666" s="152">
        <f>IF(OR(C666="",L666=""),0,IF(AND(TRIM(C666)=TRIM(RIGHT(SUBSTITUTE(TRIM('02_대상물건입력'!$B$7)," ",REPT(" ",99)),99)),IF('02_대상물건입력'!B15="",TRUE(),ISNUMBER(SEARCH('02_대상물건입력'!B15,L666)))),1,0))</f>
        <v/>
      </c>
      <c r="R666" s="175">
        <f>IFERROR(ABS(E666-'02_대상물건입력'!B11)/'02_대상물건입력'!B11,"")</f>
        <v/>
      </c>
      <c r="S666" s="152">
        <f>IFERROR(ABS(J666-'02_대상물건입력'!B10),"")</f>
        <v/>
      </c>
      <c r="T666" s="152">
        <f>IFERROR(ABS('01_설정'!B4-F666),"")</f>
        <v/>
      </c>
      <c r="U666" s="152">
        <f>IFERROR(ABS(K666-YEAR('02_대상물건입력'!B14)),"")</f>
        <v/>
      </c>
      <c r="V666" s="152">
        <f>IF(B666="","",IF(AND(E666&gt;0,F666&gt;0,H666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666=1,TRUE()),R666&lt;='01_설정'!B5,S666&lt;='01_설정'!B6,T666&lt;='01_설정'!B7,U666&lt;='01_설정'!B8),"Y",""))</f>
        <v/>
      </c>
      <c r="W666" s="172">
        <f>IF(V666&lt;&gt;"Y","",MAX(0,(1-R666/'01_설정'!B5))*'01_설정'!B14+MAX(0,(1-S666/'01_설정'!B6))*'01_설정'!B15+MAX(0,(1-T666/'01_설정'!B7))*'01_설정'!B16+MAX(0,(1-U666/'01_설정'!B8))*'01_설정'!B17+O666*'01_설정'!B11+Q666*'01_설정'!B12+P666*'01_설정'!B13+IF(Z666="",0,Z666))</f>
        <v/>
      </c>
      <c r="X666" s="152">
        <f>IF(W666="","",1+COUNTIFS($W$4:$W$3003,"&gt;"&amp;W666)+COUNTIFS($W$4:W666,W666)-1)</f>
        <v/>
      </c>
      <c r="Y666" s="175">
        <f>IF(OR(I666="",'02_대상물건입력'!B19="",'02_대상물건입력'!B19&lt;=0),"",ABS(I666-'02_대상물건입력'!B19)/'02_대상물건입력'!B19)</f>
        <v/>
      </c>
      <c r="Z666" s="172">
        <f>IF(OR(Y666="",'01_설정'!B31="",'01_설정'!B31&lt;=0,'01_설정'!B32="",'01_설정'!B32&lt;=0),"",MAX(0,(1-Y666/'01_설정'!B32))*'01_설정'!B31)</f>
        <v/>
      </c>
    </row>
    <row r="667" ht="17.25" customHeight="1">
      <c r="A667" s="152">
        <f>IF(INDEX('04A_국토부원자료'!$A:$A,ROW()+1)="","",ROW()-3)</f>
        <v/>
      </c>
      <c r="B667" s="48">
        <f>IFERROR(INDEX('04A_국토부원자료'!$A:$T,ROW()+1,MATCH("시군구",'04A_국토부원자료'!$A$4:$T$4,0)),"")</f>
        <v/>
      </c>
      <c r="C667" s="48">
        <f>IF(B667="","",IFERROR(INDEX('04A_국토부원자료'!$A:$T,ROW()+1,MATCH("번지",'04A_국토부원자료'!$A$4:$T$4,0)),""))</f>
        <v/>
      </c>
      <c r="D667" s="48">
        <f>IF(B667="","",IF(Q667=1,'02_대상물건입력'!$B$8,IFERROR(INDEX('04A_국토부원자료'!$A:$T,ROW()+1,MATCH("단지명",'04A_국토부원자료'!$A$4:$T$4,0)),"")))</f>
        <v/>
      </c>
      <c r="E667" s="172">
        <f>IFERROR(VALUE(SUBSTITUTE(INDEX('04A_국토부원자료'!$A:$T,ROW()+1,MATCH("전용면적(㎡)",'04A_국토부원자료'!$A$4:$T$4,0)),",","")),"")</f>
        <v/>
      </c>
      <c r="F6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67" s="51">
        <f>IFERROR(VALUE(SUBSTITUTE(INDEX('04A_국토부원자료'!$A:$T,ROW()+1,MATCH("거래금액(만원)",'04A_국토부원자료'!$A$4:$T$4,0)),",","")),"")</f>
        <v/>
      </c>
      <c r="H667" s="174">
        <f>IF(G667="","",G667*10000)</f>
        <v/>
      </c>
      <c r="I667" s="174">
        <f>IFERROR(IF(AND(H667&gt;0,E667&gt;0),H667/E667,""),"")</f>
        <v/>
      </c>
      <c r="J667" s="152">
        <f>IFERROR(VALUE(SUBSTITUTE(INDEX('04A_국토부원자료'!$A:$T,ROW()+1,MATCH("층",'04A_국토부원자료'!$A$4:$T$4,0)),",","")),"")</f>
        <v/>
      </c>
      <c r="K667" s="152">
        <f>IFERROR(VALUE(SUBSTITUTE(INDEX('04A_국토부원자료'!$A:$T,ROW()+1,MATCH("건축년도",'04A_국토부원자료'!$A$4:$T$4,0)),",","")),"")</f>
        <v/>
      </c>
      <c r="L667" s="176">
        <f>IFERROR(INDEX('04A_국토부원자료'!$A:$T,ROW()+1,MATCH("도로명",'04A_국토부원자료'!$A$4:$T$4,0)),"")</f>
        <v/>
      </c>
      <c r="M667" s="48">
        <f>IFERROR(INDEX('04A_국토부원자료'!$A:$T,ROW()+1,MATCH("거래유형",'04A_국토부원자료'!$A$4:$T$4,0)),"")</f>
        <v/>
      </c>
      <c r="N667" s="152">
        <f>IF(B667="","",IF('02_대상물건입력'!B5="",1,IF(ISNUMBER(SEARCH('02_대상물건입력'!B5,B667)),1,0)))</f>
        <v/>
      </c>
      <c r="O667" s="152">
        <f>IF(B667="","",IF('02_대상물건입력'!B6="",1,IF(ISNUMBER(SEARCH('02_대상물건입력'!B6,B667)),1,0)))</f>
        <v/>
      </c>
      <c r="P667" s="152">
        <f>IF(L667="","",IF('02_대상물건입력'!B15="",0,IF(ISNUMBER(SEARCH('02_대상물건입력'!B15,L667)),1,0)))</f>
        <v/>
      </c>
      <c r="Q667" s="152">
        <f>IF(OR(C667="",L667=""),0,IF(AND(TRIM(C667)=TRIM(RIGHT(SUBSTITUTE(TRIM('02_대상물건입력'!$B$7)," ",REPT(" ",99)),99)),IF('02_대상물건입력'!B15="",TRUE(),ISNUMBER(SEARCH('02_대상물건입력'!B15,L667)))),1,0))</f>
        <v/>
      </c>
      <c r="R667" s="175">
        <f>IFERROR(ABS(E667-'02_대상물건입력'!B11)/'02_대상물건입력'!B11,"")</f>
        <v/>
      </c>
      <c r="S667" s="152">
        <f>IFERROR(ABS(J667-'02_대상물건입력'!B10),"")</f>
        <v/>
      </c>
      <c r="T667" s="152">
        <f>IFERROR(ABS('01_설정'!B4-F667),"")</f>
        <v/>
      </c>
      <c r="U667" s="152">
        <f>IFERROR(ABS(K667-YEAR('02_대상물건입력'!B14)),"")</f>
        <v/>
      </c>
      <c r="V667" s="152">
        <f>IF(B667="","",IF(AND(E667&gt;0,F667&gt;0,H667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667=1,TRUE()),R667&lt;='01_설정'!B5,S667&lt;='01_설정'!B6,T667&lt;='01_설정'!B7,U667&lt;='01_설정'!B8),"Y",""))</f>
        <v/>
      </c>
      <c r="W667" s="172">
        <f>IF(V667&lt;&gt;"Y","",MAX(0,(1-R667/'01_설정'!B5))*'01_설정'!B14+MAX(0,(1-S667/'01_설정'!B6))*'01_설정'!B15+MAX(0,(1-T667/'01_설정'!B7))*'01_설정'!B16+MAX(0,(1-U667/'01_설정'!B8))*'01_설정'!B17+O667*'01_설정'!B11+Q667*'01_설정'!B12+P667*'01_설정'!B13+IF(Z667="",0,Z667))</f>
        <v/>
      </c>
      <c r="X667" s="152">
        <f>IF(W667="","",1+COUNTIFS($W$4:$W$3003,"&gt;"&amp;W667)+COUNTIFS($W$4:W667,W667)-1)</f>
        <v/>
      </c>
      <c r="Y667" s="175">
        <f>IF(OR(I667="",'02_대상물건입력'!B19="",'02_대상물건입력'!B19&lt;=0),"",ABS(I667-'02_대상물건입력'!B19)/'02_대상물건입력'!B19)</f>
        <v/>
      </c>
      <c r="Z667" s="172">
        <f>IF(OR(Y667="",'01_설정'!B31="",'01_설정'!B31&lt;=0,'01_설정'!B32="",'01_설정'!B32&lt;=0),"",MAX(0,(1-Y667/'01_설정'!B32))*'01_설정'!B31)</f>
        <v/>
      </c>
    </row>
    <row r="668" ht="17.25" customHeight="1">
      <c r="A668" s="152">
        <f>IF(INDEX('04A_국토부원자료'!$A:$A,ROW()+1)="","",ROW()-3)</f>
        <v/>
      </c>
      <c r="B668" s="48">
        <f>IFERROR(INDEX('04A_국토부원자료'!$A:$T,ROW()+1,MATCH("시군구",'04A_국토부원자료'!$A$4:$T$4,0)),"")</f>
        <v/>
      </c>
      <c r="C668" s="48">
        <f>IF(B668="","",IFERROR(INDEX('04A_국토부원자료'!$A:$T,ROW()+1,MATCH("번지",'04A_국토부원자료'!$A$4:$T$4,0)),""))</f>
        <v/>
      </c>
      <c r="D668" s="48">
        <f>IF(B668="","",IF(Q668=1,'02_대상물건입력'!$B$8,IFERROR(INDEX('04A_국토부원자료'!$A:$T,ROW()+1,MATCH("단지명",'04A_국토부원자료'!$A$4:$T$4,0)),"")))</f>
        <v/>
      </c>
      <c r="E668" s="172">
        <f>IFERROR(VALUE(SUBSTITUTE(INDEX('04A_국토부원자료'!$A:$T,ROW()+1,MATCH("전용면적(㎡)",'04A_국토부원자료'!$A$4:$T$4,0)),",","")),"")</f>
        <v/>
      </c>
      <c r="F6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68" s="51">
        <f>IFERROR(VALUE(SUBSTITUTE(INDEX('04A_국토부원자료'!$A:$T,ROW()+1,MATCH("거래금액(만원)",'04A_국토부원자료'!$A$4:$T$4,0)),",","")),"")</f>
        <v/>
      </c>
      <c r="H668" s="174">
        <f>IF(G668="","",G668*10000)</f>
        <v/>
      </c>
      <c r="I668" s="174">
        <f>IFERROR(IF(AND(H668&gt;0,E668&gt;0),H668/E668,""),"")</f>
        <v/>
      </c>
      <c r="J668" s="152">
        <f>IFERROR(VALUE(SUBSTITUTE(INDEX('04A_국토부원자료'!$A:$T,ROW()+1,MATCH("층",'04A_국토부원자료'!$A$4:$T$4,0)),",","")),"")</f>
        <v/>
      </c>
      <c r="K668" s="152">
        <f>IFERROR(VALUE(SUBSTITUTE(INDEX('04A_국토부원자료'!$A:$T,ROW()+1,MATCH("건축년도",'04A_국토부원자료'!$A$4:$T$4,0)),",","")),"")</f>
        <v/>
      </c>
      <c r="L668" s="176">
        <f>IFERROR(INDEX('04A_국토부원자료'!$A:$T,ROW()+1,MATCH("도로명",'04A_국토부원자료'!$A$4:$T$4,0)),"")</f>
        <v/>
      </c>
      <c r="M668" s="48">
        <f>IFERROR(INDEX('04A_국토부원자료'!$A:$T,ROW()+1,MATCH("거래유형",'04A_국토부원자료'!$A$4:$T$4,0)),"")</f>
        <v/>
      </c>
      <c r="N668" s="152">
        <f>IF(B668="","",IF('02_대상물건입력'!B5="",1,IF(ISNUMBER(SEARCH('02_대상물건입력'!B5,B668)),1,0)))</f>
        <v/>
      </c>
      <c r="O668" s="152">
        <f>IF(B668="","",IF('02_대상물건입력'!B6="",1,IF(ISNUMBER(SEARCH('02_대상물건입력'!B6,B668)),1,0)))</f>
        <v/>
      </c>
      <c r="P668" s="152">
        <f>IF(L668="","",IF('02_대상물건입력'!B15="",0,IF(ISNUMBER(SEARCH('02_대상물건입력'!B15,L668)),1,0)))</f>
        <v/>
      </c>
      <c r="Q668" s="152">
        <f>IF(OR(C668="",L668=""),0,IF(AND(TRIM(C668)=TRIM(RIGHT(SUBSTITUTE(TRIM('02_대상물건입력'!$B$7)," ",REPT(" ",99)),99)),IF('02_대상물건입력'!B15="",TRUE(),ISNUMBER(SEARCH('02_대상물건입력'!B15,L668)))),1,0))</f>
        <v/>
      </c>
      <c r="R668" s="175">
        <f>IFERROR(ABS(E668-'02_대상물건입력'!B11)/'02_대상물건입력'!B11,"")</f>
        <v/>
      </c>
      <c r="S668" s="152">
        <f>IFERROR(ABS(J668-'02_대상물건입력'!B10),"")</f>
        <v/>
      </c>
      <c r="T668" s="152">
        <f>IFERROR(ABS('01_설정'!B4-F668),"")</f>
        <v/>
      </c>
      <c r="U668" s="152">
        <f>IFERROR(ABS(K668-YEAR('02_대상물건입력'!B14)),"")</f>
        <v/>
      </c>
      <c r="V668" s="152">
        <f>IF(B668="","",IF(AND(E668&gt;0,F668&gt;0,H668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668=1,TRUE()),R668&lt;='01_설정'!B5,S668&lt;='01_설정'!B6,T668&lt;='01_설정'!B7,U668&lt;='01_설정'!B8),"Y",""))</f>
        <v/>
      </c>
      <c r="W668" s="172">
        <f>IF(V668&lt;&gt;"Y","",MAX(0,(1-R668/'01_설정'!B5))*'01_설정'!B14+MAX(0,(1-S668/'01_설정'!B6))*'01_설정'!B15+MAX(0,(1-T668/'01_설정'!B7))*'01_설정'!B16+MAX(0,(1-U668/'01_설정'!B8))*'01_설정'!B17+O668*'01_설정'!B11+Q668*'01_설정'!B12+P668*'01_설정'!B13+IF(Z668="",0,Z668))</f>
        <v/>
      </c>
      <c r="X668" s="152">
        <f>IF(W668="","",1+COUNTIFS($W$4:$W$3003,"&gt;"&amp;W668)+COUNTIFS($W$4:W668,W668)-1)</f>
        <v/>
      </c>
      <c r="Y668" s="175">
        <f>IF(OR(I668="",'02_대상물건입력'!B19="",'02_대상물건입력'!B19&lt;=0),"",ABS(I668-'02_대상물건입력'!B19)/'02_대상물건입력'!B19)</f>
        <v/>
      </c>
      <c r="Z668" s="172">
        <f>IF(OR(Y668="",'01_설정'!B31="",'01_설정'!B31&lt;=0,'01_설정'!B32="",'01_설정'!B32&lt;=0),"",MAX(0,(1-Y668/'01_설정'!B32))*'01_설정'!B31)</f>
        <v/>
      </c>
    </row>
    <row r="669" ht="17.25" customHeight="1">
      <c r="A669" s="152">
        <f>IF(INDEX('04A_국토부원자료'!$A:$A,ROW()+1)="","",ROW()-3)</f>
        <v/>
      </c>
      <c r="B669" s="48">
        <f>IFERROR(INDEX('04A_국토부원자료'!$A:$T,ROW()+1,MATCH("시군구",'04A_국토부원자료'!$A$4:$T$4,0)),"")</f>
        <v/>
      </c>
      <c r="C669" s="48">
        <f>IF(B669="","",IFERROR(INDEX('04A_국토부원자료'!$A:$T,ROW()+1,MATCH("번지",'04A_국토부원자료'!$A$4:$T$4,0)),""))</f>
        <v/>
      </c>
      <c r="D669" s="48">
        <f>IF(B669="","",IF(Q669=1,'02_대상물건입력'!$B$8,IFERROR(INDEX('04A_국토부원자료'!$A:$T,ROW()+1,MATCH("단지명",'04A_국토부원자료'!$A$4:$T$4,0)),"")))</f>
        <v/>
      </c>
      <c r="E669" s="172">
        <f>IFERROR(VALUE(SUBSTITUTE(INDEX('04A_국토부원자료'!$A:$T,ROW()+1,MATCH("전용면적(㎡)",'04A_국토부원자료'!$A$4:$T$4,0)),",","")),"")</f>
        <v/>
      </c>
      <c r="F6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69" s="51">
        <f>IFERROR(VALUE(SUBSTITUTE(INDEX('04A_국토부원자료'!$A:$T,ROW()+1,MATCH("거래금액(만원)",'04A_국토부원자료'!$A$4:$T$4,0)),",","")),"")</f>
        <v/>
      </c>
      <c r="H669" s="174">
        <f>IF(G669="","",G669*10000)</f>
        <v/>
      </c>
      <c r="I669" s="174">
        <f>IFERROR(IF(AND(H669&gt;0,E669&gt;0),H669/E669,""),"")</f>
        <v/>
      </c>
      <c r="J669" s="152">
        <f>IFERROR(VALUE(SUBSTITUTE(INDEX('04A_국토부원자료'!$A:$T,ROW()+1,MATCH("층",'04A_국토부원자료'!$A$4:$T$4,0)),",","")),"")</f>
        <v/>
      </c>
      <c r="K669" s="152">
        <f>IFERROR(VALUE(SUBSTITUTE(INDEX('04A_국토부원자료'!$A:$T,ROW()+1,MATCH("건축년도",'04A_국토부원자료'!$A$4:$T$4,0)),",","")),"")</f>
        <v/>
      </c>
      <c r="L669" s="176">
        <f>IFERROR(INDEX('04A_국토부원자료'!$A:$T,ROW()+1,MATCH("도로명",'04A_국토부원자료'!$A$4:$T$4,0)),"")</f>
        <v/>
      </c>
      <c r="M669" s="48">
        <f>IFERROR(INDEX('04A_국토부원자료'!$A:$T,ROW()+1,MATCH("거래유형",'04A_국토부원자료'!$A$4:$T$4,0)),"")</f>
        <v/>
      </c>
      <c r="N669" s="152">
        <f>IF(B669="","",IF('02_대상물건입력'!B5="",1,IF(ISNUMBER(SEARCH('02_대상물건입력'!B5,B669)),1,0)))</f>
        <v/>
      </c>
      <c r="O669" s="152">
        <f>IF(B669="","",IF('02_대상물건입력'!B6="",1,IF(ISNUMBER(SEARCH('02_대상물건입력'!B6,B669)),1,0)))</f>
        <v/>
      </c>
      <c r="P669" s="152">
        <f>IF(L669="","",IF('02_대상물건입력'!B15="",0,IF(ISNUMBER(SEARCH('02_대상물건입력'!B15,L669)),1,0)))</f>
        <v/>
      </c>
      <c r="Q669" s="152">
        <f>IF(OR(C669="",L669=""),0,IF(AND(TRIM(C669)=TRIM(RIGHT(SUBSTITUTE(TRIM('02_대상물건입력'!$B$7)," ",REPT(" ",99)),99)),IF('02_대상물건입력'!B15="",TRUE(),ISNUMBER(SEARCH('02_대상물건입력'!B15,L669)))),1,0))</f>
        <v/>
      </c>
      <c r="R669" s="175">
        <f>IFERROR(ABS(E669-'02_대상물건입력'!B11)/'02_대상물건입력'!B11,"")</f>
        <v/>
      </c>
      <c r="S669" s="152">
        <f>IFERROR(ABS(J669-'02_대상물건입력'!B10),"")</f>
        <v/>
      </c>
      <c r="T669" s="152">
        <f>IFERROR(ABS('01_설정'!B4-F669),"")</f>
        <v/>
      </c>
      <c r="U669" s="152">
        <f>IFERROR(ABS(K669-YEAR('02_대상물건입력'!B14)),"")</f>
        <v/>
      </c>
      <c r="V669" s="152">
        <f>IF(B669="","",IF(AND(E669&gt;0,F669&gt;0,H669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669=1,TRUE()),R669&lt;='01_설정'!B5,S669&lt;='01_설정'!B6,T669&lt;='01_설정'!B7,U669&lt;='01_설정'!B8),"Y",""))</f>
        <v/>
      </c>
      <c r="W669" s="172">
        <f>IF(V669&lt;&gt;"Y","",MAX(0,(1-R669/'01_설정'!B5))*'01_설정'!B14+MAX(0,(1-S669/'01_설정'!B6))*'01_설정'!B15+MAX(0,(1-T669/'01_설정'!B7))*'01_설정'!B16+MAX(0,(1-U669/'01_설정'!B8))*'01_설정'!B17+O669*'01_설정'!B11+Q669*'01_설정'!B12+P669*'01_설정'!B13+IF(Z669="",0,Z669))</f>
        <v/>
      </c>
      <c r="X669" s="152">
        <f>IF(W669="","",1+COUNTIFS($W$4:$W$3003,"&gt;"&amp;W669)+COUNTIFS($W$4:W669,W669)-1)</f>
        <v/>
      </c>
      <c r="Y669" s="175">
        <f>IF(OR(I669="",'02_대상물건입력'!B19="",'02_대상물건입력'!B19&lt;=0),"",ABS(I669-'02_대상물건입력'!B19)/'02_대상물건입력'!B19)</f>
        <v/>
      </c>
      <c r="Z669" s="172">
        <f>IF(OR(Y669="",'01_설정'!B31="",'01_설정'!B31&lt;=0,'01_설정'!B32="",'01_설정'!B32&lt;=0),"",MAX(0,(1-Y669/'01_설정'!B32))*'01_설정'!B31)</f>
        <v/>
      </c>
    </row>
    <row r="670" ht="17.25" customHeight="1">
      <c r="A670" s="152">
        <f>IF(INDEX('04A_국토부원자료'!$A:$A,ROW()+1)="","",ROW()-3)</f>
        <v/>
      </c>
      <c r="B670" s="48">
        <f>IFERROR(INDEX('04A_국토부원자료'!$A:$T,ROW()+1,MATCH("시군구",'04A_국토부원자료'!$A$4:$T$4,0)),"")</f>
        <v/>
      </c>
      <c r="C670" s="48">
        <f>IF(B670="","",IFERROR(INDEX('04A_국토부원자료'!$A:$T,ROW()+1,MATCH("번지",'04A_국토부원자료'!$A$4:$T$4,0)),""))</f>
        <v/>
      </c>
      <c r="D670" s="48">
        <f>IF(B670="","",IF(Q670=1,'02_대상물건입력'!$B$8,IFERROR(INDEX('04A_국토부원자료'!$A:$T,ROW()+1,MATCH("단지명",'04A_국토부원자료'!$A$4:$T$4,0)),"")))</f>
        <v/>
      </c>
      <c r="E670" s="172">
        <f>IFERROR(VALUE(SUBSTITUTE(INDEX('04A_국토부원자료'!$A:$T,ROW()+1,MATCH("전용면적(㎡)",'04A_국토부원자료'!$A$4:$T$4,0)),",","")),"")</f>
        <v/>
      </c>
      <c r="F6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70" s="51">
        <f>IFERROR(VALUE(SUBSTITUTE(INDEX('04A_국토부원자료'!$A:$T,ROW()+1,MATCH("거래금액(만원)",'04A_국토부원자료'!$A$4:$T$4,0)),",","")),"")</f>
        <v/>
      </c>
      <c r="H670" s="174">
        <f>IF(G670="","",G670*10000)</f>
        <v/>
      </c>
      <c r="I670" s="174">
        <f>IFERROR(IF(AND(H670&gt;0,E670&gt;0),H670/E670,""),"")</f>
        <v/>
      </c>
      <c r="J670" s="152">
        <f>IFERROR(VALUE(SUBSTITUTE(INDEX('04A_국토부원자료'!$A:$T,ROW()+1,MATCH("층",'04A_국토부원자료'!$A$4:$T$4,0)),",","")),"")</f>
        <v/>
      </c>
      <c r="K670" s="152">
        <f>IFERROR(VALUE(SUBSTITUTE(INDEX('04A_국토부원자료'!$A:$T,ROW()+1,MATCH("건축년도",'04A_국토부원자료'!$A$4:$T$4,0)),",","")),"")</f>
        <v/>
      </c>
      <c r="L670" s="176">
        <f>IFERROR(INDEX('04A_국토부원자료'!$A:$T,ROW()+1,MATCH("도로명",'04A_국토부원자료'!$A$4:$T$4,0)),"")</f>
        <v/>
      </c>
      <c r="M670" s="48">
        <f>IFERROR(INDEX('04A_국토부원자료'!$A:$T,ROW()+1,MATCH("거래유형",'04A_국토부원자료'!$A$4:$T$4,0)),"")</f>
        <v/>
      </c>
      <c r="N670" s="152">
        <f>IF(B670="","",IF('02_대상물건입력'!B5="",1,IF(ISNUMBER(SEARCH('02_대상물건입력'!B5,B670)),1,0)))</f>
        <v/>
      </c>
      <c r="O670" s="152">
        <f>IF(B670="","",IF('02_대상물건입력'!B6="",1,IF(ISNUMBER(SEARCH('02_대상물건입력'!B6,B670)),1,0)))</f>
        <v/>
      </c>
      <c r="P670" s="152">
        <f>IF(L670="","",IF('02_대상물건입력'!B15="",0,IF(ISNUMBER(SEARCH('02_대상물건입력'!B15,L670)),1,0)))</f>
        <v/>
      </c>
      <c r="Q670" s="152">
        <f>IF(OR(C670="",L670=""),0,IF(AND(TRIM(C670)=TRIM(RIGHT(SUBSTITUTE(TRIM('02_대상물건입력'!$B$7)," ",REPT(" ",99)),99)),IF('02_대상물건입력'!B15="",TRUE(),ISNUMBER(SEARCH('02_대상물건입력'!B15,L670)))),1,0))</f>
        <v/>
      </c>
      <c r="R670" s="175">
        <f>IFERROR(ABS(E670-'02_대상물건입력'!B11)/'02_대상물건입력'!B11,"")</f>
        <v/>
      </c>
      <c r="S670" s="152">
        <f>IFERROR(ABS(J670-'02_대상물건입력'!B10),"")</f>
        <v/>
      </c>
      <c r="T670" s="152">
        <f>IFERROR(ABS('01_설정'!B4-F670),"")</f>
        <v/>
      </c>
      <c r="U670" s="152">
        <f>IFERROR(ABS(K670-YEAR('02_대상물건입력'!B14)),"")</f>
        <v/>
      </c>
      <c r="V670" s="152">
        <f>IF(B670="","",IF(AND(E670&gt;0,F670&gt;0,H670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670=1,TRUE()),R670&lt;='01_설정'!B5,S670&lt;='01_설정'!B6,T670&lt;='01_설정'!B7,U670&lt;='01_설정'!B8),"Y",""))</f>
        <v/>
      </c>
      <c r="W670" s="172">
        <f>IF(V670&lt;&gt;"Y","",MAX(0,(1-R670/'01_설정'!B5))*'01_설정'!B14+MAX(0,(1-S670/'01_설정'!B6))*'01_설정'!B15+MAX(0,(1-T670/'01_설정'!B7))*'01_설정'!B16+MAX(0,(1-U670/'01_설정'!B8))*'01_설정'!B17+O670*'01_설정'!B11+Q670*'01_설정'!B12+P670*'01_설정'!B13+IF(Z670="",0,Z670))</f>
        <v/>
      </c>
      <c r="X670" s="152">
        <f>IF(W670="","",1+COUNTIFS($W$4:$W$3003,"&gt;"&amp;W670)+COUNTIFS($W$4:W670,W670)-1)</f>
        <v/>
      </c>
      <c r="Y670" s="175">
        <f>IF(OR(I670="",'02_대상물건입력'!B19="",'02_대상물건입력'!B19&lt;=0),"",ABS(I670-'02_대상물건입력'!B19)/'02_대상물건입력'!B19)</f>
        <v/>
      </c>
      <c r="Z670" s="172">
        <f>IF(OR(Y670="",'01_설정'!B31="",'01_설정'!B31&lt;=0,'01_설정'!B32="",'01_설정'!B32&lt;=0),"",MAX(0,(1-Y670/'01_설정'!B32))*'01_설정'!B31)</f>
        <v/>
      </c>
    </row>
    <row r="671" ht="17.25" customHeight="1">
      <c r="A671" s="152">
        <f>IF(INDEX('04A_국토부원자료'!$A:$A,ROW()+1)="","",ROW()-3)</f>
        <v/>
      </c>
      <c r="B671" s="48">
        <f>IFERROR(INDEX('04A_국토부원자료'!$A:$T,ROW()+1,MATCH("시군구",'04A_국토부원자료'!$A$4:$T$4,0)),"")</f>
        <v/>
      </c>
      <c r="C671" s="48">
        <f>IF(B671="","",IFERROR(INDEX('04A_국토부원자료'!$A:$T,ROW()+1,MATCH("번지",'04A_국토부원자료'!$A$4:$T$4,0)),""))</f>
        <v/>
      </c>
      <c r="D671" s="48">
        <f>IF(B671="","",IF(Q671=1,'02_대상물건입력'!$B$8,IFERROR(INDEX('04A_국토부원자료'!$A:$T,ROW()+1,MATCH("단지명",'04A_국토부원자료'!$A$4:$T$4,0)),"")))</f>
        <v/>
      </c>
      <c r="E671" s="172">
        <f>IFERROR(VALUE(SUBSTITUTE(INDEX('04A_국토부원자료'!$A:$T,ROW()+1,MATCH("전용면적(㎡)",'04A_국토부원자료'!$A$4:$T$4,0)),",","")),"")</f>
        <v/>
      </c>
      <c r="F6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71" s="51">
        <f>IFERROR(VALUE(SUBSTITUTE(INDEX('04A_국토부원자료'!$A:$T,ROW()+1,MATCH("거래금액(만원)",'04A_국토부원자료'!$A$4:$T$4,0)),",","")),"")</f>
        <v/>
      </c>
      <c r="H671" s="174">
        <f>IF(G671="","",G671*10000)</f>
        <v/>
      </c>
      <c r="I671" s="174">
        <f>IFERROR(IF(AND(H671&gt;0,E671&gt;0),H671/E671,""),"")</f>
        <v/>
      </c>
      <c r="J671" s="152">
        <f>IFERROR(VALUE(SUBSTITUTE(INDEX('04A_국토부원자료'!$A:$T,ROW()+1,MATCH("층",'04A_국토부원자료'!$A$4:$T$4,0)),",","")),"")</f>
        <v/>
      </c>
      <c r="K671" s="152">
        <f>IFERROR(VALUE(SUBSTITUTE(INDEX('04A_국토부원자료'!$A:$T,ROW()+1,MATCH("건축년도",'04A_국토부원자료'!$A$4:$T$4,0)),",","")),"")</f>
        <v/>
      </c>
      <c r="L671" s="176">
        <f>IFERROR(INDEX('04A_국토부원자료'!$A:$T,ROW()+1,MATCH("도로명",'04A_국토부원자료'!$A$4:$T$4,0)),"")</f>
        <v/>
      </c>
      <c r="M671" s="48">
        <f>IFERROR(INDEX('04A_국토부원자료'!$A:$T,ROW()+1,MATCH("거래유형",'04A_국토부원자료'!$A$4:$T$4,0)),"")</f>
        <v/>
      </c>
      <c r="N671" s="152">
        <f>IF(B671="","",IF('02_대상물건입력'!B5="",1,IF(ISNUMBER(SEARCH('02_대상물건입력'!B5,B671)),1,0)))</f>
        <v/>
      </c>
      <c r="O671" s="152">
        <f>IF(B671="","",IF('02_대상물건입력'!B6="",1,IF(ISNUMBER(SEARCH('02_대상물건입력'!B6,B671)),1,0)))</f>
        <v/>
      </c>
      <c r="P671" s="152">
        <f>IF(L671="","",IF('02_대상물건입력'!B15="",0,IF(ISNUMBER(SEARCH('02_대상물건입력'!B15,L671)),1,0)))</f>
        <v/>
      </c>
      <c r="Q671" s="152">
        <f>IF(OR(C671="",L671=""),0,IF(AND(TRIM(C671)=TRIM(RIGHT(SUBSTITUTE(TRIM('02_대상물건입력'!$B$7)," ",REPT(" ",99)),99)),IF('02_대상물건입력'!B15="",TRUE(),ISNUMBER(SEARCH('02_대상물건입력'!B15,L671)))),1,0))</f>
        <v/>
      </c>
      <c r="R671" s="175">
        <f>IFERROR(ABS(E671-'02_대상물건입력'!B11)/'02_대상물건입력'!B11,"")</f>
        <v/>
      </c>
      <c r="S671" s="152">
        <f>IFERROR(ABS(J671-'02_대상물건입력'!B10),"")</f>
        <v/>
      </c>
      <c r="T671" s="152">
        <f>IFERROR(ABS('01_설정'!B4-F671),"")</f>
        <v/>
      </c>
      <c r="U671" s="152">
        <f>IFERROR(ABS(K671-YEAR('02_대상물건입력'!B14)),"")</f>
        <v/>
      </c>
      <c r="V671" s="152">
        <f>IF(B671="","",IF(AND(E671&gt;0,F671&gt;0,H671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671=1,TRUE()),R671&lt;='01_설정'!B5,S671&lt;='01_설정'!B6,T671&lt;='01_설정'!B7,U671&lt;='01_설정'!B8),"Y",""))</f>
        <v/>
      </c>
      <c r="W671" s="172">
        <f>IF(V671&lt;&gt;"Y","",MAX(0,(1-R671/'01_설정'!B5))*'01_설정'!B14+MAX(0,(1-S671/'01_설정'!B6))*'01_설정'!B15+MAX(0,(1-T671/'01_설정'!B7))*'01_설정'!B16+MAX(0,(1-U671/'01_설정'!B8))*'01_설정'!B17+O671*'01_설정'!B11+Q671*'01_설정'!B12+P671*'01_설정'!B13+IF(Z671="",0,Z671))</f>
        <v/>
      </c>
      <c r="X671" s="152">
        <f>IF(W671="","",1+COUNTIFS($W$4:$W$3003,"&gt;"&amp;W671)+COUNTIFS($W$4:W671,W671)-1)</f>
        <v/>
      </c>
      <c r="Y671" s="175">
        <f>IF(OR(I671="",'02_대상물건입력'!B19="",'02_대상물건입력'!B19&lt;=0),"",ABS(I671-'02_대상물건입력'!B19)/'02_대상물건입력'!B19)</f>
        <v/>
      </c>
      <c r="Z671" s="172">
        <f>IF(OR(Y671="",'01_설정'!B31="",'01_설정'!B31&lt;=0,'01_설정'!B32="",'01_설정'!B32&lt;=0),"",MAX(0,(1-Y671/'01_설정'!B32))*'01_설정'!B31)</f>
        <v/>
      </c>
    </row>
    <row r="672" ht="17.25" customHeight="1">
      <c r="A672" s="152">
        <f>IF(INDEX('04A_국토부원자료'!$A:$A,ROW()+1)="","",ROW()-3)</f>
        <v/>
      </c>
      <c r="B672" s="48">
        <f>IFERROR(INDEX('04A_국토부원자료'!$A:$T,ROW()+1,MATCH("시군구",'04A_국토부원자료'!$A$4:$T$4,0)),"")</f>
        <v/>
      </c>
      <c r="C672" s="48">
        <f>IF(B672="","",IFERROR(INDEX('04A_국토부원자료'!$A:$T,ROW()+1,MATCH("번지",'04A_국토부원자료'!$A$4:$T$4,0)),""))</f>
        <v/>
      </c>
      <c r="D672" s="48">
        <f>IF(B672="","",IF(Q672=1,'02_대상물건입력'!$B$8,IFERROR(INDEX('04A_국토부원자료'!$A:$T,ROW()+1,MATCH("단지명",'04A_국토부원자료'!$A$4:$T$4,0)),"")))</f>
        <v/>
      </c>
      <c r="E672" s="172">
        <f>IFERROR(VALUE(SUBSTITUTE(INDEX('04A_국토부원자료'!$A:$T,ROW()+1,MATCH("전용면적(㎡)",'04A_국토부원자료'!$A$4:$T$4,0)),",","")),"")</f>
        <v/>
      </c>
      <c r="F6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72" s="51">
        <f>IFERROR(VALUE(SUBSTITUTE(INDEX('04A_국토부원자료'!$A:$T,ROW()+1,MATCH("거래금액(만원)",'04A_국토부원자료'!$A$4:$T$4,0)),",","")),"")</f>
        <v/>
      </c>
      <c r="H672" s="174">
        <f>IF(G672="","",G672*10000)</f>
        <v/>
      </c>
      <c r="I672" s="174">
        <f>IFERROR(IF(AND(H672&gt;0,E672&gt;0),H672/E672,""),"")</f>
        <v/>
      </c>
      <c r="J672" s="152">
        <f>IFERROR(VALUE(SUBSTITUTE(INDEX('04A_국토부원자료'!$A:$T,ROW()+1,MATCH("층",'04A_국토부원자료'!$A$4:$T$4,0)),",","")),"")</f>
        <v/>
      </c>
      <c r="K672" s="152">
        <f>IFERROR(VALUE(SUBSTITUTE(INDEX('04A_국토부원자료'!$A:$T,ROW()+1,MATCH("건축년도",'04A_국토부원자료'!$A$4:$T$4,0)),",","")),"")</f>
        <v/>
      </c>
      <c r="L672" s="176">
        <f>IFERROR(INDEX('04A_국토부원자료'!$A:$T,ROW()+1,MATCH("도로명",'04A_국토부원자료'!$A$4:$T$4,0)),"")</f>
        <v/>
      </c>
      <c r="M672" s="48">
        <f>IFERROR(INDEX('04A_국토부원자료'!$A:$T,ROW()+1,MATCH("거래유형",'04A_국토부원자료'!$A$4:$T$4,0)),"")</f>
        <v/>
      </c>
      <c r="N672" s="152">
        <f>IF(B672="","",IF('02_대상물건입력'!B5="",1,IF(ISNUMBER(SEARCH('02_대상물건입력'!B5,B672)),1,0)))</f>
        <v/>
      </c>
      <c r="O672" s="152">
        <f>IF(B672="","",IF('02_대상물건입력'!B6="",1,IF(ISNUMBER(SEARCH('02_대상물건입력'!B6,B672)),1,0)))</f>
        <v/>
      </c>
      <c r="P672" s="152">
        <f>IF(L672="","",IF('02_대상물건입력'!B15="",0,IF(ISNUMBER(SEARCH('02_대상물건입력'!B15,L672)),1,0)))</f>
        <v/>
      </c>
      <c r="Q672" s="152">
        <f>IF(OR(C672="",L672=""),0,IF(AND(TRIM(C672)=TRIM(RIGHT(SUBSTITUTE(TRIM('02_대상물건입력'!$B$7)," ",REPT(" ",99)),99)),IF('02_대상물건입력'!B15="",TRUE(),ISNUMBER(SEARCH('02_대상물건입력'!B15,L672)))),1,0))</f>
        <v/>
      </c>
      <c r="R672" s="175">
        <f>IFERROR(ABS(E672-'02_대상물건입력'!B11)/'02_대상물건입력'!B11,"")</f>
        <v/>
      </c>
      <c r="S672" s="152">
        <f>IFERROR(ABS(J672-'02_대상물건입력'!B10),"")</f>
        <v/>
      </c>
      <c r="T672" s="152">
        <f>IFERROR(ABS('01_설정'!B4-F672),"")</f>
        <v/>
      </c>
      <c r="U672" s="152">
        <f>IFERROR(ABS(K672-YEAR('02_대상물건입력'!B14)),"")</f>
        <v/>
      </c>
      <c r="V672" s="152">
        <f>IF(B672="","",IF(AND(E672&gt;0,F672&gt;0,H672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672=1,TRUE()),R672&lt;='01_설정'!B5,S672&lt;='01_설정'!B6,T672&lt;='01_설정'!B7,U672&lt;='01_설정'!B8),"Y",""))</f>
        <v/>
      </c>
      <c r="W672" s="172">
        <f>IF(V672&lt;&gt;"Y","",MAX(0,(1-R672/'01_설정'!B5))*'01_설정'!B14+MAX(0,(1-S672/'01_설정'!B6))*'01_설정'!B15+MAX(0,(1-T672/'01_설정'!B7))*'01_설정'!B16+MAX(0,(1-U672/'01_설정'!B8))*'01_설정'!B17+O672*'01_설정'!B11+Q672*'01_설정'!B12+P672*'01_설정'!B13+IF(Z672="",0,Z672))</f>
        <v/>
      </c>
      <c r="X672" s="152">
        <f>IF(W672="","",1+COUNTIFS($W$4:$W$3003,"&gt;"&amp;W672)+COUNTIFS($W$4:W672,W672)-1)</f>
        <v/>
      </c>
      <c r="Y672" s="175">
        <f>IF(OR(I672="",'02_대상물건입력'!B19="",'02_대상물건입력'!B19&lt;=0),"",ABS(I672-'02_대상물건입력'!B19)/'02_대상물건입력'!B19)</f>
        <v/>
      </c>
      <c r="Z672" s="172">
        <f>IF(OR(Y672="",'01_설정'!B31="",'01_설정'!B31&lt;=0,'01_설정'!B32="",'01_설정'!B32&lt;=0),"",MAX(0,(1-Y672/'01_설정'!B32))*'01_설정'!B31)</f>
        <v/>
      </c>
    </row>
    <row r="673" ht="17.25" customHeight="1">
      <c r="A673" s="152">
        <f>IF(INDEX('04A_국토부원자료'!$A:$A,ROW()+1)="","",ROW()-3)</f>
        <v/>
      </c>
      <c r="B673" s="48">
        <f>IFERROR(INDEX('04A_국토부원자료'!$A:$T,ROW()+1,MATCH("시군구",'04A_국토부원자료'!$A$4:$T$4,0)),"")</f>
        <v/>
      </c>
      <c r="C673" s="48">
        <f>IF(B673="","",IFERROR(INDEX('04A_국토부원자료'!$A:$T,ROW()+1,MATCH("번지",'04A_국토부원자료'!$A$4:$T$4,0)),""))</f>
        <v/>
      </c>
      <c r="D673" s="48">
        <f>IF(B673="","",IF(Q673=1,'02_대상물건입력'!$B$8,IFERROR(INDEX('04A_국토부원자료'!$A:$T,ROW()+1,MATCH("단지명",'04A_국토부원자료'!$A$4:$T$4,0)),"")))</f>
        <v/>
      </c>
      <c r="E673" s="172">
        <f>IFERROR(VALUE(SUBSTITUTE(INDEX('04A_국토부원자료'!$A:$T,ROW()+1,MATCH("전용면적(㎡)",'04A_국토부원자료'!$A$4:$T$4,0)),",","")),"")</f>
        <v/>
      </c>
      <c r="F6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73" s="51">
        <f>IFERROR(VALUE(SUBSTITUTE(INDEX('04A_국토부원자료'!$A:$T,ROW()+1,MATCH("거래금액(만원)",'04A_국토부원자료'!$A$4:$T$4,0)),",","")),"")</f>
        <v/>
      </c>
      <c r="H673" s="174">
        <f>IF(G673="","",G673*10000)</f>
        <v/>
      </c>
      <c r="I673" s="174">
        <f>IFERROR(IF(AND(H673&gt;0,E673&gt;0),H673/E673,""),"")</f>
        <v/>
      </c>
      <c r="J673" s="152">
        <f>IFERROR(VALUE(SUBSTITUTE(INDEX('04A_국토부원자료'!$A:$T,ROW()+1,MATCH("층",'04A_국토부원자료'!$A$4:$T$4,0)),",","")),"")</f>
        <v/>
      </c>
      <c r="K673" s="152">
        <f>IFERROR(VALUE(SUBSTITUTE(INDEX('04A_국토부원자료'!$A:$T,ROW()+1,MATCH("건축년도",'04A_국토부원자료'!$A$4:$T$4,0)),",","")),"")</f>
        <v/>
      </c>
      <c r="L673" s="176">
        <f>IFERROR(INDEX('04A_국토부원자료'!$A:$T,ROW()+1,MATCH("도로명",'04A_국토부원자료'!$A$4:$T$4,0)),"")</f>
        <v/>
      </c>
      <c r="M673" s="48">
        <f>IFERROR(INDEX('04A_국토부원자료'!$A:$T,ROW()+1,MATCH("거래유형",'04A_국토부원자료'!$A$4:$T$4,0)),"")</f>
        <v/>
      </c>
      <c r="N673" s="152">
        <f>IF(B673="","",IF('02_대상물건입력'!B5="",1,IF(ISNUMBER(SEARCH('02_대상물건입력'!B5,B673)),1,0)))</f>
        <v/>
      </c>
      <c r="O673" s="152">
        <f>IF(B673="","",IF('02_대상물건입력'!B6="",1,IF(ISNUMBER(SEARCH('02_대상물건입력'!B6,B673)),1,0)))</f>
        <v/>
      </c>
      <c r="P673" s="152">
        <f>IF(L673="","",IF('02_대상물건입력'!B15="",0,IF(ISNUMBER(SEARCH('02_대상물건입력'!B15,L673)),1,0)))</f>
        <v/>
      </c>
      <c r="Q673" s="152">
        <f>IF(OR(C673="",L673=""),0,IF(AND(TRIM(C673)=TRIM(RIGHT(SUBSTITUTE(TRIM('02_대상물건입력'!$B$7)," ",REPT(" ",99)),99)),IF('02_대상물건입력'!B15="",TRUE(),ISNUMBER(SEARCH('02_대상물건입력'!B15,L673)))),1,0))</f>
        <v/>
      </c>
      <c r="R673" s="175">
        <f>IFERROR(ABS(E673-'02_대상물건입력'!B11)/'02_대상물건입력'!B11,"")</f>
        <v/>
      </c>
      <c r="S673" s="152">
        <f>IFERROR(ABS(J673-'02_대상물건입력'!B10),"")</f>
        <v/>
      </c>
      <c r="T673" s="152">
        <f>IFERROR(ABS('01_설정'!B4-F673),"")</f>
        <v/>
      </c>
      <c r="U673" s="152">
        <f>IFERROR(ABS(K673-YEAR('02_대상물건입력'!B14)),"")</f>
        <v/>
      </c>
      <c r="V673" s="152">
        <f>IF(B673="","",IF(AND(E673&gt;0,F673&gt;0,H673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673=1,TRUE()),R673&lt;='01_설정'!B5,S673&lt;='01_설정'!B6,T673&lt;='01_설정'!B7,U673&lt;='01_설정'!B8),"Y",""))</f>
        <v/>
      </c>
      <c r="W673" s="172">
        <f>IF(V673&lt;&gt;"Y","",MAX(0,(1-R673/'01_설정'!B5))*'01_설정'!B14+MAX(0,(1-S673/'01_설정'!B6))*'01_설정'!B15+MAX(0,(1-T673/'01_설정'!B7))*'01_설정'!B16+MAX(0,(1-U673/'01_설정'!B8))*'01_설정'!B17+O673*'01_설정'!B11+Q673*'01_설정'!B12+P673*'01_설정'!B13+IF(Z673="",0,Z673))</f>
        <v/>
      </c>
      <c r="X673" s="152">
        <f>IF(W673="","",1+COUNTIFS($W$4:$W$3003,"&gt;"&amp;W673)+COUNTIFS($W$4:W673,W673)-1)</f>
        <v/>
      </c>
      <c r="Y673" s="175">
        <f>IF(OR(I673="",'02_대상물건입력'!B19="",'02_대상물건입력'!B19&lt;=0),"",ABS(I673-'02_대상물건입력'!B19)/'02_대상물건입력'!B19)</f>
        <v/>
      </c>
      <c r="Z673" s="172">
        <f>IF(OR(Y673="",'01_설정'!B31="",'01_설정'!B31&lt;=0,'01_설정'!B32="",'01_설정'!B32&lt;=0),"",MAX(0,(1-Y673/'01_설정'!B32))*'01_설정'!B31)</f>
        <v/>
      </c>
    </row>
    <row r="674" ht="17.25" customHeight="1">
      <c r="A674" s="152">
        <f>IF(INDEX('04A_국토부원자료'!$A:$A,ROW()+1)="","",ROW()-3)</f>
        <v/>
      </c>
      <c r="B674" s="48">
        <f>IFERROR(INDEX('04A_국토부원자료'!$A:$T,ROW()+1,MATCH("시군구",'04A_국토부원자료'!$A$4:$T$4,0)),"")</f>
        <v/>
      </c>
      <c r="C674" s="48">
        <f>IF(B674="","",IFERROR(INDEX('04A_국토부원자료'!$A:$T,ROW()+1,MATCH("번지",'04A_국토부원자료'!$A$4:$T$4,0)),""))</f>
        <v/>
      </c>
      <c r="D674" s="48">
        <f>IF(B674="","",IF(Q674=1,'02_대상물건입력'!$B$8,IFERROR(INDEX('04A_국토부원자료'!$A:$T,ROW()+1,MATCH("단지명",'04A_국토부원자료'!$A$4:$T$4,0)),"")))</f>
        <v/>
      </c>
      <c r="E674" s="172">
        <f>IFERROR(VALUE(SUBSTITUTE(INDEX('04A_국토부원자료'!$A:$T,ROW()+1,MATCH("전용면적(㎡)",'04A_국토부원자료'!$A$4:$T$4,0)),",","")),"")</f>
        <v/>
      </c>
      <c r="F6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74" s="51">
        <f>IFERROR(VALUE(SUBSTITUTE(INDEX('04A_국토부원자료'!$A:$T,ROW()+1,MATCH("거래금액(만원)",'04A_국토부원자료'!$A$4:$T$4,0)),",","")),"")</f>
        <v/>
      </c>
      <c r="H674" s="174">
        <f>IF(G674="","",G674*10000)</f>
        <v/>
      </c>
      <c r="I674" s="174">
        <f>IFERROR(IF(AND(H674&gt;0,E674&gt;0),H674/E674,""),"")</f>
        <v/>
      </c>
      <c r="J674" s="152">
        <f>IFERROR(VALUE(SUBSTITUTE(INDEX('04A_국토부원자료'!$A:$T,ROW()+1,MATCH("층",'04A_국토부원자료'!$A$4:$T$4,0)),",","")),"")</f>
        <v/>
      </c>
      <c r="K674" s="152">
        <f>IFERROR(VALUE(SUBSTITUTE(INDEX('04A_국토부원자료'!$A:$T,ROW()+1,MATCH("건축년도",'04A_국토부원자료'!$A$4:$T$4,0)),",","")),"")</f>
        <v/>
      </c>
      <c r="L674" s="176">
        <f>IFERROR(INDEX('04A_국토부원자료'!$A:$T,ROW()+1,MATCH("도로명",'04A_국토부원자료'!$A$4:$T$4,0)),"")</f>
        <v/>
      </c>
      <c r="M674" s="48">
        <f>IFERROR(INDEX('04A_국토부원자료'!$A:$T,ROW()+1,MATCH("거래유형",'04A_국토부원자료'!$A$4:$T$4,0)),"")</f>
        <v/>
      </c>
      <c r="N674" s="152">
        <f>IF(B674="","",IF('02_대상물건입력'!B5="",1,IF(ISNUMBER(SEARCH('02_대상물건입력'!B5,B674)),1,0)))</f>
        <v/>
      </c>
      <c r="O674" s="152">
        <f>IF(B674="","",IF('02_대상물건입력'!B6="",1,IF(ISNUMBER(SEARCH('02_대상물건입력'!B6,B674)),1,0)))</f>
        <v/>
      </c>
      <c r="P674" s="152">
        <f>IF(L674="","",IF('02_대상물건입력'!B15="",0,IF(ISNUMBER(SEARCH('02_대상물건입력'!B15,L674)),1,0)))</f>
        <v/>
      </c>
      <c r="Q674" s="152">
        <f>IF(OR(C674="",L674=""),0,IF(AND(TRIM(C674)=TRIM(RIGHT(SUBSTITUTE(TRIM('02_대상물건입력'!$B$7)," ",REPT(" ",99)),99)),IF('02_대상물건입력'!B15="",TRUE(),ISNUMBER(SEARCH('02_대상물건입력'!B15,L674)))),1,0))</f>
        <v/>
      </c>
      <c r="R674" s="175">
        <f>IFERROR(ABS(E674-'02_대상물건입력'!B11)/'02_대상물건입력'!B11,"")</f>
        <v/>
      </c>
      <c r="S674" s="152">
        <f>IFERROR(ABS(J674-'02_대상물건입력'!B10),"")</f>
        <v/>
      </c>
      <c r="T674" s="152">
        <f>IFERROR(ABS('01_설정'!B4-F674),"")</f>
        <v/>
      </c>
      <c r="U674" s="152">
        <f>IFERROR(ABS(K674-YEAR('02_대상물건입력'!B14)),"")</f>
        <v/>
      </c>
      <c r="V674" s="152">
        <f>IF(B674="","",IF(AND(E674&gt;0,F674&gt;0,H674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674=1,TRUE()),R674&lt;='01_설정'!B5,S674&lt;='01_설정'!B6,T674&lt;='01_설정'!B7,U674&lt;='01_설정'!B8),"Y",""))</f>
        <v/>
      </c>
      <c r="W674" s="172">
        <f>IF(V674&lt;&gt;"Y","",MAX(0,(1-R674/'01_설정'!B5))*'01_설정'!B14+MAX(0,(1-S674/'01_설정'!B6))*'01_설정'!B15+MAX(0,(1-T674/'01_설정'!B7))*'01_설정'!B16+MAX(0,(1-U674/'01_설정'!B8))*'01_설정'!B17+O674*'01_설정'!B11+Q674*'01_설정'!B12+P674*'01_설정'!B13+IF(Z674="",0,Z674))</f>
        <v/>
      </c>
      <c r="X674" s="152">
        <f>IF(W674="","",1+COUNTIFS($W$4:$W$3003,"&gt;"&amp;W674)+COUNTIFS($W$4:W674,W674)-1)</f>
        <v/>
      </c>
      <c r="Y674" s="175">
        <f>IF(OR(I674="",'02_대상물건입력'!B19="",'02_대상물건입력'!B19&lt;=0),"",ABS(I674-'02_대상물건입력'!B19)/'02_대상물건입력'!B19)</f>
        <v/>
      </c>
      <c r="Z674" s="172">
        <f>IF(OR(Y674="",'01_설정'!B31="",'01_설정'!B31&lt;=0,'01_설정'!B32="",'01_설정'!B32&lt;=0),"",MAX(0,(1-Y674/'01_설정'!B32))*'01_설정'!B31)</f>
        <v/>
      </c>
    </row>
    <row r="675" ht="17.25" customHeight="1">
      <c r="A675" s="152">
        <f>IF(INDEX('04A_국토부원자료'!$A:$A,ROW()+1)="","",ROW()-3)</f>
        <v/>
      </c>
      <c r="B675" s="48">
        <f>IFERROR(INDEX('04A_국토부원자료'!$A:$T,ROW()+1,MATCH("시군구",'04A_국토부원자료'!$A$4:$T$4,0)),"")</f>
        <v/>
      </c>
      <c r="C675" s="48">
        <f>IF(B675="","",IFERROR(INDEX('04A_국토부원자료'!$A:$T,ROW()+1,MATCH("번지",'04A_국토부원자료'!$A$4:$T$4,0)),""))</f>
        <v/>
      </c>
      <c r="D675" s="48">
        <f>IF(B675="","",IF(Q675=1,'02_대상물건입력'!$B$8,IFERROR(INDEX('04A_국토부원자료'!$A:$T,ROW()+1,MATCH("단지명",'04A_국토부원자료'!$A$4:$T$4,0)),"")))</f>
        <v/>
      </c>
      <c r="E675" s="172">
        <f>IFERROR(VALUE(SUBSTITUTE(INDEX('04A_국토부원자료'!$A:$T,ROW()+1,MATCH("전용면적(㎡)",'04A_국토부원자료'!$A$4:$T$4,0)),",","")),"")</f>
        <v/>
      </c>
      <c r="F6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75" s="51">
        <f>IFERROR(VALUE(SUBSTITUTE(INDEX('04A_국토부원자료'!$A:$T,ROW()+1,MATCH("거래금액(만원)",'04A_국토부원자료'!$A$4:$T$4,0)),",","")),"")</f>
        <v/>
      </c>
      <c r="H675" s="174">
        <f>IF(G675="","",G675*10000)</f>
        <v/>
      </c>
      <c r="I675" s="174">
        <f>IFERROR(IF(AND(H675&gt;0,E675&gt;0),H675/E675,""),"")</f>
        <v/>
      </c>
      <c r="J675" s="152">
        <f>IFERROR(VALUE(SUBSTITUTE(INDEX('04A_국토부원자료'!$A:$T,ROW()+1,MATCH("층",'04A_국토부원자료'!$A$4:$T$4,0)),",","")),"")</f>
        <v/>
      </c>
      <c r="K675" s="152">
        <f>IFERROR(VALUE(SUBSTITUTE(INDEX('04A_국토부원자료'!$A:$T,ROW()+1,MATCH("건축년도",'04A_국토부원자료'!$A$4:$T$4,0)),",","")),"")</f>
        <v/>
      </c>
      <c r="L675" s="176">
        <f>IFERROR(INDEX('04A_국토부원자료'!$A:$T,ROW()+1,MATCH("도로명",'04A_국토부원자료'!$A$4:$T$4,0)),"")</f>
        <v/>
      </c>
      <c r="M675" s="48">
        <f>IFERROR(INDEX('04A_국토부원자료'!$A:$T,ROW()+1,MATCH("거래유형",'04A_국토부원자료'!$A$4:$T$4,0)),"")</f>
        <v/>
      </c>
      <c r="N675" s="152">
        <f>IF(B675="","",IF('02_대상물건입력'!B5="",1,IF(ISNUMBER(SEARCH('02_대상물건입력'!B5,B675)),1,0)))</f>
        <v/>
      </c>
      <c r="O675" s="152">
        <f>IF(B675="","",IF('02_대상물건입력'!B6="",1,IF(ISNUMBER(SEARCH('02_대상물건입력'!B6,B675)),1,0)))</f>
        <v/>
      </c>
      <c r="P675" s="152">
        <f>IF(L675="","",IF('02_대상물건입력'!B15="",0,IF(ISNUMBER(SEARCH('02_대상물건입력'!B15,L675)),1,0)))</f>
        <v/>
      </c>
      <c r="Q675" s="152">
        <f>IF(OR(C675="",L675=""),0,IF(AND(TRIM(C675)=TRIM(RIGHT(SUBSTITUTE(TRIM('02_대상물건입력'!$B$7)," ",REPT(" ",99)),99)),IF('02_대상물건입력'!B15="",TRUE(),ISNUMBER(SEARCH('02_대상물건입력'!B15,L675)))),1,0))</f>
        <v/>
      </c>
      <c r="R675" s="175">
        <f>IFERROR(ABS(E675-'02_대상물건입력'!B11)/'02_대상물건입력'!B11,"")</f>
        <v/>
      </c>
      <c r="S675" s="152">
        <f>IFERROR(ABS(J675-'02_대상물건입력'!B10),"")</f>
        <v/>
      </c>
      <c r="T675" s="152">
        <f>IFERROR(ABS('01_설정'!B4-F675),"")</f>
        <v/>
      </c>
      <c r="U675" s="152">
        <f>IFERROR(ABS(K675-YEAR('02_대상물건입력'!B14)),"")</f>
        <v/>
      </c>
      <c r="V675" s="152">
        <f>IF(B675="","",IF(AND(E675&gt;0,F675&gt;0,H675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675=1,TRUE()),R675&lt;='01_설정'!B5,S675&lt;='01_설정'!B6,T675&lt;='01_설정'!B7,U675&lt;='01_설정'!B8),"Y",""))</f>
        <v/>
      </c>
      <c r="W675" s="172">
        <f>IF(V675&lt;&gt;"Y","",MAX(0,(1-R675/'01_설정'!B5))*'01_설정'!B14+MAX(0,(1-S675/'01_설정'!B6))*'01_설정'!B15+MAX(0,(1-T675/'01_설정'!B7))*'01_설정'!B16+MAX(0,(1-U675/'01_설정'!B8))*'01_설정'!B17+O675*'01_설정'!B11+Q675*'01_설정'!B12+P675*'01_설정'!B13+IF(Z675="",0,Z675))</f>
        <v/>
      </c>
      <c r="X675" s="152">
        <f>IF(W675="","",1+COUNTIFS($W$4:$W$3003,"&gt;"&amp;W675)+COUNTIFS($W$4:W675,W675)-1)</f>
        <v/>
      </c>
      <c r="Y675" s="175">
        <f>IF(OR(I675="",'02_대상물건입력'!B19="",'02_대상물건입력'!B19&lt;=0),"",ABS(I675-'02_대상물건입력'!B19)/'02_대상물건입력'!B19)</f>
        <v/>
      </c>
      <c r="Z675" s="172">
        <f>IF(OR(Y675="",'01_설정'!B31="",'01_설정'!B31&lt;=0,'01_설정'!B32="",'01_설정'!B32&lt;=0),"",MAX(0,(1-Y675/'01_설정'!B32))*'01_설정'!B31)</f>
        <v/>
      </c>
    </row>
    <row r="676" ht="17.25" customHeight="1">
      <c r="A676" s="152">
        <f>IF(INDEX('04A_국토부원자료'!$A:$A,ROW()+1)="","",ROW()-3)</f>
        <v/>
      </c>
      <c r="B676" s="48">
        <f>IFERROR(INDEX('04A_국토부원자료'!$A:$T,ROW()+1,MATCH("시군구",'04A_국토부원자료'!$A$4:$T$4,0)),"")</f>
        <v/>
      </c>
      <c r="C676" s="48">
        <f>IF(B676="","",IFERROR(INDEX('04A_국토부원자료'!$A:$T,ROW()+1,MATCH("번지",'04A_국토부원자료'!$A$4:$T$4,0)),""))</f>
        <v/>
      </c>
      <c r="D676" s="48">
        <f>IF(B676="","",IF(Q676=1,'02_대상물건입력'!$B$8,IFERROR(INDEX('04A_국토부원자료'!$A:$T,ROW()+1,MATCH("단지명",'04A_국토부원자료'!$A$4:$T$4,0)),"")))</f>
        <v/>
      </c>
      <c r="E676" s="172">
        <f>IFERROR(VALUE(SUBSTITUTE(INDEX('04A_국토부원자료'!$A:$T,ROW()+1,MATCH("전용면적(㎡)",'04A_국토부원자료'!$A$4:$T$4,0)),",","")),"")</f>
        <v/>
      </c>
      <c r="F6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76" s="51">
        <f>IFERROR(VALUE(SUBSTITUTE(INDEX('04A_국토부원자료'!$A:$T,ROW()+1,MATCH("거래금액(만원)",'04A_국토부원자료'!$A$4:$T$4,0)),",","")),"")</f>
        <v/>
      </c>
      <c r="H676" s="174">
        <f>IF(G676="","",G676*10000)</f>
        <v/>
      </c>
      <c r="I676" s="174">
        <f>IFERROR(IF(AND(H676&gt;0,E676&gt;0),H676/E676,""),"")</f>
        <v/>
      </c>
      <c r="J676" s="152">
        <f>IFERROR(VALUE(SUBSTITUTE(INDEX('04A_국토부원자료'!$A:$T,ROW()+1,MATCH("층",'04A_국토부원자료'!$A$4:$T$4,0)),",","")),"")</f>
        <v/>
      </c>
      <c r="K676" s="152">
        <f>IFERROR(VALUE(SUBSTITUTE(INDEX('04A_국토부원자료'!$A:$T,ROW()+1,MATCH("건축년도",'04A_국토부원자료'!$A$4:$T$4,0)),",","")),"")</f>
        <v/>
      </c>
      <c r="L676" s="176">
        <f>IFERROR(INDEX('04A_국토부원자료'!$A:$T,ROW()+1,MATCH("도로명",'04A_국토부원자료'!$A$4:$T$4,0)),"")</f>
        <v/>
      </c>
      <c r="M676" s="48">
        <f>IFERROR(INDEX('04A_국토부원자료'!$A:$T,ROW()+1,MATCH("거래유형",'04A_국토부원자료'!$A$4:$T$4,0)),"")</f>
        <v/>
      </c>
      <c r="N676" s="152">
        <f>IF(B676="","",IF('02_대상물건입력'!B5="",1,IF(ISNUMBER(SEARCH('02_대상물건입력'!B5,B676)),1,0)))</f>
        <v/>
      </c>
      <c r="O676" s="152">
        <f>IF(B676="","",IF('02_대상물건입력'!B6="",1,IF(ISNUMBER(SEARCH('02_대상물건입력'!B6,B676)),1,0)))</f>
        <v/>
      </c>
      <c r="P676" s="152">
        <f>IF(L676="","",IF('02_대상물건입력'!B15="",0,IF(ISNUMBER(SEARCH('02_대상물건입력'!B15,L676)),1,0)))</f>
        <v/>
      </c>
      <c r="Q676" s="152">
        <f>IF(OR(C676="",L676=""),0,IF(AND(TRIM(C676)=TRIM(RIGHT(SUBSTITUTE(TRIM('02_대상물건입력'!$B$7)," ",REPT(" ",99)),99)),IF('02_대상물건입력'!B15="",TRUE(),ISNUMBER(SEARCH('02_대상물건입력'!B15,L676)))),1,0))</f>
        <v/>
      </c>
      <c r="R676" s="175">
        <f>IFERROR(ABS(E676-'02_대상물건입력'!B11)/'02_대상물건입력'!B11,"")</f>
        <v/>
      </c>
      <c r="S676" s="152">
        <f>IFERROR(ABS(J676-'02_대상물건입력'!B10),"")</f>
        <v/>
      </c>
      <c r="T676" s="152">
        <f>IFERROR(ABS('01_설정'!B4-F676),"")</f>
        <v/>
      </c>
      <c r="U676" s="152">
        <f>IFERROR(ABS(K676-YEAR('02_대상물건입력'!B14)),"")</f>
        <v/>
      </c>
      <c r="V676" s="152">
        <f>IF(B676="","",IF(AND(E676&gt;0,F676&gt;0,H676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676=1,TRUE()),R676&lt;='01_설정'!B5,S676&lt;='01_설정'!B6,T676&lt;='01_설정'!B7,U676&lt;='01_설정'!B8),"Y",""))</f>
        <v/>
      </c>
      <c r="W676" s="172">
        <f>IF(V676&lt;&gt;"Y","",MAX(0,(1-R676/'01_설정'!B5))*'01_설정'!B14+MAX(0,(1-S676/'01_설정'!B6))*'01_설정'!B15+MAX(0,(1-T676/'01_설정'!B7))*'01_설정'!B16+MAX(0,(1-U676/'01_설정'!B8))*'01_설정'!B17+O676*'01_설정'!B11+Q676*'01_설정'!B12+P676*'01_설정'!B13+IF(Z676="",0,Z676))</f>
        <v/>
      </c>
      <c r="X676" s="152">
        <f>IF(W676="","",1+COUNTIFS($W$4:$W$3003,"&gt;"&amp;W676)+COUNTIFS($W$4:W676,W676)-1)</f>
        <v/>
      </c>
      <c r="Y676" s="175">
        <f>IF(OR(I676="",'02_대상물건입력'!B19="",'02_대상물건입력'!B19&lt;=0),"",ABS(I676-'02_대상물건입력'!B19)/'02_대상물건입력'!B19)</f>
        <v/>
      </c>
      <c r="Z676" s="172">
        <f>IF(OR(Y676="",'01_설정'!B31="",'01_설정'!B31&lt;=0,'01_설정'!B32="",'01_설정'!B32&lt;=0),"",MAX(0,(1-Y676/'01_설정'!B32))*'01_설정'!B31)</f>
        <v/>
      </c>
    </row>
    <row r="677" ht="17.25" customHeight="1">
      <c r="A677" s="152">
        <f>IF(INDEX('04A_국토부원자료'!$A:$A,ROW()+1)="","",ROW()-3)</f>
        <v/>
      </c>
      <c r="B677" s="48">
        <f>IFERROR(INDEX('04A_국토부원자료'!$A:$T,ROW()+1,MATCH("시군구",'04A_국토부원자료'!$A$4:$T$4,0)),"")</f>
        <v/>
      </c>
      <c r="C677" s="48">
        <f>IF(B677="","",IFERROR(INDEX('04A_국토부원자료'!$A:$T,ROW()+1,MATCH("번지",'04A_국토부원자료'!$A$4:$T$4,0)),""))</f>
        <v/>
      </c>
      <c r="D677" s="48">
        <f>IF(B677="","",IF(Q677=1,'02_대상물건입력'!$B$8,IFERROR(INDEX('04A_국토부원자료'!$A:$T,ROW()+1,MATCH("단지명",'04A_국토부원자료'!$A$4:$T$4,0)),"")))</f>
        <v/>
      </c>
      <c r="E677" s="172">
        <f>IFERROR(VALUE(SUBSTITUTE(INDEX('04A_국토부원자료'!$A:$T,ROW()+1,MATCH("전용면적(㎡)",'04A_국토부원자료'!$A$4:$T$4,0)),",","")),"")</f>
        <v/>
      </c>
      <c r="F6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77" s="51">
        <f>IFERROR(VALUE(SUBSTITUTE(INDEX('04A_국토부원자료'!$A:$T,ROW()+1,MATCH("거래금액(만원)",'04A_국토부원자료'!$A$4:$T$4,0)),",","")),"")</f>
        <v/>
      </c>
      <c r="H677" s="174">
        <f>IF(G677="","",G677*10000)</f>
        <v/>
      </c>
      <c r="I677" s="174">
        <f>IFERROR(IF(AND(H677&gt;0,E677&gt;0),H677/E677,""),"")</f>
        <v/>
      </c>
      <c r="J677" s="152">
        <f>IFERROR(VALUE(SUBSTITUTE(INDEX('04A_국토부원자료'!$A:$T,ROW()+1,MATCH("층",'04A_국토부원자료'!$A$4:$T$4,0)),",","")),"")</f>
        <v/>
      </c>
      <c r="K677" s="152">
        <f>IFERROR(VALUE(SUBSTITUTE(INDEX('04A_국토부원자료'!$A:$T,ROW()+1,MATCH("건축년도",'04A_국토부원자료'!$A$4:$T$4,0)),",","")),"")</f>
        <v/>
      </c>
      <c r="L677" s="176">
        <f>IFERROR(INDEX('04A_국토부원자료'!$A:$T,ROW()+1,MATCH("도로명",'04A_국토부원자료'!$A$4:$T$4,0)),"")</f>
        <v/>
      </c>
      <c r="M677" s="48">
        <f>IFERROR(INDEX('04A_국토부원자료'!$A:$T,ROW()+1,MATCH("거래유형",'04A_국토부원자료'!$A$4:$T$4,0)),"")</f>
        <v/>
      </c>
      <c r="N677" s="152">
        <f>IF(B677="","",IF('02_대상물건입력'!B5="",1,IF(ISNUMBER(SEARCH('02_대상물건입력'!B5,B677)),1,0)))</f>
        <v/>
      </c>
      <c r="O677" s="152">
        <f>IF(B677="","",IF('02_대상물건입력'!B6="",1,IF(ISNUMBER(SEARCH('02_대상물건입력'!B6,B677)),1,0)))</f>
        <v/>
      </c>
      <c r="P677" s="152">
        <f>IF(L677="","",IF('02_대상물건입력'!B15="",0,IF(ISNUMBER(SEARCH('02_대상물건입력'!B15,L677)),1,0)))</f>
        <v/>
      </c>
      <c r="Q677" s="152">
        <f>IF(OR(C677="",L677=""),0,IF(AND(TRIM(C677)=TRIM(RIGHT(SUBSTITUTE(TRIM('02_대상물건입력'!$B$7)," ",REPT(" ",99)),99)),IF('02_대상물건입력'!B15="",TRUE(),ISNUMBER(SEARCH('02_대상물건입력'!B15,L677)))),1,0))</f>
        <v/>
      </c>
      <c r="R677" s="175">
        <f>IFERROR(ABS(E677-'02_대상물건입력'!B11)/'02_대상물건입력'!B11,"")</f>
        <v/>
      </c>
      <c r="S677" s="152">
        <f>IFERROR(ABS(J677-'02_대상물건입력'!B10),"")</f>
        <v/>
      </c>
      <c r="T677" s="152">
        <f>IFERROR(ABS('01_설정'!B4-F677),"")</f>
        <v/>
      </c>
      <c r="U677" s="152">
        <f>IFERROR(ABS(K677-YEAR('02_대상물건입력'!B14)),"")</f>
        <v/>
      </c>
      <c r="V677" s="152">
        <f>IF(B677="","",IF(AND(E677&gt;0,F677&gt;0,H677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677=1,TRUE()),R677&lt;='01_설정'!B5,S677&lt;='01_설정'!B6,T677&lt;='01_설정'!B7,U677&lt;='01_설정'!B8),"Y",""))</f>
        <v/>
      </c>
      <c r="W677" s="172">
        <f>IF(V677&lt;&gt;"Y","",MAX(0,(1-R677/'01_설정'!B5))*'01_설정'!B14+MAX(0,(1-S677/'01_설정'!B6))*'01_설정'!B15+MAX(0,(1-T677/'01_설정'!B7))*'01_설정'!B16+MAX(0,(1-U677/'01_설정'!B8))*'01_설정'!B17+O677*'01_설정'!B11+Q677*'01_설정'!B12+P677*'01_설정'!B13+IF(Z677="",0,Z677))</f>
        <v/>
      </c>
      <c r="X677" s="152">
        <f>IF(W677="","",1+COUNTIFS($W$4:$W$3003,"&gt;"&amp;W677)+COUNTIFS($W$4:W677,W677)-1)</f>
        <v/>
      </c>
      <c r="Y677" s="175">
        <f>IF(OR(I677="",'02_대상물건입력'!B19="",'02_대상물건입력'!B19&lt;=0),"",ABS(I677-'02_대상물건입력'!B19)/'02_대상물건입력'!B19)</f>
        <v/>
      </c>
      <c r="Z677" s="172">
        <f>IF(OR(Y677="",'01_설정'!B31="",'01_설정'!B31&lt;=0,'01_설정'!B32="",'01_설정'!B32&lt;=0),"",MAX(0,(1-Y677/'01_설정'!B32))*'01_설정'!B31)</f>
        <v/>
      </c>
    </row>
    <row r="678" ht="17.25" customHeight="1">
      <c r="A678" s="152">
        <f>IF(INDEX('04A_국토부원자료'!$A:$A,ROW()+1)="","",ROW()-3)</f>
        <v/>
      </c>
      <c r="B678" s="48">
        <f>IFERROR(INDEX('04A_국토부원자료'!$A:$T,ROW()+1,MATCH("시군구",'04A_국토부원자료'!$A$4:$T$4,0)),"")</f>
        <v/>
      </c>
      <c r="C678" s="48">
        <f>IF(B678="","",IFERROR(INDEX('04A_국토부원자료'!$A:$T,ROW()+1,MATCH("번지",'04A_국토부원자료'!$A$4:$T$4,0)),""))</f>
        <v/>
      </c>
      <c r="D678" s="48">
        <f>IF(B678="","",IF(Q678=1,'02_대상물건입력'!$B$8,IFERROR(INDEX('04A_국토부원자료'!$A:$T,ROW()+1,MATCH("단지명",'04A_국토부원자료'!$A$4:$T$4,0)),"")))</f>
        <v/>
      </c>
      <c r="E678" s="172">
        <f>IFERROR(VALUE(SUBSTITUTE(INDEX('04A_국토부원자료'!$A:$T,ROW()+1,MATCH("전용면적(㎡)",'04A_국토부원자료'!$A$4:$T$4,0)),",","")),"")</f>
        <v/>
      </c>
      <c r="F6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78" s="51">
        <f>IFERROR(VALUE(SUBSTITUTE(INDEX('04A_국토부원자료'!$A:$T,ROW()+1,MATCH("거래금액(만원)",'04A_국토부원자료'!$A$4:$T$4,0)),",","")),"")</f>
        <v/>
      </c>
      <c r="H678" s="174">
        <f>IF(G678="","",G678*10000)</f>
        <v/>
      </c>
      <c r="I678" s="174">
        <f>IFERROR(IF(AND(H678&gt;0,E678&gt;0),H678/E678,""),"")</f>
        <v/>
      </c>
      <c r="J678" s="152">
        <f>IFERROR(VALUE(SUBSTITUTE(INDEX('04A_국토부원자료'!$A:$T,ROW()+1,MATCH("층",'04A_국토부원자료'!$A$4:$T$4,0)),",","")),"")</f>
        <v/>
      </c>
      <c r="K678" s="152">
        <f>IFERROR(VALUE(SUBSTITUTE(INDEX('04A_국토부원자료'!$A:$T,ROW()+1,MATCH("건축년도",'04A_국토부원자료'!$A$4:$T$4,0)),",","")),"")</f>
        <v/>
      </c>
      <c r="L678" s="176">
        <f>IFERROR(INDEX('04A_국토부원자료'!$A:$T,ROW()+1,MATCH("도로명",'04A_국토부원자료'!$A$4:$T$4,0)),"")</f>
        <v/>
      </c>
      <c r="M678" s="48">
        <f>IFERROR(INDEX('04A_국토부원자료'!$A:$T,ROW()+1,MATCH("거래유형",'04A_국토부원자료'!$A$4:$T$4,0)),"")</f>
        <v/>
      </c>
      <c r="N678" s="152">
        <f>IF(B678="","",IF('02_대상물건입력'!B5="",1,IF(ISNUMBER(SEARCH('02_대상물건입력'!B5,B678)),1,0)))</f>
        <v/>
      </c>
      <c r="O678" s="152">
        <f>IF(B678="","",IF('02_대상물건입력'!B6="",1,IF(ISNUMBER(SEARCH('02_대상물건입력'!B6,B678)),1,0)))</f>
        <v/>
      </c>
      <c r="P678" s="152">
        <f>IF(L678="","",IF('02_대상물건입력'!B15="",0,IF(ISNUMBER(SEARCH('02_대상물건입력'!B15,L678)),1,0)))</f>
        <v/>
      </c>
      <c r="Q678" s="152">
        <f>IF(OR(C678="",L678=""),0,IF(AND(TRIM(C678)=TRIM(RIGHT(SUBSTITUTE(TRIM('02_대상물건입력'!$B$7)," ",REPT(" ",99)),99)),IF('02_대상물건입력'!B15="",TRUE(),ISNUMBER(SEARCH('02_대상물건입력'!B15,L678)))),1,0))</f>
        <v/>
      </c>
      <c r="R678" s="175">
        <f>IFERROR(ABS(E678-'02_대상물건입력'!B11)/'02_대상물건입력'!B11,"")</f>
        <v/>
      </c>
      <c r="S678" s="152">
        <f>IFERROR(ABS(J678-'02_대상물건입력'!B10),"")</f>
        <v/>
      </c>
      <c r="T678" s="152">
        <f>IFERROR(ABS('01_설정'!B4-F678),"")</f>
        <v/>
      </c>
      <c r="U678" s="152">
        <f>IFERROR(ABS(K678-YEAR('02_대상물건입력'!B14)),"")</f>
        <v/>
      </c>
      <c r="V678" s="152">
        <f>IF(B678="","",IF(AND(E678&gt;0,F678&gt;0,H678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678=1,TRUE()),R678&lt;='01_설정'!B5,S678&lt;='01_설정'!B6,T678&lt;='01_설정'!B7,U678&lt;='01_설정'!B8),"Y",""))</f>
        <v/>
      </c>
      <c r="W678" s="172">
        <f>IF(V678&lt;&gt;"Y","",MAX(0,(1-R678/'01_설정'!B5))*'01_설정'!B14+MAX(0,(1-S678/'01_설정'!B6))*'01_설정'!B15+MAX(0,(1-T678/'01_설정'!B7))*'01_설정'!B16+MAX(0,(1-U678/'01_설정'!B8))*'01_설정'!B17+O678*'01_설정'!B11+Q678*'01_설정'!B12+P678*'01_설정'!B13+IF(Z678="",0,Z678))</f>
        <v/>
      </c>
      <c r="X678" s="152">
        <f>IF(W678="","",1+COUNTIFS($W$4:$W$3003,"&gt;"&amp;W678)+COUNTIFS($W$4:W678,W678)-1)</f>
        <v/>
      </c>
      <c r="Y678" s="175">
        <f>IF(OR(I678="",'02_대상물건입력'!B19="",'02_대상물건입력'!B19&lt;=0),"",ABS(I678-'02_대상물건입력'!B19)/'02_대상물건입력'!B19)</f>
        <v/>
      </c>
      <c r="Z678" s="172">
        <f>IF(OR(Y678="",'01_설정'!B31="",'01_설정'!B31&lt;=0,'01_설정'!B32="",'01_설정'!B32&lt;=0),"",MAX(0,(1-Y678/'01_설정'!B32))*'01_설정'!B31)</f>
        <v/>
      </c>
    </row>
    <row r="679" ht="17.25" customHeight="1">
      <c r="A679" s="152">
        <f>IF(INDEX('04A_국토부원자료'!$A:$A,ROW()+1)="","",ROW()-3)</f>
        <v/>
      </c>
      <c r="B679" s="48">
        <f>IFERROR(INDEX('04A_국토부원자료'!$A:$T,ROW()+1,MATCH("시군구",'04A_국토부원자료'!$A$4:$T$4,0)),"")</f>
        <v/>
      </c>
      <c r="C679" s="48">
        <f>IF(B679="","",IFERROR(INDEX('04A_국토부원자료'!$A:$T,ROW()+1,MATCH("번지",'04A_국토부원자료'!$A$4:$T$4,0)),""))</f>
        <v/>
      </c>
      <c r="D679" s="48">
        <f>IF(B679="","",IF(Q679=1,'02_대상물건입력'!$B$8,IFERROR(INDEX('04A_국토부원자료'!$A:$T,ROW()+1,MATCH("단지명",'04A_국토부원자료'!$A$4:$T$4,0)),"")))</f>
        <v/>
      </c>
      <c r="E679" s="172">
        <f>IFERROR(VALUE(SUBSTITUTE(INDEX('04A_국토부원자료'!$A:$T,ROW()+1,MATCH("전용면적(㎡)",'04A_국토부원자료'!$A$4:$T$4,0)),",","")),"")</f>
        <v/>
      </c>
      <c r="F6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79" s="51">
        <f>IFERROR(VALUE(SUBSTITUTE(INDEX('04A_국토부원자료'!$A:$T,ROW()+1,MATCH("거래금액(만원)",'04A_국토부원자료'!$A$4:$T$4,0)),",","")),"")</f>
        <v/>
      </c>
      <c r="H679" s="174">
        <f>IF(G679="","",G679*10000)</f>
        <v/>
      </c>
      <c r="I679" s="174">
        <f>IFERROR(IF(AND(H679&gt;0,E679&gt;0),H679/E679,""),"")</f>
        <v/>
      </c>
      <c r="J679" s="152">
        <f>IFERROR(VALUE(SUBSTITUTE(INDEX('04A_국토부원자료'!$A:$T,ROW()+1,MATCH("층",'04A_국토부원자료'!$A$4:$T$4,0)),",","")),"")</f>
        <v/>
      </c>
      <c r="K679" s="152">
        <f>IFERROR(VALUE(SUBSTITUTE(INDEX('04A_국토부원자료'!$A:$T,ROW()+1,MATCH("건축년도",'04A_국토부원자료'!$A$4:$T$4,0)),",","")),"")</f>
        <v/>
      </c>
      <c r="L679" s="176">
        <f>IFERROR(INDEX('04A_국토부원자료'!$A:$T,ROW()+1,MATCH("도로명",'04A_국토부원자료'!$A$4:$T$4,0)),"")</f>
        <v/>
      </c>
      <c r="M679" s="48">
        <f>IFERROR(INDEX('04A_국토부원자료'!$A:$T,ROW()+1,MATCH("거래유형",'04A_국토부원자료'!$A$4:$T$4,0)),"")</f>
        <v/>
      </c>
      <c r="N679" s="152">
        <f>IF(B679="","",IF('02_대상물건입력'!B5="",1,IF(ISNUMBER(SEARCH('02_대상물건입력'!B5,B679)),1,0)))</f>
        <v/>
      </c>
      <c r="O679" s="152">
        <f>IF(B679="","",IF('02_대상물건입력'!B6="",1,IF(ISNUMBER(SEARCH('02_대상물건입력'!B6,B679)),1,0)))</f>
        <v/>
      </c>
      <c r="P679" s="152">
        <f>IF(L679="","",IF('02_대상물건입력'!B15="",0,IF(ISNUMBER(SEARCH('02_대상물건입력'!B15,L679)),1,0)))</f>
        <v/>
      </c>
      <c r="Q679" s="152">
        <f>IF(OR(C679="",L679=""),0,IF(AND(TRIM(C679)=TRIM(RIGHT(SUBSTITUTE(TRIM('02_대상물건입력'!$B$7)," ",REPT(" ",99)),99)),IF('02_대상물건입력'!B15="",TRUE(),ISNUMBER(SEARCH('02_대상물건입력'!B15,L679)))),1,0))</f>
        <v/>
      </c>
      <c r="R679" s="175">
        <f>IFERROR(ABS(E679-'02_대상물건입력'!B11)/'02_대상물건입력'!B11,"")</f>
        <v/>
      </c>
      <c r="S679" s="152">
        <f>IFERROR(ABS(J679-'02_대상물건입력'!B10),"")</f>
        <v/>
      </c>
      <c r="T679" s="152">
        <f>IFERROR(ABS('01_설정'!B4-F679),"")</f>
        <v/>
      </c>
      <c r="U679" s="152">
        <f>IFERROR(ABS(K679-YEAR('02_대상물건입력'!B14)),"")</f>
        <v/>
      </c>
      <c r="V679" s="152">
        <f>IF(B679="","",IF(AND(E679&gt;0,F679&gt;0,H679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679=1,TRUE()),R679&lt;='01_설정'!B5,S679&lt;='01_설정'!B6,T679&lt;='01_설정'!B7,U679&lt;='01_설정'!B8),"Y",""))</f>
        <v/>
      </c>
      <c r="W679" s="172">
        <f>IF(V679&lt;&gt;"Y","",MAX(0,(1-R679/'01_설정'!B5))*'01_설정'!B14+MAX(0,(1-S679/'01_설정'!B6))*'01_설정'!B15+MAX(0,(1-T679/'01_설정'!B7))*'01_설정'!B16+MAX(0,(1-U679/'01_설정'!B8))*'01_설정'!B17+O679*'01_설정'!B11+Q679*'01_설정'!B12+P679*'01_설정'!B13+IF(Z679="",0,Z679))</f>
        <v/>
      </c>
      <c r="X679" s="152">
        <f>IF(W679="","",1+COUNTIFS($W$4:$W$3003,"&gt;"&amp;W679)+COUNTIFS($W$4:W679,W679)-1)</f>
        <v/>
      </c>
      <c r="Y679" s="175">
        <f>IF(OR(I679="",'02_대상물건입력'!B19="",'02_대상물건입력'!B19&lt;=0),"",ABS(I679-'02_대상물건입력'!B19)/'02_대상물건입력'!B19)</f>
        <v/>
      </c>
      <c r="Z679" s="172">
        <f>IF(OR(Y679="",'01_설정'!B31="",'01_설정'!B31&lt;=0,'01_설정'!B32="",'01_설정'!B32&lt;=0),"",MAX(0,(1-Y679/'01_설정'!B32))*'01_설정'!B31)</f>
        <v/>
      </c>
    </row>
    <row r="680" ht="17.25" customHeight="1">
      <c r="A680" s="152">
        <f>IF(INDEX('04A_국토부원자료'!$A:$A,ROW()+1)="","",ROW()-3)</f>
        <v/>
      </c>
      <c r="B680" s="48">
        <f>IFERROR(INDEX('04A_국토부원자료'!$A:$T,ROW()+1,MATCH("시군구",'04A_국토부원자료'!$A$4:$T$4,0)),"")</f>
        <v/>
      </c>
      <c r="C680" s="48">
        <f>IF(B680="","",IFERROR(INDEX('04A_국토부원자료'!$A:$T,ROW()+1,MATCH("번지",'04A_국토부원자료'!$A$4:$T$4,0)),""))</f>
        <v/>
      </c>
      <c r="D680" s="48">
        <f>IF(B680="","",IF(Q680=1,'02_대상물건입력'!$B$8,IFERROR(INDEX('04A_국토부원자료'!$A:$T,ROW()+1,MATCH("단지명",'04A_국토부원자료'!$A$4:$T$4,0)),"")))</f>
        <v/>
      </c>
      <c r="E680" s="172">
        <f>IFERROR(VALUE(SUBSTITUTE(INDEX('04A_국토부원자료'!$A:$T,ROW()+1,MATCH("전용면적(㎡)",'04A_국토부원자료'!$A$4:$T$4,0)),",","")),"")</f>
        <v/>
      </c>
      <c r="F6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80" s="51">
        <f>IFERROR(VALUE(SUBSTITUTE(INDEX('04A_국토부원자료'!$A:$T,ROW()+1,MATCH("거래금액(만원)",'04A_국토부원자료'!$A$4:$T$4,0)),",","")),"")</f>
        <v/>
      </c>
      <c r="H680" s="174">
        <f>IF(G680="","",G680*10000)</f>
        <v/>
      </c>
      <c r="I680" s="174">
        <f>IFERROR(IF(AND(H680&gt;0,E680&gt;0),H680/E680,""),"")</f>
        <v/>
      </c>
      <c r="J680" s="152">
        <f>IFERROR(VALUE(SUBSTITUTE(INDEX('04A_국토부원자료'!$A:$T,ROW()+1,MATCH("층",'04A_국토부원자료'!$A$4:$T$4,0)),",","")),"")</f>
        <v/>
      </c>
      <c r="K680" s="152">
        <f>IFERROR(VALUE(SUBSTITUTE(INDEX('04A_국토부원자료'!$A:$T,ROW()+1,MATCH("건축년도",'04A_국토부원자료'!$A$4:$T$4,0)),",","")),"")</f>
        <v/>
      </c>
      <c r="L680" s="176">
        <f>IFERROR(INDEX('04A_국토부원자료'!$A:$T,ROW()+1,MATCH("도로명",'04A_국토부원자료'!$A$4:$T$4,0)),"")</f>
        <v/>
      </c>
      <c r="M680" s="48">
        <f>IFERROR(INDEX('04A_국토부원자료'!$A:$T,ROW()+1,MATCH("거래유형",'04A_국토부원자료'!$A$4:$T$4,0)),"")</f>
        <v/>
      </c>
      <c r="N680" s="152">
        <f>IF(B680="","",IF('02_대상물건입력'!B5="",1,IF(ISNUMBER(SEARCH('02_대상물건입력'!B5,B680)),1,0)))</f>
        <v/>
      </c>
      <c r="O680" s="152">
        <f>IF(B680="","",IF('02_대상물건입력'!B6="",1,IF(ISNUMBER(SEARCH('02_대상물건입력'!B6,B680)),1,0)))</f>
        <v/>
      </c>
      <c r="P680" s="152">
        <f>IF(L680="","",IF('02_대상물건입력'!B15="",0,IF(ISNUMBER(SEARCH('02_대상물건입력'!B15,L680)),1,0)))</f>
        <v/>
      </c>
      <c r="Q680" s="152">
        <f>IF(OR(C680="",L680=""),0,IF(AND(TRIM(C680)=TRIM(RIGHT(SUBSTITUTE(TRIM('02_대상물건입력'!$B$7)," ",REPT(" ",99)),99)),IF('02_대상물건입력'!B15="",TRUE(),ISNUMBER(SEARCH('02_대상물건입력'!B15,L680)))),1,0))</f>
        <v/>
      </c>
      <c r="R680" s="175">
        <f>IFERROR(ABS(E680-'02_대상물건입력'!B11)/'02_대상물건입력'!B11,"")</f>
        <v/>
      </c>
      <c r="S680" s="152">
        <f>IFERROR(ABS(J680-'02_대상물건입력'!B10),"")</f>
        <v/>
      </c>
      <c r="T680" s="152">
        <f>IFERROR(ABS('01_설정'!B4-F680),"")</f>
        <v/>
      </c>
      <c r="U680" s="152">
        <f>IFERROR(ABS(K680-YEAR('02_대상물건입력'!B14)),"")</f>
        <v/>
      </c>
      <c r="V680" s="152">
        <f>IF(B680="","",IF(AND(E680&gt;0,F680&gt;0,H680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680=1,TRUE()),R680&lt;='01_설정'!B5,S680&lt;='01_설정'!B6,T680&lt;='01_설정'!B7,U680&lt;='01_설정'!B8),"Y",""))</f>
        <v/>
      </c>
      <c r="W680" s="172">
        <f>IF(V680&lt;&gt;"Y","",MAX(0,(1-R680/'01_설정'!B5))*'01_설정'!B14+MAX(0,(1-S680/'01_설정'!B6))*'01_설정'!B15+MAX(0,(1-T680/'01_설정'!B7))*'01_설정'!B16+MAX(0,(1-U680/'01_설정'!B8))*'01_설정'!B17+O680*'01_설정'!B11+Q680*'01_설정'!B12+P680*'01_설정'!B13+IF(Z680="",0,Z680))</f>
        <v/>
      </c>
      <c r="X680" s="152">
        <f>IF(W680="","",1+COUNTIFS($W$4:$W$3003,"&gt;"&amp;W680)+COUNTIFS($W$4:W680,W680)-1)</f>
        <v/>
      </c>
      <c r="Y680" s="175">
        <f>IF(OR(I680="",'02_대상물건입력'!B19="",'02_대상물건입력'!B19&lt;=0),"",ABS(I680-'02_대상물건입력'!B19)/'02_대상물건입력'!B19)</f>
        <v/>
      </c>
      <c r="Z680" s="172">
        <f>IF(OR(Y680="",'01_설정'!B31="",'01_설정'!B31&lt;=0,'01_설정'!B32="",'01_설정'!B32&lt;=0),"",MAX(0,(1-Y680/'01_설정'!B32))*'01_설정'!B31)</f>
        <v/>
      </c>
    </row>
    <row r="681" ht="17.25" customHeight="1">
      <c r="A681" s="152">
        <f>IF(INDEX('04A_국토부원자료'!$A:$A,ROW()+1)="","",ROW()-3)</f>
        <v/>
      </c>
      <c r="B681" s="48">
        <f>IFERROR(INDEX('04A_국토부원자료'!$A:$T,ROW()+1,MATCH("시군구",'04A_국토부원자료'!$A$4:$T$4,0)),"")</f>
        <v/>
      </c>
      <c r="C681" s="48">
        <f>IF(B681="","",IFERROR(INDEX('04A_국토부원자료'!$A:$T,ROW()+1,MATCH("번지",'04A_국토부원자료'!$A$4:$T$4,0)),""))</f>
        <v/>
      </c>
      <c r="D681" s="48">
        <f>IF(B681="","",IF(Q681=1,'02_대상물건입력'!$B$8,IFERROR(INDEX('04A_국토부원자료'!$A:$T,ROW()+1,MATCH("단지명",'04A_국토부원자료'!$A$4:$T$4,0)),"")))</f>
        <v/>
      </c>
      <c r="E681" s="172">
        <f>IFERROR(VALUE(SUBSTITUTE(INDEX('04A_국토부원자료'!$A:$T,ROW()+1,MATCH("전용면적(㎡)",'04A_국토부원자료'!$A$4:$T$4,0)),",","")),"")</f>
        <v/>
      </c>
      <c r="F6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81" s="51">
        <f>IFERROR(VALUE(SUBSTITUTE(INDEX('04A_국토부원자료'!$A:$T,ROW()+1,MATCH("거래금액(만원)",'04A_국토부원자료'!$A$4:$T$4,0)),",","")),"")</f>
        <v/>
      </c>
      <c r="H681" s="174">
        <f>IF(G681="","",G681*10000)</f>
        <v/>
      </c>
      <c r="I681" s="174">
        <f>IFERROR(IF(AND(H681&gt;0,E681&gt;0),H681/E681,""),"")</f>
        <v/>
      </c>
      <c r="J681" s="152">
        <f>IFERROR(VALUE(SUBSTITUTE(INDEX('04A_국토부원자료'!$A:$T,ROW()+1,MATCH("층",'04A_국토부원자료'!$A$4:$T$4,0)),",","")),"")</f>
        <v/>
      </c>
      <c r="K681" s="152">
        <f>IFERROR(VALUE(SUBSTITUTE(INDEX('04A_국토부원자료'!$A:$T,ROW()+1,MATCH("건축년도",'04A_국토부원자료'!$A$4:$T$4,0)),",","")),"")</f>
        <v/>
      </c>
      <c r="L681" s="176">
        <f>IFERROR(INDEX('04A_국토부원자료'!$A:$T,ROW()+1,MATCH("도로명",'04A_국토부원자료'!$A$4:$T$4,0)),"")</f>
        <v/>
      </c>
      <c r="M681" s="48">
        <f>IFERROR(INDEX('04A_국토부원자료'!$A:$T,ROW()+1,MATCH("거래유형",'04A_국토부원자료'!$A$4:$T$4,0)),"")</f>
        <v/>
      </c>
      <c r="N681" s="152">
        <f>IF(B681="","",IF('02_대상물건입력'!B5="",1,IF(ISNUMBER(SEARCH('02_대상물건입력'!B5,B681)),1,0)))</f>
        <v/>
      </c>
      <c r="O681" s="152">
        <f>IF(B681="","",IF('02_대상물건입력'!B6="",1,IF(ISNUMBER(SEARCH('02_대상물건입력'!B6,B681)),1,0)))</f>
        <v/>
      </c>
      <c r="P681" s="152">
        <f>IF(L681="","",IF('02_대상물건입력'!B15="",0,IF(ISNUMBER(SEARCH('02_대상물건입력'!B15,L681)),1,0)))</f>
        <v/>
      </c>
      <c r="Q681" s="152">
        <f>IF(OR(C681="",L681=""),0,IF(AND(TRIM(C681)=TRIM(RIGHT(SUBSTITUTE(TRIM('02_대상물건입력'!$B$7)," ",REPT(" ",99)),99)),IF('02_대상물건입력'!B15="",TRUE(),ISNUMBER(SEARCH('02_대상물건입력'!B15,L681)))),1,0))</f>
        <v/>
      </c>
      <c r="R681" s="175">
        <f>IFERROR(ABS(E681-'02_대상물건입력'!B11)/'02_대상물건입력'!B11,"")</f>
        <v/>
      </c>
      <c r="S681" s="152">
        <f>IFERROR(ABS(J681-'02_대상물건입력'!B10),"")</f>
        <v/>
      </c>
      <c r="T681" s="152">
        <f>IFERROR(ABS('01_설정'!B4-F681),"")</f>
        <v/>
      </c>
      <c r="U681" s="152">
        <f>IFERROR(ABS(K681-YEAR('02_대상물건입력'!B14)),"")</f>
        <v/>
      </c>
      <c r="V681" s="152">
        <f>IF(B681="","",IF(AND(E681&gt;0,F681&gt;0,H681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681=1,TRUE()),R681&lt;='01_설정'!B5,S681&lt;='01_설정'!B6,T681&lt;='01_설정'!B7,U681&lt;='01_설정'!B8),"Y",""))</f>
        <v/>
      </c>
      <c r="W681" s="172">
        <f>IF(V681&lt;&gt;"Y","",MAX(0,(1-R681/'01_설정'!B5))*'01_설정'!B14+MAX(0,(1-S681/'01_설정'!B6))*'01_설정'!B15+MAX(0,(1-T681/'01_설정'!B7))*'01_설정'!B16+MAX(0,(1-U681/'01_설정'!B8))*'01_설정'!B17+O681*'01_설정'!B11+Q681*'01_설정'!B12+P681*'01_설정'!B13+IF(Z681="",0,Z681))</f>
        <v/>
      </c>
      <c r="X681" s="152">
        <f>IF(W681="","",1+COUNTIFS($W$4:$W$3003,"&gt;"&amp;W681)+COUNTIFS($W$4:W681,W681)-1)</f>
        <v/>
      </c>
      <c r="Y681" s="175">
        <f>IF(OR(I681="",'02_대상물건입력'!B19="",'02_대상물건입력'!B19&lt;=0),"",ABS(I681-'02_대상물건입력'!B19)/'02_대상물건입력'!B19)</f>
        <v/>
      </c>
      <c r="Z681" s="172">
        <f>IF(OR(Y681="",'01_설정'!B31="",'01_설정'!B31&lt;=0,'01_설정'!B32="",'01_설정'!B32&lt;=0),"",MAX(0,(1-Y681/'01_설정'!B32))*'01_설정'!B31)</f>
        <v/>
      </c>
    </row>
    <row r="682" ht="17.25" customHeight="1">
      <c r="A682" s="152">
        <f>IF(INDEX('04A_국토부원자료'!$A:$A,ROW()+1)="","",ROW()-3)</f>
        <v/>
      </c>
      <c r="B682" s="48">
        <f>IFERROR(INDEX('04A_국토부원자료'!$A:$T,ROW()+1,MATCH("시군구",'04A_국토부원자료'!$A$4:$T$4,0)),"")</f>
        <v/>
      </c>
      <c r="C682" s="48">
        <f>IF(B682="","",IFERROR(INDEX('04A_국토부원자료'!$A:$T,ROW()+1,MATCH("번지",'04A_국토부원자료'!$A$4:$T$4,0)),""))</f>
        <v/>
      </c>
      <c r="D682" s="48">
        <f>IF(B682="","",IF(Q682=1,'02_대상물건입력'!$B$8,IFERROR(INDEX('04A_국토부원자료'!$A:$T,ROW()+1,MATCH("단지명",'04A_국토부원자료'!$A$4:$T$4,0)),"")))</f>
        <v/>
      </c>
      <c r="E682" s="172">
        <f>IFERROR(VALUE(SUBSTITUTE(INDEX('04A_국토부원자료'!$A:$T,ROW()+1,MATCH("전용면적(㎡)",'04A_국토부원자료'!$A$4:$T$4,0)),",","")),"")</f>
        <v/>
      </c>
      <c r="F6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82" s="51">
        <f>IFERROR(VALUE(SUBSTITUTE(INDEX('04A_국토부원자료'!$A:$T,ROW()+1,MATCH("거래금액(만원)",'04A_국토부원자료'!$A$4:$T$4,0)),",","")),"")</f>
        <v/>
      </c>
      <c r="H682" s="174">
        <f>IF(G682="","",G682*10000)</f>
        <v/>
      </c>
      <c r="I682" s="174">
        <f>IFERROR(IF(AND(H682&gt;0,E682&gt;0),H682/E682,""),"")</f>
        <v/>
      </c>
      <c r="J682" s="152">
        <f>IFERROR(VALUE(SUBSTITUTE(INDEX('04A_국토부원자료'!$A:$T,ROW()+1,MATCH("층",'04A_국토부원자료'!$A$4:$T$4,0)),",","")),"")</f>
        <v/>
      </c>
      <c r="K682" s="152">
        <f>IFERROR(VALUE(SUBSTITUTE(INDEX('04A_국토부원자료'!$A:$T,ROW()+1,MATCH("건축년도",'04A_국토부원자료'!$A$4:$T$4,0)),",","")),"")</f>
        <v/>
      </c>
      <c r="L682" s="176">
        <f>IFERROR(INDEX('04A_국토부원자료'!$A:$T,ROW()+1,MATCH("도로명",'04A_국토부원자료'!$A$4:$T$4,0)),"")</f>
        <v/>
      </c>
      <c r="M682" s="48">
        <f>IFERROR(INDEX('04A_국토부원자료'!$A:$T,ROW()+1,MATCH("거래유형",'04A_국토부원자료'!$A$4:$T$4,0)),"")</f>
        <v/>
      </c>
      <c r="N682" s="152">
        <f>IF(B682="","",IF('02_대상물건입력'!B5="",1,IF(ISNUMBER(SEARCH('02_대상물건입력'!B5,B682)),1,0)))</f>
        <v/>
      </c>
      <c r="O682" s="152">
        <f>IF(B682="","",IF('02_대상물건입력'!B6="",1,IF(ISNUMBER(SEARCH('02_대상물건입력'!B6,B682)),1,0)))</f>
        <v/>
      </c>
      <c r="P682" s="152">
        <f>IF(L682="","",IF('02_대상물건입력'!B15="",0,IF(ISNUMBER(SEARCH('02_대상물건입력'!B15,L682)),1,0)))</f>
        <v/>
      </c>
      <c r="Q682" s="152">
        <f>IF(OR(C682="",L682=""),0,IF(AND(TRIM(C682)=TRIM(RIGHT(SUBSTITUTE(TRIM('02_대상물건입력'!$B$7)," ",REPT(" ",99)),99)),IF('02_대상물건입력'!B15="",TRUE(),ISNUMBER(SEARCH('02_대상물건입력'!B15,L682)))),1,0))</f>
        <v/>
      </c>
      <c r="R682" s="175">
        <f>IFERROR(ABS(E682-'02_대상물건입력'!B11)/'02_대상물건입력'!B11,"")</f>
        <v/>
      </c>
      <c r="S682" s="152">
        <f>IFERROR(ABS(J682-'02_대상물건입력'!B10),"")</f>
        <v/>
      </c>
      <c r="T682" s="152">
        <f>IFERROR(ABS('01_설정'!B4-F682),"")</f>
        <v/>
      </c>
      <c r="U682" s="152">
        <f>IFERROR(ABS(K682-YEAR('02_대상물건입력'!B14)),"")</f>
        <v/>
      </c>
      <c r="V682" s="152">
        <f>IF(B682="","",IF(AND(E682&gt;0,F682&gt;0,H682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682=1,TRUE()),R682&lt;='01_설정'!B5,S682&lt;='01_설정'!B6,T682&lt;='01_설정'!B7,U682&lt;='01_설정'!B8),"Y",""))</f>
        <v/>
      </c>
      <c r="W682" s="172">
        <f>IF(V682&lt;&gt;"Y","",MAX(0,(1-R682/'01_설정'!B5))*'01_설정'!B14+MAX(0,(1-S682/'01_설정'!B6))*'01_설정'!B15+MAX(0,(1-T682/'01_설정'!B7))*'01_설정'!B16+MAX(0,(1-U682/'01_설정'!B8))*'01_설정'!B17+O682*'01_설정'!B11+Q682*'01_설정'!B12+P682*'01_설정'!B13+IF(Z682="",0,Z682))</f>
        <v/>
      </c>
      <c r="X682" s="152">
        <f>IF(W682="","",1+COUNTIFS($W$4:$W$3003,"&gt;"&amp;W682)+COUNTIFS($W$4:W682,W682)-1)</f>
        <v/>
      </c>
      <c r="Y682" s="175">
        <f>IF(OR(I682="",'02_대상물건입력'!B19="",'02_대상물건입력'!B19&lt;=0),"",ABS(I682-'02_대상물건입력'!B19)/'02_대상물건입력'!B19)</f>
        <v/>
      </c>
      <c r="Z682" s="172">
        <f>IF(OR(Y682="",'01_설정'!B31="",'01_설정'!B31&lt;=0,'01_설정'!B32="",'01_설정'!B32&lt;=0),"",MAX(0,(1-Y682/'01_설정'!B32))*'01_설정'!B31)</f>
        <v/>
      </c>
    </row>
    <row r="683" ht="17.25" customHeight="1">
      <c r="A683" s="152">
        <f>IF(INDEX('04A_국토부원자료'!$A:$A,ROW()+1)="","",ROW()-3)</f>
        <v/>
      </c>
      <c r="B683" s="48">
        <f>IFERROR(INDEX('04A_국토부원자료'!$A:$T,ROW()+1,MATCH("시군구",'04A_국토부원자료'!$A$4:$T$4,0)),"")</f>
        <v/>
      </c>
      <c r="C683" s="48">
        <f>IF(B683="","",IFERROR(INDEX('04A_국토부원자료'!$A:$T,ROW()+1,MATCH("번지",'04A_국토부원자료'!$A$4:$T$4,0)),""))</f>
        <v/>
      </c>
      <c r="D683" s="48">
        <f>IF(B683="","",IF(Q683=1,'02_대상물건입력'!$B$8,IFERROR(INDEX('04A_국토부원자료'!$A:$T,ROW()+1,MATCH("단지명",'04A_국토부원자료'!$A$4:$T$4,0)),"")))</f>
        <v/>
      </c>
      <c r="E683" s="172">
        <f>IFERROR(VALUE(SUBSTITUTE(INDEX('04A_국토부원자료'!$A:$T,ROW()+1,MATCH("전용면적(㎡)",'04A_국토부원자료'!$A$4:$T$4,0)),",","")),"")</f>
        <v/>
      </c>
      <c r="F6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83" s="51">
        <f>IFERROR(VALUE(SUBSTITUTE(INDEX('04A_국토부원자료'!$A:$T,ROW()+1,MATCH("거래금액(만원)",'04A_국토부원자료'!$A$4:$T$4,0)),",","")),"")</f>
        <v/>
      </c>
      <c r="H683" s="174">
        <f>IF(G683="","",G683*10000)</f>
        <v/>
      </c>
      <c r="I683" s="174">
        <f>IFERROR(IF(AND(H683&gt;0,E683&gt;0),H683/E683,""),"")</f>
        <v/>
      </c>
      <c r="J683" s="152">
        <f>IFERROR(VALUE(SUBSTITUTE(INDEX('04A_국토부원자료'!$A:$T,ROW()+1,MATCH("층",'04A_국토부원자료'!$A$4:$T$4,0)),",","")),"")</f>
        <v/>
      </c>
      <c r="K683" s="152">
        <f>IFERROR(VALUE(SUBSTITUTE(INDEX('04A_국토부원자료'!$A:$T,ROW()+1,MATCH("건축년도",'04A_국토부원자료'!$A$4:$T$4,0)),",","")),"")</f>
        <v/>
      </c>
      <c r="L683" s="176">
        <f>IFERROR(INDEX('04A_국토부원자료'!$A:$T,ROW()+1,MATCH("도로명",'04A_국토부원자료'!$A$4:$T$4,0)),"")</f>
        <v/>
      </c>
      <c r="M683" s="48">
        <f>IFERROR(INDEX('04A_국토부원자료'!$A:$T,ROW()+1,MATCH("거래유형",'04A_국토부원자료'!$A$4:$T$4,0)),"")</f>
        <v/>
      </c>
      <c r="N683" s="152">
        <f>IF(B683="","",IF('02_대상물건입력'!B5="",1,IF(ISNUMBER(SEARCH('02_대상물건입력'!B5,B683)),1,0)))</f>
        <v/>
      </c>
      <c r="O683" s="152">
        <f>IF(B683="","",IF('02_대상물건입력'!B6="",1,IF(ISNUMBER(SEARCH('02_대상물건입력'!B6,B683)),1,0)))</f>
        <v/>
      </c>
      <c r="P683" s="152">
        <f>IF(L683="","",IF('02_대상물건입력'!B15="",0,IF(ISNUMBER(SEARCH('02_대상물건입력'!B15,L683)),1,0)))</f>
        <v/>
      </c>
      <c r="Q683" s="152">
        <f>IF(OR(C683="",L683=""),0,IF(AND(TRIM(C683)=TRIM(RIGHT(SUBSTITUTE(TRIM('02_대상물건입력'!$B$7)," ",REPT(" ",99)),99)),IF('02_대상물건입력'!B15="",TRUE(),ISNUMBER(SEARCH('02_대상물건입력'!B15,L683)))),1,0))</f>
        <v/>
      </c>
      <c r="R683" s="175">
        <f>IFERROR(ABS(E683-'02_대상물건입력'!B11)/'02_대상물건입력'!B11,"")</f>
        <v/>
      </c>
      <c r="S683" s="152">
        <f>IFERROR(ABS(J683-'02_대상물건입력'!B10),"")</f>
        <v/>
      </c>
      <c r="T683" s="152">
        <f>IFERROR(ABS('01_설정'!B4-F683),"")</f>
        <v/>
      </c>
      <c r="U683" s="152">
        <f>IFERROR(ABS(K683-YEAR('02_대상물건입력'!B14)),"")</f>
        <v/>
      </c>
      <c r="V683" s="152">
        <f>IF(B683="","",IF(AND(E683&gt;0,F683&gt;0,H683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683=1,TRUE()),R683&lt;='01_설정'!B5,S683&lt;='01_설정'!B6,T683&lt;='01_설정'!B7,U683&lt;='01_설정'!B8),"Y",""))</f>
        <v/>
      </c>
      <c r="W683" s="172">
        <f>IF(V683&lt;&gt;"Y","",MAX(0,(1-R683/'01_설정'!B5))*'01_설정'!B14+MAX(0,(1-S683/'01_설정'!B6))*'01_설정'!B15+MAX(0,(1-T683/'01_설정'!B7))*'01_설정'!B16+MAX(0,(1-U683/'01_설정'!B8))*'01_설정'!B17+O683*'01_설정'!B11+Q683*'01_설정'!B12+P683*'01_설정'!B13+IF(Z683="",0,Z683))</f>
        <v/>
      </c>
      <c r="X683" s="152">
        <f>IF(W683="","",1+COUNTIFS($W$4:$W$3003,"&gt;"&amp;W683)+COUNTIFS($W$4:W683,W683)-1)</f>
        <v/>
      </c>
      <c r="Y683" s="175">
        <f>IF(OR(I683="",'02_대상물건입력'!B19="",'02_대상물건입력'!B19&lt;=0),"",ABS(I683-'02_대상물건입력'!B19)/'02_대상물건입력'!B19)</f>
        <v/>
      </c>
      <c r="Z683" s="172">
        <f>IF(OR(Y683="",'01_설정'!B31="",'01_설정'!B31&lt;=0,'01_설정'!B32="",'01_설정'!B32&lt;=0),"",MAX(0,(1-Y683/'01_설정'!B32))*'01_설정'!B31)</f>
        <v/>
      </c>
    </row>
    <row r="684" ht="17.25" customHeight="1">
      <c r="A684" s="152">
        <f>IF(INDEX('04A_국토부원자료'!$A:$A,ROW()+1)="","",ROW()-3)</f>
        <v/>
      </c>
      <c r="B684" s="48">
        <f>IFERROR(INDEX('04A_국토부원자료'!$A:$T,ROW()+1,MATCH("시군구",'04A_국토부원자료'!$A$4:$T$4,0)),"")</f>
        <v/>
      </c>
      <c r="C684" s="48">
        <f>IF(B684="","",IFERROR(INDEX('04A_국토부원자료'!$A:$T,ROW()+1,MATCH("번지",'04A_국토부원자료'!$A$4:$T$4,0)),""))</f>
        <v/>
      </c>
      <c r="D684" s="48">
        <f>IF(B684="","",IF(Q684=1,'02_대상물건입력'!$B$8,IFERROR(INDEX('04A_국토부원자료'!$A:$T,ROW()+1,MATCH("단지명",'04A_국토부원자료'!$A$4:$T$4,0)),"")))</f>
        <v/>
      </c>
      <c r="E684" s="172">
        <f>IFERROR(VALUE(SUBSTITUTE(INDEX('04A_국토부원자료'!$A:$T,ROW()+1,MATCH("전용면적(㎡)",'04A_국토부원자료'!$A$4:$T$4,0)),",","")),"")</f>
        <v/>
      </c>
      <c r="F6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84" s="51">
        <f>IFERROR(VALUE(SUBSTITUTE(INDEX('04A_국토부원자료'!$A:$T,ROW()+1,MATCH("거래금액(만원)",'04A_국토부원자료'!$A$4:$T$4,0)),",","")),"")</f>
        <v/>
      </c>
      <c r="H684" s="174">
        <f>IF(G684="","",G684*10000)</f>
        <v/>
      </c>
      <c r="I684" s="174">
        <f>IFERROR(IF(AND(H684&gt;0,E684&gt;0),H684/E684,""),"")</f>
        <v/>
      </c>
      <c r="J684" s="152">
        <f>IFERROR(VALUE(SUBSTITUTE(INDEX('04A_국토부원자료'!$A:$T,ROW()+1,MATCH("층",'04A_국토부원자료'!$A$4:$T$4,0)),",","")),"")</f>
        <v/>
      </c>
      <c r="K684" s="152">
        <f>IFERROR(VALUE(SUBSTITUTE(INDEX('04A_국토부원자료'!$A:$T,ROW()+1,MATCH("건축년도",'04A_국토부원자료'!$A$4:$T$4,0)),",","")),"")</f>
        <v/>
      </c>
      <c r="L684" s="176">
        <f>IFERROR(INDEX('04A_국토부원자료'!$A:$T,ROW()+1,MATCH("도로명",'04A_국토부원자료'!$A$4:$T$4,0)),"")</f>
        <v/>
      </c>
      <c r="M684" s="48">
        <f>IFERROR(INDEX('04A_국토부원자료'!$A:$T,ROW()+1,MATCH("거래유형",'04A_국토부원자료'!$A$4:$T$4,0)),"")</f>
        <v/>
      </c>
      <c r="N684" s="152">
        <f>IF(B684="","",IF('02_대상물건입력'!B5="",1,IF(ISNUMBER(SEARCH('02_대상물건입력'!B5,B684)),1,0)))</f>
        <v/>
      </c>
      <c r="O684" s="152">
        <f>IF(B684="","",IF('02_대상물건입력'!B6="",1,IF(ISNUMBER(SEARCH('02_대상물건입력'!B6,B684)),1,0)))</f>
        <v/>
      </c>
      <c r="P684" s="152">
        <f>IF(L684="","",IF('02_대상물건입력'!B15="",0,IF(ISNUMBER(SEARCH('02_대상물건입력'!B15,L684)),1,0)))</f>
        <v/>
      </c>
      <c r="Q684" s="152">
        <f>IF(OR(C684="",L684=""),0,IF(AND(TRIM(C684)=TRIM(RIGHT(SUBSTITUTE(TRIM('02_대상물건입력'!$B$7)," ",REPT(" ",99)),99)),IF('02_대상물건입력'!B15="",TRUE(),ISNUMBER(SEARCH('02_대상물건입력'!B15,L684)))),1,0))</f>
        <v/>
      </c>
      <c r="R684" s="175">
        <f>IFERROR(ABS(E684-'02_대상물건입력'!B11)/'02_대상물건입력'!B11,"")</f>
        <v/>
      </c>
      <c r="S684" s="152">
        <f>IFERROR(ABS(J684-'02_대상물건입력'!B10),"")</f>
        <v/>
      </c>
      <c r="T684" s="152">
        <f>IFERROR(ABS('01_설정'!B4-F684),"")</f>
        <v/>
      </c>
      <c r="U684" s="152">
        <f>IFERROR(ABS(K684-YEAR('02_대상물건입력'!B14)),"")</f>
        <v/>
      </c>
      <c r="V684" s="152">
        <f>IF(B684="","",IF(AND(E684&gt;0,F684&gt;0,H684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684=1,TRUE()),R684&lt;='01_설정'!B5,S684&lt;='01_설정'!B6,T684&lt;='01_설정'!B7,U684&lt;='01_설정'!B8),"Y",""))</f>
        <v/>
      </c>
      <c r="W684" s="172">
        <f>IF(V684&lt;&gt;"Y","",MAX(0,(1-R684/'01_설정'!B5))*'01_설정'!B14+MAX(0,(1-S684/'01_설정'!B6))*'01_설정'!B15+MAX(0,(1-T684/'01_설정'!B7))*'01_설정'!B16+MAX(0,(1-U684/'01_설정'!B8))*'01_설정'!B17+O684*'01_설정'!B11+Q684*'01_설정'!B12+P684*'01_설정'!B13+IF(Z684="",0,Z684))</f>
        <v/>
      </c>
      <c r="X684" s="152">
        <f>IF(W684="","",1+COUNTIFS($W$4:$W$3003,"&gt;"&amp;W684)+COUNTIFS($W$4:W684,W684)-1)</f>
        <v/>
      </c>
      <c r="Y684" s="175">
        <f>IF(OR(I684="",'02_대상물건입력'!B19="",'02_대상물건입력'!B19&lt;=0),"",ABS(I684-'02_대상물건입력'!B19)/'02_대상물건입력'!B19)</f>
        <v/>
      </c>
      <c r="Z684" s="172">
        <f>IF(OR(Y684="",'01_설정'!B31="",'01_설정'!B31&lt;=0,'01_설정'!B32="",'01_설정'!B32&lt;=0),"",MAX(0,(1-Y684/'01_설정'!B32))*'01_설정'!B31)</f>
        <v/>
      </c>
    </row>
    <row r="685" ht="17.25" customHeight="1">
      <c r="A685" s="152">
        <f>IF(INDEX('04A_국토부원자료'!$A:$A,ROW()+1)="","",ROW()-3)</f>
        <v/>
      </c>
      <c r="B685" s="48">
        <f>IFERROR(INDEX('04A_국토부원자료'!$A:$T,ROW()+1,MATCH("시군구",'04A_국토부원자료'!$A$4:$T$4,0)),"")</f>
        <v/>
      </c>
      <c r="C685" s="48">
        <f>IF(B685="","",IFERROR(INDEX('04A_국토부원자료'!$A:$T,ROW()+1,MATCH("번지",'04A_국토부원자료'!$A$4:$T$4,0)),""))</f>
        <v/>
      </c>
      <c r="D685" s="48">
        <f>IF(B685="","",IF(Q685=1,'02_대상물건입력'!$B$8,IFERROR(INDEX('04A_국토부원자료'!$A:$T,ROW()+1,MATCH("단지명",'04A_국토부원자료'!$A$4:$T$4,0)),"")))</f>
        <v/>
      </c>
      <c r="E685" s="172">
        <f>IFERROR(VALUE(SUBSTITUTE(INDEX('04A_국토부원자료'!$A:$T,ROW()+1,MATCH("전용면적(㎡)",'04A_국토부원자료'!$A$4:$T$4,0)),",","")),"")</f>
        <v/>
      </c>
      <c r="F6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85" s="51">
        <f>IFERROR(VALUE(SUBSTITUTE(INDEX('04A_국토부원자료'!$A:$T,ROW()+1,MATCH("거래금액(만원)",'04A_국토부원자료'!$A$4:$T$4,0)),",","")),"")</f>
        <v/>
      </c>
      <c r="H685" s="174">
        <f>IF(G685="","",G685*10000)</f>
        <v/>
      </c>
      <c r="I685" s="174">
        <f>IFERROR(IF(AND(H685&gt;0,E685&gt;0),H685/E685,""),"")</f>
        <v/>
      </c>
      <c r="J685" s="152">
        <f>IFERROR(VALUE(SUBSTITUTE(INDEX('04A_국토부원자료'!$A:$T,ROW()+1,MATCH("층",'04A_국토부원자료'!$A$4:$T$4,0)),",","")),"")</f>
        <v/>
      </c>
      <c r="K685" s="152">
        <f>IFERROR(VALUE(SUBSTITUTE(INDEX('04A_국토부원자료'!$A:$T,ROW()+1,MATCH("건축년도",'04A_국토부원자료'!$A$4:$T$4,0)),",","")),"")</f>
        <v/>
      </c>
      <c r="L685" s="176">
        <f>IFERROR(INDEX('04A_국토부원자료'!$A:$T,ROW()+1,MATCH("도로명",'04A_국토부원자료'!$A$4:$T$4,0)),"")</f>
        <v/>
      </c>
      <c r="M685" s="48">
        <f>IFERROR(INDEX('04A_국토부원자료'!$A:$T,ROW()+1,MATCH("거래유형",'04A_국토부원자료'!$A$4:$T$4,0)),"")</f>
        <v/>
      </c>
      <c r="N685" s="152">
        <f>IF(B685="","",IF('02_대상물건입력'!B5="",1,IF(ISNUMBER(SEARCH('02_대상물건입력'!B5,B685)),1,0)))</f>
        <v/>
      </c>
      <c r="O685" s="152">
        <f>IF(B685="","",IF('02_대상물건입력'!B6="",1,IF(ISNUMBER(SEARCH('02_대상물건입력'!B6,B685)),1,0)))</f>
        <v/>
      </c>
      <c r="P685" s="152">
        <f>IF(L685="","",IF('02_대상물건입력'!B15="",0,IF(ISNUMBER(SEARCH('02_대상물건입력'!B15,L685)),1,0)))</f>
        <v/>
      </c>
      <c r="Q685" s="152">
        <f>IF(OR(C685="",L685=""),0,IF(AND(TRIM(C685)=TRIM(RIGHT(SUBSTITUTE(TRIM('02_대상물건입력'!$B$7)," ",REPT(" ",99)),99)),IF('02_대상물건입력'!B15="",TRUE(),ISNUMBER(SEARCH('02_대상물건입력'!B15,L685)))),1,0))</f>
        <v/>
      </c>
      <c r="R685" s="175">
        <f>IFERROR(ABS(E685-'02_대상물건입력'!B11)/'02_대상물건입력'!B11,"")</f>
        <v/>
      </c>
      <c r="S685" s="152">
        <f>IFERROR(ABS(J685-'02_대상물건입력'!B10),"")</f>
        <v/>
      </c>
      <c r="T685" s="152">
        <f>IFERROR(ABS('01_설정'!B4-F685),"")</f>
        <v/>
      </c>
      <c r="U685" s="152">
        <f>IFERROR(ABS(K685-YEAR('02_대상물건입력'!B14)),"")</f>
        <v/>
      </c>
      <c r="V685" s="152">
        <f>IF(B685="","",IF(AND(E685&gt;0,F685&gt;0,H685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685=1,TRUE()),R685&lt;='01_설정'!B5,S685&lt;='01_설정'!B6,T685&lt;='01_설정'!B7,U685&lt;='01_설정'!B8),"Y",""))</f>
        <v/>
      </c>
      <c r="W685" s="172">
        <f>IF(V685&lt;&gt;"Y","",MAX(0,(1-R685/'01_설정'!B5))*'01_설정'!B14+MAX(0,(1-S685/'01_설정'!B6))*'01_설정'!B15+MAX(0,(1-T685/'01_설정'!B7))*'01_설정'!B16+MAX(0,(1-U685/'01_설정'!B8))*'01_설정'!B17+O685*'01_설정'!B11+Q685*'01_설정'!B12+P685*'01_설정'!B13+IF(Z685="",0,Z685))</f>
        <v/>
      </c>
      <c r="X685" s="152">
        <f>IF(W685="","",1+COUNTIFS($W$4:$W$3003,"&gt;"&amp;W685)+COUNTIFS($W$4:W685,W685)-1)</f>
        <v/>
      </c>
      <c r="Y685" s="175">
        <f>IF(OR(I685="",'02_대상물건입력'!B19="",'02_대상물건입력'!B19&lt;=0),"",ABS(I685-'02_대상물건입력'!B19)/'02_대상물건입력'!B19)</f>
        <v/>
      </c>
      <c r="Z685" s="172">
        <f>IF(OR(Y685="",'01_설정'!B31="",'01_설정'!B31&lt;=0,'01_설정'!B32="",'01_설정'!B32&lt;=0),"",MAX(0,(1-Y685/'01_설정'!B32))*'01_설정'!B31)</f>
        <v/>
      </c>
    </row>
    <row r="686" ht="17.25" customHeight="1">
      <c r="A686" s="152">
        <f>IF(INDEX('04A_국토부원자료'!$A:$A,ROW()+1)="","",ROW()-3)</f>
        <v/>
      </c>
      <c r="B686" s="48">
        <f>IFERROR(INDEX('04A_국토부원자료'!$A:$T,ROW()+1,MATCH("시군구",'04A_국토부원자료'!$A$4:$T$4,0)),"")</f>
        <v/>
      </c>
      <c r="C686" s="48">
        <f>IF(B686="","",IFERROR(INDEX('04A_국토부원자료'!$A:$T,ROW()+1,MATCH("번지",'04A_국토부원자료'!$A$4:$T$4,0)),""))</f>
        <v/>
      </c>
      <c r="D686" s="48">
        <f>IF(B686="","",IF(Q686=1,'02_대상물건입력'!$B$8,IFERROR(INDEX('04A_국토부원자료'!$A:$T,ROW()+1,MATCH("단지명",'04A_국토부원자료'!$A$4:$T$4,0)),"")))</f>
        <v/>
      </c>
      <c r="E686" s="172">
        <f>IFERROR(VALUE(SUBSTITUTE(INDEX('04A_국토부원자료'!$A:$T,ROW()+1,MATCH("전용면적(㎡)",'04A_국토부원자료'!$A$4:$T$4,0)),",","")),"")</f>
        <v/>
      </c>
      <c r="F6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86" s="51">
        <f>IFERROR(VALUE(SUBSTITUTE(INDEX('04A_국토부원자료'!$A:$T,ROW()+1,MATCH("거래금액(만원)",'04A_국토부원자료'!$A$4:$T$4,0)),",","")),"")</f>
        <v/>
      </c>
      <c r="H686" s="174">
        <f>IF(G686="","",G686*10000)</f>
        <v/>
      </c>
      <c r="I686" s="174">
        <f>IFERROR(IF(AND(H686&gt;0,E686&gt;0),H686/E686,""),"")</f>
        <v/>
      </c>
      <c r="J686" s="152">
        <f>IFERROR(VALUE(SUBSTITUTE(INDEX('04A_국토부원자료'!$A:$T,ROW()+1,MATCH("층",'04A_국토부원자료'!$A$4:$T$4,0)),",","")),"")</f>
        <v/>
      </c>
      <c r="K686" s="152">
        <f>IFERROR(VALUE(SUBSTITUTE(INDEX('04A_국토부원자료'!$A:$T,ROW()+1,MATCH("건축년도",'04A_국토부원자료'!$A$4:$T$4,0)),",","")),"")</f>
        <v/>
      </c>
      <c r="L686" s="176">
        <f>IFERROR(INDEX('04A_국토부원자료'!$A:$T,ROW()+1,MATCH("도로명",'04A_국토부원자료'!$A$4:$T$4,0)),"")</f>
        <v/>
      </c>
      <c r="M686" s="48">
        <f>IFERROR(INDEX('04A_국토부원자료'!$A:$T,ROW()+1,MATCH("거래유형",'04A_국토부원자료'!$A$4:$T$4,0)),"")</f>
        <v/>
      </c>
      <c r="N686" s="152">
        <f>IF(B686="","",IF('02_대상물건입력'!B5="",1,IF(ISNUMBER(SEARCH('02_대상물건입력'!B5,B686)),1,0)))</f>
        <v/>
      </c>
      <c r="O686" s="152">
        <f>IF(B686="","",IF('02_대상물건입력'!B6="",1,IF(ISNUMBER(SEARCH('02_대상물건입력'!B6,B686)),1,0)))</f>
        <v/>
      </c>
      <c r="P686" s="152">
        <f>IF(L686="","",IF('02_대상물건입력'!B15="",0,IF(ISNUMBER(SEARCH('02_대상물건입력'!B15,L686)),1,0)))</f>
        <v/>
      </c>
      <c r="Q686" s="152">
        <f>IF(OR(C686="",L686=""),0,IF(AND(TRIM(C686)=TRIM(RIGHT(SUBSTITUTE(TRIM('02_대상물건입력'!$B$7)," ",REPT(" ",99)),99)),IF('02_대상물건입력'!B15="",TRUE(),ISNUMBER(SEARCH('02_대상물건입력'!B15,L686)))),1,0))</f>
        <v/>
      </c>
      <c r="R686" s="175">
        <f>IFERROR(ABS(E686-'02_대상물건입력'!B11)/'02_대상물건입력'!B11,"")</f>
        <v/>
      </c>
      <c r="S686" s="152">
        <f>IFERROR(ABS(J686-'02_대상물건입력'!B10),"")</f>
        <v/>
      </c>
      <c r="T686" s="152">
        <f>IFERROR(ABS('01_설정'!B4-F686),"")</f>
        <v/>
      </c>
      <c r="U686" s="152">
        <f>IFERROR(ABS(K686-YEAR('02_대상물건입력'!B14)),"")</f>
        <v/>
      </c>
      <c r="V686" s="152">
        <f>IF(B686="","",IF(AND(E686&gt;0,F686&gt;0,H686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686=1,TRUE()),R686&lt;='01_설정'!B5,S686&lt;='01_설정'!B6,T686&lt;='01_설정'!B7,U686&lt;='01_설정'!B8),"Y",""))</f>
        <v/>
      </c>
      <c r="W686" s="172">
        <f>IF(V686&lt;&gt;"Y","",MAX(0,(1-R686/'01_설정'!B5))*'01_설정'!B14+MAX(0,(1-S686/'01_설정'!B6))*'01_설정'!B15+MAX(0,(1-T686/'01_설정'!B7))*'01_설정'!B16+MAX(0,(1-U686/'01_설정'!B8))*'01_설정'!B17+O686*'01_설정'!B11+Q686*'01_설정'!B12+P686*'01_설정'!B13+IF(Z686="",0,Z686))</f>
        <v/>
      </c>
      <c r="X686" s="152">
        <f>IF(W686="","",1+COUNTIFS($W$4:$W$3003,"&gt;"&amp;W686)+COUNTIFS($W$4:W686,W686)-1)</f>
        <v/>
      </c>
      <c r="Y686" s="175">
        <f>IF(OR(I686="",'02_대상물건입력'!B19="",'02_대상물건입력'!B19&lt;=0),"",ABS(I686-'02_대상물건입력'!B19)/'02_대상물건입력'!B19)</f>
        <v/>
      </c>
      <c r="Z686" s="172">
        <f>IF(OR(Y686="",'01_설정'!B31="",'01_설정'!B31&lt;=0,'01_설정'!B32="",'01_설정'!B32&lt;=0),"",MAX(0,(1-Y686/'01_설정'!B32))*'01_설정'!B31)</f>
        <v/>
      </c>
    </row>
    <row r="687" ht="17.25" customHeight="1">
      <c r="A687" s="152">
        <f>IF(INDEX('04A_국토부원자료'!$A:$A,ROW()+1)="","",ROW()-3)</f>
        <v/>
      </c>
      <c r="B687" s="48">
        <f>IFERROR(INDEX('04A_국토부원자료'!$A:$T,ROW()+1,MATCH("시군구",'04A_국토부원자료'!$A$4:$T$4,0)),"")</f>
        <v/>
      </c>
      <c r="C687" s="48">
        <f>IF(B687="","",IFERROR(INDEX('04A_국토부원자료'!$A:$T,ROW()+1,MATCH("번지",'04A_국토부원자료'!$A$4:$T$4,0)),""))</f>
        <v/>
      </c>
      <c r="D687" s="48">
        <f>IF(B687="","",IF(Q687=1,'02_대상물건입력'!$B$8,IFERROR(INDEX('04A_국토부원자료'!$A:$T,ROW()+1,MATCH("단지명",'04A_국토부원자료'!$A$4:$T$4,0)),"")))</f>
        <v/>
      </c>
      <c r="E687" s="172">
        <f>IFERROR(VALUE(SUBSTITUTE(INDEX('04A_국토부원자료'!$A:$T,ROW()+1,MATCH("전용면적(㎡)",'04A_국토부원자료'!$A$4:$T$4,0)),",","")),"")</f>
        <v/>
      </c>
      <c r="F6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87" s="51">
        <f>IFERROR(VALUE(SUBSTITUTE(INDEX('04A_국토부원자료'!$A:$T,ROW()+1,MATCH("거래금액(만원)",'04A_국토부원자료'!$A$4:$T$4,0)),",","")),"")</f>
        <v/>
      </c>
      <c r="H687" s="174">
        <f>IF(G687="","",G687*10000)</f>
        <v/>
      </c>
      <c r="I687" s="174">
        <f>IFERROR(IF(AND(H687&gt;0,E687&gt;0),H687/E687,""),"")</f>
        <v/>
      </c>
      <c r="J687" s="152">
        <f>IFERROR(VALUE(SUBSTITUTE(INDEX('04A_국토부원자료'!$A:$T,ROW()+1,MATCH("층",'04A_국토부원자료'!$A$4:$T$4,0)),",","")),"")</f>
        <v/>
      </c>
      <c r="K687" s="152">
        <f>IFERROR(VALUE(SUBSTITUTE(INDEX('04A_국토부원자료'!$A:$T,ROW()+1,MATCH("건축년도",'04A_국토부원자료'!$A$4:$T$4,0)),",","")),"")</f>
        <v/>
      </c>
      <c r="L687" s="176">
        <f>IFERROR(INDEX('04A_국토부원자료'!$A:$T,ROW()+1,MATCH("도로명",'04A_국토부원자료'!$A$4:$T$4,0)),"")</f>
        <v/>
      </c>
      <c r="M687" s="48">
        <f>IFERROR(INDEX('04A_국토부원자료'!$A:$T,ROW()+1,MATCH("거래유형",'04A_국토부원자료'!$A$4:$T$4,0)),"")</f>
        <v/>
      </c>
      <c r="N687" s="152">
        <f>IF(B687="","",IF('02_대상물건입력'!B5="",1,IF(ISNUMBER(SEARCH('02_대상물건입력'!B5,B687)),1,0)))</f>
        <v/>
      </c>
      <c r="O687" s="152">
        <f>IF(B687="","",IF('02_대상물건입력'!B6="",1,IF(ISNUMBER(SEARCH('02_대상물건입력'!B6,B687)),1,0)))</f>
        <v/>
      </c>
      <c r="P687" s="152">
        <f>IF(L687="","",IF('02_대상물건입력'!B15="",0,IF(ISNUMBER(SEARCH('02_대상물건입력'!B15,L687)),1,0)))</f>
        <v/>
      </c>
      <c r="Q687" s="152">
        <f>IF(OR(C687="",L687=""),0,IF(AND(TRIM(C687)=TRIM(RIGHT(SUBSTITUTE(TRIM('02_대상물건입력'!$B$7)," ",REPT(" ",99)),99)),IF('02_대상물건입력'!B15="",TRUE(),ISNUMBER(SEARCH('02_대상물건입력'!B15,L687)))),1,0))</f>
        <v/>
      </c>
      <c r="R687" s="175">
        <f>IFERROR(ABS(E687-'02_대상물건입력'!B11)/'02_대상물건입력'!B11,"")</f>
        <v/>
      </c>
      <c r="S687" s="152">
        <f>IFERROR(ABS(J687-'02_대상물건입력'!B10),"")</f>
        <v/>
      </c>
      <c r="T687" s="152">
        <f>IFERROR(ABS('01_설정'!B4-F687),"")</f>
        <v/>
      </c>
      <c r="U687" s="152">
        <f>IFERROR(ABS(K687-YEAR('02_대상물건입력'!B14)),"")</f>
        <v/>
      </c>
      <c r="V687" s="152">
        <f>IF(B687="","",IF(AND(E687&gt;0,F687&gt;0,H687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687=1,TRUE()),R687&lt;='01_설정'!B5,S687&lt;='01_설정'!B6,T687&lt;='01_설정'!B7,U687&lt;='01_설정'!B8),"Y",""))</f>
        <v/>
      </c>
      <c r="W687" s="172">
        <f>IF(V687&lt;&gt;"Y","",MAX(0,(1-R687/'01_설정'!B5))*'01_설정'!B14+MAX(0,(1-S687/'01_설정'!B6))*'01_설정'!B15+MAX(0,(1-T687/'01_설정'!B7))*'01_설정'!B16+MAX(0,(1-U687/'01_설정'!B8))*'01_설정'!B17+O687*'01_설정'!B11+Q687*'01_설정'!B12+P687*'01_설정'!B13+IF(Z687="",0,Z687))</f>
        <v/>
      </c>
      <c r="X687" s="152">
        <f>IF(W687="","",1+COUNTIFS($W$4:$W$3003,"&gt;"&amp;W687)+COUNTIFS($W$4:W687,W687)-1)</f>
        <v/>
      </c>
      <c r="Y687" s="175">
        <f>IF(OR(I687="",'02_대상물건입력'!B19="",'02_대상물건입력'!B19&lt;=0),"",ABS(I687-'02_대상물건입력'!B19)/'02_대상물건입력'!B19)</f>
        <v/>
      </c>
      <c r="Z687" s="172">
        <f>IF(OR(Y687="",'01_설정'!B31="",'01_설정'!B31&lt;=0,'01_설정'!B32="",'01_설정'!B32&lt;=0),"",MAX(0,(1-Y687/'01_설정'!B32))*'01_설정'!B31)</f>
        <v/>
      </c>
    </row>
    <row r="688" ht="17.25" customHeight="1">
      <c r="A688" s="152">
        <f>IF(INDEX('04A_국토부원자료'!$A:$A,ROW()+1)="","",ROW()-3)</f>
        <v/>
      </c>
      <c r="B688" s="48">
        <f>IFERROR(INDEX('04A_국토부원자료'!$A:$T,ROW()+1,MATCH("시군구",'04A_국토부원자료'!$A$4:$T$4,0)),"")</f>
        <v/>
      </c>
      <c r="C688" s="48">
        <f>IF(B688="","",IFERROR(INDEX('04A_국토부원자료'!$A:$T,ROW()+1,MATCH("번지",'04A_국토부원자료'!$A$4:$T$4,0)),""))</f>
        <v/>
      </c>
      <c r="D688" s="48">
        <f>IF(B688="","",IF(Q688=1,'02_대상물건입력'!$B$8,IFERROR(INDEX('04A_국토부원자료'!$A:$T,ROW()+1,MATCH("단지명",'04A_국토부원자료'!$A$4:$T$4,0)),"")))</f>
        <v/>
      </c>
      <c r="E688" s="172">
        <f>IFERROR(VALUE(SUBSTITUTE(INDEX('04A_국토부원자료'!$A:$T,ROW()+1,MATCH("전용면적(㎡)",'04A_국토부원자료'!$A$4:$T$4,0)),",","")),"")</f>
        <v/>
      </c>
      <c r="F6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88" s="51">
        <f>IFERROR(VALUE(SUBSTITUTE(INDEX('04A_국토부원자료'!$A:$T,ROW()+1,MATCH("거래금액(만원)",'04A_국토부원자료'!$A$4:$T$4,0)),",","")),"")</f>
        <v/>
      </c>
      <c r="H688" s="174">
        <f>IF(G688="","",G688*10000)</f>
        <v/>
      </c>
      <c r="I688" s="174">
        <f>IFERROR(IF(AND(H688&gt;0,E688&gt;0),H688/E688,""),"")</f>
        <v/>
      </c>
      <c r="J688" s="152">
        <f>IFERROR(VALUE(SUBSTITUTE(INDEX('04A_국토부원자료'!$A:$T,ROW()+1,MATCH("층",'04A_국토부원자료'!$A$4:$T$4,0)),",","")),"")</f>
        <v/>
      </c>
      <c r="K688" s="152">
        <f>IFERROR(VALUE(SUBSTITUTE(INDEX('04A_국토부원자료'!$A:$T,ROW()+1,MATCH("건축년도",'04A_국토부원자료'!$A$4:$T$4,0)),",","")),"")</f>
        <v/>
      </c>
      <c r="L688" s="176">
        <f>IFERROR(INDEX('04A_국토부원자료'!$A:$T,ROW()+1,MATCH("도로명",'04A_국토부원자료'!$A$4:$T$4,0)),"")</f>
        <v/>
      </c>
      <c r="M688" s="48">
        <f>IFERROR(INDEX('04A_국토부원자료'!$A:$T,ROW()+1,MATCH("거래유형",'04A_국토부원자료'!$A$4:$T$4,0)),"")</f>
        <v/>
      </c>
      <c r="N688" s="152">
        <f>IF(B688="","",IF('02_대상물건입력'!B5="",1,IF(ISNUMBER(SEARCH('02_대상물건입력'!B5,B688)),1,0)))</f>
        <v/>
      </c>
      <c r="O688" s="152">
        <f>IF(B688="","",IF('02_대상물건입력'!B6="",1,IF(ISNUMBER(SEARCH('02_대상물건입력'!B6,B688)),1,0)))</f>
        <v/>
      </c>
      <c r="P688" s="152">
        <f>IF(L688="","",IF('02_대상물건입력'!B15="",0,IF(ISNUMBER(SEARCH('02_대상물건입력'!B15,L688)),1,0)))</f>
        <v/>
      </c>
      <c r="Q688" s="152">
        <f>IF(OR(C688="",L688=""),0,IF(AND(TRIM(C688)=TRIM(RIGHT(SUBSTITUTE(TRIM('02_대상물건입력'!$B$7)," ",REPT(" ",99)),99)),IF('02_대상물건입력'!B15="",TRUE(),ISNUMBER(SEARCH('02_대상물건입력'!B15,L688)))),1,0))</f>
        <v/>
      </c>
      <c r="R688" s="175">
        <f>IFERROR(ABS(E688-'02_대상물건입력'!B11)/'02_대상물건입력'!B11,"")</f>
        <v/>
      </c>
      <c r="S688" s="152">
        <f>IFERROR(ABS(J688-'02_대상물건입력'!B10),"")</f>
        <v/>
      </c>
      <c r="T688" s="152">
        <f>IFERROR(ABS('01_설정'!B4-F688),"")</f>
        <v/>
      </c>
      <c r="U688" s="152">
        <f>IFERROR(ABS(K688-YEAR('02_대상물건입력'!B14)),"")</f>
        <v/>
      </c>
      <c r="V688" s="152">
        <f>IF(B688="","",IF(AND(E688&gt;0,F688&gt;0,H688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688=1,TRUE()),R688&lt;='01_설정'!B5,S688&lt;='01_설정'!B6,T688&lt;='01_설정'!B7,U688&lt;='01_설정'!B8),"Y",""))</f>
        <v/>
      </c>
      <c r="W688" s="172">
        <f>IF(V688&lt;&gt;"Y","",MAX(0,(1-R688/'01_설정'!B5))*'01_설정'!B14+MAX(0,(1-S688/'01_설정'!B6))*'01_설정'!B15+MAX(0,(1-T688/'01_설정'!B7))*'01_설정'!B16+MAX(0,(1-U688/'01_설정'!B8))*'01_설정'!B17+O688*'01_설정'!B11+Q688*'01_설정'!B12+P688*'01_설정'!B13+IF(Z688="",0,Z688))</f>
        <v/>
      </c>
      <c r="X688" s="152">
        <f>IF(W688="","",1+COUNTIFS($W$4:$W$3003,"&gt;"&amp;W688)+COUNTIFS($W$4:W688,W688)-1)</f>
        <v/>
      </c>
      <c r="Y688" s="175">
        <f>IF(OR(I688="",'02_대상물건입력'!B19="",'02_대상물건입력'!B19&lt;=0),"",ABS(I688-'02_대상물건입력'!B19)/'02_대상물건입력'!B19)</f>
        <v/>
      </c>
      <c r="Z688" s="172">
        <f>IF(OR(Y688="",'01_설정'!B31="",'01_설정'!B31&lt;=0,'01_설정'!B32="",'01_설정'!B32&lt;=0),"",MAX(0,(1-Y688/'01_설정'!B32))*'01_설정'!B31)</f>
        <v/>
      </c>
    </row>
    <row r="689" ht="17.25" customHeight="1">
      <c r="A689" s="152">
        <f>IF(INDEX('04A_국토부원자료'!$A:$A,ROW()+1)="","",ROW()-3)</f>
        <v/>
      </c>
      <c r="B689" s="48">
        <f>IFERROR(INDEX('04A_국토부원자료'!$A:$T,ROW()+1,MATCH("시군구",'04A_국토부원자료'!$A$4:$T$4,0)),"")</f>
        <v/>
      </c>
      <c r="C689" s="48">
        <f>IF(B689="","",IFERROR(INDEX('04A_국토부원자료'!$A:$T,ROW()+1,MATCH("번지",'04A_국토부원자료'!$A$4:$T$4,0)),""))</f>
        <v/>
      </c>
      <c r="D689" s="48">
        <f>IF(B689="","",IF(Q689=1,'02_대상물건입력'!$B$8,IFERROR(INDEX('04A_국토부원자료'!$A:$T,ROW()+1,MATCH("단지명",'04A_국토부원자료'!$A$4:$T$4,0)),"")))</f>
        <v/>
      </c>
      <c r="E689" s="172">
        <f>IFERROR(VALUE(SUBSTITUTE(INDEX('04A_국토부원자료'!$A:$T,ROW()+1,MATCH("전용면적(㎡)",'04A_국토부원자료'!$A$4:$T$4,0)),",","")),"")</f>
        <v/>
      </c>
      <c r="F6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89" s="51">
        <f>IFERROR(VALUE(SUBSTITUTE(INDEX('04A_국토부원자료'!$A:$T,ROW()+1,MATCH("거래금액(만원)",'04A_국토부원자료'!$A$4:$T$4,0)),",","")),"")</f>
        <v/>
      </c>
      <c r="H689" s="174">
        <f>IF(G689="","",G689*10000)</f>
        <v/>
      </c>
      <c r="I689" s="174">
        <f>IFERROR(IF(AND(H689&gt;0,E689&gt;0),H689/E689,""),"")</f>
        <v/>
      </c>
      <c r="J689" s="152">
        <f>IFERROR(VALUE(SUBSTITUTE(INDEX('04A_국토부원자료'!$A:$T,ROW()+1,MATCH("층",'04A_국토부원자료'!$A$4:$T$4,0)),",","")),"")</f>
        <v/>
      </c>
      <c r="K689" s="152">
        <f>IFERROR(VALUE(SUBSTITUTE(INDEX('04A_국토부원자료'!$A:$T,ROW()+1,MATCH("건축년도",'04A_국토부원자료'!$A$4:$T$4,0)),",","")),"")</f>
        <v/>
      </c>
      <c r="L689" s="176">
        <f>IFERROR(INDEX('04A_국토부원자료'!$A:$T,ROW()+1,MATCH("도로명",'04A_국토부원자료'!$A$4:$T$4,0)),"")</f>
        <v/>
      </c>
      <c r="M689" s="48">
        <f>IFERROR(INDEX('04A_국토부원자료'!$A:$T,ROW()+1,MATCH("거래유형",'04A_국토부원자료'!$A$4:$T$4,0)),"")</f>
        <v/>
      </c>
      <c r="N689" s="152">
        <f>IF(B689="","",IF('02_대상물건입력'!B5="",1,IF(ISNUMBER(SEARCH('02_대상물건입력'!B5,B689)),1,0)))</f>
        <v/>
      </c>
      <c r="O689" s="152">
        <f>IF(B689="","",IF('02_대상물건입력'!B6="",1,IF(ISNUMBER(SEARCH('02_대상물건입력'!B6,B689)),1,0)))</f>
        <v/>
      </c>
      <c r="P689" s="152">
        <f>IF(L689="","",IF('02_대상물건입력'!B15="",0,IF(ISNUMBER(SEARCH('02_대상물건입력'!B15,L689)),1,0)))</f>
        <v/>
      </c>
      <c r="Q689" s="152">
        <f>IF(OR(C689="",L689=""),0,IF(AND(TRIM(C689)=TRIM(RIGHT(SUBSTITUTE(TRIM('02_대상물건입력'!$B$7)," ",REPT(" ",99)),99)),IF('02_대상물건입력'!B15="",TRUE(),ISNUMBER(SEARCH('02_대상물건입력'!B15,L689)))),1,0))</f>
        <v/>
      </c>
      <c r="R689" s="175">
        <f>IFERROR(ABS(E689-'02_대상물건입력'!B11)/'02_대상물건입력'!B11,"")</f>
        <v/>
      </c>
      <c r="S689" s="152">
        <f>IFERROR(ABS(J689-'02_대상물건입력'!B10),"")</f>
        <v/>
      </c>
      <c r="T689" s="152">
        <f>IFERROR(ABS('01_설정'!B4-F689),"")</f>
        <v/>
      </c>
      <c r="U689" s="152">
        <f>IFERROR(ABS(K689-YEAR('02_대상물건입력'!B14)),"")</f>
        <v/>
      </c>
      <c r="V689" s="152">
        <f>IF(B689="","",IF(AND(E689&gt;0,F689&gt;0,H689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689=1,TRUE()),R689&lt;='01_설정'!B5,S689&lt;='01_설정'!B6,T689&lt;='01_설정'!B7,U689&lt;='01_설정'!B8),"Y",""))</f>
        <v/>
      </c>
      <c r="W689" s="172">
        <f>IF(V689&lt;&gt;"Y","",MAX(0,(1-R689/'01_설정'!B5))*'01_설정'!B14+MAX(0,(1-S689/'01_설정'!B6))*'01_설정'!B15+MAX(0,(1-T689/'01_설정'!B7))*'01_설정'!B16+MAX(0,(1-U689/'01_설정'!B8))*'01_설정'!B17+O689*'01_설정'!B11+Q689*'01_설정'!B12+P689*'01_설정'!B13+IF(Z689="",0,Z689))</f>
        <v/>
      </c>
      <c r="X689" s="152">
        <f>IF(W689="","",1+COUNTIFS($W$4:$W$3003,"&gt;"&amp;W689)+COUNTIFS($W$4:W689,W689)-1)</f>
        <v/>
      </c>
      <c r="Y689" s="175">
        <f>IF(OR(I689="",'02_대상물건입력'!B19="",'02_대상물건입력'!B19&lt;=0),"",ABS(I689-'02_대상물건입력'!B19)/'02_대상물건입력'!B19)</f>
        <v/>
      </c>
      <c r="Z689" s="172">
        <f>IF(OR(Y689="",'01_설정'!B31="",'01_설정'!B31&lt;=0,'01_설정'!B32="",'01_설정'!B32&lt;=0),"",MAX(0,(1-Y689/'01_설정'!B32))*'01_설정'!B31)</f>
        <v/>
      </c>
    </row>
    <row r="690" ht="17.25" customHeight="1">
      <c r="A690" s="152">
        <f>IF(INDEX('04A_국토부원자료'!$A:$A,ROW()+1)="","",ROW()-3)</f>
        <v/>
      </c>
      <c r="B690" s="48">
        <f>IFERROR(INDEX('04A_국토부원자료'!$A:$T,ROW()+1,MATCH("시군구",'04A_국토부원자료'!$A$4:$T$4,0)),"")</f>
        <v/>
      </c>
      <c r="C690" s="48">
        <f>IF(B690="","",IFERROR(INDEX('04A_국토부원자료'!$A:$T,ROW()+1,MATCH("번지",'04A_국토부원자료'!$A$4:$T$4,0)),""))</f>
        <v/>
      </c>
      <c r="D690" s="48">
        <f>IF(B690="","",IF(Q690=1,'02_대상물건입력'!$B$8,IFERROR(INDEX('04A_국토부원자료'!$A:$T,ROW()+1,MATCH("단지명",'04A_국토부원자료'!$A$4:$T$4,0)),"")))</f>
        <v/>
      </c>
      <c r="E690" s="172">
        <f>IFERROR(VALUE(SUBSTITUTE(INDEX('04A_국토부원자료'!$A:$T,ROW()+1,MATCH("전용면적(㎡)",'04A_국토부원자료'!$A$4:$T$4,0)),",","")),"")</f>
        <v/>
      </c>
      <c r="F6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90" s="51">
        <f>IFERROR(VALUE(SUBSTITUTE(INDEX('04A_국토부원자료'!$A:$T,ROW()+1,MATCH("거래금액(만원)",'04A_국토부원자료'!$A$4:$T$4,0)),",","")),"")</f>
        <v/>
      </c>
      <c r="H690" s="174">
        <f>IF(G690="","",G690*10000)</f>
        <v/>
      </c>
      <c r="I690" s="174">
        <f>IFERROR(IF(AND(H690&gt;0,E690&gt;0),H690/E690,""),"")</f>
        <v/>
      </c>
      <c r="J690" s="152">
        <f>IFERROR(VALUE(SUBSTITUTE(INDEX('04A_국토부원자료'!$A:$T,ROW()+1,MATCH("층",'04A_국토부원자료'!$A$4:$T$4,0)),",","")),"")</f>
        <v/>
      </c>
      <c r="K690" s="152">
        <f>IFERROR(VALUE(SUBSTITUTE(INDEX('04A_국토부원자료'!$A:$T,ROW()+1,MATCH("건축년도",'04A_국토부원자료'!$A$4:$T$4,0)),",","")),"")</f>
        <v/>
      </c>
      <c r="L690" s="176">
        <f>IFERROR(INDEX('04A_국토부원자료'!$A:$T,ROW()+1,MATCH("도로명",'04A_국토부원자료'!$A$4:$T$4,0)),"")</f>
        <v/>
      </c>
      <c r="M690" s="48">
        <f>IFERROR(INDEX('04A_국토부원자료'!$A:$T,ROW()+1,MATCH("거래유형",'04A_국토부원자료'!$A$4:$T$4,0)),"")</f>
        <v/>
      </c>
      <c r="N690" s="152">
        <f>IF(B690="","",IF('02_대상물건입력'!B5="",1,IF(ISNUMBER(SEARCH('02_대상물건입력'!B5,B690)),1,0)))</f>
        <v/>
      </c>
      <c r="O690" s="152">
        <f>IF(B690="","",IF('02_대상물건입력'!B6="",1,IF(ISNUMBER(SEARCH('02_대상물건입력'!B6,B690)),1,0)))</f>
        <v/>
      </c>
      <c r="P690" s="152">
        <f>IF(L690="","",IF('02_대상물건입력'!B15="",0,IF(ISNUMBER(SEARCH('02_대상물건입력'!B15,L690)),1,0)))</f>
        <v/>
      </c>
      <c r="Q690" s="152">
        <f>IF(OR(C690="",L690=""),0,IF(AND(TRIM(C690)=TRIM(RIGHT(SUBSTITUTE(TRIM('02_대상물건입력'!$B$7)," ",REPT(" ",99)),99)),IF('02_대상물건입력'!B15="",TRUE(),ISNUMBER(SEARCH('02_대상물건입력'!B15,L690)))),1,0))</f>
        <v/>
      </c>
      <c r="R690" s="175">
        <f>IFERROR(ABS(E690-'02_대상물건입력'!B11)/'02_대상물건입력'!B11,"")</f>
        <v/>
      </c>
      <c r="S690" s="152">
        <f>IFERROR(ABS(J690-'02_대상물건입력'!B10),"")</f>
        <v/>
      </c>
      <c r="T690" s="152">
        <f>IFERROR(ABS('01_설정'!B4-F690),"")</f>
        <v/>
      </c>
      <c r="U690" s="152">
        <f>IFERROR(ABS(K690-YEAR('02_대상물건입력'!B14)),"")</f>
        <v/>
      </c>
      <c r="V690" s="152">
        <f>IF(B690="","",IF(AND(E690&gt;0,F690&gt;0,H690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690=1,TRUE()),R690&lt;='01_설정'!B5,S690&lt;='01_설정'!B6,T690&lt;='01_설정'!B7,U690&lt;='01_설정'!B8),"Y",""))</f>
        <v/>
      </c>
      <c r="W690" s="172">
        <f>IF(V690&lt;&gt;"Y","",MAX(0,(1-R690/'01_설정'!B5))*'01_설정'!B14+MAX(0,(1-S690/'01_설정'!B6))*'01_설정'!B15+MAX(0,(1-T690/'01_설정'!B7))*'01_설정'!B16+MAX(0,(1-U690/'01_설정'!B8))*'01_설정'!B17+O690*'01_설정'!B11+Q690*'01_설정'!B12+P690*'01_설정'!B13+IF(Z690="",0,Z690))</f>
        <v/>
      </c>
      <c r="X690" s="152">
        <f>IF(W690="","",1+COUNTIFS($W$4:$W$3003,"&gt;"&amp;W690)+COUNTIFS($W$4:W690,W690)-1)</f>
        <v/>
      </c>
      <c r="Y690" s="175">
        <f>IF(OR(I690="",'02_대상물건입력'!B19="",'02_대상물건입력'!B19&lt;=0),"",ABS(I690-'02_대상물건입력'!B19)/'02_대상물건입력'!B19)</f>
        <v/>
      </c>
      <c r="Z690" s="172">
        <f>IF(OR(Y690="",'01_설정'!B31="",'01_설정'!B31&lt;=0,'01_설정'!B32="",'01_설정'!B32&lt;=0),"",MAX(0,(1-Y690/'01_설정'!B32))*'01_설정'!B31)</f>
        <v/>
      </c>
    </row>
    <row r="691" ht="17.25" customHeight="1">
      <c r="A691" s="152">
        <f>IF(INDEX('04A_국토부원자료'!$A:$A,ROW()+1)="","",ROW()-3)</f>
        <v/>
      </c>
      <c r="B691" s="48">
        <f>IFERROR(INDEX('04A_국토부원자료'!$A:$T,ROW()+1,MATCH("시군구",'04A_국토부원자료'!$A$4:$T$4,0)),"")</f>
        <v/>
      </c>
      <c r="C691" s="48">
        <f>IF(B691="","",IFERROR(INDEX('04A_국토부원자료'!$A:$T,ROW()+1,MATCH("번지",'04A_국토부원자료'!$A$4:$T$4,0)),""))</f>
        <v/>
      </c>
      <c r="D691" s="48">
        <f>IF(B691="","",IF(Q691=1,'02_대상물건입력'!$B$8,IFERROR(INDEX('04A_국토부원자료'!$A:$T,ROW()+1,MATCH("단지명",'04A_국토부원자료'!$A$4:$T$4,0)),"")))</f>
        <v/>
      </c>
      <c r="E691" s="172">
        <f>IFERROR(VALUE(SUBSTITUTE(INDEX('04A_국토부원자료'!$A:$T,ROW()+1,MATCH("전용면적(㎡)",'04A_국토부원자료'!$A$4:$T$4,0)),",","")),"")</f>
        <v/>
      </c>
      <c r="F6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91" s="51">
        <f>IFERROR(VALUE(SUBSTITUTE(INDEX('04A_국토부원자료'!$A:$T,ROW()+1,MATCH("거래금액(만원)",'04A_국토부원자료'!$A$4:$T$4,0)),",","")),"")</f>
        <v/>
      </c>
      <c r="H691" s="174">
        <f>IF(G691="","",G691*10000)</f>
        <v/>
      </c>
      <c r="I691" s="174">
        <f>IFERROR(IF(AND(H691&gt;0,E691&gt;0),H691/E691,""),"")</f>
        <v/>
      </c>
      <c r="J691" s="152">
        <f>IFERROR(VALUE(SUBSTITUTE(INDEX('04A_국토부원자료'!$A:$T,ROW()+1,MATCH("층",'04A_국토부원자료'!$A$4:$T$4,0)),",","")),"")</f>
        <v/>
      </c>
      <c r="K691" s="152">
        <f>IFERROR(VALUE(SUBSTITUTE(INDEX('04A_국토부원자료'!$A:$T,ROW()+1,MATCH("건축년도",'04A_국토부원자료'!$A$4:$T$4,0)),",","")),"")</f>
        <v/>
      </c>
      <c r="L691" s="176">
        <f>IFERROR(INDEX('04A_국토부원자료'!$A:$T,ROW()+1,MATCH("도로명",'04A_국토부원자료'!$A$4:$T$4,0)),"")</f>
        <v/>
      </c>
      <c r="M691" s="48">
        <f>IFERROR(INDEX('04A_국토부원자료'!$A:$T,ROW()+1,MATCH("거래유형",'04A_국토부원자료'!$A$4:$T$4,0)),"")</f>
        <v/>
      </c>
      <c r="N691" s="152">
        <f>IF(B691="","",IF('02_대상물건입력'!B5="",1,IF(ISNUMBER(SEARCH('02_대상물건입력'!B5,B691)),1,0)))</f>
        <v/>
      </c>
      <c r="O691" s="152">
        <f>IF(B691="","",IF('02_대상물건입력'!B6="",1,IF(ISNUMBER(SEARCH('02_대상물건입력'!B6,B691)),1,0)))</f>
        <v/>
      </c>
      <c r="P691" s="152">
        <f>IF(L691="","",IF('02_대상물건입력'!B15="",0,IF(ISNUMBER(SEARCH('02_대상물건입력'!B15,L691)),1,0)))</f>
        <v/>
      </c>
      <c r="Q691" s="152">
        <f>IF(OR(C691="",L691=""),0,IF(AND(TRIM(C691)=TRIM(RIGHT(SUBSTITUTE(TRIM('02_대상물건입력'!$B$7)," ",REPT(" ",99)),99)),IF('02_대상물건입력'!B15="",TRUE(),ISNUMBER(SEARCH('02_대상물건입력'!B15,L691)))),1,0))</f>
        <v/>
      </c>
      <c r="R691" s="175">
        <f>IFERROR(ABS(E691-'02_대상물건입력'!B11)/'02_대상물건입력'!B11,"")</f>
        <v/>
      </c>
      <c r="S691" s="152">
        <f>IFERROR(ABS(J691-'02_대상물건입력'!B10),"")</f>
        <v/>
      </c>
      <c r="T691" s="152">
        <f>IFERROR(ABS('01_설정'!B4-F691),"")</f>
        <v/>
      </c>
      <c r="U691" s="152">
        <f>IFERROR(ABS(K691-YEAR('02_대상물건입력'!B14)),"")</f>
        <v/>
      </c>
      <c r="V691" s="152">
        <f>IF(B691="","",IF(AND(E691&gt;0,F691&gt;0,H691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691=1,TRUE()),R691&lt;='01_설정'!B5,S691&lt;='01_설정'!B6,T691&lt;='01_설정'!B7,U691&lt;='01_설정'!B8),"Y",""))</f>
        <v/>
      </c>
      <c r="W691" s="172">
        <f>IF(V691&lt;&gt;"Y","",MAX(0,(1-R691/'01_설정'!B5))*'01_설정'!B14+MAX(0,(1-S691/'01_설정'!B6))*'01_설정'!B15+MAX(0,(1-T691/'01_설정'!B7))*'01_설정'!B16+MAX(0,(1-U691/'01_설정'!B8))*'01_설정'!B17+O691*'01_설정'!B11+Q691*'01_설정'!B12+P691*'01_설정'!B13+IF(Z691="",0,Z691))</f>
        <v/>
      </c>
      <c r="X691" s="152">
        <f>IF(W691="","",1+COUNTIFS($W$4:$W$3003,"&gt;"&amp;W691)+COUNTIFS($W$4:W691,W691)-1)</f>
        <v/>
      </c>
      <c r="Y691" s="175">
        <f>IF(OR(I691="",'02_대상물건입력'!B19="",'02_대상물건입력'!B19&lt;=0),"",ABS(I691-'02_대상물건입력'!B19)/'02_대상물건입력'!B19)</f>
        <v/>
      </c>
      <c r="Z691" s="172">
        <f>IF(OR(Y691="",'01_설정'!B31="",'01_설정'!B31&lt;=0,'01_설정'!B32="",'01_설정'!B32&lt;=0),"",MAX(0,(1-Y691/'01_설정'!B32))*'01_설정'!B31)</f>
        <v/>
      </c>
    </row>
    <row r="692" ht="17.25" customHeight="1">
      <c r="A692" s="152">
        <f>IF(INDEX('04A_국토부원자료'!$A:$A,ROW()+1)="","",ROW()-3)</f>
        <v/>
      </c>
      <c r="B692" s="48">
        <f>IFERROR(INDEX('04A_국토부원자료'!$A:$T,ROW()+1,MATCH("시군구",'04A_국토부원자료'!$A$4:$T$4,0)),"")</f>
        <v/>
      </c>
      <c r="C692" s="48">
        <f>IF(B692="","",IFERROR(INDEX('04A_국토부원자료'!$A:$T,ROW()+1,MATCH("번지",'04A_국토부원자료'!$A$4:$T$4,0)),""))</f>
        <v/>
      </c>
      <c r="D692" s="48">
        <f>IF(B692="","",IF(Q692=1,'02_대상물건입력'!$B$8,IFERROR(INDEX('04A_국토부원자료'!$A:$T,ROW()+1,MATCH("단지명",'04A_국토부원자료'!$A$4:$T$4,0)),"")))</f>
        <v/>
      </c>
      <c r="E692" s="172">
        <f>IFERROR(VALUE(SUBSTITUTE(INDEX('04A_국토부원자료'!$A:$T,ROW()+1,MATCH("전용면적(㎡)",'04A_국토부원자료'!$A$4:$T$4,0)),",","")),"")</f>
        <v/>
      </c>
      <c r="F6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92" s="51">
        <f>IFERROR(VALUE(SUBSTITUTE(INDEX('04A_국토부원자료'!$A:$T,ROW()+1,MATCH("거래금액(만원)",'04A_국토부원자료'!$A$4:$T$4,0)),",","")),"")</f>
        <v/>
      </c>
      <c r="H692" s="174">
        <f>IF(G692="","",G692*10000)</f>
        <v/>
      </c>
      <c r="I692" s="174">
        <f>IFERROR(IF(AND(H692&gt;0,E692&gt;0),H692/E692,""),"")</f>
        <v/>
      </c>
      <c r="J692" s="152">
        <f>IFERROR(VALUE(SUBSTITUTE(INDEX('04A_국토부원자료'!$A:$T,ROW()+1,MATCH("층",'04A_국토부원자료'!$A$4:$T$4,0)),",","")),"")</f>
        <v/>
      </c>
      <c r="K692" s="152">
        <f>IFERROR(VALUE(SUBSTITUTE(INDEX('04A_국토부원자료'!$A:$T,ROW()+1,MATCH("건축년도",'04A_국토부원자료'!$A$4:$T$4,0)),",","")),"")</f>
        <v/>
      </c>
      <c r="L692" s="176">
        <f>IFERROR(INDEX('04A_국토부원자료'!$A:$T,ROW()+1,MATCH("도로명",'04A_국토부원자료'!$A$4:$T$4,0)),"")</f>
        <v/>
      </c>
      <c r="M692" s="48">
        <f>IFERROR(INDEX('04A_국토부원자료'!$A:$T,ROW()+1,MATCH("거래유형",'04A_국토부원자료'!$A$4:$T$4,0)),"")</f>
        <v/>
      </c>
      <c r="N692" s="152">
        <f>IF(B692="","",IF('02_대상물건입력'!B5="",1,IF(ISNUMBER(SEARCH('02_대상물건입력'!B5,B692)),1,0)))</f>
        <v/>
      </c>
      <c r="O692" s="152">
        <f>IF(B692="","",IF('02_대상물건입력'!B6="",1,IF(ISNUMBER(SEARCH('02_대상물건입력'!B6,B692)),1,0)))</f>
        <v/>
      </c>
      <c r="P692" s="152">
        <f>IF(L692="","",IF('02_대상물건입력'!B15="",0,IF(ISNUMBER(SEARCH('02_대상물건입력'!B15,L692)),1,0)))</f>
        <v/>
      </c>
      <c r="Q692" s="152">
        <f>IF(OR(C692="",L692=""),0,IF(AND(TRIM(C692)=TRIM(RIGHT(SUBSTITUTE(TRIM('02_대상물건입력'!$B$7)," ",REPT(" ",99)),99)),IF('02_대상물건입력'!B15="",TRUE(),ISNUMBER(SEARCH('02_대상물건입력'!B15,L692)))),1,0))</f>
        <v/>
      </c>
      <c r="R692" s="175">
        <f>IFERROR(ABS(E692-'02_대상물건입력'!B11)/'02_대상물건입력'!B11,"")</f>
        <v/>
      </c>
      <c r="S692" s="152">
        <f>IFERROR(ABS(J692-'02_대상물건입력'!B10),"")</f>
        <v/>
      </c>
      <c r="T692" s="152">
        <f>IFERROR(ABS('01_설정'!B4-F692),"")</f>
        <v/>
      </c>
      <c r="U692" s="152">
        <f>IFERROR(ABS(K692-YEAR('02_대상물건입력'!B14)),"")</f>
        <v/>
      </c>
      <c r="V692" s="152">
        <f>IF(B692="","",IF(AND(E692&gt;0,F692&gt;0,H692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692=1,TRUE()),R692&lt;='01_설정'!B5,S692&lt;='01_설정'!B6,T692&lt;='01_설정'!B7,U692&lt;='01_설정'!B8),"Y",""))</f>
        <v/>
      </c>
      <c r="W692" s="172">
        <f>IF(V692&lt;&gt;"Y","",MAX(0,(1-R692/'01_설정'!B5))*'01_설정'!B14+MAX(0,(1-S692/'01_설정'!B6))*'01_설정'!B15+MAX(0,(1-T692/'01_설정'!B7))*'01_설정'!B16+MAX(0,(1-U692/'01_설정'!B8))*'01_설정'!B17+O692*'01_설정'!B11+Q692*'01_설정'!B12+P692*'01_설정'!B13+IF(Z692="",0,Z692))</f>
        <v/>
      </c>
      <c r="X692" s="152">
        <f>IF(W692="","",1+COUNTIFS($W$4:$W$3003,"&gt;"&amp;W692)+COUNTIFS($W$4:W692,W692)-1)</f>
        <v/>
      </c>
      <c r="Y692" s="175">
        <f>IF(OR(I692="",'02_대상물건입력'!B19="",'02_대상물건입력'!B19&lt;=0),"",ABS(I692-'02_대상물건입력'!B19)/'02_대상물건입력'!B19)</f>
        <v/>
      </c>
      <c r="Z692" s="172">
        <f>IF(OR(Y692="",'01_설정'!B31="",'01_설정'!B31&lt;=0,'01_설정'!B32="",'01_설정'!B32&lt;=0),"",MAX(0,(1-Y692/'01_설정'!B32))*'01_설정'!B31)</f>
        <v/>
      </c>
    </row>
    <row r="693" ht="17.25" customHeight="1">
      <c r="A693" s="152">
        <f>IF(INDEX('04A_국토부원자료'!$A:$A,ROW()+1)="","",ROW()-3)</f>
        <v/>
      </c>
      <c r="B693" s="48">
        <f>IFERROR(INDEX('04A_국토부원자료'!$A:$T,ROW()+1,MATCH("시군구",'04A_국토부원자료'!$A$4:$T$4,0)),"")</f>
        <v/>
      </c>
      <c r="C693" s="48">
        <f>IF(B693="","",IFERROR(INDEX('04A_국토부원자료'!$A:$T,ROW()+1,MATCH("번지",'04A_국토부원자료'!$A$4:$T$4,0)),""))</f>
        <v/>
      </c>
      <c r="D693" s="48">
        <f>IF(B693="","",IF(Q693=1,'02_대상물건입력'!$B$8,IFERROR(INDEX('04A_국토부원자료'!$A:$T,ROW()+1,MATCH("단지명",'04A_국토부원자료'!$A$4:$T$4,0)),"")))</f>
        <v/>
      </c>
      <c r="E693" s="172">
        <f>IFERROR(VALUE(SUBSTITUTE(INDEX('04A_국토부원자료'!$A:$T,ROW()+1,MATCH("전용면적(㎡)",'04A_국토부원자료'!$A$4:$T$4,0)),",","")),"")</f>
        <v/>
      </c>
      <c r="F6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93" s="51">
        <f>IFERROR(VALUE(SUBSTITUTE(INDEX('04A_국토부원자료'!$A:$T,ROW()+1,MATCH("거래금액(만원)",'04A_국토부원자료'!$A$4:$T$4,0)),",","")),"")</f>
        <v/>
      </c>
      <c r="H693" s="174">
        <f>IF(G693="","",G693*10000)</f>
        <v/>
      </c>
      <c r="I693" s="174">
        <f>IFERROR(IF(AND(H693&gt;0,E693&gt;0),H693/E693,""),"")</f>
        <v/>
      </c>
      <c r="J693" s="152">
        <f>IFERROR(VALUE(SUBSTITUTE(INDEX('04A_국토부원자료'!$A:$T,ROW()+1,MATCH("층",'04A_국토부원자료'!$A$4:$T$4,0)),",","")),"")</f>
        <v/>
      </c>
      <c r="K693" s="152">
        <f>IFERROR(VALUE(SUBSTITUTE(INDEX('04A_국토부원자료'!$A:$T,ROW()+1,MATCH("건축년도",'04A_국토부원자료'!$A$4:$T$4,0)),",","")),"")</f>
        <v/>
      </c>
      <c r="L693" s="176">
        <f>IFERROR(INDEX('04A_국토부원자료'!$A:$T,ROW()+1,MATCH("도로명",'04A_국토부원자료'!$A$4:$T$4,0)),"")</f>
        <v/>
      </c>
      <c r="M693" s="48">
        <f>IFERROR(INDEX('04A_국토부원자료'!$A:$T,ROW()+1,MATCH("거래유형",'04A_국토부원자료'!$A$4:$T$4,0)),"")</f>
        <v/>
      </c>
      <c r="N693" s="152">
        <f>IF(B693="","",IF('02_대상물건입력'!B5="",1,IF(ISNUMBER(SEARCH('02_대상물건입력'!B5,B693)),1,0)))</f>
        <v/>
      </c>
      <c r="O693" s="152">
        <f>IF(B693="","",IF('02_대상물건입력'!B6="",1,IF(ISNUMBER(SEARCH('02_대상물건입력'!B6,B693)),1,0)))</f>
        <v/>
      </c>
      <c r="P693" s="152">
        <f>IF(L693="","",IF('02_대상물건입력'!B15="",0,IF(ISNUMBER(SEARCH('02_대상물건입력'!B15,L693)),1,0)))</f>
        <v/>
      </c>
      <c r="Q693" s="152">
        <f>IF(OR(C693="",L693=""),0,IF(AND(TRIM(C693)=TRIM(RIGHT(SUBSTITUTE(TRIM('02_대상물건입력'!$B$7)," ",REPT(" ",99)),99)),IF('02_대상물건입력'!B15="",TRUE(),ISNUMBER(SEARCH('02_대상물건입력'!B15,L693)))),1,0))</f>
        <v/>
      </c>
      <c r="R693" s="175">
        <f>IFERROR(ABS(E693-'02_대상물건입력'!B11)/'02_대상물건입력'!B11,"")</f>
        <v/>
      </c>
      <c r="S693" s="152">
        <f>IFERROR(ABS(J693-'02_대상물건입력'!B10),"")</f>
        <v/>
      </c>
      <c r="T693" s="152">
        <f>IFERROR(ABS('01_설정'!B4-F693),"")</f>
        <v/>
      </c>
      <c r="U693" s="152">
        <f>IFERROR(ABS(K693-YEAR('02_대상물건입력'!B14)),"")</f>
        <v/>
      </c>
      <c r="V693" s="152">
        <f>IF(B693="","",IF(AND(E693&gt;0,F693&gt;0,H693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693=1,TRUE()),R693&lt;='01_설정'!B5,S693&lt;='01_설정'!B6,T693&lt;='01_설정'!B7,U693&lt;='01_설정'!B8),"Y",""))</f>
        <v/>
      </c>
      <c r="W693" s="172">
        <f>IF(V693&lt;&gt;"Y","",MAX(0,(1-R693/'01_설정'!B5))*'01_설정'!B14+MAX(0,(1-S693/'01_설정'!B6))*'01_설정'!B15+MAX(0,(1-T693/'01_설정'!B7))*'01_설정'!B16+MAX(0,(1-U693/'01_설정'!B8))*'01_설정'!B17+O693*'01_설정'!B11+Q693*'01_설정'!B12+P693*'01_설정'!B13+IF(Z693="",0,Z693))</f>
        <v/>
      </c>
      <c r="X693" s="152">
        <f>IF(W693="","",1+COUNTIFS($W$4:$W$3003,"&gt;"&amp;W693)+COUNTIFS($W$4:W693,W693)-1)</f>
        <v/>
      </c>
      <c r="Y693" s="175">
        <f>IF(OR(I693="",'02_대상물건입력'!B19="",'02_대상물건입력'!B19&lt;=0),"",ABS(I693-'02_대상물건입력'!B19)/'02_대상물건입력'!B19)</f>
        <v/>
      </c>
      <c r="Z693" s="172">
        <f>IF(OR(Y693="",'01_설정'!B31="",'01_설정'!B31&lt;=0,'01_설정'!B32="",'01_설정'!B32&lt;=0),"",MAX(0,(1-Y693/'01_설정'!B32))*'01_설정'!B31)</f>
        <v/>
      </c>
    </row>
    <row r="694" ht="17.25" customHeight="1">
      <c r="A694" s="152">
        <f>IF(INDEX('04A_국토부원자료'!$A:$A,ROW()+1)="","",ROW()-3)</f>
        <v/>
      </c>
      <c r="B694" s="48">
        <f>IFERROR(INDEX('04A_국토부원자료'!$A:$T,ROW()+1,MATCH("시군구",'04A_국토부원자료'!$A$4:$T$4,0)),"")</f>
        <v/>
      </c>
      <c r="C694" s="48">
        <f>IF(B694="","",IFERROR(INDEX('04A_국토부원자료'!$A:$T,ROW()+1,MATCH("번지",'04A_국토부원자료'!$A$4:$T$4,0)),""))</f>
        <v/>
      </c>
      <c r="D694" s="48">
        <f>IF(B694="","",IF(Q694=1,'02_대상물건입력'!$B$8,IFERROR(INDEX('04A_국토부원자료'!$A:$T,ROW()+1,MATCH("단지명",'04A_국토부원자료'!$A$4:$T$4,0)),"")))</f>
        <v/>
      </c>
      <c r="E694" s="172">
        <f>IFERROR(VALUE(SUBSTITUTE(INDEX('04A_국토부원자료'!$A:$T,ROW()+1,MATCH("전용면적(㎡)",'04A_국토부원자료'!$A$4:$T$4,0)),",","")),"")</f>
        <v/>
      </c>
      <c r="F6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94" s="51">
        <f>IFERROR(VALUE(SUBSTITUTE(INDEX('04A_국토부원자료'!$A:$T,ROW()+1,MATCH("거래금액(만원)",'04A_국토부원자료'!$A$4:$T$4,0)),",","")),"")</f>
        <v/>
      </c>
      <c r="H694" s="174">
        <f>IF(G694="","",G694*10000)</f>
        <v/>
      </c>
      <c r="I694" s="174">
        <f>IFERROR(IF(AND(H694&gt;0,E694&gt;0),H694/E694,""),"")</f>
        <v/>
      </c>
      <c r="J694" s="152">
        <f>IFERROR(VALUE(SUBSTITUTE(INDEX('04A_국토부원자료'!$A:$T,ROW()+1,MATCH("층",'04A_국토부원자료'!$A$4:$T$4,0)),",","")),"")</f>
        <v/>
      </c>
      <c r="K694" s="152">
        <f>IFERROR(VALUE(SUBSTITUTE(INDEX('04A_국토부원자료'!$A:$T,ROW()+1,MATCH("건축년도",'04A_국토부원자료'!$A$4:$T$4,0)),",","")),"")</f>
        <v/>
      </c>
      <c r="L694" s="176">
        <f>IFERROR(INDEX('04A_국토부원자료'!$A:$T,ROW()+1,MATCH("도로명",'04A_국토부원자료'!$A$4:$T$4,0)),"")</f>
        <v/>
      </c>
      <c r="M694" s="48">
        <f>IFERROR(INDEX('04A_국토부원자료'!$A:$T,ROW()+1,MATCH("거래유형",'04A_국토부원자료'!$A$4:$T$4,0)),"")</f>
        <v/>
      </c>
      <c r="N694" s="152">
        <f>IF(B694="","",IF('02_대상물건입력'!B5="",1,IF(ISNUMBER(SEARCH('02_대상물건입력'!B5,B694)),1,0)))</f>
        <v/>
      </c>
      <c r="O694" s="152">
        <f>IF(B694="","",IF('02_대상물건입력'!B6="",1,IF(ISNUMBER(SEARCH('02_대상물건입력'!B6,B694)),1,0)))</f>
        <v/>
      </c>
      <c r="P694" s="152">
        <f>IF(L694="","",IF('02_대상물건입력'!B15="",0,IF(ISNUMBER(SEARCH('02_대상물건입력'!B15,L694)),1,0)))</f>
        <v/>
      </c>
      <c r="Q694" s="152">
        <f>IF(OR(C694="",L694=""),0,IF(AND(TRIM(C694)=TRIM(RIGHT(SUBSTITUTE(TRIM('02_대상물건입력'!$B$7)," ",REPT(" ",99)),99)),IF('02_대상물건입력'!B15="",TRUE(),ISNUMBER(SEARCH('02_대상물건입력'!B15,L694)))),1,0))</f>
        <v/>
      </c>
      <c r="R694" s="175">
        <f>IFERROR(ABS(E694-'02_대상물건입력'!B11)/'02_대상물건입력'!B11,"")</f>
        <v/>
      </c>
      <c r="S694" s="152">
        <f>IFERROR(ABS(J694-'02_대상물건입력'!B10),"")</f>
        <v/>
      </c>
      <c r="T694" s="152">
        <f>IFERROR(ABS('01_설정'!B4-F694),"")</f>
        <v/>
      </c>
      <c r="U694" s="152">
        <f>IFERROR(ABS(K694-YEAR('02_대상물건입력'!B14)),"")</f>
        <v/>
      </c>
      <c r="V694" s="152">
        <f>IF(B694="","",IF(AND(E694&gt;0,F694&gt;0,H694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694=1,TRUE()),R694&lt;='01_설정'!B5,S694&lt;='01_설정'!B6,T694&lt;='01_설정'!B7,U694&lt;='01_설정'!B8),"Y",""))</f>
        <v/>
      </c>
      <c r="W694" s="172">
        <f>IF(V694&lt;&gt;"Y","",MAX(0,(1-R694/'01_설정'!B5))*'01_설정'!B14+MAX(0,(1-S694/'01_설정'!B6))*'01_설정'!B15+MAX(0,(1-T694/'01_설정'!B7))*'01_설정'!B16+MAX(0,(1-U694/'01_설정'!B8))*'01_설정'!B17+O694*'01_설정'!B11+Q694*'01_설정'!B12+P694*'01_설정'!B13+IF(Z694="",0,Z694))</f>
        <v/>
      </c>
      <c r="X694" s="152">
        <f>IF(W694="","",1+COUNTIFS($W$4:$W$3003,"&gt;"&amp;W694)+COUNTIFS($W$4:W694,W694)-1)</f>
        <v/>
      </c>
      <c r="Y694" s="175">
        <f>IF(OR(I694="",'02_대상물건입력'!B19="",'02_대상물건입력'!B19&lt;=0),"",ABS(I694-'02_대상물건입력'!B19)/'02_대상물건입력'!B19)</f>
        <v/>
      </c>
      <c r="Z694" s="172">
        <f>IF(OR(Y694="",'01_설정'!B31="",'01_설정'!B31&lt;=0,'01_설정'!B32="",'01_설정'!B32&lt;=0),"",MAX(0,(1-Y694/'01_설정'!B32))*'01_설정'!B31)</f>
        <v/>
      </c>
    </row>
    <row r="695" ht="17.25" customHeight="1">
      <c r="A695" s="152">
        <f>IF(INDEX('04A_국토부원자료'!$A:$A,ROW()+1)="","",ROW()-3)</f>
        <v/>
      </c>
      <c r="B695" s="48">
        <f>IFERROR(INDEX('04A_국토부원자료'!$A:$T,ROW()+1,MATCH("시군구",'04A_국토부원자료'!$A$4:$T$4,0)),"")</f>
        <v/>
      </c>
      <c r="C695" s="48">
        <f>IF(B695="","",IFERROR(INDEX('04A_국토부원자료'!$A:$T,ROW()+1,MATCH("번지",'04A_국토부원자료'!$A$4:$T$4,0)),""))</f>
        <v/>
      </c>
      <c r="D695" s="48">
        <f>IF(B695="","",IF(Q695=1,'02_대상물건입력'!$B$8,IFERROR(INDEX('04A_국토부원자료'!$A:$T,ROW()+1,MATCH("단지명",'04A_국토부원자료'!$A$4:$T$4,0)),"")))</f>
        <v/>
      </c>
      <c r="E695" s="172">
        <f>IFERROR(VALUE(SUBSTITUTE(INDEX('04A_국토부원자료'!$A:$T,ROW()+1,MATCH("전용면적(㎡)",'04A_국토부원자료'!$A$4:$T$4,0)),",","")),"")</f>
        <v/>
      </c>
      <c r="F6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95" s="51">
        <f>IFERROR(VALUE(SUBSTITUTE(INDEX('04A_국토부원자료'!$A:$T,ROW()+1,MATCH("거래금액(만원)",'04A_국토부원자료'!$A$4:$T$4,0)),",","")),"")</f>
        <v/>
      </c>
      <c r="H695" s="174">
        <f>IF(G695="","",G695*10000)</f>
        <v/>
      </c>
      <c r="I695" s="174">
        <f>IFERROR(IF(AND(H695&gt;0,E695&gt;0),H695/E695,""),"")</f>
        <v/>
      </c>
      <c r="J695" s="152">
        <f>IFERROR(VALUE(SUBSTITUTE(INDEX('04A_국토부원자료'!$A:$T,ROW()+1,MATCH("층",'04A_국토부원자료'!$A$4:$T$4,0)),",","")),"")</f>
        <v/>
      </c>
      <c r="K695" s="152">
        <f>IFERROR(VALUE(SUBSTITUTE(INDEX('04A_국토부원자료'!$A:$T,ROW()+1,MATCH("건축년도",'04A_국토부원자료'!$A$4:$T$4,0)),",","")),"")</f>
        <v/>
      </c>
      <c r="L695" s="176">
        <f>IFERROR(INDEX('04A_국토부원자료'!$A:$T,ROW()+1,MATCH("도로명",'04A_국토부원자료'!$A$4:$T$4,0)),"")</f>
        <v/>
      </c>
      <c r="M695" s="48">
        <f>IFERROR(INDEX('04A_국토부원자료'!$A:$T,ROW()+1,MATCH("거래유형",'04A_국토부원자료'!$A$4:$T$4,0)),"")</f>
        <v/>
      </c>
      <c r="N695" s="152">
        <f>IF(B695="","",IF('02_대상물건입력'!B5="",1,IF(ISNUMBER(SEARCH('02_대상물건입력'!B5,B695)),1,0)))</f>
        <v/>
      </c>
      <c r="O695" s="152">
        <f>IF(B695="","",IF('02_대상물건입력'!B6="",1,IF(ISNUMBER(SEARCH('02_대상물건입력'!B6,B695)),1,0)))</f>
        <v/>
      </c>
      <c r="P695" s="152">
        <f>IF(L695="","",IF('02_대상물건입력'!B15="",0,IF(ISNUMBER(SEARCH('02_대상물건입력'!B15,L695)),1,0)))</f>
        <v/>
      </c>
      <c r="Q695" s="152">
        <f>IF(OR(C695="",L695=""),0,IF(AND(TRIM(C695)=TRIM(RIGHT(SUBSTITUTE(TRIM('02_대상물건입력'!$B$7)," ",REPT(" ",99)),99)),IF('02_대상물건입력'!B15="",TRUE(),ISNUMBER(SEARCH('02_대상물건입력'!B15,L695)))),1,0))</f>
        <v/>
      </c>
      <c r="R695" s="175">
        <f>IFERROR(ABS(E695-'02_대상물건입력'!B11)/'02_대상물건입력'!B11,"")</f>
        <v/>
      </c>
      <c r="S695" s="152">
        <f>IFERROR(ABS(J695-'02_대상물건입력'!B10),"")</f>
        <v/>
      </c>
      <c r="T695" s="152">
        <f>IFERROR(ABS('01_설정'!B4-F695),"")</f>
        <v/>
      </c>
      <c r="U695" s="152">
        <f>IFERROR(ABS(K695-YEAR('02_대상물건입력'!B14)),"")</f>
        <v/>
      </c>
      <c r="V695" s="152">
        <f>IF(B695="","",IF(AND(E695&gt;0,F695&gt;0,H695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695=1,TRUE()),R695&lt;='01_설정'!B5,S695&lt;='01_설정'!B6,T695&lt;='01_설정'!B7,U695&lt;='01_설정'!B8),"Y",""))</f>
        <v/>
      </c>
      <c r="W695" s="172">
        <f>IF(V695&lt;&gt;"Y","",MAX(0,(1-R695/'01_설정'!B5))*'01_설정'!B14+MAX(0,(1-S695/'01_설정'!B6))*'01_설정'!B15+MAX(0,(1-T695/'01_설정'!B7))*'01_설정'!B16+MAX(0,(1-U695/'01_설정'!B8))*'01_설정'!B17+O695*'01_설정'!B11+Q695*'01_설정'!B12+P695*'01_설정'!B13+IF(Z695="",0,Z695))</f>
        <v/>
      </c>
      <c r="X695" s="152">
        <f>IF(W695="","",1+COUNTIFS($W$4:$W$3003,"&gt;"&amp;W695)+COUNTIFS($W$4:W695,W695)-1)</f>
        <v/>
      </c>
      <c r="Y695" s="175">
        <f>IF(OR(I695="",'02_대상물건입력'!B19="",'02_대상물건입력'!B19&lt;=0),"",ABS(I695-'02_대상물건입력'!B19)/'02_대상물건입력'!B19)</f>
        <v/>
      </c>
      <c r="Z695" s="172">
        <f>IF(OR(Y695="",'01_설정'!B31="",'01_설정'!B31&lt;=0,'01_설정'!B32="",'01_설정'!B32&lt;=0),"",MAX(0,(1-Y695/'01_설정'!B32))*'01_설정'!B31)</f>
        <v/>
      </c>
    </row>
    <row r="696" ht="17.25" customHeight="1">
      <c r="A696" s="152">
        <f>IF(INDEX('04A_국토부원자료'!$A:$A,ROW()+1)="","",ROW()-3)</f>
        <v/>
      </c>
      <c r="B696" s="48">
        <f>IFERROR(INDEX('04A_국토부원자료'!$A:$T,ROW()+1,MATCH("시군구",'04A_국토부원자료'!$A$4:$T$4,0)),"")</f>
        <v/>
      </c>
      <c r="C696" s="48">
        <f>IF(B696="","",IFERROR(INDEX('04A_국토부원자료'!$A:$T,ROW()+1,MATCH("번지",'04A_국토부원자료'!$A$4:$T$4,0)),""))</f>
        <v/>
      </c>
      <c r="D696" s="48">
        <f>IF(B696="","",IF(Q696=1,'02_대상물건입력'!$B$8,IFERROR(INDEX('04A_국토부원자료'!$A:$T,ROW()+1,MATCH("단지명",'04A_국토부원자료'!$A$4:$T$4,0)),"")))</f>
        <v/>
      </c>
      <c r="E696" s="172">
        <f>IFERROR(VALUE(SUBSTITUTE(INDEX('04A_국토부원자료'!$A:$T,ROW()+1,MATCH("전용면적(㎡)",'04A_국토부원자료'!$A$4:$T$4,0)),",","")),"")</f>
        <v/>
      </c>
      <c r="F6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96" s="51">
        <f>IFERROR(VALUE(SUBSTITUTE(INDEX('04A_국토부원자료'!$A:$T,ROW()+1,MATCH("거래금액(만원)",'04A_국토부원자료'!$A$4:$T$4,0)),",","")),"")</f>
        <v/>
      </c>
      <c r="H696" s="174">
        <f>IF(G696="","",G696*10000)</f>
        <v/>
      </c>
      <c r="I696" s="174">
        <f>IFERROR(IF(AND(H696&gt;0,E696&gt;0),H696/E696,""),"")</f>
        <v/>
      </c>
      <c r="J696" s="152">
        <f>IFERROR(VALUE(SUBSTITUTE(INDEX('04A_국토부원자료'!$A:$T,ROW()+1,MATCH("층",'04A_국토부원자료'!$A$4:$T$4,0)),",","")),"")</f>
        <v/>
      </c>
      <c r="K696" s="152">
        <f>IFERROR(VALUE(SUBSTITUTE(INDEX('04A_국토부원자료'!$A:$T,ROW()+1,MATCH("건축년도",'04A_국토부원자료'!$A$4:$T$4,0)),",","")),"")</f>
        <v/>
      </c>
      <c r="L696" s="176">
        <f>IFERROR(INDEX('04A_국토부원자료'!$A:$T,ROW()+1,MATCH("도로명",'04A_국토부원자료'!$A$4:$T$4,0)),"")</f>
        <v/>
      </c>
      <c r="M696" s="48">
        <f>IFERROR(INDEX('04A_국토부원자료'!$A:$T,ROW()+1,MATCH("거래유형",'04A_국토부원자료'!$A$4:$T$4,0)),"")</f>
        <v/>
      </c>
      <c r="N696" s="152">
        <f>IF(B696="","",IF('02_대상물건입력'!B5="",1,IF(ISNUMBER(SEARCH('02_대상물건입력'!B5,B696)),1,0)))</f>
        <v/>
      </c>
      <c r="O696" s="152">
        <f>IF(B696="","",IF('02_대상물건입력'!B6="",1,IF(ISNUMBER(SEARCH('02_대상물건입력'!B6,B696)),1,0)))</f>
        <v/>
      </c>
      <c r="P696" s="152">
        <f>IF(L696="","",IF('02_대상물건입력'!B15="",0,IF(ISNUMBER(SEARCH('02_대상물건입력'!B15,L696)),1,0)))</f>
        <v/>
      </c>
      <c r="Q696" s="152">
        <f>IF(OR(C696="",L696=""),0,IF(AND(TRIM(C696)=TRIM(RIGHT(SUBSTITUTE(TRIM('02_대상물건입력'!$B$7)," ",REPT(" ",99)),99)),IF('02_대상물건입력'!B15="",TRUE(),ISNUMBER(SEARCH('02_대상물건입력'!B15,L696)))),1,0))</f>
        <v/>
      </c>
      <c r="R696" s="175">
        <f>IFERROR(ABS(E696-'02_대상물건입력'!B11)/'02_대상물건입력'!B11,"")</f>
        <v/>
      </c>
      <c r="S696" s="152">
        <f>IFERROR(ABS(J696-'02_대상물건입력'!B10),"")</f>
        <v/>
      </c>
      <c r="T696" s="152">
        <f>IFERROR(ABS('01_설정'!B4-F696),"")</f>
        <v/>
      </c>
      <c r="U696" s="152">
        <f>IFERROR(ABS(K696-YEAR('02_대상물건입력'!B14)),"")</f>
        <v/>
      </c>
      <c r="V696" s="152">
        <f>IF(B696="","",IF(AND(E696&gt;0,F696&gt;0,H696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696=1,TRUE()),R696&lt;='01_설정'!B5,S696&lt;='01_설정'!B6,T696&lt;='01_설정'!B7,U696&lt;='01_설정'!B8),"Y",""))</f>
        <v/>
      </c>
      <c r="W696" s="172">
        <f>IF(V696&lt;&gt;"Y","",MAX(0,(1-R696/'01_설정'!B5))*'01_설정'!B14+MAX(0,(1-S696/'01_설정'!B6))*'01_설정'!B15+MAX(0,(1-T696/'01_설정'!B7))*'01_설정'!B16+MAX(0,(1-U696/'01_설정'!B8))*'01_설정'!B17+O696*'01_설정'!B11+Q696*'01_설정'!B12+P696*'01_설정'!B13+IF(Z696="",0,Z696))</f>
        <v/>
      </c>
      <c r="X696" s="152">
        <f>IF(W696="","",1+COUNTIFS($W$4:$W$3003,"&gt;"&amp;W696)+COUNTIFS($W$4:W696,W696)-1)</f>
        <v/>
      </c>
      <c r="Y696" s="175">
        <f>IF(OR(I696="",'02_대상물건입력'!B19="",'02_대상물건입력'!B19&lt;=0),"",ABS(I696-'02_대상물건입력'!B19)/'02_대상물건입력'!B19)</f>
        <v/>
      </c>
      <c r="Z696" s="172">
        <f>IF(OR(Y696="",'01_설정'!B31="",'01_설정'!B31&lt;=0,'01_설정'!B32="",'01_설정'!B32&lt;=0),"",MAX(0,(1-Y696/'01_설정'!B32))*'01_설정'!B31)</f>
        <v/>
      </c>
    </row>
    <row r="697" ht="17.25" customHeight="1">
      <c r="A697" s="152">
        <f>IF(INDEX('04A_국토부원자료'!$A:$A,ROW()+1)="","",ROW()-3)</f>
        <v/>
      </c>
      <c r="B697" s="48">
        <f>IFERROR(INDEX('04A_국토부원자료'!$A:$T,ROW()+1,MATCH("시군구",'04A_국토부원자료'!$A$4:$T$4,0)),"")</f>
        <v/>
      </c>
      <c r="C697" s="48">
        <f>IF(B697="","",IFERROR(INDEX('04A_국토부원자료'!$A:$T,ROW()+1,MATCH("번지",'04A_국토부원자료'!$A$4:$T$4,0)),""))</f>
        <v/>
      </c>
      <c r="D697" s="48">
        <f>IF(B697="","",IF(Q697=1,'02_대상물건입력'!$B$8,IFERROR(INDEX('04A_국토부원자료'!$A:$T,ROW()+1,MATCH("단지명",'04A_국토부원자료'!$A$4:$T$4,0)),"")))</f>
        <v/>
      </c>
      <c r="E697" s="172">
        <f>IFERROR(VALUE(SUBSTITUTE(INDEX('04A_국토부원자료'!$A:$T,ROW()+1,MATCH("전용면적(㎡)",'04A_국토부원자료'!$A$4:$T$4,0)),",","")),"")</f>
        <v/>
      </c>
      <c r="F6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97" s="51">
        <f>IFERROR(VALUE(SUBSTITUTE(INDEX('04A_국토부원자료'!$A:$T,ROW()+1,MATCH("거래금액(만원)",'04A_국토부원자료'!$A$4:$T$4,0)),",","")),"")</f>
        <v/>
      </c>
      <c r="H697" s="174">
        <f>IF(G697="","",G697*10000)</f>
        <v/>
      </c>
      <c r="I697" s="174">
        <f>IFERROR(IF(AND(H697&gt;0,E697&gt;0),H697/E697,""),"")</f>
        <v/>
      </c>
      <c r="J697" s="152">
        <f>IFERROR(VALUE(SUBSTITUTE(INDEX('04A_국토부원자료'!$A:$T,ROW()+1,MATCH("층",'04A_국토부원자료'!$A$4:$T$4,0)),",","")),"")</f>
        <v/>
      </c>
      <c r="K697" s="152">
        <f>IFERROR(VALUE(SUBSTITUTE(INDEX('04A_국토부원자료'!$A:$T,ROW()+1,MATCH("건축년도",'04A_국토부원자료'!$A$4:$T$4,0)),",","")),"")</f>
        <v/>
      </c>
      <c r="L697" s="176">
        <f>IFERROR(INDEX('04A_국토부원자료'!$A:$T,ROW()+1,MATCH("도로명",'04A_국토부원자료'!$A$4:$T$4,0)),"")</f>
        <v/>
      </c>
      <c r="M697" s="48">
        <f>IFERROR(INDEX('04A_국토부원자료'!$A:$T,ROW()+1,MATCH("거래유형",'04A_국토부원자료'!$A$4:$T$4,0)),"")</f>
        <v/>
      </c>
      <c r="N697" s="152">
        <f>IF(B697="","",IF('02_대상물건입력'!B5="",1,IF(ISNUMBER(SEARCH('02_대상물건입력'!B5,B697)),1,0)))</f>
        <v/>
      </c>
      <c r="O697" s="152">
        <f>IF(B697="","",IF('02_대상물건입력'!B6="",1,IF(ISNUMBER(SEARCH('02_대상물건입력'!B6,B697)),1,0)))</f>
        <v/>
      </c>
      <c r="P697" s="152">
        <f>IF(L697="","",IF('02_대상물건입력'!B15="",0,IF(ISNUMBER(SEARCH('02_대상물건입력'!B15,L697)),1,0)))</f>
        <v/>
      </c>
      <c r="Q697" s="152">
        <f>IF(OR(C697="",L697=""),0,IF(AND(TRIM(C697)=TRIM(RIGHT(SUBSTITUTE(TRIM('02_대상물건입력'!$B$7)," ",REPT(" ",99)),99)),IF('02_대상물건입력'!B15="",TRUE(),ISNUMBER(SEARCH('02_대상물건입력'!B15,L697)))),1,0))</f>
        <v/>
      </c>
      <c r="R697" s="175">
        <f>IFERROR(ABS(E697-'02_대상물건입력'!B11)/'02_대상물건입력'!B11,"")</f>
        <v/>
      </c>
      <c r="S697" s="152">
        <f>IFERROR(ABS(J697-'02_대상물건입력'!B10),"")</f>
        <v/>
      </c>
      <c r="T697" s="152">
        <f>IFERROR(ABS('01_설정'!B4-F697),"")</f>
        <v/>
      </c>
      <c r="U697" s="152">
        <f>IFERROR(ABS(K697-YEAR('02_대상물건입력'!B14)),"")</f>
        <v/>
      </c>
      <c r="V697" s="152">
        <f>IF(B697="","",IF(AND(E697&gt;0,F697&gt;0,H697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697=1,TRUE()),R697&lt;='01_설정'!B5,S697&lt;='01_설정'!B6,T697&lt;='01_설정'!B7,U697&lt;='01_설정'!B8),"Y",""))</f>
        <v/>
      </c>
      <c r="W697" s="172">
        <f>IF(V697&lt;&gt;"Y","",MAX(0,(1-R697/'01_설정'!B5))*'01_설정'!B14+MAX(0,(1-S697/'01_설정'!B6))*'01_설정'!B15+MAX(0,(1-T697/'01_설정'!B7))*'01_설정'!B16+MAX(0,(1-U697/'01_설정'!B8))*'01_설정'!B17+O697*'01_설정'!B11+Q697*'01_설정'!B12+P697*'01_설정'!B13+IF(Z697="",0,Z697))</f>
        <v/>
      </c>
      <c r="X697" s="152">
        <f>IF(W697="","",1+COUNTIFS($W$4:$W$3003,"&gt;"&amp;W697)+COUNTIFS($W$4:W697,W697)-1)</f>
        <v/>
      </c>
      <c r="Y697" s="175">
        <f>IF(OR(I697="",'02_대상물건입력'!B19="",'02_대상물건입력'!B19&lt;=0),"",ABS(I697-'02_대상물건입력'!B19)/'02_대상물건입력'!B19)</f>
        <v/>
      </c>
      <c r="Z697" s="172">
        <f>IF(OR(Y697="",'01_설정'!B31="",'01_설정'!B31&lt;=0,'01_설정'!B32="",'01_설정'!B32&lt;=0),"",MAX(0,(1-Y697/'01_설정'!B32))*'01_설정'!B31)</f>
        <v/>
      </c>
    </row>
    <row r="698" ht="17.25" customHeight="1">
      <c r="A698" s="152">
        <f>IF(INDEX('04A_국토부원자료'!$A:$A,ROW()+1)="","",ROW()-3)</f>
        <v/>
      </c>
      <c r="B698" s="48">
        <f>IFERROR(INDEX('04A_국토부원자료'!$A:$T,ROW()+1,MATCH("시군구",'04A_국토부원자료'!$A$4:$T$4,0)),"")</f>
        <v/>
      </c>
      <c r="C698" s="48">
        <f>IF(B698="","",IFERROR(INDEX('04A_국토부원자료'!$A:$T,ROW()+1,MATCH("번지",'04A_국토부원자료'!$A$4:$T$4,0)),""))</f>
        <v/>
      </c>
      <c r="D698" s="48">
        <f>IF(B698="","",IF(Q698=1,'02_대상물건입력'!$B$8,IFERROR(INDEX('04A_국토부원자료'!$A:$T,ROW()+1,MATCH("단지명",'04A_국토부원자료'!$A$4:$T$4,0)),"")))</f>
        <v/>
      </c>
      <c r="E698" s="172">
        <f>IFERROR(VALUE(SUBSTITUTE(INDEX('04A_국토부원자료'!$A:$T,ROW()+1,MATCH("전용면적(㎡)",'04A_국토부원자료'!$A$4:$T$4,0)),",","")),"")</f>
        <v/>
      </c>
      <c r="F6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98" s="51">
        <f>IFERROR(VALUE(SUBSTITUTE(INDEX('04A_국토부원자료'!$A:$T,ROW()+1,MATCH("거래금액(만원)",'04A_국토부원자료'!$A$4:$T$4,0)),",","")),"")</f>
        <v/>
      </c>
      <c r="H698" s="174">
        <f>IF(G698="","",G698*10000)</f>
        <v/>
      </c>
      <c r="I698" s="174">
        <f>IFERROR(IF(AND(H698&gt;0,E698&gt;0),H698/E698,""),"")</f>
        <v/>
      </c>
      <c r="J698" s="152">
        <f>IFERROR(VALUE(SUBSTITUTE(INDEX('04A_국토부원자료'!$A:$T,ROW()+1,MATCH("층",'04A_국토부원자료'!$A$4:$T$4,0)),",","")),"")</f>
        <v/>
      </c>
      <c r="K698" s="152">
        <f>IFERROR(VALUE(SUBSTITUTE(INDEX('04A_국토부원자료'!$A:$T,ROW()+1,MATCH("건축년도",'04A_국토부원자료'!$A$4:$T$4,0)),",","")),"")</f>
        <v/>
      </c>
      <c r="L698" s="176">
        <f>IFERROR(INDEX('04A_국토부원자료'!$A:$T,ROW()+1,MATCH("도로명",'04A_국토부원자료'!$A$4:$T$4,0)),"")</f>
        <v/>
      </c>
      <c r="M698" s="48">
        <f>IFERROR(INDEX('04A_국토부원자료'!$A:$T,ROW()+1,MATCH("거래유형",'04A_국토부원자료'!$A$4:$T$4,0)),"")</f>
        <v/>
      </c>
      <c r="N698" s="152">
        <f>IF(B698="","",IF('02_대상물건입력'!B5="",1,IF(ISNUMBER(SEARCH('02_대상물건입력'!B5,B698)),1,0)))</f>
        <v/>
      </c>
      <c r="O698" s="152">
        <f>IF(B698="","",IF('02_대상물건입력'!B6="",1,IF(ISNUMBER(SEARCH('02_대상물건입력'!B6,B698)),1,0)))</f>
        <v/>
      </c>
      <c r="P698" s="152">
        <f>IF(L698="","",IF('02_대상물건입력'!B15="",0,IF(ISNUMBER(SEARCH('02_대상물건입력'!B15,L698)),1,0)))</f>
        <v/>
      </c>
      <c r="Q698" s="152">
        <f>IF(OR(C698="",L698=""),0,IF(AND(TRIM(C698)=TRIM(RIGHT(SUBSTITUTE(TRIM('02_대상물건입력'!$B$7)," ",REPT(" ",99)),99)),IF('02_대상물건입력'!B15="",TRUE(),ISNUMBER(SEARCH('02_대상물건입력'!B15,L698)))),1,0))</f>
        <v/>
      </c>
      <c r="R698" s="175">
        <f>IFERROR(ABS(E698-'02_대상물건입력'!B11)/'02_대상물건입력'!B11,"")</f>
        <v/>
      </c>
      <c r="S698" s="152">
        <f>IFERROR(ABS(J698-'02_대상물건입력'!B10),"")</f>
        <v/>
      </c>
      <c r="T698" s="152">
        <f>IFERROR(ABS('01_설정'!B4-F698),"")</f>
        <v/>
      </c>
      <c r="U698" s="152">
        <f>IFERROR(ABS(K698-YEAR('02_대상물건입력'!B14)),"")</f>
        <v/>
      </c>
      <c r="V698" s="152">
        <f>IF(B698="","",IF(AND(E698&gt;0,F698&gt;0,H698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698=1,TRUE()),R698&lt;='01_설정'!B5,S698&lt;='01_설정'!B6,T698&lt;='01_설정'!B7,U698&lt;='01_설정'!B8),"Y",""))</f>
        <v/>
      </c>
      <c r="W698" s="172">
        <f>IF(V698&lt;&gt;"Y","",MAX(0,(1-R698/'01_설정'!B5))*'01_설정'!B14+MAX(0,(1-S698/'01_설정'!B6))*'01_설정'!B15+MAX(0,(1-T698/'01_설정'!B7))*'01_설정'!B16+MAX(0,(1-U698/'01_설정'!B8))*'01_설정'!B17+O698*'01_설정'!B11+Q698*'01_설정'!B12+P698*'01_설정'!B13+IF(Z698="",0,Z698))</f>
        <v/>
      </c>
      <c r="X698" s="152">
        <f>IF(W698="","",1+COUNTIFS($W$4:$W$3003,"&gt;"&amp;W698)+COUNTIFS($W$4:W698,W698)-1)</f>
        <v/>
      </c>
      <c r="Y698" s="175">
        <f>IF(OR(I698="",'02_대상물건입력'!B19="",'02_대상물건입력'!B19&lt;=0),"",ABS(I698-'02_대상물건입력'!B19)/'02_대상물건입력'!B19)</f>
        <v/>
      </c>
      <c r="Z698" s="172">
        <f>IF(OR(Y698="",'01_설정'!B31="",'01_설정'!B31&lt;=0,'01_설정'!B32="",'01_설정'!B32&lt;=0),"",MAX(0,(1-Y698/'01_설정'!B32))*'01_설정'!B31)</f>
        <v/>
      </c>
    </row>
    <row r="699" ht="17.25" customHeight="1">
      <c r="A699" s="152">
        <f>IF(INDEX('04A_국토부원자료'!$A:$A,ROW()+1)="","",ROW()-3)</f>
        <v/>
      </c>
      <c r="B699" s="48">
        <f>IFERROR(INDEX('04A_국토부원자료'!$A:$T,ROW()+1,MATCH("시군구",'04A_국토부원자료'!$A$4:$T$4,0)),"")</f>
        <v/>
      </c>
      <c r="C699" s="48">
        <f>IF(B699="","",IFERROR(INDEX('04A_국토부원자료'!$A:$T,ROW()+1,MATCH("번지",'04A_국토부원자료'!$A$4:$T$4,0)),""))</f>
        <v/>
      </c>
      <c r="D699" s="48">
        <f>IF(B699="","",IF(Q699=1,'02_대상물건입력'!$B$8,IFERROR(INDEX('04A_국토부원자료'!$A:$T,ROW()+1,MATCH("단지명",'04A_국토부원자료'!$A$4:$T$4,0)),"")))</f>
        <v/>
      </c>
      <c r="E699" s="172">
        <f>IFERROR(VALUE(SUBSTITUTE(INDEX('04A_국토부원자료'!$A:$T,ROW()+1,MATCH("전용면적(㎡)",'04A_국토부원자료'!$A$4:$T$4,0)),",","")),"")</f>
        <v/>
      </c>
      <c r="F6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699" s="51">
        <f>IFERROR(VALUE(SUBSTITUTE(INDEX('04A_국토부원자료'!$A:$T,ROW()+1,MATCH("거래금액(만원)",'04A_국토부원자료'!$A$4:$T$4,0)),",","")),"")</f>
        <v/>
      </c>
      <c r="H699" s="174">
        <f>IF(G699="","",G699*10000)</f>
        <v/>
      </c>
      <c r="I699" s="174">
        <f>IFERROR(IF(AND(H699&gt;0,E699&gt;0),H699/E699,""),"")</f>
        <v/>
      </c>
      <c r="J699" s="152">
        <f>IFERROR(VALUE(SUBSTITUTE(INDEX('04A_국토부원자료'!$A:$T,ROW()+1,MATCH("층",'04A_국토부원자료'!$A$4:$T$4,0)),",","")),"")</f>
        <v/>
      </c>
      <c r="K699" s="152">
        <f>IFERROR(VALUE(SUBSTITUTE(INDEX('04A_국토부원자료'!$A:$T,ROW()+1,MATCH("건축년도",'04A_국토부원자료'!$A$4:$T$4,0)),",","")),"")</f>
        <v/>
      </c>
      <c r="L699" s="176">
        <f>IFERROR(INDEX('04A_국토부원자료'!$A:$T,ROW()+1,MATCH("도로명",'04A_국토부원자료'!$A$4:$T$4,0)),"")</f>
        <v/>
      </c>
      <c r="M699" s="48">
        <f>IFERROR(INDEX('04A_국토부원자료'!$A:$T,ROW()+1,MATCH("거래유형",'04A_국토부원자료'!$A$4:$T$4,0)),"")</f>
        <v/>
      </c>
      <c r="N699" s="152">
        <f>IF(B699="","",IF('02_대상물건입력'!B5="",1,IF(ISNUMBER(SEARCH('02_대상물건입력'!B5,B699)),1,0)))</f>
        <v/>
      </c>
      <c r="O699" s="152">
        <f>IF(B699="","",IF('02_대상물건입력'!B6="",1,IF(ISNUMBER(SEARCH('02_대상물건입력'!B6,B699)),1,0)))</f>
        <v/>
      </c>
      <c r="P699" s="152">
        <f>IF(L699="","",IF('02_대상물건입력'!B15="",0,IF(ISNUMBER(SEARCH('02_대상물건입력'!B15,L699)),1,0)))</f>
        <v/>
      </c>
      <c r="Q699" s="152">
        <f>IF(OR(C699="",L699=""),0,IF(AND(TRIM(C699)=TRIM(RIGHT(SUBSTITUTE(TRIM('02_대상물건입력'!$B$7)," ",REPT(" ",99)),99)),IF('02_대상물건입력'!B15="",TRUE(),ISNUMBER(SEARCH('02_대상물건입력'!B15,L699)))),1,0))</f>
        <v/>
      </c>
      <c r="R699" s="175">
        <f>IFERROR(ABS(E699-'02_대상물건입력'!B11)/'02_대상물건입력'!B11,"")</f>
        <v/>
      </c>
      <c r="S699" s="152">
        <f>IFERROR(ABS(J699-'02_대상물건입력'!B10),"")</f>
        <v/>
      </c>
      <c r="T699" s="152">
        <f>IFERROR(ABS('01_설정'!B4-F699),"")</f>
        <v/>
      </c>
      <c r="U699" s="152">
        <f>IFERROR(ABS(K699-YEAR('02_대상물건입력'!B14)),"")</f>
        <v/>
      </c>
      <c r="V699" s="152">
        <f>IF(B699="","",IF(AND(E699&gt;0,F699&gt;0,H699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699=1,TRUE()),R699&lt;='01_설정'!B5,S699&lt;='01_설정'!B6,T699&lt;='01_설정'!B7,U699&lt;='01_설정'!B8),"Y",""))</f>
        <v/>
      </c>
      <c r="W699" s="172">
        <f>IF(V699&lt;&gt;"Y","",MAX(0,(1-R699/'01_설정'!B5))*'01_설정'!B14+MAX(0,(1-S699/'01_설정'!B6))*'01_설정'!B15+MAX(0,(1-T699/'01_설정'!B7))*'01_설정'!B16+MAX(0,(1-U699/'01_설정'!B8))*'01_설정'!B17+O699*'01_설정'!B11+Q699*'01_설정'!B12+P699*'01_설정'!B13+IF(Z699="",0,Z699))</f>
        <v/>
      </c>
      <c r="X699" s="152">
        <f>IF(W699="","",1+COUNTIFS($W$4:$W$3003,"&gt;"&amp;W699)+COUNTIFS($W$4:W699,W699)-1)</f>
        <v/>
      </c>
      <c r="Y699" s="175">
        <f>IF(OR(I699="",'02_대상물건입력'!B19="",'02_대상물건입력'!B19&lt;=0),"",ABS(I699-'02_대상물건입력'!B19)/'02_대상물건입력'!B19)</f>
        <v/>
      </c>
      <c r="Z699" s="172">
        <f>IF(OR(Y699="",'01_설정'!B31="",'01_설정'!B31&lt;=0,'01_설정'!B32="",'01_설정'!B32&lt;=0),"",MAX(0,(1-Y699/'01_설정'!B32))*'01_설정'!B31)</f>
        <v/>
      </c>
    </row>
    <row r="700" ht="17.25" customHeight="1">
      <c r="A700" s="152">
        <f>IF(INDEX('04A_국토부원자료'!$A:$A,ROW()+1)="","",ROW()-3)</f>
        <v/>
      </c>
      <c r="B700" s="48">
        <f>IFERROR(INDEX('04A_국토부원자료'!$A:$T,ROW()+1,MATCH("시군구",'04A_국토부원자료'!$A$4:$T$4,0)),"")</f>
        <v/>
      </c>
      <c r="C700" s="48">
        <f>IF(B700="","",IFERROR(INDEX('04A_국토부원자료'!$A:$T,ROW()+1,MATCH("번지",'04A_국토부원자료'!$A$4:$T$4,0)),""))</f>
        <v/>
      </c>
      <c r="D700" s="48">
        <f>IF(B700="","",IF(Q700=1,'02_대상물건입력'!$B$8,IFERROR(INDEX('04A_국토부원자료'!$A:$T,ROW()+1,MATCH("단지명",'04A_국토부원자료'!$A$4:$T$4,0)),"")))</f>
        <v/>
      </c>
      <c r="E700" s="172">
        <f>IFERROR(VALUE(SUBSTITUTE(INDEX('04A_국토부원자료'!$A:$T,ROW()+1,MATCH("전용면적(㎡)",'04A_국토부원자료'!$A$4:$T$4,0)),",","")),"")</f>
        <v/>
      </c>
      <c r="F7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00" s="51">
        <f>IFERROR(VALUE(SUBSTITUTE(INDEX('04A_국토부원자료'!$A:$T,ROW()+1,MATCH("거래금액(만원)",'04A_국토부원자료'!$A$4:$T$4,0)),",","")),"")</f>
        <v/>
      </c>
      <c r="H700" s="174">
        <f>IF(G700="","",G700*10000)</f>
        <v/>
      </c>
      <c r="I700" s="174">
        <f>IFERROR(IF(AND(H700&gt;0,E700&gt;0),H700/E700,""),"")</f>
        <v/>
      </c>
      <c r="J700" s="152">
        <f>IFERROR(VALUE(SUBSTITUTE(INDEX('04A_국토부원자료'!$A:$T,ROW()+1,MATCH("층",'04A_국토부원자료'!$A$4:$T$4,0)),",","")),"")</f>
        <v/>
      </c>
      <c r="K700" s="152">
        <f>IFERROR(VALUE(SUBSTITUTE(INDEX('04A_국토부원자료'!$A:$T,ROW()+1,MATCH("건축년도",'04A_국토부원자료'!$A$4:$T$4,0)),",","")),"")</f>
        <v/>
      </c>
      <c r="L700" s="176">
        <f>IFERROR(INDEX('04A_국토부원자료'!$A:$T,ROW()+1,MATCH("도로명",'04A_국토부원자료'!$A$4:$T$4,0)),"")</f>
        <v/>
      </c>
      <c r="M700" s="48">
        <f>IFERROR(INDEX('04A_국토부원자료'!$A:$T,ROW()+1,MATCH("거래유형",'04A_국토부원자료'!$A$4:$T$4,0)),"")</f>
        <v/>
      </c>
      <c r="N700" s="152">
        <f>IF(B700="","",IF('02_대상물건입력'!B5="",1,IF(ISNUMBER(SEARCH('02_대상물건입력'!B5,B700)),1,0)))</f>
        <v/>
      </c>
      <c r="O700" s="152">
        <f>IF(B700="","",IF('02_대상물건입력'!B6="",1,IF(ISNUMBER(SEARCH('02_대상물건입력'!B6,B700)),1,0)))</f>
        <v/>
      </c>
      <c r="P700" s="152">
        <f>IF(L700="","",IF('02_대상물건입력'!B15="",0,IF(ISNUMBER(SEARCH('02_대상물건입력'!B15,L700)),1,0)))</f>
        <v/>
      </c>
      <c r="Q700" s="152">
        <f>IF(OR(C700="",L700=""),0,IF(AND(TRIM(C700)=TRIM(RIGHT(SUBSTITUTE(TRIM('02_대상물건입력'!$B$7)," ",REPT(" ",99)),99)),IF('02_대상물건입력'!B15="",TRUE(),ISNUMBER(SEARCH('02_대상물건입력'!B15,L700)))),1,0))</f>
        <v/>
      </c>
      <c r="R700" s="175">
        <f>IFERROR(ABS(E700-'02_대상물건입력'!B11)/'02_대상물건입력'!B11,"")</f>
        <v/>
      </c>
      <c r="S700" s="152">
        <f>IFERROR(ABS(J700-'02_대상물건입력'!B10),"")</f>
        <v/>
      </c>
      <c r="T700" s="152">
        <f>IFERROR(ABS('01_설정'!B4-F700),"")</f>
        <v/>
      </c>
      <c r="U700" s="152">
        <f>IFERROR(ABS(K700-YEAR('02_대상물건입력'!B14)),"")</f>
        <v/>
      </c>
      <c r="V700" s="152">
        <f>IF(B700="","",IF(AND(E700&gt;0,F700&gt;0,H700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700=1,TRUE()),R700&lt;='01_설정'!B5,S700&lt;='01_설정'!B6,T700&lt;='01_설정'!B7,U700&lt;='01_설정'!B8),"Y",""))</f>
        <v/>
      </c>
      <c r="W700" s="172">
        <f>IF(V700&lt;&gt;"Y","",MAX(0,(1-R700/'01_설정'!B5))*'01_설정'!B14+MAX(0,(1-S700/'01_설정'!B6))*'01_설정'!B15+MAX(0,(1-T700/'01_설정'!B7))*'01_설정'!B16+MAX(0,(1-U700/'01_설정'!B8))*'01_설정'!B17+O700*'01_설정'!B11+Q700*'01_설정'!B12+P700*'01_설정'!B13+IF(Z700="",0,Z700))</f>
        <v/>
      </c>
      <c r="X700" s="152">
        <f>IF(W700="","",1+COUNTIFS($W$4:$W$3003,"&gt;"&amp;W700)+COUNTIFS($W$4:W700,W700)-1)</f>
        <v/>
      </c>
      <c r="Y700" s="175">
        <f>IF(OR(I700="",'02_대상물건입력'!B19="",'02_대상물건입력'!B19&lt;=0),"",ABS(I700-'02_대상물건입력'!B19)/'02_대상물건입력'!B19)</f>
        <v/>
      </c>
      <c r="Z700" s="172">
        <f>IF(OR(Y700="",'01_설정'!B31="",'01_설정'!B31&lt;=0,'01_설정'!B32="",'01_설정'!B32&lt;=0),"",MAX(0,(1-Y700/'01_설정'!B32))*'01_설정'!B31)</f>
        <v/>
      </c>
    </row>
    <row r="701" ht="17.25" customHeight="1">
      <c r="A701" s="152">
        <f>IF(INDEX('04A_국토부원자료'!$A:$A,ROW()+1)="","",ROW()-3)</f>
        <v/>
      </c>
      <c r="B701" s="48">
        <f>IFERROR(INDEX('04A_국토부원자료'!$A:$T,ROW()+1,MATCH("시군구",'04A_국토부원자료'!$A$4:$T$4,0)),"")</f>
        <v/>
      </c>
      <c r="C701" s="48">
        <f>IF(B701="","",IFERROR(INDEX('04A_국토부원자료'!$A:$T,ROW()+1,MATCH("번지",'04A_국토부원자료'!$A$4:$T$4,0)),""))</f>
        <v/>
      </c>
      <c r="D701" s="48">
        <f>IF(B701="","",IF(Q701=1,'02_대상물건입력'!$B$8,IFERROR(INDEX('04A_국토부원자료'!$A:$T,ROW()+1,MATCH("단지명",'04A_국토부원자료'!$A$4:$T$4,0)),"")))</f>
        <v/>
      </c>
      <c r="E701" s="172">
        <f>IFERROR(VALUE(SUBSTITUTE(INDEX('04A_국토부원자료'!$A:$T,ROW()+1,MATCH("전용면적(㎡)",'04A_국토부원자료'!$A$4:$T$4,0)),",","")),"")</f>
        <v/>
      </c>
      <c r="F7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01" s="51">
        <f>IFERROR(VALUE(SUBSTITUTE(INDEX('04A_국토부원자료'!$A:$T,ROW()+1,MATCH("거래금액(만원)",'04A_국토부원자료'!$A$4:$T$4,0)),",","")),"")</f>
        <v/>
      </c>
      <c r="H701" s="174">
        <f>IF(G701="","",G701*10000)</f>
        <v/>
      </c>
      <c r="I701" s="174">
        <f>IFERROR(IF(AND(H701&gt;0,E701&gt;0),H701/E701,""),"")</f>
        <v/>
      </c>
      <c r="J701" s="152">
        <f>IFERROR(VALUE(SUBSTITUTE(INDEX('04A_국토부원자료'!$A:$T,ROW()+1,MATCH("층",'04A_국토부원자료'!$A$4:$T$4,0)),",","")),"")</f>
        <v/>
      </c>
      <c r="K701" s="152">
        <f>IFERROR(VALUE(SUBSTITUTE(INDEX('04A_국토부원자료'!$A:$T,ROW()+1,MATCH("건축년도",'04A_국토부원자료'!$A$4:$T$4,0)),",","")),"")</f>
        <v/>
      </c>
      <c r="L701" s="176">
        <f>IFERROR(INDEX('04A_국토부원자료'!$A:$T,ROW()+1,MATCH("도로명",'04A_국토부원자료'!$A$4:$T$4,0)),"")</f>
        <v/>
      </c>
      <c r="M701" s="48">
        <f>IFERROR(INDEX('04A_국토부원자료'!$A:$T,ROW()+1,MATCH("거래유형",'04A_국토부원자료'!$A$4:$T$4,0)),"")</f>
        <v/>
      </c>
      <c r="N701" s="152">
        <f>IF(B701="","",IF('02_대상물건입력'!B5="",1,IF(ISNUMBER(SEARCH('02_대상물건입력'!B5,B701)),1,0)))</f>
        <v/>
      </c>
      <c r="O701" s="152">
        <f>IF(B701="","",IF('02_대상물건입력'!B6="",1,IF(ISNUMBER(SEARCH('02_대상물건입력'!B6,B701)),1,0)))</f>
        <v/>
      </c>
      <c r="P701" s="152">
        <f>IF(L701="","",IF('02_대상물건입력'!B15="",0,IF(ISNUMBER(SEARCH('02_대상물건입력'!B15,L701)),1,0)))</f>
        <v/>
      </c>
      <c r="Q701" s="152">
        <f>IF(OR(C701="",L701=""),0,IF(AND(TRIM(C701)=TRIM(RIGHT(SUBSTITUTE(TRIM('02_대상물건입력'!$B$7)," ",REPT(" ",99)),99)),IF('02_대상물건입력'!B15="",TRUE(),ISNUMBER(SEARCH('02_대상물건입력'!B15,L701)))),1,0))</f>
        <v/>
      </c>
      <c r="R701" s="175">
        <f>IFERROR(ABS(E701-'02_대상물건입력'!B11)/'02_대상물건입력'!B11,"")</f>
        <v/>
      </c>
      <c r="S701" s="152">
        <f>IFERROR(ABS(J701-'02_대상물건입력'!B10),"")</f>
        <v/>
      </c>
      <c r="T701" s="152">
        <f>IFERROR(ABS('01_설정'!B4-F701),"")</f>
        <v/>
      </c>
      <c r="U701" s="152">
        <f>IFERROR(ABS(K701-YEAR('02_대상물건입력'!B14)),"")</f>
        <v/>
      </c>
      <c r="V701" s="152">
        <f>IF(B701="","",IF(AND(E701&gt;0,F701&gt;0,H701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701=1,TRUE()),R701&lt;='01_설정'!B5,S701&lt;='01_설정'!B6,T701&lt;='01_설정'!B7,U701&lt;='01_설정'!B8),"Y",""))</f>
        <v/>
      </c>
      <c r="W701" s="172">
        <f>IF(V701&lt;&gt;"Y","",MAX(0,(1-R701/'01_설정'!B5))*'01_설정'!B14+MAX(0,(1-S701/'01_설정'!B6))*'01_설정'!B15+MAX(0,(1-T701/'01_설정'!B7))*'01_설정'!B16+MAX(0,(1-U701/'01_설정'!B8))*'01_설정'!B17+O701*'01_설정'!B11+Q701*'01_설정'!B12+P701*'01_설정'!B13+IF(Z701="",0,Z701))</f>
        <v/>
      </c>
      <c r="X701" s="152">
        <f>IF(W701="","",1+COUNTIFS($W$4:$W$3003,"&gt;"&amp;W701)+COUNTIFS($W$4:W701,W701)-1)</f>
        <v/>
      </c>
      <c r="Y701" s="175">
        <f>IF(OR(I701="",'02_대상물건입력'!B19="",'02_대상물건입력'!B19&lt;=0),"",ABS(I701-'02_대상물건입력'!B19)/'02_대상물건입력'!B19)</f>
        <v/>
      </c>
      <c r="Z701" s="172">
        <f>IF(OR(Y701="",'01_설정'!B31="",'01_설정'!B31&lt;=0,'01_설정'!B32="",'01_설정'!B32&lt;=0),"",MAX(0,(1-Y701/'01_설정'!B32))*'01_설정'!B31)</f>
        <v/>
      </c>
    </row>
    <row r="702" ht="17.25" customHeight="1">
      <c r="A702" s="152">
        <f>IF(INDEX('04A_국토부원자료'!$A:$A,ROW()+1)="","",ROW()-3)</f>
        <v/>
      </c>
      <c r="B702" s="48">
        <f>IFERROR(INDEX('04A_국토부원자료'!$A:$T,ROW()+1,MATCH("시군구",'04A_국토부원자료'!$A$4:$T$4,0)),"")</f>
        <v/>
      </c>
      <c r="C702" s="48">
        <f>IF(B702="","",IFERROR(INDEX('04A_국토부원자료'!$A:$T,ROW()+1,MATCH("번지",'04A_국토부원자료'!$A$4:$T$4,0)),""))</f>
        <v/>
      </c>
      <c r="D702" s="48">
        <f>IF(B702="","",IF(Q702=1,'02_대상물건입력'!$B$8,IFERROR(INDEX('04A_국토부원자료'!$A:$T,ROW()+1,MATCH("단지명",'04A_국토부원자료'!$A$4:$T$4,0)),"")))</f>
        <v/>
      </c>
      <c r="E702" s="172">
        <f>IFERROR(VALUE(SUBSTITUTE(INDEX('04A_국토부원자료'!$A:$T,ROW()+1,MATCH("전용면적(㎡)",'04A_국토부원자료'!$A$4:$T$4,0)),",","")),"")</f>
        <v/>
      </c>
      <c r="F7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02" s="51">
        <f>IFERROR(VALUE(SUBSTITUTE(INDEX('04A_국토부원자료'!$A:$T,ROW()+1,MATCH("거래금액(만원)",'04A_국토부원자료'!$A$4:$T$4,0)),",","")),"")</f>
        <v/>
      </c>
      <c r="H702" s="174">
        <f>IF(G702="","",G702*10000)</f>
        <v/>
      </c>
      <c r="I702" s="174">
        <f>IFERROR(IF(AND(H702&gt;0,E702&gt;0),H702/E702,""),"")</f>
        <v/>
      </c>
      <c r="J702" s="152">
        <f>IFERROR(VALUE(SUBSTITUTE(INDEX('04A_국토부원자료'!$A:$T,ROW()+1,MATCH("층",'04A_국토부원자료'!$A$4:$T$4,0)),",","")),"")</f>
        <v/>
      </c>
      <c r="K702" s="152">
        <f>IFERROR(VALUE(SUBSTITUTE(INDEX('04A_국토부원자료'!$A:$T,ROW()+1,MATCH("건축년도",'04A_국토부원자료'!$A$4:$T$4,0)),",","")),"")</f>
        <v/>
      </c>
      <c r="L702" s="176">
        <f>IFERROR(INDEX('04A_국토부원자료'!$A:$T,ROW()+1,MATCH("도로명",'04A_국토부원자료'!$A$4:$T$4,0)),"")</f>
        <v/>
      </c>
      <c r="M702" s="48">
        <f>IFERROR(INDEX('04A_국토부원자료'!$A:$T,ROW()+1,MATCH("거래유형",'04A_국토부원자료'!$A$4:$T$4,0)),"")</f>
        <v/>
      </c>
      <c r="N702" s="152">
        <f>IF(B702="","",IF('02_대상물건입력'!B5="",1,IF(ISNUMBER(SEARCH('02_대상물건입력'!B5,B702)),1,0)))</f>
        <v/>
      </c>
      <c r="O702" s="152">
        <f>IF(B702="","",IF('02_대상물건입력'!B6="",1,IF(ISNUMBER(SEARCH('02_대상물건입력'!B6,B702)),1,0)))</f>
        <v/>
      </c>
      <c r="P702" s="152">
        <f>IF(L702="","",IF('02_대상물건입력'!B15="",0,IF(ISNUMBER(SEARCH('02_대상물건입력'!B15,L702)),1,0)))</f>
        <v/>
      </c>
      <c r="Q702" s="152">
        <f>IF(OR(C702="",L702=""),0,IF(AND(TRIM(C702)=TRIM(RIGHT(SUBSTITUTE(TRIM('02_대상물건입력'!$B$7)," ",REPT(" ",99)),99)),IF('02_대상물건입력'!B15="",TRUE(),ISNUMBER(SEARCH('02_대상물건입력'!B15,L702)))),1,0))</f>
        <v/>
      </c>
      <c r="R702" s="175">
        <f>IFERROR(ABS(E702-'02_대상물건입력'!B11)/'02_대상물건입력'!B11,"")</f>
        <v/>
      </c>
      <c r="S702" s="152">
        <f>IFERROR(ABS(J702-'02_대상물건입력'!B10),"")</f>
        <v/>
      </c>
      <c r="T702" s="152">
        <f>IFERROR(ABS('01_설정'!B4-F702),"")</f>
        <v/>
      </c>
      <c r="U702" s="152">
        <f>IFERROR(ABS(K702-YEAR('02_대상물건입력'!B14)),"")</f>
        <v/>
      </c>
      <c r="V702" s="152">
        <f>IF(B702="","",IF(AND(E702&gt;0,F702&gt;0,H702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702=1,TRUE()),R702&lt;='01_설정'!B5,S702&lt;='01_설정'!B6,T702&lt;='01_설정'!B7,U702&lt;='01_설정'!B8),"Y",""))</f>
        <v/>
      </c>
      <c r="W702" s="172">
        <f>IF(V702&lt;&gt;"Y","",MAX(0,(1-R702/'01_설정'!B5))*'01_설정'!B14+MAX(0,(1-S702/'01_설정'!B6))*'01_설정'!B15+MAX(0,(1-T702/'01_설정'!B7))*'01_설정'!B16+MAX(0,(1-U702/'01_설정'!B8))*'01_설정'!B17+O702*'01_설정'!B11+Q702*'01_설정'!B12+P702*'01_설정'!B13+IF(Z702="",0,Z702))</f>
        <v/>
      </c>
      <c r="X702" s="152">
        <f>IF(W702="","",1+COUNTIFS($W$4:$W$3003,"&gt;"&amp;W702)+COUNTIFS($W$4:W702,W702)-1)</f>
        <v/>
      </c>
      <c r="Y702" s="175">
        <f>IF(OR(I702="",'02_대상물건입력'!B19="",'02_대상물건입력'!B19&lt;=0),"",ABS(I702-'02_대상물건입력'!B19)/'02_대상물건입력'!B19)</f>
        <v/>
      </c>
      <c r="Z702" s="172">
        <f>IF(OR(Y702="",'01_설정'!B31="",'01_설정'!B31&lt;=0,'01_설정'!B32="",'01_설정'!B32&lt;=0),"",MAX(0,(1-Y702/'01_설정'!B32))*'01_설정'!B31)</f>
        <v/>
      </c>
    </row>
    <row r="703" ht="17.25" customHeight="1">
      <c r="A703" s="152">
        <f>IF(INDEX('04A_국토부원자료'!$A:$A,ROW()+1)="","",ROW()-3)</f>
        <v/>
      </c>
      <c r="B703" s="48">
        <f>IFERROR(INDEX('04A_국토부원자료'!$A:$T,ROW()+1,MATCH("시군구",'04A_국토부원자료'!$A$4:$T$4,0)),"")</f>
        <v/>
      </c>
      <c r="C703" s="48">
        <f>IF(B703="","",IFERROR(INDEX('04A_국토부원자료'!$A:$T,ROW()+1,MATCH("번지",'04A_국토부원자료'!$A$4:$T$4,0)),""))</f>
        <v/>
      </c>
      <c r="D703" s="48">
        <f>IF(B703="","",IF(Q703=1,'02_대상물건입력'!$B$8,IFERROR(INDEX('04A_국토부원자료'!$A:$T,ROW()+1,MATCH("단지명",'04A_국토부원자료'!$A$4:$T$4,0)),"")))</f>
        <v/>
      </c>
      <c r="E703" s="172">
        <f>IFERROR(VALUE(SUBSTITUTE(INDEX('04A_국토부원자료'!$A:$T,ROW()+1,MATCH("전용면적(㎡)",'04A_국토부원자료'!$A$4:$T$4,0)),",","")),"")</f>
        <v/>
      </c>
      <c r="F7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03" s="51">
        <f>IFERROR(VALUE(SUBSTITUTE(INDEX('04A_국토부원자료'!$A:$T,ROW()+1,MATCH("거래금액(만원)",'04A_국토부원자료'!$A$4:$T$4,0)),",","")),"")</f>
        <v/>
      </c>
      <c r="H703" s="174">
        <f>IF(G703="","",G703*10000)</f>
        <v/>
      </c>
      <c r="I703" s="174">
        <f>IFERROR(IF(AND(H703&gt;0,E703&gt;0),H703/E703,""),"")</f>
        <v/>
      </c>
      <c r="J703" s="152">
        <f>IFERROR(VALUE(SUBSTITUTE(INDEX('04A_국토부원자료'!$A:$T,ROW()+1,MATCH("층",'04A_국토부원자료'!$A$4:$T$4,0)),",","")),"")</f>
        <v/>
      </c>
      <c r="K703" s="152">
        <f>IFERROR(VALUE(SUBSTITUTE(INDEX('04A_국토부원자료'!$A:$T,ROW()+1,MATCH("건축년도",'04A_국토부원자료'!$A$4:$T$4,0)),",","")),"")</f>
        <v/>
      </c>
      <c r="L703" s="176">
        <f>IFERROR(INDEX('04A_국토부원자료'!$A:$T,ROW()+1,MATCH("도로명",'04A_국토부원자료'!$A$4:$T$4,0)),"")</f>
        <v/>
      </c>
      <c r="M703" s="48">
        <f>IFERROR(INDEX('04A_국토부원자료'!$A:$T,ROW()+1,MATCH("거래유형",'04A_국토부원자료'!$A$4:$T$4,0)),"")</f>
        <v/>
      </c>
      <c r="N703" s="152">
        <f>IF(B703="","",IF('02_대상물건입력'!B5="",1,IF(ISNUMBER(SEARCH('02_대상물건입력'!B5,B703)),1,0)))</f>
        <v/>
      </c>
      <c r="O703" s="152">
        <f>IF(B703="","",IF('02_대상물건입력'!B6="",1,IF(ISNUMBER(SEARCH('02_대상물건입력'!B6,B703)),1,0)))</f>
        <v/>
      </c>
      <c r="P703" s="152">
        <f>IF(L703="","",IF('02_대상물건입력'!B15="",0,IF(ISNUMBER(SEARCH('02_대상물건입력'!B15,L703)),1,0)))</f>
        <v/>
      </c>
      <c r="Q703" s="152">
        <f>IF(OR(C703="",L703=""),0,IF(AND(TRIM(C703)=TRIM(RIGHT(SUBSTITUTE(TRIM('02_대상물건입력'!$B$7)," ",REPT(" ",99)),99)),IF('02_대상물건입력'!B15="",TRUE(),ISNUMBER(SEARCH('02_대상물건입력'!B15,L703)))),1,0))</f>
        <v/>
      </c>
      <c r="R703" s="175">
        <f>IFERROR(ABS(E703-'02_대상물건입력'!B11)/'02_대상물건입력'!B11,"")</f>
        <v/>
      </c>
      <c r="S703" s="152">
        <f>IFERROR(ABS(J703-'02_대상물건입력'!B10),"")</f>
        <v/>
      </c>
      <c r="T703" s="152">
        <f>IFERROR(ABS('01_설정'!B4-F703),"")</f>
        <v/>
      </c>
      <c r="U703" s="152">
        <f>IFERROR(ABS(K703-YEAR('02_대상물건입력'!B14)),"")</f>
        <v/>
      </c>
      <c r="V703" s="152">
        <f>IF(B703="","",IF(AND(E703&gt;0,F703&gt;0,H703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703=1,TRUE()),R703&lt;='01_설정'!B5,S703&lt;='01_설정'!B6,T703&lt;='01_설정'!B7,U703&lt;='01_설정'!B8),"Y",""))</f>
        <v/>
      </c>
      <c r="W703" s="172">
        <f>IF(V703&lt;&gt;"Y","",MAX(0,(1-R703/'01_설정'!B5))*'01_설정'!B14+MAX(0,(1-S703/'01_설정'!B6))*'01_설정'!B15+MAX(0,(1-T703/'01_설정'!B7))*'01_설정'!B16+MAX(0,(1-U703/'01_설정'!B8))*'01_설정'!B17+O703*'01_설정'!B11+Q703*'01_설정'!B12+P703*'01_설정'!B13+IF(Z703="",0,Z703))</f>
        <v/>
      </c>
      <c r="X703" s="152">
        <f>IF(W703="","",1+COUNTIFS($W$4:$W$3003,"&gt;"&amp;W703)+COUNTIFS($W$4:W703,W703)-1)</f>
        <v/>
      </c>
      <c r="Y703" s="175">
        <f>IF(OR(I703="",'02_대상물건입력'!B19="",'02_대상물건입력'!B19&lt;=0),"",ABS(I703-'02_대상물건입력'!B19)/'02_대상물건입력'!B19)</f>
        <v/>
      </c>
      <c r="Z703" s="172">
        <f>IF(OR(Y703="",'01_설정'!B31="",'01_설정'!B31&lt;=0,'01_설정'!B32="",'01_설정'!B32&lt;=0),"",MAX(0,(1-Y703/'01_설정'!B32))*'01_설정'!B31)</f>
        <v/>
      </c>
    </row>
    <row r="704" ht="17.25" customHeight="1">
      <c r="A704" s="152">
        <f>IF(INDEX('04A_국토부원자료'!$A:$A,ROW()+1)="","",ROW()-3)</f>
        <v/>
      </c>
      <c r="B704" s="48">
        <f>IFERROR(INDEX('04A_국토부원자료'!$A:$T,ROW()+1,MATCH("시군구",'04A_국토부원자료'!$A$4:$T$4,0)),"")</f>
        <v/>
      </c>
      <c r="C704" s="48">
        <f>IF(B704="","",IFERROR(INDEX('04A_국토부원자료'!$A:$T,ROW()+1,MATCH("번지",'04A_국토부원자료'!$A$4:$T$4,0)),""))</f>
        <v/>
      </c>
      <c r="D704" s="48">
        <f>IF(B704="","",IF(Q704=1,'02_대상물건입력'!$B$8,IFERROR(INDEX('04A_국토부원자료'!$A:$T,ROW()+1,MATCH("단지명",'04A_국토부원자료'!$A$4:$T$4,0)),"")))</f>
        <v/>
      </c>
      <c r="E704" s="172">
        <f>IFERROR(VALUE(SUBSTITUTE(INDEX('04A_국토부원자료'!$A:$T,ROW()+1,MATCH("전용면적(㎡)",'04A_국토부원자료'!$A$4:$T$4,0)),",","")),"")</f>
        <v/>
      </c>
      <c r="F7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04" s="51">
        <f>IFERROR(VALUE(SUBSTITUTE(INDEX('04A_국토부원자료'!$A:$T,ROW()+1,MATCH("거래금액(만원)",'04A_국토부원자료'!$A$4:$T$4,0)),",","")),"")</f>
        <v/>
      </c>
      <c r="H704" s="174">
        <f>IF(G704="","",G704*10000)</f>
        <v/>
      </c>
      <c r="I704" s="174">
        <f>IFERROR(IF(AND(H704&gt;0,E704&gt;0),H704/E704,""),"")</f>
        <v/>
      </c>
      <c r="J704" s="152">
        <f>IFERROR(VALUE(SUBSTITUTE(INDEX('04A_국토부원자료'!$A:$T,ROW()+1,MATCH("층",'04A_국토부원자료'!$A$4:$T$4,0)),",","")),"")</f>
        <v/>
      </c>
      <c r="K704" s="152">
        <f>IFERROR(VALUE(SUBSTITUTE(INDEX('04A_국토부원자료'!$A:$T,ROW()+1,MATCH("건축년도",'04A_국토부원자료'!$A$4:$T$4,0)),",","")),"")</f>
        <v/>
      </c>
      <c r="L704" s="176">
        <f>IFERROR(INDEX('04A_국토부원자료'!$A:$T,ROW()+1,MATCH("도로명",'04A_국토부원자료'!$A$4:$T$4,0)),"")</f>
        <v/>
      </c>
      <c r="M704" s="48">
        <f>IFERROR(INDEX('04A_국토부원자료'!$A:$T,ROW()+1,MATCH("거래유형",'04A_국토부원자료'!$A$4:$T$4,0)),"")</f>
        <v/>
      </c>
      <c r="N704" s="152">
        <f>IF(B704="","",IF('02_대상물건입력'!B5="",1,IF(ISNUMBER(SEARCH('02_대상물건입력'!B5,B704)),1,0)))</f>
        <v/>
      </c>
      <c r="O704" s="152">
        <f>IF(B704="","",IF('02_대상물건입력'!B6="",1,IF(ISNUMBER(SEARCH('02_대상물건입력'!B6,B704)),1,0)))</f>
        <v/>
      </c>
      <c r="P704" s="152">
        <f>IF(L704="","",IF('02_대상물건입력'!B15="",0,IF(ISNUMBER(SEARCH('02_대상물건입력'!B15,L704)),1,0)))</f>
        <v/>
      </c>
      <c r="Q704" s="152">
        <f>IF(OR(C704="",L704=""),0,IF(AND(TRIM(C704)=TRIM(RIGHT(SUBSTITUTE(TRIM('02_대상물건입력'!$B$7)," ",REPT(" ",99)),99)),IF('02_대상물건입력'!B15="",TRUE(),ISNUMBER(SEARCH('02_대상물건입력'!B15,L704)))),1,0))</f>
        <v/>
      </c>
      <c r="R704" s="175">
        <f>IFERROR(ABS(E704-'02_대상물건입력'!B11)/'02_대상물건입력'!B11,"")</f>
        <v/>
      </c>
      <c r="S704" s="152">
        <f>IFERROR(ABS(J704-'02_대상물건입력'!B10),"")</f>
        <v/>
      </c>
      <c r="T704" s="152">
        <f>IFERROR(ABS('01_설정'!B4-F704),"")</f>
        <v/>
      </c>
      <c r="U704" s="152">
        <f>IFERROR(ABS(K704-YEAR('02_대상물건입력'!B14)),"")</f>
        <v/>
      </c>
      <c r="V704" s="152">
        <f>IF(B704="","",IF(AND(E704&gt;0,F704&gt;0,H704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704=1,TRUE()),R704&lt;='01_설정'!B5,S704&lt;='01_설정'!B6,T704&lt;='01_설정'!B7,U704&lt;='01_설정'!B8),"Y",""))</f>
        <v/>
      </c>
      <c r="W704" s="172">
        <f>IF(V704&lt;&gt;"Y","",MAX(0,(1-R704/'01_설정'!B5))*'01_설정'!B14+MAX(0,(1-S704/'01_설정'!B6))*'01_설정'!B15+MAX(0,(1-T704/'01_설정'!B7))*'01_설정'!B16+MAX(0,(1-U704/'01_설정'!B8))*'01_설정'!B17+O704*'01_설정'!B11+Q704*'01_설정'!B12+P704*'01_설정'!B13+IF(Z704="",0,Z704))</f>
        <v/>
      </c>
      <c r="X704" s="152">
        <f>IF(W704="","",1+COUNTIFS($W$4:$W$3003,"&gt;"&amp;W704)+COUNTIFS($W$4:W704,W704)-1)</f>
        <v/>
      </c>
      <c r="Y704" s="175">
        <f>IF(OR(I704="",'02_대상물건입력'!B19="",'02_대상물건입력'!B19&lt;=0),"",ABS(I704-'02_대상물건입력'!B19)/'02_대상물건입력'!B19)</f>
        <v/>
      </c>
      <c r="Z704" s="172">
        <f>IF(OR(Y704="",'01_설정'!B31="",'01_설정'!B31&lt;=0,'01_설정'!B32="",'01_설정'!B32&lt;=0),"",MAX(0,(1-Y704/'01_설정'!B32))*'01_설정'!B31)</f>
        <v/>
      </c>
    </row>
    <row r="705" ht="17.25" customHeight="1">
      <c r="A705" s="152">
        <f>IF(INDEX('04A_국토부원자료'!$A:$A,ROW()+1)="","",ROW()-3)</f>
        <v/>
      </c>
      <c r="B705" s="48">
        <f>IFERROR(INDEX('04A_국토부원자료'!$A:$T,ROW()+1,MATCH("시군구",'04A_국토부원자료'!$A$4:$T$4,0)),"")</f>
        <v/>
      </c>
      <c r="C705" s="48">
        <f>IF(B705="","",IFERROR(INDEX('04A_국토부원자료'!$A:$T,ROW()+1,MATCH("번지",'04A_국토부원자료'!$A$4:$T$4,0)),""))</f>
        <v/>
      </c>
      <c r="D705" s="48">
        <f>IF(B705="","",IF(Q705=1,'02_대상물건입력'!$B$8,IFERROR(INDEX('04A_국토부원자료'!$A:$T,ROW()+1,MATCH("단지명",'04A_국토부원자료'!$A$4:$T$4,0)),"")))</f>
        <v/>
      </c>
      <c r="E705" s="172">
        <f>IFERROR(VALUE(SUBSTITUTE(INDEX('04A_국토부원자료'!$A:$T,ROW()+1,MATCH("전용면적(㎡)",'04A_국토부원자료'!$A$4:$T$4,0)),",","")),"")</f>
        <v/>
      </c>
      <c r="F7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05" s="51">
        <f>IFERROR(VALUE(SUBSTITUTE(INDEX('04A_국토부원자료'!$A:$T,ROW()+1,MATCH("거래금액(만원)",'04A_국토부원자료'!$A$4:$T$4,0)),",","")),"")</f>
        <v/>
      </c>
      <c r="H705" s="174">
        <f>IF(G705="","",G705*10000)</f>
        <v/>
      </c>
      <c r="I705" s="174">
        <f>IFERROR(IF(AND(H705&gt;0,E705&gt;0),H705/E705,""),"")</f>
        <v/>
      </c>
      <c r="J705" s="152">
        <f>IFERROR(VALUE(SUBSTITUTE(INDEX('04A_국토부원자료'!$A:$T,ROW()+1,MATCH("층",'04A_국토부원자료'!$A$4:$T$4,0)),",","")),"")</f>
        <v/>
      </c>
      <c r="K705" s="152">
        <f>IFERROR(VALUE(SUBSTITUTE(INDEX('04A_국토부원자료'!$A:$T,ROW()+1,MATCH("건축년도",'04A_국토부원자료'!$A$4:$T$4,0)),",","")),"")</f>
        <v/>
      </c>
      <c r="L705" s="176">
        <f>IFERROR(INDEX('04A_국토부원자료'!$A:$T,ROW()+1,MATCH("도로명",'04A_국토부원자료'!$A$4:$T$4,0)),"")</f>
        <v/>
      </c>
      <c r="M705" s="48">
        <f>IFERROR(INDEX('04A_국토부원자료'!$A:$T,ROW()+1,MATCH("거래유형",'04A_국토부원자료'!$A$4:$T$4,0)),"")</f>
        <v/>
      </c>
      <c r="N705" s="152">
        <f>IF(B705="","",IF('02_대상물건입력'!B5="",1,IF(ISNUMBER(SEARCH('02_대상물건입력'!B5,B705)),1,0)))</f>
        <v/>
      </c>
      <c r="O705" s="152">
        <f>IF(B705="","",IF('02_대상물건입력'!B6="",1,IF(ISNUMBER(SEARCH('02_대상물건입력'!B6,B705)),1,0)))</f>
        <v/>
      </c>
      <c r="P705" s="152">
        <f>IF(L705="","",IF('02_대상물건입력'!B15="",0,IF(ISNUMBER(SEARCH('02_대상물건입력'!B15,L705)),1,0)))</f>
        <v/>
      </c>
      <c r="Q705" s="152">
        <f>IF(OR(C705="",L705=""),0,IF(AND(TRIM(C705)=TRIM(RIGHT(SUBSTITUTE(TRIM('02_대상물건입력'!$B$7)," ",REPT(" ",99)),99)),IF('02_대상물건입력'!B15="",TRUE(),ISNUMBER(SEARCH('02_대상물건입력'!B15,L705)))),1,0))</f>
        <v/>
      </c>
      <c r="R705" s="175">
        <f>IFERROR(ABS(E705-'02_대상물건입력'!B11)/'02_대상물건입력'!B11,"")</f>
        <v/>
      </c>
      <c r="S705" s="152">
        <f>IFERROR(ABS(J705-'02_대상물건입력'!B10),"")</f>
        <v/>
      </c>
      <c r="T705" s="152">
        <f>IFERROR(ABS('01_설정'!B4-F705),"")</f>
        <v/>
      </c>
      <c r="U705" s="152">
        <f>IFERROR(ABS(K705-YEAR('02_대상물건입력'!B14)),"")</f>
        <v/>
      </c>
      <c r="V705" s="152">
        <f>IF(B705="","",IF(AND(E705&gt;0,F705&gt;0,H705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705=1,TRUE()),R705&lt;='01_설정'!B5,S705&lt;='01_설정'!B6,T705&lt;='01_설정'!B7,U705&lt;='01_설정'!B8),"Y",""))</f>
        <v/>
      </c>
      <c r="W705" s="172">
        <f>IF(V705&lt;&gt;"Y","",MAX(0,(1-R705/'01_설정'!B5))*'01_설정'!B14+MAX(0,(1-S705/'01_설정'!B6))*'01_설정'!B15+MAX(0,(1-T705/'01_설정'!B7))*'01_설정'!B16+MAX(0,(1-U705/'01_설정'!B8))*'01_설정'!B17+O705*'01_설정'!B11+Q705*'01_설정'!B12+P705*'01_설정'!B13+IF(Z705="",0,Z705))</f>
        <v/>
      </c>
      <c r="X705" s="152">
        <f>IF(W705="","",1+COUNTIFS($W$4:$W$3003,"&gt;"&amp;W705)+COUNTIFS($W$4:W705,W705)-1)</f>
        <v/>
      </c>
      <c r="Y705" s="175">
        <f>IF(OR(I705="",'02_대상물건입력'!B19="",'02_대상물건입력'!B19&lt;=0),"",ABS(I705-'02_대상물건입력'!B19)/'02_대상물건입력'!B19)</f>
        <v/>
      </c>
      <c r="Z705" s="172">
        <f>IF(OR(Y705="",'01_설정'!B31="",'01_설정'!B31&lt;=0,'01_설정'!B32="",'01_설정'!B32&lt;=0),"",MAX(0,(1-Y705/'01_설정'!B32))*'01_설정'!B31)</f>
        <v/>
      </c>
    </row>
    <row r="706" ht="17.25" customHeight="1">
      <c r="A706" s="152">
        <f>IF(INDEX('04A_국토부원자료'!$A:$A,ROW()+1)="","",ROW()-3)</f>
        <v/>
      </c>
      <c r="B706" s="48">
        <f>IFERROR(INDEX('04A_국토부원자료'!$A:$T,ROW()+1,MATCH("시군구",'04A_국토부원자료'!$A$4:$T$4,0)),"")</f>
        <v/>
      </c>
      <c r="C706" s="48">
        <f>IF(B706="","",IFERROR(INDEX('04A_국토부원자료'!$A:$T,ROW()+1,MATCH("번지",'04A_국토부원자료'!$A$4:$T$4,0)),""))</f>
        <v/>
      </c>
      <c r="D706" s="48">
        <f>IF(B706="","",IF(Q706=1,'02_대상물건입력'!$B$8,IFERROR(INDEX('04A_국토부원자료'!$A:$T,ROW()+1,MATCH("단지명",'04A_국토부원자료'!$A$4:$T$4,0)),"")))</f>
        <v/>
      </c>
      <c r="E706" s="172">
        <f>IFERROR(VALUE(SUBSTITUTE(INDEX('04A_국토부원자료'!$A:$T,ROW()+1,MATCH("전용면적(㎡)",'04A_국토부원자료'!$A$4:$T$4,0)),",","")),"")</f>
        <v/>
      </c>
      <c r="F7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06" s="51">
        <f>IFERROR(VALUE(SUBSTITUTE(INDEX('04A_국토부원자료'!$A:$T,ROW()+1,MATCH("거래금액(만원)",'04A_국토부원자료'!$A$4:$T$4,0)),",","")),"")</f>
        <v/>
      </c>
      <c r="H706" s="174">
        <f>IF(G706="","",G706*10000)</f>
        <v/>
      </c>
      <c r="I706" s="174">
        <f>IFERROR(IF(AND(H706&gt;0,E706&gt;0),H706/E706,""),"")</f>
        <v/>
      </c>
      <c r="J706" s="152">
        <f>IFERROR(VALUE(SUBSTITUTE(INDEX('04A_국토부원자료'!$A:$T,ROW()+1,MATCH("층",'04A_국토부원자료'!$A$4:$T$4,0)),",","")),"")</f>
        <v/>
      </c>
      <c r="K706" s="152">
        <f>IFERROR(VALUE(SUBSTITUTE(INDEX('04A_국토부원자료'!$A:$T,ROW()+1,MATCH("건축년도",'04A_국토부원자료'!$A$4:$T$4,0)),",","")),"")</f>
        <v/>
      </c>
      <c r="L706" s="176">
        <f>IFERROR(INDEX('04A_국토부원자료'!$A:$T,ROW()+1,MATCH("도로명",'04A_국토부원자료'!$A$4:$T$4,0)),"")</f>
        <v/>
      </c>
      <c r="M706" s="48">
        <f>IFERROR(INDEX('04A_국토부원자료'!$A:$T,ROW()+1,MATCH("거래유형",'04A_국토부원자료'!$A$4:$T$4,0)),"")</f>
        <v/>
      </c>
      <c r="N706" s="152">
        <f>IF(B706="","",IF('02_대상물건입력'!B5="",1,IF(ISNUMBER(SEARCH('02_대상물건입력'!B5,B706)),1,0)))</f>
        <v/>
      </c>
      <c r="O706" s="152">
        <f>IF(B706="","",IF('02_대상물건입력'!B6="",1,IF(ISNUMBER(SEARCH('02_대상물건입력'!B6,B706)),1,0)))</f>
        <v/>
      </c>
      <c r="P706" s="152">
        <f>IF(L706="","",IF('02_대상물건입력'!B15="",0,IF(ISNUMBER(SEARCH('02_대상물건입력'!B15,L706)),1,0)))</f>
        <v/>
      </c>
      <c r="Q706" s="152">
        <f>IF(OR(C706="",L706=""),0,IF(AND(TRIM(C706)=TRIM(RIGHT(SUBSTITUTE(TRIM('02_대상물건입력'!$B$7)," ",REPT(" ",99)),99)),IF('02_대상물건입력'!B15="",TRUE(),ISNUMBER(SEARCH('02_대상물건입력'!B15,L706)))),1,0))</f>
        <v/>
      </c>
      <c r="R706" s="175">
        <f>IFERROR(ABS(E706-'02_대상물건입력'!B11)/'02_대상물건입력'!B11,"")</f>
        <v/>
      </c>
      <c r="S706" s="152">
        <f>IFERROR(ABS(J706-'02_대상물건입력'!B10),"")</f>
        <v/>
      </c>
      <c r="T706" s="152">
        <f>IFERROR(ABS('01_설정'!B4-F706),"")</f>
        <v/>
      </c>
      <c r="U706" s="152">
        <f>IFERROR(ABS(K706-YEAR('02_대상물건입력'!B14)),"")</f>
        <v/>
      </c>
      <c r="V706" s="152">
        <f>IF(B706="","",IF(AND(E706&gt;0,F706&gt;0,H706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706=1,TRUE()),R706&lt;='01_설정'!B5,S706&lt;='01_설정'!B6,T706&lt;='01_설정'!B7,U706&lt;='01_설정'!B8),"Y",""))</f>
        <v/>
      </c>
      <c r="W706" s="172">
        <f>IF(V706&lt;&gt;"Y","",MAX(0,(1-R706/'01_설정'!B5))*'01_설정'!B14+MAX(0,(1-S706/'01_설정'!B6))*'01_설정'!B15+MAX(0,(1-T706/'01_설정'!B7))*'01_설정'!B16+MAX(0,(1-U706/'01_설정'!B8))*'01_설정'!B17+O706*'01_설정'!B11+Q706*'01_설정'!B12+P706*'01_설정'!B13+IF(Z706="",0,Z706))</f>
        <v/>
      </c>
      <c r="X706" s="152">
        <f>IF(W706="","",1+COUNTIFS($W$4:$W$3003,"&gt;"&amp;W706)+COUNTIFS($W$4:W706,W706)-1)</f>
        <v/>
      </c>
      <c r="Y706" s="175">
        <f>IF(OR(I706="",'02_대상물건입력'!B19="",'02_대상물건입력'!B19&lt;=0),"",ABS(I706-'02_대상물건입력'!B19)/'02_대상물건입력'!B19)</f>
        <v/>
      </c>
      <c r="Z706" s="172">
        <f>IF(OR(Y706="",'01_설정'!B31="",'01_설정'!B31&lt;=0,'01_설정'!B32="",'01_설정'!B32&lt;=0),"",MAX(0,(1-Y706/'01_설정'!B32))*'01_설정'!B31)</f>
        <v/>
      </c>
    </row>
    <row r="707" ht="17.25" customHeight="1">
      <c r="A707" s="152">
        <f>IF(INDEX('04A_국토부원자료'!$A:$A,ROW()+1)="","",ROW()-3)</f>
        <v/>
      </c>
      <c r="B707" s="48">
        <f>IFERROR(INDEX('04A_국토부원자료'!$A:$T,ROW()+1,MATCH("시군구",'04A_국토부원자료'!$A$4:$T$4,0)),"")</f>
        <v/>
      </c>
      <c r="C707" s="48">
        <f>IF(B707="","",IFERROR(INDEX('04A_국토부원자료'!$A:$T,ROW()+1,MATCH("번지",'04A_국토부원자료'!$A$4:$T$4,0)),""))</f>
        <v/>
      </c>
      <c r="D707" s="48">
        <f>IF(B707="","",IF(Q707=1,'02_대상물건입력'!$B$8,IFERROR(INDEX('04A_국토부원자료'!$A:$T,ROW()+1,MATCH("단지명",'04A_국토부원자료'!$A$4:$T$4,0)),"")))</f>
        <v/>
      </c>
      <c r="E707" s="172">
        <f>IFERROR(VALUE(SUBSTITUTE(INDEX('04A_국토부원자료'!$A:$T,ROW()+1,MATCH("전용면적(㎡)",'04A_국토부원자료'!$A$4:$T$4,0)),",","")),"")</f>
        <v/>
      </c>
      <c r="F7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07" s="51">
        <f>IFERROR(VALUE(SUBSTITUTE(INDEX('04A_국토부원자료'!$A:$T,ROW()+1,MATCH("거래금액(만원)",'04A_국토부원자료'!$A$4:$T$4,0)),",","")),"")</f>
        <v/>
      </c>
      <c r="H707" s="174">
        <f>IF(G707="","",G707*10000)</f>
        <v/>
      </c>
      <c r="I707" s="174">
        <f>IFERROR(IF(AND(H707&gt;0,E707&gt;0),H707/E707,""),"")</f>
        <v/>
      </c>
      <c r="J707" s="152">
        <f>IFERROR(VALUE(SUBSTITUTE(INDEX('04A_국토부원자료'!$A:$T,ROW()+1,MATCH("층",'04A_국토부원자료'!$A$4:$T$4,0)),",","")),"")</f>
        <v/>
      </c>
      <c r="K707" s="152">
        <f>IFERROR(VALUE(SUBSTITUTE(INDEX('04A_국토부원자료'!$A:$T,ROW()+1,MATCH("건축년도",'04A_국토부원자료'!$A$4:$T$4,0)),",","")),"")</f>
        <v/>
      </c>
      <c r="L707" s="176">
        <f>IFERROR(INDEX('04A_국토부원자료'!$A:$T,ROW()+1,MATCH("도로명",'04A_국토부원자료'!$A$4:$T$4,0)),"")</f>
        <v/>
      </c>
      <c r="M707" s="48">
        <f>IFERROR(INDEX('04A_국토부원자료'!$A:$T,ROW()+1,MATCH("거래유형",'04A_국토부원자료'!$A$4:$T$4,0)),"")</f>
        <v/>
      </c>
      <c r="N707" s="152">
        <f>IF(B707="","",IF('02_대상물건입력'!B5="",1,IF(ISNUMBER(SEARCH('02_대상물건입력'!B5,B707)),1,0)))</f>
        <v/>
      </c>
      <c r="O707" s="152">
        <f>IF(B707="","",IF('02_대상물건입력'!B6="",1,IF(ISNUMBER(SEARCH('02_대상물건입력'!B6,B707)),1,0)))</f>
        <v/>
      </c>
      <c r="P707" s="152">
        <f>IF(L707="","",IF('02_대상물건입력'!B15="",0,IF(ISNUMBER(SEARCH('02_대상물건입력'!B15,L707)),1,0)))</f>
        <v/>
      </c>
      <c r="Q707" s="152">
        <f>IF(OR(C707="",L707=""),0,IF(AND(TRIM(C707)=TRIM(RIGHT(SUBSTITUTE(TRIM('02_대상물건입력'!$B$7)," ",REPT(" ",99)),99)),IF('02_대상물건입력'!B15="",TRUE(),ISNUMBER(SEARCH('02_대상물건입력'!B15,L707)))),1,0))</f>
        <v/>
      </c>
      <c r="R707" s="175">
        <f>IFERROR(ABS(E707-'02_대상물건입력'!B11)/'02_대상물건입력'!B11,"")</f>
        <v/>
      </c>
      <c r="S707" s="152">
        <f>IFERROR(ABS(J707-'02_대상물건입력'!B10),"")</f>
        <v/>
      </c>
      <c r="T707" s="152">
        <f>IFERROR(ABS('01_설정'!B4-F707),"")</f>
        <v/>
      </c>
      <c r="U707" s="152">
        <f>IFERROR(ABS(K707-YEAR('02_대상물건입력'!B14)),"")</f>
        <v/>
      </c>
      <c r="V707" s="152">
        <f>IF(B707="","",IF(AND(E707&gt;0,F707&gt;0,H707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707=1,TRUE()),R707&lt;='01_설정'!B5,S707&lt;='01_설정'!B6,T707&lt;='01_설정'!B7,U707&lt;='01_설정'!B8),"Y",""))</f>
        <v/>
      </c>
      <c r="W707" s="172">
        <f>IF(V707&lt;&gt;"Y","",MAX(0,(1-R707/'01_설정'!B5))*'01_설정'!B14+MAX(0,(1-S707/'01_설정'!B6))*'01_설정'!B15+MAX(0,(1-T707/'01_설정'!B7))*'01_설정'!B16+MAX(0,(1-U707/'01_설정'!B8))*'01_설정'!B17+O707*'01_설정'!B11+Q707*'01_설정'!B12+P707*'01_설정'!B13+IF(Z707="",0,Z707))</f>
        <v/>
      </c>
      <c r="X707" s="152">
        <f>IF(W707="","",1+COUNTIFS($W$4:$W$3003,"&gt;"&amp;W707)+COUNTIFS($W$4:W707,W707)-1)</f>
        <v/>
      </c>
      <c r="Y707" s="175">
        <f>IF(OR(I707="",'02_대상물건입력'!B19="",'02_대상물건입력'!B19&lt;=0),"",ABS(I707-'02_대상물건입력'!B19)/'02_대상물건입력'!B19)</f>
        <v/>
      </c>
      <c r="Z707" s="172">
        <f>IF(OR(Y707="",'01_설정'!B31="",'01_설정'!B31&lt;=0,'01_설정'!B32="",'01_설정'!B32&lt;=0),"",MAX(0,(1-Y707/'01_설정'!B32))*'01_설정'!B31)</f>
        <v/>
      </c>
    </row>
    <row r="708" ht="17.25" customHeight="1">
      <c r="A708" s="152">
        <f>IF(INDEX('04A_국토부원자료'!$A:$A,ROW()+1)="","",ROW()-3)</f>
        <v/>
      </c>
      <c r="B708" s="48">
        <f>IFERROR(INDEX('04A_국토부원자료'!$A:$T,ROW()+1,MATCH("시군구",'04A_국토부원자료'!$A$4:$T$4,0)),"")</f>
        <v/>
      </c>
      <c r="C708" s="48">
        <f>IF(B708="","",IFERROR(INDEX('04A_국토부원자료'!$A:$T,ROW()+1,MATCH("번지",'04A_국토부원자료'!$A$4:$T$4,0)),""))</f>
        <v/>
      </c>
      <c r="D708" s="48">
        <f>IF(B708="","",IF(Q708=1,'02_대상물건입력'!$B$8,IFERROR(INDEX('04A_국토부원자료'!$A:$T,ROW()+1,MATCH("단지명",'04A_국토부원자료'!$A$4:$T$4,0)),"")))</f>
        <v/>
      </c>
      <c r="E708" s="172">
        <f>IFERROR(VALUE(SUBSTITUTE(INDEX('04A_국토부원자료'!$A:$T,ROW()+1,MATCH("전용면적(㎡)",'04A_국토부원자료'!$A$4:$T$4,0)),",","")),"")</f>
        <v/>
      </c>
      <c r="F7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08" s="51">
        <f>IFERROR(VALUE(SUBSTITUTE(INDEX('04A_국토부원자료'!$A:$T,ROW()+1,MATCH("거래금액(만원)",'04A_국토부원자료'!$A$4:$T$4,0)),",","")),"")</f>
        <v/>
      </c>
      <c r="H708" s="174">
        <f>IF(G708="","",G708*10000)</f>
        <v/>
      </c>
      <c r="I708" s="174">
        <f>IFERROR(IF(AND(H708&gt;0,E708&gt;0),H708/E708,""),"")</f>
        <v/>
      </c>
      <c r="J708" s="152">
        <f>IFERROR(VALUE(SUBSTITUTE(INDEX('04A_국토부원자료'!$A:$T,ROW()+1,MATCH("층",'04A_국토부원자료'!$A$4:$T$4,0)),",","")),"")</f>
        <v/>
      </c>
      <c r="K708" s="152">
        <f>IFERROR(VALUE(SUBSTITUTE(INDEX('04A_국토부원자료'!$A:$T,ROW()+1,MATCH("건축년도",'04A_국토부원자료'!$A$4:$T$4,0)),",","")),"")</f>
        <v/>
      </c>
      <c r="L708" s="176">
        <f>IFERROR(INDEX('04A_국토부원자료'!$A:$T,ROW()+1,MATCH("도로명",'04A_국토부원자료'!$A$4:$T$4,0)),"")</f>
        <v/>
      </c>
      <c r="M708" s="48">
        <f>IFERROR(INDEX('04A_국토부원자료'!$A:$T,ROW()+1,MATCH("거래유형",'04A_국토부원자료'!$A$4:$T$4,0)),"")</f>
        <v/>
      </c>
      <c r="N708" s="152">
        <f>IF(B708="","",IF('02_대상물건입력'!B5="",1,IF(ISNUMBER(SEARCH('02_대상물건입력'!B5,B708)),1,0)))</f>
        <v/>
      </c>
      <c r="O708" s="152">
        <f>IF(B708="","",IF('02_대상물건입력'!B6="",1,IF(ISNUMBER(SEARCH('02_대상물건입력'!B6,B708)),1,0)))</f>
        <v/>
      </c>
      <c r="P708" s="152">
        <f>IF(L708="","",IF('02_대상물건입력'!B15="",0,IF(ISNUMBER(SEARCH('02_대상물건입력'!B15,L708)),1,0)))</f>
        <v/>
      </c>
      <c r="Q708" s="152">
        <f>IF(OR(C708="",L708=""),0,IF(AND(TRIM(C708)=TRIM(RIGHT(SUBSTITUTE(TRIM('02_대상물건입력'!$B$7)," ",REPT(" ",99)),99)),IF('02_대상물건입력'!B15="",TRUE(),ISNUMBER(SEARCH('02_대상물건입력'!B15,L708)))),1,0))</f>
        <v/>
      </c>
      <c r="R708" s="175">
        <f>IFERROR(ABS(E708-'02_대상물건입력'!B11)/'02_대상물건입력'!B11,"")</f>
        <v/>
      </c>
      <c r="S708" s="152">
        <f>IFERROR(ABS(J708-'02_대상물건입력'!B10),"")</f>
        <v/>
      </c>
      <c r="T708" s="152">
        <f>IFERROR(ABS('01_설정'!B4-F708),"")</f>
        <v/>
      </c>
      <c r="U708" s="152">
        <f>IFERROR(ABS(K708-YEAR('02_대상물건입력'!B14)),"")</f>
        <v/>
      </c>
      <c r="V708" s="152">
        <f>IF(B708="","",IF(AND(E708&gt;0,F708&gt;0,H708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708=1,TRUE()),R708&lt;='01_설정'!B5,S708&lt;='01_설정'!B6,T708&lt;='01_설정'!B7,U708&lt;='01_설정'!B8),"Y",""))</f>
        <v/>
      </c>
      <c r="W708" s="172">
        <f>IF(V708&lt;&gt;"Y","",MAX(0,(1-R708/'01_설정'!B5))*'01_설정'!B14+MAX(0,(1-S708/'01_설정'!B6))*'01_설정'!B15+MAX(0,(1-T708/'01_설정'!B7))*'01_설정'!B16+MAX(0,(1-U708/'01_설정'!B8))*'01_설정'!B17+O708*'01_설정'!B11+Q708*'01_설정'!B12+P708*'01_설정'!B13+IF(Z708="",0,Z708))</f>
        <v/>
      </c>
      <c r="X708" s="152">
        <f>IF(W708="","",1+COUNTIFS($W$4:$W$3003,"&gt;"&amp;W708)+COUNTIFS($W$4:W708,W708)-1)</f>
        <v/>
      </c>
      <c r="Y708" s="175">
        <f>IF(OR(I708="",'02_대상물건입력'!B19="",'02_대상물건입력'!B19&lt;=0),"",ABS(I708-'02_대상물건입력'!B19)/'02_대상물건입력'!B19)</f>
        <v/>
      </c>
      <c r="Z708" s="172">
        <f>IF(OR(Y708="",'01_설정'!B31="",'01_설정'!B31&lt;=0,'01_설정'!B32="",'01_설정'!B32&lt;=0),"",MAX(0,(1-Y708/'01_설정'!B32))*'01_설정'!B31)</f>
        <v/>
      </c>
    </row>
    <row r="709" ht="17.25" customHeight="1">
      <c r="A709" s="152">
        <f>IF(INDEX('04A_국토부원자료'!$A:$A,ROW()+1)="","",ROW()-3)</f>
        <v/>
      </c>
      <c r="B709" s="48">
        <f>IFERROR(INDEX('04A_국토부원자료'!$A:$T,ROW()+1,MATCH("시군구",'04A_국토부원자료'!$A$4:$T$4,0)),"")</f>
        <v/>
      </c>
      <c r="C709" s="48">
        <f>IF(B709="","",IFERROR(INDEX('04A_국토부원자료'!$A:$T,ROW()+1,MATCH("번지",'04A_국토부원자료'!$A$4:$T$4,0)),""))</f>
        <v/>
      </c>
      <c r="D709" s="48">
        <f>IF(B709="","",IF(Q709=1,'02_대상물건입력'!$B$8,IFERROR(INDEX('04A_국토부원자료'!$A:$T,ROW()+1,MATCH("단지명",'04A_국토부원자료'!$A$4:$T$4,0)),"")))</f>
        <v/>
      </c>
      <c r="E709" s="172">
        <f>IFERROR(VALUE(SUBSTITUTE(INDEX('04A_국토부원자료'!$A:$T,ROW()+1,MATCH("전용면적(㎡)",'04A_국토부원자료'!$A$4:$T$4,0)),",","")),"")</f>
        <v/>
      </c>
      <c r="F7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09" s="51">
        <f>IFERROR(VALUE(SUBSTITUTE(INDEX('04A_국토부원자료'!$A:$T,ROW()+1,MATCH("거래금액(만원)",'04A_국토부원자료'!$A$4:$T$4,0)),",","")),"")</f>
        <v/>
      </c>
      <c r="H709" s="174">
        <f>IF(G709="","",G709*10000)</f>
        <v/>
      </c>
      <c r="I709" s="174">
        <f>IFERROR(IF(AND(H709&gt;0,E709&gt;0),H709/E709,""),"")</f>
        <v/>
      </c>
      <c r="J709" s="152">
        <f>IFERROR(VALUE(SUBSTITUTE(INDEX('04A_국토부원자료'!$A:$T,ROW()+1,MATCH("층",'04A_국토부원자료'!$A$4:$T$4,0)),",","")),"")</f>
        <v/>
      </c>
      <c r="K709" s="152">
        <f>IFERROR(VALUE(SUBSTITUTE(INDEX('04A_국토부원자료'!$A:$T,ROW()+1,MATCH("건축년도",'04A_국토부원자료'!$A$4:$T$4,0)),",","")),"")</f>
        <v/>
      </c>
      <c r="L709" s="176">
        <f>IFERROR(INDEX('04A_국토부원자료'!$A:$T,ROW()+1,MATCH("도로명",'04A_국토부원자료'!$A$4:$T$4,0)),"")</f>
        <v/>
      </c>
      <c r="M709" s="48">
        <f>IFERROR(INDEX('04A_국토부원자료'!$A:$T,ROW()+1,MATCH("거래유형",'04A_국토부원자료'!$A$4:$T$4,0)),"")</f>
        <v/>
      </c>
      <c r="N709" s="152">
        <f>IF(B709="","",IF('02_대상물건입력'!B5="",1,IF(ISNUMBER(SEARCH('02_대상물건입력'!B5,B709)),1,0)))</f>
        <v/>
      </c>
      <c r="O709" s="152">
        <f>IF(B709="","",IF('02_대상물건입력'!B6="",1,IF(ISNUMBER(SEARCH('02_대상물건입력'!B6,B709)),1,0)))</f>
        <v/>
      </c>
      <c r="P709" s="152">
        <f>IF(L709="","",IF('02_대상물건입력'!B15="",0,IF(ISNUMBER(SEARCH('02_대상물건입력'!B15,L709)),1,0)))</f>
        <v/>
      </c>
      <c r="Q709" s="152">
        <f>IF(OR(C709="",L709=""),0,IF(AND(TRIM(C709)=TRIM(RIGHT(SUBSTITUTE(TRIM('02_대상물건입력'!$B$7)," ",REPT(" ",99)),99)),IF('02_대상물건입력'!B15="",TRUE(),ISNUMBER(SEARCH('02_대상물건입력'!B15,L709)))),1,0))</f>
        <v/>
      </c>
      <c r="R709" s="175">
        <f>IFERROR(ABS(E709-'02_대상물건입력'!B11)/'02_대상물건입력'!B11,"")</f>
        <v/>
      </c>
      <c r="S709" s="152">
        <f>IFERROR(ABS(J709-'02_대상물건입력'!B10),"")</f>
        <v/>
      </c>
      <c r="T709" s="152">
        <f>IFERROR(ABS('01_설정'!B4-F709),"")</f>
        <v/>
      </c>
      <c r="U709" s="152">
        <f>IFERROR(ABS(K709-YEAR('02_대상물건입력'!B14)),"")</f>
        <v/>
      </c>
      <c r="V709" s="152">
        <f>IF(B709="","",IF(AND(E709&gt;0,F709&gt;0,H709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709=1,TRUE()),R709&lt;='01_설정'!B5,S709&lt;='01_설정'!B6,T709&lt;='01_설정'!B7,U709&lt;='01_설정'!B8),"Y",""))</f>
        <v/>
      </c>
      <c r="W709" s="172">
        <f>IF(V709&lt;&gt;"Y","",MAX(0,(1-R709/'01_설정'!B5))*'01_설정'!B14+MAX(0,(1-S709/'01_설정'!B6))*'01_설정'!B15+MAX(0,(1-T709/'01_설정'!B7))*'01_설정'!B16+MAX(0,(1-U709/'01_설정'!B8))*'01_설정'!B17+O709*'01_설정'!B11+Q709*'01_설정'!B12+P709*'01_설정'!B13+IF(Z709="",0,Z709))</f>
        <v/>
      </c>
      <c r="X709" s="152">
        <f>IF(W709="","",1+COUNTIFS($W$4:$W$3003,"&gt;"&amp;W709)+COUNTIFS($W$4:W709,W709)-1)</f>
        <v/>
      </c>
      <c r="Y709" s="175">
        <f>IF(OR(I709="",'02_대상물건입력'!B19="",'02_대상물건입력'!B19&lt;=0),"",ABS(I709-'02_대상물건입력'!B19)/'02_대상물건입력'!B19)</f>
        <v/>
      </c>
      <c r="Z709" s="172">
        <f>IF(OR(Y709="",'01_설정'!B31="",'01_설정'!B31&lt;=0,'01_설정'!B32="",'01_설정'!B32&lt;=0),"",MAX(0,(1-Y709/'01_설정'!B32))*'01_설정'!B31)</f>
        <v/>
      </c>
    </row>
    <row r="710" ht="17.25" customHeight="1">
      <c r="A710" s="152">
        <f>IF(INDEX('04A_국토부원자료'!$A:$A,ROW()+1)="","",ROW()-3)</f>
        <v/>
      </c>
      <c r="B710" s="48">
        <f>IFERROR(INDEX('04A_국토부원자료'!$A:$T,ROW()+1,MATCH("시군구",'04A_국토부원자료'!$A$4:$T$4,0)),"")</f>
        <v/>
      </c>
      <c r="C710" s="48">
        <f>IF(B710="","",IFERROR(INDEX('04A_국토부원자료'!$A:$T,ROW()+1,MATCH("번지",'04A_국토부원자료'!$A$4:$T$4,0)),""))</f>
        <v/>
      </c>
      <c r="D710" s="48">
        <f>IF(B710="","",IF(Q710=1,'02_대상물건입력'!$B$8,IFERROR(INDEX('04A_국토부원자료'!$A:$T,ROW()+1,MATCH("단지명",'04A_국토부원자료'!$A$4:$T$4,0)),"")))</f>
        <v/>
      </c>
      <c r="E710" s="172">
        <f>IFERROR(VALUE(SUBSTITUTE(INDEX('04A_국토부원자료'!$A:$T,ROW()+1,MATCH("전용면적(㎡)",'04A_국토부원자료'!$A$4:$T$4,0)),",","")),"")</f>
        <v/>
      </c>
      <c r="F7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10" s="51">
        <f>IFERROR(VALUE(SUBSTITUTE(INDEX('04A_국토부원자료'!$A:$T,ROW()+1,MATCH("거래금액(만원)",'04A_국토부원자료'!$A$4:$T$4,0)),",","")),"")</f>
        <v/>
      </c>
      <c r="H710" s="174">
        <f>IF(G710="","",G710*10000)</f>
        <v/>
      </c>
      <c r="I710" s="174">
        <f>IFERROR(IF(AND(H710&gt;0,E710&gt;0),H710/E710,""),"")</f>
        <v/>
      </c>
      <c r="J710" s="152">
        <f>IFERROR(VALUE(SUBSTITUTE(INDEX('04A_국토부원자료'!$A:$T,ROW()+1,MATCH("층",'04A_국토부원자료'!$A$4:$T$4,0)),",","")),"")</f>
        <v/>
      </c>
      <c r="K710" s="152">
        <f>IFERROR(VALUE(SUBSTITUTE(INDEX('04A_국토부원자료'!$A:$T,ROW()+1,MATCH("건축년도",'04A_국토부원자료'!$A$4:$T$4,0)),",","")),"")</f>
        <v/>
      </c>
      <c r="L710" s="176">
        <f>IFERROR(INDEX('04A_국토부원자료'!$A:$T,ROW()+1,MATCH("도로명",'04A_국토부원자료'!$A$4:$T$4,0)),"")</f>
        <v/>
      </c>
      <c r="M710" s="48">
        <f>IFERROR(INDEX('04A_국토부원자료'!$A:$T,ROW()+1,MATCH("거래유형",'04A_국토부원자료'!$A$4:$T$4,0)),"")</f>
        <v/>
      </c>
      <c r="N710" s="152">
        <f>IF(B710="","",IF('02_대상물건입력'!B5="",1,IF(ISNUMBER(SEARCH('02_대상물건입력'!B5,B710)),1,0)))</f>
        <v/>
      </c>
      <c r="O710" s="152">
        <f>IF(B710="","",IF('02_대상물건입력'!B6="",1,IF(ISNUMBER(SEARCH('02_대상물건입력'!B6,B710)),1,0)))</f>
        <v/>
      </c>
      <c r="P710" s="152">
        <f>IF(L710="","",IF('02_대상물건입력'!B15="",0,IF(ISNUMBER(SEARCH('02_대상물건입력'!B15,L710)),1,0)))</f>
        <v/>
      </c>
      <c r="Q710" s="152">
        <f>IF(OR(C710="",L710=""),0,IF(AND(TRIM(C710)=TRIM(RIGHT(SUBSTITUTE(TRIM('02_대상물건입력'!$B$7)," ",REPT(" ",99)),99)),IF('02_대상물건입력'!B15="",TRUE(),ISNUMBER(SEARCH('02_대상물건입력'!B15,L710)))),1,0))</f>
        <v/>
      </c>
      <c r="R710" s="175">
        <f>IFERROR(ABS(E710-'02_대상물건입력'!B11)/'02_대상물건입력'!B11,"")</f>
        <v/>
      </c>
      <c r="S710" s="152">
        <f>IFERROR(ABS(J710-'02_대상물건입력'!B10),"")</f>
        <v/>
      </c>
      <c r="T710" s="152">
        <f>IFERROR(ABS('01_설정'!B4-F710),"")</f>
        <v/>
      </c>
      <c r="U710" s="152">
        <f>IFERROR(ABS(K710-YEAR('02_대상물건입력'!B14)),"")</f>
        <v/>
      </c>
      <c r="V710" s="152">
        <f>IF(B710="","",IF(AND(E710&gt;0,F710&gt;0,H710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710=1,TRUE()),R710&lt;='01_설정'!B5,S710&lt;='01_설정'!B6,T710&lt;='01_설정'!B7,U710&lt;='01_설정'!B8),"Y",""))</f>
        <v/>
      </c>
      <c r="W710" s="172">
        <f>IF(V710&lt;&gt;"Y","",MAX(0,(1-R710/'01_설정'!B5))*'01_설정'!B14+MAX(0,(1-S710/'01_설정'!B6))*'01_설정'!B15+MAX(0,(1-T710/'01_설정'!B7))*'01_설정'!B16+MAX(0,(1-U710/'01_설정'!B8))*'01_설정'!B17+O710*'01_설정'!B11+Q710*'01_설정'!B12+P710*'01_설정'!B13+IF(Z710="",0,Z710))</f>
        <v/>
      </c>
      <c r="X710" s="152">
        <f>IF(W710="","",1+COUNTIFS($W$4:$W$3003,"&gt;"&amp;W710)+COUNTIFS($W$4:W710,W710)-1)</f>
        <v/>
      </c>
      <c r="Y710" s="175">
        <f>IF(OR(I710="",'02_대상물건입력'!B19="",'02_대상물건입력'!B19&lt;=0),"",ABS(I710-'02_대상물건입력'!B19)/'02_대상물건입력'!B19)</f>
        <v/>
      </c>
      <c r="Z710" s="172">
        <f>IF(OR(Y710="",'01_설정'!B31="",'01_설정'!B31&lt;=0,'01_설정'!B32="",'01_설정'!B32&lt;=0),"",MAX(0,(1-Y710/'01_설정'!B32))*'01_설정'!B31)</f>
        <v/>
      </c>
    </row>
    <row r="711" ht="17.25" customHeight="1">
      <c r="A711" s="152">
        <f>IF(INDEX('04A_국토부원자료'!$A:$A,ROW()+1)="","",ROW()-3)</f>
        <v/>
      </c>
      <c r="B711" s="48">
        <f>IFERROR(INDEX('04A_국토부원자료'!$A:$T,ROW()+1,MATCH("시군구",'04A_국토부원자료'!$A$4:$T$4,0)),"")</f>
        <v/>
      </c>
      <c r="C711" s="48">
        <f>IF(B711="","",IFERROR(INDEX('04A_국토부원자료'!$A:$T,ROW()+1,MATCH("번지",'04A_국토부원자료'!$A$4:$T$4,0)),""))</f>
        <v/>
      </c>
      <c r="D711" s="48">
        <f>IF(B711="","",IF(Q711=1,'02_대상물건입력'!$B$8,IFERROR(INDEX('04A_국토부원자료'!$A:$T,ROW()+1,MATCH("단지명",'04A_국토부원자료'!$A$4:$T$4,0)),"")))</f>
        <v/>
      </c>
      <c r="E711" s="172">
        <f>IFERROR(VALUE(SUBSTITUTE(INDEX('04A_국토부원자료'!$A:$T,ROW()+1,MATCH("전용면적(㎡)",'04A_국토부원자료'!$A$4:$T$4,0)),",","")),"")</f>
        <v/>
      </c>
      <c r="F7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11" s="51">
        <f>IFERROR(VALUE(SUBSTITUTE(INDEX('04A_국토부원자료'!$A:$T,ROW()+1,MATCH("거래금액(만원)",'04A_국토부원자료'!$A$4:$T$4,0)),",","")),"")</f>
        <v/>
      </c>
      <c r="H711" s="174">
        <f>IF(G711="","",G711*10000)</f>
        <v/>
      </c>
      <c r="I711" s="174">
        <f>IFERROR(IF(AND(H711&gt;0,E711&gt;0),H711/E711,""),"")</f>
        <v/>
      </c>
      <c r="J711" s="152">
        <f>IFERROR(VALUE(SUBSTITUTE(INDEX('04A_국토부원자료'!$A:$T,ROW()+1,MATCH("층",'04A_국토부원자료'!$A$4:$T$4,0)),",","")),"")</f>
        <v/>
      </c>
      <c r="K711" s="152">
        <f>IFERROR(VALUE(SUBSTITUTE(INDEX('04A_국토부원자료'!$A:$T,ROW()+1,MATCH("건축년도",'04A_국토부원자료'!$A$4:$T$4,0)),",","")),"")</f>
        <v/>
      </c>
      <c r="L711" s="176">
        <f>IFERROR(INDEX('04A_국토부원자료'!$A:$T,ROW()+1,MATCH("도로명",'04A_국토부원자료'!$A$4:$T$4,0)),"")</f>
        <v/>
      </c>
      <c r="M711" s="48">
        <f>IFERROR(INDEX('04A_국토부원자료'!$A:$T,ROW()+1,MATCH("거래유형",'04A_국토부원자료'!$A$4:$T$4,0)),"")</f>
        <v/>
      </c>
      <c r="N711" s="152">
        <f>IF(B711="","",IF('02_대상물건입력'!B5="",1,IF(ISNUMBER(SEARCH('02_대상물건입력'!B5,B711)),1,0)))</f>
        <v/>
      </c>
      <c r="O711" s="152">
        <f>IF(B711="","",IF('02_대상물건입력'!B6="",1,IF(ISNUMBER(SEARCH('02_대상물건입력'!B6,B711)),1,0)))</f>
        <v/>
      </c>
      <c r="P711" s="152">
        <f>IF(L711="","",IF('02_대상물건입력'!B15="",0,IF(ISNUMBER(SEARCH('02_대상물건입력'!B15,L711)),1,0)))</f>
        <v/>
      </c>
      <c r="Q711" s="152">
        <f>IF(OR(C711="",L711=""),0,IF(AND(TRIM(C711)=TRIM(RIGHT(SUBSTITUTE(TRIM('02_대상물건입력'!$B$7)," ",REPT(" ",99)),99)),IF('02_대상물건입력'!B15="",TRUE(),ISNUMBER(SEARCH('02_대상물건입력'!B15,L711)))),1,0))</f>
        <v/>
      </c>
      <c r="R711" s="175">
        <f>IFERROR(ABS(E711-'02_대상물건입력'!B11)/'02_대상물건입력'!B11,"")</f>
        <v/>
      </c>
      <c r="S711" s="152">
        <f>IFERROR(ABS(J711-'02_대상물건입력'!B10),"")</f>
        <v/>
      </c>
      <c r="T711" s="152">
        <f>IFERROR(ABS('01_설정'!B4-F711),"")</f>
        <v/>
      </c>
      <c r="U711" s="152">
        <f>IFERROR(ABS(K711-YEAR('02_대상물건입력'!B14)),"")</f>
        <v/>
      </c>
      <c r="V711" s="152">
        <f>IF(B711="","",IF(AND(E711&gt;0,F711&gt;0,H711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711=1,TRUE()),R711&lt;='01_설정'!B5,S711&lt;='01_설정'!B6,T711&lt;='01_설정'!B7,U711&lt;='01_설정'!B8),"Y",""))</f>
        <v/>
      </c>
      <c r="W711" s="172">
        <f>IF(V711&lt;&gt;"Y","",MAX(0,(1-R711/'01_설정'!B5))*'01_설정'!B14+MAX(0,(1-S711/'01_설정'!B6))*'01_설정'!B15+MAX(0,(1-T711/'01_설정'!B7))*'01_설정'!B16+MAX(0,(1-U711/'01_설정'!B8))*'01_설정'!B17+O711*'01_설정'!B11+Q711*'01_설정'!B12+P711*'01_설정'!B13+IF(Z711="",0,Z711))</f>
        <v/>
      </c>
      <c r="X711" s="152">
        <f>IF(W711="","",1+COUNTIFS($W$4:$W$3003,"&gt;"&amp;W711)+COUNTIFS($W$4:W711,W711)-1)</f>
        <v/>
      </c>
      <c r="Y711" s="175">
        <f>IF(OR(I711="",'02_대상물건입력'!B19="",'02_대상물건입력'!B19&lt;=0),"",ABS(I711-'02_대상물건입력'!B19)/'02_대상물건입력'!B19)</f>
        <v/>
      </c>
      <c r="Z711" s="172">
        <f>IF(OR(Y711="",'01_설정'!B31="",'01_설정'!B31&lt;=0,'01_설정'!B32="",'01_설정'!B32&lt;=0),"",MAX(0,(1-Y711/'01_설정'!B32))*'01_설정'!B31)</f>
        <v/>
      </c>
    </row>
    <row r="712" ht="17.25" customHeight="1">
      <c r="A712" s="152">
        <f>IF(INDEX('04A_국토부원자료'!$A:$A,ROW()+1)="","",ROW()-3)</f>
        <v/>
      </c>
      <c r="B712" s="48">
        <f>IFERROR(INDEX('04A_국토부원자료'!$A:$T,ROW()+1,MATCH("시군구",'04A_국토부원자료'!$A$4:$T$4,0)),"")</f>
        <v/>
      </c>
      <c r="C712" s="48">
        <f>IF(B712="","",IFERROR(INDEX('04A_국토부원자료'!$A:$T,ROW()+1,MATCH("번지",'04A_국토부원자료'!$A$4:$T$4,0)),""))</f>
        <v/>
      </c>
      <c r="D712" s="48">
        <f>IF(B712="","",IF(Q712=1,'02_대상물건입력'!$B$8,IFERROR(INDEX('04A_국토부원자료'!$A:$T,ROW()+1,MATCH("단지명",'04A_국토부원자료'!$A$4:$T$4,0)),"")))</f>
        <v/>
      </c>
      <c r="E712" s="172">
        <f>IFERROR(VALUE(SUBSTITUTE(INDEX('04A_국토부원자료'!$A:$T,ROW()+1,MATCH("전용면적(㎡)",'04A_국토부원자료'!$A$4:$T$4,0)),",","")),"")</f>
        <v/>
      </c>
      <c r="F7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12" s="51">
        <f>IFERROR(VALUE(SUBSTITUTE(INDEX('04A_국토부원자료'!$A:$T,ROW()+1,MATCH("거래금액(만원)",'04A_국토부원자료'!$A$4:$T$4,0)),",","")),"")</f>
        <v/>
      </c>
      <c r="H712" s="174">
        <f>IF(G712="","",G712*10000)</f>
        <v/>
      </c>
      <c r="I712" s="174">
        <f>IFERROR(IF(AND(H712&gt;0,E712&gt;0),H712/E712,""),"")</f>
        <v/>
      </c>
      <c r="J712" s="152">
        <f>IFERROR(VALUE(SUBSTITUTE(INDEX('04A_국토부원자료'!$A:$T,ROW()+1,MATCH("층",'04A_국토부원자료'!$A$4:$T$4,0)),",","")),"")</f>
        <v/>
      </c>
      <c r="K712" s="152">
        <f>IFERROR(VALUE(SUBSTITUTE(INDEX('04A_국토부원자료'!$A:$T,ROW()+1,MATCH("건축년도",'04A_국토부원자료'!$A$4:$T$4,0)),",","")),"")</f>
        <v/>
      </c>
      <c r="L712" s="176">
        <f>IFERROR(INDEX('04A_국토부원자료'!$A:$T,ROW()+1,MATCH("도로명",'04A_국토부원자료'!$A$4:$T$4,0)),"")</f>
        <v/>
      </c>
      <c r="M712" s="48">
        <f>IFERROR(INDEX('04A_국토부원자료'!$A:$T,ROW()+1,MATCH("거래유형",'04A_국토부원자료'!$A$4:$T$4,0)),"")</f>
        <v/>
      </c>
      <c r="N712" s="152">
        <f>IF(B712="","",IF('02_대상물건입력'!B5="",1,IF(ISNUMBER(SEARCH('02_대상물건입력'!B5,B712)),1,0)))</f>
        <v/>
      </c>
      <c r="O712" s="152">
        <f>IF(B712="","",IF('02_대상물건입력'!B6="",1,IF(ISNUMBER(SEARCH('02_대상물건입력'!B6,B712)),1,0)))</f>
        <v/>
      </c>
      <c r="P712" s="152">
        <f>IF(L712="","",IF('02_대상물건입력'!B15="",0,IF(ISNUMBER(SEARCH('02_대상물건입력'!B15,L712)),1,0)))</f>
        <v/>
      </c>
      <c r="Q712" s="152">
        <f>IF(OR(C712="",L712=""),0,IF(AND(TRIM(C712)=TRIM(RIGHT(SUBSTITUTE(TRIM('02_대상물건입력'!$B$7)," ",REPT(" ",99)),99)),IF('02_대상물건입력'!B15="",TRUE(),ISNUMBER(SEARCH('02_대상물건입력'!B15,L712)))),1,0))</f>
        <v/>
      </c>
      <c r="R712" s="175">
        <f>IFERROR(ABS(E712-'02_대상물건입력'!B11)/'02_대상물건입력'!B11,"")</f>
        <v/>
      </c>
      <c r="S712" s="152">
        <f>IFERROR(ABS(J712-'02_대상물건입력'!B10),"")</f>
        <v/>
      </c>
      <c r="T712" s="152">
        <f>IFERROR(ABS('01_설정'!B4-F712),"")</f>
        <v/>
      </c>
      <c r="U712" s="152">
        <f>IFERROR(ABS(K712-YEAR('02_대상물건입력'!B14)),"")</f>
        <v/>
      </c>
      <c r="V712" s="152">
        <f>IF(B712="","",IF(AND(E712&gt;0,F712&gt;0,H712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712=1,TRUE()),R712&lt;='01_설정'!B5,S712&lt;='01_설정'!B6,T712&lt;='01_설정'!B7,U712&lt;='01_설정'!B8),"Y",""))</f>
        <v/>
      </c>
      <c r="W712" s="172">
        <f>IF(V712&lt;&gt;"Y","",MAX(0,(1-R712/'01_설정'!B5))*'01_설정'!B14+MAX(0,(1-S712/'01_설정'!B6))*'01_설정'!B15+MAX(0,(1-T712/'01_설정'!B7))*'01_설정'!B16+MAX(0,(1-U712/'01_설정'!B8))*'01_설정'!B17+O712*'01_설정'!B11+Q712*'01_설정'!B12+P712*'01_설정'!B13+IF(Z712="",0,Z712))</f>
        <v/>
      </c>
      <c r="X712" s="152">
        <f>IF(W712="","",1+COUNTIFS($W$4:$W$3003,"&gt;"&amp;W712)+COUNTIFS($W$4:W712,W712)-1)</f>
        <v/>
      </c>
      <c r="Y712" s="175">
        <f>IF(OR(I712="",'02_대상물건입력'!B19="",'02_대상물건입력'!B19&lt;=0),"",ABS(I712-'02_대상물건입력'!B19)/'02_대상물건입력'!B19)</f>
        <v/>
      </c>
      <c r="Z712" s="172">
        <f>IF(OR(Y712="",'01_설정'!B31="",'01_설정'!B31&lt;=0,'01_설정'!B32="",'01_설정'!B32&lt;=0),"",MAX(0,(1-Y712/'01_설정'!B32))*'01_설정'!B31)</f>
        <v/>
      </c>
    </row>
    <row r="713" ht="17.25" customHeight="1">
      <c r="A713" s="152">
        <f>IF(INDEX('04A_국토부원자료'!$A:$A,ROW()+1)="","",ROW()-3)</f>
        <v/>
      </c>
      <c r="B713" s="48">
        <f>IFERROR(INDEX('04A_국토부원자료'!$A:$T,ROW()+1,MATCH("시군구",'04A_국토부원자료'!$A$4:$T$4,0)),"")</f>
        <v/>
      </c>
      <c r="C713" s="48">
        <f>IF(B713="","",IFERROR(INDEX('04A_국토부원자료'!$A:$T,ROW()+1,MATCH("번지",'04A_국토부원자료'!$A$4:$T$4,0)),""))</f>
        <v/>
      </c>
      <c r="D713" s="48">
        <f>IF(B713="","",IF(Q713=1,'02_대상물건입력'!$B$8,IFERROR(INDEX('04A_국토부원자료'!$A:$T,ROW()+1,MATCH("단지명",'04A_국토부원자료'!$A$4:$T$4,0)),"")))</f>
        <v/>
      </c>
      <c r="E713" s="172">
        <f>IFERROR(VALUE(SUBSTITUTE(INDEX('04A_국토부원자료'!$A:$T,ROW()+1,MATCH("전용면적(㎡)",'04A_국토부원자료'!$A$4:$T$4,0)),",","")),"")</f>
        <v/>
      </c>
      <c r="F7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13" s="51">
        <f>IFERROR(VALUE(SUBSTITUTE(INDEX('04A_국토부원자료'!$A:$T,ROW()+1,MATCH("거래금액(만원)",'04A_국토부원자료'!$A$4:$T$4,0)),",","")),"")</f>
        <v/>
      </c>
      <c r="H713" s="174">
        <f>IF(G713="","",G713*10000)</f>
        <v/>
      </c>
      <c r="I713" s="174">
        <f>IFERROR(IF(AND(H713&gt;0,E713&gt;0),H713/E713,""),"")</f>
        <v/>
      </c>
      <c r="J713" s="152">
        <f>IFERROR(VALUE(SUBSTITUTE(INDEX('04A_국토부원자료'!$A:$T,ROW()+1,MATCH("층",'04A_국토부원자료'!$A$4:$T$4,0)),",","")),"")</f>
        <v/>
      </c>
      <c r="K713" s="152">
        <f>IFERROR(VALUE(SUBSTITUTE(INDEX('04A_국토부원자료'!$A:$T,ROW()+1,MATCH("건축년도",'04A_국토부원자료'!$A$4:$T$4,0)),",","")),"")</f>
        <v/>
      </c>
      <c r="L713" s="176">
        <f>IFERROR(INDEX('04A_국토부원자료'!$A:$T,ROW()+1,MATCH("도로명",'04A_국토부원자료'!$A$4:$T$4,0)),"")</f>
        <v/>
      </c>
      <c r="M713" s="48">
        <f>IFERROR(INDEX('04A_국토부원자료'!$A:$T,ROW()+1,MATCH("거래유형",'04A_국토부원자료'!$A$4:$T$4,0)),"")</f>
        <v/>
      </c>
      <c r="N713" s="152">
        <f>IF(B713="","",IF('02_대상물건입력'!B5="",1,IF(ISNUMBER(SEARCH('02_대상물건입력'!B5,B713)),1,0)))</f>
        <v/>
      </c>
      <c r="O713" s="152">
        <f>IF(B713="","",IF('02_대상물건입력'!B6="",1,IF(ISNUMBER(SEARCH('02_대상물건입력'!B6,B713)),1,0)))</f>
        <v/>
      </c>
      <c r="P713" s="152">
        <f>IF(L713="","",IF('02_대상물건입력'!B15="",0,IF(ISNUMBER(SEARCH('02_대상물건입력'!B15,L713)),1,0)))</f>
        <v/>
      </c>
      <c r="Q713" s="152">
        <f>IF(OR(C713="",L713=""),0,IF(AND(TRIM(C713)=TRIM(RIGHT(SUBSTITUTE(TRIM('02_대상물건입력'!$B$7)," ",REPT(" ",99)),99)),IF('02_대상물건입력'!B15="",TRUE(),ISNUMBER(SEARCH('02_대상물건입력'!B15,L713)))),1,0))</f>
        <v/>
      </c>
      <c r="R713" s="175">
        <f>IFERROR(ABS(E713-'02_대상물건입력'!B11)/'02_대상물건입력'!B11,"")</f>
        <v/>
      </c>
      <c r="S713" s="152">
        <f>IFERROR(ABS(J713-'02_대상물건입력'!B10),"")</f>
        <v/>
      </c>
      <c r="T713" s="152">
        <f>IFERROR(ABS('01_설정'!B4-F713),"")</f>
        <v/>
      </c>
      <c r="U713" s="152">
        <f>IFERROR(ABS(K713-YEAR('02_대상물건입력'!B14)),"")</f>
        <v/>
      </c>
      <c r="V713" s="152">
        <f>IF(B713="","",IF(AND(E713&gt;0,F713&gt;0,H713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713=1,TRUE()),R713&lt;='01_설정'!B5,S713&lt;='01_설정'!B6,T713&lt;='01_설정'!B7,U713&lt;='01_설정'!B8),"Y",""))</f>
        <v/>
      </c>
      <c r="W713" s="172">
        <f>IF(V713&lt;&gt;"Y","",MAX(0,(1-R713/'01_설정'!B5))*'01_설정'!B14+MAX(0,(1-S713/'01_설정'!B6))*'01_설정'!B15+MAX(0,(1-T713/'01_설정'!B7))*'01_설정'!B16+MAX(0,(1-U713/'01_설정'!B8))*'01_설정'!B17+O713*'01_설정'!B11+Q713*'01_설정'!B12+P713*'01_설정'!B13+IF(Z713="",0,Z713))</f>
        <v/>
      </c>
      <c r="X713" s="152">
        <f>IF(W713="","",1+COUNTIFS($W$4:$W$3003,"&gt;"&amp;W713)+COUNTIFS($W$4:W713,W713)-1)</f>
        <v/>
      </c>
      <c r="Y713" s="175">
        <f>IF(OR(I713="",'02_대상물건입력'!B19="",'02_대상물건입력'!B19&lt;=0),"",ABS(I713-'02_대상물건입력'!B19)/'02_대상물건입력'!B19)</f>
        <v/>
      </c>
      <c r="Z713" s="172">
        <f>IF(OR(Y713="",'01_설정'!B31="",'01_설정'!B31&lt;=0,'01_설정'!B32="",'01_설정'!B32&lt;=0),"",MAX(0,(1-Y713/'01_설정'!B32))*'01_설정'!B31)</f>
        <v/>
      </c>
    </row>
    <row r="714" ht="17.25" customHeight="1">
      <c r="A714" s="152">
        <f>IF(INDEX('04A_국토부원자료'!$A:$A,ROW()+1)="","",ROW()-3)</f>
        <v/>
      </c>
      <c r="B714" s="48">
        <f>IFERROR(INDEX('04A_국토부원자료'!$A:$T,ROW()+1,MATCH("시군구",'04A_국토부원자료'!$A$4:$T$4,0)),"")</f>
        <v/>
      </c>
      <c r="C714" s="48">
        <f>IF(B714="","",IFERROR(INDEX('04A_국토부원자료'!$A:$T,ROW()+1,MATCH("번지",'04A_국토부원자료'!$A$4:$T$4,0)),""))</f>
        <v/>
      </c>
      <c r="D714" s="48">
        <f>IF(B714="","",IF(Q714=1,'02_대상물건입력'!$B$8,IFERROR(INDEX('04A_국토부원자료'!$A:$T,ROW()+1,MATCH("단지명",'04A_국토부원자료'!$A$4:$T$4,0)),"")))</f>
        <v/>
      </c>
      <c r="E714" s="172">
        <f>IFERROR(VALUE(SUBSTITUTE(INDEX('04A_국토부원자료'!$A:$T,ROW()+1,MATCH("전용면적(㎡)",'04A_국토부원자료'!$A$4:$T$4,0)),",","")),"")</f>
        <v/>
      </c>
      <c r="F7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14" s="51">
        <f>IFERROR(VALUE(SUBSTITUTE(INDEX('04A_국토부원자료'!$A:$T,ROW()+1,MATCH("거래금액(만원)",'04A_국토부원자료'!$A$4:$T$4,0)),",","")),"")</f>
        <v/>
      </c>
      <c r="H714" s="174">
        <f>IF(G714="","",G714*10000)</f>
        <v/>
      </c>
      <c r="I714" s="174">
        <f>IFERROR(IF(AND(H714&gt;0,E714&gt;0),H714/E714,""),"")</f>
        <v/>
      </c>
      <c r="J714" s="152">
        <f>IFERROR(VALUE(SUBSTITUTE(INDEX('04A_국토부원자료'!$A:$T,ROW()+1,MATCH("층",'04A_국토부원자료'!$A$4:$T$4,0)),",","")),"")</f>
        <v/>
      </c>
      <c r="K714" s="152">
        <f>IFERROR(VALUE(SUBSTITUTE(INDEX('04A_국토부원자료'!$A:$T,ROW()+1,MATCH("건축년도",'04A_국토부원자료'!$A$4:$T$4,0)),",","")),"")</f>
        <v/>
      </c>
      <c r="L714" s="176">
        <f>IFERROR(INDEX('04A_국토부원자료'!$A:$T,ROW()+1,MATCH("도로명",'04A_국토부원자료'!$A$4:$T$4,0)),"")</f>
        <v/>
      </c>
      <c r="M714" s="48">
        <f>IFERROR(INDEX('04A_국토부원자료'!$A:$T,ROW()+1,MATCH("거래유형",'04A_국토부원자료'!$A$4:$T$4,0)),"")</f>
        <v/>
      </c>
      <c r="N714" s="152">
        <f>IF(B714="","",IF('02_대상물건입력'!B5="",1,IF(ISNUMBER(SEARCH('02_대상물건입력'!B5,B714)),1,0)))</f>
        <v/>
      </c>
      <c r="O714" s="152">
        <f>IF(B714="","",IF('02_대상물건입력'!B6="",1,IF(ISNUMBER(SEARCH('02_대상물건입력'!B6,B714)),1,0)))</f>
        <v/>
      </c>
      <c r="P714" s="152">
        <f>IF(L714="","",IF('02_대상물건입력'!B15="",0,IF(ISNUMBER(SEARCH('02_대상물건입력'!B15,L714)),1,0)))</f>
        <v/>
      </c>
      <c r="Q714" s="152">
        <f>IF(OR(C714="",L714=""),0,IF(AND(TRIM(C714)=TRIM(RIGHT(SUBSTITUTE(TRIM('02_대상물건입력'!$B$7)," ",REPT(" ",99)),99)),IF('02_대상물건입력'!B15="",TRUE(),ISNUMBER(SEARCH('02_대상물건입력'!B15,L714)))),1,0))</f>
        <v/>
      </c>
      <c r="R714" s="175">
        <f>IFERROR(ABS(E714-'02_대상물건입력'!B11)/'02_대상물건입력'!B11,"")</f>
        <v/>
      </c>
      <c r="S714" s="152">
        <f>IFERROR(ABS(J714-'02_대상물건입력'!B10),"")</f>
        <v/>
      </c>
      <c r="T714" s="152">
        <f>IFERROR(ABS('01_설정'!B4-F714),"")</f>
        <v/>
      </c>
      <c r="U714" s="152">
        <f>IFERROR(ABS(K714-YEAR('02_대상물건입력'!B14)),"")</f>
        <v/>
      </c>
      <c r="V714" s="152">
        <f>IF(B714="","",IF(AND(E714&gt;0,F714&gt;0,H714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714=1,TRUE()),R714&lt;='01_설정'!B5,S714&lt;='01_설정'!B6,T714&lt;='01_설정'!B7,U714&lt;='01_설정'!B8),"Y",""))</f>
        <v/>
      </c>
      <c r="W714" s="172">
        <f>IF(V714&lt;&gt;"Y","",MAX(0,(1-R714/'01_설정'!B5))*'01_설정'!B14+MAX(0,(1-S714/'01_설정'!B6))*'01_설정'!B15+MAX(0,(1-T714/'01_설정'!B7))*'01_설정'!B16+MAX(0,(1-U714/'01_설정'!B8))*'01_설정'!B17+O714*'01_설정'!B11+Q714*'01_설정'!B12+P714*'01_설정'!B13+IF(Z714="",0,Z714))</f>
        <v/>
      </c>
      <c r="X714" s="152">
        <f>IF(W714="","",1+COUNTIFS($W$4:$W$3003,"&gt;"&amp;W714)+COUNTIFS($W$4:W714,W714)-1)</f>
        <v/>
      </c>
      <c r="Y714" s="175">
        <f>IF(OR(I714="",'02_대상물건입력'!B19="",'02_대상물건입력'!B19&lt;=0),"",ABS(I714-'02_대상물건입력'!B19)/'02_대상물건입력'!B19)</f>
        <v/>
      </c>
      <c r="Z714" s="172">
        <f>IF(OR(Y714="",'01_설정'!B31="",'01_설정'!B31&lt;=0,'01_설정'!B32="",'01_설정'!B32&lt;=0),"",MAX(0,(1-Y714/'01_설정'!B32))*'01_설정'!B31)</f>
        <v/>
      </c>
    </row>
    <row r="715" ht="17.25" customHeight="1">
      <c r="A715" s="152">
        <f>IF(INDEX('04A_국토부원자료'!$A:$A,ROW()+1)="","",ROW()-3)</f>
        <v/>
      </c>
      <c r="B715" s="48">
        <f>IFERROR(INDEX('04A_국토부원자료'!$A:$T,ROW()+1,MATCH("시군구",'04A_국토부원자료'!$A$4:$T$4,0)),"")</f>
        <v/>
      </c>
      <c r="C715" s="48">
        <f>IF(B715="","",IFERROR(INDEX('04A_국토부원자료'!$A:$T,ROW()+1,MATCH("번지",'04A_국토부원자료'!$A$4:$T$4,0)),""))</f>
        <v/>
      </c>
      <c r="D715" s="48">
        <f>IF(B715="","",IF(Q715=1,'02_대상물건입력'!$B$8,IFERROR(INDEX('04A_국토부원자료'!$A:$T,ROW()+1,MATCH("단지명",'04A_국토부원자료'!$A$4:$T$4,0)),"")))</f>
        <v/>
      </c>
      <c r="E715" s="172">
        <f>IFERROR(VALUE(SUBSTITUTE(INDEX('04A_국토부원자료'!$A:$T,ROW()+1,MATCH("전용면적(㎡)",'04A_국토부원자료'!$A$4:$T$4,0)),",","")),"")</f>
        <v/>
      </c>
      <c r="F7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15" s="51">
        <f>IFERROR(VALUE(SUBSTITUTE(INDEX('04A_국토부원자료'!$A:$T,ROW()+1,MATCH("거래금액(만원)",'04A_국토부원자료'!$A$4:$T$4,0)),",","")),"")</f>
        <v/>
      </c>
      <c r="H715" s="174">
        <f>IF(G715="","",G715*10000)</f>
        <v/>
      </c>
      <c r="I715" s="174">
        <f>IFERROR(IF(AND(H715&gt;0,E715&gt;0),H715/E715,""),"")</f>
        <v/>
      </c>
      <c r="J715" s="152">
        <f>IFERROR(VALUE(SUBSTITUTE(INDEX('04A_국토부원자료'!$A:$T,ROW()+1,MATCH("층",'04A_국토부원자료'!$A$4:$T$4,0)),",","")),"")</f>
        <v/>
      </c>
      <c r="K715" s="152">
        <f>IFERROR(VALUE(SUBSTITUTE(INDEX('04A_국토부원자료'!$A:$T,ROW()+1,MATCH("건축년도",'04A_국토부원자료'!$A$4:$T$4,0)),",","")),"")</f>
        <v/>
      </c>
      <c r="L715" s="176">
        <f>IFERROR(INDEX('04A_국토부원자료'!$A:$T,ROW()+1,MATCH("도로명",'04A_국토부원자료'!$A$4:$T$4,0)),"")</f>
        <v/>
      </c>
      <c r="M715" s="48">
        <f>IFERROR(INDEX('04A_국토부원자료'!$A:$T,ROW()+1,MATCH("거래유형",'04A_국토부원자료'!$A$4:$T$4,0)),"")</f>
        <v/>
      </c>
      <c r="N715" s="152">
        <f>IF(B715="","",IF('02_대상물건입력'!B5="",1,IF(ISNUMBER(SEARCH('02_대상물건입력'!B5,B715)),1,0)))</f>
        <v/>
      </c>
      <c r="O715" s="152">
        <f>IF(B715="","",IF('02_대상물건입력'!B6="",1,IF(ISNUMBER(SEARCH('02_대상물건입력'!B6,B715)),1,0)))</f>
        <v/>
      </c>
      <c r="P715" s="152">
        <f>IF(L715="","",IF('02_대상물건입력'!B15="",0,IF(ISNUMBER(SEARCH('02_대상물건입력'!B15,L715)),1,0)))</f>
        <v/>
      </c>
      <c r="Q715" s="152">
        <f>IF(OR(C715="",L715=""),0,IF(AND(TRIM(C715)=TRIM(RIGHT(SUBSTITUTE(TRIM('02_대상물건입력'!$B$7)," ",REPT(" ",99)),99)),IF('02_대상물건입력'!B15="",TRUE(),ISNUMBER(SEARCH('02_대상물건입력'!B15,L715)))),1,0))</f>
        <v/>
      </c>
      <c r="R715" s="175">
        <f>IFERROR(ABS(E715-'02_대상물건입력'!B11)/'02_대상물건입력'!B11,"")</f>
        <v/>
      </c>
      <c r="S715" s="152">
        <f>IFERROR(ABS(J715-'02_대상물건입력'!B10),"")</f>
        <v/>
      </c>
      <c r="T715" s="152">
        <f>IFERROR(ABS('01_설정'!B4-F715),"")</f>
        <v/>
      </c>
      <c r="U715" s="152">
        <f>IFERROR(ABS(K715-YEAR('02_대상물건입력'!B14)),"")</f>
        <v/>
      </c>
      <c r="V715" s="152">
        <f>IF(B715="","",IF(AND(E715&gt;0,F715&gt;0,H715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715=1,TRUE()),R715&lt;='01_설정'!B5,S715&lt;='01_설정'!B6,T715&lt;='01_설정'!B7,U715&lt;='01_설정'!B8),"Y",""))</f>
        <v/>
      </c>
      <c r="W715" s="172">
        <f>IF(V715&lt;&gt;"Y","",MAX(0,(1-R715/'01_설정'!B5))*'01_설정'!B14+MAX(0,(1-S715/'01_설정'!B6))*'01_설정'!B15+MAX(0,(1-T715/'01_설정'!B7))*'01_설정'!B16+MAX(0,(1-U715/'01_설정'!B8))*'01_설정'!B17+O715*'01_설정'!B11+Q715*'01_설정'!B12+P715*'01_설정'!B13+IF(Z715="",0,Z715))</f>
        <v/>
      </c>
      <c r="X715" s="152">
        <f>IF(W715="","",1+COUNTIFS($W$4:$W$3003,"&gt;"&amp;W715)+COUNTIFS($W$4:W715,W715)-1)</f>
        <v/>
      </c>
      <c r="Y715" s="175">
        <f>IF(OR(I715="",'02_대상물건입력'!B19="",'02_대상물건입력'!B19&lt;=0),"",ABS(I715-'02_대상물건입력'!B19)/'02_대상물건입력'!B19)</f>
        <v/>
      </c>
      <c r="Z715" s="172">
        <f>IF(OR(Y715="",'01_설정'!B31="",'01_설정'!B31&lt;=0,'01_설정'!B32="",'01_설정'!B32&lt;=0),"",MAX(0,(1-Y715/'01_설정'!B32))*'01_설정'!B31)</f>
        <v/>
      </c>
    </row>
    <row r="716" ht="17.25" customHeight="1">
      <c r="A716" s="152">
        <f>IF(INDEX('04A_국토부원자료'!$A:$A,ROW()+1)="","",ROW()-3)</f>
        <v/>
      </c>
      <c r="B716" s="48">
        <f>IFERROR(INDEX('04A_국토부원자료'!$A:$T,ROW()+1,MATCH("시군구",'04A_국토부원자료'!$A$4:$T$4,0)),"")</f>
        <v/>
      </c>
      <c r="C716" s="48">
        <f>IF(B716="","",IFERROR(INDEX('04A_국토부원자료'!$A:$T,ROW()+1,MATCH("번지",'04A_국토부원자료'!$A$4:$T$4,0)),""))</f>
        <v/>
      </c>
      <c r="D716" s="48">
        <f>IF(B716="","",IF(Q716=1,'02_대상물건입력'!$B$8,IFERROR(INDEX('04A_국토부원자료'!$A:$T,ROW()+1,MATCH("단지명",'04A_국토부원자료'!$A$4:$T$4,0)),"")))</f>
        <v/>
      </c>
      <c r="E716" s="172">
        <f>IFERROR(VALUE(SUBSTITUTE(INDEX('04A_국토부원자료'!$A:$T,ROW()+1,MATCH("전용면적(㎡)",'04A_국토부원자료'!$A$4:$T$4,0)),",","")),"")</f>
        <v/>
      </c>
      <c r="F7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16" s="51">
        <f>IFERROR(VALUE(SUBSTITUTE(INDEX('04A_국토부원자료'!$A:$T,ROW()+1,MATCH("거래금액(만원)",'04A_국토부원자료'!$A$4:$T$4,0)),",","")),"")</f>
        <v/>
      </c>
      <c r="H716" s="174">
        <f>IF(G716="","",G716*10000)</f>
        <v/>
      </c>
      <c r="I716" s="174">
        <f>IFERROR(IF(AND(H716&gt;0,E716&gt;0),H716/E716,""),"")</f>
        <v/>
      </c>
      <c r="J716" s="152">
        <f>IFERROR(VALUE(SUBSTITUTE(INDEX('04A_국토부원자료'!$A:$T,ROW()+1,MATCH("층",'04A_국토부원자료'!$A$4:$T$4,0)),",","")),"")</f>
        <v/>
      </c>
      <c r="K716" s="152">
        <f>IFERROR(VALUE(SUBSTITUTE(INDEX('04A_국토부원자료'!$A:$T,ROW()+1,MATCH("건축년도",'04A_국토부원자료'!$A$4:$T$4,0)),",","")),"")</f>
        <v/>
      </c>
      <c r="L716" s="176">
        <f>IFERROR(INDEX('04A_국토부원자료'!$A:$T,ROW()+1,MATCH("도로명",'04A_국토부원자료'!$A$4:$T$4,0)),"")</f>
        <v/>
      </c>
      <c r="M716" s="48">
        <f>IFERROR(INDEX('04A_국토부원자료'!$A:$T,ROW()+1,MATCH("거래유형",'04A_국토부원자료'!$A$4:$T$4,0)),"")</f>
        <v/>
      </c>
      <c r="N716" s="152">
        <f>IF(B716="","",IF('02_대상물건입력'!B5="",1,IF(ISNUMBER(SEARCH('02_대상물건입력'!B5,B716)),1,0)))</f>
        <v/>
      </c>
      <c r="O716" s="152">
        <f>IF(B716="","",IF('02_대상물건입력'!B6="",1,IF(ISNUMBER(SEARCH('02_대상물건입력'!B6,B716)),1,0)))</f>
        <v/>
      </c>
      <c r="P716" s="152">
        <f>IF(L716="","",IF('02_대상물건입력'!B15="",0,IF(ISNUMBER(SEARCH('02_대상물건입력'!B15,L716)),1,0)))</f>
        <v/>
      </c>
      <c r="Q716" s="152">
        <f>IF(OR(C716="",L716=""),0,IF(AND(TRIM(C716)=TRIM(RIGHT(SUBSTITUTE(TRIM('02_대상물건입력'!$B$7)," ",REPT(" ",99)),99)),IF('02_대상물건입력'!B15="",TRUE(),ISNUMBER(SEARCH('02_대상물건입력'!B15,L716)))),1,0))</f>
        <v/>
      </c>
      <c r="R716" s="175">
        <f>IFERROR(ABS(E716-'02_대상물건입력'!B11)/'02_대상물건입력'!B11,"")</f>
        <v/>
      </c>
      <c r="S716" s="152">
        <f>IFERROR(ABS(J716-'02_대상물건입력'!B10),"")</f>
        <v/>
      </c>
      <c r="T716" s="152">
        <f>IFERROR(ABS('01_설정'!B4-F716),"")</f>
        <v/>
      </c>
      <c r="U716" s="152">
        <f>IFERROR(ABS(K716-YEAR('02_대상물건입력'!B14)),"")</f>
        <v/>
      </c>
      <c r="V716" s="152">
        <f>IF(B716="","",IF(AND(E716&gt;0,F716&gt;0,H716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716=1,TRUE()),R716&lt;='01_설정'!B5,S716&lt;='01_설정'!B6,T716&lt;='01_설정'!B7,U716&lt;='01_설정'!B8),"Y",""))</f>
        <v/>
      </c>
      <c r="W716" s="172">
        <f>IF(V716&lt;&gt;"Y","",MAX(0,(1-R716/'01_설정'!B5))*'01_설정'!B14+MAX(0,(1-S716/'01_설정'!B6))*'01_설정'!B15+MAX(0,(1-T716/'01_설정'!B7))*'01_설정'!B16+MAX(0,(1-U716/'01_설정'!B8))*'01_설정'!B17+O716*'01_설정'!B11+Q716*'01_설정'!B12+P716*'01_설정'!B13+IF(Z716="",0,Z716))</f>
        <v/>
      </c>
      <c r="X716" s="152">
        <f>IF(W716="","",1+COUNTIFS($W$4:$W$3003,"&gt;"&amp;W716)+COUNTIFS($W$4:W716,W716)-1)</f>
        <v/>
      </c>
      <c r="Y716" s="175">
        <f>IF(OR(I716="",'02_대상물건입력'!B19="",'02_대상물건입력'!B19&lt;=0),"",ABS(I716-'02_대상물건입력'!B19)/'02_대상물건입력'!B19)</f>
        <v/>
      </c>
      <c r="Z716" s="172">
        <f>IF(OR(Y716="",'01_설정'!B31="",'01_설정'!B31&lt;=0,'01_설정'!B32="",'01_설정'!B32&lt;=0),"",MAX(0,(1-Y716/'01_설정'!B32))*'01_설정'!B31)</f>
        <v/>
      </c>
    </row>
    <row r="717" ht="17.25" customHeight="1">
      <c r="A717" s="152">
        <f>IF(INDEX('04A_국토부원자료'!$A:$A,ROW()+1)="","",ROW()-3)</f>
        <v/>
      </c>
      <c r="B717" s="48">
        <f>IFERROR(INDEX('04A_국토부원자료'!$A:$T,ROW()+1,MATCH("시군구",'04A_국토부원자료'!$A$4:$T$4,0)),"")</f>
        <v/>
      </c>
      <c r="C717" s="48">
        <f>IF(B717="","",IFERROR(INDEX('04A_국토부원자료'!$A:$T,ROW()+1,MATCH("번지",'04A_국토부원자료'!$A$4:$T$4,0)),""))</f>
        <v/>
      </c>
      <c r="D717" s="48">
        <f>IF(B717="","",IF(Q717=1,'02_대상물건입력'!$B$8,IFERROR(INDEX('04A_국토부원자료'!$A:$T,ROW()+1,MATCH("단지명",'04A_국토부원자료'!$A$4:$T$4,0)),"")))</f>
        <v/>
      </c>
      <c r="E717" s="172">
        <f>IFERROR(VALUE(SUBSTITUTE(INDEX('04A_국토부원자료'!$A:$T,ROW()+1,MATCH("전용면적(㎡)",'04A_국토부원자료'!$A$4:$T$4,0)),",","")),"")</f>
        <v/>
      </c>
      <c r="F7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17" s="51">
        <f>IFERROR(VALUE(SUBSTITUTE(INDEX('04A_국토부원자료'!$A:$T,ROW()+1,MATCH("거래금액(만원)",'04A_국토부원자료'!$A$4:$T$4,0)),",","")),"")</f>
        <v/>
      </c>
      <c r="H717" s="174">
        <f>IF(G717="","",G717*10000)</f>
        <v/>
      </c>
      <c r="I717" s="174">
        <f>IFERROR(IF(AND(H717&gt;0,E717&gt;0),H717/E717,""),"")</f>
        <v/>
      </c>
      <c r="J717" s="152">
        <f>IFERROR(VALUE(SUBSTITUTE(INDEX('04A_국토부원자료'!$A:$T,ROW()+1,MATCH("층",'04A_국토부원자료'!$A$4:$T$4,0)),",","")),"")</f>
        <v/>
      </c>
      <c r="K717" s="152">
        <f>IFERROR(VALUE(SUBSTITUTE(INDEX('04A_국토부원자료'!$A:$T,ROW()+1,MATCH("건축년도",'04A_국토부원자료'!$A$4:$T$4,0)),",","")),"")</f>
        <v/>
      </c>
      <c r="L717" s="176">
        <f>IFERROR(INDEX('04A_국토부원자료'!$A:$T,ROW()+1,MATCH("도로명",'04A_국토부원자료'!$A$4:$T$4,0)),"")</f>
        <v/>
      </c>
      <c r="M717" s="48">
        <f>IFERROR(INDEX('04A_국토부원자료'!$A:$T,ROW()+1,MATCH("거래유형",'04A_국토부원자료'!$A$4:$T$4,0)),"")</f>
        <v/>
      </c>
      <c r="N717" s="152">
        <f>IF(B717="","",IF('02_대상물건입력'!B5="",1,IF(ISNUMBER(SEARCH('02_대상물건입력'!B5,B717)),1,0)))</f>
        <v/>
      </c>
      <c r="O717" s="152">
        <f>IF(B717="","",IF('02_대상물건입력'!B6="",1,IF(ISNUMBER(SEARCH('02_대상물건입력'!B6,B717)),1,0)))</f>
        <v/>
      </c>
      <c r="P717" s="152">
        <f>IF(L717="","",IF('02_대상물건입력'!B15="",0,IF(ISNUMBER(SEARCH('02_대상물건입력'!B15,L717)),1,0)))</f>
        <v/>
      </c>
      <c r="Q717" s="152">
        <f>IF(OR(C717="",L717=""),0,IF(AND(TRIM(C717)=TRIM(RIGHT(SUBSTITUTE(TRIM('02_대상물건입력'!$B$7)," ",REPT(" ",99)),99)),IF('02_대상물건입력'!B15="",TRUE(),ISNUMBER(SEARCH('02_대상물건입력'!B15,L717)))),1,0))</f>
        <v/>
      </c>
      <c r="R717" s="175">
        <f>IFERROR(ABS(E717-'02_대상물건입력'!B11)/'02_대상물건입력'!B11,"")</f>
        <v/>
      </c>
      <c r="S717" s="152">
        <f>IFERROR(ABS(J717-'02_대상물건입력'!B10),"")</f>
        <v/>
      </c>
      <c r="T717" s="152">
        <f>IFERROR(ABS('01_설정'!B4-F717),"")</f>
        <v/>
      </c>
      <c r="U717" s="152">
        <f>IFERROR(ABS(K717-YEAR('02_대상물건입력'!B14)),"")</f>
        <v/>
      </c>
      <c r="V717" s="152">
        <f>IF(B717="","",IF(AND(E717&gt;0,F717&gt;0,H717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717=1,TRUE()),R717&lt;='01_설정'!B5,S717&lt;='01_설정'!B6,T717&lt;='01_설정'!B7,U717&lt;='01_설정'!B8),"Y",""))</f>
        <v/>
      </c>
      <c r="W717" s="172">
        <f>IF(V717&lt;&gt;"Y","",MAX(0,(1-R717/'01_설정'!B5))*'01_설정'!B14+MAX(0,(1-S717/'01_설정'!B6))*'01_설정'!B15+MAX(0,(1-T717/'01_설정'!B7))*'01_설정'!B16+MAX(0,(1-U717/'01_설정'!B8))*'01_설정'!B17+O717*'01_설정'!B11+Q717*'01_설정'!B12+P717*'01_설정'!B13+IF(Z717="",0,Z717))</f>
        <v/>
      </c>
      <c r="X717" s="152">
        <f>IF(W717="","",1+COUNTIFS($W$4:$W$3003,"&gt;"&amp;W717)+COUNTIFS($W$4:W717,W717)-1)</f>
        <v/>
      </c>
      <c r="Y717" s="175">
        <f>IF(OR(I717="",'02_대상물건입력'!B19="",'02_대상물건입력'!B19&lt;=0),"",ABS(I717-'02_대상물건입력'!B19)/'02_대상물건입력'!B19)</f>
        <v/>
      </c>
      <c r="Z717" s="172">
        <f>IF(OR(Y717="",'01_설정'!B31="",'01_설정'!B31&lt;=0,'01_설정'!B32="",'01_설정'!B32&lt;=0),"",MAX(0,(1-Y717/'01_설정'!B32))*'01_설정'!B31)</f>
        <v/>
      </c>
    </row>
    <row r="718" ht="17.25" customHeight="1">
      <c r="A718" s="152">
        <f>IF(INDEX('04A_국토부원자료'!$A:$A,ROW()+1)="","",ROW()-3)</f>
        <v/>
      </c>
      <c r="B718" s="48">
        <f>IFERROR(INDEX('04A_국토부원자료'!$A:$T,ROW()+1,MATCH("시군구",'04A_국토부원자료'!$A$4:$T$4,0)),"")</f>
        <v/>
      </c>
      <c r="C718" s="48">
        <f>IF(B718="","",IFERROR(INDEX('04A_국토부원자료'!$A:$T,ROW()+1,MATCH("번지",'04A_국토부원자료'!$A$4:$T$4,0)),""))</f>
        <v/>
      </c>
      <c r="D718" s="48">
        <f>IF(B718="","",IF(Q718=1,'02_대상물건입력'!$B$8,IFERROR(INDEX('04A_국토부원자료'!$A:$T,ROW()+1,MATCH("단지명",'04A_국토부원자료'!$A$4:$T$4,0)),"")))</f>
        <v/>
      </c>
      <c r="E718" s="172">
        <f>IFERROR(VALUE(SUBSTITUTE(INDEX('04A_국토부원자료'!$A:$T,ROW()+1,MATCH("전용면적(㎡)",'04A_국토부원자료'!$A$4:$T$4,0)),",","")),"")</f>
        <v/>
      </c>
      <c r="F7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18" s="51">
        <f>IFERROR(VALUE(SUBSTITUTE(INDEX('04A_국토부원자료'!$A:$T,ROW()+1,MATCH("거래금액(만원)",'04A_국토부원자료'!$A$4:$T$4,0)),",","")),"")</f>
        <v/>
      </c>
      <c r="H718" s="174">
        <f>IF(G718="","",G718*10000)</f>
        <v/>
      </c>
      <c r="I718" s="174">
        <f>IFERROR(IF(AND(H718&gt;0,E718&gt;0),H718/E718,""),"")</f>
        <v/>
      </c>
      <c r="J718" s="152">
        <f>IFERROR(VALUE(SUBSTITUTE(INDEX('04A_국토부원자료'!$A:$T,ROW()+1,MATCH("층",'04A_국토부원자료'!$A$4:$T$4,0)),",","")),"")</f>
        <v/>
      </c>
      <c r="K718" s="152">
        <f>IFERROR(VALUE(SUBSTITUTE(INDEX('04A_국토부원자료'!$A:$T,ROW()+1,MATCH("건축년도",'04A_국토부원자료'!$A$4:$T$4,0)),",","")),"")</f>
        <v/>
      </c>
      <c r="L718" s="176">
        <f>IFERROR(INDEX('04A_국토부원자료'!$A:$T,ROW()+1,MATCH("도로명",'04A_국토부원자료'!$A$4:$T$4,0)),"")</f>
        <v/>
      </c>
      <c r="M718" s="48">
        <f>IFERROR(INDEX('04A_국토부원자료'!$A:$T,ROW()+1,MATCH("거래유형",'04A_국토부원자료'!$A$4:$T$4,0)),"")</f>
        <v/>
      </c>
      <c r="N718" s="152">
        <f>IF(B718="","",IF('02_대상물건입력'!B5="",1,IF(ISNUMBER(SEARCH('02_대상물건입력'!B5,B718)),1,0)))</f>
        <v/>
      </c>
      <c r="O718" s="152">
        <f>IF(B718="","",IF('02_대상물건입력'!B6="",1,IF(ISNUMBER(SEARCH('02_대상물건입력'!B6,B718)),1,0)))</f>
        <v/>
      </c>
      <c r="P718" s="152">
        <f>IF(L718="","",IF('02_대상물건입력'!B15="",0,IF(ISNUMBER(SEARCH('02_대상물건입력'!B15,L718)),1,0)))</f>
        <v/>
      </c>
      <c r="Q718" s="152">
        <f>IF(OR(C718="",L718=""),0,IF(AND(TRIM(C718)=TRIM(RIGHT(SUBSTITUTE(TRIM('02_대상물건입력'!$B$7)," ",REPT(" ",99)),99)),IF('02_대상물건입력'!B15="",TRUE(),ISNUMBER(SEARCH('02_대상물건입력'!B15,L718)))),1,0))</f>
        <v/>
      </c>
      <c r="R718" s="175">
        <f>IFERROR(ABS(E718-'02_대상물건입력'!B11)/'02_대상물건입력'!B11,"")</f>
        <v/>
      </c>
      <c r="S718" s="152">
        <f>IFERROR(ABS(J718-'02_대상물건입력'!B10),"")</f>
        <v/>
      </c>
      <c r="T718" s="152">
        <f>IFERROR(ABS('01_설정'!B4-F718),"")</f>
        <v/>
      </c>
      <c r="U718" s="152">
        <f>IFERROR(ABS(K718-YEAR('02_대상물건입력'!B14)),"")</f>
        <v/>
      </c>
      <c r="V718" s="152">
        <f>IF(B718="","",IF(AND(E718&gt;0,F718&gt;0,H718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718=1,TRUE()),R718&lt;='01_설정'!B5,S718&lt;='01_설정'!B6,T718&lt;='01_설정'!B7,U718&lt;='01_설정'!B8),"Y",""))</f>
        <v/>
      </c>
      <c r="W718" s="172">
        <f>IF(V718&lt;&gt;"Y","",MAX(0,(1-R718/'01_설정'!B5))*'01_설정'!B14+MAX(0,(1-S718/'01_설정'!B6))*'01_설정'!B15+MAX(0,(1-T718/'01_설정'!B7))*'01_설정'!B16+MAX(0,(1-U718/'01_설정'!B8))*'01_설정'!B17+O718*'01_설정'!B11+Q718*'01_설정'!B12+P718*'01_설정'!B13+IF(Z718="",0,Z718))</f>
        <v/>
      </c>
      <c r="X718" s="152">
        <f>IF(W718="","",1+COUNTIFS($W$4:$W$3003,"&gt;"&amp;W718)+COUNTIFS($W$4:W718,W718)-1)</f>
        <v/>
      </c>
      <c r="Y718" s="175">
        <f>IF(OR(I718="",'02_대상물건입력'!B19="",'02_대상물건입력'!B19&lt;=0),"",ABS(I718-'02_대상물건입력'!B19)/'02_대상물건입력'!B19)</f>
        <v/>
      </c>
      <c r="Z718" s="172">
        <f>IF(OR(Y718="",'01_설정'!B31="",'01_설정'!B31&lt;=0,'01_설정'!B32="",'01_설정'!B32&lt;=0),"",MAX(0,(1-Y718/'01_설정'!B32))*'01_설정'!B31)</f>
        <v/>
      </c>
    </row>
    <row r="719" ht="17.25" customHeight="1">
      <c r="A719" s="152">
        <f>IF(INDEX('04A_국토부원자료'!$A:$A,ROW()+1)="","",ROW()-3)</f>
        <v/>
      </c>
      <c r="B719" s="48">
        <f>IFERROR(INDEX('04A_국토부원자료'!$A:$T,ROW()+1,MATCH("시군구",'04A_국토부원자료'!$A$4:$T$4,0)),"")</f>
        <v/>
      </c>
      <c r="C719" s="48">
        <f>IF(B719="","",IFERROR(INDEX('04A_국토부원자료'!$A:$T,ROW()+1,MATCH("번지",'04A_국토부원자료'!$A$4:$T$4,0)),""))</f>
        <v/>
      </c>
      <c r="D719" s="48">
        <f>IF(B719="","",IF(Q719=1,'02_대상물건입력'!$B$8,IFERROR(INDEX('04A_국토부원자료'!$A:$T,ROW()+1,MATCH("단지명",'04A_국토부원자료'!$A$4:$T$4,0)),"")))</f>
        <v/>
      </c>
      <c r="E719" s="172">
        <f>IFERROR(VALUE(SUBSTITUTE(INDEX('04A_국토부원자료'!$A:$T,ROW()+1,MATCH("전용면적(㎡)",'04A_국토부원자료'!$A$4:$T$4,0)),",","")),"")</f>
        <v/>
      </c>
      <c r="F7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19" s="51">
        <f>IFERROR(VALUE(SUBSTITUTE(INDEX('04A_국토부원자료'!$A:$T,ROW()+1,MATCH("거래금액(만원)",'04A_국토부원자료'!$A$4:$T$4,0)),",","")),"")</f>
        <v/>
      </c>
      <c r="H719" s="174">
        <f>IF(G719="","",G719*10000)</f>
        <v/>
      </c>
      <c r="I719" s="174">
        <f>IFERROR(IF(AND(H719&gt;0,E719&gt;0),H719/E719,""),"")</f>
        <v/>
      </c>
      <c r="J719" s="152">
        <f>IFERROR(VALUE(SUBSTITUTE(INDEX('04A_국토부원자료'!$A:$T,ROW()+1,MATCH("층",'04A_국토부원자료'!$A$4:$T$4,0)),",","")),"")</f>
        <v/>
      </c>
      <c r="K719" s="152">
        <f>IFERROR(VALUE(SUBSTITUTE(INDEX('04A_국토부원자료'!$A:$T,ROW()+1,MATCH("건축년도",'04A_국토부원자료'!$A$4:$T$4,0)),",","")),"")</f>
        <v/>
      </c>
      <c r="L719" s="176">
        <f>IFERROR(INDEX('04A_국토부원자료'!$A:$T,ROW()+1,MATCH("도로명",'04A_국토부원자료'!$A$4:$T$4,0)),"")</f>
        <v/>
      </c>
      <c r="M719" s="48">
        <f>IFERROR(INDEX('04A_국토부원자료'!$A:$T,ROW()+1,MATCH("거래유형",'04A_국토부원자료'!$A$4:$T$4,0)),"")</f>
        <v/>
      </c>
      <c r="N719" s="152">
        <f>IF(B719="","",IF('02_대상물건입력'!B5="",1,IF(ISNUMBER(SEARCH('02_대상물건입력'!B5,B719)),1,0)))</f>
        <v/>
      </c>
      <c r="O719" s="152">
        <f>IF(B719="","",IF('02_대상물건입력'!B6="",1,IF(ISNUMBER(SEARCH('02_대상물건입력'!B6,B719)),1,0)))</f>
        <v/>
      </c>
      <c r="P719" s="152">
        <f>IF(L719="","",IF('02_대상물건입력'!B15="",0,IF(ISNUMBER(SEARCH('02_대상물건입력'!B15,L719)),1,0)))</f>
        <v/>
      </c>
      <c r="Q719" s="152">
        <f>IF(OR(C719="",L719=""),0,IF(AND(TRIM(C719)=TRIM(RIGHT(SUBSTITUTE(TRIM('02_대상물건입력'!$B$7)," ",REPT(" ",99)),99)),IF('02_대상물건입력'!B15="",TRUE(),ISNUMBER(SEARCH('02_대상물건입력'!B15,L719)))),1,0))</f>
        <v/>
      </c>
      <c r="R719" s="175">
        <f>IFERROR(ABS(E719-'02_대상물건입력'!B11)/'02_대상물건입력'!B11,"")</f>
        <v/>
      </c>
      <c r="S719" s="152">
        <f>IFERROR(ABS(J719-'02_대상물건입력'!B10),"")</f>
        <v/>
      </c>
      <c r="T719" s="152">
        <f>IFERROR(ABS('01_설정'!B4-F719),"")</f>
        <v/>
      </c>
      <c r="U719" s="152">
        <f>IFERROR(ABS(K719-YEAR('02_대상물건입력'!B14)),"")</f>
        <v/>
      </c>
      <c r="V719" s="152">
        <f>IF(B719="","",IF(AND(E719&gt;0,F719&gt;0,H719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719=1,TRUE()),R719&lt;='01_설정'!B5,S719&lt;='01_설정'!B6,T719&lt;='01_설정'!B7,U719&lt;='01_설정'!B8),"Y",""))</f>
        <v/>
      </c>
      <c r="W719" s="172">
        <f>IF(V719&lt;&gt;"Y","",MAX(0,(1-R719/'01_설정'!B5))*'01_설정'!B14+MAX(0,(1-S719/'01_설정'!B6))*'01_설정'!B15+MAX(0,(1-T719/'01_설정'!B7))*'01_설정'!B16+MAX(0,(1-U719/'01_설정'!B8))*'01_설정'!B17+O719*'01_설정'!B11+Q719*'01_설정'!B12+P719*'01_설정'!B13+IF(Z719="",0,Z719))</f>
        <v/>
      </c>
      <c r="X719" s="152">
        <f>IF(W719="","",1+COUNTIFS($W$4:$W$3003,"&gt;"&amp;W719)+COUNTIFS($W$4:W719,W719)-1)</f>
        <v/>
      </c>
      <c r="Y719" s="175">
        <f>IF(OR(I719="",'02_대상물건입력'!B19="",'02_대상물건입력'!B19&lt;=0),"",ABS(I719-'02_대상물건입력'!B19)/'02_대상물건입력'!B19)</f>
        <v/>
      </c>
      <c r="Z719" s="172">
        <f>IF(OR(Y719="",'01_설정'!B31="",'01_설정'!B31&lt;=0,'01_설정'!B32="",'01_설정'!B32&lt;=0),"",MAX(0,(1-Y719/'01_설정'!B32))*'01_설정'!B31)</f>
        <v/>
      </c>
    </row>
    <row r="720" ht="17.25" customHeight="1">
      <c r="A720" s="152">
        <f>IF(INDEX('04A_국토부원자료'!$A:$A,ROW()+1)="","",ROW()-3)</f>
        <v/>
      </c>
      <c r="B720" s="48">
        <f>IFERROR(INDEX('04A_국토부원자료'!$A:$T,ROW()+1,MATCH("시군구",'04A_국토부원자료'!$A$4:$T$4,0)),"")</f>
        <v/>
      </c>
      <c r="C720" s="48">
        <f>IF(B720="","",IFERROR(INDEX('04A_국토부원자료'!$A:$T,ROW()+1,MATCH("번지",'04A_국토부원자료'!$A$4:$T$4,0)),""))</f>
        <v/>
      </c>
      <c r="D720" s="48">
        <f>IF(B720="","",IF(Q720=1,'02_대상물건입력'!$B$8,IFERROR(INDEX('04A_국토부원자료'!$A:$T,ROW()+1,MATCH("단지명",'04A_국토부원자료'!$A$4:$T$4,0)),"")))</f>
        <v/>
      </c>
      <c r="E720" s="172">
        <f>IFERROR(VALUE(SUBSTITUTE(INDEX('04A_국토부원자료'!$A:$T,ROW()+1,MATCH("전용면적(㎡)",'04A_국토부원자료'!$A$4:$T$4,0)),",","")),"")</f>
        <v/>
      </c>
      <c r="F7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20" s="51">
        <f>IFERROR(VALUE(SUBSTITUTE(INDEX('04A_국토부원자료'!$A:$T,ROW()+1,MATCH("거래금액(만원)",'04A_국토부원자료'!$A$4:$T$4,0)),",","")),"")</f>
        <v/>
      </c>
      <c r="H720" s="174">
        <f>IF(G720="","",G720*10000)</f>
        <v/>
      </c>
      <c r="I720" s="174">
        <f>IFERROR(IF(AND(H720&gt;0,E720&gt;0),H720/E720,""),"")</f>
        <v/>
      </c>
      <c r="J720" s="152">
        <f>IFERROR(VALUE(SUBSTITUTE(INDEX('04A_국토부원자료'!$A:$T,ROW()+1,MATCH("층",'04A_국토부원자료'!$A$4:$T$4,0)),",","")),"")</f>
        <v/>
      </c>
      <c r="K720" s="152">
        <f>IFERROR(VALUE(SUBSTITUTE(INDEX('04A_국토부원자료'!$A:$T,ROW()+1,MATCH("건축년도",'04A_국토부원자료'!$A$4:$T$4,0)),",","")),"")</f>
        <v/>
      </c>
      <c r="L720" s="176">
        <f>IFERROR(INDEX('04A_국토부원자료'!$A:$T,ROW()+1,MATCH("도로명",'04A_국토부원자료'!$A$4:$T$4,0)),"")</f>
        <v/>
      </c>
      <c r="M720" s="48">
        <f>IFERROR(INDEX('04A_국토부원자료'!$A:$T,ROW()+1,MATCH("거래유형",'04A_국토부원자료'!$A$4:$T$4,0)),"")</f>
        <v/>
      </c>
      <c r="N720" s="152">
        <f>IF(B720="","",IF('02_대상물건입력'!B5="",1,IF(ISNUMBER(SEARCH('02_대상물건입력'!B5,B720)),1,0)))</f>
        <v/>
      </c>
      <c r="O720" s="152">
        <f>IF(B720="","",IF('02_대상물건입력'!B6="",1,IF(ISNUMBER(SEARCH('02_대상물건입력'!B6,B720)),1,0)))</f>
        <v/>
      </c>
      <c r="P720" s="152">
        <f>IF(L720="","",IF('02_대상물건입력'!B15="",0,IF(ISNUMBER(SEARCH('02_대상물건입력'!B15,L720)),1,0)))</f>
        <v/>
      </c>
      <c r="Q720" s="152">
        <f>IF(OR(C720="",L720=""),0,IF(AND(TRIM(C720)=TRIM(RIGHT(SUBSTITUTE(TRIM('02_대상물건입력'!$B$7)," ",REPT(" ",99)),99)),IF('02_대상물건입력'!B15="",TRUE(),ISNUMBER(SEARCH('02_대상물건입력'!B15,L720)))),1,0))</f>
        <v/>
      </c>
      <c r="R720" s="175">
        <f>IFERROR(ABS(E720-'02_대상물건입력'!B11)/'02_대상물건입력'!B11,"")</f>
        <v/>
      </c>
      <c r="S720" s="152">
        <f>IFERROR(ABS(J720-'02_대상물건입력'!B10),"")</f>
        <v/>
      </c>
      <c r="T720" s="152">
        <f>IFERROR(ABS('01_설정'!B4-F720),"")</f>
        <v/>
      </c>
      <c r="U720" s="152">
        <f>IFERROR(ABS(K720-YEAR('02_대상물건입력'!B14)),"")</f>
        <v/>
      </c>
      <c r="V720" s="152">
        <f>IF(B720="","",IF(AND(E720&gt;0,F720&gt;0,H720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720=1,TRUE()),R720&lt;='01_설정'!B5,S720&lt;='01_설정'!B6,T720&lt;='01_설정'!B7,U720&lt;='01_설정'!B8),"Y",""))</f>
        <v/>
      </c>
      <c r="W720" s="172">
        <f>IF(V720&lt;&gt;"Y","",MAX(0,(1-R720/'01_설정'!B5))*'01_설정'!B14+MAX(0,(1-S720/'01_설정'!B6))*'01_설정'!B15+MAX(0,(1-T720/'01_설정'!B7))*'01_설정'!B16+MAX(0,(1-U720/'01_설정'!B8))*'01_설정'!B17+O720*'01_설정'!B11+Q720*'01_설정'!B12+P720*'01_설정'!B13+IF(Z720="",0,Z720))</f>
        <v/>
      </c>
      <c r="X720" s="152">
        <f>IF(W720="","",1+COUNTIFS($W$4:$W$3003,"&gt;"&amp;W720)+COUNTIFS($W$4:W720,W720)-1)</f>
        <v/>
      </c>
      <c r="Y720" s="175">
        <f>IF(OR(I720="",'02_대상물건입력'!B19="",'02_대상물건입력'!B19&lt;=0),"",ABS(I720-'02_대상물건입력'!B19)/'02_대상물건입력'!B19)</f>
        <v/>
      </c>
      <c r="Z720" s="172">
        <f>IF(OR(Y720="",'01_설정'!B31="",'01_설정'!B31&lt;=0,'01_설정'!B32="",'01_설정'!B32&lt;=0),"",MAX(0,(1-Y720/'01_설정'!B32))*'01_설정'!B31)</f>
        <v/>
      </c>
    </row>
    <row r="721" ht="17.25" customHeight="1">
      <c r="A721" s="152">
        <f>IF(INDEX('04A_국토부원자료'!$A:$A,ROW()+1)="","",ROW()-3)</f>
        <v/>
      </c>
      <c r="B721" s="48">
        <f>IFERROR(INDEX('04A_국토부원자료'!$A:$T,ROW()+1,MATCH("시군구",'04A_국토부원자료'!$A$4:$T$4,0)),"")</f>
        <v/>
      </c>
      <c r="C721" s="48">
        <f>IF(B721="","",IFERROR(INDEX('04A_국토부원자료'!$A:$T,ROW()+1,MATCH("번지",'04A_국토부원자료'!$A$4:$T$4,0)),""))</f>
        <v/>
      </c>
      <c r="D721" s="48">
        <f>IF(B721="","",IF(Q721=1,'02_대상물건입력'!$B$8,IFERROR(INDEX('04A_국토부원자료'!$A:$T,ROW()+1,MATCH("단지명",'04A_국토부원자료'!$A$4:$T$4,0)),"")))</f>
        <v/>
      </c>
      <c r="E721" s="172">
        <f>IFERROR(VALUE(SUBSTITUTE(INDEX('04A_국토부원자료'!$A:$T,ROW()+1,MATCH("전용면적(㎡)",'04A_국토부원자료'!$A$4:$T$4,0)),",","")),"")</f>
        <v/>
      </c>
      <c r="F7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21" s="51">
        <f>IFERROR(VALUE(SUBSTITUTE(INDEX('04A_국토부원자료'!$A:$T,ROW()+1,MATCH("거래금액(만원)",'04A_국토부원자료'!$A$4:$T$4,0)),",","")),"")</f>
        <v/>
      </c>
      <c r="H721" s="174">
        <f>IF(G721="","",G721*10000)</f>
        <v/>
      </c>
      <c r="I721" s="174">
        <f>IFERROR(IF(AND(H721&gt;0,E721&gt;0),H721/E721,""),"")</f>
        <v/>
      </c>
      <c r="J721" s="152">
        <f>IFERROR(VALUE(SUBSTITUTE(INDEX('04A_국토부원자료'!$A:$T,ROW()+1,MATCH("층",'04A_국토부원자료'!$A$4:$T$4,0)),",","")),"")</f>
        <v/>
      </c>
      <c r="K721" s="152">
        <f>IFERROR(VALUE(SUBSTITUTE(INDEX('04A_국토부원자료'!$A:$T,ROW()+1,MATCH("건축년도",'04A_국토부원자료'!$A$4:$T$4,0)),",","")),"")</f>
        <v/>
      </c>
      <c r="L721" s="176">
        <f>IFERROR(INDEX('04A_국토부원자료'!$A:$T,ROW()+1,MATCH("도로명",'04A_국토부원자료'!$A$4:$T$4,0)),"")</f>
        <v/>
      </c>
      <c r="M721" s="48">
        <f>IFERROR(INDEX('04A_국토부원자료'!$A:$T,ROW()+1,MATCH("거래유형",'04A_국토부원자료'!$A$4:$T$4,0)),"")</f>
        <v/>
      </c>
      <c r="N721" s="152">
        <f>IF(B721="","",IF('02_대상물건입력'!B5="",1,IF(ISNUMBER(SEARCH('02_대상물건입력'!B5,B721)),1,0)))</f>
        <v/>
      </c>
      <c r="O721" s="152">
        <f>IF(B721="","",IF('02_대상물건입력'!B6="",1,IF(ISNUMBER(SEARCH('02_대상물건입력'!B6,B721)),1,0)))</f>
        <v/>
      </c>
      <c r="P721" s="152">
        <f>IF(L721="","",IF('02_대상물건입력'!B15="",0,IF(ISNUMBER(SEARCH('02_대상물건입력'!B15,L721)),1,0)))</f>
        <v/>
      </c>
      <c r="Q721" s="152">
        <f>IF(OR(C721="",L721=""),0,IF(AND(TRIM(C721)=TRIM(RIGHT(SUBSTITUTE(TRIM('02_대상물건입력'!$B$7)," ",REPT(" ",99)),99)),IF('02_대상물건입력'!B15="",TRUE(),ISNUMBER(SEARCH('02_대상물건입력'!B15,L721)))),1,0))</f>
        <v/>
      </c>
      <c r="R721" s="175">
        <f>IFERROR(ABS(E721-'02_대상물건입력'!B11)/'02_대상물건입력'!B11,"")</f>
        <v/>
      </c>
      <c r="S721" s="152">
        <f>IFERROR(ABS(J721-'02_대상물건입력'!B10),"")</f>
        <v/>
      </c>
      <c r="T721" s="152">
        <f>IFERROR(ABS('01_설정'!B4-F721),"")</f>
        <v/>
      </c>
      <c r="U721" s="152">
        <f>IFERROR(ABS(K721-YEAR('02_대상물건입력'!B14)),"")</f>
        <v/>
      </c>
      <c r="V721" s="152">
        <f>IF(B721="","",IF(AND(E721&gt;0,F721&gt;0,H721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721=1,TRUE()),R721&lt;='01_설정'!B5,S721&lt;='01_설정'!B6,T721&lt;='01_설정'!B7,U721&lt;='01_설정'!B8),"Y",""))</f>
        <v/>
      </c>
      <c r="W721" s="172">
        <f>IF(V721&lt;&gt;"Y","",MAX(0,(1-R721/'01_설정'!B5))*'01_설정'!B14+MAX(0,(1-S721/'01_설정'!B6))*'01_설정'!B15+MAX(0,(1-T721/'01_설정'!B7))*'01_설정'!B16+MAX(0,(1-U721/'01_설정'!B8))*'01_설정'!B17+O721*'01_설정'!B11+Q721*'01_설정'!B12+P721*'01_설정'!B13+IF(Z721="",0,Z721))</f>
        <v/>
      </c>
      <c r="X721" s="152">
        <f>IF(W721="","",1+COUNTIFS($W$4:$W$3003,"&gt;"&amp;W721)+COUNTIFS($W$4:W721,W721)-1)</f>
        <v/>
      </c>
      <c r="Y721" s="175">
        <f>IF(OR(I721="",'02_대상물건입력'!B19="",'02_대상물건입력'!B19&lt;=0),"",ABS(I721-'02_대상물건입력'!B19)/'02_대상물건입력'!B19)</f>
        <v/>
      </c>
      <c r="Z721" s="172">
        <f>IF(OR(Y721="",'01_설정'!B31="",'01_설정'!B31&lt;=0,'01_설정'!B32="",'01_설정'!B32&lt;=0),"",MAX(0,(1-Y721/'01_설정'!B32))*'01_설정'!B31)</f>
        <v/>
      </c>
    </row>
    <row r="722" ht="17.25" customHeight="1">
      <c r="A722" s="152">
        <f>IF(INDEX('04A_국토부원자료'!$A:$A,ROW()+1)="","",ROW()-3)</f>
        <v/>
      </c>
      <c r="B722" s="48">
        <f>IFERROR(INDEX('04A_국토부원자료'!$A:$T,ROW()+1,MATCH("시군구",'04A_국토부원자료'!$A$4:$T$4,0)),"")</f>
        <v/>
      </c>
      <c r="C722" s="48">
        <f>IF(B722="","",IFERROR(INDEX('04A_국토부원자료'!$A:$T,ROW()+1,MATCH("번지",'04A_국토부원자료'!$A$4:$T$4,0)),""))</f>
        <v/>
      </c>
      <c r="D722" s="48">
        <f>IF(B722="","",IF(Q722=1,'02_대상물건입력'!$B$8,IFERROR(INDEX('04A_국토부원자료'!$A:$T,ROW()+1,MATCH("단지명",'04A_국토부원자료'!$A$4:$T$4,0)),"")))</f>
        <v/>
      </c>
      <c r="E722" s="172">
        <f>IFERROR(VALUE(SUBSTITUTE(INDEX('04A_국토부원자료'!$A:$T,ROW()+1,MATCH("전용면적(㎡)",'04A_국토부원자료'!$A$4:$T$4,0)),",","")),"")</f>
        <v/>
      </c>
      <c r="F7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22" s="51">
        <f>IFERROR(VALUE(SUBSTITUTE(INDEX('04A_국토부원자료'!$A:$T,ROW()+1,MATCH("거래금액(만원)",'04A_국토부원자료'!$A$4:$T$4,0)),",","")),"")</f>
        <v/>
      </c>
      <c r="H722" s="174">
        <f>IF(G722="","",G722*10000)</f>
        <v/>
      </c>
      <c r="I722" s="174">
        <f>IFERROR(IF(AND(H722&gt;0,E722&gt;0),H722/E722,""),"")</f>
        <v/>
      </c>
      <c r="J722" s="152">
        <f>IFERROR(VALUE(SUBSTITUTE(INDEX('04A_국토부원자료'!$A:$T,ROW()+1,MATCH("층",'04A_국토부원자료'!$A$4:$T$4,0)),",","")),"")</f>
        <v/>
      </c>
      <c r="K722" s="152">
        <f>IFERROR(VALUE(SUBSTITUTE(INDEX('04A_국토부원자료'!$A:$T,ROW()+1,MATCH("건축년도",'04A_국토부원자료'!$A$4:$T$4,0)),",","")),"")</f>
        <v/>
      </c>
      <c r="L722" s="176">
        <f>IFERROR(INDEX('04A_국토부원자료'!$A:$T,ROW()+1,MATCH("도로명",'04A_국토부원자료'!$A$4:$T$4,0)),"")</f>
        <v/>
      </c>
      <c r="M722" s="48">
        <f>IFERROR(INDEX('04A_국토부원자료'!$A:$T,ROW()+1,MATCH("거래유형",'04A_국토부원자료'!$A$4:$T$4,0)),"")</f>
        <v/>
      </c>
      <c r="N722" s="152">
        <f>IF(B722="","",IF('02_대상물건입력'!B5="",1,IF(ISNUMBER(SEARCH('02_대상물건입력'!B5,B722)),1,0)))</f>
        <v/>
      </c>
      <c r="O722" s="152">
        <f>IF(B722="","",IF('02_대상물건입력'!B6="",1,IF(ISNUMBER(SEARCH('02_대상물건입력'!B6,B722)),1,0)))</f>
        <v/>
      </c>
      <c r="P722" s="152">
        <f>IF(L722="","",IF('02_대상물건입력'!B15="",0,IF(ISNUMBER(SEARCH('02_대상물건입력'!B15,L722)),1,0)))</f>
        <v/>
      </c>
      <c r="Q722" s="152">
        <f>IF(OR(C722="",L722=""),0,IF(AND(TRIM(C722)=TRIM(RIGHT(SUBSTITUTE(TRIM('02_대상물건입력'!$B$7)," ",REPT(" ",99)),99)),IF('02_대상물건입력'!B15="",TRUE(),ISNUMBER(SEARCH('02_대상물건입력'!B15,L722)))),1,0))</f>
        <v/>
      </c>
      <c r="R722" s="175">
        <f>IFERROR(ABS(E722-'02_대상물건입력'!B11)/'02_대상물건입력'!B11,"")</f>
        <v/>
      </c>
      <c r="S722" s="152">
        <f>IFERROR(ABS(J722-'02_대상물건입력'!B10),"")</f>
        <v/>
      </c>
      <c r="T722" s="152">
        <f>IFERROR(ABS('01_설정'!B4-F722),"")</f>
        <v/>
      </c>
      <c r="U722" s="152">
        <f>IFERROR(ABS(K722-YEAR('02_대상물건입력'!B14)),"")</f>
        <v/>
      </c>
      <c r="V722" s="152">
        <f>IF(B722="","",IF(AND(E722&gt;0,F722&gt;0,H722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722=1,TRUE()),R722&lt;='01_설정'!B5,S722&lt;='01_설정'!B6,T722&lt;='01_설정'!B7,U722&lt;='01_설정'!B8),"Y",""))</f>
        <v/>
      </c>
      <c r="W722" s="172">
        <f>IF(V722&lt;&gt;"Y","",MAX(0,(1-R722/'01_설정'!B5))*'01_설정'!B14+MAX(0,(1-S722/'01_설정'!B6))*'01_설정'!B15+MAX(0,(1-T722/'01_설정'!B7))*'01_설정'!B16+MAX(0,(1-U722/'01_설정'!B8))*'01_설정'!B17+O722*'01_설정'!B11+Q722*'01_설정'!B12+P722*'01_설정'!B13+IF(Z722="",0,Z722))</f>
        <v/>
      </c>
      <c r="X722" s="152">
        <f>IF(W722="","",1+COUNTIFS($W$4:$W$3003,"&gt;"&amp;W722)+COUNTIFS($W$4:W722,W722)-1)</f>
        <v/>
      </c>
      <c r="Y722" s="175">
        <f>IF(OR(I722="",'02_대상물건입력'!B19="",'02_대상물건입력'!B19&lt;=0),"",ABS(I722-'02_대상물건입력'!B19)/'02_대상물건입력'!B19)</f>
        <v/>
      </c>
      <c r="Z722" s="172">
        <f>IF(OR(Y722="",'01_설정'!B31="",'01_설정'!B31&lt;=0,'01_설정'!B32="",'01_설정'!B32&lt;=0),"",MAX(0,(1-Y722/'01_설정'!B32))*'01_설정'!B31)</f>
        <v/>
      </c>
    </row>
    <row r="723" ht="17.25" customHeight="1">
      <c r="A723" s="152">
        <f>IF(INDEX('04A_국토부원자료'!$A:$A,ROW()+1)="","",ROW()-3)</f>
        <v/>
      </c>
      <c r="B723" s="48">
        <f>IFERROR(INDEX('04A_국토부원자료'!$A:$T,ROW()+1,MATCH("시군구",'04A_국토부원자료'!$A$4:$T$4,0)),"")</f>
        <v/>
      </c>
      <c r="C723" s="48">
        <f>IF(B723="","",IFERROR(INDEX('04A_국토부원자료'!$A:$T,ROW()+1,MATCH("번지",'04A_국토부원자료'!$A$4:$T$4,0)),""))</f>
        <v/>
      </c>
      <c r="D723" s="48">
        <f>IF(B723="","",IF(Q723=1,'02_대상물건입력'!$B$8,IFERROR(INDEX('04A_국토부원자료'!$A:$T,ROW()+1,MATCH("단지명",'04A_국토부원자료'!$A$4:$T$4,0)),"")))</f>
        <v/>
      </c>
      <c r="E723" s="172">
        <f>IFERROR(VALUE(SUBSTITUTE(INDEX('04A_국토부원자료'!$A:$T,ROW()+1,MATCH("전용면적(㎡)",'04A_국토부원자료'!$A$4:$T$4,0)),",","")),"")</f>
        <v/>
      </c>
      <c r="F7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23" s="51">
        <f>IFERROR(VALUE(SUBSTITUTE(INDEX('04A_국토부원자료'!$A:$T,ROW()+1,MATCH("거래금액(만원)",'04A_국토부원자료'!$A$4:$T$4,0)),",","")),"")</f>
        <v/>
      </c>
      <c r="H723" s="174">
        <f>IF(G723="","",G723*10000)</f>
        <v/>
      </c>
      <c r="I723" s="174">
        <f>IFERROR(IF(AND(H723&gt;0,E723&gt;0),H723/E723,""),"")</f>
        <v/>
      </c>
      <c r="J723" s="152">
        <f>IFERROR(VALUE(SUBSTITUTE(INDEX('04A_국토부원자료'!$A:$T,ROW()+1,MATCH("층",'04A_국토부원자료'!$A$4:$T$4,0)),",","")),"")</f>
        <v/>
      </c>
      <c r="K723" s="152">
        <f>IFERROR(VALUE(SUBSTITUTE(INDEX('04A_국토부원자료'!$A:$T,ROW()+1,MATCH("건축년도",'04A_국토부원자료'!$A$4:$T$4,0)),",","")),"")</f>
        <v/>
      </c>
      <c r="L723" s="176">
        <f>IFERROR(INDEX('04A_국토부원자료'!$A:$T,ROW()+1,MATCH("도로명",'04A_국토부원자료'!$A$4:$T$4,0)),"")</f>
        <v/>
      </c>
      <c r="M723" s="48">
        <f>IFERROR(INDEX('04A_국토부원자료'!$A:$T,ROW()+1,MATCH("거래유형",'04A_국토부원자료'!$A$4:$T$4,0)),"")</f>
        <v/>
      </c>
      <c r="N723" s="152">
        <f>IF(B723="","",IF('02_대상물건입력'!B5="",1,IF(ISNUMBER(SEARCH('02_대상물건입력'!B5,B723)),1,0)))</f>
        <v/>
      </c>
      <c r="O723" s="152">
        <f>IF(B723="","",IF('02_대상물건입력'!B6="",1,IF(ISNUMBER(SEARCH('02_대상물건입력'!B6,B723)),1,0)))</f>
        <v/>
      </c>
      <c r="P723" s="152">
        <f>IF(L723="","",IF('02_대상물건입력'!B15="",0,IF(ISNUMBER(SEARCH('02_대상물건입력'!B15,L723)),1,0)))</f>
        <v/>
      </c>
      <c r="Q723" s="152">
        <f>IF(OR(C723="",L723=""),0,IF(AND(TRIM(C723)=TRIM(RIGHT(SUBSTITUTE(TRIM('02_대상물건입력'!$B$7)," ",REPT(" ",99)),99)),IF('02_대상물건입력'!B15="",TRUE(),ISNUMBER(SEARCH('02_대상물건입력'!B15,L723)))),1,0))</f>
        <v/>
      </c>
      <c r="R723" s="175">
        <f>IFERROR(ABS(E723-'02_대상물건입력'!B11)/'02_대상물건입력'!B11,"")</f>
        <v/>
      </c>
      <c r="S723" s="152">
        <f>IFERROR(ABS(J723-'02_대상물건입력'!B10),"")</f>
        <v/>
      </c>
      <c r="T723" s="152">
        <f>IFERROR(ABS('01_설정'!B4-F723),"")</f>
        <v/>
      </c>
      <c r="U723" s="152">
        <f>IFERROR(ABS(K723-YEAR('02_대상물건입력'!B14)),"")</f>
        <v/>
      </c>
      <c r="V723" s="152">
        <f>IF(B723="","",IF(AND(E723&gt;0,F723&gt;0,H723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723=1,TRUE()),R723&lt;='01_설정'!B5,S723&lt;='01_설정'!B6,T723&lt;='01_설정'!B7,U723&lt;='01_설정'!B8),"Y",""))</f>
        <v/>
      </c>
      <c r="W723" s="172">
        <f>IF(V723&lt;&gt;"Y","",MAX(0,(1-R723/'01_설정'!B5))*'01_설정'!B14+MAX(0,(1-S723/'01_설정'!B6))*'01_설정'!B15+MAX(0,(1-T723/'01_설정'!B7))*'01_설정'!B16+MAX(0,(1-U723/'01_설정'!B8))*'01_설정'!B17+O723*'01_설정'!B11+Q723*'01_설정'!B12+P723*'01_설정'!B13+IF(Z723="",0,Z723))</f>
        <v/>
      </c>
      <c r="X723" s="152">
        <f>IF(W723="","",1+COUNTIFS($W$4:$W$3003,"&gt;"&amp;W723)+COUNTIFS($W$4:W723,W723)-1)</f>
        <v/>
      </c>
      <c r="Y723" s="175">
        <f>IF(OR(I723="",'02_대상물건입력'!B19="",'02_대상물건입력'!B19&lt;=0),"",ABS(I723-'02_대상물건입력'!B19)/'02_대상물건입력'!B19)</f>
        <v/>
      </c>
      <c r="Z723" s="172">
        <f>IF(OR(Y723="",'01_설정'!B31="",'01_설정'!B31&lt;=0,'01_설정'!B32="",'01_설정'!B32&lt;=0),"",MAX(0,(1-Y723/'01_설정'!B32))*'01_설정'!B31)</f>
        <v/>
      </c>
    </row>
    <row r="724" ht="17.25" customHeight="1">
      <c r="A724" s="152">
        <f>IF(INDEX('04A_국토부원자료'!$A:$A,ROW()+1)="","",ROW()-3)</f>
        <v/>
      </c>
      <c r="B724" s="48">
        <f>IFERROR(INDEX('04A_국토부원자료'!$A:$T,ROW()+1,MATCH("시군구",'04A_국토부원자료'!$A$4:$T$4,0)),"")</f>
        <v/>
      </c>
      <c r="C724" s="48">
        <f>IF(B724="","",IFERROR(INDEX('04A_국토부원자료'!$A:$T,ROW()+1,MATCH("번지",'04A_국토부원자료'!$A$4:$T$4,0)),""))</f>
        <v/>
      </c>
      <c r="D724" s="48">
        <f>IF(B724="","",IF(Q724=1,'02_대상물건입력'!$B$8,IFERROR(INDEX('04A_국토부원자료'!$A:$T,ROW()+1,MATCH("단지명",'04A_국토부원자료'!$A$4:$T$4,0)),"")))</f>
        <v/>
      </c>
      <c r="E724" s="172">
        <f>IFERROR(VALUE(SUBSTITUTE(INDEX('04A_국토부원자료'!$A:$T,ROW()+1,MATCH("전용면적(㎡)",'04A_국토부원자료'!$A$4:$T$4,0)),",","")),"")</f>
        <v/>
      </c>
      <c r="F7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24" s="51">
        <f>IFERROR(VALUE(SUBSTITUTE(INDEX('04A_국토부원자료'!$A:$T,ROW()+1,MATCH("거래금액(만원)",'04A_국토부원자료'!$A$4:$T$4,0)),",","")),"")</f>
        <v/>
      </c>
      <c r="H724" s="174">
        <f>IF(G724="","",G724*10000)</f>
        <v/>
      </c>
      <c r="I724" s="174">
        <f>IFERROR(IF(AND(H724&gt;0,E724&gt;0),H724/E724,""),"")</f>
        <v/>
      </c>
      <c r="J724" s="152">
        <f>IFERROR(VALUE(SUBSTITUTE(INDEX('04A_국토부원자료'!$A:$T,ROW()+1,MATCH("층",'04A_국토부원자료'!$A$4:$T$4,0)),",","")),"")</f>
        <v/>
      </c>
      <c r="K724" s="152">
        <f>IFERROR(VALUE(SUBSTITUTE(INDEX('04A_국토부원자료'!$A:$T,ROW()+1,MATCH("건축년도",'04A_국토부원자료'!$A$4:$T$4,0)),",","")),"")</f>
        <v/>
      </c>
      <c r="L724" s="176">
        <f>IFERROR(INDEX('04A_국토부원자료'!$A:$T,ROW()+1,MATCH("도로명",'04A_국토부원자료'!$A$4:$T$4,0)),"")</f>
        <v/>
      </c>
      <c r="M724" s="48">
        <f>IFERROR(INDEX('04A_국토부원자료'!$A:$T,ROW()+1,MATCH("거래유형",'04A_국토부원자료'!$A$4:$T$4,0)),"")</f>
        <v/>
      </c>
      <c r="N724" s="152">
        <f>IF(B724="","",IF('02_대상물건입력'!B5="",1,IF(ISNUMBER(SEARCH('02_대상물건입력'!B5,B724)),1,0)))</f>
        <v/>
      </c>
      <c r="O724" s="152">
        <f>IF(B724="","",IF('02_대상물건입력'!B6="",1,IF(ISNUMBER(SEARCH('02_대상물건입력'!B6,B724)),1,0)))</f>
        <v/>
      </c>
      <c r="P724" s="152">
        <f>IF(L724="","",IF('02_대상물건입력'!B15="",0,IF(ISNUMBER(SEARCH('02_대상물건입력'!B15,L724)),1,0)))</f>
        <v/>
      </c>
      <c r="Q724" s="152">
        <f>IF(OR(C724="",L724=""),0,IF(AND(TRIM(C724)=TRIM(RIGHT(SUBSTITUTE(TRIM('02_대상물건입력'!$B$7)," ",REPT(" ",99)),99)),IF('02_대상물건입력'!B15="",TRUE(),ISNUMBER(SEARCH('02_대상물건입력'!B15,L724)))),1,0))</f>
        <v/>
      </c>
      <c r="R724" s="175">
        <f>IFERROR(ABS(E724-'02_대상물건입력'!B11)/'02_대상물건입력'!B11,"")</f>
        <v/>
      </c>
      <c r="S724" s="152">
        <f>IFERROR(ABS(J724-'02_대상물건입력'!B10),"")</f>
        <v/>
      </c>
      <c r="T724" s="152">
        <f>IFERROR(ABS('01_설정'!B4-F724),"")</f>
        <v/>
      </c>
      <c r="U724" s="152">
        <f>IFERROR(ABS(K724-YEAR('02_대상물건입력'!B14)),"")</f>
        <v/>
      </c>
      <c r="V724" s="152">
        <f>IF(B724="","",IF(AND(E724&gt;0,F724&gt;0,H724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724=1,TRUE()),R724&lt;='01_설정'!B5,S724&lt;='01_설정'!B6,T724&lt;='01_설정'!B7,U724&lt;='01_설정'!B8),"Y",""))</f>
        <v/>
      </c>
      <c r="W724" s="172">
        <f>IF(V724&lt;&gt;"Y","",MAX(0,(1-R724/'01_설정'!B5))*'01_설정'!B14+MAX(0,(1-S724/'01_설정'!B6))*'01_설정'!B15+MAX(0,(1-T724/'01_설정'!B7))*'01_설정'!B16+MAX(0,(1-U724/'01_설정'!B8))*'01_설정'!B17+O724*'01_설정'!B11+Q724*'01_설정'!B12+P724*'01_설정'!B13+IF(Z724="",0,Z724))</f>
        <v/>
      </c>
      <c r="X724" s="152">
        <f>IF(W724="","",1+COUNTIFS($W$4:$W$3003,"&gt;"&amp;W724)+COUNTIFS($W$4:W724,W724)-1)</f>
        <v/>
      </c>
      <c r="Y724" s="175">
        <f>IF(OR(I724="",'02_대상물건입력'!B19="",'02_대상물건입력'!B19&lt;=0),"",ABS(I724-'02_대상물건입력'!B19)/'02_대상물건입력'!B19)</f>
        <v/>
      </c>
      <c r="Z724" s="172">
        <f>IF(OR(Y724="",'01_설정'!B31="",'01_설정'!B31&lt;=0,'01_설정'!B32="",'01_설정'!B32&lt;=0),"",MAX(0,(1-Y724/'01_설정'!B32))*'01_설정'!B31)</f>
        <v/>
      </c>
    </row>
    <row r="725" ht="17.25" customHeight="1">
      <c r="A725" s="152">
        <f>IF(INDEX('04A_국토부원자료'!$A:$A,ROW()+1)="","",ROW()-3)</f>
        <v/>
      </c>
      <c r="B725" s="48">
        <f>IFERROR(INDEX('04A_국토부원자료'!$A:$T,ROW()+1,MATCH("시군구",'04A_국토부원자료'!$A$4:$T$4,0)),"")</f>
        <v/>
      </c>
      <c r="C725" s="48">
        <f>IF(B725="","",IFERROR(INDEX('04A_국토부원자료'!$A:$T,ROW()+1,MATCH("번지",'04A_국토부원자료'!$A$4:$T$4,0)),""))</f>
        <v/>
      </c>
      <c r="D725" s="48">
        <f>IF(B725="","",IF(Q725=1,'02_대상물건입력'!$B$8,IFERROR(INDEX('04A_국토부원자료'!$A:$T,ROW()+1,MATCH("단지명",'04A_국토부원자료'!$A$4:$T$4,0)),"")))</f>
        <v/>
      </c>
      <c r="E725" s="172">
        <f>IFERROR(VALUE(SUBSTITUTE(INDEX('04A_국토부원자료'!$A:$T,ROW()+1,MATCH("전용면적(㎡)",'04A_국토부원자료'!$A$4:$T$4,0)),",","")),"")</f>
        <v/>
      </c>
      <c r="F7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25" s="51">
        <f>IFERROR(VALUE(SUBSTITUTE(INDEX('04A_국토부원자료'!$A:$T,ROW()+1,MATCH("거래금액(만원)",'04A_국토부원자료'!$A$4:$T$4,0)),",","")),"")</f>
        <v/>
      </c>
      <c r="H725" s="174">
        <f>IF(G725="","",G725*10000)</f>
        <v/>
      </c>
      <c r="I725" s="174">
        <f>IFERROR(IF(AND(H725&gt;0,E725&gt;0),H725/E725,""),"")</f>
        <v/>
      </c>
      <c r="J725" s="152">
        <f>IFERROR(VALUE(SUBSTITUTE(INDEX('04A_국토부원자료'!$A:$T,ROW()+1,MATCH("층",'04A_국토부원자료'!$A$4:$T$4,0)),",","")),"")</f>
        <v/>
      </c>
      <c r="K725" s="152">
        <f>IFERROR(VALUE(SUBSTITUTE(INDEX('04A_국토부원자료'!$A:$T,ROW()+1,MATCH("건축년도",'04A_국토부원자료'!$A$4:$T$4,0)),",","")),"")</f>
        <v/>
      </c>
      <c r="L725" s="176">
        <f>IFERROR(INDEX('04A_국토부원자료'!$A:$T,ROW()+1,MATCH("도로명",'04A_국토부원자료'!$A$4:$T$4,0)),"")</f>
        <v/>
      </c>
      <c r="M725" s="48">
        <f>IFERROR(INDEX('04A_국토부원자료'!$A:$T,ROW()+1,MATCH("거래유형",'04A_국토부원자료'!$A$4:$T$4,0)),"")</f>
        <v/>
      </c>
      <c r="N725" s="152">
        <f>IF(B725="","",IF('02_대상물건입력'!B5="",1,IF(ISNUMBER(SEARCH('02_대상물건입력'!B5,B725)),1,0)))</f>
        <v/>
      </c>
      <c r="O725" s="152">
        <f>IF(B725="","",IF('02_대상물건입력'!B6="",1,IF(ISNUMBER(SEARCH('02_대상물건입력'!B6,B725)),1,0)))</f>
        <v/>
      </c>
      <c r="P725" s="152">
        <f>IF(L725="","",IF('02_대상물건입력'!B15="",0,IF(ISNUMBER(SEARCH('02_대상물건입력'!B15,L725)),1,0)))</f>
        <v/>
      </c>
      <c r="Q725" s="152">
        <f>IF(OR(C725="",L725=""),0,IF(AND(TRIM(C725)=TRIM(RIGHT(SUBSTITUTE(TRIM('02_대상물건입력'!$B$7)," ",REPT(" ",99)),99)),IF('02_대상물건입력'!B15="",TRUE(),ISNUMBER(SEARCH('02_대상물건입력'!B15,L725)))),1,0))</f>
        <v/>
      </c>
      <c r="R725" s="175">
        <f>IFERROR(ABS(E725-'02_대상물건입력'!B11)/'02_대상물건입력'!B11,"")</f>
        <v/>
      </c>
      <c r="S725" s="152">
        <f>IFERROR(ABS(J725-'02_대상물건입력'!B10),"")</f>
        <v/>
      </c>
      <c r="T725" s="152">
        <f>IFERROR(ABS('01_설정'!B4-F725),"")</f>
        <v/>
      </c>
      <c r="U725" s="152">
        <f>IFERROR(ABS(K725-YEAR('02_대상물건입력'!B14)),"")</f>
        <v/>
      </c>
      <c r="V725" s="152">
        <f>IF(B725="","",IF(AND(E725&gt;0,F725&gt;0,H725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725=1,TRUE()),R725&lt;='01_설정'!B5,S725&lt;='01_설정'!B6,T725&lt;='01_설정'!B7,U725&lt;='01_설정'!B8),"Y",""))</f>
        <v/>
      </c>
      <c r="W725" s="172">
        <f>IF(V725&lt;&gt;"Y","",MAX(0,(1-R725/'01_설정'!B5))*'01_설정'!B14+MAX(0,(1-S725/'01_설정'!B6))*'01_설정'!B15+MAX(0,(1-T725/'01_설정'!B7))*'01_설정'!B16+MAX(0,(1-U725/'01_설정'!B8))*'01_설정'!B17+O725*'01_설정'!B11+Q725*'01_설정'!B12+P725*'01_설정'!B13+IF(Z725="",0,Z725))</f>
        <v/>
      </c>
      <c r="X725" s="152">
        <f>IF(W725="","",1+COUNTIFS($W$4:$W$3003,"&gt;"&amp;W725)+COUNTIFS($W$4:W725,W725)-1)</f>
        <v/>
      </c>
      <c r="Y725" s="175">
        <f>IF(OR(I725="",'02_대상물건입력'!B19="",'02_대상물건입력'!B19&lt;=0),"",ABS(I725-'02_대상물건입력'!B19)/'02_대상물건입력'!B19)</f>
        <v/>
      </c>
      <c r="Z725" s="172">
        <f>IF(OR(Y725="",'01_설정'!B31="",'01_설정'!B31&lt;=0,'01_설정'!B32="",'01_설정'!B32&lt;=0),"",MAX(0,(1-Y725/'01_설정'!B32))*'01_설정'!B31)</f>
        <v/>
      </c>
    </row>
    <row r="726" ht="17.25" customHeight="1">
      <c r="A726" s="152">
        <f>IF(INDEX('04A_국토부원자료'!$A:$A,ROW()+1)="","",ROW()-3)</f>
        <v/>
      </c>
      <c r="B726" s="48">
        <f>IFERROR(INDEX('04A_국토부원자료'!$A:$T,ROW()+1,MATCH("시군구",'04A_국토부원자료'!$A$4:$T$4,0)),"")</f>
        <v/>
      </c>
      <c r="C726" s="48">
        <f>IF(B726="","",IFERROR(INDEX('04A_국토부원자료'!$A:$T,ROW()+1,MATCH("번지",'04A_국토부원자료'!$A$4:$T$4,0)),""))</f>
        <v/>
      </c>
      <c r="D726" s="48">
        <f>IF(B726="","",IF(Q726=1,'02_대상물건입력'!$B$8,IFERROR(INDEX('04A_국토부원자료'!$A:$T,ROW()+1,MATCH("단지명",'04A_국토부원자료'!$A$4:$T$4,0)),"")))</f>
        <v/>
      </c>
      <c r="E726" s="172">
        <f>IFERROR(VALUE(SUBSTITUTE(INDEX('04A_국토부원자료'!$A:$T,ROW()+1,MATCH("전용면적(㎡)",'04A_국토부원자료'!$A$4:$T$4,0)),",","")),"")</f>
        <v/>
      </c>
      <c r="F7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26" s="51">
        <f>IFERROR(VALUE(SUBSTITUTE(INDEX('04A_국토부원자료'!$A:$T,ROW()+1,MATCH("거래금액(만원)",'04A_국토부원자료'!$A$4:$T$4,0)),",","")),"")</f>
        <v/>
      </c>
      <c r="H726" s="174">
        <f>IF(G726="","",G726*10000)</f>
        <v/>
      </c>
      <c r="I726" s="174">
        <f>IFERROR(IF(AND(H726&gt;0,E726&gt;0),H726/E726,""),"")</f>
        <v/>
      </c>
      <c r="J726" s="152">
        <f>IFERROR(VALUE(SUBSTITUTE(INDEX('04A_국토부원자료'!$A:$T,ROW()+1,MATCH("층",'04A_국토부원자료'!$A$4:$T$4,0)),",","")),"")</f>
        <v/>
      </c>
      <c r="K726" s="152">
        <f>IFERROR(VALUE(SUBSTITUTE(INDEX('04A_국토부원자료'!$A:$T,ROW()+1,MATCH("건축년도",'04A_국토부원자료'!$A$4:$T$4,0)),",","")),"")</f>
        <v/>
      </c>
      <c r="L726" s="176">
        <f>IFERROR(INDEX('04A_국토부원자료'!$A:$T,ROW()+1,MATCH("도로명",'04A_국토부원자료'!$A$4:$T$4,0)),"")</f>
        <v/>
      </c>
      <c r="M726" s="48">
        <f>IFERROR(INDEX('04A_국토부원자료'!$A:$T,ROW()+1,MATCH("거래유형",'04A_국토부원자료'!$A$4:$T$4,0)),"")</f>
        <v/>
      </c>
      <c r="N726" s="152">
        <f>IF(B726="","",IF('02_대상물건입력'!B5="",1,IF(ISNUMBER(SEARCH('02_대상물건입력'!B5,B726)),1,0)))</f>
        <v/>
      </c>
      <c r="O726" s="152">
        <f>IF(B726="","",IF('02_대상물건입력'!B6="",1,IF(ISNUMBER(SEARCH('02_대상물건입력'!B6,B726)),1,0)))</f>
        <v/>
      </c>
      <c r="P726" s="152">
        <f>IF(L726="","",IF('02_대상물건입력'!B15="",0,IF(ISNUMBER(SEARCH('02_대상물건입력'!B15,L726)),1,0)))</f>
        <v/>
      </c>
      <c r="Q726" s="152">
        <f>IF(OR(C726="",L726=""),0,IF(AND(TRIM(C726)=TRIM(RIGHT(SUBSTITUTE(TRIM('02_대상물건입력'!$B$7)," ",REPT(" ",99)),99)),IF('02_대상물건입력'!B15="",TRUE(),ISNUMBER(SEARCH('02_대상물건입력'!B15,L726)))),1,0))</f>
        <v/>
      </c>
      <c r="R726" s="175">
        <f>IFERROR(ABS(E726-'02_대상물건입력'!B11)/'02_대상물건입력'!B11,"")</f>
        <v/>
      </c>
      <c r="S726" s="152">
        <f>IFERROR(ABS(J726-'02_대상물건입력'!B10),"")</f>
        <v/>
      </c>
      <c r="T726" s="152">
        <f>IFERROR(ABS('01_설정'!B4-F726),"")</f>
        <v/>
      </c>
      <c r="U726" s="152">
        <f>IFERROR(ABS(K726-YEAR('02_대상물건입력'!B14)),"")</f>
        <v/>
      </c>
      <c r="V726" s="152">
        <f>IF(B726="","",IF(AND(E726&gt;0,F726&gt;0,H726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726=1,TRUE()),R726&lt;='01_설정'!B5,S726&lt;='01_설정'!B6,T726&lt;='01_설정'!B7,U726&lt;='01_설정'!B8),"Y",""))</f>
        <v/>
      </c>
      <c r="W726" s="172">
        <f>IF(V726&lt;&gt;"Y","",MAX(0,(1-R726/'01_설정'!B5))*'01_설정'!B14+MAX(0,(1-S726/'01_설정'!B6))*'01_설정'!B15+MAX(0,(1-T726/'01_설정'!B7))*'01_설정'!B16+MAX(0,(1-U726/'01_설정'!B8))*'01_설정'!B17+O726*'01_설정'!B11+Q726*'01_설정'!B12+P726*'01_설정'!B13+IF(Z726="",0,Z726))</f>
        <v/>
      </c>
      <c r="X726" s="152">
        <f>IF(W726="","",1+COUNTIFS($W$4:$W$3003,"&gt;"&amp;W726)+COUNTIFS($W$4:W726,W726)-1)</f>
        <v/>
      </c>
      <c r="Y726" s="175">
        <f>IF(OR(I726="",'02_대상물건입력'!B19="",'02_대상물건입력'!B19&lt;=0),"",ABS(I726-'02_대상물건입력'!B19)/'02_대상물건입력'!B19)</f>
        <v/>
      </c>
      <c r="Z726" s="172">
        <f>IF(OR(Y726="",'01_설정'!B31="",'01_설정'!B31&lt;=0,'01_설정'!B32="",'01_설정'!B32&lt;=0),"",MAX(0,(1-Y726/'01_설정'!B32))*'01_설정'!B31)</f>
        <v/>
      </c>
    </row>
    <row r="727" ht="17.25" customHeight="1">
      <c r="A727" s="152">
        <f>IF(INDEX('04A_국토부원자료'!$A:$A,ROW()+1)="","",ROW()-3)</f>
        <v/>
      </c>
      <c r="B727" s="48">
        <f>IFERROR(INDEX('04A_국토부원자료'!$A:$T,ROW()+1,MATCH("시군구",'04A_국토부원자료'!$A$4:$T$4,0)),"")</f>
        <v/>
      </c>
      <c r="C727" s="48">
        <f>IF(B727="","",IFERROR(INDEX('04A_국토부원자료'!$A:$T,ROW()+1,MATCH("번지",'04A_국토부원자료'!$A$4:$T$4,0)),""))</f>
        <v/>
      </c>
      <c r="D727" s="48">
        <f>IF(B727="","",IF(Q727=1,'02_대상물건입력'!$B$8,IFERROR(INDEX('04A_국토부원자료'!$A:$T,ROW()+1,MATCH("단지명",'04A_국토부원자료'!$A$4:$T$4,0)),"")))</f>
        <v/>
      </c>
      <c r="E727" s="172">
        <f>IFERROR(VALUE(SUBSTITUTE(INDEX('04A_국토부원자료'!$A:$T,ROW()+1,MATCH("전용면적(㎡)",'04A_국토부원자료'!$A$4:$T$4,0)),",","")),"")</f>
        <v/>
      </c>
      <c r="F7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27" s="51">
        <f>IFERROR(VALUE(SUBSTITUTE(INDEX('04A_국토부원자료'!$A:$T,ROW()+1,MATCH("거래금액(만원)",'04A_국토부원자료'!$A$4:$T$4,0)),",","")),"")</f>
        <v/>
      </c>
      <c r="H727" s="174">
        <f>IF(G727="","",G727*10000)</f>
        <v/>
      </c>
      <c r="I727" s="174">
        <f>IFERROR(IF(AND(H727&gt;0,E727&gt;0),H727/E727,""),"")</f>
        <v/>
      </c>
      <c r="J727" s="152">
        <f>IFERROR(VALUE(SUBSTITUTE(INDEX('04A_국토부원자료'!$A:$T,ROW()+1,MATCH("층",'04A_국토부원자료'!$A$4:$T$4,0)),",","")),"")</f>
        <v/>
      </c>
      <c r="K727" s="152">
        <f>IFERROR(VALUE(SUBSTITUTE(INDEX('04A_국토부원자료'!$A:$T,ROW()+1,MATCH("건축년도",'04A_국토부원자료'!$A$4:$T$4,0)),",","")),"")</f>
        <v/>
      </c>
      <c r="L727" s="176">
        <f>IFERROR(INDEX('04A_국토부원자료'!$A:$T,ROW()+1,MATCH("도로명",'04A_국토부원자료'!$A$4:$T$4,0)),"")</f>
        <v/>
      </c>
      <c r="M727" s="48">
        <f>IFERROR(INDEX('04A_국토부원자료'!$A:$T,ROW()+1,MATCH("거래유형",'04A_국토부원자료'!$A$4:$T$4,0)),"")</f>
        <v/>
      </c>
      <c r="N727" s="152">
        <f>IF(B727="","",IF('02_대상물건입력'!B5="",1,IF(ISNUMBER(SEARCH('02_대상물건입력'!B5,B727)),1,0)))</f>
        <v/>
      </c>
      <c r="O727" s="152">
        <f>IF(B727="","",IF('02_대상물건입력'!B6="",1,IF(ISNUMBER(SEARCH('02_대상물건입력'!B6,B727)),1,0)))</f>
        <v/>
      </c>
      <c r="P727" s="152">
        <f>IF(L727="","",IF('02_대상물건입력'!B15="",0,IF(ISNUMBER(SEARCH('02_대상물건입력'!B15,L727)),1,0)))</f>
        <v/>
      </c>
      <c r="Q727" s="152">
        <f>IF(OR(C727="",L727=""),0,IF(AND(TRIM(C727)=TRIM(RIGHT(SUBSTITUTE(TRIM('02_대상물건입력'!$B$7)," ",REPT(" ",99)),99)),IF('02_대상물건입력'!B15="",TRUE(),ISNUMBER(SEARCH('02_대상물건입력'!B15,L727)))),1,0))</f>
        <v/>
      </c>
      <c r="R727" s="175">
        <f>IFERROR(ABS(E727-'02_대상물건입력'!B11)/'02_대상물건입력'!B11,"")</f>
        <v/>
      </c>
      <c r="S727" s="152">
        <f>IFERROR(ABS(J727-'02_대상물건입력'!B10),"")</f>
        <v/>
      </c>
      <c r="T727" s="152">
        <f>IFERROR(ABS('01_설정'!B4-F727),"")</f>
        <v/>
      </c>
      <c r="U727" s="152">
        <f>IFERROR(ABS(K727-YEAR('02_대상물건입력'!B14)),"")</f>
        <v/>
      </c>
      <c r="V727" s="152">
        <f>IF(B727="","",IF(AND(E727&gt;0,F727&gt;0,H727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727=1,TRUE()),R727&lt;='01_설정'!B5,S727&lt;='01_설정'!B6,T727&lt;='01_설정'!B7,U727&lt;='01_설정'!B8),"Y",""))</f>
        <v/>
      </c>
      <c r="W727" s="172">
        <f>IF(V727&lt;&gt;"Y","",MAX(0,(1-R727/'01_설정'!B5))*'01_설정'!B14+MAX(0,(1-S727/'01_설정'!B6))*'01_설정'!B15+MAX(0,(1-T727/'01_설정'!B7))*'01_설정'!B16+MAX(0,(1-U727/'01_설정'!B8))*'01_설정'!B17+O727*'01_설정'!B11+Q727*'01_설정'!B12+P727*'01_설정'!B13+IF(Z727="",0,Z727))</f>
        <v/>
      </c>
      <c r="X727" s="152">
        <f>IF(W727="","",1+COUNTIFS($W$4:$W$3003,"&gt;"&amp;W727)+COUNTIFS($W$4:W727,W727)-1)</f>
        <v/>
      </c>
      <c r="Y727" s="175">
        <f>IF(OR(I727="",'02_대상물건입력'!B19="",'02_대상물건입력'!B19&lt;=0),"",ABS(I727-'02_대상물건입력'!B19)/'02_대상물건입력'!B19)</f>
        <v/>
      </c>
      <c r="Z727" s="172">
        <f>IF(OR(Y727="",'01_설정'!B31="",'01_설정'!B31&lt;=0,'01_설정'!B32="",'01_설정'!B32&lt;=0),"",MAX(0,(1-Y727/'01_설정'!B32))*'01_설정'!B31)</f>
        <v/>
      </c>
    </row>
    <row r="728" ht="17.25" customHeight="1">
      <c r="A728" s="152">
        <f>IF(INDEX('04A_국토부원자료'!$A:$A,ROW()+1)="","",ROW()-3)</f>
        <v/>
      </c>
      <c r="B728" s="48">
        <f>IFERROR(INDEX('04A_국토부원자료'!$A:$T,ROW()+1,MATCH("시군구",'04A_국토부원자료'!$A$4:$T$4,0)),"")</f>
        <v/>
      </c>
      <c r="C728" s="48">
        <f>IF(B728="","",IFERROR(INDEX('04A_국토부원자료'!$A:$T,ROW()+1,MATCH("번지",'04A_국토부원자료'!$A$4:$T$4,0)),""))</f>
        <v/>
      </c>
      <c r="D728" s="48">
        <f>IF(B728="","",IF(Q728=1,'02_대상물건입력'!$B$8,IFERROR(INDEX('04A_국토부원자료'!$A:$T,ROW()+1,MATCH("단지명",'04A_국토부원자료'!$A$4:$T$4,0)),"")))</f>
        <v/>
      </c>
      <c r="E728" s="172">
        <f>IFERROR(VALUE(SUBSTITUTE(INDEX('04A_국토부원자료'!$A:$T,ROW()+1,MATCH("전용면적(㎡)",'04A_국토부원자료'!$A$4:$T$4,0)),",","")),"")</f>
        <v/>
      </c>
      <c r="F7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28" s="51">
        <f>IFERROR(VALUE(SUBSTITUTE(INDEX('04A_국토부원자료'!$A:$T,ROW()+1,MATCH("거래금액(만원)",'04A_국토부원자료'!$A$4:$T$4,0)),",","")),"")</f>
        <v/>
      </c>
      <c r="H728" s="174">
        <f>IF(G728="","",G728*10000)</f>
        <v/>
      </c>
      <c r="I728" s="174">
        <f>IFERROR(IF(AND(H728&gt;0,E728&gt;0),H728/E728,""),"")</f>
        <v/>
      </c>
      <c r="J728" s="152">
        <f>IFERROR(VALUE(SUBSTITUTE(INDEX('04A_국토부원자료'!$A:$T,ROW()+1,MATCH("층",'04A_국토부원자료'!$A$4:$T$4,0)),",","")),"")</f>
        <v/>
      </c>
      <c r="K728" s="152">
        <f>IFERROR(VALUE(SUBSTITUTE(INDEX('04A_국토부원자료'!$A:$T,ROW()+1,MATCH("건축년도",'04A_국토부원자료'!$A$4:$T$4,0)),",","")),"")</f>
        <v/>
      </c>
      <c r="L728" s="176">
        <f>IFERROR(INDEX('04A_국토부원자료'!$A:$T,ROW()+1,MATCH("도로명",'04A_국토부원자료'!$A$4:$T$4,0)),"")</f>
        <v/>
      </c>
      <c r="M728" s="48">
        <f>IFERROR(INDEX('04A_국토부원자료'!$A:$T,ROW()+1,MATCH("거래유형",'04A_국토부원자료'!$A$4:$T$4,0)),"")</f>
        <v/>
      </c>
      <c r="N728" s="152">
        <f>IF(B728="","",IF('02_대상물건입력'!B5="",1,IF(ISNUMBER(SEARCH('02_대상물건입력'!B5,B728)),1,0)))</f>
        <v/>
      </c>
      <c r="O728" s="152">
        <f>IF(B728="","",IF('02_대상물건입력'!B6="",1,IF(ISNUMBER(SEARCH('02_대상물건입력'!B6,B728)),1,0)))</f>
        <v/>
      </c>
      <c r="P728" s="152">
        <f>IF(L728="","",IF('02_대상물건입력'!B15="",0,IF(ISNUMBER(SEARCH('02_대상물건입력'!B15,L728)),1,0)))</f>
        <v/>
      </c>
      <c r="Q728" s="152">
        <f>IF(OR(C728="",L728=""),0,IF(AND(TRIM(C728)=TRIM(RIGHT(SUBSTITUTE(TRIM('02_대상물건입력'!$B$7)," ",REPT(" ",99)),99)),IF('02_대상물건입력'!B15="",TRUE(),ISNUMBER(SEARCH('02_대상물건입력'!B15,L728)))),1,0))</f>
        <v/>
      </c>
      <c r="R728" s="175">
        <f>IFERROR(ABS(E728-'02_대상물건입력'!B11)/'02_대상물건입력'!B11,"")</f>
        <v/>
      </c>
      <c r="S728" s="152">
        <f>IFERROR(ABS(J728-'02_대상물건입력'!B10),"")</f>
        <v/>
      </c>
      <c r="T728" s="152">
        <f>IFERROR(ABS('01_설정'!B4-F728),"")</f>
        <v/>
      </c>
      <c r="U728" s="152">
        <f>IFERROR(ABS(K728-YEAR('02_대상물건입력'!B14)),"")</f>
        <v/>
      </c>
      <c r="V728" s="152">
        <f>IF(B728="","",IF(AND(E728&gt;0,F728&gt;0,H728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728=1,TRUE()),R728&lt;='01_설정'!B5,S728&lt;='01_설정'!B6,T728&lt;='01_설정'!B7,U728&lt;='01_설정'!B8),"Y",""))</f>
        <v/>
      </c>
      <c r="W728" s="172">
        <f>IF(V728&lt;&gt;"Y","",MAX(0,(1-R728/'01_설정'!B5))*'01_설정'!B14+MAX(0,(1-S728/'01_설정'!B6))*'01_설정'!B15+MAX(0,(1-T728/'01_설정'!B7))*'01_설정'!B16+MAX(0,(1-U728/'01_설정'!B8))*'01_설정'!B17+O728*'01_설정'!B11+Q728*'01_설정'!B12+P728*'01_설정'!B13+IF(Z728="",0,Z728))</f>
        <v/>
      </c>
      <c r="X728" s="152">
        <f>IF(W728="","",1+COUNTIFS($W$4:$W$3003,"&gt;"&amp;W728)+COUNTIFS($W$4:W728,W728)-1)</f>
        <v/>
      </c>
      <c r="Y728" s="175">
        <f>IF(OR(I728="",'02_대상물건입력'!B19="",'02_대상물건입력'!B19&lt;=0),"",ABS(I728-'02_대상물건입력'!B19)/'02_대상물건입력'!B19)</f>
        <v/>
      </c>
      <c r="Z728" s="172">
        <f>IF(OR(Y728="",'01_설정'!B31="",'01_설정'!B31&lt;=0,'01_설정'!B32="",'01_설정'!B32&lt;=0),"",MAX(0,(1-Y728/'01_설정'!B32))*'01_설정'!B31)</f>
        <v/>
      </c>
    </row>
    <row r="729" ht="17.25" customHeight="1">
      <c r="A729" s="152">
        <f>IF(INDEX('04A_국토부원자료'!$A:$A,ROW()+1)="","",ROW()-3)</f>
        <v/>
      </c>
      <c r="B729" s="48">
        <f>IFERROR(INDEX('04A_국토부원자료'!$A:$T,ROW()+1,MATCH("시군구",'04A_국토부원자료'!$A$4:$T$4,0)),"")</f>
        <v/>
      </c>
      <c r="C729" s="48">
        <f>IF(B729="","",IFERROR(INDEX('04A_국토부원자료'!$A:$T,ROW()+1,MATCH("번지",'04A_국토부원자료'!$A$4:$T$4,0)),""))</f>
        <v/>
      </c>
      <c r="D729" s="48">
        <f>IF(B729="","",IF(Q729=1,'02_대상물건입력'!$B$8,IFERROR(INDEX('04A_국토부원자료'!$A:$T,ROW()+1,MATCH("단지명",'04A_국토부원자료'!$A$4:$T$4,0)),"")))</f>
        <v/>
      </c>
      <c r="E729" s="172">
        <f>IFERROR(VALUE(SUBSTITUTE(INDEX('04A_국토부원자료'!$A:$T,ROW()+1,MATCH("전용면적(㎡)",'04A_국토부원자료'!$A$4:$T$4,0)),",","")),"")</f>
        <v/>
      </c>
      <c r="F7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29" s="51">
        <f>IFERROR(VALUE(SUBSTITUTE(INDEX('04A_국토부원자료'!$A:$T,ROW()+1,MATCH("거래금액(만원)",'04A_국토부원자료'!$A$4:$T$4,0)),",","")),"")</f>
        <v/>
      </c>
      <c r="H729" s="174">
        <f>IF(G729="","",G729*10000)</f>
        <v/>
      </c>
      <c r="I729" s="174">
        <f>IFERROR(IF(AND(H729&gt;0,E729&gt;0),H729/E729,""),"")</f>
        <v/>
      </c>
      <c r="J729" s="152">
        <f>IFERROR(VALUE(SUBSTITUTE(INDEX('04A_국토부원자료'!$A:$T,ROW()+1,MATCH("층",'04A_국토부원자료'!$A$4:$T$4,0)),",","")),"")</f>
        <v/>
      </c>
      <c r="K729" s="152">
        <f>IFERROR(VALUE(SUBSTITUTE(INDEX('04A_국토부원자료'!$A:$T,ROW()+1,MATCH("건축년도",'04A_국토부원자료'!$A$4:$T$4,0)),",","")),"")</f>
        <v/>
      </c>
      <c r="L729" s="176">
        <f>IFERROR(INDEX('04A_국토부원자료'!$A:$T,ROW()+1,MATCH("도로명",'04A_국토부원자료'!$A$4:$T$4,0)),"")</f>
        <v/>
      </c>
      <c r="M729" s="48">
        <f>IFERROR(INDEX('04A_국토부원자료'!$A:$T,ROW()+1,MATCH("거래유형",'04A_국토부원자료'!$A$4:$T$4,0)),"")</f>
        <v/>
      </c>
      <c r="N729" s="152">
        <f>IF(B729="","",IF('02_대상물건입력'!B5="",1,IF(ISNUMBER(SEARCH('02_대상물건입력'!B5,B729)),1,0)))</f>
        <v/>
      </c>
      <c r="O729" s="152">
        <f>IF(B729="","",IF('02_대상물건입력'!B6="",1,IF(ISNUMBER(SEARCH('02_대상물건입력'!B6,B729)),1,0)))</f>
        <v/>
      </c>
      <c r="P729" s="152">
        <f>IF(L729="","",IF('02_대상물건입력'!B15="",0,IF(ISNUMBER(SEARCH('02_대상물건입력'!B15,L729)),1,0)))</f>
        <v/>
      </c>
      <c r="Q729" s="152">
        <f>IF(OR(C729="",L729=""),0,IF(AND(TRIM(C729)=TRIM(RIGHT(SUBSTITUTE(TRIM('02_대상물건입력'!$B$7)," ",REPT(" ",99)),99)),IF('02_대상물건입력'!B15="",TRUE(),ISNUMBER(SEARCH('02_대상물건입력'!B15,L729)))),1,0))</f>
        <v/>
      </c>
      <c r="R729" s="175">
        <f>IFERROR(ABS(E729-'02_대상물건입력'!B11)/'02_대상물건입력'!B11,"")</f>
        <v/>
      </c>
      <c r="S729" s="152">
        <f>IFERROR(ABS(J729-'02_대상물건입력'!B10),"")</f>
        <v/>
      </c>
      <c r="T729" s="152">
        <f>IFERROR(ABS('01_설정'!B4-F729),"")</f>
        <v/>
      </c>
      <c r="U729" s="152">
        <f>IFERROR(ABS(K729-YEAR('02_대상물건입력'!B14)),"")</f>
        <v/>
      </c>
      <c r="V729" s="152">
        <f>IF(B729="","",IF(AND(E729&gt;0,F729&gt;0,H729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729=1,TRUE()),R729&lt;='01_설정'!B5,S729&lt;='01_설정'!B6,T729&lt;='01_설정'!B7,U729&lt;='01_설정'!B8),"Y",""))</f>
        <v/>
      </c>
      <c r="W729" s="172">
        <f>IF(V729&lt;&gt;"Y","",MAX(0,(1-R729/'01_설정'!B5))*'01_설정'!B14+MAX(0,(1-S729/'01_설정'!B6))*'01_설정'!B15+MAX(0,(1-T729/'01_설정'!B7))*'01_설정'!B16+MAX(0,(1-U729/'01_설정'!B8))*'01_설정'!B17+O729*'01_설정'!B11+Q729*'01_설정'!B12+P729*'01_설정'!B13+IF(Z729="",0,Z729))</f>
        <v/>
      </c>
      <c r="X729" s="152">
        <f>IF(W729="","",1+COUNTIFS($W$4:$W$3003,"&gt;"&amp;W729)+COUNTIFS($W$4:W729,W729)-1)</f>
        <v/>
      </c>
      <c r="Y729" s="175">
        <f>IF(OR(I729="",'02_대상물건입력'!B19="",'02_대상물건입력'!B19&lt;=0),"",ABS(I729-'02_대상물건입력'!B19)/'02_대상물건입력'!B19)</f>
        <v/>
      </c>
      <c r="Z729" s="172">
        <f>IF(OR(Y729="",'01_설정'!B31="",'01_설정'!B31&lt;=0,'01_설정'!B32="",'01_설정'!B32&lt;=0),"",MAX(0,(1-Y729/'01_설정'!B32))*'01_설정'!B31)</f>
        <v/>
      </c>
    </row>
    <row r="730" ht="17.25" customHeight="1">
      <c r="A730" s="152">
        <f>IF(INDEX('04A_국토부원자료'!$A:$A,ROW()+1)="","",ROW()-3)</f>
        <v/>
      </c>
      <c r="B730" s="48">
        <f>IFERROR(INDEX('04A_국토부원자료'!$A:$T,ROW()+1,MATCH("시군구",'04A_국토부원자료'!$A$4:$T$4,0)),"")</f>
        <v/>
      </c>
      <c r="C730" s="48">
        <f>IF(B730="","",IFERROR(INDEX('04A_국토부원자료'!$A:$T,ROW()+1,MATCH("번지",'04A_국토부원자료'!$A$4:$T$4,0)),""))</f>
        <v/>
      </c>
      <c r="D730" s="48">
        <f>IF(B730="","",IF(Q730=1,'02_대상물건입력'!$B$8,IFERROR(INDEX('04A_국토부원자료'!$A:$T,ROW()+1,MATCH("단지명",'04A_국토부원자료'!$A$4:$T$4,0)),"")))</f>
        <v/>
      </c>
      <c r="E730" s="172">
        <f>IFERROR(VALUE(SUBSTITUTE(INDEX('04A_국토부원자료'!$A:$T,ROW()+1,MATCH("전용면적(㎡)",'04A_국토부원자료'!$A$4:$T$4,0)),",","")),"")</f>
        <v/>
      </c>
      <c r="F7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30" s="51">
        <f>IFERROR(VALUE(SUBSTITUTE(INDEX('04A_국토부원자료'!$A:$T,ROW()+1,MATCH("거래금액(만원)",'04A_국토부원자료'!$A$4:$T$4,0)),",","")),"")</f>
        <v/>
      </c>
      <c r="H730" s="174">
        <f>IF(G730="","",G730*10000)</f>
        <v/>
      </c>
      <c r="I730" s="174">
        <f>IFERROR(IF(AND(H730&gt;0,E730&gt;0),H730/E730,""),"")</f>
        <v/>
      </c>
      <c r="J730" s="152">
        <f>IFERROR(VALUE(SUBSTITUTE(INDEX('04A_국토부원자료'!$A:$T,ROW()+1,MATCH("층",'04A_국토부원자료'!$A$4:$T$4,0)),",","")),"")</f>
        <v/>
      </c>
      <c r="K730" s="152">
        <f>IFERROR(VALUE(SUBSTITUTE(INDEX('04A_국토부원자료'!$A:$T,ROW()+1,MATCH("건축년도",'04A_국토부원자료'!$A$4:$T$4,0)),",","")),"")</f>
        <v/>
      </c>
      <c r="L730" s="176">
        <f>IFERROR(INDEX('04A_국토부원자료'!$A:$T,ROW()+1,MATCH("도로명",'04A_국토부원자료'!$A$4:$T$4,0)),"")</f>
        <v/>
      </c>
      <c r="M730" s="48">
        <f>IFERROR(INDEX('04A_국토부원자료'!$A:$T,ROW()+1,MATCH("거래유형",'04A_국토부원자료'!$A$4:$T$4,0)),"")</f>
        <v/>
      </c>
      <c r="N730" s="152">
        <f>IF(B730="","",IF('02_대상물건입력'!B5="",1,IF(ISNUMBER(SEARCH('02_대상물건입력'!B5,B730)),1,0)))</f>
        <v/>
      </c>
      <c r="O730" s="152">
        <f>IF(B730="","",IF('02_대상물건입력'!B6="",1,IF(ISNUMBER(SEARCH('02_대상물건입력'!B6,B730)),1,0)))</f>
        <v/>
      </c>
      <c r="P730" s="152">
        <f>IF(L730="","",IF('02_대상물건입력'!B15="",0,IF(ISNUMBER(SEARCH('02_대상물건입력'!B15,L730)),1,0)))</f>
        <v/>
      </c>
      <c r="Q730" s="152">
        <f>IF(OR(C730="",L730=""),0,IF(AND(TRIM(C730)=TRIM(RIGHT(SUBSTITUTE(TRIM('02_대상물건입력'!$B$7)," ",REPT(" ",99)),99)),IF('02_대상물건입력'!B15="",TRUE(),ISNUMBER(SEARCH('02_대상물건입력'!B15,L730)))),1,0))</f>
        <v/>
      </c>
      <c r="R730" s="175">
        <f>IFERROR(ABS(E730-'02_대상물건입력'!B11)/'02_대상물건입력'!B11,"")</f>
        <v/>
      </c>
      <c r="S730" s="152">
        <f>IFERROR(ABS(J730-'02_대상물건입력'!B10),"")</f>
        <v/>
      </c>
      <c r="T730" s="152">
        <f>IFERROR(ABS('01_설정'!B4-F730),"")</f>
        <v/>
      </c>
      <c r="U730" s="152">
        <f>IFERROR(ABS(K730-YEAR('02_대상물건입력'!B14)),"")</f>
        <v/>
      </c>
      <c r="V730" s="152">
        <f>IF(B730="","",IF(AND(E730&gt;0,F730&gt;0,H730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730=1,TRUE()),R730&lt;='01_설정'!B5,S730&lt;='01_설정'!B6,T730&lt;='01_설정'!B7,U730&lt;='01_설정'!B8),"Y",""))</f>
        <v/>
      </c>
      <c r="W730" s="172">
        <f>IF(V730&lt;&gt;"Y","",MAX(0,(1-R730/'01_설정'!B5))*'01_설정'!B14+MAX(0,(1-S730/'01_설정'!B6))*'01_설정'!B15+MAX(0,(1-T730/'01_설정'!B7))*'01_설정'!B16+MAX(0,(1-U730/'01_설정'!B8))*'01_설정'!B17+O730*'01_설정'!B11+Q730*'01_설정'!B12+P730*'01_설정'!B13+IF(Z730="",0,Z730))</f>
        <v/>
      </c>
      <c r="X730" s="152">
        <f>IF(W730="","",1+COUNTIFS($W$4:$W$3003,"&gt;"&amp;W730)+COUNTIFS($W$4:W730,W730)-1)</f>
        <v/>
      </c>
      <c r="Y730" s="175">
        <f>IF(OR(I730="",'02_대상물건입력'!B19="",'02_대상물건입력'!B19&lt;=0),"",ABS(I730-'02_대상물건입력'!B19)/'02_대상물건입력'!B19)</f>
        <v/>
      </c>
      <c r="Z730" s="172">
        <f>IF(OR(Y730="",'01_설정'!B31="",'01_설정'!B31&lt;=0,'01_설정'!B32="",'01_설정'!B32&lt;=0),"",MAX(0,(1-Y730/'01_설정'!B32))*'01_설정'!B31)</f>
        <v/>
      </c>
    </row>
    <row r="731" ht="17.25" customHeight="1">
      <c r="A731" s="152">
        <f>IF(INDEX('04A_국토부원자료'!$A:$A,ROW()+1)="","",ROW()-3)</f>
        <v/>
      </c>
      <c r="B731" s="48">
        <f>IFERROR(INDEX('04A_국토부원자료'!$A:$T,ROW()+1,MATCH("시군구",'04A_국토부원자료'!$A$4:$T$4,0)),"")</f>
        <v/>
      </c>
      <c r="C731" s="48">
        <f>IF(B731="","",IFERROR(INDEX('04A_국토부원자료'!$A:$T,ROW()+1,MATCH("번지",'04A_국토부원자료'!$A$4:$T$4,0)),""))</f>
        <v/>
      </c>
      <c r="D731" s="48">
        <f>IF(B731="","",IF(Q731=1,'02_대상물건입력'!$B$8,IFERROR(INDEX('04A_국토부원자료'!$A:$T,ROW()+1,MATCH("단지명",'04A_국토부원자료'!$A$4:$T$4,0)),"")))</f>
        <v/>
      </c>
      <c r="E731" s="172">
        <f>IFERROR(VALUE(SUBSTITUTE(INDEX('04A_국토부원자료'!$A:$T,ROW()+1,MATCH("전용면적(㎡)",'04A_국토부원자료'!$A$4:$T$4,0)),",","")),"")</f>
        <v/>
      </c>
      <c r="F7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31" s="51">
        <f>IFERROR(VALUE(SUBSTITUTE(INDEX('04A_국토부원자료'!$A:$T,ROW()+1,MATCH("거래금액(만원)",'04A_국토부원자료'!$A$4:$T$4,0)),",","")),"")</f>
        <v/>
      </c>
      <c r="H731" s="174">
        <f>IF(G731="","",G731*10000)</f>
        <v/>
      </c>
      <c r="I731" s="174">
        <f>IFERROR(IF(AND(H731&gt;0,E731&gt;0),H731/E731,""),"")</f>
        <v/>
      </c>
      <c r="J731" s="152">
        <f>IFERROR(VALUE(SUBSTITUTE(INDEX('04A_국토부원자료'!$A:$T,ROW()+1,MATCH("층",'04A_국토부원자료'!$A$4:$T$4,0)),",","")),"")</f>
        <v/>
      </c>
      <c r="K731" s="152">
        <f>IFERROR(VALUE(SUBSTITUTE(INDEX('04A_국토부원자료'!$A:$T,ROW()+1,MATCH("건축년도",'04A_국토부원자료'!$A$4:$T$4,0)),",","")),"")</f>
        <v/>
      </c>
      <c r="L731" s="176">
        <f>IFERROR(INDEX('04A_국토부원자료'!$A:$T,ROW()+1,MATCH("도로명",'04A_국토부원자료'!$A$4:$T$4,0)),"")</f>
        <v/>
      </c>
      <c r="M731" s="48">
        <f>IFERROR(INDEX('04A_국토부원자료'!$A:$T,ROW()+1,MATCH("거래유형",'04A_국토부원자료'!$A$4:$T$4,0)),"")</f>
        <v/>
      </c>
      <c r="N731" s="152">
        <f>IF(B731="","",IF('02_대상물건입력'!B5="",1,IF(ISNUMBER(SEARCH('02_대상물건입력'!B5,B731)),1,0)))</f>
        <v/>
      </c>
      <c r="O731" s="152">
        <f>IF(B731="","",IF('02_대상물건입력'!B6="",1,IF(ISNUMBER(SEARCH('02_대상물건입력'!B6,B731)),1,0)))</f>
        <v/>
      </c>
      <c r="P731" s="152">
        <f>IF(L731="","",IF('02_대상물건입력'!B15="",0,IF(ISNUMBER(SEARCH('02_대상물건입력'!B15,L731)),1,0)))</f>
        <v/>
      </c>
      <c r="Q731" s="152">
        <f>IF(OR(C731="",L731=""),0,IF(AND(TRIM(C731)=TRIM(RIGHT(SUBSTITUTE(TRIM('02_대상물건입력'!$B$7)," ",REPT(" ",99)),99)),IF('02_대상물건입력'!B15="",TRUE(),ISNUMBER(SEARCH('02_대상물건입력'!B15,L731)))),1,0))</f>
        <v/>
      </c>
      <c r="R731" s="175">
        <f>IFERROR(ABS(E731-'02_대상물건입력'!B11)/'02_대상물건입력'!B11,"")</f>
        <v/>
      </c>
      <c r="S731" s="152">
        <f>IFERROR(ABS(J731-'02_대상물건입력'!B10),"")</f>
        <v/>
      </c>
      <c r="T731" s="152">
        <f>IFERROR(ABS('01_설정'!B4-F731),"")</f>
        <v/>
      </c>
      <c r="U731" s="152">
        <f>IFERROR(ABS(K731-YEAR('02_대상물건입력'!B14)),"")</f>
        <v/>
      </c>
      <c r="V731" s="152">
        <f>IF(B731="","",IF(AND(E731&gt;0,F731&gt;0,H731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731=1,TRUE()),R731&lt;='01_설정'!B5,S731&lt;='01_설정'!B6,T731&lt;='01_설정'!B7,U731&lt;='01_설정'!B8),"Y",""))</f>
        <v/>
      </c>
      <c r="W731" s="172">
        <f>IF(V731&lt;&gt;"Y","",MAX(0,(1-R731/'01_설정'!B5))*'01_설정'!B14+MAX(0,(1-S731/'01_설정'!B6))*'01_설정'!B15+MAX(0,(1-T731/'01_설정'!B7))*'01_설정'!B16+MAX(0,(1-U731/'01_설정'!B8))*'01_설정'!B17+O731*'01_설정'!B11+Q731*'01_설정'!B12+P731*'01_설정'!B13+IF(Z731="",0,Z731))</f>
        <v/>
      </c>
      <c r="X731" s="152">
        <f>IF(W731="","",1+COUNTIFS($W$4:$W$3003,"&gt;"&amp;W731)+COUNTIFS($W$4:W731,W731)-1)</f>
        <v/>
      </c>
      <c r="Y731" s="175">
        <f>IF(OR(I731="",'02_대상물건입력'!B19="",'02_대상물건입력'!B19&lt;=0),"",ABS(I731-'02_대상물건입력'!B19)/'02_대상물건입력'!B19)</f>
        <v/>
      </c>
      <c r="Z731" s="172">
        <f>IF(OR(Y731="",'01_설정'!B31="",'01_설정'!B31&lt;=0,'01_설정'!B32="",'01_설정'!B32&lt;=0),"",MAX(0,(1-Y731/'01_설정'!B32))*'01_설정'!B31)</f>
        <v/>
      </c>
    </row>
    <row r="732" ht="17.25" customHeight="1">
      <c r="A732" s="152">
        <f>IF(INDEX('04A_국토부원자료'!$A:$A,ROW()+1)="","",ROW()-3)</f>
        <v/>
      </c>
      <c r="B732" s="48">
        <f>IFERROR(INDEX('04A_국토부원자료'!$A:$T,ROW()+1,MATCH("시군구",'04A_국토부원자료'!$A$4:$T$4,0)),"")</f>
        <v/>
      </c>
      <c r="C732" s="48">
        <f>IF(B732="","",IFERROR(INDEX('04A_국토부원자료'!$A:$T,ROW()+1,MATCH("번지",'04A_국토부원자료'!$A$4:$T$4,0)),""))</f>
        <v/>
      </c>
      <c r="D732" s="48">
        <f>IF(B732="","",IF(Q732=1,'02_대상물건입력'!$B$8,IFERROR(INDEX('04A_국토부원자료'!$A:$T,ROW()+1,MATCH("단지명",'04A_국토부원자료'!$A$4:$T$4,0)),"")))</f>
        <v/>
      </c>
      <c r="E732" s="172">
        <f>IFERROR(VALUE(SUBSTITUTE(INDEX('04A_국토부원자료'!$A:$T,ROW()+1,MATCH("전용면적(㎡)",'04A_국토부원자료'!$A$4:$T$4,0)),",","")),"")</f>
        <v/>
      </c>
      <c r="F7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32" s="51">
        <f>IFERROR(VALUE(SUBSTITUTE(INDEX('04A_국토부원자료'!$A:$T,ROW()+1,MATCH("거래금액(만원)",'04A_국토부원자료'!$A$4:$T$4,0)),",","")),"")</f>
        <v/>
      </c>
      <c r="H732" s="174">
        <f>IF(G732="","",G732*10000)</f>
        <v/>
      </c>
      <c r="I732" s="174">
        <f>IFERROR(IF(AND(H732&gt;0,E732&gt;0),H732/E732,""),"")</f>
        <v/>
      </c>
      <c r="J732" s="152">
        <f>IFERROR(VALUE(SUBSTITUTE(INDEX('04A_국토부원자료'!$A:$T,ROW()+1,MATCH("층",'04A_국토부원자료'!$A$4:$T$4,0)),",","")),"")</f>
        <v/>
      </c>
      <c r="K732" s="152">
        <f>IFERROR(VALUE(SUBSTITUTE(INDEX('04A_국토부원자료'!$A:$T,ROW()+1,MATCH("건축년도",'04A_국토부원자료'!$A$4:$T$4,0)),",","")),"")</f>
        <v/>
      </c>
      <c r="L732" s="176">
        <f>IFERROR(INDEX('04A_국토부원자료'!$A:$T,ROW()+1,MATCH("도로명",'04A_국토부원자료'!$A$4:$T$4,0)),"")</f>
        <v/>
      </c>
      <c r="M732" s="48">
        <f>IFERROR(INDEX('04A_국토부원자료'!$A:$T,ROW()+1,MATCH("거래유형",'04A_국토부원자료'!$A$4:$T$4,0)),"")</f>
        <v/>
      </c>
      <c r="N732" s="152">
        <f>IF(B732="","",IF('02_대상물건입력'!B5="",1,IF(ISNUMBER(SEARCH('02_대상물건입력'!B5,B732)),1,0)))</f>
        <v/>
      </c>
      <c r="O732" s="152">
        <f>IF(B732="","",IF('02_대상물건입력'!B6="",1,IF(ISNUMBER(SEARCH('02_대상물건입력'!B6,B732)),1,0)))</f>
        <v/>
      </c>
      <c r="P732" s="152">
        <f>IF(L732="","",IF('02_대상물건입력'!B15="",0,IF(ISNUMBER(SEARCH('02_대상물건입력'!B15,L732)),1,0)))</f>
        <v/>
      </c>
      <c r="Q732" s="152">
        <f>IF(OR(C732="",L732=""),0,IF(AND(TRIM(C732)=TRIM(RIGHT(SUBSTITUTE(TRIM('02_대상물건입력'!$B$7)," ",REPT(" ",99)),99)),IF('02_대상물건입력'!B15="",TRUE(),ISNUMBER(SEARCH('02_대상물건입력'!B15,L732)))),1,0))</f>
        <v/>
      </c>
      <c r="R732" s="175">
        <f>IFERROR(ABS(E732-'02_대상물건입력'!B11)/'02_대상물건입력'!B11,"")</f>
        <v/>
      </c>
      <c r="S732" s="152">
        <f>IFERROR(ABS(J732-'02_대상물건입력'!B10),"")</f>
        <v/>
      </c>
      <c r="T732" s="152">
        <f>IFERROR(ABS('01_설정'!B4-F732),"")</f>
        <v/>
      </c>
      <c r="U732" s="152">
        <f>IFERROR(ABS(K732-YEAR('02_대상물건입력'!B14)),"")</f>
        <v/>
      </c>
      <c r="V732" s="152">
        <f>IF(B732="","",IF(AND(E732&gt;0,F732&gt;0,H732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732=1,TRUE()),R732&lt;='01_설정'!B5,S732&lt;='01_설정'!B6,T732&lt;='01_설정'!B7,U732&lt;='01_설정'!B8),"Y",""))</f>
        <v/>
      </c>
      <c r="W732" s="172">
        <f>IF(V732&lt;&gt;"Y","",MAX(0,(1-R732/'01_설정'!B5))*'01_설정'!B14+MAX(0,(1-S732/'01_설정'!B6))*'01_설정'!B15+MAX(0,(1-T732/'01_설정'!B7))*'01_설정'!B16+MAX(0,(1-U732/'01_설정'!B8))*'01_설정'!B17+O732*'01_설정'!B11+Q732*'01_설정'!B12+P732*'01_설정'!B13+IF(Z732="",0,Z732))</f>
        <v/>
      </c>
      <c r="X732" s="152">
        <f>IF(W732="","",1+COUNTIFS($W$4:$W$3003,"&gt;"&amp;W732)+COUNTIFS($W$4:W732,W732)-1)</f>
        <v/>
      </c>
      <c r="Y732" s="175">
        <f>IF(OR(I732="",'02_대상물건입력'!B19="",'02_대상물건입력'!B19&lt;=0),"",ABS(I732-'02_대상물건입력'!B19)/'02_대상물건입력'!B19)</f>
        <v/>
      </c>
      <c r="Z732" s="172">
        <f>IF(OR(Y732="",'01_설정'!B31="",'01_설정'!B31&lt;=0,'01_설정'!B32="",'01_설정'!B32&lt;=0),"",MAX(0,(1-Y732/'01_설정'!B32))*'01_설정'!B31)</f>
        <v/>
      </c>
    </row>
    <row r="733" ht="17.25" customHeight="1">
      <c r="A733" s="152">
        <f>IF(INDEX('04A_국토부원자료'!$A:$A,ROW()+1)="","",ROW()-3)</f>
        <v/>
      </c>
      <c r="B733" s="48">
        <f>IFERROR(INDEX('04A_국토부원자료'!$A:$T,ROW()+1,MATCH("시군구",'04A_국토부원자료'!$A$4:$T$4,0)),"")</f>
        <v/>
      </c>
      <c r="C733" s="48">
        <f>IF(B733="","",IFERROR(INDEX('04A_국토부원자료'!$A:$T,ROW()+1,MATCH("번지",'04A_국토부원자료'!$A$4:$T$4,0)),""))</f>
        <v/>
      </c>
      <c r="D733" s="48">
        <f>IF(B733="","",IF(Q733=1,'02_대상물건입력'!$B$8,IFERROR(INDEX('04A_국토부원자료'!$A:$T,ROW()+1,MATCH("단지명",'04A_국토부원자료'!$A$4:$T$4,0)),"")))</f>
        <v/>
      </c>
      <c r="E733" s="172">
        <f>IFERROR(VALUE(SUBSTITUTE(INDEX('04A_국토부원자료'!$A:$T,ROW()+1,MATCH("전용면적(㎡)",'04A_국토부원자료'!$A$4:$T$4,0)),",","")),"")</f>
        <v/>
      </c>
      <c r="F7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33" s="51">
        <f>IFERROR(VALUE(SUBSTITUTE(INDEX('04A_국토부원자료'!$A:$T,ROW()+1,MATCH("거래금액(만원)",'04A_국토부원자료'!$A$4:$T$4,0)),",","")),"")</f>
        <v/>
      </c>
      <c r="H733" s="174">
        <f>IF(G733="","",G733*10000)</f>
        <v/>
      </c>
      <c r="I733" s="174">
        <f>IFERROR(IF(AND(H733&gt;0,E733&gt;0),H733/E733,""),"")</f>
        <v/>
      </c>
      <c r="J733" s="152">
        <f>IFERROR(VALUE(SUBSTITUTE(INDEX('04A_국토부원자료'!$A:$T,ROW()+1,MATCH("층",'04A_국토부원자료'!$A$4:$T$4,0)),",","")),"")</f>
        <v/>
      </c>
      <c r="K733" s="152">
        <f>IFERROR(VALUE(SUBSTITUTE(INDEX('04A_국토부원자료'!$A:$T,ROW()+1,MATCH("건축년도",'04A_국토부원자료'!$A$4:$T$4,0)),",","")),"")</f>
        <v/>
      </c>
      <c r="L733" s="176">
        <f>IFERROR(INDEX('04A_국토부원자료'!$A:$T,ROW()+1,MATCH("도로명",'04A_국토부원자료'!$A$4:$T$4,0)),"")</f>
        <v/>
      </c>
      <c r="M733" s="48">
        <f>IFERROR(INDEX('04A_국토부원자료'!$A:$T,ROW()+1,MATCH("거래유형",'04A_국토부원자료'!$A$4:$T$4,0)),"")</f>
        <v/>
      </c>
      <c r="N733" s="152">
        <f>IF(B733="","",IF('02_대상물건입력'!B5="",1,IF(ISNUMBER(SEARCH('02_대상물건입력'!B5,B733)),1,0)))</f>
        <v/>
      </c>
      <c r="O733" s="152">
        <f>IF(B733="","",IF('02_대상물건입력'!B6="",1,IF(ISNUMBER(SEARCH('02_대상물건입력'!B6,B733)),1,0)))</f>
        <v/>
      </c>
      <c r="P733" s="152">
        <f>IF(L733="","",IF('02_대상물건입력'!B15="",0,IF(ISNUMBER(SEARCH('02_대상물건입력'!B15,L733)),1,0)))</f>
        <v/>
      </c>
      <c r="Q733" s="152">
        <f>IF(OR(C733="",L733=""),0,IF(AND(TRIM(C733)=TRIM(RIGHT(SUBSTITUTE(TRIM('02_대상물건입력'!$B$7)," ",REPT(" ",99)),99)),IF('02_대상물건입력'!B15="",TRUE(),ISNUMBER(SEARCH('02_대상물건입력'!B15,L733)))),1,0))</f>
        <v/>
      </c>
      <c r="R733" s="175">
        <f>IFERROR(ABS(E733-'02_대상물건입력'!B11)/'02_대상물건입력'!B11,"")</f>
        <v/>
      </c>
      <c r="S733" s="152">
        <f>IFERROR(ABS(J733-'02_대상물건입력'!B10),"")</f>
        <v/>
      </c>
      <c r="T733" s="152">
        <f>IFERROR(ABS('01_설정'!B4-F733),"")</f>
        <v/>
      </c>
      <c r="U733" s="152">
        <f>IFERROR(ABS(K733-YEAR('02_대상물건입력'!B14)),"")</f>
        <v/>
      </c>
      <c r="V733" s="152">
        <f>IF(B733="","",IF(AND(E733&gt;0,F733&gt;0,H733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733=1,TRUE()),R733&lt;='01_설정'!B5,S733&lt;='01_설정'!B6,T733&lt;='01_설정'!B7,U733&lt;='01_설정'!B8),"Y",""))</f>
        <v/>
      </c>
      <c r="W733" s="172">
        <f>IF(V733&lt;&gt;"Y","",MAX(0,(1-R733/'01_설정'!B5))*'01_설정'!B14+MAX(0,(1-S733/'01_설정'!B6))*'01_설정'!B15+MAX(0,(1-T733/'01_설정'!B7))*'01_설정'!B16+MAX(0,(1-U733/'01_설정'!B8))*'01_설정'!B17+O733*'01_설정'!B11+Q733*'01_설정'!B12+P733*'01_설정'!B13+IF(Z733="",0,Z733))</f>
        <v/>
      </c>
      <c r="X733" s="152">
        <f>IF(W733="","",1+COUNTIFS($W$4:$W$3003,"&gt;"&amp;W733)+COUNTIFS($W$4:W733,W733)-1)</f>
        <v/>
      </c>
      <c r="Y733" s="175">
        <f>IF(OR(I733="",'02_대상물건입력'!B19="",'02_대상물건입력'!B19&lt;=0),"",ABS(I733-'02_대상물건입력'!B19)/'02_대상물건입력'!B19)</f>
        <v/>
      </c>
      <c r="Z733" s="172">
        <f>IF(OR(Y733="",'01_설정'!B31="",'01_설정'!B31&lt;=0,'01_설정'!B32="",'01_설정'!B32&lt;=0),"",MAX(0,(1-Y733/'01_설정'!B32))*'01_설정'!B31)</f>
        <v/>
      </c>
    </row>
    <row r="734" ht="17.25" customHeight="1">
      <c r="A734" s="152">
        <f>IF(INDEX('04A_국토부원자료'!$A:$A,ROW()+1)="","",ROW()-3)</f>
        <v/>
      </c>
      <c r="B734" s="48">
        <f>IFERROR(INDEX('04A_국토부원자료'!$A:$T,ROW()+1,MATCH("시군구",'04A_국토부원자료'!$A$4:$T$4,0)),"")</f>
        <v/>
      </c>
      <c r="C734" s="48">
        <f>IF(B734="","",IFERROR(INDEX('04A_국토부원자료'!$A:$T,ROW()+1,MATCH("번지",'04A_국토부원자료'!$A$4:$T$4,0)),""))</f>
        <v/>
      </c>
      <c r="D734" s="48">
        <f>IF(B734="","",IF(Q734=1,'02_대상물건입력'!$B$8,IFERROR(INDEX('04A_국토부원자료'!$A:$T,ROW()+1,MATCH("단지명",'04A_국토부원자료'!$A$4:$T$4,0)),"")))</f>
        <v/>
      </c>
      <c r="E734" s="172">
        <f>IFERROR(VALUE(SUBSTITUTE(INDEX('04A_국토부원자료'!$A:$T,ROW()+1,MATCH("전용면적(㎡)",'04A_국토부원자료'!$A$4:$T$4,0)),",","")),"")</f>
        <v/>
      </c>
      <c r="F7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34" s="51">
        <f>IFERROR(VALUE(SUBSTITUTE(INDEX('04A_국토부원자료'!$A:$T,ROW()+1,MATCH("거래금액(만원)",'04A_국토부원자료'!$A$4:$T$4,0)),",","")),"")</f>
        <v/>
      </c>
      <c r="H734" s="174">
        <f>IF(G734="","",G734*10000)</f>
        <v/>
      </c>
      <c r="I734" s="174">
        <f>IFERROR(IF(AND(H734&gt;0,E734&gt;0),H734/E734,""),"")</f>
        <v/>
      </c>
      <c r="J734" s="152">
        <f>IFERROR(VALUE(SUBSTITUTE(INDEX('04A_국토부원자료'!$A:$T,ROW()+1,MATCH("층",'04A_국토부원자료'!$A$4:$T$4,0)),",","")),"")</f>
        <v/>
      </c>
      <c r="K734" s="152">
        <f>IFERROR(VALUE(SUBSTITUTE(INDEX('04A_국토부원자료'!$A:$T,ROW()+1,MATCH("건축년도",'04A_국토부원자료'!$A$4:$T$4,0)),",","")),"")</f>
        <v/>
      </c>
      <c r="L734" s="176">
        <f>IFERROR(INDEX('04A_국토부원자료'!$A:$T,ROW()+1,MATCH("도로명",'04A_국토부원자료'!$A$4:$T$4,0)),"")</f>
        <v/>
      </c>
      <c r="M734" s="48">
        <f>IFERROR(INDEX('04A_국토부원자료'!$A:$T,ROW()+1,MATCH("거래유형",'04A_국토부원자료'!$A$4:$T$4,0)),"")</f>
        <v/>
      </c>
      <c r="N734" s="152">
        <f>IF(B734="","",IF('02_대상물건입력'!B5="",1,IF(ISNUMBER(SEARCH('02_대상물건입력'!B5,B734)),1,0)))</f>
        <v/>
      </c>
      <c r="O734" s="152">
        <f>IF(B734="","",IF('02_대상물건입력'!B6="",1,IF(ISNUMBER(SEARCH('02_대상물건입력'!B6,B734)),1,0)))</f>
        <v/>
      </c>
      <c r="P734" s="152">
        <f>IF(L734="","",IF('02_대상물건입력'!B15="",0,IF(ISNUMBER(SEARCH('02_대상물건입력'!B15,L734)),1,0)))</f>
        <v/>
      </c>
      <c r="Q734" s="152">
        <f>IF(OR(C734="",L734=""),0,IF(AND(TRIM(C734)=TRIM(RIGHT(SUBSTITUTE(TRIM('02_대상물건입력'!$B$7)," ",REPT(" ",99)),99)),IF('02_대상물건입력'!B15="",TRUE(),ISNUMBER(SEARCH('02_대상물건입력'!B15,L734)))),1,0))</f>
        <v/>
      </c>
      <c r="R734" s="175">
        <f>IFERROR(ABS(E734-'02_대상물건입력'!B11)/'02_대상물건입력'!B11,"")</f>
        <v/>
      </c>
      <c r="S734" s="152">
        <f>IFERROR(ABS(J734-'02_대상물건입력'!B10),"")</f>
        <v/>
      </c>
      <c r="T734" s="152">
        <f>IFERROR(ABS('01_설정'!B4-F734),"")</f>
        <v/>
      </c>
      <c r="U734" s="152">
        <f>IFERROR(ABS(K734-YEAR('02_대상물건입력'!B14)),"")</f>
        <v/>
      </c>
      <c r="V734" s="152">
        <f>IF(B734="","",IF(AND(E734&gt;0,F734&gt;0,H734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734=1,TRUE()),R734&lt;='01_설정'!B5,S734&lt;='01_설정'!B6,T734&lt;='01_설정'!B7,U734&lt;='01_설정'!B8),"Y",""))</f>
        <v/>
      </c>
      <c r="W734" s="172">
        <f>IF(V734&lt;&gt;"Y","",MAX(0,(1-R734/'01_설정'!B5))*'01_설정'!B14+MAX(0,(1-S734/'01_설정'!B6))*'01_설정'!B15+MAX(0,(1-T734/'01_설정'!B7))*'01_설정'!B16+MAX(0,(1-U734/'01_설정'!B8))*'01_설정'!B17+O734*'01_설정'!B11+Q734*'01_설정'!B12+P734*'01_설정'!B13+IF(Z734="",0,Z734))</f>
        <v/>
      </c>
      <c r="X734" s="152">
        <f>IF(W734="","",1+COUNTIFS($W$4:$W$3003,"&gt;"&amp;W734)+COUNTIFS($W$4:W734,W734)-1)</f>
        <v/>
      </c>
      <c r="Y734" s="175">
        <f>IF(OR(I734="",'02_대상물건입력'!B19="",'02_대상물건입력'!B19&lt;=0),"",ABS(I734-'02_대상물건입력'!B19)/'02_대상물건입력'!B19)</f>
        <v/>
      </c>
      <c r="Z734" s="172">
        <f>IF(OR(Y734="",'01_설정'!B31="",'01_설정'!B31&lt;=0,'01_설정'!B32="",'01_설정'!B32&lt;=0),"",MAX(0,(1-Y734/'01_설정'!B32))*'01_설정'!B31)</f>
        <v/>
      </c>
    </row>
    <row r="735" ht="17.25" customHeight="1">
      <c r="A735" s="152">
        <f>IF(INDEX('04A_국토부원자료'!$A:$A,ROW()+1)="","",ROW()-3)</f>
        <v/>
      </c>
      <c r="B735" s="48">
        <f>IFERROR(INDEX('04A_국토부원자료'!$A:$T,ROW()+1,MATCH("시군구",'04A_국토부원자료'!$A$4:$T$4,0)),"")</f>
        <v/>
      </c>
      <c r="C735" s="48">
        <f>IF(B735="","",IFERROR(INDEX('04A_국토부원자료'!$A:$T,ROW()+1,MATCH("번지",'04A_국토부원자료'!$A$4:$T$4,0)),""))</f>
        <v/>
      </c>
      <c r="D735" s="48">
        <f>IF(B735="","",IF(Q735=1,'02_대상물건입력'!$B$8,IFERROR(INDEX('04A_국토부원자료'!$A:$T,ROW()+1,MATCH("단지명",'04A_국토부원자료'!$A$4:$T$4,0)),"")))</f>
        <v/>
      </c>
      <c r="E735" s="172">
        <f>IFERROR(VALUE(SUBSTITUTE(INDEX('04A_국토부원자료'!$A:$T,ROW()+1,MATCH("전용면적(㎡)",'04A_국토부원자료'!$A$4:$T$4,0)),",","")),"")</f>
        <v/>
      </c>
      <c r="F7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35" s="51">
        <f>IFERROR(VALUE(SUBSTITUTE(INDEX('04A_국토부원자료'!$A:$T,ROW()+1,MATCH("거래금액(만원)",'04A_국토부원자료'!$A$4:$T$4,0)),",","")),"")</f>
        <v/>
      </c>
      <c r="H735" s="174">
        <f>IF(G735="","",G735*10000)</f>
        <v/>
      </c>
      <c r="I735" s="174">
        <f>IFERROR(IF(AND(H735&gt;0,E735&gt;0),H735/E735,""),"")</f>
        <v/>
      </c>
      <c r="J735" s="152">
        <f>IFERROR(VALUE(SUBSTITUTE(INDEX('04A_국토부원자료'!$A:$T,ROW()+1,MATCH("층",'04A_국토부원자료'!$A$4:$T$4,0)),",","")),"")</f>
        <v/>
      </c>
      <c r="K735" s="152">
        <f>IFERROR(VALUE(SUBSTITUTE(INDEX('04A_국토부원자료'!$A:$T,ROW()+1,MATCH("건축년도",'04A_국토부원자료'!$A$4:$T$4,0)),",","")),"")</f>
        <v/>
      </c>
      <c r="L735" s="176">
        <f>IFERROR(INDEX('04A_국토부원자료'!$A:$T,ROW()+1,MATCH("도로명",'04A_국토부원자료'!$A$4:$T$4,0)),"")</f>
        <v/>
      </c>
      <c r="M735" s="48">
        <f>IFERROR(INDEX('04A_국토부원자료'!$A:$T,ROW()+1,MATCH("거래유형",'04A_국토부원자료'!$A$4:$T$4,0)),"")</f>
        <v/>
      </c>
      <c r="N735" s="152">
        <f>IF(B735="","",IF('02_대상물건입력'!B5="",1,IF(ISNUMBER(SEARCH('02_대상물건입력'!B5,B735)),1,0)))</f>
        <v/>
      </c>
      <c r="O735" s="152">
        <f>IF(B735="","",IF('02_대상물건입력'!B6="",1,IF(ISNUMBER(SEARCH('02_대상물건입력'!B6,B735)),1,0)))</f>
        <v/>
      </c>
      <c r="P735" s="152">
        <f>IF(L735="","",IF('02_대상물건입력'!B15="",0,IF(ISNUMBER(SEARCH('02_대상물건입력'!B15,L735)),1,0)))</f>
        <v/>
      </c>
      <c r="Q735" s="152">
        <f>IF(OR(C735="",L735=""),0,IF(AND(TRIM(C735)=TRIM(RIGHT(SUBSTITUTE(TRIM('02_대상물건입력'!$B$7)," ",REPT(" ",99)),99)),IF('02_대상물건입력'!B15="",TRUE(),ISNUMBER(SEARCH('02_대상물건입력'!B15,L735)))),1,0))</f>
        <v/>
      </c>
      <c r="R735" s="175">
        <f>IFERROR(ABS(E735-'02_대상물건입력'!B11)/'02_대상물건입력'!B11,"")</f>
        <v/>
      </c>
      <c r="S735" s="152">
        <f>IFERROR(ABS(J735-'02_대상물건입력'!B10),"")</f>
        <v/>
      </c>
      <c r="T735" s="152">
        <f>IFERROR(ABS('01_설정'!B4-F735),"")</f>
        <v/>
      </c>
      <c r="U735" s="152">
        <f>IFERROR(ABS(K735-YEAR('02_대상물건입력'!B14)),"")</f>
        <v/>
      </c>
      <c r="V735" s="152">
        <f>IF(B735="","",IF(AND(E735&gt;0,F735&gt;0,H735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735=1,TRUE()),R735&lt;='01_설정'!B5,S735&lt;='01_설정'!B6,T735&lt;='01_설정'!B7,U735&lt;='01_설정'!B8),"Y",""))</f>
        <v/>
      </c>
      <c r="W735" s="172">
        <f>IF(V735&lt;&gt;"Y","",MAX(0,(1-R735/'01_설정'!B5))*'01_설정'!B14+MAX(0,(1-S735/'01_설정'!B6))*'01_설정'!B15+MAX(0,(1-T735/'01_설정'!B7))*'01_설정'!B16+MAX(0,(1-U735/'01_설정'!B8))*'01_설정'!B17+O735*'01_설정'!B11+Q735*'01_설정'!B12+P735*'01_설정'!B13+IF(Z735="",0,Z735))</f>
        <v/>
      </c>
      <c r="X735" s="152">
        <f>IF(W735="","",1+COUNTIFS($W$4:$W$3003,"&gt;"&amp;W735)+COUNTIFS($W$4:W735,W735)-1)</f>
        <v/>
      </c>
      <c r="Y735" s="175">
        <f>IF(OR(I735="",'02_대상물건입력'!B19="",'02_대상물건입력'!B19&lt;=0),"",ABS(I735-'02_대상물건입력'!B19)/'02_대상물건입력'!B19)</f>
        <v/>
      </c>
      <c r="Z735" s="172">
        <f>IF(OR(Y735="",'01_설정'!B31="",'01_설정'!B31&lt;=0,'01_설정'!B32="",'01_설정'!B32&lt;=0),"",MAX(0,(1-Y735/'01_설정'!B32))*'01_설정'!B31)</f>
        <v/>
      </c>
    </row>
    <row r="736" ht="17.25" customHeight="1">
      <c r="A736" s="152">
        <f>IF(INDEX('04A_국토부원자료'!$A:$A,ROW()+1)="","",ROW()-3)</f>
        <v/>
      </c>
      <c r="B736" s="48">
        <f>IFERROR(INDEX('04A_국토부원자료'!$A:$T,ROW()+1,MATCH("시군구",'04A_국토부원자료'!$A$4:$T$4,0)),"")</f>
        <v/>
      </c>
      <c r="C736" s="48">
        <f>IF(B736="","",IFERROR(INDEX('04A_국토부원자료'!$A:$T,ROW()+1,MATCH("번지",'04A_국토부원자료'!$A$4:$T$4,0)),""))</f>
        <v/>
      </c>
      <c r="D736" s="48">
        <f>IF(B736="","",IF(Q736=1,'02_대상물건입력'!$B$8,IFERROR(INDEX('04A_국토부원자료'!$A:$T,ROW()+1,MATCH("단지명",'04A_국토부원자료'!$A$4:$T$4,0)),"")))</f>
        <v/>
      </c>
      <c r="E736" s="172">
        <f>IFERROR(VALUE(SUBSTITUTE(INDEX('04A_국토부원자료'!$A:$T,ROW()+1,MATCH("전용면적(㎡)",'04A_국토부원자료'!$A$4:$T$4,0)),",","")),"")</f>
        <v/>
      </c>
      <c r="F7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36" s="51">
        <f>IFERROR(VALUE(SUBSTITUTE(INDEX('04A_국토부원자료'!$A:$T,ROW()+1,MATCH("거래금액(만원)",'04A_국토부원자료'!$A$4:$T$4,0)),",","")),"")</f>
        <v/>
      </c>
      <c r="H736" s="174">
        <f>IF(G736="","",G736*10000)</f>
        <v/>
      </c>
      <c r="I736" s="174">
        <f>IFERROR(IF(AND(H736&gt;0,E736&gt;0),H736/E736,""),"")</f>
        <v/>
      </c>
      <c r="J736" s="152">
        <f>IFERROR(VALUE(SUBSTITUTE(INDEX('04A_국토부원자료'!$A:$T,ROW()+1,MATCH("층",'04A_국토부원자료'!$A$4:$T$4,0)),",","")),"")</f>
        <v/>
      </c>
      <c r="K736" s="152">
        <f>IFERROR(VALUE(SUBSTITUTE(INDEX('04A_국토부원자료'!$A:$T,ROW()+1,MATCH("건축년도",'04A_국토부원자료'!$A$4:$T$4,0)),",","")),"")</f>
        <v/>
      </c>
      <c r="L736" s="176">
        <f>IFERROR(INDEX('04A_국토부원자료'!$A:$T,ROW()+1,MATCH("도로명",'04A_국토부원자료'!$A$4:$T$4,0)),"")</f>
        <v/>
      </c>
      <c r="M736" s="48">
        <f>IFERROR(INDEX('04A_국토부원자료'!$A:$T,ROW()+1,MATCH("거래유형",'04A_국토부원자료'!$A$4:$T$4,0)),"")</f>
        <v/>
      </c>
      <c r="N736" s="152">
        <f>IF(B736="","",IF('02_대상물건입력'!B5="",1,IF(ISNUMBER(SEARCH('02_대상물건입력'!B5,B736)),1,0)))</f>
        <v/>
      </c>
      <c r="O736" s="152">
        <f>IF(B736="","",IF('02_대상물건입력'!B6="",1,IF(ISNUMBER(SEARCH('02_대상물건입력'!B6,B736)),1,0)))</f>
        <v/>
      </c>
      <c r="P736" s="152">
        <f>IF(L736="","",IF('02_대상물건입력'!B15="",0,IF(ISNUMBER(SEARCH('02_대상물건입력'!B15,L736)),1,0)))</f>
        <v/>
      </c>
      <c r="Q736" s="152">
        <f>IF(OR(C736="",L736=""),0,IF(AND(TRIM(C736)=TRIM(RIGHT(SUBSTITUTE(TRIM('02_대상물건입력'!$B$7)," ",REPT(" ",99)),99)),IF('02_대상물건입력'!B15="",TRUE(),ISNUMBER(SEARCH('02_대상물건입력'!B15,L736)))),1,0))</f>
        <v/>
      </c>
      <c r="R736" s="175">
        <f>IFERROR(ABS(E736-'02_대상물건입력'!B11)/'02_대상물건입력'!B11,"")</f>
        <v/>
      </c>
      <c r="S736" s="152">
        <f>IFERROR(ABS(J736-'02_대상물건입력'!B10),"")</f>
        <v/>
      </c>
      <c r="T736" s="152">
        <f>IFERROR(ABS('01_설정'!B4-F736),"")</f>
        <v/>
      </c>
      <c r="U736" s="152">
        <f>IFERROR(ABS(K736-YEAR('02_대상물건입력'!B14)),"")</f>
        <v/>
      </c>
      <c r="V736" s="152">
        <f>IF(B736="","",IF(AND(E736&gt;0,F736&gt;0,H736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736=1,TRUE()),R736&lt;='01_설정'!B5,S736&lt;='01_설정'!B6,T736&lt;='01_설정'!B7,U736&lt;='01_설정'!B8),"Y",""))</f>
        <v/>
      </c>
      <c r="W736" s="172">
        <f>IF(V736&lt;&gt;"Y","",MAX(0,(1-R736/'01_설정'!B5))*'01_설정'!B14+MAX(0,(1-S736/'01_설정'!B6))*'01_설정'!B15+MAX(0,(1-T736/'01_설정'!B7))*'01_설정'!B16+MAX(0,(1-U736/'01_설정'!B8))*'01_설정'!B17+O736*'01_설정'!B11+Q736*'01_설정'!B12+P736*'01_설정'!B13+IF(Z736="",0,Z736))</f>
        <v/>
      </c>
      <c r="X736" s="152">
        <f>IF(W736="","",1+COUNTIFS($W$4:$W$3003,"&gt;"&amp;W736)+COUNTIFS($W$4:W736,W736)-1)</f>
        <v/>
      </c>
      <c r="Y736" s="175">
        <f>IF(OR(I736="",'02_대상물건입력'!B19="",'02_대상물건입력'!B19&lt;=0),"",ABS(I736-'02_대상물건입력'!B19)/'02_대상물건입력'!B19)</f>
        <v/>
      </c>
      <c r="Z736" s="172">
        <f>IF(OR(Y736="",'01_설정'!B31="",'01_설정'!B31&lt;=0,'01_설정'!B32="",'01_설정'!B32&lt;=0),"",MAX(0,(1-Y736/'01_설정'!B32))*'01_설정'!B31)</f>
        <v/>
      </c>
    </row>
    <row r="737" ht="17.25" customHeight="1">
      <c r="A737" s="152">
        <f>IF(INDEX('04A_국토부원자료'!$A:$A,ROW()+1)="","",ROW()-3)</f>
        <v/>
      </c>
      <c r="B737" s="48">
        <f>IFERROR(INDEX('04A_국토부원자료'!$A:$T,ROW()+1,MATCH("시군구",'04A_국토부원자료'!$A$4:$T$4,0)),"")</f>
        <v/>
      </c>
      <c r="C737" s="48">
        <f>IF(B737="","",IFERROR(INDEX('04A_국토부원자료'!$A:$T,ROW()+1,MATCH("번지",'04A_국토부원자료'!$A$4:$T$4,0)),""))</f>
        <v/>
      </c>
      <c r="D737" s="48">
        <f>IF(B737="","",IF(Q737=1,'02_대상물건입력'!$B$8,IFERROR(INDEX('04A_국토부원자료'!$A:$T,ROW()+1,MATCH("단지명",'04A_국토부원자료'!$A$4:$T$4,0)),"")))</f>
        <v/>
      </c>
      <c r="E737" s="172">
        <f>IFERROR(VALUE(SUBSTITUTE(INDEX('04A_국토부원자료'!$A:$T,ROW()+1,MATCH("전용면적(㎡)",'04A_국토부원자료'!$A$4:$T$4,0)),",","")),"")</f>
        <v/>
      </c>
      <c r="F7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37" s="51">
        <f>IFERROR(VALUE(SUBSTITUTE(INDEX('04A_국토부원자료'!$A:$T,ROW()+1,MATCH("거래금액(만원)",'04A_국토부원자료'!$A$4:$T$4,0)),",","")),"")</f>
        <v/>
      </c>
      <c r="H737" s="174">
        <f>IF(G737="","",G737*10000)</f>
        <v/>
      </c>
      <c r="I737" s="174">
        <f>IFERROR(IF(AND(H737&gt;0,E737&gt;0),H737/E737,""),"")</f>
        <v/>
      </c>
      <c r="J737" s="152">
        <f>IFERROR(VALUE(SUBSTITUTE(INDEX('04A_국토부원자료'!$A:$T,ROW()+1,MATCH("층",'04A_국토부원자료'!$A$4:$T$4,0)),",","")),"")</f>
        <v/>
      </c>
      <c r="K737" s="152">
        <f>IFERROR(VALUE(SUBSTITUTE(INDEX('04A_국토부원자료'!$A:$T,ROW()+1,MATCH("건축년도",'04A_국토부원자료'!$A$4:$T$4,0)),",","")),"")</f>
        <v/>
      </c>
      <c r="L737" s="176">
        <f>IFERROR(INDEX('04A_국토부원자료'!$A:$T,ROW()+1,MATCH("도로명",'04A_국토부원자료'!$A$4:$T$4,0)),"")</f>
        <v/>
      </c>
      <c r="M737" s="48">
        <f>IFERROR(INDEX('04A_국토부원자료'!$A:$T,ROW()+1,MATCH("거래유형",'04A_국토부원자료'!$A$4:$T$4,0)),"")</f>
        <v/>
      </c>
      <c r="N737" s="152">
        <f>IF(B737="","",IF('02_대상물건입력'!B5="",1,IF(ISNUMBER(SEARCH('02_대상물건입력'!B5,B737)),1,0)))</f>
        <v/>
      </c>
      <c r="O737" s="152">
        <f>IF(B737="","",IF('02_대상물건입력'!B6="",1,IF(ISNUMBER(SEARCH('02_대상물건입력'!B6,B737)),1,0)))</f>
        <v/>
      </c>
      <c r="P737" s="152">
        <f>IF(L737="","",IF('02_대상물건입력'!B15="",0,IF(ISNUMBER(SEARCH('02_대상물건입력'!B15,L737)),1,0)))</f>
        <v/>
      </c>
      <c r="Q737" s="152">
        <f>IF(OR(C737="",L737=""),0,IF(AND(TRIM(C737)=TRIM(RIGHT(SUBSTITUTE(TRIM('02_대상물건입력'!$B$7)," ",REPT(" ",99)),99)),IF('02_대상물건입력'!B15="",TRUE(),ISNUMBER(SEARCH('02_대상물건입력'!B15,L737)))),1,0))</f>
        <v/>
      </c>
      <c r="R737" s="175">
        <f>IFERROR(ABS(E737-'02_대상물건입력'!B11)/'02_대상물건입력'!B11,"")</f>
        <v/>
      </c>
      <c r="S737" s="152">
        <f>IFERROR(ABS(J737-'02_대상물건입력'!B10),"")</f>
        <v/>
      </c>
      <c r="T737" s="152">
        <f>IFERROR(ABS('01_설정'!B4-F737),"")</f>
        <v/>
      </c>
      <c r="U737" s="152">
        <f>IFERROR(ABS(K737-YEAR('02_대상물건입력'!B14)),"")</f>
        <v/>
      </c>
      <c r="V737" s="152">
        <f>IF(B737="","",IF(AND(E737&gt;0,F737&gt;0,H737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737=1,TRUE()),R737&lt;='01_설정'!B5,S737&lt;='01_설정'!B6,T737&lt;='01_설정'!B7,U737&lt;='01_설정'!B8),"Y",""))</f>
        <v/>
      </c>
      <c r="W737" s="172">
        <f>IF(V737&lt;&gt;"Y","",MAX(0,(1-R737/'01_설정'!B5))*'01_설정'!B14+MAX(0,(1-S737/'01_설정'!B6))*'01_설정'!B15+MAX(0,(1-T737/'01_설정'!B7))*'01_설정'!B16+MAX(0,(1-U737/'01_설정'!B8))*'01_설정'!B17+O737*'01_설정'!B11+Q737*'01_설정'!B12+P737*'01_설정'!B13+IF(Z737="",0,Z737))</f>
        <v/>
      </c>
      <c r="X737" s="152">
        <f>IF(W737="","",1+COUNTIFS($W$4:$W$3003,"&gt;"&amp;W737)+COUNTIFS($W$4:W737,W737)-1)</f>
        <v/>
      </c>
      <c r="Y737" s="175">
        <f>IF(OR(I737="",'02_대상물건입력'!B19="",'02_대상물건입력'!B19&lt;=0),"",ABS(I737-'02_대상물건입력'!B19)/'02_대상물건입력'!B19)</f>
        <v/>
      </c>
      <c r="Z737" s="172">
        <f>IF(OR(Y737="",'01_설정'!B31="",'01_설정'!B31&lt;=0,'01_설정'!B32="",'01_설정'!B32&lt;=0),"",MAX(0,(1-Y737/'01_설정'!B32))*'01_설정'!B31)</f>
        <v/>
      </c>
    </row>
    <row r="738" ht="17.25" customHeight="1">
      <c r="A738" s="152">
        <f>IF(INDEX('04A_국토부원자료'!$A:$A,ROW()+1)="","",ROW()-3)</f>
        <v/>
      </c>
      <c r="B738" s="48">
        <f>IFERROR(INDEX('04A_국토부원자료'!$A:$T,ROW()+1,MATCH("시군구",'04A_국토부원자료'!$A$4:$T$4,0)),"")</f>
        <v/>
      </c>
      <c r="C738" s="48">
        <f>IF(B738="","",IFERROR(INDEX('04A_국토부원자료'!$A:$T,ROW()+1,MATCH("번지",'04A_국토부원자료'!$A$4:$T$4,0)),""))</f>
        <v/>
      </c>
      <c r="D738" s="48">
        <f>IF(B738="","",IF(Q738=1,'02_대상물건입력'!$B$8,IFERROR(INDEX('04A_국토부원자료'!$A:$T,ROW()+1,MATCH("단지명",'04A_국토부원자료'!$A$4:$T$4,0)),"")))</f>
        <v/>
      </c>
      <c r="E738" s="172">
        <f>IFERROR(VALUE(SUBSTITUTE(INDEX('04A_국토부원자료'!$A:$T,ROW()+1,MATCH("전용면적(㎡)",'04A_국토부원자료'!$A$4:$T$4,0)),",","")),"")</f>
        <v/>
      </c>
      <c r="F7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38" s="51">
        <f>IFERROR(VALUE(SUBSTITUTE(INDEX('04A_국토부원자료'!$A:$T,ROW()+1,MATCH("거래금액(만원)",'04A_국토부원자료'!$A$4:$T$4,0)),",","")),"")</f>
        <v/>
      </c>
      <c r="H738" s="174">
        <f>IF(G738="","",G738*10000)</f>
        <v/>
      </c>
      <c r="I738" s="174">
        <f>IFERROR(IF(AND(H738&gt;0,E738&gt;0),H738/E738,""),"")</f>
        <v/>
      </c>
      <c r="J738" s="152">
        <f>IFERROR(VALUE(SUBSTITUTE(INDEX('04A_국토부원자료'!$A:$T,ROW()+1,MATCH("층",'04A_국토부원자료'!$A$4:$T$4,0)),",","")),"")</f>
        <v/>
      </c>
      <c r="K738" s="152">
        <f>IFERROR(VALUE(SUBSTITUTE(INDEX('04A_국토부원자료'!$A:$T,ROW()+1,MATCH("건축년도",'04A_국토부원자료'!$A$4:$T$4,0)),",","")),"")</f>
        <v/>
      </c>
      <c r="L738" s="176">
        <f>IFERROR(INDEX('04A_국토부원자료'!$A:$T,ROW()+1,MATCH("도로명",'04A_국토부원자료'!$A$4:$T$4,0)),"")</f>
        <v/>
      </c>
      <c r="M738" s="48">
        <f>IFERROR(INDEX('04A_국토부원자료'!$A:$T,ROW()+1,MATCH("거래유형",'04A_국토부원자료'!$A$4:$T$4,0)),"")</f>
        <v/>
      </c>
      <c r="N738" s="152">
        <f>IF(B738="","",IF('02_대상물건입력'!B5="",1,IF(ISNUMBER(SEARCH('02_대상물건입력'!B5,B738)),1,0)))</f>
        <v/>
      </c>
      <c r="O738" s="152">
        <f>IF(B738="","",IF('02_대상물건입력'!B6="",1,IF(ISNUMBER(SEARCH('02_대상물건입력'!B6,B738)),1,0)))</f>
        <v/>
      </c>
      <c r="P738" s="152">
        <f>IF(L738="","",IF('02_대상물건입력'!B15="",0,IF(ISNUMBER(SEARCH('02_대상물건입력'!B15,L738)),1,0)))</f>
        <v/>
      </c>
      <c r="Q738" s="152">
        <f>IF(OR(C738="",L738=""),0,IF(AND(TRIM(C738)=TRIM(RIGHT(SUBSTITUTE(TRIM('02_대상물건입력'!$B$7)," ",REPT(" ",99)),99)),IF('02_대상물건입력'!B15="",TRUE(),ISNUMBER(SEARCH('02_대상물건입력'!B15,L738)))),1,0))</f>
        <v/>
      </c>
      <c r="R738" s="175">
        <f>IFERROR(ABS(E738-'02_대상물건입력'!B11)/'02_대상물건입력'!B11,"")</f>
        <v/>
      </c>
      <c r="S738" s="152">
        <f>IFERROR(ABS(J738-'02_대상물건입력'!B10),"")</f>
        <v/>
      </c>
      <c r="T738" s="152">
        <f>IFERROR(ABS('01_설정'!B4-F738),"")</f>
        <v/>
      </c>
      <c r="U738" s="152">
        <f>IFERROR(ABS(K738-YEAR('02_대상물건입력'!B14)),"")</f>
        <v/>
      </c>
      <c r="V738" s="152">
        <f>IF(B738="","",IF(AND(E738&gt;0,F738&gt;0,H738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738=1,TRUE()),R738&lt;='01_설정'!B5,S738&lt;='01_설정'!B6,T738&lt;='01_설정'!B7,U738&lt;='01_설정'!B8),"Y",""))</f>
        <v/>
      </c>
      <c r="W738" s="172">
        <f>IF(V738&lt;&gt;"Y","",MAX(0,(1-R738/'01_설정'!B5))*'01_설정'!B14+MAX(0,(1-S738/'01_설정'!B6))*'01_설정'!B15+MAX(0,(1-T738/'01_설정'!B7))*'01_설정'!B16+MAX(0,(1-U738/'01_설정'!B8))*'01_설정'!B17+O738*'01_설정'!B11+Q738*'01_설정'!B12+P738*'01_설정'!B13+IF(Z738="",0,Z738))</f>
        <v/>
      </c>
      <c r="X738" s="152">
        <f>IF(W738="","",1+COUNTIFS($W$4:$W$3003,"&gt;"&amp;W738)+COUNTIFS($W$4:W738,W738)-1)</f>
        <v/>
      </c>
      <c r="Y738" s="175">
        <f>IF(OR(I738="",'02_대상물건입력'!B19="",'02_대상물건입력'!B19&lt;=0),"",ABS(I738-'02_대상물건입력'!B19)/'02_대상물건입력'!B19)</f>
        <v/>
      </c>
      <c r="Z738" s="172">
        <f>IF(OR(Y738="",'01_설정'!B31="",'01_설정'!B31&lt;=0,'01_설정'!B32="",'01_설정'!B32&lt;=0),"",MAX(0,(1-Y738/'01_설정'!B32))*'01_설정'!B31)</f>
        <v/>
      </c>
    </row>
    <row r="739" ht="17.25" customHeight="1">
      <c r="A739" s="152">
        <f>IF(INDEX('04A_국토부원자료'!$A:$A,ROW()+1)="","",ROW()-3)</f>
        <v/>
      </c>
      <c r="B739" s="48">
        <f>IFERROR(INDEX('04A_국토부원자료'!$A:$T,ROW()+1,MATCH("시군구",'04A_국토부원자료'!$A$4:$T$4,0)),"")</f>
        <v/>
      </c>
      <c r="C739" s="48">
        <f>IF(B739="","",IFERROR(INDEX('04A_국토부원자료'!$A:$T,ROW()+1,MATCH("번지",'04A_국토부원자료'!$A$4:$T$4,0)),""))</f>
        <v/>
      </c>
      <c r="D739" s="48">
        <f>IF(B739="","",IF(Q739=1,'02_대상물건입력'!$B$8,IFERROR(INDEX('04A_국토부원자료'!$A:$T,ROW()+1,MATCH("단지명",'04A_국토부원자료'!$A$4:$T$4,0)),"")))</f>
        <v/>
      </c>
      <c r="E739" s="172">
        <f>IFERROR(VALUE(SUBSTITUTE(INDEX('04A_국토부원자료'!$A:$T,ROW()+1,MATCH("전용면적(㎡)",'04A_국토부원자료'!$A$4:$T$4,0)),",","")),"")</f>
        <v/>
      </c>
      <c r="F7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39" s="51">
        <f>IFERROR(VALUE(SUBSTITUTE(INDEX('04A_국토부원자료'!$A:$T,ROW()+1,MATCH("거래금액(만원)",'04A_국토부원자료'!$A$4:$T$4,0)),",","")),"")</f>
        <v/>
      </c>
      <c r="H739" s="174">
        <f>IF(G739="","",G739*10000)</f>
        <v/>
      </c>
      <c r="I739" s="174">
        <f>IFERROR(IF(AND(H739&gt;0,E739&gt;0),H739/E739,""),"")</f>
        <v/>
      </c>
      <c r="J739" s="152">
        <f>IFERROR(VALUE(SUBSTITUTE(INDEX('04A_국토부원자료'!$A:$T,ROW()+1,MATCH("층",'04A_국토부원자료'!$A$4:$T$4,0)),",","")),"")</f>
        <v/>
      </c>
      <c r="K739" s="152">
        <f>IFERROR(VALUE(SUBSTITUTE(INDEX('04A_국토부원자료'!$A:$T,ROW()+1,MATCH("건축년도",'04A_국토부원자료'!$A$4:$T$4,0)),",","")),"")</f>
        <v/>
      </c>
      <c r="L739" s="176">
        <f>IFERROR(INDEX('04A_국토부원자료'!$A:$T,ROW()+1,MATCH("도로명",'04A_국토부원자료'!$A$4:$T$4,0)),"")</f>
        <v/>
      </c>
      <c r="M739" s="48">
        <f>IFERROR(INDEX('04A_국토부원자료'!$A:$T,ROW()+1,MATCH("거래유형",'04A_국토부원자료'!$A$4:$T$4,0)),"")</f>
        <v/>
      </c>
      <c r="N739" s="152">
        <f>IF(B739="","",IF('02_대상물건입력'!B5="",1,IF(ISNUMBER(SEARCH('02_대상물건입력'!B5,B739)),1,0)))</f>
        <v/>
      </c>
      <c r="O739" s="152">
        <f>IF(B739="","",IF('02_대상물건입력'!B6="",1,IF(ISNUMBER(SEARCH('02_대상물건입력'!B6,B739)),1,0)))</f>
        <v/>
      </c>
      <c r="P739" s="152">
        <f>IF(L739="","",IF('02_대상물건입력'!B15="",0,IF(ISNUMBER(SEARCH('02_대상물건입력'!B15,L739)),1,0)))</f>
        <v/>
      </c>
      <c r="Q739" s="152">
        <f>IF(OR(C739="",L739=""),0,IF(AND(TRIM(C739)=TRIM(RIGHT(SUBSTITUTE(TRIM('02_대상물건입력'!$B$7)," ",REPT(" ",99)),99)),IF('02_대상물건입력'!B15="",TRUE(),ISNUMBER(SEARCH('02_대상물건입력'!B15,L739)))),1,0))</f>
        <v/>
      </c>
      <c r="R739" s="175">
        <f>IFERROR(ABS(E739-'02_대상물건입력'!B11)/'02_대상물건입력'!B11,"")</f>
        <v/>
      </c>
      <c r="S739" s="152">
        <f>IFERROR(ABS(J739-'02_대상물건입력'!B10),"")</f>
        <v/>
      </c>
      <c r="T739" s="152">
        <f>IFERROR(ABS('01_설정'!B4-F739),"")</f>
        <v/>
      </c>
      <c r="U739" s="152">
        <f>IFERROR(ABS(K739-YEAR('02_대상물건입력'!B14)),"")</f>
        <v/>
      </c>
      <c r="V739" s="152">
        <f>IF(B739="","",IF(AND(E739&gt;0,F739&gt;0,H739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739=1,TRUE()),R739&lt;='01_설정'!B5,S739&lt;='01_설정'!B6,T739&lt;='01_설정'!B7,U739&lt;='01_설정'!B8),"Y",""))</f>
        <v/>
      </c>
      <c r="W739" s="172">
        <f>IF(V739&lt;&gt;"Y","",MAX(0,(1-R739/'01_설정'!B5))*'01_설정'!B14+MAX(0,(1-S739/'01_설정'!B6))*'01_설정'!B15+MAX(0,(1-T739/'01_설정'!B7))*'01_설정'!B16+MAX(0,(1-U739/'01_설정'!B8))*'01_설정'!B17+O739*'01_설정'!B11+Q739*'01_설정'!B12+P739*'01_설정'!B13+IF(Z739="",0,Z739))</f>
        <v/>
      </c>
      <c r="X739" s="152">
        <f>IF(W739="","",1+COUNTIFS($W$4:$W$3003,"&gt;"&amp;W739)+COUNTIFS($W$4:W739,W739)-1)</f>
        <v/>
      </c>
      <c r="Y739" s="175">
        <f>IF(OR(I739="",'02_대상물건입력'!B19="",'02_대상물건입력'!B19&lt;=0),"",ABS(I739-'02_대상물건입력'!B19)/'02_대상물건입력'!B19)</f>
        <v/>
      </c>
      <c r="Z739" s="172">
        <f>IF(OR(Y739="",'01_설정'!B31="",'01_설정'!B31&lt;=0,'01_설정'!B32="",'01_설정'!B32&lt;=0),"",MAX(0,(1-Y739/'01_설정'!B32))*'01_설정'!B31)</f>
        <v/>
      </c>
    </row>
    <row r="740" ht="17.25" customHeight="1">
      <c r="A740" s="152">
        <f>IF(INDEX('04A_국토부원자료'!$A:$A,ROW()+1)="","",ROW()-3)</f>
        <v/>
      </c>
      <c r="B740" s="48">
        <f>IFERROR(INDEX('04A_국토부원자료'!$A:$T,ROW()+1,MATCH("시군구",'04A_국토부원자료'!$A$4:$T$4,0)),"")</f>
        <v/>
      </c>
      <c r="C740" s="48">
        <f>IF(B740="","",IFERROR(INDEX('04A_국토부원자료'!$A:$T,ROW()+1,MATCH("번지",'04A_국토부원자료'!$A$4:$T$4,0)),""))</f>
        <v/>
      </c>
      <c r="D740" s="48">
        <f>IF(B740="","",IF(Q740=1,'02_대상물건입력'!$B$8,IFERROR(INDEX('04A_국토부원자료'!$A:$T,ROW()+1,MATCH("단지명",'04A_국토부원자료'!$A$4:$T$4,0)),"")))</f>
        <v/>
      </c>
      <c r="E740" s="172">
        <f>IFERROR(VALUE(SUBSTITUTE(INDEX('04A_국토부원자료'!$A:$T,ROW()+1,MATCH("전용면적(㎡)",'04A_국토부원자료'!$A$4:$T$4,0)),",","")),"")</f>
        <v/>
      </c>
      <c r="F7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40" s="51">
        <f>IFERROR(VALUE(SUBSTITUTE(INDEX('04A_국토부원자료'!$A:$T,ROW()+1,MATCH("거래금액(만원)",'04A_국토부원자료'!$A$4:$T$4,0)),",","")),"")</f>
        <v/>
      </c>
      <c r="H740" s="174">
        <f>IF(G740="","",G740*10000)</f>
        <v/>
      </c>
      <c r="I740" s="174">
        <f>IFERROR(IF(AND(H740&gt;0,E740&gt;0),H740/E740,""),"")</f>
        <v/>
      </c>
      <c r="J740" s="152">
        <f>IFERROR(VALUE(SUBSTITUTE(INDEX('04A_국토부원자료'!$A:$T,ROW()+1,MATCH("층",'04A_국토부원자료'!$A$4:$T$4,0)),",","")),"")</f>
        <v/>
      </c>
      <c r="K740" s="152">
        <f>IFERROR(VALUE(SUBSTITUTE(INDEX('04A_국토부원자료'!$A:$T,ROW()+1,MATCH("건축년도",'04A_국토부원자료'!$A$4:$T$4,0)),",","")),"")</f>
        <v/>
      </c>
      <c r="L740" s="176">
        <f>IFERROR(INDEX('04A_국토부원자료'!$A:$T,ROW()+1,MATCH("도로명",'04A_국토부원자료'!$A$4:$T$4,0)),"")</f>
        <v/>
      </c>
      <c r="M740" s="48">
        <f>IFERROR(INDEX('04A_국토부원자료'!$A:$T,ROW()+1,MATCH("거래유형",'04A_국토부원자료'!$A$4:$T$4,0)),"")</f>
        <v/>
      </c>
      <c r="N740" s="152">
        <f>IF(B740="","",IF('02_대상물건입력'!B5="",1,IF(ISNUMBER(SEARCH('02_대상물건입력'!B5,B740)),1,0)))</f>
        <v/>
      </c>
      <c r="O740" s="152">
        <f>IF(B740="","",IF('02_대상물건입력'!B6="",1,IF(ISNUMBER(SEARCH('02_대상물건입력'!B6,B740)),1,0)))</f>
        <v/>
      </c>
      <c r="P740" s="152">
        <f>IF(L740="","",IF('02_대상물건입력'!B15="",0,IF(ISNUMBER(SEARCH('02_대상물건입력'!B15,L740)),1,0)))</f>
        <v/>
      </c>
      <c r="Q740" s="152">
        <f>IF(OR(C740="",L740=""),0,IF(AND(TRIM(C740)=TRIM(RIGHT(SUBSTITUTE(TRIM('02_대상물건입력'!$B$7)," ",REPT(" ",99)),99)),IF('02_대상물건입력'!B15="",TRUE(),ISNUMBER(SEARCH('02_대상물건입력'!B15,L740)))),1,0))</f>
        <v/>
      </c>
      <c r="R740" s="175">
        <f>IFERROR(ABS(E740-'02_대상물건입력'!B11)/'02_대상물건입력'!B11,"")</f>
        <v/>
      </c>
      <c r="S740" s="152">
        <f>IFERROR(ABS(J740-'02_대상물건입력'!B10),"")</f>
        <v/>
      </c>
      <c r="T740" s="152">
        <f>IFERROR(ABS('01_설정'!B4-F740),"")</f>
        <v/>
      </c>
      <c r="U740" s="152">
        <f>IFERROR(ABS(K740-YEAR('02_대상물건입력'!B14)),"")</f>
        <v/>
      </c>
      <c r="V740" s="152">
        <f>IF(B740="","",IF(AND(E740&gt;0,F740&gt;0,H740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740=1,TRUE()),R740&lt;='01_설정'!B5,S740&lt;='01_설정'!B6,T740&lt;='01_설정'!B7,U740&lt;='01_설정'!B8),"Y",""))</f>
        <v/>
      </c>
      <c r="W740" s="172">
        <f>IF(V740&lt;&gt;"Y","",MAX(0,(1-R740/'01_설정'!B5))*'01_설정'!B14+MAX(0,(1-S740/'01_설정'!B6))*'01_설정'!B15+MAX(0,(1-T740/'01_설정'!B7))*'01_설정'!B16+MAX(0,(1-U740/'01_설정'!B8))*'01_설정'!B17+O740*'01_설정'!B11+Q740*'01_설정'!B12+P740*'01_설정'!B13+IF(Z740="",0,Z740))</f>
        <v/>
      </c>
      <c r="X740" s="152">
        <f>IF(W740="","",1+COUNTIFS($W$4:$W$3003,"&gt;"&amp;W740)+COUNTIFS($W$4:W740,W740)-1)</f>
        <v/>
      </c>
      <c r="Y740" s="175">
        <f>IF(OR(I740="",'02_대상물건입력'!B19="",'02_대상물건입력'!B19&lt;=0),"",ABS(I740-'02_대상물건입력'!B19)/'02_대상물건입력'!B19)</f>
        <v/>
      </c>
      <c r="Z740" s="172">
        <f>IF(OR(Y740="",'01_설정'!B31="",'01_설정'!B31&lt;=0,'01_설정'!B32="",'01_설정'!B32&lt;=0),"",MAX(0,(1-Y740/'01_설정'!B32))*'01_설정'!B31)</f>
        <v/>
      </c>
    </row>
    <row r="741" ht="17.25" customHeight="1">
      <c r="A741" s="152">
        <f>IF(INDEX('04A_국토부원자료'!$A:$A,ROW()+1)="","",ROW()-3)</f>
        <v/>
      </c>
      <c r="B741" s="48">
        <f>IFERROR(INDEX('04A_국토부원자료'!$A:$T,ROW()+1,MATCH("시군구",'04A_국토부원자료'!$A$4:$T$4,0)),"")</f>
        <v/>
      </c>
      <c r="C741" s="48">
        <f>IF(B741="","",IFERROR(INDEX('04A_국토부원자료'!$A:$T,ROW()+1,MATCH("번지",'04A_국토부원자료'!$A$4:$T$4,0)),""))</f>
        <v/>
      </c>
      <c r="D741" s="48">
        <f>IF(B741="","",IF(Q741=1,'02_대상물건입력'!$B$8,IFERROR(INDEX('04A_국토부원자료'!$A:$T,ROW()+1,MATCH("단지명",'04A_국토부원자료'!$A$4:$T$4,0)),"")))</f>
        <v/>
      </c>
      <c r="E741" s="172">
        <f>IFERROR(VALUE(SUBSTITUTE(INDEX('04A_국토부원자료'!$A:$T,ROW()+1,MATCH("전용면적(㎡)",'04A_국토부원자료'!$A$4:$T$4,0)),",","")),"")</f>
        <v/>
      </c>
      <c r="F7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41" s="51">
        <f>IFERROR(VALUE(SUBSTITUTE(INDEX('04A_국토부원자료'!$A:$T,ROW()+1,MATCH("거래금액(만원)",'04A_국토부원자료'!$A$4:$T$4,0)),",","")),"")</f>
        <v/>
      </c>
      <c r="H741" s="174">
        <f>IF(G741="","",G741*10000)</f>
        <v/>
      </c>
      <c r="I741" s="174">
        <f>IFERROR(IF(AND(H741&gt;0,E741&gt;0),H741/E741,""),"")</f>
        <v/>
      </c>
      <c r="J741" s="152">
        <f>IFERROR(VALUE(SUBSTITUTE(INDEX('04A_국토부원자료'!$A:$T,ROW()+1,MATCH("층",'04A_국토부원자료'!$A$4:$T$4,0)),",","")),"")</f>
        <v/>
      </c>
      <c r="K741" s="152">
        <f>IFERROR(VALUE(SUBSTITUTE(INDEX('04A_국토부원자료'!$A:$T,ROW()+1,MATCH("건축년도",'04A_국토부원자료'!$A$4:$T$4,0)),",","")),"")</f>
        <v/>
      </c>
      <c r="L741" s="176">
        <f>IFERROR(INDEX('04A_국토부원자료'!$A:$T,ROW()+1,MATCH("도로명",'04A_국토부원자료'!$A$4:$T$4,0)),"")</f>
        <v/>
      </c>
      <c r="M741" s="48">
        <f>IFERROR(INDEX('04A_국토부원자료'!$A:$T,ROW()+1,MATCH("거래유형",'04A_국토부원자료'!$A$4:$T$4,0)),"")</f>
        <v/>
      </c>
      <c r="N741" s="152">
        <f>IF(B741="","",IF('02_대상물건입력'!B5="",1,IF(ISNUMBER(SEARCH('02_대상물건입력'!B5,B741)),1,0)))</f>
        <v/>
      </c>
      <c r="O741" s="152">
        <f>IF(B741="","",IF('02_대상물건입력'!B6="",1,IF(ISNUMBER(SEARCH('02_대상물건입력'!B6,B741)),1,0)))</f>
        <v/>
      </c>
      <c r="P741" s="152">
        <f>IF(L741="","",IF('02_대상물건입력'!B15="",0,IF(ISNUMBER(SEARCH('02_대상물건입력'!B15,L741)),1,0)))</f>
        <v/>
      </c>
      <c r="Q741" s="152">
        <f>IF(OR(C741="",L741=""),0,IF(AND(TRIM(C741)=TRIM(RIGHT(SUBSTITUTE(TRIM('02_대상물건입력'!$B$7)," ",REPT(" ",99)),99)),IF('02_대상물건입력'!B15="",TRUE(),ISNUMBER(SEARCH('02_대상물건입력'!B15,L741)))),1,0))</f>
        <v/>
      </c>
      <c r="R741" s="175">
        <f>IFERROR(ABS(E741-'02_대상물건입력'!B11)/'02_대상물건입력'!B11,"")</f>
        <v/>
      </c>
      <c r="S741" s="152">
        <f>IFERROR(ABS(J741-'02_대상물건입력'!B10),"")</f>
        <v/>
      </c>
      <c r="T741" s="152">
        <f>IFERROR(ABS('01_설정'!B4-F741),"")</f>
        <v/>
      </c>
      <c r="U741" s="152">
        <f>IFERROR(ABS(K741-YEAR('02_대상물건입력'!B14)),"")</f>
        <v/>
      </c>
      <c r="V741" s="152">
        <f>IF(B741="","",IF(AND(E741&gt;0,F741&gt;0,H741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741=1,TRUE()),R741&lt;='01_설정'!B5,S741&lt;='01_설정'!B6,T741&lt;='01_설정'!B7,U741&lt;='01_설정'!B8),"Y",""))</f>
        <v/>
      </c>
      <c r="W741" s="172">
        <f>IF(V741&lt;&gt;"Y","",MAX(0,(1-R741/'01_설정'!B5))*'01_설정'!B14+MAX(0,(1-S741/'01_설정'!B6))*'01_설정'!B15+MAX(0,(1-T741/'01_설정'!B7))*'01_설정'!B16+MAX(0,(1-U741/'01_설정'!B8))*'01_설정'!B17+O741*'01_설정'!B11+Q741*'01_설정'!B12+P741*'01_설정'!B13+IF(Z741="",0,Z741))</f>
        <v/>
      </c>
      <c r="X741" s="152">
        <f>IF(W741="","",1+COUNTIFS($W$4:$W$3003,"&gt;"&amp;W741)+COUNTIFS($W$4:W741,W741)-1)</f>
        <v/>
      </c>
      <c r="Y741" s="175">
        <f>IF(OR(I741="",'02_대상물건입력'!B19="",'02_대상물건입력'!B19&lt;=0),"",ABS(I741-'02_대상물건입력'!B19)/'02_대상물건입력'!B19)</f>
        <v/>
      </c>
      <c r="Z741" s="172">
        <f>IF(OR(Y741="",'01_설정'!B31="",'01_설정'!B31&lt;=0,'01_설정'!B32="",'01_설정'!B32&lt;=0),"",MAX(0,(1-Y741/'01_설정'!B32))*'01_설정'!B31)</f>
        <v/>
      </c>
    </row>
    <row r="742" ht="17.25" customHeight="1">
      <c r="A742" s="152">
        <f>IF(INDEX('04A_국토부원자료'!$A:$A,ROW()+1)="","",ROW()-3)</f>
        <v/>
      </c>
      <c r="B742" s="48">
        <f>IFERROR(INDEX('04A_국토부원자료'!$A:$T,ROW()+1,MATCH("시군구",'04A_국토부원자료'!$A$4:$T$4,0)),"")</f>
        <v/>
      </c>
      <c r="C742" s="48">
        <f>IF(B742="","",IFERROR(INDEX('04A_국토부원자료'!$A:$T,ROW()+1,MATCH("번지",'04A_국토부원자료'!$A$4:$T$4,0)),""))</f>
        <v/>
      </c>
      <c r="D742" s="48">
        <f>IF(B742="","",IF(Q742=1,'02_대상물건입력'!$B$8,IFERROR(INDEX('04A_국토부원자료'!$A:$T,ROW()+1,MATCH("단지명",'04A_국토부원자료'!$A$4:$T$4,0)),"")))</f>
        <v/>
      </c>
      <c r="E742" s="172">
        <f>IFERROR(VALUE(SUBSTITUTE(INDEX('04A_국토부원자료'!$A:$T,ROW()+1,MATCH("전용면적(㎡)",'04A_국토부원자료'!$A$4:$T$4,0)),",","")),"")</f>
        <v/>
      </c>
      <c r="F7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42" s="51">
        <f>IFERROR(VALUE(SUBSTITUTE(INDEX('04A_국토부원자료'!$A:$T,ROW()+1,MATCH("거래금액(만원)",'04A_국토부원자료'!$A$4:$T$4,0)),",","")),"")</f>
        <v/>
      </c>
      <c r="H742" s="174">
        <f>IF(G742="","",G742*10000)</f>
        <v/>
      </c>
      <c r="I742" s="174">
        <f>IFERROR(IF(AND(H742&gt;0,E742&gt;0),H742/E742,""),"")</f>
        <v/>
      </c>
      <c r="J742" s="152">
        <f>IFERROR(VALUE(SUBSTITUTE(INDEX('04A_국토부원자료'!$A:$T,ROW()+1,MATCH("층",'04A_국토부원자료'!$A$4:$T$4,0)),",","")),"")</f>
        <v/>
      </c>
      <c r="K742" s="152">
        <f>IFERROR(VALUE(SUBSTITUTE(INDEX('04A_국토부원자료'!$A:$T,ROW()+1,MATCH("건축년도",'04A_국토부원자료'!$A$4:$T$4,0)),",","")),"")</f>
        <v/>
      </c>
      <c r="L742" s="176">
        <f>IFERROR(INDEX('04A_국토부원자료'!$A:$T,ROW()+1,MATCH("도로명",'04A_국토부원자료'!$A$4:$T$4,0)),"")</f>
        <v/>
      </c>
      <c r="M742" s="48">
        <f>IFERROR(INDEX('04A_국토부원자료'!$A:$T,ROW()+1,MATCH("거래유형",'04A_국토부원자료'!$A$4:$T$4,0)),"")</f>
        <v/>
      </c>
      <c r="N742" s="152">
        <f>IF(B742="","",IF('02_대상물건입력'!B5="",1,IF(ISNUMBER(SEARCH('02_대상물건입력'!B5,B742)),1,0)))</f>
        <v/>
      </c>
      <c r="O742" s="152">
        <f>IF(B742="","",IF('02_대상물건입력'!B6="",1,IF(ISNUMBER(SEARCH('02_대상물건입력'!B6,B742)),1,0)))</f>
        <v/>
      </c>
      <c r="P742" s="152">
        <f>IF(L742="","",IF('02_대상물건입력'!B15="",0,IF(ISNUMBER(SEARCH('02_대상물건입력'!B15,L742)),1,0)))</f>
        <v/>
      </c>
      <c r="Q742" s="152">
        <f>IF(OR(C742="",L742=""),0,IF(AND(TRIM(C742)=TRIM(RIGHT(SUBSTITUTE(TRIM('02_대상물건입력'!$B$7)," ",REPT(" ",99)),99)),IF('02_대상물건입력'!B15="",TRUE(),ISNUMBER(SEARCH('02_대상물건입력'!B15,L742)))),1,0))</f>
        <v/>
      </c>
      <c r="R742" s="175">
        <f>IFERROR(ABS(E742-'02_대상물건입력'!B11)/'02_대상물건입력'!B11,"")</f>
        <v/>
      </c>
      <c r="S742" s="152">
        <f>IFERROR(ABS(J742-'02_대상물건입력'!B10),"")</f>
        <v/>
      </c>
      <c r="T742" s="152">
        <f>IFERROR(ABS('01_설정'!B4-F742),"")</f>
        <v/>
      </c>
      <c r="U742" s="152">
        <f>IFERROR(ABS(K742-YEAR('02_대상물건입력'!B14)),"")</f>
        <v/>
      </c>
      <c r="V742" s="152">
        <f>IF(B742="","",IF(AND(E742&gt;0,F742&gt;0,H742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742=1,TRUE()),R742&lt;='01_설정'!B5,S742&lt;='01_설정'!B6,T742&lt;='01_설정'!B7,U742&lt;='01_설정'!B8),"Y",""))</f>
        <v/>
      </c>
      <c r="W742" s="172">
        <f>IF(V742&lt;&gt;"Y","",MAX(0,(1-R742/'01_설정'!B5))*'01_설정'!B14+MAX(0,(1-S742/'01_설정'!B6))*'01_설정'!B15+MAX(0,(1-T742/'01_설정'!B7))*'01_설정'!B16+MAX(0,(1-U742/'01_설정'!B8))*'01_설정'!B17+O742*'01_설정'!B11+Q742*'01_설정'!B12+P742*'01_설정'!B13+IF(Z742="",0,Z742))</f>
        <v/>
      </c>
      <c r="X742" s="152">
        <f>IF(W742="","",1+COUNTIFS($W$4:$W$3003,"&gt;"&amp;W742)+COUNTIFS($W$4:W742,W742)-1)</f>
        <v/>
      </c>
      <c r="Y742" s="175">
        <f>IF(OR(I742="",'02_대상물건입력'!B19="",'02_대상물건입력'!B19&lt;=0),"",ABS(I742-'02_대상물건입력'!B19)/'02_대상물건입력'!B19)</f>
        <v/>
      </c>
      <c r="Z742" s="172">
        <f>IF(OR(Y742="",'01_설정'!B31="",'01_설정'!B31&lt;=0,'01_설정'!B32="",'01_설정'!B32&lt;=0),"",MAX(0,(1-Y742/'01_설정'!B32))*'01_설정'!B31)</f>
        <v/>
      </c>
    </row>
    <row r="743" ht="17.25" customHeight="1">
      <c r="A743" s="152">
        <f>IF(INDEX('04A_국토부원자료'!$A:$A,ROW()+1)="","",ROW()-3)</f>
        <v/>
      </c>
      <c r="B743" s="48">
        <f>IFERROR(INDEX('04A_국토부원자료'!$A:$T,ROW()+1,MATCH("시군구",'04A_국토부원자료'!$A$4:$T$4,0)),"")</f>
        <v/>
      </c>
      <c r="C743" s="48">
        <f>IF(B743="","",IFERROR(INDEX('04A_국토부원자료'!$A:$T,ROW()+1,MATCH("번지",'04A_국토부원자료'!$A$4:$T$4,0)),""))</f>
        <v/>
      </c>
      <c r="D743" s="48">
        <f>IF(B743="","",IF(Q743=1,'02_대상물건입력'!$B$8,IFERROR(INDEX('04A_국토부원자료'!$A:$T,ROW()+1,MATCH("단지명",'04A_국토부원자료'!$A$4:$T$4,0)),"")))</f>
        <v/>
      </c>
      <c r="E743" s="172">
        <f>IFERROR(VALUE(SUBSTITUTE(INDEX('04A_국토부원자료'!$A:$T,ROW()+1,MATCH("전용면적(㎡)",'04A_국토부원자료'!$A$4:$T$4,0)),",","")),"")</f>
        <v/>
      </c>
      <c r="F7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43" s="51">
        <f>IFERROR(VALUE(SUBSTITUTE(INDEX('04A_국토부원자료'!$A:$T,ROW()+1,MATCH("거래금액(만원)",'04A_국토부원자료'!$A$4:$T$4,0)),",","")),"")</f>
        <v/>
      </c>
      <c r="H743" s="174">
        <f>IF(G743="","",G743*10000)</f>
        <v/>
      </c>
      <c r="I743" s="174">
        <f>IFERROR(IF(AND(H743&gt;0,E743&gt;0),H743/E743,""),"")</f>
        <v/>
      </c>
      <c r="J743" s="152">
        <f>IFERROR(VALUE(SUBSTITUTE(INDEX('04A_국토부원자료'!$A:$T,ROW()+1,MATCH("층",'04A_국토부원자료'!$A$4:$T$4,0)),",","")),"")</f>
        <v/>
      </c>
      <c r="K743" s="152">
        <f>IFERROR(VALUE(SUBSTITUTE(INDEX('04A_국토부원자료'!$A:$T,ROW()+1,MATCH("건축년도",'04A_국토부원자료'!$A$4:$T$4,0)),",","")),"")</f>
        <v/>
      </c>
      <c r="L743" s="176">
        <f>IFERROR(INDEX('04A_국토부원자료'!$A:$T,ROW()+1,MATCH("도로명",'04A_국토부원자료'!$A$4:$T$4,0)),"")</f>
        <v/>
      </c>
      <c r="M743" s="48">
        <f>IFERROR(INDEX('04A_국토부원자료'!$A:$T,ROW()+1,MATCH("거래유형",'04A_국토부원자료'!$A$4:$T$4,0)),"")</f>
        <v/>
      </c>
      <c r="N743" s="152">
        <f>IF(B743="","",IF('02_대상물건입력'!B5="",1,IF(ISNUMBER(SEARCH('02_대상물건입력'!B5,B743)),1,0)))</f>
        <v/>
      </c>
      <c r="O743" s="152">
        <f>IF(B743="","",IF('02_대상물건입력'!B6="",1,IF(ISNUMBER(SEARCH('02_대상물건입력'!B6,B743)),1,0)))</f>
        <v/>
      </c>
      <c r="P743" s="152">
        <f>IF(L743="","",IF('02_대상물건입력'!B15="",0,IF(ISNUMBER(SEARCH('02_대상물건입력'!B15,L743)),1,0)))</f>
        <v/>
      </c>
      <c r="Q743" s="152">
        <f>IF(OR(C743="",L743=""),0,IF(AND(TRIM(C743)=TRIM(RIGHT(SUBSTITUTE(TRIM('02_대상물건입력'!$B$7)," ",REPT(" ",99)),99)),IF('02_대상물건입력'!B15="",TRUE(),ISNUMBER(SEARCH('02_대상물건입력'!B15,L743)))),1,0))</f>
        <v/>
      </c>
      <c r="R743" s="175">
        <f>IFERROR(ABS(E743-'02_대상물건입력'!B11)/'02_대상물건입력'!B11,"")</f>
        <v/>
      </c>
      <c r="S743" s="152">
        <f>IFERROR(ABS(J743-'02_대상물건입력'!B10),"")</f>
        <v/>
      </c>
      <c r="T743" s="152">
        <f>IFERROR(ABS('01_설정'!B4-F743),"")</f>
        <v/>
      </c>
      <c r="U743" s="152">
        <f>IFERROR(ABS(K743-YEAR('02_대상물건입력'!B14)),"")</f>
        <v/>
      </c>
      <c r="V743" s="152">
        <f>IF(B743="","",IF(AND(E743&gt;0,F743&gt;0,H743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743=1,TRUE()),R743&lt;='01_설정'!B5,S743&lt;='01_설정'!B6,T743&lt;='01_설정'!B7,U743&lt;='01_설정'!B8),"Y",""))</f>
        <v/>
      </c>
      <c r="W743" s="172">
        <f>IF(V743&lt;&gt;"Y","",MAX(0,(1-R743/'01_설정'!B5))*'01_설정'!B14+MAX(0,(1-S743/'01_설정'!B6))*'01_설정'!B15+MAX(0,(1-T743/'01_설정'!B7))*'01_설정'!B16+MAX(0,(1-U743/'01_설정'!B8))*'01_설정'!B17+O743*'01_설정'!B11+Q743*'01_설정'!B12+P743*'01_설정'!B13+IF(Z743="",0,Z743))</f>
        <v/>
      </c>
      <c r="X743" s="152">
        <f>IF(W743="","",1+COUNTIFS($W$4:$W$3003,"&gt;"&amp;W743)+COUNTIFS($W$4:W743,W743)-1)</f>
        <v/>
      </c>
      <c r="Y743" s="175">
        <f>IF(OR(I743="",'02_대상물건입력'!B19="",'02_대상물건입력'!B19&lt;=0),"",ABS(I743-'02_대상물건입력'!B19)/'02_대상물건입력'!B19)</f>
        <v/>
      </c>
      <c r="Z743" s="172">
        <f>IF(OR(Y743="",'01_설정'!B31="",'01_설정'!B31&lt;=0,'01_설정'!B32="",'01_설정'!B32&lt;=0),"",MAX(0,(1-Y743/'01_설정'!B32))*'01_설정'!B31)</f>
        <v/>
      </c>
    </row>
    <row r="744" ht="17.25" customHeight="1">
      <c r="A744" s="152">
        <f>IF(INDEX('04A_국토부원자료'!$A:$A,ROW()+1)="","",ROW()-3)</f>
        <v/>
      </c>
      <c r="B744" s="48">
        <f>IFERROR(INDEX('04A_국토부원자료'!$A:$T,ROW()+1,MATCH("시군구",'04A_국토부원자료'!$A$4:$T$4,0)),"")</f>
        <v/>
      </c>
      <c r="C744" s="48">
        <f>IF(B744="","",IFERROR(INDEX('04A_국토부원자료'!$A:$T,ROW()+1,MATCH("번지",'04A_국토부원자료'!$A$4:$T$4,0)),""))</f>
        <v/>
      </c>
      <c r="D744" s="48">
        <f>IF(B744="","",IF(Q744=1,'02_대상물건입력'!$B$8,IFERROR(INDEX('04A_국토부원자료'!$A:$T,ROW()+1,MATCH("단지명",'04A_국토부원자료'!$A$4:$T$4,0)),"")))</f>
        <v/>
      </c>
      <c r="E744" s="172">
        <f>IFERROR(VALUE(SUBSTITUTE(INDEX('04A_국토부원자료'!$A:$T,ROW()+1,MATCH("전용면적(㎡)",'04A_국토부원자료'!$A$4:$T$4,0)),",","")),"")</f>
        <v/>
      </c>
      <c r="F7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44" s="51">
        <f>IFERROR(VALUE(SUBSTITUTE(INDEX('04A_국토부원자료'!$A:$T,ROW()+1,MATCH("거래금액(만원)",'04A_국토부원자료'!$A$4:$T$4,0)),",","")),"")</f>
        <v/>
      </c>
      <c r="H744" s="174">
        <f>IF(G744="","",G744*10000)</f>
        <v/>
      </c>
      <c r="I744" s="174">
        <f>IFERROR(IF(AND(H744&gt;0,E744&gt;0),H744/E744,""),"")</f>
        <v/>
      </c>
      <c r="J744" s="152">
        <f>IFERROR(VALUE(SUBSTITUTE(INDEX('04A_국토부원자료'!$A:$T,ROW()+1,MATCH("층",'04A_국토부원자료'!$A$4:$T$4,0)),",","")),"")</f>
        <v/>
      </c>
      <c r="K744" s="152">
        <f>IFERROR(VALUE(SUBSTITUTE(INDEX('04A_국토부원자료'!$A:$T,ROW()+1,MATCH("건축년도",'04A_국토부원자료'!$A$4:$T$4,0)),",","")),"")</f>
        <v/>
      </c>
      <c r="L744" s="176">
        <f>IFERROR(INDEX('04A_국토부원자료'!$A:$T,ROW()+1,MATCH("도로명",'04A_국토부원자료'!$A$4:$T$4,0)),"")</f>
        <v/>
      </c>
      <c r="M744" s="48">
        <f>IFERROR(INDEX('04A_국토부원자료'!$A:$T,ROW()+1,MATCH("거래유형",'04A_국토부원자료'!$A$4:$T$4,0)),"")</f>
        <v/>
      </c>
      <c r="N744" s="152">
        <f>IF(B744="","",IF('02_대상물건입력'!B5="",1,IF(ISNUMBER(SEARCH('02_대상물건입력'!B5,B744)),1,0)))</f>
        <v/>
      </c>
      <c r="O744" s="152">
        <f>IF(B744="","",IF('02_대상물건입력'!B6="",1,IF(ISNUMBER(SEARCH('02_대상물건입력'!B6,B744)),1,0)))</f>
        <v/>
      </c>
      <c r="P744" s="152">
        <f>IF(L744="","",IF('02_대상물건입력'!B15="",0,IF(ISNUMBER(SEARCH('02_대상물건입력'!B15,L744)),1,0)))</f>
        <v/>
      </c>
      <c r="Q744" s="152">
        <f>IF(OR(C744="",L744=""),0,IF(AND(TRIM(C744)=TRIM(RIGHT(SUBSTITUTE(TRIM('02_대상물건입력'!$B$7)," ",REPT(" ",99)),99)),IF('02_대상물건입력'!B15="",TRUE(),ISNUMBER(SEARCH('02_대상물건입력'!B15,L744)))),1,0))</f>
        <v/>
      </c>
      <c r="R744" s="175">
        <f>IFERROR(ABS(E744-'02_대상물건입력'!B11)/'02_대상물건입력'!B11,"")</f>
        <v/>
      </c>
      <c r="S744" s="152">
        <f>IFERROR(ABS(J744-'02_대상물건입력'!B10),"")</f>
        <v/>
      </c>
      <c r="T744" s="152">
        <f>IFERROR(ABS('01_설정'!B4-F744),"")</f>
        <v/>
      </c>
      <c r="U744" s="152">
        <f>IFERROR(ABS(K744-YEAR('02_대상물건입력'!B14)),"")</f>
        <v/>
      </c>
      <c r="V744" s="152">
        <f>IF(B744="","",IF(AND(E744&gt;0,F744&gt;0,H744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744=1,TRUE()),R744&lt;='01_설정'!B5,S744&lt;='01_설정'!B6,T744&lt;='01_설정'!B7,U744&lt;='01_설정'!B8),"Y",""))</f>
        <v/>
      </c>
      <c r="W744" s="172">
        <f>IF(V744&lt;&gt;"Y","",MAX(0,(1-R744/'01_설정'!B5))*'01_설정'!B14+MAX(0,(1-S744/'01_설정'!B6))*'01_설정'!B15+MAX(0,(1-T744/'01_설정'!B7))*'01_설정'!B16+MAX(0,(1-U744/'01_설정'!B8))*'01_설정'!B17+O744*'01_설정'!B11+Q744*'01_설정'!B12+P744*'01_설정'!B13+IF(Z744="",0,Z744))</f>
        <v/>
      </c>
      <c r="X744" s="152">
        <f>IF(W744="","",1+COUNTIFS($W$4:$W$3003,"&gt;"&amp;W744)+COUNTIFS($W$4:W744,W744)-1)</f>
        <v/>
      </c>
      <c r="Y744" s="175">
        <f>IF(OR(I744="",'02_대상물건입력'!B19="",'02_대상물건입력'!B19&lt;=0),"",ABS(I744-'02_대상물건입력'!B19)/'02_대상물건입력'!B19)</f>
        <v/>
      </c>
      <c r="Z744" s="172">
        <f>IF(OR(Y744="",'01_설정'!B31="",'01_설정'!B31&lt;=0,'01_설정'!B32="",'01_설정'!B32&lt;=0),"",MAX(0,(1-Y744/'01_설정'!B32))*'01_설정'!B31)</f>
        <v/>
      </c>
    </row>
    <row r="745" ht="17.25" customHeight="1">
      <c r="A745" s="152">
        <f>IF(INDEX('04A_국토부원자료'!$A:$A,ROW()+1)="","",ROW()-3)</f>
        <v/>
      </c>
      <c r="B745" s="48">
        <f>IFERROR(INDEX('04A_국토부원자료'!$A:$T,ROW()+1,MATCH("시군구",'04A_국토부원자료'!$A$4:$T$4,0)),"")</f>
        <v/>
      </c>
      <c r="C745" s="48">
        <f>IF(B745="","",IFERROR(INDEX('04A_국토부원자료'!$A:$T,ROW()+1,MATCH("번지",'04A_국토부원자료'!$A$4:$T$4,0)),""))</f>
        <v/>
      </c>
      <c r="D745" s="48">
        <f>IF(B745="","",IF(Q745=1,'02_대상물건입력'!$B$8,IFERROR(INDEX('04A_국토부원자료'!$A:$T,ROW()+1,MATCH("단지명",'04A_국토부원자료'!$A$4:$T$4,0)),"")))</f>
        <v/>
      </c>
      <c r="E745" s="172">
        <f>IFERROR(VALUE(SUBSTITUTE(INDEX('04A_국토부원자료'!$A:$T,ROW()+1,MATCH("전용면적(㎡)",'04A_국토부원자료'!$A$4:$T$4,0)),",","")),"")</f>
        <v/>
      </c>
      <c r="F7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45" s="51">
        <f>IFERROR(VALUE(SUBSTITUTE(INDEX('04A_국토부원자료'!$A:$T,ROW()+1,MATCH("거래금액(만원)",'04A_국토부원자료'!$A$4:$T$4,0)),",","")),"")</f>
        <v/>
      </c>
      <c r="H745" s="174">
        <f>IF(G745="","",G745*10000)</f>
        <v/>
      </c>
      <c r="I745" s="174">
        <f>IFERROR(IF(AND(H745&gt;0,E745&gt;0),H745/E745,""),"")</f>
        <v/>
      </c>
      <c r="J745" s="152">
        <f>IFERROR(VALUE(SUBSTITUTE(INDEX('04A_국토부원자료'!$A:$T,ROW()+1,MATCH("층",'04A_국토부원자료'!$A$4:$T$4,0)),",","")),"")</f>
        <v/>
      </c>
      <c r="K745" s="152">
        <f>IFERROR(VALUE(SUBSTITUTE(INDEX('04A_국토부원자료'!$A:$T,ROW()+1,MATCH("건축년도",'04A_국토부원자료'!$A$4:$T$4,0)),",","")),"")</f>
        <v/>
      </c>
      <c r="L745" s="176">
        <f>IFERROR(INDEX('04A_국토부원자료'!$A:$T,ROW()+1,MATCH("도로명",'04A_국토부원자료'!$A$4:$T$4,0)),"")</f>
        <v/>
      </c>
      <c r="M745" s="48">
        <f>IFERROR(INDEX('04A_국토부원자료'!$A:$T,ROW()+1,MATCH("거래유형",'04A_국토부원자료'!$A$4:$T$4,0)),"")</f>
        <v/>
      </c>
      <c r="N745" s="152">
        <f>IF(B745="","",IF('02_대상물건입력'!B5="",1,IF(ISNUMBER(SEARCH('02_대상물건입력'!B5,B745)),1,0)))</f>
        <v/>
      </c>
      <c r="O745" s="152">
        <f>IF(B745="","",IF('02_대상물건입력'!B6="",1,IF(ISNUMBER(SEARCH('02_대상물건입력'!B6,B745)),1,0)))</f>
        <v/>
      </c>
      <c r="P745" s="152">
        <f>IF(L745="","",IF('02_대상물건입력'!B15="",0,IF(ISNUMBER(SEARCH('02_대상물건입력'!B15,L745)),1,0)))</f>
        <v/>
      </c>
      <c r="Q745" s="152">
        <f>IF(OR(C745="",L745=""),0,IF(AND(TRIM(C745)=TRIM(RIGHT(SUBSTITUTE(TRIM('02_대상물건입력'!$B$7)," ",REPT(" ",99)),99)),IF('02_대상물건입력'!B15="",TRUE(),ISNUMBER(SEARCH('02_대상물건입력'!B15,L745)))),1,0))</f>
        <v/>
      </c>
      <c r="R745" s="175">
        <f>IFERROR(ABS(E745-'02_대상물건입력'!B11)/'02_대상물건입력'!B11,"")</f>
        <v/>
      </c>
      <c r="S745" s="152">
        <f>IFERROR(ABS(J745-'02_대상물건입력'!B10),"")</f>
        <v/>
      </c>
      <c r="T745" s="152">
        <f>IFERROR(ABS('01_설정'!B4-F745),"")</f>
        <v/>
      </c>
      <c r="U745" s="152">
        <f>IFERROR(ABS(K745-YEAR('02_대상물건입력'!B14)),"")</f>
        <v/>
      </c>
      <c r="V745" s="152">
        <f>IF(B745="","",IF(AND(E745&gt;0,F745&gt;0,H745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745=1,TRUE()),R745&lt;='01_설정'!B5,S745&lt;='01_설정'!B6,T745&lt;='01_설정'!B7,U745&lt;='01_설정'!B8),"Y",""))</f>
        <v/>
      </c>
      <c r="W745" s="172">
        <f>IF(V745&lt;&gt;"Y","",MAX(0,(1-R745/'01_설정'!B5))*'01_설정'!B14+MAX(0,(1-S745/'01_설정'!B6))*'01_설정'!B15+MAX(0,(1-T745/'01_설정'!B7))*'01_설정'!B16+MAX(0,(1-U745/'01_설정'!B8))*'01_설정'!B17+O745*'01_설정'!B11+Q745*'01_설정'!B12+P745*'01_설정'!B13+IF(Z745="",0,Z745))</f>
        <v/>
      </c>
      <c r="X745" s="152">
        <f>IF(W745="","",1+COUNTIFS($W$4:$W$3003,"&gt;"&amp;W745)+COUNTIFS($W$4:W745,W745)-1)</f>
        <v/>
      </c>
      <c r="Y745" s="175">
        <f>IF(OR(I745="",'02_대상물건입력'!B19="",'02_대상물건입력'!B19&lt;=0),"",ABS(I745-'02_대상물건입력'!B19)/'02_대상물건입력'!B19)</f>
        <v/>
      </c>
      <c r="Z745" s="172">
        <f>IF(OR(Y745="",'01_설정'!B31="",'01_설정'!B31&lt;=0,'01_설정'!B32="",'01_설정'!B32&lt;=0),"",MAX(0,(1-Y745/'01_설정'!B32))*'01_설정'!B31)</f>
        <v/>
      </c>
    </row>
    <row r="746" ht="17.25" customHeight="1">
      <c r="A746" s="152">
        <f>IF(INDEX('04A_국토부원자료'!$A:$A,ROW()+1)="","",ROW()-3)</f>
        <v/>
      </c>
      <c r="B746" s="48">
        <f>IFERROR(INDEX('04A_국토부원자료'!$A:$T,ROW()+1,MATCH("시군구",'04A_국토부원자료'!$A$4:$T$4,0)),"")</f>
        <v/>
      </c>
      <c r="C746" s="48">
        <f>IF(B746="","",IFERROR(INDEX('04A_국토부원자료'!$A:$T,ROW()+1,MATCH("번지",'04A_국토부원자료'!$A$4:$T$4,0)),""))</f>
        <v/>
      </c>
      <c r="D746" s="48">
        <f>IF(B746="","",IF(Q746=1,'02_대상물건입력'!$B$8,IFERROR(INDEX('04A_국토부원자료'!$A:$T,ROW()+1,MATCH("단지명",'04A_국토부원자료'!$A$4:$T$4,0)),"")))</f>
        <v/>
      </c>
      <c r="E746" s="172">
        <f>IFERROR(VALUE(SUBSTITUTE(INDEX('04A_국토부원자료'!$A:$T,ROW()+1,MATCH("전용면적(㎡)",'04A_국토부원자료'!$A$4:$T$4,0)),",","")),"")</f>
        <v/>
      </c>
      <c r="F7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46" s="51">
        <f>IFERROR(VALUE(SUBSTITUTE(INDEX('04A_국토부원자료'!$A:$T,ROW()+1,MATCH("거래금액(만원)",'04A_국토부원자료'!$A$4:$T$4,0)),",","")),"")</f>
        <v/>
      </c>
      <c r="H746" s="174">
        <f>IF(G746="","",G746*10000)</f>
        <v/>
      </c>
      <c r="I746" s="174">
        <f>IFERROR(IF(AND(H746&gt;0,E746&gt;0),H746/E746,""),"")</f>
        <v/>
      </c>
      <c r="J746" s="152">
        <f>IFERROR(VALUE(SUBSTITUTE(INDEX('04A_국토부원자료'!$A:$T,ROW()+1,MATCH("층",'04A_국토부원자료'!$A$4:$T$4,0)),",","")),"")</f>
        <v/>
      </c>
      <c r="K746" s="152">
        <f>IFERROR(VALUE(SUBSTITUTE(INDEX('04A_국토부원자료'!$A:$T,ROW()+1,MATCH("건축년도",'04A_국토부원자료'!$A$4:$T$4,0)),",","")),"")</f>
        <v/>
      </c>
      <c r="L746" s="176">
        <f>IFERROR(INDEX('04A_국토부원자료'!$A:$T,ROW()+1,MATCH("도로명",'04A_국토부원자료'!$A$4:$T$4,0)),"")</f>
        <v/>
      </c>
      <c r="M746" s="48">
        <f>IFERROR(INDEX('04A_국토부원자료'!$A:$T,ROW()+1,MATCH("거래유형",'04A_국토부원자료'!$A$4:$T$4,0)),"")</f>
        <v/>
      </c>
      <c r="N746" s="152">
        <f>IF(B746="","",IF('02_대상물건입력'!B5="",1,IF(ISNUMBER(SEARCH('02_대상물건입력'!B5,B746)),1,0)))</f>
        <v/>
      </c>
      <c r="O746" s="152">
        <f>IF(B746="","",IF('02_대상물건입력'!B6="",1,IF(ISNUMBER(SEARCH('02_대상물건입력'!B6,B746)),1,0)))</f>
        <v/>
      </c>
      <c r="P746" s="152">
        <f>IF(L746="","",IF('02_대상물건입력'!B15="",0,IF(ISNUMBER(SEARCH('02_대상물건입력'!B15,L746)),1,0)))</f>
        <v/>
      </c>
      <c r="Q746" s="152">
        <f>IF(OR(C746="",L746=""),0,IF(AND(TRIM(C746)=TRIM(RIGHT(SUBSTITUTE(TRIM('02_대상물건입력'!$B$7)," ",REPT(" ",99)),99)),IF('02_대상물건입력'!B15="",TRUE(),ISNUMBER(SEARCH('02_대상물건입력'!B15,L746)))),1,0))</f>
        <v/>
      </c>
      <c r="R746" s="175">
        <f>IFERROR(ABS(E746-'02_대상물건입력'!B11)/'02_대상물건입력'!B11,"")</f>
        <v/>
      </c>
      <c r="S746" s="152">
        <f>IFERROR(ABS(J746-'02_대상물건입력'!B10),"")</f>
        <v/>
      </c>
      <c r="T746" s="152">
        <f>IFERROR(ABS('01_설정'!B4-F746),"")</f>
        <v/>
      </c>
      <c r="U746" s="152">
        <f>IFERROR(ABS(K746-YEAR('02_대상물건입력'!B14)),"")</f>
        <v/>
      </c>
      <c r="V746" s="152">
        <f>IF(B746="","",IF(AND(E746&gt;0,F746&gt;0,H746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746=1,TRUE()),R746&lt;='01_설정'!B5,S746&lt;='01_설정'!B6,T746&lt;='01_설정'!B7,U746&lt;='01_설정'!B8),"Y",""))</f>
        <v/>
      </c>
      <c r="W746" s="172">
        <f>IF(V746&lt;&gt;"Y","",MAX(0,(1-R746/'01_설정'!B5))*'01_설정'!B14+MAX(0,(1-S746/'01_설정'!B6))*'01_설정'!B15+MAX(0,(1-T746/'01_설정'!B7))*'01_설정'!B16+MAX(0,(1-U746/'01_설정'!B8))*'01_설정'!B17+O746*'01_설정'!B11+Q746*'01_설정'!B12+P746*'01_설정'!B13+IF(Z746="",0,Z746))</f>
        <v/>
      </c>
      <c r="X746" s="152">
        <f>IF(W746="","",1+COUNTIFS($W$4:$W$3003,"&gt;"&amp;W746)+COUNTIFS($W$4:W746,W746)-1)</f>
        <v/>
      </c>
      <c r="Y746" s="175">
        <f>IF(OR(I746="",'02_대상물건입력'!B19="",'02_대상물건입력'!B19&lt;=0),"",ABS(I746-'02_대상물건입력'!B19)/'02_대상물건입력'!B19)</f>
        <v/>
      </c>
      <c r="Z746" s="172">
        <f>IF(OR(Y746="",'01_설정'!B31="",'01_설정'!B31&lt;=0,'01_설정'!B32="",'01_설정'!B32&lt;=0),"",MAX(0,(1-Y746/'01_설정'!B32))*'01_설정'!B31)</f>
        <v/>
      </c>
    </row>
    <row r="747" ht="17.25" customHeight="1">
      <c r="A747" s="152">
        <f>IF(INDEX('04A_국토부원자료'!$A:$A,ROW()+1)="","",ROW()-3)</f>
        <v/>
      </c>
      <c r="B747" s="48">
        <f>IFERROR(INDEX('04A_국토부원자료'!$A:$T,ROW()+1,MATCH("시군구",'04A_국토부원자료'!$A$4:$T$4,0)),"")</f>
        <v/>
      </c>
      <c r="C747" s="48">
        <f>IF(B747="","",IFERROR(INDEX('04A_국토부원자료'!$A:$T,ROW()+1,MATCH("번지",'04A_국토부원자료'!$A$4:$T$4,0)),""))</f>
        <v/>
      </c>
      <c r="D747" s="48">
        <f>IF(B747="","",IF(Q747=1,'02_대상물건입력'!$B$8,IFERROR(INDEX('04A_국토부원자료'!$A:$T,ROW()+1,MATCH("단지명",'04A_국토부원자료'!$A$4:$T$4,0)),"")))</f>
        <v/>
      </c>
      <c r="E747" s="172">
        <f>IFERROR(VALUE(SUBSTITUTE(INDEX('04A_국토부원자료'!$A:$T,ROW()+1,MATCH("전용면적(㎡)",'04A_국토부원자료'!$A$4:$T$4,0)),",","")),"")</f>
        <v/>
      </c>
      <c r="F7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47" s="51">
        <f>IFERROR(VALUE(SUBSTITUTE(INDEX('04A_국토부원자료'!$A:$T,ROW()+1,MATCH("거래금액(만원)",'04A_국토부원자료'!$A$4:$T$4,0)),",","")),"")</f>
        <v/>
      </c>
      <c r="H747" s="174">
        <f>IF(G747="","",G747*10000)</f>
        <v/>
      </c>
      <c r="I747" s="174">
        <f>IFERROR(IF(AND(H747&gt;0,E747&gt;0),H747/E747,""),"")</f>
        <v/>
      </c>
      <c r="J747" s="152">
        <f>IFERROR(VALUE(SUBSTITUTE(INDEX('04A_국토부원자료'!$A:$T,ROW()+1,MATCH("층",'04A_국토부원자료'!$A$4:$T$4,0)),",","")),"")</f>
        <v/>
      </c>
      <c r="K747" s="152">
        <f>IFERROR(VALUE(SUBSTITUTE(INDEX('04A_국토부원자료'!$A:$T,ROW()+1,MATCH("건축년도",'04A_국토부원자료'!$A$4:$T$4,0)),",","")),"")</f>
        <v/>
      </c>
      <c r="L747" s="176">
        <f>IFERROR(INDEX('04A_국토부원자료'!$A:$T,ROW()+1,MATCH("도로명",'04A_국토부원자료'!$A$4:$T$4,0)),"")</f>
        <v/>
      </c>
      <c r="M747" s="48">
        <f>IFERROR(INDEX('04A_국토부원자료'!$A:$T,ROW()+1,MATCH("거래유형",'04A_국토부원자료'!$A$4:$T$4,0)),"")</f>
        <v/>
      </c>
      <c r="N747" s="152">
        <f>IF(B747="","",IF('02_대상물건입력'!B5="",1,IF(ISNUMBER(SEARCH('02_대상물건입력'!B5,B747)),1,0)))</f>
        <v/>
      </c>
      <c r="O747" s="152">
        <f>IF(B747="","",IF('02_대상물건입력'!B6="",1,IF(ISNUMBER(SEARCH('02_대상물건입력'!B6,B747)),1,0)))</f>
        <v/>
      </c>
      <c r="P747" s="152">
        <f>IF(L747="","",IF('02_대상물건입력'!B15="",0,IF(ISNUMBER(SEARCH('02_대상물건입력'!B15,L747)),1,0)))</f>
        <v/>
      </c>
      <c r="Q747" s="152">
        <f>IF(OR(C747="",L747=""),0,IF(AND(TRIM(C747)=TRIM(RIGHT(SUBSTITUTE(TRIM('02_대상물건입력'!$B$7)," ",REPT(" ",99)),99)),IF('02_대상물건입력'!B15="",TRUE(),ISNUMBER(SEARCH('02_대상물건입력'!B15,L747)))),1,0))</f>
        <v/>
      </c>
      <c r="R747" s="175">
        <f>IFERROR(ABS(E747-'02_대상물건입력'!B11)/'02_대상물건입력'!B11,"")</f>
        <v/>
      </c>
      <c r="S747" s="152">
        <f>IFERROR(ABS(J747-'02_대상물건입력'!B10),"")</f>
        <v/>
      </c>
      <c r="T747" s="152">
        <f>IFERROR(ABS('01_설정'!B4-F747),"")</f>
        <v/>
      </c>
      <c r="U747" s="152">
        <f>IFERROR(ABS(K747-YEAR('02_대상물건입력'!B14)),"")</f>
        <v/>
      </c>
      <c r="V747" s="152">
        <f>IF(B747="","",IF(AND(E747&gt;0,F747&gt;0,H747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747=1,TRUE()),R747&lt;='01_설정'!B5,S747&lt;='01_설정'!B6,T747&lt;='01_설정'!B7,U747&lt;='01_설정'!B8),"Y",""))</f>
        <v/>
      </c>
      <c r="W747" s="172">
        <f>IF(V747&lt;&gt;"Y","",MAX(0,(1-R747/'01_설정'!B5))*'01_설정'!B14+MAX(0,(1-S747/'01_설정'!B6))*'01_설정'!B15+MAX(0,(1-T747/'01_설정'!B7))*'01_설정'!B16+MAX(0,(1-U747/'01_설정'!B8))*'01_설정'!B17+O747*'01_설정'!B11+Q747*'01_설정'!B12+P747*'01_설정'!B13+IF(Z747="",0,Z747))</f>
        <v/>
      </c>
      <c r="X747" s="152">
        <f>IF(W747="","",1+COUNTIFS($W$4:$W$3003,"&gt;"&amp;W747)+COUNTIFS($W$4:W747,W747)-1)</f>
        <v/>
      </c>
      <c r="Y747" s="175">
        <f>IF(OR(I747="",'02_대상물건입력'!B19="",'02_대상물건입력'!B19&lt;=0),"",ABS(I747-'02_대상물건입력'!B19)/'02_대상물건입력'!B19)</f>
        <v/>
      </c>
      <c r="Z747" s="172">
        <f>IF(OR(Y747="",'01_설정'!B31="",'01_설정'!B31&lt;=0,'01_설정'!B32="",'01_설정'!B32&lt;=0),"",MAX(0,(1-Y747/'01_설정'!B32))*'01_설정'!B31)</f>
        <v/>
      </c>
    </row>
    <row r="748" ht="17.25" customHeight="1">
      <c r="A748" s="152">
        <f>IF(INDEX('04A_국토부원자료'!$A:$A,ROW()+1)="","",ROW()-3)</f>
        <v/>
      </c>
      <c r="B748" s="48">
        <f>IFERROR(INDEX('04A_국토부원자료'!$A:$T,ROW()+1,MATCH("시군구",'04A_국토부원자료'!$A$4:$T$4,0)),"")</f>
        <v/>
      </c>
      <c r="C748" s="48">
        <f>IF(B748="","",IFERROR(INDEX('04A_국토부원자료'!$A:$T,ROW()+1,MATCH("번지",'04A_국토부원자료'!$A$4:$T$4,0)),""))</f>
        <v/>
      </c>
      <c r="D748" s="48">
        <f>IF(B748="","",IF(Q748=1,'02_대상물건입력'!$B$8,IFERROR(INDEX('04A_국토부원자료'!$A:$T,ROW()+1,MATCH("단지명",'04A_국토부원자료'!$A$4:$T$4,0)),"")))</f>
        <v/>
      </c>
      <c r="E748" s="172">
        <f>IFERROR(VALUE(SUBSTITUTE(INDEX('04A_국토부원자료'!$A:$T,ROW()+1,MATCH("전용면적(㎡)",'04A_국토부원자료'!$A$4:$T$4,0)),",","")),"")</f>
        <v/>
      </c>
      <c r="F7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48" s="51">
        <f>IFERROR(VALUE(SUBSTITUTE(INDEX('04A_국토부원자료'!$A:$T,ROW()+1,MATCH("거래금액(만원)",'04A_국토부원자료'!$A$4:$T$4,0)),",","")),"")</f>
        <v/>
      </c>
      <c r="H748" s="174">
        <f>IF(G748="","",G748*10000)</f>
        <v/>
      </c>
      <c r="I748" s="174">
        <f>IFERROR(IF(AND(H748&gt;0,E748&gt;0),H748/E748,""),"")</f>
        <v/>
      </c>
      <c r="J748" s="152">
        <f>IFERROR(VALUE(SUBSTITUTE(INDEX('04A_국토부원자료'!$A:$T,ROW()+1,MATCH("층",'04A_국토부원자료'!$A$4:$T$4,0)),",","")),"")</f>
        <v/>
      </c>
      <c r="K748" s="152">
        <f>IFERROR(VALUE(SUBSTITUTE(INDEX('04A_국토부원자료'!$A:$T,ROW()+1,MATCH("건축년도",'04A_국토부원자료'!$A$4:$T$4,0)),",","")),"")</f>
        <v/>
      </c>
      <c r="L748" s="176">
        <f>IFERROR(INDEX('04A_국토부원자료'!$A:$T,ROW()+1,MATCH("도로명",'04A_국토부원자료'!$A$4:$T$4,0)),"")</f>
        <v/>
      </c>
      <c r="M748" s="48">
        <f>IFERROR(INDEX('04A_국토부원자료'!$A:$T,ROW()+1,MATCH("거래유형",'04A_국토부원자료'!$A$4:$T$4,0)),"")</f>
        <v/>
      </c>
      <c r="N748" s="152">
        <f>IF(B748="","",IF('02_대상물건입력'!B5="",1,IF(ISNUMBER(SEARCH('02_대상물건입력'!B5,B748)),1,0)))</f>
        <v/>
      </c>
      <c r="O748" s="152">
        <f>IF(B748="","",IF('02_대상물건입력'!B6="",1,IF(ISNUMBER(SEARCH('02_대상물건입력'!B6,B748)),1,0)))</f>
        <v/>
      </c>
      <c r="P748" s="152">
        <f>IF(L748="","",IF('02_대상물건입력'!B15="",0,IF(ISNUMBER(SEARCH('02_대상물건입력'!B15,L748)),1,0)))</f>
        <v/>
      </c>
      <c r="Q748" s="152">
        <f>IF(OR(C748="",L748=""),0,IF(AND(TRIM(C748)=TRIM(RIGHT(SUBSTITUTE(TRIM('02_대상물건입력'!$B$7)," ",REPT(" ",99)),99)),IF('02_대상물건입력'!B15="",TRUE(),ISNUMBER(SEARCH('02_대상물건입력'!B15,L748)))),1,0))</f>
        <v/>
      </c>
      <c r="R748" s="175">
        <f>IFERROR(ABS(E748-'02_대상물건입력'!B11)/'02_대상물건입력'!B11,"")</f>
        <v/>
      </c>
      <c r="S748" s="152">
        <f>IFERROR(ABS(J748-'02_대상물건입력'!B10),"")</f>
        <v/>
      </c>
      <c r="T748" s="152">
        <f>IFERROR(ABS('01_설정'!B4-F748),"")</f>
        <v/>
      </c>
      <c r="U748" s="152">
        <f>IFERROR(ABS(K748-YEAR('02_대상물건입력'!B14)),"")</f>
        <v/>
      </c>
      <c r="V748" s="152">
        <f>IF(B748="","",IF(AND(E748&gt;0,F748&gt;0,H748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748=1,TRUE()),R748&lt;='01_설정'!B5,S748&lt;='01_설정'!B6,T748&lt;='01_설정'!B7,U748&lt;='01_설정'!B8),"Y",""))</f>
        <v/>
      </c>
      <c r="W748" s="172">
        <f>IF(V748&lt;&gt;"Y","",MAX(0,(1-R748/'01_설정'!B5))*'01_설정'!B14+MAX(0,(1-S748/'01_설정'!B6))*'01_설정'!B15+MAX(0,(1-T748/'01_설정'!B7))*'01_설정'!B16+MAX(0,(1-U748/'01_설정'!B8))*'01_설정'!B17+O748*'01_설정'!B11+Q748*'01_설정'!B12+P748*'01_설정'!B13+IF(Z748="",0,Z748))</f>
        <v/>
      </c>
      <c r="X748" s="152">
        <f>IF(W748="","",1+COUNTIFS($W$4:$W$3003,"&gt;"&amp;W748)+COUNTIFS($W$4:W748,W748)-1)</f>
        <v/>
      </c>
      <c r="Y748" s="175">
        <f>IF(OR(I748="",'02_대상물건입력'!B19="",'02_대상물건입력'!B19&lt;=0),"",ABS(I748-'02_대상물건입력'!B19)/'02_대상물건입력'!B19)</f>
        <v/>
      </c>
      <c r="Z748" s="172">
        <f>IF(OR(Y748="",'01_설정'!B31="",'01_설정'!B31&lt;=0,'01_설정'!B32="",'01_설정'!B32&lt;=0),"",MAX(0,(1-Y748/'01_설정'!B32))*'01_설정'!B31)</f>
        <v/>
      </c>
    </row>
    <row r="749" ht="17.25" customHeight="1">
      <c r="A749" s="152">
        <f>IF(INDEX('04A_국토부원자료'!$A:$A,ROW()+1)="","",ROW()-3)</f>
        <v/>
      </c>
      <c r="B749" s="48">
        <f>IFERROR(INDEX('04A_국토부원자료'!$A:$T,ROW()+1,MATCH("시군구",'04A_국토부원자료'!$A$4:$T$4,0)),"")</f>
        <v/>
      </c>
      <c r="C749" s="48">
        <f>IF(B749="","",IFERROR(INDEX('04A_국토부원자료'!$A:$T,ROW()+1,MATCH("번지",'04A_국토부원자료'!$A$4:$T$4,0)),""))</f>
        <v/>
      </c>
      <c r="D749" s="48">
        <f>IF(B749="","",IF(Q749=1,'02_대상물건입력'!$B$8,IFERROR(INDEX('04A_국토부원자료'!$A:$T,ROW()+1,MATCH("단지명",'04A_국토부원자료'!$A$4:$T$4,0)),"")))</f>
        <v/>
      </c>
      <c r="E749" s="172">
        <f>IFERROR(VALUE(SUBSTITUTE(INDEX('04A_국토부원자료'!$A:$T,ROW()+1,MATCH("전용면적(㎡)",'04A_국토부원자료'!$A$4:$T$4,0)),",","")),"")</f>
        <v/>
      </c>
      <c r="F7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49" s="51">
        <f>IFERROR(VALUE(SUBSTITUTE(INDEX('04A_국토부원자료'!$A:$T,ROW()+1,MATCH("거래금액(만원)",'04A_국토부원자료'!$A$4:$T$4,0)),",","")),"")</f>
        <v/>
      </c>
      <c r="H749" s="174">
        <f>IF(G749="","",G749*10000)</f>
        <v/>
      </c>
      <c r="I749" s="174">
        <f>IFERROR(IF(AND(H749&gt;0,E749&gt;0),H749/E749,""),"")</f>
        <v/>
      </c>
      <c r="J749" s="152">
        <f>IFERROR(VALUE(SUBSTITUTE(INDEX('04A_국토부원자료'!$A:$T,ROW()+1,MATCH("층",'04A_국토부원자료'!$A$4:$T$4,0)),",","")),"")</f>
        <v/>
      </c>
      <c r="K749" s="152">
        <f>IFERROR(VALUE(SUBSTITUTE(INDEX('04A_국토부원자료'!$A:$T,ROW()+1,MATCH("건축년도",'04A_국토부원자료'!$A$4:$T$4,0)),",","")),"")</f>
        <v/>
      </c>
      <c r="L749" s="176">
        <f>IFERROR(INDEX('04A_국토부원자료'!$A:$T,ROW()+1,MATCH("도로명",'04A_국토부원자료'!$A$4:$T$4,0)),"")</f>
        <v/>
      </c>
      <c r="M749" s="48">
        <f>IFERROR(INDEX('04A_국토부원자료'!$A:$T,ROW()+1,MATCH("거래유형",'04A_국토부원자료'!$A$4:$T$4,0)),"")</f>
        <v/>
      </c>
      <c r="N749" s="152">
        <f>IF(B749="","",IF('02_대상물건입력'!B5="",1,IF(ISNUMBER(SEARCH('02_대상물건입력'!B5,B749)),1,0)))</f>
        <v/>
      </c>
      <c r="O749" s="152">
        <f>IF(B749="","",IF('02_대상물건입력'!B6="",1,IF(ISNUMBER(SEARCH('02_대상물건입력'!B6,B749)),1,0)))</f>
        <v/>
      </c>
      <c r="P749" s="152">
        <f>IF(L749="","",IF('02_대상물건입력'!B15="",0,IF(ISNUMBER(SEARCH('02_대상물건입력'!B15,L749)),1,0)))</f>
        <v/>
      </c>
      <c r="Q749" s="152">
        <f>IF(OR(C749="",L749=""),0,IF(AND(TRIM(C749)=TRIM(RIGHT(SUBSTITUTE(TRIM('02_대상물건입력'!$B$7)," ",REPT(" ",99)),99)),IF('02_대상물건입력'!B15="",TRUE(),ISNUMBER(SEARCH('02_대상물건입력'!B15,L749)))),1,0))</f>
        <v/>
      </c>
      <c r="R749" s="175">
        <f>IFERROR(ABS(E749-'02_대상물건입력'!B11)/'02_대상물건입력'!B11,"")</f>
        <v/>
      </c>
      <c r="S749" s="152">
        <f>IFERROR(ABS(J749-'02_대상물건입력'!B10),"")</f>
        <v/>
      </c>
      <c r="T749" s="152">
        <f>IFERROR(ABS('01_설정'!B4-F749),"")</f>
        <v/>
      </c>
      <c r="U749" s="152">
        <f>IFERROR(ABS(K749-YEAR('02_대상물건입력'!B14)),"")</f>
        <v/>
      </c>
      <c r="V749" s="152">
        <f>IF(B749="","",IF(AND(E749&gt;0,F749&gt;0,H749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749=1,TRUE()),R749&lt;='01_설정'!B5,S749&lt;='01_설정'!B6,T749&lt;='01_설정'!B7,U749&lt;='01_설정'!B8),"Y",""))</f>
        <v/>
      </c>
      <c r="W749" s="172">
        <f>IF(V749&lt;&gt;"Y","",MAX(0,(1-R749/'01_설정'!B5))*'01_설정'!B14+MAX(0,(1-S749/'01_설정'!B6))*'01_설정'!B15+MAX(0,(1-T749/'01_설정'!B7))*'01_설정'!B16+MAX(0,(1-U749/'01_설정'!B8))*'01_설정'!B17+O749*'01_설정'!B11+Q749*'01_설정'!B12+P749*'01_설정'!B13+IF(Z749="",0,Z749))</f>
        <v/>
      </c>
      <c r="X749" s="152">
        <f>IF(W749="","",1+COUNTIFS($W$4:$W$3003,"&gt;"&amp;W749)+COUNTIFS($W$4:W749,W749)-1)</f>
        <v/>
      </c>
      <c r="Y749" s="175">
        <f>IF(OR(I749="",'02_대상물건입력'!B19="",'02_대상물건입력'!B19&lt;=0),"",ABS(I749-'02_대상물건입력'!B19)/'02_대상물건입력'!B19)</f>
        <v/>
      </c>
      <c r="Z749" s="172">
        <f>IF(OR(Y749="",'01_설정'!B31="",'01_설정'!B31&lt;=0,'01_설정'!B32="",'01_설정'!B32&lt;=0),"",MAX(0,(1-Y749/'01_설정'!B32))*'01_설정'!B31)</f>
        <v/>
      </c>
    </row>
    <row r="750" ht="17.25" customHeight="1">
      <c r="A750" s="152">
        <f>IF(INDEX('04A_국토부원자료'!$A:$A,ROW()+1)="","",ROW()-3)</f>
        <v/>
      </c>
      <c r="B750" s="48">
        <f>IFERROR(INDEX('04A_국토부원자료'!$A:$T,ROW()+1,MATCH("시군구",'04A_국토부원자료'!$A$4:$T$4,0)),"")</f>
        <v/>
      </c>
      <c r="C750" s="48">
        <f>IF(B750="","",IFERROR(INDEX('04A_국토부원자료'!$A:$T,ROW()+1,MATCH("번지",'04A_국토부원자료'!$A$4:$T$4,0)),""))</f>
        <v/>
      </c>
      <c r="D750" s="48">
        <f>IF(B750="","",IF(Q750=1,'02_대상물건입력'!$B$8,IFERROR(INDEX('04A_국토부원자료'!$A:$T,ROW()+1,MATCH("단지명",'04A_국토부원자료'!$A$4:$T$4,0)),"")))</f>
        <v/>
      </c>
      <c r="E750" s="172">
        <f>IFERROR(VALUE(SUBSTITUTE(INDEX('04A_국토부원자료'!$A:$T,ROW()+1,MATCH("전용면적(㎡)",'04A_국토부원자료'!$A$4:$T$4,0)),",","")),"")</f>
        <v/>
      </c>
      <c r="F7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50" s="51">
        <f>IFERROR(VALUE(SUBSTITUTE(INDEX('04A_국토부원자료'!$A:$T,ROW()+1,MATCH("거래금액(만원)",'04A_국토부원자료'!$A$4:$T$4,0)),",","")),"")</f>
        <v/>
      </c>
      <c r="H750" s="174">
        <f>IF(G750="","",G750*10000)</f>
        <v/>
      </c>
      <c r="I750" s="174">
        <f>IFERROR(IF(AND(H750&gt;0,E750&gt;0),H750/E750,""),"")</f>
        <v/>
      </c>
      <c r="J750" s="152">
        <f>IFERROR(VALUE(SUBSTITUTE(INDEX('04A_국토부원자료'!$A:$T,ROW()+1,MATCH("층",'04A_국토부원자료'!$A$4:$T$4,0)),",","")),"")</f>
        <v/>
      </c>
      <c r="K750" s="152">
        <f>IFERROR(VALUE(SUBSTITUTE(INDEX('04A_국토부원자료'!$A:$T,ROW()+1,MATCH("건축년도",'04A_국토부원자료'!$A$4:$T$4,0)),",","")),"")</f>
        <v/>
      </c>
      <c r="L750" s="176">
        <f>IFERROR(INDEX('04A_국토부원자료'!$A:$T,ROW()+1,MATCH("도로명",'04A_국토부원자료'!$A$4:$T$4,0)),"")</f>
        <v/>
      </c>
      <c r="M750" s="48">
        <f>IFERROR(INDEX('04A_국토부원자료'!$A:$T,ROW()+1,MATCH("거래유형",'04A_국토부원자료'!$A$4:$T$4,0)),"")</f>
        <v/>
      </c>
      <c r="N750" s="152">
        <f>IF(B750="","",IF('02_대상물건입력'!B5="",1,IF(ISNUMBER(SEARCH('02_대상물건입력'!B5,B750)),1,0)))</f>
        <v/>
      </c>
      <c r="O750" s="152">
        <f>IF(B750="","",IF('02_대상물건입력'!B6="",1,IF(ISNUMBER(SEARCH('02_대상물건입력'!B6,B750)),1,0)))</f>
        <v/>
      </c>
      <c r="P750" s="152">
        <f>IF(L750="","",IF('02_대상물건입력'!B15="",0,IF(ISNUMBER(SEARCH('02_대상물건입력'!B15,L750)),1,0)))</f>
        <v/>
      </c>
      <c r="Q750" s="152">
        <f>IF(OR(C750="",L750=""),0,IF(AND(TRIM(C750)=TRIM(RIGHT(SUBSTITUTE(TRIM('02_대상물건입력'!$B$7)," ",REPT(" ",99)),99)),IF('02_대상물건입력'!B15="",TRUE(),ISNUMBER(SEARCH('02_대상물건입력'!B15,L750)))),1,0))</f>
        <v/>
      </c>
      <c r="R750" s="175">
        <f>IFERROR(ABS(E750-'02_대상물건입력'!B11)/'02_대상물건입력'!B11,"")</f>
        <v/>
      </c>
      <c r="S750" s="152">
        <f>IFERROR(ABS(J750-'02_대상물건입력'!B10),"")</f>
        <v/>
      </c>
      <c r="T750" s="152">
        <f>IFERROR(ABS('01_설정'!B4-F750),"")</f>
        <v/>
      </c>
      <c r="U750" s="152">
        <f>IFERROR(ABS(K750-YEAR('02_대상물건입력'!B14)),"")</f>
        <v/>
      </c>
      <c r="V750" s="152">
        <f>IF(B750="","",IF(AND(E750&gt;0,F750&gt;0,H750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750=1,TRUE()),R750&lt;='01_설정'!B5,S750&lt;='01_설정'!B6,T750&lt;='01_설정'!B7,U750&lt;='01_설정'!B8),"Y",""))</f>
        <v/>
      </c>
      <c r="W750" s="172">
        <f>IF(V750&lt;&gt;"Y","",MAX(0,(1-R750/'01_설정'!B5))*'01_설정'!B14+MAX(0,(1-S750/'01_설정'!B6))*'01_설정'!B15+MAX(0,(1-T750/'01_설정'!B7))*'01_설정'!B16+MAX(0,(1-U750/'01_설정'!B8))*'01_설정'!B17+O750*'01_설정'!B11+Q750*'01_설정'!B12+P750*'01_설정'!B13+IF(Z750="",0,Z750))</f>
        <v/>
      </c>
      <c r="X750" s="152">
        <f>IF(W750="","",1+COUNTIFS($W$4:$W$3003,"&gt;"&amp;W750)+COUNTIFS($W$4:W750,W750)-1)</f>
        <v/>
      </c>
      <c r="Y750" s="175">
        <f>IF(OR(I750="",'02_대상물건입력'!B19="",'02_대상물건입력'!B19&lt;=0),"",ABS(I750-'02_대상물건입력'!B19)/'02_대상물건입력'!B19)</f>
        <v/>
      </c>
      <c r="Z750" s="172">
        <f>IF(OR(Y750="",'01_설정'!B31="",'01_설정'!B31&lt;=0,'01_설정'!B32="",'01_설정'!B32&lt;=0),"",MAX(0,(1-Y750/'01_설정'!B32))*'01_설정'!B31)</f>
        <v/>
      </c>
    </row>
    <row r="751" ht="17.25" customHeight="1">
      <c r="A751" s="152">
        <f>IF(INDEX('04A_국토부원자료'!$A:$A,ROW()+1)="","",ROW()-3)</f>
        <v/>
      </c>
      <c r="B751" s="48">
        <f>IFERROR(INDEX('04A_국토부원자료'!$A:$T,ROW()+1,MATCH("시군구",'04A_국토부원자료'!$A$4:$T$4,0)),"")</f>
        <v/>
      </c>
      <c r="C751" s="48">
        <f>IF(B751="","",IFERROR(INDEX('04A_국토부원자료'!$A:$T,ROW()+1,MATCH("번지",'04A_국토부원자료'!$A$4:$T$4,0)),""))</f>
        <v/>
      </c>
      <c r="D751" s="48">
        <f>IF(B751="","",IF(Q751=1,'02_대상물건입력'!$B$8,IFERROR(INDEX('04A_국토부원자료'!$A:$T,ROW()+1,MATCH("단지명",'04A_국토부원자료'!$A$4:$T$4,0)),"")))</f>
        <v/>
      </c>
      <c r="E751" s="172">
        <f>IFERROR(VALUE(SUBSTITUTE(INDEX('04A_국토부원자료'!$A:$T,ROW()+1,MATCH("전용면적(㎡)",'04A_국토부원자료'!$A$4:$T$4,0)),",","")),"")</f>
        <v/>
      </c>
      <c r="F7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51" s="51">
        <f>IFERROR(VALUE(SUBSTITUTE(INDEX('04A_국토부원자료'!$A:$T,ROW()+1,MATCH("거래금액(만원)",'04A_국토부원자료'!$A$4:$T$4,0)),",","")),"")</f>
        <v/>
      </c>
      <c r="H751" s="174">
        <f>IF(G751="","",G751*10000)</f>
        <v/>
      </c>
      <c r="I751" s="174">
        <f>IFERROR(IF(AND(H751&gt;0,E751&gt;0),H751/E751,""),"")</f>
        <v/>
      </c>
      <c r="J751" s="152">
        <f>IFERROR(VALUE(SUBSTITUTE(INDEX('04A_국토부원자료'!$A:$T,ROW()+1,MATCH("층",'04A_국토부원자료'!$A$4:$T$4,0)),",","")),"")</f>
        <v/>
      </c>
      <c r="K751" s="152">
        <f>IFERROR(VALUE(SUBSTITUTE(INDEX('04A_국토부원자료'!$A:$T,ROW()+1,MATCH("건축년도",'04A_국토부원자료'!$A$4:$T$4,0)),",","")),"")</f>
        <v/>
      </c>
      <c r="L751" s="176">
        <f>IFERROR(INDEX('04A_국토부원자료'!$A:$T,ROW()+1,MATCH("도로명",'04A_국토부원자료'!$A$4:$T$4,0)),"")</f>
        <v/>
      </c>
      <c r="M751" s="48">
        <f>IFERROR(INDEX('04A_국토부원자료'!$A:$T,ROW()+1,MATCH("거래유형",'04A_국토부원자료'!$A$4:$T$4,0)),"")</f>
        <v/>
      </c>
      <c r="N751" s="152">
        <f>IF(B751="","",IF('02_대상물건입력'!B5="",1,IF(ISNUMBER(SEARCH('02_대상물건입력'!B5,B751)),1,0)))</f>
        <v/>
      </c>
      <c r="O751" s="152">
        <f>IF(B751="","",IF('02_대상물건입력'!B6="",1,IF(ISNUMBER(SEARCH('02_대상물건입력'!B6,B751)),1,0)))</f>
        <v/>
      </c>
      <c r="P751" s="152">
        <f>IF(L751="","",IF('02_대상물건입력'!B15="",0,IF(ISNUMBER(SEARCH('02_대상물건입력'!B15,L751)),1,0)))</f>
        <v/>
      </c>
      <c r="Q751" s="152">
        <f>IF(OR(C751="",L751=""),0,IF(AND(TRIM(C751)=TRIM(RIGHT(SUBSTITUTE(TRIM('02_대상물건입력'!$B$7)," ",REPT(" ",99)),99)),IF('02_대상물건입력'!B15="",TRUE(),ISNUMBER(SEARCH('02_대상물건입력'!B15,L751)))),1,0))</f>
        <v/>
      </c>
      <c r="R751" s="175">
        <f>IFERROR(ABS(E751-'02_대상물건입력'!B11)/'02_대상물건입력'!B11,"")</f>
        <v/>
      </c>
      <c r="S751" s="152">
        <f>IFERROR(ABS(J751-'02_대상물건입력'!B10),"")</f>
        <v/>
      </c>
      <c r="T751" s="152">
        <f>IFERROR(ABS('01_설정'!B4-F751),"")</f>
        <v/>
      </c>
      <c r="U751" s="152">
        <f>IFERROR(ABS(K751-YEAR('02_대상물건입력'!B14)),"")</f>
        <v/>
      </c>
      <c r="V751" s="152">
        <f>IF(B751="","",IF(AND(E751&gt;0,F751&gt;0,H751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751=1,TRUE()),R751&lt;='01_설정'!B5,S751&lt;='01_설정'!B6,T751&lt;='01_설정'!B7,U751&lt;='01_설정'!B8),"Y",""))</f>
        <v/>
      </c>
      <c r="W751" s="172">
        <f>IF(V751&lt;&gt;"Y","",MAX(0,(1-R751/'01_설정'!B5))*'01_설정'!B14+MAX(0,(1-S751/'01_설정'!B6))*'01_설정'!B15+MAX(0,(1-T751/'01_설정'!B7))*'01_설정'!B16+MAX(0,(1-U751/'01_설정'!B8))*'01_설정'!B17+O751*'01_설정'!B11+Q751*'01_설정'!B12+P751*'01_설정'!B13+IF(Z751="",0,Z751))</f>
        <v/>
      </c>
      <c r="X751" s="152">
        <f>IF(W751="","",1+COUNTIFS($W$4:$W$3003,"&gt;"&amp;W751)+COUNTIFS($W$4:W751,W751)-1)</f>
        <v/>
      </c>
      <c r="Y751" s="175">
        <f>IF(OR(I751="",'02_대상물건입력'!B19="",'02_대상물건입력'!B19&lt;=0),"",ABS(I751-'02_대상물건입력'!B19)/'02_대상물건입력'!B19)</f>
        <v/>
      </c>
      <c r="Z751" s="172">
        <f>IF(OR(Y751="",'01_설정'!B31="",'01_설정'!B31&lt;=0,'01_설정'!B32="",'01_설정'!B32&lt;=0),"",MAX(0,(1-Y751/'01_설정'!B32))*'01_설정'!B31)</f>
        <v/>
      </c>
    </row>
    <row r="752" ht="17.25" customHeight="1">
      <c r="A752" s="152">
        <f>IF(INDEX('04A_국토부원자료'!$A:$A,ROW()+1)="","",ROW()-3)</f>
        <v/>
      </c>
      <c r="B752" s="48">
        <f>IFERROR(INDEX('04A_국토부원자료'!$A:$T,ROW()+1,MATCH("시군구",'04A_국토부원자료'!$A$4:$T$4,0)),"")</f>
        <v/>
      </c>
      <c r="C752" s="48">
        <f>IF(B752="","",IFERROR(INDEX('04A_국토부원자료'!$A:$T,ROW()+1,MATCH("번지",'04A_국토부원자료'!$A$4:$T$4,0)),""))</f>
        <v/>
      </c>
      <c r="D752" s="48">
        <f>IF(B752="","",IF(Q752=1,'02_대상물건입력'!$B$8,IFERROR(INDEX('04A_국토부원자료'!$A:$T,ROW()+1,MATCH("단지명",'04A_국토부원자료'!$A$4:$T$4,0)),"")))</f>
        <v/>
      </c>
      <c r="E752" s="172">
        <f>IFERROR(VALUE(SUBSTITUTE(INDEX('04A_국토부원자료'!$A:$T,ROW()+1,MATCH("전용면적(㎡)",'04A_국토부원자료'!$A$4:$T$4,0)),",","")),"")</f>
        <v/>
      </c>
      <c r="F7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52" s="51">
        <f>IFERROR(VALUE(SUBSTITUTE(INDEX('04A_국토부원자료'!$A:$T,ROW()+1,MATCH("거래금액(만원)",'04A_국토부원자료'!$A$4:$T$4,0)),",","")),"")</f>
        <v/>
      </c>
      <c r="H752" s="174">
        <f>IF(G752="","",G752*10000)</f>
        <v/>
      </c>
      <c r="I752" s="174">
        <f>IFERROR(IF(AND(H752&gt;0,E752&gt;0),H752/E752,""),"")</f>
        <v/>
      </c>
      <c r="J752" s="152">
        <f>IFERROR(VALUE(SUBSTITUTE(INDEX('04A_국토부원자료'!$A:$T,ROW()+1,MATCH("층",'04A_국토부원자료'!$A$4:$T$4,0)),",","")),"")</f>
        <v/>
      </c>
      <c r="K752" s="152">
        <f>IFERROR(VALUE(SUBSTITUTE(INDEX('04A_국토부원자료'!$A:$T,ROW()+1,MATCH("건축년도",'04A_국토부원자료'!$A$4:$T$4,0)),",","")),"")</f>
        <v/>
      </c>
      <c r="L752" s="176">
        <f>IFERROR(INDEX('04A_국토부원자료'!$A:$T,ROW()+1,MATCH("도로명",'04A_국토부원자료'!$A$4:$T$4,0)),"")</f>
        <v/>
      </c>
      <c r="M752" s="48">
        <f>IFERROR(INDEX('04A_국토부원자료'!$A:$T,ROW()+1,MATCH("거래유형",'04A_국토부원자료'!$A$4:$T$4,0)),"")</f>
        <v/>
      </c>
      <c r="N752" s="152">
        <f>IF(B752="","",IF('02_대상물건입력'!B5="",1,IF(ISNUMBER(SEARCH('02_대상물건입력'!B5,B752)),1,0)))</f>
        <v/>
      </c>
      <c r="O752" s="152">
        <f>IF(B752="","",IF('02_대상물건입력'!B6="",1,IF(ISNUMBER(SEARCH('02_대상물건입력'!B6,B752)),1,0)))</f>
        <v/>
      </c>
      <c r="P752" s="152">
        <f>IF(L752="","",IF('02_대상물건입력'!B15="",0,IF(ISNUMBER(SEARCH('02_대상물건입력'!B15,L752)),1,0)))</f>
        <v/>
      </c>
      <c r="Q752" s="152">
        <f>IF(OR(C752="",L752=""),0,IF(AND(TRIM(C752)=TRIM(RIGHT(SUBSTITUTE(TRIM('02_대상물건입력'!$B$7)," ",REPT(" ",99)),99)),IF('02_대상물건입력'!B15="",TRUE(),ISNUMBER(SEARCH('02_대상물건입력'!B15,L752)))),1,0))</f>
        <v/>
      </c>
      <c r="R752" s="175">
        <f>IFERROR(ABS(E752-'02_대상물건입력'!B11)/'02_대상물건입력'!B11,"")</f>
        <v/>
      </c>
      <c r="S752" s="152">
        <f>IFERROR(ABS(J752-'02_대상물건입력'!B10),"")</f>
        <v/>
      </c>
      <c r="T752" s="152">
        <f>IFERROR(ABS('01_설정'!B4-F752),"")</f>
        <v/>
      </c>
      <c r="U752" s="152">
        <f>IFERROR(ABS(K752-YEAR('02_대상물건입력'!B14)),"")</f>
        <v/>
      </c>
      <c r="V752" s="152">
        <f>IF(B752="","",IF(AND(E752&gt;0,F752&gt;0,H752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752=1,TRUE()),R752&lt;='01_설정'!B5,S752&lt;='01_설정'!B6,T752&lt;='01_설정'!B7,U752&lt;='01_설정'!B8),"Y",""))</f>
        <v/>
      </c>
      <c r="W752" s="172">
        <f>IF(V752&lt;&gt;"Y","",MAX(0,(1-R752/'01_설정'!B5))*'01_설정'!B14+MAX(0,(1-S752/'01_설정'!B6))*'01_설정'!B15+MAX(0,(1-T752/'01_설정'!B7))*'01_설정'!B16+MAX(0,(1-U752/'01_설정'!B8))*'01_설정'!B17+O752*'01_설정'!B11+Q752*'01_설정'!B12+P752*'01_설정'!B13+IF(Z752="",0,Z752))</f>
        <v/>
      </c>
      <c r="X752" s="152">
        <f>IF(W752="","",1+COUNTIFS($W$4:$W$3003,"&gt;"&amp;W752)+COUNTIFS($W$4:W752,W752)-1)</f>
        <v/>
      </c>
      <c r="Y752" s="175">
        <f>IF(OR(I752="",'02_대상물건입력'!B19="",'02_대상물건입력'!B19&lt;=0),"",ABS(I752-'02_대상물건입력'!B19)/'02_대상물건입력'!B19)</f>
        <v/>
      </c>
      <c r="Z752" s="172">
        <f>IF(OR(Y752="",'01_설정'!B31="",'01_설정'!B31&lt;=0,'01_설정'!B32="",'01_설정'!B32&lt;=0),"",MAX(0,(1-Y752/'01_설정'!B32))*'01_설정'!B31)</f>
        <v/>
      </c>
    </row>
    <row r="753" ht="17.25" customHeight="1">
      <c r="A753" s="152">
        <f>IF(INDEX('04A_국토부원자료'!$A:$A,ROW()+1)="","",ROW()-3)</f>
        <v/>
      </c>
      <c r="B753" s="48">
        <f>IFERROR(INDEX('04A_국토부원자료'!$A:$T,ROW()+1,MATCH("시군구",'04A_국토부원자료'!$A$4:$T$4,0)),"")</f>
        <v/>
      </c>
      <c r="C753" s="48">
        <f>IF(B753="","",IFERROR(INDEX('04A_국토부원자료'!$A:$T,ROW()+1,MATCH("번지",'04A_국토부원자료'!$A$4:$T$4,0)),""))</f>
        <v/>
      </c>
      <c r="D753" s="48">
        <f>IF(B753="","",IF(Q753=1,'02_대상물건입력'!$B$8,IFERROR(INDEX('04A_국토부원자료'!$A:$T,ROW()+1,MATCH("단지명",'04A_국토부원자료'!$A$4:$T$4,0)),"")))</f>
        <v/>
      </c>
      <c r="E753" s="172">
        <f>IFERROR(VALUE(SUBSTITUTE(INDEX('04A_국토부원자료'!$A:$T,ROW()+1,MATCH("전용면적(㎡)",'04A_국토부원자료'!$A$4:$T$4,0)),",","")),"")</f>
        <v/>
      </c>
      <c r="F7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53" s="51">
        <f>IFERROR(VALUE(SUBSTITUTE(INDEX('04A_국토부원자료'!$A:$T,ROW()+1,MATCH("거래금액(만원)",'04A_국토부원자료'!$A$4:$T$4,0)),",","")),"")</f>
        <v/>
      </c>
      <c r="H753" s="174">
        <f>IF(G753="","",G753*10000)</f>
        <v/>
      </c>
      <c r="I753" s="174">
        <f>IFERROR(IF(AND(H753&gt;0,E753&gt;0),H753/E753,""),"")</f>
        <v/>
      </c>
      <c r="J753" s="152">
        <f>IFERROR(VALUE(SUBSTITUTE(INDEX('04A_국토부원자료'!$A:$T,ROW()+1,MATCH("층",'04A_국토부원자료'!$A$4:$T$4,0)),",","")),"")</f>
        <v/>
      </c>
      <c r="K753" s="152">
        <f>IFERROR(VALUE(SUBSTITUTE(INDEX('04A_국토부원자료'!$A:$T,ROW()+1,MATCH("건축년도",'04A_국토부원자료'!$A$4:$T$4,0)),",","")),"")</f>
        <v/>
      </c>
      <c r="L753" s="176">
        <f>IFERROR(INDEX('04A_국토부원자료'!$A:$T,ROW()+1,MATCH("도로명",'04A_국토부원자료'!$A$4:$T$4,0)),"")</f>
        <v/>
      </c>
      <c r="M753" s="48">
        <f>IFERROR(INDEX('04A_국토부원자료'!$A:$T,ROW()+1,MATCH("거래유형",'04A_국토부원자료'!$A$4:$T$4,0)),"")</f>
        <v/>
      </c>
      <c r="N753" s="152">
        <f>IF(B753="","",IF('02_대상물건입력'!B5="",1,IF(ISNUMBER(SEARCH('02_대상물건입력'!B5,B753)),1,0)))</f>
        <v/>
      </c>
      <c r="O753" s="152">
        <f>IF(B753="","",IF('02_대상물건입력'!B6="",1,IF(ISNUMBER(SEARCH('02_대상물건입력'!B6,B753)),1,0)))</f>
        <v/>
      </c>
      <c r="P753" s="152">
        <f>IF(L753="","",IF('02_대상물건입력'!B15="",0,IF(ISNUMBER(SEARCH('02_대상물건입력'!B15,L753)),1,0)))</f>
        <v/>
      </c>
      <c r="Q753" s="152">
        <f>IF(OR(C753="",L753=""),0,IF(AND(TRIM(C753)=TRIM(RIGHT(SUBSTITUTE(TRIM('02_대상물건입력'!$B$7)," ",REPT(" ",99)),99)),IF('02_대상물건입력'!B15="",TRUE(),ISNUMBER(SEARCH('02_대상물건입력'!B15,L753)))),1,0))</f>
        <v/>
      </c>
      <c r="R753" s="175">
        <f>IFERROR(ABS(E753-'02_대상물건입력'!B11)/'02_대상물건입력'!B11,"")</f>
        <v/>
      </c>
      <c r="S753" s="152">
        <f>IFERROR(ABS(J753-'02_대상물건입력'!B10),"")</f>
        <v/>
      </c>
      <c r="T753" s="152">
        <f>IFERROR(ABS('01_설정'!B4-F753),"")</f>
        <v/>
      </c>
      <c r="U753" s="152">
        <f>IFERROR(ABS(K753-YEAR('02_대상물건입력'!B14)),"")</f>
        <v/>
      </c>
      <c r="V753" s="152">
        <f>IF(B753="","",IF(AND(E753&gt;0,F753&gt;0,H753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753=1,TRUE()),R753&lt;='01_설정'!B5,S753&lt;='01_설정'!B6,T753&lt;='01_설정'!B7,U753&lt;='01_설정'!B8),"Y",""))</f>
        <v/>
      </c>
      <c r="W753" s="172">
        <f>IF(V753&lt;&gt;"Y","",MAX(0,(1-R753/'01_설정'!B5))*'01_설정'!B14+MAX(0,(1-S753/'01_설정'!B6))*'01_설정'!B15+MAX(0,(1-T753/'01_설정'!B7))*'01_설정'!B16+MAX(0,(1-U753/'01_설정'!B8))*'01_설정'!B17+O753*'01_설정'!B11+Q753*'01_설정'!B12+P753*'01_설정'!B13+IF(Z753="",0,Z753))</f>
        <v/>
      </c>
      <c r="X753" s="152">
        <f>IF(W753="","",1+COUNTIFS($W$4:$W$3003,"&gt;"&amp;W753)+COUNTIFS($W$4:W753,W753)-1)</f>
        <v/>
      </c>
      <c r="Y753" s="175">
        <f>IF(OR(I753="",'02_대상물건입력'!B19="",'02_대상물건입력'!B19&lt;=0),"",ABS(I753-'02_대상물건입력'!B19)/'02_대상물건입력'!B19)</f>
        <v/>
      </c>
      <c r="Z753" s="172">
        <f>IF(OR(Y753="",'01_설정'!B31="",'01_설정'!B31&lt;=0,'01_설정'!B32="",'01_설정'!B32&lt;=0),"",MAX(0,(1-Y753/'01_설정'!B32))*'01_설정'!B31)</f>
        <v/>
      </c>
    </row>
    <row r="754" ht="17.25" customHeight="1">
      <c r="A754" s="152">
        <f>IF(INDEX('04A_국토부원자료'!$A:$A,ROW()+1)="","",ROW()-3)</f>
        <v/>
      </c>
      <c r="B754" s="48">
        <f>IFERROR(INDEX('04A_국토부원자료'!$A:$T,ROW()+1,MATCH("시군구",'04A_국토부원자료'!$A$4:$T$4,0)),"")</f>
        <v/>
      </c>
      <c r="C754" s="48">
        <f>IF(B754="","",IFERROR(INDEX('04A_국토부원자료'!$A:$T,ROW()+1,MATCH("번지",'04A_국토부원자료'!$A$4:$T$4,0)),""))</f>
        <v/>
      </c>
      <c r="D754" s="48">
        <f>IF(B754="","",IF(Q754=1,'02_대상물건입력'!$B$8,IFERROR(INDEX('04A_국토부원자료'!$A:$T,ROW()+1,MATCH("단지명",'04A_국토부원자료'!$A$4:$T$4,0)),"")))</f>
        <v/>
      </c>
      <c r="E754" s="172">
        <f>IFERROR(VALUE(SUBSTITUTE(INDEX('04A_국토부원자료'!$A:$T,ROW()+1,MATCH("전용면적(㎡)",'04A_국토부원자료'!$A$4:$T$4,0)),",","")),"")</f>
        <v/>
      </c>
      <c r="F7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54" s="51">
        <f>IFERROR(VALUE(SUBSTITUTE(INDEX('04A_국토부원자료'!$A:$T,ROW()+1,MATCH("거래금액(만원)",'04A_국토부원자료'!$A$4:$T$4,0)),",","")),"")</f>
        <v/>
      </c>
      <c r="H754" s="174">
        <f>IF(G754="","",G754*10000)</f>
        <v/>
      </c>
      <c r="I754" s="174">
        <f>IFERROR(IF(AND(H754&gt;0,E754&gt;0),H754/E754,""),"")</f>
        <v/>
      </c>
      <c r="J754" s="152">
        <f>IFERROR(VALUE(SUBSTITUTE(INDEX('04A_국토부원자료'!$A:$T,ROW()+1,MATCH("층",'04A_국토부원자료'!$A$4:$T$4,0)),",","")),"")</f>
        <v/>
      </c>
      <c r="K754" s="152">
        <f>IFERROR(VALUE(SUBSTITUTE(INDEX('04A_국토부원자료'!$A:$T,ROW()+1,MATCH("건축년도",'04A_국토부원자료'!$A$4:$T$4,0)),",","")),"")</f>
        <v/>
      </c>
      <c r="L754" s="176">
        <f>IFERROR(INDEX('04A_국토부원자료'!$A:$T,ROW()+1,MATCH("도로명",'04A_국토부원자료'!$A$4:$T$4,0)),"")</f>
        <v/>
      </c>
      <c r="M754" s="48">
        <f>IFERROR(INDEX('04A_국토부원자료'!$A:$T,ROW()+1,MATCH("거래유형",'04A_국토부원자료'!$A$4:$T$4,0)),"")</f>
        <v/>
      </c>
      <c r="N754" s="152">
        <f>IF(B754="","",IF('02_대상물건입력'!B5="",1,IF(ISNUMBER(SEARCH('02_대상물건입력'!B5,B754)),1,0)))</f>
        <v/>
      </c>
      <c r="O754" s="152">
        <f>IF(B754="","",IF('02_대상물건입력'!B6="",1,IF(ISNUMBER(SEARCH('02_대상물건입력'!B6,B754)),1,0)))</f>
        <v/>
      </c>
      <c r="P754" s="152">
        <f>IF(L754="","",IF('02_대상물건입력'!B15="",0,IF(ISNUMBER(SEARCH('02_대상물건입력'!B15,L754)),1,0)))</f>
        <v/>
      </c>
      <c r="Q754" s="152">
        <f>IF(OR(C754="",L754=""),0,IF(AND(TRIM(C754)=TRIM(RIGHT(SUBSTITUTE(TRIM('02_대상물건입력'!$B$7)," ",REPT(" ",99)),99)),IF('02_대상물건입력'!B15="",TRUE(),ISNUMBER(SEARCH('02_대상물건입력'!B15,L754)))),1,0))</f>
        <v/>
      </c>
      <c r="R754" s="175">
        <f>IFERROR(ABS(E754-'02_대상물건입력'!B11)/'02_대상물건입력'!B11,"")</f>
        <v/>
      </c>
      <c r="S754" s="152">
        <f>IFERROR(ABS(J754-'02_대상물건입력'!B10),"")</f>
        <v/>
      </c>
      <c r="T754" s="152">
        <f>IFERROR(ABS('01_설정'!B4-F754),"")</f>
        <v/>
      </c>
      <c r="U754" s="152">
        <f>IFERROR(ABS(K754-YEAR('02_대상물건입력'!B14)),"")</f>
        <v/>
      </c>
      <c r="V754" s="152">
        <f>IF(B754="","",IF(AND(E754&gt;0,F754&gt;0,H754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754=1,TRUE()),R754&lt;='01_설정'!B5,S754&lt;='01_설정'!B6,T754&lt;='01_설정'!B7,U754&lt;='01_설정'!B8),"Y",""))</f>
        <v/>
      </c>
      <c r="W754" s="172">
        <f>IF(V754&lt;&gt;"Y","",MAX(0,(1-R754/'01_설정'!B5))*'01_설정'!B14+MAX(0,(1-S754/'01_설정'!B6))*'01_설정'!B15+MAX(0,(1-T754/'01_설정'!B7))*'01_설정'!B16+MAX(0,(1-U754/'01_설정'!B8))*'01_설정'!B17+O754*'01_설정'!B11+Q754*'01_설정'!B12+P754*'01_설정'!B13+IF(Z754="",0,Z754))</f>
        <v/>
      </c>
      <c r="X754" s="152">
        <f>IF(W754="","",1+COUNTIFS($W$4:$W$3003,"&gt;"&amp;W754)+COUNTIFS($W$4:W754,W754)-1)</f>
        <v/>
      </c>
      <c r="Y754" s="175">
        <f>IF(OR(I754="",'02_대상물건입력'!B19="",'02_대상물건입력'!B19&lt;=0),"",ABS(I754-'02_대상물건입력'!B19)/'02_대상물건입력'!B19)</f>
        <v/>
      </c>
      <c r="Z754" s="172">
        <f>IF(OR(Y754="",'01_설정'!B31="",'01_설정'!B31&lt;=0,'01_설정'!B32="",'01_설정'!B32&lt;=0),"",MAX(0,(1-Y754/'01_설정'!B32))*'01_설정'!B31)</f>
        <v/>
      </c>
    </row>
    <row r="755" ht="17.25" customHeight="1">
      <c r="A755" s="152">
        <f>IF(INDEX('04A_국토부원자료'!$A:$A,ROW()+1)="","",ROW()-3)</f>
        <v/>
      </c>
      <c r="B755" s="48">
        <f>IFERROR(INDEX('04A_국토부원자료'!$A:$T,ROW()+1,MATCH("시군구",'04A_국토부원자료'!$A$4:$T$4,0)),"")</f>
        <v/>
      </c>
      <c r="C755" s="48">
        <f>IF(B755="","",IFERROR(INDEX('04A_국토부원자료'!$A:$T,ROW()+1,MATCH("번지",'04A_국토부원자료'!$A$4:$T$4,0)),""))</f>
        <v/>
      </c>
      <c r="D755" s="48">
        <f>IF(B755="","",IF(Q755=1,'02_대상물건입력'!$B$8,IFERROR(INDEX('04A_국토부원자료'!$A:$T,ROW()+1,MATCH("단지명",'04A_국토부원자료'!$A$4:$T$4,0)),"")))</f>
        <v/>
      </c>
      <c r="E755" s="172">
        <f>IFERROR(VALUE(SUBSTITUTE(INDEX('04A_국토부원자료'!$A:$T,ROW()+1,MATCH("전용면적(㎡)",'04A_국토부원자료'!$A$4:$T$4,0)),",","")),"")</f>
        <v/>
      </c>
      <c r="F7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55" s="51">
        <f>IFERROR(VALUE(SUBSTITUTE(INDEX('04A_국토부원자료'!$A:$T,ROW()+1,MATCH("거래금액(만원)",'04A_국토부원자료'!$A$4:$T$4,0)),",","")),"")</f>
        <v/>
      </c>
      <c r="H755" s="174">
        <f>IF(G755="","",G755*10000)</f>
        <v/>
      </c>
      <c r="I755" s="174">
        <f>IFERROR(IF(AND(H755&gt;0,E755&gt;0),H755/E755,""),"")</f>
        <v/>
      </c>
      <c r="J755" s="152">
        <f>IFERROR(VALUE(SUBSTITUTE(INDEX('04A_국토부원자료'!$A:$T,ROW()+1,MATCH("층",'04A_국토부원자료'!$A$4:$T$4,0)),",","")),"")</f>
        <v/>
      </c>
      <c r="K755" s="152">
        <f>IFERROR(VALUE(SUBSTITUTE(INDEX('04A_국토부원자료'!$A:$T,ROW()+1,MATCH("건축년도",'04A_국토부원자료'!$A$4:$T$4,0)),",","")),"")</f>
        <v/>
      </c>
      <c r="L755" s="176">
        <f>IFERROR(INDEX('04A_국토부원자료'!$A:$T,ROW()+1,MATCH("도로명",'04A_국토부원자료'!$A$4:$T$4,0)),"")</f>
        <v/>
      </c>
      <c r="M755" s="48">
        <f>IFERROR(INDEX('04A_국토부원자료'!$A:$T,ROW()+1,MATCH("거래유형",'04A_국토부원자료'!$A$4:$T$4,0)),"")</f>
        <v/>
      </c>
      <c r="N755" s="152">
        <f>IF(B755="","",IF('02_대상물건입력'!B5="",1,IF(ISNUMBER(SEARCH('02_대상물건입력'!B5,B755)),1,0)))</f>
        <v/>
      </c>
      <c r="O755" s="152">
        <f>IF(B755="","",IF('02_대상물건입력'!B6="",1,IF(ISNUMBER(SEARCH('02_대상물건입력'!B6,B755)),1,0)))</f>
        <v/>
      </c>
      <c r="P755" s="152">
        <f>IF(L755="","",IF('02_대상물건입력'!B15="",0,IF(ISNUMBER(SEARCH('02_대상물건입력'!B15,L755)),1,0)))</f>
        <v/>
      </c>
      <c r="Q755" s="152">
        <f>IF(OR(C755="",L755=""),0,IF(AND(TRIM(C755)=TRIM(RIGHT(SUBSTITUTE(TRIM('02_대상물건입력'!$B$7)," ",REPT(" ",99)),99)),IF('02_대상물건입력'!B15="",TRUE(),ISNUMBER(SEARCH('02_대상물건입력'!B15,L755)))),1,0))</f>
        <v/>
      </c>
      <c r="R755" s="175">
        <f>IFERROR(ABS(E755-'02_대상물건입력'!B11)/'02_대상물건입력'!B11,"")</f>
        <v/>
      </c>
      <c r="S755" s="152">
        <f>IFERROR(ABS(J755-'02_대상물건입력'!B10),"")</f>
        <v/>
      </c>
      <c r="T755" s="152">
        <f>IFERROR(ABS('01_설정'!B4-F755),"")</f>
        <v/>
      </c>
      <c r="U755" s="152">
        <f>IFERROR(ABS(K755-YEAR('02_대상물건입력'!B14)),"")</f>
        <v/>
      </c>
      <c r="V755" s="152">
        <f>IF(B755="","",IF(AND(E755&gt;0,F755&gt;0,H755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755=1,TRUE()),R755&lt;='01_설정'!B5,S755&lt;='01_설정'!B6,T755&lt;='01_설정'!B7,U755&lt;='01_설정'!B8),"Y",""))</f>
        <v/>
      </c>
      <c r="W755" s="172">
        <f>IF(V755&lt;&gt;"Y","",MAX(0,(1-R755/'01_설정'!B5))*'01_설정'!B14+MAX(0,(1-S755/'01_설정'!B6))*'01_설정'!B15+MAX(0,(1-T755/'01_설정'!B7))*'01_설정'!B16+MAX(0,(1-U755/'01_설정'!B8))*'01_설정'!B17+O755*'01_설정'!B11+Q755*'01_설정'!B12+P755*'01_설정'!B13+IF(Z755="",0,Z755))</f>
        <v/>
      </c>
      <c r="X755" s="152">
        <f>IF(W755="","",1+COUNTIFS($W$4:$W$3003,"&gt;"&amp;W755)+COUNTIFS($W$4:W755,W755)-1)</f>
        <v/>
      </c>
      <c r="Y755" s="175">
        <f>IF(OR(I755="",'02_대상물건입력'!B19="",'02_대상물건입력'!B19&lt;=0),"",ABS(I755-'02_대상물건입력'!B19)/'02_대상물건입력'!B19)</f>
        <v/>
      </c>
      <c r="Z755" s="172">
        <f>IF(OR(Y755="",'01_설정'!B31="",'01_설정'!B31&lt;=0,'01_설정'!B32="",'01_설정'!B32&lt;=0),"",MAX(0,(1-Y755/'01_설정'!B32))*'01_설정'!B31)</f>
        <v/>
      </c>
    </row>
    <row r="756" ht="17.25" customHeight="1">
      <c r="A756" s="152">
        <f>IF(INDEX('04A_국토부원자료'!$A:$A,ROW()+1)="","",ROW()-3)</f>
        <v/>
      </c>
      <c r="B756" s="48">
        <f>IFERROR(INDEX('04A_국토부원자료'!$A:$T,ROW()+1,MATCH("시군구",'04A_국토부원자료'!$A$4:$T$4,0)),"")</f>
        <v/>
      </c>
      <c r="C756" s="48">
        <f>IF(B756="","",IFERROR(INDEX('04A_국토부원자료'!$A:$T,ROW()+1,MATCH("번지",'04A_국토부원자료'!$A$4:$T$4,0)),""))</f>
        <v/>
      </c>
      <c r="D756" s="48">
        <f>IF(B756="","",IF(Q756=1,'02_대상물건입력'!$B$8,IFERROR(INDEX('04A_국토부원자료'!$A:$T,ROW()+1,MATCH("단지명",'04A_국토부원자료'!$A$4:$T$4,0)),"")))</f>
        <v/>
      </c>
      <c r="E756" s="172">
        <f>IFERROR(VALUE(SUBSTITUTE(INDEX('04A_국토부원자료'!$A:$T,ROW()+1,MATCH("전용면적(㎡)",'04A_국토부원자료'!$A$4:$T$4,0)),",","")),"")</f>
        <v/>
      </c>
      <c r="F7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56" s="51">
        <f>IFERROR(VALUE(SUBSTITUTE(INDEX('04A_국토부원자료'!$A:$T,ROW()+1,MATCH("거래금액(만원)",'04A_국토부원자료'!$A$4:$T$4,0)),",","")),"")</f>
        <v/>
      </c>
      <c r="H756" s="174">
        <f>IF(G756="","",G756*10000)</f>
        <v/>
      </c>
      <c r="I756" s="174">
        <f>IFERROR(IF(AND(H756&gt;0,E756&gt;0),H756/E756,""),"")</f>
        <v/>
      </c>
      <c r="J756" s="152">
        <f>IFERROR(VALUE(SUBSTITUTE(INDEX('04A_국토부원자료'!$A:$T,ROW()+1,MATCH("층",'04A_국토부원자료'!$A$4:$T$4,0)),",","")),"")</f>
        <v/>
      </c>
      <c r="K756" s="152">
        <f>IFERROR(VALUE(SUBSTITUTE(INDEX('04A_국토부원자료'!$A:$T,ROW()+1,MATCH("건축년도",'04A_국토부원자료'!$A$4:$T$4,0)),",","")),"")</f>
        <v/>
      </c>
      <c r="L756" s="176">
        <f>IFERROR(INDEX('04A_국토부원자료'!$A:$T,ROW()+1,MATCH("도로명",'04A_국토부원자료'!$A$4:$T$4,0)),"")</f>
        <v/>
      </c>
      <c r="M756" s="48">
        <f>IFERROR(INDEX('04A_국토부원자료'!$A:$T,ROW()+1,MATCH("거래유형",'04A_국토부원자료'!$A$4:$T$4,0)),"")</f>
        <v/>
      </c>
      <c r="N756" s="152">
        <f>IF(B756="","",IF('02_대상물건입력'!B5="",1,IF(ISNUMBER(SEARCH('02_대상물건입력'!B5,B756)),1,0)))</f>
        <v/>
      </c>
      <c r="O756" s="152">
        <f>IF(B756="","",IF('02_대상물건입력'!B6="",1,IF(ISNUMBER(SEARCH('02_대상물건입력'!B6,B756)),1,0)))</f>
        <v/>
      </c>
      <c r="P756" s="152">
        <f>IF(L756="","",IF('02_대상물건입력'!B15="",0,IF(ISNUMBER(SEARCH('02_대상물건입력'!B15,L756)),1,0)))</f>
        <v/>
      </c>
      <c r="Q756" s="152">
        <f>IF(OR(C756="",L756=""),0,IF(AND(TRIM(C756)=TRIM(RIGHT(SUBSTITUTE(TRIM('02_대상물건입력'!$B$7)," ",REPT(" ",99)),99)),IF('02_대상물건입력'!B15="",TRUE(),ISNUMBER(SEARCH('02_대상물건입력'!B15,L756)))),1,0))</f>
        <v/>
      </c>
      <c r="R756" s="175">
        <f>IFERROR(ABS(E756-'02_대상물건입력'!B11)/'02_대상물건입력'!B11,"")</f>
        <v/>
      </c>
      <c r="S756" s="152">
        <f>IFERROR(ABS(J756-'02_대상물건입력'!B10),"")</f>
        <v/>
      </c>
      <c r="T756" s="152">
        <f>IFERROR(ABS('01_설정'!B4-F756),"")</f>
        <v/>
      </c>
      <c r="U756" s="152">
        <f>IFERROR(ABS(K756-YEAR('02_대상물건입력'!B14)),"")</f>
        <v/>
      </c>
      <c r="V756" s="152">
        <f>IF(B756="","",IF(AND(E756&gt;0,F756&gt;0,H756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756=1,TRUE()),R756&lt;='01_설정'!B5,S756&lt;='01_설정'!B6,T756&lt;='01_설정'!B7,U756&lt;='01_설정'!B8),"Y",""))</f>
        <v/>
      </c>
      <c r="W756" s="172">
        <f>IF(V756&lt;&gt;"Y","",MAX(0,(1-R756/'01_설정'!B5))*'01_설정'!B14+MAX(0,(1-S756/'01_설정'!B6))*'01_설정'!B15+MAX(0,(1-T756/'01_설정'!B7))*'01_설정'!B16+MAX(0,(1-U756/'01_설정'!B8))*'01_설정'!B17+O756*'01_설정'!B11+Q756*'01_설정'!B12+P756*'01_설정'!B13+IF(Z756="",0,Z756))</f>
        <v/>
      </c>
      <c r="X756" s="152">
        <f>IF(W756="","",1+COUNTIFS($W$4:$W$3003,"&gt;"&amp;W756)+COUNTIFS($W$4:W756,W756)-1)</f>
        <v/>
      </c>
      <c r="Y756" s="175">
        <f>IF(OR(I756="",'02_대상물건입력'!B19="",'02_대상물건입력'!B19&lt;=0),"",ABS(I756-'02_대상물건입력'!B19)/'02_대상물건입력'!B19)</f>
        <v/>
      </c>
      <c r="Z756" s="172">
        <f>IF(OR(Y756="",'01_설정'!B31="",'01_설정'!B31&lt;=0,'01_설정'!B32="",'01_설정'!B32&lt;=0),"",MAX(0,(1-Y756/'01_설정'!B32))*'01_설정'!B31)</f>
        <v/>
      </c>
    </row>
    <row r="757" ht="17.25" customHeight="1">
      <c r="A757" s="152">
        <f>IF(INDEX('04A_국토부원자료'!$A:$A,ROW()+1)="","",ROW()-3)</f>
        <v/>
      </c>
      <c r="B757" s="48">
        <f>IFERROR(INDEX('04A_국토부원자료'!$A:$T,ROW()+1,MATCH("시군구",'04A_국토부원자료'!$A$4:$T$4,0)),"")</f>
        <v/>
      </c>
      <c r="C757" s="48">
        <f>IF(B757="","",IFERROR(INDEX('04A_국토부원자료'!$A:$T,ROW()+1,MATCH("번지",'04A_국토부원자료'!$A$4:$T$4,0)),""))</f>
        <v/>
      </c>
      <c r="D757" s="48">
        <f>IF(B757="","",IF(Q757=1,'02_대상물건입력'!$B$8,IFERROR(INDEX('04A_국토부원자료'!$A:$T,ROW()+1,MATCH("단지명",'04A_국토부원자료'!$A$4:$T$4,0)),"")))</f>
        <v/>
      </c>
      <c r="E757" s="172">
        <f>IFERROR(VALUE(SUBSTITUTE(INDEX('04A_국토부원자료'!$A:$T,ROW()+1,MATCH("전용면적(㎡)",'04A_국토부원자료'!$A$4:$T$4,0)),",","")),"")</f>
        <v/>
      </c>
      <c r="F7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57" s="51">
        <f>IFERROR(VALUE(SUBSTITUTE(INDEX('04A_국토부원자료'!$A:$T,ROW()+1,MATCH("거래금액(만원)",'04A_국토부원자료'!$A$4:$T$4,0)),",","")),"")</f>
        <v/>
      </c>
      <c r="H757" s="174">
        <f>IF(G757="","",G757*10000)</f>
        <v/>
      </c>
      <c r="I757" s="174">
        <f>IFERROR(IF(AND(H757&gt;0,E757&gt;0),H757/E757,""),"")</f>
        <v/>
      </c>
      <c r="J757" s="152">
        <f>IFERROR(VALUE(SUBSTITUTE(INDEX('04A_국토부원자료'!$A:$T,ROW()+1,MATCH("층",'04A_국토부원자료'!$A$4:$T$4,0)),",","")),"")</f>
        <v/>
      </c>
      <c r="K757" s="152">
        <f>IFERROR(VALUE(SUBSTITUTE(INDEX('04A_국토부원자료'!$A:$T,ROW()+1,MATCH("건축년도",'04A_국토부원자료'!$A$4:$T$4,0)),",","")),"")</f>
        <v/>
      </c>
      <c r="L757" s="176">
        <f>IFERROR(INDEX('04A_국토부원자료'!$A:$T,ROW()+1,MATCH("도로명",'04A_국토부원자료'!$A$4:$T$4,0)),"")</f>
        <v/>
      </c>
      <c r="M757" s="48">
        <f>IFERROR(INDEX('04A_국토부원자료'!$A:$T,ROW()+1,MATCH("거래유형",'04A_국토부원자료'!$A$4:$T$4,0)),"")</f>
        <v/>
      </c>
      <c r="N757" s="152">
        <f>IF(B757="","",IF('02_대상물건입력'!B5="",1,IF(ISNUMBER(SEARCH('02_대상물건입력'!B5,B757)),1,0)))</f>
        <v/>
      </c>
      <c r="O757" s="152">
        <f>IF(B757="","",IF('02_대상물건입력'!B6="",1,IF(ISNUMBER(SEARCH('02_대상물건입력'!B6,B757)),1,0)))</f>
        <v/>
      </c>
      <c r="P757" s="152">
        <f>IF(L757="","",IF('02_대상물건입력'!B15="",0,IF(ISNUMBER(SEARCH('02_대상물건입력'!B15,L757)),1,0)))</f>
        <v/>
      </c>
      <c r="Q757" s="152">
        <f>IF(OR(C757="",L757=""),0,IF(AND(TRIM(C757)=TRIM(RIGHT(SUBSTITUTE(TRIM('02_대상물건입력'!$B$7)," ",REPT(" ",99)),99)),IF('02_대상물건입력'!B15="",TRUE(),ISNUMBER(SEARCH('02_대상물건입력'!B15,L757)))),1,0))</f>
        <v/>
      </c>
      <c r="R757" s="175">
        <f>IFERROR(ABS(E757-'02_대상물건입력'!B11)/'02_대상물건입력'!B11,"")</f>
        <v/>
      </c>
      <c r="S757" s="152">
        <f>IFERROR(ABS(J757-'02_대상물건입력'!B10),"")</f>
        <v/>
      </c>
      <c r="T757" s="152">
        <f>IFERROR(ABS('01_설정'!B4-F757),"")</f>
        <v/>
      </c>
      <c r="U757" s="152">
        <f>IFERROR(ABS(K757-YEAR('02_대상물건입력'!B14)),"")</f>
        <v/>
      </c>
      <c r="V757" s="152">
        <f>IF(B757="","",IF(AND(E757&gt;0,F757&gt;0,H757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757=1,TRUE()),R757&lt;='01_설정'!B5,S757&lt;='01_설정'!B6,T757&lt;='01_설정'!B7,U757&lt;='01_설정'!B8),"Y",""))</f>
        <v/>
      </c>
      <c r="W757" s="172">
        <f>IF(V757&lt;&gt;"Y","",MAX(0,(1-R757/'01_설정'!B5))*'01_설정'!B14+MAX(0,(1-S757/'01_설정'!B6))*'01_설정'!B15+MAX(0,(1-T757/'01_설정'!B7))*'01_설정'!B16+MAX(0,(1-U757/'01_설정'!B8))*'01_설정'!B17+O757*'01_설정'!B11+Q757*'01_설정'!B12+P757*'01_설정'!B13+IF(Z757="",0,Z757))</f>
        <v/>
      </c>
      <c r="X757" s="152">
        <f>IF(W757="","",1+COUNTIFS($W$4:$W$3003,"&gt;"&amp;W757)+COUNTIFS($W$4:W757,W757)-1)</f>
        <v/>
      </c>
      <c r="Y757" s="175">
        <f>IF(OR(I757="",'02_대상물건입력'!B19="",'02_대상물건입력'!B19&lt;=0),"",ABS(I757-'02_대상물건입력'!B19)/'02_대상물건입력'!B19)</f>
        <v/>
      </c>
      <c r="Z757" s="172">
        <f>IF(OR(Y757="",'01_설정'!B31="",'01_설정'!B31&lt;=0,'01_설정'!B32="",'01_설정'!B32&lt;=0),"",MAX(0,(1-Y757/'01_설정'!B32))*'01_설정'!B31)</f>
        <v/>
      </c>
    </row>
    <row r="758" ht="17.25" customHeight="1">
      <c r="A758" s="152">
        <f>IF(INDEX('04A_국토부원자료'!$A:$A,ROW()+1)="","",ROW()-3)</f>
        <v/>
      </c>
      <c r="B758" s="48">
        <f>IFERROR(INDEX('04A_국토부원자료'!$A:$T,ROW()+1,MATCH("시군구",'04A_국토부원자료'!$A$4:$T$4,0)),"")</f>
        <v/>
      </c>
      <c r="C758" s="48">
        <f>IF(B758="","",IFERROR(INDEX('04A_국토부원자료'!$A:$T,ROW()+1,MATCH("번지",'04A_국토부원자료'!$A$4:$T$4,0)),""))</f>
        <v/>
      </c>
      <c r="D758" s="48">
        <f>IF(B758="","",IF(Q758=1,'02_대상물건입력'!$B$8,IFERROR(INDEX('04A_국토부원자료'!$A:$T,ROW()+1,MATCH("단지명",'04A_국토부원자료'!$A$4:$T$4,0)),"")))</f>
        <v/>
      </c>
      <c r="E758" s="172">
        <f>IFERROR(VALUE(SUBSTITUTE(INDEX('04A_국토부원자료'!$A:$T,ROW()+1,MATCH("전용면적(㎡)",'04A_국토부원자료'!$A$4:$T$4,0)),",","")),"")</f>
        <v/>
      </c>
      <c r="F7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58" s="51">
        <f>IFERROR(VALUE(SUBSTITUTE(INDEX('04A_국토부원자료'!$A:$T,ROW()+1,MATCH("거래금액(만원)",'04A_국토부원자료'!$A$4:$T$4,0)),",","")),"")</f>
        <v/>
      </c>
      <c r="H758" s="174">
        <f>IF(G758="","",G758*10000)</f>
        <v/>
      </c>
      <c r="I758" s="174">
        <f>IFERROR(IF(AND(H758&gt;0,E758&gt;0),H758/E758,""),"")</f>
        <v/>
      </c>
      <c r="J758" s="152">
        <f>IFERROR(VALUE(SUBSTITUTE(INDEX('04A_국토부원자료'!$A:$T,ROW()+1,MATCH("층",'04A_국토부원자료'!$A$4:$T$4,0)),",","")),"")</f>
        <v/>
      </c>
      <c r="K758" s="152">
        <f>IFERROR(VALUE(SUBSTITUTE(INDEX('04A_국토부원자료'!$A:$T,ROW()+1,MATCH("건축년도",'04A_국토부원자료'!$A$4:$T$4,0)),",","")),"")</f>
        <v/>
      </c>
      <c r="L758" s="176">
        <f>IFERROR(INDEX('04A_국토부원자료'!$A:$T,ROW()+1,MATCH("도로명",'04A_국토부원자료'!$A$4:$T$4,0)),"")</f>
        <v/>
      </c>
      <c r="M758" s="48">
        <f>IFERROR(INDEX('04A_국토부원자료'!$A:$T,ROW()+1,MATCH("거래유형",'04A_국토부원자료'!$A$4:$T$4,0)),"")</f>
        <v/>
      </c>
      <c r="N758" s="152">
        <f>IF(B758="","",IF('02_대상물건입력'!B5="",1,IF(ISNUMBER(SEARCH('02_대상물건입력'!B5,B758)),1,0)))</f>
        <v/>
      </c>
      <c r="O758" s="152">
        <f>IF(B758="","",IF('02_대상물건입력'!B6="",1,IF(ISNUMBER(SEARCH('02_대상물건입력'!B6,B758)),1,0)))</f>
        <v/>
      </c>
      <c r="P758" s="152">
        <f>IF(L758="","",IF('02_대상물건입력'!B15="",0,IF(ISNUMBER(SEARCH('02_대상물건입력'!B15,L758)),1,0)))</f>
        <v/>
      </c>
      <c r="Q758" s="152">
        <f>IF(OR(C758="",L758=""),0,IF(AND(TRIM(C758)=TRIM(RIGHT(SUBSTITUTE(TRIM('02_대상물건입력'!$B$7)," ",REPT(" ",99)),99)),IF('02_대상물건입력'!B15="",TRUE(),ISNUMBER(SEARCH('02_대상물건입력'!B15,L758)))),1,0))</f>
        <v/>
      </c>
      <c r="R758" s="175">
        <f>IFERROR(ABS(E758-'02_대상물건입력'!B11)/'02_대상물건입력'!B11,"")</f>
        <v/>
      </c>
      <c r="S758" s="152">
        <f>IFERROR(ABS(J758-'02_대상물건입력'!B10),"")</f>
        <v/>
      </c>
      <c r="T758" s="152">
        <f>IFERROR(ABS('01_설정'!B4-F758),"")</f>
        <v/>
      </c>
      <c r="U758" s="152">
        <f>IFERROR(ABS(K758-YEAR('02_대상물건입력'!B14)),"")</f>
        <v/>
      </c>
      <c r="V758" s="152">
        <f>IF(B758="","",IF(AND(E758&gt;0,F758&gt;0,H758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758=1,TRUE()),R758&lt;='01_설정'!B5,S758&lt;='01_설정'!B6,T758&lt;='01_설정'!B7,U758&lt;='01_설정'!B8),"Y",""))</f>
        <v/>
      </c>
      <c r="W758" s="172">
        <f>IF(V758&lt;&gt;"Y","",MAX(0,(1-R758/'01_설정'!B5))*'01_설정'!B14+MAX(0,(1-S758/'01_설정'!B6))*'01_설정'!B15+MAX(0,(1-T758/'01_설정'!B7))*'01_설정'!B16+MAX(0,(1-U758/'01_설정'!B8))*'01_설정'!B17+O758*'01_설정'!B11+Q758*'01_설정'!B12+P758*'01_설정'!B13+IF(Z758="",0,Z758))</f>
        <v/>
      </c>
      <c r="X758" s="152">
        <f>IF(W758="","",1+COUNTIFS($W$4:$W$3003,"&gt;"&amp;W758)+COUNTIFS($W$4:W758,W758)-1)</f>
        <v/>
      </c>
      <c r="Y758" s="175">
        <f>IF(OR(I758="",'02_대상물건입력'!B19="",'02_대상물건입력'!B19&lt;=0),"",ABS(I758-'02_대상물건입력'!B19)/'02_대상물건입력'!B19)</f>
        <v/>
      </c>
      <c r="Z758" s="172">
        <f>IF(OR(Y758="",'01_설정'!B31="",'01_설정'!B31&lt;=0,'01_설정'!B32="",'01_설정'!B32&lt;=0),"",MAX(0,(1-Y758/'01_설정'!B32))*'01_설정'!B31)</f>
        <v/>
      </c>
    </row>
    <row r="759" ht="17.25" customHeight="1">
      <c r="A759" s="152">
        <f>IF(INDEX('04A_국토부원자료'!$A:$A,ROW()+1)="","",ROW()-3)</f>
        <v/>
      </c>
      <c r="B759" s="48">
        <f>IFERROR(INDEX('04A_국토부원자료'!$A:$T,ROW()+1,MATCH("시군구",'04A_국토부원자료'!$A$4:$T$4,0)),"")</f>
        <v/>
      </c>
      <c r="C759" s="48">
        <f>IF(B759="","",IFERROR(INDEX('04A_국토부원자료'!$A:$T,ROW()+1,MATCH("번지",'04A_국토부원자료'!$A$4:$T$4,0)),""))</f>
        <v/>
      </c>
      <c r="D759" s="48">
        <f>IF(B759="","",IF(Q759=1,'02_대상물건입력'!$B$8,IFERROR(INDEX('04A_국토부원자료'!$A:$T,ROW()+1,MATCH("단지명",'04A_국토부원자료'!$A$4:$T$4,0)),"")))</f>
        <v/>
      </c>
      <c r="E759" s="172">
        <f>IFERROR(VALUE(SUBSTITUTE(INDEX('04A_국토부원자료'!$A:$T,ROW()+1,MATCH("전용면적(㎡)",'04A_국토부원자료'!$A$4:$T$4,0)),",","")),"")</f>
        <v/>
      </c>
      <c r="F7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59" s="51">
        <f>IFERROR(VALUE(SUBSTITUTE(INDEX('04A_국토부원자료'!$A:$T,ROW()+1,MATCH("거래금액(만원)",'04A_국토부원자료'!$A$4:$T$4,0)),",","")),"")</f>
        <v/>
      </c>
      <c r="H759" s="174">
        <f>IF(G759="","",G759*10000)</f>
        <v/>
      </c>
      <c r="I759" s="174">
        <f>IFERROR(IF(AND(H759&gt;0,E759&gt;0),H759/E759,""),"")</f>
        <v/>
      </c>
      <c r="J759" s="152">
        <f>IFERROR(VALUE(SUBSTITUTE(INDEX('04A_국토부원자료'!$A:$T,ROW()+1,MATCH("층",'04A_국토부원자료'!$A$4:$T$4,0)),",","")),"")</f>
        <v/>
      </c>
      <c r="K759" s="152">
        <f>IFERROR(VALUE(SUBSTITUTE(INDEX('04A_국토부원자료'!$A:$T,ROW()+1,MATCH("건축년도",'04A_국토부원자료'!$A$4:$T$4,0)),",","")),"")</f>
        <v/>
      </c>
      <c r="L759" s="176">
        <f>IFERROR(INDEX('04A_국토부원자료'!$A:$T,ROW()+1,MATCH("도로명",'04A_국토부원자료'!$A$4:$T$4,0)),"")</f>
        <v/>
      </c>
      <c r="M759" s="48">
        <f>IFERROR(INDEX('04A_국토부원자료'!$A:$T,ROW()+1,MATCH("거래유형",'04A_국토부원자료'!$A$4:$T$4,0)),"")</f>
        <v/>
      </c>
      <c r="N759" s="152">
        <f>IF(B759="","",IF('02_대상물건입력'!B5="",1,IF(ISNUMBER(SEARCH('02_대상물건입력'!B5,B759)),1,0)))</f>
        <v/>
      </c>
      <c r="O759" s="152">
        <f>IF(B759="","",IF('02_대상물건입력'!B6="",1,IF(ISNUMBER(SEARCH('02_대상물건입력'!B6,B759)),1,0)))</f>
        <v/>
      </c>
      <c r="P759" s="152">
        <f>IF(L759="","",IF('02_대상물건입력'!B15="",0,IF(ISNUMBER(SEARCH('02_대상물건입력'!B15,L759)),1,0)))</f>
        <v/>
      </c>
      <c r="Q759" s="152">
        <f>IF(OR(C759="",L759=""),0,IF(AND(TRIM(C759)=TRIM(RIGHT(SUBSTITUTE(TRIM('02_대상물건입력'!$B$7)," ",REPT(" ",99)),99)),IF('02_대상물건입력'!B15="",TRUE(),ISNUMBER(SEARCH('02_대상물건입력'!B15,L759)))),1,0))</f>
        <v/>
      </c>
      <c r="R759" s="175">
        <f>IFERROR(ABS(E759-'02_대상물건입력'!B11)/'02_대상물건입력'!B11,"")</f>
        <v/>
      </c>
      <c r="S759" s="152">
        <f>IFERROR(ABS(J759-'02_대상물건입력'!B10),"")</f>
        <v/>
      </c>
      <c r="T759" s="152">
        <f>IFERROR(ABS('01_설정'!B4-F759),"")</f>
        <v/>
      </c>
      <c r="U759" s="152">
        <f>IFERROR(ABS(K759-YEAR('02_대상물건입력'!B14)),"")</f>
        <v/>
      </c>
      <c r="V759" s="152">
        <f>IF(B759="","",IF(AND(E759&gt;0,F759&gt;0,H759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759=1,TRUE()),R759&lt;='01_설정'!B5,S759&lt;='01_설정'!B6,T759&lt;='01_설정'!B7,U759&lt;='01_설정'!B8),"Y",""))</f>
        <v/>
      </c>
      <c r="W759" s="172">
        <f>IF(V759&lt;&gt;"Y","",MAX(0,(1-R759/'01_설정'!B5))*'01_설정'!B14+MAX(0,(1-S759/'01_설정'!B6))*'01_설정'!B15+MAX(0,(1-T759/'01_설정'!B7))*'01_설정'!B16+MAX(0,(1-U759/'01_설정'!B8))*'01_설정'!B17+O759*'01_설정'!B11+Q759*'01_설정'!B12+P759*'01_설정'!B13+IF(Z759="",0,Z759))</f>
        <v/>
      </c>
      <c r="X759" s="152">
        <f>IF(W759="","",1+COUNTIFS($W$4:$W$3003,"&gt;"&amp;W759)+COUNTIFS($W$4:W759,W759)-1)</f>
        <v/>
      </c>
      <c r="Y759" s="175">
        <f>IF(OR(I759="",'02_대상물건입력'!B19="",'02_대상물건입력'!B19&lt;=0),"",ABS(I759-'02_대상물건입력'!B19)/'02_대상물건입력'!B19)</f>
        <v/>
      </c>
      <c r="Z759" s="172">
        <f>IF(OR(Y759="",'01_설정'!B31="",'01_설정'!B31&lt;=0,'01_설정'!B32="",'01_설정'!B32&lt;=0),"",MAX(0,(1-Y759/'01_설정'!B32))*'01_설정'!B31)</f>
        <v/>
      </c>
    </row>
    <row r="760" ht="17.25" customHeight="1">
      <c r="A760" s="152">
        <f>IF(INDEX('04A_국토부원자료'!$A:$A,ROW()+1)="","",ROW()-3)</f>
        <v/>
      </c>
      <c r="B760" s="48">
        <f>IFERROR(INDEX('04A_국토부원자료'!$A:$T,ROW()+1,MATCH("시군구",'04A_국토부원자료'!$A$4:$T$4,0)),"")</f>
        <v/>
      </c>
      <c r="C760" s="48">
        <f>IF(B760="","",IFERROR(INDEX('04A_국토부원자료'!$A:$T,ROW()+1,MATCH("번지",'04A_국토부원자료'!$A$4:$T$4,0)),""))</f>
        <v/>
      </c>
      <c r="D760" s="48">
        <f>IF(B760="","",IF(Q760=1,'02_대상물건입력'!$B$8,IFERROR(INDEX('04A_국토부원자료'!$A:$T,ROW()+1,MATCH("단지명",'04A_국토부원자료'!$A$4:$T$4,0)),"")))</f>
        <v/>
      </c>
      <c r="E760" s="172">
        <f>IFERROR(VALUE(SUBSTITUTE(INDEX('04A_국토부원자료'!$A:$T,ROW()+1,MATCH("전용면적(㎡)",'04A_국토부원자료'!$A$4:$T$4,0)),",","")),"")</f>
        <v/>
      </c>
      <c r="F7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60" s="51">
        <f>IFERROR(VALUE(SUBSTITUTE(INDEX('04A_국토부원자료'!$A:$T,ROW()+1,MATCH("거래금액(만원)",'04A_국토부원자료'!$A$4:$T$4,0)),",","")),"")</f>
        <v/>
      </c>
      <c r="H760" s="174">
        <f>IF(G760="","",G760*10000)</f>
        <v/>
      </c>
      <c r="I760" s="174">
        <f>IFERROR(IF(AND(H760&gt;0,E760&gt;0),H760/E760,""),"")</f>
        <v/>
      </c>
      <c r="J760" s="152">
        <f>IFERROR(VALUE(SUBSTITUTE(INDEX('04A_국토부원자료'!$A:$T,ROW()+1,MATCH("층",'04A_국토부원자료'!$A$4:$T$4,0)),",","")),"")</f>
        <v/>
      </c>
      <c r="K760" s="152">
        <f>IFERROR(VALUE(SUBSTITUTE(INDEX('04A_국토부원자료'!$A:$T,ROW()+1,MATCH("건축년도",'04A_국토부원자료'!$A$4:$T$4,0)),",","")),"")</f>
        <v/>
      </c>
      <c r="L760" s="176">
        <f>IFERROR(INDEX('04A_국토부원자료'!$A:$T,ROW()+1,MATCH("도로명",'04A_국토부원자료'!$A$4:$T$4,0)),"")</f>
        <v/>
      </c>
      <c r="M760" s="48">
        <f>IFERROR(INDEX('04A_국토부원자료'!$A:$T,ROW()+1,MATCH("거래유형",'04A_국토부원자료'!$A$4:$T$4,0)),"")</f>
        <v/>
      </c>
      <c r="N760" s="152">
        <f>IF(B760="","",IF('02_대상물건입력'!B5="",1,IF(ISNUMBER(SEARCH('02_대상물건입력'!B5,B760)),1,0)))</f>
        <v/>
      </c>
      <c r="O760" s="152">
        <f>IF(B760="","",IF('02_대상물건입력'!B6="",1,IF(ISNUMBER(SEARCH('02_대상물건입력'!B6,B760)),1,0)))</f>
        <v/>
      </c>
      <c r="P760" s="152">
        <f>IF(L760="","",IF('02_대상물건입력'!B15="",0,IF(ISNUMBER(SEARCH('02_대상물건입력'!B15,L760)),1,0)))</f>
        <v/>
      </c>
      <c r="Q760" s="152">
        <f>IF(OR(C760="",L760=""),0,IF(AND(TRIM(C760)=TRIM(RIGHT(SUBSTITUTE(TRIM('02_대상물건입력'!$B$7)," ",REPT(" ",99)),99)),IF('02_대상물건입력'!B15="",TRUE(),ISNUMBER(SEARCH('02_대상물건입력'!B15,L760)))),1,0))</f>
        <v/>
      </c>
      <c r="R760" s="175">
        <f>IFERROR(ABS(E760-'02_대상물건입력'!B11)/'02_대상물건입력'!B11,"")</f>
        <v/>
      </c>
      <c r="S760" s="152">
        <f>IFERROR(ABS(J760-'02_대상물건입력'!B10),"")</f>
        <v/>
      </c>
      <c r="T760" s="152">
        <f>IFERROR(ABS('01_설정'!B4-F760),"")</f>
        <v/>
      </c>
      <c r="U760" s="152">
        <f>IFERROR(ABS(K760-YEAR('02_대상물건입력'!B14)),"")</f>
        <v/>
      </c>
      <c r="V760" s="152">
        <f>IF(B760="","",IF(AND(E760&gt;0,F760&gt;0,H760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760=1,TRUE()),R760&lt;='01_설정'!B5,S760&lt;='01_설정'!B6,T760&lt;='01_설정'!B7,U760&lt;='01_설정'!B8),"Y",""))</f>
        <v/>
      </c>
      <c r="W760" s="172">
        <f>IF(V760&lt;&gt;"Y","",MAX(0,(1-R760/'01_설정'!B5))*'01_설정'!B14+MAX(0,(1-S760/'01_설정'!B6))*'01_설정'!B15+MAX(0,(1-T760/'01_설정'!B7))*'01_설정'!B16+MAX(0,(1-U760/'01_설정'!B8))*'01_설정'!B17+O760*'01_설정'!B11+Q760*'01_설정'!B12+P760*'01_설정'!B13+IF(Z760="",0,Z760))</f>
        <v/>
      </c>
      <c r="X760" s="152">
        <f>IF(W760="","",1+COUNTIFS($W$4:$W$3003,"&gt;"&amp;W760)+COUNTIFS($W$4:W760,W760)-1)</f>
        <v/>
      </c>
      <c r="Y760" s="175">
        <f>IF(OR(I760="",'02_대상물건입력'!B19="",'02_대상물건입력'!B19&lt;=0),"",ABS(I760-'02_대상물건입력'!B19)/'02_대상물건입력'!B19)</f>
        <v/>
      </c>
      <c r="Z760" s="172">
        <f>IF(OR(Y760="",'01_설정'!B31="",'01_설정'!B31&lt;=0,'01_설정'!B32="",'01_설정'!B32&lt;=0),"",MAX(0,(1-Y760/'01_설정'!B32))*'01_설정'!B31)</f>
        <v/>
      </c>
    </row>
    <row r="761" ht="17.25" customHeight="1">
      <c r="A761" s="152">
        <f>IF(INDEX('04A_국토부원자료'!$A:$A,ROW()+1)="","",ROW()-3)</f>
        <v/>
      </c>
      <c r="B761" s="48">
        <f>IFERROR(INDEX('04A_국토부원자료'!$A:$T,ROW()+1,MATCH("시군구",'04A_국토부원자료'!$A$4:$T$4,0)),"")</f>
        <v/>
      </c>
      <c r="C761" s="48">
        <f>IF(B761="","",IFERROR(INDEX('04A_국토부원자료'!$A:$T,ROW()+1,MATCH("번지",'04A_국토부원자료'!$A$4:$T$4,0)),""))</f>
        <v/>
      </c>
      <c r="D761" s="48">
        <f>IF(B761="","",IF(Q761=1,'02_대상물건입력'!$B$8,IFERROR(INDEX('04A_국토부원자료'!$A:$T,ROW()+1,MATCH("단지명",'04A_국토부원자료'!$A$4:$T$4,0)),"")))</f>
        <v/>
      </c>
      <c r="E761" s="172">
        <f>IFERROR(VALUE(SUBSTITUTE(INDEX('04A_국토부원자료'!$A:$T,ROW()+1,MATCH("전용면적(㎡)",'04A_국토부원자료'!$A$4:$T$4,0)),",","")),"")</f>
        <v/>
      </c>
      <c r="F7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61" s="51">
        <f>IFERROR(VALUE(SUBSTITUTE(INDEX('04A_국토부원자료'!$A:$T,ROW()+1,MATCH("거래금액(만원)",'04A_국토부원자료'!$A$4:$T$4,0)),",","")),"")</f>
        <v/>
      </c>
      <c r="H761" s="174">
        <f>IF(G761="","",G761*10000)</f>
        <v/>
      </c>
      <c r="I761" s="174">
        <f>IFERROR(IF(AND(H761&gt;0,E761&gt;0),H761/E761,""),"")</f>
        <v/>
      </c>
      <c r="J761" s="152">
        <f>IFERROR(VALUE(SUBSTITUTE(INDEX('04A_국토부원자료'!$A:$T,ROW()+1,MATCH("층",'04A_국토부원자료'!$A$4:$T$4,0)),",","")),"")</f>
        <v/>
      </c>
      <c r="K761" s="152">
        <f>IFERROR(VALUE(SUBSTITUTE(INDEX('04A_국토부원자료'!$A:$T,ROW()+1,MATCH("건축년도",'04A_국토부원자료'!$A$4:$T$4,0)),",","")),"")</f>
        <v/>
      </c>
      <c r="L761" s="176">
        <f>IFERROR(INDEX('04A_국토부원자료'!$A:$T,ROW()+1,MATCH("도로명",'04A_국토부원자료'!$A$4:$T$4,0)),"")</f>
        <v/>
      </c>
      <c r="M761" s="48">
        <f>IFERROR(INDEX('04A_국토부원자료'!$A:$T,ROW()+1,MATCH("거래유형",'04A_국토부원자료'!$A$4:$T$4,0)),"")</f>
        <v/>
      </c>
      <c r="N761" s="152">
        <f>IF(B761="","",IF('02_대상물건입력'!B5="",1,IF(ISNUMBER(SEARCH('02_대상물건입력'!B5,B761)),1,0)))</f>
        <v/>
      </c>
      <c r="O761" s="152">
        <f>IF(B761="","",IF('02_대상물건입력'!B6="",1,IF(ISNUMBER(SEARCH('02_대상물건입력'!B6,B761)),1,0)))</f>
        <v/>
      </c>
      <c r="P761" s="152">
        <f>IF(L761="","",IF('02_대상물건입력'!B15="",0,IF(ISNUMBER(SEARCH('02_대상물건입력'!B15,L761)),1,0)))</f>
        <v/>
      </c>
      <c r="Q761" s="152">
        <f>IF(OR(C761="",L761=""),0,IF(AND(TRIM(C761)=TRIM(RIGHT(SUBSTITUTE(TRIM('02_대상물건입력'!$B$7)," ",REPT(" ",99)),99)),IF('02_대상물건입력'!B15="",TRUE(),ISNUMBER(SEARCH('02_대상물건입력'!B15,L761)))),1,0))</f>
        <v/>
      </c>
      <c r="R761" s="175">
        <f>IFERROR(ABS(E761-'02_대상물건입력'!B11)/'02_대상물건입력'!B11,"")</f>
        <v/>
      </c>
      <c r="S761" s="152">
        <f>IFERROR(ABS(J761-'02_대상물건입력'!B10),"")</f>
        <v/>
      </c>
      <c r="T761" s="152">
        <f>IFERROR(ABS('01_설정'!B4-F761),"")</f>
        <v/>
      </c>
      <c r="U761" s="152">
        <f>IFERROR(ABS(K761-YEAR('02_대상물건입력'!B14)),"")</f>
        <v/>
      </c>
      <c r="V761" s="152">
        <f>IF(B761="","",IF(AND(E761&gt;0,F761&gt;0,H761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761=1,TRUE()),R761&lt;='01_설정'!B5,S761&lt;='01_설정'!B6,T761&lt;='01_설정'!B7,U761&lt;='01_설정'!B8),"Y",""))</f>
        <v/>
      </c>
      <c r="W761" s="172">
        <f>IF(V761&lt;&gt;"Y","",MAX(0,(1-R761/'01_설정'!B5))*'01_설정'!B14+MAX(0,(1-S761/'01_설정'!B6))*'01_설정'!B15+MAX(0,(1-T761/'01_설정'!B7))*'01_설정'!B16+MAX(0,(1-U761/'01_설정'!B8))*'01_설정'!B17+O761*'01_설정'!B11+Q761*'01_설정'!B12+P761*'01_설정'!B13+IF(Z761="",0,Z761))</f>
        <v/>
      </c>
      <c r="X761" s="152">
        <f>IF(W761="","",1+COUNTIFS($W$4:$W$3003,"&gt;"&amp;W761)+COUNTIFS($W$4:W761,W761)-1)</f>
        <v/>
      </c>
      <c r="Y761" s="175">
        <f>IF(OR(I761="",'02_대상물건입력'!B19="",'02_대상물건입력'!B19&lt;=0),"",ABS(I761-'02_대상물건입력'!B19)/'02_대상물건입력'!B19)</f>
        <v/>
      </c>
      <c r="Z761" s="172">
        <f>IF(OR(Y761="",'01_설정'!B31="",'01_설정'!B31&lt;=0,'01_설정'!B32="",'01_설정'!B32&lt;=0),"",MAX(0,(1-Y761/'01_설정'!B32))*'01_설정'!B31)</f>
        <v/>
      </c>
    </row>
    <row r="762" ht="17.25" customHeight="1">
      <c r="A762" s="152">
        <f>IF(INDEX('04A_국토부원자료'!$A:$A,ROW()+1)="","",ROW()-3)</f>
        <v/>
      </c>
      <c r="B762" s="48">
        <f>IFERROR(INDEX('04A_국토부원자료'!$A:$T,ROW()+1,MATCH("시군구",'04A_국토부원자료'!$A$4:$T$4,0)),"")</f>
        <v/>
      </c>
      <c r="C762" s="48">
        <f>IF(B762="","",IFERROR(INDEX('04A_국토부원자료'!$A:$T,ROW()+1,MATCH("번지",'04A_국토부원자료'!$A$4:$T$4,0)),""))</f>
        <v/>
      </c>
      <c r="D762" s="48">
        <f>IF(B762="","",IF(Q762=1,'02_대상물건입력'!$B$8,IFERROR(INDEX('04A_국토부원자료'!$A:$T,ROW()+1,MATCH("단지명",'04A_국토부원자료'!$A$4:$T$4,0)),"")))</f>
        <v/>
      </c>
      <c r="E762" s="172">
        <f>IFERROR(VALUE(SUBSTITUTE(INDEX('04A_국토부원자료'!$A:$T,ROW()+1,MATCH("전용면적(㎡)",'04A_국토부원자료'!$A$4:$T$4,0)),",","")),"")</f>
        <v/>
      </c>
      <c r="F7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62" s="51">
        <f>IFERROR(VALUE(SUBSTITUTE(INDEX('04A_국토부원자료'!$A:$T,ROW()+1,MATCH("거래금액(만원)",'04A_국토부원자료'!$A$4:$T$4,0)),",","")),"")</f>
        <v/>
      </c>
      <c r="H762" s="174">
        <f>IF(G762="","",G762*10000)</f>
        <v/>
      </c>
      <c r="I762" s="174">
        <f>IFERROR(IF(AND(H762&gt;0,E762&gt;0),H762/E762,""),"")</f>
        <v/>
      </c>
      <c r="J762" s="152">
        <f>IFERROR(VALUE(SUBSTITUTE(INDEX('04A_국토부원자료'!$A:$T,ROW()+1,MATCH("층",'04A_국토부원자료'!$A$4:$T$4,0)),",","")),"")</f>
        <v/>
      </c>
      <c r="K762" s="152">
        <f>IFERROR(VALUE(SUBSTITUTE(INDEX('04A_국토부원자료'!$A:$T,ROW()+1,MATCH("건축년도",'04A_국토부원자료'!$A$4:$T$4,0)),",","")),"")</f>
        <v/>
      </c>
      <c r="L762" s="176">
        <f>IFERROR(INDEX('04A_국토부원자료'!$A:$T,ROW()+1,MATCH("도로명",'04A_국토부원자료'!$A$4:$T$4,0)),"")</f>
        <v/>
      </c>
      <c r="M762" s="48">
        <f>IFERROR(INDEX('04A_국토부원자료'!$A:$T,ROW()+1,MATCH("거래유형",'04A_국토부원자료'!$A$4:$T$4,0)),"")</f>
        <v/>
      </c>
      <c r="N762" s="152">
        <f>IF(B762="","",IF('02_대상물건입력'!B5="",1,IF(ISNUMBER(SEARCH('02_대상물건입력'!B5,B762)),1,0)))</f>
        <v/>
      </c>
      <c r="O762" s="152">
        <f>IF(B762="","",IF('02_대상물건입력'!B6="",1,IF(ISNUMBER(SEARCH('02_대상물건입력'!B6,B762)),1,0)))</f>
        <v/>
      </c>
      <c r="P762" s="152">
        <f>IF(L762="","",IF('02_대상물건입력'!B15="",0,IF(ISNUMBER(SEARCH('02_대상물건입력'!B15,L762)),1,0)))</f>
        <v/>
      </c>
      <c r="Q762" s="152">
        <f>IF(OR(C762="",L762=""),0,IF(AND(TRIM(C762)=TRIM(RIGHT(SUBSTITUTE(TRIM('02_대상물건입력'!$B$7)," ",REPT(" ",99)),99)),IF('02_대상물건입력'!B15="",TRUE(),ISNUMBER(SEARCH('02_대상물건입력'!B15,L762)))),1,0))</f>
        <v/>
      </c>
      <c r="R762" s="175">
        <f>IFERROR(ABS(E762-'02_대상물건입력'!B11)/'02_대상물건입력'!B11,"")</f>
        <v/>
      </c>
      <c r="S762" s="152">
        <f>IFERROR(ABS(J762-'02_대상물건입력'!B10),"")</f>
        <v/>
      </c>
      <c r="T762" s="152">
        <f>IFERROR(ABS('01_설정'!B4-F762),"")</f>
        <v/>
      </c>
      <c r="U762" s="152">
        <f>IFERROR(ABS(K762-YEAR('02_대상물건입력'!B14)),"")</f>
        <v/>
      </c>
      <c r="V762" s="152">
        <f>IF(B762="","",IF(AND(E762&gt;0,F762&gt;0,H762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762=1,TRUE()),R762&lt;='01_설정'!B5,S762&lt;='01_설정'!B6,T762&lt;='01_설정'!B7,U762&lt;='01_설정'!B8),"Y",""))</f>
        <v/>
      </c>
      <c r="W762" s="172">
        <f>IF(V762&lt;&gt;"Y","",MAX(0,(1-R762/'01_설정'!B5))*'01_설정'!B14+MAX(0,(1-S762/'01_설정'!B6))*'01_설정'!B15+MAX(0,(1-T762/'01_설정'!B7))*'01_설정'!B16+MAX(0,(1-U762/'01_설정'!B8))*'01_설정'!B17+O762*'01_설정'!B11+Q762*'01_설정'!B12+P762*'01_설정'!B13+IF(Z762="",0,Z762))</f>
        <v/>
      </c>
      <c r="X762" s="152">
        <f>IF(W762="","",1+COUNTIFS($W$4:$W$3003,"&gt;"&amp;W762)+COUNTIFS($W$4:W762,W762)-1)</f>
        <v/>
      </c>
      <c r="Y762" s="175">
        <f>IF(OR(I762="",'02_대상물건입력'!B19="",'02_대상물건입력'!B19&lt;=0),"",ABS(I762-'02_대상물건입력'!B19)/'02_대상물건입력'!B19)</f>
        <v/>
      </c>
      <c r="Z762" s="172">
        <f>IF(OR(Y762="",'01_설정'!B31="",'01_설정'!B31&lt;=0,'01_설정'!B32="",'01_설정'!B32&lt;=0),"",MAX(0,(1-Y762/'01_설정'!B32))*'01_설정'!B31)</f>
        <v/>
      </c>
    </row>
    <row r="763" ht="17.25" customHeight="1">
      <c r="A763" s="152">
        <f>IF(INDEX('04A_국토부원자료'!$A:$A,ROW()+1)="","",ROW()-3)</f>
        <v/>
      </c>
      <c r="B763" s="48">
        <f>IFERROR(INDEX('04A_국토부원자료'!$A:$T,ROW()+1,MATCH("시군구",'04A_국토부원자료'!$A$4:$T$4,0)),"")</f>
        <v/>
      </c>
      <c r="C763" s="48">
        <f>IF(B763="","",IFERROR(INDEX('04A_국토부원자료'!$A:$T,ROW()+1,MATCH("번지",'04A_국토부원자료'!$A$4:$T$4,0)),""))</f>
        <v/>
      </c>
      <c r="D763" s="48">
        <f>IF(B763="","",IF(Q763=1,'02_대상물건입력'!$B$8,IFERROR(INDEX('04A_국토부원자료'!$A:$T,ROW()+1,MATCH("단지명",'04A_국토부원자료'!$A$4:$T$4,0)),"")))</f>
        <v/>
      </c>
      <c r="E763" s="172">
        <f>IFERROR(VALUE(SUBSTITUTE(INDEX('04A_국토부원자료'!$A:$T,ROW()+1,MATCH("전용면적(㎡)",'04A_국토부원자료'!$A$4:$T$4,0)),",","")),"")</f>
        <v/>
      </c>
      <c r="F7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63" s="51">
        <f>IFERROR(VALUE(SUBSTITUTE(INDEX('04A_국토부원자료'!$A:$T,ROW()+1,MATCH("거래금액(만원)",'04A_국토부원자료'!$A$4:$T$4,0)),",","")),"")</f>
        <v/>
      </c>
      <c r="H763" s="174">
        <f>IF(G763="","",G763*10000)</f>
        <v/>
      </c>
      <c r="I763" s="174">
        <f>IFERROR(IF(AND(H763&gt;0,E763&gt;0),H763/E763,""),"")</f>
        <v/>
      </c>
      <c r="J763" s="152">
        <f>IFERROR(VALUE(SUBSTITUTE(INDEX('04A_국토부원자료'!$A:$T,ROW()+1,MATCH("층",'04A_국토부원자료'!$A$4:$T$4,0)),",","")),"")</f>
        <v/>
      </c>
      <c r="K763" s="152">
        <f>IFERROR(VALUE(SUBSTITUTE(INDEX('04A_국토부원자료'!$A:$T,ROW()+1,MATCH("건축년도",'04A_국토부원자료'!$A$4:$T$4,0)),",","")),"")</f>
        <v/>
      </c>
      <c r="L763" s="176">
        <f>IFERROR(INDEX('04A_국토부원자료'!$A:$T,ROW()+1,MATCH("도로명",'04A_국토부원자료'!$A$4:$T$4,0)),"")</f>
        <v/>
      </c>
      <c r="M763" s="48">
        <f>IFERROR(INDEX('04A_국토부원자료'!$A:$T,ROW()+1,MATCH("거래유형",'04A_국토부원자료'!$A$4:$T$4,0)),"")</f>
        <v/>
      </c>
      <c r="N763" s="152">
        <f>IF(B763="","",IF('02_대상물건입력'!B5="",1,IF(ISNUMBER(SEARCH('02_대상물건입력'!B5,B763)),1,0)))</f>
        <v/>
      </c>
      <c r="O763" s="152">
        <f>IF(B763="","",IF('02_대상물건입력'!B6="",1,IF(ISNUMBER(SEARCH('02_대상물건입력'!B6,B763)),1,0)))</f>
        <v/>
      </c>
      <c r="P763" s="152">
        <f>IF(L763="","",IF('02_대상물건입력'!B15="",0,IF(ISNUMBER(SEARCH('02_대상물건입력'!B15,L763)),1,0)))</f>
        <v/>
      </c>
      <c r="Q763" s="152">
        <f>IF(OR(C763="",L763=""),0,IF(AND(TRIM(C763)=TRIM(RIGHT(SUBSTITUTE(TRIM('02_대상물건입력'!$B$7)," ",REPT(" ",99)),99)),IF('02_대상물건입력'!B15="",TRUE(),ISNUMBER(SEARCH('02_대상물건입력'!B15,L763)))),1,0))</f>
        <v/>
      </c>
      <c r="R763" s="175">
        <f>IFERROR(ABS(E763-'02_대상물건입력'!B11)/'02_대상물건입력'!B11,"")</f>
        <v/>
      </c>
      <c r="S763" s="152">
        <f>IFERROR(ABS(J763-'02_대상물건입력'!B10),"")</f>
        <v/>
      </c>
      <c r="T763" s="152">
        <f>IFERROR(ABS('01_설정'!B4-F763),"")</f>
        <v/>
      </c>
      <c r="U763" s="152">
        <f>IFERROR(ABS(K763-YEAR('02_대상물건입력'!B14)),"")</f>
        <v/>
      </c>
      <c r="V763" s="152">
        <f>IF(B763="","",IF(AND(E763&gt;0,F763&gt;0,H763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763=1,TRUE()),R763&lt;='01_설정'!B5,S763&lt;='01_설정'!B6,T763&lt;='01_설정'!B7,U763&lt;='01_설정'!B8),"Y",""))</f>
        <v/>
      </c>
      <c r="W763" s="172">
        <f>IF(V763&lt;&gt;"Y","",MAX(0,(1-R763/'01_설정'!B5))*'01_설정'!B14+MAX(0,(1-S763/'01_설정'!B6))*'01_설정'!B15+MAX(0,(1-T763/'01_설정'!B7))*'01_설정'!B16+MAX(0,(1-U763/'01_설정'!B8))*'01_설정'!B17+O763*'01_설정'!B11+Q763*'01_설정'!B12+P763*'01_설정'!B13+IF(Z763="",0,Z763))</f>
        <v/>
      </c>
      <c r="X763" s="152">
        <f>IF(W763="","",1+COUNTIFS($W$4:$W$3003,"&gt;"&amp;W763)+COUNTIFS($W$4:W763,W763)-1)</f>
        <v/>
      </c>
      <c r="Y763" s="175">
        <f>IF(OR(I763="",'02_대상물건입력'!B19="",'02_대상물건입력'!B19&lt;=0),"",ABS(I763-'02_대상물건입력'!B19)/'02_대상물건입력'!B19)</f>
        <v/>
      </c>
      <c r="Z763" s="172">
        <f>IF(OR(Y763="",'01_설정'!B31="",'01_설정'!B31&lt;=0,'01_설정'!B32="",'01_설정'!B32&lt;=0),"",MAX(0,(1-Y763/'01_설정'!B32))*'01_설정'!B31)</f>
        <v/>
      </c>
    </row>
    <row r="764" ht="17.25" customHeight="1">
      <c r="A764" s="152">
        <f>IF(INDEX('04A_국토부원자료'!$A:$A,ROW()+1)="","",ROW()-3)</f>
        <v/>
      </c>
      <c r="B764" s="48">
        <f>IFERROR(INDEX('04A_국토부원자료'!$A:$T,ROW()+1,MATCH("시군구",'04A_국토부원자료'!$A$4:$T$4,0)),"")</f>
        <v/>
      </c>
      <c r="C764" s="48">
        <f>IF(B764="","",IFERROR(INDEX('04A_국토부원자료'!$A:$T,ROW()+1,MATCH("번지",'04A_국토부원자료'!$A$4:$T$4,0)),""))</f>
        <v/>
      </c>
      <c r="D764" s="48">
        <f>IF(B764="","",IF(Q764=1,'02_대상물건입력'!$B$8,IFERROR(INDEX('04A_국토부원자료'!$A:$T,ROW()+1,MATCH("단지명",'04A_국토부원자료'!$A$4:$T$4,0)),"")))</f>
        <v/>
      </c>
      <c r="E764" s="172">
        <f>IFERROR(VALUE(SUBSTITUTE(INDEX('04A_국토부원자료'!$A:$T,ROW()+1,MATCH("전용면적(㎡)",'04A_국토부원자료'!$A$4:$T$4,0)),",","")),"")</f>
        <v/>
      </c>
      <c r="F7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64" s="51">
        <f>IFERROR(VALUE(SUBSTITUTE(INDEX('04A_국토부원자료'!$A:$T,ROW()+1,MATCH("거래금액(만원)",'04A_국토부원자료'!$A$4:$T$4,0)),",","")),"")</f>
        <v/>
      </c>
      <c r="H764" s="174">
        <f>IF(G764="","",G764*10000)</f>
        <v/>
      </c>
      <c r="I764" s="174">
        <f>IFERROR(IF(AND(H764&gt;0,E764&gt;0),H764/E764,""),"")</f>
        <v/>
      </c>
      <c r="J764" s="152">
        <f>IFERROR(VALUE(SUBSTITUTE(INDEX('04A_국토부원자료'!$A:$T,ROW()+1,MATCH("층",'04A_국토부원자료'!$A$4:$T$4,0)),",","")),"")</f>
        <v/>
      </c>
      <c r="K764" s="152">
        <f>IFERROR(VALUE(SUBSTITUTE(INDEX('04A_국토부원자료'!$A:$T,ROW()+1,MATCH("건축년도",'04A_국토부원자료'!$A$4:$T$4,0)),",","")),"")</f>
        <v/>
      </c>
      <c r="L764" s="176">
        <f>IFERROR(INDEX('04A_국토부원자료'!$A:$T,ROW()+1,MATCH("도로명",'04A_국토부원자료'!$A$4:$T$4,0)),"")</f>
        <v/>
      </c>
      <c r="M764" s="48">
        <f>IFERROR(INDEX('04A_국토부원자료'!$A:$T,ROW()+1,MATCH("거래유형",'04A_국토부원자료'!$A$4:$T$4,0)),"")</f>
        <v/>
      </c>
      <c r="N764" s="152">
        <f>IF(B764="","",IF('02_대상물건입력'!B5="",1,IF(ISNUMBER(SEARCH('02_대상물건입력'!B5,B764)),1,0)))</f>
        <v/>
      </c>
      <c r="O764" s="152">
        <f>IF(B764="","",IF('02_대상물건입력'!B6="",1,IF(ISNUMBER(SEARCH('02_대상물건입력'!B6,B764)),1,0)))</f>
        <v/>
      </c>
      <c r="P764" s="152">
        <f>IF(L764="","",IF('02_대상물건입력'!B15="",0,IF(ISNUMBER(SEARCH('02_대상물건입력'!B15,L764)),1,0)))</f>
        <v/>
      </c>
      <c r="Q764" s="152">
        <f>IF(OR(C764="",L764=""),0,IF(AND(TRIM(C764)=TRIM(RIGHT(SUBSTITUTE(TRIM('02_대상물건입력'!$B$7)," ",REPT(" ",99)),99)),IF('02_대상물건입력'!B15="",TRUE(),ISNUMBER(SEARCH('02_대상물건입력'!B15,L764)))),1,0))</f>
        <v/>
      </c>
      <c r="R764" s="175">
        <f>IFERROR(ABS(E764-'02_대상물건입력'!B11)/'02_대상물건입력'!B11,"")</f>
        <v/>
      </c>
      <c r="S764" s="152">
        <f>IFERROR(ABS(J764-'02_대상물건입력'!B10),"")</f>
        <v/>
      </c>
      <c r="T764" s="152">
        <f>IFERROR(ABS('01_설정'!B4-F764),"")</f>
        <v/>
      </c>
      <c r="U764" s="152">
        <f>IFERROR(ABS(K764-YEAR('02_대상물건입력'!B14)),"")</f>
        <v/>
      </c>
      <c r="V764" s="152">
        <f>IF(B764="","",IF(AND(E764&gt;0,F764&gt;0,H764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764=1,TRUE()),R764&lt;='01_설정'!B5,S764&lt;='01_설정'!B6,T764&lt;='01_설정'!B7,U764&lt;='01_설정'!B8),"Y",""))</f>
        <v/>
      </c>
      <c r="W764" s="172">
        <f>IF(V764&lt;&gt;"Y","",MAX(0,(1-R764/'01_설정'!B5))*'01_설정'!B14+MAX(0,(1-S764/'01_설정'!B6))*'01_설정'!B15+MAX(0,(1-T764/'01_설정'!B7))*'01_설정'!B16+MAX(0,(1-U764/'01_설정'!B8))*'01_설정'!B17+O764*'01_설정'!B11+Q764*'01_설정'!B12+P764*'01_설정'!B13+IF(Z764="",0,Z764))</f>
        <v/>
      </c>
      <c r="X764" s="152">
        <f>IF(W764="","",1+COUNTIFS($W$4:$W$3003,"&gt;"&amp;W764)+COUNTIFS($W$4:W764,W764)-1)</f>
        <v/>
      </c>
      <c r="Y764" s="175">
        <f>IF(OR(I764="",'02_대상물건입력'!B19="",'02_대상물건입력'!B19&lt;=0),"",ABS(I764-'02_대상물건입력'!B19)/'02_대상물건입력'!B19)</f>
        <v/>
      </c>
      <c r="Z764" s="172">
        <f>IF(OR(Y764="",'01_설정'!B31="",'01_설정'!B31&lt;=0,'01_설정'!B32="",'01_설정'!B32&lt;=0),"",MAX(0,(1-Y764/'01_설정'!B32))*'01_설정'!B31)</f>
        <v/>
      </c>
    </row>
    <row r="765" ht="17.25" customHeight="1">
      <c r="A765" s="152">
        <f>IF(INDEX('04A_국토부원자료'!$A:$A,ROW()+1)="","",ROW()-3)</f>
        <v/>
      </c>
      <c r="B765" s="48">
        <f>IFERROR(INDEX('04A_국토부원자료'!$A:$T,ROW()+1,MATCH("시군구",'04A_국토부원자료'!$A$4:$T$4,0)),"")</f>
        <v/>
      </c>
      <c r="C765" s="48">
        <f>IF(B765="","",IFERROR(INDEX('04A_국토부원자료'!$A:$T,ROW()+1,MATCH("번지",'04A_국토부원자료'!$A$4:$T$4,0)),""))</f>
        <v/>
      </c>
      <c r="D765" s="48">
        <f>IF(B765="","",IF(Q765=1,'02_대상물건입력'!$B$8,IFERROR(INDEX('04A_국토부원자료'!$A:$T,ROW()+1,MATCH("단지명",'04A_국토부원자료'!$A$4:$T$4,0)),"")))</f>
        <v/>
      </c>
      <c r="E765" s="172">
        <f>IFERROR(VALUE(SUBSTITUTE(INDEX('04A_국토부원자료'!$A:$T,ROW()+1,MATCH("전용면적(㎡)",'04A_국토부원자료'!$A$4:$T$4,0)),",","")),"")</f>
        <v/>
      </c>
      <c r="F7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65" s="51">
        <f>IFERROR(VALUE(SUBSTITUTE(INDEX('04A_국토부원자료'!$A:$T,ROW()+1,MATCH("거래금액(만원)",'04A_국토부원자료'!$A$4:$T$4,0)),",","")),"")</f>
        <v/>
      </c>
      <c r="H765" s="174">
        <f>IF(G765="","",G765*10000)</f>
        <v/>
      </c>
      <c r="I765" s="174">
        <f>IFERROR(IF(AND(H765&gt;0,E765&gt;0),H765/E765,""),"")</f>
        <v/>
      </c>
      <c r="J765" s="152">
        <f>IFERROR(VALUE(SUBSTITUTE(INDEX('04A_국토부원자료'!$A:$T,ROW()+1,MATCH("층",'04A_국토부원자료'!$A$4:$T$4,0)),",","")),"")</f>
        <v/>
      </c>
      <c r="K765" s="152">
        <f>IFERROR(VALUE(SUBSTITUTE(INDEX('04A_국토부원자료'!$A:$T,ROW()+1,MATCH("건축년도",'04A_국토부원자료'!$A$4:$T$4,0)),",","")),"")</f>
        <v/>
      </c>
      <c r="L765" s="176">
        <f>IFERROR(INDEX('04A_국토부원자료'!$A:$T,ROW()+1,MATCH("도로명",'04A_국토부원자료'!$A$4:$T$4,0)),"")</f>
        <v/>
      </c>
      <c r="M765" s="48">
        <f>IFERROR(INDEX('04A_국토부원자료'!$A:$T,ROW()+1,MATCH("거래유형",'04A_국토부원자료'!$A$4:$T$4,0)),"")</f>
        <v/>
      </c>
      <c r="N765" s="152">
        <f>IF(B765="","",IF('02_대상물건입력'!B5="",1,IF(ISNUMBER(SEARCH('02_대상물건입력'!B5,B765)),1,0)))</f>
        <v/>
      </c>
      <c r="O765" s="152">
        <f>IF(B765="","",IF('02_대상물건입력'!B6="",1,IF(ISNUMBER(SEARCH('02_대상물건입력'!B6,B765)),1,0)))</f>
        <v/>
      </c>
      <c r="P765" s="152">
        <f>IF(L765="","",IF('02_대상물건입력'!B15="",0,IF(ISNUMBER(SEARCH('02_대상물건입력'!B15,L765)),1,0)))</f>
        <v/>
      </c>
      <c r="Q765" s="152">
        <f>IF(OR(C765="",L765=""),0,IF(AND(TRIM(C765)=TRIM(RIGHT(SUBSTITUTE(TRIM('02_대상물건입력'!$B$7)," ",REPT(" ",99)),99)),IF('02_대상물건입력'!B15="",TRUE(),ISNUMBER(SEARCH('02_대상물건입력'!B15,L765)))),1,0))</f>
        <v/>
      </c>
      <c r="R765" s="175">
        <f>IFERROR(ABS(E765-'02_대상물건입력'!B11)/'02_대상물건입력'!B11,"")</f>
        <v/>
      </c>
      <c r="S765" s="152">
        <f>IFERROR(ABS(J765-'02_대상물건입력'!B10),"")</f>
        <v/>
      </c>
      <c r="T765" s="152">
        <f>IFERROR(ABS('01_설정'!B4-F765),"")</f>
        <v/>
      </c>
      <c r="U765" s="152">
        <f>IFERROR(ABS(K765-YEAR('02_대상물건입력'!B14)),"")</f>
        <v/>
      </c>
      <c r="V765" s="152">
        <f>IF(B765="","",IF(AND(E765&gt;0,F765&gt;0,H765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765=1,TRUE()),R765&lt;='01_설정'!B5,S765&lt;='01_설정'!B6,T765&lt;='01_설정'!B7,U765&lt;='01_설정'!B8),"Y",""))</f>
        <v/>
      </c>
      <c r="W765" s="172">
        <f>IF(V765&lt;&gt;"Y","",MAX(0,(1-R765/'01_설정'!B5))*'01_설정'!B14+MAX(0,(1-S765/'01_설정'!B6))*'01_설정'!B15+MAX(0,(1-T765/'01_설정'!B7))*'01_설정'!B16+MAX(0,(1-U765/'01_설정'!B8))*'01_설정'!B17+O765*'01_설정'!B11+Q765*'01_설정'!B12+P765*'01_설정'!B13+IF(Z765="",0,Z765))</f>
        <v/>
      </c>
      <c r="X765" s="152">
        <f>IF(W765="","",1+COUNTIFS($W$4:$W$3003,"&gt;"&amp;W765)+COUNTIFS($W$4:W765,W765)-1)</f>
        <v/>
      </c>
      <c r="Y765" s="175">
        <f>IF(OR(I765="",'02_대상물건입력'!B19="",'02_대상물건입력'!B19&lt;=0),"",ABS(I765-'02_대상물건입력'!B19)/'02_대상물건입력'!B19)</f>
        <v/>
      </c>
      <c r="Z765" s="172">
        <f>IF(OR(Y765="",'01_설정'!B31="",'01_설정'!B31&lt;=0,'01_설정'!B32="",'01_설정'!B32&lt;=0),"",MAX(0,(1-Y765/'01_설정'!B32))*'01_설정'!B31)</f>
        <v/>
      </c>
    </row>
    <row r="766" ht="17.25" customHeight="1">
      <c r="A766" s="152">
        <f>IF(INDEX('04A_국토부원자료'!$A:$A,ROW()+1)="","",ROW()-3)</f>
        <v/>
      </c>
      <c r="B766" s="48">
        <f>IFERROR(INDEX('04A_국토부원자료'!$A:$T,ROW()+1,MATCH("시군구",'04A_국토부원자료'!$A$4:$T$4,0)),"")</f>
        <v/>
      </c>
      <c r="C766" s="48">
        <f>IF(B766="","",IFERROR(INDEX('04A_국토부원자료'!$A:$T,ROW()+1,MATCH("번지",'04A_국토부원자료'!$A$4:$T$4,0)),""))</f>
        <v/>
      </c>
      <c r="D766" s="48">
        <f>IF(B766="","",IF(Q766=1,'02_대상물건입력'!$B$8,IFERROR(INDEX('04A_국토부원자료'!$A:$T,ROW()+1,MATCH("단지명",'04A_국토부원자료'!$A$4:$T$4,0)),"")))</f>
        <v/>
      </c>
      <c r="E766" s="172">
        <f>IFERROR(VALUE(SUBSTITUTE(INDEX('04A_국토부원자료'!$A:$T,ROW()+1,MATCH("전용면적(㎡)",'04A_국토부원자료'!$A$4:$T$4,0)),",","")),"")</f>
        <v/>
      </c>
      <c r="F7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66" s="51">
        <f>IFERROR(VALUE(SUBSTITUTE(INDEX('04A_국토부원자료'!$A:$T,ROW()+1,MATCH("거래금액(만원)",'04A_국토부원자료'!$A$4:$T$4,0)),",","")),"")</f>
        <v/>
      </c>
      <c r="H766" s="174">
        <f>IF(G766="","",G766*10000)</f>
        <v/>
      </c>
      <c r="I766" s="174">
        <f>IFERROR(IF(AND(H766&gt;0,E766&gt;0),H766/E766,""),"")</f>
        <v/>
      </c>
      <c r="J766" s="152">
        <f>IFERROR(VALUE(SUBSTITUTE(INDEX('04A_국토부원자료'!$A:$T,ROW()+1,MATCH("층",'04A_국토부원자료'!$A$4:$T$4,0)),",","")),"")</f>
        <v/>
      </c>
      <c r="K766" s="152">
        <f>IFERROR(VALUE(SUBSTITUTE(INDEX('04A_국토부원자료'!$A:$T,ROW()+1,MATCH("건축년도",'04A_국토부원자료'!$A$4:$T$4,0)),",","")),"")</f>
        <v/>
      </c>
      <c r="L766" s="176">
        <f>IFERROR(INDEX('04A_국토부원자료'!$A:$T,ROW()+1,MATCH("도로명",'04A_국토부원자료'!$A$4:$T$4,0)),"")</f>
        <v/>
      </c>
      <c r="M766" s="48">
        <f>IFERROR(INDEX('04A_국토부원자료'!$A:$T,ROW()+1,MATCH("거래유형",'04A_국토부원자료'!$A$4:$T$4,0)),"")</f>
        <v/>
      </c>
      <c r="N766" s="152">
        <f>IF(B766="","",IF('02_대상물건입력'!B5="",1,IF(ISNUMBER(SEARCH('02_대상물건입력'!B5,B766)),1,0)))</f>
        <v/>
      </c>
      <c r="O766" s="152">
        <f>IF(B766="","",IF('02_대상물건입력'!B6="",1,IF(ISNUMBER(SEARCH('02_대상물건입력'!B6,B766)),1,0)))</f>
        <v/>
      </c>
      <c r="P766" s="152">
        <f>IF(L766="","",IF('02_대상물건입력'!B15="",0,IF(ISNUMBER(SEARCH('02_대상물건입력'!B15,L766)),1,0)))</f>
        <v/>
      </c>
      <c r="Q766" s="152">
        <f>IF(OR(C766="",L766=""),0,IF(AND(TRIM(C766)=TRIM(RIGHT(SUBSTITUTE(TRIM('02_대상물건입력'!$B$7)," ",REPT(" ",99)),99)),IF('02_대상물건입력'!B15="",TRUE(),ISNUMBER(SEARCH('02_대상물건입력'!B15,L766)))),1,0))</f>
        <v/>
      </c>
      <c r="R766" s="175">
        <f>IFERROR(ABS(E766-'02_대상물건입력'!B11)/'02_대상물건입력'!B11,"")</f>
        <v/>
      </c>
      <c r="S766" s="152">
        <f>IFERROR(ABS(J766-'02_대상물건입력'!B10),"")</f>
        <v/>
      </c>
      <c r="T766" s="152">
        <f>IFERROR(ABS('01_설정'!B4-F766),"")</f>
        <v/>
      </c>
      <c r="U766" s="152">
        <f>IFERROR(ABS(K766-YEAR('02_대상물건입력'!B14)),"")</f>
        <v/>
      </c>
      <c r="V766" s="152">
        <f>IF(B766="","",IF(AND(E766&gt;0,F766&gt;0,H766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766=1,TRUE()),R766&lt;='01_설정'!B5,S766&lt;='01_설정'!B6,T766&lt;='01_설정'!B7,U766&lt;='01_설정'!B8),"Y",""))</f>
        <v/>
      </c>
      <c r="W766" s="172">
        <f>IF(V766&lt;&gt;"Y","",MAX(0,(1-R766/'01_설정'!B5))*'01_설정'!B14+MAX(0,(1-S766/'01_설정'!B6))*'01_설정'!B15+MAX(0,(1-T766/'01_설정'!B7))*'01_설정'!B16+MAX(0,(1-U766/'01_설정'!B8))*'01_설정'!B17+O766*'01_설정'!B11+Q766*'01_설정'!B12+P766*'01_설정'!B13+IF(Z766="",0,Z766))</f>
        <v/>
      </c>
      <c r="X766" s="152">
        <f>IF(W766="","",1+COUNTIFS($W$4:$W$3003,"&gt;"&amp;W766)+COUNTIFS($W$4:W766,W766)-1)</f>
        <v/>
      </c>
      <c r="Y766" s="175">
        <f>IF(OR(I766="",'02_대상물건입력'!B19="",'02_대상물건입력'!B19&lt;=0),"",ABS(I766-'02_대상물건입력'!B19)/'02_대상물건입력'!B19)</f>
        <v/>
      </c>
      <c r="Z766" s="172">
        <f>IF(OR(Y766="",'01_설정'!B31="",'01_설정'!B31&lt;=0,'01_설정'!B32="",'01_설정'!B32&lt;=0),"",MAX(0,(1-Y766/'01_설정'!B32))*'01_설정'!B31)</f>
        <v/>
      </c>
    </row>
    <row r="767" ht="17.25" customHeight="1">
      <c r="A767" s="152">
        <f>IF(INDEX('04A_국토부원자료'!$A:$A,ROW()+1)="","",ROW()-3)</f>
        <v/>
      </c>
      <c r="B767" s="48">
        <f>IFERROR(INDEX('04A_국토부원자료'!$A:$T,ROW()+1,MATCH("시군구",'04A_국토부원자료'!$A$4:$T$4,0)),"")</f>
        <v/>
      </c>
      <c r="C767" s="48">
        <f>IF(B767="","",IFERROR(INDEX('04A_국토부원자료'!$A:$T,ROW()+1,MATCH("번지",'04A_국토부원자료'!$A$4:$T$4,0)),""))</f>
        <v/>
      </c>
      <c r="D767" s="48">
        <f>IF(B767="","",IF(Q767=1,'02_대상물건입력'!$B$8,IFERROR(INDEX('04A_국토부원자료'!$A:$T,ROW()+1,MATCH("단지명",'04A_국토부원자료'!$A$4:$T$4,0)),"")))</f>
        <v/>
      </c>
      <c r="E767" s="172">
        <f>IFERROR(VALUE(SUBSTITUTE(INDEX('04A_국토부원자료'!$A:$T,ROW()+1,MATCH("전용면적(㎡)",'04A_국토부원자료'!$A$4:$T$4,0)),",","")),"")</f>
        <v/>
      </c>
      <c r="F7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67" s="51">
        <f>IFERROR(VALUE(SUBSTITUTE(INDEX('04A_국토부원자료'!$A:$T,ROW()+1,MATCH("거래금액(만원)",'04A_국토부원자료'!$A$4:$T$4,0)),",","")),"")</f>
        <v/>
      </c>
      <c r="H767" s="174">
        <f>IF(G767="","",G767*10000)</f>
        <v/>
      </c>
      <c r="I767" s="174">
        <f>IFERROR(IF(AND(H767&gt;0,E767&gt;0),H767/E767,""),"")</f>
        <v/>
      </c>
      <c r="J767" s="152">
        <f>IFERROR(VALUE(SUBSTITUTE(INDEX('04A_국토부원자료'!$A:$T,ROW()+1,MATCH("층",'04A_국토부원자료'!$A$4:$T$4,0)),",","")),"")</f>
        <v/>
      </c>
      <c r="K767" s="152">
        <f>IFERROR(VALUE(SUBSTITUTE(INDEX('04A_국토부원자료'!$A:$T,ROW()+1,MATCH("건축년도",'04A_국토부원자료'!$A$4:$T$4,0)),",","")),"")</f>
        <v/>
      </c>
      <c r="L767" s="176">
        <f>IFERROR(INDEX('04A_국토부원자료'!$A:$T,ROW()+1,MATCH("도로명",'04A_국토부원자료'!$A$4:$T$4,0)),"")</f>
        <v/>
      </c>
      <c r="M767" s="48">
        <f>IFERROR(INDEX('04A_국토부원자료'!$A:$T,ROW()+1,MATCH("거래유형",'04A_국토부원자료'!$A$4:$T$4,0)),"")</f>
        <v/>
      </c>
      <c r="N767" s="152">
        <f>IF(B767="","",IF('02_대상물건입력'!B5="",1,IF(ISNUMBER(SEARCH('02_대상물건입력'!B5,B767)),1,0)))</f>
        <v/>
      </c>
      <c r="O767" s="152">
        <f>IF(B767="","",IF('02_대상물건입력'!B6="",1,IF(ISNUMBER(SEARCH('02_대상물건입력'!B6,B767)),1,0)))</f>
        <v/>
      </c>
      <c r="P767" s="152">
        <f>IF(L767="","",IF('02_대상물건입력'!B15="",0,IF(ISNUMBER(SEARCH('02_대상물건입력'!B15,L767)),1,0)))</f>
        <v/>
      </c>
      <c r="Q767" s="152">
        <f>IF(OR(C767="",L767=""),0,IF(AND(TRIM(C767)=TRIM(RIGHT(SUBSTITUTE(TRIM('02_대상물건입력'!$B$7)," ",REPT(" ",99)),99)),IF('02_대상물건입력'!B15="",TRUE(),ISNUMBER(SEARCH('02_대상물건입력'!B15,L767)))),1,0))</f>
        <v/>
      </c>
      <c r="R767" s="175">
        <f>IFERROR(ABS(E767-'02_대상물건입력'!B11)/'02_대상물건입력'!B11,"")</f>
        <v/>
      </c>
      <c r="S767" s="152">
        <f>IFERROR(ABS(J767-'02_대상물건입력'!B10),"")</f>
        <v/>
      </c>
      <c r="T767" s="152">
        <f>IFERROR(ABS('01_설정'!B4-F767),"")</f>
        <v/>
      </c>
      <c r="U767" s="152">
        <f>IFERROR(ABS(K767-YEAR('02_대상물건입력'!B14)),"")</f>
        <v/>
      </c>
      <c r="V767" s="152">
        <f>IF(B767="","",IF(AND(E767&gt;0,F767&gt;0,H767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767=1,TRUE()),R767&lt;='01_설정'!B5,S767&lt;='01_설정'!B6,T767&lt;='01_설정'!B7,U767&lt;='01_설정'!B8),"Y",""))</f>
        <v/>
      </c>
      <c r="W767" s="172">
        <f>IF(V767&lt;&gt;"Y","",MAX(0,(1-R767/'01_설정'!B5))*'01_설정'!B14+MAX(0,(1-S767/'01_설정'!B6))*'01_설정'!B15+MAX(0,(1-T767/'01_설정'!B7))*'01_설정'!B16+MAX(0,(1-U767/'01_설정'!B8))*'01_설정'!B17+O767*'01_설정'!B11+Q767*'01_설정'!B12+P767*'01_설정'!B13+IF(Z767="",0,Z767))</f>
        <v/>
      </c>
      <c r="X767" s="152">
        <f>IF(W767="","",1+COUNTIFS($W$4:$W$3003,"&gt;"&amp;W767)+COUNTIFS($W$4:W767,W767)-1)</f>
        <v/>
      </c>
      <c r="Y767" s="175">
        <f>IF(OR(I767="",'02_대상물건입력'!B19="",'02_대상물건입력'!B19&lt;=0),"",ABS(I767-'02_대상물건입력'!B19)/'02_대상물건입력'!B19)</f>
        <v/>
      </c>
      <c r="Z767" s="172">
        <f>IF(OR(Y767="",'01_설정'!B31="",'01_설정'!B31&lt;=0,'01_설정'!B32="",'01_설정'!B32&lt;=0),"",MAX(0,(1-Y767/'01_설정'!B32))*'01_설정'!B31)</f>
        <v/>
      </c>
    </row>
    <row r="768" ht="17.25" customHeight="1">
      <c r="A768" s="152">
        <f>IF(INDEX('04A_국토부원자료'!$A:$A,ROW()+1)="","",ROW()-3)</f>
        <v/>
      </c>
      <c r="B768" s="48">
        <f>IFERROR(INDEX('04A_국토부원자료'!$A:$T,ROW()+1,MATCH("시군구",'04A_국토부원자료'!$A$4:$T$4,0)),"")</f>
        <v/>
      </c>
      <c r="C768" s="48">
        <f>IF(B768="","",IFERROR(INDEX('04A_국토부원자료'!$A:$T,ROW()+1,MATCH("번지",'04A_국토부원자료'!$A$4:$T$4,0)),""))</f>
        <v/>
      </c>
      <c r="D768" s="48">
        <f>IF(B768="","",IF(Q768=1,'02_대상물건입력'!$B$8,IFERROR(INDEX('04A_국토부원자료'!$A:$T,ROW()+1,MATCH("단지명",'04A_국토부원자료'!$A$4:$T$4,0)),"")))</f>
        <v/>
      </c>
      <c r="E768" s="172">
        <f>IFERROR(VALUE(SUBSTITUTE(INDEX('04A_국토부원자료'!$A:$T,ROW()+1,MATCH("전용면적(㎡)",'04A_국토부원자료'!$A$4:$T$4,0)),",","")),"")</f>
        <v/>
      </c>
      <c r="F7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68" s="51">
        <f>IFERROR(VALUE(SUBSTITUTE(INDEX('04A_국토부원자료'!$A:$T,ROW()+1,MATCH("거래금액(만원)",'04A_국토부원자료'!$A$4:$T$4,0)),",","")),"")</f>
        <v/>
      </c>
      <c r="H768" s="174">
        <f>IF(G768="","",G768*10000)</f>
        <v/>
      </c>
      <c r="I768" s="174">
        <f>IFERROR(IF(AND(H768&gt;0,E768&gt;0),H768/E768,""),"")</f>
        <v/>
      </c>
      <c r="J768" s="152">
        <f>IFERROR(VALUE(SUBSTITUTE(INDEX('04A_국토부원자료'!$A:$T,ROW()+1,MATCH("층",'04A_국토부원자료'!$A$4:$T$4,0)),",","")),"")</f>
        <v/>
      </c>
      <c r="K768" s="152">
        <f>IFERROR(VALUE(SUBSTITUTE(INDEX('04A_국토부원자료'!$A:$T,ROW()+1,MATCH("건축년도",'04A_국토부원자료'!$A$4:$T$4,0)),",","")),"")</f>
        <v/>
      </c>
      <c r="L768" s="176">
        <f>IFERROR(INDEX('04A_국토부원자료'!$A:$T,ROW()+1,MATCH("도로명",'04A_국토부원자료'!$A$4:$T$4,0)),"")</f>
        <v/>
      </c>
      <c r="M768" s="48">
        <f>IFERROR(INDEX('04A_국토부원자료'!$A:$T,ROW()+1,MATCH("거래유형",'04A_국토부원자료'!$A$4:$T$4,0)),"")</f>
        <v/>
      </c>
      <c r="N768" s="152">
        <f>IF(B768="","",IF('02_대상물건입력'!B5="",1,IF(ISNUMBER(SEARCH('02_대상물건입력'!B5,B768)),1,0)))</f>
        <v/>
      </c>
      <c r="O768" s="152">
        <f>IF(B768="","",IF('02_대상물건입력'!B6="",1,IF(ISNUMBER(SEARCH('02_대상물건입력'!B6,B768)),1,0)))</f>
        <v/>
      </c>
      <c r="P768" s="152">
        <f>IF(L768="","",IF('02_대상물건입력'!B15="",0,IF(ISNUMBER(SEARCH('02_대상물건입력'!B15,L768)),1,0)))</f>
        <v/>
      </c>
      <c r="Q768" s="152">
        <f>IF(OR(C768="",L768=""),0,IF(AND(TRIM(C768)=TRIM(RIGHT(SUBSTITUTE(TRIM('02_대상물건입력'!$B$7)," ",REPT(" ",99)),99)),IF('02_대상물건입력'!B15="",TRUE(),ISNUMBER(SEARCH('02_대상물건입력'!B15,L768)))),1,0))</f>
        <v/>
      </c>
      <c r="R768" s="175">
        <f>IFERROR(ABS(E768-'02_대상물건입력'!B11)/'02_대상물건입력'!B11,"")</f>
        <v/>
      </c>
      <c r="S768" s="152">
        <f>IFERROR(ABS(J768-'02_대상물건입력'!B10),"")</f>
        <v/>
      </c>
      <c r="T768" s="152">
        <f>IFERROR(ABS('01_설정'!B4-F768),"")</f>
        <v/>
      </c>
      <c r="U768" s="152">
        <f>IFERROR(ABS(K768-YEAR('02_대상물건입력'!B14)),"")</f>
        <v/>
      </c>
      <c r="V768" s="152">
        <f>IF(B768="","",IF(AND(E768&gt;0,F768&gt;0,H768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768=1,TRUE()),R768&lt;='01_설정'!B5,S768&lt;='01_설정'!B6,T768&lt;='01_설정'!B7,U768&lt;='01_설정'!B8),"Y",""))</f>
        <v/>
      </c>
      <c r="W768" s="172">
        <f>IF(V768&lt;&gt;"Y","",MAX(0,(1-R768/'01_설정'!B5))*'01_설정'!B14+MAX(0,(1-S768/'01_설정'!B6))*'01_설정'!B15+MAX(0,(1-T768/'01_설정'!B7))*'01_설정'!B16+MAX(0,(1-U768/'01_설정'!B8))*'01_설정'!B17+O768*'01_설정'!B11+Q768*'01_설정'!B12+P768*'01_설정'!B13+IF(Z768="",0,Z768))</f>
        <v/>
      </c>
      <c r="X768" s="152">
        <f>IF(W768="","",1+COUNTIFS($W$4:$W$3003,"&gt;"&amp;W768)+COUNTIFS($W$4:W768,W768)-1)</f>
        <v/>
      </c>
      <c r="Y768" s="175">
        <f>IF(OR(I768="",'02_대상물건입력'!B19="",'02_대상물건입력'!B19&lt;=0),"",ABS(I768-'02_대상물건입력'!B19)/'02_대상물건입력'!B19)</f>
        <v/>
      </c>
      <c r="Z768" s="172">
        <f>IF(OR(Y768="",'01_설정'!B31="",'01_설정'!B31&lt;=0,'01_설정'!B32="",'01_설정'!B32&lt;=0),"",MAX(0,(1-Y768/'01_설정'!B32))*'01_설정'!B31)</f>
        <v/>
      </c>
    </row>
    <row r="769" ht="17.25" customHeight="1">
      <c r="A769" s="152">
        <f>IF(INDEX('04A_국토부원자료'!$A:$A,ROW()+1)="","",ROW()-3)</f>
        <v/>
      </c>
      <c r="B769" s="48">
        <f>IFERROR(INDEX('04A_국토부원자료'!$A:$T,ROW()+1,MATCH("시군구",'04A_국토부원자료'!$A$4:$T$4,0)),"")</f>
        <v/>
      </c>
      <c r="C769" s="48">
        <f>IF(B769="","",IFERROR(INDEX('04A_국토부원자료'!$A:$T,ROW()+1,MATCH("번지",'04A_국토부원자료'!$A$4:$T$4,0)),""))</f>
        <v/>
      </c>
      <c r="D769" s="48">
        <f>IF(B769="","",IF(Q769=1,'02_대상물건입력'!$B$8,IFERROR(INDEX('04A_국토부원자료'!$A:$T,ROW()+1,MATCH("단지명",'04A_국토부원자료'!$A$4:$T$4,0)),"")))</f>
        <v/>
      </c>
      <c r="E769" s="172">
        <f>IFERROR(VALUE(SUBSTITUTE(INDEX('04A_국토부원자료'!$A:$T,ROW()+1,MATCH("전용면적(㎡)",'04A_국토부원자료'!$A$4:$T$4,0)),",","")),"")</f>
        <v/>
      </c>
      <c r="F7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69" s="51">
        <f>IFERROR(VALUE(SUBSTITUTE(INDEX('04A_국토부원자료'!$A:$T,ROW()+1,MATCH("거래금액(만원)",'04A_국토부원자료'!$A$4:$T$4,0)),",","")),"")</f>
        <v/>
      </c>
      <c r="H769" s="174">
        <f>IF(G769="","",G769*10000)</f>
        <v/>
      </c>
      <c r="I769" s="174">
        <f>IFERROR(IF(AND(H769&gt;0,E769&gt;0),H769/E769,""),"")</f>
        <v/>
      </c>
      <c r="J769" s="152">
        <f>IFERROR(VALUE(SUBSTITUTE(INDEX('04A_국토부원자료'!$A:$T,ROW()+1,MATCH("층",'04A_국토부원자료'!$A$4:$T$4,0)),",","")),"")</f>
        <v/>
      </c>
      <c r="K769" s="152">
        <f>IFERROR(VALUE(SUBSTITUTE(INDEX('04A_국토부원자료'!$A:$T,ROW()+1,MATCH("건축년도",'04A_국토부원자료'!$A$4:$T$4,0)),",","")),"")</f>
        <v/>
      </c>
      <c r="L769" s="176">
        <f>IFERROR(INDEX('04A_국토부원자료'!$A:$T,ROW()+1,MATCH("도로명",'04A_국토부원자료'!$A$4:$T$4,0)),"")</f>
        <v/>
      </c>
      <c r="M769" s="48">
        <f>IFERROR(INDEX('04A_국토부원자료'!$A:$T,ROW()+1,MATCH("거래유형",'04A_국토부원자료'!$A$4:$T$4,0)),"")</f>
        <v/>
      </c>
      <c r="N769" s="152">
        <f>IF(B769="","",IF('02_대상물건입력'!B5="",1,IF(ISNUMBER(SEARCH('02_대상물건입력'!B5,B769)),1,0)))</f>
        <v/>
      </c>
      <c r="O769" s="152">
        <f>IF(B769="","",IF('02_대상물건입력'!B6="",1,IF(ISNUMBER(SEARCH('02_대상물건입력'!B6,B769)),1,0)))</f>
        <v/>
      </c>
      <c r="P769" s="152">
        <f>IF(L769="","",IF('02_대상물건입력'!B15="",0,IF(ISNUMBER(SEARCH('02_대상물건입력'!B15,L769)),1,0)))</f>
        <v/>
      </c>
      <c r="Q769" s="152">
        <f>IF(OR(C769="",L769=""),0,IF(AND(TRIM(C769)=TRIM(RIGHT(SUBSTITUTE(TRIM('02_대상물건입력'!$B$7)," ",REPT(" ",99)),99)),IF('02_대상물건입력'!B15="",TRUE(),ISNUMBER(SEARCH('02_대상물건입력'!B15,L769)))),1,0))</f>
        <v/>
      </c>
      <c r="R769" s="175">
        <f>IFERROR(ABS(E769-'02_대상물건입력'!B11)/'02_대상물건입력'!B11,"")</f>
        <v/>
      </c>
      <c r="S769" s="152">
        <f>IFERROR(ABS(J769-'02_대상물건입력'!B10),"")</f>
        <v/>
      </c>
      <c r="T769" s="152">
        <f>IFERROR(ABS('01_설정'!B4-F769),"")</f>
        <v/>
      </c>
      <c r="U769" s="152">
        <f>IFERROR(ABS(K769-YEAR('02_대상물건입력'!B14)),"")</f>
        <v/>
      </c>
      <c r="V769" s="152">
        <f>IF(B769="","",IF(AND(E769&gt;0,F769&gt;0,H769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769=1,TRUE()),R769&lt;='01_설정'!B5,S769&lt;='01_설정'!B6,T769&lt;='01_설정'!B7,U769&lt;='01_설정'!B8),"Y",""))</f>
        <v/>
      </c>
      <c r="W769" s="172">
        <f>IF(V769&lt;&gt;"Y","",MAX(0,(1-R769/'01_설정'!B5))*'01_설정'!B14+MAX(0,(1-S769/'01_설정'!B6))*'01_설정'!B15+MAX(0,(1-T769/'01_설정'!B7))*'01_설정'!B16+MAX(0,(1-U769/'01_설정'!B8))*'01_설정'!B17+O769*'01_설정'!B11+Q769*'01_설정'!B12+P769*'01_설정'!B13+IF(Z769="",0,Z769))</f>
        <v/>
      </c>
      <c r="X769" s="152">
        <f>IF(W769="","",1+COUNTIFS($W$4:$W$3003,"&gt;"&amp;W769)+COUNTIFS($W$4:W769,W769)-1)</f>
        <v/>
      </c>
      <c r="Y769" s="175">
        <f>IF(OR(I769="",'02_대상물건입력'!B19="",'02_대상물건입력'!B19&lt;=0),"",ABS(I769-'02_대상물건입력'!B19)/'02_대상물건입력'!B19)</f>
        <v/>
      </c>
      <c r="Z769" s="172">
        <f>IF(OR(Y769="",'01_설정'!B31="",'01_설정'!B31&lt;=0,'01_설정'!B32="",'01_설정'!B32&lt;=0),"",MAX(0,(1-Y769/'01_설정'!B32))*'01_설정'!B31)</f>
        <v/>
      </c>
    </row>
    <row r="770" ht="17.25" customHeight="1">
      <c r="A770" s="152">
        <f>IF(INDEX('04A_국토부원자료'!$A:$A,ROW()+1)="","",ROW()-3)</f>
        <v/>
      </c>
      <c r="B770" s="48">
        <f>IFERROR(INDEX('04A_국토부원자료'!$A:$T,ROW()+1,MATCH("시군구",'04A_국토부원자료'!$A$4:$T$4,0)),"")</f>
        <v/>
      </c>
      <c r="C770" s="48">
        <f>IF(B770="","",IFERROR(INDEX('04A_국토부원자료'!$A:$T,ROW()+1,MATCH("번지",'04A_국토부원자료'!$A$4:$T$4,0)),""))</f>
        <v/>
      </c>
      <c r="D770" s="48">
        <f>IF(B770="","",IF(Q770=1,'02_대상물건입력'!$B$8,IFERROR(INDEX('04A_국토부원자료'!$A:$T,ROW()+1,MATCH("단지명",'04A_국토부원자료'!$A$4:$T$4,0)),"")))</f>
        <v/>
      </c>
      <c r="E770" s="172">
        <f>IFERROR(VALUE(SUBSTITUTE(INDEX('04A_국토부원자료'!$A:$T,ROW()+1,MATCH("전용면적(㎡)",'04A_국토부원자료'!$A$4:$T$4,0)),",","")),"")</f>
        <v/>
      </c>
      <c r="F7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70" s="51">
        <f>IFERROR(VALUE(SUBSTITUTE(INDEX('04A_국토부원자료'!$A:$T,ROW()+1,MATCH("거래금액(만원)",'04A_국토부원자료'!$A$4:$T$4,0)),",","")),"")</f>
        <v/>
      </c>
      <c r="H770" s="174">
        <f>IF(G770="","",G770*10000)</f>
        <v/>
      </c>
      <c r="I770" s="174">
        <f>IFERROR(IF(AND(H770&gt;0,E770&gt;0),H770/E770,""),"")</f>
        <v/>
      </c>
      <c r="J770" s="152">
        <f>IFERROR(VALUE(SUBSTITUTE(INDEX('04A_국토부원자료'!$A:$T,ROW()+1,MATCH("층",'04A_국토부원자료'!$A$4:$T$4,0)),",","")),"")</f>
        <v/>
      </c>
      <c r="K770" s="152">
        <f>IFERROR(VALUE(SUBSTITUTE(INDEX('04A_국토부원자료'!$A:$T,ROW()+1,MATCH("건축년도",'04A_국토부원자료'!$A$4:$T$4,0)),",","")),"")</f>
        <v/>
      </c>
      <c r="L770" s="176">
        <f>IFERROR(INDEX('04A_국토부원자료'!$A:$T,ROW()+1,MATCH("도로명",'04A_국토부원자료'!$A$4:$T$4,0)),"")</f>
        <v/>
      </c>
      <c r="M770" s="48">
        <f>IFERROR(INDEX('04A_국토부원자료'!$A:$T,ROW()+1,MATCH("거래유형",'04A_국토부원자료'!$A$4:$T$4,0)),"")</f>
        <v/>
      </c>
      <c r="N770" s="152">
        <f>IF(B770="","",IF('02_대상물건입력'!B5="",1,IF(ISNUMBER(SEARCH('02_대상물건입력'!B5,B770)),1,0)))</f>
        <v/>
      </c>
      <c r="O770" s="152">
        <f>IF(B770="","",IF('02_대상물건입력'!B6="",1,IF(ISNUMBER(SEARCH('02_대상물건입력'!B6,B770)),1,0)))</f>
        <v/>
      </c>
      <c r="P770" s="152">
        <f>IF(L770="","",IF('02_대상물건입력'!B15="",0,IF(ISNUMBER(SEARCH('02_대상물건입력'!B15,L770)),1,0)))</f>
        <v/>
      </c>
      <c r="Q770" s="152">
        <f>IF(OR(C770="",L770=""),0,IF(AND(TRIM(C770)=TRIM(RIGHT(SUBSTITUTE(TRIM('02_대상물건입력'!$B$7)," ",REPT(" ",99)),99)),IF('02_대상물건입력'!B15="",TRUE(),ISNUMBER(SEARCH('02_대상물건입력'!B15,L770)))),1,0))</f>
        <v/>
      </c>
      <c r="R770" s="175">
        <f>IFERROR(ABS(E770-'02_대상물건입력'!B11)/'02_대상물건입력'!B11,"")</f>
        <v/>
      </c>
      <c r="S770" s="152">
        <f>IFERROR(ABS(J770-'02_대상물건입력'!B10),"")</f>
        <v/>
      </c>
      <c r="T770" s="152">
        <f>IFERROR(ABS('01_설정'!B4-F770),"")</f>
        <v/>
      </c>
      <c r="U770" s="152">
        <f>IFERROR(ABS(K770-YEAR('02_대상물건입력'!B14)),"")</f>
        <v/>
      </c>
      <c r="V770" s="152">
        <f>IF(B770="","",IF(AND(E770&gt;0,F770&gt;0,H770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770=1,TRUE()),R770&lt;='01_설정'!B5,S770&lt;='01_설정'!B6,T770&lt;='01_설정'!B7,U770&lt;='01_설정'!B8),"Y",""))</f>
        <v/>
      </c>
      <c r="W770" s="172">
        <f>IF(V770&lt;&gt;"Y","",MAX(0,(1-R770/'01_설정'!B5))*'01_설정'!B14+MAX(0,(1-S770/'01_설정'!B6))*'01_설정'!B15+MAX(0,(1-T770/'01_설정'!B7))*'01_설정'!B16+MAX(0,(1-U770/'01_설정'!B8))*'01_설정'!B17+O770*'01_설정'!B11+Q770*'01_설정'!B12+P770*'01_설정'!B13+IF(Z770="",0,Z770))</f>
        <v/>
      </c>
      <c r="X770" s="152">
        <f>IF(W770="","",1+COUNTIFS($W$4:$W$3003,"&gt;"&amp;W770)+COUNTIFS($W$4:W770,W770)-1)</f>
        <v/>
      </c>
      <c r="Y770" s="175">
        <f>IF(OR(I770="",'02_대상물건입력'!B19="",'02_대상물건입력'!B19&lt;=0),"",ABS(I770-'02_대상물건입력'!B19)/'02_대상물건입력'!B19)</f>
        <v/>
      </c>
      <c r="Z770" s="172">
        <f>IF(OR(Y770="",'01_설정'!B31="",'01_설정'!B31&lt;=0,'01_설정'!B32="",'01_설정'!B32&lt;=0),"",MAX(0,(1-Y770/'01_설정'!B32))*'01_설정'!B31)</f>
        <v/>
      </c>
    </row>
    <row r="771" ht="17.25" customHeight="1">
      <c r="A771" s="152">
        <f>IF(INDEX('04A_국토부원자료'!$A:$A,ROW()+1)="","",ROW()-3)</f>
        <v/>
      </c>
      <c r="B771" s="48">
        <f>IFERROR(INDEX('04A_국토부원자료'!$A:$T,ROW()+1,MATCH("시군구",'04A_국토부원자료'!$A$4:$T$4,0)),"")</f>
        <v/>
      </c>
      <c r="C771" s="48">
        <f>IF(B771="","",IFERROR(INDEX('04A_국토부원자료'!$A:$T,ROW()+1,MATCH("번지",'04A_국토부원자료'!$A$4:$T$4,0)),""))</f>
        <v/>
      </c>
      <c r="D771" s="48">
        <f>IF(B771="","",IF(Q771=1,'02_대상물건입력'!$B$8,IFERROR(INDEX('04A_국토부원자료'!$A:$T,ROW()+1,MATCH("단지명",'04A_국토부원자료'!$A$4:$T$4,0)),"")))</f>
        <v/>
      </c>
      <c r="E771" s="172">
        <f>IFERROR(VALUE(SUBSTITUTE(INDEX('04A_국토부원자료'!$A:$T,ROW()+1,MATCH("전용면적(㎡)",'04A_국토부원자료'!$A$4:$T$4,0)),",","")),"")</f>
        <v/>
      </c>
      <c r="F7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71" s="51">
        <f>IFERROR(VALUE(SUBSTITUTE(INDEX('04A_국토부원자료'!$A:$T,ROW()+1,MATCH("거래금액(만원)",'04A_국토부원자료'!$A$4:$T$4,0)),",","")),"")</f>
        <v/>
      </c>
      <c r="H771" s="174">
        <f>IF(G771="","",G771*10000)</f>
        <v/>
      </c>
      <c r="I771" s="174">
        <f>IFERROR(IF(AND(H771&gt;0,E771&gt;0),H771/E771,""),"")</f>
        <v/>
      </c>
      <c r="J771" s="152">
        <f>IFERROR(VALUE(SUBSTITUTE(INDEX('04A_국토부원자료'!$A:$T,ROW()+1,MATCH("층",'04A_국토부원자료'!$A$4:$T$4,0)),",","")),"")</f>
        <v/>
      </c>
      <c r="K771" s="152">
        <f>IFERROR(VALUE(SUBSTITUTE(INDEX('04A_국토부원자료'!$A:$T,ROW()+1,MATCH("건축년도",'04A_국토부원자료'!$A$4:$T$4,0)),",","")),"")</f>
        <v/>
      </c>
      <c r="L771" s="176">
        <f>IFERROR(INDEX('04A_국토부원자료'!$A:$T,ROW()+1,MATCH("도로명",'04A_국토부원자료'!$A$4:$T$4,0)),"")</f>
        <v/>
      </c>
      <c r="M771" s="48">
        <f>IFERROR(INDEX('04A_국토부원자료'!$A:$T,ROW()+1,MATCH("거래유형",'04A_국토부원자료'!$A$4:$T$4,0)),"")</f>
        <v/>
      </c>
      <c r="N771" s="152">
        <f>IF(B771="","",IF('02_대상물건입력'!B5="",1,IF(ISNUMBER(SEARCH('02_대상물건입력'!B5,B771)),1,0)))</f>
        <v/>
      </c>
      <c r="O771" s="152">
        <f>IF(B771="","",IF('02_대상물건입력'!B6="",1,IF(ISNUMBER(SEARCH('02_대상물건입력'!B6,B771)),1,0)))</f>
        <v/>
      </c>
      <c r="P771" s="152">
        <f>IF(L771="","",IF('02_대상물건입력'!B15="",0,IF(ISNUMBER(SEARCH('02_대상물건입력'!B15,L771)),1,0)))</f>
        <v/>
      </c>
      <c r="Q771" s="152">
        <f>IF(OR(C771="",L771=""),0,IF(AND(TRIM(C771)=TRIM(RIGHT(SUBSTITUTE(TRIM('02_대상물건입력'!$B$7)," ",REPT(" ",99)),99)),IF('02_대상물건입력'!B15="",TRUE(),ISNUMBER(SEARCH('02_대상물건입력'!B15,L771)))),1,0))</f>
        <v/>
      </c>
      <c r="R771" s="175">
        <f>IFERROR(ABS(E771-'02_대상물건입력'!B11)/'02_대상물건입력'!B11,"")</f>
        <v/>
      </c>
      <c r="S771" s="152">
        <f>IFERROR(ABS(J771-'02_대상물건입력'!B10),"")</f>
        <v/>
      </c>
      <c r="T771" s="152">
        <f>IFERROR(ABS('01_설정'!B4-F771),"")</f>
        <v/>
      </c>
      <c r="U771" s="152">
        <f>IFERROR(ABS(K771-YEAR('02_대상물건입력'!B14)),"")</f>
        <v/>
      </c>
      <c r="V771" s="152">
        <f>IF(B771="","",IF(AND(E771&gt;0,F771&gt;0,H771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771=1,TRUE()),R771&lt;='01_설정'!B5,S771&lt;='01_설정'!B6,T771&lt;='01_설정'!B7,U771&lt;='01_설정'!B8),"Y",""))</f>
        <v/>
      </c>
      <c r="W771" s="172">
        <f>IF(V771&lt;&gt;"Y","",MAX(0,(1-R771/'01_설정'!B5))*'01_설정'!B14+MAX(0,(1-S771/'01_설정'!B6))*'01_설정'!B15+MAX(0,(1-T771/'01_설정'!B7))*'01_설정'!B16+MAX(0,(1-U771/'01_설정'!B8))*'01_설정'!B17+O771*'01_설정'!B11+Q771*'01_설정'!B12+P771*'01_설정'!B13+IF(Z771="",0,Z771))</f>
        <v/>
      </c>
      <c r="X771" s="152">
        <f>IF(W771="","",1+COUNTIFS($W$4:$W$3003,"&gt;"&amp;W771)+COUNTIFS($W$4:W771,W771)-1)</f>
        <v/>
      </c>
      <c r="Y771" s="175">
        <f>IF(OR(I771="",'02_대상물건입력'!B19="",'02_대상물건입력'!B19&lt;=0),"",ABS(I771-'02_대상물건입력'!B19)/'02_대상물건입력'!B19)</f>
        <v/>
      </c>
      <c r="Z771" s="172">
        <f>IF(OR(Y771="",'01_설정'!B31="",'01_설정'!B31&lt;=0,'01_설정'!B32="",'01_설정'!B32&lt;=0),"",MAX(0,(1-Y771/'01_설정'!B32))*'01_설정'!B31)</f>
        <v/>
      </c>
    </row>
    <row r="772" ht="17.25" customHeight="1">
      <c r="A772" s="152">
        <f>IF(INDEX('04A_국토부원자료'!$A:$A,ROW()+1)="","",ROW()-3)</f>
        <v/>
      </c>
      <c r="B772" s="48">
        <f>IFERROR(INDEX('04A_국토부원자료'!$A:$T,ROW()+1,MATCH("시군구",'04A_국토부원자료'!$A$4:$T$4,0)),"")</f>
        <v/>
      </c>
      <c r="C772" s="48">
        <f>IF(B772="","",IFERROR(INDEX('04A_국토부원자료'!$A:$T,ROW()+1,MATCH("번지",'04A_국토부원자료'!$A$4:$T$4,0)),""))</f>
        <v/>
      </c>
      <c r="D772" s="48">
        <f>IF(B772="","",IF(Q772=1,'02_대상물건입력'!$B$8,IFERROR(INDEX('04A_국토부원자료'!$A:$T,ROW()+1,MATCH("단지명",'04A_국토부원자료'!$A$4:$T$4,0)),"")))</f>
        <v/>
      </c>
      <c r="E772" s="172">
        <f>IFERROR(VALUE(SUBSTITUTE(INDEX('04A_국토부원자료'!$A:$T,ROW()+1,MATCH("전용면적(㎡)",'04A_국토부원자료'!$A$4:$T$4,0)),",","")),"")</f>
        <v/>
      </c>
      <c r="F7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72" s="51">
        <f>IFERROR(VALUE(SUBSTITUTE(INDEX('04A_국토부원자료'!$A:$T,ROW()+1,MATCH("거래금액(만원)",'04A_국토부원자료'!$A$4:$T$4,0)),",","")),"")</f>
        <v/>
      </c>
      <c r="H772" s="174">
        <f>IF(G772="","",G772*10000)</f>
        <v/>
      </c>
      <c r="I772" s="174">
        <f>IFERROR(IF(AND(H772&gt;0,E772&gt;0),H772/E772,""),"")</f>
        <v/>
      </c>
      <c r="J772" s="152">
        <f>IFERROR(VALUE(SUBSTITUTE(INDEX('04A_국토부원자료'!$A:$T,ROW()+1,MATCH("층",'04A_국토부원자료'!$A$4:$T$4,0)),",","")),"")</f>
        <v/>
      </c>
      <c r="K772" s="152">
        <f>IFERROR(VALUE(SUBSTITUTE(INDEX('04A_국토부원자료'!$A:$T,ROW()+1,MATCH("건축년도",'04A_국토부원자료'!$A$4:$T$4,0)),",","")),"")</f>
        <v/>
      </c>
      <c r="L772" s="176">
        <f>IFERROR(INDEX('04A_국토부원자료'!$A:$T,ROW()+1,MATCH("도로명",'04A_국토부원자료'!$A$4:$T$4,0)),"")</f>
        <v/>
      </c>
      <c r="M772" s="48">
        <f>IFERROR(INDEX('04A_국토부원자료'!$A:$T,ROW()+1,MATCH("거래유형",'04A_국토부원자료'!$A$4:$T$4,0)),"")</f>
        <v/>
      </c>
      <c r="N772" s="152">
        <f>IF(B772="","",IF('02_대상물건입력'!B5="",1,IF(ISNUMBER(SEARCH('02_대상물건입력'!B5,B772)),1,0)))</f>
        <v/>
      </c>
      <c r="O772" s="152">
        <f>IF(B772="","",IF('02_대상물건입력'!B6="",1,IF(ISNUMBER(SEARCH('02_대상물건입력'!B6,B772)),1,0)))</f>
        <v/>
      </c>
      <c r="P772" s="152">
        <f>IF(L772="","",IF('02_대상물건입력'!B15="",0,IF(ISNUMBER(SEARCH('02_대상물건입력'!B15,L772)),1,0)))</f>
        <v/>
      </c>
      <c r="Q772" s="152">
        <f>IF(OR(C772="",L772=""),0,IF(AND(TRIM(C772)=TRIM(RIGHT(SUBSTITUTE(TRIM('02_대상물건입력'!$B$7)," ",REPT(" ",99)),99)),IF('02_대상물건입력'!B15="",TRUE(),ISNUMBER(SEARCH('02_대상물건입력'!B15,L772)))),1,0))</f>
        <v/>
      </c>
      <c r="R772" s="175">
        <f>IFERROR(ABS(E772-'02_대상물건입력'!B11)/'02_대상물건입력'!B11,"")</f>
        <v/>
      </c>
      <c r="S772" s="152">
        <f>IFERROR(ABS(J772-'02_대상물건입력'!B10),"")</f>
        <v/>
      </c>
      <c r="T772" s="152">
        <f>IFERROR(ABS('01_설정'!B4-F772),"")</f>
        <v/>
      </c>
      <c r="U772" s="152">
        <f>IFERROR(ABS(K772-YEAR('02_대상물건입력'!B14)),"")</f>
        <v/>
      </c>
      <c r="V772" s="152">
        <f>IF(B772="","",IF(AND(E772&gt;0,F772&gt;0,H772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772=1,TRUE()),R772&lt;='01_설정'!B5,S772&lt;='01_설정'!B6,T772&lt;='01_설정'!B7,U772&lt;='01_설정'!B8),"Y",""))</f>
        <v/>
      </c>
      <c r="W772" s="172">
        <f>IF(V772&lt;&gt;"Y","",MAX(0,(1-R772/'01_설정'!B5))*'01_설정'!B14+MAX(0,(1-S772/'01_설정'!B6))*'01_설정'!B15+MAX(0,(1-T772/'01_설정'!B7))*'01_설정'!B16+MAX(0,(1-U772/'01_설정'!B8))*'01_설정'!B17+O772*'01_설정'!B11+Q772*'01_설정'!B12+P772*'01_설정'!B13+IF(Z772="",0,Z772))</f>
        <v/>
      </c>
      <c r="X772" s="152">
        <f>IF(W772="","",1+COUNTIFS($W$4:$W$3003,"&gt;"&amp;W772)+COUNTIFS($W$4:W772,W772)-1)</f>
        <v/>
      </c>
      <c r="Y772" s="175">
        <f>IF(OR(I772="",'02_대상물건입력'!B19="",'02_대상물건입력'!B19&lt;=0),"",ABS(I772-'02_대상물건입력'!B19)/'02_대상물건입력'!B19)</f>
        <v/>
      </c>
      <c r="Z772" s="172">
        <f>IF(OR(Y772="",'01_설정'!B31="",'01_설정'!B31&lt;=0,'01_설정'!B32="",'01_설정'!B32&lt;=0),"",MAX(0,(1-Y772/'01_설정'!B32))*'01_설정'!B31)</f>
        <v/>
      </c>
    </row>
    <row r="773" ht="17.25" customHeight="1">
      <c r="A773" s="152">
        <f>IF(INDEX('04A_국토부원자료'!$A:$A,ROW()+1)="","",ROW()-3)</f>
        <v/>
      </c>
      <c r="B773" s="48">
        <f>IFERROR(INDEX('04A_국토부원자료'!$A:$T,ROW()+1,MATCH("시군구",'04A_국토부원자료'!$A$4:$T$4,0)),"")</f>
        <v/>
      </c>
      <c r="C773" s="48">
        <f>IF(B773="","",IFERROR(INDEX('04A_국토부원자료'!$A:$T,ROW()+1,MATCH("번지",'04A_국토부원자료'!$A$4:$T$4,0)),""))</f>
        <v/>
      </c>
      <c r="D773" s="48">
        <f>IF(B773="","",IF(Q773=1,'02_대상물건입력'!$B$8,IFERROR(INDEX('04A_국토부원자료'!$A:$T,ROW()+1,MATCH("단지명",'04A_국토부원자료'!$A$4:$T$4,0)),"")))</f>
        <v/>
      </c>
      <c r="E773" s="172">
        <f>IFERROR(VALUE(SUBSTITUTE(INDEX('04A_국토부원자료'!$A:$T,ROW()+1,MATCH("전용면적(㎡)",'04A_국토부원자료'!$A$4:$T$4,0)),",","")),"")</f>
        <v/>
      </c>
      <c r="F7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73" s="51">
        <f>IFERROR(VALUE(SUBSTITUTE(INDEX('04A_국토부원자료'!$A:$T,ROW()+1,MATCH("거래금액(만원)",'04A_국토부원자료'!$A$4:$T$4,0)),",","")),"")</f>
        <v/>
      </c>
      <c r="H773" s="174">
        <f>IF(G773="","",G773*10000)</f>
        <v/>
      </c>
      <c r="I773" s="174">
        <f>IFERROR(IF(AND(H773&gt;0,E773&gt;0),H773/E773,""),"")</f>
        <v/>
      </c>
      <c r="J773" s="152">
        <f>IFERROR(VALUE(SUBSTITUTE(INDEX('04A_국토부원자료'!$A:$T,ROW()+1,MATCH("층",'04A_국토부원자료'!$A$4:$T$4,0)),",","")),"")</f>
        <v/>
      </c>
      <c r="K773" s="152">
        <f>IFERROR(VALUE(SUBSTITUTE(INDEX('04A_국토부원자료'!$A:$T,ROW()+1,MATCH("건축년도",'04A_국토부원자료'!$A$4:$T$4,0)),",","")),"")</f>
        <v/>
      </c>
      <c r="L773" s="176">
        <f>IFERROR(INDEX('04A_국토부원자료'!$A:$T,ROW()+1,MATCH("도로명",'04A_국토부원자료'!$A$4:$T$4,0)),"")</f>
        <v/>
      </c>
      <c r="M773" s="48">
        <f>IFERROR(INDEX('04A_국토부원자료'!$A:$T,ROW()+1,MATCH("거래유형",'04A_국토부원자료'!$A$4:$T$4,0)),"")</f>
        <v/>
      </c>
      <c r="N773" s="152">
        <f>IF(B773="","",IF('02_대상물건입력'!B5="",1,IF(ISNUMBER(SEARCH('02_대상물건입력'!B5,B773)),1,0)))</f>
        <v/>
      </c>
      <c r="O773" s="152">
        <f>IF(B773="","",IF('02_대상물건입력'!B6="",1,IF(ISNUMBER(SEARCH('02_대상물건입력'!B6,B773)),1,0)))</f>
        <v/>
      </c>
      <c r="P773" s="152">
        <f>IF(L773="","",IF('02_대상물건입력'!B15="",0,IF(ISNUMBER(SEARCH('02_대상물건입력'!B15,L773)),1,0)))</f>
        <v/>
      </c>
      <c r="Q773" s="152">
        <f>IF(OR(C773="",L773=""),0,IF(AND(TRIM(C773)=TRIM(RIGHT(SUBSTITUTE(TRIM('02_대상물건입력'!$B$7)," ",REPT(" ",99)),99)),IF('02_대상물건입력'!B15="",TRUE(),ISNUMBER(SEARCH('02_대상물건입력'!B15,L773)))),1,0))</f>
        <v/>
      </c>
      <c r="R773" s="175">
        <f>IFERROR(ABS(E773-'02_대상물건입력'!B11)/'02_대상물건입력'!B11,"")</f>
        <v/>
      </c>
      <c r="S773" s="152">
        <f>IFERROR(ABS(J773-'02_대상물건입력'!B10),"")</f>
        <v/>
      </c>
      <c r="T773" s="152">
        <f>IFERROR(ABS('01_설정'!B4-F773),"")</f>
        <v/>
      </c>
      <c r="U773" s="152">
        <f>IFERROR(ABS(K773-YEAR('02_대상물건입력'!B14)),"")</f>
        <v/>
      </c>
      <c r="V773" s="152">
        <f>IF(B773="","",IF(AND(E773&gt;0,F773&gt;0,H773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773=1,TRUE()),R773&lt;='01_설정'!B5,S773&lt;='01_설정'!B6,T773&lt;='01_설정'!B7,U773&lt;='01_설정'!B8),"Y",""))</f>
        <v/>
      </c>
      <c r="W773" s="172">
        <f>IF(V773&lt;&gt;"Y","",MAX(0,(1-R773/'01_설정'!B5))*'01_설정'!B14+MAX(0,(1-S773/'01_설정'!B6))*'01_설정'!B15+MAX(0,(1-T773/'01_설정'!B7))*'01_설정'!B16+MAX(0,(1-U773/'01_설정'!B8))*'01_설정'!B17+O773*'01_설정'!B11+Q773*'01_설정'!B12+P773*'01_설정'!B13+IF(Z773="",0,Z773))</f>
        <v/>
      </c>
      <c r="X773" s="152">
        <f>IF(W773="","",1+COUNTIFS($W$4:$W$3003,"&gt;"&amp;W773)+COUNTIFS($W$4:W773,W773)-1)</f>
        <v/>
      </c>
      <c r="Y773" s="175">
        <f>IF(OR(I773="",'02_대상물건입력'!B19="",'02_대상물건입력'!B19&lt;=0),"",ABS(I773-'02_대상물건입력'!B19)/'02_대상물건입력'!B19)</f>
        <v/>
      </c>
      <c r="Z773" s="172">
        <f>IF(OR(Y773="",'01_설정'!B31="",'01_설정'!B31&lt;=0,'01_설정'!B32="",'01_설정'!B32&lt;=0),"",MAX(0,(1-Y773/'01_설정'!B32))*'01_설정'!B31)</f>
        <v/>
      </c>
    </row>
    <row r="774" ht="17.25" customHeight="1">
      <c r="A774" s="152">
        <f>IF(INDEX('04A_국토부원자료'!$A:$A,ROW()+1)="","",ROW()-3)</f>
        <v/>
      </c>
      <c r="B774" s="48">
        <f>IFERROR(INDEX('04A_국토부원자료'!$A:$T,ROW()+1,MATCH("시군구",'04A_국토부원자료'!$A$4:$T$4,0)),"")</f>
        <v/>
      </c>
      <c r="C774" s="48">
        <f>IF(B774="","",IFERROR(INDEX('04A_국토부원자료'!$A:$T,ROW()+1,MATCH("번지",'04A_국토부원자료'!$A$4:$T$4,0)),""))</f>
        <v/>
      </c>
      <c r="D774" s="48">
        <f>IF(B774="","",IF(Q774=1,'02_대상물건입력'!$B$8,IFERROR(INDEX('04A_국토부원자료'!$A:$T,ROW()+1,MATCH("단지명",'04A_국토부원자료'!$A$4:$T$4,0)),"")))</f>
        <v/>
      </c>
      <c r="E774" s="172">
        <f>IFERROR(VALUE(SUBSTITUTE(INDEX('04A_국토부원자료'!$A:$T,ROW()+1,MATCH("전용면적(㎡)",'04A_국토부원자료'!$A$4:$T$4,0)),",","")),"")</f>
        <v/>
      </c>
      <c r="F7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74" s="51">
        <f>IFERROR(VALUE(SUBSTITUTE(INDEX('04A_국토부원자료'!$A:$T,ROW()+1,MATCH("거래금액(만원)",'04A_국토부원자료'!$A$4:$T$4,0)),",","")),"")</f>
        <v/>
      </c>
      <c r="H774" s="174">
        <f>IF(G774="","",G774*10000)</f>
        <v/>
      </c>
      <c r="I774" s="174">
        <f>IFERROR(IF(AND(H774&gt;0,E774&gt;0),H774/E774,""),"")</f>
        <v/>
      </c>
      <c r="J774" s="152">
        <f>IFERROR(VALUE(SUBSTITUTE(INDEX('04A_국토부원자료'!$A:$T,ROW()+1,MATCH("층",'04A_국토부원자료'!$A$4:$T$4,0)),",","")),"")</f>
        <v/>
      </c>
      <c r="K774" s="152">
        <f>IFERROR(VALUE(SUBSTITUTE(INDEX('04A_국토부원자료'!$A:$T,ROW()+1,MATCH("건축년도",'04A_국토부원자료'!$A$4:$T$4,0)),",","")),"")</f>
        <v/>
      </c>
      <c r="L774" s="176">
        <f>IFERROR(INDEX('04A_국토부원자료'!$A:$T,ROW()+1,MATCH("도로명",'04A_국토부원자료'!$A$4:$T$4,0)),"")</f>
        <v/>
      </c>
      <c r="M774" s="48">
        <f>IFERROR(INDEX('04A_국토부원자료'!$A:$T,ROW()+1,MATCH("거래유형",'04A_국토부원자료'!$A$4:$T$4,0)),"")</f>
        <v/>
      </c>
      <c r="N774" s="152">
        <f>IF(B774="","",IF('02_대상물건입력'!B5="",1,IF(ISNUMBER(SEARCH('02_대상물건입력'!B5,B774)),1,0)))</f>
        <v/>
      </c>
      <c r="O774" s="152">
        <f>IF(B774="","",IF('02_대상물건입력'!B6="",1,IF(ISNUMBER(SEARCH('02_대상물건입력'!B6,B774)),1,0)))</f>
        <v/>
      </c>
      <c r="P774" s="152">
        <f>IF(L774="","",IF('02_대상물건입력'!B15="",0,IF(ISNUMBER(SEARCH('02_대상물건입력'!B15,L774)),1,0)))</f>
        <v/>
      </c>
      <c r="Q774" s="152">
        <f>IF(OR(C774="",L774=""),0,IF(AND(TRIM(C774)=TRIM(RIGHT(SUBSTITUTE(TRIM('02_대상물건입력'!$B$7)," ",REPT(" ",99)),99)),IF('02_대상물건입력'!B15="",TRUE(),ISNUMBER(SEARCH('02_대상물건입력'!B15,L774)))),1,0))</f>
        <v/>
      </c>
      <c r="R774" s="175">
        <f>IFERROR(ABS(E774-'02_대상물건입력'!B11)/'02_대상물건입력'!B11,"")</f>
        <v/>
      </c>
      <c r="S774" s="152">
        <f>IFERROR(ABS(J774-'02_대상물건입력'!B10),"")</f>
        <v/>
      </c>
      <c r="T774" s="152">
        <f>IFERROR(ABS('01_설정'!B4-F774),"")</f>
        <v/>
      </c>
      <c r="U774" s="152">
        <f>IFERROR(ABS(K774-YEAR('02_대상물건입력'!B14)),"")</f>
        <v/>
      </c>
      <c r="V774" s="152">
        <f>IF(B774="","",IF(AND(E774&gt;0,F774&gt;0,H774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774=1,TRUE()),R774&lt;='01_설정'!B5,S774&lt;='01_설정'!B6,T774&lt;='01_설정'!B7,U774&lt;='01_설정'!B8),"Y",""))</f>
        <v/>
      </c>
      <c r="W774" s="172">
        <f>IF(V774&lt;&gt;"Y","",MAX(0,(1-R774/'01_설정'!B5))*'01_설정'!B14+MAX(0,(1-S774/'01_설정'!B6))*'01_설정'!B15+MAX(0,(1-T774/'01_설정'!B7))*'01_설정'!B16+MAX(0,(1-U774/'01_설정'!B8))*'01_설정'!B17+O774*'01_설정'!B11+Q774*'01_설정'!B12+P774*'01_설정'!B13+IF(Z774="",0,Z774))</f>
        <v/>
      </c>
      <c r="X774" s="152">
        <f>IF(W774="","",1+COUNTIFS($W$4:$W$3003,"&gt;"&amp;W774)+COUNTIFS($W$4:W774,W774)-1)</f>
        <v/>
      </c>
      <c r="Y774" s="175">
        <f>IF(OR(I774="",'02_대상물건입력'!B19="",'02_대상물건입력'!B19&lt;=0),"",ABS(I774-'02_대상물건입력'!B19)/'02_대상물건입력'!B19)</f>
        <v/>
      </c>
      <c r="Z774" s="172">
        <f>IF(OR(Y774="",'01_설정'!B31="",'01_설정'!B31&lt;=0,'01_설정'!B32="",'01_설정'!B32&lt;=0),"",MAX(0,(1-Y774/'01_설정'!B32))*'01_설정'!B31)</f>
        <v/>
      </c>
    </row>
    <row r="775" ht="17.25" customHeight="1">
      <c r="A775" s="152">
        <f>IF(INDEX('04A_국토부원자료'!$A:$A,ROW()+1)="","",ROW()-3)</f>
        <v/>
      </c>
      <c r="B775" s="48">
        <f>IFERROR(INDEX('04A_국토부원자료'!$A:$T,ROW()+1,MATCH("시군구",'04A_국토부원자료'!$A$4:$T$4,0)),"")</f>
        <v/>
      </c>
      <c r="C775" s="48">
        <f>IF(B775="","",IFERROR(INDEX('04A_국토부원자료'!$A:$T,ROW()+1,MATCH("번지",'04A_국토부원자료'!$A$4:$T$4,0)),""))</f>
        <v/>
      </c>
      <c r="D775" s="48">
        <f>IF(B775="","",IF(Q775=1,'02_대상물건입력'!$B$8,IFERROR(INDEX('04A_국토부원자료'!$A:$T,ROW()+1,MATCH("단지명",'04A_국토부원자료'!$A$4:$T$4,0)),"")))</f>
        <v/>
      </c>
      <c r="E775" s="172">
        <f>IFERROR(VALUE(SUBSTITUTE(INDEX('04A_국토부원자료'!$A:$T,ROW()+1,MATCH("전용면적(㎡)",'04A_국토부원자료'!$A$4:$T$4,0)),",","")),"")</f>
        <v/>
      </c>
      <c r="F7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75" s="51">
        <f>IFERROR(VALUE(SUBSTITUTE(INDEX('04A_국토부원자료'!$A:$T,ROW()+1,MATCH("거래금액(만원)",'04A_국토부원자료'!$A$4:$T$4,0)),",","")),"")</f>
        <v/>
      </c>
      <c r="H775" s="174">
        <f>IF(G775="","",G775*10000)</f>
        <v/>
      </c>
      <c r="I775" s="174">
        <f>IFERROR(IF(AND(H775&gt;0,E775&gt;0),H775/E775,""),"")</f>
        <v/>
      </c>
      <c r="J775" s="152">
        <f>IFERROR(VALUE(SUBSTITUTE(INDEX('04A_국토부원자료'!$A:$T,ROW()+1,MATCH("층",'04A_국토부원자료'!$A$4:$T$4,0)),",","")),"")</f>
        <v/>
      </c>
      <c r="K775" s="152">
        <f>IFERROR(VALUE(SUBSTITUTE(INDEX('04A_국토부원자료'!$A:$T,ROW()+1,MATCH("건축년도",'04A_국토부원자료'!$A$4:$T$4,0)),",","")),"")</f>
        <v/>
      </c>
      <c r="L775" s="176">
        <f>IFERROR(INDEX('04A_국토부원자료'!$A:$T,ROW()+1,MATCH("도로명",'04A_국토부원자료'!$A$4:$T$4,0)),"")</f>
        <v/>
      </c>
      <c r="M775" s="48">
        <f>IFERROR(INDEX('04A_국토부원자료'!$A:$T,ROW()+1,MATCH("거래유형",'04A_국토부원자료'!$A$4:$T$4,0)),"")</f>
        <v/>
      </c>
      <c r="N775" s="152">
        <f>IF(B775="","",IF('02_대상물건입력'!B5="",1,IF(ISNUMBER(SEARCH('02_대상물건입력'!B5,B775)),1,0)))</f>
        <v/>
      </c>
      <c r="O775" s="152">
        <f>IF(B775="","",IF('02_대상물건입력'!B6="",1,IF(ISNUMBER(SEARCH('02_대상물건입력'!B6,B775)),1,0)))</f>
        <v/>
      </c>
      <c r="P775" s="152">
        <f>IF(L775="","",IF('02_대상물건입력'!B15="",0,IF(ISNUMBER(SEARCH('02_대상물건입력'!B15,L775)),1,0)))</f>
        <v/>
      </c>
      <c r="Q775" s="152">
        <f>IF(OR(C775="",L775=""),0,IF(AND(TRIM(C775)=TRIM(RIGHT(SUBSTITUTE(TRIM('02_대상물건입력'!$B$7)," ",REPT(" ",99)),99)),IF('02_대상물건입력'!B15="",TRUE(),ISNUMBER(SEARCH('02_대상물건입력'!B15,L775)))),1,0))</f>
        <v/>
      </c>
      <c r="R775" s="175">
        <f>IFERROR(ABS(E775-'02_대상물건입력'!B11)/'02_대상물건입력'!B11,"")</f>
        <v/>
      </c>
      <c r="S775" s="152">
        <f>IFERROR(ABS(J775-'02_대상물건입력'!B10),"")</f>
        <v/>
      </c>
      <c r="T775" s="152">
        <f>IFERROR(ABS('01_설정'!B4-F775),"")</f>
        <v/>
      </c>
      <c r="U775" s="152">
        <f>IFERROR(ABS(K775-YEAR('02_대상물건입력'!B14)),"")</f>
        <v/>
      </c>
      <c r="V775" s="152">
        <f>IF(B775="","",IF(AND(E775&gt;0,F775&gt;0,H775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775=1,TRUE()),R775&lt;='01_설정'!B5,S775&lt;='01_설정'!B6,T775&lt;='01_설정'!B7,U775&lt;='01_설정'!B8),"Y",""))</f>
        <v/>
      </c>
      <c r="W775" s="172">
        <f>IF(V775&lt;&gt;"Y","",MAX(0,(1-R775/'01_설정'!B5))*'01_설정'!B14+MAX(0,(1-S775/'01_설정'!B6))*'01_설정'!B15+MAX(0,(1-T775/'01_설정'!B7))*'01_설정'!B16+MAX(0,(1-U775/'01_설정'!B8))*'01_설정'!B17+O775*'01_설정'!B11+Q775*'01_설정'!B12+P775*'01_설정'!B13+IF(Z775="",0,Z775))</f>
        <v/>
      </c>
      <c r="X775" s="152">
        <f>IF(W775="","",1+COUNTIFS($W$4:$W$3003,"&gt;"&amp;W775)+COUNTIFS($W$4:W775,W775)-1)</f>
        <v/>
      </c>
      <c r="Y775" s="175">
        <f>IF(OR(I775="",'02_대상물건입력'!B19="",'02_대상물건입력'!B19&lt;=0),"",ABS(I775-'02_대상물건입력'!B19)/'02_대상물건입력'!B19)</f>
        <v/>
      </c>
      <c r="Z775" s="172">
        <f>IF(OR(Y775="",'01_설정'!B31="",'01_설정'!B31&lt;=0,'01_설정'!B32="",'01_설정'!B32&lt;=0),"",MAX(0,(1-Y775/'01_설정'!B32))*'01_설정'!B31)</f>
        <v/>
      </c>
    </row>
    <row r="776" ht="17.25" customHeight="1">
      <c r="A776" s="152">
        <f>IF(INDEX('04A_국토부원자료'!$A:$A,ROW()+1)="","",ROW()-3)</f>
        <v/>
      </c>
      <c r="B776" s="48">
        <f>IFERROR(INDEX('04A_국토부원자료'!$A:$T,ROW()+1,MATCH("시군구",'04A_국토부원자료'!$A$4:$T$4,0)),"")</f>
        <v/>
      </c>
      <c r="C776" s="48">
        <f>IF(B776="","",IFERROR(INDEX('04A_국토부원자료'!$A:$T,ROW()+1,MATCH("번지",'04A_국토부원자료'!$A$4:$T$4,0)),""))</f>
        <v/>
      </c>
      <c r="D776" s="48">
        <f>IF(B776="","",IF(Q776=1,'02_대상물건입력'!$B$8,IFERROR(INDEX('04A_국토부원자료'!$A:$T,ROW()+1,MATCH("단지명",'04A_국토부원자료'!$A$4:$T$4,0)),"")))</f>
        <v/>
      </c>
      <c r="E776" s="172">
        <f>IFERROR(VALUE(SUBSTITUTE(INDEX('04A_국토부원자료'!$A:$T,ROW()+1,MATCH("전용면적(㎡)",'04A_국토부원자료'!$A$4:$T$4,0)),",","")),"")</f>
        <v/>
      </c>
      <c r="F7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76" s="51">
        <f>IFERROR(VALUE(SUBSTITUTE(INDEX('04A_국토부원자료'!$A:$T,ROW()+1,MATCH("거래금액(만원)",'04A_국토부원자료'!$A$4:$T$4,0)),",","")),"")</f>
        <v/>
      </c>
      <c r="H776" s="174">
        <f>IF(G776="","",G776*10000)</f>
        <v/>
      </c>
      <c r="I776" s="174">
        <f>IFERROR(IF(AND(H776&gt;0,E776&gt;0),H776/E776,""),"")</f>
        <v/>
      </c>
      <c r="J776" s="152">
        <f>IFERROR(VALUE(SUBSTITUTE(INDEX('04A_국토부원자료'!$A:$T,ROW()+1,MATCH("층",'04A_국토부원자료'!$A$4:$T$4,0)),",","")),"")</f>
        <v/>
      </c>
      <c r="K776" s="152">
        <f>IFERROR(VALUE(SUBSTITUTE(INDEX('04A_국토부원자료'!$A:$T,ROW()+1,MATCH("건축년도",'04A_국토부원자료'!$A$4:$T$4,0)),",","")),"")</f>
        <v/>
      </c>
      <c r="L776" s="176">
        <f>IFERROR(INDEX('04A_국토부원자료'!$A:$T,ROW()+1,MATCH("도로명",'04A_국토부원자료'!$A$4:$T$4,0)),"")</f>
        <v/>
      </c>
      <c r="M776" s="48">
        <f>IFERROR(INDEX('04A_국토부원자료'!$A:$T,ROW()+1,MATCH("거래유형",'04A_국토부원자료'!$A$4:$T$4,0)),"")</f>
        <v/>
      </c>
      <c r="N776" s="152">
        <f>IF(B776="","",IF('02_대상물건입력'!B5="",1,IF(ISNUMBER(SEARCH('02_대상물건입력'!B5,B776)),1,0)))</f>
        <v/>
      </c>
      <c r="O776" s="152">
        <f>IF(B776="","",IF('02_대상물건입력'!B6="",1,IF(ISNUMBER(SEARCH('02_대상물건입력'!B6,B776)),1,0)))</f>
        <v/>
      </c>
      <c r="P776" s="152">
        <f>IF(L776="","",IF('02_대상물건입력'!B15="",0,IF(ISNUMBER(SEARCH('02_대상물건입력'!B15,L776)),1,0)))</f>
        <v/>
      </c>
      <c r="Q776" s="152">
        <f>IF(OR(C776="",L776=""),0,IF(AND(TRIM(C776)=TRIM(RIGHT(SUBSTITUTE(TRIM('02_대상물건입력'!$B$7)," ",REPT(" ",99)),99)),IF('02_대상물건입력'!B15="",TRUE(),ISNUMBER(SEARCH('02_대상물건입력'!B15,L776)))),1,0))</f>
        <v/>
      </c>
      <c r="R776" s="175">
        <f>IFERROR(ABS(E776-'02_대상물건입력'!B11)/'02_대상물건입력'!B11,"")</f>
        <v/>
      </c>
      <c r="S776" s="152">
        <f>IFERROR(ABS(J776-'02_대상물건입력'!B10),"")</f>
        <v/>
      </c>
      <c r="T776" s="152">
        <f>IFERROR(ABS('01_설정'!B4-F776),"")</f>
        <v/>
      </c>
      <c r="U776" s="152">
        <f>IFERROR(ABS(K776-YEAR('02_대상물건입력'!B14)),"")</f>
        <v/>
      </c>
      <c r="V776" s="152">
        <f>IF(B776="","",IF(AND(E776&gt;0,F776&gt;0,H776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776=1,TRUE()),R776&lt;='01_설정'!B5,S776&lt;='01_설정'!B6,T776&lt;='01_설정'!B7,U776&lt;='01_설정'!B8),"Y",""))</f>
        <v/>
      </c>
      <c r="W776" s="172">
        <f>IF(V776&lt;&gt;"Y","",MAX(0,(1-R776/'01_설정'!B5))*'01_설정'!B14+MAX(0,(1-S776/'01_설정'!B6))*'01_설정'!B15+MAX(0,(1-T776/'01_설정'!B7))*'01_설정'!B16+MAX(0,(1-U776/'01_설정'!B8))*'01_설정'!B17+O776*'01_설정'!B11+Q776*'01_설정'!B12+P776*'01_설정'!B13+IF(Z776="",0,Z776))</f>
        <v/>
      </c>
      <c r="X776" s="152">
        <f>IF(W776="","",1+COUNTIFS($W$4:$W$3003,"&gt;"&amp;W776)+COUNTIFS($W$4:W776,W776)-1)</f>
        <v/>
      </c>
      <c r="Y776" s="175">
        <f>IF(OR(I776="",'02_대상물건입력'!B19="",'02_대상물건입력'!B19&lt;=0),"",ABS(I776-'02_대상물건입력'!B19)/'02_대상물건입력'!B19)</f>
        <v/>
      </c>
      <c r="Z776" s="172">
        <f>IF(OR(Y776="",'01_설정'!B31="",'01_설정'!B31&lt;=0,'01_설정'!B32="",'01_설정'!B32&lt;=0),"",MAX(0,(1-Y776/'01_설정'!B32))*'01_설정'!B31)</f>
        <v/>
      </c>
    </row>
    <row r="777" ht="17.25" customHeight="1">
      <c r="A777" s="152">
        <f>IF(INDEX('04A_국토부원자료'!$A:$A,ROW()+1)="","",ROW()-3)</f>
        <v/>
      </c>
      <c r="B777" s="48">
        <f>IFERROR(INDEX('04A_국토부원자료'!$A:$T,ROW()+1,MATCH("시군구",'04A_국토부원자료'!$A$4:$T$4,0)),"")</f>
        <v/>
      </c>
      <c r="C777" s="48">
        <f>IF(B777="","",IFERROR(INDEX('04A_국토부원자료'!$A:$T,ROW()+1,MATCH("번지",'04A_국토부원자료'!$A$4:$T$4,0)),""))</f>
        <v/>
      </c>
      <c r="D777" s="48">
        <f>IF(B777="","",IF(Q777=1,'02_대상물건입력'!$B$8,IFERROR(INDEX('04A_국토부원자료'!$A:$T,ROW()+1,MATCH("단지명",'04A_국토부원자료'!$A$4:$T$4,0)),"")))</f>
        <v/>
      </c>
      <c r="E777" s="172">
        <f>IFERROR(VALUE(SUBSTITUTE(INDEX('04A_국토부원자료'!$A:$T,ROW()+1,MATCH("전용면적(㎡)",'04A_국토부원자료'!$A$4:$T$4,0)),",","")),"")</f>
        <v/>
      </c>
      <c r="F7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77" s="51">
        <f>IFERROR(VALUE(SUBSTITUTE(INDEX('04A_국토부원자료'!$A:$T,ROW()+1,MATCH("거래금액(만원)",'04A_국토부원자료'!$A$4:$T$4,0)),",","")),"")</f>
        <v/>
      </c>
      <c r="H777" s="174">
        <f>IF(G777="","",G777*10000)</f>
        <v/>
      </c>
      <c r="I777" s="174">
        <f>IFERROR(IF(AND(H777&gt;0,E777&gt;0),H777/E777,""),"")</f>
        <v/>
      </c>
      <c r="J777" s="152">
        <f>IFERROR(VALUE(SUBSTITUTE(INDEX('04A_국토부원자료'!$A:$T,ROW()+1,MATCH("층",'04A_국토부원자료'!$A$4:$T$4,0)),",","")),"")</f>
        <v/>
      </c>
      <c r="K777" s="152">
        <f>IFERROR(VALUE(SUBSTITUTE(INDEX('04A_국토부원자료'!$A:$T,ROW()+1,MATCH("건축년도",'04A_국토부원자료'!$A$4:$T$4,0)),",","")),"")</f>
        <v/>
      </c>
      <c r="L777" s="176">
        <f>IFERROR(INDEX('04A_국토부원자료'!$A:$T,ROW()+1,MATCH("도로명",'04A_국토부원자료'!$A$4:$T$4,0)),"")</f>
        <v/>
      </c>
      <c r="M777" s="48">
        <f>IFERROR(INDEX('04A_국토부원자료'!$A:$T,ROW()+1,MATCH("거래유형",'04A_국토부원자료'!$A$4:$T$4,0)),"")</f>
        <v/>
      </c>
      <c r="N777" s="152">
        <f>IF(B777="","",IF('02_대상물건입력'!B5="",1,IF(ISNUMBER(SEARCH('02_대상물건입력'!B5,B777)),1,0)))</f>
        <v/>
      </c>
      <c r="O777" s="152">
        <f>IF(B777="","",IF('02_대상물건입력'!B6="",1,IF(ISNUMBER(SEARCH('02_대상물건입력'!B6,B777)),1,0)))</f>
        <v/>
      </c>
      <c r="P777" s="152">
        <f>IF(L777="","",IF('02_대상물건입력'!B15="",0,IF(ISNUMBER(SEARCH('02_대상물건입력'!B15,L777)),1,0)))</f>
        <v/>
      </c>
      <c r="Q777" s="152">
        <f>IF(OR(C777="",L777=""),0,IF(AND(TRIM(C777)=TRIM(RIGHT(SUBSTITUTE(TRIM('02_대상물건입력'!$B$7)," ",REPT(" ",99)),99)),IF('02_대상물건입력'!B15="",TRUE(),ISNUMBER(SEARCH('02_대상물건입력'!B15,L777)))),1,0))</f>
        <v/>
      </c>
      <c r="R777" s="175">
        <f>IFERROR(ABS(E777-'02_대상물건입력'!B11)/'02_대상물건입력'!B11,"")</f>
        <v/>
      </c>
      <c r="S777" s="152">
        <f>IFERROR(ABS(J777-'02_대상물건입력'!B10),"")</f>
        <v/>
      </c>
      <c r="T777" s="152">
        <f>IFERROR(ABS('01_설정'!B4-F777),"")</f>
        <v/>
      </c>
      <c r="U777" s="152">
        <f>IFERROR(ABS(K777-YEAR('02_대상물건입력'!B14)),"")</f>
        <v/>
      </c>
      <c r="V777" s="152">
        <f>IF(B777="","",IF(AND(E777&gt;0,F777&gt;0,H777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777=1,TRUE()),R777&lt;='01_설정'!B5,S777&lt;='01_설정'!B6,T777&lt;='01_설정'!B7,U777&lt;='01_설정'!B8),"Y",""))</f>
        <v/>
      </c>
      <c r="W777" s="172">
        <f>IF(V777&lt;&gt;"Y","",MAX(0,(1-R777/'01_설정'!B5))*'01_설정'!B14+MAX(0,(1-S777/'01_설정'!B6))*'01_설정'!B15+MAX(0,(1-T777/'01_설정'!B7))*'01_설정'!B16+MAX(0,(1-U777/'01_설정'!B8))*'01_설정'!B17+O777*'01_설정'!B11+Q777*'01_설정'!B12+P777*'01_설정'!B13+IF(Z777="",0,Z777))</f>
        <v/>
      </c>
      <c r="X777" s="152">
        <f>IF(W777="","",1+COUNTIFS($W$4:$W$3003,"&gt;"&amp;W777)+COUNTIFS($W$4:W777,W777)-1)</f>
        <v/>
      </c>
      <c r="Y777" s="175">
        <f>IF(OR(I777="",'02_대상물건입력'!B19="",'02_대상물건입력'!B19&lt;=0),"",ABS(I777-'02_대상물건입력'!B19)/'02_대상물건입력'!B19)</f>
        <v/>
      </c>
      <c r="Z777" s="172">
        <f>IF(OR(Y777="",'01_설정'!B31="",'01_설정'!B31&lt;=0,'01_설정'!B32="",'01_설정'!B32&lt;=0),"",MAX(0,(1-Y777/'01_설정'!B32))*'01_설정'!B31)</f>
        <v/>
      </c>
    </row>
    <row r="778" ht="17.25" customHeight="1">
      <c r="A778" s="152">
        <f>IF(INDEX('04A_국토부원자료'!$A:$A,ROW()+1)="","",ROW()-3)</f>
        <v/>
      </c>
      <c r="B778" s="48">
        <f>IFERROR(INDEX('04A_국토부원자료'!$A:$T,ROW()+1,MATCH("시군구",'04A_국토부원자료'!$A$4:$T$4,0)),"")</f>
        <v/>
      </c>
      <c r="C778" s="48">
        <f>IF(B778="","",IFERROR(INDEX('04A_국토부원자료'!$A:$T,ROW()+1,MATCH("번지",'04A_국토부원자료'!$A$4:$T$4,0)),""))</f>
        <v/>
      </c>
      <c r="D778" s="48">
        <f>IF(B778="","",IF(Q778=1,'02_대상물건입력'!$B$8,IFERROR(INDEX('04A_국토부원자료'!$A:$T,ROW()+1,MATCH("단지명",'04A_국토부원자료'!$A$4:$T$4,0)),"")))</f>
        <v/>
      </c>
      <c r="E778" s="172">
        <f>IFERROR(VALUE(SUBSTITUTE(INDEX('04A_국토부원자료'!$A:$T,ROW()+1,MATCH("전용면적(㎡)",'04A_국토부원자료'!$A$4:$T$4,0)),",","")),"")</f>
        <v/>
      </c>
      <c r="F7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78" s="51">
        <f>IFERROR(VALUE(SUBSTITUTE(INDEX('04A_국토부원자료'!$A:$T,ROW()+1,MATCH("거래금액(만원)",'04A_국토부원자료'!$A$4:$T$4,0)),",","")),"")</f>
        <v/>
      </c>
      <c r="H778" s="174">
        <f>IF(G778="","",G778*10000)</f>
        <v/>
      </c>
      <c r="I778" s="174">
        <f>IFERROR(IF(AND(H778&gt;0,E778&gt;0),H778/E778,""),"")</f>
        <v/>
      </c>
      <c r="J778" s="152">
        <f>IFERROR(VALUE(SUBSTITUTE(INDEX('04A_국토부원자료'!$A:$T,ROW()+1,MATCH("층",'04A_국토부원자료'!$A$4:$T$4,0)),",","")),"")</f>
        <v/>
      </c>
      <c r="K778" s="152">
        <f>IFERROR(VALUE(SUBSTITUTE(INDEX('04A_국토부원자료'!$A:$T,ROW()+1,MATCH("건축년도",'04A_국토부원자료'!$A$4:$T$4,0)),",","")),"")</f>
        <v/>
      </c>
      <c r="L778" s="176">
        <f>IFERROR(INDEX('04A_국토부원자료'!$A:$T,ROW()+1,MATCH("도로명",'04A_국토부원자료'!$A$4:$T$4,0)),"")</f>
        <v/>
      </c>
      <c r="M778" s="48">
        <f>IFERROR(INDEX('04A_국토부원자료'!$A:$T,ROW()+1,MATCH("거래유형",'04A_국토부원자료'!$A$4:$T$4,0)),"")</f>
        <v/>
      </c>
      <c r="N778" s="152">
        <f>IF(B778="","",IF('02_대상물건입력'!B5="",1,IF(ISNUMBER(SEARCH('02_대상물건입력'!B5,B778)),1,0)))</f>
        <v/>
      </c>
      <c r="O778" s="152">
        <f>IF(B778="","",IF('02_대상물건입력'!B6="",1,IF(ISNUMBER(SEARCH('02_대상물건입력'!B6,B778)),1,0)))</f>
        <v/>
      </c>
      <c r="P778" s="152">
        <f>IF(L778="","",IF('02_대상물건입력'!B15="",0,IF(ISNUMBER(SEARCH('02_대상물건입력'!B15,L778)),1,0)))</f>
        <v/>
      </c>
      <c r="Q778" s="152">
        <f>IF(OR(C778="",L778=""),0,IF(AND(TRIM(C778)=TRIM(RIGHT(SUBSTITUTE(TRIM('02_대상물건입력'!$B$7)," ",REPT(" ",99)),99)),IF('02_대상물건입력'!B15="",TRUE(),ISNUMBER(SEARCH('02_대상물건입력'!B15,L778)))),1,0))</f>
        <v/>
      </c>
      <c r="R778" s="175">
        <f>IFERROR(ABS(E778-'02_대상물건입력'!B11)/'02_대상물건입력'!B11,"")</f>
        <v/>
      </c>
      <c r="S778" s="152">
        <f>IFERROR(ABS(J778-'02_대상물건입력'!B10),"")</f>
        <v/>
      </c>
      <c r="T778" s="152">
        <f>IFERROR(ABS('01_설정'!B4-F778),"")</f>
        <v/>
      </c>
      <c r="U778" s="152">
        <f>IFERROR(ABS(K778-YEAR('02_대상물건입력'!B14)),"")</f>
        <v/>
      </c>
      <c r="V778" s="152">
        <f>IF(B778="","",IF(AND(E778&gt;0,F778&gt;0,H778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778=1,TRUE()),R778&lt;='01_설정'!B5,S778&lt;='01_설정'!B6,T778&lt;='01_설정'!B7,U778&lt;='01_설정'!B8),"Y",""))</f>
        <v/>
      </c>
      <c r="W778" s="172">
        <f>IF(V778&lt;&gt;"Y","",MAX(0,(1-R778/'01_설정'!B5))*'01_설정'!B14+MAX(0,(1-S778/'01_설정'!B6))*'01_설정'!B15+MAX(0,(1-T778/'01_설정'!B7))*'01_설정'!B16+MAX(0,(1-U778/'01_설정'!B8))*'01_설정'!B17+O778*'01_설정'!B11+Q778*'01_설정'!B12+P778*'01_설정'!B13+IF(Z778="",0,Z778))</f>
        <v/>
      </c>
      <c r="X778" s="152">
        <f>IF(W778="","",1+COUNTIFS($W$4:$W$3003,"&gt;"&amp;W778)+COUNTIFS($W$4:W778,W778)-1)</f>
        <v/>
      </c>
      <c r="Y778" s="175">
        <f>IF(OR(I778="",'02_대상물건입력'!B19="",'02_대상물건입력'!B19&lt;=0),"",ABS(I778-'02_대상물건입력'!B19)/'02_대상물건입력'!B19)</f>
        <v/>
      </c>
      <c r="Z778" s="172">
        <f>IF(OR(Y778="",'01_설정'!B31="",'01_설정'!B31&lt;=0,'01_설정'!B32="",'01_설정'!B32&lt;=0),"",MAX(0,(1-Y778/'01_설정'!B32))*'01_설정'!B31)</f>
        <v/>
      </c>
    </row>
    <row r="779" ht="17.25" customHeight="1">
      <c r="A779" s="152">
        <f>IF(INDEX('04A_국토부원자료'!$A:$A,ROW()+1)="","",ROW()-3)</f>
        <v/>
      </c>
      <c r="B779" s="48">
        <f>IFERROR(INDEX('04A_국토부원자료'!$A:$T,ROW()+1,MATCH("시군구",'04A_국토부원자료'!$A$4:$T$4,0)),"")</f>
        <v/>
      </c>
      <c r="C779" s="48">
        <f>IF(B779="","",IFERROR(INDEX('04A_국토부원자료'!$A:$T,ROW()+1,MATCH("번지",'04A_국토부원자료'!$A$4:$T$4,0)),""))</f>
        <v/>
      </c>
      <c r="D779" s="48">
        <f>IF(B779="","",IF(Q779=1,'02_대상물건입력'!$B$8,IFERROR(INDEX('04A_국토부원자료'!$A:$T,ROW()+1,MATCH("단지명",'04A_국토부원자료'!$A$4:$T$4,0)),"")))</f>
        <v/>
      </c>
      <c r="E779" s="172">
        <f>IFERROR(VALUE(SUBSTITUTE(INDEX('04A_국토부원자료'!$A:$T,ROW()+1,MATCH("전용면적(㎡)",'04A_국토부원자료'!$A$4:$T$4,0)),",","")),"")</f>
        <v/>
      </c>
      <c r="F7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79" s="51">
        <f>IFERROR(VALUE(SUBSTITUTE(INDEX('04A_국토부원자료'!$A:$T,ROW()+1,MATCH("거래금액(만원)",'04A_국토부원자료'!$A$4:$T$4,0)),",","")),"")</f>
        <v/>
      </c>
      <c r="H779" s="174">
        <f>IF(G779="","",G779*10000)</f>
        <v/>
      </c>
      <c r="I779" s="174">
        <f>IFERROR(IF(AND(H779&gt;0,E779&gt;0),H779/E779,""),"")</f>
        <v/>
      </c>
      <c r="J779" s="152">
        <f>IFERROR(VALUE(SUBSTITUTE(INDEX('04A_국토부원자료'!$A:$T,ROW()+1,MATCH("층",'04A_국토부원자료'!$A$4:$T$4,0)),",","")),"")</f>
        <v/>
      </c>
      <c r="K779" s="152">
        <f>IFERROR(VALUE(SUBSTITUTE(INDEX('04A_국토부원자료'!$A:$T,ROW()+1,MATCH("건축년도",'04A_국토부원자료'!$A$4:$T$4,0)),",","")),"")</f>
        <v/>
      </c>
      <c r="L779" s="176">
        <f>IFERROR(INDEX('04A_국토부원자료'!$A:$T,ROW()+1,MATCH("도로명",'04A_국토부원자료'!$A$4:$T$4,0)),"")</f>
        <v/>
      </c>
      <c r="M779" s="48">
        <f>IFERROR(INDEX('04A_국토부원자료'!$A:$T,ROW()+1,MATCH("거래유형",'04A_국토부원자료'!$A$4:$T$4,0)),"")</f>
        <v/>
      </c>
      <c r="N779" s="152">
        <f>IF(B779="","",IF('02_대상물건입력'!B5="",1,IF(ISNUMBER(SEARCH('02_대상물건입력'!B5,B779)),1,0)))</f>
        <v/>
      </c>
      <c r="O779" s="152">
        <f>IF(B779="","",IF('02_대상물건입력'!B6="",1,IF(ISNUMBER(SEARCH('02_대상물건입력'!B6,B779)),1,0)))</f>
        <v/>
      </c>
      <c r="P779" s="152">
        <f>IF(L779="","",IF('02_대상물건입력'!B15="",0,IF(ISNUMBER(SEARCH('02_대상물건입력'!B15,L779)),1,0)))</f>
        <v/>
      </c>
      <c r="Q779" s="152">
        <f>IF(OR(C779="",L779=""),0,IF(AND(TRIM(C779)=TRIM(RIGHT(SUBSTITUTE(TRIM('02_대상물건입력'!$B$7)," ",REPT(" ",99)),99)),IF('02_대상물건입력'!B15="",TRUE(),ISNUMBER(SEARCH('02_대상물건입력'!B15,L779)))),1,0))</f>
        <v/>
      </c>
      <c r="R779" s="175">
        <f>IFERROR(ABS(E779-'02_대상물건입력'!B11)/'02_대상물건입력'!B11,"")</f>
        <v/>
      </c>
      <c r="S779" s="152">
        <f>IFERROR(ABS(J779-'02_대상물건입력'!B10),"")</f>
        <v/>
      </c>
      <c r="T779" s="152">
        <f>IFERROR(ABS('01_설정'!B4-F779),"")</f>
        <v/>
      </c>
      <c r="U779" s="152">
        <f>IFERROR(ABS(K779-YEAR('02_대상물건입력'!B14)),"")</f>
        <v/>
      </c>
      <c r="V779" s="152">
        <f>IF(B779="","",IF(AND(E779&gt;0,F779&gt;0,H779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779=1,TRUE()),R779&lt;='01_설정'!B5,S779&lt;='01_설정'!B6,T779&lt;='01_설정'!B7,U779&lt;='01_설정'!B8),"Y",""))</f>
        <v/>
      </c>
      <c r="W779" s="172">
        <f>IF(V779&lt;&gt;"Y","",MAX(0,(1-R779/'01_설정'!B5))*'01_설정'!B14+MAX(0,(1-S779/'01_설정'!B6))*'01_설정'!B15+MAX(0,(1-T779/'01_설정'!B7))*'01_설정'!B16+MAX(0,(1-U779/'01_설정'!B8))*'01_설정'!B17+O779*'01_설정'!B11+Q779*'01_설정'!B12+P779*'01_설정'!B13+IF(Z779="",0,Z779))</f>
        <v/>
      </c>
      <c r="X779" s="152">
        <f>IF(W779="","",1+COUNTIFS($W$4:$W$3003,"&gt;"&amp;W779)+COUNTIFS($W$4:W779,W779)-1)</f>
        <v/>
      </c>
      <c r="Y779" s="175">
        <f>IF(OR(I779="",'02_대상물건입력'!B19="",'02_대상물건입력'!B19&lt;=0),"",ABS(I779-'02_대상물건입력'!B19)/'02_대상물건입력'!B19)</f>
        <v/>
      </c>
      <c r="Z779" s="172">
        <f>IF(OR(Y779="",'01_설정'!B31="",'01_설정'!B31&lt;=0,'01_설정'!B32="",'01_설정'!B32&lt;=0),"",MAX(0,(1-Y779/'01_설정'!B32))*'01_설정'!B31)</f>
        <v/>
      </c>
    </row>
    <row r="780" ht="17.25" customHeight="1">
      <c r="A780" s="152">
        <f>IF(INDEX('04A_국토부원자료'!$A:$A,ROW()+1)="","",ROW()-3)</f>
        <v/>
      </c>
      <c r="B780" s="48">
        <f>IFERROR(INDEX('04A_국토부원자료'!$A:$T,ROW()+1,MATCH("시군구",'04A_국토부원자료'!$A$4:$T$4,0)),"")</f>
        <v/>
      </c>
      <c r="C780" s="48">
        <f>IF(B780="","",IFERROR(INDEX('04A_국토부원자료'!$A:$T,ROW()+1,MATCH("번지",'04A_국토부원자료'!$A$4:$T$4,0)),""))</f>
        <v/>
      </c>
      <c r="D780" s="48">
        <f>IF(B780="","",IF(Q780=1,'02_대상물건입력'!$B$8,IFERROR(INDEX('04A_국토부원자료'!$A:$T,ROW()+1,MATCH("단지명",'04A_국토부원자료'!$A$4:$T$4,0)),"")))</f>
        <v/>
      </c>
      <c r="E780" s="172">
        <f>IFERROR(VALUE(SUBSTITUTE(INDEX('04A_국토부원자료'!$A:$T,ROW()+1,MATCH("전용면적(㎡)",'04A_국토부원자료'!$A$4:$T$4,0)),",","")),"")</f>
        <v/>
      </c>
      <c r="F7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80" s="51">
        <f>IFERROR(VALUE(SUBSTITUTE(INDEX('04A_국토부원자료'!$A:$T,ROW()+1,MATCH("거래금액(만원)",'04A_국토부원자료'!$A$4:$T$4,0)),",","")),"")</f>
        <v/>
      </c>
      <c r="H780" s="174">
        <f>IF(G780="","",G780*10000)</f>
        <v/>
      </c>
      <c r="I780" s="174">
        <f>IFERROR(IF(AND(H780&gt;0,E780&gt;0),H780/E780,""),"")</f>
        <v/>
      </c>
      <c r="J780" s="152">
        <f>IFERROR(VALUE(SUBSTITUTE(INDEX('04A_국토부원자료'!$A:$T,ROW()+1,MATCH("층",'04A_국토부원자료'!$A$4:$T$4,0)),",","")),"")</f>
        <v/>
      </c>
      <c r="K780" s="152">
        <f>IFERROR(VALUE(SUBSTITUTE(INDEX('04A_국토부원자료'!$A:$T,ROW()+1,MATCH("건축년도",'04A_국토부원자료'!$A$4:$T$4,0)),",","")),"")</f>
        <v/>
      </c>
      <c r="L780" s="176">
        <f>IFERROR(INDEX('04A_국토부원자료'!$A:$T,ROW()+1,MATCH("도로명",'04A_국토부원자료'!$A$4:$T$4,0)),"")</f>
        <v/>
      </c>
      <c r="M780" s="48">
        <f>IFERROR(INDEX('04A_국토부원자료'!$A:$T,ROW()+1,MATCH("거래유형",'04A_국토부원자료'!$A$4:$T$4,0)),"")</f>
        <v/>
      </c>
      <c r="N780" s="152">
        <f>IF(B780="","",IF('02_대상물건입력'!B5="",1,IF(ISNUMBER(SEARCH('02_대상물건입력'!B5,B780)),1,0)))</f>
        <v/>
      </c>
      <c r="O780" s="152">
        <f>IF(B780="","",IF('02_대상물건입력'!B6="",1,IF(ISNUMBER(SEARCH('02_대상물건입력'!B6,B780)),1,0)))</f>
        <v/>
      </c>
      <c r="P780" s="152">
        <f>IF(L780="","",IF('02_대상물건입력'!B15="",0,IF(ISNUMBER(SEARCH('02_대상물건입력'!B15,L780)),1,0)))</f>
        <v/>
      </c>
      <c r="Q780" s="152">
        <f>IF(OR(C780="",L780=""),0,IF(AND(TRIM(C780)=TRIM(RIGHT(SUBSTITUTE(TRIM('02_대상물건입력'!$B$7)," ",REPT(" ",99)),99)),IF('02_대상물건입력'!B15="",TRUE(),ISNUMBER(SEARCH('02_대상물건입력'!B15,L780)))),1,0))</f>
        <v/>
      </c>
      <c r="R780" s="175">
        <f>IFERROR(ABS(E780-'02_대상물건입력'!B11)/'02_대상물건입력'!B11,"")</f>
        <v/>
      </c>
      <c r="S780" s="152">
        <f>IFERROR(ABS(J780-'02_대상물건입력'!B10),"")</f>
        <v/>
      </c>
      <c r="T780" s="152">
        <f>IFERROR(ABS('01_설정'!B4-F780),"")</f>
        <v/>
      </c>
      <c r="U780" s="152">
        <f>IFERROR(ABS(K780-YEAR('02_대상물건입력'!B14)),"")</f>
        <v/>
      </c>
      <c r="V780" s="152">
        <f>IF(B780="","",IF(AND(E780&gt;0,F780&gt;0,H780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780=1,TRUE()),R780&lt;='01_설정'!B5,S780&lt;='01_설정'!B6,T780&lt;='01_설정'!B7,U780&lt;='01_설정'!B8),"Y",""))</f>
        <v/>
      </c>
      <c r="W780" s="172">
        <f>IF(V780&lt;&gt;"Y","",MAX(0,(1-R780/'01_설정'!B5))*'01_설정'!B14+MAX(0,(1-S780/'01_설정'!B6))*'01_설정'!B15+MAX(0,(1-T780/'01_설정'!B7))*'01_설정'!B16+MAX(0,(1-U780/'01_설정'!B8))*'01_설정'!B17+O780*'01_설정'!B11+Q780*'01_설정'!B12+P780*'01_설정'!B13+IF(Z780="",0,Z780))</f>
        <v/>
      </c>
      <c r="X780" s="152">
        <f>IF(W780="","",1+COUNTIFS($W$4:$W$3003,"&gt;"&amp;W780)+COUNTIFS($W$4:W780,W780)-1)</f>
        <v/>
      </c>
      <c r="Y780" s="175">
        <f>IF(OR(I780="",'02_대상물건입력'!B19="",'02_대상물건입력'!B19&lt;=0),"",ABS(I780-'02_대상물건입력'!B19)/'02_대상물건입력'!B19)</f>
        <v/>
      </c>
      <c r="Z780" s="172">
        <f>IF(OR(Y780="",'01_설정'!B31="",'01_설정'!B31&lt;=0,'01_설정'!B32="",'01_설정'!B32&lt;=0),"",MAX(0,(1-Y780/'01_설정'!B32))*'01_설정'!B31)</f>
        <v/>
      </c>
    </row>
    <row r="781" ht="17.25" customHeight="1">
      <c r="A781" s="152">
        <f>IF(INDEX('04A_국토부원자료'!$A:$A,ROW()+1)="","",ROW()-3)</f>
        <v/>
      </c>
      <c r="B781" s="48">
        <f>IFERROR(INDEX('04A_국토부원자료'!$A:$T,ROW()+1,MATCH("시군구",'04A_국토부원자료'!$A$4:$T$4,0)),"")</f>
        <v/>
      </c>
      <c r="C781" s="48">
        <f>IF(B781="","",IFERROR(INDEX('04A_국토부원자료'!$A:$T,ROW()+1,MATCH("번지",'04A_국토부원자료'!$A$4:$T$4,0)),""))</f>
        <v/>
      </c>
      <c r="D781" s="48">
        <f>IF(B781="","",IF(Q781=1,'02_대상물건입력'!$B$8,IFERROR(INDEX('04A_국토부원자료'!$A:$T,ROW()+1,MATCH("단지명",'04A_국토부원자료'!$A$4:$T$4,0)),"")))</f>
        <v/>
      </c>
      <c r="E781" s="172">
        <f>IFERROR(VALUE(SUBSTITUTE(INDEX('04A_국토부원자료'!$A:$T,ROW()+1,MATCH("전용면적(㎡)",'04A_국토부원자료'!$A$4:$T$4,0)),",","")),"")</f>
        <v/>
      </c>
      <c r="F7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81" s="51">
        <f>IFERROR(VALUE(SUBSTITUTE(INDEX('04A_국토부원자료'!$A:$T,ROW()+1,MATCH("거래금액(만원)",'04A_국토부원자료'!$A$4:$T$4,0)),",","")),"")</f>
        <v/>
      </c>
      <c r="H781" s="174">
        <f>IF(G781="","",G781*10000)</f>
        <v/>
      </c>
      <c r="I781" s="174">
        <f>IFERROR(IF(AND(H781&gt;0,E781&gt;0),H781/E781,""),"")</f>
        <v/>
      </c>
      <c r="J781" s="152">
        <f>IFERROR(VALUE(SUBSTITUTE(INDEX('04A_국토부원자료'!$A:$T,ROW()+1,MATCH("층",'04A_국토부원자료'!$A$4:$T$4,0)),",","")),"")</f>
        <v/>
      </c>
      <c r="K781" s="152">
        <f>IFERROR(VALUE(SUBSTITUTE(INDEX('04A_국토부원자료'!$A:$T,ROW()+1,MATCH("건축년도",'04A_국토부원자료'!$A$4:$T$4,0)),",","")),"")</f>
        <v/>
      </c>
      <c r="L781" s="176">
        <f>IFERROR(INDEX('04A_국토부원자료'!$A:$T,ROW()+1,MATCH("도로명",'04A_국토부원자료'!$A$4:$T$4,0)),"")</f>
        <v/>
      </c>
      <c r="M781" s="48">
        <f>IFERROR(INDEX('04A_국토부원자료'!$A:$T,ROW()+1,MATCH("거래유형",'04A_국토부원자료'!$A$4:$T$4,0)),"")</f>
        <v/>
      </c>
      <c r="N781" s="152">
        <f>IF(B781="","",IF('02_대상물건입력'!B5="",1,IF(ISNUMBER(SEARCH('02_대상물건입력'!B5,B781)),1,0)))</f>
        <v/>
      </c>
      <c r="O781" s="152">
        <f>IF(B781="","",IF('02_대상물건입력'!B6="",1,IF(ISNUMBER(SEARCH('02_대상물건입력'!B6,B781)),1,0)))</f>
        <v/>
      </c>
      <c r="P781" s="152">
        <f>IF(L781="","",IF('02_대상물건입력'!B15="",0,IF(ISNUMBER(SEARCH('02_대상물건입력'!B15,L781)),1,0)))</f>
        <v/>
      </c>
      <c r="Q781" s="152">
        <f>IF(OR(C781="",L781=""),0,IF(AND(TRIM(C781)=TRIM(RIGHT(SUBSTITUTE(TRIM('02_대상물건입력'!$B$7)," ",REPT(" ",99)),99)),IF('02_대상물건입력'!B15="",TRUE(),ISNUMBER(SEARCH('02_대상물건입력'!B15,L781)))),1,0))</f>
        <v/>
      </c>
      <c r="R781" s="175">
        <f>IFERROR(ABS(E781-'02_대상물건입력'!B11)/'02_대상물건입력'!B11,"")</f>
        <v/>
      </c>
      <c r="S781" s="152">
        <f>IFERROR(ABS(J781-'02_대상물건입력'!B10),"")</f>
        <v/>
      </c>
      <c r="T781" s="152">
        <f>IFERROR(ABS('01_설정'!B4-F781),"")</f>
        <v/>
      </c>
      <c r="U781" s="152">
        <f>IFERROR(ABS(K781-YEAR('02_대상물건입력'!B14)),"")</f>
        <v/>
      </c>
      <c r="V781" s="152">
        <f>IF(B781="","",IF(AND(E781&gt;0,F781&gt;0,H781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781=1,TRUE()),R781&lt;='01_설정'!B5,S781&lt;='01_설정'!B6,T781&lt;='01_설정'!B7,U781&lt;='01_설정'!B8),"Y",""))</f>
        <v/>
      </c>
      <c r="W781" s="172">
        <f>IF(V781&lt;&gt;"Y","",MAX(0,(1-R781/'01_설정'!B5))*'01_설정'!B14+MAX(0,(1-S781/'01_설정'!B6))*'01_설정'!B15+MAX(0,(1-T781/'01_설정'!B7))*'01_설정'!B16+MAX(0,(1-U781/'01_설정'!B8))*'01_설정'!B17+O781*'01_설정'!B11+Q781*'01_설정'!B12+P781*'01_설정'!B13+IF(Z781="",0,Z781))</f>
        <v/>
      </c>
      <c r="X781" s="152">
        <f>IF(W781="","",1+COUNTIFS($W$4:$W$3003,"&gt;"&amp;W781)+COUNTIFS($W$4:W781,W781)-1)</f>
        <v/>
      </c>
      <c r="Y781" s="175">
        <f>IF(OR(I781="",'02_대상물건입력'!B19="",'02_대상물건입력'!B19&lt;=0),"",ABS(I781-'02_대상물건입력'!B19)/'02_대상물건입력'!B19)</f>
        <v/>
      </c>
      <c r="Z781" s="172">
        <f>IF(OR(Y781="",'01_설정'!B31="",'01_설정'!B31&lt;=0,'01_설정'!B32="",'01_설정'!B32&lt;=0),"",MAX(0,(1-Y781/'01_설정'!B32))*'01_설정'!B31)</f>
        <v/>
      </c>
    </row>
    <row r="782" ht="17.25" customHeight="1">
      <c r="A782" s="152">
        <f>IF(INDEX('04A_국토부원자료'!$A:$A,ROW()+1)="","",ROW()-3)</f>
        <v/>
      </c>
      <c r="B782" s="48">
        <f>IFERROR(INDEX('04A_국토부원자료'!$A:$T,ROW()+1,MATCH("시군구",'04A_국토부원자료'!$A$4:$T$4,0)),"")</f>
        <v/>
      </c>
      <c r="C782" s="48">
        <f>IF(B782="","",IFERROR(INDEX('04A_국토부원자료'!$A:$T,ROW()+1,MATCH("번지",'04A_국토부원자료'!$A$4:$T$4,0)),""))</f>
        <v/>
      </c>
      <c r="D782" s="48">
        <f>IF(B782="","",IF(Q782=1,'02_대상물건입력'!$B$8,IFERROR(INDEX('04A_국토부원자료'!$A:$T,ROW()+1,MATCH("단지명",'04A_국토부원자료'!$A$4:$T$4,0)),"")))</f>
        <v/>
      </c>
      <c r="E782" s="172">
        <f>IFERROR(VALUE(SUBSTITUTE(INDEX('04A_국토부원자료'!$A:$T,ROW()+1,MATCH("전용면적(㎡)",'04A_국토부원자료'!$A$4:$T$4,0)),",","")),"")</f>
        <v/>
      </c>
      <c r="F7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82" s="51">
        <f>IFERROR(VALUE(SUBSTITUTE(INDEX('04A_국토부원자료'!$A:$T,ROW()+1,MATCH("거래금액(만원)",'04A_국토부원자료'!$A$4:$T$4,0)),",","")),"")</f>
        <v/>
      </c>
      <c r="H782" s="174">
        <f>IF(G782="","",G782*10000)</f>
        <v/>
      </c>
      <c r="I782" s="174">
        <f>IFERROR(IF(AND(H782&gt;0,E782&gt;0),H782/E782,""),"")</f>
        <v/>
      </c>
      <c r="J782" s="152">
        <f>IFERROR(VALUE(SUBSTITUTE(INDEX('04A_국토부원자료'!$A:$T,ROW()+1,MATCH("층",'04A_국토부원자료'!$A$4:$T$4,0)),",","")),"")</f>
        <v/>
      </c>
      <c r="K782" s="152">
        <f>IFERROR(VALUE(SUBSTITUTE(INDEX('04A_국토부원자료'!$A:$T,ROW()+1,MATCH("건축년도",'04A_국토부원자료'!$A$4:$T$4,0)),",","")),"")</f>
        <v/>
      </c>
      <c r="L782" s="176">
        <f>IFERROR(INDEX('04A_국토부원자료'!$A:$T,ROW()+1,MATCH("도로명",'04A_국토부원자료'!$A$4:$T$4,0)),"")</f>
        <v/>
      </c>
      <c r="M782" s="48">
        <f>IFERROR(INDEX('04A_국토부원자료'!$A:$T,ROW()+1,MATCH("거래유형",'04A_국토부원자료'!$A$4:$T$4,0)),"")</f>
        <v/>
      </c>
      <c r="N782" s="152">
        <f>IF(B782="","",IF('02_대상물건입력'!B5="",1,IF(ISNUMBER(SEARCH('02_대상물건입력'!B5,B782)),1,0)))</f>
        <v/>
      </c>
      <c r="O782" s="152">
        <f>IF(B782="","",IF('02_대상물건입력'!B6="",1,IF(ISNUMBER(SEARCH('02_대상물건입력'!B6,B782)),1,0)))</f>
        <v/>
      </c>
      <c r="P782" s="152">
        <f>IF(L782="","",IF('02_대상물건입력'!B15="",0,IF(ISNUMBER(SEARCH('02_대상물건입력'!B15,L782)),1,0)))</f>
        <v/>
      </c>
      <c r="Q782" s="152">
        <f>IF(OR(C782="",L782=""),0,IF(AND(TRIM(C782)=TRIM(RIGHT(SUBSTITUTE(TRIM('02_대상물건입력'!$B$7)," ",REPT(" ",99)),99)),IF('02_대상물건입력'!B15="",TRUE(),ISNUMBER(SEARCH('02_대상물건입력'!B15,L782)))),1,0))</f>
        <v/>
      </c>
      <c r="R782" s="175">
        <f>IFERROR(ABS(E782-'02_대상물건입력'!B11)/'02_대상물건입력'!B11,"")</f>
        <v/>
      </c>
      <c r="S782" s="152">
        <f>IFERROR(ABS(J782-'02_대상물건입력'!B10),"")</f>
        <v/>
      </c>
      <c r="T782" s="152">
        <f>IFERROR(ABS('01_설정'!B4-F782),"")</f>
        <v/>
      </c>
      <c r="U782" s="152">
        <f>IFERROR(ABS(K782-YEAR('02_대상물건입력'!B14)),"")</f>
        <v/>
      </c>
      <c r="V782" s="152">
        <f>IF(B782="","",IF(AND(E782&gt;0,F782&gt;0,H782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782=1,TRUE()),R782&lt;='01_설정'!B5,S782&lt;='01_설정'!B6,T782&lt;='01_설정'!B7,U782&lt;='01_설정'!B8),"Y",""))</f>
        <v/>
      </c>
      <c r="W782" s="172">
        <f>IF(V782&lt;&gt;"Y","",MAX(0,(1-R782/'01_설정'!B5))*'01_설정'!B14+MAX(0,(1-S782/'01_설정'!B6))*'01_설정'!B15+MAX(0,(1-T782/'01_설정'!B7))*'01_설정'!B16+MAX(0,(1-U782/'01_설정'!B8))*'01_설정'!B17+O782*'01_설정'!B11+Q782*'01_설정'!B12+P782*'01_설정'!B13+IF(Z782="",0,Z782))</f>
        <v/>
      </c>
      <c r="X782" s="152">
        <f>IF(W782="","",1+COUNTIFS($W$4:$W$3003,"&gt;"&amp;W782)+COUNTIFS($W$4:W782,W782)-1)</f>
        <v/>
      </c>
      <c r="Y782" s="175">
        <f>IF(OR(I782="",'02_대상물건입력'!B19="",'02_대상물건입력'!B19&lt;=0),"",ABS(I782-'02_대상물건입력'!B19)/'02_대상물건입력'!B19)</f>
        <v/>
      </c>
      <c r="Z782" s="172">
        <f>IF(OR(Y782="",'01_설정'!B31="",'01_설정'!B31&lt;=0,'01_설정'!B32="",'01_설정'!B32&lt;=0),"",MAX(0,(1-Y782/'01_설정'!B32))*'01_설정'!B31)</f>
        <v/>
      </c>
    </row>
    <row r="783" ht="17.25" customHeight="1">
      <c r="A783" s="152">
        <f>IF(INDEX('04A_국토부원자료'!$A:$A,ROW()+1)="","",ROW()-3)</f>
        <v/>
      </c>
      <c r="B783" s="48">
        <f>IFERROR(INDEX('04A_국토부원자료'!$A:$T,ROW()+1,MATCH("시군구",'04A_국토부원자료'!$A$4:$T$4,0)),"")</f>
        <v/>
      </c>
      <c r="C783" s="48">
        <f>IF(B783="","",IFERROR(INDEX('04A_국토부원자료'!$A:$T,ROW()+1,MATCH("번지",'04A_국토부원자료'!$A$4:$T$4,0)),""))</f>
        <v/>
      </c>
      <c r="D783" s="48">
        <f>IF(B783="","",IF(Q783=1,'02_대상물건입력'!$B$8,IFERROR(INDEX('04A_국토부원자료'!$A:$T,ROW()+1,MATCH("단지명",'04A_국토부원자료'!$A$4:$T$4,0)),"")))</f>
        <v/>
      </c>
      <c r="E783" s="172">
        <f>IFERROR(VALUE(SUBSTITUTE(INDEX('04A_국토부원자료'!$A:$T,ROW()+1,MATCH("전용면적(㎡)",'04A_국토부원자료'!$A$4:$T$4,0)),",","")),"")</f>
        <v/>
      </c>
      <c r="F7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83" s="51">
        <f>IFERROR(VALUE(SUBSTITUTE(INDEX('04A_국토부원자료'!$A:$T,ROW()+1,MATCH("거래금액(만원)",'04A_국토부원자료'!$A$4:$T$4,0)),",","")),"")</f>
        <v/>
      </c>
      <c r="H783" s="174">
        <f>IF(G783="","",G783*10000)</f>
        <v/>
      </c>
      <c r="I783" s="174">
        <f>IFERROR(IF(AND(H783&gt;0,E783&gt;0),H783/E783,""),"")</f>
        <v/>
      </c>
      <c r="J783" s="152">
        <f>IFERROR(VALUE(SUBSTITUTE(INDEX('04A_국토부원자료'!$A:$T,ROW()+1,MATCH("층",'04A_국토부원자료'!$A$4:$T$4,0)),",","")),"")</f>
        <v/>
      </c>
      <c r="K783" s="152">
        <f>IFERROR(VALUE(SUBSTITUTE(INDEX('04A_국토부원자료'!$A:$T,ROW()+1,MATCH("건축년도",'04A_국토부원자료'!$A$4:$T$4,0)),",","")),"")</f>
        <v/>
      </c>
      <c r="L783" s="176">
        <f>IFERROR(INDEX('04A_국토부원자료'!$A:$T,ROW()+1,MATCH("도로명",'04A_국토부원자료'!$A$4:$T$4,0)),"")</f>
        <v/>
      </c>
      <c r="M783" s="48">
        <f>IFERROR(INDEX('04A_국토부원자료'!$A:$T,ROW()+1,MATCH("거래유형",'04A_국토부원자료'!$A$4:$T$4,0)),"")</f>
        <v/>
      </c>
      <c r="N783" s="152">
        <f>IF(B783="","",IF('02_대상물건입력'!B5="",1,IF(ISNUMBER(SEARCH('02_대상물건입력'!B5,B783)),1,0)))</f>
        <v/>
      </c>
      <c r="O783" s="152">
        <f>IF(B783="","",IF('02_대상물건입력'!B6="",1,IF(ISNUMBER(SEARCH('02_대상물건입력'!B6,B783)),1,0)))</f>
        <v/>
      </c>
      <c r="P783" s="152">
        <f>IF(L783="","",IF('02_대상물건입력'!B15="",0,IF(ISNUMBER(SEARCH('02_대상물건입력'!B15,L783)),1,0)))</f>
        <v/>
      </c>
      <c r="Q783" s="152">
        <f>IF(OR(C783="",L783=""),0,IF(AND(TRIM(C783)=TRIM(RIGHT(SUBSTITUTE(TRIM('02_대상물건입력'!$B$7)," ",REPT(" ",99)),99)),IF('02_대상물건입력'!B15="",TRUE(),ISNUMBER(SEARCH('02_대상물건입력'!B15,L783)))),1,0))</f>
        <v/>
      </c>
      <c r="R783" s="175">
        <f>IFERROR(ABS(E783-'02_대상물건입력'!B11)/'02_대상물건입력'!B11,"")</f>
        <v/>
      </c>
      <c r="S783" s="152">
        <f>IFERROR(ABS(J783-'02_대상물건입력'!B10),"")</f>
        <v/>
      </c>
      <c r="T783" s="152">
        <f>IFERROR(ABS('01_설정'!B4-F783),"")</f>
        <v/>
      </c>
      <c r="U783" s="152">
        <f>IFERROR(ABS(K783-YEAR('02_대상물건입력'!B14)),"")</f>
        <v/>
      </c>
      <c r="V783" s="152">
        <f>IF(B783="","",IF(AND(E783&gt;0,F783&gt;0,H783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783=1,TRUE()),R783&lt;='01_설정'!B5,S783&lt;='01_설정'!B6,T783&lt;='01_설정'!B7,U783&lt;='01_설정'!B8),"Y",""))</f>
        <v/>
      </c>
      <c r="W783" s="172">
        <f>IF(V783&lt;&gt;"Y","",MAX(0,(1-R783/'01_설정'!B5))*'01_설정'!B14+MAX(0,(1-S783/'01_설정'!B6))*'01_설정'!B15+MAX(0,(1-T783/'01_설정'!B7))*'01_설정'!B16+MAX(0,(1-U783/'01_설정'!B8))*'01_설정'!B17+O783*'01_설정'!B11+Q783*'01_설정'!B12+P783*'01_설정'!B13+IF(Z783="",0,Z783))</f>
        <v/>
      </c>
      <c r="X783" s="152">
        <f>IF(W783="","",1+COUNTIFS($W$4:$W$3003,"&gt;"&amp;W783)+COUNTIFS($W$4:W783,W783)-1)</f>
        <v/>
      </c>
      <c r="Y783" s="175">
        <f>IF(OR(I783="",'02_대상물건입력'!B19="",'02_대상물건입력'!B19&lt;=0),"",ABS(I783-'02_대상물건입력'!B19)/'02_대상물건입력'!B19)</f>
        <v/>
      </c>
      <c r="Z783" s="172">
        <f>IF(OR(Y783="",'01_설정'!B31="",'01_설정'!B31&lt;=0,'01_설정'!B32="",'01_설정'!B32&lt;=0),"",MAX(0,(1-Y783/'01_설정'!B32))*'01_설정'!B31)</f>
        <v/>
      </c>
    </row>
    <row r="784" ht="17.25" customHeight="1">
      <c r="A784" s="152">
        <f>IF(INDEX('04A_국토부원자료'!$A:$A,ROW()+1)="","",ROW()-3)</f>
        <v/>
      </c>
      <c r="B784" s="48">
        <f>IFERROR(INDEX('04A_국토부원자료'!$A:$T,ROW()+1,MATCH("시군구",'04A_국토부원자료'!$A$4:$T$4,0)),"")</f>
        <v/>
      </c>
      <c r="C784" s="48">
        <f>IF(B784="","",IFERROR(INDEX('04A_국토부원자료'!$A:$T,ROW()+1,MATCH("번지",'04A_국토부원자료'!$A$4:$T$4,0)),""))</f>
        <v/>
      </c>
      <c r="D784" s="48">
        <f>IF(B784="","",IF(Q784=1,'02_대상물건입력'!$B$8,IFERROR(INDEX('04A_국토부원자료'!$A:$T,ROW()+1,MATCH("단지명",'04A_국토부원자료'!$A$4:$T$4,0)),"")))</f>
        <v/>
      </c>
      <c r="E784" s="172">
        <f>IFERROR(VALUE(SUBSTITUTE(INDEX('04A_국토부원자료'!$A:$T,ROW()+1,MATCH("전용면적(㎡)",'04A_국토부원자료'!$A$4:$T$4,0)),",","")),"")</f>
        <v/>
      </c>
      <c r="F7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84" s="51">
        <f>IFERROR(VALUE(SUBSTITUTE(INDEX('04A_국토부원자료'!$A:$T,ROW()+1,MATCH("거래금액(만원)",'04A_국토부원자료'!$A$4:$T$4,0)),",","")),"")</f>
        <v/>
      </c>
      <c r="H784" s="174">
        <f>IF(G784="","",G784*10000)</f>
        <v/>
      </c>
      <c r="I784" s="174">
        <f>IFERROR(IF(AND(H784&gt;0,E784&gt;0),H784/E784,""),"")</f>
        <v/>
      </c>
      <c r="J784" s="152">
        <f>IFERROR(VALUE(SUBSTITUTE(INDEX('04A_국토부원자료'!$A:$T,ROW()+1,MATCH("층",'04A_국토부원자료'!$A$4:$T$4,0)),",","")),"")</f>
        <v/>
      </c>
      <c r="K784" s="152">
        <f>IFERROR(VALUE(SUBSTITUTE(INDEX('04A_국토부원자료'!$A:$T,ROW()+1,MATCH("건축년도",'04A_국토부원자료'!$A$4:$T$4,0)),",","")),"")</f>
        <v/>
      </c>
      <c r="L784" s="176">
        <f>IFERROR(INDEX('04A_국토부원자료'!$A:$T,ROW()+1,MATCH("도로명",'04A_국토부원자료'!$A$4:$T$4,0)),"")</f>
        <v/>
      </c>
      <c r="M784" s="48">
        <f>IFERROR(INDEX('04A_국토부원자료'!$A:$T,ROW()+1,MATCH("거래유형",'04A_국토부원자료'!$A$4:$T$4,0)),"")</f>
        <v/>
      </c>
      <c r="N784" s="152">
        <f>IF(B784="","",IF('02_대상물건입력'!B5="",1,IF(ISNUMBER(SEARCH('02_대상물건입력'!B5,B784)),1,0)))</f>
        <v/>
      </c>
      <c r="O784" s="152">
        <f>IF(B784="","",IF('02_대상물건입력'!B6="",1,IF(ISNUMBER(SEARCH('02_대상물건입력'!B6,B784)),1,0)))</f>
        <v/>
      </c>
      <c r="P784" s="152">
        <f>IF(L784="","",IF('02_대상물건입력'!B15="",0,IF(ISNUMBER(SEARCH('02_대상물건입력'!B15,L784)),1,0)))</f>
        <v/>
      </c>
      <c r="Q784" s="152">
        <f>IF(OR(C784="",L784=""),0,IF(AND(TRIM(C784)=TRIM(RIGHT(SUBSTITUTE(TRIM('02_대상물건입력'!$B$7)," ",REPT(" ",99)),99)),IF('02_대상물건입력'!B15="",TRUE(),ISNUMBER(SEARCH('02_대상물건입력'!B15,L784)))),1,0))</f>
        <v/>
      </c>
      <c r="R784" s="175">
        <f>IFERROR(ABS(E784-'02_대상물건입력'!B11)/'02_대상물건입력'!B11,"")</f>
        <v/>
      </c>
      <c r="S784" s="152">
        <f>IFERROR(ABS(J784-'02_대상물건입력'!B10),"")</f>
        <v/>
      </c>
      <c r="T784" s="152">
        <f>IFERROR(ABS('01_설정'!B4-F784),"")</f>
        <v/>
      </c>
      <c r="U784" s="152">
        <f>IFERROR(ABS(K784-YEAR('02_대상물건입력'!B14)),"")</f>
        <v/>
      </c>
      <c r="V784" s="152">
        <f>IF(B784="","",IF(AND(E784&gt;0,F784&gt;0,H784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784=1,TRUE()),R784&lt;='01_설정'!B5,S784&lt;='01_설정'!B6,T784&lt;='01_설정'!B7,U784&lt;='01_설정'!B8),"Y",""))</f>
        <v/>
      </c>
      <c r="W784" s="172">
        <f>IF(V784&lt;&gt;"Y","",MAX(0,(1-R784/'01_설정'!B5))*'01_설정'!B14+MAX(0,(1-S784/'01_설정'!B6))*'01_설정'!B15+MAX(0,(1-T784/'01_설정'!B7))*'01_설정'!B16+MAX(0,(1-U784/'01_설정'!B8))*'01_설정'!B17+O784*'01_설정'!B11+Q784*'01_설정'!B12+P784*'01_설정'!B13+IF(Z784="",0,Z784))</f>
        <v/>
      </c>
      <c r="X784" s="152">
        <f>IF(W784="","",1+COUNTIFS($W$4:$W$3003,"&gt;"&amp;W784)+COUNTIFS($W$4:W784,W784)-1)</f>
        <v/>
      </c>
      <c r="Y784" s="175">
        <f>IF(OR(I784="",'02_대상물건입력'!B19="",'02_대상물건입력'!B19&lt;=0),"",ABS(I784-'02_대상물건입력'!B19)/'02_대상물건입력'!B19)</f>
        <v/>
      </c>
      <c r="Z784" s="172">
        <f>IF(OR(Y784="",'01_설정'!B31="",'01_설정'!B31&lt;=0,'01_설정'!B32="",'01_설정'!B32&lt;=0),"",MAX(0,(1-Y784/'01_설정'!B32))*'01_설정'!B31)</f>
        <v/>
      </c>
    </row>
    <row r="785" ht="17.25" customHeight="1">
      <c r="A785" s="152">
        <f>IF(INDEX('04A_국토부원자료'!$A:$A,ROW()+1)="","",ROW()-3)</f>
        <v/>
      </c>
      <c r="B785" s="48">
        <f>IFERROR(INDEX('04A_국토부원자료'!$A:$T,ROW()+1,MATCH("시군구",'04A_국토부원자료'!$A$4:$T$4,0)),"")</f>
        <v/>
      </c>
      <c r="C785" s="48">
        <f>IF(B785="","",IFERROR(INDEX('04A_국토부원자료'!$A:$T,ROW()+1,MATCH("번지",'04A_국토부원자료'!$A$4:$T$4,0)),""))</f>
        <v/>
      </c>
      <c r="D785" s="48">
        <f>IF(B785="","",IF(Q785=1,'02_대상물건입력'!$B$8,IFERROR(INDEX('04A_국토부원자료'!$A:$T,ROW()+1,MATCH("단지명",'04A_국토부원자료'!$A$4:$T$4,0)),"")))</f>
        <v/>
      </c>
      <c r="E785" s="172">
        <f>IFERROR(VALUE(SUBSTITUTE(INDEX('04A_국토부원자료'!$A:$T,ROW()+1,MATCH("전용면적(㎡)",'04A_국토부원자료'!$A$4:$T$4,0)),",","")),"")</f>
        <v/>
      </c>
      <c r="F7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85" s="51">
        <f>IFERROR(VALUE(SUBSTITUTE(INDEX('04A_국토부원자료'!$A:$T,ROW()+1,MATCH("거래금액(만원)",'04A_국토부원자료'!$A$4:$T$4,0)),",","")),"")</f>
        <v/>
      </c>
      <c r="H785" s="174">
        <f>IF(G785="","",G785*10000)</f>
        <v/>
      </c>
      <c r="I785" s="174">
        <f>IFERROR(IF(AND(H785&gt;0,E785&gt;0),H785/E785,""),"")</f>
        <v/>
      </c>
      <c r="J785" s="152">
        <f>IFERROR(VALUE(SUBSTITUTE(INDEX('04A_국토부원자료'!$A:$T,ROW()+1,MATCH("층",'04A_국토부원자료'!$A$4:$T$4,0)),",","")),"")</f>
        <v/>
      </c>
      <c r="K785" s="152">
        <f>IFERROR(VALUE(SUBSTITUTE(INDEX('04A_국토부원자료'!$A:$T,ROW()+1,MATCH("건축년도",'04A_국토부원자료'!$A$4:$T$4,0)),",","")),"")</f>
        <v/>
      </c>
      <c r="L785" s="176">
        <f>IFERROR(INDEX('04A_국토부원자료'!$A:$T,ROW()+1,MATCH("도로명",'04A_국토부원자료'!$A$4:$T$4,0)),"")</f>
        <v/>
      </c>
      <c r="M785" s="48">
        <f>IFERROR(INDEX('04A_국토부원자료'!$A:$T,ROW()+1,MATCH("거래유형",'04A_국토부원자료'!$A$4:$T$4,0)),"")</f>
        <v/>
      </c>
      <c r="N785" s="152">
        <f>IF(B785="","",IF('02_대상물건입력'!B5="",1,IF(ISNUMBER(SEARCH('02_대상물건입력'!B5,B785)),1,0)))</f>
        <v/>
      </c>
      <c r="O785" s="152">
        <f>IF(B785="","",IF('02_대상물건입력'!B6="",1,IF(ISNUMBER(SEARCH('02_대상물건입력'!B6,B785)),1,0)))</f>
        <v/>
      </c>
      <c r="P785" s="152">
        <f>IF(L785="","",IF('02_대상물건입력'!B15="",0,IF(ISNUMBER(SEARCH('02_대상물건입력'!B15,L785)),1,0)))</f>
        <v/>
      </c>
      <c r="Q785" s="152">
        <f>IF(OR(C785="",L785=""),0,IF(AND(TRIM(C785)=TRIM(RIGHT(SUBSTITUTE(TRIM('02_대상물건입력'!$B$7)," ",REPT(" ",99)),99)),IF('02_대상물건입력'!B15="",TRUE(),ISNUMBER(SEARCH('02_대상물건입력'!B15,L785)))),1,0))</f>
        <v/>
      </c>
      <c r="R785" s="175">
        <f>IFERROR(ABS(E785-'02_대상물건입력'!B11)/'02_대상물건입력'!B11,"")</f>
        <v/>
      </c>
      <c r="S785" s="152">
        <f>IFERROR(ABS(J785-'02_대상물건입력'!B10),"")</f>
        <v/>
      </c>
      <c r="T785" s="152">
        <f>IFERROR(ABS('01_설정'!B4-F785),"")</f>
        <v/>
      </c>
      <c r="U785" s="152">
        <f>IFERROR(ABS(K785-YEAR('02_대상물건입력'!B14)),"")</f>
        <v/>
      </c>
      <c r="V785" s="152">
        <f>IF(B785="","",IF(AND(E785&gt;0,F785&gt;0,H785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785=1,TRUE()),R785&lt;='01_설정'!B5,S785&lt;='01_설정'!B6,T785&lt;='01_설정'!B7,U785&lt;='01_설정'!B8),"Y",""))</f>
        <v/>
      </c>
      <c r="W785" s="172">
        <f>IF(V785&lt;&gt;"Y","",MAX(0,(1-R785/'01_설정'!B5))*'01_설정'!B14+MAX(0,(1-S785/'01_설정'!B6))*'01_설정'!B15+MAX(0,(1-T785/'01_설정'!B7))*'01_설정'!B16+MAX(0,(1-U785/'01_설정'!B8))*'01_설정'!B17+O785*'01_설정'!B11+Q785*'01_설정'!B12+P785*'01_설정'!B13+IF(Z785="",0,Z785))</f>
        <v/>
      </c>
      <c r="X785" s="152">
        <f>IF(W785="","",1+COUNTIFS($W$4:$W$3003,"&gt;"&amp;W785)+COUNTIFS($W$4:W785,W785)-1)</f>
        <v/>
      </c>
      <c r="Y785" s="175">
        <f>IF(OR(I785="",'02_대상물건입력'!B19="",'02_대상물건입력'!B19&lt;=0),"",ABS(I785-'02_대상물건입력'!B19)/'02_대상물건입력'!B19)</f>
        <v/>
      </c>
      <c r="Z785" s="172">
        <f>IF(OR(Y785="",'01_설정'!B31="",'01_설정'!B31&lt;=0,'01_설정'!B32="",'01_설정'!B32&lt;=0),"",MAX(0,(1-Y785/'01_설정'!B32))*'01_설정'!B31)</f>
        <v/>
      </c>
    </row>
    <row r="786" ht="17.25" customHeight="1">
      <c r="A786" s="152">
        <f>IF(INDEX('04A_국토부원자료'!$A:$A,ROW()+1)="","",ROW()-3)</f>
        <v/>
      </c>
      <c r="B786" s="48">
        <f>IFERROR(INDEX('04A_국토부원자료'!$A:$T,ROW()+1,MATCH("시군구",'04A_국토부원자료'!$A$4:$T$4,0)),"")</f>
        <v/>
      </c>
      <c r="C786" s="48">
        <f>IF(B786="","",IFERROR(INDEX('04A_국토부원자료'!$A:$T,ROW()+1,MATCH("번지",'04A_국토부원자료'!$A$4:$T$4,0)),""))</f>
        <v/>
      </c>
      <c r="D786" s="48">
        <f>IF(B786="","",IF(Q786=1,'02_대상물건입력'!$B$8,IFERROR(INDEX('04A_국토부원자료'!$A:$T,ROW()+1,MATCH("단지명",'04A_국토부원자료'!$A$4:$T$4,0)),"")))</f>
        <v/>
      </c>
      <c r="E786" s="172">
        <f>IFERROR(VALUE(SUBSTITUTE(INDEX('04A_국토부원자료'!$A:$T,ROW()+1,MATCH("전용면적(㎡)",'04A_국토부원자료'!$A$4:$T$4,0)),",","")),"")</f>
        <v/>
      </c>
      <c r="F7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86" s="51">
        <f>IFERROR(VALUE(SUBSTITUTE(INDEX('04A_국토부원자료'!$A:$T,ROW()+1,MATCH("거래금액(만원)",'04A_국토부원자료'!$A$4:$T$4,0)),",","")),"")</f>
        <v/>
      </c>
      <c r="H786" s="174">
        <f>IF(G786="","",G786*10000)</f>
        <v/>
      </c>
      <c r="I786" s="174">
        <f>IFERROR(IF(AND(H786&gt;0,E786&gt;0),H786/E786,""),"")</f>
        <v/>
      </c>
      <c r="J786" s="152">
        <f>IFERROR(VALUE(SUBSTITUTE(INDEX('04A_국토부원자료'!$A:$T,ROW()+1,MATCH("층",'04A_국토부원자료'!$A$4:$T$4,0)),",","")),"")</f>
        <v/>
      </c>
      <c r="K786" s="152">
        <f>IFERROR(VALUE(SUBSTITUTE(INDEX('04A_국토부원자료'!$A:$T,ROW()+1,MATCH("건축년도",'04A_국토부원자료'!$A$4:$T$4,0)),",","")),"")</f>
        <v/>
      </c>
      <c r="L786" s="176">
        <f>IFERROR(INDEX('04A_국토부원자료'!$A:$T,ROW()+1,MATCH("도로명",'04A_국토부원자료'!$A$4:$T$4,0)),"")</f>
        <v/>
      </c>
      <c r="M786" s="48">
        <f>IFERROR(INDEX('04A_국토부원자료'!$A:$T,ROW()+1,MATCH("거래유형",'04A_국토부원자료'!$A$4:$T$4,0)),"")</f>
        <v/>
      </c>
      <c r="N786" s="152">
        <f>IF(B786="","",IF('02_대상물건입력'!B5="",1,IF(ISNUMBER(SEARCH('02_대상물건입력'!B5,B786)),1,0)))</f>
        <v/>
      </c>
      <c r="O786" s="152">
        <f>IF(B786="","",IF('02_대상물건입력'!B6="",1,IF(ISNUMBER(SEARCH('02_대상물건입력'!B6,B786)),1,0)))</f>
        <v/>
      </c>
      <c r="P786" s="152">
        <f>IF(L786="","",IF('02_대상물건입력'!B15="",0,IF(ISNUMBER(SEARCH('02_대상물건입력'!B15,L786)),1,0)))</f>
        <v/>
      </c>
      <c r="Q786" s="152">
        <f>IF(OR(C786="",L786=""),0,IF(AND(TRIM(C786)=TRIM(RIGHT(SUBSTITUTE(TRIM('02_대상물건입력'!$B$7)," ",REPT(" ",99)),99)),IF('02_대상물건입력'!B15="",TRUE(),ISNUMBER(SEARCH('02_대상물건입력'!B15,L786)))),1,0))</f>
        <v/>
      </c>
      <c r="R786" s="175">
        <f>IFERROR(ABS(E786-'02_대상물건입력'!B11)/'02_대상물건입력'!B11,"")</f>
        <v/>
      </c>
      <c r="S786" s="152">
        <f>IFERROR(ABS(J786-'02_대상물건입력'!B10),"")</f>
        <v/>
      </c>
      <c r="T786" s="152">
        <f>IFERROR(ABS('01_설정'!B4-F786),"")</f>
        <v/>
      </c>
      <c r="U786" s="152">
        <f>IFERROR(ABS(K786-YEAR('02_대상물건입력'!B14)),"")</f>
        <v/>
      </c>
      <c r="V786" s="152">
        <f>IF(B786="","",IF(AND(E786&gt;0,F786&gt;0,H786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786=1,TRUE()),R786&lt;='01_설정'!B5,S786&lt;='01_설정'!B6,T786&lt;='01_설정'!B7,U786&lt;='01_설정'!B8),"Y",""))</f>
        <v/>
      </c>
      <c r="W786" s="172">
        <f>IF(V786&lt;&gt;"Y","",MAX(0,(1-R786/'01_설정'!B5))*'01_설정'!B14+MAX(0,(1-S786/'01_설정'!B6))*'01_설정'!B15+MAX(0,(1-T786/'01_설정'!B7))*'01_설정'!B16+MAX(0,(1-U786/'01_설정'!B8))*'01_설정'!B17+O786*'01_설정'!B11+Q786*'01_설정'!B12+P786*'01_설정'!B13+IF(Z786="",0,Z786))</f>
        <v/>
      </c>
      <c r="X786" s="152">
        <f>IF(W786="","",1+COUNTIFS($W$4:$W$3003,"&gt;"&amp;W786)+COUNTIFS($W$4:W786,W786)-1)</f>
        <v/>
      </c>
      <c r="Y786" s="175">
        <f>IF(OR(I786="",'02_대상물건입력'!B19="",'02_대상물건입력'!B19&lt;=0),"",ABS(I786-'02_대상물건입력'!B19)/'02_대상물건입력'!B19)</f>
        <v/>
      </c>
      <c r="Z786" s="172">
        <f>IF(OR(Y786="",'01_설정'!B31="",'01_설정'!B31&lt;=0,'01_설정'!B32="",'01_설정'!B32&lt;=0),"",MAX(0,(1-Y786/'01_설정'!B32))*'01_설정'!B31)</f>
        <v/>
      </c>
    </row>
    <row r="787" ht="17.25" customHeight="1">
      <c r="A787" s="152">
        <f>IF(INDEX('04A_국토부원자료'!$A:$A,ROW()+1)="","",ROW()-3)</f>
        <v/>
      </c>
      <c r="B787" s="48">
        <f>IFERROR(INDEX('04A_국토부원자료'!$A:$T,ROW()+1,MATCH("시군구",'04A_국토부원자료'!$A$4:$T$4,0)),"")</f>
        <v/>
      </c>
      <c r="C787" s="48">
        <f>IF(B787="","",IFERROR(INDEX('04A_국토부원자료'!$A:$T,ROW()+1,MATCH("번지",'04A_국토부원자료'!$A$4:$T$4,0)),""))</f>
        <v/>
      </c>
      <c r="D787" s="48">
        <f>IF(B787="","",IF(Q787=1,'02_대상물건입력'!$B$8,IFERROR(INDEX('04A_국토부원자료'!$A:$T,ROW()+1,MATCH("단지명",'04A_국토부원자료'!$A$4:$T$4,0)),"")))</f>
        <v/>
      </c>
      <c r="E787" s="172">
        <f>IFERROR(VALUE(SUBSTITUTE(INDEX('04A_국토부원자료'!$A:$T,ROW()+1,MATCH("전용면적(㎡)",'04A_국토부원자료'!$A$4:$T$4,0)),",","")),"")</f>
        <v/>
      </c>
      <c r="F7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87" s="51">
        <f>IFERROR(VALUE(SUBSTITUTE(INDEX('04A_국토부원자료'!$A:$T,ROW()+1,MATCH("거래금액(만원)",'04A_국토부원자료'!$A$4:$T$4,0)),",","")),"")</f>
        <v/>
      </c>
      <c r="H787" s="174">
        <f>IF(G787="","",G787*10000)</f>
        <v/>
      </c>
      <c r="I787" s="174">
        <f>IFERROR(IF(AND(H787&gt;0,E787&gt;0),H787/E787,""),"")</f>
        <v/>
      </c>
      <c r="J787" s="152">
        <f>IFERROR(VALUE(SUBSTITUTE(INDEX('04A_국토부원자료'!$A:$T,ROW()+1,MATCH("층",'04A_국토부원자료'!$A$4:$T$4,0)),",","")),"")</f>
        <v/>
      </c>
      <c r="K787" s="152">
        <f>IFERROR(VALUE(SUBSTITUTE(INDEX('04A_국토부원자료'!$A:$T,ROW()+1,MATCH("건축년도",'04A_국토부원자료'!$A$4:$T$4,0)),",","")),"")</f>
        <v/>
      </c>
      <c r="L787" s="176">
        <f>IFERROR(INDEX('04A_국토부원자료'!$A:$T,ROW()+1,MATCH("도로명",'04A_국토부원자료'!$A$4:$T$4,0)),"")</f>
        <v/>
      </c>
      <c r="M787" s="48">
        <f>IFERROR(INDEX('04A_국토부원자료'!$A:$T,ROW()+1,MATCH("거래유형",'04A_국토부원자료'!$A$4:$T$4,0)),"")</f>
        <v/>
      </c>
      <c r="N787" s="152">
        <f>IF(B787="","",IF('02_대상물건입력'!B5="",1,IF(ISNUMBER(SEARCH('02_대상물건입력'!B5,B787)),1,0)))</f>
        <v/>
      </c>
      <c r="O787" s="152">
        <f>IF(B787="","",IF('02_대상물건입력'!B6="",1,IF(ISNUMBER(SEARCH('02_대상물건입력'!B6,B787)),1,0)))</f>
        <v/>
      </c>
      <c r="P787" s="152">
        <f>IF(L787="","",IF('02_대상물건입력'!B15="",0,IF(ISNUMBER(SEARCH('02_대상물건입력'!B15,L787)),1,0)))</f>
        <v/>
      </c>
      <c r="Q787" s="152">
        <f>IF(OR(C787="",L787=""),0,IF(AND(TRIM(C787)=TRIM(RIGHT(SUBSTITUTE(TRIM('02_대상물건입력'!$B$7)," ",REPT(" ",99)),99)),IF('02_대상물건입력'!B15="",TRUE(),ISNUMBER(SEARCH('02_대상물건입력'!B15,L787)))),1,0))</f>
        <v/>
      </c>
      <c r="R787" s="175">
        <f>IFERROR(ABS(E787-'02_대상물건입력'!B11)/'02_대상물건입력'!B11,"")</f>
        <v/>
      </c>
      <c r="S787" s="152">
        <f>IFERROR(ABS(J787-'02_대상물건입력'!B10),"")</f>
        <v/>
      </c>
      <c r="T787" s="152">
        <f>IFERROR(ABS('01_설정'!B4-F787),"")</f>
        <v/>
      </c>
      <c r="U787" s="152">
        <f>IFERROR(ABS(K787-YEAR('02_대상물건입력'!B14)),"")</f>
        <v/>
      </c>
      <c r="V787" s="152">
        <f>IF(B787="","",IF(AND(E787&gt;0,F787&gt;0,H787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787=1,TRUE()),R787&lt;='01_설정'!B5,S787&lt;='01_설정'!B6,T787&lt;='01_설정'!B7,U787&lt;='01_설정'!B8),"Y",""))</f>
        <v/>
      </c>
      <c r="W787" s="172">
        <f>IF(V787&lt;&gt;"Y","",MAX(0,(1-R787/'01_설정'!B5))*'01_설정'!B14+MAX(0,(1-S787/'01_설정'!B6))*'01_설정'!B15+MAX(0,(1-T787/'01_설정'!B7))*'01_설정'!B16+MAX(0,(1-U787/'01_설정'!B8))*'01_설정'!B17+O787*'01_설정'!B11+Q787*'01_설정'!B12+P787*'01_설정'!B13+IF(Z787="",0,Z787))</f>
        <v/>
      </c>
      <c r="X787" s="152">
        <f>IF(W787="","",1+COUNTIFS($W$4:$W$3003,"&gt;"&amp;W787)+COUNTIFS($W$4:W787,W787)-1)</f>
        <v/>
      </c>
      <c r="Y787" s="175">
        <f>IF(OR(I787="",'02_대상물건입력'!B19="",'02_대상물건입력'!B19&lt;=0),"",ABS(I787-'02_대상물건입력'!B19)/'02_대상물건입력'!B19)</f>
        <v/>
      </c>
      <c r="Z787" s="172">
        <f>IF(OR(Y787="",'01_설정'!B31="",'01_설정'!B31&lt;=0,'01_설정'!B32="",'01_설정'!B32&lt;=0),"",MAX(0,(1-Y787/'01_설정'!B32))*'01_설정'!B31)</f>
        <v/>
      </c>
    </row>
    <row r="788" ht="17.25" customHeight="1">
      <c r="A788" s="152">
        <f>IF(INDEX('04A_국토부원자료'!$A:$A,ROW()+1)="","",ROW()-3)</f>
        <v/>
      </c>
      <c r="B788" s="48">
        <f>IFERROR(INDEX('04A_국토부원자료'!$A:$T,ROW()+1,MATCH("시군구",'04A_국토부원자료'!$A$4:$T$4,0)),"")</f>
        <v/>
      </c>
      <c r="C788" s="48">
        <f>IF(B788="","",IFERROR(INDEX('04A_국토부원자료'!$A:$T,ROW()+1,MATCH("번지",'04A_국토부원자료'!$A$4:$T$4,0)),""))</f>
        <v/>
      </c>
      <c r="D788" s="48">
        <f>IF(B788="","",IF(Q788=1,'02_대상물건입력'!$B$8,IFERROR(INDEX('04A_국토부원자료'!$A:$T,ROW()+1,MATCH("단지명",'04A_국토부원자료'!$A$4:$T$4,0)),"")))</f>
        <v/>
      </c>
      <c r="E788" s="172">
        <f>IFERROR(VALUE(SUBSTITUTE(INDEX('04A_국토부원자료'!$A:$T,ROW()+1,MATCH("전용면적(㎡)",'04A_국토부원자료'!$A$4:$T$4,0)),",","")),"")</f>
        <v/>
      </c>
      <c r="F7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88" s="51">
        <f>IFERROR(VALUE(SUBSTITUTE(INDEX('04A_국토부원자료'!$A:$T,ROW()+1,MATCH("거래금액(만원)",'04A_국토부원자료'!$A$4:$T$4,0)),",","")),"")</f>
        <v/>
      </c>
      <c r="H788" s="174">
        <f>IF(G788="","",G788*10000)</f>
        <v/>
      </c>
      <c r="I788" s="174">
        <f>IFERROR(IF(AND(H788&gt;0,E788&gt;0),H788/E788,""),"")</f>
        <v/>
      </c>
      <c r="J788" s="152">
        <f>IFERROR(VALUE(SUBSTITUTE(INDEX('04A_국토부원자료'!$A:$T,ROW()+1,MATCH("층",'04A_국토부원자료'!$A$4:$T$4,0)),",","")),"")</f>
        <v/>
      </c>
      <c r="K788" s="152">
        <f>IFERROR(VALUE(SUBSTITUTE(INDEX('04A_국토부원자료'!$A:$T,ROW()+1,MATCH("건축년도",'04A_국토부원자료'!$A$4:$T$4,0)),",","")),"")</f>
        <v/>
      </c>
      <c r="L788" s="176">
        <f>IFERROR(INDEX('04A_국토부원자료'!$A:$T,ROW()+1,MATCH("도로명",'04A_국토부원자료'!$A$4:$T$4,0)),"")</f>
        <v/>
      </c>
      <c r="M788" s="48">
        <f>IFERROR(INDEX('04A_국토부원자료'!$A:$T,ROW()+1,MATCH("거래유형",'04A_국토부원자료'!$A$4:$T$4,0)),"")</f>
        <v/>
      </c>
      <c r="N788" s="152">
        <f>IF(B788="","",IF('02_대상물건입력'!B5="",1,IF(ISNUMBER(SEARCH('02_대상물건입력'!B5,B788)),1,0)))</f>
        <v/>
      </c>
      <c r="O788" s="152">
        <f>IF(B788="","",IF('02_대상물건입력'!B6="",1,IF(ISNUMBER(SEARCH('02_대상물건입력'!B6,B788)),1,0)))</f>
        <v/>
      </c>
      <c r="P788" s="152">
        <f>IF(L788="","",IF('02_대상물건입력'!B15="",0,IF(ISNUMBER(SEARCH('02_대상물건입력'!B15,L788)),1,0)))</f>
        <v/>
      </c>
      <c r="Q788" s="152">
        <f>IF(OR(C788="",L788=""),0,IF(AND(TRIM(C788)=TRIM(RIGHT(SUBSTITUTE(TRIM('02_대상물건입력'!$B$7)," ",REPT(" ",99)),99)),IF('02_대상물건입력'!B15="",TRUE(),ISNUMBER(SEARCH('02_대상물건입력'!B15,L788)))),1,0))</f>
        <v/>
      </c>
      <c r="R788" s="175">
        <f>IFERROR(ABS(E788-'02_대상물건입력'!B11)/'02_대상물건입력'!B11,"")</f>
        <v/>
      </c>
      <c r="S788" s="152">
        <f>IFERROR(ABS(J788-'02_대상물건입력'!B10),"")</f>
        <v/>
      </c>
      <c r="T788" s="152">
        <f>IFERROR(ABS('01_설정'!B4-F788),"")</f>
        <v/>
      </c>
      <c r="U788" s="152">
        <f>IFERROR(ABS(K788-YEAR('02_대상물건입력'!B14)),"")</f>
        <v/>
      </c>
      <c r="V788" s="152">
        <f>IF(B788="","",IF(AND(E788&gt;0,F788&gt;0,H788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788=1,TRUE()),R788&lt;='01_설정'!B5,S788&lt;='01_설정'!B6,T788&lt;='01_설정'!B7,U788&lt;='01_설정'!B8),"Y",""))</f>
        <v/>
      </c>
      <c r="W788" s="172">
        <f>IF(V788&lt;&gt;"Y","",MAX(0,(1-R788/'01_설정'!B5))*'01_설정'!B14+MAX(0,(1-S788/'01_설정'!B6))*'01_설정'!B15+MAX(0,(1-T788/'01_설정'!B7))*'01_설정'!B16+MAX(0,(1-U788/'01_설정'!B8))*'01_설정'!B17+O788*'01_설정'!B11+Q788*'01_설정'!B12+P788*'01_설정'!B13+IF(Z788="",0,Z788))</f>
        <v/>
      </c>
      <c r="X788" s="152">
        <f>IF(W788="","",1+COUNTIFS($W$4:$W$3003,"&gt;"&amp;W788)+COUNTIFS($W$4:W788,W788)-1)</f>
        <v/>
      </c>
      <c r="Y788" s="175">
        <f>IF(OR(I788="",'02_대상물건입력'!B19="",'02_대상물건입력'!B19&lt;=0),"",ABS(I788-'02_대상물건입력'!B19)/'02_대상물건입력'!B19)</f>
        <v/>
      </c>
      <c r="Z788" s="172">
        <f>IF(OR(Y788="",'01_설정'!B31="",'01_설정'!B31&lt;=0,'01_설정'!B32="",'01_설정'!B32&lt;=0),"",MAX(0,(1-Y788/'01_설정'!B32))*'01_설정'!B31)</f>
        <v/>
      </c>
    </row>
    <row r="789" ht="17.25" customHeight="1">
      <c r="A789" s="152">
        <f>IF(INDEX('04A_국토부원자료'!$A:$A,ROW()+1)="","",ROW()-3)</f>
        <v/>
      </c>
      <c r="B789" s="48">
        <f>IFERROR(INDEX('04A_국토부원자료'!$A:$T,ROW()+1,MATCH("시군구",'04A_국토부원자료'!$A$4:$T$4,0)),"")</f>
        <v/>
      </c>
      <c r="C789" s="48">
        <f>IF(B789="","",IFERROR(INDEX('04A_국토부원자료'!$A:$T,ROW()+1,MATCH("번지",'04A_국토부원자료'!$A$4:$T$4,0)),""))</f>
        <v/>
      </c>
      <c r="D789" s="48">
        <f>IF(B789="","",IF(Q789=1,'02_대상물건입력'!$B$8,IFERROR(INDEX('04A_국토부원자료'!$A:$T,ROW()+1,MATCH("단지명",'04A_국토부원자료'!$A$4:$T$4,0)),"")))</f>
        <v/>
      </c>
      <c r="E789" s="172">
        <f>IFERROR(VALUE(SUBSTITUTE(INDEX('04A_국토부원자료'!$A:$T,ROW()+1,MATCH("전용면적(㎡)",'04A_국토부원자료'!$A$4:$T$4,0)),",","")),"")</f>
        <v/>
      </c>
      <c r="F7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89" s="51">
        <f>IFERROR(VALUE(SUBSTITUTE(INDEX('04A_국토부원자료'!$A:$T,ROW()+1,MATCH("거래금액(만원)",'04A_국토부원자료'!$A$4:$T$4,0)),",","")),"")</f>
        <v/>
      </c>
      <c r="H789" s="174">
        <f>IF(G789="","",G789*10000)</f>
        <v/>
      </c>
      <c r="I789" s="174">
        <f>IFERROR(IF(AND(H789&gt;0,E789&gt;0),H789/E789,""),"")</f>
        <v/>
      </c>
      <c r="J789" s="152">
        <f>IFERROR(VALUE(SUBSTITUTE(INDEX('04A_국토부원자료'!$A:$T,ROW()+1,MATCH("층",'04A_국토부원자료'!$A$4:$T$4,0)),",","")),"")</f>
        <v/>
      </c>
      <c r="K789" s="152">
        <f>IFERROR(VALUE(SUBSTITUTE(INDEX('04A_국토부원자료'!$A:$T,ROW()+1,MATCH("건축년도",'04A_국토부원자료'!$A$4:$T$4,0)),",","")),"")</f>
        <v/>
      </c>
      <c r="L789" s="176">
        <f>IFERROR(INDEX('04A_국토부원자료'!$A:$T,ROW()+1,MATCH("도로명",'04A_국토부원자료'!$A$4:$T$4,0)),"")</f>
        <v/>
      </c>
      <c r="M789" s="48">
        <f>IFERROR(INDEX('04A_국토부원자료'!$A:$T,ROW()+1,MATCH("거래유형",'04A_국토부원자료'!$A$4:$T$4,0)),"")</f>
        <v/>
      </c>
      <c r="N789" s="152">
        <f>IF(B789="","",IF('02_대상물건입력'!B5="",1,IF(ISNUMBER(SEARCH('02_대상물건입력'!B5,B789)),1,0)))</f>
        <v/>
      </c>
      <c r="O789" s="152">
        <f>IF(B789="","",IF('02_대상물건입력'!B6="",1,IF(ISNUMBER(SEARCH('02_대상물건입력'!B6,B789)),1,0)))</f>
        <v/>
      </c>
      <c r="P789" s="152">
        <f>IF(L789="","",IF('02_대상물건입력'!B15="",0,IF(ISNUMBER(SEARCH('02_대상물건입력'!B15,L789)),1,0)))</f>
        <v/>
      </c>
      <c r="Q789" s="152">
        <f>IF(OR(C789="",L789=""),0,IF(AND(TRIM(C789)=TRIM(RIGHT(SUBSTITUTE(TRIM('02_대상물건입력'!$B$7)," ",REPT(" ",99)),99)),IF('02_대상물건입력'!B15="",TRUE(),ISNUMBER(SEARCH('02_대상물건입력'!B15,L789)))),1,0))</f>
        <v/>
      </c>
      <c r="R789" s="175">
        <f>IFERROR(ABS(E789-'02_대상물건입력'!B11)/'02_대상물건입력'!B11,"")</f>
        <v/>
      </c>
      <c r="S789" s="152">
        <f>IFERROR(ABS(J789-'02_대상물건입력'!B10),"")</f>
        <v/>
      </c>
      <c r="T789" s="152">
        <f>IFERROR(ABS('01_설정'!B4-F789),"")</f>
        <v/>
      </c>
      <c r="U789" s="152">
        <f>IFERROR(ABS(K789-YEAR('02_대상물건입력'!B14)),"")</f>
        <v/>
      </c>
      <c r="V789" s="152">
        <f>IF(B789="","",IF(AND(E789&gt;0,F789&gt;0,H789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789=1,TRUE()),R789&lt;='01_설정'!B5,S789&lt;='01_설정'!B6,T789&lt;='01_설정'!B7,U789&lt;='01_설정'!B8),"Y",""))</f>
        <v/>
      </c>
      <c r="W789" s="172">
        <f>IF(V789&lt;&gt;"Y","",MAX(0,(1-R789/'01_설정'!B5))*'01_설정'!B14+MAX(0,(1-S789/'01_설정'!B6))*'01_설정'!B15+MAX(0,(1-T789/'01_설정'!B7))*'01_설정'!B16+MAX(0,(1-U789/'01_설정'!B8))*'01_설정'!B17+O789*'01_설정'!B11+Q789*'01_설정'!B12+P789*'01_설정'!B13+IF(Z789="",0,Z789))</f>
        <v/>
      </c>
      <c r="X789" s="152">
        <f>IF(W789="","",1+COUNTIFS($W$4:$W$3003,"&gt;"&amp;W789)+COUNTIFS($W$4:W789,W789)-1)</f>
        <v/>
      </c>
      <c r="Y789" s="175">
        <f>IF(OR(I789="",'02_대상물건입력'!B19="",'02_대상물건입력'!B19&lt;=0),"",ABS(I789-'02_대상물건입력'!B19)/'02_대상물건입력'!B19)</f>
        <v/>
      </c>
      <c r="Z789" s="172">
        <f>IF(OR(Y789="",'01_설정'!B31="",'01_설정'!B31&lt;=0,'01_설정'!B32="",'01_설정'!B32&lt;=0),"",MAX(0,(1-Y789/'01_설정'!B32))*'01_설정'!B31)</f>
        <v/>
      </c>
    </row>
    <row r="790" ht="17.25" customHeight="1">
      <c r="A790" s="152">
        <f>IF(INDEX('04A_국토부원자료'!$A:$A,ROW()+1)="","",ROW()-3)</f>
        <v/>
      </c>
      <c r="B790" s="48">
        <f>IFERROR(INDEX('04A_국토부원자료'!$A:$T,ROW()+1,MATCH("시군구",'04A_국토부원자료'!$A$4:$T$4,0)),"")</f>
        <v/>
      </c>
      <c r="C790" s="48">
        <f>IF(B790="","",IFERROR(INDEX('04A_국토부원자료'!$A:$T,ROW()+1,MATCH("번지",'04A_국토부원자료'!$A$4:$T$4,0)),""))</f>
        <v/>
      </c>
      <c r="D790" s="48">
        <f>IF(B790="","",IF(Q790=1,'02_대상물건입력'!$B$8,IFERROR(INDEX('04A_국토부원자료'!$A:$T,ROW()+1,MATCH("단지명",'04A_국토부원자료'!$A$4:$T$4,0)),"")))</f>
        <v/>
      </c>
      <c r="E790" s="172">
        <f>IFERROR(VALUE(SUBSTITUTE(INDEX('04A_국토부원자료'!$A:$T,ROW()+1,MATCH("전용면적(㎡)",'04A_국토부원자료'!$A$4:$T$4,0)),",","")),"")</f>
        <v/>
      </c>
      <c r="F7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90" s="51">
        <f>IFERROR(VALUE(SUBSTITUTE(INDEX('04A_국토부원자료'!$A:$T,ROW()+1,MATCH("거래금액(만원)",'04A_국토부원자료'!$A$4:$T$4,0)),",","")),"")</f>
        <v/>
      </c>
      <c r="H790" s="174">
        <f>IF(G790="","",G790*10000)</f>
        <v/>
      </c>
      <c r="I790" s="174">
        <f>IFERROR(IF(AND(H790&gt;0,E790&gt;0),H790/E790,""),"")</f>
        <v/>
      </c>
      <c r="J790" s="152">
        <f>IFERROR(VALUE(SUBSTITUTE(INDEX('04A_국토부원자료'!$A:$T,ROW()+1,MATCH("층",'04A_국토부원자료'!$A$4:$T$4,0)),",","")),"")</f>
        <v/>
      </c>
      <c r="K790" s="152">
        <f>IFERROR(VALUE(SUBSTITUTE(INDEX('04A_국토부원자료'!$A:$T,ROW()+1,MATCH("건축년도",'04A_국토부원자료'!$A$4:$T$4,0)),",","")),"")</f>
        <v/>
      </c>
      <c r="L790" s="176">
        <f>IFERROR(INDEX('04A_국토부원자료'!$A:$T,ROW()+1,MATCH("도로명",'04A_국토부원자료'!$A$4:$T$4,0)),"")</f>
        <v/>
      </c>
      <c r="M790" s="48">
        <f>IFERROR(INDEX('04A_국토부원자료'!$A:$T,ROW()+1,MATCH("거래유형",'04A_국토부원자료'!$A$4:$T$4,0)),"")</f>
        <v/>
      </c>
      <c r="N790" s="152">
        <f>IF(B790="","",IF('02_대상물건입력'!B5="",1,IF(ISNUMBER(SEARCH('02_대상물건입력'!B5,B790)),1,0)))</f>
        <v/>
      </c>
      <c r="O790" s="152">
        <f>IF(B790="","",IF('02_대상물건입력'!B6="",1,IF(ISNUMBER(SEARCH('02_대상물건입력'!B6,B790)),1,0)))</f>
        <v/>
      </c>
      <c r="P790" s="152">
        <f>IF(L790="","",IF('02_대상물건입력'!B15="",0,IF(ISNUMBER(SEARCH('02_대상물건입력'!B15,L790)),1,0)))</f>
        <v/>
      </c>
      <c r="Q790" s="152">
        <f>IF(OR(C790="",L790=""),0,IF(AND(TRIM(C790)=TRIM(RIGHT(SUBSTITUTE(TRIM('02_대상물건입력'!$B$7)," ",REPT(" ",99)),99)),IF('02_대상물건입력'!B15="",TRUE(),ISNUMBER(SEARCH('02_대상물건입력'!B15,L790)))),1,0))</f>
        <v/>
      </c>
      <c r="R790" s="175">
        <f>IFERROR(ABS(E790-'02_대상물건입력'!B11)/'02_대상물건입력'!B11,"")</f>
        <v/>
      </c>
      <c r="S790" s="152">
        <f>IFERROR(ABS(J790-'02_대상물건입력'!B10),"")</f>
        <v/>
      </c>
      <c r="T790" s="152">
        <f>IFERROR(ABS('01_설정'!B4-F790),"")</f>
        <v/>
      </c>
      <c r="U790" s="152">
        <f>IFERROR(ABS(K790-YEAR('02_대상물건입력'!B14)),"")</f>
        <v/>
      </c>
      <c r="V790" s="152">
        <f>IF(B790="","",IF(AND(E790&gt;0,F790&gt;0,H790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790=1,TRUE()),R790&lt;='01_설정'!B5,S790&lt;='01_설정'!B6,T790&lt;='01_설정'!B7,U790&lt;='01_설정'!B8),"Y",""))</f>
        <v/>
      </c>
      <c r="W790" s="172">
        <f>IF(V790&lt;&gt;"Y","",MAX(0,(1-R790/'01_설정'!B5))*'01_설정'!B14+MAX(0,(1-S790/'01_설정'!B6))*'01_설정'!B15+MAX(0,(1-T790/'01_설정'!B7))*'01_설정'!B16+MAX(0,(1-U790/'01_설정'!B8))*'01_설정'!B17+O790*'01_설정'!B11+Q790*'01_설정'!B12+P790*'01_설정'!B13+IF(Z790="",0,Z790))</f>
        <v/>
      </c>
      <c r="X790" s="152">
        <f>IF(W790="","",1+COUNTIFS($W$4:$W$3003,"&gt;"&amp;W790)+COUNTIFS($W$4:W790,W790)-1)</f>
        <v/>
      </c>
      <c r="Y790" s="175">
        <f>IF(OR(I790="",'02_대상물건입력'!B19="",'02_대상물건입력'!B19&lt;=0),"",ABS(I790-'02_대상물건입력'!B19)/'02_대상물건입력'!B19)</f>
        <v/>
      </c>
      <c r="Z790" s="172">
        <f>IF(OR(Y790="",'01_설정'!B31="",'01_설정'!B31&lt;=0,'01_설정'!B32="",'01_설정'!B32&lt;=0),"",MAX(0,(1-Y790/'01_설정'!B32))*'01_설정'!B31)</f>
        <v/>
      </c>
    </row>
    <row r="791" ht="17.25" customHeight="1">
      <c r="A791" s="152">
        <f>IF(INDEX('04A_국토부원자료'!$A:$A,ROW()+1)="","",ROW()-3)</f>
        <v/>
      </c>
      <c r="B791" s="48">
        <f>IFERROR(INDEX('04A_국토부원자료'!$A:$T,ROW()+1,MATCH("시군구",'04A_국토부원자료'!$A$4:$T$4,0)),"")</f>
        <v/>
      </c>
      <c r="C791" s="48">
        <f>IF(B791="","",IFERROR(INDEX('04A_국토부원자료'!$A:$T,ROW()+1,MATCH("번지",'04A_국토부원자료'!$A$4:$T$4,0)),""))</f>
        <v/>
      </c>
      <c r="D791" s="48">
        <f>IF(B791="","",IF(Q791=1,'02_대상물건입력'!$B$8,IFERROR(INDEX('04A_국토부원자료'!$A:$T,ROW()+1,MATCH("단지명",'04A_국토부원자료'!$A$4:$T$4,0)),"")))</f>
        <v/>
      </c>
      <c r="E791" s="172">
        <f>IFERROR(VALUE(SUBSTITUTE(INDEX('04A_국토부원자료'!$A:$T,ROW()+1,MATCH("전용면적(㎡)",'04A_국토부원자료'!$A$4:$T$4,0)),",","")),"")</f>
        <v/>
      </c>
      <c r="F7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91" s="51">
        <f>IFERROR(VALUE(SUBSTITUTE(INDEX('04A_국토부원자료'!$A:$T,ROW()+1,MATCH("거래금액(만원)",'04A_국토부원자료'!$A$4:$T$4,0)),",","")),"")</f>
        <v/>
      </c>
      <c r="H791" s="174">
        <f>IF(G791="","",G791*10000)</f>
        <v/>
      </c>
      <c r="I791" s="174">
        <f>IFERROR(IF(AND(H791&gt;0,E791&gt;0),H791/E791,""),"")</f>
        <v/>
      </c>
      <c r="J791" s="152">
        <f>IFERROR(VALUE(SUBSTITUTE(INDEX('04A_국토부원자료'!$A:$T,ROW()+1,MATCH("층",'04A_국토부원자료'!$A$4:$T$4,0)),",","")),"")</f>
        <v/>
      </c>
      <c r="K791" s="152">
        <f>IFERROR(VALUE(SUBSTITUTE(INDEX('04A_국토부원자료'!$A:$T,ROW()+1,MATCH("건축년도",'04A_국토부원자료'!$A$4:$T$4,0)),",","")),"")</f>
        <v/>
      </c>
      <c r="L791" s="176">
        <f>IFERROR(INDEX('04A_국토부원자료'!$A:$T,ROW()+1,MATCH("도로명",'04A_국토부원자료'!$A$4:$T$4,0)),"")</f>
        <v/>
      </c>
      <c r="M791" s="48">
        <f>IFERROR(INDEX('04A_국토부원자료'!$A:$T,ROW()+1,MATCH("거래유형",'04A_국토부원자료'!$A$4:$T$4,0)),"")</f>
        <v/>
      </c>
      <c r="N791" s="152">
        <f>IF(B791="","",IF('02_대상물건입력'!B5="",1,IF(ISNUMBER(SEARCH('02_대상물건입력'!B5,B791)),1,0)))</f>
        <v/>
      </c>
      <c r="O791" s="152">
        <f>IF(B791="","",IF('02_대상물건입력'!B6="",1,IF(ISNUMBER(SEARCH('02_대상물건입력'!B6,B791)),1,0)))</f>
        <v/>
      </c>
      <c r="P791" s="152">
        <f>IF(L791="","",IF('02_대상물건입력'!B15="",0,IF(ISNUMBER(SEARCH('02_대상물건입력'!B15,L791)),1,0)))</f>
        <v/>
      </c>
      <c r="Q791" s="152">
        <f>IF(OR(C791="",L791=""),0,IF(AND(TRIM(C791)=TRIM(RIGHT(SUBSTITUTE(TRIM('02_대상물건입력'!$B$7)," ",REPT(" ",99)),99)),IF('02_대상물건입력'!B15="",TRUE(),ISNUMBER(SEARCH('02_대상물건입력'!B15,L791)))),1,0))</f>
        <v/>
      </c>
      <c r="R791" s="175">
        <f>IFERROR(ABS(E791-'02_대상물건입력'!B11)/'02_대상물건입력'!B11,"")</f>
        <v/>
      </c>
      <c r="S791" s="152">
        <f>IFERROR(ABS(J791-'02_대상물건입력'!B10),"")</f>
        <v/>
      </c>
      <c r="T791" s="152">
        <f>IFERROR(ABS('01_설정'!B4-F791),"")</f>
        <v/>
      </c>
      <c r="U791" s="152">
        <f>IFERROR(ABS(K791-YEAR('02_대상물건입력'!B14)),"")</f>
        <v/>
      </c>
      <c r="V791" s="152">
        <f>IF(B791="","",IF(AND(E791&gt;0,F791&gt;0,H791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791=1,TRUE()),R791&lt;='01_설정'!B5,S791&lt;='01_설정'!B6,T791&lt;='01_설정'!B7,U791&lt;='01_설정'!B8),"Y",""))</f>
        <v/>
      </c>
      <c r="W791" s="172">
        <f>IF(V791&lt;&gt;"Y","",MAX(0,(1-R791/'01_설정'!B5))*'01_설정'!B14+MAX(0,(1-S791/'01_설정'!B6))*'01_설정'!B15+MAX(0,(1-T791/'01_설정'!B7))*'01_설정'!B16+MAX(0,(1-U791/'01_설정'!B8))*'01_설정'!B17+O791*'01_설정'!B11+Q791*'01_설정'!B12+P791*'01_설정'!B13+IF(Z791="",0,Z791))</f>
        <v/>
      </c>
      <c r="X791" s="152">
        <f>IF(W791="","",1+COUNTIFS($W$4:$W$3003,"&gt;"&amp;W791)+COUNTIFS($W$4:W791,W791)-1)</f>
        <v/>
      </c>
      <c r="Y791" s="175">
        <f>IF(OR(I791="",'02_대상물건입력'!B19="",'02_대상물건입력'!B19&lt;=0),"",ABS(I791-'02_대상물건입력'!B19)/'02_대상물건입력'!B19)</f>
        <v/>
      </c>
      <c r="Z791" s="172">
        <f>IF(OR(Y791="",'01_설정'!B31="",'01_설정'!B31&lt;=0,'01_설정'!B32="",'01_설정'!B32&lt;=0),"",MAX(0,(1-Y791/'01_설정'!B32))*'01_설정'!B31)</f>
        <v/>
      </c>
    </row>
    <row r="792" ht="17.25" customHeight="1">
      <c r="A792" s="152">
        <f>IF(INDEX('04A_국토부원자료'!$A:$A,ROW()+1)="","",ROW()-3)</f>
        <v/>
      </c>
      <c r="B792" s="48">
        <f>IFERROR(INDEX('04A_국토부원자료'!$A:$T,ROW()+1,MATCH("시군구",'04A_국토부원자료'!$A$4:$T$4,0)),"")</f>
        <v/>
      </c>
      <c r="C792" s="48">
        <f>IF(B792="","",IFERROR(INDEX('04A_국토부원자료'!$A:$T,ROW()+1,MATCH("번지",'04A_국토부원자료'!$A$4:$T$4,0)),""))</f>
        <v/>
      </c>
      <c r="D792" s="48">
        <f>IF(B792="","",IF(Q792=1,'02_대상물건입력'!$B$8,IFERROR(INDEX('04A_국토부원자료'!$A:$T,ROW()+1,MATCH("단지명",'04A_국토부원자료'!$A$4:$T$4,0)),"")))</f>
        <v/>
      </c>
      <c r="E792" s="172">
        <f>IFERROR(VALUE(SUBSTITUTE(INDEX('04A_국토부원자료'!$A:$T,ROW()+1,MATCH("전용면적(㎡)",'04A_국토부원자료'!$A$4:$T$4,0)),",","")),"")</f>
        <v/>
      </c>
      <c r="F7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92" s="51">
        <f>IFERROR(VALUE(SUBSTITUTE(INDEX('04A_국토부원자료'!$A:$T,ROW()+1,MATCH("거래금액(만원)",'04A_국토부원자료'!$A$4:$T$4,0)),",","")),"")</f>
        <v/>
      </c>
      <c r="H792" s="174">
        <f>IF(G792="","",G792*10000)</f>
        <v/>
      </c>
      <c r="I792" s="174">
        <f>IFERROR(IF(AND(H792&gt;0,E792&gt;0),H792/E792,""),"")</f>
        <v/>
      </c>
      <c r="J792" s="152">
        <f>IFERROR(VALUE(SUBSTITUTE(INDEX('04A_국토부원자료'!$A:$T,ROW()+1,MATCH("층",'04A_국토부원자료'!$A$4:$T$4,0)),",","")),"")</f>
        <v/>
      </c>
      <c r="K792" s="152">
        <f>IFERROR(VALUE(SUBSTITUTE(INDEX('04A_국토부원자료'!$A:$T,ROW()+1,MATCH("건축년도",'04A_국토부원자료'!$A$4:$T$4,0)),",","")),"")</f>
        <v/>
      </c>
      <c r="L792" s="176">
        <f>IFERROR(INDEX('04A_국토부원자료'!$A:$T,ROW()+1,MATCH("도로명",'04A_국토부원자료'!$A$4:$T$4,0)),"")</f>
        <v/>
      </c>
      <c r="M792" s="48">
        <f>IFERROR(INDEX('04A_국토부원자료'!$A:$T,ROW()+1,MATCH("거래유형",'04A_국토부원자료'!$A$4:$T$4,0)),"")</f>
        <v/>
      </c>
      <c r="N792" s="152">
        <f>IF(B792="","",IF('02_대상물건입력'!B5="",1,IF(ISNUMBER(SEARCH('02_대상물건입력'!B5,B792)),1,0)))</f>
        <v/>
      </c>
      <c r="O792" s="152">
        <f>IF(B792="","",IF('02_대상물건입력'!B6="",1,IF(ISNUMBER(SEARCH('02_대상물건입력'!B6,B792)),1,0)))</f>
        <v/>
      </c>
      <c r="P792" s="152">
        <f>IF(L792="","",IF('02_대상물건입력'!B15="",0,IF(ISNUMBER(SEARCH('02_대상물건입력'!B15,L792)),1,0)))</f>
        <v/>
      </c>
      <c r="Q792" s="152">
        <f>IF(OR(C792="",L792=""),0,IF(AND(TRIM(C792)=TRIM(RIGHT(SUBSTITUTE(TRIM('02_대상물건입력'!$B$7)," ",REPT(" ",99)),99)),IF('02_대상물건입력'!B15="",TRUE(),ISNUMBER(SEARCH('02_대상물건입력'!B15,L792)))),1,0))</f>
        <v/>
      </c>
      <c r="R792" s="175">
        <f>IFERROR(ABS(E792-'02_대상물건입력'!B11)/'02_대상물건입력'!B11,"")</f>
        <v/>
      </c>
      <c r="S792" s="152">
        <f>IFERROR(ABS(J792-'02_대상물건입력'!B10),"")</f>
        <v/>
      </c>
      <c r="T792" s="152">
        <f>IFERROR(ABS('01_설정'!B4-F792),"")</f>
        <v/>
      </c>
      <c r="U792" s="152">
        <f>IFERROR(ABS(K792-YEAR('02_대상물건입력'!B14)),"")</f>
        <v/>
      </c>
      <c r="V792" s="152">
        <f>IF(B792="","",IF(AND(E792&gt;0,F792&gt;0,H792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792=1,TRUE()),R792&lt;='01_설정'!B5,S792&lt;='01_설정'!B6,T792&lt;='01_설정'!B7,U792&lt;='01_설정'!B8),"Y",""))</f>
        <v/>
      </c>
      <c r="W792" s="172">
        <f>IF(V792&lt;&gt;"Y","",MAX(0,(1-R792/'01_설정'!B5))*'01_설정'!B14+MAX(0,(1-S792/'01_설정'!B6))*'01_설정'!B15+MAX(0,(1-T792/'01_설정'!B7))*'01_설정'!B16+MAX(0,(1-U792/'01_설정'!B8))*'01_설정'!B17+O792*'01_설정'!B11+Q792*'01_설정'!B12+P792*'01_설정'!B13+IF(Z792="",0,Z792))</f>
        <v/>
      </c>
      <c r="X792" s="152">
        <f>IF(W792="","",1+COUNTIFS($W$4:$W$3003,"&gt;"&amp;W792)+COUNTIFS($W$4:W792,W792)-1)</f>
        <v/>
      </c>
      <c r="Y792" s="175">
        <f>IF(OR(I792="",'02_대상물건입력'!B19="",'02_대상물건입력'!B19&lt;=0),"",ABS(I792-'02_대상물건입력'!B19)/'02_대상물건입력'!B19)</f>
        <v/>
      </c>
      <c r="Z792" s="172">
        <f>IF(OR(Y792="",'01_설정'!B31="",'01_설정'!B31&lt;=0,'01_설정'!B32="",'01_설정'!B32&lt;=0),"",MAX(0,(1-Y792/'01_설정'!B32))*'01_설정'!B31)</f>
        <v/>
      </c>
    </row>
    <row r="793" ht="17.25" customHeight="1">
      <c r="A793" s="152">
        <f>IF(INDEX('04A_국토부원자료'!$A:$A,ROW()+1)="","",ROW()-3)</f>
        <v/>
      </c>
      <c r="B793" s="48">
        <f>IFERROR(INDEX('04A_국토부원자료'!$A:$T,ROW()+1,MATCH("시군구",'04A_국토부원자료'!$A$4:$T$4,0)),"")</f>
        <v/>
      </c>
      <c r="C793" s="48">
        <f>IF(B793="","",IFERROR(INDEX('04A_국토부원자료'!$A:$T,ROW()+1,MATCH("번지",'04A_국토부원자료'!$A$4:$T$4,0)),""))</f>
        <v/>
      </c>
      <c r="D793" s="48">
        <f>IF(B793="","",IF(Q793=1,'02_대상물건입력'!$B$8,IFERROR(INDEX('04A_국토부원자료'!$A:$T,ROW()+1,MATCH("단지명",'04A_국토부원자료'!$A$4:$T$4,0)),"")))</f>
        <v/>
      </c>
      <c r="E793" s="172">
        <f>IFERROR(VALUE(SUBSTITUTE(INDEX('04A_국토부원자료'!$A:$T,ROW()+1,MATCH("전용면적(㎡)",'04A_국토부원자료'!$A$4:$T$4,0)),",","")),"")</f>
        <v/>
      </c>
      <c r="F7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93" s="51">
        <f>IFERROR(VALUE(SUBSTITUTE(INDEX('04A_국토부원자료'!$A:$T,ROW()+1,MATCH("거래금액(만원)",'04A_국토부원자료'!$A$4:$T$4,0)),",","")),"")</f>
        <v/>
      </c>
      <c r="H793" s="174">
        <f>IF(G793="","",G793*10000)</f>
        <v/>
      </c>
      <c r="I793" s="174">
        <f>IFERROR(IF(AND(H793&gt;0,E793&gt;0),H793/E793,""),"")</f>
        <v/>
      </c>
      <c r="J793" s="152">
        <f>IFERROR(VALUE(SUBSTITUTE(INDEX('04A_국토부원자료'!$A:$T,ROW()+1,MATCH("층",'04A_국토부원자료'!$A$4:$T$4,0)),",","")),"")</f>
        <v/>
      </c>
      <c r="K793" s="152">
        <f>IFERROR(VALUE(SUBSTITUTE(INDEX('04A_국토부원자료'!$A:$T,ROW()+1,MATCH("건축년도",'04A_국토부원자료'!$A$4:$T$4,0)),",","")),"")</f>
        <v/>
      </c>
      <c r="L793" s="176">
        <f>IFERROR(INDEX('04A_국토부원자료'!$A:$T,ROW()+1,MATCH("도로명",'04A_국토부원자료'!$A$4:$T$4,0)),"")</f>
        <v/>
      </c>
      <c r="M793" s="48">
        <f>IFERROR(INDEX('04A_국토부원자료'!$A:$T,ROW()+1,MATCH("거래유형",'04A_국토부원자료'!$A$4:$T$4,0)),"")</f>
        <v/>
      </c>
      <c r="N793" s="152">
        <f>IF(B793="","",IF('02_대상물건입력'!B5="",1,IF(ISNUMBER(SEARCH('02_대상물건입력'!B5,B793)),1,0)))</f>
        <v/>
      </c>
      <c r="O793" s="152">
        <f>IF(B793="","",IF('02_대상물건입력'!B6="",1,IF(ISNUMBER(SEARCH('02_대상물건입력'!B6,B793)),1,0)))</f>
        <v/>
      </c>
      <c r="P793" s="152">
        <f>IF(L793="","",IF('02_대상물건입력'!B15="",0,IF(ISNUMBER(SEARCH('02_대상물건입력'!B15,L793)),1,0)))</f>
        <v/>
      </c>
      <c r="Q793" s="152">
        <f>IF(OR(C793="",L793=""),0,IF(AND(TRIM(C793)=TRIM(RIGHT(SUBSTITUTE(TRIM('02_대상물건입력'!$B$7)," ",REPT(" ",99)),99)),IF('02_대상물건입력'!B15="",TRUE(),ISNUMBER(SEARCH('02_대상물건입력'!B15,L793)))),1,0))</f>
        <v/>
      </c>
      <c r="R793" s="175">
        <f>IFERROR(ABS(E793-'02_대상물건입력'!B11)/'02_대상물건입력'!B11,"")</f>
        <v/>
      </c>
      <c r="S793" s="152">
        <f>IFERROR(ABS(J793-'02_대상물건입력'!B10),"")</f>
        <v/>
      </c>
      <c r="T793" s="152">
        <f>IFERROR(ABS('01_설정'!B4-F793),"")</f>
        <v/>
      </c>
      <c r="U793" s="152">
        <f>IFERROR(ABS(K793-YEAR('02_대상물건입력'!B14)),"")</f>
        <v/>
      </c>
      <c r="V793" s="152">
        <f>IF(B793="","",IF(AND(E793&gt;0,F793&gt;0,H793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793=1,TRUE()),R793&lt;='01_설정'!B5,S793&lt;='01_설정'!B6,T793&lt;='01_설정'!B7,U793&lt;='01_설정'!B8),"Y",""))</f>
        <v/>
      </c>
      <c r="W793" s="172">
        <f>IF(V793&lt;&gt;"Y","",MAX(0,(1-R793/'01_설정'!B5))*'01_설정'!B14+MAX(0,(1-S793/'01_설정'!B6))*'01_설정'!B15+MAX(0,(1-T793/'01_설정'!B7))*'01_설정'!B16+MAX(0,(1-U793/'01_설정'!B8))*'01_설정'!B17+O793*'01_설정'!B11+Q793*'01_설정'!B12+P793*'01_설정'!B13+IF(Z793="",0,Z793))</f>
        <v/>
      </c>
      <c r="X793" s="152">
        <f>IF(W793="","",1+COUNTIFS($W$4:$W$3003,"&gt;"&amp;W793)+COUNTIFS($W$4:W793,W793)-1)</f>
        <v/>
      </c>
      <c r="Y793" s="175">
        <f>IF(OR(I793="",'02_대상물건입력'!B19="",'02_대상물건입력'!B19&lt;=0),"",ABS(I793-'02_대상물건입력'!B19)/'02_대상물건입력'!B19)</f>
        <v/>
      </c>
      <c r="Z793" s="172">
        <f>IF(OR(Y793="",'01_설정'!B31="",'01_설정'!B31&lt;=0,'01_설정'!B32="",'01_설정'!B32&lt;=0),"",MAX(0,(1-Y793/'01_설정'!B32))*'01_설정'!B31)</f>
        <v/>
      </c>
    </row>
    <row r="794" ht="17.25" customHeight="1">
      <c r="A794" s="152">
        <f>IF(INDEX('04A_국토부원자료'!$A:$A,ROW()+1)="","",ROW()-3)</f>
        <v/>
      </c>
      <c r="B794" s="48">
        <f>IFERROR(INDEX('04A_국토부원자료'!$A:$T,ROW()+1,MATCH("시군구",'04A_국토부원자료'!$A$4:$T$4,0)),"")</f>
        <v/>
      </c>
      <c r="C794" s="48">
        <f>IF(B794="","",IFERROR(INDEX('04A_국토부원자료'!$A:$T,ROW()+1,MATCH("번지",'04A_국토부원자료'!$A$4:$T$4,0)),""))</f>
        <v/>
      </c>
      <c r="D794" s="48">
        <f>IF(B794="","",IF(Q794=1,'02_대상물건입력'!$B$8,IFERROR(INDEX('04A_국토부원자료'!$A:$T,ROW()+1,MATCH("단지명",'04A_국토부원자료'!$A$4:$T$4,0)),"")))</f>
        <v/>
      </c>
      <c r="E794" s="172">
        <f>IFERROR(VALUE(SUBSTITUTE(INDEX('04A_국토부원자료'!$A:$T,ROW()+1,MATCH("전용면적(㎡)",'04A_국토부원자료'!$A$4:$T$4,0)),",","")),"")</f>
        <v/>
      </c>
      <c r="F7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94" s="51">
        <f>IFERROR(VALUE(SUBSTITUTE(INDEX('04A_국토부원자료'!$A:$T,ROW()+1,MATCH("거래금액(만원)",'04A_국토부원자료'!$A$4:$T$4,0)),",","")),"")</f>
        <v/>
      </c>
      <c r="H794" s="174">
        <f>IF(G794="","",G794*10000)</f>
        <v/>
      </c>
      <c r="I794" s="174">
        <f>IFERROR(IF(AND(H794&gt;0,E794&gt;0),H794/E794,""),"")</f>
        <v/>
      </c>
      <c r="J794" s="152">
        <f>IFERROR(VALUE(SUBSTITUTE(INDEX('04A_국토부원자료'!$A:$T,ROW()+1,MATCH("층",'04A_국토부원자료'!$A$4:$T$4,0)),",","")),"")</f>
        <v/>
      </c>
      <c r="K794" s="152">
        <f>IFERROR(VALUE(SUBSTITUTE(INDEX('04A_국토부원자료'!$A:$T,ROW()+1,MATCH("건축년도",'04A_국토부원자료'!$A$4:$T$4,0)),",","")),"")</f>
        <v/>
      </c>
      <c r="L794" s="176">
        <f>IFERROR(INDEX('04A_국토부원자료'!$A:$T,ROW()+1,MATCH("도로명",'04A_국토부원자료'!$A$4:$T$4,0)),"")</f>
        <v/>
      </c>
      <c r="M794" s="48">
        <f>IFERROR(INDEX('04A_국토부원자료'!$A:$T,ROW()+1,MATCH("거래유형",'04A_국토부원자료'!$A$4:$T$4,0)),"")</f>
        <v/>
      </c>
      <c r="N794" s="152">
        <f>IF(B794="","",IF('02_대상물건입력'!B5="",1,IF(ISNUMBER(SEARCH('02_대상물건입력'!B5,B794)),1,0)))</f>
        <v/>
      </c>
      <c r="O794" s="152">
        <f>IF(B794="","",IF('02_대상물건입력'!B6="",1,IF(ISNUMBER(SEARCH('02_대상물건입력'!B6,B794)),1,0)))</f>
        <v/>
      </c>
      <c r="P794" s="152">
        <f>IF(L794="","",IF('02_대상물건입력'!B15="",0,IF(ISNUMBER(SEARCH('02_대상물건입력'!B15,L794)),1,0)))</f>
        <v/>
      </c>
      <c r="Q794" s="152">
        <f>IF(OR(C794="",L794=""),0,IF(AND(TRIM(C794)=TRIM(RIGHT(SUBSTITUTE(TRIM('02_대상물건입력'!$B$7)," ",REPT(" ",99)),99)),IF('02_대상물건입력'!B15="",TRUE(),ISNUMBER(SEARCH('02_대상물건입력'!B15,L794)))),1,0))</f>
        <v/>
      </c>
      <c r="R794" s="175">
        <f>IFERROR(ABS(E794-'02_대상물건입력'!B11)/'02_대상물건입력'!B11,"")</f>
        <v/>
      </c>
      <c r="S794" s="152">
        <f>IFERROR(ABS(J794-'02_대상물건입력'!B10),"")</f>
        <v/>
      </c>
      <c r="T794" s="152">
        <f>IFERROR(ABS('01_설정'!B4-F794),"")</f>
        <v/>
      </c>
      <c r="U794" s="152">
        <f>IFERROR(ABS(K794-YEAR('02_대상물건입력'!B14)),"")</f>
        <v/>
      </c>
      <c r="V794" s="152">
        <f>IF(B794="","",IF(AND(E794&gt;0,F794&gt;0,H794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794=1,TRUE()),R794&lt;='01_설정'!B5,S794&lt;='01_설정'!B6,T794&lt;='01_설정'!B7,U794&lt;='01_설정'!B8),"Y",""))</f>
        <v/>
      </c>
      <c r="W794" s="172">
        <f>IF(V794&lt;&gt;"Y","",MAX(0,(1-R794/'01_설정'!B5))*'01_설정'!B14+MAX(0,(1-S794/'01_설정'!B6))*'01_설정'!B15+MAX(0,(1-T794/'01_설정'!B7))*'01_설정'!B16+MAX(0,(1-U794/'01_설정'!B8))*'01_설정'!B17+O794*'01_설정'!B11+Q794*'01_설정'!B12+P794*'01_설정'!B13+IF(Z794="",0,Z794))</f>
        <v/>
      </c>
      <c r="X794" s="152">
        <f>IF(W794="","",1+COUNTIFS($W$4:$W$3003,"&gt;"&amp;W794)+COUNTIFS($W$4:W794,W794)-1)</f>
        <v/>
      </c>
      <c r="Y794" s="175">
        <f>IF(OR(I794="",'02_대상물건입력'!B19="",'02_대상물건입력'!B19&lt;=0),"",ABS(I794-'02_대상물건입력'!B19)/'02_대상물건입력'!B19)</f>
        <v/>
      </c>
      <c r="Z794" s="172">
        <f>IF(OR(Y794="",'01_설정'!B31="",'01_설정'!B31&lt;=0,'01_설정'!B32="",'01_설정'!B32&lt;=0),"",MAX(0,(1-Y794/'01_설정'!B32))*'01_설정'!B31)</f>
        <v/>
      </c>
    </row>
    <row r="795" ht="17.25" customHeight="1">
      <c r="A795" s="152">
        <f>IF(INDEX('04A_국토부원자료'!$A:$A,ROW()+1)="","",ROW()-3)</f>
        <v/>
      </c>
      <c r="B795" s="48">
        <f>IFERROR(INDEX('04A_국토부원자료'!$A:$T,ROW()+1,MATCH("시군구",'04A_국토부원자료'!$A$4:$T$4,0)),"")</f>
        <v/>
      </c>
      <c r="C795" s="48">
        <f>IF(B795="","",IFERROR(INDEX('04A_국토부원자료'!$A:$T,ROW()+1,MATCH("번지",'04A_국토부원자료'!$A$4:$T$4,0)),""))</f>
        <v/>
      </c>
      <c r="D795" s="48">
        <f>IF(B795="","",IF(Q795=1,'02_대상물건입력'!$B$8,IFERROR(INDEX('04A_국토부원자료'!$A:$T,ROW()+1,MATCH("단지명",'04A_국토부원자료'!$A$4:$T$4,0)),"")))</f>
        <v/>
      </c>
      <c r="E795" s="172">
        <f>IFERROR(VALUE(SUBSTITUTE(INDEX('04A_국토부원자료'!$A:$T,ROW()+1,MATCH("전용면적(㎡)",'04A_국토부원자료'!$A$4:$T$4,0)),",","")),"")</f>
        <v/>
      </c>
      <c r="F7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95" s="51">
        <f>IFERROR(VALUE(SUBSTITUTE(INDEX('04A_국토부원자료'!$A:$T,ROW()+1,MATCH("거래금액(만원)",'04A_국토부원자료'!$A$4:$T$4,0)),",","")),"")</f>
        <v/>
      </c>
      <c r="H795" s="174">
        <f>IF(G795="","",G795*10000)</f>
        <v/>
      </c>
      <c r="I795" s="174">
        <f>IFERROR(IF(AND(H795&gt;0,E795&gt;0),H795/E795,""),"")</f>
        <v/>
      </c>
      <c r="J795" s="152">
        <f>IFERROR(VALUE(SUBSTITUTE(INDEX('04A_국토부원자료'!$A:$T,ROW()+1,MATCH("층",'04A_국토부원자료'!$A$4:$T$4,0)),",","")),"")</f>
        <v/>
      </c>
      <c r="K795" s="152">
        <f>IFERROR(VALUE(SUBSTITUTE(INDEX('04A_국토부원자료'!$A:$T,ROW()+1,MATCH("건축년도",'04A_국토부원자료'!$A$4:$T$4,0)),",","")),"")</f>
        <v/>
      </c>
      <c r="L795" s="176">
        <f>IFERROR(INDEX('04A_국토부원자료'!$A:$T,ROW()+1,MATCH("도로명",'04A_국토부원자료'!$A$4:$T$4,0)),"")</f>
        <v/>
      </c>
      <c r="M795" s="48">
        <f>IFERROR(INDEX('04A_국토부원자료'!$A:$T,ROW()+1,MATCH("거래유형",'04A_국토부원자료'!$A$4:$T$4,0)),"")</f>
        <v/>
      </c>
      <c r="N795" s="152">
        <f>IF(B795="","",IF('02_대상물건입력'!B5="",1,IF(ISNUMBER(SEARCH('02_대상물건입력'!B5,B795)),1,0)))</f>
        <v/>
      </c>
      <c r="O795" s="152">
        <f>IF(B795="","",IF('02_대상물건입력'!B6="",1,IF(ISNUMBER(SEARCH('02_대상물건입력'!B6,B795)),1,0)))</f>
        <v/>
      </c>
      <c r="P795" s="152">
        <f>IF(L795="","",IF('02_대상물건입력'!B15="",0,IF(ISNUMBER(SEARCH('02_대상물건입력'!B15,L795)),1,0)))</f>
        <v/>
      </c>
      <c r="Q795" s="152">
        <f>IF(OR(C795="",L795=""),0,IF(AND(TRIM(C795)=TRIM(RIGHT(SUBSTITUTE(TRIM('02_대상물건입력'!$B$7)," ",REPT(" ",99)),99)),IF('02_대상물건입력'!B15="",TRUE(),ISNUMBER(SEARCH('02_대상물건입력'!B15,L795)))),1,0))</f>
        <v/>
      </c>
      <c r="R795" s="175">
        <f>IFERROR(ABS(E795-'02_대상물건입력'!B11)/'02_대상물건입력'!B11,"")</f>
        <v/>
      </c>
      <c r="S795" s="152">
        <f>IFERROR(ABS(J795-'02_대상물건입력'!B10),"")</f>
        <v/>
      </c>
      <c r="T795" s="152">
        <f>IFERROR(ABS('01_설정'!B4-F795),"")</f>
        <v/>
      </c>
      <c r="U795" s="152">
        <f>IFERROR(ABS(K795-YEAR('02_대상물건입력'!B14)),"")</f>
        <v/>
      </c>
      <c r="V795" s="152">
        <f>IF(B795="","",IF(AND(E795&gt;0,F795&gt;0,H795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795=1,TRUE()),R795&lt;='01_설정'!B5,S795&lt;='01_설정'!B6,T795&lt;='01_설정'!B7,U795&lt;='01_설정'!B8),"Y",""))</f>
        <v/>
      </c>
      <c r="W795" s="172">
        <f>IF(V795&lt;&gt;"Y","",MAX(0,(1-R795/'01_설정'!B5))*'01_설정'!B14+MAX(0,(1-S795/'01_설정'!B6))*'01_설정'!B15+MAX(0,(1-T795/'01_설정'!B7))*'01_설정'!B16+MAX(0,(1-U795/'01_설정'!B8))*'01_설정'!B17+O795*'01_설정'!B11+Q795*'01_설정'!B12+P795*'01_설정'!B13+IF(Z795="",0,Z795))</f>
        <v/>
      </c>
      <c r="X795" s="152">
        <f>IF(W795="","",1+COUNTIFS($W$4:$W$3003,"&gt;"&amp;W795)+COUNTIFS($W$4:W795,W795)-1)</f>
        <v/>
      </c>
      <c r="Y795" s="175">
        <f>IF(OR(I795="",'02_대상물건입력'!B19="",'02_대상물건입력'!B19&lt;=0),"",ABS(I795-'02_대상물건입력'!B19)/'02_대상물건입력'!B19)</f>
        <v/>
      </c>
      <c r="Z795" s="172">
        <f>IF(OR(Y795="",'01_설정'!B31="",'01_설정'!B31&lt;=0,'01_설정'!B32="",'01_설정'!B32&lt;=0),"",MAX(0,(1-Y795/'01_설정'!B32))*'01_설정'!B31)</f>
        <v/>
      </c>
    </row>
    <row r="796" ht="17.25" customHeight="1">
      <c r="A796" s="152">
        <f>IF(INDEX('04A_국토부원자료'!$A:$A,ROW()+1)="","",ROW()-3)</f>
        <v/>
      </c>
      <c r="B796" s="48">
        <f>IFERROR(INDEX('04A_국토부원자료'!$A:$T,ROW()+1,MATCH("시군구",'04A_국토부원자료'!$A$4:$T$4,0)),"")</f>
        <v/>
      </c>
      <c r="C796" s="48">
        <f>IF(B796="","",IFERROR(INDEX('04A_국토부원자료'!$A:$T,ROW()+1,MATCH("번지",'04A_국토부원자료'!$A$4:$T$4,0)),""))</f>
        <v/>
      </c>
      <c r="D796" s="48">
        <f>IF(B796="","",IF(Q796=1,'02_대상물건입력'!$B$8,IFERROR(INDEX('04A_국토부원자료'!$A:$T,ROW()+1,MATCH("단지명",'04A_국토부원자료'!$A$4:$T$4,0)),"")))</f>
        <v/>
      </c>
      <c r="E796" s="172">
        <f>IFERROR(VALUE(SUBSTITUTE(INDEX('04A_국토부원자료'!$A:$T,ROW()+1,MATCH("전용면적(㎡)",'04A_국토부원자료'!$A$4:$T$4,0)),",","")),"")</f>
        <v/>
      </c>
      <c r="F7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96" s="51">
        <f>IFERROR(VALUE(SUBSTITUTE(INDEX('04A_국토부원자료'!$A:$T,ROW()+1,MATCH("거래금액(만원)",'04A_국토부원자료'!$A$4:$T$4,0)),",","")),"")</f>
        <v/>
      </c>
      <c r="H796" s="174">
        <f>IF(G796="","",G796*10000)</f>
        <v/>
      </c>
      <c r="I796" s="174">
        <f>IFERROR(IF(AND(H796&gt;0,E796&gt;0),H796/E796,""),"")</f>
        <v/>
      </c>
      <c r="J796" s="152">
        <f>IFERROR(VALUE(SUBSTITUTE(INDEX('04A_국토부원자료'!$A:$T,ROW()+1,MATCH("층",'04A_국토부원자료'!$A$4:$T$4,0)),",","")),"")</f>
        <v/>
      </c>
      <c r="K796" s="152">
        <f>IFERROR(VALUE(SUBSTITUTE(INDEX('04A_국토부원자료'!$A:$T,ROW()+1,MATCH("건축년도",'04A_국토부원자료'!$A$4:$T$4,0)),",","")),"")</f>
        <v/>
      </c>
      <c r="L796" s="176">
        <f>IFERROR(INDEX('04A_국토부원자료'!$A:$T,ROW()+1,MATCH("도로명",'04A_국토부원자료'!$A$4:$T$4,0)),"")</f>
        <v/>
      </c>
      <c r="M796" s="48">
        <f>IFERROR(INDEX('04A_국토부원자료'!$A:$T,ROW()+1,MATCH("거래유형",'04A_국토부원자료'!$A$4:$T$4,0)),"")</f>
        <v/>
      </c>
      <c r="N796" s="152">
        <f>IF(B796="","",IF('02_대상물건입력'!B5="",1,IF(ISNUMBER(SEARCH('02_대상물건입력'!B5,B796)),1,0)))</f>
        <v/>
      </c>
      <c r="O796" s="152">
        <f>IF(B796="","",IF('02_대상물건입력'!B6="",1,IF(ISNUMBER(SEARCH('02_대상물건입력'!B6,B796)),1,0)))</f>
        <v/>
      </c>
      <c r="P796" s="152">
        <f>IF(L796="","",IF('02_대상물건입력'!B15="",0,IF(ISNUMBER(SEARCH('02_대상물건입력'!B15,L796)),1,0)))</f>
        <v/>
      </c>
      <c r="Q796" s="152">
        <f>IF(OR(C796="",L796=""),0,IF(AND(TRIM(C796)=TRIM(RIGHT(SUBSTITUTE(TRIM('02_대상물건입력'!$B$7)," ",REPT(" ",99)),99)),IF('02_대상물건입력'!B15="",TRUE(),ISNUMBER(SEARCH('02_대상물건입력'!B15,L796)))),1,0))</f>
        <v/>
      </c>
      <c r="R796" s="175">
        <f>IFERROR(ABS(E796-'02_대상물건입력'!B11)/'02_대상물건입력'!B11,"")</f>
        <v/>
      </c>
      <c r="S796" s="152">
        <f>IFERROR(ABS(J796-'02_대상물건입력'!B10),"")</f>
        <v/>
      </c>
      <c r="T796" s="152">
        <f>IFERROR(ABS('01_설정'!B4-F796),"")</f>
        <v/>
      </c>
      <c r="U796" s="152">
        <f>IFERROR(ABS(K796-YEAR('02_대상물건입력'!B14)),"")</f>
        <v/>
      </c>
      <c r="V796" s="152">
        <f>IF(B796="","",IF(AND(E796&gt;0,F796&gt;0,H796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796=1,TRUE()),R796&lt;='01_설정'!B5,S796&lt;='01_설정'!B6,T796&lt;='01_설정'!B7,U796&lt;='01_설정'!B8),"Y",""))</f>
        <v/>
      </c>
      <c r="W796" s="172">
        <f>IF(V796&lt;&gt;"Y","",MAX(0,(1-R796/'01_설정'!B5))*'01_설정'!B14+MAX(0,(1-S796/'01_설정'!B6))*'01_설정'!B15+MAX(0,(1-T796/'01_설정'!B7))*'01_설정'!B16+MAX(0,(1-U796/'01_설정'!B8))*'01_설정'!B17+O796*'01_설정'!B11+Q796*'01_설정'!B12+P796*'01_설정'!B13+IF(Z796="",0,Z796))</f>
        <v/>
      </c>
      <c r="X796" s="152">
        <f>IF(W796="","",1+COUNTIFS($W$4:$W$3003,"&gt;"&amp;W796)+COUNTIFS($W$4:W796,W796)-1)</f>
        <v/>
      </c>
      <c r="Y796" s="175">
        <f>IF(OR(I796="",'02_대상물건입력'!B19="",'02_대상물건입력'!B19&lt;=0),"",ABS(I796-'02_대상물건입력'!B19)/'02_대상물건입력'!B19)</f>
        <v/>
      </c>
      <c r="Z796" s="172">
        <f>IF(OR(Y796="",'01_설정'!B31="",'01_설정'!B31&lt;=0,'01_설정'!B32="",'01_설정'!B32&lt;=0),"",MAX(0,(1-Y796/'01_설정'!B32))*'01_설정'!B31)</f>
        <v/>
      </c>
    </row>
    <row r="797" ht="17.25" customHeight="1">
      <c r="A797" s="152">
        <f>IF(INDEX('04A_국토부원자료'!$A:$A,ROW()+1)="","",ROW()-3)</f>
        <v/>
      </c>
      <c r="B797" s="48">
        <f>IFERROR(INDEX('04A_국토부원자료'!$A:$T,ROW()+1,MATCH("시군구",'04A_국토부원자료'!$A$4:$T$4,0)),"")</f>
        <v/>
      </c>
      <c r="C797" s="48">
        <f>IF(B797="","",IFERROR(INDEX('04A_국토부원자료'!$A:$T,ROW()+1,MATCH("번지",'04A_국토부원자료'!$A$4:$T$4,0)),""))</f>
        <v/>
      </c>
      <c r="D797" s="48">
        <f>IF(B797="","",IF(Q797=1,'02_대상물건입력'!$B$8,IFERROR(INDEX('04A_국토부원자료'!$A:$T,ROW()+1,MATCH("단지명",'04A_국토부원자료'!$A$4:$T$4,0)),"")))</f>
        <v/>
      </c>
      <c r="E797" s="172">
        <f>IFERROR(VALUE(SUBSTITUTE(INDEX('04A_국토부원자료'!$A:$T,ROW()+1,MATCH("전용면적(㎡)",'04A_국토부원자료'!$A$4:$T$4,0)),",","")),"")</f>
        <v/>
      </c>
      <c r="F7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97" s="51">
        <f>IFERROR(VALUE(SUBSTITUTE(INDEX('04A_국토부원자료'!$A:$T,ROW()+1,MATCH("거래금액(만원)",'04A_국토부원자료'!$A$4:$T$4,0)),",","")),"")</f>
        <v/>
      </c>
      <c r="H797" s="174">
        <f>IF(G797="","",G797*10000)</f>
        <v/>
      </c>
      <c r="I797" s="174">
        <f>IFERROR(IF(AND(H797&gt;0,E797&gt;0),H797/E797,""),"")</f>
        <v/>
      </c>
      <c r="J797" s="152">
        <f>IFERROR(VALUE(SUBSTITUTE(INDEX('04A_국토부원자료'!$A:$T,ROW()+1,MATCH("층",'04A_국토부원자료'!$A$4:$T$4,0)),",","")),"")</f>
        <v/>
      </c>
      <c r="K797" s="152">
        <f>IFERROR(VALUE(SUBSTITUTE(INDEX('04A_국토부원자료'!$A:$T,ROW()+1,MATCH("건축년도",'04A_국토부원자료'!$A$4:$T$4,0)),",","")),"")</f>
        <v/>
      </c>
      <c r="L797" s="176">
        <f>IFERROR(INDEX('04A_국토부원자료'!$A:$T,ROW()+1,MATCH("도로명",'04A_국토부원자료'!$A$4:$T$4,0)),"")</f>
        <v/>
      </c>
      <c r="M797" s="48">
        <f>IFERROR(INDEX('04A_국토부원자료'!$A:$T,ROW()+1,MATCH("거래유형",'04A_국토부원자료'!$A$4:$T$4,0)),"")</f>
        <v/>
      </c>
      <c r="N797" s="152">
        <f>IF(B797="","",IF('02_대상물건입력'!B5="",1,IF(ISNUMBER(SEARCH('02_대상물건입력'!B5,B797)),1,0)))</f>
        <v/>
      </c>
      <c r="O797" s="152">
        <f>IF(B797="","",IF('02_대상물건입력'!B6="",1,IF(ISNUMBER(SEARCH('02_대상물건입력'!B6,B797)),1,0)))</f>
        <v/>
      </c>
      <c r="P797" s="152">
        <f>IF(L797="","",IF('02_대상물건입력'!B15="",0,IF(ISNUMBER(SEARCH('02_대상물건입력'!B15,L797)),1,0)))</f>
        <v/>
      </c>
      <c r="Q797" s="152">
        <f>IF(OR(C797="",L797=""),0,IF(AND(TRIM(C797)=TRIM(RIGHT(SUBSTITUTE(TRIM('02_대상물건입력'!$B$7)," ",REPT(" ",99)),99)),IF('02_대상물건입력'!B15="",TRUE(),ISNUMBER(SEARCH('02_대상물건입력'!B15,L797)))),1,0))</f>
        <v/>
      </c>
      <c r="R797" s="175">
        <f>IFERROR(ABS(E797-'02_대상물건입력'!B11)/'02_대상물건입력'!B11,"")</f>
        <v/>
      </c>
      <c r="S797" s="152">
        <f>IFERROR(ABS(J797-'02_대상물건입력'!B10),"")</f>
        <v/>
      </c>
      <c r="T797" s="152">
        <f>IFERROR(ABS('01_설정'!B4-F797),"")</f>
        <v/>
      </c>
      <c r="U797" s="152">
        <f>IFERROR(ABS(K797-YEAR('02_대상물건입력'!B14)),"")</f>
        <v/>
      </c>
      <c r="V797" s="152">
        <f>IF(B797="","",IF(AND(E797&gt;0,F797&gt;0,H797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797=1,TRUE()),R797&lt;='01_설정'!B5,S797&lt;='01_설정'!B6,T797&lt;='01_설정'!B7,U797&lt;='01_설정'!B8),"Y",""))</f>
        <v/>
      </c>
      <c r="W797" s="172">
        <f>IF(V797&lt;&gt;"Y","",MAX(0,(1-R797/'01_설정'!B5))*'01_설정'!B14+MAX(0,(1-S797/'01_설정'!B6))*'01_설정'!B15+MAX(0,(1-T797/'01_설정'!B7))*'01_설정'!B16+MAX(0,(1-U797/'01_설정'!B8))*'01_설정'!B17+O797*'01_설정'!B11+Q797*'01_설정'!B12+P797*'01_설정'!B13+IF(Z797="",0,Z797))</f>
        <v/>
      </c>
      <c r="X797" s="152">
        <f>IF(W797="","",1+COUNTIFS($W$4:$W$3003,"&gt;"&amp;W797)+COUNTIFS($W$4:W797,W797)-1)</f>
        <v/>
      </c>
      <c r="Y797" s="175">
        <f>IF(OR(I797="",'02_대상물건입력'!B19="",'02_대상물건입력'!B19&lt;=0),"",ABS(I797-'02_대상물건입력'!B19)/'02_대상물건입력'!B19)</f>
        <v/>
      </c>
      <c r="Z797" s="172">
        <f>IF(OR(Y797="",'01_설정'!B31="",'01_설정'!B31&lt;=0,'01_설정'!B32="",'01_설정'!B32&lt;=0),"",MAX(0,(1-Y797/'01_설정'!B32))*'01_설정'!B31)</f>
        <v/>
      </c>
    </row>
    <row r="798" ht="17.25" customHeight="1">
      <c r="A798" s="152">
        <f>IF(INDEX('04A_국토부원자료'!$A:$A,ROW()+1)="","",ROW()-3)</f>
        <v/>
      </c>
      <c r="B798" s="48">
        <f>IFERROR(INDEX('04A_국토부원자료'!$A:$T,ROW()+1,MATCH("시군구",'04A_국토부원자료'!$A$4:$T$4,0)),"")</f>
        <v/>
      </c>
      <c r="C798" s="48">
        <f>IF(B798="","",IFERROR(INDEX('04A_국토부원자료'!$A:$T,ROW()+1,MATCH("번지",'04A_국토부원자료'!$A$4:$T$4,0)),""))</f>
        <v/>
      </c>
      <c r="D798" s="48">
        <f>IF(B798="","",IF(Q798=1,'02_대상물건입력'!$B$8,IFERROR(INDEX('04A_국토부원자료'!$A:$T,ROW()+1,MATCH("단지명",'04A_국토부원자료'!$A$4:$T$4,0)),"")))</f>
        <v/>
      </c>
      <c r="E798" s="172">
        <f>IFERROR(VALUE(SUBSTITUTE(INDEX('04A_국토부원자료'!$A:$T,ROW()+1,MATCH("전용면적(㎡)",'04A_국토부원자료'!$A$4:$T$4,0)),",","")),"")</f>
        <v/>
      </c>
      <c r="F7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98" s="51">
        <f>IFERROR(VALUE(SUBSTITUTE(INDEX('04A_국토부원자료'!$A:$T,ROW()+1,MATCH("거래금액(만원)",'04A_국토부원자료'!$A$4:$T$4,0)),",","")),"")</f>
        <v/>
      </c>
      <c r="H798" s="174">
        <f>IF(G798="","",G798*10000)</f>
        <v/>
      </c>
      <c r="I798" s="174">
        <f>IFERROR(IF(AND(H798&gt;0,E798&gt;0),H798/E798,""),"")</f>
        <v/>
      </c>
      <c r="J798" s="152">
        <f>IFERROR(VALUE(SUBSTITUTE(INDEX('04A_국토부원자료'!$A:$T,ROW()+1,MATCH("층",'04A_국토부원자료'!$A$4:$T$4,0)),",","")),"")</f>
        <v/>
      </c>
      <c r="K798" s="152">
        <f>IFERROR(VALUE(SUBSTITUTE(INDEX('04A_국토부원자료'!$A:$T,ROW()+1,MATCH("건축년도",'04A_국토부원자료'!$A$4:$T$4,0)),",","")),"")</f>
        <v/>
      </c>
      <c r="L798" s="176">
        <f>IFERROR(INDEX('04A_국토부원자료'!$A:$T,ROW()+1,MATCH("도로명",'04A_국토부원자료'!$A$4:$T$4,0)),"")</f>
        <v/>
      </c>
      <c r="M798" s="48">
        <f>IFERROR(INDEX('04A_국토부원자료'!$A:$T,ROW()+1,MATCH("거래유형",'04A_국토부원자료'!$A$4:$T$4,0)),"")</f>
        <v/>
      </c>
      <c r="N798" s="152">
        <f>IF(B798="","",IF('02_대상물건입력'!B5="",1,IF(ISNUMBER(SEARCH('02_대상물건입력'!B5,B798)),1,0)))</f>
        <v/>
      </c>
      <c r="O798" s="152">
        <f>IF(B798="","",IF('02_대상물건입력'!B6="",1,IF(ISNUMBER(SEARCH('02_대상물건입력'!B6,B798)),1,0)))</f>
        <v/>
      </c>
      <c r="P798" s="152">
        <f>IF(L798="","",IF('02_대상물건입력'!B15="",0,IF(ISNUMBER(SEARCH('02_대상물건입력'!B15,L798)),1,0)))</f>
        <v/>
      </c>
      <c r="Q798" s="152">
        <f>IF(OR(C798="",L798=""),0,IF(AND(TRIM(C798)=TRIM(RIGHT(SUBSTITUTE(TRIM('02_대상물건입력'!$B$7)," ",REPT(" ",99)),99)),IF('02_대상물건입력'!B15="",TRUE(),ISNUMBER(SEARCH('02_대상물건입력'!B15,L798)))),1,0))</f>
        <v/>
      </c>
      <c r="R798" s="175">
        <f>IFERROR(ABS(E798-'02_대상물건입력'!B11)/'02_대상물건입력'!B11,"")</f>
        <v/>
      </c>
      <c r="S798" s="152">
        <f>IFERROR(ABS(J798-'02_대상물건입력'!B10),"")</f>
        <v/>
      </c>
      <c r="T798" s="152">
        <f>IFERROR(ABS('01_설정'!B4-F798),"")</f>
        <v/>
      </c>
      <c r="U798" s="152">
        <f>IFERROR(ABS(K798-YEAR('02_대상물건입력'!B14)),"")</f>
        <v/>
      </c>
      <c r="V798" s="152">
        <f>IF(B798="","",IF(AND(E798&gt;0,F798&gt;0,H798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798=1,TRUE()),R798&lt;='01_설정'!B5,S798&lt;='01_설정'!B6,T798&lt;='01_설정'!B7,U798&lt;='01_설정'!B8),"Y",""))</f>
        <v/>
      </c>
      <c r="W798" s="172">
        <f>IF(V798&lt;&gt;"Y","",MAX(0,(1-R798/'01_설정'!B5))*'01_설정'!B14+MAX(0,(1-S798/'01_설정'!B6))*'01_설정'!B15+MAX(0,(1-T798/'01_설정'!B7))*'01_설정'!B16+MAX(0,(1-U798/'01_설정'!B8))*'01_설정'!B17+O798*'01_설정'!B11+Q798*'01_설정'!B12+P798*'01_설정'!B13+IF(Z798="",0,Z798))</f>
        <v/>
      </c>
      <c r="X798" s="152">
        <f>IF(W798="","",1+COUNTIFS($W$4:$W$3003,"&gt;"&amp;W798)+COUNTIFS($W$4:W798,W798)-1)</f>
        <v/>
      </c>
      <c r="Y798" s="175">
        <f>IF(OR(I798="",'02_대상물건입력'!B19="",'02_대상물건입력'!B19&lt;=0),"",ABS(I798-'02_대상물건입력'!B19)/'02_대상물건입력'!B19)</f>
        <v/>
      </c>
      <c r="Z798" s="172">
        <f>IF(OR(Y798="",'01_설정'!B31="",'01_설정'!B31&lt;=0,'01_설정'!B32="",'01_설정'!B32&lt;=0),"",MAX(0,(1-Y798/'01_설정'!B32))*'01_설정'!B31)</f>
        <v/>
      </c>
    </row>
    <row r="799" ht="17.25" customHeight="1">
      <c r="A799" s="152">
        <f>IF(INDEX('04A_국토부원자료'!$A:$A,ROW()+1)="","",ROW()-3)</f>
        <v/>
      </c>
      <c r="B799" s="48">
        <f>IFERROR(INDEX('04A_국토부원자료'!$A:$T,ROW()+1,MATCH("시군구",'04A_국토부원자료'!$A$4:$T$4,0)),"")</f>
        <v/>
      </c>
      <c r="C799" s="48">
        <f>IF(B799="","",IFERROR(INDEX('04A_국토부원자료'!$A:$T,ROW()+1,MATCH("번지",'04A_국토부원자료'!$A$4:$T$4,0)),""))</f>
        <v/>
      </c>
      <c r="D799" s="48">
        <f>IF(B799="","",IF(Q799=1,'02_대상물건입력'!$B$8,IFERROR(INDEX('04A_국토부원자료'!$A:$T,ROW()+1,MATCH("단지명",'04A_국토부원자료'!$A$4:$T$4,0)),"")))</f>
        <v/>
      </c>
      <c r="E799" s="172">
        <f>IFERROR(VALUE(SUBSTITUTE(INDEX('04A_국토부원자료'!$A:$T,ROW()+1,MATCH("전용면적(㎡)",'04A_국토부원자료'!$A$4:$T$4,0)),",","")),"")</f>
        <v/>
      </c>
      <c r="F7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799" s="51">
        <f>IFERROR(VALUE(SUBSTITUTE(INDEX('04A_국토부원자료'!$A:$T,ROW()+1,MATCH("거래금액(만원)",'04A_국토부원자료'!$A$4:$T$4,0)),",","")),"")</f>
        <v/>
      </c>
      <c r="H799" s="174">
        <f>IF(G799="","",G799*10000)</f>
        <v/>
      </c>
      <c r="I799" s="174">
        <f>IFERROR(IF(AND(H799&gt;0,E799&gt;0),H799/E799,""),"")</f>
        <v/>
      </c>
      <c r="J799" s="152">
        <f>IFERROR(VALUE(SUBSTITUTE(INDEX('04A_국토부원자료'!$A:$T,ROW()+1,MATCH("층",'04A_국토부원자료'!$A$4:$T$4,0)),",","")),"")</f>
        <v/>
      </c>
      <c r="K799" s="152">
        <f>IFERROR(VALUE(SUBSTITUTE(INDEX('04A_국토부원자료'!$A:$T,ROW()+1,MATCH("건축년도",'04A_국토부원자료'!$A$4:$T$4,0)),",","")),"")</f>
        <v/>
      </c>
      <c r="L799" s="176">
        <f>IFERROR(INDEX('04A_국토부원자료'!$A:$T,ROW()+1,MATCH("도로명",'04A_국토부원자료'!$A$4:$T$4,0)),"")</f>
        <v/>
      </c>
      <c r="M799" s="48">
        <f>IFERROR(INDEX('04A_국토부원자료'!$A:$T,ROW()+1,MATCH("거래유형",'04A_국토부원자료'!$A$4:$T$4,0)),"")</f>
        <v/>
      </c>
      <c r="N799" s="152">
        <f>IF(B799="","",IF('02_대상물건입력'!B5="",1,IF(ISNUMBER(SEARCH('02_대상물건입력'!B5,B799)),1,0)))</f>
        <v/>
      </c>
      <c r="O799" s="152">
        <f>IF(B799="","",IF('02_대상물건입력'!B6="",1,IF(ISNUMBER(SEARCH('02_대상물건입력'!B6,B799)),1,0)))</f>
        <v/>
      </c>
      <c r="P799" s="152">
        <f>IF(L799="","",IF('02_대상물건입력'!B15="",0,IF(ISNUMBER(SEARCH('02_대상물건입력'!B15,L799)),1,0)))</f>
        <v/>
      </c>
      <c r="Q799" s="152">
        <f>IF(OR(C799="",L799=""),0,IF(AND(TRIM(C799)=TRIM(RIGHT(SUBSTITUTE(TRIM('02_대상물건입력'!$B$7)," ",REPT(" ",99)),99)),IF('02_대상물건입력'!B15="",TRUE(),ISNUMBER(SEARCH('02_대상물건입력'!B15,L799)))),1,0))</f>
        <v/>
      </c>
      <c r="R799" s="175">
        <f>IFERROR(ABS(E799-'02_대상물건입력'!B11)/'02_대상물건입력'!B11,"")</f>
        <v/>
      </c>
      <c r="S799" s="152">
        <f>IFERROR(ABS(J799-'02_대상물건입력'!B10),"")</f>
        <v/>
      </c>
      <c r="T799" s="152">
        <f>IFERROR(ABS('01_설정'!B4-F799),"")</f>
        <v/>
      </c>
      <c r="U799" s="152">
        <f>IFERROR(ABS(K799-YEAR('02_대상물건입력'!B14)),"")</f>
        <v/>
      </c>
      <c r="V799" s="152">
        <f>IF(B799="","",IF(AND(E799&gt;0,F799&gt;0,H799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799=1,TRUE()),R799&lt;='01_설정'!B5,S799&lt;='01_설정'!B6,T799&lt;='01_설정'!B7,U799&lt;='01_설정'!B8),"Y",""))</f>
        <v/>
      </c>
      <c r="W799" s="172">
        <f>IF(V799&lt;&gt;"Y","",MAX(0,(1-R799/'01_설정'!B5))*'01_설정'!B14+MAX(0,(1-S799/'01_설정'!B6))*'01_설정'!B15+MAX(0,(1-T799/'01_설정'!B7))*'01_설정'!B16+MAX(0,(1-U799/'01_설정'!B8))*'01_설정'!B17+O799*'01_설정'!B11+Q799*'01_설정'!B12+P799*'01_설정'!B13+IF(Z799="",0,Z799))</f>
        <v/>
      </c>
      <c r="X799" s="152">
        <f>IF(W799="","",1+COUNTIFS($W$4:$W$3003,"&gt;"&amp;W799)+COUNTIFS($W$4:W799,W799)-1)</f>
        <v/>
      </c>
      <c r="Y799" s="175">
        <f>IF(OR(I799="",'02_대상물건입력'!B19="",'02_대상물건입력'!B19&lt;=0),"",ABS(I799-'02_대상물건입력'!B19)/'02_대상물건입력'!B19)</f>
        <v/>
      </c>
      <c r="Z799" s="172">
        <f>IF(OR(Y799="",'01_설정'!B31="",'01_설정'!B31&lt;=0,'01_설정'!B32="",'01_설정'!B32&lt;=0),"",MAX(0,(1-Y799/'01_설정'!B32))*'01_설정'!B31)</f>
        <v/>
      </c>
    </row>
    <row r="800" ht="17.25" customHeight="1">
      <c r="A800" s="152">
        <f>IF(INDEX('04A_국토부원자료'!$A:$A,ROW()+1)="","",ROW()-3)</f>
        <v/>
      </c>
      <c r="B800" s="48">
        <f>IFERROR(INDEX('04A_국토부원자료'!$A:$T,ROW()+1,MATCH("시군구",'04A_국토부원자료'!$A$4:$T$4,0)),"")</f>
        <v/>
      </c>
      <c r="C800" s="48">
        <f>IF(B800="","",IFERROR(INDEX('04A_국토부원자료'!$A:$T,ROW()+1,MATCH("번지",'04A_국토부원자료'!$A$4:$T$4,0)),""))</f>
        <v/>
      </c>
      <c r="D800" s="48">
        <f>IF(B800="","",IF(Q800=1,'02_대상물건입력'!$B$8,IFERROR(INDEX('04A_국토부원자료'!$A:$T,ROW()+1,MATCH("단지명",'04A_국토부원자료'!$A$4:$T$4,0)),"")))</f>
        <v/>
      </c>
      <c r="E800" s="172">
        <f>IFERROR(VALUE(SUBSTITUTE(INDEX('04A_국토부원자료'!$A:$T,ROW()+1,MATCH("전용면적(㎡)",'04A_국토부원자료'!$A$4:$T$4,0)),",","")),"")</f>
        <v/>
      </c>
      <c r="F8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00" s="51">
        <f>IFERROR(VALUE(SUBSTITUTE(INDEX('04A_국토부원자료'!$A:$T,ROW()+1,MATCH("거래금액(만원)",'04A_국토부원자료'!$A$4:$T$4,0)),",","")),"")</f>
        <v/>
      </c>
      <c r="H800" s="174">
        <f>IF(G800="","",G800*10000)</f>
        <v/>
      </c>
      <c r="I800" s="174">
        <f>IFERROR(IF(AND(H800&gt;0,E800&gt;0),H800/E800,""),"")</f>
        <v/>
      </c>
      <c r="J800" s="152">
        <f>IFERROR(VALUE(SUBSTITUTE(INDEX('04A_국토부원자료'!$A:$T,ROW()+1,MATCH("층",'04A_국토부원자료'!$A$4:$T$4,0)),",","")),"")</f>
        <v/>
      </c>
      <c r="K800" s="152">
        <f>IFERROR(VALUE(SUBSTITUTE(INDEX('04A_국토부원자료'!$A:$T,ROW()+1,MATCH("건축년도",'04A_국토부원자료'!$A$4:$T$4,0)),",","")),"")</f>
        <v/>
      </c>
      <c r="L800" s="176">
        <f>IFERROR(INDEX('04A_국토부원자료'!$A:$T,ROW()+1,MATCH("도로명",'04A_국토부원자료'!$A$4:$T$4,0)),"")</f>
        <v/>
      </c>
      <c r="M800" s="48">
        <f>IFERROR(INDEX('04A_국토부원자료'!$A:$T,ROW()+1,MATCH("거래유형",'04A_국토부원자료'!$A$4:$T$4,0)),"")</f>
        <v/>
      </c>
      <c r="N800" s="152">
        <f>IF(B800="","",IF('02_대상물건입력'!B5="",1,IF(ISNUMBER(SEARCH('02_대상물건입력'!B5,B800)),1,0)))</f>
        <v/>
      </c>
      <c r="O800" s="152">
        <f>IF(B800="","",IF('02_대상물건입력'!B6="",1,IF(ISNUMBER(SEARCH('02_대상물건입력'!B6,B800)),1,0)))</f>
        <v/>
      </c>
      <c r="P800" s="152">
        <f>IF(L800="","",IF('02_대상물건입력'!B15="",0,IF(ISNUMBER(SEARCH('02_대상물건입력'!B15,L800)),1,0)))</f>
        <v/>
      </c>
      <c r="Q800" s="152">
        <f>IF(OR(C800="",L800=""),0,IF(AND(TRIM(C800)=TRIM(RIGHT(SUBSTITUTE(TRIM('02_대상물건입력'!$B$7)," ",REPT(" ",99)),99)),IF('02_대상물건입력'!B15="",TRUE(),ISNUMBER(SEARCH('02_대상물건입력'!B15,L800)))),1,0))</f>
        <v/>
      </c>
      <c r="R800" s="175">
        <f>IFERROR(ABS(E800-'02_대상물건입력'!B11)/'02_대상물건입력'!B11,"")</f>
        <v/>
      </c>
      <c r="S800" s="152">
        <f>IFERROR(ABS(J800-'02_대상물건입력'!B10),"")</f>
        <v/>
      </c>
      <c r="T800" s="152">
        <f>IFERROR(ABS('01_설정'!B4-F800),"")</f>
        <v/>
      </c>
      <c r="U800" s="152">
        <f>IFERROR(ABS(K800-YEAR('02_대상물건입력'!B14)),"")</f>
        <v/>
      </c>
      <c r="V800" s="152">
        <f>IF(B800="","",IF(AND(E800&gt;0,F800&gt;0,H800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800=1,TRUE()),R800&lt;='01_설정'!B5,S800&lt;='01_설정'!B6,T800&lt;='01_설정'!B7,U800&lt;='01_설정'!B8),"Y",""))</f>
        <v/>
      </c>
      <c r="W800" s="172">
        <f>IF(V800&lt;&gt;"Y","",MAX(0,(1-R800/'01_설정'!B5))*'01_설정'!B14+MAX(0,(1-S800/'01_설정'!B6))*'01_설정'!B15+MAX(0,(1-T800/'01_설정'!B7))*'01_설정'!B16+MAX(0,(1-U800/'01_설정'!B8))*'01_설정'!B17+O800*'01_설정'!B11+Q800*'01_설정'!B12+P800*'01_설정'!B13+IF(Z800="",0,Z800))</f>
        <v/>
      </c>
      <c r="X800" s="152">
        <f>IF(W800="","",1+COUNTIFS($W$4:$W$3003,"&gt;"&amp;W800)+COUNTIFS($W$4:W800,W800)-1)</f>
        <v/>
      </c>
      <c r="Y800" s="175">
        <f>IF(OR(I800="",'02_대상물건입력'!B19="",'02_대상물건입력'!B19&lt;=0),"",ABS(I800-'02_대상물건입력'!B19)/'02_대상물건입력'!B19)</f>
        <v/>
      </c>
      <c r="Z800" s="172">
        <f>IF(OR(Y800="",'01_설정'!B31="",'01_설정'!B31&lt;=0,'01_설정'!B32="",'01_설정'!B32&lt;=0),"",MAX(0,(1-Y800/'01_설정'!B32))*'01_설정'!B31)</f>
        <v/>
      </c>
    </row>
    <row r="801" ht="17.25" customHeight="1">
      <c r="A801" s="152">
        <f>IF(INDEX('04A_국토부원자료'!$A:$A,ROW()+1)="","",ROW()-3)</f>
        <v/>
      </c>
      <c r="B801" s="48">
        <f>IFERROR(INDEX('04A_국토부원자료'!$A:$T,ROW()+1,MATCH("시군구",'04A_국토부원자료'!$A$4:$T$4,0)),"")</f>
        <v/>
      </c>
      <c r="C801" s="48">
        <f>IF(B801="","",IFERROR(INDEX('04A_국토부원자료'!$A:$T,ROW()+1,MATCH("번지",'04A_국토부원자료'!$A$4:$T$4,0)),""))</f>
        <v/>
      </c>
      <c r="D801" s="48">
        <f>IF(B801="","",IF(Q801=1,'02_대상물건입력'!$B$8,IFERROR(INDEX('04A_국토부원자료'!$A:$T,ROW()+1,MATCH("단지명",'04A_국토부원자료'!$A$4:$T$4,0)),"")))</f>
        <v/>
      </c>
      <c r="E801" s="172">
        <f>IFERROR(VALUE(SUBSTITUTE(INDEX('04A_국토부원자료'!$A:$T,ROW()+1,MATCH("전용면적(㎡)",'04A_국토부원자료'!$A$4:$T$4,0)),",","")),"")</f>
        <v/>
      </c>
      <c r="F8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01" s="51">
        <f>IFERROR(VALUE(SUBSTITUTE(INDEX('04A_국토부원자료'!$A:$T,ROW()+1,MATCH("거래금액(만원)",'04A_국토부원자료'!$A$4:$T$4,0)),",","")),"")</f>
        <v/>
      </c>
      <c r="H801" s="174">
        <f>IF(G801="","",G801*10000)</f>
        <v/>
      </c>
      <c r="I801" s="174">
        <f>IFERROR(IF(AND(H801&gt;0,E801&gt;0),H801/E801,""),"")</f>
        <v/>
      </c>
      <c r="J801" s="152">
        <f>IFERROR(VALUE(SUBSTITUTE(INDEX('04A_국토부원자료'!$A:$T,ROW()+1,MATCH("층",'04A_국토부원자료'!$A$4:$T$4,0)),",","")),"")</f>
        <v/>
      </c>
      <c r="K801" s="152">
        <f>IFERROR(VALUE(SUBSTITUTE(INDEX('04A_국토부원자료'!$A:$T,ROW()+1,MATCH("건축년도",'04A_국토부원자료'!$A$4:$T$4,0)),",","")),"")</f>
        <v/>
      </c>
      <c r="L801" s="176">
        <f>IFERROR(INDEX('04A_국토부원자료'!$A:$T,ROW()+1,MATCH("도로명",'04A_국토부원자료'!$A$4:$T$4,0)),"")</f>
        <v/>
      </c>
      <c r="M801" s="48">
        <f>IFERROR(INDEX('04A_국토부원자료'!$A:$T,ROW()+1,MATCH("거래유형",'04A_국토부원자료'!$A$4:$T$4,0)),"")</f>
        <v/>
      </c>
      <c r="N801" s="152">
        <f>IF(B801="","",IF('02_대상물건입력'!B5="",1,IF(ISNUMBER(SEARCH('02_대상물건입력'!B5,B801)),1,0)))</f>
        <v/>
      </c>
      <c r="O801" s="152">
        <f>IF(B801="","",IF('02_대상물건입력'!B6="",1,IF(ISNUMBER(SEARCH('02_대상물건입력'!B6,B801)),1,0)))</f>
        <v/>
      </c>
      <c r="P801" s="152">
        <f>IF(L801="","",IF('02_대상물건입력'!B15="",0,IF(ISNUMBER(SEARCH('02_대상물건입력'!B15,L801)),1,0)))</f>
        <v/>
      </c>
      <c r="Q801" s="152">
        <f>IF(OR(C801="",L801=""),0,IF(AND(TRIM(C801)=TRIM(RIGHT(SUBSTITUTE(TRIM('02_대상물건입력'!$B$7)," ",REPT(" ",99)),99)),IF('02_대상물건입력'!B15="",TRUE(),ISNUMBER(SEARCH('02_대상물건입력'!B15,L801)))),1,0))</f>
        <v/>
      </c>
      <c r="R801" s="175">
        <f>IFERROR(ABS(E801-'02_대상물건입력'!B11)/'02_대상물건입력'!B11,"")</f>
        <v/>
      </c>
      <c r="S801" s="152">
        <f>IFERROR(ABS(J801-'02_대상물건입력'!B10),"")</f>
        <v/>
      </c>
      <c r="T801" s="152">
        <f>IFERROR(ABS('01_설정'!B4-F801),"")</f>
        <v/>
      </c>
      <c r="U801" s="152">
        <f>IFERROR(ABS(K801-YEAR('02_대상물건입력'!B14)),"")</f>
        <v/>
      </c>
      <c r="V801" s="152">
        <f>IF(B801="","",IF(AND(E801&gt;0,F801&gt;0,H801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801=1,TRUE()),R801&lt;='01_설정'!B5,S801&lt;='01_설정'!B6,T801&lt;='01_설정'!B7,U801&lt;='01_설정'!B8),"Y",""))</f>
        <v/>
      </c>
      <c r="W801" s="172">
        <f>IF(V801&lt;&gt;"Y","",MAX(0,(1-R801/'01_설정'!B5))*'01_설정'!B14+MAX(0,(1-S801/'01_설정'!B6))*'01_설정'!B15+MAX(0,(1-T801/'01_설정'!B7))*'01_설정'!B16+MAX(0,(1-U801/'01_설정'!B8))*'01_설정'!B17+O801*'01_설정'!B11+Q801*'01_설정'!B12+P801*'01_설정'!B13+IF(Z801="",0,Z801))</f>
        <v/>
      </c>
      <c r="X801" s="152">
        <f>IF(W801="","",1+COUNTIFS($W$4:$W$3003,"&gt;"&amp;W801)+COUNTIFS($W$4:W801,W801)-1)</f>
        <v/>
      </c>
      <c r="Y801" s="175">
        <f>IF(OR(I801="",'02_대상물건입력'!B19="",'02_대상물건입력'!B19&lt;=0),"",ABS(I801-'02_대상물건입력'!B19)/'02_대상물건입력'!B19)</f>
        <v/>
      </c>
      <c r="Z801" s="172">
        <f>IF(OR(Y801="",'01_설정'!B31="",'01_설정'!B31&lt;=0,'01_설정'!B32="",'01_설정'!B32&lt;=0),"",MAX(0,(1-Y801/'01_설정'!B32))*'01_설정'!B31)</f>
        <v/>
      </c>
    </row>
    <row r="802" ht="17.25" customHeight="1">
      <c r="A802" s="152">
        <f>IF(INDEX('04A_국토부원자료'!$A:$A,ROW()+1)="","",ROW()-3)</f>
        <v/>
      </c>
      <c r="B802" s="48">
        <f>IFERROR(INDEX('04A_국토부원자료'!$A:$T,ROW()+1,MATCH("시군구",'04A_국토부원자료'!$A$4:$T$4,0)),"")</f>
        <v/>
      </c>
      <c r="C802" s="48">
        <f>IF(B802="","",IFERROR(INDEX('04A_국토부원자료'!$A:$T,ROW()+1,MATCH("번지",'04A_국토부원자료'!$A$4:$T$4,0)),""))</f>
        <v/>
      </c>
      <c r="D802" s="48">
        <f>IF(B802="","",IF(Q802=1,'02_대상물건입력'!$B$8,IFERROR(INDEX('04A_국토부원자료'!$A:$T,ROW()+1,MATCH("단지명",'04A_국토부원자료'!$A$4:$T$4,0)),"")))</f>
        <v/>
      </c>
      <c r="E802" s="172">
        <f>IFERROR(VALUE(SUBSTITUTE(INDEX('04A_국토부원자료'!$A:$T,ROW()+1,MATCH("전용면적(㎡)",'04A_국토부원자료'!$A$4:$T$4,0)),",","")),"")</f>
        <v/>
      </c>
      <c r="F8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02" s="51">
        <f>IFERROR(VALUE(SUBSTITUTE(INDEX('04A_국토부원자료'!$A:$T,ROW()+1,MATCH("거래금액(만원)",'04A_국토부원자료'!$A$4:$T$4,0)),",","")),"")</f>
        <v/>
      </c>
      <c r="H802" s="174">
        <f>IF(G802="","",G802*10000)</f>
        <v/>
      </c>
      <c r="I802" s="174">
        <f>IFERROR(IF(AND(H802&gt;0,E802&gt;0),H802/E802,""),"")</f>
        <v/>
      </c>
      <c r="J802" s="152">
        <f>IFERROR(VALUE(SUBSTITUTE(INDEX('04A_국토부원자료'!$A:$T,ROW()+1,MATCH("층",'04A_국토부원자료'!$A$4:$T$4,0)),",","")),"")</f>
        <v/>
      </c>
      <c r="K802" s="152">
        <f>IFERROR(VALUE(SUBSTITUTE(INDEX('04A_국토부원자료'!$A:$T,ROW()+1,MATCH("건축년도",'04A_국토부원자료'!$A$4:$T$4,0)),",","")),"")</f>
        <v/>
      </c>
      <c r="L802" s="176">
        <f>IFERROR(INDEX('04A_국토부원자료'!$A:$T,ROW()+1,MATCH("도로명",'04A_국토부원자료'!$A$4:$T$4,0)),"")</f>
        <v/>
      </c>
      <c r="M802" s="48">
        <f>IFERROR(INDEX('04A_국토부원자료'!$A:$T,ROW()+1,MATCH("거래유형",'04A_국토부원자료'!$A$4:$T$4,0)),"")</f>
        <v/>
      </c>
      <c r="N802" s="152">
        <f>IF(B802="","",IF('02_대상물건입력'!B5="",1,IF(ISNUMBER(SEARCH('02_대상물건입력'!B5,B802)),1,0)))</f>
        <v/>
      </c>
      <c r="O802" s="152">
        <f>IF(B802="","",IF('02_대상물건입력'!B6="",1,IF(ISNUMBER(SEARCH('02_대상물건입력'!B6,B802)),1,0)))</f>
        <v/>
      </c>
      <c r="P802" s="152">
        <f>IF(L802="","",IF('02_대상물건입력'!B15="",0,IF(ISNUMBER(SEARCH('02_대상물건입력'!B15,L802)),1,0)))</f>
        <v/>
      </c>
      <c r="Q802" s="152">
        <f>IF(OR(C802="",L802=""),0,IF(AND(TRIM(C802)=TRIM(RIGHT(SUBSTITUTE(TRIM('02_대상물건입력'!$B$7)," ",REPT(" ",99)),99)),IF('02_대상물건입력'!B15="",TRUE(),ISNUMBER(SEARCH('02_대상물건입력'!B15,L802)))),1,0))</f>
        <v/>
      </c>
      <c r="R802" s="175">
        <f>IFERROR(ABS(E802-'02_대상물건입력'!B11)/'02_대상물건입력'!B11,"")</f>
        <v/>
      </c>
      <c r="S802" s="152">
        <f>IFERROR(ABS(J802-'02_대상물건입력'!B10),"")</f>
        <v/>
      </c>
      <c r="T802" s="152">
        <f>IFERROR(ABS('01_설정'!B4-F802),"")</f>
        <v/>
      </c>
      <c r="U802" s="152">
        <f>IFERROR(ABS(K802-YEAR('02_대상물건입력'!B14)),"")</f>
        <v/>
      </c>
      <c r="V802" s="152">
        <f>IF(B802="","",IF(AND(E802&gt;0,F802&gt;0,H802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802=1,TRUE()),R802&lt;='01_설정'!B5,S802&lt;='01_설정'!B6,T802&lt;='01_설정'!B7,U802&lt;='01_설정'!B8),"Y",""))</f>
        <v/>
      </c>
      <c r="W802" s="172">
        <f>IF(V802&lt;&gt;"Y","",MAX(0,(1-R802/'01_설정'!B5))*'01_설정'!B14+MAX(0,(1-S802/'01_설정'!B6))*'01_설정'!B15+MAX(0,(1-T802/'01_설정'!B7))*'01_설정'!B16+MAX(0,(1-U802/'01_설정'!B8))*'01_설정'!B17+O802*'01_설정'!B11+Q802*'01_설정'!B12+P802*'01_설정'!B13+IF(Z802="",0,Z802))</f>
        <v/>
      </c>
      <c r="X802" s="152">
        <f>IF(W802="","",1+COUNTIFS($W$4:$W$3003,"&gt;"&amp;W802)+COUNTIFS($W$4:W802,W802)-1)</f>
        <v/>
      </c>
      <c r="Y802" s="175">
        <f>IF(OR(I802="",'02_대상물건입력'!B19="",'02_대상물건입력'!B19&lt;=0),"",ABS(I802-'02_대상물건입력'!B19)/'02_대상물건입력'!B19)</f>
        <v/>
      </c>
      <c r="Z802" s="172">
        <f>IF(OR(Y802="",'01_설정'!B31="",'01_설정'!B31&lt;=0,'01_설정'!B32="",'01_설정'!B32&lt;=0),"",MAX(0,(1-Y802/'01_설정'!B32))*'01_설정'!B31)</f>
        <v/>
      </c>
    </row>
    <row r="803" ht="17.25" customHeight="1">
      <c r="A803" s="152">
        <f>IF(INDEX('04A_국토부원자료'!$A:$A,ROW()+1)="","",ROW()-3)</f>
        <v/>
      </c>
      <c r="B803" s="48">
        <f>IFERROR(INDEX('04A_국토부원자료'!$A:$T,ROW()+1,MATCH("시군구",'04A_국토부원자료'!$A$4:$T$4,0)),"")</f>
        <v/>
      </c>
      <c r="C803" s="48">
        <f>IF(B803="","",IFERROR(INDEX('04A_국토부원자료'!$A:$T,ROW()+1,MATCH("번지",'04A_국토부원자료'!$A$4:$T$4,0)),""))</f>
        <v/>
      </c>
      <c r="D803" s="48">
        <f>IF(B803="","",IF(Q803=1,'02_대상물건입력'!$B$8,IFERROR(INDEX('04A_국토부원자료'!$A:$T,ROW()+1,MATCH("단지명",'04A_국토부원자료'!$A$4:$T$4,0)),"")))</f>
        <v/>
      </c>
      <c r="E803" s="172">
        <f>IFERROR(VALUE(SUBSTITUTE(INDEX('04A_국토부원자료'!$A:$T,ROW()+1,MATCH("전용면적(㎡)",'04A_국토부원자료'!$A$4:$T$4,0)),",","")),"")</f>
        <v/>
      </c>
      <c r="F8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03" s="51">
        <f>IFERROR(VALUE(SUBSTITUTE(INDEX('04A_국토부원자료'!$A:$T,ROW()+1,MATCH("거래금액(만원)",'04A_국토부원자료'!$A$4:$T$4,0)),",","")),"")</f>
        <v/>
      </c>
      <c r="H803" s="174">
        <f>IF(G803="","",G803*10000)</f>
        <v/>
      </c>
      <c r="I803" s="174">
        <f>IFERROR(IF(AND(H803&gt;0,E803&gt;0),H803/E803,""),"")</f>
        <v/>
      </c>
      <c r="J803" s="152">
        <f>IFERROR(VALUE(SUBSTITUTE(INDEX('04A_국토부원자료'!$A:$T,ROW()+1,MATCH("층",'04A_국토부원자료'!$A$4:$T$4,0)),",","")),"")</f>
        <v/>
      </c>
      <c r="K803" s="152">
        <f>IFERROR(VALUE(SUBSTITUTE(INDEX('04A_국토부원자료'!$A:$T,ROW()+1,MATCH("건축년도",'04A_국토부원자료'!$A$4:$T$4,0)),",","")),"")</f>
        <v/>
      </c>
      <c r="L803" s="176">
        <f>IFERROR(INDEX('04A_국토부원자료'!$A:$T,ROW()+1,MATCH("도로명",'04A_국토부원자료'!$A$4:$T$4,0)),"")</f>
        <v/>
      </c>
      <c r="M803" s="48">
        <f>IFERROR(INDEX('04A_국토부원자료'!$A:$T,ROW()+1,MATCH("거래유형",'04A_국토부원자료'!$A$4:$T$4,0)),"")</f>
        <v/>
      </c>
      <c r="N803" s="152">
        <f>IF(B803="","",IF('02_대상물건입력'!B5="",1,IF(ISNUMBER(SEARCH('02_대상물건입력'!B5,B803)),1,0)))</f>
        <v/>
      </c>
      <c r="O803" s="152">
        <f>IF(B803="","",IF('02_대상물건입력'!B6="",1,IF(ISNUMBER(SEARCH('02_대상물건입력'!B6,B803)),1,0)))</f>
        <v/>
      </c>
      <c r="P803" s="152">
        <f>IF(L803="","",IF('02_대상물건입력'!B15="",0,IF(ISNUMBER(SEARCH('02_대상물건입력'!B15,L803)),1,0)))</f>
        <v/>
      </c>
      <c r="Q803" s="152">
        <f>IF(OR(C803="",L803=""),0,IF(AND(TRIM(C803)=TRIM(RIGHT(SUBSTITUTE(TRIM('02_대상물건입력'!$B$7)," ",REPT(" ",99)),99)),IF('02_대상물건입력'!B15="",TRUE(),ISNUMBER(SEARCH('02_대상물건입력'!B15,L803)))),1,0))</f>
        <v/>
      </c>
      <c r="R803" s="175">
        <f>IFERROR(ABS(E803-'02_대상물건입력'!B11)/'02_대상물건입력'!B11,"")</f>
        <v/>
      </c>
      <c r="S803" s="152">
        <f>IFERROR(ABS(J803-'02_대상물건입력'!B10),"")</f>
        <v/>
      </c>
      <c r="T803" s="152">
        <f>IFERROR(ABS('01_설정'!B4-F803),"")</f>
        <v/>
      </c>
      <c r="U803" s="152">
        <f>IFERROR(ABS(K803-YEAR('02_대상물건입력'!B14)),"")</f>
        <v/>
      </c>
      <c r="V803" s="152">
        <f>IF(B803="","",IF(AND(E803&gt;0,F803&gt;0,H803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803=1,TRUE()),R803&lt;='01_설정'!B5,S803&lt;='01_설정'!B6,T803&lt;='01_설정'!B7,U803&lt;='01_설정'!B8),"Y",""))</f>
        <v/>
      </c>
      <c r="W803" s="172">
        <f>IF(V803&lt;&gt;"Y","",MAX(0,(1-R803/'01_설정'!B5))*'01_설정'!B14+MAX(0,(1-S803/'01_설정'!B6))*'01_설정'!B15+MAX(0,(1-T803/'01_설정'!B7))*'01_설정'!B16+MAX(0,(1-U803/'01_설정'!B8))*'01_설정'!B17+O803*'01_설정'!B11+Q803*'01_설정'!B12+P803*'01_설정'!B13+IF(Z803="",0,Z803))</f>
        <v/>
      </c>
      <c r="X803" s="152">
        <f>IF(W803="","",1+COUNTIFS($W$4:$W$3003,"&gt;"&amp;W803)+COUNTIFS($W$4:W803,W803)-1)</f>
        <v/>
      </c>
      <c r="Y803" s="175">
        <f>IF(OR(I803="",'02_대상물건입력'!B19="",'02_대상물건입력'!B19&lt;=0),"",ABS(I803-'02_대상물건입력'!B19)/'02_대상물건입력'!B19)</f>
        <v/>
      </c>
      <c r="Z803" s="172">
        <f>IF(OR(Y803="",'01_설정'!B31="",'01_설정'!B31&lt;=0,'01_설정'!B32="",'01_설정'!B32&lt;=0),"",MAX(0,(1-Y803/'01_설정'!B32))*'01_설정'!B31)</f>
        <v/>
      </c>
    </row>
    <row r="804" ht="17.25" customHeight="1">
      <c r="A804" s="152">
        <f>IF(INDEX('04A_국토부원자료'!$A:$A,ROW()+1)="","",ROW()-3)</f>
        <v/>
      </c>
      <c r="B804" s="48">
        <f>IFERROR(INDEX('04A_국토부원자료'!$A:$T,ROW()+1,MATCH("시군구",'04A_국토부원자료'!$A$4:$T$4,0)),"")</f>
        <v/>
      </c>
      <c r="C804" s="48">
        <f>IF(B804="","",IFERROR(INDEX('04A_국토부원자료'!$A:$T,ROW()+1,MATCH("번지",'04A_국토부원자료'!$A$4:$T$4,0)),""))</f>
        <v/>
      </c>
      <c r="D804" s="48">
        <f>IF(B804="","",IF(Q804=1,'02_대상물건입력'!$B$8,IFERROR(INDEX('04A_국토부원자료'!$A:$T,ROW()+1,MATCH("단지명",'04A_국토부원자료'!$A$4:$T$4,0)),"")))</f>
        <v/>
      </c>
      <c r="E804" s="172">
        <f>IFERROR(VALUE(SUBSTITUTE(INDEX('04A_국토부원자료'!$A:$T,ROW()+1,MATCH("전용면적(㎡)",'04A_국토부원자료'!$A$4:$T$4,0)),",","")),"")</f>
        <v/>
      </c>
      <c r="F8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04" s="51">
        <f>IFERROR(VALUE(SUBSTITUTE(INDEX('04A_국토부원자료'!$A:$T,ROW()+1,MATCH("거래금액(만원)",'04A_국토부원자료'!$A$4:$T$4,0)),",","")),"")</f>
        <v/>
      </c>
      <c r="H804" s="174">
        <f>IF(G804="","",G804*10000)</f>
        <v/>
      </c>
      <c r="I804" s="174">
        <f>IFERROR(IF(AND(H804&gt;0,E804&gt;0),H804/E804,""),"")</f>
        <v/>
      </c>
      <c r="J804" s="152">
        <f>IFERROR(VALUE(SUBSTITUTE(INDEX('04A_국토부원자료'!$A:$T,ROW()+1,MATCH("층",'04A_국토부원자료'!$A$4:$T$4,0)),",","")),"")</f>
        <v/>
      </c>
      <c r="K804" s="152">
        <f>IFERROR(VALUE(SUBSTITUTE(INDEX('04A_국토부원자료'!$A:$T,ROW()+1,MATCH("건축년도",'04A_국토부원자료'!$A$4:$T$4,0)),",","")),"")</f>
        <v/>
      </c>
      <c r="L804" s="176">
        <f>IFERROR(INDEX('04A_국토부원자료'!$A:$T,ROW()+1,MATCH("도로명",'04A_국토부원자료'!$A$4:$T$4,0)),"")</f>
        <v/>
      </c>
      <c r="M804" s="48">
        <f>IFERROR(INDEX('04A_국토부원자료'!$A:$T,ROW()+1,MATCH("거래유형",'04A_국토부원자료'!$A$4:$T$4,0)),"")</f>
        <v/>
      </c>
      <c r="N804" s="152">
        <f>IF(B804="","",IF('02_대상물건입력'!B5="",1,IF(ISNUMBER(SEARCH('02_대상물건입력'!B5,B804)),1,0)))</f>
        <v/>
      </c>
      <c r="O804" s="152">
        <f>IF(B804="","",IF('02_대상물건입력'!B6="",1,IF(ISNUMBER(SEARCH('02_대상물건입력'!B6,B804)),1,0)))</f>
        <v/>
      </c>
      <c r="P804" s="152">
        <f>IF(L804="","",IF('02_대상물건입력'!B15="",0,IF(ISNUMBER(SEARCH('02_대상물건입력'!B15,L804)),1,0)))</f>
        <v/>
      </c>
      <c r="Q804" s="152">
        <f>IF(OR(C804="",L804=""),0,IF(AND(TRIM(C804)=TRIM(RIGHT(SUBSTITUTE(TRIM('02_대상물건입력'!$B$7)," ",REPT(" ",99)),99)),IF('02_대상물건입력'!B15="",TRUE(),ISNUMBER(SEARCH('02_대상물건입력'!B15,L804)))),1,0))</f>
        <v/>
      </c>
      <c r="R804" s="175">
        <f>IFERROR(ABS(E804-'02_대상물건입력'!B11)/'02_대상물건입력'!B11,"")</f>
        <v/>
      </c>
      <c r="S804" s="152">
        <f>IFERROR(ABS(J804-'02_대상물건입력'!B10),"")</f>
        <v/>
      </c>
      <c r="T804" s="152">
        <f>IFERROR(ABS('01_설정'!B4-F804),"")</f>
        <v/>
      </c>
      <c r="U804" s="152">
        <f>IFERROR(ABS(K804-YEAR('02_대상물건입력'!B14)),"")</f>
        <v/>
      </c>
      <c r="V804" s="152">
        <f>IF(B804="","",IF(AND(E804&gt;0,F804&gt;0,H804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804=1,TRUE()),R804&lt;='01_설정'!B5,S804&lt;='01_설정'!B6,T804&lt;='01_설정'!B7,U804&lt;='01_설정'!B8),"Y",""))</f>
        <v/>
      </c>
      <c r="W804" s="172">
        <f>IF(V804&lt;&gt;"Y","",MAX(0,(1-R804/'01_설정'!B5))*'01_설정'!B14+MAX(0,(1-S804/'01_설정'!B6))*'01_설정'!B15+MAX(0,(1-T804/'01_설정'!B7))*'01_설정'!B16+MAX(0,(1-U804/'01_설정'!B8))*'01_설정'!B17+O804*'01_설정'!B11+Q804*'01_설정'!B12+P804*'01_설정'!B13+IF(Z804="",0,Z804))</f>
        <v/>
      </c>
      <c r="X804" s="152">
        <f>IF(W804="","",1+COUNTIFS($W$4:$W$3003,"&gt;"&amp;W804)+COUNTIFS($W$4:W804,W804)-1)</f>
        <v/>
      </c>
      <c r="Y804" s="175">
        <f>IF(OR(I804="",'02_대상물건입력'!B19="",'02_대상물건입력'!B19&lt;=0),"",ABS(I804-'02_대상물건입력'!B19)/'02_대상물건입력'!B19)</f>
        <v/>
      </c>
      <c r="Z804" s="172">
        <f>IF(OR(Y804="",'01_설정'!B31="",'01_설정'!B31&lt;=0,'01_설정'!B32="",'01_설정'!B32&lt;=0),"",MAX(0,(1-Y804/'01_설정'!B32))*'01_설정'!B31)</f>
        <v/>
      </c>
    </row>
    <row r="805" ht="17.25" customHeight="1">
      <c r="A805" s="152">
        <f>IF(INDEX('04A_국토부원자료'!$A:$A,ROW()+1)="","",ROW()-3)</f>
        <v/>
      </c>
      <c r="B805" s="48">
        <f>IFERROR(INDEX('04A_국토부원자료'!$A:$T,ROW()+1,MATCH("시군구",'04A_국토부원자료'!$A$4:$T$4,0)),"")</f>
        <v/>
      </c>
      <c r="C805" s="48">
        <f>IF(B805="","",IFERROR(INDEX('04A_국토부원자료'!$A:$T,ROW()+1,MATCH("번지",'04A_국토부원자료'!$A$4:$T$4,0)),""))</f>
        <v/>
      </c>
      <c r="D805" s="48">
        <f>IF(B805="","",IF(Q805=1,'02_대상물건입력'!$B$8,IFERROR(INDEX('04A_국토부원자료'!$A:$T,ROW()+1,MATCH("단지명",'04A_국토부원자료'!$A$4:$T$4,0)),"")))</f>
        <v/>
      </c>
      <c r="E805" s="172">
        <f>IFERROR(VALUE(SUBSTITUTE(INDEX('04A_국토부원자료'!$A:$T,ROW()+1,MATCH("전용면적(㎡)",'04A_국토부원자료'!$A$4:$T$4,0)),",","")),"")</f>
        <v/>
      </c>
      <c r="F8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05" s="51">
        <f>IFERROR(VALUE(SUBSTITUTE(INDEX('04A_국토부원자료'!$A:$T,ROW()+1,MATCH("거래금액(만원)",'04A_국토부원자료'!$A$4:$T$4,0)),",","")),"")</f>
        <v/>
      </c>
      <c r="H805" s="174">
        <f>IF(G805="","",G805*10000)</f>
        <v/>
      </c>
      <c r="I805" s="174">
        <f>IFERROR(IF(AND(H805&gt;0,E805&gt;0),H805/E805,""),"")</f>
        <v/>
      </c>
      <c r="J805" s="152">
        <f>IFERROR(VALUE(SUBSTITUTE(INDEX('04A_국토부원자료'!$A:$T,ROW()+1,MATCH("층",'04A_국토부원자료'!$A$4:$T$4,0)),",","")),"")</f>
        <v/>
      </c>
      <c r="K805" s="152">
        <f>IFERROR(VALUE(SUBSTITUTE(INDEX('04A_국토부원자료'!$A:$T,ROW()+1,MATCH("건축년도",'04A_국토부원자료'!$A$4:$T$4,0)),",","")),"")</f>
        <v/>
      </c>
      <c r="L805" s="176">
        <f>IFERROR(INDEX('04A_국토부원자료'!$A:$T,ROW()+1,MATCH("도로명",'04A_국토부원자료'!$A$4:$T$4,0)),"")</f>
        <v/>
      </c>
      <c r="M805" s="48">
        <f>IFERROR(INDEX('04A_국토부원자료'!$A:$T,ROW()+1,MATCH("거래유형",'04A_국토부원자료'!$A$4:$T$4,0)),"")</f>
        <v/>
      </c>
      <c r="N805" s="152">
        <f>IF(B805="","",IF('02_대상물건입력'!B5="",1,IF(ISNUMBER(SEARCH('02_대상물건입력'!B5,B805)),1,0)))</f>
        <v/>
      </c>
      <c r="O805" s="152">
        <f>IF(B805="","",IF('02_대상물건입력'!B6="",1,IF(ISNUMBER(SEARCH('02_대상물건입력'!B6,B805)),1,0)))</f>
        <v/>
      </c>
      <c r="P805" s="152">
        <f>IF(L805="","",IF('02_대상물건입력'!B15="",0,IF(ISNUMBER(SEARCH('02_대상물건입력'!B15,L805)),1,0)))</f>
        <v/>
      </c>
      <c r="Q805" s="152">
        <f>IF(OR(C805="",L805=""),0,IF(AND(TRIM(C805)=TRIM(RIGHT(SUBSTITUTE(TRIM('02_대상물건입력'!$B$7)," ",REPT(" ",99)),99)),IF('02_대상물건입력'!B15="",TRUE(),ISNUMBER(SEARCH('02_대상물건입력'!B15,L805)))),1,0))</f>
        <v/>
      </c>
      <c r="R805" s="175">
        <f>IFERROR(ABS(E805-'02_대상물건입력'!B11)/'02_대상물건입력'!B11,"")</f>
        <v/>
      </c>
      <c r="S805" s="152">
        <f>IFERROR(ABS(J805-'02_대상물건입력'!B10),"")</f>
        <v/>
      </c>
      <c r="T805" s="152">
        <f>IFERROR(ABS('01_설정'!B4-F805),"")</f>
        <v/>
      </c>
      <c r="U805" s="152">
        <f>IFERROR(ABS(K805-YEAR('02_대상물건입력'!B14)),"")</f>
        <v/>
      </c>
      <c r="V805" s="152">
        <f>IF(B805="","",IF(AND(E805&gt;0,F805&gt;0,H805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805=1,TRUE()),R805&lt;='01_설정'!B5,S805&lt;='01_설정'!B6,T805&lt;='01_설정'!B7,U805&lt;='01_설정'!B8),"Y",""))</f>
        <v/>
      </c>
      <c r="W805" s="172">
        <f>IF(V805&lt;&gt;"Y","",MAX(0,(1-R805/'01_설정'!B5))*'01_설정'!B14+MAX(0,(1-S805/'01_설정'!B6))*'01_설정'!B15+MAX(0,(1-T805/'01_설정'!B7))*'01_설정'!B16+MAX(0,(1-U805/'01_설정'!B8))*'01_설정'!B17+O805*'01_설정'!B11+Q805*'01_설정'!B12+P805*'01_설정'!B13+IF(Z805="",0,Z805))</f>
        <v/>
      </c>
      <c r="X805" s="152">
        <f>IF(W805="","",1+COUNTIFS($W$4:$W$3003,"&gt;"&amp;W805)+COUNTIFS($W$4:W805,W805)-1)</f>
        <v/>
      </c>
      <c r="Y805" s="175">
        <f>IF(OR(I805="",'02_대상물건입력'!B19="",'02_대상물건입력'!B19&lt;=0),"",ABS(I805-'02_대상물건입력'!B19)/'02_대상물건입력'!B19)</f>
        <v/>
      </c>
      <c r="Z805" s="172">
        <f>IF(OR(Y805="",'01_설정'!B31="",'01_설정'!B31&lt;=0,'01_설정'!B32="",'01_설정'!B32&lt;=0),"",MAX(0,(1-Y805/'01_설정'!B32))*'01_설정'!B31)</f>
        <v/>
      </c>
    </row>
    <row r="806" ht="17.25" customHeight="1">
      <c r="A806" s="152">
        <f>IF(INDEX('04A_국토부원자료'!$A:$A,ROW()+1)="","",ROW()-3)</f>
        <v/>
      </c>
      <c r="B806" s="48">
        <f>IFERROR(INDEX('04A_국토부원자료'!$A:$T,ROW()+1,MATCH("시군구",'04A_국토부원자료'!$A$4:$T$4,0)),"")</f>
        <v/>
      </c>
      <c r="C806" s="48">
        <f>IF(B806="","",IFERROR(INDEX('04A_국토부원자료'!$A:$T,ROW()+1,MATCH("번지",'04A_국토부원자료'!$A$4:$T$4,0)),""))</f>
        <v/>
      </c>
      <c r="D806" s="48">
        <f>IF(B806="","",IF(Q806=1,'02_대상물건입력'!$B$8,IFERROR(INDEX('04A_국토부원자료'!$A:$T,ROW()+1,MATCH("단지명",'04A_국토부원자료'!$A$4:$T$4,0)),"")))</f>
        <v/>
      </c>
      <c r="E806" s="172">
        <f>IFERROR(VALUE(SUBSTITUTE(INDEX('04A_국토부원자료'!$A:$T,ROW()+1,MATCH("전용면적(㎡)",'04A_국토부원자료'!$A$4:$T$4,0)),",","")),"")</f>
        <v/>
      </c>
      <c r="F8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06" s="51">
        <f>IFERROR(VALUE(SUBSTITUTE(INDEX('04A_국토부원자료'!$A:$T,ROW()+1,MATCH("거래금액(만원)",'04A_국토부원자료'!$A$4:$T$4,0)),",","")),"")</f>
        <v/>
      </c>
      <c r="H806" s="174">
        <f>IF(G806="","",G806*10000)</f>
        <v/>
      </c>
      <c r="I806" s="174">
        <f>IFERROR(IF(AND(H806&gt;0,E806&gt;0),H806/E806,""),"")</f>
        <v/>
      </c>
      <c r="J806" s="152">
        <f>IFERROR(VALUE(SUBSTITUTE(INDEX('04A_국토부원자료'!$A:$T,ROW()+1,MATCH("층",'04A_국토부원자료'!$A$4:$T$4,0)),",","")),"")</f>
        <v/>
      </c>
      <c r="K806" s="152">
        <f>IFERROR(VALUE(SUBSTITUTE(INDEX('04A_국토부원자료'!$A:$T,ROW()+1,MATCH("건축년도",'04A_국토부원자료'!$A$4:$T$4,0)),",","")),"")</f>
        <v/>
      </c>
      <c r="L806" s="176">
        <f>IFERROR(INDEX('04A_국토부원자료'!$A:$T,ROW()+1,MATCH("도로명",'04A_국토부원자료'!$A$4:$T$4,0)),"")</f>
        <v/>
      </c>
      <c r="M806" s="48">
        <f>IFERROR(INDEX('04A_국토부원자료'!$A:$T,ROW()+1,MATCH("거래유형",'04A_국토부원자료'!$A$4:$T$4,0)),"")</f>
        <v/>
      </c>
      <c r="N806" s="152">
        <f>IF(B806="","",IF('02_대상물건입력'!B5="",1,IF(ISNUMBER(SEARCH('02_대상물건입력'!B5,B806)),1,0)))</f>
        <v/>
      </c>
      <c r="O806" s="152">
        <f>IF(B806="","",IF('02_대상물건입력'!B6="",1,IF(ISNUMBER(SEARCH('02_대상물건입력'!B6,B806)),1,0)))</f>
        <v/>
      </c>
      <c r="P806" s="152">
        <f>IF(L806="","",IF('02_대상물건입력'!B15="",0,IF(ISNUMBER(SEARCH('02_대상물건입력'!B15,L806)),1,0)))</f>
        <v/>
      </c>
      <c r="Q806" s="152">
        <f>IF(OR(C806="",L806=""),0,IF(AND(TRIM(C806)=TRIM(RIGHT(SUBSTITUTE(TRIM('02_대상물건입력'!$B$7)," ",REPT(" ",99)),99)),IF('02_대상물건입력'!B15="",TRUE(),ISNUMBER(SEARCH('02_대상물건입력'!B15,L806)))),1,0))</f>
        <v/>
      </c>
      <c r="R806" s="175">
        <f>IFERROR(ABS(E806-'02_대상물건입력'!B11)/'02_대상물건입력'!B11,"")</f>
        <v/>
      </c>
      <c r="S806" s="152">
        <f>IFERROR(ABS(J806-'02_대상물건입력'!B10),"")</f>
        <v/>
      </c>
      <c r="T806" s="152">
        <f>IFERROR(ABS('01_설정'!B4-F806),"")</f>
        <v/>
      </c>
      <c r="U806" s="152">
        <f>IFERROR(ABS(K806-YEAR('02_대상물건입력'!B14)),"")</f>
        <v/>
      </c>
      <c r="V806" s="152">
        <f>IF(B806="","",IF(AND(E806&gt;0,F806&gt;0,H806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806=1,TRUE()),R806&lt;='01_설정'!B5,S806&lt;='01_설정'!B6,T806&lt;='01_설정'!B7,U806&lt;='01_설정'!B8),"Y",""))</f>
        <v/>
      </c>
      <c r="W806" s="172">
        <f>IF(V806&lt;&gt;"Y","",MAX(0,(1-R806/'01_설정'!B5))*'01_설정'!B14+MAX(0,(1-S806/'01_설정'!B6))*'01_설정'!B15+MAX(0,(1-T806/'01_설정'!B7))*'01_설정'!B16+MAX(0,(1-U806/'01_설정'!B8))*'01_설정'!B17+O806*'01_설정'!B11+Q806*'01_설정'!B12+P806*'01_설정'!B13+IF(Z806="",0,Z806))</f>
        <v/>
      </c>
      <c r="X806" s="152">
        <f>IF(W806="","",1+COUNTIFS($W$4:$W$3003,"&gt;"&amp;W806)+COUNTIFS($W$4:W806,W806)-1)</f>
        <v/>
      </c>
      <c r="Y806" s="175">
        <f>IF(OR(I806="",'02_대상물건입력'!B19="",'02_대상물건입력'!B19&lt;=0),"",ABS(I806-'02_대상물건입력'!B19)/'02_대상물건입력'!B19)</f>
        <v/>
      </c>
      <c r="Z806" s="172">
        <f>IF(OR(Y806="",'01_설정'!B31="",'01_설정'!B31&lt;=0,'01_설정'!B32="",'01_설정'!B32&lt;=0),"",MAX(0,(1-Y806/'01_설정'!B32))*'01_설정'!B31)</f>
        <v/>
      </c>
    </row>
    <row r="807" ht="17.25" customHeight="1">
      <c r="A807" s="152">
        <f>IF(INDEX('04A_국토부원자료'!$A:$A,ROW()+1)="","",ROW()-3)</f>
        <v/>
      </c>
      <c r="B807" s="48">
        <f>IFERROR(INDEX('04A_국토부원자료'!$A:$T,ROW()+1,MATCH("시군구",'04A_국토부원자료'!$A$4:$T$4,0)),"")</f>
        <v/>
      </c>
      <c r="C807" s="48">
        <f>IF(B807="","",IFERROR(INDEX('04A_국토부원자료'!$A:$T,ROW()+1,MATCH("번지",'04A_국토부원자료'!$A$4:$T$4,0)),""))</f>
        <v/>
      </c>
      <c r="D807" s="48">
        <f>IF(B807="","",IF(Q807=1,'02_대상물건입력'!$B$8,IFERROR(INDEX('04A_국토부원자료'!$A:$T,ROW()+1,MATCH("단지명",'04A_국토부원자료'!$A$4:$T$4,0)),"")))</f>
        <v/>
      </c>
      <c r="E807" s="172">
        <f>IFERROR(VALUE(SUBSTITUTE(INDEX('04A_국토부원자료'!$A:$T,ROW()+1,MATCH("전용면적(㎡)",'04A_국토부원자료'!$A$4:$T$4,0)),",","")),"")</f>
        <v/>
      </c>
      <c r="F8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07" s="51">
        <f>IFERROR(VALUE(SUBSTITUTE(INDEX('04A_국토부원자료'!$A:$T,ROW()+1,MATCH("거래금액(만원)",'04A_국토부원자료'!$A$4:$T$4,0)),",","")),"")</f>
        <v/>
      </c>
      <c r="H807" s="174">
        <f>IF(G807="","",G807*10000)</f>
        <v/>
      </c>
      <c r="I807" s="174">
        <f>IFERROR(IF(AND(H807&gt;0,E807&gt;0),H807/E807,""),"")</f>
        <v/>
      </c>
      <c r="J807" s="152">
        <f>IFERROR(VALUE(SUBSTITUTE(INDEX('04A_국토부원자료'!$A:$T,ROW()+1,MATCH("층",'04A_국토부원자료'!$A$4:$T$4,0)),",","")),"")</f>
        <v/>
      </c>
      <c r="K807" s="152">
        <f>IFERROR(VALUE(SUBSTITUTE(INDEX('04A_국토부원자료'!$A:$T,ROW()+1,MATCH("건축년도",'04A_국토부원자료'!$A$4:$T$4,0)),",","")),"")</f>
        <v/>
      </c>
      <c r="L807" s="176">
        <f>IFERROR(INDEX('04A_국토부원자료'!$A:$T,ROW()+1,MATCH("도로명",'04A_국토부원자료'!$A$4:$T$4,0)),"")</f>
        <v/>
      </c>
      <c r="M807" s="48">
        <f>IFERROR(INDEX('04A_국토부원자료'!$A:$T,ROW()+1,MATCH("거래유형",'04A_국토부원자료'!$A$4:$T$4,0)),"")</f>
        <v/>
      </c>
      <c r="N807" s="152">
        <f>IF(B807="","",IF('02_대상물건입력'!B5="",1,IF(ISNUMBER(SEARCH('02_대상물건입력'!B5,B807)),1,0)))</f>
        <v/>
      </c>
      <c r="O807" s="152">
        <f>IF(B807="","",IF('02_대상물건입력'!B6="",1,IF(ISNUMBER(SEARCH('02_대상물건입력'!B6,B807)),1,0)))</f>
        <v/>
      </c>
      <c r="P807" s="152">
        <f>IF(L807="","",IF('02_대상물건입력'!B15="",0,IF(ISNUMBER(SEARCH('02_대상물건입력'!B15,L807)),1,0)))</f>
        <v/>
      </c>
      <c r="Q807" s="152">
        <f>IF(OR(C807="",L807=""),0,IF(AND(TRIM(C807)=TRIM(RIGHT(SUBSTITUTE(TRIM('02_대상물건입력'!$B$7)," ",REPT(" ",99)),99)),IF('02_대상물건입력'!B15="",TRUE(),ISNUMBER(SEARCH('02_대상물건입력'!B15,L807)))),1,0))</f>
        <v/>
      </c>
      <c r="R807" s="175">
        <f>IFERROR(ABS(E807-'02_대상물건입력'!B11)/'02_대상물건입력'!B11,"")</f>
        <v/>
      </c>
      <c r="S807" s="152">
        <f>IFERROR(ABS(J807-'02_대상물건입력'!B10),"")</f>
        <v/>
      </c>
      <c r="T807" s="152">
        <f>IFERROR(ABS('01_설정'!B4-F807),"")</f>
        <v/>
      </c>
      <c r="U807" s="152">
        <f>IFERROR(ABS(K807-YEAR('02_대상물건입력'!B14)),"")</f>
        <v/>
      </c>
      <c r="V807" s="152">
        <f>IF(B807="","",IF(AND(E807&gt;0,F807&gt;0,H807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807=1,TRUE()),R807&lt;='01_설정'!B5,S807&lt;='01_설정'!B6,T807&lt;='01_설정'!B7,U807&lt;='01_설정'!B8),"Y",""))</f>
        <v/>
      </c>
      <c r="W807" s="172">
        <f>IF(V807&lt;&gt;"Y","",MAX(0,(1-R807/'01_설정'!B5))*'01_설정'!B14+MAX(0,(1-S807/'01_설정'!B6))*'01_설정'!B15+MAX(0,(1-T807/'01_설정'!B7))*'01_설정'!B16+MAX(0,(1-U807/'01_설정'!B8))*'01_설정'!B17+O807*'01_설정'!B11+Q807*'01_설정'!B12+P807*'01_설정'!B13+IF(Z807="",0,Z807))</f>
        <v/>
      </c>
      <c r="X807" s="152">
        <f>IF(W807="","",1+COUNTIFS($W$4:$W$3003,"&gt;"&amp;W807)+COUNTIFS($W$4:W807,W807)-1)</f>
        <v/>
      </c>
      <c r="Y807" s="175">
        <f>IF(OR(I807="",'02_대상물건입력'!B19="",'02_대상물건입력'!B19&lt;=0),"",ABS(I807-'02_대상물건입력'!B19)/'02_대상물건입력'!B19)</f>
        <v/>
      </c>
      <c r="Z807" s="172">
        <f>IF(OR(Y807="",'01_설정'!B31="",'01_설정'!B31&lt;=0,'01_설정'!B32="",'01_설정'!B32&lt;=0),"",MAX(0,(1-Y807/'01_설정'!B32))*'01_설정'!B31)</f>
        <v/>
      </c>
    </row>
    <row r="808" ht="17.25" customHeight="1">
      <c r="A808" s="152">
        <f>IF(INDEX('04A_국토부원자료'!$A:$A,ROW()+1)="","",ROW()-3)</f>
        <v/>
      </c>
      <c r="B808" s="48">
        <f>IFERROR(INDEX('04A_국토부원자료'!$A:$T,ROW()+1,MATCH("시군구",'04A_국토부원자료'!$A$4:$T$4,0)),"")</f>
        <v/>
      </c>
      <c r="C808" s="48">
        <f>IF(B808="","",IFERROR(INDEX('04A_국토부원자료'!$A:$T,ROW()+1,MATCH("번지",'04A_국토부원자료'!$A$4:$T$4,0)),""))</f>
        <v/>
      </c>
      <c r="D808" s="48">
        <f>IF(B808="","",IF(Q808=1,'02_대상물건입력'!$B$8,IFERROR(INDEX('04A_국토부원자료'!$A:$T,ROW()+1,MATCH("단지명",'04A_국토부원자료'!$A$4:$T$4,0)),"")))</f>
        <v/>
      </c>
      <c r="E808" s="172">
        <f>IFERROR(VALUE(SUBSTITUTE(INDEX('04A_국토부원자료'!$A:$T,ROW()+1,MATCH("전용면적(㎡)",'04A_국토부원자료'!$A$4:$T$4,0)),",","")),"")</f>
        <v/>
      </c>
      <c r="F8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08" s="51">
        <f>IFERROR(VALUE(SUBSTITUTE(INDEX('04A_국토부원자료'!$A:$T,ROW()+1,MATCH("거래금액(만원)",'04A_국토부원자료'!$A$4:$T$4,0)),",","")),"")</f>
        <v/>
      </c>
      <c r="H808" s="174">
        <f>IF(G808="","",G808*10000)</f>
        <v/>
      </c>
      <c r="I808" s="174">
        <f>IFERROR(IF(AND(H808&gt;0,E808&gt;0),H808/E808,""),"")</f>
        <v/>
      </c>
      <c r="J808" s="152">
        <f>IFERROR(VALUE(SUBSTITUTE(INDEX('04A_국토부원자료'!$A:$T,ROW()+1,MATCH("층",'04A_국토부원자료'!$A$4:$T$4,0)),",","")),"")</f>
        <v/>
      </c>
      <c r="K808" s="152">
        <f>IFERROR(VALUE(SUBSTITUTE(INDEX('04A_국토부원자료'!$A:$T,ROW()+1,MATCH("건축년도",'04A_국토부원자료'!$A$4:$T$4,0)),",","")),"")</f>
        <v/>
      </c>
      <c r="L808" s="176">
        <f>IFERROR(INDEX('04A_국토부원자료'!$A:$T,ROW()+1,MATCH("도로명",'04A_국토부원자료'!$A$4:$T$4,0)),"")</f>
        <v/>
      </c>
      <c r="M808" s="48">
        <f>IFERROR(INDEX('04A_국토부원자료'!$A:$T,ROW()+1,MATCH("거래유형",'04A_국토부원자료'!$A$4:$T$4,0)),"")</f>
        <v/>
      </c>
      <c r="N808" s="152">
        <f>IF(B808="","",IF('02_대상물건입력'!B5="",1,IF(ISNUMBER(SEARCH('02_대상물건입력'!B5,B808)),1,0)))</f>
        <v/>
      </c>
      <c r="O808" s="152">
        <f>IF(B808="","",IF('02_대상물건입력'!B6="",1,IF(ISNUMBER(SEARCH('02_대상물건입력'!B6,B808)),1,0)))</f>
        <v/>
      </c>
      <c r="P808" s="152">
        <f>IF(L808="","",IF('02_대상물건입력'!B15="",0,IF(ISNUMBER(SEARCH('02_대상물건입력'!B15,L808)),1,0)))</f>
        <v/>
      </c>
      <c r="Q808" s="152">
        <f>IF(OR(C808="",L808=""),0,IF(AND(TRIM(C808)=TRIM(RIGHT(SUBSTITUTE(TRIM('02_대상물건입력'!$B$7)," ",REPT(" ",99)),99)),IF('02_대상물건입력'!B15="",TRUE(),ISNUMBER(SEARCH('02_대상물건입력'!B15,L808)))),1,0))</f>
        <v/>
      </c>
      <c r="R808" s="175">
        <f>IFERROR(ABS(E808-'02_대상물건입력'!B11)/'02_대상물건입력'!B11,"")</f>
        <v/>
      </c>
      <c r="S808" s="152">
        <f>IFERROR(ABS(J808-'02_대상물건입력'!B10),"")</f>
        <v/>
      </c>
      <c r="T808" s="152">
        <f>IFERROR(ABS('01_설정'!B4-F808),"")</f>
        <v/>
      </c>
      <c r="U808" s="152">
        <f>IFERROR(ABS(K808-YEAR('02_대상물건입력'!B14)),"")</f>
        <v/>
      </c>
      <c r="V808" s="152">
        <f>IF(B808="","",IF(AND(E808&gt;0,F808&gt;0,H808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808=1,TRUE()),R808&lt;='01_설정'!B5,S808&lt;='01_설정'!B6,T808&lt;='01_설정'!B7,U808&lt;='01_설정'!B8),"Y",""))</f>
        <v/>
      </c>
      <c r="W808" s="172">
        <f>IF(V808&lt;&gt;"Y","",MAX(0,(1-R808/'01_설정'!B5))*'01_설정'!B14+MAX(0,(1-S808/'01_설정'!B6))*'01_설정'!B15+MAX(0,(1-T808/'01_설정'!B7))*'01_설정'!B16+MAX(0,(1-U808/'01_설정'!B8))*'01_설정'!B17+O808*'01_설정'!B11+Q808*'01_설정'!B12+P808*'01_설정'!B13+IF(Z808="",0,Z808))</f>
        <v/>
      </c>
      <c r="X808" s="152">
        <f>IF(W808="","",1+COUNTIFS($W$4:$W$3003,"&gt;"&amp;W808)+COUNTIFS($W$4:W808,W808)-1)</f>
        <v/>
      </c>
      <c r="Y808" s="175">
        <f>IF(OR(I808="",'02_대상물건입력'!B19="",'02_대상물건입력'!B19&lt;=0),"",ABS(I808-'02_대상물건입력'!B19)/'02_대상물건입력'!B19)</f>
        <v/>
      </c>
      <c r="Z808" s="172">
        <f>IF(OR(Y808="",'01_설정'!B31="",'01_설정'!B31&lt;=0,'01_설정'!B32="",'01_설정'!B32&lt;=0),"",MAX(0,(1-Y808/'01_설정'!B32))*'01_설정'!B31)</f>
        <v/>
      </c>
    </row>
    <row r="809" ht="17.25" customHeight="1">
      <c r="A809" s="152">
        <f>IF(INDEX('04A_국토부원자료'!$A:$A,ROW()+1)="","",ROW()-3)</f>
        <v/>
      </c>
      <c r="B809" s="48">
        <f>IFERROR(INDEX('04A_국토부원자료'!$A:$T,ROW()+1,MATCH("시군구",'04A_국토부원자료'!$A$4:$T$4,0)),"")</f>
        <v/>
      </c>
      <c r="C809" s="48">
        <f>IF(B809="","",IFERROR(INDEX('04A_국토부원자료'!$A:$T,ROW()+1,MATCH("번지",'04A_국토부원자료'!$A$4:$T$4,0)),""))</f>
        <v/>
      </c>
      <c r="D809" s="48">
        <f>IF(B809="","",IF(Q809=1,'02_대상물건입력'!$B$8,IFERROR(INDEX('04A_국토부원자료'!$A:$T,ROW()+1,MATCH("단지명",'04A_국토부원자료'!$A$4:$T$4,0)),"")))</f>
        <v/>
      </c>
      <c r="E809" s="172">
        <f>IFERROR(VALUE(SUBSTITUTE(INDEX('04A_국토부원자료'!$A:$T,ROW()+1,MATCH("전용면적(㎡)",'04A_국토부원자료'!$A$4:$T$4,0)),",","")),"")</f>
        <v/>
      </c>
      <c r="F8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09" s="51">
        <f>IFERROR(VALUE(SUBSTITUTE(INDEX('04A_국토부원자료'!$A:$T,ROW()+1,MATCH("거래금액(만원)",'04A_국토부원자료'!$A$4:$T$4,0)),",","")),"")</f>
        <v/>
      </c>
      <c r="H809" s="174">
        <f>IF(G809="","",G809*10000)</f>
        <v/>
      </c>
      <c r="I809" s="174">
        <f>IFERROR(IF(AND(H809&gt;0,E809&gt;0),H809/E809,""),"")</f>
        <v/>
      </c>
      <c r="J809" s="152">
        <f>IFERROR(VALUE(SUBSTITUTE(INDEX('04A_국토부원자료'!$A:$T,ROW()+1,MATCH("층",'04A_국토부원자료'!$A$4:$T$4,0)),",","")),"")</f>
        <v/>
      </c>
      <c r="K809" s="152">
        <f>IFERROR(VALUE(SUBSTITUTE(INDEX('04A_국토부원자료'!$A:$T,ROW()+1,MATCH("건축년도",'04A_국토부원자료'!$A$4:$T$4,0)),",","")),"")</f>
        <v/>
      </c>
      <c r="L809" s="176">
        <f>IFERROR(INDEX('04A_국토부원자료'!$A:$T,ROW()+1,MATCH("도로명",'04A_국토부원자료'!$A$4:$T$4,0)),"")</f>
        <v/>
      </c>
      <c r="M809" s="48">
        <f>IFERROR(INDEX('04A_국토부원자료'!$A:$T,ROW()+1,MATCH("거래유형",'04A_국토부원자료'!$A$4:$T$4,0)),"")</f>
        <v/>
      </c>
      <c r="N809" s="152">
        <f>IF(B809="","",IF('02_대상물건입력'!B5="",1,IF(ISNUMBER(SEARCH('02_대상물건입력'!B5,B809)),1,0)))</f>
        <v/>
      </c>
      <c r="O809" s="152">
        <f>IF(B809="","",IF('02_대상물건입력'!B6="",1,IF(ISNUMBER(SEARCH('02_대상물건입력'!B6,B809)),1,0)))</f>
        <v/>
      </c>
      <c r="P809" s="152">
        <f>IF(L809="","",IF('02_대상물건입력'!B15="",0,IF(ISNUMBER(SEARCH('02_대상물건입력'!B15,L809)),1,0)))</f>
        <v/>
      </c>
      <c r="Q809" s="152">
        <f>IF(OR(C809="",L809=""),0,IF(AND(TRIM(C809)=TRIM(RIGHT(SUBSTITUTE(TRIM('02_대상물건입력'!$B$7)," ",REPT(" ",99)),99)),IF('02_대상물건입력'!B15="",TRUE(),ISNUMBER(SEARCH('02_대상물건입력'!B15,L809)))),1,0))</f>
        <v/>
      </c>
      <c r="R809" s="175">
        <f>IFERROR(ABS(E809-'02_대상물건입력'!B11)/'02_대상물건입력'!B11,"")</f>
        <v/>
      </c>
      <c r="S809" s="152">
        <f>IFERROR(ABS(J809-'02_대상물건입력'!B10),"")</f>
        <v/>
      </c>
      <c r="T809" s="152">
        <f>IFERROR(ABS('01_설정'!B4-F809),"")</f>
        <v/>
      </c>
      <c r="U809" s="152">
        <f>IFERROR(ABS(K809-YEAR('02_대상물건입력'!B14)),"")</f>
        <v/>
      </c>
      <c r="V809" s="152">
        <f>IF(B809="","",IF(AND(E809&gt;0,F809&gt;0,H809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809=1,TRUE()),R809&lt;='01_설정'!B5,S809&lt;='01_설정'!B6,T809&lt;='01_설정'!B7,U809&lt;='01_설정'!B8),"Y",""))</f>
        <v/>
      </c>
      <c r="W809" s="172">
        <f>IF(V809&lt;&gt;"Y","",MAX(0,(1-R809/'01_설정'!B5))*'01_설정'!B14+MAX(0,(1-S809/'01_설정'!B6))*'01_설정'!B15+MAX(0,(1-T809/'01_설정'!B7))*'01_설정'!B16+MAX(0,(1-U809/'01_설정'!B8))*'01_설정'!B17+O809*'01_설정'!B11+Q809*'01_설정'!B12+P809*'01_설정'!B13+IF(Z809="",0,Z809))</f>
        <v/>
      </c>
      <c r="X809" s="152">
        <f>IF(W809="","",1+COUNTIFS($W$4:$W$3003,"&gt;"&amp;W809)+COUNTIFS($W$4:W809,W809)-1)</f>
        <v/>
      </c>
      <c r="Y809" s="175">
        <f>IF(OR(I809="",'02_대상물건입력'!B19="",'02_대상물건입력'!B19&lt;=0),"",ABS(I809-'02_대상물건입력'!B19)/'02_대상물건입력'!B19)</f>
        <v/>
      </c>
      <c r="Z809" s="172">
        <f>IF(OR(Y809="",'01_설정'!B31="",'01_설정'!B31&lt;=0,'01_설정'!B32="",'01_설정'!B32&lt;=0),"",MAX(0,(1-Y809/'01_설정'!B32))*'01_설정'!B31)</f>
        <v/>
      </c>
    </row>
    <row r="810" ht="17.25" customHeight="1">
      <c r="A810" s="152">
        <f>IF(INDEX('04A_국토부원자료'!$A:$A,ROW()+1)="","",ROW()-3)</f>
        <v/>
      </c>
      <c r="B810" s="48">
        <f>IFERROR(INDEX('04A_국토부원자료'!$A:$T,ROW()+1,MATCH("시군구",'04A_국토부원자료'!$A$4:$T$4,0)),"")</f>
        <v/>
      </c>
      <c r="C810" s="48">
        <f>IF(B810="","",IFERROR(INDEX('04A_국토부원자료'!$A:$T,ROW()+1,MATCH("번지",'04A_국토부원자료'!$A$4:$T$4,0)),""))</f>
        <v/>
      </c>
      <c r="D810" s="48">
        <f>IF(B810="","",IF(Q810=1,'02_대상물건입력'!$B$8,IFERROR(INDEX('04A_국토부원자료'!$A:$T,ROW()+1,MATCH("단지명",'04A_국토부원자료'!$A$4:$T$4,0)),"")))</f>
        <v/>
      </c>
      <c r="E810" s="172">
        <f>IFERROR(VALUE(SUBSTITUTE(INDEX('04A_국토부원자료'!$A:$T,ROW()+1,MATCH("전용면적(㎡)",'04A_국토부원자료'!$A$4:$T$4,0)),",","")),"")</f>
        <v/>
      </c>
      <c r="F8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10" s="51">
        <f>IFERROR(VALUE(SUBSTITUTE(INDEX('04A_국토부원자료'!$A:$T,ROW()+1,MATCH("거래금액(만원)",'04A_국토부원자료'!$A$4:$T$4,0)),",","")),"")</f>
        <v/>
      </c>
      <c r="H810" s="174">
        <f>IF(G810="","",G810*10000)</f>
        <v/>
      </c>
      <c r="I810" s="174">
        <f>IFERROR(IF(AND(H810&gt;0,E810&gt;0),H810/E810,""),"")</f>
        <v/>
      </c>
      <c r="J810" s="152">
        <f>IFERROR(VALUE(SUBSTITUTE(INDEX('04A_국토부원자료'!$A:$T,ROW()+1,MATCH("층",'04A_국토부원자료'!$A$4:$T$4,0)),",","")),"")</f>
        <v/>
      </c>
      <c r="K810" s="152">
        <f>IFERROR(VALUE(SUBSTITUTE(INDEX('04A_국토부원자료'!$A:$T,ROW()+1,MATCH("건축년도",'04A_국토부원자료'!$A$4:$T$4,0)),",","")),"")</f>
        <v/>
      </c>
      <c r="L810" s="176">
        <f>IFERROR(INDEX('04A_국토부원자료'!$A:$T,ROW()+1,MATCH("도로명",'04A_국토부원자료'!$A$4:$T$4,0)),"")</f>
        <v/>
      </c>
      <c r="M810" s="48">
        <f>IFERROR(INDEX('04A_국토부원자료'!$A:$T,ROW()+1,MATCH("거래유형",'04A_국토부원자료'!$A$4:$T$4,0)),"")</f>
        <v/>
      </c>
      <c r="N810" s="152">
        <f>IF(B810="","",IF('02_대상물건입력'!B5="",1,IF(ISNUMBER(SEARCH('02_대상물건입력'!B5,B810)),1,0)))</f>
        <v/>
      </c>
      <c r="O810" s="152">
        <f>IF(B810="","",IF('02_대상물건입력'!B6="",1,IF(ISNUMBER(SEARCH('02_대상물건입력'!B6,B810)),1,0)))</f>
        <v/>
      </c>
      <c r="P810" s="152">
        <f>IF(L810="","",IF('02_대상물건입력'!B15="",0,IF(ISNUMBER(SEARCH('02_대상물건입력'!B15,L810)),1,0)))</f>
        <v/>
      </c>
      <c r="Q810" s="152">
        <f>IF(OR(C810="",L810=""),0,IF(AND(TRIM(C810)=TRIM(RIGHT(SUBSTITUTE(TRIM('02_대상물건입력'!$B$7)," ",REPT(" ",99)),99)),IF('02_대상물건입력'!B15="",TRUE(),ISNUMBER(SEARCH('02_대상물건입력'!B15,L810)))),1,0))</f>
        <v/>
      </c>
      <c r="R810" s="175">
        <f>IFERROR(ABS(E810-'02_대상물건입력'!B11)/'02_대상물건입력'!B11,"")</f>
        <v/>
      </c>
      <c r="S810" s="152">
        <f>IFERROR(ABS(J810-'02_대상물건입력'!B10),"")</f>
        <v/>
      </c>
      <c r="T810" s="152">
        <f>IFERROR(ABS('01_설정'!B4-F810),"")</f>
        <v/>
      </c>
      <c r="U810" s="152">
        <f>IFERROR(ABS(K810-YEAR('02_대상물건입력'!B14)),"")</f>
        <v/>
      </c>
      <c r="V810" s="152">
        <f>IF(B810="","",IF(AND(E810&gt;0,F810&gt;0,H810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810=1,TRUE()),R810&lt;='01_설정'!B5,S810&lt;='01_설정'!B6,T810&lt;='01_설정'!B7,U810&lt;='01_설정'!B8),"Y",""))</f>
        <v/>
      </c>
      <c r="W810" s="172">
        <f>IF(V810&lt;&gt;"Y","",MAX(0,(1-R810/'01_설정'!B5))*'01_설정'!B14+MAX(0,(1-S810/'01_설정'!B6))*'01_설정'!B15+MAX(0,(1-T810/'01_설정'!B7))*'01_설정'!B16+MAX(0,(1-U810/'01_설정'!B8))*'01_설정'!B17+O810*'01_설정'!B11+Q810*'01_설정'!B12+P810*'01_설정'!B13+IF(Z810="",0,Z810))</f>
        <v/>
      </c>
      <c r="X810" s="152">
        <f>IF(W810="","",1+COUNTIFS($W$4:$W$3003,"&gt;"&amp;W810)+COUNTIFS($W$4:W810,W810)-1)</f>
        <v/>
      </c>
      <c r="Y810" s="175">
        <f>IF(OR(I810="",'02_대상물건입력'!B19="",'02_대상물건입력'!B19&lt;=0),"",ABS(I810-'02_대상물건입력'!B19)/'02_대상물건입력'!B19)</f>
        <v/>
      </c>
      <c r="Z810" s="172">
        <f>IF(OR(Y810="",'01_설정'!B31="",'01_설정'!B31&lt;=0,'01_설정'!B32="",'01_설정'!B32&lt;=0),"",MAX(0,(1-Y810/'01_설정'!B32))*'01_설정'!B31)</f>
        <v/>
      </c>
    </row>
    <row r="811" ht="17.25" customHeight="1">
      <c r="A811" s="152">
        <f>IF(INDEX('04A_국토부원자료'!$A:$A,ROW()+1)="","",ROW()-3)</f>
        <v/>
      </c>
      <c r="B811" s="48">
        <f>IFERROR(INDEX('04A_국토부원자료'!$A:$T,ROW()+1,MATCH("시군구",'04A_국토부원자료'!$A$4:$T$4,0)),"")</f>
        <v/>
      </c>
      <c r="C811" s="48">
        <f>IF(B811="","",IFERROR(INDEX('04A_국토부원자료'!$A:$T,ROW()+1,MATCH("번지",'04A_국토부원자료'!$A$4:$T$4,0)),""))</f>
        <v/>
      </c>
      <c r="D811" s="48">
        <f>IF(B811="","",IF(Q811=1,'02_대상물건입력'!$B$8,IFERROR(INDEX('04A_국토부원자료'!$A:$T,ROW()+1,MATCH("단지명",'04A_국토부원자료'!$A$4:$T$4,0)),"")))</f>
        <v/>
      </c>
      <c r="E811" s="172">
        <f>IFERROR(VALUE(SUBSTITUTE(INDEX('04A_국토부원자료'!$A:$T,ROW()+1,MATCH("전용면적(㎡)",'04A_국토부원자료'!$A$4:$T$4,0)),",","")),"")</f>
        <v/>
      </c>
      <c r="F8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11" s="51">
        <f>IFERROR(VALUE(SUBSTITUTE(INDEX('04A_국토부원자료'!$A:$T,ROW()+1,MATCH("거래금액(만원)",'04A_국토부원자료'!$A$4:$T$4,0)),",","")),"")</f>
        <v/>
      </c>
      <c r="H811" s="174">
        <f>IF(G811="","",G811*10000)</f>
        <v/>
      </c>
      <c r="I811" s="174">
        <f>IFERROR(IF(AND(H811&gt;0,E811&gt;0),H811/E811,""),"")</f>
        <v/>
      </c>
      <c r="J811" s="152">
        <f>IFERROR(VALUE(SUBSTITUTE(INDEX('04A_국토부원자료'!$A:$T,ROW()+1,MATCH("층",'04A_국토부원자료'!$A$4:$T$4,0)),",","")),"")</f>
        <v/>
      </c>
      <c r="K811" s="152">
        <f>IFERROR(VALUE(SUBSTITUTE(INDEX('04A_국토부원자료'!$A:$T,ROW()+1,MATCH("건축년도",'04A_국토부원자료'!$A$4:$T$4,0)),",","")),"")</f>
        <v/>
      </c>
      <c r="L811" s="176">
        <f>IFERROR(INDEX('04A_국토부원자료'!$A:$T,ROW()+1,MATCH("도로명",'04A_국토부원자료'!$A$4:$T$4,0)),"")</f>
        <v/>
      </c>
      <c r="M811" s="48">
        <f>IFERROR(INDEX('04A_국토부원자료'!$A:$T,ROW()+1,MATCH("거래유형",'04A_국토부원자료'!$A$4:$T$4,0)),"")</f>
        <v/>
      </c>
      <c r="N811" s="152">
        <f>IF(B811="","",IF('02_대상물건입력'!B5="",1,IF(ISNUMBER(SEARCH('02_대상물건입력'!B5,B811)),1,0)))</f>
        <v/>
      </c>
      <c r="O811" s="152">
        <f>IF(B811="","",IF('02_대상물건입력'!B6="",1,IF(ISNUMBER(SEARCH('02_대상물건입력'!B6,B811)),1,0)))</f>
        <v/>
      </c>
      <c r="P811" s="152">
        <f>IF(L811="","",IF('02_대상물건입력'!B15="",0,IF(ISNUMBER(SEARCH('02_대상물건입력'!B15,L811)),1,0)))</f>
        <v/>
      </c>
      <c r="Q811" s="152">
        <f>IF(OR(C811="",L811=""),0,IF(AND(TRIM(C811)=TRIM(RIGHT(SUBSTITUTE(TRIM('02_대상물건입력'!$B$7)," ",REPT(" ",99)),99)),IF('02_대상물건입력'!B15="",TRUE(),ISNUMBER(SEARCH('02_대상물건입력'!B15,L811)))),1,0))</f>
        <v/>
      </c>
      <c r="R811" s="175">
        <f>IFERROR(ABS(E811-'02_대상물건입력'!B11)/'02_대상물건입력'!B11,"")</f>
        <v/>
      </c>
      <c r="S811" s="152">
        <f>IFERROR(ABS(J811-'02_대상물건입력'!B10),"")</f>
        <v/>
      </c>
      <c r="T811" s="152">
        <f>IFERROR(ABS('01_설정'!B4-F811),"")</f>
        <v/>
      </c>
      <c r="U811" s="152">
        <f>IFERROR(ABS(K811-YEAR('02_대상물건입력'!B14)),"")</f>
        <v/>
      </c>
      <c r="V811" s="152">
        <f>IF(B811="","",IF(AND(E811&gt;0,F811&gt;0,H811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811=1,TRUE()),R811&lt;='01_설정'!B5,S811&lt;='01_설정'!B6,T811&lt;='01_설정'!B7,U811&lt;='01_설정'!B8),"Y",""))</f>
        <v/>
      </c>
      <c r="W811" s="172">
        <f>IF(V811&lt;&gt;"Y","",MAX(0,(1-R811/'01_설정'!B5))*'01_설정'!B14+MAX(0,(1-S811/'01_설정'!B6))*'01_설정'!B15+MAX(0,(1-T811/'01_설정'!B7))*'01_설정'!B16+MAX(0,(1-U811/'01_설정'!B8))*'01_설정'!B17+O811*'01_설정'!B11+Q811*'01_설정'!B12+P811*'01_설정'!B13+IF(Z811="",0,Z811))</f>
        <v/>
      </c>
      <c r="X811" s="152">
        <f>IF(W811="","",1+COUNTIFS($W$4:$W$3003,"&gt;"&amp;W811)+COUNTIFS($W$4:W811,W811)-1)</f>
        <v/>
      </c>
      <c r="Y811" s="175">
        <f>IF(OR(I811="",'02_대상물건입력'!B19="",'02_대상물건입력'!B19&lt;=0),"",ABS(I811-'02_대상물건입력'!B19)/'02_대상물건입력'!B19)</f>
        <v/>
      </c>
      <c r="Z811" s="172">
        <f>IF(OR(Y811="",'01_설정'!B31="",'01_설정'!B31&lt;=0,'01_설정'!B32="",'01_설정'!B32&lt;=0),"",MAX(0,(1-Y811/'01_설정'!B32))*'01_설정'!B31)</f>
        <v/>
      </c>
    </row>
    <row r="812" ht="17.25" customHeight="1">
      <c r="A812" s="152">
        <f>IF(INDEX('04A_국토부원자료'!$A:$A,ROW()+1)="","",ROW()-3)</f>
        <v/>
      </c>
      <c r="B812" s="48">
        <f>IFERROR(INDEX('04A_국토부원자료'!$A:$T,ROW()+1,MATCH("시군구",'04A_국토부원자료'!$A$4:$T$4,0)),"")</f>
        <v/>
      </c>
      <c r="C812" s="48">
        <f>IF(B812="","",IFERROR(INDEX('04A_국토부원자료'!$A:$T,ROW()+1,MATCH("번지",'04A_국토부원자료'!$A$4:$T$4,0)),""))</f>
        <v/>
      </c>
      <c r="D812" s="48">
        <f>IF(B812="","",IF(Q812=1,'02_대상물건입력'!$B$8,IFERROR(INDEX('04A_국토부원자료'!$A:$T,ROW()+1,MATCH("단지명",'04A_국토부원자료'!$A$4:$T$4,0)),"")))</f>
        <v/>
      </c>
      <c r="E812" s="172">
        <f>IFERROR(VALUE(SUBSTITUTE(INDEX('04A_국토부원자료'!$A:$T,ROW()+1,MATCH("전용면적(㎡)",'04A_국토부원자료'!$A$4:$T$4,0)),",","")),"")</f>
        <v/>
      </c>
      <c r="F8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12" s="51">
        <f>IFERROR(VALUE(SUBSTITUTE(INDEX('04A_국토부원자료'!$A:$T,ROW()+1,MATCH("거래금액(만원)",'04A_국토부원자료'!$A$4:$T$4,0)),",","")),"")</f>
        <v/>
      </c>
      <c r="H812" s="174">
        <f>IF(G812="","",G812*10000)</f>
        <v/>
      </c>
      <c r="I812" s="174">
        <f>IFERROR(IF(AND(H812&gt;0,E812&gt;0),H812/E812,""),"")</f>
        <v/>
      </c>
      <c r="J812" s="152">
        <f>IFERROR(VALUE(SUBSTITUTE(INDEX('04A_국토부원자료'!$A:$T,ROW()+1,MATCH("층",'04A_국토부원자료'!$A$4:$T$4,0)),",","")),"")</f>
        <v/>
      </c>
      <c r="K812" s="152">
        <f>IFERROR(VALUE(SUBSTITUTE(INDEX('04A_국토부원자료'!$A:$T,ROW()+1,MATCH("건축년도",'04A_국토부원자료'!$A$4:$T$4,0)),",","")),"")</f>
        <v/>
      </c>
      <c r="L812" s="176">
        <f>IFERROR(INDEX('04A_국토부원자료'!$A:$T,ROW()+1,MATCH("도로명",'04A_국토부원자료'!$A$4:$T$4,0)),"")</f>
        <v/>
      </c>
      <c r="M812" s="48">
        <f>IFERROR(INDEX('04A_국토부원자료'!$A:$T,ROW()+1,MATCH("거래유형",'04A_국토부원자료'!$A$4:$T$4,0)),"")</f>
        <v/>
      </c>
      <c r="N812" s="152">
        <f>IF(B812="","",IF('02_대상물건입력'!B5="",1,IF(ISNUMBER(SEARCH('02_대상물건입력'!B5,B812)),1,0)))</f>
        <v/>
      </c>
      <c r="O812" s="152">
        <f>IF(B812="","",IF('02_대상물건입력'!B6="",1,IF(ISNUMBER(SEARCH('02_대상물건입력'!B6,B812)),1,0)))</f>
        <v/>
      </c>
      <c r="P812" s="152">
        <f>IF(L812="","",IF('02_대상물건입력'!B15="",0,IF(ISNUMBER(SEARCH('02_대상물건입력'!B15,L812)),1,0)))</f>
        <v/>
      </c>
      <c r="Q812" s="152">
        <f>IF(OR(C812="",L812=""),0,IF(AND(TRIM(C812)=TRIM(RIGHT(SUBSTITUTE(TRIM('02_대상물건입력'!$B$7)," ",REPT(" ",99)),99)),IF('02_대상물건입력'!B15="",TRUE(),ISNUMBER(SEARCH('02_대상물건입력'!B15,L812)))),1,0))</f>
        <v/>
      </c>
      <c r="R812" s="175">
        <f>IFERROR(ABS(E812-'02_대상물건입력'!B11)/'02_대상물건입력'!B11,"")</f>
        <v/>
      </c>
      <c r="S812" s="152">
        <f>IFERROR(ABS(J812-'02_대상물건입력'!B10),"")</f>
        <v/>
      </c>
      <c r="T812" s="152">
        <f>IFERROR(ABS('01_설정'!B4-F812),"")</f>
        <v/>
      </c>
      <c r="U812" s="152">
        <f>IFERROR(ABS(K812-YEAR('02_대상물건입력'!B14)),"")</f>
        <v/>
      </c>
      <c r="V812" s="152">
        <f>IF(B812="","",IF(AND(E812&gt;0,F812&gt;0,H812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812=1,TRUE()),R812&lt;='01_설정'!B5,S812&lt;='01_설정'!B6,T812&lt;='01_설정'!B7,U812&lt;='01_설정'!B8),"Y",""))</f>
        <v/>
      </c>
      <c r="W812" s="172">
        <f>IF(V812&lt;&gt;"Y","",MAX(0,(1-R812/'01_설정'!B5))*'01_설정'!B14+MAX(0,(1-S812/'01_설정'!B6))*'01_설정'!B15+MAX(0,(1-T812/'01_설정'!B7))*'01_설정'!B16+MAX(0,(1-U812/'01_설정'!B8))*'01_설정'!B17+O812*'01_설정'!B11+Q812*'01_설정'!B12+P812*'01_설정'!B13+IF(Z812="",0,Z812))</f>
        <v/>
      </c>
      <c r="X812" s="152">
        <f>IF(W812="","",1+COUNTIFS($W$4:$W$3003,"&gt;"&amp;W812)+COUNTIFS($W$4:W812,W812)-1)</f>
        <v/>
      </c>
      <c r="Y812" s="175">
        <f>IF(OR(I812="",'02_대상물건입력'!B19="",'02_대상물건입력'!B19&lt;=0),"",ABS(I812-'02_대상물건입력'!B19)/'02_대상물건입력'!B19)</f>
        <v/>
      </c>
      <c r="Z812" s="172">
        <f>IF(OR(Y812="",'01_설정'!B31="",'01_설정'!B31&lt;=0,'01_설정'!B32="",'01_설정'!B32&lt;=0),"",MAX(0,(1-Y812/'01_설정'!B32))*'01_설정'!B31)</f>
        <v/>
      </c>
    </row>
    <row r="813" ht="17.25" customHeight="1">
      <c r="A813" s="152">
        <f>IF(INDEX('04A_국토부원자료'!$A:$A,ROW()+1)="","",ROW()-3)</f>
        <v/>
      </c>
      <c r="B813" s="48">
        <f>IFERROR(INDEX('04A_국토부원자료'!$A:$T,ROW()+1,MATCH("시군구",'04A_국토부원자료'!$A$4:$T$4,0)),"")</f>
        <v/>
      </c>
      <c r="C813" s="48">
        <f>IF(B813="","",IFERROR(INDEX('04A_국토부원자료'!$A:$T,ROW()+1,MATCH("번지",'04A_국토부원자료'!$A$4:$T$4,0)),""))</f>
        <v/>
      </c>
      <c r="D813" s="48">
        <f>IF(B813="","",IF(Q813=1,'02_대상물건입력'!$B$8,IFERROR(INDEX('04A_국토부원자료'!$A:$T,ROW()+1,MATCH("단지명",'04A_국토부원자료'!$A$4:$T$4,0)),"")))</f>
        <v/>
      </c>
      <c r="E813" s="172">
        <f>IFERROR(VALUE(SUBSTITUTE(INDEX('04A_국토부원자료'!$A:$T,ROW()+1,MATCH("전용면적(㎡)",'04A_국토부원자료'!$A$4:$T$4,0)),",","")),"")</f>
        <v/>
      </c>
      <c r="F8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13" s="51">
        <f>IFERROR(VALUE(SUBSTITUTE(INDEX('04A_국토부원자료'!$A:$T,ROW()+1,MATCH("거래금액(만원)",'04A_국토부원자료'!$A$4:$T$4,0)),",","")),"")</f>
        <v/>
      </c>
      <c r="H813" s="174">
        <f>IF(G813="","",G813*10000)</f>
        <v/>
      </c>
      <c r="I813" s="174">
        <f>IFERROR(IF(AND(H813&gt;0,E813&gt;0),H813/E813,""),"")</f>
        <v/>
      </c>
      <c r="J813" s="152">
        <f>IFERROR(VALUE(SUBSTITUTE(INDEX('04A_국토부원자료'!$A:$T,ROW()+1,MATCH("층",'04A_국토부원자료'!$A$4:$T$4,0)),",","")),"")</f>
        <v/>
      </c>
      <c r="K813" s="152">
        <f>IFERROR(VALUE(SUBSTITUTE(INDEX('04A_국토부원자료'!$A:$T,ROW()+1,MATCH("건축년도",'04A_국토부원자료'!$A$4:$T$4,0)),",","")),"")</f>
        <v/>
      </c>
      <c r="L813" s="176">
        <f>IFERROR(INDEX('04A_국토부원자료'!$A:$T,ROW()+1,MATCH("도로명",'04A_국토부원자료'!$A$4:$T$4,0)),"")</f>
        <v/>
      </c>
      <c r="M813" s="48">
        <f>IFERROR(INDEX('04A_국토부원자료'!$A:$T,ROW()+1,MATCH("거래유형",'04A_국토부원자료'!$A$4:$T$4,0)),"")</f>
        <v/>
      </c>
      <c r="N813" s="152">
        <f>IF(B813="","",IF('02_대상물건입력'!B5="",1,IF(ISNUMBER(SEARCH('02_대상물건입력'!B5,B813)),1,0)))</f>
        <v/>
      </c>
      <c r="O813" s="152">
        <f>IF(B813="","",IF('02_대상물건입력'!B6="",1,IF(ISNUMBER(SEARCH('02_대상물건입력'!B6,B813)),1,0)))</f>
        <v/>
      </c>
      <c r="P813" s="152">
        <f>IF(L813="","",IF('02_대상물건입력'!B15="",0,IF(ISNUMBER(SEARCH('02_대상물건입력'!B15,L813)),1,0)))</f>
        <v/>
      </c>
      <c r="Q813" s="152">
        <f>IF(OR(C813="",L813=""),0,IF(AND(TRIM(C813)=TRIM(RIGHT(SUBSTITUTE(TRIM('02_대상물건입력'!$B$7)," ",REPT(" ",99)),99)),IF('02_대상물건입력'!B15="",TRUE(),ISNUMBER(SEARCH('02_대상물건입력'!B15,L813)))),1,0))</f>
        <v/>
      </c>
      <c r="R813" s="175">
        <f>IFERROR(ABS(E813-'02_대상물건입력'!B11)/'02_대상물건입력'!B11,"")</f>
        <v/>
      </c>
      <c r="S813" s="152">
        <f>IFERROR(ABS(J813-'02_대상물건입력'!B10),"")</f>
        <v/>
      </c>
      <c r="T813" s="152">
        <f>IFERROR(ABS('01_설정'!B4-F813),"")</f>
        <v/>
      </c>
      <c r="U813" s="152">
        <f>IFERROR(ABS(K813-YEAR('02_대상물건입력'!B14)),"")</f>
        <v/>
      </c>
      <c r="V813" s="152">
        <f>IF(B813="","",IF(AND(E813&gt;0,F813&gt;0,H813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813=1,TRUE()),R813&lt;='01_설정'!B5,S813&lt;='01_설정'!B6,T813&lt;='01_설정'!B7,U813&lt;='01_설정'!B8),"Y",""))</f>
        <v/>
      </c>
      <c r="W813" s="172">
        <f>IF(V813&lt;&gt;"Y","",MAX(0,(1-R813/'01_설정'!B5))*'01_설정'!B14+MAX(0,(1-S813/'01_설정'!B6))*'01_설정'!B15+MAX(0,(1-T813/'01_설정'!B7))*'01_설정'!B16+MAX(0,(1-U813/'01_설정'!B8))*'01_설정'!B17+O813*'01_설정'!B11+Q813*'01_설정'!B12+P813*'01_설정'!B13+IF(Z813="",0,Z813))</f>
        <v/>
      </c>
      <c r="X813" s="152">
        <f>IF(W813="","",1+COUNTIFS($W$4:$W$3003,"&gt;"&amp;W813)+COUNTIFS($W$4:W813,W813)-1)</f>
        <v/>
      </c>
      <c r="Y813" s="175">
        <f>IF(OR(I813="",'02_대상물건입력'!B19="",'02_대상물건입력'!B19&lt;=0),"",ABS(I813-'02_대상물건입력'!B19)/'02_대상물건입력'!B19)</f>
        <v/>
      </c>
      <c r="Z813" s="172">
        <f>IF(OR(Y813="",'01_설정'!B31="",'01_설정'!B31&lt;=0,'01_설정'!B32="",'01_설정'!B32&lt;=0),"",MAX(0,(1-Y813/'01_설정'!B32))*'01_설정'!B31)</f>
        <v/>
      </c>
    </row>
    <row r="814" ht="17.25" customHeight="1">
      <c r="A814" s="152">
        <f>IF(INDEX('04A_국토부원자료'!$A:$A,ROW()+1)="","",ROW()-3)</f>
        <v/>
      </c>
      <c r="B814" s="48">
        <f>IFERROR(INDEX('04A_국토부원자료'!$A:$T,ROW()+1,MATCH("시군구",'04A_국토부원자료'!$A$4:$T$4,0)),"")</f>
        <v/>
      </c>
      <c r="C814" s="48">
        <f>IF(B814="","",IFERROR(INDEX('04A_국토부원자료'!$A:$T,ROW()+1,MATCH("번지",'04A_국토부원자료'!$A$4:$T$4,0)),""))</f>
        <v/>
      </c>
      <c r="D814" s="48">
        <f>IF(B814="","",IF(Q814=1,'02_대상물건입력'!$B$8,IFERROR(INDEX('04A_국토부원자료'!$A:$T,ROW()+1,MATCH("단지명",'04A_국토부원자료'!$A$4:$T$4,0)),"")))</f>
        <v/>
      </c>
      <c r="E814" s="172">
        <f>IFERROR(VALUE(SUBSTITUTE(INDEX('04A_국토부원자료'!$A:$T,ROW()+1,MATCH("전용면적(㎡)",'04A_국토부원자료'!$A$4:$T$4,0)),",","")),"")</f>
        <v/>
      </c>
      <c r="F8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14" s="51">
        <f>IFERROR(VALUE(SUBSTITUTE(INDEX('04A_국토부원자료'!$A:$T,ROW()+1,MATCH("거래금액(만원)",'04A_국토부원자료'!$A$4:$T$4,0)),",","")),"")</f>
        <v/>
      </c>
      <c r="H814" s="174">
        <f>IF(G814="","",G814*10000)</f>
        <v/>
      </c>
      <c r="I814" s="174">
        <f>IFERROR(IF(AND(H814&gt;0,E814&gt;0),H814/E814,""),"")</f>
        <v/>
      </c>
      <c r="J814" s="152">
        <f>IFERROR(VALUE(SUBSTITUTE(INDEX('04A_국토부원자료'!$A:$T,ROW()+1,MATCH("층",'04A_국토부원자료'!$A$4:$T$4,0)),",","")),"")</f>
        <v/>
      </c>
      <c r="K814" s="152">
        <f>IFERROR(VALUE(SUBSTITUTE(INDEX('04A_국토부원자료'!$A:$T,ROW()+1,MATCH("건축년도",'04A_국토부원자료'!$A$4:$T$4,0)),",","")),"")</f>
        <v/>
      </c>
      <c r="L814" s="176">
        <f>IFERROR(INDEX('04A_국토부원자료'!$A:$T,ROW()+1,MATCH("도로명",'04A_국토부원자료'!$A$4:$T$4,0)),"")</f>
        <v/>
      </c>
      <c r="M814" s="48">
        <f>IFERROR(INDEX('04A_국토부원자료'!$A:$T,ROW()+1,MATCH("거래유형",'04A_국토부원자료'!$A$4:$T$4,0)),"")</f>
        <v/>
      </c>
      <c r="N814" s="152">
        <f>IF(B814="","",IF('02_대상물건입력'!B5="",1,IF(ISNUMBER(SEARCH('02_대상물건입력'!B5,B814)),1,0)))</f>
        <v/>
      </c>
      <c r="O814" s="152">
        <f>IF(B814="","",IF('02_대상물건입력'!B6="",1,IF(ISNUMBER(SEARCH('02_대상물건입력'!B6,B814)),1,0)))</f>
        <v/>
      </c>
      <c r="P814" s="152">
        <f>IF(L814="","",IF('02_대상물건입력'!B15="",0,IF(ISNUMBER(SEARCH('02_대상물건입력'!B15,L814)),1,0)))</f>
        <v/>
      </c>
      <c r="Q814" s="152">
        <f>IF(OR(C814="",L814=""),0,IF(AND(TRIM(C814)=TRIM(RIGHT(SUBSTITUTE(TRIM('02_대상물건입력'!$B$7)," ",REPT(" ",99)),99)),IF('02_대상물건입력'!B15="",TRUE(),ISNUMBER(SEARCH('02_대상물건입력'!B15,L814)))),1,0))</f>
        <v/>
      </c>
      <c r="R814" s="175">
        <f>IFERROR(ABS(E814-'02_대상물건입력'!B11)/'02_대상물건입력'!B11,"")</f>
        <v/>
      </c>
      <c r="S814" s="152">
        <f>IFERROR(ABS(J814-'02_대상물건입력'!B10),"")</f>
        <v/>
      </c>
      <c r="T814" s="152">
        <f>IFERROR(ABS('01_설정'!B4-F814),"")</f>
        <v/>
      </c>
      <c r="U814" s="152">
        <f>IFERROR(ABS(K814-YEAR('02_대상물건입력'!B14)),"")</f>
        <v/>
      </c>
      <c r="V814" s="152">
        <f>IF(B814="","",IF(AND(E814&gt;0,F814&gt;0,H814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814=1,TRUE()),R814&lt;='01_설정'!B5,S814&lt;='01_설정'!B6,T814&lt;='01_설정'!B7,U814&lt;='01_설정'!B8),"Y",""))</f>
        <v/>
      </c>
      <c r="W814" s="172">
        <f>IF(V814&lt;&gt;"Y","",MAX(0,(1-R814/'01_설정'!B5))*'01_설정'!B14+MAX(0,(1-S814/'01_설정'!B6))*'01_설정'!B15+MAX(0,(1-T814/'01_설정'!B7))*'01_설정'!B16+MAX(0,(1-U814/'01_설정'!B8))*'01_설정'!B17+O814*'01_설정'!B11+Q814*'01_설정'!B12+P814*'01_설정'!B13+IF(Z814="",0,Z814))</f>
        <v/>
      </c>
      <c r="X814" s="152">
        <f>IF(W814="","",1+COUNTIFS($W$4:$W$3003,"&gt;"&amp;W814)+COUNTIFS($W$4:W814,W814)-1)</f>
        <v/>
      </c>
      <c r="Y814" s="175">
        <f>IF(OR(I814="",'02_대상물건입력'!B19="",'02_대상물건입력'!B19&lt;=0),"",ABS(I814-'02_대상물건입력'!B19)/'02_대상물건입력'!B19)</f>
        <v/>
      </c>
      <c r="Z814" s="172">
        <f>IF(OR(Y814="",'01_설정'!B31="",'01_설정'!B31&lt;=0,'01_설정'!B32="",'01_설정'!B32&lt;=0),"",MAX(0,(1-Y814/'01_설정'!B32))*'01_설정'!B31)</f>
        <v/>
      </c>
    </row>
    <row r="815" ht="17.25" customHeight="1">
      <c r="A815" s="152">
        <f>IF(INDEX('04A_국토부원자료'!$A:$A,ROW()+1)="","",ROW()-3)</f>
        <v/>
      </c>
      <c r="B815" s="48">
        <f>IFERROR(INDEX('04A_국토부원자료'!$A:$T,ROW()+1,MATCH("시군구",'04A_국토부원자료'!$A$4:$T$4,0)),"")</f>
        <v/>
      </c>
      <c r="C815" s="48">
        <f>IF(B815="","",IFERROR(INDEX('04A_국토부원자료'!$A:$T,ROW()+1,MATCH("번지",'04A_국토부원자료'!$A$4:$T$4,0)),""))</f>
        <v/>
      </c>
      <c r="D815" s="48">
        <f>IF(B815="","",IF(Q815=1,'02_대상물건입력'!$B$8,IFERROR(INDEX('04A_국토부원자료'!$A:$T,ROW()+1,MATCH("단지명",'04A_국토부원자료'!$A$4:$T$4,0)),"")))</f>
        <v/>
      </c>
      <c r="E815" s="172">
        <f>IFERROR(VALUE(SUBSTITUTE(INDEX('04A_국토부원자료'!$A:$T,ROW()+1,MATCH("전용면적(㎡)",'04A_국토부원자료'!$A$4:$T$4,0)),",","")),"")</f>
        <v/>
      </c>
      <c r="F8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15" s="51">
        <f>IFERROR(VALUE(SUBSTITUTE(INDEX('04A_국토부원자료'!$A:$T,ROW()+1,MATCH("거래금액(만원)",'04A_국토부원자료'!$A$4:$T$4,0)),",","")),"")</f>
        <v/>
      </c>
      <c r="H815" s="174">
        <f>IF(G815="","",G815*10000)</f>
        <v/>
      </c>
      <c r="I815" s="174">
        <f>IFERROR(IF(AND(H815&gt;0,E815&gt;0),H815/E815,""),"")</f>
        <v/>
      </c>
      <c r="J815" s="152">
        <f>IFERROR(VALUE(SUBSTITUTE(INDEX('04A_국토부원자료'!$A:$T,ROW()+1,MATCH("층",'04A_국토부원자료'!$A$4:$T$4,0)),",","")),"")</f>
        <v/>
      </c>
      <c r="K815" s="152">
        <f>IFERROR(VALUE(SUBSTITUTE(INDEX('04A_국토부원자료'!$A:$T,ROW()+1,MATCH("건축년도",'04A_국토부원자료'!$A$4:$T$4,0)),",","")),"")</f>
        <v/>
      </c>
      <c r="L815" s="176">
        <f>IFERROR(INDEX('04A_국토부원자료'!$A:$T,ROW()+1,MATCH("도로명",'04A_국토부원자료'!$A$4:$T$4,0)),"")</f>
        <v/>
      </c>
      <c r="M815" s="48">
        <f>IFERROR(INDEX('04A_국토부원자료'!$A:$T,ROW()+1,MATCH("거래유형",'04A_국토부원자료'!$A$4:$T$4,0)),"")</f>
        <v/>
      </c>
      <c r="N815" s="152">
        <f>IF(B815="","",IF('02_대상물건입력'!B5="",1,IF(ISNUMBER(SEARCH('02_대상물건입력'!B5,B815)),1,0)))</f>
        <v/>
      </c>
      <c r="O815" s="152">
        <f>IF(B815="","",IF('02_대상물건입력'!B6="",1,IF(ISNUMBER(SEARCH('02_대상물건입력'!B6,B815)),1,0)))</f>
        <v/>
      </c>
      <c r="P815" s="152">
        <f>IF(L815="","",IF('02_대상물건입력'!B15="",0,IF(ISNUMBER(SEARCH('02_대상물건입력'!B15,L815)),1,0)))</f>
        <v/>
      </c>
      <c r="Q815" s="152">
        <f>IF(OR(C815="",L815=""),0,IF(AND(TRIM(C815)=TRIM(RIGHT(SUBSTITUTE(TRIM('02_대상물건입력'!$B$7)," ",REPT(" ",99)),99)),IF('02_대상물건입력'!B15="",TRUE(),ISNUMBER(SEARCH('02_대상물건입력'!B15,L815)))),1,0))</f>
        <v/>
      </c>
      <c r="R815" s="175">
        <f>IFERROR(ABS(E815-'02_대상물건입력'!B11)/'02_대상물건입력'!B11,"")</f>
        <v/>
      </c>
      <c r="S815" s="152">
        <f>IFERROR(ABS(J815-'02_대상물건입력'!B10),"")</f>
        <v/>
      </c>
      <c r="T815" s="152">
        <f>IFERROR(ABS('01_설정'!B4-F815),"")</f>
        <v/>
      </c>
      <c r="U815" s="152">
        <f>IFERROR(ABS(K815-YEAR('02_대상물건입력'!B14)),"")</f>
        <v/>
      </c>
      <c r="V815" s="152">
        <f>IF(B815="","",IF(AND(E815&gt;0,F815&gt;0,H815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815=1,TRUE()),R815&lt;='01_설정'!B5,S815&lt;='01_설정'!B6,T815&lt;='01_설정'!B7,U815&lt;='01_설정'!B8),"Y",""))</f>
        <v/>
      </c>
      <c r="W815" s="172">
        <f>IF(V815&lt;&gt;"Y","",MAX(0,(1-R815/'01_설정'!B5))*'01_설정'!B14+MAX(0,(1-S815/'01_설정'!B6))*'01_설정'!B15+MAX(0,(1-T815/'01_설정'!B7))*'01_설정'!B16+MAX(0,(1-U815/'01_설정'!B8))*'01_설정'!B17+O815*'01_설정'!B11+Q815*'01_설정'!B12+P815*'01_설정'!B13+IF(Z815="",0,Z815))</f>
        <v/>
      </c>
      <c r="X815" s="152">
        <f>IF(W815="","",1+COUNTIFS($W$4:$W$3003,"&gt;"&amp;W815)+COUNTIFS($W$4:W815,W815)-1)</f>
        <v/>
      </c>
      <c r="Y815" s="175">
        <f>IF(OR(I815="",'02_대상물건입력'!B19="",'02_대상물건입력'!B19&lt;=0),"",ABS(I815-'02_대상물건입력'!B19)/'02_대상물건입력'!B19)</f>
        <v/>
      </c>
      <c r="Z815" s="172">
        <f>IF(OR(Y815="",'01_설정'!B31="",'01_설정'!B31&lt;=0,'01_설정'!B32="",'01_설정'!B32&lt;=0),"",MAX(0,(1-Y815/'01_설정'!B32))*'01_설정'!B31)</f>
        <v/>
      </c>
    </row>
    <row r="816" ht="17.25" customHeight="1">
      <c r="A816" s="152">
        <f>IF(INDEX('04A_국토부원자료'!$A:$A,ROW()+1)="","",ROW()-3)</f>
        <v/>
      </c>
      <c r="B816" s="48">
        <f>IFERROR(INDEX('04A_국토부원자료'!$A:$T,ROW()+1,MATCH("시군구",'04A_국토부원자료'!$A$4:$T$4,0)),"")</f>
        <v/>
      </c>
      <c r="C816" s="48">
        <f>IF(B816="","",IFERROR(INDEX('04A_국토부원자료'!$A:$T,ROW()+1,MATCH("번지",'04A_국토부원자료'!$A$4:$T$4,0)),""))</f>
        <v/>
      </c>
      <c r="D816" s="48">
        <f>IF(B816="","",IF(Q816=1,'02_대상물건입력'!$B$8,IFERROR(INDEX('04A_국토부원자료'!$A:$T,ROW()+1,MATCH("단지명",'04A_국토부원자료'!$A$4:$T$4,0)),"")))</f>
        <v/>
      </c>
      <c r="E816" s="172">
        <f>IFERROR(VALUE(SUBSTITUTE(INDEX('04A_국토부원자료'!$A:$T,ROW()+1,MATCH("전용면적(㎡)",'04A_국토부원자료'!$A$4:$T$4,0)),",","")),"")</f>
        <v/>
      </c>
      <c r="F8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16" s="51">
        <f>IFERROR(VALUE(SUBSTITUTE(INDEX('04A_국토부원자료'!$A:$T,ROW()+1,MATCH("거래금액(만원)",'04A_국토부원자료'!$A$4:$T$4,0)),",","")),"")</f>
        <v/>
      </c>
      <c r="H816" s="174">
        <f>IF(G816="","",G816*10000)</f>
        <v/>
      </c>
      <c r="I816" s="174">
        <f>IFERROR(IF(AND(H816&gt;0,E816&gt;0),H816/E816,""),"")</f>
        <v/>
      </c>
      <c r="J816" s="152">
        <f>IFERROR(VALUE(SUBSTITUTE(INDEX('04A_국토부원자료'!$A:$T,ROW()+1,MATCH("층",'04A_국토부원자료'!$A$4:$T$4,0)),",","")),"")</f>
        <v/>
      </c>
      <c r="K816" s="152">
        <f>IFERROR(VALUE(SUBSTITUTE(INDEX('04A_국토부원자료'!$A:$T,ROW()+1,MATCH("건축년도",'04A_국토부원자료'!$A$4:$T$4,0)),",","")),"")</f>
        <v/>
      </c>
      <c r="L816" s="176">
        <f>IFERROR(INDEX('04A_국토부원자료'!$A:$T,ROW()+1,MATCH("도로명",'04A_국토부원자료'!$A$4:$T$4,0)),"")</f>
        <v/>
      </c>
      <c r="M816" s="48">
        <f>IFERROR(INDEX('04A_국토부원자료'!$A:$T,ROW()+1,MATCH("거래유형",'04A_국토부원자료'!$A$4:$T$4,0)),"")</f>
        <v/>
      </c>
      <c r="N816" s="152">
        <f>IF(B816="","",IF('02_대상물건입력'!B5="",1,IF(ISNUMBER(SEARCH('02_대상물건입력'!B5,B816)),1,0)))</f>
        <v/>
      </c>
      <c r="O816" s="152">
        <f>IF(B816="","",IF('02_대상물건입력'!B6="",1,IF(ISNUMBER(SEARCH('02_대상물건입력'!B6,B816)),1,0)))</f>
        <v/>
      </c>
      <c r="P816" s="152">
        <f>IF(L816="","",IF('02_대상물건입력'!B15="",0,IF(ISNUMBER(SEARCH('02_대상물건입력'!B15,L816)),1,0)))</f>
        <v/>
      </c>
      <c r="Q816" s="152">
        <f>IF(OR(C816="",L816=""),0,IF(AND(TRIM(C816)=TRIM(RIGHT(SUBSTITUTE(TRIM('02_대상물건입력'!$B$7)," ",REPT(" ",99)),99)),IF('02_대상물건입력'!B15="",TRUE(),ISNUMBER(SEARCH('02_대상물건입력'!B15,L816)))),1,0))</f>
        <v/>
      </c>
      <c r="R816" s="175">
        <f>IFERROR(ABS(E816-'02_대상물건입력'!B11)/'02_대상물건입력'!B11,"")</f>
        <v/>
      </c>
      <c r="S816" s="152">
        <f>IFERROR(ABS(J816-'02_대상물건입력'!B10),"")</f>
        <v/>
      </c>
      <c r="T816" s="152">
        <f>IFERROR(ABS('01_설정'!B4-F816),"")</f>
        <v/>
      </c>
      <c r="U816" s="152">
        <f>IFERROR(ABS(K816-YEAR('02_대상물건입력'!B14)),"")</f>
        <v/>
      </c>
      <c r="V816" s="152">
        <f>IF(B816="","",IF(AND(E816&gt;0,F816&gt;0,H816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816=1,TRUE()),R816&lt;='01_설정'!B5,S816&lt;='01_설정'!B6,T816&lt;='01_설정'!B7,U816&lt;='01_설정'!B8),"Y",""))</f>
        <v/>
      </c>
      <c r="W816" s="172">
        <f>IF(V816&lt;&gt;"Y","",MAX(0,(1-R816/'01_설정'!B5))*'01_설정'!B14+MAX(0,(1-S816/'01_설정'!B6))*'01_설정'!B15+MAX(0,(1-T816/'01_설정'!B7))*'01_설정'!B16+MAX(0,(1-U816/'01_설정'!B8))*'01_설정'!B17+O816*'01_설정'!B11+Q816*'01_설정'!B12+P816*'01_설정'!B13+IF(Z816="",0,Z816))</f>
        <v/>
      </c>
      <c r="X816" s="152">
        <f>IF(W816="","",1+COUNTIFS($W$4:$W$3003,"&gt;"&amp;W816)+COUNTIFS($W$4:W816,W816)-1)</f>
        <v/>
      </c>
      <c r="Y816" s="175">
        <f>IF(OR(I816="",'02_대상물건입력'!B19="",'02_대상물건입력'!B19&lt;=0),"",ABS(I816-'02_대상물건입력'!B19)/'02_대상물건입력'!B19)</f>
        <v/>
      </c>
      <c r="Z816" s="172">
        <f>IF(OR(Y816="",'01_설정'!B31="",'01_설정'!B31&lt;=0,'01_설정'!B32="",'01_설정'!B32&lt;=0),"",MAX(0,(1-Y816/'01_설정'!B32))*'01_설정'!B31)</f>
        <v/>
      </c>
    </row>
    <row r="817" ht="17.25" customHeight="1">
      <c r="A817" s="152">
        <f>IF(INDEX('04A_국토부원자료'!$A:$A,ROW()+1)="","",ROW()-3)</f>
        <v/>
      </c>
      <c r="B817" s="48">
        <f>IFERROR(INDEX('04A_국토부원자료'!$A:$T,ROW()+1,MATCH("시군구",'04A_국토부원자료'!$A$4:$T$4,0)),"")</f>
        <v/>
      </c>
      <c r="C817" s="48">
        <f>IF(B817="","",IFERROR(INDEX('04A_국토부원자료'!$A:$T,ROW()+1,MATCH("번지",'04A_국토부원자료'!$A$4:$T$4,0)),""))</f>
        <v/>
      </c>
      <c r="D817" s="48">
        <f>IF(B817="","",IF(Q817=1,'02_대상물건입력'!$B$8,IFERROR(INDEX('04A_국토부원자료'!$A:$T,ROW()+1,MATCH("단지명",'04A_국토부원자료'!$A$4:$T$4,0)),"")))</f>
        <v/>
      </c>
      <c r="E817" s="172">
        <f>IFERROR(VALUE(SUBSTITUTE(INDEX('04A_국토부원자료'!$A:$T,ROW()+1,MATCH("전용면적(㎡)",'04A_국토부원자료'!$A$4:$T$4,0)),",","")),"")</f>
        <v/>
      </c>
      <c r="F8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17" s="51">
        <f>IFERROR(VALUE(SUBSTITUTE(INDEX('04A_국토부원자료'!$A:$T,ROW()+1,MATCH("거래금액(만원)",'04A_국토부원자료'!$A$4:$T$4,0)),",","")),"")</f>
        <v/>
      </c>
      <c r="H817" s="174">
        <f>IF(G817="","",G817*10000)</f>
        <v/>
      </c>
      <c r="I817" s="174">
        <f>IFERROR(IF(AND(H817&gt;0,E817&gt;0),H817/E817,""),"")</f>
        <v/>
      </c>
      <c r="J817" s="152">
        <f>IFERROR(VALUE(SUBSTITUTE(INDEX('04A_국토부원자료'!$A:$T,ROW()+1,MATCH("층",'04A_국토부원자료'!$A$4:$T$4,0)),",","")),"")</f>
        <v/>
      </c>
      <c r="K817" s="152">
        <f>IFERROR(VALUE(SUBSTITUTE(INDEX('04A_국토부원자료'!$A:$T,ROW()+1,MATCH("건축년도",'04A_국토부원자료'!$A$4:$T$4,0)),",","")),"")</f>
        <v/>
      </c>
      <c r="L817" s="176">
        <f>IFERROR(INDEX('04A_국토부원자료'!$A:$T,ROW()+1,MATCH("도로명",'04A_국토부원자료'!$A$4:$T$4,0)),"")</f>
        <v/>
      </c>
      <c r="M817" s="48">
        <f>IFERROR(INDEX('04A_국토부원자료'!$A:$T,ROW()+1,MATCH("거래유형",'04A_국토부원자료'!$A$4:$T$4,0)),"")</f>
        <v/>
      </c>
      <c r="N817" s="152">
        <f>IF(B817="","",IF('02_대상물건입력'!B5="",1,IF(ISNUMBER(SEARCH('02_대상물건입력'!B5,B817)),1,0)))</f>
        <v/>
      </c>
      <c r="O817" s="152">
        <f>IF(B817="","",IF('02_대상물건입력'!B6="",1,IF(ISNUMBER(SEARCH('02_대상물건입력'!B6,B817)),1,0)))</f>
        <v/>
      </c>
      <c r="P817" s="152">
        <f>IF(L817="","",IF('02_대상물건입력'!B15="",0,IF(ISNUMBER(SEARCH('02_대상물건입력'!B15,L817)),1,0)))</f>
        <v/>
      </c>
      <c r="Q817" s="152">
        <f>IF(OR(C817="",L817=""),0,IF(AND(TRIM(C817)=TRIM(RIGHT(SUBSTITUTE(TRIM('02_대상물건입력'!$B$7)," ",REPT(" ",99)),99)),IF('02_대상물건입력'!B15="",TRUE(),ISNUMBER(SEARCH('02_대상물건입력'!B15,L817)))),1,0))</f>
        <v/>
      </c>
      <c r="R817" s="175">
        <f>IFERROR(ABS(E817-'02_대상물건입력'!B11)/'02_대상물건입력'!B11,"")</f>
        <v/>
      </c>
      <c r="S817" s="152">
        <f>IFERROR(ABS(J817-'02_대상물건입력'!B10),"")</f>
        <v/>
      </c>
      <c r="T817" s="152">
        <f>IFERROR(ABS('01_설정'!B4-F817),"")</f>
        <v/>
      </c>
      <c r="U817" s="152">
        <f>IFERROR(ABS(K817-YEAR('02_대상물건입력'!B14)),"")</f>
        <v/>
      </c>
      <c r="V817" s="152">
        <f>IF(B817="","",IF(AND(E817&gt;0,F817&gt;0,H817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817=1,TRUE()),R817&lt;='01_설정'!B5,S817&lt;='01_설정'!B6,T817&lt;='01_설정'!B7,U817&lt;='01_설정'!B8),"Y",""))</f>
        <v/>
      </c>
      <c r="W817" s="172">
        <f>IF(V817&lt;&gt;"Y","",MAX(0,(1-R817/'01_설정'!B5))*'01_설정'!B14+MAX(0,(1-S817/'01_설정'!B6))*'01_설정'!B15+MAX(0,(1-T817/'01_설정'!B7))*'01_설정'!B16+MAX(0,(1-U817/'01_설정'!B8))*'01_설정'!B17+O817*'01_설정'!B11+Q817*'01_설정'!B12+P817*'01_설정'!B13+IF(Z817="",0,Z817))</f>
        <v/>
      </c>
      <c r="X817" s="152">
        <f>IF(W817="","",1+COUNTIFS($W$4:$W$3003,"&gt;"&amp;W817)+COUNTIFS($W$4:W817,W817)-1)</f>
        <v/>
      </c>
      <c r="Y817" s="175">
        <f>IF(OR(I817="",'02_대상물건입력'!B19="",'02_대상물건입력'!B19&lt;=0),"",ABS(I817-'02_대상물건입력'!B19)/'02_대상물건입력'!B19)</f>
        <v/>
      </c>
      <c r="Z817" s="172">
        <f>IF(OR(Y817="",'01_설정'!B31="",'01_설정'!B31&lt;=0,'01_설정'!B32="",'01_설정'!B32&lt;=0),"",MAX(0,(1-Y817/'01_설정'!B32))*'01_설정'!B31)</f>
        <v/>
      </c>
    </row>
    <row r="818" ht="17.25" customHeight="1">
      <c r="A818" s="152">
        <f>IF(INDEX('04A_국토부원자료'!$A:$A,ROW()+1)="","",ROW()-3)</f>
        <v/>
      </c>
      <c r="B818" s="48">
        <f>IFERROR(INDEX('04A_국토부원자료'!$A:$T,ROW()+1,MATCH("시군구",'04A_국토부원자료'!$A$4:$T$4,0)),"")</f>
        <v/>
      </c>
      <c r="C818" s="48">
        <f>IF(B818="","",IFERROR(INDEX('04A_국토부원자료'!$A:$T,ROW()+1,MATCH("번지",'04A_국토부원자료'!$A$4:$T$4,0)),""))</f>
        <v/>
      </c>
      <c r="D818" s="48">
        <f>IF(B818="","",IF(Q818=1,'02_대상물건입력'!$B$8,IFERROR(INDEX('04A_국토부원자료'!$A:$T,ROW()+1,MATCH("단지명",'04A_국토부원자료'!$A$4:$T$4,0)),"")))</f>
        <v/>
      </c>
      <c r="E818" s="172">
        <f>IFERROR(VALUE(SUBSTITUTE(INDEX('04A_국토부원자료'!$A:$T,ROW()+1,MATCH("전용면적(㎡)",'04A_국토부원자료'!$A$4:$T$4,0)),",","")),"")</f>
        <v/>
      </c>
      <c r="F8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18" s="51">
        <f>IFERROR(VALUE(SUBSTITUTE(INDEX('04A_국토부원자료'!$A:$T,ROW()+1,MATCH("거래금액(만원)",'04A_국토부원자료'!$A$4:$T$4,0)),",","")),"")</f>
        <v/>
      </c>
      <c r="H818" s="174">
        <f>IF(G818="","",G818*10000)</f>
        <v/>
      </c>
      <c r="I818" s="174">
        <f>IFERROR(IF(AND(H818&gt;0,E818&gt;0),H818/E818,""),"")</f>
        <v/>
      </c>
      <c r="J818" s="152">
        <f>IFERROR(VALUE(SUBSTITUTE(INDEX('04A_국토부원자료'!$A:$T,ROW()+1,MATCH("층",'04A_국토부원자료'!$A$4:$T$4,0)),",","")),"")</f>
        <v/>
      </c>
      <c r="K818" s="152">
        <f>IFERROR(VALUE(SUBSTITUTE(INDEX('04A_국토부원자료'!$A:$T,ROW()+1,MATCH("건축년도",'04A_국토부원자료'!$A$4:$T$4,0)),",","")),"")</f>
        <v/>
      </c>
      <c r="L818" s="176">
        <f>IFERROR(INDEX('04A_국토부원자료'!$A:$T,ROW()+1,MATCH("도로명",'04A_국토부원자료'!$A$4:$T$4,0)),"")</f>
        <v/>
      </c>
      <c r="M818" s="48">
        <f>IFERROR(INDEX('04A_국토부원자료'!$A:$T,ROW()+1,MATCH("거래유형",'04A_국토부원자료'!$A$4:$T$4,0)),"")</f>
        <v/>
      </c>
      <c r="N818" s="152">
        <f>IF(B818="","",IF('02_대상물건입력'!B5="",1,IF(ISNUMBER(SEARCH('02_대상물건입력'!B5,B818)),1,0)))</f>
        <v/>
      </c>
      <c r="O818" s="152">
        <f>IF(B818="","",IF('02_대상물건입력'!B6="",1,IF(ISNUMBER(SEARCH('02_대상물건입력'!B6,B818)),1,0)))</f>
        <v/>
      </c>
      <c r="P818" s="152">
        <f>IF(L818="","",IF('02_대상물건입력'!B15="",0,IF(ISNUMBER(SEARCH('02_대상물건입력'!B15,L818)),1,0)))</f>
        <v/>
      </c>
      <c r="Q818" s="152">
        <f>IF(OR(C818="",L818=""),0,IF(AND(TRIM(C818)=TRIM(RIGHT(SUBSTITUTE(TRIM('02_대상물건입력'!$B$7)," ",REPT(" ",99)),99)),IF('02_대상물건입력'!B15="",TRUE(),ISNUMBER(SEARCH('02_대상물건입력'!B15,L818)))),1,0))</f>
        <v/>
      </c>
      <c r="R818" s="175">
        <f>IFERROR(ABS(E818-'02_대상물건입력'!B11)/'02_대상물건입력'!B11,"")</f>
        <v/>
      </c>
      <c r="S818" s="152">
        <f>IFERROR(ABS(J818-'02_대상물건입력'!B10),"")</f>
        <v/>
      </c>
      <c r="T818" s="152">
        <f>IFERROR(ABS('01_설정'!B4-F818),"")</f>
        <v/>
      </c>
      <c r="U818" s="152">
        <f>IFERROR(ABS(K818-YEAR('02_대상물건입력'!B14)),"")</f>
        <v/>
      </c>
      <c r="V818" s="152">
        <f>IF(B818="","",IF(AND(E818&gt;0,F818&gt;0,H818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818=1,TRUE()),R818&lt;='01_설정'!B5,S818&lt;='01_설정'!B6,T818&lt;='01_설정'!B7,U818&lt;='01_설정'!B8),"Y",""))</f>
        <v/>
      </c>
      <c r="W818" s="172">
        <f>IF(V818&lt;&gt;"Y","",MAX(0,(1-R818/'01_설정'!B5))*'01_설정'!B14+MAX(0,(1-S818/'01_설정'!B6))*'01_설정'!B15+MAX(0,(1-T818/'01_설정'!B7))*'01_설정'!B16+MAX(0,(1-U818/'01_설정'!B8))*'01_설정'!B17+O818*'01_설정'!B11+Q818*'01_설정'!B12+P818*'01_설정'!B13+IF(Z818="",0,Z818))</f>
        <v/>
      </c>
      <c r="X818" s="152">
        <f>IF(W818="","",1+COUNTIFS($W$4:$W$3003,"&gt;"&amp;W818)+COUNTIFS($W$4:W818,W818)-1)</f>
        <v/>
      </c>
      <c r="Y818" s="175">
        <f>IF(OR(I818="",'02_대상물건입력'!B19="",'02_대상물건입력'!B19&lt;=0),"",ABS(I818-'02_대상물건입력'!B19)/'02_대상물건입력'!B19)</f>
        <v/>
      </c>
      <c r="Z818" s="172">
        <f>IF(OR(Y818="",'01_설정'!B31="",'01_설정'!B31&lt;=0,'01_설정'!B32="",'01_설정'!B32&lt;=0),"",MAX(0,(1-Y818/'01_설정'!B32))*'01_설정'!B31)</f>
        <v/>
      </c>
    </row>
    <row r="819" ht="17.25" customHeight="1">
      <c r="A819" s="152">
        <f>IF(INDEX('04A_국토부원자료'!$A:$A,ROW()+1)="","",ROW()-3)</f>
        <v/>
      </c>
      <c r="B819" s="48">
        <f>IFERROR(INDEX('04A_국토부원자료'!$A:$T,ROW()+1,MATCH("시군구",'04A_국토부원자료'!$A$4:$T$4,0)),"")</f>
        <v/>
      </c>
      <c r="C819" s="48">
        <f>IF(B819="","",IFERROR(INDEX('04A_국토부원자료'!$A:$T,ROW()+1,MATCH("번지",'04A_국토부원자료'!$A$4:$T$4,0)),""))</f>
        <v/>
      </c>
      <c r="D819" s="48">
        <f>IF(B819="","",IF(Q819=1,'02_대상물건입력'!$B$8,IFERROR(INDEX('04A_국토부원자료'!$A:$T,ROW()+1,MATCH("단지명",'04A_국토부원자료'!$A$4:$T$4,0)),"")))</f>
        <v/>
      </c>
      <c r="E819" s="172">
        <f>IFERROR(VALUE(SUBSTITUTE(INDEX('04A_국토부원자료'!$A:$T,ROW()+1,MATCH("전용면적(㎡)",'04A_국토부원자료'!$A$4:$T$4,0)),",","")),"")</f>
        <v/>
      </c>
      <c r="F8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19" s="51">
        <f>IFERROR(VALUE(SUBSTITUTE(INDEX('04A_국토부원자료'!$A:$T,ROW()+1,MATCH("거래금액(만원)",'04A_국토부원자료'!$A$4:$T$4,0)),",","")),"")</f>
        <v/>
      </c>
      <c r="H819" s="174">
        <f>IF(G819="","",G819*10000)</f>
        <v/>
      </c>
      <c r="I819" s="174">
        <f>IFERROR(IF(AND(H819&gt;0,E819&gt;0),H819/E819,""),"")</f>
        <v/>
      </c>
      <c r="J819" s="152">
        <f>IFERROR(VALUE(SUBSTITUTE(INDEX('04A_국토부원자료'!$A:$T,ROW()+1,MATCH("층",'04A_국토부원자료'!$A$4:$T$4,0)),",","")),"")</f>
        <v/>
      </c>
      <c r="K819" s="152">
        <f>IFERROR(VALUE(SUBSTITUTE(INDEX('04A_국토부원자료'!$A:$T,ROW()+1,MATCH("건축년도",'04A_국토부원자료'!$A$4:$T$4,0)),",","")),"")</f>
        <v/>
      </c>
      <c r="L819" s="176">
        <f>IFERROR(INDEX('04A_국토부원자료'!$A:$T,ROW()+1,MATCH("도로명",'04A_국토부원자료'!$A$4:$T$4,0)),"")</f>
        <v/>
      </c>
      <c r="M819" s="48">
        <f>IFERROR(INDEX('04A_국토부원자료'!$A:$T,ROW()+1,MATCH("거래유형",'04A_국토부원자료'!$A$4:$T$4,0)),"")</f>
        <v/>
      </c>
      <c r="N819" s="152">
        <f>IF(B819="","",IF('02_대상물건입력'!B5="",1,IF(ISNUMBER(SEARCH('02_대상물건입력'!B5,B819)),1,0)))</f>
        <v/>
      </c>
      <c r="O819" s="152">
        <f>IF(B819="","",IF('02_대상물건입력'!B6="",1,IF(ISNUMBER(SEARCH('02_대상물건입력'!B6,B819)),1,0)))</f>
        <v/>
      </c>
      <c r="P819" s="152">
        <f>IF(L819="","",IF('02_대상물건입력'!B15="",0,IF(ISNUMBER(SEARCH('02_대상물건입력'!B15,L819)),1,0)))</f>
        <v/>
      </c>
      <c r="Q819" s="152">
        <f>IF(OR(C819="",L819=""),0,IF(AND(TRIM(C819)=TRIM(RIGHT(SUBSTITUTE(TRIM('02_대상물건입력'!$B$7)," ",REPT(" ",99)),99)),IF('02_대상물건입력'!B15="",TRUE(),ISNUMBER(SEARCH('02_대상물건입력'!B15,L819)))),1,0))</f>
        <v/>
      </c>
      <c r="R819" s="175">
        <f>IFERROR(ABS(E819-'02_대상물건입력'!B11)/'02_대상물건입력'!B11,"")</f>
        <v/>
      </c>
      <c r="S819" s="152">
        <f>IFERROR(ABS(J819-'02_대상물건입력'!B10),"")</f>
        <v/>
      </c>
      <c r="T819" s="152">
        <f>IFERROR(ABS('01_설정'!B4-F819),"")</f>
        <v/>
      </c>
      <c r="U819" s="152">
        <f>IFERROR(ABS(K819-YEAR('02_대상물건입력'!B14)),"")</f>
        <v/>
      </c>
      <c r="V819" s="152">
        <f>IF(B819="","",IF(AND(E819&gt;0,F819&gt;0,H819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819=1,TRUE()),R819&lt;='01_설정'!B5,S819&lt;='01_설정'!B6,T819&lt;='01_설정'!B7,U819&lt;='01_설정'!B8),"Y",""))</f>
        <v/>
      </c>
      <c r="W819" s="172">
        <f>IF(V819&lt;&gt;"Y","",MAX(0,(1-R819/'01_설정'!B5))*'01_설정'!B14+MAX(0,(1-S819/'01_설정'!B6))*'01_설정'!B15+MAX(0,(1-T819/'01_설정'!B7))*'01_설정'!B16+MAX(0,(1-U819/'01_설정'!B8))*'01_설정'!B17+O819*'01_설정'!B11+Q819*'01_설정'!B12+P819*'01_설정'!B13+IF(Z819="",0,Z819))</f>
        <v/>
      </c>
      <c r="X819" s="152">
        <f>IF(W819="","",1+COUNTIFS($W$4:$W$3003,"&gt;"&amp;W819)+COUNTIFS($W$4:W819,W819)-1)</f>
        <v/>
      </c>
      <c r="Y819" s="175">
        <f>IF(OR(I819="",'02_대상물건입력'!B19="",'02_대상물건입력'!B19&lt;=0),"",ABS(I819-'02_대상물건입력'!B19)/'02_대상물건입력'!B19)</f>
        <v/>
      </c>
      <c r="Z819" s="172">
        <f>IF(OR(Y819="",'01_설정'!B31="",'01_설정'!B31&lt;=0,'01_설정'!B32="",'01_설정'!B32&lt;=0),"",MAX(0,(1-Y819/'01_설정'!B32))*'01_설정'!B31)</f>
        <v/>
      </c>
    </row>
    <row r="820" ht="17.25" customHeight="1">
      <c r="A820" s="152">
        <f>IF(INDEX('04A_국토부원자료'!$A:$A,ROW()+1)="","",ROW()-3)</f>
        <v/>
      </c>
      <c r="B820" s="48">
        <f>IFERROR(INDEX('04A_국토부원자료'!$A:$T,ROW()+1,MATCH("시군구",'04A_국토부원자료'!$A$4:$T$4,0)),"")</f>
        <v/>
      </c>
      <c r="C820" s="48">
        <f>IF(B820="","",IFERROR(INDEX('04A_국토부원자료'!$A:$T,ROW()+1,MATCH("번지",'04A_국토부원자료'!$A$4:$T$4,0)),""))</f>
        <v/>
      </c>
      <c r="D820" s="48">
        <f>IF(B820="","",IF(Q820=1,'02_대상물건입력'!$B$8,IFERROR(INDEX('04A_국토부원자료'!$A:$T,ROW()+1,MATCH("단지명",'04A_국토부원자료'!$A$4:$T$4,0)),"")))</f>
        <v/>
      </c>
      <c r="E820" s="172">
        <f>IFERROR(VALUE(SUBSTITUTE(INDEX('04A_국토부원자료'!$A:$T,ROW()+1,MATCH("전용면적(㎡)",'04A_국토부원자료'!$A$4:$T$4,0)),",","")),"")</f>
        <v/>
      </c>
      <c r="F8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20" s="51">
        <f>IFERROR(VALUE(SUBSTITUTE(INDEX('04A_국토부원자료'!$A:$T,ROW()+1,MATCH("거래금액(만원)",'04A_국토부원자료'!$A$4:$T$4,0)),",","")),"")</f>
        <v/>
      </c>
      <c r="H820" s="174">
        <f>IF(G820="","",G820*10000)</f>
        <v/>
      </c>
      <c r="I820" s="174">
        <f>IFERROR(IF(AND(H820&gt;0,E820&gt;0),H820/E820,""),"")</f>
        <v/>
      </c>
      <c r="J820" s="152">
        <f>IFERROR(VALUE(SUBSTITUTE(INDEX('04A_국토부원자료'!$A:$T,ROW()+1,MATCH("층",'04A_국토부원자료'!$A$4:$T$4,0)),",","")),"")</f>
        <v/>
      </c>
      <c r="K820" s="152">
        <f>IFERROR(VALUE(SUBSTITUTE(INDEX('04A_국토부원자료'!$A:$T,ROW()+1,MATCH("건축년도",'04A_국토부원자료'!$A$4:$T$4,0)),",","")),"")</f>
        <v/>
      </c>
      <c r="L820" s="176">
        <f>IFERROR(INDEX('04A_국토부원자료'!$A:$T,ROW()+1,MATCH("도로명",'04A_국토부원자료'!$A$4:$T$4,0)),"")</f>
        <v/>
      </c>
      <c r="M820" s="48">
        <f>IFERROR(INDEX('04A_국토부원자료'!$A:$T,ROW()+1,MATCH("거래유형",'04A_국토부원자료'!$A$4:$T$4,0)),"")</f>
        <v/>
      </c>
      <c r="N820" s="152">
        <f>IF(B820="","",IF('02_대상물건입력'!B5="",1,IF(ISNUMBER(SEARCH('02_대상물건입력'!B5,B820)),1,0)))</f>
        <v/>
      </c>
      <c r="O820" s="152">
        <f>IF(B820="","",IF('02_대상물건입력'!B6="",1,IF(ISNUMBER(SEARCH('02_대상물건입력'!B6,B820)),1,0)))</f>
        <v/>
      </c>
      <c r="P820" s="152">
        <f>IF(L820="","",IF('02_대상물건입력'!B15="",0,IF(ISNUMBER(SEARCH('02_대상물건입력'!B15,L820)),1,0)))</f>
        <v/>
      </c>
      <c r="Q820" s="152">
        <f>IF(OR(C820="",L820=""),0,IF(AND(TRIM(C820)=TRIM(RIGHT(SUBSTITUTE(TRIM('02_대상물건입력'!$B$7)," ",REPT(" ",99)),99)),IF('02_대상물건입력'!B15="",TRUE(),ISNUMBER(SEARCH('02_대상물건입력'!B15,L820)))),1,0))</f>
        <v/>
      </c>
      <c r="R820" s="175">
        <f>IFERROR(ABS(E820-'02_대상물건입력'!B11)/'02_대상물건입력'!B11,"")</f>
        <v/>
      </c>
      <c r="S820" s="152">
        <f>IFERROR(ABS(J820-'02_대상물건입력'!B10),"")</f>
        <v/>
      </c>
      <c r="T820" s="152">
        <f>IFERROR(ABS('01_설정'!B4-F820),"")</f>
        <v/>
      </c>
      <c r="U820" s="152">
        <f>IFERROR(ABS(K820-YEAR('02_대상물건입력'!B14)),"")</f>
        <v/>
      </c>
      <c r="V820" s="152">
        <f>IF(B820="","",IF(AND(E820&gt;0,F820&gt;0,H820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820=1,TRUE()),R820&lt;='01_설정'!B5,S820&lt;='01_설정'!B6,T820&lt;='01_설정'!B7,U820&lt;='01_설정'!B8),"Y",""))</f>
        <v/>
      </c>
      <c r="W820" s="172">
        <f>IF(V820&lt;&gt;"Y","",MAX(0,(1-R820/'01_설정'!B5))*'01_설정'!B14+MAX(0,(1-S820/'01_설정'!B6))*'01_설정'!B15+MAX(0,(1-T820/'01_설정'!B7))*'01_설정'!B16+MAX(0,(1-U820/'01_설정'!B8))*'01_설정'!B17+O820*'01_설정'!B11+Q820*'01_설정'!B12+P820*'01_설정'!B13+IF(Z820="",0,Z820))</f>
        <v/>
      </c>
      <c r="X820" s="152">
        <f>IF(W820="","",1+COUNTIFS($W$4:$W$3003,"&gt;"&amp;W820)+COUNTIFS($W$4:W820,W820)-1)</f>
        <v/>
      </c>
      <c r="Y820" s="175">
        <f>IF(OR(I820="",'02_대상물건입력'!B19="",'02_대상물건입력'!B19&lt;=0),"",ABS(I820-'02_대상물건입력'!B19)/'02_대상물건입력'!B19)</f>
        <v/>
      </c>
      <c r="Z820" s="172">
        <f>IF(OR(Y820="",'01_설정'!B31="",'01_설정'!B31&lt;=0,'01_설정'!B32="",'01_설정'!B32&lt;=0),"",MAX(0,(1-Y820/'01_설정'!B32))*'01_설정'!B31)</f>
        <v/>
      </c>
    </row>
    <row r="821" ht="17.25" customHeight="1">
      <c r="A821" s="152">
        <f>IF(INDEX('04A_국토부원자료'!$A:$A,ROW()+1)="","",ROW()-3)</f>
        <v/>
      </c>
      <c r="B821" s="48">
        <f>IFERROR(INDEX('04A_국토부원자료'!$A:$T,ROW()+1,MATCH("시군구",'04A_국토부원자료'!$A$4:$T$4,0)),"")</f>
        <v/>
      </c>
      <c r="C821" s="48">
        <f>IF(B821="","",IFERROR(INDEX('04A_국토부원자료'!$A:$T,ROW()+1,MATCH("번지",'04A_국토부원자료'!$A$4:$T$4,0)),""))</f>
        <v/>
      </c>
      <c r="D821" s="48">
        <f>IF(B821="","",IF(Q821=1,'02_대상물건입력'!$B$8,IFERROR(INDEX('04A_국토부원자료'!$A:$T,ROW()+1,MATCH("단지명",'04A_국토부원자료'!$A$4:$T$4,0)),"")))</f>
        <v/>
      </c>
      <c r="E821" s="172">
        <f>IFERROR(VALUE(SUBSTITUTE(INDEX('04A_국토부원자료'!$A:$T,ROW()+1,MATCH("전용면적(㎡)",'04A_국토부원자료'!$A$4:$T$4,0)),",","")),"")</f>
        <v/>
      </c>
      <c r="F8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21" s="51">
        <f>IFERROR(VALUE(SUBSTITUTE(INDEX('04A_국토부원자료'!$A:$T,ROW()+1,MATCH("거래금액(만원)",'04A_국토부원자료'!$A$4:$T$4,0)),",","")),"")</f>
        <v/>
      </c>
      <c r="H821" s="174">
        <f>IF(G821="","",G821*10000)</f>
        <v/>
      </c>
      <c r="I821" s="174">
        <f>IFERROR(IF(AND(H821&gt;0,E821&gt;0),H821/E821,""),"")</f>
        <v/>
      </c>
      <c r="J821" s="152">
        <f>IFERROR(VALUE(SUBSTITUTE(INDEX('04A_국토부원자료'!$A:$T,ROW()+1,MATCH("층",'04A_국토부원자료'!$A$4:$T$4,0)),",","")),"")</f>
        <v/>
      </c>
      <c r="K821" s="152">
        <f>IFERROR(VALUE(SUBSTITUTE(INDEX('04A_국토부원자료'!$A:$T,ROW()+1,MATCH("건축년도",'04A_국토부원자료'!$A$4:$T$4,0)),",","")),"")</f>
        <v/>
      </c>
      <c r="L821" s="176">
        <f>IFERROR(INDEX('04A_국토부원자료'!$A:$T,ROW()+1,MATCH("도로명",'04A_국토부원자료'!$A$4:$T$4,0)),"")</f>
        <v/>
      </c>
      <c r="M821" s="48">
        <f>IFERROR(INDEX('04A_국토부원자료'!$A:$T,ROW()+1,MATCH("거래유형",'04A_국토부원자료'!$A$4:$T$4,0)),"")</f>
        <v/>
      </c>
      <c r="N821" s="152">
        <f>IF(B821="","",IF('02_대상물건입력'!B5="",1,IF(ISNUMBER(SEARCH('02_대상물건입력'!B5,B821)),1,0)))</f>
        <v/>
      </c>
      <c r="O821" s="152">
        <f>IF(B821="","",IF('02_대상물건입력'!B6="",1,IF(ISNUMBER(SEARCH('02_대상물건입력'!B6,B821)),1,0)))</f>
        <v/>
      </c>
      <c r="P821" s="152">
        <f>IF(L821="","",IF('02_대상물건입력'!B15="",0,IF(ISNUMBER(SEARCH('02_대상물건입력'!B15,L821)),1,0)))</f>
        <v/>
      </c>
      <c r="Q821" s="152">
        <f>IF(OR(C821="",L821=""),0,IF(AND(TRIM(C821)=TRIM(RIGHT(SUBSTITUTE(TRIM('02_대상물건입력'!$B$7)," ",REPT(" ",99)),99)),IF('02_대상물건입력'!B15="",TRUE(),ISNUMBER(SEARCH('02_대상물건입력'!B15,L821)))),1,0))</f>
        <v/>
      </c>
      <c r="R821" s="175">
        <f>IFERROR(ABS(E821-'02_대상물건입력'!B11)/'02_대상물건입력'!B11,"")</f>
        <v/>
      </c>
      <c r="S821" s="152">
        <f>IFERROR(ABS(J821-'02_대상물건입력'!B10),"")</f>
        <v/>
      </c>
      <c r="T821" s="152">
        <f>IFERROR(ABS('01_설정'!B4-F821),"")</f>
        <v/>
      </c>
      <c r="U821" s="152">
        <f>IFERROR(ABS(K821-YEAR('02_대상물건입력'!B14)),"")</f>
        <v/>
      </c>
      <c r="V821" s="152">
        <f>IF(B821="","",IF(AND(E821&gt;0,F821&gt;0,H821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821=1,TRUE()),R821&lt;='01_설정'!B5,S821&lt;='01_설정'!B6,T821&lt;='01_설정'!B7,U821&lt;='01_설정'!B8),"Y",""))</f>
        <v/>
      </c>
      <c r="W821" s="172">
        <f>IF(V821&lt;&gt;"Y","",MAX(0,(1-R821/'01_설정'!B5))*'01_설정'!B14+MAX(0,(1-S821/'01_설정'!B6))*'01_설정'!B15+MAX(0,(1-T821/'01_설정'!B7))*'01_설정'!B16+MAX(0,(1-U821/'01_설정'!B8))*'01_설정'!B17+O821*'01_설정'!B11+Q821*'01_설정'!B12+P821*'01_설정'!B13+IF(Z821="",0,Z821))</f>
        <v/>
      </c>
      <c r="X821" s="152">
        <f>IF(W821="","",1+COUNTIFS($W$4:$W$3003,"&gt;"&amp;W821)+COUNTIFS($W$4:W821,W821)-1)</f>
        <v/>
      </c>
      <c r="Y821" s="175">
        <f>IF(OR(I821="",'02_대상물건입력'!B19="",'02_대상물건입력'!B19&lt;=0),"",ABS(I821-'02_대상물건입력'!B19)/'02_대상물건입력'!B19)</f>
        <v/>
      </c>
      <c r="Z821" s="172">
        <f>IF(OR(Y821="",'01_설정'!B31="",'01_설정'!B31&lt;=0,'01_설정'!B32="",'01_설정'!B32&lt;=0),"",MAX(0,(1-Y821/'01_설정'!B32))*'01_설정'!B31)</f>
        <v/>
      </c>
    </row>
    <row r="822" ht="17.25" customHeight="1">
      <c r="A822" s="152">
        <f>IF(INDEX('04A_국토부원자료'!$A:$A,ROW()+1)="","",ROW()-3)</f>
        <v/>
      </c>
      <c r="B822" s="48">
        <f>IFERROR(INDEX('04A_국토부원자료'!$A:$T,ROW()+1,MATCH("시군구",'04A_국토부원자료'!$A$4:$T$4,0)),"")</f>
        <v/>
      </c>
      <c r="C822" s="48">
        <f>IF(B822="","",IFERROR(INDEX('04A_국토부원자료'!$A:$T,ROW()+1,MATCH("번지",'04A_국토부원자료'!$A$4:$T$4,0)),""))</f>
        <v/>
      </c>
      <c r="D822" s="48">
        <f>IF(B822="","",IF(Q822=1,'02_대상물건입력'!$B$8,IFERROR(INDEX('04A_국토부원자료'!$A:$T,ROW()+1,MATCH("단지명",'04A_국토부원자료'!$A$4:$T$4,0)),"")))</f>
        <v/>
      </c>
      <c r="E822" s="172">
        <f>IFERROR(VALUE(SUBSTITUTE(INDEX('04A_국토부원자료'!$A:$T,ROW()+1,MATCH("전용면적(㎡)",'04A_국토부원자료'!$A$4:$T$4,0)),",","")),"")</f>
        <v/>
      </c>
      <c r="F8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22" s="51">
        <f>IFERROR(VALUE(SUBSTITUTE(INDEX('04A_국토부원자료'!$A:$T,ROW()+1,MATCH("거래금액(만원)",'04A_국토부원자료'!$A$4:$T$4,0)),",","")),"")</f>
        <v/>
      </c>
      <c r="H822" s="174">
        <f>IF(G822="","",G822*10000)</f>
        <v/>
      </c>
      <c r="I822" s="174">
        <f>IFERROR(IF(AND(H822&gt;0,E822&gt;0),H822/E822,""),"")</f>
        <v/>
      </c>
      <c r="J822" s="152">
        <f>IFERROR(VALUE(SUBSTITUTE(INDEX('04A_국토부원자료'!$A:$T,ROW()+1,MATCH("층",'04A_국토부원자료'!$A$4:$T$4,0)),",","")),"")</f>
        <v/>
      </c>
      <c r="K822" s="152">
        <f>IFERROR(VALUE(SUBSTITUTE(INDEX('04A_국토부원자료'!$A:$T,ROW()+1,MATCH("건축년도",'04A_국토부원자료'!$A$4:$T$4,0)),",","")),"")</f>
        <v/>
      </c>
      <c r="L822" s="176">
        <f>IFERROR(INDEX('04A_국토부원자료'!$A:$T,ROW()+1,MATCH("도로명",'04A_국토부원자료'!$A$4:$T$4,0)),"")</f>
        <v/>
      </c>
      <c r="M822" s="48">
        <f>IFERROR(INDEX('04A_국토부원자료'!$A:$T,ROW()+1,MATCH("거래유형",'04A_국토부원자료'!$A$4:$T$4,0)),"")</f>
        <v/>
      </c>
      <c r="N822" s="152">
        <f>IF(B822="","",IF('02_대상물건입력'!B5="",1,IF(ISNUMBER(SEARCH('02_대상물건입력'!B5,B822)),1,0)))</f>
        <v/>
      </c>
      <c r="O822" s="152">
        <f>IF(B822="","",IF('02_대상물건입력'!B6="",1,IF(ISNUMBER(SEARCH('02_대상물건입력'!B6,B822)),1,0)))</f>
        <v/>
      </c>
      <c r="P822" s="152">
        <f>IF(L822="","",IF('02_대상물건입력'!B15="",0,IF(ISNUMBER(SEARCH('02_대상물건입력'!B15,L822)),1,0)))</f>
        <v/>
      </c>
      <c r="Q822" s="152">
        <f>IF(OR(C822="",L822=""),0,IF(AND(TRIM(C822)=TRIM(RIGHT(SUBSTITUTE(TRIM('02_대상물건입력'!$B$7)," ",REPT(" ",99)),99)),IF('02_대상물건입력'!B15="",TRUE(),ISNUMBER(SEARCH('02_대상물건입력'!B15,L822)))),1,0))</f>
        <v/>
      </c>
      <c r="R822" s="175">
        <f>IFERROR(ABS(E822-'02_대상물건입력'!B11)/'02_대상물건입력'!B11,"")</f>
        <v/>
      </c>
      <c r="S822" s="152">
        <f>IFERROR(ABS(J822-'02_대상물건입력'!B10),"")</f>
        <v/>
      </c>
      <c r="T822" s="152">
        <f>IFERROR(ABS('01_설정'!B4-F822),"")</f>
        <v/>
      </c>
      <c r="U822" s="152">
        <f>IFERROR(ABS(K822-YEAR('02_대상물건입력'!B14)),"")</f>
        <v/>
      </c>
      <c r="V822" s="152">
        <f>IF(B822="","",IF(AND(E822&gt;0,F822&gt;0,H822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822=1,TRUE()),R822&lt;='01_설정'!B5,S822&lt;='01_설정'!B6,T822&lt;='01_설정'!B7,U822&lt;='01_설정'!B8),"Y",""))</f>
        <v/>
      </c>
      <c r="W822" s="172">
        <f>IF(V822&lt;&gt;"Y","",MAX(0,(1-R822/'01_설정'!B5))*'01_설정'!B14+MAX(0,(1-S822/'01_설정'!B6))*'01_설정'!B15+MAX(0,(1-T822/'01_설정'!B7))*'01_설정'!B16+MAX(0,(1-U822/'01_설정'!B8))*'01_설정'!B17+O822*'01_설정'!B11+Q822*'01_설정'!B12+P822*'01_설정'!B13+IF(Z822="",0,Z822))</f>
        <v/>
      </c>
      <c r="X822" s="152">
        <f>IF(W822="","",1+COUNTIFS($W$4:$W$3003,"&gt;"&amp;W822)+COUNTIFS($W$4:W822,W822)-1)</f>
        <v/>
      </c>
      <c r="Y822" s="175">
        <f>IF(OR(I822="",'02_대상물건입력'!B19="",'02_대상물건입력'!B19&lt;=0),"",ABS(I822-'02_대상물건입력'!B19)/'02_대상물건입력'!B19)</f>
        <v/>
      </c>
      <c r="Z822" s="172">
        <f>IF(OR(Y822="",'01_설정'!B31="",'01_설정'!B31&lt;=0,'01_설정'!B32="",'01_설정'!B32&lt;=0),"",MAX(0,(1-Y822/'01_설정'!B32))*'01_설정'!B31)</f>
        <v/>
      </c>
    </row>
    <row r="823" ht="17.25" customHeight="1">
      <c r="A823" s="152">
        <f>IF(INDEX('04A_국토부원자료'!$A:$A,ROW()+1)="","",ROW()-3)</f>
        <v/>
      </c>
      <c r="B823" s="48">
        <f>IFERROR(INDEX('04A_국토부원자료'!$A:$T,ROW()+1,MATCH("시군구",'04A_국토부원자료'!$A$4:$T$4,0)),"")</f>
        <v/>
      </c>
      <c r="C823" s="48">
        <f>IF(B823="","",IFERROR(INDEX('04A_국토부원자료'!$A:$T,ROW()+1,MATCH("번지",'04A_국토부원자료'!$A$4:$T$4,0)),""))</f>
        <v/>
      </c>
      <c r="D823" s="48">
        <f>IF(B823="","",IF(Q823=1,'02_대상물건입력'!$B$8,IFERROR(INDEX('04A_국토부원자료'!$A:$T,ROW()+1,MATCH("단지명",'04A_국토부원자료'!$A$4:$T$4,0)),"")))</f>
        <v/>
      </c>
      <c r="E823" s="172">
        <f>IFERROR(VALUE(SUBSTITUTE(INDEX('04A_국토부원자료'!$A:$T,ROW()+1,MATCH("전용면적(㎡)",'04A_국토부원자료'!$A$4:$T$4,0)),",","")),"")</f>
        <v/>
      </c>
      <c r="F8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23" s="51">
        <f>IFERROR(VALUE(SUBSTITUTE(INDEX('04A_국토부원자료'!$A:$T,ROW()+1,MATCH("거래금액(만원)",'04A_국토부원자료'!$A$4:$T$4,0)),",","")),"")</f>
        <v/>
      </c>
      <c r="H823" s="174">
        <f>IF(G823="","",G823*10000)</f>
        <v/>
      </c>
      <c r="I823" s="174">
        <f>IFERROR(IF(AND(H823&gt;0,E823&gt;0),H823/E823,""),"")</f>
        <v/>
      </c>
      <c r="J823" s="152">
        <f>IFERROR(VALUE(SUBSTITUTE(INDEX('04A_국토부원자료'!$A:$T,ROW()+1,MATCH("층",'04A_국토부원자료'!$A$4:$T$4,0)),",","")),"")</f>
        <v/>
      </c>
      <c r="K823" s="152">
        <f>IFERROR(VALUE(SUBSTITUTE(INDEX('04A_국토부원자료'!$A:$T,ROW()+1,MATCH("건축년도",'04A_국토부원자료'!$A$4:$T$4,0)),",","")),"")</f>
        <v/>
      </c>
      <c r="L823" s="176">
        <f>IFERROR(INDEX('04A_국토부원자료'!$A:$T,ROW()+1,MATCH("도로명",'04A_국토부원자료'!$A$4:$T$4,0)),"")</f>
        <v/>
      </c>
      <c r="M823" s="48">
        <f>IFERROR(INDEX('04A_국토부원자료'!$A:$T,ROW()+1,MATCH("거래유형",'04A_국토부원자료'!$A$4:$T$4,0)),"")</f>
        <v/>
      </c>
      <c r="N823" s="152">
        <f>IF(B823="","",IF('02_대상물건입력'!B5="",1,IF(ISNUMBER(SEARCH('02_대상물건입력'!B5,B823)),1,0)))</f>
        <v/>
      </c>
      <c r="O823" s="152">
        <f>IF(B823="","",IF('02_대상물건입력'!B6="",1,IF(ISNUMBER(SEARCH('02_대상물건입력'!B6,B823)),1,0)))</f>
        <v/>
      </c>
      <c r="P823" s="152">
        <f>IF(L823="","",IF('02_대상물건입력'!B15="",0,IF(ISNUMBER(SEARCH('02_대상물건입력'!B15,L823)),1,0)))</f>
        <v/>
      </c>
      <c r="Q823" s="152">
        <f>IF(OR(C823="",L823=""),0,IF(AND(TRIM(C823)=TRIM(RIGHT(SUBSTITUTE(TRIM('02_대상물건입력'!$B$7)," ",REPT(" ",99)),99)),IF('02_대상물건입력'!B15="",TRUE(),ISNUMBER(SEARCH('02_대상물건입력'!B15,L823)))),1,0))</f>
        <v/>
      </c>
      <c r="R823" s="175">
        <f>IFERROR(ABS(E823-'02_대상물건입력'!B11)/'02_대상물건입력'!B11,"")</f>
        <v/>
      </c>
      <c r="S823" s="152">
        <f>IFERROR(ABS(J823-'02_대상물건입력'!B10),"")</f>
        <v/>
      </c>
      <c r="T823" s="152">
        <f>IFERROR(ABS('01_설정'!B4-F823),"")</f>
        <v/>
      </c>
      <c r="U823" s="152">
        <f>IFERROR(ABS(K823-YEAR('02_대상물건입력'!B14)),"")</f>
        <v/>
      </c>
      <c r="V823" s="152">
        <f>IF(B823="","",IF(AND(E823&gt;0,F823&gt;0,H823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823=1,TRUE()),R823&lt;='01_설정'!B5,S823&lt;='01_설정'!B6,T823&lt;='01_설정'!B7,U823&lt;='01_설정'!B8),"Y",""))</f>
        <v/>
      </c>
      <c r="W823" s="172">
        <f>IF(V823&lt;&gt;"Y","",MAX(0,(1-R823/'01_설정'!B5))*'01_설정'!B14+MAX(0,(1-S823/'01_설정'!B6))*'01_설정'!B15+MAX(0,(1-T823/'01_설정'!B7))*'01_설정'!B16+MAX(0,(1-U823/'01_설정'!B8))*'01_설정'!B17+O823*'01_설정'!B11+Q823*'01_설정'!B12+P823*'01_설정'!B13+IF(Z823="",0,Z823))</f>
        <v/>
      </c>
      <c r="X823" s="152">
        <f>IF(W823="","",1+COUNTIFS($W$4:$W$3003,"&gt;"&amp;W823)+COUNTIFS($W$4:W823,W823)-1)</f>
        <v/>
      </c>
      <c r="Y823" s="175">
        <f>IF(OR(I823="",'02_대상물건입력'!B19="",'02_대상물건입력'!B19&lt;=0),"",ABS(I823-'02_대상물건입력'!B19)/'02_대상물건입력'!B19)</f>
        <v/>
      </c>
      <c r="Z823" s="172">
        <f>IF(OR(Y823="",'01_설정'!B31="",'01_설정'!B31&lt;=0,'01_설정'!B32="",'01_설정'!B32&lt;=0),"",MAX(0,(1-Y823/'01_설정'!B32))*'01_설정'!B31)</f>
        <v/>
      </c>
    </row>
    <row r="824" ht="17.25" customHeight="1">
      <c r="A824" s="152">
        <f>IF(INDEX('04A_국토부원자료'!$A:$A,ROW()+1)="","",ROW()-3)</f>
        <v/>
      </c>
      <c r="B824" s="48">
        <f>IFERROR(INDEX('04A_국토부원자료'!$A:$T,ROW()+1,MATCH("시군구",'04A_국토부원자료'!$A$4:$T$4,0)),"")</f>
        <v/>
      </c>
      <c r="C824" s="48">
        <f>IF(B824="","",IFERROR(INDEX('04A_국토부원자료'!$A:$T,ROW()+1,MATCH("번지",'04A_국토부원자료'!$A$4:$T$4,0)),""))</f>
        <v/>
      </c>
      <c r="D824" s="48">
        <f>IF(B824="","",IF(Q824=1,'02_대상물건입력'!$B$8,IFERROR(INDEX('04A_국토부원자료'!$A:$T,ROW()+1,MATCH("단지명",'04A_국토부원자료'!$A$4:$T$4,0)),"")))</f>
        <v/>
      </c>
      <c r="E824" s="172">
        <f>IFERROR(VALUE(SUBSTITUTE(INDEX('04A_국토부원자료'!$A:$T,ROW()+1,MATCH("전용면적(㎡)",'04A_국토부원자료'!$A$4:$T$4,0)),",","")),"")</f>
        <v/>
      </c>
      <c r="F8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24" s="51">
        <f>IFERROR(VALUE(SUBSTITUTE(INDEX('04A_국토부원자료'!$A:$T,ROW()+1,MATCH("거래금액(만원)",'04A_국토부원자료'!$A$4:$T$4,0)),",","")),"")</f>
        <v/>
      </c>
      <c r="H824" s="174">
        <f>IF(G824="","",G824*10000)</f>
        <v/>
      </c>
      <c r="I824" s="174">
        <f>IFERROR(IF(AND(H824&gt;0,E824&gt;0),H824/E824,""),"")</f>
        <v/>
      </c>
      <c r="J824" s="152">
        <f>IFERROR(VALUE(SUBSTITUTE(INDEX('04A_국토부원자료'!$A:$T,ROW()+1,MATCH("층",'04A_국토부원자료'!$A$4:$T$4,0)),",","")),"")</f>
        <v/>
      </c>
      <c r="K824" s="152">
        <f>IFERROR(VALUE(SUBSTITUTE(INDEX('04A_국토부원자료'!$A:$T,ROW()+1,MATCH("건축년도",'04A_국토부원자료'!$A$4:$T$4,0)),",","")),"")</f>
        <v/>
      </c>
      <c r="L824" s="176">
        <f>IFERROR(INDEX('04A_국토부원자료'!$A:$T,ROW()+1,MATCH("도로명",'04A_국토부원자료'!$A$4:$T$4,0)),"")</f>
        <v/>
      </c>
      <c r="M824" s="48">
        <f>IFERROR(INDEX('04A_국토부원자료'!$A:$T,ROW()+1,MATCH("거래유형",'04A_국토부원자료'!$A$4:$T$4,0)),"")</f>
        <v/>
      </c>
      <c r="N824" s="152">
        <f>IF(B824="","",IF('02_대상물건입력'!B5="",1,IF(ISNUMBER(SEARCH('02_대상물건입력'!B5,B824)),1,0)))</f>
        <v/>
      </c>
      <c r="O824" s="152">
        <f>IF(B824="","",IF('02_대상물건입력'!B6="",1,IF(ISNUMBER(SEARCH('02_대상물건입력'!B6,B824)),1,0)))</f>
        <v/>
      </c>
      <c r="P824" s="152">
        <f>IF(L824="","",IF('02_대상물건입력'!B15="",0,IF(ISNUMBER(SEARCH('02_대상물건입력'!B15,L824)),1,0)))</f>
        <v/>
      </c>
      <c r="Q824" s="152">
        <f>IF(OR(C824="",L824=""),0,IF(AND(TRIM(C824)=TRIM(RIGHT(SUBSTITUTE(TRIM('02_대상물건입력'!$B$7)," ",REPT(" ",99)),99)),IF('02_대상물건입력'!B15="",TRUE(),ISNUMBER(SEARCH('02_대상물건입력'!B15,L824)))),1,0))</f>
        <v/>
      </c>
      <c r="R824" s="175">
        <f>IFERROR(ABS(E824-'02_대상물건입력'!B11)/'02_대상물건입력'!B11,"")</f>
        <v/>
      </c>
      <c r="S824" s="152">
        <f>IFERROR(ABS(J824-'02_대상물건입력'!B10),"")</f>
        <v/>
      </c>
      <c r="T824" s="152">
        <f>IFERROR(ABS('01_설정'!B4-F824),"")</f>
        <v/>
      </c>
      <c r="U824" s="152">
        <f>IFERROR(ABS(K824-YEAR('02_대상물건입력'!B14)),"")</f>
        <v/>
      </c>
      <c r="V824" s="152">
        <f>IF(B824="","",IF(AND(E824&gt;0,F824&gt;0,H824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824=1,TRUE()),R824&lt;='01_설정'!B5,S824&lt;='01_설정'!B6,T824&lt;='01_설정'!B7,U824&lt;='01_설정'!B8),"Y",""))</f>
        <v/>
      </c>
      <c r="W824" s="172">
        <f>IF(V824&lt;&gt;"Y","",MAX(0,(1-R824/'01_설정'!B5))*'01_설정'!B14+MAX(0,(1-S824/'01_설정'!B6))*'01_설정'!B15+MAX(0,(1-T824/'01_설정'!B7))*'01_설정'!B16+MAX(0,(1-U824/'01_설정'!B8))*'01_설정'!B17+O824*'01_설정'!B11+Q824*'01_설정'!B12+P824*'01_설정'!B13+IF(Z824="",0,Z824))</f>
        <v/>
      </c>
      <c r="X824" s="152">
        <f>IF(W824="","",1+COUNTIFS($W$4:$W$3003,"&gt;"&amp;W824)+COUNTIFS($W$4:W824,W824)-1)</f>
        <v/>
      </c>
      <c r="Y824" s="175">
        <f>IF(OR(I824="",'02_대상물건입력'!B19="",'02_대상물건입력'!B19&lt;=0),"",ABS(I824-'02_대상물건입력'!B19)/'02_대상물건입력'!B19)</f>
        <v/>
      </c>
      <c r="Z824" s="172">
        <f>IF(OR(Y824="",'01_설정'!B31="",'01_설정'!B31&lt;=0,'01_설정'!B32="",'01_설정'!B32&lt;=0),"",MAX(0,(1-Y824/'01_설정'!B32))*'01_설정'!B31)</f>
        <v/>
      </c>
    </row>
    <row r="825" ht="17.25" customHeight="1">
      <c r="A825" s="152">
        <f>IF(INDEX('04A_국토부원자료'!$A:$A,ROW()+1)="","",ROW()-3)</f>
        <v/>
      </c>
      <c r="B825" s="48">
        <f>IFERROR(INDEX('04A_국토부원자료'!$A:$T,ROW()+1,MATCH("시군구",'04A_국토부원자료'!$A$4:$T$4,0)),"")</f>
        <v/>
      </c>
      <c r="C825" s="48">
        <f>IF(B825="","",IFERROR(INDEX('04A_국토부원자료'!$A:$T,ROW()+1,MATCH("번지",'04A_국토부원자료'!$A$4:$T$4,0)),""))</f>
        <v/>
      </c>
      <c r="D825" s="48">
        <f>IF(B825="","",IF(Q825=1,'02_대상물건입력'!$B$8,IFERROR(INDEX('04A_국토부원자료'!$A:$T,ROW()+1,MATCH("단지명",'04A_국토부원자료'!$A$4:$T$4,0)),"")))</f>
        <v/>
      </c>
      <c r="E825" s="172">
        <f>IFERROR(VALUE(SUBSTITUTE(INDEX('04A_국토부원자료'!$A:$T,ROW()+1,MATCH("전용면적(㎡)",'04A_국토부원자료'!$A$4:$T$4,0)),",","")),"")</f>
        <v/>
      </c>
      <c r="F8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25" s="51">
        <f>IFERROR(VALUE(SUBSTITUTE(INDEX('04A_국토부원자료'!$A:$T,ROW()+1,MATCH("거래금액(만원)",'04A_국토부원자료'!$A$4:$T$4,0)),",","")),"")</f>
        <v/>
      </c>
      <c r="H825" s="174">
        <f>IF(G825="","",G825*10000)</f>
        <v/>
      </c>
      <c r="I825" s="174">
        <f>IFERROR(IF(AND(H825&gt;0,E825&gt;0),H825/E825,""),"")</f>
        <v/>
      </c>
      <c r="J825" s="152">
        <f>IFERROR(VALUE(SUBSTITUTE(INDEX('04A_국토부원자료'!$A:$T,ROW()+1,MATCH("층",'04A_국토부원자료'!$A$4:$T$4,0)),",","")),"")</f>
        <v/>
      </c>
      <c r="K825" s="152">
        <f>IFERROR(VALUE(SUBSTITUTE(INDEX('04A_국토부원자료'!$A:$T,ROW()+1,MATCH("건축년도",'04A_국토부원자료'!$A$4:$T$4,0)),",","")),"")</f>
        <v/>
      </c>
      <c r="L825" s="176">
        <f>IFERROR(INDEX('04A_국토부원자료'!$A:$T,ROW()+1,MATCH("도로명",'04A_국토부원자료'!$A$4:$T$4,0)),"")</f>
        <v/>
      </c>
      <c r="M825" s="48">
        <f>IFERROR(INDEX('04A_국토부원자료'!$A:$T,ROW()+1,MATCH("거래유형",'04A_국토부원자료'!$A$4:$T$4,0)),"")</f>
        <v/>
      </c>
      <c r="N825" s="152">
        <f>IF(B825="","",IF('02_대상물건입력'!B5="",1,IF(ISNUMBER(SEARCH('02_대상물건입력'!B5,B825)),1,0)))</f>
        <v/>
      </c>
      <c r="O825" s="152">
        <f>IF(B825="","",IF('02_대상물건입력'!B6="",1,IF(ISNUMBER(SEARCH('02_대상물건입력'!B6,B825)),1,0)))</f>
        <v/>
      </c>
      <c r="P825" s="152">
        <f>IF(L825="","",IF('02_대상물건입력'!B15="",0,IF(ISNUMBER(SEARCH('02_대상물건입력'!B15,L825)),1,0)))</f>
        <v/>
      </c>
      <c r="Q825" s="152">
        <f>IF(OR(C825="",L825=""),0,IF(AND(TRIM(C825)=TRIM(RIGHT(SUBSTITUTE(TRIM('02_대상물건입력'!$B$7)," ",REPT(" ",99)),99)),IF('02_대상물건입력'!B15="",TRUE(),ISNUMBER(SEARCH('02_대상물건입력'!B15,L825)))),1,0))</f>
        <v/>
      </c>
      <c r="R825" s="175">
        <f>IFERROR(ABS(E825-'02_대상물건입력'!B11)/'02_대상물건입력'!B11,"")</f>
        <v/>
      </c>
      <c r="S825" s="152">
        <f>IFERROR(ABS(J825-'02_대상물건입력'!B10),"")</f>
        <v/>
      </c>
      <c r="T825" s="152">
        <f>IFERROR(ABS('01_설정'!B4-F825),"")</f>
        <v/>
      </c>
      <c r="U825" s="152">
        <f>IFERROR(ABS(K825-YEAR('02_대상물건입력'!B14)),"")</f>
        <v/>
      </c>
      <c r="V825" s="152">
        <f>IF(B825="","",IF(AND(E825&gt;0,F825&gt;0,H825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825=1,TRUE()),R825&lt;='01_설정'!B5,S825&lt;='01_설정'!B6,T825&lt;='01_설정'!B7,U825&lt;='01_설정'!B8),"Y",""))</f>
        <v/>
      </c>
      <c r="W825" s="172">
        <f>IF(V825&lt;&gt;"Y","",MAX(0,(1-R825/'01_설정'!B5))*'01_설정'!B14+MAX(0,(1-S825/'01_설정'!B6))*'01_설정'!B15+MAX(0,(1-T825/'01_설정'!B7))*'01_설정'!B16+MAX(0,(1-U825/'01_설정'!B8))*'01_설정'!B17+O825*'01_설정'!B11+Q825*'01_설정'!B12+P825*'01_설정'!B13+IF(Z825="",0,Z825))</f>
        <v/>
      </c>
      <c r="X825" s="152">
        <f>IF(W825="","",1+COUNTIFS($W$4:$W$3003,"&gt;"&amp;W825)+COUNTIFS($W$4:W825,W825)-1)</f>
        <v/>
      </c>
      <c r="Y825" s="175">
        <f>IF(OR(I825="",'02_대상물건입력'!B19="",'02_대상물건입력'!B19&lt;=0),"",ABS(I825-'02_대상물건입력'!B19)/'02_대상물건입력'!B19)</f>
        <v/>
      </c>
      <c r="Z825" s="172">
        <f>IF(OR(Y825="",'01_설정'!B31="",'01_설정'!B31&lt;=0,'01_설정'!B32="",'01_설정'!B32&lt;=0),"",MAX(0,(1-Y825/'01_설정'!B32))*'01_설정'!B31)</f>
        <v/>
      </c>
    </row>
    <row r="826" ht="17.25" customHeight="1">
      <c r="A826" s="152">
        <f>IF(INDEX('04A_국토부원자료'!$A:$A,ROW()+1)="","",ROW()-3)</f>
        <v/>
      </c>
      <c r="B826" s="48">
        <f>IFERROR(INDEX('04A_국토부원자료'!$A:$T,ROW()+1,MATCH("시군구",'04A_국토부원자료'!$A$4:$T$4,0)),"")</f>
        <v/>
      </c>
      <c r="C826" s="48">
        <f>IF(B826="","",IFERROR(INDEX('04A_국토부원자료'!$A:$T,ROW()+1,MATCH("번지",'04A_국토부원자료'!$A$4:$T$4,0)),""))</f>
        <v/>
      </c>
      <c r="D826" s="48">
        <f>IF(B826="","",IF(Q826=1,'02_대상물건입력'!$B$8,IFERROR(INDEX('04A_국토부원자료'!$A:$T,ROW()+1,MATCH("단지명",'04A_국토부원자료'!$A$4:$T$4,0)),"")))</f>
        <v/>
      </c>
      <c r="E826" s="172">
        <f>IFERROR(VALUE(SUBSTITUTE(INDEX('04A_국토부원자료'!$A:$T,ROW()+1,MATCH("전용면적(㎡)",'04A_국토부원자료'!$A$4:$T$4,0)),",","")),"")</f>
        <v/>
      </c>
      <c r="F8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26" s="51">
        <f>IFERROR(VALUE(SUBSTITUTE(INDEX('04A_국토부원자료'!$A:$T,ROW()+1,MATCH("거래금액(만원)",'04A_국토부원자료'!$A$4:$T$4,0)),",","")),"")</f>
        <v/>
      </c>
      <c r="H826" s="174">
        <f>IF(G826="","",G826*10000)</f>
        <v/>
      </c>
      <c r="I826" s="174">
        <f>IFERROR(IF(AND(H826&gt;0,E826&gt;0),H826/E826,""),"")</f>
        <v/>
      </c>
      <c r="J826" s="152">
        <f>IFERROR(VALUE(SUBSTITUTE(INDEX('04A_국토부원자료'!$A:$T,ROW()+1,MATCH("층",'04A_국토부원자료'!$A$4:$T$4,0)),",","")),"")</f>
        <v/>
      </c>
      <c r="K826" s="152">
        <f>IFERROR(VALUE(SUBSTITUTE(INDEX('04A_국토부원자료'!$A:$T,ROW()+1,MATCH("건축년도",'04A_국토부원자료'!$A$4:$T$4,0)),",","")),"")</f>
        <v/>
      </c>
      <c r="L826" s="176">
        <f>IFERROR(INDEX('04A_국토부원자료'!$A:$T,ROW()+1,MATCH("도로명",'04A_국토부원자료'!$A$4:$T$4,0)),"")</f>
        <v/>
      </c>
      <c r="M826" s="48">
        <f>IFERROR(INDEX('04A_국토부원자료'!$A:$T,ROW()+1,MATCH("거래유형",'04A_국토부원자료'!$A$4:$T$4,0)),"")</f>
        <v/>
      </c>
      <c r="N826" s="152">
        <f>IF(B826="","",IF('02_대상물건입력'!B5="",1,IF(ISNUMBER(SEARCH('02_대상물건입력'!B5,B826)),1,0)))</f>
        <v/>
      </c>
      <c r="O826" s="152">
        <f>IF(B826="","",IF('02_대상물건입력'!B6="",1,IF(ISNUMBER(SEARCH('02_대상물건입력'!B6,B826)),1,0)))</f>
        <v/>
      </c>
      <c r="P826" s="152">
        <f>IF(L826="","",IF('02_대상물건입력'!B15="",0,IF(ISNUMBER(SEARCH('02_대상물건입력'!B15,L826)),1,0)))</f>
        <v/>
      </c>
      <c r="Q826" s="152">
        <f>IF(OR(C826="",L826=""),0,IF(AND(TRIM(C826)=TRIM(RIGHT(SUBSTITUTE(TRIM('02_대상물건입력'!$B$7)," ",REPT(" ",99)),99)),IF('02_대상물건입력'!B15="",TRUE(),ISNUMBER(SEARCH('02_대상물건입력'!B15,L826)))),1,0))</f>
        <v/>
      </c>
      <c r="R826" s="175">
        <f>IFERROR(ABS(E826-'02_대상물건입력'!B11)/'02_대상물건입력'!B11,"")</f>
        <v/>
      </c>
      <c r="S826" s="152">
        <f>IFERROR(ABS(J826-'02_대상물건입력'!B10),"")</f>
        <v/>
      </c>
      <c r="T826" s="152">
        <f>IFERROR(ABS('01_설정'!B4-F826),"")</f>
        <v/>
      </c>
      <c r="U826" s="152">
        <f>IFERROR(ABS(K826-YEAR('02_대상물건입력'!B14)),"")</f>
        <v/>
      </c>
      <c r="V826" s="152">
        <f>IF(B826="","",IF(AND(E826&gt;0,F826&gt;0,H826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826=1,TRUE()),R826&lt;='01_설정'!B5,S826&lt;='01_설정'!B6,T826&lt;='01_설정'!B7,U826&lt;='01_설정'!B8),"Y",""))</f>
        <v/>
      </c>
      <c r="W826" s="172">
        <f>IF(V826&lt;&gt;"Y","",MAX(0,(1-R826/'01_설정'!B5))*'01_설정'!B14+MAX(0,(1-S826/'01_설정'!B6))*'01_설정'!B15+MAX(0,(1-T826/'01_설정'!B7))*'01_설정'!B16+MAX(0,(1-U826/'01_설정'!B8))*'01_설정'!B17+O826*'01_설정'!B11+Q826*'01_설정'!B12+P826*'01_설정'!B13+IF(Z826="",0,Z826))</f>
        <v/>
      </c>
      <c r="X826" s="152">
        <f>IF(W826="","",1+COUNTIFS($W$4:$W$3003,"&gt;"&amp;W826)+COUNTIFS($W$4:W826,W826)-1)</f>
        <v/>
      </c>
      <c r="Y826" s="175">
        <f>IF(OR(I826="",'02_대상물건입력'!B19="",'02_대상물건입력'!B19&lt;=0),"",ABS(I826-'02_대상물건입력'!B19)/'02_대상물건입력'!B19)</f>
        <v/>
      </c>
      <c r="Z826" s="172">
        <f>IF(OR(Y826="",'01_설정'!B31="",'01_설정'!B31&lt;=0,'01_설정'!B32="",'01_설정'!B32&lt;=0),"",MAX(0,(1-Y826/'01_설정'!B32))*'01_설정'!B31)</f>
        <v/>
      </c>
    </row>
    <row r="827" ht="17.25" customHeight="1">
      <c r="A827" s="152">
        <f>IF(INDEX('04A_국토부원자료'!$A:$A,ROW()+1)="","",ROW()-3)</f>
        <v/>
      </c>
      <c r="B827" s="48">
        <f>IFERROR(INDEX('04A_국토부원자료'!$A:$T,ROW()+1,MATCH("시군구",'04A_국토부원자료'!$A$4:$T$4,0)),"")</f>
        <v/>
      </c>
      <c r="C827" s="48">
        <f>IF(B827="","",IFERROR(INDEX('04A_국토부원자료'!$A:$T,ROW()+1,MATCH("번지",'04A_국토부원자료'!$A$4:$T$4,0)),""))</f>
        <v/>
      </c>
      <c r="D827" s="48">
        <f>IF(B827="","",IF(Q827=1,'02_대상물건입력'!$B$8,IFERROR(INDEX('04A_국토부원자료'!$A:$T,ROW()+1,MATCH("단지명",'04A_국토부원자료'!$A$4:$T$4,0)),"")))</f>
        <v/>
      </c>
      <c r="E827" s="172">
        <f>IFERROR(VALUE(SUBSTITUTE(INDEX('04A_국토부원자료'!$A:$T,ROW()+1,MATCH("전용면적(㎡)",'04A_국토부원자료'!$A$4:$T$4,0)),",","")),"")</f>
        <v/>
      </c>
      <c r="F8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27" s="51">
        <f>IFERROR(VALUE(SUBSTITUTE(INDEX('04A_국토부원자료'!$A:$T,ROW()+1,MATCH("거래금액(만원)",'04A_국토부원자료'!$A$4:$T$4,0)),",","")),"")</f>
        <v/>
      </c>
      <c r="H827" s="174">
        <f>IF(G827="","",G827*10000)</f>
        <v/>
      </c>
      <c r="I827" s="174">
        <f>IFERROR(IF(AND(H827&gt;0,E827&gt;0),H827/E827,""),"")</f>
        <v/>
      </c>
      <c r="J827" s="152">
        <f>IFERROR(VALUE(SUBSTITUTE(INDEX('04A_국토부원자료'!$A:$T,ROW()+1,MATCH("층",'04A_국토부원자료'!$A$4:$T$4,0)),",","")),"")</f>
        <v/>
      </c>
      <c r="K827" s="152">
        <f>IFERROR(VALUE(SUBSTITUTE(INDEX('04A_국토부원자료'!$A:$T,ROW()+1,MATCH("건축년도",'04A_국토부원자료'!$A$4:$T$4,0)),",","")),"")</f>
        <v/>
      </c>
      <c r="L827" s="176">
        <f>IFERROR(INDEX('04A_국토부원자료'!$A:$T,ROW()+1,MATCH("도로명",'04A_국토부원자료'!$A$4:$T$4,0)),"")</f>
        <v/>
      </c>
      <c r="M827" s="48">
        <f>IFERROR(INDEX('04A_국토부원자료'!$A:$T,ROW()+1,MATCH("거래유형",'04A_국토부원자료'!$A$4:$T$4,0)),"")</f>
        <v/>
      </c>
      <c r="N827" s="152">
        <f>IF(B827="","",IF('02_대상물건입력'!B5="",1,IF(ISNUMBER(SEARCH('02_대상물건입력'!B5,B827)),1,0)))</f>
        <v/>
      </c>
      <c r="O827" s="152">
        <f>IF(B827="","",IF('02_대상물건입력'!B6="",1,IF(ISNUMBER(SEARCH('02_대상물건입력'!B6,B827)),1,0)))</f>
        <v/>
      </c>
      <c r="P827" s="152">
        <f>IF(L827="","",IF('02_대상물건입력'!B15="",0,IF(ISNUMBER(SEARCH('02_대상물건입력'!B15,L827)),1,0)))</f>
        <v/>
      </c>
      <c r="Q827" s="152">
        <f>IF(OR(C827="",L827=""),0,IF(AND(TRIM(C827)=TRIM(RIGHT(SUBSTITUTE(TRIM('02_대상물건입력'!$B$7)," ",REPT(" ",99)),99)),IF('02_대상물건입력'!B15="",TRUE(),ISNUMBER(SEARCH('02_대상물건입력'!B15,L827)))),1,0))</f>
        <v/>
      </c>
      <c r="R827" s="175">
        <f>IFERROR(ABS(E827-'02_대상물건입력'!B11)/'02_대상물건입력'!B11,"")</f>
        <v/>
      </c>
      <c r="S827" s="152">
        <f>IFERROR(ABS(J827-'02_대상물건입력'!B10),"")</f>
        <v/>
      </c>
      <c r="T827" s="152">
        <f>IFERROR(ABS('01_설정'!B4-F827),"")</f>
        <v/>
      </c>
      <c r="U827" s="152">
        <f>IFERROR(ABS(K827-YEAR('02_대상물건입력'!B14)),"")</f>
        <v/>
      </c>
      <c r="V827" s="152">
        <f>IF(B827="","",IF(AND(E827&gt;0,F827&gt;0,H827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827=1,TRUE()),R827&lt;='01_설정'!B5,S827&lt;='01_설정'!B6,T827&lt;='01_설정'!B7,U827&lt;='01_설정'!B8),"Y",""))</f>
        <v/>
      </c>
      <c r="W827" s="172">
        <f>IF(V827&lt;&gt;"Y","",MAX(0,(1-R827/'01_설정'!B5))*'01_설정'!B14+MAX(0,(1-S827/'01_설정'!B6))*'01_설정'!B15+MAX(0,(1-T827/'01_설정'!B7))*'01_설정'!B16+MAX(0,(1-U827/'01_설정'!B8))*'01_설정'!B17+O827*'01_설정'!B11+Q827*'01_설정'!B12+P827*'01_설정'!B13+IF(Z827="",0,Z827))</f>
        <v/>
      </c>
      <c r="X827" s="152">
        <f>IF(W827="","",1+COUNTIFS($W$4:$W$3003,"&gt;"&amp;W827)+COUNTIFS($W$4:W827,W827)-1)</f>
        <v/>
      </c>
      <c r="Y827" s="175">
        <f>IF(OR(I827="",'02_대상물건입력'!B19="",'02_대상물건입력'!B19&lt;=0),"",ABS(I827-'02_대상물건입력'!B19)/'02_대상물건입력'!B19)</f>
        <v/>
      </c>
      <c r="Z827" s="172">
        <f>IF(OR(Y827="",'01_설정'!B31="",'01_설정'!B31&lt;=0,'01_설정'!B32="",'01_설정'!B32&lt;=0),"",MAX(0,(1-Y827/'01_설정'!B32))*'01_설정'!B31)</f>
        <v/>
      </c>
    </row>
    <row r="828" ht="17.25" customHeight="1">
      <c r="A828" s="152">
        <f>IF(INDEX('04A_국토부원자료'!$A:$A,ROW()+1)="","",ROW()-3)</f>
        <v/>
      </c>
      <c r="B828" s="48">
        <f>IFERROR(INDEX('04A_국토부원자료'!$A:$T,ROW()+1,MATCH("시군구",'04A_국토부원자료'!$A$4:$T$4,0)),"")</f>
        <v/>
      </c>
      <c r="C828" s="48">
        <f>IF(B828="","",IFERROR(INDEX('04A_국토부원자료'!$A:$T,ROW()+1,MATCH("번지",'04A_국토부원자료'!$A$4:$T$4,0)),""))</f>
        <v/>
      </c>
      <c r="D828" s="48">
        <f>IF(B828="","",IF(Q828=1,'02_대상물건입력'!$B$8,IFERROR(INDEX('04A_국토부원자료'!$A:$T,ROW()+1,MATCH("단지명",'04A_국토부원자료'!$A$4:$T$4,0)),"")))</f>
        <v/>
      </c>
      <c r="E828" s="172">
        <f>IFERROR(VALUE(SUBSTITUTE(INDEX('04A_국토부원자료'!$A:$T,ROW()+1,MATCH("전용면적(㎡)",'04A_국토부원자료'!$A$4:$T$4,0)),",","")),"")</f>
        <v/>
      </c>
      <c r="F8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28" s="51">
        <f>IFERROR(VALUE(SUBSTITUTE(INDEX('04A_국토부원자료'!$A:$T,ROW()+1,MATCH("거래금액(만원)",'04A_국토부원자료'!$A$4:$T$4,0)),",","")),"")</f>
        <v/>
      </c>
      <c r="H828" s="174">
        <f>IF(G828="","",G828*10000)</f>
        <v/>
      </c>
      <c r="I828" s="174">
        <f>IFERROR(IF(AND(H828&gt;0,E828&gt;0),H828/E828,""),"")</f>
        <v/>
      </c>
      <c r="J828" s="152">
        <f>IFERROR(VALUE(SUBSTITUTE(INDEX('04A_국토부원자료'!$A:$T,ROW()+1,MATCH("층",'04A_국토부원자료'!$A$4:$T$4,0)),",","")),"")</f>
        <v/>
      </c>
      <c r="K828" s="152">
        <f>IFERROR(VALUE(SUBSTITUTE(INDEX('04A_국토부원자료'!$A:$T,ROW()+1,MATCH("건축년도",'04A_국토부원자료'!$A$4:$T$4,0)),",","")),"")</f>
        <v/>
      </c>
      <c r="L828" s="176">
        <f>IFERROR(INDEX('04A_국토부원자료'!$A:$T,ROW()+1,MATCH("도로명",'04A_국토부원자료'!$A$4:$T$4,0)),"")</f>
        <v/>
      </c>
      <c r="M828" s="48">
        <f>IFERROR(INDEX('04A_국토부원자료'!$A:$T,ROW()+1,MATCH("거래유형",'04A_국토부원자료'!$A$4:$T$4,0)),"")</f>
        <v/>
      </c>
      <c r="N828" s="152">
        <f>IF(B828="","",IF('02_대상물건입력'!B5="",1,IF(ISNUMBER(SEARCH('02_대상물건입력'!B5,B828)),1,0)))</f>
        <v/>
      </c>
      <c r="O828" s="152">
        <f>IF(B828="","",IF('02_대상물건입력'!B6="",1,IF(ISNUMBER(SEARCH('02_대상물건입력'!B6,B828)),1,0)))</f>
        <v/>
      </c>
      <c r="P828" s="152">
        <f>IF(L828="","",IF('02_대상물건입력'!B15="",0,IF(ISNUMBER(SEARCH('02_대상물건입력'!B15,L828)),1,0)))</f>
        <v/>
      </c>
      <c r="Q828" s="152">
        <f>IF(OR(C828="",L828=""),0,IF(AND(TRIM(C828)=TRIM(RIGHT(SUBSTITUTE(TRIM('02_대상물건입력'!$B$7)," ",REPT(" ",99)),99)),IF('02_대상물건입력'!B15="",TRUE(),ISNUMBER(SEARCH('02_대상물건입력'!B15,L828)))),1,0))</f>
        <v/>
      </c>
      <c r="R828" s="175">
        <f>IFERROR(ABS(E828-'02_대상물건입력'!B11)/'02_대상물건입력'!B11,"")</f>
        <v/>
      </c>
      <c r="S828" s="152">
        <f>IFERROR(ABS(J828-'02_대상물건입력'!B10),"")</f>
        <v/>
      </c>
      <c r="T828" s="152">
        <f>IFERROR(ABS('01_설정'!B4-F828),"")</f>
        <v/>
      </c>
      <c r="U828" s="152">
        <f>IFERROR(ABS(K828-YEAR('02_대상물건입력'!B14)),"")</f>
        <v/>
      </c>
      <c r="V828" s="152">
        <f>IF(B828="","",IF(AND(E828&gt;0,F828&gt;0,H828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828=1,TRUE()),R828&lt;='01_설정'!B5,S828&lt;='01_설정'!B6,T828&lt;='01_설정'!B7,U828&lt;='01_설정'!B8),"Y",""))</f>
        <v/>
      </c>
      <c r="W828" s="172">
        <f>IF(V828&lt;&gt;"Y","",MAX(0,(1-R828/'01_설정'!B5))*'01_설정'!B14+MAX(0,(1-S828/'01_설정'!B6))*'01_설정'!B15+MAX(0,(1-T828/'01_설정'!B7))*'01_설정'!B16+MAX(0,(1-U828/'01_설정'!B8))*'01_설정'!B17+O828*'01_설정'!B11+Q828*'01_설정'!B12+P828*'01_설정'!B13+IF(Z828="",0,Z828))</f>
        <v/>
      </c>
      <c r="X828" s="152">
        <f>IF(W828="","",1+COUNTIFS($W$4:$W$3003,"&gt;"&amp;W828)+COUNTIFS($W$4:W828,W828)-1)</f>
        <v/>
      </c>
      <c r="Y828" s="175">
        <f>IF(OR(I828="",'02_대상물건입력'!B19="",'02_대상물건입력'!B19&lt;=0),"",ABS(I828-'02_대상물건입력'!B19)/'02_대상물건입력'!B19)</f>
        <v/>
      </c>
      <c r="Z828" s="172">
        <f>IF(OR(Y828="",'01_설정'!B31="",'01_설정'!B31&lt;=0,'01_설정'!B32="",'01_설정'!B32&lt;=0),"",MAX(0,(1-Y828/'01_설정'!B32))*'01_설정'!B31)</f>
        <v/>
      </c>
    </row>
    <row r="829" ht="17.25" customHeight="1">
      <c r="A829" s="152">
        <f>IF(INDEX('04A_국토부원자료'!$A:$A,ROW()+1)="","",ROW()-3)</f>
        <v/>
      </c>
      <c r="B829" s="48">
        <f>IFERROR(INDEX('04A_국토부원자료'!$A:$T,ROW()+1,MATCH("시군구",'04A_국토부원자료'!$A$4:$T$4,0)),"")</f>
        <v/>
      </c>
      <c r="C829" s="48">
        <f>IF(B829="","",IFERROR(INDEX('04A_국토부원자료'!$A:$T,ROW()+1,MATCH("번지",'04A_국토부원자료'!$A$4:$T$4,0)),""))</f>
        <v/>
      </c>
      <c r="D829" s="48">
        <f>IF(B829="","",IF(Q829=1,'02_대상물건입력'!$B$8,IFERROR(INDEX('04A_국토부원자료'!$A:$T,ROW()+1,MATCH("단지명",'04A_국토부원자료'!$A$4:$T$4,0)),"")))</f>
        <v/>
      </c>
      <c r="E829" s="172">
        <f>IFERROR(VALUE(SUBSTITUTE(INDEX('04A_국토부원자료'!$A:$T,ROW()+1,MATCH("전용면적(㎡)",'04A_국토부원자료'!$A$4:$T$4,0)),",","")),"")</f>
        <v/>
      </c>
      <c r="F8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29" s="51">
        <f>IFERROR(VALUE(SUBSTITUTE(INDEX('04A_국토부원자료'!$A:$T,ROW()+1,MATCH("거래금액(만원)",'04A_국토부원자료'!$A$4:$T$4,0)),",","")),"")</f>
        <v/>
      </c>
      <c r="H829" s="174">
        <f>IF(G829="","",G829*10000)</f>
        <v/>
      </c>
      <c r="I829" s="174">
        <f>IFERROR(IF(AND(H829&gt;0,E829&gt;0),H829/E829,""),"")</f>
        <v/>
      </c>
      <c r="J829" s="152">
        <f>IFERROR(VALUE(SUBSTITUTE(INDEX('04A_국토부원자료'!$A:$T,ROW()+1,MATCH("층",'04A_국토부원자료'!$A$4:$T$4,0)),",","")),"")</f>
        <v/>
      </c>
      <c r="K829" s="152">
        <f>IFERROR(VALUE(SUBSTITUTE(INDEX('04A_국토부원자료'!$A:$T,ROW()+1,MATCH("건축년도",'04A_국토부원자료'!$A$4:$T$4,0)),",","")),"")</f>
        <v/>
      </c>
      <c r="L829" s="176">
        <f>IFERROR(INDEX('04A_국토부원자료'!$A:$T,ROW()+1,MATCH("도로명",'04A_국토부원자료'!$A$4:$T$4,0)),"")</f>
        <v/>
      </c>
      <c r="M829" s="48">
        <f>IFERROR(INDEX('04A_국토부원자료'!$A:$T,ROW()+1,MATCH("거래유형",'04A_국토부원자료'!$A$4:$T$4,0)),"")</f>
        <v/>
      </c>
      <c r="N829" s="152">
        <f>IF(B829="","",IF('02_대상물건입력'!B5="",1,IF(ISNUMBER(SEARCH('02_대상물건입력'!B5,B829)),1,0)))</f>
        <v/>
      </c>
      <c r="O829" s="152">
        <f>IF(B829="","",IF('02_대상물건입력'!B6="",1,IF(ISNUMBER(SEARCH('02_대상물건입력'!B6,B829)),1,0)))</f>
        <v/>
      </c>
      <c r="P829" s="152">
        <f>IF(L829="","",IF('02_대상물건입력'!B15="",0,IF(ISNUMBER(SEARCH('02_대상물건입력'!B15,L829)),1,0)))</f>
        <v/>
      </c>
      <c r="Q829" s="152">
        <f>IF(OR(C829="",L829=""),0,IF(AND(TRIM(C829)=TRIM(RIGHT(SUBSTITUTE(TRIM('02_대상물건입력'!$B$7)," ",REPT(" ",99)),99)),IF('02_대상물건입력'!B15="",TRUE(),ISNUMBER(SEARCH('02_대상물건입력'!B15,L829)))),1,0))</f>
        <v/>
      </c>
      <c r="R829" s="175">
        <f>IFERROR(ABS(E829-'02_대상물건입력'!B11)/'02_대상물건입력'!B11,"")</f>
        <v/>
      </c>
      <c r="S829" s="152">
        <f>IFERROR(ABS(J829-'02_대상물건입력'!B10),"")</f>
        <v/>
      </c>
      <c r="T829" s="152">
        <f>IFERROR(ABS('01_설정'!B4-F829),"")</f>
        <v/>
      </c>
      <c r="U829" s="152">
        <f>IFERROR(ABS(K829-YEAR('02_대상물건입력'!B14)),"")</f>
        <v/>
      </c>
      <c r="V829" s="152">
        <f>IF(B829="","",IF(AND(E829&gt;0,F829&gt;0,H829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829=1,TRUE()),R829&lt;='01_설정'!B5,S829&lt;='01_설정'!B6,T829&lt;='01_설정'!B7,U829&lt;='01_설정'!B8),"Y",""))</f>
        <v/>
      </c>
      <c r="W829" s="172">
        <f>IF(V829&lt;&gt;"Y","",MAX(0,(1-R829/'01_설정'!B5))*'01_설정'!B14+MAX(0,(1-S829/'01_설정'!B6))*'01_설정'!B15+MAX(0,(1-T829/'01_설정'!B7))*'01_설정'!B16+MAX(0,(1-U829/'01_설정'!B8))*'01_설정'!B17+O829*'01_설정'!B11+Q829*'01_설정'!B12+P829*'01_설정'!B13+IF(Z829="",0,Z829))</f>
        <v/>
      </c>
      <c r="X829" s="152">
        <f>IF(W829="","",1+COUNTIFS($W$4:$W$3003,"&gt;"&amp;W829)+COUNTIFS($W$4:W829,W829)-1)</f>
        <v/>
      </c>
      <c r="Y829" s="175">
        <f>IF(OR(I829="",'02_대상물건입력'!B19="",'02_대상물건입력'!B19&lt;=0),"",ABS(I829-'02_대상물건입력'!B19)/'02_대상물건입력'!B19)</f>
        <v/>
      </c>
      <c r="Z829" s="172">
        <f>IF(OR(Y829="",'01_설정'!B31="",'01_설정'!B31&lt;=0,'01_설정'!B32="",'01_설정'!B32&lt;=0),"",MAX(0,(1-Y829/'01_설정'!B32))*'01_설정'!B31)</f>
        <v/>
      </c>
    </row>
    <row r="830" ht="17.25" customHeight="1">
      <c r="A830" s="152">
        <f>IF(INDEX('04A_국토부원자료'!$A:$A,ROW()+1)="","",ROW()-3)</f>
        <v/>
      </c>
      <c r="B830" s="48">
        <f>IFERROR(INDEX('04A_국토부원자료'!$A:$T,ROW()+1,MATCH("시군구",'04A_국토부원자료'!$A$4:$T$4,0)),"")</f>
        <v/>
      </c>
      <c r="C830" s="48">
        <f>IF(B830="","",IFERROR(INDEX('04A_국토부원자료'!$A:$T,ROW()+1,MATCH("번지",'04A_국토부원자료'!$A$4:$T$4,0)),""))</f>
        <v/>
      </c>
      <c r="D830" s="48">
        <f>IF(B830="","",IF(Q830=1,'02_대상물건입력'!$B$8,IFERROR(INDEX('04A_국토부원자료'!$A:$T,ROW()+1,MATCH("단지명",'04A_국토부원자료'!$A$4:$T$4,0)),"")))</f>
        <v/>
      </c>
      <c r="E830" s="172">
        <f>IFERROR(VALUE(SUBSTITUTE(INDEX('04A_국토부원자료'!$A:$T,ROW()+1,MATCH("전용면적(㎡)",'04A_국토부원자료'!$A$4:$T$4,0)),",","")),"")</f>
        <v/>
      </c>
      <c r="F8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30" s="51">
        <f>IFERROR(VALUE(SUBSTITUTE(INDEX('04A_국토부원자료'!$A:$T,ROW()+1,MATCH("거래금액(만원)",'04A_국토부원자료'!$A$4:$T$4,0)),",","")),"")</f>
        <v/>
      </c>
      <c r="H830" s="174">
        <f>IF(G830="","",G830*10000)</f>
        <v/>
      </c>
      <c r="I830" s="174">
        <f>IFERROR(IF(AND(H830&gt;0,E830&gt;0),H830/E830,""),"")</f>
        <v/>
      </c>
      <c r="J830" s="152">
        <f>IFERROR(VALUE(SUBSTITUTE(INDEX('04A_국토부원자료'!$A:$T,ROW()+1,MATCH("층",'04A_국토부원자료'!$A$4:$T$4,0)),",","")),"")</f>
        <v/>
      </c>
      <c r="K830" s="152">
        <f>IFERROR(VALUE(SUBSTITUTE(INDEX('04A_국토부원자료'!$A:$T,ROW()+1,MATCH("건축년도",'04A_국토부원자료'!$A$4:$T$4,0)),",","")),"")</f>
        <v/>
      </c>
      <c r="L830" s="176">
        <f>IFERROR(INDEX('04A_국토부원자료'!$A:$T,ROW()+1,MATCH("도로명",'04A_국토부원자료'!$A$4:$T$4,0)),"")</f>
        <v/>
      </c>
      <c r="M830" s="48">
        <f>IFERROR(INDEX('04A_국토부원자료'!$A:$T,ROW()+1,MATCH("거래유형",'04A_국토부원자료'!$A$4:$T$4,0)),"")</f>
        <v/>
      </c>
      <c r="N830" s="152">
        <f>IF(B830="","",IF('02_대상물건입력'!B5="",1,IF(ISNUMBER(SEARCH('02_대상물건입력'!B5,B830)),1,0)))</f>
        <v/>
      </c>
      <c r="O830" s="152">
        <f>IF(B830="","",IF('02_대상물건입력'!B6="",1,IF(ISNUMBER(SEARCH('02_대상물건입력'!B6,B830)),1,0)))</f>
        <v/>
      </c>
      <c r="P830" s="152">
        <f>IF(L830="","",IF('02_대상물건입력'!B15="",0,IF(ISNUMBER(SEARCH('02_대상물건입력'!B15,L830)),1,0)))</f>
        <v/>
      </c>
      <c r="Q830" s="152">
        <f>IF(OR(C830="",L830=""),0,IF(AND(TRIM(C830)=TRIM(RIGHT(SUBSTITUTE(TRIM('02_대상물건입력'!$B$7)," ",REPT(" ",99)),99)),IF('02_대상물건입력'!B15="",TRUE(),ISNUMBER(SEARCH('02_대상물건입력'!B15,L830)))),1,0))</f>
        <v/>
      </c>
      <c r="R830" s="175">
        <f>IFERROR(ABS(E830-'02_대상물건입력'!B11)/'02_대상물건입력'!B11,"")</f>
        <v/>
      </c>
      <c r="S830" s="152">
        <f>IFERROR(ABS(J830-'02_대상물건입력'!B10),"")</f>
        <v/>
      </c>
      <c r="T830" s="152">
        <f>IFERROR(ABS('01_설정'!B4-F830),"")</f>
        <v/>
      </c>
      <c r="U830" s="152">
        <f>IFERROR(ABS(K830-YEAR('02_대상물건입력'!B14)),"")</f>
        <v/>
      </c>
      <c r="V830" s="152">
        <f>IF(B830="","",IF(AND(E830&gt;0,F830&gt;0,H830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830=1,TRUE()),R830&lt;='01_설정'!B5,S830&lt;='01_설정'!B6,T830&lt;='01_설정'!B7,U830&lt;='01_설정'!B8),"Y",""))</f>
        <v/>
      </c>
      <c r="W830" s="172">
        <f>IF(V830&lt;&gt;"Y","",MAX(0,(1-R830/'01_설정'!B5))*'01_설정'!B14+MAX(0,(1-S830/'01_설정'!B6))*'01_설정'!B15+MAX(0,(1-T830/'01_설정'!B7))*'01_설정'!B16+MAX(0,(1-U830/'01_설정'!B8))*'01_설정'!B17+O830*'01_설정'!B11+Q830*'01_설정'!B12+P830*'01_설정'!B13+IF(Z830="",0,Z830))</f>
        <v/>
      </c>
      <c r="X830" s="152">
        <f>IF(W830="","",1+COUNTIFS($W$4:$W$3003,"&gt;"&amp;W830)+COUNTIFS($W$4:W830,W830)-1)</f>
        <v/>
      </c>
      <c r="Y830" s="175">
        <f>IF(OR(I830="",'02_대상물건입력'!B19="",'02_대상물건입력'!B19&lt;=0),"",ABS(I830-'02_대상물건입력'!B19)/'02_대상물건입력'!B19)</f>
        <v/>
      </c>
      <c r="Z830" s="172">
        <f>IF(OR(Y830="",'01_설정'!B31="",'01_설정'!B31&lt;=0,'01_설정'!B32="",'01_설정'!B32&lt;=0),"",MAX(0,(1-Y830/'01_설정'!B32))*'01_설정'!B31)</f>
        <v/>
      </c>
    </row>
    <row r="831" ht="17.25" customHeight="1">
      <c r="A831" s="152">
        <f>IF(INDEX('04A_국토부원자료'!$A:$A,ROW()+1)="","",ROW()-3)</f>
        <v/>
      </c>
      <c r="B831" s="48">
        <f>IFERROR(INDEX('04A_국토부원자료'!$A:$T,ROW()+1,MATCH("시군구",'04A_국토부원자료'!$A$4:$T$4,0)),"")</f>
        <v/>
      </c>
      <c r="C831" s="48">
        <f>IF(B831="","",IFERROR(INDEX('04A_국토부원자료'!$A:$T,ROW()+1,MATCH("번지",'04A_국토부원자료'!$A$4:$T$4,0)),""))</f>
        <v/>
      </c>
      <c r="D831" s="48">
        <f>IF(B831="","",IF(Q831=1,'02_대상물건입력'!$B$8,IFERROR(INDEX('04A_국토부원자료'!$A:$T,ROW()+1,MATCH("단지명",'04A_국토부원자료'!$A$4:$T$4,0)),"")))</f>
        <v/>
      </c>
      <c r="E831" s="172">
        <f>IFERROR(VALUE(SUBSTITUTE(INDEX('04A_국토부원자료'!$A:$T,ROW()+1,MATCH("전용면적(㎡)",'04A_국토부원자료'!$A$4:$T$4,0)),",","")),"")</f>
        <v/>
      </c>
      <c r="F8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31" s="51">
        <f>IFERROR(VALUE(SUBSTITUTE(INDEX('04A_국토부원자료'!$A:$T,ROW()+1,MATCH("거래금액(만원)",'04A_국토부원자료'!$A$4:$T$4,0)),",","")),"")</f>
        <v/>
      </c>
      <c r="H831" s="174">
        <f>IF(G831="","",G831*10000)</f>
        <v/>
      </c>
      <c r="I831" s="174">
        <f>IFERROR(IF(AND(H831&gt;0,E831&gt;0),H831/E831,""),"")</f>
        <v/>
      </c>
      <c r="J831" s="152">
        <f>IFERROR(VALUE(SUBSTITUTE(INDEX('04A_국토부원자료'!$A:$T,ROW()+1,MATCH("층",'04A_국토부원자료'!$A$4:$T$4,0)),",","")),"")</f>
        <v/>
      </c>
      <c r="K831" s="152">
        <f>IFERROR(VALUE(SUBSTITUTE(INDEX('04A_국토부원자료'!$A:$T,ROW()+1,MATCH("건축년도",'04A_국토부원자료'!$A$4:$T$4,0)),",","")),"")</f>
        <v/>
      </c>
      <c r="L831" s="176">
        <f>IFERROR(INDEX('04A_국토부원자료'!$A:$T,ROW()+1,MATCH("도로명",'04A_국토부원자료'!$A$4:$T$4,0)),"")</f>
        <v/>
      </c>
      <c r="M831" s="48">
        <f>IFERROR(INDEX('04A_국토부원자료'!$A:$T,ROW()+1,MATCH("거래유형",'04A_국토부원자료'!$A$4:$T$4,0)),"")</f>
        <v/>
      </c>
      <c r="N831" s="152">
        <f>IF(B831="","",IF('02_대상물건입력'!B5="",1,IF(ISNUMBER(SEARCH('02_대상물건입력'!B5,B831)),1,0)))</f>
        <v/>
      </c>
      <c r="O831" s="152">
        <f>IF(B831="","",IF('02_대상물건입력'!B6="",1,IF(ISNUMBER(SEARCH('02_대상물건입력'!B6,B831)),1,0)))</f>
        <v/>
      </c>
      <c r="P831" s="152">
        <f>IF(L831="","",IF('02_대상물건입력'!B15="",0,IF(ISNUMBER(SEARCH('02_대상물건입력'!B15,L831)),1,0)))</f>
        <v/>
      </c>
      <c r="Q831" s="152">
        <f>IF(OR(C831="",L831=""),0,IF(AND(TRIM(C831)=TRIM(RIGHT(SUBSTITUTE(TRIM('02_대상물건입력'!$B$7)," ",REPT(" ",99)),99)),IF('02_대상물건입력'!B15="",TRUE(),ISNUMBER(SEARCH('02_대상물건입력'!B15,L831)))),1,0))</f>
        <v/>
      </c>
      <c r="R831" s="175">
        <f>IFERROR(ABS(E831-'02_대상물건입력'!B11)/'02_대상물건입력'!B11,"")</f>
        <v/>
      </c>
      <c r="S831" s="152">
        <f>IFERROR(ABS(J831-'02_대상물건입력'!B10),"")</f>
        <v/>
      </c>
      <c r="T831" s="152">
        <f>IFERROR(ABS('01_설정'!B4-F831),"")</f>
        <v/>
      </c>
      <c r="U831" s="152">
        <f>IFERROR(ABS(K831-YEAR('02_대상물건입력'!B14)),"")</f>
        <v/>
      </c>
      <c r="V831" s="152">
        <f>IF(B831="","",IF(AND(E831&gt;0,F831&gt;0,H831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831=1,TRUE()),R831&lt;='01_설정'!B5,S831&lt;='01_설정'!B6,T831&lt;='01_설정'!B7,U831&lt;='01_설정'!B8),"Y",""))</f>
        <v/>
      </c>
      <c r="W831" s="172">
        <f>IF(V831&lt;&gt;"Y","",MAX(0,(1-R831/'01_설정'!B5))*'01_설정'!B14+MAX(0,(1-S831/'01_설정'!B6))*'01_설정'!B15+MAX(0,(1-T831/'01_설정'!B7))*'01_설정'!B16+MAX(0,(1-U831/'01_설정'!B8))*'01_설정'!B17+O831*'01_설정'!B11+Q831*'01_설정'!B12+P831*'01_설정'!B13+IF(Z831="",0,Z831))</f>
        <v/>
      </c>
      <c r="X831" s="152">
        <f>IF(W831="","",1+COUNTIFS($W$4:$W$3003,"&gt;"&amp;W831)+COUNTIFS($W$4:W831,W831)-1)</f>
        <v/>
      </c>
      <c r="Y831" s="175">
        <f>IF(OR(I831="",'02_대상물건입력'!B19="",'02_대상물건입력'!B19&lt;=0),"",ABS(I831-'02_대상물건입력'!B19)/'02_대상물건입력'!B19)</f>
        <v/>
      </c>
      <c r="Z831" s="172">
        <f>IF(OR(Y831="",'01_설정'!B31="",'01_설정'!B31&lt;=0,'01_설정'!B32="",'01_설정'!B32&lt;=0),"",MAX(0,(1-Y831/'01_설정'!B32))*'01_설정'!B31)</f>
        <v/>
      </c>
    </row>
    <row r="832" ht="17.25" customHeight="1">
      <c r="A832" s="152">
        <f>IF(INDEX('04A_국토부원자료'!$A:$A,ROW()+1)="","",ROW()-3)</f>
        <v/>
      </c>
      <c r="B832" s="48">
        <f>IFERROR(INDEX('04A_국토부원자료'!$A:$T,ROW()+1,MATCH("시군구",'04A_국토부원자료'!$A$4:$T$4,0)),"")</f>
        <v/>
      </c>
      <c r="C832" s="48">
        <f>IF(B832="","",IFERROR(INDEX('04A_국토부원자료'!$A:$T,ROW()+1,MATCH("번지",'04A_국토부원자료'!$A$4:$T$4,0)),""))</f>
        <v/>
      </c>
      <c r="D832" s="48">
        <f>IF(B832="","",IF(Q832=1,'02_대상물건입력'!$B$8,IFERROR(INDEX('04A_국토부원자료'!$A:$T,ROW()+1,MATCH("단지명",'04A_국토부원자료'!$A$4:$T$4,0)),"")))</f>
        <v/>
      </c>
      <c r="E832" s="172">
        <f>IFERROR(VALUE(SUBSTITUTE(INDEX('04A_국토부원자료'!$A:$T,ROW()+1,MATCH("전용면적(㎡)",'04A_국토부원자료'!$A$4:$T$4,0)),",","")),"")</f>
        <v/>
      </c>
      <c r="F8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32" s="51">
        <f>IFERROR(VALUE(SUBSTITUTE(INDEX('04A_국토부원자료'!$A:$T,ROW()+1,MATCH("거래금액(만원)",'04A_국토부원자료'!$A$4:$T$4,0)),",","")),"")</f>
        <v/>
      </c>
      <c r="H832" s="174">
        <f>IF(G832="","",G832*10000)</f>
        <v/>
      </c>
      <c r="I832" s="174">
        <f>IFERROR(IF(AND(H832&gt;0,E832&gt;0),H832/E832,""),"")</f>
        <v/>
      </c>
      <c r="J832" s="152">
        <f>IFERROR(VALUE(SUBSTITUTE(INDEX('04A_국토부원자료'!$A:$T,ROW()+1,MATCH("층",'04A_국토부원자료'!$A$4:$T$4,0)),",","")),"")</f>
        <v/>
      </c>
      <c r="K832" s="152">
        <f>IFERROR(VALUE(SUBSTITUTE(INDEX('04A_국토부원자료'!$A:$T,ROW()+1,MATCH("건축년도",'04A_국토부원자료'!$A$4:$T$4,0)),",","")),"")</f>
        <v/>
      </c>
      <c r="L832" s="176">
        <f>IFERROR(INDEX('04A_국토부원자료'!$A:$T,ROW()+1,MATCH("도로명",'04A_국토부원자료'!$A$4:$T$4,0)),"")</f>
        <v/>
      </c>
      <c r="M832" s="48">
        <f>IFERROR(INDEX('04A_국토부원자료'!$A:$T,ROW()+1,MATCH("거래유형",'04A_국토부원자료'!$A$4:$T$4,0)),"")</f>
        <v/>
      </c>
      <c r="N832" s="152">
        <f>IF(B832="","",IF('02_대상물건입력'!B5="",1,IF(ISNUMBER(SEARCH('02_대상물건입력'!B5,B832)),1,0)))</f>
        <v/>
      </c>
      <c r="O832" s="152">
        <f>IF(B832="","",IF('02_대상물건입력'!B6="",1,IF(ISNUMBER(SEARCH('02_대상물건입력'!B6,B832)),1,0)))</f>
        <v/>
      </c>
      <c r="P832" s="152">
        <f>IF(L832="","",IF('02_대상물건입력'!B15="",0,IF(ISNUMBER(SEARCH('02_대상물건입력'!B15,L832)),1,0)))</f>
        <v/>
      </c>
      <c r="Q832" s="152">
        <f>IF(OR(C832="",L832=""),0,IF(AND(TRIM(C832)=TRIM(RIGHT(SUBSTITUTE(TRIM('02_대상물건입력'!$B$7)," ",REPT(" ",99)),99)),IF('02_대상물건입력'!B15="",TRUE(),ISNUMBER(SEARCH('02_대상물건입력'!B15,L832)))),1,0))</f>
        <v/>
      </c>
      <c r="R832" s="175">
        <f>IFERROR(ABS(E832-'02_대상물건입력'!B11)/'02_대상물건입력'!B11,"")</f>
        <v/>
      </c>
      <c r="S832" s="152">
        <f>IFERROR(ABS(J832-'02_대상물건입력'!B10),"")</f>
        <v/>
      </c>
      <c r="T832" s="152">
        <f>IFERROR(ABS('01_설정'!B4-F832),"")</f>
        <v/>
      </c>
      <c r="U832" s="152">
        <f>IFERROR(ABS(K832-YEAR('02_대상물건입력'!B14)),"")</f>
        <v/>
      </c>
      <c r="V832" s="152">
        <f>IF(B832="","",IF(AND(E832&gt;0,F832&gt;0,H832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832=1,TRUE()),R832&lt;='01_설정'!B5,S832&lt;='01_설정'!B6,T832&lt;='01_설정'!B7,U832&lt;='01_설정'!B8),"Y",""))</f>
        <v/>
      </c>
      <c r="W832" s="172">
        <f>IF(V832&lt;&gt;"Y","",MAX(0,(1-R832/'01_설정'!B5))*'01_설정'!B14+MAX(0,(1-S832/'01_설정'!B6))*'01_설정'!B15+MAX(0,(1-T832/'01_설정'!B7))*'01_설정'!B16+MAX(0,(1-U832/'01_설정'!B8))*'01_설정'!B17+O832*'01_설정'!B11+Q832*'01_설정'!B12+P832*'01_설정'!B13+IF(Z832="",0,Z832))</f>
        <v/>
      </c>
      <c r="X832" s="152">
        <f>IF(W832="","",1+COUNTIFS($W$4:$W$3003,"&gt;"&amp;W832)+COUNTIFS($W$4:W832,W832)-1)</f>
        <v/>
      </c>
      <c r="Y832" s="175">
        <f>IF(OR(I832="",'02_대상물건입력'!B19="",'02_대상물건입력'!B19&lt;=0),"",ABS(I832-'02_대상물건입력'!B19)/'02_대상물건입력'!B19)</f>
        <v/>
      </c>
      <c r="Z832" s="172">
        <f>IF(OR(Y832="",'01_설정'!B31="",'01_설정'!B31&lt;=0,'01_설정'!B32="",'01_설정'!B32&lt;=0),"",MAX(0,(1-Y832/'01_설정'!B32))*'01_설정'!B31)</f>
        <v/>
      </c>
    </row>
    <row r="833" ht="17.25" customHeight="1">
      <c r="A833" s="152">
        <f>IF(INDEX('04A_국토부원자료'!$A:$A,ROW()+1)="","",ROW()-3)</f>
        <v/>
      </c>
      <c r="B833" s="48">
        <f>IFERROR(INDEX('04A_국토부원자료'!$A:$T,ROW()+1,MATCH("시군구",'04A_국토부원자료'!$A$4:$T$4,0)),"")</f>
        <v/>
      </c>
      <c r="C833" s="48">
        <f>IF(B833="","",IFERROR(INDEX('04A_국토부원자료'!$A:$T,ROW()+1,MATCH("번지",'04A_국토부원자료'!$A$4:$T$4,0)),""))</f>
        <v/>
      </c>
      <c r="D833" s="48">
        <f>IF(B833="","",IF(Q833=1,'02_대상물건입력'!$B$8,IFERROR(INDEX('04A_국토부원자료'!$A:$T,ROW()+1,MATCH("단지명",'04A_국토부원자료'!$A$4:$T$4,0)),"")))</f>
        <v/>
      </c>
      <c r="E833" s="172">
        <f>IFERROR(VALUE(SUBSTITUTE(INDEX('04A_국토부원자료'!$A:$T,ROW()+1,MATCH("전용면적(㎡)",'04A_국토부원자료'!$A$4:$T$4,0)),",","")),"")</f>
        <v/>
      </c>
      <c r="F8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33" s="51">
        <f>IFERROR(VALUE(SUBSTITUTE(INDEX('04A_국토부원자료'!$A:$T,ROW()+1,MATCH("거래금액(만원)",'04A_국토부원자료'!$A$4:$T$4,0)),",","")),"")</f>
        <v/>
      </c>
      <c r="H833" s="174">
        <f>IF(G833="","",G833*10000)</f>
        <v/>
      </c>
      <c r="I833" s="174">
        <f>IFERROR(IF(AND(H833&gt;0,E833&gt;0),H833/E833,""),"")</f>
        <v/>
      </c>
      <c r="J833" s="152">
        <f>IFERROR(VALUE(SUBSTITUTE(INDEX('04A_국토부원자료'!$A:$T,ROW()+1,MATCH("층",'04A_국토부원자료'!$A$4:$T$4,0)),",","")),"")</f>
        <v/>
      </c>
      <c r="K833" s="152">
        <f>IFERROR(VALUE(SUBSTITUTE(INDEX('04A_국토부원자료'!$A:$T,ROW()+1,MATCH("건축년도",'04A_국토부원자료'!$A$4:$T$4,0)),",","")),"")</f>
        <v/>
      </c>
      <c r="L833" s="176">
        <f>IFERROR(INDEX('04A_국토부원자료'!$A:$T,ROW()+1,MATCH("도로명",'04A_국토부원자료'!$A$4:$T$4,0)),"")</f>
        <v/>
      </c>
      <c r="M833" s="48">
        <f>IFERROR(INDEX('04A_국토부원자료'!$A:$T,ROW()+1,MATCH("거래유형",'04A_국토부원자료'!$A$4:$T$4,0)),"")</f>
        <v/>
      </c>
      <c r="N833" s="152">
        <f>IF(B833="","",IF('02_대상물건입력'!B5="",1,IF(ISNUMBER(SEARCH('02_대상물건입력'!B5,B833)),1,0)))</f>
        <v/>
      </c>
      <c r="O833" s="152">
        <f>IF(B833="","",IF('02_대상물건입력'!B6="",1,IF(ISNUMBER(SEARCH('02_대상물건입력'!B6,B833)),1,0)))</f>
        <v/>
      </c>
      <c r="P833" s="152">
        <f>IF(L833="","",IF('02_대상물건입력'!B15="",0,IF(ISNUMBER(SEARCH('02_대상물건입력'!B15,L833)),1,0)))</f>
        <v/>
      </c>
      <c r="Q833" s="152">
        <f>IF(OR(C833="",L833=""),0,IF(AND(TRIM(C833)=TRIM(RIGHT(SUBSTITUTE(TRIM('02_대상물건입력'!$B$7)," ",REPT(" ",99)),99)),IF('02_대상물건입력'!B15="",TRUE(),ISNUMBER(SEARCH('02_대상물건입력'!B15,L833)))),1,0))</f>
        <v/>
      </c>
      <c r="R833" s="175">
        <f>IFERROR(ABS(E833-'02_대상물건입력'!B11)/'02_대상물건입력'!B11,"")</f>
        <v/>
      </c>
      <c r="S833" s="152">
        <f>IFERROR(ABS(J833-'02_대상물건입력'!B10),"")</f>
        <v/>
      </c>
      <c r="T833" s="152">
        <f>IFERROR(ABS('01_설정'!B4-F833),"")</f>
        <v/>
      </c>
      <c r="U833" s="152">
        <f>IFERROR(ABS(K833-YEAR('02_대상물건입력'!B14)),"")</f>
        <v/>
      </c>
      <c r="V833" s="152">
        <f>IF(B833="","",IF(AND(E833&gt;0,F833&gt;0,H833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833=1,TRUE()),R833&lt;='01_설정'!B5,S833&lt;='01_설정'!B6,T833&lt;='01_설정'!B7,U833&lt;='01_설정'!B8),"Y",""))</f>
        <v/>
      </c>
      <c r="W833" s="172">
        <f>IF(V833&lt;&gt;"Y","",MAX(0,(1-R833/'01_설정'!B5))*'01_설정'!B14+MAX(0,(1-S833/'01_설정'!B6))*'01_설정'!B15+MAX(0,(1-T833/'01_설정'!B7))*'01_설정'!B16+MAX(0,(1-U833/'01_설정'!B8))*'01_설정'!B17+O833*'01_설정'!B11+Q833*'01_설정'!B12+P833*'01_설정'!B13+IF(Z833="",0,Z833))</f>
        <v/>
      </c>
      <c r="X833" s="152">
        <f>IF(W833="","",1+COUNTIFS($W$4:$W$3003,"&gt;"&amp;W833)+COUNTIFS($W$4:W833,W833)-1)</f>
        <v/>
      </c>
      <c r="Y833" s="175">
        <f>IF(OR(I833="",'02_대상물건입력'!B19="",'02_대상물건입력'!B19&lt;=0),"",ABS(I833-'02_대상물건입력'!B19)/'02_대상물건입력'!B19)</f>
        <v/>
      </c>
      <c r="Z833" s="172">
        <f>IF(OR(Y833="",'01_설정'!B31="",'01_설정'!B31&lt;=0,'01_설정'!B32="",'01_설정'!B32&lt;=0),"",MAX(0,(1-Y833/'01_설정'!B32))*'01_설정'!B31)</f>
        <v/>
      </c>
    </row>
    <row r="834" ht="17.25" customHeight="1">
      <c r="A834" s="152">
        <f>IF(INDEX('04A_국토부원자료'!$A:$A,ROW()+1)="","",ROW()-3)</f>
        <v/>
      </c>
      <c r="B834" s="48">
        <f>IFERROR(INDEX('04A_국토부원자료'!$A:$T,ROW()+1,MATCH("시군구",'04A_국토부원자료'!$A$4:$T$4,0)),"")</f>
        <v/>
      </c>
      <c r="C834" s="48">
        <f>IF(B834="","",IFERROR(INDEX('04A_국토부원자료'!$A:$T,ROW()+1,MATCH("번지",'04A_국토부원자료'!$A$4:$T$4,0)),""))</f>
        <v/>
      </c>
      <c r="D834" s="48">
        <f>IF(B834="","",IF(Q834=1,'02_대상물건입력'!$B$8,IFERROR(INDEX('04A_국토부원자료'!$A:$T,ROW()+1,MATCH("단지명",'04A_국토부원자료'!$A$4:$T$4,0)),"")))</f>
        <v/>
      </c>
      <c r="E834" s="172">
        <f>IFERROR(VALUE(SUBSTITUTE(INDEX('04A_국토부원자료'!$A:$T,ROW()+1,MATCH("전용면적(㎡)",'04A_국토부원자료'!$A$4:$T$4,0)),",","")),"")</f>
        <v/>
      </c>
      <c r="F8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34" s="51">
        <f>IFERROR(VALUE(SUBSTITUTE(INDEX('04A_국토부원자료'!$A:$T,ROW()+1,MATCH("거래금액(만원)",'04A_국토부원자료'!$A$4:$T$4,0)),",","")),"")</f>
        <v/>
      </c>
      <c r="H834" s="174">
        <f>IF(G834="","",G834*10000)</f>
        <v/>
      </c>
      <c r="I834" s="174">
        <f>IFERROR(IF(AND(H834&gt;0,E834&gt;0),H834/E834,""),"")</f>
        <v/>
      </c>
      <c r="J834" s="152">
        <f>IFERROR(VALUE(SUBSTITUTE(INDEX('04A_국토부원자료'!$A:$T,ROW()+1,MATCH("층",'04A_국토부원자료'!$A$4:$T$4,0)),",","")),"")</f>
        <v/>
      </c>
      <c r="K834" s="152">
        <f>IFERROR(VALUE(SUBSTITUTE(INDEX('04A_국토부원자료'!$A:$T,ROW()+1,MATCH("건축년도",'04A_국토부원자료'!$A$4:$T$4,0)),",","")),"")</f>
        <v/>
      </c>
      <c r="L834" s="176">
        <f>IFERROR(INDEX('04A_국토부원자료'!$A:$T,ROW()+1,MATCH("도로명",'04A_국토부원자료'!$A$4:$T$4,0)),"")</f>
        <v/>
      </c>
      <c r="M834" s="48">
        <f>IFERROR(INDEX('04A_국토부원자료'!$A:$T,ROW()+1,MATCH("거래유형",'04A_국토부원자료'!$A$4:$T$4,0)),"")</f>
        <v/>
      </c>
      <c r="N834" s="152">
        <f>IF(B834="","",IF('02_대상물건입력'!B5="",1,IF(ISNUMBER(SEARCH('02_대상물건입력'!B5,B834)),1,0)))</f>
        <v/>
      </c>
      <c r="O834" s="152">
        <f>IF(B834="","",IF('02_대상물건입력'!B6="",1,IF(ISNUMBER(SEARCH('02_대상물건입력'!B6,B834)),1,0)))</f>
        <v/>
      </c>
      <c r="P834" s="152">
        <f>IF(L834="","",IF('02_대상물건입력'!B15="",0,IF(ISNUMBER(SEARCH('02_대상물건입력'!B15,L834)),1,0)))</f>
        <v/>
      </c>
      <c r="Q834" s="152">
        <f>IF(OR(C834="",L834=""),0,IF(AND(TRIM(C834)=TRIM(RIGHT(SUBSTITUTE(TRIM('02_대상물건입력'!$B$7)," ",REPT(" ",99)),99)),IF('02_대상물건입력'!B15="",TRUE(),ISNUMBER(SEARCH('02_대상물건입력'!B15,L834)))),1,0))</f>
        <v/>
      </c>
      <c r="R834" s="175">
        <f>IFERROR(ABS(E834-'02_대상물건입력'!B11)/'02_대상물건입력'!B11,"")</f>
        <v/>
      </c>
      <c r="S834" s="152">
        <f>IFERROR(ABS(J834-'02_대상물건입력'!B10),"")</f>
        <v/>
      </c>
      <c r="T834" s="152">
        <f>IFERROR(ABS('01_설정'!B4-F834),"")</f>
        <v/>
      </c>
      <c r="U834" s="152">
        <f>IFERROR(ABS(K834-YEAR('02_대상물건입력'!B14)),"")</f>
        <v/>
      </c>
      <c r="V834" s="152">
        <f>IF(B834="","",IF(AND(E834&gt;0,F834&gt;0,H834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834=1,TRUE()),R834&lt;='01_설정'!B5,S834&lt;='01_설정'!B6,T834&lt;='01_설정'!B7,U834&lt;='01_설정'!B8),"Y",""))</f>
        <v/>
      </c>
      <c r="W834" s="172">
        <f>IF(V834&lt;&gt;"Y","",MAX(0,(1-R834/'01_설정'!B5))*'01_설정'!B14+MAX(0,(1-S834/'01_설정'!B6))*'01_설정'!B15+MAX(0,(1-T834/'01_설정'!B7))*'01_설정'!B16+MAX(0,(1-U834/'01_설정'!B8))*'01_설정'!B17+O834*'01_설정'!B11+Q834*'01_설정'!B12+P834*'01_설정'!B13+IF(Z834="",0,Z834))</f>
        <v/>
      </c>
      <c r="X834" s="152">
        <f>IF(W834="","",1+COUNTIFS($W$4:$W$3003,"&gt;"&amp;W834)+COUNTIFS($W$4:W834,W834)-1)</f>
        <v/>
      </c>
      <c r="Y834" s="175">
        <f>IF(OR(I834="",'02_대상물건입력'!B19="",'02_대상물건입력'!B19&lt;=0),"",ABS(I834-'02_대상물건입력'!B19)/'02_대상물건입력'!B19)</f>
        <v/>
      </c>
      <c r="Z834" s="172">
        <f>IF(OR(Y834="",'01_설정'!B31="",'01_설정'!B31&lt;=0,'01_설정'!B32="",'01_설정'!B32&lt;=0),"",MAX(0,(1-Y834/'01_설정'!B32))*'01_설정'!B31)</f>
        <v/>
      </c>
    </row>
    <row r="835" ht="17.25" customHeight="1">
      <c r="A835" s="152">
        <f>IF(INDEX('04A_국토부원자료'!$A:$A,ROW()+1)="","",ROW()-3)</f>
        <v/>
      </c>
      <c r="B835" s="48">
        <f>IFERROR(INDEX('04A_국토부원자료'!$A:$T,ROW()+1,MATCH("시군구",'04A_국토부원자료'!$A$4:$T$4,0)),"")</f>
        <v/>
      </c>
      <c r="C835" s="48">
        <f>IF(B835="","",IFERROR(INDEX('04A_국토부원자료'!$A:$T,ROW()+1,MATCH("번지",'04A_국토부원자료'!$A$4:$T$4,0)),""))</f>
        <v/>
      </c>
      <c r="D835" s="48">
        <f>IF(B835="","",IF(Q835=1,'02_대상물건입력'!$B$8,IFERROR(INDEX('04A_국토부원자료'!$A:$T,ROW()+1,MATCH("단지명",'04A_국토부원자료'!$A$4:$T$4,0)),"")))</f>
        <v/>
      </c>
      <c r="E835" s="172">
        <f>IFERROR(VALUE(SUBSTITUTE(INDEX('04A_국토부원자료'!$A:$T,ROW()+1,MATCH("전용면적(㎡)",'04A_국토부원자료'!$A$4:$T$4,0)),",","")),"")</f>
        <v/>
      </c>
      <c r="F8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35" s="51">
        <f>IFERROR(VALUE(SUBSTITUTE(INDEX('04A_국토부원자료'!$A:$T,ROW()+1,MATCH("거래금액(만원)",'04A_국토부원자료'!$A$4:$T$4,0)),",","")),"")</f>
        <v/>
      </c>
      <c r="H835" s="174">
        <f>IF(G835="","",G835*10000)</f>
        <v/>
      </c>
      <c r="I835" s="174">
        <f>IFERROR(IF(AND(H835&gt;0,E835&gt;0),H835/E835,""),"")</f>
        <v/>
      </c>
      <c r="J835" s="152">
        <f>IFERROR(VALUE(SUBSTITUTE(INDEX('04A_국토부원자료'!$A:$T,ROW()+1,MATCH("층",'04A_국토부원자료'!$A$4:$T$4,0)),",","")),"")</f>
        <v/>
      </c>
      <c r="K835" s="152">
        <f>IFERROR(VALUE(SUBSTITUTE(INDEX('04A_국토부원자료'!$A:$T,ROW()+1,MATCH("건축년도",'04A_국토부원자료'!$A$4:$T$4,0)),",","")),"")</f>
        <v/>
      </c>
      <c r="L835" s="176">
        <f>IFERROR(INDEX('04A_국토부원자료'!$A:$T,ROW()+1,MATCH("도로명",'04A_국토부원자료'!$A$4:$T$4,0)),"")</f>
        <v/>
      </c>
      <c r="M835" s="48">
        <f>IFERROR(INDEX('04A_국토부원자료'!$A:$T,ROW()+1,MATCH("거래유형",'04A_국토부원자료'!$A$4:$T$4,0)),"")</f>
        <v/>
      </c>
      <c r="N835" s="152">
        <f>IF(B835="","",IF('02_대상물건입력'!B5="",1,IF(ISNUMBER(SEARCH('02_대상물건입력'!B5,B835)),1,0)))</f>
        <v/>
      </c>
      <c r="O835" s="152">
        <f>IF(B835="","",IF('02_대상물건입력'!B6="",1,IF(ISNUMBER(SEARCH('02_대상물건입력'!B6,B835)),1,0)))</f>
        <v/>
      </c>
      <c r="P835" s="152">
        <f>IF(L835="","",IF('02_대상물건입력'!B15="",0,IF(ISNUMBER(SEARCH('02_대상물건입력'!B15,L835)),1,0)))</f>
        <v/>
      </c>
      <c r="Q835" s="152">
        <f>IF(OR(C835="",L835=""),0,IF(AND(TRIM(C835)=TRIM(RIGHT(SUBSTITUTE(TRIM('02_대상물건입력'!$B$7)," ",REPT(" ",99)),99)),IF('02_대상물건입력'!B15="",TRUE(),ISNUMBER(SEARCH('02_대상물건입력'!B15,L835)))),1,0))</f>
        <v/>
      </c>
      <c r="R835" s="175">
        <f>IFERROR(ABS(E835-'02_대상물건입력'!B11)/'02_대상물건입력'!B11,"")</f>
        <v/>
      </c>
      <c r="S835" s="152">
        <f>IFERROR(ABS(J835-'02_대상물건입력'!B10),"")</f>
        <v/>
      </c>
      <c r="T835" s="152">
        <f>IFERROR(ABS('01_설정'!B4-F835),"")</f>
        <v/>
      </c>
      <c r="U835" s="152">
        <f>IFERROR(ABS(K835-YEAR('02_대상물건입력'!B14)),"")</f>
        <v/>
      </c>
      <c r="V835" s="152">
        <f>IF(B835="","",IF(AND(E835&gt;0,F835&gt;0,H835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835=1,TRUE()),R835&lt;='01_설정'!B5,S835&lt;='01_설정'!B6,T835&lt;='01_설정'!B7,U835&lt;='01_설정'!B8),"Y",""))</f>
        <v/>
      </c>
      <c r="W835" s="172">
        <f>IF(V835&lt;&gt;"Y","",MAX(0,(1-R835/'01_설정'!B5))*'01_설정'!B14+MAX(0,(1-S835/'01_설정'!B6))*'01_설정'!B15+MAX(0,(1-T835/'01_설정'!B7))*'01_설정'!B16+MAX(0,(1-U835/'01_설정'!B8))*'01_설정'!B17+O835*'01_설정'!B11+Q835*'01_설정'!B12+P835*'01_설정'!B13+IF(Z835="",0,Z835))</f>
        <v/>
      </c>
      <c r="X835" s="152">
        <f>IF(W835="","",1+COUNTIFS($W$4:$W$3003,"&gt;"&amp;W835)+COUNTIFS($W$4:W835,W835)-1)</f>
        <v/>
      </c>
      <c r="Y835" s="175">
        <f>IF(OR(I835="",'02_대상물건입력'!B19="",'02_대상물건입력'!B19&lt;=0),"",ABS(I835-'02_대상물건입력'!B19)/'02_대상물건입력'!B19)</f>
        <v/>
      </c>
      <c r="Z835" s="172">
        <f>IF(OR(Y835="",'01_설정'!B31="",'01_설정'!B31&lt;=0,'01_설정'!B32="",'01_설정'!B32&lt;=0),"",MAX(0,(1-Y835/'01_설정'!B32))*'01_설정'!B31)</f>
        <v/>
      </c>
    </row>
    <row r="836" ht="17.25" customHeight="1">
      <c r="A836" s="152">
        <f>IF(INDEX('04A_국토부원자료'!$A:$A,ROW()+1)="","",ROW()-3)</f>
        <v/>
      </c>
      <c r="B836" s="48">
        <f>IFERROR(INDEX('04A_국토부원자료'!$A:$T,ROW()+1,MATCH("시군구",'04A_국토부원자료'!$A$4:$T$4,0)),"")</f>
        <v/>
      </c>
      <c r="C836" s="48">
        <f>IF(B836="","",IFERROR(INDEX('04A_국토부원자료'!$A:$T,ROW()+1,MATCH("번지",'04A_국토부원자료'!$A$4:$T$4,0)),""))</f>
        <v/>
      </c>
      <c r="D836" s="48">
        <f>IF(B836="","",IF(Q836=1,'02_대상물건입력'!$B$8,IFERROR(INDEX('04A_국토부원자료'!$A:$T,ROW()+1,MATCH("단지명",'04A_국토부원자료'!$A$4:$T$4,0)),"")))</f>
        <v/>
      </c>
      <c r="E836" s="172">
        <f>IFERROR(VALUE(SUBSTITUTE(INDEX('04A_국토부원자료'!$A:$T,ROW()+1,MATCH("전용면적(㎡)",'04A_국토부원자료'!$A$4:$T$4,0)),",","")),"")</f>
        <v/>
      </c>
      <c r="F8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36" s="51">
        <f>IFERROR(VALUE(SUBSTITUTE(INDEX('04A_국토부원자료'!$A:$T,ROW()+1,MATCH("거래금액(만원)",'04A_국토부원자료'!$A$4:$T$4,0)),",","")),"")</f>
        <v/>
      </c>
      <c r="H836" s="174">
        <f>IF(G836="","",G836*10000)</f>
        <v/>
      </c>
      <c r="I836" s="174">
        <f>IFERROR(IF(AND(H836&gt;0,E836&gt;0),H836/E836,""),"")</f>
        <v/>
      </c>
      <c r="J836" s="152">
        <f>IFERROR(VALUE(SUBSTITUTE(INDEX('04A_국토부원자료'!$A:$T,ROW()+1,MATCH("층",'04A_국토부원자료'!$A$4:$T$4,0)),",","")),"")</f>
        <v/>
      </c>
      <c r="K836" s="152">
        <f>IFERROR(VALUE(SUBSTITUTE(INDEX('04A_국토부원자료'!$A:$T,ROW()+1,MATCH("건축년도",'04A_국토부원자료'!$A$4:$T$4,0)),",","")),"")</f>
        <v/>
      </c>
      <c r="L836" s="176">
        <f>IFERROR(INDEX('04A_국토부원자료'!$A:$T,ROW()+1,MATCH("도로명",'04A_국토부원자료'!$A$4:$T$4,0)),"")</f>
        <v/>
      </c>
      <c r="M836" s="48">
        <f>IFERROR(INDEX('04A_국토부원자료'!$A:$T,ROW()+1,MATCH("거래유형",'04A_국토부원자료'!$A$4:$T$4,0)),"")</f>
        <v/>
      </c>
      <c r="N836" s="152">
        <f>IF(B836="","",IF('02_대상물건입력'!B5="",1,IF(ISNUMBER(SEARCH('02_대상물건입력'!B5,B836)),1,0)))</f>
        <v/>
      </c>
      <c r="O836" s="152">
        <f>IF(B836="","",IF('02_대상물건입력'!B6="",1,IF(ISNUMBER(SEARCH('02_대상물건입력'!B6,B836)),1,0)))</f>
        <v/>
      </c>
      <c r="P836" s="152">
        <f>IF(L836="","",IF('02_대상물건입력'!B15="",0,IF(ISNUMBER(SEARCH('02_대상물건입력'!B15,L836)),1,0)))</f>
        <v/>
      </c>
      <c r="Q836" s="152">
        <f>IF(OR(C836="",L836=""),0,IF(AND(TRIM(C836)=TRIM(RIGHT(SUBSTITUTE(TRIM('02_대상물건입력'!$B$7)," ",REPT(" ",99)),99)),IF('02_대상물건입력'!B15="",TRUE(),ISNUMBER(SEARCH('02_대상물건입력'!B15,L836)))),1,0))</f>
        <v/>
      </c>
      <c r="R836" s="175">
        <f>IFERROR(ABS(E836-'02_대상물건입력'!B11)/'02_대상물건입력'!B11,"")</f>
        <v/>
      </c>
      <c r="S836" s="152">
        <f>IFERROR(ABS(J836-'02_대상물건입력'!B10),"")</f>
        <v/>
      </c>
      <c r="T836" s="152">
        <f>IFERROR(ABS('01_설정'!B4-F836),"")</f>
        <v/>
      </c>
      <c r="U836" s="152">
        <f>IFERROR(ABS(K836-YEAR('02_대상물건입력'!B14)),"")</f>
        <v/>
      </c>
      <c r="V836" s="152">
        <f>IF(B836="","",IF(AND(E836&gt;0,F836&gt;0,H836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836=1,TRUE()),R836&lt;='01_설정'!B5,S836&lt;='01_설정'!B6,T836&lt;='01_설정'!B7,U836&lt;='01_설정'!B8),"Y",""))</f>
        <v/>
      </c>
      <c r="W836" s="172">
        <f>IF(V836&lt;&gt;"Y","",MAX(0,(1-R836/'01_설정'!B5))*'01_설정'!B14+MAX(0,(1-S836/'01_설정'!B6))*'01_설정'!B15+MAX(0,(1-T836/'01_설정'!B7))*'01_설정'!B16+MAX(0,(1-U836/'01_설정'!B8))*'01_설정'!B17+O836*'01_설정'!B11+Q836*'01_설정'!B12+P836*'01_설정'!B13+IF(Z836="",0,Z836))</f>
        <v/>
      </c>
      <c r="X836" s="152">
        <f>IF(W836="","",1+COUNTIFS($W$4:$W$3003,"&gt;"&amp;W836)+COUNTIFS($W$4:W836,W836)-1)</f>
        <v/>
      </c>
      <c r="Y836" s="175">
        <f>IF(OR(I836="",'02_대상물건입력'!B19="",'02_대상물건입력'!B19&lt;=0),"",ABS(I836-'02_대상물건입력'!B19)/'02_대상물건입력'!B19)</f>
        <v/>
      </c>
      <c r="Z836" s="172">
        <f>IF(OR(Y836="",'01_설정'!B31="",'01_설정'!B31&lt;=0,'01_설정'!B32="",'01_설정'!B32&lt;=0),"",MAX(0,(1-Y836/'01_설정'!B32))*'01_설정'!B31)</f>
        <v/>
      </c>
    </row>
    <row r="837" ht="17.25" customHeight="1">
      <c r="A837" s="152">
        <f>IF(INDEX('04A_국토부원자료'!$A:$A,ROW()+1)="","",ROW()-3)</f>
        <v/>
      </c>
      <c r="B837" s="48">
        <f>IFERROR(INDEX('04A_국토부원자료'!$A:$T,ROW()+1,MATCH("시군구",'04A_국토부원자료'!$A$4:$T$4,0)),"")</f>
        <v/>
      </c>
      <c r="C837" s="48">
        <f>IF(B837="","",IFERROR(INDEX('04A_국토부원자료'!$A:$T,ROW()+1,MATCH("번지",'04A_국토부원자료'!$A$4:$T$4,0)),""))</f>
        <v/>
      </c>
      <c r="D837" s="48">
        <f>IF(B837="","",IF(Q837=1,'02_대상물건입력'!$B$8,IFERROR(INDEX('04A_국토부원자료'!$A:$T,ROW()+1,MATCH("단지명",'04A_국토부원자료'!$A$4:$T$4,0)),"")))</f>
        <v/>
      </c>
      <c r="E837" s="172">
        <f>IFERROR(VALUE(SUBSTITUTE(INDEX('04A_국토부원자료'!$A:$T,ROW()+1,MATCH("전용면적(㎡)",'04A_국토부원자료'!$A$4:$T$4,0)),",","")),"")</f>
        <v/>
      </c>
      <c r="F8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37" s="51">
        <f>IFERROR(VALUE(SUBSTITUTE(INDEX('04A_국토부원자료'!$A:$T,ROW()+1,MATCH("거래금액(만원)",'04A_국토부원자료'!$A$4:$T$4,0)),",","")),"")</f>
        <v/>
      </c>
      <c r="H837" s="174">
        <f>IF(G837="","",G837*10000)</f>
        <v/>
      </c>
      <c r="I837" s="174">
        <f>IFERROR(IF(AND(H837&gt;0,E837&gt;0),H837/E837,""),"")</f>
        <v/>
      </c>
      <c r="J837" s="152">
        <f>IFERROR(VALUE(SUBSTITUTE(INDEX('04A_국토부원자료'!$A:$T,ROW()+1,MATCH("층",'04A_국토부원자료'!$A$4:$T$4,0)),",","")),"")</f>
        <v/>
      </c>
      <c r="K837" s="152">
        <f>IFERROR(VALUE(SUBSTITUTE(INDEX('04A_국토부원자료'!$A:$T,ROW()+1,MATCH("건축년도",'04A_국토부원자료'!$A$4:$T$4,0)),",","")),"")</f>
        <v/>
      </c>
      <c r="L837" s="176">
        <f>IFERROR(INDEX('04A_국토부원자료'!$A:$T,ROW()+1,MATCH("도로명",'04A_국토부원자료'!$A$4:$T$4,0)),"")</f>
        <v/>
      </c>
      <c r="M837" s="48">
        <f>IFERROR(INDEX('04A_국토부원자료'!$A:$T,ROW()+1,MATCH("거래유형",'04A_국토부원자료'!$A$4:$T$4,0)),"")</f>
        <v/>
      </c>
      <c r="N837" s="152">
        <f>IF(B837="","",IF('02_대상물건입력'!B5="",1,IF(ISNUMBER(SEARCH('02_대상물건입력'!B5,B837)),1,0)))</f>
        <v/>
      </c>
      <c r="O837" s="152">
        <f>IF(B837="","",IF('02_대상물건입력'!B6="",1,IF(ISNUMBER(SEARCH('02_대상물건입력'!B6,B837)),1,0)))</f>
        <v/>
      </c>
      <c r="P837" s="152">
        <f>IF(L837="","",IF('02_대상물건입력'!B15="",0,IF(ISNUMBER(SEARCH('02_대상물건입력'!B15,L837)),1,0)))</f>
        <v/>
      </c>
      <c r="Q837" s="152">
        <f>IF(OR(C837="",L837=""),0,IF(AND(TRIM(C837)=TRIM(RIGHT(SUBSTITUTE(TRIM('02_대상물건입력'!$B$7)," ",REPT(" ",99)),99)),IF('02_대상물건입력'!B15="",TRUE(),ISNUMBER(SEARCH('02_대상물건입력'!B15,L837)))),1,0))</f>
        <v/>
      </c>
      <c r="R837" s="175">
        <f>IFERROR(ABS(E837-'02_대상물건입력'!B11)/'02_대상물건입력'!B11,"")</f>
        <v/>
      </c>
      <c r="S837" s="152">
        <f>IFERROR(ABS(J837-'02_대상물건입력'!B10),"")</f>
        <v/>
      </c>
      <c r="T837" s="152">
        <f>IFERROR(ABS('01_설정'!B4-F837),"")</f>
        <v/>
      </c>
      <c r="U837" s="152">
        <f>IFERROR(ABS(K837-YEAR('02_대상물건입력'!B14)),"")</f>
        <v/>
      </c>
      <c r="V837" s="152">
        <f>IF(B837="","",IF(AND(E837&gt;0,F837&gt;0,H837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837=1,TRUE()),R837&lt;='01_설정'!B5,S837&lt;='01_설정'!B6,T837&lt;='01_설정'!B7,U837&lt;='01_설정'!B8),"Y",""))</f>
        <v/>
      </c>
      <c r="W837" s="172">
        <f>IF(V837&lt;&gt;"Y","",MAX(0,(1-R837/'01_설정'!B5))*'01_설정'!B14+MAX(0,(1-S837/'01_설정'!B6))*'01_설정'!B15+MAX(0,(1-T837/'01_설정'!B7))*'01_설정'!B16+MAX(0,(1-U837/'01_설정'!B8))*'01_설정'!B17+O837*'01_설정'!B11+Q837*'01_설정'!B12+P837*'01_설정'!B13+IF(Z837="",0,Z837))</f>
        <v/>
      </c>
      <c r="X837" s="152">
        <f>IF(W837="","",1+COUNTIFS($W$4:$W$3003,"&gt;"&amp;W837)+COUNTIFS($W$4:W837,W837)-1)</f>
        <v/>
      </c>
      <c r="Y837" s="175">
        <f>IF(OR(I837="",'02_대상물건입력'!B19="",'02_대상물건입력'!B19&lt;=0),"",ABS(I837-'02_대상물건입력'!B19)/'02_대상물건입력'!B19)</f>
        <v/>
      </c>
      <c r="Z837" s="172">
        <f>IF(OR(Y837="",'01_설정'!B31="",'01_설정'!B31&lt;=0,'01_설정'!B32="",'01_설정'!B32&lt;=0),"",MAX(0,(1-Y837/'01_설정'!B32))*'01_설정'!B31)</f>
        <v/>
      </c>
    </row>
    <row r="838" ht="17.25" customHeight="1">
      <c r="A838" s="152">
        <f>IF(INDEX('04A_국토부원자료'!$A:$A,ROW()+1)="","",ROW()-3)</f>
        <v/>
      </c>
      <c r="B838" s="48">
        <f>IFERROR(INDEX('04A_국토부원자료'!$A:$T,ROW()+1,MATCH("시군구",'04A_국토부원자료'!$A$4:$T$4,0)),"")</f>
        <v/>
      </c>
      <c r="C838" s="48">
        <f>IF(B838="","",IFERROR(INDEX('04A_국토부원자료'!$A:$T,ROW()+1,MATCH("번지",'04A_국토부원자료'!$A$4:$T$4,0)),""))</f>
        <v/>
      </c>
      <c r="D838" s="48">
        <f>IF(B838="","",IF(Q838=1,'02_대상물건입력'!$B$8,IFERROR(INDEX('04A_국토부원자료'!$A:$T,ROW()+1,MATCH("단지명",'04A_국토부원자료'!$A$4:$T$4,0)),"")))</f>
        <v/>
      </c>
      <c r="E838" s="172">
        <f>IFERROR(VALUE(SUBSTITUTE(INDEX('04A_국토부원자료'!$A:$T,ROW()+1,MATCH("전용면적(㎡)",'04A_국토부원자료'!$A$4:$T$4,0)),",","")),"")</f>
        <v/>
      </c>
      <c r="F8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38" s="51">
        <f>IFERROR(VALUE(SUBSTITUTE(INDEX('04A_국토부원자료'!$A:$T,ROW()+1,MATCH("거래금액(만원)",'04A_국토부원자료'!$A$4:$T$4,0)),",","")),"")</f>
        <v/>
      </c>
      <c r="H838" s="174">
        <f>IF(G838="","",G838*10000)</f>
        <v/>
      </c>
      <c r="I838" s="174">
        <f>IFERROR(IF(AND(H838&gt;0,E838&gt;0),H838/E838,""),"")</f>
        <v/>
      </c>
      <c r="J838" s="152">
        <f>IFERROR(VALUE(SUBSTITUTE(INDEX('04A_국토부원자료'!$A:$T,ROW()+1,MATCH("층",'04A_국토부원자료'!$A$4:$T$4,0)),",","")),"")</f>
        <v/>
      </c>
      <c r="K838" s="152">
        <f>IFERROR(VALUE(SUBSTITUTE(INDEX('04A_국토부원자료'!$A:$T,ROW()+1,MATCH("건축년도",'04A_국토부원자료'!$A$4:$T$4,0)),",","")),"")</f>
        <v/>
      </c>
      <c r="L838" s="176">
        <f>IFERROR(INDEX('04A_국토부원자료'!$A:$T,ROW()+1,MATCH("도로명",'04A_국토부원자료'!$A$4:$T$4,0)),"")</f>
        <v/>
      </c>
      <c r="M838" s="48">
        <f>IFERROR(INDEX('04A_국토부원자료'!$A:$T,ROW()+1,MATCH("거래유형",'04A_국토부원자료'!$A$4:$T$4,0)),"")</f>
        <v/>
      </c>
      <c r="N838" s="152">
        <f>IF(B838="","",IF('02_대상물건입력'!B5="",1,IF(ISNUMBER(SEARCH('02_대상물건입력'!B5,B838)),1,0)))</f>
        <v/>
      </c>
      <c r="O838" s="152">
        <f>IF(B838="","",IF('02_대상물건입력'!B6="",1,IF(ISNUMBER(SEARCH('02_대상물건입력'!B6,B838)),1,0)))</f>
        <v/>
      </c>
      <c r="P838" s="152">
        <f>IF(L838="","",IF('02_대상물건입력'!B15="",0,IF(ISNUMBER(SEARCH('02_대상물건입력'!B15,L838)),1,0)))</f>
        <v/>
      </c>
      <c r="Q838" s="152">
        <f>IF(OR(C838="",L838=""),0,IF(AND(TRIM(C838)=TRIM(RIGHT(SUBSTITUTE(TRIM('02_대상물건입력'!$B$7)," ",REPT(" ",99)),99)),IF('02_대상물건입력'!B15="",TRUE(),ISNUMBER(SEARCH('02_대상물건입력'!B15,L838)))),1,0))</f>
        <v/>
      </c>
      <c r="R838" s="175">
        <f>IFERROR(ABS(E838-'02_대상물건입력'!B11)/'02_대상물건입력'!B11,"")</f>
        <v/>
      </c>
      <c r="S838" s="152">
        <f>IFERROR(ABS(J838-'02_대상물건입력'!B10),"")</f>
        <v/>
      </c>
      <c r="T838" s="152">
        <f>IFERROR(ABS('01_설정'!B4-F838),"")</f>
        <v/>
      </c>
      <c r="U838" s="152">
        <f>IFERROR(ABS(K838-YEAR('02_대상물건입력'!B14)),"")</f>
        <v/>
      </c>
      <c r="V838" s="152">
        <f>IF(B838="","",IF(AND(E838&gt;0,F838&gt;0,H838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838=1,TRUE()),R838&lt;='01_설정'!B5,S838&lt;='01_설정'!B6,T838&lt;='01_설정'!B7,U838&lt;='01_설정'!B8),"Y",""))</f>
        <v/>
      </c>
      <c r="W838" s="172">
        <f>IF(V838&lt;&gt;"Y","",MAX(0,(1-R838/'01_설정'!B5))*'01_설정'!B14+MAX(0,(1-S838/'01_설정'!B6))*'01_설정'!B15+MAX(0,(1-T838/'01_설정'!B7))*'01_설정'!B16+MAX(0,(1-U838/'01_설정'!B8))*'01_설정'!B17+O838*'01_설정'!B11+Q838*'01_설정'!B12+P838*'01_설정'!B13+IF(Z838="",0,Z838))</f>
        <v/>
      </c>
      <c r="X838" s="152">
        <f>IF(W838="","",1+COUNTIFS($W$4:$W$3003,"&gt;"&amp;W838)+COUNTIFS($W$4:W838,W838)-1)</f>
        <v/>
      </c>
      <c r="Y838" s="175">
        <f>IF(OR(I838="",'02_대상물건입력'!B19="",'02_대상물건입력'!B19&lt;=0),"",ABS(I838-'02_대상물건입력'!B19)/'02_대상물건입력'!B19)</f>
        <v/>
      </c>
      <c r="Z838" s="172">
        <f>IF(OR(Y838="",'01_설정'!B31="",'01_설정'!B31&lt;=0,'01_설정'!B32="",'01_설정'!B32&lt;=0),"",MAX(0,(1-Y838/'01_설정'!B32))*'01_설정'!B31)</f>
        <v/>
      </c>
    </row>
    <row r="839" ht="17.25" customHeight="1">
      <c r="A839" s="152">
        <f>IF(INDEX('04A_국토부원자료'!$A:$A,ROW()+1)="","",ROW()-3)</f>
        <v/>
      </c>
      <c r="B839" s="48">
        <f>IFERROR(INDEX('04A_국토부원자료'!$A:$T,ROW()+1,MATCH("시군구",'04A_국토부원자료'!$A$4:$T$4,0)),"")</f>
        <v/>
      </c>
      <c r="C839" s="48">
        <f>IF(B839="","",IFERROR(INDEX('04A_국토부원자료'!$A:$T,ROW()+1,MATCH("번지",'04A_국토부원자료'!$A$4:$T$4,0)),""))</f>
        <v/>
      </c>
      <c r="D839" s="48">
        <f>IF(B839="","",IF(Q839=1,'02_대상물건입력'!$B$8,IFERROR(INDEX('04A_국토부원자료'!$A:$T,ROW()+1,MATCH("단지명",'04A_국토부원자료'!$A$4:$T$4,0)),"")))</f>
        <v/>
      </c>
      <c r="E839" s="172">
        <f>IFERROR(VALUE(SUBSTITUTE(INDEX('04A_국토부원자료'!$A:$T,ROW()+1,MATCH("전용면적(㎡)",'04A_국토부원자료'!$A$4:$T$4,0)),",","")),"")</f>
        <v/>
      </c>
      <c r="F8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39" s="51">
        <f>IFERROR(VALUE(SUBSTITUTE(INDEX('04A_국토부원자료'!$A:$T,ROW()+1,MATCH("거래금액(만원)",'04A_국토부원자료'!$A$4:$T$4,0)),",","")),"")</f>
        <v/>
      </c>
      <c r="H839" s="174">
        <f>IF(G839="","",G839*10000)</f>
        <v/>
      </c>
      <c r="I839" s="174">
        <f>IFERROR(IF(AND(H839&gt;0,E839&gt;0),H839/E839,""),"")</f>
        <v/>
      </c>
      <c r="J839" s="152">
        <f>IFERROR(VALUE(SUBSTITUTE(INDEX('04A_국토부원자료'!$A:$T,ROW()+1,MATCH("층",'04A_국토부원자료'!$A$4:$T$4,0)),",","")),"")</f>
        <v/>
      </c>
      <c r="K839" s="152">
        <f>IFERROR(VALUE(SUBSTITUTE(INDEX('04A_국토부원자료'!$A:$T,ROW()+1,MATCH("건축년도",'04A_국토부원자료'!$A$4:$T$4,0)),",","")),"")</f>
        <v/>
      </c>
      <c r="L839" s="176">
        <f>IFERROR(INDEX('04A_국토부원자료'!$A:$T,ROW()+1,MATCH("도로명",'04A_국토부원자료'!$A$4:$T$4,0)),"")</f>
        <v/>
      </c>
      <c r="M839" s="48">
        <f>IFERROR(INDEX('04A_국토부원자료'!$A:$T,ROW()+1,MATCH("거래유형",'04A_국토부원자료'!$A$4:$T$4,0)),"")</f>
        <v/>
      </c>
      <c r="N839" s="152">
        <f>IF(B839="","",IF('02_대상물건입력'!B5="",1,IF(ISNUMBER(SEARCH('02_대상물건입력'!B5,B839)),1,0)))</f>
        <v/>
      </c>
      <c r="O839" s="152">
        <f>IF(B839="","",IF('02_대상물건입력'!B6="",1,IF(ISNUMBER(SEARCH('02_대상물건입력'!B6,B839)),1,0)))</f>
        <v/>
      </c>
      <c r="P839" s="152">
        <f>IF(L839="","",IF('02_대상물건입력'!B15="",0,IF(ISNUMBER(SEARCH('02_대상물건입력'!B15,L839)),1,0)))</f>
        <v/>
      </c>
      <c r="Q839" s="152">
        <f>IF(OR(C839="",L839=""),0,IF(AND(TRIM(C839)=TRIM(RIGHT(SUBSTITUTE(TRIM('02_대상물건입력'!$B$7)," ",REPT(" ",99)),99)),IF('02_대상물건입력'!B15="",TRUE(),ISNUMBER(SEARCH('02_대상물건입력'!B15,L839)))),1,0))</f>
        <v/>
      </c>
      <c r="R839" s="175">
        <f>IFERROR(ABS(E839-'02_대상물건입력'!B11)/'02_대상물건입력'!B11,"")</f>
        <v/>
      </c>
      <c r="S839" s="152">
        <f>IFERROR(ABS(J839-'02_대상물건입력'!B10),"")</f>
        <v/>
      </c>
      <c r="T839" s="152">
        <f>IFERROR(ABS('01_설정'!B4-F839),"")</f>
        <v/>
      </c>
      <c r="U839" s="152">
        <f>IFERROR(ABS(K839-YEAR('02_대상물건입력'!B14)),"")</f>
        <v/>
      </c>
      <c r="V839" s="152">
        <f>IF(B839="","",IF(AND(E839&gt;0,F839&gt;0,H839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839=1,TRUE()),R839&lt;='01_설정'!B5,S839&lt;='01_설정'!B6,T839&lt;='01_설정'!B7,U839&lt;='01_설정'!B8),"Y",""))</f>
        <v/>
      </c>
      <c r="W839" s="172">
        <f>IF(V839&lt;&gt;"Y","",MAX(0,(1-R839/'01_설정'!B5))*'01_설정'!B14+MAX(0,(1-S839/'01_설정'!B6))*'01_설정'!B15+MAX(0,(1-T839/'01_설정'!B7))*'01_설정'!B16+MAX(0,(1-U839/'01_설정'!B8))*'01_설정'!B17+O839*'01_설정'!B11+Q839*'01_설정'!B12+P839*'01_설정'!B13+IF(Z839="",0,Z839))</f>
        <v/>
      </c>
      <c r="X839" s="152">
        <f>IF(W839="","",1+COUNTIFS($W$4:$W$3003,"&gt;"&amp;W839)+COUNTIFS($W$4:W839,W839)-1)</f>
        <v/>
      </c>
      <c r="Y839" s="175">
        <f>IF(OR(I839="",'02_대상물건입력'!B19="",'02_대상물건입력'!B19&lt;=0),"",ABS(I839-'02_대상물건입력'!B19)/'02_대상물건입력'!B19)</f>
        <v/>
      </c>
      <c r="Z839" s="172">
        <f>IF(OR(Y839="",'01_설정'!B31="",'01_설정'!B31&lt;=0,'01_설정'!B32="",'01_설정'!B32&lt;=0),"",MAX(0,(1-Y839/'01_설정'!B32))*'01_설정'!B31)</f>
        <v/>
      </c>
    </row>
    <row r="840" ht="17.25" customHeight="1">
      <c r="A840" s="152">
        <f>IF(INDEX('04A_국토부원자료'!$A:$A,ROW()+1)="","",ROW()-3)</f>
        <v/>
      </c>
      <c r="B840" s="48">
        <f>IFERROR(INDEX('04A_국토부원자료'!$A:$T,ROW()+1,MATCH("시군구",'04A_국토부원자료'!$A$4:$T$4,0)),"")</f>
        <v/>
      </c>
      <c r="C840" s="48">
        <f>IF(B840="","",IFERROR(INDEX('04A_국토부원자료'!$A:$T,ROW()+1,MATCH("번지",'04A_국토부원자료'!$A$4:$T$4,0)),""))</f>
        <v/>
      </c>
      <c r="D840" s="48">
        <f>IF(B840="","",IF(Q840=1,'02_대상물건입력'!$B$8,IFERROR(INDEX('04A_국토부원자료'!$A:$T,ROW()+1,MATCH("단지명",'04A_국토부원자료'!$A$4:$T$4,0)),"")))</f>
        <v/>
      </c>
      <c r="E840" s="172">
        <f>IFERROR(VALUE(SUBSTITUTE(INDEX('04A_국토부원자료'!$A:$T,ROW()+1,MATCH("전용면적(㎡)",'04A_국토부원자료'!$A$4:$T$4,0)),",","")),"")</f>
        <v/>
      </c>
      <c r="F8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40" s="51">
        <f>IFERROR(VALUE(SUBSTITUTE(INDEX('04A_국토부원자료'!$A:$T,ROW()+1,MATCH("거래금액(만원)",'04A_국토부원자료'!$A$4:$T$4,0)),",","")),"")</f>
        <v/>
      </c>
      <c r="H840" s="174">
        <f>IF(G840="","",G840*10000)</f>
        <v/>
      </c>
      <c r="I840" s="174">
        <f>IFERROR(IF(AND(H840&gt;0,E840&gt;0),H840/E840,""),"")</f>
        <v/>
      </c>
      <c r="J840" s="152">
        <f>IFERROR(VALUE(SUBSTITUTE(INDEX('04A_국토부원자료'!$A:$T,ROW()+1,MATCH("층",'04A_국토부원자료'!$A$4:$T$4,0)),",","")),"")</f>
        <v/>
      </c>
      <c r="K840" s="152">
        <f>IFERROR(VALUE(SUBSTITUTE(INDEX('04A_국토부원자료'!$A:$T,ROW()+1,MATCH("건축년도",'04A_국토부원자료'!$A$4:$T$4,0)),",","")),"")</f>
        <v/>
      </c>
      <c r="L840" s="176">
        <f>IFERROR(INDEX('04A_국토부원자료'!$A:$T,ROW()+1,MATCH("도로명",'04A_국토부원자료'!$A$4:$T$4,0)),"")</f>
        <v/>
      </c>
      <c r="M840" s="48">
        <f>IFERROR(INDEX('04A_국토부원자료'!$A:$T,ROW()+1,MATCH("거래유형",'04A_국토부원자료'!$A$4:$T$4,0)),"")</f>
        <v/>
      </c>
      <c r="N840" s="152">
        <f>IF(B840="","",IF('02_대상물건입력'!B5="",1,IF(ISNUMBER(SEARCH('02_대상물건입력'!B5,B840)),1,0)))</f>
        <v/>
      </c>
      <c r="O840" s="152">
        <f>IF(B840="","",IF('02_대상물건입력'!B6="",1,IF(ISNUMBER(SEARCH('02_대상물건입력'!B6,B840)),1,0)))</f>
        <v/>
      </c>
      <c r="P840" s="152">
        <f>IF(L840="","",IF('02_대상물건입력'!B15="",0,IF(ISNUMBER(SEARCH('02_대상물건입력'!B15,L840)),1,0)))</f>
        <v/>
      </c>
      <c r="Q840" s="152">
        <f>IF(OR(C840="",L840=""),0,IF(AND(TRIM(C840)=TRIM(RIGHT(SUBSTITUTE(TRIM('02_대상물건입력'!$B$7)," ",REPT(" ",99)),99)),IF('02_대상물건입력'!B15="",TRUE(),ISNUMBER(SEARCH('02_대상물건입력'!B15,L840)))),1,0))</f>
        <v/>
      </c>
      <c r="R840" s="175">
        <f>IFERROR(ABS(E840-'02_대상물건입력'!B11)/'02_대상물건입력'!B11,"")</f>
        <v/>
      </c>
      <c r="S840" s="152">
        <f>IFERROR(ABS(J840-'02_대상물건입력'!B10),"")</f>
        <v/>
      </c>
      <c r="T840" s="152">
        <f>IFERROR(ABS('01_설정'!B4-F840),"")</f>
        <v/>
      </c>
      <c r="U840" s="152">
        <f>IFERROR(ABS(K840-YEAR('02_대상물건입력'!B14)),"")</f>
        <v/>
      </c>
      <c r="V840" s="152">
        <f>IF(B840="","",IF(AND(E840&gt;0,F840&gt;0,H840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840=1,TRUE()),R840&lt;='01_설정'!B5,S840&lt;='01_설정'!B6,T840&lt;='01_설정'!B7,U840&lt;='01_설정'!B8),"Y",""))</f>
        <v/>
      </c>
      <c r="W840" s="172">
        <f>IF(V840&lt;&gt;"Y","",MAX(0,(1-R840/'01_설정'!B5))*'01_설정'!B14+MAX(0,(1-S840/'01_설정'!B6))*'01_설정'!B15+MAX(0,(1-T840/'01_설정'!B7))*'01_설정'!B16+MAX(0,(1-U840/'01_설정'!B8))*'01_설정'!B17+O840*'01_설정'!B11+Q840*'01_설정'!B12+P840*'01_설정'!B13+IF(Z840="",0,Z840))</f>
        <v/>
      </c>
      <c r="X840" s="152">
        <f>IF(W840="","",1+COUNTIFS($W$4:$W$3003,"&gt;"&amp;W840)+COUNTIFS($W$4:W840,W840)-1)</f>
        <v/>
      </c>
      <c r="Y840" s="175">
        <f>IF(OR(I840="",'02_대상물건입력'!B19="",'02_대상물건입력'!B19&lt;=0),"",ABS(I840-'02_대상물건입력'!B19)/'02_대상물건입력'!B19)</f>
        <v/>
      </c>
      <c r="Z840" s="172">
        <f>IF(OR(Y840="",'01_설정'!B31="",'01_설정'!B31&lt;=0,'01_설정'!B32="",'01_설정'!B32&lt;=0),"",MAX(0,(1-Y840/'01_설정'!B32))*'01_설정'!B31)</f>
        <v/>
      </c>
    </row>
    <row r="841" ht="17.25" customHeight="1">
      <c r="A841" s="152">
        <f>IF(INDEX('04A_국토부원자료'!$A:$A,ROW()+1)="","",ROW()-3)</f>
        <v/>
      </c>
      <c r="B841" s="48">
        <f>IFERROR(INDEX('04A_국토부원자료'!$A:$T,ROW()+1,MATCH("시군구",'04A_국토부원자료'!$A$4:$T$4,0)),"")</f>
        <v/>
      </c>
      <c r="C841" s="48">
        <f>IF(B841="","",IFERROR(INDEX('04A_국토부원자료'!$A:$T,ROW()+1,MATCH("번지",'04A_국토부원자료'!$A$4:$T$4,0)),""))</f>
        <v/>
      </c>
      <c r="D841" s="48">
        <f>IF(B841="","",IF(Q841=1,'02_대상물건입력'!$B$8,IFERROR(INDEX('04A_국토부원자료'!$A:$T,ROW()+1,MATCH("단지명",'04A_국토부원자료'!$A$4:$T$4,0)),"")))</f>
        <v/>
      </c>
      <c r="E841" s="172">
        <f>IFERROR(VALUE(SUBSTITUTE(INDEX('04A_국토부원자료'!$A:$T,ROW()+1,MATCH("전용면적(㎡)",'04A_국토부원자료'!$A$4:$T$4,0)),",","")),"")</f>
        <v/>
      </c>
      <c r="F8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41" s="51">
        <f>IFERROR(VALUE(SUBSTITUTE(INDEX('04A_국토부원자료'!$A:$T,ROW()+1,MATCH("거래금액(만원)",'04A_국토부원자료'!$A$4:$T$4,0)),",","")),"")</f>
        <v/>
      </c>
      <c r="H841" s="174">
        <f>IF(G841="","",G841*10000)</f>
        <v/>
      </c>
      <c r="I841" s="174">
        <f>IFERROR(IF(AND(H841&gt;0,E841&gt;0),H841/E841,""),"")</f>
        <v/>
      </c>
      <c r="J841" s="152">
        <f>IFERROR(VALUE(SUBSTITUTE(INDEX('04A_국토부원자료'!$A:$T,ROW()+1,MATCH("층",'04A_국토부원자료'!$A$4:$T$4,0)),",","")),"")</f>
        <v/>
      </c>
      <c r="K841" s="152">
        <f>IFERROR(VALUE(SUBSTITUTE(INDEX('04A_국토부원자료'!$A:$T,ROW()+1,MATCH("건축년도",'04A_국토부원자료'!$A$4:$T$4,0)),",","")),"")</f>
        <v/>
      </c>
      <c r="L841" s="176">
        <f>IFERROR(INDEX('04A_국토부원자료'!$A:$T,ROW()+1,MATCH("도로명",'04A_국토부원자료'!$A$4:$T$4,0)),"")</f>
        <v/>
      </c>
      <c r="M841" s="48">
        <f>IFERROR(INDEX('04A_국토부원자료'!$A:$T,ROW()+1,MATCH("거래유형",'04A_국토부원자료'!$A$4:$T$4,0)),"")</f>
        <v/>
      </c>
      <c r="N841" s="152">
        <f>IF(B841="","",IF('02_대상물건입력'!B5="",1,IF(ISNUMBER(SEARCH('02_대상물건입력'!B5,B841)),1,0)))</f>
        <v/>
      </c>
      <c r="O841" s="152">
        <f>IF(B841="","",IF('02_대상물건입력'!B6="",1,IF(ISNUMBER(SEARCH('02_대상물건입력'!B6,B841)),1,0)))</f>
        <v/>
      </c>
      <c r="P841" s="152">
        <f>IF(L841="","",IF('02_대상물건입력'!B15="",0,IF(ISNUMBER(SEARCH('02_대상물건입력'!B15,L841)),1,0)))</f>
        <v/>
      </c>
      <c r="Q841" s="152">
        <f>IF(OR(C841="",L841=""),0,IF(AND(TRIM(C841)=TRIM(RIGHT(SUBSTITUTE(TRIM('02_대상물건입력'!$B$7)," ",REPT(" ",99)),99)),IF('02_대상물건입력'!B15="",TRUE(),ISNUMBER(SEARCH('02_대상물건입력'!B15,L841)))),1,0))</f>
        <v/>
      </c>
      <c r="R841" s="175">
        <f>IFERROR(ABS(E841-'02_대상물건입력'!B11)/'02_대상물건입력'!B11,"")</f>
        <v/>
      </c>
      <c r="S841" s="152">
        <f>IFERROR(ABS(J841-'02_대상물건입력'!B10),"")</f>
        <v/>
      </c>
      <c r="T841" s="152">
        <f>IFERROR(ABS('01_설정'!B4-F841),"")</f>
        <v/>
      </c>
      <c r="U841" s="152">
        <f>IFERROR(ABS(K841-YEAR('02_대상물건입력'!B14)),"")</f>
        <v/>
      </c>
      <c r="V841" s="152">
        <f>IF(B841="","",IF(AND(E841&gt;0,F841&gt;0,H841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841=1,TRUE()),R841&lt;='01_설정'!B5,S841&lt;='01_설정'!B6,T841&lt;='01_설정'!B7,U841&lt;='01_설정'!B8),"Y",""))</f>
        <v/>
      </c>
      <c r="W841" s="172">
        <f>IF(V841&lt;&gt;"Y","",MAX(0,(1-R841/'01_설정'!B5))*'01_설정'!B14+MAX(0,(1-S841/'01_설정'!B6))*'01_설정'!B15+MAX(0,(1-T841/'01_설정'!B7))*'01_설정'!B16+MAX(0,(1-U841/'01_설정'!B8))*'01_설정'!B17+O841*'01_설정'!B11+Q841*'01_설정'!B12+P841*'01_설정'!B13+IF(Z841="",0,Z841))</f>
        <v/>
      </c>
      <c r="X841" s="152">
        <f>IF(W841="","",1+COUNTIFS($W$4:$W$3003,"&gt;"&amp;W841)+COUNTIFS($W$4:W841,W841)-1)</f>
        <v/>
      </c>
      <c r="Y841" s="175">
        <f>IF(OR(I841="",'02_대상물건입력'!B19="",'02_대상물건입력'!B19&lt;=0),"",ABS(I841-'02_대상물건입력'!B19)/'02_대상물건입력'!B19)</f>
        <v/>
      </c>
      <c r="Z841" s="172">
        <f>IF(OR(Y841="",'01_설정'!B31="",'01_설정'!B31&lt;=0,'01_설정'!B32="",'01_설정'!B32&lt;=0),"",MAX(0,(1-Y841/'01_설정'!B32))*'01_설정'!B31)</f>
        <v/>
      </c>
    </row>
    <row r="842" ht="17.25" customHeight="1">
      <c r="A842" s="152">
        <f>IF(INDEX('04A_국토부원자료'!$A:$A,ROW()+1)="","",ROW()-3)</f>
        <v/>
      </c>
      <c r="B842" s="48">
        <f>IFERROR(INDEX('04A_국토부원자료'!$A:$T,ROW()+1,MATCH("시군구",'04A_국토부원자료'!$A$4:$T$4,0)),"")</f>
        <v/>
      </c>
      <c r="C842" s="48">
        <f>IF(B842="","",IFERROR(INDEX('04A_국토부원자료'!$A:$T,ROW()+1,MATCH("번지",'04A_국토부원자료'!$A$4:$T$4,0)),""))</f>
        <v/>
      </c>
      <c r="D842" s="48">
        <f>IF(B842="","",IF(Q842=1,'02_대상물건입력'!$B$8,IFERROR(INDEX('04A_국토부원자료'!$A:$T,ROW()+1,MATCH("단지명",'04A_국토부원자료'!$A$4:$T$4,0)),"")))</f>
        <v/>
      </c>
      <c r="E842" s="172">
        <f>IFERROR(VALUE(SUBSTITUTE(INDEX('04A_국토부원자료'!$A:$T,ROW()+1,MATCH("전용면적(㎡)",'04A_국토부원자료'!$A$4:$T$4,0)),",","")),"")</f>
        <v/>
      </c>
      <c r="F8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42" s="51">
        <f>IFERROR(VALUE(SUBSTITUTE(INDEX('04A_국토부원자료'!$A:$T,ROW()+1,MATCH("거래금액(만원)",'04A_국토부원자료'!$A$4:$T$4,0)),",","")),"")</f>
        <v/>
      </c>
      <c r="H842" s="174">
        <f>IF(G842="","",G842*10000)</f>
        <v/>
      </c>
      <c r="I842" s="174">
        <f>IFERROR(IF(AND(H842&gt;0,E842&gt;0),H842/E842,""),"")</f>
        <v/>
      </c>
      <c r="J842" s="152">
        <f>IFERROR(VALUE(SUBSTITUTE(INDEX('04A_국토부원자료'!$A:$T,ROW()+1,MATCH("층",'04A_국토부원자료'!$A$4:$T$4,0)),",","")),"")</f>
        <v/>
      </c>
      <c r="K842" s="152">
        <f>IFERROR(VALUE(SUBSTITUTE(INDEX('04A_국토부원자료'!$A:$T,ROW()+1,MATCH("건축년도",'04A_국토부원자료'!$A$4:$T$4,0)),",","")),"")</f>
        <v/>
      </c>
      <c r="L842" s="176">
        <f>IFERROR(INDEX('04A_국토부원자료'!$A:$T,ROW()+1,MATCH("도로명",'04A_국토부원자료'!$A$4:$T$4,0)),"")</f>
        <v/>
      </c>
      <c r="M842" s="48">
        <f>IFERROR(INDEX('04A_국토부원자료'!$A:$T,ROW()+1,MATCH("거래유형",'04A_국토부원자료'!$A$4:$T$4,0)),"")</f>
        <v/>
      </c>
      <c r="N842" s="152">
        <f>IF(B842="","",IF('02_대상물건입력'!B5="",1,IF(ISNUMBER(SEARCH('02_대상물건입력'!B5,B842)),1,0)))</f>
        <v/>
      </c>
      <c r="O842" s="152">
        <f>IF(B842="","",IF('02_대상물건입력'!B6="",1,IF(ISNUMBER(SEARCH('02_대상물건입력'!B6,B842)),1,0)))</f>
        <v/>
      </c>
      <c r="P842" s="152">
        <f>IF(L842="","",IF('02_대상물건입력'!B15="",0,IF(ISNUMBER(SEARCH('02_대상물건입력'!B15,L842)),1,0)))</f>
        <v/>
      </c>
      <c r="Q842" s="152">
        <f>IF(OR(C842="",L842=""),0,IF(AND(TRIM(C842)=TRIM(RIGHT(SUBSTITUTE(TRIM('02_대상물건입력'!$B$7)," ",REPT(" ",99)),99)),IF('02_대상물건입력'!B15="",TRUE(),ISNUMBER(SEARCH('02_대상물건입력'!B15,L842)))),1,0))</f>
        <v/>
      </c>
      <c r="R842" s="175">
        <f>IFERROR(ABS(E842-'02_대상물건입력'!B11)/'02_대상물건입력'!B11,"")</f>
        <v/>
      </c>
      <c r="S842" s="152">
        <f>IFERROR(ABS(J842-'02_대상물건입력'!B10),"")</f>
        <v/>
      </c>
      <c r="T842" s="152">
        <f>IFERROR(ABS('01_설정'!B4-F842),"")</f>
        <v/>
      </c>
      <c r="U842" s="152">
        <f>IFERROR(ABS(K842-YEAR('02_대상물건입력'!B14)),"")</f>
        <v/>
      </c>
      <c r="V842" s="152">
        <f>IF(B842="","",IF(AND(E842&gt;0,F842&gt;0,H842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842=1,TRUE()),R842&lt;='01_설정'!B5,S842&lt;='01_설정'!B6,T842&lt;='01_설정'!B7,U842&lt;='01_설정'!B8),"Y",""))</f>
        <v/>
      </c>
      <c r="W842" s="172">
        <f>IF(V842&lt;&gt;"Y","",MAX(0,(1-R842/'01_설정'!B5))*'01_설정'!B14+MAX(0,(1-S842/'01_설정'!B6))*'01_설정'!B15+MAX(0,(1-T842/'01_설정'!B7))*'01_설정'!B16+MAX(0,(1-U842/'01_설정'!B8))*'01_설정'!B17+O842*'01_설정'!B11+Q842*'01_설정'!B12+P842*'01_설정'!B13+IF(Z842="",0,Z842))</f>
        <v/>
      </c>
      <c r="X842" s="152">
        <f>IF(W842="","",1+COUNTIFS($W$4:$W$3003,"&gt;"&amp;W842)+COUNTIFS($W$4:W842,W842)-1)</f>
        <v/>
      </c>
      <c r="Y842" s="175">
        <f>IF(OR(I842="",'02_대상물건입력'!B19="",'02_대상물건입력'!B19&lt;=0),"",ABS(I842-'02_대상물건입력'!B19)/'02_대상물건입력'!B19)</f>
        <v/>
      </c>
      <c r="Z842" s="172">
        <f>IF(OR(Y842="",'01_설정'!B31="",'01_설정'!B31&lt;=0,'01_설정'!B32="",'01_설정'!B32&lt;=0),"",MAX(0,(1-Y842/'01_설정'!B32))*'01_설정'!B31)</f>
        <v/>
      </c>
    </row>
    <row r="843" ht="17.25" customHeight="1">
      <c r="A843" s="152">
        <f>IF(INDEX('04A_국토부원자료'!$A:$A,ROW()+1)="","",ROW()-3)</f>
        <v/>
      </c>
      <c r="B843" s="48">
        <f>IFERROR(INDEX('04A_국토부원자료'!$A:$T,ROW()+1,MATCH("시군구",'04A_국토부원자료'!$A$4:$T$4,0)),"")</f>
        <v/>
      </c>
      <c r="C843" s="48">
        <f>IF(B843="","",IFERROR(INDEX('04A_국토부원자료'!$A:$T,ROW()+1,MATCH("번지",'04A_국토부원자료'!$A$4:$T$4,0)),""))</f>
        <v/>
      </c>
      <c r="D843" s="48">
        <f>IF(B843="","",IF(Q843=1,'02_대상물건입력'!$B$8,IFERROR(INDEX('04A_국토부원자료'!$A:$T,ROW()+1,MATCH("단지명",'04A_국토부원자료'!$A$4:$T$4,0)),"")))</f>
        <v/>
      </c>
      <c r="E843" s="172">
        <f>IFERROR(VALUE(SUBSTITUTE(INDEX('04A_국토부원자료'!$A:$T,ROW()+1,MATCH("전용면적(㎡)",'04A_국토부원자료'!$A$4:$T$4,0)),",","")),"")</f>
        <v/>
      </c>
      <c r="F8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43" s="51">
        <f>IFERROR(VALUE(SUBSTITUTE(INDEX('04A_국토부원자료'!$A:$T,ROW()+1,MATCH("거래금액(만원)",'04A_국토부원자료'!$A$4:$T$4,0)),",","")),"")</f>
        <v/>
      </c>
      <c r="H843" s="174">
        <f>IF(G843="","",G843*10000)</f>
        <v/>
      </c>
      <c r="I843" s="174">
        <f>IFERROR(IF(AND(H843&gt;0,E843&gt;0),H843/E843,""),"")</f>
        <v/>
      </c>
      <c r="J843" s="152">
        <f>IFERROR(VALUE(SUBSTITUTE(INDEX('04A_국토부원자료'!$A:$T,ROW()+1,MATCH("층",'04A_국토부원자료'!$A$4:$T$4,0)),",","")),"")</f>
        <v/>
      </c>
      <c r="K843" s="152">
        <f>IFERROR(VALUE(SUBSTITUTE(INDEX('04A_국토부원자료'!$A:$T,ROW()+1,MATCH("건축년도",'04A_국토부원자료'!$A$4:$T$4,0)),",","")),"")</f>
        <v/>
      </c>
      <c r="L843" s="176">
        <f>IFERROR(INDEX('04A_국토부원자료'!$A:$T,ROW()+1,MATCH("도로명",'04A_국토부원자료'!$A$4:$T$4,0)),"")</f>
        <v/>
      </c>
      <c r="M843" s="48">
        <f>IFERROR(INDEX('04A_국토부원자료'!$A:$T,ROW()+1,MATCH("거래유형",'04A_국토부원자료'!$A$4:$T$4,0)),"")</f>
        <v/>
      </c>
      <c r="N843" s="152">
        <f>IF(B843="","",IF('02_대상물건입력'!B5="",1,IF(ISNUMBER(SEARCH('02_대상물건입력'!B5,B843)),1,0)))</f>
        <v/>
      </c>
      <c r="O843" s="152">
        <f>IF(B843="","",IF('02_대상물건입력'!B6="",1,IF(ISNUMBER(SEARCH('02_대상물건입력'!B6,B843)),1,0)))</f>
        <v/>
      </c>
      <c r="P843" s="152">
        <f>IF(L843="","",IF('02_대상물건입력'!B15="",0,IF(ISNUMBER(SEARCH('02_대상물건입력'!B15,L843)),1,0)))</f>
        <v/>
      </c>
      <c r="Q843" s="152">
        <f>IF(OR(C843="",L843=""),0,IF(AND(TRIM(C843)=TRIM(RIGHT(SUBSTITUTE(TRIM('02_대상물건입력'!$B$7)," ",REPT(" ",99)),99)),IF('02_대상물건입력'!B15="",TRUE(),ISNUMBER(SEARCH('02_대상물건입력'!B15,L843)))),1,0))</f>
        <v/>
      </c>
      <c r="R843" s="175">
        <f>IFERROR(ABS(E843-'02_대상물건입력'!B11)/'02_대상물건입력'!B11,"")</f>
        <v/>
      </c>
      <c r="S843" s="152">
        <f>IFERROR(ABS(J843-'02_대상물건입력'!B10),"")</f>
        <v/>
      </c>
      <c r="T843" s="152">
        <f>IFERROR(ABS('01_설정'!B4-F843),"")</f>
        <v/>
      </c>
      <c r="U843" s="152">
        <f>IFERROR(ABS(K843-YEAR('02_대상물건입력'!B14)),"")</f>
        <v/>
      </c>
      <c r="V843" s="152">
        <f>IF(B843="","",IF(AND(E843&gt;0,F843&gt;0,H843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843=1,TRUE()),R843&lt;='01_설정'!B5,S843&lt;='01_설정'!B6,T843&lt;='01_설정'!B7,U843&lt;='01_설정'!B8),"Y",""))</f>
        <v/>
      </c>
      <c r="W843" s="172">
        <f>IF(V843&lt;&gt;"Y","",MAX(0,(1-R843/'01_설정'!B5))*'01_설정'!B14+MAX(0,(1-S843/'01_설정'!B6))*'01_설정'!B15+MAX(0,(1-T843/'01_설정'!B7))*'01_설정'!B16+MAX(0,(1-U843/'01_설정'!B8))*'01_설정'!B17+O843*'01_설정'!B11+Q843*'01_설정'!B12+P843*'01_설정'!B13+IF(Z843="",0,Z843))</f>
        <v/>
      </c>
      <c r="X843" s="152">
        <f>IF(W843="","",1+COUNTIFS($W$4:$W$3003,"&gt;"&amp;W843)+COUNTIFS($W$4:W843,W843)-1)</f>
        <v/>
      </c>
      <c r="Y843" s="175">
        <f>IF(OR(I843="",'02_대상물건입력'!B19="",'02_대상물건입력'!B19&lt;=0),"",ABS(I843-'02_대상물건입력'!B19)/'02_대상물건입력'!B19)</f>
        <v/>
      </c>
      <c r="Z843" s="172">
        <f>IF(OR(Y843="",'01_설정'!B31="",'01_설정'!B31&lt;=0,'01_설정'!B32="",'01_설정'!B32&lt;=0),"",MAX(0,(1-Y843/'01_설정'!B32))*'01_설정'!B31)</f>
        <v/>
      </c>
    </row>
    <row r="844" ht="17.25" customHeight="1">
      <c r="A844" s="152">
        <f>IF(INDEX('04A_국토부원자료'!$A:$A,ROW()+1)="","",ROW()-3)</f>
        <v/>
      </c>
      <c r="B844" s="48">
        <f>IFERROR(INDEX('04A_국토부원자료'!$A:$T,ROW()+1,MATCH("시군구",'04A_국토부원자료'!$A$4:$T$4,0)),"")</f>
        <v/>
      </c>
      <c r="C844" s="48">
        <f>IF(B844="","",IFERROR(INDEX('04A_국토부원자료'!$A:$T,ROW()+1,MATCH("번지",'04A_국토부원자료'!$A$4:$T$4,0)),""))</f>
        <v/>
      </c>
      <c r="D844" s="48">
        <f>IF(B844="","",IF(Q844=1,'02_대상물건입력'!$B$8,IFERROR(INDEX('04A_국토부원자료'!$A:$T,ROW()+1,MATCH("단지명",'04A_국토부원자료'!$A$4:$T$4,0)),"")))</f>
        <v/>
      </c>
      <c r="E844" s="172">
        <f>IFERROR(VALUE(SUBSTITUTE(INDEX('04A_국토부원자료'!$A:$T,ROW()+1,MATCH("전용면적(㎡)",'04A_국토부원자료'!$A$4:$T$4,0)),",","")),"")</f>
        <v/>
      </c>
      <c r="F8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44" s="51">
        <f>IFERROR(VALUE(SUBSTITUTE(INDEX('04A_국토부원자료'!$A:$T,ROW()+1,MATCH("거래금액(만원)",'04A_국토부원자료'!$A$4:$T$4,0)),",","")),"")</f>
        <v/>
      </c>
      <c r="H844" s="174">
        <f>IF(G844="","",G844*10000)</f>
        <v/>
      </c>
      <c r="I844" s="174">
        <f>IFERROR(IF(AND(H844&gt;0,E844&gt;0),H844/E844,""),"")</f>
        <v/>
      </c>
      <c r="J844" s="152">
        <f>IFERROR(VALUE(SUBSTITUTE(INDEX('04A_국토부원자료'!$A:$T,ROW()+1,MATCH("층",'04A_국토부원자료'!$A$4:$T$4,0)),",","")),"")</f>
        <v/>
      </c>
      <c r="K844" s="152">
        <f>IFERROR(VALUE(SUBSTITUTE(INDEX('04A_국토부원자료'!$A:$T,ROW()+1,MATCH("건축년도",'04A_국토부원자료'!$A$4:$T$4,0)),",","")),"")</f>
        <v/>
      </c>
      <c r="L844" s="176">
        <f>IFERROR(INDEX('04A_국토부원자료'!$A:$T,ROW()+1,MATCH("도로명",'04A_국토부원자료'!$A$4:$T$4,0)),"")</f>
        <v/>
      </c>
      <c r="M844" s="48">
        <f>IFERROR(INDEX('04A_국토부원자료'!$A:$T,ROW()+1,MATCH("거래유형",'04A_국토부원자료'!$A$4:$T$4,0)),"")</f>
        <v/>
      </c>
      <c r="N844" s="152">
        <f>IF(B844="","",IF('02_대상물건입력'!B5="",1,IF(ISNUMBER(SEARCH('02_대상물건입력'!B5,B844)),1,0)))</f>
        <v/>
      </c>
      <c r="O844" s="152">
        <f>IF(B844="","",IF('02_대상물건입력'!B6="",1,IF(ISNUMBER(SEARCH('02_대상물건입력'!B6,B844)),1,0)))</f>
        <v/>
      </c>
      <c r="P844" s="152">
        <f>IF(L844="","",IF('02_대상물건입력'!B15="",0,IF(ISNUMBER(SEARCH('02_대상물건입력'!B15,L844)),1,0)))</f>
        <v/>
      </c>
      <c r="Q844" s="152">
        <f>IF(OR(C844="",L844=""),0,IF(AND(TRIM(C844)=TRIM(RIGHT(SUBSTITUTE(TRIM('02_대상물건입력'!$B$7)," ",REPT(" ",99)),99)),IF('02_대상물건입력'!B15="",TRUE(),ISNUMBER(SEARCH('02_대상물건입력'!B15,L844)))),1,0))</f>
        <v/>
      </c>
      <c r="R844" s="175">
        <f>IFERROR(ABS(E844-'02_대상물건입력'!B11)/'02_대상물건입력'!B11,"")</f>
        <v/>
      </c>
      <c r="S844" s="152">
        <f>IFERROR(ABS(J844-'02_대상물건입력'!B10),"")</f>
        <v/>
      </c>
      <c r="T844" s="152">
        <f>IFERROR(ABS('01_설정'!B4-F844),"")</f>
        <v/>
      </c>
      <c r="U844" s="152">
        <f>IFERROR(ABS(K844-YEAR('02_대상물건입력'!B14)),"")</f>
        <v/>
      </c>
      <c r="V844" s="152">
        <f>IF(B844="","",IF(AND(E844&gt;0,F844&gt;0,H844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844=1,TRUE()),R844&lt;='01_설정'!B5,S844&lt;='01_설정'!B6,T844&lt;='01_설정'!B7,U844&lt;='01_설정'!B8),"Y",""))</f>
        <v/>
      </c>
      <c r="W844" s="172">
        <f>IF(V844&lt;&gt;"Y","",MAX(0,(1-R844/'01_설정'!B5))*'01_설정'!B14+MAX(0,(1-S844/'01_설정'!B6))*'01_설정'!B15+MAX(0,(1-T844/'01_설정'!B7))*'01_설정'!B16+MAX(0,(1-U844/'01_설정'!B8))*'01_설정'!B17+O844*'01_설정'!B11+Q844*'01_설정'!B12+P844*'01_설정'!B13+IF(Z844="",0,Z844))</f>
        <v/>
      </c>
      <c r="X844" s="152">
        <f>IF(W844="","",1+COUNTIFS($W$4:$W$3003,"&gt;"&amp;W844)+COUNTIFS($W$4:W844,W844)-1)</f>
        <v/>
      </c>
      <c r="Y844" s="175">
        <f>IF(OR(I844="",'02_대상물건입력'!B19="",'02_대상물건입력'!B19&lt;=0),"",ABS(I844-'02_대상물건입력'!B19)/'02_대상물건입력'!B19)</f>
        <v/>
      </c>
      <c r="Z844" s="172">
        <f>IF(OR(Y844="",'01_설정'!B31="",'01_설정'!B31&lt;=0,'01_설정'!B32="",'01_설정'!B32&lt;=0),"",MAX(0,(1-Y844/'01_설정'!B32))*'01_설정'!B31)</f>
        <v/>
      </c>
    </row>
    <row r="845" ht="17.25" customHeight="1">
      <c r="A845" s="152">
        <f>IF(INDEX('04A_국토부원자료'!$A:$A,ROW()+1)="","",ROW()-3)</f>
        <v/>
      </c>
      <c r="B845" s="48">
        <f>IFERROR(INDEX('04A_국토부원자료'!$A:$T,ROW()+1,MATCH("시군구",'04A_국토부원자료'!$A$4:$T$4,0)),"")</f>
        <v/>
      </c>
      <c r="C845" s="48">
        <f>IF(B845="","",IFERROR(INDEX('04A_국토부원자료'!$A:$T,ROW()+1,MATCH("번지",'04A_국토부원자료'!$A$4:$T$4,0)),""))</f>
        <v/>
      </c>
      <c r="D845" s="48">
        <f>IF(B845="","",IF(Q845=1,'02_대상물건입력'!$B$8,IFERROR(INDEX('04A_국토부원자료'!$A:$T,ROW()+1,MATCH("단지명",'04A_국토부원자료'!$A$4:$T$4,0)),"")))</f>
        <v/>
      </c>
      <c r="E845" s="172">
        <f>IFERROR(VALUE(SUBSTITUTE(INDEX('04A_국토부원자료'!$A:$T,ROW()+1,MATCH("전용면적(㎡)",'04A_국토부원자료'!$A$4:$T$4,0)),",","")),"")</f>
        <v/>
      </c>
      <c r="F8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45" s="51">
        <f>IFERROR(VALUE(SUBSTITUTE(INDEX('04A_국토부원자료'!$A:$T,ROW()+1,MATCH("거래금액(만원)",'04A_국토부원자료'!$A$4:$T$4,0)),",","")),"")</f>
        <v/>
      </c>
      <c r="H845" s="174">
        <f>IF(G845="","",G845*10000)</f>
        <v/>
      </c>
      <c r="I845" s="174">
        <f>IFERROR(IF(AND(H845&gt;0,E845&gt;0),H845/E845,""),"")</f>
        <v/>
      </c>
      <c r="J845" s="152">
        <f>IFERROR(VALUE(SUBSTITUTE(INDEX('04A_국토부원자료'!$A:$T,ROW()+1,MATCH("층",'04A_국토부원자료'!$A$4:$T$4,0)),",","")),"")</f>
        <v/>
      </c>
      <c r="K845" s="152">
        <f>IFERROR(VALUE(SUBSTITUTE(INDEX('04A_국토부원자료'!$A:$T,ROW()+1,MATCH("건축년도",'04A_국토부원자료'!$A$4:$T$4,0)),",","")),"")</f>
        <v/>
      </c>
      <c r="L845" s="176">
        <f>IFERROR(INDEX('04A_국토부원자료'!$A:$T,ROW()+1,MATCH("도로명",'04A_국토부원자료'!$A$4:$T$4,0)),"")</f>
        <v/>
      </c>
      <c r="M845" s="48">
        <f>IFERROR(INDEX('04A_국토부원자료'!$A:$T,ROW()+1,MATCH("거래유형",'04A_국토부원자료'!$A$4:$T$4,0)),"")</f>
        <v/>
      </c>
      <c r="N845" s="152">
        <f>IF(B845="","",IF('02_대상물건입력'!B5="",1,IF(ISNUMBER(SEARCH('02_대상물건입력'!B5,B845)),1,0)))</f>
        <v/>
      </c>
      <c r="O845" s="152">
        <f>IF(B845="","",IF('02_대상물건입력'!B6="",1,IF(ISNUMBER(SEARCH('02_대상물건입력'!B6,B845)),1,0)))</f>
        <v/>
      </c>
      <c r="P845" s="152">
        <f>IF(L845="","",IF('02_대상물건입력'!B15="",0,IF(ISNUMBER(SEARCH('02_대상물건입력'!B15,L845)),1,0)))</f>
        <v/>
      </c>
      <c r="Q845" s="152">
        <f>IF(OR(C845="",L845=""),0,IF(AND(TRIM(C845)=TRIM(RIGHT(SUBSTITUTE(TRIM('02_대상물건입력'!$B$7)," ",REPT(" ",99)),99)),IF('02_대상물건입력'!B15="",TRUE(),ISNUMBER(SEARCH('02_대상물건입력'!B15,L845)))),1,0))</f>
        <v/>
      </c>
      <c r="R845" s="175">
        <f>IFERROR(ABS(E845-'02_대상물건입력'!B11)/'02_대상물건입력'!B11,"")</f>
        <v/>
      </c>
      <c r="S845" s="152">
        <f>IFERROR(ABS(J845-'02_대상물건입력'!B10),"")</f>
        <v/>
      </c>
      <c r="T845" s="152">
        <f>IFERROR(ABS('01_설정'!B4-F845),"")</f>
        <v/>
      </c>
      <c r="U845" s="152">
        <f>IFERROR(ABS(K845-YEAR('02_대상물건입력'!B14)),"")</f>
        <v/>
      </c>
      <c r="V845" s="152">
        <f>IF(B845="","",IF(AND(E845&gt;0,F845&gt;0,H845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845=1,TRUE()),R845&lt;='01_설정'!B5,S845&lt;='01_설정'!B6,T845&lt;='01_설정'!B7,U845&lt;='01_설정'!B8),"Y",""))</f>
        <v/>
      </c>
      <c r="W845" s="172">
        <f>IF(V845&lt;&gt;"Y","",MAX(0,(1-R845/'01_설정'!B5))*'01_설정'!B14+MAX(0,(1-S845/'01_설정'!B6))*'01_설정'!B15+MAX(0,(1-T845/'01_설정'!B7))*'01_설정'!B16+MAX(0,(1-U845/'01_설정'!B8))*'01_설정'!B17+O845*'01_설정'!B11+Q845*'01_설정'!B12+P845*'01_설정'!B13+IF(Z845="",0,Z845))</f>
        <v/>
      </c>
      <c r="X845" s="152">
        <f>IF(W845="","",1+COUNTIFS($W$4:$W$3003,"&gt;"&amp;W845)+COUNTIFS($W$4:W845,W845)-1)</f>
        <v/>
      </c>
      <c r="Y845" s="175">
        <f>IF(OR(I845="",'02_대상물건입력'!B19="",'02_대상물건입력'!B19&lt;=0),"",ABS(I845-'02_대상물건입력'!B19)/'02_대상물건입력'!B19)</f>
        <v/>
      </c>
      <c r="Z845" s="172">
        <f>IF(OR(Y845="",'01_설정'!B31="",'01_설정'!B31&lt;=0,'01_설정'!B32="",'01_설정'!B32&lt;=0),"",MAX(0,(1-Y845/'01_설정'!B32))*'01_설정'!B31)</f>
        <v/>
      </c>
    </row>
    <row r="846" ht="17.25" customHeight="1">
      <c r="A846" s="152">
        <f>IF(INDEX('04A_국토부원자료'!$A:$A,ROW()+1)="","",ROW()-3)</f>
        <v/>
      </c>
      <c r="B846" s="48">
        <f>IFERROR(INDEX('04A_국토부원자료'!$A:$T,ROW()+1,MATCH("시군구",'04A_국토부원자료'!$A$4:$T$4,0)),"")</f>
        <v/>
      </c>
      <c r="C846" s="48">
        <f>IF(B846="","",IFERROR(INDEX('04A_국토부원자료'!$A:$T,ROW()+1,MATCH("번지",'04A_국토부원자료'!$A$4:$T$4,0)),""))</f>
        <v/>
      </c>
      <c r="D846" s="48">
        <f>IF(B846="","",IF(Q846=1,'02_대상물건입력'!$B$8,IFERROR(INDEX('04A_국토부원자료'!$A:$T,ROW()+1,MATCH("단지명",'04A_국토부원자료'!$A$4:$T$4,0)),"")))</f>
        <v/>
      </c>
      <c r="E846" s="172">
        <f>IFERROR(VALUE(SUBSTITUTE(INDEX('04A_국토부원자료'!$A:$T,ROW()+1,MATCH("전용면적(㎡)",'04A_국토부원자료'!$A$4:$T$4,0)),",","")),"")</f>
        <v/>
      </c>
      <c r="F8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46" s="51">
        <f>IFERROR(VALUE(SUBSTITUTE(INDEX('04A_국토부원자료'!$A:$T,ROW()+1,MATCH("거래금액(만원)",'04A_국토부원자료'!$A$4:$T$4,0)),",","")),"")</f>
        <v/>
      </c>
      <c r="H846" s="174">
        <f>IF(G846="","",G846*10000)</f>
        <v/>
      </c>
      <c r="I846" s="174">
        <f>IFERROR(IF(AND(H846&gt;0,E846&gt;0),H846/E846,""),"")</f>
        <v/>
      </c>
      <c r="J846" s="152">
        <f>IFERROR(VALUE(SUBSTITUTE(INDEX('04A_국토부원자료'!$A:$T,ROW()+1,MATCH("층",'04A_국토부원자료'!$A$4:$T$4,0)),",","")),"")</f>
        <v/>
      </c>
      <c r="K846" s="152">
        <f>IFERROR(VALUE(SUBSTITUTE(INDEX('04A_국토부원자료'!$A:$T,ROW()+1,MATCH("건축년도",'04A_국토부원자료'!$A$4:$T$4,0)),",","")),"")</f>
        <v/>
      </c>
      <c r="L846" s="176">
        <f>IFERROR(INDEX('04A_국토부원자료'!$A:$T,ROW()+1,MATCH("도로명",'04A_국토부원자료'!$A$4:$T$4,0)),"")</f>
        <v/>
      </c>
      <c r="M846" s="48">
        <f>IFERROR(INDEX('04A_국토부원자료'!$A:$T,ROW()+1,MATCH("거래유형",'04A_국토부원자료'!$A$4:$T$4,0)),"")</f>
        <v/>
      </c>
      <c r="N846" s="152">
        <f>IF(B846="","",IF('02_대상물건입력'!B5="",1,IF(ISNUMBER(SEARCH('02_대상물건입력'!B5,B846)),1,0)))</f>
        <v/>
      </c>
      <c r="O846" s="152">
        <f>IF(B846="","",IF('02_대상물건입력'!B6="",1,IF(ISNUMBER(SEARCH('02_대상물건입력'!B6,B846)),1,0)))</f>
        <v/>
      </c>
      <c r="P846" s="152">
        <f>IF(L846="","",IF('02_대상물건입력'!B15="",0,IF(ISNUMBER(SEARCH('02_대상물건입력'!B15,L846)),1,0)))</f>
        <v/>
      </c>
      <c r="Q846" s="152">
        <f>IF(OR(C846="",L846=""),0,IF(AND(TRIM(C846)=TRIM(RIGHT(SUBSTITUTE(TRIM('02_대상물건입력'!$B$7)," ",REPT(" ",99)),99)),IF('02_대상물건입력'!B15="",TRUE(),ISNUMBER(SEARCH('02_대상물건입력'!B15,L846)))),1,0))</f>
        <v/>
      </c>
      <c r="R846" s="175">
        <f>IFERROR(ABS(E846-'02_대상물건입력'!B11)/'02_대상물건입력'!B11,"")</f>
        <v/>
      </c>
      <c r="S846" s="152">
        <f>IFERROR(ABS(J846-'02_대상물건입력'!B10),"")</f>
        <v/>
      </c>
      <c r="T846" s="152">
        <f>IFERROR(ABS('01_설정'!B4-F846),"")</f>
        <v/>
      </c>
      <c r="U846" s="152">
        <f>IFERROR(ABS(K846-YEAR('02_대상물건입력'!B14)),"")</f>
        <v/>
      </c>
      <c r="V846" s="152">
        <f>IF(B846="","",IF(AND(E846&gt;0,F846&gt;0,H846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846=1,TRUE()),R846&lt;='01_설정'!B5,S846&lt;='01_설정'!B6,T846&lt;='01_설정'!B7,U846&lt;='01_설정'!B8),"Y",""))</f>
        <v/>
      </c>
      <c r="W846" s="172">
        <f>IF(V846&lt;&gt;"Y","",MAX(0,(1-R846/'01_설정'!B5))*'01_설정'!B14+MAX(0,(1-S846/'01_설정'!B6))*'01_설정'!B15+MAX(0,(1-T846/'01_설정'!B7))*'01_설정'!B16+MAX(0,(1-U846/'01_설정'!B8))*'01_설정'!B17+O846*'01_설정'!B11+Q846*'01_설정'!B12+P846*'01_설정'!B13+IF(Z846="",0,Z846))</f>
        <v/>
      </c>
      <c r="X846" s="152">
        <f>IF(W846="","",1+COUNTIFS($W$4:$W$3003,"&gt;"&amp;W846)+COUNTIFS($W$4:W846,W846)-1)</f>
        <v/>
      </c>
      <c r="Y846" s="175">
        <f>IF(OR(I846="",'02_대상물건입력'!B19="",'02_대상물건입력'!B19&lt;=0),"",ABS(I846-'02_대상물건입력'!B19)/'02_대상물건입력'!B19)</f>
        <v/>
      </c>
      <c r="Z846" s="172">
        <f>IF(OR(Y846="",'01_설정'!B31="",'01_설정'!B31&lt;=0,'01_설정'!B32="",'01_설정'!B32&lt;=0),"",MAX(0,(1-Y846/'01_설정'!B32))*'01_설정'!B31)</f>
        <v/>
      </c>
    </row>
    <row r="847" ht="17.25" customHeight="1">
      <c r="A847" s="152">
        <f>IF(INDEX('04A_국토부원자료'!$A:$A,ROW()+1)="","",ROW()-3)</f>
        <v/>
      </c>
      <c r="B847" s="48">
        <f>IFERROR(INDEX('04A_국토부원자료'!$A:$T,ROW()+1,MATCH("시군구",'04A_국토부원자료'!$A$4:$T$4,0)),"")</f>
        <v/>
      </c>
      <c r="C847" s="48">
        <f>IF(B847="","",IFERROR(INDEX('04A_국토부원자료'!$A:$T,ROW()+1,MATCH("번지",'04A_국토부원자료'!$A$4:$T$4,0)),""))</f>
        <v/>
      </c>
      <c r="D847" s="48">
        <f>IF(B847="","",IF(Q847=1,'02_대상물건입력'!$B$8,IFERROR(INDEX('04A_국토부원자료'!$A:$T,ROW()+1,MATCH("단지명",'04A_국토부원자료'!$A$4:$T$4,0)),"")))</f>
        <v/>
      </c>
      <c r="E847" s="172">
        <f>IFERROR(VALUE(SUBSTITUTE(INDEX('04A_국토부원자료'!$A:$T,ROW()+1,MATCH("전용면적(㎡)",'04A_국토부원자료'!$A$4:$T$4,0)),",","")),"")</f>
        <v/>
      </c>
      <c r="F8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47" s="51">
        <f>IFERROR(VALUE(SUBSTITUTE(INDEX('04A_국토부원자료'!$A:$T,ROW()+1,MATCH("거래금액(만원)",'04A_국토부원자료'!$A$4:$T$4,0)),",","")),"")</f>
        <v/>
      </c>
      <c r="H847" s="174">
        <f>IF(G847="","",G847*10000)</f>
        <v/>
      </c>
      <c r="I847" s="174">
        <f>IFERROR(IF(AND(H847&gt;0,E847&gt;0),H847/E847,""),"")</f>
        <v/>
      </c>
      <c r="J847" s="152">
        <f>IFERROR(VALUE(SUBSTITUTE(INDEX('04A_국토부원자료'!$A:$T,ROW()+1,MATCH("층",'04A_국토부원자료'!$A$4:$T$4,0)),",","")),"")</f>
        <v/>
      </c>
      <c r="K847" s="152">
        <f>IFERROR(VALUE(SUBSTITUTE(INDEX('04A_국토부원자료'!$A:$T,ROW()+1,MATCH("건축년도",'04A_국토부원자료'!$A$4:$T$4,0)),",","")),"")</f>
        <v/>
      </c>
      <c r="L847" s="176">
        <f>IFERROR(INDEX('04A_국토부원자료'!$A:$T,ROW()+1,MATCH("도로명",'04A_국토부원자료'!$A$4:$T$4,0)),"")</f>
        <v/>
      </c>
      <c r="M847" s="48">
        <f>IFERROR(INDEX('04A_국토부원자료'!$A:$T,ROW()+1,MATCH("거래유형",'04A_국토부원자료'!$A$4:$T$4,0)),"")</f>
        <v/>
      </c>
      <c r="N847" s="152">
        <f>IF(B847="","",IF('02_대상물건입력'!B5="",1,IF(ISNUMBER(SEARCH('02_대상물건입력'!B5,B847)),1,0)))</f>
        <v/>
      </c>
      <c r="O847" s="152">
        <f>IF(B847="","",IF('02_대상물건입력'!B6="",1,IF(ISNUMBER(SEARCH('02_대상물건입력'!B6,B847)),1,0)))</f>
        <v/>
      </c>
      <c r="P847" s="152">
        <f>IF(L847="","",IF('02_대상물건입력'!B15="",0,IF(ISNUMBER(SEARCH('02_대상물건입력'!B15,L847)),1,0)))</f>
        <v/>
      </c>
      <c r="Q847" s="152">
        <f>IF(OR(C847="",L847=""),0,IF(AND(TRIM(C847)=TRIM(RIGHT(SUBSTITUTE(TRIM('02_대상물건입력'!$B$7)," ",REPT(" ",99)),99)),IF('02_대상물건입력'!B15="",TRUE(),ISNUMBER(SEARCH('02_대상물건입력'!B15,L847)))),1,0))</f>
        <v/>
      </c>
      <c r="R847" s="175">
        <f>IFERROR(ABS(E847-'02_대상물건입력'!B11)/'02_대상물건입력'!B11,"")</f>
        <v/>
      </c>
      <c r="S847" s="152">
        <f>IFERROR(ABS(J847-'02_대상물건입력'!B10),"")</f>
        <v/>
      </c>
      <c r="T847" s="152">
        <f>IFERROR(ABS('01_설정'!B4-F847),"")</f>
        <v/>
      </c>
      <c r="U847" s="152">
        <f>IFERROR(ABS(K847-YEAR('02_대상물건입력'!B14)),"")</f>
        <v/>
      </c>
      <c r="V847" s="152">
        <f>IF(B847="","",IF(AND(E847&gt;0,F847&gt;0,H847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847=1,TRUE()),R847&lt;='01_설정'!B5,S847&lt;='01_설정'!B6,T847&lt;='01_설정'!B7,U847&lt;='01_설정'!B8),"Y",""))</f>
        <v/>
      </c>
      <c r="W847" s="172">
        <f>IF(V847&lt;&gt;"Y","",MAX(0,(1-R847/'01_설정'!B5))*'01_설정'!B14+MAX(0,(1-S847/'01_설정'!B6))*'01_설정'!B15+MAX(0,(1-T847/'01_설정'!B7))*'01_설정'!B16+MAX(0,(1-U847/'01_설정'!B8))*'01_설정'!B17+O847*'01_설정'!B11+Q847*'01_설정'!B12+P847*'01_설정'!B13+IF(Z847="",0,Z847))</f>
        <v/>
      </c>
      <c r="X847" s="152">
        <f>IF(W847="","",1+COUNTIFS($W$4:$W$3003,"&gt;"&amp;W847)+COUNTIFS($W$4:W847,W847)-1)</f>
        <v/>
      </c>
      <c r="Y847" s="175">
        <f>IF(OR(I847="",'02_대상물건입력'!B19="",'02_대상물건입력'!B19&lt;=0),"",ABS(I847-'02_대상물건입력'!B19)/'02_대상물건입력'!B19)</f>
        <v/>
      </c>
      <c r="Z847" s="172">
        <f>IF(OR(Y847="",'01_설정'!B31="",'01_설정'!B31&lt;=0,'01_설정'!B32="",'01_설정'!B32&lt;=0),"",MAX(0,(1-Y847/'01_설정'!B32))*'01_설정'!B31)</f>
        <v/>
      </c>
    </row>
    <row r="848" ht="17.25" customHeight="1">
      <c r="A848" s="152">
        <f>IF(INDEX('04A_국토부원자료'!$A:$A,ROW()+1)="","",ROW()-3)</f>
        <v/>
      </c>
      <c r="B848" s="48">
        <f>IFERROR(INDEX('04A_국토부원자료'!$A:$T,ROW()+1,MATCH("시군구",'04A_국토부원자료'!$A$4:$T$4,0)),"")</f>
        <v/>
      </c>
      <c r="C848" s="48">
        <f>IF(B848="","",IFERROR(INDEX('04A_국토부원자료'!$A:$T,ROW()+1,MATCH("번지",'04A_국토부원자료'!$A$4:$T$4,0)),""))</f>
        <v/>
      </c>
      <c r="D848" s="48">
        <f>IF(B848="","",IF(Q848=1,'02_대상물건입력'!$B$8,IFERROR(INDEX('04A_국토부원자료'!$A:$T,ROW()+1,MATCH("단지명",'04A_국토부원자료'!$A$4:$T$4,0)),"")))</f>
        <v/>
      </c>
      <c r="E848" s="172">
        <f>IFERROR(VALUE(SUBSTITUTE(INDEX('04A_국토부원자료'!$A:$T,ROW()+1,MATCH("전용면적(㎡)",'04A_국토부원자료'!$A$4:$T$4,0)),",","")),"")</f>
        <v/>
      </c>
      <c r="F8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48" s="51">
        <f>IFERROR(VALUE(SUBSTITUTE(INDEX('04A_국토부원자료'!$A:$T,ROW()+1,MATCH("거래금액(만원)",'04A_국토부원자료'!$A$4:$T$4,0)),",","")),"")</f>
        <v/>
      </c>
      <c r="H848" s="174">
        <f>IF(G848="","",G848*10000)</f>
        <v/>
      </c>
      <c r="I848" s="174">
        <f>IFERROR(IF(AND(H848&gt;0,E848&gt;0),H848/E848,""),"")</f>
        <v/>
      </c>
      <c r="J848" s="152">
        <f>IFERROR(VALUE(SUBSTITUTE(INDEX('04A_국토부원자료'!$A:$T,ROW()+1,MATCH("층",'04A_국토부원자료'!$A$4:$T$4,0)),",","")),"")</f>
        <v/>
      </c>
      <c r="K848" s="152">
        <f>IFERROR(VALUE(SUBSTITUTE(INDEX('04A_국토부원자료'!$A:$T,ROW()+1,MATCH("건축년도",'04A_국토부원자료'!$A$4:$T$4,0)),",","")),"")</f>
        <v/>
      </c>
      <c r="L848" s="176">
        <f>IFERROR(INDEX('04A_국토부원자료'!$A:$T,ROW()+1,MATCH("도로명",'04A_국토부원자료'!$A$4:$T$4,0)),"")</f>
        <v/>
      </c>
      <c r="M848" s="48">
        <f>IFERROR(INDEX('04A_국토부원자료'!$A:$T,ROW()+1,MATCH("거래유형",'04A_국토부원자료'!$A$4:$T$4,0)),"")</f>
        <v/>
      </c>
      <c r="N848" s="152">
        <f>IF(B848="","",IF('02_대상물건입력'!B5="",1,IF(ISNUMBER(SEARCH('02_대상물건입력'!B5,B848)),1,0)))</f>
        <v/>
      </c>
      <c r="O848" s="152">
        <f>IF(B848="","",IF('02_대상물건입력'!B6="",1,IF(ISNUMBER(SEARCH('02_대상물건입력'!B6,B848)),1,0)))</f>
        <v/>
      </c>
      <c r="P848" s="152">
        <f>IF(L848="","",IF('02_대상물건입력'!B15="",0,IF(ISNUMBER(SEARCH('02_대상물건입력'!B15,L848)),1,0)))</f>
        <v/>
      </c>
      <c r="Q848" s="152">
        <f>IF(OR(C848="",L848=""),0,IF(AND(TRIM(C848)=TRIM(RIGHT(SUBSTITUTE(TRIM('02_대상물건입력'!$B$7)," ",REPT(" ",99)),99)),IF('02_대상물건입력'!B15="",TRUE(),ISNUMBER(SEARCH('02_대상물건입력'!B15,L848)))),1,0))</f>
        <v/>
      </c>
      <c r="R848" s="175">
        <f>IFERROR(ABS(E848-'02_대상물건입력'!B11)/'02_대상물건입력'!B11,"")</f>
        <v/>
      </c>
      <c r="S848" s="152">
        <f>IFERROR(ABS(J848-'02_대상물건입력'!B10),"")</f>
        <v/>
      </c>
      <c r="T848" s="152">
        <f>IFERROR(ABS('01_설정'!B4-F848),"")</f>
        <v/>
      </c>
      <c r="U848" s="152">
        <f>IFERROR(ABS(K848-YEAR('02_대상물건입력'!B14)),"")</f>
        <v/>
      </c>
      <c r="V848" s="152">
        <f>IF(B848="","",IF(AND(E848&gt;0,F848&gt;0,H848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848=1,TRUE()),R848&lt;='01_설정'!B5,S848&lt;='01_설정'!B6,T848&lt;='01_설정'!B7,U848&lt;='01_설정'!B8),"Y",""))</f>
        <v/>
      </c>
      <c r="W848" s="172">
        <f>IF(V848&lt;&gt;"Y","",MAX(0,(1-R848/'01_설정'!B5))*'01_설정'!B14+MAX(0,(1-S848/'01_설정'!B6))*'01_설정'!B15+MAX(0,(1-T848/'01_설정'!B7))*'01_설정'!B16+MAX(0,(1-U848/'01_설정'!B8))*'01_설정'!B17+O848*'01_설정'!B11+Q848*'01_설정'!B12+P848*'01_설정'!B13+IF(Z848="",0,Z848))</f>
        <v/>
      </c>
      <c r="X848" s="152">
        <f>IF(W848="","",1+COUNTIFS($W$4:$W$3003,"&gt;"&amp;W848)+COUNTIFS($W$4:W848,W848)-1)</f>
        <v/>
      </c>
      <c r="Y848" s="175">
        <f>IF(OR(I848="",'02_대상물건입력'!B19="",'02_대상물건입력'!B19&lt;=0),"",ABS(I848-'02_대상물건입력'!B19)/'02_대상물건입력'!B19)</f>
        <v/>
      </c>
      <c r="Z848" s="172">
        <f>IF(OR(Y848="",'01_설정'!B31="",'01_설정'!B31&lt;=0,'01_설정'!B32="",'01_설정'!B32&lt;=0),"",MAX(0,(1-Y848/'01_설정'!B32))*'01_설정'!B31)</f>
        <v/>
      </c>
    </row>
    <row r="849" ht="17.25" customHeight="1">
      <c r="A849" s="152">
        <f>IF(INDEX('04A_국토부원자료'!$A:$A,ROW()+1)="","",ROW()-3)</f>
        <v/>
      </c>
      <c r="B849" s="48">
        <f>IFERROR(INDEX('04A_국토부원자료'!$A:$T,ROW()+1,MATCH("시군구",'04A_국토부원자료'!$A$4:$T$4,0)),"")</f>
        <v/>
      </c>
      <c r="C849" s="48">
        <f>IF(B849="","",IFERROR(INDEX('04A_국토부원자료'!$A:$T,ROW()+1,MATCH("번지",'04A_국토부원자료'!$A$4:$T$4,0)),""))</f>
        <v/>
      </c>
      <c r="D849" s="48">
        <f>IF(B849="","",IF(Q849=1,'02_대상물건입력'!$B$8,IFERROR(INDEX('04A_국토부원자료'!$A:$T,ROW()+1,MATCH("단지명",'04A_국토부원자료'!$A$4:$T$4,0)),"")))</f>
        <v/>
      </c>
      <c r="E849" s="172">
        <f>IFERROR(VALUE(SUBSTITUTE(INDEX('04A_국토부원자료'!$A:$T,ROW()+1,MATCH("전용면적(㎡)",'04A_국토부원자료'!$A$4:$T$4,0)),",","")),"")</f>
        <v/>
      </c>
      <c r="F8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49" s="51">
        <f>IFERROR(VALUE(SUBSTITUTE(INDEX('04A_국토부원자료'!$A:$T,ROW()+1,MATCH("거래금액(만원)",'04A_국토부원자료'!$A$4:$T$4,0)),",","")),"")</f>
        <v/>
      </c>
      <c r="H849" s="174">
        <f>IF(G849="","",G849*10000)</f>
        <v/>
      </c>
      <c r="I849" s="174">
        <f>IFERROR(IF(AND(H849&gt;0,E849&gt;0),H849/E849,""),"")</f>
        <v/>
      </c>
      <c r="J849" s="152">
        <f>IFERROR(VALUE(SUBSTITUTE(INDEX('04A_국토부원자료'!$A:$T,ROW()+1,MATCH("층",'04A_국토부원자료'!$A$4:$T$4,0)),",","")),"")</f>
        <v/>
      </c>
      <c r="K849" s="152">
        <f>IFERROR(VALUE(SUBSTITUTE(INDEX('04A_국토부원자료'!$A:$T,ROW()+1,MATCH("건축년도",'04A_국토부원자료'!$A$4:$T$4,0)),",","")),"")</f>
        <v/>
      </c>
      <c r="L849" s="176">
        <f>IFERROR(INDEX('04A_국토부원자료'!$A:$T,ROW()+1,MATCH("도로명",'04A_국토부원자료'!$A$4:$T$4,0)),"")</f>
        <v/>
      </c>
      <c r="M849" s="48">
        <f>IFERROR(INDEX('04A_국토부원자료'!$A:$T,ROW()+1,MATCH("거래유형",'04A_국토부원자료'!$A$4:$T$4,0)),"")</f>
        <v/>
      </c>
      <c r="N849" s="152">
        <f>IF(B849="","",IF('02_대상물건입력'!B5="",1,IF(ISNUMBER(SEARCH('02_대상물건입력'!B5,B849)),1,0)))</f>
        <v/>
      </c>
      <c r="O849" s="152">
        <f>IF(B849="","",IF('02_대상물건입력'!B6="",1,IF(ISNUMBER(SEARCH('02_대상물건입력'!B6,B849)),1,0)))</f>
        <v/>
      </c>
      <c r="P849" s="152">
        <f>IF(L849="","",IF('02_대상물건입력'!B15="",0,IF(ISNUMBER(SEARCH('02_대상물건입력'!B15,L849)),1,0)))</f>
        <v/>
      </c>
      <c r="Q849" s="152">
        <f>IF(OR(C849="",L849=""),0,IF(AND(TRIM(C849)=TRIM(RIGHT(SUBSTITUTE(TRIM('02_대상물건입력'!$B$7)," ",REPT(" ",99)),99)),IF('02_대상물건입력'!B15="",TRUE(),ISNUMBER(SEARCH('02_대상물건입력'!B15,L849)))),1,0))</f>
        <v/>
      </c>
      <c r="R849" s="175">
        <f>IFERROR(ABS(E849-'02_대상물건입력'!B11)/'02_대상물건입력'!B11,"")</f>
        <v/>
      </c>
      <c r="S849" s="152">
        <f>IFERROR(ABS(J849-'02_대상물건입력'!B10),"")</f>
        <v/>
      </c>
      <c r="T849" s="152">
        <f>IFERROR(ABS('01_설정'!B4-F849),"")</f>
        <v/>
      </c>
      <c r="U849" s="152">
        <f>IFERROR(ABS(K849-YEAR('02_대상물건입력'!B14)),"")</f>
        <v/>
      </c>
      <c r="V849" s="152">
        <f>IF(B849="","",IF(AND(E849&gt;0,F849&gt;0,H849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849=1,TRUE()),R849&lt;='01_설정'!B5,S849&lt;='01_설정'!B6,T849&lt;='01_설정'!B7,U849&lt;='01_설정'!B8),"Y",""))</f>
        <v/>
      </c>
      <c r="W849" s="172">
        <f>IF(V849&lt;&gt;"Y","",MAX(0,(1-R849/'01_설정'!B5))*'01_설정'!B14+MAX(0,(1-S849/'01_설정'!B6))*'01_설정'!B15+MAX(0,(1-T849/'01_설정'!B7))*'01_설정'!B16+MAX(0,(1-U849/'01_설정'!B8))*'01_설정'!B17+O849*'01_설정'!B11+Q849*'01_설정'!B12+P849*'01_설정'!B13+IF(Z849="",0,Z849))</f>
        <v/>
      </c>
      <c r="X849" s="152">
        <f>IF(W849="","",1+COUNTIFS($W$4:$W$3003,"&gt;"&amp;W849)+COUNTIFS($W$4:W849,W849)-1)</f>
        <v/>
      </c>
      <c r="Y849" s="175">
        <f>IF(OR(I849="",'02_대상물건입력'!B19="",'02_대상물건입력'!B19&lt;=0),"",ABS(I849-'02_대상물건입력'!B19)/'02_대상물건입력'!B19)</f>
        <v/>
      </c>
      <c r="Z849" s="172">
        <f>IF(OR(Y849="",'01_설정'!B31="",'01_설정'!B31&lt;=0,'01_설정'!B32="",'01_설정'!B32&lt;=0),"",MAX(0,(1-Y849/'01_설정'!B32))*'01_설정'!B31)</f>
        <v/>
      </c>
    </row>
    <row r="850" ht="17.25" customHeight="1">
      <c r="A850" s="152">
        <f>IF(INDEX('04A_국토부원자료'!$A:$A,ROW()+1)="","",ROW()-3)</f>
        <v/>
      </c>
      <c r="B850" s="48">
        <f>IFERROR(INDEX('04A_국토부원자료'!$A:$T,ROW()+1,MATCH("시군구",'04A_국토부원자료'!$A$4:$T$4,0)),"")</f>
        <v/>
      </c>
      <c r="C850" s="48">
        <f>IF(B850="","",IFERROR(INDEX('04A_국토부원자료'!$A:$T,ROW()+1,MATCH("번지",'04A_국토부원자료'!$A$4:$T$4,0)),""))</f>
        <v/>
      </c>
      <c r="D850" s="48">
        <f>IF(B850="","",IF(Q850=1,'02_대상물건입력'!$B$8,IFERROR(INDEX('04A_국토부원자료'!$A:$T,ROW()+1,MATCH("단지명",'04A_국토부원자료'!$A$4:$T$4,0)),"")))</f>
        <v/>
      </c>
      <c r="E850" s="172">
        <f>IFERROR(VALUE(SUBSTITUTE(INDEX('04A_국토부원자료'!$A:$T,ROW()+1,MATCH("전용면적(㎡)",'04A_국토부원자료'!$A$4:$T$4,0)),",","")),"")</f>
        <v/>
      </c>
      <c r="F8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50" s="51">
        <f>IFERROR(VALUE(SUBSTITUTE(INDEX('04A_국토부원자료'!$A:$T,ROW()+1,MATCH("거래금액(만원)",'04A_국토부원자료'!$A$4:$T$4,0)),",","")),"")</f>
        <v/>
      </c>
      <c r="H850" s="174">
        <f>IF(G850="","",G850*10000)</f>
        <v/>
      </c>
      <c r="I850" s="174">
        <f>IFERROR(IF(AND(H850&gt;0,E850&gt;0),H850/E850,""),"")</f>
        <v/>
      </c>
      <c r="J850" s="152">
        <f>IFERROR(VALUE(SUBSTITUTE(INDEX('04A_국토부원자료'!$A:$T,ROW()+1,MATCH("층",'04A_국토부원자료'!$A$4:$T$4,0)),",","")),"")</f>
        <v/>
      </c>
      <c r="K850" s="152">
        <f>IFERROR(VALUE(SUBSTITUTE(INDEX('04A_국토부원자료'!$A:$T,ROW()+1,MATCH("건축년도",'04A_국토부원자료'!$A$4:$T$4,0)),",","")),"")</f>
        <v/>
      </c>
      <c r="L850" s="176">
        <f>IFERROR(INDEX('04A_국토부원자료'!$A:$T,ROW()+1,MATCH("도로명",'04A_국토부원자료'!$A$4:$T$4,0)),"")</f>
        <v/>
      </c>
      <c r="M850" s="48">
        <f>IFERROR(INDEX('04A_국토부원자료'!$A:$T,ROW()+1,MATCH("거래유형",'04A_국토부원자료'!$A$4:$T$4,0)),"")</f>
        <v/>
      </c>
      <c r="N850" s="152">
        <f>IF(B850="","",IF('02_대상물건입력'!B5="",1,IF(ISNUMBER(SEARCH('02_대상물건입력'!B5,B850)),1,0)))</f>
        <v/>
      </c>
      <c r="O850" s="152">
        <f>IF(B850="","",IF('02_대상물건입력'!B6="",1,IF(ISNUMBER(SEARCH('02_대상물건입력'!B6,B850)),1,0)))</f>
        <v/>
      </c>
      <c r="P850" s="152">
        <f>IF(L850="","",IF('02_대상물건입력'!B15="",0,IF(ISNUMBER(SEARCH('02_대상물건입력'!B15,L850)),1,0)))</f>
        <v/>
      </c>
      <c r="Q850" s="152">
        <f>IF(OR(C850="",L850=""),0,IF(AND(TRIM(C850)=TRIM(RIGHT(SUBSTITUTE(TRIM('02_대상물건입력'!$B$7)," ",REPT(" ",99)),99)),IF('02_대상물건입력'!B15="",TRUE(),ISNUMBER(SEARCH('02_대상물건입력'!B15,L850)))),1,0))</f>
        <v/>
      </c>
      <c r="R850" s="175">
        <f>IFERROR(ABS(E850-'02_대상물건입력'!B11)/'02_대상물건입력'!B11,"")</f>
        <v/>
      </c>
      <c r="S850" s="152">
        <f>IFERROR(ABS(J850-'02_대상물건입력'!B10),"")</f>
        <v/>
      </c>
      <c r="T850" s="152">
        <f>IFERROR(ABS('01_설정'!B4-F850),"")</f>
        <v/>
      </c>
      <c r="U850" s="152">
        <f>IFERROR(ABS(K850-YEAR('02_대상물건입력'!B14)),"")</f>
        <v/>
      </c>
      <c r="V850" s="152">
        <f>IF(B850="","",IF(AND(E850&gt;0,F850&gt;0,H850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850=1,TRUE()),R850&lt;='01_설정'!B5,S850&lt;='01_설정'!B6,T850&lt;='01_설정'!B7,U850&lt;='01_설정'!B8),"Y",""))</f>
        <v/>
      </c>
      <c r="W850" s="172">
        <f>IF(V850&lt;&gt;"Y","",MAX(0,(1-R850/'01_설정'!B5))*'01_설정'!B14+MAX(0,(1-S850/'01_설정'!B6))*'01_설정'!B15+MAX(0,(1-T850/'01_설정'!B7))*'01_설정'!B16+MAX(0,(1-U850/'01_설정'!B8))*'01_설정'!B17+O850*'01_설정'!B11+Q850*'01_설정'!B12+P850*'01_설정'!B13+IF(Z850="",0,Z850))</f>
        <v/>
      </c>
      <c r="X850" s="152">
        <f>IF(W850="","",1+COUNTIFS($W$4:$W$3003,"&gt;"&amp;W850)+COUNTIFS($W$4:W850,W850)-1)</f>
        <v/>
      </c>
      <c r="Y850" s="175">
        <f>IF(OR(I850="",'02_대상물건입력'!B19="",'02_대상물건입력'!B19&lt;=0),"",ABS(I850-'02_대상물건입력'!B19)/'02_대상물건입력'!B19)</f>
        <v/>
      </c>
      <c r="Z850" s="172">
        <f>IF(OR(Y850="",'01_설정'!B31="",'01_설정'!B31&lt;=0,'01_설정'!B32="",'01_설정'!B32&lt;=0),"",MAX(0,(1-Y850/'01_설정'!B32))*'01_설정'!B31)</f>
        <v/>
      </c>
    </row>
    <row r="851" ht="17.25" customHeight="1">
      <c r="A851" s="152">
        <f>IF(INDEX('04A_국토부원자료'!$A:$A,ROW()+1)="","",ROW()-3)</f>
        <v/>
      </c>
      <c r="B851" s="48">
        <f>IFERROR(INDEX('04A_국토부원자료'!$A:$T,ROW()+1,MATCH("시군구",'04A_국토부원자료'!$A$4:$T$4,0)),"")</f>
        <v/>
      </c>
      <c r="C851" s="48">
        <f>IF(B851="","",IFERROR(INDEX('04A_국토부원자료'!$A:$T,ROW()+1,MATCH("번지",'04A_국토부원자료'!$A$4:$T$4,0)),""))</f>
        <v/>
      </c>
      <c r="D851" s="48">
        <f>IF(B851="","",IF(Q851=1,'02_대상물건입력'!$B$8,IFERROR(INDEX('04A_국토부원자료'!$A:$T,ROW()+1,MATCH("단지명",'04A_국토부원자료'!$A$4:$T$4,0)),"")))</f>
        <v/>
      </c>
      <c r="E851" s="172">
        <f>IFERROR(VALUE(SUBSTITUTE(INDEX('04A_국토부원자료'!$A:$T,ROW()+1,MATCH("전용면적(㎡)",'04A_국토부원자료'!$A$4:$T$4,0)),",","")),"")</f>
        <v/>
      </c>
      <c r="F8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51" s="51">
        <f>IFERROR(VALUE(SUBSTITUTE(INDEX('04A_국토부원자료'!$A:$T,ROW()+1,MATCH("거래금액(만원)",'04A_국토부원자료'!$A$4:$T$4,0)),",","")),"")</f>
        <v/>
      </c>
      <c r="H851" s="174">
        <f>IF(G851="","",G851*10000)</f>
        <v/>
      </c>
      <c r="I851" s="174">
        <f>IFERROR(IF(AND(H851&gt;0,E851&gt;0),H851/E851,""),"")</f>
        <v/>
      </c>
      <c r="J851" s="152">
        <f>IFERROR(VALUE(SUBSTITUTE(INDEX('04A_국토부원자료'!$A:$T,ROW()+1,MATCH("층",'04A_국토부원자료'!$A$4:$T$4,0)),",","")),"")</f>
        <v/>
      </c>
      <c r="K851" s="152">
        <f>IFERROR(VALUE(SUBSTITUTE(INDEX('04A_국토부원자료'!$A:$T,ROW()+1,MATCH("건축년도",'04A_국토부원자료'!$A$4:$T$4,0)),",","")),"")</f>
        <v/>
      </c>
      <c r="L851" s="176">
        <f>IFERROR(INDEX('04A_국토부원자료'!$A:$T,ROW()+1,MATCH("도로명",'04A_국토부원자료'!$A$4:$T$4,0)),"")</f>
        <v/>
      </c>
      <c r="M851" s="48">
        <f>IFERROR(INDEX('04A_국토부원자료'!$A:$T,ROW()+1,MATCH("거래유형",'04A_국토부원자료'!$A$4:$T$4,0)),"")</f>
        <v/>
      </c>
      <c r="N851" s="152">
        <f>IF(B851="","",IF('02_대상물건입력'!B5="",1,IF(ISNUMBER(SEARCH('02_대상물건입력'!B5,B851)),1,0)))</f>
        <v/>
      </c>
      <c r="O851" s="152">
        <f>IF(B851="","",IF('02_대상물건입력'!B6="",1,IF(ISNUMBER(SEARCH('02_대상물건입력'!B6,B851)),1,0)))</f>
        <v/>
      </c>
      <c r="P851" s="152">
        <f>IF(L851="","",IF('02_대상물건입력'!B15="",0,IF(ISNUMBER(SEARCH('02_대상물건입력'!B15,L851)),1,0)))</f>
        <v/>
      </c>
      <c r="Q851" s="152">
        <f>IF(OR(C851="",L851=""),0,IF(AND(TRIM(C851)=TRIM(RIGHT(SUBSTITUTE(TRIM('02_대상물건입력'!$B$7)," ",REPT(" ",99)),99)),IF('02_대상물건입력'!B15="",TRUE(),ISNUMBER(SEARCH('02_대상물건입력'!B15,L851)))),1,0))</f>
        <v/>
      </c>
      <c r="R851" s="175">
        <f>IFERROR(ABS(E851-'02_대상물건입력'!B11)/'02_대상물건입력'!B11,"")</f>
        <v/>
      </c>
      <c r="S851" s="152">
        <f>IFERROR(ABS(J851-'02_대상물건입력'!B10),"")</f>
        <v/>
      </c>
      <c r="T851" s="152">
        <f>IFERROR(ABS('01_설정'!B4-F851),"")</f>
        <v/>
      </c>
      <c r="U851" s="152">
        <f>IFERROR(ABS(K851-YEAR('02_대상물건입력'!B14)),"")</f>
        <v/>
      </c>
      <c r="V851" s="152">
        <f>IF(B851="","",IF(AND(E851&gt;0,F851&gt;0,H851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851=1,TRUE()),R851&lt;='01_설정'!B5,S851&lt;='01_설정'!B6,T851&lt;='01_설정'!B7,U851&lt;='01_설정'!B8),"Y",""))</f>
        <v/>
      </c>
      <c r="W851" s="172">
        <f>IF(V851&lt;&gt;"Y","",MAX(0,(1-R851/'01_설정'!B5))*'01_설정'!B14+MAX(0,(1-S851/'01_설정'!B6))*'01_설정'!B15+MAX(0,(1-T851/'01_설정'!B7))*'01_설정'!B16+MAX(0,(1-U851/'01_설정'!B8))*'01_설정'!B17+O851*'01_설정'!B11+Q851*'01_설정'!B12+P851*'01_설정'!B13+IF(Z851="",0,Z851))</f>
        <v/>
      </c>
      <c r="X851" s="152">
        <f>IF(W851="","",1+COUNTIFS($W$4:$W$3003,"&gt;"&amp;W851)+COUNTIFS($W$4:W851,W851)-1)</f>
        <v/>
      </c>
      <c r="Y851" s="175">
        <f>IF(OR(I851="",'02_대상물건입력'!B19="",'02_대상물건입력'!B19&lt;=0),"",ABS(I851-'02_대상물건입력'!B19)/'02_대상물건입력'!B19)</f>
        <v/>
      </c>
      <c r="Z851" s="172">
        <f>IF(OR(Y851="",'01_설정'!B31="",'01_설정'!B31&lt;=0,'01_설정'!B32="",'01_설정'!B32&lt;=0),"",MAX(0,(1-Y851/'01_설정'!B32))*'01_설정'!B31)</f>
        <v/>
      </c>
    </row>
    <row r="852" ht="17.25" customHeight="1">
      <c r="A852" s="152">
        <f>IF(INDEX('04A_국토부원자료'!$A:$A,ROW()+1)="","",ROW()-3)</f>
        <v/>
      </c>
      <c r="B852" s="48">
        <f>IFERROR(INDEX('04A_국토부원자료'!$A:$T,ROW()+1,MATCH("시군구",'04A_국토부원자료'!$A$4:$T$4,0)),"")</f>
        <v/>
      </c>
      <c r="C852" s="48">
        <f>IF(B852="","",IFERROR(INDEX('04A_국토부원자료'!$A:$T,ROW()+1,MATCH("번지",'04A_국토부원자료'!$A$4:$T$4,0)),""))</f>
        <v/>
      </c>
      <c r="D852" s="48">
        <f>IF(B852="","",IF(Q852=1,'02_대상물건입력'!$B$8,IFERROR(INDEX('04A_국토부원자료'!$A:$T,ROW()+1,MATCH("단지명",'04A_국토부원자료'!$A$4:$T$4,0)),"")))</f>
        <v/>
      </c>
      <c r="E852" s="172">
        <f>IFERROR(VALUE(SUBSTITUTE(INDEX('04A_국토부원자료'!$A:$T,ROW()+1,MATCH("전용면적(㎡)",'04A_국토부원자료'!$A$4:$T$4,0)),",","")),"")</f>
        <v/>
      </c>
      <c r="F8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52" s="51">
        <f>IFERROR(VALUE(SUBSTITUTE(INDEX('04A_국토부원자료'!$A:$T,ROW()+1,MATCH("거래금액(만원)",'04A_국토부원자료'!$A$4:$T$4,0)),",","")),"")</f>
        <v/>
      </c>
      <c r="H852" s="174">
        <f>IF(G852="","",G852*10000)</f>
        <v/>
      </c>
      <c r="I852" s="174">
        <f>IFERROR(IF(AND(H852&gt;0,E852&gt;0),H852/E852,""),"")</f>
        <v/>
      </c>
      <c r="J852" s="152">
        <f>IFERROR(VALUE(SUBSTITUTE(INDEX('04A_국토부원자료'!$A:$T,ROW()+1,MATCH("층",'04A_국토부원자료'!$A$4:$T$4,0)),",","")),"")</f>
        <v/>
      </c>
      <c r="K852" s="152">
        <f>IFERROR(VALUE(SUBSTITUTE(INDEX('04A_국토부원자료'!$A:$T,ROW()+1,MATCH("건축년도",'04A_국토부원자료'!$A$4:$T$4,0)),",","")),"")</f>
        <v/>
      </c>
      <c r="L852" s="176">
        <f>IFERROR(INDEX('04A_국토부원자료'!$A:$T,ROW()+1,MATCH("도로명",'04A_국토부원자료'!$A$4:$T$4,0)),"")</f>
        <v/>
      </c>
      <c r="M852" s="48">
        <f>IFERROR(INDEX('04A_국토부원자료'!$A:$T,ROW()+1,MATCH("거래유형",'04A_국토부원자료'!$A$4:$T$4,0)),"")</f>
        <v/>
      </c>
      <c r="N852" s="152">
        <f>IF(B852="","",IF('02_대상물건입력'!B5="",1,IF(ISNUMBER(SEARCH('02_대상물건입력'!B5,B852)),1,0)))</f>
        <v/>
      </c>
      <c r="O852" s="152">
        <f>IF(B852="","",IF('02_대상물건입력'!B6="",1,IF(ISNUMBER(SEARCH('02_대상물건입력'!B6,B852)),1,0)))</f>
        <v/>
      </c>
      <c r="P852" s="152">
        <f>IF(L852="","",IF('02_대상물건입력'!B15="",0,IF(ISNUMBER(SEARCH('02_대상물건입력'!B15,L852)),1,0)))</f>
        <v/>
      </c>
      <c r="Q852" s="152">
        <f>IF(OR(C852="",L852=""),0,IF(AND(TRIM(C852)=TRIM(RIGHT(SUBSTITUTE(TRIM('02_대상물건입력'!$B$7)," ",REPT(" ",99)),99)),IF('02_대상물건입력'!B15="",TRUE(),ISNUMBER(SEARCH('02_대상물건입력'!B15,L852)))),1,0))</f>
        <v/>
      </c>
      <c r="R852" s="175">
        <f>IFERROR(ABS(E852-'02_대상물건입력'!B11)/'02_대상물건입력'!B11,"")</f>
        <v/>
      </c>
      <c r="S852" s="152">
        <f>IFERROR(ABS(J852-'02_대상물건입력'!B10),"")</f>
        <v/>
      </c>
      <c r="T852" s="152">
        <f>IFERROR(ABS('01_설정'!B4-F852),"")</f>
        <v/>
      </c>
      <c r="U852" s="152">
        <f>IFERROR(ABS(K852-YEAR('02_대상물건입력'!B14)),"")</f>
        <v/>
      </c>
      <c r="V852" s="152">
        <f>IF(B852="","",IF(AND(E852&gt;0,F852&gt;0,H852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852=1,TRUE()),R852&lt;='01_설정'!B5,S852&lt;='01_설정'!B6,T852&lt;='01_설정'!B7,U852&lt;='01_설정'!B8),"Y",""))</f>
        <v/>
      </c>
      <c r="W852" s="172">
        <f>IF(V852&lt;&gt;"Y","",MAX(0,(1-R852/'01_설정'!B5))*'01_설정'!B14+MAX(0,(1-S852/'01_설정'!B6))*'01_설정'!B15+MAX(0,(1-T852/'01_설정'!B7))*'01_설정'!B16+MAX(0,(1-U852/'01_설정'!B8))*'01_설정'!B17+O852*'01_설정'!B11+Q852*'01_설정'!B12+P852*'01_설정'!B13+IF(Z852="",0,Z852))</f>
        <v/>
      </c>
      <c r="X852" s="152">
        <f>IF(W852="","",1+COUNTIFS($W$4:$W$3003,"&gt;"&amp;W852)+COUNTIFS($W$4:W852,W852)-1)</f>
        <v/>
      </c>
      <c r="Y852" s="175">
        <f>IF(OR(I852="",'02_대상물건입력'!B19="",'02_대상물건입력'!B19&lt;=0),"",ABS(I852-'02_대상물건입력'!B19)/'02_대상물건입력'!B19)</f>
        <v/>
      </c>
      <c r="Z852" s="172">
        <f>IF(OR(Y852="",'01_설정'!B31="",'01_설정'!B31&lt;=0,'01_설정'!B32="",'01_설정'!B32&lt;=0),"",MAX(0,(1-Y852/'01_설정'!B32))*'01_설정'!B31)</f>
        <v/>
      </c>
    </row>
    <row r="853" ht="17.25" customHeight="1">
      <c r="A853" s="152">
        <f>IF(INDEX('04A_국토부원자료'!$A:$A,ROW()+1)="","",ROW()-3)</f>
        <v/>
      </c>
      <c r="B853" s="48">
        <f>IFERROR(INDEX('04A_국토부원자료'!$A:$T,ROW()+1,MATCH("시군구",'04A_국토부원자료'!$A$4:$T$4,0)),"")</f>
        <v/>
      </c>
      <c r="C853" s="48">
        <f>IF(B853="","",IFERROR(INDEX('04A_국토부원자료'!$A:$T,ROW()+1,MATCH("번지",'04A_국토부원자료'!$A$4:$T$4,0)),""))</f>
        <v/>
      </c>
      <c r="D853" s="48">
        <f>IF(B853="","",IF(Q853=1,'02_대상물건입력'!$B$8,IFERROR(INDEX('04A_국토부원자료'!$A:$T,ROW()+1,MATCH("단지명",'04A_국토부원자료'!$A$4:$T$4,0)),"")))</f>
        <v/>
      </c>
      <c r="E853" s="172">
        <f>IFERROR(VALUE(SUBSTITUTE(INDEX('04A_국토부원자료'!$A:$T,ROW()+1,MATCH("전용면적(㎡)",'04A_국토부원자료'!$A$4:$T$4,0)),",","")),"")</f>
        <v/>
      </c>
      <c r="F8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53" s="51">
        <f>IFERROR(VALUE(SUBSTITUTE(INDEX('04A_국토부원자료'!$A:$T,ROW()+1,MATCH("거래금액(만원)",'04A_국토부원자료'!$A$4:$T$4,0)),",","")),"")</f>
        <v/>
      </c>
      <c r="H853" s="174">
        <f>IF(G853="","",G853*10000)</f>
        <v/>
      </c>
      <c r="I853" s="174">
        <f>IFERROR(IF(AND(H853&gt;0,E853&gt;0),H853/E853,""),"")</f>
        <v/>
      </c>
      <c r="J853" s="152">
        <f>IFERROR(VALUE(SUBSTITUTE(INDEX('04A_국토부원자료'!$A:$T,ROW()+1,MATCH("층",'04A_국토부원자료'!$A$4:$T$4,0)),",","")),"")</f>
        <v/>
      </c>
      <c r="K853" s="152">
        <f>IFERROR(VALUE(SUBSTITUTE(INDEX('04A_국토부원자료'!$A:$T,ROW()+1,MATCH("건축년도",'04A_국토부원자료'!$A$4:$T$4,0)),",","")),"")</f>
        <v/>
      </c>
      <c r="L853" s="176">
        <f>IFERROR(INDEX('04A_국토부원자료'!$A:$T,ROW()+1,MATCH("도로명",'04A_국토부원자료'!$A$4:$T$4,0)),"")</f>
        <v/>
      </c>
      <c r="M853" s="48">
        <f>IFERROR(INDEX('04A_국토부원자료'!$A:$T,ROW()+1,MATCH("거래유형",'04A_국토부원자료'!$A$4:$T$4,0)),"")</f>
        <v/>
      </c>
      <c r="N853" s="152">
        <f>IF(B853="","",IF('02_대상물건입력'!B5="",1,IF(ISNUMBER(SEARCH('02_대상물건입력'!B5,B853)),1,0)))</f>
        <v/>
      </c>
      <c r="O853" s="152">
        <f>IF(B853="","",IF('02_대상물건입력'!B6="",1,IF(ISNUMBER(SEARCH('02_대상물건입력'!B6,B853)),1,0)))</f>
        <v/>
      </c>
      <c r="P853" s="152">
        <f>IF(L853="","",IF('02_대상물건입력'!B15="",0,IF(ISNUMBER(SEARCH('02_대상물건입력'!B15,L853)),1,0)))</f>
        <v/>
      </c>
      <c r="Q853" s="152">
        <f>IF(OR(C853="",L853=""),0,IF(AND(TRIM(C853)=TRIM(RIGHT(SUBSTITUTE(TRIM('02_대상물건입력'!$B$7)," ",REPT(" ",99)),99)),IF('02_대상물건입력'!B15="",TRUE(),ISNUMBER(SEARCH('02_대상물건입력'!B15,L853)))),1,0))</f>
        <v/>
      </c>
      <c r="R853" s="175">
        <f>IFERROR(ABS(E853-'02_대상물건입력'!B11)/'02_대상물건입력'!B11,"")</f>
        <v/>
      </c>
      <c r="S853" s="152">
        <f>IFERROR(ABS(J853-'02_대상물건입력'!B10),"")</f>
        <v/>
      </c>
      <c r="T853" s="152">
        <f>IFERROR(ABS('01_설정'!B4-F853),"")</f>
        <v/>
      </c>
      <c r="U853" s="152">
        <f>IFERROR(ABS(K853-YEAR('02_대상물건입력'!B14)),"")</f>
        <v/>
      </c>
      <c r="V853" s="152">
        <f>IF(B853="","",IF(AND(E853&gt;0,F853&gt;0,H853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853=1,TRUE()),R853&lt;='01_설정'!B5,S853&lt;='01_설정'!B6,T853&lt;='01_설정'!B7,U853&lt;='01_설정'!B8),"Y",""))</f>
        <v/>
      </c>
      <c r="W853" s="172">
        <f>IF(V853&lt;&gt;"Y","",MAX(0,(1-R853/'01_설정'!B5))*'01_설정'!B14+MAX(0,(1-S853/'01_설정'!B6))*'01_설정'!B15+MAX(0,(1-T853/'01_설정'!B7))*'01_설정'!B16+MAX(0,(1-U853/'01_설정'!B8))*'01_설정'!B17+O853*'01_설정'!B11+Q853*'01_설정'!B12+P853*'01_설정'!B13+IF(Z853="",0,Z853))</f>
        <v/>
      </c>
      <c r="X853" s="152">
        <f>IF(W853="","",1+COUNTIFS($W$4:$W$3003,"&gt;"&amp;W853)+COUNTIFS($W$4:W853,W853)-1)</f>
        <v/>
      </c>
      <c r="Y853" s="175">
        <f>IF(OR(I853="",'02_대상물건입력'!B19="",'02_대상물건입력'!B19&lt;=0),"",ABS(I853-'02_대상물건입력'!B19)/'02_대상물건입력'!B19)</f>
        <v/>
      </c>
      <c r="Z853" s="172">
        <f>IF(OR(Y853="",'01_설정'!B31="",'01_설정'!B31&lt;=0,'01_설정'!B32="",'01_설정'!B32&lt;=0),"",MAX(0,(1-Y853/'01_설정'!B32))*'01_설정'!B31)</f>
        <v/>
      </c>
    </row>
    <row r="854" ht="17.25" customHeight="1">
      <c r="A854" s="152">
        <f>IF(INDEX('04A_국토부원자료'!$A:$A,ROW()+1)="","",ROW()-3)</f>
        <v/>
      </c>
      <c r="B854" s="48">
        <f>IFERROR(INDEX('04A_국토부원자료'!$A:$T,ROW()+1,MATCH("시군구",'04A_국토부원자료'!$A$4:$T$4,0)),"")</f>
        <v/>
      </c>
      <c r="C854" s="48">
        <f>IF(B854="","",IFERROR(INDEX('04A_국토부원자료'!$A:$T,ROW()+1,MATCH("번지",'04A_국토부원자료'!$A$4:$T$4,0)),""))</f>
        <v/>
      </c>
      <c r="D854" s="48">
        <f>IF(B854="","",IF(Q854=1,'02_대상물건입력'!$B$8,IFERROR(INDEX('04A_국토부원자료'!$A:$T,ROW()+1,MATCH("단지명",'04A_국토부원자료'!$A$4:$T$4,0)),"")))</f>
        <v/>
      </c>
      <c r="E854" s="172">
        <f>IFERROR(VALUE(SUBSTITUTE(INDEX('04A_국토부원자료'!$A:$T,ROW()+1,MATCH("전용면적(㎡)",'04A_국토부원자료'!$A$4:$T$4,0)),",","")),"")</f>
        <v/>
      </c>
      <c r="F8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54" s="51">
        <f>IFERROR(VALUE(SUBSTITUTE(INDEX('04A_국토부원자료'!$A:$T,ROW()+1,MATCH("거래금액(만원)",'04A_국토부원자료'!$A$4:$T$4,0)),",","")),"")</f>
        <v/>
      </c>
      <c r="H854" s="174">
        <f>IF(G854="","",G854*10000)</f>
        <v/>
      </c>
      <c r="I854" s="174">
        <f>IFERROR(IF(AND(H854&gt;0,E854&gt;0),H854/E854,""),"")</f>
        <v/>
      </c>
      <c r="J854" s="152">
        <f>IFERROR(VALUE(SUBSTITUTE(INDEX('04A_국토부원자료'!$A:$T,ROW()+1,MATCH("층",'04A_국토부원자료'!$A$4:$T$4,0)),",","")),"")</f>
        <v/>
      </c>
      <c r="K854" s="152">
        <f>IFERROR(VALUE(SUBSTITUTE(INDEX('04A_국토부원자료'!$A:$T,ROW()+1,MATCH("건축년도",'04A_국토부원자료'!$A$4:$T$4,0)),",","")),"")</f>
        <v/>
      </c>
      <c r="L854" s="176">
        <f>IFERROR(INDEX('04A_국토부원자료'!$A:$T,ROW()+1,MATCH("도로명",'04A_국토부원자료'!$A$4:$T$4,0)),"")</f>
        <v/>
      </c>
      <c r="M854" s="48">
        <f>IFERROR(INDEX('04A_국토부원자료'!$A:$T,ROW()+1,MATCH("거래유형",'04A_국토부원자료'!$A$4:$T$4,0)),"")</f>
        <v/>
      </c>
      <c r="N854" s="152">
        <f>IF(B854="","",IF('02_대상물건입력'!B5="",1,IF(ISNUMBER(SEARCH('02_대상물건입력'!B5,B854)),1,0)))</f>
        <v/>
      </c>
      <c r="O854" s="152">
        <f>IF(B854="","",IF('02_대상물건입력'!B6="",1,IF(ISNUMBER(SEARCH('02_대상물건입력'!B6,B854)),1,0)))</f>
        <v/>
      </c>
      <c r="P854" s="152">
        <f>IF(L854="","",IF('02_대상물건입력'!B15="",0,IF(ISNUMBER(SEARCH('02_대상물건입력'!B15,L854)),1,0)))</f>
        <v/>
      </c>
      <c r="Q854" s="152">
        <f>IF(OR(C854="",L854=""),0,IF(AND(TRIM(C854)=TRIM(RIGHT(SUBSTITUTE(TRIM('02_대상물건입력'!$B$7)," ",REPT(" ",99)),99)),IF('02_대상물건입력'!B15="",TRUE(),ISNUMBER(SEARCH('02_대상물건입력'!B15,L854)))),1,0))</f>
        <v/>
      </c>
      <c r="R854" s="175">
        <f>IFERROR(ABS(E854-'02_대상물건입력'!B11)/'02_대상물건입력'!B11,"")</f>
        <v/>
      </c>
      <c r="S854" s="152">
        <f>IFERROR(ABS(J854-'02_대상물건입력'!B10),"")</f>
        <v/>
      </c>
      <c r="T854" s="152">
        <f>IFERROR(ABS('01_설정'!B4-F854),"")</f>
        <v/>
      </c>
      <c r="U854" s="152">
        <f>IFERROR(ABS(K854-YEAR('02_대상물건입력'!B14)),"")</f>
        <v/>
      </c>
      <c r="V854" s="152">
        <f>IF(B854="","",IF(AND(E854&gt;0,F854&gt;0,H854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854=1,TRUE()),R854&lt;='01_설정'!B5,S854&lt;='01_설정'!B6,T854&lt;='01_설정'!B7,U854&lt;='01_설정'!B8),"Y",""))</f>
        <v/>
      </c>
      <c r="W854" s="172">
        <f>IF(V854&lt;&gt;"Y","",MAX(0,(1-R854/'01_설정'!B5))*'01_설정'!B14+MAX(0,(1-S854/'01_설정'!B6))*'01_설정'!B15+MAX(0,(1-T854/'01_설정'!B7))*'01_설정'!B16+MAX(0,(1-U854/'01_설정'!B8))*'01_설정'!B17+O854*'01_설정'!B11+Q854*'01_설정'!B12+P854*'01_설정'!B13+IF(Z854="",0,Z854))</f>
        <v/>
      </c>
      <c r="X854" s="152">
        <f>IF(W854="","",1+COUNTIFS($W$4:$W$3003,"&gt;"&amp;W854)+COUNTIFS($W$4:W854,W854)-1)</f>
        <v/>
      </c>
      <c r="Y854" s="175">
        <f>IF(OR(I854="",'02_대상물건입력'!B19="",'02_대상물건입력'!B19&lt;=0),"",ABS(I854-'02_대상물건입력'!B19)/'02_대상물건입력'!B19)</f>
        <v/>
      </c>
      <c r="Z854" s="172">
        <f>IF(OR(Y854="",'01_설정'!B31="",'01_설정'!B31&lt;=0,'01_설정'!B32="",'01_설정'!B32&lt;=0),"",MAX(0,(1-Y854/'01_설정'!B32))*'01_설정'!B31)</f>
        <v/>
      </c>
    </row>
    <row r="855" ht="17.25" customHeight="1">
      <c r="A855" s="152">
        <f>IF(INDEX('04A_국토부원자료'!$A:$A,ROW()+1)="","",ROW()-3)</f>
        <v/>
      </c>
      <c r="B855" s="48">
        <f>IFERROR(INDEX('04A_국토부원자료'!$A:$T,ROW()+1,MATCH("시군구",'04A_국토부원자료'!$A$4:$T$4,0)),"")</f>
        <v/>
      </c>
      <c r="C855" s="48">
        <f>IF(B855="","",IFERROR(INDEX('04A_국토부원자료'!$A:$T,ROW()+1,MATCH("번지",'04A_국토부원자료'!$A$4:$T$4,0)),""))</f>
        <v/>
      </c>
      <c r="D855" s="48">
        <f>IF(B855="","",IF(Q855=1,'02_대상물건입력'!$B$8,IFERROR(INDEX('04A_국토부원자료'!$A:$T,ROW()+1,MATCH("단지명",'04A_국토부원자료'!$A$4:$T$4,0)),"")))</f>
        <v/>
      </c>
      <c r="E855" s="172">
        <f>IFERROR(VALUE(SUBSTITUTE(INDEX('04A_국토부원자료'!$A:$T,ROW()+1,MATCH("전용면적(㎡)",'04A_국토부원자료'!$A$4:$T$4,0)),",","")),"")</f>
        <v/>
      </c>
      <c r="F8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55" s="51">
        <f>IFERROR(VALUE(SUBSTITUTE(INDEX('04A_국토부원자료'!$A:$T,ROW()+1,MATCH("거래금액(만원)",'04A_국토부원자료'!$A$4:$T$4,0)),",","")),"")</f>
        <v/>
      </c>
      <c r="H855" s="174">
        <f>IF(G855="","",G855*10000)</f>
        <v/>
      </c>
      <c r="I855" s="174">
        <f>IFERROR(IF(AND(H855&gt;0,E855&gt;0),H855/E855,""),"")</f>
        <v/>
      </c>
      <c r="J855" s="152">
        <f>IFERROR(VALUE(SUBSTITUTE(INDEX('04A_국토부원자료'!$A:$T,ROW()+1,MATCH("층",'04A_국토부원자료'!$A$4:$T$4,0)),",","")),"")</f>
        <v/>
      </c>
      <c r="K855" s="152">
        <f>IFERROR(VALUE(SUBSTITUTE(INDEX('04A_국토부원자료'!$A:$T,ROW()+1,MATCH("건축년도",'04A_국토부원자료'!$A$4:$T$4,0)),",","")),"")</f>
        <v/>
      </c>
      <c r="L855" s="176">
        <f>IFERROR(INDEX('04A_국토부원자료'!$A:$T,ROW()+1,MATCH("도로명",'04A_국토부원자료'!$A$4:$T$4,0)),"")</f>
        <v/>
      </c>
      <c r="M855" s="48">
        <f>IFERROR(INDEX('04A_국토부원자료'!$A:$T,ROW()+1,MATCH("거래유형",'04A_국토부원자료'!$A$4:$T$4,0)),"")</f>
        <v/>
      </c>
      <c r="N855" s="152">
        <f>IF(B855="","",IF('02_대상물건입력'!B5="",1,IF(ISNUMBER(SEARCH('02_대상물건입력'!B5,B855)),1,0)))</f>
        <v/>
      </c>
      <c r="O855" s="152">
        <f>IF(B855="","",IF('02_대상물건입력'!B6="",1,IF(ISNUMBER(SEARCH('02_대상물건입력'!B6,B855)),1,0)))</f>
        <v/>
      </c>
      <c r="P855" s="152">
        <f>IF(L855="","",IF('02_대상물건입력'!B15="",0,IF(ISNUMBER(SEARCH('02_대상물건입력'!B15,L855)),1,0)))</f>
        <v/>
      </c>
      <c r="Q855" s="152">
        <f>IF(OR(C855="",L855=""),0,IF(AND(TRIM(C855)=TRIM(RIGHT(SUBSTITUTE(TRIM('02_대상물건입력'!$B$7)," ",REPT(" ",99)),99)),IF('02_대상물건입력'!B15="",TRUE(),ISNUMBER(SEARCH('02_대상물건입력'!B15,L855)))),1,0))</f>
        <v/>
      </c>
      <c r="R855" s="175">
        <f>IFERROR(ABS(E855-'02_대상물건입력'!B11)/'02_대상물건입력'!B11,"")</f>
        <v/>
      </c>
      <c r="S855" s="152">
        <f>IFERROR(ABS(J855-'02_대상물건입력'!B10),"")</f>
        <v/>
      </c>
      <c r="T855" s="152">
        <f>IFERROR(ABS('01_설정'!B4-F855),"")</f>
        <v/>
      </c>
      <c r="U855" s="152">
        <f>IFERROR(ABS(K855-YEAR('02_대상물건입력'!B14)),"")</f>
        <v/>
      </c>
      <c r="V855" s="152">
        <f>IF(B855="","",IF(AND(E855&gt;0,F855&gt;0,H855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855=1,TRUE()),R855&lt;='01_설정'!B5,S855&lt;='01_설정'!B6,T855&lt;='01_설정'!B7,U855&lt;='01_설정'!B8),"Y",""))</f>
        <v/>
      </c>
      <c r="W855" s="172">
        <f>IF(V855&lt;&gt;"Y","",MAX(0,(1-R855/'01_설정'!B5))*'01_설정'!B14+MAX(0,(1-S855/'01_설정'!B6))*'01_설정'!B15+MAX(0,(1-T855/'01_설정'!B7))*'01_설정'!B16+MAX(0,(1-U855/'01_설정'!B8))*'01_설정'!B17+O855*'01_설정'!B11+Q855*'01_설정'!B12+P855*'01_설정'!B13+IF(Z855="",0,Z855))</f>
        <v/>
      </c>
      <c r="X855" s="152">
        <f>IF(W855="","",1+COUNTIFS($W$4:$W$3003,"&gt;"&amp;W855)+COUNTIFS($W$4:W855,W855)-1)</f>
        <v/>
      </c>
      <c r="Y855" s="175">
        <f>IF(OR(I855="",'02_대상물건입력'!B19="",'02_대상물건입력'!B19&lt;=0),"",ABS(I855-'02_대상물건입력'!B19)/'02_대상물건입력'!B19)</f>
        <v/>
      </c>
      <c r="Z855" s="172">
        <f>IF(OR(Y855="",'01_설정'!B31="",'01_설정'!B31&lt;=0,'01_설정'!B32="",'01_설정'!B32&lt;=0),"",MAX(0,(1-Y855/'01_설정'!B32))*'01_설정'!B31)</f>
        <v/>
      </c>
    </row>
    <row r="856" ht="17.25" customHeight="1">
      <c r="A856" s="152">
        <f>IF(INDEX('04A_국토부원자료'!$A:$A,ROW()+1)="","",ROW()-3)</f>
        <v/>
      </c>
      <c r="B856" s="48">
        <f>IFERROR(INDEX('04A_국토부원자료'!$A:$T,ROW()+1,MATCH("시군구",'04A_국토부원자료'!$A$4:$T$4,0)),"")</f>
        <v/>
      </c>
      <c r="C856" s="48">
        <f>IF(B856="","",IFERROR(INDEX('04A_국토부원자료'!$A:$T,ROW()+1,MATCH("번지",'04A_국토부원자료'!$A$4:$T$4,0)),""))</f>
        <v/>
      </c>
      <c r="D856" s="48">
        <f>IF(B856="","",IF(Q856=1,'02_대상물건입력'!$B$8,IFERROR(INDEX('04A_국토부원자료'!$A:$T,ROW()+1,MATCH("단지명",'04A_국토부원자료'!$A$4:$T$4,0)),"")))</f>
        <v/>
      </c>
      <c r="E856" s="172">
        <f>IFERROR(VALUE(SUBSTITUTE(INDEX('04A_국토부원자료'!$A:$T,ROW()+1,MATCH("전용면적(㎡)",'04A_국토부원자료'!$A$4:$T$4,0)),",","")),"")</f>
        <v/>
      </c>
      <c r="F8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56" s="51">
        <f>IFERROR(VALUE(SUBSTITUTE(INDEX('04A_국토부원자료'!$A:$T,ROW()+1,MATCH("거래금액(만원)",'04A_국토부원자료'!$A$4:$T$4,0)),",","")),"")</f>
        <v/>
      </c>
      <c r="H856" s="174">
        <f>IF(G856="","",G856*10000)</f>
        <v/>
      </c>
      <c r="I856" s="174">
        <f>IFERROR(IF(AND(H856&gt;0,E856&gt;0),H856/E856,""),"")</f>
        <v/>
      </c>
      <c r="J856" s="152">
        <f>IFERROR(VALUE(SUBSTITUTE(INDEX('04A_국토부원자료'!$A:$T,ROW()+1,MATCH("층",'04A_국토부원자료'!$A$4:$T$4,0)),",","")),"")</f>
        <v/>
      </c>
      <c r="K856" s="152">
        <f>IFERROR(VALUE(SUBSTITUTE(INDEX('04A_국토부원자료'!$A:$T,ROW()+1,MATCH("건축년도",'04A_국토부원자료'!$A$4:$T$4,0)),",","")),"")</f>
        <v/>
      </c>
      <c r="L856" s="176">
        <f>IFERROR(INDEX('04A_국토부원자료'!$A:$T,ROW()+1,MATCH("도로명",'04A_국토부원자료'!$A$4:$T$4,0)),"")</f>
        <v/>
      </c>
      <c r="M856" s="48">
        <f>IFERROR(INDEX('04A_국토부원자료'!$A:$T,ROW()+1,MATCH("거래유형",'04A_국토부원자료'!$A$4:$T$4,0)),"")</f>
        <v/>
      </c>
      <c r="N856" s="152">
        <f>IF(B856="","",IF('02_대상물건입력'!B5="",1,IF(ISNUMBER(SEARCH('02_대상물건입력'!B5,B856)),1,0)))</f>
        <v/>
      </c>
      <c r="O856" s="152">
        <f>IF(B856="","",IF('02_대상물건입력'!B6="",1,IF(ISNUMBER(SEARCH('02_대상물건입력'!B6,B856)),1,0)))</f>
        <v/>
      </c>
      <c r="P856" s="152">
        <f>IF(L856="","",IF('02_대상물건입력'!B15="",0,IF(ISNUMBER(SEARCH('02_대상물건입력'!B15,L856)),1,0)))</f>
        <v/>
      </c>
      <c r="Q856" s="152">
        <f>IF(OR(C856="",L856=""),0,IF(AND(TRIM(C856)=TRIM(RIGHT(SUBSTITUTE(TRIM('02_대상물건입력'!$B$7)," ",REPT(" ",99)),99)),IF('02_대상물건입력'!B15="",TRUE(),ISNUMBER(SEARCH('02_대상물건입력'!B15,L856)))),1,0))</f>
        <v/>
      </c>
      <c r="R856" s="175">
        <f>IFERROR(ABS(E856-'02_대상물건입력'!B11)/'02_대상물건입력'!B11,"")</f>
        <v/>
      </c>
      <c r="S856" s="152">
        <f>IFERROR(ABS(J856-'02_대상물건입력'!B10),"")</f>
        <v/>
      </c>
      <c r="T856" s="152">
        <f>IFERROR(ABS('01_설정'!B4-F856),"")</f>
        <v/>
      </c>
      <c r="U856" s="152">
        <f>IFERROR(ABS(K856-YEAR('02_대상물건입력'!B14)),"")</f>
        <v/>
      </c>
      <c r="V856" s="152">
        <f>IF(B856="","",IF(AND(E856&gt;0,F856&gt;0,H856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856=1,TRUE()),R856&lt;='01_설정'!B5,S856&lt;='01_설정'!B6,T856&lt;='01_설정'!B7,U856&lt;='01_설정'!B8),"Y",""))</f>
        <v/>
      </c>
      <c r="W856" s="172">
        <f>IF(V856&lt;&gt;"Y","",MAX(0,(1-R856/'01_설정'!B5))*'01_설정'!B14+MAX(0,(1-S856/'01_설정'!B6))*'01_설정'!B15+MAX(0,(1-T856/'01_설정'!B7))*'01_설정'!B16+MAX(0,(1-U856/'01_설정'!B8))*'01_설정'!B17+O856*'01_설정'!B11+Q856*'01_설정'!B12+P856*'01_설정'!B13+IF(Z856="",0,Z856))</f>
        <v/>
      </c>
      <c r="X856" s="152">
        <f>IF(W856="","",1+COUNTIFS($W$4:$W$3003,"&gt;"&amp;W856)+COUNTIFS($W$4:W856,W856)-1)</f>
        <v/>
      </c>
      <c r="Y856" s="175">
        <f>IF(OR(I856="",'02_대상물건입력'!B19="",'02_대상물건입력'!B19&lt;=0),"",ABS(I856-'02_대상물건입력'!B19)/'02_대상물건입력'!B19)</f>
        <v/>
      </c>
      <c r="Z856" s="172">
        <f>IF(OR(Y856="",'01_설정'!B31="",'01_설정'!B31&lt;=0,'01_설정'!B32="",'01_설정'!B32&lt;=0),"",MAX(0,(1-Y856/'01_설정'!B32))*'01_설정'!B31)</f>
        <v/>
      </c>
    </row>
    <row r="857" ht="17.25" customHeight="1">
      <c r="A857" s="152">
        <f>IF(INDEX('04A_국토부원자료'!$A:$A,ROW()+1)="","",ROW()-3)</f>
        <v/>
      </c>
      <c r="B857" s="48">
        <f>IFERROR(INDEX('04A_국토부원자료'!$A:$T,ROW()+1,MATCH("시군구",'04A_국토부원자료'!$A$4:$T$4,0)),"")</f>
        <v/>
      </c>
      <c r="C857" s="48">
        <f>IF(B857="","",IFERROR(INDEX('04A_국토부원자료'!$A:$T,ROW()+1,MATCH("번지",'04A_국토부원자료'!$A$4:$T$4,0)),""))</f>
        <v/>
      </c>
      <c r="D857" s="48">
        <f>IF(B857="","",IF(Q857=1,'02_대상물건입력'!$B$8,IFERROR(INDEX('04A_국토부원자료'!$A:$T,ROW()+1,MATCH("단지명",'04A_국토부원자료'!$A$4:$T$4,0)),"")))</f>
        <v/>
      </c>
      <c r="E857" s="172">
        <f>IFERROR(VALUE(SUBSTITUTE(INDEX('04A_국토부원자료'!$A:$T,ROW()+1,MATCH("전용면적(㎡)",'04A_국토부원자료'!$A$4:$T$4,0)),",","")),"")</f>
        <v/>
      </c>
      <c r="F8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57" s="51">
        <f>IFERROR(VALUE(SUBSTITUTE(INDEX('04A_국토부원자료'!$A:$T,ROW()+1,MATCH("거래금액(만원)",'04A_국토부원자료'!$A$4:$T$4,0)),",","")),"")</f>
        <v/>
      </c>
      <c r="H857" s="174">
        <f>IF(G857="","",G857*10000)</f>
        <v/>
      </c>
      <c r="I857" s="174">
        <f>IFERROR(IF(AND(H857&gt;0,E857&gt;0),H857/E857,""),"")</f>
        <v/>
      </c>
      <c r="J857" s="152">
        <f>IFERROR(VALUE(SUBSTITUTE(INDEX('04A_국토부원자료'!$A:$T,ROW()+1,MATCH("층",'04A_국토부원자료'!$A$4:$T$4,0)),",","")),"")</f>
        <v/>
      </c>
      <c r="K857" s="152">
        <f>IFERROR(VALUE(SUBSTITUTE(INDEX('04A_국토부원자료'!$A:$T,ROW()+1,MATCH("건축년도",'04A_국토부원자료'!$A$4:$T$4,0)),",","")),"")</f>
        <v/>
      </c>
      <c r="L857" s="176">
        <f>IFERROR(INDEX('04A_국토부원자료'!$A:$T,ROW()+1,MATCH("도로명",'04A_국토부원자료'!$A$4:$T$4,0)),"")</f>
        <v/>
      </c>
      <c r="M857" s="48">
        <f>IFERROR(INDEX('04A_국토부원자료'!$A:$T,ROW()+1,MATCH("거래유형",'04A_국토부원자료'!$A$4:$T$4,0)),"")</f>
        <v/>
      </c>
      <c r="N857" s="152">
        <f>IF(B857="","",IF('02_대상물건입력'!B5="",1,IF(ISNUMBER(SEARCH('02_대상물건입력'!B5,B857)),1,0)))</f>
        <v/>
      </c>
      <c r="O857" s="152">
        <f>IF(B857="","",IF('02_대상물건입력'!B6="",1,IF(ISNUMBER(SEARCH('02_대상물건입력'!B6,B857)),1,0)))</f>
        <v/>
      </c>
      <c r="P857" s="152">
        <f>IF(L857="","",IF('02_대상물건입력'!B15="",0,IF(ISNUMBER(SEARCH('02_대상물건입력'!B15,L857)),1,0)))</f>
        <v/>
      </c>
      <c r="Q857" s="152">
        <f>IF(OR(C857="",L857=""),0,IF(AND(TRIM(C857)=TRIM(RIGHT(SUBSTITUTE(TRIM('02_대상물건입력'!$B$7)," ",REPT(" ",99)),99)),IF('02_대상물건입력'!B15="",TRUE(),ISNUMBER(SEARCH('02_대상물건입력'!B15,L857)))),1,0))</f>
        <v/>
      </c>
      <c r="R857" s="175">
        <f>IFERROR(ABS(E857-'02_대상물건입력'!B11)/'02_대상물건입력'!B11,"")</f>
        <v/>
      </c>
      <c r="S857" s="152">
        <f>IFERROR(ABS(J857-'02_대상물건입력'!B10),"")</f>
        <v/>
      </c>
      <c r="T857" s="152">
        <f>IFERROR(ABS('01_설정'!B4-F857),"")</f>
        <v/>
      </c>
      <c r="U857" s="152">
        <f>IFERROR(ABS(K857-YEAR('02_대상물건입력'!B14)),"")</f>
        <v/>
      </c>
      <c r="V857" s="152">
        <f>IF(B857="","",IF(AND(E857&gt;0,F857&gt;0,H857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857=1,TRUE()),R857&lt;='01_설정'!B5,S857&lt;='01_설정'!B6,T857&lt;='01_설정'!B7,U857&lt;='01_설정'!B8),"Y",""))</f>
        <v/>
      </c>
      <c r="W857" s="172">
        <f>IF(V857&lt;&gt;"Y","",MAX(0,(1-R857/'01_설정'!B5))*'01_설정'!B14+MAX(0,(1-S857/'01_설정'!B6))*'01_설정'!B15+MAX(0,(1-T857/'01_설정'!B7))*'01_설정'!B16+MAX(0,(1-U857/'01_설정'!B8))*'01_설정'!B17+O857*'01_설정'!B11+Q857*'01_설정'!B12+P857*'01_설정'!B13+IF(Z857="",0,Z857))</f>
        <v/>
      </c>
      <c r="X857" s="152">
        <f>IF(W857="","",1+COUNTIFS($W$4:$W$3003,"&gt;"&amp;W857)+COUNTIFS($W$4:W857,W857)-1)</f>
        <v/>
      </c>
      <c r="Y857" s="175">
        <f>IF(OR(I857="",'02_대상물건입력'!B19="",'02_대상물건입력'!B19&lt;=0),"",ABS(I857-'02_대상물건입력'!B19)/'02_대상물건입력'!B19)</f>
        <v/>
      </c>
      <c r="Z857" s="172">
        <f>IF(OR(Y857="",'01_설정'!B31="",'01_설정'!B31&lt;=0,'01_설정'!B32="",'01_설정'!B32&lt;=0),"",MAX(0,(1-Y857/'01_설정'!B32))*'01_설정'!B31)</f>
        <v/>
      </c>
    </row>
    <row r="858" ht="17.25" customHeight="1">
      <c r="A858" s="152">
        <f>IF(INDEX('04A_국토부원자료'!$A:$A,ROW()+1)="","",ROW()-3)</f>
        <v/>
      </c>
      <c r="B858" s="48">
        <f>IFERROR(INDEX('04A_국토부원자료'!$A:$T,ROW()+1,MATCH("시군구",'04A_국토부원자료'!$A$4:$T$4,0)),"")</f>
        <v/>
      </c>
      <c r="C858" s="48">
        <f>IF(B858="","",IFERROR(INDEX('04A_국토부원자료'!$A:$T,ROW()+1,MATCH("번지",'04A_국토부원자료'!$A$4:$T$4,0)),""))</f>
        <v/>
      </c>
      <c r="D858" s="48">
        <f>IF(B858="","",IF(Q858=1,'02_대상물건입력'!$B$8,IFERROR(INDEX('04A_국토부원자료'!$A:$T,ROW()+1,MATCH("단지명",'04A_국토부원자료'!$A$4:$T$4,0)),"")))</f>
        <v/>
      </c>
      <c r="E858" s="172">
        <f>IFERROR(VALUE(SUBSTITUTE(INDEX('04A_국토부원자료'!$A:$T,ROW()+1,MATCH("전용면적(㎡)",'04A_국토부원자료'!$A$4:$T$4,0)),",","")),"")</f>
        <v/>
      </c>
      <c r="F8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58" s="51">
        <f>IFERROR(VALUE(SUBSTITUTE(INDEX('04A_국토부원자료'!$A:$T,ROW()+1,MATCH("거래금액(만원)",'04A_국토부원자료'!$A$4:$T$4,0)),",","")),"")</f>
        <v/>
      </c>
      <c r="H858" s="174">
        <f>IF(G858="","",G858*10000)</f>
        <v/>
      </c>
      <c r="I858" s="174">
        <f>IFERROR(IF(AND(H858&gt;0,E858&gt;0),H858/E858,""),"")</f>
        <v/>
      </c>
      <c r="J858" s="152">
        <f>IFERROR(VALUE(SUBSTITUTE(INDEX('04A_국토부원자료'!$A:$T,ROW()+1,MATCH("층",'04A_국토부원자료'!$A$4:$T$4,0)),",","")),"")</f>
        <v/>
      </c>
      <c r="K858" s="152">
        <f>IFERROR(VALUE(SUBSTITUTE(INDEX('04A_국토부원자료'!$A:$T,ROW()+1,MATCH("건축년도",'04A_국토부원자료'!$A$4:$T$4,0)),",","")),"")</f>
        <v/>
      </c>
      <c r="L858" s="176">
        <f>IFERROR(INDEX('04A_국토부원자료'!$A:$T,ROW()+1,MATCH("도로명",'04A_국토부원자료'!$A$4:$T$4,0)),"")</f>
        <v/>
      </c>
      <c r="M858" s="48">
        <f>IFERROR(INDEX('04A_국토부원자료'!$A:$T,ROW()+1,MATCH("거래유형",'04A_국토부원자료'!$A$4:$T$4,0)),"")</f>
        <v/>
      </c>
      <c r="N858" s="152">
        <f>IF(B858="","",IF('02_대상물건입력'!B5="",1,IF(ISNUMBER(SEARCH('02_대상물건입력'!B5,B858)),1,0)))</f>
        <v/>
      </c>
      <c r="O858" s="152">
        <f>IF(B858="","",IF('02_대상물건입력'!B6="",1,IF(ISNUMBER(SEARCH('02_대상물건입력'!B6,B858)),1,0)))</f>
        <v/>
      </c>
      <c r="P858" s="152">
        <f>IF(L858="","",IF('02_대상물건입력'!B15="",0,IF(ISNUMBER(SEARCH('02_대상물건입력'!B15,L858)),1,0)))</f>
        <v/>
      </c>
      <c r="Q858" s="152">
        <f>IF(OR(C858="",L858=""),0,IF(AND(TRIM(C858)=TRIM(RIGHT(SUBSTITUTE(TRIM('02_대상물건입력'!$B$7)," ",REPT(" ",99)),99)),IF('02_대상물건입력'!B15="",TRUE(),ISNUMBER(SEARCH('02_대상물건입력'!B15,L858)))),1,0))</f>
        <v/>
      </c>
      <c r="R858" s="175">
        <f>IFERROR(ABS(E858-'02_대상물건입력'!B11)/'02_대상물건입력'!B11,"")</f>
        <v/>
      </c>
      <c r="S858" s="152">
        <f>IFERROR(ABS(J858-'02_대상물건입력'!B10),"")</f>
        <v/>
      </c>
      <c r="T858" s="152">
        <f>IFERROR(ABS('01_설정'!B4-F858),"")</f>
        <v/>
      </c>
      <c r="U858" s="152">
        <f>IFERROR(ABS(K858-YEAR('02_대상물건입력'!B14)),"")</f>
        <v/>
      </c>
      <c r="V858" s="152">
        <f>IF(B858="","",IF(AND(E858&gt;0,F858&gt;0,H858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858=1,TRUE()),R858&lt;='01_설정'!B5,S858&lt;='01_설정'!B6,T858&lt;='01_설정'!B7,U858&lt;='01_설정'!B8),"Y",""))</f>
        <v/>
      </c>
      <c r="W858" s="172">
        <f>IF(V858&lt;&gt;"Y","",MAX(0,(1-R858/'01_설정'!B5))*'01_설정'!B14+MAX(0,(1-S858/'01_설정'!B6))*'01_설정'!B15+MAX(0,(1-T858/'01_설정'!B7))*'01_설정'!B16+MAX(0,(1-U858/'01_설정'!B8))*'01_설정'!B17+O858*'01_설정'!B11+Q858*'01_설정'!B12+P858*'01_설정'!B13+IF(Z858="",0,Z858))</f>
        <v/>
      </c>
      <c r="X858" s="152">
        <f>IF(W858="","",1+COUNTIFS($W$4:$W$3003,"&gt;"&amp;W858)+COUNTIFS($W$4:W858,W858)-1)</f>
        <v/>
      </c>
      <c r="Y858" s="175">
        <f>IF(OR(I858="",'02_대상물건입력'!B19="",'02_대상물건입력'!B19&lt;=0),"",ABS(I858-'02_대상물건입력'!B19)/'02_대상물건입력'!B19)</f>
        <v/>
      </c>
      <c r="Z858" s="172">
        <f>IF(OR(Y858="",'01_설정'!B31="",'01_설정'!B31&lt;=0,'01_설정'!B32="",'01_설정'!B32&lt;=0),"",MAX(0,(1-Y858/'01_설정'!B32))*'01_설정'!B31)</f>
        <v/>
      </c>
    </row>
    <row r="859" ht="17.25" customHeight="1">
      <c r="A859" s="152">
        <f>IF(INDEX('04A_국토부원자료'!$A:$A,ROW()+1)="","",ROW()-3)</f>
        <v/>
      </c>
      <c r="B859" s="48">
        <f>IFERROR(INDEX('04A_국토부원자료'!$A:$T,ROW()+1,MATCH("시군구",'04A_국토부원자료'!$A$4:$T$4,0)),"")</f>
        <v/>
      </c>
      <c r="C859" s="48">
        <f>IF(B859="","",IFERROR(INDEX('04A_국토부원자료'!$A:$T,ROW()+1,MATCH("번지",'04A_국토부원자료'!$A$4:$T$4,0)),""))</f>
        <v/>
      </c>
      <c r="D859" s="48">
        <f>IF(B859="","",IF(Q859=1,'02_대상물건입력'!$B$8,IFERROR(INDEX('04A_국토부원자료'!$A:$T,ROW()+1,MATCH("단지명",'04A_국토부원자료'!$A$4:$T$4,0)),"")))</f>
        <v/>
      </c>
      <c r="E859" s="172">
        <f>IFERROR(VALUE(SUBSTITUTE(INDEX('04A_국토부원자료'!$A:$T,ROW()+1,MATCH("전용면적(㎡)",'04A_국토부원자료'!$A$4:$T$4,0)),",","")),"")</f>
        <v/>
      </c>
      <c r="F8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59" s="51">
        <f>IFERROR(VALUE(SUBSTITUTE(INDEX('04A_국토부원자료'!$A:$T,ROW()+1,MATCH("거래금액(만원)",'04A_국토부원자료'!$A$4:$T$4,0)),",","")),"")</f>
        <v/>
      </c>
      <c r="H859" s="174">
        <f>IF(G859="","",G859*10000)</f>
        <v/>
      </c>
      <c r="I859" s="174">
        <f>IFERROR(IF(AND(H859&gt;0,E859&gt;0),H859/E859,""),"")</f>
        <v/>
      </c>
      <c r="J859" s="152">
        <f>IFERROR(VALUE(SUBSTITUTE(INDEX('04A_국토부원자료'!$A:$T,ROW()+1,MATCH("층",'04A_국토부원자료'!$A$4:$T$4,0)),",","")),"")</f>
        <v/>
      </c>
      <c r="K859" s="152">
        <f>IFERROR(VALUE(SUBSTITUTE(INDEX('04A_국토부원자료'!$A:$T,ROW()+1,MATCH("건축년도",'04A_국토부원자료'!$A$4:$T$4,0)),",","")),"")</f>
        <v/>
      </c>
      <c r="L859" s="176">
        <f>IFERROR(INDEX('04A_국토부원자료'!$A:$T,ROW()+1,MATCH("도로명",'04A_국토부원자료'!$A$4:$T$4,0)),"")</f>
        <v/>
      </c>
      <c r="M859" s="48">
        <f>IFERROR(INDEX('04A_국토부원자료'!$A:$T,ROW()+1,MATCH("거래유형",'04A_국토부원자료'!$A$4:$T$4,0)),"")</f>
        <v/>
      </c>
      <c r="N859" s="152">
        <f>IF(B859="","",IF('02_대상물건입력'!B5="",1,IF(ISNUMBER(SEARCH('02_대상물건입력'!B5,B859)),1,0)))</f>
        <v/>
      </c>
      <c r="O859" s="152">
        <f>IF(B859="","",IF('02_대상물건입력'!B6="",1,IF(ISNUMBER(SEARCH('02_대상물건입력'!B6,B859)),1,0)))</f>
        <v/>
      </c>
      <c r="P859" s="152">
        <f>IF(L859="","",IF('02_대상물건입력'!B15="",0,IF(ISNUMBER(SEARCH('02_대상물건입력'!B15,L859)),1,0)))</f>
        <v/>
      </c>
      <c r="Q859" s="152">
        <f>IF(OR(C859="",L859=""),0,IF(AND(TRIM(C859)=TRIM(RIGHT(SUBSTITUTE(TRIM('02_대상물건입력'!$B$7)," ",REPT(" ",99)),99)),IF('02_대상물건입력'!B15="",TRUE(),ISNUMBER(SEARCH('02_대상물건입력'!B15,L859)))),1,0))</f>
        <v/>
      </c>
      <c r="R859" s="175">
        <f>IFERROR(ABS(E859-'02_대상물건입력'!B11)/'02_대상물건입력'!B11,"")</f>
        <v/>
      </c>
      <c r="S859" s="152">
        <f>IFERROR(ABS(J859-'02_대상물건입력'!B10),"")</f>
        <v/>
      </c>
      <c r="T859" s="152">
        <f>IFERROR(ABS('01_설정'!B4-F859),"")</f>
        <v/>
      </c>
      <c r="U859" s="152">
        <f>IFERROR(ABS(K859-YEAR('02_대상물건입력'!B14)),"")</f>
        <v/>
      </c>
      <c r="V859" s="152">
        <f>IF(B859="","",IF(AND(E859&gt;0,F859&gt;0,H859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859=1,TRUE()),R859&lt;='01_설정'!B5,S859&lt;='01_설정'!B6,T859&lt;='01_설정'!B7,U859&lt;='01_설정'!B8),"Y",""))</f>
        <v/>
      </c>
      <c r="W859" s="172">
        <f>IF(V859&lt;&gt;"Y","",MAX(0,(1-R859/'01_설정'!B5))*'01_설정'!B14+MAX(0,(1-S859/'01_설정'!B6))*'01_설정'!B15+MAX(0,(1-T859/'01_설정'!B7))*'01_설정'!B16+MAX(0,(1-U859/'01_설정'!B8))*'01_설정'!B17+O859*'01_설정'!B11+Q859*'01_설정'!B12+P859*'01_설정'!B13+IF(Z859="",0,Z859))</f>
        <v/>
      </c>
      <c r="X859" s="152">
        <f>IF(W859="","",1+COUNTIFS($W$4:$W$3003,"&gt;"&amp;W859)+COUNTIFS($W$4:W859,W859)-1)</f>
        <v/>
      </c>
      <c r="Y859" s="175">
        <f>IF(OR(I859="",'02_대상물건입력'!B19="",'02_대상물건입력'!B19&lt;=0),"",ABS(I859-'02_대상물건입력'!B19)/'02_대상물건입력'!B19)</f>
        <v/>
      </c>
      <c r="Z859" s="172">
        <f>IF(OR(Y859="",'01_설정'!B31="",'01_설정'!B31&lt;=0,'01_설정'!B32="",'01_설정'!B32&lt;=0),"",MAX(0,(1-Y859/'01_설정'!B32))*'01_설정'!B31)</f>
        <v/>
      </c>
    </row>
    <row r="860" ht="17.25" customHeight="1">
      <c r="A860" s="152">
        <f>IF(INDEX('04A_국토부원자료'!$A:$A,ROW()+1)="","",ROW()-3)</f>
        <v/>
      </c>
      <c r="B860" s="48">
        <f>IFERROR(INDEX('04A_국토부원자료'!$A:$T,ROW()+1,MATCH("시군구",'04A_국토부원자료'!$A$4:$T$4,0)),"")</f>
        <v/>
      </c>
      <c r="C860" s="48">
        <f>IF(B860="","",IFERROR(INDEX('04A_국토부원자료'!$A:$T,ROW()+1,MATCH("번지",'04A_국토부원자료'!$A$4:$T$4,0)),""))</f>
        <v/>
      </c>
      <c r="D860" s="48">
        <f>IF(B860="","",IF(Q860=1,'02_대상물건입력'!$B$8,IFERROR(INDEX('04A_국토부원자료'!$A:$T,ROW()+1,MATCH("단지명",'04A_국토부원자료'!$A$4:$T$4,0)),"")))</f>
        <v/>
      </c>
      <c r="E860" s="172">
        <f>IFERROR(VALUE(SUBSTITUTE(INDEX('04A_국토부원자료'!$A:$T,ROW()+1,MATCH("전용면적(㎡)",'04A_국토부원자료'!$A$4:$T$4,0)),",","")),"")</f>
        <v/>
      </c>
      <c r="F8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60" s="51">
        <f>IFERROR(VALUE(SUBSTITUTE(INDEX('04A_국토부원자료'!$A:$T,ROW()+1,MATCH("거래금액(만원)",'04A_국토부원자료'!$A$4:$T$4,0)),",","")),"")</f>
        <v/>
      </c>
      <c r="H860" s="174">
        <f>IF(G860="","",G860*10000)</f>
        <v/>
      </c>
      <c r="I860" s="174">
        <f>IFERROR(IF(AND(H860&gt;0,E860&gt;0),H860/E860,""),"")</f>
        <v/>
      </c>
      <c r="J860" s="152">
        <f>IFERROR(VALUE(SUBSTITUTE(INDEX('04A_국토부원자료'!$A:$T,ROW()+1,MATCH("층",'04A_국토부원자료'!$A$4:$T$4,0)),",","")),"")</f>
        <v/>
      </c>
      <c r="K860" s="152">
        <f>IFERROR(VALUE(SUBSTITUTE(INDEX('04A_국토부원자료'!$A:$T,ROW()+1,MATCH("건축년도",'04A_국토부원자료'!$A$4:$T$4,0)),",","")),"")</f>
        <v/>
      </c>
      <c r="L860" s="176">
        <f>IFERROR(INDEX('04A_국토부원자료'!$A:$T,ROW()+1,MATCH("도로명",'04A_국토부원자료'!$A$4:$T$4,0)),"")</f>
        <v/>
      </c>
      <c r="M860" s="48">
        <f>IFERROR(INDEX('04A_국토부원자료'!$A:$T,ROW()+1,MATCH("거래유형",'04A_국토부원자료'!$A$4:$T$4,0)),"")</f>
        <v/>
      </c>
      <c r="N860" s="152">
        <f>IF(B860="","",IF('02_대상물건입력'!B5="",1,IF(ISNUMBER(SEARCH('02_대상물건입력'!B5,B860)),1,0)))</f>
        <v/>
      </c>
      <c r="O860" s="152">
        <f>IF(B860="","",IF('02_대상물건입력'!B6="",1,IF(ISNUMBER(SEARCH('02_대상물건입력'!B6,B860)),1,0)))</f>
        <v/>
      </c>
      <c r="P860" s="152">
        <f>IF(L860="","",IF('02_대상물건입력'!B15="",0,IF(ISNUMBER(SEARCH('02_대상물건입력'!B15,L860)),1,0)))</f>
        <v/>
      </c>
      <c r="Q860" s="152">
        <f>IF(OR(C860="",L860=""),0,IF(AND(TRIM(C860)=TRIM(RIGHT(SUBSTITUTE(TRIM('02_대상물건입력'!$B$7)," ",REPT(" ",99)),99)),IF('02_대상물건입력'!B15="",TRUE(),ISNUMBER(SEARCH('02_대상물건입력'!B15,L860)))),1,0))</f>
        <v/>
      </c>
      <c r="R860" s="175">
        <f>IFERROR(ABS(E860-'02_대상물건입력'!B11)/'02_대상물건입력'!B11,"")</f>
        <v/>
      </c>
      <c r="S860" s="152">
        <f>IFERROR(ABS(J860-'02_대상물건입력'!B10),"")</f>
        <v/>
      </c>
      <c r="T860" s="152">
        <f>IFERROR(ABS('01_설정'!B4-F860),"")</f>
        <v/>
      </c>
      <c r="U860" s="152">
        <f>IFERROR(ABS(K860-YEAR('02_대상물건입력'!B14)),"")</f>
        <v/>
      </c>
      <c r="V860" s="152">
        <f>IF(B860="","",IF(AND(E860&gt;0,F860&gt;0,H860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860=1,TRUE()),R860&lt;='01_설정'!B5,S860&lt;='01_설정'!B6,T860&lt;='01_설정'!B7,U860&lt;='01_설정'!B8),"Y",""))</f>
        <v/>
      </c>
      <c r="W860" s="172">
        <f>IF(V860&lt;&gt;"Y","",MAX(0,(1-R860/'01_설정'!B5))*'01_설정'!B14+MAX(0,(1-S860/'01_설정'!B6))*'01_설정'!B15+MAX(0,(1-T860/'01_설정'!B7))*'01_설정'!B16+MAX(0,(1-U860/'01_설정'!B8))*'01_설정'!B17+O860*'01_설정'!B11+Q860*'01_설정'!B12+P860*'01_설정'!B13+IF(Z860="",0,Z860))</f>
        <v/>
      </c>
      <c r="X860" s="152">
        <f>IF(W860="","",1+COUNTIFS($W$4:$W$3003,"&gt;"&amp;W860)+COUNTIFS($W$4:W860,W860)-1)</f>
        <v/>
      </c>
      <c r="Y860" s="175">
        <f>IF(OR(I860="",'02_대상물건입력'!B19="",'02_대상물건입력'!B19&lt;=0),"",ABS(I860-'02_대상물건입력'!B19)/'02_대상물건입력'!B19)</f>
        <v/>
      </c>
      <c r="Z860" s="172">
        <f>IF(OR(Y860="",'01_설정'!B31="",'01_설정'!B31&lt;=0,'01_설정'!B32="",'01_설정'!B32&lt;=0),"",MAX(0,(1-Y860/'01_설정'!B32))*'01_설정'!B31)</f>
        <v/>
      </c>
    </row>
    <row r="861" ht="17.25" customHeight="1">
      <c r="A861" s="152">
        <f>IF(INDEX('04A_국토부원자료'!$A:$A,ROW()+1)="","",ROW()-3)</f>
        <v/>
      </c>
      <c r="B861" s="48">
        <f>IFERROR(INDEX('04A_국토부원자료'!$A:$T,ROW()+1,MATCH("시군구",'04A_국토부원자료'!$A$4:$T$4,0)),"")</f>
        <v/>
      </c>
      <c r="C861" s="48">
        <f>IF(B861="","",IFERROR(INDEX('04A_국토부원자료'!$A:$T,ROW()+1,MATCH("번지",'04A_국토부원자료'!$A$4:$T$4,0)),""))</f>
        <v/>
      </c>
      <c r="D861" s="48">
        <f>IF(B861="","",IF(Q861=1,'02_대상물건입력'!$B$8,IFERROR(INDEX('04A_국토부원자료'!$A:$T,ROW()+1,MATCH("단지명",'04A_국토부원자료'!$A$4:$T$4,0)),"")))</f>
        <v/>
      </c>
      <c r="E861" s="172">
        <f>IFERROR(VALUE(SUBSTITUTE(INDEX('04A_국토부원자료'!$A:$T,ROW()+1,MATCH("전용면적(㎡)",'04A_국토부원자료'!$A$4:$T$4,0)),",","")),"")</f>
        <v/>
      </c>
      <c r="F8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61" s="51">
        <f>IFERROR(VALUE(SUBSTITUTE(INDEX('04A_국토부원자료'!$A:$T,ROW()+1,MATCH("거래금액(만원)",'04A_국토부원자료'!$A$4:$T$4,0)),",","")),"")</f>
        <v/>
      </c>
      <c r="H861" s="174">
        <f>IF(G861="","",G861*10000)</f>
        <v/>
      </c>
      <c r="I861" s="174">
        <f>IFERROR(IF(AND(H861&gt;0,E861&gt;0),H861/E861,""),"")</f>
        <v/>
      </c>
      <c r="J861" s="152">
        <f>IFERROR(VALUE(SUBSTITUTE(INDEX('04A_국토부원자료'!$A:$T,ROW()+1,MATCH("층",'04A_국토부원자료'!$A$4:$T$4,0)),",","")),"")</f>
        <v/>
      </c>
      <c r="K861" s="152">
        <f>IFERROR(VALUE(SUBSTITUTE(INDEX('04A_국토부원자료'!$A:$T,ROW()+1,MATCH("건축년도",'04A_국토부원자료'!$A$4:$T$4,0)),",","")),"")</f>
        <v/>
      </c>
      <c r="L861" s="176">
        <f>IFERROR(INDEX('04A_국토부원자료'!$A:$T,ROW()+1,MATCH("도로명",'04A_국토부원자료'!$A$4:$T$4,0)),"")</f>
        <v/>
      </c>
      <c r="M861" s="48">
        <f>IFERROR(INDEX('04A_국토부원자료'!$A:$T,ROW()+1,MATCH("거래유형",'04A_국토부원자료'!$A$4:$T$4,0)),"")</f>
        <v/>
      </c>
      <c r="N861" s="152">
        <f>IF(B861="","",IF('02_대상물건입력'!B5="",1,IF(ISNUMBER(SEARCH('02_대상물건입력'!B5,B861)),1,0)))</f>
        <v/>
      </c>
      <c r="O861" s="152">
        <f>IF(B861="","",IF('02_대상물건입력'!B6="",1,IF(ISNUMBER(SEARCH('02_대상물건입력'!B6,B861)),1,0)))</f>
        <v/>
      </c>
      <c r="P861" s="152">
        <f>IF(L861="","",IF('02_대상물건입력'!B15="",0,IF(ISNUMBER(SEARCH('02_대상물건입력'!B15,L861)),1,0)))</f>
        <v/>
      </c>
      <c r="Q861" s="152">
        <f>IF(OR(C861="",L861=""),0,IF(AND(TRIM(C861)=TRIM(RIGHT(SUBSTITUTE(TRIM('02_대상물건입력'!$B$7)," ",REPT(" ",99)),99)),IF('02_대상물건입력'!B15="",TRUE(),ISNUMBER(SEARCH('02_대상물건입력'!B15,L861)))),1,0))</f>
        <v/>
      </c>
      <c r="R861" s="175">
        <f>IFERROR(ABS(E861-'02_대상물건입력'!B11)/'02_대상물건입력'!B11,"")</f>
        <v/>
      </c>
      <c r="S861" s="152">
        <f>IFERROR(ABS(J861-'02_대상물건입력'!B10),"")</f>
        <v/>
      </c>
      <c r="T861" s="152">
        <f>IFERROR(ABS('01_설정'!B4-F861),"")</f>
        <v/>
      </c>
      <c r="U861" s="152">
        <f>IFERROR(ABS(K861-YEAR('02_대상물건입력'!B14)),"")</f>
        <v/>
      </c>
      <c r="V861" s="152">
        <f>IF(B861="","",IF(AND(E861&gt;0,F861&gt;0,H861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861=1,TRUE()),R861&lt;='01_설정'!B5,S861&lt;='01_설정'!B6,T861&lt;='01_설정'!B7,U861&lt;='01_설정'!B8),"Y",""))</f>
        <v/>
      </c>
      <c r="W861" s="172">
        <f>IF(V861&lt;&gt;"Y","",MAX(0,(1-R861/'01_설정'!B5))*'01_설정'!B14+MAX(0,(1-S861/'01_설정'!B6))*'01_설정'!B15+MAX(0,(1-T861/'01_설정'!B7))*'01_설정'!B16+MAX(0,(1-U861/'01_설정'!B8))*'01_설정'!B17+O861*'01_설정'!B11+Q861*'01_설정'!B12+P861*'01_설정'!B13+IF(Z861="",0,Z861))</f>
        <v/>
      </c>
      <c r="X861" s="152">
        <f>IF(W861="","",1+COUNTIFS($W$4:$W$3003,"&gt;"&amp;W861)+COUNTIFS($W$4:W861,W861)-1)</f>
        <v/>
      </c>
      <c r="Y861" s="175">
        <f>IF(OR(I861="",'02_대상물건입력'!B19="",'02_대상물건입력'!B19&lt;=0),"",ABS(I861-'02_대상물건입력'!B19)/'02_대상물건입력'!B19)</f>
        <v/>
      </c>
      <c r="Z861" s="172">
        <f>IF(OR(Y861="",'01_설정'!B31="",'01_설정'!B31&lt;=0,'01_설정'!B32="",'01_설정'!B32&lt;=0),"",MAX(0,(1-Y861/'01_설정'!B32))*'01_설정'!B31)</f>
        <v/>
      </c>
    </row>
    <row r="862" ht="17.25" customHeight="1">
      <c r="A862" s="152">
        <f>IF(INDEX('04A_국토부원자료'!$A:$A,ROW()+1)="","",ROW()-3)</f>
        <v/>
      </c>
      <c r="B862" s="48">
        <f>IFERROR(INDEX('04A_국토부원자료'!$A:$T,ROW()+1,MATCH("시군구",'04A_국토부원자료'!$A$4:$T$4,0)),"")</f>
        <v/>
      </c>
      <c r="C862" s="48">
        <f>IF(B862="","",IFERROR(INDEX('04A_국토부원자료'!$A:$T,ROW()+1,MATCH("번지",'04A_국토부원자료'!$A$4:$T$4,0)),""))</f>
        <v/>
      </c>
      <c r="D862" s="48">
        <f>IF(B862="","",IF(Q862=1,'02_대상물건입력'!$B$8,IFERROR(INDEX('04A_국토부원자료'!$A:$T,ROW()+1,MATCH("단지명",'04A_국토부원자료'!$A$4:$T$4,0)),"")))</f>
        <v/>
      </c>
      <c r="E862" s="172">
        <f>IFERROR(VALUE(SUBSTITUTE(INDEX('04A_국토부원자료'!$A:$T,ROW()+1,MATCH("전용면적(㎡)",'04A_국토부원자료'!$A$4:$T$4,0)),",","")),"")</f>
        <v/>
      </c>
      <c r="F8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62" s="51">
        <f>IFERROR(VALUE(SUBSTITUTE(INDEX('04A_국토부원자료'!$A:$T,ROW()+1,MATCH("거래금액(만원)",'04A_국토부원자료'!$A$4:$T$4,0)),",","")),"")</f>
        <v/>
      </c>
      <c r="H862" s="174">
        <f>IF(G862="","",G862*10000)</f>
        <v/>
      </c>
      <c r="I862" s="174">
        <f>IFERROR(IF(AND(H862&gt;0,E862&gt;0),H862/E862,""),"")</f>
        <v/>
      </c>
      <c r="J862" s="152">
        <f>IFERROR(VALUE(SUBSTITUTE(INDEX('04A_국토부원자료'!$A:$T,ROW()+1,MATCH("층",'04A_국토부원자료'!$A$4:$T$4,0)),",","")),"")</f>
        <v/>
      </c>
      <c r="K862" s="152">
        <f>IFERROR(VALUE(SUBSTITUTE(INDEX('04A_국토부원자료'!$A:$T,ROW()+1,MATCH("건축년도",'04A_국토부원자료'!$A$4:$T$4,0)),",","")),"")</f>
        <v/>
      </c>
      <c r="L862" s="176">
        <f>IFERROR(INDEX('04A_국토부원자료'!$A:$T,ROW()+1,MATCH("도로명",'04A_국토부원자료'!$A$4:$T$4,0)),"")</f>
        <v/>
      </c>
      <c r="M862" s="48">
        <f>IFERROR(INDEX('04A_국토부원자료'!$A:$T,ROW()+1,MATCH("거래유형",'04A_국토부원자료'!$A$4:$T$4,0)),"")</f>
        <v/>
      </c>
      <c r="N862" s="152">
        <f>IF(B862="","",IF('02_대상물건입력'!B5="",1,IF(ISNUMBER(SEARCH('02_대상물건입력'!B5,B862)),1,0)))</f>
        <v/>
      </c>
      <c r="O862" s="152">
        <f>IF(B862="","",IF('02_대상물건입력'!B6="",1,IF(ISNUMBER(SEARCH('02_대상물건입력'!B6,B862)),1,0)))</f>
        <v/>
      </c>
      <c r="P862" s="152">
        <f>IF(L862="","",IF('02_대상물건입력'!B15="",0,IF(ISNUMBER(SEARCH('02_대상물건입력'!B15,L862)),1,0)))</f>
        <v/>
      </c>
      <c r="Q862" s="152">
        <f>IF(OR(C862="",L862=""),0,IF(AND(TRIM(C862)=TRIM(RIGHT(SUBSTITUTE(TRIM('02_대상물건입력'!$B$7)," ",REPT(" ",99)),99)),IF('02_대상물건입력'!B15="",TRUE(),ISNUMBER(SEARCH('02_대상물건입력'!B15,L862)))),1,0))</f>
        <v/>
      </c>
      <c r="R862" s="175">
        <f>IFERROR(ABS(E862-'02_대상물건입력'!B11)/'02_대상물건입력'!B11,"")</f>
        <v/>
      </c>
      <c r="S862" s="152">
        <f>IFERROR(ABS(J862-'02_대상물건입력'!B10),"")</f>
        <v/>
      </c>
      <c r="T862" s="152">
        <f>IFERROR(ABS('01_설정'!B4-F862),"")</f>
        <v/>
      </c>
      <c r="U862" s="152">
        <f>IFERROR(ABS(K862-YEAR('02_대상물건입력'!B14)),"")</f>
        <v/>
      </c>
      <c r="V862" s="152">
        <f>IF(B862="","",IF(AND(E862&gt;0,F862&gt;0,H862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862=1,TRUE()),R862&lt;='01_설정'!B5,S862&lt;='01_설정'!B6,T862&lt;='01_설정'!B7,U862&lt;='01_설정'!B8),"Y",""))</f>
        <v/>
      </c>
      <c r="W862" s="172">
        <f>IF(V862&lt;&gt;"Y","",MAX(0,(1-R862/'01_설정'!B5))*'01_설정'!B14+MAX(0,(1-S862/'01_설정'!B6))*'01_설정'!B15+MAX(0,(1-T862/'01_설정'!B7))*'01_설정'!B16+MAX(0,(1-U862/'01_설정'!B8))*'01_설정'!B17+O862*'01_설정'!B11+Q862*'01_설정'!B12+P862*'01_설정'!B13+IF(Z862="",0,Z862))</f>
        <v/>
      </c>
      <c r="X862" s="152">
        <f>IF(W862="","",1+COUNTIFS($W$4:$W$3003,"&gt;"&amp;W862)+COUNTIFS($W$4:W862,W862)-1)</f>
        <v/>
      </c>
      <c r="Y862" s="175">
        <f>IF(OR(I862="",'02_대상물건입력'!B19="",'02_대상물건입력'!B19&lt;=0),"",ABS(I862-'02_대상물건입력'!B19)/'02_대상물건입력'!B19)</f>
        <v/>
      </c>
      <c r="Z862" s="172">
        <f>IF(OR(Y862="",'01_설정'!B31="",'01_설정'!B31&lt;=0,'01_설정'!B32="",'01_설정'!B32&lt;=0),"",MAX(0,(1-Y862/'01_설정'!B32))*'01_설정'!B31)</f>
        <v/>
      </c>
    </row>
    <row r="863" ht="17.25" customHeight="1">
      <c r="A863" s="152">
        <f>IF(INDEX('04A_국토부원자료'!$A:$A,ROW()+1)="","",ROW()-3)</f>
        <v/>
      </c>
      <c r="B863" s="48">
        <f>IFERROR(INDEX('04A_국토부원자료'!$A:$T,ROW()+1,MATCH("시군구",'04A_국토부원자료'!$A$4:$T$4,0)),"")</f>
        <v/>
      </c>
      <c r="C863" s="48">
        <f>IF(B863="","",IFERROR(INDEX('04A_국토부원자료'!$A:$T,ROW()+1,MATCH("번지",'04A_국토부원자료'!$A$4:$T$4,0)),""))</f>
        <v/>
      </c>
      <c r="D863" s="48">
        <f>IF(B863="","",IF(Q863=1,'02_대상물건입력'!$B$8,IFERROR(INDEX('04A_국토부원자료'!$A:$T,ROW()+1,MATCH("단지명",'04A_국토부원자료'!$A$4:$T$4,0)),"")))</f>
        <v/>
      </c>
      <c r="E863" s="172">
        <f>IFERROR(VALUE(SUBSTITUTE(INDEX('04A_국토부원자료'!$A:$T,ROW()+1,MATCH("전용면적(㎡)",'04A_국토부원자료'!$A$4:$T$4,0)),",","")),"")</f>
        <v/>
      </c>
      <c r="F8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63" s="51">
        <f>IFERROR(VALUE(SUBSTITUTE(INDEX('04A_국토부원자료'!$A:$T,ROW()+1,MATCH("거래금액(만원)",'04A_국토부원자료'!$A$4:$T$4,0)),",","")),"")</f>
        <v/>
      </c>
      <c r="H863" s="174">
        <f>IF(G863="","",G863*10000)</f>
        <v/>
      </c>
      <c r="I863" s="174">
        <f>IFERROR(IF(AND(H863&gt;0,E863&gt;0),H863/E863,""),"")</f>
        <v/>
      </c>
      <c r="J863" s="152">
        <f>IFERROR(VALUE(SUBSTITUTE(INDEX('04A_국토부원자료'!$A:$T,ROW()+1,MATCH("층",'04A_국토부원자료'!$A$4:$T$4,0)),",","")),"")</f>
        <v/>
      </c>
      <c r="K863" s="152">
        <f>IFERROR(VALUE(SUBSTITUTE(INDEX('04A_국토부원자료'!$A:$T,ROW()+1,MATCH("건축년도",'04A_국토부원자료'!$A$4:$T$4,0)),",","")),"")</f>
        <v/>
      </c>
      <c r="L863" s="176">
        <f>IFERROR(INDEX('04A_국토부원자료'!$A:$T,ROW()+1,MATCH("도로명",'04A_국토부원자료'!$A$4:$T$4,0)),"")</f>
        <v/>
      </c>
      <c r="M863" s="48">
        <f>IFERROR(INDEX('04A_국토부원자료'!$A:$T,ROW()+1,MATCH("거래유형",'04A_국토부원자료'!$A$4:$T$4,0)),"")</f>
        <v/>
      </c>
      <c r="N863" s="152">
        <f>IF(B863="","",IF('02_대상물건입력'!B5="",1,IF(ISNUMBER(SEARCH('02_대상물건입력'!B5,B863)),1,0)))</f>
        <v/>
      </c>
      <c r="O863" s="152">
        <f>IF(B863="","",IF('02_대상물건입력'!B6="",1,IF(ISNUMBER(SEARCH('02_대상물건입력'!B6,B863)),1,0)))</f>
        <v/>
      </c>
      <c r="P863" s="152">
        <f>IF(L863="","",IF('02_대상물건입력'!B15="",0,IF(ISNUMBER(SEARCH('02_대상물건입력'!B15,L863)),1,0)))</f>
        <v/>
      </c>
      <c r="Q863" s="152">
        <f>IF(OR(C863="",L863=""),0,IF(AND(TRIM(C863)=TRIM(RIGHT(SUBSTITUTE(TRIM('02_대상물건입력'!$B$7)," ",REPT(" ",99)),99)),IF('02_대상물건입력'!B15="",TRUE(),ISNUMBER(SEARCH('02_대상물건입력'!B15,L863)))),1,0))</f>
        <v/>
      </c>
      <c r="R863" s="175">
        <f>IFERROR(ABS(E863-'02_대상물건입력'!B11)/'02_대상물건입력'!B11,"")</f>
        <v/>
      </c>
      <c r="S863" s="152">
        <f>IFERROR(ABS(J863-'02_대상물건입력'!B10),"")</f>
        <v/>
      </c>
      <c r="T863" s="152">
        <f>IFERROR(ABS('01_설정'!B4-F863),"")</f>
        <v/>
      </c>
      <c r="U863" s="152">
        <f>IFERROR(ABS(K863-YEAR('02_대상물건입력'!B14)),"")</f>
        <v/>
      </c>
      <c r="V863" s="152">
        <f>IF(B863="","",IF(AND(E863&gt;0,F863&gt;0,H863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863=1,TRUE()),R863&lt;='01_설정'!B5,S863&lt;='01_설정'!B6,T863&lt;='01_설정'!B7,U863&lt;='01_설정'!B8),"Y",""))</f>
        <v/>
      </c>
      <c r="W863" s="172">
        <f>IF(V863&lt;&gt;"Y","",MAX(0,(1-R863/'01_설정'!B5))*'01_설정'!B14+MAX(0,(1-S863/'01_설정'!B6))*'01_설정'!B15+MAX(0,(1-T863/'01_설정'!B7))*'01_설정'!B16+MAX(0,(1-U863/'01_설정'!B8))*'01_설정'!B17+O863*'01_설정'!B11+Q863*'01_설정'!B12+P863*'01_설정'!B13+IF(Z863="",0,Z863))</f>
        <v/>
      </c>
      <c r="X863" s="152">
        <f>IF(W863="","",1+COUNTIFS($W$4:$W$3003,"&gt;"&amp;W863)+COUNTIFS($W$4:W863,W863)-1)</f>
        <v/>
      </c>
      <c r="Y863" s="175">
        <f>IF(OR(I863="",'02_대상물건입력'!B19="",'02_대상물건입력'!B19&lt;=0),"",ABS(I863-'02_대상물건입력'!B19)/'02_대상물건입력'!B19)</f>
        <v/>
      </c>
      <c r="Z863" s="172">
        <f>IF(OR(Y863="",'01_설정'!B31="",'01_설정'!B31&lt;=0,'01_설정'!B32="",'01_설정'!B32&lt;=0),"",MAX(0,(1-Y863/'01_설정'!B32))*'01_설정'!B31)</f>
        <v/>
      </c>
    </row>
    <row r="864" ht="17.25" customHeight="1">
      <c r="A864" s="152">
        <f>IF(INDEX('04A_국토부원자료'!$A:$A,ROW()+1)="","",ROW()-3)</f>
        <v/>
      </c>
      <c r="B864" s="48">
        <f>IFERROR(INDEX('04A_국토부원자료'!$A:$T,ROW()+1,MATCH("시군구",'04A_국토부원자료'!$A$4:$T$4,0)),"")</f>
        <v/>
      </c>
      <c r="C864" s="48">
        <f>IF(B864="","",IFERROR(INDEX('04A_국토부원자료'!$A:$T,ROW()+1,MATCH("번지",'04A_국토부원자료'!$A$4:$T$4,0)),""))</f>
        <v/>
      </c>
      <c r="D864" s="48">
        <f>IF(B864="","",IF(Q864=1,'02_대상물건입력'!$B$8,IFERROR(INDEX('04A_국토부원자료'!$A:$T,ROW()+1,MATCH("단지명",'04A_국토부원자료'!$A$4:$T$4,0)),"")))</f>
        <v/>
      </c>
      <c r="E864" s="172">
        <f>IFERROR(VALUE(SUBSTITUTE(INDEX('04A_국토부원자료'!$A:$T,ROW()+1,MATCH("전용면적(㎡)",'04A_국토부원자료'!$A$4:$T$4,0)),",","")),"")</f>
        <v/>
      </c>
      <c r="F8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64" s="51">
        <f>IFERROR(VALUE(SUBSTITUTE(INDEX('04A_국토부원자료'!$A:$T,ROW()+1,MATCH("거래금액(만원)",'04A_국토부원자료'!$A$4:$T$4,0)),",","")),"")</f>
        <v/>
      </c>
      <c r="H864" s="174">
        <f>IF(G864="","",G864*10000)</f>
        <v/>
      </c>
      <c r="I864" s="174">
        <f>IFERROR(IF(AND(H864&gt;0,E864&gt;0),H864/E864,""),"")</f>
        <v/>
      </c>
      <c r="J864" s="152">
        <f>IFERROR(VALUE(SUBSTITUTE(INDEX('04A_국토부원자료'!$A:$T,ROW()+1,MATCH("층",'04A_국토부원자료'!$A$4:$T$4,0)),",","")),"")</f>
        <v/>
      </c>
      <c r="K864" s="152">
        <f>IFERROR(VALUE(SUBSTITUTE(INDEX('04A_국토부원자료'!$A:$T,ROW()+1,MATCH("건축년도",'04A_국토부원자료'!$A$4:$T$4,0)),",","")),"")</f>
        <v/>
      </c>
      <c r="L864" s="176">
        <f>IFERROR(INDEX('04A_국토부원자료'!$A:$T,ROW()+1,MATCH("도로명",'04A_국토부원자료'!$A$4:$T$4,0)),"")</f>
        <v/>
      </c>
      <c r="M864" s="48">
        <f>IFERROR(INDEX('04A_국토부원자료'!$A:$T,ROW()+1,MATCH("거래유형",'04A_국토부원자료'!$A$4:$T$4,0)),"")</f>
        <v/>
      </c>
      <c r="N864" s="152">
        <f>IF(B864="","",IF('02_대상물건입력'!B5="",1,IF(ISNUMBER(SEARCH('02_대상물건입력'!B5,B864)),1,0)))</f>
        <v/>
      </c>
      <c r="O864" s="152">
        <f>IF(B864="","",IF('02_대상물건입력'!B6="",1,IF(ISNUMBER(SEARCH('02_대상물건입력'!B6,B864)),1,0)))</f>
        <v/>
      </c>
      <c r="P864" s="152">
        <f>IF(L864="","",IF('02_대상물건입력'!B15="",0,IF(ISNUMBER(SEARCH('02_대상물건입력'!B15,L864)),1,0)))</f>
        <v/>
      </c>
      <c r="Q864" s="152">
        <f>IF(OR(C864="",L864=""),0,IF(AND(TRIM(C864)=TRIM(RIGHT(SUBSTITUTE(TRIM('02_대상물건입력'!$B$7)," ",REPT(" ",99)),99)),IF('02_대상물건입력'!B15="",TRUE(),ISNUMBER(SEARCH('02_대상물건입력'!B15,L864)))),1,0))</f>
        <v/>
      </c>
      <c r="R864" s="175">
        <f>IFERROR(ABS(E864-'02_대상물건입력'!B11)/'02_대상물건입력'!B11,"")</f>
        <v/>
      </c>
      <c r="S864" s="152">
        <f>IFERROR(ABS(J864-'02_대상물건입력'!B10),"")</f>
        <v/>
      </c>
      <c r="T864" s="152">
        <f>IFERROR(ABS('01_설정'!B4-F864),"")</f>
        <v/>
      </c>
      <c r="U864" s="152">
        <f>IFERROR(ABS(K864-YEAR('02_대상물건입력'!B14)),"")</f>
        <v/>
      </c>
      <c r="V864" s="152">
        <f>IF(B864="","",IF(AND(E864&gt;0,F864&gt;0,H864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864=1,TRUE()),R864&lt;='01_설정'!B5,S864&lt;='01_설정'!B6,T864&lt;='01_설정'!B7,U864&lt;='01_설정'!B8),"Y",""))</f>
        <v/>
      </c>
      <c r="W864" s="172">
        <f>IF(V864&lt;&gt;"Y","",MAX(0,(1-R864/'01_설정'!B5))*'01_설정'!B14+MAX(0,(1-S864/'01_설정'!B6))*'01_설정'!B15+MAX(0,(1-T864/'01_설정'!B7))*'01_설정'!B16+MAX(0,(1-U864/'01_설정'!B8))*'01_설정'!B17+O864*'01_설정'!B11+Q864*'01_설정'!B12+P864*'01_설정'!B13+IF(Z864="",0,Z864))</f>
        <v/>
      </c>
      <c r="X864" s="152">
        <f>IF(W864="","",1+COUNTIFS($W$4:$W$3003,"&gt;"&amp;W864)+COUNTIFS($W$4:W864,W864)-1)</f>
        <v/>
      </c>
      <c r="Y864" s="175">
        <f>IF(OR(I864="",'02_대상물건입력'!B19="",'02_대상물건입력'!B19&lt;=0),"",ABS(I864-'02_대상물건입력'!B19)/'02_대상물건입력'!B19)</f>
        <v/>
      </c>
      <c r="Z864" s="172">
        <f>IF(OR(Y864="",'01_설정'!B31="",'01_설정'!B31&lt;=0,'01_설정'!B32="",'01_설정'!B32&lt;=0),"",MAX(0,(1-Y864/'01_설정'!B32))*'01_설정'!B31)</f>
        <v/>
      </c>
    </row>
    <row r="865" ht="17.25" customHeight="1">
      <c r="A865" s="152">
        <f>IF(INDEX('04A_국토부원자료'!$A:$A,ROW()+1)="","",ROW()-3)</f>
        <v/>
      </c>
      <c r="B865" s="48">
        <f>IFERROR(INDEX('04A_국토부원자료'!$A:$T,ROW()+1,MATCH("시군구",'04A_국토부원자료'!$A$4:$T$4,0)),"")</f>
        <v/>
      </c>
      <c r="C865" s="48">
        <f>IF(B865="","",IFERROR(INDEX('04A_국토부원자료'!$A:$T,ROW()+1,MATCH("번지",'04A_국토부원자료'!$A$4:$T$4,0)),""))</f>
        <v/>
      </c>
      <c r="D865" s="48">
        <f>IF(B865="","",IF(Q865=1,'02_대상물건입력'!$B$8,IFERROR(INDEX('04A_국토부원자료'!$A:$T,ROW()+1,MATCH("단지명",'04A_국토부원자료'!$A$4:$T$4,0)),"")))</f>
        <v/>
      </c>
      <c r="E865" s="172">
        <f>IFERROR(VALUE(SUBSTITUTE(INDEX('04A_국토부원자료'!$A:$T,ROW()+1,MATCH("전용면적(㎡)",'04A_국토부원자료'!$A$4:$T$4,0)),",","")),"")</f>
        <v/>
      </c>
      <c r="F8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65" s="51">
        <f>IFERROR(VALUE(SUBSTITUTE(INDEX('04A_국토부원자료'!$A:$T,ROW()+1,MATCH("거래금액(만원)",'04A_국토부원자료'!$A$4:$T$4,0)),",","")),"")</f>
        <v/>
      </c>
      <c r="H865" s="174">
        <f>IF(G865="","",G865*10000)</f>
        <v/>
      </c>
      <c r="I865" s="174">
        <f>IFERROR(IF(AND(H865&gt;0,E865&gt;0),H865/E865,""),"")</f>
        <v/>
      </c>
      <c r="J865" s="152">
        <f>IFERROR(VALUE(SUBSTITUTE(INDEX('04A_국토부원자료'!$A:$T,ROW()+1,MATCH("층",'04A_국토부원자료'!$A$4:$T$4,0)),",","")),"")</f>
        <v/>
      </c>
      <c r="K865" s="152">
        <f>IFERROR(VALUE(SUBSTITUTE(INDEX('04A_국토부원자료'!$A:$T,ROW()+1,MATCH("건축년도",'04A_국토부원자료'!$A$4:$T$4,0)),",","")),"")</f>
        <v/>
      </c>
      <c r="L865" s="176">
        <f>IFERROR(INDEX('04A_국토부원자료'!$A:$T,ROW()+1,MATCH("도로명",'04A_국토부원자료'!$A$4:$T$4,0)),"")</f>
        <v/>
      </c>
      <c r="M865" s="48">
        <f>IFERROR(INDEX('04A_국토부원자료'!$A:$T,ROW()+1,MATCH("거래유형",'04A_국토부원자료'!$A$4:$T$4,0)),"")</f>
        <v/>
      </c>
      <c r="N865" s="152">
        <f>IF(B865="","",IF('02_대상물건입력'!B5="",1,IF(ISNUMBER(SEARCH('02_대상물건입력'!B5,B865)),1,0)))</f>
        <v/>
      </c>
      <c r="O865" s="152">
        <f>IF(B865="","",IF('02_대상물건입력'!B6="",1,IF(ISNUMBER(SEARCH('02_대상물건입력'!B6,B865)),1,0)))</f>
        <v/>
      </c>
      <c r="P865" s="152">
        <f>IF(L865="","",IF('02_대상물건입력'!B15="",0,IF(ISNUMBER(SEARCH('02_대상물건입력'!B15,L865)),1,0)))</f>
        <v/>
      </c>
      <c r="Q865" s="152">
        <f>IF(OR(C865="",L865=""),0,IF(AND(TRIM(C865)=TRIM(RIGHT(SUBSTITUTE(TRIM('02_대상물건입력'!$B$7)," ",REPT(" ",99)),99)),IF('02_대상물건입력'!B15="",TRUE(),ISNUMBER(SEARCH('02_대상물건입력'!B15,L865)))),1,0))</f>
        <v/>
      </c>
      <c r="R865" s="175">
        <f>IFERROR(ABS(E865-'02_대상물건입력'!B11)/'02_대상물건입력'!B11,"")</f>
        <v/>
      </c>
      <c r="S865" s="152">
        <f>IFERROR(ABS(J865-'02_대상물건입력'!B10),"")</f>
        <v/>
      </c>
      <c r="T865" s="152">
        <f>IFERROR(ABS('01_설정'!B4-F865),"")</f>
        <v/>
      </c>
      <c r="U865" s="152">
        <f>IFERROR(ABS(K865-YEAR('02_대상물건입력'!B14)),"")</f>
        <v/>
      </c>
      <c r="V865" s="152">
        <f>IF(B865="","",IF(AND(E865&gt;0,F865&gt;0,H865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865=1,TRUE()),R865&lt;='01_설정'!B5,S865&lt;='01_설정'!B6,T865&lt;='01_설정'!B7,U865&lt;='01_설정'!B8),"Y",""))</f>
        <v/>
      </c>
      <c r="W865" s="172">
        <f>IF(V865&lt;&gt;"Y","",MAX(0,(1-R865/'01_설정'!B5))*'01_설정'!B14+MAX(0,(1-S865/'01_설정'!B6))*'01_설정'!B15+MAX(0,(1-T865/'01_설정'!B7))*'01_설정'!B16+MAX(0,(1-U865/'01_설정'!B8))*'01_설정'!B17+O865*'01_설정'!B11+Q865*'01_설정'!B12+P865*'01_설정'!B13+IF(Z865="",0,Z865))</f>
        <v/>
      </c>
      <c r="X865" s="152">
        <f>IF(W865="","",1+COUNTIFS($W$4:$W$3003,"&gt;"&amp;W865)+COUNTIFS($W$4:W865,W865)-1)</f>
        <v/>
      </c>
      <c r="Y865" s="175">
        <f>IF(OR(I865="",'02_대상물건입력'!B19="",'02_대상물건입력'!B19&lt;=0),"",ABS(I865-'02_대상물건입력'!B19)/'02_대상물건입력'!B19)</f>
        <v/>
      </c>
      <c r="Z865" s="172">
        <f>IF(OR(Y865="",'01_설정'!B31="",'01_설정'!B31&lt;=0,'01_설정'!B32="",'01_설정'!B32&lt;=0),"",MAX(0,(1-Y865/'01_설정'!B32))*'01_설정'!B31)</f>
        <v/>
      </c>
    </row>
    <row r="866" ht="17.25" customHeight="1">
      <c r="A866" s="152">
        <f>IF(INDEX('04A_국토부원자료'!$A:$A,ROW()+1)="","",ROW()-3)</f>
        <v/>
      </c>
      <c r="B866" s="48">
        <f>IFERROR(INDEX('04A_국토부원자료'!$A:$T,ROW()+1,MATCH("시군구",'04A_국토부원자료'!$A$4:$T$4,0)),"")</f>
        <v/>
      </c>
      <c r="C866" s="48">
        <f>IF(B866="","",IFERROR(INDEX('04A_국토부원자료'!$A:$T,ROW()+1,MATCH("번지",'04A_국토부원자료'!$A$4:$T$4,0)),""))</f>
        <v/>
      </c>
      <c r="D866" s="48">
        <f>IF(B866="","",IF(Q866=1,'02_대상물건입력'!$B$8,IFERROR(INDEX('04A_국토부원자료'!$A:$T,ROW()+1,MATCH("단지명",'04A_국토부원자료'!$A$4:$T$4,0)),"")))</f>
        <v/>
      </c>
      <c r="E866" s="172">
        <f>IFERROR(VALUE(SUBSTITUTE(INDEX('04A_국토부원자료'!$A:$T,ROW()+1,MATCH("전용면적(㎡)",'04A_국토부원자료'!$A$4:$T$4,0)),",","")),"")</f>
        <v/>
      </c>
      <c r="F8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66" s="51">
        <f>IFERROR(VALUE(SUBSTITUTE(INDEX('04A_국토부원자료'!$A:$T,ROW()+1,MATCH("거래금액(만원)",'04A_국토부원자료'!$A$4:$T$4,0)),",","")),"")</f>
        <v/>
      </c>
      <c r="H866" s="174">
        <f>IF(G866="","",G866*10000)</f>
        <v/>
      </c>
      <c r="I866" s="174">
        <f>IFERROR(IF(AND(H866&gt;0,E866&gt;0),H866/E866,""),"")</f>
        <v/>
      </c>
      <c r="J866" s="152">
        <f>IFERROR(VALUE(SUBSTITUTE(INDEX('04A_국토부원자료'!$A:$T,ROW()+1,MATCH("층",'04A_국토부원자료'!$A$4:$T$4,0)),",","")),"")</f>
        <v/>
      </c>
      <c r="K866" s="152">
        <f>IFERROR(VALUE(SUBSTITUTE(INDEX('04A_국토부원자료'!$A:$T,ROW()+1,MATCH("건축년도",'04A_국토부원자료'!$A$4:$T$4,0)),",","")),"")</f>
        <v/>
      </c>
      <c r="L866" s="176">
        <f>IFERROR(INDEX('04A_국토부원자료'!$A:$T,ROW()+1,MATCH("도로명",'04A_국토부원자료'!$A$4:$T$4,0)),"")</f>
        <v/>
      </c>
      <c r="M866" s="48">
        <f>IFERROR(INDEX('04A_국토부원자료'!$A:$T,ROW()+1,MATCH("거래유형",'04A_국토부원자료'!$A$4:$T$4,0)),"")</f>
        <v/>
      </c>
      <c r="N866" s="152">
        <f>IF(B866="","",IF('02_대상물건입력'!B5="",1,IF(ISNUMBER(SEARCH('02_대상물건입력'!B5,B866)),1,0)))</f>
        <v/>
      </c>
      <c r="O866" s="152">
        <f>IF(B866="","",IF('02_대상물건입력'!B6="",1,IF(ISNUMBER(SEARCH('02_대상물건입력'!B6,B866)),1,0)))</f>
        <v/>
      </c>
      <c r="P866" s="152">
        <f>IF(L866="","",IF('02_대상물건입력'!B15="",0,IF(ISNUMBER(SEARCH('02_대상물건입력'!B15,L866)),1,0)))</f>
        <v/>
      </c>
      <c r="Q866" s="152">
        <f>IF(OR(C866="",L866=""),0,IF(AND(TRIM(C866)=TRIM(RIGHT(SUBSTITUTE(TRIM('02_대상물건입력'!$B$7)," ",REPT(" ",99)),99)),IF('02_대상물건입력'!B15="",TRUE(),ISNUMBER(SEARCH('02_대상물건입력'!B15,L866)))),1,0))</f>
        <v/>
      </c>
      <c r="R866" s="175">
        <f>IFERROR(ABS(E866-'02_대상물건입력'!B11)/'02_대상물건입력'!B11,"")</f>
        <v/>
      </c>
      <c r="S866" s="152">
        <f>IFERROR(ABS(J866-'02_대상물건입력'!B10),"")</f>
        <v/>
      </c>
      <c r="T866" s="152">
        <f>IFERROR(ABS('01_설정'!B4-F866),"")</f>
        <v/>
      </c>
      <c r="U866" s="152">
        <f>IFERROR(ABS(K866-YEAR('02_대상물건입력'!B14)),"")</f>
        <v/>
      </c>
      <c r="V866" s="152">
        <f>IF(B866="","",IF(AND(E866&gt;0,F866&gt;0,H866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866=1,TRUE()),R866&lt;='01_설정'!B5,S866&lt;='01_설정'!B6,T866&lt;='01_설정'!B7,U866&lt;='01_설정'!B8),"Y",""))</f>
        <v/>
      </c>
      <c r="W866" s="172">
        <f>IF(V866&lt;&gt;"Y","",MAX(0,(1-R866/'01_설정'!B5))*'01_설정'!B14+MAX(0,(1-S866/'01_설정'!B6))*'01_설정'!B15+MAX(0,(1-T866/'01_설정'!B7))*'01_설정'!B16+MAX(0,(1-U866/'01_설정'!B8))*'01_설정'!B17+O866*'01_설정'!B11+Q866*'01_설정'!B12+P866*'01_설정'!B13+IF(Z866="",0,Z866))</f>
        <v/>
      </c>
      <c r="X866" s="152">
        <f>IF(W866="","",1+COUNTIFS($W$4:$W$3003,"&gt;"&amp;W866)+COUNTIFS($W$4:W866,W866)-1)</f>
        <v/>
      </c>
      <c r="Y866" s="175">
        <f>IF(OR(I866="",'02_대상물건입력'!B19="",'02_대상물건입력'!B19&lt;=0),"",ABS(I866-'02_대상물건입력'!B19)/'02_대상물건입력'!B19)</f>
        <v/>
      </c>
      <c r="Z866" s="172">
        <f>IF(OR(Y866="",'01_설정'!B31="",'01_설정'!B31&lt;=0,'01_설정'!B32="",'01_설정'!B32&lt;=0),"",MAX(0,(1-Y866/'01_설정'!B32))*'01_설정'!B31)</f>
        <v/>
      </c>
    </row>
    <row r="867" ht="17.25" customHeight="1">
      <c r="A867" s="152">
        <f>IF(INDEX('04A_국토부원자료'!$A:$A,ROW()+1)="","",ROW()-3)</f>
        <v/>
      </c>
      <c r="B867" s="48">
        <f>IFERROR(INDEX('04A_국토부원자료'!$A:$T,ROW()+1,MATCH("시군구",'04A_국토부원자료'!$A$4:$T$4,0)),"")</f>
        <v/>
      </c>
      <c r="C867" s="48">
        <f>IF(B867="","",IFERROR(INDEX('04A_국토부원자료'!$A:$T,ROW()+1,MATCH("번지",'04A_국토부원자료'!$A$4:$T$4,0)),""))</f>
        <v/>
      </c>
      <c r="D867" s="48">
        <f>IF(B867="","",IF(Q867=1,'02_대상물건입력'!$B$8,IFERROR(INDEX('04A_국토부원자료'!$A:$T,ROW()+1,MATCH("단지명",'04A_국토부원자료'!$A$4:$T$4,0)),"")))</f>
        <v/>
      </c>
      <c r="E867" s="172">
        <f>IFERROR(VALUE(SUBSTITUTE(INDEX('04A_국토부원자료'!$A:$T,ROW()+1,MATCH("전용면적(㎡)",'04A_국토부원자료'!$A$4:$T$4,0)),",","")),"")</f>
        <v/>
      </c>
      <c r="F8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67" s="51">
        <f>IFERROR(VALUE(SUBSTITUTE(INDEX('04A_국토부원자료'!$A:$T,ROW()+1,MATCH("거래금액(만원)",'04A_국토부원자료'!$A$4:$T$4,0)),",","")),"")</f>
        <v/>
      </c>
      <c r="H867" s="174">
        <f>IF(G867="","",G867*10000)</f>
        <v/>
      </c>
      <c r="I867" s="174">
        <f>IFERROR(IF(AND(H867&gt;0,E867&gt;0),H867/E867,""),"")</f>
        <v/>
      </c>
      <c r="J867" s="152">
        <f>IFERROR(VALUE(SUBSTITUTE(INDEX('04A_국토부원자료'!$A:$T,ROW()+1,MATCH("층",'04A_국토부원자료'!$A$4:$T$4,0)),",","")),"")</f>
        <v/>
      </c>
      <c r="K867" s="152">
        <f>IFERROR(VALUE(SUBSTITUTE(INDEX('04A_국토부원자료'!$A:$T,ROW()+1,MATCH("건축년도",'04A_국토부원자료'!$A$4:$T$4,0)),",","")),"")</f>
        <v/>
      </c>
      <c r="L867" s="176">
        <f>IFERROR(INDEX('04A_국토부원자료'!$A:$T,ROW()+1,MATCH("도로명",'04A_국토부원자료'!$A$4:$T$4,0)),"")</f>
        <v/>
      </c>
      <c r="M867" s="48">
        <f>IFERROR(INDEX('04A_국토부원자료'!$A:$T,ROW()+1,MATCH("거래유형",'04A_국토부원자료'!$A$4:$T$4,0)),"")</f>
        <v/>
      </c>
      <c r="N867" s="152">
        <f>IF(B867="","",IF('02_대상물건입력'!B5="",1,IF(ISNUMBER(SEARCH('02_대상물건입력'!B5,B867)),1,0)))</f>
        <v/>
      </c>
      <c r="O867" s="152">
        <f>IF(B867="","",IF('02_대상물건입력'!B6="",1,IF(ISNUMBER(SEARCH('02_대상물건입력'!B6,B867)),1,0)))</f>
        <v/>
      </c>
      <c r="P867" s="152">
        <f>IF(L867="","",IF('02_대상물건입력'!B15="",0,IF(ISNUMBER(SEARCH('02_대상물건입력'!B15,L867)),1,0)))</f>
        <v/>
      </c>
      <c r="Q867" s="152">
        <f>IF(OR(C867="",L867=""),0,IF(AND(TRIM(C867)=TRIM(RIGHT(SUBSTITUTE(TRIM('02_대상물건입력'!$B$7)," ",REPT(" ",99)),99)),IF('02_대상물건입력'!B15="",TRUE(),ISNUMBER(SEARCH('02_대상물건입력'!B15,L867)))),1,0))</f>
        <v/>
      </c>
      <c r="R867" s="175">
        <f>IFERROR(ABS(E867-'02_대상물건입력'!B11)/'02_대상물건입력'!B11,"")</f>
        <v/>
      </c>
      <c r="S867" s="152">
        <f>IFERROR(ABS(J867-'02_대상물건입력'!B10),"")</f>
        <v/>
      </c>
      <c r="T867" s="152">
        <f>IFERROR(ABS('01_설정'!B4-F867),"")</f>
        <v/>
      </c>
      <c r="U867" s="152">
        <f>IFERROR(ABS(K867-YEAR('02_대상물건입력'!B14)),"")</f>
        <v/>
      </c>
      <c r="V867" s="152">
        <f>IF(B867="","",IF(AND(E867&gt;0,F867&gt;0,H867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867=1,TRUE()),R867&lt;='01_설정'!B5,S867&lt;='01_설정'!B6,T867&lt;='01_설정'!B7,U867&lt;='01_설정'!B8),"Y",""))</f>
        <v/>
      </c>
      <c r="W867" s="172">
        <f>IF(V867&lt;&gt;"Y","",MAX(0,(1-R867/'01_설정'!B5))*'01_설정'!B14+MAX(0,(1-S867/'01_설정'!B6))*'01_설정'!B15+MAX(0,(1-T867/'01_설정'!B7))*'01_설정'!B16+MAX(0,(1-U867/'01_설정'!B8))*'01_설정'!B17+O867*'01_설정'!B11+Q867*'01_설정'!B12+P867*'01_설정'!B13+IF(Z867="",0,Z867))</f>
        <v/>
      </c>
      <c r="X867" s="152">
        <f>IF(W867="","",1+COUNTIFS($W$4:$W$3003,"&gt;"&amp;W867)+COUNTIFS($W$4:W867,W867)-1)</f>
        <v/>
      </c>
      <c r="Y867" s="175">
        <f>IF(OR(I867="",'02_대상물건입력'!B19="",'02_대상물건입력'!B19&lt;=0),"",ABS(I867-'02_대상물건입력'!B19)/'02_대상물건입력'!B19)</f>
        <v/>
      </c>
      <c r="Z867" s="172">
        <f>IF(OR(Y867="",'01_설정'!B31="",'01_설정'!B31&lt;=0,'01_설정'!B32="",'01_설정'!B32&lt;=0),"",MAX(0,(1-Y867/'01_설정'!B32))*'01_설정'!B31)</f>
        <v/>
      </c>
    </row>
    <row r="868" ht="17.25" customHeight="1">
      <c r="A868" s="152">
        <f>IF(INDEX('04A_국토부원자료'!$A:$A,ROW()+1)="","",ROW()-3)</f>
        <v/>
      </c>
      <c r="B868" s="48">
        <f>IFERROR(INDEX('04A_국토부원자료'!$A:$T,ROW()+1,MATCH("시군구",'04A_국토부원자료'!$A$4:$T$4,0)),"")</f>
        <v/>
      </c>
      <c r="C868" s="48">
        <f>IF(B868="","",IFERROR(INDEX('04A_국토부원자료'!$A:$T,ROW()+1,MATCH("번지",'04A_국토부원자료'!$A$4:$T$4,0)),""))</f>
        <v/>
      </c>
      <c r="D868" s="48">
        <f>IF(B868="","",IF(Q868=1,'02_대상물건입력'!$B$8,IFERROR(INDEX('04A_국토부원자료'!$A:$T,ROW()+1,MATCH("단지명",'04A_국토부원자료'!$A$4:$T$4,0)),"")))</f>
        <v/>
      </c>
      <c r="E868" s="172">
        <f>IFERROR(VALUE(SUBSTITUTE(INDEX('04A_국토부원자료'!$A:$T,ROW()+1,MATCH("전용면적(㎡)",'04A_국토부원자료'!$A$4:$T$4,0)),",","")),"")</f>
        <v/>
      </c>
      <c r="F8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68" s="51">
        <f>IFERROR(VALUE(SUBSTITUTE(INDEX('04A_국토부원자료'!$A:$T,ROW()+1,MATCH("거래금액(만원)",'04A_국토부원자료'!$A$4:$T$4,0)),",","")),"")</f>
        <v/>
      </c>
      <c r="H868" s="174">
        <f>IF(G868="","",G868*10000)</f>
        <v/>
      </c>
      <c r="I868" s="174">
        <f>IFERROR(IF(AND(H868&gt;0,E868&gt;0),H868/E868,""),"")</f>
        <v/>
      </c>
      <c r="J868" s="152">
        <f>IFERROR(VALUE(SUBSTITUTE(INDEX('04A_국토부원자료'!$A:$T,ROW()+1,MATCH("층",'04A_국토부원자료'!$A$4:$T$4,0)),",","")),"")</f>
        <v/>
      </c>
      <c r="K868" s="152">
        <f>IFERROR(VALUE(SUBSTITUTE(INDEX('04A_국토부원자료'!$A:$T,ROW()+1,MATCH("건축년도",'04A_국토부원자료'!$A$4:$T$4,0)),",","")),"")</f>
        <v/>
      </c>
      <c r="L868" s="176">
        <f>IFERROR(INDEX('04A_국토부원자료'!$A:$T,ROW()+1,MATCH("도로명",'04A_국토부원자료'!$A$4:$T$4,0)),"")</f>
        <v/>
      </c>
      <c r="M868" s="48">
        <f>IFERROR(INDEX('04A_국토부원자료'!$A:$T,ROW()+1,MATCH("거래유형",'04A_국토부원자료'!$A$4:$T$4,0)),"")</f>
        <v/>
      </c>
      <c r="N868" s="152">
        <f>IF(B868="","",IF('02_대상물건입력'!B5="",1,IF(ISNUMBER(SEARCH('02_대상물건입력'!B5,B868)),1,0)))</f>
        <v/>
      </c>
      <c r="O868" s="152">
        <f>IF(B868="","",IF('02_대상물건입력'!B6="",1,IF(ISNUMBER(SEARCH('02_대상물건입력'!B6,B868)),1,0)))</f>
        <v/>
      </c>
      <c r="P868" s="152">
        <f>IF(L868="","",IF('02_대상물건입력'!B15="",0,IF(ISNUMBER(SEARCH('02_대상물건입력'!B15,L868)),1,0)))</f>
        <v/>
      </c>
      <c r="Q868" s="152">
        <f>IF(OR(C868="",L868=""),0,IF(AND(TRIM(C868)=TRIM(RIGHT(SUBSTITUTE(TRIM('02_대상물건입력'!$B$7)," ",REPT(" ",99)),99)),IF('02_대상물건입력'!B15="",TRUE(),ISNUMBER(SEARCH('02_대상물건입력'!B15,L868)))),1,0))</f>
        <v/>
      </c>
      <c r="R868" s="175">
        <f>IFERROR(ABS(E868-'02_대상물건입력'!B11)/'02_대상물건입력'!B11,"")</f>
        <v/>
      </c>
      <c r="S868" s="152">
        <f>IFERROR(ABS(J868-'02_대상물건입력'!B10),"")</f>
        <v/>
      </c>
      <c r="T868" s="152">
        <f>IFERROR(ABS('01_설정'!B4-F868),"")</f>
        <v/>
      </c>
      <c r="U868" s="152">
        <f>IFERROR(ABS(K868-YEAR('02_대상물건입력'!B14)),"")</f>
        <v/>
      </c>
      <c r="V868" s="152">
        <f>IF(B868="","",IF(AND(E868&gt;0,F868&gt;0,H868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868=1,TRUE()),R868&lt;='01_설정'!B5,S868&lt;='01_설정'!B6,T868&lt;='01_설정'!B7,U868&lt;='01_설정'!B8),"Y",""))</f>
        <v/>
      </c>
      <c r="W868" s="172">
        <f>IF(V868&lt;&gt;"Y","",MAX(0,(1-R868/'01_설정'!B5))*'01_설정'!B14+MAX(0,(1-S868/'01_설정'!B6))*'01_설정'!B15+MAX(0,(1-T868/'01_설정'!B7))*'01_설정'!B16+MAX(0,(1-U868/'01_설정'!B8))*'01_설정'!B17+O868*'01_설정'!B11+Q868*'01_설정'!B12+P868*'01_설정'!B13+IF(Z868="",0,Z868))</f>
        <v/>
      </c>
      <c r="X868" s="152">
        <f>IF(W868="","",1+COUNTIFS($W$4:$W$3003,"&gt;"&amp;W868)+COUNTIFS($W$4:W868,W868)-1)</f>
        <v/>
      </c>
      <c r="Y868" s="175">
        <f>IF(OR(I868="",'02_대상물건입력'!B19="",'02_대상물건입력'!B19&lt;=0),"",ABS(I868-'02_대상물건입력'!B19)/'02_대상물건입력'!B19)</f>
        <v/>
      </c>
      <c r="Z868" s="172">
        <f>IF(OR(Y868="",'01_설정'!B31="",'01_설정'!B31&lt;=0,'01_설정'!B32="",'01_설정'!B32&lt;=0),"",MAX(0,(1-Y868/'01_설정'!B32))*'01_설정'!B31)</f>
        <v/>
      </c>
    </row>
    <row r="869" ht="17.25" customHeight="1">
      <c r="A869" s="152">
        <f>IF(INDEX('04A_국토부원자료'!$A:$A,ROW()+1)="","",ROW()-3)</f>
        <v/>
      </c>
      <c r="B869" s="48">
        <f>IFERROR(INDEX('04A_국토부원자료'!$A:$T,ROW()+1,MATCH("시군구",'04A_국토부원자료'!$A$4:$T$4,0)),"")</f>
        <v/>
      </c>
      <c r="C869" s="48">
        <f>IF(B869="","",IFERROR(INDEX('04A_국토부원자료'!$A:$T,ROW()+1,MATCH("번지",'04A_국토부원자료'!$A$4:$T$4,0)),""))</f>
        <v/>
      </c>
      <c r="D869" s="48">
        <f>IF(B869="","",IF(Q869=1,'02_대상물건입력'!$B$8,IFERROR(INDEX('04A_국토부원자료'!$A:$T,ROW()+1,MATCH("단지명",'04A_국토부원자료'!$A$4:$T$4,0)),"")))</f>
        <v/>
      </c>
      <c r="E869" s="172">
        <f>IFERROR(VALUE(SUBSTITUTE(INDEX('04A_국토부원자료'!$A:$T,ROW()+1,MATCH("전용면적(㎡)",'04A_국토부원자료'!$A$4:$T$4,0)),",","")),"")</f>
        <v/>
      </c>
      <c r="F8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69" s="51">
        <f>IFERROR(VALUE(SUBSTITUTE(INDEX('04A_국토부원자료'!$A:$T,ROW()+1,MATCH("거래금액(만원)",'04A_국토부원자료'!$A$4:$T$4,0)),",","")),"")</f>
        <v/>
      </c>
      <c r="H869" s="174">
        <f>IF(G869="","",G869*10000)</f>
        <v/>
      </c>
      <c r="I869" s="174">
        <f>IFERROR(IF(AND(H869&gt;0,E869&gt;0),H869/E869,""),"")</f>
        <v/>
      </c>
      <c r="J869" s="152">
        <f>IFERROR(VALUE(SUBSTITUTE(INDEX('04A_국토부원자료'!$A:$T,ROW()+1,MATCH("층",'04A_국토부원자료'!$A$4:$T$4,0)),",","")),"")</f>
        <v/>
      </c>
      <c r="K869" s="152">
        <f>IFERROR(VALUE(SUBSTITUTE(INDEX('04A_국토부원자료'!$A:$T,ROW()+1,MATCH("건축년도",'04A_국토부원자료'!$A$4:$T$4,0)),",","")),"")</f>
        <v/>
      </c>
      <c r="L869" s="176">
        <f>IFERROR(INDEX('04A_국토부원자료'!$A:$T,ROW()+1,MATCH("도로명",'04A_국토부원자료'!$A$4:$T$4,0)),"")</f>
        <v/>
      </c>
      <c r="M869" s="48">
        <f>IFERROR(INDEX('04A_국토부원자료'!$A:$T,ROW()+1,MATCH("거래유형",'04A_국토부원자료'!$A$4:$T$4,0)),"")</f>
        <v/>
      </c>
      <c r="N869" s="152">
        <f>IF(B869="","",IF('02_대상물건입력'!B5="",1,IF(ISNUMBER(SEARCH('02_대상물건입력'!B5,B869)),1,0)))</f>
        <v/>
      </c>
      <c r="O869" s="152">
        <f>IF(B869="","",IF('02_대상물건입력'!B6="",1,IF(ISNUMBER(SEARCH('02_대상물건입력'!B6,B869)),1,0)))</f>
        <v/>
      </c>
      <c r="P869" s="152">
        <f>IF(L869="","",IF('02_대상물건입력'!B15="",0,IF(ISNUMBER(SEARCH('02_대상물건입력'!B15,L869)),1,0)))</f>
        <v/>
      </c>
      <c r="Q869" s="152">
        <f>IF(OR(C869="",L869=""),0,IF(AND(TRIM(C869)=TRIM(RIGHT(SUBSTITUTE(TRIM('02_대상물건입력'!$B$7)," ",REPT(" ",99)),99)),IF('02_대상물건입력'!B15="",TRUE(),ISNUMBER(SEARCH('02_대상물건입력'!B15,L869)))),1,0))</f>
        <v/>
      </c>
      <c r="R869" s="175">
        <f>IFERROR(ABS(E869-'02_대상물건입력'!B11)/'02_대상물건입력'!B11,"")</f>
        <v/>
      </c>
      <c r="S869" s="152">
        <f>IFERROR(ABS(J869-'02_대상물건입력'!B10),"")</f>
        <v/>
      </c>
      <c r="T869" s="152">
        <f>IFERROR(ABS('01_설정'!B4-F869),"")</f>
        <v/>
      </c>
      <c r="U869" s="152">
        <f>IFERROR(ABS(K869-YEAR('02_대상물건입력'!B14)),"")</f>
        <v/>
      </c>
      <c r="V869" s="152">
        <f>IF(B869="","",IF(AND(E869&gt;0,F869&gt;0,H869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869=1,TRUE()),R869&lt;='01_설정'!B5,S869&lt;='01_설정'!B6,T869&lt;='01_설정'!B7,U869&lt;='01_설정'!B8),"Y",""))</f>
        <v/>
      </c>
      <c r="W869" s="172">
        <f>IF(V869&lt;&gt;"Y","",MAX(0,(1-R869/'01_설정'!B5))*'01_설정'!B14+MAX(0,(1-S869/'01_설정'!B6))*'01_설정'!B15+MAX(0,(1-T869/'01_설정'!B7))*'01_설정'!B16+MAX(0,(1-U869/'01_설정'!B8))*'01_설정'!B17+O869*'01_설정'!B11+Q869*'01_설정'!B12+P869*'01_설정'!B13+IF(Z869="",0,Z869))</f>
        <v/>
      </c>
      <c r="X869" s="152">
        <f>IF(W869="","",1+COUNTIFS($W$4:$W$3003,"&gt;"&amp;W869)+COUNTIFS($W$4:W869,W869)-1)</f>
        <v/>
      </c>
      <c r="Y869" s="175">
        <f>IF(OR(I869="",'02_대상물건입력'!B19="",'02_대상물건입력'!B19&lt;=0),"",ABS(I869-'02_대상물건입력'!B19)/'02_대상물건입력'!B19)</f>
        <v/>
      </c>
      <c r="Z869" s="172">
        <f>IF(OR(Y869="",'01_설정'!B31="",'01_설정'!B31&lt;=0,'01_설정'!B32="",'01_설정'!B32&lt;=0),"",MAX(0,(1-Y869/'01_설정'!B32))*'01_설정'!B31)</f>
        <v/>
      </c>
    </row>
    <row r="870" ht="17.25" customHeight="1">
      <c r="A870" s="152">
        <f>IF(INDEX('04A_국토부원자료'!$A:$A,ROW()+1)="","",ROW()-3)</f>
        <v/>
      </c>
      <c r="B870" s="48">
        <f>IFERROR(INDEX('04A_국토부원자료'!$A:$T,ROW()+1,MATCH("시군구",'04A_국토부원자료'!$A$4:$T$4,0)),"")</f>
        <v/>
      </c>
      <c r="C870" s="48">
        <f>IF(B870="","",IFERROR(INDEX('04A_국토부원자료'!$A:$T,ROW()+1,MATCH("번지",'04A_국토부원자료'!$A$4:$T$4,0)),""))</f>
        <v/>
      </c>
      <c r="D870" s="48">
        <f>IF(B870="","",IF(Q870=1,'02_대상물건입력'!$B$8,IFERROR(INDEX('04A_국토부원자료'!$A:$T,ROW()+1,MATCH("단지명",'04A_국토부원자료'!$A$4:$T$4,0)),"")))</f>
        <v/>
      </c>
      <c r="E870" s="172">
        <f>IFERROR(VALUE(SUBSTITUTE(INDEX('04A_국토부원자료'!$A:$T,ROW()+1,MATCH("전용면적(㎡)",'04A_국토부원자료'!$A$4:$T$4,0)),",","")),"")</f>
        <v/>
      </c>
      <c r="F8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70" s="51">
        <f>IFERROR(VALUE(SUBSTITUTE(INDEX('04A_국토부원자료'!$A:$T,ROW()+1,MATCH("거래금액(만원)",'04A_국토부원자료'!$A$4:$T$4,0)),",","")),"")</f>
        <v/>
      </c>
      <c r="H870" s="174">
        <f>IF(G870="","",G870*10000)</f>
        <v/>
      </c>
      <c r="I870" s="174">
        <f>IFERROR(IF(AND(H870&gt;0,E870&gt;0),H870/E870,""),"")</f>
        <v/>
      </c>
      <c r="J870" s="152">
        <f>IFERROR(VALUE(SUBSTITUTE(INDEX('04A_국토부원자료'!$A:$T,ROW()+1,MATCH("층",'04A_국토부원자료'!$A$4:$T$4,0)),",","")),"")</f>
        <v/>
      </c>
      <c r="K870" s="152">
        <f>IFERROR(VALUE(SUBSTITUTE(INDEX('04A_국토부원자료'!$A:$T,ROW()+1,MATCH("건축년도",'04A_국토부원자료'!$A$4:$T$4,0)),",","")),"")</f>
        <v/>
      </c>
      <c r="L870" s="176">
        <f>IFERROR(INDEX('04A_국토부원자료'!$A:$T,ROW()+1,MATCH("도로명",'04A_국토부원자료'!$A$4:$T$4,0)),"")</f>
        <v/>
      </c>
      <c r="M870" s="48">
        <f>IFERROR(INDEX('04A_국토부원자료'!$A:$T,ROW()+1,MATCH("거래유형",'04A_국토부원자료'!$A$4:$T$4,0)),"")</f>
        <v/>
      </c>
      <c r="N870" s="152">
        <f>IF(B870="","",IF('02_대상물건입력'!B5="",1,IF(ISNUMBER(SEARCH('02_대상물건입력'!B5,B870)),1,0)))</f>
        <v/>
      </c>
      <c r="O870" s="152">
        <f>IF(B870="","",IF('02_대상물건입력'!B6="",1,IF(ISNUMBER(SEARCH('02_대상물건입력'!B6,B870)),1,0)))</f>
        <v/>
      </c>
      <c r="P870" s="152">
        <f>IF(L870="","",IF('02_대상물건입력'!B15="",0,IF(ISNUMBER(SEARCH('02_대상물건입력'!B15,L870)),1,0)))</f>
        <v/>
      </c>
      <c r="Q870" s="152">
        <f>IF(OR(C870="",L870=""),0,IF(AND(TRIM(C870)=TRIM(RIGHT(SUBSTITUTE(TRIM('02_대상물건입력'!$B$7)," ",REPT(" ",99)),99)),IF('02_대상물건입력'!B15="",TRUE(),ISNUMBER(SEARCH('02_대상물건입력'!B15,L870)))),1,0))</f>
        <v/>
      </c>
      <c r="R870" s="175">
        <f>IFERROR(ABS(E870-'02_대상물건입력'!B11)/'02_대상물건입력'!B11,"")</f>
        <v/>
      </c>
      <c r="S870" s="152">
        <f>IFERROR(ABS(J870-'02_대상물건입력'!B10),"")</f>
        <v/>
      </c>
      <c r="T870" s="152">
        <f>IFERROR(ABS('01_설정'!B4-F870),"")</f>
        <v/>
      </c>
      <c r="U870" s="152">
        <f>IFERROR(ABS(K870-YEAR('02_대상물건입력'!B14)),"")</f>
        <v/>
      </c>
      <c r="V870" s="152">
        <f>IF(B870="","",IF(AND(E870&gt;0,F870&gt;0,H870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870=1,TRUE()),R870&lt;='01_설정'!B5,S870&lt;='01_설정'!B6,T870&lt;='01_설정'!B7,U870&lt;='01_설정'!B8),"Y",""))</f>
        <v/>
      </c>
      <c r="W870" s="172">
        <f>IF(V870&lt;&gt;"Y","",MAX(0,(1-R870/'01_설정'!B5))*'01_설정'!B14+MAX(0,(1-S870/'01_설정'!B6))*'01_설정'!B15+MAX(0,(1-T870/'01_설정'!B7))*'01_설정'!B16+MAX(0,(1-U870/'01_설정'!B8))*'01_설정'!B17+O870*'01_설정'!B11+Q870*'01_설정'!B12+P870*'01_설정'!B13+IF(Z870="",0,Z870))</f>
        <v/>
      </c>
      <c r="X870" s="152">
        <f>IF(W870="","",1+COUNTIFS($W$4:$W$3003,"&gt;"&amp;W870)+COUNTIFS($W$4:W870,W870)-1)</f>
        <v/>
      </c>
      <c r="Y870" s="175">
        <f>IF(OR(I870="",'02_대상물건입력'!B19="",'02_대상물건입력'!B19&lt;=0),"",ABS(I870-'02_대상물건입력'!B19)/'02_대상물건입력'!B19)</f>
        <v/>
      </c>
      <c r="Z870" s="172">
        <f>IF(OR(Y870="",'01_설정'!B31="",'01_설정'!B31&lt;=0,'01_설정'!B32="",'01_설정'!B32&lt;=0),"",MAX(0,(1-Y870/'01_설정'!B32))*'01_설정'!B31)</f>
        <v/>
      </c>
    </row>
    <row r="871" ht="17.25" customHeight="1">
      <c r="A871" s="152">
        <f>IF(INDEX('04A_국토부원자료'!$A:$A,ROW()+1)="","",ROW()-3)</f>
        <v/>
      </c>
      <c r="B871" s="48">
        <f>IFERROR(INDEX('04A_국토부원자료'!$A:$T,ROW()+1,MATCH("시군구",'04A_국토부원자료'!$A$4:$T$4,0)),"")</f>
        <v/>
      </c>
      <c r="C871" s="48">
        <f>IF(B871="","",IFERROR(INDEX('04A_국토부원자료'!$A:$T,ROW()+1,MATCH("번지",'04A_국토부원자료'!$A$4:$T$4,0)),""))</f>
        <v/>
      </c>
      <c r="D871" s="48">
        <f>IF(B871="","",IF(Q871=1,'02_대상물건입력'!$B$8,IFERROR(INDEX('04A_국토부원자료'!$A:$T,ROW()+1,MATCH("단지명",'04A_국토부원자료'!$A$4:$T$4,0)),"")))</f>
        <v/>
      </c>
      <c r="E871" s="172">
        <f>IFERROR(VALUE(SUBSTITUTE(INDEX('04A_국토부원자료'!$A:$T,ROW()+1,MATCH("전용면적(㎡)",'04A_국토부원자료'!$A$4:$T$4,0)),",","")),"")</f>
        <v/>
      </c>
      <c r="F8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71" s="51">
        <f>IFERROR(VALUE(SUBSTITUTE(INDEX('04A_국토부원자료'!$A:$T,ROW()+1,MATCH("거래금액(만원)",'04A_국토부원자료'!$A$4:$T$4,0)),",","")),"")</f>
        <v/>
      </c>
      <c r="H871" s="174">
        <f>IF(G871="","",G871*10000)</f>
        <v/>
      </c>
      <c r="I871" s="174">
        <f>IFERROR(IF(AND(H871&gt;0,E871&gt;0),H871/E871,""),"")</f>
        <v/>
      </c>
      <c r="J871" s="152">
        <f>IFERROR(VALUE(SUBSTITUTE(INDEX('04A_국토부원자료'!$A:$T,ROW()+1,MATCH("층",'04A_국토부원자료'!$A$4:$T$4,0)),",","")),"")</f>
        <v/>
      </c>
      <c r="K871" s="152">
        <f>IFERROR(VALUE(SUBSTITUTE(INDEX('04A_국토부원자료'!$A:$T,ROW()+1,MATCH("건축년도",'04A_국토부원자료'!$A$4:$T$4,0)),",","")),"")</f>
        <v/>
      </c>
      <c r="L871" s="176">
        <f>IFERROR(INDEX('04A_국토부원자료'!$A:$T,ROW()+1,MATCH("도로명",'04A_국토부원자료'!$A$4:$T$4,0)),"")</f>
        <v/>
      </c>
      <c r="M871" s="48">
        <f>IFERROR(INDEX('04A_국토부원자료'!$A:$T,ROW()+1,MATCH("거래유형",'04A_국토부원자료'!$A$4:$T$4,0)),"")</f>
        <v/>
      </c>
      <c r="N871" s="152">
        <f>IF(B871="","",IF('02_대상물건입력'!B5="",1,IF(ISNUMBER(SEARCH('02_대상물건입력'!B5,B871)),1,0)))</f>
        <v/>
      </c>
      <c r="O871" s="152">
        <f>IF(B871="","",IF('02_대상물건입력'!B6="",1,IF(ISNUMBER(SEARCH('02_대상물건입력'!B6,B871)),1,0)))</f>
        <v/>
      </c>
      <c r="P871" s="152">
        <f>IF(L871="","",IF('02_대상물건입력'!B15="",0,IF(ISNUMBER(SEARCH('02_대상물건입력'!B15,L871)),1,0)))</f>
        <v/>
      </c>
      <c r="Q871" s="152">
        <f>IF(OR(C871="",L871=""),0,IF(AND(TRIM(C871)=TRIM(RIGHT(SUBSTITUTE(TRIM('02_대상물건입력'!$B$7)," ",REPT(" ",99)),99)),IF('02_대상물건입력'!B15="",TRUE(),ISNUMBER(SEARCH('02_대상물건입력'!B15,L871)))),1,0))</f>
        <v/>
      </c>
      <c r="R871" s="175">
        <f>IFERROR(ABS(E871-'02_대상물건입력'!B11)/'02_대상물건입력'!B11,"")</f>
        <v/>
      </c>
      <c r="S871" s="152">
        <f>IFERROR(ABS(J871-'02_대상물건입력'!B10),"")</f>
        <v/>
      </c>
      <c r="T871" s="152">
        <f>IFERROR(ABS('01_설정'!B4-F871),"")</f>
        <v/>
      </c>
      <c r="U871" s="152">
        <f>IFERROR(ABS(K871-YEAR('02_대상물건입력'!B14)),"")</f>
        <v/>
      </c>
      <c r="V871" s="152">
        <f>IF(B871="","",IF(AND(E871&gt;0,F871&gt;0,H871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871=1,TRUE()),R871&lt;='01_설정'!B5,S871&lt;='01_설정'!B6,T871&lt;='01_설정'!B7,U871&lt;='01_설정'!B8),"Y",""))</f>
        <v/>
      </c>
      <c r="W871" s="172">
        <f>IF(V871&lt;&gt;"Y","",MAX(0,(1-R871/'01_설정'!B5))*'01_설정'!B14+MAX(0,(1-S871/'01_설정'!B6))*'01_설정'!B15+MAX(0,(1-T871/'01_설정'!B7))*'01_설정'!B16+MAX(0,(1-U871/'01_설정'!B8))*'01_설정'!B17+O871*'01_설정'!B11+Q871*'01_설정'!B12+P871*'01_설정'!B13+IF(Z871="",0,Z871))</f>
        <v/>
      </c>
      <c r="X871" s="152">
        <f>IF(W871="","",1+COUNTIFS($W$4:$W$3003,"&gt;"&amp;W871)+COUNTIFS($W$4:W871,W871)-1)</f>
        <v/>
      </c>
      <c r="Y871" s="175">
        <f>IF(OR(I871="",'02_대상물건입력'!B19="",'02_대상물건입력'!B19&lt;=0),"",ABS(I871-'02_대상물건입력'!B19)/'02_대상물건입력'!B19)</f>
        <v/>
      </c>
      <c r="Z871" s="172">
        <f>IF(OR(Y871="",'01_설정'!B31="",'01_설정'!B31&lt;=0,'01_설정'!B32="",'01_설정'!B32&lt;=0),"",MAX(0,(1-Y871/'01_설정'!B32))*'01_설정'!B31)</f>
        <v/>
      </c>
    </row>
    <row r="872" ht="17.25" customHeight="1">
      <c r="A872" s="152">
        <f>IF(INDEX('04A_국토부원자료'!$A:$A,ROW()+1)="","",ROW()-3)</f>
        <v/>
      </c>
      <c r="B872" s="48">
        <f>IFERROR(INDEX('04A_국토부원자료'!$A:$T,ROW()+1,MATCH("시군구",'04A_국토부원자료'!$A$4:$T$4,0)),"")</f>
        <v/>
      </c>
      <c r="C872" s="48">
        <f>IF(B872="","",IFERROR(INDEX('04A_국토부원자료'!$A:$T,ROW()+1,MATCH("번지",'04A_국토부원자료'!$A$4:$T$4,0)),""))</f>
        <v/>
      </c>
      <c r="D872" s="48">
        <f>IF(B872="","",IF(Q872=1,'02_대상물건입력'!$B$8,IFERROR(INDEX('04A_국토부원자료'!$A:$T,ROW()+1,MATCH("단지명",'04A_국토부원자료'!$A$4:$T$4,0)),"")))</f>
        <v/>
      </c>
      <c r="E872" s="172">
        <f>IFERROR(VALUE(SUBSTITUTE(INDEX('04A_국토부원자료'!$A:$T,ROW()+1,MATCH("전용면적(㎡)",'04A_국토부원자료'!$A$4:$T$4,0)),",","")),"")</f>
        <v/>
      </c>
      <c r="F8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72" s="51">
        <f>IFERROR(VALUE(SUBSTITUTE(INDEX('04A_국토부원자료'!$A:$T,ROW()+1,MATCH("거래금액(만원)",'04A_국토부원자료'!$A$4:$T$4,0)),",","")),"")</f>
        <v/>
      </c>
      <c r="H872" s="174">
        <f>IF(G872="","",G872*10000)</f>
        <v/>
      </c>
      <c r="I872" s="174">
        <f>IFERROR(IF(AND(H872&gt;0,E872&gt;0),H872/E872,""),"")</f>
        <v/>
      </c>
      <c r="J872" s="152">
        <f>IFERROR(VALUE(SUBSTITUTE(INDEX('04A_국토부원자료'!$A:$T,ROW()+1,MATCH("층",'04A_국토부원자료'!$A$4:$T$4,0)),",","")),"")</f>
        <v/>
      </c>
      <c r="K872" s="152">
        <f>IFERROR(VALUE(SUBSTITUTE(INDEX('04A_국토부원자료'!$A:$T,ROW()+1,MATCH("건축년도",'04A_국토부원자료'!$A$4:$T$4,0)),",","")),"")</f>
        <v/>
      </c>
      <c r="L872" s="176">
        <f>IFERROR(INDEX('04A_국토부원자료'!$A:$T,ROW()+1,MATCH("도로명",'04A_국토부원자료'!$A$4:$T$4,0)),"")</f>
        <v/>
      </c>
      <c r="M872" s="48">
        <f>IFERROR(INDEX('04A_국토부원자료'!$A:$T,ROW()+1,MATCH("거래유형",'04A_국토부원자료'!$A$4:$T$4,0)),"")</f>
        <v/>
      </c>
      <c r="N872" s="152">
        <f>IF(B872="","",IF('02_대상물건입력'!B5="",1,IF(ISNUMBER(SEARCH('02_대상물건입력'!B5,B872)),1,0)))</f>
        <v/>
      </c>
      <c r="O872" s="152">
        <f>IF(B872="","",IF('02_대상물건입력'!B6="",1,IF(ISNUMBER(SEARCH('02_대상물건입력'!B6,B872)),1,0)))</f>
        <v/>
      </c>
      <c r="P872" s="152">
        <f>IF(L872="","",IF('02_대상물건입력'!B15="",0,IF(ISNUMBER(SEARCH('02_대상물건입력'!B15,L872)),1,0)))</f>
        <v/>
      </c>
      <c r="Q872" s="152">
        <f>IF(OR(C872="",L872=""),0,IF(AND(TRIM(C872)=TRIM(RIGHT(SUBSTITUTE(TRIM('02_대상물건입력'!$B$7)," ",REPT(" ",99)),99)),IF('02_대상물건입력'!B15="",TRUE(),ISNUMBER(SEARCH('02_대상물건입력'!B15,L872)))),1,0))</f>
        <v/>
      </c>
      <c r="R872" s="175">
        <f>IFERROR(ABS(E872-'02_대상물건입력'!B11)/'02_대상물건입력'!B11,"")</f>
        <v/>
      </c>
      <c r="S872" s="152">
        <f>IFERROR(ABS(J872-'02_대상물건입력'!B10),"")</f>
        <v/>
      </c>
      <c r="T872" s="152">
        <f>IFERROR(ABS('01_설정'!B4-F872),"")</f>
        <v/>
      </c>
      <c r="U872" s="152">
        <f>IFERROR(ABS(K872-YEAR('02_대상물건입력'!B14)),"")</f>
        <v/>
      </c>
      <c r="V872" s="152">
        <f>IF(B872="","",IF(AND(E872&gt;0,F872&gt;0,H872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872=1,TRUE()),R872&lt;='01_설정'!B5,S872&lt;='01_설정'!B6,T872&lt;='01_설정'!B7,U872&lt;='01_설정'!B8),"Y",""))</f>
        <v/>
      </c>
      <c r="W872" s="172">
        <f>IF(V872&lt;&gt;"Y","",MAX(0,(1-R872/'01_설정'!B5))*'01_설정'!B14+MAX(0,(1-S872/'01_설정'!B6))*'01_설정'!B15+MAX(0,(1-T872/'01_설정'!B7))*'01_설정'!B16+MAX(0,(1-U872/'01_설정'!B8))*'01_설정'!B17+O872*'01_설정'!B11+Q872*'01_설정'!B12+P872*'01_설정'!B13+IF(Z872="",0,Z872))</f>
        <v/>
      </c>
      <c r="X872" s="152">
        <f>IF(W872="","",1+COUNTIFS($W$4:$W$3003,"&gt;"&amp;W872)+COUNTIFS($W$4:W872,W872)-1)</f>
        <v/>
      </c>
      <c r="Y872" s="175">
        <f>IF(OR(I872="",'02_대상물건입력'!B19="",'02_대상물건입력'!B19&lt;=0),"",ABS(I872-'02_대상물건입력'!B19)/'02_대상물건입력'!B19)</f>
        <v/>
      </c>
      <c r="Z872" s="172">
        <f>IF(OR(Y872="",'01_설정'!B31="",'01_설정'!B31&lt;=0,'01_설정'!B32="",'01_설정'!B32&lt;=0),"",MAX(0,(1-Y872/'01_설정'!B32))*'01_설정'!B31)</f>
        <v/>
      </c>
    </row>
    <row r="873" ht="17.25" customHeight="1">
      <c r="A873" s="152">
        <f>IF(INDEX('04A_국토부원자료'!$A:$A,ROW()+1)="","",ROW()-3)</f>
        <v/>
      </c>
      <c r="B873" s="48">
        <f>IFERROR(INDEX('04A_국토부원자료'!$A:$T,ROW()+1,MATCH("시군구",'04A_국토부원자료'!$A$4:$T$4,0)),"")</f>
        <v/>
      </c>
      <c r="C873" s="48">
        <f>IF(B873="","",IFERROR(INDEX('04A_국토부원자료'!$A:$T,ROW()+1,MATCH("번지",'04A_국토부원자료'!$A$4:$T$4,0)),""))</f>
        <v/>
      </c>
      <c r="D873" s="48">
        <f>IF(B873="","",IF(Q873=1,'02_대상물건입력'!$B$8,IFERROR(INDEX('04A_국토부원자료'!$A:$T,ROW()+1,MATCH("단지명",'04A_국토부원자료'!$A$4:$T$4,0)),"")))</f>
        <v/>
      </c>
      <c r="E873" s="172">
        <f>IFERROR(VALUE(SUBSTITUTE(INDEX('04A_국토부원자료'!$A:$T,ROW()+1,MATCH("전용면적(㎡)",'04A_국토부원자료'!$A$4:$T$4,0)),",","")),"")</f>
        <v/>
      </c>
      <c r="F8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73" s="51">
        <f>IFERROR(VALUE(SUBSTITUTE(INDEX('04A_국토부원자료'!$A:$T,ROW()+1,MATCH("거래금액(만원)",'04A_국토부원자료'!$A$4:$T$4,0)),",","")),"")</f>
        <v/>
      </c>
      <c r="H873" s="174">
        <f>IF(G873="","",G873*10000)</f>
        <v/>
      </c>
      <c r="I873" s="174">
        <f>IFERROR(IF(AND(H873&gt;0,E873&gt;0),H873/E873,""),"")</f>
        <v/>
      </c>
      <c r="J873" s="152">
        <f>IFERROR(VALUE(SUBSTITUTE(INDEX('04A_국토부원자료'!$A:$T,ROW()+1,MATCH("층",'04A_국토부원자료'!$A$4:$T$4,0)),",","")),"")</f>
        <v/>
      </c>
      <c r="K873" s="152">
        <f>IFERROR(VALUE(SUBSTITUTE(INDEX('04A_국토부원자료'!$A:$T,ROW()+1,MATCH("건축년도",'04A_국토부원자료'!$A$4:$T$4,0)),",","")),"")</f>
        <v/>
      </c>
      <c r="L873" s="176">
        <f>IFERROR(INDEX('04A_국토부원자료'!$A:$T,ROW()+1,MATCH("도로명",'04A_국토부원자료'!$A$4:$T$4,0)),"")</f>
        <v/>
      </c>
      <c r="M873" s="48">
        <f>IFERROR(INDEX('04A_국토부원자료'!$A:$T,ROW()+1,MATCH("거래유형",'04A_국토부원자료'!$A$4:$T$4,0)),"")</f>
        <v/>
      </c>
      <c r="N873" s="152">
        <f>IF(B873="","",IF('02_대상물건입력'!B5="",1,IF(ISNUMBER(SEARCH('02_대상물건입력'!B5,B873)),1,0)))</f>
        <v/>
      </c>
      <c r="O873" s="152">
        <f>IF(B873="","",IF('02_대상물건입력'!B6="",1,IF(ISNUMBER(SEARCH('02_대상물건입력'!B6,B873)),1,0)))</f>
        <v/>
      </c>
      <c r="P873" s="152">
        <f>IF(L873="","",IF('02_대상물건입력'!B15="",0,IF(ISNUMBER(SEARCH('02_대상물건입력'!B15,L873)),1,0)))</f>
        <v/>
      </c>
      <c r="Q873" s="152">
        <f>IF(OR(C873="",L873=""),0,IF(AND(TRIM(C873)=TRIM(RIGHT(SUBSTITUTE(TRIM('02_대상물건입력'!$B$7)," ",REPT(" ",99)),99)),IF('02_대상물건입력'!B15="",TRUE(),ISNUMBER(SEARCH('02_대상물건입력'!B15,L873)))),1,0))</f>
        <v/>
      </c>
      <c r="R873" s="175">
        <f>IFERROR(ABS(E873-'02_대상물건입력'!B11)/'02_대상물건입력'!B11,"")</f>
        <v/>
      </c>
      <c r="S873" s="152">
        <f>IFERROR(ABS(J873-'02_대상물건입력'!B10),"")</f>
        <v/>
      </c>
      <c r="T873" s="152">
        <f>IFERROR(ABS('01_설정'!B4-F873),"")</f>
        <v/>
      </c>
      <c r="U873" s="152">
        <f>IFERROR(ABS(K873-YEAR('02_대상물건입력'!B14)),"")</f>
        <v/>
      </c>
      <c r="V873" s="152">
        <f>IF(B873="","",IF(AND(E873&gt;0,F873&gt;0,H873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873=1,TRUE()),R873&lt;='01_설정'!B5,S873&lt;='01_설정'!B6,T873&lt;='01_설정'!B7,U873&lt;='01_설정'!B8),"Y",""))</f>
        <v/>
      </c>
      <c r="W873" s="172">
        <f>IF(V873&lt;&gt;"Y","",MAX(0,(1-R873/'01_설정'!B5))*'01_설정'!B14+MAX(0,(1-S873/'01_설정'!B6))*'01_설정'!B15+MAX(0,(1-T873/'01_설정'!B7))*'01_설정'!B16+MAX(0,(1-U873/'01_설정'!B8))*'01_설정'!B17+O873*'01_설정'!B11+Q873*'01_설정'!B12+P873*'01_설정'!B13+IF(Z873="",0,Z873))</f>
        <v/>
      </c>
      <c r="X873" s="152">
        <f>IF(W873="","",1+COUNTIFS($W$4:$W$3003,"&gt;"&amp;W873)+COUNTIFS($W$4:W873,W873)-1)</f>
        <v/>
      </c>
      <c r="Y873" s="175">
        <f>IF(OR(I873="",'02_대상물건입력'!B19="",'02_대상물건입력'!B19&lt;=0),"",ABS(I873-'02_대상물건입력'!B19)/'02_대상물건입력'!B19)</f>
        <v/>
      </c>
      <c r="Z873" s="172">
        <f>IF(OR(Y873="",'01_설정'!B31="",'01_설정'!B31&lt;=0,'01_설정'!B32="",'01_설정'!B32&lt;=0),"",MAX(0,(1-Y873/'01_설정'!B32))*'01_설정'!B31)</f>
        <v/>
      </c>
    </row>
    <row r="874" ht="17.25" customHeight="1">
      <c r="A874" s="152">
        <f>IF(INDEX('04A_국토부원자료'!$A:$A,ROW()+1)="","",ROW()-3)</f>
        <v/>
      </c>
      <c r="B874" s="48">
        <f>IFERROR(INDEX('04A_국토부원자료'!$A:$T,ROW()+1,MATCH("시군구",'04A_국토부원자료'!$A$4:$T$4,0)),"")</f>
        <v/>
      </c>
      <c r="C874" s="48">
        <f>IF(B874="","",IFERROR(INDEX('04A_국토부원자료'!$A:$T,ROW()+1,MATCH("번지",'04A_국토부원자료'!$A$4:$T$4,0)),""))</f>
        <v/>
      </c>
      <c r="D874" s="48">
        <f>IF(B874="","",IF(Q874=1,'02_대상물건입력'!$B$8,IFERROR(INDEX('04A_국토부원자료'!$A:$T,ROW()+1,MATCH("단지명",'04A_국토부원자료'!$A$4:$T$4,0)),"")))</f>
        <v/>
      </c>
      <c r="E874" s="172">
        <f>IFERROR(VALUE(SUBSTITUTE(INDEX('04A_국토부원자료'!$A:$T,ROW()+1,MATCH("전용면적(㎡)",'04A_국토부원자료'!$A$4:$T$4,0)),",","")),"")</f>
        <v/>
      </c>
      <c r="F8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74" s="51">
        <f>IFERROR(VALUE(SUBSTITUTE(INDEX('04A_국토부원자료'!$A:$T,ROW()+1,MATCH("거래금액(만원)",'04A_국토부원자료'!$A$4:$T$4,0)),",","")),"")</f>
        <v/>
      </c>
      <c r="H874" s="174">
        <f>IF(G874="","",G874*10000)</f>
        <v/>
      </c>
      <c r="I874" s="174">
        <f>IFERROR(IF(AND(H874&gt;0,E874&gt;0),H874/E874,""),"")</f>
        <v/>
      </c>
      <c r="J874" s="152">
        <f>IFERROR(VALUE(SUBSTITUTE(INDEX('04A_국토부원자료'!$A:$T,ROW()+1,MATCH("층",'04A_국토부원자료'!$A$4:$T$4,0)),",","")),"")</f>
        <v/>
      </c>
      <c r="K874" s="152">
        <f>IFERROR(VALUE(SUBSTITUTE(INDEX('04A_국토부원자료'!$A:$T,ROW()+1,MATCH("건축년도",'04A_국토부원자료'!$A$4:$T$4,0)),",","")),"")</f>
        <v/>
      </c>
      <c r="L874" s="176">
        <f>IFERROR(INDEX('04A_국토부원자료'!$A:$T,ROW()+1,MATCH("도로명",'04A_국토부원자료'!$A$4:$T$4,0)),"")</f>
        <v/>
      </c>
      <c r="M874" s="48">
        <f>IFERROR(INDEX('04A_국토부원자료'!$A:$T,ROW()+1,MATCH("거래유형",'04A_국토부원자료'!$A$4:$T$4,0)),"")</f>
        <v/>
      </c>
      <c r="N874" s="152">
        <f>IF(B874="","",IF('02_대상물건입력'!B5="",1,IF(ISNUMBER(SEARCH('02_대상물건입력'!B5,B874)),1,0)))</f>
        <v/>
      </c>
      <c r="O874" s="152">
        <f>IF(B874="","",IF('02_대상물건입력'!B6="",1,IF(ISNUMBER(SEARCH('02_대상물건입력'!B6,B874)),1,0)))</f>
        <v/>
      </c>
      <c r="P874" s="152">
        <f>IF(L874="","",IF('02_대상물건입력'!B15="",0,IF(ISNUMBER(SEARCH('02_대상물건입력'!B15,L874)),1,0)))</f>
        <v/>
      </c>
      <c r="Q874" s="152">
        <f>IF(OR(C874="",L874=""),0,IF(AND(TRIM(C874)=TRIM(RIGHT(SUBSTITUTE(TRIM('02_대상물건입력'!$B$7)," ",REPT(" ",99)),99)),IF('02_대상물건입력'!B15="",TRUE(),ISNUMBER(SEARCH('02_대상물건입력'!B15,L874)))),1,0))</f>
        <v/>
      </c>
      <c r="R874" s="175">
        <f>IFERROR(ABS(E874-'02_대상물건입력'!B11)/'02_대상물건입력'!B11,"")</f>
        <v/>
      </c>
      <c r="S874" s="152">
        <f>IFERROR(ABS(J874-'02_대상물건입력'!B10),"")</f>
        <v/>
      </c>
      <c r="T874" s="152">
        <f>IFERROR(ABS('01_설정'!B4-F874),"")</f>
        <v/>
      </c>
      <c r="U874" s="152">
        <f>IFERROR(ABS(K874-YEAR('02_대상물건입력'!B14)),"")</f>
        <v/>
      </c>
      <c r="V874" s="152">
        <f>IF(B874="","",IF(AND(E874&gt;0,F874&gt;0,H874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874=1,TRUE()),R874&lt;='01_설정'!B5,S874&lt;='01_설정'!B6,T874&lt;='01_설정'!B7,U874&lt;='01_설정'!B8),"Y",""))</f>
        <v/>
      </c>
      <c r="W874" s="172">
        <f>IF(V874&lt;&gt;"Y","",MAX(0,(1-R874/'01_설정'!B5))*'01_설정'!B14+MAX(0,(1-S874/'01_설정'!B6))*'01_설정'!B15+MAX(0,(1-T874/'01_설정'!B7))*'01_설정'!B16+MAX(0,(1-U874/'01_설정'!B8))*'01_설정'!B17+O874*'01_설정'!B11+Q874*'01_설정'!B12+P874*'01_설정'!B13+IF(Z874="",0,Z874))</f>
        <v/>
      </c>
      <c r="X874" s="152">
        <f>IF(W874="","",1+COUNTIFS($W$4:$W$3003,"&gt;"&amp;W874)+COUNTIFS($W$4:W874,W874)-1)</f>
        <v/>
      </c>
      <c r="Y874" s="175">
        <f>IF(OR(I874="",'02_대상물건입력'!B19="",'02_대상물건입력'!B19&lt;=0),"",ABS(I874-'02_대상물건입력'!B19)/'02_대상물건입력'!B19)</f>
        <v/>
      </c>
      <c r="Z874" s="172">
        <f>IF(OR(Y874="",'01_설정'!B31="",'01_설정'!B31&lt;=0,'01_설정'!B32="",'01_설정'!B32&lt;=0),"",MAX(0,(1-Y874/'01_설정'!B32))*'01_설정'!B31)</f>
        <v/>
      </c>
    </row>
    <row r="875" ht="17.25" customHeight="1">
      <c r="A875" s="152">
        <f>IF(INDEX('04A_국토부원자료'!$A:$A,ROW()+1)="","",ROW()-3)</f>
        <v/>
      </c>
      <c r="B875" s="48">
        <f>IFERROR(INDEX('04A_국토부원자료'!$A:$T,ROW()+1,MATCH("시군구",'04A_국토부원자료'!$A$4:$T$4,0)),"")</f>
        <v/>
      </c>
      <c r="C875" s="48">
        <f>IF(B875="","",IFERROR(INDEX('04A_국토부원자료'!$A:$T,ROW()+1,MATCH("번지",'04A_국토부원자료'!$A$4:$T$4,0)),""))</f>
        <v/>
      </c>
      <c r="D875" s="48">
        <f>IF(B875="","",IF(Q875=1,'02_대상물건입력'!$B$8,IFERROR(INDEX('04A_국토부원자료'!$A:$T,ROW()+1,MATCH("단지명",'04A_국토부원자료'!$A$4:$T$4,0)),"")))</f>
        <v/>
      </c>
      <c r="E875" s="172">
        <f>IFERROR(VALUE(SUBSTITUTE(INDEX('04A_국토부원자료'!$A:$T,ROW()+1,MATCH("전용면적(㎡)",'04A_국토부원자료'!$A$4:$T$4,0)),",","")),"")</f>
        <v/>
      </c>
      <c r="F8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75" s="51">
        <f>IFERROR(VALUE(SUBSTITUTE(INDEX('04A_국토부원자료'!$A:$T,ROW()+1,MATCH("거래금액(만원)",'04A_국토부원자료'!$A$4:$T$4,0)),",","")),"")</f>
        <v/>
      </c>
      <c r="H875" s="174">
        <f>IF(G875="","",G875*10000)</f>
        <v/>
      </c>
      <c r="I875" s="174">
        <f>IFERROR(IF(AND(H875&gt;0,E875&gt;0),H875/E875,""),"")</f>
        <v/>
      </c>
      <c r="J875" s="152">
        <f>IFERROR(VALUE(SUBSTITUTE(INDEX('04A_국토부원자료'!$A:$T,ROW()+1,MATCH("층",'04A_국토부원자료'!$A$4:$T$4,0)),",","")),"")</f>
        <v/>
      </c>
      <c r="K875" s="152">
        <f>IFERROR(VALUE(SUBSTITUTE(INDEX('04A_국토부원자료'!$A:$T,ROW()+1,MATCH("건축년도",'04A_국토부원자료'!$A$4:$T$4,0)),",","")),"")</f>
        <v/>
      </c>
      <c r="L875" s="176">
        <f>IFERROR(INDEX('04A_국토부원자료'!$A:$T,ROW()+1,MATCH("도로명",'04A_국토부원자료'!$A$4:$T$4,0)),"")</f>
        <v/>
      </c>
      <c r="M875" s="48">
        <f>IFERROR(INDEX('04A_국토부원자료'!$A:$T,ROW()+1,MATCH("거래유형",'04A_국토부원자료'!$A$4:$T$4,0)),"")</f>
        <v/>
      </c>
      <c r="N875" s="152">
        <f>IF(B875="","",IF('02_대상물건입력'!B5="",1,IF(ISNUMBER(SEARCH('02_대상물건입력'!B5,B875)),1,0)))</f>
        <v/>
      </c>
      <c r="O875" s="152">
        <f>IF(B875="","",IF('02_대상물건입력'!B6="",1,IF(ISNUMBER(SEARCH('02_대상물건입력'!B6,B875)),1,0)))</f>
        <v/>
      </c>
      <c r="P875" s="152">
        <f>IF(L875="","",IF('02_대상물건입력'!B15="",0,IF(ISNUMBER(SEARCH('02_대상물건입력'!B15,L875)),1,0)))</f>
        <v/>
      </c>
      <c r="Q875" s="152">
        <f>IF(OR(C875="",L875=""),0,IF(AND(TRIM(C875)=TRIM(RIGHT(SUBSTITUTE(TRIM('02_대상물건입력'!$B$7)," ",REPT(" ",99)),99)),IF('02_대상물건입력'!B15="",TRUE(),ISNUMBER(SEARCH('02_대상물건입력'!B15,L875)))),1,0))</f>
        <v/>
      </c>
      <c r="R875" s="175">
        <f>IFERROR(ABS(E875-'02_대상물건입력'!B11)/'02_대상물건입력'!B11,"")</f>
        <v/>
      </c>
      <c r="S875" s="152">
        <f>IFERROR(ABS(J875-'02_대상물건입력'!B10),"")</f>
        <v/>
      </c>
      <c r="T875" s="152">
        <f>IFERROR(ABS('01_설정'!B4-F875),"")</f>
        <v/>
      </c>
      <c r="U875" s="152">
        <f>IFERROR(ABS(K875-YEAR('02_대상물건입력'!B14)),"")</f>
        <v/>
      </c>
      <c r="V875" s="152">
        <f>IF(B875="","",IF(AND(E875&gt;0,F875&gt;0,H875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875=1,TRUE()),R875&lt;='01_설정'!B5,S875&lt;='01_설정'!B6,T875&lt;='01_설정'!B7,U875&lt;='01_설정'!B8),"Y",""))</f>
        <v/>
      </c>
      <c r="W875" s="172">
        <f>IF(V875&lt;&gt;"Y","",MAX(0,(1-R875/'01_설정'!B5))*'01_설정'!B14+MAX(0,(1-S875/'01_설정'!B6))*'01_설정'!B15+MAX(0,(1-T875/'01_설정'!B7))*'01_설정'!B16+MAX(0,(1-U875/'01_설정'!B8))*'01_설정'!B17+O875*'01_설정'!B11+Q875*'01_설정'!B12+P875*'01_설정'!B13+IF(Z875="",0,Z875))</f>
        <v/>
      </c>
      <c r="X875" s="152">
        <f>IF(W875="","",1+COUNTIFS($W$4:$W$3003,"&gt;"&amp;W875)+COUNTIFS($W$4:W875,W875)-1)</f>
        <v/>
      </c>
      <c r="Y875" s="175">
        <f>IF(OR(I875="",'02_대상물건입력'!B19="",'02_대상물건입력'!B19&lt;=0),"",ABS(I875-'02_대상물건입력'!B19)/'02_대상물건입력'!B19)</f>
        <v/>
      </c>
      <c r="Z875" s="172">
        <f>IF(OR(Y875="",'01_설정'!B31="",'01_설정'!B31&lt;=0,'01_설정'!B32="",'01_설정'!B32&lt;=0),"",MAX(0,(1-Y875/'01_설정'!B32))*'01_설정'!B31)</f>
        <v/>
      </c>
    </row>
    <row r="876" ht="17.25" customHeight="1">
      <c r="A876" s="152">
        <f>IF(INDEX('04A_국토부원자료'!$A:$A,ROW()+1)="","",ROW()-3)</f>
        <v/>
      </c>
      <c r="B876" s="48">
        <f>IFERROR(INDEX('04A_국토부원자료'!$A:$T,ROW()+1,MATCH("시군구",'04A_국토부원자료'!$A$4:$T$4,0)),"")</f>
        <v/>
      </c>
      <c r="C876" s="48">
        <f>IF(B876="","",IFERROR(INDEX('04A_국토부원자료'!$A:$T,ROW()+1,MATCH("번지",'04A_국토부원자료'!$A$4:$T$4,0)),""))</f>
        <v/>
      </c>
      <c r="D876" s="48">
        <f>IF(B876="","",IF(Q876=1,'02_대상물건입력'!$B$8,IFERROR(INDEX('04A_국토부원자료'!$A:$T,ROW()+1,MATCH("단지명",'04A_국토부원자료'!$A$4:$T$4,0)),"")))</f>
        <v/>
      </c>
      <c r="E876" s="172">
        <f>IFERROR(VALUE(SUBSTITUTE(INDEX('04A_국토부원자료'!$A:$T,ROW()+1,MATCH("전용면적(㎡)",'04A_국토부원자료'!$A$4:$T$4,0)),",","")),"")</f>
        <v/>
      </c>
      <c r="F8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76" s="51">
        <f>IFERROR(VALUE(SUBSTITUTE(INDEX('04A_국토부원자료'!$A:$T,ROW()+1,MATCH("거래금액(만원)",'04A_국토부원자료'!$A$4:$T$4,0)),",","")),"")</f>
        <v/>
      </c>
      <c r="H876" s="174">
        <f>IF(G876="","",G876*10000)</f>
        <v/>
      </c>
      <c r="I876" s="174">
        <f>IFERROR(IF(AND(H876&gt;0,E876&gt;0),H876/E876,""),"")</f>
        <v/>
      </c>
      <c r="J876" s="152">
        <f>IFERROR(VALUE(SUBSTITUTE(INDEX('04A_국토부원자료'!$A:$T,ROW()+1,MATCH("층",'04A_국토부원자료'!$A$4:$T$4,0)),",","")),"")</f>
        <v/>
      </c>
      <c r="K876" s="152">
        <f>IFERROR(VALUE(SUBSTITUTE(INDEX('04A_국토부원자료'!$A:$T,ROW()+1,MATCH("건축년도",'04A_국토부원자료'!$A$4:$T$4,0)),",","")),"")</f>
        <v/>
      </c>
      <c r="L876" s="176">
        <f>IFERROR(INDEX('04A_국토부원자료'!$A:$T,ROW()+1,MATCH("도로명",'04A_국토부원자료'!$A$4:$T$4,0)),"")</f>
        <v/>
      </c>
      <c r="M876" s="48">
        <f>IFERROR(INDEX('04A_국토부원자료'!$A:$T,ROW()+1,MATCH("거래유형",'04A_국토부원자료'!$A$4:$T$4,0)),"")</f>
        <v/>
      </c>
      <c r="N876" s="152">
        <f>IF(B876="","",IF('02_대상물건입력'!B5="",1,IF(ISNUMBER(SEARCH('02_대상물건입력'!B5,B876)),1,0)))</f>
        <v/>
      </c>
      <c r="O876" s="152">
        <f>IF(B876="","",IF('02_대상물건입력'!B6="",1,IF(ISNUMBER(SEARCH('02_대상물건입력'!B6,B876)),1,0)))</f>
        <v/>
      </c>
      <c r="P876" s="152">
        <f>IF(L876="","",IF('02_대상물건입력'!B15="",0,IF(ISNUMBER(SEARCH('02_대상물건입력'!B15,L876)),1,0)))</f>
        <v/>
      </c>
      <c r="Q876" s="152">
        <f>IF(OR(C876="",L876=""),0,IF(AND(TRIM(C876)=TRIM(RIGHT(SUBSTITUTE(TRIM('02_대상물건입력'!$B$7)," ",REPT(" ",99)),99)),IF('02_대상물건입력'!B15="",TRUE(),ISNUMBER(SEARCH('02_대상물건입력'!B15,L876)))),1,0))</f>
        <v/>
      </c>
      <c r="R876" s="175">
        <f>IFERROR(ABS(E876-'02_대상물건입력'!B11)/'02_대상물건입력'!B11,"")</f>
        <v/>
      </c>
      <c r="S876" s="152">
        <f>IFERROR(ABS(J876-'02_대상물건입력'!B10),"")</f>
        <v/>
      </c>
      <c r="T876" s="152">
        <f>IFERROR(ABS('01_설정'!B4-F876),"")</f>
        <v/>
      </c>
      <c r="U876" s="152">
        <f>IFERROR(ABS(K876-YEAR('02_대상물건입력'!B14)),"")</f>
        <v/>
      </c>
      <c r="V876" s="152">
        <f>IF(B876="","",IF(AND(E876&gt;0,F876&gt;0,H876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876=1,TRUE()),R876&lt;='01_설정'!B5,S876&lt;='01_설정'!B6,T876&lt;='01_설정'!B7,U876&lt;='01_설정'!B8),"Y",""))</f>
        <v/>
      </c>
      <c r="W876" s="172">
        <f>IF(V876&lt;&gt;"Y","",MAX(0,(1-R876/'01_설정'!B5))*'01_설정'!B14+MAX(0,(1-S876/'01_설정'!B6))*'01_설정'!B15+MAX(0,(1-T876/'01_설정'!B7))*'01_설정'!B16+MAX(0,(1-U876/'01_설정'!B8))*'01_설정'!B17+O876*'01_설정'!B11+Q876*'01_설정'!B12+P876*'01_설정'!B13+IF(Z876="",0,Z876))</f>
        <v/>
      </c>
      <c r="X876" s="152">
        <f>IF(W876="","",1+COUNTIFS($W$4:$W$3003,"&gt;"&amp;W876)+COUNTIFS($W$4:W876,W876)-1)</f>
        <v/>
      </c>
      <c r="Y876" s="175">
        <f>IF(OR(I876="",'02_대상물건입력'!B19="",'02_대상물건입력'!B19&lt;=0),"",ABS(I876-'02_대상물건입력'!B19)/'02_대상물건입력'!B19)</f>
        <v/>
      </c>
      <c r="Z876" s="172">
        <f>IF(OR(Y876="",'01_설정'!B31="",'01_설정'!B31&lt;=0,'01_설정'!B32="",'01_설정'!B32&lt;=0),"",MAX(0,(1-Y876/'01_설정'!B32))*'01_설정'!B31)</f>
        <v/>
      </c>
    </row>
    <row r="877" ht="17.25" customHeight="1">
      <c r="A877" s="152">
        <f>IF(INDEX('04A_국토부원자료'!$A:$A,ROW()+1)="","",ROW()-3)</f>
        <v/>
      </c>
      <c r="B877" s="48">
        <f>IFERROR(INDEX('04A_국토부원자료'!$A:$T,ROW()+1,MATCH("시군구",'04A_국토부원자료'!$A$4:$T$4,0)),"")</f>
        <v/>
      </c>
      <c r="C877" s="48">
        <f>IF(B877="","",IFERROR(INDEX('04A_국토부원자료'!$A:$T,ROW()+1,MATCH("번지",'04A_국토부원자료'!$A$4:$T$4,0)),""))</f>
        <v/>
      </c>
      <c r="D877" s="48">
        <f>IF(B877="","",IF(Q877=1,'02_대상물건입력'!$B$8,IFERROR(INDEX('04A_국토부원자료'!$A:$T,ROW()+1,MATCH("단지명",'04A_국토부원자료'!$A$4:$T$4,0)),"")))</f>
        <v/>
      </c>
      <c r="E877" s="172">
        <f>IFERROR(VALUE(SUBSTITUTE(INDEX('04A_국토부원자료'!$A:$T,ROW()+1,MATCH("전용면적(㎡)",'04A_국토부원자료'!$A$4:$T$4,0)),",","")),"")</f>
        <v/>
      </c>
      <c r="F8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77" s="51">
        <f>IFERROR(VALUE(SUBSTITUTE(INDEX('04A_국토부원자료'!$A:$T,ROW()+1,MATCH("거래금액(만원)",'04A_국토부원자료'!$A$4:$T$4,0)),",","")),"")</f>
        <v/>
      </c>
      <c r="H877" s="174">
        <f>IF(G877="","",G877*10000)</f>
        <v/>
      </c>
      <c r="I877" s="174">
        <f>IFERROR(IF(AND(H877&gt;0,E877&gt;0),H877/E877,""),"")</f>
        <v/>
      </c>
      <c r="J877" s="152">
        <f>IFERROR(VALUE(SUBSTITUTE(INDEX('04A_국토부원자료'!$A:$T,ROW()+1,MATCH("층",'04A_국토부원자료'!$A$4:$T$4,0)),",","")),"")</f>
        <v/>
      </c>
      <c r="K877" s="152">
        <f>IFERROR(VALUE(SUBSTITUTE(INDEX('04A_국토부원자료'!$A:$T,ROW()+1,MATCH("건축년도",'04A_국토부원자료'!$A$4:$T$4,0)),",","")),"")</f>
        <v/>
      </c>
      <c r="L877" s="176">
        <f>IFERROR(INDEX('04A_국토부원자료'!$A:$T,ROW()+1,MATCH("도로명",'04A_국토부원자료'!$A$4:$T$4,0)),"")</f>
        <v/>
      </c>
      <c r="M877" s="48">
        <f>IFERROR(INDEX('04A_국토부원자료'!$A:$T,ROW()+1,MATCH("거래유형",'04A_국토부원자료'!$A$4:$T$4,0)),"")</f>
        <v/>
      </c>
      <c r="N877" s="152">
        <f>IF(B877="","",IF('02_대상물건입력'!B5="",1,IF(ISNUMBER(SEARCH('02_대상물건입력'!B5,B877)),1,0)))</f>
        <v/>
      </c>
      <c r="O877" s="152">
        <f>IF(B877="","",IF('02_대상물건입력'!B6="",1,IF(ISNUMBER(SEARCH('02_대상물건입력'!B6,B877)),1,0)))</f>
        <v/>
      </c>
      <c r="P877" s="152">
        <f>IF(L877="","",IF('02_대상물건입력'!B15="",0,IF(ISNUMBER(SEARCH('02_대상물건입력'!B15,L877)),1,0)))</f>
        <v/>
      </c>
      <c r="Q877" s="152">
        <f>IF(OR(C877="",L877=""),0,IF(AND(TRIM(C877)=TRIM(RIGHT(SUBSTITUTE(TRIM('02_대상물건입력'!$B$7)," ",REPT(" ",99)),99)),IF('02_대상물건입력'!B15="",TRUE(),ISNUMBER(SEARCH('02_대상물건입력'!B15,L877)))),1,0))</f>
        <v/>
      </c>
      <c r="R877" s="175">
        <f>IFERROR(ABS(E877-'02_대상물건입력'!B11)/'02_대상물건입력'!B11,"")</f>
        <v/>
      </c>
      <c r="S877" s="152">
        <f>IFERROR(ABS(J877-'02_대상물건입력'!B10),"")</f>
        <v/>
      </c>
      <c r="T877" s="152">
        <f>IFERROR(ABS('01_설정'!B4-F877),"")</f>
        <v/>
      </c>
      <c r="U877" s="152">
        <f>IFERROR(ABS(K877-YEAR('02_대상물건입력'!B14)),"")</f>
        <v/>
      </c>
      <c r="V877" s="152">
        <f>IF(B877="","",IF(AND(E877&gt;0,F877&gt;0,H877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877=1,TRUE()),R877&lt;='01_설정'!B5,S877&lt;='01_설정'!B6,T877&lt;='01_설정'!B7,U877&lt;='01_설정'!B8),"Y",""))</f>
        <v/>
      </c>
      <c r="W877" s="172">
        <f>IF(V877&lt;&gt;"Y","",MAX(0,(1-R877/'01_설정'!B5))*'01_설정'!B14+MAX(0,(1-S877/'01_설정'!B6))*'01_설정'!B15+MAX(0,(1-T877/'01_설정'!B7))*'01_설정'!B16+MAX(0,(1-U877/'01_설정'!B8))*'01_설정'!B17+O877*'01_설정'!B11+Q877*'01_설정'!B12+P877*'01_설정'!B13+IF(Z877="",0,Z877))</f>
        <v/>
      </c>
      <c r="X877" s="152">
        <f>IF(W877="","",1+COUNTIFS($W$4:$W$3003,"&gt;"&amp;W877)+COUNTIFS($W$4:W877,W877)-1)</f>
        <v/>
      </c>
      <c r="Y877" s="175">
        <f>IF(OR(I877="",'02_대상물건입력'!B19="",'02_대상물건입력'!B19&lt;=0),"",ABS(I877-'02_대상물건입력'!B19)/'02_대상물건입력'!B19)</f>
        <v/>
      </c>
      <c r="Z877" s="172">
        <f>IF(OR(Y877="",'01_설정'!B31="",'01_설정'!B31&lt;=0,'01_설정'!B32="",'01_설정'!B32&lt;=0),"",MAX(0,(1-Y877/'01_설정'!B32))*'01_설정'!B31)</f>
        <v/>
      </c>
    </row>
    <row r="878" ht="17.25" customHeight="1">
      <c r="A878" s="152">
        <f>IF(INDEX('04A_국토부원자료'!$A:$A,ROW()+1)="","",ROW()-3)</f>
        <v/>
      </c>
      <c r="B878" s="48">
        <f>IFERROR(INDEX('04A_국토부원자료'!$A:$T,ROW()+1,MATCH("시군구",'04A_국토부원자료'!$A$4:$T$4,0)),"")</f>
        <v/>
      </c>
      <c r="C878" s="48">
        <f>IF(B878="","",IFERROR(INDEX('04A_국토부원자료'!$A:$T,ROW()+1,MATCH("번지",'04A_국토부원자료'!$A$4:$T$4,0)),""))</f>
        <v/>
      </c>
      <c r="D878" s="48">
        <f>IF(B878="","",IF(Q878=1,'02_대상물건입력'!$B$8,IFERROR(INDEX('04A_국토부원자료'!$A:$T,ROW()+1,MATCH("단지명",'04A_국토부원자료'!$A$4:$T$4,0)),"")))</f>
        <v/>
      </c>
      <c r="E878" s="172">
        <f>IFERROR(VALUE(SUBSTITUTE(INDEX('04A_국토부원자료'!$A:$T,ROW()+1,MATCH("전용면적(㎡)",'04A_국토부원자료'!$A$4:$T$4,0)),",","")),"")</f>
        <v/>
      </c>
      <c r="F8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78" s="51">
        <f>IFERROR(VALUE(SUBSTITUTE(INDEX('04A_국토부원자료'!$A:$T,ROW()+1,MATCH("거래금액(만원)",'04A_국토부원자료'!$A$4:$T$4,0)),",","")),"")</f>
        <v/>
      </c>
      <c r="H878" s="174">
        <f>IF(G878="","",G878*10000)</f>
        <v/>
      </c>
      <c r="I878" s="174">
        <f>IFERROR(IF(AND(H878&gt;0,E878&gt;0),H878/E878,""),"")</f>
        <v/>
      </c>
      <c r="J878" s="152">
        <f>IFERROR(VALUE(SUBSTITUTE(INDEX('04A_국토부원자료'!$A:$T,ROW()+1,MATCH("층",'04A_국토부원자료'!$A$4:$T$4,0)),",","")),"")</f>
        <v/>
      </c>
      <c r="K878" s="152">
        <f>IFERROR(VALUE(SUBSTITUTE(INDEX('04A_국토부원자료'!$A:$T,ROW()+1,MATCH("건축년도",'04A_국토부원자료'!$A$4:$T$4,0)),",","")),"")</f>
        <v/>
      </c>
      <c r="L878" s="176">
        <f>IFERROR(INDEX('04A_국토부원자료'!$A:$T,ROW()+1,MATCH("도로명",'04A_국토부원자료'!$A$4:$T$4,0)),"")</f>
        <v/>
      </c>
      <c r="M878" s="48">
        <f>IFERROR(INDEX('04A_국토부원자료'!$A:$T,ROW()+1,MATCH("거래유형",'04A_국토부원자료'!$A$4:$T$4,0)),"")</f>
        <v/>
      </c>
      <c r="N878" s="152">
        <f>IF(B878="","",IF('02_대상물건입력'!B5="",1,IF(ISNUMBER(SEARCH('02_대상물건입력'!B5,B878)),1,0)))</f>
        <v/>
      </c>
      <c r="O878" s="152">
        <f>IF(B878="","",IF('02_대상물건입력'!B6="",1,IF(ISNUMBER(SEARCH('02_대상물건입력'!B6,B878)),1,0)))</f>
        <v/>
      </c>
      <c r="P878" s="152">
        <f>IF(L878="","",IF('02_대상물건입력'!B15="",0,IF(ISNUMBER(SEARCH('02_대상물건입력'!B15,L878)),1,0)))</f>
        <v/>
      </c>
      <c r="Q878" s="152">
        <f>IF(OR(C878="",L878=""),0,IF(AND(TRIM(C878)=TRIM(RIGHT(SUBSTITUTE(TRIM('02_대상물건입력'!$B$7)," ",REPT(" ",99)),99)),IF('02_대상물건입력'!B15="",TRUE(),ISNUMBER(SEARCH('02_대상물건입력'!B15,L878)))),1,0))</f>
        <v/>
      </c>
      <c r="R878" s="175">
        <f>IFERROR(ABS(E878-'02_대상물건입력'!B11)/'02_대상물건입력'!B11,"")</f>
        <v/>
      </c>
      <c r="S878" s="152">
        <f>IFERROR(ABS(J878-'02_대상물건입력'!B10),"")</f>
        <v/>
      </c>
      <c r="T878" s="152">
        <f>IFERROR(ABS('01_설정'!B4-F878),"")</f>
        <v/>
      </c>
      <c r="U878" s="152">
        <f>IFERROR(ABS(K878-YEAR('02_대상물건입력'!B14)),"")</f>
        <v/>
      </c>
      <c r="V878" s="152">
        <f>IF(B878="","",IF(AND(E878&gt;0,F878&gt;0,H878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878=1,TRUE()),R878&lt;='01_설정'!B5,S878&lt;='01_설정'!B6,T878&lt;='01_설정'!B7,U878&lt;='01_설정'!B8),"Y",""))</f>
        <v/>
      </c>
      <c r="W878" s="172">
        <f>IF(V878&lt;&gt;"Y","",MAX(0,(1-R878/'01_설정'!B5))*'01_설정'!B14+MAX(0,(1-S878/'01_설정'!B6))*'01_설정'!B15+MAX(0,(1-T878/'01_설정'!B7))*'01_설정'!B16+MAX(0,(1-U878/'01_설정'!B8))*'01_설정'!B17+O878*'01_설정'!B11+Q878*'01_설정'!B12+P878*'01_설정'!B13+IF(Z878="",0,Z878))</f>
        <v/>
      </c>
      <c r="X878" s="152">
        <f>IF(W878="","",1+COUNTIFS($W$4:$W$3003,"&gt;"&amp;W878)+COUNTIFS($W$4:W878,W878)-1)</f>
        <v/>
      </c>
      <c r="Y878" s="175">
        <f>IF(OR(I878="",'02_대상물건입력'!B19="",'02_대상물건입력'!B19&lt;=0),"",ABS(I878-'02_대상물건입력'!B19)/'02_대상물건입력'!B19)</f>
        <v/>
      </c>
      <c r="Z878" s="172">
        <f>IF(OR(Y878="",'01_설정'!B31="",'01_설정'!B31&lt;=0,'01_설정'!B32="",'01_설정'!B32&lt;=0),"",MAX(0,(1-Y878/'01_설정'!B32))*'01_설정'!B31)</f>
        <v/>
      </c>
    </row>
    <row r="879" ht="17.25" customHeight="1">
      <c r="A879" s="152">
        <f>IF(INDEX('04A_국토부원자료'!$A:$A,ROW()+1)="","",ROW()-3)</f>
        <v/>
      </c>
      <c r="B879" s="48">
        <f>IFERROR(INDEX('04A_국토부원자료'!$A:$T,ROW()+1,MATCH("시군구",'04A_국토부원자료'!$A$4:$T$4,0)),"")</f>
        <v/>
      </c>
      <c r="C879" s="48">
        <f>IF(B879="","",IFERROR(INDEX('04A_국토부원자료'!$A:$T,ROW()+1,MATCH("번지",'04A_국토부원자료'!$A$4:$T$4,0)),""))</f>
        <v/>
      </c>
      <c r="D879" s="48">
        <f>IF(B879="","",IF(Q879=1,'02_대상물건입력'!$B$8,IFERROR(INDEX('04A_국토부원자료'!$A:$T,ROW()+1,MATCH("단지명",'04A_국토부원자료'!$A$4:$T$4,0)),"")))</f>
        <v/>
      </c>
      <c r="E879" s="172">
        <f>IFERROR(VALUE(SUBSTITUTE(INDEX('04A_국토부원자료'!$A:$T,ROW()+1,MATCH("전용면적(㎡)",'04A_국토부원자료'!$A$4:$T$4,0)),",","")),"")</f>
        <v/>
      </c>
      <c r="F8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79" s="51">
        <f>IFERROR(VALUE(SUBSTITUTE(INDEX('04A_국토부원자료'!$A:$T,ROW()+1,MATCH("거래금액(만원)",'04A_국토부원자료'!$A$4:$T$4,0)),",","")),"")</f>
        <v/>
      </c>
      <c r="H879" s="174">
        <f>IF(G879="","",G879*10000)</f>
        <v/>
      </c>
      <c r="I879" s="174">
        <f>IFERROR(IF(AND(H879&gt;0,E879&gt;0),H879/E879,""),"")</f>
        <v/>
      </c>
      <c r="J879" s="152">
        <f>IFERROR(VALUE(SUBSTITUTE(INDEX('04A_국토부원자료'!$A:$T,ROW()+1,MATCH("층",'04A_국토부원자료'!$A$4:$T$4,0)),",","")),"")</f>
        <v/>
      </c>
      <c r="K879" s="152">
        <f>IFERROR(VALUE(SUBSTITUTE(INDEX('04A_국토부원자료'!$A:$T,ROW()+1,MATCH("건축년도",'04A_국토부원자료'!$A$4:$T$4,0)),",","")),"")</f>
        <v/>
      </c>
      <c r="L879" s="176">
        <f>IFERROR(INDEX('04A_국토부원자료'!$A:$T,ROW()+1,MATCH("도로명",'04A_국토부원자료'!$A$4:$T$4,0)),"")</f>
        <v/>
      </c>
      <c r="M879" s="48">
        <f>IFERROR(INDEX('04A_국토부원자료'!$A:$T,ROW()+1,MATCH("거래유형",'04A_국토부원자료'!$A$4:$T$4,0)),"")</f>
        <v/>
      </c>
      <c r="N879" s="152">
        <f>IF(B879="","",IF('02_대상물건입력'!B5="",1,IF(ISNUMBER(SEARCH('02_대상물건입력'!B5,B879)),1,0)))</f>
        <v/>
      </c>
      <c r="O879" s="152">
        <f>IF(B879="","",IF('02_대상물건입력'!B6="",1,IF(ISNUMBER(SEARCH('02_대상물건입력'!B6,B879)),1,0)))</f>
        <v/>
      </c>
      <c r="P879" s="152">
        <f>IF(L879="","",IF('02_대상물건입력'!B15="",0,IF(ISNUMBER(SEARCH('02_대상물건입력'!B15,L879)),1,0)))</f>
        <v/>
      </c>
      <c r="Q879" s="152">
        <f>IF(OR(C879="",L879=""),0,IF(AND(TRIM(C879)=TRIM(RIGHT(SUBSTITUTE(TRIM('02_대상물건입력'!$B$7)," ",REPT(" ",99)),99)),IF('02_대상물건입력'!B15="",TRUE(),ISNUMBER(SEARCH('02_대상물건입력'!B15,L879)))),1,0))</f>
        <v/>
      </c>
      <c r="R879" s="175">
        <f>IFERROR(ABS(E879-'02_대상물건입력'!B11)/'02_대상물건입력'!B11,"")</f>
        <v/>
      </c>
      <c r="S879" s="152">
        <f>IFERROR(ABS(J879-'02_대상물건입력'!B10),"")</f>
        <v/>
      </c>
      <c r="T879" s="152">
        <f>IFERROR(ABS('01_설정'!B4-F879),"")</f>
        <v/>
      </c>
      <c r="U879" s="152">
        <f>IFERROR(ABS(K879-YEAR('02_대상물건입력'!B14)),"")</f>
        <v/>
      </c>
      <c r="V879" s="152">
        <f>IF(B879="","",IF(AND(E879&gt;0,F879&gt;0,H879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879=1,TRUE()),R879&lt;='01_설정'!B5,S879&lt;='01_설정'!B6,T879&lt;='01_설정'!B7,U879&lt;='01_설정'!B8),"Y",""))</f>
        <v/>
      </c>
      <c r="W879" s="172">
        <f>IF(V879&lt;&gt;"Y","",MAX(0,(1-R879/'01_설정'!B5))*'01_설정'!B14+MAX(0,(1-S879/'01_설정'!B6))*'01_설정'!B15+MAX(0,(1-T879/'01_설정'!B7))*'01_설정'!B16+MAX(0,(1-U879/'01_설정'!B8))*'01_설정'!B17+O879*'01_설정'!B11+Q879*'01_설정'!B12+P879*'01_설정'!B13+IF(Z879="",0,Z879))</f>
        <v/>
      </c>
      <c r="X879" s="152">
        <f>IF(W879="","",1+COUNTIFS($W$4:$W$3003,"&gt;"&amp;W879)+COUNTIFS($W$4:W879,W879)-1)</f>
        <v/>
      </c>
      <c r="Y879" s="175">
        <f>IF(OR(I879="",'02_대상물건입력'!B19="",'02_대상물건입력'!B19&lt;=0),"",ABS(I879-'02_대상물건입력'!B19)/'02_대상물건입력'!B19)</f>
        <v/>
      </c>
      <c r="Z879" s="172">
        <f>IF(OR(Y879="",'01_설정'!B31="",'01_설정'!B31&lt;=0,'01_설정'!B32="",'01_설정'!B32&lt;=0),"",MAX(0,(1-Y879/'01_설정'!B32))*'01_설정'!B31)</f>
        <v/>
      </c>
    </row>
    <row r="880" ht="17.25" customHeight="1">
      <c r="A880" s="152">
        <f>IF(INDEX('04A_국토부원자료'!$A:$A,ROW()+1)="","",ROW()-3)</f>
        <v/>
      </c>
      <c r="B880" s="48">
        <f>IFERROR(INDEX('04A_국토부원자료'!$A:$T,ROW()+1,MATCH("시군구",'04A_국토부원자료'!$A$4:$T$4,0)),"")</f>
        <v/>
      </c>
      <c r="C880" s="48">
        <f>IF(B880="","",IFERROR(INDEX('04A_국토부원자료'!$A:$T,ROW()+1,MATCH("번지",'04A_국토부원자료'!$A$4:$T$4,0)),""))</f>
        <v/>
      </c>
      <c r="D880" s="48">
        <f>IF(B880="","",IF(Q880=1,'02_대상물건입력'!$B$8,IFERROR(INDEX('04A_국토부원자료'!$A:$T,ROW()+1,MATCH("단지명",'04A_국토부원자료'!$A$4:$T$4,0)),"")))</f>
        <v/>
      </c>
      <c r="E880" s="172">
        <f>IFERROR(VALUE(SUBSTITUTE(INDEX('04A_국토부원자료'!$A:$T,ROW()+1,MATCH("전용면적(㎡)",'04A_국토부원자료'!$A$4:$T$4,0)),",","")),"")</f>
        <v/>
      </c>
      <c r="F8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80" s="51">
        <f>IFERROR(VALUE(SUBSTITUTE(INDEX('04A_국토부원자료'!$A:$T,ROW()+1,MATCH("거래금액(만원)",'04A_국토부원자료'!$A$4:$T$4,0)),",","")),"")</f>
        <v/>
      </c>
      <c r="H880" s="174">
        <f>IF(G880="","",G880*10000)</f>
        <v/>
      </c>
      <c r="I880" s="174">
        <f>IFERROR(IF(AND(H880&gt;0,E880&gt;0),H880/E880,""),"")</f>
        <v/>
      </c>
      <c r="J880" s="152">
        <f>IFERROR(VALUE(SUBSTITUTE(INDEX('04A_국토부원자료'!$A:$T,ROW()+1,MATCH("층",'04A_국토부원자료'!$A$4:$T$4,0)),",","")),"")</f>
        <v/>
      </c>
      <c r="K880" s="152">
        <f>IFERROR(VALUE(SUBSTITUTE(INDEX('04A_국토부원자료'!$A:$T,ROW()+1,MATCH("건축년도",'04A_국토부원자료'!$A$4:$T$4,0)),",","")),"")</f>
        <v/>
      </c>
      <c r="L880" s="176">
        <f>IFERROR(INDEX('04A_국토부원자료'!$A:$T,ROW()+1,MATCH("도로명",'04A_국토부원자료'!$A$4:$T$4,0)),"")</f>
        <v/>
      </c>
      <c r="M880" s="48">
        <f>IFERROR(INDEX('04A_국토부원자료'!$A:$T,ROW()+1,MATCH("거래유형",'04A_국토부원자료'!$A$4:$T$4,0)),"")</f>
        <v/>
      </c>
      <c r="N880" s="152">
        <f>IF(B880="","",IF('02_대상물건입력'!B5="",1,IF(ISNUMBER(SEARCH('02_대상물건입력'!B5,B880)),1,0)))</f>
        <v/>
      </c>
      <c r="O880" s="152">
        <f>IF(B880="","",IF('02_대상물건입력'!B6="",1,IF(ISNUMBER(SEARCH('02_대상물건입력'!B6,B880)),1,0)))</f>
        <v/>
      </c>
      <c r="P880" s="152">
        <f>IF(L880="","",IF('02_대상물건입력'!B15="",0,IF(ISNUMBER(SEARCH('02_대상물건입력'!B15,L880)),1,0)))</f>
        <v/>
      </c>
      <c r="Q880" s="152">
        <f>IF(OR(C880="",L880=""),0,IF(AND(TRIM(C880)=TRIM(RIGHT(SUBSTITUTE(TRIM('02_대상물건입력'!$B$7)," ",REPT(" ",99)),99)),IF('02_대상물건입력'!B15="",TRUE(),ISNUMBER(SEARCH('02_대상물건입력'!B15,L880)))),1,0))</f>
        <v/>
      </c>
      <c r="R880" s="175">
        <f>IFERROR(ABS(E880-'02_대상물건입력'!B11)/'02_대상물건입력'!B11,"")</f>
        <v/>
      </c>
      <c r="S880" s="152">
        <f>IFERROR(ABS(J880-'02_대상물건입력'!B10),"")</f>
        <v/>
      </c>
      <c r="T880" s="152">
        <f>IFERROR(ABS('01_설정'!B4-F880),"")</f>
        <v/>
      </c>
      <c r="U880" s="152">
        <f>IFERROR(ABS(K880-YEAR('02_대상물건입력'!B14)),"")</f>
        <v/>
      </c>
      <c r="V880" s="152">
        <f>IF(B880="","",IF(AND(E880&gt;0,F880&gt;0,H880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880=1,TRUE()),R880&lt;='01_설정'!B5,S880&lt;='01_설정'!B6,T880&lt;='01_설정'!B7,U880&lt;='01_설정'!B8),"Y",""))</f>
        <v/>
      </c>
      <c r="W880" s="172">
        <f>IF(V880&lt;&gt;"Y","",MAX(0,(1-R880/'01_설정'!B5))*'01_설정'!B14+MAX(0,(1-S880/'01_설정'!B6))*'01_설정'!B15+MAX(0,(1-T880/'01_설정'!B7))*'01_설정'!B16+MAX(0,(1-U880/'01_설정'!B8))*'01_설정'!B17+O880*'01_설정'!B11+Q880*'01_설정'!B12+P880*'01_설정'!B13+IF(Z880="",0,Z880))</f>
        <v/>
      </c>
      <c r="X880" s="152">
        <f>IF(W880="","",1+COUNTIFS($W$4:$W$3003,"&gt;"&amp;W880)+COUNTIFS($W$4:W880,W880)-1)</f>
        <v/>
      </c>
      <c r="Y880" s="175">
        <f>IF(OR(I880="",'02_대상물건입력'!B19="",'02_대상물건입력'!B19&lt;=0),"",ABS(I880-'02_대상물건입력'!B19)/'02_대상물건입력'!B19)</f>
        <v/>
      </c>
      <c r="Z880" s="172">
        <f>IF(OR(Y880="",'01_설정'!B31="",'01_설정'!B31&lt;=0,'01_설정'!B32="",'01_설정'!B32&lt;=0),"",MAX(0,(1-Y880/'01_설정'!B32))*'01_설정'!B31)</f>
        <v/>
      </c>
    </row>
    <row r="881" ht="17.25" customHeight="1">
      <c r="A881" s="152">
        <f>IF(INDEX('04A_국토부원자료'!$A:$A,ROW()+1)="","",ROW()-3)</f>
        <v/>
      </c>
      <c r="B881" s="48">
        <f>IFERROR(INDEX('04A_국토부원자료'!$A:$T,ROW()+1,MATCH("시군구",'04A_국토부원자료'!$A$4:$T$4,0)),"")</f>
        <v/>
      </c>
      <c r="C881" s="48">
        <f>IF(B881="","",IFERROR(INDEX('04A_국토부원자료'!$A:$T,ROW()+1,MATCH("번지",'04A_국토부원자료'!$A$4:$T$4,0)),""))</f>
        <v/>
      </c>
      <c r="D881" s="48">
        <f>IF(B881="","",IF(Q881=1,'02_대상물건입력'!$B$8,IFERROR(INDEX('04A_국토부원자료'!$A:$T,ROW()+1,MATCH("단지명",'04A_국토부원자료'!$A$4:$T$4,0)),"")))</f>
        <v/>
      </c>
      <c r="E881" s="172">
        <f>IFERROR(VALUE(SUBSTITUTE(INDEX('04A_국토부원자료'!$A:$T,ROW()+1,MATCH("전용면적(㎡)",'04A_국토부원자료'!$A$4:$T$4,0)),",","")),"")</f>
        <v/>
      </c>
      <c r="F8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81" s="51">
        <f>IFERROR(VALUE(SUBSTITUTE(INDEX('04A_국토부원자료'!$A:$T,ROW()+1,MATCH("거래금액(만원)",'04A_국토부원자료'!$A$4:$T$4,0)),",","")),"")</f>
        <v/>
      </c>
      <c r="H881" s="174">
        <f>IF(G881="","",G881*10000)</f>
        <v/>
      </c>
      <c r="I881" s="174">
        <f>IFERROR(IF(AND(H881&gt;0,E881&gt;0),H881/E881,""),"")</f>
        <v/>
      </c>
      <c r="J881" s="152">
        <f>IFERROR(VALUE(SUBSTITUTE(INDEX('04A_국토부원자료'!$A:$T,ROW()+1,MATCH("층",'04A_국토부원자료'!$A$4:$T$4,0)),",","")),"")</f>
        <v/>
      </c>
      <c r="K881" s="152">
        <f>IFERROR(VALUE(SUBSTITUTE(INDEX('04A_국토부원자료'!$A:$T,ROW()+1,MATCH("건축년도",'04A_국토부원자료'!$A$4:$T$4,0)),",","")),"")</f>
        <v/>
      </c>
      <c r="L881" s="176">
        <f>IFERROR(INDEX('04A_국토부원자료'!$A:$T,ROW()+1,MATCH("도로명",'04A_국토부원자료'!$A$4:$T$4,0)),"")</f>
        <v/>
      </c>
      <c r="M881" s="48">
        <f>IFERROR(INDEX('04A_국토부원자료'!$A:$T,ROW()+1,MATCH("거래유형",'04A_국토부원자료'!$A$4:$T$4,0)),"")</f>
        <v/>
      </c>
      <c r="N881" s="152">
        <f>IF(B881="","",IF('02_대상물건입력'!B5="",1,IF(ISNUMBER(SEARCH('02_대상물건입력'!B5,B881)),1,0)))</f>
        <v/>
      </c>
      <c r="O881" s="152">
        <f>IF(B881="","",IF('02_대상물건입력'!B6="",1,IF(ISNUMBER(SEARCH('02_대상물건입력'!B6,B881)),1,0)))</f>
        <v/>
      </c>
      <c r="P881" s="152">
        <f>IF(L881="","",IF('02_대상물건입력'!B15="",0,IF(ISNUMBER(SEARCH('02_대상물건입력'!B15,L881)),1,0)))</f>
        <v/>
      </c>
      <c r="Q881" s="152">
        <f>IF(OR(C881="",L881=""),0,IF(AND(TRIM(C881)=TRIM(RIGHT(SUBSTITUTE(TRIM('02_대상물건입력'!$B$7)," ",REPT(" ",99)),99)),IF('02_대상물건입력'!B15="",TRUE(),ISNUMBER(SEARCH('02_대상물건입력'!B15,L881)))),1,0))</f>
        <v/>
      </c>
      <c r="R881" s="175">
        <f>IFERROR(ABS(E881-'02_대상물건입력'!B11)/'02_대상물건입력'!B11,"")</f>
        <v/>
      </c>
      <c r="S881" s="152">
        <f>IFERROR(ABS(J881-'02_대상물건입력'!B10),"")</f>
        <v/>
      </c>
      <c r="T881" s="152">
        <f>IFERROR(ABS('01_설정'!B4-F881),"")</f>
        <v/>
      </c>
      <c r="U881" s="152">
        <f>IFERROR(ABS(K881-YEAR('02_대상물건입력'!B14)),"")</f>
        <v/>
      </c>
      <c r="V881" s="152">
        <f>IF(B881="","",IF(AND(E881&gt;0,F881&gt;0,H881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881=1,TRUE()),R881&lt;='01_설정'!B5,S881&lt;='01_설정'!B6,T881&lt;='01_설정'!B7,U881&lt;='01_설정'!B8),"Y",""))</f>
        <v/>
      </c>
      <c r="W881" s="172">
        <f>IF(V881&lt;&gt;"Y","",MAX(0,(1-R881/'01_설정'!B5))*'01_설정'!B14+MAX(0,(1-S881/'01_설정'!B6))*'01_설정'!B15+MAX(0,(1-T881/'01_설정'!B7))*'01_설정'!B16+MAX(0,(1-U881/'01_설정'!B8))*'01_설정'!B17+O881*'01_설정'!B11+Q881*'01_설정'!B12+P881*'01_설정'!B13+IF(Z881="",0,Z881))</f>
        <v/>
      </c>
      <c r="X881" s="152">
        <f>IF(W881="","",1+COUNTIFS($W$4:$W$3003,"&gt;"&amp;W881)+COUNTIFS($W$4:W881,W881)-1)</f>
        <v/>
      </c>
      <c r="Y881" s="175">
        <f>IF(OR(I881="",'02_대상물건입력'!B19="",'02_대상물건입력'!B19&lt;=0),"",ABS(I881-'02_대상물건입력'!B19)/'02_대상물건입력'!B19)</f>
        <v/>
      </c>
      <c r="Z881" s="172">
        <f>IF(OR(Y881="",'01_설정'!B31="",'01_설정'!B31&lt;=0,'01_설정'!B32="",'01_설정'!B32&lt;=0),"",MAX(0,(1-Y881/'01_설정'!B32))*'01_설정'!B31)</f>
        <v/>
      </c>
    </row>
    <row r="882" ht="17.25" customHeight="1">
      <c r="A882" s="152">
        <f>IF(INDEX('04A_국토부원자료'!$A:$A,ROW()+1)="","",ROW()-3)</f>
        <v/>
      </c>
      <c r="B882" s="48">
        <f>IFERROR(INDEX('04A_국토부원자료'!$A:$T,ROW()+1,MATCH("시군구",'04A_국토부원자료'!$A$4:$T$4,0)),"")</f>
        <v/>
      </c>
      <c r="C882" s="48">
        <f>IF(B882="","",IFERROR(INDEX('04A_국토부원자료'!$A:$T,ROW()+1,MATCH("번지",'04A_국토부원자료'!$A$4:$T$4,0)),""))</f>
        <v/>
      </c>
      <c r="D882" s="48">
        <f>IF(B882="","",IF(Q882=1,'02_대상물건입력'!$B$8,IFERROR(INDEX('04A_국토부원자료'!$A:$T,ROW()+1,MATCH("단지명",'04A_국토부원자료'!$A$4:$T$4,0)),"")))</f>
        <v/>
      </c>
      <c r="E882" s="172">
        <f>IFERROR(VALUE(SUBSTITUTE(INDEX('04A_국토부원자료'!$A:$T,ROW()+1,MATCH("전용면적(㎡)",'04A_국토부원자료'!$A$4:$T$4,0)),",","")),"")</f>
        <v/>
      </c>
      <c r="F8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82" s="51">
        <f>IFERROR(VALUE(SUBSTITUTE(INDEX('04A_국토부원자료'!$A:$T,ROW()+1,MATCH("거래금액(만원)",'04A_국토부원자료'!$A$4:$T$4,0)),",","")),"")</f>
        <v/>
      </c>
      <c r="H882" s="174">
        <f>IF(G882="","",G882*10000)</f>
        <v/>
      </c>
      <c r="I882" s="174">
        <f>IFERROR(IF(AND(H882&gt;0,E882&gt;0),H882/E882,""),"")</f>
        <v/>
      </c>
      <c r="J882" s="152">
        <f>IFERROR(VALUE(SUBSTITUTE(INDEX('04A_국토부원자료'!$A:$T,ROW()+1,MATCH("층",'04A_국토부원자료'!$A$4:$T$4,0)),",","")),"")</f>
        <v/>
      </c>
      <c r="K882" s="152">
        <f>IFERROR(VALUE(SUBSTITUTE(INDEX('04A_국토부원자료'!$A:$T,ROW()+1,MATCH("건축년도",'04A_국토부원자료'!$A$4:$T$4,0)),",","")),"")</f>
        <v/>
      </c>
      <c r="L882" s="176">
        <f>IFERROR(INDEX('04A_국토부원자료'!$A:$T,ROW()+1,MATCH("도로명",'04A_국토부원자료'!$A$4:$T$4,0)),"")</f>
        <v/>
      </c>
      <c r="M882" s="48">
        <f>IFERROR(INDEX('04A_국토부원자료'!$A:$T,ROW()+1,MATCH("거래유형",'04A_국토부원자료'!$A$4:$T$4,0)),"")</f>
        <v/>
      </c>
      <c r="N882" s="152">
        <f>IF(B882="","",IF('02_대상물건입력'!B5="",1,IF(ISNUMBER(SEARCH('02_대상물건입력'!B5,B882)),1,0)))</f>
        <v/>
      </c>
      <c r="O882" s="152">
        <f>IF(B882="","",IF('02_대상물건입력'!B6="",1,IF(ISNUMBER(SEARCH('02_대상물건입력'!B6,B882)),1,0)))</f>
        <v/>
      </c>
      <c r="P882" s="152">
        <f>IF(L882="","",IF('02_대상물건입력'!B15="",0,IF(ISNUMBER(SEARCH('02_대상물건입력'!B15,L882)),1,0)))</f>
        <v/>
      </c>
      <c r="Q882" s="152">
        <f>IF(OR(C882="",L882=""),0,IF(AND(TRIM(C882)=TRIM(RIGHT(SUBSTITUTE(TRIM('02_대상물건입력'!$B$7)," ",REPT(" ",99)),99)),IF('02_대상물건입력'!B15="",TRUE(),ISNUMBER(SEARCH('02_대상물건입력'!B15,L882)))),1,0))</f>
        <v/>
      </c>
      <c r="R882" s="175">
        <f>IFERROR(ABS(E882-'02_대상물건입력'!B11)/'02_대상물건입력'!B11,"")</f>
        <v/>
      </c>
      <c r="S882" s="152">
        <f>IFERROR(ABS(J882-'02_대상물건입력'!B10),"")</f>
        <v/>
      </c>
      <c r="T882" s="152">
        <f>IFERROR(ABS('01_설정'!B4-F882),"")</f>
        <v/>
      </c>
      <c r="U882" s="152">
        <f>IFERROR(ABS(K882-YEAR('02_대상물건입력'!B14)),"")</f>
        <v/>
      </c>
      <c r="V882" s="152">
        <f>IF(B882="","",IF(AND(E882&gt;0,F882&gt;0,H882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882=1,TRUE()),R882&lt;='01_설정'!B5,S882&lt;='01_설정'!B6,T882&lt;='01_설정'!B7,U882&lt;='01_설정'!B8),"Y",""))</f>
        <v/>
      </c>
      <c r="W882" s="172">
        <f>IF(V882&lt;&gt;"Y","",MAX(0,(1-R882/'01_설정'!B5))*'01_설정'!B14+MAX(0,(1-S882/'01_설정'!B6))*'01_설정'!B15+MAX(0,(1-T882/'01_설정'!B7))*'01_설정'!B16+MAX(0,(1-U882/'01_설정'!B8))*'01_설정'!B17+O882*'01_설정'!B11+Q882*'01_설정'!B12+P882*'01_설정'!B13+IF(Z882="",0,Z882))</f>
        <v/>
      </c>
      <c r="X882" s="152">
        <f>IF(W882="","",1+COUNTIFS($W$4:$W$3003,"&gt;"&amp;W882)+COUNTIFS($W$4:W882,W882)-1)</f>
        <v/>
      </c>
      <c r="Y882" s="175">
        <f>IF(OR(I882="",'02_대상물건입력'!B19="",'02_대상물건입력'!B19&lt;=0),"",ABS(I882-'02_대상물건입력'!B19)/'02_대상물건입력'!B19)</f>
        <v/>
      </c>
      <c r="Z882" s="172">
        <f>IF(OR(Y882="",'01_설정'!B31="",'01_설정'!B31&lt;=0,'01_설정'!B32="",'01_설정'!B32&lt;=0),"",MAX(0,(1-Y882/'01_설정'!B32))*'01_설정'!B31)</f>
        <v/>
      </c>
    </row>
    <row r="883" ht="17.25" customHeight="1">
      <c r="A883" s="152">
        <f>IF(INDEX('04A_국토부원자료'!$A:$A,ROW()+1)="","",ROW()-3)</f>
        <v/>
      </c>
      <c r="B883" s="48">
        <f>IFERROR(INDEX('04A_국토부원자료'!$A:$T,ROW()+1,MATCH("시군구",'04A_국토부원자료'!$A$4:$T$4,0)),"")</f>
        <v/>
      </c>
      <c r="C883" s="48">
        <f>IF(B883="","",IFERROR(INDEX('04A_국토부원자료'!$A:$T,ROW()+1,MATCH("번지",'04A_국토부원자료'!$A$4:$T$4,0)),""))</f>
        <v/>
      </c>
      <c r="D883" s="48">
        <f>IF(B883="","",IF(Q883=1,'02_대상물건입력'!$B$8,IFERROR(INDEX('04A_국토부원자료'!$A:$T,ROW()+1,MATCH("단지명",'04A_국토부원자료'!$A$4:$T$4,0)),"")))</f>
        <v/>
      </c>
      <c r="E883" s="172">
        <f>IFERROR(VALUE(SUBSTITUTE(INDEX('04A_국토부원자료'!$A:$T,ROW()+1,MATCH("전용면적(㎡)",'04A_국토부원자료'!$A$4:$T$4,0)),",","")),"")</f>
        <v/>
      </c>
      <c r="F8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83" s="51">
        <f>IFERROR(VALUE(SUBSTITUTE(INDEX('04A_국토부원자료'!$A:$T,ROW()+1,MATCH("거래금액(만원)",'04A_국토부원자료'!$A$4:$T$4,0)),",","")),"")</f>
        <v/>
      </c>
      <c r="H883" s="174">
        <f>IF(G883="","",G883*10000)</f>
        <v/>
      </c>
      <c r="I883" s="174">
        <f>IFERROR(IF(AND(H883&gt;0,E883&gt;0),H883/E883,""),"")</f>
        <v/>
      </c>
      <c r="J883" s="152">
        <f>IFERROR(VALUE(SUBSTITUTE(INDEX('04A_국토부원자료'!$A:$T,ROW()+1,MATCH("층",'04A_국토부원자료'!$A$4:$T$4,0)),",","")),"")</f>
        <v/>
      </c>
      <c r="K883" s="152">
        <f>IFERROR(VALUE(SUBSTITUTE(INDEX('04A_국토부원자료'!$A:$T,ROW()+1,MATCH("건축년도",'04A_국토부원자료'!$A$4:$T$4,0)),",","")),"")</f>
        <v/>
      </c>
      <c r="L883" s="176">
        <f>IFERROR(INDEX('04A_국토부원자료'!$A:$T,ROW()+1,MATCH("도로명",'04A_국토부원자료'!$A$4:$T$4,0)),"")</f>
        <v/>
      </c>
      <c r="M883" s="48">
        <f>IFERROR(INDEX('04A_국토부원자료'!$A:$T,ROW()+1,MATCH("거래유형",'04A_국토부원자료'!$A$4:$T$4,0)),"")</f>
        <v/>
      </c>
      <c r="N883" s="152">
        <f>IF(B883="","",IF('02_대상물건입력'!B5="",1,IF(ISNUMBER(SEARCH('02_대상물건입력'!B5,B883)),1,0)))</f>
        <v/>
      </c>
      <c r="O883" s="152">
        <f>IF(B883="","",IF('02_대상물건입력'!B6="",1,IF(ISNUMBER(SEARCH('02_대상물건입력'!B6,B883)),1,0)))</f>
        <v/>
      </c>
      <c r="P883" s="152">
        <f>IF(L883="","",IF('02_대상물건입력'!B15="",0,IF(ISNUMBER(SEARCH('02_대상물건입력'!B15,L883)),1,0)))</f>
        <v/>
      </c>
      <c r="Q883" s="152">
        <f>IF(OR(C883="",L883=""),0,IF(AND(TRIM(C883)=TRIM(RIGHT(SUBSTITUTE(TRIM('02_대상물건입력'!$B$7)," ",REPT(" ",99)),99)),IF('02_대상물건입력'!B15="",TRUE(),ISNUMBER(SEARCH('02_대상물건입력'!B15,L883)))),1,0))</f>
        <v/>
      </c>
      <c r="R883" s="175">
        <f>IFERROR(ABS(E883-'02_대상물건입력'!B11)/'02_대상물건입력'!B11,"")</f>
        <v/>
      </c>
      <c r="S883" s="152">
        <f>IFERROR(ABS(J883-'02_대상물건입력'!B10),"")</f>
        <v/>
      </c>
      <c r="T883" s="152">
        <f>IFERROR(ABS('01_설정'!B4-F883),"")</f>
        <v/>
      </c>
      <c r="U883" s="152">
        <f>IFERROR(ABS(K883-YEAR('02_대상물건입력'!B14)),"")</f>
        <v/>
      </c>
      <c r="V883" s="152">
        <f>IF(B883="","",IF(AND(E883&gt;0,F883&gt;0,H883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883=1,TRUE()),R883&lt;='01_설정'!B5,S883&lt;='01_설정'!B6,T883&lt;='01_설정'!B7,U883&lt;='01_설정'!B8),"Y",""))</f>
        <v/>
      </c>
      <c r="W883" s="172">
        <f>IF(V883&lt;&gt;"Y","",MAX(0,(1-R883/'01_설정'!B5))*'01_설정'!B14+MAX(0,(1-S883/'01_설정'!B6))*'01_설정'!B15+MAX(0,(1-T883/'01_설정'!B7))*'01_설정'!B16+MAX(0,(1-U883/'01_설정'!B8))*'01_설정'!B17+O883*'01_설정'!B11+Q883*'01_설정'!B12+P883*'01_설정'!B13+IF(Z883="",0,Z883))</f>
        <v/>
      </c>
      <c r="X883" s="152">
        <f>IF(W883="","",1+COUNTIFS($W$4:$W$3003,"&gt;"&amp;W883)+COUNTIFS($W$4:W883,W883)-1)</f>
        <v/>
      </c>
      <c r="Y883" s="175">
        <f>IF(OR(I883="",'02_대상물건입력'!B19="",'02_대상물건입력'!B19&lt;=0),"",ABS(I883-'02_대상물건입력'!B19)/'02_대상물건입력'!B19)</f>
        <v/>
      </c>
      <c r="Z883" s="172">
        <f>IF(OR(Y883="",'01_설정'!B31="",'01_설정'!B31&lt;=0,'01_설정'!B32="",'01_설정'!B32&lt;=0),"",MAX(0,(1-Y883/'01_설정'!B32))*'01_설정'!B31)</f>
        <v/>
      </c>
    </row>
    <row r="884" ht="17.25" customHeight="1">
      <c r="A884" s="152">
        <f>IF(INDEX('04A_국토부원자료'!$A:$A,ROW()+1)="","",ROW()-3)</f>
        <v/>
      </c>
      <c r="B884" s="48">
        <f>IFERROR(INDEX('04A_국토부원자료'!$A:$T,ROW()+1,MATCH("시군구",'04A_국토부원자료'!$A$4:$T$4,0)),"")</f>
        <v/>
      </c>
      <c r="C884" s="48">
        <f>IF(B884="","",IFERROR(INDEX('04A_국토부원자료'!$A:$T,ROW()+1,MATCH("번지",'04A_국토부원자료'!$A$4:$T$4,0)),""))</f>
        <v/>
      </c>
      <c r="D884" s="48">
        <f>IF(B884="","",IF(Q884=1,'02_대상물건입력'!$B$8,IFERROR(INDEX('04A_국토부원자료'!$A:$T,ROW()+1,MATCH("단지명",'04A_국토부원자료'!$A$4:$T$4,0)),"")))</f>
        <v/>
      </c>
      <c r="E884" s="172">
        <f>IFERROR(VALUE(SUBSTITUTE(INDEX('04A_국토부원자료'!$A:$T,ROW()+1,MATCH("전용면적(㎡)",'04A_국토부원자료'!$A$4:$T$4,0)),",","")),"")</f>
        <v/>
      </c>
      <c r="F8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84" s="51">
        <f>IFERROR(VALUE(SUBSTITUTE(INDEX('04A_국토부원자료'!$A:$T,ROW()+1,MATCH("거래금액(만원)",'04A_국토부원자료'!$A$4:$T$4,0)),",","")),"")</f>
        <v/>
      </c>
      <c r="H884" s="174">
        <f>IF(G884="","",G884*10000)</f>
        <v/>
      </c>
      <c r="I884" s="174">
        <f>IFERROR(IF(AND(H884&gt;0,E884&gt;0),H884/E884,""),"")</f>
        <v/>
      </c>
      <c r="J884" s="152">
        <f>IFERROR(VALUE(SUBSTITUTE(INDEX('04A_국토부원자료'!$A:$T,ROW()+1,MATCH("층",'04A_국토부원자료'!$A$4:$T$4,0)),",","")),"")</f>
        <v/>
      </c>
      <c r="K884" s="152">
        <f>IFERROR(VALUE(SUBSTITUTE(INDEX('04A_국토부원자료'!$A:$T,ROW()+1,MATCH("건축년도",'04A_국토부원자료'!$A$4:$T$4,0)),",","")),"")</f>
        <v/>
      </c>
      <c r="L884" s="176">
        <f>IFERROR(INDEX('04A_국토부원자료'!$A:$T,ROW()+1,MATCH("도로명",'04A_국토부원자료'!$A$4:$T$4,0)),"")</f>
        <v/>
      </c>
      <c r="M884" s="48">
        <f>IFERROR(INDEX('04A_국토부원자료'!$A:$T,ROW()+1,MATCH("거래유형",'04A_국토부원자료'!$A$4:$T$4,0)),"")</f>
        <v/>
      </c>
      <c r="N884" s="152">
        <f>IF(B884="","",IF('02_대상물건입력'!B5="",1,IF(ISNUMBER(SEARCH('02_대상물건입력'!B5,B884)),1,0)))</f>
        <v/>
      </c>
      <c r="O884" s="152">
        <f>IF(B884="","",IF('02_대상물건입력'!B6="",1,IF(ISNUMBER(SEARCH('02_대상물건입력'!B6,B884)),1,0)))</f>
        <v/>
      </c>
      <c r="P884" s="152">
        <f>IF(L884="","",IF('02_대상물건입력'!B15="",0,IF(ISNUMBER(SEARCH('02_대상물건입력'!B15,L884)),1,0)))</f>
        <v/>
      </c>
      <c r="Q884" s="152">
        <f>IF(OR(C884="",L884=""),0,IF(AND(TRIM(C884)=TRIM(RIGHT(SUBSTITUTE(TRIM('02_대상물건입력'!$B$7)," ",REPT(" ",99)),99)),IF('02_대상물건입력'!B15="",TRUE(),ISNUMBER(SEARCH('02_대상물건입력'!B15,L884)))),1,0))</f>
        <v/>
      </c>
      <c r="R884" s="175">
        <f>IFERROR(ABS(E884-'02_대상물건입력'!B11)/'02_대상물건입력'!B11,"")</f>
        <v/>
      </c>
      <c r="S884" s="152">
        <f>IFERROR(ABS(J884-'02_대상물건입력'!B10),"")</f>
        <v/>
      </c>
      <c r="T884" s="152">
        <f>IFERROR(ABS('01_설정'!B4-F884),"")</f>
        <v/>
      </c>
      <c r="U884" s="152">
        <f>IFERROR(ABS(K884-YEAR('02_대상물건입력'!B14)),"")</f>
        <v/>
      </c>
      <c r="V884" s="152">
        <f>IF(B884="","",IF(AND(E884&gt;0,F884&gt;0,H884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884=1,TRUE()),R884&lt;='01_설정'!B5,S884&lt;='01_설정'!B6,T884&lt;='01_설정'!B7,U884&lt;='01_설정'!B8),"Y",""))</f>
        <v/>
      </c>
      <c r="W884" s="172">
        <f>IF(V884&lt;&gt;"Y","",MAX(0,(1-R884/'01_설정'!B5))*'01_설정'!B14+MAX(0,(1-S884/'01_설정'!B6))*'01_설정'!B15+MAX(0,(1-T884/'01_설정'!B7))*'01_설정'!B16+MAX(0,(1-U884/'01_설정'!B8))*'01_설정'!B17+O884*'01_설정'!B11+Q884*'01_설정'!B12+P884*'01_설정'!B13+IF(Z884="",0,Z884))</f>
        <v/>
      </c>
      <c r="X884" s="152">
        <f>IF(W884="","",1+COUNTIFS($W$4:$W$3003,"&gt;"&amp;W884)+COUNTIFS($W$4:W884,W884)-1)</f>
        <v/>
      </c>
      <c r="Y884" s="175">
        <f>IF(OR(I884="",'02_대상물건입력'!B19="",'02_대상물건입력'!B19&lt;=0),"",ABS(I884-'02_대상물건입력'!B19)/'02_대상물건입력'!B19)</f>
        <v/>
      </c>
      <c r="Z884" s="172">
        <f>IF(OR(Y884="",'01_설정'!B31="",'01_설정'!B31&lt;=0,'01_설정'!B32="",'01_설정'!B32&lt;=0),"",MAX(0,(1-Y884/'01_설정'!B32))*'01_설정'!B31)</f>
        <v/>
      </c>
    </row>
    <row r="885" ht="17.25" customHeight="1">
      <c r="A885" s="152">
        <f>IF(INDEX('04A_국토부원자료'!$A:$A,ROW()+1)="","",ROW()-3)</f>
        <v/>
      </c>
      <c r="B885" s="48">
        <f>IFERROR(INDEX('04A_국토부원자료'!$A:$T,ROW()+1,MATCH("시군구",'04A_국토부원자료'!$A$4:$T$4,0)),"")</f>
        <v/>
      </c>
      <c r="C885" s="48">
        <f>IF(B885="","",IFERROR(INDEX('04A_국토부원자료'!$A:$T,ROW()+1,MATCH("번지",'04A_국토부원자료'!$A$4:$T$4,0)),""))</f>
        <v/>
      </c>
      <c r="D885" s="48">
        <f>IF(B885="","",IF(Q885=1,'02_대상물건입력'!$B$8,IFERROR(INDEX('04A_국토부원자료'!$A:$T,ROW()+1,MATCH("단지명",'04A_국토부원자료'!$A$4:$T$4,0)),"")))</f>
        <v/>
      </c>
      <c r="E885" s="172">
        <f>IFERROR(VALUE(SUBSTITUTE(INDEX('04A_국토부원자료'!$A:$T,ROW()+1,MATCH("전용면적(㎡)",'04A_국토부원자료'!$A$4:$T$4,0)),",","")),"")</f>
        <v/>
      </c>
      <c r="F8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85" s="51">
        <f>IFERROR(VALUE(SUBSTITUTE(INDEX('04A_국토부원자료'!$A:$T,ROW()+1,MATCH("거래금액(만원)",'04A_국토부원자료'!$A$4:$T$4,0)),",","")),"")</f>
        <v/>
      </c>
      <c r="H885" s="174">
        <f>IF(G885="","",G885*10000)</f>
        <v/>
      </c>
      <c r="I885" s="174">
        <f>IFERROR(IF(AND(H885&gt;0,E885&gt;0),H885/E885,""),"")</f>
        <v/>
      </c>
      <c r="J885" s="152">
        <f>IFERROR(VALUE(SUBSTITUTE(INDEX('04A_국토부원자료'!$A:$T,ROW()+1,MATCH("층",'04A_국토부원자료'!$A$4:$T$4,0)),",","")),"")</f>
        <v/>
      </c>
      <c r="K885" s="152">
        <f>IFERROR(VALUE(SUBSTITUTE(INDEX('04A_국토부원자료'!$A:$T,ROW()+1,MATCH("건축년도",'04A_국토부원자료'!$A$4:$T$4,0)),",","")),"")</f>
        <v/>
      </c>
      <c r="L885" s="176">
        <f>IFERROR(INDEX('04A_국토부원자료'!$A:$T,ROW()+1,MATCH("도로명",'04A_국토부원자료'!$A$4:$T$4,0)),"")</f>
        <v/>
      </c>
      <c r="M885" s="48">
        <f>IFERROR(INDEX('04A_국토부원자료'!$A:$T,ROW()+1,MATCH("거래유형",'04A_국토부원자료'!$A$4:$T$4,0)),"")</f>
        <v/>
      </c>
      <c r="N885" s="152">
        <f>IF(B885="","",IF('02_대상물건입력'!B5="",1,IF(ISNUMBER(SEARCH('02_대상물건입력'!B5,B885)),1,0)))</f>
        <v/>
      </c>
      <c r="O885" s="152">
        <f>IF(B885="","",IF('02_대상물건입력'!B6="",1,IF(ISNUMBER(SEARCH('02_대상물건입력'!B6,B885)),1,0)))</f>
        <v/>
      </c>
      <c r="P885" s="152">
        <f>IF(L885="","",IF('02_대상물건입력'!B15="",0,IF(ISNUMBER(SEARCH('02_대상물건입력'!B15,L885)),1,0)))</f>
        <v/>
      </c>
      <c r="Q885" s="152">
        <f>IF(OR(C885="",L885=""),0,IF(AND(TRIM(C885)=TRIM(RIGHT(SUBSTITUTE(TRIM('02_대상물건입력'!$B$7)," ",REPT(" ",99)),99)),IF('02_대상물건입력'!B15="",TRUE(),ISNUMBER(SEARCH('02_대상물건입력'!B15,L885)))),1,0))</f>
        <v/>
      </c>
      <c r="R885" s="175">
        <f>IFERROR(ABS(E885-'02_대상물건입력'!B11)/'02_대상물건입력'!B11,"")</f>
        <v/>
      </c>
      <c r="S885" s="152">
        <f>IFERROR(ABS(J885-'02_대상물건입력'!B10),"")</f>
        <v/>
      </c>
      <c r="T885" s="152">
        <f>IFERROR(ABS('01_설정'!B4-F885),"")</f>
        <v/>
      </c>
      <c r="U885" s="152">
        <f>IFERROR(ABS(K885-YEAR('02_대상물건입력'!B14)),"")</f>
        <v/>
      </c>
      <c r="V885" s="152">
        <f>IF(B885="","",IF(AND(E885&gt;0,F885&gt;0,H885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885=1,TRUE()),R885&lt;='01_설정'!B5,S885&lt;='01_설정'!B6,T885&lt;='01_설정'!B7,U885&lt;='01_설정'!B8),"Y",""))</f>
        <v/>
      </c>
      <c r="W885" s="172">
        <f>IF(V885&lt;&gt;"Y","",MAX(0,(1-R885/'01_설정'!B5))*'01_설정'!B14+MAX(0,(1-S885/'01_설정'!B6))*'01_설정'!B15+MAX(0,(1-T885/'01_설정'!B7))*'01_설정'!B16+MAX(0,(1-U885/'01_설정'!B8))*'01_설정'!B17+O885*'01_설정'!B11+Q885*'01_설정'!B12+P885*'01_설정'!B13+IF(Z885="",0,Z885))</f>
        <v/>
      </c>
      <c r="X885" s="152">
        <f>IF(W885="","",1+COUNTIFS($W$4:$W$3003,"&gt;"&amp;W885)+COUNTIFS($W$4:W885,W885)-1)</f>
        <v/>
      </c>
      <c r="Y885" s="175">
        <f>IF(OR(I885="",'02_대상물건입력'!B19="",'02_대상물건입력'!B19&lt;=0),"",ABS(I885-'02_대상물건입력'!B19)/'02_대상물건입력'!B19)</f>
        <v/>
      </c>
      <c r="Z885" s="172">
        <f>IF(OR(Y885="",'01_설정'!B31="",'01_설정'!B31&lt;=0,'01_설정'!B32="",'01_설정'!B32&lt;=0),"",MAX(0,(1-Y885/'01_설정'!B32))*'01_설정'!B31)</f>
        <v/>
      </c>
    </row>
    <row r="886" ht="17.25" customHeight="1">
      <c r="A886" s="152">
        <f>IF(INDEX('04A_국토부원자료'!$A:$A,ROW()+1)="","",ROW()-3)</f>
        <v/>
      </c>
      <c r="B886" s="48">
        <f>IFERROR(INDEX('04A_국토부원자료'!$A:$T,ROW()+1,MATCH("시군구",'04A_국토부원자료'!$A$4:$T$4,0)),"")</f>
        <v/>
      </c>
      <c r="C886" s="48">
        <f>IF(B886="","",IFERROR(INDEX('04A_국토부원자료'!$A:$T,ROW()+1,MATCH("번지",'04A_국토부원자료'!$A$4:$T$4,0)),""))</f>
        <v/>
      </c>
      <c r="D886" s="48">
        <f>IF(B886="","",IF(Q886=1,'02_대상물건입력'!$B$8,IFERROR(INDEX('04A_국토부원자료'!$A:$T,ROW()+1,MATCH("단지명",'04A_국토부원자료'!$A$4:$T$4,0)),"")))</f>
        <v/>
      </c>
      <c r="E886" s="172">
        <f>IFERROR(VALUE(SUBSTITUTE(INDEX('04A_국토부원자료'!$A:$T,ROW()+1,MATCH("전용면적(㎡)",'04A_국토부원자료'!$A$4:$T$4,0)),",","")),"")</f>
        <v/>
      </c>
      <c r="F8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86" s="51">
        <f>IFERROR(VALUE(SUBSTITUTE(INDEX('04A_국토부원자료'!$A:$T,ROW()+1,MATCH("거래금액(만원)",'04A_국토부원자료'!$A$4:$T$4,0)),",","")),"")</f>
        <v/>
      </c>
      <c r="H886" s="174">
        <f>IF(G886="","",G886*10000)</f>
        <v/>
      </c>
      <c r="I886" s="174">
        <f>IFERROR(IF(AND(H886&gt;0,E886&gt;0),H886/E886,""),"")</f>
        <v/>
      </c>
      <c r="J886" s="152">
        <f>IFERROR(VALUE(SUBSTITUTE(INDEX('04A_국토부원자료'!$A:$T,ROW()+1,MATCH("층",'04A_국토부원자료'!$A$4:$T$4,0)),",","")),"")</f>
        <v/>
      </c>
      <c r="K886" s="152">
        <f>IFERROR(VALUE(SUBSTITUTE(INDEX('04A_국토부원자료'!$A:$T,ROW()+1,MATCH("건축년도",'04A_국토부원자료'!$A$4:$T$4,0)),",","")),"")</f>
        <v/>
      </c>
      <c r="L886" s="176">
        <f>IFERROR(INDEX('04A_국토부원자료'!$A:$T,ROW()+1,MATCH("도로명",'04A_국토부원자료'!$A$4:$T$4,0)),"")</f>
        <v/>
      </c>
      <c r="M886" s="48">
        <f>IFERROR(INDEX('04A_국토부원자료'!$A:$T,ROW()+1,MATCH("거래유형",'04A_국토부원자료'!$A$4:$T$4,0)),"")</f>
        <v/>
      </c>
      <c r="N886" s="152">
        <f>IF(B886="","",IF('02_대상물건입력'!B5="",1,IF(ISNUMBER(SEARCH('02_대상물건입력'!B5,B886)),1,0)))</f>
        <v/>
      </c>
      <c r="O886" s="152">
        <f>IF(B886="","",IF('02_대상물건입력'!B6="",1,IF(ISNUMBER(SEARCH('02_대상물건입력'!B6,B886)),1,0)))</f>
        <v/>
      </c>
      <c r="P886" s="152">
        <f>IF(L886="","",IF('02_대상물건입력'!B15="",0,IF(ISNUMBER(SEARCH('02_대상물건입력'!B15,L886)),1,0)))</f>
        <v/>
      </c>
      <c r="Q886" s="152">
        <f>IF(OR(C886="",L886=""),0,IF(AND(TRIM(C886)=TRIM(RIGHT(SUBSTITUTE(TRIM('02_대상물건입력'!$B$7)," ",REPT(" ",99)),99)),IF('02_대상물건입력'!B15="",TRUE(),ISNUMBER(SEARCH('02_대상물건입력'!B15,L886)))),1,0))</f>
        <v/>
      </c>
      <c r="R886" s="175">
        <f>IFERROR(ABS(E886-'02_대상물건입력'!B11)/'02_대상물건입력'!B11,"")</f>
        <v/>
      </c>
      <c r="S886" s="152">
        <f>IFERROR(ABS(J886-'02_대상물건입력'!B10),"")</f>
        <v/>
      </c>
      <c r="T886" s="152">
        <f>IFERROR(ABS('01_설정'!B4-F886),"")</f>
        <v/>
      </c>
      <c r="U886" s="152">
        <f>IFERROR(ABS(K886-YEAR('02_대상물건입력'!B14)),"")</f>
        <v/>
      </c>
      <c r="V886" s="152">
        <f>IF(B886="","",IF(AND(E886&gt;0,F886&gt;0,H886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886=1,TRUE()),R886&lt;='01_설정'!B5,S886&lt;='01_설정'!B6,T886&lt;='01_설정'!B7,U886&lt;='01_설정'!B8),"Y",""))</f>
        <v/>
      </c>
      <c r="W886" s="172">
        <f>IF(V886&lt;&gt;"Y","",MAX(0,(1-R886/'01_설정'!B5))*'01_설정'!B14+MAX(0,(1-S886/'01_설정'!B6))*'01_설정'!B15+MAX(0,(1-T886/'01_설정'!B7))*'01_설정'!B16+MAX(0,(1-U886/'01_설정'!B8))*'01_설정'!B17+O886*'01_설정'!B11+Q886*'01_설정'!B12+P886*'01_설정'!B13+IF(Z886="",0,Z886))</f>
        <v/>
      </c>
      <c r="X886" s="152">
        <f>IF(W886="","",1+COUNTIFS($W$4:$W$3003,"&gt;"&amp;W886)+COUNTIFS($W$4:W886,W886)-1)</f>
        <v/>
      </c>
      <c r="Y886" s="175">
        <f>IF(OR(I886="",'02_대상물건입력'!B19="",'02_대상물건입력'!B19&lt;=0),"",ABS(I886-'02_대상물건입력'!B19)/'02_대상물건입력'!B19)</f>
        <v/>
      </c>
      <c r="Z886" s="172">
        <f>IF(OR(Y886="",'01_설정'!B31="",'01_설정'!B31&lt;=0,'01_설정'!B32="",'01_설정'!B32&lt;=0),"",MAX(0,(1-Y886/'01_설정'!B32))*'01_설정'!B31)</f>
        <v/>
      </c>
    </row>
    <row r="887" ht="17.25" customHeight="1">
      <c r="A887" s="152">
        <f>IF(INDEX('04A_국토부원자료'!$A:$A,ROW()+1)="","",ROW()-3)</f>
        <v/>
      </c>
      <c r="B887" s="48">
        <f>IFERROR(INDEX('04A_국토부원자료'!$A:$T,ROW()+1,MATCH("시군구",'04A_국토부원자료'!$A$4:$T$4,0)),"")</f>
        <v/>
      </c>
      <c r="C887" s="48">
        <f>IF(B887="","",IFERROR(INDEX('04A_국토부원자료'!$A:$T,ROW()+1,MATCH("번지",'04A_국토부원자료'!$A$4:$T$4,0)),""))</f>
        <v/>
      </c>
      <c r="D887" s="48">
        <f>IF(B887="","",IF(Q887=1,'02_대상물건입력'!$B$8,IFERROR(INDEX('04A_국토부원자료'!$A:$T,ROW()+1,MATCH("단지명",'04A_국토부원자료'!$A$4:$T$4,0)),"")))</f>
        <v/>
      </c>
      <c r="E887" s="172">
        <f>IFERROR(VALUE(SUBSTITUTE(INDEX('04A_국토부원자료'!$A:$T,ROW()+1,MATCH("전용면적(㎡)",'04A_국토부원자료'!$A$4:$T$4,0)),",","")),"")</f>
        <v/>
      </c>
      <c r="F8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87" s="51">
        <f>IFERROR(VALUE(SUBSTITUTE(INDEX('04A_국토부원자료'!$A:$T,ROW()+1,MATCH("거래금액(만원)",'04A_국토부원자료'!$A$4:$T$4,0)),",","")),"")</f>
        <v/>
      </c>
      <c r="H887" s="174">
        <f>IF(G887="","",G887*10000)</f>
        <v/>
      </c>
      <c r="I887" s="174">
        <f>IFERROR(IF(AND(H887&gt;0,E887&gt;0),H887/E887,""),"")</f>
        <v/>
      </c>
      <c r="J887" s="152">
        <f>IFERROR(VALUE(SUBSTITUTE(INDEX('04A_국토부원자료'!$A:$T,ROW()+1,MATCH("층",'04A_국토부원자료'!$A$4:$T$4,0)),",","")),"")</f>
        <v/>
      </c>
      <c r="K887" s="152">
        <f>IFERROR(VALUE(SUBSTITUTE(INDEX('04A_국토부원자료'!$A:$T,ROW()+1,MATCH("건축년도",'04A_국토부원자료'!$A$4:$T$4,0)),",","")),"")</f>
        <v/>
      </c>
      <c r="L887" s="176">
        <f>IFERROR(INDEX('04A_국토부원자료'!$A:$T,ROW()+1,MATCH("도로명",'04A_국토부원자료'!$A$4:$T$4,0)),"")</f>
        <v/>
      </c>
      <c r="M887" s="48">
        <f>IFERROR(INDEX('04A_국토부원자료'!$A:$T,ROW()+1,MATCH("거래유형",'04A_국토부원자료'!$A$4:$T$4,0)),"")</f>
        <v/>
      </c>
      <c r="N887" s="152">
        <f>IF(B887="","",IF('02_대상물건입력'!B5="",1,IF(ISNUMBER(SEARCH('02_대상물건입력'!B5,B887)),1,0)))</f>
        <v/>
      </c>
      <c r="O887" s="152">
        <f>IF(B887="","",IF('02_대상물건입력'!B6="",1,IF(ISNUMBER(SEARCH('02_대상물건입력'!B6,B887)),1,0)))</f>
        <v/>
      </c>
      <c r="P887" s="152">
        <f>IF(L887="","",IF('02_대상물건입력'!B15="",0,IF(ISNUMBER(SEARCH('02_대상물건입력'!B15,L887)),1,0)))</f>
        <v/>
      </c>
      <c r="Q887" s="152">
        <f>IF(OR(C887="",L887=""),0,IF(AND(TRIM(C887)=TRIM(RIGHT(SUBSTITUTE(TRIM('02_대상물건입력'!$B$7)," ",REPT(" ",99)),99)),IF('02_대상물건입력'!B15="",TRUE(),ISNUMBER(SEARCH('02_대상물건입력'!B15,L887)))),1,0))</f>
        <v/>
      </c>
      <c r="R887" s="175">
        <f>IFERROR(ABS(E887-'02_대상물건입력'!B11)/'02_대상물건입력'!B11,"")</f>
        <v/>
      </c>
      <c r="S887" s="152">
        <f>IFERROR(ABS(J887-'02_대상물건입력'!B10),"")</f>
        <v/>
      </c>
      <c r="T887" s="152">
        <f>IFERROR(ABS('01_설정'!B4-F887),"")</f>
        <v/>
      </c>
      <c r="U887" s="152">
        <f>IFERROR(ABS(K887-YEAR('02_대상물건입력'!B14)),"")</f>
        <v/>
      </c>
      <c r="V887" s="152">
        <f>IF(B887="","",IF(AND(E887&gt;0,F887&gt;0,H887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887=1,TRUE()),R887&lt;='01_설정'!B5,S887&lt;='01_설정'!B6,T887&lt;='01_설정'!B7,U887&lt;='01_설정'!B8),"Y",""))</f>
        <v/>
      </c>
      <c r="W887" s="172">
        <f>IF(V887&lt;&gt;"Y","",MAX(0,(1-R887/'01_설정'!B5))*'01_설정'!B14+MAX(0,(1-S887/'01_설정'!B6))*'01_설정'!B15+MAX(0,(1-T887/'01_설정'!B7))*'01_설정'!B16+MAX(0,(1-U887/'01_설정'!B8))*'01_설정'!B17+O887*'01_설정'!B11+Q887*'01_설정'!B12+P887*'01_설정'!B13+IF(Z887="",0,Z887))</f>
        <v/>
      </c>
      <c r="X887" s="152">
        <f>IF(W887="","",1+COUNTIFS($W$4:$W$3003,"&gt;"&amp;W887)+COUNTIFS($W$4:W887,W887)-1)</f>
        <v/>
      </c>
      <c r="Y887" s="175">
        <f>IF(OR(I887="",'02_대상물건입력'!B19="",'02_대상물건입력'!B19&lt;=0),"",ABS(I887-'02_대상물건입력'!B19)/'02_대상물건입력'!B19)</f>
        <v/>
      </c>
      <c r="Z887" s="172">
        <f>IF(OR(Y887="",'01_설정'!B31="",'01_설정'!B31&lt;=0,'01_설정'!B32="",'01_설정'!B32&lt;=0),"",MAX(0,(1-Y887/'01_설정'!B32))*'01_설정'!B31)</f>
        <v/>
      </c>
    </row>
    <row r="888" ht="17.25" customHeight="1">
      <c r="A888" s="152">
        <f>IF(INDEX('04A_국토부원자료'!$A:$A,ROW()+1)="","",ROW()-3)</f>
        <v/>
      </c>
      <c r="B888" s="48">
        <f>IFERROR(INDEX('04A_국토부원자료'!$A:$T,ROW()+1,MATCH("시군구",'04A_국토부원자료'!$A$4:$T$4,0)),"")</f>
        <v/>
      </c>
      <c r="C888" s="48">
        <f>IF(B888="","",IFERROR(INDEX('04A_국토부원자료'!$A:$T,ROW()+1,MATCH("번지",'04A_국토부원자료'!$A$4:$T$4,0)),""))</f>
        <v/>
      </c>
      <c r="D888" s="48">
        <f>IF(B888="","",IF(Q888=1,'02_대상물건입력'!$B$8,IFERROR(INDEX('04A_국토부원자료'!$A:$T,ROW()+1,MATCH("단지명",'04A_국토부원자료'!$A$4:$T$4,0)),"")))</f>
        <v/>
      </c>
      <c r="E888" s="172">
        <f>IFERROR(VALUE(SUBSTITUTE(INDEX('04A_국토부원자료'!$A:$T,ROW()+1,MATCH("전용면적(㎡)",'04A_국토부원자료'!$A$4:$T$4,0)),",","")),"")</f>
        <v/>
      </c>
      <c r="F8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88" s="51">
        <f>IFERROR(VALUE(SUBSTITUTE(INDEX('04A_국토부원자료'!$A:$T,ROW()+1,MATCH("거래금액(만원)",'04A_국토부원자료'!$A$4:$T$4,0)),",","")),"")</f>
        <v/>
      </c>
      <c r="H888" s="174">
        <f>IF(G888="","",G888*10000)</f>
        <v/>
      </c>
      <c r="I888" s="174">
        <f>IFERROR(IF(AND(H888&gt;0,E888&gt;0),H888/E888,""),"")</f>
        <v/>
      </c>
      <c r="J888" s="152">
        <f>IFERROR(VALUE(SUBSTITUTE(INDEX('04A_국토부원자료'!$A:$T,ROW()+1,MATCH("층",'04A_국토부원자료'!$A$4:$T$4,0)),",","")),"")</f>
        <v/>
      </c>
      <c r="K888" s="152">
        <f>IFERROR(VALUE(SUBSTITUTE(INDEX('04A_국토부원자료'!$A:$T,ROW()+1,MATCH("건축년도",'04A_국토부원자료'!$A$4:$T$4,0)),",","")),"")</f>
        <v/>
      </c>
      <c r="L888" s="176">
        <f>IFERROR(INDEX('04A_국토부원자료'!$A:$T,ROW()+1,MATCH("도로명",'04A_국토부원자료'!$A$4:$T$4,0)),"")</f>
        <v/>
      </c>
      <c r="M888" s="48">
        <f>IFERROR(INDEX('04A_국토부원자료'!$A:$T,ROW()+1,MATCH("거래유형",'04A_국토부원자료'!$A$4:$T$4,0)),"")</f>
        <v/>
      </c>
      <c r="N888" s="152">
        <f>IF(B888="","",IF('02_대상물건입력'!B5="",1,IF(ISNUMBER(SEARCH('02_대상물건입력'!B5,B888)),1,0)))</f>
        <v/>
      </c>
      <c r="O888" s="152">
        <f>IF(B888="","",IF('02_대상물건입력'!B6="",1,IF(ISNUMBER(SEARCH('02_대상물건입력'!B6,B888)),1,0)))</f>
        <v/>
      </c>
      <c r="P888" s="152">
        <f>IF(L888="","",IF('02_대상물건입력'!B15="",0,IF(ISNUMBER(SEARCH('02_대상물건입력'!B15,L888)),1,0)))</f>
        <v/>
      </c>
      <c r="Q888" s="152">
        <f>IF(OR(C888="",L888=""),0,IF(AND(TRIM(C888)=TRIM(RIGHT(SUBSTITUTE(TRIM('02_대상물건입력'!$B$7)," ",REPT(" ",99)),99)),IF('02_대상물건입력'!B15="",TRUE(),ISNUMBER(SEARCH('02_대상물건입력'!B15,L888)))),1,0))</f>
        <v/>
      </c>
      <c r="R888" s="175">
        <f>IFERROR(ABS(E888-'02_대상물건입력'!B11)/'02_대상물건입력'!B11,"")</f>
        <v/>
      </c>
      <c r="S888" s="152">
        <f>IFERROR(ABS(J888-'02_대상물건입력'!B10),"")</f>
        <v/>
      </c>
      <c r="T888" s="152">
        <f>IFERROR(ABS('01_설정'!B4-F888),"")</f>
        <v/>
      </c>
      <c r="U888" s="152">
        <f>IFERROR(ABS(K888-YEAR('02_대상물건입력'!B14)),"")</f>
        <v/>
      </c>
      <c r="V888" s="152">
        <f>IF(B888="","",IF(AND(E888&gt;0,F888&gt;0,H888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888=1,TRUE()),R888&lt;='01_설정'!B5,S888&lt;='01_설정'!B6,T888&lt;='01_설정'!B7,U888&lt;='01_설정'!B8),"Y",""))</f>
        <v/>
      </c>
      <c r="W888" s="172">
        <f>IF(V888&lt;&gt;"Y","",MAX(0,(1-R888/'01_설정'!B5))*'01_설정'!B14+MAX(0,(1-S888/'01_설정'!B6))*'01_설정'!B15+MAX(0,(1-T888/'01_설정'!B7))*'01_설정'!B16+MAX(0,(1-U888/'01_설정'!B8))*'01_설정'!B17+O888*'01_설정'!B11+Q888*'01_설정'!B12+P888*'01_설정'!B13+IF(Z888="",0,Z888))</f>
        <v/>
      </c>
      <c r="X888" s="152">
        <f>IF(W888="","",1+COUNTIFS($W$4:$W$3003,"&gt;"&amp;W888)+COUNTIFS($W$4:W888,W888)-1)</f>
        <v/>
      </c>
      <c r="Y888" s="175">
        <f>IF(OR(I888="",'02_대상물건입력'!B19="",'02_대상물건입력'!B19&lt;=0),"",ABS(I888-'02_대상물건입력'!B19)/'02_대상물건입력'!B19)</f>
        <v/>
      </c>
      <c r="Z888" s="172">
        <f>IF(OR(Y888="",'01_설정'!B31="",'01_설정'!B31&lt;=0,'01_설정'!B32="",'01_설정'!B32&lt;=0),"",MAX(0,(1-Y888/'01_설정'!B32))*'01_설정'!B31)</f>
        <v/>
      </c>
    </row>
    <row r="889" ht="17.25" customHeight="1">
      <c r="A889" s="152">
        <f>IF(INDEX('04A_국토부원자료'!$A:$A,ROW()+1)="","",ROW()-3)</f>
        <v/>
      </c>
      <c r="B889" s="48">
        <f>IFERROR(INDEX('04A_국토부원자료'!$A:$T,ROW()+1,MATCH("시군구",'04A_국토부원자료'!$A$4:$T$4,0)),"")</f>
        <v/>
      </c>
      <c r="C889" s="48">
        <f>IF(B889="","",IFERROR(INDEX('04A_국토부원자료'!$A:$T,ROW()+1,MATCH("번지",'04A_국토부원자료'!$A$4:$T$4,0)),""))</f>
        <v/>
      </c>
      <c r="D889" s="48">
        <f>IF(B889="","",IF(Q889=1,'02_대상물건입력'!$B$8,IFERROR(INDEX('04A_국토부원자료'!$A:$T,ROW()+1,MATCH("단지명",'04A_국토부원자료'!$A$4:$T$4,0)),"")))</f>
        <v/>
      </c>
      <c r="E889" s="172">
        <f>IFERROR(VALUE(SUBSTITUTE(INDEX('04A_국토부원자료'!$A:$T,ROW()+1,MATCH("전용면적(㎡)",'04A_국토부원자료'!$A$4:$T$4,0)),",","")),"")</f>
        <v/>
      </c>
      <c r="F8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89" s="51">
        <f>IFERROR(VALUE(SUBSTITUTE(INDEX('04A_국토부원자료'!$A:$T,ROW()+1,MATCH("거래금액(만원)",'04A_국토부원자료'!$A$4:$T$4,0)),",","")),"")</f>
        <v/>
      </c>
      <c r="H889" s="174">
        <f>IF(G889="","",G889*10000)</f>
        <v/>
      </c>
      <c r="I889" s="174">
        <f>IFERROR(IF(AND(H889&gt;0,E889&gt;0),H889/E889,""),"")</f>
        <v/>
      </c>
      <c r="J889" s="152">
        <f>IFERROR(VALUE(SUBSTITUTE(INDEX('04A_국토부원자료'!$A:$T,ROW()+1,MATCH("층",'04A_국토부원자료'!$A$4:$T$4,0)),",","")),"")</f>
        <v/>
      </c>
      <c r="K889" s="152">
        <f>IFERROR(VALUE(SUBSTITUTE(INDEX('04A_국토부원자료'!$A:$T,ROW()+1,MATCH("건축년도",'04A_국토부원자료'!$A$4:$T$4,0)),",","")),"")</f>
        <v/>
      </c>
      <c r="L889" s="176">
        <f>IFERROR(INDEX('04A_국토부원자료'!$A:$T,ROW()+1,MATCH("도로명",'04A_국토부원자료'!$A$4:$T$4,0)),"")</f>
        <v/>
      </c>
      <c r="M889" s="48">
        <f>IFERROR(INDEX('04A_국토부원자료'!$A:$T,ROW()+1,MATCH("거래유형",'04A_국토부원자료'!$A$4:$T$4,0)),"")</f>
        <v/>
      </c>
      <c r="N889" s="152">
        <f>IF(B889="","",IF('02_대상물건입력'!B5="",1,IF(ISNUMBER(SEARCH('02_대상물건입력'!B5,B889)),1,0)))</f>
        <v/>
      </c>
      <c r="O889" s="152">
        <f>IF(B889="","",IF('02_대상물건입력'!B6="",1,IF(ISNUMBER(SEARCH('02_대상물건입력'!B6,B889)),1,0)))</f>
        <v/>
      </c>
      <c r="P889" s="152">
        <f>IF(L889="","",IF('02_대상물건입력'!B15="",0,IF(ISNUMBER(SEARCH('02_대상물건입력'!B15,L889)),1,0)))</f>
        <v/>
      </c>
      <c r="Q889" s="152">
        <f>IF(OR(C889="",L889=""),0,IF(AND(TRIM(C889)=TRIM(RIGHT(SUBSTITUTE(TRIM('02_대상물건입력'!$B$7)," ",REPT(" ",99)),99)),IF('02_대상물건입력'!B15="",TRUE(),ISNUMBER(SEARCH('02_대상물건입력'!B15,L889)))),1,0))</f>
        <v/>
      </c>
      <c r="R889" s="175">
        <f>IFERROR(ABS(E889-'02_대상물건입력'!B11)/'02_대상물건입력'!B11,"")</f>
        <v/>
      </c>
      <c r="S889" s="152">
        <f>IFERROR(ABS(J889-'02_대상물건입력'!B10),"")</f>
        <v/>
      </c>
      <c r="T889" s="152">
        <f>IFERROR(ABS('01_설정'!B4-F889),"")</f>
        <v/>
      </c>
      <c r="U889" s="152">
        <f>IFERROR(ABS(K889-YEAR('02_대상물건입력'!B14)),"")</f>
        <v/>
      </c>
      <c r="V889" s="152">
        <f>IF(B889="","",IF(AND(E889&gt;0,F889&gt;0,H889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889=1,TRUE()),R889&lt;='01_설정'!B5,S889&lt;='01_설정'!B6,T889&lt;='01_설정'!B7,U889&lt;='01_설정'!B8),"Y",""))</f>
        <v/>
      </c>
      <c r="W889" s="172">
        <f>IF(V889&lt;&gt;"Y","",MAX(0,(1-R889/'01_설정'!B5))*'01_설정'!B14+MAX(0,(1-S889/'01_설정'!B6))*'01_설정'!B15+MAX(0,(1-T889/'01_설정'!B7))*'01_설정'!B16+MAX(0,(1-U889/'01_설정'!B8))*'01_설정'!B17+O889*'01_설정'!B11+Q889*'01_설정'!B12+P889*'01_설정'!B13+IF(Z889="",0,Z889))</f>
        <v/>
      </c>
      <c r="X889" s="152">
        <f>IF(W889="","",1+COUNTIFS($W$4:$W$3003,"&gt;"&amp;W889)+COUNTIFS($W$4:W889,W889)-1)</f>
        <v/>
      </c>
      <c r="Y889" s="175">
        <f>IF(OR(I889="",'02_대상물건입력'!B19="",'02_대상물건입력'!B19&lt;=0),"",ABS(I889-'02_대상물건입력'!B19)/'02_대상물건입력'!B19)</f>
        <v/>
      </c>
      <c r="Z889" s="172">
        <f>IF(OR(Y889="",'01_설정'!B31="",'01_설정'!B31&lt;=0,'01_설정'!B32="",'01_설정'!B32&lt;=0),"",MAX(0,(1-Y889/'01_설정'!B32))*'01_설정'!B31)</f>
        <v/>
      </c>
    </row>
    <row r="890" ht="17.25" customHeight="1">
      <c r="A890" s="152">
        <f>IF(INDEX('04A_국토부원자료'!$A:$A,ROW()+1)="","",ROW()-3)</f>
        <v/>
      </c>
      <c r="B890" s="48">
        <f>IFERROR(INDEX('04A_국토부원자료'!$A:$T,ROW()+1,MATCH("시군구",'04A_국토부원자료'!$A$4:$T$4,0)),"")</f>
        <v/>
      </c>
      <c r="C890" s="48">
        <f>IF(B890="","",IFERROR(INDEX('04A_국토부원자료'!$A:$T,ROW()+1,MATCH("번지",'04A_국토부원자료'!$A$4:$T$4,0)),""))</f>
        <v/>
      </c>
      <c r="D890" s="48">
        <f>IF(B890="","",IF(Q890=1,'02_대상물건입력'!$B$8,IFERROR(INDEX('04A_국토부원자료'!$A:$T,ROW()+1,MATCH("단지명",'04A_국토부원자료'!$A$4:$T$4,0)),"")))</f>
        <v/>
      </c>
      <c r="E890" s="172">
        <f>IFERROR(VALUE(SUBSTITUTE(INDEX('04A_국토부원자료'!$A:$T,ROW()+1,MATCH("전용면적(㎡)",'04A_국토부원자료'!$A$4:$T$4,0)),",","")),"")</f>
        <v/>
      </c>
      <c r="F8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90" s="51">
        <f>IFERROR(VALUE(SUBSTITUTE(INDEX('04A_국토부원자료'!$A:$T,ROW()+1,MATCH("거래금액(만원)",'04A_국토부원자료'!$A$4:$T$4,0)),",","")),"")</f>
        <v/>
      </c>
      <c r="H890" s="174">
        <f>IF(G890="","",G890*10000)</f>
        <v/>
      </c>
      <c r="I890" s="174">
        <f>IFERROR(IF(AND(H890&gt;0,E890&gt;0),H890/E890,""),"")</f>
        <v/>
      </c>
      <c r="J890" s="152">
        <f>IFERROR(VALUE(SUBSTITUTE(INDEX('04A_국토부원자료'!$A:$T,ROW()+1,MATCH("층",'04A_국토부원자료'!$A$4:$T$4,0)),",","")),"")</f>
        <v/>
      </c>
      <c r="K890" s="152">
        <f>IFERROR(VALUE(SUBSTITUTE(INDEX('04A_국토부원자료'!$A:$T,ROW()+1,MATCH("건축년도",'04A_국토부원자료'!$A$4:$T$4,0)),",","")),"")</f>
        <v/>
      </c>
      <c r="L890" s="176">
        <f>IFERROR(INDEX('04A_국토부원자료'!$A:$T,ROW()+1,MATCH("도로명",'04A_국토부원자료'!$A$4:$T$4,0)),"")</f>
        <v/>
      </c>
      <c r="M890" s="48">
        <f>IFERROR(INDEX('04A_국토부원자료'!$A:$T,ROW()+1,MATCH("거래유형",'04A_국토부원자료'!$A$4:$T$4,0)),"")</f>
        <v/>
      </c>
      <c r="N890" s="152">
        <f>IF(B890="","",IF('02_대상물건입력'!B5="",1,IF(ISNUMBER(SEARCH('02_대상물건입력'!B5,B890)),1,0)))</f>
        <v/>
      </c>
      <c r="O890" s="152">
        <f>IF(B890="","",IF('02_대상물건입력'!B6="",1,IF(ISNUMBER(SEARCH('02_대상물건입력'!B6,B890)),1,0)))</f>
        <v/>
      </c>
      <c r="P890" s="152">
        <f>IF(L890="","",IF('02_대상물건입력'!B15="",0,IF(ISNUMBER(SEARCH('02_대상물건입력'!B15,L890)),1,0)))</f>
        <v/>
      </c>
      <c r="Q890" s="152">
        <f>IF(OR(C890="",L890=""),0,IF(AND(TRIM(C890)=TRIM(RIGHT(SUBSTITUTE(TRIM('02_대상물건입력'!$B$7)," ",REPT(" ",99)),99)),IF('02_대상물건입력'!B15="",TRUE(),ISNUMBER(SEARCH('02_대상물건입력'!B15,L890)))),1,0))</f>
        <v/>
      </c>
      <c r="R890" s="175">
        <f>IFERROR(ABS(E890-'02_대상물건입력'!B11)/'02_대상물건입력'!B11,"")</f>
        <v/>
      </c>
      <c r="S890" s="152">
        <f>IFERROR(ABS(J890-'02_대상물건입력'!B10),"")</f>
        <v/>
      </c>
      <c r="T890" s="152">
        <f>IFERROR(ABS('01_설정'!B4-F890),"")</f>
        <v/>
      </c>
      <c r="U890" s="152">
        <f>IFERROR(ABS(K890-YEAR('02_대상물건입력'!B14)),"")</f>
        <v/>
      </c>
      <c r="V890" s="152">
        <f>IF(B890="","",IF(AND(E890&gt;0,F890&gt;0,H890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890=1,TRUE()),R890&lt;='01_설정'!B5,S890&lt;='01_설정'!B6,T890&lt;='01_설정'!B7,U890&lt;='01_설정'!B8),"Y",""))</f>
        <v/>
      </c>
      <c r="W890" s="172">
        <f>IF(V890&lt;&gt;"Y","",MAX(0,(1-R890/'01_설정'!B5))*'01_설정'!B14+MAX(0,(1-S890/'01_설정'!B6))*'01_설정'!B15+MAX(0,(1-T890/'01_설정'!B7))*'01_설정'!B16+MAX(0,(1-U890/'01_설정'!B8))*'01_설정'!B17+O890*'01_설정'!B11+Q890*'01_설정'!B12+P890*'01_설정'!B13+IF(Z890="",0,Z890))</f>
        <v/>
      </c>
      <c r="X890" s="152">
        <f>IF(W890="","",1+COUNTIFS($W$4:$W$3003,"&gt;"&amp;W890)+COUNTIFS($W$4:W890,W890)-1)</f>
        <v/>
      </c>
      <c r="Y890" s="175">
        <f>IF(OR(I890="",'02_대상물건입력'!B19="",'02_대상물건입력'!B19&lt;=0),"",ABS(I890-'02_대상물건입력'!B19)/'02_대상물건입력'!B19)</f>
        <v/>
      </c>
      <c r="Z890" s="172">
        <f>IF(OR(Y890="",'01_설정'!B31="",'01_설정'!B31&lt;=0,'01_설정'!B32="",'01_설정'!B32&lt;=0),"",MAX(0,(1-Y890/'01_설정'!B32))*'01_설정'!B31)</f>
        <v/>
      </c>
    </row>
    <row r="891" ht="17.25" customHeight="1">
      <c r="A891" s="152">
        <f>IF(INDEX('04A_국토부원자료'!$A:$A,ROW()+1)="","",ROW()-3)</f>
        <v/>
      </c>
      <c r="B891" s="48">
        <f>IFERROR(INDEX('04A_국토부원자료'!$A:$T,ROW()+1,MATCH("시군구",'04A_국토부원자료'!$A$4:$T$4,0)),"")</f>
        <v/>
      </c>
      <c r="C891" s="48">
        <f>IF(B891="","",IFERROR(INDEX('04A_국토부원자료'!$A:$T,ROW()+1,MATCH("번지",'04A_국토부원자료'!$A$4:$T$4,0)),""))</f>
        <v/>
      </c>
      <c r="D891" s="48">
        <f>IF(B891="","",IF(Q891=1,'02_대상물건입력'!$B$8,IFERROR(INDEX('04A_국토부원자료'!$A:$T,ROW()+1,MATCH("단지명",'04A_국토부원자료'!$A$4:$T$4,0)),"")))</f>
        <v/>
      </c>
      <c r="E891" s="172">
        <f>IFERROR(VALUE(SUBSTITUTE(INDEX('04A_국토부원자료'!$A:$T,ROW()+1,MATCH("전용면적(㎡)",'04A_국토부원자료'!$A$4:$T$4,0)),",","")),"")</f>
        <v/>
      </c>
      <c r="F8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91" s="51">
        <f>IFERROR(VALUE(SUBSTITUTE(INDEX('04A_국토부원자료'!$A:$T,ROW()+1,MATCH("거래금액(만원)",'04A_국토부원자료'!$A$4:$T$4,0)),",","")),"")</f>
        <v/>
      </c>
      <c r="H891" s="174">
        <f>IF(G891="","",G891*10000)</f>
        <v/>
      </c>
      <c r="I891" s="174">
        <f>IFERROR(IF(AND(H891&gt;0,E891&gt;0),H891/E891,""),"")</f>
        <v/>
      </c>
      <c r="J891" s="152">
        <f>IFERROR(VALUE(SUBSTITUTE(INDEX('04A_국토부원자료'!$A:$T,ROW()+1,MATCH("층",'04A_국토부원자료'!$A$4:$T$4,0)),",","")),"")</f>
        <v/>
      </c>
      <c r="K891" s="152">
        <f>IFERROR(VALUE(SUBSTITUTE(INDEX('04A_국토부원자료'!$A:$T,ROW()+1,MATCH("건축년도",'04A_국토부원자료'!$A$4:$T$4,0)),",","")),"")</f>
        <v/>
      </c>
      <c r="L891" s="176">
        <f>IFERROR(INDEX('04A_국토부원자료'!$A:$T,ROW()+1,MATCH("도로명",'04A_국토부원자료'!$A$4:$T$4,0)),"")</f>
        <v/>
      </c>
      <c r="M891" s="48">
        <f>IFERROR(INDEX('04A_국토부원자료'!$A:$T,ROW()+1,MATCH("거래유형",'04A_국토부원자료'!$A$4:$T$4,0)),"")</f>
        <v/>
      </c>
      <c r="N891" s="152">
        <f>IF(B891="","",IF('02_대상물건입력'!B5="",1,IF(ISNUMBER(SEARCH('02_대상물건입력'!B5,B891)),1,0)))</f>
        <v/>
      </c>
      <c r="O891" s="152">
        <f>IF(B891="","",IF('02_대상물건입력'!B6="",1,IF(ISNUMBER(SEARCH('02_대상물건입력'!B6,B891)),1,0)))</f>
        <v/>
      </c>
      <c r="P891" s="152">
        <f>IF(L891="","",IF('02_대상물건입력'!B15="",0,IF(ISNUMBER(SEARCH('02_대상물건입력'!B15,L891)),1,0)))</f>
        <v/>
      </c>
      <c r="Q891" s="152">
        <f>IF(OR(C891="",L891=""),0,IF(AND(TRIM(C891)=TRIM(RIGHT(SUBSTITUTE(TRIM('02_대상물건입력'!$B$7)," ",REPT(" ",99)),99)),IF('02_대상물건입력'!B15="",TRUE(),ISNUMBER(SEARCH('02_대상물건입력'!B15,L891)))),1,0))</f>
        <v/>
      </c>
      <c r="R891" s="175">
        <f>IFERROR(ABS(E891-'02_대상물건입력'!B11)/'02_대상물건입력'!B11,"")</f>
        <v/>
      </c>
      <c r="S891" s="152">
        <f>IFERROR(ABS(J891-'02_대상물건입력'!B10),"")</f>
        <v/>
      </c>
      <c r="T891" s="152">
        <f>IFERROR(ABS('01_설정'!B4-F891),"")</f>
        <v/>
      </c>
      <c r="U891" s="152">
        <f>IFERROR(ABS(K891-YEAR('02_대상물건입력'!B14)),"")</f>
        <v/>
      </c>
      <c r="V891" s="152">
        <f>IF(B891="","",IF(AND(E891&gt;0,F891&gt;0,H891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891=1,TRUE()),R891&lt;='01_설정'!B5,S891&lt;='01_설정'!B6,T891&lt;='01_설정'!B7,U891&lt;='01_설정'!B8),"Y",""))</f>
        <v/>
      </c>
      <c r="W891" s="172">
        <f>IF(V891&lt;&gt;"Y","",MAX(0,(1-R891/'01_설정'!B5))*'01_설정'!B14+MAX(0,(1-S891/'01_설정'!B6))*'01_설정'!B15+MAX(0,(1-T891/'01_설정'!B7))*'01_설정'!B16+MAX(0,(1-U891/'01_설정'!B8))*'01_설정'!B17+O891*'01_설정'!B11+Q891*'01_설정'!B12+P891*'01_설정'!B13+IF(Z891="",0,Z891))</f>
        <v/>
      </c>
      <c r="X891" s="152">
        <f>IF(W891="","",1+COUNTIFS($W$4:$W$3003,"&gt;"&amp;W891)+COUNTIFS($W$4:W891,W891)-1)</f>
        <v/>
      </c>
      <c r="Y891" s="175">
        <f>IF(OR(I891="",'02_대상물건입력'!B19="",'02_대상물건입력'!B19&lt;=0),"",ABS(I891-'02_대상물건입력'!B19)/'02_대상물건입력'!B19)</f>
        <v/>
      </c>
      <c r="Z891" s="172">
        <f>IF(OR(Y891="",'01_설정'!B31="",'01_설정'!B31&lt;=0,'01_설정'!B32="",'01_설정'!B32&lt;=0),"",MAX(0,(1-Y891/'01_설정'!B32))*'01_설정'!B31)</f>
        <v/>
      </c>
    </row>
    <row r="892" ht="17.25" customHeight="1">
      <c r="A892" s="152">
        <f>IF(INDEX('04A_국토부원자료'!$A:$A,ROW()+1)="","",ROW()-3)</f>
        <v/>
      </c>
      <c r="B892" s="48">
        <f>IFERROR(INDEX('04A_국토부원자료'!$A:$T,ROW()+1,MATCH("시군구",'04A_국토부원자료'!$A$4:$T$4,0)),"")</f>
        <v/>
      </c>
      <c r="C892" s="48">
        <f>IF(B892="","",IFERROR(INDEX('04A_국토부원자료'!$A:$T,ROW()+1,MATCH("번지",'04A_국토부원자료'!$A$4:$T$4,0)),""))</f>
        <v/>
      </c>
      <c r="D892" s="48">
        <f>IF(B892="","",IF(Q892=1,'02_대상물건입력'!$B$8,IFERROR(INDEX('04A_국토부원자료'!$A:$T,ROW()+1,MATCH("단지명",'04A_국토부원자료'!$A$4:$T$4,0)),"")))</f>
        <v/>
      </c>
      <c r="E892" s="172">
        <f>IFERROR(VALUE(SUBSTITUTE(INDEX('04A_국토부원자료'!$A:$T,ROW()+1,MATCH("전용면적(㎡)",'04A_국토부원자료'!$A$4:$T$4,0)),",","")),"")</f>
        <v/>
      </c>
      <c r="F8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92" s="51">
        <f>IFERROR(VALUE(SUBSTITUTE(INDEX('04A_국토부원자료'!$A:$T,ROW()+1,MATCH("거래금액(만원)",'04A_국토부원자료'!$A$4:$T$4,0)),",","")),"")</f>
        <v/>
      </c>
      <c r="H892" s="174">
        <f>IF(G892="","",G892*10000)</f>
        <v/>
      </c>
      <c r="I892" s="174">
        <f>IFERROR(IF(AND(H892&gt;0,E892&gt;0),H892/E892,""),"")</f>
        <v/>
      </c>
      <c r="J892" s="152">
        <f>IFERROR(VALUE(SUBSTITUTE(INDEX('04A_국토부원자료'!$A:$T,ROW()+1,MATCH("층",'04A_국토부원자료'!$A$4:$T$4,0)),",","")),"")</f>
        <v/>
      </c>
      <c r="K892" s="152">
        <f>IFERROR(VALUE(SUBSTITUTE(INDEX('04A_국토부원자료'!$A:$T,ROW()+1,MATCH("건축년도",'04A_국토부원자료'!$A$4:$T$4,0)),",","")),"")</f>
        <v/>
      </c>
      <c r="L892" s="176">
        <f>IFERROR(INDEX('04A_국토부원자료'!$A:$T,ROW()+1,MATCH("도로명",'04A_국토부원자료'!$A$4:$T$4,0)),"")</f>
        <v/>
      </c>
      <c r="M892" s="48">
        <f>IFERROR(INDEX('04A_국토부원자료'!$A:$T,ROW()+1,MATCH("거래유형",'04A_국토부원자료'!$A$4:$T$4,0)),"")</f>
        <v/>
      </c>
      <c r="N892" s="152">
        <f>IF(B892="","",IF('02_대상물건입력'!B5="",1,IF(ISNUMBER(SEARCH('02_대상물건입력'!B5,B892)),1,0)))</f>
        <v/>
      </c>
      <c r="O892" s="152">
        <f>IF(B892="","",IF('02_대상물건입력'!B6="",1,IF(ISNUMBER(SEARCH('02_대상물건입력'!B6,B892)),1,0)))</f>
        <v/>
      </c>
      <c r="P892" s="152">
        <f>IF(L892="","",IF('02_대상물건입력'!B15="",0,IF(ISNUMBER(SEARCH('02_대상물건입력'!B15,L892)),1,0)))</f>
        <v/>
      </c>
      <c r="Q892" s="152">
        <f>IF(OR(C892="",L892=""),0,IF(AND(TRIM(C892)=TRIM(RIGHT(SUBSTITUTE(TRIM('02_대상물건입력'!$B$7)," ",REPT(" ",99)),99)),IF('02_대상물건입력'!B15="",TRUE(),ISNUMBER(SEARCH('02_대상물건입력'!B15,L892)))),1,0))</f>
        <v/>
      </c>
      <c r="R892" s="175">
        <f>IFERROR(ABS(E892-'02_대상물건입력'!B11)/'02_대상물건입력'!B11,"")</f>
        <v/>
      </c>
      <c r="S892" s="152">
        <f>IFERROR(ABS(J892-'02_대상물건입력'!B10),"")</f>
        <v/>
      </c>
      <c r="T892" s="152">
        <f>IFERROR(ABS('01_설정'!B4-F892),"")</f>
        <v/>
      </c>
      <c r="U892" s="152">
        <f>IFERROR(ABS(K892-YEAR('02_대상물건입력'!B14)),"")</f>
        <v/>
      </c>
      <c r="V892" s="152">
        <f>IF(B892="","",IF(AND(E892&gt;0,F892&gt;0,H892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892=1,TRUE()),R892&lt;='01_설정'!B5,S892&lt;='01_설정'!B6,T892&lt;='01_설정'!B7,U892&lt;='01_설정'!B8),"Y",""))</f>
        <v/>
      </c>
      <c r="W892" s="172">
        <f>IF(V892&lt;&gt;"Y","",MAX(0,(1-R892/'01_설정'!B5))*'01_설정'!B14+MAX(0,(1-S892/'01_설정'!B6))*'01_설정'!B15+MAX(0,(1-T892/'01_설정'!B7))*'01_설정'!B16+MAX(0,(1-U892/'01_설정'!B8))*'01_설정'!B17+O892*'01_설정'!B11+Q892*'01_설정'!B12+P892*'01_설정'!B13+IF(Z892="",0,Z892))</f>
        <v/>
      </c>
      <c r="X892" s="152">
        <f>IF(W892="","",1+COUNTIFS($W$4:$W$3003,"&gt;"&amp;W892)+COUNTIFS($W$4:W892,W892)-1)</f>
        <v/>
      </c>
      <c r="Y892" s="175">
        <f>IF(OR(I892="",'02_대상물건입력'!B19="",'02_대상물건입력'!B19&lt;=0),"",ABS(I892-'02_대상물건입력'!B19)/'02_대상물건입력'!B19)</f>
        <v/>
      </c>
      <c r="Z892" s="172">
        <f>IF(OR(Y892="",'01_설정'!B31="",'01_설정'!B31&lt;=0,'01_설정'!B32="",'01_설정'!B32&lt;=0),"",MAX(0,(1-Y892/'01_설정'!B32))*'01_설정'!B31)</f>
        <v/>
      </c>
    </row>
    <row r="893" ht="17.25" customHeight="1">
      <c r="A893" s="152">
        <f>IF(INDEX('04A_국토부원자료'!$A:$A,ROW()+1)="","",ROW()-3)</f>
        <v/>
      </c>
      <c r="B893" s="48">
        <f>IFERROR(INDEX('04A_국토부원자료'!$A:$T,ROW()+1,MATCH("시군구",'04A_국토부원자료'!$A$4:$T$4,0)),"")</f>
        <v/>
      </c>
      <c r="C893" s="48">
        <f>IF(B893="","",IFERROR(INDEX('04A_국토부원자료'!$A:$T,ROW()+1,MATCH("번지",'04A_국토부원자료'!$A$4:$T$4,0)),""))</f>
        <v/>
      </c>
      <c r="D893" s="48">
        <f>IF(B893="","",IF(Q893=1,'02_대상물건입력'!$B$8,IFERROR(INDEX('04A_국토부원자료'!$A:$T,ROW()+1,MATCH("단지명",'04A_국토부원자료'!$A$4:$T$4,0)),"")))</f>
        <v/>
      </c>
      <c r="E893" s="172">
        <f>IFERROR(VALUE(SUBSTITUTE(INDEX('04A_국토부원자료'!$A:$T,ROW()+1,MATCH("전용면적(㎡)",'04A_국토부원자료'!$A$4:$T$4,0)),",","")),"")</f>
        <v/>
      </c>
      <c r="F8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93" s="51">
        <f>IFERROR(VALUE(SUBSTITUTE(INDEX('04A_국토부원자료'!$A:$T,ROW()+1,MATCH("거래금액(만원)",'04A_국토부원자료'!$A$4:$T$4,0)),",","")),"")</f>
        <v/>
      </c>
      <c r="H893" s="174">
        <f>IF(G893="","",G893*10000)</f>
        <v/>
      </c>
      <c r="I893" s="174">
        <f>IFERROR(IF(AND(H893&gt;0,E893&gt;0),H893/E893,""),"")</f>
        <v/>
      </c>
      <c r="J893" s="152">
        <f>IFERROR(VALUE(SUBSTITUTE(INDEX('04A_국토부원자료'!$A:$T,ROW()+1,MATCH("층",'04A_국토부원자료'!$A$4:$T$4,0)),",","")),"")</f>
        <v/>
      </c>
      <c r="K893" s="152">
        <f>IFERROR(VALUE(SUBSTITUTE(INDEX('04A_국토부원자료'!$A:$T,ROW()+1,MATCH("건축년도",'04A_국토부원자료'!$A$4:$T$4,0)),",","")),"")</f>
        <v/>
      </c>
      <c r="L893" s="176">
        <f>IFERROR(INDEX('04A_국토부원자료'!$A:$T,ROW()+1,MATCH("도로명",'04A_국토부원자료'!$A$4:$T$4,0)),"")</f>
        <v/>
      </c>
      <c r="M893" s="48">
        <f>IFERROR(INDEX('04A_국토부원자료'!$A:$T,ROW()+1,MATCH("거래유형",'04A_국토부원자료'!$A$4:$T$4,0)),"")</f>
        <v/>
      </c>
      <c r="N893" s="152">
        <f>IF(B893="","",IF('02_대상물건입력'!B5="",1,IF(ISNUMBER(SEARCH('02_대상물건입력'!B5,B893)),1,0)))</f>
        <v/>
      </c>
      <c r="O893" s="152">
        <f>IF(B893="","",IF('02_대상물건입력'!B6="",1,IF(ISNUMBER(SEARCH('02_대상물건입력'!B6,B893)),1,0)))</f>
        <v/>
      </c>
      <c r="P893" s="152">
        <f>IF(L893="","",IF('02_대상물건입력'!B15="",0,IF(ISNUMBER(SEARCH('02_대상물건입력'!B15,L893)),1,0)))</f>
        <v/>
      </c>
      <c r="Q893" s="152">
        <f>IF(OR(C893="",L893=""),0,IF(AND(TRIM(C893)=TRIM(RIGHT(SUBSTITUTE(TRIM('02_대상물건입력'!$B$7)," ",REPT(" ",99)),99)),IF('02_대상물건입력'!B15="",TRUE(),ISNUMBER(SEARCH('02_대상물건입력'!B15,L893)))),1,0))</f>
        <v/>
      </c>
      <c r="R893" s="175">
        <f>IFERROR(ABS(E893-'02_대상물건입력'!B11)/'02_대상물건입력'!B11,"")</f>
        <v/>
      </c>
      <c r="S893" s="152">
        <f>IFERROR(ABS(J893-'02_대상물건입력'!B10),"")</f>
        <v/>
      </c>
      <c r="T893" s="152">
        <f>IFERROR(ABS('01_설정'!B4-F893),"")</f>
        <v/>
      </c>
      <c r="U893" s="152">
        <f>IFERROR(ABS(K893-YEAR('02_대상물건입력'!B14)),"")</f>
        <v/>
      </c>
      <c r="V893" s="152">
        <f>IF(B893="","",IF(AND(E893&gt;0,F893&gt;0,H893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893=1,TRUE()),R893&lt;='01_설정'!B5,S893&lt;='01_설정'!B6,T893&lt;='01_설정'!B7,U893&lt;='01_설정'!B8),"Y",""))</f>
        <v/>
      </c>
      <c r="W893" s="172">
        <f>IF(V893&lt;&gt;"Y","",MAX(0,(1-R893/'01_설정'!B5))*'01_설정'!B14+MAX(0,(1-S893/'01_설정'!B6))*'01_설정'!B15+MAX(0,(1-T893/'01_설정'!B7))*'01_설정'!B16+MAX(0,(1-U893/'01_설정'!B8))*'01_설정'!B17+O893*'01_설정'!B11+Q893*'01_설정'!B12+P893*'01_설정'!B13+IF(Z893="",0,Z893))</f>
        <v/>
      </c>
      <c r="X893" s="152">
        <f>IF(W893="","",1+COUNTIFS($W$4:$W$3003,"&gt;"&amp;W893)+COUNTIFS($W$4:W893,W893)-1)</f>
        <v/>
      </c>
      <c r="Y893" s="175">
        <f>IF(OR(I893="",'02_대상물건입력'!B19="",'02_대상물건입력'!B19&lt;=0),"",ABS(I893-'02_대상물건입력'!B19)/'02_대상물건입력'!B19)</f>
        <v/>
      </c>
      <c r="Z893" s="172">
        <f>IF(OR(Y893="",'01_설정'!B31="",'01_설정'!B31&lt;=0,'01_설정'!B32="",'01_설정'!B32&lt;=0),"",MAX(0,(1-Y893/'01_설정'!B32))*'01_설정'!B31)</f>
        <v/>
      </c>
    </row>
    <row r="894" ht="17.25" customHeight="1">
      <c r="A894" s="152">
        <f>IF(INDEX('04A_국토부원자료'!$A:$A,ROW()+1)="","",ROW()-3)</f>
        <v/>
      </c>
      <c r="B894" s="48">
        <f>IFERROR(INDEX('04A_국토부원자료'!$A:$T,ROW()+1,MATCH("시군구",'04A_국토부원자료'!$A$4:$T$4,0)),"")</f>
        <v/>
      </c>
      <c r="C894" s="48">
        <f>IF(B894="","",IFERROR(INDEX('04A_국토부원자료'!$A:$T,ROW()+1,MATCH("번지",'04A_국토부원자료'!$A$4:$T$4,0)),""))</f>
        <v/>
      </c>
      <c r="D894" s="48">
        <f>IF(B894="","",IF(Q894=1,'02_대상물건입력'!$B$8,IFERROR(INDEX('04A_국토부원자료'!$A:$T,ROW()+1,MATCH("단지명",'04A_국토부원자료'!$A$4:$T$4,0)),"")))</f>
        <v/>
      </c>
      <c r="E894" s="172">
        <f>IFERROR(VALUE(SUBSTITUTE(INDEX('04A_국토부원자료'!$A:$T,ROW()+1,MATCH("전용면적(㎡)",'04A_국토부원자료'!$A$4:$T$4,0)),",","")),"")</f>
        <v/>
      </c>
      <c r="F8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94" s="51">
        <f>IFERROR(VALUE(SUBSTITUTE(INDEX('04A_국토부원자료'!$A:$T,ROW()+1,MATCH("거래금액(만원)",'04A_국토부원자료'!$A$4:$T$4,0)),",","")),"")</f>
        <v/>
      </c>
      <c r="H894" s="174">
        <f>IF(G894="","",G894*10000)</f>
        <v/>
      </c>
      <c r="I894" s="174">
        <f>IFERROR(IF(AND(H894&gt;0,E894&gt;0),H894/E894,""),"")</f>
        <v/>
      </c>
      <c r="J894" s="152">
        <f>IFERROR(VALUE(SUBSTITUTE(INDEX('04A_국토부원자료'!$A:$T,ROW()+1,MATCH("층",'04A_국토부원자료'!$A$4:$T$4,0)),",","")),"")</f>
        <v/>
      </c>
      <c r="K894" s="152">
        <f>IFERROR(VALUE(SUBSTITUTE(INDEX('04A_국토부원자료'!$A:$T,ROW()+1,MATCH("건축년도",'04A_국토부원자료'!$A$4:$T$4,0)),",","")),"")</f>
        <v/>
      </c>
      <c r="L894" s="176">
        <f>IFERROR(INDEX('04A_국토부원자료'!$A:$T,ROW()+1,MATCH("도로명",'04A_국토부원자료'!$A$4:$T$4,0)),"")</f>
        <v/>
      </c>
      <c r="M894" s="48">
        <f>IFERROR(INDEX('04A_국토부원자료'!$A:$T,ROW()+1,MATCH("거래유형",'04A_국토부원자료'!$A$4:$T$4,0)),"")</f>
        <v/>
      </c>
      <c r="N894" s="152">
        <f>IF(B894="","",IF('02_대상물건입력'!B5="",1,IF(ISNUMBER(SEARCH('02_대상물건입력'!B5,B894)),1,0)))</f>
        <v/>
      </c>
      <c r="O894" s="152">
        <f>IF(B894="","",IF('02_대상물건입력'!B6="",1,IF(ISNUMBER(SEARCH('02_대상물건입력'!B6,B894)),1,0)))</f>
        <v/>
      </c>
      <c r="P894" s="152">
        <f>IF(L894="","",IF('02_대상물건입력'!B15="",0,IF(ISNUMBER(SEARCH('02_대상물건입력'!B15,L894)),1,0)))</f>
        <v/>
      </c>
      <c r="Q894" s="152">
        <f>IF(OR(C894="",L894=""),0,IF(AND(TRIM(C894)=TRIM(RIGHT(SUBSTITUTE(TRIM('02_대상물건입력'!$B$7)," ",REPT(" ",99)),99)),IF('02_대상물건입력'!B15="",TRUE(),ISNUMBER(SEARCH('02_대상물건입력'!B15,L894)))),1,0))</f>
        <v/>
      </c>
      <c r="R894" s="175">
        <f>IFERROR(ABS(E894-'02_대상물건입력'!B11)/'02_대상물건입력'!B11,"")</f>
        <v/>
      </c>
      <c r="S894" s="152">
        <f>IFERROR(ABS(J894-'02_대상물건입력'!B10),"")</f>
        <v/>
      </c>
      <c r="T894" s="152">
        <f>IFERROR(ABS('01_설정'!B4-F894),"")</f>
        <v/>
      </c>
      <c r="U894" s="152">
        <f>IFERROR(ABS(K894-YEAR('02_대상물건입력'!B14)),"")</f>
        <v/>
      </c>
      <c r="V894" s="152">
        <f>IF(B894="","",IF(AND(E894&gt;0,F894&gt;0,H894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894=1,TRUE()),R894&lt;='01_설정'!B5,S894&lt;='01_설정'!B6,T894&lt;='01_설정'!B7,U894&lt;='01_설정'!B8),"Y",""))</f>
        <v/>
      </c>
      <c r="W894" s="172">
        <f>IF(V894&lt;&gt;"Y","",MAX(0,(1-R894/'01_설정'!B5))*'01_설정'!B14+MAX(0,(1-S894/'01_설정'!B6))*'01_설정'!B15+MAX(0,(1-T894/'01_설정'!B7))*'01_설정'!B16+MAX(0,(1-U894/'01_설정'!B8))*'01_설정'!B17+O894*'01_설정'!B11+Q894*'01_설정'!B12+P894*'01_설정'!B13+IF(Z894="",0,Z894))</f>
        <v/>
      </c>
      <c r="X894" s="152">
        <f>IF(W894="","",1+COUNTIFS($W$4:$W$3003,"&gt;"&amp;W894)+COUNTIFS($W$4:W894,W894)-1)</f>
        <v/>
      </c>
      <c r="Y894" s="175">
        <f>IF(OR(I894="",'02_대상물건입력'!B19="",'02_대상물건입력'!B19&lt;=0),"",ABS(I894-'02_대상물건입력'!B19)/'02_대상물건입력'!B19)</f>
        <v/>
      </c>
      <c r="Z894" s="172">
        <f>IF(OR(Y894="",'01_설정'!B31="",'01_설정'!B31&lt;=0,'01_설정'!B32="",'01_설정'!B32&lt;=0),"",MAX(0,(1-Y894/'01_설정'!B32))*'01_설정'!B31)</f>
        <v/>
      </c>
    </row>
    <row r="895" ht="17.25" customHeight="1">
      <c r="A895" s="152">
        <f>IF(INDEX('04A_국토부원자료'!$A:$A,ROW()+1)="","",ROW()-3)</f>
        <v/>
      </c>
      <c r="B895" s="48">
        <f>IFERROR(INDEX('04A_국토부원자료'!$A:$T,ROW()+1,MATCH("시군구",'04A_국토부원자료'!$A$4:$T$4,0)),"")</f>
        <v/>
      </c>
      <c r="C895" s="48">
        <f>IF(B895="","",IFERROR(INDEX('04A_국토부원자료'!$A:$T,ROW()+1,MATCH("번지",'04A_국토부원자료'!$A$4:$T$4,0)),""))</f>
        <v/>
      </c>
      <c r="D895" s="48">
        <f>IF(B895="","",IF(Q895=1,'02_대상물건입력'!$B$8,IFERROR(INDEX('04A_국토부원자료'!$A:$T,ROW()+1,MATCH("단지명",'04A_국토부원자료'!$A$4:$T$4,0)),"")))</f>
        <v/>
      </c>
      <c r="E895" s="172">
        <f>IFERROR(VALUE(SUBSTITUTE(INDEX('04A_국토부원자료'!$A:$T,ROW()+1,MATCH("전용면적(㎡)",'04A_국토부원자료'!$A$4:$T$4,0)),",","")),"")</f>
        <v/>
      </c>
      <c r="F8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95" s="51">
        <f>IFERROR(VALUE(SUBSTITUTE(INDEX('04A_국토부원자료'!$A:$T,ROW()+1,MATCH("거래금액(만원)",'04A_국토부원자료'!$A$4:$T$4,0)),",","")),"")</f>
        <v/>
      </c>
      <c r="H895" s="174">
        <f>IF(G895="","",G895*10000)</f>
        <v/>
      </c>
      <c r="I895" s="174">
        <f>IFERROR(IF(AND(H895&gt;0,E895&gt;0),H895/E895,""),"")</f>
        <v/>
      </c>
      <c r="J895" s="152">
        <f>IFERROR(VALUE(SUBSTITUTE(INDEX('04A_국토부원자료'!$A:$T,ROW()+1,MATCH("층",'04A_국토부원자료'!$A$4:$T$4,0)),",","")),"")</f>
        <v/>
      </c>
      <c r="K895" s="152">
        <f>IFERROR(VALUE(SUBSTITUTE(INDEX('04A_국토부원자료'!$A:$T,ROW()+1,MATCH("건축년도",'04A_국토부원자료'!$A$4:$T$4,0)),",","")),"")</f>
        <v/>
      </c>
      <c r="L895" s="176">
        <f>IFERROR(INDEX('04A_국토부원자료'!$A:$T,ROW()+1,MATCH("도로명",'04A_국토부원자료'!$A$4:$T$4,0)),"")</f>
        <v/>
      </c>
      <c r="M895" s="48">
        <f>IFERROR(INDEX('04A_국토부원자료'!$A:$T,ROW()+1,MATCH("거래유형",'04A_국토부원자료'!$A$4:$T$4,0)),"")</f>
        <v/>
      </c>
      <c r="N895" s="152">
        <f>IF(B895="","",IF('02_대상물건입력'!B5="",1,IF(ISNUMBER(SEARCH('02_대상물건입력'!B5,B895)),1,0)))</f>
        <v/>
      </c>
      <c r="O895" s="152">
        <f>IF(B895="","",IF('02_대상물건입력'!B6="",1,IF(ISNUMBER(SEARCH('02_대상물건입력'!B6,B895)),1,0)))</f>
        <v/>
      </c>
      <c r="P895" s="152">
        <f>IF(L895="","",IF('02_대상물건입력'!B15="",0,IF(ISNUMBER(SEARCH('02_대상물건입력'!B15,L895)),1,0)))</f>
        <v/>
      </c>
      <c r="Q895" s="152">
        <f>IF(OR(C895="",L895=""),0,IF(AND(TRIM(C895)=TRIM(RIGHT(SUBSTITUTE(TRIM('02_대상물건입력'!$B$7)," ",REPT(" ",99)),99)),IF('02_대상물건입력'!B15="",TRUE(),ISNUMBER(SEARCH('02_대상물건입력'!B15,L895)))),1,0))</f>
        <v/>
      </c>
      <c r="R895" s="175">
        <f>IFERROR(ABS(E895-'02_대상물건입력'!B11)/'02_대상물건입력'!B11,"")</f>
        <v/>
      </c>
      <c r="S895" s="152">
        <f>IFERROR(ABS(J895-'02_대상물건입력'!B10),"")</f>
        <v/>
      </c>
      <c r="T895" s="152">
        <f>IFERROR(ABS('01_설정'!B4-F895),"")</f>
        <v/>
      </c>
      <c r="U895" s="152">
        <f>IFERROR(ABS(K895-YEAR('02_대상물건입력'!B14)),"")</f>
        <v/>
      </c>
      <c r="V895" s="152">
        <f>IF(B895="","",IF(AND(E895&gt;0,F895&gt;0,H895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895=1,TRUE()),R895&lt;='01_설정'!B5,S895&lt;='01_설정'!B6,T895&lt;='01_설정'!B7,U895&lt;='01_설정'!B8),"Y",""))</f>
        <v/>
      </c>
      <c r="W895" s="172">
        <f>IF(V895&lt;&gt;"Y","",MAX(0,(1-R895/'01_설정'!B5))*'01_설정'!B14+MAX(0,(1-S895/'01_설정'!B6))*'01_설정'!B15+MAX(0,(1-T895/'01_설정'!B7))*'01_설정'!B16+MAX(0,(1-U895/'01_설정'!B8))*'01_설정'!B17+O895*'01_설정'!B11+Q895*'01_설정'!B12+P895*'01_설정'!B13+IF(Z895="",0,Z895))</f>
        <v/>
      </c>
      <c r="X895" s="152">
        <f>IF(W895="","",1+COUNTIFS($W$4:$W$3003,"&gt;"&amp;W895)+COUNTIFS($W$4:W895,W895)-1)</f>
        <v/>
      </c>
      <c r="Y895" s="175">
        <f>IF(OR(I895="",'02_대상물건입력'!B19="",'02_대상물건입력'!B19&lt;=0),"",ABS(I895-'02_대상물건입력'!B19)/'02_대상물건입력'!B19)</f>
        <v/>
      </c>
      <c r="Z895" s="172">
        <f>IF(OR(Y895="",'01_설정'!B31="",'01_설정'!B31&lt;=0,'01_설정'!B32="",'01_설정'!B32&lt;=0),"",MAX(0,(1-Y895/'01_설정'!B32))*'01_설정'!B31)</f>
        <v/>
      </c>
    </row>
    <row r="896" ht="17.25" customHeight="1">
      <c r="A896" s="152">
        <f>IF(INDEX('04A_국토부원자료'!$A:$A,ROW()+1)="","",ROW()-3)</f>
        <v/>
      </c>
      <c r="B896" s="48">
        <f>IFERROR(INDEX('04A_국토부원자료'!$A:$T,ROW()+1,MATCH("시군구",'04A_국토부원자료'!$A$4:$T$4,0)),"")</f>
        <v/>
      </c>
      <c r="C896" s="48">
        <f>IF(B896="","",IFERROR(INDEX('04A_국토부원자료'!$A:$T,ROW()+1,MATCH("번지",'04A_국토부원자료'!$A$4:$T$4,0)),""))</f>
        <v/>
      </c>
      <c r="D896" s="48">
        <f>IF(B896="","",IF(Q896=1,'02_대상물건입력'!$B$8,IFERROR(INDEX('04A_국토부원자료'!$A:$T,ROW()+1,MATCH("단지명",'04A_국토부원자료'!$A$4:$T$4,0)),"")))</f>
        <v/>
      </c>
      <c r="E896" s="172">
        <f>IFERROR(VALUE(SUBSTITUTE(INDEX('04A_국토부원자료'!$A:$T,ROW()+1,MATCH("전용면적(㎡)",'04A_국토부원자료'!$A$4:$T$4,0)),",","")),"")</f>
        <v/>
      </c>
      <c r="F8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96" s="51">
        <f>IFERROR(VALUE(SUBSTITUTE(INDEX('04A_국토부원자료'!$A:$T,ROW()+1,MATCH("거래금액(만원)",'04A_국토부원자료'!$A$4:$T$4,0)),",","")),"")</f>
        <v/>
      </c>
      <c r="H896" s="174">
        <f>IF(G896="","",G896*10000)</f>
        <v/>
      </c>
      <c r="I896" s="174">
        <f>IFERROR(IF(AND(H896&gt;0,E896&gt;0),H896/E896,""),"")</f>
        <v/>
      </c>
      <c r="J896" s="152">
        <f>IFERROR(VALUE(SUBSTITUTE(INDEX('04A_국토부원자료'!$A:$T,ROW()+1,MATCH("층",'04A_국토부원자료'!$A$4:$T$4,0)),",","")),"")</f>
        <v/>
      </c>
      <c r="K896" s="152">
        <f>IFERROR(VALUE(SUBSTITUTE(INDEX('04A_국토부원자료'!$A:$T,ROW()+1,MATCH("건축년도",'04A_국토부원자료'!$A$4:$T$4,0)),",","")),"")</f>
        <v/>
      </c>
      <c r="L896" s="176">
        <f>IFERROR(INDEX('04A_국토부원자료'!$A:$T,ROW()+1,MATCH("도로명",'04A_국토부원자료'!$A$4:$T$4,0)),"")</f>
        <v/>
      </c>
      <c r="M896" s="48">
        <f>IFERROR(INDEX('04A_국토부원자료'!$A:$T,ROW()+1,MATCH("거래유형",'04A_국토부원자료'!$A$4:$T$4,0)),"")</f>
        <v/>
      </c>
      <c r="N896" s="152">
        <f>IF(B896="","",IF('02_대상물건입력'!B5="",1,IF(ISNUMBER(SEARCH('02_대상물건입력'!B5,B896)),1,0)))</f>
        <v/>
      </c>
      <c r="O896" s="152">
        <f>IF(B896="","",IF('02_대상물건입력'!B6="",1,IF(ISNUMBER(SEARCH('02_대상물건입력'!B6,B896)),1,0)))</f>
        <v/>
      </c>
      <c r="P896" s="152">
        <f>IF(L896="","",IF('02_대상물건입력'!B15="",0,IF(ISNUMBER(SEARCH('02_대상물건입력'!B15,L896)),1,0)))</f>
        <v/>
      </c>
      <c r="Q896" s="152">
        <f>IF(OR(C896="",L896=""),0,IF(AND(TRIM(C896)=TRIM(RIGHT(SUBSTITUTE(TRIM('02_대상물건입력'!$B$7)," ",REPT(" ",99)),99)),IF('02_대상물건입력'!B15="",TRUE(),ISNUMBER(SEARCH('02_대상물건입력'!B15,L896)))),1,0))</f>
        <v/>
      </c>
      <c r="R896" s="175">
        <f>IFERROR(ABS(E896-'02_대상물건입력'!B11)/'02_대상물건입력'!B11,"")</f>
        <v/>
      </c>
      <c r="S896" s="152">
        <f>IFERROR(ABS(J896-'02_대상물건입력'!B10),"")</f>
        <v/>
      </c>
      <c r="T896" s="152">
        <f>IFERROR(ABS('01_설정'!B4-F896),"")</f>
        <v/>
      </c>
      <c r="U896" s="152">
        <f>IFERROR(ABS(K896-YEAR('02_대상물건입력'!B14)),"")</f>
        <v/>
      </c>
      <c r="V896" s="152">
        <f>IF(B896="","",IF(AND(E896&gt;0,F896&gt;0,H896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896=1,TRUE()),R896&lt;='01_설정'!B5,S896&lt;='01_설정'!B6,T896&lt;='01_설정'!B7,U896&lt;='01_설정'!B8),"Y",""))</f>
        <v/>
      </c>
      <c r="W896" s="172">
        <f>IF(V896&lt;&gt;"Y","",MAX(0,(1-R896/'01_설정'!B5))*'01_설정'!B14+MAX(0,(1-S896/'01_설정'!B6))*'01_설정'!B15+MAX(0,(1-T896/'01_설정'!B7))*'01_설정'!B16+MAX(0,(1-U896/'01_설정'!B8))*'01_설정'!B17+O896*'01_설정'!B11+Q896*'01_설정'!B12+P896*'01_설정'!B13+IF(Z896="",0,Z896))</f>
        <v/>
      </c>
      <c r="X896" s="152">
        <f>IF(W896="","",1+COUNTIFS($W$4:$W$3003,"&gt;"&amp;W896)+COUNTIFS($W$4:W896,W896)-1)</f>
        <v/>
      </c>
      <c r="Y896" s="175">
        <f>IF(OR(I896="",'02_대상물건입력'!B19="",'02_대상물건입력'!B19&lt;=0),"",ABS(I896-'02_대상물건입력'!B19)/'02_대상물건입력'!B19)</f>
        <v/>
      </c>
      <c r="Z896" s="172">
        <f>IF(OR(Y896="",'01_설정'!B31="",'01_설정'!B31&lt;=0,'01_설정'!B32="",'01_설정'!B32&lt;=0),"",MAX(0,(1-Y896/'01_설정'!B32))*'01_설정'!B31)</f>
        <v/>
      </c>
    </row>
    <row r="897" ht="17.25" customHeight="1">
      <c r="A897" s="152">
        <f>IF(INDEX('04A_국토부원자료'!$A:$A,ROW()+1)="","",ROW()-3)</f>
        <v/>
      </c>
      <c r="B897" s="48">
        <f>IFERROR(INDEX('04A_국토부원자료'!$A:$T,ROW()+1,MATCH("시군구",'04A_국토부원자료'!$A$4:$T$4,0)),"")</f>
        <v/>
      </c>
      <c r="C897" s="48">
        <f>IF(B897="","",IFERROR(INDEX('04A_국토부원자료'!$A:$T,ROW()+1,MATCH("번지",'04A_국토부원자료'!$A$4:$T$4,0)),""))</f>
        <v/>
      </c>
      <c r="D897" s="48">
        <f>IF(B897="","",IF(Q897=1,'02_대상물건입력'!$B$8,IFERROR(INDEX('04A_국토부원자료'!$A:$T,ROW()+1,MATCH("단지명",'04A_국토부원자료'!$A$4:$T$4,0)),"")))</f>
        <v/>
      </c>
      <c r="E897" s="172">
        <f>IFERROR(VALUE(SUBSTITUTE(INDEX('04A_국토부원자료'!$A:$T,ROW()+1,MATCH("전용면적(㎡)",'04A_국토부원자료'!$A$4:$T$4,0)),",","")),"")</f>
        <v/>
      </c>
      <c r="F8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97" s="51">
        <f>IFERROR(VALUE(SUBSTITUTE(INDEX('04A_국토부원자료'!$A:$T,ROW()+1,MATCH("거래금액(만원)",'04A_국토부원자료'!$A$4:$T$4,0)),",","")),"")</f>
        <v/>
      </c>
      <c r="H897" s="174">
        <f>IF(G897="","",G897*10000)</f>
        <v/>
      </c>
      <c r="I897" s="174">
        <f>IFERROR(IF(AND(H897&gt;0,E897&gt;0),H897/E897,""),"")</f>
        <v/>
      </c>
      <c r="J897" s="152">
        <f>IFERROR(VALUE(SUBSTITUTE(INDEX('04A_국토부원자료'!$A:$T,ROW()+1,MATCH("층",'04A_국토부원자료'!$A$4:$T$4,0)),",","")),"")</f>
        <v/>
      </c>
      <c r="K897" s="152">
        <f>IFERROR(VALUE(SUBSTITUTE(INDEX('04A_국토부원자료'!$A:$T,ROW()+1,MATCH("건축년도",'04A_국토부원자료'!$A$4:$T$4,0)),",","")),"")</f>
        <v/>
      </c>
      <c r="L897" s="176">
        <f>IFERROR(INDEX('04A_국토부원자료'!$A:$T,ROW()+1,MATCH("도로명",'04A_국토부원자료'!$A$4:$T$4,0)),"")</f>
        <v/>
      </c>
      <c r="M897" s="48">
        <f>IFERROR(INDEX('04A_국토부원자료'!$A:$T,ROW()+1,MATCH("거래유형",'04A_국토부원자료'!$A$4:$T$4,0)),"")</f>
        <v/>
      </c>
      <c r="N897" s="152">
        <f>IF(B897="","",IF('02_대상물건입력'!B5="",1,IF(ISNUMBER(SEARCH('02_대상물건입력'!B5,B897)),1,0)))</f>
        <v/>
      </c>
      <c r="O897" s="152">
        <f>IF(B897="","",IF('02_대상물건입력'!B6="",1,IF(ISNUMBER(SEARCH('02_대상물건입력'!B6,B897)),1,0)))</f>
        <v/>
      </c>
      <c r="P897" s="152">
        <f>IF(L897="","",IF('02_대상물건입력'!B15="",0,IF(ISNUMBER(SEARCH('02_대상물건입력'!B15,L897)),1,0)))</f>
        <v/>
      </c>
      <c r="Q897" s="152">
        <f>IF(OR(C897="",L897=""),0,IF(AND(TRIM(C897)=TRIM(RIGHT(SUBSTITUTE(TRIM('02_대상물건입력'!$B$7)," ",REPT(" ",99)),99)),IF('02_대상물건입력'!B15="",TRUE(),ISNUMBER(SEARCH('02_대상물건입력'!B15,L897)))),1,0))</f>
        <v/>
      </c>
      <c r="R897" s="175">
        <f>IFERROR(ABS(E897-'02_대상물건입력'!B11)/'02_대상물건입력'!B11,"")</f>
        <v/>
      </c>
      <c r="S897" s="152">
        <f>IFERROR(ABS(J897-'02_대상물건입력'!B10),"")</f>
        <v/>
      </c>
      <c r="T897" s="152">
        <f>IFERROR(ABS('01_설정'!B4-F897),"")</f>
        <v/>
      </c>
      <c r="U897" s="152">
        <f>IFERROR(ABS(K897-YEAR('02_대상물건입력'!B14)),"")</f>
        <v/>
      </c>
      <c r="V897" s="152">
        <f>IF(B897="","",IF(AND(E897&gt;0,F897&gt;0,H897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897=1,TRUE()),R897&lt;='01_설정'!B5,S897&lt;='01_설정'!B6,T897&lt;='01_설정'!B7,U897&lt;='01_설정'!B8),"Y",""))</f>
        <v/>
      </c>
      <c r="W897" s="172">
        <f>IF(V897&lt;&gt;"Y","",MAX(0,(1-R897/'01_설정'!B5))*'01_설정'!B14+MAX(0,(1-S897/'01_설정'!B6))*'01_설정'!B15+MAX(0,(1-T897/'01_설정'!B7))*'01_설정'!B16+MAX(0,(1-U897/'01_설정'!B8))*'01_설정'!B17+O897*'01_설정'!B11+Q897*'01_설정'!B12+P897*'01_설정'!B13+IF(Z897="",0,Z897))</f>
        <v/>
      </c>
      <c r="X897" s="152">
        <f>IF(W897="","",1+COUNTIFS($W$4:$W$3003,"&gt;"&amp;W897)+COUNTIFS($W$4:W897,W897)-1)</f>
        <v/>
      </c>
      <c r="Y897" s="175">
        <f>IF(OR(I897="",'02_대상물건입력'!B19="",'02_대상물건입력'!B19&lt;=0),"",ABS(I897-'02_대상물건입력'!B19)/'02_대상물건입력'!B19)</f>
        <v/>
      </c>
      <c r="Z897" s="172">
        <f>IF(OR(Y897="",'01_설정'!B31="",'01_설정'!B31&lt;=0,'01_설정'!B32="",'01_설정'!B32&lt;=0),"",MAX(0,(1-Y897/'01_설정'!B32))*'01_설정'!B31)</f>
        <v/>
      </c>
    </row>
    <row r="898" ht="17.25" customHeight="1">
      <c r="A898" s="152">
        <f>IF(INDEX('04A_국토부원자료'!$A:$A,ROW()+1)="","",ROW()-3)</f>
        <v/>
      </c>
      <c r="B898" s="48">
        <f>IFERROR(INDEX('04A_국토부원자료'!$A:$T,ROW()+1,MATCH("시군구",'04A_국토부원자료'!$A$4:$T$4,0)),"")</f>
        <v/>
      </c>
      <c r="C898" s="48">
        <f>IF(B898="","",IFERROR(INDEX('04A_국토부원자료'!$A:$T,ROW()+1,MATCH("번지",'04A_국토부원자료'!$A$4:$T$4,0)),""))</f>
        <v/>
      </c>
      <c r="D898" s="48">
        <f>IF(B898="","",IF(Q898=1,'02_대상물건입력'!$B$8,IFERROR(INDEX('04A_국토부원자료'!$A:$T,ROW()+1,MATCH("단지명",'04A_국토부원자료'!$A$4:$T$4,0)),"")))</f>
        <v/>
      </c>
      <c r="E898" s="172">
        <f>IFERROR(VALUE(SUBSTITUTE(INDEX('04A_국토부원자료'!$A:$T,ROW()+1,MATCH("전용면적(㎡)",'04A_국토부원자료'!$A$4:$T$4,0)),",","")),"")</f>
        <v/>
      </c>
      <c r="F8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98" s="51">
        <f>IFERROR(VALUE(SUBSTITUTE(INDEX('04A_국토부원자료'!$A:$T,ROW()+1,MATCH("거래금액(만원)",'04A_국토부원자료'!$A$4:$T$4,0)),",","")),"")</f>
        <v/>
      </c>
      <c r="H898" s="174">
        <f>IF(G898="","",G898*10000)</f>
        <v/>
      </c>
      <c r="I898" s="174">
        <f>IFERROR(IF(AND(H898&gt;0,E898&gt;0),H898/E898,""),"")</f>
        <v/>
      </c>
      <c r="J898" s="152">
        <f>IFERROR(VALUE(SUBSTITUTE(INDEX('04A_국토부원자료'!$A:$T,ROW()+1,MATCH("층",'04A_국토부원자료'!$A$4:$T$4,0)),",","")),"")</f>
        <v/>
      </c>
      <c r="K898" s="152">
        <f>IFERROR(VALUE(SUBSTITUTE(INDEX('04A_국토부원자료'!$A:$T,ROW()+1,MATCH("건축년도",'04A_국토부원자료'!$A$4:$T$4,0)),",","")),"")</f>
        <v/>
      </c>
      <c r="L898" s="176">
        <f>IFERROR(INDEX('04A_국토부원자료'!$A:$T,ROW()+1,MATCH("도로명",'04A_국토부원자료'!$A$4:$T$4,0)),"")</f>
        <v/>
      </c>
      <c r="M898" s="48">
        <f>IFERROR(INDEX('04A_국토부원자료'!$A:$T,ROW()+1,MATCH("거래유형",'04A_국토부원자료'!$A$4:$T$4,0)),"")</f>
        <v/>
      </c>
      <c r="N898" s="152">
        <f>IF(B898="","",IF('02_대상물건입력'!B5="",1,IF(ISNUMBER(SEARCH('02_대상물건입력'!B5,B898)),1,0)))</f>
        <v/>
      </c>
      <c r="O898" s="152">
        <f>IF(B898="","",IF('02_대상물건입력'!B6="",1,IF(ISNUMBER(SEARCH('02_대상물건입력'!B6,B898)),1,0)))</f>
        <v/>
      </c>
      <c r="P898" s="152">
        <f>IF(L898="","",IF('02_대상물건입력'!B15="",0,IF(ISNUMBER(SEARCH('02_대상물건입력'!B15,L898)),1,0)))</f>
        <v/>
      </c>
      <c r="Q898" s="152">
        <f>IF(OR(C898="",L898=""),0,IF(AND(TRIM(C898)=TRIM(RIGHT(SUBSTITUTE(TRIM('02_대상물건입력'!$B$7)," ",REPT(" ",99)),99)),IF('02_대상물건입력'!B15="",TRUE(),ISNUMBER(SEARCH('02_대상물건입력'!B15,L898)))),1,0))</f>
        <v/>
      </c>
      <c r="R898" s="175">
        <f>IFERROR(ABS(E898-'02_대상물건입력'!B11)/'02_대상물건입력'!B11,"")</f>
        <v/>
      </c>
      <c r="S898" s="152">
        <f>IFERROR(ABS(J898-'02_대상물건입력'!B10),"")</f>
        <v/>
      </c>
      <c r="T898" s="152">
        <f>IFERROR(ABS('01_설정'!B4-F898),"")</f>
        <v/>
      </c>
      <c r="U898" s="152">
        <f>IFERROR(ABS(K898-YEAR('02_대상물건입력'!B14)),"")</f>
        <v/>
      </c>
      <c r="V898" s="152">
        <f>IF(B898="","",IF(AND(E898&gt;0,F898&gt;0,H898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898=1,TRUE()),R898&lt;='01_설정'!B5,S898&lt;='01_설정'!B6,T898&lt;='01_설정'!B7,U898&lt;='01_설정'!B8),"Y",""))</f>
        <v/>
      </c>
      <c r="W898" s="172">
        <f>IF(V898&lt;&gt;"Y","",MAX(0,(1-R898/'01_설정'!B5))*'01_설정'!B14+MAX(0,(1-S898/'01_설정'!B6))*'01_설정'!B15+MAX(0,(1-T898/'01_설정'!B7))*'01_설정'!B16+MAX(0,(1-U898/'01_설정'!B8))*'01_설정'!B17+O898*'01_설정'!B11+Q898*'01_설정'!B12+P898*'01_설정'!B13+IF(Z898="",0,Z898))</f>
        <v/>
      </c>
      <c r="X898" s="152">
        <f>IF(W898="","",1+COUNTIFS($W$4:$W$3003,"&gt;"&amp;W898)+COUNTIFS($W$4:W898,W898)-1)</f>
        <v/>
      </c>
      <c r="Y898" s="175">
        <f>IF(OR(I898="",'02_대상물건입력'!B19="",'02_대상물건입력'!B19&lt;=0),"",ABS(I898-'02_대상물건입력'!B19)/'02_대상물건입력'!B19)</f>
        <v/>
      </c>
      <c r="Z898" s="172">
        <f>IF(OR(Y898="",'01_설정'!B31="",'01_설정'!B31&lt;=0,'01_설정'!B32="",'01_설정'!B32&lt;=0),"",MAX(0,(1-Y898/'01_설정'!B32))*'01_설정'!B31)</f>
        <v/>
      </c>
    </row>
    <row r="899" ht="17.25" customHeight="1">
      <c r="A899" s="152">
        <f>IF(INDEX('04A_국토부원자료'!$A:$A,ROW()+1)="","",ROW()-3)</f>
        <v/>
      </c>
      <c r="B899" s="48">
        <f>IFERROR(INDEX('04A_국토부원자료'!$A:$T,ROW()+1,MATCH("시군구",'04A_국토부원자료'!$A$4:$T$4,0)),"")</f>
        <v/>
      </c>
      <c r="C899" s="48">
        <f>IF(B899="","",IFERROR(INDEX('04A_국토부원자료'!$A:$T,ROW()+1,MATCH("번지",'04A_국토부원자료'!$A$4:$T$4,0)),""))</f>
        <v/>
      </c>
      <c r="D899" s="48">
        <f>IF(B899="","",IF(Q899=1,'02_대상물건입력'!$B$8,IFERROR(INDEX('04A_국토부원자료'!$A:$T,ROW()+1,MATCH("단지명",'04A_국토부원자료'!$A$4:$T$4,0)),"")))</f>
        <v/>
      </c>
      <c r="E899" s="172">
        <f>IFERROR(VALUE(SUBSTITUTE(INDEX('04A_국토부원자료'!$A:$T,ROW()+1,MATCH("전용면적(㎡)",'04A_국토부원자료'!$A$4:$T$4,0)),",","")),"")</f>
        <v/>
      </c>
      <c r="F8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899" s="51">
        <f>IFERROR(VALUE(SUBSTITUTE(INDEX('04A_국토부원자료'!$A:$T,ROW()+1,MATCH("거래금액(만원)",'04A_국토부원자료'!$A$4:$T$4,0)),",","")),"")</f>
        <v/>
      </c>
      <c r="H899" s="174">
        <f>IF(G899="","",G899*10000)</f>
        <v/>
      </c>
      <c r="I899" s="174">
        <f>IFERROR(IF(AND(H899&gt;0,E899&gt;0),H899/E899,""),"")</f>
        <v/>
      </c>
      <c r="J899" s="152">
        <f>IFERROR(VALUE(SUBSTITUTE(INDEX('04A_국토부원자료'!$A:$T,ROW()+1,MATCH("층",'04A_국토부원자료'!$A$4:$T$4,0)),",","")),"")</f>
        <v/>
      </c>
      <c r="K899" s="152">
        <f>IFERROR(VALUE(SUBSTITUTE(INDEX('04A_국토부원자료'!$A:$T,ROW()+1,MATCH("건축년도",'04A_국토부원자료'!$A$4:$T$4,0)),",","")),"")</f>
        <v/>
      </c>
      <c r="L899" s="176">
        <f>IFERROR(INDEX('04A_국토부원자료'!$A:$T,ROW()+1,MATCH("도로명",'04A_국토부원자료'!$A$4:$T$4,0)),"")</f>
        <v/>
      </c>
      <c r="M899" s="48">
        <f>IFERROR(INDEX('04A_국토부원자료'!$A:$T,ROW()+1,MATCH("거래유형",'04A_국토부원자료'!$A$4:$T$4,0)),"")</f>
        <v/>
      </c>
      <c r="N899" s="152">
        <f>IF(B899="","",IF('02_대상물건입력'!B5="",1,IF(ISNUMBER(SEARCH('02_대상물건입력'!B5,B899)),1,0)))</f>
        <v/>
      </c>
      <c r="O899" s="152">
        <f>IF(B899="","",IF('02_대상물건입력'!B6="",1,IF(ISNUMBER(SEARCH('02_대상물건입력'!B6,B899)),1,0)))</f>
        <v/>
      </c>
      <c r="P899" s="152">
        <f>IF(L899="","",IF('02_대상물건입력'!B15="",0,IF(ISNUMBER(SEARCH('02_대상물건입력'!B15,L899)),1,0)))</f>
        <v/>
      </c>
      <c r="Q899" s="152">
        <f>IF(OR(C899="",L899=""),0,IF(AND(TRIM(C899)=TRIM(RIGHT(SUBSTITUTE(TRIM('02_대상물건입력'!$B$7)," ",REPT(" ",99)),99)),IF('02_대상물건입력'!B15="",TRUE(),ISNUMBER(SEARCH('02_대상물건입력'!B15,L899)))),1,0))</f>
        <v/>
      </c>
      <c r="R899" s="175">
        <f>IFERROR(ABS(E899-'02_대상물건입력'!B11)/'02_대상물건입력'!B11,"")</f>
        <v/>
      </c>
      <c r="S899" s="152">
        <f>IFERROR(ABS(J899-'02_대상물건입력'!B10),"")</f>
        <v/>
      </c>
      <c r="T899" s="152">
        <f>IFERROR(ABS('01_설정'!B4-F899),"")</f>
        <v/>
      </c>
      <c r="U899" s="152">
        <f>IFERROR(ABS(K899-YEAR('02_대상물건입력'!B14)),"")</f>
        <v/>
      </c>
      <c r="V899" s="152">
        <f>IF(B899="","",IF(AND(E899&gt;0,F899&gt;0,H899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899=1,TRUE()),R899&lt;='01_설정'!B5,S899&lt;='01_설정'!B6,T899&lt;='01_설정'!B7,U899&lt;='01_설정'!B8),"Y",""))</f>
        <v/>
      </c>
      <c r="W899" s="172">
        <f>IF(V899&lt;&gt;"Y","",MAX(0,(1-R899/'01_설정'!B5))*'01_설정'!B14+MAX(0,(1-S899/'01_설정'!B6))*'01_설정'!B15+MAX(0,(1-T899/'01_설정'!B7))*'01_설정'!B16+MAX(0,(1-U899/'01_설정'!B8))*'01_설정'!B17+O899*'01_설정'!B11+Q899*'01_설정'!B12+P899*'01_설정'!B13+IF(Z899="",0,Z899))</f>
        <v/>
      </c>
      <c r="X899" s="152">
        <f>IF(W899="","",1+COUNTIFS($W$4:$W$3003,"&gt;"&amp;W899)+COUNTIFS($W$4:W899,W899)-1)</f>
        <v/>
      </c>
      <c r="Y899" s="175">
        <f>IF(OR(I899="",'02_대상물건입력'!B19="",'02_대상물건입력'!B19&lt;=0),"",ABS(I899-'02_대상물건입력'!B19)/'02_대상물건입력'!B19)</f>
        <v/>
      </c>
      <c r="Z899" s="172">
        <f>IF(OR(Y899="",'01_설정'!B31="",'01_설정'!B31&lt;=0,'01_설정'!B32="",'01_설정'!B32&lt;=0),"",MAX(0,(1-Y899/'01_설정'!B32))*'01_설정'!B31)</f>
        <v/>
      </c>
    </row>
    <row r="900" ht="17.25" customHeight="1">
      <c r="A900" s="152">
        <f>IF(INDEX('04A_국토부원자료'!$A:$A,ROW()+1)="","",ROW()-3)</f>
        <v/>
      </c>
      <c r="B900" s="48">
        <f>IFERROR(INDEX('04A_국토부원자료'!$A:$T,ROW()+1,MATCH("시군구",'04A_국토부원자료'!$A$4:$T$4,0)),"")</f>
        <v/>
      </c>
      <c r="C900" s="48">
        <f>IF(B900="","",IFERROR(INDEX('04A_국토부원자료'!$A:$T,ROW()+1,MATCH("번지",'04A_국토부원자료'!$A$4:$T$4,0)),""))</f>
        <v/>
      </c>
      <c r="D900" s="48">
        <f>IF(B900="","",IF(Q900=1,'02_대상물건입력'!$B$8,IFERROR(INDEX('04A_국토부원자료'!$A:$T,ROW()+1,MATCH("단지명",'04A_국토부원자료'!$A$4:$T$4,0)),"")))</f>
        <v/>
      </c>
      <c r="E900" s="172">
        <f>IFERROR(VALUE(SUBSTITUTE(INDEX('04A_국토부원자료'!$A:$T,ROW()+1,MATCH("전용면적(㎡)",'04A_국토부원자료'!$A$4:$T$4,0)),",","")),"")</f>
        <v/>
      </c>
      <c r="F9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00" s="51">
        <f>IFERROR(VALUE(SUBSTITUTE(INDEX('04A_국토부원자료'!$A:$T,ROW()+1,MATCH("거래금액(만원)",'04A_국토부원자료'!$A$4:$T$4,0)),",","")),"")</f>
        <v/>
      </c>
      <c r="H900" s="174">
        <f>IF(G900="","",G900*10000)</f>
        <v/>
      </c>
      <c r="I900" s="174">
        <f>IFERROR(IF(AND(H900&gt;0,E900&gt;0),H900/E900,""),"")</f>
        <v/>
      </c>
      <c r="J900" s="152">
        <f>IFERROR(VALUE(SUBSTITUTE(INDEX('04A_국토부원자료'!$A:$T,ROW()+1,MATCH("층",'04A_국토부원자료'!$A$4:$T$4,0)),",","")),"")</f>
        <v/>
      </c>
      <c r="K900" s="152">
        <f>IFERROR(VALUE(SUBSTITUTE(INDEX('04A_국토부원자료'!$A:$T,ROW()+1,MATCH("건축년도",'04A_국토부원자료'!$A$4:$T$4,0)),",","")),"")</f>
        <v/>
      </c>
      <c r="L900" s="176">
        <f>IFERROR(INDEX('04A_국토부원자료'!$A:$T,ROW()+1,MATCH("도로명",'04A_국토부원자료'!$A$4:$T$4,0)),"")</f>
        <v/>
      </c>
      <c r="M900" s="48">
        <f>IFERROR(INDEX('04A_국토부원자료'!$A:$T,ROW()+1,MATCH("거래유형",'04A_국토부원자료'!$A$4:$T$4,0)),"")</f>
        <v/>
      </c>
      <c r="N900" s="152">
        <f>IF(B900="","",IF('02_대상물건입력'!B5="",1,IF(ISNUMBER(SEARCH('02_대상물건입력'!B5,B900)),1,0)))</f>
        <v/>
      </c>
      <c r="O900" s="152">
        <f>IF(B900="","",IF('02_대상물건입력'!B6="",1,IF(ISNUMBER(SEARCH('02_대상물건입력'!B6,B900)),1,0)))</f>
        <v/>
      </c>
      <c r="P900" s="152">
        <f>IF(L900="","",IF('02_대상물건입력'!B15="",0,IF(ISNUMBER(SEARCH('02_대상물건입력'!B15,L900)),1,0)))</f>
        <v/>
      </c>
      <c r="Q900" s="152">
        <f>IF(OR(C900="",L900=""),0,IF(AND(TRIM(C900)=TRIM(RIGHT(SUBSTITUTE(TRIM('02_대상물건입력'!$B$7)," ",REPT(" ",99)),99)),IF('02_대상물건입력'!B15="",TRUE(),ISNUMBER(SEARCH('02_대상물건입력'!B15,L900)))),1,0))</f>
        <v/>
      </c>
      <c r="R900" s="175">
        <f>IFERROR(ABS(E900-'02_대상물건입력'!B11)/'02_대상물건입력'!B11,"")</f>
        <v/>
      </c>
      <c r="S900" s="152">
        <f>IFERROR(ABS(J900-'02_대상물건입력'!B10),"")</f>
        <v/>
      </c>
      <c r="T900" s="152">
        <f>IFERROR(ABS('01_설정'!B4-F900),"")</f>
        <v/>
      </c>
      <c r="U900" s="152">
        <f>IFERROR(ABS(K900-YEAR('02_대상물건입력'!B14)),"")</f>
        <v/>
      </c>
      <c r="V900" s="152">
        <f>IF(B900="","",IF(AND(E900&gt;0,F900&gt;0,H900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900=1,TRUE()),R900&lt;='01_설정'!B5,S900&lt;='01_설정'!B6,T900&lt;='01_설정'!B7,U900&lt;='01_설정'!B8),"Y",""))</f>
        <v/>
      </c>
      <c r="W900" s="172">
        <f>IF(V900&lt;&gt;"Y","",MAX(0,(1-R900/'01_설정'!B5))*'01_설정'!B14+MAX(0,(1-S900/'01_설정'!B6))*'01_설정'!B15+MAX(0,(1-T900/'01_설정'!B7))*'01_설정'!B16+MAX(0,(1-U900/'01_설정'!B8))*'01_설정'!B17+O900*'01_설정'!B11+Q900*'01_설정'!B12+P900*'01_설정'!B13+IF(Z900="",0,Z900))</f>
        <v/>
      </c>
      <c r="X900" s="152">
        <f>IF(W900="","",1+COUNTIFS($W$4:$W$3003,"&gt;"&amp;W900)+COUNTIFS($W$4:W900,W900)-1)</f>
        <v/>
      </c>
      <c r="Y900" s="175">
        <f>IF(OR(I900="",'02_대상물건입력'!B19="",'02_대상물건입력'!B19&lt;=0),"",ABS(I900-'02_대상물건입력'!B19)/'02_대상물건입력'!B19)</f>
        <v/>
      </c>
      <c r="Z900" s="172">
        <f>IF(OR(Y900="",'01_설정'!B31="",'01_설정'!B31&lt;=0,'01_설정'!B32="",'01_설정'!B32&lt;=0),"",MAX(0,(1-Y900/'01_설정'!B32))*'01_설정'!B31)</f>
        <v/>
      </c>
    </row>
    <row r="901" ht="17.25" customHeight="1">
      <c r="A901" s="152">
        <f>IF(INDEX('04A_국토부원자료'!$A:$A,ROW()+1)="","",ROW()-3)</f>
        <v/>
      </c>
      <c r="B901" s="48">
        <f>IFERROR(INDEX('04A_국토부원자료'!$A:$T,ROW()+1,MATCH("시군구",'04A_국토부원자료'!$A$4:$T$4,0)),"")</f>
        <v/>
      </c>
      <c r="C901" s="48">
        <f>IF(B901="","",IFERROR(INDEX('04A_국토부원자료'!$A:$T,ROW()+1,MATCH("번지",'04A_국토부원자료'!$A$4:$T$4,0)),""))</f>
        <v/>
      </c>
      <c r="D901" s="48">
        <f>IF(B901="","",IF(Q901=1,'02_대상물건입력'!$B$8,IFERROR(INDEX('04A_국토부원자료'!$A:$T,ROW()+1,MATCH("단지명",'04A_국토부원자료'!$A$4:$T$4,0)),"")))</f>
        <v/>
      </c>
      <c r="E901" s="172">
        <f>IFERROR(VALUE(SUBSTITUTE(INDEX('04A_국토부원자료'!$A:$T,ROW()+1,MATCH("전용면적(㎡)",'04A_국토부원자료'!$A$4:$T$4,0)),",","")),"")</f>
        <v/>
      </c>
      <c r="F9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01" s="51">
        <f>IFERROR(VALUE(SUBSTITUTE(INDEX('04A_국토부원자료'!$A:$T,ROW()+1,MATCH("거래금액(만원)",'04A_국토부원자료'!$A$4:$T$4,0)),",","")),"")</f>
        <v/>
      </c>
      <c r="H901" s="174">
        <f>IF(G901="","",G901*10000)</f>
        <v/>
      </c>
      <c r="I901" s="174">
        <f>IFERROR(IF(AND(H901&gt;0,E901&gt;0),H901/E901,""),"")</f>
        <v/>
      </c>
      <c r="J901" s="152">
        <f>IFERROR(VALUE(SUBSTITUTE(INDEX('04A_국토부원자료'!$A:$T,ROW()+1,MATCH("층",'04A_국토부원자료'!$A$4:$T$4,0)),",","")),"")</f>
        <v/>
      </c>
      <c r="K901" s="152">
        <f>IFERROR(VALUE(SUBSTITUTE(INDEX('04A_국토부원자료'!$A:$T,ROW()+1,MATCH("건축년도",'04A_국토부원자료'!$A$4:$T$4,0)),",","")),"")</f>
        <v/>
      </c>
      <c r="L901" s="176">
        <f>IFERROR(INDEX('04A_국토부원자료'!$A:$T,ROW()+1,MATCH("도로명",'04A_국토부원자료'!$A$4:$T$4,0)),"")</f>
        <v/>
      </c>
      <c r="M901" s="48">
        <f>IFERROR(INDEX('04A_국토부원자료'!$A:$T,ROW()+1,MATCH("거래유형",'04A_국토부원자료'!$A$4:$T$4,0)),"")</f>
        <v/>
      </c>
      <c r="N901" s="152">
        <f>IF(B901="","",IF('02_대상물건입력'!B5="",1,IF(ISNUMBER(SEARCH('02_대상물건입력'!B5,B901)),1,0)))</f>
        <v/>
      </c>
      <c r="O901" s="152">
        <f>IF(B901="","",IF('02_대상물건입력'!B6="",1,IF(ISNUMBER(SEARCH('02_대상물건입력'!B6,B901)),1,0)))</f>
        <v/>
      </c>
      <c r="P901" s="152">
        <f>IF(L901="","",IF('02_대상물건입력'!B15="",0,IF(ISNUMBER(SEARCH('02_대상물건입력'!B15,L901)),1,0)))</f>
        <v/>
      </c>
      <c r="Q901" s="152">
        <f>IF(OR(C901="",L901=""),0,IF(AND(TRIM(C901)=TRIM(RIGHT(SUBSTITUTE(TRIM('02_대상물건입력'!$B$7)," ",REPT(" ",99)),99)),IF('02_대상물건입력'!B15="",TRUE(),ISNUMBER(SEARCH('02_대상물건입력'!B15,L901)))),1,0))</f>
        <v/>
      </c>
      <c r="R901" s="175">
        <f>IFERROR(ABS(E901-'02_대상물건입력'!B11)/'02_대상물건입력'!B11,"")</f>
        <v/>
      </c>
      <c r="S901" s="152">
        <f>IFERROR(ABS(J901-'02_대상물건입력'!B10),"")</f>
        <v/>
      </c>
      <c r="T901" s="152">
        <f>IFERROR(ABS('01_설정'!B4-F901),"")</f>
        <v/>
      </c>
      <c r="U901" s="152">
        <f>IFERROR(ABS(K901-YEAR('02_대상물건입력'!B14)),"")</f>
        <v/>
      </c>
      <c r="V901" s="152">
        <f>IF(B901="","",IF(AND(E901&gt;0,F901&gt;0,H901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901=1,TRUE()),R901&lt;='01_설정'!B5,S901&lt;='01_설정'!B6,T901&lt;='01_설정'!B7,U901&lt;='01_설정'!B8),"Y",""))</f>
        <v/>
      </c>
      <c r="W901" s="172">
        <f>IF(V901&lt;&gt;"Y","",MAX(0,(1-R901/'01_설정'!B5))*'01_설정'!B14+MAX(0,(1-S901/'01_설정'!B6))*'01_설정'!B15+MAX(0,(1-T901/'01_설정'!B7))*'01_설정'!B16+MAX(0,(1-U901/'01_설정'!B8))*'01_설정'!B17+O901*'01_설정'!B11+Q901*'01_설정'!B12+P901*'01_설정'!B13+IF(Z901="",0,Z901))</f>
        <v/>
      </c>
      <c r="X901" s="152">
        <f>IF(W901="","",1+COUNTIFS($W$4:$W$3003,"&gt;"&amp;W901)+COUNTIFS($W$4:W901,W901)-1)</f>
        <v/>
      </c>
      <c r="Y901" s="175">
        <f>IF(OR(I901="",'02_대상물건입력'!B19="",'02_대상물건입력'!B19&lt;=0),"",ABS(I901-'02_대상물건입력'!B19)/'02_대상물건입력'!B19)</f>
        <v/>
      </c>
      <c r="Z901" s="172">
        <f>IF(OR(Y901="",'01_설정'!B31="",'01_설정'!B31&lt;=0,'01_설정'!B32="",'01_설정'!B32&lt;=0),"",MAX(0,(1-Y901/'01_설정'!B32))*'01_설정'!B31)</f>
        <v/>
      </c>
    </row>
    <row r="902" ht="17.25" customHeight="1">
      <c r="A902" s="152">
        <f>IF(INDEX('04A_국토부원자료'!$A:$A,ROW()+1)="","",ROW()-3)</f>
        <v/>
      </c>
      <c r="B902" s="48">
        <f>IFERROR(INDEX('04A_국토부원자료'!$A:$T,ROW()+1,MATCH("시군구",'04A_국토부원자료'!$A$4:$T$4,0)),"")</f>
        <v/>
      </c>
      <c r="C902" s="48">
        <f>IF(B902="","",IFERROR(INDEX('04A_국토부원자료'!$A:$T,ROW()+1,MATCH("번지",'04A_국토부원자료'!$A$4:$T$4,0)),""))</f>
        <v/>
      </c>
      <c r="D902" s="48">
        <f>IF(B902="","",IF(Q902=1,'02_대상물건입력'!$B$8,IFERROR(INDEX('04A_국토부원자료'!$A:$T,ROW()+1,MATCH("단지명",'04A_국토부원자료'!$A$4:$T$4,0)),"")))</f>
        <v/>
      </c>
      <c r="E902" s="172">
        <f>IFERROR(VALUE(SUBSTITUTE(INDEX('04A_국토부원자료'!$A:$T,ROW()+1,MATCH("전용면적(㎡)",'04A_국토부원자료'!$A$4:$T$4,0)),",","")),"")</f>
        <v/>
      </c>
      <c r="F9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02" s="51">
        <f>IFERROR(VALUE(SUBSTITUTE(INDEX('04A_국토부원자료'!$A:$T,ROW()+1,MATCH("거래금액(만원)",'04A_국토부원자료'!$A$4:$T$4,0)),",","")),"")</f>
        <v/>
      </c>
      <c r="H902" s="174">
        <f>IF(G902="","",G902*10000)</f>
        <v/>
      </c>
      <c r="I902" s="174">
        <f>IFERROR(IF(AND(H902&gt;0,E902&gt;0),H902/E902,""),"")</f>
        <v/>
      </c>
      <c r="J902" s="152">
        <f>IFERROR(VALUE(SUBSTITUTE(INDEX('04A_국토부원자료'!$A:$T,ROW()+1,MATCH("층",'04A_국토부원자료'!$A$4:$T$4,0)),",","")),"")</f>
        <v/>
      </c>
      <c r="K902" s="152">
        <f>IFERROR(VALUE(SUBSTITUTE(INDEX('04A_국토부원자료'!$A:$T,ROW()+1,MATCH("건축년도",'04A_국토부원자료'!$A$4:$T$4,0)),",","")),"")</f>
        <v/>
      </c>
      <c r="L902" s="176">
        <f>IFERROR(INDEX('04A_국토부원자료'!$A:$T,ROW()+1,MATCH("도로명",'04A_국토부원자료'!$A$4:$T$4,0)),"")</f>
        <v/>
      </c>
      <c r="M902" s="48">
        <f>IFERROR(INDEX('04A_국토부원자료'!$A:$T,ROW()+1,MATCH("거래유형",'04A_국토부원자료'!$A$4:$T$4,0)),"")</f>
        <v/>
      </c>
      <c r="N902" s="152">
        <f>IF(B902="","",IF('02_대상물건입력'!B5="",1,IF(ISNUMBER(SEARCH('02_대상물건입력'!B5,B902)),1,0)))</f>
        <v/>
      </c>
      <c r="O902" s="152">
        <f>IF(B902="","",IF('02_대상물건입력'!B6="",1,IF(ISNUMBER(SEARCH('02_대상물건입력'!B6,B902)),1,0)))</f>
        <v/>
      </c>
      <c r="P902" s="152">
        <f>IF(L902="","",IF('02_대상물건입력'!B15="",0,IF(ISNUMBER(SEARCH('02_대상물건입력'!B15,L902)),1,0)))</f>
        <v/>
      </c>
      <c r="Q902" s="152">
        <f>IF(OR(C902="",L902=""),0,IF(AND(TRIM(C902)=TRIM(RIGHT(SUBSTITUTE(TRIM('02_대상물건입력'!$B$7)," ",REPT(" ",99)),99)),IF('02_대상물건입력'!B15="",TRUE(),ISNUMBER(SEARCH('02_대상물건입력'!B15,L902)))),1,0))</f>
        <v/>
      </c>
      <c r="R902" s="175">
        <f>IFERROR(ABS(E902-'02_대상물건입력'!B11)/'02_대상물건입력'!B11,"")</f>
        <v/>
      </c>
      <c r="S902" s="152">
        <f>IFERROR(ABS(J902-'02_대상물건입력'!B10),"")</f>
        <v/>
      </c>
      <c r="T902" s="152">
        <f>IFERROR(ABS('01_설정'!B4-F902),"")</f>
        <v/>
      </c>
      <c r="U902" s="152">
        <f>IFERROR(ABS(K902-YEAR('02_대상물건입력'!B14)),"")</f>
        <v/>
      </c>
      <c r="V902" s="152">
        <f>IF(B902="","",IF(AND(E902&gt;0,F902&gt;0,H902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902=1,TRUE()),R902&lt;='01_설정'!B5,S902&lt;='01_설정'!B6,T902&lt;='01_설정'!B7,U902&lt;='01_설정'!B8),"Y",""))</f>
        <v/>
      </c>
      <c r="W902" s="172">
        <f>IF(V902&lt;&gt;"Y","",MAX(0,(1-R902/'01_설정'!B5))*'01_설정'!B14+MAX(0,(1-S902/'01_설정'!B6))*'01_설정'!B15+MAX(0,(1-T902/'01_설정'!B7))*'01_설정'!B16+MAX(0,(1-U902/'01_설정'!B8))*'01_설정'!B17+O902*'01_설정'!B11+Q902*'01_설정'!B12+P902*'01_설정'!B13+IF(Z902="",0,Z902))</f>
        <v/>
      </c>
      <c r="X902" s="152">
        <f>IF(W902="","",1+COUNTIFS($W$4:$W$3003,"&gt;"&amp;W902)+COUNTIFS($W$4:W902,W902)-1)</f>
        <v/>
      </c>
      <c r="Y902" s="175">
        <f>IF(OR(I902="",'02_대상물건입력'!B19="",'02_대상물건입력'!B19&lt;=0),"",ABS(I902-'02_대상물건입력'!B19)/'02_대상물건입력'!B19)</f>
        <v/>
      </c>
      <c r="Z902" s="172">
        <f>IF(OR(Y902="",'01_설정'!B31="",'01_설정'!B31&lt;=0,'01_설정'!B32="",'01_설정'!B32&lt;=0),"",MAX(0,(1-Y902/'01_설정'!B32))*'01_설정'!B31)</f>
        <v/>
      </c>
    </row>
    <row r="903" ht="17.25" customHeight="1">
      <c r="A903" s="152">
        <f>IF(INDEX('04A_국토부원자료'!$A:$A,ROW()+1)="","",ROW()-3)</f>
        <v/>
      </c>
      <c r="B903" s="48">
        <f>IFERROR(INDEX('04A_국토부원자료'!$A:$T,ROW()+1,MATCH("시군구",'04A_국토부원자료'!$A$4:$T$4,0)),"")</f>
        <v/>
      </c>
      <c r="C903" s="48">
        <f>IF(B903="","",IFERROR(INDEX('04A_국토부원자료'!$A:$T,ROW()+1,MATCH("번지",'04A_국토부원자료'!$A$4:$T$4,0)),""))</f>
        <v/>
      </c>
      <c r="D903" s="48">
        <f>IF(B903="","",IF(Q903=1,'02_대상물건입력'!$B$8,IFERROR(INDEX('04A_국토부원자료'!$A:$T,ROW()+1,MATCH("단지명",'04A_국토부원자료'!$A$4:$T$4,0)),"")))</f>
        <v/>
      </c>
      <c r="E903" s="172">
        <f>IFERROR(VALUE(SUBSTITUTE(INDEX('04A_국토부원자료'!$A:$T,ROW()+1,MATCH("전용면적(㎡)",'04A_국토부원자료'!$A$4:$T$4,0)),",","")),"")</f>
        <v/>
      </c>
      <c r="F9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03" s="51">
        <f>IFERROR(VALUE(SUBSTITUTE(INDEX('04A_국토부원자료'!$A:$T,ROW()+1,MATCH("거래금액(만원)",'04A_국토부원자료'!$A$4:$T$4,0)),",","")),"")</f>
        <v/>
      </c>
      <c r="H903" s="174">
        <f>IF(G903="","",G903*10000)</f>
        <v/>
      </c>
      <c r="I903" s="174">
        <f>IFERROR(IF(AND(H903&gt;0,E903&gt;0),H903/E903,""),"")</f>
        <v/>
      </c>
      <c r="J903" s="152">
        <f>IFERROR(VALUE(SUBSTITUTE(INDEX('04A_국토부원자료'!$A:$T,ROW()+1,MATCH("층",'04A_국토부원자료'!$A$4:$T$4,0)),",","")),"")</f>
        <v/>
      </c>
      <c r="K903" s="152">
        <f>IFERROR(VALUE(SUBSTITUTE(INDEX('04A_국토부원자료'!$A:$T,ROW()+1,MATCH("건축년도",'04A_국토부원자료'!$A$4:$T$4,0)),",","")),"")</f>
        <v/>
      </c>
      <c r="L903" s="176">
        <f>IFERROR(INDEX('04A_국토부원자료'!$A:$T,ROW()+1,MATCH("도로명",'04A_국토부원자료'!$A$4:$T$4,0)),"")</f>
        <v/>
      </c>
      <c r="M903" s="48">
        <f>IFERROR(INDEX('04A_국토부원자료'!$A:$T,ROW()+1,MATCH("거래유형",'04A_국토부원자료'!$A$4:$T$4,0)),"")</f>
        <v/>
      </c>
      <c r="N903" s="152">
        <f>IF(B903="","",IF('02_대상물건입력'!B5="",1,IF(ISNUMBER(SEARCH('02_대상물건입력'!B5,B903)),1,0)))</f>
        <v/>
      </c>
      <c r="O903" s="152">
        <f>IF(B903="","",IF('02_대상물건입력'!B6="",1,IF(ISNUMBER(SEARCH('02_대상물건입력'!B6,B903)),1,0)))</f>
        <v/>
      </c>
      <c r="P903" s="152">
        <f>IF(L903="","",IF('02_대상물건입력'!B15="",0,IF(ISNUMBER(SEARCH('02_대상물건입력'!B15,L903)),1,0)))</f>
        <v/>
      </c>
      <c r="Q903" s="152">
        <f>IF(OR(C903="",L903=""),0,IF(AND(TRIM(C903)=TRIM(RIGHT(SUBSTITUTE(TRIM('02_대상물건입력'!$B$7)," ",REPT(" ",99)),99)),IF('02_대상물건입력'!B15="",TRUE(),ISNUMBER(SEARCH('02_대상물건입력'!B15,L903)))),1,0))</f>
        <v/>
      </c>
      <c r="R903" s="175">
        <f>IFERROR(ABS(E903-'02_대상물건입력'!B11)/'02_대상물건입력'!B11,"")</f>
        <v/>
      </c>
      <c r="S903" s="152">
        <f>IFERROR(ABS(J903-'02_대상물건입력'!B10),"")</f>
        <v/>
      </c>
      <c r="T903" s="152">
        <f>IFERROR(ABS('01_설정'!B4-F903),"")</f>
        <v/>
      </c>
      <c r="U903" s="152">
        <f>IFERROR(ABS(K903-YEAR('02_대상물건입력'!B14)),"")</f>
        <v/>
      </c>
      <c r="V903" s="152">
        <f>IF(B903="","",IF(AND(E903&gt;0,F903&gt;0,H903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903=1,TRUE()),R903&lt;='01_설정'!B5,S903&lt;='01_설정'!B6,T903&lt;='01_설정'!B7,U903&lt;='01_설정'!B8),"Y",""))</f>
        <v/>
      </c>
      <c r="W903" s="172">
        <f>IF(V903&lt;&gt;"Y","",MAX(0,(1-R903/'01_설정'!B5))*'01_설정'!B14+MAX(0,(1-S903/'01_설정'!B6))*'01_설정'!B15+MAX(0,(1-T903/'01_설정'!B7))*'01_설정'!B16+MAX(0,(1-U903/'01_설정'!B8))*'01_설정'!B17+O903*'01_설정'!B11+Q903*'01_설정'!B12+P903*'01_설정'!B13+IF(Z903="",0,Z903))</f>
        <v/>
      </c>
      <c r="X903" s="152">
        <f>IF(W903="","",1+COUNTIFS($W$4:$W$3003,"&gt;"&amp;W903)+COUNTIFS($W$4:W903,W903)-1)</f>
        <v/>
      </c>
      <c r="Y903" s="175">
        <f>IF(OR(I903="",'02_대상물건입력'!B19="",'02_대상물건입력'!B19&lt;=0),"",ABS(I903-'02_대상물건입력'!B19)/'02_대상물건입력'!B19)</f>
        <v/>
      </c>
      <c r="Z903" s="172">
        <f>IF(OR(Y903="",'01_설정'!B31="",'01_설정'!B31&lt;=0,'01_설정'!B32="",'01_설정'!B32&lt;=0),"",MAX(0,(1-Y903/'01_설정'!B32))*'01_설정'!B31)</f>
        <v/>
      </c>
    </row>
    <row r="904" ht="17.25" customHeight="1">
      <c r="A904" s="152">
        <f>IF(INDEX('04A_국토부원자료'!$A:$A,ROW()+1)="","",ROW()-3)</f>
        <v/>
      </c>
      <c r="B904" s="48">
        <f>IFERROR(INDEX('04A_국토부원자료'!$A:$T,ROW()+1,MATCH("시군구",'04A_국토부원자료'!$A$4:$T$4,0)),"")</f>
        <v/>
      </c>
      <c r="C904" s="48">
        <f>IF(B904="","",IFERROR(INDEX('04A_국토부원자료'!$A:$T,ROW()+1,MATCH("번지",'04A_국토부원자료'!$A$4:$T$4,0)),""))</f>
        <v/>
      </c>
      <c r="D904" s="48">
        <f>IF(B904="","",IF(Q904=1,'02_대상물건입력'!$B$8,IFERROR(INDEX('04A_국토부원자료'!$A:$T,ROW()+1,MATCH("단지명",'04A_국토부원자료'!$A$4:$T$4,0)),"")))</f>
        <v/>
      </c>
      <c r="E904" s="172">
        <f>IFERROR(VALUE(SUBSTITUTE(INDEX('04A_국토부원자료'!$A:$T,ROW()+1,MATCH("전용면적(㎡)",'04A_국토부원자료'!$A$4:$T$4,0)),",","")),"")</f>
        <v/>
      </c>
      <c r="F9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04" s="51">
        <f>IFERROR(VALUE(SUBSTITUTE(INDEX('04A_국토부원자료'!$A:$T,ROW()+1,MATCH("거래금액(만원)",'04A_국토부원자료'!$A$4:$T$4,0)),",","")),"")</f>
        <v/>
      </c>
      <c r="H904" s="174">
        <f>IF(G904="","",G904*10000)</f>
        <v/>
      </c>
      <c r="I904" s="174">
        <f>IFERROR(IF(AND(H904&gt;0,E904&gt;0),H904/E904,""),"")</f>
        <v/>
      </c>
      <c r="J904" s="152">
        <f>IFERROR(VALUE(SUBSTITUTE(INDEX('04A_국토부원자료'!$A:$T,ROW()+1,MATCH("층",'04A_국토부원자료'!$A$4:$T$4,0)),",","")),"")</f>
        <v/>
      </c>
      <c r="K904" s="152">
        <f>IFERROR(VALUE(SUBSTITUTE(INDEX('04A_국토부원자료'!$A:$T,ROW()+1,MATCH("건축년도",'04A_국토부원자료'!$A$4:$T$4,0)),",","")),"")</f>
        <v/>
      </c>
      <c r="L904" s="176">
        <f>IFERROR(INDEX('04A_국토부원자료'!$A:$T,ROW()+1,MATCH("도로명",'04A_국토부원자료'!$A$4:$T$4,0)),"")</f>
        <v/>
      </c>
      <c r="M904" s="48">
        <f>IFERROR(INDEX('04A_국토부원자료'!$A:$T,ROW()+1,MATCH("거래유형",'04A_국토부원자료'!$A$4:$T$4,0)),"")</f>
        <v/>
      </c>
      <c r="N904" s="152">
        <f>IF(B904="","",IF('02_대상물건입력'!B5="",1,IF(ISNUMBER(SEARCH('02_대상물건입력'!B5,B904)),1,0)))</f>
        <v/>
      </c>
      <c r="O904" s="152">
        <f>IF(B904="","",IF('02_대상물건입력'!B6="",1,IF(ISNUMBER(SEARCH('02_대상물건입력'!B6,B904)),1,0)))</f>
        <v/>
      </c>
      <c r="P904" s="152">
        <f>IF(L904="","",IF('02_대상물건입력'!B15="",0,IF(ISNUMBER(SEARCH('02_대상물건입력'!B15,L904)),1,0)))</f>
        <v/>
      </c>
      <c r="Q904" s="152">
        <f>IF(OR(C904="",L904=""),0,IF(AND(TRIM(C904)=TRIM(RIGHT(SUBSTITUTE(TRIM('02_대상물건입력'!$B$7)," ",REPT(" ",99)),99)),IF('02_대상물건입력'!B15="",TRUE(),ISNUMBER(SEARCH('02_대상물건입력'!B15,L904)))),1,0))</f>
        <v/>
      </c>
      <c r="R904" s="175">
        <f>IFERROR(ABS(E904-'02_대상물건입력'!B11)/'02_대상물건입력'!B11,"")</f>
        <v/>
      </c>
      <c r="S904" s="152">
        <f>IFERROR(ABS(J904-'02_대상물건입력'!B10),"")</f>
        <v/>
      </c>
      <c r="T904" s="152">
        <f>IFERROR(ABS('01_설정'!B4-F904),"")</f>
        <v/>
      </c>
      <c r="U904" s="152">
        <f>IFERROR(ABS(K904-YEAR('02_대상물건입력'!B14)),"")</f>
        <v/>
      </c>
      <c r="V904" s="152">
        <f>IF(B904="","",IF(AND(E904&gt;0,F904&gt;0,H904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904=1,TRUE()),R904&lt;='01_설정'!B5,S904&lt;='01_설정'!B6,T904&lt;='01_설정'!B7,U904&lt;='01_설정'!B8),"Y",""))</f>
        <v/>
      </c>
      <c r="W904" s="172">
        <f>IF(V904&lt;&gt;"Y","",MAX(0,(1-R904/'01_설정'!B5))*'01_설정'!B14+MAX(0,(1-S904/'01_설정'!B6))*'01_설정'!B15+MAX(0,(1-T904/'01_설정'!B7))*'01_설정'!B16+MAX(0,(1-U904/'01_설정'!B8))*'01_설정'!B17+O904*'01_설정'!B11+Q904*'01_설정'!B12+P904*'01_설정'!B13+IF(Z904="",0,Z904))</f>
        <v/>
      </c>
      <c r="X904" s="152">
        <f>IF(W904="","",1+COUNTIFS($W$4:$W$3003,"&gt;"&amp;W904)+COUNTIFS($W$4:W904,W904)-1)</f>
        <v/>
      </c>
      <c r="Y904" s="175">
        <f>IF(OR(I904="",'02_대상물건입력'!B19="",'02_대상물건입력'!B19&lt;=0),"",ABS(I904-'02_대상물건입력'!B19)/'02_대상물건입력'!B19)</f>
        <v/>
      </c>
      <c r="Z904" s="172">
        <f>IF(OR(Y904="",'01_설정'!B31="",'01_설정'!B31&lt;=0,'01_설정'!B32="",'01_설정'!B32&lt;=0),"",MAX(0,(1-Y904/'01_설정'!B32))*'01_설정'!B31)</f>
        <v/>
      </c>
    </row>
    <row r="905" ht="17.25" customHeight="1">
      <c r="A905" s="152">
        <f>IF(INDEX('04A_국토부원자료'!$A:$A,ROW()+1)="","",ROW()-3)</f>
        <v/>
      </c>
      <c r="B905" s="48">
        <f>IFERROR(INDEX('04A_국토부원자료'!$A:$T,ROW()+1,MATCH("시군구",'04A_국토부원자료'!$A$4:$T$4,0)),"")</f>
        <v/>
      </c>
      <c r="C905" s="48">
        <f>IF(B905="","",IFERROR(INDEX('04A_국토부원자료'!$A:$T,ROW()+1,MATCH("번지",'04A_국토부원자료'!$A$4:$T$4,0)),""))</f>
        <v/>
      </c>
      <c r="D905" s="48">
        <f>IF(B905="","",IF(Q905=1,'02_대상물건입력'!$B$8,IFERROR(INDEX('04A_국토부원자료'!$A:$T,ROW()+1,MATCH("단지명",'04A_국토부원자료'!$A$4:$T$4,0)),"")))</f>
        <v/>
      </c>
      <c r="E905" s="172">
        <f>IFERROR(VALUE(SUBSTITUTE(INDEX('04A_국토부원자료'!$A:$T,ROW()+1,MATCH("전용면적(㎡)",'04A_국토부원자료'!$A$4:$T$4,0)),",","")),"")</f>
        <v/>
      </c>
      <c r="F9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05" s="51">
        <f>IFERROR(VALUE(SUBSTITUTE(INDEX('04A_국토부원자료'!$A:$T,ROW()+1,MATCH("거래금액(만원)",'04A_국토부원자료'!$A$4:$T$4,0)),",","")),"")</f>
        <v/>
      </c>
      <c r="H905" s="174">
        <f>IF(G905="","",G905*10000)</f>
        <v/>
      </c>
      <c r="I905" s="174">
        <f>IFERROR(IF(AND(H905&gt;0,E905&gt;0),H905/E905,""),"")</f>
        <v/>
      </c>
      <c r="J905" s="152">
        <f>IFERROR(VALUE(SUBSTITUTE(INDEX('04A_국토부원자료'!$A:$T,ROW()+1,MATCH("층",'04A_국토부원자료'!$A$4:$T$4,0)),",","")),"")</f>
        <v/>
      </c>
      <c r="K905" s="152">
        <f>IFERROR(VALUE(SUBSTITUTE(INDEX('04A_국토부원자료'!$A:$T,ROW()+1,MATCH("건축년도",'04A_국토부원자료'!$A$4:$T$4,0)),",","")),"")</f>
        <v/>
      </c>
      <c r="L905" s="176">
        <f>IFERROR(INDEX('04A_국토부원자료'!$A:$T,ROW()+1,MATCH("도로명",'04A_국토부원자료'!$A$4:$T$4,0)),"")</f>
        <v/>
      </c>
      <c r="M905" s="48">
        <f>IFERROR(INDEX('04A_국토부원자료'!$A:$T,ROW()+1,MATCH("거래유형",'04A_국토부원자료'!$A$4:$T$4,0)),"")</f>
        <v/>
      </c>
      <c r="N905" s="152">
        <f>IF(B905="","",IF('02_대상물건입력'!B5="",1,IF(ISNUMBER(SEARCH('02_대상물건입력'!B5,B905)),1,0)))</f>
        <v/>
      </c>
      <c r="O905" s="152">
        <f>IF(B905="","",IF('02_대상물건입력'!B6="",1,IF(ISNUMBER(SEARCH('02_대상물건입력'!B6,B905)),1,0)))</f>
        <v/>
      </c>
      <c r="P905" s="152">
        <f>IF(L905="","",IF('02_대상물건입력'!B15="",0,IF(ISNUMBER(SEARCH('02_대상물건입력'!B15,L905)),1,0)))</f>
        <v/>
      </c>
      <c r="Q905" s="152">
        <f>IF(OR(C905="",L905=""),0,IF(AND(TRIM(C905)=TRIM(RIGHT(SUBSTITUTE(TRIM('02_대상물건입력'!$B$7)," ",REPT(" ",99)),99)),IF('02_대상물건입력'!B15="",TRUE(),ISNUMBER(SEARCH('02_대상물건입력'!B15,L905)))),1,0))</f>
        <v/>
      </c>
      <c r="R905" s="175">
        <f>IFERROR(ABS(E905-'02_대상물건입력'!B11)/'02_대상물건입력'!B11,"")</f>
        <v/>
      </c>
      <c r="S905" s="152">
        <f>IFERROR(ABS(J905-'02_대상물건입력'!B10),"")</f>
        <v/>
      </c>
      <c r="T905" s="152">
        <f>IFERROR(ABS('01_설정'!B4-F905),"")</f>
        <v/>
      </c>
      <c r="U905" s="152">
        <f>IFERROR(ABS(K905-YEAR('02_대상물건입력'!B14)),"")</f>
        <v/>
      </c>
      <c r="V905" s="152">
        <f>IF(B905="","",IF(AND(E905&gt;0,F905&gt;0,H905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905=1,TRUE()),R905&lt;='01_설정'!B5,S905&lt;='01_설정'!B6,T905&lt;='01_설정'!B7,U905&lt;='01_설정'!B8),"Y",""))</f>
        <v/>
      </c>
      <c r="W905" s="172">
        <f>IF(V905&lt;&gt;"Y","",MAX(0,(1-R905/'01_설정'!B5))*'01_설정'!B14+MAX(0,(1-S905/'01_설정'!B6))*'01_설정'!B15+MAX(0,(1-T905/'01_설정'!B7))*'01_설정'!B16+MAX(0,(1-U905/'01_설정'!B8))*'01_설정'!B17+O905*'01_설정'!B11+Q905*'01_설정'!B12+P905*'01_설정'!B13+IF(Z905="",0,Z905))</f>
        <v/>
      </c>
      <c r="X905" s="152">
        <f>IF(W905="","",1+COUNTIFS($W$4:$W$3003,"&gt;"&amp;W905)+COUNTIFS($W$4:W905,W905)-1)</f>
        <v/>
      </c>
      <c r="Y905" s="175">
        <f>IF(OR(I905="",'02_대상물건입력'!B19="",'02_대상물건입력'!B19&lt;=0),"",ABS(I905-'02_대상물건입력'!B19)/'02_대상물건입력'!B19)</f>
        <v/>
      </c>
      <c r="Z905" s="172">
        <f>IF(OR(Y905="",'01_설정'!B31="",'01_설정'!B31&lt;=0,'01_설정'!B32="",'01_설정'!B32&lt;=0),"",MAX(0,(1-Y905/'01_설정'!B32))*'01_설정'!B31)</f>
        <v/>
      </c>
    </row>
    <row r="906" ht="17.25" customHeight="1">
      <c r="A906" s="152">
        <f>IF(INDEX('04A_국토부원자료'!$A:$A,ROW()+1)="","",ROW()-3)</f>
        <v/>
      </c>
      <c r="B906" s="48">
        <f>IFERROR(INDEX('04A_국토부원자료'!$A:$T,ROW()+1,MATCH("시군구",'04A_국토부원자료'!$A$4:$T$4,0)),"")</f>
        <v/>
      </c>
      <c r="C906" s="48">
        <f>IF(B906="","",IFERROR(INDEX('04A_국토부원자료'!$A:$T,ROW()+1,MATCH("번지",'04A_국토부원자료'!$A$4:$T$4,0)),""))</f>
        <v/>
      </c>
      <c r="D906" s="48">
        <f>IF(B906="","",IF(Q906=1,'02_대상물건입력'!$B$8,IFERROR(INDEX('04A_국토부원자료'!$A:$T,ROW()+1,MATCH("단지명",'04A_국토부원자료'!$A$4:$T$4,0)),"")))</f>
        <v/>
      </c>
      <c r="E906" s="172">
        <f>IFERROR(VALUE(SUBSTITUTE(INDEX('04A_국토부원자료'!$A:$T,ROW()+1,MATCH("전용면적(㎡)",'04A_국토부원자료'!$A$4:$T$4,0)),",","")),"")</f>
        <v/>
      </c>
      <c r="F9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06" s="51">
        <f>IFERROR(VALUE(SUBSTITUTE(INDEX('04A_국토부원자료'!$A:$T,ROW()+1,MATCH("거래금액(만원)",'04A_국토부원자료'!$A$4:$T$4,0)),",","")),"")</f>
        <v/>
      </c>
      <c r="H906" s="174">
        <f>IF(G906="","",G906*10000)</f>
        <v/>
      </c>
      <c r="I906" s="174">
        <f>IFERROR(IF(AND(H906&gt;0,E906&gt;0),H906/E906,""),"")</f>
        <v/>
      </c>
      <c r="J906" s="152">
        <f>IFERROR(VALUE(SUBSTITUTE(INDEX('04A_국토부원자료'!$A:$T,ROW()+1,MATCH("층",'04A_국토부원자료'!$A$4:$T$4,0)),",","")),"")</f>
        <v/>
      </c>
      <c r="K906" s="152">
        <f>IFERROR(VALUE(SUBSTITUTE(INDEX('04A_국토부원자료'!$A:$T,ROW()+1,MATCH("건축년도",'04A_국토부원자료'!$A$4:$T$4,0)),",","")),"")</f>
        <v/>
      </c>
      <c r="L906" s="176">
        <f>IFERROR(INDEX('04A_국토부원자료'!$A:$T,ROW()+1,MATCH("도로명",'04A_국토부원자료'!$A$4:$T$4,0)),"")</f>
        <v/>
      </c>
      <c r="M906" s="48">
        <f>IFERROR(INDEX('04A_국토부원자료'!$A:$T,ROW()+1,MATCH("거래유형",'04A_국토부원자료'!$A$4:$T$4,0)),"")</f>
        <v/>
      </c>
      <c r="N906" s="152">
        <f>IF(B906="","",IF('02_대상물건입력'!B5="",1,IF(ISNUMBER(SEARCH('02_대상물건입력'!B5,B906)),1,0)))</f>
        <v/>
      </c>
      <c r="O906" s="152">
        <f>IF(B906="","",IF('02_대상물건입력'!B6="",1,IF(ISNUMBER(SEARCH('02_대상물건입력'!B6,B906)),1,0)))</f>
        <v/>
      </c>
      <c r="P906" s="152">
        <f>IF(L906="","",IF('02_대상물건입력'!B15="",0,IF(ISNUMBER(SEARCH('02_대상물건입력'!B15,L906)),1,0)))</f>
        <v/>
      </c>
      <c r="Q906" s="152">
        <f>IF(OR(C906="",L906=""),0,IF(AND(TRIM(C906)=TRIM(RIGHT(SUBSTITUTE(TRIM('02_대상물건입력'!$B$7)," ",REPT(" ",99)),99)),IF('02_대상물건입력'!B15="",TRUE(),ISNUMBER(SEARCH('02_대상물건입력'!B15,L906)))),1,0))</f>
        <v/>
      </c>
      <c r="R906" s="175">
        <f>IFERROR(ABS(E906-'02_대상물건입력'!B11)/'02_대상물건입력'!B11,"")</f>
        <v/>
      </c>
      <c r="S906" s="152">
        <f>IFERROR(ABS(J906-'02_대상물건입력'!B10),"")</f>
        <v/>
      </c>
      <c r="T906" s="152">
        <f>IFERROR(ABS('01_설정'!B4-F906),"")</f>
        <v/>
      </c>
      <c r="U906" s="152">
        <f>IFERROR(ABS(K906-YEAR('02_대상물건입력'!B14)),"")</f>
        <v/>
      </c>
      <c r="V906" s="152">
        <f>IF(B906="","",IF(AND(E906&gt;0,F906&gt;0,H906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906=1,TRUE()),R906&lt;='01_설정'!B5,S906&lt;='01_설정'!B6,T906&lt;='01_설정'!B7,U906&lt;='01_설정'!B8),"Y",""))</f>
        <v/>
      </c>
      <c r="W906" s="172">
        <f>IF(V906&lt;&gt;"Y","",MAX(0,(1-R906/'01_설정'!B5))*'01_설정'!B14+MAX(0,(1-S906/'01_설정'!B6))*'01_설정'!B15+MAX(0,(1-T906/'01_설정'!B7))*'01_설정'!B16+MAX(0,(1-U906/'01_설정'!B8))*'01_설정'!B17+O906*'01_설정'!B11+Q906*'01_설정'!B12+P906*'01_설정'!B13+IF(Z906="",0,Z906))</f>
        <v/>
      </c>
      <c r="X906" s="152">
        <f>IF(W906="","",1+COUNTIFS($W$4:$W$3003,"&gt;"&amp;W906)+COUNTIFS($W$4:W906,W906)-1)</f>
        <v/>
      </c>
      <c r="Y906" s="175">
        <f>IF(OR(I906="",'02_대상물건입력'!B19="",'02_대상물건입력'!B19&lt;=0),"",ABS(I906-'02_대상물건입력'!B19)/'02_대상물건입력'!B19)</f>
        <v/>
      </c>
      <c r="Z906" s="172">
        <f>IF(OR(Y906="",'01_설정'!B31="",'01_설정'!B31&lt;=0,'01_설정'!B32="",'01_설정'!B32&lt;=0),"",MAX(0,(1-Y906/'01_설정'!B32))*'01_설정'!B31)</f>
        <v/>
      </c>
    </row>
    <row r="907" ht="17.25" customHeight="1">
      <c r="A907" s="152">
        <f>IF(INDEX('04A_국토부원자료'!$A:$A,ROW()+1)="","",ROW()-3)</f>
        <v/>
      </c>
      <c r="B907" s="48">
        <f>IFERROR(INDEX('04A_국토부원자료'!$A:$T,ROW()+1,MATCH("시군구",'04A_국토부원자료'!$A$4:$T$4,0)),"")</f>
        <v/>
      </c>
      <c r="C907" s="48">
        <f>IF(B907="","",IFERROR(INDEX('04A_국토부원자료'!$A:$T,ROW()+1,MATCH("번지",'04A_국토부원자료'!$A$4:$T$4,0)),""))</f>
        <v/>
      </c>
      <c r="D907" s="48">
        <f>IF(B907="","",IF(Q907=1,'02_대상물건입력'!$B$8,IFERROR(INDEX('04A_국토부원자료'!$A:$T,ROW()+1,MATCH("단지명",'04A_국토부원자료'!$A$4:$T$4,0)),"")))</f>
        <v/>
      </c>
      <c r="E907" s="172">
        <f>IFERROR(VALUE(SUBSTITUTE(INDEX('04A_국토부원자료'!$A:$T,ROW()+1,MATCH("전용면적(㎡)",'04A_국토부원자료'!$A$4:$T$4,0)),",","")),"")</f>
        <v/>
      </c>
      <c r="F9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07" s="51">
        <f>IFERROR(VALUE(SUBSTITUTE(INDEX('04A_국토부원자료'!$A:$T,ROW()+1,MATCH("거래금액(만원)",'04A_국토부원자료'!$A$4:$T$4,0)),",","")),"")</f>
        <v/>
      </c>
      <c r="H907" s="174">
        <f>IF(G907="","",G907*10000)</f>
        <v/>
      </c>
      <c r="I907" s="174">
        <f>IFERROR(IF(AND(H907&gt;0,E907&gt;0),H907/E907,""),"")</f>
        <v/>
      </c>
      <c r="J907" s="152">
        <f>IFERROR(VALUE(SUBSTITUTE(INDEX('04A_국토부원자료'!$A:$T,ROW()+1,MATCH("층",'04A_국토부원자료'!$A$4:$T$4,0)),",","")),"")</f>
        <v/>
      </c>
      <c r="K907" s="152">
        <f>IFERROR(VALUE(SUBSTITUTE(INDEX('04A_국토부원자료'!$A:$T,ROW()+1,MATCH("건축년도",'04A_국토부원자료'!$A$4:$T$4,0)),",","")),"")</f>
        <v/>
      </c>
      <c r="L907" s="176">
        <f>IFERROR(INDEX('04A_국토부원자료'!$A:$T,ROW()+1,MATCH("도로명",'04A_국토부원자료'!$A$4:$T$4,0)),"")</f>
        <v/>
      </c>
      <c r="M907" s="48">
        <f>IFERROR(INDEX('04A_국토부원자료'!$A:$T,ROW()+1,MATCH("거래유형",'04A_국토부원자료'!$A$4:$T$4,0)),"")</f>
        <v/>
      </c>
      <c r="N907" s="152">
        <f>IF(B907="","",IF('02_대상물건입력'!B5="",1,IF(ISNUMBER(SEARCH('02_대상물건입력'!B5,B907)),1,0)))</f>
        <v/>
      </c>
      <c r="O907" s="152">
        <f>IF(B907="","",IF('02_대상물건입력'!B6="",1,IF(ISNUMBER(SEARCH('02_대상물건입력'!B6,B907)),1,0)))</f>
        <v/>
      </c>
      <c r="P907" s="152">
        <f>IF(L907="","",IF('02_대상물건입력'!B15="",0,IF(ISNUMBER(SEARCH('02_대상물건입력'!B15,L907)),1,0)))</f>
        <v/>
      </c>
      <c r="Q907" s="152">
        <f>IF(OR(C907="",L907=""),0,IF(AND(TRIM(C907)=TRIM(RIGHT(SUBSTITUTE(TRIM('02_대상물건입력'!$B$7)," ",REPT(" ",99)),99)),IF('02_대상물건입력'!B15="",TRUE(),ISNUMBER(SEARCH('02_대상물건입력'!B15,L907)))),1,0))</f>
        <v/>
      </c>
      <c r="R907" s="175">
        <f>IFERROR(ABS(E907-'02_대상물건입력'!B11)/'02_대상물건입력'!B11,"")</f>
        <v/>
      </c>
      <c r="S907" s="152">
        <f>IFERROR(ABS(J907-'02_대상물건입력'!B10),"")</f>
        <v/>
      </c>
      <c r="T907" s="152">
        <f>IFERROR(ABS('01_설정'!B4-F907),"")</f>
        <v/>
      </c>
      <c r="U907" s="152">
        <f>IFERROR(ABS(K907-YEAR('02_대상물건입력'!B14)),"")</f>
        <v/>
      </c>
      <c r="V907" s="152">
        <f>IF(B907="","",IF(AND(E907&gt;0,F907&gt;0,H907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907=1,TRUE()),R907&lt;='01_설정'!B5,S907&lt;='01_설정'!B6,T907&lt;='01_설정'!B7,U907&lt;='01_설정'!B8),"Y",""))</f>
        <v/>
      </c>
      <c r="W907" s="172">
        <f>IF(V907&lt;&gt;"Y","",MAX(0,(1-R907/'01_설정'!B5))*'01_설정'!B14+MAX(0,(1-S907/'01_설정'!B6))*'01_설정'!B15+MAX(0,(1-T907/'01_설정'!B7))*'01_설정'!B16+MAX(0,(1-U907/'01_설정'!B8))*'01_설정'!B17+O907*'01_설정'!B11+Q907*'01_설정'!B12+P907*'01_설정'!B13+IF(Z907="",0,Z907))</f>
        <v/>
      </c>
      <c r="X907" s="152">
        <f>IF(W907="","",1+COUNTIFS($W$4:$W$3003,"&gt;"&amp;W907)+COUNTIFS($W$4:W907,W907)-1)</f>
        <v/>
      </c>
      <c r="Y907" s="175">
        <f>IF(OR(I907="",'02_대상물건입력'!B19="",'02_대상물건입력'!B19&lt;=0),"",ABS(I907-'02_대상물건입력'!B19)/'02_대상물건입력'!B19)</f>
        <v/>
      </c>
      <c r="Z907" s="172">
        <f>IF(OR(Y907="",'01_설정'!B31="",'01_설정'!B31&lt;=0,'01_설정'!B32="",'01_설정'!B32&lt;=0),"",MAX(0,(1-Y907/'01_설정'!B32))*'01_설정'!B31)</f>
        <v/>
      </c>
    </row>
    <row r="908" ht="17.25" customHeight="1">
      <c r="A908" s="152">
        <f>IF(INDEX('04A_국토부원자료'!$A:$A,ROW()+1)="","",ROW()-3)</f>
        <v/>
      </c>
      <c r="B908" s="48">
        <f>IFERROR(INDEX('04A_국토부원자료'!$A:$T,ROW()+1,MATCH("시군구",'04A_국토부원자료'!$A$4:$T$4,0)),"")</f>
        <v/>
      </c>
      <c r="C908" s="48">
        <f>IF(B908="","",IFERROR(INDEX('04A_국토부원자료'!$A:$T,ROW()+1,MATCH("번지",'04A_국토부원자료'!$A$4:$T$4,0)),""))</f>
        <v/>
      </c>
      <c r="D908" s="48">
        <f>IF(B908="","",IF(Q908=1,'02_대상물건입력'!$B$8,IFERROR(INDEX('04A_국토부원자료'!$A:$T,ROW()+1,MATCH("단지명",'04A_국토부원자료'!$A$4:$T$4,0)),"")))</f>
        <v/>
      </c>
      <c r="E908" s="172">
        <f>IFERROR(VALUE(SUBSTITUTE(INDEX('04A_국토부원자료'!$A:$T,ROW()+1,MATCH("전용면적(㎡)",'04A_국토부원자료'!$A$4:$T$4,0)),",","")),"")</f>
        <v/>
      </c>
      <c r="F9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08" s="51">
        <f>IFERROR(VALUE(SUBSTITUTE(INDEX('04A_국토부원자료'!$A:$T,ROW()+1,MATCH("거래금액(만원)",'04A_국토부원자료'!$A$4:$T$4,0)),",","")),"")</f>
        <v/>
      </c>
      <c r="H908" s="174">
        <f>IF(G908="","",G908*10000)</f>
        <v/>
      </c>
      <c r="I908" s="174">
        <f>IFERROR(IF(AND(H908&gt;0,E908&gt;0),H908/E908,""),"")</f>
        <v/>
      </c>
      <c r="J908" s="152">
        <f>IFERROR(VALUE(SUBSTITUTE(INDEX('04A_국토부원자료'!$A:$T,ROW()+1,MATCH("층",'04A_국토부원자료'!$A$4:$T$4,0)),",","")),"")</f>
        <v/>
      </c>
      <c r="K908" s="152">
        <f>IFERROR(VALUE(SUBSTITUTE(INDEX('04A_국토부원자료'!$A:$T,ROW()+1,MATCH("건축년도",'04A_국토부원자료'!$A$4:$T$4,0)),",","")),"")</f>
        <v/>
      </c>
      <c r="L908" s="176">
        <f>IFERROR(INDEX('04A_국토부원자료'!$A:$T,ROW()+1,MATCH("도로명",'04A_국토부원자료'!$A$4:$T$4,0)),"")</f>
        <v/>
      </c>
      <c r="M908" s="48">
        <f>IFERROR(INDEX('04A_국토부원자료'!$A:$T,ROW()+1,MATCH("거래유형",'04A_국토부원자료'!$A$4:$T$4,0)),"")</f>
        <v/>
      </c>
      <c r="N908" s="152">
        <f>IF(B908="","",IF('02_대상물건입력'!B5="",1,IF(ISNUMBER(SEARCH('02_대상물건입력'!B5,B908)),1,0)))</f>
        <v/>
      </c>
      <c r="O908" s="152">
        <f>IF(B908="","",IF('02_대상물건입력'!B6="",1,IF(ISNUMBER(SEARCH('02_대상물건입력'!B6,B908)),1,0)))</f>
        <v/>
      </c>
      <c r="P908" s="152">
        <f>IF(L908="","",IF('02_대상물건입력'!B15="",0,IF(ISNUMBER(SEARCH('02_대상물건입력'!B15,L908)),1,0)))</f>
        <v/>
      </c>
      <c r="Q908" s="152">
        <f>IF(OR(C908="",L908=""),0,IF(AND(TRIM(C908)=TRIM(RIGHT(SUBSTITUTE(TRIM('02_대상물건입력'!$B$7)," ",REPT(" ",99)),99)),IF('02_대상물건입력'!B15="",TRUE(),ISNUMBER(SEARCH('02_대상물건입력'!B15,L908)))),1,0))</f>
        <v/>
      </c>
      <c r="R908" s="175">
        <f>IFERROR(ABS(E908-'02_대상물건입력'!B11)/'02_대상물건입력'!B11,"")</f>
        <v/>
      </c>
      <c r="S908" s="152">
        <f>IFERROR(ABS(J908-'02_대상물건입력'!B10),"")</f>
        <v/>
      </c>
      <c r="T908" s="152">
        <f>IFERROR(ABS('01_설정'!B4-F908),"")</f>
        <v/>
      </c>
      <c r="U908" s="152">
        <f>IFERROR(ABS(K908-YEAR('02_대상물건입력'!B14)),"")</f>
        <v/>
      </c>
      <c r="V908" s="152">
        <f>IF(B908="","",IF(AND(E908&gt;0,F908&gt;0,H908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908=1,TRUE()),R908&lt;='01_설정'!B5,S908&lt;='01_설정'!B6,T908&lt;='01_설정'!B7,U908&lt;='01_설정'!B8),"Y",""))</f>
        <v/>
      </c>
      <c r="W908" s="172">
        <f>IF(V908&lt;&gt;"Y","",MAX(0,(1-R908/'01_설정'!B5))*'01_설정'!B14+MAX(0,(1-S908/'01_설정'!B6))*'01_설정'!B15+MAX(0,(1-T908/'01_설정'!B7))*'01_설정'!B16+MAX(0,(1-U908/'01_설정'!B8))*'01_설정'!B17+O908*'01_설정'!B11+Q908*'01_설정'!B12+P908*'01_설정'!B13+IF(Z908="",0,Z908))</f>
        <v/>
      </c>
      <c r="X908" s="152">
        <f>IF(W908="","",1+COUNTIFS($W$4:$W$3003,"&gt;"&amp;W908)+COUNTIFS($W$4:W908,W908)-1)</f>
        <v/>
      </c>
      <c r="Y908" s="175">
        <f>IF(OR(I908="",'02_대상물건입력'!B19="",'02_대상물건입력'!B19&lt;=0),"",ABS(I908-'02_대상물건입력'!B19)/'02_대상물건입력'!B19)</f>
        <v/>
      </c>
      <c r="Z908" s="172">
        <f>IF(OR(Y908="",'01_설정'!B31="",'01_설정'!B31&lt;=0,'01_설정'!B32="",'01_설정'!B32&lt;=0),"",MAX(0,(1-Y908/'01_설정'!B32))*'01_설정'!B31)</f>
        <v/>
      </c>
    </row>
    <row r="909" ht="17.25" customHeight="1">
      <c r="A909" s="152">
        <f>IF(INDEX('04A_국토부원자료'!$A:$A,ROW()+1)="","",ROW()-3)</f>
        <v/>
      </c>
      <c r="B909" s="48">
        <f>IFERROR(INDEX('04A_국토부원자료'!$A:$T,ROW()+1,MATCH("시군구",'04A_국토부원자료'!$A$4:$T$4,0)),"")</f>
        <v/>
      </c>
      <c r="C909" s="48">
        <f>IF(B909="","",IFERROR(INDEX('04A_국토부원자료'!$A:$T,ROW()+1,MATCH("번지",'04A_국토부원자료'!$A$4:$T$4,0)),""))</f>
        <v/>
      </c>
      <c r="D909" s="48">
        <f>IF(B909="","",IF(Q909=1,'02_대상물건입력'!$B$8,IFERROR(INDEX('04A_국토부원자료'!$A:$T,ROW()+1,MATCH("단지명",'04A_국토부원자료'!$A$4:$T$4,0)),"")))</f>
        <v/>
      </c>
      <c r="E909" s="172">
        <f>IFERROR(VALUE(SUBSTITUTE(INDEX('04A_국토부원자료'!$A:$T,ROW()+1,MATCH("전용면적(㎡)",'04A_국토부원자료'!$A$4:$T$4,0)),",","")),"")</f>
        <v/>
      </c>
      <c r="F9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09" s="51">
        <f>IFERROR(VALUE(SUBSTITUTE(INDEX('04A_국토부원자료'!$A:$T,ROW()+1,MATCH("거래금액(만원)",'04A_국토부원자료'!$A$4:$T$4,0)),",","")),"")</f>
        <v/>
      </c>
      <c r="H909" s="174">
        <f>IF(G909="","",G909*10000)</f>
        <v/>
      </c>
      <c r="I909" s="174">
        <f>IFERROR(IF(AND(H909&gt;0,E909&gt;0),H909/E909,""),"")</f>
        <v/>
      </c>
      <c r="J909" s="152">
        <f>IFERROR(VALUE(SUBSTITUTE(INDEX('04A_국토부원자료'!$A:$T,ROW()+1,MATCH("층",'04A_국토부원자료'!$A$4:$T$4,0)),",","")),"")</f>
        <v/>
      </c>
      <c r="K909" s="152">
        <f>IFERROR(VALUE(SUBSTITUTE(INDEX('04A_국토부원자료'!$A:$T,ROW()+1,MATCH("건축년도",'04A_국토부원자료'!$A$4:$T$4,0)),",","")),"")</f>
        <v/>
      </c>
      <c r="L909" s="176">
        <f>IFERROR(INDEX('04A_국토부원자료'!$A:$T,ROW()+1,MATCH("도로명",'04A_국토부원자료'!$A$4:$T$4,0)),"")</f>
        <v/>
      </c>
      <c r="M909" s="48">
        <f>IFERROR(INDEX('04A_국토부원자료'!$A:$T,ROW()+1,MATCH("거래유형",'04A_국토부원자료'!$A$4:$T$4,0)),"")</f>
        <v/>
      </c>
      <c r="N909" s="152">
        <f>IF(B909="","",IF('02_대상물건입력'!B5="",1,IF(ISNUMBER(SEARCH('02_대상물건입력'!B5,B909)),1,0)))</f>
        <v/>
      </c>
      <c r="O909" s="152">
        <f>IF(B909="","",IF('02_대상물건입력'!B6="",1,IF(ISNUMBER(SEARCH('02_대상물건입력'!B6,B909)),1,0)))</f>
        <v/>
      </c>
      <c r="P909" s="152">
        <f>IF(L909="","",IF('02_대상물건입력'!B15="",0,IF(ISNUMBER(SEARCH('02_대상물건입력'!B15,L909)),1,0)))</f>
        <v/>
      </c>
      <c r="Q909" s="152">
        <f>IF(OR(C909="",L909=""),0,IF(AND(TRIM(C909)=TRIM(RIGHT(SUBSTITUTE(TRIM('02_대상물건입력'!$B$7)," ",REPT(" ",99)),99)),IF('02_대상물건입력'!B15="",TRUE(),ISNUMBER(SEARCH('02_대상물건입력'!B15,L909)))),1,0))</f>
        <v/>
      </c>
      <c r="R909" s="175">
        <f>IFERROR(ABS(E909-'02_대상물건입력'!B11)/'02_대상물건입력'!B11,"")</f>
        <v/>
      </c>
      <c r="S909" s="152">
        <f>IFERROR(ABS(J909-'02_대상물건입력'!B10),"")</f>
        <v/>
      </c>
      <c r="T909" s="152">
        <f>IFERROR(ABS('01_설정'!B4-F909),"")</f>
        <v/>
      </c>
      <c r="U909" s="152">
        <f>IFERROR(ABS(K909-YEAR('02_대상물건입력'!B14)),"")</f>
        <v/>
      </c>
      <c r="V909" s="152">
        <f>IF(B909="","",IF(AND(E909&gt;0,F909&gt;0,H909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909=1,TRUE()),R909&lt;='01_설정'!B5,S909&lt;='01_설정'!B6,T909&lt;='01_설정'!B7,U909&lt;='01_설정'!B8),"Y",""))</f>
        <v/>
      </c>
      <c r="W909" s="172">
        <f>IF(V909&lt;&gt;"Y","",MAX(0,(1-R909/'01_설정'!B5))*'01_설정'!B14+MAX(0,(1-S909/'01_설정'!B6))*'01_설정'!B15+MAX(0,(1-T909/'01_설정'!B7))*'01_설정'!B16+MAX(0,(1-U909/'01_설정'!B8))*'01_설정'!B17+O909*'01_설정'!B11+Q909*'01_설정'!B12+P909*'01_설정'!B13+IF(Z909="",0,Z909))</f>
        <v/>
      </c>
      <c r="X909" s="152">
        <f>IF(W909="","",1+COUNTIFS($W$4:$W$3003,"&gt;"&amp;W909)+COUNTIFS($W$4:W909,W909)-1)</f>
        <v/>
      </c>
      <c r="Y909" s="175">
        <f>IF(OR(I909="",'02_대상물건입력'!B19="",'02_대상물건입력'!B19&lt;=0),"",ABS(I909-'02_대상물건입력'!B19)/'02_대상물건입력'!B19)</f>
        <v/>
      </c>
      <c r="Z909" s="172">
        <f>IF(OR(Y909="",'01_설정'!B31="",'01_설정'!B31&lt;=0,'01_설정'!B32="",'01_설정'!B32&lt;=0),"",MAX(0,(1-Y909/'01_설정'!B32))*'01_설정'!B31)</f>
        <v/>
      </c>
    </row>
    <row r="910" ht="17.25" customHeight="1">
      <c r="A910" s="152">
        <f>IF(INDEX('04A_국토부원자료'!$A:$A,ROW()+1)="","",ROW()-3)</f>
        <v/>
      </c>
      <c r="B910" s="48">
        <f>IFERROR(INDEX('04A_국토부원자료'!$A:$T,ROW()+1,MATCH("시군구",'04A_국토부원자료'!$A$4:$T$4,0)),"")</f>
        <v/>
      </c>
      <c r="C910" s="48">
        <f>IF(B910="","",IFERROR(INDEX('04A_국토부원자료'!$A:$T,ROW()+1,MATCH("번지",'04A_국토부원자료'!$A$4:$T$4,0)),""))</f>
        <v/>
      </c>
      <c r="D910" s="48">
        <f>IF(B910="","",IF(Q910=1,'02_대상물건입력'!$B$8,IFERROR(INDEX('04A_국토부원자료'!$A:$T,ROW()+1,MATCH("단지명",'04A_국토부원자료'!$A$4:$T$4,0)),"")))</f>
        <v/>
      </c>
      <c r="E910" s="172">
        <f>IFERROR(VALUE(SUBSTITUTE(INDEX('04A_국토부원자료'!$A:$T,ROW()+1,MATCH("전용면적(㎡)",'04A_국토부원자료'!$A$4:$T$4,0)),",","")),"")</f>
        <v/>
      </c>
      <c r="F9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10" s="51">
        <f>IFERROR(VALUE(SUBSTITUTE(INDEX('04A_국토부원자료'!$A:$T,ROW()+1,MATCH("거래금액(만원)",'04A_국토부원자료'!$A$4:$T$4,0)),",","")),"")</f>
        <v/>
      </c>
      <c r="H910" s="174">
        <f>IF(G910="","",G910*10000)</f>
        <v/>
      </c>
      <c r="I910" s="174">
        <f>IFERROR(IF(AND(H910&gt;0,E910&gt;0),H910/E910,""),"")</f>
        <v/>
      </c>
      <c r="J910" s="152">
        <f>IFERROR(VALUE(SUBSTITUTE(INDEX('04A_국토부원자료'!$A:$T,ROW()+1,MATCH("층",'04A_국토부원자료'!$A$4:$T$4,0)),",","")),"")</f>
        <v/>
      </c>
      <c r="K910" s="152">
        <f>IFERROR(VALUE(SUBSTITUTE(INDEX('04A_국토부원자료'!$A:$T,ROW()+1,MATCH("건축년도",'04A_국토부원자료'!$A$4:$T$4,0)),",","")),"")</f>
        <v/>
      </c>
      <c r="L910" s="176">
        <f>IFERROR(INDEX('04A_국토부원자료'!$A:$T,ROW()+1,MATCH("도로명",'04A_국토부원자료'!$A$4:$T$4,0)),"")</f>
        <v/>
      </c>
      <c r="M910" s="48">
        <f>IFERROR(INDEX('04A_국토부원자료'!$A:$T,ROW()+1,MATCH("거래유형",'04A_국토부원자료'!$A$4:$T$4,0)),"")</f>
        <v/>
      </c>
      <c r="N910" s="152">
        <f>IF(B910="","",IF('02_대상물건입력'!B5="",1,IF(ISNUMBER(SEARCH('02_대상물건입력'!B5,B910)),1,0)))</f>
        <v/>
      </c>
      <c r="O910" s="152">
        <f>IF(B910="","",IF('02_대상물건입력'!B6="",1,IF(ISNUMBER(SEARCH('02_대상물건입력'!B6,B910)),1,0)))</f>
        <v/>
      </c>
      <c r="P910" s="152">
        <f>IF(L910="","",IF('02_대상물건입력'!B15="",0,IF(ISNUMBER(SEARCH('02_대상물건입력'!B15,L910)),1,0)))</f>
        <v/>
      </c>
      <c r="Q910" s="152">
        <f>IF(OR(C910="",L910=""),0,IF(AND(TRIM(C910)=TRIM(RIGHT(SUBSTITUTE(TRIM('02_대상물건입력'!$B$7)," ",REPT(" ",99)),99)),IF('02_대상물건입력'!B15="",TRUE(),ISNUMBER(SEARCH('02_대상물건입력'!B15,L910)))),1,0))</f>
        <v/>
      </c>
      <c r="R910" s="175">
        <f>IFERROR(ABS(E910-'02_대상물건입력'!B11)/'02_대상물건입력'!B11,"")</f>
        <v/>
      </c>
      <c r="S910" s="152">
        <f>IFERROR(ABS(J910-'02_대상물건입력'!B10),"")</f>
        <v/>
      </c>
      <c r="T910" s="152">
        <f>IFERROR(ABS('01_설정'!B4-F910),"")</f>
        <v/>
      </c>
      <c r="U910" s="152">
        <f>IFERROR(ABS(K910-YEAR('02_대상물건입력'!B14)),"")</f>
        <v/>
      </c>
      <c r="V910" s="152">
        <f>IF(B910="","",IF(AND(E910&gt;0,F910&gt;0,H910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910=1,TRUE()),R910&lt;='01_설정'!B5,S910&lt;='01_설정'!B6,T910&lt;='01_설정'!B7,U910&lt;='01_설정'!B8),"Y",""))</f>
        <v/>
      </c>
      <c r="W910" s="172">
        <f>IF(V910&lt;&gt;"Y","",MAX(0,(1-R910/'01_설정'!B5))*'01_설정'!B14+MAX(0,(1-S910/'01_설정'!B6))*'01_설정'!B15+MAX(0,(1-T910/'01_설정'!B7))*'01_설정'!B16+MAX(0,(1-U910/'01_설정'!B8))*'01_설정'!B17+O910*'01_설정'!B11+Q910*'01_설정'!B12+P910*'01_설정'!B13+IF(Z910="",0,Z910))</f>
        <v/>
      </c>
      <c r="X910" s="152">
        <f>IF(W910="","",1+COUNTIFS($W$4:$W$3003,"&gt;"&amp;W910)+COUNTIFS($W$4:W910,W910)-1)</f>
        <v/>
      </c>
      <c r="Y910" s="175">
        <f>IF(OR(I910="",'02_대상물건입력'!B19="",'02_대상물건입력'!B19&lt;=0),"",ABS(I910-'02_대상물건입력'!B19)/'02_대상물건입력'!B19)</f>
        <v/>
      </c>
      <c r="Z910" s="172">
        <f>IF(OR(Y910="",'01_설정'!B31="",'01_설정'!B31&lt;=0,'01_설정'!B32="",'01_설정'!B32&lt;=0),"",MAX(0,(1-Y910/'01_설정'!B32))*'01_설정'!B31)</f>
        <v/>
      </c>
    </row>
    <row r="911" ht="17.25" customHeight="1">
      <c r="A911" s="152">
        <f>IF(INDEX('04A_국토부원자료'!$A:$A,ROW()+1)="","",ROW()-3)</f>
        <v/>
      </c>
      <c r="B911" s="48">
        <f>IFERROR(INDEX('04A_국토부원자료'!$A:$T,ROW()+1,MATCH("시군구",'04A_국토부원자료'!$A$4:$T$4,0)),"")</f>
        <v/>
      </c>
      <c r="C911" s="48">
        <f>IF(B911="","",IFERROR(INDEX('04A_국토부원자료'!$A:$T,ROW()+1,MATCH("번지",'04A_국토부원자료'!$A$4:$T$4,0)),""))</f>
        <v/>
      </c>
      <c r="D911" s="48">
        <f>IF(B911="","",IF(Q911=1,'02_대상물건입력'!$B$8,IFERROR(INDEX('04A_국토부원자료'!$A:$T,ROW()+1,MATCH("단지명",'04A_국토부원자료'!$A$4:$T$4,0)),"")))</f>
        <v/>
      </c>
      <c r="E911" s="172">
        <f>IFERROR(VALUE(SUBSTITUTE(INDEX('04A_국토부원자료'!$A:$T,ROW()+1,MATCH("전용면적(㎡)",'04A_국토부원자료'!$A$4:$T$4,0)),",","")),"")</f>
        <v/>
      </c>
      <c r="F9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11" s="51">
        <f>IFERROR(VALUE(SUBSTITUTE(INDEX('04A_국토부원자료'!$A:$T,ROW()+1,MATCH("거래금액(만원)",'04A_국토부원자료'!$A$4:$T$4,0)),",","")),"")</f>
        <v/>
      </c>
      <c r="H911" s="174">
        <f>IF(G911="","",G911*10000)</f>
        <v/>
      </c>
      <c r="I911" s="174">
        <f>IFERROR(IF(AND(H911&gt;0,E911&gt;0),H911/E911,""),"")</f>
        <v/>
      </c>
      <c r="J911" s="152">
        <f>IFERROR(VALUE(SUBSTITUTE(INDEX('04A_국토부원자료'!$A:$T,ROW()+1,MATCH("층",'04A_국토부원자료'!$A$4:$T$4,0)),",","")),"")</f>
        <v/>
      </c>
      <c r="K911" s="152">
        <f>IFERROR(VALUE(SUBSTITUTE(INDEX('04A_국토부원자료'!$A:$T,ROW()+1,MATCH("건축년도",'04A_국토부원자료'!$A$4:$T$4,0)),",","")),"")</f>
        <v/>
      </c>
      <c r="L911" s="176">
        <f>IFERROR(INDEX('04A_국토부원자료'!$A:$T,ROW()+1,MATCH("도로명",'04A_국토부원자료'!$A$4:$T$4,0)),"")</f>
        <v/>
      </c>
      <c r="M911" s="48">
        <f>IFERROR(INDEX('04A_국토부원자료'!$A:$T,ROW()+1,MATCH("거래유형",'04A_국토부원자료'!$A$4:$T$4,0)),"")</f>
        <v/>
      </c>
      <c r="N911" s="152">
        <f>IF(B911="","",IF('02_대상물건입력'!B5="",1,IF(ISNUMBER(SEARCH('02_대상물건입력'!B5,B911)),1,0)))</f>
        <v/>
      </c>
      <c r="O911" s="152">
        <f>IF(B911="","",IF('02_대상물건입력'!B6="",1,IF(ISNUMBER(SEARCH('02_대상물건입력'!B6,B911)),1,0)))</f>
        <v/>
      </c>
      <c r="P911" s="152">
        <f>IF(L911="","",IF('02_대상물건입력'!B15="",0,IF(ISNUMBER(SEARCH('02_대상물건입력'!B15,L911)),1,0)))</f>
        <v/>
      </c>
      <c r="Q911" s="152">
        <f>IF(OR(C911="",L911=""),0,IF(AND(TRIM(C911)=TRIM(RIGHT(SUBSTITUTE(TRIM('02_대상물건입력'!$B$7)," ",REPT(" ",99)),99)),IF('02_대상물건입력'!B15="",TRUE(),ISNUMBER(SEARCH('02_대상물건입력'!B15,L911)))),1,0))</f>
        <v/>
      </c>
      <c r="R911" s="175">
        <f>IFERROR(ABS(E911-'02_대상물건입력'!B11)/'02_대상물건입력'!B11,"")</f>
        <v/>
      </c>
      <c r="S911" s="152">
        <f>IFERROR(ABS(J911-'02_대상물건입력'!B10),"")</f>
        <v/>
      </c>
      <c r="T911" s="152">
        <f>IFERROR(ABS('01_설정'!B4-F911),"")</f>
        <v/>
      </c>
      <c r="U911" s="152">
        <f>IFERROR(ABS(K911-YEAR('02_대상물건입력'!B14)),"")</f>
        <v/>
      </c>
      <c r="V911" s="152">
        <f>IF(B911="","",IF(AND(E911&gt;0,F911&gt;0,H911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911=1,TRUE()),R911&lt;='01_설정'!B5,S911&lt;='01_설정'!B6,T911&lt;='01_설정'!B7,U911&lt;='01_설정'!B8),"Y",""))</f>
        <v/>
      </c>
      <c r="W911" s="172">
        <f>IF(V911&lt;&gt;"Y","",MAX(0,(1-R911/'01_설정'!B5))*'01_설정'!B14+MAX(0,(1-S911/'01_설정'!B6))*'01_설정'!B15+MAX(0,(1-T911/'01_설정'!B7))*'01_설정'!B16+MAX(0,(1-U911/'01_설정'!B8))*'01_설정'!B17+O911*'01_설정'!B11+Q911*'01_설정'!B12+P911*'01_설정'!B13+IF(Z911="",0,Z911))</f>
        <v/>
      </c>
      <c r="X911" s="152">
        <f>IF(W911="","",1+COUNTIFS($W$4:$W$3003,"&gt;"&amp;W911)+COUNTIFS($W$4:W911,W911)-1)</f>
        <v/>
      </c>
      <c r="Y911" s="175">
        <f>IF(OR(I911="",'02_대상물건입력'!B19="",'02_대상물건입력'!B19&lt;=0),"",ABS(I911-'02_대상물건입력'!B19)/'02_대상물건입력'!B19)</f>
        <v/>
      </c>
      <c r="Z911" s="172">
        <f>IF(OR(Y911="",'01_설정'!B31="",'01_설정'!B31&lt;=0,'01_설정'!B32="",'01_설정'!B32&lt;=0),"",MAX(0,(1-Y911/'01_설정'!B32))*'01_설정'!B31)</f>
        <v/>
      </c>
    </row>
    <row r="912" ht="17.25" customHeight="1">
      <c r="A912" s="152">
        <f>IF(INDEX('04A_국토부원자료'!$A:$A,ROW()+1)="","",ROW()-3)</f>
        <v/>
      </c>
      <c r="B912" s="48">
        <f>IFERROR(INDEX('04A_국토부원자료'!$A:$T,ROW()+1,MATCH("시군구",'04A_국토부원자료'!$A$4:$T$4,0)),"")</f>
        <v/>
      </c>
      <c r="C912" s="48">
        <f>IF(B912="","",IFERROR(INDEX('04A_국토부원자료'!$A:$T,ROW()+1,MATCH("번지",'04A_국토부원자료'!$A$4:$T$4,0)),""))</f>
        <v/>
      </c>
      <c r="D912" s="48">
        <f>IF(B912="","",IF(Q912=1,'02_대상물건입력'!$B$8,IFERROR(INDEX('04A_국토부원자료'!$A:$T,ROW()+1,MATCH("단지명",'04A_국토부원자료'!$A$4:$T$4,0)),"")))</f>
        <v/>
      </c>
      <c r="E912" s="172">
        <f>IFERROR(VALUE(SUBSTITUTE(INDEX('04A_국토부원자료'!$A:$T,ROW()+1,MATCH("전용면적(㎡)",'04A_국토부원자료'!$A$4:$T$4,0)),",","")),"")</f>
        <v/>
      </c>
      <c r="F9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12" s="51">
        <f>IFERROR(VALUE(SUBSTITUTE(INDEX('04A_국토부원자료'!$A:$T,ROW()+1,MATCH("거래금액(만원)",'04A_국토부원자료'!$A$4:$T$4,0)),",","")),"")</f>
        <v/>
      </c>
      <c r="H912" s="174">
        <f>IF(G912="","",G912*10000)</f>
        <v/>
      </c>
      <c r="I912" s="174">
        <f>IFERROR(IF(AND(H912&gt;0,E912&gt;0),H912/E912,""),"")</f>
        <v/>
      </c>
      <c r="J912" s="152">
        <f>IFERROR(VALUE(SUBSTITUTE(INDEX('04A_국토부원자료'!$A:$T,ROW()+1,MATCH("층",'04A_국토부원자료'!$A$4:$T$4,0)),",","")),"")</f>
        <v/>
      </c>
      <c r="K912" s="152">
        <f>IFERROR(VALUE(SUBSTITUTE(INDEX('04A_국토부원자료'!$A:$T,ROW()+1,MATCH("건축년도",'04A_국토부원자료'!$A$4:$T$4,0)),",","")),"")</f>
        <v/>
      </c>
      <c r="L912" s="176">
        <f>IFERROR(INDEX('04A_국토부원자료'!$A:$T,ROW()+1,MATCH("도로명",'04A_국토부원자료'!$A$4:$T$4,0)),"")</f>
        <v/>
      </c>
      <c r="M912" s="48">
        <f>IFERROR(INDEX('04A_국토부원자료'!$A:$T,ROW()+1,MATCH("거래유형",'04A_국토부원자료'!$A$4:$T$4,0)),"")</f>
        <v/>
      </c>
      <c r="N912" s="152">
        <f>IF(B912="","",IF('02_대상물건입력'!B5="",1,IF(ISNUMBER(SEARCH('02_대상물건입력'!B5,B912)),1,0)))</f>
        <v/>
      </c>
      <c r="O912" s="152">
        <f>IF(B912="","",IF('02_대상물건입력'!B6="",1,IF(ISNUMBER(SEARCH('02_대상물건입력'!B6,B912)),1,0)))</f>
        <v/>
      </c>
      <c r="P912" s="152">
        <f>IF(L912="","",IF('02_대상물건입력'!B15="",0,IF(ISNUMBER(SEARCH('02_대상물건입력'!B15,L912)),1,0)))</f>
        <v/>
      </c>
      <c r="Q912" s="152">
        <f>IF(OR(C912="",L912=""),0,IF(AND(TRIM(C912)=TRIM(RIGHT(SUBSTITUTE(TRIM('02_대상물건입력'!$B$7)," ",REPT(" ",99)),99)),IF('02_대상물건입력'!B15="",TRUE(),ISNUMBER(SEARCH('02_대상물건입력'!B15,L912)))),1,0))</f>
        <v/>
      </c>
      <c r="R912" s="175">
        <f>IFERROR(ABS(E912-'02_대상물건입력'!B11)/'02_대상물건입력'!B11,"")</f>
        <v/>
      </c>
      <c r="S912" s="152">
        <f>IFERROR(ABS(J912-'02_대상물건입력'!B10),"")</f>
        <v/>
      </c>
      <c r="T912" s="152">
        <f>IFERROR(ABS('01_설정'!B4-F912),"")</f>
        <v/>
      </c>
      <c r="U912" s="152">
        <f>IFERROR(ABS(K912-YEAR('02_대상물건입력'!B14)),"")</f>
        <v/>
      </c>
      <c r="V912" s="152">
        <f>IF(B912="","",IF(AND(E912&gt;0,F912&gt;0,H912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912=1,TRUE()),R912&lt;='01_설정'!B5,S912&lt;='01_설정'!B6,T912&lt;='01_설정'!B7,U912&lt;='01_설정'!B8),"Y",""))</f>
        <v/>
      </c>
      <c r="W912" s="172">
        <f>IF(V912&lt;&gt;"Y","",MAX(0,(1-R912/'01_설정'!B5))*'01_설정'!B14+MAX(0,(1-S912/'01_설정'!B6))*'01_설정'!B15+MAX(0,(1-T912/'01_설정'!B7))*'01_설정'!B16+MAX(0,(1-U912/'01_설정'!B8))*'01_설정'!B17+O912*'01_설정'!B11+Q912*'01_설정'!B12+P912*'01_설정'!B13+IF(Z912="",0,Z912))</f>
        <v/>
      </c>
      <c r="X912" s="152">
        <f>IF(W912="","",1+COUNTIFS($W$4:$W$3003,"&gt;"&amp;W912)+COUNTIFS($W$4:W912,W912)-1)</f>
        <v/>
      </c>
      <c r="Y912" s="175">
        <f>IF(OR(I912="",'02_대상물건입력'!B19="",'02_대상물건입력'!B19&lt;=0),"",ABS(I912-'02_대상물건입력'!B19)/'02_대상물건입력'!B19)</f>
        <v/>
      </c>
      <c r="Z912" s="172">
        <f>IF(OR(Y912="",'01_설정'!B31="",'01_설정'!B31&lt;=0,'01_설정'!B32="",'01_설정'!B32&lt;=0),"",MAX(0,(1-Y912/'01_설정'!B32))*'01_설정'!B31)</f>
        <v/>
      </c>
    </row>
    <row r="913" ht="17.25" customHeight="1">
      <c r="A913" s="152">
        <f>IF(INDEX('04A_국토부원자료'!$A:$A,ROW()+1)="","",ROW()-3)</f>
        <v/>
      </c>
      <c r="B913" s="48">
        <f>IFERROR(INDEX('04A_국토부원자료'!$A:$T,ROW()+1,MATCH("시군구",'04A_국토부원자료'!$A$4:$T$4,0)),"")</f>
        <v/>
      </c>
      <c r="C913" s="48">
        <f>IF(B913="","",IFERROR(INDEX('04A_국토부원자료'!$A:$T,ROW()+1,MATCH("번지",'04A_국토부원자료'!$A$4:$T$4,0)),""))</f>
        <v/>
      </c>
      <c r="D913" s="48">
        <f>IF(B913="","",IF(Q913=1,'02_대상물건입력'!$B$8,IFERROR(INDEX('04A_국토부원자료'!$A:$T,ROW()+1,MATCH("단지명",'04A_국토부원자료'!$A$4:$T$4,0)),"")))</f>
        <v/>
      </c>
      <c r="E913" s="172">
        <f>IFERROR(VALUE(SUBSTITUTE(INDEX('04A_국토부원자료'!$A:$T,ROW()+1,MATCH("전용면적(㎡)",'04A_국토부원자료'!$A$4:$T$4,0)),",","")),"")</f>
        <v/>
      </c>
      <c r="F9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13" s="51">
        <f>IFERROR(VALUE(SUBSTITUTE(INDEX('04A_국토부원자료'!$A:$T,ROW()+1,MATCH("거래금액(만원)",'04A_국토부원자료'!$A$4:$T$4,0)),",","")),"")</f>
        <v/>
      </c>
      <c r="H913" s="174">
        <f>IF(G913="","",G913*10000)</f>
        <v/>
      </c>
      <c r="I913" s="174">
        <f>IFERROR(IF(AND(H913&gt;0,E913&gt;0),H913/E913,""),"")</f>
        <v/>
      </c>
      <c r="J913" s="152">
        <f>IFERROR(VALUE(SUBSTITUTE(INDEX('04A_국토부원자료'!$A:$T,ROW()+1,MATCH("층",'04A_국토부원자료'!$A$4:$T$4,0)),",","")),"")</f>
        <v/>
      </c>
      <c r="K913" s="152">
        <f>IFERROR(VALUE(SUBSTITUTE(INDEX('04A_국토부원자료'!$A:$T,ROW()+1,MATCH("건축년도",'04A_국토부원자료'!$A$4:$T$4,0)),",","")),"")</f>
        <v/>
      </c>
      <c r="L913" s="176">
        <f>IFERROR(INDEX('04A_국토부원자료'!$A:$T,ROW()+1,MATCH("도로명",'04A_국토부원자료'!$A$4:$T$4,0)),"")</f>
        <v/>
      </c>
      <c r="M913" s="48">
        <f>IFERROR(INDEX('04A_국토부원자료'!$A:$T,ROW()+1,MATCH("거래유형",'04A_국토부원자료'!$A$4:$T$4,0)),"")</f>
        <v/>
      </c>
      <c r="N913" s="152">
        <f>IF(B913="","",IF('02_대상물건입력'!B5="",1,IF(ISNUMBER(SEARCH('02_대상물건입력'!B5,B913)),1,0)))</f>
        <v/>
      </c>
      <c r="O913" s="152">
        <f>IF(B913="","",IF('02_대상물건입력'!B6="",1,IF(ISNUMBER(SEARCH('02_대상물건입력'!B6,B913)),1,0)))</f>
        <v/>
      </c>
      <c r="P913" s="152">
        <f>IF(L913="","",IF('02_대상물건입력'!B15="",0,IF(ISNUMBER(SEARCH('02_대상물건입력'!B15,L913)),1,0)))</f>
        <v/>
      </c>
      <c r="Q913" s="152">
        <f>IF(OR(C913="",L913=""),0,IF(AND(TRIM(C913)=TRIM(RIGHT(SUBSTITUTE(TRIM('02_대상물건입력'!$B$7)," ",REPT(" ",99)),99)),IF('02_대상물건입력'!B15="",TRUE(),ISNUMBER(SEARCH('02_대상물건입력'!B15,L913)))),1,0))</f>
        <v/>
      </c>
      <c r="R913" s="175">
        <f>IFERROR(ABS(E913-'02_대상물건입력'!B11)/'02_대상물건입력'!B11,"")</f>
        <v/>
      </c>
      <c r="S913" s="152">
        <f>IFERROR(ABS(J913-'02_대상물건입력'!B10),"")</f>
        <v/>
      </c>
      <c r="T913" s="152">
        <f>IFERROR(ABS('01_설정'!B4-F913),"")</f>
        <v/>
      </c>
      <c r="U913" s="152">
        <f>IFERROR(ABS(K913-YEAR('02_대상물건입력'!B14)),"")</f>
        <v/>
      </c>
      <c r="V913" s="152">
        <f>IF(B913="","",IF(AND(E913&gt;0,F913&gt;0,H913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913=1,TRUE()),R913&lt;='01_설정'!B5,S913&lt;='01_설정'!B6,T913&lt;='01_설정'!B7,U913&lt;='01_설정'!B8),"Y",""))</f>
        <v/>
      </c>
      <c r="W913" s="172">
        <f>IF(V913&lt;&gt;"Y","",MAX(0,(1-R913/'01_설정'!B5))*'01_설정'!B14+MAX(0,(1-S913/'01_설정'!B6))*'01_설정'!B15+MAX(0,(1-T913/'01_설정'!B7))*'01_설정'!B16+MAX(0,(1-U913/'01_설정'!B8))*'01_설정'!B17+O913*'01_설정'!B11+Q913*'01_설정'!B12+P913*'01_설정'!B13+IF(Z913="",0,Z913))</f>
        <v/>
      </c>
      <c r="X913" s="152">
        <f>IF(W913="","",1+COUNTIFS($W$4:$W$3003,"&gt;"&amp;W913)+COUNTIFS($W$4:W913,W913)-1)</f>
        <v/>
      </c>
      <c r="Y913" s="175">
        <f>IF(OR(I913="",'02_대상물건입력'!B19="",'02_대상물건입력'!B19&lt;=0),"",ABS(I913-'02_대상물건입력'!B19)/'02_대상물건입력'!B19)</f>
        <v/>
      </c>
      <c r="Z913" s="172">
        <f>IF(OR(Y913="",'01_설정'!B31="",'01_설정'!B31&lt;=0,'01_설정'!B32="",'01_설정'!B32&lt;=0),"",MAX(0,(1-Y913/'01_설정'!B32))*'01_설정'!B31)</f>
        <v/>
      </c>
    </row>
    <row r="914" ht="17.25" customHeight="1">
      <c r="A914" s="152">
        <f>IF(INDEX('04A_국토부원자료'!$A:$A,ROW()+1)="","",ROW()-3)</f>
        <v/>
      </c>
      <c r="B914" s="48">
        <f>IFERROR(INDEX('04A_국토부원자료'!$A:$T,ROW()+1,MATCH("시군구",'04A_국토부원자료'!$A$4:$T$4,0)),"")</f>
        <v/>
      </c>
      <c r="C914" s="48">
        <f>IF(B914="","",IFERROR(INDEX('04A_국토부원자료'!$A:$T,ROW()+1,MATCH("번지",'04A_국토부원자료'!$A$4:$T$4,0)),""))</f>
        <v/>
      </c>
      <c r="D914" s="48">
        <f>IF(B914="","",IF(Q914=1,'02_대상물건입력'!$B$8,IFERROR(INDEX('04A_국토부원자료'!$A:$T,ROW()+1,MATCH("단지명",'04A_국토부원자료'!$A$4:$T$4,0)),"")))</f>
        <v/>
      </c>
      <c r="E914" s="172">
        <f>IFERROR(VALUE(SUBSTITUTE(INDEX('04A_국토부원자료'!$A:$T,ROW()+1,MATCH("전용면적(㎡)",'04A_국토부원자료'!$A$4:$T$4,0)),",","")),"")</f>
        <v/>
      </c>
      <c r="F9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14" s="51">
        <f>IFERROR(VALUE(SUBSTITUTE(INDEX('04A_국토부원자료'!$A:$T,ROW()+1,MATCH("거래금액(만원)",'04A_국토부원자료'!$A$4:$T$4,0)),",","")),"")</f>
        <v/>
      </c>
      <c r="H914" s="174">
        <f>IF(G914="","",G914*10000)</f>
        <v/>
      </c>
      <c r="I914" s="174">
        <f>IFERROR(IF(AND(H914&gt;0,E914&gt;0),H914/E914,""),"")</f>
        <v/>
      </c>
      <c r="J914" s="152">
        <f>IFERROR(VALUE(SUBSTITUTE(INDEX('04A_국토부원자료'!$A:$T,ROW()+1,MATCH("층",'04A_국토부원자료'!$A$4:$T$4,0)),",","")),"")</f>
        <v/>
      </c>
      <c r="K914" s="152">
        <f>IFERROR(VALUE(SUBSTITUTE(INDEX('04A_국토부원자료'!$A:$T,ROW()+1,MATCH("건축년도",'04A_국토부원자료'!$A$4:$T$4,0)),",","")),"")</f>
        <v/>
      </c>
      <c r="L914" s="176">
        <f>IFERROR(INDEX('04A_국토부원자료'!$A:$T,ROW()+1,MATCH("도로명",'04A_국토부원자료'!$A$4:$T$4,0)),"")</f>
        <v/>
      </c>
      <c r="M914" s="48">
        <f>IFERROR(INDEX('04A_국토부원자료'!$A:$T,ROW()+1,MATCH("거래유형",'04A_국토부원자료'!$A$4:$T$4,0)),"")</f>
        <v/>
      </c>
      <c r="N914" s="152">
        <f>IF(B914="","",IF('02_대상물건입력'!B5="",1,IF(ISNUMBER(SEARCH('02_대상물건입력'!B5,B914)),1,0)))</f>
        <v/>
      </c>
      <c r="O914" s="152">
        <f>IF(B914="","",IF('02_대상물건입력'!B6="",1,IF(ISNUMBER(SEARCH('02_대상물건입력'!B6,B914)),1,0)))</f>
        <v/>
      </c>
      <c r="P914" s="152">
        <f>IF(L914="","",IF('02_대상물건입력'!B15="",0,IF(ISNUMBER(SEARCH('02_대상물건입력'!B15,L914)),1,0)))</f>
        <v/>
      </c>
      <c r="Q914" s="152">
        <f>IF(OR(C914="",L914=""),0,IF(AND(TRIM(C914)=TRIM(RIGHT(SUBSTITUTE(TRIM('02_대상물건입력'!$B$7)," ",REPT(" ",99)),99)),IF('02_대상물건입력'!B15="",TRUE(),ISNUMBER(SEARCH('02_대상물건입력'!B15,L914)))),1,0))</f>
        <v/>
      </c>
      <c r="R914" s="175">
        <f>IFERROR(ABS(E914-'02_대상물건입력'!B11)/'02_대상물건입력'!B11,"")</f>
        <v/>
      </c>
      <c r="S914" s="152">
        <f>IFERROR(ABS(J914-'02_대상물건입력'!B10),"")</f>
        <v/>
      </c>
      <c r="T914" s="152">
        <f>IFERROR(ABS('01_설정'!B4-F914),"")</f>
        <v/>
      </c>
      <c r="U914" s="152">
        <f>IFERROR(ABS(K914-YEAR('02_대상물건입력'!B14)),"")</f>
        <v/>
      </c>
      <c r="V914" s="152">
        <f>IF(B914="","",IF(AND(E914&gt;0,F914&gt;0,H914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914=1,TRUE()),R914&lt;='01_설정'!B5,S914&lt;='01_설정'!B6,T914&lt;='01_설정'!B7,U914&lt;='01_설정'!B8),"Y",""))</f>
        <v/>
      </c>
      <c r="W914" s="172">
        <f>IF(V914&lt;&gt;"Y","",MAX(0,(1-R914/'01_설정'!B5))*'01_설정'!B14+MAX(0,(1-S914/'01_설정'!B6))*'01_설정'!B15+MAX(0,(1-T914/'01_설정'!B7))*'01_설정'!B16+MAX(0,(1-U914/'01_설정'!B8))*'01_설정'!B17+O914*'01_설정'!B11+Q914*'01_설정'!B12+P914*'01_설정'!B13+IF(Z914="",0,Z914))</f>
        <v/>
      </c>
      <c r="X914" s="152">
        <f>IF(W914="","",1+COUNTIFS($W$4:$W$3003,"&gt;"&amp;W914)+COUNTIFS($W$4:W914,W914)-1)</f>
        <v/>
      </c>
      <c r="Y914" s="175">
        <f>IF(OR(I914="",'02_대상물건입력'!B19="",'02_대상물건입력'!B19&lt;=0),"",ABS(I914-'02_대상물건입력'!B19)/'02_대상물건입력'!B19)</f>
        <v/>
      </c>
      <c r="Z914" s="172">
        <f>IF(OR(Y914="",'01_설정'!B31="",'01_설정'!B31&lt;=0,'01_설정'!B32="",'01_설정'!B32&lt;=0),"",MAX(0,(1-Y914/'01_설정'!B32))*'01_설정'!B31)</f>
        <v/>
      </c>
    </row>
    <row r="915" ht="17.25" customHeight="1">
      <c r="A915" s="152">
        <f>IF(INDEX('04A_국토부원자료'!$A:$A,ROW()+1)="","",ROW()-3)</f>
        <v/>
      </c>
      <c r="B915" s="48">
        <f>IFERROR(INDEX('04A_국토부원자료'!$A:$T,ROW()+1,MATCH("시군구",'04A_국토부원자료'!$A$4:$T$4,0)),"")</f>
        <v/>
      </c>
      <c r="C915" s="48">
        <f>IF(B915="","",IFERROR(INDEX('04A_국토부원자료'!$A:$T,ROW()+1,MATCH("번지",'04A_국토부원자료'!$A$4:$T$4,0)),""))</f>
        <v/>
      </c>
      <c r="D915" s="48">
        <f>IF(B915="","",IF(Q915=1,'02_대상물건입력'!$B$8,IFERROR(INDEX('04A_국토부원자료'!$A:$T,ROW()+1,MATCH("단지명",'04A_국토부원자료'!$A$4:$T$4,0)),"")))</f>
        <v/>
      </c>
      <c r="E915" s="172">
        <f>IFERROR(VALUE(SUBSTITUTE(INDEX('04A_국토부원자료'!$A:$T,ROW()+1,MATCH("전용면적(㎡)",'04A_국토부원자료'!$A$4:$T$4,0)),",","")),"")</f>
        <v/>
      </c>
      <c r="F9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15" s="51">
        <f>IFERROR(VALUE(SUBSTITUTE(INDEX('04A_국토부원자료'!$A:$T,ROW()+1,MATCH("거래금액(만원)",'04A_국토부원자료'!$A$4:$T$4,0)),",","")),"")</f>
        <v/>
      </c>
      <c r="H915" s="174">
        <f>IF(G915="","",G915*10000)</f>
        <v/>
      </c>
      <c r="I915" s="174">
        <f>IFERROR(IF(AND(H915&gt;0,E915&gt;0),H915/E915,""),"")</f>
        <v/>
      </c>
      <c r="J915" s="152">
        <f>IFERROR(VALUE(SUBSTITUTE(INDEX('04A_국토부원자료'!$A:$T,ROW()+1,MATCH("층",'04A_국토부원자료'!$A$4:$T$4,0)),",","")),"")</f>
        <v/>
      </c>
      <c r="K915" s="152">
        <f>IFERROR(VALUE(SUBSTITUTE(INDEX('04A_국토부원자료'!$A:$T,ROW()+1,MATCH("건축년도",'04A_국토부원자료'!$A$4:$T$4,0)),",","")),"")</f>
        <v/>
      </c>
      <c r="L915" s="176">
        <f>IFERROR(INDEX('04A_국토부원자료'!$A:$T,ROW()+1,MATCH("도로명",'04A_국토부원자료'!$A$4:$T$4,0)),"")</f>
        <v/>
      </c>
      <c r="M915" s="48">
        <f>IFERROR(INDEX('04A_국토부원자료'!$A:$T,ROW()+1,MATCH("거래유형",'04A_국토부원자료'!$A$4:$T$4,0)),"")</f>
        <v/>
      </c>
      <c r="N915" s="152">
        <f>IF(B915="","",IF('02_대상물건입력'!B5="",1,IF(ISNUMBER(SEARCH('02_대상물건입력'!B5,B915)),1,0)))</f>
        <v/>
      </c>
      <c r="O915" s="152">
        <f>IF(B915="","",IF('02_대상물건입력'!B6="",1,IF(ISNUMBER(SEARCH('02_대상물건입력'!B6,B915)),1,0)))</f>
        <v/>
      </c>
      <c r="P915" s="152">
        <f>IF(L915="","",IF('02_대상물건입력'!B15="",0,IF(ISNUMBER(SEARCH('02_대상물건입력'!B15,L915)),1,0)))</f>
        <v/>
      </c>
      <c r="Q915" s="152">
        <f>IF(OR(C915="",L915=""),0,IF(AND(TRIM(C915)=TRIM(RIGHT(SUBSTITUTE(TRIM('02_대상물건입력'!$B$7)," ",REPT(" ",99)),99)),IF('02_대상물건입력'!B15="",TRUE(),ISNUMBER(SEARCH('02_대상물건입력'!B15,L915)))),1,0))</f>
        <v/>
      </c>
      <c r="R915" s="175">
        <f>IFERROR(ABS(E915-'02_대상물건입력'!B11)/'02_대상물건입력'!B11,"")</f>
        <v/>
      </c>
      <c r="S915" s="152">
        <f>IFERROR(ABS(J915-'02_대상물건입력'!B10),"")</f>
        <v/>
      </c>
      <c r="T915" s="152">
        <f>IFERROR(ABS('01_설정'!B4-F915),"")</f>
        <v/>
      </c>
      <c r="U915" s="152">
        <f>IFERROR(ABS(K915-YEAR('02_대상물건입력'!B14)),"")</f>
        <v/>
      </c>
      <c r="V915" s="152">
        <f>IF(B915="","",IF(AND(E915&gt;0,F915&gt;0,H915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915=1,TRUE()),R915&lt;='01_설정'!B5,S915&lt;='01_설정'!B6,T915&lt;='01_설정'!B7,U915&lt;='01_설정'!B8),"Y",""))</f>
        <v/>
      </c>
      <c r="W915" s="172">
        <f>IF(V915&lt;&gt;"Y","",MAX(0,(1-R915/'01_설정'!B5))*'01_설정'!B14+MAX(0,(1-S915/'01_설정'!B6))*'01_설정'!B15+MAX(0,(1-T915/'01_설정'!B7))*'01_설정'!B16+MAX(0,(1-U915/'01_설정'!B8))*'01_설정'!B17+O915*'01_설정'!B11+Q915*'01_설정'!B12+P915*'01_설정'!B13+IF(Z915="",0,Z915))</f>
        <v/>
      </c>
      <c r="X915" s="152">
        <f>IF(W915="","",1+COUNTIFS($W$4:$W$3003,"&gt;"&amp;W915)+COUNTIFS($W$4:W915,W915)-1)</f>
        <v/>
      </c>
      <c r="Y915" s="175">
        <f>IF(OR(I915="",'02_대상물건입력'!B19="",'02_대상물건입력'!B19&lt;=0),"",ABS(I915-'02_대상물건입력'!B19)/'02_대상물건입력'!B19)</f>
        <v/>
      </c>
      <c r="Z915" s="172">
        <f>IF(OR(Y915="",'01_설정'!B31="",'01_설정'!B31&lt;=0,'01_설정'!B32="",'01_설정'!B32&lt;=0),"",MAX(0,(1-Y915/'01_설정'!B32))*'01_설정'!B31)</f>
        <v/>
      </c>
    </row>
    <row r="916" ht="17.25" customHeight="1">
      <c r="A916" s="152">
        <f>IF(INDEX('04A_국토부원자료'!$A:$A,ROW()+1)="","",ROW()-3)</f>
        <v/>
      </c>
      <c r="B916" s="48">
        <f>IFERROR(INDEX('04A_국토부원자료'!$A:$T,ROW()+1,MATCH("시군구",'04A_국토부원자료'!$A$4:$T$4,0)),"")</f>
        <v/>
      </c>
      <c r="C916" s="48">
        <f>IF(B916="","",IFERROR(INDEX('04A_국토부원자료'!$A:$T,ROW()+1,MATCH("번지",'04A_국토부원자료'!$A$4:$T$4,0)),""))</f>
        <v/>
      </c>
      <c r="D916" s="48">
        <f>IF(B916="","",IF(Q916=1,'02_대상물건입력'!$B$8,IFERROR(INDEX('04A_국토부원자료'!$A:$T,ROW()+1,MATCH("단지명",'04A_국토부원자료'!$A$4:$T$4,0)),"")))</f>
        <v/>
      </c>
      <c r="E916" s="172">
        <f>IFERROR(VALUE(SUBSTITUTE(INDEX('04A_국토부원자료'!$A:$T,ROW()+1,MATCH("전용면적(㎡)",'04A_국토부원자료'!$A$4:$T$4,0)),",","")),"")</f>
        <v/>
      </c>
      <c r="F9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16" s="51">
        <f>IFERROR(VALUE(SUBSTITUTE(INDEX('04A_국토부원자료'!$A:$T,ROW()+1,MATCH("거래금액(만원)",'04A_국토부원자료'!$A$4:$T$4,0)),",","")),"")</f>
        <v/>
      </c>
      <c r="H916" s="174">
        <f>IF(G916="","",G916*10000)</f>
        <v/>
      </c>
      <c r="I916" s="174">
        <f>IFERROR(IF(AND(H916&gt;0,E916&gt;0),H916/E916,""),"")</f>
        <v/>
      </c>
      <c r="J916" s="152">
        <f>IFERROR(VALUE(SUBSTITUTE(INDEX('04A_국토부원자료'!$A:$T,ROW()+1,MATCH("층",'04A_국토부원자료'!$A$4:$T$4,0)),",","")),"")</f>
        <v/>
      </c>
      <c r="K916" s="152">
        <f>IFERROR(VALUE(SUBSTITUTE(INDEX('04A_국토부원자료'!$A:$T,ROW()+1,MATCH("건축년도",'04A_국토부원자료'!$A$4:$T$4,0)),",","")),"")</f>
        <v/>
      </c>
      <c r="L916" s="176">
        <f>IFERROR(INDEX('04A_국토부원자료'!$A:$T,ROW()+1,MATCH("도로명",'04A_국토부원자료'!$A$4:$T$4,0)),"")</f>
        <v/>
      </c>
      <c r="M916" s="48">
        <f>IFERROR(INDEX('04A_국토부원자료'!$A:$T,ROW()+1,MATCH("거래유형",'04A_국토부원자료'!$A$4:$T$4,0)),"")</f>
        <v/>
      </c>
      <c r="N916" s="152">
        <f>IF(B916="","",IF('02_대상물건입력'!B5="",1,IF(ISNUMBER(SEARCH('02_대상물건입력'!B5,B916)),1,0)))</f>
        <v/>
      </c>
      <c r="O916" s="152">
        <f>IF(B916="","",IF('02_대상물건입력'!B6="",1,IF(ISNUMBER(SEARCH('02_대상물건입력'!B6,B916)),1,0)))</f>
        <v/>
      </c>
      <c r="P916" s="152">
        <f>IF(L916="","",IF('02_대상물건입력'!B15="",0,IF(ISNUMBER(SEARCH('02_대상물건입력'!B15,L916)),1,0)))</f>
        <v/>
      </c>
      <c r="Q916" s="152">
        <f>IF(OR(C916="",L916=""),0,IF(AND(TRIM(C916)=TRIM(RIGHT(SUBSTITUTE(TRIM('02_대상물건입력'!$B$7)," ",REPT(" ",99)),99)),IF('02_대상물건입력'!B15="",TRUE(),ISNUMBER(SEARCH('02_대상물건입력'!B15,L916)))),1,0))</f>
        <v/>
      </c>
      <c r="R916" s="175">
        <f>IFERROR(ABS(E916-'02_대상물건입력'!B11)/'02_대상물건입력'!B11,"")</f>
        <v/>
      </c>
      <c r="S916" s="152">
        <f>IFERROR(ABS(J916-'02_대상물건입력'!B10),"")</f>
        <v/>
      </c>
      <c r="T916" s="152">
        <f>IFERROR(ABS('01_설정'!B4-F916),"")</f>
        <v/>
      </c>
      <c r="U916" s="152">
        <f>IFERROR(ABS(K916-YEAR('02_대상물건입력'!B14)),"")</f>
        <v/>
      </c>
      <c r="V916" s="152">
        <f>IF(B916="","",IF(AND(E916&gt;0,F916&gt;0,H916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916=1,TRUE()),R916&lt;='01_설정'!B5,S916&lt;='01_설정'!B6,T916&lt;='01_설정'!B7,U916&lt;='01_설정'!B8),"Y",""))</f>
        <v/>
      </c>
      <c r="W916" s="172">
        <f>IF(V916&lt;&gt;"Y","",MAX(0,(1-R916/'01_설정'!B5))*'01_설정'!B14+MAX(0,(1-S916/'01_설정'!B6))*'01_설정'!B15+MAX(0,(1-T916/'01_설정'!B7))*'01_설정'!B16+MAX(0,(1-U916/'01_설정'!B8))*'01_설정'!B17+O916*'01_설정'!B11+Q916*'01_설정'!B12+P916*'01_설정'!B13+IF(Z916="",0,Z916))</f>
        <v/>
      </c>
      <c r="X916" s="152">
        <f>IF(W916="","",1+COUNTIFS($W$4:$W$3003,"&gt;"&amp;W916)+COUNTIFS($W$4:W916,W916)-1)</f>
        <v/>
      </c>
      <c r="Y916" s="175">
        <f>IF(OR(I916="",'02_대상물건입력'!B19="",'02_대상물건입력'!B19&lt;=0),"",ABS(I916-'02_대상물건입력'!B19)/'02_대상물건입력'!B19)</f>
        <v/>
      </c>
      <c r="Z916" s="172">
        <f>IF(OR(Y916="",'01_설정'!B31="",'01_설정'!B31&lt;=0,'01_설정'!B32="",'01_설정'!B32&lt;=0),"",MAX(0,(1-Y916/'01_설정'!B32))*'01_설정'!B31)</f>
        <v/>
      </c>
    </row>
    <row r="917" ht="17.25" customHeight="1">
      <c r="A917" s="152">
        <f>IF(INDEX('04A_국토부원자료'!$A:$A,ROW()+1)="","",ROW()-3)</f>
        <v/>
      </c>
      <c r="B917" s="48">
        <f>IFERROR(INDEX('04A_국토부원자료'!$A:$T,ROW()+1,MATCH("시군구",'04A_국토부원자료'!$A$4:$T$4,0)),"")</f>
        <v/>
      </c>
      <c r="C917" s="48">
        <f>IF(B917="","",IFERROR(INDEX('04A_국토부원자료'!$A:$T,ROW()+1,MATCH("번지",'04A_국토부원자료'!$A$4:$T$4,0)),""))</f>
        <v/>
      </c>
      <c r="D917" s="48">
        <f>IF(B917="","",IF(Q917=1,'02_대상물건입력'!$B$8,IFERROR(INDEX('04A_국토부원자료'!$A:$T,ROW()+1,MATCH("단지명",'04A_국토부원자료'!$A$4:$T$4,0)),"")))</f>
        <v/>
      </c>
      <c r="E917" s="172">
        <f>IFERROR(VALUE(SUBSTITUTE(INDEX('04A_국토부원자료'!$A:$T,ROW()+1,MATCH("전용면적(㎡)",'04A_국토부원자료'!$A$4:$T$4,0)),",","")),"")</f>
        <v/>
      </c>
      <c r="F9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17" s="51">
        <f>IFERROR(VALUE(SUBSTITUTE(INDEX('04A_국토부원자료'!$A:$T,ROW()+1,MATCH("거래금액(만원)",'04A_국토부원자료'!$A$4:$T$4,0)),",","")),"")</f>
        <v/>
      </c>
      <c r="H917" s="174">
        <f>IF(G917="","",G917*10000)</f>
        <v/>
      </c>
      <c r="I917" s="174">
        <f>IFERROR(IF(AND(H917&gt;0,E917&gt;0),H917/E917,""),"")</f>
        <v/>
      </c>
      <c r="J917" s="152">
        <f>IFERROR(VALUE(SUBSTITUTE(INDEX('04A_국토부원자료'!$A:$T,ROW()+1,MATCH("층",'04A_국토부원자료'!$A$4:$T$4,0)),",","")),"")</f>
        <v/>
      </c>
      <c r="K917" s="152">
        <f>IFERROR(VALUE(SUBSTITUTE(INDEX('04A_국토부원자료'!$A:$T,ROW()+1,MATCH("건축년도",'04A_국토부원자료'!$A$4:$T$4,0)),",","")),"")</f>
        <v/>
      </c>
      <c r="L917" s="176">
        <f>IFERROR(INDEX('04A_국토부원자료'!$A:$T,ROW()+1,MATCH("도로명",'04A_국토부원자료'!$A$4:$T$4,0)),"")</f>
        <v/>
      </c>
      <c r="M917" s="48">
        <f>IFERROR(INDEX('04A_국토부원자료'!$A:$T,ROW()+1,MATCH("거래유형",'04A_국토부원자료'!$A$4:$T$4,0)),"")</f>
        <v/>
      </c>
      <c r="N917" s="152">
        <f>IF(B917="","",IF('02_대상물건입력'!B5="",1,IF(ISNUMBER(SEARCH('02_대상물건입력'!B5,B917)),1,0)))</f>
        <v/>
      </c>
      <c r="O917" s="152">
        <f>IF(B917="","",IF('02_대상물건입력'!B6="",1,IF(ISNUMBER(SEARCH('02_대상물건입력'!B6,B917)),1,0)))</f>
        <v/>
      </c>
      <c r="P917" s="152">
        <f>IF(L917="","",IF('02_대상물건입력'!B15="",0,IF(ISNUMBER(SEARCH('02_대상물건입력'!B15,L917)),1,0)))</f>
        <v/>
      </c>
      <c r="Q917" s="152">
        <f>IF(OR(C917="",L917=""),0,IF(AND(TRIM(C917)=TRIM(RIGHT(SUBSTITUTE(TRIM('02_대상물건입력'!$B$7)," ",REPT(" ",99)),99)),IF('02_대상물건입력'!B15="",TRUE(),ISNUMBER(SEARCH('02_대상물건입력'!B15,L917)))),1,0))</f>
        <v/>
      </c>
      <c r="R917" s="175">
        <f>IFERROR(ABS(E917-'02_대상물건입력'!B11)/'02_대상물건입력'!B11,"")</f>
        <v/>
      </c>
      <c r="S917" s="152">
        <f>IFERROR(ABS(J917-'02_대상물건입력'!B10),"")</f>
        <v/>
      </c>
      <c r="T917" s="152">
        <f>IFERROR(ABS('01_설정'!B4-F917),"")</f>
        <v/>
      </c>
      <c r="U917" s="152">
        <f>IFERROR(ABS(K917-YEAR('02_대상물건입력'!B14)),"")</f>
        <v/>
      </c>
      <c r="V917" s="152">
        <f>IF(B917="","",IF(AND(E917&gt;0,F917&gt;0,H917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917=1,TRUE()),R917&lt;='01_설정'!B5,S917&lt;='01_설정'!B6,T917&lt;='01_설정'!B7,U917&lt;='01_설정'!B8),"Y",""))</f>
        <v/>
      </c>
      <c r="W917" s="172">
        <f>IF(V917&lt;&gt;"Y","",MAX(0,(1-R917/'01_설정'!B5))*'01_설정'!B14+MAX(0,(1-S917/'01_설정'!B6))*'01_설정'!B15+MAX(0,(1-T917/'01_설정'!B7))*'01_설정'!B16+MAX(0,(1-U917/'01_설정'!B8))*'01_설정'!B17+O917*'01_설정'!B11+Q917*'01_설정'!B12+P917*'01_설정'!B13+IF(Z917="",0,Z917))</f>
        <v/>
      </c>
      <c r="X917" s="152">
        <f>IF(W917="","",1+COUNTIFS($W$4:$W$3003,"&gt;"&amp;W917)+COUNTIFS($W$4:W917,W917)-1)</f>
        <v/>
      </c>
      <c r="Y917" s="175">
        <f>IF(OR(I917="",'02_대상물건입력'!B19="",'02_대상물건입력'!B19&lt;=0),"",ABS(I917-'02_대상물건입력'!B19)/'02_대상물건입력'!B19)</f>
        <v/>
      </c>
      <c r="Z917" s="172">
        <f>IF(OR(Y917="",'01_설정'!B31="",'01_설정'!B31&lt;=0,'01_설정'!B32="",'01_설정'!B32&lt;=0),"",MAX(0,(1-Y917/'01_설정'!B32))*'01_설정'!B31)</f>
        <v/>
      </c>
    </row>
    <row r="918" ht="17.25" customHeight="1">
      <c r="A918" s="152">
        <f>IF(INDEX('04A_국토부원자료'!$A:$A,ROW()+1)="","",ROW()-3)</f>
        <v/>
      </c>
      <c r="B918" s="48">
        <f>IFERROR(INDEX('04A_국토부원자료'!$A:$T,ROW()+1,MATCH("시군구",'04A_국토부원자료'!$A$4:$T$4,0)),"")</f>
        <v/>
      </c>
      <c r="C918" s="48">
        <f>IF(B918="","",IFERROR(INDEX('04A_국토부원자료'!$A:$T,ROW()+1,MATCH("번지",'04A_국토부원자료'!$A$4:$T$4,0)),""))</f>
        <v/>
      </c>
      <c r="D918" s="48">
        <f>IF(B918="","",IF(Q918=1,'02_대상물건입력'!$B$8,IFERROR(INDEX('04A_국토부원자료'!$A:$T,ROW()+1,MATCH("단지명",'04A_국토부원자료'!$A$4:$T$4,0)),"")))</f>
        <v/>
      </c>
      <c r="E918" s="172">
        <f>IFERROR(VALUE(SUBSTITUTE(INDEX('04A_국토부원자료'!$A:$T,ROW()+1,MATCH("전용면적(㎡)",'04A_국토부원자료'!$A$4:$T$4,0)),",","")),"")</f>
        <v/>
      </c>
      <c r="F9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18" s="51">
        <f>IFERROR(VALUE(SUBSTITUTE(INDEX('04A_국토부원자료'!$A:$T,ROW()+1,MATCH("거래금액(만원)",'04A_국토부원자료'!$A$4:$T$4,0)),",","")),"")</f>
        <v/>
      </c>
      <c r="H918" s="174">
        <f>IF(G918="","",G918*10000)</f>
        <v/>
      </c>
      <c r="I918" s="174">
        <f>IFERROR(IF(AND(H918&gt;0,E918&gt;0),H918/E918,""),"")</f>
        <v/>
      </c>
      <c r="J918" s="152">
        <f>IFERROR(VALUE(SUBSTITUTE(INDEX('04A_국토부원자료'!$A:$T,ROW()+1,MATCH("층",'04A_국토부원자료'!$A$4:$T$4,0)),",","")),"")</f>
        <v/>
      </c>
      <c r="K918" s="152">
        <f>IFERROR(VALUE(SUBSTITUTE(INDEX('04A_국토부원자료'!$A:$T,ROW()+1,MATCH("건축년도",'04A_국토부원자료'!$A$4:$T$4,0)),",","")),"")</f>
        <v/>
      </c>
      <c r="L918" s="176">
        <f>IFERROR(INDEX('04A_국토부원자료'!$A:$T,ROW()+1,MATCH("도로명",'04A_국토부원자료'!$A$4:$T$4,0)),"")</f>
        <v/>
      </c>
      <c r="M918" s="48">
        <f>IFERROR(INDEX('04A_국토부원자료'!$A:$T,ROW()+1,MATCH("거래유형",'04A_국토부원자료'!$A$4:$T$4,0)),"")</f>
        <v/>
      </c>
      <c r="N918" s="152">
        <f>IF(B918="","",IF('02_대상물건입력'!B5="",1,IF(ISNUMBER(SEARCH('02_대상물건입력'!B5,B918)),1,0)))</f>
        <v/>
      </c>
      <c r="O918" s="152">
        <f>IF(B918="","",IF('02_대상물건입력'!B6="",1,IF(ISNUMBER(SEARCH('02_대상물건입력'!B6,B918)),1,0)))</f>
        <v/>
      </c>
      <c r="P918" s="152">
        <f>IF(L918="","",IF('02_대상물건입력'!B15="",0,IF(ISNUMBER(SEARCH('02_대상물건입력'!B15,L918)),1,0)))</f>
        <v/>
      </c>
      <c r="Q918" s="152">
        <f>IF(OR(C918="",L918=""),0,IF(AND(TRIM(C918)=TRIM(RIGHT(SUBSTITUTE(TRIM('02_대상물건입력'!$B$7)," ",REPT(" ",99)),99)),IF('02_대상물건입력'!B15="",TRUE(),ISNUMBER(SEARCH('02_대상물건입력'!B15,L918)))),1,0))</f>
        <v/>
      </c>
      <c r="R918" s="175">
        <f>IFERROR(ABS(E918-'02_대상물건입력'!B11)/'02_대상물건입력'!B11,"")</f>
        <v/>
      </c>
      <c r="S918" s="152">
        <f>IFERROR(ABS(J918-'02_대상물건입력'!B10),"")</f>
        <v/>
      </c>
      <c r="T918" s="152">
        <f>IFERROR(ABS('01_설정'!B4-F918),"")</f>
        <v/>
      </c>
      <c r="U918" s="152">
        <f>IFERROR(ABS(K918-YEAR('02_대상물건입력'!B14)),"")</f>
        <v/>
      </c>
      <c r="V918" s="152">
        <f>IF(B918="","",IF(AND(E918&gt;0,F918&gt;0,H918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918=1,TRUE()),R918&lt;='01_설정'!B5,S918&lt;='01_설정'!B6,T918&lt;='01_설정'!B7,U918&lt;='01_설정'!B8),"Y",""))</f>
        <v/>
      </c>
      <c r="W918" s="172">
        <f>IF(V918&lt;&gt;"Y","",MAX(0,(1-R918/'01_설정'!B5))*'01_설정'!B14+MAX(0,(1-S918/'01_설정'!B6))*'01_설정'!B15+MAX(0,(1-T918/'01_설정'!B7))*'01_설정'!B16+MAX(0,(1-U918/'01_설정'!B8))*'01_설정'!B17+O918*'01_설정'!B11+Q918*'01_설정'!B12+P918*'01_설정'!B13+IF(Z918="",0,Z918))</f>
        <v/>
      </c>
      <c r="X918" s="152">
        <f>IF(W918="","",1+COUNTIFS($W$4:$W$3003,"&gt;"&amp;W918)+COUNTIFS($W$4:W918,W918)-1)</f>
        <v/>
      </c>
      <c r="Y918" s="175">
        <f>IF(OR(I918="",'02_대상물건입력'!B19="",'02_대상물건입력'!B19&lt;=0),"",ABS(I918-'02_대상물건입력'!B19)/'02_대상물건입력'!B19)</f>
        <v/>
      </c>
      <c r="Z918" s="172">
        <f>IF(OR(Y918="",'01_설정'!B31="",'01_설정'!B31&lt;=0,'01_설정'!B32="",'01_설정'!B32&lt;=0),"",MAX(0,(1-Y918/'01_설정'!B32))*'01_설정'!B31)</f>
        <v/>
      </c>
    </row>
    <row r="919" ht="17.25" customHeight="1">
      <c r="A919" s="152">
        <f>IF(INDEX('04A_국토부원자료'!$A:$A,ROW()+1)="","",ROW()-3)</f>
        <v/>
      </c>
      <c r="B919" s="48">
        <f>IFERROR(INDEX('04A_국토부원자료'!$A:$T,ROW()+1,MATCH("시군구",'04A_국토부원자료'!$A$4:$T$4,0)),"")</f>
        <v/>
      </c>
      <c r="C919" s="48">
        <f>IF(B919="","",IFERROR(INDEX('04A_국토부원자료'!$A:$T,ROW()+1,MATCH("번지",'04A_국토부원자료'!$A$4:$T$4,0)),""))</f>
        <v/>
      </c>
      <c r="D919" s="48">
        <f>IF(B919="","",IF(Q919=1,'02_대상물건입력'!$B$8,IFERROR(INDEX('04A_국토부원자료'!$A:$T,ROW()+1,MATCH("단지명",'04A_국토부원자료'!$A$4:$T$4,0)),"")))</f>
        <v/>
      </c>
      <c r="E919" s="172">
        <f>IFERROR(VALUE(SUBSTITUTE(INDEX('04A_국토부원자료'!$A:$T,ROW()+1,MATCH("전용면적(㎡)",'04A_국토부원자료'!$A$4:$T$4,0)),",","")),"")</f>
        <v/>
      </c>
      <c r="F9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19" s="51">
        <f>IFERROR(VALUE(SUBSTITUTE(INDEX('04A_국토부원자료'!$A:$T,ROW()+1,MATCH("거래금액(만원)",'04A_국토부원자료'!$A$4:$T$4,0)),",","")),"")</f>
        <v/>
      </c>
      <c r="H919" s="174">
        <f>IF(G919="","",G919*10000)</f>
        <v/>
      </c>
      <c r="I919" s="174">
        <f>IFERROR(IF(AND(H919&gt;0,E919&gt;0),H919/E919,""),"")</f>
        <v/>
      </c>
      <c r="J919" s="152">
        <f>IFERROR(VALUE(SUBSTITUTE(INDEX('04A_국토부원자료'!$A:$T,ROW()+1,MATCH("층",'04A_국토부원자료'!$A$4:$T$4,0)),",","")),"")</f>
        <v/>
      </c>
      <c r="K919" s="152">
        <f>IFERROR(VALUE(SUBSTITUTE(INDEX('04A_국토부원자료'!$A:$T,ROW()+1,MATCH("건축년도",'04A_국토부원자료'!$A$4:$T$4,0)),",","")),"")</f>
        <v/>
      </c>
      <c r="L919" s="176">
        <f>IFERROR(INDEX('04A_국토부원자료'!$A:$T,ROW()+1,MATCH("도로명",'04A_국토부원자료'!$A$4:$T$4,0)),"")</f>
        <v/>
      </c>
      <c r="M919" s="48">
        <f>IFERROR(INDEX('04A_국토부원자료'!$A:$T,ROW()+1,MATCH("거래유형",'04A_국토부원자료'!$A$4:$T$4,0)),"")</f>
        <v/>
      </c>
      <c r="N919" s="152">
        <f>IF(B919="","",IF('02_대상물건입력'!B5="",1,IF(ISNUMBER(SEARCH('02_대상물건입력'!B5,B919)),1,0)))</f>
        <v/>
      </c>
      <c r="O919" s="152">
        <f>IF(B919="","",IF('02_대상물건입력'!B6="",1,IF(ISNUMBER(SEARCH('02_대상물건입력'!B6,B919)),1,0)))</f>
        <v/>
      </c>
      <c r="P919" s="152">
        <f>IF(L919="","",IF('02_대상물건입력'!B15="",0,IF(ISNUMBER(SEARCH('02_대상물건입력'!B15,L919)),1,0)))</f>
        <v/>
      </c>
      <c r="Q919" s="152">
        <f>IF(OR(C919="",L919=""),0,IF(AND(TRIM(C919)=TRIM(RIGHT(SUBSTITUTE(TRIM('02_대상물건입력'!$B$7)," ",REPT(" ",99)),99)),IF('02_대상물건입력'!B15="",TRUE(),ISNUMBER(SEARCH('02_대상물건입력'!B15,L919)))),1,0))</f>
        <v/>
      </c>
      <c r="R919" s="175">
        <f>IFERROR(ABS(E919-'02_대상물건입력'!B11)/'02_대상물건입력'!B11,"")</f>
        <v/>
      </c>
      <c r="S919" s="152">
        <f>IFERROR(ABS(J919-'02_대상물건입력'!B10),"")</f>
        <v/>
      </c>
      <c r="T919" s="152">
        <f>IFERROR(ABS('01_설정'!B4-F919),"")</f>
        <v/>
      </c>
      <c r="U919" s="152">
        <f>IFERROR(ABS(K919-YEAR('02_대상물건입력'!B14)),"")</f>
        <v/>
      </c>
      <c r="V919" s="152">
        <f>IF(B919="","",IF(AND(E919&gt;0,F919&gt;0,H919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919=1,TRUE()),R919&lt;='01_설정'!B5,S919&lt;='01_설정'!B6,T919&lt;='01_설정'!B7,U919&lt;='01_설정'!B8),"Y",""))</f>
        <v/>
      </c>
      <c r="W919" s="172">
        <f>IF(V919&lt;&gt;"Y","",MAX(0,(1-R919/'01_설정'!B5))*'01_설정'!B14+MAX(0,(1-S919/'01_설정'!B6))*'01_설정'!B15+MAX(0,(1-T919/'01_설정'!B7))*'01_설정'!B16+MAX(0,(1-U919/'01_설정'!B8))*'01_설정'!B17+O919*'01_설정'!B11+Q919*'01_설정'!B12+P919*'01_설정'!B13+IF(Z919="",0,Z919))</f>
        <v/>
      </c>
      <c r="X919" s="152">
        <f>IF(W919="","",1+COUNTIFS($W$4:$W$3003,"&gt;"&amp;W919)+COUNTIFS($W$4:W919,W919)-1)</f>
        <v/>
      </c>
      <c r="Y919" s="175">
        <f>IF(OR(I919="",'02_대상물건입력'!B19="",'02_대상물건입력'!B19&lt;=0),"",ABS(I919-'02_대상물건입력'!B19)/'02_대상물건입력'!B19)</f>
        <v/>
      </c>
      <c r="Z919" s="172">
        <f>IF(OR(Y919="",'01_설정'!B31="",'01_설정'!B31&lt;=0,'01_설정'!B32="",'01_설정'!B32&lt;=0),"",MAX(0,(1-Y919/'01_설정'!B32))*'01_설정'!B31)</f>
        <v/>
      </c>
    </row>
    <row r="920" ht="17.25" customHeight="1">
      <c r="A920" s="152">
        <f>IF(INDEX('04A_국토부원자료'!$A:$A,ROW()+1)="","",ROW()-3)</f>
        <v/>
      </c>
      <c r="B920" s="48">
        <f>IFERROR(INDEX('04A_국토부원자료'!$A:$T,ROW()+1,MATCH("시군구",'04A_국토부원자료'!$A$4:$T$4,0)),"")</f>
        <v/>
      </c>
      <c r="C920" s="48">
        <f>IF(B920="","",IFERROR(INDEX('04A_국토부원자료'!$A:$T,ROW()+1,MATCH("번지",'04A_국토부원자료'!$A$4:$T$4,0)),""))</f>
        <v/>
      </c>
      <c r="D920" s="48">
        <f>IF(B920="","",IF(Q920=1,'02_대상물건입력'!$B$8,IFERROR(INDEX('04A_국토부원자료'!$A:$T,ROW()+1,MATCH("단지명",'04A_국토부원자료'!$A$4:$T$4,0)),"")))</f>
        <v/>
      </c>
      <c r="E920" s="172">
        <f>IFERROR(VALUE(SUBSTITUTE(INDEX('04A_국토부원자료'!$A:$T,ROW()+1,MATCH("전용면적(㎡)",'04A_국토부원자료'!$A$4:$T$4,0)),",","")),"")</f>
        <v/>
      </c>
      <c r="F9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20" s="51">
        <f>IFERROR(VALUE(SUBSTITUTE(INDEX('04A_국토부원자료'!$A:$T,ROW()+1,MATCH("거래금액(만원)",'04A_국토부원자료'!$A$4:$T$4,0)),",","")),"")</f>
        <v/>
      </c>
      <c r="H920" s="174">
        <f>IF(G920="","",G920*10000)</f>
        <v/>
      </c>
      <c r="I920" s="174">
        <f>IFERROR(IF(AND(H920&gt;0,E920&gt;0),H920/E920,""),"")</f>
        <v/>
      </c>
      <c r="J920" s="152">
        <f>IFERROR(VALUE(SUBSTITUTE(INDEX('04A_국토부원자료'!$A:$T,ROW()+1,MATCH("층",'04A_국토부원자료'!$A$4:$T$4,0)),",","")),"")</f>
        <v/>
      </c>
      <c r="K920" s="152">
        <f>IFERROR(VALUE(SUBSTITUTE(INDEX('04A_국토부원자료'!$A:$T,ROW()+1,MATCH("건축년도",'04A_국토부원자료'!$A$4:$T$4,0)),",","")),"")</f>
        <v/>
      </c>
      <c r="L920" s="176">
        <f>IFERROR(INDEX('04A_국토부원자료'!$A:$T,ROW()+1,MATCH("도로명",'04A_국토부원자료'!$A$4:$T$4,0)),"")</f>
        <v/>
      </c>
      <c r="M920" s="48">
        <f>IFERROR(INDEX('04A_국토부원자료'!$A:$T,ROW()+1,MATCH("거래유형",'04A_국토부원자료'!$A$4:$T$4,0)),"")</f>
        <v/>
      </c>
      <c r="N920" s="152">
        <f>IF(B920="","",IF('02_대상물건입력'!B5="",1,IF(ISNUMBER(SEARCH('02_대상물건입력'!B5,B920)),1,0)))</f>
        <v/>
      </c>
      <c r="O920" s="152">
        <f>IF(B920="","",IF('02_대상물건입력'!B6="",1,IF(ISNUMBER(SEARCH('02_대상물건입력'!B6,B920)),1,0)))</f>
        <v/>
      </c>
      <c r="P920" s="152">
        <f>IF(L920="","",IF('02_대상물건입력'!B15="",0,IF(ISNUMBER(SEARCH('02_대상물건입력'!B15,L920)),1,0)))</f>
        <v/>
      </c>
      <c r="Q920" s="152">
        <f>IF(OR(C920="",L920=""),0,IF(AND(TRIM(C920)=TRIM(RIGHT(SUBSTITUTE(TRIM('02_대상물건입력'!$B$7)," ",REPT(" ",99)),99)),IF('02_대상물건입력'!B15="",TRUE(),ISNUMBER(SEARCH('02_대상물건입력'!B15,L920)))),1,0))</f>
        <v/>
      </c>
      <c r="R920" s="175">
        <f>IFERROR(ABS(E920-'02_대상물건입력'!B11)/'02_대상물건입력'!B11,"")</f>
        <v/>
      </c>
      <c r="S920" s="152">
        <f>IFERROR(ABS(J920-'02_대상물건입력'!B10),"")</f>
        <v/>
      </c>
      <c r="T920" s="152">
        <f>IFERROR(ABS('01_설정'!B4-F920),"")</f>
        <v/>
      </c>
      <c r="U920" s="152">
        <f>IFERROR(ABS(K920-YEAR('02_대상물건입력'!B14)),"")</f>
        <v/>
      </c>
      <c r="V920" s="152">
        <f>IF(B920="","",IF(AND(E920&gt;0,F920&gt;0,H920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920=1,TRUE()),R920&lt;='01_설정'!B5,S920&lt;='01_설정'!B6,T920&lt;='01_설정'!B7,U920&lt;='01_설정'!B8),"Y",""))</f>
        <v/>
      </c>
      <c r="W920" s="172">
        <f>IF(V920&lt;&gt;"Y","",MAX(0,(1-R920/'01_설정'!B5))*'01_설정'!B14+MAX(0,(1-S920/'01_설정'!B6))*'01_설정'!B15+MAX(0,(1-T920/'01_설정'!B7))*'01_설정'!B16+MAX(0,(1-U920/'01_설정'!B8))*'01_설정'!B17+O920*'01_설정'!B11+Q920*'01_설정'!B12+P920*'01_설정'!B13+IF(Z920="",0,Z920))</f>
        <v/>
      </c>
      <c r="X920" s="152">
        <f>IF(W920="","",1+COUNTIFS($W$4:$W$3003,"&gt;"&amp;W920)+COUNTIFS($W$4:W920,W920)-1)</f>
        <v/>
      </c>
      <c r="Y920" s="175">
        <f>IF(OR(I920="",'02_대상물건입력'!B19="",'02_대상물건입력'!B19&lt;=0),"",ABS(I920-'02_대상물건입력'!B19)/'02_대상물건입력'!B19)</f>
        <v/>
      </c>
      <c r="Z920" s="172">
        <f>IF(OR(Y920="",'01_설정'!B31="",'01_설정'!B31&lt;=0,'01_설정'!B32="",'01_설정'!B32&lt;=0),"",MAX(0,(1-Y920/'01_설정'!B32))*'01_설정'!B31)</f>
        <v/>
      </c>
    </row>
    <row r="921" ht="17.25" customHeight="1">
      <c r="A921" s="152">
        <f>IF(INDEX('04A_국토부원자료'!$A:$A,ROW()+1)="","",ROW()-3)</f>
        <v/>
      </c>
      <c r="B921" s="48">
        <f>IFERROR(INDEX('04A_국토부원자료'!$A:$T,ROW()+1,MATCH("시군구",'04A_국토부원자료'!$A$4:$T$4,0)),"")</f>
        <v/>
      </c>
      <c r="C921" s="48">
        <f>IF(B921="","",IFERROR(INDEX('04A_국토부원자료'!$A:$T,ROW()+1,MATCH("번지",'04A_국토부원자료'!$A$4:$T$4,0)),""))</f>
        <v/>
      </c>
      <c r="D921" s="48">
        <f>IF(B921="","",IF(Q921=1,'02_대상물건입력'!$B$8,IFERROR(INDEX('04A_국토부원자료'!$A:$T,ROW()+1,MATCH("단지명",'04A_국토부원자료'!$A$4:$T$4,0)),"")))</f>
        <v/>
      </c>
      <c r="E921" s="172">
        <f>IFERROR(VALUE(SUBSTITUTE(INDEX('04A_국토부원자료'!$A:$T,ROW()+1,MATCH("전용면적(㎡)",'04A_국토부원자료'!$A$4:$T$4,0)),",","")),"")</f>
        <v/>
      </c>
      <c r="F9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21" s="51">
        <f>IFERROR(VALUE(SUBSTITUTE(INDEX('04A_국토부원자료'!$A:$T,ROW()+1,MATCH("거래금액(만원)",'04A_국토부원자료'!$A$4:$T$4,0)),",","")),"")</f>
        <v/>
      </c>
      <c r="H921" s="174">
        <f>IF(G921="","",G921*10000)</f>
        <v/>
      </c>
      <c r="I921" s="174">
        <f>IFERROR(IF(AND(H921&gt;0,E921&gt;0),H921/E921,""),"")</f>
        <v/>
      </c>
      <c r="J921" s="152">
        <f>IFERROR(VALUE(SUBSTITUTE(INDEX('04A_국토부원자료'!$A:$T,ROW()+1,MATCH("층",'04A_국토부원자료'!$A$4:$T$4,0)),",","")),"")</f>
        <v/>
      </c>
      <c r="K921" s="152">
        <f>IFERROR(VALUE(SUBSTITUTE(INDEX('04A_국토부원자료'!$A:$T,ROW()+1,MATCH("건축년도",'04A_국토부원자료'!$A$4:$T$4,0)),",","")),"")</f>
        <v/>
      </c>
      <c r="L921" s="176">
        <f>IFERROR(INDEX('04A_국토부원자료'!$A:$T,ROW()+1,MATCH("도로명",'04A_국토부원자료'!$A$4:$T$4,0)),"")</f>
        <v/>
      </c>
      <c r="M921" s="48">
        <f>IFERROR(INDEX('04A_국토부원자료'!$A:$T,ROW()+1,MATCH("거래유형",'04A_국토부원자료'!$A$4:$T$4,0)),"")</f>
        <v/>
      </c>
      <c r="N921" s="152">
        <f>IF(B921="","",IF('02_대상물건입력'!B5="",1,IF(ISNUMBER(SEARCH('02_대상물건입력'!B5,B921)),1,0)))</f>
        <v/>
      </c>
      <c r="O921" s="152">
        <f>IF(B921="","",IF('02_대상물건입력'!B6="",1,IF(ISNUMBER(SEARCH('02_대상물건입력'!B6,B921)),1,0)))</f>
        <v/>
      </c>
      <c r="P921" s="152">
        <f>IF(L921="","",IF('02_대상물건입력'!B15="",0,IF(ISNUMBER(SEARCH('02_대상물건입력'!B15,L921)),1,0)))</f>
        <v/>
      </c>
      <c r="Q921" s="152">
        <f>IF(OR(C921="",L921=""),0,IF(AND(TRIM(C921)=TRIM(RIGHT(SUBSTITUTE(TRIM('02_대상물건입력'!$B$7)," ",REPT(" ",99)),99)),IF('02_대상물건입력'!B15="",TRUE(),ISNUMBER(SEARCH('02_대상물건입력'!B15,L921)))),1,0))</f>
        <v/>
      </c>
      <c r="R921" s="175">
        <f>IFERROR(ABS(E921-'02_대상물건입력'!B11)/'02_대상물건입력'!B11,"")</f>
        <v/>
      </c>
      <c r="S921" s="152">
        <f>IFERROR(ABS(J921-'02_대상물건입력'!B10),"")</f>
        <v/>
      </c>
      <c r="T921" s="152">
        <f>IFERROR(ABS('01_설정'!B4-F921),"")</f>
        <v/>
      </c>
      <c r="U921" s="152">
        <f>IFERROR(ABS(K921-YEAR('02_대상물건입력'!B14)),"")</f>
        <v/>
      </c>
      <c r="V921" s="152">
        <f>IF(B921="","",IF(AND(E921&gt;0,F921&gt;0,H921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921=1,TRUE()),R921&lt;='01_설정'!B5,S921&lt;='01_설정'!B6,T921&lt;='01_설정'!B7,U921&lt;='01_설정'!B8),"Y",""))</f>
        <v/>
      </c>
      <c r="W921" s="172">
        <f>IF(V921&lt;&gt;"Y","",MAX(0,(1-R921/'01_설정'!B5))*'01_설정'!B14+MAX(0,(1-S921/'01_설정'!B6))*'01_설정'!B15+MAX(0,(1-T921/'01_설정'!B7))*'01_설정'!B16+MAX(0,(1-U921/'01_설정'!B8))*'01_설정'!B17+O921*'01_설정'!B11+Q921*'01_설정'!B12+P921*'01_설정'!B13+IF(Z921="",0,Z921))</f>
        <v/>
      </c>
      <c r="X921" s="152">
        <f>IF(W921="","",1+COUNTIFS($W$4:$W$3003,"&gt;"&amp;W921)+COUNTIFS($W$4:W921,W921)-1)</f>
        <v/>
      </c>
      <c r="Y921" s="175">
        <f>IF(OR(I921="",'02_대상물건입력'!B19="",'02_대상물건입력'!B19&lt;=0),"",ABS(I921-'02_대상물건입력'!B19)/'02_대상물건입력'!B19)</f>
        <v/>
      </c>
      <c r="Z921" s="172">
        <f>IF(OR(Y921="",'01_설정'!B31="",'01_설정'!B31&lt;=0,'01_설정'!B32="",'01_설정'!B32&lt;=0),"",MAX(0,(1-Y921/'01_설정'!B32))*'01_설정'!B31)</f>
        <v/>
      </c>
    </row>
    <row r="922" ht="17.25" customHeight="1">
      <c r="A922" s="152">
        <f>IF(INDEX('04A_국토부원자료'!$A:$A,ROW()+1)="","",ROW()-3)</f>
        <v/>
      </c>
      <c r="B922" s="48">
        <f>IFERROR(INDEX('04A_국토부원자료'!$A:$T,ROW()+1,MATCH("시군구",'04A_국토부원자료'!$A$4:$T$4,0)),"")</f>
        <v/>
      </c>
      <c r="C922" s="48">
        <f>IF(B922="","",IFERROR(INDEX('04A_국토부원자료'!$A:$T,ROW()+1,MATCH("번지",'04A_국토부원자료'!$A$4:$T$4,0)),""))</f>
        <v/>
      </c>
      <c r="D922" s="48">
        <f>IF(B922="","",IF(Q922=1,'02_대상물건입력'!$B$8,IFERROR(INDEX('04A_국토부원자료'!$A:$T,ROW()+1,MATCH("단지명",'04A_국토부원자료'!$A$4:$T$4,0)),"")))</f>
        <v/>
      </c>
      <c r="E922" s="172">
        <f>IFERROR(VALUE(SUBSTITUTE(INDEX('04A_국토부원자료'!$A:$T,ROW()+1,MATCH("전용면적(㎡)",'04A_국토부원자료'!$A$4:$T$4,0)),",","")),"")</f>
        <v/>
      </c>
      <c r="F9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22" s="51">
        <f>IFERROR(VALUE(SUBSTITUTE(INDEX('04A_국토부원자료'!$A:$T,ROW()+1,MATCH("거래금액(만원)",'04A_국토부원자료'!$A$4:$T$4,0)),",","")),"")</f>
        <v/>
      </c>
      <c r="H922" s="174">
        <f>IF(G922="","",G922*10000)</f>
        <v/>
      </c>
      <c r="I922" s="174">
        <f>IFERROR(IF(AND(H922&gt;0,E922&gt;0),H922/E922,""),"")</f>
        <v/>
      </c>
      <c r="J922" s="152">
        <f>IFERROR(VALUE(SUBSTITUTE(INDEX('04A_국토부원자료'!$A:$T,ROW()+1,MATCH("층",'04A_국토부원자료'!$A$4:$T$4,0)),",","")),"")</f>
        <v/>
      </c>
      <c r="K922" s="152">
        <f>IFERROR(VALUE(SUBSTITUTE(INDEX('04A_국토부원자료'!$A:$T,ROW()+1,MATCH("건축년도",'04A_국토부원자료'!$A$4:$T$4,0)),",","")),"")</f>
        <v/>
      </c>
      <c r="L922" s="176">
        <f>IFERROR(INDEX('04A_국토부원자료'!$A:$T,ROW()+1,MATCH("도로명",'04A_국토부원자료'!$A$4:$T$4,0)),"")</f>
        <v/>
      </c>
      <c r="M922" s="48">
        <f>IFERROR(INDEX('04A_국토부원자료'!$A:$T,ROW()+1,MATCH("거래유형",'04A_국토부원자료'!$A$4:$T$4,0)),"")</f>
        <v/>
      </c>
      <c r="N922" s="152">
        <f>IF(B922="","",IF('02_대상물건입력'!B5="",1,IF(ISNUMBER(SEARCH('02_대상물건입력'!B5,B922)),1,0)))</f>
        <v/>
      </c>
      <c r="O922" s="152">
        <f>IF(B922="","",IF('02_대상물건입력'!B6="",1,IF(ISNUMBER(SEARCH('02_대상물건입력'!B6,B922)),1,0)))</f>
        <v/>
      </c>
      <c r="P922" s="152">
        <f>IF(L922="","",IF('02_대상물건입력'!B15="",0,IF(ISNUMBER(SEARCH('02_대상물건입력'!B15,L922)),1,0)))</f>
        <v/>
      </c>
      <c r="Q922" s="152">
        <f>IF(OR(C922="",L922=""),0,IF(AND(TRIM(C922)=TRIM(RIGHT(SUBSTITUTE(TRIM('02_대상물건입력'!$B$7)," ",REPT(" ",99)),99)),IF('02_대상물건입력'!B15="",TRUE(),ISNUMBER(SEARCH('02_대상물건입력'!B15,L922)))),1,0))</f>
        <v/>
      </c>
      <c r="R922" s="175">
        <f>IFERROR(ABS(E922-'02_대상물건입력'!B11)/'02_대상물건입력'!B11,"")</f>
        <v/>
      </c>
      <c r="S922" s="152">
        <f>IFERROR(ABS(J922-'02_대상물건입력'!B10),"")</f>
        <v/>
      </c>
      <c r="T922" s="152">
        <f>IFERROR(ABS('01_설정'!B4-F922),"")</f>
        <v/>
      </c>
      <c r="U922" s="152">
        <f>IFERROR(ABS(K922-YEAR('02_대상물건입력'!B14)),"")</f>
        <v/>
      </c>
      <c r="V922" s="152">
        <f>IF(B922="","",IF(AND(E922&gt;0,F922&gt;0,H922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922=1,TRUE()),R922&lt;='01_설정'!B5,S922&lt;='01_설정'!B6,T922&lt;='01_설정'!B7,U922&lt;='01_설정'!B8),"Y",""))</f>
        <v/>
      </c>
      <c r="W922" s="172">
        <f>IF(V922&lt;&gt;"Y","",MAX(0,(1-R922/'01_설정'!B5))*'01_설정'!B14+MAX(0,(1-S922/'01_설정'!B6))*'01_설정'!B15+MAX(0,(1-T922/'01_설정'!B7))*'01_설정'!B16+MAX(0,(1-U922/'01_설정'!B8))*'01_설정'!B17+O922*'01_설정'!B11+Q922*'01_설정'!B12+P922*'01_설정'!B13+IF(Z922="",0,Z922))</f>
        <v/>
      </c>
      <c r="X922" s="152">
        <f>IF(W922="","",1+COUNTIFS($W$4:$W$3003,"&gt;"&amp;W922)+COUNTIFS($W$4:W922,W922)-1)</f>
        <v/>
      </c>
      <c r="Y922" s="175">
        <f>IF(OR(I922="",'02_대상물건입력'!B19="",'02_대상물건입력'!B19&lt;=0),"",ABS(I922-'02_대상물건입력'!B19)/'02_대상물건입력'!B19)</f>
        <v/>
      </c>
      <c r="Z922" s="172">
        <f>IF(OR(Y922="",'01_설정'!B31="",'01_설정'!B31&lt;=0,'01_설정'!B32="",'01_설정'!B32&lt;=0),"",MAX(0,(1-Y922/'01_설정'!B32))*'01_설정'!B31)</f>
        <v/>
      </c>
    </row>
    <row r="923" ht="17.25" customHeight="1">
      <c r="A923" s="152">
        <f>IF(INDEX('04A_국토부원자료'!$A:$A,ROW()+1)="","",ROW()-3)</f>
        <v/>
      </c>
      <c r="B923" s="48">
        <f>IFERROR(INDEX('04A_국토부원자료'!$A:$T,ROW()+1,MATCH("시군구",'04A_국토부원자료'!$A$4:$T$4,0)),"")</f>
        <v/>
      </c>
      <c r="C923" s="48">
        <f>IF(B923="","",IFERROR(INDEX('04A_국토부원자료'!$A:$T,ROW()+1,MATCH("번지",'04A_국토부원자료'!$A$4:$T$4,0)),""))</f>
        <v/>
      </c>
      <c r="D923" s="48">
        <f>IF(B923="","",IF(Q923=1,'02_대상물건입력'!$B$8,IFERROR(INDEX('04A_국토부원자료'!$A:$T,ROW()+1,MATCH("단지명",'04A_국토부원자료'!$A$4:$T$4,0)),"")))</f>
        <v/>
      </c>
      <c r="E923" s="172">
        <f>IFERROR(VALUE(SUBSTITUTE(INDEX('04A_국토부원자료'!$A:$T,ROW()+1,MATCH("전용면적(㎡)",'04A_국토부원자료'!$A$4:$T$4,0)),",","")),"")</f>
        <v/>
      </c>
      <c r="F9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23" s="51">
        <f>IFERROR(VALUE(SUBSTITUTE(INDEX('04A_국토부원자료'!$A:$T,ROW()+1,MATCH("거래금액(만원)",'04A_국토부원자료'!$A$4:$T$4,0)),",","")),"")</f>
        <v/>
      </c>
      <c r="H923" s="174">
        <f>IF(G923="","",G923*10000)</f>
        <v/>
      </c>
      <c r="I923" s="174">
        <f>IFERROR(IF(AND(H923&gt;0,E923&gt;0),H923/E923,""),"")</f>
        <v/>
      </c>
      <c r="J923" s="152">
        <f>IFERROR(VALUE(SUBSTITUTE(INDEX('04A_국토부원자료'!$A:$T,ROW()+1,MATCH("층",'04A_국토부원자료'!$A$4:$T$4,0)),",","")),"")</f>
        <v/>
      </c>
      <c r="K923" s="152">
        <f>IFERROR(VALUE(SUBSTITUTE(INDEX('04A_국토부원자료'!$A:$T,ROW()+1,MATCH("건축년도",'04A_국토부원자료'!$A$4:$T$4,0)),",","")),"")</f>
        <v/>
      </c>
      <c r="L923" s="176">
        <f>IFERROR(INDEX('04A_국토부원자료'!$A:$T,ROW()+1,MATCH("도로명",'04A_국토부원자료'!$A$4:$T$4,0)),"")</f>
        <v/>
      </c>
      <c r="M923" s="48">
        <f>IFERROR(INDEX('04A_국토부원자료'!$A:$T,ROW()+1,MATCH("거래유형",'04A_국토부원자료'!$A$4:$T$4,0)),"")</f>
        <v/>
      </c>
      <c r="N923" s="152">
        <f>IF(B923="","",IF('02_대상물건입력'!B5="",1,IF(ISNUMBER(SEARCH('02_대상물건입력'!B5,B923)),1,0)))</f>
        <v/>
      </c>
      <c r="O923" s="152">
        <f>IF(B923="","",IF('02_대상물건입력'!B6="",1,IF(ISNUMBER(SEARCH('02_대상물건입력'!B6,B923)),1,0)))</f>
        <v/>
      </c>
      <c r="P923" s="152">
        <f>IF(L923="","",IF('02_대상물건입력'!B15="",0,IF(ISNUMBER(SEARCH('02_대상물건입력'!B15,L923)),1,0)))</f>
        <v/>
      </c>
      <c r="Q923" s="152">
        <f>IF(OR(C923="",L923=""),0,IF(AND(TRIM(C923)=TRIM(RIGHT(SUBSTITUTE(TRIM('02_대상물건입력'!$B$7)," ",REPT(" ",99)),99)),IF('02_대상물건입력'!B15="",TRUE(),ISNUMBER(SEARCH('02_대상물건입력'!B15,L923)))),1,0))</f>
        <v/>
      </c>
      <c r="R923" s="175">
        <f>IFERROR(ABS(E923-'02_대상물건입력'!B11)/'02_대상물건입력'!B11,"")</f>
        <v/>
      </c>
      <c r="S923" s="152">
        <f>IFERROR(ABS(J923-'02_대상물건입력'!B10),"")</f>
        <v/>
      </c>
      <c r="T923" s="152">
        <f>IFERROR(ABS('01_설정'!B4-F923),"")</f>
        <v/>
      </c>
      <c r="U923" s="152">
        <f>IFERROR(ABS(K923-YEAR('02_대상물건입력'!B14)),"")</f>
        <v/>
      </c>
      <c r="V923" s="152">
        <f>IF(B923="","",IF(AND(E923&gt;0,F923&gt;0,H923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923=1,TRUE()),R923&lt;='01_설정'!B5,S923&lt;='01_설정'!B6,T923&lt;='01_설정'!B7,U923&lt;='01_설정'!B8),"Y",""))</f>
        <v/>
      </c>
      <c r="W923" s="172">
        <f>IF(V923&lt;&gt;"Y","",MAX(0,(1-R923/'01_설정'!B5))*'01_설정'!B14+MAX(0,(1-S923/'01_설정'!B6))*'01_설정'!B15+MAX(0,(1-T923/'01_설정'!B7))*'01_설정'!B16+MAX(0,(1-U923/'01_설정'!B8))*'01_설정'!B17+O923*'01_설정'!B11+Q923*'01_설정'!B12+P923*'01_설정'!B13+IF(Z923="",0,Z923))</f>
        <v/>
      </c>
      <c r="X923" s="152">
        <f>IF(W923="","",1+COUNTIFS($W$4:$W$3003,"&gt;"&amp;W923)+COUNTIFS($W$4:W923,W923)-1)</f>
        <v/>
      </c>
      <c r="Y923" s="175">
        <f>IF(OR(I923="",'02_대상물건입력'!B19="",'02_대상물건입력'!B19&lt;=0),"",ABS(I923-'02_대상물건입력'!B19)/'02_대상물건입력'!B19)</f>
        <v/>
      </c>
      <c r="Z923" s="172">
        <f>IF(OR(Y923="",'01_설정'!B31="",'01_설정'!B31&lt;=0,'01_설정'!B32="",'01_설정'!B32&lt;=0),"",MAX(0,(1-Y923/'01_설정'!B32))*'01_설정'!B31)</f>
        <v/>
      </c>
    </row>
    <row r="924" ht="17.25" customHeight="1">
      <c r="A924" s="152">
        <f>IF(INDEX('04A_국토부원자료'!$A:$A,ROW()+1)="","",ROW()-3)</f>
        <v/>
      </c>
      <c r="B924" s="48">
        <f>IFERROR(INDEX('04A_국토부원자료'!$A:$T,ROW()+1,MATCH("시군구",'04A_국토부원자료'!$A$4:$T$4,0)),"")</f>
        <v/>
      </c>
      <c r="C924" s="48">
        <f>IF(B924="","",IFERROR(INDEX('04A_국토부원자료'!$A:$T,ROW()+1,MATCH("번지",'04A_국토부원자료'!$A$4:$T$4,0)),""))</f>
        <v/>
      </c>
      <c r="D924" s="48">
        <f>IF(B924="","",IF(Q924=1,'02_대상물건입력'!$B$8,IFERROR(INDEX('04A_국토부원자료'!$A:$T,ROW()+1,MATCH("단지명",'04A_국토부원자료'!$A$4:$T$4,0)),"")))</f>
        <v/>
      </c>
      <c r="E924" s="172">
        <f>IFERROR(VALUE(SUBSTITUTE(INDEX('04A_국토부원자료'!$A:$T,ROW()+1,MATCH("전용면적(㎡)",'04A_국토부원자료'!$A$4:$T$4,0)),",","")),"")</f>
        <v/>
      </c>
      <c r="F9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24" s="51">
        <f>IFERROR(VALUE(SUBSTITUTE(INDEX('04A_국토부원자료'!$A:$T,ROW()+1,MATCH("거래금액(만원)",'04A_국토부원자료'!$A$4:$T$4,0)),",","")),"")</f>
        <v/>
      </c>
      <c r="H924" s="174">
        <f>IF(G924="","",G924*10000)</f>
        <v/>
      </c>
      <c r="I924" s="174">
        <f>IFERROR(IF(AND(H924&gt;0,E924&gt;0),H924/E924,""),"")</f>
        <v/>
      </c>
      <c r="J924" s="152">
        <f>IFERROR(VALUE(SUBSTITUTE(INDEX('04A_국토부원자료'!$A:$T,ROW()+1,MATCH("층",'04A_국토부원자료'!$A$4:$T$4,0)),",","")),"")</f>
        <v/>
      </c>
      <c r="K924" s="152">
        <f>IFERROR(VALUE(SUBSTITUTE(INDEX('04A_국토부원자료'!$A:$T,ROW()+1,MATCH("건축년도",'04A_국토부원자료'!$A$4:$T$4,0)),",","")),"")</f>
        <v/>
      </c>
      <c r="L924" s="176">
        <f>IFERROR(INDEX('04A_국토부원자료'!$A:$T,ROW()+1,MATCH("도로명",'04A_국토부원자료'!$A$4:$T$4,0)),"")</f>
        <v/>
      </c>
      <c r="M924" s="48">
        <f>IFERROR(INDEX('04A_국토부원자료'!$A:$T,ROW()+1,MATCH("거래유형",'04A_국토부원자료'!$A$4:$T$4,0)),"")</f>
        <v/>
      </c>
      <c r="N924" s="152">
        <f>IF(B924="","",IF('02_대상물건입력'!B5="",1,IF(ISNUMBER(SEARCH('02_대상물건입력'!B5,B924)),1,0)))</f>
        <v/>
      </c>
      <c r="O924" s="152">
        <f>IF(B924="","",IF('02_대상물건입력'!B6="",1,IF(ISNUMBER(SEARCH('02_대상물건입력'!B6,B924)),1,0)))</f>
        <v/>
      </c>
      <c r="P924" s="152">
        <f>IF(L924="","",IF('02_대상물건입력'!B15="",0,IF(ISNUMBER(SEARCH('02_대상물건입력'!B15,L924)),1,0)))</f>
        <v/>
      </c>
      <c r="Q924" s="152">
        <f>IF(OR(C924="",L924=""),0,IF(AND(TRIM(C924)=TRIM(RIGHT(SUBSTITUTE(TRIM('02_대상물건입력'!$B$7)," ",REPT(" ",99)),99)),IF('02_대상물건입력'!B15="",TRUE(),ISNUMBER(SEARCH('02_대상물건입력'!B15,L924)))),1,0))</f>
        <v/>
      </c>
      <c r="R924" s="175">
        <f>IFERROR(ABS(E924-'02_대상물건입력'!B11)/'02_대상물건입력'!B11,"")</f>
        <v/>
      </c>
      <c r="S924" s="152">
        <f>IFERROR(ABS(J924-'02_대상물건입력'!B10),"")</f>
        <v/>
      </c>
      <c r="T924" s="152">
        <f>IFERROR(ABS('01_설정'!B4-F924),"")</f>
        <v/>
      </c>
      <c r="U924" s="152">
        <f>IFERROR(ABS(K924-YEAR('02_대상물건입력'!B14)),"")</f>
        <v/>
      </c>
      <c r="V924" s="152">
        <f>IF(B924="","",IF(AND(E924&gt;0,F924&gt;0,H924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924=1,TRUE()),R924&lt;='01_설정'!B5,S924&lt;='01_설정'!B6,T924&lt;='01_설정'!B7,U924&lt;='01_설정'!B8),"Y",""))</f>
        <v/>
      </c>
      <c r="W924" s="172">
        <f>IF(V924&lt;&gt;"Y","",MAX(0,(1-R924/'01_설정'!B5))*'01_설정'!B14+MAX(0,(1-S924/'01_설정'!B6))*'01_설정'!B15+MAX(0,(1-T924/'01_설정'!B7))*'01_설정'!B16+MAX(0,(1-U924/'01_설정'!B8))*'01_설정'!B17+O924*'01_설정'!B11+Q924*'01_설정'!B12+P924*'01_설정'!B13+IF(Z924="",0,Z924))</f>
        <v/>
      </c>
      <c r="X924" s="152">
        <f>IF(W924="","",1+COUNTIFS($W$4:$W$3003,"&gt;"&amp;W924)+COUNTIFS($W$4:W924,W924)-1)</f>
        <v/>
      </c>
      <c r="Y924" s="175">
        <f>IF(OR(I924="",'02_대상물건입력'!B19="",'02_대상물건입력'!B19&lt;=0),"",ABS(I924-'02_대상물건입력'!B19)/'02_대상물건입력'!B19)</f>
        <v/>
      </c>
      <c r="Z924" s="172">
        <f>IF(OR(Y924="",'01_설정'!B31="",'01_설정'!B31&lt;=0,'01_설정'!B32="",'01_설정'!B32&lt;=0),"",MAX(0,(1-Y924/'01_설정'!B32))*'01_설정'!B31)</f>
        <v/>
      </c>
    </row>
    <row r="925" ht="17.25" customHeight="1">
      <c r="A925" s="152">
        <f>IF(INDEX('04A_국토부원자료'!$A:$A,ROW()+1)="","",ROW()-3)</f>
        <v/>
      </c>
      <c r="B925" s="48">
        <f>IFERROR(INDEX('04A_국토부원자료'!$A:$T,ROW()+1,MATCH("시군구",'04A_국토부원자료'!$A$4:$T$4,0)),"")</f>
        <v/>
      </c>
      <c r="C925" s="48">
        <f>IF(B925="","",IFERROR(INDEX('04A_국토부원자료'!$A:$T,ROW()+1,MATCH("번지",'04A_국토부원자료'!$A$4:$T$4,0)),""))</f>
        <v/>
      </c>
      <c r="D925" s="48">
        <f>IF(B925="","",IF(Q925=1,'02_대상물건입력'!$B$8,IFERROR(INDEX('04A_국토부원자료'!$A:$T,ROW()+1,MATCH("단지명",'04A_국토부원자료'!$A$4:$T$4,0)),"")))</f>
        <v/>
      </c>
      <c r="E925" s="172">
        <f>IFERROR(VALUE(SUBSTITUTE(INDEX('04A_국토부원자료'!$A:$T,ROW()+1,MATCH("전용면적(㎡)",'04A_국토부원자료'!$A$4:$T$4,0)),",","")),"")</f>
        <v/>
      </c>
      <c r="F9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25" s="51">
        <f>IFERROR(VALUE(SUBSTITUTE(INDEX('04A_국토부원자료'!$A:$T,ROW()+1,MATCH("거래금액(만원)",'04A_국토부원자료'!$A$4:$T$4,0)),",","")),"")</f>
        <v/>
      </c>
      <c r="H925" s="174">
        <f>IF(G925="","",G925*10000)</f>
        <v/>
      </c>
      <c r="I925" s="174">
        <f>IFERROR(IF(AND(H925&gt;0,E925&gt;0),H925/E925,""),"")</f>
        <v/>
      </c>
      <c r="J925" s="152">
        <f>IFERROR(VALUE(SUBSTITUTE(INDEX('04A_국토부원자료'!$A:$T,ROW()+1,MATCH("층",'04A_국토부원자료'!$A$4:$T$4,0)),",","")),"")</f>
        <v/>
      </c>
      <c r="K925" s="152">
        <f>IFERROR(VALUE(SUBSTITUTE(INDEX('04A_국토부원자료'!$A:$T,ROW()+1,MATCH("건축년도",'04A_국토부원자료'!$A$4:$T$4,0)),",","")),"")</f>
        <v/>
      </c>
      <c r="L925" s="176">
        <f>IFERROR(INDEX('04A_국토부원자료'!$A:$T,ROW()+1,MATCH("도로명",'04A_국토부원자료'!$A$4:$T$4,0)),"")</f>
        <v/>
      </c>
      <c r="M925" s="48">
        <f>IFERROR(INDEX('04A_국토부원자료'!$A:$T,ROW()+1,MATCH("거래유형",'04A_국토부원자료'!$A$4:$T$4,0)),"")</f>
        <v/>
      </c>
      <c r="N925" s="152">
        <f>IF(B925="","",IF('02_대상물건입력'!B5="",1,IF(ISNUMBER(SEARCH('02_대상물건입력'!B5,B925)),1,0)))</f>
        <v/>
      </c>
      <c r="O925" s="152">
        <f>IF(B925="","",IF('02_대상물건입력'!B6="",1,IF(ISNUMBER(SEARCH('02_대상물건입력'!B6,B925)),1,0)))</f>
        <v/>
      </c>
      <c r="P925" s="152">
        <f>IF(L925="","",IF('02_대상물건입력'!B15="",0,IF(ISNUMBER(SEARCH('02_대상물건입력'!B15,L925)),1,0)))</f>
        <v/>
      </c>
      <c r="Q925" s="152">
        <f>IF(OR(C925="",L925=""),0,IF(AND(TRIM(C925)=TRIM(RIGHT(SUBSTITUTE(TRIM('02_대상물건입력'!$B$7)," ",REPT(" ",99)),99)),IF('02_대상물건입력'!B15="",TRUE(),ISNUMBER(SEARCH('02_대상물건입력'!B15,L925)))),1,0))</f>
        <v/>
      </c>
      <c r="R925" s="175">
        <f>IFERROR(ABS(E925-'02_대상물건입력'!B11)/'02_대상물건입력'!B11,"")</f>
        <v/>
      </c>
      <c r="S925" s="152">
        <f>IFERROR(ABS(J925-'02_대상물건입력'!B10),"")</f>
        <v/>
      </c>
      <c r="T925" s="152">
        <f>IFERROR(ABS('01_설정'!B4-F925),"")</f>
        <v/>
      </c>
      <c r="U925" s="152">
        <f>IFERROR(ABS(K925-YEAR('02_대상물건입력'!B14)),"")</f>
        <v/>
      </c>
      <c r="V925" s="152">
        <f>IF(B925="","",IF(AND(E925&gt;0,F925&gt;0,H925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925=1,TRUE()),R925&lt;='01_설정'!B5,S925&lt;='01_설정'!B6,T925&lt;='01_설정'!B7,U925&lt;='01_설정'!B8),"Y",""))</f>
        <v/>
      </c>
      <c r="W925" s="172">
        <f>IF(V925&lt;&gt;"Y","",MAX(0,(1-R925/'01_설정'!B5))*'01_설정'!B14+MAX(0,(1-S925/'01_설정'!B6))*'01_설정'!B15+MAX(0,(1-T925/'01_설정'!B7))*'01_설정'!B16+MAX(0,(1-U925/'01_설정'!B8))*'01_설정'!B17+O925*'01_설정'!B11+Q925*'01_설정'!B12+P925*'01_설정'!B13+IF(Z925="",0,Z925))</f>
        <v/>
      </c>
      <c r="X925" s="152">
        <f>IF(W925="","",1+COUNTIFS($W$4:$W$3003,"&gt;"&amp;W925)+COUNTIFS($W$4:W925,W925)-1)</f>
        <v/>
      </c>
      <c r="Y925" s="175">
        <f>IF(OR(I925="",'02_대상물건입력'!B19="",'02_대상물건입력'!B19&lt;=0),"",ABS(I925-'02_대상물건입력'!B19)/'02_대상물건입력'!B19)</f>
        <v/>
      </c>
      <c r="Z925" s="172">
        <f>IF(OR(Y925="",'01_설정'!B31="",'01_설정'!B31&lt;=0,'01_설정'!B32="",'01_설정'!B32&lt;=0),"",MAX(0,(1-Y925/'01_설정'!B32))*'01_설정'!B31)</f>
        <v/>
      </c>
    </row>
    <row r="926" ht="17.25" customHeight="1">
      <c r="A926" s="152">
        <f>IF(INDEX('04A_국토부원자료'!$A:$A,ROW()+1)="","",ROW()-3)</f>
        <v/>
      </c>
      <c r="B926" s="48">
        <f>IFERROR(INDEX('04A_국토부원자료'!$A:$T,ROW()+1,MATCH("시군구",'04A_국토부원자료'!$A$4:$T$4,0)),"")</f>
        <v/>
      </c>
      <c r="C926" s="48">
        <f>IF(B926="","",IFERROR(INDEX('04A_국토부원자료'!$A:$T,ROW()+1,MATCH("번지",'04A_국토부원자료'!$A$4:$T$4,0)),""))</f>
        <v/>
      </c>
      <c r="D926" s="48">
        <f>IF(B926="","",IF(Q926=1,'02_대상물건입력'!$B$8,IFERROR(INDEX('04A_국토부원자료'!$A:$T,ROW()+1,MATCH("단지명",'04A_국토부원자료'!$A$4:$T$4,0)),"")))</f>
        <v/>
      </c>
      <c r="E926" s="172">
        <f>IFERROR(VALUE(SUBSTITUTE(INDEX('04A_국토부원자료'!$A:$T,ROW()+1,MATCH("전용면적(㎡)",'04A_국토부원자료'!$A$4:$T$4,0)),",","")),"")</f>
        <v/>
      </c>
      <c r="F9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26" s="51">
        <f>IFERROR(VALUE(SUBSTITUTE(INDEX('04A_국토부원자료'!$A:$T,ROW()+1,MATCH("거래금액(만원)",'04A_국토부원자료'!$A$4:$T$4,0)),",","")),"")</f>
        <v/>
      </c>
      <c r="H926" s="174">
        <f>IF(G926="","",G926*10000)</f>
        <v/>
      </c>
      <c r="I926" s="174">
        <f>IFERROR(IF(AND(H926&gt;0,E926&gt;0),H926/E926,""),"")</f>
        <v/>
      </c>
      <c r="J926" s="152">
        <f>IFERROR(VALUE(SUBSTITUTE(INDEX('04A_국토부원자료'!$A:$T,ROW()+1,MATCH("층",'04A_국토부원자료'!$A$4:$T$4,0)),",","")),"")</f>
        <v/>
      </c>
      <c r="K926" s="152">
        <f>IFERROR(VALUE(SUBSTITUTE(INDEX('04A_국토부원자료'!$A:$T,ROW()+1,MATCH("건축년도",'04A_국토부원자료'!$A$4:$T$4,0)),",","")),"")</f>
        <v/>
      </c>
      <c r="L926" s="176">
        <f>IFERROR(INDEX('04A_국토부원자료'!$A:$T,ROW()+1,MATCH("도로명",'04A_국토부원자료'!$A$4:$T$4,0)),"")</f>
        <v/>
      </c>
      <c r="M926" s="48">
        <f>IFERROR(INDEX('04A_국토부원자료'!$A:$T,ROW()+1,MATCH("거래유형",'04A_국토부원자료'!$A$4:$T$4,0)),"")</f>
        <v/>
      </c>
      <c r="N926" s="152">
        <f>IF(B926="","",IF('02_대상물건입력'!B5="",1,IF(ISNUMBER(SEARCH('02_대상물건입력'!B5,B926)),1,0)))</f>
        <v/>
      </c>
      <c r="O926" s="152">
        <f>IF(B926="","",IF('02_대상물건입력'!B6="",1,IF(ISNUMBER(SEARCH('02_대상물건입력'!B6,B926)),1,0)))</f>
        <v/>
      </c>
      <c r="P926" s="152">
        <f>IF(L926="","",IF('02_대상물건입력'!B15="",0,IF(ISNUMBER(SEARCH('02_대상물건입력'!B15,L926)),1,0)))</f>
        <v/>
      </c>
      <c r="Q926" s="152">
        <f>IF(OR(C926="",L926=""),0,IF(AND(TRIM(C926)=TRIM(RIGHT(SUBSTITUTE(TRIM('02_대상물건입력'!$B$7)," ",REPT(" ",99)),99)),IF('02_대상물건입력'!B15="",TRUE(),ISNUMBER(SEARCH('02_대상물건입력'!B15,L926)))),1,0))</f>
        <v/>
      </c>
      <c r="R926" s="175">
        <f>IFERROR(ABS(E926-'02_대상물건입력'!B11)/'02_대상물건입력'!B11,"")</f>
        <v/>
      </c>
      <c r="S926" s="152">
        <f>IFERROR(ABS(J926-'02_대상물건입력'!B10),"")</f>
        <v/>
      </c>
      <c r="T926" s="152">
        <f>IFERROR(ABS('01_설정'!B4-F926),"")</f>
        <v/>
      </c>
      <c r="U926" s="152">
        <f>IFERROR(ABS(K926-YEAR('02_대상물건입력'!B14)),"")</f>
        <v/>
      </c>
      <c r="V926" s="152">
        <f>IF(B926="","",IF(AND(E926&gt;0,F926&gt;0,H926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926=1,TRUE()),R926&lt;='01_설정'!B5,S926&lt;='01_설정'!B6,T926&lt;='01_설정'!B7,U926&lt;='01_설정'!B8),"Y",""))</f>
        <v/>
      </c>
      <c r="W926" s="172">
        <f>IF(V926&lt;&gt;"Y","",MAX(0,(1-R926/'01_설정'!B5))*'01_설정'!B14+MAX(0,(1-S926/'01_설정'!B6))*'01_설정'!B15+MAX(0,(1-T926/'01_설정'!B7))*'01_설정'!B16+MAX(0,(1-U926/'01_설정'!B8))*'01_설정'!B17+O926*'01_설정'!B11+Q926*'01_설정'!B12+P926*'01_설정'!B13+IF(Z926="",0,Z926))</f>
        <v/>
      </c>
      <c r="X926" s="152">
        <f>IF(W926="","",1+COUNTIFS($W$4:$W$3003,"&gt;"&amp;W926)+COUNTIFS($W$4:W926,W926)-1)</f>
        <v/>
      </c>
      <c r="Y926" s="175">
        <f>IF(OR(I926="",'02_대상물건입력'!B19="",'02_대상물건입력'!B19&lt;=0),"",ABS(I926-'02_대상물건입력'!B19)/'02_대상물건입력'!B19)</f>
        <v/>
      </c>
      <c r="Z926" s="172">
        <f>IF(OR(Y926="",'01_설정'!B31="",'01_설정'!B31&lt;=0,'01_설정'!B32="",'01_설정'!B32&lt;=0),"",MAX(0,(1-Y926/'01_설정'!B32))*'01_설정'!B31)</f>
        <v/>
      </c>
    </row>
    <row r="927" ht="17.25" customHeight="1">
      <c r="A927" s="152">
        <f>IF(INDEX('04A_국토부원자료'!$A:$A,ROW()+1)="","",ROW()-3)</f>
        <v/>
      </c>
      <c r="B927" s="48">
        <f>IFERROR(INDEX('04A_국토부원자료'!$A:$T,ROW()+1,MATCH("시군구",'04A_국토부원자료'!$A$4:$T$4,0)),"")</f>
        <v/>
      </c>
      <c r="C927" s="48">
        <f>IF(B927="","",IFERROR(INDEX('04A_국토부원자료'!$A:$T,ROW()+1,MATCH("번지",'04A_국토부원자료'!$A$4:$T$4,0)),""))</f>
        <v/>
      </c>
      <c r="D927" s="48">
        <f>IF(B927="","",IF(Q927=1,'02_대상물건입력'!$B$8,IFERROR(INDEX('04A_국토부원자료'!$A:$T,ROW()+1,MATCH("단지명",'04A_국토부원자료'!$A$4:$T$4,0)),"")))</f>
        <v/>
      </c>
      <c r="E927" s="172">
        <f>IFERROR(VALUE(SUBSTITUTE(INDEX('04A_국토부원자료'!$A:$T,ROW()+1,MATCH("전용면적(㎡)",'04A_국토부원자료'!$A$4:$T$4,0)),",","")),"")</f>
        <v/>
      </c>
      <c r="F9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27" s="51">
        <f>IFERROR(VALUE(SUBSTITUTE(INDEX('04A_국토부원자료'!$A:$T,ROW()+1,MATCH("거래금액(만원)",'04A_국토부원자료'!$A$4:$T$4,0)),",","")),"")</f>
        <v/>
      </c>
      <c r="H927" s="174">
        <f>IF(G927="","",G927*10000)</f>
        <v/>
      </c>
      <c r="I927" s="174">
        <f>IFERROR(IF(AND(H927&gt;0,E927&gt;0),H927/E927,""),"")</f>
        <v/>
      </c>
      <c r="J927" s="152">
        <f>IFERROR(VALUE(SUBSTITUTE(INDEX('04A_국토부원자료'!$A:$T,ROW()+1,MATCH("층",'04A_국토부원자료'!$A$4:$T$4,0)),",","")),"")</f>
        <v/>
      </c>
      <c r="K927" s="152">
        <f>IFERROR(VALUE(SUBSTITUTE(INDEX('04A_국토부원자료'!$A:$T,ROW()+1,MATCH("건축년도",'04A_국토부원자료'!$A$4:$T$4,0)),",","")),"")</f>
        <v/>
      </c>
      <c r="L927" s="176">
        <f>IFERROR(INDEX('04A_국토부원자료'!$A:$T,ROW()+1,MATCH("도로명",'04A_국토부원자료'!$A$4:$T$4,0)),"")</f>
        <v/>
      </c>
      <c r="M927" s="48">
        <f>IFERROR(INDEX('04A_국토부원자료'!$A:$T,ROW()+1,MATCH("거래유형",'04A_국토부원자료'!$A$4:$T$4,0)),"")</f>
        <v/>
      </c>
      <c r="N927" s="152">
        <f>IF(B927="","",IF('02_대상물건입력'!B5="",1,IF(ISNUMBER(SEARCH('02_대상물건입력'!B5,B927)),1,0)))</f>
        <v/>
      </c>
      <c r="O927" s="152">
        <f>IF(B927="","",IF('02_대상물건입력'!B6="",1,IF(ISNUMBER(SEARCH('02_대상물건입력'!B6,B927)),1,0)))</f>
        <v/>
      </c>
      <c r="P927" s="152">
        <f>IF(L927="","",IF('02_대상물건입력'!B15="",0,IF(ISNUMBER(SEARCH('02_대상물건입력'!B15,L927)),1,0)))</f>
        <v/>
      </c>
      <c r="Q927" s="152">
        <f>IF(OR(C927="",L927=""),0,IF(AND(TRIM(C927)=TRIM(RIGHT(SUBSTITUTE(TRIM('02_대상물건입력'!$B$7)," ",REPT(" ",99)),99)),IF('02_대상물건입력'!B15="",TRUE(),ISNUMBER(SEARCH('02_대상물건입력'!B15,L927)))),1,0))</f>
        <v/>
      </c>
      <c r="R927" s="175">
        <f>IFERROR(ABS(E927-'02_대상물건입력'!B11)/'02_대상물건입력'!B11,"")</f>
        <v/>
      </c>
      <c r="S927" s="152">
        <f>IFERROR(ABS(J927-'02_대상물건입력'!B10),"")</f>
        <v/>
      </c>
      <c r="T927" s="152">
        <f>IFERROR(ABS('01_설정'!B4-F927),"")</f>
        <v/>
      </c>
      <c r="U927" s="152">
        <f>IFERROR(ABS(K927-YEAR('02_대상물건입력'!B14)),"")</f>
        <v/>
      </c>
      <c r="V927" s="152">
        <f>IF(B927="","",IF(AND(E927&gt;0,F927&gt;0,H927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927=1,TRUE()),R927&lt;='01_설정'!B5,S927&lt;='01_설정'!B6,T927&lt;='01_설정'!B7,U927&lt;='01_설정'!B8),"Y",""))</f>
        <v/>
      </c>
      <c r="W927" s="172">
        <f>IF(V927&lt;&gt;"Y","",MAX(0,(1-R927/'01_설정'!B5))*'01_설정'!B14+MAX(0,(1-S927/'01_설정'!B6))*'01_설정'!B15+MAX(0,(1-T927/'01_설정'!B7))*'01_설정'!B16+MAX(0,(1-U927/'01_설정'!B8))*'01_설정'!B17+O927*'01_설정'!B11+Q927*'01_설정'!B12+P927*'01_설정'!B13+IF(Z927="",0,Z927))</f>
        <v/>
      </c>
      <c r="X927" s="152">
        <f>IF(W927="","",1+COUNTIFS($W$4:$W$3003,"&gt;"&amp;W927)+COUNTIFS($W$4:W927,W927)-1)</f>
        <v/>
      </c>
      <c r="Y927" s="175">
        <f>IF(OR(I927="",'02_대상물건입력'!B19="",'02_대상물건입력'!B19&lt;=0),"",ABS(I927-'02_대상물건입력'!B19)/'02_대상물건입력'!B19)</f>
        <v/>
      </c>
      <c r="Z927" s="172">
        <f>IF(OR(Y927="",'01_설정'!B31="",'01_설정'!B31&lt;=0,'01_설정'!B32="",'01_설정'!B32&lt;=0),"",MAX(0,(1-Y927/'01_설정'!B32))*'01_설정'!B31)</f>
        <v/>
      </c>
    </row>
    <row r="928" ht="17.25" customHeight="1">
      <c r="A928" s="152">
        <f>IF(INDEX('04A_국토부원자료'!$A:$A,ROW()+1)="","",ROW()-3)</f>
        <v/>
      </c>
      <c r="B928" s="48">
        <f>IFERROR(INDEX('04A_국토부원자료'!$A:$T,ROW()+1,MATCH("시군구",'04A_국토부원자료'!$A$4:$T$4,0)),"")</f>
        <v/>
      </c>
      <c r="C928" s="48">
        <f>IF(B928="","",IFERROR(INDEX('04A_국토부원자료'!$A:$T,ROW()+1,MATCH("번지",'04A_국토부원자료'!$A$4:$T$4,0)),""))</f>
        <v/>
      </c>
      <c r="D928" s="48">
        <f>IF(B928="","",IF(Q928=1,'02_대상물건입력'!$B$8,IFERROR(INDEX('04A_국토부원자료'!$A:$T,ROW()+1,MATCH("단지명",'04A_국토부원자료'!$A$4:$T$4,0)),"")))</f>
        <v/>
      </c>
      <c r="E928" s="172">
        <f>IFERROR(VALUE(SUBSTITUTE(INDEX('04A_국토부원자료'!$A:$T,ROW()+1,MATCH("전용면적(㎡)",'04A_국토부원자료'!$A$4:$T$4,0)),",","")),"")</f>
        <v/>
      </c>
      <c r="F9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28" s="51">
        <f>IFERROR(VALUE(SUBSTITUTE(INDEX('04A_국토부원자료'!$A:$T,ROW()+1,MATCH("거래금액(만원)",'04A_국토부원자료'!$A$4:$T$4,0)),",","")),"")</f>
        <v/>
      </c>
      <c r="H928" s="174">
        <f>IF(G928="","",G928*10000)</f>
        <v/>
      </c>
      <c r="I928" s="174">
        <f>IFERROR(IF(AND(H928&gt;0,E928&gt;0),H928/E928,""),"")</f>
        <v/>
      </c>
      <c r="J928" s="152">
        <f>IFERROR(VALUE(SUBSTITUTE(INDEX('04A_국토부원자료'!$A:$T,ROW()+1,MATCH("층",'04A_국토부원자료'!$A$4:$T$4,0)),",","")),"")</f>
        <v/>
      </c>
      <c r="K928" s="152">
        <f>IFERROR(VALUE(SUBSTITUTE(INDEX('04A_국토부원자료'!$A:$T,ROW()+1,MATCH("건축년도",'04A_국토부원자료'!$A$4:$T$4,0)),",","")),"")</f>
        <v/>
      </c>
      <c r="L928" s="176">
        <f>IFERROR(INDEX('04A_국토부원자료'!$A:$T,ROW()+1,MATCH("도로명",'04A_국토부원자료'!$A$4:$T$4,0)),"")</f>
        <v/>
      </c>
      <c r="M928" s="48">
        <f>IFERROR(INDEX('04A_국토부원자료'!$A:$T,ROW()+1,MATCH("거래유형",'04A_국토부원자료'!$A$4:$T$4,0)),"")</f>
        <v/>
      </c>
      <c r="N928" s="152">
        <f>IF(B928="","",IF('02_대상물건입력'!B5="",1,IF(ISNUMBER(SEARCH('02_대상물건입력'!B5,B928)),1,0)))</f>
        <v/>
      </c>
      <c r="O928" s="152">
        <f>IF(B928="","",IF('02_대상물건입력'!B6="",1,IF(ISNUMBER(SEARCH('02_대상물건입력'!B6,B928)),1,0)))</f>
        <v/>
      </c>
      <c r="P928" s="152">
        <f>IF(L928="","",IF('02_대상물건입력'!B15="",0,IF(ISNUMBER(SEARCH('02_대상물건입력'!B15,L928)),1,0)))</f>
        <v/>
      </c>
      <c r="Q928" s="152">
        <f>IF(OR(C928="",L928=""),0,IF(AND(TRIM(C928)=TRIM(RIGHT(SUBSTITUTE(TRIM('02_대상물건입력'!$B$7)," ",REPT(" ",99)),99)),IF('02_대상물건입력'!B15="",TRUE(),ISNUMBER(SEARCH('02_대상물건입력'!B15,L928)))),1,0))</f>
        <v/>
      </c>
      <c r="R928" s="175">
        <f>IFERROR(ABS(E928-'02_대상물건입력'!B11)/'02_대상물건입력'!B11,"")</f>
        <v/>
      </c>
      <c r="S928" s="152">
        <f>IFERROR(ABS(J928-'02_대상물건입력'!B10),"")</f>
        <v/>
      </c>
      <c r="T928" s="152">
        <f>IFERROR(ABS('01_설정'!B4-F928),"")</f>
        <v/>
      </c>
      <c r="U928" s="152">
        <f>IFERROR(ABS(K928-YEAR('02_대상물건입력'!B14)),"")</f>
        <v/>
      </c>
      <c r="V928" s="152">
        <f>IF(B928="","",IF(AND(E928&gt;0,F928&gt;0,H928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928=1,TRUE()),R928&lt;='01_설정'!B5,S928&lt;='01_설정'!B6,T928&lt;='01_설정'!B7,U928&lt;='01_설정'!B8),"Y",""))</f>
        <v/>
      </c>
      <c r="W928" s="172">
        <f>IF(V928&lt;&gt;"Y","",MAX(0,(1-R928/'01_설정'!B5))*'01_설정'!B14+MAX(0,(1-S928/'01_설정'!B6))*'01_설정'!B15+MAX(0,(1-T928/'01_설정'!B7))*'01_설정'!B16+MAX(0,(1-U928/'01_설정'!B8))*'01_설정'!B17+O928*'01_설정'!B11+Q928*'01_설정'!B12+P928*'01_설정'!B13+IF(Z928="",0,Z928))</f>
        <v/>
      </c>
      <c r="X928" s="152">
        <f>IF(W928="","",1+COUNTIFS($W$4:$W$3003,"&gt;"&amp;W928)+COUNTIFS($W$4:W928,W928)-1)</f>
        <v/>
      </c>
      <c r="Y928" s="175">
        <f>IF(OR(I928="",'02_대상물건입력'!B19="",'02_대상물건입력'!B19&lt;=0),"",ABS(I928-'02_대상물건입력'!B19)/'02_대상물건입력'!B19)</f>
        <v/>
      </c>
      <c r="Z928" s="172">
        <f>IF(OR(Y928="",'01_설정'!B31="",'01_설정'!B31&lt;=0,'01_설정'!B32="",'01_설정'!B32&lt;=0),"",MAX(0,(1-Y928/'01_설정'!B32))*'01_설정'!B31)</f>
        <v/>
      </c>
    </row>
    <row r="929" ht="17.25" customHeight="1">
      <c r="A929" s="152">
        <f>IF(INDEX('04A_국토부원자료'!$A:$A,ROW()+1)="","",ROW()-3)</f>
        <v/>
      </c>
      <c r="B929" s="48">
        <f>IFERROR(INDEX('04A_국토부원자료'!$A:$T,ROW()+1,MATCH("시군구",'04A_국토부원자료'!$A$4:$T$4,0)),"")</f>
        <v/>
      </c>
      <c r="C929" s="48">
        <f>IF(B929="","",IFERROR(INDEX('04A_국토부원자료'!$A:$T,ROW()+1,MATCH("번지",'04A_국토부원자료'!$A$4:$T$4,0)),""))</f>
        <v/>
      </c>
      <c r="D929" s="48">
        <f>IF(B929="","",IF(Q929=1,'02_대상물건입력'!$B$8,IFERROR(INDEX('04A_국토부원자료'!$A:$T,ROW()+1,MATCH("단지명",'04A_국토부원자료'!$A$4:$T$4,0)),"")))</f>
        <v/>
      </c>
      <c r="E929" s="172">
        <f>IFERROR(VALUE(SUBSTITUTE(INDEX('04A_국토부원자료'!$A:$T,ROW()+1,MATCH("전용면적(㎡)",'04A_국토부원자료'!$A$4:$T$4,0)),",","")),"")</f>
        <v/>
      </c>
      <c r="F9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29" s="51">
        <f>IFERROR(VALUE(SUBSTITUTE(INDEX('04A_국토부원자료'!$A:$T,ROW()+1,MATCH("거래금액(만원)",'04A_국토부원자료'!$A$4:$T$4,0)),",","")),"")</f>
        <v/>
      </c>
      <c r="H929" s="174">
        <f>IF(G929="","",G929*10000)</f>
        <v/>
      </c>
      <c r="I929" s="174">
        <f>IFERROR(IF(AND(H929&gt;0,E929&gt;0),H929/E929,""),"")</f>
        <v/>
      </c>
      <c r="J929" s="152">
        <f>IFERROR(VALUE(SUBSTITUTE(INDEX('04A_국토부원자료'!$A:$T,ROW()+1,MATCH("층",'04A_국토부원자료'!$A$4:$T$4,0)),",","")),"")</f>
        <v/>
      </c>
      <c r="K929" s="152">
        <f>IFERROR(VALUE(SUBSTITUTE(INDEX('04A_국토부원자료'!$A:$T,ROW()+1,MATCH("건축년도",'04A_국토부원자료'!$A$4:$T$4,0)),",","")),"")</f>
        <v/>
      </c>
      <c r="L929" s="176">
        <f>IFERROR(INDEX('04A_국토부원자료'!$A:$T,ROW()+1,MATCH("도로명",'04A_국토부원자료'!$A$4:$T$4,0)),"")</f>
        <v/>
      </c>
      <c r="M929" s="48">
        <f>IFERROR(INDEX('04A_국토부원자료'!$A:$T,ROW()+1,MATCH("거래유형",'04A_국토부원자료'!$A$4:$T$4,0)),"")</f>
        <v/>
      </c>
      <c r="N929" s="152">
        <f>IF(B929="","",IF('02_대상물건입력'!B5="",1,IF(ISNUMBER(SEARCH('02_대상물건입력'!B5,B929)),1,0)))</f>
        <v/>
      </c>
      <c r="O929" s="152">
        <f>IF(B929="","",IF('02_대상물건입력'!B6="",1,IF(ISNUMBER(SEARCH('02_대상물건입력'!B6,B929)),1,0)))</f>
        <v/>
      </c>
      <c r="P929" s="152">
        <f>IF(L929="","",IF('02_대상물건입력'!B15="",0,IF(ISNUMBER(SEARCH('02_대상물건입력'!B15,L929)),1,0)))</f>
        <v/>
      </c>
      <c r="Q929" s="152">
        <f>IF(OR(C929="",L929=""),0,IF(AND(TRIM(C929)=TRIM(RIGHT(SUBSTITUTE(TRIM('02_대상물건입력'!$B$7)," ",REPT(" ",99)),99)),IF('02_대상물건입력'!B15="",TRUE(),ISNUMBER(SEARCH('02_대상물건입력'!B15,L929)))),1,0))</f>
        <v/>
      </c>
      <c r="R929" s="175">
        <f>IFERROR(ABS(E929-'02_대상물건입력'!B11)/'02_대상물건입력'!B11,"")</f>
        <v/>
      </c>
      <c r="S929" s="152">
        <f>IFERROR(ABS(J929-'02_대상물건입력'!B10),"")</f>
        <v/>
      </c>
      <c r="T929" s="152">
        <f>IFERROR(ABS('01_설정'!B4-F929),"")</f>
        <v/>
      </c>
      <c r="U929" s="152">
        <f>IFERROR(ABS(K929-YEAR('02_대상물건입력'!B14)),"")</f>
        <v/>
      </c>
      <c r="V929" s="152">
        <f>IF(B929="","",IF(AND(E929&gt;0,F929&gt;0,H929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929=1,TRUE()),R929&lt;='01_설정'!B5,S929&lt;='01_설정'!B6,T929&lt;='01_설정'!B7,U929&lt;='01_설정'!B8),"Y",""))</f>
        <v/>
      </c>
      <c r="W929" s="172">
        <f>IF(V929&lt;&gt;"Y","",MAX(0,(1-R929/'01_설정'!B5))*'01_설정'!B14+MAX(0,(1-S929/'01_설정'!B6))*'01_설정'!B15+MAX(0,(1-T929/'01_설정'!B7))*'01_설정'!B16+MAX(0,(1-U929/'01_설정'!B8))*'01_설정'!B17+O929*'01_설정'!B11+Q929*'01_설정'!B12+P929*'01_설정'!B13+IF(Z929="",0,Z929))</f>
        <v/>
      </c>
      <c r="X929" s="152">
        <f>IF(W929="","",1+COUNTIFS($W$4:$W$3003,"&gt;"&amp;W929)+COUNTIFS($W$4:W929,W929)-1)</f>
        <v/>
      </c>
      <c r="Y929" s="175">
        <f>IF(OR(I929="",'02_대상물건입력'!B19="",'02_대상물건입력'!B19&lt;=0),"",ABS(I929-'02_대상물건입력'!B19)/'02_대상물건입력'!B19)</f>
        <v/>
      </c>
      <c r="Z929" s="172">
        <f>IF(OR(Y929="",'01_설정'!B31="",'01_설정'!B31&lt;=0,'01_설정'!B32="",'01_설정'!B32&lt;=0),"",MAX(0,(1-Y929/'01_설정'!B32))*'01_설정'!B31)</f>
        <v/>
      </c>
    </row>
    <row r="930" ht="17.25" customHeight="1">
      <c r="A930" s="152">
        <f>IF(INDEX('04A_국토부원자료'!$A:$A,ROW()+1)="","",ROW()-3)</f>
        <v/>
      </c>
      <c r="B930" s="48">
        <f>IFERROR(INDEX('04A_국토부원자료'!$A:$T,ROW()+1,MATCH("시군구",'04A_국토부원자료'!$A$4:$T$4,0)),"")</f>
        <v/>
      </c>
      <c r="C930" s="48">
        <f>IF(B930="","",IFERROR(INDEX('04A_국토부원자료'!$A:$T,ROW()+1,MATCH("번지",'04A_국토부원자료'!$A$4:$T$4,0)),""))</f>
        <v/>
      </c>
      <c r="D930" s="48">
        <f>IF(B930="","",IF(Q930=1,'02_대상물건입력'!$B$8,IFERROR(INDEX('04A_국토부원자료'!$A:$T,ROW()+1,MATCH("단지명",'04A_국토부원자료'!$A$4:$T$4,0)),"")))</f>
        <v/>
      </c>
      <c r="E930" s="172">
        <f>IFERROR(VALUE(SUBSTITUTE(INDEX('04A_국토부원자료'!$A:$T,ROW()+1,MATCH("전용면적(㎡)",'04A_국토부원자료'!$A$4:$T$4,0)),",","")),"")</f>
        <v/>
      </c>
      <c r="F9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30" s="51">
        <f>IFERROR(VALUE(SUBSTITUTE(INDEX('04A_국토부원자료'!$A:$T,ROW()+1,MATCH("거래금액(만원)",'04A_국토부원자료'!$A$4:$T$4,0)),",","")),"")</f>
        <v/>
      </c>
      <c r="H930" s="174">
        <f>IF(G930="","",G930*10000)</f>
        <v/>
      </c>
      <c r="I930" s="174">
        <f>IFERROR(IF(AND(H930&gt;0,E930&gt;0),H930/E930,""),"")</f>
        <v/>
      </c>
      <c r="J930" s="152">
        <f>IFERROR(VALUE(SUBSTITUTE(INDEX('04A_국토부원자료'!$A:$T,ROW()+1,MATCH("층",'04A_국토부원자료'!$A$4:$T$4,0)),",","")),"")</f>
        <v/>
      </c>
      <c r="K930" s="152">
        <f>IFERROR(VALUE(SUBSTITUTE(INDEX('04A_국토부원자료'!$A:$T,ROW()+1,MATCH("건축년도",'04A_국토부원자료'!$A$4:$T$4,0)),",","")),"")</f>
        <v/>
      </c>
      <c r="L930" s="176">
        <f>IFERROR(INDEX('04A_국토부원자료'!$A:$T,ROW()+1,MATCH("도로명",'04A_국토부원자료'!$A$4:$T$4,0)),"")</f>
        <v/>
      </c>
      <c r="M930" s="48">
        <f>IFERROR(INDEX('04A_국토부원자료'!$A:$T,ROW()+1,MATCH("거래유형",'04A_국토부원자료'!$A$4:$T$4,0)),"")</f>
        <v/>
      </c>
      <c r="N930" s="152">
        <f>IF(B930="","",IF('02_대상물건입력'!B5="",1,IF(ISNUMBER(SEARCH('02_대상물건입력'!B5,B930)),1,0)))</f>
        <v/>
      </c>
      <c r="O930" s="152">
        <f>IF(B930="","",IF('02_대상물건입력'!B6="",1,IF(ISNUMBER(SEARCH('02_대상물건입력'!B6,B930)),1,0)))</f>
        <v/>
      </c>
      <c r="P930" s="152">
        <f>IF(L930="","",IF('02_대상물건입력'!B15="",0,IF(ISNUMBER(SEARCH('02_대상물건입력'!B15,L930)),1,0)))</f>
        <v/>
      </c>
      <c r="Q930" s="152">
        <f>IF(OR(C930="",L930=""),0,IF(AND(TRIM(C930)=TRIM(RIGHT(SUBSTITUTE(TRIM('02_대상물건입력'!$B$7)," ",REPT(" ",99)),99)),IF('02_대상물건입력'!B15="",TRUE(),ISNUMBER(SEARCH('02_대상물건입력'!B15,L930)))),1,0))</f>
        <v/>
      </c>
      <c r="R930" s="175">
        <f>IFERROR(ABS(E930-'02_대상물건입력'!B11)/'02_대상물건입력'!B11,"")</f>
        <v/>
      </c>
      <c r="S930" s="152">
        <f>IFERROR(ABS(J930-'02_대상물건입력'!B10),"")</f>
        <v/>
      </c>
      <c r="T930" s="152">
        <f>IFERROR(ABS('01_설정'!B4-F930),"")</f>
        <v/>
      </c>
      <c r="U930" s="152">
        <f>IFERROR(ABS(K930-YEAR('02_대상물건입력'!B14)),"")</f>
        <v/>
      </c>
      <c r="V930" s="152">
        <f>IF(B930="","",IF(AND(E930&gt;0,F930&gt;0,H930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930=1,TRUE()),R930&lt;='01_설정'!B5,S930&lt;='01_설정'!B6,T930&lt;='01_설정'!B7,U930&lt;='01_설정'!B8),"Y",""))</f>
        <v/>
      </c>
      <c r="W930" s="172">
        <f>IF(V930&lt;&gt;"Y","",MAX(0,(1-R930/'01_설정'!B5))*'01_설정'!B14+MAX(0,(1-S930/'01_설정'!B6))*'01_설정'!B15+MAX(0,(1-T930/'01_설정'!B7))*'01_설정'!B16+MAX(0,(1-U930/'01_설정'!B8))*'01_설정'!B17+O930*'01_설정'!B11+Q930*'01_설정'!B12+P930*'01_설정'!B13+IF(Z930="",0,Z930))</f>
        <v/>
      </c>
      <c r="X930" s="152">
        <f>IF(W930="","",1+COUNTIFS($W$4:$W$3003,"&gt;"&amp;W930)+COUNTIFS($W$4:W930,W930)-1)</f>
        <v/>
      </c>
      <c r="Y930" s="175">
        <f>IF(OR(I930="",'02_대상물건입력'!B19="",'02_대상물건입력'!B19&lt;=0),"",ABS(I930-'02_대상물건입력'!B19)/'02_대상물건입력'!B19)</f>
        <v/>
      </c>
      <c r="Z930" s="172">
        <f>IF(OR(Y930="",'01_설정'!B31="",'01_설정'!B31&lt;=0,'01_설정'!B32="",'01_설정'!B32&lt;=0),"",MAX(0,(1-Y930/'01_설정'!B32))*'01_설정'!B31)</f>
        <v/>
      </c>
    </row>
    <row r="931" ht="17.25" customHeight="1">
      <c r="A931" s="152">
        <f>IF(INDEX('04A_국토부원자료'!$A:$A,ROW()+1)="","",ROW()-3)</f>
        <v/>
      </c>
      <c r="B931" s="48">
        <f>IFERROR(INDEX('04A_국토부원자료'!$A:$T,ROW()+1,MATCH("시군구",'04A_국토부원자료'!$A$4:$T$4,0)),"")</f>
        <v/>
      </c>
      <c r="C931" s="48">
        <f>IF(B931="","",IFERROR(INDEX('04A_국토부원자료'!$A:$T,ROW()+1,MATCH("번지",'04A_국토부원자료'!$A$4:$T$4,0)),""))</f>
        <v/>
      </c>
      <c r="D931" s="48">
        <f>IF(B931="","",IF(Q931=1,'02_대상물건입력'!$B$8,IFERROR(INDEX('04A_국토부원자료'!$A:$T,ROW()+1,MATCH("단지명",'04A_국토부원자료'!$A$4:$T$4,0)),"")))</f>
        <v/>
      </c>
      <c r="E931" s="172">
        <f>IFERROR(VALUE(SUBSTITUTE(INDEX('04A_국토부원자료'!$A:$T,ROW()+1,MATCH("전용면적(㎡)",'04A_국토부원자료'!$A$4:$T$4,0)),",","")),"")</f>
        <v/>
      </c>
      <c r="F9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31" s="51">
        <f>IFERROR(VALUE(SUBSTITUTE(INDEX('04A_국토부원자료'!$A:$T,ROW()+1,MATCH("거래금액(만원)",'04A_국토부원자료'!$A$4:$T$4,0)),",","")),"")</f>
        <v/>
      </c>
      <c r="H931" s="174">
        <f>IF(G931="","",G931*10000)</f>
        <v/>
      </c>
      <c r="I931" s="174">
        <f>IFERROR(IF(AND(H931&gt;0,E931&gt;0),H931/E931,""),"")</f>
        <v/>
      </c>
      <c r="J931" s="152">
        <f>IFERROR(VALUE(SUBSTITUTE(INDEX('04A_국토부원자료'!$A:$T,ROW()+1,MATCH("층",'04A_국토부원자료'!$A$4:$T$4,0)),",","")),"")</f>
        <v/>
      </c>
      <c r="K931" s="152">
        <f>IFERROR(VALUE(SUBSTITUTE(INDEX('04A_국토부원자료'!$A:$T,ROW()+1,MATCH("건축년도",'04A_국토부원자료'!$A$4:$T$4,0)),",","")),"")</f>
        <v/>
      </c>
      <c r="L931" s="176">
        <f>IFERROR(INDEX('04A_국토부원자료'!$A:$T,ROW()+1,MATCH("도로명",'04A_국토부원자료'!$A$4:$T$4,0)),"")</f>
        <v/>
      </c>
      <c r="M931" s="48">
        <f>IFERROR(INDEX('04A_국토부원자료'!$A:$T,ROW()+1,MATCH("거래유형",'04A_국토부원자료'!$A$4:$T$4,0)),"")</f>
        <v/>
      </c>
      <c r="N931" s="152">
        <f>IF(B931="","",IF('02_대상물건입력'!B5="",1,IF(ISNUMBER(SEARCH('02_대상물건입력'!B5,B931)),1,0)))</f>
        <v/>
      </c>
      <c r="O931" s="152">
        <f>IF(B931="","",IF('02_대상물건입력'!B6="",1,IF(ISNUMBER(SEARCH('02_대상물건입력'!B6,B931)),1,0)))</f>
        <v/>
      </c>
      <c r="P931" s="152">
        <f>IF(L931="","",IF('02_대상물건입력'!B15="",0,IF(ISNUMBER(SEARCH('02_대상물건입력'!B15,L931)),1,0)))</f>
        <v/>
      </c>
      <c r="Q931" s="152">
        <f>IF(OR(C931="",L931=""),0,IF(AND(TRIM(C931)=TRIM(RIGHT(SUBSTITUTE(TRIM('02_대상물건입력'!$B$7)," ",REPT(" ",99)),99)),IF('02_대상물건입력'!B15="",TRUE(),ISNUMBER(SEARCH('02_대상물건입력'!B15,L931)))),1,0))</f>
        <v/>
      </c>
      <c r="R931" s="175">
        <f>IFERROR(ABS(E931-'02_대상물건입력'!B11)/'02_대상물건입력'!B11,"")</f>
        <v/>
      </c>
      <c r="S931" s="152">
        <f>IFERROR(ABS(J931-'02_대상물건입력'!B10),"")</f>
        <v/>
      </c>
      <c r="T931" s="152">
        <f>IFERROR(ABS('01_설정'!B4-F931),"")</f>
        <v/>
      </c>
      <c r="U931" s="152">
        <f>IFERROR(ABS(K931-YEAR('02_대상물건입력'!B14)),"")</f>
        <v/>
      </c>
      <c r="V931" s="152">
        <f>IF(B931="","",IF(AND(E931&gt;0,F931&gt;0,H931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931=1,TRUE()),R931&lt;='01_설정'!B5,S931&lt;='01_설정'!B6,T931&lt;='01_설정'!B7,U931&lt;='01_설정'!B8),"Y",""))</f>
        <v/>
      </c>
      <c r="W931" s="172">
        <f>IF(V931&lt;&gt;"Y","",MAX(0,(1-R931/'01_설정'!B5))*'01_설정'!B14+MAX(0,(1-S931/'01_설정'!B6))*'01_설정'!B15+MAX(0,(1-T931/'01_설정'!B7))*'01_설정'!B16+MAX(0,(1-U931/'01_설정'!B8))*'01_설정'!B17+O931*'01_설정'!B11+Q931*'01_설정'!B12+P931*'01_설정'!B13+IF(Z931="",0,Z931))</f>
        <v/>
      </c>
      <c r="X931" s="152">
        <f>IF(W931="","",1+COUNTIFS($W$4:$W$3003,"&gt;"&amp;W931)+COUNTIFS($W$4:W931,W931)-1)</f>
        <v/>
      </c>
      <c r="Y931" s="175">
        <f>IF(OR(I931="",'02_대상물건입력'!B19="",'02_대상물건입력'!B19&lt;=0),"",ABS(I931-'02_대상물건입력'!B19)/'02_대상물건입력'!B19)</f>
        <v/>
      </c>
      <c r="Z931" s="172">
        <f>IF(OR(Y931="",'01_설정'!B31="",'01_설정'!B31&lt;=0,'01_설정'!B32="",'01_설정'!B32&lt;=0),"",MAX(0,(1-Y931/'01_설정'!B32))*'01_설정'!B31)</f>
        <v/>
      </c>
    </row>
    <row r="932" ht="17.25" customHeight="1">
      <c r="A932" s="152">
        <f>IF(INDEX('04A_국토부원자료'!$A:$A,ROW()+1)="","",ROW()-3)</f>
        <v/>
      </c>
      <c r="B932" s="48">
        <f>IFERROR(INDEX('04A_국토부원자료'!$A:$T,ROW()+1,MATCH("시군구",'04A_국토부원자료'!$A$4:$T$4,0)),"")</f>
        <v/>
      </c>
      <c r="C932" s="48">
        <f>IF(B932="","",IFERROR(INDEX('04A_국토부원자료'!$A:$T,ROW()+1,MATCH("번지",'04A_국토부원자료'!$A$4:$T$4,0)),""))</f>
        <v/>
      </c>
      <c r="D932" s="48">
        <f>IF(B932="","",IF(Q932=1,'02_대상물건입력'!$B$8,IFERROR(INDEX('04A_국토부원자료'!$A:$T,ROW()+1,MATCH("단지명",'04A_국토부원자료'!$A$4:$T$4,0)),"")))</f>
        <v/>
      </c>
      <c r="E932" s="172">
        <f>IFERROR(VALUE(SUBSTITUTE(INDEX('04A_국토부원자료'!$A:$T,ROW()+1,MATCH("전용면적(㎡)",'04A_국토부원자료'!$A$4:$T$4,0)),",","")),"")</f>
        <v/>
      </c>
      <c r="F9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32" s="51">
        <f>IFERROR(VALUE(SUBSTITUTE(INDEX('04A_국토부원자료'!$A:$T,ROW()+1,MATCH("거래금액(만원)",'04A_국토부원자료'!$A$4:$T$4,0)),",","")),"")</f>
        <v/>
      </c>
      <c r="H932" s="174">
        <f>IF(G932="","",G932*10000)</f>
        <v/>
      </c>
      <c r="I932" s="174">
        <f>IFERROR(IF(AND(H932&gt;0,E932&gt;0),H932/E932,""),"")</f>
        <v/>
      </c>
      <c r="J932" s="152">
        <f>IFERROR(VALUE(SUBSTITUTE(INDEX('04A_국토부원자료'!$A:$T,ROW()+1,MATCH("층",'04A_국토부원자료'!$A$4:$T$4,0)),",","")),"")</f>
        <v/>
      </c>
      <c r="K932" s="152">
        <f>IFERROR(VALUE(SUBSTITUTE(INDEX('04A_국토부원자료'!$A:$T,ROW()+1,MATCH("건축년도",'04A_국토부원자료'!$A$4:$T$4,0)),",","")),"")</f>
        <v/>
      </c>
      <c r="L932" s="176">
        <f>IFERROR(INDEX('04A_국토부원자료'!$A:$T,ROW()+1,MATCH("도로명",'04A_국토부원자료'!$A$4:$T$4,0)),"")</f>
        <v/>
      </c>
      <c r="M932" s="48">
        <f>IFERROR(INDEX('04A_국토부원자료'!$A:$T,ROW()+1,MATCH("거래유형",'04A_국토부원자료'!$A$4:$T$4,0)),"")</f>
        <v/>
      </c>
      <c r="N932" s="152">
        <f>IF(B932="","",IF('02_대상물건입력'!B5="",1,IF(ISNUMBER(SEARCH('02_대상물건입력'!B5,B932)),1,0)))</f>
        <v/>
      </c>
      <c r="O932" s="152">
        <f>IF(B932="","",IF('02_대상물건입력'!B6="",1,IF(ISNUMBER(SEARCH('02_대상물건입력'!B6,B932)),1,0)))</f>
        <v/>
      </c>
      <c r="P932" s="152">
        <f>IF(L932="","",IF('02_대상물건입력'!B15="",0,IF(ISNUMBER(SEARCH('02_대상물건입력'!B15,L932)),1,0)))</f>
        <v/>
      </c>
      <c r="Q932" s="152">
        <f>IF(OR(C932="",L932=""),0,IF(AND(TRIM(C932)=TRIM(RIGHT(SUBSTITUTE(TRIM('02_대상물건입력'!$B$7)," ",REPT(" ",99)),99)),IF('02_대상물건입력'!B15="",TRUE(),ISNUMBER(SEARCH('02_대상물건입력'!B15,L932)))),1,0))</f>
        <v/>
      </c>
      <c r="R932" s="175">
        <f>IFERROR(ABS(E932-'02_대상물건입력'!B11)/'02_대상물건입력'!B11,"")</f>
        <v/>
      </c>
      <c r="S932" s="152">
        <f>IFERROR(ABS(J932-'02_대상물건입력'!B10),"")</f>
        <v/>
      </c>
      <c r="T932" s="152">
        <f>IFERROR(ABS('01_설정'!B4-F932),"")</f>
        <v/>
      </c>
      <c r="U932" s="152">
        <f>IFERROR(ABS(K932-YEAR('02_대상물건입력'!B14)),"")</f>
        <v/>
      </c>
      <c r="V932" s="152">
        <f>IF(B932="","",IF(AND(E932&gt;0,F932&gt;0,H932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932=1,TRUE()),R932&lt;='01_설정'!B5,S932&lt;='01_설정'!B6,T932&lt;='01_설정'!B7,U932&lt;='01_설정'!B8),"Y",""))</f>
        <v/>
      </c>
      <c r="W932" s="172">
        <f>IF(V932&lt;&gt;"Y","",MAX(0,(1-R932/'01_설정'!B5))*'01_설정'!B14+MAX(0,(1-S932/'01_설정'!B6))*'01_설정'!B15+MAX(0,(1-T932/'01_설정'!B7))*'01_설정'!B16+MAX(0,(1-U932/'01_설정'!B8))*'01_설정'!B17+O932*'01_설정'!B11+Q932*'01_설정'!B12+P932*'01_설정'!B13+IF(Z932="",0,Z932))</f>
        <v/>
      </c>
      <c r="X932" s="152">
        <f>IF(W932="","",1+COUNTIFS($W$4:$W$3003,"&gt;"&amp;W932)+COUNTIFS($W$4:W932,W932)-1)</f>
        <v/>
      </c>
      <c r="Y932" s="175">
        <f>IF(OR(I932="",'02_대상물건입력'!B19="",'02_대상물건입력'!B19&lt;=0),"",ABS(I932-'02_대상물건입력'!B19)/'02_대상물건입력'!B19)</f>
        <v/>
      </c>
      <c r="Z932" s="172">
        <f>IF(OR(Y932="",'01_설정'!B31="",'01_설정'!B31&lt;=0,'01_설정'!B32="",'01_설정'!B32&lt;=0),"",MAX(0,(1-Y932/'01_설정'!B32))*'01_설정'!B31)</f>
        <v/>
      </c>
    </row>
    <row r="933" ht="17.25" customHeight="1">
      <c r="A933" s="152">
        <f>IF(INDEX('04A_국토부원자료'!$A:$A,ROW()+1)="","",ROW()-3)</f>
        <v/>
      </c>
      <c r="B933" s="48">
        <f>IFERROR(INDEX('04A_국토부원자료'!$A:$T,ROW()+1,MATCH("시군구",'04A_국토부원자료'!$A$4:$T$4,0)),"")</f>
        <v/>
      </c>
      <c r="C933" s="48">
        <f>IF(B933="","",IFERROR(INDEX('04A_국토부원자료'!$A:$T,ROW()+1,MATCH("번지",'04A_국토부원자료'!$A$4:$T$4,0)),""))</f>
        <v/>
      </c>
      <c r="D933" s="48">
        <f>IF(B933="","",IF(Q933=1,'02_대상물건입력'!$B$8,IFERROR(INDEX('04A_국토부원자료'!$A:$T,ROW()+1,MATCH("단지명",'04A_국토부원자료'!$A$4:$T$4,0)),"")))</f>
        <v/>
      </c>
      <c r="E933" s="172">
        <f>IFERROR(VALUE(SUBSTITUTE(INDEX('04A_국토부원자료'!$A:$T,ROW()+1,MATCH("전용면적(㎡)",'04A_국토부원자료'!$A$4:$T$4,0)),",","")),"")</f>
        <v/>
      </c>
      <c r="F9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33" s="51">
        <f>IFERROR(VALUE(SUBSTITUTE(INDEX('04A_국토부원자료'!$A:$T,ROW()+1,MATCH("거래금액(만원)",'04A_국토부원자료'!$A$4:$T$4,0)),",","")),"")</f>
        <v/>
      </c>
      <c r="H933" s="174">
        <f>IF(G933="","",G933*10000)</f>
        <v/>
      </c>
      <c r="I933" s="174">
        <f>IFERROR(IF(AND(H933&gt;0,E933&gt;0),H933/E933,""),"")</f>
        <v/>
      </c>
      <c r="J933" s="152">
        <f>IFERROR(VALUE(SUBSTITUTE(INDEX('04A_국토부원자료'!$A:$T,ROW()+1,MATCH("층",'04A_국토부원자료'!$A$4:$T$4,0)),",","")),"")</f>
        <v/>
      </c>
      <c r="K933" s="152">
        <f>IFERROR(VALUE(SUBSTITUTE(INDEX('04A_국토부원자료'!$A:$T,ROW()+1,MATCH("건축년도",'04A_국토부원자료'!$A$4:$T$4,0)),",","")),"")</f>
        <v/>
      </c>
      <c r="L933" s="176">
        <f>IFERROR(INDEX('04A_국토부원자료'!$A:$T,ROW()+1,MATCH("도로명",'04A_국토부원자료'!$A$4:$T$4,0)),"")</f>
        <v/>
      </c>
      <c r="M933" s="48">
        <f>IFERROR(INDEX('04A_국토부원자료'!$A:$T,ROW()+1,MATCH("거래유형",'04A_국토부원자료'!$A$4:$T$4,0)),"")</f>
        <v/>
      </c>
      <c r="N933" s="152">
        <f>IF(B933="","",IF('02_대상물건입력'!B5="",1,IF(ISNUMBER(SEARCH('02_대상물건입력'!B5,B933)),1,0)))</f>
        <v/>
      </c>
      <c r="O933" s="152">
        <f>IF(B933="","",IF('02_대상물건입력'!B6="",1,IF(ISNUMBER(SEARCH('02_대상물건입력'!B6,B933)),1,0)))</f>
        <v/>
      </c>
      <c r="P933" s="152">
        <f>IF(L933="","",IF('02_대상물건입력'!B15="",0,IF(ISNUMBER(SEARCH('02_대상물건입력'!B15,L933)),1,0)))</f>
        <v/>
      </c>
      <c r="Q933" s="152">
        <f>IF(OR(C933="",L933=""),0,IF(AND(TRIM(C933)=TRIM(RIGHT(SUBSTITUTE(TRIM('02_대상물건입력'!$B$7)," ",REPT(" ",99)),99)),IF('02_대상물건입력'!B15="",TRUE(),ISNUMBER(SEARCH('02_대상물건입력'!B15,L933)))),1,0))</f>
        <v/>
      </c>
      <c r="R933" s="175">
        <f>IFERROR(ABS(E933-'02_대상물건입력'!B11)/'02_대상물건입력'!B11,"")</f>
        <v/>
      </c>
      <c r="S933" s="152">
        <f>IFERROR(ABS(J933-'02_대상물건입력'!B10),"")</f>
        <v/>
      </c>
      <c r="T933" s="152">
        <f>IFERROR(ABS('01_설정'!B4-F933),"")</f>
        <v/>
      </c>
      <c r="U933" s="152">
        <f>IFERROR(ABS(K933-YEAR('02_대상물건입력'!B14)),"")</f>
        <v/>
      </c>
      <c r="V933" s="152">
        <f>IF(B933="","",IF(AND(E933&gt;0,F933&gt;0,H933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933=1,TRUE()),R933&lt;='01_설정'!B5,S933&lt;='01_설정'!B6,T933&lt;='01_설정'!B7,U933&lt;='01_설정'!B8),"Y",""))</f>
        <v/>
      </c>
      <c r="W933" s="172">
        <f>IF(V933&lt;&gt;"Y","",MAX(0,(1-R933/'01_설정'!B5))*'01_설정'!B14+MAX(0,(1-S933/'01_설정'!B6))*'01_설정'!B15+MAX(0,(1-T933/'01_설정'!B7))*'01_설정'!B16+MAX(0,(1-U933/'01_설정'!B8))*'01_설정'!B17+O933*'01_설정'!B11+Q933*'01_설정'!B12+P933*'01_설정'!B13+IF(Z933="",0,Z933))</f>
        <v/>
      </c>
      <c r="X933" s="152">
        <f>IF(W933="","",1+COUNTIFS($W$4:$W$3003,"&gt;"&amp;W933)+COUNTIFS($W$4:W933,W933)-1)</f>
        <v/>
      </c>
      <c r="Y933" s="175">
        <f>IF(OR(I933="",'02_대상물건입력'!B19="",'02_대상물건입력'!B19&lt;=0),"",ABS(I933-'02_대상물건입력'!B19)/'02_대상물건입력'!B19)</f>
        <v/>
      </c>
      <c r="Z933" s="172">
        <f>IF(OR(Y933="",'01_설정'!B31="",'01_설정'!B31&lt;=0,'01_설정'!B32="",'01_설정'!B32&lt;=0),"",MAX(0,(1-Y933/'01_설정'!B32))*'01_설정'!B31)</f>
        <v/>
      </c>
    </row>
    <row r="934" ht="17.25" customHeight="1">
      <c r="A934" s="152">
        <f>IF(INDEX('04A_국토부원자료'!$A:$A,ROW()+1)="","",ROW()-3)</f>
        <v/>
      </c>
      <c r="B934" s="48">
        <f>IFERROR(INDEX('04A_국토부원자료'!$A:$T,ROW()+1,MATCH("시군구",'04A_국토부원자료'!$A$4:$T$4,0)),"")</f>
        <v/>
      </c>
      <c r="C934" s="48">
        <f>IF(B934="","",IFERROR(INDEX('04A_국토부원자료'!$A:$T,ROW()+1,MATCH("번지",'04A_국토부원자료'!$A$4:$T$4,0)),""))</f>
        <v/>
      </c>
      <c r="D934" s="48">
        <f>IF(B934="","",IF(Q934=1,'02_대상물건입력'!$B$8,IFERROR(INDEX('04A_국토부원자료'!$A:$T,ROW()+1,MATCH("단지명",'04A_국토부원자료'!$A$4:$T$4,0)),"")))</f>
        <v/>
      </c>
      <c r="E934" s="172">
        <f>IFERROR(VALUE(SUBSTITUTE(INDEX('04A_국토부원자료'!$A:$T,ROW()+1,MATCH("전용면적(㎡)",'04A_국토부원자료'!$A$4:$T$4,0)),",","")),"")</f>
        <v/>
      </c>
      <c r="F9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34" s="51">
        <f>IFERROR(VALUE(SUBSTITUTE(INDEX('04A_국토부원자료'!$A:$T,ROW()+1,MATCH("거래금액(만원)",'04A_국토부원자료'!$A$4:$T$4,0)),",","")),"")</f>
        <v/>
      </c>
      <c r="H934" s="174">
        <f>IF(G934="","",G934*10000)</f>
        <v/>
      </c>
      <c r="I934" s="174">
        <f>IFERROR(IF(AND(H934&gt;0,E934&gt;0),H934/E934,""),"")</f>
        <v/>
      </c>
      <c r="J934" s="152">
        <f>IFERROR(VALUE(SUBSTITUTE(INDEX('04A_국토부원자료'!$A:$T,ROW()+1,MATCH("층",'04A_국토부원자료'!$A$4:$T$4,0)),",","")),"")</f>
        <v/>
      </c>
      <c r="K934" s="152">
        <f>IFERROR(VALUE(SUBSTITUTE(INDEX('04A_국토부원자료'!$A:$T,ROW()+1,MATCH("건축년도",'04A_국토부원자료'!$A$4:$T$4,0)),",","")),"")</f>
        <v/>
      </c>
      <c r="L934" s="176">
        <f>IFERROR(INDEX('04A_국토부원자료'!$A:$T,ROW()+1,MATCH("도로명",'04A_국토부원자료'!$A$4:$T$4,0)),"")</f>
        <v/>
      </c>
      <c r="M934" s="48">
        <f>IFERROR(INDEX('04A_국토부원자료'!$A:$T,ROW()+1,MATCH("거래유형",'04A_국토부원자료'!$A$4:$T$4,0)),"")</f>
        <v/>
      </c>
      <c r="N934" s="152">
        <f>IF(B934="","",IF('02_대상물건입력'!B5="",1,IF(ISNUMBER(SEARCH('02_대상물건입력'!B5,B934)),1,0)))</f>
        <v/>
      </c>
      <c r="O934" s="152">
        <f>IF(B934="","",IF('02_대상물건입력'!B6="",1,IF(ISNUMBER(SEARCH('02_대상물건입력'!B6,B934)),1,0)))</f>
        <v/>
      </c>
      <c r="P934" s="152">
        <f>IF(L934="","",IF('02_대상물건입력'!B15="",0,IF(ISNUMBER(SEARCH('02_대상물건입력'!B15,L934)),1,0)))</f>
        <v/>
      </c>
      <c r="Q934" s="152">
        <f>IF(OR(C934="",L934=""),0,IF(AND(TRIM(C934)=TRIM(RIGHT(SUBSTITUTE(TRIM('02_대상물건입력'!$B$7)," ",REPT(" ",99)),99)),IF('02_대상물건입력'!B15="",TRUE(),ISNUMBER(SEARCH('02_대상물건입력'!B15,L934)))),1,0))</f>
        <v/>
      </c>
      <c r="R934" s="175">
        <f>IFERROR(ABS(E934-'02_대상물건입력'!B11)/'02_대상물건입력'!B11,"")</f>
        <v/>
      </c>
      <c r="S934" s="152">
        <f>IFERROR(ABS(J934-'02_대상물건입력'!B10),"")</f>
        <v/>
      </c>
      <c r="T934" s="152">
        <f>IFERROR(ABS('01_설정'!B4-F934),"")</f>
        <v/>
      </c>
      <c r="U934" s="152">
        <f>IFERROR(ABS(K934-YEAR('02_대상물건입력'!B14)),"")</f>
        <v/>
      </c>
      <c r="V934" s="152">
        <f>IF(B934="","",IF(AND(E934&gt;0,F934&gt;0,H934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934=1,TRUE()),R934&lt;='01_설정'!B5,S934&lt;='01_설정'!B6,T934&lt;='01_설정'!B7,U934&lt;='01_설정'!B8),"Y",""))</f>
        <v/>
      </c>
      <c r="W934" s="172">
        <f>IF(V934&lt;&gt;"Y","",MAX(0,(1-R934/'01_설정'!B5))*'01_설정'!B14+MAX(0,(1-S934/'01_설정'!B6))*'01_설정'!B15+MAX(0,(1-T934/'01_설정'!B7))*'01_설정'!B16+MAX(0,(1-U934/'01_설정'!B8))*'01_설정'!B17+O934*'01_설정'!B11+Q934*'01_설정'!B12+P934*'01_설정'!B13+IF(Z934="",0,Z934))</f>
        <v/>
      </c>
      <c r="X934" s="152">
        <f>IF(W934="","",1+COUNTIFS($W$4:$W$3003,"&gt;"&amp;W934)+COUNTIFS($W$4:W934,W934)-1)</f>
        <v/>
      </c>
      <c r="Y934" s="175">
        <f>IF(OR(I934="",'02_대상물건입력'!B19="",'02_대상물건입력'!B19&lt;=0),"",ABS(I934-'02_대상물건입력'!B19)/'02_대상물건입력'!B19)</f>
        <v/>
      </c>
      <c r="Z934" s="172">
        <f>IF(OR(Y934="",'01_설정'!B31="",'01_설정'!B31&lt;=0,'01_설정'!B32="",'01_설정'!B32&lt;=0),"",MAX(0,(1-Y934/'01_설정'!B32))*'01_설정'!B31)</f>
        <v/>
      </c>
    </row>
    <row r="935" ht="17.25" customHeight="1">
      <c r="A935" s="152">
        <f>IF(INDEX('04A_국토부원자료'!$A:$A,ROW()+1)="","",ROW()-3)</f>
        <v/>
      </c>
      <c r="B935" s="48">
        <f>IFERROR(INDEX('04A_국토부원자료'!$A:$T,ROW()+1,MATCH("시군구",'04A_국토부원자료'!$A$4:$T$4,0)),"")</f>
        <v/>
      </c>
      <c r="C935" s="48">
        <f>IF(B935="","",IFERROR(INDEX('04A_국토부원자료'!$A:$T,ROW()+1,MATCH("번지",'04A_국토부원자료'!$A$4:$T$4,0)),""))</f>
        <v/>
      </c>
      <c r="D935" s="48">
        <f>IF(B935="","",IF(Q935=1,'02_대상물건입력'!$B$8,IFERROR(INDEX('04A_국토부원자료'!$A:$T,ROW()+1,MATCH("단지명",'04A_국토부원자료'!$A$4:$T$4,0)),"")))</f>
        <v/>
      </c>
      <c r="E935" s="172">
        <f>IFERROR(VALUE(SUBSTITUTE(INDEX('04A_국토부원자료'!$A:$T,ROW()+1,MATCH("전용면적(㎡)",'04A_국토부원자료'!$A$4:$T$4,0)),",","")),"")</f>
        <v/>
      </c>
      <c r="F9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35" s="51">
        <f>IFERROR(VALUE(SUBSTITUTE(INDEX('04A_국토부원자료'!$A:$T,ROW()+1,MATCH("거래금액(만원)",'04A_국토부원자료'!$A$4:$T$4,0)),",","")),"")</f>
        <v/>
      </c>
      <c r="H935" s="174">
        <f>IF(G935="","",G935*10000)</f>
        <v/>
      </c>
      <c r="I935" s="174">
        <f>IFERROR(IF(AND(H935&gt;0,E935&gt;0),H935/E935,""),"")</f>
        <v/>
      </c>
      <c r="J935" s="152">
        <f>IFERROR(VALUE(SUBSTITUTE(INDEX('04A_국토부원자료'!$A:$T,ROW()+1,MATCH("층",'04A_국토부원자료'!$A$4:$T$4,0)),",","")),"")</f>
        <v/>
      </c>
      <c r="K935" s="152">
        <f>IFERROR(VALUE(SUBSTITUTE(INDEX('04A_국토부원자료'!$A:$T,ROW()+1,MATCH("건축년도",'04A_국토부원자료'!$A$4:$T$4,0)),",","")),"")</f>
        <v/>
      </c>
      <c r="L935" s="176">
        <f>IFERROR(INDEX('04A_국토부원자료'!$A:$T,ROW()+1,MATCH("도로명",'04A_국토부원자료'!$A$4:$T$4,0)),"")</f>
        <v/>
      </c>
      <c r="M935" s="48">
        <f>IFERROR(INDEX('04A_국토부원자료'!$A:$T,ROW()+1,MATCH("거래유형",'04A_국토부원자료'!$A$4:$T$4,0)),"")</f>
        <v/>
      </c>
      <c r="N935" s="152">
        <f>IF(B935="","",IF('02_대상물건입력'!B5="",1,IF(ISNUMBER(SEARCH('02_대상물건입력'!B5,B935)),1,0)))</f>
        <v/>
      </c>
      <c r="O935" s="152">
        <f>IF(B935="","",IF('02_대상물건입력'!B6="",1,IF(ISNUMBER(SEARCH('02_대상물건입력'!B6,B935)),1,0)))</f>
        <v/>
      </c>
      <c r="P935" s="152">
        <f>IF(L935="","",IF('02_대상물건입력'!B15="",0,IF(ISNUMBER(SEARCH('02_대상물건입력'!B15,L935)),1,0)))</f>
        <v/>
      </c>
      <c r="Q935" s="152">
        <f>IF(OR(C935="",L935=""),0,IF(AND(TRIM(C935)=TRIM(RIGHT(SUBSTITUTE(TRIM('02_대상물건입력'!$B$7)," ",REPT(" ",99)),99)),IF('02_대상물건입력'!B15="",TRUE(),ISNUMBER(SEARCH('02_대상물건입력'!B15,L935)))),1,0))</f>
        <v/>
      </c>
      <c r="R935" s="175">
        <f>IFERROR(ABS(E935-'02_대상물건입력'!B11)/'02_대상물건입력'!B11,"")</f>
        <v/>
      </c>
      <c r="S935" s="152">
        <f>IFERROR(ABS(J935-'02_대상물건입력'!B10),"")</f>
        <v/>
      </c>
      <c r="T935" s="152">
        <f>IFERROR(ABS('01_설정'!B4-F935),"")</f>
        <v/>
      </c>
      <c r="U935" s="152">
        <f>IFERROR(ABS(K935-YEAR('02_대상물건입력'!B14)),"")</f>
        <v/>
      </c>
      <c r="V935" s="152">
        <f>IF(B935="","",IF(AND(E935&gt;0,F935&gt;0,H935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935=1,TRUE()),R935&lt;='01_설정'!B5,S935&lt;='01_설정'!B6,T935&lt;='01_설정'!B7,U935&lt;='01_설정'!B8),"Y",""))</f>
        <v/>
      </c>
      <c r="W935" s="172">
        <f>IF(V935&lt;&gt;"Y","",MAX(0,(1-R935/'01_설정'!B5))*'01_설정'!B14+MAX(0,(1-S935/'01_설정'!B6))*'01_설정'!B15+MAX(0,(1-T935/'01_설정'!B7))*'01_설정'!B16+MAX(0,(1-U935/'01_설정'!B8))*'01_설정'!B17+O935*'01_설정'!B11+Q935*'01_설정'!B12+P935*'01_설정'!B13+IF(Z935="",0,Z935))</f>
        <v/>
      </c>
      <c r="X935" s="152">
        <f>IF(W935="","",1+COUNTIFS($W$4:$W$3003,"&gt;"&amp;W935)+COUNTIFS($W$4:W935,W935)-1)</f>
        <v/>
      </c>
      <c r="Y935" s="175">
        <f>IF(OR(I935="",'02_대상물건입력'!B19="",'02_대상물건입력'!B19&lt;=0),"",ABS(I935-'02_대상물건입력'!B19)/'02_대상물건입력'!B19)</f>
        <v/>
      </c>
      <c r="Z935" s="172">
        <f>IF(OR(Y935="",'01_설정'!B31="",'01_설정'!B31&lt;=0,'01_설정'!B32="",'01_설정'!B32&lt;=0),"",MAX(0,(1-Y935/'01_설정'!B32))*'01_설정'!B31)</f>
        <v/>
      </c>
    </row>
    <row r="936" ht="17.25" customHeight="1">
      <c r="A936" s="152">
        <f>IF(INDEX('04A_국토부원자료'!$A:$A,ROW()+1)="","",ROW()-3)</f>
        <v/>
      </c>
      <c r="B936" s="48">
        <f>IFERROR(INDEX('04A_국토부원자료'!$A:$T,ROW()+1,MATCH("시군구",'04A_국토부원자료'!$A$4:$T$4,0)),"")</f>
        <v/>
      </c>
      <c r="C936" s="48">
        <f>IF(B936="","",IFERROR(INDEX('04A_국토부원자료'!$A:$T,ROW()+1,MATCH("번지",'04A_국토부원자료'!$A$4:$T$4,0)),""))</f>
        <v/>
      </c>
      <c r="D936" s="48">
        <f>IF(B936="","",IF(Q936=1,'02_대상물건입력'!$B$8,IFERROR(INDEX('04A_국토부원자료'!$A:$T,ROW()+1,MATCH("단지명",'04A_국토부원자료'!$A$4:$T$4,0)),"")))</f>
        <v/>
      </c>
      <c r="E936" s="172">
        <f>IFERROR(VALUE(SUBSTITUTE(INDEX('04A_국토부원자료'!$A:$T,ROW()+1,MATCH("전용면적(㎡)",'04A_국토부원자료'!$A$4:$T$4,0)),",","")),"")</f>
        <v/>
      </c>
      <c r="F9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36" s="51">
        <f>IFERROR(VALUE(SUBSTITUTE(INDEX('04A_국토부원자료'!$A:$T,ROW()+1,MATCH("거래금액(만원)",'04A_국토부원자료'!$A$4:$T$4,0)),",","")),"")</f>
        <v/>
      </c>
      <c r="H936" s="174">
        <f>IF(G936="","",G936*10000)</f>
        <v/>
      </c>
      <c r="I936" s="174">
        <f>IFERROR(IF(AND(H936&gt;0,E936&gt;0),H936/E936,""),"")</f>
        <v/>
      </c>
      <c r="J936" s="152">
        <f>IFERROR(VALUE(SUBSTITUTE(INDEX('04A_국토부원자료'!$A:$T,ROW()+1,MATCH("층",'04A_국토부원자료'!$A$4:$T$4,0)),",","")),"")</f>
        <v/>
      </c>
      <c r="K936" s="152">
        <f>IFERROR(VALUE(SUBSTITUTE(INDEX('04A_국토부원자료'!$A:$T,ROW()+1,MATCH("건축년도",'04A_국토부원자료'!$A$4:$T$4,0)),",","")),"")</f>
        <v/>
      </c>
      <c r="L936" s="176">
        <f>IFERROR(INDEX('04A_국토부원자료'!$A:$T,ROW()+1,MATCH("도로명",'04A_국토부원자료'!$A$4:$T$4,0)),"")</f>
        <v/>
      </c>
      <c r="M936" s="48">
        <f>IFERROR(INDEX('04A_국토부원자료'!$A:$T,ROW()+1,MATCH("거래유형",'04A_국토부원자료'!$A$4:$T$4,0)),"")</f>
        <v/>
      </c>
      <c r="N936" s="152">
        <f>IF(B936="","",IF('02_대상물건입력'!B5="",1,IF(ISNUMBER(SEARCH('02_대상물건입력'!B5,B936)),1,0)))</f>
        <v/>
      </c>
      <c r="O936" s="152">
        <f>IF(B936="","",IF('02_대상물건입력'!B6="",1,IF(ISNUMBER(SEARCH('02_대상물건입력'!B6,B936)),1,0)))</f>
        <v/>
      </c>
      <c r="P936" s="152">
        <f>IF(L936="","",IF('02_대상물건입력'!B15="",0,IF(ISNUMBER(SEARCH('02_대상물건입력'!B15,L936)),1,0)))</f>
        <v/>
      </c>
      <c r="Q936" s="152">
        <f>IF(OR(C936="",L936=""),0,IF(AND(TRIM(C936)=TRIM(RIGHT(SUBSTITUTE(TRIM('02_대상물건입력'!$B$7)," ",REPT(" ",99)),99)),IF('02_대상물건입력'!B15="",TRUE(),ISNUMBER(SEARCH('02_대상물건입력'!B15,L936)))),1,0))</f>
        <v/>
      </c>
      <c r="R936" s="175">
        <f>IFERROR(ABS(E936-'02_대상물건입력'!B11)/'02_대상물건입력'!B11,"")</f>
        <v/>
      </c>
      <c r="S936" s="152">
        <f>IFERROR(ABS(J936-'02_대상물건입력'!B10),"")</f>
        <v/>
      </c>
      <c r="T936" s="152">
        <f>IFERROR(ABS('01_설정'!B4-F936),"")</f>
        <v/>
      </c>
      <c r="U936" s="152">
        <f>IFERROR(ABS(K936-YEAR('02_대상물건입력'!B14)),"")</f>
        <v/>
      </c>
      <c r="V936" s="152">
        <f>IF(B936="","",IF(AND(E936&gt;0,F936&gt;0,H936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936=1,TRUE()),R936&lt;='01_설정'!B5,S936&lt;='01_설정'!B6,T936&lt;='01_설정'!B7,U936&lt;='01_설정'!B8),"Y",""))</f>
        <v/>
      </c>
      <c r="W936" s="172">
        <f>IF(V936&lt;&gt;"Y","",MAX(0,(1-R936/'01_설정'!B5))*'01_설정'!B14+MAX(0,(1-S936/'01_설정'!B6))*'01_설정'!B15+MAX(0,(1-T936/'01_설정'!B7))*'01_설정'!B16+MAX(0,(1-U936/'01_설정'!B8))*'01_설정'!B17+O936*'01_설정'!B11+Q936*'01_설정'!B12+P936*'01_설정'!B13+IF(Z936="",0,Z936))</f>
        <v/>
      </c>
      <c r="X936" s="152">
        <f>IF(W936="","",1+COUNTIFS($W$4:$W$3003,"&gt;"&amp;W936)+COUNTIFS($W$4:W936,W936)-1)</f>
        <v/>
      </c>
      <c r="Y936" s="175">
        <f>IF(OR(I936="",'02_대상물건입력'!B19="",'02_대상물건입력'!B19&lt;=0),"",ABS(I936-'02_대상물건입력'!B19)/'02_대상물건입력'!B19)</f>
        <v/>
      </c>
      <c r="Z936" s="172">
        <f>IF(OR(Y936="",'01_설정'!B31="",'01_설정'!B31&lt;=0,'01_설정'!B32="",'01_설정'!B32&lt;=0),"",MAX(0,(1-Y936/'01_설정'!B32))*'01_설정'!B31)</f>
        <v/>
      </c>
    </row>
    <row r="937" ht="17.25" customHeight="1">
      <c r="A937" s="152">
        <f>IF(INDEX('04A_국토부원자료'!$A:$A,ROW()+1)="","",ROW()-3)</f>
        <v/>
      </c>
      <c r="B937" s="48">
        <f>IFERROR(INDEX('04A_국토부원자료'!$A:$T,ROW()+1,MATCH("시군구",'04A_국토부원자료'!$A$4:$T$4,0)),"")</f>
        <v/>
      </c>
      <c r="C937" s="48">
        <f>IF(B937="","",IFERROR(INDEX('04A_국토부원자료'!$A:$T,ROW()+1,MATCH("번지",'04A_국토부원자료'!$A$4:$T$4,0)),""))</f>
        <v/>
      </c>
      <c r="D937" s="48">
        <f>IF(B937="","",IF(Q937=1,'02_대상물건입력'!$B$8,IFERROR(INDEX('04A_국토부원자료'!$A:$T,ROW()+1,MATCH("단지명",'04A_국토부원자료'!$A$4:$T$4,0)),"")))</f>
        <v/>
      </c>
      <c r="E937" s="172">
        <f>IFERROR(VALUE(SUBSTITUTE(INDEX('04A_국토부원자료'!$A:$T,ROW()+1,MATCH("전용면적(㎡)",'04A_국토부원자료'!$A$4:$T$4,0)),",","")),"")</f>
        <v/>
      </c>
      <c r="F9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37" s="51">
        <f>IFERROR(VALUE(SUBSTITUTE(INDEX('04A_국토부원자료'!$A:$T,ROW()+1,MATCH("거래금액(만원)",'04A_국토부원자료'!$A$4:$T$4,0)),",","")),"")</f>
        <v/>
      </c>
      <c r="H937" s="174">
        <f>IF(G937="","",G937*10000)</f>
        <v/>
      </c>
      <c r="I937" s="174">
        <f>IFERROR(IF(AND(H937&gt;0,E937&gt;0),H937/E937,""),"")</f>
        <v/>
      </c>
      <c r="J937" s="152">
        <f>IFERROR(VALUE(SUBSTITUTE(INDEX('04A_국토부원자료'!$A:$T,ROW()+1,MATCH("층",'04A_국토부원자료'!$A$4:$T$4,0)),",","")),"")</f>
        <v/>
      </c>
      <c r="K937" s="152">
        <f>IFERROR(VALUE(SUBSTITUTE(INDEX('04A_국토부원자료'!$A:$T,ROW()+1,MATCH("건축년도",'04A_국토부원자료'!$A$4:$T$4,0)),",","")),"")</f>
        <v/>
      </c>
      <c r="L937" s="176">
        <f>IFERROR(INDEX('04A_국토부원자료'!$A:$T,ROW()+1,MATCH("도로명",'04A_국토부원자료'!$A$4:$T$4,0)),"")</f>
        <v/>
      </c>
      <c r="M937" s="48">
        <f>IFERROR(INDEX('04A_국토부원자료'!$A:$T,ROW()+1,MATCH("거래유형",'04A_국토부원자료'!$A$4:$T$4,0)),"")</f>
        <v/>
      </c>
      <c r="N937" s="152">
        <f>IF(B937="","",IF('02_대상물건입력'!B5="",1,IF(ISNUMBER(SEARCH('02_대상물건입력'!B5,B937)),1,0)))</f>
        <v/>
      </c>
      <c r="O937" s="152">
        <f>IF(B937="","",IF('02_대상물건입력'!B6="",1,IF(ISNUMBER(SEARCH('02_대상물건입력'!B6,B937)),1,0)))</f>
        <v/>
      </c>
      <c r="P937" s="152">
        <f>IF(L937="","",IF('02_대상물건입력'!B15="",0,IF(ISNUMBER(SEARCH('02_대상물건입력'!B15,L937)),1,0)))</f>
        <v/>
      </c>
      <c r="Q937" s="152">
        <f>IF(OR(C937="",L937=""),0,IF(AND(TRIM(C937)=TRIM(RIGHT(SUBSTITUTE(TRIM('02_대상물건입력'!$B$7)," ",REPT(" ",99)),99)),IF('02_대상물건입력'!B15="",TRUE(),ISNUMBER(SEARCH('02_대상물건입력'!B15,L937)))),1,0))</f>
        <v/>
      </c>
      <c r="R937" s="175">
        <f>IFERROR(ABS(E937-'02_대상물건입력'!B11)/'02_대상물건입력'!B11,"")</f>
        <v/>
      </c>
      <c r="S937" s="152">
        <f>IFERROR(ABS(J937-'02_대상물건입력'!B10),"")</f>
        <v/>
      </c>
      <c r="T937" s="152">
        <f>IFERROR(ABS('01_설정'!B4-F937),"")</f>
        <v/>
      </c>
      <c r="U937" s="152">
        <f>IFERROR(ABS(K937-YEAR('02_대상물건입력'!B14)),"")</f>
        <v/>
      </c>
      <c r="V937" s="152">
        <f>IF(B937="","",IF(AND(E937&gt;0,F937&gt;0,H937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937=1,TRUE()),R937&lt;='01_설정'!B5,S937&lt;='01_설정'!B6,T937&lt;='01_설정'!B7,U937&lt;='01_설정'!B8),"Y",""))</f>
        <v/>
      </c>
      <c r="W937" s="172">
        <f>IF(V937&lt;&gt;"Y","",MAX(0,(1-R937/'01_설정'!B5))*'01_설정'!B14+MAX(0,(1-S937/'01_설정'!B6))*'01_설정'!B15+MAX(0,(1-T937/'01_설정'!B7))*'01_설정'!B16+MAX(0,(1-U937/'01_설정'!B8))*'01_설정'!B17+O937*'01_설정'!B11+Q937*'01_설정'!B12+P937*'01_설정'!B13+IF(Z937="",0,Z937))</f>
        <v/>
      </c>
      <c r="X937" s="152">
        <f>IF(W937="","",1+COUNTIFS($W$4:$W$3003,"&gt;"&amp;W937)+COUNTIFS($W$4:W937,W937)-1)</f>
        <v/>
      </c>
      <c r="Y937" s="175">
        <f>IF(OR(I937="",'02_대상물건입력'!B19="",'02_대상물건입력'!B19&lt;=0),"",ABS(I937-'02_대상물건입력'!B19)/'02_대상물건입력'!B19)</f>
        <v/>
      </c>
      <c r="Z937" s="172">
        <f>IF(OR(Y937="",'01_설정'!B31="",'01_설정'!B31&lt;=0,'01_설정'!B32="",'01_설정'!B32&lt;=0),"",MAX(0,(1-Y937/'01_설정'!B32))*'01_설정'!B31)</f>
        <v/>
      </c>
    </row>
    <row r="938" ht="17.25" customHeight="1">
      <c r="A938" s="152">
        <f>IF(INDEX('04A_국토부원자료'!$A:$A,ROW()+1)="","",ROW()-3)</f>
        <v/>
      </c>
      <c r="B938" s="48">
        <f>IFERROR(INDEX('04A_국토부원자료'!$A:$T,ROW()+1,MATCH("시군구",'04A_국토부원자료'!$A$4:$T$4,0)),"")</f>
        <v/>
      </c>
      <c r="C938" s="48">
        <f>IF(B938="","",IFERROR(INDEX('04A_국토부원자료'!$A:$T,ROW()+1,MATCH("번지",'04A_국토부원자료'!$A$4:$T$4,0)),""))</f>
        <v/>
      </c>
      <c r="D938" s="48">
        <f>IF(B938="","",IF(Q938=1,'02_대상물건입력'!$B$8,IFERROR(INDEX('04A_국토부원자료'!$A:$T,ROW()+1,MATCH("단지명",'04A_국토부원자료'!$A$4:$T$4,0)),"")))</f>
        <v/>
      </c>
      <c r="E938" s="172">
        <f>IFERROR(VALUE(SUBSTITUTE(INDEX('04A_국토부원자료'!$A:$T,ROW()+1,MATCH("전용면적(㎡)",'04A_국토부원자료'!$A$4:$T$4,0)),",","")),"")</f>
        <v/>
      </c>
      <c r="F9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38" s="51">
        <f>IFERROR(VALUE(SUBSTITUTE(INDEX('04A_국토부원자료'!$A:$T,ROW()+1,MATCH("거래금액(만원)",'04A_국토부원자료'!$A$4:$T$4,0)),",","")),"")</f>
        <v/>
      </c>
      <c r="H938" s="174">
        <f>IF(G938="","",G938*10000)</f>
        <v/>
      </c>
      <c r="I938" s="174">
        <f>IFERROR(IF(AND(H938&gt;0,E938&gt;0),H938/E938,""),"")</f>
        <v/>
      </c>
      <c r="J938" s="152">
        <f>IFERROR(VALUE(SUBSTITUTE(INDEX('04A_국토부원자료'!$A:$T,ROW()+1,MATCH("층",'04A_국토부원자료'!$A$4:$T$4,0)),",","")),"")</f>
        <v/>
      </c>
      <c r="K938" s="152">
        <f>IFERROR(VALUE(SUBSTITUTE(INDEX('04A_국토부원자료'!$A:$T,ROW()+1,MATCH("건축년도",'04A_국토부원자료'!$A$4:$T$4,0)),",","")),"")</f>
        <v/>
      </c>
      <c r="L938" s="176">
        <f>IFERROR(INDEX('04A_국토부원자료'!$A:$T,ROW()+1,MATCH("도로명",'04A_국토부원자료'!$A$4:$T$4,0)),"")</f>
        <v/>
      </c>
      <c r="M938" s="48">
        <f>IFERROR(INDEX('04A_국토부원자료'!$A:$T,ROW()+1,MATCH("거래유형",'04A_국토부원자료'!$A$4:$T$4,0)),"")</f>
        <v/>
      </c>
      <c r="N938" s="152">
        <f>IF(B938="","",IF('02_대상물건입력'!B5="",1,IF(ISNUMBER(SEARCH('02_대상물건입력'!B5,B938)),1,0)))</f>
        <v/>
      </c>
      <c r="O938" s="152">
        <f>IF(B938="","",IF('02_대상물건입력'!B6="",1,IF(ISNUMBER(SEARCH('02_대상물건입력'!B6,B938)),1,0)))</f>
        <v/>
      </c>
      <c r="P938" s="152">
        <f>IF(L938="","",IF('02_대상물건입력'!B15="",0,IF(ISNUMBER(SEARCH('02_대상물건입력'!B15,L938)),1,0)))</f>
        <v/>
      </c>
      <c r="Q938" s="152">
        <f>IF(OR(C938="",L938=""),0,IF(AND(TRIM(C938)=TRIM(RIGHT(SUBSTITUTE(TRIM('02_대상물건입력'!$B$7)," ",REPT(" ",99)),99)),IF('02_대상물건입력'!B15="",TRUE(),ISNUMBER(SEARCH('02_대상물건입력'!B15,L938)))),1,0))</f>
        <v/>
      </c>
      <c r="R938" s="175">
        <f>IFERROR(ABS(E938-'02_대상물건입력'!B11)/'02_대상물건입력'!B11,"")</f>
        <v/>
      </c>
      <c r="S938" s="152">
        <f>IFERROR(ABS(J938-'02_대상물건입력'!B10),"")</f>
        <v/>
      </c>
      <c r="T938" s="152">
        <f>IFERROR(ABS('01_설정'!B4-F938),"")</f>
        <v/>
      </c>
      <c r="U938" s="152">
        <f>IFERROR(ABS(K938-YEAR('02_대상물건입력'!B14)),"")</f>
        <v/>
      </c>
      <c r="V938" s="152">
        <f>IF(B938="","",IF(AND(E938&gt;0,F938&gt;0,H938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938=1,TRUE()),R938&lt;='01_설정'!B5,S938&lt;='01_설정'!B6,T938&lt;='01_설정'!B7,U938&lt;='01_설정'!B8),"Y",""))</f>
        <v/>
      </c>
      <c r="W938" s="172">
        <f>IF(V938&lt;&gt;"Y","",MAX(0,(1-R938/'01_설정'!B5))*'01_설정'!B14+MAX(0,(1-S938/'01_설정'!B6))*'01_설정'!B15+MAX(0,(1-T938/'01_설정'!B7))*'01_설정'!B16+MAX(0,(1-U938/'01_설정'!B8))*'01_설정'!B17+O938*'01_설정'!B11+Q938*'01_설정'!B12+P938*'01_설정'!B13+IF(Z938="",0,Z938))</f>
        <v/>
      </c>
      <c r="X938" s="152">
        <f>IF(W938="","",1+COUNTIFS($W$4:$W$3003,"&gt;"&amp;W938)+COUNTIFS($W$4:W938,W938)-1)</f>
        <v/>
      </c>
      <c r="Y938" s="175">
        <f>IF(OR(I938="",'02_대상물건입력'!B19="",'02_대상물건입력'!B19&lt;=0),"",ABS(I938-'02_대상물건입력'!B19)/'02_대상물건입력'!B19)</f>
        <v/>
      </c>
      <c r="Z938" s="172">
        <f>IF(OR(Y938="",'01_설정'!B31="",'01_설정'!B31&lt;=0,'01_설정'!B32="",'01_설정'!B32&lt;=0),"",MAX(0,(1-Y938/'01_설정'!B32))*'01_설정'!B31)</f>
        <v/>
      </c>
    </row>
    <row r="939" ht="17.25" customHeight="1">
      <c r="A939" s="152">
        <f>IF(INDEX('04A_국토부원자료'!$A:$A,ROW()+1)="","",ROW()-3)</f>
        <v/>
      </c>
      <c r="B939" s="48">
        <f>IFERROR(INDEX('04A_국토부원자료'!$A:$T,ROW()+1,MATCH("시군구",'04A_국토부원자료'!$A$4:$T$4,0)),"")</f>
        <v/>
      </c>
      <c r="C939" s="48">
        <f>IF(B939="","",IFERROR(INDEX('04A_국토부원자료'!$A:$T,ROW()+1,MATCH("번지",'04A_국토부원자료'!$A$4:$T$4,0)),""))</f>
        <v/>
      </c>
      <c r="D939" s="48">
        <f>IF(B939="","",IF(Q939=1,'02_대상물건입력'!$B$8,IFERROR(INDEX('04A_국토부원자료'!$A:$T,ROW()+1,MATCH("단지명",'04A_국토부원자료'!$A$4:$T$4,0)),"")))</f>
        <v/>
      </c>
      <c r="E939" s="172">
        <f>IFERROR(VALUE(SUBSTITUTE(INDEX('04A_국토부원자료'!$A:$T,ROW()+1,MATCH("전용면적(㎡)",'04A_국토부원자료'!$A$4:$T$4,0)),",","")),"")</f>
        <v/>
      </c>
      <c r="F9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39" s="51">
        <f>IFERROR(VALUE(SUBSTITUTE(INDEX('04A_국토부원자료'!$A:$T,ROW()+1,MATCH("거래금액(만원)",'04A_국토부원자료'!$A$4:$T$4,0)),",","")),"")</f>
        <v/>
      </c>
      <c r="H939" s="174">
        <f>IF(G939="","",G939*10000)</f>
        <v/>
      </c>
      <c r="I939" s="174">
        <f>IFERROR(IF(AND(H939&gt;0,E939&gt;0),H939/E939,""),"")</f>
        <v/>
      </c>
      <c r="J939" s="152">
        <f>IFERROR(VALUE(SUBSTITUTE(INDEX('04A_국토부원자료'!$A:$T,ROW()+1,MATCH("층",'04A_국토부원자료'!$A$4:$T$4,0)),",","")),"")</f>
        <v/>
      </c>
      <c r="K939" s="152">
        <f>IFERROR(VALUE(SUBSTITUTE(INDEX('04A_국토부원자료'!$A:$T,ROW()+1,MATCH("건축년도",'04A_국토부원자료'!$A$4:$T$4,0)),",","")),"")</f>
        <v/>
      </c>
      <c r="L939" s="176">
        <f>IFERROR(INDEX('04A_국토부원자료'!$A:$T,ROW()+1,MATCH("도로명",'04A_국토부원자료'!$A$4:$T$4,0)),"")</f>
        <v/>
      </c>
      <c r="M939" s="48">
        <f>IFERROR(INDEX('04A_국토부원자료'!$A:$T,ROW()+1,MATCH("거래유형",'04A_국토부원자료'!$A$4:$T$4,0)),"")</f>
        <v/>
      </c>
      <c r="N939" s="152">
        <f>IF(B939="","",IF('02_대상물건입력'!B5="",1,IF(ISNUMBER(SEARCH('02_대상물건입력'!B5,B939)),1,0)))</f>
        <v/>
      </c>
      <c r="O939" s="152">
        <f>IF(B939="","",IF('02_대상물건입력'!B6="",1,IF(ISNUMBER(SEARCH('02_대상물건입력'!B6,B939)),1,0)))</f>
        <v/>
      </c>
      <c r="P939" s="152">
        <f>IF(L939="","",IF('02_대상물건입력'!B15="",0,IF(ISNUMBER(SEARCH('02_대상물건입력'!B15,L939)),1,0)))</f>
        <v/>
      </c>
      <c r="Q939" s="152">
        <f>IF(OR(C939="",L939=""),0,IF(AND(TRIM(C939)=TRIM(RIGHT(SUBSTITUTE(TRIM('02_대상물건입력'!$B$7)," ",REPT(" ",99)),99)),IF('02_대상물건입력'!B15="",TRUE(),ISNUMBER(SEARCH('02_대상물건입력'!B15,L939)))),1,0))</f>
        <v/>
      </c>
      <c r="R939" s="175">
        <f>IFERROR(ABS(E939-'02_대상물건입력'!B11)/'02_대상물건입력'!B11,"")</f>
        <v/>
      </c>
      <c r="S939" s="152">
        <f>IFERROR(ABS(J939-'02_대상물건입력'!B10),"")</f>
        <v/>
      </c>
      <c r="T939" s="152">
        <f>IFERROR(ABS('01_설정'!B4-F939),"")</f>
        <v/>
      </c>
      <c r="U939" s="152">
        <f>IFERROR(ABS(K939-YEAR('02_대상물건입력'!B14)),"")</f>
        <v/>
      </c>
      <c r="V939" s="152">
        <f>IF(B939="","",IF(AND(E939&gt;0,F939&gt;0,H939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939=1,TRUE()),R939&lt;='01_설정'!B5,S939&lt;='01_설정'!B6,T939&lt;='01_설정'!B7,U939&lt;='01_설정'!B8),"Y",""))</f>
        <v/>
      </c>
      <c r="W939" s="172">
        <f>IF(V939&lt;&gt;"Y","",MAX(0,(1-R939/'01_설정'!B5))*'01_설정'!B14+MAX(0,(1-S939/'01_설정'!B6))*'01_설정'!B15+MAX(0,(1-T939/'01_설정'!B7))*'01_설정'!B16+MAX(0,(1-U939/'01_설정'!B8))*'01_설정'!B17+O939*'01_설정'!B11+Q939*'01_설정'!B12+P939*'01_설정'!B13+IF(Z939="",0,Z939))</f>
        <v/>
      </c>
      <c r="X939" s="152">
        <f>IF(W939="","",1+COUNTIFS($W$4:$W$3003,"&gt;"&amp;W939)+COUNTIFS($W$4:W939,W939)-1)</f>
        <v/>
      </c>
      <c r="Y939" s="175">
        <f>IF(OR(I939="",'02_대상물건입력'!B19="",'02_대상물건입력'!B19&lt;=0),"",ABS(I939-'02_대상물건입력'!B19)/'02_대상물건입력'!B19)</f>
        <v/>
      </c>
      <c r="Z939" s="172">
        <f>IF(OR(Y939="",'01_설정'!B31="",'01_설정'!B31&lt;=0,'01_설정'!B32="",'01_설정'!B32&lt;=0),"",MAX(0,(1-Y939/'01_설정'!B32))*'01_설정'!B31)</f>
        <v/>
      </c>
    </row>
    <row r="940" ht="17.25" customHeight="1">
      <c r="A940" s="152">
        <f>IF(INDEX('04A_국토부원자료'!$A:$A,ROW()+1)="","",ROW()-3)</f>
        <v/>
      </c>
      <c r="B940" s="48">
        <f>IFERROR(INDEX('04A_국토부원자료'!$A:$T,ROW()+1,MATCH("시군구",'04A_국토부원자료'!$A$4:$T$4,0)),"")</f>
        <v/>
      </c>
      <c r="C940" s="48">
        <f>IF(B940="","",IFERROR(INDEX('04A_국토부원자료'!$A:$T,ROW()+1,MATCH("번지",'04A_국토부원자료'!$A$4:$T$4,0)),""))</f>
        <v/>
      </c>
      <c r="D940" s="48">
        <f>IF(B940="","",IF(Q940=1,'02_대상물건입력'!$B$8,IFERROR(INDEX('04A_국토부원자료'!$A:$T,ROW()+1,MATCH("단지명",'04A_국토부원자료'!$A$4:$T$4,0)),"")))</f>
        <v/>
      </c>
      <c r="E940" s="172">
        <f>IFERROR(VALUE(SUBSTITUTE(INDEX('04A_국토부원자료'!$A:$T,ROW()+1,MATCH("전용면적(㎡)",'04A_국토부원자료'!$A$4:$T$4,0)),",","")),"")</f>
        <v/>
      </c>
      <c r="F9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40" s="51">
        <f>IFERROR(VALUE(SUBSTITUTE(INDEX('04A_국토부원자료'!$A:$T,ROW()+1,MATCH("거래금액(만원)",'04A_국토부원자료'!$A$4:$T$4,0)),",","")),"")</f>
        <v/>
      </c>
      <c r="H940" s="174">
        <f>IF(G940="","",G940*10000)</f>
        <v/>
      </c>
      <c r="I940" s="174">
        <f>IFERROR(IF(AND(H940&gt;0,E940&gt;0),H940/E940,""),"")</f>
        <v/>
      </c>
      <c r="J940" s="152">
        <f>IFERROR(VALUE(SUBSTITUTE(INDEX('04A_국토부원자료'!$A:$T,ROW()+1,MATCH("층",'04A_국토부원자료'!$A$4:$T$4,0)),",","")),"")</f>
        <v/>
      </c>
      <c r="K940" s="152">
        <f>IFERROR(VALUE(SUBSTITUTE(INDEX('04A_국토부원자료'!$A:$T,ROW()+1,MATCH("건축년도",'04A_국토부원자료'!$A$4:$T$4,0)),",","")),"")</f>
        <v/>
      </c>
      <c r="L940" s="176">
        <f>IFERROR(INDEX('04A_국토부원자료'!$A:$T,ROW()+1,MATCH("도로명",'04A_국토부원자료'!$A$4:$T$4,0)),"")</f>
        <v/>
      </c>
      <c r="M940" s="48">
        <f>IFERROR(INDEX('04A_국토부원자료'!$A:$T,ROW()+1,MATCH("거래유형",'04A_국토부원자료'!$A$4:$T$4,0)),"")</f>
        <v/>
      </c>
      <c r="N940" s="152">
        <f>IF(B940="","",IF('02_대상물건입력'!B5="",1,IF(ISNUMBER(SEARCH('02_대상물건입력'!B5,B940)),1,0)))</f>
        <v/>
      </c>
      <c r="O940" s="152">
        <f>IF(B940="","",IF('02_대상물건입력'!B6="",1,IF(ISNUMBER(SEARCH('02_대상물건입력'!B6,B940)),1,0)))</f>
        <v/>
      </c>
      <c r="P940" s="152">
        <f>IF(L940="","",IF('02_대상물건입력'!B15="",0,IF(ISNUMBER(SEARCH('02_대상물건입력'!B15,L940)),1,0)))</f>
        <v/>
      </c>
      <c r="Q940" s="152">
        <f>IF(OR(C940="",L940=""),0,IF(AND(TRIM(C940)=TRIM(RIGHT(SUBSTITUTE(TRIM('02_대상물건입력'!$B$7)," ",REPT(" ",99)),99)),IF('02_대상물건입력'!B15="",TRUE(),ISNUMBER(SEARCH('02_대상물건입력'!B15,L940)))),1,0))</f>
        <v/>
      </c>
      <c r="R940" s="175">
        <f>IFERROR(ABS(E940-'02_대상물건입력'!B11)/'02_대상물건입력'!B11,"")</f>
        <v/>
      </c>
      <c r="S940" s="152">
        <f>IFERROR(ABS(J940-'02_대상물건입력'!B10),"")</f>
        <v/>
      </c>
      <c r="T940" s="152">
        <f>IFERROR(ABS('01_설정'!B4-F940),"")</f>
        <v/>
      </c>
      <c r="U940" s="152">
        <f>IFERROR(ABS(K940-YEAR('02_대상물건입력'!B14)),"")</f>
        <v/>
      </c>
      <c r="V940" s="152">
        <f>IF(B940="","",IF(AND(E940&gt;0,F940&gt;0,H940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940=1,TRUE()),R940&lt;='01_설정'!B5,S940&lt;='01_설정'!B6,T940&lt;='01_설정'!B7,U940&lt;='01_설정'!B8),"Y",""))</f>
        <v/>
      </c>
      <c r="W940" s="172">
        <f>IF(V940&lt;&gt;"Y","",MAX(0,(1-R940/'01_설정'!B5))*'01_설정'!B14+MAX(0,(1-S940/'01_설정'!B6))*'01_설정'!B15+MAX(0,(1-T940/'01_설정'!B7))*'01_설정'!B16+MAX(0,(1-U940/'01_설정'!B8))*'01_설정'!B17+O940*'01_설정'!B11+Q940*'01_설정'!B12+P940*'01_설정'!B13+IF(Z940="",0,Z940))</f>
        <v/>
      </c>
      <c r="X940" s="152">
        <f>IF(W940="","",1+COUNTIFS($W$4:$W$3003,"&gt;"&amp;W940)+COUNTIFS($W$4:W940,W940)-1)</f>
        <v/>
      </c>
      <c r="Y940" s="175">
        <f>IF(OR(I940="",'02_대상물건입력'!B19="",'02_대상물건입력'!B19&lt;=0),"",ABS(I940-'02_대상물건입력'!B19)/'02_대상물건입력'!B19)</f>
        <v/>
      </c>
      <c r="Z940" s="172">
        <f>IF(OR(Y940="",'01_설정'!B31="",'01_설정'!B31&lt;=0,'01_설정'!B32="",'01_설정'!B32&lt;=0),"",MAX(0,(1-Y940/'01_설정'!B32))*'01_설정'!B31)</f>
        <v/>
      </c>
    </row>
    <row r="941" ht="17.25" customHeight="1">
      <c r="A941" s="152">
        <f>IF(INDEX('04A_국토부원자료'!$A:$A,ROW()+1)="","",ROW()-3)</f>
        <v/>
      </c>
      <c r="B941" s="48">
        <f>IFERROR(INDEX('04A_국토부원자료'!$A:$T,ROW()+1,MATCH("시군구",'04A_국토부원자료'!$A$4:$T$4,0)),"")</f>
        <v/>
      </c>
      <c r="C941" s="48">
        <f>IF(B941="","",IFERROR(INDEX('04A_국토부원자료'!$A:$T,ROW()+1,MATCH("번지",'04A_국토부원자료'!$A$4:$T$4,0)),""))</f>
        <v/>
      </c>
      <c r="D941" s="48">
        <f>IF(B941="","",IF(Q941=1,'02_대상물건입력'!$B$8,IFERROR(INDEX('04A_국토부원자료'!$A:$T,ROW()+1,MATCH("단지명",'04A_국토부원자료'!$A$4:$T$4,0)),"")))</f>
        <v/>
      </c>
      <c r="E941" s="172">
        <f>IFERROR(VALUE(SUBSTITUTE(INDEX('04A_국토부원자료'!$A:$T,ROW()+1,MATCH("전용면적(㎡)",'04A_국토부원자료'!$A$4:$T$4,0)),",","")),"")</f>
        <v/>
      </c>
      <c r="F9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41" s="51">
        <f>IFERROR(VALUE(SUBSTITUTE(INDEX('04A_국토부원자료'!$A:$T,ROW()+1,MATCH("거래금액(만원)",'04A_국토부원자료'!$A$4:$T$4,0)),",","")),"")</f>
        <v/>
      </c>
      <c r="H941" s="174">
        <f>IF(G941="","",G941*10000)</f>
        <v/>
      </c>
      <c r="I941" s="174">
        <f>IFERROR(IF(AND(H941&gt;0,E941&gt;0),H941/E941,""),"")</f>
        <v/>
      </c>
      <c r="J941" s="152">
        <f>IFERROR(VALUE(SUBSTITUTE(INDEX('04A_국토부원자료'!$A:$T,ROW()+1,MATCH("층",'04A_국토부원자료'!$A$4:$T$4,0)),",","")),"")</f>
        <v/>
      </c>
      <c r="K941" s="152">
        <f>IFERROR(VALUE(SUBSTITUTE(INDEX('04A_국토부원자료'!$A:$T,ROW()+1,MATCH("건축년도",'04A_국토부원자료'!$A$4:$T$4,0)),",","")),"")</f>
        <v/>
      </c>
      <c r="L941" s="176">
        <f>IFERROR(INDEX('04A_국토부원자료'!$A:$T,ROW()+1,MATCH("도로명",'04A_국토부원자료'!$A$4:$T$4,0)),"")</f>
        <v/>
      </c>
      <c r="M941" s="48">
        <f>IFERROR(INDEX('04A_국토부원자료'!$A:$T,ROW()+1,MATCH("거래유형",'04A_국토부원자료'!$A$4:$T$4,0)),"")</f>
        <v/>
      </c>
      <c r="N941" s="152">
        <f>IF(B941="","",IF('02_대상물건입력'!B5="",1,IF(ISNUMBER(SEARCH('02_대상물건입력'!B5,B941)),1,0)))</f>
        <v/>
      </c>
      <c r="O941" s="152">
        <f>IF(B941="","",IF('02_대상물건입력'!B6="",1,IF(ISNUMBER(SEARCH('02_대상물건입력'!B6,B941)),1,0)))</f>
        <v/>
      </c>
      <c r="P941" s="152">
        <f>IF(L941="","",IF('02_대상물건입력'!B15="",0,IF(ISNUMBER(SEARCH('02_대상물건입력'!B15,L941)),1,0)))</f>
        <v/>
      </c>
      <c r="Q941" s="152">
        <f>IF(OR(C941="",L941=""),0,IF(AND(TRIM(C941)=TRIM(RIGHT(SUBSTITUTE(TRIM('02_대상물건입력'!$B$7)," ",REPT(" ",99)),99)),IF('02_대상물건입력'!B15="",TRUE(),ISNUMBER(SEARCH('02_대상물건입력'!B15,L941)))),1,0))</f>
        <v/>
      </c>
      <c r="R941" s="175">
        <f>IFERROR(ABS(E941-'02_대상물건입력'!B11)/'02_대상물건입력'!B11,"")</f>
        <v/>
      </c>
      <c r="S941" s="152">
        <f>IFERROR(ABS(J941-'02_대상물건입력'!B10),"")</f>
        <v/>
      </c>
      <c r="T941" s="152">
        <f>IFERROR(ABS('01_설정'!B4-F941),"")</f>
        <v/>
      </c>
      <c r="U941" s="152">
        <f>IFERROR(ABS(K941-YEAR('02_대상물건입력'!B14)),"")</f>
        <v/>
      </c>
      <c r="V941" s="152">
        <f>IF(B941="","",IF(AND(E941&gt;0,F941&gt;0,H941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941=1,TRUE()),R941&lt;='01_설정'!B5,S941&lt;='01_설정'!B6,T941&lt;='01_설정'!B7,U941&lt;='01_설정'!B8),"Y",""))</f>
        <v/>
      </c>
      <c r="W941" s="172">
        <f>IF(V941&lt;&gt;"Y","",MAX(0,(1-R941/'01_설정'!B5))*'01_설정'!B14+MAX(0,(1-S941/'01_설정'!B6))*'01_설정'!B15+MAX(0,(1-T941/'01_설정'!B7))*'01_설정'!B16+MAX(0,(1-U941/'01_설정'!B8))*'01_설정'!B17+O941*'01_설정'!B11+Q941*'01_설정'!B12+P941*'01_설정'!B13+IF(Z941="",0,Z941))</f>
        <v/>
      </c>
      <c r="X941" s="152">
        <f>IF(W941="","",1+COUNTIFS($W$4:$W$3003,"&gt;"&amp;W941)+COUNTIFS($W$4:W941,W941)-1)</f>
        <v/>
      </c>
      <c r="Y941" s="175">
        <f>IF(OR(I941="",'02_대상물건입력'!B19="",'02_대상물건입력'!B19&lt;=0),"",ABS(I941-'02_대상물건입력'!B19)/'02_대상물건입력'!B19)</f>
        <v/>
      </c>
      <c r="Z941" s="172">
        <f>IF(OR(Y941="",'01_설정'!B31="",'01_설정'!B31&lt;=0,'01_설정'!B32="",'01_설정'!B32&lt;=0),"",MAX(0,(1-Y941/'01_설정'!B32))*'01_설정'!B31)</f>
        <v/>
      </c>
    </row>
    <row r="942" ht="17.25" customHeight="1">
      <c r="A942" s="152">
        <f>IF(INDEX('04A_국토부원자료'!$A:$A,ROW()+1)="","",ROW()-3)</f>
        <v/>
      </c>
      <c r="B942" s="48">
        <f>IFERROR(INDEX('04A_국토부원자료'!$A:$T,ROW()+1,MATCH("시군구",'04A_국토부원자료'!$A$4:$T$4,0)),"")</f>
        <v/>
      </c>
      <c r="C942" s="48">
        <f>IF(B942="","",IFERROR(INDEX('04A_국토부원자료'!$A:$T,ROW()+1,MATCH("번지",'04A_국토부원자료'!$A$4:$T$4,0)),""))</f>
        <v/>
      </c>
      <c r="D942" s="48">
        <f>IF(B942="","",IF(Q942=1,'02_대상물건입력'!$B$8,IFERROR(INDEX('04A_국토부원자료'!$A:$T,ROW()+1,MATCH("단지명",'04A_국토부원자료'!$A$4:$T$4,0)),"")))</f>
        <v/>
      </c>
      <c r="E942" s="172">
        <f>IFERROR(VALUE(SUBSTITUTE(INDEX('04A_국토부원자료'!$A:$T,ROW()+1,MATCH("전용면적(㎡)",'04A_국토부원자료'!$A$4:$T$4,0)),",","")),"")</f>
        <v/>
      </c>
      <c r="F9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42" s="51">
        <f>IFERROR(VALUE(SUBSTITUTE(INDEX('04A_국토부원자료'!$A:$T,ROW()+1,MATCH("거래금액(만원)",'04A_국토부원자료'!$A$4:$T$4,0)),",","")),"")</f>
        <v/>
      </c>
      <c r="H942" s="174">
        <f>IF(G942="","",G942*10000)</f>
        <v/>
      </c>
      <c r="I942" s="174">
        <f>IFERROR(IF(AND(H942&gt;0,E942&gt;0),H942/E942,""),"")</f>
        <v/>
      </c>
      <c r="J942" s="152">
        <f>IFERROR(VALUE(SUBSTITUTE(INDEX('04A_국토부원자료'!$A:$T,ROW()+1,MATCH("층",'04A_국토부원자료'!$A$4:$T$4,0)),",","")),"")</f>
        <v/>
      </c>
      <c r="K942" s="152">
        <f>IFERROR(VALUE(SUBSTITUTE(INDEX('04A_국토부원자료'!$A:$T,ROW()+1,MATCH("건축년도",'04A_국토부원자료'!$A$4:$T$4,0)),",","")),"")</f>
        <v/>
      </c>
      <c r="L942" s="176">
        <f>IFERROR(INDEX('04A_국토부원자료'!$A:$T,ROW()+1,MATCH("도로명",'04A_국토부원자료'!$A$4:$T$4,0)),"")</f>
        <v/>
      </c>
      <c r="M942" s="48">
        <f>IFERROR(INDEX('04A_국토부원자료'!$A:$T,ROW()+1,MATCH("거래유형",'04A_국토부원자료'!$A$4:$T$4,0)),"")</f>
        <v/>
      </c>
      <c r="N942" s="152">
        <f>IF(B942="","",IF('02_대상물건입력'!B5="",1,IF(ISNUMBER(SEARCH('02_대상물건입력'!B5,B942)),1,0)))</f>
        <v/>
      </c>
      <c r="O942" s="152">
        <f>IF(B942="","",IF('02_대상물건입력'!B6="",1,IF(ISNUMBER(SEARCH('02_대상물건입력'!B6,B942)),1,0)))</f>
        <v/>
      </c>
      <c r="P942" s="152">
        <f>IF(L942="","",IF('02_대상물건입력'!B15="",0,IF(ISNUMBER(SEARCH('02_대상물건입력'!B15,L942)),1,0)))</f>
        <v/>
      </c>
      <c r="Q942" s="152">
        <f>IF(OR(C942="",L942=""),0,IF(AND(TRIM(C942)=TRIM(RIGHT(SUBSTITUTE(TRIM('02_대상물건입력'!$B$7)," ",REPT(" ",99)),99)),IF('02_대상물건입력'!B15="",TRUE(),ISNUMBER(SEARCH('02_대상물건입력'!B15,L942)))),1,0))</f>
        <v/>
      </c>
      <c r="R942" s="175">
        <f>IFERROR(ABS(E942-'02_대상물건입력'!B11)/'02_대상물건입력'!B11,"")</f>
        <v/>
      </c>
      <c r="S942" s="152">
        <f>IFERROR(ABS(J942-'02_대상물건입력'!B10),"")</f>
        <v/>
      </c>
      <c r="T942" s="152">
        <f>IFERROR(ABS('01_설정'!B4-F942),"")</f>
        <v/>
      </c>
      <c r="U942" s="152">
        <f>IFERROR(ABS(K942-YEAR('02_대상물건입력'!B14)),"")</f>
        <v/>
      </c>
      <c r="V942" s="152">
        <f>IF(B942="","",IF(AND(E942&gt;0,F942&gt;0,H942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942=1,TRUE()),R942&lt;='01_설정'!B5,S942&lt;='01_설정'!B6,T942&lt;='01_설정'!B7,U942&lt;='01_설정'!B8),"Y",""))</f>
        <v/>
      </c>
      <c r="W942" s="172">
        <f>IF(V942&lt;&gt;"Y","",MAX(0,(1-R942/'01_설정'!B5))*'01_설정'!B14+MAX(0,(1-S942/'01_설정'!B6))*'01_설정'!B15+MAX(0,(1-T942/'01_설정'!B7))*'01_설정'!B16+MAX(0,(1-U942/'01_설정'!B8))*'01_설정'!B17+O942*'01_설정'!B11+Q942*'01_설정'!B12+P942*'01_설정'!B13+IF(Z942="",0,Z942))</f>
        <v/>
      </c>
      <c r="X942" s="152">
        <f>IF(W942="","",1+COUNTIFS($W$4:$W$3003,"&gt;"&amp;W942)+COUNTIFS($W$4:W942,W942)-1)</f>
        <v/>
      </c>
      <c r="Y942" s="175">
        <f>IF(OR(I942="",'02_대상물건입력'!B19="",'02_대상물건입력'!B19&lt;=0),"",ABS(I942-'02_대상물건입력'!B19)/'02_대상물건입력'!B19)</f>
        <v/>
      </c>
      <c r="Z942" s="172">
        <f>IF(OR(Y942="",'01_설정'!B31="",'01_설정'!B31&lt;=0,'01_설정'!B32="",'01_설정'!B32&lt;=0),"",MAX(0,(1-Y942/'01_설정'!B32))*'01_설정'!B31)</f>
        <v/>
      </c>
    </row>
    <row r="943" ht="17.25" customHeight="1">
      <c r="A943" s="152">
        <f>IF(INDEX('04A_국토부원자료'!$A:$A,ROW()+1)="","",ROW()-3)</f>
        <v/>
      </c>
      <c r="B943" s="48">
        <f>IFERROR(INDEX('04A_국토부원자료'!$A:$T,ROW()+1,MATCH("시군구",'04A_국토부원자료'!$A$4:$T$4,0)),"")</f>
        <v/>
      </c>
      <c r="C943" s="48">
        <f>IF(B943="","",IFERROR(INDEX('04A_국토부원자료'!$A:$T,ROW()+1,MATCH("번지",'04A_국토부원자료'!$A$4:$T$4,0)),""))</f>
        <v/>
      </c>
      <c r="D943" s="48">
        <f>IF(B943="","",IF(Q943=1,'02_대상물건입력'!$B$8,IFERROR(INDEX('04A_국토부원자료'!$A:$T,ROW()+1,MATCH("단지명",'04A_국토부원자료'!$A$4:$T$4,0)),"")))</f>
        <v/>
      </c>
      <c r="E943" s="172">
        <f>IFERROR(VALUE(SUBSTITUTE(INDEX('04A_국토부원자료'!$A:$T,ROW()+1,MATCH("전용면적(㎡)",'04A_국토부원자료'!$A$4:$T$4,0)),",","")),"")</f>
        <v/>
      </c>
      <c r="F9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43" s="51">
        <f>IFERROR(VALUE(SUBSTITUTE(INDEX('04A_국토부원자료'!$A:$T,ROW()+1,MATCH("거래금액(만원)",'04A_국토부원자료'!$A$4:$T$4,0)),",","")),"")</f>
        <v/>
      </c>
      <c r="H943" s="174">
        <f>IF(G943="","",G943*10000)</f>
        <v/>
      </c>
      <c r="I943" s="174">
        <f>IFERROR(IF(AND(H943&gt;0,E943&gt;0),H943/E943,""),"")</f>
        <v/>
      </c>
      <c r="J943" s="152">
        <f>IFERROR(VALUE(SUBSTITUTE(INDEX('04A_국토부원자료'!$A:$T,ROW()+1,MATCH("층",'04A_국토부원자료'!$A$4:$T$4,0)),",","")),"")</f>
        <v/>
      </c>
      <c r="K943" s="152">
        <f>IFERROR(VALUE(SUBSTITUTE(INDEX('04A_국토부원자료'!$A:$T,ROW()+1,MATCH("건축년도",'04A_국토부원자료'!$A$4:$T$4,0)),",","")),"")</f>
        <v/>
      </c>
      <c r="L943" s="176">
        <f>IFERROR(INDEX('04A_국토부원자료'!$A:$T,ROW()+1,MATCH("도로명",'04A_국토부원자료'!$A$4:$T$4,0)),"")</f>
        <v/>
      </c>
      <c r="M943" s="48">
        <f>IFERROR(INDEX('04A_국토부원자료'!$A:$T,ROW()+1,MATCH("거래유형",'04A_국토부원자료'!$A$4:$T$4,0)),"")</f>
        <v/>
      </c>
      <c r="N943" s="152">
        <f>IF(B943="","",IF('02_대상물건입력'!B5="",1,IF(ISNUMBER(SEARCH('02_대상물건입력'!B5,B943)),1,0)))</f>
        <v/>
      </c>
      <c r="O943" s="152">
        <f>IF(B943="","",IF('02_대상물건입력'!B6="",1,IF(ISNUMBER(SEARCH('02_대상물건입력'!B6,B943)),1,0)))</f>
        <v/>
      </c>
      <c r="P943" s="152">
        <f>IF(L943="","",IF('02_대상물건입력'!B15="",0,IF(ISNUMBER(SEARCH('02_대상물건입력'!B15,L943)),1,0)))</f>
        <v/>
      </c>
      <c r="Q943" s="152">
        <f>IF(OR(C943="",L943=""),0,IF(AND(TRIM(C943)=TRIM(RIGHT(SUBSTITUTE(TRIM('02_대상물건입력'!$B$7)," ",REPT(" ",99)),99)),IF('02_대상물건입력'!B15="",TRUE(),ISNUMBER(SEARCH('02_대상물건입력'!B15,L943)))),1,0))</f>
        <v/>
      </c>
      <c r="R943" s="175">
        <f>IFERROR(ABS(E943-'02_대상물건입력'!B11)/'02_대상물건입력'!B11,"")</f>
        <v/>
      </c>
      <c r="S943" s="152">
        <f>IFERROR(ABS(J943-'02_대상물건입력'!B10),"")</f>
        <v/>
      </c>
      <c r="T943" s="152">
        <f>IFERROR(ABS('01_설정'!B4-F943),"")</f>
        <v/>
      </c>
      <c r="U943" s="152">
        <f>IFERROR(ABS(K943-YEAR('02_대상물건입력'!B14)),"")</f>
        <v/>
      </c>
      <c r="V943" s="152">
        <f>IF(B943="","",IF(AND(E943&gt;0,F943&gt;0,H943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943=1,TRUE()),R943&lt;='01_설정'!B5,S943&lt;='01_설정'!B6,T943&lt;='01_설정'!B7,U943&lt;='01_설정'!B8),"Y",""))</f>
        <v/>
      </c>
      <c r="W943" s="172">
        <f>IF(V943&lt;&gt;"Y","",MAX(0,(1-R943/'01_설정'!B5))*'01_설정'!B14+MAX(0,(1-S943/'01_설정'!B6))*'01_설정'!B15+MAX(0,(1-T943/'01_설정'!B7))*'01_설정'!B16+MAX(0,(1-U943/'01_설정'!B8))*'01_설정'!B17+O943*'01_설정'!B11+Q943*'01_설정'!B12+P943*'01_설정'!B13+IF(Z943="",0,Z943))</f>
        <v/>
      </c>
      <c r="X943" s="152">
        <f>IF(W943="","",1+COUNTIFS($W$4:$W$3003,"&gt;"&amp;W943)+COUNTIFS($W$4:W943,W943)-1)</f>
        <v/>
      </c>
      <c r="Y943" s="175">
        <f>IF(OR(I943="",'02_대상물건입력'!B19="",'02_대상물건입력'!B19&lt;=0),"",ABS(I943-'02_대상물건입력'!B19)/'02_대상물건입력'!B19)</f>
        <v/>
      </c>
      <c r="Z943" s="172">
        <f>IF(OR(Y943="",'01_설정'!B31="",'01_설정'!B31&lt;=0,'01_설정'!B32="",'01_설정'!B32&lt;=0),"",MAX(0,(1-Y943/'01_설정'!B32))*'01_설정'!B31)</f>
        <v/>
      </c>
    </row>
    <row r="944" ht="17.25" customHeight="1">
      <c r="A944" s="152">
        <f>IF(INDEX('04A_국토부원자료'!$A:$A,ROW()+1)="","",ROW()-3)</f>
        <v/>
      </c>
      <c r="B944" s="48">
        <f>IFERROR(INDEX('04A_국토부원자료'!$A:$T,ROW()+1,MATCH("시군구",'04A_국토부원자료'!$A$4:$T$4,0)),"")</f>
        <v/>
      </c>
      <c r="C944" s="48">
        <f>IF(B944="","",IFERROR(INDEX('04A_국토부원자료'!$A:$T,ROW()+1,MATCH("번지",'04A_국토부원자료'!$A$4:$T$4,0)),""))</f>
        <v/>
      </c>
      <c r="D944" s="48">
        <f>IF(B944="","",IF(Q944=1,'02_대상물건입력'!$B$8,IFERROR(INDEX('04A_국토부원자료'!$A:$T,ROW()+1,MATCH("단지명",'04A_국토부원자료'!$A$4:$T$4,0)),"")))</f>
        <v/>
      </c>
      <c r="E944" s="172">
        <f>IFERROR(VALUE(SUBSTITUTE(INDEX('04A_국토부원자료'!$A:$T,ROW()+1,MATCH("전용면적(㎡)",'04A_국토부원자료'!$A$4:$T$4,0)),",","")),"")</f>
        <v/>
      </c>
      <c r="F9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44" s="51">
        <f>IFERROR(VALUE(SUBSTITUTE(INDEX('04A_국토부원자료'!$A:$T,ROW()+1,MATCH("거래금액(만원)",'04A_국토부원자료'!$A$4:$T$4,0)),",","")),"")</f>
        <v/>
      </c>
      <c r="H944" s="174">
        <f>IF(G944="","",G944*10000)</f>
        <v/>
      </c>
      <c r="I944" s="174">
        <f>IFERROR(IF(AND(H944&gt;0,E944&gt;0),H944/E944,""),"")</f>
        <v/>
      </c>
      <c r="J944" s="152">
        <f>IFERROR(VALUE(SUBSTITUTE(INDEX('04A_국토부원자료'!$A:$T,ROW()+1,MATCH("층",'04A_국토부원자료'!$A$4:$T$4,0)),",","")),"")</f>
        <v/>
      </c>
      <c r="K944" s="152">
        <f>IFERROR(VALUE(SUBSTITUTE(INDEX('04A_국토부원자료'!$A:$T,ROW()+1,MATCH("건축년도",'04A_국토부원자료'!$A$4:$T$4,0)),",","")),"")</f>
        <v/>
      </c>
      <c r="L944" s="176">
        <f>IFERROR(INDEX('04A_국토부원자료'!$A:$T,ROW()+1,MATCH("도로명",'04A_국토부원자료'!$A$4:$T$4,0)),"")</f>
        <v/>
      </c>
      <c r="M944" s="48">
        <f>IFERROR(INDEX('04A_국토부원자료'!$A:$T,ROW()+1,MATCH("거래유형",'04A_국토부원자료'!$A$4:$T$4,0)),"")</f>
        <v/>
      </c>
      <c r="N944" s="152">
        <f>IF(B944="","",IF('02_대상물건입력'!B5="",1,IF(ISNUMBER(SEARCH('02_대상물건입력'!B5,B944)),1,0)))</f>
        <v/>
      </c>
      <c r="O944" s="152">
        <f>IF(B944="","",IF('02_대상물건입력'!B6="",1,IF(ISNUMBER(SEARCH('02_대상물건입력'!B6,B944)),1,0)))</f>
        <v/>
      </c>
      <c r="P944" s="152">
        <f>IF(L944="","",IF('02_대상물건입력'!B15="",0,IF(ISNUMBER(SEARCH('02_대상물건입력'!B15,L944)),1,0)))</f>
        <v/>
      </c>
      <c r="Q944" s="152">
        <f>IF(OR(C944="",L944=""),0,IF(AND(TRIM(C944)=TRIM(RIGHT(SUBSTITUTE(TRIM('02_대상물건입력'!$B$7)," ",REPT(" ",99)),99)),IF('02_대상물건입력'!B15="",TRUE(),ISNUMBER(SEARCH('02_대상물건입력'!B15,L944)))),1,0))</f>
        <v/>
      </c>
      <c r="R944" s="175">
        <f>IFERROR(ABS(E944-'02_대상물건입력'!B11)/'02_대상물건입력'!B11,"")</f>
        <v/>
      </c>
      <c r="S944" s="152">
        <f>IFERROR(ABS(J944-'02_대상물건입력'!B10),"")</f>
        <v/>
      </c>
      <c r="T944" s="152">
        <f>IFERROR(ABS('01_설정'!B4-F944),"")</f>
        <v/>
      </c>
      <c r="U944" s="152">
        <f>IFERROR(ABS(K944-YEAR('02_대상물건입력'!B14)),"")</f>
        <v/>
      </c>
      <c r="V944" s="152">
        <f>IF(B944="","",IF(AND(E944&gt;0,F944&gt;0,H944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944=1,TRUE()),R944&lt;='01_설정'!B5,S944&lt;='01_설정'!B6,T944&lt;='01_설정'!B7,U944&lt;='01_설정'!B8),"Y",""))</f>
        <v/>
      </c>
      <c r="W944" s="172">
        <f>IF(V944&lt;&gt;"Y","",MAX(0,(1-R944/'01_설정'!B5))*'01_설정'!B14+MAX(0,(1-S944/'01_설정'!B6))*'01_설정'!B15+MAX(0,(1-T944/'01_설정'!B7))*'01_설정'!B16+MAX(0,(1-U944/'01_설정'!B8))*'01_설정'!B17+O944*'01_설정'!B11+Q944*'01_설정'!B12+P944*'01_설정'!B13+IF(Z944="",0,Z944))</f>
        <v/>
      </c>
      <c r="X944" s="152">
        <f>IF(W944="","",1+COUNTIFS($W$4:$W$3003,"&gt;"&amp;W944)+COUNTIFS($W$4:W944,W944)-1)</f>
        <v/>
      </c>
      <c r="Y944" s="175">
        <f>IF(OR(I944="",'02_대상물건입력'!B19="",'02_대상물건입력'!B19&lt;=0),"",ABS(I944-'02_대상물건입력'!B19)/'02_대상물건입력'!B19)</f>
        <v/>
      </c>
      <c r="Z944" s="172">
        <f>IF(OR(Y944="",'01_설정'!B31="",'01_설정'!B31&lt;=0,'01_설정'!B32="",'01_설정'!B32&lt;=0),"",MAX(0,(1-Y944/'01_설정'!B32))*'01_설정'!B31)</f>
        <v/>
      </c>
    </row>
    <row r="945" ht="17.25" customHeight="1">
      <c r="A945" s="152">
        <f>IF(INDEX('04A_국토부원자료'!$A:$A,ROW()+1)="","",ROW()-3)</f>
        <v/>
      </c>
      <c r="B945" s="48">
        <f>IFERROR(INDEX('04A_국토부원자료'!$A:$T,ROW()+1,MATCH("시군구",'04A_국토부원자료'!$A$4:$T$4,0)),"")</f>
        <v/>
      </c>
      <c r="C945" s="48">
        <f>IF(B945="","",IFERROR(INDEX('04A_국토부원자료'!$A:$T,ROW()+1,MATCH("번지",'04A_국토부원자료'!$A$4:$T$4,0)),""))</f>
        <v/>
      </c>
      <c r="D945" s="48">
        <f>IF(B945="","",IF(Q945=1,'02_대상물건입력'!$B$8,IFERROR(INDEX('04A_국토부원자료'!$A:$T,ROW()+1,MATCH("단지명",'04A_국토부원자료'!$A$4:$T$4,0)),"")))</f>
        <v/>
      </c>
      <c r="E945" s="172">
        <f>IFERROR(VALUE(SUBSTITUTE(INDEX('04A_국토부원자료'!$A:$T,ROW()+1,MATCH("전용면적(㎡)",'04A_국토부원자료'!$A$4:$T$4,0)),",","")),"")</f>
        <v/>
      </c>
      <c r="F9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45" s="51">
        <f>IFERROR(VALUE(SUBSTITUTE(INDEX('04A_국토부원자료'!$A:$T,ROW()+1,MATCH("거래금액(만원)",'04A_국토부원자료'!$A$4:$T$4,0)),",","")),"")</f>
        <v/>
      </c>
      <c r="H945" s="174">
        <f>IF(G945="","",G945*10000)</f>
        <v/>
      </c>
      <c r="I945" s="174">
        <f>IFERROR(IF(AND(H945&gt;0,E945&gt;0),H945/E945,""),"")</f>
        <v/>
      </c>
      <c r="J945" s="152">
        <f>IFERROR(VALUE(SUBSTITUTE(INDEX('04A_국토부원자료'!$A:$T,ROW()+1,MATCH("층",'04A_국토부원자료'!$A$4:$T$4,0)),",","")),"")</f>
        <v/>
      </c>
      <c r="K945" s="152">
        <f>IFERROR(VALUE(SUBSTITUTE(INDEX('04A_국토부원자료'!$A:$T,ROW()+1,MATCH("건축년도",'04A_국토부원자료'!$A$4:$T$4,0)),",","")),"")</f>
        <v/>
      </c>
      <c r="L945" s="176">
        <f>IFERROR(INDEX('04A_국토부원자료'!$A:$T,ROW()+1,MATCH("도로명",'04A_국토부원자료'!$A$4:$T$4,0)),"")</f>
        <v/>
      </c>
      <c r="M945" s="48">
        <f>IFERROR(INDEX('04A_국토부원자료'!$A:$T,ROW()+1,MATCH("거래유형",'04A_국토부원자료'!$A$4:$T$4,0)),"")</f>
        <v/>
      </c>
      <c r="N945" s="152">
        <f>IF(B945="","",IF('02_대상물건입력'!B5="",1,IF(ISNUMBER(SEARCH('02_대상물건입력'!B5,B945)),1,0)))</f>
        <v/>
      </c>
      <c r="O945" s="152">
        <f>IF(B945="","",IF('02_대상물건입력'!B6="",1,IF(ISNUMBER(SEARCH('02_대상물건입력'!B6,B945)),1,0)))</f>
        <v/>
      </c>
      <c r="P945" s="152">
        <f>IF(L945="","",IF('02_대상물건입력'!B15="",0,IF(ISNUMBER(SEARCH('02_대상물건입력'!B15,L945)),1,0)))</f>
        <v/>
      </c>
      <c r="Q945" s="152">
        <f>IF(OR(C945="",L945=""),0,IF(AND(TRIM(C945)=TRIM(RIGHT(SUBSTITUTE(TRIM('02_대상물건입력'!$B$7)," ",REPT(" ",99)),99)),IF('02_대상물건입력'!B15="",TRUE(),ISNUMBER(SEARCH('02_대상물건입력'!B15,L945)))),1,0))</f>
        <v/>
      </c>
      <c r="R945" s="175">
        <f>IFERROR(ABS(E945-'02_대상물건입력'!B11)/'02_대상물건입력'!B11,"")</f>
        <v/>
      </c>
      <c r="S945" s="152">
        <f>IFERROR(ABS(J945-'02_대상물건입력'!B10),"")</f>
        <v/>
      </c>
      <c r="T945" s="152">
        <f>IFERROR(ABS('01_설정'!B4-F945),"")</f>
        <v/>
      </c>
      <c r="U945" s="152">
        <f>IFERROR(ABS(K945-YEAR('02_대상물건입력'!B14)),"")</f>
        <v/>
      </c>
      <c r="V945" s="152">
        <f>IF(B945="","",IF(AND(E945&gt;0,F945&gt;0,H945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945=1,TRUE()),R945&lt;='01_설정'!B5,S945&lt;='01_설정'!B6,T945&lt;='01_설정'!B7,U945&lt;='01_설정'!B8),"Y",""))</f>
        <v/>
      </c>
      <c r="W945" s="172">
        <f>IF(V945&lt;&gt;"Y","",MAX(0,(1-R945/'01_설정'!B5))*'01_설정'!B14+MAX(0,(1-S945/'01_설정'!B6))*'01_설정'!B15+MAX(0,(1-T945/'01_설정'!B7))*'01_설정'!B16+MAX(0,(1-U945/'01_설정'!B8))*'01_설정'!B17+O945*'01_설정'!B11+Q945*'01_설정'!B12+P945*'01_설정'!B13+IF(Z945="",0,Z945))</f>
        <v/>
      </c>
      <c r="X945" s="152">
        <f>IF(W945="","",1+COUNTIFS($W$4:$W$3003,"&gt;"&amp;W945)+COUNTIFS($W$4:W945,W945)-1)</f>
        <v/>
      </c>
      <c r="Y945" s="175">
        <f>IF(OR(I945="",'02_대상물건입력'!B19="",'02_대상물건입력'!B19&lt;=0),"",ABS(I945-'02_대상물건입력'!B19)/'02_대상물건입력'!B19)</f>
        <v/>
      </c>
      <c r="Z945" s="172">
        <f>IF(OR(Y945="",'01_설정'!B31="",'01_설정'!B31&lt;=0,'01_설정'!B32="",'01_설정'!B32&lt;=0),"",MAX(0,(1-Y945/'01_설정'!B32))*'01_설정'!B31)</f>
        <v/>
      </c>
    </row>
    <row r="946" ht="17.25" customHeight="1">
      <c r="A946" s="152">
        <f>IF(INDEX('04A_국토부원자료'!$A:$A,ROW()+1)="","",ROW()-3)</f>
        <v/>
      </c>
      <c r="B946" s="48">
        <f>IFERROR(INDEX('04A_국토부원자료'!$A:$T,ROW()+1,MATCH("시군구",'04A_국토부원자료'!$A$4:$T$4,0)),"")</f>
        <v/>
      </c>
      <c r="C946" s="48">
        <f>IF(B946="","",IFERROR(INDEX('04A_국토부원자료'!$A:$T,ROW()+1,MATCH("번지",'04A_국토부원자료'!$A$4:$T$4,0)),""))</f>
        <v/>
      </c>
      <c r="D946" s="48">
        <f>IF(B946="","",IF(Q946=1,'02_대상물건입력'!$B$8,IFERROR(INDEX('04A_국토부원자료'!$A:$T,ROW()+1,MATCH("단지명",'04A_국토부원자료'!$A$4:$T$4,0)),"")))</f>
        <v/>
      </c>
      <c r="E946" s="172">
        <f>IFERROR(VALUE(SUBSTITUTE(INDEX('04A_국토부원자료'!$A:$T,ROW()+1,MATCH("전용면적(㎡)",'04A_국토부원자료'!$A$4:$T$4,0)),",","")),"")</f>
        <v/>
      </c>
      <c r="F9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46" s="51">
        <f>IFERROR(VALUE(SUBSTITUTE(INDEX('04A_국토부원자료'!$A:$T,ROW()+1,MATCH("거래금액(만원)",'04A_국토부원자료'!$A$4:$T$4,0)),",","")),"")</f>
        <v/>
      </c>
      <c r="H946" s="174">
        <f>IF(G946="","",G946*10000)</f>
        <v/>
      </c>
      <c r="I946" s="174">
        <f>IFERROR(IF(AND(H946&gt;0,E946&gt;0),H946/E946,""),"")</f>
        <v/>
      </c>
      <c r="J946" s="152">
        <f>IFERROR(VALUE(SUBSTITUTE(INDEX('04A_국토부원자료'!$A:$T,ROW()+1,MATCH("층",'04A_국토부원자료'!$A$4:$T$4,0)),",","")),"")</f>
        <v/>
      </c>
      <c r="K946" s="152">
        <f>IFERROR(VALUE(SUBSTITUTE(INDEX('04A_국토부원자료'!$A:$T,ROW()+1,MATCH("건축년도",'04A_국토부원자료'!$A$4:$T$4,0)),",","")),"")</f>
        <v/>
      </c>
      <c r="L946" s="176">
        <f>IFERROR(INDEX('04A_국토부원자료'!$A:$T,ROW()+1,MATCH("도로명",'04A_국토부원자료'!$A$4:$T$4,0)),"")</f>
        <v/>
      </c>
      <c r="M946" s="48">
        <f>IFERROR(INDEX('04A_국토부원자료'!$A:$T,ROW()+1,MATCH("거래유형",'04A_국토부원자료'!$A$4:$T$4,0)),"")</f>
        <v/>
      </c>
      <c r="N946" s="152">
        <f>IF(B946="","",IF('02_대상물건입력'!B5="",1,IF(ISNUMBER(SEARCH('02_대상물건입력'!B5,B946)),1,0)))</f>
        <v/>
      </c>
      <c r="O946" s="152">
        <f>IF(B946="","",IF('02_대상물건입력'!B6="",1,IF(ISNUMBER(SEARCH('02_대상물건입력'!B6,B946)),1,0)))</f>
        <v/>
      </c>
      <c r="P946" s="152">
        <f>IF(L946="","",IF('02_대상물건입력'!B15="",0,IF(ISNUMBER(SEARCH('02_대상물건입력'!B15,L946)),1,0)))</f>
        <v/>
      </c>
      <c r="Q946" s="152">
        <f>IF(OR(C946="",L946=""),0,IF(AND(TRIM(C946)=TRIM(RIGHT(SUBSTITUTE(TRIM('02_대상물건입력'!$B$7)," ",REPT(" ",99)),99)),IF('02_대상물건입력'!B15="",TRUE(),ISNUMBER(SEARCH('02_대상물건입력'!B15,L946)))),1,0))</f>
        <v/>
      </c>
      <c r="R946" s="175">
        <f>IFERROR(ABS(E946-'02_대상물건입력'!B11)/'02_대상물건입력'!B11,"")</f>
        <v/>
      </c>
      <c r="S946" s="152">
        <f>IFERROR(ABS(J946-'02_대상물건입력'!B10),"")</f>
        <v/>
      </c>
      <c r="T946" s="152">
        <f>IFERROR(ABS('01_설정'!B4-F946),"")</f>
        <v/>
      </c>
      <c r="U946" s="152">
        <f>IFERROR(ABS(K946-YEAR('02_대상물건입력'!B14)),"")</f>
        <v/>
      </c>
      <c r="V946" s="152">
        <f>IF(B946="","",IF(AND(E946&gt;0,F946&gt;0,H946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946=1,TRUE()),R946&lt;='01_설정'!B5,S946&lt;='01_설정'!B6,T946&lt;='01_설정'!B7,U946&lt;='01_설정'!B8),"Y",""))</f>
        <v/>
      </c>
      <c r="W946" s="172">
        <f>IF(V946&lt;&gt;"Y","",MAX(0,(1-R946/'01_설정'!B5))*'01_설정'!B14+MAX(0,(1-S946/'01_설정'!B6))*'01_설정'!B15+MAX(0,(1-T946/'01_설정'!B7))*'01_설정'!B16+MAX(0,(1-U946/'01_설정'!B8))*'01_설정'!B17+O946*'01_설정'!B11+Q946*'01_설정'!B12+P946*'01_설정'!B13+IF(Z946="",0,Z946))</f>
        <v/>
      </c>
      <c r="X946" s="152">
        <f>IF(W946="","",1+COUNTIFS($W$4:$W$3003,"&gt;"&amp;W946)+COUNTIFS($W$4:W946,W946)-1)</f>
        <v/>
      </c>
      <c r="Y946" s="175">
        <f>IF(OR(I946="",'02_대상물건입력'!B19="",'02_대상물건입력'!B19&lt;=0),"",ABS(I946-'02_대상물건입력'!B19)/'02_대상물건입력'!B19)</f>
        <v/>
      </c>
      <c r="Z946" s="172">
        <f>IF(OR(Y946="",'01_설정'!B31="",'01_설정'!B31&lt;=0,'01_설정'!B32="",'01_설정'!B32&lt;=0),"",MAX(0,(1-Y946/'01_설정'!B32))*'01_설정'!B31)</f>
        <v/>
      </c>
    </row>
    <row r="947" ht="17.25" customHeight="1">
      <c r="A947" s="152">
        <f>IF(INDEX('04A_국토부원자료'!$A:$A,ROW()+1)="","",ROW()-3)</f>
        <v/>
      </c>
      <c r="B947" s="48">
        <f>IFERROR(INDEX('04A_국토부원자료'!$A:$T,ROW()+1,MATCH("시군구",'04A_국토부원자료'!$A$4:$T$4,0)),"")</f>
        <v/>
      </c>
      <c r="C947" s="48">
        <f>IF(B947="","",IFERROR(INDEX('04A_국토부원자료'!$A:$T,ROW()+1,MATCH("번지",'04A_국토부원자료'!$A$4:$T$4,0)),""))</f>
        <v/>
      </c>
      <c r="D947" s="48">
        <f>IF(B947="","",IF(Q947=1,'02_대상물건입력'!$B$8,IFERROR(INDEX('04A_국토부원자료'!$A:$T,ROW()+1,MATCH("단지명",'04A_국토부원자료'!$A$4:$T$4,0)),"")))</f>
        <v/>
      </c>
      <c r="E947" s="172">
        <f>IFERROR(VALUE(SUBSTITUTE(INDEX('04A_국토부원자료'!$A:$T,ROW()+1,MATCH("전용면적(㎡)",'04A_국토부원자료'!$A$4:$T$4,0)),",","")),"")</f>
        <v/>
      </c>
      <c r="F9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47" s="51">
        <f>IFERROR(VALUE(SUBSTITUTE(INDEX('04A_국토부원자료'!$A:$T,ROW()+1,MATCH("거래금액(만원)",'04A_국토부원자료'!$A$4:$T$4,0)),",","")),"")</f>
        <v/>
      </c>
      <c r="H947" s="174">
        <f>IF(G947="","",G947*10000)</f>
        <v/>
      </c>
      <c r="I947" s="174">
        <f>IFERROR(IF(AND(H947&gt;0,E947&gt;0),H947/E947,""),"")</f>
        <v/>
      </c>
      <c r="J947" s="152">
        <f>IFERROR(VALUE(SUBSTITUTE(INDEX('04A_국토부원자료'!$A:$T,ROW()+1,MATCH("층",'04A_국토부원자료'!$A$4:$T$4,0)),",","")),"")</f>
        <v/>
      </c>
      <c r="K947" s="152">
        <f>IFERROR(VALUE(SUBSTITUTE(INDEX('04A_국토부원자료'!$A:$T,ROW()+1,MATCH("건축년도",'04A_국토부원자료'!$A$4:$T$4,0)),",","")),"")</f>
        <v/>
      </c>
      <c r="L947" s="176">
        <f>IFERROR(INDEX('04A_국토부원자료'!$A:$T,ROW()+1,MATCH("도로명",'04A_국토부원자료'!$A$4:$T$4,0)),"")</f>
        <v/>
      </c>
      <c r="M947" s="48">
        <f>IFERROR(INDEX('04A_국토부원자료'!$A:$T,ROW()+1,MATCH("거래유형",'04A_국토부원자료'!$A$4:$T$4,0)),"")</f>
        <v/>
      </c>
      <c r="N947" s="152">
        <f>IF(B947="","",IF('02_대상물건입력'!B5="",1,IF(ISNUMBER(SEARCH('02_대상물건입력'!B5,B947)),1,0)))</f>
        <v/>
      </c>
      <c r="O947" s="152">
        <f>IF(B947="","",IF('02_대상물건입력'!B6="",1,IF(ISNUMBER(SEARCH('02_대상물건입력'!B6,B947)),1,0)))</f>
        <v/>
      </c>
      <c r="P947" s="152">
        <f>IF(L947="","",IF('02_대상물건입력'!B15="",0,IF(ISNUMBER(SEARCH('02_대상물건입력'!B15,L947)),1,0)))</f>
        <v/>
      </c>
      <c r="Q947" s="152">
        <f>IF(OR(C947="",L947=""),0,IF(AND(TRIM(C947)=TRIM(RIGHT(SUBSTITUTE(TRIM('02_대상물건입력'!$B$7)," ",REPT(" ",99)),99)),IF('02_대상물건입력'!B15="",TRUE(),ISNUMBER(SEARCH('02_대상물건입력'!B15,L947)))),1,0))</f>
        <v/>
      </c>
      <c r="R947" s="175">
        <f>IFERROR(ABS(E947-'02_대상물건입력'!B11)/'02_대상물건입력'!B11,"")</f>
        <v/>
      </c>
      <c r="S947" s="152">
        <f>IFERROR(ABS(J947-'02_대상물건입력'!B10),"")</f>
        <v/>
      </c>
      <c r="T947" s="152">
        <f>IFERROR(ABS('01_설정'!B4-F947),"")</f>
        <v/>
      </c>
      <c r="U947" s="152">
        <f>IFERROR(ABS(K947-YEAR('02_대상물건입력'!B14)),"")</f>
        <v/>
      </c>
      <c r="V947" s="152">
        <f>IF(B947="","",IF(AND(E947&gt;0,F947&gt;0,H947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947=1,TRUE()),R947&lt;='01_설정'!B5,S947&lt;='01_설정'!B6,T947&lt;='01_설정'!B7,U947&lt;='01_설정'!B8),"Y",""))</f>
        <v/>
      </c>
      <c r="W947" s="172">
        <f>IF(V947&lt;&gt;"Y","",MAX(0,(1-R947/'01_설정'!B5))*'01_설정'!B14+MAX(0,(1-S947/'01_설정'!B6))*'01_설정'!B15+MAX(0,(1-T947/'01_설정'!B7))*'01_설정'!B16+MAX(0,(1-U947/'01_설정'!B8))*'01_설정'!B17+O947*'01_설정'!B11+Q947*'01_설정'!B12+P947*'01_설정'!B13+IF(Z947="",0,Z947))</f>
        <v/>
      </c>
      <c r="X947" s="152">
        <f>IF(W947="","",1+COUNTIFS($W$4:$W$3003,"&gt;"&amp;W947)+COUNTIFS($W$4:W947,W947)-1)</f>
        <v/>
      </c>
      <c r="Y947" s="175">
        <f>IF(OR(I947="",'02_대상물건입력'!B19="",'02_대상물건입력'!B19&lt;=0),"",ABS(I947-'02_대상물건입력'!B19)/'02_대상물건입력'!B19)</f>
        <v/>
      </c>
      <c r="Z947" s="172">
        <f>IF(OR(Y947="",'01_설정'!B31="",'01_설정'!B31&lt;=0,'01_설정'!B32="",'01_설정'!B32&lt;=0),"",MAX(0,(1-Y947/'01_설정'!B32))*'01_설정'!B31)</f>
        <v/>
      </c>
    </row>
    <row r="948" ht="17.25" customHeight="1">
      <c r="A948" s="152">
        <f>IF(INDEX('04A_국토부원자료'!$A:$A,ROW()+1)="","",ROW()-3)</f>
        <v/>
      </c>
      <c r="B948" s="48">
        <f>IFERROR(INDEX('04A_국토부원자료'!$A:$T,ROW()+1,MATCH("시군구",'04A_국토부원자료'!$A$4:$T$4,0)),"")</f>
        <v/>
      </c>
      <c r="C948" s="48">
        <f>IF(B948="","",IFERROR(INDEX('04A_국토부원자료'!$A:$T,ROW()+1,MATCH("번지",'04A_국토부원자료'!$A$4:$T$4,0)),""))</f>
        <v/>
      </c>
      <c r="D948" s="48">
        <f>IF(B948="","",IF(Q948=1,'02_대상물건입력'!$B$8,IFERROR(INDEX('04A_국토부원자료'!$A:$T,ROW()+1,MATCH("단지명",'04A_국토부원자료'!$A$4:$T$4,0)),"")))</f>
        <v/>
      </c>
      <c r="E948" s="172">
        <f>IFERROR(VALUE(SUBSTITUTE(INDEX('04A_국토부원자료'!$A:$T,ROW()+1,MATCH("전용면적(㎡)",'04A_국토부원자료'!$A$4:$T$4,0)),",","")),"")</f>
        <v/>
      </c>
      <c r="F9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48" s="51">
        <f>IFERROR(VALUE(SUBSTITUTE(INDEX('04A_국토부원자료'!$A:$T,ROW()+1,MATCH("거래금액(만원)",'04A_국토부원자료'!$A$4:$T$4,0)),",","")),"")</f>
        <v/>
      </c>
      <c r="H948" s="174">
        <f>IF(G948="","",G948*10000)</f>
        <v/>
      </c>
      <c r="I948" s="174">
        <f>IFERROR(IF(AND(H948&gt;0,E948&gt;0),H948/E948,""),"")</f>
        <v/>
      </c>
      <c r="J948" s="152">
        <f>IFERROR(VALUE(SUBSTITUTE(INDEX('04A_국토부원자료'!$A:$T,ROW()+1,MATCH("층",'04A_국토부원자료'!$A$4:$T$4,0)),",","")),"")</f>
        <v/>
      </c>
      <c r="K948" s="152">
        <f>IFERROR(VALUE(SUBSTITUTE(INDEX('04A_국토부원자료'!$A:$T,ROW()+1,MATCH("건축년도",'04A_국토부원자료'!$A$4:$T$4,0)),",","")),"")</f>
        <v/>
      </c>
      <c r="L948" s="176">
        <f>IFERROR(INDEX('04A_국토부원자료'!$A:$T,ROW()+1,MATCH("도로명",'04A_국토부원자료'!$A$4:$T$4,0)),"")</f>
        <v/>
      </c>
      <c r="M948" s="48">
        <f>IFERROR(INDEX('04A_국토부원자료'!$A:$T,ROW()+1,MATCH("거래유형",'04A_국토부원자료'!$A$4:$T$4,0)),"")</f>
        <v/>
      </c>
      <c r="N948" s="152">
        <f>IF(B948="","",IF('02_대상물건입력'!B5="",1,IF(ISNUMBER(SEARCH('02_대상물건입력'!B5,B948)),1,0)))</f>
        <v/>
      </c>
      <c r="O948" s="152">
        <f>IF(B948="","",IF('02_대상물건입력'!B6="",1,IF(ISNUMBER(SEARCH('02_대상물건입력'!B6,B948)),1,0)))</f>
        <v/>
      </c>
      <c r="P948" s="152">
        <f>IF(L948="","",IF('02_대상물건입력'!B15="",0,IF(ISNUMBER(SEARCH('02_대상물건입력'!B15,L948)),1,0)))</f>
        <v/>
      </c>
      <c r="Q948" s="152">
        <f>IF(OR(C948="",L948=""),0,IF(AND(TRIM(C948)=TRIM(RIGHT(SUBSTITUTE(TRIM('02_대상물건입력'!$B$7)," ",REPT(" ",99)),99)),IF('02_대상물건입력'!B15="",TRUE(),ISNUMBER(SEARCH('02_대상물건입력'!B15,L948)))),1,0))</f>
        <v/>
      </c>
      <c r="R948" s="175">
        <f>IFERROR(ABS(E948-'02_대상물건입력'!B11)/'02_대상물건입력'!B11,"")</f>
        <v/>
      </c>
      <c r="S948" s="152">
        <f>IFERROR(ABS(J948-'02_대상물건입력'!B10),"")</f>
        <v/>
      </c>
      <c r="T948" s="152">
        <f>IFERROR(ABS('01_설정'!B4-F948),"")</f>
        <v/>
      </c>
      <c r="U948" s="152">
        <f>IFERROR(ABS(K948-YEAR('02_대상물건입력'!B14)),"")</f>
        <v/>
      </c>
      <c r="V948" s="152">
        <f>IF(B948="","",IF(AND(E948&gt;0,F948&gt;0,H948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948=1,TRUE()),R948&lt;='01_설정'!B5,S948&lt;='01_설정'!B6,T948&lt;='01_설정'!B7,U948&lt;='01_설정'!B8),"Y",""))</f>
        <v/>
      </c>
      <c r="W948" s="172">
        <f>IF(V948&lt;&gt;"Y","",MAX(0,(1-R948/'01_설정'!B5))*'01_설정'!B14+MAX(0,(1-S948/'01_설정'!B6))*'01_설정'!B15+MAX(0,(1-T948/'01_설정'!B7))*'01_설정'!B16+MAX(0,(1-U948/'01_설정'!B8))*'01_설정'!B17+O948*'01_설정'!B11+Q948*'01_설정'!B12+P948*'01_설정'!B13+IF(Z948="",0,Z948))</f>
        <v/>
      </c>
      <c r="X948" s="152">
        <f>IF(W948="","",1+COUNTIFS($W$4:$W$3003,"&gt;"&amp;W948)+COUNTIFS($W$4:W948,W948)-1)</f>
        <v/>
      </c>
      <c r="Y948" s="175">
        <f>IF(OR(I948="",'02_대상물건입력'!B19="",'02_대상물건입력'!B19&lt;=0),"",ABS(I948-'02_대상물건입력'!B19)/'02_대상물건입력'!B19)</f>
        <v/>
      </c>
      <c r="Z948" s="172">
        <f>IF(OR(Y948="",'01_설정'!B31="",'01_설정'!B31&lt;=0,'01_설정'!B32="",'01_설정'!B32&lt;=0),"",MAX(0,(1-Y948/'01_설정'!B32))*'01_설정'!B31)</f>
        <v/>
      </c>
    </row>
    <row r="949" ht="17.25" customHeight="1">
      <c r="A949" s="152">
        <f>IF(INDEX('04A_국토부원자료'!$A:$A,ROW()+1)="","",ROW()-3)</f>
        <v/>
      </c>
      <c r="B949" s="48">
        <f>IFERROR(INDEX('04A_국토부원자료'!$A:$T,ROW()+1,MATCH("시군구",'04A_국토부원자료'!$A$4:$T$4,0)),"")</f>
        <v/>
      </c>
      <c r="C949" s="48">
        <f>IF(B949="","",IFERROR(INDEX('04A_국토부원자료'!$A:$T,ROW()+1,MATCH("번지",'04A_국토부원자료'!$A$4:$T$4,0)),""))</f>
        <v/>
      </c>
      <c r="D949" s="48">
        <f>IF(B949="","",IF(Q949=1,'02_대상물건입력'!$B$8,IFERROR(INDEX('04A_국토부원자료'!$A:$T,ROW()+1,MATCH("단지명",'04A_국토부원자료'!$A$4:$T$4,0)),"")))</f>
        <v/>
      </c>
      <c r="E949" s="172">
        <f>IFERROR(VALUE(SUBSTITUTE(INDEX('04A_국토부원자료'!$A:$T,ROW()+1,MATCH("전용면적(㎡)",'04A_국토부원자료'!$A$4:$T$4,0)),",","")),"")</f>
        <v/>
      </c>
      <c r="F9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49" s="51">
        <f>IFERROR(VALUE(SUBSTITUTE(INDEX('04A_국토부원자료'!$A:$T,ROW()+1,MATCH("거래금액(만원)",'04A_국토부원자료'!$A$4:$T$4,0)),",","")),"")</f>
        <v/>
      </c>
      <c r="H949" s="174">
        <f>IF(G949="","",G949*10000)</f>
        <v/>
      </c>
      <c r="I949" s="174">
        <f>IFERROR(IF(AND(H949&gt;0,E949&gt;0),H949/E949,""),"")</f>
        <v/>
      </c>
      <c r="J949" s="152">
        <f>IFERROR(VALUE(SUBSTITUTE(INDEX('04A_국토부원자료'!$A:$T,ROW()+1,MATCH("층",'04A_국토부원자료'!$A$4:$T$4,0)),",","")),"")</f>
        <v/>
      </c>
      <c r="K949" s="152">
        <f>IFERROR(VALUE(SUBSTITUTE(INDEX('04A_국토부원자료'!$A:$T,ROW()+1,MATCH("건축년도",'04A_국토부원자료'!$A$4:$T$4,0)),",","")),"")</f>
        <v/>
      </c>
      <c r="L949" s="176">
        <f>IFERROR(INDEX('04A_국토부원자료'!$A:$T,ROW()+1,MATCH("도로명",'04A_국토부원자료'!$A$4:$T$4,0)),"")</f>
        <v/>
      </c>
      <c r="M949" s="48">
        <f>IFERROR(INDEX('04A_국토부원자료'!$A:$T,ROW()+1,MATCH("거래유형",'04A_국토부원자료'!$A$4:$T$4,0)),"")</f>
        <v/>
      </c>
      <c r="N949" s="152">
        <f>IF(B949="","",IF('02_대상물건입력'!B5="",1,IF(ISNUMBER(SEARCH('02_대상물건입력'!B5,B949)),1,0)))</f>
        <v/>
      </c>
      <c r="O949" s="152">
        <f>IF(B949="","",IF('02_대상물건입력'!B6="",1,IF(ISNUMBER(SEARCH('02_대상물건입력'!B6,B949)),1,0)))</f>
        <v/>
      </c>
      <c r="P949" s="152">
        <f>IF(L949="","",IF('02_대상물건입력'!B15="",0,IF(ISNUMBER(SEARCH('02_대상물건입력'!B15,L949)),1,0)))</f>
        <v/>
      </c>
      <c r="Q949" s="152">
        <f>IF(OR(C949="",L949=""),0,IF(AND(TRIM(C949)=TRIM(RIGHT(SUBSTITUTE(TRIM('02_대상물건입력'!$B$7)," ",REPT(" ",99)),99)),IF('02_대상물건입력'!B15="",TRUE(),ISNUMBER(SEARCH('02_대상물건입력'!B15,L949)))),1,0))</f>
        <v/>
      </c>
      <c r="R949" s="175">
        <f>IFERROR(ABS(E949-'02_대상물건입력'!B11)/'02_대상물건입력'!B11,"")</f>
        <v/>
      </c>
      <c r="S949" s="152">
        <f>IFERROR(ABS(J949-'02_대상물건입력'!B10),"")</f>
        <v/>
      </c>
      <c r="T949" s="152">
        <f>IFERROR(ABS('01_설정'!B4-F949),"")</f>
        <v/>
      </c>
      <c r="U949" s="152">
        <f>IFERROR(ABS(K949-YEAR('02_대상물건입력'!B14)),"")</f>
        <v/>
      </c>
      <c r="V949" s="152">
        <f>IF(B949="","",IF(AND(E949&gt;0,F949&gt;0,H949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949=1,TRUE()),R949&lt;='01_설정'!B5,S949&lt;='01_설정'!B6,T949&lt;='01_설정'!B7,U949&lt;='01_설정'!B8),"Y",""))</f>
        <v/>
      </c>
      <c r="W949" s="172">
        <f>IF(V949&lt;&gt;"Y","",MAX(0,(1-R949/'01_설정'!B5))*'01_설정'!B14+MAX(0,(1-S949/'01_설정'!B6))*'01_설정'!B15+MAX(0,(1-T949/'01_설정'!B7))*'01_설정'!B16+MAX(0,(1-U949/'01_설정'!B8))*'01_설정'!B17+O949*'01_설정'!B11+Q949*'01_설정'!B12+P949*'01_설정'!B13+IF(Z949="",0,Z949))</f>
        <v/>
      </c>
      <c r="X949" s="152">
        <f>IF(W949="","",1+COUNTIFS($W$4:$W$3003,"&gt;"&amp;W949)+COUNTIFS($W$4:W949,W949)-1)</f>
        <v/>
      </c>
      <c r="Y949" s="175">
        <f>IF(OR(I949="",'02_대상물건입력'!B19="",'02_대상물건입력'!B19&lt;=0),"",ABS(I949-'02_대상물건입력'!B19)/'02_대상물건입력'!B19)</f>
        <v/>
      </c>
      <c r="Z949" s="172">
        <f>IF(OR(Y949="",'01_설정'!B31="",'01_설정'!B31&lt;=0,'01_설정'!B32="",'01_설정'!B32&lt;=0),"",MAX(0,(1-Y949/'01_설정'!B32))*'01_설정'!B31)</f>
        <v/>
      </c>
    </row>
    <row r="950" ht="17.25" customHeight="1">
      <c r="A950" s="152">
        <f>IF(INDEX('04A_국토부원자료'!$A:$A,ROW()+1)="","",ROW()-3)</f>
        <v/>
      </c>
      <c r="B950" s="48">
        <f>IFERROR(INDEX('04A_국토부원자료'!$A:$T,ROW()+1,MATCH("시군구",'04A_국토부원자료'!$A$4:$T$4,0)),"")</f>
        <v/>
      </c>
      <c r="C950" s="48">
        <f>IF(B950="","",IFERROR(INDEX('04A_국토부원자료'!$A:$T,ROW()+1,MATCH("번지",'04A_국토부원자료'!$A$4:$T$4,0)),""))</f>
        <v/>
      </c>
      <c r="D950" s="48">
        <f>IF(B950="","",IF(Q950=1,'02_대상물건입력'!$B$8,IFERROR(INDEX('04A_국토부원자료'!$A:$T,ROW()+1,MATCH("단지명",'04A_국토부원자료'!$A$4:$T$4,0)),"")))</f>
        <v/>
      </c>
      <c r="E950" s="172">
        <f>IFERROR(VALUE(SUBSTITUTE(INDEX('04A_국토부원자료'!$A:$T,ROW()+1,MATCH("전용면적(㎡)",'04A_국토부원자료'!$A$4:$T$4,0)),",","")),"")</f>
        <v/>
      </c>
      <c r="F9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50" s="51">
        <f>IFERROR(VALUE(SUBSTITUTE(INDEX('04A_국토부원자료'!$A:$T,ROW()+1,MATCH("거래금액(만원)",'04A_국토부원자료'!$A$4:$T$4,0)),",","")),"")</f>
        <v/>
      </c>
      <c r="H950" s="174">
        <f>IF(G950="","",G950*10000)</f>
        <v/>
      </c>
      <c r="I950" s="174">
        <f>IFERROR(IF(AND(H950&gt;0,E950&gt;0),H950/E950,""),"")</f>
        <v/>
      </c>
      <c r="J950" s="152">
        <f>IFERROR(VALUE(SUBSTITUTE(INDEX('04A_국토부원자료'!$A:$T,ROW()+1,MATCH("층",'04A_국토부원자료'!$A$4:$T$4,0)),",","")),"")</f>
        <v/>
      </c>
      <c r="K950" s="152">
        <f>IFERROR(VALUE(SUBSTITUTE(INDEX('04A_국토부원자료'!$A:$T,ROW()+1,MATCH("건축년도",'04A_국토부원자료'!$A$4:$T$4,0)),",","")),"")</f>
        <v/>
      </c>
      <c r="L950" s="176">
        <f>IFERROR(INDEX('04A_국토부원자료'!$A:$T,ROW()+1,MATCH("도로명",'04A_국토부원자료'!$A$4:$T$4,0)),"")</f>
        <v/>
      </c>
      <c r="M950" s="48">
        <f>IFERROR(INDEX('04A_국토부원자료'!$A:$T,ROW()+1,MATCH("거래유형",'04A_국토부원자료'!$A$4:$T$4,0)),"")</f>
        <v/>
      </c>
      <c r="N950" s="152">
        <f>IF(B950="","",IF('02_대상물건입력'!B5="",1,IF(ISNUMBER(SEARCH('02_대상물건입력'!B5,B950)),1,0)))</f>
        <v/>
      </c>
      <c r="O950" s="152">
        <f>IF(B950="","",IF('02_대상물건입력'!B6="",1,IF(ISNUMBER(SEARCH('02_대상물건입력'!B6,B950)),1,0)))</f>
        <v/>
      </c>
      <c r="P950" s="152">
        <f>IF(L950="","",IF('02_대상물건입력'!B15="",0,IF(ISNUMBER(SEARCH('02_대상물건입력'!B15,L950)),1,0)))</f>
        <v/>
      </c>
      <c r="Q950" s="152">
        <f>IF(OR(C950="",L950=""),0,IF(AND(TRIM(C950)=TRIM(RIGHT(SUBSTITUTE(TRIM('02_대상물건입력'!$B$7)," ",REPT(" ",99)),99)),IF('02_대상물건입력'!B15="",TRUE(),ISNUMBER(SEARCH('02_대상물건입력'!B15,L950)))),1,0))</f>
        <v/>
      </c>
      <c r="R950" s="175">
        <f>IFERROR(ABS(E950-'02_대상물건입력'!B11)/'02_대상물건입력'!B11,"")</f>
        <v/>
      </c>
      <c r="S950" s="152">
        <f>IFERROR(ABS(J950-'02_대상물건입력'!B10),"")</f>
        <v/>
      </c>
      <c r="T950" s="152">
        <f>IFERROR(ABS('01_설정'!B4-F950),"")</f>
        <v/>
      </c>
      <c r="U950" s="152">
        <f>IFERROR(ABS(K950-YEAR('02_대상물건입력'!B14)),"")</f>
        <v/>
      </c>
      <c r="V950" s="152">
        <f>IF(B950="","",IF(AND(E950&gt;0,F950&gt;0,H950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950=1,TRUE()),R950&lt;='01_설정'!B5,S950&lt;='01_설정'!B6,T950&lt;='01_설정'!B7,U950&lt;='01_설정'!B8),"Y",""))</f>
        <v/>
      </c>
      <c r="W950" s="172">
        <f>IF(V950&lt;&gt;"Y","",MAX(0,(1-R950/'01_설정'!B5))*'01_설정'!B14+MAX(0,(1-S950/'01_설정'!B6))*'01_설정'!B15+MAX(0,(1-T950/'01_설정'!B7))*'01_설정'!B16+MAX(0,(1-U950/'01_설정'!B8))*'01_설정'!B17+O950*'01_설정'!B11+Q950*'01_설정'!B12+P950*'01_설정'!B13+IF(Z950="",0,Z950))</f>
        <v/>
      </c>
      <c r="X950" s="152">
        <f>IF(W950="","",1+COUNTIFS($W$4:$W$3003,"&gt;"&amp;W950)+COUNTIFS($W$4:W950,W950)-1)</f>
        <v/>
      </c>
      <c r="Y950" s="175">
        <f>IF(OR(I950="",'02_대상물건입력'!B19="",'02_대상물건입력'!B19&lt;=0),"",ABS(I950-'02_대상물건입력'!B19)/'02_대상물건입력'!B19)</f>
        <v/>
      </c>
      <c r="Z950" s="172">
        <f>IF(OR(Y950="",'01_설정'!B31="",'01_설정'!B31&lt;=0,'01_설정'!B32="",'01_설정'!B32&lt;=0),"",MAX(0,(1-Y950/'01_설정'!B32))*'01_설정'!B31)</f>
        <v/>
      </c>
    </row>
    <row r="951" ht="17.25" customHeight="1">
      <c r="A951" s="152">
        <f>IF(INDEX('04A_국토부원자료'!$A:$A,ROW()+1)="","",ROW()-3)</f>
        <v/>
      </c>
      <c r="B951" s="48">
        <f>IFERROR(INDEX('04A_국토부원자료'!$A:$T,ROW()+1,MATCH("시군구",'04A_국토부원자료'!$A$4:$T$4,0)),"")</f>
        <v/>
      </c>
      <c r="C951" s="48">
        <f>IF(B951="","",IFERROR(INDEX('04A_국토부원자료'!$A:$T,ROW()+1,MATCH("번지",'04A_국토부원자료'!$A$4:$T$4,0)),""))</f>
        <v/>
      </c>
      <c r="D951" s="48">
        <f>IF(B951="","",IF(Q951=1,'02_대상물건입력'!$B$8,IFERROR(INDEX('04A_국토부원자료'!$A:$T,ROW()+1,MATCH("단지명",'04A_국토부원자료'!$A$4:$T$4,0)),"")))</f>
        <v/>
      </c>
      <c r="E951" s="172">
        <f>IFERROR(VALUE(SUBSTITUTE(INDEX('04A_국토부원자료'!$A:$T,ROW()+1,MATCH("전용면적(㎡)",'04A_국토부원자료'!$A$4:$T$4,0)),",","")),"")</f>
        <v/>
      </c>
      <c r="F9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51" s="51">
        <f>IFERROR(VALUE(SUBSTITUTE(INDEX('04A_국토부원자료'!$A:$T,ROW()+1,MATCH("거래금액(만원)",'04A_국토부원자료'!$A$4:$T$4,0)),",","")),"")</f>
        <v/>
      </c>
      <c r="H951" s="174">
        <f>IF(G951="","",G951*10000)</f>
        <v/>
      </c>
      <c r="I951" s="174">
        <f>IFERROR(IF(AND(H951&gt;0,E951&gt;0),H951/E951,""),"")</f>
        <v/>
      </c>
      <c r="J951" s="152">
        <f>IFERROR(VALUE(SUBSTITUTE(INDEX('04A_국토부원자료'!$A:$T,ROW()+1,MATCH("층",'04A_국토부원자료'!$A$4:$T$4,0)),",","")),"")</f>
        <v/>
      </c>
      <c r="K951" s="152">
        <f>IFERROR(VALUE(SUBSTITUTE(INDEX('04A_국토부원자료'!$A:$T,ROW()+1,MATCH("건축년도",'04A_국토부원자료'!$A$4:$T$4,0)),",","")),"")</f>
        <v/>
      </c>
      <c r="L951" s="176">
        <f>IFERROR(INDEX('04A_국토부원자료'!$A:$T,ROW()+1,MATCH("도로명",'04A_국토부원자료'!$A$4:$T$4,0)),"")</f>
        <v/>
      </c>
      <c r="M951" s="48">
        <f>IFERROR(INDEX('04A_국토부원자료'!$A:$T,ROW()+1,MATCH("거래유형",'04A_국토부원자료'!$A$4:$T$4,0)),"")</f>
        <v/>
      </c>
      <c r="N951" s="152">
        <f>IF(B951="","",IF('02_대상물건입력'!B5="",1,IF(ISNUMBER(SEARCH('02_대상물건입력'!B5,B951)),1,0)))</f>
        <v/>
      </c>
      <c r="O951" s="152">
        <f>IF(B951="","",IF('02_대상물건입력'!B6="",1,IF(ISNUMBER(SEARCH('02_대상물건입력'!B6,B951)),1,0)))</f>
        <v/>
      </c>
      <c r="P951" s="152">
        <f>IF(L951="","",IF('02_대상물건입력'!B15="",0,IF(ISNUMBER(SEARCH('02_대상물건입력'!B15,L951)),1,0)))</f>
        <v/>
      </c>
      <c r="Q951" s="152">
        <f>IF(OR(C951="",L951=""),0,IF(AND(TRIM(C951)=TRIM(RIGHT(SUBSTITUTE(TRIM('02_대상물건입력'!$B$7)," ",REPT(" ",99)),99)),IF('02_대상물건입력'!B15="",TRUE(),ISNUMBER(SEARCH('02_대상물건입력'!B15,L951)))),1,0))</f>
        <v/>
      </c>
      <c r="R951" s="175">
        <f>IFERROR(ABS(E951-'02_대상물건입력'!B11)/'02_대상물건입력'!B11,"")</f>
        <v/>
      </c>
      <c r="S951" s="152">
        <f>IFERROR(ABS(J951-'02_대상물건입력'!B10),"")</f>
        <v/>
      </c>
      <c r="T951" s="152">
        <f>IFERROR(ABS('01_설정'!B4-F951),"")</f>
        <v/>
      </c>
      <c r="U951" s="152">
        <f>IFERROR(ABS(K951-YEAR('02_대상물건입력'!B14)),"")</f>
        <v/>
      </c>
      <c r="V951" s="152">
        <f>IF(B951="","",IF(AND(E951&gt;0,F951&gt;0,H951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951=1,TRUE()),R951&lt;='01_설정'!B5,S951&lt;='01_설정'!B6,T951&lt;='01_설정'!B7,U951&lt;='01_설정'!B8),"Y",""))</f>
        <v/>
      </c>
      <c r="W951" s="172">
        <f>IF(V951&lt;&gt;"Y","",MAX(0,(1-R951/'01_설정'!B5))*'01_설정'!B14+MAX(0,(1-S951/'01_설정'!B6))*'01_설정'!B15+MAX(0,(1-T951/'01_설정'!B7))*'01_설정'!B16+MAX(0,(1-U951/'01_설정'!B8))*'01_설정'!B17+O951*'01_설정'!B11+Q951*'01_설정'!B12+P951*'01_설정'!B13+IF(Z951="",0,Z951))</f>
        <v/>
      </c>
      <c r="X951" s="152">
        <f>IF(W951="","",1+COUNTIFS($W$4:$W$3003,"&gt;"&amp;W951)+COUNTIFS($W$4:W951,W951)-1)</f>
        <v/>
      </c>
      <c r="Y951" s="175">
        <f>IF(OR(I951="",'02_대상물건입력'!B19="",'02_대상물건입력'!B19&lt;=0),"",ABS(I951-'02_대상물건입력'!B19)/'02_대상물건입력'!B19)</f>
        <v/>
      </c>
      <c r="Z951" s="172">
        <f>IF(OR(Y951="",'01_설정'!B31="",'01_설정'!B31&lt;=0,'01_설정'!B32="",'01_설정'!B32&lt;=0),"",MAX(0,(1-Y951/'01_설정'!B32))*'01_설정'!B31)</f>
        <v/>
      </c>
    </row>
    <row r="952" ht="17.25" customHeight="1">
      <c r="A952" s="152">
        <f>IF(INDEX('04A_국토부원자료'!$A:$A,ROW()+1)="","",ROW()-3)</f>
        <v/>
      </c>
      <c r="B952" s="48">
        <f>IFERROR(INDEX('04A_국토부원자료'!$A:$T,ROW()+1,MATCH("시군구",'04A_국토부원자료'!$A$4:$T$4,0)),"")</f>
        <v/>
      </c>
      <c r="C952" s="48">
        <f>IF(B952="","",IFERROR(INDEX('04A_국토부원자료'!$A:$T,ROW()+1,MATCH("번지",'04A_국토부원자료'!$A$4:$T$4,0)),""))</f>
        <v/>
      </c>
      <c r="D952" s="48">
        <f>IF(B952="","",IF(Q952=1,'02_대상물건입력'!$B$8,IFERROR(INDEX('04A_국토부원자료'!$A:$T,ROW()+1,MATCH("단지명",'04A_국토부원자료'!$A$4:$T$4,0)),"")))</f>
        <v/>
      </c>
      <c r="E952" s="172">
        <f>IFERROR(VALUE(SUBSTITUTE(INDEX('04A_국토부원자료'!$A:$T,ROW()+1,MATCH("전용면적(㎡)",'04A_국토부원자료'!$A$4:$T$4,0)),",","")),"")</f>
        <v/>
      </c>
      <c r="F9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52" s="51">
        <f>IFERROR(VALUE(SUBSTITUTE(INDEX('04A_국토부원자료'!$A:$T,ROW()+1,MATCH("거래금액(만원)",'04A_국토부원자료'!$A$4:$T$4,0)),",","")),"")</f>
        <v/>
      </c>
      <c r="H952" s="174">
        <f>IF(G952="","",G952*10000)</f>
        <v/>
      </c>
      <c r="I952" s="174">
        <f>IFERROR(IF(AND(H952&gt;0,E952&gt;0),H952/E952,""),"")</f>
        <v/>
      </c>
      <c r="J952" s="152">
        <f>IFERROR(VALUE(SUBSTITUTE(INDEX('04A_국토부원자료'!$A:$T,ROW()+1,MATCH("층",'04A_국토부원자료'!$A$4:$T$4,0)),",","")),"")</f>
        <v/>
      </c>
      <c r="K952" s="152">
        <f>IFERROR(VALUE(SUBSTITUTE(INDEX('04A_국토부원자료'!$A:$T,ROW()+1,MATCH("건축년도",'04A_국토부원자료'!$A$4:$T$4,0)),",","")),"")</f>
        <v/>
      </c>
      <c r="L952" s="176">
        <f>IFERROR(INDEX('04A_국토부원자료'!$A:$T,ROW()+1,MATCH("도로명",'04A_국토부원자료'!$A$4:$T$4,0)),"")</f>
        <v/>
      </c>
      <c r="M952" s="48">
        <f>IFERROR(INDEX('04A_국토부원자료'!$A:$T,ROW()+1,MATCH("거래유형",'04A_국토부원자료'!$A$4:$T$4,0)),"")</f>
        <v/>
      </c>
      <c r="N952" s="152">
        <f>IF(B952="","",IF('02_대상물건입력'!B5="",1,IF(ISNUMBER(SEARCH('02_대상물건입력'!B5,B952)),1,0)))</f>
        <v/>
      </c>
      <c r="O952" s="152">
        <f>IF(B952="","",IF('02_대상물건입력'!B6="",1,IF(ISNUMBER(SEARCH('02_대상물건입력'!B6,B952)),1,0)))</f>
        <v/>
      </c>
      <c r="P952" s="152">
        <f>IF(L952="","",IF('02_대상물건입력'!B15="",0,IF(ISNUMBER(SEARCH('02_대상물건입력'!B15,L952)),1,0)))</f>
        <v/>
      </c>
      <c r="Q952" s="152">
        <f>IF(OR(C952="",L952=""),0,IF(AND(TRIM(C952)=TRIM(RIGHT(SUBSTITUTE(TRIM('02_대상물건입력'!$B$7)," ",REPT(" ",99)),99)),IF('02_대상물건입력'!B15="",TRUE(),ISNUMBER(SEARCH('02_대상물건입력'!B15,L952)))),1,0))</f>
        <v/>
      </c>
      <c r="R952" s="175">
        <f>IFERROR(ABS(E952-'02_대상물건입력'!B11)/'02_대상물건입력'!B11,"")</f>
        <v/>
      </c>
      <c r="S952" s="152">
        <f>IFERROR(ABS(J952-'02_대상물건입력'!B10),"")</f>
        <v/>
      </c>
      <c r="T952" s="152">
        <f>IFERROR(ABS('01_설정'!B4-F952),"")</f>
        <v/>
      </c>
      <c r="U952" s="152">
        <f>IFERROR(ABS(K952-YEAR('02_대상물건입력'!B14)),"")</f>
        <v/>
      </c>
      <c r="V952" s="152">
        <f>IF(B952="","",IF(AND(E952&gt;0,F952&gt;0,H952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952=1,TRUE()),R952&lt;='01_설정'!B5,S952&lt;='01_설정'!B6,T952&lt;='01_설정'!B7,U952&lt;='01_설정'!B8),"Y",""))</f>
        <v/>
      </c>
      <c r="W952" s="172">
        <f>IF(V952&lt;&gt;"Y","",MAX(0,(1-R952/'01_설정'!B5))*'01_설정'!B14+MAX(0,(1-S952/'01_설정'!B6))*'01_설정'!B15+MAX(0,(1-T952/'01_설정'!B7))*'01_설정'!B16+MAX(0,(1-U952/'01_설정'!B8))*'01_설정'!B17+O952*'01_설정'!B11+Q952*'01_설정'!B12+P952*'01_설정'!B13+IF(Z952="",0,Z952))</f>
        <v/>
      </c>
      <c r="X952" s="152">
        <f>IF(W952="","",1+COUNTIFS($W$4:$W$3003,"&gt;"&amp;W952)+COUNTIFS($W$4:W952,W952)-1)</f>
        <v/>
      </c>
      <c r="Y952" s="175">
        <f>IF(OR(I952="",'02_대상물건입력'!B19="",'02_대상물건입력'!B19&lt;=0),"",ABS(I952-'02_대상물건입력'!B19)/'02_대상물건입력'!B19)</f>
        <v/>
      </c>
      <c r="Z952" s="172">
        <f>IF(OR(Y952="",'01_설정'!B31="",'01_설정'!B31&lt;=0,'01_설정'!B32="",'01_설정'!B32&lt;=0),"",MAX(0,(1-Y952/'01_설정'!B32))*'01_설정'!B31)</f>
        <v/>
      </c>
    </row>
    <row r="953" ht="17.25" customHeight="1">
      <c r="A953" s="152">
        <f>IF(INDEX('04A_국토부원자료'!$A:$A,ROW()+1)="","",ROW()-3)</f>
        <v/>
      </c>
      <c r="B953" s="48">
        <f>IFERROR(INDEX('04A_국토부원자료'!$A:$T,ROW()+1,MATCH("시군구",'04A_국토부원자료'!$A$4:$T$4,0)),"")</f>
        <v/>
      </c>
      <c r="C953" s="48">
        <f>IF(B953="","",IFERROR(INDEX('04A_국토부원자료'!$A:$T,ROW()+1,MATCH("번지",'04A_국토부원자료'!$A$4:$T$4,0)),""))</f>
        <v/>
      </c>
      <c r="D953" s="48">
        <f>IF(B953="","",IF(Q953=1,'02_대상물건입력'!$B$8,IFERROR(INDEX('04A_국토부원자료'!$A:$T,ROW()+1,MATCH("단지명",'04A_국토부원자료'!$A$4:$T$4,0)),"")))</f>
        <v/>
      </c>
      <c r="E953" s="172">
        <f>IFERROR(VALUE(SUBSTITUTE(INDEX('04A_국토부원자료'!$A:$T,ROW()+1,MATCH("전용면적(㎡)",'04A_국토부원자료'!$A$4:$T$4,0)),",","")),"")</f>
        <v/>
      </c>
      <c r="F9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53" s="51">
        <f>IFERROR(VALUE(SUBSTITUTE(INDEX('04A_국토부원자료'!$A:$T,ROW()+1,MATCH("거래금액(만원)",'04A_국토부원자료'!$A$4:$T$4,0)),",","")),"")</f>
        <v/>
      </c>
      <c r="H953" s="174">
        <f>IF(G953="","",G953*10000)</f>
        <v/>
      </c>
      <c r="I953" s="174">
        <f>IFERROR(IF(AND(H953&gt;0,E953&gt;0),H953/E953,""),"")</f>
        <v/>
      </c>
      <c r="J953" s="152">
        <f>IFERROR(VALUE(SUBSTITUTE(INDEX('04A_국토부원자료'!$A:$T,ROW()+1,MATCH("층",'04A_국토부원자료'!$A$4:$T$4,0)),",","")),"")</f>
        <v/>
      </c>
      <c r="K953" s="152">
        <f>IFERROR(VALUE(SUBSTITUTE(INDEX('04A_국토부원자료'!$A:$T,ROW()+1,MATCH("건축년도",'04A_국토부원자료'!$A$4:$T$4,0)),",","")),"")</f>
        <v/>
      </c>
      <c r="L953" s="176">
        <f>IFERROR(INDEX('04A_국토부원자료'!$A:$T,ROW()+1,MATCH("도로명",'04A_국토부원자료'!$A$4:$T$4,0)),"")</f>
        <v/>
      </c>
      <c r="M953" s="48">
        <f>IFERROR(INDEX('04A_국토부원자료'!$A:$T,ROW()+1,MATCH("거래유형",'04A_국토부원자료'!$A$4:$T$4,0)),"")</f>
        <v/>
      </c>
      <c r="N953" s="152">
        <f>IF(B953="","",IF('02_대상물건입력'!B5="",1,IF(ISNUMBER(SEARCH('02_대상물건입력'!B5,B953)),1,0)))</f>
        <v/>
      </c>
      <c r="O953" s="152">
        <f>IF(B953="","",IF('02_대상물건입력'!B6="",1,IF(ISNUMBER(SEARCH('02_대상물건입력'!B6,B953)),1,0)))</f>
        <v/>
      </c>
      <c r="P953" s="152">
        <f>IF(L953="","",IF('02_대상물건입력'!B15="",0,IF(ISNUMBER(SEARCH('02_대상물건입력'!B15,L953)),1,0)))</f>
        <v/>
      </c>
      <c r="Q953" s="152">
        <f>IF(OR(C953="",L953=""),0,IF(AND(TRIM(C953)=TRIM(RIGHT(SUBSTITUTE(TRIM('02_대상물건입력'!$B$7)," ",REPT(" ",99)),99)),IF('02_대상물건입력'!B15="",TRUE(),ISNUMBER(SEARCH('02_대상물건입력'!B15,L953)))),1,0))</f>
        <v/>
      </c>
      <c r="R953" s="175">
        <f>IFERROR(ABS(E953-'02_대상물건입력'!B11)/'02_대상물건입력'!B11,"")</f>
        <v/>
      </c>
      <c r="S953" s="152">
        <f>IFERROR(ABS(J953-'02_대상물건입력'!B10),"")</f>
        <v/>
      </c>
      <c r="T953" s="152">
        <f>IFERROR(ABS('01_설정'!B4-F953),"")</f>
        <v/>
      </c>
      <c r="U953" s="152">
        <f>IFERROR(ABS(K953-YEAR('02_대상물건입력'!B14)),"")</f>
        <v/>
      </c>
      <c r="V953" s="152">
        <f>IF(B953="","",IF(AND(E953&gt;0,F953&gt;0,H953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953=1,TRUE()),R953&lt;='01_설정'!B5,S953&lt;='01_설정'!B6,T953&lt;='01_설정'!B7,U953&lt;='01_설정'!B8),"Y",""))</f>
        <v/>
      </c>
      <c r="W953" s="172">
        <f>IF(V953&lt;&gt;"Y","",MAX(0,(1-R953/'01_설정'!B5))*'01_설정'!B14+MAX(0,(1-S953/'01_설정'!B6))*'01_설정'!B15+MAX(0,(1-T953/'01_설정'!B7))*'01_설정'!B16+MAX(0,(1-U953/'01_설정'!B8))*'01_설정'!B17+O953*'01_설정'!B11+Q953*'01_설정'!B12+P953*'01_설정'!B13+IF(Z953="",0,Z953))</f>
        <v/>
      </c>
      <c r="X953" s="152">
        <f>IF(W953="","",1+COUNTIFS($W$4:$W$3003,"&gt;"&amp;W953)+COUNTIFS($W$4:W953,W953)-1)</f>
        <v/>
      </c>
      <c r="Y953" s="175">
        <f>IF(OR(I953="",'02_대상물건입력'!B19="",'02_대상물건입력'!B19&lt;=0),"",ABS(I953-'02_대상물건입력'!B19)/'02_대상물건입력'!B19)</f>
        <v/>
      </c>
      <c r="Z953" s="172">
        <f>IF(OR(Y953="",'01_설정'!B31="",'01_설정'!B31&lt;=0,'01_설정'!B32="",'01_설정'!B32&lt;=0),"",MAX(0,(1-Y953/'01_설정'!B32))*'01_설정'!B31)</f>
        <v/>
      </c>
    </row>
    <row r="954" ht="17.25" customHeight="1">
      <c r="A954" s="152">
        <f>IF(INDEX('04A_국토부원자료'!$A:$A,ROW()+1)="","",ROW()-3)</f>
        <v/>
      </c>
      <c r="B954" s="48">
        <f>IFERROR(INDEX('04A_국토부원자료'!$A:$T,ROW()+1,MATCH("시군구",'04A_국토부원자료'!$A$4:$T$4,0)),"")</f>
        <v/>
      </c>
      <c r="C954" s="48">
        <f>IF(B954="","",IFERROR(INDEX('04A_국토부원자료'!$A:$T,ROW()+1,MATCH("번지",'04A_국토부원자료'!$A$4:$T$4,0)),""))</f>
        <v/>
      </c>
      <c r="D954" s="48">
        <f>IF(B954="","",IF(Q954=1,'02_대상물건입력'!$B$8,IFERROR(INDEX('04A_국토부원자료'!$A:$T,ROW()+1,MATCH("단지명",'04A_국토부원자료'!$A$4:$T$4,0)),"")))</f>
        <v/>
      </c>
      <c r="E954" s="172">
        <f>IFERROR(VALUE(SUBSTITUTE(INDEX('04A_국토부원자료'!$A:$T,ROW()+1,MATCH("전용면적(㎡)",'04A_국토부원자료'!$A$4:$T$4,0)),",","")),"")</f>
        <v/>
      </c>
      <c r="F9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54" s="51">
        <f>IFERROR(VALUE(SUBSTITUTE(INDEX('04A_국토부원자료'!$A:$T,ROW()+1,MATCH("거래금액(만원)",'04A_국토부원자료'!$A$4:$T$4,0)),",","")),"")</f>
        <v/>
      </c>
      <c r="H954" s="174">
        <f>IF(G954="","",G954*10000)</f>
        <v/>
      </c>
      <c r="I954" s="174">
        <f>IFERROR(IF(AND(H954&gt;0,E954&gt;0),H954/E954,""),"")</f>
        <v/>
      </c>
      <c r="J954" s="152">
        <f>IFERROR(VALUE(SUBSTITUTE(INDEX('04A_국토부원자료'!$A:$T,ROW()+1,MATCH("층",'04A_국토부원자료'!$A$4:$T$4,0)),",","")),"")</f>
        <v/>
      </c>
      <c r="K954" s="152">
        <f>IFERROR(VALUE(SUBSTITUTE(INDEX('04A_국토부원자료'!$A:$T,ROW()+1,MATCH("건축년도",'04A_국토부원자료'!$A$4:$T$4,0)),",","")),"")</f>
        <v/>
      </c>
      <c r="L954" s="176">
        <f>IFERROR(INDEX('04A_국토부원자료'!$A:$T,ROW()+1,MATCH("도로명",'04A_국토부원자료'!$A$4:$T$4,0)),"")</f>
        <v/>
      </c>
      <c r="M954" s="48">
        <f>IFERROR(INDEX('04A_국토부원자료'!$A:$T,ROW()+1,MATCH("거래유형",'04A_국토부원자료'!$A$4:$T$4,0)),"")</f>
        <v/>
      </c>
      <c r="N954" s="152">
        <f>IF(B954="","",IF('02_대상물건입력'!B5="",1,IF(ISNUMBER(SEARCH('02_대상물건입력'!B5,B954)),1,0)))</f>
        <v/>
      </c>
      <c r="O954" s="152">
        <f>IF(B954="","",IF('02_대상물건입력'!B6="",1,IF(ISNUMBER(SEARCH('02_대상물건입력'!B6,B954)),1,0)))</f>
        <v/>
      </c>
      <c r="P954" s="152">
        <f>IF(L954="","",IF('02_대상물건입력'!B15="",0,IF(ISNUMBER(SEARCH('02_대상물건입력'!B15,L954)),1,0)))</f>
        <v/>
      </c>
      <c r="Q954" s="152">
        <f>IF(OR(C954="",L954=""),0,IF(AND(TRIM(C954)=TRIM(RIGHT(SUBSTITUTE(TRIM('02_대상물건입력'!$B$7)," ",REPT(" ",99)),99)),IF('02_대상물건입력'!B15="",TRUE(),ISNUMBER(SEARCH('02_대상물건입력'!B15,L954)))),1,0))</f>
        <v/>
      </c>
      <c r="R954" s="175">
        <f>IFERROR(ABS(E954-'02_대상물건입력'!B11)/'02_대상물건입력'!B11,"")</f>
        <v/>
      </c>
      <c r="S954" s="152">
        <f>IFERROR(ABS(J954-'02_대상물건입력'!B10),"")</f>
        <v/>
      </c>
      <c r="T954" s="152">
        <f>IFERROR(ABS('01_설정'!B4-F954),"")</f>
        <v/>
      </c>
      <c r="U954" s="152">
        <f>IFERROR(ABS(K954-YEAR('02_대상물건입력'!B14)),"")</f>
        <v/>
      </c>
      <c r="V954" s="152">
        <f>IF(B954="","",IF(AND(E954&gt;0,F954&gt;0,H954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954=1,TRUE()),R954&lt;='01_설정'!B5,S954&lt;='01_설정'!B6,T954&lt;='01_설정'!B7,U954&lt;='01_설정'!B8),"Y",""))</f>
        <v/>
      </c>
      <c r="W954" s="172">
        <f>IF(V954&lt;&gt;"Y","",MAX(0,(1-R954/'01_설정'!B5))*'01_설정'!B14+MAX(0,(1-S954/'01_설정'!B6))*'01_설정'!B15+MAX(0,(1-T954/'01_설정'!B7))*'01_설정'!B16+MAX(0,(1-U954/'01_설정'!B8))*'01_설정'!B17+O954*'01_설정'!B11+Q954*'01_설정'!B12+P954*'01_설정'!B13+IF(Z954="",0,Z954))</f>
        <v/>
      </c>
      <c r="X954" s="152">
        <f>IF(W954="","",1+COUNTIFS($W$4:$W$3003,"&gt;"&amp;W954)+COUNTIFS($W$4:W954,W954)-1)</f>
        <v/>
      </c>
      <c r="Y954" s="175">
        <f>IF(OR(I954="",'02_대상물건입력'!B19="",'02_대상물건입력'!B19&lt;=0),"",ABS(I954-'02_대상물건입력'!B19)/'02_대상물건입력'!B19)</f>
        <v/>
      </c>
      <c r="Z954" s="172">
        <f>IF(OR(Y954="",'01_설정'!B31="",'01_설정'!B31&lt;=0,'01_설정'!B32="",'01_설정'!B32&lt;=0),"",MAX(0,(1-Y954/'01_설정'!B32))*'01_설정'!B31)</f>
        <v/>
      </c>
    </row>
    <row r="955" ht="17.25" customHeight="1">
      <c r="A955" s="152">
        <f>IF(INDEX('04A_국토부원자료'!$A:$A,ROW()+1)="","",ROW()-3)</f>
        <v/>
      </c>
      <c r="B955" s="48">
        <f>IFERROR(INDEX('04A_국토부원자료'!$A:$T,ROW()+1,MATCH("시군구",'04A_국토부원자료'!$A$4:$T$4,0)),"")</f>
        <v/>
      </c>
      <c r="C955" s="48">
        <f>IF(B955="","",IFERROR(INDEX('04A_국토부원자료'!$A:$T,ROW()+1,MATCH("번지",'04A_국토부원자료'!$A$4:$T$4,0)),""))</f>
        <v/>
      </c>
      <c r="D955" s="48">
        <f>IF(B955="","",IF(Q955=1,'02_대상물건입력'!$B$8,IFERROR(INDEX('04A_국토부원자료'!$A:$T,ROW()+1,MATCH("단지명",'04A_국토부원자료'!$A$4:$T$4,0)),"")))</f>
        <v/>
      </c>
      <c r="E955" s="172">
        <f>IFERROR(VALUE(SUBSTITUTE(INDEX('04A_국토부원자료'!$A:$T,ROW()+1,MATCH("전용면적(㎡)",'04A_국토부원자료'!$A$4:$T$4,0)),",","")),"")</f>
        <v/>
      </c>
      <c r="F9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55" s="51">
        <f>IFERROR(VALUE(SUBSTITUTE(INDEX('04A_국토부원자료'!$A:$T,ROW()+1,MATCH("거래금액(만원)",'04A_국토부원자료'!$A$4:$T$4,0)),",","")),"")</f>
        <v/>
      </c>
      <c r="H955" s="174">
        <f>IF(G955="","",G955*10000)</f>
        <v/>
      </c>
      <c r="I955" s="174">
        <f>IFERROR(IF(AND(H955&gt;0,E955&gt;0),H955/E955,""),"")</f>
        <v/>
      </c>
      <c r="J955" s="152">
        <f>IFERROR(VALUE(SUBSTITUTE(INDEX('04A_국토부원자료'!$A:$T,ROW()+1,MATCH("층",'04A_국토부원자료'!$A$4:$T$4,0)),",","")),"")</f>
        <v/>
      </c>
      <c r="K955" s="152">
        <f>IFERROR(VALUE(SUBSTITUTE(INDEX('04A_국토부원자료'!$A:$T,ROW()+1,MATCH("건축년도",'04A_국토부원자료'!$A$4:$T$4,0)),",","")),"")</f>
        <v/>
      </c>
      <c r="L955" s="176">
        <f>IFERROR(INDEX('04A_국토부원자료'!$A:$T,ROW()+1,MATCH("도로명",'04A_국토부원자료'!$A$4:$T$4,0)),"")</f>
        <v/>
      </c>
      <c r="M955" s="48">
        <f>IFERROR(INDEX('04A_국토부원자료'!$A:$T,ROW()+1,MATCH("거래유형",'04A_국토부원자료'!$A$4:$T$4,0)),"")</f>
        <v/>
      </c>
      <c r="N955" s="152">
        <f>IF(B955="","",IF('02_대상물건입력'!B5="",1,IF(ISNUMBER(SEARCH('02_대상물건입력'!B5,B955)),1,0)))</f>
        <v/>
      </c>
      <c r="O955" s="152">
        <f>IF(B955="","",IF('02_대상물건입력'!B6="",1,IF(ISNUMBER(SEARCH('02_대상물건입력'!B6,B955)),1,0)))</f>
        <v/>
      </c>
      <c r="P955" s="152">
        <f>IF(L955="","",IF('02_대상물건입력'!B15="",0,IF(ISNUMBER(SEARCH('02_대상물건입력'!B15,L955)),1,0)))</f>
        <v/>
      </c>
      <c r="Q955" s="152">
        <f>IF(OR(C955="",L955=""),0,IF(AND(TRIM(C955)=TRIM(RIGHT(SUBSTITUTE(TRIM('02_대상물건입력'!$B$7)," ",REPT(" ",99)),99)),IF('02_대상물건입력'!B15="",TRUE(),ISNUMBER(SEARCH('02_대상물건입력'!B15,L955)))),1,0))</f>
        <v/>
      </c>
      <c r="R955" s="175">
        <f>IFERROR(ABS(E955-'02_대상물건입력'!B11)/'02_대상물건입력'!B11,"")</f>
        <v/>
      </c>
      <c r="S955" s="152">
        <f>IFERROR(ABS(J955-'02_대상물건입력'!B10),"")</f>
        <v/>
      </c>
      <c r="T955" s="152">
        <f>IFERROR(ABS('01_설정'!B4-F955),"")</f>
        <v/>
      </c>
      <c r="U955" s="152">
        <f>IFERROR(ABS(K955-YEAR('02_대상물건입력'!B14)),"")</f>
        <v/>
      </c>
      <c r="V955" s="152">
        <f>IF(B955="","",IF(AND(E955&gt;0,F955&gt;0,H955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955=1,TRUE()),R955&lt;='01_설정'!B5,S955&lt;='01_설정'!B6,T955&lt;='01_설정'!B7,U955&lt;='01_설정'!B8),"Y",""))</f>
        <v/>
      </c>
      <c r="W955" s="172">
        <f>IF(V955&lt;&gt;"Y","",MAX(0,(1-R955/'01_설정'!B5))*'01_설정'!B14+MAX(0,(1-S955/'01_설정'!B6))*'01_설정'!B15+MAX(0,(1-T955/'01_설정'!B7))*'01_설정'!B16+MAX(0,(1-U955/'01_설정'!B8))*'01_설정'!B17+O955*'01_설정'!B11+Q955*'01_설정'!B12+P955*'01_설정'!B13+IF(Z955="",0,Z955))</f>
        <v/>
      </c>
      <c r="X955" s="152">
        <f>IF(W955="","",1+COUNTIFS($W$4:$W$3003,"&gt;"&amp;W955)+COUNTIFS($W$4:W955,W955)-1)</f>
        <v/>
      </c>
      <c r="Y955" s="175">
        <f>IF(OR(I955="",'02_대상물건입력'!B19="",'02_대상물건입력'!B19&lt;=0),"",ABS(I955-'02_대상물건입력'!B19)/'02_대상물건입력'!B19)</f>
        <v/>
      </c>
      <c r="Z955" s="172">
        <f>IF(OR(Y955="",'01_설정'!B31="",'01_설정'!B31&lt;=0,'01_설정'!B32="",'01_설정'!B32&lt;=0),"",MAX(0,(1-Y955/'01_설정'!B32))*'01_설정'!B31)</f>
        <v/>
      </c>
    </row>
    <row r="956" ht="17.25" customHeight="1">
      <c r="A956" s="152">
        <f>IF(INDEX('04A_국토부원자료'!$A:$A,ROW()+1)="","",ROW()-3)</f>
        <v/>
      </c>
      <c r="B956" s="48">
        <f>IFERROR(INDEX('04A_국토부원자료'!$A:$T,ROW()+1,MATCH("시군구",'04A_국토부원자료'!$A$4:$T$4,0)),"")</f>
        <v/>
      </c>
      <c r="C956" s="48">
        <f>IF(B956="","",IFERROR(INDEX('04A_국토부원자료'!$A:$T,ROW()+1,MATCH("번지",'04A_국토부원자료'!$A$4:$T$4,0)),""))</f>
        <v/>
      </c>
      <c r="D956" s="48">
        <f>IF(B956="","",IF(Q956=1,'02_대상물건입력'!$B$8,IFERROR(INDEX('04A_국토부원자료'!$A:$T,ROW()+1,MATCH("단지명",'04A_국토부원자료'!$A$4:$T$4,0)),"")))</f>
        <v/>
      </c>
      <c r="E956" s="172">
        <f>IFERROR(VALUE(SUBSTITUTE(INDEX('04A_국토부원자료'!$A:$T,ROW()+1,MATCH("전용면적(㎡)",'04A_국토부원자료'!$A$4:$T$4,0)),",","")),"")</f>
        <v/>
      </c>
      <c r="F9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56" s="51">
        <f>IFERROR(VALUE(SUBSTITUTE(INDEX('04A_국토부원자료'!$A:$T,ROW()+1,MATCH("거래금액(만원)",'04A_국토부원자료'!$A$4:$T$4,0)),",","")),"")</f>
        <v/>
      </c>
      <c r="H956" s="174">
        <f>IF(G956="","",G956*10000)</f>
        <v/>
      </c>
      <c r="I956" s="174">
        <f>IFERROR(IF(AND(H956&gt;0,E956&gt;0),H956/E956,""),"")</f>
        <v/>
      </c>
      <c r="J956" s="152">
        <f>IFERROR(VALUE(SUBSTITUTE(INDEX('04A_국토부원자료'!$A:$T,ROW()+1,MATCH("층",'04A_국토부원자료'!$A$4:$T$4,0)),",","")),"")</f>
        <v/>
      </c>
      <c r="K956" s="152">
        <f>IFERROR(VALUE(SUBSTITUTE(INDEX('04A_국토부원자료'!$A:$T,ROW()+1,MATCH("건축년도",'04A_국토부원자료'!$A$4:$T$4,0)),",","")),"")</f>
        <v/>
      </c>
      <c r="L956" s="176">
        <f>IFERROR(INDEX('04A_국토부원자료'!$A:$T,ROW()+1,MATCH("도로명",'04A_국토부원자료'!$A$4:$T$4,0)),"")</f>
        <v/>
      </c>
      <c r="M956" s="48">
        <f>IFERROR(INDEX('04A_국토부원자료'!$A:$T,ROW()+1,MATCH("거래유형",'04A_국토부원자료'!$A$4:$T$4,0)),"")</f>
        <v/>
      </c>
      <c r="N956" s="152">
        <f>IF(B956="","",IF('02_대상물건입력'!B5="",1,IF(ISNUMBER(SEARCH('02_대상물건입력'!B5,B956)),1,0)))</f>
        <v/>
      </c>
      <c r="O956" s="152">
        <f>IF(B956="","",IF('02_대상물건입력'!B6="",1,IF(ISNUMBER(SEARCH('02_대상물건입력'!B6,B956)),1,0)))</f>
        <v/>
      </c>
      <c r="P956" s="152">
        <f>IF(L956="","",IF('02_대상물건입력'!B15="",0,IF(ISNUMBER(SEARCH('02_대상물건입력'!B15,L956)),1,0)))</f>
        <v/>
      </c>
      <c r="Q956" s="152">
        <f>IF(OR(C956="",L956=""),0,IF(AND(TRIM(C956)=TRIM(RIGHT(SUBSTITUTE(TRIM('02_대상물건입력'!$B$7)," ",REPT(" ",99)),99)),IF('02_대상물건입력'!B15="",TRUE(),ISNUMBER(SEARCH('02_대상물건입력'!B15,L956)))),1,0))</f>
        <v/>
      </c>
      <c r="R956" s="175">
        <f>IFERROR(ABS(E956-'02_대상물건입력'!B11)/'02_대상물건입력'!B11,"")</f>
        <v/>
      </c>
      <c r="S956" s="152">
        <f>IFERROR(ABS(J956-'02_대상물건입력'!B10),"")</f>
        <v/>
      </c>
      <c r="T956" s="152">
        <f>IFERROR(ABS('01_설정'!B4-F956),"")</f>
        <v/>
      </c>
      <c r="U956" s="152">
        <f>IFERROR(ABS(K956-YEAR('02_대상물건입력'!B14)),"")</f>
        <v/>
      </c>
      <c r="V956" s="152">
        <f>IF(B956="","",IF(AND(E956&gt;0,F956&gt;0,H956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956=1,TRUE()),R956&lt;='01_설정'!B5,S956&lt;='01_설정'!B6,T956&lt;='01_설정'!B7,U956&lt;='01_설정'!B8),"Y",""))</f>
        <v/>
      </c>
      <c r="W956" s="172">
        <f>IF(V956&lt;&gt;"Y","",MAX(0,(1-R956/'01_설정'!B5))*'01_설정'!B14+MAX(0,(1-S956/'01_설정'!B6))*'01_설정'!B15+MAX(0,(1-T956/'01_설정'!B7))*'01_설정'!B16+MAX(0,(1-U956/'01_설정'!B8))*'01_설정'!B17+O956*'01_설정'!B11+Q956*'01_설정'!B12+P956*'01_설정'!B13+IF(Z956="",0,Z956))</f>
        <v/>
      </c>
      <c r="X956" s="152">
        <f>IF(W956="","",1+COUNTIFS($W$4:$W$3003,"&gt;"&amp;W956)+COUNTIFS($W$4:W956,W956)-1)</f>
        <v/>
      </c>
      <c r="Y956" s="175">
        <f>IF(OR(I956="",'02_대상물건입력'!B19="",'02_대상물건입력'!B19&lt;=0),"",ABS(I956-'02_대상물건입력'!B19)/'02_대상물건입력'!B19)</f>
        <v/>
      </c>
      <c r="Z956" s="172">
        <f>IF(OR(Y956="",'01_설정'!B31="",'01_설정'!B31&lt;=0,'01_설정'!B32="",'01_설정'!B32&lt;=0),"",MAX(0,(1-Y956/'01_설정'!B32))*'01_설정'!B31)</f>
        <v/>
      </c>
    </row>
    <row r="957" ht="17.25" customHeight="1">
      <c r="A957" s="152">
        <f>IF(INDEX('04A_국토부원자료'!$A:$A,ROW()+1)="","",ROW()-3)</f>
        <v/>
      </c>
      <c r="B957" s="48">
        <f>IFERROR(INDEX('04A_국토부원자료'!$A:$T,ROW()+1,MATCH("시군구",'04A_국토부원자료'!$A$4:$T$4,0)),"")</f>
        <v/>
      </c>
      <c r="C957" s="48">
        <f>IF(B957="","",IFERROR(INDEX('04A_국토부원자료'!$A:$T,ROW()+1,MATCH("번지",'04A_국토부원자료'!$A$4:$T$4,0)),""))</f>
        <v/>
      </c>
      <c r="D957" s="48">
        <f>IF(B957="","",IF(Q957=1,'02_대상물건입력'!$B$8,IFERROR(INDEX('04A_국토부원자료'!$A:$T,ROW()+1,MATCH("단지명",'04A_국토부원자료'!$A$4:$T$4,0)),"")))</f>
        <v/>
      </c>
      <c r="E957" s="172">
        <f>IFERROR(VALUE(SUBSTITUTE(INDEX('04A_국토부원자료'!$A:$T,ROW()+1,MATCH("전용면적(㎡)",'04A_국토부원자료'!$A$4:$T$4,0)),",","")),"")</f>
        <v/>
      </c>
      <c r="F9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57" s="51">
        <f>IFERROR(VALUE(SUBSTITUTE(INDEX('04A_국토부원자료'!$A:$T,ROW()+1,MATCH("거래금액(만원)",'04A_국토부원자료'!$A$4:$T$4,0)),",","")),"")</f>
        <v/>
      </c>
      <c r="H957" s="174">
        <f>IF(G957="","",G957*10000)</f>
        <v/>
      </c>
      <c r="I957" s="174">
        <f>IFERROR(IF(AND(H957&gt;0,E957&gt;0),H957/E957,""),"")</f>
        <v/>
      </c>
      <c r="J957" s="152">
        <f>IFERROR(VALUE(SUBSTITUTE(INDEX('04A_국토부원자료'!$A:$T,ROW()+1,MATCH("층",'04A_국토부원자료'!$A$4:$T$4,0)),",","")),"")</f>
        <v/>
      </c>
      <c r="K957" s="152">
        <f>IFERROR(VALUE(SUBSTITUTE(INDEX('04A_국토부원자료'!$A:$T,ROW()+1,MATCH("건축년도",'04A_국토부원자료'!$A$4:$T$4,0)),",","")),"")</f>
        <v/>
      </c>
      <c r="L957" s="176">
        <f>IFERROR(INDEX('04A_국토부원자료'!$A:$T,ROW()+1,MATCH("도로명",'04A_국토부원자료'!$A$4:$T$4,0)),"")</f>
        <v/>
      </c>
      <c r="M957" s="48">
        <f>IFERROR(INDEX('04A_국토부원자료'!$A:$T,ROW()+1,MATCH("거래유형",'04A_국토부원자료'!$A$4:$T$4,0)),"")</f>
        <v/>
      </c>
      <c r="N957" s="152">
        <f>IF(B957="","",IF('02_대상물건입력'!B5="",1,IF(ISNUMBER(SEARCH('02_대상물건입력'!B5,B957)),1,0)))</f>
        <v/>
      </c>
      <c r="O957" s="152">
        <f>IF(B957="","",IF('02_대상물건입력'!B6="",1,IF(ISNUMBER(SEARCH('02_대상물건입력'!B6,B957)),1,0)))</f>
        <v/>
      </c>
      <c r="P957" s="152">
        <f>IF(L957="","",IF('02_대상물건입력'!B15="",0,IF(ISNUMBER(SEARCH('02_대상물건입력'!B15,L957)),1,0)))</f>
        <v/>
      </c>
      <c r="Q957" s="152">
        <f>IF(OR(C957="",L957=""),0,IF(AND(TRIM(C957)=TRIM(RIGHT(SUBSTITUTE(TRIM('02_대상물건입력'!$B$7)," ",REPT(" ",99)),99)),IF('02_대상물건입력'!B15="",TRUE(),ISNUMBER(SEARCH('02_대상물건입력'!B15,L957)))),1,0))</f>
        <v/>
      </c>
      <c r="R957" s="175">
        <f>IFERROR(ABS(E957-'02_대상물건입력'!B11)/'02_대상물건입력'!B11,"")</f>
        <v/>
      </c>
      <c r="S957" s="152">
        <f>IFERROR(ABS(J957-'02_대상물건입력'!B10),"")</f>
        <v/>
      </c>
      <c r="T957" s="152">
        <f>IFERROR(ABS('01_설정'!B4-F957),"")</f>
        <v/>
      </c>
      <c r="U957" s="152">
        <f>IFERROR(ABS(K957-YEAR('02_대상물건입력'!B14)),"")</f>
        <v/>
      </c>
      <c r="V957" s="152">
        <f>IF(B957="","",IF(AND(E957&gt;0,F957&gt;0,H957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957=1,TRUE()),R957&lt;='01_설정'!B5,S957&lt;='01_설정'!B6,T957&lt;='01_설정'!B7,U957&lt;='01_설정'!B8),"Y",""))</f>
        <v/>
      </c>
      <c r="W957" s="172">
        <f>IF(V957&lt;&gt;"Y","",MAX(0,(1-R957/'01_설정'!B5))*'01_설정'!B14+MAX(0,(1-S957/'01_설정'!B6))*'01_설정'!B15+MAX(0,(1-T957/'01_설정'!B7))*'01_설정'!B16+MAX(0,(1-U957/'01_설정'!B8))*'01_설정'!B17+O957*'01_설정'!B11+Q957*'01_설정'!B12+P957*'01_설정'!B13+IF(Z957="",0,Z957))</f>
        <v/>
      </c>
      <c r="X957" s="152">
        <f>IF(W957="","",1+COUNTIFS($W$4:$W$3003,"&gt;"&amp;W957)+COUNTIFS($W$4:W957,W957)-1)</f>
        <v/>
      </c>
      <c r="Y957" s="175">
        <f>IF(OR(I957="",'02_대상물건입력'!B19="",'02_대상물건입력'!B19&lt;=0),"",ABS(I957-'02_대상물건입력'!B19)/'02_대상물건입력'!B19)</f>
        <v/>
      </c>
      <c r="Z957" s="172">
        <f>IF(OR(Y957="",'01_설정'!B31="",'01_설정'!B31&lt;=0,'01_설정'!B32="",'01_설정'!B32&lt;=0),"",MAX(0,(1-Y957/'01_설정'!B32))*'01_설정'!B31)</f>
        <v/>
      </c>
    </row>
    <row r="958" ht="17.25" customHeight="1">
      <c r="A958" s="152">
        <f>IF(INDEX('04A_국토부원자료'!$A:$A,ROW()+1)="","",ROW()-3)</f>
        <v/>
      </c>
      <c r="B958" s="48">
        <f>IFERROR(INDEX('04A_국토부원자료'!$A:$T,ROW()+1,MATCH("시군구",'04A_국토부원자료'!$A$4:$T$4,0)),"")</f>
        <v/>
      </c>
      <c r="C958" s="48">
        <f>IF(B958="","",IFERROR(INDEX('04A_국토부원자료'!$A:$T,ROW()+1,MATCH("번지",'04A_국토부원자료'!$A$4:$T$4,0)),""))</f>
        <v/>
      </c>
      <c r="D958" s="48">
        <f>IF(B958="","",IF(Q958=1,'02_대상물건입력'!$B$8,IFERROR(INDEX('04A_국토부원자료'!$A:$T,ROW()+1,MATCH("단지명",'04A_국토부원자료'!$A$4:$T$4,0)),"")))</f>
        <v/>
      </c>
      <c r="E958" s="172">
        <f>IFERROR(VALUE(SUBSTITUTE(INDEX('04A_국토부원자료'!$A:$T,ROW()+1,MATCH("전용면적(㎡)",'04A_국토부원자료'!$A$4:$T$4,0)),",","")),"")</f>
        <v/>
      </c>
      <c r="F9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58" s="51">
        <f>IFERROR(VALUE(SUBSTITUTE(INDEX('04A_국토부원자료'!$A:$T,ROW()+1,MATCH("거래금액(만원)",'04A_국토부원자료'!$A$4:$T$4,0)),",","")),"")</f>
        <v/>
      </c>
      <c r="H958" s="174">
        <f>IF(G958="","",G958*10000)</f>
        <v/>
      </c>
      <c r="I958" s="174">
        <f>IFERROR(IF(AND(H958&gt;0,E958&gt;0),H958/E958,""),"")</f>
        <v/>
      </c>
      <c r="J958" s="152">
        <f>IFERROR(VALUE(SUBSTITUTE(INDEX('04A_국토부원자료'!$A:$T,ROW()+1,MATCH("층",'04A_국토부원자료'!$A$4:$T$4,0)),",","")),"")</f>
        <v/>
      </c>
      <c r="K958" s="152">
        <f>IFERROR(VALUE(SUBSTITUTE(INDEX('04A_국토부원자료'!$A:$T,ROW()+1,MATCH("건축년도",'04A_국토부원자료'!$A$4:$T$4,0)),",","")),"")</f>
        <v/>
      </c>
      <c r="L958" s="176">
        <f>IFERROR(INDEX('04A_국토부원자료'!$A:$T,ROW()+1,MATCH("도로명",'04A_국토부원자료'!$A$4:$T$4,0)),"")</f>
        <v/>
      </c>
      <c r="M958" s="48">
        <f>IFERROR(INDEX('04A_국토부원자료'!$A:$T,ROW()+1,MATCH("거래유형",'04A_국토부원자료'!$A$4:$T$4,0)),"")</f>
        <v/>
      </c>
      <c r="N958" s="152">
        <f>IF(B958="","",IF('02_대상물건입력'!B5="",1,IF(ISNUMBER(SEARCH('02_대상물건입력'!B5,B958)),1,0)))</f>
        <v/>
      </c>
      <c r="O958" s="152">
        <f>IF(B958="","",IF('02_대상물건입력'!B6="",1,IF(ISNUMBER(SEARCH('02_대상물건입력'!B6,B958)),1,0)))</f>
        <v/>
      </c>
      <c r="P958" s="152">
        <f>IF(L958="","",IF('02_대상물건입력'!B15="",0,IF(ISNUMBER(SEARCH('02_대상물건입력'!B15,L958)),1,0)))</f>
        <v/>
      </c>
      <c r="Q958" s="152">
        <f>IF(OR(C958="",L958=""),0,IF(AND(TRIM(C958)=TRIM(RIGHT(SUBSTITUTE(TRIM('02_대상물건입력'!$B$7)," ",REPT(" ",99)),99)),IF('02_대상물건입력'!B15="",TRUE(),ISNUMBER(SEARCH('02_대상물건입력'!B15,L958)))),1,0))</f>
        <v/>
      </c>
      <c r="R958" s="175">
        <f>IFERROR(ABS(E958-'02_대상물건입력'!B11)/'02_대상물건입력'!B11,"")</f>
        <v/>
      </c>
      <c r="S958" s="152">
        <f>IFERROR(ABS(J958-'02_대상물건입력'!B10),"")</f>
        <v/>
      </c>
      <c r="T958" s="152">
        <f>IFERROR(ABS('01_설정'!B4-F958),"")</f>
        <v/>
      </c>
      <c r="U958" s="152">
        <f>IFERROR(ABS(K958-YEAR('02_대상물건입력'!B14)),"")</f>
        <v/>
      </c>
      <c r="V958" s="152">
        <f>IF(B958="","",IF(AND(E958&gt;0,F958&gt;0,H958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958=1,TRUE()),R958&lt;='01_설정'!B5,S958&lt;='01_설정'!B6,T958&lt;='01_설정'!B7,U958&lt;='01_설정'!B8),"Y",""))</f>
        <v/>
      </c>
      <c r="W958" s="172">
        <f>IF(V958&lt;&gt;"Y","",MAX(0,(1-R958/'01_설정'!B5))*'01_설정'!B14+MAX(0,(1-S958/'01_설정'!B6))*'01_설정'!B15+MAX(0,(1-T958/'01_설정'!B7))*'01_설정'!B16+MAX(0,(1-U958/'01_설정'!B8))*'01_설정'!B17+O958*'01_설정'!B11+Q958*'01_설정'!B12+P958*'01_설정'!B13+IF(Z958="",0,Z958))</f>
        <v/>
      </c>
      <c r="X958" s="152">
        <f>IF(W958="","",1+COUNTIFS($W$4:$W$3003,"&gt;"&amp;W958)+COUNTIFS($W$4:W958,W958)-1)</f>
        <v/>
      </c>
      <c r="Y958" s="175">
        <f>IF(OR(I958="",'02_대상물건입력'!B19="",'02_대상물건입력'!B19&lt;=0),"",ABS(I958-'02_대상물건입력'!B19)/'02_대상물건입력'!B19)</f>
        <v/>
      </c>
      <c r="Z958" s="172">
        <f>IF(OR(Y958="",'01_설정'!B31="",'01_설정'!B31&lt;=0,'01_설정'!B32="",'01_설정'!B32&lt;=0),"",MAX(0,(1-Y958/'01_설정'!B32))*'01_설정'!B31)</f>
        <v/>
      </c>
    </row>
    <row r="959" ht="17.25" customHeight="1">
      <c r="A959" s="152">
        <f>IF(INDEX('04A_국토부원자료'!$A:$A,ROW()+1)="","",ROW()-3)</f>
        <v/>
      </c>
      <c r="B959" s="48">
        <f>IFERROR(INDEX('04A_국토부원자료'!$A:$T,ROW()+1,MATCH("시군구",'04A_국토부원자료'!$A$4:$T$4,0)),"")</f>
        <v/>
      </c>
      <c r="C959" s="48">
        <f>IF(B959="","",IFERROR(INDEX('04A_국토부원자료'!$A:$T,ROW()+1,MATCH("번지",'04A_국토부원자료'!$A$4:$T$4,0)),""))</f>
        <v/>
      </c>
      <c r="D959" s="48">
        <f>IF(B959="","",IF(Q959=1,'02_대상물건입력'!$B$8,IFERROR(INDEX('04A_국토부원자료'!$A:$T,ROW()+1,MATCH("단지명",'04A_국토부원자료'!$A$4:$T$4,0)),"")))</f>
        <v/>
      </c>
      <c r="E959" s="172">
        <f>IFERROR(VALUE(SUBSTITUTE(INDEX('04A_국토부원자료'!$A:$T,ROW()+1,MATCH("전용면적(㎡)",'04A_국토부원자료'!$A$4:$T$4,0)),",","")),"")</f>
        <v/>
      </c>
      <c r="F9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59" s="51">
        <f>IFERROR(VALUE(SUBSTITUTE(INDEX('04A_국토부원자료'!$A:$T,ROW()+1,MATCH("거래금액(만원)",'04A_국토부원자료'!$A$4:$T$4,0)),",","")),"")</f>
        <v/>
      </c>
      <c r="H959" s="174">
        <f>IF(G959="","",G959*10000)</f>
        <v/>
      </c>
      <c r="I959" s="174">
        <f>IFERROR(IF(AND(H959&gt;0,E959&gt;0),H959/E959,""),"")</f>
        <v/>
      </c>
      <c r="J959" s="152">
        <f>IFERROR(VALUE(SUBSTITUTE(INDEX('04A_국토부원자료'!$A:$T,ROW()+1,MATCH("층",'04A_국토부원자료'!$A$4:$T$4,0)),",","")),"")</f>
        <v/>
      </c>
      <c r="K959" s="152">
        <f>IFERROR(VALUE(SUBSTITUTE(INDEX('04A_국토부원자료'!$A:$T,ROW()+1,MATCH("건축년도",'04A_국토부원자료'!$A$4:$T$4,0)),",","")),"")</f>
        <v/>
      </c>
      <c r="L959" s="176">
        <f>IFERROR(INDEX('04A_국토부원자료'!$A:$T,ROW()+1,MATCH("도로명",'04A_국토부원자료'!$A$4:$T$4,0)),"")</f>
        <v/>
      </c>
      <c r="M959" s="48">
        <f>IFERROR(INDEX('04A_국토부원자료'!$A:$T,ROW()+1,MATCH("거래유형",'04A_국토부원자료'!$A$4:$T$4,0)),"")</f>
        <v/>
      </c>
      <c r="N959" s="152">
        <f>IF(B959="","",IF('02_대상물건입력'!B5="",1,IF(ISNUMBER(SEARCH('02_대상물건입력'!B5,B959)),1,0)))</f>
        <v/>
      </c>
      <c r="O959" s="152">
        <f>IF(B959="","",IF('02_대상물건입력'!B6="",1,IF(ISNUMBER(SEARCH('02_대상물건입력'!B6,B959)),1,0)))</f>
        <v/>
      </c>
      <c r="P959" s="152">
        <f>IF(L959="","",IF('02_대상물건입력'!B15="",0,IF(ISNUMBER(SEARCH('02_대상물건입력'!B15,L959)),1,0)))</f>
        <v/>
      </c>
      <c r="Q959" s="152">
        <f>IF(OR(C959="",L959=""),0,IF(AND(TRIM(C959)=TRIM(RIGHT(SUBSTITUTE(TRIM('02_대상물건입력'!$B$7)," ",REPT(" ",99)),99)),IF('02_대상물건입력'!B15="",TRUE(),ISNUMBER(SEARCH('02_대상물건입력'!B15,L959)))),1,0))</f>
        <v/>
      </c>
      <c r="R959" s="175">
        <f>IFERROR(ABS(E959-'02_대상물건입력'!B11)/'02_대상물건입력'!B11,"")</f>
        <v/>
      </c>
      <c r="S959" s="152">
        <f>IFERROR(ABS(J959-'02_대상물건입력'!B10),"")</f>
        <v/>
      </c>
      <c r="T959" s="152">
        <f>IFERROR(ABS('01_설정'!B4-F959),"")</f>
        <v/>
      </c>
      <c r="U959" s="152">
        <f>IFERROR(ABS(K959-YEAR('02_대상물건입력'!B14)),"")</f>
        <v/>
      </c>
      <c r="V959" s="152">
        <f>IF(B959="","",IF(AND(E959&gt;0,F959&gt;0,H959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959=1,TRUE()),R959&lt;='01_설정'!B5,S959&lt;='01_설정'!B6,T959&lt;='01_설정'!B7,U959&lt;='01_설정'!B8),"Y",""))</f>
        <v/>
      </c>
      <c r="W959" s="172">
        <f>IF(V959&lt;&gt;"Y","",MAX(0,(1-R959/'01_설정'!B5))*'01_설정'!B14+MAX(0,(1-S959/'01_설정'!B6))*'01_설정'!B15+MAX(0,(1-T959/'01_설정'!B7))*'01_설정'!B16+MAX(0,(1-U959/'01_설정'!B8))*'01_설정'!B17+O959*'01_설정'!B11+Q959*'01_설정'!B12+P959*'01_설정'!B13+IF(Z959="",0,Z959))</f>
        <v/>
      </c>
      <c r="X959" s="152">
        <f>IF(W959="","",1+COUNTIFS($W$4:$W$3003,"&gt;"&amp;W959)+COUNTIFS($W$4:W959,W959)-1)</f>
        <v/>
      </c>
      <c r="Y959" s="175">
        <f>IF(OR(I959="",'02_대상물건입력'!B19="",'02_대상물건입력'!B19&lt;=0),"",ABS(I959-'02_대상물건입력'!B19)/'02_대상물건입력'!B19)</f>
        <v/>
      </c>
      <c r="Z959" s="172">
        <f>IF(OR(Y959="",'01_설정'!B31="",'01_설정'!B31&lt;=0,'01_설정'!B32="",'01_설정'!B32&lt;=0),"",MAX(0,(1-Y959/'01_설정'!B32))*'01_설정'!B31)</f>
        <v/>
      </c>
    </row>
    <row r="960" ht="17.25" customHeight="1">
      <c r="A960" s="152">
        <f>IF(INDEX('04A_국토부원자료'!$A:$A,ROW()+1)="","",ROW()-3)</f>
        <v/>
      </c>
      <c r="B960" s="48">
        <f>IFERROR(INDEX('04A_국토부원자료'!$A:$T,ROW()+1,MATCH("시군구",'04A_국토부원자료'!$A$4:$T$4,0)),"")</f>
        <v/>
      </c>
      <c r="C960" s="48">
        <f>IF(B960="","",IFERROR(INDEX('04A_국토부원자료'!$A:$T,ROW()+1,MATCH("번지",'04A_국토부원자료'!$A$4:$T$4,0)),""))</f>
        <v/>
      </c>
      <c r="D960" s="48">
        <f>IF(B960="","",IF(Q960=1,'02_대상물건입력'!$B$8,IFERROR(INDEX('04A_국토부원자료'!$A:$T,ROW()+1,MATCH("단지명",'04A_국토부원자료'!$A$4:$T$4,0)),"")))</f>
        <v/>
      </c>
      <c r="E960" s="172">
        <f>IFERROR(VALUE(SUBSTITUTE(INDEX('04A_국토부원자료'!$A:$T,ROW()+1,MATCH("전용면적(㎡)",'04A_국토부원자료'!$A$4:$T$4,0)),",","")),"")</f>
        <v/>
      </c>
      <c r="F9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60" s="51">
        <f>IFERROR(VALUE(SUBSTITUTE(INDEX('04A_국토부원자료'!$A:$T,ROW()+1,MATCH("거래금액(만원)",'04A_국토부원자료'!$A$4:$T$4,0)),",","")),"")</f>
        <v/>
      </c>
      <c r="H960" s="174">
        <f>IF(G960="","",G960*10000)</f>
        <v/>
      </c>
      <c r="I960" s="174">
        <f>IFERROR(IF(AND(H960&gt;0,E960&gt;0),H960/E960,""),"")</f>
        <v/>
      </c>
      <c r="J960" s="152">
        <f>IFERROR(VALUE(SUBSTITUTE(INDEX('04A_국토부원자료'!$A:$T,ROW()+1,MATCH("층",'04A_국토부원자료'!$A$4:$T$4,0)),",","")),"")</f>
        <v/>
      </c>
      <c r="K960" s="152">
        <f>IFERROR(VALUE(SUBSTITUTE(INDEX('04A_국토부원자료'!$A:$T,ROW()+1,MATCH("건축년도",'04A_국토부원자료'!$A$4:$T$4,0)),",","")),"")</f>
        <v/>
      </c>
      <c r="L960" s="176">
        <f>IFERROR(INDEX('04A_국토부원자료'!$A:$T,ROW()+1,MATCH("도로명",'04A_국토부원자료'!$A$4:$T$4,0)),"")</f>
        <v/>
      </c>
      <c r="M960" s="48">
        <f>IFERROR(INDEX('04A_국토부원자료'!$A:$T,ROW()+1,MATCH("거래유형",'04A_국토부원자료'!$A$4:$T$4,0)),"")</f>
        <v/>
      </c>
      <c r="N960" s="152">
        <f>IF(B960="","",IF('02_대상물건입력'!B5="",1,IF(ISNUMBER(SEARCH('02_대상물건입력'!B5,B960)),1,0)))</f>
        <v/>
      </c>
      <c r="O960" s="152">
        <f>IF(B960="","",IF('02_대상물건입력'!B6="",1,IF(ISNUMBER(SEARCH('02_대상물건입력'!B6,B960)),1,0)))</f>
        <v/>
      </c>
      <c r="P960" s="152">
        <f>IF(L960="","",IF('02_대상물건입력'!B15="",0,IF(ISNUMBER(SEARCH('02_대상물건입력'!B15,L960)),1,0)))</f>
        <v/>
      </c>
      <c r="Q960" s="152">
        <f>IF(OR(C960="",L960=""),0,IF(AND(TRIM(C960)=TRIM(RIGHT(SUBSTITUTE(TRIM('02_대상물건입력'!$B$7)," ",REPT(" ",99)),99)),IF('02_대상물건입력'!B15="",TRUE(),ISNUMBER(SEARCH('02_대상물건입력'!B15,L960)))),1,0))</f>
        <v/>
      </c>
      <c r="R960" s="175">
        <f>IFERROR(ABS(E960-'02_대상물건입력'!B11)/'02_대상물건입력'!B11,"")</f>
        <v/>
      </c>
      <c r="S960" s="152">
        <f>IFERROR(ABS(J960-'02_대상물건입력'!B10),"")</f>
        <v/>
      </c>
      <c r="T960" s="152">
        <f>IFERROR(ABS('01_설정'!B4-F960),"")</f>
        <v/>
      </c>
      <c r="U960" s="152">
        <f>IFERROR(ABS(K960-YEAR('02_대상물건입력'!B14)),"")</f>
        <v/>
      </c>
      <c r="V960" s="152">
        <f>IF(B960="","",IF(AND(E960&gt;0,F960&gt;0,H960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960=1,TRUE()),R960&lt;='01_설정'!B5,S960&lt;='01_설정'!B6,T960&lt;='01_설정'!B7,U960&lt;='01_설정'!B8),"Y",""))</f>
        <v/>
      </c>
      <c r="W960" s="172">
        <f>IF(V960&lt;&gt;"Y","",MAX(0,(1-R960/'01_설정'!B5))*'01_설정'!B14+MAX(0,(1-S960/'01_설정'!B6))*'01_설정'!B15+MAX(0,(1-T960/'01_설정'!B7))*'01_설정'!B16+MAX(0,(1-U960/'01_설정'!B8))*'01_설정'!B17+O960*'01_설정'!B11+Q960*'01_설정'!B12+P960*'01_설정'!B13+IF(Z960="",0,Z960))</f>
        <v/>
      </c>
      <c r="X960" s="152">
        <f>IF(W960="","",1+COUNTIFS($W$4:$W$3003,"&gt;"&amp;W960)+COUNTIFS($W$4:W960,W960)-1)</f>
        <v/>
      </c>
      <c r="Y960" s="175">
        <f>IF(OR(I960="",'02_대상물건입력'!B19="",'02_대상물건입력'!B19&lt;=0),"",ABS(I960-'02_대상물건입력'!B19)/'02_대상물건입력'!B19)</f>
        <v/>
      </c>
      <c r="Z960" s="172">
        <f>IF(OR(Y960="",'01_설정'!B31="",'01_설정'!B31&lt;=0,'01_설정'!B32="",'01_설정'!B32&lt;=0),"",MAX(0,(1-Y960/'01_설정'!B32))*'01_설정'!B31)</f>
        <v/>
      </c>
    </row>
    <row r="961" ht="17.25" customHeight="1">
      <c r="A961" s="152">
        <f>IF(INDEX('04A_국토부원자료'!$A:$A,ROW()+1)="","",ROW()-3)</f>
        <v/>
      </c>
      <c r="B961" s="48">
        <f>IFERROR(INDEX('04A_국토부원자료'!$A:$T,ROW()+1,MATCH("시군구",'04A_국토부원자료'!$A$4:$T$4,0)),"")</f>
        <v/>
      </c>
      <c r="C961" s="48">
        <f>IF(B961="","",IFERROR(INDEX('04A_국토부원자료'!$A:$T,ROW()+1,MATCH("번지",'04A_국토부원자료'!$A$4:$T$4,0)),""))</f>
        <v/>
      </c>
      <c r="D961" s="48">
        <f>IF(B961="","",IF(Q961=1,'02_대상물건입력'!$B$8,IFERROR(INDEX('04A_국토부원자료'!$A:$T,ROW()+1,MATCH("단지명",'04A_국토부원자료'!$A$4:$T$4,0)),"")))</f>
        <v/>
      </c>
      <c r="E961" s="172">
        <f>IFERROR(VALUE(SUBSTITUTE(INDEX('04A_국토부원자료'!$A:$T,ROW()+1,MATCH("전용면적(㎡)",'04A_국토부원자료'!$A$4:$T$4,0)),",","")),"")</f>
        <v/>
      </c>
      <c r="F9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61" s="51">
        <f>IFERROR(VALUE(SUBSTITUTE(INDEX('04A_국토부원자료'!$A:$T,ROW()+1,MATCH("거래금액(만원)",'04A_국토부원자료'!$A$4:$T$4,0)),",","")),"")</f>
        <v/>
      </c>
      <c r="H961" s="174">
        <f>IF(G961="","",G961*10000)</f>
        <v/>
      </c>
      <c r="I961" s="174">
        <f>IFERROR(IF(AND(H961&gt;0,E961&gt;0),H961/E961,""),"")</f>
        <v/>
      </c>
      <c r="J961" s="152">
        <f>IFERROR(VALUE(SUBSTITUTE(INDEX('04A_국토부원자료'!$A:$T,ROW()+1,MATCH("층",'04A_국토부원자료'!$A$4:$T$4,0)),",","")),"")</f>
        <v/>
      </c>
      <c r="K961" s="152">
        <f>IFERROR(VALUE(SUBSTITUTE(INDEX('04A_국토부원자료'!$A:$T,ROW()+1,MATCH("건축년도",'04A_국토부원자료'!$A$4:$T$4,0)),",","")),"")</f>
        <v/>
      </c>
      <c r="L961" s="176">
        <f>IFERROR(INDEX('04A_국토부원자료'!$A:$T,ROW()+1,MATCH("도로명",'04A_국토부원자료'!$A$4:$T$4,0)),"")</f>
        <v/>
      </c>
      <c r="M961" s="48">
        <f>IFERROR(INDEX('04A_국토부원자료'!$A:$T,ROW()+1,MATCH("거래유형",'04A_국토부원자료'!$A$4:$T$4,0)),"")</f>
        <v/>
      </c>
      <c r="N961" s="152">
        <f>IF(B961="","",IF('02_대상물건입력'!B5="",1,IF(ISNUMBER(SEARCH('02_대상물건입력'!B5,B961)),1,0)))</f>
        <v/>
      </c>
      <c r="O961" s="152">
        <f>IF(B961="","",IF('02_대상물건입력'!B6="",1,IF(ISNUMBER(SEARCH('02_대상물건입력'!B6,B961)),1,0)))</f>
        <v/>
      </c>
      <c r="P961" s="152">
        <f>IF(L961="","",IF('02_대상물건입력'!B15="",0,IF(ISNUMBER(SEARCH('02_대상물건입력'!B15,L961)),1,0)))</f>
        <v/>
      </c>
      <c r="Q961" s="152">
        <f>IF(OR(C961="",L961=""),0,IF(AND(TRIM(C961)=TRIM(RIGHT(SUBSTITUTE(TRIM('02_대상물건입력'!$B$7)," ",REPT(" ",99)),99)),IF('02_대상물건입력'!B15="",TRUE(),ISNUMBER(SEARCH('02_대상물건입력'!B15,L961)))),1,0))</f>
        <v/>
      </c>
      <c r="R961" s="175">
        <f>IFERROR(ABS(E961-'02_대상물건입력'!B11)/'02_대상물건입력'!B11,"")</f>
        <v/>
      </c>
      <c r="S961" s="152">
        <f>IFERROR(ABS(J961-'02_대상물건입력'!B10),"")</f>
        <v/>
      </c>
      <c r="T961" s="152">
        <f>IFERROR(ABS('01_설정'!B4-F961),"")</f>
        <v/>
      </c>
      <c r="U961" s="152">
        <f>IFERROR(ABS(K961-YEAR('02_대상물건입력'!B14)),"")</f>
        <v/>
      </c>
      <c r="V961" s="152">
        <f>IF(B961="","",IF(AND(E961&gt;0,F961&gt;0,H961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961=1,TRUE()),R961&lt;='01_설정'!B5,S961&lt;='01_설정'!B6,T961&lt;='01_설정'!B7,U961&lt;='01_설정'!B8),"Y",""))</f>
        <v/>
      </c>
      <c r="W961" s="172">
        <f>IF(V961&lt;&gt;"Y","",MAX(0,(1-R961/'01_설정'!B5))*'01_설정'!B14+MAX(0,(1-S961/'01_설정'!B6))*'01_설정'!B15+MAX(0,(1-T961/'01_설정'!B7))*'01_설정'!B16+MAX(0,(1-U961/'01_설정'!B8))*'01_설정'!B17+O961*'01_설정'!B11+Q961*'01_설정'!B12+P961*'01_설정'!B13+IF(Z961="",0,Z961))</f>
        <v/>
      </c>
      <c r="X961" s="152">
        <f>IF(W961="","",1+COUNTIFS($W$4:$W$3003,"&gt;"&amp;W961)+COUNTIFS($W$4:W961,W961)-1)</f>
        <v/>
      </c>
      <c r="Y961" s="175">
        <f>IF(OR(I961="",'02_대상물건입력'!B19="",'02_대상물건입력'!B19&lt;=0),"",ABS(I961-'02_대상물건입력'!B19)/'02_대상물건입력'!B19)</f>
        <v/>
      </c>
      <c r="Z961" s="172">
        <f>IF(OR(Y961="",'01_설정'!B31="",'01_설정'!B31&lt;=0,'01_설정'!B32="",'01_설정'!B32&lt;=0),"",MAX(0,(1-Y961/'01_설정'!B32))*'01_설정'!B31)</f>
        <v/>
      </c>
    </row>
    <row r="962" ht="17.25" customHeight="1">
      <c r="A962" s="152">
        <f>IF(INDEX('04A_국토부원자료'!$A:$A,ROW()+1)="","",ROW()-3)</f>
        <v/>
      </c>
      <c r="B962" s="48">
        <f>IFERROR(INDEX('04A_국토부원자료'!$A:$T,ROW()+1,MATCH("시군구",'04A_국토부원자료'!$A$4:$T$4,0)),"")</f>
        <v/>
      </c>
      <c r="C962" s="48">
        <f>IF(B962="","",IFERROR(INDEX('04A_국토부원자료'!$A:$T,ROW()+1,MATCH("번지",'04A_국토부원자료'!$A$4:$T$4,0)),""))</f>
        <v/>
      </c>
      <c r="D962" s="48">
        <f>IF(B962="","",IF(Q962=1,'02_대상물건입력'!$B$8,IFERROR(INDEX('04A_국토부원자료'!$A:$T,ROW()+1,MATCH("단지명",'04A_국토부원자료'!$A$4:$T$4,0)),"")))</f>
        <v/>
      </c>
      <c r="E962" s="172">
        <f>IFERROR(VALUE(SUBSTITUTE(INDEX('04A_국토부원자료'!$A:$T,ROW()+1,MATCH("전용면적(㎡)",'04A_국토부원자료'!$A$4:$T$4,0)),",","")),"")</f>
        <v/>
      </c>
      <c r="F9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62" s="51">
        <f>IFERROR(VALUE(SUBSTITUTE(INDEX('04A_국토부원자료'!$A:$T,ROW()+1,MATCH("거래금액(만원)",'04A_국토부원자료'!$A$4:$T$4,0)),",","")),"")</f>
        <v/>
      </c>
      <c r="H962" s="174">
        <f>IF(G962="","",G962*10000)</f>
        <v/>
      </c>
      <c r="I962" s="174">
        <f>IFERROR(IF(AND(H962&gt;0,E962&gt;0),H962/E962,""),"")</f>
        <v/>
      </c>
      <c r="J962" s="152">
        <f>IFERROR(VALUE(SUBSTITUTE(INDEX('04A_국토부원자료'!$A:$T,ROW()+1,MATCH("층",'04A_국토부원자료'!$A$4:$T$4,0)),",","")),"")</f>
        <v/>
      </c>
      <c r="K962" s="152">
        <f>IFERROR(VALUE(SUBSTITUTE(INDEX('04A_국토부원자료'!$A:$T,ROW()+1,MATCH("건축년도",'04A_국토부원자료'!$A$4:$T$4,0)),",","")),"")</f>
        <v/>
      </c>
      <c r="L962" s="176">
        <f>IFERROR(INDEX('04A_국토부원자료'!$A:$T,ROW()+1,MATCH("도로명",'04A_국토부원자료'!$A$4:$T$4,0)),"")</f>
        <v/>
      </c>
      <c r="M962" s="48">
        <f>IFERROR(INDEX('04A_국토부원자료'!$A:$T,ROW()+1,MATCH("거래유형",'04A_국토부원자료'!$A$4:$T$4,0)),"")</f>
        <v/>
      </c>
      <c r="N962" s="152">
        <f>IF(B962="","",IF('02_대상물건입력'!B5="",1,IF(ISNUMBER(SEARCH('02_대상물건입력'!B5,B962)),1,0)))</f>
        <v/>
      </c>
      <c r="O962" s="152">
        <f>IF(B962="","",IF('02_대상물건입력'!B6="",1,IF(ISNUMBER(SEARCH('02_대상물건입력'!B6,B962)),1,0)))</f>
        <v/>
      </c>
      <c r="P962" s="152">
        <f>IF(L962="","",IF('02_대상물건입력'!B15="",0,IF(ISNUMBER(SEARCH('02_대상물건입력'!B15,L962)),1,0)))</f>
        <v/>
      </c>
      <c r="Q962" s="152">
        <f>IF(OR(C962="",L962=""),0,IF(AND(TRIM(C962)=TRIM(RIGHT(SUBSTITUTE(TRIM('02_대상물건입력'!$B$7)," ",REPT(" ",99)),99)),IF('02_대상물건입력'!B15="",TRUE(),ISNUMBER(SEARCH('02_대상물건입력'!B15,L962)))),1,0))</f>
        <v/>
      </c>
      <c r="R962" s="175">
        <f>IFERROR(ABS(E962-'02_대상물건입력'!B11)/'02_대상물건입력'!B11,"")</f>
        <v/>
      </c>
      <c r="S962" s="152">
        <f>IFERROR(ABS(J962-'02_대상물건입력'!B10),"")</f>
        <v/>
      </c>
      <c r="T962" s="152">
        <f>IFERROR(ABS('01_설정'!B4-F962),"")</f>
        <v/>
      </c>
      <c r="U962" s="152">
        <f>IFERROR(ABS(K962-YEAR('02_대상물건입력'!B14)),"")</f>
        <v/>
      </c>
      <c r="V962" s="152">
        <f>IF(B962="","",IF(AND(E962&gt;0,F962&gt;0,H962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962=1,TRUE()),R962&lt;='01_설정'!B5,S962&lt;='01_설정'!B6,T962&lt;='01_설정'!B7,U962&lt;='01_설정'!B8),"Y",""))</f>
        <v/>
      </c>
      <c r="W962" s="172">
        <f>IF(V962&lt;&gt;"Y","",MAX(0,(1-R962/'01_설정'!B5))*'01_설정'!B14+MAX(0,(1-S962/'01_설정'!B6))*'01_설정'!B15+MAX(0,(1-T962/'01_설정'!B7))*'01_설정'!B16+MAX(0,(1-U962/'01_설정'!B8))*'01_설정'!B17+O962*'01_설정'!B11+Q962*'01_설정'!B12+P962*'01_설정'!B13+IF(Z962="",0,Z962))</f>
        <v/>
      </c>
      <c r="X962" s="152">
        <f>IF(W962="","",1+COUNTIFS($W$4:$W$3003,"&gt;"&amp;W962)+COUNTIFS($W$4:W962,W962)-1)</f>
        <v/>
      </c>
      <c r="Y962" s="175">
        <f>IF(OR(I962="",'02_대상물건입력'!B19="",'02_대상물건입력'!B19&lt;=0),"",ABS(I962-'02_대상물건입력'!B19)/'02_대상물건입력'!B19)</f>
        <v/>
      </c>
      <c r="Z962" s="172">
        <f>IF(OR(Y962="",'01_설정'!B31="",'01_설정'!B31&lt;=0,'01_설정'!B32="",'01_설정'!B32&lt;=0),"",MAX(0,(1-Y962/'01_설정'!B32))*'01_설정'!B31)</f>
        <v/>
      </c>
    </row>
    <row r="963" ht="17.25" customHeight="1">
      <c r="A963" s="152">
        <f>IF(INDEX('04A_국토부원자료'!$A:$A,ROW()+1)="","",ROW()-3)</f>
        <v/>
      </c>
      <c r="B963" s="48">
        <f>IFERROR(INDEX('04A_국토부원자료'!$A:$T,ROW()+1,MATCH("시군구",'04A_국토부원자료'!$A$4:$T$4,0)),"")</f>
        <v/>
      </c>
      <c r="C963" s="48">
        <f>IF(B963="","",IFERROR(INDEX('04A_국토부원자료'!$A:$T,ROW()+1,MATCH("번지",'04A_국토부원자료'!$A$4:$T$4,0)),""))</f>
        <v/>
      </c>
      <c r="D963" s="48">
        <f>IF(B963="","",IF(Q963=1,'02_대상물건입력'!$B$8,IFERROR(INDEX('04A_국토부원자료'!$A:$T,ROW()+1,MATCH("단지명",'04A_국토부원자료'!$A$4:$T$4,0)),"")))</f>
        <v/>
      </c>
      <c r="E963" s="172">
        <f>IFERROR(VALUE(SUBSTITUTE(INDEX('04A_국토부원자료'!$A:$T,ROW()+1,MATCH("전용면적(㎡)",'04A_국토부원자료'!$A$4:$T$4,0)),",","")),"")</f>
        <v/>
      </c>
      <c r="F9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63" s="51">
        <f>IFERROR(VALUE(SUBSTITUTE(INDEX('04A_국토부원자료'!$A:$T,ROW()+1,MATCH("거래금액(만원)",'04A_국토부원자료'!$A$4:$T$4,0)),",","")),"")</f>
        <v/>
      </c>
      <c r="H963" s="174">
        <f>IF(G963="","",G963*10000)</f>
        <v/>
      </c>
      <c r="I963" s="174">
        <f>IFERROR(IF(AND(H963&gt;0,E963&gt;0),H963/E963,""),"")</f>
        <v/>
      </c>
      <c r="J963" s="152">
        <f>IFERROR(VALUE(SUBSTITUTE(INDEX('04A_국토부원자료'!$A:$T,ROW()+1,MATCH("층",'04A_국토부원자료'!$A$4:$T$4,0)),",","")),"")</f>
        <v/>
      </c>
      <c r="K963" s="152">
        <f>IFERROR(VALUE(SUBSTITUTE(INDEX('04A_국토부원자료'!$A:$T,ROW()+1,MATCH("건축년도",'04A_국토부원자료'!$A$4:$T$4,0)),",","")),"")</f>
        <v/>
      </c>
      <c r="L963" s="176">
        <f>IFERROR(INDEX('04A_국토부원자료'!$A:$T,ROW()+1,MATCH("도로명",'04A_국토부원자료'!$A$4:$T$4,0)),"")</f>
        <v/>
      </c>
      <c r="M963" s="48">
        <f>IFERROR(INDEX('04A_국토부원자료'!$A:$T,ROW()+1,MATCH("거래유형",'04A_국토부원자료'!$A$4:$T$4,0)),"")</f>
        <v/>
      </c>
      <c r="N963" s="152">
        <f>IF(B963="","",IF('02_대상물건입력'!B5="",1,IF(ISNUMBER(SEARCH('02_대상물건입력'!B5,B963)),1,0)))</f>
        <v/>
      </c>
      <c r="O963" s="152">
        <f>IF(B963="","",IF('02_대상물건입력'!B6="",1,IF(ISNUMBER(SEARCH('02_대상물건입력'!B6,B963)),1,0)))</f>
        <v/>
      </c>
      <c r="P963" s="152">
        <f>IF(L963="","",IF('02_대상물건입력'!B15="",0,IF(ISNUMBER(SEARCH('02_대상물건입력'!B15,L963)),1,0)))</f>
        <v/>
      </c>
      <c r="Q963" s="152">
        <f>IF(OR(C963="",L963=""),0,IF(AND(TRIM(C963)=TRIM(RIGHT(SUBSTITUTE(TRIM('02_대상물건입력'!$B$7)," ",REPT(" ",99)),99)),IF('02_대상물건입력'!B15="",TRUE(),ISNUMBER(SEARCH('02_대상물건입력'!B15,L963)))),1,0))</f>
        <v/>
      </c>
      <c r="R963" s="175">
        <f>IFERROR(ABS(E963-'02_대상물건입력'!B11)/'02_대상물건입력'!B11,"")</f>
        <v/>
      </c>
      <c r="S963" s="152">
        <f>IFERROR(ABS(J963-'02_대상물건입력'!B10),"")</f>
        <v/>
      </c>
      <c r="T963" s="152">
        <f>IFERROR(ABS('01_설정'!B4-F963),"")</f>
        <v/>
      </c>
      <c r="U963" s="152">
        <f>IFERROR(ABS(K963-YEAR('02_대상물건입력'!B14)),"")</f>
        <v/>
      </c>
      <c r="V963" s="152">
        <f>IF(B963="","",IF(AND(E963&gt;0,F963&gt;0,H963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963=1,TRUE()),R963&lt;='01_설정'!B5,S963&lt;='01_설정'!B6,T963&lt;='01_설정'!B7,U963&lt;='01_설정'!B8),"Y",""))</f>
        <v/>
      </c>
      <c r="W963" s="172">
        <f>IF(V963&lt;&gt;"Y","",MAX(0,(1-R963/'01_설정'!B5))*'01_설정'!B14+MAX(0,(1-S963/'01_설정'!B6))*'01_설정'!B15+MAX(0,(1-T963/'01_설정'!B7))*'01_설정'!B16+MAX(0,(1-U963/'01_설정'!B8))*'01_설정'!B17+O963*'01_설정'!B11+Q963*'01_설정'!B12+P963*'01_설정'!B13+IF(Z963="",0,Z963))</f>
        <v/>
      </c>
      <c r="X963" s="152">
        <f>IF(W963="","",1+COUNTIFS($W$4:$W$3003,"&gt;"&amp;W963)+COUNTIFS($W$4:W963,W963)-1)</f>
        <v/>
      </c>
      <c r="Y963" s="175">
        <f>IF(OR(I963="",'02_대상물건입력'!B19="",'02_대상물건입력'!B19&lt;=0),"",ABS(I963-'02_대상물건입력'!B19)/'02_대상물건입력'!B19)</f>
        <v/>
      </c>
      <c r="Z963" s="172">
        <f>IF(OR(Y963="",'01_설정'!B31="",'01_설정'!B31&lt;=0,'01_설정'!B32="",'01_설정'!B32&lt;=0),"",MAX(0,(1-Y963/'01_설정'!B32))*'01_설정'!B31)</f>
        <v/>
      </c>
    </row>
    <row r="964" ht="17.25" customHeight="1">
      <c r="A964" s="152">
        <f>IF(INDEX('04A_국토부원자료'!$A:$A,ROW()+1)="","",ROW()-3)</f>
        <v/>
      </c>
      <c r="B964" s="48">
        <f>IFERROR(INDEX('04A_국토부원자료'!$A:$T,ROW()+1,MATCH("시군구",'04A_국토부원자료'!$A$4:$T$4,0)),"")</f>
        <v/>
      </c>
      <c r="C964" s="48">
        <f>IF(B964="","",IFERROR(INDEX('04A_국토부원자료'!$A:$T,ROW()+1,MATCH("번지",'04A_국토부원자료'!$A$4:$T$4,0)),""))</f>
        <v/>
      </c>
      <c r="D964" s="48">
        <f>IF(B964="","",IF(Q964=1,'02_대상물건입력'!$B$8,IFERROR(INDEX('04A_국토부원자료'!$A:$T,ROW()+1,MATCH("단지명",'04A_국토부원자료'!$A$4:$T$4,0)),"")))</f>
        <v/>
      </c>
      <c r="E964" s="172">
        <f>IFERROR(VALUE(SUBSTITUTE(INDEX('04A_국토부원자료'!$A:$T,ROW()+1,MATCH("전용면적(㎡)",'04A_국토부원자료'!$A$4:$T$4,0)),",","")),"")</f>
        <v/>
      </c>
      <c r="F9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64" s="51">
        <f>IFERROR(VALUE(SUBSTITUTE(INDEX('04A_국토부원자료'!$A:$T,ROW()+1,MATCH("거래금액(만원)",'04A_국토부원자료'!$A$4:$T$4,0)),",","")),"")</f>
        <v/>
      </c>
      <c r="H964" s="174">
        <f>IF(G964="","",G964*10000)</f>
        <v/>
      </c>
      <c r="I964" s="174">
        <f>IFERROR(IF(AND(H964&gt;0,E964&gt;0),H964/E964,""),"")</f>
        <v/>
      </c>
      <c r="J964" s="152">
        <f>IFERROR(VALUE(SUBSTITUTE(INDEX('04A_국토부원자료'!$A:$T,ROW()+1,MATCH("층",'04A_국토부원자료'!$A$4:$T$4,0)),",","")),"")</f>
        <v/>
      </c>
      <c r="K964" s="152">
        <f>IFERROR(VALUE(SUBSTITUTE(INDEX('04A_국토부원자료'!$A:$T,ROW()+1,MATCH("건축년도",'04A_국토부원자료'!$A$4:$T$4,0)),",","")),"")</f>
        <v/>
      </c>
      <c r="L964" s="176">
        <f>IFERROR(INDEX('04A_국토부원자료'!$A:$T,ROW()+1,MATCH("도로명",'04A_국토부원자료'!$A$4:$T$4,0)),"")</f>
        <v/>
      </c>
      <c r="M964" s="48">
        <f>IFERROR(INDEX('04A_국토부원자료'!$A:$T,ROW()+1,MATCH("거래유형",'04A_국토부원자료'!$A$4:$T$4,0)),"")</f>
        <v/>
      </c>
      <c r="N964" s="152">
        <f>IF(B964="","",IF('02_대상물건입력'!B5="",1,IF(ISNUMBER(SEARCH('02_대상물건입력'!B5,B964)),1,0)))</f>
        <v/>
      </c>
      <c r="O964" s="152">
        <f>IF(B964="","",IF('02_대상물건입력'!B6="",1,IF(ISNUMBER(SEARCH('02_대상물건입력'!B6,B964)),1,0)))</f>
        <v/>
      </c>
      <c r="P964" s="152">
        <f>IF(L964="","",IF('02_대상물건입력'!B15="",0,IF(ISNUMBER(SEARCH('02_대상물건입력'!B15,L964)),1,0)))</f>
        <v/>
      </c>
      <c r="Q964" s="152">
        <f>IF(OR(C964="",L964=""),0,IF(AND(TRIM(C964)=TRIM(RIGHT(SUBSTITUTE(TRIM('02_대상물건입력'!$B$7)," ",REPT(" ",99)),99)),IF('02_대상물건입력'!B15="",TRUE(),ISNUMBER(SEARCH('02_대상물건입력'!B15,L964)))),1,0))</f>
        <v/>
      </c>
      <c r="R964" s="175">
        <f>IFERROR(ABS(E964-'02_대상물건입력'!B11)/'02_대상물건입력'!B11,"")</f>
        <v/>
      </c>
      <c r="S964" s="152">
        <f>IFERROR(ABS(J964-'02_대상물건입력'!B10),"")</f>
        <v/>
      </c>
      <c r="T964" s="152">
        <f>IFERROR(ABS('01_설정'!B4-F964),"")</f>
        <v/>
      </c>
      <c r="U964" s="152">
        <f>IFERROR(ABS(K964-YEAR('02_대상물건입력'!B14)),"")</f>
        <v/>
      </c>
      <c r="V964" s="152">
        <f>IF(B964="","",IF(AND(E964&gt;0,F964&gt;0,H964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964=1,TRUE()),R964&lt;='01_설정'!B5,S964&lt;='01_설정'!B6,T964&lt;='01_설정'!B7,U964&lt;='01_설정'!B8),"Y",""))</f>
        <v/>
      </c>
      <c r="W964" s="172">
        <f>IF(V964&lt;&gt;"Y","",MAX(0,(1-R964/'01_설정'!B5))*'01_설정'!B14+MAX(0,(1-S964/'01_설정'!B6))*'01_설정'!B15+MAX(0,(1-T964/'01_설정'!B7))*'01_설정'!B16+MAX(0,(1-U964/'01_설정'!B8))*'01_설정'!B17+O964*'01_설정'!B11+Q964*'01_설정'!B12+P964*'01_설정'!B13+IF(Z964="",0,Z964))</f>
        <v/>
      </c>
      <c r="X964" s="152">
        <f>IF(W964="","",1+COUNTIFS($W$4:$W$3003,"&gt;"&amp;W964)+COUNTIFS($W$4:W964,W964)-1)</f>
        <v/>
      </c>
      <c r="Y964" s="175">
        <f>IF(OR(I964="",'02_대상물건입력'!B19="",'02_대상물건입력'!B19&lt;=0),"",ABS(I964-'02_대상물건입력'!B19)/'02_대상물건입력'!B19)</f>
        <v/>
      </c>
      <c r="Z964" s="172">
        <f>IF(OR(Y964="",'01_설정'!B31="",'01_설정'!B31&lt;=0,'01_설정'!B32="",'01_설정'!B32&lt;=0),"",MAX(0,(1-Y964/'01_설정'!B32))*'01_설정'!B31)</f>
        <v/>
      </c>
    </row>
    <row r="965" ht="17.25" customHeight="1">
      <c r="A965" s="152">
        <f>IF(INDEX('04A_국토부원자료'!$A:$A,ROW()+1)="","",ROW()-3)</f>
        <v/>
      </c>
      <c r="B965" s="48">
        <f>IFERROR(INDEX('04A_국토부원자료'!$A:$T,ROW()+1,MATCH("시군구",'04A_국토부원자료'!$A$4:$T$4,0)),"")</f>
        <v/>
      </c>
      <c r="C965" s="48">
        <f>IF(B965="","",IFERROR(INDEX('04A_국토부원자료'!$A:$T,ROW()+1,MATCH("번지",'04A_국토부원자료'!$A$4:$T$4,0)),""))</f>
        <v/>
      </c>
      <c r="D965" s="48">
        <f>IF(B965="","",IF(Q965=1,'02_대상물건입력'!$B$8,IFERROR(INDEX('04A_국토부원자료'!$A:$T,ROW()+1,MATCH("단지명",'04A_국토부원자료'!$A$4:$T$4,0)),"")))</f>
        <v/>
      </c>
      <c r="E965" s="172">
        <f>IFERROR(VALUE(SUBSTITUTE(INDEX('04A_국토부원자료'!$A:$T,ROW()+1,MATCH("전용면적(㎡)",'04A_국토부원자료'!$A$4:$T$4,0)),",","")),"")</f>
        <v/>
      </c>
      <c r="F9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65" s="51">
        <f>IFERROR(VALUE(SUBSTITUTE(INDEX('04A_국토부원자료'!$A:$T,ROW()+1,MATCH("거래금액(만원)",'04A_국토부원자료'!$A$4:$T$4,0)),",","")),"")</f>
        <v/>
      </c>
      <c r="H965" s="174">
        <f>IF(G965="","",G965*10000)</f>
        <v/>
      </c>
      <c r="I965" s="174">
        <f>IFERROR(IF(AND(H965&gt;0,E965&gt;0),H965/E965,""),"")</f>
        <v/>
      </c>
      <c r="J965" s="152">
        <f>IFERROR(VALUE(SUBSTITUTE(INDEX('04A_국토부원자료'!$A:$T,ROW()+1,MATCH("층",'04A_국토부원자료'!$A$4:$T$4,0)),",","")),"")</f>
        <v/>
      </c>
      <c r="K965" s="152">
        <f>IFERROR(VALUE(SUBSTITUTE(INDEX('04A_국토부원자료'!$A:$T,ROW()+1,MATCH("건축년도",'04A_국토부원자료'!$A$4:$T$4,0)),",","")),"")</f>
        <v/>
      </c>
      <c r="L965" s="176">
        <f>IFERROR(INDEX('04A_국토부원자료'!$A:$T,ROW()+1,MATCH("도로명",'04A_국토부원자료'!$A$4:$T$4,0)),"")</f>
        <v/>
      </c>
      <c r="M965" s="48">
        <f>IFERROR(INDEX('04A_국토부원자료'!$A:$T,ROW()+1,MATCH("거래유형",'04A_국토부원자료'!$A$4:$T$4,0)),"")</f>
        <v/>
      </c>
      <c r="N965" s="152">
        <f>IF(B965="","",IF('02_대상물건입력'!B5="",1,IF(ISNUMBER(SEARCH('02_대상물건입력'!B5,B965)),1,0)))</f>
        <v/>
      </c>
      <c r="O965" s="152">
        <f>IF(B965="","",IF('02_대상물건입력'!B6="",1,IF(ISNUMBER(SEARCH('02_대상물건입력'!B6,B965)),1,0)))</f>
        <v/>
      </c>
      <c r="P965" s="152">
        <f>IF(L965="","",IF('02_대상물건입력'!B15="",0,IF(ISNUMBER(SEARCH('02_대상물건입력'!B15,L965)),1,0)))</f>
        <v/>
      </c>
      <c r="Q965" s="152">
        <f>IF(OR(C965="",L965=""),0,IF(AND(TRIM(C965)=TRIM(RIGHT(SUBSTITUTE(TRIM('02_대상물건입력'!$B$7)," ",REPT(" ",99)),99)),IF('02_대상물건입력'!B15="",TRUE(),ISNUMBER(SEARCH('02_대상물건입력'!B15,L965)))),1,0))</f>
        <v/>
      </c>
      <c r="R965" s="175">
        <f>IFERROR(ABS(E965-'02_대상물건입력'!B11)/'02_대상물건입력'!B11,"")</f>
        <v/>
      </c>
      <c r="S965" s="152">
        <f>IFERROR(ABS(J965-'02_대상물건입력'!B10),"")</f>
        <v/>
      </c>
      <c r="T965" s="152">
        <f>IFERROR(ABS('01_설정'!B4-F965),"")</f>
        <v/>
      </c>
      <c r="U965" s="152">
        <f>IFERROR(ABS(K965-YEAR('02_대상물건입력'!B14)),"")</f>
        <v/>
      </c>
      <c r="V965" s="152">
        <f>IF(B965="","",IF(AND(E965&gt;0,F965&gt;0,H965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965=1,TRUE()),R965&lt;='01_설정'!B5,S965&lt;='01_설정'!B6,T965&lt;='01_설정'!B7,U965&lt;='01_설정'!B8),"Y",""))</f>
        <v/>
      </c>
      <c r="W965" s="172">
        <f>IF(V965&lt;&gt;"Y","",MAX(0,(1-R965/'01_설정'!B5))*'01_설정'!B14+MAX(0,(1-S965/'01_설정'!B6))*'01_설정'!B15+MAX(0,(1-T965/'01_설정'!B7))*'01_설정'!B16+MAX(0,(1-U965/'01_설정'!B8))*'01_설정'!B17+O965*'01_설정'!B11+Q965*'01_설정'!B12+P965*'01_설정'!B13+IF(Z965="",0,Z965))</f>
        <v/>
      </c>
      <c r="X965" s="152">
        <f>IF(W965="","",1+COUNTIFS($W$4:$W$3003,"&gt;"&amp;W965)+COUNTIFS($W$4:W965,W965)-1)</f>
        <v/>
      </c>
      <c r="Y965" s="175">
        <f>IF(OR(I965="",'02_대상물건입력'!B19="",'02_대상물건입력'!B19&lt;=0),"",ABS(I965-'02_대상물건입력'!B19)/'02_대상물건입력'!B19)</f>
        <v/>
      </c>
      <c r="Z965" s="172">
        <f>IF(OR(Y965="",'01_설정'!B31="",'01_설정'!B31&lt;=0,'01_설정'!B32="",'01_설정'!B32&lt;=0),"",MAX(0,(1-Y965/'01_설정'!B32))*'01_설정'!B31)</f>
        <v/>
      </c>
    </row>
    <row r="966" ht="17.25" customHeight="1">
      <c r="A966" s="152">
        <f>IF(INDEX('04A_국토부원자료'!$A:$A,ROW()+1)="","",ROW()-3)</f>
        <v/>
      </c>
      <c r="B966" s="48">
        <f>IFERROR(INDEX('04A_국토부원자료'!$A:$T,ROW()+1,MATCH("시군구",'04A_국토부원자료'!$A$4:$T$4,0)),"")</f>
        <v/>
      </c>
      <c r="C966" s="48">
        <f>IF(B966="","",IFERROR(INDEX('04A_국토부원자료'!$A:$T,ROW()+1,MATCH("번지",'04A_국토부원자료'!$A$4:$T$4,0)),""))</f>
        <v/>
      </c>
      <c r="D966" s="48">
        <f>IF(B966="","",IF(Q966=1,'02_대상물건입력'!$B$8,IFERROR(INDEX('04A_국토부원자료'!$A:$T,ROW()+1,MATCH("단지명",'04A_국토부원자료'!$A$4:$T$4,0)),"")))</f>
        <v/>
      </c>
      <c r="E966" s="172">
        <f>IFERROR(VALUE(SUBSTITUTE(INDEX('04A_국토부원자료'!$A:$T,ROW()+1,MATCH("전용면적(㎡)",'04A_국토부원자료'!$A$4:$T$4,0)),",","")),"")</f>
        <v/>
      </c>
      <c r="F9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66" s="51">
        <f>IFERROR(VALUE(SUBSTITUTE(INDEX('04A_국토부원자료'!$A:$T,ROW()+1,MATCH("거래금액(만원)",'04A_국토부원자료'!$A$4:$T$4,0)),",","")),"")</f>
        <v/>
      </c>
      <c r="H966" s="174">
        <f>IF(G966="","",G966*10000)</f>
        <v/>
      </c>
      <c r="I966" s="174">
        <f>IFERROR(IF(AND(H966&gt;0,E966&gt;0),H966/E966,""),"")</f>
        <v/>
      </c>
      <c r="J966" s="152">
        <f>IFERROR(VALUE(SUBSTITUTE(INDEX('04A_국토부원자료'!$A:$T,ROW()+1,MATCH("층",'04A_국토부원자료'!$A$4:$T$4,0)),",","")),"")</f>
        <v/>
      </c>
      <c r="K966" s="152">
        <f>IFERROR(VALUE(SUBSTITUTE(INDEX('04A_국토부원자료'!$A:$T,ROW()+1,MATCH("건축년도",'04A_국토부원자료'!$A$4:$T$4,0)),",","")),"")</f>
        <v/>
      </c>
      <c r="L966" s="176">
        <f>IFERROR(INDEX('04A_국토부원자료'!$A:$T,ROW()+1,MATCH("도로명",'04A_국토부원자료'!$A$4:$T$4,0)),"")</f>
        <v/>
      </c>
      <c r="M966" s="48">
        <f>IFERROR(INDEX('04A_국토부원자료'!$A:$T,ROW()+1,MATCH("거래유형",'04A_국토부원자료'!$A$4:$T$4,0)),"")</f>
        <v/>
      </c>
      <c r="N966" s="152">
        <f>IF(B966="","",IF('02_대상물건입력'!B5="",1,IF(ISNUMBER(SEARCH('02_대상물건입력'!B5,B966)),1,0)))</f>
        <v/>
      </c>
      <c r="O966" s="152">
        <f>IF(B966="","",IF('02_대상물건입력'!B6="",1,IF(ISNUMBER(SEARCH('02_대상물건입력'!B6,B966)),1,0)))</f>
        <v/>
      </c>
      <c r="P966" s="152">
        <f>IF(L966="","",IF('02_대상물건입력'!B15="",0,IF(ISNUMBER(SEARCH('02_대상물건입력'!B15,L966)),1,0)))</f>
        <v/>
      </c>
      <c r="Q966" s="152">
        <f>IF(OR(C966="",L966=""),0,IF(AND(TRIM(C966)=TRIM(RIGHT(SUBSTITUTE(TRIM('02_대상물건입력'!$B$7)," ",REPT(" ",99)),99)),IF('02_대상물건입력'!B15="",TRUE(),ISNUMBER(SEARCH('02_대상물건입력'!B15,L966)))),1,0))</f>
        <v/>
      </c>
      <c r="R966" s="175">
        <f>IFERROR(ABS(E966-'02_대상물건입력'!B11)/'02_대상물건입력'!B11,"")</f>
        <v/>
      </c>
      <c r="S966" s="152">
        <f>IFERROR(ABS(J966-'02_대상물건입력'!B10),"")</f>
        <v/>
      </c>
      <c r="T966" s="152">
        <f>IFERROR(ABS('01_설정'!B4-F966),"")</f>
        <v/>
      </c>
      <c r="U966" s="152">
        <f>IFERROR(ABS(K966-YEAR('02_대상물건입력'!B14)),"")</f>
        <v/>
      </c>
      <c r="V966" s="152">
        <f>IF(B966="","",IF(AND(E966&gt;0,F966&gt;0,H966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966=1,TRUE()),R966&lt;='01_설정'!B5,S966&lt;='01_설정'!B6,T966&lt;='01_설정'!B7,U966&lt;='01_설정'!B8),"Y",""))</f>
        <v/>
      </c>
      <c r="W966" s="172">
        <f>IF(V966&lt;&gt;"Y","",MAX(0,(1-R966/'01_설정'!B5))*'01_설정'!B14+MAX(0,(1-S966/'01_설정'!B6))*'01_설정'!B15+MAX(0,(1-T966/'01_설정'!B7))*'01_설정'!B16+MAX(0,(1-U966/'01_설정'!B8))*'01_설정'!B17+O966*'01_설정'!B11+Q966*'01_설정'!B12+P966*'01_설정'!B13+IF(Z966="",0,Z966))</f>
        <v/>
      </c>
      <c r="X966" s="152">
        <f>IF(W966="","",1+COUNTIFS($W$4:$W$3003,"&gt;"&amp;W966)+COUNTIFS($W$4:W966,W966)-1)</f>
        <v/>
      </c>
      <c r="Y966" s="175">
        <f>IF(OR(I966="",'02_대상물건입력'!B19="",'02_대상물건입력'!B19&lt;=0),"",ABS(I966-'02_대상물건입력'!B19)/'02_대상물건입력'!B19)</f>
        <v/>
      </c>
      <c r="Z966" s="172">
        <f>IF(OR(Y966="",'01_설정'!B31="",'01_설정'!B31&lt;=0,'01_설정'!B32="",'01_설정'!B32&lt;=0),"",MAX(0,(1-Y966/'01_설정'!B32))*'01_설정'!B31)</f>
        <v/>
      </c>
    </row>
    <row r="967" ht="17.25" customHeight="1">
      <c r="A967" s="152">
        <f>IF(INDEX('04A_국토부원자료'!$A:$A,ROW()+1)="","",ROW()-3)</f>
        <v/>
      </c>
      <c r="B967" s="48">
        <f>IFERROR(INDEX('04A_국토부원자료'!$A:$T,ROW()+1,MATCH("시군구",'04A_국토부원자료'!$A$4:$T$4,0)),"")</f>
        <v/>
      </c>
      <c r="C967" s="48">
        <f>IF(B967="","",IFERROR(INDEX('04A_국토부원자료'!$A:$T,ROW()+1,MATCH("번지",'04A_국토부원자료'!$A$4:$T$4,0)),""))</f>
        <v/>
      </c>
      <c r="D967" s="48">
        <f>IF(B967="","",IF(Q967=1,'02_대상물건입력'!$B$8,IFERROR(INDEX('04A_국토부원자료'!$A:$T,ROW()+1,MATCH("단지명",'04A_국토부원자료'!$A$4:$T$4,0)),"")))</f>
        <v/>
      </c>
      <c r="E967" s="172">
        <f>IFERROR(VALUE(SUBSTITUTE(INDEX('04A_국토부원자료'!$A:$T,ROW()+1,MATCH("전용면적(㎡)",'04A_국토부원자료'!$A$4:$T$4,0)),",","")),"")</f>
        <v/>
      </c>
      <c r="F9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67" s="51">
        <f>IFERROR(VALUE(SUBSTITUTE(INDEX('04A_국토부원자료'!$A:$T,ROW()+1,MATCH("거래금액(만원)",'04A_국토부원자료'!$A$4:$T$4,0)),",","")),"")</f>
        <v/>
      </c>
      <c r="H967" s="174">
        <f>IF(G967="","",G967*10000)</f>
        <v/>
      </c>
      <c r="I967" s="174">
        <f>IFERROR(IF(AND(H967&gt;0,E967&gt;0),H967/E967,""),"")</f>
        <v/>
      </c>
      <c r="J967" s="152">
        <f>IFERROR(VALUE(SUBSTITUTE(INDEX('04A_국토부원자료'!$A:$T,ROW()+1,MATCH("층",'04A_국토부원자료'!$A$4:$T$4,0)),",","")),"")</f>
        <v/>
      </c>
      <c r="K967" s="152">
        <f>IFERROR(VALUE(SUBSTITUTE(INDEX('04A_국토부원자료'!$A:$T,ROW()+1,MATCH("건축년도",'04A_국토부원자료'!$A$4:$T$4,0)),",","")),"")</f>
        <v/>
      </c>
      <c r="L967" s="176">
        <f>IFERROR(INDEX('04A_국토부원자료'!$A:$T,ROW()+1,MATCH("도로명",'04A_국토부원자료'!$A$4:$T$4,0)),"")</f>
        <v/>
      </c>
      <c r="M967" s="48">
        <f>IFERROR(INDEX('04A_국토부원자료'!$A:$T,ROW()+1,MATCH("거래유형",'04A_국토부원자료'!$A$4:$T$4,0)),"")</f>
        <v/>
      </c>
      <c r="N967" s="152">
        <f>IF(B967="","",IF('02_대상물건입력'!B5="",1,IF(ISNUMBER(SEARCH('02_대상물건입력'!B5,B967)),1,0)))</f>
        <v/>
      </c>
      <c r="O967" s="152">
        <f>IF(B967="","",IF('02_대상물건입력'!B6="",1,IF(ISNUMBER(SEARCH('02_대상물건입력'!B6,B967)),1,0)))</f>
        <v/>
      </c>
      <c r="P967" s="152">
        <f>IF(L967="","",IF('02_대상물건입력'!B15="",0,IF(ISNUMBER(SEARCH('02_대상물건입력'!B15,L967)),1,0)))</f>
        <v/>
      </c>
      <c r="Q967" s="152">
        <f>IF(OR(C967="",L967=""),0,IF(AND(TRIM(C967)=TRIM(RIGHT(SUBSTITUTE(TRIM('02_대상물건입력'!$B$7)," ",REPT(" ",99)),99)),IF('02_대상물건입력'!B15="",TRUE(),ISNUMBER(SEARCH('02_대상물건입력'!B15,L967)))),1,0))</f>
        <v/>
      </c>
      <c r="R967" s="175">
        <f>IFERROR(ABS(E967-'02_대상물건입력'!B11)/'02_대상물건입력'!B11,"")</f>
        <v/>
      </c>
      <c r="S967" s="152">
        <f>IFERROR(ABS(J967-'02_대상물건입력'!B10),"")</f>
        <v/>
      </c>
      <c r="T967" s="152">
        <f>IFERROR(ABS('01_설정'!B4-F967),"")</f>
        <v/>
      </c>
      <c r="U967" s="152">
        <f>IFERROR(ABS(K967-YEAR('02_대상물건입력'!B14)),"")</f>
        <v/>
      </c>
      <c r="V967" s="152">
        <f>IF(B967="","",IF(AND(E967&gt;0,F967&gt;0,H967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967=1,TRUE()),R967&lt;='01_설정'!B5,S967&lt;='01_설정'!B6,T967&lt;='01_설정'!B7,U967&lt;='01_설정'!B8),"Y",""))</f>
        <v/>
      </c>
      <c r="W967" s="172">
        <f>IF(V967&lt;&gt;"Y","",MAX(0,(1-R967/'01_설정'!B5))*'01_설정'!B14+MAX(0,(1-S967/'01_설정'!B6))*'01_설정'!B15+MAX(0,(1-T967/'01_설정'!B7))*'01_설정'!B16+MAX(0,(1-U967/'01_설정'!B8))*'01_설정'!B17+O967*'01_설정'!B11+Q967*'01_설정'!B12+P967*'01_설정'!B13+IF(Z967="",0,Z967))</f>
        <v/>
      </c>
      <c r="X967" s="152">
        <f>IF(W967="","",1+COUNTIFS($W$4:$W$3003,"&gt;"&amp;W967)+COUNTIFS($W$4:W967,W967)-1)</f>
        <v/>
      </c>
      <c r="Y967" s="175">
        <f>IF(OR(I967="",'02_대상물건입력'!B19="",'02_대상물건입력'!B19&lt;=0),"",ABS(I967-'02_대상물건입력'!B19)/'02_대상물건입력'!B19)</f>
        <v/>
      </c>
      <c r="Z967" s="172">
        <f>IF(OR(Y967="",'01_설정'!B31="",'01_설정'!B31&lt;=0,'01_설정'!B32="",'01_설정'!B32&lt;=0),"",MAX(0,(1-Y967/'01_설정'!B32))*'01_설정'!B31)</f>
        <v/>
      </c>
    </row>
    <row r="968" ht="17.25" customHeight="1">
      <c r="A968" s="152">
        <f>IF(INDEX('04A_국토부원자료'!$A:$A,ROW()+1)="","",ROW()-3)</f>
        <v/>
      </c>
      <c r="B968" s="48">
        <f>IFERROR(INDEX('04A_국토부원자료'!$A:$T,ROW()+1,MATCH("시군구",'04A_국토부원자료'!$A$4:$T$4,0)),"")</f>
        <v/>
      </c>
      <c r="C968" s="48">
        <f>IF(B968="","",IFERROR(INDEX('04A_국토부원자료'!$A:$T,ROW()+1,MATCH("번지",'04A_국토부원자료'!$A$4:$T$4,0)),""))</f>
        <v/>
      </c>
      <c r="D968" s="48">
        <f>IF(B968="","",IF(Q968=1,'02_대상물건입력'!$B$8,IFERROR(INDEX('04A_국토부원자료'!$A:$T,ROW()+1,MATCH("단지명",'04A_국토부원자료'!$A$4:$T$4,0)),"")))</f>
        <v/>
      </c>
      <c r="E968" s="172">
        <f>IFERROR(VALUE(SUBSTITUTE(INDEX('04A_국토부원자료'!$A:$T,ROW()+1,MATCH("전용면적(㎡)",'04A_국토부원자료'!$A$4:$T$4,0)),",","")),"")</f>
        <v/>
      </c>
      <c r="F9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68" s="51">
        <f>IFERROR(VALUE(SUBSTITUTE(INDEX('04A_국토부원자료'!$A:$T,ROW()+1,MATCH("거래금액(만원)",'04A_국토부원자료'!$A$4:$T$4,0)),",","")),"")</f>
        <v/>
      </c>
      <c r="H968" s="174">
        <f>IF(G968="","",G968*10000)</f>
        <v/>
      </c>
      <c r="I968" s="174">
        <f>IFERROR(IF(AND(H968&gt;0,E968&gt;0),H968/E968,""),"")</f>
        <v/>
      </c>
      <c r="J968" s="152">
        <f>IFERROR(VALUE(SUBSTITUTE(INDEX('04A_국토부원자료'!$A:$T,ROW()+1,MATCH("층",'04A_국토부원자료'!$A$4:$T$4,0)),",","")),"")</f>
        <v/>
      </c>
      <c r="K968" s="152">
        <f>IFERROR(VALUE(SUBSTITUTE(INDEX('04A_국토부원자료'!$A:$T,ROW()+1,MATCH("건축년도",'04A_국토부원자료'!$A$4:$T$4,0)),",","")),"")</f>
        <v/>
      </c>
      <c r="L968" s="176">
        <f>IFERROR(INDEX('04A_국토부원자료'!$A:$T,ROW()+1,MATCH("도로명",'04A_국토부원자료'!$A$4:$T$4,0)),"")</f>
        <v/>
      </c>
      <c r="M968" s="48">
        <f>IFERROR(INDEX('04A_국토부원자료'!$A:$T,ROW()+1,MATCH("거래유형",'04A_국토부원자료'!$A$4:$T$4,0)),"")</f>
        <v/>
      </c>
      <c r="N968" s="152">
        <f>IF(B968="","",IF('02_대상물건입력'!B5="",1,IF(ISNUMBER(SEARCH('02_대상물건입력'!B5,B968)),1,0)))</f>
        <v/>
      </c>
      <c r="O968" s="152">
        <f>IF(B968="","",IF('02_대상물건입력'!B6="",1,IF(ISNUMBER(SEARCH('02_대상물건입력'!B6,B968)),1,0)))</f>
        <v/>
      </c>
      <c r="P968" s="152">
        <f>IF(L968="","",IF('02_대상물건입력'!B15="",0,IF(ISNUMBER(SEARCH('02_대상물건입력'!B15,L968)),1,0)))</f>
        <v/>
      </c>
      <c r="Q968" s="152">
        <f>IF(OR(C968="",L968=""),0,IF(AND(TRIM(C968)=TRIM(RIGHT(SUBSTITUTE(TRIM('02_대상물건입력'!$B$7)," ",REPT(" ",99)),99)),IF('02_대상물건입력'!B15="",TRUE(),ISNUMBER(SEARCH('02_대상물건입력'!B15,L968)))),1,0))</f>
        <v/>
      </c>
      <c r="R968" s="175">
        <f>IFERROR(ABS(E968-'02_대상물건입력'!B11)/'02_대상물건입력'!B11,"")</f>
        <v/>
      </c>
      <c r="S968" s="152">
        <f>IFERROR(ABS(J968-'02_대상물건입력'!B10),"")</f>
        <v/>
      </c>
      <c r="T968" s="152">
        <f>IFERROR(ABS('01_설정'!B4-F968),"")</f>
        <v/>
      </c>
      <c r="U968" s="152">
        <f>IFERROR(ABS(K968-YEAR('02_대상물건입력'!B14)),"")</f>
        <v/>
      </c>
      <c r="V968" s="152">
        <f>IF(B968="","",IF(AND(E968&gt;0,F968&gt;0,H968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968=1,TRUE()),R968&lt;='01_설정'!B5,S968&lt;='01_설정'!B6,T968&lt;='01_설정'!B7,U968&lt;='01_설정'!B8),"Y",""))</f>
        <v/>
      </c>
      <c r="W968" s="172">
        <f>IF(V968&lt;&gt;"Y","",MAX(0,(1-R968/'01_설정'!B5))*'01_설정'!B14+MAX(0,(1-S968/'01_설정'!B6))*'01_설정'!B15+MAX(0,(1-T968/'01_설정'!B7))*'01_설정'!B16+MAX(0,(1-U968/'01_설정'!B8))*'01_설정'!B17+O968*'01_설정'!B11+Q968*'01_설정'!B12+P968*'01_설정'!B13+IF(Z968="",0,Z968))</f>
        <v/>
      </c>
      <c r="X968" s="152">
        <f>IF(W968="","",1+COUNTIFS($W$4:$W$3003,"&gt;"&amp;W968)+COUNTIFS($W$4:W968,W968)-1)</f>
        <v/>
      </c>
      <c r="Y968" s="175">
        <f>IF(OR(I968="",'02_대상물건입력'!B19="",'02_대상물건입력'!B19&lt;=0),"",ABS(I968-'02_대상물건입력'!B19)/'02_대상물건입력'!B19)</f>
        <v/>
      </c>
      <c r="Z968" s="172">
        <f>IF(OR(Y968="",'01_설정'!B31="",'01_설정'!B31&lt;=0,'01_설정'!B32="",'01_설정'!B32&lt;=0),"",MAX(0,(1-Y968/'01_설정'!B32))*'01_설정'!B31)</f>
        <v/>
      </c>
    </row>
    <row r="969" ht="17.25" customHeight="1">
      <c r="A969" s="152">
        <f>IF(INDEX('04A_국토부원자료'!$A:$A,ROW()+1)="","",ROW()-3)</f>
        <v/>
      </c>
      <c r="B969" s="48">
        <f>IFERROR(INDEX('04A_국토부원자료'!$A:$T,ROW()+1,MATCH("시군구",'04A_국토부원자료'!$A$4:$T$4,0)),"")</f>
        <v/>
      </c>
      <c r="C969" s="48">
        <f>IF(B969="","",IFERROR(INDEX('04A_국토부원자료'!$A:$T,ROW()+1,MATCH("번지",'04A_국토부원자료'!$A$4:$T$4,0)),""))</f>
        <v/>
      </c>
      <c r="D969" s="48">
        <f>IF(B969="","",IF(Q969=1,'02_대상물건입력'!$B$8,IFERROR(INDEX('04A_국토부원자료'!$A:$T,ROW()+1,MATCH("단지명",'04A_국토부원자료'!$A$4:$T$4,0)),"")))</f>
        <v/>
      </c>
      <c r="E969" s="172">
        <f>IFERROR(VALUE(SUBSTITUTE(INDEX('04A_국토부원자료'!$A:$T,ROW()+1,MATCH("전용면적(㎡)",'04A_국토부원자료'!$A$4:$T$4,0)),",","")),"")</f>
        <v/>
      </c>
      <c r="F9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69" s="51">
        <f>IFERROR(VALUE(SUBSTITUTE(INDEX('04A_국토부원자료'!$A:$T,ROW()+1,MATCH("거래금액(만원)",'04A_국토부원자료'!$A$4:$T$4,0)),",","")),"")</f>
        <v/>
      </c>
      <c r="H969" s="174">
        <f>IF(G969="","",G969*10000)</f>
        <v/>
      </c>
      <c r="I969" s="174">
        <f>IFERROR(IF(AND(H969&gt;0,E969&gt;0),H969/E969,""),"")</f>
        <v/>
      </c>
      <c r="J969" s="152">
        <f>IFERROR(VALUE(SUBSTITUTE(INDEX('04A_국토부원자료'!$A:$T,ROW()+1,MATCH("층",'04A_국토부원자료'!$A$4:$T$4,0)),",","")),"")</f>
        <v/>
      </c>
      <c r="K969" s="152">
        <f>IFERROR(VALUE(SUBSTITUTE(INDEX('04A_국토부원자료'!$A:$T,ROW()+1,MATCH("건축년도",'04A_국토부원자료'!$A$4:$T$4,0)),",","")),"")</f>
        <v/>
      </c>
      <c r="L969" s="176">
        <f>IFERROR(INDEX('04A_국토부원자료'!$A:$T,ROW()+1,MATCH("도로명",'04A_국토부원자료'!$A$4:$T$4,0)),"")</f>
        <v/>
      </c>
      <c r="M969" s="48">
        <f>IFERROR(INDEX('04A_국토부원자료'!$A:$T,ROW()+1,MATCH("거래유형",'04A_국토부원자료'!$A$4:$T$4,0)),"")</f>
        <v/>
      </c>
      <c r="N969" s="152">
        <f>IF(B969="","",IF('02_대상물건입력'!B5="",1,IF(ISNUMBER(SEARCH('02_대상물건입력'!B5,B969)),1,0)))</f>
        <v/>
      </c>
      <c r="O969" s="152">
        <f>IF(B969="","",IF('02_대상물건입력'!B6="",1,IF(ISNUMBER(SEARCH('02_대상물건입력'!B6,B969)),1,0)))</f>
        <v/>
      </c>
      <c r="P969" s="152">
        <f>IF(L969="","",IF('02_대상물건입력'!B15="",0,IF(ISNUMBER(SEARCH('02_대상물건입력'!B15,L969)),1,0)))</f>
        <v/>
      </c>
      <c r="Q969" s="152">
        <f>IF(OR(C969="",L969=""),0,IF(AND(TRIM(C969)=TRIM(RIGHT(SUBSTITUTE(TRIM('02_대상물건입력'!$B$7)," ",REPT(" ",99)),99)),IF('02_대상물건입력'!B15="",TRUE(),ISNUMBER(SEARCH('02_대상물건입력'!B15,L969)))),1,0))</f>
        <v/>
      </c>
      <c r="R969" s="175">
        <f>IFERROR(ABS(E969-'02_대상물건입력'!B11)/'02_대상물건입력'!B11,"")</f>
        <v/>
      </c>
      <c r="S969" s="152">
        <f>IFERROR(ABS(J969-'02_대상물건입력'!B10),"")</f>
        <v/>
      </c>
      <c r="T969" s="152">
        <f>IFERROR(ABS('01_설정'!B4-F969),"")</f>
        <v/>
      </c>
      <c r="U969" s="152">
        <f>IFERROR(ABS(K969-YEAR('02_대상물건입력'!B14)),"")</f>
        <v/>
      </c>
      <c r="V969" s="152">
        <f>IF(B969="","",IF(AND(E969&gt;0,F969&gt;0,H969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969=1,TRUE()),R969&lt;='01_설정'!B5,S969&lt;='01_설정'!B6,T969&lt;='01_설정'!B7,U969&lt;='01_설정'!B8),"Y",""))</f>
        <v/>
      </c>
      <c r="W969" s="172">
        <f>IF(V969&lt;&gt;"Y","",MAX(0,(1-R969/'01_설정'!B5))*'01_설정'!B14+MAX(0,(1-S969/'01_설정'!B6))*'01_설정'!B15+MAX(0,(1-T969/'01_설정'!B7))*'01_설정'!B16+MAX(0,(1-U969/'01_설정'!B8))*'01_설정'!B17+O969*'01_설정'!B11+Q969*'01_설정'!B12+P969*'01_설정'!B13+IF(Z969="",0,Z969))</f>
        <v/>
      </c>
      <c r="X969" s="152">
        <f>IF(W969="","",1+COUNTIFS($W$4:$W$3003,"&gt;"&amp;W969)+COUNTIFS($W$4:W969,W969)-1)</f>
        <v/>
      </c>
      <c r="Y969" s="175">
        <f>IF(OR(I969="",'02_대상물건입력'!B19="",'02_대상물건입력'!B19&lt;=0),"",ABS(I969-'02_대상물건입력'!B19)/'02_대상물건입력'!B19)</f>
        <v/>
      </c>
      <c r="Z969" s="172">
        <f>IF(OR(Y969="",'01_설정'!B31="",'01_설정'!B31&lt;=0,'01_설정'!B32="",'01_설정'!B32&lt;=0),"",MAX(0,(1-Y969/'01_설정'!B32))*'01_설정'!B31)</f>
        <v/>
      </c>
    </row>
    <row r="970" ht="17.25" customHeight="1">
      <c r="A970" s="152">
        <f>IF(INDEX('04A_국토부원자료'!$A:$A,ROW()+1)="","",ROW()-3)</f>
        <v/>
      </c>
      <c r="B970" s="48">
        <f>IFERROR(INDEX('04A_국토부원자료'!$A:$T,ROW()+1,MATCH("시군구",'04A_국토부원자료'!$A$4:$T$4,0)),"")</f>
        <v/>
      </c>
      <c r="C970" s="48">
        <f>IF(B970="","",IFERROR(INDEX('04A_국토부원자료'!$A:$T,ROW()+1,MATCH("번지",'04A_국토부원자료'!$A$4:$T$4,0)),""))</f>
        <v/>
      </c>
      <c r="D970" s="48">
        <f>IF(B970="","",IF(Q970=1,'02_대상물건입력'!$B$8,IFERROR(INDEX('04A_국토부원자료'!$A:$T,ROW()+1,MATCH("단지명",'04A_국토부원자료'!$A$4:$T$4,0)),"")))</f>
        <v/>
      </c>
      <c r="E970" s="172">
        <f>IFERROR(VALUE(SUBSTITUTE(INDEX('04A_국토부원자료'!$A:$T,ROW()+1,MATCH("전용면적(㎡)",'04A_국토부원자료'!$A$4:$T$4,0)),",","")),"")</f>
        <v/>
      </c>
      <c r="F9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70" s="51">
        <f>IFERROR(VALUE(SUBSTITUTE(INDEX('04A_국토부원자료'!$A:$T,ROW()+1,MATCH("거래금액(만원)",'04A_국토부원자료'!$A$4:$T$4,0)),",","")),"")</f>
        <v/>
      </c>
      <c r="H970" s="174">
        <f>IF(G970="","",G970*10000)</f>
        <v/>
      </c>
      <c r="I970" s="174">
        <f>IFERROR(IF(AND(H970&gt;0,E970&gt;0),H970/E970,""),"")</f>
        <v/>
      </c>
      <c r="J970" s="152">
        <f>IFERROR(VALUE(SUBSTITUTE(INDEX('04A_국토부원자료'!$A:$T,ROW()+1,MATCH("층",'04A_국토부원자료'!$A$4:$T$4,0)),",","")),"")</f>
        <v/>
      </c>
      <c r="K970" s="152">
        <f>IFERROR(VALUE(SUBSTITUTE(INDEX('04A_국토부원자료'!$A:$T,ROW()+1,MATCH("건축년도",'04A_국토부원자료'!$A$4:$T$4,0)),",","")),"")</f>
        <v/>
      </c>
      <c r="L970" s="176">
        <f>IFERROR(INDEX('04A_국토부원자료'!$A:$T,ROW()+1,MATCH("도로명",'04A_국토부원자료'!$A$4:$T$4,0)),"")</f>
        <v/>
      </c>
      <c r="M970" s="48">
        <f>IFERROR(INDEX('04A_국토부원자료'!$A:$T,ROW()+1,MATCH("거래유형",'04A_국토부원자료'!$A$4:$T$4,0)),"")</f>
        <v/>
      </c>
      <c r="N970" s="152">
        <f>IF(B970="","",IF('02_대상물건입력'!B5="",1,IF(ISNUMBER(SEARCH('02_대상물건입력'!B5,B970)),1,0)))</f>
        <v/>
      </c>
      <c r="O970" s="152">
        <f>IF(B970="","",IF('02_대상물건입력'!B6="",1,IF(ISNUMBER(SEARCH('02_대상물건입력'!B6,B970)),1,0)))</f>
        <v/>
      </c>
      <c r="P970" s="152">
        <f>IF(L970="","",IF('02_대상물건입력'!B15="",0,IF(ISNUMBER(SEARCH('02_대상물건입력'!B15,L970)),1,0)))</f>
        <v/>
      </c>
      <c r="Q970" s="152">
        <f>IF(OR(C970="",L970=""),0,IF(AND(TRIM(C970)=TRIM(RIGHT(SUBSTITUTE(TRIM('02_대상물건입력'!$B$7)," ",REPT(" ",99)),99)),IF('02_대상물건입력'!B15="",TRUE(),ISNUMBER(SEARCH('02_대상물건입력'!B15,L970)))),1,0))</f>
        <v/>
      </c>
      <c r="R970" s="175">
        <f>IFERROR(ABS(E970-'02_대상물건입력'!B11)/'02_대상물건입력'!B11,"")</f>
        <v/>
      </c>
      <c r="S970" s="152">
        <f>IFERROR(ABS(J970-'02_대상물건입력'!B10),"")</f>
        <v/>
      </c>
      <c r="T970" s="152">
        <f>IFERROR(ABS('01_설정'!B4-F970),"")</f>
        <v/>
      </c>
      <c r="U970" s="152">
        <f>IFERROR(ABS(K970-YEAR('02_대상물건입력'!B14)),"")</f>
        <v/>
      </c>
      <c r="V970" s="152">
        <f>IF(B970="","",IF(AND(E970&gt;0,F970&gt;0,H970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970=1,TRUE()),R970&lt;='01_설정'!B5,S970&lt;='01_설정'!B6,T970&lt;='01_설정'!B7,U970&lt;='01_설정'!B8),"Y",""))</f>
        <v/>
      </c>
      <c r="W970" s="172">
        <f>IF(V970&lt;&gt;"Y","",MAX(0,(1-R970/'01_설정'!B5))*'01_설정'!B14+MAX(0,(1-S970/'01_설정'!B6))*'01_설정'!B15+MAX(0,(1-T970/'01_설정'!B7))*'01_설정'!B16+MAX(0,(1-U970/'01_설정'!B8))*'01_설정'!B17+O970*'01_설정'!B11+Q970*'01_설정'!B12+P970*'01_설정'!B13+IF(Z970="",0,Z970))</f>
        <v/>
      </c>
      <c r="X970" s="152">
        <f>IF(W970="","",1+COUNTIFS($W$4:$W$3003,"&gt;"&amp;W970)+COUNTIFS($W$4:W970,W970)-1)</f>
        <v/>
      </c>
      <c r="Y970" s="175">
        <f>IF(OR(I970="",'02_대상물건입력'!B19="",'02_대상물건입력'!B19&lt;=0),"",ABS(I970-'02_대상물건입력'!B19)/'02_대상물건입력'!B19)</f>
        <v/>
      </c>
      <c r="Z970" s="172">
        <f>IF(OR(Y970="",'01_설정'!B31="",'01_설정'!B31&lt;=0,'01_설정'!B32="",'01_설정'!B32&lt;=0),"",MAX(0,(1-Y970/'01_설정'!B32))*'01_설정'!B31)</f>
        <v/>
      </c>
    </row>
    <row r="971" ht="17.25" customHeight="1">
      <c r="A971" s="152">
        <f>IF(INDEX('04A_국토부원자료'!$A:$A,ROW()+1)="","",ROW()-3)</f>
        <v/>
      </c>
      <c r="B971" s="48">
        <f>IFERROR(INDEX('04A_국토부원자료'!$A:$T,ROW()+1,MATCH("시군구",'04A_국토부원자료'!$A$4:$T$4,0)),"")</f>
        <v/>
      </c>
      <c r="C971" s="48">
        <f>IF(B971="","",IFERROR(INDEX('04A_국토부원자료'!$A:$T,ROW()+1,MATCH("번지",'04A_국토부원자료'!$A$4:$T$4,0)),""))</f>
        <v/>
      </c>
      <c r="D971" s="48">
        <f>IF(B971="","",IF(Q971=1,'02_대상물건입력'!$B$8,IFERROR(INDEX('04A_국토부원자료'!$A:$T,ROW()+1,MATCH("단지명",'04A_국토부원자료'!$A$4:$T$4,0)),"")))</f>
        <v/>
      </c>
      <c r="E971" s="172">
        <f>IFERROR(VALUE(SUBSTITUTE(INDEX('04A_국토부원자료'!$A:$T,ROW()+1,MATCH("전용면적(㎡)",'04A_국토부원자료'!$A$4:$T$4,0)),",","")),"")</f>
        <v/>
      </c>
      <c r="F9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71" s="51">
        <f>IFERROR(VALUE(SUBSTITUTE(INDEX('04A_국토부원자료'!$A:$T,ROW()+1,MATCH("거래금액(만원)",'04A_국토부원자료'!$A$4:$T$4,0)),",","")),"")</f>
        <v/>
      </c>
      <c r="H971" s="174">
        <f>IF(G971="","",G971*10000)</f>
        <v/>
      </c>
      <c r="I971" s="174">
        <f>IFERROR(IF(AND(H971&gt;0,E971&gt;0),H971/E971,""),"")</f>
        <v/>
      </c>
      <c r="J971" s="152">
        <f>IFERROR(VALUE(SUBSTITUTE(INDEX('04A_국토부원자료'!$A:$T,ROW()+1,MATCH("층",'04A_국토부원자료'!$A$4:$T$4,0)),",","")),"")</f>
        <v/>
      </c>
      <c r="K971" s="152">
        <f>IFERROR(VALUE(SUBSTITUTE(INDEX('04A_국토부원자료'!$A:$T,ROW()+1,MATCH("건축년도",'04A_국토부원자료'!$A$4:$T$4,0)),",","")),"")</f>
        <v/>
      </c>
      <c r="L971" s="176">
        <f>IFERROR(INDEX('04A_국토부원자료'!$A:$T,ROW()+1,MATCH("도로명",'04A_국토부원자료'!$A$4:$T$4,0)),"")</f>
        <v/>
      </c>
      <c r="M971" s="48">
        <f>IFERROR(INDEX('04A_국토부원자료'!$A:$T,ROW()+1,MATCH("거래유형",'04A_국토부원자료'!$A$4:$T$4,0)),"")</f>
        <v/>
      </c>
      <c r="N971" s="152">
        <f>IF(B971="","",IF('02_대상물건입력'!B5="",1,IF(ISNUMBER(SEARCH('02_대상물건입력'!B5,B971)),1,0)))</f>
        <v/>
      </c>
      <c r="O971" s="152">
        <f>IF(B971="","",IF('02_대상물건입력'!B6="",1,IF(ISNUMBER(SEARCH('02_대상물건입력'!B6,B971)),1,0)))</f>
        <v/>
      </c>
      <c r="P971" s="152">
        <f>IF(L971="","",IF('02_대상물건입력'!B15="",0,IF(ISNUMBER(SEARCH('02_대상물건입력'!B15,L971)),1,0)))</f>
        <v/>
      </c>
      <c r="Q971" s="152">
        <f>IF(OR(C971="",L971=""),0,IF(AND(TRIM(C971)=TRIM(RIGHT(SUBSTITUTE(TRIM('02_대상물건입력'!$B$7)," ",REPT(" ",99)),99)),IF('02_대상물건입력'!B15="",TRUE(),ISNUMBER(SEARCH('02_대상물건입력'!B15,L971)))),1,0))</f>
        <v/>
      </c>
      <c r="R971" s="175">
        <f>IFERROR(ABS(E971-'02_대상물건입력'!B11)/'02_대상물건입력'!B11,"")</f>
        <v/>
      </c>
      <c r="S971" s="152">
        <f>IFERROR(ABS(J971-'02_대상물건입력'!B10),"")</f>
        <v/>
      </c>
      <c r="T971" s="152">
        <f>IFERROR(ABS('01_설정'!B4-F971),"")</f>
        <v/>
      </c>
      <c r="U971" s="152">
        <f>IFERROR(ABS(K971-YEAR('02_대상물건입력'!B14)),"")</f>
        <v/>
      </c>
      <c r="V971" s="152">
        <f>IF(B971="","",IF(AND(E971&gt;0,F971&gt;0,H971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971=1,TRUE()),R971&lt;='01_설정'!B5,S971&lt;='01_설정'!B6,T971&lt;='01_설정'!B7,U971&lt;='01_설정'!B8),"Y",""))</f>
        <v/>
      </c>
      <c r="W971" s="172">
        <f>IF(V971&lt;&gt;"Y","",MAX(0,(1-R971/'01_설정'!B5))*'01_설정'!B14+MAX(0,(1-S971/'01_설정'!B6))*'01_설정'!B15+MAX(0,(1-T971/'01_설정'!B7))*'01_설정'!B16+MAX(0,(1-U971/'01_설정'!B8))*'01_설정'!B17+O971*'01_설정'!B11+Q971*'01_설정'!B12+P971*'01_설정'!B13+IF(Z971="",0,Z971))</f>
        <v/>
      </c>
      <c r="X971" s="152">
        <f>IF(W971="","",1+COUNTIFS($W$4:$W$3003,"&gt;"&amp;W971)+COUNTIFS($W$4:W971,W971)-1)</f>
        <v/>
      </c>
      <c r="Y971" s="175">
        <f>IF(OR(I971="",'02_대상물건입력'!B19="",'02_대상물건입력'!B19&lt;=0),"",ABS(I971-'02_대상물건입력'!B19)/'02_대상물건입력'!B19)</f>
        <v/>
      </c>
      <c r="Z971" s="172">
        <f>IF(OR(Y971="",'01_설정'!B31="",'01_설정'!B31&lt;=0,'01_설정'!B32="",'01_설정'!B32&lt;=0),"",MAX(0,(1-Y971/'01_설정'!B32))*'01_설정'!B31)</f>
        <v/>
      </c>
    </row>
    <row r="972" ht="17.25" customHeight="1">
      <c r="A972" s="152">
        <f>IF(INDEX('04A_국토부원자료'!$A:$A,ROW()+1)="","",ROW()-3)</f>
        <v/>
      </c>
      <c r="B972" s="48">
        <f>IFERROR(INDEX('04A_국토부원자료'!$A:$T,ROW()+1,MATCH("시군구",'04A_국토부원자료'!$A$4:$T$4,0)),"")</f>
        <v/>
      </c>
      <c r="C972" s="48">
        <f>IF(B972="","",IFERROR(INDEX('04A_국토부원자료'!$A:$T,ROW()+1,MATCH("번지",'04A_국토부원자료'!$A$4:$T$4,0)),""))</f>
        <v/>
      </c>
      <c r="D972" s="48">
        <f>IF(B972="","",IF(Q972=1,'02_대상물건입력'!$B$8,IFERROR(INDEX('04A_국토부원자료'!$A:$T,ROW()+1,MATCH("단지명",'04A_국토부원자료'!$A$4:$T$4,0)),"")))</f>
        <v/>
      </c>
      <c r="E972" s="172">
        <f>IFERROR(VALUE(SUBSTITUTE(INDEX('04A_국토부원자료'!$A:$T,ROW()+1,MATCH("전용면적(㎡)",'04A_국토부원자료'!$A$4:$T$4,0)),",","")),"")</f>
        <v/>
      </c>
      <c r="F9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72" s="51">
        <f>IFERROR(VALUE(SUBSTITUTE(INDEX('04A_국토부원자료'!$A:$T,ROW()+1,MATCH("거래금액(만원)",'04A_국토부원자료'!$A$4:$T$4,0)),",","")),"")</f>
        <v/>
      </c>
      <c r="H972" s="174">
        <f>IF(G972="","",G972*10000)</f>
        <v/>
      </c>
      <c r="I972" s="174">
        <f>IFERROR(IF(AND(H972&gt;0,E972&gt;0),H972/E972,""),"")</f>
        <v/>
      </c>
      <c r="J972" s="152">
        <f>IFERROR(VALUE(SUBSTITUTE(INDEX('04A_국토부원자료'!$A:$T,ROW()+1,MATCH("층",'04A_국토부원자료'!$A$4:$T$4,0)),",","")),"")</f>
        <v/>
      </c>
      <c r="K972" s="152">
        <f>IFERROR(VALUE(SUBSTITUTE(INDEX('04A_국토부원자료'!$A:$T,ROW()+1,MATCH("건축년도",'04A_국토부원자료'!$A$4:$T$4,0)),",","")),"")</f>
        <v/>
      </c>
      <c r="L972" s="176">
        <f>IFERROR(INDEX('04A_국토부원자료'!$A:$T,ROW()+1,MATCH("도로명",'04A_국토부원자료'!$A$4:$T$4,0)),"")</f>
        <v/>
      </c>
      <c r="M972" s="48">
        <f>IFERROR(INDEX('04A_국토부원자료'!$A:$T,ROW()+1,MATCH("거래유형",'04A_국토부원자료'!$A$4:$T$4,0)),"")</f>
        <v/>
      </c>
      <c r="N972" s="152">
        <f>IF(B972="","",IF('02_대상물건입력'!B5="",1,IF(ISNUMBER(SEARCH('02_대상물건입력'!B5,B972)),1,0)))</f>
        <v/>
      </c>
      <c r="O972" s="152">
        <f>IF(B972="","",IF('02_대상물건입력'!B6="",1,IF(ISNUMBER(SEARCH('02_대상물건입력'!B6,B972)),1,0)))</f>
        <v/>
      </c>
      <c r="P972" s="152">
        <f>IF(L972="","",IF('02_대상물건입력'!B15="",0,IF(ISNUMBER(SEARCH('02_대상물건입력'!B15,L972)),1,0)))</f>
        <v/>
      </c>
      <c r="Q972" s="152">
        <f>IF(OR(C972="",L972=""),0,IF(AND(TRIM(C972)=TRIM(RIGHT(SUBSTITUTE(TRIM('02_대상물건입력'!$B$7)," ",REPT(" ",99)),99)),IF('02_대상물건입력'!B15="",TRUE(),ISNUMBER(SEARCH('02_대상물건입력'!B15,L972)))),1,0))</f>
        <v/>
      </c>
      <c r="R972" s="175">
        <f>IFERROR(ABS(E972-'02_대상물건입력'!B11)/'02_대상물건입력'!B11,"")</f>
        <v/>
      </c>
      <c r="S972" s="152">
        <f>IFERROR(ABS(J972-'02_대상물건입력'!B10),"")</f>
        <v/>
      </c>
      <c r="T972" s="152">
        <f>IFERROR(ABS('01_설정'!B4-F972),"")</f>
        <v/>
      </c>
      <c r="U972" s="152">
        <f>IFERROR(ABS(K972-YEAR('02_대상물건입력'!B14)),"")</f>
        <v/>
      </c>
      <c r="V972" s="152">
        <f>IF(B972="","",IF(AND(E972&gt;0,F972&gt;0,H972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972=1,TRUE()),R972&lt;='01_설정'!B5,S972&lt;='01_설정'!B6,T972&lt;='01_설정'!B7,U972&lt;='01_설정'!B8),"Y",""))</f>
        <v/>
      </c>
      <c r="W972" s="172">
        <f>IF(V972&lt;&gt;"Y","",MAX(0,(1-R972/'01_설정'!B5))*'01_설정'!B14+MAX(0,(1-S972/'01_설정'!B6))*'01_설정'!B15+MAX(0,(1-T972/'01_설정'!B7))*'01_설정'!B16+MAX(0,(1-U972/'01_설정'!B8))*'01_설정'!B17+O972*'01_설정'!B11+Q972*'01_설정'!B12+P972*'01_설정'!B13+IF(Z972="",0,Z972))</f>
        <v/>
      </c>
      <c r="X972" s="152">
        <f>IF(W972="","",1+COUNTIFS($W$4:$W$3003,"&gt;"&amp;W972)+COUNTIFS($W$4:W972,W972)-1)</f>
        <v/>
      </c>
      <c r="Y972" s="175">
        <f>IF(OR(I972="",'02_대상물건입력'!B19="",'02_대상물건입력'!B19&lt;=0),"",ABS(I972-'02_대상물건입력'!B19)/'02_대상물건입력'!B19)</f>
        <v/>
      </c>
      <c r="Z972" s="172">
        <f>IF(OR(Y972="",'01_설정'!B31="",'01_설정'!B31&lt;=0,'01_설정'!B32="",'01_설정'!B32&lt;=0),"",MAX(0,(1-Y972/'01_설정'!B32))*'01_설정'!B31)</f>
        <v/>
      </c>
    </row>
    <row r="973" ht="17.25" customHeight="1">
      <c r="A973" s="152">
        <f>IF(INDEX('04A_국토부원자료'!$A:$A,ROW()+1)="","",ROW()-3)</f>
        <v/>
      </c>
      <c r="B973" s="48">
        <f>IFERROR(INDEX('04A_국토부원자료'!$A:$T,ROW()+1,MATCH("시군구",'04A_국토부원자료'!$A$4:$T$4,0)),"")</f>
        <v/>
      </c>
      <c r="C973" s="48">
        <f>IF(B973="","",IFERROR(INDEX('04A_국토부원자료'!$A:$T,ROW()+1,MATCH("번지",'04A_국토부원자료'!$A$4:$T$4,0)),""))</f>
        <v/>
      </c>
      <c r="D973" s="48">
        <f>IF(B973="","",IF(Q973=1,'02_대상물건입력'!$B$8,IFERROR(INDEX('04A_국토부원자료'!$A:$T,ROW()+1,MATCH("단지명",'04A_국토부원자료'!$A$4:$T$4,0)),"")))</f>
        <v/>
      </c>
      <c r="E973" s="172">
        <f>IFERROR(VALUE(SUBSTITUTE(INDEX('04A_국토부원자료'!$A:$T,ROW()+1,MATCH("전용면적(㎡)",'04A_국토부원자료'!$A$4:$T$4,0)),",","")),"")</f>
        <v/>
      </c>
      <c r="F9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73" s="51">
        <f>IFERROR(VALUE(SUBSTITUTE(INDEX('04A_국토부원자료'!$A:$T,ROW()+1,MATCH("거래금액(만원)",'04A_국토부원자료'!$A$4:$T$4,0)),",","")),"")</f>
        <v/>
      </c>
      <c r="H973" s="174">
        <f>IF(G973="","",G973*10000)</f>
        <v/>
      </c>
      <c r="I973" s="174">
        <f>IFERROR(IF(AND(H973&gt;0,E973&gt;0),H973/E973,""),"")</f>
        <v/>
      </c>
      <c r="J973" s="152">
        <f>IFERROR(VALUE(SUBSTITUTE(INDEX('04A_국토부원자료'!$A:$T,ROW()+1,MATCH("층",'04A_국토부원자료'!$A$4:$T$4,0)),",","")),"")</f>
        <v/>
      </c>
      <c r="K973" s="152">
        <f>IFERROR(VALUE(SUBSTITUTE(INDEX('04A_국토부원자료'!$A:$T,ROW()+1,MATCH("건축년도",'04A_국토부원자료'!$A$4:$T$4,0)),",","")),"")</f>
        <v/>
      </c>
      <c r="L973" s="176">
        <f>IFERROR(INDEX('04A_국토부원자료'!$A:$T,ROW()+1,MATCH("도로명",'04A_국토부원자료'!$A$4:$T$4,0)),"")</f>
        <v/>
      </c>
      <c r="M973" s="48">
        <f>IFERROR(INDEX('04A_국토부원자료'!$A:$T,ROW()+1,MATCH("거래유형",'04A_국토부원자료'!$A$4:$T$4,0)),"")</f>
        <v/>
      </c>
      <c r="N973" s="152">
        <f>IF(B973="","",IF('02_대상물건입력'!B5="",1,IF(ISNUMBER(SEARCH('02_대상물건입력'!B5,B973)),1,0)))</f>
        <v/>
      </c>
      <c r="O973" s="152">
        <f>IF(B973="","",IF('02_대상물건입력'!B6="",1,IF(ISNUMBER(SEARCH('02_대상물건입력'!B6,B973)),1,0)))</f>
        <v/>
      </c>
      <c r="P973" s="152">
        <f>IF(L973="","",IF('02_대상물건입력'!B15="",0,IF(ISNUMBER(SEARCH('02_대상물건입력'!B15,L973)),1,0)))</f>
        <v/>
      </c>
      <c r="Q973" s="152">
        <f>IF(OR(C973="",L973=""),0,IF(AND(TRIM(C973)=TRIM(RIGHT(SUBSTITUTE(TRIM('02_대상물건입력'!$B$7)," ",REPT(" ",99)),99)),IF('02_대상물건입력'!B15="",TRUE(),ISNUMBER(SEARCH('02_대상물건입력'!B15,L973)))),1,0))</f>
        <v/>
      </c>
      <c r="R973" s="175">
        <f>IFERROR(ABS(E973-'02_대상물건입력'!B11)/'02_대상물건입력'!B11,"")</f>
        <v/>
      </c>
      <c r="S973" s="152">
        <f>IFERROR(ABS(J973-'02_대상물건입력'!B10),"")</f>
        <v/>
      </c>
      <c r="T973" s="152">
        <f>IFERROR(ABS('01_설정'!B4-F973),"")</f>
        <v/>
      </c>
      <c r="U973" s="152">
        <f>IFERROR(ABS(K973-YEAR('02_대상물건입력'!B14)),"")</f>
        <v/>
      </c>
      <c r="V973" s="152">
        <f>IF(B973="","",IF(AND(E973&gt;0,F973&gt;0,H973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973=1,TRUE()),R973&lt;='01_설정'!B5,S973&lt;='01_설정'!B6,T973&lt;='01_설정'!B7,U973&lt;='01_설정'!B8),"Y",""))</f>
        <v/>
      </c>
      <c r="W973" s="172">
        <f>IF(V973&lt;&gt;"Y","",MAX(0,(1-R973/'01_설정'!B5))*'01_설정'!B14+MAX(0,(1-S973/'01_설정'!B6))*'01_설정'!B15+MAX(0,(1-T973/'01_설정'!B7))*'01_설정'!B16+MAX(0,(1-U973/'01_설정'!B8))*'01_설정'!B17+O973*'01_설정'!B11+Q973*'01_설정'!B12+P973*'01_설정'!B13+IF(Z973="",0,Z973))</f>
        <v/>
      </c>
      <c r="X973" s="152">
        <f>IF(W973="","",1+COUNTIFS($W$4:$W$3003,"&gt;"&amp;W973)+COUNTIFS($W$4:W973,W973)-1)</f>
        <v/>
      </c>
      <c r="Y973" s="175">
        <f>IF(OR(I973="",'02_대상물건입력'!B19="",'02_대상물건입력'!B19&lt;=0),"",ABS(I973-'02_대상물건입력'!B19)/'02_대상물건입력'!B19)</f>
        <v/>
      </c>
      <c r="Z973" s="172">
        <f>IF(OR(Y973="",'01_설정'!B31="",'01_설정'!B31&lt;=0,'01_설정'!B32="",'01_설정'!B32&lt;=0),"",MAX(0,(1-Y973/'01_설정'!B32))*'01_설정'!B31)</f>
        <v/>
      </c>
    </row>
    <row r="974" ht="17.25" customHeight="1">
      <c r="A974" s="152">
        <f>IF(INDEX('04A_국토부원자료'!$A:$A,ROW()+1)="","",ROW()-3)</f>
        <v/>
      </c>
      <c r="B974" s="48">
        <f>IFERROR(INDEX('04A_국토부원자료'!$A:$T,ROW()+1,MATCH("시군구",'04A_국토부원자료'!$A$4:$T$4,0)),"")</f>
        <v/>
      </c>
      <c r="C974" s="48">
        <f>IF(B974="","",IFERROR(INDEX('04A_국토부원자료'!$A:$T,ROW()+1,MATCH("번지",'04A_국토부원자료'!$A$4:$T$4,0)),""))</f>
        <v/>
      </c>
      <c r="D974" s="48">
        <f>IF(B974="","",IF(Q974=1,'02_대상물건입력'!$B$8,IFERROR(INDEX('04A_국토부원자료'!$A:$T,ROW()+1,MATCH("단지명",'04A_국토부원자료'!$A$4:$T$4,0)),"")))</f>
        <v/>
      </c>
      <c r="E974" s="172">
        <f>IFERROR(VALUE(SUBSTITUTE(INDEX('04A_국토부원자료'!$A:$T,ROW()+1,MATCH("전용면적(㎡)",'04A_국토부원자료'!$A$4:$T$4,0)),",","")),"")</f>
        <v/>
      </c>
      <c r="F9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74" s="51">
        <f>IFERROR(VALUE(SUBSTITUTE(INDEX('04A_국토부원자료'!$A:$T,ROW()+1,MATCH("거래금액(만원)",'04A_국토부원자료'!$A$4:$T$4,0)),",","")),"")</f>
        <v/>
      </c>
      <c r="H974" s="174">
        <f>IF(G974="","",G974*10000)</f>
        <v/>
      </c>
      <c r="I974" s="174">
        <f>IFERROR(IF(AND(H974&gt;0,E974&gt;0),H974/E974,""),"")</f>
        <v/>
      </c>
      <c r="J974" s="152">
        <f>IFERROR(VALUE(SUBSTITUTE(INDEX('04A_국토부원자료'!$A:$T,ROW()+1,MATCH("층",'04A_국토부원자료'!$A$4:$T$4,0)),",","")),"")</f>
        <v/>
      </c>
      <c r="K974" s="152">
        <f>IFERROR(VALUE(SUBSTITUTE(INDEX('04A_국토부원자료'!$A:$T,ROW()+1,MATCH("건축년도",'04A_국토부원자료'!$A$4:$T$4,0)),",","")),"")</f>
        <v/>
      </c>
      <c r="L974" s="176">
        <f>IFERROR(INDEX('04A_국토부원자료'!$A:$T,ROW()+1,MATCH("도로명",'04A_국토부원자료'!$A$4:$T$4,0)),"")</f>
        <v/>
      </c>
      <c r="M974" s="48">
        <f>IFERROR(INDEX('04A_국토부원자료'!$A:$T,ROW()+1,MATCH("거래유형",'04A_국토부원자료'!$A$4:$T$4,0)),"")</f>
        <v/>
      </c>
      <c r="N974" s="152">
        <f>IF(B974="","",IF('02_대상물건입력'!B5="",1,IF(ISNUMBER(SEARCH('02_대상물건입력'!B5,B974)),1,0)))</f>
        <v/>
      </c>
      <c r="O974" s="152">
        <f>IF(B974="","",IF('02_대상물건입력'!B6="",1,IF(ISNUMBER(SEARCH('02_대상물건입력'!B6,B974)),1,0)))</f>
        <v/>
      </c>
      <c r="P974" s="152">
        <f>IF(L974="","",IF('02_대상물건입력'!B15="",0,IF(ISNUMBER(SEARCH('02_대상물건입력'!B15,L974)),1,0)))</f>
        <v/>
      </c>
      <c r="Q974" s="152">
        <f>IF(OR(C974="",L974=""),0,IF(AND(TRIM(C974)=TRIM(RIGHT(SUBSTITUTE(TRIM('02_대상물건입력'!$B$7)," ",REPT(" ",99)),99)),IF('02_대상물건입력'!B15="",TRUE(),ISNUMBER(SEARCH('02_대상물건입력'!B15,L974)))),1,0))</f>
        <v/>
      </c>
      <c r="R974" s="175">
        <f>IFERROR(ABS(E974-'02_대상물건입력'!B11)/'02_대상물건입력'!B11,"")</f>
        <v/>
      </c>
      <c r="S974" s="152">
        <f>IFERROR(ABS(J974-'02_대상물건입력'!B10),"")</f>
        <v/>
      </c>
      <c r="T974" s="152">
        <f>IFERROR(ABS('01_설정'!B4-F974),"")</f>
        <v/>
      </c>
      <c r="U974" s="152">
        <f>IFERROR(ABS(K974-YEAR('02_대상물건입력'!B14)),"")</f>
        <v/>
      </c>
      <c r="V974" s="152">
        <f>IF(B974="","",IF(AND(E974&gt;0,F974&gt;0,H974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974=1,TRUE()),R974&lt;='01_설정'!B5,S974&lt;='01_설정'!B6,T974&lt;='01_설정'!B7,U974&lt;='01_설정'!B8),"Y",""))</f>
        <v/>
      </c>
      <c r="W974" s="172">
        <f>IF(V974&lt;&gt;"Y","",MAX(0,(1-R974/'01_설정'!B5))*'01_설정'!B14+MAX(0,(1-S974/'01_설정'!B6))*'01_설정'!B15+MAX(0,(1-T974/'01_설정'!B7))*'01_설정'!B16+MAX(0,(1-U974/'01_설정'!B8))*'01_설정'!B17+O974*'01_설정'!B11+Q974*'01_설정'!B12+P974*'01_설정'!B13+IF(Z974="",0,Z974))</f>
        <v/>
      </c>
      <c r="X974" s="152">
        <f>IF(W974="","",1+COUNTIFS($W$4:$W$3003,"&gt;"&amp;W974)+COUNTIFS($W$4:W974,W974)-1)</f>
        <v/>
      </c>
      <c r="Y974" s="175">
        <f>IF(OR(I974="",'02_대상물건입력'!B19="",'02_대상물건입력'!B19&lt;=0),"",ABS(I974-'02_대상물건입력'!B19)/'02_대상물건입력'!B19)</f>
        <v/>
      </c>
      <c r="Z974" s="172">
        <f>IF(OR(Y974="",'01_설정'!B31="",'01_설정'!B31&lt;=0,'01_설정'!B32="",'01_설정'!B32&lt;=0),"",MAX(0,(1-Y974/'01_설정'!B32))*'01_설정'!B31)</f>
        <v/>
      </c>
    </row>
    <row r="975" ht="17.25" customHeight="1">
      <c r="A975" s="152">
        <f>IF(INDEX('04A_국토부원자료'!$A:$A,ROW()+1)="","",ROW()-3)</f>
        <v/>
      </c>
      <c r="B975" s="48">
        <f>IFERROR(INDEX('04A_국토부원자료'!$A:$T,ROW()+1,MATCH("시군구",'04A_국토부원자료'!$A$4:$T$4,0)),"")</f>
        <v/>
      </c>
      <c r="C975" s="48">
        <f>IF(B975="","",IFERROR(INDEX('04A_국토부원자료'!$A:$T,ROW()+1,MATCH("번지",'04A_국토부원자료'!$A$4:$T$4,0)),""))</f>
        <v/>
      </c>
      <c r="D975" s="48">
        <f>IF(B975="","",IF(Q975=1,'02_대상물건입력'!$B$8,IFERROR(INDEX('04A_국토부원자료'!$A:$T,ROW()+1,MATCH("단지명",'04A_국토부원자료'!$A$4:$T$4,0)),"")))</f>
        <v/>
      </c>
      <c r="E975" s="172">
        <f>IFERROR(VALUE(SUBSTITUTE(INDEX('04A_국토부원자료'!$A:$T,ROW()+1,MATCH("전용면적(㎡)",'04A_국토부원자료'!$A$4:$T$4,0)),",","")),"")</f>
        <v/>
      </c>
      <c r="F9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75" s="51">
        <f>IFERROR(VALUE(SUBSTITUTE(INDEX('04A_국토부원자료'!$A:$T,ROW()+1,MATCH("거래금액(만원)",'04A_국토부원자료'!$A$4:$T$4,0)),",","")),"")</f>
        <v/>
      </c>
      <c r="H975" s="174">
        <f>IF(G975="","",G975*10000)</f>
        <v/>
      </c>
      <c r="I975" s="174">
        <f>IFERROR(IF(AND(H975&gt;0,E975&gt;0),H975/E975,""),"")</f>
        <v/>
      </c>
      <c r="J975" s="152">
        <f>IFERROR(VALUE(SUBSTITUTE(INDEX('04A_국토부원자료'!$A:$T,ROW()+1,MATCH("층",'04A_국토부원자료'!$A$4:$T$4,0)),",","")),"")</f>
        <v/>
      </c>
      <c r="K975" s="152">
        <f>IFERROR(VALUE(SUBSTITUTE(INDEX('04A_국토부원자료'!$A:$T,ROW()+1,MATCH("건축년도",'04A_국토부원자료'!$A$4:$T$4,0)),",","")),"")</f>
        <v/>
      </c>
      <c r="L975" s="176">
        <f>IFERROR(INDEX('04A_국토부원자료'!$A:$T,ROW()+1,MATCH("도로명",'04A_국토부원자료'!$A$4:$T$4,0)),"")</f>
        <v/>
      </c>
      <c r="M975" s="48">
        <f>IFERROR(INDEX('04A_국토부원자료'!$A:$T,ROW()+1,MATCH("거래유형",'04A_국토부원자료'!$A$4:$T$4,0)),"")</f>
        <v/>
      </c>
      <c r="N975" s="152">
        <f>IF(B975="","",IF('02_대상물건입력'!B5="",1,IF(ISNUMBER(SEARCH('02_대상물건입력'!B5,B975)),1,0)))</f>
        <v/>
      </c>
      <c r="O975" s="152">
        <f>IF(B975="","",IF('02_대상물건입력'!B6="",1,IF(ISNUMBER(SEARCH('02_대상물건입력'!B6,B975)),1,0)))</f>
        <v/>
      </c>
      <c r="P975" s="152">
        <f>IF(L975="","",IF('02_대상물건입력'!B15="",0,IF(ISNUMBER(SEARCH('02_대상물건입력'!B15,L975)),1,0)))</f>
        <v/>
      </c>
      <c r="Q975" s="152">
        <f>IF(OR(C975="",L975=""),0,IF(AND(TRIM(C975)=TRIM(RIGHT(SUBSTITUTE(TRIM('02_대상물건입력'!$B$7)," ",REPT(" ",99)),99)),IF('02_대상물건입력'!B15="",TRUE(),ISNUMBER(SEARCH('02_대상물건입력'!B15,L975)))),1,0))</f>
        <v/>
      </c>
      <c r="R975" s="175">
        <f>IFERROR(ABS(E975-'02_대상물건입력'!B11)/'02_대상물건입력'!B11,"")</f>
        <v/>
      </c>
      <c r="S975" s="152">
        <f>IFERROR(ABS(J975-'02_대상물건입력'!B10),"")</f>
        <v/>
      </c>
      <c r="T975" s="152">
        <f>IFERROR(ABS('01_설정'!B4-F975),"")</f>
        <v/>
      </c>
      <c r="U975" s="152">
        <f>IFERROR(ABS(K975-YEAR('02_대상물건입력'!B14)),"")</f>
        <v/>
      </c>
      <c r="V975" s="152">
        <f>IF(B975="","",IF(AND(E975&gt;0,F975&gt;0,H975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975=1,TRUE()),R975&lt;='01_설정'!B5,S975&lt;='01_설정'!B6,T975&lt;='01_설정'!B7,U975&lt;='01_설정'!B8),"Y",""))</f>
        <v/>
      </c>
      <c r="W975" s="172">
        <f>IF(V975&lt;&gt;"Y","",MAX(0,(1-R975/'01_설정'!B5))*'01_설정'!B14+MAX(0,(1-S975/'01_설정'!B6))*'01_설정'!B15+MAX(0,(1-T975/'01_설정'!B7))*'01_설정'!B16+MAX(0,(1-U975/'01_설정'!B8))*'01_설정'!B17+O975*'01_설정'!B11+Q975*'01_설정'!B12+P975*'01_설정'!B13+IF(Z975="",0,Z975))</f>
        <v/>
      </c>
      <c r="X975" s="152">
        <f>IF(W975="","",1+COUNTIFS($W$4:$W$3003,"&gt;"&amp;W975)+COUNTIFS($W$4:W975,W975)-1)</f>
        <v/>
      </c>
      <c r="Y975" s="175">
        <f>IF(OR(I975="",'02_대상물건입력'!B19="",'02_대상물건입력'!B19&lt;=0),"",ABS(I975-'02_대상물건입력'!B19)/'02_대상물건입력'!B19)</f>
        <v/>
      </c>
      <c r="Z975" s="172">
        <f>IF(OR(Y975="",'01_설정'!B31="",'01_설정'!B31&lt;=0,'01_설정'!B32="",'01_설정'!B32&lt;=0),"",MAX(0,(1-Y975/'01_설정'!B32))*'01_설정'!B31)</f>
        <v/>
      </c>
    </row>
    <row r="976" ht="17.25" customHeight="1">
      <c r="A976" s="152">
        <f>IF(INDEX('04A_국토부원자료'!$A:$A,ROW()+1)="","",ROW()-3)</f>
        <v/>
      </c>
      <c r="B976" s="48">
        <f>IFERROR(INDEX('04A_국토부원자료'!$A:$T,ROW()+1,MATCH("시군구",'04A_국토부원자료'!$A$4:$T$4,0)),"")</f>
        <v/>
      </c>
      <c r="C976" s="48">
        <f>IF(B976="","",IFERROR(INDEX('04A_국토부원자료'!$A:$T,ROW()+1,MATCH("번지",'04A_국토부원자료'!$A$4:$T$4,0)),""))</f>
        <v/>
      </c>
      <c r="D976" s="48">
        <f>IF(B976="","",IF(Q976=1,'02_대상물건입력'!$B$8,IFERROR(INDEX('04A_국토부원자료'!$A:$T,ROW()+1,MATCH("단지명",'04A_국토부원자료'!$A$4:$T$4,0)),"")))</f>
        <v/>
      </c>
      <c r="E976" s="172">
        <f>IFERROR(VALUE(SUBSTITUTE(INDEX('04A_국토부원자료'!$A:$T,ROW()+1,MATCH("전용면적(㎡)",'04A_국토부원자료'!$A$4:$T$4,0)),",","")),"")</f>
        <v/>
      </c>
      <c r="F9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76" s="51">
        <f>IFERROR(VALUE(SUBSTITUTE(INDEX('04A_국토부원자료'!$A:$T,ROW()+1,MATCH("거래금액(만원)",'04A_국토부원자료'!$A$4:$T$4,0)),",","")),"")</f>
        <v/>
      </c>
      <c r="H976" s="174">
        <f>IF(G976="","",G976*10000)</f>
        <v/>
      </c>
      <c r="I976" s="174">
        <f>IFERROR(IF(AND(H976&gt;0,E976&gt;0),H976/E976,""),"")</f>
        <v/>
      </c>
      <c r="J976" s="152">
        <f>IFERROR(VALUE(SUBSTITUTE(INDEX('04A_국토부원자료'!$A:$T,ROW()+1,MATCH("층",'04A_국토부원자료'!$A$4:$T$4,0)),",","")),"")</f>
        <v/>
      </c>
      <c r="K976" s="152">
        <f>IFERROR(VALUE(SUBSTITUTE(INDEX('04A_국토부원자료'!$A:$T,ROW()+1,MATCH("건축년도",'04A_국토부원자료'!$A$4:$T$4,0)),",","")),"")</f>
        <v/>
      </c>
      <c r="L976" s="176">
        <f>IFERROR(INDEX('04A_국토부원자료'!$A:$T,ROW()+1,MATCH("도로명",'04A_국토부원자료'!$A$4:$T$4,0)),"")</f>
        <v/>
      </c>
      <c r="M976" s="48">
        <f>IFERROR(INDEX('04A_국토부원자료'!$A:$T,ROW()+1,MATCH("거래유형",'04A_국토부원자료'!$A$4:$T$4,0)),"")</f>
        <v/>
      </c>
      <c r="N976" s="152">
        <f>IF(B976="","",IF('02_대상물건입력'!B5="",1,IF(ISNUMBER(SEARCH('02_대상물건입력'!B5,B976)),1,0)))</f>
        <v/>
      </c>
      <c r="O976" s="152">
        <f>IF(B976="","",IF('02_대상물건입력'!B6="",1,IF(ISNUMBER(SEARCH('02_대상물건입력'!B6,B976)),1,0)))</f>
        <v/>
      </c>
      <c r="P976" s="152">
        <f>IF(L976="","",IF('02_대상물건입력'!B15="",0,IF(ISNUMBER(SEARCH('02_대상물건입력'!B15,L976)),1,0)))</f>
        <v/>
      </c>
      <c r="Q976" s="152">
        <f>IF(OR(C976="",L976=""),0,IF(AND(TRIM(C976)=TRIM(RIGHT(SUBSTITUTE(TRIM('02_대상물건입력'!$B$7)," ",REPT(" ",99)),99)),IF('02_대상물건입력'!B15="",TRUE(),ISNUMBER(SEARCH('02_대상물건입력'!B15,L976)))),1,0))</f>
        <v/>
      </c>
      <c r="R976" s="175">
        <f>IFERROR(ABS(E976-'02_대상물건입력'!B11)/'02_대상물건입력'!B11,"")</f>
        <v/>
      </c>
      <c r="S976" s="152">
        <f>IFERROR(ABS(J976-'02_대상물건입력'!B10),"")</f>
        <v/>
      </c>
      <c r="T976" s="152">
        <f>IFERROR(ABS('01_설정'!B4-F976),"")</f>
        <v/>
      </c>
      <c r="U976" s="152">
        <f>IFERROR(ABS(K976-YEAR('02_대상물건입력'!B14)),"")</f>
        <v/>
      </c>
      <c r="V976" s="152">
        <f>IF(B976="","",IF(AND(E976&gt;0,F976&gt;0,H976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976=1,TRUE()),R976&lt;='01_설정'!B5,S976&lt;='01_설정'!B6,T976&lt;='01_설정'!B7,U976&lt;='01_설정'!B8),"Y",""))</f>
        <v/>
      </c>
      <c r="W976" s="172">
        <f>IF(V976&lt;&gt;"Y","",MAX(0,(1-R976/'01_설정'!B5))*'01_설정'!B14+MAX(0,(1-S976/'01_설정'!B6))*'01_설정'!B15+MAX(0,(1-T976/'01_설정'!B7))*'01_설정'!B16+MAX(0,(1-U976/'01_설정'!B8))*'01_설정'!B17+O976*'01_설정'!B11+Q976*'01_설정'!B12+P976*'01_설정'!B13+IF(Z976="",0,Z976))</f>
        <v/>
      </c>
      <c r="X976" s="152">
        <f>IF(W976="","",1+COUNTIFS($W$4:$W$3003,"&gt;"&amp;W976)+COUNTIFS($W$4:W976,W976)-1)</f>
        <v/>
      </c>
      <c r="Y976" s="175">
        <f>IF(OR(I976="",'02_대상물건입력'!B19="",'02_대상물건입력'!B19&lt;=0),"",ABS(I976-'02_대상물건입력'!B19)/'02_대상물건입력'!B19)</f>
        <v/>
      </c>
      <c r="Z976" s="172">
        <f>IF(OR(Y976="",'01_설정'!B31="",'01_설정'!B31&lt;=0,'01_설정'!B32="",'01_설정'!B32&lt;=0),"",MAX(0,(1-Y976/'01_설정'!B32))*'01_설정'!B31)</f>
        <v/>
      </c>
    </row>
    <row r="977" ht="17.25" customHeight="1">
      <c r="A977" s="152">
        <f>IF(INDEX('04A_국토부원자료'!$A:$A,ROW()+1)="","",ROW()-3)</f>
        <v/>
      </c>
      <c r="B977" s="48">
        <f>IFERROR(INDEX('04A_국토부원자료'!$A:$T,ROW()+1,MATCH("시군구",'04A_국토부원자료'!$A$4:$T$4,0)),"")</f>
        <v/>
      </c>
      <c r="C977" s="48">
        <f>IF(B977="","",IFERROR(INDEX('04A_국토부원자료'!$A:$T,ROW()+1,MATCH("번지",'04A_국토부원자료'!$A$4:$T$4,0)),""))</f>
        <v/>
      </c>
      <c r="D977" s="48">
        <f>IF(B977="","",IF(Q977=1,'02_대상물건입력'!$B$8,IFERROR(INDEX('04A_국토부원자료'!$A:$T,ROW()+1,MATCH("단지명",'04A_국토부원자료'!$A$4:$T$4,0)),"")))</f>
        <v/>
      </c>
      <c r="E977" s="172">
        <f>IFERROR(VALUE(SUBSTITUTE(INDEX('04A_국토부원자료'!$A:$T,ROW()+1,MATCH("전용면적(㎡)",'04A_국토부원자료'!$A$4:$T$4,0)),",","")),"")</f>
        <v/>
      </c>
      <c r="F9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77" s="51">
        <f>IFERROR(VALUE(SUBSTITUTE(INDEX('04A_국토부원자료'!$A:$T,ROW()+1,MATCH("거래금액(만원)",'04A_국토부원자료'!$A$4:$T$4,0)),",","")),"")</f>
        <v/>
      </c>
      <c r="H977" s="174">
        <f>IF(G977="","",G977*10000)</f>
        <v/>
      </c>
      <c r="I977" s="174">
        <f>IFERROR(IF(AND(H977&gt;0,E977&gt;0),H977/E977,""),"")</f>
        <v/>
      </c>
      <c r="J977" s="152">
        <f>IFERROR(VALUE(SUBSTITUTE(INDEX('04A_국토부원자료'!$A:$T,ROW()+1,MATCH("층",'04A_국토부원자료'!$A$4:$T$4,0)),",","")),"")</f>
        <v/>
      </c>
      <c r="K977" s="152">
        <f>IFERROR(VALUE(SUBSTITUTE(INDEX('04A_국토부원자료'!$A:$T,ROW()+1,MATCH("건축년도",'04A_국토부원자료'!$A$4:$T$4,0)),",","")),"")</f>
        <v/>
      </c>
      <c r="L977" s="176">
        <f>IFERROR(INDEX('04A_국토부원자료'!$A:$T,ROW()+1,MATCH("도로명",'04A_국토부원자료'!$A$4:$T$4,0)),"")</f>
        <v/>
      </c>
      <c r="M977" s="48">
        <f>IFERROR(INDEX('04A_국토부원자료'!$A:$T,ROW()+1,MATCH("거래유형",'04A_국토부원자료'!$A$4:$T$4,0)),"")</f>
        <v/>
      </c>
      <c r="N977" s="152">
        <f>IF(B977="","",IF('02_대상물건입력'!B5="",1,IF(ISNUMBER(SEARCH('02_대상물건입력'!B5,B977)),1,0)))</f>
        <v/>
      </c>
      <c r="O977" s="152">
        <f>IF(B977="","",IF('02_대상물건입력'!B6="",1,IF(ISNUMBER(SEARCH('02_대상물건입력'!B6,B977)),1,0)))</f>
        <v/>
      </c>
      <c r="P977" s="152">
        <f>IF(L977="","",IF('02_대상물건입력'!B15="",0,IF(ISNUMBER(SEARCH('02_대상물건입력'!B15,L977)),1,0)))</f>
        <v/>
      </c>
      <c r="Q977" s="152">
        <f>IF(OR(C977="",L977=""),0,IF(AND(TRIM(C977)=TRIM(RIGHT(SUBSTITUTE(TRIM('02_대상물건입력'!$B$7)," ",REPT(" ",99)),99)),IF('02_대상물건입력'!B15="",TRUE(),ISNUMBER(SEARCH('02_대상물건입력'!B15,L977)))),1,0))</f>
        <v/>
      </c>
      <c r="R977" s="175">
        <f>IFERROR(ABS(E977-'02_대상물건입력'!B11)/'02_대상물건입력'!B11,"")</f>
        <v/>
      </c>
      <c r="S977" s="152">
        <f>IFERROR(ABS(J977-'02_대상물건입력'!B10),"")</f>
        <v/>
      </c>
      <c r="T977" s="152">
        <f>IFERROR(ABS('01_설정'!B4-F977),"")</f>
        <v/>
      </c>
      <c r="U977" s="152">
        <f>IFERROR(ABS(K977-YEAR('02_대상물건입력'!B14)),"")</f>
        <v/>
      </c>
      <c r="V977" s="152">
        <f>IF(B977="","",IF(AND(E977&gt;0,F977&gt;0,H977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977=1,TRUE()),R977&lt;='01_설정'!B5,S977&lt;='01_설정'!B6,T977&lt;='01_설정'!B7,U977&lt;='01_설정'!B8),"Y",""))</f>
        <v/>
      </c>
      <c r="W977" s="172">
        <f>IF(V977&lt;&gt;"Y","",MAX(0,(1-R977/'01_설정'!B5))*'01_설정'!B14+MAX(0,(1-S977/'01_설정'!B6))*'01_설정'!B15+MAX(0,(1-T977/'01_설정'!B7))*'01_설정'!B16+MAX(0,(1-U977/'01_설정'!B8))*'01_설정'!B17+O977*'01_설정'!B11+Q977*'01_설정'!B12+P977*'01_설정'!B13+IF(Z977="",0,Z977))</f>
        <v/>
      </c>
      <c r="X977" s="152">
        <f>IF(W977="","",1+COUNTIFS($W$4:$W$3003,"&gt;"&amp;W977)+COUNTIFS($W$4:W977,W977)-1)</f>
        <v/>
      </c>
      <c r="Y977" s="175">
        <f>IF(OR(I977="",'02_대상물건입력'!B19="",'02_대상물건입력'!B19&lt;=0),"",ABS(I977-'02_대상물건입력'!B19)/'02_대상물건입력'!B19)</f>
        <v/>
      </c>
      <c r="Z977" s="172">
        <f>IF(OR(Y977="",'01_설정'!B31="",'01_설정'!B31&lt;=0,'01_설정'!B32="",'01_설정'!B32&lt;=0),"",MAX(0,(1-Y977/'01_설정'!B32))*'01_설정'!B31)</f>
        <v/>
      </c>
    </row>
    <row r="978" ht="17.25" customHeight="1">
      <c r="A978" s="152">
        <f>IF(INDEX('04A_국토부원자료'!$A:$A,ROW()+1)="","",ROW()-3)</f>
        <v/>
      </c>
      <c r="B978" s="48">
        <f>IFERROR(INDEX('04A_국토부원자료'!$A:$T,ROW()+1,MATCH("시군구",'04A_국토부원자료'!$A$4:$T$4,0)),"")</f>
        <v/>
      </c>
      <c r="C978" s="48">
        <f>IF(B978="","",IFERROR(INDEX('04A_국토부원자료'!$A:$T,ROW()+1,MATCH("번지",'04A_국토부원자료'!$A$4:$T$4,0)),""))</f>
        <v/>
      </c>
      <c r="D978" s="48">
        <f>IF(B978="","",IF(Q978=1,'02_대상물건입력'!$B$8,IFERROR(INDEX('04A_국토부원자료'!$A:$T,ROW()+1,MATCH("단지명",'04A_국토부원자료'!$A$4:$T$4,0)),"")))</f>
        <v/>
      </c>
      <c r="E978" s="172">
        <f>IFERROR(VALUE(SUBSTITUTE(INDEX('04A_국토부원자료'!$A:$T,ROW()+1,MATCH("전용면적(㎡)",'04A_국토부원자료'!$A$4:$T$4,0)),",","")),"")</f>
        <v/>
      </c>
      <c r="F9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78" s="51">
        <f>IFERROR(VALUE(SUBSTITUTE(INDEX('04A_국토부원자료'!$A:$T,ROW()+1,MATCH("거래금액(만원)",'04A_국토부원자료'!$A$4:$T$4,0)),",","")),"")</f>
        <v/>
      </c>
      <c r="H978" s="174">
        <f>IF(G978="","",G978*10000)</f>
        <v/>
      </c>
      <c r="I978" s="174">
        <f>IFERROR(IF(AND(H978&gt;0,E978&gt;0),H978/E978,""),"")</f>
        <v/>
      </c>
      <c r="J978" s="152">
        <f>IFERROR(VALUE(SUBSTITUTE(INDEX('04A_국토부원자료'!$A:$T,ROW()+1,MATCH("층",'04A_국토부원자료'!$A$4:$T$4,0)),",","")),"")</f>
        <v/>
      </c>
      <c r="K978" s="152">
        <f>IFERROR(VALUE(SUBSTITUTE(INDEX('04A_국토부원자료'!$A:$T,ROW()+1,MATCH("건축년도",'04A_국토부원자료'!$A$4:$T$4,0)),",","")),"")</f>
        <v/>
      </c>
      <c r="L978" s="176">
        <f>IFERROR(INDEX('04A_국토부원자료'!$A:$T,ROW()+1,MATCH("도로명",'04A_국토부원자료'!$A$4:$T$4,0)),"")</f>
        <v/>
      </c>
      <c r="M978" s="48">
        <f>IFERROR(INDEX('04A_국토부원자료'!$A:$T,ROW()+1,MATCH("거래유형",'04A_국토부원자료'!$A$4:$T$4,0)),"")</f>
        <v/>
      </c>
      <c r="N978" s="152">
        <f>IF(B978="","",IF('02_대상물건입력'!B5="",1,IF(ISNUMBER(SEARCH('02_대상물건입력'!B5,B978)),1,0)))</f>
        <v/>
      </c>
      <c r="O978" s="152">
        <f>IF(B978="","",IF('02_대상물건입력'!B6="",1,IF(ISNUMBER(SEARCH('02_대상물건입력'!B6,B978)),1,0)))</f>
        <v/>
      </c>
      <c r="P978" s="152">
        <f>IF(L978="","",IF('02_대상물건입력'!B15="",0,IF(ISNUMBER(SEARCH('02_대상물건입력'!B15,L978)),1,0)))</f>
        <v/>
      </c>
      <c r="Q978" s="152">
        <f>IF(OR(C978="",L978=""),0,IF(AND(TRIM(C978)=TRIM(RIGHT(SUBSTITUTE(TRIM('02_대상물건입력'!$B$7)," ",REPT(" ",99)),99)),IF('02_대상물건입력'!B15="",TRUE(),ISNUMBER(SEARCH('02_대상물건입력'!B15,L978)))),1,0))</f>
        <v/>
      </c>
      <c r="R978" s="175">
        <f>IFERROR(ABS(E978-'02_대상물건입력'!B11)/'02_대상물건입력'!B11,"")</f>
        <v/>
      </c>
      <c r="S978" s="152">
        <f>IFERROR(ABS(J978-'02_대상물건입력'!B10),"")</f>
        <v/>
      </c>
      <c r="T978" s="152">
        <f>IFERROR(ABS('01_설정'!B4-F978),"")</f>
        <v/>
      </c>
      <c r="U978" s="152">
        <f>IFERROR(ABS(K978-YEAR('02_대상물건입력'!B14)),"")</f>
        <v/>
      </c>
      <c r="V978" s="152">
        <f>IF(B978="","",IF(AND(E978&gt;0,F978&gt;0,H978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978=1,TRUE()),R978&lt;='01_설정'!B5,S978&lt;='01_설정'!B6,T978&lt;='01_설정'!B7,U978&lt;='01_설정'!B8),"Y",""))</f>
        <v/>
      </c>
      <c r="W978" s="172">
        <f>IF(V978&lt;&gt;"Y","",MAX(0,(1-R978/'01_설정'!B5))*'01_설정'!B14+MAX(0,(1-S978/'01_설정'!B6))*'01_설정'!B15+MAX(0,(1-T978/'01_설정'!B7))*'01_설정'!B16+MAX(0,(1-U978/'01_설정'!B8))*'01_설정'!B17+O978*'01_설정'!B11+Q978*'01_설정'!B12+P978*'01_설정'!B13+IF(Z978="",0,Z978))</f>
        <v/>
      </c>
      <c r="X978" s="152">
        <f>IF(W978="","",1+COUNTIFS($W$4:$W$3003,"&gt;"&amp;W978)+COUNTIFS($W$4:W978,W978)-1)</f>
        <v/>
      </c>
      <c r="Y978" s="175">
        <f>IF(OR(I978="",'02_대상물건입력'!B19="",'02_대상물건입력'!B19&lt;=0),"",ABS(I978-'02_대상물건입력'!B19)/'02_대상물건입력'!B19)</f>
        <v/>
      </c>
      <c r="Z978" s="172">
        <f>IF(OR(Y978="",'01_설정'!B31="",'01_설정'!B31&lt;=0,'01_설정'!B32="",'01_설정'!B32&lt;=0),"",MAX(0,(1-Y978/'01_설정'!B32))*'01_설정'!B31)</f>
        <v/>
      </c>
    </row>
    <row r="979" ht="17.25" customHeight="1">
      <c r="A979" s="152">
        <f>IF(INDEX('04A_국토부원자료'!$A:$A,ROW()+1)="","",ROW()-3)</f>
        <v/>
      </c>
      <c r="B979" s="48">
        <f>IFERROR(INDEX('04A_국토부원자료'!$A:$T,ROW()+1,MATCH("시군구",'04A_국토부원자료'!$A$4:$T$4,0)),"")</f>
        <v/>
      </c>
      <c r="C979" s="48">
        <f>IF(B979="","",IFERROR(INDEX('04A_국토부원자료'!$A:$T,ROW()+1,MATCH("번지",'04A_국토부원자료'!$A$4:$T$4,0)),""))</f>
        <v/>
      </c>
      <c r="D979" s="48">
        <f>IF(B979="","",IF(Q979=1,'02_대상물건입력'!$B$8,IFERROR(INDEX('04A_국토부원자료'!$A:$T,ROW()+1,MATCH("단지명",'04A_국토부원자료'!$A$4:$T$4,0)),"")))</f>
        <v/>
      </c>
      <c r="E979" s="172">
        <f>IFERROR(VALUE(SUBSTITUTE(INDEX('04A_국토부원자료'!$A:$T,ROW()+1,MATCH("전용면적(㎡)",'04A_국토부원자료'!$A$4:$T$4,0)),",","")),"")</f>
        <v/>
      </c>
      <c r="F9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79" s="51">
        <f>IFERROR(VALUE(SUBSTITUTE(INDEX('04A_국토부원자료'!$A:$T,ROW()+1,MATCH("거래금액(만원)",'04A_국토부원자료'!$A$4:$T$4,0)),",","")),"")</f>
        <v/>
      </c>
      <c r="H979" s="174">
        <f>IF(G979="","",G979*10000)</f>
        <v/>
      </c>
      <c r="I979" s="174">
        <f>IFERROR(IF(AND(H979&gt;0,E979&gt;0),H979/E979,""),"")</f>
        <v/>
      </c>
      <c r="J979" s="152">
        <f>IFERROR(VALUE(SUBSTITUTE(INDEX('04A_국토부원자료'!$A:$T,ROW()+1,MATCH("층",'04A_국토부원자료'!$A$4:$T$4,0)),",","")),"")</f>
        <v/>
      </c>
      <c r="K979" s="152">
        <f>IFERROR(VALUE(SUBSTITUTE(INDEX('04A_국토부원자료'!$A:$T,ROW()+1,MATCH("건축년도",'04A_국토부원자료'!$A$4:$T$4,0)),",","")),"")</f>
        <v/>
      </c>
      <c r="L979" s="176">
        <f>IFERROR(INDEX('04A_국토부원자료'!$A:$T,ROW()+1,MATCH("도로명",'04A_국토부원자료'!$A$4:$T$4,0)),"")</f>
        <v/>
      </c>
      <c r="M979" s="48">
        <f>IFERROR(INDEX('04A_국토부원자료'!$A:$T,ROW()+1,MATCH("거래유형",'04A_국토부원자료'!$A$4:$T$4,0)),"")</f>
        <v/>
      </c>
      <c r="N979" s="152">
        <f>IF(B979="","",IF('02_대상물건입력'!B5="",1,IF(ISNUMBER(SEARCH('02_대상물건입력'!B5,B979)),1,0)))</f>
        <v/>
      </c>
      <c r="O979" s="152">
        <f>IF(B979="","",IF('02_대상물건입력'!B6="",1,IF(ISNUMBER(SEARCH('02_대상물건입력'!B6,B979)),1,0)))</f>
        <v/>
      </c>
      <c r="P979" s="152">
        <f>IF(L979="","",IF('02_대상물건입력'!B15="",0,IF(ISNUMBER(SEARCH('02_대상물건입력'!B15,L979)),1,0)))</f>
        <v/>
      </c>
      <c r="Q979" s="152">
        <f>IF(OR(C979="",L979=""),0,IF(AND(TRIM(C979)=TRIM(RIGHT(SUBSTITUTE(TRIM('02_대상물건입력'!$B$7)," ",REPT(" ",99)),99)),IF('02_대상물건입력'!B15="",TRUE(),ISNUMBER(SEARCH('02_대상물건입력'!B15,L979)))),1,0))</f>
        <v/>
      </c>
      <c r="R979" s="175">
        <f>IFERROR(ABS(E979-'02_대상물건입력'!B11)/'02_대상물건입력'!B11,"")</f>
        <v/>
      </c>
      <c r="S979" s="152">
        <f>IFERROR(ABS(J979-'02_대상물건입력'!B10),"")</f>
        <v/>
      </c>
      <c r="T979" s="152">
        <f>IFERROR(ABS('01_설정'!B4-F979),"")</f>
        <v/>
      </c>
      <c r="U979" s="152">
        <f>IFERROR(ABS(K979-YEAR('02_대상물건입력'!B14)),"")</f>
        <v/>
      </c>
      <c r="V979" s="152">
        <f>IF(B979="","",IF(AND(E979&gt;0,F979&gt;0,H979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979=1,TRUE()),R979&lt;='01_설정'!B5,S979&lt;='01_설정'!B6,T979&lt;='01_설정'!B7,U979&lt;='01_설정'!B8),"Y",""))</f>
        <v/>
      </c>
      <c r="W979" s="172">
        <f>IF(V979&lt;&gt;"Y","",MAX(0,(1-R979/'01_설정'!B5))*'01_설정'!B14+MAX(0,(1-S979/'01_설정'!B6))*'01_설정'!B15+MAX(0,(1-T979/'01_설정'!B7))*'01_설정'!B16+MAX(0,(1-U979/'01_설정'!B8))*'01_설정'!B17+O979*'01_설정'!B11+Q979*'01_설정'!B12+P979*'01_설정'!B13+IF(Z979="",0,Z979))</f>
        <v/>
      </c>
      <c r="X979" s="152">
        <f>IF(W979="","",1+COUNTIFS($W$4:$W$3003,"&gt;"&amp;W979)+COUNTIFS($W$4:W979,W979)-1)</f>
        <v/>
      </c>
      <c r="Y979" s="175">
        <f>IF(OR(I979="",'02_대상물건입력'!B19="",'02_대상물건입력'!B19&lt;=0),"",ABS(I979-'02_대상물건입력'!B19)/'02_대상물건입력'!B19)</f>
        <v/>
      </c>
      <c r="Z979" s="172">
        <f>IF(OR(Y979="",'01_설정'!B31="",'01_설정'!B31&lt;=0,'01_설정'!B32="",'01_설정'!B32&lt;=0),"",MAX(0,(1-Y979/'01_설정'!B32))*'01_설정'!B31)</f>
        <v/>
      </c>
    </row>
    <row r="980" ht="17.25" customHeight="1">
      <c r="A980" s="152">
        <f>IF(INDEX('04A_국토부원자료'!$A:$A,ROW()+1)="","",ROW()-3)</f>
        <v/>
      </c>
      <c r="B980" s="48">
        <f>IFERROR(INDEX('04A_국토부원자료'!$A:$T,ROW()+1,MATCH("시군구",'04A_국토부원자료'!$A$4:$T$4,0)),"")</f>
        <v/>
      </c>
      <c r="C980" s="48">
        <f>IF(B980="","",IFERROR(INDEX('04A_국토부원자료'!$A:$T,ROW()+1,MATCH("번지",'04A_국토부원자료'!$A$4:$T$4,0)),""))</f>
        <v/>
      </c>
      <c r="D980" s="48">
        <f>IF(B980="","",IF(Q980=1,'02_대상물건입력'!$B$8,IFERROR(INDEX('04A_국토부원자료'!$A:$T,ROW()+1,MATCH("단지명",'04A_국토부원자료'!$A$4:$T$4,0)),"")))</f>
        <v/>
      </c>
      <c r="E980" s="172">
        <f>IFERROR(VALUE(SUBSTITUTE(INDEX('04A_국토부원자료'!$A:$T,ROW()+1,MATCH("전용면적(㎡)",'04A_국토부원자료'!$A$4:$T$4,0)),",","")),"")</f>
        <v/>
      </c>
      <c r="F9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80" s="51">
        <f>IFERROR(VALUE(SUBSTITUTE(INDEX('04A_국토부원자료'!$A:$T,ROW()+1,MATCH("거래금액(만원)",'04A_국토부원자료'!$A$4:$T$4,0)),",","")),"")</f>
        <v/>
      </c>
      <c r="H980" s="174">
        <f>IF(G980="","",G980*10000)</f>
        <v/>
      </c>
      <c r="I980" s="174">
        <f>IFERROR(IF(AND(H980&gt;0,E980&gt;0),H980/E980,""),"")</f>
        <v/>
      </c>
      <c r="J980" s="152">
        <f>IFERROR(VALUE(SUBSTITUTE(INDEX('04A_국토부원자료'!$A:$T,ROW()+1,MATCH("층",'04A_국토부원자료'!$A$4:$T$4,0)),",","")),"")</f>
        <v/>
      </c>
      <c r="K980" s="152">
        <f>IFERROR(VALUE(SUBSTITUTE(INDEX('04A_국토부원자료'!$A:$T,ROW()+1,MATCH("건축년도",'04A_국토부원자료'!$A$4:$T$4,0)),",","")),"")</f>
        <v/>
      </c>
      <c r="L980" s="176">
        <f>IFERROR(INDEX('04A_국토부원자료'!$A:$T,ROW()+1,MATCH("도로명",'04A_국토부원자료'!$A$4:$T$4,0)),"")</f>
        <v/>
      </c>
      <c r="M980" s="48">
        <f>IFERROR(INDEX('04A_국토부원자료'!$A:$T,ROW()+1,MATCH("거래유형",'04A_국토부원자료'!$A$4:$T$4,0)),"")</f>
        <v/>
      </c>
      <c r="N980" s="152">
        <f>IF(B980="","",IF('02_대상물건입력'!B5="",1,IF(ISNUMBER(SEARCH('02_대상물건입력'!B5,B980)),1,0)))</f>
        <v/>
      </c>
      <c r="O980" s="152">
        <f>IF(B980="","",IF('02_대상물건입력'!B6="",1,IF(ISNUMBER(SEARCH('02_대상물건입력'!B6,B980)),1,0)))</f>
        <v/>
      </c>
      <c r="P980" s="152">
        <f>IF(L980="","",IF('02_대상물건입력'!B15="",0,IF(ISNUMBER(SEARCH('02_대상물건입력'!B15,L980)),1,0)))</f>
        <v/>
      </c>
      <c r="Q980" s="152">
        <f>IF(OR(C980="",L980=""),0,IF(AND(TRIM(C980)=TRIM(RIGHT(SUBSTITUTE(TRIM('02_대상물건입력'!$B$7)," ",REPT(" ",99)),99)),IF('02_대상물건입력'!B15="",TRUE(),ISNUMBER(SEARCH('02_대상물건입력'!B15,L980)))),1,0))</f>
        <v/>
      </c>
      <c r="R980" s="175">
        <f>IFERROR(ABS(E980-'02_대상물건입력'!B11)/'02_대상물건입력'!B11,"")</f>
        <v/>
      </c>
      <c r="S980" s="152">
        <f>IFERROR(ABS(J980-'02_대상물건입력'!B10),"")</f>
        <v/>
      </c>
      <c r="T980" s="152">
        <f>IFERROR(ABS('01_설정'!B4-F980),"")</f>
        <v/>
      </c>
      <c r="U980" s="152">
        <f>IFERROR(ABS(K980-YEAR('02_대상물건입력'!B14)),"")</f>
        <v/>
      </c>
      <c r="V980" s="152">
        <f>IF(B980="","",IF(AND(E980&gt;0,F980&gt;0,H980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980=1,TRUE()),R980&lt;='01_설정'!B5,S980&lt;='01_설정'!B6,T980&lt;='01_설정'!B7,U980&lt;='01_설정'!B8),"Y",""))</f>
        <v/>
      </c>
      <c r="W980" s="172">
        <f>IF(V980&lt;&gt;"Y","",MAX(0,(1-R980/'01_설정'!B5))*'01_설정'!B14+MAX(0,(1-S980/'01_설정'!B6))*'01_설정'!B15+MAX(0,(1-T980/'01_설정'!B7))*'01_설정'!B16+MAX(0,(1-U980/'01_설정'!B8))*'01_설정'!B17+O980*'01_설정'!B11+Q980*'01_설정'!B12+P980*'01_설정'!B13+IF(Z980="",0,Z980))</f>
        <v/>
      </c>
      <c r="X980" s="152">
        <f>IF(W980="","",1+COUNTIFS($W$4:$W$3003,"&gt;"&amp;W980)+COUNTIFS($W$4:W980,W980)-1)</f>
        <v/>
      </c>
      <c r="Y980" s="175">
        <f>IF(OR(I980="",'02_대상물건입력'!B19="",'02_대상물건입력'!B19&lt;=0),"",ABS(I980-'02_대상물건입력'!B19)/'02_대상물건입력'!B19)</f>
        <v/>
      </c>
      <c r="Z980" s="172">
        <f>IF(OR(Y980="",'01_설정'!B31="",'01_설정'!B31&lt;=0,'01_설정'!B32="",'01_설정'!B32&lt;=0),"",MAX(0,(1-Y980/'01_설정'!B32))*'01_설정'!B31)</f>
        <v/>
      </c>
    </row>
    <row r="981" ht="17.25" customHeight="1">
      <c r="A981" s="152">
        <f>IF(INDEX('04A_국토부원자료'!$A:$A,ROW()+1)="","",ROW()-3)</f>
        <v/>
      </c>
      <c r="B981" s="48">
        <f>IFERROR(INDEX('04A_국토부원자료'!$A:$T,ROW()+1,MATCH("시군구",'04A_국토부원자료'!$A$4:$T$4,0)),"")</f>
        <v/>
      </c>
      <c r="C981" s="48">
        <f>IF(B981="","",IFERROR(INDEX('04A_국토부원자료'!$A:$T,ROW()+1,MATCH("번지",'04A_국토부원자료'!$A$4:$T$4,0)),""))</f>
        <v/>
      </c>
      <c r="D981" s="48">
        <f>IF(B981="","",IF(Q981=1,'02_대상물건입력'!$B$8,IFERROR(INDEX('04A_국토부원자료'!$A:$T,ROW()+1,MATCH("단지명",'04A_국토부원자료'!$A$4:$T$4,0)),"")))</f>
        <v/>
      </c>
      <c r="E981" s="172">
        <f>IFERROR(VALUE(SUBSTITUTE(INDEX('04A_국토부원자료'!$A:$T,ROW()+1,MATCH("전용면적(㎡)",'04A_국토부원자료'!$A$4:$T$4,0)),",","")),"")</f>
        <v/>
      </c>
      <c r="F9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81" s="51">
        <f>IFERROR(VALUE(SUBSTITUTE(INDEX('04A_국토부원자료'!$A:$T,ROW()+1,MATCH("거래금액(만원)",'04A_국토부원자료'!$A$4:$T$4,0)),",","")),"")</f>
        <v/>
      </c>
      <c r="H981" s="174">
        <f>IF(G981="","",G981*10000)</f>
        <v/>
      </c>
      <c r="I981" s="174">
        <f>IFERROR(IF(AND(H981&gt;0,E981&gt;0),H981/E981,""),"")</f>
        <v/>
      </c>
      <c r="J981" s="152">
        <f>IFERROR(VALUE(SUBSTITUTE(INDEX('04A_국토부원자료'!$A:$T,ROW()+1,MATCH("층",'04A_국토부원자료'!$A$4:$T$4,0)),",","")),"")</f>
        <v/>
      </c>
      <c r="K981" s="152">
        <f>IFERROR(VALUE(SUBSTITUTE(INDEX('04A_국토부원자료'!$A:$T,ROW()+1,MATCH("건축년도",'04A_국토부원자료'!$A$4:$T$4,0)),",","")),"")</f>
        <v/>
      </c>
      <c r="L981" s="176">
        <f>IFERROR(INDEX('04A_국토부원자료'!$A:$T,ROW()+1,MATCH("도로명",'04A_국토부원자료'!$A$4:$T$4,0)),"")</f>
        <v/>
      </c>
      <c r="M981" s="48">
        <f>IFERROR(INDEX('04A_국토부원자료'!$A:$T,ROW()+1,MATCH("거래유형",'04A_국토부원자료'!$A$4:$T$4,0)),"")</f>
        <v/>
      </c>
      <c r="N981" s="152">
        <f>IF(B981="","",IF('02_대상물건입력'!B5="",1,IF(ISNUMBER(SEARCH('02_대상물건입력'!B5,B981)),1,0)))</f>
        <v/>
      </c>
      <c r="O981" s="152">
        <f>IF(B981="","",IF('02_대상물건입력'!B6="",1,IF(ISNUMBER(SEARCH('02_대상물건입력'!B6,B981)),1,0)))</f>
        <v/>
      </c>
      <c r="P981" s="152">
        <f>IF(L981="","",IF('02_대상물건입력'!B15="",0,IF(ISNUMBER(SEARCH('02_대상물건입력'!B15,L981)),1,0)))</f>
        <v/>
      </c>
      <c r="Q981" s="152">
        <f>IF(OR(C981="",L981=""),0,IF(AND(TRIM(C981)=TRIM(RIGHT(SUBSTITUTE(TRIM('02_대상물건입력'!$B$7)," ",REPT(" ",99)),99)),IF('02_대상물건입력'!B15="",TRUE(),ISNUMBER(SEARCH('02_대상물건입력'!B15,L981)))),1,0))</f>
        <v/>
      </c>
      <c r="R981" s="175">
        <f>IFERROR(ABS(E981-'02_대상물건입력'!B11)/'02_대상물건입력'!B11,"")</f>
        <v/>
      </c>
      <c r="S981" s="152">
        <f>IFERROR(ABS(J981-'02_대상물건입력'!B10),"")</f>
        <v/>
      </c>
      <c r="T981" s="152">
        <f>IFERROR(ABS('01_설정'!B4-F981),"")</f>
        <v/>
      </c>
      <c r="U981" s="152">
        <f>IFERROR(ABS(K981-YEAR('02_대상물건입력'!B14)),"")</f>
        <v/>
      </c>
      <c r="V981" s="152">
        <f>IF(B981="","",IF(AND(E981&gt;0,F981&gt;0,H981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981=1,TRUE()),R981&lt;='01_설정'!B5,S981&lt;='01_설정'!B6,T981&lt;='01_설정'!B7,U981&lt;='01_설정'!B8),"Y",""))</f>
        <v/>
      </c>
      <c r="W981" s="172">
        <f>IF(V981&lt;&gt;"Y","",MAX(0,(1-R981/'01_설정'!B5))*'01_설정'!B14+MAX(0,(1-S981/'01_설정'!B6))*'01_설정'!B15+MAX(0,(1-T981/'01_설정'!B7))*'01_설정'!B16+MAX(0,(1-U981/'01_설정'!B8))*'01_설정'!B17+O981*'01_설정'!B11+Q981*'01_설정'!B12+P981*'01_설정'!B13+IF(Z981="",0,Z981))</f>
        <v/>
      </c>
      <c r="X981" s="152">
        <f>IF(W981="","",1+COUNTIFS($W$4:$W$3003,"&gt;"&amp;W981)+COUNTIFS($W$4:W981,W981)-1)</f>
        <v/>
      </c>
      <c r="Y981" s="175">
        <f>IF(OR(I981="",'02_대상물건입력'!B19="",'02_대상물건입력'!B19&lt;=0),"",ABS(I981-'02_대상물건입력'!B19)/'02_대상물건입력'!B19)</f>
        <v/>
      </c>
      <c r="Z981" s="172">
        <f>IF(OR(Y981="",'01_설정'!B31="",'01_설정'!B31&lt;=0,'01_설정'!B32="",'01_설정'!B32&lt;=0),"",MAX(0,(1-Y981/'01_설정'!B32))*'01_설정'!B31)</f>
        <v/>
      </c>
    </row>
    <row r="982" ht="17.25" customHeight="1">
      <c r="A982" s="152">
        <f>IF(INDEX('04A_국토부원자료'!$A:$A,ROW()+1)="","",ROW()-3)</f>
        <v/>
      </c>
      <c r="B982" s="48">
        <f>IFERROR(INDEX('04A_국토부원자료'!$A:$T,ROW()+1,MATCH("시군구",'04A_국토부원자료'!$A$4:$T$4,0)),"")</f>
        <v/>
      </c>
      <c r="C982" s="48">
        <f>IF(B982="","",IFERROR(INDEX('04A_국토부원자료'!$A:$T,ROW()+1,MATCH("번지",'04A_국토부원자료'!$A$4:$T$4,0)),""))</f>
        <v/>
      </c>
      <c r="D982" s="48">
        <f>IF(B982="","",IF(Q982=1,'02_대상물건입력'!$B$8,IFERROR(INDEX('04A_국토부원자료'!$A:$T,ROW()+1,MATCH("단지명",'04A_국토부원자료'!$A$4:$T$4,0)),"")))</f>
        <v/>
      </c>
      <c r="E982" s="172">
        <f>IFERROR(VALUE(SUBSTITUTE(INDEX('04A_국토부원자료'!$A:$T,ROW()+1,MATCH("전용면적(㎡)",'04A_국토부원자료'!$A$4:$T$4,0)),",","")),"")</f>
        <v/>
      </c>
      <c r="F9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82" s="51">
        <f>IFERROR(VALUE(SUBSTITUTE(INDEX('04A_국토부원자료'!$A:$T,ROW()+1,MATCH("거래금액(만원)",'04A_국토부원자료'!$A$4:$T$4,0)),",","")),"")</f>
        <v/>
      </c>
      <c r="H982" s="174">
        <f>IF(G982="","",G982*10000)</f>
        <v/>
      </c>
      <c r="I982" s="174">
        <f>IFERROR(IF(AND(H982&gt;0,E982&gt;0),H982/E982,""),"")</f>
        <v/>
      </c>
      <c r="J982" s="152">
        <f>IFERROR(VALUE(SUBSTITUTE(INDEX('04A_국토부원자료'!$A:$T,ROW()+1,MATCH("층",'04A_국토부원자료'!$A$4:$T$4,0)),",","")),"")</f>
        <v/>
      </c>
      <c r="K982" s="152">
        <f>IFERROR(VALUE(SUBSTITUTE(INDEX('04A_국토부원자료'!$A:$T,ROW()+1,MATCH("건축년도",'04A_국토부원자료'!$A$4:$T$4,0)),",","")),"")</f>
        <v/>
      </c>
      <c r="L982" s="176">
        <f>IFERROR(INDEX('04A_국토부원자료'!$A:$T,ROW()+1,MATCH("도로명",'04A_국토부원자료'!$A$4:$T$4,0)),"")</f>
        <v/>
      </c>
      <c r="M982" s="48">
        <f>IFERROR(INDEX('04A_국토부원자료'!$A:$T,ROW()+1,MATCH("거래유형",'04A_국토부원자료'!$A$4:$T$4,0)),"")</f>
        <v/>
      </c>
      <c r="N982" s="152">
        <f>IF(B982="","",IF('02_대상물건입력'!B5="",1,IF(ISNUMBER(SEARCH('02_대상물건입력'!B5,B982)),1,0)))</f>
        <v/>
      </c>
      <c r="O982" s="152">
        <f>IF(B982="","",IF('02_대상물건입력'!B6="",1,IF(ISNUMBER(SEARCH('02_대상물건입력'!B6,B982)),1,0)))</f>
        <v/>
      </c>
      <c r="P982" s="152">
        <f>IF(L982="","",IF('02_대상물건입력'!B15="",0,IF(ISNUMBER(SEARCH('02_대상물건입력'!B15,L982)),1,0)))</f>
        <v/>
      </c>
      <c r="Q982" s="152">
        <f>IF(OR(C982="",L982=""),0,IF(AND(TRIM(C982)=TRIM(RIGHT(SUBSTITUTE(TRIM('02_대상물건입력'!$B$7)," ",REPT(" ",99)),99)),IF('02_대상물건입력'!B15="",TRUE(),ISNUMBER(SEARCH('02_대상물건입력'!B15,L982)))),1,0))</f>
        <v/>
      </c>
      <c r="R982" s="175">
        <f>IFERROR(ABS(E982-'02_대상물건입력'!B11)/'02_대상물건입력'!B11,"")</f>
        <v/>
      </c>
      <c r="S982" s="152">
        <f>IFERROR(ABS(J982-'02_대상물건입력'!B10),"")</f>
        <v/>
      </c>
      <c r="T982" s="152">
        <f>IFERROR(ABS('01_설정'!B4-F982),"")</f>
        <v/>
      </c>
      <c r="U982" s="152">
        <f>IFERROR(ABS(K982-YEAR('02_대상물건입력'!B14)),"")</f>
        <v/>
      </c>
      <c r="V982" s="152">
        <f>IF(B982="","",IF(AND(E982&gt;0,F982&gt;0,H982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982=1,TRUE()),R982&lt;='01_설정'!B5,S982&lt;='01_설정'!B6,T982&lt;='01_설정'!B7,U982&lt;='01_설정'!B8),"Y",""))</f>
        <v/>
      </c>
      <c r="W982" s="172">
        <f>IF(V982&lt;&gt;"Y","",MAX(0,(1-R982/'01_설정'!B5))*'01_설정'!B14+MAX(0,(1-S982/'01_설정'!B6))*'01_설정'!B15+MAX(0,(1-T982/'01_설정'!B7))*'01_설정'!B16+MAX(0,(1-U982/'01_설정'!B8))*'01_설정'!B17+O982*'01_설정'!B11+Q982*'01_설정'!B12+P982*'01_설정'!B13+IF(Z982="",0,Z982))</f>
        <v/>
      </c>
      <c r="X982" s="152">
        <f>IF(W982="","",1+COUNTIFS($W$4:$W$3003,"&gt;"&amp;W982)+COUNTIFS($W$4:W982,W982)-1)</f>
        <v/>
      </c>
      <c r="Y982" s="175">
        <f>IF(OR(I982="",'02_대상물건입력'!B19="",'02_대상물건입력'!B19&lt;=0),"",ABS(I982-'02_대상물건입력'!B19)/'02_대상물건입력'!B19)</f>
        <v/>
      </c>
      <c r="Z982" s="172">
        <f>IF(OR(Y982="",'01_설정'!B31="",'01_설정'!B31&lt;=0,'01_설정'!B32="",'01_설정'!B32&lt;=0),"",MAX(0,(1-Y982/'01_설정'!B32))*'01_설정'!B31)</f>
        <v/>
      </c>
    </row>
    <row r="983" ht="17.25" customHeight="1">
      <c r="A983" s="152">
        <f>IF(INDEX('04A_국토부원자료'!$A:$A,ROW()+1)="","",ROW()-3)</f>
        <v/>
      </c>
      <c r="B983" s="48">
        <f>IFERROR(INDEX('04A_국토부원자료'!$A:$T,ROW()+1,MATCH("시군구",'04A_국토부원자료'!$A$4:$T$4,0)),"")</f>
        <v/>
      </c>
      <c r="C983" s="48">
        <f>IF(B983="","",IFERROR(INDEX('04A_국토부원자료'!$A:$T,ROW()+1,MATCH("번지",'04A_국토부원자료'!$A$4:$T$4,0)),""))</f>
        <v/>
      </c>
      <c r="D983" s="48">
        <f>IF(B983="","",IF(Q983=1,'02_대상물건입력'!$B$8,IFERROR(INDEX('04A_국토부원자료'!$A:$T,ROW()+1,MATCH("단지명",'04A_국토부원자료'!$A$4:$T$4,0)),"")))</f>
        <v/>
      </c>
      <c r="E983" s="172">
        <f>IFERROR(VALUE(SUBSTITUTE(INDEX('04A_국토부원자료'!$A:$T,ROW()+1,MATCH("전용면적(㎡)",'04A_국토부원자료'!$A$4:$T$4,0)),",","")),"")</f>
        <v/>
      </c>
      <c r="F9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83" s="51">
        <f>IFERROR(VALUE(SUBSTITUTE(INDEX('04A_국토부원자료'!$A:$T,ROW()+1,MATCH("거래금액(만원)",'04A_국토부원자료'!$A$4:$T$4,0)),",","")),"")</f>
        <v/>
      </c>
      <c r="H983" s="174">
        <f>IF(G983="","",G983*10000)</f>
        <v/>
      </c>
      <c r="I983" s="174">
        <f>IFERROR(IF(AND(H983&gt;0,E983&gt;0),H983/E983,""),"")</f>
        <v/>
      </c>
      <c r="J983" s="152">
        <f>IFERROR(VALUE(SUBSTITUTE(INDEX('04A_국토부원자료'!$A:$T,ROW()+1,MATCH("층",'04A_국토부원자료'!$A$4:$T$4,0)),",","")),"")</f>
        <v/>
      </c>
      <c r="K983" s="152">
        <f>IFERROR(VALUE(SUBSTITUTE(INDEX('04A_국토부원자료'!$A:$T,ROW()+1,MATCH("건축년도",'04A_국토부원자료'!$A$4:$T$4,0)),",","")),"")</f>
        <v/>
      </c>
      <c r="L983" s="176">
        <f>IFERROR(INDEX('04A_국토부원자료'!$A:$T,ROW()+1,MATCH("도로명",'04A_국토부원자료'!$A$4:$T$4,0)),"")</f>
        <v/>
      </c>
      <c r="M983" s="48">
        <f>IFERROR(INDEX('04A_국토부원자료'!$A:$T,ROW()+1,MATCH("거래유형",'04A_국토부원자료'!$A$4:$T$4,0)),"")</f>
        <v/>
      </c>
      <c r="N983" s="152">
        <f>IF(B983="","",IF('02_대상물건입력'!B5="",1,IF(ISNUMBER(SEARCH('02_대상물건입력'!B5,B983)),1,0)))</f>
        <v/>
      </c>
      <c r="O983" s="152">
        <f>IF(B983="","",IF('02_대상물건입력'!B6="",1,IF(ISNUMBER(SEARCH('02_대상물건입력'!B6,B983)),1,0)))</f>
        <v/>
      </c>
      <c r="P983" s="152">
        <f>IF(L983="","",IF('02_대상물건입력'!B15="",0,IF(ISNUMBER(SEARCH('02_대상물건입력'!B15,L983)),1,0)))</f>
        <v/>
      </c>
      <c r="Q983" s="152">
        <f>IF(OR(C983="",L983=""),0,IF(AND(TRIM(C983)=TRIM(RIGHT(SUBSTITUTE(TRIM('02_대상물건입력'!$B$7)," ",REPT(" ",99)),99)),IF('02_대상물건입력'!B15="",TRUE(),ISNUMBER(SEARCH('02_대상물건입력'!B15,L983)))),1,0))</f>
        <v/>
      </c>
      <c r="R983" s="175">
        <f>IFERROR(ABS(E983-'02_대상물건입력'!B11)/'02_대상물건입력'!B11,"")</f>
        <v/>
      </c>
      <c r="S983" s="152">
        <f>IFERROR(ABS(J983-'02_대상물건입력'!B10),"")</f>
        <v/>
      </c>
      <c r="T983" s="152">
        <f>IFERROR(ABS('01_설정'!B4-F983),"")</f>
        <v/>
      </c>
      <c r="U983" s="152">
        <f>IFERROR(ABS(K983-YEAR('02_대상물건입력'!B14)),"")</f>
        <v/>
      </c>
      <c r="V983" s="152">
        <f>IF(B983="","",IF(AND(E983&gt;0,F983&gt;0,H983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983=1,TRUE()),R983&lt;='01_설정'!B5,S983&lt;='01_설정'!B6,T983&lt;='01_설정'!B7,U983&lt;='01_설정'!B8),"Y",""))</f>
        <v/>
      </c>
      <c r="W983" s="172">
        <f>IF(V983&lt;&gt;"Y","",MAX(0,(1-R983/'01_설정'!B5))*'01_설정'!B14+MAX(0,(1-S983/'01_설정'!B6))*'01_설정'!B15+MAX(0,(1-T983/'01_설정'!B7))*'01_설정'!B16+MAX(0,(1-U983/'01_설정'!B8))*'01_설정'!B17+O983*'01_설정'!B11+Q983*'01_설정'!B12+P983*'01_설정'!B13+IF(Z983="",0,Z983))</f>
        <v/>
      </c>
      <c r="X983" s="152">
        <f>IF(W983="","",1+COUNTIFS($W$4:$W$3003,"&gt;"&amp;W983)+COUNTIFS($W$4:W983,W983)-1)</f>
        <v/>
      </c>
      <c r="Y983" s="175">
        <f>IF(OR(I983="",'02_대상물건입력'!B19="",'02_대상물건입력'!B19&lt;=0),"",ABS(I983-'02_대상물건입력'!B19)/'02_대상물건입력'!B19)</f>
        <v/>
      </c>
      <c r="Z983" s="172">
        <f>IF(OR(Y983="",'01_설정'!B31="",'01_설정'!B31&lt;=0,'01_설정'!B32="",'01_설정'!B32&lt;=0),"",MAX(0,(1-Y983/'01_설정'!B32))*'01_설정'!B31)</f>
        <v/>
      </c>
    </row>
    <row r="984" ht="17.25" customHeight="1">
      <c r="A984" s="152">
        <f>IF(INDEX('04A_국토부원자료'!$A:$A,ROW()+1)="","",ROW()-3)</f>
        <v/>
      </c>
      <c r="B984" s="48">
        <f>IFERROR(INDEX('04A_국토부원자료'!$A:$T,ROW()+1,MATCH("시군구",'04A_국토부원자료'!$A$4:$T$4,0)),"")</f>
        <v/>
      </c>
      <c r="C984" s="48">
        <f>IF(B984="","",IFERROR(INDEX('04A_국토부원자료'!$A:$T,ROW()+1,MATCH("번지",'04A_국토부원자료'!$A$4:$T$4,0)),""))</f>
        <v/>
      </c>
      <c r="D984" s="48">
        <f>IF(B984="","",IF(Q984=1,'02_대상물건입력'!$B$8,IFERROR(INDEX('04A_국토부원자료'!$A:$T,ROW()+1,MATCH("단지명",'04A_국토부원자료'!$A$4:$T$4,0)),"")))</f>
        <v/>
      </c>
      <c r="E984" s="172">
        <f>IFERROR(VALUE(SUBSTITUTE(INDEX('04A_국토부원자료'!$A:$T,ROW()+1,MATCH("전용면적(㎡)",'04A_국토부원자료'!$A$4:$T$4,0)),",","")),"")</f>
        <v/>
      </c>
      <c r="F9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84" s="51">
        <f>IFERROR(VALUE(SUBSTITUTE(INDEX('04A_국토부원자료'!$A:$T,ROW()+1,MATCH("거래금액(만원)",'04A_국토부원자료'!$A$4:$T$4,0)),",","")),"")</f>
        <v/>
      </c>
      <c r="H984" s="174">
        <f>IF(G984="","",G984*10000)</f>
        <v/>
      </c>
      <c r="I984" s="174">
        <f>IFERROR(IF(AND(H984&gt;0,E984&gt;0),H984/E984,""),"")</f>
        <v/>
      </c>
      <c r="J984" s="152">
        <f>IFERROR(VALUE(SUBSTITUTE(INDEX('04A_국토부원자료'!$A:$T,ROW()+1,MATCH("층",'04A_국토부원자료'!$A$4:$T$4,0)),",","")),"")</f>
        <v/>
      </c>
      <c r="K984" s="152">
        <f>IFERROR(VALUE(SUBSTITUTE(INDEX('04A_국토부원자료'!$A:$T,ROW()+1,MATCH("건축년도",'04A_국토부원자료'!$A$4:$T$4,0)),",","")),"")</f>
        <v/>
      </c>
      <c r="L984" s="176">
        <f>IFERROR(INDEX('04A_국토부원자료'!$A:$T,ROW()+1,MATCH("도로명",'04A_국토부원자료'!$A$4:$T$4,0)),"")</f>
        <v/>
      </c>
      <c r="M984" s="48">
        <f>IFERROR(INDEX('04A_국토부원자료'!$A:$T,ROW()+1,MATCH("거래유형",'04A_국토부원자료'!$A$4:$T$4,0)),"")</f>
        <v/>
      </c>
      <c r="N984" s="152">
        <f>IF(B984="","",IF('02_대상물건입력'!B5="",1,IF(ISNUMBER(SEARCH('02_대상물건입력'!B5,B984)),1,0)))</f>
        <v/>
      </c>
      <c r="O984" s="152">
        <f>IF(B984="","",IF('02_대상물건입력'!B6="",1,IF(ISNUMBER(SEARCH('02_대상물건입력'!B6,B984)),1,0)))</f>
        <v/>
      </c>
      <c r="P984" s="152">
        <f>IF(L984="","",IF('02_대상물건입력'!B15="",0,IF(ISNUMBER(SEARCH('02_대상물건입력'!B15,L984)),1,0)))</f>
        <v/>
      </c>
      <c r="Q984" s="152">
        <f>IF(OR(C984="",L984=""),0,IF(AND(TRIM(C984)=TRIM(RIGHT(SUBSTITUTE(TRIM('02_대상물건입력'!$B$7)," ",REPT(" ",99)),99)),IF('02_대상물건입력'!B15="",TRUE(),ISNUMBER(SEARCH('02_대상물건입력'!B15,L984)))),1,0))</f>
        <v/>
      </c>
      <c r="R984" s="175">
        <f>IFERROR(ABS(E984-'02_대상물건입력'!B11)/'02_대상물건입력'!B11,"")</f>
        <v/>
      </c>
      <c r="S984" s="152">
        <f>IFERROR(ABS(J984-'02_대상물건입력'!B10),"")</f>
        <v/>
      </c>
      <c r="T984" s="152">
        <f>IFERROR(ABS('01_설정'!B4-F984),"")</f>
        <v/>
      </c>
      <c r="U984" s="152">
        <f>IFERROR(ABS(K984-YEAR('02_대상물건입력'!B14)),"")</f>
        <v/>
      </c>
      <c r="V984" s="152">
        <f>IF(B984="","",IF(AND(E984&gt;0,F984&gt;0,H984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984=1,TRUE()),R984&lt;='01_설정'!B5,S984&lt;='01_설정'!B6,T984&lt;='01_설정'!B7,U984&lt;='01_설정'!B8),"Y",""))</f>
        <v/>
      </c>
      <c r="W984" s="172">
        <f>IF(V984&lt;&gt;"Y","",MAX(0,(1-R984/'01_설정'!B5))*'01_설정'!B14+MAX(0,(1-S984/'01_설정'!B6))*'01_설정'!B15+MAX(0,(1-T984/'01_설정'!B7))*'01_설정'!B16+MAX(0,(1-U984/'01_설정'!B8))*'01_설정'!B17+O984*'01_설정'!B11+Q984*'01_설정'!B12+P984*'01_설정'!B13+IF(Z984="",0,Z984))</f>
        <v/>
      </c>
      <c r="X984" s="152">
        <f>IF(W984="","",1+COUNTIFS($W$4:$W$3003,"&gt;"&amp;W984)+COUNTIFS($W$4:W984,W984)-1)</f>
        <v/>
      </c>
      <c r="Y984" s="175">
        <f>IF(OR(I984="",'02_대상물건입력'!B19="",'02_대상물건입력'!B19&lt;=0),"",ABS(I984-'02_대상물건입력'!B19)/'02_대상물건입력'!B19)</f>
        <v/>
      </c>
      <c r="Z984" s="172">
        <f>IF(OR(Y984="",'01_설정'!B31="",'01_설정'!B31&lt;=0,'01_설정'!B32="",'01_설정'!B32&lt;=0),"",MAX(0,(1-Y984/'01_설정'!B32))*'01_설정'!B31)</f>
        <v/>
      </c>
    </row>
    <row r="985" ht="17.25" customHeight="1">
      <c r="A985" s="152">
        <f>IF(INDEX('04A_국토부원자료'!$A:$A,ROW()+1)="","",ROW()-3)</f>
        <v/>
      </c>
      <c r="B985" s="48">
        <f>IFERROR(INDEX('04A_국토부원자료'!$A:$T,ROW()+1,MATCH("시군구",'04A_국토부원자료'!$A$4:$T$4,0)),"")</f>
        <v/>
      </c>
      <c r="C985" s="48">
        <f>IF(B985="","",IFERROR(INDEX('04A_국토부원자료'!$A:$T,ROW()+1,MATCH("번지",'04A_국토부원자료'!$A$4:$T$4,0)),""))</f>
        <v/>
      </c>
      <c r="D985" s="48">
        <f>IF(B985="","",IF(Q985=1,'02_대상물건입력'!$B$8,IFERROR(INDEX('04A_국토부원자료'!$A:$T,ROW()+1,MATCH("단지명",'04A_국토부원자료'!$A$4:$T$4,0)),"")))</f>
        <v/>
      </c>
      <c r="E985" s="172">
        <f>IFERROR(VALUE(SUBSTITUTE(INDEX('04A_국토부원자료'!$A:$T,ROW()+1,MATCH("전용면적(㎡)",'04A_국토부원자료'!$A$4:$T$4,0)),",","")),"")</f>
        <v/>
      </c>
      <c r="F9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85" s="51">
        <f>IFERROR(VALUE(SUBSTITUTE(INDEX('04A_국토부원자료'!$A:$T,ROW()+1,MATCH("거래금액(만원)",'04A_국토부원자료'!$A$4:$T$4,0)),",","")),"")</f>
        <v/>
      </c>
      <c r="H985" s="174">
        <f>IF(G985="","",G985*10000)</f>
        <v/>
      </c>
      <c r="I985" s="174">
        <f>IFERROR(IF(AND(H985&gt;0,E985&gt;0),H985/E985,""),"")</f>
        <v/>
      </c>
      <c r="J985" s="152">
        <f>IFERROR(VALUE(SUBSTITUTE(INDEX('04A_국토부원자료'!$A:$T,ROW()+1,MATCH("층",'04A_국토부원자료'!$A$4:$T$4,0)),",","")),"")</f>
        <v/>
      </c>
      <c r="K985" s="152">
        <f>IFERROR(VALUE(SUBSTITUTE(INDEX('04A_국토부원자료'!$A:$T,ROW()+1,MATCH("건축년도",'04A_국토부원자료'!$A$4:$T$4,0)),",","")),"")</f>
        <v/>
      </c>
      <c r="L985" s="176">
        <f>IFERROR(INDEX('04A_국토부원자료'!$A:$T,ROW()+1,MATCH("도로명",'04A_국토부원자료'!$A$4:$T$4,0)),"")</f>
        <v/>
      </c>
      <c r="M985" s="48">
        <f>IFERROR(INDEX('04A_국토부원자료'!$A:$T,ROW()+1,MATCH("거래유형",'04A_국토부원자료'!$A$4:$T$4,0)),"")</f>
        <v/>
      </c>
      <c r="N985" s="152">
        <f>IF(B985="","",IF('02_대상물건입력'!B5="",1,IF(ISNUMBER(SEARCH('02_대상물건입력'!B5,B985)),1,0)))</f>
        <v/>
      </c>
      <c r="O985" s="152">
        <f>IF(B985="","",IF('02_대상물건입력'!B6="",1,IF(ISNUMBER(SEARCH('02_대상물건입력'!B6,B985)),1,0)))</f>
        <v/>
      </c>
      <c r="P985" s="152">
        <f>IF(L985="","",IF('02_대상물건입력'!B15="",0,IF(ISNUMBER(SEARCH('02_대상물건입력'!B15,L985)),1,0)))</f>
        <v/>
      </c>
      <c r="Q985" s="152">
        <f>IF(OR(C985="",L985=""),0,IF(AND(TRIM(C985)=TRIM(RIGHT(SUBSTITUTE(TRIM('02_대상물건입력'!$B$7)," ",REPT(" ",99)),99)),IF('02_대상물건입력'!B15="",TRUE(),ISNUMBER(SEARCH('02_대상물건입력'!B15,L985)))),1,0))</f>
        <v/>
      </c>
      <c r="R985" s="175">
        <f>IFERROR(ABS(E985-'02_대상물건입력'!B11)/'02_대상물건입력'!B11,"")</f>
        <v/>
      </c>
      <c r="S985" s="152">
        <f>IFERROR(ABS(J985-'02_대상물건입력'!B10),"")</f>
        <v/>
      </c>
      <c r="T985" s="152">
        <f>IFERROR(ABS('01_설정'!B4-F985),"")</f>
        <v/>
      </c>
      <c r="U985" s="152">
        <f>IFERROR(ABS(K985-YEAR('02_대상물건입력'!B14)),"")</f>
        <v/>
      </c>
      <c r="V985" s="152">
        <f>IF(B985="","",IF(AND(E985&gt;0,F985&gt;0,H985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985=1,TRUE()),R985&lt;='01_설정'!B5,S985&lt;='01_설정'!B6,T985&lt;='01_설정'!B7,U985&lt;='01_설정'!B8),"Y",""))</f>
        <v/>
      </c>
      <c r="W985" s="172">
        <f>IF(V985&lt;&gt;"Y","",MAX(0,(1-R985/'01_설정'!B5))*'01_설정'!B14+MAX(0,(1-S985/'01_설정'!B6))*'01_설정'!B15+MAX(0,(1-T985/'01_설정'!B7))*'01_설정'!B16+MAX(0,(1-U985/'01_설정'!B8))*'01_설정'!B17+O985*'01_설정'!B11+Q985*'01_설정'!B12+P985*'01_설정'!B13+IF(Z985="",0,Z985))</f>
        <v/>
      </c>
      <c r="X985" s="152">
        <f>IF(W985="","",1+COUNTIFS($W$4:$W$3003,"&gt;"&amp;W985)+COUNTIFS($W$4:W985,W985)-1)</f>
        <v/>
      </c>
      <c r="Y985" s="175">
        <f>IF(OR(I985="",'02_대상물건입력'!B19="",'02_대상물건입력'!B19&lt;=0),"",ABS(I985-'02_대상물건입력'!B19)/'02_대상물건입력'!B19)</f>
        <v/>
      </c>
      <c r="Z985" s="172">
        <f>IF(OR(Y985="",'01_설정'!B31="",'01_설정'!B31&lt;=0,'01_설정'!B32="",'01_설정'!B32&lt;=0),"",MAX(0,(1-Y985/'01_설정'!B32))*'01_설정'!B31)</f>
        <v/>
      </c>
    </row>
    <row r="986" ht="17.25" customHeight="1">
      <c r="A986" s="152">
        <f>IF(INDEX('04A_국토부원자료'!$A:$A,ROW()+1)="","",ROW()-3)</f>
        <v/>
      </c>
      <c r="B986" s="48">
        <f>IFERROR(INDEX('04A_국토부원자료'!$A:$T,ROW()+1,MATCH("시군구",'04A_국토부원자료'!$A$4:$T$4,0)),"")</f>
        <v/>
      </c>
      <c r="C986" s="48">
        <f>IF(B986="","",IFERROR(INDEX('04A_국토부원자료'!$A:$T,ROW()+1,MATCH("번지",'04A_국토부원자료'!$A$4:$T$4,0)),""))</f>
        <v/>
      </c>
      <c r="D986" s="48">
        <f>IF(B986="","",IF(Q986=1,'02_대상물건입력'!$B$8,IFERROR(INDEX('04A_국토부원자료'!$A:$T,ROW()+1,MATCH("단지명",'04A_국토부원자료'!$A$4:$T$4,0)),"")))</f>
        <v/>
      </c>
      <c r="E986" s="172">
        <f>IFERROR(VALUE(SUBSTITUTE(INDEX('04A_국토부원자료'!$A:$T,ROW()+1,MATCH("전용면적(㎡)",'04A_국토부원자료'!$A$4:$T$4,0)),",","")),"")</f>
        <v/>
      </c>
      <c r="F9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86" s="51">
        <f>IFERROR(VALUE(SUBSTITUTE(INDEX('04A_국토부원자료'!$A:$T,ROW()+1,MATCH("거래금액(만원)",'04A_국토부원자료'!$A$4:$T$4,0)),",","")),"")</f>
        <v/>
      </c>
      <c r="H986" s="174">
        <f>IF(G986="","",G986*10000)</f>
        <v/>
      </c>
      <c r="I986" s="174">
        <f>IFERROR(IF(AND(H986&gt;0,E986&gt;0),H986/E986,""),"")</f>
        <v/>
      </c>
      <c r="J986" s="152">
        <f>IFERROR(VALUE(SUBSTITUTE(INDEX('04A_국토부원자료'!$A:$T,ROW()+1,MATCH("층",'04A_국토부원자료'!$A$4:$T$4,0)),",","")),"")</f>
        <v/>
      </c>
      <c r="K986" s="152">
        <f>IFERROR(VALUE(SUBSTITUTE(INDEX('04A_국토부원자료'!$A:$T,ROW()+1,MATCH("건축년도",'04A_국토부원자료'!$A$4:$T$4,0)),",","")),"")</f>
        <v/>
      </c>
      <c r="L986" s="176">
        <f>IFERROR(INDEX('04A_국토부원자료'!$A:$T,ROW()+1,MATCH("도로명",'04A_국토부원자료'!$A$4:$T$4,0)),"")</f>
        <v/>
      </c>
      <c r="M986" s="48">
        <f>IFERROR(INDEX('04A_국토부원자료'!$A:$T,ROW()+1,MATCH("거래유형",'04A_국토부원자료'!$A$4:$T$4,0)),"")</f>
        <v/>
      </c>
      <c r="N986" s="152">
        <f>IF(B986="","",IF('02_대상물건입력'!B5="",1,IF(ISNUMBER(SEARCH('02_대상물건입력'!B5,B986)),1,0)))</f>
        <v/>
      </c>
      <c r="O986" s="152">
        <f>IF(B986="","",IF('02_대상물건입력'!B6="",1,IF(ISNUMBER(SEARCH('02_대상물건입력'!B6,B986)),1,0)))</f>
        <v/>
      </c>
      <c r="P986" s="152">
        <f>IF(L986="","",IF('02_대상물건입력'!B15="",0,IF(ISNUMBER(SEARCH('02_대상물건입력'!B15,L986)),1,0)))</f>
        <v/>
      </c>
      <c r="Q986" s="152">
        <f>IF(OR(C986="",L986=""),0,IF(AND(TRIM(C986)=TRIM(RIGHT(SUBSTITUTE(TRIM('02_대상물건입력'!$B$7)," ",REPT(" ",99)),99)),IF('02_대상물건입력'!B15="",TRUE(),ISNUMBER(SEARCH('02_대상물건입력'!B15,L986)))),1,0))</f>
        <v/>
      </c>
      <c r="R986" s="175">
        <f>IFERROR(ABS(E986-'02_대상물건입력'!B11)/'02_대상물건입력'!B11,"")</f>
        <v/>
      </c>
      <c r="S986" s="152">
        <f>IFERROR(ABS(J986-'02_대상물건입력'!B10),"")</f>
        <v/>
      </c>
      <c r="T986" s="152">
        <f>IFERROR(ABS('01_설정'!B4-F986),"")</f>
        <v/>
      </c>
      <c r="U986" s="152">
        <f>IFERROR(ABS(K986-YEAR('02_대상물건입력'!B14)),"")</f>
        <v/>
      </c>
      <c r="V986" s="152">
        <f>IF(B986="","",IF(AND(E986&gt;0,F986&gt;0,H986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986=1,TRUE()),R986&lt;='01_설정'!B5,S986&lt;='01_설정'!B6,T986&lt;='01_설정'!B7,U986&lt;='01_설정'!B8),"Y",""))</f>
        <v/>
      </c>
      <c r="W986" s="172">
        <f>IF(V986&lt;&gt;"Y","",MAX(0,(1-R986/'01_설정'!B5))*'01_설정'!B14+MAX(0,(1-S986/'01_설정'!B6))*'01_설정'!B15+MAX(0,(1-T986/'01_설정'!B7))*'01_설정'!B16+MAX(0,(1-U986/'01_설정'!B8))*'01_설정'!B17+O986*'01_설정'!B11+Q986*'01_설정'!B12+P986*'01_설정'!B13+IF(Z986="",0,Z986))</f>
        <v/>
      </c>
      <c r="X986" s="152">
        <f>IF(W986="","",1+COUNTIFS($W$4:$W$3003,"&gt;"&amp;W986)+COUNTIFS($W$4:W986,W986)-1)</f>
        <v/>
      </c>
      <c r="Y986" s="175">
        <f>IF(OR(I986="",'02_대상물건입력'!B19="",'02_대상물건입력'!B19&lt;=0),"",ABS(I986-'02_대상물건입력'!B19)/'02_대상물건입력'!B19)</f>
        <v/>
      </c>
      <c r="Z986" s="172">
        <f>IF(OR(Y986="",'01_설정'!B31="",'01_설정'!B31&lt;=0,'01_설정'!B32="",'01_설정'!B32&lt;=0),"",MAX(0,(1-Y986/'01_설정'!B32))*'01_설정'!B31)</f>
        <v/>
      </c>
    </row>
    <row r="987" ht="17.25" customHeight="1">
      <c r="A987" s="152">
        <f>IF(INDEX('04A_국토부원자료'!$A:$A,ROW()+1)="","",ROW()-3)</f>
        <v/>
      </c>
      <c r="B987" s="48">
        <f>IFERROR(INDEX('04A_국토부원자료'!$A:$T,ROW()+1,MATCH("시군구",'04A_국토부원자료'!$A$4:$T$4,0)),"")</f>
        <v/>
      </c>
      <c r="C987" s="48">
        <f>IF(B987="","",IFERROR(INDEX('04A_국토부원자료'!$A:$T,ROW()+1,MATCH("번지",'04A_국토부원자료'!$A$4:$T$4,0)),""))</f>
        <v/>
      </c>
      <c r="D987" s="48">
        <f>IF(B987="","",IF(Q987=1,'02_대상물건입력'!$B$8,IFERROR(INDEX('04A_국토부원자료'!$A:$T,ROW()+1,MATCH("단지명",'04A_국토부원자료'!$A$4:$T$4,0)),"")))</f>
        <v/>
      </c>
      <c r="E987" s="172">
        <f>IFERROR(VALUE(SUBSTITUTE(INDEX('04A_국토부원자료'!$A:$T,ROW()+1,MATCH("전용면적(㎡)",'04A_국토부원자료'!$A$4:$T$4,0)),",","")),"")</f>
        <v/>
      </c>
      <c r="F9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87" s="51">
        <f>IFERROR(VALUE(SUBSTITUTE(INDEX('04A_국토부원자료'!$A:$T,ROW()+1,MATCH("거래금액(만원)",'04A_국토부원자료'!$A$4:$T$4,0)),",","")),"")</f>
        <v/>
      </c>
      <c r="H987" s="174">
        <f>IF(G987="","",G987*10000)</f>
        <v/>
      </c>
      <c r="I987" s="174">
        <f>IFERROR(IF(AND(H987&gt;0,E987&gt;0),H987/E987,""),"")</f>
        <v/>
      </c>
      <c r="J987" s="152">
        <f>IFERROR(VALUE(SUBSTITUTE(INDEX('04A_국토부원자료'!$A:$T,ROW()+1,MATCH("층",'04A_국토부원자료'!$A$4:$T$4,0)),",","")),"")</f>
        <v/>
      </c>
      <c r="K987" s="152">
        <f>IFERROR(VALUE(SUBSTITUTE(INDEX('04A_국토부원자료'!$A:$T,ROW()+1,MATCH("건축년도",'04A_국토부원자료'!$A$4:$T$4,0)),",","")),"")</f>
        <v/>
      </c>
      <c r="L987" s="176">
        <f>IFERROR(INDEX('04A_국토부원자료'!$A:$T,ROW()+1,MATCH("도로명",'04A_국토부원자료'!$A$4:$T$4,0)),"")</f>
        <v/>
      </c>
      <c r="M987" s="48">
        <f>IFERROR(INDEX('04A_국토부원자료'!$A:$T,ROW()+1,MATCH("거래유형",'04A_국토부원자료'!$A$4:$T$4,0)),"")</f>
        <v/>
      </c>
      <c r="N987" s="152">
        <f>IF(B987="","",IF('02_대상물건입력'!B5="",1,IF(ISNUMBER(SEARCH('02_대상물건입력'!B5,B987)),1,0)))</f>
        <v/>
      </c>
      <c r="O987" s="152">
        <f>IF(B987="","",IF('02_대상물건입력'!B6="",1,IF(ISNUMBER(SEARCH('02_대상물건입력'!B6,B987)),1,0)))</f>
        <v/>
      </c>
      <c r="P987" s="152">
        <f>IF(L987="","",IF('02_대상물건입력'!B15="",0,IF(ISNUMBER(SEARCH('02_대상물건입력'!B15,L987)),1,0)))</f>
        <v/>
      </c>
      <c r="Q987" s="152">
        <f>IF(OR(C987="",L987=""),0,IF(AND(TRIM(C987)=TRIM(RIGHT(SUBSTITUTE(TRIM('02_대상물건입력'!$B$7)," ",REPT(" ",99)),99)),IF('02_대상물건입력'!B15="",TRUE(),ISNUMBER(SEARCH('02_대상물건입력'!B15,L987)))),1,0))</f>
        <v/>
      </c>
      <c r="R987" s="175">
        <f>IFERROR(ABS(E987-'02_대상물건입력'!B11)/'02_대상물건입력'!B11,"")</f>
        <v/>
      </c>
      <c r="S987" s="152">
        <f>IFERROR(ABS(J987-'02_대상물건입력'!B10),"")</f>
        <v/>
      </c>
      <c r="T987" s="152">
        <f>IFERROR(ABS('01_설정'!B4-F987),"")</f>
        <v/>
      </c>
      <c r="U987" s="152">
        <f>IFERROR(ABS(K987-YEAR('02_대상물건입력'!B14)),"")</f>
        <v/>
      </c>
      <c r="V987" s="152">
        <f>IF(B987="","",IF(AND(E987&gt;0,F987&gt;0,H987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987=1,TRUE()),R987&lt;='01_설정'!B5,S987&lt;='01_설정'!B6,T987&lt;='01_설정'!B7,U987&lt;='01_설정'!B8),"Y",""))</f>
        <v/>
      </c>
      <c r="W987" s="172">
        <f>IF(V987&lt;&gt;"Y","",MAX(0,(1-R987/'01_설정'!B5))*'01_설정'!B14+MAX(0,(1-S987/'01_설정'!B6))*'01_설정'!B15+MAX(0,(1-T987/'01_설정'!B7))*'01_설정'!B16+MAX(0,(1-U987/'01_설정'!B8))*'01_설정'!B17+O987*'01_설정'!B11+Q987*'01_설정'!B12+P987*'01_설정'!B13+IF(Z987="",0,Z987))</f>
        <v/>
      </c>
      <c r="X987" s="152">
        <f>IF(W987="","",1+COUNTIFS($W$4:$W$3003,"&gt;"&amp;W987)+COUNTIFS($W$4:W987,W987)-1)</f>
        <v/>
      </c>
      <c r="Y987" s="175">
        <f>IF(OR(I987="",'02_대상물건입력'!B19="",'02_대상물건입력'!B19&lt;=0),"",ABS(I987-'02_대상물건입력'!B19)/'02_대상물건입력'!B19)</f>
        <v/>
      </c>
      <c r="Z987" s="172">
        <f>IF(OR(Y987="",'01_설정'!B31="",'01_설정'!B31&lt;=0,'01_설정'!B32="",'01_설정'!B32&lt;=0),"",MAX(0,(1-Y987/'01_설정'!B32))*'01_설정'!B31)</f>
        <v/>
      </c>
    </row>
    <row r="988" ht="17.25" customHeight="1">
      <c r="A988" s="152">
        <f>IF(INDEX('04A_국토부원자료'!$A:$A,ROW()+1)="","",ROW()-3)</f>
        <v/>
      </c>
      <c r="B988" s="48">
        <f>IFERROR(INDEX('04A_국토부원자료'!$A:$T,ROW()+1,MATCH("시군구",'04A_국토부원자료'!$A$4:$T$4,0)),"")</f>
        <v/>
      </c>
      <c r="C988" s="48">
        <f>IF(B988="","",IFERROR(INDEX('04A_국토부원자료'!$A:$T,ROW()+1,MATCH("번지",'04A_국토부원자료'!$A$4:$T$4,0)),""))</f>
        <v/>
      </c>
      <c r="D988" s="48">
        <f>IF(B988="","",IF(Q988=1,'02_대상물건입력'!$B$8,IFERROR(INDEX('04A_국토부원자료'!$A:$T,ROW()+1,MATCH("단지명",'04A_국토부원자료'!$A$4:$T$4,0)),"")))</f>
        <v/>
      </c>
      <c r="E988" s="172">
        <f>IFERROR(VALUE(SUBSTITUTE(INDEX('04A_국토부원자료'!$A:$T,ROW()+1,MATCH("전용면적(㎡)",'04A_국토부원자료'!$A$4:$T$4,0)),",","")),"")</f>
        <v/>
      </c>
      <c r="F9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88" s="51">
        <f>IFERROR(VALUE(SUBSTITUTE(INDEX('04A_국토부원자료'!$A:$T,ROW()+1,MATCH("거래금액(만원)",'04A_국토부원자료'!$A$4:$T$4,0)),",","")),"")</f>
        <v/>
      </c>
      <c r="H988" s="174">
        <f>IF(G988="","",G988*10000)</f>
        <v/>
      </c>
      <c r="I988" s="174">
        <f>IFERROR(IF(AND(H988&gt;0,E988&gt;0),H988/E988,""),"")</f>
        <v/>
      </c>
      <c r="J988" s="152">
        <f>IFERROR(VALUE(SUBSTITUTE(INDEX('04A_국토부원자료'!$A:$T,ROW()+1,MATCH("층",'04A_국토부원자료'!$A$4:$T$4,0)),",","")),"")</f>
        <v/>
      </c>
      <c r="K988" s="152">
        <f>IFERROR(VALUE(SUBSTITUTE(INDEX('04A_국토부원자료'!$A:$T,ROW()+1,MATCH("건축년도",'04A_국토부원자료'!$A$4:$T$4,0)),",","")),"")</f>
        <v/>
      </c>
      <c r="L988" s="176">
        <f>IFERROR(INDEX('04A_국토부원자료'!$A:$T,ROW()+1,MATCH("도로명",'04A_국토부원자료'!$A$4:$T$4,0)),"")</f>
        <v/>
      </c>
      <c r="M988" s="48">
        <f>IFERROR(INDEX('04A_국토부원자료'!$A:$T,ROW()+1,MATCH("거래유형",'04A_국토부원자료'!$A$4:$T$4,0)),"")</f>
        <v/>
      </c>
      <c r="N988" s="152">
        <f>IF(B988="","",IF('02_대상물건입력'!B5="",1,IF(ISNUMBER(SEARCH('02_대상물건입력'!B5,B988)),1,0)))</f>
        <v/>
      </c>
      <c r="O988" s="152">
        <f>IF(B988="","",IF('02_대상물건입력'!B6="",1,IF(ISNUMBER(SEARCH('02_대상물건입력'!B6,B988)),1,0)))</f>
        <v/>
      </c>
      <c r="P988" s="152">
        <f>IF(L988="","",IF('02_대상물건입력'!B15="",0,IF(ISNUMBER(SEARCH('02_대상물건입력'!B15,L988)),1,0)))</f>
        <v/>
      </c>
      <c r="Q988" s="152">
        <f>IF(OR(C988="",L988=""),0,IF(AND(TRIM(C988)=TRIM(RIGHT(SUBSTITUTE(TRIM('02_대상물건입력'!$B$7)," ",REPT(" ",99)),99)),IF('02_대상물건입력'!B15="",TRUE(),ISNUMBER(SEARCH('02_대상물건입력'!B15,L988)))),1,0))</f>
        <v/>
      </c>
      <c r="R988" s="175">
        <f>IFERROR(ABS(E988-'02_대상물건입력'!B11)/'02_대상물건입력'!B11,"")</f>
        <v/>
      </c>
      <c r="S988" s="152">
        <f>IFERROR(ABS(J988-'02_대상물건입력'!B10),"")</f>
        <v/>
      </c>
      <c r="T988" s="152">
        <f>IFERROR(ABS('01_설정'!B4-F988),"")</f>
        <v/>
      </c>
      <c r="U988" s="152">
        <f>IFERROR(ABS(K988-YEAR('02_대상물건입력'!B14)),"")</f>
        <v/>
      </c>
      <c r="V988" s="152">
        <f>IF(B988="","",IF(AND(E988&gt;0,F988&gt;0,H988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988=1,TRUE()),R988&lt;='01_설정'!B5,S988&lt;='01_설정'!B6,T988&lt;='01_설정'!B7,U988&lt;='01_설정'!B8),"Y",""))</f>
        <v/>
      </c>
      <c r="W988" s="172">
        <f>IF(V988&lt;&gt;"Y","",MAX(0,(1-R988/'01_설정'!B5))*'01_설정'!B14+MAX(0,(1-S988/'01_설정'!B6))*'01_설정'!B15+MAX(0,(1-T988/'01_설정'!B7))*'01_설정'!B16+MAX(0,(1-U988/'01_설정'!B8))*'01_설정'!B17+O988*'01_설정'!B11+Q988*'01_설정'!B12+P988*'01_설정'!B13+IF(Z988="",0,Z988))</f>
        <v/>
      </c>
      <c r="X988" s="152">
        <f>IF(W988="","",1+COUNTIFS($W$4:$W$3003,"&gt;"&amp;W988)+COUNTIFS($W$4:W988,W988)-1)</f>
        <v/>
      </c>
      <c r="Y988" s="175">
        <f>IF(OR(I988="",'02_대상물건입력'!B19="",'02_대상물건입력'!B19&lt;=0),"",ABS(I988-'02_대상물건입력'!B19)/'02_대상물건입력'!B19)</f>
        <v/>
      </c>
      <c r="Z988" s="172">
        <f>IF(OR(Y988="",'01_설정'!B31="",'01_설정'!B31&lt;=0,'01_설정'!B32="",'01_설정'!B32&lt;=0),"",MAX(0,(1-Y988/'01_설정'!B32))*'01_설정'!B31)</f>
        <v/>
      </c>
    </row>
    <row r="989" ht="17.25" customHeight="1">
      <c r="A989" s="152">
        <f>IF(INDEX('04A_국토부원자료'!$A:$A,ROW()+1)="","",ROW()-3)</f>
        <v/>
      </c>
      <c r="B989" s="48">
        <f>IFERROR(INDEX('04A_국토부원자료'!$A:$T,ROW()+1,MATCH("시군구",'04A_국토부원자료'!$A$4:$T$4,0)),"")</f>
        <v/>
      </c>
      <c r="C989" s="48">
        <f>IF(B989="","",IFERROR(INDEX('04A_국토부원자료'!$A:$T,ROW()+1,MATCH("번지",'04A_국토부원자료'!$A$4:$T$4,0)),""))</f>
        <v/>
      </c>
      <c r="D989" s="48">
        <f>IF(B989="","",IF(Q989=1,'02_대상물건입력'!$B$8,IFERROR(INDEX('04A_국토부원자료'!$A:$T,ROW()+1,MATCH("단지명",'04A_국토부원자료'!$A$4:$T$4,0)),"")))</f>
        <v/>
      </c>
      <c r="E989" s="172">
        <f>IFERROR(VALUE(SUBSTITUTE(INDEX('04A_국토부원자료'!$A:$T,ROW()+1,MATCH("전용면적(㎡)",'04A_국토부원자료'!$A$4:$T$4,0)),",","")),"")</f>
        <v/>
      </c>
      <c r="F9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89" s="51">
        <f>IFERROR(VALUE(SUBSTITUTE(INDEX('04A_국토부원자료'!$A:$T,ROW()+1,MATCH("거래금액(만원)",'04A_국토부원자료'!$A$4:$T$4,0)),",","")),"")</f>
        <v/>
      </c>
      <c r="H989" s="174">
        <f>IF(G989="","",G989*10000)</f>
        <v/>
      </c>
      <c r="I989" s="174">
        <f>IFERROR(IF(AND(H989&gt;0,E989&gt;0),H989/E989,""),"")</f>
        <v/>
      </c>
      <c r="J989" s="152">
        <f>IFERROR(VALUE(SUBSTITUTE(INDEX('04A_국토부원자료'!$A:$T,ROW()+1,MATCH("층",'04A_국토부원자료'!$A$4:$T$4,0)),",","")),"")</f>
        <v/>
      </c>
      <c r="K989" s="152">
        <f>IFERROR(VALUE(SUBSTITUTE(INDEX('04A_국토부원자료'!$A:$T,ROW()+1,MATCH("건축년도",'04A_국토부원자료'!$A$4:$T$4,0)),",","")),"")</f>
        <v/>
      </c>
      <c r="L989" s="176">
        <f>IFERROR(INDEX('04A_국토부원자료'!$A:$T,ROW()+1,MATCH("도로명",'04A_국토부원자료'!$A$4:$T$4,0)),"")</f>
        <v/>
      </c>
      <c r="M989" s="48">
        <f>IFERROR(INDEX('04A_국토부원자료'!$A:$T,ROW()+1,MATCH("거래유형",'04A_국토부원자료'!$A$4:$T$4,0)),"")</f>
        <v/>
      </c>
      <c r="N989" s="152">
        <f>IF(B989="","",IF('02_대상물건입력'!B5="",1,IF(ISNUMBER(SEARCH('02_대상물건입력'!B5,B989)),1,0)))</f>
        <v/>
      </c>
      <c r="O989" s="152">
        <f>IF(B989="","",IF('02_대상물건입력'!B6="",1,IF(ISNUMBER(SEARCH('02_대상물건입력'!B6,B989)),1,0)))</f>
        <v/>
      </c>
      <c r="P989" s="152">
        <f>IF(L989="","",IF('02_대상물건입력'!B15="",0,IF(ISNUMBER(SEARCH('02_대상물건입력'!B15,L989)),1,0)))</f>
        <v/>
      </c>
      <c r="Q989" s="152">
        <f>IF(OR(C989="",L989=""),0,IF(AND(TRIM(C989)=TRIM(RIGHT(SUBSTITUTE(TRIM('02_대상물건입력'!$B$7)," ",REPT(" ",99)),99)),IF('02_대상물건입력'!B15="",TRUE(),ISNUMBER(SEARCH('02_대상물건입력'!B15,L989)))),1,0))</f>
        <v/>
      </c>
      <c r="R989" s="175">
        <f>IFERROR(ABS(E989-'02_대상물건입력'!B11)/'02_대상물건입력'!B11,"")</f>
        <v/>
      </c>
      <c r="S989" s="152">
        <f>IFERROR(ABS(J989-'02_대상물건입력'!B10),"")</f>
        <v/>
      </c>
      <c r="T989" s="152">
        <f>IFERROR(ABS('01_설정'!B4-F989),"")</f>
        <v/>
      </c>
      <c r="U989" s="152">
        <f>IFERROR(ABS(K989-YEAR('02_대상물건입력'!B14)),"")</f>
        <v/>
      </c>
      <c r="V989" s="152">
        <f>IF(B989="","",IF(AND(E989&gt;0,F989&gt;0,H989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989=1,TRUE()),R989&lt;='01_설정'!B5,S989&lt;='01_설정'!B6,T989&lt;='01_설정'!B7,U989&lt;='01_설정'!B8),"Y",""))</f>
        <v/>
      </c>
      <c r="W989" s="172">
        <f>IF(V989&lt;&gt;"Y","",MAX(0,(1-R989/'01_설정'!B5))*'01_설정'!B14+MAX(0,(1-S989/'01_설정'!B6))*'01_설정'!B15+MAX(0,(1-T989/'01_설정'!B7))*'01_설정'!B16+MAX(0,(1-U989/'01_설정'!B8))*'01_설정'!B17+O989*'01_설정'!B11+Q989*'01_설정'!B12+P989*'01_설정'!B13+IF(Z989="",0,Z989))</f>
        <v/>
      </c>
      <c r="X989" s="152">
        <f>IF(W989="","",1+COUNTIFS($W$4:$W$3003,"&gt;"&amp;W989)+COUNTIFS($W$4:W989,W989)-1)</f>
        <v/>
      </c>
      <c r="Y989" s="175">
        <f>IF(OR(I989="",'02_대상물건입력'!B19="",'02_대상물건입력'!B19&lt;=0),"",ABS(I989-'02_대상물건입력'!B19)/'02_대상물건입력'!B19)</f>
        <v/>
      </c>
      <c r="Z989" s="172">
        <f>IF(OR(Y989="",'01_설정'!B31="",'01_설정'!B31&lt;=0,'01_설정'!B32="",'01_설정'!B32&lt;=0),"",MAX(0,(1-Y989/'01_설정'!B32))*'01_설정'!B31)</f>
        <v/>
      </c>
    </row>
    <row r="990" ht="17.25" customHeight="1">
      <c r="A990" s="152">
        <f>IF(INDEX('04A_국토부원자료'!$A:$A,ROW()+1)="","",ROW()-3)</f>
        <v/>
      </c>
      <c r="B990" s="48">
        <f>IFERROR(INDEX('04A_국토부원자료'!$A:$T,ROW()+1,MATCH("시군구",'04A_국토부원자료'!$A$4:$T$4,0)),"")</f>
        <v/>
      </c>
      <c r="C990" s="48">
        <f>IF(B990="","",IFERROR(INDEX('04A_국토부원자료'!$A:$T,ROW()+1,MATCH("번지",'04A_국토부원자료'!$A$4:$T$4,0)),""))</f>
        <v/>
      </c>
      <c r="D990" s="48">
        <f>IF(B990="","",IF(Q990=1,'02_대상물건입력'!$B$8,IFERROR(INDEX('04A_국토부원자료'!$A:$T,ROW()+1,MATCH("단지명",'04A_국토부원자료'!$A$4:$T$4,0)),"")))</f>
        <v/>
      </c>
      <c r="E990" s="172">
        <f>IFERROR(VALUE(SUBSTITUTE(INDEX('04A_국토부원자료'!$A:$T,ROW()+1,MATCH("전용면적(㎡)",'04A_국토부원자료'!$A$4:$T$4,0)),",","")),"")</f>
        <v/>
      </c>
      <c r="F9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90" s="51">
        <f>IFERROR(VALUE(SUBSTITUTE(INDEX('04A_국토부원자료'!$A:$T,ROW()+1,MATCH("거래금액(만원)",'04A_국토부원자료'!$A$4:$T$4,0)),",","")),"")</f>
        <v/>
      </c>
      <c r="H990" s="174">
        <f>IF(G990="","",G990*10000)</f>
        <v/>
      </c>
      <c r="I990" s="174">
        <f>IFERROR(IF(AND(H990&gt;0,E990&gt;0),H990/E990,""),"")</f>
        <v/>
      </c>
      <c r="J990" s="152">
        <f>IFERROR(VALUE(SUBSTITUTE(INDEX('04A_국토부원자료'!$A:$T,ROW()+1,MATCH("층",'04A_국토부원자료'!$A$4:$T$4,0)),",","")),"")</f>
        <v/>
      </c>
      <c r="K990" s="152">
        <f>IFERROR(VALUE(SUBSTITUTE(INDEX('04A_국토부원자료'!$A:$T,ROW()+1,MATCH("건축년도",'04A_국토부원자료'!$A$4:$T$4,0)),",","")),"")</f>
        <v/>
      </c>
      <c r="L990" s="176">
        <f>IFERROR(INDEX('04A_국토부원자료'!$A:$T,ROW()+1,MATCH("도로명",'04A_국토부원자료'!$A$4:$T$4,0)),"")</f>
        <v/>
      </c>
      <c r="M990" s="48">
        <f>IFERROR(INDEX('04A_국토부원자료'!$A:$T,ROW()+1,MATCH("거래유형",'04A_국토부원자료'!$A$4:$T$4,0)),"")</f>
        <v/>
      </c>
      <c r="N990" s="152">
        <f>IF(B990="","",IF('02_대상물건입력'!B5="",1,IF(ISNUMBER(SEARCH('02_대상물건입력'!B5,B990)),1,0)))</f>
        <v/>
      </c>
      <c r="O990" s="152">
        <f>IF(B990="","",IF('02_대상물건입력'!B6="",1,IF(ISNUMBER(SEARCH('02_대상물건입력'!B6,B990)),1,0)))</f>
        <v/>
      </c>
      <c r="P990" s="152">
        <f>IF(L990="","",IF('02_대상물건입력'!B15="",0,IF(ISNUMBER(SEARCH('02_대상물건입력'!B15,L990)),1,0)))</f>
        <v/>
      </c>
      <c r="Q990" s="152">
        <f>IF(OR(C990="",L990=""),0,IF(AND(TRIM(C990)=TRIM(RIGHT(SUBSTITUTE(TRIM('02_대상물건입력'!$B$7)," ",REPT(" ",99)),99)),IF('02_대상물건입력'!B15="",TRUE(),ISNUMBER(SEARCH('02_대상물건입력'!B15,L990)))),1,0))</f>
        <v/>
      </c>
      <c r="R990" s="175">
        <f>IFERROR(ABS(E990-'02_대상물건입력'!B11)/'02_대상물건입력'!B11,"")</f>
        <v/>
      </c>
      <c r="S990" s="152">
        <f>IFERROR(ABS(J990-'02_대상물건입력'!B10),"")</f>
        <v/>
      </c>
      <c r="T990" s="152">
        <f>IFERROR(ABS('01_설정'!B4-F990),"")</f>
        <v/>
      </c>
      <c r="U990" s="152">
        <f>IFERROR(ABS(K990-YEAR('02_대상물건입력'!B14)),"")</f>
        <v/>
      </c>
      <c r="V990" s="152">
        <f>IF(B990="","",IF(AND(E990&gt;0,F990&gt;0,H990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990=1,TRUE()),R990&lt;='01_설정'!B5,S990&lt;='01_설정'!B6,T990&lt;='01_설정'!B7,U990&lt;='01_설정'!B8),"Y",""))</f>
        <v/>
      </c>
      <c r="W990" s="172">
        <f>IF(V990&lt;&gt;"Y","",MAX(0,(1-R990/'01_설정'!B5))*'01_설정'!B14+MAX(0,(1-S990/'01_설정'!B6))*'01_설정'!B15+MAX(0,(1-T990/'01_설정'!B7))*'01_설정'!B16+MAX(0,(1-U990/'01_설정'!B8))*'01_설정'!B17+O990*'01_설정'!B11+Q990*'01_설정'!B12+P990*'01_설정'!B13+IF(Z990="",0,Z990))</f>
        <v/>
      </c>
      <c r="X990" s="152">
        <f>IF(W990="","",1+COUNTIFS($W$4:$W$3003,"&gt;"&amp;W990)+COUNTIFS($W$4:W990,W990)-1)</f>
        <v/>
      </c>
      <c r="Y990" s="175">
        <f>IF(OR(I990="",'02_대상물건입력'!B19="",'02_대상물건입력'!B19&lt;=0),"",ABS(I990-'02_대상물건입력'!B19)/'02_대상물건입력'!B19)</f>
        <v/>
      </c>
      <c r="Z990" s="172">
        <f>IF(OR(Y990="",'01_설정'!B31="",'01_설정'!B31&lt;=0,'01_설정'!B32="",'01_설정'!B32&lt;=0),"",MAX(0,(1-Y990/'01_설정'!B32))*'01_설정'!B31)</f>
        <v/>
      </c>
    </row>
    <row r="991" ht="17.25" customHeight="1">
      <c r="A991" s="152">
        <f>IF(INDEX('04A_국토부원자료'!$A:$A,ROW()+1)="","",ROW()-3)</f>
        <v/>
      </c>
      <c r="B991" s="48">
        <f>IFERROR(INDEX('04A_국토부원자료'!$A:$T,ROW()+1,MATCH("시군구",'04A_국토부원자료'!$A$4:$T$4,0)),"")</f>
        <v/>
      </c>
      <c r="C991" s="48">
        <f>IF(B991="","",IFERROR(INDEX('04A_국토부원자료'!$A:$T,ROW()+1,MATCH("번지",'04A_국토부원자료'!$A$4:$T$4,0)),""))</f>
        <v/>
      </c>
      <c r="D991" s="48">
        <f>IF(B991="","",IF(Q991=1,'02_대상물건입력'!$B$8,IFERROR(INDEX('04A_국토부원자료'!$A:$T,ROW()+1,MATCH("단지명",'04A_국토부원자료'!$A$4:$T$4,0)),"")))</f>
        <v/>
      </c>
      <c r="E991" s="172">
        <f>IFERROR(VALUE(SUBSTITUTE(INDEX('04A_국토부원자료'!$A:$T,ROW()+1,MATCH("전용면적(㎡)",'04A_국토부원자료'!$A$4:$T$4,0)),",","")),"")</f>
        <v/>
      </c>
      <c r="F9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91" s="51">
        <f>IFERROR(VALUE(SUBSTITUTE(INDEX('04A_국토부원자료'!$A:$T,ROW()+1,MATCH("거래금액(만원)",'04A_국토부원자료'!$A$4:$T$4,0)),",","")),"")</f>
        <v/>
      </c>
      <c r="H991" s="174">
        <f>IF(G991="","",G991*10000)</f>
        <v/>
      </c>
      <c r="I991" s="174">
        <f>IFERROR(IF(AND(H991&gt;0,E991&gt;0),H991/E991,""),"")</f>
        <v/>
      </c>
      <c r="J991" s="152">
        <f>IFERROR(VALUE(SUBSTITUTE(INDEX('04A_국토부원자료'!$A:$T,ROW()+1,MATCH("층",'04A_국토부원자료'!$A$4:$T$4,0)),",","")),"")</f>
        <v/>
      </c>
      <c r="K991" s="152">
        <f>IFERROR(VALUE(SUBSTITUTE(INDEX('04A_국토부원자료'!$A:$T,ROW()+1,MATCH("건축년도",'04A_국토부원자료'!$A$4:$T$4,0)),",","")),"")</f>
        <v/>
      </c>
      <c r="L991" s="176">
        <f>IFERROR(INDEX('04A_국토부원자료'!$A:$T,ROW()+1,MATCH("도로명",'04A_국토부원자료'!$A$4:$T$4,0)),"")</f>
        <v/>
      </c>
      <c r="M991" s="48">
        <f>IFERROR(INDEX('04A_국토부원자료'!$A:$T,ROW()+1,MATCH("거래유형",'04A_국토부원자료'!$A$4:$T$4,0)),"")</f>
        <v/>
      </c>
      <c r="N991" s="152">
        <f>IF(B991="","",IF('02_대상물건입력'!B5="",1,IF(ISNUMBER(SEARCH('02_대상물건입력'!B5,B991)),1,0)))</f>
        <v/>
      </c>
      <c r="O991" s="152">
        <f>IF(B991="","",IF('02_대상물건입력'!B6="",1,IF(ISNUMBER(SEARCH('02_대상물건입력'!B6,B991)),1,0)))</f>
        <v/>
      </c>
      <c r="P991" s="152">
        <f>IF(L991="","",IF('02_대상물건입력'!B15="",0,IF(ISNUMBER(SEARCH('02_대상물건입력'!B15,L991)),1,0)))</f>
        <v/>
      </c>
      <c r="Q991" s="152">
        <f>IF(OR(C991="",L991=""),0,IF(AND(TRIM(C991)=TRIM(RIGHT(SUBSTITUTE(TRIM('02_대상물건입력'!$B$7)," ",REPT(" ",99)),99)),IF('02_대상물건입력'!B15="",TRUE(),ISNUMBER(SEARCH('02_대상물건입력'!B15,L991)))),1,0))</f>
        <v/>
      </c>
      <c r="R991" s="175">
        <f>IFERROR(ABS(E991-'02_대상물건입력'!B11)/'02_대상물건입력'!B11,"")</f>
        <v/>
      </c>
      <c r="S991" s="152">
        <f>IFERROR(ABS(J991-'02_대상물건입력'!B10),"")</f>
        <v/>
      </c>
      <c r="T991" s="152">
        <f>IFERROR(ABS('01_설정'!B4-F991),"")</f>
        <v/>
      </c>
      <c r="U991" s="152">
        <f>IFERROR(ABS(K991-YEAR('02_대상물건입력'!B14)),"")</f>
        <v/>
      </c>
      <c r="V991" s="152">
        <f>IF(B991="","",IF(AND(E991&gt;0,F991&gt;0,H991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991=1,TRUE()),R991&lt;='01_설정'!B5,S991&lt;='01_설정'!B6,T991&lt;='01_설정'!B7,U991&lt;='01_설정'!B8),"Y",""))</f>
        <v/>
      </c>
      <c r="W991" s="172">
        <f>IF(V991&lt;&gt;"Y","",MAX(0,(1-R991/'01_설정'!B5))*'01_설정'!B14+MAX(0,(1-S991/'01_설정'!B6))*'01_설정'!B15+MAX(0,(1-T991/'01_설정'!B7))*'01_설정'!B16+MAX(0,(1-U991/'01_설정'!B8))*'01_설정'!B17+O991*'01_설정'!B11+Q991*'01_설정'!B12+P991*'01_설정'!B13+IF(Z991="",0,Z991))</f>
        <v/>
      </c>
      <c r="X991" s="152">
        <f>IF(W991="","",1+COUNTIFS($W$4:$W$3003,"&gt;"&amp;W991)+COUNTIFS($W$4:W991,W991)-1)</f>
        <v/>
      </c>
      <c r="Y991" s="175">
        <f>IF(OR(I991="",'02_대상물건입력'!B19="",'02_대상물건입력'!B19&lt;=0),"",ABS(I991-'02_대상물건입력'!B19)/'02_대상물건입력'!B19)</f>
        <v/>
      </c>
      <c r="Z991" s="172">
        <f>IF(OR(Y991="",'01_설정'!B31="",'01_설정'!B31&lt;=0,'01_설정'!B32="",'01_설정'!B32&lt;=0),"",MAX(0,(1-Y991/'01_설정'!B32))*'01_설정'!B31)</f>
        <v/>
      </c>
    </row>
    <row r="992" ht="17.25" customHeight="1">
      <c r="A992" s="152">
        <f>IF(INDEX('04A_국토부원자료'!$A:$A,ROW()+1)="","",ROW()-3)</f>
        <v/>
      </c>
      <c r="B992" s="48">
        <f>IFERROR(INDEX('04A_국토부원자료'!$A:$T,ROW()+1,MATCH("시군구",'04A_국토부원자료'!$A$4:$T$4,0)),"")</f>
        <v/>
      </c>
      <c r="C992" s="48">
        <f>IF(B992="","",IFERROR(INDEX('04A_국토부원자료'!$A:$T,ROW()+1,MATCH("번지",'04A_국토부원자료'!$A$4:$T$4,0)),""))</f>
        <v/>
      </c>
      <c r="D992" s="48">
        <f>IF(B992="","",IF(Q992=1,'02_대상물건입력'!$B$8,IFERROR(INDEX('04A_국토부원자료'!$A:$T,ROW()+1,MATCH("단지명",'04A_국토부원자료'!$A$4:$T$4,0)),"")))</f>
        <v/>
      </c>
      <c r="E992" s="172">
        <f>IFERROR(VALUE(SUBSTITUTE(INDEX('04A_국토부원자료'!$A:$T,ROW()+1,MATCH("전용면적(㎡)",'04A_국토부원자료'!$A$4:$T$4,0)),",","")),"")</f>
        <v/>
      </c>
      <c r="F9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92" s="51">
        <f>IFERROR(VALUE(SUBSTITUTE(INDEX('04A_국토부원자료'!$A:$T,ROW()+1,MATCH("거래금액(만원)",'04A_국토부원자료'!$A$4:$T$4,0)),",","")),"")</f>
        <v/>
      </c>
      <c r="H992" s="174">
        <f>IF(G992="","",G992*10000)</f>
        <v/>
      </c>
      <c r="I992" s="174">
        <f>IFERROR(IF(AND(H992&gt;0,E992&gt;0),H992/E992,""),"")</f>
        <v/>
      </c>
      <c r="J992" s="152">
        <f>IFERROR(VALUE(SUBSTITUTE(INDEX('04A_국토부원자료'!$A:$T,ROW()+1,MATCH("층",'04A_국토부원자료'!$A$4:$T$4,0)),",","")),"")</f>
        <v/>
      </c>
      <c r="K992" s="152">
        <f>IFERROR(VALUE(SUBSTITUTE(INDEX('04A_국토부원자료'!$A:$T,ROW()+1,MATCH("건축년도",'04A_국토부원자료'!$A$4:$T$4,0)),",","")),"")</f>
        <v/>
      </c>
      <c r="L992" s="176">
        <f>IFERROR(INDEX('04A_국토부원자료'!$A:$T,ROW()+1,MATCH("도로명",'04A_국토부원자료'!$A$4:$T$4,0)),"")</f>
        <v/>
      </c>
      <c r="M992" s="48">
        <f>IFERROR(INDEX('04A_국토부원자료'!$A:$T,ROW()+1,MATCH("거래유형",'04A_국토부원자료'!$A$4:$T$4,0)),"")</f>
        <v/>
      </c>
      <c r="N992" s="152">
        <f>IF(B992="","",IF('02_대상물건입력'!B5="",1,IF(ISNUMBER(SEARCH('02_대상물건입력'!B5,B992)),1,0)))</f>
        <v/>
      </c>
      <c r="O992" s="152">
        <f>IF(B992="","",IF('02_대상물건입력'!B6="",1,IF(ISNUMBER(SEARCH('02_대상물건입력'!B6,B992)),1,0)))</f>
        <v/>
      </c>
      <c r="P992" s="152">
        <f>IF(L992="","",IF('02_대상물건입력'!B15="",0,IF(ISNUMBER(SEARCH('02_대상물건입력'!B15,L992)),1,0)))</f>
        <v/>
      </c>
      <c r="Q992" s="152">
        <f>IF(OR(C992="",L992=""),0,IF(AND(TRIM(C992)=TRIM(RIGHT(SUBSTITUTE(TRIM('02_대상물건입력'!$B$7)," ",REPT(" ",99)),99)),IF('02_대상물건입력'!B15="",TRUE(),ISNUMBER(SEARCH('02_대상물건입력'!B15,L992)))),1,0))</f>
        <v/>
      </c>
      <c r="R992" s="175">
        <f>IFERROR(ABS(E992-'02_대상물건입력'!B11)/'02_대상물건입력'!B11,"")</f>
        <v/>
      </c>
      <c r="S992" s="152">
        <f>IFERROR(ABS(J992-'02_대상물건입력'!B10),"")</f>
        <v/>
      </c>
      <c r="T992" s="152">
        <f>IFERROR(ABS('01_설정'!B4-F992),"")</f>
        <v/>
      </c>
      <c r="U992" s="152">
        <f>IFERROR(ABS(K992-YEAR('02_대상물건입력'!B14)),"")</f>
        <v/>
      </c>
      <c r="V992" s="152">
        <f>IF(B992="","",IF(AND(E992&gt;0,F992&gt;0,H992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992=1,TRUE()),R992&lt;='01_설정'!B5,S992&lt;='01_설정'!B6,T992&lt;='01_설정'!B7,U992&lt;='01_설정'!B8),"Y",""))</f>
        <v/>
      </c>
      <c r="W992" s="172">
        <f>IF(V992&lt;&gt;"Y","",MAX(0,(1-R992/'01_설정'!B5))*'01_설정'!B14+MAX(0,(1-S992/'01_설정'!B6))*'01_설정'!B15+MAX(0,(1-T992/'01_설정'!B7))*'01_설정'!B16+MAX(0,(1-U992/'01_설정'!B8))*'01_설정'!B17+O992*'01_설정'!B11+Q992*'01_설정'!B12+P992*'01_설정'!B13+IF(Z992="",0,Z992))</f>
        <v/>
      </c>
      <c r="X992" s="152">
        <f>IF(W992="","",1+COUNTIFS($W$4:$W$3003,"&gt;"&amp;W992)+COUNTIFS($W$4:W992,W992)-1)</f>
        <v/>
      </c>
      <c r="Y992" s="175">
        <f>IF(OR(I992="",'02_대상물건입력'!B19="",'02_대상물건입력'!B19&lt;=0),"",ABS(I992-'02_대상물건입력'!B19)/'02_대상물건입력'!B19)</f>
        <v/>
      </c>
      <c r="Z992" s="172">
        <f>IF(OR(Y992="",'01_설정'!B31="",'01_설정'!B31&lt;=0,'01_설정'!B32="",'01_설정'!B32&lt;=0),"",MAX(0,(1-Y992/'01_설정'!B32))*'01_설정'!B31)</f>
        <v/>
      </c>
    </row>
    <row r="993" ht="17.25" customHeight="1">
      <c r="A993" s="152">
        <f>IF(INDEX('04A_국토부원자료'!$A:$A,ROW()+1)="","",ROW()-3)</f>
        <v/>
      </c>
      <c r="B993" s="48">
        <f>IFERROR(INDEX('04A_국토부원자료'!$A:$T,ROW()+1,MATCH("시군구",'04A_국토부원자료'!$A$4:$T$4,0)),"")</f>
        <v/>
      </c>
      <c r="C993" s="48">
        <f>IF(B993="","",IFERROR(INDEX('04A_국토부원자료'!$A:$T,ROW()+1,MATCH("번지",'04A_국토부원자료'!$A$4:$T$4,0)),""))</f>
        <v/>
      </c>
      <c r="D993" s="48">
        <f>IF(B993="","",IF(Q993=1,'02_대상물건입력'!$B$8,IFERROR(INDEX('04A_국토부원자료'!$A:$T,ROW()+1,MATCH("단지명",'04A_국토부원자료'!$A$4:$T$4,0)),"")))</f>
        <v/>
      </c>
      <c r="E993" s="172">
        <f>IFERROR(VALUE(SUBSTITUTE(INDEX('04A_국토부원자료'!$A:$T,ROW()+1,MATCH("전용면적(㎡)",'04A_국토부원자료'!$A$4:$T$4,0)),",","")),"")</f>
        <v/>
      </c>
      <c r="F9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93" s="51">
        <f>IFERROR(VALUE(SUBSTITUTE(INDEX('04A_국토부원자료'!$A:$T,ROW()+1,MATCH("거래금액(만원)",'04A_국토부원자료'!$A$4:$T$4,0)),",","")),"")</f>
        <v/>
      </c>
      <c r="H993" s="174">
        <f>IF(G993="","",G993*10000)</f>
        <v/>
      </c>
      <c r="I993" s="174">
        <f>IFERROR(IF(AND(H993&gt;0,E993&gt;0),H993/E993,""),"")</f>
        <v/>
      </c>
      <c r="J993" s="152">
        <f>IFERROR(VALUE(SUBSTITUTE(INDEX('04A_국토부원자료'!$A:$T,ROW()+1,MATCH("층",'04A_국토부원자료'!$A$4:$T$4,0)),",","")),"")</f>
        <v/>
      </c>
      <c r="K993" s="152">
        <f>IFERROR(VALUE(SUBSTITUTE(INDEX('04A_국토부원자료'!$A:$T,ROW()+1,MATCH("건축년도",'04A_국토부원자료'!$A$4:$T$4,0)),",","")),"")</f>
        <v/>
      </c>
      <c r="L993" s="176">
        <f>IFERROR(INDEX('04A_국토부원자료'!$A:$T,ROW()+1,MATCH("도로명",'04A_국토부원자료'!$A$4:$T$4,0)),"")</f>
        <v/>
      </c>
      <c r="M993" s="48">
        <f>IFERROR(INDEX('04A_국토부원자료'!$A:$T,ROW()+1,MATCH("거래유형",'04A_국토부원자료'!$A$4:$T$4,0)),"")</f>
        <v/>
      </c>
      <c r="N993" s="152">
        <f>IF(B993="","",IF('02_대상물건입력'!B5="",1,IF(ISNUMBER(SEARCH('02_대상물건입력'!B5,B993)),1,0)))</f>
        <v/>
      </c>
      <c r="O993" s="152">
        <f>IF(B993="","",IF('02_대상물건입력'!B6="",1,IF(ISNUMBER(SEARCH('02_대상물건입력'!B6,B993)),1,0)))</f>
        <v/>
      </c>
      <c r="P993" s="152">
        <f>IF(L993="","",IF('02_대상물건입력'!B15="",0,IF(ISNUMBER(SEARCH('02_대상물건입력'!B15,L993)),1,0)))</f>
        <v/>
      </c>
      <c r="Q993" s="152">
        <f>IF(OR(C993="",L993=""),0,IF(AND(TRIM(C993)=TRIM(RIGHT(SUBSTITUTE(TRIM('02_대상물건입력'!$B$7)," ",REPT(" ",99)),99)),IF('02_대상물건입력'!B15="",TRUE(),ISNUMBER(SEARCH('02_대상물건입력'!B15,L993)))),1,0))</f>
        <v/>
      </c>
      <c r="R993" s="175">
        <f>IFERROR(ABS(E993-'02_대상물건입력'!B11)/'02_대상물건입력'!B11,"")</f>
        <v/>
      </c>
      <c r="S993" s="152">
        <f>IFERROR(ABS(J993-'02_대상물건입력'!B10),"")</f>
        <v/>
      </c>
      <c r="T993" s="152">
        <f>IFERROR(ABS('01_설정'!B4-F993),"")</f>
        <v/>
      </c>
      <c r="U993" s="152">
        <f>IFERROR(ABS(K993-YEAR('02_대상물건입력'!B14)),"")</f>
        <v/>
      </c>
      <c r="V993" s="152">
        <f>IF(B993="","",IF(AND(E993&gt;0,F993&gt;0,H993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993=1,TRUE()),R993&lt;='01_설정'!B5,S993&lt;='01_설정'!B6,T993&lt;='01_설정'!B7,U993&lt;='01_설정'!B8),"Y",""))</f>
        <v/>
      </c>
      <c r="W993" s="172">
        <f>IF(V993&lt;&gt;"Y","",MAX(0,(1-R993/'01_설정'!B5))*'01_설정'!B14+MAX(0,(1-S993/'01_설정'!B6))*'01_설정'!B15+MAX(0,(1-T993/'01_설정'!B7))*'01_설정'!B16+MAX(0,(1-U993/'01_설정'!B8))*'01_설정'!B17+O993*'01_설정'!B11+Q993*'01_설정'!B12+P993*'01_설정'!B13+IF(Z993="",0,Z993))</f>
        <v/>
      </c>
      <c r="X993" s="152">
        <f>IF(W993="","",1+COUNTIFS($W$4:$W$3003,"&gt;"&amp;W993)+COUNTIFS($W$4:W993,W993)-1)</f>
        <v/>
      </c>
      <c r="Y993" s="175">
        <f>IF(OR(I993="",'02_대상물건입력'!B19="",'02_대상물건입력'!B19&lt;=0),"",ABS(I993-'02_대상물건입력'!B19)/'02_대상물건입력'!B19)</f>
        <v/>
      </c>
      <c r="Z993" s="172">
        <f>IF(OR(Y993="",'01_설정'!B31="",'01_설정'!B31&lt;=0,'01_설정'!B32="",'01_설정'!B32&lt;=0),"",MAX(0,(1-Y993/'01_설정'!B32))*'01_설정'!B31)</f>
        <v/>
      </c>
    </row>
    <row r="994" ht="17.25" customHeight="1">
      <c r="A994" s="152">
        <f>IF(INDEX('04A_국토부원자료'!$A:$A,ROW()+1)="","",ROW()-3)</f>
        <v/>
      </c>
      <c r="B994" s="48">
        <f>IFERROR(INDEX('04A_국토부원자료'!$A:$T,ROW()+1,MATCH("시군구",'04A_국토부원자료'!$A$4:$T$4,0)),"")</f>
        <v/>
      </c>
      <c r="C994" s="48">
        <f>IF(B994="","",IFERROR(INDEX('04A_국토부원자료'!$A:$T,ROW()+1,MATCH("번지",'04A_국토부원자료'!$A$4:$T$4,0)),""))</f>
        <v/>
      </c>
      <c r="D994" s="48">
        <f>IF(B994="","",IF(Q994=1,'02_대상물건입력'!$B$8,IFERROR(INDEX('04A_국토부원자료'!$A:$T,ROW()+1,MATCH("단지명",'04A_국토부원자료'!$A$4:$T$4,0)),"")))</f>
        <v/>
      </c>
      <c r="E994" s="172">
        <f>IFERROR(VALUE(SUBSTITUTE(INDEX('04A_국토부원자료'!$A:$T,ROW()+1,MATCH("전용면적(㎡)",'04A_국토부원자료'!$A$4:$T$4,0)),",","")),"")</f>
        <v/>
      </c>
      <c r="F9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94" s="51">
        <f>IFERROR(VALUE(SUBSTITUTE(INDEX('04A_국토부원자료'!$A:$T,ROW()+1,MATCH("거래금액(만원)",'04A_국토부원자료'!$A$4:$T$4,0)),",","")),"")</f>
        <v/>
      </c>
      <c r="H994" s="174">
        <f>IF(G994="","",G994*10000)</f>
        <v/>
      </c>
      <c r="I994" s="174">
        <f>IFERROR(IF(AND(H994&gt;0,E994&gt;0),H994/E994,""),"")</f>
        <v/>
      </c>
      <c r="J994" s="152">
        <f>IFERROR(VALUE(SUBSTITUTE(INDEX('04A_국토부원자료'!$A:$T,ROW()+1,MATCH("층",'04A_국토부원자료'!$A$4:$T$4,0)),",","")),"")</f>
        <v/>
      </c>
      <c r="K994" s="152">
        <f>IFERROR(VALUE(SUBSTITUTE(INDEX('04A_국토부원자료'!$A:$T,ROW()+1,MATCH("건축년도",'04A_국토부원자료'!$A$4:$T$4,0)),",","")),"")</f>
        <v/>
      </c>
      <c r="L994" s="176">
        <f>IFERROR(INDEX('04A_국토부원자료'!$A:$T,ROW()+1,MATCH("도로명",'04A_국토부원자료'!$A$4:$T$4,0)),"")</f>
        <v/>
      </c>
      <c r="M994" s="48">
        <f>IFERROR(INDEX('04A_국토부원자료'!$A:$T,ROW()+1,MATCH("거래유형",'04A_국토부원자료'!$A$4:$T$4,0)),"")</f>
        <v/>
      </c>
      <c r="N994" s="152">
        <f>IF(B994="","",IF('02_대상물건입력'!B5="",1,IF(ISNUMBER(SEARCH('02_대상물건입력'!B5,B994)),1,0)))</f>
        <v/>
      </c>
      <c r="O994" s="152">
        <f>IF(B994="","",IF('02_대상물건입력'!B6="",1,IF(ISNUMBER(SEARCH('02_대상물건입력'!B6,B994)),1,0)))</f>
        <v/>
      </c>
      <c r="P994" s="152">
        <f>IF(L994="","",IF('02_대상물건입력'!B15="",0,IF(ISNUMBER(SEARCH('02_대상물건입력'!B15,L994)),1,0)))</f>
        <v/>
      </c>
      <c r="Q994" s="152">
        <f>IF(OR(C994="",L994=""),0,IF(AND(TRIM(C994)=TRIM(RIGHT(SUBSTITUTE(TRIM('02_대상물건입력'!$B$7)," ",REPT(" ",99)),99)),IF('02_대상물건입력'!B15="",TRUE(),ISNUMBER(SEARCH('02_대상물건입력'!B15,L994)))),1,0))</f>
        <v/>
      </c>
      <c r="R994" s="175">
        <f>IFERROR(ABS(E994-'02_대상물건입력'!B11)/'02_대상물건입력'!B11,"")</f>
        <v/>
      </c>
      <c r="S994" s="152">
        <f>IFERROR(ABS(J994-'02_대상물건입력'!B10),"")</f>
        <v/>
      </c>
      <c r="T994" s="152">
        <f>IFERROR(ABS('01_설정'!B4-F994),"")</f>
        <v/>
      </c>
      <c r="U994" s="152">
        <f>IFERROR(ABS(K994-YEAR('02_대상물건입력'!B14)),"")</f>
        <v/>
      </c>
      <c r="V994" s="152">
        <f>IF(B994="","",IF(AND(E994&gt;0,F994&gt;0,H994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994=1,TRUE()),R994&lt;='01_설정'!B5,S994&lt;='01_설정'!B6,T994&lt;='01_설정'!B7,U994&lt;='01_설정'!B8),"Y",""))</f>
        <v/>
      </c>
      <c r="W994" s="172">
        <f>IF(V994&lt;&gt;"Y","",MAX(0,(1-R994/'01_설정'!B5))*'01_설정'!B14+MAX(0,(1-S994/'01_설정'!B6))*'01_설정'!B15+MAX(0,(1-T994/'01_설정'!B7))*'01_설정'!B16+MAX(0,(1-U994/'01_설정'!B8))*'01_설정'!B17+O994*'01_설정'!B11+Q994*'01_설정'!B12+P994*'01_설정'!B13+IF(Z994="",0,Z994))</f>
        <v/>
      </c>
      <c r="X994" s="152">
        <f>IF(W994="","",1+COUNTIFS($W$4:$W$3003,"&gt;"&amp;W994)+COUNTIFS($W$4:W994,W994)-1)</f>
        <v/>
      </c>
      <c r="Y994" s="175">
        <f>IF(OR(I994="",'02_대상물건입력'!B19="",'02_대상물건입력'!B19&lt;=0),"",ABS(I994-'02_대상물건입력'!B19)/'02_대상물건입력'!B19)</f>
        <v/>
      </c>
      <c r="Z994" s="172">
        <f>IF(OR(Y994="",'01_설정'!B31="",'01_설정'!B31&lt;=0,'01_설정'!B32="",'01_설정'!B32&lt;=0),"",MAX(0,(1-Y994/'01_설정'!B32))*'01_설정'!B31)</f>
        <v/>
      </c>
    </row>
    <row r="995" ht="17.25" customHeight="1">
      <c r="A995" s="152">
        <f>IF(INDEX('04A_국토부원자료'!$A:$A,ROW()+1)="","",ROW()-3)</f>
        <v/>
      </c>
      <c r="B995" s="48">
        <f>IFERROR(INDEX('04A_국토부원자료'!$A:$T,ROW()+1,MATCH("시군구",'04A_국토부원자료'!$A$4:$T$4,0)),"")</f>
        <v/>
      </c>
      <c r="C995" s="48">
        <f>IF(B995="","",IFERROR(INDEX('04A_국토부원자료'!$A:$T,ROW()+1,MATCH("번지",'04A_국토부원자료'!$A$4:$T$4,0)),""))</f>
        <v/>
      </c>
      <c r="D995" s="48">
        <f>IF(B995="","",IF(Q995=1,'02_대상물건입력'!$B$8,IFERROR(INDEX('04A_국토부원자료'!$A:$T,ROW()+1,MATCH("단지명",'04A_국토부원자료'!$A$4:$T$4,0)),"")))</f>
        <v/>
      </c>
      <c r="E995" s="172">
        <f>IFERROR(VALUE(SUBSTITUTE(INDEX('04A_국토부원자료'!$A:$T,ROW()+1,MATCH("전용면적(㎡)",'04A_국토부원자료'!$A$4:$T$4,0)),",","")),"")</f>
        <v/>
      </c>
      <c r="F9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95" s="51">
        <f>IFERROR(VALUE(SUBSTITUTE(INDEX('04A_국토부원자료'!$A:$T,ROW()+1,MATCH("거래금액(만원)",'04A_국토부원자료'!$A$4:$T$4,0)),",","")),"")</f>
        <v/>
      </c>
      <c r="H995" s="174">
        <f>IF(G995="","",G995*10000)</f>
        <v/>
      </c>
      <c r="I995" s="174">
        <f>IFERROR(IF(AND(H995&gt;0,E995&gt;0),H995/E995,""),"")</f>
        <v/>
      </c>
      <c r="J995" s="152">
        <f>IFERROR(VALUE(SUBSTITUTE(INDEX('04A_국토부원자료'!$A:$T,ROW()+1,MATCH("층",'04A_국토부원자료'!$A$4:$T$4,0)),",","")),"")</f>
        <v/>
      </c>
      <c r="K995" s="152">
        <f>IFERROR(VALUE(SUBSTITUTE(INDEX('04A_국토부원자료'!$A:$T,ROW()+1,MATCH("건축년도",'04A_국토부원자료'!$A$4:$T$4,0)),",","")),"")</f>
        <v/>
      </c>
      <c r="L995" s="176">
        <f>IFERROR(INDEX('04A_국토부원자료'!$A:$T,ROW()+1,MATCH("도로명",'04A_국토부원자료'!$A$4:$T$4,0)),"")</f>
        <v/>
      </c>
      <c r="M995" s="48">
        <f>IFERROR(INDEX('04A_국토부원자료'!$A:$T,ROW()+1,MATCH("거래유형",'04A_국토부원자료'!$A$4:$T$4,0)),"")</f>
        <v/>
      </c>
      <c r="N995" s="152">
        <f>IF(B995="","",IF('02_대상물건입력'!B5="",1,IF(ISNUMBER(SEARCH('02_대상물건입력'!B5,B995)),1,0)))</f>
        <v/>
      </c>
      <c r="O995" s="152">
        <f>IF(B995="","",IF('02_대상물건입력'!B6="",1,IF(ISNUMBER(SEARCH('02_대상물건입력'!B6,B995)),1,0)))</f>
        <v/>
      </c>
      <c r="P995" s="152">
        <f>IF(L995="","",IF('02_대상물건입력'!B15="",0,IF(ISNUMBER(SEARCH('02_대상물건입력'!B15,L995)),1,0)))</f>
        <v/>
      </c>
      <c r="Q995" s="152">
        <f>IF(OR(C995="",L995=""),0,IF(AND(TRIM(C995)=TRIM(RIGHT(SUBSTITUTE(TRIM('02_대상물건입력'!$B$7)," ",REPT(" ",99)),99)),IF('02_대상물건입력'!B15="",TRUE(),ISNUMBER(SEARCH('02_대상물건입력'!B15,L995)))),1,0))</f>
        <v/>
      </c>
      <c r="R995" s="175">
        <f>IFERROR(ABS(E995-'02_대상물건입력'!B11)/'02_대상물건입력'!B11,"")</f>
        <v/>
      </c>
      <c r="S995" s="152">
        <f>IFERROR(ABS(J995-'02_대상물건입력'!B10),"")</f>
        <v/>
      </c>
      <c r="T995" s="152">
        <f>IFERROR(ABS('01_설정'!B4-F995),"")</f>
        <v/>
      </c>
      <c r="U995" s="152">
        <f>IFERROR(ABS(K995-YEAR('02_대상물건입력'!B14)),"")</f>
        <v/>
      </c>
      <c r="V995" s="152">
        <f>IF(B995="","",IF(AND(E995&gt;0,F995&gt;0,H995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995=1,TRUE()),R995&lt;='01_설정'!B5,S995&lt;='01_설정'!B6,T995&lt;='01_설정'!B7,U995&lt;='01_설정'!B8),"Y",""))</f>
        <v/>
      </c>
      <c r="W995" s="172">
        <f>IF(V995&lt;&gt;"Y","",MAX(0,(1-R995/'01_설정'!B5))*'01_설정'!B14+MAX(0,(1-S995/'01_설정'!B6))*'01_설정'!B15+MAX(0,(1-T995/'01_설정'!B7))*'01_설정'!B16+MAX(0,(1-U995/'01_설정'!B8))*'01_설정'!B17+O995*'01_설정'!B11+Q995*'01_설정'!B12+P995*'01_설정'!B13+IF(Z995="",0,Z995))</f>
        <v/>
      </c>
      <c r="X995" s="152">
        <f>IF(W995="","",1+COUNTIFS($W$4:$W$3003,"&gt;"&amp;W995)+COUNTIFS($W$4:W995,W995)-1)</f>
        <v/>
      </c>
      <c r="Y995" s="175">
        <f>IF(OR(I995="",'02_대상물건입력'!B19="",'02_대상물건입력'!B19&lt;=0),"",ABS(I995-'02_대상물건입력'!B19)/'02_대상물건입력'!B19)</f>
        <v/>
      </c>
      <c r="Z995" s="172">
        <f>IF(OR(Y995="",'01_설정'!B31="",'01_설정'!B31&lt;=0,'01_설정'!B32="",'01_설정'!B32&lt;=0),"",MAX(0,(1-Y995/'01_설정'!B32))*'01_설정'!B31)</f>
        <v/>
      </c>
    </row>
    <row r="996" ht="17.25" customHeight="1">
      <c r="A996" s="152">
        <f>IF(INDEX('04A_국토부원자료'!$A:$A,ROW()+1)="","",ROW()-3)</f>
        <v/>
      </c>
      <c r="B996" s="48">
        <f>IFERROR(INDEX('04A_국토부원자료'!$A:$T,ROW()+1,MATCH("시군구",'04A_국토부원자료'!$A$4:$T$4,0)),"")</f>
        <v/>
      </c>
      <c r="C996" s="48">
        <f>IF(B996="","",IFERROR(INDEX('04A_국토부원자료'!$A:$T,ROW()+1,MATCH("번지",'04A_국토부원자료'!$A$4:$T$4,0)),""))</f>
        <v/>
      </c>
      <c r="D996" s="48">
        <f>IF(B996="","",IF(Q996=1,'02_대상물건입력'!$B$8,IFERROR(INDEX('04A_국토부원자료'!$A:$T,ROW()+1,MATCH("단지명",'04A_국토부원자료'!$A$4:$T$4,0)),"")))</f>
        <v/>
      </c>
      <c r="E996" s="172">
        <f>IFERROR(VALUE(SUBSTITUTE(INDEX('04A_국토부원자료'!$A:$T,ROW()+1,MATCH("전용면적(㎡)",'04A_국토부원자료'!$A$4:$T$4,0)),",","")),"")</f>
        <v/>
      </c>
      <c r="F9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96" s="51">
        <f>IFERROR(VALUE(SUBSTITUTE(INDEX('04A_국토부원자료'!$A:$T,ROW()+1,MATCH("거래금액(만원)",'04A_국토부원자료'!$A$4:$T$4,0)),",","")),"")</f>
        <v/>
      </c>
      <c r="H996" s="174">
        <f>IF(G996="","",G996*10000)</f>
        <v/>
      </c>
      <c r="I996" s="174">
        <f>IFERROR(IF(AND(H996&gt;0,E996&gt;0),H996/E996,""),"")</f>
        <v/>
      </c>
      <c r="J996" s="152">
        <f>IFERROR(VALUE(SUBSTITUTE(INDEX('04A_국토부원자료'!$A:$T,ROW()+1,MATCH("층",'04A_국토부원자료'!$A$4:$T$4,0)),",","")),"")</f>
        <v/>
      </c>
      <c r="K996" s="152">
        <f>IFERROR(VALUE(SUBSTITUTE(INDEX('04A_국토부원자료'!$A:$T,ROW()+1,MATCH("건축년도",'04A_국토부원자료'!$A$4:$T$4,0)),",","")),"")</f>
        <v/>
      </c>
      <c r="L996" s="176">
        <f>IFERROR(INDEX('04A_국토부원자료'!$A:$T,ROW()+1,MATCH("도로명",'04A_국토부원자료'!$A$4:$T$4,0)),"")</f>
        <v/>
      </c>
      <c r="M996" s="48">
        <f>IFERROR(INDEX('04A_국토부원자료'!$A:$T,ROW()+1,MATCH("거래유형",'04A_국토부원자료'!$A$4:$T$4,0)),"")</f>
        <v/>
      </c>
      <c r="N996" s="152">
        <f>IF(B996="","",IF('02_대상물건입력'!B5="",1,IF(ISNUMBER(SEARCH('02_대상물건입력'!B5,B996)),1,0)))</f>
        <v/>
      </c>
      <c r="O996" s="152">
        <f>IF(B996="","",IF('02_대상물건입력'!B6="",1,IF(ISNUMBER(SEARCH('02_대상물건입력'!B6,B996)),1,0)))</f>
        <v/>
      </c>
      <c r="P996" s="152">
        <f>IF(L996="","",IF('02_대상물건입력'!B15="",0,IF(ISNUMBER(SEARCH('02_대상물건입력'!B15,L996)),1,0)))</f>
        <v/>
      </c>
      <c r="Q996" s="152">
        <f>IF(OR(C996="",L996=""),0,IF(AND(TRIM(C996)=TRIM(RIGHT(SUBSTITUTE(TRIM('02_대상물건입력'!$B$7)," ",REPT(" ",99)),99)),IF('02_대상물건입력'!B15="",TRUE(),ISNUMBER(SEARCH('02_대상물건입력'!B15,L996)))),1,0))</f>
        <v/>
      </c>
      <c r="R996" s="175">
        <f>IFERROR(ABS(E996-'02_대상물건입력'!B11)/'02_대상물건입력'!B11,"")</f>
        <v/>
      </c>
      <c r="S996" s="152">
        <f>IFERROR(ABS(J996-'02_대상물건입력'!B10),"")</f>
        <v/>
      </c>
      <c r="T996" s="152">
        <f>IFERROR(ABS('01_설정'!B4-F996),"")</f>
        <v/>
      </c>
      <c r="U996" s="152">
        <f>IFERROR(ABS(K996-YEAR('02_대상물건입력'!B14)),"")</f>
        <v/>
      </c>
      <c r="V996" s="152">
        <f>IF(B996="","",IF(AND(E996&gt;0,F996&gt;0,H996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996=1,TRUE()),R996&lt;='01_설정'!B5,S996&lt;='01_설정'!B6,T996&lt;='01_설정'!B7,U996&lt;='01_설정'!B8),"Y",""))</f>
        <v/>
      </c>
      <c r="W996" s="172">
        <f>IF(V996&lt;&gt;"Y","",MAX(0,(1-R996/'01_설정'!B5))*'01_설정'!B14+MAX(0,(1-S996/'01_설정'!B6))*'01_설정'!B15+MAX(0,(1-T996/'01_설정'!B7))*'01_설정'!B16+MAX(0,(1-U996/'01_설정'!B8))*'01_설정'!B17+O996*'01_설정'!B11+Q996*'01_설정'!B12+P996*'01_설정'!B13+IF(Z996="",0,Z996))</f>
        <v/>
      </c>
      <c r="X996" s="152">
        <f>IF(W996="","",1+COUNTIFS($W$4:$W$3003,"&gt;"&amp;W996)+COUNTIFS($W$4:W996,W996)-1)</f>
        <v/>
      </c>
      <c r="Y996" s="175">
        <f>IF(OR(I996="",'02_대상물건입력'!B19="",'02_대상물건입력'!B19&lt;=0),"",ABS(I996-'02_대상물건입력'!B19)/'02_대상물건입력'!B19)</f>
        <v/>
      </c>
      <c r="Z996" s="172">
        <f>IF(OR(Y996="",'01_설정'!B31="",'01_설정'!B31&lt;=0,'01_설정'!B32="",'01_설정'!B32&lt;=0),"",MAX(0,(1-Y996/'01_설정'!B32))*'01_설정'!B31)</f>
        <v/>
      </c>
    </row>
    <row r="997" ht="17.25" customHeight="1">
      <c r="A997" s="152">
        <f>IF(INDEX('04A_국토부원자료'!$A:$A,ROW()+1)="","",ROW()-3)</f>
        <v/>
      </c>
      <c r="B997" s="48">
        <f>IFERROR(INDEX('04A_국토부원자료'!$A:$T,ROW()+1,MATCH("시군구",'04A_국토부원자료'!$A$4:$T$4,0)),"")</f>
        <v/>
      </c>
      <c r="C997" s="48">
        <f>IF(B997="","",IFERROR(INDEX('04A_국토부원자료'!$A:$T,ROW()+1,MATCH("번지",'04A_국토부원자료'!$A$4:$T$4,0)),""))</f>
        <v/>
      </c>
      <c r="D997" s="48">
        <f>IF(B997="","",IF(Q997=1,'02_대상물건입력'!$B$8,IFERROR(INDEX('04A_국토부원자료'!$A:$T,ROW()+1,MATCH("단지명",'04A_국토부원자료'!$A$4:$T$4,0)),"")))</f>
        <v/>
      </c>
      <c r="E997" s="172">
        <f>IFERROR(VALUE(SUBSTITUTE(INDEX('04A_국토부원자료'!$A:$T,ROW()+1,MATCH("전용면적(㎡)",'04A_국토부원자료'!$A$4:$T$4,0)),",","")),"")</f>
        <v/>
      </c>
      <c r="F9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97" s="51">
        <f>IFERROR(VALUE(SUBSTITUTE(INDEX('04A_국토부원자료'!$A:$T,ROW()+1,MATCH("거래금액(만원)",'04A_국토부원자료'!$A$4:$T$4,0)),",","")),"")</f>
        <v/>
      </c>
      <c r="H997" s="174">
        <f>IF(G997="","",G997*10000)</f>
        <v/>
      </c>
      <c r="I997" s="174">
        <f>IFERROR(IF(AND(H997&gt;0,E997&gt;0),H997/E997,""),"")</f>
        <v/>
      </c>
      <c r="J997" s="152">
        <f>IFERROR(VALUE(SUBSTITUTE(INDEX('04A_국토부원자료'!$A:$T,ROW()+1,MATCH("층",'04A_국토부원자료'!$A$4:$T$4,0)),",","")),"")</f>
        <v/>
      </c>
      <c r="K997" s="152">
        <f>IFERROR(VALUE(SUBSTITUTE(INDEX('04A_국토부원자료'!$A:$T,ROW()+1,MATCH("건축년도",'04A_국토부원자료'!$A$4:$T$4,0)),",","")),"")</f>
        <v/>
      </c>
      <c r="L997" s="176">
        <f>IFERROR(INDEX('04A_국토부원자료'!$A:$T,ROW()+1,MATCH("도로명",'04A_국토부원자료'!$A$4:$T$4,0)),"")</f>
        <v/>
      </c>
      <c r="M997" s="48">
        <f>IFERROR(INDEX('04A_국토부원자료'!$A:$T,ROW()+1,MATCH("거래유형",'04A_국토부원자료'!$A$4:$T$4,0)),"")</f>
        <v/>
      </c>
      <c r="N997" s="152">
        <f>IF(B997="","",IF('02_대상물건입력'!B5="",1,IF(ISNUMBER(SEARCH('02_대상물건입력'!B5,B997)),1,0)))</f>
        <v/>
      </c>
      <c r="O997" s="152">
        <f>IF(B997="","",IF('02_대상물건입력'!B6="",1,IF(ISNUMBER(SEARCH('02_대상물건입력'!B6,B997)),1,0)))</f>
        <v/>
      </c>
      <c r="P997" s="152">
        <f>IF(L997="","",IF('02_대상물건입력'!B15="",0,IF(ISNUMBER(SEARCH('02_대상물건입력'!B15,L997)),1,0)))</f>
        <v/>
      </c>
      <c r="Q997" s="152">
        <f>IF(OR(C997="",L997=""),0,IF(AND(TRIM(C997)=TRIM(RIGHT(SUBSTITUTE(TRIM('02_대상물건입력'!$B$7)," ",REPT(" ",99)),99)),IF('02_대상물건입력'!B15="",TRUE(),ISNUMBER(SEARCH('02_대상물건입력'!B15,L997)))),1,0))</f>
        <v/>
      </c>
      <c r="R997" s="175">
        <f>IFERROR(ABS(E997-'02_대상물건입력'!B11)/'02_대상물건입력'!B11,"")</f>
        <v/>
      </c>
      <c r="S997" s="152">
        <f>IFERROR(ABS(J997-'02_대상물건입력'!B10),"")</f>
        <v/>
      </c>
      <c r="T997" s="152">
        <f>IFERROR(ABS('01_설정'!B4-F997),"")</f>
        <v/>
      </c>
      <c r="U997" s="152">
        <f>IFERROR(ABS(K997-YEAR('02_대상물건입력'!B14)),"")</f>
        <v/>
      </c>
      <c r="V997" s="152">
        <f>IF(B997="","",IF(AND(E997&gt;0,F997&gt;0,H997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997=1,TRUE()),R997&lt;='01_설정'!B5,S997&lt;='01_설정'!B6,T997&lt;='01_설정'!B7,U997&lt;='01_설정'!B8),"Y",""))</f>
        <v/>
      </c>
      <c r="W997" s="172">
        <f>IF(V997&lt;&gt;"Y","",MAX(0,(1-R997/'01_설정'!B5))*'01_설정'!B14+MAX(0,(1-S997/'01_설정'!B6))*'01_설정'!B15+MAX(0,(1-T997/'01_설정'!B7))*'01_설정'!B16+MAX(0,(1-U997/'01_설정'!B8))*'01_설정'!B17+O997*'01_설정'!B11+Q997*'01_설정'!B12+P997*'01_설정'!B13+IF(Z997="",0,Z997))</f>
        <v/>
      </c>
      <c r="X997" s="152">
        <f>IF(W997="","",1+COUNTIFS($W$4:$W$3003,"&gt;"&amp;W997)+COUNTIFS($W$4:W997,W997)-1)</f>
        <v/>
      </c>
      <c r="Y997" s="175">
        <f>IF(OR(I997="",'02_대상물건입력'!B19="",'02_대상물건입력'!B19&lt;=0),"",ABS(I997-'02_대상물건입력'!B19)/'02_대상물건입력'!B19)</f>
        <v/>
      </c>
      <c r="Z997" s="172">
        <f>IF(OR(Y997="",'01_설정'!B31="",'01_설정'!B31&lt;=0,'01_설정'!B32="",'01_설정'!B32&lt;=0),"",MAX(0,(1-Y997/'01_설정'!B32))*'01_설정'!B31)</f>
        <v/>
      </c>
    </row>
    <row r="998" ht="17.25" customHeight="1">
      <c r="A998" s="152">
        <f>IF(INDEX('04A_국토부원자료'!$A:$A,ROW()+1)="","",ROW()-3)</f>
        <v/>
      </c>
      <c r="B998" s="48">
        <f>IFERROR(INDEX('04A_국토부원자료'!$A:$T,ROW()+1,MATCH("시군구",'04A_국토부원자료'!$A$4:$T$4,0)),"")</f>
        <v/>
      </c>
      <c r="C998" s="48">
        <f>IF(B998="","",IFERROR(INDEX('04A_국토부원자료'!$A:$T,ROW()+1,MATCH("번지",'04A_국토부원자료'!$A$4:$T$4,0)),""))</f>
        <v/>
      </c>
      <c r="D998" s="48">
        <f>IF(B998="","",IF(Q998=1,'02_대상물건입력'!$B$8,IFERROR(INDEX('04A_국토부원자료'!$A:$T,ROW()+1,MATCH("단지명",'04A_국토부원자료'!$A$4:$T$4,0)),"")))</f>
        <v/>
      </c>
      <c r="E998" s="172">
        <f>IFERROR(VALUE(SUBSTITUTE(INDEX('04A_국토부원자료'!$A:$T,ROW()+1,MATCH("전용면적(㎡)",'04A_국토부원자료'!$A$4:$T$4,0)),",","")),"")</f>
        <v/>
      </c>
      <c r="F9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98" s="51">
        <f>IFERROR(VALUE(SUBSTITUTE(INDEX('04A_국토부원자료'!$A:$T,ROW()+1,MATCH("거래금액(만원)",'04A_국토부원자료'!$A$4:$T$4,0)),",","")),"")</f>
        <v/>
      </c>
      <c r="H998" s="174">
        <f>IF(G998="","",G998*10000)</f>
        <v/>
      </c>
      <c r="I998" s="174">
        <f>IFERROR(IF(AND(H998&gt;0,E998&gt;0),H998/E998,""),"")</f>
        <v/>
      </c>
      <c r="J998" s="152">
        <f>IFERROR(VALUE(SUBSTITUTE(INDEX('04A_국토부원자료'!$A:$T,ROW()+1,MATCH("층",'04A_국토부원자료'!$A$4:$T$4,0)),",","")),"")</f>
        <v/>
      </c>
      <c r="K998" s="152">
        <f>IFERROR(VALUE(SUBSTITUTE(INDEX('04A_국토부원자료'!$A:$T,ROW()+1,MATCH("건축년도",'04A_국토부원자료'!$A$4:$T$4,0)),",","")),"")</f>
        <v/>
      </c>
      <c r="L998" s="176">
        <f>IFERROR(INDEX('04A_국토부원자료'!$A:$T,ROW()+1,MATCH("도로명",'04A_국토부원자료'!$A$4:$T$4,0)),"")</f>
        <v/>
      </c>
      <c r="M998" s="48">
        <f>IFERROR(INDEX('04A_국토부원자료'!$A:$T,ROW()+1,MATCH("거래유형",'04A_국토부원자료'!$A$4:$T$4,0)),"")</f>
        <v/>
      </c>
      <c r="N998" s="152">
        <f>IF(B998="","",IF('02_대상물건입력'!B5="",1,IF(ISNUMBER(SEARCH('02_대상물건입력'!B5,B998)),1,0)))</f>
        <v/>
      </c>
      <c r="O998" s="152">
        <f>IF(B998="","",IF('02_대상물건입력'!B6="",1,IF(ISNUMBER(SEARCH('02_대상물건입력'!B6,B998)),1,0)))</f>
        <v/>
      </c>
      <c r="P998" s="152">
        <f>IF(L998="","",IF('02_대상물건입력'!B15="",0,IF(ISNUMBER(SEARCH('02_대상물건입력'!B15,L998)),1,0)))</f>
        <v/>
      </c>
      <c r="Q998" s="152">
        <f>IF(OR(C998="",L998=""),0,IF(AND(TRIM(C998)=TRIM(RIGHT(SUBSTITUTE(TRIM('02_대상물건입력'!$B$7)," ",REPT(" ",99)),99)),IF('02_대상물건입력'!B15="",TRUE(),ISNUMBER(SEARCH('02_대상물건입력'!B15,L998)))),1,0))</f>
        <v/>
      </c>
      <c r="R998" s="175">
        <f>IFERROR(ABS(E998-'02_대상물건입력'!B11)/'02_대상물건입력'!B11,"")</f>
        <v/>
      </c>
      <c r="S998" s="152">
        <f>IFERROR(ABS(J998-'02_대상물건입력'!B10),"")</f>
        <v/>
      </c>
      <c r="T998" s="152">
        <f>IFERROR(ABS('01_설정'!B4-F998),"")</f>
        <v/>
      </c>
      <c r="U998" s="152">
        <f>IFERROR(ABS(K998-YEAR('02_대상물건입력'!B14)),"")</f>
        <v/>
      </c>
      <c r="V998" s="152">
        <f>IF(B998="","",IF(AND(E998&gt;0,F998&gt;0,H998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998=1,TRUE()),R998&lt;='01_설정'!B5,S998&lt;='01_설정'!B6,T998&lt;='01_설정'!B7,U998&lt;='01_설정'!B8),"Y",""))</f>
        <v/>
      </c>
      <c r="W998" s="172">
        <f>IF(V998&lt;&gt;"Y","",MAX(0,(1-R998/'01_설정'!B5))*'01_설정'!B14+MAX(0,(1-S998/'01_설정'!B6))*'01_설정'!B15+MAX(0,(1-T998/'01_설정'!B7))*'01_설정'!B16+MAX(0,(1-U998/'01_설정'!B8))*'01_설정'!B17+O998*'01_설정'!B11+Q998*'01_설정'!B12+P998*'01_설정'!B13+IF(Z998="",0,Z998))</f>
        <v/>
      </c>
      <c r="X998" s="152">
        <f>IF(W998="","",1+COUNTIFS($W$4:$W$3003,"&gt;"&amp;W998)+COUNTIFS($W$4:W998,W998)-1)</f>
        <v/>
      </c>
      <c r="Y998" s="175">
        <f>IF(OR(I998="",'02_대상물건입력'!B19="",'02_대상물건입력'!B19&lt;=0),"",ABS(I998-'02_대상물건입력'!B19)/'02_대상물건입력'!B19)</f>
        <v/>
      </c>
      <c r="Z998" s="172">
        <f>IF(OR(Y998="",'01_설정'!B31="",'01_설정'!B31&lt;=0,'01_설정'!B32="",'01_설정'!B32&lt;=0),"",MAX(0,(1-Y998/'01_설정'!B32))*'01_설정'!B31)</f>
        <v/>
      </c>
    </row>
    <row r="999" ht="17.25" customHeight="1">
      <c r="A999" s="152">
        <f>IF(INDEX('04A_국토부원자료'!$A:$A,ROW()+1)="","",ROW()-3)</f>
        <v/>
      </c>
      <c r="B999" s="48">
        <f>IFERROR(INDEX('04A_국토부원자료'!$A:$T,ROW()+1,MATCH("시군구",'04A_국토부원자료'!$A$4:$T$4,0)),"")</f>
        <v/>
      </c>
      <c r="C999" s="48">
        <f>IF(B999="","",IFERROR(INDEX('04A_국토부원자료'!$A:$T,ROW()+1,MATCH("번지",'04A_국토부원자료'!$A$4:$T$4,0)),""))</f>
        <v/>
      </c>
      <c r="D999" s="48">
        <f>IF(B999="","",IF(Q999=1,'02_대상물건입력'!$B$8,IFERROR(INDEX('04A_국토부원자료'!$A:$T,ROW()+1,MATCH("단지명",'04A_국토부원자료'!$A$4:$T$4,0)),"")))</f>
        <v/>
      </c>
      <c r="E999" s="172">
        <f>IFERROR(VALUE(SUBSTITUTE(INDEX('04A_국토부원자료'!$A:$T,ROW()+1,MATCH("전용면적(㎡)",'04A_국토부원자료'!$A$4:$T$4,0)),",","")),"")</f>
        <v/>
      </c>
      <c r="F9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999" s="51">
        <f>IFERROR(VALUE(SUBSTITUTE(INDEX('04A_국토부원자료'!$A:$T,ROW()+1,MATCH("거래금액(만원)",'04A_국토부원자료'!$A$4:$T$4,0)),",","")),"")</f>
        <v/>
      </c>
      <c r="H999" s="174">
        <f>IF(G999="","",G999*10000)</f>
        <v/>
      </c>
      <c r="I999" s="174">
        <f>IFERROR(IF(AND(H999&gt;0,E999&gt;0),H999/E999,""),"")</f>
        <v/>
      </c>
      <c r="J999" s="152">
        <f>IFERROR(VALUE(SUBSTITUTE(INDEX('04A_국토부원자료'!$A:$T,ROW()+1,MATCH("층",'04A_국토부원자료'!$A$4:$T$4,0)),",","")),"")</f>
        <v/>
      </c>
      <c r="K999" s="152">
        <f>IFERROR(VALUE(SUBSTITUTE(INDEX('04A_국토부원자료'!$A:$T,ROW()+1,MATCH("건축년도",'04A_국토부원자료'!$A$4:$T$4,0)),",","")),"")</f>
        <v/>
      </c>
      <c r="L999" s="176">
        <f>IFERROR(INDEX('04A_국토부원자료'!$A:$T,ROW()+1,MATCH("도로명",'04A_국토부원자료'!$A$4:$T$4,0)),"")</f>
        <v/>
      </c>
      <c r="M999" s="48">
        <f>IFERROR(INDEX('04A_국토부원자료'!$A:$T,ROW()+1,MATCH("거래유형",'04A_국토부원자료'!$A$4:$T$4,0)),"")</f>
        <v/>
      </c>
      <c r="N999" s="152">
        <f>IF(B999="","",IF('02_대상물건입력'!B5="",1,IF(ISNUMBER(SEARCH('02_대상물건입력'!B5,B999)),1,0)))</f>
        <v/>
      </c>
      <c r="O999" s="152">
        <f>IF(B999="","",IF('02_대상물건입력'!B6="",1,IF(ISNUMBER(SEARCH('02_대상물건입력'!B6,B999)),1,0)))</f>
        <v/>
      </c>
      <c r="P999" s="152">
        <f>IF(L999="","",IF('02_대상물건입력'!B15="",0,IF(ISNUMBER(SEARCH('02_대상물건입력'!B15,L999)),1,0)))</f>
        <v/>
      </c>
      <c r="Q999" s="152">
        <f>IF(OR(C999="",L999=""),0,IF(AND(TRIM(C999)=TRIM(RIGHT(SUBSTITUTE(TRIM('02_대상물건입력'!$B$7)," ",REPT(" ",99)),99)),IF('02_대상물건입력'!B15="",TRUE(),ISNUMBER(SEARCH('02_대상물건입력'!B15,L999)))),1,0))</f>
        <v/>
      </c>
      <c r="R999" s="175">
        <f>IFERROR(ABS(E999-'02_대상물건입력'!B11)/'02_대상물건입력'!B11,"")</f>
        <v/>
      </c>
      <c r="S999" s="152">
        <f>IFERROR(ABS(J999-'02_대상물건입력'!B10),"")</f>
        <v/>
      </c>
      <c r="T999" s="152">
        <f>IFERROR(ABS('01_설정'!B4-F999),"")</f>
        <v/>
      </c>
      <c r="U999" s="152">
        <f>IFERROR(ABS(K999-YEAR('02_대상물건입력'!B14)),"")</f>
        <v/>
      </c>
      <c r="V999" s="152">
        <f>IF(B999="","",IF(AND(E999&gt;0,F999&gt;0,H999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999=1,TRUE()),R999&lt;='01_설정'!B5,S999&lt;='01_설정'!B6,T999&lt;='01_설정'!B7,U999&lt;='01_설정'!B8),"Y",""))</f>
        <v/>
      </c>
      <c r="W999" s="172">
        <f>IF(V999&lt;&gt;"Y","",MAX(0,(1-R999/'01_설정'!B5))*'01_설정'!B14+MAX(0,(1-S999/'01_설정'!B6))*'01_설정'!B15+MAX(0,(1-T999/'01_설정'!B7))*'01_설정'!B16+MAX(0,(1-U999/'01_설정'!B8))*'01_설정'!B17+O999*'01_설정'!B11+Q999*'01_설정'!B12+P999*'01_설정'!B13+IF(Z999="",0,Z999))</f>
        <v/>
      </c>
      <c r="X999" s="152">
        <f>IF(W999="","",1+COUNTIFS($W$4:$W$3003,"&gt;"&amp;W999)+COUNTIFS($W$4:W999,W999)-1)</f>
        <v/>
      </c>
      <c r="Y999" s="175">
        <f>IF(OR(I999="",'02_대상물건입력'!B19="",'02_대상물건입력'!B19&lt;=0),"",ABS(I999-'02_대상물건입력'!B19)/'02_대상물건입력'!B19)</f>
        <v/>
      </c>
      <c r="Z999" s="172">
        <f>IF(OR(Y999="",'01_설정'!B31="",'01_설정'!B31&lt;=0,'01_설정'!B32="",'01_설정'!B32&lt;=0),"",MAX(0,(1-Y999/'01_설정'!B32))*'01_설정'!B31)</f>
        <v/>
      </c>
    </row>
    <row r="1000" ht="17.25" customHeight="1">
      <c r="A1000" s="152">
        <f>IF(INDEX('04A_국토부원자료'!$A:$A,ROW()+1)="","",ROW()-3)</f>
        <v/>
      </c>
      <c r="B1000" s="48">
        <f>IFERROR(INDEX('04A_국토부원자료'!$A:$T,ROW()+1,MATCH("시군구",'04A_국토부원자료'!$A$4:$T$4,0)),"")</f>
        <v/>
      </c>
      <c r="C1000" s="48">
        <f>IF(B1000="","",IFERROR(INDEX('04A_국토부원자료'!$A:$T,ROW()+1,MATCH("번지",'04A_국토부원자료'!$A$4:$T$4,0)),""))</f>
        <v/>
      </c>
      <c r="D1000" s="48">
        <f>IF(B1000="","",IF(Q1000=1,'02_대상물건입력'!$B$8,IFERROR(INDEX('04A_국토부원자료'!$A:$T,ROW()+1,MATCH("단지명",'04A_국토부원자료'!$A$4:$T$4,0)),"")))</f>
        <v/>
      </c>
      <c r="E1000" s="172">
        <f>IFERROR(VALUE(SUBSTITUTE(INDEX('04A_국토부원자료'!$A:$T,ROW()+1,MATCH("전용면적(㎡)",'04A_국토부원자료'!$A$4:$T$4,0)),",","")),"")</f>
        <v/>
      </c>
      <c r="F10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00" s="51">
        <f>IFERROR(VALUE(SUBSTITUTE(INDEX('04A_국토부원자료'!$A:$T,ROW()+1,MATCH("거래금액(만원)",'04A_국토부원자료'!$A$4:$T$4,0)),",","")),"")</f>
        <v/>
      </c>
      <c r="H1000" s="174">
        <f>IF(G1000="","",G1000*10000)</f>
        <v/>
      </c>
      <c r="I1000" s="174">
        <f>IFERROR(IF(AND(H1000&gt;0,E1000&gt;0),H1000/E1000,""),"")</f>
        <v/>
      </c>
      <c r="J1000" s="152">
        <f>IFERROR(VALUE(SUBSTITUTE(INDEX('04A_국토부원자료'!$A:$T,ROW()+1,MATCH("층",'04A_국토부원자료'!$A$4:$T$4,0)),",","")),"")</f>
        <v/>
      </c>
      <c r="K1000" s="152">
        <f>IFERROR(VALUE(SUBSTITUTE(INDEX('04A_국토부원자료'!$A:$T,ROW()+1,MATCH("건축년도",'04A_국토부원자료'!$A$4:$T$4,0)),",","")),"")</f>
        <v/>
      </c>
      <c r="L1000" s="176">
        <f>IFERROR(INDEX('04A_국토부원자료'!$A:$T,ROW()+1,MATCH("도로명",'04A_국토부원자료'!$A$4:$T$4,0)),"")</f>
        <v/>
      </c>
      <c r="M1000" s="48">
        <f>IFERROR(INDEX('04A_국토부원자료'!$A:$T,ROW()+1,MATCH("거래유형",'04A_국토부원자료'!$A$4:$T$4,0)),"")</f>
        <v/>
      </c>
      <c r="N1000" s="152">
        <f>IF(B1000="","",IF('02_대상물건입력'!B5="",1,IF(ISNUMBER(SEARCH('02_대상물건입력'!B5,B1000)),1,0)))</f>
        <v/>
      </c>
      <c r="O1000" s="152">
        <f>IF(B1000="","",IF('02_대상물건입력'!B6="",1,IF(ISNUMBER(SEARCH('02_대상물건입력'!B6,B1000)),1,0)))</f>
        <v/>
      </c>
      <c r="P1000" s="152">
        <f>IF(L1000="","",IF('02_대상물건입력'!B15="",0,IF(ISNUMBER(SEARCH('02_대상물건입력'!B15,L1000)),1,0)))</f>
        <v/>
      </c>
      <c r="Q1000" s="152">
        <f>IF(OR(C1000="",L1000=""),0,IF(AND(TRIM(C1000)=TRIM(RIGHT(SUBSTITUTE(TRIM('02_대상물건입력'!$B$7)," ",REPT(" ",99)),99)),IF('02_대상물건입력'!B15="",TRUE(),ISNUMBER(SEARCH('02_대상물건입력'!B15,L1000)))),1,0))</f>
        <v/>
      </c>
      <c r="R1000" s="175">
        <f>IFERROR(ABS(E1000-'02_대상물건입력'!B11)/'02_대상물건입력'!B11,"")</f>
        <v/>
      </c>
      <c r="S1000" s="152">
        <f>IFERROR(ABS(J1000-'02_대상물건입력'!B10),"")</f>
        <v/>
      </c>
      <c r="T1000" s="152">
        <f>IFERROR(ABS('01_설정'!B4-F1000),"")</f>
        <v/>
      </c>
      <c r="U1000" s="152">
        <f>IFERROR(ABS(K1000-YEAR('02_대상물건입력'!B14)),"")</f>
        <v/>
      </c>
      <c r="V1000" s="152">
        <f>IF(B1000="","",IF(AND(E1000&gt;0,F1000&gt;0,H1000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1000=1,TRUE()),R1000&lt;='01_설정'!B5,S1000&lt;='01_설정'!B6,T1000&lt;='01_설정'!B7,U1000&lt;='01_설정'!B8),"Y",""))</f>
        <v/>
      </c>
      <c r="W1000" s="172">
        <f>IF(V1000&lt;&gt;"Y","",MAX(0,(1-R1000/'01_설정'!B5))*'01_설정'!B14+MAX(0,(1-S1000/'01_설정'!B6))*'01_설정'!B15+MAX(0,(1-T1000/'01_설정'!B7))*'01_설정'!B16+MAX(0,(1-U1000/'01_설정'!B8))*'01_설정'!B17+O1000*'01_설정'!B11+Q1000*'01_설정'!B12+P1000*'01_설정'!B13+IF(Z1000="",0,Z1000))</f>
        <v/>
      </c>
      <c r="X1000" s="152">
        <f>IF(W1000="","",1+COUNTIFS($W$4:$W$3003,"&gt;"&amp;W1000)+COUNTIFS($W$4:W1000,W1000)-1)</f>
        <v/>
      </c>
      <c r="Y1000" s="175">
        <f>IF(OR(I1000="",'02_대상물건입력'!B19="",'02_대상물건입력'!B19&lt;=0),"",ABS(I1000-'02_대상물건입력'!B19)/'02_대상물건입력'!B19)</f>
        <v/>
      </c>
      <c r="Z1000" s="172">
        <f>IF(OR(Y1000="",'01_설정'!B31="",'01_설정'!B31&lt;=0,'01_설정'!B32="",'01_설정'!B32&lt;=0),"",MAX(0,(1-Y1000/'01_설정'!B32))*'01_설정'!B31)</f>
        <v/>
      </c>
    </row>
    <row r="1001" ht="17.25" customHeight="1">
      <c r="A1001" s="152">
        <f>IF(INDEX('04A_국토부원자료'!$A:$A,ROW()+1)="","",ROW()-3)</f>
        <v/>
      </c>
      <c r="B1001" s="48">
        <f>IFERROR(INDEX('04A_국토부원자료'!$A:$T,ROW()+1,MATCH("시군구",'04A_국토부원자료'!$A$4:$T$4,0)),"")</f>
        <v/>
      </c>
      <c r="C1001" s="48">
        <f>IF(B1001="","",IFERROR(INDEX('04A_국토부원자료'!$A:$T,ROW()+1,MATCH("번지",'04A_국토부원자료'!$A$4:$T$4,0)),""))</f>
        <v/>
      </c>
      <c r="D1001" s="48">
        <f>IF(B1001="","",IF(Q1001=1,'02_대상물건입력'!$B$8,IFERROR(INDEX('04A_국토부원자료'!$A:$T,ROW()+1,MATCH("단지명",'04A_국토부원자료'!$A$4:$T$4,0)),"")))</f>
        <v/>
      </c>
      <c r="E1001" s="172">
        <f>IFERROR(VALUE(SUBSTITUTE(INDEX('04A_국토부원자료'!$A:$T,ROW()+1,MATCH("전용면적(㎡)",'04A_국토부원자료'!$A$4:$T$4,0)),",","")),"")</f>
        <v/>
      </c>
      <c r="F10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01" s="51">
        <f>IFERROR(VALUE(SUBSTITUTE(INDEX('04A_국토부원자료'!$A:$T,ROW()+1,MATCH("거래금액(만원)",'04A_국토부원자료'!$A$4:$T$4,0)),",","")),"")</f>
        <v/>
      </c>
      <c r="H1001" s="174">
        <f>IF(G1001="","",G1001*10000)</f>
        <v/>
      </c>
      <c r="I1001" s="174">
        <f>IFERROR(IF(AND(H1001&gt;0,E1001&gt;0),H1001/E1001,""),"")</f>
        <v/>
      </c>
      <c r="J1001" s="152">
        <f>IFERROR(VALUE(SUBSTITUTE(INDEX('04A_국토부원자료'!$A:$T,ROW()+1,MATCH("층",'04A_국토부원자료'!$A$4:$T$4,0)),",","")),"")</f>
        <v/>
      </c>
      <c r="K1001" s="152">
        <f>IFERROR(VALUE(SUBSTITUTE(INDEX('04A_국토부원자료'!$A:$T,ROW()+1,MATCH("건축년도",'04A_국토부원자료'!$A$4:$T$4,0)),",","")),"")</f>
        <v/>
      </c>
      <c r="L1001" s="176">
        <f>IFERROR(INDEX('04A_국토부원자료'!$A:$T,ROW()+1,MATCH("도로명",'04A_국토부원자료'!$A$4:$T$4,0)),"")</f>
        <v/>
      </c>
      <c r="M1001" s="48">
        <f>IFERROR(INDEX('04A_국토부원자료'!$A:$T,ROW()+1,MATCH("거래유형",'04A_국토부원자료'!$A$4:$T$4,0)),"")</f>
        <v/>
      </c>
      <c r="N1001" s="152">
        <f>IF(B1001="","",IF('02_대상물건입력'!B5="",1,IF(ISNUMBER(SEARCH('02_대상물건입력'!B5,B1001)),1,0)))</f>
        <v/>
      </c>
      <c r="O1001" s="152">
        <f>IF(B1001="","",IF('02_대상물건입력'!B6="",1,IF(ISNUMBER(SEARCH('02_대상물건입력'!B6,B1001)),1,0)))</f>
        <v/>
      </c>
      <c r="P1001" s="152">
        <f>IF(L1001="","",IF('02_대상물건입력'!B15="",0,IF(ISNUMBER(SEARCH('02_대상물건입력'!B15,L1001)),1,0)))</f>
        <v/>
      </c>
      <c r="Q1001" s="152">
        <f>IF(OR(C1001="",L1001=""),0,IF(AND(TRIM(C1001)=TRIM(RIGHT(SUBSTITUTE(TRIM('02_대상물건입력'!$B$7)," ",REPT(" ",99)),99)),IF('02_대상물건입력'!B15="",TRUE(),ISNUMBER(SEARCH('02_대상물건입력'!B15,L1001)))),1,0))</f>
        <v/>
      </c>
      <c r="R1001" s="175">
        <f>IFERROR(ABS(E1001-'02_대상물건입력'!B11)/'02_대상물건입력'!B11,"")</f>
        <v/>
      </c>
      <c r="S1001" s="152">
        <f>IFERROR(ABS(J1001-'02_대상물건입력'!B10),"")</f>
        <v/>
      </c>
      <c r="T1001" s="152">
        <f>IFERROR(ABS('01_설정'!B4-F1001),"")</f>
        <v/>
      </c>
      <c r="U1001" s="152">
        <f>IFERROR(ABS(K1001-YEAR('02_대상물건입력'!B14)),"")</f>
        <v/>
      </c>
      <c r="V1001" s="152">
        <f>IF(B1001="","",IF(AND(E1001&gt;0,F1001&gt;0,H1001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1001=1,TRUE()),R1001&lt;='01_설정'!B5,S1001&lt;='01_설정'!B6,T1001&lt;='01_설정'!B7,U1001&lt;='01_설정'!B8),"Y",""))</f>
        <v/>
      </c>
      <c r="W1001" s="172">
        <f>IF(V1001&lt;&gt;"Y","",MAX(0,(1-R1001/'01_설정'!B5))*'01_설정'!B14+MAX(0,(1-S1001/'01_설정'!B6))*'01_설정'!B15+MAX(0,(1-T1001/'01_설정'!B7))*'01_설정'!B16+MAX(0,(1-U1001/'01_설정'!B8))*'01_설정'!B17+O1001*'01_설정'!B11+Q1001*'01_설정'!B12+P1001*'01_설정'!B13+IF(Z1001="",0,Z1001))</f>
        <v/>
      </c>
      <c r="X1001" s="152">
        <f>IF(W1001="","",1+COUNTIFS($W$4:$W$3003,"&gt;"&amp;W1001)+COUNTIFS($W$4:W1001,W1001)-1)</f>
        <v/>
      </c>
      <c r="Y1001" s="175">
        <f>IF(OR(I1001="",'02_대상물건입력'!B19="",'02_대상물건입력'!B19&lt;=0),"",ABS(I1001-'02_대상물건입력'!B19)/'02_대상물건입력'!B19)</f>
        <v/>
      </c>
      <c r="Z1001" s="172">
        <f>IF(OR(Y1001="",'01_설정'!B31="",'01_설정'!B31&lt;=0,'01_설정'!B32="",'01_설정'!B32&lt;=0),"",MAX(0,(1-Y1001/'01_설정'!B32))*'01_설정'!B31)</f>
        <v/>
      </c>
    </row>
    <row r="1002" ht="17.25" customHeight="1">
      <c r="A1002" s="152">
        <f>IF(INDEX('04A_국토부원자료'!$A:$A,ROW()+1)="","",ROW()-3)</f>
        <v/>
      </c>
      <c r="B1002" s="48">
        <f>IFERROR(INDEX('04A_국토부원자료'!$A:$T,ROW()+1,MATCH("시군구",'04A_국토부원자료'!$A$4:$T$4,0)),"")</f>
        <v/>
      </c>
      <c r="C1002" s="48">
        <f>IF(B1002="","",IFERROR(INDEX('04A_국토부원자료'!$A:$T,ROW()+1,MATCH("번지",'04A_국토부원자료'!$A$4:$T$4,0)),""))</f>
        <v/>
      </c>
      <c r="D1002" s="48">
        <f>IF(B1002="","",IF(Q1002=1,'02_대상물건입력'!$B$8,IFERROR(INDEX('04A_국토부원자료'!$A:$T,ROW()+1,MATCH("단지명",'04A_국토부원자료'!$A$4:$T$4,0)),"")))</f>
        <v/>
      </c>
      <c r="E1002" s="172">
        <f>IFERROR(VALUE(SUBSTITUTE(INDEX('04A_국토부원자료'!$A:$T,ROW()+1,MATCH("전용면적(㎡)",'04A_국토부원자료'!$A$4:$T$4,0)),",","")),"")</f>
        <v/>
      </c>
      <c r="F10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02" s="51">
        <f>IFERROR(VALUE(SUBSTITUTE(INDEX('04A_국토부원자료'!$A:$T,ROW()+1,MATCH("거래금액(만원)",'04A_국토부원자료'!$A$4:$T$4,0)),",","")),"")</f>
        <v/>
      </c>
      <c r="H1002" s="174">
        <f>IF(G1002="","",G1002*10000)</f>
        <v/>
      </c>
      <c r="I1002" s="174">
        <f>IFERROR(IF(AND(H1002&gt;0,E1002&gt;0),H1002/E1002,""),"")</f>
        <v/>
      </c>
      <c r="J1002" s="152">
        <f>IFERROR(VALUE(SUBSTITUTE(INDEX('04A_국토부원자료'!$A:$T,ROW()+1,MATCH("층",'04A_국토부원자료'!$A$4:$T$4,0)),",","")),"")</f>
        <v/>
      </c>
      <c r="K1002" s="152">
        <f>IFERROR(VALUE(SUBSTITUTE(INDEX('04A_국토부원자료'!$A:$T,ROW()+1,MATCH("건축년도",'04A_국토부원자료'!$A$4:$T$4,0)),",","")),"")</f>
        <v/>
      </c>
      <c r="L1002" s="176">
        <f>IFERROR(INDEX('04A_국토부원자료'!$A:$T,ROW()+1,MATCH("도로명",'04A_국토부원자료'!$A$4:$T$4,0)),"")</f>
        <v/>
      </c>
      <c r="M1002" s="48">
        <f>IFERROR(INDEX('04A_국토부원자료'!$A:$T,ROW()+1,MATCH("거래유형",'04A_국토부원자료'!$A$4:$T$4,0)),"")</f>
        <v/>
      </c>
      <c r="N1002" s="152">
        <f>IF(B1002="","",IF('02_대상물건입력'!B5="",1,IF(ISNUMBER(SEARCH('02_대상물건입력'!B5,B1002)),1,0)))</f>
        <v/>
      </c>
      <c r="O1002" s="152">
        <f>IF(B1002="","",IF('02_대상물건입력'!B6="",1,IF(ISNUMBER(SEARCH('02_대상물건입력'!B6,B1002)),1,0)))</f>
        <v/>
      </c>
      <c r="P1002" s="152">
        <f>IF(L1002="","",IF('02_대상물건입력'!B15="",0,IF(ISNUMBER(SEARCH('02_대상물건입력'!B15,L1002)),1,0)))</f>
        <v/>
      </c>
      <c r="Q1002" s="152">
        <f>IF(OR(C1002="",L1002=""),0,IF(AND(TRIM(C1002)=TRIM(RIGHT(SUBSTITUTE(TRIM('02_대상물건입력'!$B$7)," ",REPT(" ",99)),99)),IF('02_대상물건입력'!B15="",TRUE(),ISNUMBER(SEARCH('02_대상물건입력'!B15,L1002)))),1,0))</f>
        <v/>
      </c>
      <c r="R1002" s="175">
        <f>IFERROR(ABS(E1002-'02_대상물건입력'!B11)/'02_대상물건입력'!B11,"")</f>
        <v/>
      </c>
      <c r="S1002" s="152">
        <f>IFERROR(ABS(J1002-'02_대상물건입력'!B10),"")</f>
        <v/>
      </c>
      <c r="T1002" s="152">
        <f>IFERROR(ABS('01_설정'!B4-F1002),"")</f>
        <v/>
      </c>
      <c r="U1002" s="152">
        <f>IFERROR(ABS(K1002-YEAR('02_대상물건입력'!B14)),"")</f>
        <v/>
      </c>
      <c r="V1002" s="152">
        <f>IF(B1002="","",IF(AND(E1002&gt;0,F1002&gt;0,H1002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1002=1,TRUE()),R1002&lt;='01_설정'!B5,S1002&lt;='01_설정'!B6,T1002&lt;='01_설정'!B7,U1002&lt;='01_설정'!B8),"Y",""))</f>
        <v/>
      </c>
      <c r="W1002" s="172">
        <f>IF(V1002&lt;&gt;"Y","",MAX(0,(1-R1002/'01_설정'!B5))*'01_설정'!B14+MAX(0,(1-S1002/'01_설정'!B6))*'01_설정'!B15+MAX(0,(1-T1002/'01_설정'!B7))*'01_설정'!B16+MAX(0,(1-U1002/'01_설정'!B8))*'01_설정'!B17+O1002*'01_설정'!B11+Q1002*'01_설정'!B12+P1002*'01_설정'!B13+IF(Z1002="",0,Z1002))</f>
        <v/>
      </c>
      <c r="X1002" s="152">
        <f>IF(W1002="","",1+COUNTIFS($W$4:$W$3003,"&gt;"&amp;W1002)+COUNTIFS($W$4:W1002,W1002)-1)</f>
        <v/>
      </c>
      <c r="Y1002" s="175">
        <f>IF(OR(I1002="",'02_대상물건입력'!B19="",'02_대상물건입력'!B19&lt;=0),"",ABS(I1002-'02_대상물건입력'!B19)/'02_대상물건입력'!B19)</f>
        <v/>
      </c>
      <c r="Z1002" s="172">
        <f>IF(OR(Y1002="",'01_설정'!B31="",'01_설정'!B31&lt;=0,'01_설정'!B32="",'01_설정'!B32&lt;=0),"",MAX(0,(1-Y1002/'01_설정'!B32))*'01_설정'!B31)</f>
        <v/>
      </c>
    </row>
    <row r="1003" ht="17.25" customHeight="1">
      <c r="A1003" s="152">
        <f>IF(INDEX('04A_국토부원자료'!$A:$A,ROW()+1)="","",ROW()-3)</f>
        <v/>
      </c>
      <c r="B1003" s="48">
        <f>IFERROR(INDEX('04A_국토부원자료'!$A:$T,ROW()+1,MATCH("시군구",'04A_국토부원자료'!$A$4:$T$4,0)),"")</f>
        <v/>
      </c>
      <c r="C1003" s="48">
        <f>IF(B1003="","",IFERROR(INDEX('04A_국토부원자료'!$A:$T,ROW()+1,MATCH("번지",'04A_국토부원자료'!$A$4:$T$4,0)),""))</f>
        <v/>
      </c>
      <c r="D1003" s="48">
        <f>IF(B1003="","",IF(Q1003=1,'02_대상물건입력'!$B$8,IFERROR(INDEX('04A_국토부원자료'!$A:$T,ROW()+1,MATCH("단지명",'04A_국토부원자료'!$A$4:$T$4,0)),"")))</f>
        <v/>
      </c>
      <c r="E1003" s="172">
        <f>IFERROR(VALUE(SUBSTITUTE(INDEX('04A_국토부원자료'!$A:$T,ROW()+1,MATCH("전용면적(㎡)",'04A_국토부원자료'!$A$4:$T$4,0)),",","")),"")</f>
        <v/>
      </c>
      <c r="F10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03" s="51">
        <f>IFERROR(VALUE(SUBSTITUTE(INDEX('04A_국토부원자료'!$A:$T,ROW()+1,MATCH("거래금액(만원)",'04A_국토부원자료'!$A$4:$T$4,0)),",","")),"")</f>
        <v/>
      </c>
      <c r="H1003" s="174">
        <f>IF(G1003="","",G1003*10000)</f>
        <v/>
      </c>
      <c r="I1003" s="174">
        <f>IFERROR(IF(AND(H1003&gt;0,E1003&gt;0),H1003/E1003,""),"")</f>
        <v/>
      </c>
      <c r="J1003" s="152">
        <f>IFERROR(VALUE(SUBSTITUTE(INDEX('04A_국토부원자료'!$A:$T,ROW()+1,MATCH("층",'04A_국토부원자료'!$A$4:$T$4,0)),",","")),"")</f>
        <v/>
      </c>
      <c r="K1003" s="152">
        <f>IFERROR(VALUE(SUBSTITUTE(INDEX('04A_국토부원자료'!$A:$T,ROW()+1,MATCH("건축년도",'04A_국토부원자료'!$A$4:$T$4,0)),",","")),"")</f>
        <v/>
      </c>
      <c r="L1003" s="176">
        <f>IFERROR(INDEX('04A_국토부원자료'!$A:$T,ROW()+1,MATCH("도로명",'04A_국토부원자료'!$A$4:$T$4,0)),"")</f>
        <v/>
      </c>
      <c r="M1003" s="48">
        <f>IFERROR(INDEX('04A_국토부원자료'!$A:$T,ROW()+1,MATCH("거래유형",'04A_국토부원자료'!$A$4:$T$4,0)),"")</f>
        <v/>
      </c>
      <c r="N1003" s="152">
        <f>IF(B1003="","",IF('02_대상물건입력'!B5="",1,IF(ISNUMBER(SEARCH('02_대상물건입력'!B5,B1003)),1,0)))</f>
        <v/>
      </c>
      <c r="O1003" s="152">
        <f>IF(B1003="","",IF('02_대상물건입력'!B6="",1,IF(ISNUMBER(SEARCH('02_대상물건입력'!B6,B1003)),1,0)))</f>
        <v/>
      </c>
      <c r="P1003" s="152">
        <f>IF(L1003="","",IF('02_대상물건입력'!B15="",0,IF(ISNUMBER(SEARCH('02_대상물건입력'!B15,L1003)),1,0)))</f>
        <v/>
      </c>
      <c r="Q1003" s="152">
        <f>IF(OR(C1003="",L1003=""),0,IF(AND(TRIM(C1003)=TRIM(RIGHT(SUBSTITUTE(TRIM('02_대상물건입력'!$B$7)," ",REPT(" ",99)),99)),IF('02_대상물건입력'!B15="",TRUE(),ISNUMBER(SEARCH('02_대상물건입력'!B15,L1003)))),1,0))</f>
        <v/>
      </c>
      <c r="R1003" s="175">
        <f>IFERROR(ABS(E1003-'02_대상물건입력'!B11)/'02_대상물건입력'!B11,"")</f>
        <v/>
      </c>
      <c r="S1003" s="152">
        <f>IFERROR(ABS(J1003-'02_대상물건입력'!B10),"")</f>
        <v/>
      </c>
      <c r="T1003" s="152">
        <f>IFERROR(ABS('01_설정'!B4-F1003),"")</f>
        <v/>
      </c>
      <c r="U1003" s="152">
        <f>IFERROR(ABS(K1003-YEAR('02_대상물건입력'!B14)),"")</f>
        <v/>
      </c>
      <c r="V1003" s="152">
        <f>IF(B1003="","",IF(AND(E1003&gt;0,F1003&gt;0,H1003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1003=1,TRUE()),R1003&lt;='01_설정'!B5,S1003&lt;='01_설정'!B6,T1003&lt;='01_설정'!B7,U1003&lt;='01_설정'!B8),"Y",""))</f>
        <v/>
      </c>
      <c r="W1003" s="172">
        <f>IF(V1003&lt;&gt;"Y","",MAX(0,(1-R1003/'01_설정'!B5))*'01_설정'!B14+MAX(0,(1-S1003/'01_설정'!B6))*'01_설정'!B15+MAX(0,(1-T1003/'01_설정'!B7))*'01_설정'!B16+MAX(0,(1-U1003/'01_설정'!B8))*'01_설정'!B17+O1003*'01_설정'!B11+Q1003*'01_설정'!B12+P1003*'01_설정'!B13+IF(Z1003="",0,Z1003))</f>
        <v/>
      </c>
      <c r="X1003" s="152">
        <f>IF(W1003="","",1+COUNTIFS($W$4:$W$3003,"&gt;"&amp;W1003)+COUNTIFS($W$4:W1003,W1003)-1)</f>
        <v/>
      </c>
      <c r="Y1003" s="175">
        <f>IF(OR(I1003="",'02_대상물건입력'!B19="",'02_대상물건입력'!B19&lt;=0),"",ABS(I1003-'02_대상물건입력'!B19)/'02_대상물건입력'!B19)</f>
        <v/>
      </c>
      <c r="Z1003" s="172">
        <f>IF(OR(Y1003="",'01_설정'!B31="",'01_설정'!B31&lt;=0,'01_설정'!B32="",'01_설정'!B32&lt;=0),"",MAX(0,(1-Y1003/'01_설정'!B32))*'01_설정'!B31)</f>
        <v/>
      </c>
    </row>
    <row r="1004" ht="17.25" customHeight="1">
      <c r="A1004" s="152">
        <f>IF(INDEX('04A_국토부원자료'!$A:$A,ROW()+1)="","",ROW()-3)</f>
        <v/>
      </c>
      <c r="B1004" s="48">
        <f>IFERROR(INDEX('04A_국토부원자료'!$A:$T,ROW()+1,MATCH("시군구",'04A_국토부원자료'!$A$4:$T$4,0)),"")</f>
        <v/>
      </c>
      <c r="C1004" s="48">
        <f>IF(B1004="","",IFERROR(INDEX('04A_국토부원자료'!$A:$T,ROW()+1,MATCH("번지",'04A_국토부원자료'!$A$4:$T$4,0)),""))</f>
        <v/>
      </c>
      <c r="D1004" s="48">
        <f>IF(B1004="","",IF(Q1004=1,'02_대상물건입력'!$B$8,IFERROR(INDEX('04A_국토부원자료'!$A:$T,ROW()+1,MATCH("단지명",'04A_국토부원자료'!$A$4:$T$4,0)),"")))</f>
        <v/>
      </c>
      <c r="E1004" s="172">
        <f>IFERROR(VALUE(SUBSTITUTE(INDEX('04A_국토부원자료'!$A:$T,ROW()+1,MATCH("전용면적(㎡)",'04A_국토부원자료'!$A$4:$T$4,0)),",","")),"")</f>
        <v/>
      </c>
      <c r="F10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04" s="51">
        <f>IFERROR(VALUE(SUBSTITUTE(INDEX('04A_국토부원자료'!$A:$T,ROW()+1,MATCH("거래금액(만원)",'04A_국토부원자료'!$A$4:$T$4,0)),",","")),"")</f>
        <v/>
      </c>
      <c r="H1004" s="174">
        <f>IF(G1004="","",G1004*10000)</f>
        <v/>
      </c>
      <c r="I1004" s="174">
        <f>IFERROR(IF(AND(H1004&gt;0,E1004&gt;0),H1004/E1004,""),"")</f>
        <v/>
      </c>
      <c r="J1004" s="152">
        <f>IFERROR(VALUE(SUBSTITUTE(INDEX('04A_국토부원자료'!$A:$T,ROW()+1,MATCH("층",'04A_국토부원자료'!$A$4:$T$4,0)),",","")),"")</f>
        <v/>
      </c>
      <c r="K1004" s="152">
        <f>IFERROR(VALUE(SUBSTITUTE(INDEX('04A_국토부원자료'!$A:$T,ROW()+1,MATCH("건축년도",'04A_국토부원자료'!$A$4:$T$4,0)),",","")),"")</f>
        <v/>
      </c>
      <c r="L1004" s="176">
        <f>IFERROR(INDEX('04A_국토부원자료'!$A:$T,ROW()+1,MATCH("도로명",'04A_국토부원자료'!$A$4:$T$4,0)),"")</f>
        <v/>
      </c>
      <c r="M1004" s="48">
        <f>IFERROR(INDEX('04A_국토부원자료'!$A:$T,ROW()+1,MATCH("거래유형",'04A_국토부원자료'!$A$4:$T$4,0)),"")</f>
        <v/>
      </c>
      <c r="N1004" s="152">
        <f>IF(B1004="","",IF('02_대상물건입력'!B5="",1,IF(ISNUMBER(SEARCH('02_대상물건입력'!B5,B1004)),1,0)))</f>
        <v/>
      </c>
      <c r="O1004" s="152">
        <f>IF(B1004="","",IF('02_대상물건입력'!B6="",1,IF(ISNUMBER(SEARCH('02_대상물건입력'!B6,B1004)),1,0)))</f>
        <v/>
      </c>
      <c r="P1004" s="152">
        <f>IF(L1004="","",IF('02_대상물건입력'!B15="",0,IF(ISNUMBER(SEARCH('02_대상물건입력'!B15,L1004)),1,0)))</f>
        <v/>
      </c>
      <c r="Q1004" s="152">
        <f>IF(OR(C1004="",L1004=""),0,IF(AND(TRIM(C1004)=TRIM(RIGHT(SUBSTITUTE(TRIM('02_대상물건입력'!$B$7)," ",REPT(" ",99)),99)),IF('02_대상물건입력'!B15="",TRUE(),ISNUMBER(SEARCH('02_대상물건입력'!B15,L1004)))),1,0))</f>
        <v/>
      </c>
      <c r="R1004" s="175">
        <f>IFERROR(ABS(E1004-'02_대상물건입력'!B11)/'02_대상물건입력'!B11,"")</f>
        <v/>
      </c>
      <c r="S1004" s="152">
        <f>IFERROR(ABS(J1004-'02_대상물건입력'!B10),"")</f>
        <v/>
      </c>
      <c r="T1004" s="152">
        <f>IFERROR(ABS('01_설정'!B4-F1004),"")</f>
        <v/>
      </c>
      <c r="U1004" s="152">
        <f>IFERROR(ABS(K1004-YEAR('02_대상물건입력'!B14)),"")</f>
        <v/>
      </c>
      <c r="V1004" s="152">
        <f>IF(B1004="","",IF(AND(E1004&gt;0,F1004&gt;0,H1004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1004=1,TRUE()),R1004&lt;='01_설정'!B5,S1004&lt;='01_설정'!B6,T1004&lt;='01_설정'!B7,U1004&lt;='01_설정'!B8),"Y",""))</f>
        <v/>
      </c>
      <c r="W1004" s="172">
        <f>IF(V1004&lt;&gt;"Y","",MAX(0,(1-R1004/'01_설정'!B5))*'01_설정'!B14+MAX(0,(1-S1004/'01_설정'!B6))*'01_설정'!B15+MAX(0,(1-T1004/'01_설정'!B7))*'01_설정'!B16+MAX(0,(1-U1004/'01_설정'!B8))*'01_설정'!B17+O1004*'01_설정'!B11+Q1004*'01_설정'!B12+P1004*'01_설정'!B13+IF(Z1004="",0,Z1004))</f>
        <v/>
      </c>
      <c r="X1004" s="152">
        <f>IF(W1004="","",1+COUNTIFS($W$4:$W$3003,"&gt;"&amp;W1004)+COUNTIFS($W$4:W1004,W1004)-1)</f>
        <v/>
      </c>
      <c r="Y1004" s="175">
        <f>IF(OR(I1004="",'02_대상물건입력'!B19="",'02_대상물건입력'!B19&lt;=0),"",ABS(I1004-'02_대상물건입력'!B19)/'02_대상물건입력'!B19)</f>
        <v/>
      </c>
      <c r="Z1004" s="172">
        <f>IF(OR(Y1004="",'01_설정'!B31="",'01_설정'!B31&lt;=0,'01_설정'!B32="",'01_설정'!B32&lt;=0),"",MAX(0,(1-Y1004/'01_설정'!B32))*'01_설정'!B31)</f>
        <v/>
      </c>
    </row>
    <row r="1005" ht="17.25" customHeight="1">
      <c r="A1005" s="152">
        <f>IF(INDEX('04A_국토부원자료'!$A:$A,ROW()+1)="","",ROW()-3)</f>
        <v/>
      </c>
      <c r="B1005" s="48">
        <f>IFERROR(INDEX('04A_국토부원자료'!$A:$T,ROW()+1,MATCH("시군구",'04A_국토부원자료'!$A$4:$T$4,0)),"")</f>
        <v/>
      </c>
      <c r="C1005" s="48">
        <f>IF(B1005="","",IFERROR(INDEX('04A_국토부원자료'!$A:$T,ROW()+1,MATCH("번지",'04A_국토부원자료'!$A$4:$T$4,0)),""))</f>
        <v/>
      </c>
      <c r="D1005" s="48">
        <f>IF(B1005="","",IF(Q1005=1,'02_대상물건입력'!$B$8,IFERROR(INDEX('04A_국토부원자료'!$A:$T,ROW()+1,MATCH("단지명",'04A_국토부원자료'!$A$4:$T$4,0)),"")))</f>
        <v/>
      </c>
      <c r="E1005" s="172">
        <f>IFERROR(VALUE(SUBSTITUTE(INDEX('04A_국토부원자료'!$A:$T,ROW()+1,MATCH("전용면적(㎡)",'04A_국토부원자료'!$A$4:$T$4,0)),",","")),"")</f>
        <v/>
      </c>
      <c r="F10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05" s="51">
        <f>IFERROR(VALUE(SUBSTITUTE(INDEX('04A_국토부원자료'!$A:$T,ROW()+1,MATCH("거래금액(만원)",'04A_국토부원자료'!$A$4:$T$4,0)),",","")),"")</f>
        <v/>
      </c>
      <c r="H1005" s="174">
        <f>IF(G1005="","",G1005*10000)</f>
        <v/>
      </c>
      <c r="I1005" s="174">
        <f>IFERROR(IF(AND(H1005&gt;0,E1005&gt;0),H1005/E1005,""),"")</f>
        <v/>
      </c>
      <c r="J1005" s="152">
        <f>IFERROR(VALUE(SUBSTITUTE(INDEX('04A_국토부원자료'!$A:$T,ROW()+1,MATCH("층",'04A_국토부원자료'!$A$4:$T$4,0)),",","")),"")</f>
        <v/>
      </c>
      <c r="K1005" s="152">
        <f>IFERROR(VALUE(SUBSTITUTE(INDEX('04A_국토부원자료'!$A:$T,ROW()+1,MATCH("건축년도",'04A_국토부원자료'!$A$4:$T$4,0)),",","")),"")</f>
        <v/>
      </c>
      <c r="L1005" s="176">
        <f>IFERROR(INDEX('04A_국토부원자료'!$A:$T,ROW()+1,MATCH("도로명",'04A_국토부원자료'!$A$4:$T$4,0)),"")</f>
        <v/>
      </c>
      <c r="M1005" s="48">
        <f>IFERROR(INDEX('04A_국토부원자료'!$A:$T,ROW()+1,MATCH("거래유형",'04A_국토부원자료'!$A$4:$T$4,0)),"")</f>
        <v/>
      </c>
      <c r="N1005" s="152">
        <f>IF(B1005="","",IF('02_대상물건입력'!B5="",1,IF(ISNUMBER(SEARCH('02_대상물건입력'!B5,B1005)),1,0)))</f>
        <v/>
      </c>
      <c r="O1005" s="152">
        <f>IF(B1005="","",IF('02_대상물건입력'!B6="",1,IF(ISNUMBER(SEARCH('02_대상물건입력'!B6,B1005)),1,0)))</f>
        <v/>
      </c>
      <c r="P1005" s="152">
        <f>IF(L1005="","",IF('02_대상물건입력'!B15="",0,IF(ISNUMBER(SEARCH('02_대상물건입력'!B15,L1005)),1,0)))</f>
        <v/>
      </c>
      <c r="Q1005" s="152">
        <f>IF(OR(C1005="",L1005=""),0,IF(AND(TRIM(C1005)=TRIM(RIGHT(SUBSTITUTE(TRIM('02_대상물건입력'!$B$7)," ",REPT(" ",99)),99)),IF('02_대상물건입력'!B15="",TRUE(),ISNUMBER(SEARCH('02_대상물건입력'!B15,L1005)))),1,0))</f>
        <v/>
      </c>
      <c r="R1005" s="175">
        <f>IFERROR(ABS(E1005-'02_대상물건입력'!B11)/'02_대상물건입력'!B11,"")</f>
        <v/>
      </c>
      <c r="S1005" s="152">
        <f>IFERROR(ABS(J1005-'02_대상물건입력'!B10),"")</f>
        <v/>
      </c>
      <c r="T1005" s="152">
        <f>IFERROR(ABS('01_설정'!B4-F1005),"")</f>
        <v/>
      </c>
      <c r="U1005" s="152">
        <f>IFERROR(ABS(K1005-YEAR('02_대상물건입력'!B14)),"")</f>
        <v/>
      </c>
      <c r="V1005" s="152">
        <f>IF(B1005="","",IF(AND(E1005&gt;0,F1005&gt;0,H1005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1005=1,TRUE()),R1005&lt;='01_설정'!B5,S1005&lt;='01_설정'!B6,T1005&lt;='01_설정'!B7,U1005&lt;='01_설정'!B8),"Y",""))</f>
        <v/>
      </c>
      <c r="W1005" s="172">
        <f>IF(V1005&lt;&gt;"Y","",MAX(0,(1-R1005/'01_설정'!B5))*'01_설정'!B14+MAX(0,(1-S1005/'01_설정'!B6))*'01_설정'!B15+MAX(0,(1-T1005/'01_설정'!B7))*'01_설정'!B16+MAX(0,(1-U1005/'01_설정'!B8))*'01_설정'!B17+O1005*'01_설정'!B11+Q1005*'01_설정'!B12+P1005*'01_설정'!B13+IF(Z1005="",0,Z1005))</f>
        <v/>
      </c>
      <c r="X1005" s="152">
        <f>IF(W1005="","",1+COUNTIFS($W$4:$W$3003,"&gt;"&amp;W1005)+COUNTIFS($W$4:W1005,W1005)-1)</f>
        <v/>
      </c>
      <c r="Y1005" s="175">
        <f>IF(OR(I1005="",'02_대상물건입력'!B19="",'02_대상물건입력'!B19&lt;=0),"",ABS(I1005-'02_대상물건입력'!B19)/'02_대상물건입력'!B19)</f>
        <v/>
      </c>
      <c r="Z1005" s="172">
        <f>IF(OR(Y1005="",'01_설정'!B31="",'01_설정'!B31&lt;=0,'01_설정'!B32="",'01_설정'!B32&lt;=0),"",MAX(0,(1-Y1005/'01_설정'!B32))*'01_설정'!B31)</f>
        <v/>
      </c>
    </row>
    <row r="1006" ht="17.25" customHeight="1">
      <c r="A1006" s="152">
        <f>IF(INDEX('04A_국토부원자료'!$A:$A,ROW()+1)="","",ROW()-3)</f>
        <v/>
      </c>
      <c r="B1006" s="48">
        <f>IFERROR(INDEX('04A_국토부원자료'!$A:$T,ROW()+1,MATCH("시군구",'04A_국토부원자료'!$A$4:$T$4,0)),"")</f>
        <v/>
      </c>
      <c r="C1006" s="48">
        <f>IF(B1006="","",IFERROR(INDEX('04A_국토부원자료'!$A:$T,ROW()+1,MATCH("번지",'04A_국토부원자료'!$A$4:$T$4,0)),""))</f>
        <v/>
      </c>
      <c r="D1006" s="48">
        <f>IF(B1006="","",IF(Q1006=1,'02_대상물건입력'!$B$8,IFERROR(INDEX('04A_국토부원자료'!$A:$T,ROW()+1,MATCH("단지명",'04A_국토부원자료'!$A$4:$T$4,0)),"")))</f>
        <v/>
      </c>
      <c r="E1006" s="172">
        <f>IFERROR(VALUE(SUBSTITUTE(INDEX('04A_국토부원자료'!$A:$T,ROW()+1,MATCH("전용면적(㎡)",'04A_국토부원자료'!$A$4:$T$4,0)),",","")),"")</f>
        <v/>
      </c>
      <c r="F10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06" s="51">
        <f>IFERROR(VALUE(SUBSTITUTE(INDEX('04A_국토부원자료'!$A:$T,ROW()+1,MATCH("거래금액(만원)",'04A_국토부원자료'!$A$4:$T$4,0)),",","")),"")</f>
        <v/>
      </c>
      <c r="H1006" s="174">
        <f>IF(G1006="","",G1006*10000)</f>
        <v/>
      </c>
      <c r="I1006" s="174">
        <f>IFERROR(IF(AND(H1006&gt;0,E1006&gt;0),H1006/E1006,""),"")</f>
        <v/>
      </c>
      <c r="J1006" s="152">
        <f>IFERROR(VALUE(SUBSTITUTE(INDEX('04A_국토부원자료'!$A:$T,ROW()+1,MATCH("층",'04A_국토부원자료'!$A$4:$T$4,0)),",","")),"")</f>
        <v/>
      </c>
      <c r="K1006" s="152">
        <f>IFERROR(VALUE(SUBSTITUTE(INDEX('04A_국토부원자료'!$A:$T,ROW()+1,MATCH("건축년도",'04A_국토부원자료'!$A$4:$T$4,0)),",","")),"")</f>
        <v/>
      </c>
      <c r="L1006" s="176">
        <f>IFERROR(INDEX('04A_국토부원자료'!$A:$T,ROW()+1,MATCH("도로명",'04A_국토부원자료'!$A$4:$T$4,0)),"")</f>
        <v/>
      </c>
      <c r="M1006" s="48">
        <f>IFERROR(INDEX('04A_국토부원자료'!$A:$T,ROW()+1,MATCH("거래유형",'04A_국토부원자료'!$A$4:$T$4,0)),"")</f>
        <v/>
      </c>
      <c r="N1006" s="152">
        <f>IF(B1006="","",IF('02_대상물건입력'!B5="",1,IF(ISNUMBER(SEARCH('02_대상물건입력'!B5,B1006)),1,0)))</f>
        <v/>
      </c>
      <c r="O1006" s="152">
        <f>IF(B1006="","",IF('02_대상물건입력'!B6="",1,IF(ISNUMBER(SEARCH('02_대상물건입력'!B6,B1006)),1,0)))</f>
        <v/>
      </c>
      <c r="P1006" s="152">
        <f>IF(L1006="","",IF('02_대상물건입력'!B15="",0,IF(ISNUMBER(SEARCH('02_대상물건입력'!B15,L1006)),1,0)))</f>
        <v/>
      </c>
      <c r="Q1006" s="152">
        <f>IF(OR(C1006="",L1006=""),0,IF(AND(TRIM(C1006)=TRIM(RIGHT(SUBSTITUTE(TRIM('02_대상물건입력'!$B$7)," ",REPT(" ",99)),99)),IF('02_대상물건입력'!B15="",TRUE(),ISNUMBER(SEARCH('02_대상물건입력'!B15,L1006)))),1,0))</f>
        <v/>
      </c>
      <c r="R1006" s="175">
        <f>IFERROR(ABS(E1006-'02_대상물건입력'!B11)/'02_대상물건입력'!B11,"")</f>
        <v/>
      </c>
      <c r="S1006" s="152">
        <f>IFERROR(ABS(J1006-'02_대상물건입력'!B10),"")</f>
        <v/>
      </c>
      <c r="T1006" s="152">
        <f>IFERROR(ABS('01_설정'!B4-F1006),"")</f>
        <v/>
      </c>
      <c r="U1006" s="152">
        <f>IFERROR(ABS(K1006-YEAR('02_대상물건입력'!B14)),"")</f>
        <v/>
      </c>
      <c r="V1006" s="152">
        <f>IF(B1006="","",IF(AND(E1006&gt;0,F1006&gt;0,H1006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1006=1,TRUE()),R1006&lt;='01_설정'!B5,S1006&lt;='01_설정'!B6,T1006&lt;='01_설정'!B7,U1006&lt;='01_설정'!B8),"Y",""))</f>
        <v/>
      </c>
      <c r="W1006" s="172">
        <f>IF(V1006&lt;&gt;"Y","",MAX(0,(1-R1006/'01_설정'!B5))*'01_설정'!B14+MAX(0,(1-S1006/'01_설정'!B6))*'01_설정'!B15+MAX(0,(1-T1006/'01_설정'!B7))*'01_설정'!B16+MAX(0,(1-U1006/'01_설정'!B8))*'01_설정'!B17+O1006*'01_설정'!B11+Q1006*'01_설정'!B12+P1006*'01_설정'!B13+IF(Z1006="",0,Z1006))</f>
        <v/>
      </c>
      <c r="X1006" s="152">
        <f>IF(W1006="","",1+COUNTIFS($W$4:$W$3003,"&gt;"&amp;W1006)+COUNTIFS($W$4:W1006,W1006)-1)</f>
        <v/>
      </c>
      <c r="Y1006" s="175">
        <f>IF(OR(I1006="",'02_대상물건입력'!B19="",'02_대상물건입력'!B19&lt;=0),"",ABS(I1006-'02_대상물건입력'!B19)/'02_대상물건입력'!B19)</f>
        <v/>
      </c>
      <c r="Z1006" s="172">
        <f>IF(OR(Y1006="",'01_설정'!B31="",'01_설정'!B31&lt;=0,'01_설정'!B32="",'01_설정'!B32&lt;=0),"",MAX(0,(1-Y1006/'01_설정'!B32))*'01_설정'!B31)</f>
        <v/>
      </c>
    </row>
    <row r="1007" ht="17.25" customHeight="1">
      <c r="A1007" s="152">
        <f>IF(INDEX('04A_국토부원자료'!$A:$A,ROW()+1)="","",ROW()-3)</f>
        <v/>
      </c>
      <c r="B1007" s="48">
        <f>IFERROR(INDEX('04A_국토부원자료'!$A:$T,ROW()+1,MATCH("시군구",'04A_국토부원자료'!$A$4:$T$4,0)),"")</f>
        <v/>
      </c>
      <c r="C1007" s="48">
        <f>IF(B1007="","",IFERROR(INDEX('04A_국토부원자료'!$A:$T,ROW()+1,MATCH("번지",'04A_국토부원자료'!$A$4:$T$4,0)),""))</f>
        <v/>
      </c>
      <c r="D1007" s="48">
        <f>IF(B1007="","",IF(Q1007=1,'02_대상물건입력'!$B$8,IFERROR(INDEX('04A_국토부원자료'!$A:$T,ROW()+1,MATCH("단지명",'04A_국토부원자료'!$A$4:$T$4,0)),"")))</f>
        <v/>
      </c>
      <c r="E1007" s="172">
        <f>IFERROR(VALUE(SUBSTITUTE(INDEX('04A_국토부원자료'!$A:$T,ROW()+1,MATCH("전용면적(㎡)",'04A_국토부원자료'!$A$4:$T$4,0)),",","")),"")</f>
        <v/>
      </c>
      <c r="F10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07" s="51">
        <f>IFERROR(VALUE(SUBSTITUTE(INDEX('04A_국토부원자료'!$A:$T,ROW()+1,MATCH("거래금액(만원)",'04A_국토부원자료'!$A$4:$T$4,0)),",","")),"")</f>
        <v/>
      </c>
      <c r="H1007" s="174">
        <f>IF(G1007="","",G1007*10000)</f>
        <v/>
      </c>
      <c r="I1007" s="174">
        <f>IFERROR(IF(AND(H1007&gt;0,E1007&gt;0),H1007/E1007,""),"")</f>
        <v/>
      </c>
      <c r="J1007" s="152">
        <f>IFERROR(VALUE(SUBSTITUTE(INDEX('04A_국토부원자료'!$A:$T,ROW()+1,MATCH("층",'04A_국토부원자료'!$A$4:$T$4,0)),",","")),"")</f>
        <v/>
      </c>
      <c r="K1007" s="152">
        <f>IFERROR(VALUE(SUBSTITUTE(INDEX('04A_국토부원자료'!$A:$T,ROW()+1,MATCH("건축년도",'04A_국토부원자료'!$A$4:$T$4,0)),",","")),"")</f>
        <v/>
      </c>
      <c r="L1007" s="176">
        <f>IFERROR(INDEX('04A_국토부원자료'!$A:$T,ROW()+1,MATCH("도로명",'04A_국토부원자료'!$A$4:$T$4,0)),"")</f>
        <v/>
      </c>
      <c r="M1007" s="48">
        <f>IFERROR(INDEX('04A_국토부원자료'!$A:$T,ROW()+1,MATCH("거래유형",'04A_국토부원자료'!$A$4:$T$4,0)),"")</f>
        <v/>
      </c>
      <c r="N1007" s="152">
        <f>IF(B1007="","",IF('02_대상물건입력'!B5="",1,IF(ISNUMBER(SEARCH('02_대상물건입력'!B5,B1007)),1,0)))</f>
        <v/>
      </c>
      <c r="O1007" s="152">
        <f>IF(B1007="","",IF('02_대상물건입력'!B6="",1,IF(ISNUMBER(SEARCH('02_대상물건입력'!B6,B1007)),1,0)))</f>
        <v/>
      </c>
      <c r="P1007" s="152">
        <f>IF(L1007="","",IF('02_대상물건입력'!B15="",0,IF(ISNUMBER(SEARCH('02_대상물건입력'!B15,L1007)),1,0)))</f>
        <v/>
      </c>
      <c r="Q1007" s="152">
        <f>IF(OR(C1007="",L1007=""),0,IF(AND(TRIM(C1007)=TRIM(RIGHT(SUBSTITUTE(TRIM('02_대상물건입력'!$B$7)," ",REPT(" ",99)),99)),IF('02_대상물건입력'!B15="",TRUE(),ISNUMBER(SEARCH('02_대상물건입력'!B15,L1007)))),1,0))</f>
        <v/>
      </c>
      <c r="R1007" s="175">
        <f>IFERROR(ABS(E1007-'02_대상물건입력'!B11)/'02_대상물건입력'!B11,"")</f>
        <v/>
      </c>
      <c r="S1007" s="152">
        <f>IFERROR(ABS(J1007-'02_대상물건입력'!B10),"")</f>
        <v/>
      </c>
      <c r="T1007" s="152">
        <f>IFERROR(ABS('01_설정'!B4-F1007),"")</f>
        <v/>
      </c>
      <c r="U1007" s="152">
        <f>IFERROR(ABS(K1007-YEAR('02_대상물건입력'!B14)),"")</f>
        <v/>
      </c>
      <c r="V1007" s="152">
        <f>IF(B1007="","",IF(AND(E1007&gt;0,F1007&gt;0,H1007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1007=1,TRUE()),R1007&lt;='01_설정'!B5,S1007&lt;='01_설정'!B6,T1007&lt;='01_설정'!B7,U1007&lt;='01_설정'!B8),"Y",""))</f>
        <v/>
      </c>
      <c r="W1007" s="172">
        <f>IF(V1007&lt;&gt;"Y","",MAX(0,(1-R1007/'01_설정'!B5))*'01_설정'!B14+MAX(0,(1-S1007/'01_설정'!B6))*'01_설정'!B15+MAX(0,(1-T1007/'01_설정'!B7))*'01_설정'!B16+MAX(0,(1-U1007/'01_설정'!B8))*'01_설정'!B17+O1007*'01_설정'!B11+Q1007*'01_설정'!B12+P1007*'01_설정'!B13+IF(Z1007="",0,Z1007))</f>
        <v/>
      </c>
      <c r="X1007" s="152">
        <f>IF(W1007="","",1+COUNTIFS($W$4:$W$3003,"&gt;"&amp;W1007)+COUNTIFS($W$4:W1007,W1007)-1)</f>
        <v/>
      </c>
      <c r="Y1007" s="175">
        <f>IF(OR(I1007="",'02_대상물건입력'!B19="",'02_대상물건입력'!B19&lt;=0),"",ABS(I1007-'02_대상물건입력'!B19)/'02_대상물건입력'!B19)</f>
        <v/>
      </c>
      <c r="Z1007" s="172">
        <f>IF(OR(Y1007="",'01_설정'!B31="",'01_설정'!B31&lt;=0,'01_설정'!B32="",'01_설정'!B32&lt;=0),"",MAX(0,(1-Y1007/'01_설정'!B32))*'01_설정'!B31)</f>
        <v/>
      </c>
    </row>
    <row r="1008" ht="17.25" customHeight="1">
      <c r="A1008" s="152">
        <f>IF(INDEX('04A_국토부원자료'!$A:$A,ROW()+1)="","",ROW()-3)</f>
        <v/>
      </c>
      <c r="B1008" s="48">
        <f>IFERROR(INDEX('04A_국토부원자료'!$A:$T,ROW()+1,MATCH("시군구",'04A_국토부원자료'!$A$4:$T$4,0)),"")</f>
        <v/>
      </c>
      <c r="C1008" s="48">
        <f>IF(B1008="","",IFERROR(INDEX('04A_국토부원자료'!$A:$T,ROW()+1,MATCH("번지",'04A_국토부원자료'!$A$4:$T$4,0)),""))</f>
        <v/>
      </c>
      <c r="D1008" s="48">
        <f>IF(B1008="","",IF(Q1008=1,'02_대상물건입력'!$B$8,IFERROR(INDEX('04A_국토부원자료'!$A:$T,ROW()+1,MATCH("단지명",'04A_국토부원자료'!$A$4:$T$4,0)),"")))</f>
        <v/>
      </c>
      <c r="E1008" s="172">
        <f>IFERROR(VALUE(SUBSTITUTE(INDEX('04A_국토부원자료'!$A:$T,ROW()+1,MATCH("전용면적(㎡)",'04A_국토부원자료'!$A$4:$T$4,0)),",","")),"")</f>
        <v/>
      </c>
      <c r="F10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08" s="51">
        <f>IFERROR(VALUE(SUBSTITUTE(INDEX('04A_국토부원자료'!$A:$T,ROW()+1,MATCH("거래금액(만원)",'04A_국토부원자료'!$A$4:$T$4,0)),",","")),"")</f>
        <v/>
      </c>
      <c r="H1008" s="174">
        <f>IF(G1008="","",G1008*10000)</f>
        <v/>
      </c>
      <c r="I1008" s="174">
        <f>IFERROR(IF(AND(H1008&gt;0,E1008&gt;0),H1008/E1008,""),"")</f>
        <v/>
      </c>
      <c r="J1008" s="152">
        <f>IFERROR(VALUE(SUBSTITUTE(INDEX('04A_국토부원자료'!$A:$T,ROW()+1,MATCH("층",'04A_국토부원자료'!$A$4:$T$4,0)),",","")),"")</f>
        <v/>
      </c>
      <c r="K1008" s="152">
        <f>IFERROR(VALUE(SUBSTITUTE(INDEX('04A_국토부원자료'!$A:$T,ROW()+1,MATCH("건축년도",'04A_국토부원자료'!$A$4:$T$4,0)),",","")),"")</f>
        <v/>
      </c>
      <c r="L1008" s="176">
        <f>IFERROR(INDEX('04A_국토부원자료'!$A:$T,ROW()+1,MATCH("도로명",'04A_국토부원자료'!$A$4:$T$4,0)),"")</f>
        <v/>
      </c>
      <c r="M1008" s="48">
        <f>IFERROR(INDEX('04A_국토부원자료'!$A:$T,ROW()+1,MATCH("거래유형",'04A_국토부원자료'!$A$4:$T$4,0)),"")</f>
        <v/>
      </c>
      <c r="N1008" s="152">
        <f>IF(B1008="","",IF('02_대상물건입력'!B5="",1,IF(ISNUMBER(SEARCH('02_대상물건입력'!B5,B1008)),1,0)))</f>
        <v/>
      </c>
      <c r="O1008" s="152">
        <f>IF(B1008="","",IF('02_대상물건입력'!B6="",1,IF(ISNUMBER(SEARCH('02_대상물건입력'!B6,B1008)),1,0)))</f>
        <v/>
      </c>
      <c r="P1008" s="152">
        <f>IF(L1008="","",IF('02_대상물건입력'!B15="",0,IF(ISNUMBER(SEARCH('02_대상물건입력'!B15,L1008)),1,0)))</f>
        <v/>
      </c>
      <c r="Q1008" s="152">
        <f>IF(OR(C1008="",L1008=""),0,IF(AND(TRIM(C1008)=TRIM(RIGHT(SUBSTITUTE(TRIM('02_대상물건입력'!$B$7)," ",REPT(" ",99)),99)),IF('02_대상물건입력'!B15="",TRUE(),ISNUMBER(SEARCH('02_대상물건입력'!B15,L1008)))),1,0))</f>
        <v/>
      </c>
      <c r="R1008" s="175">
        <f>IFERROR(ABS(E1008-'02_대상물건입력'!B11)/'02_대상물건입력'!B11,"")</f>
        <v/>
      </c>
      <c r="S1008" s="152">
        <f>IFERROR(ABS(J1008-'02_대상물건입력'!B10),"")</f>
        <v/>
      </c>
      <c r="T1008" s="152">
        <f>IFERROR(ABS('01_설정'!B4-F1008),"")</f>
        <v/>
      </c>
      <c r="U1008" s="152">
        <f>IFERROR(ABS(K1008-YEAR('02_대상물건입력'!B14)),"")</f>
        <v/>
      </c>
      <c r="V1008" s="152">
        <f>IF(B1008="","",IF(AND(E1008&gt;0,F1008&gt;0,H1008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1008=1,TRUE()),R1008&lt;='01_설정'!B5,S1008&lt;='01_설정'!B6,T1008&lt;='01_설정'!B7,U1008&lt;='01_설정'!B8),"Y",""))</f>
        <v/>
      </c>
      <c r="W1008" s="172">
        <f>IF(V1008&lt;&gt;"Y","",MAX(0,(1-R1008/'01_설정'!B5))*'01_설정'!B14+MAX(0,(1-S1008/'01_설정'!B6))*'01_설정'!B15+MAX(0,(1-T1008/'01_설정'!B7))*'01_설정'!B16+MAX(0,(1-U1008/'01_설정'!B8))*'01_설정'!B17+O1008*'01_설정'!B11+Q1008*'01_설정'!B12+P1008*'01_설정'!B13+IF(Z1008="",0,Z1008))</f>
        <v/>
      </c>
      <c r="X1008" s="152">
        <f>IF(W1008="","",1+COUNTIFS($W$4:$W$3003,"&gt;"&amp;W1008)+COUNTIFS($W$4:W1008,W1008)-1)</f>
        <v/>
      </c>
      <c r="Y1008" s="175">
        <f>IF(OR(I1008="",'02_대상물건입력'!B19="",'02_대상물건입력'!B19&lt;=0),"",ABS(I1008-'02_대상물건입력'!B19)/'02_대상물건입력'!B19)</f>
        <v/>
      </c>
      <c r="Z1008" s="172">
        <f>IF(OR(Y1008="",'01_설정'!B31="",'01_설정'!B31&lt;=0,'01_설정'!B32="",'01_설정'!B32&lt;=0),"",MAX(0,(1-Y1008/'01_설정'!B32))*'01_설정'!B31)</f>
        <v/>
      </c>
    </row>
    <row r="1009" ht="17.25" customHeight="1">
      <c r="A1009" s="152">
        <f>IF(INDEX('04A_국토부원자료'!$A:$A,ROW()+1)="","",ROW()-3)</f>
        <v/>
      </c>
      <c r="B1009" s="48">
        <f>IFERROR(INDEX('04A_국토부원자료'!$A:$T,ROW()+1,MATCH("시군구",'04A_국토부원자료'!$A$4:$T$4,0)),"")</f>
        <v/>
      </c>
      <c r="C1009" s="48">
        <f>IF(B1009="","",IFERROR(INDEX('04A_국토부원자료'!$A:$T,ROW()+1,MATCH("번지",'04A_국토부원자료'!$A$4:$T$4,0)),""))</f>
        <v/>
      </c>
      <c r="D1009" s="48">
        <f>IF(B1009="","",IF(Q1009=1,'02_대상물건입력'!$B$8,IFERROR(INDEX('04A_국토부원자료'!$A:$T,ROW()+1,MATCH("단지명",'04A_국토부원자료'!$A$4:$T$4,0)),"")))</f>
        <v/>
      </c>
      <c r="E1009" s="172">
        <f>IFERROR(VALUE(SUBSTITUTE(INDEX('04A_국토부원자료'!$A:$T,ROW()+1,MATCH("전용면적(㎡)",'04A_국토부원자료'!$A$4:$T$4,0)),",","")),"")</f>
        <v/>
      </c>
      <c r="F10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09" s="51">
        <f>IFERROR(VALUE(SUBSTITUTE(INDEX('04A_국토부원자료'!$A:$T,ROW()+1,MATCH("거래금액(만원)",'04A_국토부원자료'!$A$4:$T$4,0)),",","")),"")</f>
        <v/>
      </c>
      <c r="H1009" s="174">
        <f>IF(G1009="","",G1009*10000)</f>
        <v/>
      </c>
      <c r="I1009" s="174">
        <f>IFERROR(IF(AND(H1009&gt;0,E1009&gt;0),H1009/E1009,""),"")</f>
        <v/>
      </c>
      <c r="J1009" s="152">
        <f>IFERROR(VALUE(SUBSTITUTE(INDEX('04A_국토부원자료'!$A:$T,ROW()+1,MATCH("층",'04A_국토부원자료'!$A$4:$T$4,0)),",","")),"")</f>
        <v/>
      </c>
      <c r="K1009" s="152">
        <f>IFERROR(VALUE(SUBSTITUTE(INDEX('04A_국토부원자료'!$A:$T,ROW()+1,MATCH("건축년도",'04A_국토부원자료'!$A$4:$T$4,0)),",","")),"")</f>
        <v/>
      </c>
      <c r="L1009" s="176">
        <f>IFERROR(INDEX('04A_국토부원자료'!$A:$T,ROW()+1,MATCH("도로명",'04A_국토부원자료'!$A$4:$T$4,0)),"")</f>
        <v/>
      </c>
      <c r="M1009" s="48">
        <f>IFERROR(INDEX('04A_국토부원자료'!$A:$T,ROW()+1,MATCH("거래유형",'04A_국토부원자료'!$A$4:$T$4,0)),"")</f>
        <v/>
      </c>
      <c r="N1009" s="152">
        <f>IF(B1009="","",IF('02_대상물건입력'!B5="",1,IF(ISNUMBER(SEARCH('02_대상물건입력'!B5,B1009)),1,0)))</f>
        <v/>
      </c>
      <c r="O1009" s="152">
        <f>IF(B1009="","",IF('02_대상물건입력'!B6="",1,IF(ISNUMBER(SEARCH('02_대상물건입력'!B6,B1009)),1,0)))</f>
        <v/>
      </c>
      <c r="P1009" s="152">
        <f>IF(L1009="","",IF('02_대상물건입력'!B15="",0,IF(ISNUMBER(SEARCH('02_대상물건입력'!B15,L1009)),1,0)))</f>
        <v/>
      </c>
      <c r="Q1009" s="152">
        <f>IF(OR(C1009="",L1009=""),0,IF(AND(TRIM(C1009)=TRIM(RIGHT(SUBSTITUTE(TRIM('02_대상물건입력'!$B$7)," ",REPT(" ",99)),99)),IF('02_대상물건입력'!B15="",TRUE(),ISNUMBER(SEARCH('02_대상물건입력'!B15,L1009)))),1,0))</f>
        <v/>
      </c>
      <c r="R1009" s="175">
        <f>IFERROR(ABS(E1009-'02_대상물건입력'!B11)/'02_대상물건입력'!B11,"")</f>
        <v/>
      </c>
      <c r="S1009" s="152">
        <f>IFERROR(ABS(J1009-'02_대상물건입력'!B10),"")</f>
        <v/>
      </c>
      <c r="T1009" s="152">
        <f>IFERROR(ABS('01_설정'!B4-F1009),"")</f>
        <v/>
      </c>
      <c r="U1009" s="152">
        <f>IFERROR(ABS(K1009-YEAR('02_대상물건입력'!B14)),"")</f>
        <v/>
      </c>
      <c r="V1009" s="152">
        <f>IF(B1009="","",IF(AND(E1009&gt;0,F1009&gt;0,H1009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1009=1,TRUE()),R1009&lt;='01_설정'!B5,S1009&lt;='01_설정'!B6,T1009&lt;='01_설정'!B7,U1009&lt;='01_설정'!B8),"Y",""))</f>
        <v/>
      </c>
      <c r="W1009" s="172">
        <f>IF(V1009&lt;&gt;"Y","",MAX(0,(1-R1009/'01_설정'!B5))*'01_설정'!B14+MAX(0,(1-S1009/'01_설정'!B6))*'01_설정'!B15+MAX(0,(1-T1009/'01_설정'!B7))*'01_설정'!B16+MAX(0,(1-U1009/'01_설정'!B8))*'01_설정'!B17+O1009*'01_설정'!B11+Q1009*'01_설정'!B12+P1009*'01_설정'!B13+IF(Z1009="",0,Z1009))</f>
        <v/>
      </c>
      <c r="X1009" s="152">
        <f>IF(W1009="","",1+COUNTIFS($W$4:$W$3003,"&gt;"&amp;W1009)+COUNTIFS($W$4:W1009,W1009)-1)</f>
        <v/>
      </c>
      <c r="Y1009" s="175">
        <f>IF(OR(I1009="",'02_대상물건입력'!B19="",'02_대상물건입력'!B19&lt;=0),"",ABS(I1009-'02_대상물건입력'!B19)/'02_대상물건입력'!B19)</f>
        <v/>
      </c>
      <c r="Z1009" s="172">
        <f>IF(OR(Y1009="",'01_설정'!B31="",'01_설정'!B31&lt;=0,'01_설정'!B32="",'01_설정'!B32&lt;=0),"",MAX(0,(1-Y1009/'01_설정'!B32))*'01_설정'!B31)</f>
        <v/>
      </c>
    </row>
    <row r="1010" ht="17.25" customHeight="1">
      <c r="A1010" s="152">
        <f>IF(INDEX('04A_국토부원자료'!$A:$A,ROW()+1)="","",ROW()-3)</f>
        <v/>
      </c>
      <c r="B1010" s="48">
        <f>IFERROR(INDEX('04A_국토부원자료'!$A:$T,ROW()+1,MATCH("시군구",'04A_국토부원자료'!$A$4:$T$4,0)),"")</f>
        <v/>
      </c>
      <c r="C1010" s="48">
        <f>IF(B1010="","",IFERROR(INDEX('04A_국토부원자료'!$A:$T,ROW()+1,MATCH("번지",'04A_국토부원자료'!$A$4:$T$4,0)),""))</f>
        <v/>
      </c>
      <c r="D1010" s="48">
        <f>IF(B1010="","",IF(Q1010=1,'02_대상물건입력'!$B$8,IFERROR(INDEX('04A_국토부원자료'!$A:$T,ROW()+1,MATCH("단지명",'04A_국토부원자료'!$A$4:$T$4,0)),"")))</f>
        <v/>
      </c>
      <c r="E1010" s="172">
        <f>IFERROR(VALUE(SUBSTITUTE(INDEX('04A_국토부원자료'!$A:$T,ROW()+1,MATCH("전용면적(㎡)",'04A_국토부원자료'!$A$4:$T$4,0)),",","")),"")</f>
        <v/>
      </c>
      <c r="F10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10" s="51">
        <f>IFERROR(VALUE(SUBSTITUTE(INDEX('04A_국토부원자료'!$A:$T,ROW()+1,MATCH("거래금액(만원)",'04A_국토부원자료'!$A$4:$T$4,0)),",","")),"")</f>
        <v/>
      </c>
      <c r="H1010" s="174">
        <f>IF(G1010="","",G1010*10000)</f>
        <v/>
      </c>
      <c r="I1010" s="174">
        <f>IFERROR(IF(AND(H1010&gt;0,E1010&gt;0),H1010/E1010,""),"")</f>
        <v/>
      </c>
      <c r="J1010" s="152">
        <f>IFERROR(VALUE(SUBSTITUTE(INDEX('04A_국토부원자료'!$A:$T,ROW()+1,MATCH("층",'04A_국토부원자료'!$A$4:$T$4,0)),",","")),"")</f>
        <v/>
      </c>
      <c r="K1010" s="152">
        <f>IFERROR(VALUE(SUBSTITUTE(INDEX('04A_국토부원자료'!$A:$T,ROW()+1,MATCH("건축년도",'04A_국토부원자료'!$A$4:$T$4,0)),",","")),"")</f>
        <v/>
      </c>
      <c r="L1010" s="176">
        <f>IFERROR(INDEX('04A_국토부원자료'!$A:$T,ROW()+1,MATCH("도로명",'04A_국토부원자료'!$A$4:$T$4,0)),"")</f>
        <v/>
      </c>
      <c r="M1010" s="48">
        <f>IFERROR(INDEX('04A_국토부원자료'!$A:$T,ROW()+1,MATCH("거래유형",'04A_국토부원자료'!$A$4:$T$4,0)),"")</f>
        <v/>
      </c>
      <c r="N1010" s="152">
        <f>IF(B1010="","",IF('02_대상물건입력'!B5="",1,IF(ISNUMBER(SEARCH('02_대상물건입력'!B5,B1010)),1,0)))</f>
        <v/>
      </c>
      <c r="O1010" s="152">
        <f>IF(B1010="","",IF('02_대상물건입력'!B6="",1,IF(ISNUMBER(SEARCH('02_대상물건입력'!B6,B1010)),1,0)))</f>
        <v/>
      </c>
      <c r="P1010" s="152">
        <f>IF(L1010="","",IF('02_대상물건입력'!B15="",0,IF(ISNUMBER(SEARCH('02_대상물건입력'!B15,L1010)),1,0)))</f>
        <v/>
      </c>
      <c r="Q1010" s="152">
        <f>IF(OR(C1010="",L1010=""),0,IF(AND(TRIM(C1010)=TRIM(RIGHT(SUBSTITUTE(TRIM('02_대상물건입력'!$B$7)," ",REPT(" ",99)),99)),IF('02_대상물건입력'!B15="",TRUE(),ISNUMBER(SEARCH('02_대상물건입력'!B15,L1010)))),1,0))</f>
        <v/>
      </c>
      <c r="R1010" s="175">
        <f>IFERROR(ABS(E1010-'02_대상물건입력'!B11)/'02_대상물건입력'!B11,"")</f>
        <v/>
      </c>
      <c r="S1010" s="152">
        <f>IFERROR(ABS(J1010-'02_대상물건입력'!B10),"")</f>
        <v/>
      </c>
      <c r="T1010" s="152">
        <f>IFERROR(ABS('01_설정'!B4-F1010),"")</f>
        <v/>
      </c>
      <c r="U1010" s="152">
        <f>IFERROR(ABS(K1010-YEAR('02_대상물건입력'!B14)),"")</f>
        <v/>
      </c>
      <c r="V1010" s="152">
        <f>IF(B1010="","",IF(AND(E1010&gt;0,F1010&gt;0,H1010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1010=1,TRUE()),R1010&lt;='01_설정'!B5,S1010&lt;='01_설정'!B6,T1010&lt;='01_설정'!B7,U1010&lt;='01_설정'!B8),"Y",""))</f>
        <v/>
      </c>
      <c r="W1010" s="172">
        <f>IF(V1010&lt;&gt;"Y","",MAX(0,(1-R1010/'01_설정'!B5))*'01_설정'!B14+MAX(0,(1-S1010/'01_설정'!B6))*'01_설정'!B15+MAX(0,(1-T1010/'01_설정'!B7))*'01_설정'!B16+MAX(0,(1-U1010/'01_설정'!B8))*'01_설정'!B17+O1010*'01_설정'!B11+Q1010*'01_설정'!B12+P1010*'01_설정'!B13+IF(Z1010="",0,Z1010))</f>
        <v/>
      </c>
      <c r="X1010" s="152">
        <f>IF(W1010="","",1+COUNTIFS($W$4:$W$3003,"&gt;"&amp;W1010)+COUNTIFS($W$4:W1010,W1010)-1)</f>
        <v/>
      </c>
      <c r="Y1010" s="175">
        <f>IF(OR(I1010="",'02_대상물건입력'!B19="",'02_대상물건입력'!B19&lt;=0),"",ABS(I1010-'02_대상물건입력'!B19)/'02_대상물건입력'!B19)</f>
        <v/>
      </c>
      <c r="Z1010" s="172">
        <f>IF(OR(Y1010="",'01_설정'!B31="",'01_설정'!B31&lt;=0,'01_설정'!B32="",'01_설정'!B32&lt;=0),"",MAX(0,(1-Y1010/'01_설정'!B32))*'01_설정'!B31)</f>
        <v/>
      </c>
    </row>
    <row r="1011" ht="17.25" customHeight="1">
      <c r="A1011" s="152">
        <f>IF(INDEX('04A_국토부원자료'!$A:$A,ROW()+1)="","",ROW()-3)</f>
        <v/>
      </c>
      <c r="B1011" s="48">
        <f>IFERROR(INDEX('04A_국토부원자료'!$A:$T,ROW()+1,MATCH("시군구",'04A_국토부원자료'!$A$4:$T$4,0)),"")</f>
        <v/>
      </c>
      <c r="C1011" s="48">
        <f>IF(B1011="","",IFERROR(INDEX('04A_국토부원자료'!$A:$T,ROW()+1,MATCH("번지",'04A_국토부원자료'!$A$4:$T$4,0)),""))</f>
        <v/>
      </c>
      <c r="D1011" s="48">
        <f>IF(B1011="","",IF(Q1011=1,'02_대상물건입력'!$B$8,IFERROR(INDEX('04A_국토부원자료'!$A:$T,ROW()+1,MATCH("단지명",'04A_국토부원자료'!$A$4:$T$4,0)),"")))</f>
        <v/>
      </c>
      <c r="E1011" s="172">
        <f>IFERROR(VALUE(SUBSTITUTE(INDEX('04A_국토부원자료'!$A:$T,ROW()+1,MATCH("전용면적(㎡)",'04A_국토부원자료'!$A$4:$T$4,0)),",","")),"")</f>
        <v/>
      </c>
      <c r="F10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11" s="51">
        <f>IFERROR(VALUE(SUBSTITUTE(INDEX('04A_국토부원자료'!$A:$T,ROW()+1,MATCH("거래금액(만원)",'04A_국토부원자료'!$A$4:$T$4,0)),",","")),"")</f>
        <v/>
      </c>
      <c r="H1011" s="174">
        <f>IF(G1011="","",G1011*10000)</f>
        <v/>
      </c>
      <c r="I1011" s="174">
        <f>IFERROR(IF(AND(H1011&gt;0,E1011&gt;0),H1011/E1011,""),"")</f>
        <v/>
      </c>
      <c r="J1011" s="152">
        <f>IFERROR(VALUE(SUBSTITUTE(INDEX('04A_국토부원자료'!$A:$T,ROW()+1,MATCH("층",'04A_국토부원자료'!$A$4:$T$4,0)),",","")),"")</f>
        <v/>
      </c>
      <c r="K1011" s="152">
        <f>IFERROR(VALUE(SUBSTITUTE(INDEX('04A_국토부원자료'!$A:$T,ROW()+1,MATCH("건축년도",'04A_국토부원자료'!$A$4:$T$4,0)),",","")),"")</f>
        <v/>
      </c>
      <c r="L1011" s="176">
        <f>IFERROR(INDEX('04A_국토부원자료'!$A:$T,ROW()+1,MATCH("도로명",'04A_국토부원자료'!$A$4:$T$4,0)),"")</f>
        <v/>
      </c>
      <c r="M1011" s="48">
        <f>IFERROR(INDEX('04A_국토부원자료'!$A:$T,ROW()+1,MATCH("거래유형",'04A_국토부원자료'!$A$4:$T$4,0)),"")</f>
        <v/>
      </c>
      <c r="N1011" s="152">
        <f>IF(B1011="","",IF('02_대상물건입력'!B5="",1,IF(ISNUMBER(SEARCH('02_대상물건입력'!B5,B1011)),1,0)))</f>
        <v/>
      </c>
      <c r="O1011" s="152">
        <f>IF(B1011="","",IF('02_대상물건입력'!B6="",1,IF(ISNUMBER(SEARCH('02_대상물건입력'!B6,B1011)),1,0)))</f>
        <v/>
      </c>
      <c r="P1011" s="152">
        <f>IF(L1011="","",IF('02_대상물건입력'!B15="",0,IF(ISNUMBER(SEARCH('02_대상물건입력'!B15,L1011)),1,0)))</f>
        <v/>
      </c>
      <c r="Q1011" s="152">
        <f>IF(OR(C1011="",L1011=""),0,IF(AND(TRIM(C1011)=TRIM(RIGHT(SUBSTITUTE(TRIM('02_대상물건입력'!$B$7)," ",REPT(" ",99)),99)),IF('02_대상물건입력'!B15="",TRUE(),ISNUMBER(SEARCH('02_대상물건입력'!B15,L1011)))),1,0))</f>
        <v/>
      </c>
      <c r="R1011" s="175">
        <f>IFERROR(ABS(E1011-'02_대상물건입력'!B11)/'02_대상물건입력'!B11,"")</f>
        <v/>
      </c>
      <c r="S1011" s="152">
        <f>IFERROR(ABS(J1011-'02_대상물건입력'!B10),"")</f>
        <v/>
      </c>
      <c r="T1011" s="152">
        <f>IFERROR(ABS('01_설정'!B4-F1011),"")</f>
        <v/>
      </c>
      <c r="U1011" s="152">
        <f>IFERROR(ABS(K1011-YEAR('02_대상물건입력'!B14)),"")</f>
        <v/>
      </c>
      <c r="V1011" s="152">
        <f>IF(B1011="","",IF(AND(E1011&gt;0,F1011&gt;0,H1011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1011=1,TRUE()),R1011&lt;='01_설정'!B5,S1011&lt;='01_설정'!B6,T1011&lt;='01_설정'!B7,U1011&lt;='01_설정'!B8),"Y",""))</f>
        <v/>
      </c>
      <c r="W1011" s="172">
        <f>IF(V1011&lt;&gt;"Y","",MAX(0,(1-R1011/'01_설정'!B5))*'01_설정'!B14+MAX(0,(1-S1011/'01_설정'!B6))*'01_설정'!B15+MAX(0,(1-T1011/'01_설정'!B7))*'01_설정'!B16+MAX(0,(1-U1011/'01_설정'!B8))*'01_설정'!B17+O1011*'01_설정'!B11+Q1011*'01_설정'!B12+P1011*'01_설정'!B13+IF(Z1011="",0,Z1011))</f>
        <v/>
      </c>
      <c r="X1011" s="152">
        <f>IF(W1011="","",1+COUNTIFS($W$4:$W$3003,"&gt;"&amp;W1011)+COUNTIFS($W$4:W1011,W1011)-1)</f>
        <v/>
      </c>
      <c r="Y1011" s="175">
        <f>IF(OR(I1011="",'02_대상물건입력'!B19="",'02_대상물건입력'!B19&lt;=0),"",ABS(I1011-'02_대상물건입력'!B19)/'02_대상물건입력'!B19)</f>
        <v/>
      </c>
      <c r="Z1011" s="172">
        <f>IF(OR(Y1011="",'01_설정'!B31="",'01_설정'!B31&lt;=0,'01_설정'!B32="",'01_설정'!B32&lt;=0),"",MAX(0,(1-Y1011/'01_설정'!B32))*'01_설정'!B31)</f>
        <v/>
      </c>
    </row>
    <row r="1012" ht="17.25" customHeight="1">
      <c r="A1012" s="152">
        <f>IF(INDEX('04A_국토부원자료'!$A:$A,ROW()+1)="","",ROW()-3)</f>
        <v/>
      </c>
      <c r="B1012" s="48">
        <f>IFERROR(INDEX('04A_국토부원자료'!$A:$T,ROW()+1,MATCH("시군구",'04A_국토부원자료'!$A$4:$T$4,0)),"")</f>
        <v/>
      </c>
      <c r="C1012" s="48">
        <f>IF(B1012="","",IFERROR(INDEX('04A_국토부원자료'!$A:$T,ROW()+1,MATCH("번지",'04A_국토부원자료'!$A$4:$T$4,0)),""))</f>
        <v/>
      </c>
      <c r="D1012" s="48">
        <f>IF(B1012="","",IF(Q1012=1,'02_대상물건입력'!$B$8,IFERROR(INDEX('04A_국토부원자료'!$A:$T,ROW()+1,MATCH("단지명",'04A_국토부원자료'!$A$4:$T$4,0)),"")))</f>
        <v/>
      </c>
      <c r="E1012" s="172">
        <f>IFERROR(VALUE(SUBSTITUTE(INDEX('04A_국토부원자료'!$A:$T,ROW()+1,MATCH("전용면적(㎡)",'04A_국토부원자료'!$A$4:$T$4,0)),",","")),"")</f>
        <v/>
      </c>
      <c r="F10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12" s="51">
        <f>IFERROR(VALUE(SUBSTITUTE(INDEX('04A_국토부원자료'!$A:$T,ROW()+1,MATCH("거래금액(만원)",'04A_국토부원자료'!$A$4:$T$4,0)),",","")),"")</f>
        <v/>
      </c>
      <c r="H1012" s="174">
        <f>IF(G1012="","",G1012*10000)</f>
        <v/>
      </c>
      <c r="I1012" s="174">
        <f>IFERROR(IF(AND(H1012&gt;0,E1012&gt;0),H1012/E1012,""),"")</f>
        <v/>
      </c>
      <c r="J1012" s="152">
        <f>IFERROR(VALUE(SUBSTITUTE(INDEX('04A_국토부원자료'!$A:$T,ROW()+1,MATCH("층",'04A_국토부원자료'!$A$4:$T$4,0)),",","")),"")</f>
        <v/>
      </c>
      <c r="K1012" s="152">
        <f>IFERROR(VALUE(SUBSTITUTE(INDEX('04A_국토부원자료'!$A:$T,ROW()+1,MATCH("건축년도",'04A_국토부원자료'!$A$4:$T$4,0)),",","")),"")</f>
        <v/>
      </c>
      <c r="L1012" s="176">
        <f>IFERROR(INDEX('04A_국토부원자료'!$A:$T,ROW()+1,MATCH("도로명",'04A_국토부원자료'!$A$4:$T$4,0)),"")</f>
        <v/>
      </c>
      <c r="M1012" s="48">
        <f>IFERROR(INDEX('04A_국토부원자료'!$A:$T,ROW()+1,MATCH("거래유형",'04A_국토부원자료'!$A$4:$T$4,0)),"")</f>
        <v/>
      </c>
      <c r="N1012" s="152">
        <f>IF(B1012="","",IF('02_대상물건입력'!B5="",1,IF(ISNUMBER(SEARCH('02_대상물건입력'!B5,B1012)),1,0)))</f>
        <v/>
      </c>
      <c r="O1012" s="152">
        <f>IF(B1012="","",IF('02_대상물건입력'!B6="",1,IF(ISNUMBER(SEARCH('02_대상물건입력'!B6,B1012)),1,0)))</f>
        <v/>
      </c>
      <c r="P1012" s="152">
        <f>IF(L1012="","",IF('02_대상물건입력'!B15="",0,IF(ISNUMBER(SEARCH('02_대상물건입력'!B15,L1012)),1,0)))</f>
        <v/>
      </c>
      <c r="Q1012" s="152">
        <f>IF(OR(C1012="",L1012=""),0,IF(AND(TRIM(C1012)=TRIM(RIGHT(SUBSTITUTE(TRIM('02_대상물건입력'!$B$7)," ",REPT(" ",99)),99)),IF('02_대상물건입력'!B15="",TRUE(),ISNUMBER(SEARCH('02_대상물건입력'!B15,L1012)))),1,0))</f>
        <v/>
      </c>
      <c r="R1012" s="175">
        <f>IFERROR(ABS(E1012-'02_대상물건입력'!B11)/'02_대상물건입력'!B11,"")</f>
        <v/>
      </c>
      <c r="S1012" s="152">
        <f>IFERROR(ABS(J1012-'02_대상물건입력'!B10),"")</f>
        <v/>
      </c>
      <c r="T1012" s="152">
        <f>IFERROR(ABS('01_설정'!B4-F1012),"")</f>
        <v/>
      </c>
      <c r="U1012" s="152">
        <f>IFERROR(ABS(K1012-YEAR('02_대상물건입력'!B14)),"")</f>
        <v/>
      </c>
      <c r="V1012" s="152">
        <f>IF(B1012="","",IF(AND(E1012&gt;0,F1012&gt;0,H1012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1012=1,TRUE()),R1012&lt;='01_설정'!B5,S1012&lt;='01_설정'!B6,T1012&lt;='01_설정'!B7,U1012&lt;='01_설정'!B8),"Y",""))</f>
        <v/>
      </c>
      <c r="W1012" s="172">
        <f>IF(V1012&lt;&gt;"Y","",MAX(0,(1-R1012/'01_설정'!B5))*'01_설정'!B14+MAX(0,(1-S1012/'01_설정'!B6))*'01_설정'!B15+MAX(0,(1-T1012/'01_설정'!B7))*'01_설정'!B16+MAX(0,(1-U1012/'01_설정'!B8))*'01_설정'!B17+O1012*'01_설정'!B11+Q1012*'01_설정'!B12+P1012*'01_설정'!B13+IF(Z1012="",0,Z1012))</f>
        <v/>
      </c>
      <c r="X1012" s="152">
        <f>IF(W1012="","",1+COUNTIFS($W$4:$W$3003,"&gt;"&amp;W1012)+COUNTIFS($W$4:W1012,W1012)-1)</f>
        <v/>
      </c>
      <c r="Y1012" s="175">
        <f>IF(OR(I1012="",'02_대상물건입력'!B19="",'02_대상물건입력'!B19&lt;=0),"",ABS(I1012-'02_대상물건입력'!B19)/'02_대상물건입력'!B19)</f>
        <v/>
      </c>
      <c r="Z1012" s="172">
        <f>IF(OR(Y1012="",'01_설정'!B31="",'01_설정'!B31&lt;=0,'01_설정'!B32="",'01_설정'!B32&lt;=0),"",MAX(0,(1-Y1012/'01_설정'!B32))*'01_설정'!B31)</f>
        <v/>
      </c>
    </row>
    <row r="1013" ht="17.25" customHeight="1">
      <c r="A1013" s="152">
        <f>IF(INDEX('04A_국토부원자료'!$A:$A,ROW()+1)="","",ROW()-3)</f>
        <v/>
      </c>
      <c r="B1013" s="48">
        <f>IFERROR(INDEX('04A_국토부원자료'!$A:$T,ROW()+1,MATCH("시군구",'04A_국토부원자료'!$A$4:$T$4,0)),"")</f>
        <v/>
      </c>
      <c r="C1013" s="48">
        <f>IF(B1013="","",IFERROR(INDEX('04A_국토부원자료'!$A:$T,ROW()+1,MATCH("번지",'04A_국토부원자료'!$A$4:$T$4,0)),""))</f>
        <v/>
      </c>
      <c r="D1013" s="48">
        <f>IF(B1013="","",IF(Q1013=1,'02_대상물건입력'!$B$8,IFERROR(INDEX('04A_국토부원자료'!$A:$T,ROW()+1,MATCH("단지명",'04A_국토부원자료'!$A$4:$T$4,0)),"")))</f>
        <v/>
      </c>
      <c r="E1013" s="172">
        <f>IFERROR(VALUE(SUBSTITUTE(INDEX('04A_국토부원자료'!$A:$T,ROW()+1,MATCH("전용면적(㎡)",'04A_국토부원자료'!$A$4:$T$4,0)),",","")),"")</f>
        <v/>
      </c>
      <c r="F10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13" s="51">
        <f>IFERROR(VALUE(SUBSTITUTE(INDEX('04A_국토부원자료'!$A:$T,ROW()+1,MATCH("거래금액(만원)",'04A_국토부원자료'!$A$4:$T$4,0)),",","")),"")</f>
        <v/>
      </c>
      <c r="H1013" s="174">
        <f>IF(G1013="","",G1013*10000)</f>
        <v/>
      </c>
      <c r="I1013" s="174">
        <f>IFERROR(IF(AND(H1013&gt;0,E1013&gt;0),H1013/E1013,""),"")</f>
        <v/>
      </c>
      <c r="J1013" s="152">
        <f>IFERROR(VALUE(SUBSTITUTE(INDEX('04A_국토부원자료'!$A:$T,ROW()+1,MATCH("층",'04A_국토부원자료'!$A$4:$T$4,0)),",","")),"")</f>
        <v/>
      </c>
      <c r="K1013" s="152">
        <f>IFERROR(VALUE(SUBSTITUTE(INDEX('04A_국토부원자료'!$A:$T,ROW()+1,MATCH("건축년도",'04A_국토부원자료'!$A$4:$T$4,0)),",","")),"")</f>
        <v/>
      </c>
      <c r="L1013" s="176">
        <f>IFERROR(INDEX('04A_국토부원자료'!$A:$T,ROW()+1,MATCH("도로명",'04A_국토부원자료'!$A$4:$T$4,0)),"")</f>
        <v/>
      </c>
      <c r="M1013" s="48">
        <f>IFERROR(INDEX('04A_국토부원자료'!$A:$T,ROW()+1,MATCH("거래유형",'04A_국토부원자료'!$A$4:$T$4,0)),"")</f>
        <v/>
      </c>
      <c r="N1013" s="152">
        <f>IF(B1013="","",IF('02_대상물건입력'!B5="",1,IF(ISNUMBER(SEARCH('02_대상물건입력'!B5,B1013)),1,0)))</f>
        <v/>
      </c>
      <c r="O1013" s="152">
        <f>IF(B1013="","",IF('02_대상물건입력'!B6="",1,IF(ISNUMBER(SEARCH('02_대상물건입력'!B6,B1013)),1,0)))</f>
        <v/>
      </c>
      <c r="P1013" s="152">
        <f>IF(L1013="","",IF('02_대상물건입력'!B15="",0,IF(ISNUMBER(SEARCH('02_대상물건입력'!B15,L1013)),1,0)))</f>
        <v/>
      </c>
      <c r="Q1013" s="152">
        <f>IF(OR(C1013="",L1013=""),0,IF(AND(TRIM(C1013)=TRIM(RIGHT(SUBSTITUTE(TRIM('02_대상물건입력'!$B$7)," ",REPT(" ",99)),99)),IF('02_대상물건입력'!B15="",TRUE(),ISNUMBER(SEARCH('02_대상물건입력'!B15,L1013)))),1,0))</f>
        <v/>
      </c>
      <c r="R1013" s="175">
        <f>IFERROR(ABS(E1013-'02_대상물건입력'!B11)/'02_대상물건입력'!B11,"")</f>
        <v/>
      </c>
      <c r="S1013" s="152">
        <f>IFERROR(ABS(J1013-'02_대상물건입력'!B10),"")</f>
        <v/>
      </c>
      <c r="T1013" s="152">
        <f>IFERROR(ABS('01_설정'!B4-F1013),"")</f>
        <v/>
      </c>
      <c r="U1013" s="152">
        <f>IFERROR(ABS(K1013-YEAR('02_대상물건입력'!B14)),"")</f>
        <v/>
      </c>
      <c r="V1013" s="152">
        <f>IF(B1013="","",IF(AND(E1013&gt;0,F1013&gt;0,H1013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1013=1,TRUE()),R1013&lt;='01_설정'!B5,S1013&lt;='01_설정'!B6,T1013&lt;='01_설정'!B7,U1013&lt;='01_설정'!B8),"Y",""))</f>
        <v/>
      </c>
      <c r="W1013" s="172">
        <f>IF(V1013&lt;&gt;"Y","",MAX(0,(1-R1013/'01_설정'!B5))*'01_설정'!B14+MAX(0,(1-S1013/'01_설정'!B6))*'01_설정'!B15+MAX(0,(1-T1013/'01_설정'!B7))*'01_설정'!B16+MAX(0,(1-U1013/'01_설정'!B8))*'01_설정'!B17+O1013*'01_설정'!B11+Q1013*'01_설정'!B12+P1013*'01_설정'!B13+IF(Z1013="",0,Z1013))</f>
        <v/>
      </c>
      <c r="X1013" s="152">
        <f>IF(W1013="","",1+COUNTIFS($W$4:$W$3003,"&gt;"&amp;W1013)+COUNTIFS($W$4:W1013,W1013)-1)</f>
        <v/>
      </c>
      <c r="Y1013" s="175">
        <f>IF(OR(I1013="",'02_대상물건입력'!B19="",'02_대상물건입력'!B19&lt;=0),"",ABS(I1013-'02_대상물건입력'!B19)/'02_대상물건입력'!B19)</f>
        <v/>
      </c>
      <c r="Z1013" s="172">
        <f>IF(OR(Y1013="",'01_설정'!B31="",'01_설정'!B31&lt;=0,'01_설정'!B32="",'01_설정'!B32&lt;=0),"",MAX(0,(1-Y1013/'01_설정'!B32))*'01_설정'!B31)</f>
        <v/>
      </c>
    </row>
    <row r="1014" ht="17.25" customHeight="1">
      <c r="A1014" s="152">
        <f>IF(INDEX('04A_국토부원자료'!$A:$A,ROW()+1)="","",ROW()-3)</f>
        <v/>
      </c>
      <c r="B1014" s="48">
        <f>IFERROR(INDEX('04A_국토부원자료'!$A:$T,ROW()+1,MATCH("시군구",'04A_국토부원자료'!$A$4:$T$4,0)),"")</f>
        <v/>
      </c>
      <c r="C1014" s="48">
        <f>IF(B1014="","",IFERROR(INDEX('04A_국토부원자료'!$A:$T,ROW()+1,MATCH("번지",'04A_국토부원자료'!$A$4:$T$4,0)),""))</f>
        <v/>
      </c>
      <c r="D1014" s="48">
        <f>IF(B1014="","",IF(Q1014=1,'02_대상물건입력'!$B$8,IFERROR(INDEX('04A_국토부원자료'!$A:$T,ROW()+1,MATCH("단지명",'04A_국토부원자료'!$A$4:$T$4,0)),"")))</f>
        <v/>
      </c>
      <c r="E1014" s="172">
        <f>IFERROR(VALUE(SUBSTITUTE(INDEX('04A_국토부원자료'!$A:$T,ROW()+1,MATCH("전용면적(㎡)",'04A_국토부원자료'!$A$4:$T$4,0)),",","")),"")</f>
        <v/>
      </c>
      <c r="F10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14" s="51">
        <f>IFERROR(VALUE(SUBSTITUTE(INDEX('04A_국토부원자료'!$A:$T,ROW()+1,MATCH("거래금액(만원)",'04A_국토부원자료'!$A$4:$T$4,0)),",","")),"")</f>
        <v/>
      </c>
      <c r="H1014" s="174">
        <f>IF(G1014="","",G1014*10000)</f>
        <v/>
      </c>
      <c r="I1014" s="174">
        <f>IFERROR(IF(AND(H1014&gt;0,E1014&gt;0),H1014/E1014,""),"")</f>
        <v/>
      </c>
      <c r="J1014" s="152">
        <f>IFERROR(VALUE(SUBSTITUTE(INDEX('04A_국토부원자료'!$A:$T,ROW()+1,MATCH("층",'04A_국토부원자료'!$A$4:$T$4,0)),",","")),"")</f>
        <v/>
      </c>
      <c r="K1014" s="152">
        <f>IFERROR(VALUE(SUBSTITUTE(INDEX('04A_국토부원자료'!$A:$T,ROW()+1,MATCH("건축년도",'04A_국토부원자료'!$A$4:$T$4,0)),",","")),"")</f>
        <v/>
      </c>
      <c r="L1014" s="176">
        <f>IFERROR(INDEX('04A_국토부원자료'!$A:$T,ROW()+1,MATCH("도로명",'04A_국토부원자료'!$A$4:$T$4,0)),"")</f>
        <v/>
      </c>
      <c r="M1014" s="48">
        <f>IFERROR(INDEX('04A_국토부원자료'!$A:$T,ROW()+1,MATCH("거래유형",'04A_국토부원자료'!$A$4:$T$4,0)),"")</f>
        <v/>
      </c>
      <c r="N1014" s="152">
        <f>IF(B1014="","",IF('02_대상물건입력'!B5="",1,IF(ISNUMBER(SEARCH('02_대상물건입력'!B5,B1014)),1,0)))</f>
        <v/>
      </c>
      <c r="O1014" s="152">
        <f>IF(B1014="","",IF('02_대상물건입력'!B6="",1,IF(ISNUMBER(SEARCH('02_대상물건입력'!B6,B1014)),1,0)))</f>
        <v/>
      </c>
      <c r="P1014" s="152">
        <f>IF(L1014="","",IF('02_대상물건입력'!B15="",0,IF(ISNUMBER(SEARCH('02_대상물건입력'!B15,L1014)),1,0)))</f>
        <v/>
      </c>
      <c r="Q1014" s="152">
        <f>IF(OR(C1014="",L1014=""),0,IF(AND(TRIM(C1014)=TRIM(RIGHT(SUBSTITUTE(TRIM('02_대상물건입력'!$B$7)," ",REPT(" ",99)),99)),IF('02_대상물건입력'!B15="",TRUE(),ISNUMBER(SEARCH('02_대상물건입력'!B15,L1014)))),1,0))</f>
        <v/>
      </c>
      <c r="R1014" s="175">
        <f>IFERROR(ABS(E1014-'02_대상물건입력'!B11)/'02_대상물건입력'!B11,"")</f>
        <v/>
      </c>
      <c r="S1014" s="152">
        <f>IFERROR(ABS(J1014-'02_대상물건입력'!B10),"")</f>
        <v/>
      </c>
      <c r="T1014" s="152">
        <f>IFERROR(ABS('01_설정'!B4-F1014),"")</f>
        <v/>
      </c>
      <c r="U1014" s="152">
        <f>IFERROR(ABS(K1014-YEAR('02_대상물건입력'!B14)),"")</f>
        <v/>
      </c>
      <c r="V1014" s="152">
        <f>IF(B1014="","",IF(AND(E1014&gt;0,F1014&gt;0,H1014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1014=1,TRUE()),R1014&lt;='01_설정'!B5,S1014&lt;='01_설정'!B6,T1014&lt;='01_설정'!B7,U1014&lt;='01_설정'!B8),"Y",""))</f>
        <v/>
      </c>
      <c r="W1014" s="172">
        <f>IF(V1014&lt;&gt;"Y","",MAX(0,(1-R1014/'01_설정'!B5))*'01_설정'!B14+MAX(0,(1-S1014/'01_설정'!B6))*'01_설정'!B15+MAX(0,(1-T1014/'01_설정'!B7))*'01_설정'!B16+MAX(0,(1-U1014/'01_설정'!B8))*'01_설정'!B17+O1014*'01_설정'!B11+Q1014*'01_설정'!B12+P1014*'01_설정'!B13+IF(Z1014="",0,Z1014))</f>
        <v/>
      </c>
      <c r="X1014" s="152">
        <f>IF(W1014="","",1+COUNTIFS($W$4:$W$3003,"&gt;"&amp;W1014)+COUNTIFS($W$4:W1014,W1014)-1)</f>
        <v/>
      </c>
      <c r="Y1014" s="175">
        <f>IF(OR(I1014="",'02_대상물건입력'!B19="",'02_대상물건입력'!B19&lt;=0),"",ABS(I1014-'02_대상물건입력'!B19)/'02_대상물건입력'!B19)</f>
        <v/>
      </c>
      <c r="Z1014" s="172">
        <f>IF(OR(Y1014="",'01_설정'!B31="",'01_설정'!B31&lt;=0,'01_설정'!B32="",'01_설정'!B32&lt;=0),"",MAX(0,(1-Y1014/'01_설정'!B32))*'01_설정'!B31)</f>
        <v/>
      </c>
    </row>
    <row r="1015" ht="17.25" customHeight="1">
      <c r="A1015" s="152">
        <f>IF(INDEX('04A_국토부원자료'!$A:$A,ROW()+1)="","",ROW()-3)</f>
        <v/>
      </c>
      <c r="B1015" s="48">
        <f>IFERROR(INDEX('04A_국토부원자료'!$A:$T,ROW()+1,MATCH("시군구",'04A_국토부원자료'!$A$4:$T$4,0)),"")</f>
        <v/>
      </c>
      <c r="C1015" s="48">
        <f>IF(B1015="","",IFERROR(INDEX('04A_국토부원자료'!$A:$T,ROW()+1,MATCH("번지",'04A_국토부원자료'!$A$4:$T$4,0)),""))</f>
        <v/>
      </c>
      <c r="D1015" s="48">
        <f>IF(B1015="","",IF(Q1015=1,'02_대상물건입력'!$B$8,IFERROR(INDEX('04A_국토부원자료'!$A:$T,ROW()+1,MATCH("단지명",'04A_국토부원자료'!$A$4:$T$4,0)),"")))</f>
        <v/>
      </c>
      <c r="E1015" s="172">
        <f>IFERROR(VALUE(SUBSTITUTE(INDEX('04A_국토부원자료'!$A:$T,ROW()+1,MATCH("전용면적(㎡)",'04A_국토부원자료'!$A$4:$T$4,0)),",","")),"")</f>
        <v/>
      </c>
      <c r="F10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15" s="51">
        <f>IFERROR(VALUE(SUBSTITUTE(INDEX('04A_국토부원자료'!$A:$T,ROW()+1,MATCH("거래금액(만원)",'04A_국토부원자료'!$A$4:$T$4,0)),",","")),"")</f>
        <v/>
      </c>
      <c r="H1015" s="174">
        <f>IF(G1015="","",G1015*10000)</f>
        <v/>
      </c>
      <c r="I1015" s="174">
        <f>IFERROR(IF(AND(H1015&gt;0,E1015&gt;0),H1015/E1015,""),"")</f>
        <v/>
      </c>
      <c r="J1015" s="152">
        <f>IFERROR(VALUE(SUBSTITUTE(INDEX('04A_국토부원자료'!$A:$T,ROW()+1,MATCH("층",'04A_국토부원자료'!$A$4:$T$4,0)),",","")),"")</f>
        <v/>
      </c>
      <c r="K1015" s="152">
        <f>IFERROR(VALUE(SUBSTITUTE(INDEX('04A_국토부원자료'!$A:$T,ROW()+1,MATCH("건축년도",'04A_국토부원자료'!$A$4:$T$4,0)),",","")),"")</f>
        <v/>
      </c>
      <c r="L1015" s="176">
        <f>IFERROR(INDEX('04A_국토부원자료'!$A:$T,ROW()+1,MATCH("도로명",'04A_국토부원자료'!$A$4:$T$4,0)),"")</f>
        <v/>
      </c>
      <c r="M1015" s="48">
        <f>IFERROR(INDEX('04A_국토부원자료'!$A:$T,ROW()+1,MATCH("거래유형",'04A_국토부원자료'!$A$4:$T$4,0)),"")</f>
        <v/>
      </c>
      <c r="N1015" s="152">
        <f>IF(B1015="","",IF('02_대상물건입력'!B5="",1,IF(ISNUMBER(SEARCH('02_대상물건입력'!B5,B1015)),1,0)))</f>
        <v/>
      </c>
      <c r="O1015" s="152">
        <f>IF(B1015="","",IF('02_대상물건입력'!B6="",1,IF(ISNUMBER(SEARCH('02_대상물건입력'!B6,B1015)),1,0)))</f>
        <v/>
      </c>
      <c r="P1015" s="152">
        <f>IF(L1015="","",IF('02_대상물건입력'!B15="",0,IF(ISNUMBER(SEARCH('02_대상물건입력'!B15,L1015)),1,0)))</f>
        <v/>
      </c>
      <c r="Q1015" s="152">
        <f>IF(OR(C1015="",L1015=""),0,IF(AND(TRIM(C1015)=TRIM(RIGHT(SUBSTITUTE(TRIM('02_대상물건입력'!$B$7)," ",REPT(" ",99)),99)),IF('02_대상물건입력'!B15="",TRUE(),ISNUMBER(SEARCH('02_대상물건입력'!B15,L1015)))),1,0))</f>
        <v/>
      </c>
      <c r="R1015" s="175">
        <f>IFERROR(ABS(E1015-'02_대상물건입력'!B11)/'02_대상물건입력'!B11,"")</f>
        <v/>
      </c>
      <c r="S1015" s="152">
        <f>IFERROR(ABS(J1015-'02_대상물건입력'!B10),"")</f>
        <v/>
      </c>
      <c r="T1015" s="152">
        <f>IFERROR(ABS('01_설정'!B4-F1015),"")</f>
        <v/>
      </c>
      <c r="U1015" s="152">
        <f>IFERROR(ABS(K1015-YEAR('02_대상물건입력'!B14)),"")</f>
        <v/>
      </c>
      <c r="V1015" s="152">
        <f>IF(B1015="","",IF(AND(E1015&gt;0,F1015&gt;0,H1015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1015=1,TRUE()),R1015&lt;='01_설정'!B5,S1015&lt;='01_설정'!B6,T1015&lt;='01_설정'!B7,U1015&lt;='01_설정'!B8),"Y",""))</f>
        <v/>
      </c>
      <c r="W1015" s="172">
        <f>IF(V1015&lt;&gt;"Y","",MAX(0,(1-R1015/'01_설정'!B5))*'01_설정'!B14+MAX(0,(1-S1015/'01_설정'!B6))*'01_설정'!B15+MAX(0,(1-T1015/'01_설정'!B7))*'01_설정'!B16+MAX(0,(1-U1015/'01_설정'!B8))*'01_설정'!B17+O1015*'01_설정'!B11+Q1015*'01_설정'!B12+P1015*'01_설정'!B13+IF(Z1015="",0,Z1015))</f>
        <v/>
      </c>
      <c r="X1015" s="152">
        <f>IF(W1015="","",1+COUNTIFS($W$4:$W$3003,"&gt;"&amp;W1015)+COUNTIFS($W$4:W1015,W1015)-1)</f>
        <v/>
      </c>
      <c r="Y1015" s="175">
        <f>IF(OR(I1015="",'02_대상물건입력'!B19="",'02_대상물건입력'!B19&lt;=0),"",ABS(I1015-'02_대상물건입력'!B19)/'02_대상물건입력'!B19)</f>
        <v/>
      </c>
      <c r="Z1015" s="172">
        <f>IF(OR(Y1015="",'01_설정'!B31="",'01_설정'!B31&lt;=0,'01_설정'!B32="",'01_설정'!B32&lt;=0),"",MAX(0,(1-Y1015/'01_설정'!B32))*'01_설정'!B31)</f>
        <v/>
      </c>
    </row>
    <row r="1016" ht="17.25" customHeight="1">
      <c r="A1016" s="152">
        <f>IF(INDEX('04A_국토부원자료'!$A:$A,ROW()+1)="","",ROW()-3)</f>
        <v/>
      </c>
      <c r="B1016" s="48">
        <f>IFERROR(INDEX('04A_국토부원자료'!$A:$T,ROW()+1,MATCH("시군구",'04A_국토부원자료'!$A$4:$T$4,0)),"")</f>
        <v/>
      </c>
      <c r="C1016" s="48">
        <f>IF(B1016="","",IFERROR(INDEX('04A_국토부원자료'!$A:$T,ROW()+1,MATCH("번지",'04A_국토부원자료'!$A$4:$T$4,0)),""))</f>
        <v/>
      </c>
      <c r="D1016" s="48">
        <f>IF(B1016="","",IF(Q1016=1,'02_대상물건입력'!$B$8,IFERROR(INDEX('04A_국토부원자료'!$A:$T,ROW()+1,MATCH("단지명",'04A_국토부원자료'!$A$4:$T$4,0)),"")))</f>
        <v/>
      </c>
      <c r="E1016" s="172">
        <f>IFERROR(VALUE(SUBSTITUTE(INDEX('04A_국토부원자료'!$A:$T,ROW()+1,MATCH("전용면적(㎡)",'04A_국토부원자료'!$A$4:$T$4,0)),",","")),"")</f>
        <v/>
      </c>
      <c r="F10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16" s="51">
        <f>IFERROR(VALUE(SUBSTITUTE(INDEX('04A_국토부원자료'!$A:$T,ROW()+1,MATCH("거래금액(만원)",'04A_국토부원자료'!$A$4:$T$4,0)),",","")),"")</f>
        <v/>
      </c>
      <c r="H1016" s="174">
        <f>IF(G1016="","",G1016*10000)</f>
        <v/>
      </c>
      <c r="I1016" s="174">
        <f>IFERROR(IF(AND(H1016&gt;0,E1016&gt;0),H1016/E1016,""),"")</f>
        <v/>
      </c>
      <c r="J1016" s="152">
        <f>IFERROR(VALUE(SUBSTITUTE(INDEX('04A_국토부원자료'!$A:$T,ROW()+1,MATCH("층",'04A_국토부원자료'!$A$4:$T$4,0)),",","")),"")</f>
        <v/>
      </c>
      <c r="K1016" s="152">
        <f>IFERROR(VALUE(SUBSTITUTE(INDEX('04A_국토부원자료'!$A:$T,ROW()+1,MATCH("건축년도",'04A_국토부원자료'!$A$4:$T$4,0)),",","")),"")</f>
        <v/>
      </c>
      <c r="L1016" s="176">
        <f>IFERROR(INDEX('04A_국토부원자료'!$A:$T,ROW()+1,MATCH("도로명",'04A_국토부원자료'!$A$4:$T$4,0)),"")</f>
        <v/>
      </c>
      <c r="M1016" s="48">
        <f>IFERROR(INDEX('04A_국토부원자료'!$A:$T,ROW()+1,MATCH("거래유형",'04A_국토부원자료'!$A$4:$T$4,0)),"")</f>
        <v/>
      </c>
      <c r="N1016" s="152">
        <f>IF(B1016="","",IF('02_대상물건입력'!B5="",1,IF(ISNUMBER(SEARCH('02_대상물건입력'!B5,B1016)),1,0)))</f>
        <v/>
      </c>
      <c r="O1016" s="152">
        <f>IF(B1016="","",IF('02_대상물건입력'!B6="",1,IF(ISNUMBER(SEARCH('02_대상물건입력'!B6,B1016)),1,0)))</f>
        <v/>
      </c>
      <c r="P1016" s="152">
        <f>IF(L1016="","",IF('02_대상물건입력'!B15="",0,IF(ISNUMBER(SEARCH('02_대상물건입력'!B15,L1016)),1,0)))</f>
        <v/>
      </c>
      <c r="Q1016" s="152">
        <f>IF(OR(C1016="",L1016=""),0,IF(AND(TRIM(C1016)=TRIM(RIGHT(SUBSTITUTE(TRIM('02_대상물건입력'!$B$7)," ",REPT(" ",99)),99)),IF('02_대상물건입력'!B15="",TRUE(),ISNUMBER(SEARCH('02_대상물건입력'!B15,L1016)))),1,0))</f>
        <v/>
      </c>
      <c r="R1016" s="175">
        <f>IFERROR(ABS(E1016-'02_대상물건입력'!B11)/'02_대상물건입력'!B11,"")</f>
        <v/>
      </c>
      <c r="S1016" s="152">
        <f>IFERROR(ABS(J1016-'02_대상물건입력'!B10),"")</f>
        <v/>
      </c>
      <c r="T1016" s="152">
        <f>IFERROR(ABS('01_설정'!B4-F1016),"")</f>
        <v/>
      </c>
      <c r="U1016" s="152">
        <f>IFERROR(ABS(K1016-YEAR('02_대상물건입력'!B14)),"")</f>
        <v/>
      </c>
      <c r="V1016" s="152">
        <f>IF(B1016="","",IF(AND(E1016&gt;0,F1016&gt;0,H1016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1016=1,TRUE()),R1016&lt;='01_설정'!B5,S1016&lt;='01_설정'!B6,T1016&lt;='01_설정'!B7,U1016&lt;='01_설정'!B8),"Y",""))</f>
        <v/>
      </c>
      <c r="W1016" s="172">
        <f>IF(V1016&lt;&gt;"Y","",MAX(0,(1-R1016/'01_설정'!B5))*'01_설정'!B14+MAX(0,(1-S1016/'01_설정'!B6))*'01_설정'!B15+MAX(0,(1-T1016/'01_설정'!B7))*'01_설정'!B16+MAX(0,(1-U1016/'01_설정'!B8))*'01_설정'!B17+O1016*'01_설정'!B11+Q1016*'01_설정'!B12+P1016*'01_설정'!B13+IF(Z1016="",0,Z1016))</f>
        <v/>
      </c>
      <c r="X1016" s="152">
        <f>IF(W1016="","",1+COUNTIFS($W$4:$W$3003,"&gt;"&amp;W1016)+COUNTIFS($W$4:W1016,W1016)-1)</f>
        <v/>
      </c>
      <c r="Y1016" s="175">
        <f>IF(OR(I1016="",'02_대상물건입력'!B19="",'02_대상물건입력'!B19&lt;=0),"",ABS(I1016-'02_대상물건입력'!B19)/'02_대상물건입력'!B19)</f>
        <v/>
      </c>
      <c r="Z1016" s="172">
        <f>IF(OR(Y1016="",'01_설정'!B31="",'01_설정'!B31&lt;=0,'01_설정'!B32="",'01_설정'!B32&lt;=0),"",MAX(0,(1-Y1016/'01_설정'!B32))*'01_설정'!B31)</f>
        <v/>
      </c>
    </row>
    <row r="1017" ht="17.25" customHeight="1">
      <c r="A1017" s="152">
        <f>IF(INDEX('04A_국토부원자료'!$A:$A,ROW()+1)="","",ROW()-3)</f>
        <v/>
      </c>
      <c r="B1017" s="48">
        <f>IFERROR(INDEX('04A_국토부원자료'!$A:$T,ROW()+1,MATCH("시군구",'04A_국토부원자료'!$A$4:$T$4,0)),"")</f>
        <v/>
      </c>
      <c r="C1017" s="48">
        <f>IF(B1017="","",IFERROR(INDEX('04A_국토부원자료'!$A:$T,ROW()+1,MATCH("번지",'04A_국토부원자료'!$A$4:$T$4,0)),""))</f>
        <v/>
      </c>
      <c r="D1017" s="48">
        <f>IF(B1017="","",IF(Q1017=1,'02_대상물건입력'!$B$8,IFERROR(INDEX('04A_국토부원자료'!$A:$T,ROW()+1,MATCH("단지명",'04A_국토부원자료'!$A$4:$T$4,0)),"")))</f>
        <v/>
      </c>
      <c r="E1017" s="172">
        <f>IFERROR(VALUE(SUBSTITUTE(INDEX('04A_국토부원자료'!$A:$T,ROW()+1,MATCH("전용면적(㎡)",'04A_국토부원자료'!$A$4:$T$4,0)),",","")),"")</f>
        <v/>
      </c>
      <c r="F10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17" s="51">
        <f>IFERROR(VALUE(SUBSTITUTE(INDEX('04A_국토부원자료'!$A:$T,ROW()+1,MATCH("거래금액(만원)",'04A_국토부원자료'!$A$4:$T$4,0)),",","")),"")</f>
        <v/>
      </c>
      <c r="H1017" s="174">
        <f>IF(G1017="","",G1017*10000)</f>
        <v/>
      </c>
      <c r="I1017" s="174">
        <f>IFERROR(IF(AND(H1017&gt;0,E1017&gt;0),H1017/E1017,""),"")</f>
        <v/>
      </c>
      <c r="J1017" s="152">
        <f>IFERROR(VALUE(SUBSTITUTE(INDEX('04A_국토부원자료'!$A:$T,ROW()+1,MATCH("층",'04A_국토부원자료'!$A$4:$T$4,0)),",","")),"")</f>
        <v/>
      </c>
      <c r="K1017" s="152">
        <f>IFERROR(VALUE(SUBSTITUTE(INDEX('04A_국토부원자료'!$A:$T,ROW()+1,MATCH("건축년도",'04A_국토부원자료'!$A$4:$T$4,0)),",","")),"")</f>
        <v/>
      </c>
      <c r="L1017" s="176">
        <f>IFERROR(INDEX('04A_국토부원자료'!$A:$T,ROW()+1,MATCH("도로명",'04A_국토부원자료'!$A$4:$T$4,0)),"")</f>
        <v/>
      </c>
      <c r="M1017" s="48">
        <f>IFERROR(INDEX('04A_국토부원자료'!$A:$T,ROW()+1,MATCH("거래유형",'04A_국토부원자료'!$A$4:$T$4,0)),"")</f>
        <v/>
      </c>
      <c r="N1017" s="152">
        <f>IF(B1017="","",IF('02_대상물건입력'!B5="",1,IF(ISNUMBER(SEARCH('02_대상물건입력'!B5,B1017)),1,0)))</f>
        <v/>
      </c>
      <c r="O1017" s="152">
        <f>IF(B1017="","",IF('02_대상물건입력'!B6="",1,IF(ISNUMBER(SEARCH('02_대상물건입력'!B6,B1017)),1,0)))</f>
        <v/>
      </c>
      <c r="P1017" s="152">
        <f>IF(L1017="","",IF('02_대상물건입력'!B15="",0,IF(ISNUMBER(SEARCH('02_대상물건입력'!B15,L1017)),1,0)))</f>
        <v/>
      </c>
      <c r="Q1017" s="152">
        <f>IF(OR(C1017="",L1017=""),0,IF(AND(TRIM(C1017)=TRIM(RIGHT(SUBSTITUTE(TRIM('02_대상물건입력'!$B$7)," ",REPT(" ",99)),99)),IF('02_대상물건입력'!B15="",TRUE(),ISNUMBER(SEARCH('02_대상물건입력'!B15,L1017)))),1,0))</f>
        <v/>
      </c>
      <c r="R1017" s="175">
        <f>IFERROR(ABS(E1017-'02_대상물건입력'!B11)/'02_대상물건입력'!B11,"")</f>
        <v/>
      </c>
      <c r="S1017" s="152">
        <f>IFERROR(ABS(J1017-'02_대상물건입력'!B10),"")</f>
        <v/>
      </c>
      <c r="T1017" s="152">
        <f>IFERROR(ABS('01_설정'!B4-F1017),"")</f>
        <v/>
      </c>
      <c r="U1017" s="152">
        <f>IFERROR(ABS(K1017-YEAR('02_대상물건입력'!B14)),"")</f>
        <v/>
      </c>
      <c r="V1017" s="152">
        <f>IF(B1017="","",IF(AND(E1017&gt;0,F1017&gt;0,H1017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1017=1,TRUE()),R1017&lt;='01_설정'!B5,S1017&lt;='01_설정'!B6,T1017&lt;='01_설정'!B7,U1017&lt;='01_설정'!B8),"Y",""))</f>
        <v/>
      </c>
      <c r="W1017" s="172">
        <f>IF(V1017&lt;&gt;"Y","",MAX(0,(1-R1017/'01_설정'!B5))*'01_설정'!B14+MAX(0,(1-S1017/'01_설정'!B6))*'01_설정'!B15+MAX(0,(1-T1017/'01_설정'!B7))*'01_설정'!B16+MAX(0,(1-U1017/'01_설정'!B8))*'01_설정'!B17+O1017*'01_설정'!B11+Q1017*'01_설정'!B12+P1017*'01_설정'!B13+IF(Z1017="",0,Z1017))</f>
        <v/>
      </c>
      <c r="X1017" s="152">
        <f>IF(W1017="","",1+COUNTIFS($W$4:$W$3003,"&gt;"&amp;W1017)+COUNTIFS($W$4:W1017,W1017)-1)</f>
        <v/>
      </c>
      <c r="Y1017" s="175">
        <f>IF(OR(I1017="",'02_대상물건입력'!B19="",'02_대상물건입력'!B19&lt;=0),"",ABS(I1017-'02_대상물건입력'!B19)/'02_대상물건입력'!B19)</f>
        <v/>
      </c>
      <c r="Z1017" s="172">
        <f>IF(OR(Y1017="",'01_설정'!B31="",'01_설정'!B31&lt;=0,'01_설정'!B32="",'01_설정'!B32&lt;=0),"",MAX(0,(1-Y1017/'01_설정'!B32))*'01_설정'!B31)</f>
        <v/>
      </c>
    </row>
    <row r="1018" ht="17.25" customHeight="1">
      <c r="A1018" s="152">
        <f>IF(INDEX('04A_국토부원자료'!$A:$A,ROW()+1)="","",ROW()-3)</f>
        <v/>
      </c>
      <c r="B1018" s="48">
        <f>IFERROR(INDEX('04A_국토부원자료'!$A:$T,ROW()+1,MATCH("시군구",'04A_국토부원자료'!$A$4:$T$4,0)),"")</f>
        <v/>
      </c>
      <c r="C1018" s="48">
        <f>IF(B1018="","",IFERROR(INDEX('04A_국토부원자료'!$A:$T,ROW()+1,MATCH("번지",'04A_국토부원자료'!$A$4:$T$4,0)),""))</f>
        <v/>
      </c>
      <c r="D1018" s="48">
        <f>IF(B1018="","",IF(Q1018=1,'02_대상물건입력'!$B$8,IFERROR(INDEX('04A_국토부원자료'!$A:$T,ROW()+1,MATCH("단지명",'04A_국토부원자료'!$A$4:$T$4,0)),"")))</f>
        <v/>
      </c>
      <c r="E1018" s="172">
        <f>IFERROR(VALUE(SUBSTITUTE(INDEX('04A_국토부원자료'!$A:$T,ROW()+1,MATCH("전용면적(㎡)",'04A_국토부원자료'!$A$4:$T$4,0)),",","")),"")</f>
        <v/>
      </c>
      <c r="F10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18" s="51">
        <f>IFERROR(VALUE(SUBSTITUTE(INDEX('04A_국토부원자료'!$A:$T,ROW()+1,MATCH("거래금액(만원)",'04A_국토부원자료'!$A$4:$T$4,0)),",","")),"")</f>
        <v/>
      </c>
      <c r="H1018" s="174">
        <f>IF(G1018="","",G1018*10000)</f>
        <v/>
      </c>
      <c r="I1018" s="174">
        <f>IFERROR(IF(AND(H1018&gt;0,E1018&gt;0),H1018/E1018,""),"")</f>
        <v/>
      </c>
      <c r="J1018" s="152">
        <f>IFERROR(VALUE(SUBSTITUTE(INDEX('04A_국토부원자료'!$A:$T,ROW()+1,MATCH("층",'04A_국토부원자료'!$A$4:$T$4,0)),",","")),"")</f>
        <v/>
      </c>
      <c r="K1018" s="152">
        <f>IFERROR(VALUE(SUBSTITUTE(INDEX('04A_국토부원자료'!$A:$T,ROW()+1,MATCH("건축년도",'04A_국토부원자료'!$A$4:$T$4,0)),",","")),"")</f>
        <v/>
      </c>
      <c r="L1018" s="176">
        <f>IFERROR(INDEX('04A_국토부원자료'!$A:$T,ROW()+1,MATCH("도로명",'04A_국토부원자료'!$A$4:$T$4,0)),"")</f>
        <v/>
      </c>
      <c r="M1018" s="48">
        <f>IFERROR(INDEX('04A_국토부원자료'!$A:$T,ROW()+1,MATCH("거래유형",'04A_국토부원자료'!$A$4:$T$4,0)),"")</f>
        <v/>
      </c>
      <c r="N1018" s="152">
        <f>IF(B1018="","",IF('02_대상물건입력'!B5="",1,IF(ISNUMBER(SEARCH('02_대상물건입력'!B5,B1018)),1,0)))</f>
        <v/>
      </c>
      <c r="O1018" s="152">
        <f>IF(B1018="","",IF('02_대상물건입력'!B6="",1,IF(ISNUMBER(SEARCH('02_대상물건입력'!B6,B1018)),1,0)))</f>
        <v/>
      </c>
      <c r="P1018" s="152">
        <f>IF(L1018="","",IF('02_대상물건입력'!B15="",0,IF(ISNUMBER(SEARCH('02_대상물건입력'!B15,L1018)),1,0)))</f>
        <v/>
      </c>
      <c r="Q1018" s="152">
        <f>IF(OR(C1018="",L1018=""),0,IF(AND(TRIM(C1018)=TRIM(RIGHT(SUBSTITUTE(TRIM('02_대상물건입력'!$B$7)," ",REPT(" ",99)),99)),IF('02_대상물건입력'!B15="",TRUE(),ISNUMBER(SEARCH('02_대상물건입력'!B15,L1018)))),1,0))</f>
        <v/>
      </c>
      <c r="R1018" s="175">
        <f>IFERROR(ABS(E1018-'02_대상물건입력'!B11)/'02_대상물건입력'!B11,"")</f>
        <v/>
      </c>
      <c r="S1018" s="152">
        <f>IFERROR(ABS(J1018-'02_대상물건입력'!B10),"")</f>
        <v/>
      </c>
      <c r="T1018" s="152">
        <f>IFERROR(ABS('01_설정'!B4-F1018),"")</f>
        <v/>
      </c>
      <c r="U1018" s="152">
        <f>IFERROR(ABS(K1018-YEAR('02_대상물건입력'!B14)),"")</f>
        <v/>
      </c>
      <c r="V1018" s="152">
        <f>IF(B1018="","",IF(AND(E1018&gt;0,F1018&gt;0,H1018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1018=1,TRUE()),R1018&lt;='01_설정'!B5,S1018&lt;='01_설정'!B6,T1018&lt;='01_설정'!B7,U1018&lt;='01_설정'!B8),"Y",""))</f>
        <v/>
      </c>
      <c r="W1018" s="172">
        <f>IF(V1018&lt;&gt;"Y","",MAX(0,(1-R1018/'01_설정'!B5))*'01_설정'!B14+MAX(0,(1-S1018/'01_설정'!B6))*'01_설정'!B15+MAX(0,(1-T1018/'01_설정'!B7))*'01_설정'!B16+MAX(0,(1-U1018/'01_설정'!B8))*'01_설정'!B17+O1018*'01_설정'!B11+Q1018*'01_설정'!B12+P1018*'01_설정'!B13+IF(Z1018="",0,Z1018))</f>
        <v/>
      </c>
      <c r="X1018" s="152">
        <f>IF(W1018="","",1+COUNTIFS($W$4:$W$3003,"&gt;"&amp;W1018)+COUNTIFS($W$4:W1018,W1018)-1)</f>
        <v/>
      </c>
      <c r="Y1018" s="175">
        <f>IF(OR(I1018="",'02_대상물건입력'!B19="",'02_대상물건입력'!B19&lt;=0),"",ABS(I1018-'02_대상물건입력'!B19)/'02_대상물건입력'!B19)</f>
        <v/>
      </c>
      <c r="Z1018" s="172">
        <f>IF(OR(Y1018="",'01_설정'!B31="",'01_설정'!B31&lt;=0,'01_설정'!B32="",'01_설정'!B32&lt;=0),"",MAX(0,(1-Y1018/'01_설정'!B32))*'01_설정'!B31)</f>
        <v/>
      </c>
    </row>
    <row r="1019" ht="17.25" customHeight="1">
      <c r="A1019" s="152">
        <f>IF(INDEX('04A_국토부원자료'!$A:$A,ROW()+1)="","",ROW()-3)</f>
        <v/>
      </c>
      <c r="B1019" s="48">
        <f>IFERROR(INDEX('04A_국토부원자료'!$A:$T,ROW()+1,MATCH("시군구",'04A_국토부원자료'!$A$4:$T$4,0)),"")</f>
        <v/>
      </c>
      <c r="C1019" s="48">
        <f>IF(B1019="","",IFERROR(INDEX('04A_국토부원자료'!$A:$T,ROW()+1,MATCH("번지",'04A_국토부원자료'!$A$4:$T$4,0)),""))</f>
        <v/>
      </c>
      <c r="D1019" s="48">
        <f>IF(B1019="","",IF(Q1019=1,'02_대상물건입력'!$B$8,IFERROR(INDEX('04A_국토부원자료'!$A:$T,ROW()+1,MATCH("단지명",'04A_국토부원자료'!$A$4:$T$4,0)),"")))</f>
        <v/>
      </c>
      <c r="E1019" s="172">
        <f>IFERROR(VALUE(SUBSTITUTE(INDEX('04A_국토부원자료'!$A:$T,ROW()+1,MATCH("전용면적(㎡)",'04A_국토부원자료'!$A$4:$T$4,0)),",","")),"")</f>
        <v/>
      </c>
      <c r="F10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19" s="51">
        <f>IFERROR(VALUE(SUBSTITUTE(INDEX('04A_국토부원자료'!$A:$T,ROW()+1,MATCH("거래금액(만원)",'04A_국토부원자료'!$A$4:$T$4,0)),",","")),"")</f>
        <v/>
      </c>
      <c r="H1019" s="174">
        <f>IF(G1019="","",G1019*10000)</f>
        <v/>
      </c>
      <c r="I1019" s="174">
        <f>IFERROR(IF(AND(H1019&gt;0,E1019&gt;0),H1019/E1019,""),"")</f>
        <v/>
      </c>
      <c r="J1019" s="152">
        <f>IFERROR(VALUE(SUBSTITUTE(INDEX('04A_국토부원자료'!$A:$T,ROW()+1,MATCH("층",'04A_국토부원자료'!$A$4:$T$4,0)),",","")),"")</f>
        <v/>
      </c>
      <c r="K1019" s="152">
        <f>IFERROR(VALUE(SUBSTITUTE(INDEX('04A_국토부원자료'!$A:$T,ROW()+1,MATCH("건축년도",'04A_국토부원자료'!$A$4:$T$4,0)),",","")),"")</f>
        <v/>
      </c>
      <c r="L1019" s="176">
        <f>IFERROR(INDEX('04A_국토부원자료'!$A:$T,ROW()+1,MATCH("도로명",'04A_국토부원자료'!$A$4:$T$4,0)),"")</f>
        <v/>
      </c>
      <c r="M1019" s="48">
        <f>IFERROR(INDEX('04A_국토부원자료'!$A:$T,ROW()+1,MATCH("거래유형",'04A_국토부원자료'!$A$4:$T$4,0)),"")</f>
        <v/>
      </c>
      <c r="N1019" s="152">
        <f>IF(B1019="","",IF('02_대상물건입력'!B5="",1,IF(ISNUMBER(SEARCH('02_대상물건입력'!B5,B1019)),1,0)))</f>
        <v/>
      </c>
      <c r="O1019" s="152">
        <f>IF(B1019="","",IF('02_대상물건입력'!B6="",1,IF(ISNUMBER(SEARCH('02_대상물건입력'!B6,B1019)),1,0)))</f>
        <v/>
      </c>
      <c r="P1019" s="152">
        <f>IF(L1019="","",IF('02_대상물건입력'!B15="",0,IF(ISNUMBER(SEARCH('02_대상물건입력'!B15,L1019)),1,0)))</f>
        <v/>
      </c>
      <c r="Q1019" s="152">
        <f>IF(OR(C1019="",L1019=""),0,IF(AND(TRIM(C1019)=TRIM(RIGHT(SUBSTITUTE(TRIM('02_대상물건입력'!$B$7)," ",REPT(" ",99)),99)),IF('02_대상물건입력'!B15="",TRUE(),ISNUMBER(SEARCH('02_대상물건입력'!B15,L1019)))),1,0))</f>
        <v/>
      </c>
      <c r="R1019" s="175">
        <f>IFERROR(ABS(E1019-'02_대상물건입력'!B11)/'02_대상물건입력'!B11,"")</f>
        <v/>
      </c>
      <c r="S1019" s="152">
        <f>IFERROR(ABS(J1019-'02_대상물건입력'!B10),"")</f>
        <v/>
      </c>
      <c r="T1019" s="152">
        <f>IFERROR(ABS('01_설정'!B4-F1019),"")</f>
        <v/>
      </c>
      <c r="U1019" s="152">
        <f>IFERROR(ABS(K1019-YEAR('02_대상물건입력'!B14)),"")</f>
        <v/>
      </c>
      <c r="V1019" s="152">
        <f>IF(B1019="","",IF(AND(E1019&gt;0,F1019&gt;0,H1019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1019=1,TRUE()),R1019&lt;='01_설정'!B5,S1019&lt;='01_설정'!B6,T1019&lt;='01_설정'!B7,U1019&lt;='01_설정'!B8),"Y",""))</f>
        <v/>
      </c>
      <c r="W1019" s="172">
        <f>IF(V1019&lt;&gt;"Y","",MAX(0,(1-R1019/'01_설정'!B5))*'01_설정'!B14+MAX(0,(1-S1019/'01_설정'!B6))*'01_설정'!B15+MAX(0,(1-T1019/'01_설정'!B7))*'01_설정'!B16+MAX(0,(1-U1019/'01_설정'!B8))*'01_설정'!B17+O1019*'01_설정'!B11+Q1019*'01_설정'!B12+P1019*'01_설정'!B13+IF(Z1019="",0,Z1019))</f>
        <v/>
      </c>
      <c r="X1019" s="152">
        <f>IF(W1019="","",1+COUNTIFS($W$4:$W$3003,"&gt;"&amp;W1019)+COUNTIFS($W$4:W1019,W1019)-1)</f>
        <v/>
      </c>
      <c r="Y1019" s="175">
        <f>IF(OR(I1019="",'02_대상물건입력'!B19="",'02_대상물건입력'!B19&lt;=0),"",ABS(I1019-'02_대상물건입력'!B19)/'02_대상물건입력'!B19)</f>
        <v/>
      </c>
      <c r="Z1019" s="172">
        <f>IF(OR(Y1019="",'01_설정'!B31="",'01_설정'!B31&lt;=0,'01_설정'!B32="",'01_설정'!B32&lt;=0),"",MAX(0,(1-Y1019/'01_설정'!B32))*'01_설정'!B31)</f>
        <v/>
      </c>
    </row>
    <row r="1020" ht="17.25" customHeight="1">
      <c r="A1020" s="152">
        <f>IF(INDEX('04A_국토부원자료'!$A:$A,ROW()+1)="","",ROW()-3)</f>
        <v/>
      </c>
      <c r="B1020" s="48">
        <f>IFERROR(INDEX('04A_국토부원자료'!$A:$T,ROW()+1,MATCH("시군구",'04A_국토부원자료'!$A$4:$T$4,0)),"")</f>
        <v/>
      </c>
      <c r="C1020" s="48">
        <f>IF(B1020="","",IFERROR(INDEX('04A_국토부원자료'!$A:$T,ROW()+1,MATCH("번지",'04A_국토부원자료'!$A$4:$T$4,0)),""))</f>
        <v/>
      </c>
      <c r="D1020" s="48">
        <f>IF(B1020="","",IF(Q1020=1,'02_대상물건입력'!$B$8,IFERROR(INDEX('04A_국토부원자료'!$A:$T,ROW()+1,MATCH("단지명",'04A_국토부원자료'!$A$4:$T$4,0)),"")))</f>
        <v/>
      </c>
      <c r="E1020" s="172">
        <f>IFERROR(VALUE(SUBSTITUTE(INDEX('04A_국토부원자료'!$A:$T,ROW()+1,MATCH("전용면적(㎡)",'04A_국토부원자료'!$A$4:$T$4,0)),",","")),"")</f>
        <v/>
      </c>
      <c r="F10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20" s="51">
        <f>IFERROR(VALUE(SUBSTITUTE(INDEX('04A_국토부원자료'!$A:$T,ROW()+1,MATCH("거래금액(만원)",'04A_국토부원자료'!$A$4:$T$4,0)),",","")),"")</f>
        <v/>
      </c>
      <c r="H1020" s="174">
        <f>IF(G1020="","",G1020*10000)</f>
        <v/>
      </c>
      <c r="I1020" s="174">
        <f>IFERROR(IF(AND(H1020&gt;0,E1020&gt;0),H1020/E1020,""),"")</f>
        <v/>
      </c>
      <c r="J1020" s="152">
        <f>IFERROR(VALUE(SUBSTITUTE(INDEX('04A_국토부원자료'!$A:$T,ROW()+1,MATCH("층",'04A_국토부원자료'!$A$4:$T$4,0)),",","")),"")</f>
        <v/>
      </c>
      <c r="K1020" s="152">
        <f>IFERROR(VALUE(SUBSTITUTE(INDEX('04A_국토부원자료'!$A:$T,ROW()+1,MATCH("건축년도",'04A_국토부원자료'!$A$4:$T$4,0)),",","")),"")</f>
        <v/>
      </c>
      <c r="L1020" s="176">
        <f>IFERROR(INDEX('04A_국토부원자료'!$A:$T,ROW()+1,MATCH("도로명",'04A_국토부원자료'!$A$4:$T$4,0)),"")</f>
        <v/>
      </c>
      <c r="M1020" s="48">
        <f>IFERROR(INDEX('04A_국토부원자료'!$A:$T,ROW()+1,MATCH("거래유형",'04A_국토부원자료'!$A$4:$T$4,0)),"")</f>
        <v/>
      </c>
      <c r="N1020" s="152">
        <f>IF(B1020="","",IF('02_대상물건입력'!B5="",1,IF(ISNUMBER(SEARCH('02_대상물건입력'!B5,B1020)),1,0)))</f>
        <v/>
      </c>
      <c r="O1020" s="152">
        <f>IF(B1020="","",IF('02_대상물건입력'!B6="",1,IF(ISNUMBER(SEARCH('02_대상물건입력'!B6,B1020)),1,0)))</f>
        <v/>
      </c>
      <c r="P1020" s="152">
        <f>IF(L1020="","",IF('02_대상물건입력'!B15="",0,IF(ISNUMBER(SEARCH('02_대상물건입력'!B15,L1020)),1,0)))</f>
        <v/>
      </c>
      <c r="Q1020" s="152">
        <f>IF(OR(C1020="",L1020=""),0,IF(AND(TRIM(C1020)=TRIM(RIGHT(SUBSTITUTE(TRIM('02_대상물건입력'!$B$7)," ",REPT(" ",99)),99)),IF('02_대상물건입력'!B15="",TRUE(),ISNUMBER(SEARCH('02_대상물건입력'!B15,L1020)))),1,0))</f>
        <v/>
      </c>
      <c r="R1020" s="175">
        <f>IFERROR(ABS(E1020-'02_대상물건입력'!B11)/'02_대상물건입력'!B11,"")</f>
        <v/>
      </c>
      <c r="S1020" s="152">
        <f>IFERROR(ABS(J1020-'02_대상물건입력'!B10),"")</f>
        <v/>
      </c>
      <c r="T1020" s="152">
        <f>IFERROR(ABS('01_설정'!B4-F1020),"")</f>
        <v/>
      </c>
      <c r="U1020" s="152">
        <f>IFERROR(ABS(K1020-YEAR('02_대상물건입력'!B14)),"")</f>
        <v/>
      </c>
      <c r="V1020" s="152">
        <f>IF(B1020="","",IF(AND(E1020&gt;0,F1020&gt;0,H1020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1020=1,TRUE()),R1020&lt;='01_설정'!B5,S1020&lt;='01_설정'!B6,T1020&lt;='01_설정'!B7,U1020&lt;='01_설정'!B8),"Y",""))</f>
        <v/>
      </c>
      <c r="W1020" s="172">
        <f>IF(V1020&lt;&gt;"Y","",MAX(0,(1-R1020/'01_설정'!B5))*'01_설정'!B14+MAX(0,(1-S1020/'01_설정'!B6))*'01_설정'!B15+MAX(0,(1-T1020/'01_설정'!B7))*'01_설정'!B16+MAX(0,(1-U1020/'01_설정'!B8))*'01_설정'!B17+O1020*'01_설정'!B11+Q1020*'01_설정'!B12+P1020*'01_설정'!B13+IF(Z1020="",0,Z1020))</f>
        <v/>
      </c>
      <c r="X1020" s="152">
        <f>IF(W1020="","",1+COUNTIFS($W$4:$W$3003,"&gt;"&amp;W1020)+COUNTIFS($W$4:W1020,W1020)-1)</f>
        <v/>
      </c>
      <c r="Y1020" s="175">
        <f>IF(OR(I1020="",'02_대상물건입력'!B19="",'02_대상물건입력'!B19&lt;=0),"",ABS(I1020-'02_대상물건입력'!B19)/'02_대상물건입력'!B19)</f>
        <v/>
      </c>
      <c r="Z1020" s="172">
        <f>IF(OR(Y1020="",'01_설정'!B31="",'01_설정'!B31&lt;=0,'01_설정'!B32="",'01_설정'!B32&lt;=0),"",MAX(0,(1-Y1020/'01_설정'!B32))*'01_설정'!B31)</f>
        <v/>
      </c>
    </row>
    <row r="1021" ht="17.25" customHeight="1">
      <c r="A1021" s="152">
        <f>IF(INDEX('04A_국토부원자료'!$A:$A,ROW()+1)="","",ROW()-3)</f>
        <v/>
      </c>
      <c r="B1021" s="48">
        <f>IFERROR(INDEX('04A_국토부원자료'!$A:$T,ROW()+1,MATCH("시군구",'04A_국토부원자료'!$A$4:$T$4,0)),"")</f>
        <v/>
      </c>
      <c r="C1021" s="48">
        <f>IF(B1021="","",IFERROR(INDEX('04A_국토부원자료'!$A:$T,ROW()+1,MATCH("번지",'04A_국토부원자료'!$A$4:$T$4,0)),""))</f>
        <v/>
      </c>
      <c r="D1021" s="48">
        <f>IF(B1021="","",IF(Q1021=1,'02_대상물건입력'!$B$8,IFERROR(INDEX('04A_국토부원자료'!$A:$T,ROW()+1,MATCH("단지명",'04A_국토부원자료'!$A$4:$T$4,0)),"")))</f>
        <v/>
      </c>
      <c r="E1021" s="172">
        <f>IFERROR(VALUE(SUBSTITUTE(INDEX('04A_국토부원자료'!$A:$T,ROW()+1,MATCH("전용면적(㎡)",'04A_국토부원자료'!$A$4:$T$4,0)),",","")),"")</f>
        <v/>
      </c>
      <c r="F10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21" s="51">
        <f>IFERROR(VALUE(SUBSTITUTE(INDEX('04A_국토부원자료'!$A:$T,ROW()+1,MATCH("거래금액(만원)",'04A_국토부원자료'!$A$4:$T$4,0)),",","")),"")</f>
        <v/>
      </c>
      <c r="H1021" s="174">
        <f>IF(G1021="","",G1021*10000)</f>
        <v/>
      </c>
      <c r="I1021" s="174">
        <f>IFERROR(IF(AND(H1021&gt;0,E1021&gt;0),H1021/E1021,""),"")</f>
        <v/>
      </c>
      <c r="J1021" s="152">
        <f>IFERROR(VALUE(SUBSTITUTE(INDEX('04A_국토부원자료'!$A:$T,ROW()+1,MATCH("층",'04A_국토부원자료'!$A$4:$T$4,0)),",","")),"")</f>
        <v/>
      </c>
      <c r="K1021" s="152">
        <f>IFERROR(VALUE(SUBSTITUTE(INDEX('04A_국토부원자료'!$A:$T,ROW()+1,MATCH("건축년도",'04A_국토부원자료'!$A$4:$T$4,0)),",","")),"")</f>
        <v/>
      </c>
      <c r="L1021" s="176">
        <f>IFERROR(INDEX('04A_국토부원자료'!$A:$T,ROW()+1,MATCH("도로명",'04A_국토부원자료'!$A$4:$T$4,0)),"")</f>
        <v/>
      </c>
      <c r="M1021" s="48">
        <f>IFERROR(INDEX('04A_국토부원자료'!$A:$T,ROW()+1,MATCH("거래유형",'04A_국토부원자료'!$A$4:$T$4,0)),"")</f>
        <v/>
      </c>
      <c r="N1021" s="152">
        <f>IF(B1021="","",IF('02_대상물건입력'!B5="",1,IF(ISNUMBER(SEARCH('02_대상물건입력'!B5,B1021)),1,0)))</f>
        <v/>
      </c>
      <c r="O1021" s="152">
        <f>IF(B1021="","",IF('02_대상물건입력'!B6="",1,IF(ISNUMBER(SEARCH('02_대상물건입력'!B6,B1021)),1,0)))</f>
        <v/>
      </c>
      <c r="P1021" s="152">
        <f>IF(L1021="","",IF('02_대상물건입력'!B15="",0,IF(ISNUMBER(SEARCH('02_대상물건입력'!B15,L1021)),1,0)))</f>
        <v/>
      </c>
      <c r="Q1021" s="152">
        <f>IF(OR(C1021="",L1021=""),0,IF(AND(TRIM(C1021)=TRIM(RIGHT(SUBSTITUTE(TRIM('02_대상물건입력'!$B$7)," ",REPT(" ",99)),99)),IF('02_대상물건입력'!B15="",TRUE(),ISNUMBER(SEARCH('02_대상물건입력'!B15,L1021)))),1,0))</f>
        <v/>
      </c>
      <c r="R1021" s="175">
        <f>IFERROR(ABS(E1021-'02_대상물건입력'!B11)/'02_대상물건입력'!B11,"")</f>
        <v/>
      </c>
      <c r="S1021" s="152">
        <f>IFERROR(ABS(J1021-'02_대상물건입력'!B10),"")</f>
        <v/>
      </c>
      <c r="T1021" s="152">
        <f>IFERROR(ABS('01_설정'!B4-F1021),"")</f>
        <v/>
      </c>
      <c r="U1021" s="152">
        <f>IFERROR(ABS(K1021-YEAR('02_대상물건입력'!B14)),"")</f>
        <v/>
      </c>
      <c r="V1021" s="152">
        <f>IF(B1021="","",IF(AND(E1021&gt;0,F1021&gt;0,H1021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1021=1,TRUE()),R1021&lt;='01_설정'!B5,S1021&lt;='01_설정'!B6,T1021&lt;='01_설정'!B7,U1021&lt;='01_설정'!B8),"Y",""))</f>
        <v/>
      </c>
      <c r="W1021" s="172">
        <f>IF(V1021&lt;&gt;"Y","",MAX(0,(1-R1021/'01_설정'!B5))*'01_설정'!B14+MAX(0,(1-S1021/'01_설정'!B6))*'01_설정'!B15+MAX(0,(1-T1021/'01_설정'!B7))*'01_설정'!B16+MAX(0,(1-U1021/'01_설정'!B8))*'01_설정'!B17+O1021*'01_설정'!B11+Q1021*'01_설정'!B12+P1021*'01_설정'!B13+IF(Z1021="",0,Z1021))</f>
        <v/>
      </c>
      <c r="X1021" s="152">
        <f>IF(W1021="","",1+COUNTIFS($W$4:$W$3003,"&gt;"&amp;W1021)+COUNTIFS($W$4:W1021,W1021)-1)</f>
        <v/>
      </c>
      <c r="Y1021" s="175">
        <f>IF(OR(I1021="",'02_대상물건입력'!B19="",'02_대상물건입력'!B19&lt;=0),"",ABS(I1021-'02_대상물건입력'!B19)/'02_대상물건입력'!B19)</f>
        <v/>
      </c>
      <c r="Z1021" s="172">
        <f>IF(OR(Y1021="",'01_설정'!B31="",'01_설정'!B31&lt;=0,'01_설정'!B32="",'01_설정'!B32&lt;=0),"",MAX(0,(1-Y1021/'01_설정'!B32))*'01_설정'!B31)</f>
        <v/>
      </c>
    </row>
    <row r="1022" ht="17.25" customHeight="1">
      <c r="A1022" s="152">
        <f>IF(INDEX('04A_국토부원자료'!$A:$A,ROW()+1)="","",ROW()-3)</f>
        <v/>
      </c>
      <c r="B1022" s="48">
        <f>IFERROR(INDEX('04A_국토부원자료'!$A:$T,ROW()+1,MATCH("시군구",'04A_국토부원자료'!$A$4:$T$4,0)),"")</f>
        <v/>
      </c>
      <c r="C1022" s="48">
        <f>IF(B1022="","",IFERROR(INDEX('04A_국토부원자료'!$A:$T,ROW()+1,MATCH("번지",'04A_국토부원자료'!$A$4:$T$4,0)),""))</f>
        <v/>
      </c>
      <c r="D1022" s="48">
        <f>IF(B1022="","",IF(Q1022=1,'02_대상물건입력'!$B$8,IFERROR(INDEX('04A_국토부원자료'!$A:$T,ROW()+1,MATCH("단지명",'04A_국토부원자료'!$A$4:$T$4,0)),"")))</f>
        <v/>
      </c>
      <c r="E1022" s="172">
        <f>IFERROR(VALUE(SUBSTITUTE(INDEX('04A_국토부원자료'!$A:$T,ROW()+1,MATCH("전용면적(㎡)",'04A_국토부원자료'!$A$4:$T$4,0)),",","")),"")</f>
        <v/>
      </c>
      <c r="F10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22" s="51">
        <f>IFERROR(VALUE(SUBSTITUTE(INDEX('04A_국토부원자료'!$A:$T,ROW()+1,MATCH("거래금액(만원)",'04A_국토부원자료'!$A$4:$T$4,0)),",","")),"")</f>
        <v/>
      </c>
      <c r="H1022" s="174">
        <f>IF(G1022="","",G1022*10000)</f>
        <v/>
      </c>
      <c r="I1022" s="174">
        <f>IFERROR(IF(AND(H1022&gt;0,E1022&gt;0),H1022/E1022,""),"")</f>
        <v/>
      </c>
      <c r="J1022" s="152">
        <f>IFERROR(VALUE(SUBSTITUTE(INDEX('04A_국토부원자료'!$A:$T,ROW()+1,MATCH("층",'04A_국토부원자료'!$A$4:$T$4,0)),",","")),"")</f>
        <v/>
      </c>
      <c r="K1022" s="152">
        <f>IFERROR(VALUE(SUBSTITUTE(INDEX('04A_국토부원자료'!$A:$T,ROW()+1,MATCH("건축년도",'04A_국토부원자료'!$A$4:$T$4,0)),",","")),"")</f>
        <v/>
      </c>
      <c r="L1022" s="176">
        <f>IFERROR(INDEX('04A_국토부원자료'!$A:$T,ROW()+1,MATCH("도로명",'04A_국토부원자료'!$A$4:$T$4,0)),"")</f>
        <v/>
      </c>
      <c r="M1022" s="48">
        <f>IFERROR(INDEX('04A_국토부원자료'!$A:$T,ROW()+1,MATCH("거래유형",'04A_국토부원자료'!$A$4:$T$4,0)),"")</f>
        <v/>
      </c>
      <c r="N1022" s="152">
        <f>IF(B1022="","",IF('02_대상물건입력'!B5="",1,IF(ISNUMBER(SEARCH('02_대상물건입력'!B5,B1022)),1,0)))</f>
        <v/>
      </c>
      <c r="O1022" s="152">
        <f>IF(B1022="","",IF('02_대상물건입력'!B6="",1,IF(ISNUMBER(SEARCH('02_대상물건입력'!B6,B1022)),1,0)))</f>
        <v/>
      </c>
      <c r="P1022" s="152">
        <f>IF(L1022="","",IF('02_대상물건입력'!B15="",0,IF(ISNUMBER(SEARCH('02_대상물건입력'!B15,L1022)),1,0)))</f>
        <v/>
      </c>
      <c r="Q1022" s="152">
        <f>IF(OR(C1022="",L1022=""),0,IF(AND(TRIM(C1022)=TRIM(RIGHT(SUBSTITUTE(TRIM('02_대상물건입력'!$B$7)," ",REPT(" ",99)),99)),IF('02_대상물건입력'!B15="",TRUE(),ISNUMBER(SEARCH('02_대상물건입력'!B15,L1022)))),1,0))</f>
        <v/>
      </c>
      <c r="R1022" s="175">
        <f>IFERROR(ABS(E1022-'02_대상물건입력'!B11)/'02_대상물건입력'!B11,"")</f>
        <v/>
      </c>
      <c r="S1022" s="152">
        <f>IFERROR(ABS(J1022-'02_대상물건입력'!B10),"")</f>
        <v/>
      </c>
      <c r="T1022" s="152">
        <f>IFERROR(ABS('01_설정'!B4-F1022),"")</f>
        <v/>
      </c>
      <c r="U1022" s="152">
        <f>IFERROR(ABS(K1022-YEAR('02_대상물건입력'!B14)),"")</f>
        <v/>
      </c>
      <c r="V1022" s="152">
        <f>IF(B1022="","",IF(AND(E1022&gt;0,F1022&gt;0,H1022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1022=1,TRUE()),R1022&lt;='01_설정'!B5,S1022&lt;='01_설정'!B6,T1022&lt;='01_설정'!B7,U1022&lt;='01_설정'!B8),"Y",""))</f>
        <v/>
      </c>
      <c r="W1022" s="172">
        <f>IF(V1022&lt;&gt;"Y","",MAX(0,(1-R1022/'01_설정'!B5))*'01_설정'!B14+MAX(0,(1-S1022/'01_설정'!B6))*'01_설정'!B15+MAX(0,(1-T1022/'01_설정'!B7))*'01_설정'!B16+MAX(0,(1-U1022/'01_설정'!B8))*'01_설정'!B17+O1022*'01_설정'!B11+Q1022*'01_설정'!B12+P1022*'01_설정'!B13+IF(Z1022="",0,Z1022))</f>
        <v/>
      </c>
      <c r="X1022" s="152">
        <f>IF(W1022="","",1+COUNTIFS($W$4:$W$3003,"&gt;"&amp;W1022)+COUNTIFS($W$4:W1022,W1022)-1)</f>
        <v/>
      </c>
      <c r="Y1022" s="175">
        <f>IF(OR(I1022="",'02_대상물건입력'!B19="",'02_대상물건입력'!B19&lt;=0),"",ABS(I1022-'02_대상물건입력'!B19)/'02_대상물건입력'!B19)</f>
        <v/>
      </c>
      <c r="Z1022" s="172">
        <f>IF(OR(Y1022="",'01_설정'!B31="",'01_설정'!B31&lt;=0,'01_설정'!B32="",'01_설정'!B32&lt;=0),"",MAX(0,(1-Y1022/'01_설정'!B32))*'01_설정'!B31)</f>
        <v/>
      </c>
    </row>
    <row r="1023" ht="17.25" customHeight="1">
      <c r="A1023" s="152">
        <f>IF(INDEX('04A_국토부원자료'!$A:$A,ROW()+1)="","",ROW()-3)</f>
        <v/>
      </c>
      <c r="B1023" s="48">
        <f>IFERROR(INDEX('04A_국토부원자료'!$A:$T,ROW()+1,MATCH("시군구",'04A_국토부원자료'!$A$4:$T$4,0)),"")</f>
        <v/>
      </c>
      <c r="C1023" s="48">
        <f>IF(B1023="","",IFERROR(INDEX('04A_국토부원자료'!$A:$T,ROW()+1,MATCH("번지",'04A_국토부원자료'!$A$4:$T$4,0)),""))</f>
        <v/>
      </c>
      <c r="D1023" s="48">
        <f>IF(B1023="","",IF(Q1023=1,'02_대상물건입력'!$B$8,IFERROR(INDEX('04A_국토부원자료'!$A:$T,ROW()+1,MATCH("단지명",'04A_국토부원자료'!$A$4:$T$4,0)),"")))</f>
        <v/>
      </c>
      <c r="E1023" s="172">
        <f>IFERROR(VALUE(SUBSTITUTE(INDEX('04A_국토부원자료'!$A:$T,ROW()+1,MATCH("전용면적(㎡)",'04A_국토부원자료'!$A$4:$T$4,0)),",","")),"")</f>
        <v/>
      </c>
      <c r="F10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23" s="51">
        <f>IFERROR(VALUE(SUBSTITUTE(INDEX('04A_국토부원자료'!$A:$T,ROW()+1,MATCH("거래금액(만원)",'04A_국토부원자료'!$A$4:$T$4,0)),",","")),"")</f>
        <v/>
      </c>
      <c r="H1023" s="174">
        <f>IF(G1023="","",G1023*10000)</f>
        <v/>
      </c>
      <c r="I1023" s="174">
        <f>IFERROR(IF(AND(H1023&gt;0,E1023&gt;0),H1023/E1023,""),"")</f>
        <v/>
      </c>
      <c r="J1023" s="152">
        <f>IFERROR(VALUE(SUBSTITUTE(INDEX('04A_국토부원자료'!$A:$T,ROW()+1,MATCH("층",'04A_국토부원자료'!$A$4:$T$4,0)),",","")),"")</f>
        <v/>
      </c>
      <c r="K1023" s="152">
        <f>IFERROR(VALUE(SUBSTITUTE(INDEX('04A_국토부원자료'!$A:$T,ROW()+1,MATCH("건축년도",'04A_국토부원자료'!$A$4:$T$4,0)),",","")),"")</f>
        <v/>
      </c>
      <c r="L1023" s="176">
        <f>IFERROR(INDEX('04A_국토부원자료'!$A:$T,ROW()+1,MATCH("도로명",'04A_국토부원자료'!$A$4:$T$4,0)),"")</f>
        <v/>
      </c>
      <c r="M1023" s="48">
        <f>IFERROR(INDEX('04A_국토부원자료'!$A:$T,ROW()+1,MATCH("거래유형",'04A_국토부원자료'!$A$4:$T$4,0)),"")</f>
        <v/>
      </c>
      <c r="N1023" s="152">
        <f>IF(B1023="","",IF('02_대상물건입력'!B5="",1,IF(ISNUMBER(SEARCH('02_대상물건입력'!B5,B1023)),1,0)))</f>
        <v/>
      </c>
      <c r="O1023" s="152">
        <f>IF(B1023="","",IF('02_대상물건입력'!B6="",1,IF(ISNUMBER(SEARCH('02_대상물건입력'!B6,B1023)),1,0)))</f>
        <v/>
      </c>
      <c r="P1023" s="152">
        <f>IF(L1023="","",IF('02_대상물건입력'!B15="",0,IF(ISNUMBER(SEARCH('02_대상물건입력'!B15,L1023)),1,0)))</f>
        <v/>
      </c>
      <c r="Q1023" s="152">
        <f>IF(OR(C1023="",L1023=""),0,IF(AND(TRIM(C1023)=TRIM(RIGHT(SUBSTITUTE(TRIM('02_대상물건입력'!$B$7)," ",REPT(" ",99)),99)),IF('02_대상물건입력'!B15="",TRUE(),ISNUMBER(SEARCH('02_대상물건입력'!B15,L1023)))),1,0))</f>
        <v/>
      </c>
      <c r="R1023" s="175">
        <f>IFERROR(ABS(E1023-'02_대상물건입력'!B11)/'02_대상물건입력'!B11,"")</f>
        <v/>
      </c>
      <c r="S1023" s="152">
        <f>IFERROR(ABS(J1023-'02_대상물건입력'!B10),"")</f>
        <v/>
      </c>
      <c r="T1023" s="152">
        <f>IFERROR(ABS('01_설정'!B4-F1023),"")</f>
        <v/>
      </c>
      <c r="U1023" s="152">
        <f>IFERROR(ABS(K1023-YEAR('02_대상물건입력'!B14)),"")</f>
        <v/>
      </c>
      <c r="V1023" s="152">
        <f>IF(B1023="","",IF(AND(E1023&gt;0,F1023&gt;0,H1023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1023=1,TRUE()),R1023&lt;='01_설정'!B5,S1023&lt;='01_설정'!B6,T1023&lt;='01_설정'!B7,U1023&lt;='01_설정'!B8),"Y",""))</f>
        <v/>
      </c>
      <c r="W1023" s="172">
        <f>IF(V1023&lt;&gt;"Y","",MAX(0,(1-R1023/'01_설정'!B5))*'01_설정'!B14+MAX(0,(1-S1023/'01_설정'!B6))*'01_설정'!B15+MAX(0,(1-T1023/'01_설정'!B7))*'01_설정'!B16+MAX(0,(1-U1023/'01_설정'!B8))*'01_설정'!B17+O1023*'01_설정'!B11+Q1023*'01_설정'!B12+P1023*'01_설정'!B13+IF(Z1023="",0,Z1023))</f>
        <v/>
      </c>
      <c r="X1023" s="152">
        <f>IF(W1023="","",1+COUNTIFS($W$4:$W$3003,"&gt;"&amp;W1023)+COUNTIFS($W$4:W1023,W1023)-1)</f>
        <v/>
      </c>
      <c r="Y1023" s="175">
        <f>IF(OR(I1023="",'02_대상물건입력'!B19="",'02_대상물건입력'!B19&lt;=0),"",ABS(I1023-'02_대상물건입력'!B19)/'02_대상물건입력'!B19)</f>
        <v/>
      </c>
      <c r="Z1023" s="172">
        <f>IF(OR(Y1023="",'01_설정'!B31="",'01_설정'!B31&lt;=0,'01_설정'!B32="",'01_설정'!B32&lt;=0),"",MAX(0,(1-Y1023/'01_설정'!B32))*'01_설정'!B31)</f>
        <v/>
      </c>
    </row>
    <row r="1024" ht="17.25" customHeight="1">
      <c r="A1024" s="152">
        <f>IF(INDEX('04A_국토부원자료'!$A:$A,ROW()+1)="","",ROW()-3)</f>
        <v/>
      </c>
      <c r="B1024" s="48">
        <f>IFERROR(INDEX('04A_국토부원자료'!$A:$T,ROW()+1,MATCH("시군구",'04A_국토부원자료'!$A$4:$T$4,0)),"")</f>
        <v/>
      </c>
      <c r="C1024" s="48">
        <f>IF(B1024="","",IFERROR(INDEX('04A_국토부원자료'!$A:$T,ROW()+1,MATCH("번지",'04A_국토부원자료'!$A$4:$T$4,0)),""))</f>
        <v/>
      </c>
      <c r="D1024" s="48">
        <f>IF(B1024="","",IF(Q1024=1,'02_대상물건입력'!$B$8,IFERROR(INDEX('04A_국토부원자료'!$A:$T,ROW()+1,MATCH("단지명",'04A_국토부원자료'!$A$4:$T$4,0)),"")))</f>
        <v/>
      </c>
      <c r="E1024" s="172">
        <f>IFERROR(VALUE(SUBSTITUTE(INDEX('04A_국토부원자료'!$A:$T,ROW()+1,MATCH("전용면적(㎡)",'04A_국토부원자료'!$A$4:$T$4,0)),",","")),"")</f>
        <v/>
      </c>
      <c r="F10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24" s="51">
        <f>IFERROR(VALUE(SUBSTITUTE(INDEX('04A_국토부원자료'!$A:$T,ROW()+1,MATCH("거래금액(만원)",'04A_국토부원자료'!$A$4:$T$4,0)),",","")),"")</f>
        <v/>
      </c>
      <c r="H1024" s="174">
        <f>IF(G1024="","",G1024*10000)</f>
        <v/>
      </c>
      <c r="I1024" s="174">
        <f>IFERROR(IF(AND(H1024&gt;0,E1024&gt;0),H1024/E1024,""),"")</f>
        <v/>
      </c>
      <c r="J1024" s="152">
        <f>IFERROR(VALUE(SUBSTITUTE(INDEX('04A_국토부원자료'!$A:$T,ROW()+1,MATCH("층",'04A_국토부원자료'!$A$4:$T$4,0)),",","")),"")</f>
        <v/>
      </c>
      <c r="K1024" s="152">
        <f>IFERROR(VALUE(SUBSTITUTE(INDEX('04A_국토부원자료'!$A:$T,ROW()+1,MATCH("건축년도",'04A_국토부원자료'!$A$4:$T$4,0)),",","")),"")</f>
        <v/>
      </c>
      <c r="L1024" s="176">
        <f>IFERROR(INDEX('04A_국토부원자료'!$A:$T,ROW()+1,MATCH("도로명",'04A_국토부원자료'!$A$4:$T$4,0)),"")</f>
        <v/>
      </c>
      <c r="M1024" s="48">
        <f>IFERROR(INDEX('04A_국토부원자료'!$A:$T,ROW()+1,MATCH("거래유형",'04A_국토부원자료'!$A$4:$T$4,0)),"")</f>
        <v/>
      </c>
      <c r="N1024" s="152">
        <f>IF(B1024="","",IF('02_대상물건입력'!B5="",1,IF(ISNUMBER(SEARCH('02_대상물건입력'!B5,B1024)),1,0)))</f>
        <v/>
      </c>
      <c r="O1024" s="152">
        <f>IF(B1024="","",IF('02_대상물건입력'!B6="",1,IF(ISNUMBER(SEARCH('02_대상물건입력'!B6,B1024)),1,0)))</f>
        <v/>
      </c>
      <c r="P1024" s="152">
        <f>IF(L1024="","",IF('02_대상물건입력'!B15="",0,IF(ISNUMBER(SEARCH('02_대상물건입력'!B15,L1024)),1,0)))</f>
        <v/>
      </c>
      <c r="Q1024" s="152">
        <f>IF(OR(C1024="",L1024=""),0,IF(AND(TRIM(C1024)=TRIM(RIGHT(SUBSTITUTE(TRIM('02_대상물건입력'!$B$7)," ",REPT(" ",99)),99)),IF('02_대상물건입력'!B15="",TRUE(),ISNUMBER(SEARCH('02_대상물건입력'!B15,L1024)))),1,0))</f>
        <v/>
      </c>
      <c r="R1024" s="175">
        <f>IFERROR(ABS(E1024-'02_대상물건입력'!B11)/'02_대상물건입력'!B11,"")</f>
        <v/>
      </c>
      <c r="S1024" s="152">
        <f>IFERROR(ABS(J1024-'02_대상물건입력'!B10),"")</f>
        <v/>
      </c>
      <c r="T1024" s="152">
        <f>IFERROR(ABS('01_설정'!B4-F1024),"")</f>
        <v/>
      </c>
      <c r="U1024" s="152">
        <f>IFERROR(ABS(K1024-YEAR('02_대상물건입력'!B14)),"")</f>
        <v/>
      </c>
      <c r="V1024" s="152">
        <f>IF(B1024="","",IF(AND(E1024&gt;0,F1024&gt;0,H1024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1024=1,TRUE()),R1024&lt;='01_설정'!B5,S1024&lt;='01_설정'!B6,T1024&lt;='01_설정'!B7,U1024&lt;='01_설정'!B8),"Y",""))</f>
        <v/>
      </c>
      <c r="W1024" s="172">
        <f>IF(V1024&lt;&gt;"Y","",MAX(0,(1-R1024/'01_설정'!B5))*'01_설정'!B14+MAX(0,(1-S1024/'01_설정'!B6))*'01_설정'!B15+MAX(0,(1-T1024/'01_설정'!B7))*'01_설정'!B16+MAX(0,(1-U1024/'01_설정'!B8))*'01_설정'!B17+O1024*'01_설정'!B11+Q1024*'01_설정'!B12+P1024*'01_설정'!B13+IF(Z1024="",0,Z1024))</f>
        <v/>
      </c>
      <c r="X1024" s="152">
        <f>IF(W1024="","",1+COUNTIFS($W$4:$W$3003,"&gt;"&amp;W1024)+COUNTIFS($W$4:W1024,W1024)-1)</f>
        <v/>
      </c>
      <c r="Y1024" s="175">
        <f>IF(OR(I1024="",'02_대상물건입력'!B19="",'02_대상물건입력'!B19&lt;=0),"",ABS(I1024-'02_대상물건입력'!B19)/'02_대상물건입력'!B19)</f>
        <v/>
      </c>
      <c r="Z1024" s="172">
        <f>IF(OR(Y1024="",'01_설정'!B31="",'01_설정'!B31&lt;=0,'01_설정'!B32="",'01_설정'!B32&lt;=0),"",MAX(0,(1-Y1024/'01_설정'!B32))*'01_설정'!B31)</f>
        <v/>
      </c>
    </row>
    <row r="1025" ht="17.25" customHeight="1">
      <c r="A1025" s="152">
        <f>IF(INDEX('04A_국토부원자료'!$A:$A,ROW()+1)="","",ROW()-3)</f>
        <v/>
      </c>
      <c r="B1025" s="48">
        <f>IFERROR(INDEX('04A_국토부원자료'!$A:$T,ROW()+1,MATCH("시군구",'04A_국토부원자료'!$A$4:$T$4,0)),"")</f>
        <v/>
      </c>
      <c r="C1025" s="48">
        <f>IF(B1025="","",IFERROR(INDEX('04A_국토부원자료'!$A:$T,ROW()+1,MATCH("번지",'04A_국토부원자료'!$A$4:$T$4,0)),""))</f>
        <v/>
      </c>
      <c r="D1025" s="48">
        <f>IF(B1025="","",IF(Q1025=1,'02_대상물건입력'!$B$8,IFERROR(INDEX('04A_국토부원자료'!$A:$T,ROW()+1,MATCH("단지명",'04A_국토부원자료'!$A$4:$T$4,0)),"")))</f>
        <v/>
      </c>
      <c r="E1025" s="172">
        <f>IFERROR(VALUE(SUBSTITUTE(INDEX('04A_국토부원자료'!$A:$T,ROW()+1,MATCH("전용면적(㎡)",'04A_국토부원자료'!$A$4:$T$4,0)),",","")),"")</f>
        <v/>
      </c>
      <c r="F10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25" s="51">
        <f>IFERROR(VALUE(SUBSTITUTE(INDEX('04A_국토부원자료'!$A:$T,ROW()+1,MATCH("거래금액(만원)",'04A_국토부원자료'!$A$4:$T$4,0)),",","")),"")</f>
        <v/>
      </c>
      <c r="H1025" s="174">
        <f>IF(G1025="","",G1025*10000)</f>
        <v/>
      </c>
      <c r="I1025" s="174">
        <f>IFERROR(IF(AND(H1025&gt;0,E1025&gt;0),H1025/E1025,""),"")</f>
        <v/>
      </c>
      <c r="J1025" s="152">
        <f>IFERROR(VALUE(SUBSTITUTE(INDEX('04A_국토부원자료'!$A:$T,ROW()+1,MATCH("층",'04A_국토부원자료'!$A$4:$T$4,0)),",","")),"")</f>
        <v/>
      </c>
      <c r="K1025" s="152">
        <f>IFERROR(VALUE(SUBSTITUTE(INDEX('04A_국토부원자료'!$A:$T,ROW()+1,MATCH("건축년도",'04A_국토부원자료'!$A$4:$T$4,0)),",","")),"")</f>
        <v/>
      </c>
      <c r="L1025" s="176">
        <f>IFERROR(INDEX('04A_국토부원자료'!$A:$T,ROW()+1,MATCH("도로명",'04A_국토부원자료'!$A$4:$T$4,0)),"")</f>
        <v/>
      </c>
      <c r="M1025" s="48">
        <f>IFERROR(INDEX('04A_국토부원자료'!$A:$T,ROW()+1,MATCH("거래유형",'04A_국토부원자료'!$A$4:$T$4,0)),"")</f>
        <v/>
      </c>
      <c r="N1025" s="152">
        <f>IF(B1025="","",IF('02_대상물건입력'!B5="",1,IF(ISNUMBER(SEARCH('02_대상물건입력'!B5,B1025)),1,0)))</f>
        <v/>
      </c>
      <c r="O1025" s="152">
        <f>IF(B1025="","",IF('02_대상물건입력'!B6="",1,IF(ISNUMBER(SEARCH('02_대상물건입력'!B6,B1025)),1,0)))</f>
        <v/>
      </c>
      <c r="P1025" s="152">
        <f>IF(L1025="","",IF('02_대상물건입력'!B15="",0,IF(ISNUMBER(SEARCH('02_대상물건입력'!B15,L1025)),1,0)))</f>
        <v/>
      </c>
      <c r="Q1025" s="152">
        <f>IF(OR(C1025="",L1025=""),0,IF(AND(TRIM(C1025)=TRIM(RIGHT(SUBSTITUTE(TRIM('02_대상물건입력'!$B$7)," ",REPT(" ",99)),99)),IF('02_대상물건입력'!B15="",TRUE(),ISNUMBER(SEARCH('02_대상물건입력'!B15,L1025)))),1,0))</f>
        <v/>
      </c>
      <c r="R1025" s="175">
        <f>IFERROR(ABS(E1025-'02_대상물건입력'!B11)/'02_대상물건입력'!B11,"")</f>
        <v/>
      </c>
      <c r="S1025" s="152">
        <f>IFERROR(ABS(J1025-'02_대상물건입력'!B10),"")</f>
        <v/>
      </c>
      <c r="T1025" s="152">
        <f>IFERROR(ABS('01_설정'!B4-F1025),"")</f>
        <v/>
      </c>
      <c r="U1025" s="152">
        <f>IFERROR(ABS(K1025-YEAR('02_대상물건입력'!B14)),"")</f>
        <v/>
      </c>
      <c r="V1025" s="152">
        <f>IF(B1025="","",IF(AND(E1025&gt;0,F1025&gt;0,H1025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1025=1,TRUE()),R1025&lt;='01_설정'!B5,S1025&lt;='01_설정'!B6,T1025&lt;='01_설정'!B7,U1025&lt;='01_설정'!B8),"Y",""))</f>
        <v/>
      </c>
      <c r="W1025" s="172">
        <f>IF(V1025&lt;&gt;"Y","",MAX(0,(1-R1025/'01_설정'!B5))*'01_설정'!B14+MAX(0,(1-S1025/'01_설정'!B6))*'01_설정'!B15+MAX(0,(1-T1025/'01_설정'!B7))*'01_설정'!B16+MAX(0,(1-U1025/'01_설정'!B8))*'01_설정'!B17+O1025*'01_설정'!B11+Q1025*'01_설정'!B12+P1025*'01_설정'!B13+IF(Z1025="",0,Z1025))</f>
        <v/>
      </c>
      <c r="X1025" s="152">
        <f>IF(W1025="","",1+COUNTIFS($W$4:$W$3003,"&gt;"&amp;W1025)+COUNTIFS($W$4:W1025,W1025)-1)</f>
        <v/>
      </c>
      <c r="Y1025" s="175">
        <f>IF(OR(I1025="",'02_대상물건입력'!B19="",'02_대상물건입력'!B19&lt;=0),"",ABS(I1025-'02_대상물건입력'!B19)/'02_대상물건입력'!B19)</f>
        <v/>
      </c>
      <c r="Z1025" s="172">
        <f>IF(OR(Y1025="",'01_설정'!B31="",'01_설정'!B31&lt;=0,'01_설정'!B32="",'01_설정'!B32&lt;=0),"",MAX(0,(1-Y1025/'01_설정'!B32))*'01_설정'!B31)</f>
        <v/>
      </c>
    </row>
    <row r="1026" ht="17.25" customHeight="1">
      <c r="A1026" s="152">
        <f>IF(INDEX('04A_국토부원자료'!$A:$A,ROW()+1)="","",ROW()-3)</f>
        <v/>
      </c>
      <c r="B1026" s="48">
        <f>IFERROR(INDEX('04A_국토부원자료'!$A:$T,ROW()+1,MATCH("시군구",'04A_국토부원자료'!$A$4:$T$4,0)),"")</f>
        <v/>
      </c>
      <c r="C1026" s="48">
        <f>IF(B1026="","",IFERROR(INDEX('04A_국토부원자료'!$A:$T,ROW()+1,MATCH("번지",'04A_국토부원자료'!$A$4:$T$4,0)),""))</f>
        <v/>
      </c>
      <c r="D1026" s="48">
        <f>IF(B1026="","",IF(Q1026=1,'02_대상물건입력'!$B$8,IFERROR(INDEX('04A_국토부원자료'!$A:$T,ROW()+1,MATCH("단지명",'04A_국토부원자료'!$A$4:$T$4,0)),"")))</f>
        <v/>
      </c>
      <c r="E1026" s="172">
        <f>IFERROR(VALUE(SUBSTITUTE(INDEX('04A_국토부원자료'!$A:$T,ROW()+1,MATCH("전용면적(㎡)",'04A_국토부원자료'!$A$4:$T$4,0)),",","")),"")</f>
        <v/>
      </c>
      <c r="F10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26" s="51">
        <f>IFERROR(VALUE(SUBSTITUTE(INDEX('04A_국토부원자료'!$A:$T,ROW()+1,MATCH("거래금액(만원)",'04A_국토부원자료'!$A$4:$T$4,0)),",","")),"")</f>
        <v/>
      </c>
      <c r="H1026" s="174">
        <f>IF(G1026="","",G1026*10000)</f>
        <v/>
      </c>
      <c r="I1026" s="174">
        <f>IFERROR(IF(AND(H1026&gt;0,E1026&gt;0),H1026/E1026,""),"")</f>
        <v/>
      </c>
      <c r="J1026" s="152">
        <f>IFERROR(VALUE(SUBSTITUTE(INDEX('04A_국토부원자료'!$A:$T,ROW()+1,MATCH("층",'04A_국토부원자료'!$A$4:$T$4,0)),",","")),"")</f>
        <v/>
      </c>
      <c r="K1026" s="152">
        <f>IFERROR(VALUE(SUBSTITUTE(INDEX('04A_국토부원자료'!$A:$T,ROW()+1,MATCH("건축년도",'04A_국토부원자료'!$A$4:$T$4,0)),",","")),"")</f>
        <v/>
      </c>
      <c r="L1026" s="176">
        <f>IFERROR(INDEX('04A_국토부원자료'!$A:$T,ROW()+1,MATCH("도로명",'04A_국토부원자료'!$A$4:$T$4,0)),"")</f>
        <v/>
      </c>
      <c r="M1026" s="48">
        <f>IFERROR(INDEX('04A_국토부원자료'!$A:$T,ROW()+1,MATCH("거래유형",'04A_국토부원자료'!$A$4:$T$4,0)),"")</f>
        <v/>
      </c>
      <c r="N1026" s="152">
        <f>IF(B1026="","",IF('02_대상물건입력'!B5="",1,IF(ISNUMBER(SEARCH('02_대상물건입력'!B5,B1026)),1,0)))</f>
        <v/>
      </c>
      <c r="O1026" s="152">
        <f>IF(B1026="","",IF('02_대상물건입력'!B6="",1,IF(ISNUMBER(SEARCH('02_대상물건입력'!B6,B1026)),1,0)))</f>
        <v/>
      </c>
      <c r="P1026" s="152">
        <f>IF(L1026="","",IF('02_대상물건입력'!B15="",0,IF(ISNUMBER(SEARCH('02_대상물건입력'!B15,L1026)),1,0)))</f>
        <v/>
      </c>
      <c r="Q1026" s="152">
        <f>IF(OR(C1026="",L1026=""),0,IF(AND(TRIM(C1026)=TRIM(RIGHT(SUBSTITUTE(TRIM('02_대상물건입력'!$B$7)," ",REPT(" ",99)),99)),IF('02_대상물건입력'!B15="",TRUE(),ISNUMBER(SEARCH('02_대상물건입력'!B15,L1026)))),1,0))</f>
        <v/>
      </c>
      <c r="R1026" s="175">
        <f>IFERROR(ABS(E1026-'02_대상물건입력'!B11)/'02_대상물건입력'!B11,"")</f>
        <v/>
      </c>
      <c r="S1026" s="152">
        <f>IFERROR(ABS(J1026-'02_대상물건입력'!B10),"")</f>
        <v/>
      </c>
      <c r="T1026" s="152">
        <f>IFERROR(ABS('01_설정'!B4-F1026),"")</f>
        <v/>
      </c>
      <c r="U1026" s="152">
        <f>IFERROR(ABS(K1026-YEAR('02_대상물건입력'!B14)),"")</f>
        <v/>
      </c>
      <c r="V1026" s="152">
        <f>IF(B1026="","",IF(AND(E1026&gt;0,F1026&gt;0,H1026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1026=1,TRUE()),R1026&lt;='01_설정'!B5,S1026&lt;='01_설정'!B6,T1026&lt;='01_설정'!B7,U1026&lt;='01_설정'!B8),"Y",""))</f>
        <v/>
      </c>
      <c r="W1026" s="172">
        <f>IF(V1026&lt;&gt;"Y","",MAX(0,(1-R1026/'01_설정'!B5))*'01_설정'!B14+MAX(0,(1-S1026/'01_설정'!B6))*'01_설정'!B15+MAX(0,(1-T1026/'01_설정'!B7))*'01_설정'!B16+MAX(0,(1-U1026/'01_설정'!B8))*'01_설정'!B17+O1026*'01_설정'!B11+Q1026*'01_설정'!B12+P1026*'01_설정'!B13+IF(Z1026="",0,Z1026))</f>
        <v/>
      </c>
      <c r="X1026" s="152">
        <f>IF(W1026="","",1+COUNTIFS($W$4:$W$3003,"&gt;"&amp;W1026)+COUNTIFS($W$4:W1026,W1026)-1)</f>
        <v/>
      </c>
      <c r="Y1026" s="175">
        <f>IF(OR(I1026="",'02_대상물건입력'!B19="",'02_대상물건입력'!B19&lt;=0),"",ABS(I1026-'02_대상물건입력'!B19)/'02_대상물건입력'!B19)</f>
        <v/>
      </c>
      <c r="Z1026" s="172">
        <f>IF(OR(Y1026="",'01_설정'!B31="",'01_설정'!B31&lt;=0,'01_설정'!B32="",'01_설정'!B32&lt;=0),"",MAX(0,(1-Y1026/'01_설정'!B32))*'01_설정'!B31)</f>
        <v/>
      </c>
    </row>
    <row r="1027" ht="17.25" customHeight="1">
      <c r="A1027" s="152">
        <f>IF(INDEX('04A_국토부원자료'!$A:$A,ROW()+1)="","",ROW()-3)</f>
        <v/>
      </c>
      <c r="B1027" s="48">
        <f>IFERROR(INDEX('04A_국토부원자료'!$A:$T,ROW()+1,MATCH("시군구",'04A_국토부원자료'!$A$4:$T$4,0)),"")</f>
        <v/>
      </c>
      <c r="C1027" s="48">
        <f>IF(B1027="","",IFERROR(INDEX('04A_국토부원자료'!$A:$T,ROW()+1,MATCH("번지",'04A_국토부원자료'!$A$4:$T$4,0)),""))</f>
        <v/>
      </c>
      <c r="D1027" s="48">
        <f>IF(B1027="","",IF(Q1027=1,'02_대상물건입력'!$B$8,IFERROR(INDEX('04A_국토부원자료'!$A:$T,ROW()+1,MATCH("단지명",'04A_국토부원자료'!$A$4:$T$4,0)),"")))</f>
        <v/>
      </c>
      <c r="E1027" s="172">
        <f>IFERROR(VALUE(SUBSTITUTE(INDEX('04A_국토부원자료'!$A:$T,ROW()+1,MATCH("전용면적(㎡)",'04A_국토부원자료'!$A$4:$T$4,0)),",","")),"")</f>
        <v/>
      </c>
      <c r="F10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27" s="51">
        <f>IFERROR(VALUE(SUBSTITUTE(INDEX('04A_국토부원자료'!$A:$T,ROW()+1,MATCH("거래금액(만원)",'04A_국토부원자료'!$A$4:$T$4,0)),",","")),"")</f>
        <v/>
      </c>
      <c r="H1027" s="174">
        <f>IF(G1027="","",G1027*10000)</f>
        <v/>
      </c>
      <c r="I1027" s="174">
        <f>IFERROR(IF(AND(H1027&gt;0,E1027&gt;0),H1027/E1027,""),"")</f>
        <v/>
      </c>
      <c r="J1027" s="152">
        <f>IFERROR(VALUE(SUBSTITUTE(INDEX('04A_국토부원자료'!$A:$T,ROW()+1,MATCH("층",'04A_국토부원자료'!$A$4:$T$4,0)),",","")),"")</f>
        <v/>
      </c>
      <c r="K1027" s="152">
        <f>IFERROR(VALUE(SUBSTITUTE(INDEX('04A_국토부원자료'!$A:$T,ROW()+1,MATCH("건축년도",'04A_국토부원자료'!$A$4:$T$4,0)),",","")),"")</f>
        <v/>
      </c>
      <c r="L1027" s="176">
        <f>IFERROR(INDEX('04A_국토부원자료'!$A:$T,ROW()+1,MATCH("도로명",'04A_국토부원자료'!$A$4:$T$4,0)),"")</f>
        <v/>
      </c>
      <c r="M1027" s="48">
        <f>IFERROR(INDEX('04A_국토부원자료'!$A:$T,ROW()+1,MATCH("거래유형",'04A_국토부원자료'!$A$4:$T$4,0)),"")</f>
        <v/>
      </c>
      <c r="N1027" s="152">
        <f>IF(B1027="","",IF('02_대상물건입력'!B5="",1,IF(ISNUMBER(SEARCH('02_대상물건입력'!B5,B1027)),1,0)))</f>
        <v/>
      </c>
      <c r="O1027" s="152">
        <f>IF(B1027="","",IF('02_대상물건입력'!B6="",1,IF(ISNUMBER(SEARCH('02_대상물건입력'!B6,B1027)),1,0)))</f>
        <v/>
      </c>
      <c r="P1027" s="152">
        <f>IF(L1027="","",IF('02_대상물건입력'!B15="",0,IF(ISNUMBER(SEARCH('02_대상물건입력'!B15,L1027)),1,0)))</f>
        <v/>
      </c>
      <c r="Q1027" s="152">
        <f>IF(OR(C1027="",L1027=""),0,IF(AND(TRIM(C1027)=TRIM(RIGHT(SUBSTITUTE(TRIM('02_대상물건입력'!$B$7)," ",REPT(" ",99)),99)),IF('02_대상물건입력'!B15="",TRUE(),ISNUMBER(SEARCH('02_대상물건입력'!B15,L1027)))),1,0))</f>
        <v/>
      </c>
      <c r="R1027" s="175">
        <f>IFERROR(ABS(E1027-'02_대상물건입력'!B11)/'02_대상물건입력'!B11,"")</f>
        <v/>
      </c>
      <c r="S1027" s="152">
        <f>IFERROR(ABS(J1027-'02_대상물건입력'!B10),"")</f>
        <v/>
      </c>
      <c r="T1027" s="152">
        <f>IFERROR(ABS('01_설정'!B4-F1027),"")</f>
        <v/>
      </c>
      <c r="U1027" s="152">
        <f>IFERROR(ABS(K1027-YEAR('02_대상물건입력'!B14)),"")</f>
        <v/>
      </c>
      <c r="V1027" s="152">
        <f>IF(B1027="","",IF(AND(E1027&gt;0,F1027&gt;0,H1027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1027=1,TRUE()),R1027&lt;='01_설정'!B5,S1027&lt;='01_설정'!B6,T1027&lt;='01_설정'!B7,U1027&lt;='01_설정'!B8),"Y",""))</f>
        <v/>
      </c>
      <c r="W1027" s="172">
        <f>IF(V1027&lt;&gt;"Y","",MAX(0,(1-R1027/'01_설정'!B5))*'01_설정'!B14+MAX(0,(1-S1027/'01_설정'!B6))*'01_설정'!B15+MAX(0,(1-T1027/'01_설정'!B7))*'01_설정'!B16+MAX(0,(1-U1027/'01_설정'!B8))*'01_설정'!B17+O1027*'01_설정'!B11+Q1027*'01_설정'!B12+P1027*'01_설정'!B13+IF(Z1027="",0,Z1027))</f>
        <v/>
      </c>
      <c r="X1027" s="152">
        <f>IF(W1027="","",1+COUNTIFS($W$4:$W$3003,"&gt;"&amp;W1027)+COUNTIFS($W$4:W1027,W1027)-1)</f>
        <v/>
      </c>
      <c r="Y1027" s="175">
        <f>IF(OR(I1027="",'02_대상물건입력'!B19="",'02_대상물건입력'!B19&lt;=0),"",ABS(I1027-'02_대상물건입력'!B19)/'02_대상물건입력'!B19)</f>
        <v/>
      </c>
      <c r="Z1027" s="172">
        <f>IF(OR(Y1027="",'01_설정'!B31="",'01_설정'!B31&lt;=0,'01_설정'!B32="",'01_설정'!B32&lt;=0),"",MAX(0,(1-Y1027/'01_설정'!B32))*'01_설정'!B31)</f>
        <v/>
      </c>
    </row>
    <row r="1028" ht="17.25" customHeight="1">
      <c r="A1028" s="152">
        <f>IF(INDEX('04A_국토부원자료'!$A:$A,ROW()+1)="","",ROW()-3)</f>
        <v/>
      </c>
      <c r="B1028" s="48">
        <f>IFERROR(INDEX('04A_국토부원자료'!$A:$T,ROW()+1,MATCH("시군구",'04A_국토부원자료'!$A$4:$T$4,0)),"")</f>
        <v/>
      </c>
      <c r="C1028" s="48">
        <f>IF(B1028="","",IFERROR(INDEX('04A_국토부원자료'!$A:$T,ROW()+1,MATCH("번지",'04A_국토부원자료'!$A$4:$T$4,0)),""))</f>
        <v/>
      </c>
      <c r="D1028" s="48">
        <f>IF(B1028="","",IF(Q1028=1,'02_대상물건입력'!$B$8,IFERROR(INDEX('04A_국토부원자료'!$A:$T,ROW()+1,MATCH("단지명",'04A_국토부원자료'!$A$4:$T$4,0)),"")))</f>
        <v/>
      </c>
      <c r="E1028" s="172">
        <f>IFERROR(VALUE(SUBSTITUTE(INDEX('04A_국토부원자료'!$A:$T,ROW()+1,MATCH("전용면적(㎡)",'04A_국토부원자료'!$A$4:$T$4,0)),",","")),"")</f>
        <v/>
      </c>
      <c r="F10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28" s="51">
        <f>IFERROR(VALUE(SUBSTITUTE(INDEX('04A_국토부원자료'!$A:$T,ROW()+1,MATCH("거래금액(만원)",'04A_국토부원자료'!$A$4:$T$4,0)),",","")),"")</f>
        <v/>
      </c>
      <c r="H1028" s="174">
        <f>IF(G1028="","",G1028*10000)</f>
        <v/>
      </c>
      <c r="I1028" s="174">
        <f>IFERROR(IF(AND(H1028&gt;0,E1028&gt;0),H1028/E1028,""),"")</f>
        <v/>
      </c>
      <c r="J1028" s="152">
        <f>IFERROR(VALUE(SUBSTITUTE(INDEX('04A_국토부원자료'!$A:$T,ROW()+1,MATCH("층",'04A_국토부원자료'!$A$4:$T$4,0)),",","")),"")</f>
        <v/>
      </c>
      <c r="K1028" s="152">
        <f>IFERROR(VALUE(SUBSTITUTE(INDEX('04A_국토부원자료'!$A:$T,ROW()+1,MATCH("건축년도",'04A_국토부원자료'!$A$4:$T$4,0)),",","")),"")</f>
        <v/>
      </c>
      <c r="L1028" s="176">
        <f>IFERROR(INDEX('04A_국토부원자료'!$A:$T,ROW()+1,MATCH("도로명",'04A_국토부원자료'!$A$4:$T$4,0)),"")</f>
        <v/>
      </c>
      <c r="M1028" s="48">
        <f>IFERROR(INDEX('04A_국토부원자료'!$A:$T,ROW()+1,MATCH("거래유형",'04A_국토부원자료'!$A$4:$T$4,0)),"")</f>
        <v/>
      </c>
      <c r="N1028" s="152">
        <f>IF(B1028="","",IF('02_대상물건입력'!B5="",1,IF(ISNUMBER(SEARCH('02_대상물건입력'!B5,B1028)),1,0)))</f>
        <v/>
      </c>
      <c r="O1028" s="152">
        <f>IF(B1028="","",IF('02_대상물건입력'!B6="",1,IF(ISNUMBER(SEARCH('02_대상물건입력'!B6,B1028)),1,0)))</f>
        <v/>
      </c>
      <c r="P1028" s="152">
        <f>IF(L1028="","",IF('02_대상물건입력'!B15="",0,IF(ISNUMBER(SEARCH('02_대상물건입력'!B15,L1028)),1,0)))</f>
        <v/>
      </c>
      <c r="Q1028" s="152">
        <f>IF(OR(C1028="",L1028=""),0,IF(AND(TRIM(C1028)=TRIM(RIGHT(SUBSTITUTE(TRIM('02_대상물건입력'!$B$7)," ",REPT(" ",99)),99)),IF('02_대상물건입력'!B15="",TRUE(),ISNUMBER(SEARCH('02_대상물건입력'!B15,L1028)))),1,0))</f>
        <v/>
      </c>
      <c r="R1028" s="175">
        <f>IFERROR(ABS(E1028-'02_대상물건입력'!B11)/'02_대상물건입력'!B11,"")</f>
        <v/>
      </c>
      <c r="S1028" s="152">
        <f>IFERROR(ABS(J1028-'02_대상물건입력'!B10),"")</f>
        <v/>
      </c>
      <c r="T1028" s="152">
        <f>IFERROR(ABS('01_설정'!B4-F1028),"")</f>
        <v/>
      </c>
      <c r="U1028" s="152">
        <f>IFERROR(ABS(K1028-YEAR('02_대상물건입력'!B14)),"")</f>
        <v/>
      </c>
      <c r="V1028" s="152">
        <f>IF(B1028="","",IF(AND(E1028&gt;0,F1028&gt;0,H1028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1028=1,TRUE()),R1028&lt;='01_설정'!B5,S1028&lt;='01_설정'!B6,T1028&lt;='01_설정'!B7,U1028&lt;='01_설정'!B8),"Y",""))</f>
        <v/>
      </c>
      <c r="W1028" s="172">
        <f>IF(V1028&lt;&gt;"Y","",MAX(0,(1-R1028/'01_설정'!B5))*'01_설정'!B14+MAX(0,(1-S1028/'01_설정'!B6))*'01_설정'!B15+MAX(0,(1-T1028/'01_설정'!B7))*'01_설정'!B16+MAX(0,(1-U1028/'01_설정'!B8))*'01_설정'!B17+O1028*'01_설정'!B11+Q1028*'01_설정'!B12+P1028*'01_설정'!B13+IF(Z1028="",0,Z1028))</f>
        <v/>
      </c>
      <c r="X1028" s="152">
        <f>IF(W1028="","",1+COUNTIFS($W$4:$W$3003,"&gt;"&amp;W1028)+COUNTIFS($W$4:W1028,W1028)-1)</f>
        <v/>
      </c>
      <c r="Y1028" s="175">
        <f>IF(OR(I1028="",'02_대상물건입력'!B19="",'02_대상물건입력'!B19&lt;=0),"",ABS(I1028-'02_대상물건입력'!B19)/'02_대상물건입력'!B19)</f>
        <v/>
      </c>
      <c r="Z1028" s="172">
        <f>IF(OR(Y1028="",'01_설정'!B31="",'01_설정'!B31&lt;=0,'01_설정'!B32="",'01_설정'!B32&lt;=0),"",MAX(0,(1-Y1028/'01_설정'!B32))*'01_설정'!B31)</f>
        <v/>
      </c>
    </row>
    <row r="1029" ht="17.25" customHeight="1">
      <c r="A1029" s="152">
        <f>IF(INDEX('04A_국토부원자료'!$A:$A,ROW()+1)="","",ROW()-3)</f>
        <v/>
      </c>
      <c r="B1029" s="48">
        <f>IFERROR(INDEX('04A_국토부원자료'!$A:$T,ROW()+1,MATCH("시군구",'04A_국토부원자료'!$A$4:$T$4,0)),"")</f>
        <v/>
      </c>
      <c r="C1029" s="48">
        <f>IF(B1029="","",IFERROR(INDEX('04A_국토부원자료'!$A:$T,ROW()+1,MATCH("번지",'04A_국토부원자료'!$A$4:$T$4,0)),""))</f>
        <v/>
      </c>
      <c r="D1029" s="48">
        <f>IF(B1029="","",IF(Q1029=1,'02_대상물건입력'!$B$8,IFERROR(INDEX('04A_국토부원자료'!$A:$T,ROW()+1,MATCH("단지명",'04A_국토부원자료'!$A$4:$T$4,0)),"")))</f>
        <v/>
      </c>
      <c r="E1029" s="172">
        <f>IFERROR(VALUE(SUBSTITUTE(INDEX('04A_국토부원자료'!$A:$T,ROW()+1,MATCH("전용면적(㎡)",'04A_국토부원자료'!$A$4:$T$4,0)),",","")),"")</f>
        <v/>
      </c>
      <c r="F10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29" s="51">
        <f>IFERROR(VALUE(SUBSTITUTE(INDEX('04A_국토부원자료'!$A:$T,ROW()+1,MATCH("거래금액(만원)",'04A_국토부원자료'!$A$4:$T$4,0)),",","")),"")</f>
        <v/>
      </c>
      <c r="H1029" s="174">
        <f>IF(G1029="","",G1029*10000)</f>
        <v/>
      </c>
      <c r="I1029" s="174">
        <f>IFERROR(IF(AND(H1029&gt;0,E1029&gt;0),H1029/E1029,""),"")</f>
        <v/>
      </c>
      <c r="J1029" s="152">
        <f>IFERROR(VALUE(SUBSTITUTE(INDEX('04A_국토부원자료'!$A:$T,ROW()+1,MATCH("층",'04A_국토부원자료'!$A$4:$T$4,0)),",","")),"")</f>
        <v/>
      </c>
      <c r="K1029" s="152">
        <f>IFERROR(VALUE(SUBSTITUTE(INDEX('04A_국토부원자료'!$A:$T,ROW()+1,MATCH("건축년도",'04A_국토부원자료'!$A$4:$T$4,0)),",","")),"")</f>
        <v/>
      </c>
      <c r="L1029" s="176">
        <f>IFERROR(INDEX('04A_국토부원자료'!$A:$T,ROW()+1,MATCH("도로명",'04A_국토부원자료'!$A$4:$T$4,0)),"")</f>
        <v/>
      </c>
      <c r="M1029" s="48">
        <f>IFERROR(INDEX('04A_국토부원자료'!$A:$T,ROW()+1,MATCH("거래유형",'04A_국토부원자료'!$A$4:$T$4,0)),"")</f>
        <v/>
      </c>
      <c r="N1029" s="152">
        <f>IF(B1029="","",IF('02_대상물건입력'!B5="",1,IF(ISNUMBER(SEARCH('02_대상물건입력'!B5,B1029)),1,0)))</f>
        <v/>
      </c>
      <c r="O1029" s="152">
        <f>IF(B1029="","",IF('02_대상물건입력'!B6="",1,IF(ISNUMBER(SEARCH('02_대상물건입력'!B6,B1029)),1,0)))</f>
        <v/>
      </c>
      <c r="P1029" s="152">
        <f>IF(L1029="","",IF('02_대상물건입력'!B15="",0,IF(ISNUMBER(SEARCH('02_대상물건입력'!B15,L1029)),1,0)))</f>
        <v/>
      </c>
      <c r="Q1029" s="152">
        <f>IF(OR(C1029="",L1029=""),0,IF(AND(TRIM(C1029)=TRIM(RIGHT(SUBSTITUTE(TRIM('02_대상물건입력'!$B$7)," ",REPT(" ",99)),99)),IF('02_대상물건입력'!B15="",TRUE(),ISNUMBER(SEARCH('02_대상물건입력'!B15,L1029)))),1,0))</f>
        <v/>
      </c>
      <c r="R1029" s="175">
        <f>IFERROR(ABS(E1029-'02_대상물건입력'!B11)/'02_대상물건입력'!B11,"")</f>
        <v/>
      </c>
      <c r="S1029" s="152">
        <f>IFERROR(ABS(J1029-'02_대상물건입력'!B10),"")</f>
        <v/>
      </c>
      <c r="T1029" s="152">
        <f>IFERROR(ABS('01_설정'!B4-F1029),"")</f>
        <v/>
      </c>
      <c r="U1029" s="152">
        <f>IFERROR(ABS(K1029-YEAR('02_대상물건입력'!B14)),"")</f>
        <v/>
      </c>
      <c r="V1029" s="152">
        <f>IF(B1029="","",IF(AND(E1029&gt;0,F1029&gt;0,H1029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1029=1,TRUE()),R1029&lt;='01_설정'!B5,S1029&lt;='01_설정'!B6,T1029&lt;='01_설정'!B7,U1029&lt;='01_설정'!B8),"Y",""))</f>
        <v/>
      </c>
      <c r="W1029" s="172">
        <f>IF(V1029&lt;&gt;"Y","",MAX(0,(1-R1029/'01_설정'!B5))*'01_설정'!B14+MAX(0,(1-S1029/'01_설정'!B6))*'01_설정'!B15+MAX(0,(1-T1029/'01_설정'!B7))*'01_설정'!B16+MAX(0,(1-U1029/'01_설정'!B8))*'01_설정'!B17+O1029*'01_설정'!B11+Q1029*'01_설정'!B12+P1029*'01_설정'!B13+IF(Z1029="",0,Z1029))</f>
        <v/>
      </c>
      <c r="X1029" s="152">
        <f>IF(W1029="","",1+COUNTIFS($W$4:$W$3003,"&gt;"&amp;W1029)+COUNTIFS($W$4:W1029,W1029)-1)</f>
        <v/>
      </c>
      <c r="Y1029" s="175">
        <f>IF(OR(I1029="",'02_대상물건입력'!B19="",'02_대상물건입력'!B19&lt;=0),"",ABS(I1029-'02_대상물건입력'!B19)/'02_대상물건입력'!B19)</f>
        <v/>
      </c>
      <c r="Z1029" s="172">
        <f>IF(OR(Y1029="",'01_설정'!B31="",'01_설정'!B31&lt;=0,'01_설정'!B32="",'01_설정'!B32&lt;=0),"",MAX(0,(1-Y1029/'01_설정'!B32))*'01_설정'!B31)</f>
        <v/>
      </c>
    </row>
    <row r="1030" ht="17.25" customHeight="1">
      <c r="A1030" s="152">
        <f>IF(INDEX('04A_국토부원자료'!$A:$A,ROW()+1)="","",ROW()-3)</f>
        <v/>
      </c>
      <c r="B1030" s="48">
        <f>IFERROR(INDEX('04A_국토부원자료'!$A:$T,ROW()+1,MATCH("시군구",'04A_국토부원자료'!$A$4:$T$4,0)),"")</f>
        <v/>
      </c>
      <c r="C1030" s="48">
        <f>IF(B1030="","",IFERROR(INDEX('04A_국토부원자료'!$A:$T,ROW()+1,MATCH("번지",'04A_국토부원자료'!$A$4:$T$4,0)),""))</f>
        <v/>
      </c>
      <c r="D1030" s="48">
        <f>IF(B1030="","",IF(Q1030=1,'02_대상물건입력'!$B$8,IFERROR(INDEX('04A_국토부원자료'!$A:$T,ROW()+1,MATCH("단지명",'04A_국토부원자료'!$A$4:$T$4,0)),"")))</f>
        <v/>
      </c>
      <c r="E1030" s="172">
        <f>IFERROR(VALUE(SUBSTITUTE(INDEX('04A_국토부원자료'!$A:$T,ROW()+1,MATCH("전용면적(㎡)",'04A_국토부원자료'!$A$4:$T$4,0)),",","")),"")</f>
        <v/>
      </c>
      <c r="F10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30" s="51">
        <f>IFERROR(VALUE(SUBSTITUTE(INDEX('04A_국토부원자료'!$A:$T,ROW()+1,MATCH("거래금액(만원)",'04A_국토부원자료'!$A$4:$T$4,0)),",","")),"")</f>
        <v/>
      </c>
      <c r="H1030" s="174">
        <f>IF(G1030="","",G1030*10000)</f>
        <v/>
      </c>
      <c r="I1030" s="174">
        <f>IFERROR(IF(AND(H1030&gt;0,E1030&gt;0),H1030/E1030,""),"")</f>
        <v/>
      </c>
      <c r="J1030" s="152">
        <f>IFERROR(VALUE(SUBSTITUTE(INDEX('04A_국토부원자료'!$A:$T,ROW()+1,MATCH("층",'04A_국토부원자료'!$A$4:$T$4,0)),",","")),"")</f>
        <v/>
      </c>
      <c r="K1030" s="152">
        <f>IFERROR(VALUE(SUBSTITUTE(INDEX('04A_국토부원자료'!$A:$T,ROW()+1,MATCH("건축년도",'04A_국토부원자료'!$A$4:$T$4,0)),",","")),"")</f>
        <v/>
      </c>
      <c r="L1030" s="176">
        <f>IFERROR(INDEX('04A_국토부원자료'!$A:$T,ROW()+1,MATCH("도로명",'04A_국토부원자료'!$A$4:$T$4,0)),"")</f>
        <v/>
      </c>
      <c r="M1030" s="48">
        <f>IFERROR(INDEX('04A_국토부원자료'!$A:$T,ROW()+1,MATCH("거래유형",'04A_국토부원자료'!$A$4:$T$4,0)),"")</f>
        <v/>
      </c>
      <c r="N1030" s="152">
        <f>IF(B1030="","",IF('02_대상물건입력'!B5="",1,IF(ISNUMBER(SEARCH('02_대상물건입력'!B5,B1030)),1,0)))</f>
        <v/>
      </c>
      <c r="O1030" s="152">
        <f>IF(B1030="","",IF('02_대상물건입력'!B6="",1,IF(ISNUMBER(SEARCH('02_대상물건입력'!B6,B1030)),1,0)))</f>
        <v/>
      </c>
      <c r="P1030" s="152">
        <f>IF(L1030="","",IF('02_대상물건입력'!B15="",0,IF(ISNUMBER(SEARCH('02_대상물건입력'!B15,L1030)),1,0)))</f>
        <v/>
      </c>
      <c r="Q1030" s="152">
        <f>IF(OR(C1030="",L1030=""),0,IF(AND(TRIM(C1030)=TRIM(RIGHT(SUBSTITUTE(TRIM('02_대상물건입력'!$B$7)," ",REPT(" ",99)),99)),IF('02_대상물건입력'!B15="",TRUE(),ISNUMBER(SEARCH('02_대상물건입력'!B15,L1030)))),1,0))</f>
        <v/>
      </c>
      <c r="R1030" s="175">
        <f>IFERROR(ABS(E1030-'02_대상물건입력'!B11)/'02_대상물건입력'!B11,"")</f>
        <v/>
      </c>
      <c r="S1030" s="152">
        <f>IFERROR(ABS(J1030-'02_대상물건입력'!B10),"")</f>
        <v/>
      </c>
      <c r="T1030" s="152">
        <f>IFERROR(ABS('01_설정'!B4-F1030),"")</f>
        <v/>
      </c>
      <c r="U1030" s="152">
        <f>IFERROR(ABS(K1030-YEAR('02_대상물건입력'!B14)),"")</f>
        <v/>
      </c>
      <c r="V1030" s="152">
        <f>IF(B1030="","",IF(AND(E1030&gt;0,F1030&gt;0,H1030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1030=1,TRUE()),R1030&lt;='01_설정'!B5,S1030&lt;='01_설정'!B6,T1030&lt;='01_설정'!B7,U1030&lt;='01_설정'!B8),"Y",""))</f>
        <v/>
      </c>
      <c r="W1030" s="172">
        <f>IF(V1030&lt;&gt;"Y","",MAX(0,(1-R1030/'01_설정'!B5))*'01_설정'!B14+MAX(0,(1-S1030/'01_설정'!B6))*'01_설정'!B15+MAX(0,(1-T1030/'01_설정'!B7))*'01_설정'!B16+MAX(0,(1-U1030/'01_설정'!B8))*'01_설정'!B17+O1030*'01_설정'!B11+Q1030*'01_설정'!B12+P1030*'01_설정'!B13+IF(Z1030="",0,Z1030))</f>
        <v/>
      </c>
      <c r="X1030" s="152">
        <f>IF(W1030="","",1+COUNTIFS($W$4:$W$3003,"&gt;"&amp;W1030)+COUNTIFS($W$4:W1030,W1030)-1)</f>
        <v/>
      </c>
      <c r="Y1030" s="175">
        <f>IF(OR(I1030="",'02_대상물건입력'!B19="",'02_대상물건입력'!B19&lt;=0),"",ABS(I1030-'02_대상물건입력'!B19)/'02_대상물건입력'!B19)</f>
        <v/>
      </c>
      <c r="Z1030" s="172">
        <f>IF(OR(Y1030="",'01_설정'!B31="",'01_설정'!B31&lt;=0,'01_설정'!B32="",'01_설정'!B32&lt;=0),"",MAX(0,(1-Y1030/'01_설정'!B32))*'01_설정'!B31)</f>
        <v/>
      </c>
    </row>
    <row r="1031" ht="17.25" customHeight="1">
      <c r="A1031" s="152">
        <f>IF(INDEX('04A_국토부원자료'!$A:$A,ROW()+1)="","",ROW()-3)</f>
        <v/>
      </c>
      <c r="B1031" s="48">
        <f>IFERROR(INDEX('04A_국토부원자료'!$A:$T,ROW()+1,MATCH("시군구",'04A_국토부원자료'!$A$4:$T$4,0)),"")</f>
        <v/>
      </c>
      <c r="C1031" s="48">
        <f>IF(B1031="","",IFERROR(INDEX('04A_국토부원자료'!$A:$T,ROW()+1,MATCH("번지",'04A_국토부원자료'!$A$4:$T$4,0)),""))</f>
        <v/>
      </c>
      <c r="D1031" s="48">
        <f>IF(B1031="","",IF(Q1031=1,'02_대상물건입력'!$B$8,IFERROR(INDEX('04A_국토부원자료'!$A:$T,ROW()+1,MATCH("단지명",'04A_국토부원자료'!$A$4:$T$4,0)),"")))</f>
        <v/>
      </c>
      <c r="E1031" s="172">
        <f>IFERROR(VALUE(SUBSTITUTE(INDEX('04A_국토부원자료'!$A:$T,ROW()+1,MATCH("전용면적(㎡)",'04A_국토부원자료'!$A$4:$T$4,0)),",","")),"")</f>
        <v/>
      </c>
      <c r="F10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31" s="51">
        <f>IFERROR(VALUE(SUBSTITUTE(INDEX('04A_국토부원자료'!$A:$T,ROW()+1,MATCH("거래금액(만원)",'04A_국토부원자료'!$A$4:$T$4,0)),",","")),"")</f>
        <v/>
      </c>
      <c r="H1031" s="174">
        <f>IF(G1031="","",G1031*10000)</f>
        <v/>
      </c>
      <c r="I1031" s="174">
        <f>IFERROR(IF(AND(H1031&gt;0,E1031&gt;0),H1031/E1031,""),"")</f>
        <v/>
      </c>
      <c r="J1031" s="152">
        <f>IFERROR(VALUE(SUBSTITUTE(INDEX('04A_국토부원자료'!$A:$T,ROW()+1,MATCH("층",'04A_국토부원자료'!$A$4:$T$4,0)),",","")),"")</f>
        <v/>
      </c>
      <c r="K1031" s="152">
        <f>IFERROR(VALUE(SUBSTITUTE(INDEX('04A_국토부원자료'!$A:$T,ROW()+1,MATCH("건축년도",'04A_국토부원자료'!$A$4:$T$4,0)),",","")),"")</f>
        <v/>
      </c>
      <c r="L1031" s="176">
        <f>IFERROR(INDEX('04A_국토부원자료'!$A:$T,ROW()+1,MATCH("도로명",'04A_국토부원자료'!$A$4:$T$4,0)),"")</f>
        <v/>
      </c>
      <c r="M1031" s="48">
        <f>IFERROR(INDEX('04A_국토부원자료'!$A:$T,ROW()+1,MATCH("거래유형",'04A_국토부원자료'!$A$4:$T$4,0)),"")</f>
        <v/>
      </c>
      <c r="N1031" s="152">
        <f>IF(B1031="","",IF('02_대상물건입력'!B5="",1,IF(ISNUMBER(SEARCH('02_대상물건입력'!B5,B1031)),1,0)))</f>
        <v/>
      </c>
      <c r="O1031" s="152">
        <f>IF(B1031="","",IF('02_대상물건입력'!B6="",1,IF(ISNUMBER(SEARCH('02_대상물건입력'!B6,B1031)),1,0)))</f>
        <v/>
      </c>
      <c r="P1031" s="152">
        <f>IF(L1031="","",IF('02_대상물건입력'!B15="",0,IF(ISNUMBER(SEARCH('02_대상물건입력'!B15,L1031)),1,0)))</f>
        <v/>
      </c>
      <c r="Q1031" s="152">
        <f>IF(OR(C1031="",L1031=""),0,IF(AND(TRIM(C1031)=TRIM(RIGHT(SUBSTITUTE(TRIM('02_대상물건입력'!$B$7)," ",REPT(" ",99)),99)),IF('02_대상물건입력'!B15="",TRUE(),ISNUMBER(SEARCH('02_대상물건입력'!B15,L1031)))),1,0))</f>
        <v/>
      </c>
      <c r="R1031" s="175">
        <f>IFERROR(ABS(E1031-'02_대상물건입력'!B11)/'02_대상물건입력'!B11,"")</f>
        <v/>
      </c>
      <c r="S1031" s="152">
        <f>IFERROR(ABS(J1031-'02_대상물건입력'!B10),"")</f>
        <v/>
      </c>
      <c r="T1031" s="152">
        <f>IFERROR(ABS('01_설정'!B4-F1031),"")</f>
        <v/>
      </c>
      <c r="U1031" s="152">
        <f>IFERROR(ABS(K1031-YEAR('02_대상물건입력'!B14)),"")</f>
        <v/>
      </c>
      <c r="V1031" s="152">
        <f>IF(B1031="","",IF(AND(E1031&gt;0,F1031&gt;0,H1031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1031=1,TRUE()),R1031&lt;='01_설정'!B5,S1031&lt;='01_설정'!B6,T1031&lt;='01_설정'!B7,U1031&lt;='01_설정'!B8),"Y",""))</f>
        <v/>
      </c>
      <c r="W1031" s="172">
        <f>IF(V1031&lt;&gt;"Y","",MAX(0,(1-R1031/'01_설정'!B5))*'01_설정'!B14+MAX(0,(1-S1031/'01_설정'!B6))*'01_설정'!B15+MAX(0,(1-T1031/'01_설정'!B7))*'01_설정'!B16+MAX(0,(1-U1031/'01_설정'!B8))*'01_설정'!B17+O1031*'01_설정'!B11+Q1031*'01_설정'!B12+P1031*'01_설정'!B13+IF(Z1031="",0,Z1031))</f>
        <v/>
      </c>
      <c r="X1031" s="152">
        <f>IF(W1031="","",1+COUNTIFS($W$4:$W$3003,"&gt;"&amp;W1031)+COUNTIFS($W$4:W1031,W1031)-1)</f>
        <v/>
      </c>
      <c r="Y1031" s="175">
        <f>IF(OR(I1031="",'02_대상물건입력'!B19="",'02_대상물건입력'!B19&lt;=0),"",ABS(I1031-'02_대상물건입력'!B19)/'02_대상물건입력'!B19)</f>
        <v/>
      </c>
      <c r="Z1031" s="172">
        <f>IF(OR(Y1031="",'01_설정'!B31="",'01_설정'!B31&lt;=0,'01_설정'!B32="",'01_설정'!B32&lt;=0),"",MAX(0,(1-Y1031/'01_설정'!B32))*'01_설정'!B31)</f>
        <v/>
      </c>
    </row>
    <row r="1032" ht="17.25" customHeight="1">
      <c r="A1032" s="152">
        <f>IF(INDEX('04A_국토부원자료'!$A:$A,ROW()+1)="","",ROW()-3)</f>
        <v/>
      </c>
      <c r="B1032" s="48">
        <f>IFERROR(INDEX('04A_국토부원자료'!$A:$T,ROW()+1,MATCH("시군구",'04A_국토부원자료'!$A$4:$T$4,0)),"")</f>
        <v/>
      </c>
      <c r="C1032" s="48">
        <f>IF(B1032="","",IFERROR(INDEX('04A_국토부원자료'!$A:$T,ROW()+1,MATCH("번지",'04A_국토부원자료'!$A$4:$T$4,0)),""))</f>
        <v/>
      </c>
      <c r="D1032" s="48">
        <f>IF(B1032="","",IF(Q1032=1,'02_대상물건입력'!$B$8,IFERROR(INDEX('04A_국토부원자료'!$A:$T,ROW()+1,MATCH("단지명",'04A_국토부원자료'!$A$4:$T$4,0)),"")))</f>
        <v/>
      </c>
      <c r="E1032" s="172">
        <f>IFERROR(VALUE(SUBSTITUTE(INDEX('04A_국토부원자료'!$A:$T,ROW()+1,MATCH("전용면적(㎡)",'04A_국토부원자료'!$A$4:$T$4,0)),",","")),"")</f>
        <v/>
      </c>
      <c r="F10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32" s="51">
        <f>IFERROR(VALUE(SUBSTITUTE(INDEX('04A_국토부원자료'!$A:$T,ROW()+1,MATCH("거래금액(만원)",'04A_국토부원자료'!$A$4:$T$4,0)),",","")),"")</f>
        <v/>
      </c>
      <c r="H1032" s="174">
        <f>IF(G1032="","",G1032*10000)</f>
        <v/>
      </c>
      <c r="I1032" s="174">
        <f>IFERROR(IF(AND(H1032&gt;0,E1032&gt;0),H1032/E1032,""),"")</f>
        <v/>
      </c>
      <c r="J1032" s="152">
        <f>IFERROR(VALUE(SUBSTITUTE(INDEX('04A_국토부원자료'!$A:$T,ROW()+1,MATCH("층",'04A_국토부원자료'!$A$4:$T$4,0)),",","")),"")</f>
        <v/>
      </c>
      <c r="K1032" s="152">
        <f>IFERROR(VALUE(SUBSTITUTE(INDEX('04A_국토부원자료'!$A:$T,ROW()+1,MATCH("건축년도",'04A_국토부원자료'!$A$4:$T$4,0)),",","")),"")</f>
        <v/>
      </c>
      <c r="L1032" s="176">
        <f>IFERROR(INDEX('04A_국토부원자료'!$A:$T,ROW()+1,MATCH("도로명",'04A_국토부원자료'!$A$4:$T$4,0)),"")</f>
        <v/>
      </c>
      <c r="M1032" s="48">
        <f>IFERROR(INDEX('04A_국토부원자료'!$A:$T,ROW()+1,MATCH("거래유형",'04A_국토부원자료'!$A$4:$T$4,0)),"")</f>
        <v/>
      </c>
      <c r="N1032" s="152">
        <f>IF(B1032="","",IF('02_대상물건입력'!B5="",1,IF(ISNUMBER(SEARCH('02_대상물건입력'!B5,B1032)),1,0)))</f>
        <v/>
      </c>
      <c r="O1032" s="152">
        <f>IF(B1032="","",IF('02_대상물건입력'!B6="",1,IF(ISNUMBER(SEARCH('02_대상물건입력'!B6,B1032)),1,0)))</f>
        <v/>
      </c>
      <c r="P1032" s="152">
        <f>IF(L1032="","",IF('02_대상물건입력'!B15="",0,IF(ISNUMBER(SEARCH('02_대상물건입력'!B15,L1032)),1,0)))</f>
        <v/>
      </c>
      <c r="Q1032" s="152">
        <f>IF(OR(C1032="",L1032=""),0,IF(AND(TRIM(C1032)=TRIM(RIGHT(SUBSTITUTE(TRIM('02_대상물건입력'!$B$7)," ",REPT(" ",99)),99)),IF('02_대상물건입력'!B15="",TRUE(),ISNUMBER(SEARCH('02_대상물건입력'!B15,L1032)))),1,0))</f>
        <v/>
      </c>
      <c r="R1032" s="175">
        <f>IFERROR(ABS(E1032-'02_대상물건입력'!B11)/'02_대상물건입력'!B11,"")</f>
        <v/>
      </c>
      <c r="S1032" s="152">
        <f>IFERROR(ABS(J1032-'02_대상물건입력'!B10),"")</f>
        <v/>
      </c>
      <c r="T1032" s="152">
        <f>IFERROR(ABS('01_설정'!B4-F1032),"")</f>
        <v/>
      </c>
      <c r="U1032" s="152">
        <f>IFERROR(ABS(K1032-YEAR('02_대상물건입력'!B14)),"")</f>
        <v/>
      </c>
      <c r="V1032" s="152">
        <f>IF(B1032="","",IF(AND(E1032&gt;0,F1032&gt;0,H1032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1032=1,TRUE()),R1032&lt;='01_설정'!B5,S1032&lt;='01_설정'!B6,T1032&lt;='01_설정'!B7,U1032&lt;='01_설정'!B8),"Y",""))</f>
        <v/>
      </c>
      <c r="W1032" s="172">
        <f>IF(V1032&lt;&gt;"Y","",MAX(0,(1-R1032/'01_설정'!B5))*'01_설정'!B14+MAX(0,(1-S1032/'01_설정'!B6))*'01_설정'!B15+MAX(0,(1-T1032/'01_설정'!B7))*'01_설정'!B16+MAX(0,(1-U1032/'01_설정'!B8))*'01_설정'!B17+O1032*'01_설정'!B11+Q1032*'01_설정'!B12+P1032*'01_설정'!B13+IF(Z1032="",0,Z1032))</f>
        <v/>
      </c>
      <c r="X1032" s="152">
        <f>IF(W1032="","",1+COUNTIFS($W$4:$W$3003,"&gt;"&amp;W1032)+COUNTIFS($W$4:W1032,W1032)-1)</f>
        <v/>
      </c>
      <c r="Y1032" s="175">
        <f>IF(OR(I1032="",'02_대상물건입력'!B19="",'02_대상물건입력'!B19&lt;=0),"",ABS(I1032-'02_대상물건입력'!B19)/'02_대상물건입력'!B19)</f>
        <v/>
      </c>
      <c r="Z1032" s="172">
        <f>IF(OR(Y1032="",'01_설정'!B31="",'01_설정'!B31&lt;=0,'01_설정'!B32="",'01_설정'!B32&lt;=0),"",MAX(0,(1-Y1032/'01_설정'!B32))*'01_설정'!B31)</f>
        <v/>
      </c>
    </row>
    <row r="1033" ht="17.25" customHeight="1">
      <c r="A1033" s="152">
        <f>IF(INDEX('04A_국토부원자료'!$A:$A,ROW()+1)="","",ROW()-3)</f>
        <v/>
      </c>
      <c r="B1033" s="48">
        <f>IFERROR(INDEX('04A_국토부원자료'!$A:$T,ROW()+1,MATCH("시군구",'04A_국토부원자료'!$A$4:$T$4,0)),"")</f>
        <v/>
      </c>
      <c r="C1033" s="48">
        <f>IF(B1033="","",IFERROR(INDEX('04A_국토부원자료'!$A:$T,ROW()+1,MATCH("번지",'04A_국토부원자료'!$A$4:$T$4,0)),""))</f>
        <v/>
      </c>
      <c r="D1033" s="48">
        <f>IF(B1033="","",IF(Q1033=1,'02_대상물건입력'!$B$8,IFERROR(INDEX('04A_국토부원자료'!$A:$T,ROW()+1,MATCH("단지명",'04A_국토부원자료'!$A$4:$T$4,0)),"")))</f>
        <v/>
      </c>
      <c r="E1033" s="172">
        <f>IFERROR(VALUE(SUBSTITUTE(INDEX('04A_국토부원자료'!$A:$T,ROW()+1,MATCH("전용면적(㎡)",'04A_국토부원자료'!$A$4:$T$4,0)),",","")),"")</f>
        <v/>
      </c>
      <c r="F10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33" s="51">
        <f>IFERROR(VALUE(SUBSTITUTE(INDEX('04A_국토부원자료'!$A:$T,ROW()+1,MATCH("거래금액(만원)",'04A_국토부원자료'!$A$4:$T$4,0)),",","")),"")</f>
        <v/>
      </c>
      <c r="H1033" s="174">
        <f>IF(G1033="","",G1033*10000)</f>
        <v/>
      </c>
      <c r="I1033" s="174">
        <f>IFERROR(IF(AND(H1033&gt;0,E1033&gt;0),H1033/E1033,""),"")</f>
        <v/>
      </c>
      <c r="J1033" s="152">
        <f>IFERROR(VALUE(SUBSTITUTE(INDEX('04A_국토부원자료'!$A:$T,ROW()+1,MATCH("층",'04A_국토부원자료'!$A$4:$T$4,0)),",","")),"")</f>
        <v/>
      </c>
      <c r="K1033" s="152">
        <f>IFERROR(VALUE(SUBSTITUTE(INDEX('04A_국토부원자료'!$A:$T,ROW()+1,MATCH("건축년도",'04A_국토부원자료'!$A$4:$T$4,0)),",","")),"")</f>
        <v/>
      </c>
      <c r="L1033" s="176">
        <f>IFERROR(INDEX('04A_국토부원자료'!$A:$T,ROW()+1,MATCH("도로명",'04A_국토부원자료'!$A$4:$T$4,0)),"")</f>
        <v/>
      </c>
      <c r="M1033" s="48">
        <f>IFERROR(INDEX('04A_국토부원자료'!$A:$T,ROW()+1,MATCH("거래유형",'04A_국토부원자료'!$A$4:$T$4,0)),"")</f>
        <v/>
      </c>
      <c r="N1033" s="152">
        <f>IF(B1033="","",IF('02_대상물건입력'!B5="",1,IF(ISNUMBER(SEARCH('02_대상물건입력'!B5,B1033)),1,0)))</f>
        <v/>
      </c>
      <c r="O1033" s="152">
        <f>IF(B1033="","",IF('02_대상물건입력'!B6="",1,IF(ISNUMBER(SEARCH('02_대상물건입력'!B6,B1033)),1,0)))</f>
        <v/>
      </c>
      <c r="P1033" s="152">
        <f>IF(L1033="","",IF('02_대상물건입력'!B15="",0,IF(ISNUMBER(SEARCH('02_대상물건입력'!B15,L1033)),1,0)))</f>
        <v/>
      </c>
      <c r="Q1033" s="152">
        <f>IF(OR(C1033="",L1033=""),0,IF(AND(TRIM(C1033)=TRIM(RIGHT(SUBSTITUTE(TRIM('02_대상물건입력'!$B$7)," ",REPT(" ",99)),99)),IF('02_대상물건입력'!B15="",TRUE(),ISNUMBER(SEARCH('02_대상물건입력'!B15,L1033)))),1,0))</f>
        <v/>
      </c>
      <c r="R1033" s="175">
        <f>IFERROR(ABS(E1033-'02_대상물건입력'!B11)/'02_대상물건입력'!B11,"")</f>
        <v/>
      </c>
      <c r="S1033" s="152">
        <f>IFERROR(ABS(J1033-'02_대상물건입력'!B10),"")</f>
        <v/>
      </c>
      <c r="T1033" s="152">
        <f>IFERROR(ABS('01_설정'!B4-F1033),"")</f>
        <v/>
      </c>
      <c r="U1033" s="152">
        <f>IFERROR(ABS(K1033-YEAR('02_대상물건입력'!B14)),"")</f>
        <v/>
      </c>
      <c r="V1033" s="152">
        <f>IF(B1033="","",IF(AND(E1033&gt;0,F1033&gt;0,H1033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1033=1,TRUE()),R1033&lt;='01_설정'!B5,S1033&lt;='01_설정'!B6,T1033&lt;='01_설정'!B7,U1033&lt;='01_설정'!B8),"Y",""))</f>
        <v/>
      </c>
      <c r="W1033" s="172">
        <f>IF(V1033&lt;&gt;"Y","",MAX(0,(1-R1033/'01_설정'!B5))*'01_설정'!B14+MAX(0,(1-S1033/'01_설정'!B6))*'01_설정'!B15+MAX(0,(1-T1033/'01_설정'!B7))*'01_설정'!B16+MAX(0,(1-U1033/'01_설정'!B8))*'01_설정'!B17+O1033*'01_설정'!B11+Q1033*'01_설정'!B12+P1033*'01_설정'!B13+IF(Z1033="",0,Z1033))</f>
        <v/>
      </c>
      <c r="X1033" s="152">
        <f>IF(W1033="","",1+COUNTIFS($W$4:$W$3003,"&gt;"&amp;W1033)+COUNTIFS($W$4:W1033,W1033)-1)</f>
        <v/>
      </c>
      <c r="Y1033" s="175">
        <f>IF(OR(I1033="",'02_대상물건입력'!B19="",'02_대상물건입력'!B19&lt;=0),"",ABS(I1033-'02_대상물건입력'!B19)/'02_대상물건입력'!B19)</f>
        <v/>
      </c>
      <c r="Z1033" s="172">
        <f>IF(OR(Y1033="",'01_설정'!B31="",'01_설정'!B31&lt;=0,'01_설정'!B32="",'01_설정'!B32&lt;=0),"",MAX(0,(1-Y1033/'01_설정'!B32))*'01_설정'!B31)</f>
        <v/>
      </c>
    </row>
    <row r="1034" ht="17.25" customHeight="1">
      <c r="A1034" s="152">
        <f>IF(INDEX('04A_국토부원자료'!$A:$A,ROW()+1)="","",ROW()-3)</f>
        <v/>
      </c>
      <c r="B1034" s="48">
        <f>IFERROR(INDEX('04A_국토부원자료'!$A:$T,ROW()+1,MATCH("시군구",'04A_국토부원자료'!$A$4:$T$4,0)),"")</f>
        <v/>
      </c>
      <c r="C1034" s="48">
        <f>IF(B1034="","",IFERROR(INDEX('04A_국토부원자료'!$A:$T,ROW()+1,MATCH("번지",'04A_국토부원자료'!$A$4:$T$4,0)),""))</f>
        <v/>
      </c>
      <c r="D1034" s="48">
        <f>IF(B1034="","",IF(Q1034=1,'02_대상물건입력'!$B$8,IFERROR(INDEX('04A_국토부원자료'!$A:$T,ROW()+1,MATCH("단지명",'04A_국토부원자료'!$A$4:$T$4,0)),"")))</f>
        <v/>
      </c>
      <c r="E1034" s="172">
        <f>IFERROR(VALUE(SUBSTITUTE(INDEX('04A_국토부원자료'!$A:$T,ROW()+1,MATCH("전용면적(㎡)",'04A_국토부원자료'!$A$4:$T$4,0)),",","")),"")</f>
        <v/>
      </c>
      <c r="F10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34" s="51">
        <f>IFERROR(VALUE(SUBSTITUTE(INDEX('04A_국토부원자료'!$A:$T,ROW()+1,MATCH("거래금액(만원)",'04A_국토부원자료'!$A$4:$T$4,0)),",","")),"")</f>
        <v/>
      </c>
      <c r="H1034" s="174">
        <f>IF(G1034="","",G1034*10000)</f>
        <v/>
      </c>
      <c r="I1034" s="174">
        <f>IFERROR(IF(AND(H1034&gt;0,E1034&gt;0),H1034/E1034,""),"")</f>
        <v/>
      </c>
      <c r="J1034" s="152">
        <f>IFERROR(VALUE(SUBSTITUTE(INDEX('04A_국토부원자료'!$A:$T,ROW()+1,MATCH("층",'04A_국토부원자료'!$A$4:$T$4,0)),",","")),"")</f>
        <v/>
      </c>
      <c r="K1034" s="152">
        <f>IFERROR(VALUE(SUBSTITUTE(INDEX('04A_국토부원자료'!$A:$T,ROW()+1,MATCH("건축년도",'04A_국토부원자료'!$A$4:$T$4,0)),",","")),"")</f>
        <v/>
      </c>
      <c r="L1034" s="176">
        <f>IFERROR(INDEX('04A_국토부원자료'!$A:$T,ROW()+1,MATCH("도로명",'04A_국토부원자료'!$A$4:$T$4,0)),"")</f>
        <v/>
      </c>
      <c r="M1034" s="48">
        <f>IFERROR(INDEX('04A_국토부원자료'!$A:$T,ROW()+1,MATCH("거래유형",'04A_국토부원자료'!$A$4:$T$4,0)),"")</f>
        <v/>
      </c>
      <c r="N1034" s="152">
        <f>IF(B1034="","",IF('02_대상물건입력'!B5="",1,IF(ISNUMBER(SEARCH('02_대상물건입력'!B5,B1034)),1,0)))</f>
        <v/>
      </c>
      <c r="O1034" s="152">
        <f>IF(B1034="","",IF('02_대상물건입력'!B6="",1,IF(ISNUMBER(SEARCH('02_대상물건입력'!B6,B1034)),1,0)))</f>
        <v/>
      </c>
      <c r="P1034" s="152">
        <f>IF(L1034="","",IF('02_대상물건입력'!B15="",0,IF(ISNUMBER(SEARCH('02_대상물건입력'!B15,L1034)),1,0)))</f>
        <v/>
      </c>
      <c r="Q1034" s="152">
        <f>IF(OR(C1034="",L1034=""),0,IF(AND(TRIM(C1034)=TRIM(RIGHT(SUBSTITUTE(TRIM('02_대상물건입력'!$B$7)," ",REPT(" ",99)),99)),IF('02_대상물건입력'!B15="",TRUE(),ISNUMBER(SEARCH('02_대상물건입력'!B15,L1034)))),1,0))</f>
        <v/>
      </c>
      <c r="R1034" s="175">
        <f>IFERROR(ABS(E1034-'02_대상물건입력'!B11)/'02_대상물건입력'!B11,"")</f>
        <v/>
      </c>
      <c r="S1034" s="152">
        <f>IFERROR(ABS(J1034-'02_대상물건입력'!B10),"")</f>
        <v/>
      </c>
      <c r="T1034" s="152">
        <f>IFERROR(ABS('01_설정'!B4-F1034),"")</f>
        <v/>
      </c>
      <c r="U1034" s="152">
        <f>IFERROR(ABS(K1034-YEAR('02_대상물건입력'!B14)),"")</f>
        <v/>
      </c>
      <c r="V1034" s="152">
        <f>IF(B1034="","",IF(AND(E1034&gt;0,F1034&gt;0,H1034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1034=1,TRUE()),R1034&lt;='01_설정'!B5,S1034&lt;='01_설정'!B6,T1034&lt;='01_설정'!B7,U1034&lt;='01_설정'!B8),"Y",""))</f>
        <v/>
      </c>
      <c r="W1034" s="172">
        <f>IF(V1034&lt;&gt;"Y","",MAX(0,(1-R1034/'01_설정'!B5))*'01_설정'!B14+MAX(0,(1-S1034/'01_설정'!B6))*'01_설정'!B15+MAX(0,(1-T1034/'01_설정'!B7))*'01_설정'!B16+MAX(0,(1-U1034/'01_설정'!B8))*'01_설정'!B17+O1034*'01_설정'!B11+Q1034*'01_설정'!B12+P1034*'01_설정'!B13+IF(Z1034="",0,Z1034))</f>
        <v/>
      </c>
      <c r="X1034" s="152">
        <f>IF(W1034="","",1+COUNTIFS($W$4:$W$3003,"&gt;"&amp;W1034)+COUNTIFS($W$4:W1034,W1034)-1)</f>
        <v/>
      </c>
      <c r="Y1034" s="175">
        <f>IF(OR(I1034="",'02_대상물건입력'!B19="",'02_대상물건입력'!B19&lt;=0),"",ABS(I1034-'02_대상물건입력'!B19)/'02_대상물건입력'!B19)</f>
        <v/>
      </c>
      <c r="Z1034" s="172">
        <f>IF(OR(Y1034="",'01_설정'!B31="",'01_설정'!B31&lt;=0,'01_설정'!B32="",'01_설정'!B32&lt;=0),"",MAX(0,(1-Y1034/'01_설정'!B32))*'01_설정'!B31)</f>
        <v/>
      </c>
    </row>
    <row r="1035" ht="17.25" customHeight="1">
      <c r="A1035" s="152">
        <f>IF(INDEX('04A_국토부원자료'!$A:$A,ROW()+1)="","",ROW()-3)</f>
        <v/>
      </c>
      <c r="B1035" s="48">
        <f>IFERROR(INDEX('04A_국토부원자료'!$A:$T,ROW()+1,MATCH("시군구",'04A_국토부원자료'!$A$4:$T$4,0)),"")</f>
        <v/>
      </c>
      <c r="C1035" s="48">
        <f>IF(B1035="","",IFERROR(INDEX('04A_국토부원자료'!$A:$T,ROW()+1,MATCH("번지",'04A_국토부원자료'!$A$4:$T$4,0)),""))</f>
        <v/>
      </c>
      <c r="D1035" s="48">
        <f>IF(B1035="","",IF(Q1035=1,'02_대상물건입력'!$B$8,IFERROR(INDEX('04A_국토부원자료'!$A:$T,ROW()+1,MATCH("단지명",'04A_국토부원자료'!$A$4:$T$4,0)),"")))</f>
        <v/>
      </c>
      <c r="E1035" s="172">
        <f>IFERROR(VALUE(SUBSTITUTE(INDEX('04A_국토부원자료'!$A:$T,ROW()+1,MATCH("전용면적(㎡)",'04A_국토부원자료'!$A$4:$T$4,0)),",","")),"")</f>
        <v/>
      </c>
      <c r="F10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35" s="51">
        <f>IFERROR(VALUE(SUBSTITUTE(INDEX('04A_국토부원자료'!$A:$T,ROW()+1,MATCH("거래금액(만원)",'04A_국토부원자료'!$A$4:$T$4,0)),",","")),"")</f>
        <v/>
      </c>
      <c r="H1035" s="174">
        <f>IF(G1035="","",G1035*10000)</f>
        <v/>
      </c>
      <c r="I1035" s="174">
        <f>IFERROR(IF(AND(H1035&gt;0,E1035&gt;0),H1035/E1035,""),"")</f>
        <v/>
      </c>
      <c r="J1035" s="152">
        <f>IFERROR(VALUE(SUBSTITUTE(INDEX('04A_국토부원자료'!$A:$T,ROW()+1,MATCH("층",'04A_국토부원자료'!$A$4:$T$4,0)),",","")),"")</f>
        <v/>
      </c>
      <c r="K1035" s="152">
        <f>IFERROR(VALUE(SUBSTITUTE(INDEX('04A_국토부원자료'!$A:$T,ROW()+1,MATCH("건축년도",'04A_국토부원자료'!$A$4:$T$4,0)),",","")),"")</f>
        <v/>
      </c>
      <c r="L1035" s="176">
        <f>IFERROR(INDEX('04A_국토부원자료'!$A:$T,ROW()+1,MATCH("도로명",'04A_국토부원자료'!$A$4:$T$4,0)),"")</f>
        <v/>
      </c>
      <c r="M1035" s="48">
        <f>IFERROR(INDEX('04A_국토부원자료'!$A:$T,ROW()+1,MATCH("거래유형",'04A_국토부원자료'!$A$4:$T$4,0)),"")</f>
        <v/>
      </c>
      <c r="N1035" s="152">
        <f>IF(B1035="","",IF('02_대상물건입력'!B5="",1,IF(ISNUMBER(SEARCH('02_대상물건입력'!B5,B1035)),1,0)))</f>
        <v/>
      </c>
      <c r="O1035" s="152">
        <f>IF(B1035="","",IF('02_대상물건입력'!B6="",1,IF(ISNUMBER(SEARCH('02_대상물건입력'!B6,B1035)),1,0)))</f>
        <v/>
      </c>
      <c r="P1035" s="152">
        <f>IF(L1035="","",IF('02_대상물건입력'!B15="",0,IF(ISNUMBER(SEARCH('02_대상물건입력'!B15,L1035)),1,0)))</f>
        <v/>
      </c>
      <c r="Q1035" s="152">
        <f>IF(OR(C1035="",L1035=""),0,IF(AND(TRIM(C1035)=TRIM(RIGHT(SUBSTITUTE(TRIM('02_대상물건입력'!$B$7)," ",REPT(" ",99)),99)),IF('02_대상물건입력'!B15="",TRUE(),ISNUMBER(SEARCH('02_대상물건입력'!B15,L1035)))),1,0))</f>
        <v/>
      </c>
      <c r="R1035" s="175">
        <f>IFERROR(ABS(E1035-'02_대상물건입력'!B11)/'02_대상물건입력'!B11,"")</f>
        <v/>
      </c>
      <c r="S1035" s="152">
        <f>IFERROR(ABS(J1035-'02_대상물건입력'!B10),"")</f>
        <v/>
      </c>
      <c r="T1035" s="152">
        <f>IFERROR(ABS('01_설정'!B4-F1035),"")</f>
        <v/>
      </c>
      <c r="U1035" s="152">
        <f>IFERROR(ABS(K1035-YEAR('02_대상물건입력'!B14)),"")</f>
        <v/>
      </c>
      <c r="V1035" s="152">
        <f>IF(B1035="","",IF(AND(E1035&gt;0,F1035&gt;0,H1035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1035=1,TRUE()),R1035&lt;='01_설정'!B5,S1035&lt;='01_설정'!B6,T1035&lt;='01_설정'!B7,U1035&lt;='01_설정'!B8),"Y",""))</f>
        <v/>
      </c>
      <c r="W1035" s="172">
        <f>IF(V1035&lt;&gt;"Y","",MAX(0,(1-R1035/'01_설정'!B5))*'01_설정'!B14+MAX(0,(1-S1035/'01_설정'!B6))*'01_설정'!B15+MAX(0,(1-T1035/'01_설정'!B7))*'01_설정'!B16+MAX(0,(1-U1035/'01_설정'!B8))*'01_설정'!B17+O1035*'01_설정'!B11+Q1035*'01_설정'!B12+P1035*'01_설정'!B13+IF(Z1035="",0,Z1035))</f>
        <v/>
      </c>
      <c r="X1035" s="152">
        <f>IF(W1035="","",1+COUNTIFS($W$4:$W$3003,"&gt;"&amp;W1035)+COUNTIFS($W$4:W1035,W1035)-1)</f>
        <v/>
      </c>
      <c r="Y1035" s="175">
        <f>IF(OR(I1035="",'02_대상물건입력'!B19="",'02_대상물건입력'!B19&lt;=0),"",ABS(I1035-'02_대상물건입력'!B19)/'02_대상물건입력'!B19)</f>
        <v/>
      </c>
      <c r="Z1035" s="172">
        <f>IF(OR(Y1035="",'01_설정'!B31="",'01_설정'!B31&lt;=0,'01_설정'!B32="",'01_설정'!B32&lt;=0),"",MAX(0,(1-Y1035/'01_설정'!B32))*'01_설정'!B31)</f>
        <v/>
      </c>
    </row>
    <row r="1036" ht="17.25" customHeight="1">
      <c r="A1036" s="152">
        <f>IF(INDEX('04A_국토부원자료'!$A:$A,ROW()+1)="","",ROW()-3)</f>
        <v/>
      </c>
      <c r="B1036" s="48">
        <f>IFERROR(INDEX('04A_국토부원자료'!$A:$T,ROW()+1,MATCH("시군구",'04A_국토부원자료'!$A$4:$T$4,0)),"")</f>
        <v/>
      </c>
      <c r="C1036" s="48">
        <f>IF(B1036="","",IFERROR(INDEX('04A_국토부원자료'!$A:$T,ROW()+1,MATCH("번지",'04A_국토부원자료'!$A$4:$T$4,0)),""))</f>
        <v/>
      </c>
      <c r="D1036" s="48">
        <f>IF(B1036="","",IF(Q1036=1,'02_대상물건입력'!$B$8,IFERROR(INDEX('04A_국토부원자료'!$A:$T,ROW()+1,MATCH("단지명",'04A_국토부원자료'!$A$4:$T$4,0)),"")))</f>
        <v/>
      </c>
      <c r="E1036" s="172">
        <f>IFERROR(VALUE(SUBSTITUTE(INDEX('04A_국토부원자료'!$A:$T,ROW()+1,MATCH("전용면적(㎡)",'04A_국토부원자료'!$A$4:$T$4,0)),",","")),"")</f>
        <v/>
      </c>
      <c r="F10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36" s="51">
        <f>IFERROR(VALUE(SUBSTITUTE(INDEX('04A_국토부원자료'!$A:$T,ROW()+1,MATCH("거래금액(만원)",'04A_국토부원자료'!$A$4:$T$4,0)),",","")),"")</f>
        <v/>
      </c>
      <c r="H1036" s="174">
        <f>IF(G1036="","",G1036*10000)</f>
        <v/>
      </c>
      <c r="I1036" s="174">
        <f>IFERROR(IF(AND(H1036&gt;0,E1036&gt;0),H1036/E1036,""),"")</f>
        <v/>
      </c>
      <c r="J1036" s="152">
        <f>IFERROR(VALUE(SUBSTITUTE(INDEX('04A_국토부원자료'!$A:$T,ROW()+1,MATCH("층",'04A_국토부원자료'!$A$4:$T$4,0)),",","")),"")</f>
        <v/>
      </c>
      <c r="K1036" s="152">
        <f>IFERROR(VALUE(SUBSTITUTE(INDEX('04A_국토부원자료'!$A:$T,ROW()+1,MATCH("건축년도",'04A_국토부원자료'!$A$4:$T$4,0)),",","")),"")</f>
        <v/>
      </c>
      <c r="L1036" s="176">
        <f>IFERROR(INDEX('04A_국토부원자료'!$A:$T,ROW()+1,MATCH("도로명",'04A_국토부원자료'!$A$4:$T$4,0)),"")</f>
        <v/>
      </c>
      <c r="M1036" s="48">
        <f>IFERROR(INDEX('04A_국토부원자료'!$A:$T,ROW()+1,MATCH("거래유형",'04A_국토부원자료'!$A$4:$T$4,0)),"")</f>
        <v/>
      </c>
      <c r="N1036" s="152">
        <f>IF(B1036="","",IF('02_대상물건입력'!B5="",1,IF(ISNUMBER(SEARCH('02_대상물건입력'!B5,B1036)),1,0)))</f>
        <v/>
      </c>
      <c r="O1036" s="152">
        <f>IF(B1036="","",IF('02_대상물건입력'!B6="",1,IF(ISNUMBER(SEARCH('02_대상물건입력'!B6,B1036)),1,0)))</f>
        <v/>
      </c>
      <c r="P1036" s="152">
        <f>IF(L1036="","",IF('02_대상물건입력'!B15="",0,IF(ISNUMBER(SEARCH('02_대상물건입력'!B15,L1036)),1,0)))</f>
        <v/>
      </c>
      <c r="Q1036" s="152">
        <f>IF(OR(C1036="",L1036=""),0,IF(AND(TRIM(C1036)=TRIM(RIGHT(SUBSTITUTE(TRIM('02_대상물건입력'!$B$7)," ",REPT(" ",99)),99)),IF('02_대상물건입력'!B15="",TRUE(),ISNUMBER(SEARCH('02_대상물건입력'!B15,L1036)))),1,0))</f>
        <v/>
      </c>
      <c r="R1036" s="175">
        <f>IFERROR(ABS(E1036-'02_대상물건입력'!B11)/'02_대상물건입력'!B11,"")</f>
        <v/>
      </c>
      <c r="S1036" s="152">
        <f>IFERROR(ABS(J1036-'02_대상물건입력'!B10),"")</f>
        <v/>
      </c>
      <c r="T1036" s="152">
        <f>IFERROR(ABS('01_설정'!B4-F1036),"")</f>
        <v/>
      </c>
      <c r="U1036" s="152">
        <f>IFERROR(ABS(K1036-YEAR('02_대상물건입력'!B14)),"")</f>
        <v/>
      </c>
      <c r="V1036" s="152">
        <f>IF(B1036="","",IF(AND(E1036&gt;0,F1036&gt;0,H1036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1036=1,TRUE()),R1036&lt;='01_설정'!B5,S1036&lt;='01_설정'!B6,T1036&lt;='01_설정'!B7,U1036&lt;='01_설정'!B8),"Y",""))</f>
        <v/>
      </c>
      <c r="W1036" s="172">
        <f>IF(V1036&lt;&gt;"Y","",MAX(0,(1-R1036/'01_설정'!B5))*'01_설정'!B14+MAX(0,(1-S1036/'01_설정'!B6))*'01_설정'!B15+MAX(0,(1-T1036/'01_설정'!B7))*'01_설정'!B16+MAX(0,(1-U1036/'01_설정'!B8))*'01_설정'!B17+O1036*'01_설정'!B11+Q1036*'01_설정'!B12+P1036*'01_설정'!B13+IF(Z1036="",0,Z1036))</f>
        <v/>
      </c>
      <c r="X1036" s="152">
        <f>IF(W1036="","",1+COUNTIFS($W$4:$W$3003,"&gt;"&amp;W1036)+COUNTIFS($W$4:W1036,W1036)-1)</f>
        <v/>
      </c>
      <c r="Y1036" s="175">
        <f>IF(OR(I1036="",'02_대상물건입력'!B19="",'02_대상물건입력'!B19&lt;=0),"",ABS(I1036-'02_대상물건입력'!B19)/'02_대상물건입력'!B19)</f>
        <v/>
      </c>
      <c r="Z1036" s="172">
        <f>IF(OR(Y1036="",'01_설정'!B31="",'01_설정'!B31&lt;=0,'01_설정'!B32="",'01_설정'!B32&lt;=0),"",MAX(0,(1-Y1036/'01_설정'!B32))*'01_설정'!B31)</f>
        <v/>
      </c>
    </row>
    <row r="1037" ht="17.25" customHeight="1">
      <c r="A1037" s="152">
        <f>IF(INDEX('04A_국토부원자료'!$A:$A,ROW()+1)="","",ROW()-3)</f>
        <v/>
      </c>
      <c r="B1037" s="48">
        <f>IFERROR(INDEX('04A_국토부원자료'!$A:$T,ROW()+1,MATCH("시군구",'04A_국토부원자료'!$A$4:$T$4,0)),"")</f>
        <v/>
      </c>
      <c r="C1037" s="48">
        <f>IF(B1037="","",IFERROR(INDEX('04A_국토부원자료'!$A:$T,ROW()+1,MATCH("번지",'04A_국토부원자료'!$A$4:$T$4,0)),""))</f>
        <v/>
      </c>
      <c r="D1037" s="48">
        <f>IF(B1037="","",IF(Q1037=1,'02_대상물건입력'!$B$8,IFERROR(INDEX('04A_국토부원자료'!$A:$T,ROW()+1,MATCH("단지명",'04A_국토부원자료'!$A$4:$T$4,0)),"")))</f>
        <v/>
      </c>
      <c r="E1037" s="172">
        <f>IFERROR(VALUE(SUBSTITUTE(INDEX('04A_국토부원자료'!$A:$T,ROW()+1,MATCH("전용면적(㎡)",'04A_국토부원자료'!$A$4:$T$4,0)),",","")),"")</f>
        <v/>
      </c>
      <c r="F10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37" s="51">
        <f>IFERROR(VALUE(SUBSTITUTE(INDEX('04A_국토부원자료'!$A:$T,ROW()+1,MATCH("거래금액(만원)",'04A_국토부원자료'!$A$4:$T$4,0)),",","")),"")</f>
        <v/>
      </c>
      <c r="H1037" s="174">
        <f>IF(G1037="","",G1037*10000)</f>
        <v/>
      </c>
      <c r="I1037" s="174">
        <f>IFERROR(IF(AND(H1037&gt;0,E1037&gt;0),H1037/E1037,""),"")</f>
        <v/>
      </c>
      <c r="J1037" s="152">
        <f>IFERROR(VALUE(SUBSTITUTE(INDEX('04A_국토부원자료'!$A:$T,ROW()+1,MATCH("층",'04A_국토부원자료'!$A$4:$T$4,0)),",","")),"")</f>
        <v/>
      </c>
      <c r="K1037" s="152">
        <f>IFERROR(VALUE(SUBSTITUTE(INDEX('04A_국토부원자료'!$A:$T,ROW()+1,MATCH("건축년도",'04A_국토부원자료'!$A$4:$T$4,0)),",","")),"")</f>
        <v/>
      </c>
      <c r="L1037" s="176">
        <f>IFERROR(INDEX('04A_국토부원자료'!$A:$T,ROW()+1,MATCH("도로명",'04A_국토부원자료'!$A$4:$T$4,0)),"")</f>
        <v/>
      </c>
      <c r="M1037" s="48">
        <f>IFERROR(INDEX('04A_국토부원자료'!$A:$T,ROW()+1,MATCH("거래유형",'04A_국토부원자료'!$A$4:$T$4,0)),"")</f>
        <v/>
      </c>
      <c r="N1037" s="152">
        <f>IF(B1037="","",IF('02_대상물건입력'!B5="",1,IF(ISNUMBER(SEARCH('02_대상물건입력'!B5,B1037)),1,0)))</f>
        <v/>
      </c>
      <c r="O1037" s="152">
        <f>IF(B1037="","",IF('02_대상물건입력'!B6="",1,IF(ISNUMBER(SEARCH('02_대상물건입력'!B6,B1037)),1,0)))</f>
        <v/>
      </c>
      <c r="P1037" s="152">
        <f>IF(L1037="","",IF('02_대상물건입력'!B15="",0,IF(ISNUMBER(SEARCH('02_대상물건입력'!B15,L1037)),1,0)))</f>
        <v/>
      </c>
      <c r="Q1037" s="152">
        <f>IF(OR(C1037="",L1037=""),0,IF(AND(TRIM(C1037)=TRIM(RIGHT(SUBSTITUTE(TRIM('02_대상물건입력'!$B$7)," ",REPT(" ",99)),99)),IF('02_대상물건입력'!B15="",TRUE(),ISNUMBER(SEARCH('02_대상물건입력'!B15,L1037)))),1,0))</f>
        <v/>
      </c>
      <c r="R1037" s="175">
        <f>IFERROR(ABS(E1037-'02_대상물건입력'!B11)/'02_대상물건입력'!B11,"")</f>
        <v/>
      </c>
      <c r="S1037" s="152">
        <f>IFERROR(ABS(J1037-'02_대상물건입력'!B10),"")</f>
        <v/>
      </c>
      <c r="T1037" s="152">
        <f>IFERROR(ABS('01_설정'!B4-F1037),"")</f>
        <v/>
      </c>
      <c r="U1037" s="152">
        <f>IFERROR(ABS(K1037-YEAR('02_대상물건입력'!B14)),"")</f>
        <v/>
      </c>
      <c r="V1037" s="152">
        <f>IF(B1037="","",IF(AND(E1037&gt;0,F1037&gt;0,H1037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1037=1,TRUE()),R1037&lt;='01_설정'!B5,S1037&lt;='01_설정'!B6,T1037&lt;='01_설정'!B7,U1037&lt;='01_설정'!B8),"Y",""))</f>
        <v/>
      </c>
      <c r="W1037" s="172">
        <f>IF(V1037&lt;&gt;"Y","",MAX(0,(1-R1037/'01_설정'!B5))*'01_설정'!B14+MAX(0,(1-S1037/'01_설정'!B6))*'01_설정'!B15+MAX(0,(1-T1037/'01_설정'!B7))*'01_설정'!B16+MAX(0,(1-U1037/'01_설정'!B8))*'01_설정'!B17+O1037*'01_설정'!B11+Q1037*'01_설정'!B12+P1037*'01_설정'!B13+IF(Z1037="",0,Z1037))</f>
        <v/>
      </c>
      <c r="X1037" s="152">
        <f>IF(W1037="","",1+COUNTIFS($W$4:$W$3003,"&gt;"&amp;W1037)+COUNTIFS($W$4:W1037,W1037)-1)</f>
        <v/>
      </c>
      <c r="Y1037" s="175">
        <f>IF(OR(I1037="",'02_대상물건입력'!B19="",'02_대상물건입력'!B19&lt;=0),"",ABS(I1037-'02_대상물건입력'!B19)/'02_대상물건입력'!B19)</f>
        <v/>
      </c>
      <c r="Z1037" s="172">
        <f>IF(OR(Y1037="",'01_설정'!B31="",'01_설정'!B31&lt;=0,'01_설정'!B32="",'01_설정'!B32&lt;=0),"",MAX(0,(1-Y1037/'01_설정'!B32))*'01_설정'!B31)</f>
        <v/>
      </c>
    </row>
    <row r="1038" ht="17.25" customHeight="1">
      <c r="A1038" s="152">
        <f>IF(INDEX('04A_국토부원자료'!$A:$A,ROW()+1)="","",ROW()-3)</f>
        <v/>
      </c>
      <c r="B1038" s="48">
        <f>IFERROR(INDEX('04A_국토부원자료'!$A:$T,ROW()+1,MATCH("시군구",'04A_국토부원자료'!$A$4:$T$4,0)),"")</f>
        <v/>
      </c>
      <c r="C1038" s="48">
        <f>IF(B1038="","",IFERROR(INDEX('04A_국토부원자료'!$A:$T,ROW()+1,MATCH("번지",'04A_국토부원자료'!$A$4:$T$4,0)),""))</f>
        <v/>
      </c>
      <c r="D1038" s="48">
        <f>IF(B1038="","",IF(Q1038=1,'02_대상물건입력'!$B$8,IFERROR(INDEX('04A_국토부원자료'!$A:$T,ROW()+1,MATCH("단지명",'04A_국토부원자료'!$A$4:$T$4,0)),"")))</f>
        <v/>
      </c>
      <c r="E1038" s="172">
        <f>IFERROR(VALUE(SUBSTITUTE(INDEX('04A_국토부원자료'!$A:$T,ROW()+1,MATCH("전용면적(㎡)",'04A_국토부원자료'!$A$4:$T$4,0)),",","")),"")</f>
        <v/>
      </c>
      <c r="F10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38" s="51">
        <f>IFERROR(VALUE(SUBSTITUTE(INDEX('04A_국토부원자료'!$A:$T,ROW()+1,MATCH("거래금액(만원)",'04A_국토부원자료'!$A$4:$T$4,0)),",","")),"")</f>
        <v/>
      </c>
      <c r="H1038" s="174">
        <f>IF(G1038="","",G1038*10000)</f>
        <v/>
      </c>
      <c r="I1038" s="174">
        <f>IFERROR(IF(AND(H1038&gt;0,E1038&gt;0),H1038/E1038,""),"")</f>
        <v/>
      </c>
      <c r="J1038" s="152">
        <f>IFERROR(VALUE(SUBSTITUTE(INDEX('04A_국토부원자료'!$A:$T,ROW()+1,MATCH("층",'04A_국토부원자료'!$A$4:$T$4,0)),",","")),"")</f>
        <v/>
      </c>
      <c r="K1038" s="152">
        <f>IFERROR(VALUE(SUBSTITUTE(INDEX('04A_국토부원자료'!$A:$T,ROW()+1,MATCH("건축년도",'04A_국토부원자료'!$A$4:$T$4,0)),",","")),"")</f>
        <v/>
      </c>
      <c r="L1038" s="176">
        <f>IFERROR(INDEX('04A_국토부원자료'!$A:$T,ROW()+1,MATCH("도로명",'04A_국토부원자료'!$A$4:$T$4,0)),"")</f>
        <v/>
      </c>
      <c r="M1038" s="48">
        <f>IFERROR(INDEX('04A_국토부원자료'!$A:$T,ROW()+1,MATCH("거래유형",'04A_국토부원자료'!$A$4:$T$4,0)),"")</f>
        <v/>
      </c>
      <c r="N1038" s="152">
        <f>IF(B1038="","",IF('02_대상물건입력'!B5="",1,IF(ISNUMBER(SEARCH('02_대상물건입력'!B5,B1038)),1,0)))</f>
        <v/>
      </c>
      <c r="O1038" s="152">
        <f>IF(B1038="","",IF('02_대상물건입력'!B6="",1,IF(ISNUMBER(SEARCH('02_대상물건입력'!B6,B1038)),1,0)))</f>
        <v/>
      </c>
      <c r="P1038" s="152">
        <f>IF(L1038="","",IF('02_대상물건입력'!B15="",0,IF(ISNUMBER(SEARCH('02_대상물건입력'!B15,L1038)),1,0)))</f>
        <v/>
      </c>
      <c r="Q1038" s="152">
        <f>IF(OR(C1038="",L1038=""),0,IF(AND(TRIM(C1038)=TRIM(RIGHT(SUBSTITUTE(TRIM('02_대상물건입력'!$B$7)," ",REPT(" ",99)),99)),IF('02_대상물건입력'!B15="",TRUE(),ISNUMBER(SEARCH('02_대상물건입력'!B15,L1038)))),1,0))</f>
        <v/>
      </c>
      <c r="R1038" s="175">
        <f>IFERROR(ABS(E1038-'02_대상물건입력'!B11)/'02_대상물건입력'!B11,"")</f>
        <v/>
      </c>
      <c r="S1038" s="152">
        <f>IFERROR(ABS(J1038-'02_대상물건입력'!B10),"")</f>
        <v/>
      </c>
      <c r="T1038" s="152">
        <f>IFERROR(ABS('01_설정'!B4-F1038),"")</f>
        <v/>
      </c>
      <c r="U1038" s="152">
        <f>IFERROR(ABS(K1038-YEAR('02_대상물건입력'!B14)),"")</f>
        <v/>
      </c>
      <c r="V1038" s="152">
        <f>IF(B1038="","",IF(AND(E1038&gt;0,F1038&gt;0,H1038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1038=1,TRUE()),R1038&lt;='01_설정'!B5,S1038&lt;='01_설정'!B6,T1038&lt;='01_설정'!B7,U1038&lt;='01_설정'!B8),"Y",""))</f>
        <v/>
      </c>
      <c r="W1038" s="172">
        <f>IF(V1038&lt;&gt;"Y","",MAX(0,(1-R1038/'01_설정'!B5))*'01_설정'!B14+MAX(0,(1-S1038/'01_설정'!B6))*'01_설정'!B15+MAX(0,(1-T1038/'01_설정'!B7))*'01_설정'!B16+MAX(0,(1-U1038/'01_설정'!B8))*'01_설정'!B17+O1038*'01_설정'!B11+Q1038*'01_설정'!B12+P1038*'01_설정'!B13+IF(Z1038="",0,Z1038))</f>
        <v/>
      </c>
      <c r="X1038" s="152">
        <f>IF(W1038="","",1+COUNTIFS($W$4:$W$3003,"&gt;"&amp;W1038)+COUNTIFS($W$4:W1038,W1038)-1)</f>
        <v/>
      </c>
      <c r="Y1038" s="175">
        <f>IF(OR(I1038="",'02_대상물건입력'!B19="",'02_대상물건입력'!B19&lt;=0),"",ABS(I1038-'02_대상물건입력'!B19)/'02_대상물건입력'!B19)</f>
        <v/>
      </c>
      <c r="Z1038" s="172">
        <f>IF(OR(Y1038="",'01_설정'!B31="",'01_설정'!B31&lt;=0,'01_설정'!B32="",'01_설정'!B32&lt;=0),"",MAX(0,(1-Y1038/'01_설정'!B32))*'01_설정'!B31)</f>
        <v/>
      </c>
    </row>
    <row r="1039" ht="17.25" customHeight="1">
      <c r="A1039" s="152">
        <f>IF(INDEX('04A_국토부원자료'!$A:$A,ROW()+1)="","",ROW()-3)</f>
        <v/>
      </c>
      <c r="B1039" s="48">
        <f>IFERROR(INDEX('04A_국토부원자료'!$A:$T,ROW()+1,MATCH("시군구",'04A_국토부원자료'!$A$4:$T$4,0)),"")</f>
        <v/>
      </c>
      <c r="C1039" s="48">
        <f>IF(B1039="","",IFERROR(INDEX('04A_국토부원자료'!$A:$T,ROW()+1,MATCH("번지",'04A_국토부원자료'!$A$4:$T$4,0)),""))</f>
        <v/>
      </c>
      <c r="D1039" s="48">
        <f>IF(B1039="","",IF(Q1039=1,'02_대상물건입력'!$B$8,IFERROR(INDEX('04A_국토부원자료'!$A:$T,ROW()+1,MATCH("단지명",'04A_국토부원자료'!$A$4:$T$4,0)),"")))</f>
        <v/>
      </c>
      <c r="E1039" s="172">
        <f>IFERROR(VALUE(SUBSTITUTE(INDEX('04A_국토부원자료'!$A:$T,ROW()+1,MATCH("전용면적(㎡)",'04A_국토부원자료'!$A$4:$T$4,0)),",","")),"")</f>
        <v/>
      </c>
      <c r="F10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39" s="51">
        <f>IFERROR(VALUE(SUBSTITUTE(INDEX('04A_국토부원자료'!$A:$T,ROW()+1,MATCH("거래금액(만원)",'04A_국토부원자료'!$A$4:$T$4,0)),",","")),"")</f>
        <v/>
      </c>
      <c r="H1039" s="174">
        <f>IF(G1039="","",G1039*10000)</f>
        <v/>
      </c>
      <c r="I1039" s="174">
        <f>IFERROR(IF(AND(H1039&gt;0,E1039&gt;0),H1039/E1039,""),"")</f>
        <v/>
      </c>
      <c r="J1039" s="152">
        <f>IFERROR(VALUE(SUBSTITUTE(INDEX('04A_국토부원자료'!$A:$T,ROW()+1,MATCH("층",'04A_국토부원자료'!$A$4:$T$4,0)),",","")),"")</f>
        <v/>
      </c>
      <c r="K1039" s="152">
        <f>IFERROR(VALUE(SUBSTITUTE(INDEX('04A_국토부원자료'!$A:$T,ROW()+1,MATCH("건축년도",'04A_국토부원자료'!$A$4:$T$4,0)),",","")),"")</f>
        <v/>
      </c>
      <c r="L1039" s="176">
        <f>IFERROR(INDEX('04A_국토부원자료'!$A:$T,ROW()+1,MATCH("도로명",'04A_국토부원자료'!$A$4:$T$4,0)),"")</f>
        <v/>
      </c>
      <c r="M1039" s="48">
        <f>IFERROR(INDEX('04A_국토부원자료'!$A:$T,ROW()+1,MATCH("거래유형",'04A_국토부원자료'!$A$4:$T$4,0)),"")</f>
        <v/>
      </c>
      <c r="N1039" s="152">
        <f>IF(B1039="","",IF('02_대상물건입력'!B5="",1,IF(ISNUMBER(SEARCH('02_대상물건입력'!B5,B1039)),1,0)))</f>
        <v/>
      </c>
      <c r="O1039" s="152">
        <f>IF(B1039="","",IF('02_대상물건입력'!B6="",1,IF(ISNUMBER(SEARCH('02_대상물건입력'!B6,B1039)),1,0)))</f>
        <v/>
      </c>
      <c r="P1039" s="152">
        <f>IF(L1039="","",IF('02_대상물건입력'!B15="",0,IF(ISNUMBER(SEARCH('02_대상물건입력'!B15,L1039)),1,0)))</f>
        <v/>
      </c>
      <c r="Q1039" s="152">
        <f>IF(OR(C1039="",L1039=""),0,IF(AND(TRIM(C1039)=TRIM(RIGHT(SUBSTITUTE(TRIM('02_대상물건입력'!$B$7)," ",REPT(" ",99)),99)),IF('02_대상물건입력'!B15="",TRUE(),ISNUMBER(SEARCH('02_대상물건입력'!B15,L1039)))),1,0))</f>
        <v/>
      </c>
      <c r="R1039" s="175">
        <f>IFERROR(ABS(E1039-'02_대상물건입력'!B11)/'02_대상물건입력'!B11,"")</f>
        <v/>
      </c>
      <c r="S1039" s="152">
        <f>IFERROR(ABS(J1039-'02_대상물건입력'!B10),"")</f>
        <v/>
      </c>
      <c r="T1039" s="152">
        <f>IFERROR(ABS('01_설정'!B4-F1039),"")</f>
        <v/>
      </c>
      <c r="U1039" s="152">
        <f>IFERROR(ABS(K1039-YEAR('02_대상물건입력'!B14)),"")</f>
        <v/>
      </c>
      <c r="V1039" s="152">
        <f>IF(B1039="","",IF(AND(E1039&gt;0,F1039&gt;0,H1039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1039=1,TRUE()),R1039&lt;='01_설정'!B5,S1039&lt;='01_설정'!B6,T1039&lt;='01_설정'!B7,U1039&lt;='01_설정'!B8),"Y",""))</f>
        <v/>
      </c>
      <c r="W1039" s="172">
        <f>IF(V1039&lt;&gt;"Y","",MAX(0,(1-R1039/'01_설정'!B5))*'01_설정'!B14+MAX(0,(1-S1039/'01_설정'!B6))*'01_설정'!B15+MAX(0,(1-T1039/'01_설정'!B7))*'01_설정'!B16+MAX(0,(1-U1039/'01_설정'!B8))*'01_설정'!B17+O1039*'01_설정'!B11+Q1039*'01_설정'!B12+P1039*'01_설정'!B13+IF(Z1039="",0,Z1039))</f>
        <v/>
      </c>
      <c r="X1039" s="152">
        <f>IF(W1039="","",1+COUNTIFS($W$4:$W$3003,"&gt;"&amp;W1039)+COUNTIFS($W$4:W1039,W1039)-1)</f>
        <v/>
      </c>
      <c r="Y1039" s="175">
        <f>IF(OR(I1039="",'02_대상물건입력'!B19="",'02_대상물건입력'!B19&lt;=0),"",ABS(I1039-'02_대상물건입력'!B19)/'02_대상물건입력'!B19)</f>
        <v/>
      </c>
      <c r="Z1039" s="172">
        <f>IF(OR(Y1039="",'01_설정'!B31="",'01_설정'!B31&lt;=0,'01_설정'!B32="",'01_설정'!B32&lt;=0),"",MAX(0,(1-Y1039/'01_설정'!B32))*'01_설정'!B31)</f>
        <v/>
      </c>
    </row>
    <row r="1040" ht="17.25" customHeight="1">
      <c r="A1040" s="152">
        <f>IF(INDEX('04A_국토부원자료'!$A:$A,ROW()+1)="","",ROW()-3)</f>
        <v/>
      </c>
      <c r="B1040" s="48">
        <f>IFERROR(INDEX('04A_국토부원자료'!$A:$T,ROW()+1,MATCH("시군구",'04A_국토부원자료'!$A$4:$T$4,0)),"")</f>
        <v/>
      </c>
      <c r="C1040" s="48">
        <f>IF(B1040="","",IFERROR(INDEX('04A_국토부원자료'!$A:$T,ROW()+1,MATCH("번지",'04A_국토부원자료'!$A$4:$T$4,0)),""))</f>
        <v/>
      </c>
      <c r="D1040" s="48">
        <f>IF(B1040="","",IF(Q1040=1,'02_대상물건입력'!$B$8,IFERROR(INDEX('04A_국토부원자료'!$A:$T,ROW()+1,MATCH("단지명",'04A_국토부원자료'!$A$4:$T$4,0)),"")))</f>
        <v/>
      </c>
      <c r="E1040" s="172">
        <f>IFERROR(VALUE(SUBSTITUTE(INDEX('04A_국토부원자료'!$A:$T,ROW()+1,MATCH("전용면적(㎡)",'04A_국토부원자료'!$A$4:$T$4,0)),",","")),"")</f>
        <v/>
      </c>
      <c r="F10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40" s="51">
        <f>IFERROR(VALUE(SUBSTITUTE(INDEX('04A_국토부원자료'!$A:$T,ROW()+1,MATCH("거래금액(만원)",'04A_국토부원자료'!$A$4:$T$4,0)),",","")),"")</f>
        <v/>
      </c>
      <c r="H1040" s="174">
        <f>IF(G1040="","",G1040*10000)</f>
        <v/>
      </c>
      <c r="I1040" s="174">
        <f>IFERROR(IF(AND(H1040&gt;0,E1040&gt;0),H1040/E1040,""),"")</f>
        <v/>
      </c>
      <c r="J1040" s="152">
        <f>IFERROR(VALUE(SUBSTITUTE(INDEX('04A_국토부원자료'!$A:$T,ROW()+1,MATCH("층",'04A_국토부원자료'!$A$4:$T$4,0)),",","")),"")</f>
        <v/>
      </c>
      <c r="K1040" s="152">
        <f>IFERROR(VALUE(SUBSTITUTE(INDEX('04A_국토부원자료'!$A:$T,ROW()+1,MATCH("건축년도",'04A_국토부원자료'!$A$4:$T$4,0)),",","")),"")</f>
        <v/>
      </c>
      <c r="L1040" s="176">
        <f>IFERROR(INDEX('04A_국토부원자료'!$A:$T,ROW()+1,MATCH("도로명",'04A_국토부원자료'!$A$4:$T$4,0)),"")</f>
        <v/>
      </c>
      <c r="M1040" s="48">
        <f>IFERROR(INDEX('04A_국토부원자료'!$A:$T,ROW()+1,MATCH("거래유형",'04A_국토부원자료'!$A$4:$T$4,0)),"")</f>
        <v/>
      </c>
      <c r="N1040" s="152">
        <f>IF(B1040="","",IF('02_대상물건입력'!B5="",1,IF(ISNUMBER(SEARCH('02_대상물건입력'!B5,B1040)),1,0)))</f>
        <v/>
      </c>
      <c r="O1040" s="152">
        <f>IF(B1040="","",IF('02_대상물건입력'!B6="",1,IF(ISNUMBER(SEARCH('02_대상물건입력'!B6,B1040)),1,0)))</f>
        <v/>
      </c>
      <c r="P1040" s="152">
        <f>IF(L1040="","",IF('02_대상물건입력'!B15="",0,IF(ISNUMBER(SEARCH('02_대상물건입력'!B15,L1040)),1,0)))</f>
        <v/>
      </c>
      <c r="Q1040" s="152">
        <f>IF(OR(C1040="",L1040=""),0,IF(AND(TRIM(C1040)=TRIM(RIGHT(SUBSTITUTE(TRIM('02_대상물건입력'!$B$7)," ",REPT(" ",99)),99)),IF('02_대상물건입력'!B15="",TRUE(),ISNUMBER(SEARCH('02_대상물건입력'!B15,L1040)))),1,0))</f>
        <v/>
      </c>
      <c r="R1040" s="175">
        <f>IFERROR(ABS(E1040-'02_대상물건입력'!B11)/'02_대상물건입력'!B11,"")</f>
        <v/>
      </c>
      <c r="S1040" s="152">
        <f>IFERROR(ABS(J1040-'02_대상물건입력'!B10),"")</f>
        <v/>
      </c>
      <c r="T1040" s="152">
        <f>IFERROR(ABS('01_설정'!B4-F1040),"")</f>
        <v/>
      </c>
      <c r="U1040" s="152">
        <f>IFERROR(ABS(K1040-YEAR('02_대상물건입력'!B14)),"")</f>
        <v/>
      </c>
      <c r="V1040" s="152">
        <f>IF(B1040="","",IF(AND(E1040&gt;0,F1040&gt;0,H1040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1040=1,TRUE()),R1040&lt;='01_설정'!B5,S1040&lt;='01_설정'!B6,T1040&lt;='01_설정'!B7,U1040&lt;='01_설정'!B8),"Y",""))</f>
        <v/>
      </c>
      <c r="W1040" s="172">
        <f>IF(V1040&lt;&gt;"Y","",MAX(0,(1-R1040/'01_설정'!B5))*'01_설정'!B14+MAX(0,(1-S1040/'01_설정'!B6))*'01_설정'!B15+MAX(0,(1-T1040/'01_설정'!B7))*'01_설정'!B16+MAX(0,(1-U1040/'01_설정'!B8))*'01_설정'!B17+O1040*'01_설정'!B11+Q1040*'01_설정'!B12+P1040*'01_설정'!B13+IF(Z1040="",0,Z1040))</f>
        <v/>
      </c>
      <c r="X1040" s="152">
        <f>IF(W1040="","",1+COUNTIFS($W$4:$W$3003,"&gt;"&amp;W1040)+COUNTIFS($W$4:W1040,W1040)-1)</f>
        <v/>
      </c>
      <c r="Y1040" s="175">
        <f>IF(OR(I1040="",'02_대상물건입력'!B19="",'02_대상물건입력'!B19&lt;=0),"",ABS(I1040-'02_대상물건입력'!B19)/'02_대상물건입력'!B19)</f>
        <v/>
      </c>
      <c r="Z1040" s="172">
        <f>IF(OR(Y1040="",'01_설정'!B31="",'01_설정'!B31&lt;=0,'01_설정'!B32="",'01_설정'!B32&lt;=0),"",MAX(0,(1-Y1040/'01_설정'!B32))*'01_설정'!B31)</f>
        <v/>
      </c>
    </row>
    <row r="1041" ht="17.25" customHeight="1">
      <c r="A1041" s="152">
        <f>IF(INDEX('04A_국토부원자료'!$A:$A,ROW()+1)="","",ROW()-3)</f>
        <v/>
      </c>
      <c r="B1041" s="48">
        <f>IFERROR(INDEX('04A_국토부원자료'!$A:$T,ROW()+1,MATCH("시군구",'04A_국토부원자료'!$A$4:$T$4,0)),"")</f>
        <v/>
      </c>
      <c r="C1041" s="48">
        <f>IF(B1041="","",IFERROR(INDEX('04A_국토부원자료'!$A:$T,ROW()+1,MATCH("번지",'04A_국토부원자료'!$A$4:$T$4,0)),""))</f>
        <v/>
      </c>
      <c r="D1041" s="48">
        <f>IF(B1041="","",IF(Q1041=1,'02_대상물건입력'!$B$8,IFERROR(INDEX('04A_국토부원자료'!$A:$T,ROW()+1,MATCH("단지명",'04A_국토부원자료'!$A$4:$T$4,0)),"")))</f>
        <v/>
      </c>
      <c r="E1041" s="172">
        <f>IFERROR(VALUE(SUBSTITUTE(INDEX('04A_국토부원자료'!$A:$T,ROW()+1,MATCH("전용면적(㎡)",'04A_국토부원자료'!$A$4:$T$4,0)),",","")),"")</f>
        <v/>
      </c>
      <c r="F10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41" s="51">
        <f>IFERROR(VALUE(SUBSTITUTE(INDEX('04A_국토부원자료'!$A:$T,ROW()+1,MATCH("거래금액(만원)",'04A_국토부원자료'!$A$4:$T$4,0)),",","")),"")</f>
        <v/>
      </c>
      <c r="H1041" s="174">
        <f>IF(G1041="","",G1041*10000)</f>
        <v/>
      </c>
      <c r="I1041" s="174">
        <f>IFERROR(IF(AND(H1041&gt;0,E1041&gt;0),H1041/E1041,""),"")</f>
        <v/>
      </c>
      <c r="J1041" s="152">
        <f>IFERROR(VALUE(SUBSTITUTE(INDEX('04A_국토부원자료'!$A:$T,ROW()+1,MATCH("층",'04A_국토부원자료'!$A$4:$T$4,0)),",","")),"")</f>
        <v/>
      </c>
      <c r="K1041" s="152">
        <f>IFERROR(VALUE(SUBSTITUTE(INDEX('04A_국토부원자료'!$A:$T,ROW()+1,MATCH("건축년도",'04A_국토부원자료'!$A$4:$T$4,0)),",","")),"")</f>
        <v/>
      </c>
      <c r="L1041" s="176">
        <f>IFERROR(INDEX('04A_국토부원자료'!$A:$T,ROW()+1,MATCH("도로명",'04A_국토부원자료'!$A$4:$T$4,0)),"")</f>
        <v/>
      </c>
      <c r="M1041" s="48">
        <f>IFERROR(INDEX('04A_국토부원자료'!$A:$T,ROW()+1,MATCH("거래유형",'04A_국토부원자료'!$A$4:$T$4,0)),"")</f>
        <v/>
      </c>
      <c r="N1041" s="152">
        <f>IF(B1041="","",IF('02_대상물건입력'!B5="",1,IF(ISNUMBER(SEARCH('02_대상물건입력'!B5,B1041)),1,0)))</f>
        <v/>
      </c>
      <c r="O1041" s="152">
        <f>IF(B1041="","",IF('02_대상물건입력'!B6="",1,IF(ISNUMBER(SEARCH('02_대상물건입력'!B6,B1041)),1,0)))</f>
        <v/>
      </c>
      <c r="P1041" s="152">
        <f>IF(L1041="","",IF('02_대상물건입력'!B15="",0,IF(ISNUMBER(SEARCH('02_대상물건입력'!B15,L1041)),1,0)))</f>
        <v/>
      </c>
      <c r="Q1041" s="152">
        <f>IF(OR(C1041="",L1041=""),0,IF(AND(TRIM(C1041)=TRIM(RIGHT(SUBSTITUTE(TRIM('02_대상물건입력'!$B$7)," ",REPT(" ",99)),99)),IF('02_대상물건입력'!B15="",TRUE(),ISNUMBER(SEARCH('02_대상물건입력'!B15,L1041)))),1,0))</f>
        <v/>
      </c>
      <c r="R1041" s="175">
        <f>IFERROR(ABS(E1041-'02_대상물건입력'!B11)/'02_대상물건입력'!B11,"")</f>
        <v/>
      </c>
      <c r="S1041" s="152">
        <f>IFERROR(ABS(J1041-'02_대상물건입력'!B10),"")</f>
        <v/>
      </c>
      <c r="T1041" s="152">
        <f>IFERROR(ABS('01_설정'!B4-F1041),"")</f>
        <v/>
      </c>
      <c r="U1041" s="152">
        <f>IFERROR(ABS(K1041-YEAR('02_대상물건입력'!B14)),"")</f>
        <v/>
      </c>
      <c r="V1041" s="152">
        <f>IF(B1041="","",IF(AND(E1041&gt;0,F1041&gt;0,H1041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1041=1,TRUE()),R1041&lt;='01_설정'!B5,S1041&lt;='01_설정'!B6,T1041&lt;='01_설정'!B7,U1041&lt;='01_설정'!B8),"Y",""))</f>
        <v/>
      </c>
      <c r="W1041" s="172">
        <f>IF(V1041&lt;&gt;"Y","",MAX(0,(1-R1041/'01_설정'!B5))*'01_설정'!B14+MAX(0,(1-S1041/'01_설정'!B6))*'01_설정'!B15+MAX(0,(1-T1041/'01_설정'!B7))*'01_설정'!B16+MAX(0,(1-U1041/'01_설정'!B8))*'01_설정'!B17+O1041*'01_설정'!B11+Q1041*'01_설정'!B12+P1041*'01_설정'!B13+IF(Z1041="",0,Z1041))</f>
        <v/>
      </c>
      <c r="X1041" s="152">
        <f>IF(W1041="","",1+COUNTIFS($W$4:$W$3003,"&gt;"&amp;W1041)+COUNTIFS($W$4:W1041,W1041)-1)</f>
        <v/>
      </c>
      <c r="Y1041" s="175">
        <f>IF(OR(I1041="",'02_대상물건입력'!B19="",'02_대상물건입력'!B19&lt;=0),"",ABS(I1041-'02_대상물건입력'!B19)/'02_대상물건입력'!B19)</f>
        <v/>
      </c>
      <c r="Z1041" s="172">
        <f>IF(OR(Y1041="",'01_설정'!B31="",'01_설정'!B31&lt;=0,'01_설정'!B32="",'01_설정'!B32&lt;=0),"",MAX(0,(1-Y1041/'01_설정'!B32))*'01_설정'!B31)</f>
        <v/>
      </c>
    </row>
    <row r="1042" ht="17.25" customHeight="1">
      <c r="A1042" s="152">
        <f>IF(INDEX('04A_국토부원자료'!$A:$A,ROW()+1)="","",ROW()-3)</f>
        <v/>
      </c>
      <c r="B1042" s="48">
        <f>IFERROR(INDEX('04A_국토부원자료'!$A:$T,ROW()+1,MATCH("시군구",'04A_국토부원자료'!$A$4:$T$4,0)),"")</f>
        <v/>
      </c>
      <c r="C1042" s="48">
        <f>IF(B1042="","",IFERROR(INDEX('04A_국토부원자료'!$A:$T,ROW()+1,MATCH("번지",'04A_국토부원자료'!$A$4:$T$4,0)),""))</f>
        <v/>
      </c>
      <c r="D1042" s="48">
        <f>IF(B1042="","",IF(Q1042=1,'02_대상물건입력'!$B$8,IFERROR(INDEX('04A_국토부원자료'!$A:$T,ROW()+1,MATCH("단지명",'04A_국토부원자료'!$A$4:$T$4,0)),"")))</f>
        <v/>
      </c>
      <c r="E1042" s="172">
        <f>IFERROR(VALUE(SUBSTITUTE(INDEX('04A_국토부원자료'!$A:$T,ROW()+1,MATCH("전용면적(㎡)",'04A_국토부원자료'!$A$4:$T$4,0)),",","")),"")</f>
        <v/>
      </c>
      <c r="F10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42" s="51">
        <f>IFERROR(VALUE(SUBSTITUTE(INDEX('04A_국토부원자료'!$A:$T,ROW()+1,MATCH("거래금액(만원)",'04A_국토부원자료'!$A$4:$T$4,0)),",","")),"")</f>
        <v/>
      </c>
      <c r="H1042" s="174">
        <f>IF(G1042="","",G1042*10000)</f>
        <v/>
      </c>
      <c r="I1042" s="174">
        <f>IFERROR(IF(AND(H1042&gt;0,E1042&gt;0),H1042/E1042,""),"")</f>
        <v/>
      </c>
      <c r="J1042" s="152">
        <f>IFERROR(VALUE(SUBSTITUTE(INDEX('04A_국토부원자료'!$A:$T,ROW()+1,MATCH("층",'04A_국토부원자료'!$A$4:$T$4,0)),",","")),"")</f>
        <v/>
      </c>
      <c r="K1042" s="152">
        <f>IFERROR(VALUE(SUBSTITUTE(INDEX('04A_국토부원자료'!$A:$T,ROW()+1,MATCH("건축년도",'04A_국토부원자료'!$A$4:$T$4,0)),",","")),"")</f>
        <v/>
      </c>
      <c r="L1042" s="176">
        <f>IFERROR(INDEX('04A_국토부원자료'!$A:$T,ROW()+1,MATCH("도로명",'04A_국토부원자료'!$A$4:$T$4,0)),"")</f>
        <v/>
      </c>
      <c r="M1042" s="48">
        <f>IFERROR(INDEX('04A_국토부원자료'!$A:$T,ROW()+1,MATCH("거래유형",'04A_국토부원자료'!$A$4:$T$4,0)),"")</f>
        <v/>
      </c>
      <c r="N1042" s="152">
        <f>IF(B1042="","",IF('02_대상물건입력'!B5="",1,IF(ISNUMBER(SEARCH('02_대상물건입력'!B5,B1042)),1,0)))</f>
        <v/>
      </c>
      <c r="O1042" s="152">
        <f>IF(B1042="","",IF('02_대상물건입력'!B6="",1,IF(ISNUMBER(SEARCH('02_대상물건입력'!B6,B1042)),1,0)))</f>
        <v/>
      </c>
      <c r="P1042" s="152">
        <f>IF(L1042="","",IF('02_대상물건입력'!B15="",0,IF(ISNUMBER(SEARCH('02_대상물건입력'!B15,L1042)),1,0)))</f>
        <v/>
      </c>
      <c r="Q1042" s="152">
        <f>IF(OR(C1042="",L1042=""),0,IF(AND(TRIM(C1042)=TRIM(RIGHT(SUBSTITUTE(TRIM('02_대상물건입력'!$B$7)," ",REPT(" ",99)),99)),IF('02_대상물건입력'!B15="",TRUE(),ISNUMBER(SEARCH('02_대상물건입력'!B15,L1042)))),1,0))</f>
        <v/>
      </c>
      <c r="R1042" s="175">
        <f>IFERROR(ABS(E1042-'02_대상물건입력'!B11)/'02_대상물건입력'!B11,"")</f>
        <v/>
      </c>
      <c r="S1042" s="152">
        <f>IFERROR(ABS(J1042-'02_대상물건입력'!B10),"")</f>
        <v/>
      </c>
      <c r="T1042" s="152">
        <f>IFERROR(ABS('01_설정'!B4-F1042),"")</f>
        <v/>
      </c>
      <c r="U1042" s="152">
        <f>IFERROR(ABS(K1042-YEAR('02_대상물건입력'!B14)),"")</f>
        <v/>
      </c>
      <c r="V1042" s="152">
        <f>IF(B1042="","",IF(AND(E1042&gt;0,F1042&gt;0,H1042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1042=1,TRUE()),R1042&lt;='01_설정'!B5,S1042&lt;='01_설정'!B6,T1042&lt;='01_설정'!B7,U1042&lt;='01_설정'!B8),"Y",""))</f>
        <v/>
      </c>
      <c r="W1042" s="172">
        <f>IF(V1042&lt;&gt;"Y","",MAX(0,(1-R1042/'01_설정'!B5))*'01_설정'!B14+MAX(0,(1-S1042/'01_설정'!B6))*'01_설정'!B15+MAX(0,(1-T1042/'01_설정'!B7))*'01_설정'!B16+MAX(0,(1-U1042/'01_설정'!B8))*'01_설정'!B17+O1042*'01_설정'!B11+Q1042*'01_설정'!B12+P1042*'01_설정'!B13+IF(Z1042="",0,Z1042))</f>
        <v/>
      </c>
      <c r="X1042" s="152">
        <f>IF(W1042="","",1+COUNTIFS($W$4:$W$3003,"&gt;"&amp;W1042)+COUNTIFS($W$4:W1042,W1042)-1)</f>
        <v/>
      </c>
      <c r="Y1042" s="175">
        <f>IF(OR(I1042="",'02_대상물건입력'!B19="",'02_대상물건입력'!B19&lt;=0),"",ABS(I1042-'02_대상물건입력'!B19)/'02_대상물건입력'!B19)</f>
        <v/>
      </c>
      <c r="Z1042" s="172">
        <f>IF(OR(Y1042="",'01_설정'!B31="",'01_설정'!B31&lt;=0,'01_설정'!B32="",'01_설정'!B32&lt;=0),"",MAX(0,(1-Y1042/'01_설정'!B32))*'01_설정'!B31)</f>
        <v/>
      </c>
    </row>
    <row r="1043" ht="17.25" customHeight="1">
      <c r="A1043" s="152">
        <f>IF(INDEX('04A_국토부원자료'!$A:$A,ROW()+1)="","",ROW()-3)</f>
        <v/>
      </c>
      <c r="B1043" s="48">
        <f>IFERROR(INDEX('04A_국토부원자료'!$A:$T,ROW()+1,MATCH("시군구",'04A_국토부원자료'!$A$4:$T$4,0)),"")</f>
        <v/>
      </c>
      <c r="C1043" s="48">
        <f>IF(B1043="","",IFERROR(INDEX('04A_국토부원자료'!$A:$T,ROW()+1,MATCH("번지",'04A_국토부원자료'!$A$4:$T$4,0)),""))</f>
        <v/>
      </c>
      <c r="D1043" s="48">
        <f>IF(B1043="","",IF(Q1043=1,'02_대상물건입력'!$B$8,IFERROR(INDEX('04A_국토부원자료'!$A:$T,ROW()+1,MATCH("단지명",'04A_국토부원자료'!$A$4:$T$4,0)),"")))</f>
        <v/>
      </c>
      <c r="E1043" s="172">
        <f>IFERROR(VALUE(SUBSTITUTE(INDEX('04A_국토부원자료'!$A:$T,ROW()+1,MATCH("전용면적(㎡)",'04A_국토부원자료'!$A$4:$T$4,0)),",","")),"")</f>
        <v/>
      </c>
      <c r="F10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43" s="51">
        <f>IFERROR(VALUE(SUBSTITUTE(INDEX('04A_국토부원자료'!$A:$T,ROW()+1,MATCH("거래금액(만원)",'04A_국토부원자료'!$A$4:$T$4,0)),",","")),"")</f>
        <v/>
      </c>
      <c r="H1043" s="174">
        <f>IF(G1043="","",G1043*10000)</f>
        <v/>
      </c>
      <c r="I1043" s="174">
        <f>IFERROR(IF(AND(H1043&gt;0,E1043&gt;0),H1043/E1043,""),"")</f>
        <v/>
      </c>
      <c r="J1043" s="152">
        <f>IFERROR(VALUE(SUBSTITUTE(INDEX('04A_국토부원자료'!$A:$T,ROW()+1,MATCH("층",'04A_국토부원자료'!$A$4:$T$4,0)),",","")),"")</f>
        <v/>
      </c>
      <c r="K1043" s="152">
        <f>IFERROR(VALUE(SUBSTITUTE(INDEX('04A_국토부원자료'!$A:$T,ROW()+1,MATCH("건축년도",'04A_국토부원자료'!$A$4:$T$4,0)),",","")),"")</f>
        <v/>
      </c>
      <c r="L1043" s="176">
        <f>IFERROR(INDEX('04A_국토부원자료'!$A:$T,ROW()+1,MATCH("도로명",'04A_국토부원자료'!$A$4:$T$4,0)),"")</f>
        <v/>
      </c>
      <c r="M1043" s="48">
        <f>IFERROR(INDEX('04A_국토부원자료'!$A:$T,ROW()+1,MATCH("거래유형",'04A_국토부원자료'!$A$4:$T$4,0)),"")</f>
        <v/>
      </c>
      <c r="N1043" s="152">
        <f>IF(B1043="","",IF('02_대상물건입력'!B5="",1,IF(ISNUMBER(SEARCH('02_대상물건입력'!B5,B1043)),1,0)))</f>
        <v/>
      </c>
      <c r="O1043" s="152">
        <f>IF(B1043="","",IF('02_대상물건입력'!B6="",1,IF(ISNUMBER(SEARCH('02_대상물건입력'!B6,B1043)),1,0)))</f>
        <v/>
      </c>
      <c r="P1043" s="152">
        <f>IF(L1043="","",IF('02_대상물건입력'!B15="",0,IF(ISNUMBER(SEARCH('02_대상물건입력'!B15,L1043)),1,0)))</f>
        <v/>
      </c>
      <c r="Q1043" s="152">
        <f>IF(OR(C1043="",L1043=""),0,IF(AND(TRIM(C1043)=TRIM(RIGHT(SUBSTITUTE(TRIM('02_대상물건입력'!$B$7)," ",REPT(" ",99)),99)),IF('02_대상물건입력'!B15="",TRUE(),ISNUMBER(SEARCH('02_대상물건입력'!B15,L1043)))),1,0))</f>
        <v/>
      </c>
      <c r="R1043" s="175">
        <f>IFERROR(ABS(E1043-'02_대상물건입력'!B11)/'02_대상물건입력'!B11,"")</f>
        <v/>
      </c>
      <c r="S1043" s="152">
        <f>IFERROR(ABS(J1043-'02_대상물건입력'!B10),"")</f>
        <v/>
      </c>
      <c r="T1043" s="152">
        <f>IFERROR(ABS('01_설정'!B4-F1043),"")</f>
        <v/>
      </c>
      <c r="U1043" s="152">
        <f>IFERROR(ABS(K1043-YEAR('02_대상물건입력'!B14)),"")</f>
        <v/>
      </c>
      <c r="V1043" s="152">
        <f>IF(B1043="","",IF(AND(E1043&gt;0,F1043&gt;0,H1043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1043=1,TRUE()),R1043&lt;='01_설정'!B5,S1043&lt;='01_설정'!B6,T1043&lt;='01_설정'!B7,U1043&lt;='01_설정'!B8),"Y",""))</f>
        <v/>
      </c>
      <c r="W1043" s="172">
        <f>IF(V1043&lt;&gt;"Y","",MAX(0,(1-R1043/'01_설정'!B5))*'01_설정'!B14+MAX(0,(1-S1043/'01_설정'!B6))*'01_설정'!B15+MAX(0,(1-T1043/'01_설정'!B7))*'01_설정'!B16+MAX(0,(1-U1043/'01_설정'!B8))*'01_설정'!B17+O1043*'01_설정'!B11+Q1043*'01_설정'!B12+P1043*'01_설정'!B13+IF(Z1043="",0,Z1043))</f>
        <v/>
      </c>
      <c r="X1043" s="152">
        <f>IF(W1043="","",1+COUNTIFS($W$4:$W$3003,"&gt;"&amp;W1043)+COUNTIFS($W$4:W1043,W1043)-1)</f>
        <v/>
      </c>
      <c r="Y1043" s="175">
        <f>IF(OR(I1043="",'02_대상물건입력'!B19="",'02_대상물건입력'!B19&lt;=0),"",ABS(I1043-'02_대상물건입력'!B19)/'02_대상물건입력'!B19)</f>
        <v/>
      </c>
      <c r="Z1043" s="172">
        <f>IF(OR(Y1043="",'01_설정'!B31="",'01_설정'!B31&lt;=0,'01_설정'!B32="",'01_설정'!B32&lt;=0),"",MAX(0,(1-Y1043/'01_설정'!B32))*'01_설정'!B31)</f>
        <v/>
      </c>
    </row>
    <row r="1044" ht="17.25" customHeight="1">
      <c r="A1044" s="152">
        <f>IF(INDEX('04A_국토부원자료'!$A:$A,ROW()+1)="","",ROW()-3)</f>
        <v/>
      </c>
      <c r="B1044" s="48">
        <f>IFERROR(INDEX('04A_국토부원자료'!$A:$T,ROW()+1,MATCH("시군구",'04A_국토부원자료'!$A$4:$T$4,0)),"")</f>
        <v/>
      </c>
      <c r="C1044" s="48">
        <f>IF(B1044="","",IFERROR(INDEX('04A_국토부원자료'!$A:$T,ROW()+1,MATCH("번지",'04A_국토부원자료'!$A$4:$T$4,0)),""))</f>
        <v/>
      </c>
      <c r="D1044" s="48">
        <f>IF(B1044="","",IF(Q1044=1,'02_대상물건입력'!$B$8,IFERROR(INDEX('04A_국토부원자료'!$A:$T,ROW()+1,MATCH("단지명",'04A_국토부원자료'!$A$4:$T$4,0)),"")))</f>
        <v/>
      </c>
      <c r="E1044" s="172">
        <f>IFERROR(VALUE(SUBSTITUTE(INDEX('04A_국토부원자료'!$A:$T,ROW()+1,MATCH("전용면적(㎡)",'04A_국토부원자료'!$A$4:$T$4,0)),",","")),"")</f>
        <v/>
      </c>
      <c r="F10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44" s="51">
        <f>IFERROR(VALUE(SUBSTITUTE(INDEX('04A_국토부원자료'!$A:$T,ROW()+1,MATCH("거래금액(만원)",'04A_국토부원자료'!$A$4:$T$4,0)),",","")),"")</f>
        <v/>
      </c>
      <c r="H1044" s="174">
        <f>IF(G1044="","",G1044*10000)</f>
        <v/>
      </c>
      <c r="I1044" s="174">
        <f>IFERROR(IF(AND(H1044&gt;0,E1044&gt;0),H1044/E1044,""),"")</f>
        <v/>
      </c>
      <c r="J1044" s="152">
        <f>IFERROR(VALUE(SUBSTITUTE(INDEX('04A_국토부원자료'!$A:$T,ROW()+1,MATCH("층",'04A_국토부원자료'!$A$4:$T$4,0)),",","")),"")</f>
        <v/>
      </c>
      <c r="K1044" s="152">
        <f>IFERROR(VALUE(SUBSTITUTE(INDEX('04A_국토부원자료'!$A:$T,ROW()+1,MATCH("건축년도",'04A_국토부원자료'!$A$4:$T$4,0)),",","")),"")</f>
        <v/>
      </c>
      <c r="L1044" s="176">
        <f>IFERROR(INDEX('04A_국토부원자료'!$A:$T,ROW()+1,MATCH("도로명",'04A_국토부원자료'!$A$4:$T$4,0)),"")</f>
        <v/>
      </c>
      <c r="M1044" s="48">
        <f>IFERROR(INDEX('04A_국토부원자료'!$A:$T,ROW()+1,MATCH("거래유형",'04A_국토부원자료'!$A$4:$T$4,0)),"")</f>
        <v/>
      </c>
      <c r="N1044" s="152">
        <f>IF(B1044="","",IF('02_대상물건입력'!B5="",1,IF(ISNUMBER(SEARCH('02_대상물건입력'!B5,B1044)),1,0)))</f>
        <v/>
      </c>
      <c r="O1044" s="152">
        <f>IF(B1044="","",IF('02_대상물건입력'!B6="",1,IF(ISNUMBER(SEARCH('02_대상물건입력'!B6,B1044)),1,0)))</f>
        <v/>
      </c>
      <c r="P1044" s="152">
        <f>IF(L1044="","",IF('02_대상물건입력'!B15="",0,IF(ISNUMBER(SEARCH('02_대상물건입력'!B15,L1044)),1,0)))</f>
        <v/>
      </c>
      <c r="Q1044" s="152">
        <f>IF(OR(C1044="",L1044=""),0,IF(AND(TRIM(C1044)=TRIM(RIGHT(SUBSTITUTE(TRIM('02_대상물건입력'!$B$7)," ",REPT(" ",99)),99)),IF('02_대상물건입력'!B15="",TRUE(),ISNUMBER(SEARCH('02_대상물건입력'!B15,L1044)))),1,0))</f>
        <v/>
      </c>
      <c r="R1044" s="175">
        <f>IFERROR(ABS(E1044-'02_대상물건입력'!B11)/'02_대상물건입력'!B11,"")</f>
        <v/>
      </c>
      <c r="S1044" s="152">
        <f>IFERROR(ABS(J1044-'02_대상물건입력'!B10),"")</f>
        <v/>
      </c>
      <c r="T1044" s="152">
        <f>IFERROR(ABS('01_설정'!B4-F1044),"")</f>
        <v/>
      </c>
      <c r="U1044" s="152">
        <f>IFERROR(ABS(K1044-YEAR('02_대상물건입력'!B14)),"")</f>
        <v/>
      </c>
      <c r="V1044" s="152">
        <f>IF(B1044="","",IF(AND(E1044&gt;0,F1044&gt;0,H1044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1044=1,TRUE()),R1044&lt;='01_설정'!B5,S1044&lt;='01_설정'!B6,T1044&lt;='01_설정'!B7,U1044&lt;='01_설정'!B8),"Y",""))</f>
        <v/>
      </c>
      <c r="W1044" s="172">
        <f>IF(V1044&lt;&gt;"Y","",MAX(0,(1-R1044/'01_설정'!B5))*'01_설정'!B14+MAX(0,(1-S1044/'01_설정'!B6))*'01_설정'!B15+MAX(0,(1-T1044/'01_설정'!B7))*'01_설정'!B16+MAX(0,(1-U1044/'01_설정'!B8))*'01_설정'!B17+O1044*'01_설정'!B11+Q1044*'01_설정'!B12+P1044*'01_설정'!B13+IF(Z1044="",0,Z1044))</f>
        <v/>
      </c>
      <c r="X1044" s="152">
        <f>IF(W1044="","",1+COUNTIFS($W$4:$W$3003,"&gt;"&amp;W1044)+COUNTIFS($W$4:W1044,W1044)-1)</f>
        <v/>
      </c>
      <c r="Y1044" s="175">
        <f>IF(OR(I1044="",'02_대상물건입력'!B19="",'02_대상물건입력'!B19&lt;=0),"",ABS(I1044-'02_대상물건입력'!B19)/'02_대상물건입력'!B19)</f>
        <v/>
      </c>
      <c r="Z1044" s="172">
        <f>IF(OR(Y1044="",'01_설정'!B31="",'01_설정'!B31&lt;=0,'01_설정'!B32="",'01_설정'!B32&lt;=0),"",MAX(0,(1-Y1044/'01_설정'!B32))*'01_설정'!B31)</f>
        <v/>
      </c>
    </row>
    <row r="1045" ht="17.25" customHeight="1">
      <c r="A1045" s="152">
        <f>IF(INDEX('04A_국토부원자료'!$A:$A,ROW()+1)="","",ROW()-3)</f>
        <v/>
      </c>
      <c r="B1045" s="48">
        <f>IFERROR(INDEX('04A_국토부원자료'!$A:$T,ROW()+1,MATCH("시군구",'04A_국토부원자료'!$A$4:$T$4,0)),"")</f>
        <v/>
      </c>
      <c r="C1045" s="48">
        <f>IF(B1045="","",IFERROR(INDEX('04A_국토부원자료'!$A:$T,ROW()+1,MATCH("번지",'04A_국토부원자료'!$A$4:$T$4,0)),""))</f>
        <v/>
      </c>
      <c r="D1045" s="48">
        <f>IF(B1045="","",IF(Q1045=1,'02_대상물건입력'!$B$8,IFERROR(INDEX('04A_국토부원자료'!$A:$T,ROW()+1,MATCH("단지명",'04A_국토부원자료'!$A$4:$T$4,0)),"")))</f>
        <v/>
      </c>
      <c r="E1045" s="172">
        <f>IFERROR(VALUE(SUBSTITUTE(INDEX('04A_국토부원자료'!$A:$T,ROW()+1,MATCH("전용면적(㎡)",'04A_국토부원자료'!$A$4:$T$4,0)),",","")),"")</f>
        <v/>
      </c>
      <c r="F10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45" s="51">
        <f>IFERROR(VALUE(SUBSTITUTE(INDEX('04A_국토부원자료'!$A:$T,ROW()+1,MATCH("거래금액(만원)",'04A_국토부원자료'!$A$4:$T$4,0)),",","")),"")</f>
        <v/>
      </c>
      <c r="H1045" s="174">
        <f>IF(G1045="","",G1045*10000)</f>
        <v/>
      </c>
      <c r="I1045" s="174">
        <f>IFERROR(IF(AND(H1045&gt;0,E1045&gt;0),H1045/E1045,""),"")</f>
        <v/>
      </c>
      <c r="J1045" s="152">
        <f>IFERROR(VALUE(SUBSTITUTE(INDEX('04A_국토부원자료'!$A:$T,ROW()+1,MATCH("층",'04A_국토부원자료'!$A$4:$T$4,0)),",","")),"")</f>
        <v/>
      </c>
      <c r="K1045" s="152">
        <f>IFERROR(VALUE(SUBSTITUTE(INDEX('04A_국토부원자료'!$A:$T,ROW()+1,MATCH("건축년도",'04A_국토부원자료'!$A$4:$T$4,0)),",","")),"")</f>
        <v/>
      </c>
      <c r="L1045" s="176">
        <f>IFERROR(INDEX('04A_국토부원자료'!$A:$T,ROW()+1,MATCH("도로명",'04A_국토부원자료'!$A$4:$T$4,0)),"")</f>
        <v/>
      </c>
      <c r="M1045" s="48">
        <f>IFERROR(INDEX('04A_국토부원자료'!$A:$T,ROW()+1,MATCH("거래유형",'04A_국토부원자료'!$A$4:$T$4,0)),"")</f>
        <v/>
      </c>
      <c r="N1045" s="152">
        <f>IF(B1045="","",IF('02_대상물건입력'!B5="",1,IF(ISNUMBER(SEARCH('02_대상물건입력'!B5,B1045)),1,0)))</f>
        <v/>
      </c>
      <c r="O1045" s="152">
        <f>IF(B1045="","",IF('02_대상물건입력'!B6="",1,IF(ISNUMBER(SEARCH('02_대상물건입력'!B6,B1045)),1,0)))</f>
        <v/>
      </c>
      <c r="P1045" s="152">
        <f>IF(L1045="","",IF('02_대상물건입력'!B15="",0,IF(ISNUMBER(SEARCH('02_대상물건입력'!B15,L1045)),1,0)))</f>
        <v/>
      </c>
      <c r="Q1045" s="152">
        <f>IF(OR(C1045="",L1045=""),0,IF(AND(TRIM(C1045)=TRIM(RIGHT(SUBSTITUTE(TRIM('02_대상물건입력'!$B$7)," ",REPT(" ",99)),99)),IF('02_대상물건입력'!B15="",TRUE(),ISNUMBER(SEARCH('02_대상물건입력'!B15,L1045)))),1,0))</f>
        <v/>
      </c>
      <c r="R1045" s="175">
        <f>IFERROR(ABS(E1045-'02_대상물건입력'!B11)/'02_대상물건입력'!B11,"")</f>
        <v/>
      </c>
      <c r="S1045" s="152">
        <f>IFERROR(ABS(J1045-'02_대상물건입력'!B10),"")</f>
        <v/>
      </c>
      <c r="T1045" s="152">
        <f>IFERROR(ABS('01_설정'!B4-F1045),"")</f>
        <v/>
      </c>
      <c r="U1045" s="152">
        <f>IFERROR(ABS(K1045-YEAR('02_대상물건입력'!B14)),"")</f>
        <v/>
      </c>
      <c r="V1045" s="152">
        <f>IF(B1045="","",IF(AND(E1045&gt;0,F1045&gt;0,H1045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1045=1,TRUE()),R1045&lt;='01_설정'!B5,S1045&lt;='01_설정'!B6,T1045&lt;='01_설정'!B7,U1045&lt;='01_설정'!B8),"Y",""))</f>
        <v/>
      </c>
      <c r="W1045" s="172">
        <f>IF(V1045&lt;&gt;"Y","",MAX(0,(1-R1045/'01_설정'!B5))*'01_설정'!B14+MAX(0,(1-S1045/'01_설정'!B6))*'01_설정'!B15+MAX(0,(1-T1045/'01_설정'!B7))*'01_설정'!B16+MAX(0,(1-U1045/'01_설정'!B8))*'01_설정'!B17+O1045*'01_설정'!B11+Q1045*'01_설정'!B12+P1045*'01_설정'!B13+IF(Z1045="",0,Z1045))</f>
        <v/>
      </c>
      <c r="X1045" s="152">
        <f>IF(W1045="","",1+COUNTIFS($W$4:$W$3003,"&gt;"&amp;W1045)+COUNTIFS($W$4:W1045,W1045)-1)</f>
        <v/>
      </c>
      <c r="Y1045" s="175">
        <f>IF(OR(I1045="",'02_대상물건입력'!B19="",'02_대상물건입력'!B19&lt;=0),"",ABS(I1045-'02_대상물건입력'!B19)/'02_대상물건입력'!B19)</f>
        <v/>
      </c>
      <c r="Z1045" s="172">
        <f>IF(OR(Y1045="",'01_설정'!B31="",'01_설정'!B31&lt;=0,'01_설정'!B32="",'01_설정'!B32&lt;=0),"",MAX(0,(1-Y1045/'01_설정'!B32))*'01_설정'!B31)</f>
        <v/>
      </c>
    </row>
    <row r="1046" ht="17.25" customHeight="1">
      <c r="A1046" s="152">
        <f>IF(INDEX('04A_국토부원자료'!$A:$A,ROW()+1)="","",ROW()-3)</f>
        <v/>
      </c>
      <c r="B1046" s="48">
        <f>IFERROR(INDEX('04A_국토부원자료'!$A:$T,ROW()+1,MATCH("시군구",'04A_국토부원자료'!$A$4:$T$4,0)),"")</f>
        <v/>
      </c>
      <c r="C1046" s="48">
        <f>IF(B1046="","",IFERROR(INDEX('04A_국토부원자료'!$A:$T,ROW()+1,MATCH("번지",'04A_국토부원자료'!$A$4:$T$4,0)),""))</f>
        <v/>
      </c>
      <c r="D1046" s="48">
        <f>IF(B1046="","",IF(Q1046=1,'02_대상물건입력'!$B$8,IFERROR(INDEX('04A_국토부원자료'!$A:$T,ROW()+1,MATCH("단지명",'04A_국토부원자료'!$A$4:$T$4,0)),"")))</f>
        <v/>
      </c>
      <c r="E1046" s="172">
        <f>IFERROR(VALUE(SUBSTITUTE(INDEX('04A_국토부원자료'!$A:$T,ROW()+1,MATCH("전용면적(㎡)",'04A_국토부원자료'!$A$4:$T$4,0)),",","")),"")</f>
        <v/>
      </c>
      <c r="F10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46" s="51">
        <f>IFERROR(VALUE(SUBSTITUTE(INDEX('04A_국토부원자료'!$A:$T,ROW()+1,MATCH("거래금액(만원)",'04A_국토부원자료'!$A$4:$T$4,0)),",","")),"")</f>
        <v/>
      </c>
      <c r="H1046" s="174">
        <f>IF(G1046="","",G1046*10000)</f>
        <v/>
      </c>
      <c r="I1046" s="174">
        <f>IFERROR(IF(AND(H1046&gt;0,E1046&gt;0),H1046/E1046,""),"")</f>
        <v/>
      </c>
      <c r="J1046" s="152">
        <f>IFERROR(VALUE(SUBSTITUTE(INDEX('04A_국토부원자료'!$A:$T,ROW()+1,MATCH("층",'04A_국토부원자료'!$A$4:$T$4,0)),",","")),"")</f>
        <v/>
      </c>
      <c r="K1046" s="152">
        <f>IFERROR(VALUE(SUBSTITUTE(INDEX('04A_국토부원자료'!$A:$T,ROW()+1,MATCH("건축년도",'04A_국토부원자료'!$A$4:$T$4,0)),",","")),"")</f>
        <v/>
      </c>
      <c r="L1046" s="176">
        <f>IFERROR(INDEX('04A_국토부원자료'!$A:$T,ROW()+1,MATCH("도로명",'04A_국토부원자료'!$A$4:$T$4,0)),"")</f>
        <v/>
      </c>
      <c r="M1046" s="48">
        <f>IFERROR(INDEX('04A_국토부원자료'!$A:$T,ROW()+1,MATCH("거래유형",'04A_국토부원자료'!$A$4:$T$4,0)),"")</f>
        <v/>
      </c>
      <c r="N1046" s="152">
        <f>IF(B1046="","",IF('02_대상물건입력'!B5="",1,IF(ISNUMBER(SEARCH('02_대상물건입력'!B5,B1046)),1,0)))</f>
        <v/>
      </c>
      <c r="O1046" s="152">
        <f>IF(B1046="","",IF('02_대상물건입력'!B6="",1,IF(ISNUMBER(SEARCH('02_대상물건입력'!B6,B1046)),1,0)))</f>
        <v/>
      </c>
      <c r="P1046" s="152">
        <f>IF(L1046="","",IF('02_대상물건입력'!B15="",0,IF(ISNUMBER(SEARCH('02_대상물건입력'!B15,L1046)),1,0)))</f>
        <v/>
      </c>
      <c r="Q1046" s="152">
        <f>IF(OR(C1046="",L1046=""),0,IF(AND(TRIM(C1046)=TRIM(RIGHT(SUBSTITUTE(TRIM('02_대상물건입력'!$B$7)," ",REPT(" ",99)),99)),IF('02_대상물건입력'!B15="",TRUE(),ISNUMBER(SEARCH('02_대상물건입력'!B15,L1046)))),1,0))</f>
        <v/>
      </c>
      <c r="R1046" s="175">
        <f>IFERROR(ABS(E1046-'02_대상물건입력'!B11)/'02_대상물건입력'!B11,"")</f>
        <v/>
      </c>
      <c r="S1046" s="152">
        <f>IFERROR(ABS(J1046-'02_대상물건입력'!B10),"")</f>
        <v/>
      </c>
      <c r="T1046" s="152">
        <f>IFERROR(ABS('01_설정'!B4-F1046),"")</f>
        <v/>
      </c>
      <c r="U1046" s="152">
        <f>IFERROR(ABS(K1046-YEAR('02_대상물건입력'!B14)),"")</f>
        <v/>
      </c>
      <c r="V1046" s="152">
        <f>IF(B1046="","",IF(AND(E1046&gt;0,F1046&gt;0,H1046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1046=1,TRUE()),R1046&lt;='01_설정'!B5,S1046&lt;='01_설정'!B6,T1046&lt;='01_설정'!B7,U1046&lt;='01_설정'!B8),"Y",""))</f>
        <v/>
      </c>
      <c r="W1046" s="172">
        <f>IF(V1046&lt;&gt;"Y","",MAX(0,(1-R1046/'01_설정'!B5))*'01_설정'!B14+MAX(0,(1-S1046/'01_설정'!B6))*'01_설정'!B15+MAX(0,(1-T1046/'01_설정'!B7))*'01_설정'!B16+MAX(0,(1-U1046/'01_설정'!B8))*'01_설정'!B17+O1046*'01_설정'!B11+Q1046*'01_설정'!B12+P1046*'01_설정'!B13+IF(Z1046="",0,Z1046))</f>
        <v/>
      </c>
      <c r="X1046" s="152">
        <f>IF(W1046="","",1+COUNTIFS($W$4:$W$3003,"&gt;"&amp;W1046)+COUNTIFS($W$4:W1046,W1046)-1)</f>
        <v/>
      </c>
      <c r="Y1046" s="175">
        <f>IF(OR(I1046="",'02_대상물건입력'!B19="",'02_대상물건입력'!B19&lt;=0),"",ABS(I1046-'02_대상물건입력'!B19)/'02_대상물건입력'!B19)</f>
        <v/>
      </c>
      <c r="Z1046" s="172">
        <f>IF(OR(Y1046="",'01_설정'!B31="",'01_설정'!B31&lt;=0,'01_설정'!B32="",'01_설정'!B32&lt;=0),"",MAX(0,(1-Y1046/'01_설정'!B32))*'01_설정'!B31)</f>
        <v/>
      </c>
    </row>
    <row r="1047" ht="17.25" customHeight="1">
      <c r="A1047" s="152">
        <f>IF(INDEX('04A_국토부원자료'!$A:$A,ROW()+1)="","",ROW()-3)</f>
        <v/>
      </c>
      <c r="B1047" s="48">
        <f>IFERROR(INDEX('04A_국토부원자료'!$A:$T,ROW()+1,MATCH("시군구",'04A_국토부원자료'!$A$4:$T$4,0)),"")</f>
        <v/>
      </c>
      <c r="C1047" s="48">
        <f>IF(B1047="","",IFERROR(INDEX('04A_국토부원자료'!$A:$T,ROW()+1,MATCH("번지",'04A_국토부원자료'!$A$4:$T$4,0)),""))</f>
        <v/>
      </c>
      <c r="D1047" s="48">
        <f>IF(B1047="","",IF(Q1047=1,'02_대상물건입력'!$B$8,IFERROR(INDEX('04A_국토부원자료'!$A:$T,ROW()+1,MATCH("단지명",'04A_국토부원자료'!$A$4:$T$4,0)),"")))</f>
        <v/>
      </c>
      <c r="E1047" s="172">
        <f>IFERROR(VALUE(SUBSTITUTE(INDEX('04A_국토부원자료'!$A:$T,ROW()+1,MATCH("전용면적(㎡)",'04A_국토부원자료'!$A$4:$T$4,0)),",","")),"")</f>
        <v/>
      </c>
      <c r="F10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47" s="51">
        <f>IFERROR(VALUE(SUBSTITUTE(INDEX('04A_국토부원자료'!$A:$T,ROW()+1,MATCH("거래금액(만원)",'04A_국토부원자료'!$A$4:$T$4,0)),",","")),"")</f>
        <v/>
      </c>
      <c r="H1047" s="174">
        <f>IF(G1047="","",G1047*10000)</f>
        <v/>
      </c>
      <c r="I1047" s="174">
        <f>IFERROR(IF(AND(H1047&gt;0,E1047&gt;0),H1047/E1047,""),"")</f>
        <v/>
      </c>
      <c r="J1047" s="152">
        <f>IFERROR(VALUE(SUBSTITUTE(INDEX('04A_국토부원자료'!$A:$T,ROW()+1,MATCH("층",'04A_국토부원자료'!$A$4:$T$4,0)),",","")),"")</f>
        <v/>
      </c>
      <c r="K1047" s="152">
        <f>IFERROR(VALUE(SUBSTITUTE(INDEX('04A_국토부원자료'!$A:$T,ROW()+1,MATCH("건축년도",'04A_국토부원자료'!$A$4:$T$4,0)),",","")),"")</f>
        <v/>
      </c>
      <c r="L1047" s="176">
        <f>IFERROR(INDEX('04A_국토부원자료'!$A:$T,ROW()+1,MATCH("도로명",'04A_국토부원자료'!$A$4:$T$4,0)),"")</f>
        <v/>
      </c>
      <c r="M1047" s="48">
        <f>IFERROR(INDEX('04A_국토부원자료'!$A:$T,ROW()+1,MATCH("거래유형",'04A_국토부원자료'!$A$4:$T$4,0)),"")</f>
        <v/>
      </c>
      <c r="N1047" s="152">
        <f>IF(B1047="","",IF('02_대상물건입력'!B5="",1,IF(ISNUMBER(SEARCH('02_대상물건입력'!B5,B1047)),1,0)))</f>
        <v/>
      </c>
      <c r="O1047" s="152">
        <f>IF(B1047="","",IF('02_대상물건입력'!B6="",1,IF(ISNUMBER(SEARCH('02_대상물건입력'!B6,B1047)),1,0)))</f>
        <v/>
      </c>
      <c r="P1047" s="152">
        <f>IF(L1047="","",IF('02_대상물건입력'!B15="",0,IF(ISNUMBER(SEARCH('02_대상물건입력'!B15,L1047)),1,0)))</f>
        <v/>
      </c>
      <c r="Q1047" s="152">
        <f>IF(OR(C1047="",L1047=""),0,IF(AND(TRIM(C1047)=TRIM(RIGHT(SUBSTITUTE(TRIM('02_대상물건입력'!$B$7)," ",REPT(" ",99)),99)),IF('02_대상물건입력'!B15="",TRUE(),ISNUMBER(SEARCH('02_대상물건입력'!B15,L1047)))),1,0))</f>
        <v/>
      </c>
      <c r="R1047" s="175">
        <f>IFERROR(ABS(E1047-'02_대상물건입력'!B11)/'02_대상물건입력'!B11,"")</f>
        <v/>
      </c>
      <c r="S1047" s="152">
        <f>IFERROR(ABS(J1047-'02_대상물건입력'!B10),"")</f>
        <v/>
      </c>
      <c r="T1047" s="152">
        <f>IFERROR(ABS('01_설정'!B4-F1047),"")</f>
        <v/>
      </c>
      <c r="U1047" s="152">
        <f>IFERROR(ABS(K1047-YEAR('02_대상물건입력'!B14)),"")</f>
        <v/>
      </c>
      <c r="V1047" s="152">
        <f>IF(B1047="","",IF(AND(E1047&gt;0,F1047&gt;0,H1047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1047=1,TRUE()),R1047&lt;='01_설정'!B5,S1047&lt;='01_설정'!B6,T1047&lt;='01_설정'!B7,U1047&lt;='01_설정'!B8),"Y",""))</f>
        <v/>
      </c>
      <c r="W1047" s="172">
        <f>IF(V1047&lt;&gt;"Y","",MAX(0,(1-R1047/'01_설정'!B5))*'01_설정'!B14+MAX(0,(1-S1047/'01_설정'!B6))*'01_설정'!B15+MAX(0,(1-T1047/'01_설정'!B7))*'01_설정'!B16+MAX(0,(1-U1047/'01_설정'!B8))*'01_설정'!B17+O1047*'01_설정'!B11+Q1047*'01_설정'!B12+P1047*'01_설정'!B13+IF(Z1047="",0,Z1047))</f>
        <v/>
      </c>
      <c r="X1047" s="152">
        <f>IF(W1047="","",1+COUNTIFS($W$4:$W$3003,"&gt;"&amp;W1047)+COUNTIFS($W$4:W1047,W1047)-1)</f>
        <v/>
      </c>
      <c r="Y1047" s="175">
        <f>IF(OR(I1047="",'02_대상물건입력'!B19="",'02_대상물건입력'!B19&lt;=0),"",ABS(I1047-'02_대상물건입력'!B19)/'02_대상물건입력'!B19)</f>
        <v/>
      </c>
      <c r="Z1047" s="172">
        <f>IF(OR(Y1047="",'01_설정'!B31="",'01_설정'!B31&lt;=0,'01_설정'!B32="",'01_설정'!B32&lt;=0),"",MAX(0,(1-Y1047/'01_설정'!B32))*'01_설정'!B31)</f>
        <v/>
      </c>
    </row>
    <row r="1048" ht="17.25" customHeight="1">
      <c r="A1048" s="152">
        <f>IF(INDEX('04A_국토부원자료'!$A:$A,ROW()+1)="","",ROW()-3)</f>
        <v/>
      </c>
      <c r="B1048" s="48">
        <f>IFERROR(INDEX('04A_국토부원자료'!$A:$T,ROW()+1,MATCH("시군구",'04A_국토부원자료'!$A$4:$T$4,0)),"")</f>
        <v/>
      </c>
      <c r="C1048" s="48">
        <f>IF(B1048="","",IFERROR(INDEX('04A_국토부원자료'!$A:$T,ROW()+1,MATCH("번지",'04A_국토부원자료'!$A$4:$T$4,0)),""))</f>
        <v/>
      </c>
      <c r="D1048" s="48">
        <f>IF(B1048="","",IF(Q1048=1,'02_대상물건입력'!$B$8,IFERROR(INDEX('04A_국토부원자료'!$A:$T,ROW()+1,MATCH("단지명",'04A_국토부원자료'!$A$4:$T$4,0)),"")))</f>
        <v/>
      </c>
      <c r="E1048" s="172">
        <f>IFERROR(VALUE(SUBSTITUTE(INDEX('04A_국토부원자료'!$A:$T,ROW()+1,MATCH("전용면적(㎡)",'04A_국토부원자료'!$A$4:$T$4,0)),",","")),"")</f>
        <v/>
      </c>
      <c r="F10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48" s="51">
        <f>IFERROR(VALUE(SUBSTITUTE(INDEX('04A_국토부원자료'!$A:$T,ROW()+1,MATCH("거래금액(만원)",'04A_국토부원자료'!$A$4:$T$4,0)),",","")),"")</f>
        <v/>
      </c>
      <c r="H1048" s="174">
        <f>IF(G1048="","",G1048*10000)</f>
        <v/>
      </c>
      <c r="I1048" s="174">
        <f>IFERROR(IF(AND(H1048&gt;0,E1048&gt;0),H1048/E1048,""),"")</f>
        <v/>
      </c>
      <c r="J1048" s="152">
        <f>IFERROR(VALUE(SUBSTITUTE(INDEX('04A_국토부원자료'!$A:$T,ROW()+1,MATCH("층",'04A_국토부원자료'!$A$4:$T$4,0)),",","")),"")</f>
        <v/>
      </c>
      <c r="K1048" s="152">
        <f>IFERROR(VALUE(SUBSTITUTE(INDEX('04A_국토부원자료'!$A:$T,ROW()+1,MATCH("건축년도",'04A_국토부원자료'!$A$4:$T$4,0)),",","")),"")</f>
        <v/>
      </c>
      <c r="L1048" s="176">
        <f>IFERROR(INDEX('04A_국토부원자료'!$A:$T,ROW()+1,MATCH("도로명",'04A_국토부원자료'!$A$4:$T$4,0)),"")</f>
        <v/>
      </c>
      <c r="M1048" s="48">
        <f>IFERROR(INDEX('04A_국토부원자료'!$A:$T,ROW()+1,MATCH("거래유형",'04A_국토부원자료'!$A$4:$T$4,0)),"")</f>
        <v/>
      </c>
      <c r="N1048" s="152">
        <f>IF(B1048="","",IF('02_대상물건입력'!B5="",1,IF(ISNUMBER(SEARCH('02_대상물건입력'!B5,B1048)),1,0)))</f>
        <v/>
      </c>
      <c r="O1048" s="152">
        <f>IF(B1048="","",IF('02_대상물건입력'!B6="",1,IF(ISNUMBER(SEARCH('02_대상물건입력'!B6,B1048)),1,0)))</f>
        <v/>
      </c>
      <c r="P1048" s="152">
        <f>IF(L1048="","",IF('02_대상물건입력'!B15="",0,IF(ISNUMBER(SEARCH('02_대상물건입력'!B15,L1048)),1,0)))</f>
        <v/>
      </c>
      <c r="Q1048" s="152">
        <f>IF(OR(C1048="",L1048=""),0,IF(AND(TRIM(C1048)=TRIM(RIGHT(SUBSTITUTE(TRIM('02_대상물건입력'!$B$7)," ",REPT(" ",99)),99)),IF('02_대상물건입력'!B15="",TRUE(),ISNUMBER(SEARCH('02_대상물건입력'!B15,L1048)))),1,0))</f>
        <v/>
      </c>
      <c r="R1048" s="175">
        <f>IFERROR(ABS(E1048-'02_대상물건입력'!B11)/'02_대상물건입력'!B11,"")</f>
        <v/>
      </c>
      <c r="S1048" s="152">
        <f>IFERROR(ABS(J1048-'02_대상물건입력'!B10),"")</f>
        <v/>
      </c>
      <c r="T1048" s="152">
        <f>IFERROR(ABS('01_설정'!B4-F1048),"")</f>
        <v/>
      </c>
      <c r="U1048" s="152">
        <f>IFERROR(ABS(K1048-YEAR('02_대상물건입력'!B14)),"")</f>
        <v/>
      </c>
      <c r="V1048" s="152">
        <f>IF(B1048="","",IF(AND(E1048&gt;0,F1048&gt;0,H1048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1048=1,TRUE()),R1048&lt;='01_설정'!B5,S1048&lt;='01_설정'!B6,T1048&lt;='01_설정'!B7,U1048&lt;='01_설정'!B8),"Y",""))</f>
        <v/>
      </c>
      <c r="W1048" s="172">
        <f>IF(V1048&lt;&gt;"Y","",MAX(0,(1-R1048/'01_설정'!B5))*'01_설정'!B14+MAX(0,(1-S1048/'01_설정'!B6))*'01_설정'!B15+MAX(0,(1-T1048/'01_설정'!B7))*'01_설정'!B16+MAX(0,(1-U1048/'01_설정'!B8))*'01_설정'!B17+O1048*'01_설정'!B11+Q1048*'01_설정'!B12+P1048*'01_설정'!B13+IF(Z1048="",0,Z1048))</f>
        <v/>
      </c>
      <c r="X1048" s="152">
        <f>IF(W1048="","",1+COUNTIFS($W$4:$W$3003,"&gt;"&amp;W1048)+COUNTIFS($W$4:W1048,W1048)-1)</f>
        <v/>
      </c>
      <c r="Y1048" s="175">
        <f>IF(OR(I1048="",'02_대상물건입력'!B19="",'02_대상물건입력'!B19&lt;=0),"",ABS(I1048-'02_대상물건입력'!B19)/'02_대상물건입력'!B19)</f>
        <v/>
      </c>
      <c r="Z1048" s="172">
        <f>IF(OR(Y1048="",'01_설정'!B31="",'01_설정'!B31&lt;=0,'01_설정'!B32="",'01_설정'!B32&lt;=0),"",MAX(0,(1-Y1048/'01_설정'!B32))*'01_설정'!B31)</f>
        <v/>
      </c>
    </row>
    <row r="1049" ht="17.25" customHeight="1">
      <c r="A1049" s="152">
        <f>IF(INDEX('04A_국토부원자료'!$A:$A,ROW()+1)="","",ROW()-3)</f>
        <v/>
      </c>
      <c r="B1049" s="48">
        <f>IFERROR(INDEX('04A_국토부원자료'!$A:$T,ROW()+1,MATCH("시군구",'04A_국토부원자료'!$A$4:$T$4,0)),"")</f>
        <v/>
      </c>
      <c r="C1049" s="48">
        <f>IF(B1049="","",IFERROR(INDEX('04A_국토부원자료'!$A:$T,ROW()+1,MATCH("번지",'04A_국토부원자료'!$A$4:$T$4,0)),""))</f>
        <v/>
      </c>
      <c r="D1049" s="48">
        <f>IF(B1049="","",IF(Q1049=1,'02_대상물건입력'!$B$8,IFERROR(INDEX('04A_국토부원자료'!$A:$T,ROW()+1,MATCH("단지명",'04A_국토부원자료'!$A$4:$T$4,0)),"")))</f>
        <v/>
      </c>
      <c r="E1049" s="172">
        <f>IFERROR(VALUE(SUBSTITUTE(INDEX('04A_국토부원자료'!$A:$T,ROW()+1,MATCH("전용면적(㎡)",'04A_국토부원자료'!$A$4:$T$4,0)),",","")),"")</f>
        <v/>
      </c>
      <c r="F10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49" s="51">
        <f>IFERROR(VALUE(SUBSTITUTE(INDEX('04A_국토부원자료'!$A:$T,ROW()+1,MATCH("거래금액(만원)",'04A_국토부원자료'!$A$4:$T$4,0)),",","")),"")</f>
        <v/>
      </c>
      <c r="H1049" s="174">
        <f>IF(G1049="","",G1049*10000)</f>
        <v/>
      </c>
      <c r="I1049" s="174">
        <f>IFERROR(IF(AND(H1049&gt;0,E1049&gt;0),H1049/E1049,""),"")</f>
        <v/>
      </c>
      <c r="J1049" s="152">
        <f>IFERROR(VALUE(SUBSTITUTE(INDEX('04A_국토부원자료'!$A:$T,ROW()+1,MATCH("층",'04A_국토부원자료'!$A$4:$T$4,0)),",","")),"")</f>
        <v/>
      </c>
      <c r="K1049" s="152">
        <f>IFERROR(VALUE(SUBSTITUTE(INDEX('04A_국토부원자료'!$A:$T,ROW()+1,MATCH("건축년도",'04A_국토부원자료'!$A$4:$T$4,0)),",","")),"")</f>
        <v/>
      </c>
      <c r="L1049" s="176">
        <f>IFERROR(INDEX('04A_국토부원자료'!$A:$T,ROW()+1,MATCH("도로명",'04A_국토부원자료'!$A$4:$T$4,0)),"")</f>
        <v/>
      </c>
      <c r="M1049" s="48">
        <f>IFERROR(INDEX('04A_국토부원자료'!$A:$T,ROW()+1,MATCH("거래유형",'04A_국토부원자료'!$A$4:$T$4,0)),"")</f>
        <v/>
      </c>
      <c r="N1049" s="152">
        <f>IF(B1049="","",IF('02_대상물건입력'!B5="",1,IF(ISNUMBER(SEARCH('02_대상물건입력'!B5,B1049)),1,0)))</f>
        <v/>
      </c>
      <c r="O1049" s="152">
        <f>IF(B1049="","",IF('02_대상물건입력'!B6="",1,IF(ISNUMBER(SEARCH('02_대상물건입력'!B6,B1049)),1,0)))</f>
        <v/>
      </c>
      <c r="P1049" s="152">
        <f>IF(L1049="","",IF('02_대상물건입력'!B15="",0,IF(ISNUMBER(SEARCH('02_대상물건입력'!B15,L1049)),1,0)))</f>
        <v/>
      </c>
      <c r="Q1049" s="152">
        <f>IF(OR(C1049="",L1049=""),0,IF(AND(TRIM(C1049)=TRIM(RIGHT(SUBSTITUTE(TRIM('02_대상물건입력'!$B$7)," ",REPT(" ",99)),99)),IF('02_대상물건입력'!B15="",TRUE(),ISNUMBER(SEARCH('02_대상물건입력'!B15,L1049)))),1,0))</f>
        <v/>
      </c>
      <c r="R1049" s="175">
        <f>IFERROR(ABS(E1049-'02_대상물건입력'!B11)/'02_대상물건입력'!B11,"")</f>
        <v/>
      </c>
      <c r="S1049" s="152">
        <f>IFERROR(ABS(J1049-'02_대상물건입력'!B10),"")</f>
        <v/>
      </c>
      <c r="T1049" s="152">
        <f>IFERROR(ABS('01_설정'!B4-F1049),"")</f>
        <v/>
      </c>
      <c r="U1049" s="152">
        <f>IFERROR(ABS(K1049-YEAR('02_대상물건입력'!B14)),"")</f>
        <v/>
      </c>
      <c r="V1049" s="152">
        <f>IF(B1049="","",IF(AND(E1049&gt;0,F1049&gt;0,H1049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1049=1,TRUE()),R1049&lt;='01_설정'!B5,S1049&lt;='01_설정'!B6,T1049&lt;='01_설정'!B7,U1049&lt;='01_설정'!B8),"Y",""))</f>
        <v/>
      </c>
      <c r="W1049" s="172">
        <f>IF(V1049&lt;&gt;"Y","",MAX(0,(1-R1049/'01_설정'!B5))*'01_설정'!B14+MAX(0,(1-S1049/'01_설정'!B6))*'01_설정'!B15+MAX(0,(1-T1049/'01_설정'!B7))*'01_설정'!B16+MAX(0,(1-U1049/'01_설정'!B8))*'01_설정'!B17+O1049*'01_설정'!B11+Q1049*'01_설정'!B12+P1049*'01_설정'!B13+IF(Z1049="",0,Z1049))</f>
        <v/>
      </c>
      <c r="X1049" s="152">
        <f>IF(W1049="","",1+COUNTIFS($W$4:$W$3003,"&gt;"&amp;W1049)+COUNTIFS($W$4:W1049,W1049)-1)</f>
        <v/>
      </c>
      <c r="Y1049" s="175">
        <f>IF(OR(I1049="",'02_대상물건입력'!B19="",'02_대상물건입력'!B19&lt;=0),"",ABS(I1049-'02_대상물건입력'!B19)/'02_대상물건입력'!B19)</f>
        <v/>
      </c>
      <c r="Z1049" s="172">
        <f>IF(OR(Y1049="",'01_설정'!B31="",'01_설정'!B31&lt;=0,'01_설정'!B32="",'01_설정'!B32&lt;=0),"",MAX(0,(1-Y1049/'01_설정'!B32))*'01_설정'!B31)</f>
        <v/>
      </c>
    </row>
    <row r="1050" ht="17.25" customHeight="1">
      <c r="A1050" s="152">
        <f>IF(INDEX('04A_국토부원자료'!$A:$A,ROW()+1)="","",ROW()-3)</f>
        <v/>
      </c>
      <c r="B1050" s="48">
        <f>IFERROR(INDEX('04A_국토부원자료'!$A:$T,ROW()+1,MATCH("시군구",'04A_국토부원자료'!$A$4:$T$4,0)),"")</f>
        <v/>
      </c>
      <c r="C1050" s="48">
        <f>IF(B1050="","",IFERROR(INDEX('04A_국토부원자료'!$A:$T,ROW()+1,MATCH("번지",'04A_국토부원자료'!$A$4:$T$4,0)),""))</f>
        <v/>
      </c>
      <c r="D1050" s="48">
        <f>IF(B1050="","",IF(Q1050=1,'02_대상물건입력'!$B$8,IFERROR(INDEX('04A_국토부원자료'!$A:$T,ROW()+1,MATCH("단지명",'04A_국토부원자료'!$A$4:$T$4,0)),"")))</f>
        <v/>
      </c>
      <c r="E1050" s="172">
        <f>IFERROR(VALUE(SUBSTITUTE(INDEX('04A_국토부원자료'!$A:$T,ROW()+1,MATCH("전용면적(㎡)",'04A_국토부원자료'!$A$4:$T$4,0)),",","")),"")</f>
        <v/>
      </c>
      <c r="F10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50" s="51">
        <f>IFERROR(VALUE(SUBSTITUTE(INDEX('04A_국토부원자료'!$A:$T,ROW()+1,MATCH("거래금액(만원)",'04A_국토부원자료'!$A$4:$T$4,0)),",","")),"")</f>
        <v/>
      </c>
      <c r="H1050" s="174">
        <f>IF(G1050="","",G1050*10000)</f>
        <v/>
      </c>
      <c r="I1050" s="174">
        <f>IFERROR(IF(AND(H1050&gt;0,E1050&gt;0),H1050/E1050,""),"")</f>
        <v/>
      </c>
      <c r="J1050" s="152">
        <f>IFERROR(VALUE(SUBSTITUTE(INDEX('04A_국토부원자료'!$A:$T,ROW()+1,MATCH("층",'04A_국토부원자료'!$A$4:$T$4,0)),",","")),"")</f>
        <v/>
      </c>
      <c r="K1050" s="152">
        <f>IFERROR(VALUE(SUBSTITUTE(INDEX('04A_국토부원자료'!$A:$T,ROW()+1,MATCH("건축년도",'04A_국토부원자료'!$A$4:$T$4,0)),",","")),"")</f>
        <v/>
      </c>
      <c r="L1050" s="176">
        <f>IFERROR(INDEX('04A_국토부원자료'!$A:$T,ROW()+1,MATCH("도로명",'04A_국토부원자료'!$A$4:$T$4,0)),"")</f>
        <v/>
      </c>
      <c r="M1050" s="48">
        <f>IFERROR(INDEX('04A_국토부원자료'!$A:$T,ROW()+1,MATCH("거래유형",'04A_국토부원자료'!$A$4:$T$4,0)),"")</f>
        <v/>
      </c>
      <c r="N1050" s="152">
        <f>IF(B1050="","",IF('02_대상물건입력'!B5="",1,IF(ISNUMBER(SEARCH('02_대상물건입력'!B5,B1050)),1,0)))</f>
        <v/>
      </c>
      <c r="O1050" s="152">
        <f>IF(B1050="","",IF('02_대상물건입력'!B6="",1,IF(ISNUMBER(SEARCH('02_대상물건입력'!B6,B1050)),1,0)))</f>
        <v/>
      </c>
      <c r="P1050" s="152">
        <f>IF(L1050="","",IF('02_대상물건입력'!B15="",0,IF(ISNUMBER(SEARCH('02_대상물건입력'!B15,L1050)),1,0)))</f>
        <v/>
      </c>
      <c r="Q1050" s="152">
        <f>IF(OR(C1050="",L1050=""),0,IF(AND(TRIM(C1050)=TRIM(RIGHT(SUBSTITUTE(TRIM('02_대상물건입력'!$B$7)," ",REPT(" ",99)),99)),IF('02_대상물건입력'!B15="",TRUE(),ISNUMBER(SEARCH('02_대상물건입력'!B15,L1050)))),1,0))</f>
        <v/>
      </c>
      <c r="R1050" s="175">
        <f>IFERROR(ABS(E1050-'02_대상물건입력'!B11)/'02_대상물건입력'!B11,"")</f>
        <v/>
      </c>
      <c r="S1050" s="152">
        <f>IFERROR(ABS(J1050-'02_대상물건입력'!B10),"")</f>
        <v/>
      </c>
      <c r="T1050" s="152">
        <f>IFERROR(ABS('01_설정'!B4-F1050),"")</f>
        <v/>
      </c>
      <c r="U1050" s="152">
        <f>IFERROR(ABS(K1050-YEAR('02_대상물건입력'!B14)),"")</f>
        <v/>
      </c>
      <c r="V1050" s="152">
        <f>IF(B1050="","",IF(AND(E1050&gt;0,F1050&gt;0,H1050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1050=1,TRUE()),R1050&lt;='01_설정'!B5,S1050&lt;='01_설정'!B6,T1050&lt;='01_설정'!B7,U1050&lt;='01_설정'!B8),"Y",""))</f>
        <v/>
      </c>
      <c r="W1050" s="172">
        <f>IF(V1050&lt;&gt;"Y","",MAX(0,(1-R1050/'01_설정'!B5))*'01_설정'!B14+MAX(0,(1-S1050/'01_설정'!B6))*'01_설정'!B15+MAX(0,(1-T1050/'01_설정'!B7))*'01_설정'!B16+MAX(0,(1-U1050/'01_설정'!B8))*'01_설정'!B17+O1050*'01_설정'!B11+Q1050*'01_설정'!B12+P1050*'01_설정'!B13+IF(Z1050="",0,Z1050))</f>
        <v/>
      </c>
      <c r="X1050" s="152">
        <f>IF(W1050="","",1+COUNTIFS($W$4:$W$3003,"&gt;"&amp;W1050)+COUNTIFS($W$4:W1050,W1050)-1)</f>
        <v/>
      </c>
      <c r="Y1050" s="175">
        <f>IF(OR(I1050="",'02_대상물건입력'!B19="",'02_대상물건입력'!B19&lt;=0),"",ABS(I1050-'02_대상물건입력'!B19)/'02_대상물건입력'!B19)</f>
        <v/>
      </c>
      <c r="Z1050" s="172">
        <f>IF(OR(Y1050="",'01_설정'!B31="",'01_설정'!B31&lt;=0,'01_설정'!B32="",'01_설정'!B32&lt;=0),"",MAX(0,(1-Y1050/'01_설정'!B32))*'01_설정'!B31)</f>
        <v/>
      </c>
    </row>
    <row r="1051" ht="17.25" customHeight="1">
      <c r="A1051" s="152">
        <f>IF(INDEX('04A_국토부원자료'!$A:$A,ROW()+1)="","",ROW()-3)</f>
        <v/>
      </c>
      <c r="B1051" s="48">
        <f>IFERROR(INDEX('04A_국토부원자료'!$A:$T,ROW()+1,MATCH("시군구",'04A_국토부원자료'!$A$4:$T$4,0)),"")</f>
        <v/>
      </c>
      <c r="C1051" s="48">
        <f>IF(B1051="","",IFERROR(INDEX('04A_국토부원자료'!$A:$T,ROW()+1,MATCH("번지",'04A_국토부원자료'!$A$4:$T$4,0)),""))</f>
        <v/>
      </c>
      <c r="D1051" s="48">
        <f>IF(B1051="","",IF(Q1051=1,'02_대상물건입력'!$B$8,IFERROR(INDEX('04A_국토부원자료'!$A:$T,ROW()+1,MATCH("단지명",'04A_국토부원자료'!$A$4:$T$4,0)),"")))</f>
        <v/>
      </c>
      <c r="E1051" s="172">
        <f>IFERROR(VALUE(SUBSTITUTE(INDEX('04A_국토부원자료'!$A:$T,ROW()+1,MATCH("전용면적(㎡)",'04A_국토부원자료'!$A$4:$T$4,0)),",","")),"")</f>
        <v/>
      </c>
      <c r="F10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51" s="51">
        <f>IFERROR(VALUE(SUBSTITUTE(INDEX('04A_국토부원자료'!$A:$T,ROW()+1,MATCH("거래금액(만원)",'04A_국토부원자료'!$A$4:$T$4,0)),",","")),"")</f>
        <v/>
      </c>
      <c r="H1051" s="174">
        <f>IF(G1051="","",G1051*10000)</f>
        <v/>
      </c>
      <c r="I1051" s="174">
        <f>IFERROR(IF(AND(H1051&gt;0,E1051&gt;0),H1051/E1051,""),"")</f>
        <v/>
      </c>
      <c r="J1051" s="152">
        <f>IFERROR(VALUE(SUBSTITUTE(INDEX('04A_국토부원자료'!$A:$T,ROW()+1,MATCH("층",'04A_국토부원자료'!$A$4:$T$4,0)),",","")),"")</f>
        <v/>
      </c>
      <c r="K1051" s="152">
        <f>IFERROR(VALUE(SUBSTITUTE(INDEX('04A_국토부원자료'!$A:$T,ROW()+1,MATCH("건축년도",'04A_국토부원자료'!$A$4:$T$4,0)),",","")),"")</f>
        <v/>
      </c>
      <c r="L1051" s="176">
        <f>IFERROR(INDEX('04A_국토부원자료'!$A:$T,ROW()+1,MATCH("도로명",'04A_국토부원자료'!$A$4:$T$4,0)),"")</f>
        <v/>
      </c>
      <c r="M1051" s="48">
        <f>IFERROR(INDEX('04A_국토부원자료'!$A:$T,ROW()+1,MATCH("거래유형",'04A_국토부원자료'!$A$4:$T$4,0)),"")</f>
        <v/>
      </c>
      <c r="N1051" s="152">
        <f>IF(B1051="","",IF('02_대상물건입력'!B5="",1,IF(ISNUMBER(SEARCH('02_대상물건입력'!B5,B1051)),1,0)))</f>
        <v/>
      </c>
      <c r="O1051" s="152">
        <f>IF(B1051="","",IF('02_대상물건입력'!B6="",1,IF(ISNUMBER(SEARCH('02_대상물건입력'!B6,B1051)),1,0)))</f>
        <v/>
      </c>
      <c r="P1051" s="152">
        <f>IF(L1051="","",IF('02_대상물건입력'!B15="",0,IF(ISNUMBER(SEARCH('02_대상물건입력'!B15,L1051)),1,0)))</f>
        <v/>
      </c>
      <c r="Q1051" s="152">
        <f>IF(OR(C1051="",L1051=""),0,IF(AND(TRIM(C1051)=TRIM(RIGHT(SUBSTITUTE(TRIM('02_대상물건입력'!$B$7)," ",REPT(" ",99)),99)),IF('02_대상물건입력'!B15="",TRUE(),ISNUMBER(SEARCH('02_대상물건입력'!B15,L1051)))),1,0))</f>
        <v/>
      </c>
      <c r="R1051" s="175">
        <f>IFERROR(ABS(E1051-'02_대상물건입력'!B11)/'02_대상물건입력'!B11,"")</f>
        <v/>
      </c>
      <c r="S1051" s="152">
        <f>IFERROR(ABS(J1051-'02_대상물건입력'!B10),"")</f>
        <v/>
      </c>
      <c r="T1051" s="152">
        <f>IFERROR(ABS('01_설정'!B4-F1051),"")</f>
        <v/>
      </c>
      <c r="U1051" s="152">
        <f>IFERROR(ABS(K1051-YEAR('02_대상물건입력'!B14)),"")</f>
        <v/>
      </c>
      <c r="V1051" s="152">
        <f>IF(B1051="","",IF(AND(E1051&gt;0,F1051&gt;0,H1051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1051=1,TRUE()),R1051&lt;='01_설정'!B5,S1051&lt;='01_설정'!B6,T1051&lt;='01_설정'!B7,U1051&lt;='01_설정'!B8),"Y",""))</f>
        <v/>
      </c>
      <c r="W1051" s="172">
        <f>IF(V1051&lt;&gt;"Y","",MAX(0,(1-R1051/'01_설정'!B5))*'01_설정'!B14+MAX(0,(1-S1051/'01_설정'!B6))*'01_설정'!B15+MAX(0,(1-T1051/'01_설정'!B7))*'01_설정'!B16+MAX(0,(1-U1051/'01_설정'!B8))*'01_설정'!B17+O1051*'01_설정'!B11+Q1051*'01_설정'!B12+P1051*'01_설정'!B13+IF(Z1051="",0,Z1051))</f>
        <v/>
      </c>
      <c r="X1051" s="152">
        <f>IF(W1051="","",1+COUNTIFS($W$4:$W$3003,"&gt;"&amp;W1051)+COUNTIFS($W$4:W1051,W1051)-1)</f>
        <v/>
      </c>
      <c r="Y1051" s="175">
        <f>IF(OR(I1051="",'02_대상물건입력'!B19="",'02_대상물건입력'!B19&lt;=0),"",ABS(I1051-'02_대상물건입력'!B19)/'02_대상물건입력'!B19)</f>
        <v/>
      </c>
      <c r="Z1051" s="172">
        <f>IF(OR(Y1051="",'01_설정'!B31="",'01_설정'!B31&lt;=0,'01_설정'!B32="",'01_설정'!B32&lt;=0),"",MAX(0,(1-Y1051/'01_설정'!B32))*'01_설정'!B31)</f>
        <v/>
      </c>
    </row>
    <row r="1052" ht="17.25" customHeight="1">
      <c r="A1052" s="152">
        <f>IF(INDEX('04A_국토부원자료'!$A:$A,ROW()+1)="","",ROW()-3)</f>
        <v/>
      </c>
      <c r="B1052" s="48">
        <f>IFERROR(INDEX('04A_국토부원자료'!$A:$T,ROW()+1,MATCH("시군구",'04A_국토부원자료'!$A$4:$T$4,0)),"")</f>
        <v/>
      </c>
      <c r="C1052" s="48">
        <f>IF(B1052="","",IFERROR(INDEX('04A_국토부원자료'!$A:$T,ROW()+1,MATCH("번지",'04A_국토부원자료'!$A$4:$T$4,0)),""))</f>
        <v/>
      </c>
      <c r="D1052" s="48">
        <f>IF(B1052="","",IF(Q1052=1,'02_대상물건입력'!$B$8,IFERROR(INDEX('04A_국토부원자료'!$A:$T,ROW()+1,MATCH("단지명",'04A_국토부원자료'!$A$4:$T$4,0)),"")))</f>
        <v/>
      </c>
      <c r="E1052" s="172">
        <f>IFERROR(VALUE(SUBSTITUTE(INDEX('04A_국토부원자료'!$A:$T,ROW()+1,MATCH("전용면적(㎡)",'04A_국토부원자료'!$A$4:$T$4,0)),",","")),"")</f>
        <v/>
      </c>
      <c r="F10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52" s="51">
        <f>IFERROR(VALUE(SUBSTITUTE(INDEX('04A_국토부원자료'!$A:$T,ROW()+1,MATCH("거래금액(만원)",'04A_국토부원자료'!$A$4:$T$4,0)),",","")),"")</f>
        <v/>
      </c>
      <c r="H1052" s="174">
        <f>IF(G1052="","",G1052*10000)</f>
        <v/>
      </c>
      <c r="I1052" s="174">
        <f>IFERROR(IF(AND(H1052&gt;0,E1052&gt;0),H1052/E1052,""),"")</f>
        <v/>
      </c>
      <c r="J1052" s="152">
        <f>IFERROR(VALUE(SUBSTITUTE(INDEX('04A_국토부원자료'!$A:$T,ROW()+1,MATCH("층",'04A_국토부원자료'!$A$4:$T$4,0)),",","")),"")</f>
        <v/>
      </c>
      <c r="K1052" s="152">
        <f>IFERROR(VALUE(SUBSTITUTE(INDEX('04A_국토부원자료'!$A:$T,ROW()+1,MATCH("건축년도",'04A_국토부원자료'!$A$4:$T$4,0)),",","")),"")</f>
        <v/>
      </c>
      <c r="L1052" s="176">
        <f>IFERROR(INDEX('04A_국토부원자료'!$A:$T,ROW()+1,MATCH("도로명",'04A_국토부원자료'!$A$4:$T$4,0)),"")</f>
        <v/>
      </c>
      <c r="M1052" s="48">
        <f>IFERROR(INDEX('04A_국토부원자료'!$A:$T,ROW()+1,MATCH("거래유형",'04A_국토부원자료'!$A$4:$T$4,0)),"")</f>
        <v/>
      </c>
      <c r="N1052" s="152">
        <f>IF(B1052="","",IF('02_대상물건입력'!B5="",1,IF(ISNUMBER(SEARCH('02_대상물건입력'!B5,B1052)),1,0)))</f>
        <v/>
      </c>
      <c r="O1052" s="152">
        <f>IF(B1052="","",IF('02_대상물건입력'!B6="",1,IF(ISNUMBER(SEARCH('02_대상물건입력'!B6,B1052)),1,0)))</f>
        <v/>
      </c>
      <c r="P1052" s="152">
        <f>IF(L1052="","",IF('02_대상물건입력'!B15="",0,IF(ISNUMBER(SEARCH('02_대상물건입력'!B15,L1052)),1,0)))</f>
        <v/>
      </c>
      <c r="Q1052" s="152">
        <f>IF(OR(C1052="",L1052=""),0,IF(AND(TRIM(C1052)=TRIM(RIGHT(SUBSTITUTE(TRIM('02_대상물건입력'!$B$7)," ",REPT(" ",99)),99)),IF('02_대상물건입력'!B15="",TRUE(),ISNUMBER(SEARCH('02_대상물건입력'!B15,L1052)))),1,0))</f>
        <v/>
      </c>
      <c r="R1052" s="175">
        <f>IFERROR(ABS(E1052-'02_대상물건입력'!B11)/'02_대상물건입력'!B11,"")</f>
        <v/>
      </c>
      <c r="S1052" s="152">
        <f>IFERROR(ABS(J1052-'02_대상물건입력'!B10),"")</f>
        <v/>
      </c>
      <c r="T1052" s="152">
        <f>IFERROR(ABS('01_설정'!B4-F1052),"")</f>
        <v/>
      </c>
      <c r="U1052" s="152">
        <f>IFERROR(ABS(K1052-YEAR('02_대상물건입력'!B14)),"")</f>
        <v/>
      </c>
      <c r="V1052" s="152">
        <f>IF(B1052="","",IF(AND(E1052&gt;0,F1052&gt;0,H1052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1052=1,TRUE()),R1052&lt;='01_설정'!B5,S1052&lt;='01_설정'!B6,T1052&lt;='01_설정'!B7,U1052&lt;='01_설정'!B8),"Y",""))</f>
        <v/>
      </c>
      <c r="W1052" s="172">
        <f>IF(V1052&lt;&gt;"Y","",MAX(0,(1-R1052/'01_설정'!B5))*'01_설정'!B14+MAX(0,(1-S1052/'01_설정'!B6))*'01_설정'!B15+MAX(0,(1-T1052/'01_설정'!B7))*'01_설정'!B16+MAX(0,(1-U1052/'01_설정'!B8))*'01_설정'!B17+O1052*'01_설정'!B11+Q1052*'01_설정'!B12+P1052*'01_설정'!B13+IF(Z1052="",0,Z1052))</f>
        <v/>
      </c>
      <c r="X1052" s="152">
        <f>IF(W1052="","",1+COUNTIFS($W$4:$W$3003,"&gt;"&amp;W1052)+COUNTIFS($W$4:W1052,W1052)-1)</f>
        <v/>
      </c>
      <c r="Y1052" s="175">
        <f>IF(OR(I1052="",'02_대상물건입력'!B19="",'02_대상물건입력'!B19&lt;=0),"",ABS(I1052-'02_대상물건입력'!B19)/'02_대상물건입력'!B19)</f>
        <v/>
      </c>
      <c r="Z1052" s="172">
        <f>IF(OR(Y1052="",'01_설정'!B31="",'01_설정'!B31&lt;=0,'01_설정'!B32="",'01_설정'!B32&lt;=0),"",MAX(0,(1-Y1052/'01_설정'!B32))*'01_설정'!B31)</f>
        <v/>
      </c>
    </row>
    <row r="1053" ht="17.25" customHeight="1">
      <c r="A1053" s="152">
        <f>IF(INDEX('04A_국토부원자료'!$A:$A,ROW()+1)="","",ROW()-3)</f>
        <v/>
      </c>
      <c r="B1053" s="48">
        <f>IFERROR(INDEX('04A_국토부원자료'!$A:$T,ROW()+1,MATCH("시군구",'04A_국토부원자료'!$A$4:$T$4,0)),"")</f>
        <v/>
      </c>
      <c r="C1053" s="48">
        <f>IF(B1053="","",IFERROR(INDEX('04A_국토부원자료'!$A:$T,ROW()+1,MATCH("번지",'04A_국토부원자료'!$A$4:$T$4,0)),""))</f>
        <v/>
      </c>
      <c r="D1053" s="48">
        <f>IF(B1053="","",IF(Q1053=1,'02_대상물건입력'!$B$8,IFERROR(INDEX('04A_국토부원자료'!$A:$T,ROW()+1,MATCH("단지명",'04A_국토부원자료'!$A$4:$T$4,0)),"")))</f>
        <v/>
      </c>
      <c r="E1053" s="172">
        <f>IFERROR(VALUE(SUBSTITUTE(INDEX('04A_국토부원자료'!$A:$T,ROW()+1,MATCH("전용면적(㎡)",'04A_국토부원자료'!$A$4:$T$4,0)),",","")),"")</f>
        <v/>
      </c>
      <c r="F10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53" s="51">
        <f>IFERROR(VALUE(SUBSTITUTE(INDEX('04A_국토부원자료'!$A:$T,ROW()+1,MATCH("거래금액(만원)",'04A_국토부원자료'!$A$4:$T$4,0)),",","")),"")</f>
        <v/>
      </c>
      <c r="H1053" s="174">
        <f>IF(G1053="","",G1053*10000)</f>
        <v/>
      </c>
      <c r="I1053" s="174">
        <f>IFERROR(IF(AND(H1053&gt;0,E1053&gt;0),H1053/E1053,""),"")</f>
        <v/>
      </c>
      <c r="J1053" s="152">
        <f>IFERROR(VALUE(SUBSTITUTE(INDEX('04A_국토부원자료'!$A:$T,ROW()+1,MATCH("층",'04A_국토부원자료'!$A$4:$T$4,0)),",","")),"")</f>
        <v/>
      </c>
      <c r="K1053" s="152">
        <f>IFERROR(VALUE(SUBSTITUTE(INDEX('04A_국토부원자료'!$A:$T,ROW()+1,MATCH("건축년도",'04A_국토부원자료'!$A$4:$T$4,0)),",","")),"")</f>
        <v/>
      </c>
      <c r="L1053" s="176">
        <f>IFERROR(INDEX('04A_국토부원자료'!$A:$T,ROW()+1,MATCH("도로명",'04A_국토부원자료'!$A$4:$T$4,0)),"")</f>
        <v/>
      </c>
      <c r="M1053" s="48">
        <f>IFERROR(INDEX('04A_국토부원자료'!$A:$T,ROW()+1,MATCH("거래유형",'04A_국토부원자료'!$A$4:$T$4,0)),"")</f>
        <v/>
      </c>
      <c r="N1053" s="152">
        <f>IF(B1053="","",IF('02_대상물건입력'!B5="",1,IF(ISNUMBER(SEARCH('02_대상물건입력'!B5,B1053)),1,0)))</f>
        <v/>
      </c>
      <c r="O1053" s="152">
        <f>IF(B1053="","",IF('02_대상물건입력'!B6="",1,IF(ISNUMBER(SEARCH('02_대상물건입력'!B6,B1053)),1,0)))</f>
        <v/>
      </c>
      <c r="P1053" s="152">
        <f>IF(L1053="","",IF('02_대상물건입력'!B15="",0,IF(ISNUMBER(SEARCH('02_대상물건입력'!B15,L1053)),1,0)))</f>
        <v/>
      </c>
      <c r="Q1053" s="152">
        <f>IF(OR(C1053="",L1053=""),0,IF(AND(TRIM(C1053)=TRIM(RIGHT(SUBSTITUTE(TRIM('02_대상물건입력'!$B$7)," ",REPT(" ",99)),99)),IF('02_대상물건입력'!B15="",TRUE(),ISNUMBER(SEARCH('02_대상물건입력'!B15,L1053)))),1,0))</f>
        <v/>
      </c>
      <c r="R1053" s="175">
        <f>IFERROR(ABS(E1053-'02_대상물건입력'!B11)/'02_대상물건입력'!B11,"")</f>
        <v/>
      </c>
      <c r="S1053" s="152">
        <f>IFERROR(ABS(J1053-'02_대상물건입력'!B10),"")</f>
        <v/>
      </c>
      <c r="T1053" s="152">
        <f>IFERROR(ABS('01_설정'!B4-F1053),"")</f>
        <v/>
      </c>
      <c r="U1053" s="152">
        <f>IFERROR(ABS(K1053-YEAR('02_대상물건입력'!B14)),"")</f>
        <v/>
      </c>
      <c r="V1053" s="152">
        <f>IF(B1053="","",IF(AND(E1053&gt;0,F1053&gt;0,H1053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1053=1,TRUE()),R1053&lt;='01_설정'!B5,S1053&lt;='01_설정'!B6,T1053&lt;='01_설정'!B7,U1053&lt;='01_설정'!B8),"Y",""))</f>
        <v/>
      </c>
      <c r="W1053" s="172">
        <f>IF(V1053&lt;&gt;"Y","",MAX(0,(1-R1053/'01_설정'!B5))*'01_설정'!B14+MAX(0,(1-S1053/'01_설정'!B6))*'01_설정'!B15+MAX(0,(1-T1053/'01_설정'!B7))*'01_설정'!B16+MAX(0,(1-U1053/'01_설정'!B8))*'01_설정'!B17+O1053*'01_설정'!B11+Q1053*'01_설정'!B12+P1053*'01_설정'!B13+IF(Z1053="",0,Z1053))</f>
        <v/>
      </c>
      <c r="X1053" s="152">
        <f>IF(W1053="","",1+COUNTIFS($W$4:$W$3003,"&gt;"&amp;W1053)+COUNTIFS($W$4:W1053,W1053)-1)</f>
        <v/>
      </c>
      <c r="Y1053" s="175">
        <f>IF(OR(I1053="",'02_대상물건입력'!B19="",'02_대상물건입력'!B19&lt;=0),"",ABS(I1053-'02_대상물건입력'!B19)/'02_대상물건입력'!B19)</f>
        <v/>
      </c>
      <c r="Z1053" s="172">
        <f>IF(OR(Y1053="",'01_설정'!B31="",'01_설정'!B31&lt;=0,'01_설정'!B32="",'01_설정'!B32&lt;=0),"",MAX(0,(1-Y1053/'01_설정'!B32))*'01_설정'!B31)</f>
        <v/>
      </c>
    </row>
    <row r="1054" ht="17.25" customHeight="1">
      <c r="A1054" s="152">
        <f>IF(INDEX('04A_국토부원자료'!$A:$A,ROW()+1)="","",ROW()-3)</f>
        <v/>
      </c>
      <c r="B1054" s="48">
        <f>IFERROR(INDEX('04A_국토부원자료'!$A:$T,ROW()+1,MATCH("시군구",'04A_국토부원자료'!$A$4:$T$4,0)),"")</f>
        <v/>
      </c>
      <c r="C1054" s="48">
        <f>IF(B1054="","",IFERROR(INDEX('04A_국토부원자료'!$A:$T,ROW()+1,MATCH("번지",'04A_국토부원자료'!$A$4:$T$4,0)),""))</f>
        <v/>
      </c>
      <c r="D1054" s="48">
        <f>IF(B1054="","",IF(Q1054=1,'02_대상물건입력'!$B$8,IFERROR(INDEX('04A_국토부원자료'!$A:$T,ROW()+1,MATCH("단지명",'04A_국토부원자료'!$A$4:$T$4,0)),"")))</f>
        <v/>
      </c>
      <c r="E1054" s="172">
        <f>IFERROR(VALUE(SUBSTITUTE(INDEX('04A_국토부원자료'!$A:$T,ROW()+1,MATCH("전용면적(㎡)",'04A_국토부원자료'!$A$4:$T$4,0)),",","")),"")</f>
        <v/>
      </c>
      <c r="F10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54" s="51">
        <f>IFERROR(VALUE(SUBSTITUTE(INDEX('04A_국토부원자료'!$A:$T,ROW()+1,MATCH("거래금액(만원)",'04A_국토부원자료'!$A$4:$T$4,0)),",","")),"")</f>
        <v/>
      </c>
      <c r="H1054" s="174">
        <f>IF(G1054="","",G1054*10000)</f>
        <v/>
      </c>
      <c r="I1054" s="174">
        <f>IFERROR(IF(AND(H1054&gt;0,E1054&gt;0),H1054/E1054,""),"")</f>
        <v/>
      </c>
      <c r="J1054" s="152">
        <f>IFERROR(VALUE(SUBSTITUTE(INDEX('04A_국토부원자료'!$A:$T,ROW()+1,MATCH("층",'04A_국토부원자료'!$A$4:$T$4,0)),",","")),"")</f>
        <v/>
      </c>
      <c r="K1054" s="152">
        <f>IFERROR(VALUE(SUBSTITUTE(INDEX('04A_국토부원자료'!$A:$T,ROW()+1,MATCH("건축년도",'04A_국토부원자료'!$A$4:$T$4,0)),",","")),"")</f>
        <v/>
      </c>
      <c r="L1054" s="176">
        <f>IFERROR(INDEX('04A_국토부원자료'!$A:$T,ROW()+1,MATCH("도로명",'04A_국토부원자료'!$A$4:$T$4,0)),"")</f>
        <v/>
      </c>
      <c r="M1054" s="48">
        <f>IFERROR(INDEX('04A_국토부원자료'!$A:$T,ROW()+1,MATCH("거래유형",'04A_국토부원자료'!$A$4:$T$4,0)),"")</f>
        <v/>
      </c>
      <c r="N1054" s="152">
        <f>IF(B1054="","",IF('02_대상물건입력'!B5="",1,IF(ISNUMBER(SEARCH('02_대상물건입력'!B5,B1054)),1,0)))</f>
        <v/>
      </c>
      <c r="O1054" s="152">
        <f>IF(B1054="","",IF('02_대상물건입력'!B6="",1,IF(ISNUMBER(SEARCH('02_대상물건입력'!B6,B1054)),1,0)))</f>
        <v/>
      </c>
      <c r="P1054" s="152">
        <f>IF(L1054="","",IF('02_대상물건입력'!B15="",0,IF(ISNUMBER(SEARCH('02_대상물건입력'!B15,L1054)),1,0)))</f>
        <v/>
      </c>
      <c r="Q1054" s="152">
        <f>IF(OR(C1054="",L1054=""),0,IF(AND(TRIM(C1054)=TRIM(RIGHT(SUBSTITUTE(TRIM('02_대상물건입력'!$B$7)," ",REPT(" ",99)),99)),IF('02_대상물건입력'!B15="",TRUE(),ISNUMBER(SEARCH('02_대상물건입력'!B15,L1054)))),1,0))</f>
        <v/>
      </c>
      <c r="R1054" s="175">
        <f>IFERROR(ABS(E1054-'02_대상물건입력'!B11)/'02_대상물건입력'!B11,"")</f>
        <v/>
      </c>
      <c r="S1054" s="152">
        <f>IFERROR(ABS(J1054-'02_대상물건입력'!B10),"")</f>
        <v/>
      </c>
      <c r="T1054" s="152">
        <f>IFERROR(ABS('01_설정'!B4-F1054),"")</f>
        <v/>
      </c>
      <c r="U1054" s="152">
        <f>IFERROR(ABS(K1054-YEAR('02_대상물건입력'!B14)),"")</f>
        <v/>
      </c>
      <c r="V1054" s="152">
        <f>IF(B1054="","",IF(AND(E1054&gt;0,F1054&gt;0,H1054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1054=1,TRUE()),R1054&lt;='01_설정'!B5,S1054&lt;='01_설정'!B6,T1054&lt;='01_설정'!B7,U1054&lt;='01_설정'!B8),"Y",""))</f>
        <v/>
      </c>
      <c r="W1054" s="172">
        <f>IF(V1054&lt;&gt;"Y","",MAX(0,(1-R1054/'01_설정'!B5))*'01_설정'!B14+MAX(0,(1-S1054/'01_설정'!B6))*'01_설정'!B15+MAX(0,(1-T1054/'01_설정'!B7))*'01_설정'!B16+MAX(0,(1-U1054/'01_설정'!B8))*'01_설정'!B17+O1054*'01_설정'!B11+Q1054*'01_설정'!B12+P1054*'01_설정'!B13+IF(Z1054="",0,Z1054))</f>
        <v/>
      </c>
      <c r="X1054" s="152">
        <f>IF(W1054="","",1+COUNTIFS($W$4:$W$3003,"&gt;"&amp;W1054)+COUNTIFS($W$4:W1054,W1054)-1)</f>
        <v/>
      </c>
      <c r="Y1054" s="175">
        <f>IF(OR(I1054="",'02_대상물건입력'!B19="",'02_대상물건입력'!B19&lt;=0),"",ABS(I1054-'02_대상물건입력'!B19)/'02_대상물건입력'!B19)</f>
        <v/>
      </c>
      <c r="Z1054" s="172">
        <f>IF(OR(Y1054="",'01_설정'!B31="",'01_설정'!B31&lt;=0,'01_설정'!B32="",'01_설정'!B32&lt;=0),"",MAX(0,(1-Y1054/'01_설정'!B32))*'01_설정'!B31)</f>
        <v/>
      </c>
    </row>
    <row r="1055" ht="17.25" customHeight="1">
      <c r="A1055" s="152">
        <f>IF(INDEX('04A_국토부원자료'!$A:$A,ROW()+1)="","",ROW()-3)</f>
        <v/>
      </c>
      <c r="B1055" s="48">
        <f>IFERROR(INDEX('04A_국토부원자료'!$A:$T,ROW()+1,MATCH("시군구",'04A_국토부원자료'!$A$4:$T$4,0)),"")</f>
        <v/>
      </c>
      <c r="C1055" s="48">
        <f>IF(B1055="","",IFERROR(INDEX('04A_국토부원자료'!$A:$T,ROW()+1,MATCH("번지",'04A_국토부원자료'!$A$4:$T$4,0)),""))</f>
        <v/>
      </c>
      <c r="D1055" s="48">
        <f>IF(B1055="","",IF(Q1055=1,'02_대상물건입력'!$B$8,IFERROR(INDEX('04A_국토부원자료'!$A:$T,ROW()+1,MATCH("단지명",'04A_국토부원자료'!$A$4:$T$4,0)),"")))</f>
        <v/>
      </c>
      <c r="E1055" s="172">
        <f>IFERROR(VALUE(SUBSTITUTE(INDEX('04A_국토부원자료'!$A:$T,ROW()+1,MATCH("전용면적(㎡)",'04A_국토부원자료'!$A$4:$T$4,0)),",","")),"")</f>
        <v/>
      </c>
      <c r="F10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55" s="51">
        <f>IFERROR(VALUE(SUBSTITUTE(INDEX('04A_국토부원자료'!$A:$T,ROW()+1,MATCH("거래금액(만원)",'04A_국토부원자료'!$A$4:$T$4,0)),",","")),"")</f>
        <v/>
      </c>
      <c r="H1055" s="174">
        <f>IF(G1055="","",G1055*10000)</f>
        <v/>
      </c>
      <c r="I1055" s="174">
        <f>IFERROR(IF(AND(H1055&gt;0,E1055&gt;0),H1055/E1055,""),"")</f>
        <v/>
      </c>
      <c r="J1055" s="152">
        <f>IFERROR(VALUE(SUBSTITUTE(INDEX('04A_국토부원자료'!$A:$T,ROW()+1,MATCH("층",'04A_국토부원자료'!$A$4:$T$4,0)),",","")),"")</f>
        <v/>
      </c>
      <c r="K1055" s="152">
        <f>IFERROR(VALUE(SUBSTITUTE(INDEX('04A_국토부원자료'!$A:$T,ROW()+1,MATCH("건축년도",'04A_국토부원자료'!$A$4:$T$4,0)),",","")),"")</f>
        <v/>
      </c>
      <c r="L1055" s="176">
        <f>IFERROR(INDEX('04A_국토부원자료'!$A:$T,ROW()+1,MATCH("도로명",'04A_국토부원자료'!$A$4:$T$4,0)),"")</f>
        <v/>
      </c>
      <c r="M1055" s="48">
        <f>IFERROR(INDEX('04A_국토부원자료'!$A:$T,ROW()+1,MATCH("거래유형",'04A_국토부원자료'!$A$4:$T$4,0)),"")</f>
        <v/>
      </c>
      <c r="N1055" s="152">
        <f>IF(B1055="","",IF('02_대상물건입력'!B5="",1,IF(ISNUMBER(SEARCH('02_대상물건입력'!B5,B1055)),1,0)))</f>
        <v/>
      </c>
      <c r="O1055" s="152">
        <f>IF(B1055="","",IF('02_대상물건입력'!B6="",1,IF(ISNUMBER(SEARCH('02_대상물건입력'!B6,B1055)),1,0)))</f>
        <v/>
      </c>
      <c r="P1055" s="152">
        <f>IF(L1055="","",IF('02_대상물건입력'!B15="",0,IF(ISNUMBER(SEARCH('02_대상물건입력'!B15,L1055)),1,0)))</f>
        <v/>
      </c>
      <c r="Q1055" s="152">
        <f>IF(OR(C1055="",L1055=""),0,IF(AND(TRIM(C1055)=TRIM(RIGHT(SUBSTITUTE(TRIM('02_대상물건입력'!$B$7)," ",REPT(" ",99)),99)),IF('02_대상물건입력'!B15="",TRUE(),ISNUMBER(SEARCH('02_대상물건입력'!B15,L1055)))),1,0))</f>
        <v/>
      </c>
      <c r="R1055" s="175">
        <f>IFERROR(ABS(E1055-'02_대상물건입력'!B11)/'02_대상물건입력'!B11,"")</f>
        <v/>
      </c>
      <c r="S1055" s="152">
        <f>IFERROR(ABS(J1055-'02_대상물건입력'!B10),"")</f>
        <v/>
      </c>
      <c r="T1055" s="152">
        <f>IFERROR(ABS('01_설정'!B4-F1055),"")</f>
        <v/>
      </c>
      <c r="U1055" s="152">
        <f>IFERROR(ABS(K1055-YEAR('02_대상물건입력'!B14)),"")</f>
        <v/>
      </c>
      <c r="V1055" s="152">
        <f>IF(B1055="","",IF(AND(E1055&gt;0,F1055&gt;0,H1055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1055=1,TRUE()),R1055&lt;='01_설정'!B5,S1055&lt;='01_설정'!B6,T1055&lt;='01_설정'!B7,U1055&lt;='01_설정'!B8),"Y",""))</f>
        <v/>
      </c>
      <c r="W1055" s="172">
        <f>IF(V1055&lt;&gt;"Y","",MAX(0,(1-R1055/'01_설정'!B5))*'01_설정'!B14+MAX(0,(1-S1055/'01_설정'!B6))*'01_설정'!B15+MAX(0,(1-T1055/'01_설정'!B7))*'01_설정'!B16+MAX(0,(1-U1055/'01_설정'!B8))*'01_설정'!B17+O1055*'01_설정'!B11+Q1055*'01_설정'!B12+P1055*'01_설정'!B13+IF(Z1055="",0,Z1055))</f>
        <v/>
      </c>
      <c r="X1055" s="152">
        <f>IF(W1055="","",1+COUNTIFS($W$4:$W$3003,"&gt;"&amp;W1055)+COUNTIFS($W$4:W1055,W1055)-1)</f>
        <v/>
      </c>
      <c r="Y1055" s="175">
        <f>IF(OR(I1055="",'02_대상물건입력'!B19="",'02_대상물건입력'!B19&lt;=0),"",ABS(I1055-'02_대상물건입력'!B19)/'02_대상물건입력'!B19)</f>
        <v/>
      </c>
      <c r="Z1055" s="172">
        <f>IF(OR(Y1055="",'01_설정'!B31="",'01_설정'!B31&lt;=0,'01_설정'!B32="",'01_설정'!B32&lt;=0),"",MAX(0,(1-Y1055/'01_설정'!B32))*'01_설정'!B31)</f>
        <v/>
      </c>
    </row>
    <row r="1056" ht="17.25" customHeight="1">
      <c r="A1056" s="152">
        <f>IF(INDEX('04A_국토부원자료'!$A:$A,ROW()+1)="","",ROW()-3)</f>
        <v/>
      </c>
      <c r="B1056" s="48">
        <f>IFERROR(INDEX('04A_국토부원자료'!$A:$T,ROW()+1,MATCH("시군구",'04A_국토부원자료'!$A$4:$T$4,0)),"")</f>
        <v/>
      </c>
      <c r="C1056" s="48">
        <f>IF(B1056="","",IFERROR(INDEX('04A_국토부원자료'!$A:$T,ROW()+1,MATCH("번지",'04A_국토부원자료'!$A$4:$T$4,0)),""))</f>
        <v/>
      </c>
      <c r="D1056" s="48">
        <f>IF(B1056="","",IF(Q1056=1,'02_대상물건입력'!$B$8,IFERROR(INDEX('04A_국토부원자료'!$A:$T,ROW()+1,MATCH("단지명",'04A_국토부원자료'!$A$4:$T$4,0)),"")))</f>
        <v/>
      </c>
      <c r="E1056" s="172">
        <f>IFERROR(VALUE(SUBSTITUTE(INDEX('04A_국토부원자료'!$A:$T,ROW()+1,MATCH("전용면적(㎡)",'04A_국토부원자료'!$A$4:$T$4,0)),",","")),"")</f>
        <v/>
      </c>
      <c r="F10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56" s="51">
        <f>IFERROR(VALUE(SUBSTITUTE(INDEX('04A_국토부원자료'!$A:$T,ROW()+1,MATCH("거래금액(만원)",'04A_국토부원자료'!$A$4:$T$4,0)),",","")),"")</f>
        <v/>
      </c>
      <c r="H1056" s="174">
        <f>IF(G1056="","",G1056*10000)</f>
        <v/>
      </c>
      <c r="I1056" s="174">
        <f>IFERROR(IF(AND(H1056&gt;0,E1056&gt;0),H1056/E1056,""),"")</f>
        <v/>
      </c>
      <c r="J1056" s="152">
        <f>IFERROR(VALUE(SUBSTITUTE(INDEX('04A_국토부원자료'!$A:$T,ROW()+1,MATCH("층",'04A_국토부원자료'!$A$4:$T$4,0)),",","")),"")</f>
        <v/>
      </c>
      <c r="K1056" s="152">
        <f>IFERROR(VALUE(SUBSTITUTE(INDEX('04A_국토부원자료'!$A:$T,ROW()+1,MATCH("건축년도",'04A_국토부원자료'!$A$4:$T$4,0)),",","")),"")</f>
        <v/>
      </c>
      <c r="L1056" s="176">
        <f>IFERROR(INDEX('04A_국토부원자료'!$A:$T,ROW()+1,MATCH("도로명",'04A_국토부원자료'!$A$4:$T$4,0)),"")</f>
        <v/>
      </c>
      <c r="M1056" s="48">
        <f>IFERROR(INDEX('04A_국토부원자료'!$A:$T,ROW()+1,MATCH("거래유형",'04A_국토부원자료'!$A$4:$T$4,0)),"")</f>
        <v/>
      </c>
      <c r="N1056" s="152">
        <f>IF(B1056="","",IF('02_대상물건입력'!B5="",1,IF(ISNUMBER(SEARCH('02_대상물건입력'!B5,B1056)),1,0)))</f>
        <v/>
      </c>
      <c r="O1056" s="152">
        <f>IF(B1056="","",IF('02_대상물건입력'!B6="",1,IF(ISNUMBER(SEARCH('02_대상물건입력'!B6,B1056)),1,0)))</f>
        <v/>
      </c>
      <c r="P1056" s="152">
        <f>IF(L1056="","",IF('02_대상물건입력'!B15="",0,IF(ISNUMBER(SEARCH('02_대상물건입력'!B15,L1056)),1,0)))</f>
        <v/>
      </c>
      <c r="Q1056" s="152">
        <f>IF(OR(C1056="",L1056=""),0,IF(AND(TRIM(C1056)=TRIM(RIGHT(SUBSTITUTE(TRIM('02_대상물건입력'!$B$7)," ",REPT(" ",99)),99)),IF('02_대상물건입력'!B15="",TRUE(),ISNUMBER(SEARCH('02_대상물건입력'!B15,L1056)))),1,0))</f>
        <v/>
      </c>
      <c r="R1056" s="175">
        <f>IFERROR(ABS(E1056-'02_대상물건입력'!B11)/'02_대상물건입력'!B11,"")</f>
        <v/>
      </c>
      <c r="S1056" s="152">
        <f>IFERROR(ABS(J1056-'02_대상물건입력'!B10),"")</f>
        <v/>
      </c>
      <c r="T1056" s="152">
        <f>IFERROR(ABS('01_설정'!B4-F1056),"")</f>
        <v/>
      </c>
      <c r="U1056" s="152">
        <f>IFERROR(ABS(K1056-YEAR('02_대상물건입력'!B14)),"")</f>
        <v/>
      </c>
      <c r="V1056" s="152">
        <f>IF(B1056="","",IF(AND(E1056&gt;0,F1056&gt;0,H1056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1056=1,TRUE()),R1056&lt;='01_설정'!B5,S1056&lt;='01_설정'!B6,T1056&lt;='01_설정'!B7,U1056&lt;='01_설정'!B8),"Y",""))</f>
        <v/>
      </c>
      <c r="W1056" s="172">
        <f>IF(V1056&lt;&gt;"Y","",MAX(0,(1-R1056/'01_설정'!B5))*'01_설정'!B14+MAX(0,(1-S1056/'01_설정'!B6))*'01_설정'!B15+MAX(0,(1-T1056/'01_설정'!B7))*'01_설정'!B16+MAX(0,(1-U1056/'01_설정'!B8))*'01_설정'!B17+O1056*'01_설정'!B11+Q1056*'01_설정'!B12+P1056*'01_설정'!B13+IF(Z1056="",0,Z1056))</f>
        <v/>
      </c>
      <c r="X1056" s="152">
        <f>IF(W1056="","",1+COUNTIFS($W$4:$W$3003,"&gt;"&amp;W1056)+COUNTIFS($W$4:W1056,W1056)-1)</f>
        <v/>
      </c>
      <c r="Y1056" s="175">
        <f>IF(OR(I1056="",'02_대상물건입력'!B19="",'02_대상물건입력'!B19&lt;=0),"",ABS(I1056-'02_대상물건입력'!B19)/'02_대상물건입력'!B19)</f>
        <v/>
      </c>
      <c r="Z1056" s="172">
        <f>IF(OR(Y1056="",'01_설정'!B31="",'01_설정'!B31&lt;=0,'01_설정'!B32="",'01_설정'!B32&lt;=0),"",MAX(0,(1-Y1056/'01_설정'!B32))*'01_설정'!B31)</f>
        <v/>
      </c>
    </row>
    <row r="1057" ht="17.25" customHeight="1">
      <c r="A1057" s="152">
        <f>IF(INDEX('04A_국토부원자료'!$A:$A,ROW()+1)="","",ROW()-3)</f>
        <v/>
      </c>
      <c r="B1057" s="48">
        <f>IFERROR(INDEX('04A_국토부원자료'!$A:$T,ROW()+1,MATCH("시군구",'04A_국토부원자료'!$A$4:$T$4,0)),"")</f>
        <v/>
      </c>
      <c r="C1057" s="48">
        <f>IF(B1057="","",IFERROR(INDEX('04A_국토부원자료'!$A:$T,ROW()+1,MATCH("번지",'04A_국토부원자료'!$A$4:$T$4,0)),""))</f>
        <v/>
      </c>
      <c r="D1057" s="48">
        <f>IF(B1057="","",IF(Q1057=1,'02_대상물건입력'!$B$8,IFERROR(INDEX('04A_국토부원자료'!$A:$T,ROW()+1,MATCH("단지명",'04A_국토부원자료'!$A$4:$T$4,0)),"")))</f>
        <v/>
      </c>
      <c r="E1057" s="172">
        <f>IFERROR(VALUE(SUBSTITUTE(INDEX('04A_국토부원자료'!$A:$T,ROW()+1,MATCH("전용면적(㎡)",'04A_국토부원자료'!$A$4:$T$4,0)),",","")),"")</f>
        <v/>
      </c>
      <c r="F10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57" s="51">
        <f>IFERROR(VALUE(SUBSTITUTE(INDEX('04A_국토부원자료'!$A:$T,ROW()+1,MATCH("거래금액(만원)",'04A_국토부원자료'!$A$4:$T$4,0)),",","")),"")</f>
        <v/>
      </c>
      <c r="H1057" s="174">
        <f>IF(G1057="","",G1057*10000)</f>
        <v/>
      </c>
      <c r="I1057" s="174">
        <f>IFERROR(IF(AND(H1057&gt;0,E1057&gt;0),H1057/E1057,""),"")</f>
        <v/>
      </c>
      <c r="J1057" s="152">
        <f>IFERROR(VALUE(SUBSTITUTE(INDEX('04A_국토부원자료'!$A:$T,ROW()+1,MATCH("층",'04A_국토부원자료'!$A$4:$T$4,0)),",","")),"")</f>
        <v/>
      </c>
      <c r="K1057" s="152">
        <f>IFERROR(VALUE(SUBSTITUTE(INDEX('04A_국토부원자료'!$A:$T,ROW()+1,MATCH("건축년도",'04A_국토부원자료'!$A$4:$T$4,0)),",","")),"")</f>
        <v/>
      </c>
      <c r="L1057" s="176">
        <f>IFERROR(INDEX('04A_국토부원자료'!$A:$T,ROW()+1,MATCH("도로명",'04A_국토부원자료'!$A$4:$T$4,0)),"")</f>
        <v/>
      </c>
      <c r="M1057" s="48">
        <f>IFERROR(INDEX('04A_국토부원자료'!$A:$T,ROW()+1,MATCH("거래유형",'04A_국토부원자료'!$A$4:$T$4,0)),"")</f>
        <v/>
      </c>
      <c r="N1057" s="152">
        <f>IF(B1057="","",IF('02_대상물건입력'!B5="",1,IF(ISNUMBER(SEARCH('02_대상물건입력'!B5,B1057)),1,0)))</f>
        <v/>
      </c>
      <c r="O1057" s="152">
        <f>IF(B1057="","",IF('02_대상물건입력'!B6="",1,IF(ISNUMBER(SEARCH('02_대상물건입력'!B6,B1057)),1,0)))</f>
        <v/>
      </c>
      <c r="P1057" s="152">
        <f>IF(L1057="","",IF('02_대상물건입력'!B15="",0,IF(ISNUMBER(SEARCH('02_대상물건입력'!B15,L1057)),1,0)))</f>
        <v/>
      </c>
      <c r="Q1057" s="152">
        <f>IF(OR(C1057="",L1057=""),0,IF(AND(TRIM(C1057)=TRIM(RIGHT(SUBSTITUTE(TRIM('02_대상물건입력'!$B$7)," ",REPT(" ",99)),99)),IF('02_대상물건입력'!B15="",TRUE(),ISNUMBER(SEARCH('02_대상물건입력'!B15,L1057)))),1,0))</f>
        <v/>
      </c>
      <c r="R1057" s="175">
        <f>IFERROR(ABS(E1057-'02_대상물건입력'!B11)/'02_대상물건입력'!B11,"")</f>
        <v/>
      </c>
      <c r="S1057" s="152">
        <f>IFERROR(ABS(J1057-'02_대상물건입력'!B10),"")</f>
        <v/>
      </c>
      <c r="T1057" s="152">
        <f>IFERROR(ABS('01_설정'!B4-F1057),"")</f>
        <v/>
      </c>
      <c r="U1057" s="152">
        <f>IFERROR(ABS(K1057-YEAR('02_대상물건입력'!B14)),"")</f>
        <v/>
      </c>
      <c r="V1057" s="152">
        <f>IF(B1057="","",IF(AND(E1057&gt;0,F1057&gt;0,H1057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1057=1,TRUE()),R1057&lt;='01_설정'!B5,S1057&lt;='01_설정'!B6,T1057&lt;='01_설정'!B7,U1057&lt;='01_설정'!B8),"Y",""))</f>
        <v/>
      </c>
      <c r="W1057" s="172">
        <f>IF(V1057&lt;&gt;"Y","",MAX(0,(1-R1057/'01_설정'!B5))*'01_설정'!B14+MAX(0,(1-S1057/'01_설정'!B6))*'01_설정'!B15+MAX(0,(1-T1057/'01_설정'!B7))*'01_설정'!B16+MAX(0,(1-U1057/'01_설정'!B8))*'01_설정'!B17+O1057*'01_설정'!B11+Q1057*'01_설정'!B12+P1057*'01_설정'!B13+IF(Z1057="",0,Z1057))</f>
        <v/>
      </c>
      <c r="X1057" s="152">
        <f>IF(W1057="","",1+COUNTIFS($W$4:$W$3003,"&gt;"&amp;W1057)+COUNTIFS($W$4:W1057,W1057)-1)</f>
        <v/>
      </c>
      <c r="Y1057" s="175">
        <f>IF(OR(I1057="",'02_대상물건입력'!B19="",'02_대상물건입력'!B19&lt;=0),"",ABS(I1057-'02_대상물건입력'!B19)/'02_대상물건입력'!B19)</f>
        <v/>
      </c>
      <c r="Z1057" s="172">
        <f>IF(OR(Y1057="",'01_설정'!B31="",'01_설정'!B31&lt;=0,'01_설정'!B32="",'01_설정'!B32&lt;=0),"",MAX(0,(1-Y1057/'01_설정'!B32))*'01_설정'!B31)</f>
        <v/>
      </c>
    </row>
    <row r="1058" ht="17.25" customHeight="1">
      <c r="A1058" s="152">
        <f>IF(INDEX('04A_국토부원자료'!$A:$A,ROW()+1)="","",ROW()-3)</f>
        <v/>
      </c>
      <c r="B1058" s="48">
        <f>IFERROR(INDEX('04A_국토부원자료'!$A:$T,ROW()+1,MATCH("시군구",'04A_국토부원자료'!$A$4:$T$4,0)),"")</f>
        <v/>
      </c>
      <c r="C1058" s="48">
        <f>IF(B1058="","",IFERROR(INDEX('04A_국토부원자료'!$A:$T,ROW()+1,MATCH("번지",'04A_국토부원자료'!$A$4:$T$4,0)),""))</f>
        <v/>
      </c>
      <c r="D1058" s="48">
        <f>IF(B1058="","",IF(Q1058=1,'02_대상물건입력'!$B$8,IFERROR(INDEX('04A_국토부원자료'!$A:$T,ROW()+1,MATCH("단지명",'04A_국토부원자료'!$A$4:$T$4,0)),"")))</f>
        <v/>
      </c>
      <c r="E1058" s="172">
        <f>IFERROR(VALUE(SUBSTITUTE(INDEX('04A_국토부원자료'!$A:$T,ROW()+1,MATCH("전용면적(㎡)",'04A_국토부원자료'!$A$4:$T$4,0)),",","")),"")</f>
        <v/>
      </c>
      <c r="F10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58" s="51">
        <f>IFERROR(VALUE(SUBSTITUTE(INDEX('04A_국토부원자료'!$A:$T,ROW()+1,MATCH("거래금액(만원)",'04A_국토부원자료'!$A$4:$T$4,0)),",","")),"")</f>
        <v/>
      </c>
      <c r="H1058" s="174">
        <f>IF(G1058="","",G1058*10000)</f>
        <v/>
      </c>
      <c r="I1058" s="174">
        <f>IFERROR(IF(AND(H1058&gt;0,E1058&gt;0),H1058/E1058,""),"")</f>
        <v/>
      </c>
      <c r="J1058" s="152">
        <f>IFERROR(VALUE(SUBSTITUTE(INDEX('04A_국토부원자료'!$A:$T,ROW()+1,MATCH("층",'04A_국토부원자료'!$A$4:$T$4,0)),",","")),"")</f>
        <v/>
      </c>
      <c r="K1058" s="152">
        <f>IFERROR(VALUE(SUBSTITUTE(INDEX('04A_국토부원자료'!$A:$T,ROW()+1,MATCH("건축년도",'04A_국토부원자료'!$A$4:$T$4,0)),",","")),"")</f>
        <v/>
      </c>
      <c r="L1058" s="176">
        <f>IFERROR(INDEX('04A_국토부원자료'!$A:$T,ROW()+1,MATCH("도로명",'04A_국토부원자료'!$A$4:$T$4,0)),"")</f>
        <v/>
      </c>
      <c r="M1058" s="48">
        <f>IFERROR(INDEX('04A_국토부원자료'!$A:$T,ROW()+1,MATCH("거래유형",'04A_국토부원자료'!$A$4:$T$4,0)),"")</f>
        <v/>
      </c>
      <c r="N1058" s="152">
        <f>IF(B1058="","",IF('02_대상물건입력'!B5="",1,IF(ISNUMBER(SEARCH('02_대상물건입력'!B5,B1058)),1,0)))</f>
        <v/>
      </c>
      <c r="O1058" s="152">
        <f>IF(B1058="","",IF('02_대상물건입력'!B6="",1,IF(ISNUMBER(SEARCH('02_대상물건입력'!B6,B1058)),1,0)))</f>
        <v/>
      </c>
      <c r="P1058" s="152">
        <f>IF(L1058="","",IF('02_대상물건입력'!B15="",0,IF(ISNUMBER(SEARCH('02_대상물건입력'!B15,L1058)),1,0)))</f>
        <v/>
      </c>
      <c r="Q1058" s="152">
        <f>IF(OR(C1058="",L1058=""),0,IF(AND(TRIM(C1058)=TRIM(RIGHT(SUBSTITUTE(TRIM('02_대상물건입력'!$B$7)," ",REPT(" ",99)),99)),IF('02_대상물건입력'!B15="",TRUE(),ISNUMBER(SEARCH('02_대상물건입력'!B15,L1058)))),1,0))</f>
        <v/>
      </c>
      <c r="R1058" s="175">
        <f>IFERROR(ABS(E1058-'02_대상물건입력'!B11)/'02_대상물건입력'!B11,"")</f>
        <v/>
      </c>
      <c r="S1058" s="152">
        <f>IFERROR(ABS(J1058-'02_대상물건입력'!B10),"")</f>
        <v/>
      </c>
      <c r="T1058" s="152">
        <f>IFERROR(ABS('01_설정'!B4-F1058),"")</f>
        <v/>
      </c>
      <c r="U1058" s="152">
        <f>IFERROR(ABS(K1058-YEAR('02_대상물건입력'!B14)),"")</f>
        <v/>
      </c>
      <c r="V1058" s="152">
        <f>IF(B1058="","",IF(AND(E1058&gt;0,F1058&gt;0,H1058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1058=1,TRUE()),R1058&lt;='01_설정'!B5,S1058&lt;='01_설정'!B6,T1058&lt;='01_설정'!B7,U1058&lt;='01_설정'!B8),"Y",""))</f>
        <v/>
      </c>
      <c r="W1058" s="172">
        <f>IF(V1058&lt;&gt;"Y","",MAX(0,(1-R1058/'01_설정'!B5))*'01_설정'!B14+MAX(0,(1-S1058/'01_설정'!B6))*'01_설정'!B15+MAX(0,(1-T1058/'01_설정'!B7))*'01_설정'!B16+MAX(0,(1-U1058/'01_설정'!B8))*'01_설정'!B17+O1058*'01_설정'!B11+Q1058*'01_설정'!B12+P1058*'01_설정'!B13+IF(Z1058="",0,Z1058))</f>
        <v/>
      </c>
      <c r="X1058" s="152">
        <f>IF(W1058="","",1+COUNTIFS($W$4:$W$3003,"&gt;"&amp;W1058)+COUNTIFS($W$4:W1058,W1058)-1)</f>
        <v/>
      </c>
      <c r="Y1058" s="175">
        <f>IF(OR(I1058="",'02_대상물건입력'!B19="",'02_대상물건입력'!B19&lt;=0),"",ABS(I1058-'02_대상물건입력'!B19)/'02_대상물건입력'!B19)</f>
        <v/>
      </c>
      <c r="Z1058" s="172">
        <f>IF(OR(Y1058="",'01_설정'!B31="",'01_설정'!B31&lt;=0,'01_설정'!B32="",'01_설정'!B32&lt;=0),"",MAX(0,(1-Y1058/'01_설정'!B32))*'01_설정'!B31)</f>
        <v/>
      </c>
    </row>
    <row r="1059" ht="17.25" customHeight="1">
      <c r="A1059" s="152">
        <f>IF(INDEX('04A_국토부원자료'!$A:$A,ROW()+1)="","",ROW()-3)</f>
        <v/>
      </c>
      <c r="B1059" s="48">
        <f>IFERROR(INDEX('04A_국토부원자료'!$A:$T,ROW()+1,MATCH("시군구",'04A_국토부원자료'!$A$4:$T$4,0)),"")</f>
        <v/>
      </c>
      <c r="C1059" s="48">
        <f>IF(B1059="","",IFERROR(INDEX('04A_국토부원자료'!$A:$T,ROW()+1,MATCH("번지",'04A_국토부원자료'!$A$4:$T$4,0)),""))</f>
        <v/>
      </c>
      <c r="D1059" s="48">
        <f>IF(B1059="","",IF(Q1059=1,'02_대상물건입력'!$B$8,IFERROR(INDEX('04A_국토부원자료'!$A:$T,ROW()+1,MATCH("단지명",'04A_국토부원자료'!$A$4:$T$4,0)),"")))</f>
        <v/>
      </c>
      <c r="E1059" s="172">
        <f>IFERROR(VALUE(SUBSTITUTE(INDEX('04A_국토부원자료'!$A:$T,ROW()+1,MATCH("전용면적(㎡)",'04A_국토부원자료'!$A$4:$T$4,0)),",","")),"")</f>
        <v/>
      </c>
      <c r="F10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59" s="51">
        <f>IFERROR(VALUE(SUBSTITUTE(INDEX('04A_국토부원자료'!$A:$T,ROW()+1,MATCH("거래금액(만원)",'04A_국토부원자료'!$A$4:$T$4,0)),",","")),"")</f>
        <v/>
      </c>
      <c r="H1059" s="174">
        <f>IF(G1059="","",G1059*10000)</f>
        <v/>
      </c>
      <c r="I1059" s="174">
        <f>IFERROR(IF(AND(H1059&gt;0,E1059&gt;0),H1059/E1059,""),"")</f>
        <v/>
      </c>
      <c r="J1059" s="152">
        <f>IFERROR(VALUE(SUBSTITUTE(INDEX('04A_국토부원자료'!$A:$T,ROW()+1,MATCH("층",'04A_국토부원자료'!$A$4:$T$4,0)),",","")),"")</f>
        <v/>
      </c>
      <c r="K1059" s="152">
        <f>IFERROR(VALUE(SUBSTITUTE(INDEX('04A_국토부원자료'!$A:$T,ROW()+1,MATCH("건축년도",'04A_국토부원자료'!$A$4:$T$4,0)),",","")),"")</f>
        <v/>
      </c>
      <c r="L1059" s="176">
        <f>IFERROR(INDEX('04A_국토부원자료'!$A:$T,ROW()+1,MATCH("도로명",'04A_국토부원자료'!$A$4:$T$4,0)),"")</f>
        <v/>
      </c>
      <c r="M1059" s="48">
        <f>IFERROR(INDEX('04A_국토부원자료'!$A:$T,ROW()+1,MATCH("거래유형",'04A_국토부원자료'!$A$4:$T$4,0)),"")</f>
        <v/>
      </c>
      <c r="N1059" s="152">
        <f>IF(B1059="","",IF('02_대상물건입력'!B5="",1,IF(ISNUMBER(SEARCH('02_대상물건입력'!B5,B1059)),1,0)))</f>
        <v/>
      </c>
      <c r="O1059" s="152">
        <f>IF(B1059="","",IF('02_대상물건입력'!B6="",1,IF(ISNUMBER(SEARCH('02_대상물건입력'!B6,B1059)),1,0)))</f>
        <v/>
      </c>
      <c r="P1059" s="152">
        <f>IF(L1059="","",IF('02_대상물건입력'!B15="",0,IF(ISNUMBER(SEARCH('02_대상물건입력'!B15,L1059)),1,0)))</f>
        <v/>
      </c>
      <c r="Q1059" s="152">
        <f>IF(OR(C1059="",L1059=""),0,IF(AND(TRIM(C1059)=TRIM(RIGHT(SUBSTITUTE(TRIM('02_대상물건입력'!$B$7)," ",REPT(" ",99)),99)),IF('02_대상물건입력'!B15="",TRUE(),ISNUMBER(SEARCH('02_대상물건입력'!B15,L1059)))),1,0))</f>
        <v/>
      </c>
      <c r="R1059" s="175">
        <f>IFERROR(ABS(E1059-'02_대상물건입력'!B11)/'02_대상물건입력'!B11,"")</f>
        <v/>
      </c>
      <c r="S1059" s="152">
        <f>IFERROR(ABS(J1059-'02_대상물건입력'!B10),"")</f>
        <v/>
      </c>
      <c r="T1059" s="152">
        <f>IFERROR(ABS('01_설정'!B4-F1059),"")</f>
        <v/>
      </c>
      <c r="U1059" s="152">
        <f>IFERROR(ABS(K1059-YEAR('02_대상물건입력'!B14)),"")</f>
        <v/>
      </c>
      <c r="V1059" s="152">
        <f>IF(B1059="","",IF(AND(E1059&gt;0,F1059&gt;0,H1059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1059=1,TRUE()),R1059&lt;='01_설정'!B5,S1059&lt;='01_설정'!B6,T1059&lt;='01_설정'!B7,U1059&lt;='01_설정'!B8),"Y",""))</f>
        <v/>
      </c>
      <c r="W1059" s="172">
        <f>IF(V1059&lt;&gt;"Y","",MAX(0,(1-R1059/'01_설정'!B5))*'01_설정'!B14+MAX(0,(1-S1059/'01_설정'!B6))*'01_설정'!B15+MAX(0,(1-T1059/'01_설정'!B7))*'01_설정'!B16+MAX(0,(1-U1059/'01_설정'!B8))*'01_설정'!B17+O1059*'01_설정'!B11+Q1059*'01_설정'!B12+P1059*'01_설정'!B13+IF(Z1059="",0,Z1059))</f>
        <v/>
      </c>
      <c r="X1059" s="152">
        <f>IF(W1059="","",1+COUNTIFS($W$4:$W$3003,"&gt;"&amp;W1059)+COUNTIFS($W$4:W1059,W1059)-1)</f>
        <v/>
      </c>
      <c r="Y1059" s="175">
        <f>IF(OR(I1059="",'02_대상물건입력'!B19="",'02_대상물건입력'!B19&lt;=0),"",ABS(I1059-'02_대상물건입력'!B19)/'02_대상물건입력'!B19)</f>
        <v/>
      </c>
      <c r="Z1059" s="172">
        <f>IF(OR(Y1059="",'01_설정'!B31="",'01_설정'!B31&lt;=0,'01_설정'!B32="",'01_설정'!B32&lt;=0),"",MAX(0,(1-Y1059/'01_설정'!B32))*'01_설정'!B31)</f>
        <v/>
      </c>
    </row>
    <row r="1060" ht="17.25" customHeight="1">
      <c r="A1060" s="152">
        <f>IF(INDEX('04A_국토부원자료'!$A:$A,ROW()+1)="","",ROW()-3)</f>
        <v/>
      </c>
      <c r="B1060" s="48">
        <f>IFERROR(INDEX('04A_국토부원자료'!$A:$T,ROW()+1,MATCH("시군구",'04A_국토부원자료'!$A$4:$T$4,0)),"")</f>
        <v/>
      </c>
      <c r="C1060" s="48">
        <f>IF(B1060="","",IFERROR(INDEX('04A_국토부원자료'!$A:$T,ROW()+1,MATCH("번지",'04A_국토부원자료'!$A$4:$T$4,0)),""))</f>
        <v/>
      </c>
      <c r="D1060" s="48">
        <f>IF(B1060="","",IF(Q1060=1,'02_대상물건입력'!$B$8,IFERROR(INDEX('04A_국토부원자료'!$A:$T,ROW()+1,MATCH("단지명",'04A_국토부원자료'!$A$4:$T$4,0)),"")))</f>
        <v/>
      </c>
      <c r="E1060" s="172">
        <f>IFERROR(VALUE(SUBSTITUTE(INDEX('04A_국토부원자료'!$A:$T,ROW()+1,MATCH("전용면적(㎡)",'04A_국토부원자료'!$A$4:$T$4,0)),",","")),"")</f>
        <v/>
      </c>
      <c r="F10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60" s="51">
        <f>IFERROR(VALUE(SUBSTITUTE(INDEX('04A_국토부원자료'!$A:$T,ROW()+1,MATCH("거래금액(만원)",'04A_국토부원자료'!$A$4:$T$4,0)),",","")),"")</f>
        <v/>
      </c>
      <c r="H1060" s="174">
        <f>IF(G1060="","",G1060*10000)</f>
        <v/>
      </c>
      <c r="I1060" s="174">
        <f>IFERROR(IF(AND(H1060&gt;0,E1060&gt;0),H1060/E1060,""),"")</f>
        <v/>
      </c>
      <c r="J1060" s="152">
        <f>IFERROR(VALUE(SUBSTITUTE(INDEX('04A_국토부원자료'!$A:$T,ROW()+1,MATCH("층",'04A_국토부원자료'!$A$4:$T$4,0)),",","")),"")</f>
        <v/>
      </c>
      <c r="K1060" s="152">
        <f>IFERROR(VALUE(SUBSTITUTE(INDEX('04A_국토부원자료'!$A:$T,ROW()+1,MATCH("건축년도",'04A_국토부원자료'!$A$4:$T$4,0)),",","")),"")</f>
        <v/>
      </c>
      <c r="L1060" s="176">
        <f>IFERROR(INDEX('04A_국토부원자료'!$A:$T,ROW()+1,MATCH("도로명",'04A_국토부원자료'!$A$4:$T$4,0)),"")</f>
        <v/>
      </c>
      <c r="M1060" s="48">
        <f>IFERROR(INDEX('04A_국토부원자료'!$A:$T,ROW()+1,MATCH("거래유형",'04A_국토부원자료'!$A$4:$T$4,0)),"")</f>
        <v/>
      </c>
      <c r="N1060" s="152">
        <f>IF(B1060="","",IF('02_대상물건입력'!B5="",1,IF(ISNUMBER(SEARCH('02_대상물건입력'!B5,B1060)),1,0)))</f>
        <v/>
      </c>
      <c r="O1060" s="152">
        <f>IF(B1060="","",IF('02_대상물건입력'!B6="",1,IF(ISNUMBER(SEARCH('02_대상물건입력'!B6,B1060)),1,0)))</f>
        <v/>
      </c>
      <c r="P1060" s="152">
        <f>IF(L1060="","",IF('02_대상물건입력'!B15="",0,IF(ISNUMBER(SEARCH('02_대상물건입력'!B15,L1060)),1,0)))</f>
        <v/>
      </c>
      <c r="Q1060" s="152">
        <f>IF(OR(C1060="",L1060=""),0,IF(AND(TRIM(C1060)=TRIM(RIGHT(SUBSTITUTE(TRIM('02_대상물건입력'!$B$7)," ",REPT(" ",99)),99)),IF('02_대상물건입력'!B15="",TRUE(),ISNUMBER(SEARCH('02_대상물건입력'!B15,L1060)))),1,0))</f>
        <v/>
      </c>
      <c r="R1060" s="175">
        <f>IFERROR(ABS(E1060-'02_대상물건입력'!B11)/'02_대상물건입력'!B11,"")</f>
        <v/>
      </c>
      <c r="S1060" s="152">
        <f>IFERROR(ABS(J1060-'02_대상물건입력'!B10),"")</f>
        <v/>
      </c>
      <c r="T1060" s="152">
        <f>IFERROR(ABS('01_설정'!B4-F1060),"")</f>
        <v/>
      </c>
      <c r="U1060" s="152">
        <f>IFERROR(ABS(K1060-YEAR('02_대상물건입력'!B14)),"")</f>
        <v/>
      </c>
      <c r="V1060" s="152">
        <f>IF(B1060="","",IF(AND(E1060&gt;0,F1060&gt;0,H1060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1060=1,TRUE()),R1060&lt;='01_설정'!B5,S1060&lt;='01_설정'!B6,T1060&lt;='01_설정'!B7,U1060&lt;='01_설정'!B8),"Y",""))</f>
        <v/>
      </c>
      <c r="W1060" s="172">
        <f>IF(V1060&lt;&gt;"Y","",MAX(0,(1-R1060/'01_설정'!B5))*'01_설정'!B14+MAX(0,(1-S1060/'01_설정'!B6))*'01_설정'!B15+MAX(0,(1-T1060/'01_설정'!B7))*'01_설정'!B16+MAX(0,(1-U1060/'01_설정'!B8))*'01_설정'!B17+O1060*'01_설정'!B11+Q1060*'01_설정'!B12+P1060*'01_설정'!B13+IF(Z1060="",0,Z1060))</f>
        <v/>
      </c>
      <c r="X1060" s="152">
        <f>IF(W1060="","",1+COUNTIFS($W$4:$W$3003,"&gt;"&amp;W1060)+COUNTIFS($W$4:W1060,W1060)-1)</f>
        <v/>
      </c>
      <c r="Y1060" s="175">
        <f>IF(OR(I1060="",'02_대상물건입력'!B19="",'02_대상물건입력'!B19&lt;=0),"",ABS(I1060-'02_대상물건입력'!B19)/'02_대상물건입력'!B19)</f>
        <v/>
      </c>
      <c r="Z1060" s="172">
        <f>IF(OR(Y1060="",'01_설정'!B31="",'01_설정'!B31&lt;=0,'01_설정'!B32="",'01_설정'!B32&lt;=0),"",MAX(0,(1-Y1060/'01_설정'!B32))*'01_설정'!B31)</f>
        <v/>
      </c>
    </row>
    <row r="1061" ht="17.25" customHeight="1">
      <c r="A1061" s="152">
        <f>IF(INDEX('04A_국토부원자료'!$A:$A,ROW()+1)="","",ROW()-3)</f>
        <v/>
      </c>
      <c r="B1061" s="48">
        <f>IFERROR(INDEX('04A_국토부원자료'!$A:$T,ROW()+1,MATCH("시군구",'04A_국토부원자료'!$A$4:$T$4,0)),"")</f>
        <v/>
      </c>
      <c r="C1061" s="48">
        <f>IF(B1061="","",IFERROR(INDEX('04A_국토부원자료'!$A:$T,ROW()+1,MATCH("번지",'04A_국토부원자료'!$A$4:$T$4,0)),""))</f>
        <v/>
      </c>
      <c r="D1061" s="48">
        <f>IF(B1061="","",IF(Q1061=1,'02_대상물건입력'!$B$8,IFERROR(INDEX('04A_국토부원자료'!$A:$T,ROW()+1,MATCH("단지명",'04A_국토부원자료'!$A$4:$T$4,0)),"")))</f>
        <v/>
      </c>
      <c r="E1061" s="172">
        <f>IFERROR(VALUE(SUBSTITUTE(INDEX('04A_국토부원자료'!$A:$T,ROW()+1,MATCH("전용면적(㎡)",'04A_국토부원자료'!$A$4:$T$4,0)),",","")),"")</f>
        <v/>
      </c>
      <c r="F10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61" s="51">
        <f>IFERROR(VALUE(SUBSTITUTE(INDEX('04A_국토부원자료'!$A:$T,ROW()+1,MATCH("거래금액(만원)",'04A_국토부원자료'!$A$4:$T$4,0)),",","")),"")</f>
        <v/>
      </c>
      <c r="H1061" s="174">
        <f>IF(G1061="","",G1061*10000)</f>
        <v/>
      </c>
      <c r="I1061" s="174">
        <f>IFERROR(IF(AND(H1061&gt;0,E1061&gt;0),H1061/E1061,""),"")</f>
        <v/>
      </c>
      <c r="J1061" s="152">
        <f>IFERROR(VALUE(SUBSTITUTE(INDEX('04A_국토부원자료'!$A:$T,ROW()+1,MATCH("층",'04A_국토부원자료'!$A$4:$T$4,0)),",","")),"")</f>
        <v/>
      </c>
      <c r="K1061" s="152">
        <f>IFERROR(VALUE(SUBSTITUTE(INDEX('04A_국토부원자료'!$A:$T,ROW()+1,MATCH("건축년도",'04A_국토부원자료'!$A$4:$T$4,0)),",","")),"")</f>
        <v/>
      </c>
      <c r="L1061" s="176">
        <f>IFERROR(INDEX('04A_국토부원자료'!$A:$T,ROW()+1,MATCH("도로명",'04A_국토부원자료'!$A$4:$T$4,0)),"")</f>
        <v/>
      </c>
      <c r="M1061" s="48">
        <f>IFERROR(INDEX('04A_국토부원자료'!$A:$T,ROW()+1,MATCH("거래유형",'04A_국토부원자료'!$A$4:$T$4,0)),"")</f>
        <v/>
      </c>
      <c r="N1061" s="152">
        <f>IF(B1061="","",IF('02_대상물건입력'!B5="",1,IF(ISNUMBER(SEARCH('02_대상물건입력'!B5,B1061)),1,0)))</f>
        <v/>
      </c>
      <c r="O1061" s="152">
        <f>IF(B1061="","",IF('02_대상물건입력'!B6="",1,IF(ISNUMBER(SEARCH('02_대상물건입력'!B6,B1061)),1,0)))</f>
        <v/>
      </c>
      <c r="P1061" s="152">
        <f>IF(L1061="","",IF('02_대상물건입력'!B15="",0,IF(ISNUMBER(SEARCH('02_대상물건입력'!B15,L1061)),1,0)))</f>
        <v/>
      </c>
      <c r="Q1061" s="152">
        <f>IF(OR(C1061="",L1061=""),0,IF(AND(TRIM(C1061)=TRIM(RIGHT(SUBSTITUTE(TRIM('02_대상물건입력'!$B$7)," ",REPT(" ",99)),99)),IF('02_대상물건입력'!B15="",TRUE(),ISNUMBER(SEARCH('02_대상물건입력'!B15,L1061)))),1,0))</f>
        <v/>
      </c>
      <c r="R1061" s="175">
        <f>IFERROR(ABS(E1061-'02_대상물건입력'!B11)/'02_대상물건입력'!B11,"")</f>
        <v/>
      </c>
      <c r="S1061" s="152">
        <f>IFERROR(ABS(J1061-'02_대상물건입력'!B10),"")</f>
        <v/>
      </c>
      <c r="T1061" s="152">
        <f>IFERROR(ABS('01_설정'!B4-F1061),"")</f>
        <v/>
      </c>
      <c r="U1061" s="152">
        <f>IFERROR(ABS(K1061-YEAR('02_대상물건입력'!B14)),"")</f>
        <v/>
      </c>
      <c r="V1061" s="152">
        <f>IF(B1061="","",IF(AND(E1061&gt;0,F1061&gt;0,H1061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1061=1,TRUE()),R1061&lt;='01_설정'!B5,S1061&lt;='01_설정'!B6,T1061&lt;='01_설정'!B7,U1061&lt;='01_설정'!B8),"Y",""))</f>
        <v/>
      </c>
      <c r="W1061" s="172">
        <f>IF(V1061&lt;&gt;"Y","",MAX(0,(1-R1061/'01_설정'!B5))*'01_설정'!B14+MAX(0,(1-S1061/'01_설정'!B6))*'01_설정'!B15+MAX(0,(1-T1061/'01_설정'!B7))*'01_설정'!B16+MAX(0,(1-U1061/'01_설정'!B8))*'01_설정'!B17+O1061*'01_설정'!B11+Q1061*'01_설정'!B12+P1061*'01_설정'!B13+IF(Z1061="",0,Z1061))</f>
        <v/>
      </c>
      <c r="X1061" s="152">
        <f>IF(W1061="","",1+COUNTIFS($W$4:$W$3003,"&gt;"&amp;W1061)+COUNTIFS($W$4:W1061,W1061)-1)</f>
        <v/>
      </c>
      <c r="Y1061" s="175">
        <f>IF(OR(I1061="",'02_대상물건입력'!B19="",'02_대상물건입력'!B19&lt;=0),"",ABS(I1061-'02_대상물건입력'!B19)/'02_대상물건입력'!B19)</f>
        <v/>
      </c>
      <c r="Z1061" s="172">
        <f>IF(OR(Y1061="",'01_설정'!B31="",'01_설정'!B31&lt;=0,'01_설정'!B32="",'01_설정'!B32&lt;=0),"",MAX(0,(1-Y1061/'01_설정'!B32))*'01_설정'!B31)</f>
        <v/>
      </c>
    </row>
    <row r="1062" ht="17.25" customHeight="1">
      <c r="A1062" s="152">
        <f>IF(INDEX('04A_국토부원자료'!$A:$A,ROW()+1)="","",ROW()-3)</f>
        <v/>
      </c>
      <c r="B1062" s="48">
        <f>IFERROR(INDEX('04A_국토부원자료'!$A:$T,ROW()+1,MATCH("시군구",'04A_국토부원자료'!$A$4:$T$4,0)),"")</f>
        <v/>
      </c>
      <c r="C1062" s="48">
        <f>IF(B1062="","",IFERROR(INDEX('04A_국토부원자료'!$A:$T,ROW()+1,MATCH("번지",'04A_국토부원자료'!$A$4:$T$4,0)),""))</f>
        <v/>
      </c>
      <c r="D1062" s="48">
        <f>IF(B1062="","",IF(Q1062=1,'02_대상물건입력'!$B$8,IFERROR(INDEX('04A_국토부원자료'!$A:$T,ROW()+1,MATCH("단지명",'04A_국토부원자료'!$A$4:$T$4,0)),"")))</f>
        <v/>
      </c>
      <c r="E1062" s="172">
        <f>IFERROR(VALUE(SUBSTITUTE(INDEX('04A_국토부원자료'!$A:$T,ROW()+1,MATCH("전용면적(㎡)",'04A_국토부원자료'!$A$4:$T$4,0)),",","")),"")</f>
        <v/>
      </c>
      <c r="F10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62" s="51">
        <f>IFERROR(VALUE(SUBSTITUTE(INDEX('04A_국토부원자료'!$A:$T,ROW()+1,MATCH("거래금액(만원)",'04A_국토부원자료'!$A$4:$T$4,0)),",","")),"")</f>
        <v/>
      </c>
      <c r="H1062" s="174">
        <f>IF(G1062="","",G1062*10000)</f>
        <v/>
      </c>
      <c r="I1062" s="174">
        <f>IFERROR(IF(AND(H1062&gt;0,E1062&gt;0),H1062/E1062,""),"")</f>
        <v/>
      </c>
      <c r="J1062" s="152">
        <f>IFERROR(VALUE(SUBSTITUTE(INDEX('04A_국토부원자료'!$A:$T,ROW()+1,MATCH("층",'04A_국토부원자료'!$A$4:$T$4,0)),",","")),"")</f>
        <v/>
      </c>
      <c r="K1062" s="152">
        <f>IFERROR(VALUE(SUBSTITUTE(INDEX('04A_국토부원자료'!$A:$T,ROW()+1,MATCH("건축년도",'04A_국토부원자료'!$A$4:$T$4,0)),",","")),"")</f>
        <v/>
      </c>
      <c r="L1062" s="176">
        <f>IFERROR(INDEX('04A_국토부원자료'!$A:$T,ROW()+1,MATCH("도로명",'04A_국토부원자료'!$A$4:$T$4,0)),"")</f>
        <v/>
      </c>
      <c r="M1062" s="48">
        <f>IFERROR(INDEX('04A_국토부원자료'!$A:$T,ROW()+1,MATCH("거래유형",'04A_국토부원자료'!$A$4:$T$4,0)),"")</f>
        <v/>
      </c>
      <c r="N1062" s="152">
        <f>IF(B1062="","",IF('02_대상물건입력'!B5="",1,IF(ISNUMBER(SEARCH('02_대상물건입력'!B5,B1062)),1,0)))</f>
        <v/>
      </c>
      <c r="O1062" s="152">
        <f>IF(B1062="","",IF('02_대상물건입력'!B6="",1,IF(ISNUMBER(SEARCH('02_대상물건입력'!B6,B1062)),1,0)))</f>
        <v/>
      </c>
      <c r="P1062" s="152">
        <f>IF(L1062="","",IF('02_대상물건입력'!B15="",0,IF(ISNUMBER(SEARCH('02_대상물건입력'!B15,L1062)),1,0)))</f>
        <v/>
      </c>
      <c r="Q1062" s="152">
        <f>IF(OR(C1062="",L1062=""),0,IF(AND(TRIM(C1062)=TRIM(RIGHT(SUBSTITUTE(TRIM('02_대상물건입력'!$B$7)," ",REPT(" ",99)),99)),IF('02_대상물건입력'!B15="",TRUE(),ISNUMBER(SEARCH('02_대상물건입력'!B15,L1062)))),1,0))</f>
        <v/>
      </c>
      <c r="R1062" s="175">
        <f>IFERROR(ABS(E1062-'02_대상물건입력'!B11)/'02_대상물건입력'!B11,"")</f>
        <v/>
      </c>
      <c r="S1062" s="152">
        <f>IFERROR(ABS(J1062-'02_대상물건입력'!B10),"")</f>
        <v/>
      </c>
      <c r="T1062" s="152">
        <f>IFERROR(ABS('01_설정'!B4-F1062),"")</f>
        <v/>
      </c>
      <c r="U1062" s="152">
        <f>IFERROR(ABS(K1062-YEAR('02_대상물건입력'!B14)),"")</f>
        <v/>
      </c>
      <c r="V1062" s="152">
        <f>IF(B1062="","",IF(AND(E1062&gt;0,F1062&gt;0,H1062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1062=1,TRUE()),R1062&lt;='01_설정'!B5,S1062&lt;='01_설정'!B6,T1062&lt;='01_설정'!B7,U1062&lt;='01_설정'!B8),"Y",""))</f>
        <v/>
      </c>
      <c r="W1062" s="172">
        <f>IF(V1062&lt;&gt;"Y","",MAX(0,(1-R1062/'01_설정'!B5))*'01_설정'!B14+MAX(0,(1-S1062/'01_설정'!B6))*'01_설정'!B15+MAX(0,(1-T1062/'01_설정'!B7))*'01_설정'!B16+MAX(0,(1-U1062/'01_설정'!B8))*'01_설정'!B17+O1062*'01_설정'!B11+Q1062*'01_설정'!B12+P1062*'01_설정'!B13+IF(Z1062="",0,Z1062))</f>
        <v/>
      </c>
      <c r="X1062" s="152">
        <f>IF(W1062="","",1+COUNTIFS($W$4:$W$3003,"&gt;"&amp;W1062)+COUNTIFS($W$4:W1062,W1062)-1)</f>
        <v/>
      </c>
      <c r="Y1062" s="175">
        <f>IF(OR(I1062="",'02_대상물건입력'!B19="",'02_대상물건입력'!B19&lt;=0),"",ABS(I1062-'02_대상물건입력'!B19)/'02_대상물건입력'!B19)</f>
        <v/>
      </c>
      <c r="Z1062" s="172">
        <f>IF(OR(Y1062="",'01_설정'!B31="",'01_설정'!B31&lt;=0,'01_설정'!B32="",'01_설정'!B32&lt;=0),"",MAX(0,(1-Y1062/'01_설정'!B32))*'01_설정'!B31)</f>
        <v/>
      </c>
    </row>
    <row r="1063" ht="17.25" customHeight="1">
      <c r="A1063" s="152">
        <f>IF(INDEX('04A_국토부원자료'!$A:$A,ROW()+1)="","",ROW()-3)</f>
        <v/>
      </c>
      <c r="B1063" s="48">
        <f>IFERROR(INDEX('04A_국토부원자료'!$A:$T,ROW()+1,MATCH("시군구",'04A_국토부원자료'!$A$4:$T$4,0)),"")</f>
        <v/>
      </c>
      <c r="C1063" s="48">
        <f>IF(B1063="","",IFERROR(INDEX('04A_국토부원자료'!$A:$T,ROW()+1,MATCH("번지",'04A_국토부원자료'!$A$4:$T$4,0)),""))</f>
        <v/>
      </c>
      <c r="D1063" s="48">
        <f>IF(B1063="","",IF(Q1063=1,'02_대상물건입력'!$B$8,IFERROR(INDEX('04A_국토부원자료'!$A:$T,ROW()+1,MATCH("단지명",'04A_국토부원자료'!$A$4:$T$4,0)),"")))</f>
        <v/>
      </c>
      <c r="E1063" s="172">
        <f>IFERROR(VALUE(SUBSTITUTE(INDEX('04A_국토부원자료'!$A:$T,ROW()+1,MATCH("전용면적(㎡)",'04A_국토부원자료'!$A$4:$T$4,0)),",","")),"")</f>
        <v/>
      </c>
      <c r="F10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63" s="51">
        <f>IFERROR(VALUE(SUBSTITUTE(INDEX('04A_국토부원자료'!$A:$T,ROW()+1,MATCH("거래금액(만원)",'04A_국토부원자료'!$A$4:$T$4,0)),",","")),"")</f>
        <v/>
      </c>
      <c r="H1063" s="174">
        <f>IF(G1063="","",G1063*10000)</f>
        <v/>
      </c>
      <c r="I1063" s="174">
        <f>IFERROR(IF(AND(H1063&gt;0,E1063&gt;0),H1063/E1063,""),"")</f>
        <v/>
      </c>
      <c r="J1063" s="152">
        <f>IFERROR(VALUE(SUBSTITUTE(INDEX('04A_국토부원자료'!$A:$T,ROW()+1,MATCH("층",'04A_국토부원자료'!$A$4:$T$4,0)),",","")),"")</f>
        <v/>
      </c>
      <c r="K1063" s="152">
        <f>IFERROR(VALUE(SUBSTITUTE(INDEX('04A_국토부원자료'!$A:$T,ROW()+1,MATCH("건축년도",'04A_국토부원자료'!$A$4:$T$4,0)),",","")),"")</f>
        <v/>
      </c>
      <c r="L1063" s="176">
        <f>IFERROR(INDEX('04A_국토부원자료'!$A:$T,ROW()+1,MATCH("도로명",'04A_국토부원자료'!$A$4:$T$4,0)),"")</f>
        <v/>
      </c>
      <c r="M1063" s="48">
        <f>IFERROR(INDEX('04A_국토부원자료'!$A:$T,ROW()+1,MATCH("거래유형",'04A_국토부원자료'!$A$4:$T$4,0)),"")</f>
        <v/>
      </c>
      <c r="N1063" s="152">
        <f>IF(B1063="","",IF('02_대상물건입력'!B5="",1,IF(ISNUMBER(SEARCH('02_대상물건입력'!B5,B1063)),1,0)))</f>
        <v/>
      </c>
      <c r="O1063" s="152">
        <f>IF(B1063="","",IF('02_대상물건입력'!B6="",1,IF(ISNUMBER(SEARCH('02_대상물건입력'!B6,B1063)),1,0)))</f>
        <v/>
      </c>
      <c r="P1063" s="152">
        <f>IF(L1063="","",IF('02_대상물건입력'!B15="",0,IF(ISNUMBER(SEARCH('02_대상물건입력'!B15,L1063)),1,0)))</f>
        <v/>
      </c>
      <c r="Q1063" s="152">
        <f>IF(OR(C1063="",L1063=""),0,IF(AND(TRIM(C1063)=TRIM(RIGHT(SUBSTITUTE(TRIM('02_대상물건입력'!$B$7)," ",REPT(" ",99)),99)),IF('02_대상물건입력'!B15="",TRUE(),ISNUMBER(SEARCH('02_대상물건입력'!B15,L1063)))),1,0))</f>
        <v/>
      </c>
      <c r="R1063" s="175">
        <f>IFERROR(ABS(E1063-'02_대상물건입력'!B11)/'02_대상물건입력'!B11,"")</f>
        <v/>
      </c>
      <c r="S1063" s="152">
        <f>IFERROR(ABS(J1063-'02_대상물건입력'!B10),"")</f>
        <v/>
      </c>
      <c r="T1063" s="152">
        <f>IFERROR(ABS('01_설정'!B4-F1063),"")</f>
        <v/>
      </c>
      <c r="U1063" s="152">
        <f>IFERROR(ABS(K1063-YEAR('02_대상물건입력'!B14)),"")</f>
        <v/>
      </c>
      <c r="V1063" s="152">
        <f>IF(B1063="","",IF(AND(E1063&gt;0,F1063&gt;0,H1063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1063=1,TRUE()),R1063&lt;='01_설정'!B5,S1063&lt;='01_설정'!B6,T1063&lt;='01_설정'!B7,U1063&lt;='01_설정'!B8),"Y",""))</f>
        <v/>
      </c>
      <c r="W1063" s="172">
        <f>IF(V1063&lt;&gt;"Y","",MAX(0,(1-R1063/'01_설정'!B5))*'01_설정'!B14+MAX(0,(1-S1063/'01_설정'!B6))*'01_설정'!B15+MAX(0,(1-T1063/'01_설정'!B7))*'01_설정'!B16+MAX(0,(1-U1063/'01_설정'!B8))*'01_설정'!B17+O1063*'01_설정'!B11+Q1063*'01_설정'!B12+P1063*'01_설정'!B13+IF(Z1063="",0,Z1063))</f>
        <v/>
      </c>
      <c r="X1063" s="152">
        <f>IF(W1063="","",1+COUNTIFS($W$4:$W$3003,"&gt;"&amp;W1063)+COUNTIFS($W$4:W1063,W1063)-1)</f>
        <v/>
      </c>
      <c r="Y1063" s="175">
        <f>IF(OR(I1063="",'02_대상물건입력'!B19="",'02_대상물건입력'!B19&lt;=0),"",ABS(I1063-'02_대상물건입력'!B19)/'02_대상물건입력'!B19)</f>
        <v/>
      </c>
      <c r="Z1063" s="172">
        <f>IF(OR(Y1063="",'01_설정'!B31="",'01_설정'!B31&lt;=0,'01_설정'!B32="",'01_설정'!B32&lt;=0),"",MAX(0,(1-Y1063/'01_설정'!B32))*'01_설정'!B31)</f>
        <v/>
      </c>
    </row>
    <row r="1064" ht="17.25" customHeight="1">
      <c r="A1064" s="152">
        <f>IF(INDEX('04A_국토부원자료'!$A:$A,ROW()+1)="","",ROW()-3)</f>
        <v/>
      </c>
      <c r="B1064" s="48">
        <f>IFERROR(INDEX('04A_국토부원자료'!$A:$T,ROW()+1,MATCH("시군구",'04A_국토부원자료'!$A$4:$T$4,0)),"")</f>
        <v/>
      </c>
      <c r="C1064" s="48">
        <f>IF(B1064="","",IFERROR(INDEX('04A_국토부원자료'!$A:$T,ROW()+1,MATCH("번지",'04A_국토부원자료'!$A$4:$T$4,0)),""))</f>
        <v/>
      </c>
      <c r="D1064" s="48">
        <f>IF(B1064="","",IF(Q1064=1,'02_대상물건입력'!$B$8,IFERROR(INDEX('04A_국토부원자료'!$A:$T,ROW()+1,MATCH("단지명",'04A_국토부원자료'!$A$4:$T$4,0)),"")))</f>
        <v/>
      </c>
      <c r="E1064" s="172">
        <f>IFERROR(VALUE(SUBSTITUTE(INDEX('04A_국토부원자료'!$A:$T,ROW()+1,MATCH("전용면적(㎡)",'04A_국토부원자료'!$A$4:$T$4,0)),",","")),"")</f>
        <v/>
      </c>
      <c r="F10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64" s="51">
        <f>IFERROR(VALUE(SUBSTITUTE(INDEX('04A_국토부원자료'!$A:$T,ROW()+1,MATCH("거래금액(만원)",'04A_국토부원자료'!$A$4:$T$4,0)),",","")),"")</f>
        <v/>
      </c>
      <c r="H1064" s="174">
        <f>IF(G1064="","",G1064*10000)</f>
        <v/>
      </c>
      <c r="I1064" s="174">
        <f>IFERROR(IF(AND(H1064&gt;0,E1064&gt;0),H1064/E1064,""),"")</f>
        <v/>
      </c>
      <c r="J1064" s="152">
        <f>IFERROR(VALUE(SUBSTITUTE(INDEX('04A_국토부원자료'!$A:$T,ROW()+1,MATCH("층",'04A_국토부원자료'!$A$4:$T$4,0)),",","")),"")</f>
        <v/>
      </c>
      <c r="K1064" s="152">
        <f>IFERROR(VALUE(SUBSTITUTE(INDEX('04A_국토부원자료'!$A:$T,ROW()+1,MATCH("건축년도",'04A_국토부원자료'!$A$4:$T$4,0)),",","")),"")</f>
        <v/>
      </c>
      <c r="L1064" s="176">
        <f>IFERROR(INDEX('04A_국토부원자료'!$A:$T,ROW()+1,MATCH("도로명",'04A_국토부원자료'!$A$4:$T$4,0)),"")</f>
        <v/>
      </c>
      <c r="M1064" s="48">
        <f>IFERROR(INDEX('04A_국토부원자료'!$A:$T,ROW()+1,MATCH("거래유형",'04A_국토부원자료'!$A$4:$T$4,0)),"")</f>
        <v/>
      </c>
      <c r="N1064" s="152">
        <f>IF(B1064="","",IF('02_대상물건입력'!B5="",1,IF(ISNUMBER(SEARCH('02_대상물건입력'!B5,B1064)),1,0)))</f>
        <v/>
      </c>
      <c r="O1064" s="152">
        <f>IF(B1064="","",IF('02_대상물건입력'!B6="",1,IF(ISNUMBER(SEARCH('02_대상물건입력'!B6,B1064)),1,0)))</f>
        <v/>
      </c>
      <c r="P1064" s="152">
        <f>IF(L1064="","",IF('02_대상물건입력'!B15="",0,IF(ISNUMBER(SEARCH('02_대상물건입력'!B15,L1064)),1,0)))</f>
        <v/>
      </c>
      <c r="Q1064" s="152">
        <f>IF(OR(C1064="",L1064=""),0,IF(AND(TRIM(C1064)=TRIM(RIGHT(SUBSTITUTE(TRIM('02_대상물건입력'!$B$7)," ",REPT(" ",99)),99)),IF('02_대상물건입력'!B15="",TRUE(),ISNUMBER(SEARCH('02_대상물건입력'!B15,L1064)))),1,0))</f>
        <v/>
      </c>
      <c r="R1064" s="175">
        <f>IFERROR(ABS(E1064-'02_대상물건입력'!B11)/'02_대상물건입력'!B11,"")</f>
        <v/>
      </c>
      <c r="S1064" s="152">
        <f>IFERROR(ABS(J1064-'02_대상물건입력'!B10),"")</f>
        <v/>
      </c>
      <c r="T1064" s="152">
        <f>IFERROR(ABS('01_설정'!B4-F1064),"")</f>
        <v/>
      </c>
      <c r="U1064" s="152">
        <f>IFERROR(ABS(K1064-YEAR('02_대상물건입력'!B14)),"")</f>
        <v/>
      </c>
      <c r="V1064" s="152">
        <f>IF(B1064="","",IF(AND(E1064&gt;0,F1064&gt;0,H1064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1064=1,TRUE()),R1064&lt;='01_설정'!B5,S1064&lt;='01_설정'!B6,T1064&lt;='01_설정'!B7,U1064&lt;='01_설정'!B8),"Y",""))</f>
        <v/>
      </c>
      <c r="W1064" s="172">
        <f>IF(V1064&lt;&gt;"Y","",MAX(0,(1-R1064/'01_설정'!B5))*'01_설정'!B14+MAX(0,(1-S1064/'01_설정'!B6))*'01_설정'!B15+MAX(0,(1-T1064/'01_설정'!B7))*'01_설정'!B16+MAX(0,(1-U1064/'01_설정'!B8))*'01_설정'!B17+O1064*'01_설정'!B11+Q1064*'01_설정'!B12+P1064*'01_설정'!B13+IF(Z1064="",0,Z1064))</f>
        <v/>
      </c>
      <c r="X1064" s="152">
        <f>IF(W1064="","",1+COUNTIFS($W$4:$W$3003,"&gt;"&amp;W1064)+COUNTIFS($W$4:W1064,W1064)-1)</f>
        <v/>
      </c>
      <c r="Y1064" s="175">
        <f>IF(OR(I1064="",'02_대상물건입력'!B19="",'02_대상물건입력'!B19&lt;=0),"",ABS(I1064-'02_대상물건입력'!B19)/'02_대상물건입력'!B19)</f>
        <v/>
      </c>
      <c r="Z1064" s="172">
        <f>IF(OR(Y1064="",'01_설정'!B31="",'01_설정'!B31&lt;=0,'01_설정'!B32="",'01_설정'!B32&lt;=0),"",MAX(0,(1-Y1064/'01_설정'!B32))*'01_설정'!B31)</f>
        <v/>
      </c>
    </row>
    <row r="1065" ht="17.25" customHeight="1">
      <c r="A1065" s="152">
        <f>IF(INDEX('04A_국토부원자료'!$A:$A,ROW()+1)="","",ROW()-3)</f>
        <v/>
      </c>
      <c r="B1065" s="48">
        <f>IFERROR(INDEX('04A_국토부원자료'!$A:$T,ROW()+1,MATCH("시군구",'04A_국토부원자료'!$A$4:$T$4,0)),"")</f>
        <v/>
      </c>
      <c r="C1065" s="48">
        <f>IF(B1065="","",IFERROR(INDEX('04A_국토부원자료'!$A:$T,ROW()+1,MATCH("번지",'04A_국토부원자료'!$A$4:$T$4,0)),""))</f>
        <v/>
      </c>
      <c r="D1065" s="48">
        <f>IF(B1065="","",IF(Q1065=1,'02_대상물건입력'!$B$8,IFERROR(INDEX('04A_국토부원자료'!$A:$T,ROW()+1,MATCH("단지명",'04A_국토부원자료'!$A$4:$T$4,0)),"")))</f>
        <v/>
      </c>
      <c r="E1065" s="172">
        <f>IFERROR(VALUE(SUBSTITUTE(INDEX('04A_국토부원자료'!$A:$T,ROW()+1,MATCH("전용면적(㎡)",'04A_국토부원자료'!$A$4:$T$4,0)),",","")),"")</f>
        <v/>
      </c>
      <c r="F10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65" s="51">
        <f>IFERROR(VALUE(SUBSTITUTE(INDEX('04A_국토부원자료'!$A:$T,ROW()+1,MATCH("거래금액(만원)",'04A_국토부원자료'!$A$4:$T$4,0)),",","")),"")</f>
        <v/>
      </c>
      <c r="H1065" s="174">
        <f>IF(G1065="","",G1065*10000)</f>
        <v/>
      </c>
      <c r="I1065" s="174">
        <f>IFERROR(IF(AND(H1065&gt;0,E1065&gt;0),H1065/E1065,""),"")</f>
        <v/>
      </c>
      <c r="J1065" s="152">
        <f>IFERROR(VALUE(SUBSTITUTE(INDEX('04A_국토부원자료'!$A:$T,ROW()+1,MATCH("층",'04A_국토부원자료'!$A$4:$T$4,0)),",","")),"")</f>
        <v/>
      </c>
      <c r="K1065" s="152">
        <f>IFERROR(VALUE(SUBSTITUTE(INDEX('04A_국토부원자료'!$A:$T,ROW()+1,MATCH("건축년도",'04A_국토부원자료'!$A$4:$T$4,0)),",","")),"")</f>
        <v/>
      </c>
      <c r="L1065" s="176">
        <f>IFERROR(INDEX('04A_국토부원자료'!$A:$T,ROW()+1,MATCH("도로명",'04A_국토부원자료'!$A$4:$T$4,0)),"")</f>
        <v/>
      </c>
      <c r="M1065" s="48">
        <f>IFERROR(INDEX('04A_국토부원자료'!$A:$T,ROW()+1,MATCH("거래유형",'04A_국토부원자료'!$A$4:$T$4,0)),"")</f>
        <v/>
      </c>
      <c r="N1065" s="152">
        <f>IF(B1065="","",IF('02_대상물건입력'!B5="",1,IF(ISNUMBER(SEARCH('02_대상물건입력'!B5,B1065)),1,0)))</f>
        <v/>
      </c>
      <c r="O1065" s="152">
        <f>IF(B1065="","",IF('02_대상물건입력'!B6="",1,IF(ISNUMBER(SEARCH('02_대상물건입력'!B6,B1065)),1,0)))</f>
        <v/>
      </c>
      <c r="P1065" s="152">
        <f>IF(L1065="","",IF('02_대상물건입력'!B15="",0,IF(ISNUMBER(SEARCH('02_대상물건입력'!B15,L1065)),1,0)))</f>
        <v/>
      </c>
      <c r="Q1065" s="152">
        <f>IF(OR(C1065="",L1065=""),0,IF(AND(TRIM(C1065)=TRIM(RIGHT(SUBSTITUTE(TRIM('02_대상물건입력'!$B$7)," ",REPT(" ",99)),99)),IF('02_대상물건입력'!B15="",TRUE(),ISNUMBER(SEARCH('02_대상물건입력'!B15,L1065)))),1,0))</f>
        <v/>
      </c>
      <c r="R1065" s="175">
        <f>IFERROR(ABS(E1065-'02_대상물건입력'!B11)/'02_대상물건입력'!B11,"")</f>
        <v/>
      </c>
      <c r="S1065" s="152">
        <f>IFERROR(ABS(J1065-'02_대상물건입력'!B10),"")</f>
        <v/>
      </c>
      <c r="T1065" s="152">
        <f>IFERROR(ABS('01_설정'!B4-F1065),"")</f>
        <v/>
      </c>
      <c r="U1065" s="152">
        <f>IFERROR(ABS(K1065-YEAR('02_대상물건입력'!B14)),"")</f>
        <v/>
      </c>
      <c r="V1065" s="152">
        <f>IF(B1065="","",IF(AND(E1065&gt;0,F1065&gt;0,H1065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1065=1,TRUE()),R1065&lt;='01_설정'!B5,S1065&lt;='01_설정'!B6,T1065&lt;='01_설정'!B7,U1065&lt;='01_설정'!B8),"Y",""))</f>
        <v/>
      </c>
      <c r="W1065" s="172">
        <f>IF(V1065&lt;&gt;"Y","",MAX(0,(1-R1065/'01_설정'!B5))*'01_설정'!B14+MAX(0,(1-S1065/'01_설정'!B6))*'01_설정'!B15+MAX(0,(1-T1065/'01_설정'!B7))*'01_설정'!B16+MAX(0,(1-U1065/'01_설정'!B8))*'01_설정'!B17+O1065*'01_설정'!B11+Q1065*'01_설정'!B12+P1065*'01_설정'!B13+IF(Z1065="",0,Z1065))</f>
        <v/>
      </c>
      <c r="X1065" s="152">
        <f>IF(W1065="","",1+COUNTIFS($W$4:$W$3003,"&gt;"&amp;W1065)+COUNTIFS($W$4:W1065,W1065)-1)</f>
        <v/>
      </c>
      <c r="Y1065" s="175">
        <f>IF(OR(I1065="",'02_대상물건입력'!B19="",'02_대상물건입력'!B19&lt;=0),"",ABS(I1065-'02_대상물건입력'!B19)/'02_대상물건입력'!B19)</f>
        <v/>
      </c>
      <c r="Z1065" s="172">
        <f>IF(OR(Y1065="",'01_설정'!B31="",'01_설정'!B31&lt;=0,'01_설정'!B32="",'01_설정'!B32&lt;=0),"",MAX(0,(1-Y1065/'01_설정'!B32))*'01_설정'!B31)</f>
        <v/>
      </c>
    </row>
    <row r="1066" ht="17.25" customHeight="1">
      <c r="A1066" s="152">
        <f>IF(INDEX('04A_국토부원자료'!$A:$A,ROW()+1)="","",ROW()-3)</f>
        <v/>
      </c>
      <c r="B1066" s="48">
        <f>IFERROR(INDEX('04A_국토부원자료'!$A:$T,ROW()+1,MATCH("시군구",'04A_국토부원자료'!$A$4:$T$4,0)),"")</f>
        <v/>
      </c>
      <c r="C1066" s="48">
        <f>IF(B1066="","",IFERROR(INDEX('04A_국토부원자료'!$A:$T,ROW()+1,MATCH("번지",'04A_국토부원자료'!$A$4:$T$4,0)),""))</f>
        <v/>
      </c>
      <c r="D1066" s="48">
        <f>IF(B1066="","",IF(Q1066=1,'02_대상물건입력'!$B$8,IFERROR(INDEX('04A_국토부원자료'!$A:$T,ROW()+1,MATCH("단지명",'04A_국토부원자료'!$A$4:$T$4,0)),"")))</f>
        <v/>
      </c>
      <c r="E1066" s="172">
        <f>IFERROR(VALUE(SUBSTITUTE(INDEX('04A_국토부원자료'!$A:$T,ROW()+1,MATCH("전용면적(㎡)",'04A_국토부원자료'!$A$4:$T$4,0)),",","")),"")</f>
        <v/>
      </c>
      <c r="F10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66" s="51">
        <f>IFERROR(VALUE(SUBSTITUTE(INDEX('04A_국토부원자료'!$A:$T,ROW()+1,MATCH("거래금액(만원)",'04A_국토부원자료'!$A$4:$T$4,0)),",","")),"")</f>
        <v/>
      </c>
      <c r="H1066" s="174">
        <f>IF(G1066="","",G1066*10000)</f>
        <v/>
      </c>
      <c r="I1066" s="174">
        <f>IFERROR(IF(AND(H1066&gt;0,E1066&gt;0),H1066/E1066,""),"")</f>
        <v/>
      </c>
      <c r="J1066" s="152">
        <f>IFERROR(VALUE(SUBSTITUTE(INDEX('04A_국토부원자료'!$A:$T,ROW()+1,MATCH("층",'04A_국토부원자료'!$A$4:$T$4,0)),",","")),"")</f>
        <v/>
      </c>
      <c r="K1066" s="152">
        <f>IFERROR(VALUE(SUBSTITUTE(INDEX('04A_국토부원자료'!$A:$T,ROW()+1,MATCH("건축년도",'04A_국토부원자료'!$A$4:$T$4,0)),",","")),"")</f>
        <v/>
      </c>
      <c r="L1066" s="176">
        <f>IFERROR(INDEX('04A_국토부원자료'!$A:$T,ROW()+1,MATCH("도로명",'04A_국토부원자료'!$A$4:$T$4,0)),"")</f>
        <v/>
      </c>
      <c r="M1066" s="48">
        <f>IFERROR(INDEX('04A_국토부원자료'!$A:$T,ROW()+1,MATCH("거래유형",'04A_국토부원자료'!$A$4:$T$4,0)),"")</f>
        <v/>
      </c>
      <c r="N1066" s="152">
        <f>IF(B1066="","",IF('02_대상물건입력'!B5="",1,IF(ISNUMBER(SEARCH('02_대상물건입력'!B5,B1066)),1,0)))</f>
        <v/>
      </c>
      <c r="O1066" s="152">
        <f>IF(B1066="","",IF('02_대상물건입력'!B6="",1,IF(ISNUMBER(SEARCH('02_대상물건입력'!B6,B1066)),1,0)))</f>
        <v/>
      </c>
      <c r="P1066" s="152">
        <f>IF(L1066="","",IF('02_대상물건입력'!B15="",0,IF(ISNUMBER(SEARCH('02_대상물건입력'!B15,L1066)),1,0)))</f>
        <v/>
      </c>
      <c r="Q1066" s="152">
        <f>IF(OR(C1066="",L1066=""),0,IF(AND(TRIM(C1066)=TRIM(RIGHT(SUBSTITUTE(TRIM('02_대상물건입력'!$B$7)," ",REPT(" ",99)),99)),IF('02_대상물건입력'!B15="",TRUE(),ISNUMBER(SEARCH('02_대상물건입력'!B15,L1066)))),1,0))</f>
        <v/>
      </c>
      <c r="R1066" s="175">
        <f>IFERROR(ABS(E1066-'02_대상물건입력'!B11)/'02_대상물건입력'!B11,"")</f>
        <v/>
      </c>
      <c r="S1066" s="152">
        <f>IFERROR(ABS(J1066-'02_대상물건입력'!B10),"")</f>
        <v/>
      </c>
      <c r="T1066" s="152">
        <f>IFERROR(ABS('01_설정'!B4-F1066),"")</f>
        <v/>
      </c>
      <c r="U1066" s="152">
        <f>IFERROR(ABS(K1066-YEAR('02_대상물건입력'!B14)),"")</f>
        <v/>
      </c>
      <c r="V1066" s="152">
        <f>IF(B1066="","",IF(AND(E1066&gt;0,F1066&gt;0,H1066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1066=1,TRUE()),R1066&lt;='01_설정'!B5,S1066&lt;='01_설정'!B6,T1066&lt;='01_설정'!B7,U1066&lt;='01_설정'!B8),"Y",""))</f>
        <v/>
      </c>
      <c r="W1066" s="172">
        <f>IF(V1066&lt;&gt;"Y","",MAX(0,(1-R1066/'01_설정'!B5))*'01_설정'!B14+MAX(0,(1-S1066/'01_설정'!B6))*'01_설정'!B15+MAX(0,(1-T1066/'01_설정'!B7))*'01_설정'!B16+MAX(0,(1-U1066/'01_설정'!B8))*'01_설정'!B17+O1066*'01_설정'!B11+Q1066*'01_설정'!B12+P1066*'01_설정'!B13+IF(Z1066="",0,Z1066))</f>
        <v/>
      </c>
      <c r="X1066" s="152">
        <f>IF(W1066="","",1+COUNTIFS($W$4:$W$3003,"&gt;"&amp;W1066)+COUNTIFS($W$4:W1066,W1066)-1)</f>
        <v/>
      </c>
      <c r="Y1066" s="175">
        <f>IF(OR(I1066="",'02_대상물건입력'!B19="",'02_대상물건입력'!B19&lt;=0),"",ABS(I1066-'02_대상물건입력'!B19)/'02_대상물건입력'!B19)</f>
        <v/>
      </c>
      <c r="Z1066" s="172">
        <f>IF(OR(Y1066="",'01_설정'!B31="",'01_설정'!B31&lt;=0,'01_설정'!B32="",'01_설정'!B32&lt;=0),"",MAX(0,(1-Y1066/'01_설정'!B32))*'01_설정'!B31)</f>
        <v/>
      </c>
    </row>
    <row r="1067" ht="17.25" customHeight="1">
      <c r="A1067" s="152">
        <f>IF(INDEX('04A_국토부원자료'!$A:$A,ROW()+1)="","",ROW()-3)</f>
        <v/>
      </c>
      <c r="B1067" s="48">
        <f>IFERROR(INDEX('04A_국토부원자료'!$A:$T,ROW()+1,MATCH("시군구",'04A_국토부원자료'!$A$4:$T$4,0)),"")</f>
        <v/>
      </c>
      <c r="C1067" s="48">
        <f>IF(B1067="","",IFERROR(INDEX('04A_국토부원자료'!$A:$T,ROW()+1,MATCH("번지",'04A_국토부원자료'!$A$4:$T$4,0)),""))</f>
        <v/>
      </c>
      <c r="D1067" s="48">
        <f>IF(B1067="","",IF(Q1067=1,'02_대상물건입력'!$B$8,IFERROR(INDEX('04A_국토부원자료'!$A:$T,ROW()+1,MATCH("단지명",'04A_국토부원자료'!$A$4:$T$4,0)),"")))</f>
        <v/>
      </c>
      <c r="E1067" s="172">
        <f>IFERROR(VALUE(SUBSTITUTE(INDEX('04A_국토부원자료'!$A:$T,ROW()+1,MATCH("전용면적(㎡)",'04A_국토부원자료'!$A$4:$T$4,0)),",","")),"")</f>
        <v/>
      </c>
      <c r="F10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67" s="51">
        <f>IFERROR(VALUE(SUBSTITUTE(INDEX('04A_국토부원자료'!$A:$T,ROW()+1,MATCH("거래금액(만원)",'04A_국토부원자료'!$A$4:$T$4,0)),",","")),"")</f>
        <v/>
      </c>
      <c r="H1067" s="174">
        <f>IF(G1067="","",G1067*10000)</f>
        <v/>
      </c>
      <c r="I1067" s="174">
        <f>IFERROR(IF(AND(H1067&gt;0,E1067&gt;0),H1067/E1067,""),"")</f>
        <v/>
      </c>
      <c r="J1067" s="152">
        <f>IFERROR(VALUE(SUBSTITUTE(INDEX('04A_국토부원자료'!$A:$T,ROW()+1,MATCH("층",'04A_국토부원자료'!$A$4:$T$4,0)),",","")),"")</f>
        <v/>
      </c>
      <c r="K1067" s="152">
        <f>IFERROR(VALUE(SUBSTITUTE(INDEX('04A_국토부원자료'!$A:$T,ROW()+1,MATCH("건축년도",'04A_국토부원자료'!$A$4:$T$4,0)),",","")),"")</f>
        <v/>
      </c>
      <c r="L1067" s="176">
        <f>IFERROR(INDEX('04A_국토부원자료'!$A:$T,ROW()+1,MATCH("도로명",'04A_국토부원자료'!$A$4:$T$4,0)),"")</f>
        <v/>
      </c>
      <c r="M1067" s="48">
        <f>IFERROR(INDEX('04A_국토부원자료'!$A:$T,ROW()+1,MATCH("거래유형",'04A_국토부원자료'!$A$4:$T$4,0)),"")</f>
        <v/>
      </c>
      <c r="N1067" s="152">
        <f>IF(B1067="","",IF('02_대상물건입력'!B5="",1,IF(ISNUMBER(SEARCH('02_대상물건입력'!B5,B1067)),1,0)))</f>
        <v/>
      </c>
      <c r="O1067" s="152">
        <f>IF(B1067="","",IF('02_대상물건입력'!B6="",1,IF(ISNUMBER(SEARCH('02_대상물건입력'!B6,B1067)),1,0)))</f>
        <v/>
      </c>
      <c r="P1067" s="152">
        <f>IF(L1067="","",IF('02_대상물건입력'!B15="",0,IF(ISNUMBER(SEARCH('02_대상물건입력'!B15,L1067)),1,0)))</f>
        <v/>
      </c>
      <c r="Q1067" s="152">
        <f>IF(OR(C1067="",L1067=""),0,IF(AND(TRIM(C1067)=TRIM(RIGHT(SUBSTITUTE(TRIM('02_대상물건입력'!$B$7)," ",REPT(" ",99)),99)),IF('02_대상물건입력'!B15="",TRUE(),ISNUMBER(SEARCH('02_대상물건입력'!B15,L1067)))),1,0))</f>
        <v/>
      </c>
      <c r="R1067" s="175">
        <f>IFERROR(ABS(E1067-'02_대상물건입력'!B11)/'02_대상물건입력'!B11,"")</f>
        <v/>
      </c>
      <c r="S1067" s="152">
        <f>IFERROR(ABS(J1067-'02_대상물건입력'!B10),"")</f>
        <v/>
      </c>
      <c r="T1067" s="152">
        <f>IFERROR(ABS('01_설정'!B4-F1067),"")</f>
        <v/>
      </c>
      <c r="U1067" s="152">
        <f>IFERROR(ABS(K1067-YEAR('02_대상물건입력'!B14)),"")</f>
        <v/>
      </c>
      <c r="V1067" s="152">
        <f>IF(B1067="","",IF(AND(E1067&gt;0,F1067&gt;0,H1067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1067=1,TRUE()),R1067&lt;='01_설정'!B5,S1067&lt;='01_설정'!B6,T1067&lt;='01_설정'!B7,U1067&lt;='01_설정'!B8),"Y",""))</f>
        <v/>
      </c>
      <c r="W1067" s="172">
        <f>IF(V1067&lt;&gt;"Y","",MAX(0,(1-R1067/'01_설정'!B5))*'01_설정'!B14+MAX(0,(1-S1067/'01_설정'!B6))*'01_설정'!B15+MAX(0,(1-T1067/'01_설정'!B7))*'01_설정'!B16+MAX(0,(1-U1067/'01_설정'!B8))*'01_설정'!B17+O1067*'01_설정'!B11+Q1067*'01_설정'!B12+P1067*'01_설정'!B13+IF(Z1067="",0,Z1067))</f>
        <v/>
      </c>
      <c r="X1067" s="152">
        <f>IF(W1067="","",1+COUNTIFS($W$4:$W$3003,"&gt;"&amp;W1067)+COUNTIFS($W$4:W1067,W1067)-1)</f>
        <v/>
      </c>
      <c r="Y1067" s="175">
        <f>IF(OR(I1067="",'02_대상물건입력'!B19="",'02_대상물건입력'!B19&lt;=0),"",ABS(I1067-'02_대상물건입력'!B19)/'02_대상물건입력'!B19)</f>
        <v/>
      </c>
      <c r="Z1067" s="172">
        <f>IF(OR(Y1067="",'01_설정'!B31="",'01_설정'!B31&lt;=0,'01_설정'!B32="",'01_설정'!B32&lt;=0),"",MAX(0,(1-Y1067/'01_설정'!B32))*'01_설정'!B31)</f>
        <v/>
      </c>
    </row>
    <row r="1068" ht="17.25" customHeight="1">
      <c r="A1068" s="152">
        <f>IF(INDEX('04A_국토부원자료'!$A:$A,ROW()+1)="","",ROW()-3)</f>
        <v/>
      </c>
      <c r="B1068" s="48">
        <f>IFERROR(INDEX('04A_국토부원자료'!$A:$T,ROW()+1,MATCH("시군구",'04A_국토부원자료'!$A$4:$T$4,0)),"")</f>
        <v/>
      </c>
      <c r="C1068" s="48">
        <f>IF(B1068="","",IFERROR(INDEX('04A_국토부원자료'!$A:$T,ROW()+1,MATCH("번지",'04A_국토부원자료'!$A$4:$T$4,0)),""))</f>
        <v/>
      </c>
      <c r="D1068" s="48">
        <f>IF(B1068="","",IF(Q1068=1,'02_대상물건입력'!$B$8,IFERROR(INDEX('04A_국토부원자료'!$A:$T,ROW()+1,MATCH("단지명",'04A_국토부원자료'!$A$4:$T$4,0)),"")))</f>
        <v/>
      </c>
      <c r="E1068" s="172">
        <f>IFERROR(VALUE(SUBSTITUTE(INDEX('04A_국토부원자료'!$A:$T,ROW()+1,MATCH("전용면적(㎡)",'04A_국토부원자료'!$A$4:$T$4,0)),",","")),"")</f>
        <v/>
      </c>
      <c r="F10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68" s="51">
        <f>IFERROR(VALUE(SUBSTITUTE(INDEX('04A_국토부원자료'!$A:$T,ROW()+1,MATCH("거래금액(만원)",'04A_국토부원자료'!$A$4:$T$4,0)),",","")),"")</f>
        <v/>
      </c>
      <c r="H1068" s="174">
        <f>IF(G1068="","",G1068*10000)</f>
        <v/>
      </c>
      <c r="I1068" s="174">
        <f>IFERROR(IF(AND(H1068&gt;0,E1068&gt;0),H1068/E1068,""),"")</f>
        <v/>
      </c>
      <c r="J1068" s="152">
        <f>IFERROR(VALUE(SUBSTITUTE(INDEX('04A_국토부원자료'!$A:$T,ROW()+1,MATCH("층",'04A_국토부원자료'!$A$4:$T$4,0)),",","")),"")</f>
        <v/>
      </c>
      <c r="K1068" s="152">
        <f>IFERROR(VALUE(SUBSTITUTE(INDEX('04A_국토부원자료'!$A:$T,ROW()+1,MATCH("건축년도",'04A_국토부원자료'!$A$4:$T$4,0)),",","")),"")</f>
        <v/>
      </c>
      <c r="L1068" s="176">
        <f>IFERROR(INDEX('04A_국토부원자료'!$A:$T,ROW()+1,MATCH("도로명",'04A_국토부원자료'!$A$4:$T$4,0)),"")</f>
        <v/>
      </c>
      <c r="M1068" s="48">
        <f>IFERROR(INDEX('04A_국토부원자료'!$A:$T,ROW()+1,MATCH("거래유형",'04A_국토부원자료'!$A$4:$T$4,0)),"")</f>
        <v/>
      </c>
      <c r="N1068" s="152">
        <f>IF(B1068="","",IF('02_대상물건입력'!B5="",1,IF(ISNUMBER(SEARCH('02_대상물건입력'!B5,B1068)),1,0)))</f>
        <v/>
      </c>
      <c r="O1068" s="152">
        <f>IF(B1068="","",IF('02_대상물건입력'!B6="",1,IF(ISNUMBER(SEARCH('02_대상물건입력'!B6,B1068)),1,0)))</f>
        <v/>
      </c>
      <c r="P1068" s="152">
        <f>IF(L1068="","",IF('02_대상물건입력'!B15="",0,IF(ISNUMBER(SEARCH('02_대상물건입력'!B15,L1068)),1,0)))</f>
        <v/>
      </c>
      <c r="Q1068" s="152">
        <f>IF(OR(C1068="",L1068=""),0,IF(AND(TRIM(C1068)=TRIM(RIGHT(SUBSTITUTE(TRIM('02_대상물건입력'!$B$7)," ",REPT(" ",99)),99)),IF('02_대상물건입력'!B15="",TRUE(),ISNUMBER(SEARCH('02_대상물건입력'!B15,L1068)))),1,0))</f>
        <v/>
      </c>
      <c r="R1068" s="175">
        <f>IFERROR(ABS(E1068-'02_대상물건입력'!B11)/'02_대상물건입력'!B11,"")</f>
        <v/>
      </c>
      <c r="S1068" s="152">
        <f>IFERROR(ABS(J1068-'02_대상물건입력'!B10),"")</f>
        <v/>
      </c>
      <c r="T1068" s="152">
        <f>IFERROR(ABS('01_설정'!B4-F1068),"")</f>
        <v/>
      </c>
      <c r="U1068" s="152">
        <f>IFERROR(ABS(K1068-YEAR('02_대상물건입력'!B14)),"")</f>
        <v/>
      </c>
      <c r="V1068" s="152">
        <f>IF(B1068="","",IF(AND(E1068&gt;0,F1068&gt;0,H1068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1068=1,TRUE()),R1068&lt;='01_설정'!B5,S1068&lt;='01_설정'!B6,T1068&lt;='01_설정'!B7,U1068&lt;='01_설정'!B8),"Y",""))</f>
        <v/>
      </c>
      <c r="W1068" s="172">
        <f>IF(V1068&lt;&gt;"Y","",MAX(0,(1-R1068/'01_설정'!B5))*'01_설정'!B14+MAX(0,(1-S1068/'01_설정'!B6))*'01_설정'!B15+MAX(0,(1-T1068/'01_설정'!B7))*'01_설정'!B16+MAX(0,(1-U1068/'01_설정'!B8))*'01_설정'!B17+O1068*'01_설정'!B11+Q1068*'01_설정'!B12+P1068*'01_설정'!B13+IF(Z1068="",0,Z1068))</f>
        <v/>
      </c>
      <c r="X1068" s="152">
        <f>IF(W1068="","",1+COUNTIFS($W$4:$W$3003,"&gt;"&amp;W1068)+COUNTIFS($W$4:W1068,W1068)-1)</f>
        <v/>
      </c>
      <c r="Y1068" s="175">
        <f>IF(OR(I1068="",'02_대상물건입력'!B19="",'02_대상물건입력'!B19&lt;=0),"",ABS(I1068-'02_대상물건입력'!B19)/'02_대상물건입력'!B19)</f>
        <v/>
      </c>
      <c r="Z1068" s="172">
        <f>IF(OR(Y1068="",'01_설정'!B31="",'01_설정'!B31&lt;=0,'01_설정'!B32="",'01_설정'!B32&lt;=0),"",MAX(0,(1-Y1068/'01_설정'!B32))*'01_설정'!B31)</f>
        <v/>
      </c>
    </row>
    <row r="1069" ht="17.25" customHeight="1">
      <c r="A1069" s="152">
        <f>IF(INDEX('04A_국토부원자료'!$A:$A,ROW()+1)="","",ROW()-3)</f>
        <v/>
      </c>
      <c r="B1069" s="48">
        <f>IFERROR(INDEX('04A_국토부원자료'!$A:$T,ROW()+1,MATCH("시군구",'04A_국토부원자료'!$A$4:$T$4,0)),"")</f>
        <v/>
      </c>
      <c r="C1069" s="48">
        <f>IF(B1069="","",IFERROR(INDEX('04A_국토부원자료'!$A:$T,ROW()+1,MATCH("번지",'04A_국토부원자료'!$A$4:$T$4,0)),""))</f>
        <v/>
      </c>
      <c r="D1069" s="48">
        <f>IF(B1069="","",IF(Q1069=1,'02_대상물건입력'!$B$8,IFERROR(INDEX('04A_국토부원자료'!$A:$T,ROW()+1,MATCH("단지명",'04A_국토부원자료'!$A$4:$T$4,0)),"")))</f>
        <v/>
      </c>
      <c r="E1069" s="172">
        <f>IFERROR(VALUE(SUBSTITUTE(INDEX('04A_국토부원자료'!$A:$T,ROW()+1,MATCH("전용면적(㎡)",'04A_국토부원자료'!$A$4:$T$4,0)),",","")),"")</f>
        <v/>
      </c>
      <c r="F10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69" s="51">
        <f>IFERROR(VALUE(SUBSTITUTE(INDEX('04A_국토부원자료'!$A:$T,ROW()+1,MATCH("거래금액(만원)",'04A_국토부원자료'!$A$4:$T$4,0)),",","")),"")</f>
        <v/>
      </c>
      <c r="H1069" s="174">
        <f>IF(G1069="","",G1069*10000)</f>
        <v/>
      </c>
      <c r="I1069" s="174">
        <f>IFERROR(IF(AND(H1069&gt;0,E1069&gt;0),H1069/E1069,""),"")</f>
        <v/>
      </c>
      <c r="J1069" s="152">
        <f>IFERROR(VALUE(SUBSTITUTE(INDEX('04A_국토부원자료'!$A:$T,ROW()+1,MATCH("층",'04A_국토부원자료'!$A$4:$T$4,0)),",","")),"")</f>
        <v/>
      </c>
      <c r="K1069" s="152">
        <f>IFERROR(VALUE(SUBSTITUTE(INDEX('04A_국토부원자료'!$A:$T,ROW()+1,MATCH("건축년도",'04A_국토부원자료'!$A$4:$T$4,0)),",","")),"")</f>
        <v/>
      </c>
      <c r="L1069" s="176">
        <f>IFERROR(INDEX('04A_국토부원자료'!$A:$T,ROW()+1,MATCH("도로명",'04A_국토부원자료'!$A$4:$T$4,0)),"")</f>
        <v/>
      </c>
      <c r="M1069" s="48">
        <f>IFERROR(INDEX('04A_국토부원자료'!$A:$T,ROW()+1,MATCH("거래유형",'04A_국토부원자료'!$A$4:$T$4,0)),"")</f>
        <v/>
      </c>
      <c r="N1069" s="152">
        <f>IF(B1069="","",IF('02_대상물건입력'!B5="",1,IF(ISNUMBER(SEARCH('02_대상물건입력'!B5,B1069)),1,0)))</f>
        <v/>
      </c>
      <c r="O1069" s="152">
        <f>IF(B1069="","",IF('02_대상물건입력'!B6="",1,IF(ISNUMBER(SEARCH('02_대상물건입력'!B6,B1069)),1,0)))</f>
        <v/>
      </c>
      <c r="P1069" s="152">
        <f>IF(L1069="","",IF('02_대상물건입력'!B15="",0,IF(ISNUMBER(SEARCH('02_대상물건입력'!B15,L1069)),1,0)))</f>
        <v/>
      </c>
      <c r="Q1069" s="152">
        <f>IF(OR(C1069="",L1069=""),0,IF(AND(TRIM(C1069)=TRIM(RIGHT(SUBSTITUTE(TRIM('02_대상물건입력'!$B$7)," ",REPT(" ",99)),99)),IF('02_대상물건입력'!B15="",TRUE(),ISNUMBER(SEARCH('02_대상물건입력'!B15,L1069)))),1,0))</f>
        <v/>
      </c>
      <c r="R1069" s="175">
        <f>IFERROR(ABS(E1069-'02_대상물건입력'!B11)/'02_대상물건입력'!B11,"")</f>
        <v/>
      </c>
      <c r="S1069" s="152">
        <f>IFERROR(ABS(J1069-'02_대상물건입력'!B10),"")</f>
        <v/>
      </c>
      <c r="T1069" s="152">
        <f>IFERROR(ABS('01_설정'!B4-F1069),"")</f>
        <v/>
      </c>
      <c r="U1069" s="152">
        <f>IFERROR(ABS(K1069-YEAR('02_대상물건입력'!B14)),"")</f>
        <v/>
      </c>
      <c r="V1069" s="152">
        <f>IF(B1069="","",IF(AND(E1069&gt;0,F1069&gt;0,H1069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1069=1,TRUE()),R1069&lt;='01_설정'!B5,S1069&lt;='01_설정'!B6,T1069&lt;='01_설정'!B7,U1069&lt;='01_설정'!B8),"Y",""))</f>
        <v/>
      </c>
      <c r="W1069" s="172">
        <f>IF(V1069&lt;&gt;"Y","",MAX(0,(1-R1069/'01_설정'!B5))*'01_설정'!B14+MAX(0,(1-S1069/'01_설정'!B6))*'01_설정'!B15+MAX(0,(1-T1069/'01_설정'!B7))*'01_설정'!B16+MAX(0,(1-U1069/'01_설정'!B8))*'01_설정'!B17+O1069*'01_설정'!B11+Q1069*'01_설정'!B12+P1069*'01_설정'!B13+IF(Z1069="",0,Z1069))</f>
        <v/>
      </c>
      <c r="X1069" s="152">
        <f>IF(W1069="","",1+COUNTIFS($W$4:$W$3003,"&gt;"&amp;W1069)+COUNTIFS($W$4:W1069,W1069)-1)</f>
        <v/>
      </c>
      <c r="Y1069" s="175">
        <f>IF(OR(I1069="",'02_대상물건입력'!B19="",'02_대상물건입력'!B19&lt;=0),"",ABS(I1069-'02_대상물건입력'!B19)/'02_대상물건입력'!B19)</f>
        <v/>
      </c>
      <c r="Z1069" s="172">
        <f>IF(OR(Y1069="",'01_설정'!B31="",'01_설정'!B31&lt;=0,'01_설정'!B32="",'01_설정'!B32&lt;=0),"",MAX(0,(1-Y1069/'01_설정'!B32))*'01_설정'!B31)</f>
        <v/>
      </c>
    </row>
    <row r="1070" ht="17.25" customHeight="1">
      <c r="A1070" s="152">
        <f>IF(INDEX('04A_국토부원자료'!$A:$A,ROW()+1)="","",ROW()-3)</f>
        <v/>
      </c>
      <c r="B1070" s="48">
        <f>IFERROR(INDEX('04A_국토부원자료'!$A:$T,ROW()+1,MATCH("시군구",'04A_국토부원자료'!$A$4:$T$4,0)),"")</f>
        <v/>
      </c>
      <c r="C1070" s="48">
        <f>IF(B1070="","",IFERROR(INDEX('04A_국토부원자료'!$A:$T,ROW()+1,MATCH("번지",'04A_국토부원자료'!$A$4:$T$4,0)),""))</f>
        <v/>
      </c>
      <c r="D1070" s="48">
        <f>IF(B1070="","",IF(Q1070=1,'02_대상물건입력'!$B$8,IFERROR(INDEX('04A_국토부원자료'!$A:$T,ROW()+1,MATCH("단지명",'04A_국토부원자료'!$A$4:$T$4,0)),"")))</f>
        <v/>
      </c>
      <c r="E1070" s="172">
        <f>IFERROR(VALUE(SUBSTITUTE(INDEX('04A_국토부원자료'!$A:$T,ROW()+1,MATCH("전용면적(㎡)",'04A_국토부원자료'!$A$4:$T$4,0)),",","")),"")</f>
        <v/>
      </c>
      <c r="F10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70" s="51">
        <f>IFERROR(VALUE(SUBSTITUTE(INDEX('04A_국토부원자료'!$A:$T,ROW()+1,MATCH("거래금액(만원)",'04A_국토부원자료'!$A$4:$T$4,0)),",","")),"")</f>
        <v/>
      </c>
      <c r="H1070" s="174">
        <f>IF(G1070="","",G1070*10000)</f>
        <v/>
      </c>
      <c r="I1070" s="174">
        <f>IFERROR(IF(AND(H1070&gt;0,E1070&gt;0),H1070/E1070,""),"")</f>
        <v/>
      </c>
      <c r="J1070" s="152">
        <f>IFERROR(VALUE(SUBSTITUTE(INDEX('04A_국토부원자료'!$A:$T,ROW()+1,MATCH("층",'04A_국토부원자료'!$A$4:$T$4,0)),",","")),"")</f>
        <v/>
      </c>
      <c r="K1070" s="152">
        <f>IFERROR(VALUE(SUBSTITUTE(INDEX('04A_국토부원자료'!$A:$T,ROW()+1,MATCH("건축년도",'04A_국토부원자료'!$A$4:$T$4,0)),",","")),"")</f>
        <v/>
      </c>
      <c r="L1070" s="176">
        <f>IFERROR(INDEX('04A_국토부원자료'!$A:$T,ROW()+1,MATCH("도로명",'04A_국토부원자료'!$A$4:$T$4,0)),"")</f>
        <v/>
      </c>
      <c r="M1070" s="48">
        <f>IFERROR(INDEX('04A_국토부원자료'!$A:$T,ROW()+1,MATCH("거래유형",'04A_국토부원자료'!$A$4:$T$4,0)),"")</f>
        <v/>
      </c>
      <c r="N1070" s="152">
        <f>IF(B1070="","",IF('02_대상물건입력'!B5="",1,IF(ISNUMBER(SEARCH('02_대상물건입력'!B5,B1070)),1,0)))</f>
        <v/>
      </c>
      <c r="O1070" s="152">
        <f>IF(B1070="","",IF('02_대상물건입력'!B6="",1,IF(ISNUMBER(SEARCH('02_대상물건입력'!B6,B1070)),1,0)))</f>
        <v/>
      </c>
      <c r="P1070" s="152">
        <f>IF(L1070="","",IF('02_대상물건입력'!B15="",0,IF(ISNUMBER(SEARCH('02_대상물건입력'!B15,L1070)),1,0)))</f>
        <v/>
      </c>
      <c r="Q1070" s="152">
        <f>IF(OR(C1070="",L1070=""),0,IF(AND(TRIM(C1070)=TRIM(RIGHT(SUBSTITUTE(TRIM('02_대상물건입력'!$B$7)," ",REPT(" ",99)),99)),IF('02_대상물건입력'!B15="",TRUE(),ISNUMBER(SEARCH('02_대상물건입력'!B15,L1070)))),1,0))</f>
        <v/>
      </c>
      <c r="R1070" s="175">
        <f>IFERROR(ABS(E1070-'02_대상물건입력'!B11)/'02_대상물건입력'!B11,"")</f>
        <v/>
      </c>
      <c r="S1070" s="152">
        <f>IFERROR(ABS(J1070-'02_대상물건입력'!B10),"")</f>
        <v/>
      </c>
      <c r="T1070" s="152">
        <f>IFERROR(ABS('01_설정'!B4-F1070),"")</f>
        <v/>
      </c>
      <c r="U1070" s="152">
        <f>IFERROR(ABS(K1070-YEAR('02_대상물건입력'!B14)),"")</f>
        <v/>
      </c>
      <c r="V1070" s="152">
        <f>IF(B1070="","",IF(AND(E1070&gt;0,F1070&gt;0,H1070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1070=1,TRUE()),R1070&lt;='01_설정'!B5,S1070&lt;='01_설정'!B6,T1070&lt;='01_설정'!B7,U1070&lt;='01_설정'!B8),"Y",""))</f>
        <v/>
      </c>
      <c r="W1070" s="172">
        <f>IF(V1070&lt;&gt;"Y","",MAX(0,(1-R1070/'01_설정'!B5))*'01_설정'!B14+MAX(0,(1-S1070/'01_설정'!B6))*'01_설정'!B15+MAX(0,(1-T1070/'01_설정'!B7))*'01_설정'!B16+MAX(0,(1-U1070/'01_설정'!B8))*'01_설정'!B17+O1070*'01_설정'!B11+Q1070*'01_설정'!B12+P1070*'01_설정'!B13+IF(Z1070="",0,Z1070))</f>
        <v/>
      </c>
      <c r="X1070" s="152">
        <f>IF(W1070="","",1+COUNTIFS($W$4:$W$3003,"&gt;"&amp;W1070)+COUNTIFS($W$4:W1070,W1070)-1)</f>
        <v/>
      </c>
      <c r="Y1070" s="175">
        <f>IF(OR(I1070="",'02_대상물건입력'!B19="",'02_대상물건입력'!B19&lt;=0),"",ABS(I1070-'02_대상물건입력'!B19)/'02_대상물건입력'!B19)</f>
        <v/>
      </c>
      <c r="Z1070" s="172">
        <f>IF(OR(Y1070="",'01_설정'!B31="",'01_설정'!B31&lt;=0,'01_설정'!B32="",'01_설정'!B32&lt;=0),"",MAX(0,(1-Y1070/'01_설정'!B32))*'01_설정'!B31)</f>
        <v/>
      </c>
    </row>
    <row r="1071" ht="17.25" customHeight="1">
      <c r="A1071" s="152">
        <f>IF(INDEX('04A_국토부원자료'!$A:$A,ROW()+1)="","",ROW()-3)</f>
        <v/>
      </c>
      <c r="B1071" s="48">
        <f>IFERROR(INDEX('04A_국토부원자료'!$A:$T,ROW()+1,MATCH("시군구",'04A_국토부원자료'!$A$4:$T$4,0)),"")</f>
        <v/>
      </c>
      <c r="C1071" s="48">
        <f>IF(B1071="","",IFERROR(INDEX('04A_국토부원자료'!$A:$T,ROW()+1,MATCH("번지",'04A_국토부원자료'!$A$4:$T$4,0)),""))</f>
        <v/>
      </c>
      <c r="D1071" s="48">
        <f>IF(B1071="","",IF(Q1071=1,'02_대상물건입력'!$B$8,IFERROR(INDEX('04A_국토부원자료'!$A:$T,ROW()+1,MATCH("단지명",'04A_국토부원자료'!$A$4:$T$4,0)),"")))</f>
        <v/>
      </c>
      <c r="E1071" s="172">
        <f>IFERROR(VALUE(SUBSTITUTE(INDEX('04A_국토부원자료'!$A:$T,ROW()+1,MATCH("전용면적(㎡)",'04A_국토부원자료'!$A$4:$T$4,0)),",","")),"")</f>
        <v/>
      </c>
      <c r="F10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71" s="51">
        <f>IFERROR(VALUE(SUBSTITUTE(INDEX('04A_국토부원자료'!$A:$T,ROW()+1,MATCH("거래금액(만원)",'04A_국토부원자료'!$A$4:$T$4,0)),",","")),"")</f>
        <v/>
      </c>
      <c r="H1071" s="174">
        <f>IF(G1071="","",G1071*10000)</f>
        <v/>
      </c>
      <c r="I1071" s="174">
        <f>IFERROR(IF(AND(H1071&gt;0,E1071&gt;0),H1071/E1071,""),"")</f>
        <v/>
      </c>
      <c r="J1071" s="152">
        <f>IFERROR(VALUE(SUBSTITUTE(INDEX('04A_국토부원자료'!$A:$T,ROW()+1,MATCH("층",'04A_국토부원자료'!$A$4:$T$4,0)),",","")),"")</f>
        <v/>
      </c>
      <c r="K1071" s="152">
        <f>IFERROR(VALUE(SUBSTITUTE(INDEX('04A_국토부원자료'!$A:$T,ROW()+1,MATCH("건축년도",'04A_국토부원자료'!$A$4:$T$4,0)),",","")),"")</f>
        <v/>
      </c>
      <c r="L1071" s="176">
        <f>IFERROR(INDEX('04A_국토부원자료'!$A:$T,ROW()+1,MATCH("도로명",'04A_국토부원자료'!$A$4:$T$4,0)),"")</f>
        <v/>
      </c>
      <c r="M1071" s="48">
        <f>IFERROR(INDEX('04A_국토부원자료'!$A:$T,ROW()+1,MATCH("거래유형",'04A_국토부원자료'!$A$4:$T$4,0)),"")</f>
        <v/>
      </c>
      <c r="N1071" s="152">
        <f>IF(B1071="","",IF('02_대상물건입력'!B5="",1,IF(ISNUMBER(SEARCH('02_대상물건입력'!B5,B1071)),1,0)))</f>
        <v/>
      </c>
      <c r="O1071" s="152">
        <f>IF(B1071="","",IF('02_대상물건입력'!B6="",1,IF(ISNUMBER(SEARCH('02_대상물건입력'!B6,B1071)),1,0)))</f>
        <v/>
      </c>
      <c r="P1071" s="152">
        <f>IF(L1071="","",IF('02_대상물건입력'!B15="",0,IF(ISNUMBER(SEARCH('02_대상물건입력'!B15,L1071)),1,0)))</f>
        <v/>
      </c>
      <c r="Q1071" s="152">
        <f>IF(OR(C1071="",L1071=""),0,IF(AND(TRIM(C1071)=TRIM(RIGHT(SUBSTITUTE(TRIM('02_대상물건입력'!$B$7)," ",REPT(" ",99)),99)),IF('02_대상물건입력'!B15="",TRUE(),ISNUMBER(SEARCH('02_대상물건입력'!B15,L1071)))),1,0))</f>
        <v/>
      </c>
      <c r="R1071" s="175">
        <f>IFERROR(ABS(E1071-'02_대상물건입력'!B11)/'02_대상물건입력'!B11,"")</f>
        <v/>
      </c>
      <c r="S1071" s="152">
        <f>IFERROR(ABS(J1071-'02_대상물건입력'!B10),"")</f>
        <v/>
      </c>
      <c r="T1071" s="152">
        <f>IFERROR(ABS('01_설정'!B4-F1071),"")</f>
        <v/>
      </c>
      <c r="U1071" s="152">
        <f>IFERROR(ABS(K1071-YEAR('02_대상물건입력'!B14)),"")</f>
        <v/>
      </c>
      <c r="V1071" s="152">
        <f>IF(B1071="","",IF(AND(E1071&gt;0,F1071&gt;0,H1071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1071=1,TRUE()),R1071&lt;='01_설정'!B5,S1071&lt;='01_설정'!B6,T1071&lt;='01_설정'!B7,U1071&lt;='01_설정'!B8),"Y",""))</f>
        <v/>
      </c>
      <c r="W1071" s="172">
        <f>IF(V1071&lt;&gt;"Y","",MAX(0,(1-R1071/'01_설정'!B5))*'01_설정'!B14+MAX(0,(1-S1071/'01_설정'!B6))*'01_설정'!B15+MAX(0,(1-T1071/'01_설정'!B7))*'01_설정'!B16+MAX(0,(1-U1071/'01_설정'!B8))*'01_설정'!B17+O1071*'01_설정'!B11+Q1071*'01_설정'!B12+P1071*'01_설정'!B13+IF(Z1071="",0,Z1071))</f>
        <v/>
      </c>
      <c r="X1071" s="152">
        <f>IF(W1071="","",1+COUNTIFS($W$4:$W$3003,"&gt;"&amp;W1071)+COUNTIFS($W$4:W1071,W1071)-1)</f>
        <v/>
      </c>
      <c r="Y1071" s="175">
        <f>IF(OR(I1071="",'02_대상물건입력'!B19="",'02_대상물건입력'!B19&lt;=0),"",ABS(I1071-'02_대상물건입력'!B19)/'02_대상물건입력'!B19)</f>
        <v/>
      </c>
      <c r="Z1071" s="172">
        <f>IF(OR(Y1071="",'01_설정'!B31="",'01_설정'!B31&lt;=0,'01_설정'!B32="",'01_설정'!B32&lt;=0),"",MAX(0,(1-Y1071/'01_설정'!B32))*'01_설정'!B31)</f>
        <v/>
      </c>
    </row>
    <row r="1072" ht="17.25" customHeight="1">
      <c r="A1072" s="152">
        <f>IF(INDEX('04A_국토부원자료'!$A:$A,ROW()+1)="","",ROW()-3)</f>
        <v/>
      </c>
      <c r="B1072" s="48">
        <f>IFERROR(INDEX('04A_국토부원자료'!$A:$T,ROW()+1,MATCH("시군구",'04A_국토부원자료'!$A$4:$T$4,0)),"")</f>
        <v/>
      </c>
      <c r="C1072" s="48">
        <f>IF(B1072="","",IFERROR(INDEX('04A_국토부원자료'!$A:$T,ROW()+1,MATCH("번지",'04A_국토부원자료'!$A$4:$T$4,0)),""))</f>
        <v/>
      </c>
      <c r="D1072" s="48">
        <f>IF(B1072="","",IF(Q1072=1,'02_대상물건입력'!$B$8,IFERROR(INDEX('04A_국토부원자료'!$A:$T,ROW()+1,MATCH("단지명",'04A_국토부원자료'!$A$4:$T$4,0)),"")))</f>
        <v/>
      </c>
      <c r="E1072" s="172">
        <f>IFERROR(VALUE(SUBSTITUTE(INDEX('04A_국토부원자료'!$A:$T,ROW()+1,MATCH("전용면적(㎡)",'04A_국토부원자료'!$A$4:$T$4,0)),",","")),"")</f>
        <v/>
      </c>
      <c r="F10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72" s="51">
        <f>IFERROR(VALUE(SUBSTITUTE(INDEX('04A_국토부원자료'!$A:$T,ROW()+1,MATCH("거래금액(만원)",'04A_국토부원자료'!$A$4:$T$4,0)),",","")),"")</f>
        <v/>
      </c>
      <c r="H1072" s="174">
        <f>IF(G1072="","",G1072*10000)</f>
        <v/>
      </c>
      <c r="I1072" s="174">
        <f>IFERROR(IF(AND(H1072&gt;0,E1072&gt;0),H1072/E1072,""),"")</f>
        <v/>
      </c>
      <c r="J1072" s="152">
        <f>IFERROR(VALUE(SUBSTITUTE(INDEX('04A_국토부원자료'!$A:$T,ROW()+1,MATCH("층",'04A_국토부원자료'!$A$4:$T$4,0)),",","")),"")</f>
        <v/>
      </c>
      <c r="K1072" s="152">
        <f>IFERROR(VALUE(SUBSTITUTE(INDEX('04A_국토부원자료'!$A:$T,ROW()+1,MATCH("건축년도",'04A_국토부원자료'!$A$4:$T$4,0)),",","")),"")</f>
        <v/>
      </c>
      <c r="L1072" s="176">
        <f>IFERROR(INDEX('04A_국토부원자료'!$A:$T,ROW()+1,MATCH("도로명",'04A_국토부원자료'!$A$4:$T$4,0)),"")</f>
        <v/>
      </c>
      <c r="M1072" s="48">
        <f>IFERROR(INDEX('04A_국토부원자료'!$A:$T,ROW()+1,MATCH("거래유형",'04A_국토부원자료'!$A$4:$T$4,0)),"")</f>
        <v/>
      </c>
      <c r="N1072" s="152">
        <f>IF(B1072="","",IF('02_대상물건입력'!B5="",1,IF(ISNUMBER(SEARCH('02_대상물건입력'!B5,B1072)),1,0)))</f>
        <v/>
      </c>
      <c r="O1072" s="152">
        <f>IF(B1072="","",IF('02_대상물건입력'!B6="",1,IF(ISNUMBER(SEARCH('02_대상물건입력'!B6,B1072)),1,0)))</f>
        <v/>
      </c>
      <c r="P1072" s="152">
        <f>IF(L1072="","",IF('02_대상물건입력'!B15="",0,IF(ISNUMBER(SEARCH('02_대상물건입력'!B15,L1072)),1,0)))</f>
        <v/>
      </c>
      <c r="Q1072" s="152">
        <f>IF(OR(C1072="",L1072=""),0,IF(AND(TRIM(C1072)=TRIM(RIGHT(SUBSTITUTE(TRIM('02_대상물건입력'!$B$7)," ",REPT(" ",99)),99)),IF('02_대상물건입력'!B15="",TRUE(),ISNUMBER(SEARCH('02_대상물건입력'!B15,L1072)))),1,0))</f>
        <v/>
      </c>
      <c r="R1072" s="175">
        <f>IFERROR(ABS(E1072-'02_대상물건입력'!B11)/'02_대상물건입력'!B11,"")</f>
        <v/>
      </c>
      <c r="S1072" s="152">
        <f>IFERROR(ABS(J1072-'02_대상물건입력'!B10),"")</f>
        <v/>
      </c>
      <c r="T1072" s="152">
        <f>IFERROR(ABS('01_설정'!B4-F1072),"")</f>
        <v/>
      </c>
      <c r="U1072" s="152">
        <f>IFERROR(ABS(K1072-YEAR('02_대상물건입력'!B14)),"")</f>
        <v/>
      </c>
      <c r="V1072" s="152">
        <f>IF(B1072="","",IF(AND(E1072&gt;0,F1072&gt;0,H1072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1072=1,TRUE()),R1072&lt;='01_설정'!B5,S1072&lt;='01_설정'!B6,T1072&lt;='01_설정'!B7,U1072&lt;='01_설정'!B8),"Y",""))</f>
        <v/>
      </c>
      <c r="W1072" s="172">
        <f>IF(V1072&lt;&gt;"Y","",MAX(0,(1-R1072/'01_설정'!B5))*'01_설정'!B14+MAX(0,(1-S1072/'01_설정'!B6))*'01_설정'!B15+MAX(0,(1-T1072/'01_설정'!B7))*'01_설정'!B16+MAX(0,(1-U1072/'01_설정'!B8))*'01_설정'!B17+O1072*'01_설정'!B11+Q1072*'01_설정'!B12+P1072*'01_설정'!B13+IF(Z1072="",0,Z1072))</f>
        <v/>
      </c>
      <c r="X1072" s="152">
        <f>IF(W1072="","",1+COUNTIFS($W$4:$W$3003,"&gt;"&amp;W1072)+COUNTIFS($W$4:W1072,W1072)-1)</f>
        <v/>
      </c>
      <c r="Y1072" s="175">
        <f>IF(OR(I1072="",'02_대상물건입력'!B19="",'02_대상물건입력'!B19&lt;=0),"",ABS(I1072-'02_대상물건입력'!B19)/'02_대상물건입력'!B19)</f>
        <v/>
      </c>
      <c r="Z1072" s="172">
        <f>IF(OR(Y1072="",'01_설정'!B31="",'01_설정'!B31&lt;=0,'01_설정'!B32="",'01_설정'!B32&lt;=0),"",MAX(0,(1-Y1072/'01_설정'!B32))*'01_설정'!B31)</f>
        <v/>
      </c>
    </row>
    <row r="1073" ht="17.25" customHeight="1">
      <c r="A1073" s="152">
        <f>IF(INDEX('04A_국토부원자료'!$A:$A,ROW()+1)="","",ROW()-3)</f>
        <v/>
      </c>
      <c r="B1073" s="48">
        <f>IFERROR(INDEX('04A_국토부원자료'!$A:$T,ROW()+1,MATCH("시군구",'04A_국토부원자료'!$A$4:$T$4,0)),"")</f>
        <v/>
      </c>
      <c r="C1073" s="48">
        <f>IF(B1073="","",IFERROR(INDEX('04A_국토부원자료'!$A:$T,ROW()+1,MATCH("번지",'04A_국토부원자료'!$A$4:$T$4,0)),""))</f>
        <v/>
      </c>
      <c r="D1073" s="48">
        <f>IF(B1073="","",IF(Q1073=1,'02_대상물건입력'!$B$8,IFERROR(INDEX('04A_국토부원자료'!$A:$T,ROW()+1,MATCH("단지명",'04A_국토부원자료'!$A$4:$T$4,0)),"")))</f>
        <v/>
      </c>
      <c r="E1073" s="172">
        <f>IFERROR(VALUE(SUBSTITUTE(INDEX('04A_국토부원자료'!$A:$T,ROW()+1,MATCH("전용면적(㎡)",'04A_국토부원자료'!$A$4:$T$4,0)),",","")),"")</f>
        <v/>
      </c>
      <c r="F10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73" s="51">
        <f>IFERROR(VALUE(SUBSTITUTE(INDEX('04A_국토부원자료'!$A:$T,ROW()+1,MATCH("거래금액(만원)",'04A_국토부원자료'!$A$4:$T$4,0)),",","")),"")</f>
        <v/>
      </c>
      <c r="H1073" s="174">
        <f>IF(G1073="","",G1073*10000)</f>
        <v/>
      </c>
      <c r="I1073" s="174">
        <f>IFERROR(IF(AND(H1073&gt;0,E1073&gt;0),H1073/E1073,""),"")</f>
        <v/>
      </c>
      <c r="J1073" s="152">
        <f>IFERROR(VALUE(SUBSTITUTE(INDEX('04A_국토부원자료'!$A:$T,ROW()+1,MATCH("층",'04A_국토부원자료'!$A$4:$T$4,0)),",","")),"")</f>
        <v/>
      </c>
      <c r="K1073" s="152">
        <f>IFERROR(VALUE(SUBSTITUTE(INDEX('04A_국토부원자료'!$A:$T,ROW()+1,MATCH("건축년도",'04A_국토부원자료'!$A$4:$T$4,0)),",","")),"")</f>
        <v/>
      </c>
      <c r="L1073" s="176">
        <f>IFERROR(INDEX('04A_국토부원자료'!$A:$T,ROW()+1,MATCH("도로명",'04A_국토부원자료'!$A$4:$T$4,0)),"")</f>
        <v/>
      </c>
      <c r="M1073" s="48">
        <f>IFERROR(INDEX('04A_국토부원자료'!$A:$T,ROW()+1,MATCH("거래유형",'04A_국토부원자료'!$A$4:$T$4,0)),"")</f>
        <v/>
      </c>
      <c r="N1073" s="152">
        <f>IF(B1073="","",IF('02_대상물건입력'!B5="",1,IF(ISNUMBER(SEARCH('02_대상물건입력'!B5,B1073)),1,0)))</f>
        <v/>
      </c>
      <c r="O1073" s="152">
        <f>IF(B1073="","",IF('02_대상물건입력'!B6="",1,IF(ISNUMBER(SEARCH('02_대상물건입력'!B6,B1073)),1,0)))</f>
        <v/>
      </c>
      <c r="P1073" s="152">
        <f>IF(L1073="","",IF('02_대상물건입력'!B15="",0,IF(ISNUMBER(SEARCH('02_대상물건입력'!B15,L1073)),1,0)))</f>
        <v/>
      </c>
      <c r="Q1073" s="152">
        <f>IF(OR(C1073="",L1073=""),0,IF(AND(TRIM(C1073)=TRIM(RIGHT(SUBSTITUTE(TRIM('02_대상물건입력'!$B$7)," ",REPT(" ",99)),99)),IF('02_대상물건입력'!B15="",TRUE(),ISNUMBER(SEARCH('02_대상물건입력'!B15,L1073)))),1,0))</f>
        <v/>
      </c>
      <c r="R1073" s="175">
        <f>IFERROR(ABS(E1073-'02_대상물건입력'!B11)/'02_대상물건입력'!B11,"")</f>
        <v/>
      </c>
      <c r="S1073" s="152">
        <f>IFERROR(ABS(J1073-'02_대상물건입력'!B10),"")</f>
        <v/>
      </c>
      <c r="T1073" s="152">
        <f>IFERROR(ABS('01_설정'!B4-F1073),"")</f>
        <v/>
      </c>
      <c r="U1073" s="152">
        <f>IFERROR(ABS(K1073-YEAR('02_대상물건입력'!B14)),"")</f>
        <v/>
      </c>
      <c r="V1073" s="152">
        <f>IF(B1073="","",IF(AND(E1073&gt;0,F1073&gt;0,H1073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1073=1,TRUE()),R1073&lt;='01_설정'!B5,S1073&lt;='01_설정'!B6,T1073&lt;='01_설정'!B7,U1073&lt;='01_설정'!B8),"Y",""))</f>
        <v/>
      </c>
      <c r="W1073" s="172">
        <f>IF(V1073&lt;&gt;"Y","",MAX(0,(1-R1073/'01_설정'!B5))*'01_설정'!B14+MAX(0,(1-S1073/'01_설정'!B6))*'01_설정'!B15+MAX(0,(1-T1073/'01_설정'!B7))*'01_설정'!B16+MAX(0,(1-U1073/'01_설정'!B8))*'01_설정'!B17+O1073*'01_설정'!B11+Q1073*'01_설정'!B12+P1073*'01_설정'!B13+IF(Z1073="",0,Z1073))</f>
        <v/>
      </c>
      <c r="X1073" s="152">
        <f>IF(W1073="","",1+COUNTIFS($W$4:$W$3003,"&gt;"&amp;W1073)+COUNTIFS($W$4:W1073,W1073)-1)</f>
        <v/>
      </c>
      <c r="Y1073" s="175">
        <f>IF(OR(I1073="",'02_대상물건입력'!B19="",'02_대상물건입력'!B19&lt;=0),"",ABS(I1073-'02_대상물건입력'!B19)/'02_대상물건입력'!B19)</f>
        <v/>
      </c>
      <c r="Z1073" s="172">
        <f>IF(OR(Y1073="",'01_설정'!B31="",'01_설정'!B31&lt;=0,'01_설정'!B32="",'01_설정'!B32&lt;=0),"",MAX(0,(1-Y1073/'01_설정'!B32))*'01_설정'!B31)</f>
        <v/>
      </c>
    </row>
    <row r="1074" ht="17.25" customHeight="1">
      <c r="A1074" s="152">
        <f>IF(INDEX('04A_국토부원자료'!$A:$A,ROW()+1)="","",ROW()-3)</f>
        <v/>
      </c>
      <c r="B1074" s="48">
        <f>IFERROR(INDEX('04A_국토부원자료'!$A:$T,ROW()+1,MATCH("시군구",'04A_국토부원자료'!$A$4:$T$4,0)),"")</f>
        <v/>
      </c>
      <c r="C1074" s="48">
        <f>IF(B1074="","",IFERROR(INDEX('04A_국토부원자료'!$A:$T,ROW()+1,MATCH("번지",'04A_국토부원자료'!$A$4:$T$4,0)),""))</f>
        <v/>
      </c>
      <c r="D1074" s="48">
        <f>IF(B1074="","",IF(Q1074=1,'02_대상물건입력'!$B$8,IFERROR(INDEX('04A_국토부원자료'!$A:$T,ROW()+1,MATCH("단지명",'04A_국토부원자료'!$A$4:$T$4,0)),"")))</f>
        <v/>
      </c>
      <c r="E1074" s="172">
        <f>IFERROR(VALUE(SUBSTITUTE(INDEX('04A_국토부원자료'!$A:$T,ROW()+1,MATCH("전용면적(㎡)",'04A_국토부원자료'!$A$4:$T$4,0)),",","")),"")</f>
        <v/>
      </c>
      <c r="F10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74" s="51">
        <f>IFERROR(VALUE(SUBSTITUTE(INDEX('04A_국토부원자료'!$A:$T,ROW()+1,MATCH("거래금액(만원)",'04A_국토부원자료'!$A$4:$T$4,0)),",","")),"")</f>
        <v/>
      </c>
      <c r="H1074" s="174">
        <f>IF(G1074="","",G1074*10000)</f>
        <v/>
      </c>
      <c r="I1074" s="174">
        <f>IFERROR(IF(AND(H1074&gt;0,E1074&gt;0),H1074/E1074,""),"")</f>
        <v/>
      </c>
      <c r="J1074" s="152">
        <f>IFERROR(VALUE(SUBSTITUTE(INDEX('04A_국토부원자료'!$A:$T,ROW()+1,MATCH("층",'04A_국토부원자료'!$A$4:$T$4,0)),",","")),"")</f>
        <v/>
      </c>
      <c r="K1074" s="152">
        <f>IFERROR(VALUE(SUBSTITUTE(INDEX('04A_국토부원자료'!$A:$T,ROW()+1,MATCH("건축년도",'04A_국토부원자료'!$A$4:$T$4,0)),",","")),"")</f>
        <v/>
      </c>
      <c r="L1074" s="176">
        <f>IFERROR(INDEX('04A_국토부원자료'!$A:$T,ROW()+1,MATCH("도로명",'04A_국토부원자료'!$A$4:$T$4,0)),"")</f>
        <v/>
      </c>
      <c r="M1074" s="48">
        <f>IFERROR(INDEX('04A_국토부원자료'!$A:$T,ROW()+1,MATCH("거래유형",'04A_국토부원자료'!$A$4:$T$4,0)),"")</f>
        <v/>
      </c>
      <c r="N1074" s="152">
        <f>IF(B1074="","",IF('02_대상물건입력'!B5="",1,IF(ISNUMBER(SEARCH('02_대상물건입력'!B5,B1074)),1,0)))</f>
        <v/>
      </c>
      <c r="O1074" s="152">
        <f>IF(B1074="","",IF('02_대상물건입력'!B6="",1,IF(ISNUMBER(SEARCH('02_대상물건입력'!B6,B1074)),1,0)))</f>
        <v/>
      </c>
      <c r="P1074" s="152">
        <f>IF(L1074="","",IF('02_대상물건입력'!B15="",0,IF(ISNUMBER(SEARCH('02_대상물건입력'!B15,L1074)),1,0)))</f>
        <v/>
      </c>
      <c r="Q1074" s="152">
        <f>IF(OR(C1074="",L1074=""),0,IF(AND(TRIM(C1074)=TRIM(RIGHT(SUBSTITUTE(TRIM('02_대상물건입력'!$B$7)," ",REPT(" ",99)),99)),IF('02_대상물건입력'!B15="",TRUE(),ISNUMBER(SEARCH('02_대상물건입력'!B15,L1074)))),1,0))</f>
        <v/>
      </c>
      <c r="R1074" s="175">
        <f>IFERROR(ABS(E1074-'02_대상물건입력'!B11)/'02_대상물건입력'!B11,"")</f>
        <v/>
      </c>
      <c r="S1074" s="152">
        <f>IFERROR(ABS(J1074-'02_대상물건입력'!B10),"")</f>
        <v/>
      </c>
      <c r="T1074" s="152">
        <f>IFERROR(ABS('01_설정'!B4-F1074),"")</f>
        <v/>
      </c>
      <c r="U1074" s="152">
        <f>IFERROR(ABS(K1074-YEAR('02_대상물건입력'!B14)),"")</f>
        <v/>
      </c>
      <c r="V1074" s="152">
        <f>IF(B1074="","",IF(AND(E1074&gt;0,F1074&gt;0,H1074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1074=1,TRUE()),R1074&lt;='01_설정'!B5,S1074&lt;='01_설정'!B6,T1074&lt;='01_설정'!B7,U1074&lt;='01_설정'!B8),"Y",""))</f>
        <v/>
      </c>
      <c r="W1074" s="172">
        <f>IF(V1074&lt;&gt;"Y","",MAX(0,(1-R1074/'01_설정'!B5))*'01_설정'!B14+MAX(0,(1-S1074/'01_설정'!B6))*'01_설정'!B15+MAX(0,(1-T1074/'01_설정'!B7))*'01_설정'!B16+MAX(0,(1-U1074/'01_설정'!B8))*'01_설정'!B17+O1074*'01_설정'!B11+Q1074*'01_설정'!B12+P1074*'01_설정'!B13+IF(Z1074="",0,Z1074))</f>
        <v/>
      </c>
      <c r="X1074" s="152">
        <f>IF(W1074="","",1+COUNTIFS($W$4:$W$3003,"&gt;"&amp;W1074)+COUNTIFS($W$4:W1074,W1074)-1)</f>
        <v/>
      </c>
      <c r="Y1074" s="175">
        <f>IF(OR(I1074="",'02_대상물건입력'!B19="",'02_대상물건입력'!B19&lt;=0),"",ABS(I1074-'02_대상물건입력'!B19)/'02_대상물건입력'!B19)</f>
        <v/>
      </c>
      <c r="Z1074" s="172">
        <f>IF(OR(Y1074="",'01_설정'!B31="",'01_설정'!B31&lt;=0,'01_설정'!B32="",'01_설정'!B32&lt;=0),"",MAX(0,(1-Y1074/'01_설정'!B32))*'01_설정'!B31)</f>
        <v/>
      </c>
    </row>
    <row r="1075" ht="17.25" customHeight="1">
      <c r="A1075" s="152">
        <f>IF(INDEX('04A_국토부원자료'!$A:$A,ROW()+1)="","",ROW()-3)</f>
        <v/>
      </c>
      <c r="B1075" s="48">
        <f>IFERROR(INDEX('04A_국토부원자료'!$A:$T,ROW()+1,MATCH("시군구",'04A_국토부원자료'!$A$4:$T$4,0)),"")</f>
        <v/>
      </c>
      <c r="C1075" s="48">
        <f>IF(B1075="","",IFERROR(INDEX('04A_국토부원자료'!$A:$T,ROW()+1,MATCH("번지",'04A_국토부원자료'!$A$4:$T$4,0)),""))</f>
        <v/>
      </c>
      <c r="D1075" s="48">
        <f>IF(B1075="","",IF(Q1075=1,'02_대상물건입력'!$B$8,IFERROR(INDEX('04A_국토부원자료'!$A:$T,ROW()+1,MATCH("단지명",'04A_국토부원자료'!$A$4:$T$4,0)),"")))</f>
        <v/>
      </c>
      <c r="E1075" s="172">
        <f>IFERROR(VALUE(SUBSTITUTE(INDEX('04A_국토부원자료'!$A:$T,ROW()+1,MATCH("전용면적(㎡)",'04A_국토부원자료'!$A$4:$T$4,0)),",","")),"")</f>
        <v/>
      </c>
      <c r="F10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75" s="51">
        <f>IFERROR(VALUE(SUBSTITUTE(INDEX('04A_국토부원자료'!$A:$T,ROW()+1,MATCH("거래금액(만원)",'04A_국토부원자료'!$A$4:$T$4,0)),",","")),"")</f>
        <v/>
      </c>
      <c r="H1075" s="174">
        <f>IF(G1075="","",G1075*10000)</f>
        <v/>
      </c>
      <c r="I1075" s="174">
        <f>IFERROR(IF(AND(H1075&gt;0,E1075&gt;0),H1075/E1075,""),"")</f>
        <v/>
      </c>
      <c r="J1075" s="152">
        <f>IFERROR(VALUE(SUBSTITUTE(INDEX('04A_국토부원자료'!$A:$T,ROW()+1,MATCH("층",'04A_국토부원자료'!$A$4:$T$4,0)),",","")),"")</f>
        <v/>
      </c>
      <c r="K1075" s="152">
        <f>IFERROR(VALUE(SUBSTITUTE(INDEX('04A_국토부원자료'!$A:$T,ROW()+1,MATCH("건축년도",'04A_국토부원자료'!$A$4:$T$4,0)),",","")),"")</f>
        <v/>
      </c>
      <c r="L1075" s="176">
        <f>IFERROR(INDEX('04A_국토부원자료'!$A:$T,ROW()+1,MATCH("도로명",'04A_국토부원자료'!$A$4:$T$4,0)),"")</f>
        <v/>
      </c>
      <c r="M1075" s="48">
        <f>IFERROR(INDEX('04A_국토부원자료'!$A:$T,ROW()+1,MATCH("거래유형",'04A_국토부원자료'!$A$4:$T$4,0)),"")</f>
        <v/>
      </c>
      <c r="N1075" s="152">
        <f>IF(B1075="","",IF('02_대상물건입력'!B5="",1,IF(ISNUMBER(SEARCH('02_대상물건입력'!B5,B1075)),1,0)))</f>
        <v/>
      </c>
      <c r="O1075" s="152">
        <f>IF(B1075="","",IF('02_대상물건입력'!B6="",1,IF(ISNUMBER(SEARCH('02_대상물건입력'!B6,B1075)),1,0)))</f>
        <v/>
      </c>
      <c r="P1075" s="152">
        <f>IF(L1075="","",IF('02_대상물건입력'!B15="",0,IF(ISNUMBER(SEARCH('02_대상물건입력'!B15,L1075)),1,0)))</f>
        <v/>
      </c>
      <c r="Q1075" s="152">
        <f>IF(OR(C1075="",L1075=""),0,IF(AND(TRIM(C1075)=TRIM(RIGHT(SUBSTITUTE(TRIM('02_대상물건입력'!$B$7)," ",REPT(" ",99)),99)),IF('02_대상물건입력'!B15="",TRUE(),ISNUMBER(SEARCH('02_대상물건입력'!B15,L1075)))),1,0))</f>
        <v/>
      </c>
      <c r="R1075" s="175">
        <f>IFERROR(ABS(E1075-'02_대상물건입력'!B11)/'02_대상물건입력'!B11,"")</f>
        <v/>
      </c>
      <c r="S1075" s="152">
        <f>IFERROR(ABS(J1075-'02_대상물건입력'!B10),"")</f>
        <v/>
      </c>
      <c r="T1075" s="152">
        <f>IFERROR(ABS('01_설정'!B4-F1075),"")</f>
        <v/>
      </c>
      <c r="U1075" s="152">
        <f>IFERROR(ABS(K1075-YEAR('02_대상물건입력'!B14)),"")</f>
        <v/>
      </c>
      <c r="V1075" s="152">
        <f>IF(B1075="","",IF(AND(E1075&gt;0,F1075&gt;0,H1075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1075=1,TRUE()),R1075&lt;='01_설정'!B5,S1075&lt;='01_설정'!B6,T1075&lt;='01_설정'!B7,U1075&lt;='01_설정'!B8),"Y",""))</f>
        <v/>
      </c>
      <c r="W1075" s="172">
        <f>IF(V1075&lt;&gt;"Y","",MAX(0,(1-R1075/'01_설정'!B5))*'01_설정'!B14+MAX(0,(1-S1075/'01_설정'!B6))*'01_설정'!B15+MAX(0,(1-T1075/'01_설정'!B7))*'01_설정'!B16+MAX(0,(1-U1075/'01_설정'!B8))*'01_설정'!B17+O1075*'01_설정'!B11+Q1075*'01_설정'!B12+P1075*'01_설정'!B13+IF(Z1075="",0,Z1075))</f>
        <v/>
      </c>
      <c r="X1075" s="152">
        <f>IF(W1075="","",1+COUNTIFS($W$4:$W$3003,"&gt;"&amp;W1075)+COUNTIFS($W$4:W1075,W1075)-1)</f>
        <v/>
      </c>
      <c r="Y1075" s="175">
        <f>IF(OR(I1075="",'02_대상물건입력'!B19="",'02_대상물건입력'!B19&lt;=0),"",ABS(I1075-'02_대상물건입력'!B19)/'02_대상물건입력'!B19)</f>
        <v/>
      </c>
      <c r="Z1075" s="172">
        <f>IF(OR(Y1075="",'01_설정'!B31="",'01_설정'!B31&lt;=0,'01_설정'!B32="",'01_설정'!B32&lt;=0),"",MAX(0,(1-Y1075/'01_설정'!B32))*'01_설정'!B31)</f>
        <v/>
      </c>
    </row>
    <row r="1076" ht="17.25" customHeight="1">
      <c r="A1076" s="152">
        <f>IF(INDEX('04A_국토부원자료'!$A:$A,ROW()+1)="","",ROW()-3)</f>
        <v/>
      </c>
      <c r="B1076" s="48">
        <f>IFERROR(INDEX('04A_국토부원자료'!$A:$T,ROW()+1,MATCH("시군구",'04A_국토부원자료'!$A$4:$T$4,0)),"")</f>
        <v/>
      </c>
      <c r="C1076" s="48">
        <f>IF(B1076="","",IFERROR(INDEX('04A_국토부원자료'!$A:$T,ROW()+1,MATCH("번지",'04A_국토부원자료'!$A$4:$T$4,0)),""))</f>
        <v/>
      </c>
      <c r="D1076" s="48">
        <f>IF(B1076="","",IF(Q1076=1,'02_대상물건입력'!$B$8,IFERROR(INDEX('04A_국토부원자료'!$A:$T,ROW()+1,MATCH("단지명",'04A_국토부원자료'!$A$4:$T$4,0)),"")))</f>
        <v/>
      </c>
      <c r="E1076" s="172">
        <f>IFERROR(VALUE(SUBSTITUTE(INDEX('04A_국토부원자료'!$A:$T,ROW()+1,MATCH("전용면적(㎡)",'04A_국토부원자료'!$A$4:$T$4,0)),",","")),"")</f>
        <v/>
      </c>
      <c r="F10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76" s="51">
        <f>IFERROR(VALUE(SUBSTITUTE(INDEX('04A_국토부원자료'!$A:$T,ROW()+1,MATCH("거래금액(만원)",'04A_국토부원자료'!$A$4:$T$4,0)),",","")),"")</f>
        <v/>
      </c>
      <c r="H1076" s="174">
        <f>IF(G1076="","",G1076*10000)</f>
        <v/>
      </c>
      <c r="I1076" s="174">
        <f>IFERROR(IF(AND(H1076&gt;0,E1076&gt;0),H1076/E1076,""),"")</f>
        <v/>
      </c>
      <c r="J1076" s="152">
        <f>IFERROR(VALUE(SUBSTITUTE(INDEX('04A_국토부원자료'!$A:$T,ROW()+1,MATCH("층",'04A_국토부원자료'!$A$4:$T$4,0)),",","")),"")</f>
        <v/>
      </c>
      <c r="K1076" s="152">
        <f>IFERROR(VALUE(SUBSTITUTE(INDEX('04A_국토부원자료'!$A:$T,ROW()+1,MATCH("건축년도",'04A_국토부원자료'!$A$4:$T$4,0)),",","")),"")</f>
        <v/>
      </c>
      <c r="L1076" s="176">
        <f>IFERROR(INDEX('04A_국토부원자료'!$A:$T,ROW()+1,MATCH("도로명",'04A_국토부원자료'!$A$4:$T$4,0)),"")</f>
        <v/>
      </c>
      <c r="M1076" s="48">
        <f>IFERROR(INDEX('04A_국토부원자료'!$A:$T,ROW()+1,MATCH("거래유형",'04A_국토부원자료'!$A$4:$T$4,0)),"")</f>
        <v/>
      </c>
      <c r="N1076" s="152">
        <f>IF(B1076="","",IF('02_대상물건입력'!B5="",1,IF(ISNUMBER(SEARCH('02_대상물건입력'!B5,B1076)),1,0)))</f>
        <v/>
      </c>
      <c r="O1076" s="152">
        <f>IF(B1076="","",IF('02_대상물건입력'!B6="",1,IF(ISNUMBER(SEARCH('02_대상물건입력'!B6,B1076)),1,0)))</f>
        <v/>
      </c>
      <c r="P1076" s="152">
        <f>IF(L1076="","",IF('02_대상물건입력'!B15="",0,IF(ISNUMBER(SEARCH('02_대상물건입력'!B15,L1076)),1,0)))</f>
        <v/>
      </c>
      <c r="Q1076" s="152">
        <f>IF(OR(C1076="",L1076=""),0,IF(AND(TRIM(C1076)=TRIM(RIGHT(SUBSTITUTE(TRIM('02_대상물건입력'!$B$7)," ",REPT(" ",99)),99)),IF('02_대상물건입력'!B15="",TRUE(),ISNUMBER(SEARCH('02_대상물건입력'!B15,L1076)))),1,0))</f>
        <v/>
      </c>
      <c r="R1076" s="175">
        <f>IFERROR(ABS(E1076-'02_대상물건입력'!B11)/'02_대상물건입력'!B11,"")</f>
        <v/>
      </c>
      <c r="S1076" s="152">
        <f>IFERROR(ABS(J1076-'02_대상물건입력'!B10),"")</f>
        <v/>
      </c>
      <c r="T1076" s="152">
        <f>IFERROR(ABS('01_설정'!B4-F1076),"")</f>
        <v/>
      </c>
      <c r="U1076" s="152">
        <f>IFERROR(ABS(K1076-YEAR('02_대상물건입력'!B14)),"")</f>
        <v/>
      </c>
      <c r="V1076" s="152">
        <f>IF(B1076="","",IF(AND(E1076&gt;0,F1076&gt;0,H1076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1076=1,TRUE()),R1076&lt;='01_설정'!B5,S1076&lt;='01_설정'!B6,T1076&lt;='01_설정'!B7,U1076&lt;='01_설정'!B8),"Y",""))</f>
        <v/>
      </c>
      <c r="W1076" s="172">
        <f>IF(V1076&lt;&gt;"Y","",MAX(0,(1-R1076/'01_설정'!B5))*'01_설정'!B14+MAX(0,(1-S1076/'01_설정'!B6))*'01_설정'!B15+MAX(0,(1-T1076/'01_설정'!B7))*'01_설정'!B16+MAX(0,(1-U1076/'01_설정'!B8))*'01_설정'!B17+O1076*'01_설정'!B11+Q1076*'01_설정'!B12+P1076*'01_설정'!B13+IF(Z1076="",0,Z1076))</f>
        <v/>
      </c>
      <c r="X1076" s="152">
        <f>IF(W1076="","",1+COUNTIFS($W$4:$W$3003,"&gt;"&amp;W1076)+COUNTIFS($W$4:W1076,W1076)-1)</f>
        <v/>
      </c>
      <c r="Y1076" s="175">
        <f>IF(OR(I1076="",'02_대상물건입력'!B19="",'02_대상물건입력'!B19&lt;=0),"",ABS(I1076-'02_대상물건입력'!B19)/'02_대상물건입력'!B19)</f>
        <v/>
      </c>
      <c r="Z1076" s="172">
        <f>IF(OR(Y1076="",'01_설정'!B31="",'01_설정'!B31&lt;=0,'01_설정'!B32="",'01_설정'!B32&lt;=0),"",MAX(0,(1-Y1076/'01_설정'!B32))*'01_설정'!B31)</f>
        <v/>
      </c>
    </row>
    <row r="1077" ht="17.25" customHeight="1">
      <c r="A1077" s="152">
        <f>IF(INDEX('04A_국토부원자료'!$A:$A,ROW()+1)="","",ROW()-3)</f>
        <v/>
      </c>
      <c r="B1077" s="48">
        <f>IFERROR(INDEX('04A_국토부원자료'!$A:$T,ROW()+1,MATCH("시군구",'04A_국토부원자료'!$A$4:$T$4,0)),"")</f>
        <v/>
      </c>
      <c r="C1077" s="48">
        <f>IF(B1077="","",IFERROR(INDEX('04A_국토부원자료'!$A:$T,ROW()+1,MATCH("번지",'04A_국토부원자료'!$A$4:$T$4,0)),""))</f>
        <v/>
      </c>
      <c r="D1077" s="48">
        <f>IF(B1077="","",IF(Q1077=1,'02_대상물건입력'!$B$8,IFERROR(INDEX('04A_국토부원자료'!$A:$T,ROW()+1,MATCH("단지명",'04A_국토부원자료'!$A$4:$T$4,0)),"")))</f>
        <v/>
      </c>
      <c r="E1077" s="172">
        <f>IFERROR(VALUE(SUBSTITUTE(INDEX('04A_국토부원자료'!$A:$T,ROW()+1,MATCH("전용면적(㎡)",'04A_국토부원자료'!$A$4:$T$4,0)),",","")),"")</f>
        <v/>
      </c>
      <c r="F10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77" s="51">
        <f>IFERROR(VALUE(SUBSTITUTE(INDEX('04A_국토부원자료'!$A:$T,ROW()+1,MATCH("거래금액(만원)",'04A_국토부원자료'!$A$4:$T$4,0)),",","")),"")</f>
        <v/>
      </c>
      <c r="H1077" s="174">
        <f>IF(G1077="","",G1077*10000)</f>
        <v/>
      </c>
      <c r="I1077" s="174">
        <f>IFERROR(IF(AND(H1077&gt;0,E1077&gt;0),H1077/E1077,""),"")</f>
        <v/>
      </c>
      <c r="J1077" s="152">
        <f>IFERROR(VALUE(SUBSTITUTE(INDEX('04A_국토부원자료'!$A:$T,ROW()+1,MATCH("층",'04A_국토부원자료'!$A$4:$T$4,0)),",","")),"")</f>
        <v/>
      </c>
      <c r="K1077" s="152">
        <f>IFERROR(VALUE(SUBSTITUTE(INDEX('04A_국토부원자료'!$A:$T,ROW()+1,MATCH("건축년도",'04A_국토부원자료'!$A$4:$T$4,0)),",","")),"")</f>
        <v/>
      </c>
      <c r="L1077" s="176">
        <f>IFERROR(INDEX('04A_국토부원자료'!$A:$T,ROW()+1,MATCH("도로명",'04A_국토부원자료'!$A$4:$T$4,0)),"")</f>
        <v/>
      </c>
      <c r="M1077" s="48">
        <f>IFERROR(INDEX('04A_국토부원자료'!$A:$T,ROW()+1,MATCH("거래유형",'04A_국토부원자료'!$A$4:$T$4,0)),"")</f>
        <v/>
      </c>
      <c r="N1077" s="152">
        <f>IF(B1077="","",IF('02_대상물건입력'!B5="",1,IF(ISNUMBER(SEARCH('02_대상물건입력'!B5,B1077)),1,0)))</f>
        <v/>
      </c>
      <c r="O1077" s="152">
        <f>IF(B1077="","",IF('02_대상물건입력'!B6="",1,IF(ISNUMBER(SEARCH('02_대상물건입력'!B6,B1077)),1,0)))</f>
        <v/>
      </c>
      <c r="P1077" s="152">
        <f>IF(L1077="","",IF('02_대상물건입력'!B15="",0,IF(ISNUMBER(SEARCH('02_대상물건입력'!B15,L1077)),1,0)))</f>
        <v/>
      </c>
      <c r="Q1077" s="152">
        <f>IF(OR(C1077="",L1077=""),0,IF(AND(TRIM(C1077)=TRIM(RIGHT(SUBSTITUTE(TRIM('02_대상물건입력'!$B$7)," ",REPT(" ",99)),99)),IF('02_대상물건입력'!B15="",TRUE(),ISNUMBER(SEARCH('02_대상물건입력'!B15,L1077)))),1,0))</f>
        <v/>
      </c>
      <c r="R1077" s="175">
        <f>IFERROR(ABS(E1077-'02_대상물건입력'!B11)/'02_대상물건입력'!B11,"")</f>
        <v/>
      </c>
      <c r="S1077" s="152">
        <f>IFERROR(ABS(J1077-'02_대상물건입력'!B10),"")</f>
        <v/>
      </c>
      <c r="T1077" s="152">
        <f>IFERROR(ABS('01_설정'!B4-F1077),"")</f>
        <v/>
      </c>
      <c r="U1077" s="152">
        <f>IFERROR(ABS(K1077-YEAR('02_대상물건입력'!B14)),"")</f>
        <v/>
      </c>
      <c r="V1077" s="152">
        <f>IF(B1077="","",IF(AND(E1077&gt;0,F1077&gt;0,H1077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1077=1,TRUE()),R1077&lt;='01_설정'!B5,S1077&lt;='01_설정'!B6,T1077&lt;='01_설정'!B7,U1077&lt;='01_설정'!B8),"Y",""))</f>
        <v/>
      </c>
      <c r="W1077" s="172">
        <f>IF(V1077&lt;&gt;"Y","",MAX(0,(1-R1077/'01_설정'!B5))*'01_설정'!B14+MAX(0,(1-S1077/'01_설정'!B6))*'01_설정'!B15+MAX(0,(1-T1077/'01_설정'!B7))*'01_설정'!B16+MAX(0,(1-U1077/'01_설정'!B8))*'01_설정'!B17+O1077*'01_설정'!B11+Q1077*'01_설정'!B12+P1077*'01_설정'!B13+IF(Z1077="",0,Z1077))</f>
        <v/>
      </c>
      <c r="X1077" s="152">
        <f>IF(W1077="","",1+COUNTIFS($W$4:$W$3003,"&gt;"&amp;W1077)+COUNTIFS($W$4:W1077,W1077)-1)</f>
        <v/>
      </c>
      <c r="Y1077" s="175">
        <f>IF(OR(I1077="",'02_대상물건입력'!B19="",'02_대상물건입력'!B19&lt;=0),"",ABS(I1077-'02_대상물건입력'!B19)/'02_대상물건입력'!B19)</f>
        <v/>
      </c>
      <c r="Z1077" s="172">
        <f>IF(OR(Y1077="",'01_설정'!B31="",'01_설정'!B31&lt;=0,'01_설정'!B32="",'01_설정'!B32&lt;=0),"",MAX(0,(1-Y1077/'01_설정'!B32))*'01_설정'!B31)</f>
        <v/>
      </c>
    </row>
    <row r="1078" ht="17.25" customHeight="1">
      <c r="A1078" s="152">
        <f>IF(INDEX('04A_국토부원자료'!$A:$A,ROW()+1)="","",ROW()-3)</f>
        <v/>
      </c>
      <c r="B1078" s="48">
        <f>IFERROR(INDEX('04A_국토부원자료'!$A:$T,ROW()+1,MATCH("시군구",'04A_국토부원자료'!$A$4:$T$4,0)),"")</f>
        <v/>
      </c>
      <c r="C1078" s="48">
        <f>IF(B1078="","",IFERROR(INDEX('04A_국토부원자료'!$A:$T,ROW()+1,MATCH("번지",'04A_국토부원자료'!$A$4:$T$4,0)),""))</f>
        <v/>
      </c>
      <c r="D1078" s="48">
        <f>IF(B1078="","",IF(Q1078=1,'02_대상물건입력'!$B$8,IFERROR(INDEX('04A_국토부원자료'!$A:$T,ROW()+1,MATCH("단지명",'04A_국토부원자료'!$A$4:$T$4,0)),"")))</f>
        <v/>
      </c>
      <c r="E1078" s="172">
        <f>IFERROR(VALUE(SUBSTITUTE(INDEX('04A_국토부원자료'!$A:$T,ROW()+1,MATCH("전용면적(㎡)",'04A_국토부원자료'!$A$4:$T$4,0)),",","")),"")</f>
        <v/>
      </c>
      <c r="F10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78" s="51">
        <f>IFERROR(VALUE(SUBSTITUTE(INDEX('04A_국토부원자료'!$A:$T,ROW()+1,MATCH("거래금액(만원)",'04A_국토부원자료'!$A$4:$T$4,0)),",","")),"")</f>
        <v/>
      </c>
      <c r="H1078" s="174">
        <f>IF(G1078="","",G1078*10000)</f>
        <v/>
      </c>
      <c r="I1078" s="174">
        <f>IFERROR(IF(AND(H1078&gt;0,E1078&gt;0),H1078/E1078,""),"")</f>
        <v/>
      </c>
      <c r="J1078" s="152">
        <f>IFERROR(VALUE(SUBSTITUTE(INDEX('04A_국토부원자료'!$A:$T,ROW()+1,MATCH("층",'04A_국토부원자료'!$A$4:$T$4,0)),",","")),"")</f>
        <v/>
      </c>
      <c r="K1078" s="152">
        <f>IFERROR(VALUE(SUBSTITUTE(INDEX('04A_국토부원자료'!$A:$T,ROW()+1,MATCH("건축년도",'04A_국토부원자료'!$A$4:$T$4,0)),",","")),"")</f>
        <v/>
      </c>
      <c r="L1078" s="176">
        <f>IFERROR(INDEX('04A_국토부원자료'!$A:$T,ROW()+1,MATCH("도로명",'04A_국토부원자료'!$A$4:$T$4,0)),"")</f>
        <v/>
      </c>
      <c r="M1078" s="48">
        <f>IFERROR(INDEX('04A_국토부원자료'!$A:$T,ROW()+1,MATCH("거래유형",'04A_국토부원자료'!$A$4:$T$4,0)),"")</f>
        <v/>
      </c>
      <c r="N1078" s="152">
        <f>IF(B1078="","",IF('02_대상물건입력'!B5="",1,IF(ISNUMBER(SEARCH('02_대상물건입력'!B5,B1078)),1,0)))</f>
        <v/>
      </c>
      <c r="O1078" s="152">
        <f>IF(B1078="","",IF('02_대상물건입력'!B6="",1,IF(ISNUMBER(SEARCH('02_대상물건입력'!B6,B1078)),1,0)))</f>
        <v/>
      </c>
      <c r="P1078" s="152">
        <f>IF(L1078="","",IF('02_대상물건입력'!B15="",0,IF(ISNUMBER(SEARCH('02_대상물건입력'!B15,L1078)),1,0)))</f>
        <v/>
      </c>
      <c r="Q1078" s="152">
        <f>IF(OR(C1078="",L1078=""),0,IF(AND(TRIM(C1078)=TRIM(RIGHT(SUBSTITUTE(TRIM('02_대상물건입력'!$B$7)," ",REPT(" ",99)),99)),IF('02_대상물건입력'!B15="",TRUE(),ISNUMBER(SEARCH('02_대상물건입력'!B15,L1078)))),1,0))</f>
        <v/>
      </c>
      <c r="R1078" s="175">
        <f>IFERROR(ABS(E1078-'02_대상물건입력'!B11)/'02_대상물건입력'!B11,"")</f>
        <v/>
      </c>
      <c r="S1078" s="152">
        <f>IFERROR(ABS(J1078-'02_대상물건입력'!B10),"")</f>
        <v/>
      </c>
      <c r="T1078" s="152">
        <f>IFERROR(ABS('01_설정'!B4-F1078),"")</f>
        <v/>
      </c>
      <c r="U1078" s="152">
        <f>IFERROR(ABS(K1078-YEAR('02_대상물건입력'!B14)),"")</f>
        <v/>
      </c>
      <c r="V1078" s="152">
        <f>IF(B1078="","",IF(AND(E1078&gt;0,F1078&gt;0,H1078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1078=1,TRUE()),R1078&lt;='01_설정'!B5,S1078&lt;='01_설정'!B6,T1078&lt;='01_설정'!B7,U1078&lt;='01_설정'!B8),"Y",""))</f>
        <v/>
      </c>
      <c r="W1078" s="172">
        <f>IF(V1078&lt;&gt;"Y","",MAX(0,(1-R1078/'01_설정'!B5))*'01_설정'!B14+MAX(0,(1-S1078/'01_설정'!B6))*'01_설정'!B15+MAX(0,(1-T1078/'01_설정'!B7))*'01_설정'!B16+MAX(0,(1-U1078/'01_설정'!B8))*'01_설정'!B17+O1078*'01_설정'!B11+Q1078*'01_설정'!B12+P1078*'01_설정'!B13+IF(Z1078="",0,Z1078))</f>
        <v/>
      </c>
      <c r="X1078" s="152">
        <f>IF(W1078="","",1+COUNTIFS($W$4:$W$3003,"&gt;"&amp;W1078)+COUNTIFS($W$4:W1078,W1078)-1)</f>
        <v/>
      </c>
      <c r="Y1078" s="175">
        <f>IF(OR(I1078="",'02_대상물건입력'!B19="",'02_대상물건입력'!B19&lt;=0),"",ABS(I1078-'02_대상물건입력'!B19)/'02_대상물건입력'!B19)</f>
        <v/>
      </c>
      <c r="Z1078" s="172">
        <f>IF(OR(Y1078="",'01_설정'!B31="",'01_설정'!B31&lt;=0,'01_설정'!B32="",'01_설정'!B32&lt;=0),"",MAX(0,(1-Y1078/'01_설정'!B32))*'01_설정'!B31)</f>
        <v/>
      </c>
    </row>
    <row r="1079" ht="17.25" customHeight="1">
      <c r="A1079" s="152">
        <f>IF(INDEX('04A_국토부원자료'!$A:$A,ROW()+1)="","",ROW()-3)</f>
        <v/>
      </c>
      <c r="B1079" s="48">
        <f>IFERROR(INDEX('04A_국토부원자료'!$A:$T,ROW()+1,MATCH("시군구",'04A_국토부원자료'!$A$4:$T$4,0)),"")</f>
        <v/>
      </c>
      <c r="C1079" s="48">
        <f>IF(B1079="","",IFERROR(INDEX('04A_국토부원자료'!$A:$T,ROW()+1,MATCH("번지",'04A_국토부원자료'!$A$4:$T$4,0)),""))</f>
        <v/>
      </c>
      <c r="D1079" s="48">
        <f>IF(B1079="","",IF(Q1079=1,'02_대상물건입력'!$B$8,IFERROR(INDEX('04A_국토부원자료'!$A:$T,ROW()+1,MATCH("단지명",'04A_국토부원자료'!$A$4:$T$4,0)),"")))</f>
        <v/>
      </c>
      <c r="E1079" s="172">
        <f>IFERROR(VALUE(SUBSTITUTE(INDEX('04A_국토부원자료'!$A:$T,ROW()+1,MATCH("전용면적(㎡)",'04A_국토부원자료'!$A$4:$T$4,0)),",","")),"")</f>
        <v/>
      </c>
      <c r="F10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79" s="51">
        <f>IFERROR(VALUE(SUBSTITUTE(INDEX('04A_국토부원자료'!$A:$T,ROW()+1,MATCH("거래금액(만원)",'04A_국토부원자료'!$A$4:$T$4,0)),",","")),"")</f>
        <v/>
      </c>
      <c r="H1079" s="174">
        <f>IF(G1079="","",G1079*10000)</f>
        <v/>
      </c>
      <c r="I1079" s="174">
        <f>IFERROR(IF(AND(H1079&gt;0,E1079&gt;0),H1079/E1079,""),"")</f>
        <v/>
      </c>
      <c r="J1079" s="152">
        <f>IFERROR(VALUE(SUBSTITUTE(INDEX('04A_국토부원자료'!$A:$T,ROW()+1,MATCH("층",'04A_국토부원자료'!$A$4:$T$4,0)),",","")),"")</f>
        <v/>
      </c>
      <c r="K1079" s="152">
        <f>IFERROR(VALUE(SUBSTITUTE(INDEX('04A_국토부원자료'!$A:$T,ROW()+1,MATCH("건축년도",'04A_국토부원자료'!$A$4:$T$4,0)),",","")),"")</f>
        <v/>
      </c>
      <c r="L1079" s="176">
        <f>IFERROR(INDEX('04A_국토부원자료'!$A:$T,ROW()+1,MATCH("도로명",'04A_국토부원자료'!$A$4:$T$4,0)),"")</f>
        <v/>
      </c>
      <c r="M1079" s="48">
        <f>IFERROR(INDEX('04A_국토부원자료'!$A:$T,ROW()+1,MATCH("거래유형",'04A_국토부원자료'!$A$4:$T$4,0)),"")</f>
        <v/>
      </c>
      <c r="N1079" s="152">
        <f>IF(B1079="","",IF('02_대상물건입력'!B5="",1,IF(ISNUMBER(SEARCH('02_대상물건입력'!B5,B1079)),1,0)))</f>
        <v/>
      </c>
      <c r="O1079" s="152">
        <f>IF(B1079="","",IF('02_대상물건입력'!B6="",1,IF(ISNUMBER(SEARCH('02_대상물건입력'!B6,B1079)),1,0)))</f>
        <v/>
      </c>
      <c r="P1079" s="152">
        <f>IF(L1079="","",IF('02_대상물건입력'!B15="",0,IF(ISNUMBER(SEARCH('02_대상물건입력'!B15,L1079)),1,0)))</f>
        <v/>
      </c>
      <c r="Q1079" s="152">
        <f>IF(OR(C1079="",L1079=""),0,IF(AND(TRIM(C1079)=TRIM(RIGHT(SUBSTITUTE(TRIM('02_대상물건입력'!$B$7)," ",REPT(" ",99)),99)),IF('02_대상물건입력'!B15="",TRUE(),ISNUMBER(SEARCH('02_대상물건입력'!B15,L1079)))),1,0))</f>
        <v/>
      </c>
      <c r="R1079" s="175">
        <f>IFERROR(ABS(E1079-'02_대상물건입력'!B11)/'02_대상물건입력'!B11,"")</f>
        <v/>
      </c>
      <c r="S1079" s="152">
        <f>IFERROR(ABS(J1079-'02_대상물건입력'!B10),"")</f>
        <v/>
      </c>
      <c r="T1079" s="152">
        <f>IFERROR(ABS('01_설정'!B4-F1079),"")</f>
        <v/>
      </c>
      <c r="U1079" s="152">
        <f>IFERROR(ABS(K1079-YEAR('02_대상물건입력'!B14)),"")</f>
        <v/>
      </c>
      <c r="V1079" s="152">
        <f>IF(B1079="","",IF(AND(E1079&gt;0,F1079&gt;0,H1079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1079=1,TRUE()),R1079&lt;='01_설정'!B5,S1079&lt;='01_설정'!B6,T1079&lt;='01_설정'!B7,U1079&lt;='01_설정'!B8),"Y",""))</f>
        <v/>
      </c>
      <c r="W1079" s="172">
        <f>IF(V1079&lt;&gt;"Y","",MAX(0,(1-R1079/'01_설정'!B5))*'01_설정'!B14+MAX(0,(1-S1079/'01_설정'!B6))*'01_설정'!B15+MAX(0,(1-T1079/'01_설정'!B7))*'01_설정'!B16+MAX(0,(1-U1079/'01_설정'!B8))*'01_설정'!B17+O1079*'01_설정'!B11+Q1079*'01_설정'!B12+P1079*'01_설정'!B13+IF(Z1079="",0,Z1079))</f>
        <v/>
      </c>
      <c r="X1079" s="152">
        <f>IF(W1079="","",1+COUNTIFS($W$4:$W$3003,"&gt;"&amp;W1079)+COUNTIFS($W$4:W1079,W1079)-1)</f>
        <v/>
      </c>
      <c r="Y1079" s="175">
        <f>IF(OR(I1079="",'02_대상물건입력'!B19="",'02_대상물건입력'!B19&lt;=0),"",ABS(I1079-'02_대상물건입력'!B19)/'02_대상물건입력'!B19)</f>
        <v/>
      </c>
      <c r="Z1079" s="172">
        <f>IF(OR(Y1079="",'01_설정'!B31="",'01_설정'!B31&lt;=0,'01_설정'!B32="",'01_설정'!B32&lt;=0),"",MAX(0,(1-Y1079/'01_설정'!B32))*'01_설정'!B31)</f>
        <v/>
      </c>
    </row>
    <row r="1080" ht="17.25" customHeight="1">
      <c r="A1080" s="152">
        <f>IF(INDEX('04A_국토부원자료'!$A:$A,ROW()+1)="","",ROW()-3)</f>
        <v/>
      </c>
      <c r="B1080" s="48">
        <f>IFERROR(INDEX('04A_국토부원자료'!$A:$T,ROW()+1,MATCH("시군구",'04A_국토부원자료'!$A$4:$T$4,0)),"")</f>
        <v/>
      </c>
      <c r="C1080" s="48">
        <f>IF(B1080="","",IFERROR(INDEX('04A_국토부원자료'!$A:$T,ROW()+1,MATCH("번지",'04A_국토부원자료'!$A$4:$T$4,0)),""))</f>
        <v/>
      </c>
      <c r="D1080" s="48">
        <f>IF(B1080="","",IF(Q1080=1,'02_대상물건입력'!$B$8,IFERROR(INDEX('04A_국토부원자료'!$A:$T,ROW()+1,MATCH("단지명",'04A_국토부원자료'!$A$4:$T$4,0)),"")))</f>
        <v/>
      </c>
      <c r="E1080" s="172">
        <f>IFERROR(VALUE(SUBSTITUTE(INDEX('04A_국토부원자료'!$A:$T,ROW()+1,MATCH("전용면적(㎡)",'04A_국토부원자료'!$A$4:$T$4,0)),",","")),"")</f>
        <v/>
      </c>
      <c r="F10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80" s="51">
        <f>IFERROR(VALUE(SUBSTITUTE(INDEX('04A_국토부원자료'!$A:$T,ROW()+1,MATCH("거래금액(만원)",'04A_국토부원자료'!$A$4:$T$4,0)),",","")),"")</f>
        <v/>
      </c>
      <c r="H1080" s="174">
        <f>IF(G1080="","",G1080*10000)</f>
        <v/>
      </c>
      <c r="I1080" s="174">
        <f>IFERROR(IF(AND(H1080&gt;0,E1080&gt;0),H1080/E1080,""),"")</f>
        <v/>
      </c>
      <c r="J1080" s="152">
        <f>IFERROR(VALUE(SUBSTITUTE(INDEX('04A_국토부원자료'!$A:$T,ROW()+1,MATCH("층",'04A_국토부원자료'!$A$4:$T$4,0)),",","")),"")</f>
        <v/>
      </c>
      <c r="K1080" s="152">
        <f>IFERROR(VALUE(SUBSTITUTE(INDEX('04A_국토부원자료'!$A:$T,ROW()+1,MATCH("건축년도",'04A_국토부원자료'!$A$4:$T$4,0)),",","")),"")</f>
        <v/>
      </c>
      <c r="L1080" s="176">
        <f>IFERROR(INDEX('04A_국토부원자료'!$A:$T,ROW()+1,MATCH("도로명",'04A_국토부원자료'!$A$4:$T$4,0)),"")</f>
        <v/>
      </c>
      <c r="M1080" s="48">
        <f>IFERROR(INDEX('04A_국토부원자료'!$A:$T,ROW()+1,MATCH("거래유형",'04A_국토부원자료'!$A$4:$T$4,0)),"")</f>
        <v/>
      </c>
      <c r="N1080" s="152">
        <f>IF(B1080="","",IF('02_대상물건입력'!B5="",1,IF(ISNUMBER(SEARCH('02_대상물건입력'!B5,B1080)),1,0)))</f>
        <v/>
      </c>
      <c r="O1080" s="152">
        <f>IF(B1080="","",IF('02_대상물건입력'!B6="",1,IF(ISNUMBER(SEARCH('02_대상물건입력'!B6,B1080)),1,0)))</f>
        <v/>
      </c>
      <c r="P1080" s="152">
        <f>IF(L1080="","",IF('02_대상물건입력'!B15="",0,IF(ISNUMBER(SEARCH('02_대상물건입력'!B15,L1080)),1,0)))</f>
        <v/>
      </c>
      <c r="Q1080" s="152">
        <f>IF(OR(C1080="",L1080=""),0,IF(AND(TRIM(C1080)=TRIM(RIGHT(SUBSTITUTE(TRIM('02_대상물건입력'!$B$7)," ",REPT(" ",99)),99)),IF('02_대상물건입력'!B15="",TRUE(),ISNUMBER(SEARCH('02_대상물건입력'!B15,L1080)))),1,0))</f>
        <v/>
      </c>
      <c r="R1080" s="175">
        <f>IFERROR(ABS(E1080-'02_대상물건입력'!B11)/'02_대상물건입력'!B11,"")</f>
        <v/>
      </c>
      <c r="S1080" s="152">
        <f>IFERROR(ABS(J1080-'02_대상물건입력'!B10),"")</f>
        <v/>
      </c>
      <c r="T1080" s="152">
        <f>IFERROR(ABS('01_설정'!B4-F1080),"")</f>
        <v/>
      </c>
      <c r="U1080" s="152">
        <f>IFERROR(ABS(K1080-YEAR('02_대상물건입력'!B14)),"")</f>
        <v/>
      </c>
      <c r="V1080" s="152">
        <f>IF(B1080="","",IF(AND(E1080&gt;0,F1080&gt;0,H1080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1080=1,TRUE()),R1080&lt;='01_설정'!B5,S1080&lt;='01_설정'!B6,T1080&lt;='01_설정'!B7,U1080&lt;='01_설정'!B8),"Y",""))</f>
        <v/>
      </c>
      <c r="W1080" s="172">
        <f>IF(V1080&lt;&gt;"Y","",MAX(0,(1-R1080/'01_설정'!B5))*'01_설정'!B14+MAX(0,(1-S1080/'01_설정'!B6))*'01_설정'!B15+MAX(0,(1-T1080/'01_설정'!B7))*'01_설정'!B16+MAX(0,(1-U1080/'01_설정'!B8))*'01_설정'!B17+O1080*'01_설정'!B11+Q1080*'01_설정'!B12+P1080*'01_설정'!B13+IF(Z1080="",0,Z1080))</f>
        <v/>
      </c>
      <c r="X1080" s="152">
        <f>IF(W1080="","",1+COUNTIFS($W$4:$W$3003,"&gt;"&amp;W1080)+COUNTIFS($W$4:W1080,W1080)-1)</f>
        <v/>
      </c>
      <c r="Y1080" s="175">
        <f>IF(OR(I1080="",'02_대상물건입력'!B19="",'02_대상물건입력'!B19&lt;=0),"",ABS(I1080-'02_대상물건입력'!B19)/'02_대상물건입력'!B19)</f>
        <v/>
      </c>
      <c r="Z1080" s="172">
        <f>IF(OR(Y1080="",'01_설정'!B31="",'01_설정'!B31&lt;=0,'01_설정'!B32="",'01_설정'!B32&lt;=0),"",MAX(0,(1-Y1080/'01_설정'!B32))*'01_설정'!B31)</f>
        <v/>
      </c>
    </row>
    <row r="1081" ht="17.25" customHeight="1">
      <c r="A1081" s="152">
        <f>IF(INDEX('04A_국토부원자료'!$A:$A,ROW()+1)="","",ROW()-3)</f>
        <v/>
      </c>
      <c r="B1081" s="48">
        <f>IFERROR(INDEX('04A_국토부원자료'!$A:$T,ROW()+1,MATCH("시군구",'04A_국토부원자료'!$A$4:$T$4,0)),"")</f>
        <v/>
      </c>
      <c r="C1081" s="48">
        <f>IF(B1081="","",IFERROR(INDEX('04A_국토부원자료'!$A:$T,ROW()+1,MATCH("번지",'04A_국토부원자료'!$A$4:$T$4,0)),""))</f>
        <v/>
      </c>
      <c r="D1081" s="48">
        <f>IF(B1081="","",IF(Q1081=1,'02_대상물건입력'!$B$8,IFERROR(INDEX('04A_국토부원자료'!$A:$T,ROW()+1,MATCH("단지명",'04A_국토부원자료'!$A$4:$T$4,0)),"")))</f>
        <v/>
      </c>
      <c r="E1081" s="172">
        <f>IFERROR(VALUE(SUBSTITUTE(INDEX('04A_국토부원자료'!$A:$T,ROW()+1,MATCH("전용면적(㎡)",'04A_국토부원자료'!$A$4:$T$4,0)),",","")),"")</f>
        <v/>
      </c>
      <c r="F10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81" s="51">
        <f>IFERROR(VALUE(SUBSTITUTE(INDEX('04A_국토부원자료'!$A:$T,ROW()+1,MATCH("거래금액(만원)",'04A_국토부원자료'!$A$4:$T$4,0)),",","")),"")</f>
        <v/>
      </c>
      <c r="H1081" s="174">
        <f>IF(G1081="","",G1081*10000)</f>
        <v/>
      </c>
      <c r="I1081" s="174">
        <f>IFERROR(IF(AND(H1081&gt;0,E1081&gt;0),H1081/E1081,""),"")</f>
        <v/>
      </c>
      <c r="J1081" s="152">
        <f>IFERROR(VALUE(SUBSTITUTE(INDEX('04A_국토부원자료'!$A:$T,ROW()+1,MATCH("층",'04A_국토부원자료'!$A$4:$T$4,0)),",","")),"")</f>
        <v/>
      </c>
      <c r="K1081" s="152">
        <f>IFERROR(VALUE(SUBSTITUTE(INDEX('04A_국토부원자료'!$A:$T,ROW()+1,MATCH("건축년도",'04A_국토부원자료'!$A$4:$T$4,0)),",","")),"")</f>
        <v/>
      </c>
      <c r="L1081" s="176">
        <f>IFERROR(INDEX('04A_국토부원자료'!$A:$T,ROW()+1,MATCH("도로명",'04A_국토부원자료'!$A$4:$T$4,0)),"")</f>
        <v/>
      </c>
      <c r="M1081" s="48">
        <f>IFERROR(INDEX('04A_국토부원자료'!$A:$T,ROW()+1,MATCH("거래유형",'04A_국토부원자료'!$A$4:$T$4,0)),"")</f>
        <v/>
      </c>
      <c r="N1081" s="152">
        <f>IF(B1081="","",IF('02_대상물건입력'!B5="",1,IF(ISNUMBER(SEARCH('02_대상물건입력'!B5,B1081)),1,0)))</f>
        <v/>
      </c>
      <c r="O1081" s="152">
        <f>IF(B1081="","",IF('02_대상물건입력'!B6="",1,IF(ISNUMBER(SEARCH('02_대상물건입력'!B6,B1081)),1,0)))</f>
        <v/>
      </c>
      <c r="P1081" s="152">
        <f>IF(L1081="","",IF('02_대상물건입력'!B15="",0,IF(ISNUMBER(SEARCH('02_대상물건입력'!B15,L1081)),1,0)))</f>
        <v/>
      </c>
      <c r="Q1081" s="152">
        <f>IF(OR(C1081="",L1081=""),0,IF(AND(TRIM(C1081)=TRIM(RIGHT(SUBSTITUTE(TRIM('02_대상물건입력'!$B$7)," ",REPT(" ",99)),99)),IF('02_대상물건입력'!B15="",TRUE(),ISNUMBER(SEARCH('02_대상물건입력'!B15,L1081)))),1,0))</f>
        <v/>
      </c>
      <c r="R1081" s="175">
        <f>IFERROR(ABS(E1081-'02_대상물건입력'!B11)/'02_대상물건입력'!B11,"")</f>
        <v/>
      </c>
      <c r="S1081" s="152">
        <f>IFERROR(ABS(J1081-'02_대상물건입력'!B10),"")</f>
        <v/>
      </c>
      <c r="T1081" s="152">
        <f>IFERROR(ABS('01_설정'!B4-F1081),"")</f>
        <v/>
      </c>
      <c r="U1081" s="152">
        <f>IFERROR(ABS(K1081-YEAR('02_대상물건입력'!B14)),"")</f>
        <v/>
      </c>
      <c r="V1081" s="152">
        <f>IF(B1081="","",IF(AND(E1081&gt;0,F1081&gt;0,H1081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1081=1,TRUE()),R1081&lt;='01_설정'!B5,S1081&lt;='01_설정'!B6,T1081&lt;='01_설정'!B7,U1081&lt;='01_설정'!B8),"Y",""))</f>
        <v/>
      </c>
      <c r="W1081" s="172">
        <f>IF(V1081&lt;&gt;"Y","",MAX(0,(1-R1081/'01_설정'!B5))*'01_설정'!B14+MAX(0,(1-S1081/'01_설정'!B6))*'01_설정'!B15+MAX(0,(1-T1081/'01_설정'!B7))*'01_설정'!B16+MAX(0,(1-U1081/'01_설정'!B8))*'01_설정'!B17+O1081*'01_설정'!B11+Q1081*'01_설정'!B12+P1081*'01_설정'!B13+IF(Z1081="",0,Z1081))</f>
        <v/>
      </c>
      <c r="X1081" s="152">
        <f>IF(W1081="","",1+COUNTIFS($W$4:$W$3003,"&gt;"&amp;W1081)+COUNTIFS($W$4:W1081,W1081)-1)</f>
        <v/>
      </c>
      <c r="Y1081" s="175">
        <f>IF(OR(I1081="",'02_대상물건입력'!B19="",'02_대상물건입력'!B19&lt;=0),"",ABS(I1081-'02_대상물건입력'!B19)/'02_대상물건입력'!B19)</f>
        <v/>
      </c>
      <c r="Z1081" s="172">
        <f>IF(OR(Y1081="",'01_설정'!B31="",'01_설정'!B31&lt;=0,'01_설정'!B32="",'01_설정'!B32&lt;=0),"",MAX(0,(1-Y1081/'01_설정'!B32))*'01_설정'!B31)</f>
        <v/>
      </c>
    </row>
    <row r="1082" ht="17.25" customHeight="1">
      <c r="A1082" s="152">
        <f>IF(INDEX('04A_국토부원자료'!$A:$A,ROW()+1)="","",ROW()-3)</f>
        <v/>
      </c>
      <c r="B1082" s="48">
        <f>IFERROR(INDEX('04A_국토부원자료'!$A:$T,ROW()+1,MATCH("시군구",'04A_국토부원자료'!$A$4:$T$4,0)),"")</f>
        <v/>
      </c>
      <c r="C1082" s="48">
        <f>IF(B1082="","",IFERROR(INDEX('04A_국토부원자료'!$A:$T,ROW()+1,MATCH("번지",'04A_국토부원자료'!$A$4:$T$4,0)),""))</f>
        <v/>
      </c>
      <c r="D1082" s="48">
        <f>IF(B1082="","",IF(Q1082=1,'02_대상물건입력'!$B$8,IFERROR(INDEX('04A_국토부원자료'!$A:$T,ROW()+1,MATCH("단지명",'04A_국토부원자료'!$A$4:$T$4,0)),"")))</f>
        <v/>
      </c>
      <c r="E1082" s="172">
        <f>IFERROR(VALUE(SUBSTITUTE(INDEX('04A_국토부원자료'!$A:$T,ROW()+1,MATCH("전용면적(㎡)",'04A_국토부원자료'!$A$4:$T$4,0)),",","")),"")</f>
        <v/>
      </c>
      <c r="F10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82" s="51">
        <f>IFERROR(VALUE(SUBSTITUTE(INDEX('04A_국토부원자료'!$A:$T,ROW()+1,MATCH("거래금액(만원)",'04A_국토부원자료'!$A$4:$T$4,0)),",","")),"")</f>
        <v/>
      </c>
      <c r="H1082" s="174">
        <f>IF(G1082="","",G1082*10000)</f>
        <v/>
      </c>
      <c r="I1082" s="174">
        <f>IFERROR(IF(AND(H1082&gt;0,E1082&gt;0),H1082/E1082,""),"")</f>
        <v/>
      </c>
      <c r="J1082" s="152">
        <f>IFERROR(VALUE(SUBSTITUTE(INDEX('04A_국토부원자료'!$A:$T,ROW()+1,MATCH("층",'04A_국토부원자료'!$A$4:$T$4,0)),",","")),"")</f>
        <v/>
      </c>
      <c r="K1082" s="152">
        <f>IFERROR(VALUE(SUBSTITUTE(INDEX('04A_국토부원자료'!$A:$T,ROW()+1,MATCH("건축년도",'04A_국토부원자료'!$A$4:$T$4,0)),",","")),"")</f>
        <v/>
      </c>
      <c r="L1082" s="176">
        <f>IFERROR(INDEX('04A_국토부원자료'!$A:$T,ROW()+1,MATCH("도로명",'04A_국토부원자료'!$A$4:$T$4,0)),"")</f>
        <v/>
      </c>
      <c r="M1082" s="48">
        <f>IFERROR(INDEX('04A_국토부원자료'!$A:$T,ROW()+1,MATCH("거래유형",'04A_국토부원자료'!$A$4:$T$4,0)),"")</f>
        <v/>
      </c>
      <c r="N1082" s="152">
        <f>IF(B1082="","",IF('02_대상물건입력'!B5="",1,IF(ISNUMBER(SEARCH('02_대상물건입력'!B5,B1082)),1,0)))</f>
        <v/>
      </c>
      <c r="O1082" s="152">
        <f>IF(B1082="","",IF('02_대상물건입력'!B6="",1,IF(ISNUMBER(SEARCH('02_대상물건입력'!B6,B1082)),1,0)))</f>
        <v/>
      </c>
      <c r="P1082" s="152">
        <f>IF(L1082="","",IF('02_대상물건입력'!B15="",0,IF(ISNUMBER(SEARCH('02_대상물건입력'!B15,L1082)),1,0)))</f>
        <v/>
      </c>
      <c r="Q1082" s="152">
        <f>IF(OR(C1082="",L1082=""),0,IF(AND(TRIM(C1082)=TRIM(RIGHT(SUBSTITUTE(TRIM('02_대상물건입력'!$B$7)," ",REPT(" ",99)),99)),IF('02_대상물건입력'!B15="",TRUE(),ISNUMBER(SEARCH('02_대상물건입력'!B15,L1082)))),1,0))</f>
        <v/>
      </c>
      <c r="R1082" s="175">
        <f>IFERROR(ABS(E1082-'02_대상물건입력'!B11)/'02_대상물건입력'!B11,"")</f>
        <v/>
      </c>
      <c r="S1082" s="152">
        <f>IFERROR(ABS(J1082-'02_대상물건입력'!B10),"")</f>
        <v/>
      </c>
      <c r="T1082" s="152">
        <f>IFERROR(ABS('01_설정'!B4-F1082),"")</f>
        <v/>
      </c>
      <c r="U1082" s="152">
        <f>IFERROR(ABS(K1082-YEAR('02_대상물건입력'!B14)),"")</f>
        <v/>
      </c>
      <c r="V1082" s="152">
        <f>IF(B1082="","",IF(AND(E1082&gt;0,F1082&gt;0,H1082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1082=1,TRUE()),R1082&lt;='01_설정'!B5,S1082&lt;='01_설정'!B6,T1082&lt;='01_설정'!B7,U1082&lt;='01_설정'!B8),"Y",""))</f>
        <v/>
      </c>
      <c r="W1082" s="172">
        <f>IF(V1082&lt;&gt;"Y","",MAX(0,(1-R1082/'01_설정'!B5))*'01_설정'!B14+MAX(0,(1-S1082/'01_설정'!B6))*'01_설정'!B15+MAX(0,(1-T1082/'01_설정'!B7))*'01_설정'!B16+MAX(0,(1-U1082/'01_설정'!B8))*'01_설정'!B17+O1082*'01_설정'!B11+Q1082*'01_설정'!B12+P1082*'01_설정'!B13+IF(Z1082="",0,Z1082))</f>
        <v/>
      </c>
      <c r="X1082" s="152">
        <f>IF(W1082="","",1+COUNTIFS($W$4:$W$3003,"&gt;"&amp;W1082)+COUNTIFS($W$4:W1082,W1082)-1)</f>
        <v/>
      </c>
      <c r="Y1082" s="175">
        <f>IF(OR(I1082="",'02_대상물건입력'!B19="",'02_대상물건입력'!B19&lt;=0),"",ABS(I1082-'02_대상물건입력'!B19)/'02_대상물건입력'!B19)</f>
        <v/>
      </c>
      <c r="Z1082" s="172">
        <f>IF(OR(Y1082="",'01_설정'!B31="",'01_설정'!B31&lt;=0,'01_설정'!B32="",'01_설정'!B32&lt;=0),"",MAX(0,(1-Y1082/'01_설정'!B32))*'01_설정'!B31)</f>
        <v/>
      </c>
    </row>
    <row r="1083" ht="17.25" customHeight="1">
      <c r="A1083" s="152">
        <f>IF(INDEX('04A_국토부원자료'!$A:$A,ROW()+1)="","",ROW()-3)</f>
        <v/>
      </c>
      <c r="B1083" s="48">
        <f>IFERROR(INDEX('04A_국토부원자료'!$A:$T,ROW()+1,MATCH("시군구",'04A_국토부원자료'!$A$4:$T$4,0)),"")</f>
        <v/>
      </c>
      <c r="C1083" s="48">
        <f>IF(B1083="","",IFERROR(INDEX('04A_국토부원자료'!$A:$T,ROW()+1,MATCH("번지",'04A_국토부원자료'!$A$4:$T$4,0)),""))</f>
        <v/>
      </c>
      <c r="D1083" s="48">
        <f>IF(B1083="","",IF(Q1083=1,'02_대상물건입력'!$B$8,IFERROR(INDEX('04A_국토부원자료'!$A:$T,ROW()+1,MATCH("단지명",'04A_국토부원자료'!$A$4:$T$4,0)),"")))</f>
        <v/>
      </c>
      <c r="E1083" s="172">
        <f>IFERROR(VALUE(SUBSTITUTE(INDEX('04A_국토부원자료'!$A:$T,ROW()+1,MATCH("전용면적(㎡)",'04A_국토부원자료'!$A$4:$T$4,0)),",","")),"")</f>
        <v/>
      </c>
      <c r="F10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83" s="51">
        <f>IFERROR(VALUE(SUBSTITUTE(INDEX('04A_국토부원자료'!$A:$T,ROW()+1,MATCH("거래금액(만원)",'04A_국토부원자료'!$A$4:$T$4,0)),",","")),"")</f>
        <v/>
      </c>
      <c r="H1083" s="174">
        <f>IF(G1083="","",G1083*10000)</f>
        <v/>
      </c>
      <c r="I1083" s="174">
        <f>IFERROR(IF(AND(H1083&gt;0,E1083&gt;0),H1083/E1083,""),"")</f>
        <v/>
      </c>
      <c r="J1083" s="152">
        <f>IFERROR(VALUE(SUBSTITUTE(INDEX('04A_국토부원자료'!$A:$T,ROW()+1,MATCH("층",'04A_국토부원자료'!$A$4:$T$4,0)),",","")),"")</f>
        <v/>
      </c>
      <c r="K1083" s="152">
        <f>IFERROR(VALUE(SUBSTITUTE(INDEX('04A_국토부원자료'!$A:$T,ROW()+1,MATCH("건축년도",'04A_국토부원자료'!$A$4:$T$4,0)),",","")),"")</f>
        <v/>
      </c>
      <c r="L1083" s="176">
        <f>IFERROR(INDEX('04A_국토부원자료'!$A:$T,ROW()+1,MATCH("도로명",'04A_국토부원자료'!$A$4:$T$4,0)),"")</f>
        <v/>
      </c>
      <c r="M1083" s="48">
        <f>IFERROR(INDEX('04A_국토부원자료'!$A:$T,ROW()+1,MATCH("거래유형",'04A_국토부원자료'!$A$4:$T$4,0)),"")</f>
        <v/>
      </c>
      <c r="N1083" s="152">
        <f>IF(B1083="","",IF('02_대상물건입력'!B5="",1,IF(ISNUMBER(SEARCH('02_대상물건입력'!B5,B1083)),1,0)))</f>
        <v/>
      </c>
      <c r="O1083" s="152">
        <f>IF(B1083="","",IF('02_대상물건입력'!B6="",1,IF(ISNUMBER(SEARCH('02_대상물건입력'!B6,B1083)),1,0)))</f>
        <v/>
      </c>
      <c r="P1083" s="152">
        <f>IF(L1083="","",IF('02_대상물건입력'!B15="",0,IF(ISNUMBER(SEARCH('02_대상물건입력'!B15,L1083)),1,0)))</f>
        <v/>
      </c>
      <c r="Q1083" s="152">
        <f>IF(OR(C1083="",L1083=""),0,IF(AND(TRIM(C1083)=TRIM(RIGHT(SUBSTITUTE(TRIM('02_대상물건입력'!$B$7)," ",REPT(" ",99)),99)),IF('02_대상물건입력'!B15="",TRUE(),ISNUMBER(SEARCH('02_대상물건입력'!B15,L1083)))),1,0))</f>
        <v/>
      </c>
      <c r="R1083" s="175">
        <f>IFERROR(ABS(E1083-'02_대상물건입력'!B11)/'02_대상물건입력'!B11,"")</f>
        <v/>
      </c>
      <c r="S1083" s="152">
        <f>IFERROR(ABS(J1083-'02_대상물건입력'!B10),"")</f>
        <v/>
      </c>
      <c r="T1083" s="152">
        <f>IFERROR(ABS('01_설정'!B4-F1083),"")</f>
        <v/>
      </c>
      <c r="U1083" s="152">
        <f>IFERROR(ABS(K1083-YEAR('02_대상물건입력'!B14)),"")</f>
        <v/>
      </c>
      <c r="V1083" s="152">
        <f>IF(B1083="","",IF(AND(E1083&gt;0,F1083&gt;0,H1083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1083=1,TRUE()),R1083&lt;='01_설정'!B5,S1083&lt;='01_설정'!B6,T1083&lt;='01_설정'!B7,U1083&lt;='01_설정'!B8),"Y",""))</f>
        <v/>
      </c>
      <c r="W1083" s="172">
        <f>IF(V1083&lt;&gt;"Y","",MAX(0,(1-R1083/'01_설정'!B5))*'01_설정'!B14+MAX(0,(1-S1083/'01_설정'!B6))*'01_설정'!B15+MAX(0,(1-T1083/'01_설정'!B7))*'01_설정'!B16+MAX(0,(1-U1083/'01_설정'!B8))*'01_설정'!B17+O1083*'01_설정'!B11+Q1083*'01_설정'!B12+P1083*'01_설정'!B13+IF(Z1083="",0,Z1083))</f>
        <v/>
      </c>
      <c r="X1083" s="152">
        <f>IF(W1083="","",1+COUNTIFS($W$4:$W$3003,"&gt;"&amp;W1083)+COUNTIFS($W$4:W1083,W1083)-1)</f>
        <v/>
      </c>
      <c r="Y1083" s="175">
        <f>IF(OR(I1083="",'02_대상물건입력'!B19="",'02_대상물건입력'!B19&lt;=0),"",ABS(I1083-'02_대상물건입력'!B19)/'02_대상물건입력'!B19)</f>
        <v/>
      </c>
      <c r="Z1083" s="172">
        <f>IF(OR(Y1083="",'01_설정'!B31="",'01_설정'!B31&lt;=0,'01_설정'!B32="",'01_설정'!B32&lt;=0),"",MAX(0,(1-Y1083/'01_설정'!B32))*'01_설정'!B31)</f>
        <v/>
      </c>
    </row>
    <row r="1084" ht="17.25" customHeight="1">
      <c r="A1084" s="152">
        <f>IF(INDEX('04A_국토부원자료'!$A:$A,ROW()+1)="","",ROW()-3)</f>
        <v/>
      </c>
      <c r="B1084" s="48">
        <f>IFERROR(INDEX('04A_국토부원자료'!$A:$T,ROW()+1,MATCH("시군구",'04A_국토부원자료'!$A$4:$T$4,0)),"")</f>
        <v/>
      </c>
      <c r="C1084" s="48">
        <f>IF(B1084="","",IFERROR(INDEX('04A_국토부원자료'!$A:$T,ROW()+1,MATCH("번지",'04A_국토부원자료'!$A$4:$T$4,0)),""))</f>
        <v/>
      </c>
      <c r="D1084" s="48">
        <f>IF(B1084="","",IF(Q1084=1,'02_대상물건입력'!$B$8,IFERROR(INDEX('04A_국토부원자료'!$A:$T,ROW()+1,MATCH("단지명",'04A_국토부원자료'!$A$4:$T$4,0)),"")))</f>
        <v/>
      </c>
      <c r="E1084" s="172">
        <f>IFERROR(VALUE(SUBSTITUTE(INDEX('04A_국토부원자료'!$A:$T,ROW()+1,MATCH("전용면적(㎡)",'04A_국토부원자료'!$A$4:$T$4,0)),",","")),"")</f>
        <v/>
      </c>
      <c r="F10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84" s="51">
        <f>IFERROR(VALUE(SUBSTITUTE(INDEX('04A_국토부원자료'!$A:$T,ROW()+1,MATCH("거래금액(만원)",'04A_국토부원자료'!$A$4:$T$4,0)),",","")),"")</f>
        <v/>
      </c>
      <c r="H1084" s="174">
        <f>IF(G1084="","",G1084*10000)</f>
        <v/>
      </c>
      <c r="I1084" s="174">
        <f>IFERROR(IF(AND(H1084&gt;0,E1084&gt;0),H1084/E1084,""),"")</f>
        <v/>
      </c>
      <c r="J1084" s="152">
        <f>IFERROR(VALUE(SUBSTITUTE(INDEX('04A_국토부원자료'!$A:$T,ROW()+1,MATCH("층",'04A_국토부원자료'!$A$4:$T$4,0)),",","")),"")</f>
        <v/>
      </c>
      <c r="K1084" s="152">
        <f>IFERROR(VALUE(SUBSTITUTE(INDEX('04A_국토부원자료'!$A:$T,ROW()+1,MATCH("건축년도",'04A_국토부원자료'!$A$4:$T$4,0)),",","")),"")</f>
        <v/>
      </c>
      <c r="L1084" s="176">
        <f>IFERROR(INDEX('04A_국토부원자료'!$A:$T,ROW()+1,MATCH("도로명",'04A_국토부원자료'!$A$4:$T$4,0)),"")</f>
        <v/>
      </c>
      <c r="M1084" s="48">
        <f>IFERROR(INDEX('04A_국토부원자료'!$A:$T,ROW()+1,MATCH("거래유형",'04A_국토부원자료'!$A$4:$T$4,0)),"")</f>
        <v/>
      </c>
      <c r="N1084" s="152">
        <f>IF(B1084="","",IF('02_대상물건입력'!B5="",1,IF(ISNUMBER(SEARCH('02_대상물건입력'!B5,B1084)),1,0)))</f>
        <v/>
      </c>
      <c r="O1084" s="152">
        <f>IF(B1084="","",IF('02_대상물건입력'!B6="",1,IF(ISNUMBER(SEARCH('02_대상물건입력'!B6,B1084)),1,0)))</f>
        <v/>
      </c>
      <c r="P1084" s="152">
        <f>IF(L1084="","",IF('02_대상물건입력'!B15="",0,IF(ISNUMBER(SEARCH('02_대상물건입력'!B15,L1084)),1,0)))</f>
        <v/>
      </c>
      <c r="Q1084" s="152">
        <f>IF(OR(C1084="",L1084=""),0,IF(AND(TRIM(C1084)=TRIM(RIGHT(SUBSTITUTE(TRIM('02_대상물건입력'!$B$7)," ",REPT(" ",99)),99)),IF('02_대상물건입력'!B15="",TRUE(),ISNUMBER(SEARCH('02_대상물건입력'!B15,L1084)))),1,0))</f>
        <v/>
      </c>
      <c r="R1084" s="175">
        <f>IFERROR(ABS(E1084-'02_대상물건입력'!B11)/'02_대상물건입력'!B11,"")</f>
        <v/>
      </c>
      <c r="S1084" s="152">
        <f>IFERROR(ABS(J1084-'02_대상물건입력'!B10),"")</f>
        <v/>
      </c>
      <c r="T1084" s="152">
        <f>IFERROR(ABS('01_설정'!B4-F1084),"")</f>
        <v/>
      </c>
      <c r="U1084" s="152">
        <f>IFERROR(ABS(K1084-YEAR('02_대상물건입력'!B14)),"")</f>
        <v/>
      </c>
      <c r="V1084" s="152">
        <f>IF(B1084="","",IF(AND(E1084&gt;0,F1084&gt;0,H1084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1084=1,TRUE()),R1084&lt;='01_설정'!B5,S1084&lt;='01_설정'!B6,T1084&lt;='01_설정'!B7,U1084&lt;='01_설정'!B8),"Y",""))</f>
        <v/>
      </c>
      <c r="W1084" s="172">
        <f>IF(V1084&lt;&gt;"Y","",MAX(0,(1-R1084/'01_설정'!B5))*'01_설정'!B14+MAX(0,(1-S1084/'01_설정'!B6))*'01_설정'!B15+MAX(0,(1-T1084/'01_설정'!B7))*'01_설정'!B16+MAX(0,(1-U1084/'01_설정'!B8))*'01_설정'!B17+O1084*'01_설정'!B11+Q1084*'01_설정'!B12+P1084*'01_설정'!B13+IF(Z1084="",0,Z1084))</f>
        <v/>
      </c>
      <c r="X1084" s="152">
        <f>IF(W1084="","",1+COUNTIFS($W$4:$W$3003,"&gt;"&amp;W1084)+COUNTIFS($W$4:W1084,W1084)-1)</f>
        <v/>
      </c>
      <c r="Y1084" s="175">
        <f>IF(OR(I1084="",'02_대상물건입력'!B19="",'02_대상물건입력'!B19&lt;=0),"",ABS(I1084-'02_대상물건입력'!B19)/'02_대상물건입력'!B19)</f>
        <v/>
      </c>
      <c r="Z1084" s="172">
        <f>IF(OR(Y1084="",'01_설정'!B31="",'01_설정'!B31&lt;=0,'01_설정'!B32="",'01_설정'!B32&lt;=0),"",MAX(0,(1-Y1084/'01_설정'!B32))*'01_설정'!B31)</f>
        <v/>
      </c>
    </row>
    <row r="1085" ht="17.25" customHeight="1">
      <c r="A1085" s="152">
        <f>IF(INDEX('04A_국토부원자료'!$A:$A,ROW()+1)="","",ROW()-3)</f>
        <v/>
      </c>
      <c r="B1085" s="48">
        <f>IFERROR(INDEX('04A_국토부원자료'!$A:$T,ROW()+1,MATCH("시군구",'04A_국토부원자료'!$A$4:$T$4,0)),"")</f>
        <v/>
      </c>
      <c r="C1085" s="48">
        <f>IF(B1085="","",IFERROR(INDEX('04A_국토부원자료'!$A:$T,ROW()+1,MATCH("번지",'04A_국토부원자료'!$A$4:$T$4,0)),""))</f>
        <v/>
      </c>
      <c r="D1085" s="48">
        <f>IF(B1085="","",IF(Q1085=1,'02_대상물건입력'!$B$8,IFERROR(INDEX('04A_국토부원자료'!$A:$T,ROW()+1,MATCH("단지명",'04A_국토부원자료'!$A$4:$T$4,0)),"")))</f>
        <v/>
      </c>
      <c r="E1085" s="172">
        <f>IFERROR(VALUE(SUBSTITUTE(INDEX('04A_국토부원자료'!$A:$T,ROW()+1,MATCH("전용면적(㎡)",'04A_국토부원자료'!$A$4:$T$4,0)),",","")),"")</f>
        <v/>
      </c>
      <c r="F10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85" s="51">
        <f>IFERROR(VALUE(SUBSTITUTE(INDEX('04A_국토부원자료'!$A:$T,ROW()+1,MATCH("거래금액(만원)",'04A_국토부원자료'!$A$4:$T$4,0)),",","")),"")</f>
        <v/>
      </c>
      <c r="H1085" s="174">
        <f>IF(G1085="","",G1085*10000)</f>
        <v/>
      </c>
      <c r="I1085" s="174">
        <f>IFERROR(IF(AND(H1085&gt;0,E1085&gt;0),H1085/E1085,""),"")</f>
        <v/>
      </c>
      <c r="J1085" s="152">
        <f>IFERROR(VALUE(SUBSTITUTE(INDEX('04A_국토부원자료'!$A:$T,ROW()+1,MATCH("층",'04A_국토부원자료'!$A$4:$T$4,0)),",","")),"")</f>
        <v/>
      </c>
      <c r="K1085" s="152">
        <f>IFERROR(VALUE(SUBSTITUTE(INDEX('04A_국토부원자료'!$A:$T,ROW()+1,MATCH("건축년도",'04A_국토부원자료'!$A$4:$T$4,0)),",","")),"")</f>
        <v/>
      </c>
      <c r="L1085" s="176">
        <f>IFERROR(INDEX('04A_국토부원자료'!$A:$T,ROW()+1,MATCH("도로명",'04A_국토부원자료'!$A$4:$T$4,0)),"")</f>
        <v/>
      </c>
      <c r="M1085" s="48">
        <f>IFERROR(INDEX('04A_국토부원자료'!$A:$T,ROW()+1,MATCH("거래유형",'04A_국토부원자료'!$A$4:$T$4,0)),"")</f>
        <v/>
      </c>
      <c r="N1085" s="152">
        <f>IF(B1085="","",IF('02_대상물건입력'!B5="",1,IF(ISNUMBER(SEARCH('02_대상물건입력'!B5,B1085)),1,0)))</f>
        <v/>
      </c>
      <c r="O1085" s="152">
        <f>IF(B1085="","",IF('02_대상물건입력'!B6="",1,IF(ISNUMBER(SEARCH('02_대상물건입력'!B6,B1085)),1,0)))</f>
        <v/>
      </c>
      <c r="P1085" s="152">
        <f>IF(L1085="","",IF('02_대상물건입력'!B15="",0,IF(ISNUMBER(SEARCH('02_대상물건입력'!B15,L1085)),1,0)))</f>
        <v/>
      </c>
      <c r="Q1085" s="152">
        <f>IF(OR(C1085="",L1085=""),0,IF(AND(TRIM(C1085)=TRIM(RIGHT(SUBSTITUTE(TRIM('02_대상물건입력'!$B$7)," ",REPT(" ",99)),99)),IF('02_대상물건입력'!B15="",TRUE(),ISNUMBER(SEARCH('02_대상물건입력'!B15,L1085)))),1,0))</f>
        <v/>
      </c>
      <c r="R1085" s="175">
        <f>IFERROR(ABS(E1085-'02_대상물건입력'!B11)/'02_대상물건입력'!B11,"")</f>
        <v/>
      </c>
      <c r="S1085" s="152">
        <f>IFERROR(ABS(J1085-'02_대상물건입력'!B10),"")</f>
        <v/>
      </c>
      <c r="T1085" s="152">
        <f>IFERROR(ABS('01_설정'!B4-F1085),"")</f>
        <v/>
      </c>
      <c r="U1085" s="152">
        <f>IFERROR(ABS(K1085-YEAR('02_대상물건입력'!B14)),"")</f>
        <v/>
      </c>
      <c r="V1085" s="152">
        <f>IF(B1085="","",IF(AND(E1085&gt;0,F1085&gt;0,H1085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1085=1,TRUE()),R1085&lt;='01_설정'!B5,S1085&lt;='01_설정'!B6,T1085&lt;='01_설정'!B7,U1085&lt;='01_설정'!B8),"Y",""))</f>
        <v/>
      </c>
      <c r="W1085" s="172">
        <f>IF(V1085&lt;&gt;"Y","",MAX(0,(1-R1085/'01_설정'!B5))*'01_설정'!B14+MAX(0,(1-S1085/'01_설정'!B6))*'01_설정'!B15+MAX(0,(1-T1085/'01_설정'!B7))*'01_설정'!B16+MAX(0,(1-U1085/'01_설정'!B8))*'01_설정'!B17+O1085*'01_설정'!B11+Q1085*'01_설정'!B12+P1085*'01_설정'!B13+IF(Z1085="",0,Z1085))</f>
        <v/>
      </c>
      <c r="X1085" s="152">
        <f>IF(W1085="","",1+COUNTIFS($W$4:$W$3003,"&gt;"&amp;W1085)+COUNTIFS($W$4:W1085,W1085)-1)</f>
        <v/>
      </c>
      <c r="Y1085" s="175">
        <f>IF(OR(I1085="",'02_대상물건입력'!B19="",'02_대상물건입력'!B19&lt;=0),"",ABS(I1085-'02_대상물건입력'!B19)/'02_대상물건입력'!B19)</f>
        <v/>
      </c>
      <c r="Z1085" s="172">
        <f>IF(OR(Y1085="",'01_설정'!B31="",'01_설정'!B31&lt;=0,'01_설정'!B32="",'01_설정'!B32&lt;=0),"",MAX(0,(1-Y1085/'01_설정'!B32))*'01_설정'!B31)</f>
        <v/>
      </c>
    </row>
    <row r="1086" ht="17.25" customHeight="1">
      <c r="A1086" s="152">
        <f>IF(INDEX('04A_국토부원자료'!$A:$A,ROW()+1)="","",ROW()-3)</f>
        <v/>
      </c>
      <c r="B1086" s="48">
        <f>IFERROR(INDEX('04A_국토부원자료'!$A:$T,ROW()+1,MATCH("시군구",'04A_국토부원자료'!$A$4:$T$4,0)),"")</f>
        <v/>
      </c>
      <c r="C1086" s="48">
        <f>IF(B1086="","",IFERROR(INDEX('04A_국토부원자료'!$A:$T,ROW()+1,MATCH("번지",'04A_국토부원자료'!$A$4:$T$4,0)),""))</f>
        <v/>
      </c>
      <c r="D1086" s="48">
        <f>IF(B1086="","",IF(Q1086=1,'02_대상물건입력'!$B$8,IFERROR(INDEX('04A_국토부원자료'!$A:$T,ROW()+1,MATCH("단지명",'04A_국토부원자료'!$A$4:$T$4,0)),"")))</f>
        <v/>
      </c>
      <c r="E1086" s="172">
        <f>IFERROR(VALUE(SUBSTITUTE(INDEX('04A_국토부원자료'!$A:$T,ROW()+1,MATCH("전용면적(㎡)",'04A_국토부원자료'!$A$4:$T$4,0)),",","")),"")</f>
        <v/>
      </c>
      <c r="F10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86" s="51">
        <f>IFERROR(VALUE(SUBSTITUTE(INDEX('04A_국토부원자료'!$A:$T,ROW()+1,MATCH("거래금액(만원)",'04A_국토부원자료'!$A$4:$T$4,0)),",","")),"")</f>
        <v/>
      </c>
      <c r="H1086" s="174">
        <f>IF(G1086="","",G1086*10000)</f>
        <v/>
      </c>
      <c r="I1086" s="174">
        <f>IFERROR(IF(AND(H1086&gt;0,E1086&gt;0),H1086/E1086,""),"")</f>
        <v/>
      </c>
      <c r="J1086" s="152">
        <f>IFERROR(VALUE(SUBSTITUTE(INDEX('04A_국토부원자료'!$A:$T,ROW()+1,MATCH("층",'04A_국토부원자료'!$A$4:$T$4,0)),",","")),"")</f>
        <v/>
      </c>
      <c r="K1086" s="152">
        <f>IFERROR(VALUE(SUBSTITUTE(INDEX('04A_국토부원자료'!$A:$T,ROW()+1,MATCH("건축년도",'04A_국토부원자료'!$A$4:$T$4,0)),",","")),"")</f>
        <v/>
      </c>
      <c r="L1086" s="176">
        <f>IFERROR(INDEX('04A_국토부원자료'!$A:$T,ROW()+1,MATCH("도로명",'04A_국토부원자료'!$A$4:$T$4,0)),"")</f>
        <v/>
      </c>
      <c r="M1086" s="48">
        <f>IFERROR(INDEX('04A_국토부원자료'!$A:$T,ROW()+1,MATCH("거래유형",'04A_국토부원자료'!$A$4:$T$4,0)),"")</f>
        <v/>
      </c>
      <c r="N1086" s="152">
        <f>IF(B1086="","",IF('02_대상물건입력'!B5="",1,IF(ISNUMBER(SEARCH('02_대상물건입력'!B5,B1086)),1,0)))</f>
        <v/>
      </c>
      <c r="O1086" s="152">
        <f>IF(B1086="","",IF('02_대상물건입력'!B6="",1,IF(ISNUMBER(SEARCH('02_대상물건입력'!B6,B1086)),1,0)))</f>
        <v/>
      </c>
      <c r="P1086" s="152">
        <f>IF(L1086="","",IF('02_대상물건입력'!B15="",0,IF(ISNUMBER(SEARCH('02_대상물건입력'!B15,L1086)),1,0)))</f>
        <v/>
      </c>
      <c r="Q1086" s="152">
        <f>IF(OR(C1086="",L1086=""),0,IF(AND(TRIM(C1086)=TRIM(RIGHT(SUBSTITUTE(TRIM('02_대상물건입력'!$B$7)," ",REPT(" ",99)),99)),IF('02_대상물건입력'!B15="",TRUE(),ISNUMBER(SEARCH('02_대상물건입력'!B15,L1086)))),1,0))</f>
        <v/>
      </c>
      <c r="R1086" s="175">
        <f>IFERROR(ABS(E1086-'02_대상물건입력'!B11)/'02_대상물건입력'!B11,"")</f>
        <v/>
      </c>
      <c r="S1086" s="152">
        <f>IFERROR(ABS(J1086-'02_대상물건입력'!B10),"")</f>
        <v/>
      </c>
      <c r="T1086" s="152">
        <f>IFERROR(ABS('01_설정'!B4-F1086),"")</f>
        <v/>
      </c>
      <c r="U1086" s="152">
        <f>IFERROR(ABS(K1086-YEAR('02_대상물건입력'!B14)),"")</f>
        <v/>
      </c>
      <c r="V1086" s="152">
        <f>IF(B1086="","",IF(AND(E1086&gt;0,F1086&gt;0,H1086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1086=1,TRUE()),R1086&lt;='01_설정'!B5,S1086&lt;='01_설정'!B6,T1086&lt;='01_설정'!B7,U1086&lt;='01_설정'!B8),"Y",""))</f>
        <v/>
      </c>
      <c r="W1086" s="172">
        <f>IF(V1086&lt;&gt;"Y","",MAX(0,(1-R1086/'01_설정'!B5))*'01_설정'!B14+MAX(0,(1-S1086/'01_설정'!B6))*'01_설정'!B15+MAX(0,(1-T1086/'01_설정'!B7))*'01_설정'!B16+MAX(0,(1-U1086/'01_설정'!B8))*'01_설정'!B17+O1086*'01_설정'!B11+Q1086*'01_설정'!B12+P1086*'01_설정'!B13+IF(Z1086="",0,Z1086))</f>
        <v/>
      </c>
      <c r="X1086" s="152">
        <f>IF(W1086="","",1+COUNTIFS($W$4:$W$3003,"&gt;"&amp;W1086)+COUNTIFS($W$4:W1086,W1086)-1)</f>
        <v/>
      </c>
      <c r="Y1086" s="175">
        <f>IF(OR(I1086="",'02_대상물건입력'!B19="",'02_대상물건입력'!B19&lt;=0),"",ABS(I1086-'02_대상물건입력'!B19)/'02_대상물건입력'!B19)</f>
        <v/>
      </c>
      <c r="Z1086" s="172">
        <f>IF(OR(Y1086="",'01_설정'!B31="",'01_설정'!B31&lt;=0,'01_설정'!B32="",'01_설정'!B32&lt;=0),"",MAX(0,(1-Y1086/'01_설정'!B32))*'01_설정'!B31)</f>
        <v/>
      </c>
    </row>
    <row r="1087" ht="17.25" customHeight="1">
      <c r="A1087" s="152">
        <f>IF(INDEX('04A_국토부원자료'!$A:$A,ROW()+1)="","",ROW()-3)</f>
        <v/>
      </c>
      <c r="B1087" s="48">
        <f>IFERROR(INDEX('04A_국토부원자료'!$A:$T,ROW()+1,MATCH("시군구",'04A_국토부원자료'!$A$4:$T$4,0)),"")</f>
        <v/>
      </c>
      <c r="C1087" s="48">
        <f>IF(B1087="","",IFERROR(INDEX('04A_국토부원자료'!$A:$T,ROW()+1,MATCH("번지",'04A_국토부원자료'!$A$4:$T$4,0)),""))</f>
        <v/>
      </c>
      <c r="D1087" s="48">
        <f>IF(B1087="","",IF(Q1087=1,'02_대상물건입력'!$B$8,IFERROR(INDEX('04A_국토부원자료'!$A:$T,ROW()+1,MATCH("단지명",'04A_국토부원자료'!$A$4:$T$4,0)),"")))</f>
        <v/>
      </c>
      <c r="E1087" s="172">
        <f>IFERROR(VALUE(SUBSTITUTE(INDEX('04A_국토부원자료'!$A:$T,ROW()+1,MATCH("전용면적(㎡)",'04A_국토부원자료'!$A$4:$T$4,0)),",","")),"")</f>
        <v/>
      </c>
      <c r="F10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87" s="51">
        <f>IFERROR(VALUE(SUBSTITUTE(INDEX('04A_국토부원자료'!$A:$T,ROW()+1,MATCH("거래금액(만원)",'04A_국토부원자료'!$A$4:$T$4,0)),",","")),"")</f>
        <v/>
      </c>
      <c r="H1087" s="174">
        <f>IF(G1087="","",G1087*10000)</f>
        <v/>
      </c>
      <c r="I1087" s="174">
        <f>IFERROR(IF(AND(H1087&gt;0,E1087&gt;0),H1087/E1087,""),"")</f>
        <v/>
      </c>
      <c r="J1087" s="152">
        <f>IFERROR(VALUE(SUBSTITUTE(INDEX('04A_국토부원자료'!$A:$T,ROW()+1,MATCH("층",'04A_국토부원자료'!$A$4:$T$4,0)),",","")),"")</f>
        <v/>
      </c>
      <c r="K1087" s="152">
        <f>IFERROR(VALUE(SUBSTITUTE(INDEX('04A_국토부원자료'!$A:$T,ROW()+1,MATCH("건축년도",'04A_국토부원자료'!$A$4:$T$4,0)),",","")),"")</f>
        <v/>
      </c>
      <c r="L1087" s="176">
        <f>IFERROR(INDEX('04A_국토부원자료'!$A:$T,ROW()+1,MATCH("도로명",'04A_국토부원자료'!$A$4:$T$4,0)),"")</f>
        <v/>
      </c>
      <c r="M1087" s="48">
        <f>IFERROR(INDEX('04A_국토부원자료'!$A:$T,ROW()+1,MATCH("거래유형",'04A_국토부원자료'!$A$4:$T$4,0)),"")</f>
        <v/>
      </c>
      <c r="N1087" s="152">
        <f>IF(B1087="","",IF('02_대상물건입력'!B5="",1,IF(ISNUMBER(SEARCH('02_대상물건입력'!B5,B1087)),1,0)))</f>
        <v/>
      </c>
      <c r="O1087" s="152">
        <f>IF(B1087="","",IF('02_대상물건입력'!B6="",1,IF(ISNUMBER(SEARCH('02_대상물건입력'!B6,B1087)),1,0)))</f>
        <v/>
      </c>
      <c r="P1087" s="152">
        <f>IF(L1087="","",IF('02_대상물건입력'!B15="",0,IF(ISNUMBER(SEARCH('02_대상물건입력'!B15,L1087)),1,0)))</f>
        <v/>
      </c>
      <c r="Q1087" s="152">
        <f>IF(OR(C1087="",L1087=""),0,IF(AND(TRIM(C1087)=TRIM(RIGHT(SUBSTITUTE(TRIM('02_대상물건입력'!$B$7)," ",REPT(" ",99)),99)),IF('02_대상물건입력'!B15="",TRUE(),ISNUMBER(SEARCH('02_대상물건입력'!B15,L1087)))),1,0))</f>
        <v/>
      </c>
      <c r="R1087" s="175">
        <f>IFERROR(ABS(E1087-'02_대상물건입력'!B11)/'02_대상물건입력'!B11,"")</f>
        <v/>
      </c>
      <c r="S1087" s="152">
        <f>IFERROR(ABS(J1087-'02_대상물건입력'!B10),"")</f>
        <v/>
      </c>
      <c r="T1087" s="152">
        <f>IFERROR(ABS('01_설정'!B4-F1087),"")</f>
        <v/>
      </c>
      <c r="U1087" s="152">
        <f>IFERROR(ABS(K1087-YEAR('02_대상물건입력'!B14)),"")</f>
        <v/>
      </c>
      <c r="V1087" s="152">
        <f>IF(B1087="","",IF(AND(E1087&gt;0,F1087&gt;0,H1087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1087=1,TRUE()),R1087&lt;='01_설정'!B5,S1087&lt;='01_설정'!B6,T1087&lt;='01_설정'!B7,U1087&lt;='01_설정'!B8),"Y",""))</f>
        <v/>
      </c>
      <c r="W1087" s="172">
        <f>IF(V1087&lt;&gt;"Y","",MAX(0,(1-R1087/'01_설정'!B5))*'01_설정'!B14+MAX(0,(1-S1087/'01_설정'!B6))*'01_설정'!B15+MAX(0,(1-T1087/'01_설정'!B7))*'01_설정'!B16+MAX(0,(1-U1087/'01_설정'!B8))*'01_설정'!B17+O1087*'01_설정'!B11+Q1087*'01_설정'!B12+P1087*'01_설정'!B13+IF(Z1087="",0,Z1087))</f>
        <v/>
      </c>
      <c r="X1087" s="152">
        <f>IF(W1087="","",1+COUNTIFS($W$4:$W$3003,"&gt;"&amp;W1087)+COUNTIFS($W$4:W1087,W1087)-1)</f>
        <v/>
      </c>
      <c r="Y1087" s="175">
        <f>IF(OR(I1087="",'02_대상물건입력'!B19="",'02_대상물건입력'!B19&lt;=0),"",ABS(I1087-'02_대상물건입력'!B19)/'02_대상물건입력'!B19)</f>
        <v/>
      </c>
      <c r="Z1087" s="172">
        <f>IF(OR(Y1087="",'01_설정'!B31="",'01_설정'!B31&lt;=0,'01_설정'!B32="",'01_설정'!B32&lt;=0),"",MAX(0,(1-Y1087/'01_설정'!B32))*'01_설정'!B31)</f>
        <v/>
      </c>
    </row>
    <row r="1088" ht="17.25" customHeight="1">
      <c r="A1088" s="152">
        <f>IF(INDEX('04A_국토부원자료'!$A:$A,ROW()+1)="","",ROW()-3)</f>
        <v/>
      </c>
      <c r="B1088" s="48">
        <f>IFERROR(INDEX('04A_국토부원자료'!$A:$T,ROW()+1,MATCH("시군구",'04A_국토부원자료'!$A$4:$T$4,0)),"")</f>
        <v/>
      </c>
      <c r="C1088" s="48">
        <f>IF(B1088="","",IFERROR(INDEX('04A_국토부원자료'!$A:$T,ROW()+1,MATCH("번지",'04A_국토부원자료'!$A$4:$T$4,0)),""))</f>
        <v/>
      </c>
      <c r="D1088" s="48">
        <f>IF(B1088="","",IF(Q1088=1,'02_대상물건입력'!$B$8,IFERROR(INDEX('04A_국토부원자료'!$A:$T,ROW()+1,MATCH("단지명",'04A_국토부원자료'!$A$4:$T$4,0)),"")))</f>
        <v/>
      </c>
      <c r="E1088" s="172">
        <f>IFERROR(VALUE(SUBSTITUTE(INDEX('04A_국토부원자료'!$A:$T,ROW()+1,MATCH("전용면적(㎡)",'04A_국토부원자료'!$A$4:$T$4,0)),",","")),"")</f>
        <v/>
      </c>
      <c r="F10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88" s="51">
        <f>IFERROR(VALUE(SUBSTITUTE(INDEX('04A_국토부원자료'!$A:$T,ROW()+1,MATCH("거래금액(만원)",'04A_국토부원자료'!$A$4:$T$4,0)),",","")),"")</f>
        <v/>
      </c>
      <c r="H1088" s="174">
        <f>IF(G1088="","",G1088*10000)</f>
        <v/>
      </c>
      <c r="I1088" s="174">
        <f>IFERROR(IF(AND(H1088&gt;0,E1088&gt;0),H1088/E1088,""),"")</f>
        <v/>
      </c>
      <c r="J1088" s="152">
        <f>IFERROR(VALUE(SUBSTITUTE(INDEX('04A_국토부원자료'!$A:$T,ROW()+1,MATCH("층",'04A_국토부원자료'!$A$4:$T$4,0)),",","")),"")</f>
        <v/>
      </c>
      <c r="K1088" s="152">
        <f>IFERROR(VALUE(SUBSTITUTE(INDEX('04A_국토부원자료'!$A:$T,ROW()+1,MATCH("건축년도",'04A_국토부원자료'!$A$4:$T$4,0)),",","")),"")</f>
        <v/>
      </c>
      <c r="L1088" s="176">
        <f>IFERROR(INDEX('04A_국토부원자료'!$A:$T,ROW()+1,MATCH("도로명",'04A_국토부원자료'!$A$4:$T$4,0)),"")</f>
        <v/>
      </c>
      <c r="M1088" s="48">
        <f>IFERROR(INDEX('04A_국토부원자료'!$A:$T,ROW()+1,MATCH("거래유형",'04A_국토부원자료'!$A$4:$T$4,0)),"")</f>
        <v/>
      </c>
      <c r="N1088" s="152">
        <f>IF(B1088="","",IF('02_대상물건입력'!B5="",1,IF(ISNUMBER(SEARCH('02_대상물건입력'!B5,B1088)),1,0)))</f>
        <v/>
      </c>
      <c r="O1088" s="152">
        <f>IF(B1088="","",IF('02_대상물건입력'!B6="",1,IF(ISNUMBER(SEARCH('02_대상물건입력'!B6,B1088)),1,0)))</f>
        <v/>
      </c>
      <c r="P1088" s="152">
        <f>IF(L1088="","",IF('02_대상물건입력'!B15="",0,IF(ISNUMBER(SEARCH('02_대상물건입력'!B15,L1088)),1,0)))</f>
        <v/>
      </c>
      <c r="Q1088" s="152">
        <f>IF(OR(C1088="",L1088=""),0,IF(AND(TRIM(C1088)=TRIM(RIGHT(SUBSTITUTE(TRIM('02_대상물건입력'!$B$7)," ",REPT(" ",99)),99)),IF('02_대상물건입력'!B15="",TRUE(),ISNUMBER(SEARCH('02_대상물건입력'!B15,L1088)))),1,0))</f>
        <v/>
      </c>
      <c r="R1088" s="175">
        <f>IFERROR(ABS(E1088-'02_대상물건입력'!B11)/'02_대상물건입력'!B11,"")</f>
        <v/>
      </c>
      <c r="S1088" s="152">
        <f>IFERROR(ABS(J1088-'02_대상물건입력'!B10),"")</f>
        <v/>
      </c>
      <c r="T1088" s="152">
        <f>IFERROR(ABS('01_설정'!B4-F1088),"")</f>
        <v/>
      </c>
      <c r="U1088" s="152">
        <f>IFERROR(ABS(K1088-YEAR('02_대상물건입력'!B14)),"")</f>
        <v/>
      </c>
      <c r="V1088" s="152">
        <f>IF(B1088="","",IF(AND(E1088&gt;0,F1088&gt;0,H1088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1088=1,TRUE()),R1088&lt;='01_설정'!B5,S1088&lt;='01_설정'!B6,T1088&lt;='01_설정'!B7,U1088&lt;='01_설정'!B8),"Y",""))</f>
        <v/>
      </c>
      <c r="W1088" s="172">
        <f>IF(V1088&lt;&gt;"Y","",MAX(0,(1-R1088/'01_설정'!B5))*'01_설정'!B14+MAX(0,(1-S1088/'01_설정'!B6))*'01_설정'!B15+MAX(0,(1-T1088/'01_설정'!B7))*'01_설정'!B16+MAX(0,(1-U1088/'01_설정'!B8))*'01_설정'!B17+O1088*'01_설정'!B11+Q1088*'01_설정'!B12+P1088*'01_설정'!B13+IF(Z1088="",0,Z1088))</f>
        <v/>
      </c>
      <c r="X1088" s="152">
        <f>IF(W1088="","",1+COUNTIFS($W$4:$W$3003,"&gt;"&amp;W1088)+COUNTIFS($W$4:W1088,W1088)-1)</f>
        <v/>
      </c>
      <c r="Y1088" s="175">
        <f>IF(OR(I1088="",'02_대상물건입력'!B19="",'02_대상물건입력'!B19&lt;=0),"",ABS(I1088-'02_대상물건입력'!B19)/'02_대상물건입력'!B19)</f>
        <v/>
      </c>
      <c r="Z1088" s="172">
        <f>IF(OR(Y1088="",'01_설정'!B31="",'01_설정'!B31&lt;=0,'01_설정'!B32="",'01_설정'!B32&lt;=0),"",MAX(0,(1-Y1088/'01_설정'!B32))*'01_설정'!B31)</f>
        <v/>
      </c>
    </row>
    <row r="1089" ht="17.25" customHeight="1">
      <c r="A1089" s="152">
        <f>IF(INDEX('04A_국토부원자료'!$A:$A,ROW()+1)="","",ROW()-3)</f>
        <v/>
      </c>
      <c r="B1089" s="48">
        <f>IFERROR(INDEX('04A_국토부원자료'!$A:$T,ROW()+1,MATCH("시군구",'04A_국토부원자료'!$A$4:$T$4,0)),"")</f>
        <v/>
      </c>
      <c r="C1089" s="48">
        <f>IF(B1089="","",IFERROR(INDEX('04A_국토부원자료'!$A:$T,ROW()+1,MATCH("번지",'04A_국토부원자료'!$A$4:$T$4,0)),""))</f>
        <v/>
      </c>
      <c r="D1089" s="48">
        <f>IF(B1089="","",IF(Q1089=1,'02_대상물건입력'!$B$8,IFERROR(INDEX('04A_국토부원자료'!$A:$T,ROW()+1,MATCH("단지명",'04A_국토부원자료'!$A$4:$T$4,0)),"")))</f>
        <v/>
      </c>
      <c r="E1089" s="172">
        <f>IFERROR(VALUE(SUBSTITUTE(INDEX('04A_국토부원자료'!$A:$T,ROW()+1,MATCH("전용면적(㎡)",'04A_국토부원자료'!$A$4:$T$4,0)),",","")),"")</f>
        <v/>
      </c>
      <c r="F10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89" s="51">
        <f>IFERROR(VALUE(SUBSTITUTE(INDEX('04A_국토부원자료'!$A:$T,ROW()+1,MATCH("거래금액(만원)",'04A_국토부원자료'!$A$4:$T$4,0)),",","")),"")</f>
        <v/>
      </c>
      <c r="H1089" s="174">
        <f>IF(G1089="","",G1089*10000)</f>
        <v/>
      </c>
      <c r="I1089" s="174">
        <f>IFERROR(IF(AND(H1089&gt;0,E1089&gt;0),H1089/E1089,""),"")</f>
        <v/>
      </c>
      <c r="J1089" s="152">
        <f>IFERROR(VALUE(SUBSTITUTE(INDEX('04A_국토부원자료'!$A:$T,ROW()+1,MATCH("층",'04A_국토부원자료'!$A$4:$T$4,0)),",","")),"")</f>
        <v/>
      </c>
      <c r="K1089" s="152">
        <f>IFERROR(VALUE(SUBSTITUTE(INDEX('04A_국토부원자료'!$A:$T,ROW()+1,MATCH("건축년도",'04A_국토부원자료'!$A$4:$T$4,0)),",","")),"")</f>
        <v/>
      </c>
      <c r="L1089" s="176">
        <f>IFERROR(INDEX('04A_국토부원자료'!$A:$T,ROW()+1,MATCH("도로명",'04A_국토부원자료'!$A$4:$T$4,0)),"")</f>
        <v/>
      </c>
      <c r="M1089" s="48">
        <f>IFERROR(INDEX('04A_국토부원자료'!$A:$T,ROW()+1,MATCH("거래유형",'04A_국토부원자료'!$A$4:$T$4,0)),"")</f>
        <v/>
      </c>
      <c r="N1089" s="152">
        <f>IF(B1089="","",IF('02_대상물건입력'!B5="",1,IF(ISNUMBER(SEARCH('02_대상물건입력'!B5,B1089)),1,0)))</f>
        <v/>
      </c>
      <c r="O1089" s="152">
        <f>IF(B1089="","",IF('02_대상물건입력'!B6="",1,IF(ISNUMBER(SEARCH('02_대상물건입력'!B6,B1089)),1,0)))</f>
        <v/>
      </c>
      <c r="P1089" s="152">
        <f>IF(L1089="","",IF('02_대상물건입력'!B15="",0,IF(ISNUMBER(SEARCH('02_대상물건입력'!B15,L1089)),1,0)))</f>
        <v/>
      </c>
      <c r="Q1089" s="152">
        <f>IF(OR(C1089="",L1089=""),0,IF(AND(TRIM(C1089)=TRIM(RIGHT(SUBSTITUTE(TRIM('02_대상물건입력'!$B$7)," ",REPT(" ",99)),99)),IF('02_대상물건입력'!B15="",TRUE(),ISNUMBER(SEARCH('02_대상물건입력'!B15,L1089)))),1,0))</f>
        <v/>
      </c>
      <c r="R1089" s="175">
        <f>IFERROR(ABS(E1089-'02_대상물건입력'!B11)/'02_대상물건입력'!B11,"")</f>
        <v/>
      </c>
      <c r="S1089" s="152">
        <f>IFERROR(ABS(J1089-'02_대상물건입력'!B10),"")</f>
        <v/>
      </c>
      <c r="T1089" s="152">
        <f>IFERROR(ABS('01_설정'!B4-F1089),"")</f>
        <v/>
      </c>
      <c r="U1089" s="152">
        <f>IFERROR(ABS(K1089-YEAR('02_대상물건입력'!B14)),"")</f>
        <v/>
      </c>
      <c r="V1089" s="152">
        <f>IF(B1089="","",IF(AND(E1089&gt;0,F1089&gt;0,H1089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1089=1,TRUE()),R1089&lt;='01_설정'!B5,S1089&lt;='01_설정'!B6,T1089&lt;='01_설정'!B7,U1089&lt;='01_설정'!B8),"Y",""))</f>
        <v/>
      </c>
      <c r="W1089" s="172">
        <f>IF(V1089&lt;&gt;"Y","",MAX(0,(1-R1089/'01_설정'!B5))*'01_설정'!B14+MAX(0,(1-S1089/'01_설정'!B6))*'01_설정'!B15+MAX(0,(1-T1089/'01_설정'!B7))*'01_설정'!B16+MAX(0,(1-U1089/'01_설정'!B8))*'01_설정'!B17+O1089*'01_설정'!B11+Q1089*'01_설정'!B12+P1089*'01_설정'!B13+IF(Z1089="",0,Z1089))</f>
        <v/>
      </c>
      <c r="X1089" s="152">
        <f>IF(W1089="","",1+COUNTIFS($W$4:$W$3003,"&gt;"&amp;W1089)+COUNTIFS($W$4:W1089,W1089)-1)</f>
        <v/>
      </c>
      <c r="Y1089" s="175">
        <f>IF(OR(I1089="",'02_대상물건입력'!B19="",'02_대상물건입력'!B19&lt;=0),"",ABS(I1089-'02_대상물건입력'!B19)/'02_대상물건입력'!B19)</f>
        <v/>
      </c>
      <c r="Z1089" s="172">
        <f>IF(OR(Y1089="",'01_설정'!B31="",'01_설정'!B31&lt;=0,'01_설정'!B32="",'01_설정'!B32&lt;=0),"",MAX(0,(1-Y1089/'01_설정'!B32))*'01_설정'!B31)</f>
        <v/>
      </c>
    </row>
    <row r="1090" ht="17.25" customHeight="1">
      <c r="A1090" s="152">
        <f>IF(INDEX('04A_국토부원자료'!$A:$A,ROW()+1)="","",ROW()-3)</f>
        <v/>
      </c>
      <c r="B1090" s="48">
        <f>IFERROR(INDEX('04A_국토부원자료'!$A:$T,ROW()+1,MATCH("시군구",'04A_국토부원자료'!$A$4:$T$4,0)),"")</f>
        <v/>
      </c>
      <c r="C1090" s="48">
        <f>IF(B1090="","",IFERROR(INDEX('04A_국토부원자료'!$A:$T,ROW()+1,MATCH("번지",'04A_국토부원자료'!$A$4:$T$4,0)),""))</f>
        <v/>
      </c>
      <c r="D1090" s="48">
        <f>IF(B1090="","",IF(Q1090=1,'02_대상물건입력'!$B$8,IFERROR(INDEX('04A_국토부원자료'!$A:$T,ROW()+1,MATCH("단지명",'04A_국토부원자료'!$A$4:$T$4,0)),"")))</f>
        <v/>
      </c>
      <c r="E1090" s="172">
        <f>IFERROR(VALUE(SUBSTITUTE(INDEX('04A_국토부원자료'!$A:$T,ROW()+1,MATCH("전용면적(㎡)",'04A_국토부원자료'!$A$4:$T$4,0)),",","")),"")</f>
        <v/>
      </c>
      <c r="F10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90" s="51">
        <f>IFERROR(VALUE(SUBSTITUTE(INDEX('04A_국토부원자료'!$A:$T,ROW()+1,MATCH("거래금액(만원)",'04A_국토부원자료'!$A$4:$T$4,0)),",","")),"")</f>
        <v/>
      </c>
      <c r="H1090" s="174">
        <f>IF(G1090="","",G1090*10000)</f>
        <v/>
      </c>
      <c r="I1090" s="174">
        <f>IFERROR(IF(AND(H1090&gt;0,E1090&gt;0),H1090/E1090,""),"")</f>
        <v/>
      </c>
      <c r="J1090" s="152">
        <f>IFERROR(VALUE(SUBSTITUTE(INDEX('04A_국토부원자료'!$A:$T,ROW()+1,MATCH("층",'04A_국토부원자료'!$A$4:$T$4,0)),",","")),"")</f>
        <v/>
      </c>
      <c r="K1090" s="152">
        <f>IFERROR(VALUE(SUBSTITUTE(INDEX('04A_국토부원자료'!$A:$T,ROW()+1,MATCH("건축년도",'04A_국토부원자료'!$A$4:$T$4,0)),",","")),"")</f>
        <v/>
      </c>
      <c r="L1090" s="176">
        <f>IFERROR(INDEX('04A_국토부원자료'!$A:$T,ROW()+1,MATCH("도로명",'04A_국토부원자료'!$A$4:$T$4,0)),"")</f>
        <v/>
      </c>
      <c r="M1090" s="48">
        <f>IFERROR(INDEX('04A_국토부원자료'!$A:$T,ROW()+1,MATCH("거래유형",'04A_국토부원자료'!$A$4:$T$4,0)),"")</f>
        <v/>
      </c>
      <c r="N1090" s="152">
        <f>IF(B1090="","",IF('02_대상물건입력'!B5="",1,IF(ISNUMBER(SEARCH('02_대상물건입력'!B5,B1090)),1,0)))</f>
        <v/>
      </c>
      <c r="O1090" s="152">
        <f>IF(B1090="","",IF('02_대상물건입력'!B6="",1,IF(ISNUMBER(SEARCH('02_대상물건입력'!B6,B1090)),1,0)))</f>
        <v/>
      </c>
      <c r="P1090" s="152">
        <f>IF(L1090="","",IF('02_대상물건입력'!B15="",0,IF(ISNUMBER(SEARCH('02_대상물건입력'!B15,L1090)),1,0)))</f>
        <v/>
      </c>
      <c r="Q1090" s="152">
        <f>IF(OR(C1090="",L1090=""),0,IF(AND(TRIM(C1090)=TRIM(RIGHT(SUBSTITUTE(TRIM('02_대상물건입력'!$B$7)," ",REPT(" ",99)),99)),IF('02_대상물건입력'!B15="",TRUE(),ISNUMBER(SEARCH('02_대상물건입력'!B15,L1090)))),1,0))</f>
        <v/>
      </c>
      <c r="R1090" s="175">
        <f>IFERROR(ABS(E1090-'02_대상물건입력'!B11)/'02_대상물건입력'!B11,"")</f>
        <v/>
      </c>
      <c r="S1090" s="152">
        <f>IFERROR(ABS(J1090-'02_대상물건입력'!B10),"")</f>
        <v/>
      </c>
      <c r="T1090" s="152">
        <f>IFERROR(ABS('01_설정'!B4-F1090),"")</f>
        <v/>
      </c>
      <c r="U1090" s="152">
        <f>IFERROR(ABS(K1090-YEAR('02_대상물건입력'!B14)),"")</f>
        <v/>
      </c>
      <c r="V1090" s="152">
        <f>IF(B1090="","",IF(AND(E1090&gt;0,F1090&gt;0,H1090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1090=1,TRUE()),R1090&lt;='01_설정'!B5,S1090&lt;='01_설정'!B6,T1090&lt;='01_설정'!B7,U1090&lt;='01_설정'!B8),"Y",""))</f>
        <v/>
      </c>
      <c r="W1090" s="172">
        <f>IF(V1090&lt;&gt;"Y","",MAX(0,(1-R1090/'01_설정'!B5))*'01_설정'!B14+MAX(0,(1-S1090/'01_설정'!B6))*'01_설정'!B15+MAX(0,(1-T1090/'01_설정'!B7))*'01_설정'!B16+MAX(0,(1-U1090/'01_설정'!B8))*'01_설정'!B17+O1090*'01_설정'!B11+Q1090*'01_설정'!B12+P1090*'01_설정'!B13+IF(Z1090="",0,Z1090))</f>
        <v/>
      </c>
      <c r="X1090" s="152">
        <f>IF(W1090="","",1+COUNTIFS($W$4:$W$3003,"&gt;"&amp;W1090)+COUNTIFS($W$4:W1090,W1090)-1)</f>
        <v/>
      </c>
      <c r="Y1090" s="175">
        <f>IF(OR(I1090="",'02_대상물건입력'!B19="",'02_대상물건입력'!B19&lt;=0),"",ABS(I1090-'02_대상물건입력'!B19)/'02_대상물건입력'!B19)</f>
        <v/>
      </c>
      <c r="Z1090" s="172">
        <f>IF(OR(Y1090="",'01_설정'!B31="",'01_설정'!B31&lt;=0,'01_설정'!B32="",'01_설정'!B32&lt;=0),"",MAX(0,(1-Y1090/'01_설정'!B32))*'01_설정'!B31)</f>
        <v/>
      </c>
    </row>
    <row r="1091" ht="17.25" customHeight="1">
      <c r="A1091" s="152">
        <f>IF(INDEX('04A_국토부원자료'!$A:$A,ROW()+1)="","",ROW()-3)</f>
        <v/>
      </c>
      <c r="B1091" s="48">
        <f>IFERROR(INDEX('04A_국토부원자료'!$A:$T,ROW()+1,MATCH("시군구",'04A_국토부원자료'!$A$4:$T$4,0)),"")</f>
        <v/>
      </c>
      <c r="C1091" s="48">
        <f>IF(B1091="","",IFERROR(INDEX('04A_국토부원자료'!$A:$T,ROW()+1,MATCH("번지",'04A_국토부원자료'!$A$4:$T$4,0)),""))</f>
        <v/>
      </c>
      <c r="D1091" s="48">
        <f>IF(B1091="","",IF(Q1091=1,'02_대상물건입력'!$B$8,IFERROR(INDEX('04A_국토부원자료'!$A:$T,ROW()+1,MATCH("단지명",'04A_국토부원자료'!$A$4:$T$4,0)),"")))</f>
        <v/>
      </c>
      <c r="E1091" s="172">
        <f>IFERROR(VALUE(SUBSTITUTE(INDEX('04A_국토부원자료'!$A:$T,ROW()+1,MATCH("전용면적(㎡)",'04A_국토부원자료'!$A$4:$T$4,0)),",","")),"")</f>
        <v/>
      </c>
      <c r="F10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91" s="51">
        <f>IFERROR(VALUE(SUBSTITUTE(INDEX('04A_국토부원자료'!$A:$T,ROW()+1,MATCH("거래금액(만원)",'04A_국토부원자료'!$A$4:$T$4,0)),",","")),"")</f>
        <v/>
      </c>
      <c r="H1091" s="174">
        <f>IF(G1091="","",G1091*10000)</f>
        <v/>
      </c>
      <c r="I1091" s="174">
        <f>IFERROR(IF(AND(H1091&gt;0,E1091&gt;0),H1091/E1091,""),"")</f>
        <v/>
      </c>
      <c r="J1091" s="152">
        <f>IFERROR(VALUE(SUBSTITUTE(INDEX('04A_국토부원자료'!$A:$T,ROW()+1,MATCH("층",'04A_국토부원자료'!$A$4:$T$4,0)),",","")),"")</f>
        <v/>
      </c>
      <c r="K1091" s="152">
        <f>IFERROR(VALUE(SUBSTITUTE(INDEX('04A_국토부원자료'!$A:$T,ROW()+1,MATCH("건축년도",'04A_국토부원자료'!$A$4:$T$4,0)),",","")),"")</f>
        <v/>
      </c>
      <c r="L1091" s="176">
        <f>IFERROR(INDEX('04A_국토부원자료'!$A:$T,ROW()+1,MATCH("도로명",'04A_국토부원자료'!$A$4:$T$4,0)),"")</f>
        <v/>
      </c>
      <c r="M1091" s="48">
        <f>IFERROR(INDEX('04A_국토부원자료'!$A:$T,ROW()+1,MATCH("거래유형",'04A_국토부원자료'!$A$4:$T$4,0)),"")</f>
        <v/>
      </c>
      <c r="N1091" s="152">
        <f>IF(B1091="","",IF('02_대상물건입력'!B5="",1,IF(ISNUMBER(SEARCH('02_대상물건입력'!B5,B1091)),1,0)))</f>
        <v/>
      </c>
      <c r="O1091" s="152">
        <f>IF(B1091="","",IF('02_대상물건입력'!B6="",1,IF(ISNUMBER(SEARCH('02_대상물건입력'!B6,B1091)),1,0)))</f>
        <v/>
      </c>
      <c r="P1091" s="152">
        <f>IF(L1091="","",IF('02_대상물건입력'!B15="",0,IF(ISNUMBER(SEARCH('02_대상물건입력'!B15,L1091)),1,0)))</f>
        <v/>
      </c>
      <c r="Q1091" s="152">
        <f>IF(OR(C1091="",L1091=""),0,IF(AND(TRIM(C1091)=TRIM(RIGHT(SUBSTITUTE(TRIM('02_대상물건입력'!$B$7)," ",REPT(" ",99)),99)),IF('02_대상물건입력'!B15="",TRUE(),ISNUMBER(SEARCH('02_대상물건입력'!B15,L1091)))),1,0))</f>
        <v/>
      </c>
      <c r="R1091" s="175">
        <f>IFERROR(ABS(E1091-'02_대상물건입력'!B11)/'02_대상물건입력'!B11,"")</f>
        <v/>
      </c>
      <c r="S1091" s="152">
        <f>IFERROR(ABS(J1091-'02_대상물건입력'!B10),"")</f>
        <v/>
      </c>
      <c r="T1091" s="152">
        <f>IFERROR(ABS('01_설정'!B4-F1091),"")</f>
        <v/>
      </c>
      <c r="U1091" s="152">
        <f>IFERROR(ABS(K1091-YEAR('02_대상물건입력'!B14)),"")</f>
        <v/>
      </c>
      <c r="V1091" s="152">
        <f>IF(B1091="","",IF(AND(E1091&gt;0,F1091&gt;0,H1091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1091=1,TRUE()),R1091&lt;='01_설정'!B5,S1091&lt;='01_설정'!B6,T1091&lt;='01_설정'!B7,U1091&lt;='01_설정'!B8),"Y",""))</f>
        <v/>
      </c>
      <c r="W1091" s="172">
        <f>IF(V1091&lt;&gt;"Y","",MAX(0,(1-R1091/'01_설정'!B5))*'01_설정'!B14+MAX(0,(1-S1091/'01_설정'!B6))*'01_설정'!B15+MAX(0,(1-T1091/'01_설정'!B7))*'01_설정'!B16+MAX(0,(1-U1091/'01_설정'!B8))*'01_설정'!B17+O1091*'01_설정'!B11+Q1091*'01_설정'!B12+P1091*'01_설정'!B13+IF(Z1091="",0,Z1091))</f>
        <v/>
      </c>
      <c r="X1091" s="152">
        <f>IF(W1091="","",1+COUNTIFS($W$4:$W$3003,"&gt;"&amp;W1091)+COUNTIFS($W$4:W1091,W1091)-1)</f>
        <v/>
      </c>
      <c r="Y1091" s="175">
        <f>IF(OR(I1091="",'02_대상물건입력'!B19="",'02_대상물건입력'!B19&lt;=0),"",ABS(I1091-'02_대상물건입력'!B19)/'02_대상물건입력'!B19)</f>
        <v/>
      </c>
      <c r="Z1091" s="172">
        <f>IF(OR(Y1091="",'01_설정'!B31="",'01_설정'!B31&lt;=0,'01_설정'!B32="",'01_설정'!B32&lt;=0),"",MAX(0,(1-Y1091/'01_설정'!B32))*'01_설정'!B31)</f>
        <v/>
      </c>
    </row>
    <row r="1092" ht="17.25" customHeight="1">
      <c r="A1092" s="152">
        <f>IF(INDEX('04A_국토부원자료'!$A:$A,ROW()+1)="","",ROW()-3)</f>
        <v/>
      </c>
      <c r="B1092" s="48">
        <f>IFERROR(INDEX('04A_국토부원자료'!$A:$T,ROW()+1,MATCH("시군구",'04A_국토부원자료'!$A$4:$T$4,0)),"")</f>
        <v/>
      </c>
      <c r="C1092" s="48">
        <f>IF(B1092="","",IFERROR(INDEX('04A_국토부원자료'!$A:$T,ROW()+1,MATCH("번지",'04A_국토부원자료'!$A$4:$T$4,0)),""))</f>
        <v/>
      </c>
      <c r="D1092" s="48">
        <f>IF(B1092="","",IF(Q1092=1,'02_대상물건입력'!$B$8,IFERROR(INDEX('04A_국토부원자료'!$A:$T,ROW()+1,MATCH("단지명",'04A_국토부원자료'!$A$4:$T$4,0)),"")))</f>
        <v/>
      </c>
      <c r="E1092" s="172">
        <f>IFERROR(VALUE(SUBSTITUTE(INDEX('04A_국토부원자료'!$A:$T,ROW()+1,MATCH("전용면적(㎡)",'04A_국토부원자료'!$A$4:$T$4,0)),",","")),"")</f>
        <v/>
      </c>
      <c r="F10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92" s="51">
        <f>IFERROR(VALUE(SUBSTITUTE(INDEX('04A_국토부원자료'!$A:$T,ROW()+1,MATCH("거래금액(만원)",'04A_국토부원자료'!$A$4:$T$4,0)),",","")),"")</f>
        <v/>
      </c>
      <c r="H1092" s="174">
        <f>IF(G1092="","",G1092*10000)</f>
        <v/>
      </c>
      <c r="I1092" s="174">
        <f>IFERROR(IF(AND(H1092&gt;0,E1092&gt;0),H1092/E1092,""),"")</f>
        <v/>
      </c>
      <c r="J1092" s="152">
        <f>IFERROR(VALUE(SUBSTITUTE(INDEX('04A_국토부원자료'!$A:$T,ROW()+1,MATCH("층",'04A_국토부원자료'!$A$4:$T$4,0)),",","")),"")</f>
        <v/>
      </c>
      <c r="K1092" s="152">
        <f>IFERROR(VALUE(SUBSTITUTE(INDEX('04A_국토부원자료'!$A:$T,ROW()+1,MATCH("건축년도",'04A_국토부원자료'!$A$4:$T$4,0)),",","")),"")</f>
        <v/>
      </c>
      <c r="L1092" s="176">
        <f>IFERROR(INDEX('04A_국토부원자료'!$A:$T,ROW()+1,MATCH("도로명",'04A_국토부원자료'!$A$4:$T$4,0)),"")</f>
        <v/>
      </c>
      <c r="M1092" s="48">
        <f>IFERROR(INDEX('04A_국토부원자료'!$A:$T,ROW()+1,MATCH("거래유형",'04A_국토부원자료'!$A$4:$T$4,0)),"")</f>
        <v/>
      </c>
      <c r="N1092" s="152">
        <f>IF(B1092="","",IF('02_대상물건입력'!B5="",1,IF(ISNUMBER(SEARCH('02_대상물건입력'!B5,B1092)),1,0)))</f>
        <v/>
      </c>
      <c r="O1092" s="152">
        <f>IF(B1092="","",IF('02_대상물건입력'!B6="",1,IF(ISNUMBER(SEARCH('02_대상물건입력'!B6,B1092)),1,0)))</f>
        <v/>
      </c>
      <c r="P1092" s="152">
        <f>IF(L1092="","",IF('02_대상물건입력'!B15="",0,IF(ISNUMBER(SEARCH('02_대상물건입력'!B15,L1092)),1,0)))</f>
        <v/>
      </c>
      <c r="Q1092" s="152">
        <f>IF(OR(C1092="",L1092=""),0,IF(AND(TRIM(C1092)=TRIM(RIGHT(SUBSTITUTE(TRIM('02_대상물건입력'!$B$7)," ",REPT(" ",99)),99)),IF('02_대상물건입력'!B15="",TRUE(),ISNUMBER(SEARCH('02_대상물건입력'!B15,L1092)))),1,0))</f>
        <v/>
      </c>
      <c r="R1092" s="175">
        <f>IFERROR(ABS(E1092-'02_대상물건입력'!B11)/'02_대상물건입력'!B11,"")</f>
        <v/>
      </c>
      <c r="S1092" s="152">
        <f>IFERROR(ABS(J1092-'02_대상물건입력'!B10),"")</f>
        <v/>
      </c>
      <c r="T1092" s="152">
        <f>IFERROR(ABS('01_설정'!B4-F1092),"")</f>
        <v/>
      </c>
      <c r="U1092" s="152">
        <f>IFERROR(ABS(K1092-YEAR('02_대상물건입력'!B14)),"")</f>
        <v/>
      </c>
      <c r="V1092" s="152">
        <f>IF(B1092="","",IF(AND(E1092&gt;0,F1092&gt;0,H1092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1092=1,TRUE()),R1092&lt;='01_설정'!B5,S1092&lt;='01_설정'!B6,T1092&lt;='01_설정'!B7,U1092&lt;='01_설정'!B8),"Y",""))</f>
        <v/>
      </c>
      <c r="W1092" s="172">
        <f>IF(V1092&lt;&gt;"Y","",MAX(0,(1-R1092/'01_설정'!B5))*'01_설정'!B14+MAX(0,(1-S1092/'01_설정'!B6))*'01_설정'!B15+MAX(0,(1-T1092/'01_설정'!B7))*'01_설정'!B16+MAX(0,(1-U1092/'01_설정'!B8))*'01_설정'!B17+O1092*'01_설정'!B11+Q1092*'01_설정'!B12+P1092*'01_설정'!B13+IF(Z1092="",0,Z1092))</f>
        <v/>
      </c>
      <c r="X1092" s="152">
        <f>IF(W1092="","",1+COUNTIFS($W$4:$W$3003,"&gt;"&amp;W1092)+COUNTIFS($W$4:W1092,W1092)-1)</f>
        <v/>
      </c>
      <c r="Y1092" s="175">
        <f>IF(OR(I1092="",'02_대상물건입력'!B19="",'02_대상물건입력'!B19&lt;=0),"",ABS(I1092-'02_대상물건입력'!B19)/'02_대상물건입력'!B19)</f>
        <v/>
      </c>
      <c r="Z1092" s="172">
        <f>IF(OR(Y1092="",'01_설정'!B31="",'01_설정'!B31&lt;=0,'01_설정'!B32="",'01_설정'!B32&lt;=0),"",MAX(0,(1-Y1092/'01_설정'!B32))*'01_설정'!B31)</f>
        <v/>
      </c>
    </row>
    <row r="1093" ht="17.25" customHeight="1">
      <c r="A1093" s="152">
        <f>IF(INDEX('04A_국토부원자료'!$A:$A,ROW()+1)="","",ROW()-3)</f>
        <v/>
      </c>
      <c r="B1093" s="48">
        <f>IFERROR(INDEX('04A_국토부원자료'!$A:$T,ROW()+1,MATCH("시군구",'04A_국토부원자료'!$A$4:$T$4,0)),"")</f>
        <v/>
      </c>
      <c r="C1093" s="48">
        <f>IF(B1093="","",IFERROR(INDEX('04A_국토부원자료'!$A:$T,ROW()+1,MATCH("번지",'04A_국토부원자료'!$A$4:$T$4,0)),""))</f>
        <v/>
      </c>
      <c r="D1093" s="48">
        <f>IF(B1093="","",IF(Q1093=1,'02_대상물건입력'!$B$8,IFERROR(INDEX('04A_국토부원자료'!$A:$T,ROW()+1,MATCH("단지명",'04A_국토부원자료'!$A$4:$T$4,0)),"")))</f>
        <v/>
      </c>
      <c r="E1093" s="172">
        <f>IFERROR(VALUE(SUBSTITUTE(INDEX('04A_국토부원자료'!$A:$T,ROW()+1,MATCH("전용면적(㎡)",'04A_국토부원자료'!$A$4:$T$4,0)),",","")),"")</f>
        <v/>
      </c>
      <c r="F10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93" s="51">
        <f>IFERROR(VALUE(SUBSTITUTE(INDEX('04A_국토부원자료'!$A:$T,ROW()+1,MATCH("거래금액(만원)",'04A_국토부원자료'!$A$4:$T$4,0)),",","")),"")</f>
        <v/>
      </c>
      <c r="H1093" s="174">
        <f>IF(G1093="","",G1093*10000)</f>
        <v/>
      </c>
      <c r="I1093" s="174">
        <f>IFERROR(IF(AND(H1093&gt;0,E1093&gt;0),H1093/E1093,""),"")</f>
        <v/>
      </c>
      <c r="J1093" s="152">
        <f>IFERROR(VALUE(SUBSTITUTE(INDEX('04A_국토부원자료'!$A:$T,ROW()+1,MATCH("층",'04A_국토부원자료'!$A$4:$T$4,0)),",","")),"")</f>
        <v/>
      </c>
      <c r="K1093" s="152">
        <f>IFERROR(VALUE(SUBSTITUTE(INDEX('04A_국토부원자료'!$A:$T,ROW()+1,MATCH("건축년도",'04A_국토부원자료'!$A$4:$T$4,0)),",","")),"")</f>
        <v/>
      </c>
      <c r="L1093" s="176">
        <f>IFERROR(INDEX('04A_국토부원자료'!$A:$T,ROW()+1,MATCH("도로명",'04A_국토부원자료'!$A$4:$T$4,0)),"")</f>
        <v/>
      </c>
      <c r="M1093" s="48">
        <f>IFERROR(INDEX('04A_국토부원자료'!$A:$T,ROW()+1,MATCH("거래유형",'04A_국토부원자료'!$A$4:$T$4,0)),"")</f>
        <v/>
      </c>
      <c r="N1093" s="152">
        <f>IF(B1093="","",IF('02_대상물건입력'!B5="",1,IF(ISNUMBER(SEARCH('02_대상물건입력'!B5,B1093)),1,0)))</f>
        <v/>
      </c>
      <c r="O1093" s="152">
        <f>IF(B1093="","",IF('02_대상물건입력'!B6="",1,IF(ISNUMBER(SEARCH('02_대상물건입력'!B6,B1093)),1,0)))</f>
        <v/>
      </c>
      <c r="P1093" s="152">
        <f>IF(L1093="","",IF('02_대상물건입력'!B15="",0,IF(ISNUMBER(SEARCH('02_대상물건입력'!B15,L1093)),1,0)))</f>
        <v/>
      </c>
      <c r="Q1093" s="152">
        <f>IF(OR(C1093="",L1093=""),0,IF(AND(TRIM(C1093)=TRIM(RIGHT(SUBSTITUTE(TRIM('02_대상물건입력'!$B$7)," ",REPT(" ",99)),99)),IF('02_대상물건입력'!B15="",TRUE(),ISNUMBER(SEARCH('02_대상물건입력'!B15,L1093)))),1,0))</f>
        <v/>
      </c>
      <c r="R1093" s="175">
        <f>IFERROR(ABS(E1093-'02_대상물건입력'!B11)/'02_대상물건입력'!B11,"")</f>
        <v/>
      </c>
      <c r="S1093" s="152">
        <f>IFERROR(ABS(J1093-'02_대상물건입력'!B10),"")</f>
        <v/>
      </c>
      <c r="T1093" s="152">
        <f>IFERROR(ABS('01_설정'!B4-F1093),"")</f>
        <v/>
      </c>
      <c r="U1093" s="152">
        <f>IFERROR(ABS(K1093-YEAR('02_대상물건입력'!B14)),"")</f>
        <v/>
      </c>
      <c r="V1093" s="152">
        <f>IF(B1093="","",IF(AND(E1093&gt;0,F1093&gt;0,H1093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1093=1,TRUE()),R1093&lt;='01_설정'!B5,S1093&lt;='01_설정'!B6,T1093&lt;='01_설정'!B7,U1093&lt;='01_설정'!B8),"Y",""))</f>
        <v/>
      </c>
      <c r="W1093" s="172">
        <f>IF(V1093&lt;&gt;"Y","",MAX(0,(1-R1093/'01_설정'!B5))*'01_설정'!B14+MAX(0,(1-S1093/'01_설정'!B6))*'01_설정'!B15+MAX(0,(1-T1093/'01_설정'!B7))*'01_설정'!B16+MAX(0,(1-U1093/'01_설정'!B8))*'01_설정'!B17+O1093*'01_설정'!B11+Q1093*'01_설정'!B12+P1093*'01_설정'!B13+IF(Z1093="",0,Z1093))</f>
        <v/>
      </c>
      <c r="X1093" s="152">
        <f>IF(W1093="","",1+COUNTIFS($W$4:$W$3003,"&gt;"&amp;W1093)+COUNTIFS($W$4:W1093,W1093)-1)</f>
        <v/>
      </c>
      <c r="Y1093" s="175">
        <f>IF(OR(I1093="",'02_대상물건입력'!B19="",'02_대상물건입력'!B19&lt;=0),"",ABS(I1093-'02_대상물건입력'!B19)/'02_대상물건입력'!B19)</f>
        <v/>
      </c>
      <c r="Z1093" s="172">
        <f>IF(OR(Y1093="",'01_설정'!B31="",'01_설정'!B31&lt;=0,'01_설정'!B32="",'01_설정'!B32&lt;=0),"",MAX(0,(1-Y1093/'01_설정'!B32))*'01_설정'!B31)</f>
        <v/>
      </c>
    </row>
    <row r="1094" ht="17.25" customHeight="1">
      <c r="A1094" s="152">
        <f>IF(INDEX('04A_국토부원자료'!$A:$A,ROW()+1)="","",ROW()-3)</f>
        <v/>
      </c>
      <c r="B1094" s="48">
        <f>IFERROR(INDEX('04A_국토부원자료'!$A:$T,ROW()+1,MATCH("시군구",'04A_국토부원자료'!$A$4:$T$4,0)),"")</f>
        <v/>
      </c>
      <c r="C1094" s="48">
        <f>IF(B1094="","",IFERROR(INDEX('04A_국토부원자료'!$A:$T,ROW()+1,MATCH("번지",'04A_국토부원자료'!$A$4:$T$4,0)),""))</f>
        <v/>
      </c>
      <c r="D1094" s="48">
        <f>IF(B1094="","",IF(Q1094=1,'02_대상물건입력'!$B$8,IFERROR(INDEX('04A_국토부원자료'!$A:$T,ROW()+1,MATCH("단지명",'04A_국토부원자료'!$A$4:$T$4,0)),"")))</f>
        <v/>
      </c>
      <c r="E1094" s="172">
        <f>IFERROR(VALUE(SUBSTITUTE(INDEX('04A_국토부원자료'!$A:$T,ROW()+1,MATCH("전용면적(㎡)",'04A_국토부원자료'!$A$4:$T$4,0)),",","")),"")</f>
        <v/>
      </c>
      <c r="F10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94" s="51">
        <f>IFERROR(VALUE(SUBSTITUTE(INDEX('04A_국토부원자료'!$A:$T,ROW()+1,MATCH("거래금액(만원)",'04A_국토부원자료'!$A$4:$T$4,0)),",","")),"")</f>
        <v/>
      </c>
      <c r="H1094" s="174">
        <f>IF(G1094="","",G1094*10000)</f>
        <v/>
      </c>
      <c r="I1094" s="174">
        <f>IFERROR(IF(AND(H1094&gt;0,E1094&gt;0),H1094/E1094,""),"")</f>
        <v/>
      </c>
      <c r="J1094" s="152">
        <f>IFERROR(VALUE(SUBSTITUTE(INDEX('04A_국토부원자료'!$A:$T,ROW()+1,MATCH("층",'04A_국토부원자료'!$A$4:$T$4,0)),",","")),"")</f>
        <v/>
      </c>
      <c r="K1094" s="152">
        <f>IFERROR(VALUE(SUBSTITUTE(INDEX('04A_국토부원자료'!$A:$T,ROW()+1,MATCH("건축년도",'04A_국토부원자료'!$A$4:$T$4,0)),",","")),"")</f>
        <v/>
      </c>
      <c r="L1094" s="176">
        <f>IFERROR(INDEX('04A_국토부원자료'!$A:$T,ROW()+1,MATCH("도로명",'04A_국토부원자료'!$A$4:$T$4,0)),"")</f>
        <v/>
      </c>
      <c r="M1094" s="48">
        <f>IFERROR(INDEX('04A_국토부원자료'!$A:$T,ROW()+1,MATCH("거래유형",'04A_국토부원자료'!$A$4:$T$4,0)),"")</f>
        <v/>
      </c>
      <c r="N1094" s="152">
        <f>IF(B1094="","",IF('02_대상물건입력'!B5="",1,IF(ISNUMBER(SEARCH('02_대상물건입력'!B5,B1094)),1,0)))</f>
        <v/>
      </c>
      <c r="O1094" s="152">
        <f>IF(B1094="","",IF('02_대상물건입력'!B6="",1,IF(ISNUMBER(SEARCH('02_대상물건입력'!B6,B1094)),1,0)))</f>
        <v/>
      </c>
      <c r="P1094" s="152">
        <f>IF(L1094="","",IF('02_대상물건입력'!B15="",0,IF(ISNUMBER(SEARCH('02_대상물건입력'!B15,L1094)),1,0)))</f>
        <v/>
      </c>
      <c r="Q1094" s="152">
        <f>IF(OR(C1094="",L1094=""),0,IF(AND(TRIM(C1094)=TRIM(RIGHT(SUBSTITUTE(TRIM('02_대상물건입력'!$B$7)," ",REPT(" ",99)),99)),IF('02_대상물건입력'!B15="",TRUE(),ISNUMBER(SEARCH('02_대상물건입력'!B15,L1094)))),1,0))</f>
        <v/>
      </c>
      <c r="R1094" s="175">
        <f>IFERROR(ABS(E1094-'02_대상물건입력'!B11)/'02_대상물건입력'!B11,"")</f>
        <v/>
      </c>
      <c r="S1094" s="152">
        <f>IFERROR(ABS(J1094-'02_대상물건입력'!B10),"")</f>
        <v/>
      </c>
      <c r="T1094" s="152">
        <f>IFERROR(ABS('01_설정'!B4-F1094),"")</f>
        <v/>
      </c>
      <c r="U1094" s="152">
        <f>IFERROR(ABS(K1094-YEAR('02_대상물건입력'!B14)),"")</f>
        <v/>
      </c>
      <c r="V1094" s="152">
        <f>IF(B1094="","",IF(AND(E1094&gt;0,F1094&gt;0,H1094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1094=1,TRUE()),R1094&lt;='01_설정'!B5,S1094&lt;='01_설정'!B6,T1094&lt;='01_설정'!B7,U1094&lt;='01_설정'!B8),"Y",""))</f>
        <v/>
      </c>
      <c r="W1094" s="172">
        <f>IF(V1094&lt;&gt;"Y","",MAX(0,(1-R1094/'01_설정'!B5))*'01_설정'!B14+MAX(0,(1-S1094/'01_설정'!B6))*'01_설정'!B15+MAX(0,(1-T1094/'01_설정'!B7))*'01_설정'!B16+MAX(0,(1-U1094/'01_설정'!B8))*'01_설정'!B17+O1094*'01_설정'!B11+Q1094*'01_설정'!B12+P1094*'01_설정'!B13+IF(Z1094="",0,Z1094))</f>
        <v/>
      </c>
      <c r="X1094" s="152">
        <f>IF(W1094="","",1+COUNTIFS($W$4:$W$3003,"&gt;"&amp;W1094)+COUNTIFS($W$4:W1094,W1094)-1)</f>
        <v/>
      </c>
      <c r="Y1094" s="175">
        <f>IF(OR(I1094="",'02_대상물건입력'!B19="",'02_대상물건입력'!B19&lt;=0),"",ABS(I1094-'02_대상물건입력'!B19)/'02_대상물건입력'!B19)</f>
        <v/>
      </c>
      <c r="Z1094" s="172">
        <f>IF(OR(Y1094="",'01_설정'!B31="",'01_설정'!B31&lt;=0,'01_설정'!B32="",'01_설정'!B32&lt;=0),"",MAX(0,(1-Y1094/'01_설정'!B32))*'01_설정'!B31)</f>
        <v/>
      </c>
    </row>
    <row r="1095" ht="17.25" customHeight="1">
      <c r="A1095" s="152">
        <f>IF(INDEX('04A_국토부원자료'!$A:$A,ROW()+1)="","",ROW()-3)</f>
        <v/>
      </c>
      <c r="B1095" s="48">
        <f>IFERROR(INDEX('04A_국토부원자료'!$A:$T,ROW()+1,MATCH("시군구",'04A_국토부원자료'!$A$4:$T$4,0)),"")</f>
        <v/>
      </c>
      <c r="C1095" s="48">
        <f>IF(B1095="","",IFERROR(INDEX('04A_국토부원자료'!$A:$T,ROW()+1,MATCH("번지",'04A_국토부원자료'!$A$4:$T$4,0)),""))</f>
        <v/>
      </c>
      <c r="D1095" s="48">
        <f>IF(B1095="","",IF(Q1095=1,'02_대상물건입력'!$B$8,IFERROR(INDEX('04A_국토부원자료'!$A:$T,ROW()+1,MATCH("단지명",'04A_국토부원자료'!$A$4:$T$4,0)),"")))</f>
        <v/>
      </c>
      <c r="E1095" s="172">
        <f>IFERROR(VALUE(SUBSTITUTE(INDEX('04A_국토부원자료'!$A:$T,ROW()+1,MATCH("전용면적(㎡)",'04A_국토부원자료'!$A$4:$T$4,0)),",","")),"")</f>
        <v/>
      </c>
      <c r="F10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95" s="51">
        <f>IFERROR(VALUE(SUBSTITUTE(INDEX('04A_국토부원자료'!$A:$T,ROW()+1,MATCH("거래금액(만원)",'04A_국토부원자료'!$A$4:$T$4,0)),",","")),"")</f>
        <v/>
      </c>
      <c r="H1095" s="174">
        <f>IF(G1095="","",G1095*10000)</f>
        <v/>
      </c>
      <c r="I1095" s="174">
        <f>IFERROR(IF(AND(H1095&gt;0,E1095&gt;0),H1095/E1095,""),"")</f>
        <v/>
      </c>
      <c r="J1095" s="152">
        <f>IFERROR(VALUE(SUBSTITUTE(INDEX('04A_국토부원자료'!$A:$T,ROW()+1,MATCH("층",'04A_국토부원자료'!$A$4:$T$4,0)),",","")),"")</f>
        <v/>
      </c>
      <c r="K1095" s="152">
        <f>IFERROR(VALUE(SUBSTITUTE(INDEX('04A_국토부원자료'!$A:$T,ROW()+1,MATCH("건축년도",'04A_국토부원자료'!$A$4:$T$4,0)),",","")),"")</f>
        <v/>
      </c>
      <c r="L1095" s="176">
        <f>IFERROR(INDEX('04A_국토부원자료'!$A:$T,ROW()+1,MATCH("도로명",'04A_국토부원자료'!$A$4:$T$4,0)),"")</f>
        <v/>
      </c>
      <c r="M1095" s="48">
        <f>IFERROR(INDEX('04A_국토부원자료'!$A:$T,ROW()+1,MATCH("거래유형",'04A_국토부원자료'!$A$4:$T$4,0)),"")</f>
        <v/>
      </c>
      <c r="N1095" s="152">
        <f>IF(B1095="","",IF('02_대상물건입력'!B5="",1,IF(ISNUMBER(SEARCH('02_대상물건입력'!B5,B1095)),1,0)))</f>
        <v/>
      </c>
      <c r="O1095" s="152">
        <f>IF(B1095="","",IF('02_대상물건입력'!B6="",1,IF(ISNUMBER(SEARCH('02_대상물건입력'!B6,B1095)),1,0)))</f>
        <v/>
      </c>
      <c r="P1095" s="152">
        <f>IF(L1095="","",IF('02_대상물건입력'!B15="",0,IF(ISNUMBER(SEARCH('02_대상물건입력'!B15,L1095)),1,0)))</f>
        <v/>
      </c>
      <c r="Q1095" s="152">
        <f>IF(OR(C1095="",L1095=""),0,IF(AND(TRIM(C1095)=TRIM(RIGHT(SUBSTITUTE(TRIM('02_대상물건입력'!$B$7)," ",REPT(" ",99)),99)),IF('02_대상물건입력'!B15="",TRUE(),ISNUMBER(SEARCH('02_대상물건입력'!B15,L1095)))),1,0))</f>
        <v/>
      </c>
      <c r="R1095" s="175">
        <f>IFERROR(ABS(E1095-'02_대상물건입력'!B11)/'02_대상물건입력'!B11,"")</f>
        <v/>
      </c>
      <c r="S1095" s="152">
        <f>IFERROR(ABS(J1095-'02_대상물건입력'!B10),"")</f>
        <v/>
      </c>
      <c r="T1095" s="152">
        <f>IFERROR(ABS('01_설정'!B4-F1095),"")</f>
        <v/>
      </c>
      <c r="U1095" s="152">
        <f>IFERROR(ABS(K1095-YEAR('02_대상물건입력'!B14)),"")</f>
        <v/>
      </c>
      <c r="V1095" s="152">
        <f>IF(B1095="","",IF(AND(E1095&gt;0,F1095&gt;0,H1095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1095=1,TRUE()),R1095&lt;='01_설정'!B5,S1095&lt;='01_설정'!B6,T1095&lt;='01_설정'!B7,U1095&lt;='01_설정'!B8),"Y",""))</f>
        <v/>
      </c>
      <c r="W1095" s="172">
        <f>IF(V1095&lt;&gt;"Y","",MAX(0,(1-R1095/'01_설정'!B5))*'01_설정'!B14+MAX(0,(1-S1095/'01_설정'!B6))*'01_설정'!B15+MAX(0,(1-T1095/'01_설정'!B7))*'01_설정'!B16+MAX(0,(1-U1095/'01_설정'!B8))*'01_설정'!B17+O1095*'01_설정'!B11+Q1095*'01_설정'!B12+P1095*'01_설정'!B13+IF(Z1095="",0,Z1095))</f>
        <v/>
      </c>
      <c r="X1095" s="152">
        <f>IF(W1095="","",1+COUNTIFS($W$4:$W$3003,"&gt;"&amp;W1095)+COUNTIFS($W$4:W1095,W1095)-1)</f>
        <v/>
      </c>
      <c r="Y1095" s="175">
        <f>IF(OR(I1095="",'02_대상물건입력'!B19="",'02_대상물건입력'!B19&lt;=0),"",ABS(I1095-'02_대상물건입력'!B19)/'02_대상물건입력'!B19)</f>
        <v/>
      </c>
      <c r="Z1095" s="172">
        <f>IF(OR(Y1095="",'01_설정'!B31="",'01_설정'!B31&lt;=0,'01_설정'!B32="",'01_설정'!B32&lt;=0),"",MAX(0,(1-Y1095/'01_설정'!B32))*'01_설정'!B31)</f>
        <v/>
      </c>
    </row>
    <row r="1096" ht="17.25" customHeight="1">
      <c r="A1096" s="152">
        <f>IF(INDEX('04A_국토부원자료'!$A:$A,ROW()+1)="","",ROW()-3)</f>
        <v/>
      </c>
      <c r="B1096" s="48">
        <f>IFERROR(INDEX('04A_국토부원자료'!$A:$T,ROW()+1,MATCH("시군구",'04A_국토부원자료'!$A$4:$T$4,0)),"")</f>
        <v/>
      </c>
      <c r="C1096" s="48">
        <f>IF(B1096="","",IFERROR(INDEX('04A_국토부원자료'!$A:$T,ROW()+1,MATCH("번지",'04A_국토부원자료'!$A$4:$T$4,0)),""))</f>
        <v/>
      </c>
      <c r="D1096" s="48">
        <f>IF(B1096="","",IF(Q1096=1,'02_대상물건입력'!$B$8,IFERROR(INDEX('04A_국토부원자료'!$A:$T,ROW()+1,MATCH("단지명",'04A_국토부원자료'!$A$4:$T$4,0)),"")))</f>
        <v/>
      </c>
      <c r="E1096" s="172">
        <f>IFERROR(VALUE(SUBSTITUTE(INDEX('04A_국토부원자료'!$A:$T,ROW()+1,MATCH("전용면적(㎡)",'04A_국토부원자료'!$A$4:$T$4,0)),",","")),"")</f>
        <v/>
      </c>
      <c r="F10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96" s="51">
        <f>IFERROR(VALUE(SUBSTITUTE(INDEX('04A_국토부원자료'!$A:$T,ROW()+1,MATCH("거래금액(만원)",'04A_국토부원자료'!$A$4:$T$4,0)),",","")),"")</f>
        <v/>
      </c>
      <c r="H1096" s="174">
        <f>IF(G1096="","",G1096*10000)</f>
        <v/>
      </c>
      <c r="I1096" s="174">
        <f>IFERROR(IF(AND(H1096&gt;0,E1096&gt;0),H1096/E1096,""),"")</f>
        <v/>
      </c>
      <c r="J1096" s="152">
        <f>IFERROR(VALUE(SUBSTITUTE(INDEX('04A_국토부원자료'!$A:$T,ROW()+1,MATCH("층",'04A_국토부원자료'!$A$4:$T$4,0)),",","")),"")</f>
        <v/>
      </c>
      <c r="K1096" s="152">
        <f>IFERROR(VALUE(SUBSTITUTE(INDEX('04A_국토부원자료'!$A:$T,ROW()+1,MATCH("건축년도",'04A_국토부원자료'!$A$4:$T$4,0)),",","")),"")</f>
        <v/>
      </c>
      <c r="L1096" s="176">
        <f>IFERROR(INDEX('04A_국토부원자료'!$A:$T,ROW()+1,MATCH("도로명",'04A_국토부원자료'!$A$4:$T$4,0)),"")</f>
        <v/>
      </c>
      <c r="M1096" s="48">
        <f>IFERROR(INDEX('04A_국토부원자료'!$A:$T,ROW()+1,MATCH("거래유형",'04A_국토부원자료'!$A$4:$T$4,0)),"")</f>
        <v/>
      </c>
      <c r="N1096" s="152">
        <f>IF(B1096="","",IF('02_대상물건입력'!B5="",1,IF(ISNUMBER(SEARCH('02_대상물건입력'!B5,B1096)),1,0)))</f>
        <v/>
      </c>
      <c r="O1096" s="152">
        <f>IF(B1096="","",IF('02_대상물건입력'!B6="",1,IF(ISNUMBER(SEARCH('02_대상물건입력'!B6,B1096)),1,0)))</f>
        <v/>
      </c>
      <c r="P1096" s="152">
        <f>IF(L1096="","",IF('02_대상물건입력'!B15="",0,IF(ISNUMBER(SEARCH('02_대상물건입력'!B15,L1096)),1,0)))</f>
        <v/>
      </c>
      <c r="Q1096" s="152">
        <f>IF(OR(C1096="",L1096=""),0,IF(AND(TRIM(C1096)=TRIM(RIGHT(SUBSTITUTE(TRIM('02_대상물건입력'!$B$7)," ",REPT(" ",99)),99)),IF('02_대상물건입력'!B15="",TRUE(),ISNUMBER(SEARCH('02_대상물건입력'!B15,L1096)))),1,0))</f>
        <v/>
      </c>
      <c r="R1096" s="175">
        <f>IFERROR(ABS(E1096-'02_대상물건입력'!B11)/'02_대상물건입력'!B11,"")</f>
        <v/>
      </c>
      <c r="S1096" s="152">
        <f>IFERROR(ABS(J1096-'02_대상물건입력'!B10),"")</f>
        <v/>
      </c>
      <c r="T1096" s="152">
        <f>IFERROR(ABS('01_설정'!B4-F1096),"")</f>
        <v/>
      </c>
      <c r="U1096" s="152">
        <f>IFERROR(ABS(K1096-YEAR('02_대상물건입력'!B14)),"")</f>
        <v/>
      </c>
      <c r="V1096" s="152">
        <f>IF(B1096="","",IF(AND(E1096&gt;0,F1096&gt;0,H1096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1096=1,TRUE()),R1096&lt;='01_설정'!B5,S1096&lt;='01_설정'!B6,T1096&lt;='01_설정'!B7,U1096&lt;='01_설정'!B8),"Y",""))</f>
        <v/>
      </c>
      <c r="W1096" s="172">
        <f>IF(V1096&lt;&gt;"Y","",MAX(0,(1-R1096/'01_설정'!B5))*'01_설정'!B14+MAX(0,(1-S1096/'01_설정'!B6))*'01_설정'!B15+MAX(0,(1-T1096/'01_설정'!B7))*'01_설정'!B16+MAX(0,(1-U1096/'01_설정'!B8))*'01_설정'!B17+O1096*'01_설정'!B11+Q1096*'01_설정'!B12+P1096*'01_설정'!B13+IF(Z1096="",0,Z1096))</f>
        <v/>
      </c>
      <c r="X1096" s="152">
        <f>IF(W1096="","",1+COUNTIFS($W$4:$W$3003,"&gt;"&amp;W1096)+COUNTIFS($W$4:W1096,W1096)-1)</f>
        <v/>
      </c>
      <c r="Y1096" s="175">
        <f>IF(OR(I1096="",'02_대상물건입력'!B19="",'02_대상물건입력'!B19&lt;=0),"",ABS(I1096-'02_대상물건입력'!B19)/'02_대상물건입력'!B19)</f>
        <v/>
      </c>
      <c r="Z1096" s="172">
        <f>IF(OR(Y1096="",'01_설정'!B31="",'01_설정'!B31&lt;=0,'01_설정'!B32="",'01_설정'!B32&lt;=0),"",MAX(0,(1-Y1096/'01_설정'!B32))*'01_설정'!B31)</f>
        <v/>
      </c>
    </row>
    <row r="1097" ht="17.25" customHeight="1">
      <c r="A1097" s="152">
        <f>IF(INDEX('04A_국토부원자료'!$A:$A,ROW()+1)="","",ROW()-3)</f>
        <v/>
      </c>
      <c r="B1097" s="48">
        <f>IFERROR(INDEX('04A_국토부원자료'!$A:$T,ROW()+1,MATCH("시군구",'04A_국토부원자료'!$A$4:$T$4,0)),"")</f>
        <v/>
      </c>
      <c r="C1097" s="48">
        <f>IF(B1097="","",IFERROR(INDEX('04A_국토부원자료'!$A:$T,ROW()+1,MATCH("번지",'04A_국토부원자료'!$A$4:$T$4,0)),""))</f>
        <v/>
      </c>
      <c r="D1097" s="48">
        <f>IF(B1097="","",IF(Q1097=1,'02_대상물건입력'!$B$8,IFERROR(INDEX('04A_국토부원자료'!$A:$T,ROW()+1,MATCH("단지명",'04A_국토부원자료'!$A$4:$T$4,0)),"")))</f>
        <v/>
      </c>
      <c r="E1097" s="172">
        <f>IFERROR(VALUE(SUBSTITUTE(INDEX('04A_국토부원자료'!$A:$T,ROW()+1,MATCH("전용면적(㎡)",'04A_국토부원자료'!$A$4:$T$4,0)),",","")),"")</f>
        <v/>
      </c>
      <c r="F10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97" s="51">
        <f>IFERROR(VALUE(SUBSTITUTE(INDEX('04A_국토부원자료'!$A:$T,ROW()+1,MATCH("거래금액(만원)",'04A_국토부원자료'!$A$4:$T$4,0)),",","")),"")</f>
        <v/>
      </c>
      <c r="H1097" s="174">
        <f>IF(G1097="","",G1097*10000)</f>
        <v/>
      </c>
      <c r="I1097" s="174">
        <f>IFERROR(IF(AND(H1097&gt;0,E1097&gt;0),H1097/E1097,""),"")</f>
        <v/>
      </c>
      <c r="J1097" s="152">
        <f>IFERROR(VALUE(SUBSTITUTE(INDEX('04A_국토부원자료'!$A:$T,ROW()+1,MATCH("층",'04A_국토부원자료'!$A$4:$T$4,0)),",","")),"")</f>
        <v/>
      </c>
      <c r="K1097" s="152">
        <f>IFERROR(VALUE(SUBSTITUTE(INDEX('04A_국토부원자료'!$A:$T,ROW()+1,MATCH("건축년도",'04A_국토부원자료'!$A$4:$T$4,0)),",","")),"")</f>
        <v/>
      </c>
      <c r="L1097" s="176">
        <f>IFERROR(INDEX('04A_국토부원자료'!$A:$T,ROW()+1,MATCH("도로명",'04A_국토부원자료'!$A$4:$T$4,0)),"")</f>
        <v/>
      </c>
      <c r="M1097" s="48">
        <f>IFERROR(INDEX('04A_국토부원자료'!$A:$T,ROW()+1,MATCH("거래유형",'04A_국토부원자료'!$A$4:$T$4,0)),"")</f>
        <v/>
      </c>
      <c r="N1097" s="152">
        <f>IF(B1097="","",IF('02_대상물건입력'!B5="",1,IF(ISNUMBER(SEARCH('02_대상물건입력'!B5,B1097)),1,0)))</f>
        <v/>
      </c>
      <c r="O1097" s="152">
        <f>IF(B1097="","",IF('02_대상물건입력'!B6="",1,IF(ISNUMBER(SEARCH('02_대상물건입력'!B6,B1097)),1,0)))</f>
        <v/>
      </c>
      <c r="P1097" s="152">
        <f>IF(L1097="","",IF('02_대상물건입력'!B15="",0,IF(ISNUMBER(SEARCH('02_대상물건입력'!B15,L1097)),1,0)))</f>
        <v/>
      </c>
      <c r="Q1097" s="152">
        <f>IF(OR(C1097="",L1097=""),0,IF(AND(TRIM(C1097)=TRIM(RIGHT(SUBSTITUTE(TRIM('02_대상물건입력'!$B$7)," ",REPT(" ",99)),99)),IF('02_대상물건입력'!B15="",TRUE(),ISNUMBER(SEARCH('02_대상물건입력'!B15,L1097)))),1,0))</f>
        <v/>
      </c>
      <c r="R1097" s="175">
        <f>IFERROR(ABS(E1097-'02_대상물건입력'!B11)/'02_대상물건입력'!B11,"")</f>
        <v/>
      </c>
      <c r="S1097" s="152">
        <f>IFERROR(ABS(J1097-'02_대상물건입력'!B10),"")</f>
        <v/>
      </c>
      <c r="T1097" s="152">
        <f>IFERROR(ABS('01_설정'!B4-F1097),"")</f>
        <v/>
      </c>
      <c r="U1097" s="152">
        <f>IFERROR(ABS(K1097-YEAR('02_대상물건입력'!B14)),"")</f>
        <v/>
      </c>
      <c r="V1097" s="152">
        <f>IF(B1097="","",IF(AND(E1097&gt;0,F1097&gt;0,H1097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1097=1,TRUE()),R1097&lt;='01_설정'!B5,S1097&lt;='01_설정'!B6,T1097&lt;='01_설정'!B7,U1097&lt;='01_설정'!B8),"Y",""))</f>
        <v/>
      </c>
      <c r="W1097" s="172">
        <f>IF(V1097&lt;&gt;"Y","",MAX(0,(1-R1097/'01_설정'!B5))*'01_설정'!B14+MAX(0,(1-S1097/'01_설정'!B6))*'01_설정'!B15+MAX(0,(1-T1097/'01_설정'!B7))*'01_설정'!B16+MAX(0,(1-U1097/'01_설정'!B8))*'01_설정'!B17+O1097*'01_설정'!B11+Q1097*'01_설정'!B12+P1097*'01_설정'!B13+IF(Z1097="",0,Z1097))</f>
        <v/>
      </c>
      <c r="X1097" s="152">
        <f>IF(W1097="","",1+COUNTIFS($W$4:$W$3003,"&gt;"&amp;W1097)+COUNTIFS($W$4:W1097,W1097)-1)</f>
        <v/>
      </c>
      <c r="Y1097" s="175">
        <f>IF(OR(I1097="",'02_대상물건입력'!B19="",'02_대상물건입력'!B19&lt;=0),"",ABS(I1097-'02_대상물건입력'!B19)/'02_대상물건입력'!B19)</f>
        <v/>
      </c>
      <c r="Z1097" s="172">
        <f>IF(OR(Y1097="",'01_설정'!B31="",'01_설정'!B31&lt;=0,'01_설정'!B32="",'01_설정'!B32&lt;=0),"",MAX(0,(1-Y1097/'01_설정'!B32))*'01_설정'!B31)</f>
        <v/>
      </c>
    </row>
    <row r="1098" ht="17.25" customHeight="1">
      <c r="A1098" s="152">
        <f>IF(INDEX('04A_국토부원자료'!$A:$A,ROW()+1)="","",ROW()-3)</f>
        <v/>
      </c>
      <c r="B1098" s="48">
        <f>IFERROR(INDEX('04A_국토부원자료'!$A:$T,ROW()+1,MATCH("시군구",'04A_국토부원자료'!$A$4:$T$4,0)),"")</f>
        <v/>
      </c>
      <c r="C1098" s="48">
        <f>IF(B1098="","",IFERROR(INDEX('04A_국토부원자료'!$A:$T,ROW()+1,MATCH("번지",'04A_국토부원자료'!$A$4:$T$4,0)),""))</f>
        <v/>
      </c>
      <c r="D1098" s="48">
        <f>IF(B1098="","",IF(Q1098=1,'02_대상물건입력'!$B$8,IFERROR(INDEX('04A_국토부원자료'!$A:$T,ROW()+1,MATCH("단지명",'04A_국토부원자료'!$A$4:$T$4,0)),"")))</f>
        <v/>
      </c>
      <c r="E1098" s="172">
        <f>IFERROR(VALUE(SUBSTITUTE(INDEX('04A_국토부원자료'!$A:$T,ROW()+1,MATCH("전용면적(㎡)",'04A_국토부원자료'!$A$4:$T$4,0)),",","")),"")</f>
        <v/>
      </c>
      <c r="F10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98" s="51">
        <f>IFERROR(VALUE(SUBSTITUTE(INDEX('04A_국토부원자료'!$A:$T,ROW()+1,MATCH("거래금액(만원)",'04A_국토부원자료'!$A$4:$T$4,0)),",","")),"")</f>
        <v/>
      </c>
      <c r="H1098" s="174">
        <f>IF(G1098="","",G1098*10000)</f>
        <v/>
      </c>
      <c r="I1098" s="174">
        <f>IFERROR(IF(AND(H1098&gt;0,E1098&gt;0),H1098/E1098,""),"")</f>
        <v/>
      </c>
      <c r="J1098" s="152">
        <f>IFERROR(VALUE(SUBSTITUTE(INDEX('04A_국토부원자료'!$A:$T,ROW()+1,MATCH("층",'04A_국토부원자료'!$A$4:$T$4,0)),",","")),"")</f>
        <v/>
      </c>
      <c r="K1098" s="152">
        <f>IFERROR(VALUE(SUBSTITUTE(INDEX('04A_국토부원자료'!$A:$T,ROW()+1,MATCH("건축년도",'04A_국토부원자료'!$A$4:$T$4,0)),",","")),"")</f>
        <v/>
      </c>
      <c r="L1098" s="176">
        <f>IFERROR(INDEX('04A_국토부원자료'!$A:$T,ROW()+1,MATCH("도로명",'04A_국토부원자료'!$A$4:$T$4,0)),"")</f>
        <v/>
      </c>
      <c r="M1098" s="48">
        <f>IFERROR(INDEX('04A_국토부원자료'!$A:$T,ROW()+1,MATCH("거래유형",'04A_국토부원자료'!$A$4:$T$4,0)),"")</f>
        <v/>
      </c>
      <c r="N1098" s="152">
        <f>IF(B1098="","",IF('02_대상물건입력'!B5="",1,IF(ISNUMBER(SEARCH('02_대상물건입력'!B5,B1098)),1,0)))</f>
        <v/>
      </c>
      <c r="O1098" s="152">
        <f>IF(B1098="","",IF('02_대상물건입력'!B6="",1,IF(ISNUMBER(SEARCH('02_대상물건입력'!B6,B1098)),1,0)))</f>
        <v/>
      </c>
      <c r="P1098" s="152">
        <f>IF(L1098="","",IF('02_대상물건입력'!B15="",0,IF(ISNUMBER(SEARCH('02_대상물건입력'!B15,L1098)),1,0)))</f>
        <v/>
      </c>
      <c r="Q1098" s="152">
        <f>IF(OR(C1098="",L1098=""),0,IF(AND(TRIM(C1098)=TRIM(RIGHT(SUBSTITUTE(TRIM('02_대상물건입력'!$B$7)," ",REPT(" ",99)),99)),IF('02_대상물건입력'!B15="",TRUE(),ISNUMBER(SEARCH('02_대상물건입력'!B15,L1098)))),1,0))</f>
        <v/>
      </c>
      <c r="R1098" s="175">
        <f>IFERROR(ABS(E1098-'02_대상물건입력'!B11)/'02_대상물건입력'!B11,"")</f>
        <v/>
      </c>
      <c r="S1098" s="152">
        <f>IFERROR(ABS(J1098-'02_대상물건입력'!B10),"")</f>
        <v/>
      </c>
      <c r="T1098" s="152">
        <f>IFERROR(ABS('01_설정'!B4-F1098),"")</f>
        <v/>
      </c>
      <c r="U1098" s="152">
        <f>IFERROR(ABS(K1098-YEAR('02_대상물건입력'!B14)),"")</f>
        <v/>
      </c>
      <c r="V1098" s="152">
        <f>IF(B1098="","",IF(AND(E1098&gt;0,F1098&gt;0,H1098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1098=1,TRUE()),R1098&lt;='01_설정'!B5,S1098&lt;='01_설정'!B6,T1098&lt;='01_설정'!B7,U1098&lt;='01_설정'!B8),"Y",""))</f>
        <v/>
      </c>
      <c r="W1098" s="172">
        <f>IF(V1098&lt;&gt;"Y","",MAX(0,(1-R1098/'01_설정'!B5))*'01_설정'!B14+MAX(0,(1-S1098/'01_설정'!B6))*'01_설정'!B15+MAX(0,(1-T1098/'01_설정'!B7))*'01_설정'!B16+MAX(0,(1-U1098/'01_설정'!B8))*'01_설정'!B17+O1098*'01_설정'!B11+Q1098*'01_설정'!B12+P1098*'01_설정'!B13+IF(Z1098="",0,Z1098))</f>
        <v/>
      </c>
      <c r="X1098" s="152">
        <f>IF(W1098="","",1+COUNTIFS($W$4:$W$3003,"&gt;"&amp;W1098)+COUNTIFS($W$4:W1098,W1098)-1)</f>
        <v/>
      </c>
      <c r="Y1098" s="175">
        <f>IF(OR(I1098="",'02_대상물건입력'!B19="",'02_대상물건입력'!B19&lt;=0),"",ABS(I1098-'02_대상물건입력'!B19)/'02_대상물건입력'!B19)</f>
        <v/>
      </c>
      <c r="Z1098" s="172">
        <f>IF(OR(Y1098="",'01_설정'!B31="",'01_설정'!B31&lt;=0,'01_설정'!B32="",'01_설정'!B32&lt;=0),"",MAX(0,(1-Y1098/'01_설정'!B32))*'01_설정'!B31)</f>
        <v/>
      </c>
    </row>
    <row r="1099" ht="17.25" customHeight="1">
      <c r="A1099" s="152">
        <f>IF(INDEX('04A_국토부원자료'!$A:$A,ROW()+1)="","",ROW()-3)</f>
        <v/>
      </c>
      <c r="B1099" s="48">
        <f>IFERROR(INDEX('04A_국토부원자료'!$A:$T,ROW()+1,MATCH("시군구",'04A_국토부원자료'!$A$4:$T$4,0)),"")</f>
        <v/>
      </c>
      <c r="C1099" s="48">
        <f>IF(B1099="","",IFERROR(INDEX('04A_국토부원자료'!$A:$T,ROW()+1,MATCH("번지",'04A_국토부원자료'!$A$4:$T$4,0)),""))</f>
        <v/>
      </c>
      <c r="D1099" s="48">
        <f>IF(B1099="","",IF(Q1099=1,'02_대상물건입력'!$B$8,IFERROR(INDEX('04A_국토부원자료'!$A:$T,ROW()+1,MATCH("단지명",'04A_국토부원자료'!$A$4:$T$4,0)),"")))</f>
        <v/>
      </c>
      <c r="E1099" s="172">
        <f>IFERROR(VALUE(SUBSTITUTE(INDEX('04A_국토부원자료'!$A:$T,ROW()+1,MATCH("전용면적(㎡)",'04A_국토부원자료'!$A$4:$T$4,0)),",","")),"")</f>
        <v/>
      </c>
      <c r="F10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099" s="51">
        <f>IFERROR(VALUE(SUBSTITUTE(INDEX('04A_국토부원자료'!$A:$T,ROW()+1,MATCH("거래금액(만원)",'04A_국토부원자료'!$A$4:$T$4,0)),",","")),"")</f>
        <v/>
      </c>
      <c r="H1099" s="174">
        <f>IF(G1099="","",G1099*10000)</f>
        <v/>
      </c>
      <c r="I1099" s="174">
        <f>IFERROR(IF(AND(H1099&gt;0,E1099&gt;0),H1099/E1099,""),"")</f>
        <v/>
      </c>
      <c r="J1099" s="152">
        <f>IFERROR(VALUE(SUBSTITUTE(INDEX('04A_국토부원자료'!$A:$T,ROW()+1,MATCH("층",'04A_국토부원자료'!$A$4:$T$4,0)),",","")),"")</f>
        <v/>
      </c>
      <c r="K1099" s="152">
        <f>IFERROR(VALUE(SUBSTITUTE(INDEX('04A_국토부원자료'!$A:$T,ROW()+1,MATCH("건축년도",'04A_국토부원자료'!$A$4:$T$4,0)),",","")),"")</f>
        <v/>
      </c>
      <c r="L1099" s="176">
        <f>IFERROR(INDEX('04A_국토부원자료'!$A:$T,ROW()+1,MATCH("도로명",'04A_국토부원자료'!$A$4:$T$4,0)),"")</f>
        <v/>
      </c>
      <c r="M1099" s="48">
        <f>IFERROR(INDEX('04A_국토부원자료'!$A:$T,ROW()+1,MATCH("거래유형",'04A_국토부원자료'!$A$4:$T$4,0)),"")</f>
        <v/>
      </c>
      <c r="N1099" s="152">
        <f>IF(B1099="","",IF('02_대상물건입력'!B5="",1,IF(ISNUMBER(SEARCH('02_대상물건입력'!B5,B1099)),1,0)))</f>
        <v/>
      </c>
      <c r="O1099" s="152">
        <f>IF(B1099="","",IF('02_대상물건입력'!B6="",1,IF(ISNUMBER(SEARCH('02_대상물건입력'!B6,B1099)),1,0)))</f>
        <v/>
      </c>
      <c r="P1099" s="152">
        <f>IF(L1099="","",IF('02_대상물건입력'!B15="",0,IF(ISNUMBER(SEARCH('02_대상물건입력'!B15,L1099)),1,0)))</f>
        <v/>
      </c>
      <c r="Q1099" s="152">
        <f>IF(OR(C1099="",L1099=""),0,IF(AND(TRIM(C1099)=TRIM(RIGHT(SUBSTITUTE(TRIM('02_대상물건입력'!$B$7)," ",REPT(" ",99)),99)),IF('02_대상물건입력'!B15="",TRUE(),ISNUMBER(SEARCH('02_대상물건입력'!B15,L1099)))),1,0))</f>
        <v/>
      </c>
      <c r="R1099" s="175">
        <f>IFERROR(ABS(E1099-'02_대상물건입력'!B11)/'02_대상물건입력'!B11,"")</f>
        <v/>
      </c>
      <c r="S1099" s="152">
        <f>IFERROR(ABS(J1099-'02_대상물건입력'!B10),"")</f>
        <v/>
      </c>
      <c r="T1099" s="152">
        <f>IFERROR(ABS('01_설정'!B4-F1099),"")</f>
        <v/>
      </c>
      <c r="U1099" s="152">
        <f>IFERROR(ABS(K1099-YEAR('02_대상물건입력'!B14)),"")</f>
        <v/>
      </c>
      <c r="V1099" s="152">
        <f>IF(B1099="","",IF(AND(E1099&gt;0,F1099&gt;0,H1099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1099=1,TRUE()),R1099&lt;='01_설정'!B5,S1099&lt;='01_설정'!B6,T1099&lt;='01_설정'!B7,U1099&lt;='01_설정'!B8),"Y",""))</f>
        <v/>
      </c>
      <c r="W1099" s="172">
        <f>IF(V1099&lt;&gt;"Y","",MAX(0,(1-R1099/'01_설정'!B5))*'01_설정'!B14+MAX(0,(1-S1099/'01_설정'!B6))*'01_설정'!B15+MAX(0,(1-T1099/'01_설정'!B7))*'01_설정'!B16+MAX(0,(1-U1099/'01_설정'!B8))*'01_설정'!B17+O1099*'01_설정'!B11+Q1099*'01_설정'!B12+P1099*'01_설정'!B13+IF(Z1099="",0,Z1099))</f>
        <v/>
      </c>
      <c r="X1099" s="152">
        <f>IF(W1099="","",1+COUNTIFS($W$4:$W$3003,"&gt;"&amp;W1099)+COUNTIFS($W$4:W1099,W1099)-1)</f>
        <v/>
      </c>
      <c r="Y1099" s="175">
        <f>IF(OR(I1099="",'02_대상물건입력'!B19="",'02_대상물건입력'!B19&lt;=0),"",ABS(I1099-'02_대상물건입력'!B19)/'02_대상물건입력'!B19)</f>
        <v/>
      </c>
      <c r="Z1099" s="172">
        <f>IF(OR(Y1099="",'01_설정'!B31="",'01_설정'!B31&lt;=0,'01_설정'!B32="",'01_설정'!B32&lt;=0),"",MAX(0,(1-Y1099/'01_설정'!B32))*'01_설정'!B31)</f>
        <v/>
      </c>
    </row>
    <row r="1100" ht="17.25" customHeight="1">
      <c r="A1100" s="152">
        <f>IF(INDEX('04A_국토부원자료'!$A:$A,ROW()+1)="","",ROW()-3)</f>
        <v/>
      </c>
      <c r="B1100" s="48">
        <f>IFERROR(INDEX('04A_국토부원자료'!$A:$T,ROW()+1,MATCH("시군구",'04A_국토부원자료'!$A$4:$T$4,0)),"")</f>
        <v/>
      </c>
      <c r="C1100" s="48">
        <f>IF(B1100="","",IFERROR(INDEX('04A_국토부원자료'!$A:$T,ROW()+1,MATCH("번지",'04A_국토부원자료'!$A$4:$T$4,0)),""))</f>
        <v/>
      </c>
      <c r="D1100" s="48">
        <f>IF(B1100="","",IF(Q1100=1,'02_대상물건입력'!$B$8,IFERROR(INDEX('04A_국토부원자료'!$A:$T,ROW()+1,MATCH("단지명",'04A_국토부원자료'!$A$4:$T$4,0)),"")))</f>
        <v/>
      </c>
      <c r="E1100" s="172">
        <f>IFERROR(VALUE(SUBSTITUTE(INDEX('04A_국토부원자료'!$A:$T,ROW()+1,MATCH("전용면적(㎡)",'04A_국토부원자료'!$A$4:$T$4,0)),",","")),"")</f>
        <v/>
      </c>
      <c r="F11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00" s="51">
        <f>IFERROR(VALUE(SUBSTITUTE(INDEX('04A_국토부원자료'!$A:$T,ROW()+1,MATCH("거래금액(만원)",'04A_국토부원자료'!$A$4:$T$4,0)),",","")),"")</f>
        <v/>
      </c>
      <c r="H1100" s="174">
        <f>IF(G1100="","",G1100*10000)</f>
        <v/>
      </c>
      <c r="I1100" s="174">
        <f>IFERROR(IF(AND(H1100&gt;0,E1100&gt;0),H1100/E1100,""),"")</f>
        <v/>
      </c>
      <c r="J1100" s="152">
        <f>IFERROR(VALUE(SUBSTITUTE(INDEX('04A_국토부원자료'!$A:$T,ROW()+1,MATCH("층",'04A_국토부원자료'!$A$4:$T$4,0)),",","")),"")</f>
        <v/>
      </c>
      <c r="K1100" s="152">
        <f>IFERROR(VALUE(SUBSTITUTE(INDEX('04A_국토부원자료'!$A:$T,ROW()+1,MATCH("건축년도",'04A_국토부원자료'!$A$4:$T$4,0)),",","")),"")</f>
        <v/>
      </c>
      <c r="L1100" s="176">
        <f>IFERROR(INDEX('04A_국토부원자료'!$A:$T,ROW()+1,MATCH("도로명",'04A_국토부원자료'!$A$4:$T$4,0)),"")</f>
        <v/>
      </c>
      <c r="M1100" s="48">
        <f>IFERROR(INDEX('04A_국토부원자료'!$A:$T,ROW()+1,MATCH("거래유형",'04A_국토부원자료'!$A$4:$T$4,0)),"")</f>
        <v/>
      </c>
      <c r="N1100" s="152">
        <f>IF(B1100="","",IF('02_대상물건입력'!B5="",1,IF(ISNUMBER(SEARCH('02_대상물건입력'!B5,B1100)),1,0)))</f>
        <v/>
      </c>
      <c r="O1100" s="152">
        <f>IF(B1100="","",IF('02_대상물건입력'!B6="",1,IF(ISNUMBER(SEARCH('02_대상물건입력'!B6,B1100)),1,0)))</f>
        <v/>
      </c>
      <c r="P1100" s="152">
        <f>IF(L1100="","",IF('02_대상물건입력'!B15="",0,IF(ISNUMBER(SEARCH('02_대상물건입력'!B15,L1100)),1,0)))</f>
        <v/>
      </c>
      <c r="Q1100" s="152">
        <f>IF(OR(C1100="",L1100=""),0,IF(AND(TRIM(C1100)=TRIM(RIGHT(SUBSTITUTE(TRIM('02_대상물건입력'!$B$7)," ",REPT(" ",99)),99)),IF('02_대상물건입력'!B15="",TRUE(),ISNUMBER(SEARCH('02_대상물건입력'!B15,L1100)))),1,0))</f>
        <v/>
      </c>
      <c r="R1100" s="175">
        <f>IFERROR(ABS(E1100-'02_대상물건입력'!B11)/'02_대상물건입력'!B11,"")</f>
        <v/>
      </c>
      <c r="S1100" s="152">
        <f>IFERROR(ABS(J1100-'02_대상물건입력'!B10),"")</f>
        <v/>
      </c>
      <c r="T1100" s="152">
        <f>IFERROR(ABS('01_설정'!B4-F1100),"")</f>
        <v/>
      </c>
      <c r="U1100" s="152">
        <f>IFERROR(ABS(K1100-YEAR('02_대상물건입력'!B14)),"")</f>
        <v/>
      </c>
      <c r="V1100" s="152">
        <f>IF(B1100="","",IF(AND(E1100&gt;0,F1100&gt;0,H1100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1100=1,TRUE()),R1100&lt;='01_설정'!B5,S1100&lt;='01_설정'!B6,T1100&lt;='01_설정'!B7,U1100&lt;='01_설정'!B8),"Y",""))</f>
        <v/>
      </c>
      <c r="W1100" s="172">
        <f>IF(V1100&lt;&gt;"Y","",MAX(0,(1-R1100/'01_설정'!B5))*'01_설정'!B14+MAX(0,(1-S1100/'01_설정'!B6))*'01_설정'!B15+MAX(0,(1-T1100/'01_설정'!B7))*'01_설정'!B16+MAX(0,(1-U1100/'01_설정'!B8))*'01_설정'!B17+O1100*'01_설정'!B11+Q1100*'01_설정'!B12+P1100*'01_설정'!B13+IF(Z1100="",0,Z1100))</f>
        <v/>
      </c>
      <c r="X1100" s="152">
        <f>IF(W1100="","",1+COUNTIFS($W$4:$W$3003,"&gt;"&amp;W1100)+COUNTIFS($W$4:W1100,W1100)-1)</f>
        <v/>
      </c>
      <c r="Y1100" s="175">
        <f>IF(OR(I1100="",'02_대상물건입력'!B19="",'02_대상물건입력'!B19&lt;=0),"",ABS(I1100-'02_대상물건입력'!B19)/'02_대상물건입력'!B19)</f>
        <v/>
      </c>
      <c r="Z1100" s="172">
        <f>IF(OR(Y1100="",'01_설정'!B31="",'01_설정'!B31&lt;=0,'01_설정'!B32="",'01_설정'!B32&lt;=0),"",MAX(0,(1-Y1100/'01_설정'!B32))*'01_설정'!B31)</f>
        <v/>
      </c>
    </row>
    <row r="1101" ht="17.25" customHeight="1">
      <c r="A1101" s="152">
        <f>IF(INDEX('04A_국토부원자료'!$A:$A,ROW()+1)="","",ROW()-3)</f>
        <v/>
      </c>
      <c r="B1101" s="48">
        <f>IFERROR(INDEX('04A_국토부원자료'!$A:$T,ROW()+1,MATCH("시군구",'04A_국토부원자료'!$A$4:$T$4,0)),"")</f>
        <v/>
      </c>
      <c r="C1101" s="48">
        <f>IF(B1101="","",IFERROR(INDEX('04A_국토부원자료'!$A:$T,ROW()+1,MATCH("번지",'04A_국토부원자료'!$A$4:$T$4,0)),""))</f>
        <v/>
      </c>
      <c r="D1101" s="48">
        <f>IF(B1101="","",IF(Q1101=1,'02_대상물건입력'!$B$8,IFERROR(INDEX('04A_국토부원자료'!$A:$T,ROW()+1,MATCH("단지명",'04A_국토부원자료'!$A$4:$T$4,0)),"")))</f>
        <v/>
      </c>
      <c r="E1101" s="172">
        <f>IFERROR(VALUE(SUBSTITUTE(INDEX('04A_국토부원자료'!$A:$T,ROW()+1,MATCH("전용면적(㎡)",'04A_국토부원자료'!$A$4:$T$4,0)),",","")),"")</f>
        <v/>
      </c>
      <c r="F11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01" s="51">
        <f>IFERROR(VALUE(SUBSTITUTE(INDEX('04A_국토부원자료'!$A:$T,ROW()+1,MATCH("거래금액(만원)",'04A_국토부원자료'!$A$4:$T$4,0)),",","")),"")</f>
        <v/>
      </c>
      <c r="H1101" s="174">
        <f>IF(G1101="","",G1101*10000)</f>
        <v/>
      </c>
      <c r="I1101" s="174">
        <f>IFERROR(IF(AND(H1101&gt;0,E1101&gt;0),H1101/E1101,""),"")</f>
        <v/>
      </c>
      <c r="J1101" s="152">
        <f>IFERROR(VALUE(SUBSTITUTE(INDEX('04A_국토부원자료'!$A:$T,ROW()+1,MATCH("층",'04A_국토부원자료'!$A$4:$T$4,0)),",","")),"")</f>
        <v/>
      </c>
      <c r="K1101" s="152">
        <f>IFERROR(VALUE(SUBSTITUTE(INDEX('04A_국토부원자료'!$A:$T,ROW()+1,MATCH("건축년도",'04A_국토부원자료'!$A$4:$T$4,0)),",","")),"")</f>
        <v/>
      </c>
      <c r="L1101" s="176">
        <f>IFERROR(INDEX('04A_국토부원자료'!$A:$T,ROW()+1,MATCH("도로명",'04A_국토부원자료'!$A$4:$T$4,0)),"")</f>
        <v/>
      </c>
      <c r="M1101" s="48">
        <f>IFERROR(INDEX('04A_국토부원자료'!$A:$T,ROW()+1,MATCH("거래유형",'04A_국토부원자료'!$A$4:$T$4,0)),"")</f>
        <v/>
      </c>
      <c r="N1101" s="152">
        <f>IF(B1101="","",IF('02_대상물건입력'!B5="",1,IF(ISNUMBER(SEARCH('02_대상물건입력'!B5,B1101)),1,0)))</f>
        <v/>
      </c>
      <c r="O1101" s="152">
        <f>IF(B1101="","",IF('02_대상물건입력'!B6="",1,IF(ISNUMBER(SEARCH('02_대상물건입력'!B6,B1101)),1,0)))</f>
        <v/>
      </c>
      <c r="P1101" s="152">
        <f>IF(L1101="","",IF('02_대상물건입력'!B15="",0,IF(ISNUMBER(SEARCH('02_대상물건입력'!B15,L1101)),1,0)))</f>
        <v/>
      </c>
      <c r="Q1101" s="152">
        <f>IF(OR(C1101="",L1101=""),0,IF(AND(TRIM(C1101)=TRIM(RIGHT(SUBSTITUTE(TRIM('02_대상물건입력'!$B$7)," ",REPT(" ",99)),99)),IF('02_대상물건입력'!B15="",TRUE(),ISNUMBER(SEARCH('02_대상물건입력'!B15,L1101)))),1,0))</f>
        <v/>
      </c>
      <c r="R1101" s="175">
        <f>IFERROR(ABS(E1101-'02_대상물건입력'!B11)/'02_대상물건입력'!B11,"")</f>
        <v/>
      </c>
      <c r="S1101" s="152">
        <f>IFERROR(ABS(J1101-'02_대상물건입력'!B10),"")</f>
        <v/>
      </c>
      <c r="T1101" s="152">
        <f>IFERROR(ABS('01_설정'!B4-F1101),"")</f>
        <v/>
      </c>
      <c r="U1101" s="152">
        <f>IFERROR(ABS(K1101-YEAR('02_대상물건입력'!B14)),"")</f>
        <v/>
      </c>
      <c r="V1101" s="152">
        <f>IF(B1101="","",IF(AND(E1101&gt;0,F1101&gt;0,H1101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1101=1,TRUE()),R1101&lt;='01_설정'!B5,S1101&lt;='01_설정'!B6,T1101&lt;='01_설정'!B7,U1101&lt;='01_설정'!B8),"Y",""))</f>
        <v/>
      </c>
      <c r="W1101" s="172">
        <f>IF(V1101&lt;&gt;"Y","",MAX(0,(1-R1101/'01_설정'!B5))*'01_설정'!B14+MAX(0,(1-S1101/'01_설정'!B6))*'01_설정'!B15+MAX(0,(1-T1101/'01_설정'!B7))*'01_설정'!B16+MAX(0,(1-U1101/'01_설정'!B8))*'01_설정'!B17+O1101*'01_설정'!B11+Q1101*'01_설정'!B12+P1101*'01_설정'!B13+IF(Z1101="",0,Z1101))</f>
        <v/>
      </c>
      <c r="X1101" s="152">
        <f>IF(W1101="","",1+COUNTIFS($W$4:$W$3003,"&gt;"&amp;W1101)+COUNTIFS($W$4:W1101,W1101)-1)</f>
        <v/>
      </c>
      <c r="Y1101" s="175">
        <f>IF(OR(I1101="",'02_대상물건입력'!B19="",'02_대상물건입력'!B19&lt;=0),"",ABS(I1101-'02_대상물건입력'!B19)/'02_대상물건입력'!B19)</f>
        <v/>
      </c>
      <c r="Z1101" s="172">
        <f>IF(OR(Y1101="",'01_설정'!B31="",'01_설정'!B31&lt;=0,'01_설정'!B32="",'01_설정'!B32&lt;=0),"",MAX(0,(1-Y1101/'01_설정'!B32))*'01_설정'!B31)</f>
        <v/>
      </c>
    </row>
    <row r="1102" ht="17.25" customHeight="1">
      <c r="A1102" s="152">
        <f>IF(INDEX('04A_국토부원자료'!$A:$A,ROW()+1)="","",ROW()-3)</f>
        <v/>
      </c>
      <c r="B1102" s="48">
        <f>IFERROR(INDEX('04A_국토부원자료'!$A:$T,ROW()+1,MATCH("시군구",'04A_국토부원자료'!$A$4:$T$4,0)),"")</f>
        <v/>
      </c>
      <c r="C1102" s="48">
        <f>IF(B1102="","",IFERROR(INDEX('04A_국토부원자료'!$A:$T,ROW()+1,MATCH("번지",'04A_국토부원자료'!$A$4:$T$4,0)),""))</f>
        <v/>
      </c>
      <c r="D1102" s="48">
        <f>IF(B1102="","",IF(Q1102=1,'02_대상물건입력'!$B$8,IFERROR(INDEX('04A_국토부원자료'!$A:$T,ROW()+1,MATCH("단지명",'04A_국토부원자료'!$A$4:$T$4,0)),"")))</f>
        <v/>
      </c>
      <c r="E1102" s="172">
        <f>IFERROR(VALUE(SUBSTITUTE(INDEX('04A_국토부원자료'!$A:$T,ROW()+1,MATCH("전용면적(㎡)",'04A_국토부원자료'!$A$4:$T$4,0)),",","")),"")</f>
        <v/>
      </c>
      <c r="F11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02" s="51">
        <f>IFERROR(VALUE(SUBSTITUTE(INDEX('04A_국토부원자료'!$A:$T,ROW()+1,MATCH("거래금액(만원)",'04A_국토부원자료'!$A$4:$T$4,0)),",","")),"")</f>
        <v/>
      </c>
      <c r="H1102" s="174">
        <f>IF(G1102="","",G1102*10000)</f>
        <v/>
      </c>
      <c r="I1102" s="174">
        <f>IFERROR(IF(AND(H1102&gt;0,E1102&gt;0),H1102/E1102,""),"")</f>
        <v/>
      </c>
      <c r="J1102" s="152">
        <f>IFERROR(VALUE(SUBSTITUTE(INDEX('04A_국토부원자료'!$A:$T,ROW()+1,MATCH("층",'04A_국토부원자료'!$A$4:$T$4,0)),",","")),"")</f>
        <v/>
      </c>
      <c r="K1102" s="152">
        <f>IFERROR(VALUE(SUBSTITUTE(INDEX('04A_국토부원자료'!$A:$T,ROW()+1,MATCH("건축년도",'04A_국토부원자료'!$A$4:$T$4,0)),",","")),"")</f>
        <v/>
      </c>
      <c r="L1102" s="176">
        <f>IFERROR(INDEX('04A_국토부원자료'!$A:$T,ROW()+1,MATCH("도로명",'04A_국토부원자료'!$A$4:$T$4,0)),"")</f>
        <v/>
      </c>
      <c r="M1102" s="48">
        <f>IFERROR(INDEX('04A_국토부원자료'!$A:$T,ROW()+1,MATCH("거래유형",'04A_국토부원자료'!$A$4:$T$4,0)),"")</f>
        <v/>
      </c>
      <c r="N1102" s="152">
        <f>IF(B1102="","",IF('02_대상물건입력'!B5="",1,IF(ISNUMBER(SEARCH('02_대상물건입력'!B5,B1102)),1,0)))</f>
        <v/>
      </c>
      <c r="O1102" s="152">
        <f>IF(B1102="","",IF('02_대상물건입력'!B6="",1,IF(ISNUMBER(SEARCH('02_대상물건입력'!B6,B1102)),1,0)))</f>
        <v/>
      </c>
      <c r="P1102" s="152">
        <f>IF(L1102="","",IF('02_대상물건입력'!B15="",0,IF(ISNUMBER(SEARCH('02_대상물건입력'!B15,L1102)),1,0)))</f>
        <v/>
      </c>
      <c r="Q1102" s="152">
        <f>IF(OR(C1102="",L1102=""),0,IF(AND(TRIM(C1102)=TRIM(RIGHT(SUBSTITUTE(TRIM('02_대상물건입력'!$B$7)," ",REPT(" ",99)),99)),IF('02_대상물건입력'!B15="",TRUE(),ISNUMBER(SEARCH('02_대상물건입력'!B15,L1102)))),1,0))</f>
        <v/>
      </c>
      <c r="R1102" s="175">
        <f>IFERROR(ABS(E1102-'02_대상물건입력'!B11)/'02_대상물건입력'!B11,"")</f>
        <v/>
      </c>
      <c r="S1102" s="152">
        <f>IFERROR(ABS(J1102-'02_대상물건입력'!B10),"")</f>
        <v/>
      </c>
      <c r="T1102" s="152">
        <f>IFERROR(ABS('01_설정'!B4-F1102),"")</f>
        <v/>
      </c>
      <c r="U1102" s="152">
        <f>IFERROR(ABS(K1102-YEAR('02_대상물건입력'!B14)),"")</f>
        <v/>
      </c>
      <c r="V1102" s="152">
        <f>IF(B1102="","",IF(AND(E1102&gt;0,F1102&gt;0,H1102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1102=1,TRUE()),R1102&lt;='01_설정'!B5,S1102&lt;='01_설정'!B6,T1102&lt;='01_설정'!B7,U1102&lt;='01_설정'!B8),"Y",""))</f>
        <v/>
      </c>
      <c r="W1102" s="172">
        <f>IF(V1102&lt;&gt;"Y","",MAX(0,(1-R1102/'01_설정'!B5))*'01_설정'!B14+MAX(0,(1-S1102/'01_설정'!B6))*'01_설정'!B15+MAX(0,(1-T1102/'01_설정'!B7))*'01_설정'!B16+MAX(0,(1-U1102/'01_설정'!B8))*'01_설정'!B17+O1102*'01_설정'!B11+Q1102*'01_설정'!B12+P1102*'01_설정'!B13+IF(Z1102="",0,Z1102))</f>
        <v/>
      </c>
      <c r="X1102" s="152">
        <f>IF(W1102="","",1+COUNTIFS($W$4:$W$3003,"&gt;"&amp;W1102)+COUNTIFS($W$4:W1102,W1102)-1)</f>
        <v/>
      </c>
      <c r="Y1102" s="175">
        <f>IF(OR(I1102="",'02_대상물건입력'!B19="",'02_대상물건입력'!B19&lt;=0),"",ABS(I1102-'02_대상물건입력'!B19)/'02_대상물건입력'!B19)</f>
        <v/>
      </c>
      <c r="Z1102" s="172">
        <f>IF(OR(Y1102="",'01_설정'!B31="",'01_설정'!B31&lt;=0,'01_설정'!B32="",'01_설정'!B32&lt;=0),"",MAX(0,(1-Y1102/'01_설정'!B32))*'01_설정'!B31)</f>
        <v/>
      </c>
    </row>
    <row r="1103" ht="17.25" customHeight="1">
      <c r="A1103" s="152">
        <f>IF(INDEX('04A_국토부원자료'!$A:$A,ROW()+1)="","",ROW()-3)</f>
        <v/>
      </c>
      <c r="B1103" s="48">
        <f>IFERROR(INDEX('04A_국토부원자료'!$A:$T,ROW()+1,MATCH("시군구",'04A_국토부원자료'!$A$4:$T$4,0)),"")</f>
        <v/>
      </c>
      <c r="C1103" s="48">
        <f>IF(B1103="","",IFERROR(INDEX('04A_국토부원자료'!$A:$T,ROW()+1,MATCH("번지",'04A_국토부원자료'!$A$4:$T$4,0)),""))</f>
        <v/>
      </c>
      <c r="D1103" s="48">
        <f>IF(B1103="","",IF(Q1103=1,'02_대상물건입력'!$B$8,IFERROR(INDEX('04A_국토부원자료'!$A:$T,ROW()+1,MATCH("단지명",'04A_국토부원자료'!$A$4:$T$4,0)),"")))</f>
        <v/>
      </c>
      <c r="E1103" s="172">
        <f>IFERROR(VALUE(SUBSTITUTE(INDEX('04A_국토부원자료'!$A:$T,ROW()+1,MATCH("전용면적(㎡)",'04A_국토부원자료'!$A$4:$T$4,0)),",","")),"")</f>
        <v/>
      </c>
      <c r="F11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03" s="51">
        <f>IFERROR(VALUE(SUBSTITUTE(INDEX('04A_국토부원자료'!$A:$T,ROW()+1,MATCH("거래금액(만원)",'04A_국토부원자료'!$A$4:$T$4,0)),",","")),"")</f>
        <v/>
      </c>
      <c r="H1103" s="174">
        <f>IF(G1103="","",G1103*10000)</f>
        <v/>
      </c>
      <c r="I1103" s="174">
        <f>IFERROR(IF(AND(H1103&gt;0,E1103&gt;0),H1103/E1103,""),"")</f>
        <v/>
      </c>
      <c r="J1103" s="152">
        <f>IFERROR(VALUE(SUBSTITUTE(INDEX('04A_국토부원자료'!$A:$T,ROW()+1,MATCH("층",'04A_국토부원자료'!$A$4:$T$4,0)),",","")),"")</f>
        <v/>
      </c>
      <c r="K1103" s="152">
        <f>IFERROR(VALUE(SUBSTITUTE(INDEX('04A_국토부원자료'!$A:$T,ROW()+1,MATCH("건축년도",'04A_국토부원자료'!$A$4:$T$4,0)),",","")),"")</f>
        <v/>
      </c>
      <c r="L1103" s="176">
        <f>IFERROR(INDEX('04A_국토부원자료'!$A:$T,ROW()+1,MATCH("도로명",'04A_국토부원자료'!$A$4:$T$4,0)),"")</f>
        <v/>
      </c>
      <c r="M1103" s="48">
        <f>IFERROR(INDEX('04A_국토부원자료'!$A:$T,ROW()+1,MATCH("거래유형",'04A_국토부원자료'!$A$4:$T$4,0)),"")</f>
        <v/>
      </c>
      <c r="N1103" s="152">
        <f>IF(B1103="","",IF('02_대상물건입력'!B5="",1,IF(ISNUMBER(SEARCH('02_대상물건입력'!B5,B1103)),1,0)))</f>
        <v/>
      </c>
      <c r="O1103" s="152">
        <f>IF(B1103="","",IF('02_대상물건입력'!B6="",1,IF(ISNUMBER(SEARCH('02_대상물건입력'!B6,B1103)),1,0)))</f>
        <v/>
      </c>
      <c r="P1103" s="152">
        <f>IF(L1103="","",IF('02_대상물건입력'!B15="",0,IF(ISNUMBER(SEARCH('02_대상물건입력'!B15,L1103)),1,0)))</f>
        <v/>
      </c>
      <c r="Q1103" s="152">
        <f>IF(OR(C1103="",L1103=""),0,IF(AND(TRIM(C1103)=TRIM(RIGHT(SUBSTITUTE(TRIM('02_대상물건입력'!$B$7)," ",REPT(" ",99)),99)),IF('02_대상물건입력'!B15="",TRUE(),ISNUMBER(SEARCH('02_대상물건입력'!B15,L1103)))),1,0))</f>
        <v/>
      </c>
      <c r="R1103" s="175">
        <f>IFERROR(ABS(E1103-'02_대상물건입력'!B11)/'02_대상물건입력'!B11,"")</f>
        <v/>
      </c>
      <c r="S1103" s="152">
        <f>IFERROR(ABS(J1103-'02_대상물건입력'!B10),"")</f>
        <v/>
      </c>
      <c r="T1103" s="152">
        <f>IFERROR(ABS('01_설정'!B4-F1103),"")</f>
        <v/>
      </c>
      <c r="U1103" s="152">
        <f>IFERROR(ABS(K1103-YEAR('02_대상물건입력'!B14)),"")</f>
        <v/>
      </c>
      <c r="V1103" s="152">
        <f>IF(B1103="","",IF(AND(E1103&gt;0,F1103&gt;0,H1103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1103=1,TRUE()),R1103&lt;='01_설정'!B5,S1103&lt;='01_설정'!B6,T1103&lt;='01_설정'!B7,U1103&lt;='01_설정'!B8),"Y",""))</f>
        <v/>
      </c>
      <c r="W1103" s="172">
        <f>IF(V1103&lt;&gt;"Y","",MAX(0,(1-R1103/'01_설정'!B5))*'01_설정'!B14+MAX(0,(1-S1103/'01_설정'!B6))*'01_설정'!B15+MAX(0,(1-T1103/'01_설정'!B7))*'01_설정'!B16+MAX(0,(1-U1103/'01_설정'!B8))*'01_설정'!B17+O1103*'01_설정'!B11+Q1103*'01_설정'!B12+P1103*'01_설정'!B13+IF(Z1103="",0,Z1103))</f>
        <v/>
      </c>
      <c r="X1103" s="152">
        <f>IF(W1103="","",1+COUNTIFS($W$4:$W$3003,"&gt;"&amp;W1103)+COUNTIFS($W$4:W1103,W1103)-1)</f>
        <v/>
      </c>
      <c r="Y1103" s="175">
        <f>IF(OR(I1103="",'02_대상물건입력'!B19="",'02_대상물건입력'!B19&lt;=0),"",ABS(I1103-'02_대상물건입력'!B19)/'02_대상물건입력'!B19)</f>
        <v/>
      </c>
      <c r="Z1103" s="172">
        <f>IF(OR(Y1103="",'01_설정'!B31="",'01_설정'!B31&lt;=0,'01_설정'!B32="",'01_설정'!B32&lt;=0),"",MAX(0,(1-Y1103/'01_설정'!B32))*'01_설정'!B31)</f>
        <v/>
      </c>
    </row>
    <row r="1104" ht="17.25" customHeight="1">
      <c r="A1104" s="152">
        <f>IF(INDEX('04A_국토부원자료'!$A:$A,ROW()+1)="","",ROW()-3)</f>
        <v/>
      </c>
      <c r="B1104" s="48">
        <f>IFERROR(INDEX('04A_국토부원자료'!$A:$T,ROW()+1,MATCH("시군구",'04A_국토부원자료'!$A$4:$T$4,0)),"")</f>
        <v/>
      </c>
      <c r="C1104" s="48">
        <f>IF(B1104="","",IFERROR(INDEX('04A_국토부원자료'!$A:$T,ROW()+1,MATCH("번지",'04A_국토부원자료'!$A$4:$T$4,0)),""))</f>
        <v/>
      </c>
      <c r="D1104" s="48">
        <f>IF(B1104="","",IF(Q1104=1,'02_대상물건입력'!$B$8,IFERROR(INDEX('04A_국토부원자료'!$A:$T,ROW()+1,MATCH("단지명",'04A_국토부원자료'!$A$4:$T$4,0)),"")))</f>
        <v/>
      </c>
      <c r="E1104" s="172">
        <f>IFERROR(VALUE(SUBSTITUTE(INDEX('04A_국토부원자료'!$A:$T,ROW()+1,MATCH("전용면적(㎡)",'04A_국토부원자료'!$A$4:$T$4,0)),",","")),"")</f>
        <v/>
      </c>
      <c r="F11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04" s="51">
        <f>IFERROR(VALUE(SUBSTITUTE(INDEX('04A_국토부원자료'!$A:$T,ROW()+1,MATCH("거래금액(만원)",'04A_국토부원자료'!$A$4:$T$4,0)),",","")),"")</f>
        <v/>
      </c>
      <c r="H1104" s="174">
        <f>IF(G1104="","",G1104*10000)</f>
        <v/>
      </c>
      <c r="I1104" s="174">
        <f>IFERROR(IF(AND(H1104&gt;0,E1104&gt;0),H1104/E1104,""),"")</f>
        <v/>
      </c>
      <c r="J1104" s="152">
        <f>IFERROR(VALUE(SUBSTITUTE(INDEX('04A_국토부원자료'!$A:$T,ROW()+1,MATCH("층",'04A_국토부원자료'!$A$4:$T$4,0)),",","")),"")</f>
        <v/>
      </c>
      <c r="K1104" s="152">
        <f>IFERROR(VALUE(SUBSTITUTE(INDEX('04A_국토부원자료'!$A:$T,ROW()+1,MATCH("건축년도",'04A_국토부원자료'!$A$4:$T$4,0)),",","")),"")</f>
        <v/>
      </c>
      <c r="L1104" s="176">
        <f>IFERROR(INDEX('04A_국토부원자료'!$A:$T,ROW()+1,MATCH("도로명",'04A_국토부원자료'!$A$4:$T$4,0)),"")</f>
        <v/>
      </c>
      <c r="M1104" s="48">
        <f>IFERROR(INDEX('04A_국토부원자료'!$A:$T,ROW()+1,MATCH("거래유형",'04A_국토부원자료'!$A$4:$T$4,0)),"")</f>
        <v/>
      </c>
      <c r="N1104" s="152">
        <f>IF(B1104="","",IF('02_대상물건입력'!B5="",1,IF(ISNUMBER(SEARCH('02_대상물건입력'!B5,B1104)),1,0)))</f>
        <v/>
      </c>
      <c r="O1104" s="152">
        <f>IF(B1104="","",IF('02_대상물건입력'!B6="",1,IF(ISNUMBER(SEARCH('02_대상물건입력'!B6,B1104)),1,0)))</f>
        <v/>
      </c>
      <c r="P1104" s="152">
        <f>IF(L1104="","",IF('02_대상물건입력'!B15="",0,IF(ISNUMBER(SEARCH('02_대상물건입력'!B15,L1104)),1,0)))</f>
        <v/>
      </c>
      <c r="Q1104" s="152">
        <f>IF(OR(C1104="",L1104=""),0,IF(AND(TRIM(C1104)=TRIM(RIGHT(SUBSTITUTE(TRIM('02_대상물건입력'!$B$7)," ",REPT(" ",99)),99)),IF('02_대상물건입력'!B15="",TRUE(),ISNUMBER(SEARCH('02_대상물건입력'!B15,L1104)))),1,0))</f>
        <v/>
      </c>
      <c r="R1104" s="175">
        <f>IFERROR(ABS(E1104-'02_대상물건입력'!B11)/'02_대상물건입력'!B11,"")</f>
        <v/>
      </c>
      <c r="S1104" s="152">
        <f>IFERROR(ABS(J1104-'02_대상물건입력'!B10),"")</f>
        <v/>
      </c>
      <c r="T1104" s="152">
        <f>IFERROR(ABS('01_설정'!B4-F1104),"")</f>
        <v/>
      </c>
      <c r="U1104" s="152">
        <f>IFERROR(ABS(K1104-YEAR('02_대상물건입력'!B14)),"")</f>
        <v/>
      </c>
      <c r="V1104" s="152">
        <f>IF(B1104="","",IF(AND(E1104&gt;0,F1104&gt;0,H1104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1104=1,TRUE()),R1104&lt;='01_설정'!B5,S1104&lt;='01_설정'!B6,T1104&lt;='01_설정'!B7,U1104&lt;='01_설정'!B8),"Y",""))</f>
        <v/>
      </c>
      <c r="W1104" s="172">
        <f>IF(V1104&lt;&gt;"Y","",MAX(0,(1-R1104/'01_설정'!B5))*'01_설정'!B14+MAX(0,(1-S1104/'01_설정'!B6))*'01_설정'!B15+MAX(0,(1-T1104/'01_설정'!B7))*'01_설정'!B16+MAX(0,(1-U1104/'01_설정'!B8))*'01_설정'!B17+O1104*'01_설정'!B11+Q1104*'01_설정'!B12+P1104*'01_설정'!B13+IF(Z1104="",0,Z1104))</f>
        <v/>
      </c>
      <c r="X1104" s="152">
        <f>IF(W1104="","",1+COUNTIFS($W$4:$W$3003,"&gt;"&amp;W1104)+COUNTIFS($W$4:W1104,W1104)-1)</f>
        <v/>
      </c>
      <c r="Y1104" s="175">
        <f>IF(OR(I1104="",'02_대상물건입력'!B19="",'02_대상물건입력'!B19&lt;=0),"",ABS(I1104-'02_대상물건입력'!B19)/'02_대상물건입력'!B19)</f>
        <v/>
      </c>
      <c r="Z1104" s="172">
        <f>IF(OR(Y1104="",'01_설정'!B31="",'01_설정'!B31&lt;=0,'01_설정'!B32="",'01_설정'!B32&lt;=0),"",MAX(0,(1-Y1104/'01_설정'!B32))*'01_설정'!B31)</f>
        <v/>
      </c>
    </row>
    <row r="1105" ht="17.25" customHeight="1">
      <c r="A1105" s="152">
        <f>IF(INDEX('04A_국토부원자료'!$A:$A,ROW()+1)="","",ROW()-3)</f>
        <v/>
      </c>
      <c r="B1105" s="48">
        <f>IFERROR(INDEX('04A_국토부원자료'!$A:$T,ROW()+1,MATCH("시군구",'04A_국토부원자료'!$A$4:$T$4,0)),"")</f>
        <v/>
      </c>
      <c r="C1105" s="48">
        <f>IF(B1105="","",IFERROR(INDEX('04A_국토부원자료'!$A:$T,ROW()+1,MATCH("번지",'04A_국토부원자료'!$A$4:$T$4,0)),""))</f>
        <v/>
      </c>
      <c r="D1105" s="48">
        <f>IF(B1105="","",IF(Q1105=1,'02_대상물건입력'!$B$8,IFERROR(INDEX('04A_국토부원자료'!$A:$T,ROW()+1,MATCH("단지명",'04A_국토부원자료'!$A$4:$T$4,0)),"")))</f>
        <v/>
      </c>
      <c r="E1105" s="172">
        <f>IFERROR(VALUE(SUBSTITUTE(INDEX('04A_국토부원자료'!$A:$T,ROW()+1,MATCH("전용면적(㎡)",'04A_국토부원자료'!$A$4:$T$4,0)),",","")),"")</f>
        <v/>
      </c>
      <c r="F11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05" s="51">
        <f>IFERROR(VALUE(SUBSTITUTE(INDEX('04A_국토부원자료'!$A:$T,ROW()+1,MATCH("거래금액(만원)",'04A_국토부원자료'!$A$4:$T$4,0)),",","")),"")</f>
        <v/>
      </c>
      <c r="H1105" s="174">
        <f>IF(G1105="","",G1105*10000)</f>
        <v/>
      </c>
      <c r="I1105" s="174">
        <f>IFERROR(IF(AND(H1105&gt;0,E1105&gt;0),H1105/E1105,""),"")</f>
        <v/>
      </c>
      <c r="J1105" s="152">
        <f>IFERROR(VALUE(SUBSTITUTE(INDEX('04A_국토부원자료'!$A:$T,ROW()+1,MATCH("층",'04A_국토부원자료'!$A$4:$T$4,0)),",","")),"")</f>
        <v/>
      </c>
      <c r="K1105" s="152">
        <f>IFERROR(VALUE(SUBSTITUTE(INDEX('04A_국토부원자료'!$A:$T,ROW()+1,MATCH("건축년도",'04A_국토부원자료'!$A$4:$T$4,0)),",","")),"")</f>
        <v/>
      </c>
      <c r="L1105" s="176">
        <f>IFERROR(INDEX('04A_국토부원자료'!$A:$T,ROW()+1,MATCH("도로명",'04A_국토부원자료'!$A$4:$T$4,0)),"")</f>
        <v/>
      </c>
      <c r="M1105" s="48">
        <f>IFERROR(INDEX('04A_국토부원자료'!$A:$T,ROW()+1,MATCH("거래유형",'04A_국토부원자료'!$A$4:$T$4,0)),"")</f>
        <v/>
      </c>
      <c r="N1105" s="152">
        <f>IF(B1105="","",IF('02_대상물건입력'!B5="",1,IF(ISNUMBER(SEARCH('02_대상물건입력'!B5,B1105)),1,0)))</f>
        <v/>
      </c>
      <c r="O1105" s="152">
        <f>IF(B1105="","",IF('02_대상물건입력'!B6="",1,IF(ISNUMBER(SEARCH('02_대상물건입력'!B6,B1105)),1,0)))</f>
        <v/>
      </c>
      <c r="P1105" s="152">
        <f>IF(L1105="","",IF('02_대상물건입력'!B15="",0,IF(ISNUMBER(SEARCH('02_대상물건입력'!B15,L1105)),1,0)))</f>
        <v/>
      </c>
      <c r="Q1105" s="152">
        <f>IF(OR(C1105="",L1105=""),0,IF(AND(TRIM(C1105)=TRIM(RIGHT(SUBSTITUTE(TRIM('02_대상물건입력'!$B$7)," ",REPT(" ",99)),99)),IF('02_대상물건입력'!B15="",TRUE(),ISNUMBER(SEARCH('02_대상물건입력'!B15,L1105)))),1,0))</f>
        <v/>
      </c>
      <c r="R1105" s="175">
        <f>IFERROR(ABS(E1105-'02_대상물건입력'!B11)/'02_대상물건입력'!B11,"")</f>
        <v/>
      </c>
      <c r="S1105" s="152">
        <f>IFERROR(ABS(J1105-'02_대상물건입력'!B10),"")</f>
        <v/>
      </c>
      <c r="T1105" s="152">
        <f>IFERROR(ABS('01_설정'!B4-F1105),"")</f>
        <v/>
      </c>
      <c r="U1105" s="152">
        <f>IFERROR(ABS(K1105-YEAR('02_대상물건입력'!B14)),"")</f>
        <v/>
      </c>
      <c r="V1105" s="152">
        <f>IF(B1105="","",IF(AND(E1105&gt;0,F1105&gt;0,H1105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1105=1,TRUE()),R1105&lt;='01_설정'!B5,S1105&lt;='01_설정'!B6,T1105&lt;='01_설정'!B7,U1105&lt;='01_설정'!B8),"Y",""))</f>
        <v/>
      </c>
      <c r="W1105" s="172">
        <f>IF(V1105&lt;&gt;"Y","",MAX(0,(1-R1105/'01_설정'!B5))*'01_설정'!B14+MAX(0,(1-S1105/'01_설정'!B6))*'01_설정'!B15+MAX(0,(1-T1105/'01_설정'!B7))*'01_설정'!B16+MAX(0,(1-U1105/'01_설정'!B8))*'01_설정'!B17+O1105*'01_설정'!B11+Q1105*'01_설정'!B12+P1105*'01_설정'!B13+IF(Z1105="",0,Z1105))</f>
        <v/>
      </c>
      <c r="X1105" s="152">
        <f>IF(W1105="","",1+COUNTIFS($W$4:$W$3003,"&gt;"&amp;W1105)+COUNTIFS($W$4:W1105,W1105)-1)</f>
        <v/>
      </c>
      <c r="Y1105" s="175">
        <f>IF(OR(I1105="",'02_대상물건입력'!B19="",'02_대상물건입력'!B19&lt;=0),"",ABS(I1105-'02_대상물건입력'!B19)/'02_대상물건입력'!B19)</f>
        <v/>
      </c>
      <c r="Z1105" s="172">
        <f>IF(OR(Y1105="",'01_설정'!B31="",'01_설정'!B31&lt;=0,'01_설정'!B32="",'01_설정'!B32&lt;=0),"",MAX(0,(1-Y1105/'01_설정'!B32))*'01_설정'!B31)</f>
        <v/>
      </c>
    </row>
    <row r="1106" ht="17.25" customHeight="1">
      <c r="A1106" s="152">
        <f>IF(INDEX('04A_국토부원자료'!$A:$A,ROW()+1)="","",ROW()-3)</f>
        <v/>
      </c>
      <c r="B1106" s="48">
        <f>IFERROR(INDEX('04A_국토부원자료'!$A:$T,ROW()+1,MATCH("시군구",'04A_국토부원자료'!$A$4:$T$4,0)),"")</f>
        <v/>
      </c>
      <c r="C1106" s="48">
        <f>IF(B1106="","",IFERROR(INDEX('04A_국토부원자료'!$A:$T,ROW()+1,MATCH("번지",'04A_국토부원자료'!$A$4:$T$4,0)),""))</f>
        <v/>
      </c>
      <c r="D1106" s="48">
        <f>IF(B1106="","",IF(Q1106=1,'02_대상물건입력'!$B$8,IFERROR(INDEX('04A_국토부원자료'!$A:$T,ROW()+1,MATCH("단지명",'04A_국토부원자료'!$A$4:$T$4,0)),"")))</f>
        <v/>
      </c>
      <c r="E1106" s="172">
        <f>IFERROR(VALUE(SUBSTITUTE(INDEX('04A_국토부원자료'!$A:$T,ROW()+1,MATCH("전용면적(㎡)",'04A_국토부원자료'!$A$4:$T$4,0)),",","")),"")</f>
        <v/>
      </c>
      <c r="F11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06" s="51">
        <f>IFERROR(VALUE(SUBSTITUTE(INDEX('04A_국토부원자료'!$A:$T,ROW()+1,MATCH("거래금액(만원)",'04A_국토부원자료'!$A$4:$T$4,0)),",","")),"")</f>
        <v/>
      </c>
      <c r="H1106" s="174">
        <f>IF(G1106="","",G1106*10000)</f>
        <v/>
      </c>
      <c r="I1106" s="174">
        <f>IFERROR(IF(AND(H1106&gt;0,E1106&gt;0),H1106/E1106,""),"")</f>
        <v/>
      </c>
      <c r="J1106" s="152">
        <f>IFERROR(VALUE(SUBSTITUTE(INDEX('04A_국토부원자료'!$A:$T,ROW()+1,MATCH("층",'04A_국토부원자료'!$A$4:$T$4,0)),",","")),"")</f>
        <v/>
      </c>
      <c r="K1106" s="152">
        <f>IFERROR(VALUE(SUBSTITUTE(INDEX('04A_국토부원자료'!$A:$T,ROW()+1,MATCH("건축년도",'04A_국토부원자료'!$A$4:$T$4,0)),",","")),"")</f>
        <v/>
      </c>
      <c r="L1106" s="176">
        <f>IFERROR(INDEX('04A_국토부원자료'!$A:$T,ROW()+1,MATCH("도로명",'04A_국토부원자료'!$A$4:$T$4,0)),"")</f>
        <v/>
      </c>
      <c r="M1106" s="48">
        <f>IFERROR(INDEX('04A_국토부원자료'!$A:$T,ROW()+1,MATCH("거래유형",'04A_국토부원자료'!$A$4:$T$4,0)),"")</f>
        <v/>
      </c>
      <c r="N1106" s="152">
        <f>IF(B1106="","",IF('02_대상물건입력'!B5="",1,IF(ISNUMBER(SEARCH('02_대상물건입력'!B5,B1106)),1,0)))</f>
        <v/>
      </c>
      <c r="O1106" s="152">
        <f>IF(B1106="","",IF('02_대상물건입력'!B6="",1,IF(ISNUMBER(SEARCH('02_대상물건입력'!B6,B1106)),1,0)))</f>
        <v/>
      </c>
      <c r="P1106" s="152">
        <f>IF(L1106="","",IF('02_대상물건입력'!B15="",0,IF(ISNUMBER(SEARCH('02_대상물건입력'!B15,L1106)),1,0)))</f>
        <v/>
      </c>
      <c r="Q1106" s="152">
        <f>IF(OR(C1106="",L1106=""),0,IF(AND(TRIM(C1106)=TRIM(RIGHT(SUBSTITUTE(TRIM('02_대상물건입력'!$B$7)," ",REPT(" ",99)),99)),IF('02_대상물건입력'!B15="",TRUE(),ISNUMBER(SEARCH('02_대상물건입력'!B15,L1106)))),1,0))</f>
        <v/>
      </c>
      <c r="R1106" s="175">
        <f>IFERROR(ABS(E1106-'02_대상물건입력'!B11)/'02_대상물건입력'!B11,"")</f>
        <v/>
      </c>
      <c r="S1106" s="152">
        <f>IFERROR(ABS(J1106-'02_대상물건입력'!B10),"")</f>
        <v/>
      </c>
      <c r="T1106" s="152">
        <f>IFERROR(ABS('01_설정'!B4-F1106),"")</f>
        <v/>
      </c>
      <c r="U1106" s="152">
        <f>IFERROR(ABS(K1106-YEAR('02_대상물건입력'!B14)),"")</f>
        <v/>
      </c>
      <c r="V1106" s="152">
        <f>IF(B1106="","",IF(AND(E1106&gt;0,F1106&gt;0,H1106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1106=1,TRUE()),R1106&lt;='01_설정'!B5,S1106&lt;='01_설정'!B6,T1106&lt;='01_설정'!B7,U1106&lt;='01_설정'!B8),"Y",""))</f>
        <v/>
      </c>
      <c r="W1106" s="172">
        <f>IF(V1106&lt;&gt;"Y","",MAX(0,(1-R1106/'01_설정'!B5))*'01_설정'!B14+MAX(0,(1-S1106/'01_설정'!B6))*'01_설정'!B15+MAX(0,(1-T1106/'01_설정'!B7))*'01_설정'!B16+MAX(0,(1-U1106/'01_설정'!B8))*'01_설정'!B17+O1106*'01_설정'!B11+Q1106*'01_설정'!B12+P1106*'01_설정'!B13+IF(Z1106="",0,Z1106))</f>
        <v/>
      </c>
      <c r="X1106" s="152">
        <f>IF(W1106="","",1+COUNTIFS($W$4:$W$3003,"&gt;"&amp;W1106)+COUNTIFS($W$4:W1106,W1106)-1)</f>
        <v/>
      </c>
      <c r="Y1106" s="175">
        <f>IF(OR(I1106="",'02_대상물건입력'!B19="",'02_대상물건입력'!B19&lt;=0),"",ABS(I1106-'02_대상물건입력'!B19)/'02_대상물건입력'!B19)</f>
        <v/>
      </c>
      <c r="Z1106" s="172">
        <f>IF(OR(Y1106="",'01_설정'!B31="",'01_설정'!B31&lt;=0,'01_설정'!B32="",'01_설정'!B32&lt;=0),"",MAX(0,(1-Y1106/'01_설정'!B32))*'01_설정'!B31)</f>
        <v/>
      </c>
    </row>
    <row r="1107" ht="17.25" customHeight="1">
      <c r="A1107" s="152">
        <f>IF(INDEX('04A_국토부원자료'!$A:$A,ROW()+1)="","",ROW()-3)</f>
        <v/>
      </c>
      <c r="B1107" s="48">
        <f>IFERROR(INDEX('04A_국토부원자료'!$A:$T,ROW()+1,MATCH("시군구",'04A_국토부원자료'!$A$4:$T$4,0)),"")</f>
        <v/>
      </c>
      <c r="C1107" s="48">
        <f>IF(B1107="","",IFERROR(INDEX('04A_국토부원자료'!$A:$T,ROW()+1,MATCH("번지",'04A_국토부원자료'!$A$4:$T$4,0)),""))</f>
        <v/>
      </c>
      <c r="D1107" s="48">
        <f>IF(B1107="","",IF(Q1107=1,'02_대상물건입력'!$B$8,IFERROR(INDEX('04A_국토부원자료'!$A:$T,ROW()+1,MATCH("단지명",'04A_국토부원자료'!$A$4:$T$4,0)),"")))</f>
        <v/>
      </c>
      <c r="E1107" s="172">
        <f>IFERROR(VALUE(SUBSTITUTE(INDEX('04A_국토부원자료'!$A:$T,ROW()+1,MATCH("전용면적(㎡)",'04A_국토부원자료'!$A$4:$T$4,0)),",","")),"")</f>
        <v/>
      </c>
      <c r="F11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07" s="51">
        <f>IFERROR(VALUE(SUBSTITUTE(INDEX('04A_국토부원자료'!$A:$T,ROW()+1,MATCH("거래금액(만원)",'04A_국토부원자료'!$A$4:$T$4,0)),",","")),"")</f>
        <v/>
      </c>
      <c r="H1107" s="174">
        <f>IF(G1107="","",G1107*10000)</f>
        <v/>
      </c>
      <c r="I1107" s="174">
        <f>IFERROR(IF(AND(H1107&gt;0,E1107&gt;0),H1107/E1107,""),"")</f>
        <v/>
      </c>
      <c r="J1107" s="152">
        <f>IFERROR(VALUE(SUBSTITUTE(INDEX('04A_국토부원자료'!$A:$T,ROW()+1,MATCH("층",'04A_국토부원자료'!$A$4:$T$4,0)),",","")),"")</f>
        <v/>
      </c>
      <c r="K1107" s="152">
        <f>IFERROR(VALUE(SUBSTITUTE(INDEX('04A_국토부원자료'!$A:$T,ROW()+1,MATCH("건축년도",'04A_국토부원자료'!$A$4:$T$4,0)),",","")),"")</f>
        <v/>
      </c>
      <c r="L1107" s="176">
        <f>IFERROR(INDEX('04A_국토부원자료'!$A:$T,ROW()+1,MATCH("도로명",'04A_국토부원자료'!$A$4:$T$4,0)),"")</f>
        <v/>
      </c>
      <c r="M1107" s="48">
        <f>IFERROR(INDEX('04A_국토부원자료'!$A:$T,ROW()+1,MATCH("거래유형",'04A_국토부원자료'!$A$4:$T$4,0)),"")</f>
        <v/>
      </c>
      <c r="N1107" s="152">
        <f>IF(B1107="","",IF('02_대상물건입력'!B5="",1,IF(ISNUMBER(SEARCH('02_대상물건입력'!B5,B1107)),1,0)))</f>
        <v/>
      </c>
      <c r="O1107" s="152">
        <f>IF(B1107="","",IF('02_대상물건입력'!B6="",1,IF(ISNUMBER(SEARCH('02_대상물건입력'!B6,B1107)),1,0)))</f>
        <v/>
      </c>
      <c r="P1107" s="152">
        <f>IF(L1107="","",IF('02_대상물건입력'!B15="",0,IF(ISNUMBER(SEARCH('02_대상물건입력'!B15,L1107)),1,0)))</f>
        <v/>
      </c>
      <c r="Q1107" s="152">
        <f>IF(OR(C1107="",L1107=""),0,IF(AND(TRIM(C1107)=TRIM(RIGHT(SUBSTITUTE(TRIM('02_대상물건입력'!$B$7)," ",REPT(" ",99)),99)),IF('02_대상물건입력'!B15="",TRUE(),ISNUMBER(SEARCH('02_대상물건입력'!B15,L1107)))),1,0))</f>
        <v/>
      </c>
      <c r="R1107" s="175">
        <f>IFERROR(ABS(E1107-'02_대상물건입력'!B11)/'02_대상물건입력'!B11,"")</f>
        <v/>
      </c>
      <c r="S1107" s="152">
        <f>IFERROR(ABS(J1107-'02_대상물건입력'!B10),"")</f>
        <v/>
      </c>
      <c r="T1107" s="152">
        <f>IFERROR(ABS('01_설정'!B4-F1107),"")</f>
        <v/>
      </c>
      <c r="U1107" s="152">
        <f>IFERROR(ABS(K1107-YEAR('02_대상물건입력'!B14)),"")</f>
        <v/>
      </c>
      <c r="V1107" s="152">
        <f>IF(B1107="","",IF(AND(E1107&gt;0,F1107&gt;0,H1107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1107=1,TRUE()),R1107&lt;='01_설정'!B5,S1107&lt;='01_설정'!B6,T1107&lt;='01_설정'!B7,U1107&lt;='01_설정'!B8),"Y",""))</f>
        <v/>
      </c>
      <c r="W1107" s="172">
        <f>IF(V1107&lt;&gt;"Y","",MAX(0,(1-R1107/'01_설정'!B5))*'01_설정'!B14+MAX(0,(1-S1107/'01_설정'!B6))*'01_설정'!B15+MAX(0,(1-T1107/'01_설정'!B7))*'01_설정'!B16+MAX(0,(1-U1107/'01_설정'!B8))*'01_설정'!B17+O1107*'01_설정'!B11+Q1107*'01_설정'!B12+P1107*'01_설정'!B13+IF(Z1107="",0,Z1107))</f>
        <v/>
      </c>
      <c r="X1107" s="152">
        <f>IF(W1107="","",1+COUNTIFS($W$4:$W$3003,"&gt;"&amp;W1107)+COUNTIFS($W$4:W1107,W1107)-1)</f>
        <v/>
      </c>
      <c r="Y1107" s="175">
        <f>IF(OR(I1107="",'02_대상물건입력'!B19="",'02_대상물건입력'!B19&lt;=0),"",ABS(I1107-'02_대상물건입력'!B19)/'02_대상물건입력'!B19)</f>
        <v/>
      </c>
      <c r="Z1107" s="172">
        <f>IF(OR(Y1107="",'01_설정'!B31="",'01_설정'!B31&lt;=0,'01_설정'!B32="",'01_설정'!B32&lt;=0),"",MAX(0,(1-Y1107/'01_설정'!B32))*'01_설정'!B31)</f>
        <v/>
      </c>
    </row>
    <row r="1108" ht="17.25" customHeight="1">
      <c r="A1108" s="152">
        <f>IF(INDEX('04A_국토부원자료'!$A:$A,ROW()+1)="","",ROW()-3)</f>
        <v/>
      </c>
      <c r="B1108" s="48">
        <f>IFERROR(INDEX('04A_국토부원자료'!$A:$T,ROW()+1,MATCH("시군구",'04A_국토부원자료'!$A$4:$T$4,0)),"")</f>
        <v/>
      </c>
      <c r="C1108" s="48">
        <f>IF(B1108="","",IFERROR(INDEX('04A_국토부원자료'!$A:$T,ROW()+1,MATCH("번지",'04A_국토부원자료'!$A$4:$T$4,0)),""))</f>
        <v/>
      </c>
      <c r="D1108" s="48">
        <f>IF(B1108="","",IF(Q1108=1,'02_대상물건입력'!$B$8,IFERROR(INDEX('04A_국토부원자료'!$A:$T,ROW()+1,MATCH("단지명",'04A_국토부원자료'!$A$4:$T$4,0)),"")))</f>
        <v/>
      </c>
      <c r="E1108" s="172">
        <f>IFERROR(VALUE(SUBSTITUTE(INDEX('04A_국토부원자료'!$A:$T,ROW()+1,MATCH("전용면적(㎡)",'04A_국토부원자료'!$A$4:$T$4,0)),",","")),"")</f>
        <v/>
      </c>
      <c r="F11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08" s="51">
        <f>IFERROR(VALUE(SUBSTITUTE(INDEX('04A_국토부원자료'!$A:$T,ROW()+1,MATCH("거래금액(만원)",'04A_국토부원자료'!$A$4:$T$4,0)),",","")),"")</f>
        <v/>
      </c>
      <c r="H1108" s="174">
        <f>IF(G1108="","",G1108*10000)</f>
        <v/>
      </c>
      <c r="I1108" s="174">
        <f>IFERROR(IF(AND(H1108&gt;0,E1108&gt;0),H1108/E1108,""),"")</f>
        <v/>
      </c>
      <c r="J1108" s="152">
        <f>IFERROR(VALUE(SUBSTITUTE(INDEX('04A_국토부원자료'!$A:$T,ROW()+1,MATCH("층",'04A_국토부원자료'!$A$4:$T$4,0)),",","")),"")</f>
        <v/>
      </c>
      <c r="K1108" s="152">
        <f>IFERROR(VALUE(SUBSTITUTE(INDEX('04A_국토부원자료'!$A:$T,ROW()+1,MATCH("건축년도",'04A_국토부원자료'!$A$4:$T$4,0)),",","")),"")</f>
        <v/>
      </c>
      <c r="L1108" s="176">
        <f>IFERROR(INDEX('04A_국토부원자료'!$A:$T,ROW()+1,MATCH("도로명",'04A_국토부원자료'!$A$4:$T$4,0)),"")</f>
        <v/>
      </c>
      <c r="M1108" s="48">
        <f>IFERROR(INDEX('04A_국토부원자료'!$A:$T,ROW()+1,MATCH("거래유형",'04A_국토부원자료'!$A$4:$T$4,0)),"")</f>
        <v/>
      </c>
      <c r="N1108" s="152">
        <f>IF(B1108="","",IF('02_대상물건입력'!B5="",1,IF(ISNUMBER(SEARCH('02_대상물건입력'!B5,B1108)),1,0)))</f>
        <v/>
      </c>
      <c r="O1108" s="152">
        <f>IF(B1108="","",IF('02_대상물건입력'!B6="",1,IF(ISNUMBER(SEARCH('02_대상물건입력'!B6,B1108)),1,0)))</f>
        <v/>
      </c>
      <c r="P1108" s="152">
        <f>IF(L1108="","",IF('02_대상물건입력'!B15="",0,IF(ISNUMBER(SEARCH('02_대상물건입력'!B15,L1108)),1,0)))</f>
        <v/>
      </c>
      <c r="Q1108" s="152">
        <f>IF(OR(C1108="",L1108=""),0,IF(AND(TRIM(C1108)=TRIM(RIGHT(SUBSTITUTE(TRIM('02_대상물건입력'!$B$7)," ",REPT(" ",99)),99)),IF('02_대상물건입력'!B15="",TRUE(),ISNUMBER(SEARCH('02_대상물건입력'!B15,L1108)))),1,0))</f>
        <v/>
      </c>
      <c r="R1108" s="175">
        <f>IFERROR(ABS(E1108-'02_대상물건입력'!B11)/'02_대상물건입력'!B11,"")</f>
        <v/>
      </c>
      <c r="S1108" s="152">
        <f>IFERROR(ABS(J1108-'02_대상물건입력'!B10),"")</f>
        <v/>
      </c>
      <c r="T1108" s="152">
        <f>IFERROR(ABS('01_설정'!B4-F1108),"")</f>
        <v/>
      </c>
      <c r="U1108" s="152">
        <f>IFERROR(ABS(K1108-YEAR('02_대상물건입력'!B14)),"")</f>
        <v/>
      </c>
      <c r="V1108" s="152">
        <f>IF(B1108="","",IF(AND(E1108&gt;0,F1108&gt;0,H1108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1108=1,TRUE()),R1108&lt;='01_설정'!B5,S1108&lt;='01_설정'!B6,T1108&lt;='01_설정'!B7,U1108&lt;='01_설정'!B8),"Y",""))</f>
        <v/>
      </c>
      <c r="W1108" s="172">
        <f>IF(V1108&lt;&gt;"Y","",MAX(0,(1-R1108/'01_설정'!B5))*'01_설정'!B14+MAX(0,(1-S1108/'01_설정'!B6))*'01_설정'!B15+MAX(0,(1-T1108/'01_설정'!B7))*'01_설정'!B16+MAX(0,(1-U1108/'01_설정'!B8))*'01_설정'!B17+O1108*'01_설정'!B11+Q1108*'01_설정'!B12+P1108*'01_설정'!B13+IF(Z1108="",0,Z1108))</f>
        <v/>
      </c>
      <c r="X1108" s="152">
        <f>IF(W1108="","",1+COUNTIFS($W$4:$W$3003,"&gt;"&amp;W1108)+COUNTIFS($W$4:W1108,W1108)-1)</f>
        <v/>
      </c>
      <c r="Y1108" s="175">
        <f>IF(OR(I1108="",'02_대상물건입력'!B19="",'02_대상물건입력'!B19&lt;=0),"",ABS(I1108-'02_대상물건입력'!B19)/'02_대상물건입력'!B19)</f>
        <v/>
      </c>
      <c r="Z1108" s="172">
        <f>IF(OR(Y1108="",'01_설정'!B31="",'01_설정'!B31&lt;=0,'01_설정'!B32="",'01_설정'!B32&lt;=0),"",MAX(0,(1-Y1108/'01_설정'!B32))*'01_설정'!B31)</f>
        <v/>
      </c>
    </row>
    <row r="1109" ht="17.25" customHeight="1">
      <c r="A1109" s="152">
        <f>IF(INDEX('04A_국토부원자료'!$A:$A,ROW()+1)="","",ROW()-3)</f>
        <v/>
      </c>
      <c r="B1109" s="48">
        <f>IFERROR(INDEX('04A_국토부원자료'!$A:$T,ROW()+1,MATCH("시군구",'04A_국토부원자료'!$A$4:$T$4,0)),"")</f>
        <v/>
      </c>
      <c r="C1109" s="48">
        <f>IF(B1109="","",IFERROR(INDEX('04A_국토부원자료'!$A:$T,ROW()+1,MATCH("번지",'04A_국토부원자료'!$A$4:$T$4,0)),""))</f>
        <v/>
      </c>
      <c r="D1109" s="48">
        <f>IF(B1109="","",IF(Q1109=1,'02_대상물건입력'!$B$8,IFERROR(INDEX('04A_국토부원자료'!$A:$T,ROW()+1,MATCH("단지명",'04A_국토부원자료'!$A$4:$T$4,0)),"")))</f>
        <v/>
      </c>
      <c r="E1109" s="172">
        <f>IFERROR(VALUE(SUBSTITUTE(INDEX('04A_국토부원자료'!$A:$T,ROW()+1,MATCH("전용면적(㎡)",'04A_국토부원자료'!$A$4:$T$4,0)),",","")),"")</f>
        <v/>
      </c>
      <c r="F11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09" s="51">
        <f>IFERROR(VALUE(SUBSTITUTE(INDEX('04A_국토부원자료'!$A:$T,ROW()+1,MATCH("거래금액(만원)",'04A_국토부원자료'!$A$4:$T$4,0)),",","")),"")</f>
        <v/>
      </c>
      <c r="H1109" s="174">
        <f>IF(G1109="","",G1109*10000)</f>
        <v/>
      </c>
      <c r="I1109" s="174">
        <f>IFERROR(IF(AND(H1109&gt;0,E1109&gt;0),H1109/E1109,""),"")</f>
        <v/>
      </c>
      <c r="J1109" s="152">
        <f>IFERROR(VALUE(SUBSTITUTE(INDEX('04A_국토부원자료'!$A:$T,ROW()+1,MATCH("층",'04A_국토부원자료'!$A$4:$T$4,0)),",","")),"")</f>
        <v/>
      </c>
      <c r="K1109" s="152">
        <f>IFERROR(VALUE(SUBSTITUTE(INDEX('04A_국토부원자료'!$A:$T,ROW()+1,MATCH("건축년도",'04A_국토부원자료'!$A$4:$T$4,0)),",","")),"")</f>
        <v/>
      </c>
      <c r="L1109" s="176">
        <f>IFERROR(INDEX('04A_국토부원자료'!$A:$T,ROW()+1,MATCH("도로명",'04A_국토부원자료'!$A$4:$T$4,0)),"")</f>
        <v/>
      </c>
      <c r="M1109" s="48">
        <f>IFERROR(INDEX('04A_국토부원자료'!$A:$T,ROW()+1,MATCH("거래유형",'04A_국토부원자료'!$A$4:$T$4,0)),"")</f>
        <v/>
      </c>
      <c r="N1109" s="152">
        <f>IF(B1109="","",IF('02_대상물건입력'!B5="",1,IF(ISNUMBER(SEARCH('02_대상물건입력'!B5,B1109)),1,0)))</f>
        <v/>
      </c>
      <c r="O1109" s="152">
        <f>IF(B1109="","",IF('02_대상물건입력'!B6="",1,IF(ISNUMBER(SEARCH('02_대상물건입력'!B6,B1109)),1,0)))</f>
        <v/>
      </c>
      <c r="P1109" s="152">
        <f>IF(L1109="","",IF('02_대상물건입력'!B15="",0,IF(ISNUMBER(SEARCH('02_대상물건입력'!B15,L1109)),1,0)))</f>
        <v/>
      </c>
      <c r="Q1109" s="152">
        <f>IF(OR(C1109="",L1109=""),0,IF(AND(TRIM(C1109)=TRIM(RIGHT(SUBSTITUTE(TRIM('02_대상물건입력'!$B$7)," ",REPT(" ",99)),99)),IF('02_대상물건입력'!B15="",TRUE(),ISNUMBER(SEARCH('02_대상물건입력'!B15,L1109)))),1,0))</f>
        <v/>
      </c>
      <c r="R1109" s="175">
        <f>IFERROR(ABS(E1109-'02_대상물건입력'!B11)/'02_대상물건입력'!B11,"")</f>
        <v/>
      </c>
      <c r="S1109" s="152">
        <f>IFERROR(ABS(J1109-'02_대상물건입력'!B10),"")</f>
        <v/>
      </c>
      <c r="T1109" s="152">
        <f>IFERROR(ABS('01_설정'!B4-F1109),"")</f>
        <v/>
      </c>
      <c r="U1109" s="152">
        <f>IFERROR(ABS(K1109-YEAR('02_대상물건입력'!B14)),"")</f>
        <v/>
      </c>
      <c r="V1109" s="152">
        <f>IF(B1109="","",IF(AND(E1109&gt;0,F1109&gt;0,H1109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1109=1,TRUE()),R1109&lt;='01_설정'!B5,S1109&lt;='01_설정'!B6,T1109&lt;='01_설정'!B7,U1109&lt;='01_설정'!B8),"Y",""))</f>
        <v/>
      </c>
      <c r="W1109" s="172">
        <f>IF(V1109&lt;&gt;"Y","",MAX(0,(1-R1109/'01_설정'!B5))*'01_설정'!B14+MAX(0,(1-S1109/'01_설정'!B6))*'01_설정'!B15+MAX(0,(1-T1109/'01_설정'!B7))*'01_설정'!B16+MAX(0,(1-U1109/'01_설정'!B8))*'01_설정'!B17+O1109*'01_설정'!B11+Q1109*'01_설정'!B12+P1109*'01_설정'!B13+IF(Z1109="",0,Z1109))</f>
        <v/>
      </c>
      <c r="X1109" s="152">
        <f>IF(W1109="","",1+COUNTIFS($W$4:$W$3003,"&gt;"&amp;W1109)+COUNTIFS($W$4:W1109,W1109)-1)</f>
        <v/>
      </c>
      <c r="Y1109" s="175">
        <f>IF(OR(I1109="",'02_대상물건입력'!B19="",'02_대상물건입력'!B19&lt;=0),"",ABS(I1109-'02_대상물건입력'!B19)/'02_대상물건입력'!B19)</f>
        <v/>
      </c>
      <c r="Z1109" s="172">
        <f>IF(OR(Y1109="",'01_설정'!B31="",'01_설정'!B31&lt;=0,'01_설정'!B32="",'01_설정'!B32&lt;=0),"",MAX(0,(1-Y1109/'01_설정'!B32))*'01_설정'!B31)</f>
        <v/>
      </c>
    </row>
    <row r="1110" ht="17.25" customHeight="1">
      <c r="A1110" s="152">
        <f>IF(INDEX('04A_국토부원자료'!$A:$A,ROW()+1)="","",ROW()-3)</f>
        <v/>
      </c>
      <c r="B1110" s="48">
        <f>IFERROR(INDEX('04A_국토부원자료'!$A:$T,ROW()+1,MATCH("시군구",'04A_국토부원자료'!$A$4:$T$4,0)),"")</f>
        <v/>
      </c>
      <c r="C1110" s="48">
        <f>IF(B1110="","",IFERROR(INDEX('04A_국토부원자료'!$A:$T,ROW()+1,MATCH("번지",'04A_국토부원자료'!$A$4:$T$4,0)),""))</f>
        <v/>
      </c>
      <c r="D1110" s="48">
        <f>IF(B1110="","",IF(Q1110=1,'02_대상물건입력'!$B$8,IFERROR(INDEX('04A_국토부원자료'!$A:$T,ROW()+1,MATCH("단지명",'04A_국토부원자료'!$A$4:$T$4,0)),"")))</f>
        <v/>
      </c>
      <c r="E1110" s="172">
        <f>IFERROR(VALUE(SUBSTITUTE(INDEX('04A_국토부원자료'!$A:$T,ROW()+1,MATCH("전용면적(㎡)",'04A_국토부원자료'!$A$4:$T$4,0)),",","")),"")</f>
        <v/>
      </c>
      <c r="F11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10" s="51">
        <f>IFERROR(VALUE(SUBSTITUTE(INDEX('04A_국토부원자료'!$A:$T,ROW()+1,MATCH("거래금액(만원)",'04A_국토부원자료'!$A$4:$T$4,0)),",","")),"")</f>
        <v/>
      </c>
      <c r="H1110" s="174">
        <f>IF(G1110="","",G1110*10000)</f>
        <v/>
      </c>
      <c r="I1110" s="174">
        <f>IFERROR(IF(AND(H1110&gt;0,E1110&gt;0),H1110/E1110,""),"")</f>
        <v/>
      </c>
      <c r="J1110" s="152">
        <f>IFERROR(VALUE(SUBSTITUTE(INDEX('04A_국토부원자료'!$A:$T,ROW()+1,MATCH("층",'04A_국토부원자료'!$A$4:$T$4,0)),",","")),"")</f>
        <v/>
      </c>
      <c r="K1110" s="152">
        <f>IFERROR(VALUE(SUBSTITUTE(INDEX('04A_국토부원자료'!$A:$T,ROW()+1,MATCH("건축년도",'04A_국토부원자료'!$A$4:$T$4,0)),",","")),"")</f>
        <v/>
      </c>
      <c r="L1110" s="176">
        <f>IFERROR(INDEX('04A_국토부원자료'!$A:$T,ROW()+1,MATCH("도로명",'04A_국토부원자료'!$A$4:$T$4,0)),"")</f>
        <v/>
      </c>
      <c r="M1110" s="48">
        <f>IFERROR(INDEX('04A_국토부원자료'!$A:$T,ROW()+1,MATCH("거래유형",'04A_국토부원자료'!$A$4:$T$4,0)),"")</f>
        <v/>
      </c>
      <c r="N1110" s="152">
        <f>IF(B1110="","",IF('02_대상물건입력'!B5="",1,IF(ISNUMBER(SEARCH('02_대상물건입력'!B5,B1110)),1,0)))</f>
        <v/>
      </c>
      <c r="O1110" s="152">
        <f>IF(B1110="","",IF('02_대상물건입력'!B6="",1,IF(ISNUMBER(SEARCH('02_대상물건입력'!B6,B1110)),1,0)))</f>
        <v/>
      </c>
      <c r="P1110" s="152">
        <f>IF(L1110="","",IF('02_대상물건입력'!B15="",0,IF(ISNUMBER(SEARCH('02_대상물건입력'!B15,L1110)),1,0)))</f>
        <v/>
      </c>
      <c r="Q1110" s="152">
        <f>IF(OR(C1110="",L1110=""),0,IF(AND(TRIM(C1110)=TRIM(RIGHT(SUBSTITUTE(TRIM('02_대상물건입력'!$B$7)," ",REPT(" ",99)),99)),IF('02_대상물건입력'!B15="",TRUE(),ISNUMBER(SEARCH('02_대상물건입력'!B15,L1110)))),1,0))</f>
        <v/>
      </c>
      <c r="R1110" s="175">
        <f>IFERROR(ABS(E1110-'02_대상물건입력'!B11)/'02_대상물건입력'!B11,"")</f>
        <v/>
      </c>
      <c r="S1110" s="152">
        <f>IFERROR(ABS(J1110-'02_대상물건입력'!B10),"")</f>
        <v/>
      </c>
      <c r="T1110" s="152">
        <f>IFERROR(ABS('01_설정'!B4-F1110),"")</f>
        <v/>
      </c>
      <c r="U1110" s="152">
        <f>IFERROR(ABS(K1110-YEAR('02_대상물건입력'!B14)),"")</f>
        <v/>
      </c>
      <c r="V1110" s="152">
        <f>IF(B1110="","",IF(AND(E1110&gt;0,F1110&gt;0,H1110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1110=1,TRUE()),R1110&lt;='01_설정'!B5,S1110&lt;='01_설정'!B6,T1110&lt;='01_설정'!B7,U1110&lt;='01_설정'!B8),"Y",""))</f>
        <v/>
      </c>
      <c r="W1110" s="172">
        <f>IF(V1110&lt;&gt;"Y","",MAX(0,(1-R1110/'01_설정'!B5))*'01_설정'!B14+MAX(0,(1-S1110/'01_설정'!B6))*'01_설정'!B15+MAX(0,(1-T1110/'01_설정'!B7))*'01_설정'!B16+MAX(0,(1-U1110/'01_설정'!B8))*'01_설정'!B17+O1110*'01_설정'!B11+Q1110*'01_설정'!B12+P1110*'01_설정'!B13+IF(Z1110="",0,Z1110))</f>
        <v/>
      </c>
      <c r="X1110" s="152">
        <f>IF(W1110="","",1+COUNTIFS($W$4:$W$3003,"&gt;"&amp;W1110)+COUNTIFS($W$4:W1110,W1110)-1)</f>
        <v/>
      </c>
      <c r="Y1110" s="175">
        <f>IF(OR(I1110="",'02_대상물건입력'!B19="",'02_대상물건입력'!B19&lt;=0),"",ABS(I1110-'02_대상물건입력'!B19)/'02_대상물건입력'!B19)</f>
        <v/>
      </c>
      <c r="Z1110" s="172">
        <f>IF(OR(Y1110="",'01_설정'!B31="",'01_설정'!B31&lt;=0,'01_설정'!B32="",'01_설정'!B32&lt;=0),"",MAX(0,(1-Y1110/'01_설정'!B32))*'01_설정'!B31)</f>
        <v/>
      </c>
    </row>
    <row r="1111" ht="17.25" customHeight="1">
      <c r="A1111" s="152">
        <f>IF(INDEX('04A_국토부원자료'!$A:$A,ROW()+1)="","",ROW()-3)</f>
        <v/>
      </c>
      <c r="B1111" s="48">
        <f>IFERROR(INDEX('04A_국토부원자료'!$A:$T,ROW()+1,MATCH("시군구",'04A_국토부원자료'!$A$4:$T$4,0)),"")</f>
        <v/>
      </c>
      <c r="C1111" s="48">
        <f>IF(B1111="","",IFERROR(INDEX('04A_국토부원자료'!$A:$T,ROW()+1,MATCH("번지",'04A_국토부원자료'!$A$4:$T$4,0)),""))</f>
        <v/>
      </c>
      <c r="D1111" s="48">
        <f>IF(B1111="","",IF(Q1111=1,'02_대상물건입력'!$B$8,IFERROR(INDEX('04A_국토부원자료'!$A:$T,ROW()+1,MATCH("단지명",'04A_국토부원자료'!$A$4:$T$4,0)),"")))</f>
        <v/>
      </c>
      <c r="E1111" s="172">
        <f>IFERROR(VALUE(SUBSTITUTE(INDEX('04A_국토부원자료'!$A:$T,ROW()+1,MATCH("전용면적(㎡)",'04A_국토부원자료'!$A$4:$T$4,0)),",","")),"")</f>
        <v/>
      </c>
      <c r="F11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11" s="51">
        <f>IFERROR(VALUE(SUBSTITUTE(INDEX('04A_국토부원자료'!$A:$T,ROW()+1,MATCH("거래금액(만원)",'04A_국토부원자료'!$A$4:$T$4,0)),",","")),"")</f>
        <v/>
      </c>
      <c r="H1111" s="174">
        <f>IF(G1111="","",G1111*10000)</f>
        <v/>
      </c>
      <c r="I1111" s="174">
        <f>IFERROR(IF(AND(H1111&gt;0,E1111&gt;0),H1111/E1111,""),"")</f>
        <v/>
      </c>
      <c r="J1111" s="152">
        <f>IFERROR(VALUE(SUBSTITUTE(INDEX('04A_국토부원자료'!$A:$T,ROW()+1,MATCH("층",'04A_국토부원자료'!$A$4:$T$4,0)),",","")),"")</f>
        <v/>
      </c>
      <c r="K1111" s="152">
        <f>IFERROR(VALUE(SUBSTITUTE(INDEX('04A_국토부원자료'!$A:$T,ROW()+1,MATCH("건축년도",'04A_국토부원자료'!$A$4:$T$4,0)),",","")),"")</f>
        <v/>
      </c>
      <c r="L1111" s="176">
        <f>IFERROR(INDEX('04A_국토부원자료'!$A:$T,ROW()+1,MATCH("도로명",'04A_국토부원자료'!$A$4:$T$4,0)),"")</f>
        <v/>
      </c>
      <c r="M1111" s="48">
        <f>IFERROR(INDEX('04A_국토부원자료'!$A:$T,ROW()+1,MATCH("거래유형",'04A_국토부원자료'!$A$4:$T$4,0)),"")</f>
        <v/>
      </c>
      <c r="N1111" s="152">
        <f>IF(B1111="","",IF('02_대상물건입력'!B5="",1,IF(ISNUMBER(SEARCH('02_대상물건입력'!B5,B1111)),1,0)))</f>
        <v/>
      </c>
      <c r="O1111" s="152">
        <f>IF(B1111="","",IF('02_대상물건입력'!B6="",1,IF(ISNUMBER(SEARCH('02_대상물건입력'!B6,B1111)),1,0)))</f>
        <v/>
      </c>
      <c r="P1111" s="152">
        <f>IF(L1111="","",IF('02_대상물건입력'!B15="",0,IF(ISNUMBER(SEARCH('02_대상물건입력'!B15,L1111)),1,0)))</f>
        <v/>
      </c>
      <c r="Q1111" s="152">
        <f>IF(OR(C1111="",L1111=""),0,IF(AND(TRIM(C1111)=TRIM(RIGHT(SUBSTITUTE(TRIM('02_대상물건입력'!$B$7)," ",REPT(" ",99)),99)),IF('02_대상물건입력'!B15="",TRUE(),ISNUMBER(SEARCH('02_대상물건입력'!B15,L1111)))),1,0))</f>
        <v/>
      </c>
      <c r="R1111" s="175">
        <f>IFERROR(ABS(E1111-'02_대상물건입력'!B11)/'02_대상물건입력'!B11,"")</f>
        <v/>
      </c>
      <c r="S1111" s="152">
        <f>IFERROR(ABS(J1111-'02_대상물건입력'!B10),"")</f>
        <v/>
      </c>
      <c r="T1111" s="152">
        <f>IFERROR(ABS('01_설정'!B4-F1111),"")</f>
        <v/>
      </c>
      <c r="U1111" s="152">
        <f>IFERROR(ABS(K1111-YEAR('02_대상물건입력'!B14)),"")</f>
        <v/>
      </c>
      <c r="V1111" s="152">
        <f>IF(B1111="","",IF(AND(E1111&gt;0,F1111&gt;0,H1111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1111=1,TRUE()),R1111&lt;='01_설정'!B5,S1111&lt;='01_설정'!B6,T1111&lt;='01_설정'!B7,U1111&lt;='01_설정'!B8),"Y",""))</f>
        <v/>
      </c>
      <c r="W1111" s="172">
        <f>IF(V1111&lt;&gt;"Y","",MAX(0,(1-R1111/'01_설정'!B5))*'01_설정'!B14+MAX(0,(1-S1111/'01_설정'!B6))*'01_설정'!B15+MAX(0,(1-T1111/'01_설정'!B7))*'01_설정'!B16+MAX(0,(1-U1111/'01_설정'!B8))*'01_설정'!B17+O1111*'01_설정'!B11+Q1111*'01_설정'!B12+P1111*'01_설정'!B13+IF(Z1111="",0,Z1111))</f>
        <v/>
      </c>
      <c r="X1111" s="152">
        <f>IF(W1111="","",1+COUNTIFS($W$4:$W$3003,"&gt;"&amp;W1111)+COUNTIFS($W$4:W1111,W1111)-1)</f>
        <v/>
      </c>
      <c r="Y1111" s="175">
        <f>IF(OR(I1111="",'02_대상물건입력'!B19="",'02_대상물건입력'!B19&lt;=0),"",ABS(I1111-'02_대상물건입력'!B19)/'02_대상물건입력'!B19)</f>
        <v/>
      </c>
      <c r="Z1111" s="172">
        <f>IF(OR(Y1111="",'01_설정'!B31="",'01_설정'!B31&lt;=0,'01_설정'!B32="",'01_설정'!B32&lt;=0),"",MAX(0,(1-Y1111/'01_설정'!B32))*'01_설정'!B31)</f>
        <v/>
      </c>
    </row>
    <row r="1112" ht="17.25" customHeight="1">
      <c r="A1112" s="152">
        <f>IF(INDEX('04A_국토부원자료'!$A:$A,ROW()+1)="","",ROW()-3)</f>
        <v/>
      </c>
      <c r="B1112" s="48">
        <f>IFERROR(INDEX('04A_국토부원자료'!$A:$T,ROW()+1,MATCH("시군구",'04A_국토부원자료'!$A$4:$T$4,0)),"")</f>
        <v/>
      </c>
      <c r="C1112" s="48">
        <f>IF(B1112="","",IFERROR(INDEX('04A_국토부원자료'!$A:$T,ROW()+1,MATCH("번지",'04A_국토부원자료'!$A$4:$T$4,0)),""))</f>
        <v/>
      </c>
      <c r="D1112" s="48">
        <f>IF(B1112="","",IF(Q1112=1,'02_대상물건입력'!$B$8,IFERROR(INDEX('04A_국토부원자료'!$A:$T,ROW()+1,MATCH("단지명",'04A_국토부원자료'!$A$4:$T$4,0)),"")))</f>
        <v/>
      </c>
      <c r="E1112" s="172">
        <f>IFERROR(VALUE(SUBSTITUTE(INDEX('04A_국토부원자료'!$A:$T,ROW()+1,MATCH("전용면적(㎡)",'04A_국토부원자료'!$A$4:$T$4,0)),",","")),"")</f>
        <v/>
      </c>
      <c r="F11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12" s="51">
        <f>IFERROR(VALUE(SUBSTITUTE(INDEX('04A_국토부원자료'!$A:$T,ROW()+1,MATCH("거래금액(만원)",'04A_국토부원자료'!$A$4:$T$4,0)),",","")),"")</f>
        <v/>
      </c>
      <c r="H1112" s="174">
        <f>IF(G1112="","",G1112*10000)</f>
        <v/>
      </c>
      <c r="I1112" s="174">
        <f>IFERROR(IF(AND(H1112&gt;0,E1112&gt;0),H1112/E1112,""),"")</f>
        <v/>
      </c>
      <c r="J1112" s="152">
        <f>IFERROR(VALUE(SUBSTITUTE(INDEX('04A_국토부원자료'!$A:$T,ROW()+1,MATCH("층",'04A_국토부원자료'!$A$4:$T$4,0)),",","")),"")</f>
        <v/>
      </c>
      <c r="K1112" s="152">
        <f>IFERROR(VALUE(SUBSTITUTE(INDEX('04A_국토부원자료'!$A:$T,ROW()+1,MATCH("건축년도",'04A_국토부원자료'!$A$4:$T$4,0)),",","")),"")</f>
        <v/>
      </c>
      <c r="L1112" s="176">
        <f>IFERROR(INDEX('04A_국토부원자료'!$A:$T,ROW()+1,MATCH("도로명",'04A_국토부원자료'!$A$4:$T$4,0)),"")</f>
        <v/>
      </c>
      <c r="M1112" s="48">
        <f>IFERROR(INDEX('04A_국토부원자료'!$A:$T,ROW()+1,MATCH("거래유형",'04A_국토부원자료'!$A$4:$T$4,0)),"")</f>
        <v/>
      </c>
      <c r="N1112" s="152">
        <f>IF(B1112="","",IF('02_대상물건입력'!B5="",1,IF(ISNUMBER(SEARCH('02_대상물건입력'!B5,B1112)),1,0)))</f>
        <v/>
      </c>
      <c r="O1112" s="152">
        <f>IF(B1112="","",IF('02_대상물건입력'!B6="",1,IF(ISNUMBER(SEARCH('02_대상물건입력'!B6,B1112)),1,0)))</f>
        <v/>
      </c>
      <c r="P1112" s="152">
        <f>IF(L1112="","",IF('02_대상물건입력'!B15="",0,IF(ISNUMBER(SEARCH('02_대상물건입력'!B15,L1112)),1,0)))</f>
        <v/>
      </c>
      <c r="Q1112" s="152">
        <f>IF(OR(C1112="",L1112=""),0,IF(AND(TRIM(C1112)=TRIM(RIGHT(SUBSTITUTE(TRIM('02_대상물건입력'!$B$7)," ",REPT(" ",99)),99)),IF('02_대상물건입력'!B15="",TRUE(),ISNUMBER(SEARCH('02_대상물건입력'!B15,L1112)))),1,0))</f>
        <v/>
      </c>
      <c r="R1112" s="175">
        <f>IFERROR(ABS(E1112-'02_대상물건입력'!B11)/'02_대상물건입력'!B11,"")</f>
        <v/>
      </c>
      <c r="S1112" s="152">
        <f>IFERROR(ABS(J1112-'02_대상물건입력'!B10),"")</f>
        <v/>
      </c>
      <c r="T1112" s="152">
        <f>IFERROR(ABS('01_설정'!B4-F1112),"")</f>
        <v/>
      </c>
      <c r="U1112" s="152">
        <f>IFERROR(ABS(K1112-YEAR('02_대상물건입력'!B14)),"")</f>
        <v/>
      </c>
      <c r="V1112" s="152">
        <f>IF(B1112="","",IF(AND(E1112&gt;0,F1112&gt;0,H1112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1112=1,TRUE()),R1112&lt;='01_설정'!B5,S1112&lt;='01_설정'!B6,T1112&lt;='01_설정'!B7,U1112&lt;='01_설정'!B8),"Y",""))</f>
        <v/>
      </c>
      <c r="W1112" s="172">
        <f>IF(V1112&lt;&gt;"Y","",MAX(0,(1-R1112/'01_설정'!B5))*'01_설정'!B14+MAX(0,(1-S1112/'01_설정'!B6))*'01_설정'!B15+MAX(0,(1-T1112/'01_설정'!B7))*'01_설정'!B16+MAX(0,(1-U1112/'01_설정'!B8))*'01_설정'!B17+O1112*'01_설정'!B11+Q1112*'01_설정'!B12+P1112*'01_설정'!B13+IF(Z1112="",0,Z1112))</f>
        <v/>
      </c>
      <c r="X1112" s="152">
        <f>IF(W1112="","",1+COUNTIFS($W$4:$W$3003,"&gt;"&amp;W1112)+COUNTIFS($W$4:W1112,W1112)-1)</f>
        <v/>
      </c>
      <c r="Y1112" s="175">
        <f>IF(OR(I1112="",'02_대상물건입력'!B19="",'02_대상물건입력'!B19&lt;=0),"",ABS(I1112-'02_대상물건입력'!B19)/'02_대상물건입력'!B19)</f>
        <v/>
      </c>
      <c r="Z1112" s="172">
        <f>IF(OR(Y1112="",'01_설정'!B31="",'01_설정'!B31&lt;=0,'01_설정'!B32="",'01_설정'!B32&lt;=0),"",MAX(0,(1-Y1112/'01_설정'!B32))*'01_설정'!B31)</f>
        <v/>
      </c>
    </row>
    <row r="1113" ht="17.25" customHeight="1">
      <c r="A1113" s="152">
        <f>IF(INDEX('04A_국토부원자료'!$A:$A,ROW()+1)="","",ROW()-3)</f>
        <v/>
      </c>
      <c r="B1113" s="48">
        <f>IFERROR(INDEX('04A_국토부원자료'!$A:$T,ROW()+1,MATCH("시군구",'04A_국토부원자료'!$A$4:$T$4,0)),"")</f>
        <v/>
      </c>
      <c r="C1113" s="48">
        <f>IF(B1113="","",IFERROR(INDEX('04A_국토부원자료'!$A:$T,ROW()+1,MATCH("번지",'04A_국토부원자료'!$A$4:$T$4,0)),""))</f>
        <v/>
      </c>
      <c r="D1113" s="48">
        <f>IF(B1113="","",IF(Q1113=1,'02_대상물건입력'!$B$8,IFERROR(INDEX('04A_국토부원자료'!$A:$T,ROW()+1,MATCH("단지명",'04A_국토부원자료'!$A$4:$T$4,0)),"")))</f>
        <v/>
      </c>
      <c r="E1113" s="172">
        <f>IFERROR(VALUE(SUBSTITUTE(INDEX('04A_국토부원자료'!$A:$T,ROW()+1,MATCH("전용면적(㎡)",'04A_국토부원자료'!$A$4:$T$4,0)),",","")),"")</f>
        <v/>
      </c>
      <c r="F11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13" s="51">
        <f>IFERROR(VALUE(SUBSTITUTE(INDEX('04A_국토부원자료'!$A:$T,ROW()+1,MATCH("거래금액(만원)",'04A_국토부원자료'!$A$4:$T$4,0)),",","")),"")</f>
        <v/>
      </c>
      <c r="H1113" s="174">
        <f>IF(G1113="","",G1113*10000)</f>
        <v/>
      </c>
      <c r="I1113" s="174">
        <f>IFERROR(IF(AND(H1113&gt;0,E1113&gt;0),H1113/E1113,""),"")</f>
        <v/>
      </c>
      <c r="J1113" s="152">
        <f>IFERROR(VALUE(SUBSTITUTE(INDEX('04A_국토부원자료'!$A:$T,ROW()+1,MATCH("층",'04A_국토부원자료'!$A$4:$T$4,0)),",","")),"")</f>
        <v/>
      </c>
      <c r="K1113" s="152">
        <f>IFERROR(VALUE(SUBSTITUTE(INDEX('04A_국토부원자료'!$A:$T,ROW()+1,MATCH("건축년도",'04A_국토부원자료'!$A$4:$T$4,0)),",","")),"")</f>
        <v/>
      </c>
      <c r="L1113" s="176">
        <f>IFERROR(INDEX('04A_국토부원자료'!$A:$T,ROW()+1,MATCH("도로명",'04A_국토부원자료'!$A$4:$T$4,0)),"")</f>
        <v/>
      </c>
      <c r="M1113" s="48">
        <f>IFERROR(INDEX('04A_국토부원자료'!$A:$T,ROW()+1,MATCH("거래유형",'04A_국토부원자료'!$A$4:$T$4,0)),"")</f>
        <v/>
      </c>
      <c r="N1113" s="152">
        <f>IF(B1113="","",IF('02_대상물건입력'!B5="",1,IF(ISNUMBER(SEARCH('02_대상물건입력'!B5,B1113)),1,0)))</f>
        <v/>
      </c>
      <c r="O1113" s="152">
        <f>IF(B1113="","",IF('02_대상물건입력'!B6="",1,IF(ISNUMBER(SEARCH('02_대상물건입력'!B6,B1113)),1,0)))</f>
        <v/>
      </c>
      <c r="P1113" s="152">
        <f>IF(L1113="","",IF('02_대상물건입력'!B15="",0,IF(ISNUMBER(SEARCH('02_대상물건입력'!B15,L1113)),1,0)))</f>
        <v/>
      </c>
      <c r="Q1113" s="152">
        <f>IF(OR(C1113="",L1113=""),0,IF(AND(TRIM(C1113)=TRIM(RIGHT(SUBSTITUTE(TRIM('02_대상물건입력'!$B$7)," ",REPT(" ",99)),99)),IF('02_대상물건입력'!B15="",TRUE(),ISNUMBER(SEARCH('02_대상물건입력'!B15,L1113)))),1,0))</f>
        <v/>
      </c>
      <c r="R1113" s="175">
        <f>IFERROR(ABS(E1113-'02_대상물건입력'!B11)/'02_대상물건입력'!B11,"")</f>
        <v/>
      </c>
      <c r="S1113" s="152">
        <f>IFERROR(ABS(J1113-'02_대상물건입력'!B10),"")</f>
        <v/>
      </c>
      <c r="T1113" s="152">
        <f>IFERROR(ABS('01_설정'!B4-F1113),"")</f>
        <v/>
      </c>
      <c r="U1113" s="152">
        <f>IFERROR(ABS(K1113-YEAR('02_대상물건입력'!B14)),"")</f>
        <v/>
      </c>
      <c r="V1113" s="152">
        <f>IF(B1113="","",IF(AND(E1113&gt;0,F1113&gt;0,H1113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1113=1,TRUE()),R1113&lt;='01_설정'!B5,S1113&lt;='01_설정'!B6,T1113&lt;='01_설정'!B7,U1113&lt;='01_설정'!B8),"Y",""))</f>
        <v/>
      </c>
      <c r="W1113" s="172">
        <f>IF(V1113&lt;&gt;"Y","",MAX(0,(1-R1113/'01_설정'!B5))*'01_설정'!B14+MAX(0,(1-S1113/'01_설정'!B6))*'01_설정'!B15+MAX(0,(1-T1113/'01_설정'!B7))*'01_설정'!B16+MAX(0,(1-U1113/'01_설정'!B8))*'01_설정'!B17+O1113*'01_설정'!B11+Q1113*'01_설정'!B12+P1113*'01_설정'!B13+IF(Z1113="",0,Z1113))</f>
        <v/>
      </c>
      <c r="X1113" s="152">
        <f>IF(W1113="","",1+COUNTIFS($W$4:$W$3003,"&gt;"&amp;W1113)+COUNTIFS($W$4:W1113,W1113)-1)</f>
        <v/>
      </c>
      <c r="Y1113" s="175">
        <f>IF(OR(I1113="",'02_대상물건입력'!B19="",'02_대상물건입력'!B19&lt;=0),"",ABS(I1113-'02_대상물건입력'!B19)/'02_대상물건입력'!B19)</f>
        <v/>
      </c>
      <c r="Z1113" s="172">
        <f>IF(OR(Y1113="",'01_설정'!B31="",'01_설정'!B31&lt;=0,'01_설정'!B32="",'01_설정'!B32&lt;=0),"",MAX(0,(1-Y1113/'01_설정'!B32))*'01_설정'!B31)</f>
        <v/>
      </c>
    </row>
    <row r="1114" ht="17.25" customHeight="1">
      <c r="A1114" s="152">
        <f>IF(INDEX('04A_국토부원자료'!$A:$A,ROW()+1)="","",ROW()-3)</f>
        <v/>
      </c>
      <c r="B1114" s="48">
        <f>IFERROR(INDEX('04A_국토부원자료'!$A:$T,ROW()+1,MATCH("시군구",'04A_국토부원자료'!$A$4:$T$4,0)),"")</f>
        <v/>
      </c>
      <c r="C1114" s="48">
        <f>IF(B1114="","",IFERROR(INDEX('04A_국토부원자료'!$A:$T,ROW()+1,MATCH("번지",'04A_국토부원자료'!$A$4:$T$4,0)),""))</f>
        <v/>
      </c>
      <c r="D1114" s="48">
        <f>IF(B1114="","",IF(Q1114=1,'02_대상물건입력'!$B$8,IFERROR(INDEX('04A_국토부원자료'!$A:$T,ROW()+1,MATCH("단지명",'04A_국토부원자료'!$A$4:$T$4,0)),"")))</f>
        <v/>
      </c>
      <c r="E1114" s="172">
        <f>IFERROR(VALUE(SUBSTITUTE(INDEX('04A_국토부원자료'!$A:$T,ROW()+1,MATCH("전용면적(㎡)",'04A_국토부원자료'!$A$4:$T$4,0)),",","")),"")</f>
        <v/>
      </c>
      <c r="F11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14" s="51">
        <f>IFERROR(VALUE(SUBSTITUTE(INDEX('04A_국토부원자료'!$A:$T,ROW()+1,MATCH("거래금액(만원)",'04A_국토부원자료'!$A$4:$T$4,0)),",","")),"")</f>
        <v/>
      </c>
      <c r="H1114" s="174">
        <f>IF(G1114="","",G1114*10000)</f>
        <v/>
      </c>
      <c r="I1114" s="174">
        <f>IFERROR(IF(AND(H1114&gt;0,E1114&gt;0),H1114/E1114,""),"")</f>
        <v/>
      </c>
      <c r="J1114" s="152">
        <f>IFERROR(VALUE(SUBSTITUTE(INDEX('04A_국토부원자료'!$A:$T,ROW()+1,MATCH("층",'04A_국토부원자료'!$A$4:$T$4,0)),",","")),"")</f>
        <v/>
      </c>
      <c r="K1114" s="152">
        <f>IFERROR(VALUE(SUBSTITUTE(INDEX('04A_국토부원자료'!$A:$T,ROW()+1,MATCH("건축년도",'04A_국토부원자료'!$A$4:$T$4,0)),",","")),"")</f>
        <v/>
      </c>
      <c r="L1114" s="176">
        <f>IFERROR(INDEX('04A_국토부원자료'!$A:$T,ROW()+1,MATCH("도로명",'04A_국토부원자료'!$A$4:$T$4,0)),"")</f>
        <v/>
      </c>
      <c r="M1114" s="48">
        <f>IFERROR(INDEX('04A_국토부원자료'!$A:$T,ROW()+1,MATCH("거래유형",'04A_국토부원자료'!$A$4:$T$4,0)),"")</f>
        <v/>
      </c>
      <c r="N1114" s="152">
        <f>IF(B1114="","",IF('02_대상물건입력'!B5="",1,IF(ISNUMBER(SEARCH('02_대상물건입력'!B5,B1114)),1,0)))</f>
        <v/>
      </c>
      <c r="O1114" s="152">
        <f>IF(B1114="","",IF('02_대상물건입력'!B6="",1,IF(ISNUMBER(SEARCH('02_대상물건입력'!B6,B1114)),1,0)))</f>
        <v/>
      </c>
      <c r="P1114" s="152">
        <f>IF(L1114="","",IF('02_대상물건입력'!B15="",0,IF(ISNUMBER(SEARCH('02_대상물건입력'!B15,L1114)),1,0)))</f>
        <v/>
      </c>
      <c r="Q1114" s="152">
        <f>IF(OR(C1114="",L1114=""),0,IF(AND(TRIM(C1114)=TRIM(RIGHT(SUBSTITUTE(TRIM('02_대상물건입력'!$B$7)," ",REPT(" ",99)),99)),IF('02_대상물건입력'!B15="",TRUE(),ISNUMBER(SEARCH('02_대상물건입력'!B15,L1114)))),1,0))</f>
        <v/>
      </c>
      <c r="R1114" s="175">
        <f>IFERROR(ABS(E1114-'02_대상물건입력'!B11)/'02_대상물건입력'!B11,"")</f>
        <v/>
      </c>
      <c r="S1114" s="152">
        <f>IFERROR(ABS(J1114-'02_대상물건입력'!B10),"")</f>
        <v/>
      </c>
      <c r="T1114" s="152">
        <f>IFERROR(ABS('01_설정'!B4-F1114),"")</f>
        <v/>
      </c>
      <c r="U1114" s="152">
        <f>IFERROR(ABS(K1114-YEAR('02_대상물건입력'!B14)),"")</f>
        <v/>
      </c>
      <c r="V1114" s="152">
        <f>IF(B1114="","",IF(AND(E1114&gt;0,F1114&gt;0,H1114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1114=1,TRUE()),R1114&lt;='01_설정'!B5,S1114&lt;='01_설정'!B6,T1114&lt;='01_설정'!B7,U1114&lt;='01_설정'!B8),"Y",""))</f>
        <v/>
      </c>
      <c r="W1114" s="172">
        <f>IF(V1114&lt;&gt;"Y","",MAX(0,(1-R1114/'01_설정'!B5))*'01_설정'!B14+MAX(0,(1-S1114/'01_설정'!B6))*'01_설정'!B15+MAX(0,(1-T1114/'01_설정'!B7))*'01_설정'!B16+MAX(0,(1-U1114/'01_설정'!B8))*'01_설정'!B17+O1114*'01_설정'!B11+Q1114*'01_설정'!B12+P1114*'01_설정'!B13+IF(Z1114="",0,Z1114))</f>
        <v/>
      </c>
      <c r="X1114" s="152">
        <f>IF(W1114="","",1+COUNTIFS($W$4:$W$3003,"&gt;"&amp;W1114)+COUNTIFS($W$4:W1114,W1114)-1)</f>
        <v/>
      </c>
      <c r="Y1114" s="175">
        <f>IF(OR(I1114="",'02_대상물건입력'!B19="",'02_대상물건입력'!B19&lt;=0),"",ABS(I1114-'02_대상물건입력'!B19)/'02_대상물건입력'!B19)</f>
        <v/>
      </c>
      <c r="Z1114" s="172">
        <f>IF(OR(Y1114="",'01_설정'!B31="",'01_설정'!B31&lt;=0,'01_설정'!B32="",'01_설정'!B32&lt;=0),"",MAX(0,(1-Y1114/'01_설정'!B32))*'01_설정'!B31)</f>
        <v/>
      </c>
    </row>
    <row r="1115" ht="17.25" customHeight="1">
      <c r="A1115" s="152">
        <f>IF(INDEX('04A_국토부원자료'!$A:$A,ROW()+1)="","",ROW()-3)</f>
        <v/>
      </c>
      <c r="B1115" s="48">
        <f>IFERROR(INDEX('04A_국토부원자료'!$A:$T,ROW()+1,MATCH("시군구",'04A_국토부원자료'!$A$4:$T$4,0)),"")</f>
        <v/>
      </c>
      <c r="C1115" s="48">
        <f>IF(B1115="","",IFERROR(INDEX('04A_국토부원자료'!$A:$T,ROW()+1,MATCH("번지",'04A_국토부원자료'!$A$4:$T$4,0)),""))</f>
        <v/>
      </c>
      <c r="D1115" s="48">
        <f>IF(B1115="","",IF(Q1115=1,'02_대상물건입력'!$B$8,IFERROR(INDEX('04A_국토부원자료'!$A:$T,ROW()+1,MATCH("단지명",'04A_국토부원자료'!$A$4:$T$4,0)),"")))</f>
        <v/>
      </c>
      <c r="E1115" s="172">
        <f>IFERROR(VALUE(SUBSTITUTE(INDEX('04A_국토부원자료'!$A:$T,ROW()+1,MATCH("전용면적(㎡)",'04A_국토부원자료'!$A$4:$T$4,0)),",","")),"")</f>
        <v/>
      </c>
      <c r="F11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15" s="51">
        <f>IFERROR(VALUE(SUBSTITUTE(INDEX('04A_국토부원자료'!$A:$T,ROW()+1,MATCH("거래금액(만원)",'04A_국토부원자료'!$A$4:$T$4,0)),",","")),"")</f>
        <v/>
      </c>
      <c r="H1115" s="174">
        <f>IF(G1115="","",G1115*10000)</f>
        <v/>
      </c>
      <c r="I1115" s="174">
        <f>IFERROR(IF(AND(H1115&gt;0,E1115&gt;0),H1115/E1115,""),"")</f>
        <v/>
      </c>
      <c r="J1115" s="152">
        <f>IFERROR(VALUE(SUBSTITUTE(INDEX('04A_국토부원자료'!$A:$T,ROW()+1,MATCH("층",'04A_국토부원자료'!$A$4:$T$4,0)),",","")),"")</f>
        <v/>
      </c>
      <c r="K1115" s="152">
        <f>IFERROR(VALUE(SUBSTITUTE(INDEX('04A_국토부원자료'!$A:$T,ROW()+1,MATCH("건축년도",'04A_국토부원자료'!$A$4:$T$4,0)),",","")),"")</f>
        <v/>
      </c>
      <c r="L1115" s="176">
        <f>IFERROR(INDEX('04A_국토부원자료'!$A:$T,ROW()+1,MATCH("도로명",'04A_국토부원자료'!$A$4:$T$4,0)),"")</f>
        <v/>
      </c>
      <c r="M1115" s="48">
        <f>IFERROR(INDEX('04A_국토부원자료'!$A:$T,ROW()+1,MATCH("거래유형",'04A_국토부원자료'!$A$4:$T$4,0)),"")</f>
        <v/>
      </c>
      <c r="N1115" s="152">
        <f>IF(B1115="","",IF('02_대상물건입력'!B5="",1,IF(ISNUMBER(SEARCH('02_대상물건입력'!B5,B1115)),1,0)))</f>
        <v/>
      </c>
      <c r="O1115" s="152">
        <f>IF(B1115="","",IF('02_대상물건입력'!B6="",1,IF(ISNUMBER(SEARCH('02_대상물건입력'!B6,B1115)),1,0)))</f>
        <v/>
      </c>
      <c r="P1115" s="152">
        <f>IF(L1115="","",IF('02_대상물건입력'!B15="",0,IF(ISNUMBER(SEARCH('02_대상물건입력'!B15,L1115)),1,0)))</f>
        <v/>
      </c>
      <c r="Q1115" s="152">
        <f>IF(OR(C1115="",L1115=""),0,IF(AND(TRIM(C1115)=TRIM(RIGHT(SUBSTITUTE(TRIM('02_대상물건입력'!$B$7)," ",REPT(" ",99)),99)),IF('02_대상물건입력'!B15="",TRUE(),ISNUMBER(SEARCH('02_대상물건입력'!B15,L1115)))),1,0))</f>
        <v/>
      </c>
      <c r="R1115" s="175">
        <f>IFERROR(ABS(E1115-'02_대상물건입력'!B11)/'02_대상물건입력'!B11,"")</f>
        <v/>
      </c>
      <c r="S1115" s="152">
        <f>IFERROR(ABS(J1115-'02_대상물건입력'!B10),"")</f>
        <v/>
      </c>
      <c r="T1115" s="152">
        <f>IFERROR(ABS('01_설정'!B4-F1115),"")</f>
        <v/>
      </c>
      <c r="U1115" s="152">
        <f>IFERROR(ABS(K1115-YEAR('02_대상물건입력'!B14)),"")</f>
        <v/>
      </c>
      <c r="V1115" s="152">
        <f>IF(B1115="","",IF(AND(E1115&gt;0,F1115&gt;0,H1115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1115=1,TRUE()),R1115&lt;='01_설정'!B5,S1115&lt;='01_설정'!B6,T1115&lt;='01_설정'!B7,U1115&lt;='01_설정'!B8),"Y",""))</f>
        <v/>
      </c>
      <c r="W1115" s="172">
        <f>IF(V1115&lt;&gt;"Y","",MAX(0,(1-R1115/'01_설정'!B5))*'01_설정'!B14+MAX(0,(1-S1115/'01_설정'!B6))*'01_설정'!B15+MAX(0,(1-T1115/'01_설정'!B7))*'01_설정'!B16+MAX(0,(1-U1115/'01_설정'!B8))*'01_설정'!B17+O1115*'01_설정'!B11+Q1115*'01_설정'!B12+P1115*'01_설정'!B13+IF(Z1115="",0,Z1115))</f>
        <v/>
      </c>
      <c r="X1115" s="152">
        <f>IF(W1115="","",1+COUNTIFS($W$4:$W$3003,"&gt;"&amp;W1115)+COUNTIFS($W$4:W1115,W1115)-1)</f>
        <v/>
      </c>
      <c r="Y1115" s="175">
        <f>IF(OR(I1115="",'02_대상물건입력'!B19="",'02_대상물건입력'!B19&lt;=0),"",ABS(I1115-'02_대상물건입력'!B19)/'02_대상물건입력'!B19)</f>
        <v/>
      </c>
      <c r="Z1115" s="172">
        <f>IF(OR(Y1115="",'01_설정'!B31="",'01_설정'!B31&lt;=0,'01_설정'!B32="",'01_설정'!B32&lt;=0),"",MAX(0,(1-Y1115/'01_설정'!B32))*'01_설정'!B31)</f>
        <v/>
      </c>
    </row>
    <row r="1116" ht="17.25" customHeight="1">
      <c r="A1116" s="152">
        <f>IF(INDEX('04A_국토부원자료'!$A:$A,ROW()+1)="","",ROW()-3)</f>
        <v/>
      </c>
      <c r="B1116" s="48">
        <f>IFERROR(INDEX('04A_국토부원자료'!$A:$T,ROW()+1,MATCH("시군구",'04A_국토부원자료'!$A$4:$T$4,0)),"")</f>
        <v/>
      </c>
      <c r="C1116" s="48">
        <f>IF(B1116="","",IFERROR(INDEX('04A_국토부원자료'!$A:$T,ROW()+1,MATCH("번지",'04A_국토부원자료'!$A$4:$T$4,0)),""))</f>
        <v/>
      </c>
      <c r="D1116" s="48">
        <f>IF(B1116="","",IF(Q1116=1,'02_대상물건입력'!$B$8,IFERROR(INDEX('04A_국토부원자료'!$A:$T,ROW()+1,MATCH("단지명",'04A_국토부원자료'!$A$4:$T$4,0)),"")))</f>
        <v/>
      </c>
      <c r="E1116" s="172">
        <f>IFERROR(VALUE(SUBSTITUTE(INDEX('04A_국토부원자료'!$A:$T,ROW()+1,MATCH("전용면적(㎡)",'04A_국토부원자료'!$A$4:$T$4,0)),",","")),"")</f>
        <v/>
      </c>
      <c r="F11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16" s="51">
        <f>IFERROR(VALUE(SUBSTITUTE(INDEX('04A_국토부원자료'!$A:$T,ROW()+1,MATCH("거래금액(만원)",'04A_국토부원자료'!$A$4:$T$4,0)),",","")),"")</f>
        <v/>
      </c>
      <c r="H1116" s="174">
        <f>IF(G1116="","",G1116*10000)</f>
        <v/>
      </c>
      <c r="I1116" s="174">
        <f>IFERROR(IF(AND(H1116&gt;0,E1116&gt;0),H1116/E1116,""),"")</f>
        <v/>
      </c>
      <c r="J1116" s="152">
        <f>IFERROR(VALUE(SUBSTITUTE(INDEX('04A_국토부원자료'!$A:$T,ROW()+1,MATCH("층",'04A_국토부원자료'!$A$4:$T$4,0)),",","")),"")</f>
        <v/>
      </c>
      <c r="K1116" s="152">
        <f>IFERROR(VALUE(SUBSTITUTE(INDEX('04A_국토부원자료'!$A:$T,ROW()+1,MATCH("건축년도",'04A_국토부원자료'!$A$4:$T$4,0)),",","")),"")</f>
        <v/>
      </c>
      <c r="L1116" s="176">
        <f>IFERROR(INDEX('04A_국토부원자료'!$A:$T,ROW()+1,MATCH("도로명",'04A_국토부원자료'!$A$4:$T$4,0)),"")</f>
        <v/>
      </c>
      <c r="M1116" s="48">
        <f>IFERROR(INDEX('04A_국토부원자료'!$A:$T,ROW()+1,MATCH("거래유형",'04A_국토부원자료'!$A$4:$T$4,0)),"")</f>
        <v/>
      </c>
      <c r="N1116" s="152">
        <f>IF(B1116="","",IF('02_대상물건입력'!B5="",1,IF(ISNUMBER(SEARCH('02_대상물건입력'!B5,B1116)),1,0)))</f>
        <v/>
      </c>
      <c r="O1116" s="152">
        <f>IF(B1116="","",IF('02_대상물건입력'!B6="",1,IF(ISNUMBER(SEARCH('02_대상물건입력'!B6,B1116)),1,0)))</f>
        <v/>
      </c>
      <c r="P1116" s="152">
        <f>IF(L1116="","",IF('02_대상물건입력'!B15="",0,IF(ISNUMBER(SEARCH('02_대상물건입력'!B15,L1116)),1,0)))</f>
        <v/>
      </c>
      <c r="Q1116" s="152">
        <f>IF(OR(C1116="",L1116=""),0,IF(AND(TRIM(C1116)=TRIM(RIGHT(SUBSTITUTE(TRIM('02_대상물건입력'!$B$7)," ",REPT(" ",99)),99)),IF('02_대상물건입력'!B15="",TRUE(),ISNUMBER(SEARCH('02_대상물건입력'!B15,L1116)))),1,0))</f>
        <v/>
      </c>
      <c r="R1116" s="175">
        <f>IFERROR(ABS(E1116-'02_대상물건입력'!B11)/'02_대상물건입력'!B11,"")</f>
        <v/>
      </c>
      <c r="S1116" s="152">
        <f>IFERROR(ABS(J1116-'02_대상물건입력'!B10),"")</f>
        <v/>
      </c>
      <c r="T1116" s="152">
        <f>IFERROR(ABS('01_설정'!B4-F1116),"")</f>
        <v/>
      </c>
      <c r="U1116" s="152">
        <f>IFERROR(ABS(K1116-YEAR('02_대상물건입력'!B14)),"")</f>
        <v/>
      </c>
      <c r="V1116" s="152">
        <f>IF(B1116="","",IF(AND(E1116&gt;0,F1116&gt;0,H1116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1116=1,TRUE()),R1116&lt;='01_설정'!B5,S1116&lt;='01_설정'!B6,T1116&lt;='01_설정'!B7,U1116&lt;='01_설정'!B8),"Y",""))</f>
        <v/>
      </c>
      <c r="W1116" s="172">
        <f>IF(V1116&lt;&gt;"Y","",MAX(0,(1-R1116/'01_설정'!B5))*'01_설정'!B14+MAX(0,(1-S1116/'01_설정'!B6))*'01_설정'!B15+MAX(0,(1-T1116/'01_설정'!B7))*'01_설정'!B16+MAX(0,(1-U1116/'01_설정'!B8))*'01_설정'!B17+O1116*'01_설정'!B11+Q1116*'01_설정'!B12+P1116*'01_설정'!B13+IF(Z1116="",0,Z1116))</f>
        <v/>
      </c>
      <c r="X1116" s="152">
        <f>IF(W1116="","",1+COUNTIFS($W$4:$W$3003,"&gt;"&amp;W1116)+COUNTIFS($W$4:W1116,W1116)-1)</f>
        <v/>
      </c>
      <c r="Y1116" s="175">
        <f>IF(OR(I1116="",'02_대상물건입력'!B19="",'02_대상물건입력'!B19&lt;=0),"",ABS(I1116-'02_대상물건입력'!B19)/'02_대상물건입력'!B19)</f>
        <v/>
      </c>
      <c r="Z1116" s="172">
        <f>IF(OR(Y1116="",'01_설정'!B31="",'01_설정'!B31&lt;=0,'01_설정'!B32="",'01_설정'!B32&lt;=0),"",MAX(0,(1-Y1116/'01_설정'!B32))*'01_설정'!B31)</f>
        <v/>
      </c>
    </row>
    <row r="1117" ht="17.25" customHeight="1">
      <c r="A1117" s="152">
        <f>IF(INDEX('04A_국토부원자료'!$A:$A,ROW()+1)="","",ROW()-3)</f>
        <v/>
      </c>
      <c r="B1117" s="48">
        <f>IFERROR(INDEX('04A_국토부원자료'!$A:$T,ROW()+1,MATCH("시군구",'04A_국토부원자료'!$A$4:$T$4,0)),"")</f>
        <v/>
      </c>
      <c r="C1117" s="48">
        <f>IF(B1117="","",IFERROR(INDEX('04A_국토부원자료'!$A:$T,ROW()+1,MATCH("번지",'04A_국토부원자료'!$A$4:$T$4,0)),""))</f>
        <v/>
      </c>
      <c r="D1117" s="48">
        <f>IF(B1117="","",IF(Q1117=1,'02_대상물건입력'!$B$8,IFERROR(INDEX('04A_국토부원자료'!$A:$T,ROW()+1,MATCH("단지명",'04A_국토부원자료'!$A$4:$T$4,0)),"")))</f>
        <v/>
      </c>
      <c r="E1117" s="172">
        <f>IFERROR(VALUE(SUBSTITUTE(INDEX('04A_국토부원자료'!$A:$T,ROW()+1,MATCH("전용면적(㎡)",'04A_국토부원자료'!$A$4:$T$4,0)),",","")),"")</f>
        <v/>
      </c>
      <c r="F11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17" s="51">
        <f>IFERROR(VALUE(SUBSTITUTE(INDEX('04A_국토부원자료'!$A:$T,ROW()+1,MATCH("거래금액(만원)",'04A_국토부원자료'!$A$4:$T$4,0)),",","")),"")</f>
        <v/>
      </c>
      <c r="H1117" s="174">
        <f>IF(G1117="","",G1117*10000)</f>
        <v/>
      </c>
      <c r="I1117" s="174">
        <f>IFERROR(IF(AND(H1117&gt;0,E1117&gt;0),H1117/E1117,""),"")</f>
        <v/>
      </c>
      <c r="J1117" s="152">
        <f>IFERROR(VALUE(SUBSTITUTE(INDEX('04A_국토부원자료'!$A:$T,ROW()+1,MATCH("층",'04A_국토부원자료'!$A$4:$T$4,0)),",","")),"")</f>
        <v/>
      </c>
      <c r="K1117" s="152">
        <f>IFERROR(VALUE(SUBSTITUTE(INDEX('04A_국토부원자료'!$A:$T,ROW()+1,MATCH("건축년도",'04A_국토부원자료'!$A$4:$T$4,0)),",","")),"")</f>
        <v/>
      </c>
      <c r="L1117" s="176">
        <f>IFERROR(INDEX('04A_국토부원자료'!$A:$T,ROW()+1,MATCH("도로명",'04A_국토부원자료'!$A$4:$T$4,0)),"")</f>
        <v/>
      </c>
      <c r="M1117" s="48">
        <f>IFERROR(INDEX('04A_국토부원자료'!$A:$T,ROW()+1,MATCH("거래유형",'04A_국토부원자료'!$A$4:$T$4,0)),"")</f>
        <v/>
      </c>
      <c r="N1117" s="152">
        <f>IF(B1117="","",IF('02_대상물건입력'!B5="",1,IF(ISNUMBER(SEARCH('02_대상물건입력'!B5,B1117)),1,0)))</f>
        <v/>
      </c>
      <c r="O1117" s="152">
        <f>IF(B1117="","",IF('02_대상물건입력'!B6="",1,IF(ISNUMBER(SEARCH('02_대상물건입력'!B6,B1117)),1,0)))</f>
        <v/>
      </c>
      <c r="P1117" s="152">
        <f>IF(L1117="","",IF('02_대상물건입력'!B15="",0,IF(ISNUMBER(SEARCH('02_대상물건입력'!B15,L1117)),1,0)))</f>
        <v/>
      </c>
      <c r="Q1117" s="152">
        <f>IF(OR(C1117="",L1117=""),0,IF(AND(TRIM(C1117)=TRIM(RIGHT(SUBSTITUTE(TRIM('02_대상물건입력'!$B$7)," ",REPT(" ",99)),99)),IF('02_대상물건입력'!B15="",TRUE(),ISNUMBER(SEARCH('02_대상물건입력'!B15,L1117)))),1,0))</f>
        <v/>
      </c>
      <c r="R1117" s="175">
        <f>IFERROR(ABS(E1117-'02_대상물건입력'!B11)/'02_대상물건입력'!B11,"")</f>
        <v/>
      </c>
      <c r="S1117" s="152">
        <f>IFERROR(ABS(J1117-'02_대상물건입력'!B10),"")</f>
        <v/>
      </c>
      <c r="T1117" s="152">
        <f>IFERROR(ABS('01_설정'!B4-F1117),"")</f>
        <v/>
      </c>
      <c r="U1117" s="152">
        <f>IFERROR(ABS(K1117-YEAR('02_대상물건입력'!B14)),"")</f>
        <v/>
      </c>
      <c r="V1117" s="152">
        <f>IF(B1117="","",IF(AND(E1117&gt;0,F1117&gt;0,H1117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1117=1,TRUE()),R1117&lt;='01_설정'!B5,S1117&lt;='01_설정'!B6,T1117&lt;='01_설정'!B7,U1117&lt;='01_설정'!B8),"Y",""))</f>
        <v/>
      </c>
      <c r="W1117" s="172">
        <f>IF(V1117&lt;&gt;"Y","",MAX(0,(1-R1117/'01_설정'!B5))*'01_설정'!B14+MAX(0,(1-S1117/'01_설정'!B6))*'01_설정'!B15+MAX(0,(1-T1117/'01_설정'!B7))*'01_설정'!B16+MAX(0,(1-U1117/'01_설정'!B8))*'01_설정'!B17+O1117*'01_설정'!B11+Q1117*'01_설정'!B12+P1117*'01_설정'!B13+IF(Z1117="",0,Z1117))</f>
        <v/>
      </c>
      <c r="X1117" s="152">
        <f>IF(W1117="","",1+COUNTIFS($W$4:$W$3003,"&gt;"&amp;W1117)+COUNTIFS($W$4:W1117,W1117)-1)</f>
        <v/>
      </c>
      <c r="Y1117" s="175">
        <f>IF(OR(I1117="",'02_대상물건입력'!B19="",'02_대상물건입력'!B19&lt;=0),"",ABS(I1117-'02_대상물건입력'!B19)/'02_대상물건입력'!B19)</f>
        <v/>
      </c>
      <c r="Z1117" s="172">
        <f>IF(OR(Y1117="",'01_설정'!B31="",'01_설정'!B31&lt;=0,'01_설정'!B32="",'01_설정'!B32&lt;=0),"",MAX(0,(1-Y1117/'01_설정'!B32))*'01_설정'!B31)</f>
        <v/>
      </c>
    </row>
    <row r="1118" ht="17.25" customHeight="1">
      <c r="A1118" s="152">
        <f>IF(INDEX('04A_국토부원자료'!$A:$A,ROW()+1)="","",ROW()-3)</f>
        <v/>
      </c>
      <c r="B1118" s="48">
        <f>IFERROR(INDEX('04A_국토부원자료'!$A:$T,ROW()+1,MATCH("시군구",'04A_국토부원자료'!$A$4:$T$4,0)),"")</f>
        <v/>
      </c>
      <c r="C1118" s="48">
        <f>IF(B1118="","",IFERROR(INDEX('04A_국토부원자료'!$A:$T,ROW()+1,MATCH("번지",'04A_국토부원자료'!$A$4:$T$4,0)),""))</f>
        <v/>
      </c>
      <c r="D1118" s="48">
        <f>IF(B1118="","",IF(Q1118=1,'02_대상물건입력'!$B$8,IFERROR(INDEX('04A_국토부원자료'!$A:$T,ROW()+1,MATCH("단지명",'04A_국토부원자료'!$A$4:$T$4,0)),"")))</f>
        <v/>
      </c>
      <c r="E1118" s="172">
        <f>IFERROR(VALUE(SUBSTITUTE(INDEX('04A_국토부원자료'!$A:$T,ROW()+1,MATCH("전용면적(㎡)",'04A_국토부원자료'!$A$4:$T$4,0)),",","")),"")</f>
        <v/>
      </c>
      <c r="F11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18" s="51">
        <f>IFERROR(VALUE(SUBSTITUTE(INDEX('04A_국토부원자료'!$A:$T,ROW()+1,MATCH("거래금액(만원)",'04A_국토부원자료'!$A$4:$T$4,0)),",","")),"")</f>
        <v/>
      </c>
      <c r="H1118" s="174">
        <f>IF(G1118="","",G1118*10000)</f>
        <v/>
      </c>
      <c r="I1118" s="174">
        <f>IFERROR(IF(AND(H1118&gt;0,E1118&gt;0),H1118/E1118,""),"")</f>
        <v/>
      </c>
      <c r="J1118" s="152">
        <f>IFERROR(VALUE(SUBSTITUTE(INDEX('04A_국토부원자료'!$A:$T,ROW()+1,MATCH("층",'04A_국토부원자료'!$A$4:$T$4,0)),",","")),"")</f>
        <v/>
      </c>
      <c r="K1118" s="152">
        <f>IFERROR(VALUE(SUBSTITUTE(INDEX('04A_국토부원자료'!$A:$T,ROW()+1,MATCH("건축년도",'04A_국토부원자료'!$A$4:$T$4,0)),",","")),"")</f>
        <v/>
      </c>
      <c r="L1118" s="176">
        <f>IFERROR(INDEX('04A_국토부원자료'!$A:$T,ROW()+1,MATCH("도로명",'04A_국토부원자료'!$A$4:$T$4,0)),"")</f>
        <v/>
      </c>
      <c r="M1118" s="48">
        <f>IFERROR(INDEX('04A_국토부원자료'!$A:$T,ROW()+1,MATCH("거래유형",'04A_국토부원자료'!$A$4:$T$4,0)),"")</f>
        <v/>
      </c>
      <c r="N1118" s="152">
        <f>IF(B1118="","",IF('02_대상물건입력'!B5="",1,IF(ISNUMBER(SEARCH('02_대상물건입력'!B5,B1118)),1,0)))</f>
        <v/>
      </c>
      <c r="O1118" s="152">
        <f>IF(B1118="","",IF('02_대상물건입력'!B6="",1,IF(ISNUMBER(SEARCH('02_대상물건입력'!B6,B1118)),1,0)))</f>
        <v/>
      </c>
      <c r="P1118" s="152">
        <f>IF(L1118="","",IF('02_대상물건입력'!B15="",0,IF(ISNUMBER(SEARCH('02_대상물건입력'!B15,L1118)),1,0)))</f>
        <v/>
      </c>
      <c r="Q1118" s="152">
        <f>IF(OR(C1118="",L1118=""),0,IF(AND(TRIM(C1118)=TRIM(RIGHT(SUBSTITUTE(TRIM('02_대상물건입력'!$B$7)," ",REPT(" ",99)),99)),IF('02_대상물건입력'!B15="",TRUE(),ISNUMBER(SEARCH('02_대상물건입력'!B15,L1118)))),1,0))</f>
        <v/>
      </c>
      <c r="R1118" s="175">
        <f>IFERROR(ABS(E1118-'02_대상물건입력'!B11)/'02_대상물건입력'!B11,"")</f>
        <v/>
      </c>
      <c r="S1118" s="152">
        <f>IFERROR(ABS(J1118-'02_대상물건입력'!B10),"")</f>
        <v/>
      </c>
      <c r="T1118" s="152">
        <f>IFERROR(ABS('01_설정'!B4-F1118),"")</f>
        <v/>
      </c>
      <c r="U1118" s="152">
        <f>IFERROR(ABS(K1118-YEAR('02_대상물건입력'!B14)),"")</f>
        <v/>
      </c>
      <c r="V1118" s="152">
        <f>IF(B1118="","",IF(AND(E1118&gt;0,F1118&gt;0,H1118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1118=1,TRUE()),R1118&lt;='01_설정'!B5,S1118&lt;='01_설정'!B6,T1118&lt;='01_설정'!B7,U1118&lt;='01_설정'!B8),"Y",""))</f>
        <v/>
      </c>
      <c r="W1118" s="172">
        <f>IF(V1118&lt;&gt;"Y","",MAX(0,(1-R1118/'01_설정'!B5))*'01_설정'!B14+MAX(0,(1-S1118/'01_설정'!B6))*'01_설정'!B15+MAX(0,(1-T1118/'01_설정'!B7))*'01_설정'!B16+MAX(0,(1-U1118/'01_설정'!B8))*'01_설정'!B17+O1118*'01_설정'!B11+Q1118*'01_설정'!B12+P1118*'01_설정'!B13+IF(Z1118="",0,Z1118))</f>
        <v/>
      </c>
      <c r="X1118" s="152">
        <f>IF(W1118="","",1+COUNTIFS($W$4:$W$3003,"&gt;"&amp;W1118)+COUNTIFS($W$4:W1118,W1118)-1)</f>
        <v/>
      </c>
      <c r="Y1118" s="175">
        <f>IF(OR(I1118="",'02_대상물건입력'!B19="",'02_대상물건입력'!B19&lt;=0),"",ABS(I1118-'02_대상물건입력'!B19)/'02_대상물건입력'!B19)</f>
        <v/>
      </c>
      <c r="Z1118" s="172">
        <f>IF(OR(Y1118="",'01_설정'!B31="",'01_설정'!B31&lt;=0,'01_설정'!B32="",'01_설정'!B32&lt;=0),"",MAX(0,(1-Y1118/'01_설정'!B32))*'01_설정'!B31)</f>
        <v/>
      </c>
    </row>
    <row r="1119" ht="17.25" customHeight="1">
      <c r="A1119" s="152">
        <f>IF(INDEX('04A_국토부원자료'!$A:$A,ROW()+1)="","",ROW()-3)</f>
        <v/>
      </c>
      <c r="B1119" s="48">
        <f>IFERROR(INDEX('04A_국토부원자료'!$A:$T,ROW()+1,MATCH("시군구",'04A_국토부원자료'!$A$4:$T$4,0)),"")</f>
        <v/>
      </c>
      <c r="C1119" s="48">
        <f>IF(B1119="","",IFERROR(INDEX('04A_국토부원자료'!$A:$T,ROW()+1,MATCH("번지",'04A_국토부원자료'!$A$4:$T$4,0)),""))</f>
        <v/>
      </c>
      <c r="D1119" s="48">
        <f>IF(B1119="","",IF(Q1119=1,'02_대상물건입력'!$B$8,IFERROR(INDEX('04A_국토부원자료'!$A:$T,ROW()+1,MATCH("단지명",'04A_국토부원자료'!$A$4:$T$4,0)),"")))</f>
        <v/>
      </c>
      <c r="E1119" s="172">
        <f>IFERROR(VALUE(SUBSTITUTE(INDEX('04A_국토부원자료'!$A:$T,ROW()+1,MATCH("전용면적(㎡)",'04A_국토부원자료'!$A$4:$T$4,0)),",","")),"")</f>
        <v/>
      </c>
      <c r="F11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19" s="51">
        <f>IFERROR(VALUE(SUBSTITUTE(INDEX('04A_국토부원자료'!$A:$T,ROW()+1,MATCH("거래금액(만원)",'04A_국토부원자료'!$A$4:$T$4,0)),",","")),"")</f>
        <v/>
      </c>
      <c r="H1119" s="174">
        <f>IF(G1119="","",G1119*10000)</f>
        <v/>
      </c>
      <c r="I1119" s="174">
        <f>IFERROR(IF(AND(H1119&gt;0,E1119&gt;0),H1119/E1119,""),"")</f>
        <v/>
      </c>
      <c r="J1119" s="152">
        <f>IFERROR(VALUE(SUBSTITUTE(INDEX('04A_국토부원자료'!$A:$T,ROW()+1,MATCH("층",'04A_국토부원자료'!$A$4:$T$4,0)),",","")),"")</f>
        <v/>
      </c>
      <c r="K1119" s="152">
        <f>IFERROR(VALUE(SUBSTITUTE(INDEX('04A_국토부원자료'!$A:$T,ROW()+1,MATCH("건축년도",'04A_국토부원자료'!$A$4:$T$4,0)),",","")),"")</f>
        <v/>
      </c>
      <c r="L1119" s="176">
        <f>IFERROR(INDEX('04A_국토부원자료'!$A:$T,ROW()+1,MATCH("도로명",'04A_국토부원자료'!$A$4:$T$4,0)),"")</f>
        <v/>
      </c>
      <c r="M1119" s="48">
        <f>IFERROR(INDEX('04A_국토부원자료'!$A:$T,ROW()+1,MATCH("거래유형",'04A_국토부원자료'!$A$4:$T$4,0)),"")</f>
        <v/>
      </c>
      <c r="N1119" s="152">
        <f>IF(B1119="","",IF('02_대상물건입력'!B5="",1,IF(ISNUMBER(SEARCH('02_대상물건입력'!B5,B1119)),1,0)))</f>
        <v/>
      </c>
      <c r="O1119" s="152">
        <f>IF(B1119="","",IF('02_대상물건입력'!B6="",1,IF(ISNUMBER(SEARCH('02_대상물건입력'!B6,B1119)),1,0)))</f>
        <v/>
      </c>
      <c r="P1119" s="152">
        <f>IF(L1119="","",IF('02_대상물건입력'!B15="",0,IF(ISNUMBER(SEARCH('02_대상물건입력'!B15,L1119)),1,0)))</f>
        <v/>
      </c>
      <c r="Q1119" s="152">
        <f>IF(OR(C1119="",L1119=""),0,IF(AND(TRIM(C1119)=TRIM(RIGHT(SUBSTITUTE(TRIM('02_대상물건입력'!$B$7)," ",REPT(" ",99)),99)),IF('02_대상물건입력'!B15="",TRUE(),ISNUMBER(SEARCH('02_대상물건입력'!B15,L1119)))),1,0))</f>
        <v/>
      </c>
      <c r="R1119" s="175">
        <f>IFERROR(ABS(E1119-'02_대상물건입력'!B11)/'02_대상물건입력'!B11,"")</f>
        <v/>
      </c>
      <c r="S1119" s="152">
        <f>IFERROR(ABS(J1119-'02_대상물건입력'!B10),"")</f>
        <v/>
      </c>
      <c r="T1119" s="152">
        <f>IFERROR(ABS('01_설정'!B4-F1119),"")</f>
        <v/>
      </c>
      <c r="U1119" s="152">
        <f>IFERROR(ABS(K1119-YEAR('02_대상물건입력'!B14)),"")</f>
        <v/>
      </c>
      <c r="V1119" s="152">
        <f>IF(B1119="","",IF(AND(E1119&gt;0,F1119&gt;0,H1119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1119=1,TRUE()),R1119&lt;='01_설정'!B5,S1119&lt;='01_설정'!B6,T1119&lt;='01_설정'!B7,U1119&lt;='01_설정'!B8),"Y",""))</f>
        <v/>
      </c>
      <c r="W1119" s="172">
        <f>IF(V1119&lt;&gt;"Y","",MAX(0,(1-R1119/'01_설정'!B5))*'01_설정'!B14+MAX(0,(1-S1119/'01_설정'!B6))*'01_설정'!B15+MAX(0,(1-T1119/'01_설정'!B7))*'01_설정'!B16+MAX(0,(1-U1119/'01_설정'!B8))*'01_설정'!B17+O1119*'01_설정'!B11+Q1119*'01_설정'!B12+P1119*'01_설정'!B13+IF(Z1119="",0,Z1119))</f>
        <v/>
      </c>
      <c r="X1119" s="152">
        <f>IF(W1119="","",1+COUNTIFS($W$4:$W$3003,"&gt;"&amp;W1119)+COUNTIFS($W$4:W1119,W1119)-1)</f>
        <v/>
      </c>
      <c r="Y1119" s="175">
        <f>IF(OR(I1119="",'02_대상물건입력'!B19="",'02_대상물건입력'!B19&lt;=0),"",ABS(I1119-'02_대상물건입력'!B19)/'02_대상물건입력'!B19)</f>
        <v/>
      </c>
      <c r="Z1119" s="172">
        <f>IF(OR(Y1119="",'01_설정'!B31="",'01_설정'!B31&lt;=0,'01_설정'!B32="",'01_설정'!B32&lt;=0),"",MAX(0,(1-Y1119/'01_설정'!B32))*'01_설정'!B31)</f>
        <v/>
      </c>
    </row>
    <row r="1120" ht="17.25" customHeight="1">
      <c r="A1120" s="152">
        <f>IF(INDEX('04A_국토부원자료'!$A:$A,ROW()+1)="","",ROW()-3)</f>
        <v/>
      </c>
      <c r="B1120" s="48">
        <f>IFERROR(INDEX('04A_국토부원자료'!$A:$T,ROW()+1,MATCH("시군구",'04A_국토부원자료'!$A$4:$T$4,0)),"")</f>
        <v/>
      </c>
      <c r="C1120" s="48">
        <f>IF(B1120="","",IFERROR(INDEX('04A_국토부원자료'!$A:$T,ROW()+1,MATCH("번지",'04A_국토부원자료'!$A$4:$T$4,0)),""))</f>
        <v/>
      </c>
      <c r="D1120" s="48">
        <f>IF(B1120="","",IF(Q1120=1,'02_대상물건입력'!$B$8,IFERROR(INDEX('04A_국토부원자료'!$A:$T,ROW()+1,MATCH("단지명",'04A_국토부원자료'!$A$4:$T$4,0)),"")))</f>
        <v/>
      </c>
      <c r="E1120" s="172">
        <f>IFERROR(VALUE(SUBSTITUTE(INDEX('04A_국토부원자료'!$A:$T,ROW()+1,MATCH("전용면적(㎡)",'04A_국토부원자료'!$A$4:$T$4,0)),",","")),"")</f>
        <v/>
      </c>
      <c r="F11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20" s="51">
        <f>IFERROR(VALUE(SUBSTITUTE(INDEX('04A_국토부원자료'!$A:$T,ROW()+1,MATCH("거래금액(만원)",'04A_국토부원자료'!$A$4:$T$4,0)),",","")),"")</f>
        <v/>
      </c>
      <c r="H1120" s="174">
        <f>IF(G1120="","",G1120*10000)</f>
        <v/>
      </c>
      <c r="I1120" s="174">
        <f>IFERROR(IF(AND(H1120&gt;0,E1120&gt;0),H1120/E1120,""),"")</f>
        <v/>
      </c>
      <c r="J1120" s="152">
        <f>IFERROR(VALUE(SUBSTITUTE(INDEX('04A_국토부원자료'!$A:$T,ROW()+1,MATCH("층",'04A_국토부원자료'!$A$4:$T$4,0)),",","")),"")</f>
        <v/>
      </c>
      <c r="K1120" s="152">
        <f>IFERROR(VALUE(SUBSTITUTE(INDEX('04A_국토부원자료'!$A:$T,ROW()+1,MATCH("건축년도",'04A_국토부원자료'!$A$4:$T$4,0)),",","")),"")</f>
        <v/>
      </c>
      <c r="L1120" s="176">
        <f>IFERROR(INDEX('04A_국토부원자료'!$A:$T,ROW()+1,MATCH("도로명",'04A_국토부원자료'!$A$4:$T$4,0)),"")</f>
        <v/>
      </c>
      <c r="M1120" s="48">
        <f>IFERROR(INDEX('04A_국토부원자료'!$A:$T,ROW()+1,MATCH("거래유형",'04A_국토부원자료'!$A$4:$T$4,0)),"")</f>
        <v/>
      </c>
      <c r="N1120" s="152">
        <f>IF(B1120="","",IF('02_대상물건입력'!B5="",1,IF(ISNUMBER(SEARCH('02_대상물건입력'!B5,B1120)),1,0)))</f>
        <v/>
      </c>
      <c r="O1120" s="152">
        <f>IF(B1120="","",IF('02_대상물건입력'!B6="",1,IF(ISNUMBER(SEARCH('02_대상물건입력'!B6,B1120)),1,0)))</f>
        <v/>
      </c>
      <c r="P1120" s="152">
        <f>IF(L1120="","",IF('02_대상물건입력'!B15="",0,IF(ISNUMBER(SEARCH('02_대상물건입력'!B15,L1120)),1,0)))</f>
        <v/>
      </c>
      <c r="Q1120" s="152">
        <f>IF(OR(C1120="",L1120=""),0,IF(AND(TRIM(C1120)=TRIM(RIGHT(SUBSTITUTE(TRIM('02_대상물건입력'!$B$7)," ",REPT(" ",99)),99)),IF('02_대상물건입력'!B15="",TRUE(),ISNUMBER(SEARCH('02_대상물건입력'!B15,L1120)))),1,0))</f>
        <v/>
      </c>
      <c r="R1120" s="175">
        <f>IFERROR(ABS(E1120-'02_대상물건입력'!B11)/'02_대상물건입력'!B11,"")</f>
        <v/>
      </c>
      <c r="S1120" s="152">
        <f>IFERROR(ABS(J1120-'02_대상물건입력'!B10),"")</f>
        <v/>
      </c>
      <c r="T1120" s="152">
        <f>IFERROR(ABS('01_설정'!B4-F1120),"")</f>
        <v/>
      </c>
      <c r="U1120" s="152">
        <f>IFERROR(ABS(K1120-YEAR('02_대상물건입력'!B14)),"")</f>
        <v/>
      </c>
      <c r="V1120" s="152">
        <f>IF(B1120="","",IF(AND(E1120&gt;0,F1120&gt;0,H1120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1120=1,TRUE()),R1120&lt;='01_설정'!B5,S1120&lt;='01_설정'!B6,T1120&lt;='01_설정'!B7,U1120&lt;='01_설정'!B8),"Y",""))</f>
        <v/>
      </c>
      <c r="W1120" s="172">
        <f>IF(V1120&lt;&gt;"Y","",MAX(0,(1-R1120/'01_설정'!B5))*'01_설정'!B14+MAX(0,(1-S1120/'01_설정'!B6))*'01_설정'!B15+MAX(0,(1-T1120/'01_설정'!B7))*'01_설정'!B16+MAX(0,(1-U1120/'01_설정'!B8))*'01_설정'!B17+O1120*'01_설정'!B11+Q1120*'01_설정'!B12+P1120*'01_설정'!B13+IF(Z1120="",0,Z1120))</f>
        <v/>
      </c>
      <c r="X1120" s="152">
        <f>IF(W1120="","",1+COUNTIFS($W$4:$W$3003,"&gt;"&amp;W1120)+COUNTIFS($W$4:W1120,W1120)-1)</f>
        <v/>
      </c>
      <c r="Y1120" s="175">
        <f>IF(OR(I1120="",'02_대상물건입력'!B19="",'02_대상물건입력'!B19&lt;=0),"",ABS(I1120-'02_대상물건입력'!B19)/'02_대상물건입력'!B19)</f>
        <v/>
      </c>
      <c r="Z1120" s="172">
        <f>IF(OR(Y1120="",'01_설정'!B31="",'01_설정'!B31&lt;=0,'01_설정'!B32="",'01_설정'!B32&lt;=0),"",MAX(0,(1-Y1120/'01_설정'!B32))*'01_설정'!B31)</f>
        <v/>
      </c>
    </row>
    <row r="1121" ht="17.25" customHeight="1">
      <c r="A1121" s="152">
        <f>IF(INDEX('04A_국토부원자료'!$A:$A,ROW()+1)="","",ROW()-3)</f>
        <v/>
      </c>
      <c r="B1121" s="48">
        <f>IFERROR(INDEX('04A_국토부원자료'!$A:$T,ROW()+1,MATCH("시군구",'04A_국토부원자료'!$A$4:$T$4,0)),"")</f>
        <v/>
      </c>
      <c r="C1121" s="48">
        <f>IF(B1121="","",IFERROR(INDEX('04A_국토부원자료'!$A:$T,ROW()+1,MATCH("번지",'04A_국토부원자료'!$A$4:$T$4,0)),""))</f>
        <v/>
      </c>
      <c r="D1121" s="48">
        <f>IF(B1121="","",IF(Q1121=1,'02_대상물건입력'!$B$8,IFERROR(INDEX('04A_국토부원자료'!$A:$T,ROW()+1,MATCH("단지명",'04A_국토부원자료'!$A$4:$T$4,0)),"")))</f>
        <v/>
      </c>
      <c r="E1121" s="172">
        <f>IFERROR(VALUE(SUBSTITUTE(INDEX('04A_국토부원자료'!$A:$T,ROW()+1,MATCH("전용면적(㎡)",'04A_국토부원자료'!$A$4:$T$4,0)),",","")),"")</f>
        <v/>
      </c>
      <c r="F11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21" s="51">
        <f>IFERROR(VALUE(SUBSTITUTE(INDEX('04A_국토부원자료'!$A:$T,ROW()+1,MATCH("거래금액(만원)",'04A_국토부원자료'!$A$4:$T$4,0)),",","")),"")</f>
        <v/>
      </c>
      <c r="H1121" s="174">
        <f>IF(G1121="","",G1121*10000)</f>
        <v/>
      </c>
      <c r="I1121" s="174">
        <f>IFERROR(IF(AND(H1121&gt;0,E1121&gt;0),H1121/E1121,""),"")</f>
        <v/>
      </c>
      <c r="J1121" s="152">
        <f>IFERROR(VALUE(SUBSTITUTE(INDEX('04A_국토부원자료'!$A:$T,ROW()+1,MATCH("층",'04A_국토부원자료'!$A$4:$T$4,0)),",","")),"")</f>
        <v/>
      </c>
      <c r="K1121" s="152">
        <f>IFERROR(VALUE(SUBSTITUTE(INDEX('04A_국토부원자료'!$A:$T,ROW()+1,MATCH("건축년도",'04A_국토부원자료'!$A$4:$T$4,0)),",","")),"")</f>
        <v/>
      </c>
      <c r="L1121" s="176">
        <f>IFERROR(INDEX('04A_국토부원자료'!$A:$T,ROW()+1,MATCH("도로명",'04A_국토부원자료'!$A$4:$T$4,0)),"")</f>
        <v/>
      </c>
      <c r="M1121" s="48">
        <f>IFERROR(INDEX('04A_국토부원자료'!$A:$T,ROW()+1,MATCH("거래유형",'04A_국토부원자료'!$A$4:$T$4,0)),"")</f>
        <v/>
      </c>
      <c r="N1121" s="152">
        <f>IF(B1121="","",IF('02_대상물건입력'!B5="",1,IF(ISNUMBER(SEARCH('02_대상물건입력'!B5,B1121)),1,0)))</f>
        <v/>
      </c>
      <c r="O1121" s="152">
        <f>IF(B1121="","",IF('02_대상물건입력'!B6="",1,IF(ISNUMBER(SEARCH('02_대상물건입력'!B6,B1121)),1,0)))</f>
        <v/>
      </c>
      <c r="P1121" s="152">
        <f>IF(L1121="","",IF('02_대상물건입력'!B15="",0,IF(ISNUMBER(SEARCH('02_대상물건입력'!B15,L1121)),1,0)))</f>
        <v/>
      </c>
      <c r="Q1121" s="152">
        <f>IF(OR(C1121="",L1121=""),0,IF(AND(TRIM(C1121)=TRIM(RIGHT(SUBSTITUTE(TRIM('02_대상물건입력'!$B$7)," ",REPT(" ",99)),99)),IF('02_대상물건입력'!B15="",TRUE(),ISNUMBER(SEARCH('02_대상물건입력'!B15,L1121)))),1,0))</f>
        <v/>
      </c>
      <c r="R1121" s="175">
        <f>IFERROR(ABS(E1121-'02_대상물건입력'!B11)/'02_대상물건입력'!B11,"")</f>
        <v/>
      </c>
      <c r="S1121" s="152">
        <f>IFERROR(ABS(J1121-'02_대상물건입력'!B10),"")</f>
        <v/>
      </c>
      <c r="T1121" s="152">
        <f>IFERROR(ABS('01_설정'!B4-F1121),"")</f>
        <v/>
      </c>
      <c r="U1121" s="152">
        <f>IFERROR(ABS(K1121-YEAR('02_대상물건입력'!B14)),"")</f>
        <v/>
      </c>
      <c r="V1121" s="152">
        <f>IF(B1121="","",IF(AND(E1121&gt;0,F1121&gt;0,H1121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1121=1,TRUE()),R1121&lt;='01_설정'!B5,S1121&lt;='01_설정'!B6,T1121&lt;='01_설정'!B7,U1121&lt;='01_설정'!B8),"Y",""))</f>
        <v/>
      </c>
      <c r="W1121" s="172">
        <f>IF(V1121&lt;&gt;"Y","",MAX(0,(1-R1121/'01_설정'!B5))*'01_설정'!B14+MAX(0,(1-S1121/'01_설정'!B6))*'01_설정'!B15+MAX(0,(1-T1121/'01_설정'!B7))*'01_설정'!B16+MAX(0,(1-U1121/'01_설정'!B8))*'01_설정'!B17+O1121*'01_설정'!B11+Q1121*'01_설정'!B12+P1121*'01_설정'!B13+IF(Z1121="",0,Z1121))</f>
        <v/>
      </c>
      <c r="X1121" s="152">
        <f>IF(W1121="","",1+COUNTIFS($W$4:$W$3003,"&gt;"&amp;W1121)+COUNTIFS($W$4:W1121,W1121)-1)</f>
        <v/>
      </c>
      <c r="Y1121" s="175">
        <f>IF(OR(I1121="",'02_대상물건입력'!B19="",'02_대상물건입력'!B19&lt;=0),"",ABS(I1121-'02_대상물건입력'!B19)/'02_대상물건입력'!B19)</f>
        <v/>
      </c>
      <c r="Z1121" s="172">
        <f>IF(OR(Y1121="",'01_설정'!B31="",'01_설정'!B31&lt;=0,'01_설정'!B32="",'01_설정'!B32&lt;=0),"",MAX(0,(1-Y1121/'01_설정'!B32))*'01_설정'!B31)</f>
        <v/>
      </c>
    </row>
    <row r="1122" ht="17.25" customHeight="1">
      <c r="A1122" s="152">
        <f>IF(INDEX('04A_국토부원자료'!$A:$A,ROW()+1)="","",ROW()-3)</f>
        <v/>
      </c>
      <c r="B1122" s="48">
        <f>IFERROR(INDEX('04A_국토부원자료'!$A:$T,ROW()+1,MATCH("시군구",'04A_국토부원자료'!$A$4:$T$4,0)),"")</f>
        <v/>
      </c>
      <c r="C1122" s="48">
        <f>IF(B1122="","",IFERROR(INDEX('04A_국토부원자료'!$A:$T,ROW()+1,MATCH("번지",'04A_국토부원자료'!$A$4:$T$4,0)),""))</f>
        <v/>
      </c>
      <c r="D1122" s="48">
        <f>IF(B1122="","",IF(Q1122=1,'02_대상물건입력'!$B$8,IFERROR(INDEX('04A_국토부원자료'!$A:$T,ROW()+1,MATCH("단지명",'04A_국토부원자료'!$A$4:$T$4,0)),"")))</f>
        <v/>
      </c>
      <c r="E1122" s="172">
        <f>IFERROR(VALUE(SUBSTITUTE(INDEX('04A_국토부원자료'!$A:$T,ROW()+1,MATCH("전용면적(㎡)",'04A_국토부원자료'!$A$4:$T$4,0)),",","")),"")</f>
        <v/>
      </c>
      <c r="F11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22" s="51">
        <f>IFERROR(VALUE(SUBSTITUTE(INDEX('04A_국토부원자료'!$A:$T,ROW()+1,MATCH("거래금액(만원)",'04A_국토부원자료'!$A$4:$T$4,0)),",","")),"")</f>
        <v/>
      </c>
      <c r="H1122" s="174">
        <f>IF(G1122="","",G1122*10000)</f>
        <v/>
      </c>
      <c r="I1122" s="174">
        <f>IFERROR(IF(AND(H1122&gt;0,E1122&gt;0),H1122/E1122,""),"")</f>
        <v/>
      </c>
      <c r="J1122" s="152">
        <f>IFERROR(VALUE(SUBSTITUTE(INDEX('04A_국토부원자료'!$A:$T,ROW()+1,MATCH("층",'04A_국토부원자료'!$A$4:$T$4,0)),",","")),"")</f>
        <v/>
      </c>
      <c r="K1122" s="152">
        <f>IFERROR(VALUE(SUBSTITUTE(INDEX('04A_국토부원자료'!$A:$T,ROW()+1,MATCH("건축년도",'04A_국토부원자료'!$A$4:$T$4,0)),",","")),"")</f>
        <v/>
      </c>
      <c r="L1122" s="176">
        <f>IFERROR(INDEX('04A_국토부원자료'!$A:$T,ROW()+1,MATCH("도로명",'04A_국토부원자료'!$A$4:$T$4,0)),"")</f>
        <v/>
      </c>
      <c r="M1122" s="48">
        <f>IFERROR(INDEX('04A_국토부원자료'!$A:$T,ROW()+1,MATCH("거래유형",'04A_국토부원자료'!$A$4:$T$4,0)),"")</f>
        <v/>
      </c>
      <c r="N1122" s="152">
        <f>IF(B1122="","",IF('02_대상물건입력'!B5="",1,IF(ISNUMBER(SEARCH('02_대상물건입력'!B5,B1122)),1,0)))</f>
        <v/>
      </c>
      <c r="O1122" s="152">
        <f>IF(B1122="","",IF('02_대상물건입력'!B6="",1,IF(ISNUMBER(SEARCH('02_대상물건입력'!B6,B1122)),1,0)))</f>
        <v/>
      </c>
      <c r="P1122" s="152">
        <f>IF(L1122="","",IF('02_대상물건입력'!B15="",0,IF(ISNUMBER(SEARCH('02_대상물건입력'!B15,L1122)),1,0)))</f>
        <v/>
      </c>
      <c r="Q1122" s="152">
        <f>IF(OR(C1122="",L1122=""),0,IF(AND(TRIM(C1122)=TRIM(RIGHT(SUBSTITUTE(TRIM('02_대상물건입력'!$B$7)," ",REPT(" ",99)),99)),IF('02_대상물건입력'!B15="",TRUE(),ISNUMBER(SEARCH('02_대상물건입력'!B15,L1122)))),1,0))</f>
        <v/>
      </c>
      <c r="R1122" s="175">
        <f>IFERROR(ABS(E1122-'02_대상물건입력'!B11)/'02_대상물건입력'!B11,"")</f>
        <v/>
      </c>
      <c r="S1122" s="152">
        <f>IFERROR(ABS(J1122-'02_대상물건입력'!B10),"")</f>
        <v/>
      </c>
      <c r="T1122" s="152">
        <f>IFERROR(ABS('01_설정'!B4-F1122),"")</f>
        <v/>
      </c>
      <c r="U1122" s="152">
        <f>IFERROR(ABS(K1122-YEAR('02_대상물건입력'!B14)),"")</f>
        <v/>
      </c>
      <c r="V1122" s="152">
        <f>IF(B1122="","",IF(AND(E1122&gt;0,F1122&gt;0,H1122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1122=1,TRUE()),R1122&lt;='01_설정'!B5,S1122&lt;='01_설정'!B6,T1122&lt;='01_설정'!B7,U1122&lt;='01_설정'!B8),"Y",""))</f>
        <v/>
      </c>
      <c r="W1122" s="172">
        <f>IF(V1122&lt;&gt;"Y","",MAX(0,(1-R1122/'01_설정'!B5))*'01_설정'!B14+MAX(0,(1-S1122/'01_설정'!B6))*'01_설정'!B15+MAX(0,(1-T1122/'01_설정'!B7))*'01_설정'!B16+MAX(0,(1-U1122/'01_설정'!B8))*'01_설정'!B17+O1122*'01_설정'!B11+Q1122*'01_설정'!B12+P1122*'01_설정'!B13+IF(Z1122="",0,Z1122))</f>
        <v/>
      </c>
      <c r="X1122" s="152">
        <f>IF(W1122="","",1+COUNTIFS($W$4:$W$3003,"&gt;"&amp;W1122)+COUNTIFS($W$4:W1122,W1122)-1)</f>
        <v/>
      </c>
      <c r="Y1122" s="175">
        <f>IF(OR(I1122="",'02_대상물건입력'!B19="",'02_대상물건입력'!B19&lt;=0),"",ABS(I1122-'02_대상물건입력'!B19)/'02_대상물건입력'!B19)</f>
        <v/>
      </c>
      <c r="Z1122" s="172">
        <f>IF(OR(Y1122="",'01_설정'!B31="",'01_설정'!B31&lt;=0,'01_설정'!B32="",'01_설정'!B32&lt;=0),"",MAX(0,(1-Y1122/'01_설정'!B32))*'01_설정'!B31)</f>
        <v/>
      </c>
    </row>
    <row r="1123" ht="17.25" customHeight="1">
      <c r="A1123" s="152">
        <f>IF(INDEX('04A_국토부원자료'!$A:$A,ROW()+1)="","",ROW()-3)</f>
        <v/>
      </c>
      <c r="B1123" s="48">
        <f>IFERROR(INDEX('04A_국토부원자료'!$A:$T,ROW()+1,MATCH("시군구",'04A_국토부원자료'!$A$4:$T$4,0)),"")</f>
        <v/>
      </c>
      <c r="C1123" s="48">
        <f>IF(B1123="","",IFERROR(INDEX('04A_국토부원자료'!$A:$T,ROW()+1,MATCH("번지",'04A_국토부원자료'!$A$4:$T$4,0)),""))</f>
        <v/>
      </c>
      <c r="D1123" s="48">
        <f>IF(B1123="","",IF(Q1123=1,'02_대상물건입력'!$B$8,IFERROR(INDEX('04A_국토부원자료'!$A:$T,ROW()+1,MATCH("단지명",'04A_국토부원자료'!$A$4:$T$4,0)),"")))</f>
        <v/>
      </c>
      <c r="E1123" s="172">
        <f>IFERROR(VALUE(SUBSTITUTE(INDEX('04A_국토부원자료'!$A:$T,ROW()+1,MATCH("전용면적(㎡)",'04A_국토부원자료'!$A$4:$T$4,0)),",","")),"")</f>
        <v/>
      </c>
      <c r="F11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23" s="51">
        <f>IFERROR(VALUE(SUBSTITUTE(INDEX('04A_국토부원자료'!$A:$T,ROW()+1,MATCH("거래금액(만원)",'04A_국토부원자료'!$A$4:$T$4,0)),",","")),"")</f>
        <v/>
      </c>
      <c r="H1123" s="174">
        <f>IF(G1123="","",G1123*10000)</f>
        <v/>
      </c>
      <c r="I1123" s="174">
        <f>IFERROR(IF(AND(H1123&gt;0,E1123&gt;0),H1123/E1123,""),"")</f>
        <v/>
      </c>
      <c r="J1123" s="152">
        <f>IFERROR(VALUE(SUBSTITUTE(INDEX('04A_국토부원자료'!$A:$T,ROW()+1,MATCH("층",'04A_국토부원자료'!$A$4:$T$4,0)),",","")),"")</f>
        <v/>
      </c>
      <c r="K1123" s="152">
        <f>IFERROR(VALUE(SUBSTITUTE(INDEX('04A_국토부원자료'!$A:$T,ROW()+1,MATCH("건축년도",'04A_국토부원자료'!$A$4:$T$4,0)),",","")),"")</f>
        <v/>
      </c>
      <c r="L1123" s="176">
        <f>IFERROR(INDEX('04A_국토부원자료'!$A:$T,ROW()+1,MATCH("도로명",'04A_국토부원자료'!$A$4:$T$4,0)),"")</f>
        <v/>
      </c>
      <c r="M1123" s="48">
        <f>IFERROR(INDEX('04A_국토부원자료'!$A:$T,ROW()+1,MATCH("거래유형",'04A_국토부원자료'!$A$4:$T$4,0)),"")</f>
        <v/>
      </c>
      <c r="N1123" s="152">
        <f>IF(B1123="","",IF('02_대상물건입력'!B5="",1,IF(ISNUMBER(SEARCH('02_대상물건입력'!B5,B1123)),1,0)))</f>
        <v/>
      </c>
      <c r="O1123" s="152">
        <f>IF(B1123="","",IF('02_대상물건입력'!B6="",1,IF(ISNUMBER(SEARCH('02_대상물건입력'!B6,B1123)),1,0)))</f>
        <v/>
      </c>
      <c r="P1123" s="152">
        <f>IF(L1123="","",IF('02_대상물건입력'!B15="",0,IF(ISNUMBER(SEARCH('02_대상물건입력'!B15,L1123)),1,0)))</f>
        <v/>
      </c>
      <c r="Q1123" s="152">
        <f>IF(OR(C1123="",L1123=""),0,IF(AND(TRIM(C1123)=TRIM(RIGHT(SUBSTITUTE(TRIM('02_대상물건입력'!$B$7)," ",REPT(" ",99)),99)),IF('02_대상물건입력'!B15="",TRUE(),ISNUMBER(SEARCH('02_대상물건입력'!B15,L1123)))),1,0))</f>
        <v/>
      </c>
      <c r="R1123" s="175">
        <f>IFERROR(ABS(E1123-'02_대상물건입력'!B11)/'02_대상물건입력'!B11,"")</f>
        <v/>
      </c>
      <c r="S1123" s="152">
        <f>IFERROR(ABS(J1123-'02_대상물건입력'!B10),"")</f>
        <v/>
      </c>
      <c r="T1123" s="152">
        <f>IFERROR(ABS('01_설정'!B4-F1123),"")</f>
        <v/>
      </c>
      <c r="U1123" s="152">
        <f>IFERROR(ABS(K1123-YEAR('02_대상물건입력'!B14)),"")</f>
        <v/>
      </c>
      <c r="V1123" s="152">
        <f>IF(B1123="","",IF(AND(E1123&gt;0,F1123&gt;0,H1123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1123=1,TRUE()),R1123&lt;='01_설정'!B5,S1123&lt;='01_설정'!B6,T1123&lt;='01_설정'!B7,U1123&lt;='01_설정'!B8),"Y",""))</f>
        <v/>
      </c>
      <c r="W1123" s="172">
        <f>IF(V1123&lt;&gt;"Y","",MAX(0,(1-R1123/'01_설정'!B5))*'01_설정'!B14+MAX(0,(1-S1123/'01_설정'!B6))*'01_설정'!B15+MAX(0,(1-T1123/'01_설정'!B7))*'01_설정'!B16+MAX(0,(1-U1123/'01_설정'!B8))*'01_설정'!B17+O1123*'01_설정'!B11+Q1123*'01_설정'!B12+P1123*'01_설정'!B13+IF(Z1123="",0,Z1123))</f>
        <v/>
      </c>
      <c r="X1123" s="152">
        <f>IF(W1123="","",1+COUNTIFS($W$4:$W$3003,"&gt;"&amp;W1123)+COUNTIFS($W$4:W1123,W1123)-1)</f>
        <v/>
      </c>
      <c r="Y1123" s="175">
        <f>IF(OR(I1123="",'02_대상물건입력'!B19="",'02_대상물건입력'!B19&lt;=0),"",ABS(I1123-'02_대상물건입력'!B19)/'02_대상물건입력'!B19)</f>
        <v/>
      </c>
      <c r="Z1123" s="172">
        <f>IF(OR(Y1123="",'01_설정'!B31="",'01_설정'!B31&lt;=0,'01_설정'!B32="",'01_설정'!B32&lt;=0),"",MAX(0,(1-Y1123/'01_설정'!B32))*'01_설정'!B31)</f>
        <v/>
      </c>
    </row>
    <row r="1124" ht="17.25" customHeight="1">
      <c r="A1124" s="152">
        <f>IF(INDEX('04A_국토부원자료'!$A:$A,ROW()+1)="","",ROW()-3)</f>
        <v/>
      </c>
      <c r="B1124" s="48">
        <f>IFERROR(INDEX('04A_국토부원자료'!$A:$T,ROW()+1,MATCH("시군구",'04A_국토부원자료'!$A$4:$T$4,0)),"")</f>
        <v/>
      </c>
      <c r="C1124" s="48">
        <f>IF(B1124="","",IFERROR(INDEX('04A_국토부원자료'!$A:$T,ROW()+1,MATCH("번지",'04A_국토부원자료'!$A$4:$T$4,0)),""))</f>
        <v/>
      </c>
      <c r="D1124" s="48">
        <f>IF(B1124="","",IF(Q1124=1,'02_대상물건입력'!$B$8,IFERROR(INDEX('04A_국토부원자료'!$A:$T,ROW()+1,MATCH("단지명",'04A_국토부원자료'!$A$4:$T$4,0)),"")))</f>
        <v/>
      </c>
      <c r="E1124" s="172">
        <f>IFERROR(VALUE(SUBSTITUTE(INDEX('04A_국토부원자료'!$A:$T,ROW()+1,MATCH("전용면적(㎡)",'04A_국토부원자료'!$A$4:$T$4,0)),",","")),"")</f>
        <v/>
      </c>
      <c r="F11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24" s="51">
        <f>IFERROR(VALUE(SUBSTITUTE(INDEX('04A_국토부원자료'!$A:$T,ROW()+1,MATCH("거래금액(만원)",'04A_국토부원자료'!$A$4:$T$4,0)),",","")),"")</f>
        <v/>
      </c>
      <c r="H1124" s="174">
        <f>IF(G1124="","",G1124*10000)</f>
        <v/>
      </c>
      <c r="I1124" s="174">
        <f>IFERROR(IF(AND(H1124&gt;0,E1124&gt;0),H1124/E1124,""),"")</f>
        <v/>
      </c>
      <c r="J1124" s="152">
        <f>IFERROR(VALUE(SUBSTITUTE(INDEX('04A_국토부원자료'!$A:$T,ROW()+1,MATCH("층",'04A_국토부원자료'!$A$4:$T$4,0)),",","")),"")</f>
        <v/>
      </c>
      <c r="K1124" s="152">
        <f>IFERROR(VALUE(SUBSTITUTE(INDEX('04A_국토부원자료'!$A:$T,ROW()+1,MATCH("건축년도",'04A_국토부원자료'!$A$4:$T$4,0)),",","")),"")</f>
        <v/>
      </c>
      <c r="L1124" s="176">
        <f>IFERROR(INDEX('04A_국토부원자료'!$A:$T,ROW()+1,MATCH("도로명",'04A_국토부원자료'!$A$4:$T$4,0)),"")</f>
        <v/>
      </c>
      <c r="M1124" s="48">
        <f>IFERROR(INDEX('04A_국토부원자료'!$A:$T,ROW()+1,MATCH("거래유형",'04A_국토부원자료'!$A$4:$T$4,0)),"")</f>
        <v/>
      </c>
      <c r="N1124" s="152">
        <f>IF(B1124="","",IF('02_대상물건입력'!B5="",1,IF(ISNUMBER(SEARCH('02_대상물건입력'!B5,B1124)),1,0)))</f>
        <v/>
      </c>
      <c r="O1124" s="152">
        <f>IF(B1124="","",IF('02_대상물건입력'!B6="",1,IF(ISNUMBER(SEARCH('02_대상물건입력'!B6,B1124)),1,0)))</f>
        <v/>
      </c>
      <c r="P1124" s="152">
        <f>IF(L1124="","",IF('02_대상물건입력'!B15="",0,IF(ISNUMBER(SEARCH('02_대상물건입력'!B15,L1124)),1,0)))</f>
        <v/>
      </c>
      <c r="Q1124" s="152">
        <f>IF(OR(C1124="",L1124=""),0,IF(AND(TRIM(C1124)=TRIM(RIGHT(SUBSTITUTE(TRIM('02_대상물건입력'!$B$7)," ",REPT(" ",99)),99)),IF('02_대상물건입력'!B15="",TRUE(),ISNUMBER(SEARCH('02_대상물건입력'!B15,L1124)))),1,0))</f>
        <v/>
      </c>
      <c r="R1124" s="175">
        <f>IFERROR(ABS(E1124-'02_대상물건입력'!B11)/'02_대상물건입력'!B11,"")</f>
        <v/>
      </c>
      <c r="S1124" s="152">
        <f>IFERROR(ABS(J1124-'02_대상물건입력'!B10),"")</f>
        <v/>
      </c>
      <c r="T1124" s="152">
        <f>IFERROR(ABS('01_설정'!B4-F1124),"")</f>
        <v/>
      </c>
      <c r="U1124" s="152">
        <f>IFERROR(ABS(K1124-YEAR('02_대상물건입력'!B14)),"")</f>
        <v/>
      </c>
      <c r="V1124" s="152">
        <f>IF(B1124="","",IF(AND(E1124&gt;0,F1124&gt;0,H1124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1124=1,TRUE()),R1124&lt;='01_설정'!B5,S1124&lt;='01_설정'!B6,T1124&lt;='01_설정'!B7,U1124&lt;='01_설정'!B8),"Y",""))</f>
        <v/>
      </c>
      <c r="W1124" s="172">
        <f>IF(V1124&lt;&gt;"Y","",MAX(0,(1-R1124/'01_설정'!B5))*'01_설정'!B14+MAX(0,(1-S1124/'01_설정'!B6))*'01_설정'!B15+MAX(0,(1-T1124/'01_설정'!B7))*'01_설정'!B16+MAX(0,(1-U1124/'01_설정'!B8))*'01_설정'!B17+O1124*'01_설정'!B11+Q1124*'01_설정'!B12+P1124*'01_설정'!B13+IF(Z1124="",0,Z1124))</f>
        <v/>
      </c>
      <c r="X1124" s="152">
        <f>IF(W1124="","",1+COUNTIFS($W$4:$W$3003,"&gt;"&amp;W1124)+COUNTIFS($W$4:W1124,W1124)-1)</f>
        <v/>
      </c>
      <c r="Y1124" s="175">
        <f>IF(OR(I1124="",'02_대상물건입력'!B19="",'02_대상물건입력'!B19&lt;=0),"",ABS(I1124-'02_대상물건입력'!B19)/'02_대상물건입력'!B19)</f>
        <v/>
      </c>
      <c r="Z1124" s="172">
        <f>IF(OR(Y1124="",'01_설정'!B31="",'01_설정'!B31&lt;=0,'01_설정'!B32="",'01_설정'!B32&lt;=0),"",MAX(0,(1-Y1124/'01_설정'!B32))*'01_설정'!B31)</f>
        <v/>
      </c>
    </row>
    <row r="1125" ht="17.25" customHeight="1">
      <c r="A1125" s="152">
        <f>IF(INDEX('04A_국토부원자료'!$A:$A,ROW()+1)="","",ROW()-3)</f>
        <v/>
      </c>
      <c r="B1125" s="48">
        <f>IFERROR(INDEX('04A_국토부원자료'!$A:$T,ROW()+1,MATCH("시군구",'04A_국토부원자료'!$A$4:$T$4,0)),"")</f>
        <v/>
      </c>
      <c r="C1125" s="48">
        <f>IF(B1125="","",IFERROR(INDEX('04A_국토부원자료'!$A:$T,ROW()+1,MATCH("번지",'04A_국토부원자료'!$A$4:$T$4,0)),""))</f>
        <v/>
      </c>
      <c r="D1125" s="48">
        <f>IF(B1125="","",IF(Q1125=1,'02_대상물건입력'!$B$8,IFERROR(INDEX('04A_국토부원자료'!$A:$T,ROW()+1,MATCH("단지명",'04A_국토부원자료'!$A$4:$T$4,0)),"")))</f>
        <v/>
      </c>
      <c r="E1125" s="172">
        <f>IFERROR(VALUE(SUBSTITUTE(INDEX('04A_국토부원자료'!$A:$T,ROW()+1,MATCH("전용면적(㎡)",'04A_국토부원자료'!$A$4:$T$4,0)),",","")),"")</f>
        <v/>
      </c>
      <c r="F11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25" s="51">
        <f>IFERROR(VALUE(SUBSTITUTE(INDEX('04A_국토부원자료'!$A:$T,ROW()+1,MATCH("거래금액(만원)",'04A_국토부원자료'!$A$4:$T$4,0)),",","")),"")</f>
        <v/>
      </c>
      <c r="H1125" s="174">
        <f>IF(G1125="","",G1125*10000)</f>
        <v/>
      </c>
      <c r="I1125" s="174">
        <f>IFERROR(IF(AND(H1125&gt;0,E1125&gt;0),H1125/E1125,""),"")</f>
        <v/>
      </c>
      <c r="J1125" s="152">
        <f>IFERROR(VALUE(SUBSTITUTE(INDEX('04A_국토부원자료'!$A:$T,ROW()+1,MATCH("층",'04A_국토부원자료'!$A$4:$T$4,0)),",","")),"")</f>
        <v/>
      </c>
      <c r="K1125" s="152">
        <f>IFERROR(VALUE(SUBSTITUTE(INDEX('04A_국토부원자료'!$A:$T,ROW()+1,MATCH("건축년도",'04A_국토부원자료'!$A$4:$T$4,0)),",","")),"")</f>
        <v/>
      </c>
      <c r="L1125" s="176">
        <f>IFERROR(INDEX('04A_국토부원자료'!$A:$T,ROW()+1,MATCH("도로명",'04A_국토부원자료'!$A$4:$T$4,0)),"")</f>
        <v/>
      </c>
      <c r="M1125" s="48">
        <f>IFERROR(INDEX('04A_국토부원자료'!$A:$T,ROW()+1,MATCH("거래유형",'04A_국토부원자료'!$A$4:$T$4,0)),"")</f>
        <v/>
      </c>
      <c r="N1125" s="152">
        <f>IF(B1125="","",IF('02_대상물건입력'!B5="",1,IF(ISNUMBER(SEARCH('02_대상물건입력'!B5,B1125)),1,0)))</f>
        <v/>
      </c>
      <c r="O1125" s="152">
        <f>IF(B1125="","",IF('02_대상물건입력'!B6="",1,IF(ISNUMBER(SEARCH('02_대상물건입력'!B6,B1125)),1,0)))</f>
        <v/>
      </c>
      <c r="P1125" s="152">
        <f>IF(L1125="","",IF('02_대상물건입력'!B15="",0,IF(ISNUMBER(SEARCH('02_대상물건입력'!B15,L1125)),1,0)))</f>
        <v/>
      </c>
      <c r="Q1125" s="152">
        <f>IF(OR(C1125="",L1125=""),0,IF(AND(TRIM(C1125)=TRIM(RIGHT(SUBSTITUTE(TRIM('02_대상물건입력'!$B$7)," ",REPT(" ",99)),99)),IF('02_대상물건입력'!B15="",TRUE(),ISNUMBER(SEARCH('02_대상물건입력'!B15,L1125)))),1,0))</f>
        <v/>
      </c>
      <c r="R1125" s="175">
        <f>IFERROR(ABS(E1125-'02_대상물건입력'!B11)/'02_대상물건입력'!B11,"")</f>
        <v/>
      </c>
      <c r="S1125" s="152">
        <f>IFERROR(ABS(J1125-'02_대상물건입력'!B10),"")</f>
        <v/>
      </c>
      <c r="T1125" s="152">
        <f>IFERROR(ABS('01_설정'!B4-F1125),"")</f>
        <v/>
      </c>
      <c r="U1125" s="152">
        <f>IFERROR(ABS(K1125-YEAR('02_대상물건입력'!B14)),"")</f>
        <v/>
      </c>
      <c r="V1125" s="152">
        <f>IF(B1125="","",IF(AND(E1125&gt;0,F1125&gt;0,H1125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1125=1,TRUE()),R1125&lt;='01_설정'!B5,S1125&lt;='01_설정'!B6,T1125&lt;='01_설정'!B7,U1125&lt;='01_설정'!B8),"Y",""))</f>
        <v/>
      </c>
      <c r="W1125" s="172">
        <f>IF(V1125&lt;&gt;"Y","",MAX(0,(1-R1125/'01_설정'!B5))*'01_설정'!B14+MAX(0,(1-S1125/'01_설정'!B6))*'01_설정'!B15+MAX(0,(1-T1125/'01_설정'!B7))*'01_설정'!B16+MAX(0,(1-U1125/'01_설정'!B8))*'01_설정'!B17+O1125*'01_설정'!B11+Q1125*'01_설정'!B12+P1125*'01_설정'!B13+IF(Z1125="",0,Z1125))</f>
        <v/>
      </c>
      <c r="X1125" s="152">
        <f>IF(W1125="","",1+COUNTIFS($W$4:$W$3003,"&gt;"&amp;W1125)+COUNTIFS($W$4:W1125,W1125)-1)</f>
        <v/>
      </c>
      <c r="Y1125" s="175">
        <f>IF(OR(I1125="",'02_대상물건입력'!B19="",'02_대상물건입력'!B19&lt;=0),"",ABS(I1125-'02_대상물건입력'!B19)/'02_대상물건입력'!B19)</f>
        <v/>
      </c>
      <c r="Z1125" s="172">
        <f>IF(OR(Y1125="",'01_설정'!B31="",'01_설정'!B31&lt;=0,'01_설정'!B32="",'01_설정'!B32&lt;=0),"",MAX(0,(1-Y1125/'01_설정'!B32))*'01_설정'!B31)</f>
        <v/>
      </c>
    </row>
    <row r="1126" ht="17.25" customHeight="1">
      <c r="A1126" s="152">
        <f>IF(INDEX('04A_국토부원자료'!$A:$A,ROW()+1)="","",ROW()-3)</f>
        <v/>
      </c>
      <c r="B1126" s="48">
        <f>IFERROR(INDEX('04A_국토부원자료'!$A:$T,ROW()+1,MATCH("시군구",'04A_국토부원자료'!$A$4:$T$4,0)),"")</f>
        <v/>
      </c>
      <c r="C1126" s="48">
        <f>IF(B1126="","",IFERROR(INDEX('04A_국토부원자료'!$A:$T,ROW()+1,MATCH("번지",'04A_국토부원자료'!$A$4:$T$4,0)),""))</f>
        <v/>
      </c>
      <c r="D1126" s="48">
        <f>IF(B1126="","",IF(Q1126=1,'02_대상물건입력'!$B$8,IFERROR(INDEX('04A_국토부원자료'!$A:$T,ROW()+1,MATCH("단지명",'04A_국토부원자료'!$A$4:$T$4,0)),"")))</f>
        <v/>
      </c>
      <c r="E1126" s="172">
        <f>IFERROR(VALUE(SUBSTITUTE(INDEX('04A_국토부원자료'!$A:$T,ROW()+1,MATCH("전용면적(㎡)",'04A_국토부원자료'!$A$4:$T$4,0)),",","")),"")</f>
        <v/>
      </c>
      <c r="F11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26" s="51">
        <f>IFERROR(VALUE(SUBSTITUTE(INDEX('04A_국토부원자료'!$A:$T,ROW()+1,MATCH("거래금액(만원)",'04A_국토부원자료'!$A$4:$T$4,0)),",","")),"")</f>
        <v/>
      </c>
      <c r="H1126" s="174">
        <f>IF(G1126="","",G1126*10000)</f>
        <v/>
      </c>
      <c r="I1126" s="174">
        <f>IFERROR(IF(AND(H1126&gt;0,E1126&gt;0),H1126/E1126,""),"")</f>
        <v/>
      </c>
      <c r="J1126" s="152">
        <f>IFERROR(VALUE(SUBSTITUTE(INDEX('04A_국토부원자료'!$A:$T,ROW()+1,MATCH("층",'04A_국토부원자료'!$A$4:$T$4,0)),",","")),"")</f>
        <v/>
      </c>
      <c r="K1126" s="152">
        <f>IFERROR(VALUE(SUBSTITUTE(INDEX('04A_국토부원자료'!$A:$T,ROW()+1,MATCH("건축년도",'04A_국토부원자료'!$A$4:$T$4,0)),",","")),"")</f>
        <v/>
      </c>
      <c r="L1126" s="176">
        <f>IFERROR(INDEX('04A_국토부원자료'!$A:$T,ROW()+1,MATCH("도로명",'04A_국토부원자료'!$A$4:$T$4,0)),"")</f>
        <v/>
      </c>
      <c r="M1126" s="48">
        <f>IFERROR(INDEX('04A_국토부원자료'!$A:$T,ROW()+1,MATCH("거래유형",'04A_국토부원자료'!$A$4:$T$4,0)),"")</f>
        <v/>
      </c>
      <c r="N1126" s="152">
        <f>IF(B1126="","",IF('02_대상물건입력'!B5="",1,IF(ISNUMBER(SEARCH('02_대상물건입력'!B5,B1126)),1,0)))</f>
        <v/>
      </c>
      <c r="O1126" s="152">
        <f>IF(B1126="","",IF('02_대상물건입력'!B6="",1,IF(ISNUMBER(SEARCH('02_대상물건입력'!B6,B1126)),1,0)))</f>
        <v/>
      </c>
      <c r="P1126" s="152">
        <f>IF(L1126="","",IF('02_대상물건입력'!B15="",0,IF(ISNUMBER(SEARCH('02_대상물건입력'!B15,L1126)),1,0)))</f>
        <v/>
      </c>
      <c r="Q1126" s="152">
        <f>IF(OR(C1126="",L1126=""),0,IF(AND(TRIM(C1126)=TRIM(RIGHT(SUBSTITUTE(TRIM('02_대상물건입력'!$B$7)," ",REPT(" ",99)),99)),IF('02_대상물건입력'!B15="",TRUE(),ISNUMBER(SEARCH('02_대상물건입력'!B15,L1126)))),1,0))</f>
        <v/>
      </c>
      <c r="R1126" s="175">
        <f>IFERROR(ABS(E1126-'02_대상물건입력'!B11)/'02_대상물건입력'!B11,"")</f>
        <v/>
      </c>
      <c r="S1126" s="152">
        <f>IFERROR(ABS(J1126-'02_대상물건입력'!B10),"")</f>
        <v/>
      </c>
      <c r="T1126" s="152">
        <f>IFERROR(ABS('01_설정'!B4-F1126),"")</f>
        <v/>
      </c>
      <c r="U1126" s="152">
        <f>IFERROR(ABS(K1126-YEAR('02_대상물건입력'!B14)),"")</f>
        <v/>
      </c>
      <c r="V1126" s="152">
        <f>IF(B1126="","",IF(AND(E1126&gt;0,F1126&gt;0,H1126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1126=1,TRUE()),R1126&lt;='01_설정'!B5,S1126&lt;='01_설정'!B6,T1126&lt;='01_설정'!B7,U1126&lt;='01_설정'!B8),"Y",""))</f>
        <v/>
      </c>
      <c r="W1126" s="172">
        <f>IF(V1126&lt;&gt;"Y","",MAX(0,(1-R1126/'01_설정'!B5))*'01_설정'!B14+MAX(0,(1-S1126/'01_설정'!B6))*'01_설정'!B15+MAX(0,(1-T1126/'01_설정'!B7))*'01_설정'!B16+MAX(0,(1-U1126/'01_설정'!B8))*'01_설정'!B17+O1126*'01_설정'!B11+Q1126*'01_설정'!B12+P1126*'01_설정'!B13+IF(Z1126="",0,Z1126))</f>
        <v/>
      </c>
      <c r="X1126" s="152">
        <f>IF(W1126="","",1+COUNTIFS($W$4:$W$3003,"&gt;"&amp;W1126)+COUNTIFS($W$4:W1126,W1126)-1)</f>
        <v/>
      </c>
      <c r="Y1126" s="175">
        <f>IF(OR(I1126="",'02_대상물건입력'!B19="",'02_대상물건입력'!B19&lt;=0),"",ABS(I1126-'02_대상물건입력'!B19)/'02_대상물건입력'!B19)</f>
        <v/>
      </c>
      <c r="Z1126" s="172">
        <f>IF(OR(Y1126="",'01_설정'!B31="",'01_설정'!B31&lt;=0,'01_설정'!B32="",'01_설정'!B32&lt;=0),"",MAX(0,(1-Y1126/'01_설정'!B32))*'01_설정'!B31)</f>
        <v/>
      </c>
    </row>
    <row r="1127" ht="17.25" customHeight="1">
      <c r="A1127" s="152">
        <f>IF(INDEX('04A_국토부원자료'!$A:$A,ROW()+1)="","",ROW()-3)</f>
        <v/>
      </c>
      <c r="B1127" s="48">
        <f>IFERROR(INDEX('04A_국토부원자료'!$A:$T,ROW()+1,MATCH("시군구",'04A_국토부원자료'!$A$4:$T$4,0)),"")</f>
        <v/>
      </c>
      <c r="C1127" s="48">
        <f>IF(B1127="","",IFERROR(INDEX('04A_국토부원자료'!$A:$T,ROW()+1,MATCH("번지",'04A_국토부원자료'!$A$4:$T$4,0)),""))</f>
        <v/>
      </c>
      <c r="D1127" s="48">
        <f>IF(B1127="","",IF(Q1127=1,'02_대상물건입력'!$B$8,IFERROR(INDEX('04A_국토부원자료'!$A:$T,ROW()+1,MATCH("단지명",'04A_국토부원자료'!$A$4:$T$4,0)),"")))</f>
        <v/>
      </c>
      <c r="E1127" s="172">
        <f>IFERROR(VALUE(SUBSTITUTE(INDEX('04A_국토부원자료'!$A:$T,ROW()+1,MATCH("전용면적(㎡)",'04A_국토부원자료'!$A$4:$T$4,0)),",","")),"")</f>
        <v/>
      </c>
      <c r="F11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27" s="51">
        <f>IFERROR(VALUE(SUBSTITUTE(INDEX('04A_국토부원자료'!$A:$T,ROW()+1,MATCH("거래금액(만원)",'04A_국토부원자료'!$A$4:$T$4,0)),",","")),"")</f>
        <v/>
      </c>
      <c r="H1127" s="174">
        <f>IF(G1127="","",G1127*10000)</f>
        <v/>
      </c>
      <c r="I1127" s="174">
        <f>IFERROR(IF(AND(H1127&gt;0,E1127&gt;0),H1127/E1127,""),"")</f>
        <v/>
      </c>
      <c r="J1127" s="152">
        <f>IFERROR(VALUE(SUBSTITUTE(INDEX('04A_국토부원자료'!$A:$T,ROW()+1,MATCH("층",'04A_국토부원자료'!$A$4:$T$4,0)),",","")),"")</f>
        <v/>
      </c>
      <c r="K1127" s="152">
        <f>IFERROR(VALUE(SUBSTITUTE(INDEX('04A_국토부원자료'!$A:$T,ROW()+1,MATCH("건축년도",'04A_국토부원자료'!$A$4:$T$4,0)),",","")),"")</f>
        <v/>
      </c>
      <c r="L1127" s="176">
        <f>IFERROR(INDEX('04A_국토부원자료'!$A:$T,ROW()+1,MATCH("도로명",'04A_국토부원자료'!$A$4:$T$4,0)),"")</f>
        <v/>
      </c>
      <c r="M1127" s="48">
        <f>IFERROR(INDEX('04A_국토부원자료'!$A:$T,ROW()+1,MATCH("거래유형",'04A_국토부원자료'!$A$4:$T$4,0)),"")</f>
        <v/>
      </c>
      <c r="N1127" s="152">
        <f>IF(B1127="","",IF('02_대상물건입력'!B5="",1,IF(ISNUMBER(SEARCH('02_대상물건입력'!B5,B1127)),1,0)))</f>
        <v/>
      </c>
      <c r="O1127" s="152">
        <f>IF(B1127="","",IF('02_대상물건입력'!B6="",1,IF(ISNUMBER(SEARCH('02_대상물건입력'!B6,B1127)),1,0)))</f>
        <v/>
      </c>
      <c r="P1127" s="152">
        <f>IF(L1127="","",IF('02_대상물건입력'!B15="",0,IF(ISNUMBER(SEARCH('02_대상물건입력'!B15,L1127)),1,0)))</f>
        <v/>
      </c>
      <c r="Q1127" s="152">
        <f>IF(OR(C1127="",L1127=""),0,IF(AND(TRIM(C1127)=TRIM(RIGHT(SUBSTITUTE(TRIM('02_대상물건입력'!$B$7)," ",REPT(" ",99)),99)),IF('02_대상물건입력'!B15="",TRUE(),ISNUMBER(SEARCH('02_대상물건입력'!B15,L1127)))),1,0))</f>
        <v/>
      </c>
      <c r="R1127" s="175">
        <f>IFERROR(ABS(E1127-'02_대상물건입력'!B11)/'02_대상물건입력'!B11,"")</f>
        <v/>
      </c>
      <c r="S1127" s="152">
        <f>IFERROR(ABS(J1127-'02_대상물건입력'!B10),"")</f>
        <v/>
      </c>
      <c r="T1127" s="152">
        <f>IFERROR(ABS('01_설정'!B4-F1127),"")</f>
        <v/>
      </c>
      <c r="U1127" s="152">
        <f>IFERROR(ABS(K1127-YEAR('02_대상물건입력'!B14)),"")</f>
        <v/>
      </c>
      <c r="V1127" s="152">
        <f>IF(B1127="","",IF(AND(E1127&gt;0,F1127&gt;0,H1127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1127=1,TRUE()),R1127&lt;='01_설정'!B5,S1127&lt;='01_설정'!B6,T1127&lt;='01_설정'!B7,U1127&lt;='01_설정'!B8),"Y",""))</f>
        <v/>
      </c>
      <c r="W1127" s="172">
        <f>IF(V1127&lt;&gt;"Y","",MAX(0,(1-R1127/'01_설정'!B5))*'01_설정'!B14+MAX(0,(1-S1127/'01_설정'!B6))*'01_설정'!B15+MAX(0,(1-T1127/'01_설정'!B7))*'01_설정'!B16+MAX(0,(1-U1127/'01_설정'!B8))*'01_설정'!B17+O1127*'01_설정'!B11+Q1127*'01_설정'!B12+P1127*'01_설정'!B13+IF(Z1127="",0,Z1127))</f>
        <v/>
      </c>
      <c r="X1127" s="152">
        <f>IF(W1127="","",1+COUNTIFS($W$4:$W$3003,"&gt;"&amp;W1127)+COUNTIFS($W$4:W1127,W1127)-1)</f>
        <v/>
      </c>
      <c r="Y1127" s="175">
        <f>IF(OR(I1127="",'02_대상물건입력'!B19="",'02_대상물건입력'!B19&lt;=0),"",ABS(I1127-'02_대상물건입력'!B19)/'02_대상물건입력'!B19)</f>
        <v/>
      </c>
      <c r="Z1127" s="172">
        <f>IF(OR(Y1127="",'01_설정'!B31="",'01_설정'!B31&lt;=0,'01_설정'!B32="",'01_설정'!B32&lt;=0),"",MAX(0,(1-Y1127/'01_설정'!B32))*'01_설정'!B31)</f>
        <v/>
      </c>
    </row>
    <row r="1128" ht="17.25" customHeight="1">
      <c r="A1128" s="152">
        <f>IF(INDEX('04A_국토부원자료'!$A:$A,ROW()+1)="","",ROW()-3)</f>
        <v/>
      </c>
      <c r="B1128" s="48">
        <f>IFERROR(INDEX('04A_국토부원자료'!$A:$T,ROW()+1,MATCH("시군구",'04A_국토부원자료'!$A$4:$T$4,0)),"")</f>
        <v/>
      </c>
      <c r="C1128" s="48">
        <f>IF(B1128="","",IFERROR(INDEX('04A_국토부원자료'!$A:$T,ROW()+1,MATCH("번지",'04A_국토부원자료'!$A$4:$T$4,0)),""))</f>
        <v/>
      </c>
      <c r="D1128" s="48">
        <f>IF(B1128="","",IF(Q1128=1,'02_대상물건입력'!$B$8,IFERROR(INDEX('04A_국토부원자료'!$A:$T,ROW()+1,MATCH("단지명",'04A_국토부원자료'!$A$4:$T$4,0)),"")))</f>
        <v/>
      </c>
      <c r="E1128" s="172">
        <f>IFERROR(VALUE(SUBSTITUTE(INDEX('04A_국토부원자료'!$A:$T,ROW()+1,MATCH("전용면적(㎡)",'04A_국토부원자료'!$A$4:$T$4,0)),",","")),"")</f>
        <v/>
      </c>
      <c r="F11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28" s="51">
        <f>IFERROR(VALUE(SUBSTITUTE(INDEX('04A_국토부원자료'!$A:$T,ROW()+1,MATCH("거래금액(만원)",'04A_국토부원자료'!$A$4:$T$4,0)),",","")),"")</f>
        <v/>
      </c>
      <c r="H1128" s="174">
        <f>IF(G1128="","",G1128*10000)</f>
        <v/>
      </c>
      <c r="I1128" s="174">
        <f>IFERROR(IF(AND(H1128&gt;0,E1128&gt;0),H1128/E1128,""),"")</f>
        <v/>
      </c>
      <c r="J1128" s="152">
        <f>IFERROR(VALUE(SUBSTITUTE(INDEX('04A_국토부원자료'!$A:$T,ROW()+1,MATCH("층",'04A_국토부원자료'!$A$4:$T$4,0)),",","")),"")</f>
        <v/>
      </c>
      <c r="K1128" s="152">
        <f>IFERROR(VALUE(SUBSTITUTE(INDEX('04A_국토부원자료'!$A:$T,ROW()+1,MATCH("건축년도",'04A_국토부원자료'!$A$4:$T$4,0)),",","")),"")</f>
        <v/>
      </c>
      <c r="L1128" s="176">
        <f>IFERROR(INDEX('04A_국토부원자료'!$A:$T,ROW()+1,MATCH("도로명",'04A_국토부원자료'!$A$4:$T$4,0)),"")</f>
        <v/>
      </c>
      <c r="M1128" s="48">
        <f>IFERROR(INDEX('04A_국토부원자료'!$A:$T,ROW()+1,MATCH("거래유형",'04A_국토부원자료'!$A$4:$T$4,0)),"")</f>
        <v/>
      </c>
      <c r="N1128" s="152">
        <f>IF(B1128="","",IF('02_대상물건입력'!B5="",1,IF(ISNUMBER(SEARCH('02_대상물건입력'!B5,B1128)),1,0)))</f>
        <v/>
      </c>
      <c r="O1128" s="152">
        <f>IF(B1128="","",IF('02_대상물건입력'!B6="",1,IF(ISNUMBER(SEARCH('02_대상물건입력'!B6,B1128)),1,0)))</f>
        <v/>
      </c>
      <c r="P1128" s="152">
        <f>IF(L1128="","",IF('02_대상물건입력'!B15="",0,IF(ISNUMBER(SEARCH('02_대상물건입력'!B15,L1128)),1,0)))</f>
        <v/>
      </c>
      <c r="Q1128" s="152">
        <f>IF(OR(C1128="",L1128=""),0,IF(AND(TRIM(C1128)=TRIM(RIGHT(SUBSTITUTE(TRIM('02_대상물건입력'!$B$7)," ",REPT(" ",99)),99)),IF('02_대상물건입력'!B15="",TRUE(),ISNUMBER(SEARCH('02_대상물건입력'!B15,L1128)))),1,0))</f>
        <v/>
      </c>
      <c r="R1128" s="175">
        <f>IFERROR(ABS(E1128-'02_대상물건입력'!B11)/'02_대상물건입력'!B11,"")</f>
        <v/>
      </c>
      <c r="S1128" s="152">
        <f>IFERROR(ABS(J1128-'02_대상물건입력'!B10),"")</f>
        <v/>
      </c>
      <c r="T1128" s="152">
        <f>IFERROR(ABS('01_설정'!B4-F1128),"")</f>
        <v/>
      </c>
      <c r="U1128" s="152">
        <f>IFERROR(ABS(K1128-YEAR('02_대상물건입력'!B14)),"")</f>
        <v/>
      </c>
      <c r="V1128" s="152">
        <f>IF(B1128="","",IF(AND(E1128&gt;0,F1128&gt;0,H1128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1128=1,TRUE()),R1128&lt;='01_설정'!B5,S1128&lt;='01_설정'!B6,T1128&lt;='01_설정'!B7,U1128&lt;='01_설정'!B8),"Y",""))</f>
        <v/>
      </c>
      <c r="W1128" s="172">
        <f>IF(V1128&lt;&gt;"Y","",MAX(0,(1-R1128/'01_설정'!B5))*'01_설정'!B14+MAX(0,(1-S1128/'01_설정'!B6))*'01_설정'!B15+MAX(0,(1-T1128/'01_설정'!B7))*'01_설정'!B16+MAX(0,(1-U1128/'01_설정'!B8))*'01_설정'!B17+O1128*'01_설정'!B11+Q1128*'01_설정'!B12+P1128*'01_설정'!B13+IF(Z1128="",0,Z1128))</f>
        <v/>
      </c>
      <c r="X1128" s="152">
        <f>IF(W1128="","",1+COUNTIFS($W$4:$W$3003,"&gt;"&amp;W1128)+COUNTIFS($W$4:W1128,W1128)-1)</f>
        <v/>
      </c>
      <c r="Y1128" s="175">
        <f>IF(OR(I1128="",'02_대상물건입력'!B19="",'02_대상물건입력'!B19&lt;=0),"",ABS(I1128-'02_대상물건입력'!B19)/'02_대상물건입력'!B19)</f>
        <v/>
      </c>
      <c r="Z1128" s="172">
        <f>IF(OR(Y1128="",'01_설정'!B31="",'01_설정'!B31&lt;=0,'01_설정'!B32="",'01_설정'!B32&lt;=0),"",MAX(0,(1-Y1128/'01_설정'!B32))*'01_설정'!B31)</f>
        <v/>
      </c>
    </row>
    <row r="1129" ht="17.25" customHeight="1">
      <c r="A1129" s="152">
        <f>IF(INDEX('04A_국토부원자료'!$A:$A,ROW()+1)="","",ROW()-3)</f>
        <v/>
      </c>
      <c r="B1129" s="48">
        <f>IFERROR(INDEX('04A_국토부원자료'!$A:$T,ROW()+1,MATCH("시군구",'04A_국토부원자료'!$A$4:$T$4,0)),"")</f>
        <v/>
      </c>
      <c r="C1129" s="48">
        <f>IF(B1129="","",IFERROR(INDEX('04A_국토부원자료'!$A:$T,ROW()+1,MATCH("번지",'04A_국토부원자료'!$A$4:$T$4,0)),""))</f>
        <v/>
      </c>
      <c r="D1129" s="48">
        <f>IF(B1129="","",IF(Q1129=1,'02_대상물건입력'!$B$8,IFERROR(INDEX('04A_국토부원자료'!$A:$T,ROW()+1,MATCH("단지명",'04A_국토부원자료'!$A$4:$T$4,0)),"")))</f>
        <v/>
      </c>
      <c r="E1129" s="172">
        <f>IFERROR(VALUE(SUBSTITUTE(INDEX('04A_국토부원자료'!$A:$T,ROW()+1,MATCH("전용면적(㎡)",'04A_국토부원자료'!$A$4:$T$4,0)),",","")),"")</f>
        <v/>
      </c>
      <c r="F11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29" s="51">
        <f>IFERROR(VALUE(SUBSTITUTE(INDEX('04A_국토부원자료'!$A:$T,ROW()+1,MATCH("거래금액(만원)",'04A_국토부원자료'!$A$4:$T$4,0)),",","")),"")</f>
        <v/>
      </c>
      <c r="H1129" s="174">
        <f>IF(G1129="","",G1129*10000)</f>
        <v/>
      </c>
      <c r="I1129" s="174">
        <f>IFERROR(IF(AND(H1129&gt;0,E1129&gt;0),H1129/E1129,""),"")</f>
        <v/>
      </c>
      <c r="J1129" s="152">
        <f>IFERROR(VALUE(SUBSTITUTE(INDEX('04A_국토부원자료'!$A:$T,ROW()+1,MATCH("층",'04A_국토부원자료'!$A$4:$T$4,0)),",","")),"")</f>
        <v/>
      </c>
      <c r="K1129" s="152">
        <f>IFERROR(VALUE(SUBSTITUTE(INDEX('04A_국토부원자료'!$A:$T,ROW()+1,MATCH("건축년도",'04A_국토부원자료'!$A$4:$T$4,0)),",","")),"")</f>
        <v/>
      </c>
      <c r="L1129" s="176">
        <f>IFERROR(INDEX('04A_국토부원자료'!$A:$T,ROW()+1,MATCH("도로명",'04A_국토부원자료'!$A$4:$T$4,0)),"")</f>
        <v/>
      </c>
      <c r="M1129" s="48">
        <f>IFERROR(INDEX('04A_국토부원자료'!$A:$T,ROW()+1,MATCH("거래유형",'04A_국토부원자료'!$A$4:$T$4,0)),"")</f>
        <v/>
      </c>
      <c r="N1129" s="152">
        <f>IF(B1129="","",IF('02_대상물건입력'!B5="",1,IF(ISNUMBER(SEARCH('02_대상물건입력'!B5,B1129)),1,0)))</f>
        <v/>
      </c>
      <c r="O1129" s="152">
        <f>IF(B1129="","",IF('02_대상물건입력'!B6="",1,IF(ISNUMBER(SEARCH('02_대상물건입력'!B6,B1129)),1,0)))</f>
        <v/>
      </c>
      <c r="P1129" s="152">
        <f>IF(L1129="","",IF('02_대상물건입력'!B15="",0,IF(ISNUMBER(SEARCH('02_대상물건입력'!B15,L1129)),1,0)))</f>
        <v/>
      </c>
      <c r="Q1129" s="152">
        <f>IF(OR(C1129="",L1129=""),0,IF(AND(TRIM(C1129)=TRIM(RIGHT(SUBSTITUTE(TRIM('02_대상물건입력'!$B$7)," ",REPT(" ",99)),99)),IF('02_대상물건입력'!B15="",TRUE(),ISNUMBER(SEARCH('02_대상물건입력'!B15,L1129)))),1,0))</f>
        <v/>
      </c>
      <c r="R1129" s="175">
        <f>IFERROR(ABS(E1129-'02_대상물건입력'!B11)/'02_대상물건입력'!B11,"")</f>
        <v/>
      </c>
      <c r="S1129" s="152">
        <f>IFERROR(ABS(J1129-'02_대상물건입력'!B10),"")</f>
        <v/>
      </c>
      <c r="T1129" s="152">
        <f>IFERROR(ABS('01_설정'!B4-F1129),"")</f>
        <v/>
      </c>
      <c r="U1129" s="152">
        <f>IFERROR(ABS(K1129-YEAR('02_대상물건입력'!B14)),"")</f>
        <v/>
      </c>
      <c r="V1129" s="152">
        <f>IF(B1129="","",IF(AND(E1129&gt;0,F1129&gt;0,H1129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1129=1,TRUE()),R1129&lt;='01_설정'!B5,S1129&lt;='01_설정'!B6,T1129&lt;='01_설정'!B7,U1129&lt;='01_설정'!B8),"Y",""))</f>
        <v/>
      </c>
      <c r="W1129" s="172">
        <f>IF(V1129&lt;&gt;"Y","",MAX(0,(1-R1129/'01_설정'!B5))*'01_설정'!B14+MAX(0,(1-S1129/'01_설정'!B6))*'01_설정'!B15+MAX(0,(1-T1129/'01_설정'!B7))*'01_설정'!B16+MAX(0,(1-U1129/'01_설정'!B8))*'01_설정'!B17+O1129*'01_설정'!B11+Q1129*'01_설정'!B12+P1129*'01_설정'!B13+IF(Z1129="",0,Z1129))</f>
        <v/>
      </c>
      <c r="X1129" s="152">
        <f>IF(W1129="","",1+COUNTIFS($W$4:$W$3003,"&gt;"&amp;W1129)+COUNTIFS($W$4:W1129,W1129)-1)</f>
        <v/>
      </c>
      <c r="Y1129" s="175">
        <f>IF(OR(I1129="",'02_대상물건입력'!B19="",'02_대상물건입력'!B19&lt;=0),"",ABS(I1129-'02_대상물건입력'!B19)/'02_대상물건입력'!B19)</f>
        <v/>
      </c>
      <c r="Z1129" s="172">
        <f>IF(OR(Y1129="",'01_설정'!B31="",'01_설정'!B31&lt;=0,'01_설정'!B32="",'01_설정'!B32&lt;=0),"",MAX(0,(1-Y1129/'01_설정'!B32))*'01_설정'!B31)</f>
        <v/>
      </c>
    </row>
    <row r="1130" ht="17.25" customHeight="1">
      <c r="A1130" s="152">
        <f>IF(INDEX('04A_국토부원자료'!$A:$A,ROW()+1)="","",ROW()-3)</f>
        <v/>
      </c>
      <c r="B1130" s="48">
        <f>IFERROR(INDEX('04A_국토부원자료'!$A:$T,ROW()+1,MATCH("시군구",'04A_국토부원자료'!$A$4:$T$4,0)),"")</f>
        <v/>
      </c>
      <c r="C1130" s="48">
        <f>IF(B1130="","",IFERROR(INDEX('04A_국토부원자료'!$A:$T,ROW()+1,MATCH("번지",'04A_국토부원자료'!$A$4:$T$4,0)),""))</f>
        <v/>
      </c>
      <c r="D1130" s="48">
        <f>IF(B1130="","",IF(Q1130=1,'02_대상물건입력'!$B$8,IFERROR(INDEX('04A_국토부원자료'!$A:$T,ROW()+1,MATCH("단지명",'04A_국토부원자료'!$A$4:$T$4,0)),"")))</f>
        <v/>
      </c>
      <c r="E1130" s="172">
        <f>IFERROR(VALUE(SUBSTITUTE(INDEX('04A_국토부원자료'!$A:$T,ROW()+1,MATCH("전용면적(㎡)",'04A_국토부원자료'!$A$4:$T$4,0)),",","")),"")</f>
        <v/>
      </c>
      <c r="F11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30" s="51">
        <f>IFERROR(VALUE(SUBSTITUTE(INDEX('04A_국토부원자료'!$A:$T,ROW()+1,MATCH("거래금액(만원)",'04A_국토부원자료'!$A$4:$T$4,0)),",","")),"")</f>
        <v/>
      </c>
      <c r="H1130" s="174">
        <f>IF(G1130="","",G1130*10000)</f>
        <v/>
      </c>
      <c r="I1130" s="174">
        <f>IFERROR(IF(AND(H1130&gt;0,E1130&gt;0),H1130/E1130,""),"")</f>
        <v/>
      </c>
      <c r="J1130" s="152">
        <f>IFERROR(VALUE(SUBSTITUTE(INDEX('04A_국토부원자료'!$A:$T,ROW()+1,MATCH("층",'04A_국토부원자료'!$A$4:$T$4,0)),",","")),"")</f>
        <v/>
      </c>
      <c r="K1130" s="152">
        <f>IFERROR(VALUE(SUBSTITUTE(INDEX('04A_국토부원자료'!$A:$T,ROW()+1,MATCH("건축년도",'04A_국토부원자료'!$A$4:$T$4,0)),",","")),"")</f>
        <v/>
      </c>
      <c r="L1130" s="176">
        <f>IFERROR(INDEX('04A_국토부원자료'!$A:$T,ROW()+1,MATCH("도로명",'04A_국토부원자료'!$A$4:$T$4,0)),"")</f>
        <v/>
      </c>
      <c r="M1130" s="48">
        <f>IFERROR(INDEX('04A_국토부원자료'!$A:$T,ROW()+1,MATCH("거래유형",'04A_국토부원자료'!$A$4:$T$4,0)),"")</f>
        <v/>
      </c>
      <c r="N1130" s="152">
        <f>IF(B1130="","",IF('02_대상물건입력'!B5="",1,IF(ISNUMBER(SEARCH('02_대상물건입력'!B5,B1130)),1,0)))</f>
        <v/>
      </c>
      <c r="O1130" s="152">
        <f>IF(B1130="","",IF('02_대상물건입력'!B6="",1,IF(ISNUMBER(SEARCH('02_대상물건입력'!B6,B1130)),1,0)))</f>
        <v/>
      </c>
      <c r="P1130" s="152">
        <f>IF(L1130="","",IF('02_대상물건입력'!B15="",0,IF(ISNUMBER(SEARCH('02_대상물건입력'!B15,L1130)),1,0)))</f>
        <v/>
      </c>
      <c r="Q1130" s="152">
        <f>IF(OR(C1130="",L1130=""),0,IF(AND(TRIM(C1130)=TRIM(RIGHT(SUBSTITUTE(TRIM('02_대상물건입력'!$B$7)," ",REPT(" ",99)),99)),IF('02_대상물건입력'!B15="",TRUE(),ISNUMBER(SEARCH('02_대상물건입력'!B15,L1130)))),1,0))</f>
        <v/>
      </c>
      <c r="R1130" s="175">
        <f>IFERROR(ABS(E1130-'02_대상물건입력'!B11)/'02_대상물건입력'!B11,"")</f>
        <v/>
      </c>
      <c r="S1130" s="152">
        <f>IFERROR(ABS(J1130-'02_대상물건입력'!B10),"")</f>
        <v/>
      </c>
      <c r="T1130" s="152">
        <f>IFERROR(ABS('01_설정'!B4-F1130),"")</f>
        <v/>
      </c>
      <c r="U1130" s="152">
        <f>IFERROR(ABS(K1130-YEAR('02_대상물건입력'!B14)),"")</f>
        <v/>
      </c>
      <c r="V1130" s="152">
        <f>IF(B1130="","",IF(AND(E1130&gt;0,F1130&gt;0,H1130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1130=1,TRUE()),R1130&lt;='01_설정'!B5,S1130&lt;='01_설정'!B6,T1130&lt;='01_설정'!B7,U1130&lt;='01_설정'!B8),"Y",""))</f>
        <v/>
      </c>
      <c r="W1130" s="172">
        <f>IF(V1130&lt;&gt;"Y","",MAX(0,(1-R1130/'01_설정'!B5))*'01_설정'!B14+MAX(0,(1-S1130/'01_설정'!B6))*'01_설정'!B15+MAX(0,(1-T1130/'01_설정'!B7))*'01_설정'!B16+MAX(0,(1-U1130/'01_설정'!B8))*'01_설정'!B17+O1130*'01_설정'!B11+Q1130*'01_설정'!B12+P1130*'01_설정'!B13+IF(Z1130="",0,Z1130))</f>
        <v/>
      </c>
      <c r="X1130" s="152">
        <f>IF(W1130="","",1+COUNTIFS($W$4:$W$3003,"&gt;"&amp;W1130)+COUNTIFS($W$4:W1130,W1130)-1)</f>
        <v/>
      </c>
      <c r="Y1130" s="175">
        <f>IF(OR(I1130="",'02_대상물건입력'!B19="",'02_대상물건입력'!B19&lt;=0),"",ABS(I1130-'02_대상물건입력'!B19)/'02_대상물건입력'!B19)</f>
        <v/>
      </c>
      <c r="Z1130" s="172">
        <f>IF(OR(Y1130="",'01_설정'!B31="",'01_설정'!B31&lt;=0,'01_설정'!B32="",'01_설정'!B32&lt;=0),"",MAX(0,(1-Y1130/'01_설정'!B32))*'01_설정'!B31)</f>
        <v/>
      </c>
    </row>
    <row r="1131" ht="17.25" customHeight="1">
      <c r="A1131" s="152">
        <f>IF(INDEX('04A_국토부원자료'!$A:$A,ROW()+1)="","",ROW()-3)</f>
        <v/>
      </c>
      <c r="B1131" s="48">
        <f>IFERROR(INDEX('04A_국토부원자료'!$A:$T,ROW()+1,MATCH("시군구",'04A_국토부원자료'!$A$4:$T$4,0)),"")</f>
        <v/>
      </c>
      <c r="C1131" s="48">
        <f>IF(B1131="","",IFERROR(INDEX('04A_국토부원자료'!$A:$T,ROW()+1,MATCH("번지",'04A_국토부원자료'!$A$4:$T$4,0)),""))</f>
        <v/>
      </c>
      <c r="D1131" s="48">
        <f>IF(B1131="","",IF(Q1131=1,'02_대상물건입력'!$B$8,IFERROR(INDEX('04A_국토부원자료'!$A:$T,ROW()+1,MATCH("단지명",'04A_국토부원자료'!$A$4:$T$4,0)),"")))</f>
        <v/>
      </c>
      <c r="E1131" s="172">
        <f>IFERROR(VALUE(SUBSTITUTE(INDEX('04A_국토부원자료'!$A:$T,ROW()+1,MATCH("전용면적(㎡)",'04A_국토부원자료'!$A$4:$T$4,0)),",","")),"")</f>
        <v/>
      </c>
      <c r="F11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31" s="51">
        <f>IFERROR(VALUE(SUBSTITUTE(INDEX('04A_국토부원자료'!$A:$T,ROW()+1,MATCH("거래금액(만원)",'04A_국토부원자료'!$A$4:$T$4,0)),",","")),"")</f>
        <v/>
      </c>
      <c r="H1131" s="174">
        <f>IF(G1131="","",G1131*10000)</f>
        <v/>
      </c>
      <c r="I1131" s="174">
        <f>IFERROR(IF(AND(H1131&gt;0,E1131&gt;0),H1131/E1131,""),"")</f>
        <v/>
      </c>
      <c r="J1131" s="152">
        <f>IFERROR(VALUE(SUBSTITUTE(INDEX('04A_국토부원자료'!$A:$T,ROW()+1,MATCH("층",'04A_국토부원자료'!$A$4:$T$4,0)),",","")),"")</f>
        <v/>
      </c>
      <c r="K1131" s="152">
        <f>IFERROR(VALUE(SUBSTITUTE(INDEX('04A_국토부원자료'!$A:$T,ROW()+1,MATCH("건축년도",'04A_국토부원자료'!$A$4:$T$4,0)),",","")),"")</f>
        <v/>
      </c>
      <c r="L1131" s="176">
        <f>IFERROR(INDEX('04A_국토부원자료'!$A:$T,ROW()+1,MATCH("도로명",'04A_국토부원자료'!$A$4:$T$4,0)),"")</f>
        <v/>
      </c>
      <c r="M1131" s="48">
        <f>IFERROR(INDEX('04A_국토부원자료'!$A:$T,ROW()+1,MATCH("거래유형",'04A_국토부원자료'!$A$4:$T$4,0)),"")</f>
        <v/>
      </c>
      <c r="N1131" s="152">
        <f>IF(B1131="","",IF('02_대상물건입력'!B5="",1,IF(ISNUMBER(SEARCH('02_대상물건입력'!B5,B1131)),1,0)))</f>
        <v/>
      </c>
      <c r="O1131" s="152">
        <f>IF(B1131="","",IF('02_대상물건입력'!B6="",1,IF(ISNUMBER(SEARCH('02_대상물건입력'!B6,B1131)),1,0)))</f>
        <v/>
      </c>
      <c r="P1131" s="152">
        <f>IF(L1131="","",IF('02_대상물건입력'!B15="",0,IF(ISNUMBER(SEARCH('02_대상물건입력'!B15,L1131)),1,0)))</f>
        <v/>
      </c>
      <c r="Q1131" s="152">
        <f>IF(OR(C1131="",L1131=""),0,IF(AND(TRIM(C1131)=TRIM(RIGHT(SUBSTITUTE(TRIM('02_대상물건입력'!$B$7)," ",REPT(" ",99)),99)),IF('02_대상물건입력'!B15="",TRUE(),ISNUMBER(SEARCH('02_대상물건입력'!B15,L1131)))),1,0))</f>
        <v/>
      </c>
      <c r="R1131" s="175">
        <f>IFERROR(ABS(E1131-'02_대상물건입력'!B11)/'02_대상물건입력'!B11,"")</f>
        <v/>
      </c>
      <c r="S1131" s="152">
        <f>IFERROR(ABS(J1131-'02_대상물건입력'!B10),"")</f>
        <v/>
      </c>
      <c r="T1131" s="152">
        <f>IFERROR(ABS('01_설정'!B4-F1131),"")</f>
        <v/>
      </c>
      <c r="U1131" s="152">
        <f>IFERROR(ABS(K1131-YEAR('02_대상물건입력'!B14)),"")</f>
        <v/>
      </c>
      <c r="V1131" s="152">
        <f>IF(B1131="","",IF(AND(E1131&gt;0,F1131&gt;0,H1131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1131=1,TRUE()),R1131&lt;='01_설정'!B5,S1131&lt;='01_설정'!B6,T1131&lt;='01_설정'!B7,U1131&lt;='01_설정'!B8),"Y",""))</f>
        <v/>
      </c>
      <c r="W1131" s="172">
        <f>IF(V1131&lt;&gt;"Y","",MAX(0,(1-R1131/'01_설정'!B5))*'01_설정'!B14+MAX(0,(1-S1131/'01_설정'!B6))*'01_설정'!B15+MAX(0,(1-T1131/'01_설정'!B7))*'01_설정'!B16+MAX(0,(1-U1131/'01_설정'!B8))*'01_설정'!B17+O1131*'01_설정'!B11+Q1131*'01_설정'!B12+P1131*'01_설정'!B13+IF(Z1131="",0,Z1131))</f>
        <v/>
      </c>
      <c r="X1131" s="152">
        <f>IF(W1131="","",1+COUNTIFS($W$4:$W$3003,"&gt;"&amp;W1131)+COUNTIFS($W$4:W1131,W1131)-1)</f>
        <v/>
      </c>
      <c r="Y1131" s="175">
        <f>IF(OR(I1131="",'02_대상물건입력'!B19="",'02_대상물건입력'!B19&lt;=0),"",ABS(I1131-'02_대상물건입력'!B19)/'02_대상물건입력'!B19)</f>
        <v/>
      </c>
      <c r="Z1131" s="172">
        <f>IF(OR(Y1131="",'01_설정'!B31="",'01_설정'!B31&lt;=0,'01_설정'!B32="",'01_설정'!B32&lt;=0),"",MAX(0,(1-Y1131/'01_설정'!B32))*'01_설정'!B31)</f>
        <v/>
      </c>
    </row>
    <row r="1132" ht="17.25" customHeight="1">
      <c r="A1132" s="152">
        <f>IF(INDEX('04A_국토부원자료'!$A:$A,ROW()+1)="","",ROW()-3)</f>
        <v/>
      </c>
      <c r="B1132" s="48">
        <f>IFERROR(INDEX('04A_국토부원자료'!$A:$T,ROW()+1,MATCH("시군구",'04A_국토부원자료'!$A$4:$T$4,0)),"")</f>
        <v/>
      </c>
      <c r="C1132" s="48">
        <f>IF(B1132="","",IFERROR(INDEX('04A_국토부원자료'!$A:$T,ROW()+1,MATCH("번지",'04A_국토부원자료'!$A$4:$T$4,0)),""))</f>
        <v/>
      </c>
      <c r="D1132" s="48">
        <f>IF(B1132="","",IF(Q1132=1,'02_대상물건입력'!$B$8,IFERROR(INDEX('04A_국토부원자료'!$A:$T,ROW()+1,MATCH("단지명",'04A_국토부원자료'!$A$4:$T$4,0)),"")))</f>
        <v/>
      </c>
      <c r="E1132" s="172">
        <f>IFERROR(VALUE(SUBSTITUTE(INDEX('04A_국토부원자료'!$A:$T,ROW()+1,MATCH("전용면적(㎡)",'04A_국토부원자료'!$A$4:$T$4,0)),",","")),"")</f>
        <v/>
      </c>
      <c r="F11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32" s="51">
        <f>IFERROR(VALUE(SUBSTITUTE(INDEX('04A_국토부원자료'!$A:$T,ROW()+1,MATCH("거래금액(만원)",'04A_국토부원자료'!$A$4:$T$4,0)),",","")),"")</f>
        <v/>
      </c>
      <c r="H1132" s="174">
        <f>IF(G1132="","",G1132*10000)</f>
        <v/>
      </c>
      <c r="I1132" s="174">
        <f>IFERROR(IF(AND(H1132&gt;0,E1132&gt;0),H1132/E1132,""),"")</f>
        <v/>
      </c>
      <c r="J1132" s="152">
        <f>IFERROR(VALUE(SUBSTITUTE(INDEX('04A_국토부원자료'!$A:$T,ROW()+1,MATCH("층",'04A_국토부원자료'!$A$4:$T$4,0)),",","")),"")</f>
        <v/>
      </c>
      <c r="K1132" s="152">
        <f>IFERROR(VALUE(SUBSTITUTE(INDEX('04A_국토부원자료'!$A:$T,ROW()+1,MATCH("건축년도",'04A_국토부원자료'!$A$4:$T$4,0)),",","")),"")</f>
        <v/>
      </c>
      <c r="L1132" s="176">
        <f>IFERROR(INDEX('04A_국토부원자료'!$A:$T,ROW()+1,MATCH("도로명",'04A_국토부원자료'!$A$4:$T$4,0)),"")</f>
        <v/>
      </c>
      <c r="M1132" s="48">
        <f>IFERROR(INDEX('04A_국토부원자료'!$A:$T,ROW()+1,MATCH("거래유형",'04A_국토부원자료'!$A$4:$T$4,0)),"")</f>
        <v/>
      </c>
      <c r="N1132" s="152">
        <f>IF(B1132="","",IF('02_대상물건입력'!B5="",1,IF(ISNUMBER(SEARCH('02_대상물건입력'!B5,B1132)),1,0)))</f>
        <v/>
      </c>
      <c r="O1132" s="152">
        <f>IF(B1132="","",IF('02_대상물건입력'!B6="",1,IF(ISNUMBER(SEARCH('02_대상물건입력'!B6,B1132)),1,0)))</f>
        <v/>
      </c>
      <c r="P1132" s="152">
        <f>IF(L1132="","",IF('02_대상물건입력'!B15="",0,IF(ISNUMBER(SEARCH('02_대상물건입력'!B15,L1132)),1,0)))</f>
        <v/>
      </c>
      <c r="Q1132" s="152">
        <f>IF(OR(C1132="",L1132=""),0,IF(AND(TRIM(C1132)=TRIM(RIGHT(SUBSTITUTE(TRIM('02_대상물건입력'!$B$7)," ",REPT(" ",99)),99)),IF('02_대상물건입력'!B15="",TRUE(),ISNUMBER(SEARCH('02_대상물건입력'!B15,L1132)))),1,0))</f>
        <v/>
      </c>
      <c r="R1132" s="175">
        <f>IFERROR(ABS(E1132-'02_대상물건입력'!B11)/'02_대상물건입력'!B11,"")</f>
        <v/>
      </c>
      <c r="S1132" s="152">
        <f>IFERROR(ABS(J1132-'02_대상물건입력'!B10),"")</f>
        <v/>
      </c>
      <c r="T1132" s="152">
        <f>IFERROR(ABS('01_설정'!B4-F1132),"")</f>
        <v/>
      </c>
      <c r="U1132" s="152">
        <f>IFERROR(ABS(K1132-YEAR('02_대상물건입력'!B14)),"")</f>
        <v/>
      </c>
      <c r="V1132" s="152">
        <f>IF(B1132="","",IF(AND(E1132&gt;0,F1132&gt;0,H1132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1132=1,TRUE()),R1132&lt;='01_설정'!B5,S1132&lt;='01_설정'!B6,T1132&lt;='01_설정'!B7,U1132&lt;='01_설정'!B8),"Y",""))</f>
        <v/>
      </c>
      <c r="W1132" s="172">
        <f>IF(V1132&lt;&gt;"Y","",MAX(0,(1-R1132/'01_설정'!B5))*'01_설정'!B14+MAX(0,(1-S1132/'01_설정'!B6))*'01_설정'!B15+MAX(0,(1-T1132/'01_설정'!B7))*'01_설정'!B16+MAX(0,(1-U1132/'01_설정'!B8))*'01_설정'!B17+O1132*'01_설정'!B11+Q1132*'01_설정'!B12+P1132*'01_설정'!B13+IF(Z1132="",0,Z1132))</f>
        <v/>
      </c>
      <c r="X1132" s="152">
        <f>IF(W1132="","",1+COUNTIFS($W$4:$W$3003,"&gt;"&amp;W1132)+COUNTIFS($W$4:W1132,W1132)-1)</f>
        <v/>
      </c>
      <c r="Y1132" s="175">
        <f>IF(OR(I1132="",'02_대상물건입력'!B19="",'02_대상물건입력'!B19&lt;=0),"",ABS(I1132-'02_대상물건입력'!B19)/'02_대상물건입력'!B19)</f>
        <v/>
      </c>
      <c r="Z1132" s="172">
        <f>IF(OR(Y1132="",'01_설정'!B31="",'01_설정'!B31&lt;=0,'01_설정'!B32="",'01_설정'!B32&lt;=0),"",MAX(0,(1-Y1132/'01_설정'!B32))*'01_설정'!B31)</f>
        <v/>
      </c>
    </row>
    <row r="1133" ht="17.25" customHeight="1">
      <c r="A1133" s="152">
        <f>IF(INDEX('04A_국토부원자료'!$A:$A,ROW()+1)="","",ROW()-3)</f>
        <v/>
      </c>
      <c r="B1133" s="48">
        <f>IFERROR(INDEX('04A_국토부원자료'!$A:$T,ROW()+1,MATCH("시군구",'04A_국토부원자료'!$A$4:$T$4,0)),"")</f>
        <v/>
      </c>
      <c r="C1133" s="48">
        <f>IF(B1133="","",IFERROR(INDEX('04A_국토부원자료'!$A:$T,ROW()+1,MATCH("번지",'04A_국토부원자료'!$A$4:$T$4,0)),""))</f>
        <v/>
      </c>
      <c r="D1133" s="48">
        <f>IF(B1133="","",IF(Q1133=1,'02_대상물건입력'!$B$8,IFERROR(INDEX('04A_국토부원자료'!$A:$T,ROW()+1,MATCH("단지명",'04A_국토부원자료'!$A$4:$T$4,0)),"")))</f>
        <v/>
      </c>
      <c r="E1133" s="172">
        <f>IFERROR(VALUE(SUBSTITUTE(INDEX('04A_국토부원자료'!$A:$T,ROW()+1,MATCH("전용면적(㎡)",'04A_국토부원자료'!$A$4:$T$4,0)),",","")),"")</f>
        <v/>
      </c>
      <c r="F11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33" s="51">
        <f>IFERROR(VALUE(SUBSTITUTE(INDEX('04A_국토부원자료'!$A:$T,ROW()+1,MATCH("거래금액(만원)",'04A_국토부원자료'!$A$4:$T$4,0)),",","")),"")</f>
        <v/>
      </c>
      <c r="H1133" s="174">
        <f>IF(G1133="","",G1133*10000)</f>
        <v/>
      </c>
      <c r="I1133" s="174">
        <f>IFERROR(IF(AND(H1133&gt;0,E1133&gt;0),H1133/E1133,""),"")</f>
        <v/>
      </c>
      <c r="J1133" s="152">
        <f>IFERROR(VALUE(SUBSTITUTE(INDEX('04A_국토부원자료'!$A:$T,ROW()+1,MATCH("층",'04A_국토부원자료'!$A$4:$T$4,0)),",","")),"")</f>
        <v/>
      </c>
      <c r="K1133" s="152">
        <f>IFERROR(VALUE(SUBSTITUTE(INDEX('04A_국토부원자료'!$A:$T,ROW()+1,MATCH("건축년도",'04A_국토부원자료'!$A$4:$T$4,0)),",","")),"")</f>
        <v/>
      </c>
      <c r="L1133" s="176">
        <f>IFERROR(INDEX('04A_국토부원자료'!$A:$T,ROW()+1,MATCH("도로명",'04A_국토부원자료'!$A$4:$T$4,0)),"")</f>
        <v/>
      </c>
      <c r="M1133" s="48">
        <f>IFERROR(INDEX('04A_국토부원자료'!$A:$T,ROW()+1,MATCH("거래유형",'04A_국토부원자료'!$A$4:$T$4,0)),"")</f>
        <v/>
      </c>
      <c r="N1133" s="152">
        <f>IF(B1133="","",IF('02_대상물건입력'!B5="",1,IF(ISNUMBER(SEARCH('02_대상물건입력'!B5,B1133)),1,0)))</f>
        <v/>
      </c>
      <c r="O1133" s="152">
        <f>IF(B1133="","",IF('02_대상물건입력'!B6="",1,IF(ISNUMBER(SEARCH('02_대상물건입력'!B6,B1133)),1,0)))</f>
        <v/>
      </c>
      <c r="P1133" s="152">
        <f>IF(L1133="","",IF('02_대상물건입력'!B15="",0,IF(ISNUMBER(SEARCH('02_대상물건입력'!B15,L1133)),1,0)))</f>
        <v/>
      </c>
      <c r="Q1133" s="152">
        <f>IF(OR(C1133="",L1133=""),0,IF(AND(TRIM(C1133)=TRIM(RIGHT(SUBSTITUTE(TRIM('02_대상물건입력'!$B$7)," ",REPT(" ",99)),99)),IF('02_대상물건입력'!B15="",TRUE(),ISNUMBER(SEARCH('02_대상물건입력'!B15,L1133)))),1,0))</f>
        <v/>
      </c>
      <c r="R1133" s="175">
        <f>IFERROR(ABS(E1133-'02_대상물건입력'!B11)/'02_대상물건입력'!B11,"")</f>
        <v/>
      </c>
      <c r="S1133" s="152">
        <f>IFERROR(ABS(J1133-'02_대상물건입력'!B10),"")</f>
        <v/>
      </c>
      <c r="T1133" s="152">
        <f>IFERROR(ABS('01_설정'!B4-F1133),"")</f>
        <v/>
      </c>
      <c r="U1133" s="152">
        <f>IFERROR(ABS(K1133-YEAR('02_대상물건입력'!B14)),"")</f>
        <v/>
      </c>
      <c r="V1133" s="152">
        <f>IF(B1133="","",IF(AND(E1133&gt;0,F1133&gt;0,H1133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1133=1,TRUE()),R1133&lt;='01_설정'!B5,S1133&lt;='01_설정'!B6,T1133&lt;='01_설정'!B7,U1133&lt;='01_설정'!B8),"Y",""))</f>
        <v/>
      </c>
      <c r="W1133" s="172">
        <f>IF(V1133&lt;&gt;"Y","",MAX(0,(1-R1133/'01_설정'!B5))*'01_설정'!B14+MAX(0,(1-S1133/'01_설정'!B6))*'01_설정'!B15+MAX(0,(1-T1133/'01_설정'!B7))*'01_설정'!B16+MAX(0,(1-U1133/'01_설정'!B8))*'01_설정'!B17+O1133*'01_설정'!B11+Q1133*'01_설정'!B12+P1133*'01_설정'!B13+IF(Z1133="",0,Z1133))</f>
        <v/>
      </c>
      <c r="X1133" s="152">
        <f>IF(W1133="","",1+COUNTIFS($W$4:$W$3003,"&gt;"&amp;W1133)+COUNTIFS($W$4:W1133,W1133)-1)</f>
        <v/>
      </c>
      <c r="Y1133" s="175">
        <f>IF(OR(I1133="",'02_대상물건입력'!B19="",'02_대상물건입력'!B19&lt;=0),"",ABS(I1133-'02_대상물건입력'!B19)/'02_대상물건입력'!B19)</f>
        <v/>
      </c>
      <c r="Z1133" s="172">
        <f>IF(OR(Y1133="",'01_설정'!B31="",'01_설정'!B31&lt;=0,'01_설정'!B32="",'01_설정'!B32&lt;=0),"",MAX(0,(1-Y1133/'01_설정'!B32))*'01_설정'!B31)</f>
        <v/>
      </c>
    </row>
    <row r="1134" ht="17.25" customHeight="1">
      <c r="A1134" s="152">
        <f>IF(INDEX('04A_국토부원자료'!$A:$A,ROW()+1)="","",ROW()-3)</f>
        <v/>
      </c>
      <c r="B1134" s="48">
        <f>IFERROR(INDEX('04A_국토부원자료'!$A:$T,ROW()+1,MATCH("시군구",'04A_국토부원자료'!$A$4:$T$4,0)),"")</f>
        <v/>
      </c>
      <c r="C1134" s="48">
        <f>IF(B1134="","",IFERROR(INDEX('04A_국토부원자료'!$A:$T,ROW()+1,MATCH("번지",'04A_국토부원자료'!$A$4:$T$4,0)),""))</f>
        <v/>
      </c>
      <c r="D1134" s="48">
        <f>IF(B1134="","",IF(Q1134=1,'02_대상물건입력'!$B$8,IFERROR(INDEX('04A_국토부원자료'!$A:$T,ROW()+1,MATCH("단지명",'04A_국토부원자료'!$A$4:$T$4,0)),"")))</f>
        <v/>
      </c>
      <c r="E1134" s="172">
        <f>IFERROR(VALUE(SUBSTITUTE(INDEX('04A_국토부원자료'!$A:$T,ROW()+1,MATCH("전용면적(㎡)",'04A_국토부원자료'!$A$4:$T$4,0)),",","")),"")</f>
        <v/>
      </c>
      <c r="F11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34" s="51">
        <f>IFERROR(VALUE(SUBSTITUTE(INDEX('04A_국토부원자료'!$A:$T,ROW()+1,MATCH("거래금액(만원)",'04A_국토부원자료'!$A$4:$T$4,0)),",","")),"")</f>
        <v/>
      </c>
      <c r="H1134" s="174">
        <f>IF(G1134="","",G1134*10000)</f>
        <v/>
      </c>
      <c r="I1134" s="174">
        <f>IFERROR(IF(AND(H1134&gt;0,E1134&gt;0),H1134/E1134,""),"")</f>
        <v/>
      </c>
      <c r="J1134" s="152">
        <f>IFERROR(VALUE(SUBSTITUTE(INDEX('04A_국토부원자료'!$A:$T,ROW()+1,MATCH("층",'04A_국토부원자료'!$A$4:$T$4,0)),",","")),"")</f>
        <v/>
      </c>
      <c r="K1134" s="152">
        <f>IFERROR(VALUE(SUBSTITUTE(INDEX('04A_국토부원자료'!$A:$T,ROW()+1,MATCH("건축년도",'04A_국토부원자료'!$A$4:$T$4,0)),",","")),"")</f>
        <v/>
      </c>
      <c r="L1134" s="176">
        <f>IFERROR(INDEX('04A_국토부원자료'!$A:$T,ROW()+1,MATCH("도로명",'04A_국토부원자료'!$A$4:$T$4,0)),"")</f>
        <v/>
      </c>
      <c r="M1134" s="48">
        <f>IFERROR(INDEX('04A_국토부원자료'!$A:$T,ROW()+1,MATCH("거래유형",'04A_국토부원자료'!$A$4:$T$4,0)),"")</f>
        <v/>
      </c>
      <c r="N1134" s="152">
        <f>IF(B1134="","",IF('02_대상물건입력'!B5="",1,IF(ISNUMBER(SEARCH('02_대상물건입력'!B5,B1134)),1,0)))</f>
        <v/>
      </c>
      <c r="O1134" s="152">
        <f>IF(B1134="","",IF('02_대상물건입력'!B6="",1,IF(ISNUMBER(SEARCH('02_대상물건입력'!B6,B1134)),1,0)))</f>
        <v/>
      </c>
      <c r="P1134" s="152">
        <f>IF(L1134="","",IF('02_대상물건입력'!B15="",0,IF(ISNUMBER(SEARCH('02_대상물건입력'!B15,L1134)),1,0)))</f>
        <v/>
      </c>
      <c r="Q1134" s="152">
        <f>IF(OR(C1134="",L1134=""),0,IF(AND(TRIM(C1134)=TRIM(RIGHT(SUBSTITUTE(TRIM('02_대상물건입력'!$B$7)," ",REPT(" ",99)),99)),IF('02_대상물건입력'!B15="",TRUE(),ISNUMBER(SEARCH('02_대상물건입력'!B15,L1134)))),1,0))</f>
        <v/>
      </c>
      <c r="R1134" s="175">
        <f>IFERROR(ABS(E1134-'02_대상물건입력'!B11)/'02_대상물건입력'!B11,"")</f>
        <v/>
      </c>
      <c r="S1134" s="152">
        <f>IFERROR(ABS(J1134-'02_대상물건입력'!B10),"")</f>
        <v/>
      </c>
      <c r="T1134" s="152">
        <f>IFERROR(ABS('01_설정'!B4-F1134),"")</f>
        <v/>
      </c>
      <c r="U1134" s="152">
        <f>IFERROR(ABS(K1134-YEAR('02_대상물건입력'!B14)),"")</f>
        <v/>
      </c>
      <c r="V1134" s="152">
        <f>IF(B1134="","",IF(AND(E1134&gt;0,F1134&gt;0,H1134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1134=1,TRUE()),R1134&lt;='01_설정'!B5,S1134&lt;='01_설정'!B6,T1134&lt;='01_설정'!B7,U1134&lt;='01_설정'!B8),"Y",""))</f>
        <v/>
      </c>
      <c r="W1134" s="172">
        <f>IF(V1134&lt;&gt;"Y","",MAX(0,(1-R1134/'01_설정'!B5))*'01_설정'!B14+MAX(0,(1-S1134/'01_설정'!B6))*'01_설정'!B15+MAX(0,(1-T1134/'01_설정'!B7))*'01_설정'!B16+MAX(0,(1-U1134/'01_설정'!B8))*'01_설정'!B17+O1134*'01_설정'!B11+Q1134*'01_설정'!B12+P1134*'01_설정'!B13+IF(Z1134="",0,Z1134))</f>
        <v/>
      </c>
      <c r="X1134" s="152">
        <f>IF(W1134="","",1+COUNTIFS($W$4:$W$3003,"&gt;"&amp;W1134)+COUNTIFS($W$4:W1134,W1134)-1)</f>
        <v/>
      </c>
      <c r="Y1134" s="175">
        <f>IF(OR(I1134="",'02_대상물건입력'!B19="",'02_대상물건입력'!B19&lt;=0),"",ABS(I1134-'02_대상물건입력'!B19)/'02_대상물건입력'!B19)</f>
        <v/>
      </c>
      <c r="Z1134" s="172">
        <f>IF(OR(Y1134="",'01_설정'!B31="",'01_설정'!B31&lt;=0,'01_설정'!B32="",'01_설정'!B32&lt;=0),"",MAX(0,(1-Y1134/'01_설정'!B32))*'01_설정'!B31)</f>
        <v/>
      </c>
    </row>
    <row r="1135" ht="17.25" customHeight="1">
      <c r="A1135" s="152">
        <f>IF(INDEX('04A_국토부원자료'!$A:$A,ROW()+1)="","",ROW()-3)</f>
        <v/>
      </c>
      <c r="B1135" s="48">
        <f>IFERROR(INDEX('04A_국토부원자료'!$A:$T,ROW()+1,MATCH("시군구",'04A_국토부원자료'!$A$4:$T$4,0)),"")</f>
        <v/>
      </c>
      <c r="C1135" s="48">
        <f>IF(B1135="","",IFERROR(INDEX('04A_국토부원자료'!$A:$T,ROW()+1,MATCH("번지",'04A_국토부원자료'!$A$4:$T$4,0)),""))</f>
        <v/>
      </c>
      <c r="D1135" s="48">
        <f>IF(B1135="","",IF(Q1135=1,'02_대상물건입력'!$B$8,IFERROR(INDEX('04A_국토부원자료'!$A:$T,ROW()+1,MATCH("단지명",'04A_국토부원자료'!$A$4:$T$4,0)),"")))</f>
        <v/>
      </c>
      <c r="E1135" s="172">
        <f>IFERROR(VALUE(SUBSTITUTE(INDEX('04A_국토부원자료'!$A:$T,ROW()+1,MATCH("전용면적(㎡)",'04A_국토부원자료'!$A$4:$T$4,0)),",","")),"")</f>
        <v/>
      </c>
      <c r="F11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35" s="51">
        <f>IFERROR(VALUE(SUBSTITUTE(INDEX('04A_국토부원자료'!$A:$T,ROW()+1,MATCH("거래금액(만원)",'04A_국토부원자료'!$A$4:$T$4,0)),",","")),"")</f>
        <v/>
      </c>
      <c r="H1135" s="174">
        <f>IF(G1135="","",G1135*10000)</f>
        <v/>
      </c>
      <c r="I1135" s="174">
        <f>IFERROR(IF(AND(H1135&gt;0,E1135&gt;0),H1135/E1135,""),"")</f>
        <v/>
      </c>
      <c r="J1135" s="152">
        <f>IFERROR(VALUE(SUBSTITUTE(INDEX('04A_국토부원자료'!$A:$T,ROW()+1,MATCH("층",'04A_국토부원자료'!$A$4:$T$4,0)),",","")),"")</f>
        <v/>
      </c>
      <c r="K1135" s="152">
        <f>IFERROR(VALUE(SUBSTITUTE(INDEX('04A_국토부원자료'!$A:$T,ROW()+1,MATCH("건축년도",'04A_국토부원자료'!$A$4:$T$4,0)),",","")),"")</f>
        <v/>
      </c>
      <c r="L1135" s="176">
        <f>IFERROR(INDEX('04A_국토부원자료'!$A:$T,ROW()+1,MATCH("도로명",'04A_국토부원자료'!$A$4:$T$4,0)),"")</f>
        <v/>
      </c>
      <c r="M1135" s="48">
        <f>IFERROR(INDEX('04A_국토부원자료'!$A:$T,ROW()+1,MATCH("거래유형",'04A_국토부원자료'!$A$4:$T$4,0)),"")</f>
        <v/>
      </c>
      <c r="N1135" s="152">
        <f>IF(B1135="","",IF('02_대상물건입력'!B5="",1,IF(ISNUMBER(SEARCH('02_대상물건입력'!B5,B1135)),1,0)))</f>
        <v/>
      </c>
      <c r="O1135" s="152">
        <f>IF(B1135="","",IF('02_대상물건입력'!B6="",1,IF(ISNUMBER(SEARCH('02_대상물건입력'!B6,B1135)),1,0)))</f>
        <v/>
      </c>
      <c r="P1135" s="152">
        <f>IF(L1135="","",IF('02_대상물건입력'!B15="",0,IF(ISNUMBER(SEARCH('02_대상물건입력'!B15,L1135)),1,0)))</f>
        <v/>
      </c>
      <c r="Q1135" s="152">
        <f>IF(OR(C1135="",L1135=""),0,IF(AND(TRIM(C1135)=TRIM(RIGHT(SUBSTITUTE(TRIM('02_대상물건입력'!$B$7)," ",REPT(" ",99)),99)),IF('02_대상물건입력'!B15="",TRUE(),ISNUMBER(SEARCH('02_대상물건입력'!B15,L1135)))),1,0))</f>
        <v/>
      </c>
      <c r="R1135" s="175">
        <f>IFERROR(ABS(E1135-'02_대상물건입력'!B11)/'02_대상물건입력'!B11,"")</f>
        <v/>
      </c>
      <c r="S1135" s="152">
        <f>IFERROR(ABS(J1135-'02_대상물건입력'!B10),"")</f>
        <v/>
      </c>
      <c r="T1135" s="152">
        <f>IFERROR(ABS('01_설정'!B4-F1135),"")</f>
        <v/>
      </c>
      <c r="U1135" s="152">
        <f>IFERROR(ABS(K1135-YEAR('02_대상물건입력'!B14)),"")</f>
        <v/>
      </c>
      <c r="V1135" s="152">
        <f>IF(B1135="","",IF(AND(E1135&gt;0,F1135&gt;0,H1135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1135=1,TRUE()),R1135&lt;='01_설정'!B5,S1135&lt;='01_설정'!B6,T1135&lt;='01_설정'!B7,U1135&lt;='01_설정'!B8),"Y",""))</f>
        <v/>
      </c>
      <c r="W1135" s="172">
        <f>IF(V1135&lt;&gt;"Y","",MAX(0,(1-R1135/'01_설정'!B5))*'01_설정'!B14+MAX(0,(1-S1135/'01_설정'!B6))*'01_설정'!B15+MAX(0,(1-T1135/'01_설정'!B7))*'01_설정'!B16+MAX(0,(1-U1135/'01_설정'!B8))*'01_설정'!B17+O1135*'01_설정'!B11+Q1135*'01_설정'!B12+P1135*'01_설정'!B13+IF(Z1135="",0,Z1135))</f>
        <v/>
      </c>
      <c r="X1135" s="152">
        <f>IF(W1135="","",1+COUNTIFS($W$4:$W$3003,"&gt;"&amp;W1135)+COUNTIFS($W$4:W1135,W1135)-1)</f>
        <v/>
      </c>
      <c r="Y1135" s="175">
        <f>IF(OR(I1135="",'02_대상물건입력'!B19="",'02_대상물건입력'!B19&lt;=0),"",ABS(I1135-'02_대상물건입력'!B19)/'02_대상물건입력'!B19)</f>
        <v/>
      </c>
      <c r="Z1135" s="172">
        <f>IF(OR(Y1135="",'01_설정'!B31="",'01_설정'!B31&lt;=0,'01_설정'!B32="",'01_설정'!B32&lt;=0),"",MAX(0,(1-Y1135/'01_설정'!B32))*'01_설정'!B31)</f>
        <v/>
      </c>
    </row>
    <row r="1136" ht="17.25" customHeight="1">
      <c r="A1136" s="152">
        <f>IF(INDEX('04A_국토부원자료'!$A:$A,ROW()+1)="","",ROW()-3)</f>
        <v/>
      </c>
      <c r="B1136" s="48">
        <f>IFERROR(INDEX('04A_국토부원자료'!$A:$T,ROW()+1,MATCH("시군구",'04A_국토부원자료'!$A$4:$T$4,0)),"")</f>
        <v/>
      </c>
      <c r="C1136" s="48">
        <f>IF(B1136="","",IFERROR(INDEX('04A_국토부원자료'!$A:$T,ROW()+1,MATCH("번지",'04A_국토부원자료'!$A$4:$T$4,0)),""))</f>
        <v/>
      </c>
      <c r="D1136" s="48">
        <f>IF(B1136="","",IF(Q1136=1,'02_대상물건입력'!$B$8,IFERROR(INDEX('04A_국토부원자료'!$A:$T,ROW()+1,MATCH("단지명",'04A_국토부원자료'!$A$4:$T$4,0)),"")))</f>
        <v/>
      </c>
      <c r="E1136" s="172">
        <f>IFERROR(VALUE(SUBSTITUTE(INDEX('04A_국토부원자료'!$A:$T,ROW()+1,MATCH("전용면적(㎡)",'04A_국토부원자료'!$A$4:$T$4,0)),",","")),"")</f>
        <v/>
      </c>
      <c r="F11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36" s="51">
        <f>IFERROR(VALUE(SUBSTITUTE(INDEX('04A_국토부원자료'!$A:$T,ROW()+1,MATCH("거래금액(만원)",'04A_국토부원자료'!$A$4:$T$4,0)),",","")),"")</f>
        <v/>
      </c>
      <c r="H1136" s="174">
        <f>IF(G1136="","",G1136*10000)</f>
        <v/>
      </c>
      <c r="I1136" s="174">
        <f>IFERROR(IF(AND(H1136&gt;0,E1136&gt;0),H1136/E1136,""),"")</f>
        <v/>
      </c>
      <c r="J1136" s="152">
        <f>IFERROR(VALUE(SUBSTITUTE(INDEX('04A_국토부원자료'!$A:$T,ROW()+1,MATCH("층",'04A_국토부원자료'!$A$4:$T$4,0)),",","")),"")</f>
        <v/>
      </c>
      <c r="K1136" s="152">
        <f>IFERROR(VALUE(SUBSTITUTE(INDEX('04A_국토부원자료'!$A:$T,ROW()+1,MATCH("건축년도",'04A_국토부원자료'!$A$4:$T$4,0)),",","")),"")</f>
        <v/>
      </c>
      <c r="L1136" s="176">
        <f>IFERROR(INDEX('04A_국토부원자료'!$A:$T,ROW()+1,MATCH("도로명",'04A_국토부원자료'!$A$4:$T$4,0)),"")</f>
        <v/>
      </c>
      <c r="M1136" s="48">
        <f>IFERROR(INDEX('04A_국토부원자료'!$A:$T,ROW()+1,MATCH("거래유형",'04A_국토부원자료'!$A$4:$T$4,0)),"")</f>
        <v/>
      </c>
      <c r="N1136" s="152">
        <f>IF(B1136="","",IF('02_대상물건입력'!B5="",1,IF(ISNUMBER(SEARCH('02_대상물건입력'!B5,B1136)),1,0)))</f>
        <v/>
      </c>
      <c r="O1136" s="152">
        <f>IF(B1136="","",IF('02_대상물건입력'!B6="",1,IF(ISNUMBER(SEARCH('02_대상물건입력'!B6,B1136)),1,0)))</f>
        <v/>
      </c>
      <c r="P1136" s="152">
        <f>IF(L1136="","",IF('02_대상물건입력'!B15="",0,IF(ISNUMBER(SEARCH('02_대상물건입력'!B15,L1136)),1,0)))</f>
        <v/>
      </c>
      <c r="Q1136" s="152">
        <f>IF(OR(C1136="",L1136=""),0,IF(AND(TRIM(C1136)=TRIM(RIGHT(SUBSTITUTE(TRIM('02_대상물건입력'!$B$7)," ",REPT(" ",99)),99)),IF('02_대상물건입력'!B15="",TRUE(),ISNUMBER(SEARCH('02_대상물건입력'!B15,L1136)))),1,0))</f>
        <v/>
      </c>
      <c r="R1136" s="175">
        <f>IFERROR(ABS(E1136-'02_대상물건입력'!B11)/'02_대상물건입력'!B11,"")</f>
        <v/>
      </c>
      <c r="S1136" s="152">
        <f>IFERROR(ABS(J1136-'02_대상물건입력'!B10),"")</f>
        <v/>
      </c>
      <c r="T1136" s="152">
        <f>IFERROR(ABS('01_설정'!B4-F1136),"")</f>
        <v/>
      </c>
      <c r="U1136" s="152">
        <f>IFERROR(ABS(K1136-YEAR('02_대상물건입력'!B14)),"")</f>
        <v/>
      </c>
      <c r="V1136" s="152">
        <f>IF(B1136="","",IF(AND(E1136&gt;0,F1136&gt;0,H1136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1136=1,TRUE()),R1136&lt;='01_설정'!B5,S1136&lt;='01_설정'!B6,T1136&lt;='01_설정'!B7,U1136&lt;='01_설정'!B8),"Y",""))</f>
        <v/>
      </c>
      <c r="W1136" s="172">
        <f>IF(V1136&lt;&gt;"Y","",MAX(0,(1-R1136/'01_설정'!B5))*'01_설정'!B14+MAX(0,(1-S1136/'01_설정'!B6))*'01_설정'!B15+MAX(0,(1-T1136/'01_설정'!B7))*'01_설정'!B16+MAX(0,(1-U1136/'01_설정'!B8))*'01_설정'!B17+O1136*'01_설정'!B11+Q1136*'01_설정'!B12+P1136*'01_설정'!B13+IF(Z1136="",0,Z1136))</f>
        <v/>
      </c>
      <c r="X1136" s="152">
        <f>IF(W1136="","",1+COUNTIFS($W$4:$W$3003,"&gt;"&amp;W1136)+COUNTIFS($W$4:W1136,W1136)-1)</f>
        <v/>
      </c>
      <c r="Y1136" s="175">
        <f>IF(OR(I1136="",'02_대상물건입력'!B19="",'02_대상물건입력'!B19&lt;=0),"",ABS(I1136-'02_대상물건입력'!B19)/'02_대상물건입력'!B19)</f>
        <v/>
      </c>
      <c r="Z1136" s="172">
        <f>IF(OR(Y1136="",'01_설정'!B31="",'01_설정'!B31&lt;=0,'01_설정'!B32="",'01_설정'!B32&lt;=0),"",MAX(0,(1-Y1136/'01_설정'!B32))*'01_설정'!B31)</f>
        <v/>
      </c>
    </row>
    <row r="1137" ht="17.25" customHeight="1">
      <c r="A1137" s="152">
        <f>IF(INDEX('04A_국토부원자료'!$A:$A,ROW()+1)="","",ROW()-3)</f>
        <v/>
      </c>
      <c r="B1137" s="48">
        <f>IFERROR(INDEX('04A_국토부원자료'!$A:$T,ROW()+1,MATCH("시군구",'04A_국토부원자료'!$A$4:$T$4,0)),"")</f>
        <v/>
      </c>
      <c r="C1137" s="48">
        <f>IF(B1137="","",IFERROR(INDEX('04A_국토부원자료'!$A:$T,ROW()+1,MATCH("번지",'04A_국토부원자료'!$A$4:$T$4,0)),""))</f>
        <v/>
      </c>
      <c r="D1137" s="48">
        <f>IF(B1137="","",IF(Q1137=1,'02_대상물건입력'!$B$8,IFERROR(INDEX('04A_국토부원자료'!$A:$T,ROW()+1,MATCH("단지명",'04A_국토부원자료'!$A$4:$T$4,0)),"")))</f>
        <v/>
      </c>
      <c r="E1137" s="172">
        <f>IFERROR(VALUE(SUBSTITUTE(INDEX('04A_국토부원자료'!$A:$T,ROW()+1,MATCH("전용면적(㎡)",'04A_국토부원자료'!$A$4:$T$4,0)),",","")),"")</f>
        <v/>
      </c>
      <c r="F11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37" s="51">
        <f>IFERROR(VALUE(SUBSTITUTE(INDEX('04A_국토부원자료'!$A:$T,ROW()+1,MATCH("거래금액(만원)",'04A_국토부원자료'!$A$4:$T$4,0)),",","")),"")</f>
        <v/>
      </c>
      <c r="H1137" s="174">
        <f>IF(G1137="","",G1137*10000)</f>
        <v/>
      </c>
      <c r="I1137" s="174">
        <f>IFERROR(IF(AND(H1137&gt;0,E1137&gt;0),H1137/E1137,""),"")</f>
        <v/>
      </c>
      <c r="J1137" s="152">
        <f>IFERROR(VALUE(SUBSTITUTE(INDEX('04A_국토부원자료'!$A:$T,ROW()+1,MATCH("층",'04A_국토부원자료'!$A$4:$T$4,0)),",","")),"")</f>
        <v/>
      </c>
      <c r="K1137" s="152">
        <f>IFERROR(VALUE(SUBSTITUTE(INDEX('04A_국토부원자료'!$A:$T,ROW()+1,MATCH("건축년도",'04A_국토부원자료'!$A$4:$T$4,0)),",","")),"")</f>
        <v/>
      </c>
      <c r="L1137" s="176">
        <f>IFERROR(INDEX('04A_국토부원자료'!$A:$T,ROW()+1,MATCH("도로명",'04A_국토부원자료'!$A$4:$T$4,0)),"")</f>
        <v/>
      </c>
      <c r="M1137" s="48">
        <f>IFERROR(INDEX('04A_국토부원자료'!$A:$T,ROW()+1,MATCH("거래유형",'04A_국토부원자료'!$A$4:$T$4,0)),"")</f>
        <v/>
      </c>
      <c r="N1137" s="152">
        <f>IF(B1137="","",IF('02_대상물건입력'!B5="",1,IF(ISNUMBER(SEARCH('02_대상물건입력'!B5,B1137)),1,0)))</f>
        <v/>
      </c>
      <c r="O1137" s="152">
        <f>IF(B1137="","",IF('02_대상물건입력'!B6="",1,IF(ISNUMBER(SEARCH('02_대상물건입력'!B6,B1137)),1,0)))</f>
        <v/>
      </c>
      <c r="P1137" s="152">
        <f>IF(L1137="","",IF('02_대상물건입력'!B15="",0,IF(ISNUMBER(SEARCH('02_대상물건입력'!B15,L1137)),1,0)))</f>
        <v/>
      </c>
      <c r="Q1137" s="152">
        <f>IF(OR(C1137="",L1137=""),0,IF(AND(TRIM(C1137)=TRIM(RIGHT(SUBSTITUTE(TRIM('02_대상물건입력'!$B$7)," ",REPT(" ",99)),99)),IF('02_대상물건입력'!B15="",TRUE(),ISNUMBER(SEARCH('02_대상물건입력'!B15,L1137)))),1,0))</f>
        <v/>
      </c>
      <c r="R1137" s="175">
        <f>IFERROR(ABS(E1137-'02_대상물건입력'!B11)/'02_대상물건입력'!B11,"")</f>
        <v/>
      </c>
      <c r="S1137" s="152">
        <f>IFERROR(ABS(J1137-'02_대상물건입력'!B10),"")</f>
        <v/>
      </c>
      <c r="T1137" s="152">
        <f>IFERROR(ABS('01_설정'!B4-F1137),"")</f>
        <v/>
      </c>
      <c r="U1137" s="152">
        <f>IFERROR(ABS(K1137-YEAR('02_대상물건입력'!B14)),"")</f>
        <v/>
      </c>
      <c r="V1137" s="152">
        <f>IF(B1137="","",IF(AND(E1137&gt;0,F1137&gt;0,H1137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1137=1,TRUE()),R1137&lt;='01_설정'!B5,S1137&lt;='01_설정'!B6,T1137&lt;='01_설정'!B7,U1137&lt;='01_설정'!B8),"Y",""))</f>
        <v/>
      </c>
      <c r="W1137" s="172">
        <f>IF(V1137&lt;&gt;"Y","",MAX(0,(1-R1137/'01_설정'!B5))*'01_설정'!B14+MAX(0,(1-S1137/'01_설정'!B6))*'01_설정'!B15+MAX(0,(1-T1137/'01_설정'!B7))*'01_설정'!B16+MAX(0,(1-U1137/'01_설정'!B8))*'01_설정'!B17+O1137*'01_설정'!B11+Q1137*'01_설정'!B12+P1137*'01_설정'!B13+IF(Z1137="",0,Z1137))</f>
        <v/>
      </c>
      <c r="X1137" s="152">
        <f>IF(W1137="","",1+COUNTIFS($W$4:$W$3003,"&gt;"&amp;W1137)+COUNTIFS($W$4:W1137,W1137)-1)</f>
        <v/>
      </c>
      <c r="Y1137" s="175">
        <f>IF(OR(I1137="",'02_대상물건입력'!B19="",'02_대상물건입력'!B19&lt;=0),"",ABS(I1137-'02_대상물건입력'!B19)/'02_대상물건입력'!B19)</f>
        <v/>
      </c>
      <c r="Z1137" s="172">
        <f>IF(OR(Y1137="",'01_설정'!B31="",'01_설정'!B31&lt;=0,'01_설정'!B32="",'01_설정'!B32&lt;=0),"",MAX(0,(1-Y1137/'01_설정'!B32))*'01_설정'!B31)</f>
        <v/>
      </c>
    </row>
    <row r="1138" ht="17.25" customHeight="1">
      <c r="A1138" s="152">
        <f>IF(INDEX('04A_국토부원자료'!$A:$A,ROW()+1)="","",ROW()-3)</f>
        <v/>
      </c>
      <c r="B1138" s="48">
        <f>IFERROR(INDEX('04A_국토부원자료'!$A:$T,ROW()+1,MATCH("시군구",'04A_국토부원자료'!$A$4:$T$4,0)),"")</f>
        <v/>
      </c>
      <c r="C1138" s="48">
        <f>IF(B1138="","",IFERROR(INDEX('04A_국토부원자료'!$A:$T,ROW()+1,MATCH("번지",'04A_국토부원자료'!$A$4:$T$4,0)),""))</f>
        <v/>
      </c>
      <c r="D1138" s="48">
        <f>IF(B1138="","",IF(Q1138=1,'02_대상물건입력'!$B$8,IFERROR(INDEX('04A_국토부원자료'!$A:$T,ROW()+1,MATCH("단지명",'04A_국토부원자료'!$A$4:$T$4,0)),"")))</f>
        <v/>
      </c>
      <c r="E1138" s="172">
        <f>IFERROR(VALUE(SUBSTITUTE(INDEX('04A_국토부원자료'!$A:$T,ROW()+1,MATCH("전용면적(㎡)",'04A_국토부원자료'!$A$4:$T$4,0)),",","")),"")</f>
        <v/>
      </c>
      <c r="F11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38" s="51">
        <f>IFERROR(VALUE(SUBSTITUTE(INDEX('04A_국토부원자료'!$A:$T,ROW()+1,MATCH("거래금액(만원)",'04A_국토부원자료'!$A$4:$T$4,0)),",","")),"")</f>
        <v/>
      </c>
      <c r="H1138" s="174">
        <f>IF(G1138="","",G1138*10000)</f>
        <v/>
      </c>
      <c r="I1138" s="174">
        <f>IFERROR(IF(AND(H1138&gt;0,E1138&gt;0),H1138/E1138,""),"")</f>
        <v/>
      </c>
      <c r="J1138" s="152">
        <f>IFERROR(VALUE(SUBSTITUTE(INDEX('04A_국토부원자료'!$A:$T,ROW()+1,MATCH("층",'04A_국토부원자료'!$A$4:$T$4,0)),",","")),"")</f>
        <v/>
      </c>
      <c r="K1138" s="152">
        <f>IFERROR(VALUE(SUBSTITUTE(INDEX('04A_국토부원자료'!$A:$T,ROW()+1,MATCH("건축년도",'04A_국토부원자료'!$A$4:$T$4,0)),",","")),"")</f>
        <v/>
      </c>
      <c r="L1138" s="176">
        <f>IFERROR(INDEX('04A_국토부원자료'!$A:$T,ROW()+1,MATCH("도로명",'04A_국토부원자료'!$A$4:$T$4,0)),"")</f>
        <v/>
      </c>
      <c r="M1138" s="48">
        <f>IFERROR(INDEX('04A_국토부원자료'!$A:$T,ROW()+1,MATCH("거래유형",'04A_국토부원자료'!$A$4:$T$4,0)),"")</f>
        <v/>
      </c>
      <c r="N1138" s="152">
        <f>IF(B1138="","",IF('02_대상물건입력'!B5="",1,IF(ISNUMBER(SEARCH('02_대상물건입력'!B5,B1138)),1,0)))</f>
        <v/>
      </c>
      <c r="O1138" s="152">
        <f>IF(B1138="","",IF('02_대상물건입력'!B6="",1,IF(ISNUMBER(SEARCH('02_대상물건입력'!B6,B1138)),1,0)))</f>
        <v/>
      </c>
      <c r="P1138" s="152">
        <f>IF(L1138="","",IF('02_대상물건입력'!B15="",0,IF(ISNUMBER(SEARCH('02_대상물건입력'!B15,L1138)),1,0)))</f>
        <v/>
      </c>
      <c r="Q1138" s="152">
        <f>IF(OR(C1138="",L1138=""),0,IF(AND(TRIM(C1138)=TRIM(RIGHT(SUBSTITUTE(TRIM('02_대상물건입력'!$B$7)," ",REPT(" ",99)),99)),IF('02_대상물건입력'!B15="",TRUE(),ISNUMBER(SEARCH('02_대상물건입력'!B15,L1138)))),1,0))</f>
        <v/>
      </c>
      <c r="R1138" s="175">
        <f>IFERROR(ABS(E1138-'02_대상물건입력'!B11)/'02_대상물건입력'!B11,"")</f>
        <v/>
      </c>
      <c r="S1138" s="152">
        <f>IFERROR(ABS(J1138-'02_대상물건입력'!B10),"")</f>
        <v/>
      </c>
      <c r="T1138" s="152">
        <f>IFERROR(ABS('01_설정'!B4-F1138),"")</f>
        <v/>
      </c>
      <c r="U1138" s="152">
        <f>IFERROR(ABS(K1138-YEAR('02_대상물건입력'!B14)),"")</f>
        <v/>
      </c>
      <c r="V1138" s="152">
        <f>IF(B1138="","",IF(AND(E1138&gt;0,F1138&gt;0,H1138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1138=1,TRUE()),R1138&lt;='01_설정'!B5,S1138&lt;='01_설정'!B6,T1138&lt;='01_설정'!B7,U1138&lt;='01_설정'!B8),"Y",""))</f>
        <v/>
      </c>
      <c r="W1138" s="172">
        <f>IF(V1138&lt;&gt;"Y","",MAX(0,(1-R1138/'01_설정'!B5))*'01_설정'!B14+MAX(0,(1-S1138/'01_설정'!B6))*'01_설정'!B15+MAX(0,(1-T1138/'01_설정'!B7))*'01_설정'!B16+MAX(0,(1-U1138/'01_설정'!B8))*'01_설정'!B17+O1138*'01_설정'!B11+Q1138*'01_설정'!B12+P1138*'01_설정'!B13+IF(Z1138="",0,Z1138))</f>
        <v/>
      </c>
      <c r="X1138" s="152">
        <f>IF(W1138="","",1+COUNTIFS($W$4:$W$3003,"&gt;"&amp;W1138)+COUNTIFS($W$4:W1138,W1138)-1)</f>
        <v/>
      </c>
      <c r="Y1138" s="175">
        <f>IF(OR(I1138="",'02_대상물건입력'!B19="",'02_대상물건입력'!B19&lt;=0),"",ABS(I1138-'02_대상물건입력'!B19)/'02_대상물건입력'!B19)</f>
        <v/>
      </c>
      <c r="Z1138" s="172">
        <f>IF(OR(Y1138="",'01_설정'!B31="",'01_설정'!B31&lt;=0,'01_설정'!B32="",'01_설정'!B32&lt;=0),"",MAX(0,(1-Y1138/'01_설정'!B32))*'01_설정'!B31)</f>
        <v/>
      </c>
    </row>
    <row r="1139" ht="17.25" customHeight="1">
      <c r="A1139" s="152">
        <f>IF(INDEX('04A_국토부원자료'!$A:$A,ROW()+1)="","",ROW()-3)</f>
        <v/>
      </c>
      <c r="B1139" s="48">
        <f>IFERROR(INDEX('04A_국토부원자료'!$A:$T,ROW()+1,MATCH("시군구",'04A_국토부원자료'!$A$4:$T$4,0)),"")</f>
        <v/>
      </c>
      <c r="C1139" s="48">
        <f>IF(B1139="","",IFERROR(INDEX('04A_국토부원자료'!$A:$T,ROW()+1,MATCH("번지",'04A_국토부원자료'!$A$4:$T$4,0)),""))</f>
        <v/>
      </c>
      <c r="D1139" s="48">
        <f>IF(B1139="","",IF(Q1139=1,'02_대상물건입력'!$B$8,IFERROR(INDEX('04A_국토부원자료'!$A:$T,ROW()+1,MATCH("단지명",'04A_국토부원자료'!$A$4:$T$4,0)),"")))</f>
        <v/>
      </c>
      <c r="E1139" s="172">
        <f>IFERROR(VALUE(SUBSTITUTE(INDEX('04A_국토부원자료'!$A:$T,ROW()+1,MATCH("전용면적(㎡)",'04A_국토부원자료'!$A$4:$T$4,0)),",","")),"")</f>
        <v/>
      </c>
      <c r="F11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39" s="51">
        <f>IFERROR(VALUE(SUBSTITUTE(INDEX('04A_국토부원자료'!$A:$T,ROW()+1,MATCH("거래금액(만원)",'04A_국토부원자료'!$A$4:$T$4,0)),",","")),"")</f>
        <v/>
      </c>
      <c r="H1139" s="174">
        <f>IF(G1139="","",G1139*10000)</f>
        <v/>
      </c>
      <c r="I1139" s="174">
        <f>IFERROR(IF(AND(H1139&gt;0,E1139&gt;0),H1139/E1139,""),"")</f>
        <v/>
      </c>
      <c r="J1139" s="152">
        <f>IFERROR(VALUE(SUBSTITUTE(INDEX('04A_국토부원자료'!$A:$T,ROW()+1,MATCH("층",'04A_국토부원자료'!$A$4:$T$4,0)),",","")),"")</f>
        <v/>
      </c>
      <c r="K1139" s="152">
        <f>IFERROR(VALUE(SUBSTITUTE(INDEX('04A_국토부원자료'!$A:$T,ROW()+1,MATCH("건축년도",'04A_국토부원자료'!$A$4:$T$4,0)),",","")),"")</f>
        <v/>
      </c>
      <c r="L1139" s="176">
        <f>IFERROR(INDEX('04A_국토부원자료'!$A:$T,ROW()+1,MATCH("도로명",'04A_국토부원자료'!$A$4:$T$4,0)),"")</f>
        <v/>
      </c>
      <c r="M1139" s="48">
        <f>IFERROR(INDEX('04A_국토부원자료'!$A:$T,ROW()+1,MATCH("거래유형",'04A_국토부원자료'!$A$4:$T$4,0)),"")</f>
        <v/>
      </c>
      <c r="N1139" s="152">
        <f>IF(B1139="","",IF('02_대상물건입력'!B5="",1,IF(ISNUMBER(SEARCH('02_대상물건입력'!B5,B1139)),1,0)))</f>
        <v/>
      </c>
      <c r="O1139" s="152">
        <f>IF(B1139="","",IF('02_대상물건입력'!B6="",1,IF(ISNUMBER(SEARCH('02_대상물건입력'!B6,B1139)),1,0)))</f>
        <v/>
      </c>
      <c r="P1139" s="152">
        <f>IF(L1139="","",IF('02_대상물건입력'!B15="",0,IF(ISNUMBER(SEARCH('02_대상물건입력'!B15,L1139)),1,0)))</f>
        <v/>
      </c>
      <c r="Q1139" s="152">
        <f>IF(OR(C1139="",L1139=""),0,IF(AND(TRIM(C1139)=TRIM(RIGHT(SUBSTITUTE(TRIM('02_대상물건입력'!$B$7)," ",REPT(" ",99)),99)),IF('02_대상물건입력'!B15="",TRUE(),ISNUMBER(SEARCH('02_대상물건입력'!B15,L1139)))),1,0))</f>
        <v/>
      </c>
      <c r="R1139" s="175">
        <f>IFERROR(ABS(E1139-'02_대상물건입력'!B11)/'02_대상물건입력'!B11,"")</f>
        <v/>
      </c>
      <c r="S1139" s="152">
        <f>IFERROR(ABS(J1139-'02_대상물건입력'!B10),"")</f>
        <v/>
      </c>
      <c r="T1139" s="152">
        <f>IFERROR(ABS('01_설정'!B4-F1139),"")</f>
        <v/>
      </c>
      <c r="U1139" s="152">
        <f>IFERROR(ABS(K1139-YEAR('02_대상물건입력'!B14)),"")</f>
        <v/>
      </c>
      <c r="V1139" s="152">
        <f>IF(B1139="","",IF(AND(E1139&gt;0,F1139&gt;0,H1139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1139=1,TRUE()),R1139&lt;='01_설정'!B5,S1139&lt;='01_설정'!B6,T1139&lt;='01_설정'!B7,U1139&lt;='01_설정'!B8),"Y",""))</f>
        <v/>
      </c>
      <c r="W1139" s="172">
        <f>IF(V1139&lt;&gt;"Y","",MAX(0,(1-R1139/'01_설정'!B5))*'01_설정'!B14+MAX(0,(1-S1139/'01_설정'!B6))*'01_설정'!B15+MAX(0,(1-T1139/'01_설정'!B7))*'01_설정'!B16+MAX(0,(1-U1139/'01_설정'!B8))*'01_설정'!B17+O1139*'01_설정'!B11+Q1139*'01_설정'!B12+P1139*'01_설정'!B13+IF(Z1139="",0,Z1139))</f>
        <v/>
      </c>
      <c r="X1139" s="152">
        <f>IF(W1139="","",1+COUNTIFS($W$4:$W$3003,"&gt;"&amp;W1139)+COUNTIFS($W$4:W1139,W1139)-1)</f>
        <v/>
      </c>
      <c r="Y1139" s="175">
        <f>IF(OR(I1139="",'02_대상물건입력'!B19="",'02_대상물건입력'!B19&lt;=0),"",ABS(I1139-'02_대상물건입력'!B19)/'02_대상물건입력'!B19)</f>
        <v/>
      </c>
      <c r="Z1139" s="172">
        <f>IF(OR(Y1139="",'01_설정'!B31="",'01_설정'!B31&lt;=0,'01_설정'!B32="",'01_설정'!B32&lt;=0),"",MAX(0,(1-Y1139/'01_설정'!B32))*'01_설정'!B31)</f>
        <v/>
      </c>
    </row>
    <row r="1140" ht="17.25" customHeight="1">
      <c r="A1140" s="152">
        <f>IF(INDEX('04A_국토부원자료'!$A:$A,ROW()+1)="","",ROW()-3)</f>
        <v/>
      </c>
      <c r="B1140" s="48">
        <f>IFERROR(INDEX('04A_국토부원자료'!$A:$T,ROW()+1,MATCH("시군구",'04A_국토부원자료'!$A$4:$T$4,0)),"")</f>
        <v/>
      </c>
      <c r="C1140" s="48">
        <f>IF(B1140="","",IFERROR(INDEX('04A_국토부원자료'!$A:$T,ROW()+1,MATCH("번지",'04A_국토부원자료'!$A$4:$T$4,0)),""))</f>
        <v/>
      </c>
      <c r="D1140" s="48">
        <f>IF(B1140="","",IF(Q1140=1,'02_대상물건입력'!$B$8,IFERROR(INDEX('04A_국토부원자료'!$A:$T,ROW()+1,MATCH("단지명",'04A_국토부원자료'!$A$4:$T$4,0)),"")))</f>
        <v/>
      </c>
      <c r="E1140" s="172">
        <f>IFERROR(VALUE(SUBSTITUTE(INDEX('04A_국토부원자료'!$A:$T,ROW()+1,MATCH("전용면적(㎡)",'04A_국토부원자료'!$A$4:$T$4,0)),",","")),"")</f>
        <v/>
      </c>
      <c r="F11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40" s="51">
        <f>IFERROR(VALUE(SUBSTITUTE(INDEX('04A_국토부원자료'!$A:$T,ROW()+1,MATCH("거래금액(만원)",'04A_국토부원자료'!$A$4:$T$4,0)),",","")),"")</f>
        <v/>
      </c>
      <c r="H1140" s="174">
        <f>IF(G1140="","",G1140*10000)</f>
        <v/>
      </c>
      <c r="I1140" s="174">
        <f>IFERROR(IF(AND(H1140&gt;0,E1140&gt;0),H1140/E1140,""),"")</f>
        <v/>
      </c>
      <c r="J1140" s="152">
        <f>IFERROR(VALUE(SUBSTITUTE(INDEX('04A_국토부원자료'!$A:$T,ROW()+1,MATCH("층",'04A_국토부원자료'!$A$4:$T$4,0)),",","")),"")</f>
        <v/>
      </c>
      <c r="K1140" s="152">
        <f>IFERROR(VALUE(SUBSTITUTE(INDEX('04A_국토부원자료'!$A:$T,ROW()+1,MATCH("건축년도",'04A_국토부원자료'!$A$4:$T$4,0)),",","")),"")</f>
        <v/>
      </c>
      <c r="L1140" s="176">
        <f>IFERROR(INDEX('04A_국토부원자료'!$A:$T,ROW()+1,MATCH("도로명",'04A_국토부원자료'!$A$4:$T$4,0)),"")</f>
        <v/>
      </c>
      <c r="M1140" s="48">
        <f>IFERROR(INDEX('04A_국토부원자료'!$A:$T,ROW()+1,MATCH("거래유형",'04A_국토부원자료'!$A$4:$T$4,0)),"")</f>
        <v/>
      </c>
      <c r="N1140" s="152">
        <f>IF(B1140="","",IF('02_대상물건입력'!B5="",1,IF(ISNUMBER(SEARCH('02_대상물건입력'!B5,B1140)),1,0)))</f>
        <v/>
      </c>
      <c r="O1140" s="152">
        <f>IF(B1140="","",IF('02_대상물건입력'!B6="",1,IF(ISNUMBER(SEARCH('02_대상물건입력'!B6,B1140)),1,0)))</f>
        <v/>
      </c>
      <c r="P1140" s="152">
        <f>IF(L1140="","",IF('02_대상물건입력'!B15="",0,IF(ISNUMBER(SEARCH('02_대상물건입력'!B15,L1140)),1,0)))</f>
        <v/>
      </c>
      <c r="Q1140" s="152">
        <f>IF(OR(C1140="",L1140=""),0,IF(AND(TRIM(C1140)=TRIM(RIGHT(SUBSTITUTE(TRIM('02_대상물건입력'!$B$7)," ",REPT(" ",99)),99)),IF('02_대상물건입력'!B15="",TRUE(),ISNUMBER(SEARCH('02_대상물건입력'!B15,L1140)))),1,0))</f>
        <v/>
      </c>
      <c r="R1140" s="175">
        <f>IFERROR(ABS(E1140-'02_대상물건입력'!B11)/'02_대상물건입력'!B11,"")</f>
        <v/>
      </c>
      <c r="S1140" s="152">
        <f>IFERROR(ABS(J1140-'02_대상물건입력'!B10),"")</f>
        <v/>
      </c>
      <c r="T1140" s="152">
        <f>IFERROR(ABS('01_설정'!B4-F1140),"")</f>
        <v/>
      </c>
      <c r="U1140" s="152">
        <f>IFERROR(ABS(K1140-YEAR('02_대상물건입력'!B14)),"")</f>
        <v/>
      </c>
      <c r="V1140" s="152">
        <f>IF(B1140="","",IF(AND(E1140&gt;0,F1140&gt;0,H1140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1140=1,TRUE()),R1140&lt;='01_설정'!B5,S1140&lt;='01_설정'!B6,T1140&lt;='01_설정'!B7,U1140&lt;='01_설정'!B8),"Y",""))</f>
        <v/>
      </c>
      <c r="W1140" s="172">
        <f>IF(V1140&lt;&gt;"Y","",MAX(0,(1-R1140/'01_설정'!B5))*'01_설정'!B14+MAX(0,(1-S1140/'01_설정'!B6))*'01_설정'!B15+MAX(0,(1-T1140/'01_설정'!B7))*'01_설정'!B16+MAX(0,(1-U1140/'01_설정'!B8))*'01_설정'!B17+O1140*'01_설정'!B11+Q1140*'01_설정'!B12+P1140*'01_설정'!B13+IF(Z1140="",0,Z1140))</f>
        <v/>
      </c>
      <c r="X1140" s="152">
        <f>IF(W1140="","",1+COUNTIFS($W$4:$W$3003,"&gt;"&amp;W1140)+COUNTIFS($W$4:W1140,W1140)-1)</f>
        <v/>
      </c>
      <c r="Y1140" s="175">
        <f>IF(OR(I1140="",'02_대상물건입력'!B19="",'02_대상물건입력'!B19&lt;=0),"",ABS(I1140-'02_대상물건입력'!B19)/'02_대상물건입력'!B19)</f>
        <v/>
      </c>
      <c r="Z1140" s="172">
        <f>IF(OR(Y1140="",'01_설정'!B31="",'01_설정'!B31&lt;=0,'01_설정'!B32="",'01_설정'!B32&lt;=0),"",MAX(0,(1-Y1140/'01_설정'!B32))*'01_설정'!B31)</f>
        <v/>
      </c>
    </row>
    <row r="1141" ht="17.25" customHeight="1">
      <c r="A1141" s="152">
        <f>IF(INDEX('04A_국토부원자료'!$A:$A,ROW()+1)="","",ROW()-3)</f>
        <v/>
      </c>
      <c r="B1141" s="48">
        <f>IFERROR(INDEX('04A_국토부원자료'!$A:$T,ROW()+1,MATCH("시군구",'04A_국토부원자료'!$A$4:$T$4,0)),"")</f>
        <v/>
      </c>
      <c r="C1141" s="48">
        <f>IF(B1141="","",IFERROR(INDEX('04A_국토부원자료'!$A:$T,ROW()+1,MATCH("번지",'04A_국토부원자료'!$A$4:$T$4,0)),""))</f>
        <v/>
      </c>
      <c r="D1141" s="48">
        <f>IF(B1141="","",IF(Q1141=1,'02_대상물건입력'!$B$8,IFERROR(INDEX('04A_국토부원자료'!$A:$T,ROW()+1,MATCH("단지명",'04A_국토부원자료'!$A$4:$T$4,0)),"")))</f>
        <v/>
      </c>
      <c r="E1141" s="172">
        <f>IFERROR(VALUE(SUBSTITUTE(INDEX('04A_국토부원자료'!$A:$T,ROW()+1,MATCH("전용면적(㎡)",'04A_국토부원자료'!$A$4:$T$4,0)),",","")),"")</f>
        <v/>
      </c>
      <c r="F11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41" s="51">
        <f>IFERROR(VALUE(SUBSTITUTE(INDEX('04A_국토부원자료'!$A:$T,ROW()+1,MATCH("거래금액(만원)",'04A_국토부원자료'!$A$4:$T$4,0)),",","")),"")</f>
        <v/>
      </c>
      <c r="H1141" s="174">
        <f>IF(G1141="","",G1141*10000)</f>
        <v/>
      </c>
      <c r="I1141" s="174">
        <f>IFERROR(IF(AND(H1141&gt;0,E1141&gt;0),H1141/E1141,""),"")</f>
        <v/>
      </c>
      <c r="J1141" s="152">
        <f>IFERROR(VALUE(SUBSTITUTE(INDEX('04A_국토부원자료'!$A:$T,ROW()+1,MATCH("층",'04A_국토부원자료'!$A$4:$T$4,0)),",","")),"")</f>
        <v/>
      </c>
      <c r="K1141" s="152">
        <f>IFERROR(VALUE(SUBSTITUTE(INDEX('04A_국토부원자료'!$A:$T,ROW()+1,MATCH("건축년도",'04A_국토부원자료'!$A$4:$T$4,0)),",","")),"")</f>
        <v/>
      </c>
      <c r="L1141" s="176">
        <f>IFERROR(INDEX('04A_국토부원자료'!$A:$T,ROW()+1,MATCH("도로명",'04A_국토부원자료'!$A$4:$T$4,0)),"")</f>
        <v/>
      </c>
      <c r="M1141" s="48">
        <f>IFERROR(INDEX('04A_국토부원자료'!$A:$T,ROW()+1,MATCH("거래유형",'04A_국토부원자료'!$A$4:$T$4,0)),"")</f>
        <v/>
      </c>
      <c r="N1141" s="152">
        <f>IF(B1141="","",IF('02_대상물건입력'!B5="",1,IF(ISNUMBER(SEARCH('02_대상물건입력'!B5,B1141)),1,0)))</f>
        <v/>
      </c>
      <c r="O1141" s="152">
        <f>IF(B1141="","",IF('02_대상물건입력'!B6="",1,IF(ISNUMBER(SEARCH('02_대상물건입력'!B6,B1141)),1,0)))</f>
        <v/>
      </c>
      <c r="P1141" s="152">
        <f>IF(L1141="","",IF('02_대상물건입력'!B15="",0,IF(ISNUMBER(SEARCH('02_대상물건입력'!B15,L1141)),1,0)))</f>
        <v/>
      </c>
      <c r="Q1141" s="152">
        <f>IF(OR(C1141="",L1141=""),0,IF(AND(TRIM(C1141)=TRIM(RIGHT(SUBSTITUTE(TRIM('02_대상물건입력'!$B$7)," ",REPT(" ",99)),99)),IF('02_대상물건입력'!B15="",TRUE(),ISNUMBER(SEARCH('02_대상물건입력'!B15,L1141)))),1,0))</f>
        <v/>
      </c>
      <c r="R1141" s="175">
        <f>IFERROR(ABS(E1141-'02_대상물건입력'!B11)/'02_대상물건입력'!B11,"")</f>
        <v/>
      </c>
      <c r="S1141" s="152">
        <f>IFERROR(ABS(J1141-'02_대상물건입력'!B10),"")</f>
        <v/>
      </c>
      <c r="T1141" s="152">
        <f>IFERROR(ABS('01_설정'!B4-F1141),"")</f>
        <v/>
      </c>
      <c r="U1141" s="152">
        <f>IFERROR(ABS(K1141-YEAR('02_대상물건입력'!B14)),"")</f>
        <v/>
      </c>
      <c r="V1141" s="152">
        <f>IF(B1141="","",IF(AND(E1141&gt;0,F1141&gt;0,H1141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1141=1,TRUE()),R1141&lt;='01_설정'!B5,S1141&lt;='01_설정'!B6,T1141&lt;='01_설정'!B7,U1141&lt;='01_설정'!B8),"Y",""))</f>
        <v/>
      </c>
      <c r="W1141" s="172">
        <f>IF(V1141&lt;&gt;"Y","",MAX(0,(1-R1141/'01_설정'!B5))*'01_설정'!B14+MAX(0,(1-S1141/'01_설정'!B6))*'01_설정'!B15+MAX(0,(1-T1141/'01_설정'!B7))*'01_설정'!B16+MAX(0,(1-U1141/'01_설정'!B8))*'01_설정'!B17+O1141*'01_설정'!B11+Q1141*'01_설정'!B12+P1141*'01_설정'!B13+IF(Z1141="",0,Z1141))</f>
        <v/>
      </c>
      <c r="X1141" s="152">
        <f>IF(W1141="","",1+COUNTIFS($W$4:$W$3003,"&gt;"&amp;W1141)+COUNTIFS($W$4:W1141,W1141)-1)</f>
        <v/>
      </c>
      <c r="Y1141" s="175">
        <f>IF(OR(I1141="",'02_대상물건입력'!B19="",'02_대상물건입력'!B19&lt;=0),"",ABS(I1141-'02_대상물건입력'!B19)/'02_대상물건입력'!B19)</f>
        <v/>
      </c>
      <c r="Z1141" s="172">
        <f>IF(OR(Y1141="",'01_설정'!B31="",'01_설정'!B31&lt;=0,'01_설정'!B32="",'01_설정'!B32&lt;=0),"",MAX(0,(1-Y1141/'01_설정'!B32))*'01_설정'!B31)</f>
        <v/>
      </c>
    </row>
    <row r="1142" ht="17.25" customHeight="1">
      <c r="A1142" s="152">
        <f>IF(INDEX('04A_국토부원자료'!$A:$A,ROW()+1)="","",ROW()-3)</f>
        <v/>
      </c>
      <c r="B1142" s="48">
        <f>IFERROR(INDEX('04A_국토부원자료'!$A:$T,ROW()+1,MATCH("시군구",'04A_국토부원자료'!$A$4:$T$4,0)),"")</f>
        <v/>
      </c>
      <c r="C1142" s="48">
        <f>IF(B1142="","",IFERROR(INDEX('04A_국토부원자료'!$A:$T,ROW()+1,MATCH("번지",'04A_국토부원자료'!$A$4:$T$4,0)),""))</f>
        <v/>
      </c>
      <c r="D1142" s="48">
        <f>IF(B1142="","",IF(Q1142=1,'02_대상물건입력'!$B$8,IFERROR(INDEX('04A_국토부원자료'!$A:$T,ROW()+1,MATCH("단지명",'04A_국토부원자료'!$A$4:$T$4,0)),"")))</f>
        <v/>
      </c>
      <c r="E1142" s="172">
        <f>IFERROR(VALUE(SUBSTITUTE(INDEX('04A_국토부원자료'!$A:$T,ROW()+1,MATCH("전용면적(㎡)",'04A_국토부원자료'!$A$4:$T$4,0)),",","")),"")</f>
        <v/>
      </c>
      <c r="F11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42" s="51">
        <f>IFERROR(VALUE(SUBSTITUTE(INDEX('04A_국토부원자료'!$A:$T,ROW()+1,MATCH("거래금액(만원)",'04A_국토부원자료'!$A$4:$T$4,0)),",","")),"")</f>
        <v/>
      </c>
      <c r="H1142" s="174">
        <f>IF(G1142="","",G1142*10000)</f>
        <v/>
      </c>
      <c r="I1142" s="174">
        <f>IFERROR(IF(AND(H1142&gt;0,E1142&gt;0),H1142/E1142,""),"")</f>
        <v/>
      </c>
      <c r="J1142" s="152">
        <f>IFERROR(VALUE(SUBSTITUTE(INDEX('04A_국토부원자료'!$A:$T,ROW()+1,MATCH("층",'04A_국토부원자료'!$A$4:$T$4,0)),",","")),"")</f>
        <v/>
      </c>
      <c r="K1142" s="152">
        <f>IFERROR(VALUE(SUBSTITUTE(INDEX('04A_국토부원자료'!$A:$T,ROW()+1,MATCH("건축년도",'04A_국토부원자료'!$A$4:$T$4,0)),",","")),"")</f>
        <v/>
      </c>
      <c r="L1142" s="176">
        <f>IFERROR(INDEX('04A_국토부원자료'!$A:$T,ROW()+1,MATCH("도로명",'04A_국토부원자료'!$A$4:$T$4,0)),"")</f>
        <v/>
      </c>
      <c r="M1142" s="48">
        <f>IFERROR(INDEX('04A_국토부원자료'!$A:$T,ROW()+1,MATCH("거래유형",'04A_국토부원자료'!$A$4:$T$4,0)),"")</f>
        <v/>
      </c>
      <c r="N1142" s="152">
        <f>IF(B1142="","",IF('02_대상물건입력'!B5="",1,IF(ISNUMBER(SEARCH('02_대상물건입력'!B5,B1142)),1,0)))</f>
        <v/>
      </c>
      <c r="O1142" s="152">
        <f>IF(B1142="","",IF('02_대상물건입력'!B6="",1,IF(ISNUMBER(SEARCH('02_대상물건입력'!B6,B1142)),1,0)))</f>
        <v/>
      </c>
      <c r="P1142" s="152">
        <f>IF(L1142="","",IF('02_대상물건입력'!B15="",0,IF(ISNUMBER(SEARCH('02_대상물건입력'!B15,L1142)),1,0)))</f>
        <v/>
      </c>
      <c r="Q1142" s="152">
        <f>IF(OR(C1142="",L1142=""),0,IF(AND(TRIM(C1142)=TRIM(RIGHT(SUBSTITUTE(TRIM('02_대상물건입력'!$B$7)," ",REPT(" ",99)),99)),IF('02_대상물건입력'!B15="",TRUE(),ISNUMBER(SEARCH('02_대상물건입력'!B15,L1142)))),1,0))</f>
        <v/>
      </c>
      <c r="R1142" s="175">
        <f>IFERROR(ABS(E1142-'02_대상물건입력'!B11)/'02_대상물건입력'!B11,"")</f>
        <v/>
      </c>
      <c r="S1142" s="152">
        <f>IFERROR(ABS(J1142-'02_대상물건입력'!B10),"")</f>
        <v/>
      </c>
      <c r="T1142" s="152">
        <f>IFERROR(ABS('01_설정'!B4-F1142),"")</f>
        <v/>
      </c>
      <c r="U1142" s="152">
        <f>IFERROR(ABS(K1142-YEAR('02_대상물건입력'!B14)),"")</f>
        <v/>
      </c>
      <c r="V1142" s="152">
        <f>IF(B1142="","",IF(AND(E1142&gt;0,F1142&gt;0,H1142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1142=1,TRUE()),R1142&lt;='01_설정'!B5,S1142&lt;='01_설정'!B6,T1142&lt;='01_설정'!B7,U1142&lt;='01_설정'!B8),"Y",""))</f>
        <v/>
      </c>
      <c r="W1142" s="172">
        <f>IF(V1142&lt;&gt;"Y","",MAX(0,(1-R1142/'01_설정'!B5))*'01_설정'!B14+MAX(0,(1-S1142/'01_설정'!B6))*'01_설정'!B15+MAX(0,(1-T1142/'01_설정'!B7))*'01_설정'!B16+MAX(0,(1-U1142/'01_설정'!B8))*'01_설정'!B17+O1142*'01_설정'!B11+Q1142*'01_설정'!B12+P1142*'01_설정'!B13+IF(Z1142="",0,Z1142))</f>
        <v/>
      </c>
      <c r="X1142" s="152">
        <f>IF(W1142="","",1+COUNTIFS($W$4:$W$3003,"&gt;"&amp;W1142)+COUNTIFS($W$4:W1142,W1142)-1)</f>
        <v/>
      </c>
      <c r="Y1142" s="175">
        <f>IF(OR(I1142="",'02_대상물건입력'!B19="",'02_대상물건입력'!B19&lt;=0),"",ABS(I1142-'02_대상물건입력'!B19)/'02_대상물건입력'!B19)</f>
        <v/>
      </c>
      <c r="Z1142" s="172">
        <f>IF(OR(Y1142="",'01_설정'!B31="",'01_설정'!B31&lt;=0,'01_설정'!B32="",'01_설정'!B32&lt;=0),"",MAX(0,(1-Y1142/'01_설정'!B32))*'01_설정'!B31)</f>
        <v/>
      </c>
    </row>
    <row r="1143" ht="17.25" customHeight="1">
      <c r="A1143" s="152">
        <f>IF(INDEX('04A_국토부원자료'!$A:$A,ROW()+1)="","",ROW()-3)</f>
        <v/>
      </c>
      <c r="B1143" s="48">
        <f>IFERROR(INDEX('04A_국토부원자료'!$A:$T,ROW()+1,MATCH("시군구",'04A_국토부원자료'!$A$4:$T$4,0)),"")</f>
        <v/>
      </c>
      <c r="C1143" s="48">
        <f>IF(B1143="","",IFERROR(INDEX('04A_국토부원자료'!$A:$T,ROW()+1,MATCH("번지",'04A_국토부원자료'!$A$4:$T$4,0)),""))</f>
        <v/>
      </c>
      <c r="D1143" s="48">
        <f>IF(B1143="","",IF(Q1143=1,'02_대상물건입력'!$B$8,IFERROR(INDEX('04A_국토부원자료'!$A:$T,ROW()+1,MATCH("단지명",'04A_국토부원자료'!$A$4:$T$4,0)),"")))</f>
        <v/>
      </c>
      <c r="E1143" s="172">
        <f>IFERROR(VALUE(SUBSTITUTE(INDEX('04A_국토부원자료'!$A:$T,ROW()+1,MATCH("전용면적(㎡)",'04A_국토부원자료'!$A$4:$T$4,0)),",","")),"")</f>
        <v/>
      </c>
      <c r="F11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43" s="51">
        <f>IFERROR(VALUE(SUBSTITUTE(INDEX('04A_국토부원자료'!$A:$T,ROW()+1,MATCH("거래금액(만원)",'04A_국토부원자료'!$A$4:$T$4,0)),",","")),"")</f>
        <v/>
      </c>
      <c r="H1143" s="174">
        <f>IF(G1143="","",G1143*10000)</f>
        <v/>
      </c>
      <c r="I1143" s="174">
        <f>IFERROR(IF(AND(H1143&gt;0,E1143&gt;0),H1143/E1143,""),"")</f>
        <v/>
      </c>
      <c r="J1143" s="152">
        <f>IFERROR(VALUE(SUBSTITUTE(INDEX('04A_국토부원자료'!$A:$T,ROW()+1,MATCH("층",'04A_국토부원자료'!$A$4:$T$4,0)),",","")),"")</f>
        <v/>
      </c>
      <c r="K1143" s="152">
        <f>IFERROR(VALUE(SUBSTITUTE(INDEX('04A_국토부원자료'!$A:$T,ROW()+1,MATCH("건축년도",'04A_국토부원자료'!$A$4:$T$4,0)),",","")),"")</f>
        <v/>
      </c>
      <c r="L1143" s="176">
        <f>IFERROR(INDEX('04A_국토부원자료'!$A:$T,ROW()+1,MATCH("도로명",'04A_국토부원자료'!$A$4:$T$4,0)),"")</f>
        <v/>
      </c>
      <c r="M1143" s="48">
        <f>IFERROR(INDEX('04A_국토부원자료'!$A:$T,ROW()+1,MATCH("거래유형",'04A_국토부원자료'!$A$4:$T$4,0)),"")</f>
        <v/>
      </c>
      <c r="N1143" s="152">
        <f>IF(B1143="","",IF('02_대상물건입력'!B5="",1,IF(ISNUMBER(SEARCH('02_대상물건입력'!B5,B1143)),1,0)))</f>
        <v/>
      </c>
      <c r="O1143" s="152">
        <f>IF(B1143="","",IF('02_대상물건입력'!B6="",1,IF(ISNUMBER(SEARCH('02_대상물건입력'!B6,B1143)),1,0)))</f>
        <v/>
      </c>
      <c r="P1143" s="152">
        <f>IF(L1143="","",IF('02_대상물건입력'!B15="",0,IF(ISNUMBER(SEARCH('02_대상물건입력'!B15,L1143)),1,0)))</f>
        <v/>
      </c>
      <c r="Q1143" s="152">
        <f>IF(OR(C1143="",L1143=""),0,IF(AND(TRIM(C1143)=TRIM(RIGHT(SUBSTITUTE(TRIM('02_대상물건입력'!$B$7)," ",REPT(" ",99)),99)),IF('02_대상물건입력'!B15="",TRUE(),ISNUMBER(SEARCH('02_대상물건입력'!B15,L1143)))),1,0))</f>
        <v/>
      </c>
      <c r="R1143" s="175">
        <f>IFERROR(ABS(E1143-'02_대상물건입력'!B11)/'02_대상물건입력'!B11,"")</f>
        <v/>
      </c>
      <c r="S1143" s="152">
        <f>IFERROR(ABS(J1143-'02_대상물건입력'!B10),"")</f>
        <v/>
      </c>
      <c r="T1143" s="152">
        <f>IFERROR(ABS('01_설정'!B4-F1143),"")</f>
        <v/>
      </c>
      <c r="U1143" s="152">
        <f>IFERROR(ABS(K1143-YEAR('02_대상물건입력'!B14)),"")</f>
        <v/>
      </c>
      <c r="V1143" s="152">
        <f>IF(B1143="","",IF(AND(E1143&gt;0,F1143&gt;0,H1143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1143=1,TRUE()),R1143&lt;='01_설정'!B5,S1143&lt;='01_설정'!B6,T1143&lt;='01_설정'!B7,U1143&lt;='01_설정'!B8),"Y",""))</f>
        <v/>
      </c>
      <c r="W1143" s="172">
        <f>IF(V1143&lt;&gt;"Y","",MAX(0,(1-R1143/'01_설정'!B5))*'01_설정'!B14+MAX(0,(1-S1143/'01_설정'!B6))*'01_설정'!B15+MAX(0,(1-T1143/'01_설정'!B7))*'01_설정'!B16+MAX(0,(1-U1143/'01_설정'!B8))*'01_설정'!B17+O1143*'01_설정'!B11+Q1143*'01_설정'!B12+P1143*'01_설정'!B13+IF(Z1143="",0,Z1143))</f>
        <v/>
      </c>
      <c r="X1143" s="152">
        <f>IF(W1143="","",1+COUNTIFS($W$4:$W$3003,"&gt;"&amp;W1143)+COUNTIFS($W$4:W1143,W1143)-1)</f>
        <v/>
      </c>
      <c r="Y1143" s="175">
        <f>IF(OR(I1143="",'02_대상물건입력'!B19="",'02_대상물건입력'!B19&lt;=0),"",ABS(I1143-'02_대상물건입력'!B19)/'02_대상물건입력'!B19)</f>
        <v/>
      </c>
      <c r="Z1143" s="172">
        <f>IF(OR(Y1143="",'01_설정'!B31="",'01_설정'!B31&lt;=0,'01_설정'!B32="",'01_설정'!B32&lt;=0),"",MAX(0,(1-Y1143/'01_설정'!B32))*'01_설정'!B31)</f>
        <v/>
      </c>
    </row>
    <row r="1144" ht="17.25" customHeight="1">
      <c r="A1144" s="152">
        <f>IF(INDEX('04A_국토부원자료'!$A:$A,ROW()+1)="","",ROW()-3)</f>
        <v/>
      </c>
      <c r="B1144" s="48">
        <f>IFERROR(INDEX('04A_국토부원자료'!$A:$T,ROW()+1,MATCH("시군구",'04A_국토부원자료'!$A$4:$T$4,0)),"")</f>
        <v/>
      </c>
      <c r="C1144" s="48">
        <f>IF(B1144="","",IFERROR(INDEX('04A_국토부원자료'!$A:$T,ROW()+1,MATCH("번지",'04A_국토부원자료'!$A$4:$T$4,0)),""))</f>
        <v/>
      </c>
      <c r="D1144" s="48">
        <f>IF(B1144="","",IF(Q1144=1,'02_대상물건입력'!$B$8,IFERROR(INDEX('04A_국토부원자료'!$A:$T,ROW()+1,MATCH("단지명",'04A_국토부원자료'!$A$4:$T$4,0)),"")))</f>
        <v/>
      </c>
      <c r="E1144" s="172">
        <f>IFERROR(VALUE(SUBSTITUTE(INDEX('04A_국토부원자료'!$A:$T,ROW()+1,MATCH("전용면적(㎡)",'04A_국토부원자료'!$A$4:$T$4,0)),",","")),"")</f>
        <v/>
      </c>
      <c r="F11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44" s="51">
        <f>IFERROR(VALUE(SUBSTITUTE(INDEX('04A_국토부원자료'!$A:$T,ROW()+1,MATCH("거래금액(만원)",'04A_국토부원자료'!$A$4:$T$4,0)),",","")),"")</f>
        <v/>
      </c>
      <c r="H1144" s="174">
        <f>IF(G1144="","",G1144*10000)</f>
        <v/>
      </c>
      <c r="I1144" s="174">
        <f>IFERROR(IF(AND(H1144&gt;0,E1144&gt;0),H1144/E1144,""),"")</f>
        <v/>
      </c>
      <c r="J1144" s="152">
        <f>IFERROR(VALUE(SUBSTITUTE(INDEX('04A_국토부원자료'!$A:$T,ROW()+1,MATCH("층",'04A_국토부원자료'!$A$4:$T$4,0)),",","")),"")</f>
        <v/>
      </c>
      <c r="K1144" s="152">
        <f>IFERROR(VALUE(SUBSTITUTE(INDEX('04A_국토부원자료'!$A:$T,ROW()+1,MATCH("건축년도",'04A_국토부원자료'!$A$4:$T$4,0)),",","")),"")</f>
        <v/>
      </c>
      <c r="L1144" s="176">
        <f>IFERROR(INDEX('04A_국토부원자료'!$A:$T,ROW()+1,MATCH("도로명",'04A_국토부원자료'!$A$4:$T$4,0)),"")</f>
        <v/>
      </c>
      <c r="M1144" s="48">
        <f>IFERROR(INDEX('04A_국토부원자료'!$A:$T,ROW()+1,MATCH("거래유형",'04A_국토부원자료'!$A$4:$T$4,0)),"")</f>
        <v/>
      </c>
      <c r="N1144" s="152">
        <f>IF(B1144="","",IF('02_대상물건입력'!B5="",1,IF(ISNUMBER(SEARCH('02_대상물건입력'!B5,B1144)),1,0)))</f>
        <v/>
      </c>
      <c r="O1144" s="152">
        <f>IF(B1144="","",IF('02_대상물건입력'!B6="",1,IF(ISNUMBER(SEARCH('02_대상물건입력'!B6,B1144)),1,0)))</f>
        <v/>
      </c>
      <c r="P1144" s="152">
        <f>IF(L1144="","",IF('02_대상물건입력'!B15="",0,IF(ISNUMBER(SEARCH('02_대상물건입력'!B15,L1144)),1,0)))</f>
        <v/>
      </c>
      <c r="Q1144" s="152">
        <f>IF(OR(C1144="",L1144=""),0,IF(AND(TRIM(C1144)=TRIM(RIGHT(SUBSTITUTE(TRIM('02_대상물건입력'!$B$7)," ",REPT(" ",99)),99)),IF('02_대상물건입력'!B15="",TRUE(),ISNUMBER(SEARCH('02_대상물건입력'!B15,L1144)))),1,0))</f>
        <v/>
      </c>
      <c r="R1144" s="175">
        <f>IFERROR(ABS(E1144-'02_대상물건입력'!B11)/'02_대상물건입력'!B11,"")</f>
        <v/>
      </c>
      <c r="S1144" s="152">
        <f>IFERROR(ABS(J1144-'02_대상물건입력'!B10),"")</f>
        <v/>
      </c>
      <c r="T1144" s="152">
        <f>IFERROR(ABS('01_설정'!B4-F1144),"")</f>
        <v/>
      </c>
      <c r="U1144" s="152">
        <f>IFERROR(ABS(K1144-YEAR('02_대상물건입력'!B14)),"")</f>
        <v/>
      </c>
      <c r="V1144" s="152">
        <f>IF(B1144="","",IF(AND(E1144&gt;0,F1144&gt;0,H1144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1144=1,TRUE()),R1144&lt;='01_설정'!B5,S1144&lt;='01_설정'!B6,T1144&lt;='01_설정'!B7,U1144&lt;='01_설정'!B8),"Y",""))</f>
        <v/>
      </c>
      <c r="W1144" s="172">
        <f>IF(V1144&lt;&gt;"Y","",MAX(0,(1-R1144/'01_설정'!B5))*'01_설정'!B14+MAX(0,(1-S1144/'01_설정'!B6))*'01_설정'!B15+MAX(0,(1-T1144/'01_설정'!B7))*'01_설정'!B16+MAX(0,(1-U1144/'01_설정'!B8))*'01_설정'!B17+O1144*'01_설정'!B11+Q1144*'01_설정'!B12+P1144*'01_설정'!B13+IF(Z1144="",0,Z1144))</f>
        <v/>
      </c>
      <c r="X1144" s="152">
        <f>IF(W1144="","",1+COUNTIFS($W$4:$W$3003,"&gt;"&amp;W1144)+COUNTIFS($W$4:W1144,W1144)-1)</f>
        <v/>
      </c>
      <c r="Y1144" s="175">
        <f>IF(OR(I1144="",'02_대상물건입력'!B19="",'02_대상물건입력'!B19&lt;=0),"",ABS(I1144-'02_대상물건입력'!B19)/'02_대상물건입력'!B19)</f>
        <v/>
      </c>
      <c r="Z1144" s="172">
        <f>IF(OR(Y1144="",'01_설정'!B31="",'01_설정'!B31&lt;=0,'01_설정'!B32="",'01_설정'!B32&lt;=0),"",MAX(0,(1-Y1144/'01_설정'!B32))*'01_설정'!B31)</f>
        <v/>
      </c>
    </row>
    <row r="1145" ht="17.25" customHeight="1">
      <c r="A1145" s="152">
        <f>IF(INDEX('04A_국토부원자료'!$A:$A,ROW()+1)="","",ROW()-3)</f>
        <v/>
      </c>
      <c r="B1145" s="48">
        <f>IFERROR(INDEX('04A_국토부원자료'!$A:$T,ROW()+1,MATCH("시군구",'04A_국토부원자료'!$A$4:$T$4,0)),"")</f>
        <v/>
      </c>
      <c r="C1145" s="48">
        <f>IF(B1145="","",IFERROR(INDEX('04A_국토부원자료'!$A:$T,ROW()+1,MATCH("번지",'04A_국토부원자료'!$A$4:$T$4,0)),""))</f>
        <v/>
      </c>
      <c r="D1145" s="48">
        <f>IF(B1145="","",IF(Q1145=1,'02_대상물건입력'!$B$8,IFERROR(INDEX('04A_국토부원자료'!$A:$T,ROW()+1,MATCH("단지명",'04A_국토부원자료'!$A$4:$T$4,0)),"")))</f>
        <v/>
      </c>
      <c r="E1145" s="172">
        <f>IFERROR(VALUE(SUBSTITUTE(INDEX('04A_국토부원자료'!$A:$T,ROW()+1,MATCH("전용면적(㎡)",'04A_국토부원자료'!$A$4:$T$4,0)),",","")),"")</f>
        <v/>
      </c>
      <c r="F11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45" s="51">
        <f>IFERROR(VALUE(SUBSTITUTE(INDEX('04A_국토부원자료'!$A:$T,ROW()+1,MATCH("거래금액(만원)",'04A_국토부원자료'!$A$4:$T$4,0)),",","")),"")</f>
        <v/>
      </c>
      <c r="H1145" s="174">
        <f>IF(G1145="","",G1145*10000)</f>
        <v/>
      </c>
      <c r="I1145" s="174">
        <f>IFERROR(IF(AND(H1145&gt;0,E1145&gt;0),H1145/E1145,""),"")</f>
        <v/>
      </c>
      <c r="J1145" s="152">
        <f>IFERROR(VALUE(SUBSTITUTE(INDEX('04A_국토부원자료'!$A:$T,ROW()+1,MATCH("층",'04A_국토부원자료'!$A$4:$T$4,0)),",","")),"")</f>
        <v/>
      </c>
      <c r="K1145" s="152">
        <f>IFERROR(VALUE(SUBSTITUTE(INDEX('04A_국토부원자료'!$A:$T,ROW()+1,MATCH("건축년도",'04A_국토부원자료'!$A$4:$T$4,0)),",","")),"")</f>
        <v/>
      </c>
      <c r="L1145" s="176">
        <f>IFERROR(INDEX('04A_국토부원자료'!$A:$T,ROW()+1,MATCH("도로명",'04A_국토부원자료'!$A$4:$T$4,0)),"")</f>
        <v/>
      </c>
      <c r="M1145" s="48">
        <f>IFERROR(INDEX('04A_국토부원자료'!$A:$T,ROW()+1,MATCH("거래유형",'04A_국토부원자료'!$A$4:$T$4,0)),"")</f>
        <v/>
      </c>
      <c r="N1145" s="152">
        <f>IF(B1145="","",IF('02_대상물건입력'!B5="",1,IF(ISNUMBER(SEARCH('02_대상물건입력'!B5,B1145)),1,0)))</f>
        <v/>
      </c>
      <c r="O1145" s="152">
        <f>IF(B1145="","",IF('02_대상물건입력'!B6="",1,IF(ISNUMBER(SEARCH('02_대상물건입력'!B6,B1145)),1,0)))</f>
        <v/>
      </c>
      <c r="P1145" s="152">
        <f>IF(L1145="","",IF('02_대상물건입력'!B15="",0,IF(ISNUMBER(SEARCH('02_대상물건입력'!B15,L1145)),1,0)))</f>
        <v/>
      </c>
      <c r="Q1145" s="152">
        <f>IF(OR(C1145="",L1145=""),0,IF(AND(TRIM(C1145)=TRIM(RIGHT(SUBSTITUTE(TRIM('02_대상물건입력'!$B$7)," ",REPT(" ",99)),99)),IF('02_대상물건입력'!B15="",TRUE(),ISNUMBER(SEARCH('02_대상물건입력'!B15,L1145)))),1,0))</f>
        <v/>
      </c>
      <c r="R1145" s="175">
        <f>IFERROR(ABS(E1145-'02_대상물건입력'!B11)/'02_대상물건입력'!B11,"")</f>
        <v/>
      </c>
      <c r="S1145" s="152">
        <f>IFERROR(ABS(J1145-'02_대상물건입력'!B10),"")</f>
        <v/>
      </c>
      <c r="T1145" s="152">
        <f>IFERROR(ABS('01_설정'!B4-F1145),"")</f>
        <v/>
      </c>
      <c r="U1145" s="152">
        <f>IFERROR(ABS(K1145-YEAR('02_대상물건입력'!B14)),"")</f>
        <v/>
      </c>
      <c r="V1145" s="152">
        <f>IF(B1145="","",IF(AND(E1145&gt;0,F1145&gt;0,H1145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1145=1,TRUE()),R1145&lt;='01_설정'!B5,S1145&lt;='01_설정'!B6,T1145&lt;='01_설정'!B7,U1145&lt;='01_설정'!B8),"Y",""))</f>
        <v/>
      </c>
      <c r="W1145" s="172">
        <f>IF(V1145&lt;&gt;"Y","",MAX(0,(1-R1145/'01_설정'!B5))*'01_설정'!B14+MAX(0,(1-S1145/'01_설정'!B6))*'01_설정'!B15+MAX(0,(1-T1145/'01_설정'!B7))*'01_설정'!B16+MAX(0,(1-U1145/'01_설정'!B8))*'01_설정'!B17+O1145*'01_설정'!B11+Q1145*'01_설정'!B12+P1145*'01_설정'!B13+IF(Z1145="",0,Z1145))</f>
        <v/>
      </c>
      <c r="X1145" s="152">
        <f>IF(W1145="","",1+COUNTIFS($W$4:$W$3003,"&gt;"&amp;W1145)+COUNTIFS($W$4:W1145,W1145)-1)</f>
        <v/>
      </c>
      <c r="Y1145" s="175">
        <f>IF(OR(I1145="",'02_대상물건입력'!B19="",'02_대상물건입력'!B19&lt;=0),"",ABS(I1145-'02_대상물건입력'!B19)/'02_대상물건입력'!B19)</f>
        <v/>
      </c>
      <c r="Z1145" s="172">
        <f>IF(OR(Y1145="",'01_설정'!B31="",'01_설정'!B31&lt;=0,'01_설정'!B32="",'01_설정'!B32&lt;=0),"",MAX(0,(1-Y1145/'01_설정'!B32))*'01_설정'!B31)</f>
        <v/>
      </c>
    </row>
    <row r="1146" ht="17.25" customHeight="1">
      <c r="A1146" s="152">
        <f>IF(INDEX('04A_국토부원자료'!$A:$A,ROW()+1)="","",ROW()-3)</f>
        <v/>
      </c>
      <c r="B1146" s="48">
        <f>IFERROR(INDEX('04A_국토부원자료'!$A:$T,ROW()+1,MATCH("시군구",'04A_국토부원자료'!$A$4:$T$4,0)),"")</f>
        <v/>
      </c>
      <c r="C1146" s="48">
        <f>IF(B1146="","",IFERROR(INDEX('04A_국토부원자료'!$A:$T,ROW()+1,MATCH("번지",'04A_국토부원자료'!$A$4:$T$4,0)),""))</f>
        <v/>
      </c>
      <c r="D1146" s="48">
        <f>IF(B1146="","",IF(Q1146=1,'02_대상물건입력'!$B$8,IFERROR(INDEX('04A_국토부원자료'!$A:$T,ROW()+1,MATCH("단지명",'04A_국토부원자료'!$A$4:$T$4,0)),"")))</f>
        <v/>
      </c>
      <c r="E1146" s="172">
        <f>IFERROR(VALUE(SUBSTITUTE(INDEX('04A_국토부원자료'!$A:$T,ROW()+1,MATCH("전용면적(㎡)",'04A_국토부원자료'!$A$4:$T$4,0)),",","")),"")</f>
        <v/>
      </c>
      <c r="F11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46" s="51">
        <f>IFERROR(VALUE(SUBSTITUTE(INDEX('04A_국토부원자료'!$A:$T,ROW()+1,MATCH("거래금액(만원)",'04A_국토부원자료'!$A$4:$T$4,0)),",","")),"")</f>
        <v/>
      </c>
      <c r="H1146" s="174">
        <f>IF(G1146="","",G1146*10000)</f>
        <v/>
      </c>
      <c r="I1146" s="174">
        <f>IFERROR(IF(AND(H1146&gt;0,E1146&gt;0),H1146/E1146,""),"")</f>
        <v/>
      </c>
      <c r="J1146" s="152">
        <f>IFERROR(VALUE(SUBSTITUTE(INDEX('04A_국토부원자료'!$A:$T,ROW()+1,MATCH("층",'04A_국토부원자료'!$A$4:$T$4,0)),",","")),"")</f>
        <v/>
      </c>
      <c r="K1146" s="152">
        <f>IFERROR(VALUE(SUBSTITUTE(INDEX('04A_국토부원자료'!$A:$T,ROW()+1,MATCH("건축년도",'04A_국토부원자료'!$A$4:$T$4,0)),",","")),"")</f>
        <v/>
      </c>
      <c r="L1146" s="176">
        <f>IFERROR(INDEX('04A_국토부원자료'!$A:$T,ROW()+1,MATCH("도로명",'04A_국토부원자료'!$A$4:$T$4,0)),"")</f>
        <v/>
      </c>
      <c r="M1146" s="48">
        <f>IFERROR(INDEX('04A_국토부원자료'!$A:$T,ROW()+1,MATCH("거래유형",'04A_국토부원자료'!$A$4:$T$4,0)),"")</f>
        <v/>
      </c>
      <c r="N1146" s="152">
        <f>IF(B1146="","",IF('02_대상물건입력'!B5="",1,IF(ISNUMBER(SEARCH('02_대상물건입력'!B5,B1146)),1,0)))</f>
        <v/>
      </c>
      <c r="O1146" s="152">
        <f>IF(B1146="","",IF('02_대상물건입력'!B6="",1,IF(ISNUMBER(SEARCH('02_대상물건입력'!B6,B1146)),1,0)))</f>
        <v/>
      </c>
      <c r="P1146" s="152">
        <f>IF(L1146="","",IF('02_대상물건입력'!B15="",0,IF(ISNUMBER(SEARCH('02_대상물건입력'!B15,L1146)),1,0)))</f>
        <v/>
      </c>
      <c r="Q1146" s="152">
        <f>IF(OR(C1146="",L1146=""),0,IF(AND(TRIM(C1146)=TRIM(RIGHT(SUBSTITUTE(TRIM('02_대상물건입력'!$B$7)," ",REPT(" ",99)),99)),IF('02_대상물건입력'!B15="",TRUE(),ISNUMBER(SEARCH('02_대상물건입력'!B15,L1146)))),1,0))</f>
        <v/>
      </c>
      <c r="R1146" s="175">
        <f>IFERROR(ABS(E1146-'02_대상물건입력'!B11)/'02_대상물건입력'!B11,"")</f>
        <v/>
      </c>
      <c r="S1146" s="152">
        <f>IFERROR(ABS(J1146-'02_대상물건입력'!B10),"")</f>
        <v/>
      </c>
      <c r="T1146" s="152">
        <f>IFERROR(ABS('01_설정'!B4-F1146),"")</f>
        <v/>
      </c>
      <c r="U1146" s="152">
        <f>IFERROR(ABS(K1146-YEAR('02_대상물건입력'!B14)),"")</f>
        <v/>
      </c>
      <c r="V1146" s="152">
        <f>IF(B1146="","",IF(AND(E1146&gt;0,F1146&gt;0,H1146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1146=1,TRUE()),R1146&lt;='01_설정'!B5,S1146&lt;='01_설정'!B6,T1146&lt;='01_설정'!B7,U1146&lt;='01_설정'!B8),"Y",""))</f>
        <v/>
      </c>
      <c r="W1146" s="172">
        <f>IF(V1146&lt;&gt;"Y","",MAX(0,(1-R1146/'01_설정'!B5))*'01_설정'!B14+MAX(0,(1-S1146/'01_설정'!B6))*'01_설정'!B15+MAX(0,(1-T1146/'01_설정'!B7))*'01_설정'!B16+MAX(0,(1-U1146/'01_설정'!B8))*'01_설정'!B17+O1146*'01_설정'!B11+Q1146*'01_설정'!B12+P1146*'01_설정'!B13+IF(Z1146="",0,Z1146))</f>
        <v/>
      </c>
      <c r="X1146" s="152">
        <f>IF(W1146="","",1+COUNTIFS($W$4:$W$3003,"&gt;"&amp;W1146)+COUNTIFS($W$4:W1146,W1146)-1)</f>
        <v/>
      </c>
      <c r="Y1146" s="175">
        <f>IF(OR(I1146="",'02_대상물건입력'!B19="",'02_대상물건입력'!B19&lt;=0),"",ABS(I1146-'02_대상물건입력'!B19)/'02_대상물건입력'!B19)</f>
        <v/>
      </c>
      <c r="Z1146" s="172">
        <f>IF(OR(Y1146="",'01_설정'!B31="",'01_설정'!B31&lt;=0,'01_설정'!B32="",'01_설정'!B32&lt;=0),"",MAX(0,(1-Y1146/'01_설정'!B32))*'01_설정'!B31)</f>
        <v/>
      </c>
    </row>
    <row r="1147" ht="17.25" customHeight="1">
      <c r="A1147" s="152">
        <f>IF(INDEX('04A_국토부원자료'!$A:$A,ROW()+1)="","",ROW()-3)</f>
        <v/>
      </c>
      <c r="B1147" s="48">
        <f>IFERROR(INDEX('04A_국토부원자료'!$A:$T,ROW()+1,MATCH("시군구",'04A_국토부원자료'!$A$4:$T$4,0)),"")</f>
        <v/>
      </c>
      <c r="C1147" s="48">
        <f>IF(B1147="","",IFERROR(INDEX('04A_국토부원자료'!$A:$T,ROW()+1,MATCH("번지",'04A_국토부원자료'!$A$4:$T$4,0)),""))</f>
        <v/>
      </c>
      <c r="D1147" s="48">
        <f>IF(B1147="","",IF(Q1147=1,'02_대상물건입력'!$B$8,IFERROR(INDEX('04A_국토부원자료'!$A:$T,ROW()+1,MATCH("단지명",'04A_국토부원자료'!$A$4:$T$4,0)),"")))</f>
        <v/>
      </c>
      <c r="E1147" s="172">
        <f>IFERROR(VALUE(SUBSTITUTE(INDEX('04A_국토부원자료'!$A:$T,ROW()+1,MATCH("전용면적(㎡)",'04A_국토부원자료'!$A$4:$T$4,0)),",","")),"")</f>
        <v/>
      </c>
      <c r="F11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47" s="51">
        <f>IFERROR(VALUE(SUBSTITUTE(INDEX('04A_국토부원자료'!$A:$T,ROW()+1,MATCH("거래금액(만원)",'04A_국토부원자료'!$A$4:$T$4,0)),",","")),"")</f>
        <v/>
      </c>
      <c r="H1147" s="174">
        <f>IF(G1147="","",G1147*10000)</f>
        <v/>
      </c>
      <c r="I1147" s="174">
        <f>IFERROR(IF(AND(H1147&gt;0,E1147&gt;0),H1147/E1147,""),"")</f>
        <v/>
      </c>
      <c r="J1147" s="152">
        <f>IFERROR(VALUE(SUBSTITUTE(INDEX('04A_국토부원자료'!$A:$T,ROW()+1,MATCH("층",'04A_국토부원자료'!$A$4:$T$4,0)),",","")),"")</f>
        <v/>
      </c>
      <c r="K1147" s="152">
        <f>IFERROR(VALUE(SUBSTITUTE(INDEX('04A_국토부원자료'!$A:$T,ROW()+1,MATCH("건축년도",'04A_국토부원자료'!$A$4:$T$4,0)),",","")),"")</f>
        <v/>
      </c>
      <c r="L1147" s="176">
        <f>IFERROR(INDEX('04A_국토부원자료'!$A:$T,ROW()+1,MATCH("도로명",'04A_국토부원자료'!$A$4:$T$4,0)),"")</f>
        <v/>
      </c>
      <c r="M1147" s="48">
        <f>IFERROR(INDEX('04A_국토부원자료'!$A:$T,ROW()+1,MATCH("거래유형",'04A_국토부원자료'!$A$4:$T$4,0)),"")</f>
        <v/>
      </c>
      <c r="N1147" s="152">
        <f>IF(B1147="","",IF('02_대상물건입력'!B5="",1,IF(ISNUMBER(SEARCH('02_대상물건입력'!B5,B1147)),1,0)))</f>
        <v/>
      </c>
      <c r="O1147" s="152">
        <f>IF(B1147="","",IF('02_대상물건입력'!B6="",1,IF(ISNUMBER(SEARCH('02_대상물건입력'!B6,B1147)),1,0)))</f>
        <v/>
      </c>
      <c r="P1147" s="152">
        <f>IF(L1147="","",IF('02_대상물건입력'!B15="",0,IF(ISNUMBER(SEARCH('02_대상물건입력'!B15,L1147)),1,0)))</f>
        <v/>
      </c>
      <c r="Q1147" s="152">
        <f>IF(OR(C1147="",L1147=""),0,IF(AND(TRIM(C1147)=TRIM(RIGHT(SUBSTITUTE(TRIM('02_대상물건입력'!$B$7)," ",REPT(" ",99)),99)),IF('02_대상물건입력'!B15="",TRUE(),ISNUMBER(SEARCH('02_대상물건입력'!B15,L1147)))),1,0))</f>
        <v/>
      </c>
      <c r="R1147" s="175">
        <f>IFERROR(ABS(E1147-'02_대상물건입력'!B11)/'02_대상물건입력'!B11,"")</f>
        <v/>
      </c>
      <c r="S1147" s="152">
        <f>IFERROR(ABS(J1147-'02_대상물건입력'!B10),"")</f>
        <v/>
      </c>
      <c r="T1147" s="152">
        <f>IFERROR(ABS('01_설정'!B4-F1147),"")</f>
        <v/>
      </c>
      <c r="U1147" s="152">
        <f>IFERROR(ABS(K1147-YEAR('02_대상물건입력'!B14)),"")</f>
        <v/>
      </c>
      <c r="V1147" s="152">
        <f>IF(B1147="","",IF(AND(E1147&gt;0,F1147&gt;0,H1147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1147=1,TRUE()),R1147&lt;='01_설정'!B5,S1147&lt;='01_설정'!B6,T1147&lt;='01_설정'!B7,U1147&lt;='01_설정'!B8),"Y",""))</f>
        <v/>
      </c>
      <c r="W1147" s="172">
        <f>IF(V1147&lt;&gt;"Y","",MAX(0,(1-R1147/'01_설정'!B5))*'01_설정'!B14+MAX(0,(1-S1147/'01_설정'!B6))*'01_설정'!B15+MAX(0,(1-T1147/'01_설정'!B7))*'01_설정'!B16+MAX(0,(1-U1147/'01_설정'!B8))*'01_설정'!B17+O1147*'01_설정'!B11+Q1147*'01_설정'!B12+P1147*'01_설정'!B13+IF(Z1147="",0,Z1147))</f>
        <v/>
      </c>
      <c r="X1147" s="152">
        <f>IF(W1147="","",1+COUNTIFS($W$4:$W$3003,"&gt;"&amp;W1147)+COUNTIFS($W$4:W1147,W1147)-1)</f>
        <v/>
      </c>
      <c r="Y1147" s="175">
        <f>IF(OR(I1147="",'02_대상물건입력'!B19="",'02_대상물건입력'!B19&lt;=0),"",ABS(I1147-'02_대상물건입력'!B19)/'02_대상물건입력'!B19)</f>
        <v/>
      </c>
      <c r="Z1147" s="172">
        <f>IF(OR(Y1147="",'01_설정'!B31="",'01_설정'!B31&lt;=0,'01_설정'!B32="",'01_설정'!B32&lt;=0),"",MAX(0,(1-Y1147/'01_설정'!B32))*'01_설정'!B31)</f>
        <v/>
      </c>
    </row>
    <row r="1148" ht="17.25" customHeight="1">
      <c r="A1148" s="152">
        <f>IF(INDEX('04A_국토부원자료'!$A:$A,ROW()+1)="","",ROW()-3)</f>
        <v/>
      </c>
      <c r="B1148" s="48">
        <f>IFERROR(INDEX('04A_국토부원자료'!$A:$T,ROW()+1,MATCH("시군구",'04A_국토부원자료'!$A$4:$T$4,0)),"")</f>
        <v/>
      </c>
      <c r="C1148" s="48">
        <f>IF(B1148="","",IFERROR(INDEX('04A_국토부원자료'!$A:$T,ROW()+1,MATCH("번지",'04A_국토부원자료'!$A$4:$T$4,0)),""))</f>
        <v/>
      </c>
      <c r="D1148" s="48">
        <f>IF(B1148="","",IF(Q1148=1,'02_대상물건입력'!$B$8,IFERROR(INDEX('04A_국토부원자료'!$A:$T,ROW()+1,MATCH("단지명",'04A_국토부원자료'!$A$4:$T$4,0)),"")))</f>
        <v/>
      </c>
      <c r="E1148" s="172">
        <f>IFERROR(VALUE(SUBSTITUTE(INDEX('04A_국토부원자료'!$A:$T,ROW()+1,MATCH("전용면적(㎡)",'04A_국토부원자료'!$A$4:$T$4,0)),",","")),"")</f>
        <v/>
      </c>
      <c r="F11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48" s="51">
        <f>IFERROR(VALUE(SUBSTITUTE(INDEX('04A_국토부원자료'!$A:$T,ROW()+1,MATCH("거래금액(만원)",'04A_국토부원자료'!$A$4:$T$4,0)),",","")),"")</f>
        <v/>
      </c>
      <c r="H1148" s="174">
        <f>IF(G1148="","",G1148*10000)</f>
        <v/>
      </c>
      <c r="I1148" s="174">
        <f>IFERROR(IF(AND(H1148&gt;0,E1148&gt;0),H1148/E1148,""),"")</f>
        <v/>
      </c>
      <c r="J1148" s="152">
        <f>IFERROR(VALUE(SUBSTITUTE(INDEX('04A_국토부원자료'!$A:$T,ROW()+1,MATCH("층",'04A_국토부원자료'!$A$4:$T$4,0)),",","")),"")</f>
        <v/>
      </c>
      <c r="K1148" s="152">
        <f>IFERROR(VALUE(SUBSTITUTE(INDEX('04A_국토부원자료'!$A:$T,ROW()+1,MATCH("건축년도",'04A_국토부원자료'!$A$4:$T$4,0)),",","")),"")</f>
        <v/>
      </c>
      <c r="L1148" s="176">
        <f>IFERROR(INDEX('04A_국토부원자료'!$A:$T,ROW()+1,MATCH("도로명",'04A_국토부원자료'!$A$4:$T$4,0)),"")</f>
        <v/>
      </c>
      <c r="M1148" s="48">
        <f>IFERROR(INDEX('04A_국토부원자료'!$A:$T,ROW()+1,MATCH("거래유형",'04A_국토부원자료'!$A$4:$T$4,0)),"")</f>
        <v/>
      </c>
      <c r="N1148" s="152">
        <f>IF(B1148="","",IF('02_대상물건입력'!B5="",1,IF(ISNUMBER(SEARCH('02_대상물건입력'!B5,B1148)),1,0)))</f>
        <v/>
      </c>
      <c r="O1148" s="152">
        <f>IF(B1148="","",IF('02_대상물건입력'!B6="",1,IF(ISNUMBER(SEARCH('02_대상물건입력'!B6,B1148)),1,0)))</f>
        <v/>
      </c>
      <c r="P1148" s="152">
        <f>IF(L1148="","",IF('02_대상물건입력'!B15="",0,IF(ISNUMBER(SEARCH('02_대상물건입력'!B15,L1148)),1,0)))</f>
        <v/>
      </c>
      <c r="Q1148" s="152">
        <f>IF(OR(C1148="",L1148=""),0,IF(AND(TRIM(C1148)=TRIM(RIGHT(SUBSTITUTE(TRIM('02_대상물건입력'!$B$7)," ",REPT(" ",99)),99)),IF('02_대상물건입력'!B15="",TRUE(),ISNUMBER(SEARCH('02_대상물건입력'!B15,L1148)))),1,0))</f>
        <v/>
      </c>
      <c r="R1148" s="175">
        <f>IFERROR(ABS(E1148-'02_대상물건입력'!B11)/'02_대상물건입력'!B11,"")</f>
        <v/>
      </c>
      <c r="S1148" s="152">
        <f>IFERROR(ABS(J1148-'02_대상물건입력'!B10),"")</f>
        <v/>
      </c>
      <c r="T1148" s="152">
        <f>IFERROR(ABS('01_설정'!B4-F1148),"")</f>
        <v/>
      </c>
      <c r="U1148" s="152">
        <f>IFERROR(ABS(K1148-YEAR('02_대상물건입력'!B14)),"")</f>
        <v/>
      </c>
      <c r="V1148" s="152">
        <f>IF(B1148="","",IF(AND(E1148&gt;0,F1148&gt;0,H1148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1148=1,TRUE()),R1148&lt;='01_설정'!B5,S1148&lt;='01_설정'!B6,T1148&lt;='01_설정'!B7,U1148&lt;='01_설정'!B8),"Y",""))</f>
        <v/>
      </c>
      <c r="W1148" s="172">
        <f>IF(V1148&lt;&gt;"Y","",MAX(0,(1-R1148/'01_설정'!B5))*'01_설정'!B14+MAX(0,(1-S1148/'01_설정'!B6))*'01_설정'!B15+MAX(0,(1-T1148/'01_설정'!B7))*'01_설정'!B16+MAX(0,(1-U1148/'01_설정'!B8))*'01_설정'!B17+O1148*'01_설정'!B11+Q1148*'01_설정'!B12+P1148*'01_설정'!B13+IF(Z1148="",0,Z1148))</f>
        <v/>
      </c>
      <c r="X1148" s="152">
        <f>IF(W1148="","",1+COUNTIFS($W$4:$W$3003,"&gt;"&amp;W1148)+COUNTIFS($W$4:W1148,W1148)-1)</f>
        <v/>
      </c>
      <c r="Y1148" s="175">
        <f>IF(OR(I1148="",'02_대상물건입력'!B19="",'02_대상물건입력'!B19&lt;=0),"",ABS(I1148-'02_대상물건입력'!B19)/'02_대상물건입력'!B19)</f>
        <v/>
      </c>
      <c r="Z1148" s="172">
        <f>IF(OR(Y1148="",'01_설정'!B31="",'01_설정'!B31&lt;=0,'01_설정'!B32="",'01_설정'!B32&lt;=0),"",MAX(0,(1-Y1148/'01_설정'!B32))*'01_설정'!B31)</f>
        <v/>
      </c>
    </row>
    <row r="1149" ht="17.25" customHeight="1">
      <c r="A1149" s="152">
        <f>IF(INDEX('04A_국토부원자료'!$A:$A,ROW()+1)="","",ROW()-3)</f>
        <v/>
      </c>
      <c r="B1149" s="48">
        <f>IFERROR(INDEX('04A_국토부원자료'!$A:$T,ROW()+1,MATCH("시군구",'04A_국토부원자료'!$A$4:$T$4,0)),"")</f>
        <v/>
      </c>
      <c r="C1149" s="48">
        <f>IF(B1149="","",IFERROR(INDEX('04A_국토부원자료'!$A:$T,ROW()+1,MATCH("번지",'04A_국토부원자료'!$A$4:$T$4,0)),""))</f>
        <v/>
      </c>
      <c r="D1149" s="48">
        <f>IF(B1149="","",IF(Q1149=1,'02_대상물건입력'!$B$8,IFERROR(INDEX('04A_국토부원자료'!$A:$T,ROW()+1,MATCH("단지명",'04A_국토부원자료'!$A$4:$T$4,0)),"")))</f>
        <v/>
      </c>
      <c r="E1149" s="172">
        <f>IFERROR(VALUE(SUBSTITUTE(INDEX('04A_국토부원자료'!$A:$T,ROW()+1,MATCH("전용면적(㎡)",'04A_국토부원자료'!$A$4:$T$4,0)),",","")),"")</f>
        <v/>
      </c>
      <c r="F11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49" s="51">
        <f>IFERROR(VALUE(SUBSTITUTE(INDEX('04A_국토부원자료'!$A:$T,ROW()+1,MATCH("거래금액(만원)",'04A_국토부원자료'!$A$4:$T$4,0)),",","")),"")</f>
        <v/>
      </c>
      <c r="H1149" s="174">
        <f>IF(G1149="","",G1149*10000)</f>
        <v/>
      </c>
      <c r="I1149" s="174">
        <f>IFERROR(IF(AND(H1149&gt;0,E1149&gt;0),H1149/E1149,""),"")</f>
        <v/>
      </c>
      <c r="J1149" s="152">
        <f>IFERROR(VALUE(SUBSTITUTE(INDEX('04A_국토부원자료'!$A:$T,ROW()+1,MATCH("층",'04A_국토부원자료'!$A$4:$T$4,0)),",","")),"")</f>
        <v/>
      </c>
      <c r="K1149" s="152">
        <f>IFERROR(VALUE(SUBSTITUTE(INDEX('04A_국토부원자료'!$A:$T,ROW()+1,MATCH("건축년도",'04A_국토부원자료'!$A$4:$T$4,0)),",","")),"")</f>
        <v/>
      </c>
      <c r="L1149" s="176">
        <f>IFERROR(INDEX('04A_국토부원자료'!$A:$T,ROW()+1,MATCH("도로명",'04A_국토부원자료'!$A$4:$T$4,0)),"")</f>
        <v/>
      </c>
      <c r="M1149" s="48">
        <f>IFERROR(INDEX('04A_국토부원자료'!$A:$T,ROW()+1,MATCH("거래유형",'04A_국토부원자료'!$A$4:$T$4,0)),"")</f>
        <v/>
      </c>
      <c r="N1149" s="152">
        <f>IF(B1149="","",IF('02_대상물건입력'!B5="",1,IF(ISNUMBER(SEARCH('02_대상물건입력'!B5,B1149)),1,0)))</f>
        <v/>
      </c>
      <c r="O1149" s="152">
        <f>IF(B1149="","",IF('02_대상물건입력'!B6="",1,IF(ISNUMBER(SEARCH('02_대상물건입력'!B6,B1149)),1,0)))</f>
        <v/>
      </c>
      <c r="P1149" s="152">
        <f>IF(L1149="","",IF('02_대상물건입력'!B15="",0,IF(ISNUMBER(SEARCH('02_대상물건입력'!B15,L1149)),1,0)))</f>
        <v/>
      </c>
      <c r="Q1149" s="152">
        <f>IF(OR(C1149="",L1149=""),0,IF(AND(TRIM(C1149)=TRIM(RIGHT(SUBSTITUTE(TRIM('02_대상물건입력'!$B$7)," ",REPT(" ",99)),99)),IF('02_대상물건입력'!B15="",TRUE(),ISNUMBER(SEARCH('02_대상물건입력'!B15,L1149)))),1,0))</f>
        <v/>
      </c>
      <c r="R1149" s="175">
        <f>IFERROR(ABS(E1149-'02_대상물건입력'!B11)/'02_대상물건입력'!B11,"")</f>
        <v/>
      </c>
      <c r="S1149" s="152">
        <f>IFERROR(ABS(J1149-'02_대상물건입력'!B10),"")</f>
        <v/>
      </c>
      <c r="T1149" s="152">
        <f>IFERROR(ABS('01_설정'!B4-F1149),"")</f>
        <v/>
      </c>
      <c r="U1149" s="152">
        <f>IFERROR(ABS(K1149-YEAR('02_대상물건입력'!B14)),"")</f>
        <v/>
      </c>
      <c r="V1149" s="152">
        <f>IF(B1149="","",IF(AND(E1149&gt;0,F1149&gt;0,H1149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1149=1,TRUE()),R1149&lt;='01_설정'!B5,S1149&lt;='01_설정'!B6,T1149&lt;='01_설정'!B7,U1149&lt;='01_설정'!B8),"Y",""))</f>
        <v/>
      </c>
      <c r="W1149" s="172">
        <f>IF(V1149&lt;&gt;"Y","",MAX(0,(1-R1149/'01_설정'!B5))*'01_설정'!B14+MAX(0,(1-S1149/'01_설정'!B6))*'01_설정'!B15+MAX(0,(1-T1149/'01_설정'!B7))*'01_설정'!B16+MAX(0,(1-U1149/'01_설정'!B8))*'01_설정'!B17+O1149*'01_설정'!B11+Q1149*'01_설정'!B12+P1149*'01_설정'!B13+IF(Z1149="",0,Z1149))</f>
        <v/>
      </c>
      <c r="X1149" s="152">
        <f>IF(W1149="","",1+COUNTIFS($W$4:$W$3003,"&gt;"&amp;W1149)+COUNTIFS($W$4:W1149,W1149)-1)</f>
        <v/>
      </c>
      <c r="Y1149" s="175">
        <f>IF(OR(I1149="",'02_대상물건입력'!B19="",'02_대상물건입력'!B19&lt;=0),"",ABS(I1149-'02_대상물건입력'!B19)/'02_대상물건입력'!B19)</f>
        <v/>
      </c>
      <c r="Z1149" s="172">
        <f>IF(OR(Y1149="",'01_설정'!B31="",'01_설정'!B31&lt;=0,'01_설정'!B32="",'01_설정'!B32&lt;=0),"",MAX(0,(1-Y1149/'01_설정'!B32))*'01_설정'!B31)</f>
        <v/>
      </c>
    </row>
    <row r="1150" ht="17.25" customHeight="1">
      <c r="A1150" s="152">
        <f>IF(INDEX('04A_국토부원자료'!$A:$A,ROW()+1)="","",ROW()-3)</f>
        <v/>
      </c>
      <c r="B1150" s="48">
        <f>IFERROR(INDEX('04A_국토부원자료'!$A:$T,ROW()+1,MATCH("시군구",'04A_국토부원자료'!$A$4:$T$4,0)),"")</f>
        <v/>
      </c>
      <c r="C1150" s="48">
        <f>IF(B1150="","",IFERROR(INDEX('04A_국토부원자료'!$A:$T,ROW()+1,MATCH("번지",'04A_국토부원자료'!$A$4:$T$4,0)),""))</f>
        <v/>
      </c>
      <c r="D1150" s="48">
        <f>IF(B1150="","",IF(Q1150=1,'02_대상물건입력'!$B$8,IFERROR(INDEX('04A_국토부원자료'!$A:$T,ROW()+1,MATCH("단지명",'04A_국토부원자료'!$A$4:$T$4,0)),"")))</f>
        <v/>
      </c>
      <c r="E1150" s="172">
        <f>IFERROR(VALUE(SUBSTITUTE(INDEX('04A_국토부원자료'!$A:$T,ROW()+1,MATCH("전용면적(㎡)",'04A_국토부원자료'!$A$4:$T$4,0)),",","")),"")</f>
        <v/>
      </c>
      <c r="F11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50" s="51">
        <f>IFERROR(VALUE(SUBSTITUTE(INDEX('04A_국토부원자료'!$A:$T,ROW()+1,MATCH("거래금액(만원)",'04A_국토부원자료'!$A$4:$T$4,0)),",","")),"")</f>
        <v/>
      </c>
      <c r="H1150" s="174">
        <f>IF(G1150="","",G1150*10000)</f>
        <v/>
      </c>
      <c r="I1150" s="174">
        <f>IFERROR(IF(AND(H1150&gt;0,E1150&gt;0),H1150/E1150,""),"")</f>
        <v/>
      </c>
      <c r="J1150" s="152">
        <f>IFERROR(VALUE(SUBSTITUTE(INDEX('04A_국토부원자료'!$A:$T,ROW()+1,MATCH("층",'04A_국토부원자료'!$A$4:$T$4,0)),",","")),"")</f>
        <v/>
      </c>
      <c r="K1150" s="152">
        <f>IFERROR(VALUE(SUBSTITUTE(INDEX('04A_국토부원자료'!$A:$T,ROW()+1,MATCH("건축년도",'04A_국토부원자료'!$A$4:$T$4,0)),",","")),"")</f>
        <v/>
      </c>
      <c r="L1150" s="176">
        <f>IFERROR(INDEX('04A_국토부원자료'!$A:$T,ROW()+1,MATCH("도로명",'04A_국토부원자료'!$A$4:$T$4,0)),"")</f>
        <v/>
      </c>
      <c r="M1150" s="48">
        <f>IFERROR(INDEX('04A_국토부원자료'!$A:$T,ROW()+1,MATCH("거래유형",'04A_국토부원자료'!$A$4:$T$4,0)),"")</f>
        <v/>
      </c>
      <c r="N1150" s="152">
        <f>IF(B1150="","",IF('02_대상물건입력'!B5="",1,IF(ISNUMBER(SEARCH('02_대상물건입력'!B5,B1150)),1,0)))</f>
        <v/>
      </c>
      <c r="O1150" s="152">
        <f>IF(B1150="","",IF('02_대상물건입력'!B6="",1,IF(ISNUMBER(SEARCH('02_대상물건입력'!B6,B1150)),1,0)))</f>
        <v/>
      </c>
      <c r="P1150" s="152">
        <f>IF(L1150="","",IF('02_대상물건입력'!B15="",0,IF(ISNUMBER(SEARCH('02_대상물건입력'!B15,L1150)),1,0)))</f>
        <v/>
      </c>
      <c r="Q1150" s="152">
        <f>IF(OR(C1150="",L1150=""),0,IF(AND(TRIM(C1150)=TRIM(RIGHT(SUBSTITUTE(TRIM('02_대상물건입력'!$B$7)," ",REPT(" ",99)),99)),IF('02_대상물건입력'!B15="",TRUE(),ISNUMBER(SEARCH('02_대상물건입력'!B15,L1150)))),1,0))</f>
        <v/>
      </c>
      <c r="R1150" s="175">
        <f>IFERROR(ABS(E1150-'02_대상물건입력'!B11)/'02_대상물건입력'!B11,"")</f>
        <v/>
      </c>
      <c r="S1150" s="152">
        <f>IFERROR(ABS(J1150-'02_대상물건입력'!B10),"")</f>
        <v/>
      </c>
      <c r="T1150" s="152">
        <f>IFERROR(ABS('01_설정'!B4-F1150),"")</f>
        <v/>
      </c>
      <c r="U1150" s="152">
        <f>IFERROR(ABS(K1150-YEAR('02_대상물건입력'!B14)),"")</f>
        <v/>
      </c>
      <c r="V1150" s="152">
        <f>IF(B1150="","",IF(AND(E1150&gt;0,F1150&gt;0,H1150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1150=1,TRUE()),R1150&lt;='01_설정'!B5,S1150&lt;='01_설정'!B6,T1150&lt;='01_설정'!B7,U1150&lt;='01_설정'!B8),"Y",""))</f>
        <v/>
      </c>
      <c r="W1150" s="172">
        <f>IF(V1150&lt;&gt;"Y","",MAX(0,(1-R1150/'01_설정'!B5))*'01_설정'!B14+MAX(0,(1-S1150/'01_설정'!B6))*'01_설정'!B15+MAX(0,(1-T1150/'01_설정'!B7))*'01_설정'!B16+MAX(0,(1-U1150/'01_설정'!B8))*'01_설정'!B17+O1150*'01_설정'!B11+Q1150*'01_설정'!B12+P1150*'01_설정'!B13+IF(Z1150="",0,Z1150))</f>
        <v/>
      </c>
      <c r="X1150" s="152">
        <f>IF(W1150="","",1+COUNTIFS($W$4:$W$3003,"&gt;"&amp;W1150)+COUNTIFS($W$4:W1150,W1150)-1)</f>
        <v/>
      </c>
      <c r="Y1150" s="175">
        <f>IF(OR(I1150="",'02_대상물건입력'!B19="",'02_대상물건입력'!B19&lt;=0),"",ABS(I1150-'02_대상물건입력'!B19)/'02_대상물건입력'!B19)</f>
        <v/>
      </c>
      <c r="Z1150" s="172">
        <f>IF(OR(Y1150="",'01_설정'!B31="",'01_설정'!B31&lt;=0,'01_설정'!B32="",'01_설정'!B32&lt;=0),"",MAX(0,(1-Y1150/'01_설정'!B32))*'01_설정'!B31)</f>
        <v/>
      </c>
    </row>
    <row r="1151" ht="17.25" customHeight="1">
      <c r="A1151" s="152">
        <f>IF(INDEX('04A_국토부원자료'!$A:$A,ROW()+1)="","",ROW()-3)</f>
        <v/>
      </c>
      <c r="B1151" s="48">
        <f>IFERROR(INDEX('04A_국토부원자료'!$A:$T,ROW()+1,MATCH("시군구",'04A_국토부원자료'!$A$4:$T$4,0)),"")</f>
        <v/>
      </c>
      <c r="C1151" s="48">
        <f>IF(B1151="","",IFERROR(INDEX('04A_국토부원자료'!$A:$T,ROW()+1,MATCH("번지",'04A_국토부원자료'!$A$4:$T$4,0)),""))</f>
        <v/>
      </c>
      <c r="D1151" s="48">
        <f>IF(B1151="","",IF(Q1151=1,'02_대상물건입력'!$B$8,IFERROR(INDEX('04A_국토부원자료'!$A:$T,ROW()+1,MATCH("단지명",'04A_국토부원자료'!$A$4:$T$4,0)),"")))</f>
        <v/>
      </c>
      <c r="E1151" s="172">
        <f>IFERROR(VALUE(SUBSTITUTE(INDEX('04A_국토부원자료'!$A:$T,ROW()+1,MATCH("전용면적(㎡)",'04A_국토부원자료'!$A$4:$T$4,0)),",","")),"")</f>
        <v/>
      </c>
      <c r="F11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51" s="51">
        <f>IFERROR(VALUE(SUBSTITUTE(INDEX('04A_국토부원자료'!$A:$T,ROW()+1,MATCH("거래금액(만원)",'04A_국토부원자료'!$A$4:$T$4,0)),",","")),"")</f>
        <v/>
      </c>
      <c r="H1151" s="174">
        <f>IF(G1151="","",G1151*10000)</f>
        <v/>
      </c>
      <c r="I1151" s="174">
        <f>IFERROR(IF(AND(H1151&gt;0,E1151&gt;0),H1151/E1151,""),"")</f>
        <v/>
      </c>
      <c r="J1151" s="152">
        <f>IFERROR(VALUE(SUBSTITUTE(INDEX('04A_국토부원자료'!$A:$T,ROW()+1,MATCH("층",'04A_국토부원자료'!$A$4:$T$4,0)),",","")),"")</f>
        <v/>
      </c>
      <c r="K1151" s="152">
        <f>IFERROR(VALUE(SUBSTITUTE(INDEX('04A_국토부원자료'!$A:$T,ROW()+1,MATCH("건축년도",'04A_국토부원자료'!$A$4:$T$4,0)),",","")),"")</f>
        <v/>
      </c>
      <c r="L1151" s="176">
        <f>IFERROR(INDEX('04A_국토부원자료'!$A:$T,ROW()+1,MATCH("도로명",'04A_국토부원자료'!$A$4:$T$4,0)),"")</f>
        <v/>
      </c>
      <c r="M1151" s="48">
        <f>IFERROR(INDEX('04A_국토부원자료'!$A:$T,ROW()+1,MATCH("거래유형",'04A_국토부원자료'!$A$4:$T$4,0)),"")</f>
        <v/>
      </c>
      <c r="N1151" s="152">
        <f>IF(B1151="","",IF('02_대상물건입력'!B5="",1,IF(ISNUMBER(SEARCH('02_대상물건입력'!B5,B1151)),1,0)))</f>
        <v/>
      </c>
      <c r="O1151" s="152">
        <f>IF(B1151="","",IF('02_대상물건입력'!B6="",1,IF(ISNUMBER(SEARCH('02_대상물건입력'!B6,B1151)),1,0)))</f>
        <v/>
      </c>
      <c r="P1151" s="152">
        <f>IF(L1151="","",IF('02_대상물건입력'!B15="",0,IF(ISNUMBER(SEARCH('02_대상물건입력'!B15,L1151)),1,0)))</f>
        <v/>
      </c>
      <c r="Q1151" s="152">
        <f>IF(OR(C1151="",L1151=""),0,IF(AND(TRIM(C1151)=TRIM(RIGHT(SUBSTITUTE(TRIM('02_대상물건입력'!$B$7)," ",REPT(" ",99)),99)),IF('02_대상물건입력'!B15="",TRUE(),ISNUMBER(SEARCH('02_대상물건입력'!B15,L1151)))),1,0))</f>
        <v/>
      </c>
      <c r="R1151" s="175">
        <f>IFERROR(ABS(E1151-'02_대상물건입력'!B11)/'02_대상물건입력'!B11,"")</f>
        <v/>
      </c>
      <c r="S1151" s="152">
        <f>IFERROR(ABS(J1151-'02_대상물건입력'!B10),"")</f>
        <v/>
      </c>
      <c r="T1151" s="152">
        <f>IFERROR(ABS('01_설정'!B4-F1151),"")</f>
        <v/>
      </c>
      <c r="U1151" s="152">
        <f>IFERROR(ABS(K1151-YEAR('02_대상물건입력'!B14)),"")</f>
        <v/>
      </c>
      <c r="V1151" s="152">
        <f>IF(B1151="","",IF(AND(E1151&gt;0,F1151&gt;0,H1151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1151=1,TRUE()),R1151&lt;='01_설정'!B5,S1151&lt;='01_설정'!B6,T1151&lt;='01_설정'!B7,U1151&lt;='01_설정'!B8),"Y",""))</f>
        <v/>
      </c>
      <c r="W1151" s="172">
        <f>IF(V1151&lt;&gt;"Y","",MAX(0,(1-R1151/'01_설정'!B5))*'01_설정'!B14+MAX(0,(1-S1151/'01_설정'!B6))*'01_설정'!B15+MAX(0,(1-T1151/'01_설정'!B7))*'01_설정'!B16+MAX(0,(1-U1151/'01_설정'!B8))*'01_설정'!B17+O1151*'01_설정'!B11+Q1151*'01_설정'!B12+P1151*'01_설정'!B13+IF(Z1151="",0,Z1151))</f>
        <v/>
      </c>
      <c r="X1151" s="152">
        <f>IF(W1151="","",1+COUNTIFS($W$4:$W$3003,"&gt;"&amp;W1151)+COUNTIFS($W$4:W1151,W1151)-1)</f>
        <v/>
      </c>
      <c r="Y1151" s="175">
        <f>IF(OR(I1151="",'02_대상물건입력'!B19="",'02_대상물건입력'!B19&lt;=0),"",ABS(I1151-'02_대상물건입력'!B19)/'02_대상물건입력'!B19)</f>
        <v/>
      </c>
      <c r="Z1151" s="172">
        <f>IF(OR(Y1151="",'01_설정'!B31="",'01_설정'!B31&lt;=0,'01_설정'!B32="",'01_설정'!B32&lt;=0),"",MAX(0,(1-Y1151/'01_설정'!B32))*'01_설정'!B31)</f>
        <v/>
      </c>
    </row>
    <row r="1152" ht="17.25" customHeight="1">
      <c r="A1152" s="152">
        <f>IF(INDEX('04A_국토부원자료'!$A:$A,ROW()+1)="","",ROW()-3)</f>
        <v/>
      </c>
      <c r="B1152" s="48">
        <f>IFERROR(INDEX('04A_국토부원자료'!$A:$T,ROW()+1,MATCH("시군구",'04A_국토부원자료'!$A$4:$T$4,0)),"")</f>
        <v/>
      </c>
      <c r="C1152" s="48">
        <f>IF(B1152="","",IFERROR(INDEX('04A_국토부원자료'!$A:$T,ROW()+1,MATCH("번지",'04A_국토부원자료'!$A$4:$T$4,0)),""))</f>
        <v/>
      </c>
      <c r="D1152" s="48">
        <f>IF(B1152="","",IF(Q1152=1,'02_대상물건입력'!$B$8,IFERROR(INDEX('04A_국토부원자료'!$A:$T,ROW()+1,MATCH("단지명",'04A_국토부원자료'!$A$4:$T$4,0)),"")))</f>
        <v/>
      </c>
      <c r="E1152" s="172">
        <f>IFERROR(VALUE(SUBSTITUTE(INDEX('04A_국토부원자료'!$A:$T,ROW()+1,MATCH("전용면적(㎡)",'04A_국토부원자료'!$A$4:$T$4,0)),",","")),"")</f>
        <v/>
      </c>
      <c r="F11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52" s="51">
        <f>IFERROR(VALUE(SUBSTITUTE(INDEX('04A_국토부원자료'!$A:$T,ROW()+1,MATCH("거래금액(만원)",'04A_국토부원자료'!$A$4:$T$4,0)),",","")),"")</f>
        <v/>
      </c>
      <c r="H1152" s="174">
        <f>IF(G1152="","",G1152*10000)</f>
        <v/>
      </c>
      <c r="I1152" s="174">
        <f>IFERROR(IF(AND(H1152&gt;0,E1152&gt;0),H1152/E1152,""),"")</f>
        <v/>
      </c>
      <c r="J1152" s="152">
        <f>IFERROR(VALUE(SUBSTITUTE(INDEX('04A_국토부원자료'!$A:$T,ROW()+1,MATCH("층",'04A_국토부원자료'!$A$4:$T$4,0)),",","")),"")</f>
        <v/>
      </c>
      <c r="K1152" s="152">
        <f>IFERROR(VALUE(SUBSTITUTE(INDEX('04A_국토부원자료'!$A:$T,ROW()+1,MATCH("건축년도",'04A_국토부원자료'!$A$4:$T$4,0)),",","")),"")</f>
        <v/>
      </c>
      <c r="L1152" s="176">
        <f>IFERROR(INDEX('04A_국토부원자료'!$A:$T,ROW()+1,MATCH("도로명",'04A_국토부원자료'!$A$4:$T$4,0)),"")</f>
        <v/>
      </c>
      <c r="M1152" s="48">
        <f>IFERROR(INDEX('04A_국토부원자료'!$A:$T,ROW()+1,MATCH("거래유형",'04A_국토부원자료'!$A$4:$T$4,0)),"")</f>
        <v/>
      </c>
      <c r="N1152" s="152">
        <f>IF(B1152="","",IF('02_대상물건입력'!B5="",1,IF(ISNUMBER(SEARCH('02_대상물건입력'!B5,B1152)),1,0)))</f>
        <v/>
      </c>
      <c r="O1152" s="152">
        <f>IF(B1152="","",IF('02_대상물건입력'!B6="",1,IF(ISNUMBER(SEARCH('02_대상물건입력'!B6,B1152)),1,0)))</f>
        <v/>
      </c>
      <c r="P1152" s="152">
        <f>IF(L1152="","",IF('02_대상물건입력'!B15="",0,IF(ISNUMBER(SEARCH('02_대상물건입력'!B15,L1152)),1,0)))</f>
        <v/>
      </c>
      <c r="Q1152" s="152">
        <f>IF(OR(C1152="",L1152=""),0,IF(AND(TRIM(C1152)=TRIM(RIGHT(SUBSTITUTE(TRIM('02_대상물건입력'!$B$7)," ",REPT(" ",99)),99)),IF('02_대상물건입력'!B15="",TRUE(),ISNUMBER(SEARCH('02_대상물건입력'!B15,L1152)))),1,0))</f>
        <v/>
      </c>
      <c r="R1152" s="175">
        <f>IFERROR(ABS(E1152-'02_대상물건입력'!B11)/'02_대상물건입력'!B11,"")</f>
        <v/>
      </c>
      <c r="S1152" s="152">
        <f>IFERROR(ABS(J1152-'02_대상물건입력'!B10),"")</f>
        <v/>
      </c>
      <c r="T1152" s="152">
        <f>IFERROR(ABS('01_설정'!B4-F1152),"")</f>
        <v/>
      </c>
      <c r="U1152" s="152">
        <f>IFERROR(ABS(K1152-YEAR('02_대상물건입력'!B14)),"")</f>
        <v/>
      </c>
      <c r="V1152" s="152">
        <f>IF(B1152="","",IF(AND(E1152&gt;0,F1152&gt;0,H1152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1152=1,TRUE()),R1152&lt;='01_설정'!B5,S1152&lt;='01_설정'!B6,T1152&lt;='01_설정'!B7,U1152&lt;='01_설정'!B8),"Y",""))</f>
        <v/>
      </c>
      <c r="W1152" s="172">
        <f>IF(V1152&lt;&gt;"Y","",MAX(0,(1-R1152/'01_설정'!B5))*'01_설정'!B14+MAX(0,(1-S1152/'01_설정'!B6))*'01_설정'!B15+MAX(0,(1-T1152/'01_설정'!B7))*'01_설정'!B16+MAX(0,(1-U1152/'01_설정'!B8))*'01_설정'!B17+O1152*'01_설정'!B11+Q1152*'01_설정'!B12+P1152*'01_설정'!B13+IF(Z1152="",0,Z1152))</f>
        <v/>
      </c>
      <c r="X1152" s="152">
        <f>IF(W1152="","",1+COUNTIFS($W$4:$W$3003,"&gt;"&amp;W1152)+COUNTIFS($W$4:W1152,W1152)-1)</f>
        <v/>
      </c>
      <c r="Y1152" s="175">
        <f>IF(OR(I1152="",'02_대상물건입력'!B19="",'02_대상물건입력'!B19&lt;=0),"",ABS(I1152-'02_대상물건입력'!B19)/'02_대상물건입력'!B19)</f>
        <v/>
      </c>
      <c r="Z1152" s="172">
        <f>IF(OR(Y1152="",'01_설정'!B31="",'01_설정'!B31&lt;=0,'01_설정'!B32="",'01_설정'!B32&lt;=0),"",MAX(0,(1-Y1152/'01_설정'!B32))*'01_설정'!B31)</f>
        <v/>
      </c>
    </row>
    <row r="1153" ht="17.25" customHeight="1">
      <c r="A1153" s="152">
        <f>IF(INDEX('04A_국토부원자료'!$A:$A,ROW()+1)="","",ROW()-3)</f>
        <v/>
      </c>
      <c r="B1153" s="48">
        <f>IFERROR(INDEX('04A_국토부원자료'!$A:$T,ROW()+1,MATCH("시군구",'04A_국토부원자료'!$A$4:$T$4,0)),"")</f>
        <v/>
      </c>
      <c r="C1153" s="48">
        <f>IF(B1153="","",IFERROR(INDEX('04A_국토부원자료'!$A:$T,ROW()+1,MATCH("번지",'04A_국토부원자료'!$A$4:$T$4,0)),""))</f>
        <v/>
      </c>
      <c r="D1153" s="48">
        <f>IF(B1153="","",IF(Q1153=1,'02_대상물건입력'!$B$8,IFERROR(INDEX('04A_국토부원자료'!$A:$T,ROW()+1,MATCH("단지명",'04A_국토부원자료'!$A$4:$T$4,0)),"")))</f>
        <v/>
      </c>
      <c r="E1153" s="172">
        <f>IFERROR(VALUE(SUBSTITUTE(INDEX('04A_국토부원자료'!$A:$T,ROW()+1,MATCH("전용면적(㎡)",'04A_국토부원자료'!$A$4:$T$4,0)),",","")),"")</f>
        <v/>
      </c>
      <c r="F11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53" s="51">
        <f>IFERROR(VALUE(SUBSTITUTE(INDEX('04A_국토부원자료'!$A:$T,ROW()+1,MATCH("거래금액(만원)",'04A_국토부원자료'!$A$4:$T$4,0)),",","")),"")</f>
        <v/>
      </c>
      <c r="H1153" s="174">
        <f>IF(G1153="","",G1153*10000)</f>
        <v/>
      </c>
      <c r="I1153" s="174">
        <f>IFERROR(IF(AND(H1153&gt;0,E1153&gt;0),H1153/E1153,""),"")</f>
        <v/>
      </c>
      <c r="J1153" s="152">
        <f>IFERROR(VALUE(SUBSTITUTE(INDEX('04A_국토부원자료'!$A:$T,ROW()+1,MATCH("층",'04A_국토부원자료'!$A$4:$T$4,0)),",","")),"")</f>
        <v/>
      </c>
      <c r="K1153" s="152">
        <f>IFERROR(VALUE(SUBSTITUTE(INDEX('04A_국토부원자료'!$A:$T,ROW()+1,MATCH("건축년도",'04A_국토부원자료'!$A$4:$T$4,0)),",","")),"")</f>
        <v/>
      </c>
      <c r="L1153" s="176">
        <f>IFERROR(INDEX('04A_국토부원자료'!$A:$T,ROW()+1,MATCH("도로명",'04A_국토부원자료'!$A$4:$T$4,0)),"")</f>
        <v/>
      </c>
      <c r="M1153" s="48">
        <f>IFERROR(INDEX('04A_국토부원자료'!$A:$T,ROW()+1,MATCH("거래유형",'04A_국토부원자료'!$A$4:$T$4,0)),"")</f>
        <v/>
      </c>
      <c r="N1153" s="152">
        <f>IF(B1153="","",IF('02_대상물건입력'!B5="",1,IF(ISNUMBER(SEARCH('02_대상물건입력'!B5,B1153)),1,0)))</f>
        <v/>
      </c>
      <c r="O1153" s="152">
        <f>IF(B1153="","",IF('02_대상물건입력'!B6="",1,IF(ISNUMBER(SEARCH('02_대상물건입력'!B6,B1153)),1,0)))</f>
        <v/>
      </c>
      <c r="P1153" s="152">
        <f>IF(L1153="","",IF('02_대상물건입력'!B15="",0,IF(ISNUMBER(SEARCH('02_대상물건입력'!B15,L1153)),1,0)))</f>
        <v/>
      </c>
      <c r="Q1153" s="152">
        <f>IF(OR(C1153="",L1153=""),0,IF(AND(TRIM(C1153)=TRIM(RIGHT(SUBSTITUTE(TRIM('02_대상물건입력'!$B$7)," ",REPT(" ",99)),99)),IF('02_대상물건입력'!B15="",TRUE(),ISNUMBER(SEARCH('02_대상물건입력'!B15,L1153)))),1,0))</f>
        <v/>
      </c>
      <c r="R1153" s="175">
        <f>IFERROR(ABS(E1153-'02_대상물건입력'!B11)/'02_대상물건입력'!B11,"")</f>
        <v/>
      </c>
      <c r="S1153" s="152">
        <f>IFERROR(ABS(J1153-'02_대상물건입력'!B10),"")</f>
        <v/>
      </c>
      <c r="T1153" s="152">
        <f>IFERROR(ABS('01_설정'!B4-F1153),"")</f>
        <v/>
      </c>
      <c r="U1153" s="152">
        <f>IFERROR(ABS(K1153-YEAR('02_대상물건입력'!B14)),"")</f>
        <v/>
      </c>
      <c r="V1153" s="152">
        <f>IF(B1153="","",IF(AND(E1153&gt;0,F1153&gt;0,H1153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1153=1,TRUE()),R1153&lt;='01_설정'!B5,S1153&lt;='01_설정'!B6,T1153&lt;='01_설정'!B7,U1153&lt;='01_설정'!B8),"Y",""))</f>
        <v/>
      </c>
      <c r="W1153" s="172">
        <f>IF(V1153&lt;&gt;"Y","",MAX(0,(1-R1153/'01_설정'!B5))*'01_설정'!B14+MAX(0,(1-S1153/'01_설정'!B6))*'01_설정'!B15+MAX(0,(1-T1153/'01_설정'!B7))*'01_설정'!B16+MAX(0,(1-U1153/'01_설정'!B8))*'01_설정'!B17+O1153*'01_설정'!B11+Q1153*'01_설정'!B12+P1153*'01_설정'!B13+IF(Z1153="",0,Z1153))</f>
        <v/>
      </c>
      <c r="X1153" s="152">
        <f>IF(W1153="","",1+COUNTIFS($W$4:$W$3003,"&gt;"&amp;W1153)+COUNTIFS($W$4:W1153,W1153)-1)</f>
        <v/>
      </c>
      <c r="Y1153" s="175">
        <f>IF(OR(I1153="",'02_대상물건입력'!B19="",'02_대상물건입력'!B19&lt;=0),"",ABS(I1153-'02_대상물건입력'!B19)/'02_대상물건입력'!B19)</f>
        <v/>
      </c>
      <c r="Z1153" s="172">
        <f>IF(OR(Y1153="",'01_설정'!B31="",'01_설정'!B31&lt;=0,'01_설정'!B32="",'01_설정'!B32&lt;=0),"",MAX(0,(1-Y1153/'01_설정'!B32))*'01_설정'!B31)</f>
        <v/>
      </c>
    </row>
    <row r="1154" ht="17.25" customHeight="1">
      <c r="A1154" s="152">
        <f>IF(INDEX('04A_국토부원자료'!$A:$A,ROW()+1)="","",ROW()-3)</f>
        <v/>
      </c>
      <c r="B1154" s="48">
        <f>IFERROR(INDEX('04A_국토부원자료'!$A:$T,ROW()+1,MATCH("시군구",'04A_국토부원자료'!$A$4:$T$4,0)),"")</f>
        <v/>
      </c>
      <c r="C1154" s="48">
        <f>IF(B1154="","",IFERROR(INDEX('04A_국토부원자료'!$A:$T,ROW()+1,MATCH("번지",'04A_국토부원자료'!$A$4:$T$4,0)),""))</f>
        <v/>
      </c>
      <c r="D1154" s="48">
        <f>IF(B1154="","",IF(Q1154=1,'02_대상물건입력'!$B$8,IFERROR(INDEX('04A_국토부원자료'!$A:$T,ROW()+1,MATCH("단지명",'04A_국토부원자료'!$A$4:$T$4,0)),"")))</f>
        <v/>
      </c>
      <c r="E1154" s="172">
        <f>IFERROR(VALUE(SUBSTITUTE(INDEX('04A_국토부원자료'!$A:$T,ROW()+1,MATCH("전용면적(㎡)",'04A_국토부원자료'!$A$4:$T$4,0)),",","")),"")</f>
        <v/>
      </c>
      <c r="F11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54" s="51">
        <f>IFERROR(VALUE(SUBSTITUTE(INDEX('04A_국토부원자료'!$A:$T,ROW()+1,MATCH("거래금액(만원)",'04A_국토부원자료'!$A$4:$T$4,0)),",","")),"")</f>
        <v/>
      </c>
      <c r="H1154" s="174">
        <f>IF(G1154="","",G1154*10000)</f>
        <v/>
      </c>
      <c r="I1154" s="174">
        <f>IFERROR(IF(AND(H1154&gt;0,E1154&gt;0),H1154/E1154,""),"")</f>
        <v/>
      </c>
      <c r="J1154" s="152">
        <f>IFERROR(VALUE(SUBSTITUTE(INDEX('04A_국토부원자료'!$A:$T,ROW()+1,MATCH("층",'04A_국토부원자료'!$A$4:$T$4,0)),",","")),"")</f>
        <v/>
      </c>
      <c r="K1154" s="152">
        <f>IFERROR(VALUE(SUBSTITUTE(INDEX('04A_국토부원자료'!$A:$T,ROW()+1,MATCH("건축년도",'04A_국토부원자료'!$A$4:$T$4,0)),",","")),"")</f>
        <v/>
      </c>
      <c r="L1154" s="176">
        <f>IFERROR(INDEX('04A_국토부원자료'!$A:$T,ROW()+1,MATCH("도로명",'04A_국토부원자료'!$A$4:$T$4,0)),"")</f>
        <v/>
      </c>
      <c r="M1154" s="48">
        <f>IFERROR(INDEX('04A_국토부원자료'!$A:$T,ROW()+1,MATCH("거래유형",'04A_국토부원자료'!$A$4:$T$4,0)),"")</f>
        <v/>
      </c>
      <c r="N1154" s="152">
        <f>IF(B1154="","",IF('02_대상물건입력'!B5="",1,IF(ISNUMBER(SEARCH('02_대상물건입력'!B5,B1154)),1,0)))</f>
        <v/>
      </c>
      <c r="O1154" s="152">
        <f>IF(B1154="","",IF('02_대상물건입력'!B6="",1,IF(ISNUMBER(SEARCH('02_대상물건입력'!B6,B1154)),1,0)))</f>
        <v/>
      </c>
      <c r="P1154" s="152">
        <f>IF(L1154="","",IF('02_대상물건입력'!B15="",0,IF(ISNUMBER(SEARCH('02_대상물건입력'!B15,L1154)),1,0)))</f>
        <v/>
      </c>
      <c r="Q1154" s="152">
        <f>IF(OR(C1154="",L1154=""),0,IF(AND(TRIM(C1154)=TRIM(RIGHT(SUBSTITUTE(TRIM('02_대상물건입력'!$B$7)," ",REPT(" ",99)),99)),IF('02_대상물건입력'!B15="",TRUE(),ISNUMBER(SEARCH('02_대상물건입력'!B15,L1154)))),1,0))</f>
        <v/>
      </c>
      <c r="R1154" s="175">
        <f>IFERROR(ABS(E1154-'02_대상물건입력'!B11)/'02_대상물건입력'!B11,"")</f>
        <v/>
      </c>
      <c r="S1154" s="152">
        <f>IFERROR(ABS(J1154-'02_대상물건입력'!B10),"")</f>
        <v/>
      </c>
      <c r="T1154" s="152">
        <f>IFERROR(ABS('01_설정'!B4-F1154),"")</f>
        <v/>
      </c>
      <c r="U1154" s="152">
        <f>IFERROR(ABS(K1154-YEAR('02_대상물건입력'!B14)),"")</f>
        <v/>
      </c>
      <c r="V1154" s="152">
        <f>IF(B1154="","",IF(AND(E1154&gt;0,F1154&gt;0,H1154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1154=1,TRUE()),R1154&lt;='01_설정'!B5,S1154&lt;='01_설정'!B6,T1154&lt;='01_설정'!B7,U1154&lt;='01_설정'!B8),"Y",""))</f>
        <v/>
      </c>
      <c r="W1154" s="172">
        <f>IF(V1154&lt;&gt;"Y","",MAX(0,(1-R1154/'01_설정'!B5))*'01_설정'!B14+MAX(0,(1-S1154/'01_설정'!B6))*'01_설정'!B15+MAX(0,(1-T1154/'01_설정'!B7))*'01_설정'!B16+MAX(0,(1-U1154/'01_설정'!B8))*'01_설정'!B17+O1154*'01_설정'!B11+Q1154*'01_설정'!B12+P1154*'01_설정'!B13+IF(Z1154="",0,Z1154))</f>
        <v/>
      </c>
      <c r="X1154" s="152">
        <f>IF(W1154="","",1+COUNTIFS($W$4:$W$3003,"&gt;"&amp;W1154)+COUNTIFS($W$4:W1154,W1154)-1)</f>
        <v/>
      </c>
      <c r="Y1154" s="175">
        <f>IF(OR(I1154="",'02_대상물건입력'!B19="",'02_대상물건입력'!B19&lt;=0),"",ABS(I1154-'02_대상물건입력'!B19)/'02_대상물건입력'!B19)</f>
        <v/>
      </c>
      <c r="Z1154" s="172">
        <f>IF(OR(Y1154="",'01_설정'!B31="",'01_설정'!B31&lt;=0,'01_설정'!B32="",'01_설정'!B32&lt;=0),"",MAX(0,(1-Y1154/'01_설정'!B32))*'01_설정'!B31)</f>
        <v/>
      </c>
    </row>
    <row r="1155" ht="17.25" customHeight="1">
      <c r="A1155" s="152">
        <f>IF(INDEX('04A_국토부원자료'!$A:$A,ROW()+1)="","",ROW()-3)</f>
        <v/>
      </c>
      <c r="B1155" s="48">
        <f>IFERROR(INDEX('04A_국토부원자료'!$A:$T,ROW()+1,MATCH("시군구",'04A_국토부원자료'!$A$4:$T$4,0)),"")</f>
        <v/>
      </c>
      <c r="C1155" s="48">
        <f>IF(B1155="","",IFERROR(INDEX('04A_국토부원자료'!$A:$T,ROW()+1,MATCH("번지",'04A_국토부원자료'!$A$4:$T$4,0)),""))</f>
        <v/>
      </c>
      <c r="D1155" s="48">
        <f>IF(B1155="","",IF(Q1155=1,'02_대상물건입력'!$B$8,IFERROR(INDEX('04A_국토부원자료'!$A:$T,ROW()+1,MATCH("단지명",'04A_국토부원자료'!$A$4:$T$4,0)),"")))</f>
        <v/>
      </c>
      <c r="E1155" s="172">
        <f>IFERROR(VALUE(SUBSTITUTE(INDEX('04A_국토부원자료'!$A:$T,ROW()+1,MATCH("전용면적(㎡)",'04A_국토부원자료'!$A$4:$T$4,0)),",","")),"")</f>
        <v/>
      </c>
      <c r="F11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55" s="51">
        <f>IFERROR(VALUE(SUBSTITUTE(INDEX('04A_국토부원자료'!$A:$T,ROW()+1,MATCH("거래금액(만원)",'04A_국토부원자료'!$A$4:$T$4,0)),",","")),"")</f>
        <v/>
      </c>
      <c r="H1155" s="174">
        <f>IF(G1155="","",G1155*10000)</f>
        <v/>
      </c>
      <c r="I1155" s="174">
        <f>IFERROR(IF(AND(H1155&gt;0,E1155&gt;0),H1155/E1155,""),"")</f>
        <v/>
      </c>
      <c r="J1155" s="152">
        <f>IFERROR(VALUE(SUBSTITUTE(INDEX('04A_국토부원자료'!$A:$T,ROW()+1,MATCH("층",'04A_국토부원자료'!$A$4:$T$4,0)),",","")),"")</f>
        <v/>
      </c>
      <c r="K1155" s="152">
        <f>IFERROR(VALUE(SUBSTITUTE(INDEX('04A_국토부원자료'!$A:$T,ROW()+1,MATCH("건축년도",'04A_국토부원자료'!$A$4:$T$4,0)),",","")),"")</f>
        <v/>
      </c>
      <c r="L1155" s="176">
        <f>IFERROR(INDEX('04A_국토부원자료'!$A:$T,ROW()+1,MATCH("도로명",'04A_국토부원자료'!$A$4:$T$4,0)),"")</f>
        <v/>
      </c>
      <c r="M1155" s="48">
        <f>IFERROR(INDEX('04A_국토부원자료'!$A:$T,ROW()+1,MATCH("거래유형",'04A_국토부원자료'!$A$4:$T$4,0)),"")</f>
        <v/>
      </c>
      <c r="N1155" s="152">
        <f>IF(B1155="","",IF('02_대상물건입력'!B5="",1,IF(ISNUMBER(SEARCH('02_대상물건입력'!B5,B1155)),1,0)))</f>
        <v/>
      </c>
      <c r="O1155" s="152">
        <f>IF(B1155="","",IF('02_대상물건입력'!B6="",1,IF(ISNUMBER(SEARCH('02_대상물건입력'!B6,B1155)),1,0)))</f>
        <v/>
      </c>
      <c r="P1155" s="152">
        <f>IF(L1155="","",IF('02_대상물건입력'!B15="",0,IF(ISNUMBER(SEARCH('02_대상물건입력'!B15,L1155)),1,0)))</f>
        <v/>
      </c>
      <c r="Q1155" s="152">
        <f>IF(OR(C1155="",L1155=""),0,IF(AND(TRIM(C1155)=TRIM(RIGHT(SUBSTITUTE(TRIM('02_대상물건입력'!$B$7)," ",REPT(" ",99)),99)),IF('02_대상물건입력'!B15="",TRUE(),ISNUMBER(SEARCH('02_대상물건입력'!B15,L1155)))),1,0))</f>
        <v/>
      </c>
      <c r="R1155" s="175">
        <f>IFERROR(ABS(E1155-'02_대상물건입력'!B11)/'02_대상물건입력'!B11,"")</f>
        <v/>
      </c>
      <c r="S1155" s="152">
        <f>IFERROR(ABS(J1155-'02_대상물건입력'!B10),"")</f>
        <v/>
      </c>
      <c r="T1155" s="152">
        <f>IFERROR(ABS('01_설정'!B4-F1155),"")</f>
        <v/>
      </c>
      <c r="U1155" s="152">
        <f>IFERROR(ABS(K1155-YEAR('02_대상물건입력'!B14)),"")</f>
        <v/>
      </c>
      <c r="V1155" s="152">
        <f>IF(B1155="","",IF(AND(E1155&gt;0,F1155&gt;0,H1155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1155=1,TRUE()),R1155&lt;='01_설정'!B5,S1155&lt;='01_설정'!B6,T1155&lt;='01_설정'!B7,U1155&lt;='01_설정'!B8),"Y",""))</f>
        <v/>
      </c>
      <c r="W1155" s="172">
        <f>IF(V1155&lt;&gt;"Y","",MAX(0,(1-R1155/'01_설정'!B5))*'01_설정'!B14+MAX(0,(1-S1155/'01_설정'!B6))*'01_설정'!B15+MAX(0,(1-T1155/'01_설정'!B7))*'01_설정'!B16+MAX(0,(1-U1155/'01_설정'!B8))*'01_설정'!B17+O1155*'01_설정'!B11+Q1155*'01_설정'!B12+P1155*'01_설정'!B13+IF(Z1155="",0,Z1155))</f>
        <v/>
      </c>
      <c r="X1155" s="152">
        <f>IF(W1155="","",1+COUNTIFS($W$4:$W$3003,"&gt;"&amp;W1155)+COUNTIFS($W$4:W1155,W1155)-1)</f>
        <v/>
      </c>
      <c r="Y1155" s="175">
        <f>IF(OR(I1155="",'02_대상물건입력'!B19="",'02_대상물건입력'!B19&lt;=0),"",ABS(I1155-'02_대상물건입력'!B19)/'02_대상물건입력'!B19)</f>
        <v/>
      </c>
      <c r="Z1155" s="172">
        <f>IF(OR(Y1155="",'01_설정'!B31="",'01_설정'!B31&lt;=0,'01_설정'!B32="",'01_설정'!B32&lt;=0),"",MAX(0,(1-Y1155/'01_설정'!B32))*'01_설정'!B31)</f>
        <v/>
      </c>
    </row>
    <row r="1156" ht="17.25" customHeight="1">
      <c r="A1156" s="152">
        <f>IF(INDEX('04A_국토부원자료'!$A:$A,ROW()+1)="","",ROW()-3)</f>
        <v/>
      </c>
      <c r="B1156" s="48">
        <f>IFERROR(INDEX('04A_국토부원자료'!$A:$T,ROW()+1,MATCH("시군구",'04A_국토부원자료'!$A$4:$T$4,0)),"")</f>
        <v/>
      </c>
      <c r="C1156" s="48">
        <f>IF(B1156="","",IFERROR(INDEX('04A_국토부원자료'!$A:$T,ROW()+1,MATCH("번지",'04A_국토부원자료'!$A$4:$T$4,0)),""))</f>
        <v/>
      </c>
      <c r="D1156" s="48">
        <f>IF(B1156="","",IF(Q1156=1,'02_대상물건입력'!$B$8,IFERROR(INDEX('04A_국토부원자료'!$A:$T,ROW()+1,MATCH("단지명",'04A_국토부원자료'!$A$4:$T$4,0)),"")))</f>
        <v/>
      </c>
      <c r="E1156" s="172">
        <f>IFERROR(VALUE(SUBSTITUTE(INDEX('04A_국토부원자료'!$A:$T,ROW()+1,MATCH("전용면적(㎡)",'04A_국토부원자료'!$A$4:$T$4,0)),",","")),"")</f>
        <v/>
      </c>
      <c r="F11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56" s="51">
        <f>IFERROR(VALUE(SUBSTITUTE(INDEX('04A_국토부원자료'!$A:$T,ROW()+1,MATCH("거래금액(만원)",'04A_국토부원자료'!$A$4:$T$4,0)),",","")),"")</f>
        <v/>
      </c>
      <c r="H1156" s="174">
        <f>IF(G1156="","",G1156*10000)</f>
        <v/>
      </c>
      <c r="I1156" s="174">
        <f>IFERROR(IF(AND(H1156&gt;0,E1156&gt;0),H1156/E1156,""),"")</f>
        <v/>
      </c>
      <c r="J1156" s="152">
        <f>IFERROR(VALUE(SUBSTITUTE(INDEX('04A_국토부원자료'!$A:$T,ROW()+1,MATCH("층",'04A_국토부원자료'!$A$4:$T$4,0)),",","")),"")</f>
        <v/>
      </c>
      <c r="K1156" s="152">
        <f>IFERROR(VALUE(SUBSTITUTE(INDEX('04A_국토부원자료'!$A:$T,ROW()+1,MATCH("건축년도",'04A_국토부원자료'!$A$4:$T$4,0)),",","")),"")</f>
        <v/>
      </c>
      <c r="L1156" s="176">
        <f>IFERROR(INDEX('04A_국토부원자료'!$A:$T,ROW()+1,MATCH("도로명",'04A_국토부원자료'!$A$4:$T$4,0)),"")</f>
        <v/>
      </c>
      <c r="M1156" s="48">
        <f>IFERROR(INDEX('04A_국토부원자료'!$A:$T,ROW()+1,MATCH("거래유형",'04A_국토부원자료'!$A$4:$T$4,0)),"")</f>
        <v/>
      </c>
      <c r="N1156" s="152">
        <f>IF(B1156="","",IF('02_대상물건입력'!B5="",1,IF(ISNUMBER(SEARCH('02_대상물건입력'!B5,B1156)),1,0)))</f>
        <v/>
      </c>
      <c r="O1156" s="152">
        <f>IF(B1156="","",IF('02_대상물건입력'!B6="",1,IF(ISNUMBER(SEARCH('02_대상물건입력'!B6,B1156)),1,0)))</f>
        <v/>
      </c>
      <c r="P1156" s="152">
        <f>IF(L1156="","",IF('02_대상물건입력'!B15="",0,IF(ISNUMBER(SEARCH('02_대상물건입력'!B15,L1156)),1,0)))</f>
        <v/>
      </c>
      <c r="Q1156" s="152">
        <f>IF(OR(C1156="",L1156=""),0,IF(AND(TRIM(C1156)=TRIM(RIGHT(SUBSTITUTE(TRIM('02_대상물건입력'!$B$7)," ",REPT(" ",99)),99)),IF('02_대상물건입력'!B15="",TRUE(),ISNUMBER(SEARCH('02_대상물건입력'!B15,L1156)))),1,0))</f>
        <v/>
      </c>
      <c r="R1156" s="175">
        <f>IFERROR(ABS(E1156-'02_대상물건입력'!B11)/'02_대상물건입력'!B11,"")</f>
        <v/>
      </c>
      <c r="S1156" s="152">
        <f>IFERROR(ABS(J1156-'02_대상물건입력'!B10),"")</f>
        <v/>
      </c>
      <c r="T1156" s="152">
        <f>IFERROR(ABS('01_설정'!B4-F1156),"")</f>
        <v/>
      </c>
      <c r="U1156" s="152">
        <f>IFERROR(ABS(K1156-YEAR('02_대상물건입력'!B14)),"")</f>
        <v/>
      </c>
      <c r="V1156" s="152">
        <f>IF(B1156="","",IF(AND(E1156&gt;0,F1156&gt;0,H1156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1156=1,TRUE()),R1156&lt;='01_설정'!B5,S1156&lt;='01_설정'!B6,T1156&lt;='01_설정'!B7,U1156&lt;='01_설정'!B8),"Y",""))</f>
        <v/>
      </c>
      <c r="W1156" s="172">
        <f>IF(V1156&lt;&gt;"Y","",MAX(0,(1-R1156/'01_설정'!B5))*'01_설정'!B14+MAX(0,(1-S1156/'01_설정'!B6))*'01_설정'!B15+MAX(0,(1-T1156/'01_설정'!B7))*'01_설정'!B16+MAX(0,(1-U1156/'01_설정'!B8))*'01_설정'!B17+O1156*'01_설정'!B11+Q1156*'01_설정'!B12+P1156*'01_설정'!B13+IF(Z1156="",0,Z1156))</f>
        <v/>
      </c>
      <c r="X1156" s="152">
        <f>IF(W1156="","",1+COUNTIFS($W$4:$W$3003,"&gt;"&amp;W1156)+COUNTIFS($W$4:W1156,W1156)-1)</f>
        <v/>
      </c>
      <c r="Y1156" s="175">
        <f>IF(OR(I1156="",'02_대상물건입력'!B19="",'02_대상물건입력'!B19&lt;=0),"",ABS(I1156-'02_대상물건입력'!B19)/'02_대상물건입력'!B19)</f>
        <v/>
      </c>
      <c r="Z1156" s="172">
        <f>IF(OR(Y1156="",'01_설정'!B31="",'01_설정'!B31&lt;=0,'01_설정'!B32="",'01_설정'!B32&lt;=0),"",MAX(0,(1-Y1156/'01_설정'!B32))*'01_설정'!B31)</f>
        <v/>
      </c>
    </row>
    <row r="1157" ht="17.25" customHeight="1">
      <c r="A1157" s="152">
        <f>IF(INDEX('04A_국토부원자료'!$A:$A,ROW()+1)="","",ROW()-3)</f>
        <v/>
      </c>
      <c r="B1157" s="48">
        <f>IFERROR(INDEX('04A_국토부원자료'!$A:$T,ROW()+1,MATCH("시군구",'04A_국토부원자료'!$A$4:$T$4,0)),"")</f>
        <v/>
      </c>
      <c r="C1157" s="48">
        <f>IF(B1157="","",IFERROR(INDEX('04A_국토부원자료'!$A:$T,ROW()+1,MATCH("번지",'04A_국토부원자료'!$A$4:$T$4,0)),""))</f>
        <v/>
      </c>
      <c r="D1157" s="48">
        <f>IF(B1157="","",IF(Q1157=1,'02_대상물건입력'!$B$8,IFERROR(INDEX('04A_국토부원자료'!$A:$T,ROW()+1,MATCH("단지명",'04A_국토부원자료'!$A$4:$T$4,0)),"")))</f>
        <v/>
      </c>
      <c r="E1157" s="172">
        <f>IFERROR(VALUE(SUBSTITUTE(INDEX('04A_국토부원자료'!$A:$T,ROW()+1,MATCH("전용면적(㎡)",'04A_국토부원자료'!$A$4:$T$4,0)),",","")),"")</f>
        <v/>
      </c>
      <c r="F11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57" s="51">
        <f>IFERROR(VALUE(SUBSTITUTE(INDEX('04A_국토부원자료'!$A:$T,ROW()+1,MATCH("거래금액(만원)",'04A_국토부원자료'!$A$4:$T$4,0)),",","")),"")</f>
        <v/>
      </c>
      <c r="H1157" s="174">
        <f>IF(G1157="","",G1157*10000)</f>
        <v/>
      </c>
      <c r="I1157" s="174">
        <f>IFERROR(IF(AND(H1157&gt;0,E1157&gt;0),H1157/E1157,""),"")</f>
        <v/>
      </c>
      <c r="J1157" s="152">
        <f>IFERROR(VALUE(SUBSTITUTE(INDEX('04A_국토부원자료'!$A:$T,ROW()+1,MATCH("층",'04A_국토부원자료'!$A$4:$T$4,0)),",","")),"")</f>
        <v/>
      </c>
      <c r="K1157" s="152">
        <f>IFERROR(VALUE(SUBSTITUTE(INDEX('04A_국토부원자료'!$A:$T,ROW()+1,MATCH("건축년도",'04A_국토부원자료'!$A$4:$T$4,0)),",","")),"")</f>
        <v/>
      </c>
      <c r="L1157" s="176">
        <f>IFERROR(INDEX('04A_국토부원자료'!$A:$T,ROW()+1,MATCH("도로명",'04A_국토부원자료'!$A$4:$T$4,0)),"")</f>
        <v/>
      </c>
      <c r="M1157" s="48">
        <f>IFERROR(INDEX('04A_국토부원자료'!$A:$T,ROW()+1,MATCH("거래유형",'04A_국토부원자료'!$A$4:$T$4,0)),"")</f>
        <v/>
      </c>
      <c r="N1157" s="152">
        <f>IF(B1157="","",IF('02_대상물건입력'!B5="",1,IF(ISNUMBER(SEARCH('02_대상물건입력'!B5,B1157)),1,0)))</f>
        <v/>
      </c>
      <c r="O1157" s="152">
        <f>IF(B1157="","",IF('02_대상물건입력'!B6="",1,IF(ISNUMBER(SEARCH('02_대상물건입력'!B6,B1157)),1,0)))</f>
        <v/>
      </c>
      <c r="P1157" s="152">
        <f>IF(L1157="","",IF('02_대상물건입력'!B15="",0,IF(ISNUMBER(SEARCH('02_대상물건입력'!B15,L1157)),1,0)))</f>
        <v/>
      </c>
      <c r="Q1157" s="152">
        <f>IF(OR(C1157="",L1157=""),0,IF(AND(TRIM(C1157)=TRIM(RIGHT(SUBSTITUTE(TRIM('02_대상물건입력'!$B$7)," ",REPT(" ",99)),99)),IF('02_대상물건입력'!B15="",TRUE(),ISNUMBER(SEARCH('02_대상물건입력'!B15,L1157)))),1,0))</f>
        <v/>
      </c>
      <c r="R1157" s="175">
        <f>IFERROR(ABS(E1157-'02_대상물건입력'!B11)/'02_대상물건입력'!B11,"")</f>
        <v/>
      </c>
      <c r="S1157" s="152">
        <f>IFERROR(ABS(J1157-'02_대상물건입력'!B10),"")</f>
        <v/>
      </c>
      <c r="T1157" s="152">
        <f>IFERROR(ABS('01_설정'!B4-F1157),"")</f>
        <v/>
      </c>
      <c r="U1157" s="152">
        <f>IFERROR(ABS(K1157-YEAR('02_대상물건입력'!B14)),"")</f>
        <v/>
      </c>
      <c r="V1157" s="152">
        <f>IF(B1157="","",IF(AND(E1157&gt;0,F1157&gt;0,H1157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1157=1,TRUE()),R1157&lt;='01_설정'!B5,S1157&lt;='01_설정'!B6,T1157&lt;='01_설정'!B7,U1157&lt;='01_설정'!B8),"Y",""))</f>
        <v/>
      </c>
      <c r="W1157" s="172">
        <f>IF(V1157&lt;&gt;"Y","",MAX(0,(1-R1157/'01_설정'!B5))*'01_설정'!B14+MAX(0,(1-S1157/'01_설정'!B6))*'01_설정'!B15+MAX(0,(1-T1157/'01_설정'!B7))*'01_설정'!B16+MAX(0,(1-U1157/'01_설정'!B8))*'01_설정'!B17+O1157*'01_설정'!B11+Q1157*'01_설정'!B12+P1157*'01_설정'!B13+IF(Z1157="",0,Z1157))</f>
        <v/>
      </c>
      <c r="X1157" s="152">
        <f>IF(W1157="","",1+COUNTIFS($W$4:$W$3003,"&gt;"&amp;W1157)+COUNTIFS($W$4:W1157,W1157)-1)</f>
        <v/>
      </c>
      <c r="Y1157" s="175">
        <f>IF(OR(I1157="",'02_대상물건입력'!B19="",'02_대상물건입력'!B19&lt;=0),"",ABS(I1157-'02_대상물건입력'!B19)/'02_대상물건입력'!B19)</f>
        <v/>
      </c>
      <c r="Z1157" s="172">
        <f>IF(OR(Y1157="",'01_설정'!B31="",'01_설정'!B31&lt;=0,'01_설정'!B32="",'01_설정'!B32&lt;=0),"",MAX(0,(1-Y1157/'01_설정'!B32))*'01_설정'!B31)</f>
        <v/>
      </c>
    </row>
    <row r="1158" ht="17.25" customHeight="1">
      <c r="A1158" s="152">
        <f>IF(INDEX('04A_국토부원자료'!$A:$A,ROW()+1)="","",ROW()-3)</f>
        <v/>
      </c>
      <c r="B1158" s="48">
        <f>IFERROR(INDEX('04A_국토부원자료'!$A:$T,ROW()+1,MATCH("시군구",'04A_국토부원자료'!$A$4:$T$4,0)),"")</f>
        <v/>
      </c>
      <c r="C1158" s="48">
        <f>IF(B1158="","",IFERROR(INDEX('04A_국토부원자료'!$A:$T,ROW()+1,MATCH("번지",'04A_국토부원자료'!$A$4:$T$4,0)),""))</f>
        <v/>
      </c>
      <c r="D1158" s="48">
        <f>IF(B1158="","",IF(Q1158=1,'02_대상물건입력'!$B$8,IFERROR(INDEX('04A_국토부원자료'!$A:$T,ROW()+1,MATCH("단지명",'04A_국토부원자료'!$A$4:$T$4,0)),"")))</f>
        <v/>
      </c>
      <c r="E1158" s="172">
        <f>IFERROR(VALUE(SUBSTITUTE(INDEX('04A_국토부원자료'!$A:$T,ROW()+1,MATCH("전용면적(㎡)",'04A_국토부원자료'!$A$4:$T$4,0)),",","")),"")</f>
        <v/>
      </c>
      <c r="F11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58" s="51">
        <f>IFERROR(VALUE(SUBSTITUTE(INDEX('04A_국토부원자료'!$A:$T,ROW()+1,MATCH("거래금액(만원)",'04A_국토부원자료'!$A$4:$T$4,0)),",","")),"")</f>
        <v/>
      </c>
      <c r="H1158" s="174">
        <f>IF(G1158="","",G1158*10000)</f>
        <v/>
      </c>
      <c r="I1158" s="174">
        <f>IFERROR(IF(AND(H1158&gt;0,E1158&gt;0),H1158/E1158,""),"")</f>
        <v/>
      </c>
      <c r="J1158" s="152">
        <f>IFERROR(VALUE(SUBSTITUTE(INDEX('04A_국토부원자료'!$A:$T,ROW()+1,MATCH("층",'04A_국토부원자료'!$A$4:$T$4,0)),",","")),"")</f>
        <v/>
      </c>
      <c r="K1158" s="152">
        <f>IFERROR(VALUE(SUBSTITUTE(INDEX('04A_국토부원자료'!$A:$T,ROW()+1,MATCH("건축년도",'04A_국토부원자료'!$A$4:$T$4,0)),",","")),"")</f>
        <v/>
      </c>
      <c r="L1158" s="176">
        <f>IFERROR(INDEX('04A_국토부원자료'!$A:$T,ROW()+1,MATCH("도로명",'04A_국토부원자료'!$A$4:$T$4,0)),"")</f>
        <v/>
      </c>
      <c r="M1158" s="48">
        <f>IFERROR(INDEX('04A_국토부원자료'!$A:$T,ROW()+1,MATCH("거래유형",'04A_국토부원자료'!$A$4:$T$4,0)),"")</f>
        <v/>
      </c>
      <c r="N1158" s="152">
        <f>IF(B1158="","",IF('02_대상물건입력'!B5="",1,IF(ISNUMBER(SEARCH('02_대상물건입력'!B5,B1158)),1,0)))</f>
        <v/>
      </c>
      <c r="O1158" s="152">
        <f>IF(B1158="","",IF('02_대상물건입력'!B6="",1,IF(ISNUMBER(SEARCH('02_대상물건입력'!B6,B1158)),1,0)))</f>
        <v/>
      </c>
      <c r="P1158" s="152">
        <f>IF(L1158="","",IF('02_대상물건입력'!B15="",0,IF(ISNUMBER(SEARCH('02_대상물건입력'!B15,L1158)),1,0)))</f>
        <v/>
      </c>
      <c r="Q1158" s="152">
        <f>IF(OR(C1158="",L1158=""),0,IF(AND(TRIM(C1158)=TRIM(RIGHT(SUBSTITUTE(TRIM('02_대상물건입력'!$B$7)," ",REPT(" ",99)),99)),IF('02_대상물건입력'!B15="",TRUE(),ISNUMBER(SEARCH('02_대상물건입력'!B15,L1158)))),1,0))</f>
        <v/>
      </c>
      <c r="R1158" s="175">
        <f>IFERROR(ABS(E1158-'02_대상물건입력'!B11)/'02_대상물건입력'!B11,"")</f>
        <v/>
      </c>
      <c r="S1158" s="152">
        <f>IFERROR(ABS(J1158-'02_대상물건입력'!B10),"")</f>
        <v/>
      </c>
      <c r="T1158" s="152">
        <f>IFERROR(ABS('01_설정'!B4-F1158),"")</f>
        <v/>
      </c>
      <c r="U1158" s="152">
        <f>IFERROR(ABS(K1158-YEAR('02_대상물건입력'!B14)),"")</f>
        <v/>
      </c>
      <c r="V1158" s="152">
        <f>IF(B1158="","",IF(AND(E1158&gt;0,F1158&gt;0,H1158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1158=1,TRUE()),R1158&lt;='01_설정'!B5,S1158&lt;='01_설정'!B6,T1158&lt;='01_설정'!B7,U1158&lt;='01_설정'!B8),"Y",""))</f>
        <v/>
      </c>
      <c r="W1158" s="172">
        <f>IF(V1158&lt;&gt;"Y","",MAX(0,(1-R1158/'01_설정'!B5))*'01_설정'!B14+MAX(0,(1-S1158/'01_설정'!B6))*'01_설정'!B15+MAX(0,(1-T1158/'01_설정'!B7))*'01_설정'!B16+MAX(0,(1-U1158/'01_설정'!B8))*'01_설정'!B17+O1158*'01_설정'!B11+Q1158*'01_설정'!B12+P1158*'01_설정'!B13+IF(Z1158="",0,Z1158))</f>
        <v/>
      </c>
      <c r="X1158" s="152">
        <f>IF(W1158="","",1+COUNTIFS($W$4:$W$3003,"&gt;"&amp;W1158)+COUNTIFS($W$4:W1158,W1158)-1)</f>
        <v/>
      </c>
      <c r="Y1158" s="175">
        <f>IF(OR(I1158="",'02_대상물건입력'!B19="",'02_대상물건입력'!B19&lt;=0),"",ABS(I1158-'02_대상물건입력'!B19)/'02_대상물건입력'!B19)</f>
        <v/>
      </c>
      <c r="Z1158" s="172">
        <f>IF(OR(Y1158="",'01_설정'!B31="",'01_설정'!B31&lt;=0,'01_설정'!B32="",'01_설정'!B32&lt;=0),"",MAX(0,(1-Y1158/'01_설정'!B32))*'01_설정'!B31)</f>
        <v/>
      </c>
    </row>
    <row r="1159" ht="17.25" customHeight="1">
      <c r="A1159" s="152">
        <f>IF(INDEX('04A_국토부원자료'!$A:$A,ROW()+1)="","",ROW()-3)</f>
        <v/>
      </c>
      <c r="B1159" s="48">
        <f>IFERROR(INDEX('04A_국토부원자료'!$A:$T,ROW()+1,MATCH("시군구",'04A_국토부원자료'!$A$4:$T$4,0)),"")</f>
        <v/>
      </c>
      <c r="C1159" s="48">
        <f>IF(B1159="","",IFERROR(INDEX('04A_국토부원자료'!$A:$T,ROW()+1,MATCH("번지",'04A_국토부원자료'!$A$4:$T$4,0)),""))</f>
        <v/>
      </c>
      <c r="D1159" s="48">
        <f>IF(B1159="","",IF(Q1159=1,'02_대상물건입력'!$B$8,IFERROR(INDEX('04A_국토부원자료'!$A:$T,ROW()+1,MATCH("단지명",'04A_국토부원자료'!$A$4:$T$4,0)),"")))</f>
        <v/>
      </c>
      <c r="E1159" s="172">
        <f>IFERROR(VALUE(SUBSTITUTE(INDEX('04A_국토부원자료'!$A:$T,ROW()+1,MATCH("전용면적(㎡)",'04A_국토부원자료'!$A$4:$T$4,0)),",","")),"")</f>
        <v/>
      </c>
      <c r="F11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59" s="51">
        <f>IFERROR(VALUE(SUBSTITUTE(INDEX('04A_국토부원자료'!$A:$T,ROW()+1,MATCH("거래금액(만원)",'04A_국토부원자료'!$A$4:$T$4,0)),",","")),"")</f>
        <v/>
      </c>
      <c r="H1159" s="174">
        <f>IF(G1159="","",G1159*10000)</f>
        <v/>
      </c>
      <c r="I1159" s="174">
        <f>IFERROR(IF(AND(H1159&gt;0,E1159&gt;0),H1159/E1159,""),"")</f>
        <v/>
      </c>
      <c r="J1159" s="152">
        <f>IFERROR(VALUE(SUBSTITUTE(INDEX('04A_국토부원자료'!$A:$T,ROW()+1,MATCH("층",'04A_국토부원자료'!$A$4:$T$4,0)),",","")),"")</f>
        <v/>
      </c>
      <c r="K1159" s="152">
        <f>IFERROR(VALUE(SUBSTITUTE(INDEX('04A_국토부원자료'!$A:$T,ROW()+1,MATCH("건축년도",'04A_국토부원자료'!$A$4:$T$4,0)),",","")),"")</f>
        <v/>
      </c>
      <c r="L1159" s="176">
        <f>IFERROR(INDEX('04A_국토부원자료'!$A:$T,ROW()+1,MATCH("도로명",'04A_국토부원자료'!$A$4:$T$4,0)),"")</f>
        <v/>
      </c>
      <c r="M1159" s="48">
        <f>IFERROR(INDEX('04A_국토부원자료'!$A:$T,ROW()+1,MATCH("거래유형",'04A_국토부원자료'!$A$4:$T$4,0)),"")</f>
        <v/>
      </c>
      <c r="N1159" s="152">
        <f>IF(B1159="","",IF('02_대상물건입력'!B5="",1,IF(ISNUMBER(SEARCH('02_대상물건입력'!B5,B1159)),1,0)))</f>
        <v/>
      </c>
      <c r="O1159" s="152">
        <f>IF(B1159="","",IF('02_대상물건입력'!B6="",1,IF(ISNUMBER(SEARCH('02_대상물건입력'!B6,B1159)),1,0)))</f>
        <v/>
      </c>
      <c r="P1159" s="152">
        <f>IF(L1159="","",IF('02_대상물건입력'!B15="",0,IF(ISNUMBER(SEARCH('02_대상물건입력'!B15,L1159)),1,0)))</f>
        <v/>
      </c>
      <c r="Q1159" s="152">
        <f>IF(OR(C1159="",L1159=""),0,IF(AND(TRIM(C1159)=TRIM(RIGHT(SUBSTITUTE(TRIM('02_대상물건입력'!$B$7)," ",REPT(" ",99)),99)),IF('02_대상물건입력'!B15="",TRUE(),ISNUMBER(SEARCH('02_대상물건입력'!B15,L1159)))),1,0))</f>
        <v/>
      </c>
      <c r="R1159" s="175">
        <f>IFERROR(ABS(E1159-'02_대상물건입력'!B11)/'02_대상물건입력'!B11,"")</f>
        <v/>
      </c>
      <c r="S1159" s="152">
        <f>IFERROR(ABS(J1159-'02_대상물건입력'!B10),"")</f>
        <v/>
      </c>
      <c r="T1159" s="152">
        <f>IFERROR(ABS('01_설정'!B4-F1159),"")</f>
        <v/>
      </c>
      <c r="U1159" s="152">
        <f>IFERROR(ABS(K1159-YEAR('02_대상물건입력'!B14)),"")</f>
        <v/>
      </c>
      <c r="V1159" s="152">
        <f>IF(B1159="","",IF(AND(E1159&gt;0,F1159&gt;0,H1159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1159=1,TRUE()),R1159&lt;='01_설정'!B5,S1159&lt;='01_설정'!B6,T1159&lt;='01_설정'!B7,U1159&lt;='01_설정'!B8),"Y",""))</f>
        <v/>
      </c>
      <c r="W1159" s="172">
        <f>IF(V1159&lt;&gt;"Y","",MAX(0,(1-R1159/'01_설정'!B5))*'01_설정'!B14+MAX(0,(1-S1159/'01_설정'!B6))*'01_설정'!B15+MAX(0,(1-T1159/'01_설정'!B7))*'01_설정'!B16+MAX(0,(1-U1159/'01_설정'!B8))*'01_설정'!B17+O1159*'01_설정'!B11+Q1159*'01_설정'!B12+P1159*'01_설정'!B13+IF(Z1159="",0,Z1159))</f>
        <v/>
      </c>
      <c r="X1159" s="152">
        <f>IF(W1159="","",1+COUNTIFS($W$4:$W$3003,"&gt;"&amp;W1159)+COUNTIFS($W$4:W1159,W1159)-1)</f>
        <v/>
      </c>
      <c r="Y1159" s="175">
        <f>IF(OR(I1159="",'02_대상물건입력'!B19="",'02_대상물건입력'!B19&lt;=0),"",ABS(I1159-'02_대상물건입력'!B19)/'02_대상물건입력'!B19)</f>
        <v/>
      </c>
      <c r="Z1159" s="172">
        <f>IF(OR(Y1159="",'01_설정'!B31="",'01_설정'!B31&lt;=0,'01_설정'!B32="",'01_설정'!B32&lt;=0),"",MAX(0,(1-Y1159/'01_설정'!B32))*'01_설정'!B31)</f>
        <v/>
      </c>
    </row>
    <row r="1160" ht="17.25" customHeight="1">
      <c r="A1160" s="152">
        <f>IF(INDEX('04A_국토부원자료'!$A:$A,ROW()+1)="","",ROW()-3)</f>
        <v/>
      </c>
      <c r="B1160" s="48">
        <f>IFERROR(INDEX('04A_국토부원자료'!$A:$T,ROW()+1,MATCH("시군구",'04A_국토부원자료'!$A$4:$T$4,0)),"")</f>
        <v/>
      </c>
      <c r="C1160" s="48">
        <f>IF(B1160="","",IFERROR(INDEX('04A_국토부원자료'!$A:$T,ROW()+1,MATCH("번지",'04A_국토부원자료'!$A$4:$T$4,0)),""))</f>
        <v/>
      </c>
      <c r="D1160" s="48">
        <f>IF(B1160="","",IF(Q1160=1,'02_대상물건입력'!$B$8,IFERROR(INDEX('04A_국토부원자료'!$A:$T,ROW()+1,MATCH("단지명",'04A_국토부원자료'!$A$4:$T$4,0)),"")))</f>
        <v/>
      </c>
      <c r="E1160" s="172">
        <f>IFERROR(VALUE(SUBSTITUTE(INDEX('04A_국토부원자료'!$A:$T,ROW()+1,MATCH("전용면적(㎡)",'04A_국토부원자료'!$A$4:$T$4,0)),",","")),"")</f>
        <v/>
      </c>
      <c r="F11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60" s="51">
        <f>IFERROR(VALUE(SUBSTITUTE(INDEX('04A_국토부원자료'!$A:$T,ROW()+1,MATCH("거래금액(만원)",'04A_국토부원자료'!$A$4:$T$4,0)),",","")),"")</f>
        <v/>
      </c>
      <c r="H1160" s="174">
        <f>IF(G1160="","",G1160*10000)</f>
        <v/>
      </c>
      <c r="I1160" s="174">
        <f>IFERROR(IF(AND(H1160&gt;0,E1160&gt;0),H1160/E1160,""),"")</f>
        <v/>
      </c>
      <c r="J1160" s="152">
        <f>IFERROR(VALUE(SUBSTITUTE(INDEX('04A_국토부원자료'!$A:$T,ROW()+1,MATCH("층",'04A_국토부원자료'!$A$4:$T$4,0)),",","")),"")</f>
        <v/>
      </c>
      <c r="K1160" s="152">
        <f>IFERROR(VALUE(SUBSTITUTE(INDEX('04A_국토부원자료'!$A:$T,ROW()+1,MATCH("건축년도",'04A_국토부원자료'!$A$4:$T$4,0)),",","")),"")</f>
        <v/>
      </c>
      <c r="L1160" s="176">
        <f>IFERROR(INDEX('04A_국토부원자료'!$A:$T,ROW()+1,MATCH("도로명",'04A_국토부원자료'!$A$4:$T$4,0)),"")</f>
        <v/>
      </c>
      <c r="M1160" s="48">
        <f>IFERROR(INDEX('04A_국토부원자료'!$A:$T,ROW()+1,MATCH("거래유형",'04A_국토부원자료'!$A$4:$T$4,0)),"")</f>
        <v/>
      </c>
      <c r="N1160" s="152">
        <f>IF(B1160="","",IF('02_대상물건입력'!B5="",1,IF(ISNUMBER(SEARCH('02_대상물건입력'!B5,B1160)),1,0)))</f>
        <v/>
      </c>
      <c r="O1160" s="152">
        <f>IF(B1160="","",IF('02_대상물건입력'!B6="",1,IF(ISNUMBER(SEARCH('02_대상물건입력'!B6,B1160)),1,0)))</f>
        <v/>
      </c>
      <c r="P1160" s="152">
        <f>IF(L1160="","",IF('02_대상물건입력'!B15="",0,IF(ISNUMBER(SEARCH('02_대상물건입력'!B15,L1160)),1,0)))</f>
        <v/>
      </c>
      <c r="Q1160" s="152">
        <f>IF(OR(C1160="",L1160=""),0,IF(AND(TRIM(C1160)=TRIM(RIGHT(SUBSTITUTE(TRIM('02_대상물건입력'!$B$7)," ",REPT(" ",99)),99)),IF('02_대상물건입력'!B15="",TRUE(),ISNUMBER(SEARCH('02_대상물건입력'!B15,L1160)))),1,0))</f>
        <v/>
      </c>
      <c r="R1160" s="175">
        <f>IFERROR(ABS(E1160-'02_대상물건입력'!B11)/'02_대상물건입력'!B11,"")</f>
        <v/>
      </c>
      <c r="S1160" s="152">
        <f>IFERROR(ABS(J1160-'02_대상물건입력'!B10),"")</f>
        <v/>
      </c>
      <c r="T1160" s="152">
        <f>IFERROR(ABS('01_설정'!B4-F1160),"")</f>
        <v/>
      </c>
      <c r="U1160" s="152">
        <f>IFERROR(ABS(K1160-YEAR('02_대상물건입력'!B14)),"")</f>
        <v/>
      </c>
      <c r="V1160" s="152">
        <f>IF(B1160="","",IF(AND(E1160&gt;0,F1160&gt;0,H1160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1160=1,TRUE()),R1160&lt;='01_설정'!B5,S1160&lt;='01_설정'!B6,T1160&lt;='01_설정'!B7,U1160&lt;='01_설정'!B8),"Y",""))</f>
        <v/>
      </c>
      <c r="W1160" s="172">
        <f>IF(V1160&lt;&gt;"Y","",MAX(0,(1-R1160/'01_설정'!B5))*'01_설정'!B14+MAX(0,(1-S1160/'01_설정'!B6))*'01_설정'!B15+MAX(0,(1-T1160/'01_설정'!B7))*'01_설정'!B16+MAX(0,(1-U1160/'01_설정'!B8))*'01_설정'!B17+O1160*'01_설정'!B11+Q1160*'01_설정'!B12+P1160*'01_설정'!B13+IF(Z1160="",0,Z1160))</f>
        <v/>
      </c>
      <c r="X1160" s="152">
        <f>IF(W1160="","",1+COUNTIFS($W$4:$W$3003,"&gt;"&amp;W1160)+COUNTIFS($W$4:W1160,W1160)-1)</f>
        <v/>
      </c>
      <c r="Y1160" s="175">
        <f>IF(OR(I1160="",'02_대상물건입력'!B19="",'02_대상물건입력'!B19&lt;=0),"",ABS(I1160-'02_대상물건입력'!B19)/'02_대상물건입력'!B19)</f>
        <v/>
      </c>
      <c r="Z1160" s="172">
        <f>IF(OR(Y1160="",'01_설정'!B31="",'01_설정'!B31&lt;=0,'01_설정'!B32="",'01_설정'!B32&lt;=0),"",MAX(0,(1-Y1160/'01_설정'!B32))*'01_설정'!B31)</f>
        <v/>
      </c>
    </row>
    <row r="1161" ht="17.25" customHeight="1">
      <c r="A1161" s="152">
        <f>IF(INDEX('04A_국토부원자료'!$A:$A,ROW()+1)="","",ROW()-3)</f>
        <v/>
      </c>
      <c r="B1161" s="48">
        <f>IFERROR(INDEX('04A_국토부원자료'!$A:$T,ROW()+1,MATCH("시군구",'04A_국토부원자료'!$A$4:$T$4,0)),"")</f>
        <v/>
      </c>
      <c r="C1161" s="48">
        <f>IF(B1161="","",IFERROR(INDEX('04A_국토부원자료'!$A:$T,ROW()+1,MATCH("번지",'04A_국토부원자료'!$A$4:$T$4,0)),""))</f>
        <v/>
      </c>
      <c r="D1161" s="48">
        <f>IF(B1161="","",IF(Q1161=1,'02_대상물건입력'!$B$8,IFERROR(INDEX('04A_국토부원자료'!$A:$T,ROW()+1,MATCH("단지명",'04A_국토부원자료'!$A$4:$T$4,0)),"")))</f>
        <v/>
      </c>
      <c r="E1161" s="172">
        <f>IFERROR(VALUE(SUBSTITUTE(INDEX('04A_국토부원자료'!$A:$T,ROW()+1,MATCH("전용면적(㎡)",'04A_국토부원자료'!$A$4:$T$4,0)),",","")),"")</f>
        <v/>
      </c>
      <c r="F11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61" s="51">
        <f>IFERROR(VALUE(SUBSTITUTE(INDEX('04A_국토부원자료'!$A:$T,ROW()+1,MATCH("거래금액(만원)",'04A_국토부원자료'!$A$4:$T$4,0)),",","")),"")</f>
        <v/>
      </c>
      <c r="H1161" s="174">
        <f>IF(G1161="","",G1161*10000)</f>
        <v/>
      </c>
      <c r="I1161" s="174">
        <f>IFERROR(IF(AND(H1161&gt;0,E1161&gt;0),H1161/E1161,""),"")</f>
        <v/>
      </c>
      <c r="J1161" s="152">
        <f>IFERROR(VALUE(SUBSTITUTE(INDEX('04A_국토부원자료'!$A:$T,ROW()+1,MATCH("층",'04A_국토부원자료'!$A$4:$T$4,0)),",","")),"")</f>
        <v/>
      </c>
      <c r="K1161" s="152">
        <f>IFERROR(VALUE(SUBSTITUTE(INDEX('04A_국토부원자료'!$A:$T,ROW()+1,MATCH("건축년도",'04A_국토부원자료'!$A$4:$T$4,0)),",","")),"")</f>
        <v/>
      </c>
      <c r="L1161" s="176">
        <f>IFERROR(INDEX('04A_국토부원자료'!$A:$T,ROW()+1,MATCH("도로명",'04A_국토부원자료'!$A$4:$T$4,0)),"")</f>
        <v/>
      </c>
      <c r="M1161" s="48">
        <f>IFERROR(INDEX('04A_국토부원자료'!$A:$T,ROW()+1,MATCH("거래유형",'04A_국토부원자료'!$A$4:$T$4,0)),"")</f>
        <v/>
      </c>
      <c r="N1161" s="152">
        <f>IF(B1161="","",IF('02_대상물건입력'!B5="",1,IF(ISNUMBER(SEARCH('02_대상물건입력'!B5,B1161)),1,0)))</f>
        <v/>
      </c>
      <c r="O1161" s="152">
        <f>IF(B1161="","",IF('02_대상물건입력'!B6="",1,IF(ISNUMBER(SEARCH('02_대상물건입력'!B6,B1161)),1,0)))</f>
        <v/>
      </c>
      <c r="P1161" s="152">
        <f>IF(L1161="","",IF('02_대상물건입력'!B15="",0,IF(ISNUMBER(SEARCH('02_대상물건입력'!B15,L1161)),1,0)))</f>
        <v/>
      </c>
      <c r="Q1161" s="152">
        <f>IF(OR(C1161="",L1161=""),0,IF(AND(TRIM(C1161)=TRIM(RIGHT(SUBSTITUTE(TRIM('02_대상물건입력'!$B$7)," ",REPT(" ",99)),99)),IF('02_대상물건입력'!B15="",TRUE(),ISNUMBER(SEARCH('02_대상물건입력'!B15,L1161)))),1,0))</f>
        <v/>
      </c>
      <c r="R1161" s="175">
        <f>IFERROR(ABS(E1161-'02_대상물건입력'!B11)/'02_대상물건입력'!B11,"")</f>
        <v/>
      </c>
      <c r="S1161" s="152">
        <f>IFERROR(ABS(J1161-'02_대상물건입력'!B10),"")</f>
        <v/>
      </c>
      <c r="T1161" s="152">
        <f>IFERROR(ABS('01_설정'!B4-F1161),"")</f>
        <v/>
      </c>
      <c r="U1161" s="152">
        <f>IFERROR(ABS(K1161-YEAR('02_대상물건입력'!B14)),"")</f>
        <v/>
      </c>
      <c r="V1161" s="152">
        <f>IF(B1161="","",IF(AND(E1161&gt;0,F1161&gt;0,H1161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1161=1,TRUE()),R1161&lt;='01_설정'!B5,S1161&lt;='01_설정'!B6,T1161&lt;='01_설정'!B7,U1161&lt;='01_설정'!B8),"Y",""))</f>
        <v/>
      </c>
      <c r="W1161" s="172">
        <f>IF(V1161&lt;&gt;"Y","",MAX(0,(1-R1161/'01_설정'!B5))*'01_설정'!B14+MAX(0,(1-S1161/'01_설정'!B6))*'01_설정'!B15+MAX(0,(1-T1161/'01_설정'!B7))*'01_설정'!B16+MAX(0,(1-U1161/'01_설정'!B8))*'01_설정'!B17+O1161*'01_설정'!B11+Q1161*'01_설정'!B12+P1161*'01_설정'!B13+IF(Z1161="",0,Z1161))</f>
        <v/>
      </c>
      <c r="X1161" s="152">
        <f>IF(W1161="","",1+COUNTIFS($W$4:$W$3003,"&gt;"&amp;W1161)+COUNTIFS($W$4:W1161,W1161)-1)</f>
        <v/>
      </c>
      <c r="Y1161" s="175">
        <f>IF(OR(I1161="",'02_대상물건입력'!B19="",'02_대상물건입력'!B19&lt;=0),"",ABS(I1161-'02_대상물건입력'!B19)/'02_대상물건입력'!B19)</f>
        <v/>
      </c>
      <c r="Z1161" s="172">
        <f>IF(OR(Y1161="",'01_설정'!B31="",'01_설정'!B31&lt;=0,'01_설정'!B32="",'01_설정'!B32&lt;=0),"",MAX(0,(1-Y1161/'01_설정'!B32))*'01_설정'!B31)</f>
        <v/>
      </c>
    </row>
    <row r="1162" ht="17.25" customHeight="1">
      <c r="A1162" s="152">
        <f>IF(INDEX('04A_국토부원자료'!$A:$A,ROW()+1)="","",ROW()-3)</f>
        <v/>
      </c>
      <c r="B1162" s="48">
        <f>IFERROR(INDEX('04A_국토부원자료'!$A:$T,ROW()+1,MATCH("시군구",'04A_국토부원자료'!$A$4:$T$4,0)),"")</f>
        <v/>
      </c>
      <c r="C1162" s="48">
        <f>IF(B1162="","",IFERROR(INDEX('04A_국토부원자료'!$A:$T,ROW()+1,MATCH("번지",'04A_국토부원자료'!$A$4:$T$4,0)),""))</f>
        <v/>
      </c>
      <c r="D1162" s="48">
        <f>IF(B1162="","",IF(Q1162=1,'02_대상물건입력'!$B$8,IFERROR(INDEX('04A_국토부원자료'!$A:$T,ROW()+1,MATCH("단지명",'04A_국토부원자료'!$A$4:$T$4,0)),"")))</f>
        <v/>
      </c>
      <c r="E1162" s="172">
        <f>IFERROR(VALUE(SUBSTITUTE(INDEX('04A_국토부원자료'!$A:$T,ROW()+1,MATCH("전용면적(㎡)",'04A_국토부원자료'!$A$4:$T$4,0)),",","")),"")</f>
        <v/>
      </c>
      <c r="F11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62" s="51">
        <f>IFERROR(VALUE(SUBSTITUTE(INDEX('04A_국토부원자료'!$A:$T,ROW()+1,MATCH("거래금액(만원)",'04A_국토부원자료'!$A$4:$T$4,0)),",","")),"")</f>
        <v/>
      </c>
      <c r="H1162" s="174">
        <f>IF(G1162="","",G1162*10000)</f>
        <v/>
      </c>
      <c r="I1162" s="174">
        <f>IFERROR(IF(AND(H1162&gt;0,E1162&gt;0),H1162/E1162,""),"")</f>
        <v/>
      </c>
      <c r="J1162" s="152">
        <f>IFERROR(VALUE(SUBSTITUTE(INDEX('04A_국토부원자료'!$A:$T,ROW()+1,MATCH("층",'04A_국토부원자료'!$A$4:$T$4,0)),",","")),"")</f>
        <v/>
      </c>
      <c r="K1162" s="152">
        <f>IFERROR(VALUE(SUBSTITUTE(INDEX('04A_국토부원자료'!$A:$T,ROW()+1,MATCH("건축년도",'04A_국토부원자료'!$A$4:$T$4,0)),",","")),"")</f>
        <v/>
      </c>
      <c r="L1162" s="176">
        <f>IFERROR(INDEX('04A_국토부원자료'!$A:$T,ROW()+1,MATCH("도로명",'04A_국토부원자료'!$A$4:$T$4,0)),"")</f>
        <v/>
      </c>
      <c r="M1162" s="48">
        <f>IFERROR(INDEX('04A_국토부원자료'!$A:$T,ROW()+1,MATCH("거래유형",'04A_국토부원자료'!$A$4:$T$4,0)),"")</f>
        <v/>
      </c>
      <c r="N1162" s="152">
        <f>IF(B1162="","",IF('02_대상물건입력'!B5="",1,IF(ISNUMBER(SEARCH('02_대상물건입력'!B5,B1162)),1,0)))</f>
        <v/>
      </c>
      <c r="O1162" s="152">
        <f>IF(B1162="","",IF('02_대상물건입력'!B6="",1,IF(ISNUMBER(SEARCH('02_대상물건입력'!B6,B1162)),1,0)))</f>
        <v/>
      </c>
      <c r="P1162" s="152">
        <f>IF(L1162="","",IF('02_대상물건입력'!B15="",0,IF(ISNUMBER(SEARCH('02_대상물건입력'!B15,L1162)),1,0)))</f>
        <v/>
      </c>
      <c r="Q1162" s="152">
        <f>IF(OR(C1162="",L1162=""),0,IF(AND(TRIM(C1162)=TRIM(RIGHT(SUBSTITUTE(TRIM('02_대상물건입력'!$B$7)," ",REPT(" ",99)),99)),IF('02_대상물건입력'!B15="",TRUE(),ISNUMBER(SEARCH('02_대상물건입력'!B15,L1162)))),1,0))</f>
        <v/>
      </c>
      <c r="R1162" s="175">
        <f>IFERROR(ABS(E1162-'02_대상물건입력'!B11)/'02_대상물건입력'!B11,"")</f>
        <v/>
      </c>
      <c r="S1162" s="152">
        <f>IFERROR(ABS(J1162-'02_대상물건입력'!B10),"")</f>
        <v/>
      </c>
      <c r="T1162" s="152">
        <f>IFERROR(ABS('01_설정'!B4-F1162),"")</f>
        <v/>
      </c>
      <c r="U1162" s="152">
        <f>IFERROR(ABS(K1162-YEAR('02_대상물건입력'!B14)),"")</f>
        <v/>
      </c>
      <c r="V1162" s="152">
        <f>IF(B1162="","",IF(AND(E1162&gt;0,F1162&gt;0,H1162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1162=1,TRUE()),R1162&lt;='01_설정'!B5,S1162&lt;='01_설정'!B6,T1162&lt;='01_설정'!B7,U1162&lt;='01_설정'!B8),"Y",""))</f>
        <v/>
      </c>
      <c r="W1162" s="172">
        <f>IF(V1162&lt;&gt;"Y","",MAX(0,(1-R1162/'01_설정'!B5))*'01_설정'!B14+MAX(0,(1-S1162/'01_설정'!B6))*'01_설정'!B15+MAX(0,(1-T1162/'01_설정'!B7))*'01_설정'!B16+MAX(0,(1-U1162/'01_설정'!B8))*'01_설정'!B17+O1162*'01_설정'!B11+Q1162*'01_설정'!B12+P1162*'01_설정'!B13+IF(Z1162="",0,Z1162))</f>
        <v/>
      </c>
      <c r="X1162" s="152">
        <f>IF(W1162="","",1+COUNTIFS($W$4:$W$3003,"&gt;"&amp;W1162)+COUNTIFS($W$4:W1162,W1162)-1)</f>
        <v/>
      </c>
      <c r="Y1162" s="175">
        <f>IF(OR(I1162="",'02_대상물건입력'!B19="",'02_대상물건입력'!B19&lt;=0),"",ABS(I1162-'02_대상물건입력'!B19)/'02_대상물건입력'!B19)</f>
        <v/>
      </c>
      <c r="Z1162" s="172">
        <f>IF(OR(Y1162="",'01_설정'!B31="",'01_설정'!B31&lt;=0,'01_설정'!B32="",'01_설정'!B32&lt;=0),"",MAX(0,(1-Y1162/'01_설정'!B32))*'01_설정'!B31)</f>
        <v/>
      </c>
    </row>
    <row r="1163" ht="17.25" customHeight="1">
      <c r="A1163" s="152">
        <f>IF(INDEX('04A_국토부원자료'!$A:$A,ROW()+1)="","",ROW()-3)</f>
        <v/>
      </c>
      <c r="B1163" s="48">
        <f>IFERROR(INDEX('04A_국토부원자료'!$A:$T,ROW()+1,MATCH("시군구",'04A_국토부원자료'!$A$4:$T$4,0)),"")</f>
        <v/>
      </c>
      <c r="C1163" s="48">
        <f>IF(B1163="","",IFERROR(INDEX('04A_국토부원자료'!$A:$T,ROW()+1,MATCH("번지",'04A_국토부원자료'!$A$4:$T$4,0)),""))</f>
        <v/>
      </c>
      <c r="D1163" s="48">
        <f>IF(B1163="","",IF(Q1163=1,'02_대상물건입력'!$B$8,IFERROR(INDEX('04A_국토부원자료'!$A:$T,ROW()+1,MATCH("단지명",'04A_국토부원자료'!$A$4:$T$4,0)),"")))</f>
        <v/>
      </c>
      <c r="E1163" s="172">
        <f>IFERROR(VALUE(SUBSTITUTE(INDEX('04A_국토부원자료'!$A:$T,ROW()+1,MATCH("전용면적(㎡)",'04A_국토부원자료'!$A$4:$T$4,0)),",","")),"")</f>
        <v/>
      </c>
      <c r="F11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63" s="51">
        <f>IFERROR(VALUE(SUBSTITUTE(INDEX('04A_국토부원자료'!$A:$T,ROW()+1,MATCH("거래금액(만원)",'04A_국토부원자료'!$A$4:$T$4,0)),",","")),"")</f>
        <v/>
      </c>
      <c r="H1163" s="174">
        <f>IF(G1163="","",G1163*10000)</f>
        <v/>
      </c>
      <c r="I1163" s="174">
        <f>IFERROR(IF(AND(H1163&gt;0,E1163&gt;0),H1163/E1163,""),"")</f>
        <v/>
      </c>
      <c r="J1163" s="152">
        <f>IFERROR(VALUE(SUBSTITUTE(INDEX('04A_국토부원자료'!$A:$T,ROW()+1,MATCH("층",'04A_국토부원자료'!$A$4:$T$4,0)),",","")),"")</f>
        <v/>
      </c>
      <c r="K1163" s="152">
        <f>IFERROR(VALUE(SUBSTITUTE(INDEX('04A_국토부원자료'!$A:$T,ROW()+1,MATCH("건축년도",'04A_국토부원자료'!$A$4:$T$4,0)),",","")),"")</f>
        <v/>
      </c>
      <c r="L1163" s="176">
        <f>IFERROR(INDEX('04A_국토부원자료'!$A:$T,ROW()+1,MATCH("도로명",'04A_국토부원자료'!$A$4:$T$4,0)),"")</f>
        <v/>
      </c>
      <c r="M1163" s="48">
        <f>IFERROR(INDEX('04A_국토부원자료'!$A:$T,ROW()+1,MATCH("거래유형",'04A_국토부원자료'!$A$4:$T$4,0)),"")</f>
        <v/>
      </c>
      <c r="N1163" s="152">
        <f>IF(B1163="","",IF('02_대상물건입력'!B5="",1,IF(ISNUMBER(SEARCH('02_대상물건입력'!B5,B1163)),1,0)))</f>
        <v/>
      </c>
      <c r="O1163" s="152">
        <f>IF(B1163="","",IF('02_대상물건입력'!B6="",1,IF(ISNUMBER(SEARCH('02_대상물건입력'!B6,B1163)),1,0)))</f>
        <v/>
      </c>
      <c r="P1163" s="152">
        <f>IF(L1163="","",IF('02_대상물건입력'!B15="",0,IF(ISNUMBER(SEARCH('02_대상물건입력'!B15,L1163)),1,0)))</f>
        <v/>
      </c>
      <c r="Q1163" s="152">
        <f>IF(OR(C1163="",L1163=""),0,IF(AND(TRIM(C1163)=TRIM(RIGHT(SUBSTITUTE(TRIM('02_대상물건입력'!$B$7)," ",REPT(" ",99)),99)),IF('02_대상물건입력'!B15="",TRUE(),ISNUMBER(SEARCH('02_대상물건입력'!B15,L1163)))),1,0))</f>
        <v/>
      </c>
      <c r="R1163" s="175">
        <f>IFERROR(ABS(E1163-'02_대상물건입력'!B11)/'02_대상물건입력'!B11,"")</f>
        <v/>
      </c>
      <c r="S1163" s="152">
        <f>IFERROR(ABS(J1163-'02_대상물건입력'!B10),"")</f>
        <v/>
      </c>
      <c r="T1163" s="152">
        <f>IFERROR(ABS('01_설정'!B4-F1163),"")</f>
        <v/>
      </c>
      <c r="U1163" s="152">
        <f>IFERROR(ABS(K1163-YEAR('02_대상물건입력'!B14)),"")</f>
        <v/>
      </c>
      <c r="V1163" s="152">
        <f>IF(B1163="","",IF(AND(E1163&gt;0,F1163&gt;0,H1163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1163=1,TRUE()),R1163&lt;='01_설정'!B5,S1163&lt;='01_설정'!B6,T1163&lt;='01_설정'!B7,U1163&lt;='01_설정'!B8),"Y",""))</f>
        <v/>
      </c>
      <c r="W1163" s="172">
        <f>IF(V1163&lt;&gt;"Y","",MAX(0,(1-R1163/'01_설정'!B5))*'01_설정'!B14+MAX(0,(1-S1163/'01_설정'!B6))*'01_설정'!B15+MAX(0,(1-T1163/'01_설정'!B7))*'01_설정'!B16+MAX(0,(1-U1163/'01_설정'!B8))*'01_설정'!B17+O1163*'01_설정'!B11+Q1163*'01_설정'!B12+P1163*'01_설정'!B13+IF(Z1163="",0,Z1163))</f>
        <v/>
      </c>
      <c r="X1163" s="152">
        <f>IF(W1163="","",1+COUNTIFS($W$4:$W$3003,"&gt;"&amp;W1163)+COUNTIFS($W$4:W1163,W1163)-1)</f>
        <v/>
      </c>
      <c r="Y1163" s="175">
        <f>IF(OR(I1163="",'02_대상물건입력'!B19="",'02_대상물건입력'!B19&lt;=0),"",ABS(I1163-'02_대상물건입력'!B19)/'02_대상물건입력'!B19)</f>
        <v/>
      </c>
      <c r="Z1163" s="172">
        <f>IF(OR(Y1163="",'01_설정'!B31="",'01_설정'!B31&lt;=0,'01_설정'!B32="",'01_설정'!B32&lt;=0),"",MAX(0,(1-Y1163/'01_설정'!B32))*'01_설정'!B31)</f>
        <v/>
      </c>
    </row>
    <row r="1164" ht="17.25" customHeight="1">
      <c r="A1164" s="152">
        <f>IF(INDEX('04A_국토부원자료'!$A:$A,ROW()+1)="","",ROW()-3)</f>
        <v/>
      </c>
      <c r="B1164" s="48">
        <f>IFERROR(INDEX('04A_국토부원자료'!$A:$T,ROW()+1,MATCH("시군구",'04A_국토부원자료'!$A$4:$T$4,0)),"")</f>
        <v/>
      </c>
      <c r="C1164" s="48">
        <f>IF(B1164="","",IFERROR(INDEX('04A_국토부원자료'!$A:$T,ROW()+1,MATCH("번지",'04A_국토부원자료'!$A$4:$T$4,0)),""))</f>
        <v/>
      </c>
      <c r="D1164" s="48">
        <f>IF(B1164="","",IF(Q1164=1,'02_대상물건입력'!$B$8,IFERROR(INDEX('04A_국토부원자료'!$A:$T,ROW()+1,MATCH("단지명",'04A_국토부원자료'!$A$4:$T$4,0)),"")))</f>
        <v/>
      </c>
      <c r="E1164" s="172">
        <f>IFERROR(VALUE(SUBSTITUTE(INDEX('04A_국토부원자료'!$A:$T,ROW()+1,MATCH("전용면적(㎡)",'04A_국토부원자료'!$A$4:$T$4,0)),",","")),"")</f>
        <v/>
      </c>
      <c r="F11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64" s="51">
        <f>IFERROR(VALUE(SUBSTITUTE(INDEX('04A_국토부원자료'!$A:$T,ROW()+1,MATCH("거래금액(만원)",'04A_국토부원자료'!$A$4:$T$4,0)),",","")),"")</f>
        <v/>
      </c>
      <c r="H1164" s="174">
        <f>IF(G1164="","",G1164*10000)</f>
        <v/>
      </c>
      <c r="I1164" s="174">
        <f>IFERROR(IF(AND(H1164&gt;0,E1164&gt;0),H1164/E1164,""),"")</f>
        <v/>
      </c>
      <c r="J1164" s="152">
        <f>IFERROR(VALUE(SUBSTITUTE(INDEX('04A_국토부원자료'!$A:$T,ROW()+1,MATCH("층",'04A_국토부원자료'!$A$4:$T$4,0)),",","")),"")</f>
        <v/>
      </c>
      <c r="K1164" s="152">
        <f>IFERROR(VALUE(SUBSTITUTE(INDEX('04A_국토부원자료'!$A:$T,ROW()+1,MATCH("건축년도",'04A_국토부원자료'!$A$4:$T$4,0)),",","")),"")</f>
        <v/>
      </c>
      <c r="L1164" s="176">
        <f>IFERROR(INDEX('04A_국토부원자료'!$A:$T,ROW()+1,MATCH("도로명",'04A_국토부원자료'!$A$4:$T$4,0)),"")</f>
        <v/>
      </c>
      <c r="M1164" s="48">
        <f>IFERROR(INDEX('04A_국토부원자료'!$A:$T,ROW()+1,MATCH("거래유형",'04A_국토부원자료'!$A$4:$T$4,0)),"")</f>
        <v/>
      </c>
      <c r="N1164" s="152">
        <f>IF(B1164="","",IF('02_대상물건입력'!B5="",1,IF(ISNUMBER(SEARCH('02_대상물건입력'!B5,B1164)),1,0)))</f>
        <v/>
      </c>
      <c r="O1164" s="152">
        <f>IF(B1164="","",IF('02_대상물건입력'!B6="",1,IF(ISNUMBER(SEARCH('02_대상물건입력'!B6,B1164)),1,0)))</f>
        <v/>
      </c>
      <c r="P1164" s="152">
        <f>IF(L1164="","",IF('02_대상물건입력'!B15="",0,IF(ISNUMBER(SEARCH('02_대상물건입력'!B15,L1164)),1,0)))</f>
        <v/>
      </c>
      <c r="Q1164" s="152">
        <f>IF(OR(C1164="",L1164=""),0,IF(AND(TRIM(C1164)=TRIM(RIGHT(SUBSTITUTE(TRIM('02_대상물건입력'!$B$7)," ",REPT(" ",99)),99)),IF('02_대상물건입력'!B15="",TRUE(),ISNUMBER(SEARCH('02_대상물건입력'!B15,L1164)))),1,0))</f>
        <v/>
      </c>
      <c r="R1164" s="175">
        <f>IFERROR(ABS(E1164-'02_대상물건입력'!B11)/'02_대상물건입력'!B11,"")</f>
        <v/>
      </c>
      <c r="S1164" s="152">
        <f>IFERROR(ABS(J1164-'02_대상물건입력'!B10),"")</f>
        <v/>
      </c>
      <c r="T1164" s="152">
        <f>IFERROR(ABS('01_설정'!B4-F1164),"")</f>
        <v/>
      </c>
      <c r="U1164" s="152">
        <f>IFERROR(ABS(K1164-YEAR('02_대상물건입력'!B14)),"")</f>
        <v/>
      </c>
      <c r="V1164" s="152">
        <f>IF(B1164="","",IF(AND(E1164&gt;0,F1164&gt;0,H1164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1164=1,TRUE()),R1164&lt;='01_설정'!B5,S1164&lt;='01_설정'!B6,T1164&lt;='01_설정'!B7,U1164&lt;='01_설정'!B8),"Y",""))</f>
        <v/>
      </c>
      <c r="W1164" s="172">
        <f>IF(V1164&lt;&gt;"Y","",MAX(0,(1-R1164/'01_설정'!B5))*'01_설정'!B14+MAX(0,(1-S1164/'01_설정'!B6))*'01_설정'!B15+MAX(0,(1-T1164/'01_설정'!B7))*'01_설정'!B16+MAX(0,(1-U1164/'01_설정'!B8))*'01_설정'!B17+O1164*'01_설정'!B11+Q1164*'01_설정'!B12+P1164*'01_설정'!B13+IF(Z1164="",0,Z1164))</f>
        <v/>
      </c>
      <c r="X1164" s="152">
        <f>IF(W1164="","",1+COUNTIFS($W$4:$W$3003,"&gt;"&amp;W1164)+COUNTIFS($W$4:W1164,W1164)-1)</f>
        <v/>
      </c>
      <c r="Y1164" s="175">
        <f>IF(OR(I1164="",'02_대상물건입력'!B19="",'02_대상물건입력'!B19&lt;=0),"",ABS(I1164-'02_대상물건입력'!B19)/'02_대상물건입력'!B19)</f>
        <v/>
      </c>
      <c r="Z1164" s="172">
        <f>IF(OR(Y1164="",'01_설정'!B31="",'01_설정'!B31&lt;=0,'01_설정'!B32="",'01_설정'!B32&lt;=0),"",MAX(0,(1-Y1164/'01_설정'!B32))*'01_설정'!B31)</f>
        <v/>
      </c>
    </row>
    <row r="1165" ht="17.25" customHeight="1">
      <c r="A1165" s="152">
        <f>IF(INDEX('04A_국토부원자료'!$A:$A,ROW()+1)="","",ROW()-3)</f>
        <v/>
      </c>
      <c r="B1165" s="48">
        <f>IFERROR(INDEX('04A_국토부원자료'!$A:$T,ROW()+1,MATCH("시군구",'04A_국토부원자료'!$A$4:$T$4,0)),"")</f>
        <v/>
      </c>
      <c r="C1165" s="48">
        <f>IF(B1165="","",IFERROR(INDEX('04A_국토부원자료'!$A:$T,ROW()+1,MATCH("번지",'04A_국토부원자료'!$A$4:$T$4,0)),""))</f>
        <v/>
      </c>
      <c r="D1165" s="48">
        <f>IF(B1165="","",IF(Q1165=1,'02_대상물건입력'!$B$8,IFERROR(INDEX('04A_국토부원자료'!$A:$T,ROW()+1,MATCH("단지명",'04A_국토부원자료'!$A$4:$T$4,0)),"")))</f>
        <v/>
      </c>
      <c r="E1165" s="172">
        <f>IFERROR(VALUE(SUBSTITUTE(INDEX('04A_국토부원자료'!$A:$T,ROW()+1,MATCH("전용면적(㎡)",'04A_국토부원자료'!$A$4:$T$4,0)),",","")),"")</f>
        <v/>
      </c>
      <c r="F11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65" s="51">
        <f>IFERROR(VALUE(SUBSTITUTE(INDEX('04A_국토부원자료'!$A:$T,ROW()+1,MATCH("거래금액(만원)",'04A_국토부원자료'!$A$4:$T$4,0)),",","")),"")</f>
        <v/>
      </c>
      <c r="H1165" s="174">
        <f>IF(G1165="","",G1165*10000)</f>
        <v/>
      </c>
      <c r="I1165" s="174">
        <f>IFERROR(IF(AND(H1165&gt;0,E1165&gt;0),H1165/E1165,""),"")</f>
        <v/>
      </c>
      <c r="J1165" s="152">
        <f>IFERROR(VALUE(SUBSTITUTE(INDEX('04A_국토부원자료'!$A:$T,ROW()+1,MATCH("층",'04A_국토부원자료'!$A$4:$T$4,0)),",","")),"")</f>
        <v/>
      </c>
      <c r="K1165" s="152">
        <f>IFERROR(VALUE(SUBSTITUTE(INDEX('04A_국토부원자료'!$A:$T,ROW()+1,MATCH("건축년도",'04A_국토부원자료'!$A$4:$T$4,0)),",","")),"")</f>
        <v/>
      </c>
      <c r="L1165" s="176">
        <f>IFERROR(INDEX('04A_국토부원자료'!$A:$T,ROW()+1,MATCH("도로명",'04A_국토부원자료'!$A$4:$T$4,0)),"")</f>
        <v/>
      </c>
      <c r="M1165" s="48">
        <f>IFERROR(INDEX('04A_국토부원자료'!$A:$T,ROW()+1,MATCH("거래유형",'04A_국토부원자료'!$A$4:$T$4,0)),"")</f>
        <v/>
      </c>
      <c r="N1165" s="152">
        <f>IF(B1165="","",IF('02_대상물건입력'!B5="",1,IF(ISNUMBER(SEARCH('02_대상물건입력'!B5,B1165)),1,0)))</f>
        <v/>
      </c>
      <c r="O1165" s="152">
        <f>IF(B1165="","",IF('02_대상물건입력'!B6="",1,IF(ISNUMBER(SEARCH('02_대상물건입력'!B6,B1165)),1,0)))</f>
        <v/>
      </c>
      <c r="P1165" s="152">
        <f>IF(L1165="","",IF('02_대상물건입력'!B15="",0,IF(ISNUMBER(SEARCH('02_대상물건입력'!B15,L1165)),1,0)))</f>
        <v/>
      </c>
      <c r="Q1165" s="152">
        <f>IF(OR(C1165="",L1165=""),0,IF(AND(TRIM(C1165)=TRIM(RIGHT(SUBSTITUTE(TRIM('02_대상물건입력'!$B$7)," ",REPT(" ",99)),99)),IF('02_대상물건입력'!B15="",TRUE(),ISNUMBER(SEARCH('02_대상물건입력'!B15,L1165)))),1,0))</f>
        <v/>
      </c>
      <c r="R1165" s="175">
        <f>IFERROR(ABS(E1165-'02_대상물건입력'!B11)/'02_대상물건입력'!B11,"")</f>
        <v/>
      </c>
      <c r="S1165" s="152">
        <f>IFERROR(ABS(J1165-'02_대상물건입력'!B10),"")</f>
        <v/>
      </c>
      <c r="T1165" s="152">
        <f>IFERROR(ABS('01_설정'!B4-F1165),"")</f>
        <v/>
      </c>
      <c r="U1165" s="152">
        <f>IFERROR(ABS(K1165-YEAR('02_대상물건입력'!B14)),"")</f>
        <v/>
      </c>
      <c r="V1165" s="152">
        <f>IF(B1165="","",IF(AND(E1165&gt;0,F1165&gt;0,H1165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1165=1,TRUE()),R1165&lt;='01_설정'!B5,S1165&lt;='01_설정'!B6,T1165&lt;='01_설정'!B7,U1165&lt;='01_설정'!B8),"Y",""))</f>
        <v/>
      </c>
      <c r="W1165" s="172">
        <f>IF(V1165&lt;&gt;"Y","",MAX(0,(1-R1165/'01_설정'!B5))*'01_설정'!B14+MAX(0,(1-S1165/'01_설정'!B6))*'01_설정'!B15+MAX(0,(1-T1165/'01_설정'!B7))*'01_설정'!B16+MAX(0,(1-U1165/'01_설정'!B8))*'01_설정'!B17+O1165*'01_설정'!B11+Q1165*'01_설정'!B12+P1165*'01_설정'!B13+IF(Z1165="",0,Z1165))</f>
        <v/>
      </c>
      <c r="X1165" s="152">
        <f>IF(W1165="","",1+COUNTIFS($W$4:$W$3003,"&gt;"&amp;W1165)+COUNTIFS($W$4:W1165,W1165)-1)</f>
        <v/>
      </c>
      <c r="Y1165" s="175">
        <f>IF(OR(I1165="",'02_대상물건입력'!B19="",'02_대상물건입력'!B19&lt;=0),"",ABS(I1165-'02_대상물건입력'!B19)/'02_대상물건입력'!B19)</f>
        <v/>
      </c>
      <c r="Z1165" s="172">
        <f>IF(OR(Y1165="",'01_설정'!B31="",'01_설정'!B31&lt;=0,'01_설정'!B32="",'01_설정'!B32&lt;=0),"",MAX(0,(1-Y1165/'01_설정'!B32))*'01_설정'!B31)</f>
        <v/>
      </c>
    </row>
    <row r="1166" ht="17.25" customHeight="1">
      <c r="A1166" s="152">
        <f>IF(INDEX('04A_국토부원자료'!$A:$A,ROW()+1)="","",ROW()-3)</f>
        <v/>
      </c>
      <c r="B1166" s="48">
        <f>IFERROR(INDEX('04A_국토부원자료'!$A:$T,ROW()+1,MATCH("시군구",'04A_국토부원자료'!$A$4:$T$4,0)),"")</f>
        <v/>
      </c>
      <c r="C1166" s="48">
        <f>IF(B1166="","",IFERROR(INDEX('04A_국토부원자료'!$A:$T,ROW()+1,MATCH("번지",'04A_국토부원자료'!$A$4:$T$4,0)),""))</f>
        <v/>
      </c>
      <c r="D1166" s="48">
        <f>IF(B1166="","",IF(Q1166=1,'02_대상물건입력'!$B$8,IFERROR(INDEX('04A_국토부원자료'!$A:$T,ROW()+1,MATCH("단지명",'04A_국토부원자료'!$A$4:$T$4,0)),"")))</f>
        <v/>
      </c>
      <c r="E1166" s="172">
        <f>IFERROR(VALUE(SUBSTITUTE(INDEX('04A_국토부원자료'!$A:$T,ROW()+1,MATCH("전용면적(㎡)",'04A_국토부원자료'!$A$4:$T$4,0)),",","")),"")</f>
        <v/>
      </c>
      <c r="F11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66" s="51">
        <f>IFERROR(VALUE(SUBSTITUTE(INDEX('04A_국토부원자료'!$A:$T,ROW()+1,MATCH("거래금액(만원)",'04A_국토부원자료'!$A$4:$T$4,0)),",","")),"")</f>
        <v/>
      </c>
      <c r="H1166" s="174">
        <f>IF(G1166="","",G1166*10000)</f>
        <v/>
      </c>
      <c r="I1166" s="174">
        <f>IFERROR(IF(AND(H1166&gt;0,E1166&gt;0),H1166/E1166,""),"")</f>
        <v/>
      </c>
      <c r="J1166" s="152">
        <f>IFERROR(VALUE(SUBSTITUTE(INDEX('04A_국토부원자료'!$A:$T,ROW()+1,MATCH("층",'04A_국토부원자료'!$A$4:$T$4,0)),",","")),"")</f>
        <v/>
      </c>
      <c r="K1166" s="152">
        <f>IFERROR(VALUE(SUBSTITUTE(INDEX('04A_국토부원자료'!$A:$T,ROW()+1,MATCH("건축년도",'04A_국토부원자료'!$A$4:$T$4,0)),",","")),"")</f>
        <v/>
      </c>
      <c r="L1166" s="176">
        <f>IFERROR(INDEX('04A_국토부원자료'!$A:$T,ROW()+1,MATCH("도로명",'04A_국토부원자료'!$A$4:$T$4,0)),"")</f>
        <v/>
      </c>
      <c r="M1166" s="48">
        <f>IFERROR(INDEX('04A_국토부원자료'!$A:$T,ROW()+1,MATCH("거래유형",'04A_국토부원자료'!$A$4:$T$4,0)),"")</f>
        <v/>
      </c>
      <c r="N1166" s="152">
        <f>IF(B1166="","",IF('02_대상물건입력'!B5="",1,IF(ISNUMBER(SEARCH('02_대상물건입력'!B5,B1166)),1,0)))</f>
        <v/>
      </c>
      <c r="O1166" s="152">
        <f>IF(B1166="","",IF('02_대상물건입력'!B6="",1,IF(ISNUMBER(SEARCH('02_대상물건입력'!B6,B1166)),1,0)))</f>
        <v/>
      </c>
      <c r="P1166" s="152">
        <f>IF(L1166="","",IF('02_대상물건입력'!B15="",0,IF(ISNUMBER(SEARCH('02_대상물건입력'!B15,L1166)),1,0)))</f>
        <v/>
      </c>
      <c r="Q1166" s="152">
        <f>IF(OR(C1166="",L1166=""),0,IF(AND(TRIM(C1166)=TRIM(RIGHT(SUBSTITUTE(TRIM('02_대상물건입력'!$B$7)," ",REPT(" ",99)),99)),IF('02_대상물건입력'!B15="",TRUE(),ISNUMBER(SEARCH('02_대상물건입력'!B15,L1166)))),1,0))</f>
        <v/>
      </c>
      <c r="R1166" s="175">
        <f>IFERROR(ABS(E1166-'02_대상물건입력'!B11)/'02_대상물건입력'!B11,"")</f>
        <v/>
      </c>
      <c r="S1166" s="152">
        <f>IFERROR(ABS(J1166-'02_대상물건입력'!B10),"")</f>
        <v/>
      </c>
      <c r="T1166" s="152">
        <f>IFERROR(ABS('01_설정'!B4-F1166),"")</f>
        <v/>
      </c>
      <c r="U1166" s="152">
        <f>IFERROR(ABS(K1166-YEAR('02_대상물건입력'!B14)),"")</f>
        <v/>
      </c>
      <c r="V1166" s="152">
        <f>IF(B1166="","",IF(AND(E1166&gt;0,F1166&gt;0,H1166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1166=1,TRUE()),R1166&lt;='01_설정'!B5,S1166&lt;='01_설정'!B6,T1166&lt;='01_설정'!B7,U1166&lt;='01_설정'!B8),"Y",""))</f>
        <v/>
      </c>
      <c r="W1166" s="172">
        <f>IF(V1166&lt;&gt;"Y","",MAX(0,(1-R1166/'01_설정'!B5))*'01_설정'!B14+MAX(0,(1-S1166/'01_설정'!B6))*'01_설정'!B15+MAX(0,(1-T1166/'01_설정'!B7))*'01_설정'!B16+MAX(0,(1-U1166/'01_설정'!B8))*'01_설정'!B17+O1166*'01_설정'!B11+Q1166*'01_설정'!B12+P1166*'01_설정'!B13+IF(Z1166="",0,Z1166))</f>
        <v/>
      </c>
      <c r="X1166" s="152">
        <f>IF(W1166="","",1+COUNTIFS($W$4:$W$3003,"&gt;"&amp;W1166)+COUNTIFS($W$4:W1166,W1166)-1)</f>
        <v/>
      </c>
      <c r="Y1166" s="175">
        <f>IF(OR(I1166="",'02_대상물건입력'!B19="",'02_대상물건입력'!B19&lt;=0),"",ABS(I1166-'02_대상물건입력'!B19)/'02_대상물건입력'!B19)</f>
        <v/>
      </c>
      <c r="Z1166" s="172">
        <f>IF(OR(Y1166="",'01_설정'!B31="",'01_설정'!B31&lt;=0,'01_설정'!B32="",'01_설정'!B32&lt;=0),"",MAX(0,(1-Y1166/'01_설정'!B32))*'01_설정'!B31)</f>
        <v/>
      </c>
    </row>
    <row r="1167" ht="17.25" customHeight="1">
      <c r="A1167" s="152">
        <f>IF(INDEX('04A_국토부원자료'!$A:$A,ROW()+1)="","",ROW()-3)</f>
        <v/>
      </c>
      <c r="B1167" s="48">
        <f>IFERROR(INDEX('04A_국토부원자료'!$A:$T,ROW()+1,MATCH("시군구",'04A_국토부원자료'!$A$4:$T$4,0)),"")</f>
        <v/>
      </c>
      <c r="C1167" s="48">
        <f>IF(B1167="","",IFERROR(INDEX('04A_국토부원자료'!$A:$T,ROW()+1,MATCH("번지",'04A_국토부원자료'!$A$4:$T$4,0)),""))</f>
        <v/>
      </c>
      <c r="D1167" s="48">
        <f>IF(B1167="","",IF(Q1167=1,'02_대상물건입력'!$B$8,IFERROR(INDEX('04A_국토부원자료'!$A:$T,ROW()+1,MATCH("단지명",'04A_국토부원자료'!$A$4:$T$4,0)),"")))</f>
        <v/>
      </c>
      <c r="E1167" s="172">
        <f>IFERROR(VALUE(SUBSTITUTE(INDEX('04A_국토부원자료'!$A:$T,ROW()+1,MATCH("전용면적(㎡)",'04A_국토부원자료'!$A$4:$T$4,0)),",","")),"")</f>
        <v/>
      </c>
      <c r="F11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67" s="51">
        <f>IFERROR(VALUE(SUBSTITUTE(INDEX('04A_국토부원자료'!$A:$T,ROW()+1,MATCH("거래금액(만원)",'04A_국토부원자료'!$A$4:$T$4,0)),",","")),"")</f>
        <v/>
      </c>
      <c r="H1167" s="174">
        <f>IF(G1167="","",G1167*10000)</f>
        <v/>
      </c>
      <c r="I1167" s="174">
        <f>IFERROR(IF(AND(H1167&gt;0,E1167&gt;0),H1167/E1167,""),"")</f>
        <v/>
      </c>
      <c r="J1167" s="152">
        <f>IFERROR(VALUE(SUBSTITUTE(INDEX('04A_국토부원자료'!$A:$T,ROW()+1,MATCH("층",'04A_국토부원자료'!$A$4:$T$4,0)),",","")),"")</f>
        <v/>
      </c>
      <c r="K1167" s="152">
        <f>IFERROR(VALUE(SUBSTITUTE(INDEX('04A_국토부원자료'!$A:$T,ROW()+1,MATCH("건축년도",'04A_국토부원자료'!$A$4:$T$4,0)),",","")),"")</f>
        <v/>
      </c>
      <c r="L1167" s="176">
        <f>IFERROR(INDEX('04A_국토부원자료'!$A:$T,ROW()+1,MATCH("도로명",'04A_국토부원자료'!$A$4:$T$4,0)),"")</f>
        <v/>
      </c>
      <c r="M1167" s="48">
        <f>IFERROR(INDEX('04A_국토부원자료'!$A:$T,ROW()+1,MATCH("거래유형",'04A_국토부원자료'!$A$4:$T$4,0)),"")</f>
        <v/>
      </c>
      <c r="N1167" s="152">
        <f>IF(B1167="","",IF('02_대상물건입력'!B5="",1,IF(ISNUMBER(SEARCH('02_대상물건입력'!B5,B1167)),1,0)))</f>
        <v/>
      </c>
      <c r="O1167" s="152">
        <f>IF(B1167="","",IF('02_대상물건입력'!B6="",1,IF(ISNUMBER(SEARCH('02_대상물건입력'!B6,B1167)),1,0)))</f>
        <v/>
      </c>
      <c r="P1167" s="152">
        <f>IF(L1167="","",IF('02_대상물건입력'!B15="",0,IF(ISNUMBER(SEARCH('02_대상물건입력'!B15,L1167)),1,0)))</f>
        <v/>
      </c>
      <c r="Q1167" s="152">
        <f>IF(OR(C1167="",L1167=""),0,IF(AND(TRIM(C1167)=TRIM(RIGHT(SUBSTITUTE(TRIM('02_대상물건입력'!$B$7)," ",REPT(" ",99)),99)),IF('02_대상물건입력'!B15="",TRUE(),ISNUMBER(SEARCH('02_대상물건입력'!B15,L1167)))),1,0))</f>
        <v/>
      </c>
      <c r="R1167" s="175">
        <f>IFERROR(ABS(E1167-'02_대상물건입력'!B11)/'02_대상물건입력'!B11,"")</f>
        <v/>
      </c>
      <c r="S1167" s="152">
        <f>IFERROR(ABS(J1167-'02_대상물건입력'!B10),"")</f>
        <v/>
      </c>
      <c r="T1167" s="152">
        <f>IFERROR(ABS('01_설정'!B4-F1167),"")</f>
        <v/>
      </c>
      <c r="U1167" s="152">
        <f>IFERROR(ABS(K1167-YEAR('02_대상물건입력'!B14)),"")</f>
        <v/>
      </c>
      <c r="V1167" s="152">
        <f>IF(B1167="","",IF(AND(E1167&gt;0,F1167&gt;0,H1167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1167=1,TRUE()),R1167&lt;='01_설정'!B5,S1167&lt;='01_설정'!B6,T1167&lt;='01_설정'!B7,U1167&lt;='01_설정'!B8),"Y",""))</f>
        <v/>
      </c>
      <c r="W1167" s="172">
        <f>IF(V1167&lt;&gt;"Y","",MAX(0,(1-R1167/'01_설정'!B5))*'01_설정'!B14+MAX(0,(1-S1167/'01_설정'!B6))*'01_설정'!B15+MAX(0,(1-T1167/'01_설정'!B7))*'01_설정'!B16+MAX(0,(1-U1167/'01_설정'!B8))*'01_설정'!B17+O1167*'01_설정'!B11+Q1167*'01_설정'!B12+P1167*'01_설정'!B13+IF(Z1167="",0,Z1167))</f>
        <v/>
      </c>
      <c r="X1167" s="152">
        <f>IF(W1167="","",1+COUNTIFS($W$4:$W$3003,"&gt;"&amp;W1167)+COUNTIFS($W$4:W1167,W1167)-1)</f>
        <v/>
      </c>
      <c r="Y1167" s="175">
        <f>IF(OR(I1167="",'02_대상물건입력'!B19="",'02_대상물건입력'!B19&lt;=0),"",ABS(I1167-'02_대상물건입력'!B19)/'02_대상물건입력'!B19)</f>
        <v/>
      </c>
      <c r="Z1167" s="172">
        <f>IF(OR(Y1167="",'01_설정'!B31="",'01_설정'!B31&lt;=0,'01_설정'!B32="",'01_설정'!B32&lt;=0),"",MAX(0,(1-Y1167/'01_설정'!B32))*'01_설정'!B31)</f>
        <v/>
      </c>
    </row>
    <row r="1168" ht="17.25" customHeight="1">
      <c r="A1168" s="152">
        <f>IF(INDEX('04A_국토부원자료'!$A:$A,ROW()+1)="","",ROW()-3)</f>
        <v/>
      </c>
      <c r="B1168" s="48">
        <f>IFERROR(INDEX('04A_국토부원자료'!$A:$T,ROW()+1,MATCH("시군구",'04A_국토부원자료'!$A$4:$T$4,0)),"")</f>
        <v/>
      </c>
      <c r="C1168" s="48">
        <f>IF(B1168="","",IFERROR(INDEX('04A_국토부원자료'!$A:$T,ROW()+1,MATCH("번지",'04A_국토부원자료'!$A$4:$T$4,0)),""))</f>
        <v/>
      </c>
      <c r="D1168" s="48">
        <f>IF(B1168="","",IF(Q1168=1,'02_대상물건입력'!$B$8,IFERROR(INDEX('04A_국토부원자료'!$A:$T,ROW()+1,MATCH("단지명",'04A_국토부원자료'!$A$4:$T$4,0)),"")))</f>
        <v/>
      </c>
      <c r="E1168" s="172">
        <f>IFERROR(VALUE(SUBSTITUTE(INDEX('04A_국토부원자료'!$A:$T,ROW()+1,MATCH("전용면적(㎡)",'04A_국토부원자료'!$A$4:$T$4,0)),",","")),"")</f>
        <v/>
      </c>
      <c r="F11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68" s="51">
        <f>IFERROR(VALUE(SUBSTITUTE(INDEX('04A_국토부원자료'!$A:$T,ROW()+1,MATCH("거래금액(만원)",'04A_국토부원자료'!$A$4:$T$4,0)),",","")),"")</f>
        <v/>
      </c>
      <c r="H1168" s="174">
        <f>IF(G1168="","",G1168*10000)</f>
        <v/>
      </c>
      <c r="I1168" s="174">
        <f>IFERROR(IF(AND(H1168&gt;0,E1168&gt;0),H1168/E1168,""),"")</f>
        <v/>
      </c>
      <c r="J1168" s="152">
        <f>IFERROR(VALUE(SUBSTITUTE(INDEX('04A_국토부원자료'!$A:$T,ROW()+1,MATCH("층",'04A_국토부원자료'!$A$4:$T$4,0)),",","")),"")</f>
        <v/>
      </c>
      <c r="K1168" s="152">
        <f>IFERROR(VALUE(SUBSTITUTE(INDEX('04A_국토부원자료'!$A:$T,ROW()+1,MATCH("건축년도",'04A_국토부원자료'!$A$4:$T$4,0)),",","")),"")</f>
        <v/>
      </c>
      <c r="L1168" s="176">
        <f>IFERROR(INDEX('04A_국토부원자료'!$A:$T,ROW()+1,MATCH("도로명",'04A_국토부원자료'!$A$4:$T$4,0)),"")</f>
        <v/>
      </c>
      <c r="M1168" s="48">
        <f>IFERROR(INDEX('04A_국토부원자료'!$A:$T,ROW()+1,MATCH("거래유형",'04A_국토부원자료'!$A$4:$T$4,0)),"")</f>
        <v/>
      </c>
      <c r="N1168" s="152">
        <f>IF(B1168="","",IF('02_대상물건입력'!B5="",1,IF(ISNUMBER(SEARCH('02_대상물건입력'!B5,B1168)),1,0)))</f>
        <v/>
      </c>
      <c r="O1168" s="152">
        <f>IF(B1168="","",IF('02_대상물건입력'!B6="",1,IF(ISNUMBER(SEARCH('02_대상물건입력'!B6,B1168)),1,0)))</f>
        <v/>
      </c>
      <c r="P1168" s="152">
        <f>IF(L1168="","",IF('02_대상물건입력'!B15="",0,IF(ISNUMBER(SEARCH('02_대상물건입력'!B15,L1168)),1,0)))</f>
        <v/>
      </c>
      <c r="Q1168" s="152">
        <f>IF(OR(C1168="",L1168=""),0,IF(AND(TRIM(C1168)=TRIM(RIGHT(SUBSTITUTE(TRIM('02_대상물건입력'!$B$7)," ",REPT(" ",99)),99)),IF('02_대상물건입력'!B15="",TRUE(),ISNUMBER(SEARCH('02_대상물건입력'!B15,L1168)))),1,0))</f>
        <v/>
      </c>
      <c r="R1168" s="175">
        <f>IFERROR(ABS(E1168-'02_대상물건입력'!B11)/'02_대상물건입력'!B11,"")</f>
        <v/>
      </c>
      <c r="S1168" s="152">
        <f>IFERROR(ABS(J1168-'02_대상물건입력'!B10),"")</f>
        <v/>
      </c>
      <c r="T1168" s="152">
        <f>IFERROR(ABS('01_설정'!B4-F1168),"")</f>
        <v/>
      </c>
      <c r="U1168" s="152">
        <f>IFERROR(ABS(K1168-YEAR('02_대상물건입력'!B14)),"")</f>
        <v/>
      </c>
      <c r="V1168" s="152">
        <f>IF(B1168="","",IF(AND(E1168&gt;0,F1168&gt;0,H1168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1168=1,TRUE()),R1168&lt;='01_설정'!B5,S1168&lt;='01_설정'!B6,T1168&lt;='01_설정'!B7,U1168&lt;='01_설정'!B8),"Y",""))</f>
        <v/>
      </c>
      <c r="W1168" s="172">
        <f>IF(V1168&lt;&gt;"Y","",MAX(0,(1-R1168/'01_설정'!B5))*'01_설정'!B14+MAX(0,(1-S1168/'01_설정'!B6))*'01_설정'!B15+MAX(0,(1-T1168/'01_설정'!B7))*'01_설정'!B16+MAX(0,(1-U1168/'01_설정'!B8))*'01_설정'!B17+O1168*'01_설정'!B11+Q1168*'01_설정'!B12+P1168*'01_설정'!B13+IF(Z1168="",0,Z1168))</f>
        <v/>
      </c>
      <c r="X1168" s="152">
        <f>IF(W1168="","",1+COUNTIFS($W$4:$W$3003,"&gt;"&amp;W1168)+COUNTIFS($W$4:W1168,W1168)-1)</f>
        <v/>
      </c>
      <c r="Y1168" s="175">
        <f>IF(OR(I1168="",'02_대상물건입력'!B19="",'02_대상물건입력'!B19&lt;=0),"",ABS(I1168-'02_대상물건입력'!B19)/'02_대상물건입력'!B19)</f>
        <v/>
      </c>
      <c r="Z1168" s="172">
        <f>IF(OR(Y1168="",'01_설정'!B31="",'01_설정'!B31&lt;=0,'01_설정'!B32="",'01_설정'!B32&lt;=0),"",MAX(0,(1-Y1168/'01_설정'!B32))*'01_설정'!B31)</f>
        <v/>
      </c>
    </row>
    <row r="1169" ht="17.25" customHeight="1">
      <c r="A1169" s="152">
        <f>IF(INDEX('04A_국토부원자료'!$A:$A,ROW()+1)="","",ROW()-3)</f>
        <v/>
      </c>
      <c r="B1169" s="48">
        <f>IFERROR(INDEX('04A_국토부원자료'!$A:$T,ROW()+1,MATCH("시군구",'04A_국토부원자료'!$A$4:$T$4,0)),"")</f>
        <v/>
      </c>
      <c r="C1169" s="48">
        <f>IF(B1169="","",IFERROR(INDEX('04A_국토부원자료'!$A:$T,ROW()+1,MATCH("번지",'04A_국토부원자료'!$A$4:$T$4,0)),""))</f>
        <v/>
      </c>
      <c r="D1169" s="48">
        <f>IF(B1169="","",IF(Q1169=1,'02_대상물건입력'!$B$8,IFERROR(INDEX('04A_국토부원자료'!$A:$T,ROW()+1,MATCH("단지명",'04A_국토부원자료'!$A$4:$T$4,0)),"")))</f>
        <v/>
      </c>
      <c r="E1169" s="172">
        <f>IFERROR(VALUE(SUBSTITUTE(INDEX('04A_국토부원자료'!$A:$T,ROW()+1,MATCH("전용면적(㎡)",'04A_국토부원자료'!$A$4:$T$4,0)),",","")),"")</f>
        <v/>
      </c>
      <c r="F11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69" s="51">
        <f>IFERROR(VALUE(SUBSTITUTE(INDEX('04A_국토부원자료'!$A:$T,ROW()+1,MATCH("거래금액(만원)",'04A_국토부원자료'!$A$4:$T$4,0)),",","")),"")</f>
        <v/>
      </c>
      <c r="H1169" s="174">
        <f>IF(G1169="","",G1169*10000)</f>
        <v/>
      </c>
      <c r="I1169" s="174">
        <f>IFERROR(IF(AND(H1169&gt;0,E1169&gt;0),H1169/E1169,""),"")</f>
        <v/>
      </c>
      <c r="J1169" s="152">
        <f>IFERROR(VALUE(SUBSTITUTE(INDEX('04A_국토부원자료'!$A:$T,ROW()+1,MATCH("층",'04A_국토부원자료'!$A$4:$T$4,0)),",","")),"")</f>
        <v/>
      </c>
      <c r="K1169" s="152">
        <f>IFERROR(VALUE(SUBSTITUTE(INDEX('04A_국토부원자료'!$A:$T,ROW()+1,MATCH("건축년도",'04A_국토부원자료'!$A$4:$T$4,0)),",","")),"")</f>
        <v/>
      </c>
      <c r="L1169" s="176">
        <f>IFERROR(INDEX('04A_국토부원자료'!$A:$T,ROW()+1,MATCH("도로명",'04A_국토부원자료'!$A$4:$T$4,0)),"")</f>
        <v/>
      </c>
      <c r="M1169" s="48">
        <f>IFERROR(INDEX('04A_국토부원자료'!$A:$T,ROW()+1,MATCH("거래유형",'04A_국토부원자료'!$A$4:$T$4,0)),"")</f>
        <v/>
      </c>
      <c r="N1169" s="152">
        <f>IF(B1169="","",IF('02_대상물건입력'!B5="",1,IF(ISNUMBER(SEARCH('02_대상물건입력'!B5,B1169)),1,0)))</f>
        <v/>
      </c>
      <c r="O1169" s="152">
        <f>IF(B1169="","",IF('02_대상물건입력'!B6="",1,IF(ISNUMBER(SEARCH('02_대상물건입력'!B6,B1169)),1,0)))</f>
        <v/>
      </c>
      <c r="P1169" s="152">
        <f>IF(L1169="","",IF('02_대상물건입력'!B15="",0,IF(ISNUMBER(SEARCH('02_대상물건입력'!B15,L1169)),1,0)))</f>
        <v/>
      </c>
      <c r="Q1169" s="152">
        <f>IF(OR(C1169="",L1169=""),0,IF(AND(TRIM(C1169)=TRIM(RIGHT(SUBSTITUTE(TRIM('02_대상물건입력'!$B$7)," ",REPT(" ",99)),99)),IF('02_대상물건입력'!B15="",TRUE(),ISNUMBER(SEARCH('02_대상물건입력'!B15,L1169)))),1,0))</f>
        <v/>
      </c>
      <c r="R1169" s="175">
        <f>IFERROR(ABS(E1169-'02_대상물건입력'!B11)/'02_대상물건입력'!B11,"")</f>
        <v/>
      </c>
      <c r="S1169" s="152">
        <f>IFERROR(ABS(J1169-'02_대상물건입력'!B10),"")</f>
        <v/>
      </c>
      <c r="T1169" s="152">
        <f>IFERROR(ABS('01_설정'!B4-F1169),"")</f>
        <v/>
      </c>
      <c r="U1169" s="152">
        <f>IFERROR(ABS(K1169-YEAR('02_대상물건입력'!B14)),"")</f>
        <v/>
      </c>
      <c r="V1169" s="152">
        <f>IF(B1169="","",IF(AND(E1169&gt;0,F1169&gt;0,H1169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1169=1,TRUE()),R1169&lt;='01_설정'!B5,S1169&lt;='01_설정'!B6,T1169&lt;='01_설정'!B7,U1169&lt;='01_설정'!B8),"Y",""))</f>
        <v/>
      </c>
      <c r="W1169" s="172">
        <f>IF(V1169&lt;&gt;"Y","",MAX(0,(1-R1169/'01_설정'!B5))*'01_설정'!B14+MAX(0,(1-S1169/'01_설정'!B6))*'01_설정'!B15+MAX(0,(1-T1169/'01_설정'!B7))*'01_설정'!B16+MAX(0,(1-U1169/'01_설정'!B8))*'01_설정'!B17+O1169*'01_설정'!B11+Q1169*'01_설정'!B12+P1169*'01_설정'!B13+IF(Z1169="",0,Z1169))</f>
        <v/>
      </c>
      <c r="X1169" s="152">
        <f>IF(W1169="","",1+COUNTIFS($W$4:$W$3003,"&gt;"&amp;W1169)+COUNTIFS($W$4:W1169,W1169)-1)</f>
        <v/>
      </c>
      <c r="Y1169" s="175">
        <f>IF(OR(I1169="",'02_대상물건입력'!B19="",'02_대상물건입력'!B19&lt;=0),"",ABS(I1169-'02_대상물건입력'!B19)/'02_대상물건입력'!B19)</f>
        <v/>
      </c>
      <c r="Z1169" s="172">
        <f>IF(OR(Y1169="",'01_설정'!B31="",'01_설정'!B31&lt;=0,'01_설정'!B32="",'01_설정'!B32&lt;=0),"",MAX(0,(1-Y1169/'01_설정'!B32))*'01_설정'!B31)</f>
        <v/>
      </c>
    </row>
    <row r="1170" ht="17.25" customHeight="1">
      <c r="A1170" s="152">
        <f>IF(INDEX('04A_국토부원자료'!$A:$A,ROW()+1)="","",ROW()-3)</f>
        <v/>
      </c>
      <c r="B1170" s="48">
        <f>IFERROR(INDEX('04A_국토부원자료'!$A:$T,ROW()+1,MATCH("시군구",'04A_국토부원자료'!$A$4:$T$4,0)),"")</f>
        <v/>
      </c>
      <c r="C1170" s="48">
        <f>IF(B1170="","",IFERROR(INDEX('04A_국토부원자료'!$A:$T,ROW()+1,MATCH("번지",'04A_국토부원자료'!$A$4:$T$4,0)),""))</f>
        <v/>
      </c>
      <c r="D1170" s="48">
        <f>IF(B1170="","",IF(Q1170=1,'02_대상물건입력'!$B$8,IFERROR(INDEX('04A_국토부원자료'!$A:$T,ROW()+1,MATCH("단지명",'04A_국토부원자료'!$A$4:$T$4,0)),"")))</f>
        <v/>
      </c>
      <c r="E1170" s="172">
        <f>IFERROR(VALUE(SUBSTITUTE(INDEX('04A_국토부원자료'!$A:$T,ROW()+1,MATCH("전용면적(㎡)",'04A_국토부원자료'!$A$4:$T$4,0)),",","")),"")</f>
        <v/>
      </c>
      <c r="F11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70" s="51">
        <f>IFERROR(VALUE(SUBSTITUTE(INDEX('04A_국토부원자료'!$A:$T,ROW()+1,MATCH("거래금액(만원)",'04A_국토부원자료'!$A$4:$T$4,0)),",","")),"")</f>
        <v/>
      </c>
      <c r="H1170" s="174">
        <f>IF(G1170="","",G1170*10000)</f>
        <v/>
      </c>
      <c r="I1170" s="174">
        <f>IFERROR(IF(AND(H1170&gt;0,E1170&gt;0),H1170/E1170,""),"")</f>
        <v/>
      </c>
      <c r="J1170" s="152">
        <f>IFERROR(VALUE(SUBSTITUTE(INDEX('04A_국토부원자료'!$A:$T,ROW()+1,MATCH("층",'04A_국토부원자료'!$A$4:$T$4,0)),",","")),"")</f>
        <v/>
      </c>
      <c r="K1170" s="152">
        <f>IFERROR(VALUE(SUBSTITUTE(INDEX('04A_국토부원자료'!$A:$T,ROW()+1,MATCH("건축년도",'04A_국토부원자료'!$A$4:$T$4,0)),",","")),"")</f>
        <v/>
      </c>
      <c r="L1170" s="176">
        <f>IFERROR(INDEX('04A_국토부원자료'!$A:$T,ROW()+1,MATCH("도로명",'04A_국토부원자료'!$A$4:$T$4,0)),"")</f>
        <v/>
      </c>
      <c r="M1170" s="48">
        <f>IFERROR(INDEX('04A_국토부원자료'!$A:$T,ROW()+1,MATCH("거래유형",'04A_국토부원자료'!$A$4:$T$4,0)),"")</f>
        <v/>
      </c>
      <c r="N1170" s="152">
        <f>IF(B1170="","",IF('02_대상물건입력'!B5="",1,IF(ISNUMBER(SEARCH('02_대상물건입력'!B5,B1170)),1,0)))</f>
        <v/>
      </c>
      <c r="O1170" s="152">
        <f>IF(B1170="","",IF('02_대상물건입력'!B6="",1,IF(ISNUMBER(SEARCH('02_대상물건입력'!B6,B1170)),1,0)))</f>
        <v/>
      </c>
      <c r="P1170" s="152">
        <f>IF(L1170="","",IF('02_대상물건입력'!B15="",0,IF(ISNUMBER(SEARCH('02_대상물건입력'!B15,L1170)),1,0)))</f>
        <v/>
      </c>
      <c r="Q1170" s="152">
        <f>IF(OR(C1170="",L1170=""),0,IF(AND(TRIM(C1170)=TRIM(RIGHT(SUBSTITUTE(TRIM('02_대상물건입력'!$B$7)," ",REPT(" ",99)),99)),IF('02_대상물건입력'!B15="",TRUE(),ISNUMBER(SEARCH('02_대상물건입력'!B15,L1170)))),1,0))</f>
        <v/>
      </c>
      <c r="R1170" s="175">
        <f>IFERROR(ABS(E1170-'02_대상물건입력'!B11)/'02_대상물건입력'!B11,"")</f>
        <v/>
      </c>
      <c r="S1170" s="152">
        <f>IFERROR(ABS(J1170-'02_대상물건입력'!B10),"")</f>
        <v/>
      </c>
      <c r="T1170" s="152">
        <f>IFERROR(ABS('01_설정'!B4-F1170),"")</f>
        <v/>
      </c>
      <c r="U1170" s="152">
        <f>IFERROR(ABS(K1170-YEAR('02_대상물건입력'!B14)),"")</f>
        <v/>
      </c>
      <c r="V1170" s="152">
        <f>IF(B1170="","",IF(AND(E1170&gt;0,F1170&gt;0,H1170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1170=1,TRUE()),R1170&lt;='01_설정'!B5,S1170&lt;='01_설정'!B6,T1170&lt;='01_설정'!B7,U1170&lt;='01_설정'!B8),"Y",""))</f>
        <v/>
      </c>
      <c r="W1170" s="172">
        <f>IF(V1170&lt;&gt;"Y","",MAX(0,(1-R1170/'01_설정'!B5))*'01_설정'!B14+MAX(0,(1-S1170/'01_설정'!B6))*'01_설정'!B15+MAX(0,(1-T1170/'01_설정'!B7))*'01_설정'!B16+MAX(0,(1-U1170/'01_설정'!B8))*'01_설정'!B17+O1170*'01_설정'!B11+Q1170*'01_설정'!B12+P1170*'01_설정'!B13+IF(Z1170="",0,Z1170))</f>
        <v/>
      </c>
      <c r="X1170" s="152">
        <f>IF(W1170="","",1+COUNTIFS($W$4:$W$3003,"&gt;"&amp;W1170)+COUNTIFS($W$4:W1170,W1170)-1)</f>
        <v/>
      </c>
      <c r="Y1170" s="175">
        <f>IF(OR(I1170="",'02_대상물건입력'!B19="",'02_대상물건입력'!B19&lt;=0),"",ABS(I1170-'02_대상물건입력'!B19)/'02_대상물건입력'!B19)</f>
        <v/>
      </c>
      <c r="Z1170" s="172">
        <f>IF(OR(Y1170="",'01_설정'!B31="",'01_설정'!B31&lt;=0,'01_설정'!B32="",'01_설정'!B32&lt;=0),"",MAX(0,(1-Y1170/'01_설정'!B32))*'01_설정'!B31)</f>
        <v/>
      </c>
    </row>
    <row r="1171" ht="17.25" customHeight="1">
      <c r="A1171" s="152">
        <f>IF(INDEX('04A_국토부원자료'!$A:$A,ROW()+1)="","",ROW()-3)</f>
        <v/>
      </c>
      <c r="B1171" s="48">
        <f>IFERROR(INDEX('04A_국토부원자료'!$A:$T,ROW()+1,MATCH("시군구",'04A_국토부원자료'!$A$4:$T$4,0)),"")</f>
        <v/>
      </c>
      <c r="C1171" s="48">
        <f>IF(B1171="","",IFERROR(INDEX('04A_국토부원자료'!$A:$T,ROW()+1,MATCH("번지",'04A_국토부원자료'!$A$4:$T$4,0)),""))</f>
        <v/>
      </c>
      <c r="D1171" s="48">
        <f>IF(B1171="","",IF(Q1171=1,'02_대상물건입력'!$B$8,IFERROR(INDEX('04A_국토부원자료'!$A:$T,ROW()+1,MATCH("단지명",'04A_국토부원자료'!$A$4:$T$4,0)),"")))</f>
        <v/>
      </c>
      <c r="E1171" s="172">
        <f>IFERROR(VALUE(SUBSTITUTE(INDEX('04A_국토부원자료'!$A:$T,ROW()+1,MATCH("전용면적(㎡)",'04A_국토부원자료'!$A$4:$T$4,0)),",","")),"")</f>
        <v/>
      </c>
      <c r="F11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71" s="51">
        <f>IFERROR(VALUE(SUBSTITUTE(INDEX('04A_국토부원자료'!$A:$T,ROW()+1,MATCH("거래금액(만원)",'04A_국토부원자료'!$A$4:$T$4,0)),",","")),"")</f>
        <v/>
      </c>
      <c r="H1171" s="174">
        <f>IF(G1171="","",G1171*10000)</f>
        <v/>
      </c>
      <c r="I1171" s="174">
        <f>IFERROR(IF(AND(H1171&gt;0,E1171&gt;0),H1171/E1171,""),"")</f>
        <v/>
      </c>
      <c r="J1171" s="152">
        <f>IFERROR(VALUE(SUBSTITUTE(INDEX('04A_국토부원자료'!$A:$T,ROW()+1,MATCH("층",'04A_국토부원자료'!$A$4:$T$4,0)),",","")),"")</f>
        <v/>
      </c>
      <c r="K1171" s="152">
        <f>IFERROR(VALUE(SUBSTITUTE(INDEX('04A_국토부원자료'!$A:$T,ROW()+1,MATCH("건축년도",'04A_국토부원자료'!$A$4:$T$4,0)),",","")),"")</f>
        <v/>
      </c>
      <c r="L1171" s="176">
        <f>IFERROR(INDEX('04A_국토부원자료'!$A:$T,ROW()+1,MATCH("도로명",'04A_국토부원자료'!$A$4:$T$4,0)),"")</f>
        <v/>
      </c>
      <c r="M1171" s="48">
        <f>IFERROR(INDEX('04A_국토부원자료'!$A:$T,ROW()+1,MATCH("거래유형",'04A_국토부원자료'!$A$4:$T$4,0)),"")</f>
        <v/>
      </c>
      <c r="N1171" s="152">
        <f>IF(B1171="","",IF('02_대상물건입력'!B5="",1,IF(ISNUMBER(SEARCH('02_대상물건입력'!B5,B1171)),1,0)))</f>
        <v/>
      </c>
      <c r="O1171" s="152">
        <f>IF(B1171="","",IF('02_대상물건입력'!B6="",1,IF(ISNUMBER(SEARCH('02_대상물건입력'!B6,B1171)),1,0)))</f>
        <v/>
      </c>
      <c r="P1171" s="152">
        <f>IF(L1171="","",IF('02_대상물건입력'!B15="",0,IF(ISNUMBER(SEARCH('02_대상물건입력'!B15,L1171)),1,0)))</f>
        <v/>
      </c>
      <c r="Q1171" s="152">
        <f>IF(OR(C1171="",L1171=""),0,IF(AND(TRIM(C1171)=TRIM(RIGHT(SUBSTITUTE(TRIM('02_대상물건입력'!$B$7)," ",REPT(" ",99)),99)),IF('02_대상물건입력'!B15="",TRUE(),ISNUMBER(SEARCH('02_대상물건입력'!B15,L1171)))),1,0))</f>
        <v/>
      </c>
      <c r="R1171" s="175">
        <f>IFERROR(ABS(E1171-'02_대상물건입력'!B11)/'02_대상물건입력'!B11,"")</f>
        <v/>
      </c>
      <c r="S1171" s="152">
        <f>IFERROR(ABS(J1171-'02_대상물건입력'!B10),"")</f>
        <v/>
      </c>
      <c r="T1171" s="152">
        <f>IFERROR(ABS('01_설정'!B4-F1171),"")</f>
        <v/>
      </c>
      <c r="U1171" s="152">
        <f>IFERROR(ABS(K1171-YEAR('02_대상물건입력'!B14)),"")</f>
        <v/>
      </c>
      <c r="V1171" s="152">
        <f>IF(B1171="","",IF(AND(E1171&gt;0,F1171&gt;0,H1171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1171=1,TRUE()),R1171&lt;='01_설정'!B5,S1171&lt;='01_설정'!B6,T1171&lt;='01_설정'!B7,U1171&lt;='01_설정'!B8),"Y",""))</f>
        <v/>
      </c>
      <c r="W1171" s="172">
        <f>IF(V1171&lt;&gt;"Y","",MAX(0,(1-R1171/'01_설정'!B5))*'01_설정'!B14+MAX(0,(1-S1171/'01_설정'!B6))*'01_설정'!B15+MAX(0,(1-T1171/'01_설정'!B7))*'01_설정'!B16+MAX(0,(1-U1171/'01_설정'!B8))*'01_설정'!B17+O1171*'01_설정'!B11+Q1171*'01_설정'!B12+P1171*'01_설정'!B13+IF(Z1171="",0,Z1171))</f>
        <v/>
      </c>
      <c r="X1171" s="152">
        <f>IF(W1171="","",1+COUNTIFS($W$4:$W$3003,"&gt;"&amp;W1171)+COUNTIFS($W$4:W1171,W1171)-1)</f>
        <v/>
      </c>
      <c r="Y1171" s="175">
        <f>IF(OR(I1171="",'02_대상물건입력'!B19="",'02_대상물건입력'!B19&lt;=0),"",ABS(I1171-'02_대상물건입력'!B19)/'02_대상물건입력'!B19)</f>
        <v/>
      </c>
      <c r="Z1171" s="172">
        <f>IF(OR(Y1171="",'01_설정'!B31="",'01_설정'!B31&lt;=0,'01_설정'!B32="",'01_설정'!B32&lt;=0),"",MAX(0,(1-Y1171/'01_설정'!B32))*'01_설정'!B31)</f>
        <v/>
      </c>
    </row>
    <row r="1172" ht="17.25" customHeight="1">
      <c r="A1172" s="152">
        <f>IF(INDEX('04A_국토부원자료'!$A:$A,ROW()+1)="","",ROW()-3)</f>
        <v/>
      </c>
      <c r="B1172" s="48">
        <f>IFERROR(INDEX('04A_국토부원자료'!$A:$T,ROW()+1,MATCH("시군구",'04A_국토부원자료'!$A$4:$T$4,0)),"")</f>
        <v/>
      </c>
      <c r="C1172" s="48">
        <f>IF(B1172="","",IFERROR(INDEX('04A_국토부원자료'!$A:$T,ROW()+1,MATCH("번지",'04A_국토부원자료'!$A$4:$T$4,0)),""))</f>
        <v/>
      </c>
      <c r="D1172" s="48">
        <f>IF(B1172="","",IF(Q1172=1,'02_대상물건입력'!$B$8,IFERROR(INDEX('04A_국토부원자료'!$A:$T,ROW()+1,MATCH("단지명",'04A_국토부원자료'!$A$4:$T$4,0)),"")))</f>
        <v/>
      </c>
      <c r="E1172" s="172">
        <f>IFERROR(VALUE(SUBSTITUTE(INDEX('04A_국토부원자료'!$A:$T,ROW()+1,MATCH("전용면적(㎡)",'04A_국토부원자료'!$A$4:$T$4,0)),",","")),"")</f>
        <v/>
      </c>
      <c r="F11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72" s="51">
        <f>IFERROR(VALUE(SUBSTITUTE(INDEX('04A_국토부원자료'!$A:$T,ROW()+1,MATCH("거래금액(만원)",'04A_국토부원자료'!$A$4:$T$4,0)),",","")),"")</f>
        <v/>
      </c>
      <c r="H1172" s="174">
        <f>IF(G1172="","",G1172*10000)</f>
        <v/>
      </c>
      <c r="I1172" s="174">
        <f>IFERROR(IF(AND(H1172&gt;0,E1172&gt;0),H1172/E1172,""),"")</f>
        <v/>
      </c>
      <c r="J1172" s="152">
        <f>IFERROR(VALUE(SUBSTITUTE(INDEX('04A_국토부원자료'!$A:$T,ROW()+1,MATCH("층",'04A_국토부원자료'!$A$4:$T$4,0)),",","")),"")</f>
        <v/>
      </c>
      <c r="K1172" s="152">
        <f>IFERROR(VALUE(SUBSTITUTE(INDEX('04A_국토부원자료'!$A:$T,ROW()+1,MATCH("건축년도",'04A_국토부원자료'!$A$4:$T$4,0)),",","")),"")</f>
        <v/>
      </c>
      <c r="L1172" s="176">
        <f>IFERROR(INDEX('04A_국토부원자료'!$A:$T,ROW()+1,MATCH("도로명",'04A_국토부원자료'!$A$4:$T$4,0)),"")</f>
        <v/>
      </c>
      <c r="M1172" s="48">
        <f>IFERROR(INDEX('04A_국토부원자료'!$A:$T,ROW()+1,MATCH("거래유형",'04A_국토부원자료'!$A$4:$T$4,0)),"")</f>
        <v/>
      </c>
      <c r="N1172" s="152">
        <f>IF(B1172="","",IF('02_대상물건입력'!B5="",1,IF(ISNUMBER(SEARCH('02_대상물건입력'!B5,B1172)),1,0)))</f>
        <v/>
      </c>
      <c r="O1172" s="152">
        <f>IF(B1172="","",IF('02_대상물건입력'!B6="",1,IF(ISNUMBER(SEARCH('02_대상물건입력'!B6,B1172)),1,0)))</f>
        <v/>
      </c>
      <c r="P1172" s="152">
        <f>IF(L1172="","",IF('02_대상물건입력'!B15="",0,IF(ISNUMBER(SEARCH('02_대상물건입력'!B15,L1172)),1,0)))</f>
        <v/>
      </c>
      <c r="Q1172" s="152">
        <f>IF(OR(C1172="",L1172=""),0,IF(AND(TRIM(C1172)=TRIM(RIGHT(SUBSTITUTE(TRIM('02_대상물건입력'!$B$7)," ",REPT(" ",99)),99)),IF('02_대상물건입력'!B15="",TRUE(),ISNUMBER(SEARCH('02_대상물건입력'!B15,L1172)))),1,0))</f>
        <v/>
      </c>
      <c r="R1172" s="175">
        <f>IFERROR(ABS(E1172-'02_대상물건입력'!B11)/'02_대상물건입력'!B11,"")</f>
        <v/>
      </c>
      <c r="S1172" s="152">
        <f>IFERROR(ABS(J1172-'02_대상물건입력'!B10),"")</f>
        <v/>
      </c>
      <c r="T1172" s="152">
        <f>IFERROR(ABS('01_설정'!B4-F1172),"")</f>
        <v/>
      </c>
      <c r="U1172" s="152">
        <f>IFERROR(ABS(K1172-YEAR('02_대상물건입력'!B14)),"")</f>
        <v/>
      </c>
      <c r="V1172" s="152">
        <f>IF(B1172="","",IF(AND(E1172&gt;0,F1172&gt;0,H1172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1172=1,TRUE()),R1172&lt;='01_설정'!B5,S1172&lt;='01_설정'!B6,T1172&lt;='01_설정'!B7,U1172&lt;='01_설정'!B8),"Y",""))</f>
        <v/>
      </c>
      <c r="W1172" s="172">
        <f>IF(V1172&lt;&gt;"Y","",MAX(0,(1-R1172/'01_설정'!B5))*'01_설정'!B14+MAX(0,(1-S1172/'01_설정'!B6))*'01_설정'!B15+MAX(0,(1-T1172/'01_설정'!B7))*'01_설정'!B16+MAX(0,(1-U1172/'01_설정'!B8))*'01_설정'!B17+O1172*'01_설정'!B11+Q1172*'01_설정'!B12+P1172*'01_설정'!B13+IF(Z1172="",0,Z1172))</f>
        <v/>
      </c>
      <c r="X1172" s="152">
        <f>IF(W1172="","",1+COUNTIFS($W$4:$W$3003,"&gt;"&amp;W1172)+COUNTIFS($W$4:W1172,W1172)-1)</f>
        <v/>
      </c>
      <c r="Y1172" s="175">
        <f>IF(OR(I1172="",'02_대상물건입력'!B19="",'02_대상물건입력'!B19&lt;=0),"",ABS(I1172-'02_대상물건입력'!B19)/'02_대상물건입력'!B19)</f>
        <v/>
      </c>
      <c r="Z1172" s="172">
        <f>IF(OR(Y1172="",'01_설정'!B31="",'01_설정'!B31&lt;=0,'01_설정'!B32="",'01_설정'!B32&lt;=0),"",MAX(0,(1-Y1172/'01_설정'!B32))*'01_설정'!B31)</f>
        <v/>
      </c>
    </row>
    <row r="1173" ht="17.25" customHeight="1">
      <c r="A1173" s="152">
        <f>IF(INDEX('04A_국토부원자료'!$A:$A,ROW()+1)="","",ROW()-3)</f>
        <v/>
      </c>
      <c r="B1173" s="48">
        <f>IFERROR(INDEX('04A_국토부원자료'!$A:$T,ROW()+1,MATCH("시군구",'04A_국토부원자료'!$A$4:$T$4,0)),"")</f>
        <v/>
      </c>
      <c r="C1173" s="48">
        <f>IF(B1173="","",IFERROR(INDEX('04A_국토부원자료'!$A:$T,ROW()+1,MATCH("번지",'04A_국토부원자료'!$A$4:$T$4,0)),""))</f>
        <v/>
      </c>
      <c r="D1173" s="48">
        <f>IF(B1173="","",IF(Q1173=1,'02_대상물건입력'!$B$8,IFERROR(INDEX('04A_국토부원자료'!$A:$T,ROW()+1,MATCH("단지명",'04A_국토부원자료'!$A$4:$T$4,0)),"")))</f>
        <v/>
      </c>
      <c r="E1173" s="172">
        <f>IFERROR(VALUE(SUBSTITUTE(INDEX('04A_국토부원자료'!$A:$T,ROW()+1,MATCH("전용면적(㎡)",'04A_국토부원자료'!$A$4:$T$4,0)),",","")),"")</f>
        <v/>
      </c>
      <c r="F11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73" s="51">
        <f>IFERROR(VALUE(SUBSTITUTE(INDEX('04A_국토부원자료'!$A:$T,ROW()+1,MATCH("거래금액(만원)",'04A_국토부원자료'!$A$4:$T$4,0)),",","")),"")</f>
        <v/>
      </c>
      <c r="H1173" s="174">
        <f>IF(G1173="","",G1173*10000)</f>
        <v/>
      </c>
      <c r="I1173" s="174">
        <f>IFERROR(IF(AND(H1173&gt;0,E1173&gt;0),H1173/E1173,""),"")</f>
        <v/>
      </c>
      <c r="J1173" s="152">
        <f>IFERROR(VALUE(SUBSTITUTE(INDEX('04A_국토부원자료'!$A:$T,ROW()+1,MATCH("층",'04A_국토부원자료'!$A$4:$T$4,0)),",","")),"")</f>
        <v/>
      </c>
      <c r="K1173" s="152">
        <f>IFERROR(VALUE(SUBSTITUTE(INDEX('04A_국토부원자료'!$A:$T,ROW()+1,MATCH("건축년도",'04A_국토부원자료'!$A$4:$T$4,0)),",","")),"")</f>
        <v/>
      </c>
      <c r="L1173" s="176">
        <f>IFERROR(INDEX('04A_국토부원자료'!$A:$T,ROW()+1,MATCH("도로명",'04A_국토부원자료'!$A$4:$T$4,0)),"")</f>
        <v/>
      </c>
      <c r="M1173" s="48">
        <f>IFERROR(INDEX('04A_국토부원자료'!$A:$T,ROW()+1,MATCH("거래유형",'04A_국토부원자료'!$A$4:$T$4,0)),"")</f>
        <v/>
      </c>
      <c r="N1173" s="152">
        <f>IF(B1173="","",IF('02_대상물건입력'!B5="",1,IF(ISNUMBER(SEARCH('02_대상물건입력'!B5,B1173)),1,0)))</f>
        <v/>
      </c>
      <c r="O1173" s="152">
        <f>IF(B1173="","",IF('02_대상물건입력'!B6="",1,IF(ISNUMBER(SEARCH('02_대상물건입력'!B6,B1173)),1,0)))</f>
        <v/>
      </c>
      <c r="P1173" s="152">
        <f>IF(L1173="","",IF('02_대상물건입력'!B15="",0,IF(ISNUMBER(SEARCH('02_대상물건입력'!B15,L1173)),1,0)))</f>
        <v/>
      </c>
      <c r="Q1173" s="152">
        <f>IF(OR(C1173="",L1173=""),0,IF(AND(TRIM(C1173)=TRIM(RIGHT(SUBSTITUTE(TRIM('02_대상물건입력'!$B$7)," ",REPT(" ",99)),99)),IF('02_대상물건입력'!B15="",TRUE(),ISNUMBER(SEARCH('02_대상물건입력'!B15,L1173)))),1,0))</f>
        <v/>
      </c>
      <c r="R1173" s="175">
        <f>IFERROR(ABS(E1173-'02_대상물건입력'!B11)/'02_대상물건입력'!B11,"")</f>
        <v/>
      </c>
      <c r="S1173" s="152">
        <f>IFERROR(ABS(J1173-'02_대상물건입력'!B10),"")</f>
        <v/>
      </c>
      <c r="T1173" s="152">
        <f>IFERROR(ABS('01_설정'!B4-F1173),"")</f>
        <v/>
      </c>
      <c r="U1173" s="152">
        <f>IFERROR(ABS(K1173-YEAR('02_대상물건입력'!B14)),"")</f>
        <v/>
      </c>
      <c r="V1173" s="152">
        <f>IF(B1173="","",IF(AND(E1173&gt;0,F1173&gt;0,H1173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1173=1,TRUE()),R1173&lt;='01_설정'!B5,S1173&lt;='01_설정'!B6,T1173&lt;='01_설정'!B7,U1173&lt;='01_설정'!B8),"Y",""))</f>
        <v/>
      </c>
      <c r="W1173" s="172">
        <f>IF(V1173&lt;&gt;"Y","",MAX(0,(1-R1173/'01_설정'!B5))*'01_설정'!B14+MAX(0,(1-S1173/'01_설정'!B6))*'01_설정'!B15+MAX(0,(1-T1173/'01_설정'!B7))*'01_설정'!B16+MAX(0,(1-U1173/'01_설정'!B8))*'01_설정'!B17+O1173*'01_설정'!B11+Q1173*'01_설정'!B12+P1173*'01_설정'!B13+IF(Z1173="",0,Z1173))</f>
        <v/>
      </c>
      <c r="X1173" s="152">
        <f>IF(W1173="","",1+COUNTIFS($W$4:$W$3003,"&gt;"&amp;W1173)+COUNTIFS($W$4:W1173,W1173)-1)</f>
        <v/>
      </c>
      <c r="Y1173" s="175">
        <f>IF(OR(I1173="",'02_대상물건입력'!B19="",'02_대상물건입력'!B19&lt;=0),"",ABS(I1173-'02_대상물건입력'!B19)/'02_대상물건입력'!B19)</f>
        <v/>
      </c>
      <c r="Z1173" s="172">
        <f>IF(OR(Y1173="",'01_설정'!B31="",'01_설정'!B31&lt;=0,'01_설정'!B32="",'01_설정'!B32&lt;=0),"",MAX(0,(1-Y1173/'01_설정'!B32))*'01_설정'!B31)</f>
        <v/>
      </c>
    </row>
    <row r="1174" ht="17.25" customHeight="1">
      <c r="A1174" s="152">
        <f>IF(INDEX('04A_국토부원자료'!$A:$A,ROW()+1)="","",ROW()-3)</f>
        <v/>
      </c>
      <c r="B1174" s="48">
        <f>IFERROR(INDEX('04A_국토부원자료'!$A:$T,ROW()+1,MATCH("시군구",'04A_국토부원자료'!$A$4:$T$4,0)),"")</f>
        <v/>
      </c>
      <c r="C1174" s="48">
        <f>IF(B1174="","",IFERROR(INDEX('04A_국토부원자료'!$A:$T,ROW()+1,MATCH("번지",'04A_국토부원자료'!$A$4:$T$4,0)),""))</f>
        <v/>
      </c>
      <c r="D1174" s="48">
        <f>IF(B1174="","",IF(Q1174=1,'02_대상물건입력'!$B$8,IFERROR(INDEX('04A_국토부원자료'!$A:$T,ROW()+1,MATCH("단지명",'04A_국토부원자료'!$A$4:$T$4,0)),"")))</f>
        <v/>
      </c>
      <c r="E1174" s="172">
        <f>IFERROR(VALUE(SUBSTITUTE(INDEX('04A_국토부원자료'!$A:$T,ROW()+1,MATCH("전용면적(㎡)",'04A_국토부원자료'!$A$4:$T$4,0)),",","")),"")</f>
        <v/>
      </c>
      <c r="F11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74" s="51">
        <f>IFERROR(VALUE(SUBSTITUTE(INDEX('04A_국토부원자료'!$A:$T,ROW()+1,MATCH("거래금액(만원)",'04A_국토부원자료'!$A$4:$T$4,0)),",","")),"")</f>
        <v/>
      </c>
      <c r="H1174" s="174">
        <f>IF(G1174="","",G1174*10000)</f>
        <v/>
      </c>
      <c r="I1174" s="174">
        <f>IFERROR(IF(AND(H1174&gt;0,E1174&gt;0),H1174/E1174,""),"")</f>
        <v/>
      </c>
      <c r="J1174" s="152">
        <f>IFERROR(VALUE(SUBSTITUTE(INDEX('04A_국토부원자료'!$A:$T,ROW()+1,MATCH("층",'04A_국토부원자료'!$A$4:$T$4,0)),",","")),"")</f>
        <v/>
      </c>
      <c r="K1174" s="152">
        <f>IFERROR(VALUE(SUBSTITUTE(INDEX('04A_국토부원자료'!$A:$T,ROW()+1,MATCH("건축년도",'04A_국토부원자료'!$A$4:$T$4,0)),",","")),"")</f>
        <v/>
      </c>
      <c r="L1174" s="176">
        <f>IFERROR(INDEX('04A_국토부원자료'!$A:$T,ROW()+1,MATCH("도로명",'04A_국토부원자료'!$A$4:$T$4,0)),"")</f>
        <v/>
      </c>
      <c r="M1174" s="48">
        <f>IFERROR(INDEX('04A_국토부원자료'!$A:$T,ROW()+1,MATCH("거래유형",'04A_국토부원자료'!$A$4:$T$4,0)),"")</f>
        <v/>
      </c>
      <c r="N1174" s="152">
        <f>IF(B1174="","",IF('02_대상물건입력'!B5="",1,IF(ISNUMBER(SEARCH('02_대상물건입력'!B5,B1174)),1,0)))</f>
        <v/>
      </c>
      <c r="O1174" s="152">
        <f>IF(B1174="","",IF('02_대상물건입력'!B6="",1,IF(ISNUMBER(SEARCH('02_대상물건입력'!B6,B1174)),1,0)))</f>
        <v/>
      </c>
      <c r="P1174" s="152">
        <f>IF(L1174="","",IF('02_대상물건입력'!B15="",0,IF(ISNUMBER(SEARCH('02_대상물건입력'!B15,L1174)),1,0)))</f>
        <v/>
      </c>
      <c r="Q1174" s="152">
        <f>IF(OR(C1174="",L1174=""),0,IF(AND(TRIM(C1174)=TRIM(RIGHT(SUBSTITUTE(TRIM('02_대상물건입력'!$B$7)," ",REPT(" ",99)),99)),IF('02_대상물건입력'!B15="",TRUE(),ISNUMBER(SEARCH('02_대상물건입력'!B15,L1174)))),1,0))</f>
        <v/>
      </c>
      <c r="R1174" s="175">
        <f>IFERROR(ABS(E1174-'02_대상물건입력'!B11)/'02_대상물건입력'!B11,"")</f>
        <v/>
      </c>
      <c r="S1174" s="152">
        <f>IFERROR(ABS(J1174-'02_대상물건입력'!B10),"")</f>
        <v/>
      </c>
      <c r="T1174" s="152">
        <f>IFERROR(ABS('01_설정'!B4-F1174),"")</f>
        <v/>
      </c>
      <c r="U1174" s="152">
        <f>IFERROR(ABS(K1174-YEAR('02_대상물건입력'!B14)),"")</f>
        <v/>
      </c>
      <c r="V1174" s="152">
        <f>IF(B1174="","",IF(AND(E1174&gt;0,F1174&gt;0,H1174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1174=1,TRUE()),R1174&lt;='01_설정'!B5,S1174&lt;='01_설정'!B6,T1174&lt;='01_설정'!B7,U1174&lt;='01_설정'!B8),"Y",""))</f>
        <v/>
      </c>
      <c r="W1174" s="172">
        <f>IF(V1174&lt;&gt;"Y","",MAX(0,(1-R1174/'01_설정'!B5))*'01_설정'!B14+MAX(0,(1-S1174/'01_설정'!B6))*'01_설정'!B15+MAX(0,(1-T1174/'01_설정'!B7))*'01_설정'!B16+MAX(0,(1-U1174/'01_설정'!B8))*'01_설정'!B17+O1174*'01_설정'!B11+Q1174*'01_설정'!B12+P1174*'01_설정'!B13+IF(Z1174="",0,Z1174))</f>
        <v/>
      </c>
      <c r="X1174" s="152">
        <f>IF(W1174="","",1+COUNTIFS($W$4:$W$3003,"&gt;"&amp;W1174)+COUNTIFS($W$4:W1174,W1174)-1)</f>
        <v/>
      </c>
      <c r="Y1174" s="175">
        <f>IF(OR(I1174="",'02_대상물건입력'!B19="",'02_대상물건입력'!B19&lt;=0),"",ABS(I1174-'02_대상물건입력'!B19)/'02_대상물건입력'!B19)</f>
        <v/>
      </c>
      <c r="Z1174" s="172">
        <f>IF(OR(Y1174="",'01_설정'!B31="",'01_설정'!B31&lt;=0,'01_설정'!B32="",'01_설정'!B32&lt;=0),"",MAX(0,(1-Y1174/'01_설정'!B32))*'01_설정'!B31)</f>
        <v/>
      </c>
    </row>
    <row r="1175" ht="17.25" customHeight="1">
      <c r="A1175" s="152">
        <f>IF(INDEX('04A_국토부원자료'!$A:$A,ROW()+1)="","",ROW()-3)</f>
        <v/>
      </c>
      <c r="B1175" s="48">
        <f>IFERROR(INDEX('04A_국토부원자료'!$A:$T,ROW()+1,MATCH("시군구",'04A_국토부원자료'!$A$4:$T$4,0)),"")</f>
        <v/>
      </c>
      <c r="C1175" s="48">
        <f>IF(B1175="","",IFERROR(INDEX('04A_국토부원자료'!$A:$T,ROW()+1,MATCH("번지",'04A_국토부원자료'!$A$4:$T$4,0)),""))</f>
        <v/>
      </c>
      <c r="D1175" s="48">
        <f>IF(B1175="","",IF(Q1175=1,'02_대상물건입력'!$B$8,IFERROR(INDEX('04A_국토부원자료'!$A:$T,ROW()+1,MATCH("단지명",'04A_국토부원자료'!$A$4:$T$4,0)),"")))</f>
        <v/>
      </c>
      <c r="E1175" s="172">
        <f>IFERROR(VALUE(SUBSTITUTE(INDEX('04A_국토부원자료'!$A:$T,ROW()+1,MATCH("전용면적(㎡)",'04A_국토부원자료'!$A$4:$T$4,0)),",","")),"")</f>
        <v/>
      </c>
      <c r="F11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75" s="51">
        <f>IFERROR(VALUE(SUBSTITUTE(INDEX('04A_국토부원자료'!$A:$T,ROW()+1,MATCH("거래금액(만원)",'04A_국토부원자료'!$A$4:$T$4,0)),",","")),"")</f>
        <v/>
      </c>
      <c r="H1175" s="174">
        <f>IF(G1175="","",G1175*10000)</f>
        <v/>
      </c>
      <c r="I1175" s="174">
        <f>IFERROR(IF(AND(H1175&gt;0,E1175&gt;0),H1175/E1175,""),"")</f>
        <v/>
      </c>
      <c r="J1175" s="152">
        <f>IFERROR(VALUE(SUBSTITUTE(INDEX('04A_국토부원자료'!$A:$T,ROW()+1,MATCH("층",'04A_국토부원자료'!$A$4:$T$4,0)),",","")),"")</f>
        <v/>
      </c>
      <c r="K1175" s="152">
        <f>IFERROR(VALUE(SUBSTITUTE(INDEX('04A_국토부원자료'!$A:$T,ROW()+1,MATCH("건축년도",'04A_국토부원자료'!$A$4:$T$4,0)),",","")),"")</f>
        <v/>
      </c>
      <c r="L1175" s="176">
        <f>IFERROR(INDEX('04A_국토부원자료'!$A:$T,ROW()+1,MATCH("도로명",'04A_국토부원자료'!$A$4:$T$4,0)),"")</f>
        <v/>
      </c>
      <c r="M1175" s="48">
        <f>IFERROR(INDEX('04A_국토부원자료'!$A:$T,ROW()+1,MATCH("거래유형",'04A_국토부원자료'!$A$4:$T$4,0)),"")</f>
        <v/>
      </c>
      <c r="N1175" s="152">
        <f>IF(B1175="","",IF('02_대상물건입력'!B5="",1,IF(ISNUMBER(SEARCH('02_대상물건입력'!B5,B1175)),1,0)))</f>
        <v/>
      </c>
      <c r="O1175" s="152">
        <f>IF(B1175="","",IF('02_대상물건입력'!B6="",1,IF(ISNUMBER(SEARCH('02_대상물건입력'!B6,B1175)),1,0)))</f>
        <v/>
      </c>
      <c r="P1175" s="152">
        <f>IF(L1175="","",IF('02_대상물건입력'!B15="",0,IF(ISNUMBER(SEARCH('02_대상물건입력'!B15,L1175)),1,0)))</f>
        <v/>
      </c>
      <c r="Q1175" s="152">
        <f>IF(OR(C1175="",L1175=""),0,IF(AND(TRIM(C1175)=TRIM(RIGHT(SUBSTITUTE(TRIM('02_대상물건입력'!$B$7)," ",REPT(" ",99)),99)),IF('02_대상물건입력'!B15="",TRUE(),ISNUMBER(SEARCH('02_대상물건입력'!B15,L1175)))),1,0))</f>
        <v/>
      </c>
      <c r="R1175" s="175">
        <f>IFERROR(ABS(E1175-'02_대상물건입력'!B11)/'02_대상물건입력'!B11,"")</f>
        <v/>
      </c>
      <c r="S1175" s="152">
        <f>IFERROR(ABS(J1175-'02_대상물건입력'!B10),"")</f>
        <v/>
      </c>
      <c r="T1175" s="152">
        <f>IFERROR(ABS('01_설정'!B4-F1175),"")</f>
        <v/>
      </c>
      <c r="U1175" s="152">
        <f>IFERROR(ABS(K1175-YEAR('02_대상물건입력'!B14)),"")</f>
        <v/>
      </c>
      <c r="V1175" s="152">
        <f>IF(B1175="","",IF(AND(E1175&gt;0,F1175&gt;0,H1175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1175=1,TRUE()),R1175&lt;='01_설정'!B5,S1175&lt;='01_설정'!B6,T1175&lt;='01_설정'!B7,U1175&lt;='01_설정'!B8),"Y",""))</f>
        <v/>
      </c>
      <c r="W1175" s="172">
        <f>IF(V1175&lt;&gt;"Y","",MAX(0,(1-R1175/'01_설정'!B5))*'01_설정'!B14+MAX(0,(1-S1175/'01_설정'!B6))*'01_설정'!B15+MAX(0,(1-T1175/'01_설정'!B7))*'01_설정'!B16+MAX(0,(1-U1175/'01_설정'!B8))*'01_설정'!B17+O1175*'01_설정'!B11+Q1175*'01_설정'!B12+P1175*'01_설정'!B13+IF(Z1175="",0,Z1175))</f>
        <v/>
      </c>
      <c r="X1175" s="152">
        <f>IF(W1175="","",1+COUNTIFS($W$4:$W$3003,"&gt;"&amp;W1175)+COUNTIFS($W$4:W1175,W1175)-1)</f>
        <v/>
      </c>
      <c r="Y1175" s="175">
        <f>IF(OR(I1175="",'02_대상물건입력'!B19="",'02_대상물건입력'!B19&lt;=0),"",ABS(I1175-'02_대상물건입력'!B19)/'02_대상물건입력'!B19)</f>
        <v/>
      </c>
      <c r="Z1175" s="172">
        <f>IF(OR(Y1175="",'01_설정'!B31="",'01_설정'!B31&lt;=0,'01_설정'!B32="",'01_설정'!B32&lt;=0),"",MAX(0,(1-Y1175/'01_설정'!B32))*'01_설정'!B31)</f>
        <v/>
      </c>
    </row>
    <row r="1176" ht="17.25" customHeight="1">
      <c r="A1176" s="152">
        <f>IF(INDEX('04A_국토부원자료'!$A:$A,ROW()+1)="","",ROW()-3)</f>
        <v/>
      </c>
      <c r="B1176" s="48">
        <f>IFERROR(INDEX('04A_국토부원자료'!$A:$T,ROW()+1,MATCH("시군구",'04A_국토부원자료'!$A$4:$T$4,0)),"")</f>
        <v/>
      </c>
      <c r="C1176" s="48">
        <f>IF(B1176="","",IFERROR(INDEX('04A_국토부원자료'!$A:$T,ROW()+1,MATCH("번지",'04A_국토부원자료'!$A$4:$T$4,0)),""))</f>
        <v/>
      </c>
      <c r="D1176" s="48">
        <f>IF(B1176="","",IF(Q1176=1,'02_대상물건입력'!$B$8,IFERROR(INDEX('04A_국토부원자료'!$A:$T,ROW()+1,MATCH("단지명",'04A_국토부원자료'!$A$4:$T$4,0)),"")))</f>
        <v/>
      </c>
      <c r="E1176" s="172">
        <f>IFERROR(VALUE(SUBSTITUTE(INDEX('04A_국토부원자료'!$A:$T,ROW()+1,MATCH("전용면적(㎡)",'04A_국토부원자료'!$A$4:$T$4,0)),",","")),"")</f>
        <v/>
      </c>
      <c r="F11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76" s="51">
        <f>IFERROR(VALUE(SUBSTITUTE(INDEX('04A_국토부원자료'!$A:$T,ROW()+1,MATCH("거래금액(만원)",'04A_국토부원자료'!$A$4:$T$4,0)),",","")),"")</f>
        <v/>
      </c>
      <c r="H1176" s="174">
        <f>IF(G1176="","",G1176*10000)</f>
        <v/>
      </c>
      <c r="I1176" s="174">
        <f>IFERROR(IF(AND(H1176&gt;0,E1176&gt;0),H1176/E1176,""),"")</f>
        <v/>
      </c>
      <c r="J1176" s="152">
        <f>IFERROR(VALUE(SUBSTITUTE(INDEX('04A_국토부원자료'!$A:$T,ROW()+1,MATCH("층",'04A_국토부원자료'!$A$4:$T$4,0)),",","")),"")</f>
        <v/>
      </c>
      <c r="K1176" s="152">
        <f>IFERROR(VALUE(SUBSTITUTE(INDEX('04A_국토부원자료'!$A:$T,ROW()+1,MATCH("건축년도",'04A_국토부원자료'!$A$4:$T$4,0)),",","")),"")</f>
        <v/>
      </c>
      <c r="L1176" s="176">
        <f>IFERROR(INDEX('04A_국토부원자료'!$A:$T,ROW()+1,MATCH("도로명",'04A_국토부원자료'!$A$4:$T$4,0)),"")</f>
        <v/>
      </c>
      <c r="M1176" s="48">
        <f>IFERROR(INDEX('04A_국토부원자료'!$A:$T,ROW()+1,MATCH("거래유형",'04A_국토부원자료'!$A$4:$T$4,0)),"")</f>
        <v/>
      </c>
      <c r="N1176" s="152">
        <f>IF(B1176="","",IF('02_대상물건입력'!B5="",1,IF(ISNUMBER(SEARCH('02_대상물건입력'!B5,B1176)),1,0)))</f>
        <v/>
      </c>
      <c r="O1176" s="152">
        <f>IF(B1176="","",IF('02_대상물건입력'!B6="",1,IF(ISNUMBER(SEARCH('02_대상물건입력'!B6,B1176)),1,0)))</f>
        <v/>
      </c>
      <c r="P1176" s="152">
        <f>IF(L1176="","",IF('02_대상물건입력'!B15="",0,IF(ISNUMBER(SEARCH('02_대상물건입력'!B15,L1176)),1,0)))</f>
        <v/>
      </c>
      <c r="Q1176" s="152">
        <f>IF(OR(C1176="",L1176=""),0,IF(AND(TRIM(C1176)=TRIM(RIGHT(SUBSTITUTE(TRIM('02_대상물건입력'!$B$7)," ",REPT(" ",99)),99)),IF('02_대상물건입력'!B15="",TRUE(),ISNUMBER(SEARCH('02_대상물건입력'!B15,L1176)))),1,0))</f>
        <v/>
      </c>
      <c r="R1176" s="175">
        <f>IFERROR(ABS(E1176-'02_대상물건입력'!B11)/'02_대상물건입력'!B11,"")</f>
        <v/>
      </c>
      <c r="S1176" s="152">
        <f>IFERROR(ABS(J1176-'02_대상물건입력'!B10),"")</f>
        <v/>
      </c>
      <c r="T1176" s="152">
        <f>IFERROR(ABS('01_설정'!B4-F1176),"")</f>
        <v/>
      </c>
      <c r="U1176" s="152">
        <f>IFERROR(ABS(K1176-YEAR('02_대상물건입력'!B14)),"")</f>
        <v/>
      </c>
      <c r="V1176" s="152">
        <f>IF(B1176="","",IF(AND(E1176&gt;0,F1176&gt;0,H1176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1176=1,TRUE()),R1176&lt;='01_설정'!B5,S1176&lt;='01_설정'!B6,T1176&lt;='01_설정'!B7,U1176&lt;='01_설정'!B8),"Y",""))</f>
        <v/>
      </c>
      <c r="W1176" s="172">
        <f>IF(V1176&lt;&gt;"Y","",MAX(0,(1-R1176/'01_설정'!B5))*'01_설정'!B14+MAX(0,(1-S1176/'01_설정'!B6))*'01_설정'!B15+MAX(0,(1-T1176/'01_설정'!B7))*'01_설정'!B16+MAX(0,(1-U1176/'01_설정'!B8))*'01_설정'!B17+O1176*'01_설정'!B11+Q1176*'01_설정'!B12+P1176*'01_설정'!B13+IF(Z1176="",0,Z1176))</f>
        <v/>
      </c>
      <c r="X1176" s="152">
        <f>IF(W1176="","",1+COUNTIFS($W$4:$W$3003,"&gt;"&amp;W1176)+COUNTIFS($W$4:W1176,W1176)-1)</f>
        <v/>
      </c>
      <c r="Y1176" s="175">
        <f>IF(OR(I1176="",'02_대상물건입력'!B19="",'02_대상물건입력'!B19&lt;=0),"",ABS(I1176-'02_대상물건입력'!B19)/'02_대상물건입력'!B19)</f>
        <v/>
      </c>
      <c r="Z1176" s="172">
        <f>IF(OR(Y1176="",'01_설정'!B31="",'01_설정'!B31&lt;=0,'01_설정'!B32="",'01_설정'!B32&lt;=0),"",MAX(0,(1-Y1176/'01_설정'!B32))*'01_설정'!B31)</f>
        <v/>
      </c>
    </row>
    <row r="1177" ht="17.25" customHeight="1">
      <c r="A1177" s="152">
        <f>IF(INDEX('04A_국토부원자료'!$A:$A,ROW()+1)="","",ROW()-3)</f>
        <v/>
      </c>
      <c r="B1177" s="48">
        <f>IFERROR(INDEX('04A_국토부원자료'!$A:$T,ROW()+1,MATCH("시군구",'04A_국토부원자료'!$A$4:$T$4,0)),"")</f>
        <v/>
      </c>
      <c r="C1177" s="48">
        <f>IF(B1177="","",IFERROR(INDEX('04A_국토부원자료'!$A:$T,ROW()+1,MATCH("번지",'04A_국토부원자료'!$A$4:$T$4,0)),""))</f>
        <v/>
      </c>
      <c r="D1177" s="48">
        <f>IF(B1177="","",IF(Q1177=1,'02_대상물건입력'!$B$8,IFERROR(INDEX('04A_국토부원자료'!$A:$T,ROW()+1,MATCH("단지명",'04A_국토부원자료'!$A$4:$T$4,0)),"")))</f>
        <v/>
      </c>
      <c r="E1177" s="172">
        <f>IFERROR(VALUE(SUBSTITUTE(INDEX('04A_국토부원자료'!$A:$T,ROW()+1,MATCH("전용면적(㎡)",'04A_국토부원자료'!$A$4:$T$4,0)),",","")),"")</f>
        <v/>
      </c>
      <c r="F11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77" s="51">
        <f>IFERROR(VALUE(SUBSTITUTE(INDEX('04A_국토부원자료'!$A:$T,ROW()+1,MATCH("거래금액(만원)",'04A_국토부원자료'!$A$4:$T$4,0)),",","")),"")</f>
        <v/>
      </c>
      <c r="H1177" s="174">
        <f>IF(G1177="","",G1177*10000)</f>
        <v/>
      </c>
      <c r="I1177" s="174">
        <f>IFERROR(IF(AND(H1177&gt;0,E1177&gt;0),H1177/E1177,""),"")</f>
        <v/>
      </c>
      <c r="J1177" s="152">
        <f>IFERROR(VALUE(SUBSTITUTE(INDEX('04A_국토부원자료'!$A:$T,ROW()+1,MATCH("층",'04A_국토부원자료'!$A$4:$T$4,0)),",","")),"")</f>
        <v/>
      </c>
      <c r="K1177" s="152">
        <f>IFERROR(VALUE(SUBSTITUTE(INDEX('04A_국토부원자료'!$A:$T,ROW()+1,MATCH("건축년도",'04A_국토부원자료'!$A$4:$T$4,0)),",","")),"")</f>
        <v/>
      </c>
      <c r="L1177" s="176">
        <f>IFERROR(INDEX('04A_국토부원자료'!$A:$T,ROW()+1,MATCH("도로명",'04A_국토부원자료'!$A$4:$T$4,0)),"")</f>
        <v/>
      </c>
      <c r="M1177" s="48">
        <f>IFERROR(INDEX('04A_국토부원자료'!$A:$T,ROW()+1,MATCH("거래유형",'04A_국토부원자료'!$A$4:$T$4,0)),"")</f>
        <v/>
      </c>
      <c r="N1177" s="152">
        <f>IF(B1177="","",IF('02_대상물건입력'!B5="",1,IF(ISNUMBER(SEARCH('02_대상물건입력'!B5,B1177)),1,0)))</f>
        <v/>
      </c>
      <c r="O1177" s="152">
        <f>IF(B1177="","",IF('02_대상물건입력'!B6="",1,IF(ISNUMBER(SEARCH('02_대상물건입력'!B6,B1177)),1,0)))</f>
        <v/>
      </c>
      <c r="P1177" s="152">
        <f>IF(L1177="","",IF('02_대상물건입력'!B15="",0,IF(ISNUMBER(SEARCH('02_대상물건입력'!B15,L1177)),1,0)))</f>
        <v/>
      </c>
      <c r="Q1177" s="152">
        <f>IF(OR(C1177="",L1177=""),0,IF(AND(TRIM(C1177)=TRIM(RIGHT(SUBSTITUTE(TRIM('02_대상물건입력'!$B$7)," ",REPT(" ",99)),99)),IF('02_대상물건입력'!B15="",TRUE(),ISNUMBER(SEARCH('02_대상물건입력'!B15,L1177)))),1,0))</f>
        <v/>
      </c>
      <c r="R1177" s="175">
        <f>IFERROR(ABS(E1177-'02_대상물건입력'!B11)/'02_대상물건입력'!B11,"")</f>
        <v/>
      </c>
      <c r="S1177" s="152">
        <f>IFERROR(ABS(J1177-'02_대상물건입력'!B10),"")</f>
        <v/>
      </c>
      <c r="T1177" s="152">
        <f>IFERROR(ABS('01_설정'!B4-F1177),"")</f>
        <v/>
      </c>
      <c r="U1177" s="152">
        <f>IFERROR(ABS(K1177-YEAR('02_대상물건입력'!B14)),"")</f>
        <v/>
      </c>
      <c r="V1177" s="152">
        <f>IF(B1177="","",IF(AND(E1177&gt;0,F1177&gt;0,H1177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1177=1,TRUE()),R1177&lt;='01_설정'!B5,S1177&lt;='01_설정'!B6,T1177&lt;='01_설정'!B7,U1177&lt;='01_설정'!B8),"Y",""))</f>
        <v/>
      </c>
      <c r="W1177" s="172">
        <f>IF(V1177&lt;&gt;"Y","",MAX(0,(1-R1177/'01_설정'!B5))*'01_설정'!B14+MAX(0,(1-S1177/'01_설정'!B6))*'01_설정'!B15+MAX(0,(1-T1177/'01_설정'!B7))*'01_설정'!B16+MAX(0,(1-U1177/'01_설정'!B8))*'01_설정'!B17+O1177*'01_설정'!B11+Q1177*'01_설정'!B12+P1177*'01_설정'!B13+IF(Z1177="",0,Z1177))</f>
        <v/>
      </c>
      <c r="X1177" s="152">
        <f>IF(W1177="","",1+COUNTIFS($W$4:$W$3003,"&gt;"&amp;W1177)+COUNTIFS($W$4:W1177,W1177)-1)</f>
        <v/>
      </c>
      <c r="Y1177" s="175">
        <f>IF(OR(I1177="",'02_대상물건입력'!B19="",'02_대상물건입력'!B19&lt;=0),"",ABS(I1177-'02_대상물건입력'!B19)/'02_대상물건입력'!B19)</f>
        <v/>
      </c>
      <c r="Z1177" s="172">
        <f>IF(OR(Y1177="",'01_설정'!B31="",'01_설정'!B31&lt;=0,'01_설정'!B32="",'01_설정'!B32&lt;=0),"",MAX(0,(1-Y1177/'01_설정'!B32))*'01_설정'!B31)</f>
        <v/>
      </c>
    </row>
    <row r="1178" ht="17.25" customHeight="1">
      <c r="A1178" s="152">
        <f>IF(INDEX('04A_국토부원자료'!$A:$A,ROW()+1)="","",ROW()-3)</f>
        <v/>
      </c>
      <c r="B1178" s="48">
        <f>IFERROR(INDEX('04A_국토부원자료'!$A:$T,ROW()+1,MATCH("시군구",'04A_국토부원자료'!$A$4:$T$4,0)),"")</f>
        <v/>
      </c>
      <c r="C1178" s="48">
        <f>IF(B1178="","",IFERROR(INDEX('04A_국토부원자료'!$A:$T,ROW()+1,MATCH("번지",'04A_국토부원자료'!$A$4:$T$4,0)),""))</f>
        <v/>
      </c>
      <c r="D1178" s="48">
        <f>IF(B1178="","",IF(Q1178=1,'02_대상물건입력'!$B$8,IFERROR(INDEX('04A_국토부원자료'!$A:$T,ROW()+1,MATCH("단지명",'04A_국토부원자료'!$A$4:$T$4,0)),"")))</f>
        <v/>
      </c>
      <c r="E1178" s="172">
        <f>IFERROR(VALUE(SUBSTITUTE(INDEX('04A_국토부원자료'!$A:$T,ROW()+1,MATCH("전용면적(㎡)",'04A_국토부원자료'!$A$4:$T$4,0)),",","")),"")</f>
        <v/>
      </c>
      <c r="F11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78" s="51">
        <f>IFERROR(VALUE(SUBSTITUTE(INDEX('04A_국토부원자료'!$A:$T,ROW()+1,MATCH("거래금액(만원)",'04A_국토부원자료'!$A$4:$T$4,0)),",","")),"")</f>
        <v/>
      </c>
      <c r="H1178" s="174">
        <f>IF(G1178="","",G1178*10000)</f>
        <v/>
      </c>
      <c r="I1178" s="174">
        <f>IFERROR(IF(AND(H1178&gt;0,E1178&gt;0),H1178/E1178,""),"")</f>
        <v/>
      </c>
      <c r="J1178" s="152">
        <f>IFERROR(VALUE(SUBSTITUTE(INDEX('04A_국토부원자료'!$A:$T,ROW()+1,MATCH("층",'04A_국토부원자료'!$A$4:$T$4,0)),",","")),"")</f>
        <v/>
      </c>
      <c r="K1178" s="152">
        <f>IFERROR(VALUE(SUBSTITUTE(INDEX('04A_국토부원자료'!$A:$T,ROW()+1,MATCH("건축년도",'04A_국토부원자료'!$A$4:$T$4,0)),",","")),"")</f>
        <v/>
      </c>
      <c r="L1178" s="176">
        <f>IFERROR(INDEX('04A_국토부원자료'!$A:$T,ROW()+1,MATCH("도로명",'04A_국토부원자료'!$A$4:$T$4,0)),"")</f>
        <v/>
      </c>
      <c r="M1178" s="48">
        <f>IFERROR(INDEX('04A_국토부원자료'!$A:$T,ROW()+1,MATCH("거래유형",'04A_국토부원자료'!$A$4:$T$4,0)),"")</f>
        <v/>
      </c>
      <c r="N1178" s="152">
        <f>IF(B1178="","",IF('02_대상물건입력'!B5="",1,IF(ISNUMBER(SEARCH('02_대상물건입력'!B5,B1178)),1,0)))</f>
        <v/>
      </c>
      <c r="O1178" s="152">
        <f>IF(B1178="","",IF('02_대상물건입력'!B6="",1,IF(ISNUMBER(SEARCH('02_대상물건입력'!B6,B1178)),1,0)))</f>
        <v/>
      </c>
      <c r="P1178" s="152">
        <f>IF(L1178="","",IF('02_대상물건입력'!B15="",0,IF(ISNUMBER(SEARCH('02_대상물건입력'!B15,L1178)),1,0)))</f>
        <v/>
      </c>
      <c r="Q1178" s="152">
        <f>IF(OR(C1178="",L1178=""),0,IF(AND(TRIM(C1178)=TRIM(RIGHT(SUBSTITUTE(TRIM('02_대상물건입력'!$B$7)," ",REPT(" ",99)),99)),IF('02_대상물건입력'!B15="",TRUE(),ISNUMBER(SEARCH('02_대상물건입력'!B15,L1178)))),1,0))</f>
        <v/>
      </c>
      <c r="R1178" s="175">
        <f>IFERROR(ABS(E1178-'02_대상물건입력'!B11)/'02_대상물건입력'!B11,"")</f>
        <v/>
      </c>
      <c r="S1178" s="152">
        <f>IFERROR(ABS(J1178-'02_대상물건입력'!B10),"")</f>
        <v/>
      </c>
      <c r="T1178" s="152">
        <f>IFERROR(ABS('01_설정'!B4-F1178),"")</f>
        <v/>
      </c>
      <c r="U1178" s="152">
        <f>IFERROR(ABS(K1178-YEAR('02_대상물건입력'!B14)),"")</f>
        <v/>
      </c>
      <c r="V1178" s="152">
        <f>IF(B1178="","",IF(AND(E1178&gt;0,F1178&gt;0,H1178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1178=1,TRUE()),R1178&lt;='01_설정'!B5,S1178&lt;='01_설정'!B6,T1178&lt;='01_설정'!B7,U1178&lt;='01_설정'!B8),"Y",""))</f>
        <v/>
      </c>
      <c r="W1178" s="172">
        <f>IF(V1178&lt;&gt;"Y","",MAX(0,(1-R1178/'01_설정'!B5))*'01_설정'!B14+MAX(0,(1-S1178/'01_설정'!B6))*'01_설정'!B15+MAX(0,(1-T1178/'01_설정'!B7))*'01_설정'!B16+MAX(0,(1-U1178/'01_설정'!B8))*'01_설정'!B17+O1178*'01_설정'!B11+Q1178*'01_설정'!B12+P1178*'01_설정'!B13+IF(Z1178="",0,Z1178))</f>
        <v/>
      </c>
      <c r="X1178" s="152">
        <f>IF(W1178="","",1+COUNTIFS($W$4:$W$3003,"&gt;"&amp;W1178)+COUNTIFS($W$4:W1178,W1178)-1)</f>
        <v/>
      </c>
      <c r="Y1178" s="175">
        <f>IF(OR(I1178="",'02_대상물건입력'!B19="",'02_대상물건입력'!B19&lt;=0),"",ABS(I1178-'02_대상물건입력'!B19)/'02_대상물건입력'!B19)</f>
        <v/>
      </c>
      <c r="Z1178" s="172">
        <f>IF(OR(Y1178="",'01_설정'!B31="",'01_설정'!B31&lt;=0,'01_설정'!B32="",'01_설정'!B32&lt;=0),"",MAX(0,(1-Y1178/'01_설정'!B32))*'01_설정'!B31)</f>
        <v/>
      </c>
    </row>
    <row r="1179" ht="17.25" customHeight="1">
      <c r="A1179" s="152">
        <f>IF(INDEX('04A_국토부원자료'!$A:$A,ROW()+1)="","",ROW()-3)</f>
        <v/>
      </c>
      <c r="B1179" s="48">
        <f>IFERROR(INDEX('04A_국토부원자료'!$A:$T,ROW()+1,MATCH("시군구",'04A_국토부원자료'!$A$4:$T$4,0)),"")</f>
        <v/>
      </c>
      <c r="C1179" s="48">
        <f>IF(B1179="","",IFERROR(INDEX('04A_국토부원자료'!$A:$T,ROW()+1,MATCH("번지",'04A_국토부원자료'!$A$4:$T$4,0)),""))</f>
        <v/>
      </c>
      <c r="D1179" s="48">
        <f>IF(B1179="","",IF(Q1179=1,'02_대상물건입력'!$B$8,IFERROR(INDEX('04A_국토부원자료'!$A:$T,ROW()+1,MATCH("단지명",'04A_국토부원자료'!$A$4:$T$4,0)),"")))</f>
        <v/>
      </c>
      <c r="E1179" s="172">
        <f>IFERROR(VALUE(SUBSTITUTE(INDEX('04A_국토부원자료'!$A:$T,ROW()+1,MATCH("전용면적(㎡)",'04A_국토부원자료'!$A$4:$T$4,0)),",","")),"")</f>
        <v/>
      </c>
      <c r="F11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79" s="51">
        <f>IFERROR(VALUE(SUBSTITUTE(INDEX('04A_국토부원자료'!$A:$T,ROW()+1,MATCH("거래금액(만원)",'04A_국토부원자료'!$A$4:$T$4,0)),",","")),"")</f>
        <v/>
      </c>
      <c r="H1179" s="174">
        <f>IF(G1179="","",G1179*10000)</f>
        <v/>
      </c>
      <c r="I1179" s="174">
        <f>IFERROR(IF(AND(H1179&gt;0,E1179&gt;0),H1179/E1179,""),"")</f>
        <v/>
      </c>
      <c r="J1179" s="152">
        <f>IFERROR(VALUE(SUBSTITUTE(INDEX('04A_국토부원자료'!$A:$T,ROW()+1,MATCH("층",'04A_국토부원자료'!$A$4:$T$4,0)),",","")),"")</f>
        <v/>
      </c>
      <c r="K1179" s="152">
        <f>IFERROR(VALUE(SUBSTITUTE(INDEX('04A_국토부원자료'!$A:$T,ROW()+1,MATCH("건축년도",'04A_국토부원자료'!$A$4:$T$4,0)),",","")),"")</f>
        <v/>
      </c>
      <c r="L1179" s="176">
        <f>IFERROR(INDEX('04A_국토부원자료'!$A:$T,ROW()+1,MATCH("도로명",'04A_국토부원자료'!$A$4:$T$4,0)),"")</f>
        <v/>
      </c>
      <c r="M1179" s="48">
        <f>IFERROR(INDEX('04A_국토부원자료'!$A:$T,ROW()+1,MATCH("거래유형",'04A_국토부원자료'!$A$4:$T$4,0)),"")</f>
        <v/>
      </c>
      <c r="N1179" s="152">
        <f>IF(B1179="","",IF('02_대상물건입력'!B5="",1,IF(ISNUMBER(SEARCH('02_대상물건입력'!B5,B1179)),1,0)))</f>
        <v/>
      </c>
      <c r="O1179" s="152">
        <f>IF(B1179="","",IF('02_대상물건입력'!B6="",1,IF(ISNUMBER(SEARCH('02_대상물건입력'!B6,B1179)),1,0)))</f>
        <v/>
      </c>
      <c r="P1179" s="152">
        <f>IF(L1179="","",IF('02_대상물건입력'!B15="",0,IF(ISNUMBER(SEARCH('02_대상물건입력'!B15,L1179)),1,0)))</f>
        <v/>
      </c>
      <c r="Q1179" s="152">
        <f>IF(OR(C1179="",L1179=""),0,IF(AND(TRIM(C1179)=TRIM(RIGHT(SUBSTITUTE(TRIM('02_대상물건입력'!$B$7)," ",REPT(" ",99)),99)),IF('02_대상물건입력'!B15="",TRUE(),ISNUMBER(SEARCH('02_대상물건입력'!B15,L1179)))),1,0))</f>
        <v/>
      </c>
      <c r="R1179" s="175">
        <f>IFERROR(ABS(E1179-'02_대상물건입력'!B11)/'02_대상물건입력'!B11,"")</f>
        <v/>
      </c>
      <c r="S1179" s="152">
        <f>IFERROR(ABS(J1179-'02_대상물건입력'!B10),"")</f>
        <v/>
      </c>
      <c r="T1179" s="152">
        <f>IFERROR(ABS('01_설정'!B4-F1179),"")</f>
        <v/>
      </c>
      <c r="U1179" s="152">
        <f>IFERROR(ABS(K1179-YEAR('02_대상물건입력'!B14)),"")</f>
        <v/>
      </c>
      <c r="V1179" s="152">
        <f>IF(B1179="","",IF(AND(E1179&gt;0,F1179&gt;0,H1179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1179=1,TRUE()),R1179&lt;='01_설정'!B5,S1179&lt;='01_설정'!B6,T1179&lt;='01_설정'!B7,U1179&lt;='01_설정'!B8),"Y",""))</f>
        <v/>
      </c>
      <c r="W1179" s="172">
        <f>IF(V1179&lt;&gt;"Y","",MAX(0,(1-R1179/'01_설정'!B5))*'01_설정'!B14+MAX(0,(1-S1179/'01_설정'!B6))*'01_설정'!B15+MAX(0,(1-T1179/'01_설정'!B7))*'01_설정'!B16+MAX(0,(1-U1179/'01_설정'!B8))*'01_설정'!B17+O1179*'01_설정'!B11+Q1179*'01_설정'!B12+P1179*'01_설정'!B13+IF(Z1179="",0,Z1179))</f>
        <v/>
      </c>
      <c r="X1179" s="152">
        <f>IF(W1179="","",1+COUNTIFS($W$4:$W$3003,"&gt;"&amp;W1179)+COUNTIFS($W$4:W1179,W1179)-1)</f>
        <v/>
      </c>
      <c r="Y1179" s="175">
        <f>IF(OR(I1179="",'02_대상물건입력'!B19="",'02_대상물건입력'!B19&lt;=0),"",ABS(I1179-'02_대상물건입력'!B19)/'02_대상물건입력'!B19)</f>
        <v/>
      </c>
      <c r="Z1179" s="172">
        <f>IF(OR(Y1179="",'01_설정'!B31="",'01_설정'!B31&lt;=0,'01_설정'!B32="",'01_설정'!B32&lt;=0),"",MAX(0,(1-Y1179/'01_설정'!B32))*'01_설정'!B31)</f>
        <v/>
      </c>
    </row>
    <row r="1180" ht="17.25" customHeight="1">
      <c r="A1180" s="152">
        <f>IF(INDEX('04A_국토부원자료'!$A:$A,ROW()+1)="","",ROW()-3)</f>
        <v/>
      </c>
      <c r="B1180" s="48">
        <f>IFERROR(INDEX('04A_국토부원자료'!$A:$T,ROW()+1,MATCH("시군구",'04A_국토부원자료'!$A$4:$T$4,0)),"")</f>
        <v/>
      </c>
      <c r="C1180" s="48">
        <f>IF(B1180="","",IFERROR(INDEX('04A_국토부원자료'!$A:$T,ROW()+1,MATCH("번지",'04A_국토부원자료'!$A$4:$T$4,0)),""))</f>
        <v/>
      </c>
      <c r="D1180" s="48">
        <f>IF(B1180="","",IF(Q1180=1,'02_대상물건입력'!$B$8,IFERROR(INDEX('04A_국토부원자료'!$A:$T,ROW()+1,MATCH("단지명",'04A_국토부원자료'!$A$4:$T$4,0)),"")))</f>
        <v/>
      </c>
      <c r="E1180" s="172">
        <f>IFERROR(VALUE(SUBSTITUTE(INDEX('04A_국토부원자료'!$A:$T,ROW()+1,MATCH("전용면적(㎡)",'04A_국토부원자료'!$A$4:$T$4,0)),",","")),"")</f>
        <v/>
      </c>
      <c r="F11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80" s="51">
        <f>IFERROR(VALUE(SUBSTITUTE(INDEX('04A_국토부원자료'!$A:$T,ROW()+1,MATCH("거래금액(만원)",'04A_국토부원자료'!$A$4:$T$4,0)),",","")),"")</f>
        <v/>
      </c>
      <c r="H1180" s="174">
        <f>IF(G1180="","",G1180*10000)</f>
        <v/>
      </c>
      <c r="I1180" s="174">
        <f>IFERROR(IF(AND(H1180&gt;0,E1180&gt;0),H1180/E1180,""),"")</f>
        <v/>
      </c>
      <c r="J1180" s="152">
        <f>IFERROR(VALUE(SUBSTITUTE(INDEX('04A_국토부원자료'!$A:$T,ROW()+1,MATCH("층",'04A_국토부원자료'!$A$4:$T$4,0)),",","")),"")</f>
        <v/>
      </c>
      <c r="K1180" s="152">
        <f>IFERROR(VALUE(SUBSTITUTE(INDEX('04A_국토부원자료'!$A:$T,ROW()+1,MATCH("건축년도",'04A_국토부원자료'!$A$4:$T$4,0)),",","")),"")</f>
        <v/>
      </c>
      <c r="L1180" s="176">
        <f>IFERROR(INDEX('04A_국토부원자료'!$A:$T,ROW()+1,MATCH("도로명",'04A_국토부원자료'!$A$4:$T$4,0)),"")</f>
        <v/>
      </c>
      <c r="M1180" s="48">
        <f>IFERROR(INDEX('04A_국토부원자료'!$A:$T,ROW()+1,MATCH("거래유형",'04A_국토부원자료'!$A$4:$T$4,0)),"")</f>
        <v/>
      </c>
      <c r="N1180" s="152">
        <f>IF(B1180="","",IF('02_대상물건입력'!B5="",1,IF(ISNUMBER(SEARCH('02_대상물건입력'!B5,B1180)),1,0)))</f>
        <v/>
      </c>
      <c r="O1180" s="152">
        <f>IF(B1180="","",IF('02_대상물건입력'!B6="",1,IF(ISNUMBER(SEARCH('02_대상물건입력'!B6,B1180)),1,0)))</f>
        <v/>
      </c>
      <c r="P1180" s="152">
        <f>IF(L1180="","",IF('02_대상물건입력'!B15="",0,IF(ISNUMBER(SEARCH('02_대상물건입력'!B15,L1180)),1,0)))</f>
        <v/>
      </c>
      <c r="Q1180" s="152">
        <f>IF(OR(C1180="",L1180=""),0,IF(AND(TRIM(C1180)=TRIM(RIGHT(SUBSTITUTE(TRIM('02_대상물건입력'!$B$7)," ",REPT(" ",99)),99)),IF('02_대상물건입력'!B15="",TRUE(),ISNUMBER(SEARCH('02_대상물건입력'!B15,L1180)))),1,0))</f>
        <v/>
      </c>
      <c r="R1180" s="175">
        <f>IFERROR(ABS(E1180-'02_대상물건입력'!B11)/'02_대상물건입력'!B11,"")</f>
        <v/>
      </c>
      <c r="S1180" s="152">
        <f>IFERROR(ABS(J1180-'02_대상물건입력'!B10),"")</f>
        <v/>
      </c>
      <c r="T1180" s="152">
        <f>IFERROR(ABS('01_설정'!B4-F1180),"")</f>
        <v/>
      </c>
      <c r="U1180" s="152">
        <f>IFERROR(ABS(K1180-YEAR('02_대상물건입력'!B14)),"")</f>
        <v/>
      </c>
      <c r="V1180" s="152">
        <f>IF(B1180="","",IF(AND(E1180&gt;0,F1180&gt;0,H1180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1180=1,TRUE()),R1180&lt;='01_설정'!B5,S1180&lt;='01_설정'!B6,T1180&lt;='01_설정'!B7,U1180&lt;='01_설정'!B8),"Y",""))</f>
        <v/>
      </c>
      <c r="W1180" s="172">
        <f>IF(V1180&lt;&gt;"Y","",MAX(0,(1-R1180/'01_설정'!B5))*'01_설정'!B14+MAX(0,(1-S1180/'01_설정'!B6))*'01_설정'!B15+MAX(0,(1-T1180/'01_설정'!B7))*'01_설정'!B16+MAX(0,(1-U1180/'01_설정'!B8))*'01_설정'!B17+O1180*'01_설정'!B11+Q1180*'01_설정'!B12+P1180*'01_설정'!B13+IF(Z1180="",0,Z1180))</f>
        <v/>
      </c>
      <c r="X1180" s="152">
        <f>IF(W1180="","",1+COUNTIFS($W$4:$W$3003,"&gt;"&amp;W1180)+COUNTIFS($W$4:W1180,W1180)-1)</f>
        <v/>
      </c>
      <c r="Y1180" s="175">
        <f>IF(OR(I1180="",'02_대상물건입력'!B19="",'02_대상물건입력'!B19&lt;=0),"",ABS(I1180-'02_대상물건입력'!B19)/'02_대상물건입력'!B19)</f>
        <v/>
      </c>
      <c r="Z1180" s="172">
        <f>IF(OR(Y1180="",'01_설정'!B31="",'01_설정'!B31&lt;=0,'01_설정'!B32="",'01_설정'!B32&lt;=0),"",MAX(0,(1-Y1180/'01_설정'!B32))*'01_설정'!B31)</f>
        <v/>
      </c>
    </row>
    <row r="1181" ht="17.25" customHeight="1">
      <c r="A1181" s="152">
        <f>IF(INDEX('04A_국토부원자료'!$A:$A,ROW()+1)="","",ROW()-3)</f>
        <v/>
      </c>
      <c r="B1181" s="48">
        <f>IFERROR(INDEX('04A_국토부원자료'!$A:$T,ROW()+1,MATCH("시군구",'04A_국토부원자료'!$A$4:$T$4,0)),"")</f>
        <v/>
      </c>
      <c r="C1181" s="48">
        <f>IF(B1181="","",IFERROR(INDEX('04A_국토부원자료'!$A:$T,ROW()+1,MATCH("번지",'04A_국토부원자료'!$A$4:$T$4,0)),""))</f>
        <v/>
      </c>
      <c r="D1181" s="48">
        <f>IF(B1181="","",IF(Q1181=1,'02_대상물건입력'!$B$8,IFERROR(INDEX('04A_국토부원자료'!$A:$T,ROW()+1,MATCH("단지명",'04A_국토부원자료'!$A$4:$T$4,0)),"")))</f>
        <v/>
      </c>
      <c r="E1181" s="172">
        <f>IFERROR(VALUE(SUBSTITUTE(INDEX('04A_국토부원자료'!$A:$T,ROW()+1,MATCH("전용면적(㎡)",'04A_국토부원자료'!$A$4:$T$4,0)),",","")),"")</f>
        <v/>
      </c>
      <c r="F11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81" s="51">
        <f>IFERROR(VALUE(SUBSTITUTE(INDEX('04A_국토부원자료'!$A:$T,ROW()+1,MATCH("거래금액(만원)",'04A_국토부원자료'!$A$4:$T$4,0)),",","")),"")</f>
        <v/>
      </c>
      <c r="H1181" s="174">
        <f>IF(G1181="","",G1181*10000)</f>
        <v/>
      </c>
      <c r="I1181" s="174">
        <f>IFERROR(IF(AND(H1181&gt;0,E1181&gt;0),H1181/E1181,""),"")</f>
        <v/>
      </c>
      <c r="J1181" s="152">
        <f>IFERROR(VALUE(SUBSTITUTE(INDEX('04A_국토부원자료'!$A:$T,ROW()+1,MATCH("층",'04A_국토부원자료'!$A$4:$T$4,0)),",","")),"")</f>
        <v/>
      </c>
      <c r="K1181" s="152">
        <f>IFERROR(VALUE(SUBSTITUTE(INDEX('04A_국토부원자료'!$A:$T,ROW()+1,MATCH("건축년도",'04A_국토부원자료'!$A$4:$T$4,0)),",","")),"")</f>
        <v/>
      </c>
      <c r="L1181" s="176">
        <f>IFERROR(INDEX('04A_국토부원자료'!$A:$T,ROW()+1,MATCH("도로명",'04A_국토부원자료'!$A$4:$T$4,0)),"")</f>
        <v/>
      </c>
      <c r="M1181" s="48">
        <f>IFERROR(INDEX('04A_국토부원자료'!$A:$T,ROW()+1,MATCH("거래유형",'04A_국토부원자료'!$A$4:$T$4,0)),"")</f>
        <v/>
      </c>
      <c r="N1181" s="152">
        <f>IF(B1181="","",IF('02_대상물건입력'!B5="",1,IF(ISNUMBER(SEARCH('02_대상물건입력'!B5,B1181)),1,0)))</f>
        <v/>
      </c>
      <c r="O1181" s="152">
        <f>IF(B1181="","",IF('02_대상물건입력'!B6="",1,IF(ISNUMBER(SEARCH('02_대상물건입력'!B6,B1181)),1,0)))</f>
        <v/>
      </c>
      <c r="P1181" s="152">
        <f>IF(L1181="","",IF('02_대상물건입력'!B15="",0,IF(ISNUMBER(SEARCH('02_대상물건입력'!B15,L1181)),1,0)))</f>
        <v/>
      </c>
      <c r="Q1181" s="152">
        <f>IF(OR(C1181="",L1181=""),0,IF(AND(TRIM(C1181)=TRIM(RIGHT(SUBSTITUTE(TRIM('02_대상물건입력'!$B$7)," ",REPT(" ",99)),99)),IF('02_대상물건입력'!B15="",TRUE(),ISNUMBER(SEARCH('02_대상물건입력'!B15,L1181)))),1,0))</f>
        <v/>
      </c>
      <c r="R1181" s="175">
        <f>IFERROR(ABS(E1181-'02_대상물건입력'!B11)/'02_대상물건입력'!B11,"")</f>
        <v/>
      </c>
      <c r="S1181" s="152">
        <f>IFERROR(ABS(J1181-'02_대상물건입력'!B10),"")</f>
        <v/>
      </c>
      <c r="T1181" s="152">
        <f>IFERROR(ABS('01_설정'!B4-F1181),"")</f>
        <v/>
      </c>
      <c r="U1181" s="152">
        <f>IFERROR(ABS(K1181-YEAR('02_대상물건입력'!B14)),"")</f>
        <v/>
      </c>
      <c r="V1181" s="152">
        <f>IF(B1181="","",IF(AND(E1181&gt;0,F1181&gt;0,H1181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1181=1,TRUE()),R1181&lt;='01_설정'!B5,S1181&lt;='01_설정'!B6,T1181&lt;='01_설정'!B7,U1181&lt;='01_설정'!B8),"Y",""))</f>
        <v/>
      </c>
      <c r="W1181" s="172">
        <f>IF(V1181&lt;&gt;"Y","",MAX(0,(1-R1181/'01_설정'!B5))*'01_설정'!B14+MAX(0,(1-S1181/'01_설정'!B6))*'01_설정'!B15+MAX(0,(1-T1181/'01_설정'!B7))*'01_설정'!B16+MAX(0,(1-U1181/'01_설정'!B8))*'01_설정'!B17+O1181*'01_설정'!B11+Q1181*'01_설정'!B12+P1181*'01_설정'!B13+IF(Z1181="",0,Z1181))</f>
        <v/>
      </c>
      <c r="X1181" s="152">
        <f>IF(W1181="","",1+COUNTIFS($W$4:$W$3003,"&gt;"&amp;W1181)+COUNTIFS($W$4:W1181,W1181)-1)</f>
        <v/>
      </c>
      <c r="Y1181" s="175">
        <f>IF(OR(I1181="",'02_대상물건입력'!B19="",'02_대상물건입력'!B19&lt;=0),"",ABS(I1181-'02_대상물건입력'!B19)/'02_대상물건입력'!B19)</f>
        <v/>
      </c>
      <c r="Z1181" s="172">
        <f>IF(OR(Y1181="",'01_설정'!B31="",'01_설정'!B31&lt;=0,'01_설정'!B32="",'01_설정'!B32&lt;=0),"",MAX(0,(1-Y1181/'01_설정'!B32))*'01_설정'!B31)</f>
        <v/>
      </c>
    </row>
    <row r="1182" ht="17.25" customHeight="1">
      <c r="A1182" s="152">
        <f>IF(INDEX('04A_국토부원자료'!$A:$A,ROW()+1)="","",ROW()-3)</f>
        <v/>
      </c>
      <c r="B1182" s="48">
        <f>IFERROR(INDEX('04A_국토부원자료'!$A:$T,ROW()+1,MATCH("시군구",'04A_국토부원자료'!$A$4:$T$4,0)),"")</f>
        <v/>
      </c>
      <c r="C1182" s="48">
        <f>IF(B1182="","",IFERROR(INDEX('04A_국토부원자료'!$A:$T,ROW()+1,MATCH("번지",'04A_국토부원자료'!$A$4:$T$4,0)),""))</f>
        <v/>
      </c>
      <c r="D1182" s="48">
        <f>IF(B1182="","",IF(Q1182=1,'02_대상물건입력'!$B$8,IFERROR(INDEX('04A_국토부원자료'!$A:$T,ROW()+1,MATCH("단지명",'04A_국토부원자료'!$A$4:$T$4,0)),"")))</f>
        <v/>
      </c>
      <c r="E1182" s="172">
        <f>IFERROR(VALUE(SUBSTITUTE(INDEX('04A_국토부원자료'!$A:$T,ROW()+1,MATCH("전용면적(㎡)",'04A_국토부원자료'!$A$4:$T$4,0)),",","")),"")</f>
        <v/>
      </c>
      <c r="F11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82" s="51">
        <f>IFERROR(VALUE(SUBSTITUTE(INDEX('04A_국토부원자료'!$A:$T,ROW()+1,MATCH("거래금액(만원)",'04A_국토부원자료'!$A$4:$T$4,0)),",","")),"")</f>
        <v/>
      </c>
      <c r="H1182" s="174">
        <f>IF(G1182="","",G1182*10000)</f>
        <v/>
      </c>
      <c r="I1182" s="174">
        <f>IFERROR(IF(AND(H1182&gt;0,E1182&gt;0),H1182/E1182,""),"")</f>
        <v/>
      </c>
      <c r="J1182" s="152">
        <f>IFERROR(VALUE(SUBSTITUTE(INDEX('04A_국토부원자료'!$A:$T,ROW()+1,MATCH("층",'04A_국토부원자료'!$A$4:$T$4,0)),",","")),"")</f>
        <v/>
      </c>
      <c r="K1182" s="152">
        <f>IFERROR(VALUE(SUBSTITUTE(INDEX('04A_국토부원자료'!$A:$T,ROW()+1,MATCH("건축년도",'04A_국토부원자료'!$A$4:$T$4,0)),",","")),"")</f>
        <v/>
      </c>
      <c r="L1182" s="176">
        <f>IFERROR(INDEX('04A_국토부원자료'!$A:$T,ROW()+1,MATCH("도로명",'04A_국토부원자료'!$A$4:$T$4,0)),"")</f>
        <v/>
      </c>
      <c r="M1182" s="48">
        <f>IFERROR(INDEX('04A_국토부원자료'!$A:$T,ROW()+1,MATCH("거래유형",'04A_국토부원자료'!$A$4:$T$4,0)),"")</f>
        <v/>
      </c>
      <c r="N1182" s="152">
        <f>IF(B1182="","",IF('02_대상물건입력'!B5="",1,IF(ISNUMBER(SEARCH('02_대상물건입력'!B5,B1182)),1,0)))</f>
        <v/>
      </c>
      <c r="O1182" s="152">
        <f>IF(B1182="","",IF('02_대상물건입력'!B6="",1,IF(ISNUMBER(SEARCH('02_대상물건입력'!B6,B1182)),1,0)))</f>
        <v/>
      </c>
      <c r="P1182" s="152">
        <f>IF(L1182="","",IF('02_대상물건입력'!B15="",0,IF(ISNUMBER(SEARCH('02_대상물건입력'!B15,L1182)),1,0)))</f>
        <v/>
      </c>
      <c r="Q1182" s="152">
        <f>IF(OR(C1182="",L1182=""),0,IF(AND(TRIM(C1182)=TRIM(RIGHT(SUBSTITUTE(TRIM('02_대상물건입력'!$B$7)," ",REPT(" ",99)),99)),IF('02_대상물건입력'!B15="",TRUE(),ISNUMBER(SEARCH('02_대상물건입력'!B15,L1182)))),1,0))</f>
        <v/>
      </c>
      <c r="R1182" s="175">
        <f>IFERROR(ABS(E1182-'02_대상물건입력'!B11)/'02_대상물건입력'!B11,"")</f>
        <v/>
      </c>
      <c r="S1182" s="152">
        <f>IFERROR(ABS(J1182-'02_대상물건입력'!B10),"")</f>
        <v/>
      </c>
      <c r="T1182" s="152">
        <f>IFERROR(ABS('01_설정'!B4-F1182),"")</f>
        <v/>
      </c>
      <c r="U1182" s="152">
        <f>IFERROR(ABS(K1182-YEAR('02_대상물건입력'!B14)),"")</f>
        <v/>
      </c>
      <c r="V1182" s="152">
        <f>IF(B1182="","",IF(AND(E1182&gt;0,F1182&gt;0,H1182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1182=1,TRUE()),R1182&lt;='01_설정'!B5,S1182&lt;='01_설정'!B6,T1182&lt;='01_설정'!B7,U1182&lt;='01_설정'!B8),"Y",""))</f>
        <v/>
      </c>
      <c r="W1182" s="172">
        <f>IF(V1182&lt;&gt;"Y","",MAX(0,(1-R1182/'01_설정'!B5))*'01_설정'!B14+MAX(0,(1-S1182/'01_설정'!B6))*'01_설정'!B15+MAX(0,(1-T1182/'01_설정'!B7))*'01_설정'!B16+MAX(0,(1-U1182/'01_설정'!B8))*'01_설정'!B17+O1182*'01_설정'!B11+Q1182*'01_설정'!B12+P1182*'01_설정'!B13+IF(Z1182="",0,Z1182))</f>
        <v/>
      </c>
      <c r="X1182" s="152">
        <f>IF(W1182="","",1+COUNTIFS($W$4:$W$3003,"&gt;"&amp;W1182)+COUNTIFS($W$4:W1182,W1182)-1)</f>
        <v/>
      </c>
      <c r="Y1182" s="175">
        <f>IF(OR(I1182="",'02_대상물건입력'!B19="",'02_대상물건입력'!B19&lt;=0),"",ABS(I1182-'02_대상물건입력'!B19)/'02_대상물건입력'!B19)</f>
        <v/>
      </c>
      <c r="Z1182" s="172">
        <f>IF(OR(Y1182="",'01_설정'!B31="",'01_설정'!B31&lt;=0,'01_설정'!B32="",'01_설정'!B32&lt;=0),"",MAX(0,(1-Y1182/'01_설정'!B32))*'01_설정'!B31)</f>
        <v/>
      </c>
    </row>
    <row r="1183" ht="17.25" customHeight="1">
      <c r="A1183" s="152">
        <f>IF(INDEX('04A_국토부원자료'!$A:$A,ROW()+1)="","",ROW()-3)</f>
        <v/>
      </c>
      <c r="B1183" s="48">
        <f>IFERROR(INDEX('04A_국토부원자료'!$A:$T,ROW()+1,MATCH("시군구",'04A_국토부원자료'!$A$4:$T$4,0)),"")</f>
        <v/>
      </c>
      <c r="C1183" s="48">
        <f>IF(B1183="","",IFERROR(INDEX('04A_국토부원자료'!$A:$T,ROW()+1,MATCH("번지",'04A_국토부원자료'!$A$4:$T$4,0)),""))</f>
        <v/>
      </c>
      <c r="D1183" s="48">
        <f>IF(B1183="","",IF(Q1183=1,'02_대상물건입력'!$B$8,IFERROR(INDEX('04A_국토부원자료'!$A:$T,ROW()+1,MATCH("단지명",'04A_국토부원자료'!$A$4:$T$4,0)),"")))</f>
        <v/>
      </c>
      <c r="E1183" s="172">
        <f>IFERROR(VALUE(SUBSTITUTE(INDEX('04A_국토부원자료'!$A:$T,ROW()+1,MATCH("전용면적(㎡)",'04A_국토부원자료'!$A$4:$T$4,0)),",","")),"")</f>
        <v/>
      </c>
      <c r="F11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83" s="51">
        <f>IFERROR(VALUE(SUBSTITUTE(INDEX('04A_국토부원자료'!$A:$T,ROW()+1,MATCH("거래금액(만원)",'04A_국토부원자료'!$A$4:$T$4,0)),",","")),"")</f>
        <v/>
      </c>
      <c r="H1183" s="174">
        <f>IF(G1183="","",G1183*10000)</f>
        <v/>
      </c>
      <c r="I1183" s="174">
        <f>IFERROR(IF(AND(H1183&gt;0,E1183&gt;0),H1183/E1183,""),"")</f>
        <v/>
      </c>
      <c r="J1183" s="152">
        <f>IFERROR(VALUE(SUBSTITUTE(INDEX('04A_국토부원자료'!$A:$T,ROW()+1,MATCH("층",'04A_국토부원자료'!$A$4:$T$4,0)),",","")),"")</f>
        <v/>
      </c>
      <c r="K1183" s="152">
        <f>IFERROR(VALUE(SUBSTITUTE(INDEX('04A_국토부원자료'!$A:$T,ROW()+1,MATCH("건축년도",'04A_국토부원자료'!$A$4:$T$4,0)),",","")),"")</f>
        <v/>
      </c>
      <c r="L1183" s="176">
        <f>IFERROR(INDEX('04A_국토부원자료'!$A:$T,ROW()+1,MATCH("도로명",'04A_국토부원자료'!$A$4:$T$4,0)),"")</f>
        <v/>
      </c>
      <c r="M1183" s="48">
        <f>IFERROR(INDEX('04A_국토부원자료'!$A:$T,ROW()+1,MATCH("거래유형",'04A_국토부원자료'!$A$4:$T$4,0)),"")</f>
        <v/>
      </c>
      <c r="N1183" s="152">
        <f>IF(B1183="","",IF('02_대상물건입력'!B5="",1,IF(ISNUMBER(SEARCH('02_대상물건입력'!B5,B1183)),1,0)))</f>
        <v/>
      </c>
      <c r="O1183" s="152">
        <f>IF(B1183="","",IF('02_대상물건입력'!B6="",1,IF(ISNUMBER(SEARCH('02_대상물건입력'!B6,B1183)),1,0)))</f>
        <v/>
      </c>
      <c r="P1183" s="152">
        <f>IF(L1183="","",IF('02_대상물건입력'!B15="",0,IF(ISNUMBER(SEARCH('02_대상물건입력'!B15,L1183)),1,0)))</f>
        <v/>
      </c>
      <c r="Q1183" s="152">
        <f>IF(OR(C1183="",L1183=""),0,IF(AND(TRIM(C1183)=TRIM(RIGHT(SUBSTITUTE(TRIM('02_대상물건입력'!$B$7)," ",REPT(" ",99)),99)),IF('02_대상물건입력'!B15="",TRUE(),ISNUMBER(SEARCH('02_대상물건입력'!B15,L1183)))),1,0))</f>
        <v/>
      </c>
      <c r="R1183" s="175">
        <f>IFERROR(ABS(E1183-'02_대상물건입력'!B11)/'02_대상물건입력'!B11,"")</f>
        <v/>
      </c>
      <c r="S1183" s="152">
        <f>IFERROR(ABS(J1183-'02_대상물건입력'!B10),"")</f>
        <v/>
      </c>
      <c r="T1183" s="152">
        <f>IFERROR(ABS('01_설정'!B4-F1183),"")</f>
        <v/>
      </c>
      <c r="U1183" s="152">
        <f>IFERROR(ABS(K1183-YEAR('02_대상물건입력'!B14)),"")</f>
        <v/>
      </c>
      <c r="V1183" s="152">
        <f>IF(B1183="","",IF(AND(E1183&gt;0,F1183&gt;0,H1183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1183=1,TRUE()),R1183&lt;='01_설정'!B5,S1183&lt;='01_설정'!B6,T1183&lt;='01_설정'!B7,U1183&lt;='01_설정'!B8),"Y",""))</f>
        <v/>
      </c>
      <c r="W1183" s="172">
        <f>IF(V1183&lt;&gt;"Y","",MAX(0,(1-R1183/'01_설정'!B5))*'01_설정'!B14+MAX(0,(1-S1183/'01_설정'!B6))*'01_설정'!B15+MAX(0,(1-T1183/'01_설정'!B7))*'01_설정'!B16+MAX(0,(1-U1183/'01_설정'!B8))*'01_설정'!B17+O1183*'01_설정'!B11+Q1183*'01_설정'!B12+P1183*'01_설정'!B13+IF(Z1183="",0,Z1183))</f>
        <v/>
      </c>
      <c r="X1183" s="152">
        <f>IF(W1183="","",1+COUNTIFS($W$4:$W$3003,"&gt;"&amp;W1183)+COUNTIFS($W$4:W1183,W1183)-1)</f>
        <v/>
      </c>
      <c r="Y1183" s="175">
        <f>IF(OR(I1183="",'02_대상물건입력'!B19="",'02_대상물건입력'!B19&lt;=0),"",ABS(I1183-'02_대상물건입력'!B19)/'02_대상물건입력'!B19)</f>
        <v/>
      </c>
      <c r="Z1183" s="172">
        <f>IF(OR(Y1183="",'01_설정'!B31="",'01_설정'!B31&lt;=0,'01_설정'!B32="",'01_설정'!B32&lt;=0),"",MAX(0,(1-Y1183/'01_설정'!B32))*'01_설정'!B31)</f>
        <v/>
      </c>
    </row>
    <row r="1184" ht="17.25" customHeight="1">
      <c r="A1184" s="152">
        <f>IF(INDEX('04A_국토부원자료'!$A:$A,ROW()+1)="","",ROW()-3)</f>
        <v/>
      </c>
      <c r="B1184" s="48">
        <f>IFERROR(INDEX('04A_국토부원자료'!$A:$T,ROW()+1,MATCH("시군구",'04A_국토부원자료'!$A$4:$T$4,0)),"")</f>
        <v/>
      </c>
      <c r="C1184" s="48">
        <f>IF(B1184="","",IFERROR(INDEX('04A_국토부원자료'!$A:$T,ROW()+1,MATCH("번지",'04A_국토부원자료'!$A$4:$T$4,0)),""))</f>
        <v/>
      </c>
      <c r="D1184" s="48">
        <f>IF(B1184="","",IF(Q1184=1,'02_대상물건입력'!$B$8,IFERROR(INDEX('04A_국토부원자료'!$A:$T,ROW()+1,MATCH("단지명",'04A_국토부원자료'!$A$4:$T$4,0)),"")))</f>
        <v/>
      </c>
      <c r="E1184" s="172">
        <f>IFERROR(VALUE(SUBSTITUTE(INDEX('04A_국토부원자료'!$A:$T,ROW()+1,MATCH("전용면적(㎡)",'04A_국토부원자료'!$A$4:$T$4,0)),",","")),"")</f>
        <v/>
      </c>
      <c r="F11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84" s="51">
        <f>IFERROR(VALUE(SUBSTITUTE(INDEX('04A_국토부원자료'!$A:$T,ROW()+1,MATCH("거래금액(만원)",'04A_국토부원자료'!$A$4:$T$4,0)),",","")),"")</f>
        <v/>
      </c>
      <c r="H1184" s="174">
        <f>IF(G1184="","",G1184*10000)</f>
        <v/>
      </c>
      <c r="I1184" s="174">
        <f>IFERROR(IF(AND(H1184&gt;0,E1184&gt;0),H1184/E1184,""),"")</f>
        <v/>
      </c>
      <c r="J1184" s="152">
        <f>IFERROR(VALUE(SUBSTITUTE(INDEX('04A_국토부원자료'!$A:$T,ROW()+1,MATCH("층",'04A_국토부원자료'!$A$4:$T$4,0)),",","")),"")</f>
        <v/>
      </c>
      <c r="K1184" s="152">
        <f>IFERROR(VALUE(SUBSTITUTE(INDEX('04A_국토부원자료'!$A:$T,ROW()+1,MATCH("건축년도",'04A_국토부원자료'!$A$4:$T$4,0)),",","")),"")</f>
        <v/>
      </c>
      <c r="L1184" s="176">
        <f>IFERROR(INDEX('04A_국토부원자료'!$A:$T,ROW()+1,MATCH("도로명",'04A_국토부원자료'!$A$4:$T$4,0)),"")</f>
        <v/>
      </c>
      <c r="M1184" s="48">
        <f>IFERROR(INDEX('04A_국토부원자료'!$A:$T,ROW()+1,MATCH("거래유형",'04A_국토부원자료'!$A$4:$T$4,0)),"")</f>
        <v/>
      </c>
      <c r="N1184" s="152">
        <f>IF(B1184="","",IF('02_대상물건입력'!B5="",1,IF(ISNUMBER(SEARCH('02_대상물건입력'!B5,B1184)),1,0)))</f>
        <v/>
      </c>
      <c r="O1184" s="152">
        <f>IF(B1184="","",IF('02_대상물건입력'!B6="",1,IF(ISNUMBER(SEARCH('02_대상물건입력'!B6,B1184)),1,0)))</f>
        <v/>
      </c>
      <c r="P1184" s="152">
        <f>IF(L1184="","",IF('02_대상물건입력'!B15="",0,IF(ISNUMBER(SEARCH('02_대상물건입력'!B15,L1184)),1,0)))</f>
        <v/>
      </c>
      <c r="Q1184" s="152">
        <f>IF(OR(C1184="",L1184=""),0,IF(AND(TRIM(C1184)=TRIM(RIGHT(SUBSTITUTE(TRIM('02_대상물건입력'!$B$7)," ",REPT(" ",99)),99)),IF('02_대상물건입력'!B15="",TRUE(),ISNUMBER(SEARCH('02_대상물건입력'!B15,L1184)))),1,0))</f>
        <v/>
      </c>
      <c r="R1184" s="175">
        <f>IFERROR(ABS(E1184-'02_대상물건입력'!B11)/'02_대상물건입력'!B11,"")</f>
        <v/>
      </c>
      <c r="S1184" s="152">
        <f>IFERROR(ABS(J1184-'02_대상물건입력'!B10),"")</f>
        <v/>
      </c>
      <c r="T1184" s="152">
        <f>IFERROR(ABS('01_설정'!B4-F1184),"")</f>
        <v/>
      </c>
      <c r="U1184" s="152">
        <f>IFERROR(ABS(K1184-YEAR('02_대상물건입력'!B14)),"")</f>
        <v/>
      </c>
      <c r="V1184" s="152">
        <f>IF(B1184="","",IF(AND(E1184&gt;0,F1184&gt;0,H1184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1184=1,TRUE()),R1184&lt;='01_설정'!B5,S1184&lt;='01_설정'!B6,T1184&lt;='01_설정'!B7,U1184&lt;='01_설정'!B8),"Y",""))</f>
        <v/>
      </c>
      <c r="W1184" s="172">
        <f>IF(V1184&lt;&gt;"Y","",MAX(0,(1-R1184/'01_설정'!B5))*'01_설정'!B14+MAX(0,(1-S1184/'01_설정'!B6))*'01_설정'!B15+MAX(0,(1-T1184/'01_설정'!B7))*'01_설정'!B16+MAX(0,(1-U1184/'01_설정'!B8))*'01_설정'!B17+O1184*'01_설정'!B11+Q1184*'01_설정'!B12+P1184*'01_설정'!B13+IF(Z1184="",0,Z1184))</f>
        <v/>
      </c>
      <c r="X1184" s="152">
        <f>IF(W1184="","",1+COUNTIFS($W$4:$W$3003,"&gt;"&amp;W1184)+COUNTIFS($W$4:W1184,W1184)-1)</f>
        <v/>
      </c>
      <c r="Y1184" s="175">
        <f>IF(OR(I1184="",'02_대상물건입력'!B19="",'02_대상물건입력'!B19&lt;=0),"",ABS(I1184-'02_대상물건입력'!B19)/'02_대상물건입력'!B19)</f>
        <v/>
      </c>
      <c r="Z1184" s="172">
        <f>IF(OR(Y1184="",'01_설정'!B31="",'01_설정'!B31&lt;=0,'01_설정'!B32="",'01_설정'!B32&lt;=0),"",MAX(0,(1-Y1184/'01_설정'!B32))*'01_설정'!B31)</f>
        <v/>
      </c>
    </row>
    <row r="1185" ht="17.25" customHeight="1">
      <c r="A1185" s="152">
        <f>IF(INDEX('04A_국토부원자료'!$A:$A,ROW()+1)="","",ROW()-3)</f>
        <v/>
      </c>
      <c r="B1185" s="48">
        <f>IFERROR(INDEX('04A_국토부원자료'!$A:$T,ROW()+1,MATCH("시군구",'04A_국토부원자료'!$A$4:$T$4,0)),"")</f>
        <v/>
      </c>
      <c r="C1185" s="48">
        <f>IF(B1185="","",IFERROR(INDEX('04A_국토부원자료'!$A:$T,ROW()+1,MATCH("번지",'04A_국토부원자료'!$A$4:$T$4,0)),""))</f>
        <v/>
      </c>
      <c r="D1185" s="48">
        <f>IF(B1185="","",IF(Q1185=1,'02_대상물건입력'!$B$8,IFERROR(INDEX('04A_국토부원자료'!$A:$T,ROW()+1,MATCH("단지명",'04A_국토부원자료'!$A$4:$T$4,0)),"")))</f>
        <v/>
      </c>
      <c r="E1185" s="172">
        <f>IFERROR(VALUE(SUBSTITUTE(INDEX('04A_국토부원자료'!$A:$T,ROW()+1,MATCH("전용면적(㎡)",'04A_국토부원자료'!$A$4:$T$4,0)),",","")),"")</f>
        <v/>
      </c>
      <c r="F11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85" s="51">
        <f>IFERROR(VALUE(SUBSTITUTE(INDEX('04A_국토부원자료'!$A:$T,ROW()+1,MATCH("거래금액(만원)",'04A_국토부원자료'!$A$4:$T$4,0)),",","")),"")</f>
        <v/>
      </c>
      <c r="H1185" s="174">
        <f>IF(G1185="","",G1185*10000)</f>
        <v/>
      </c>
      <c r="I1185" s="174">
        <f>IFERROR(IF(AND(H1185&gt;0,E1185&gt;0),H1185/E1185,""),"")</f>
        <v/>
      </c>
      <c r="J1185" s="152">
        <f>IFERROR(VALUE(SUBSTITUTE(INDEX('04A_국토부원자료'!$A:$T,ROW()+1,MATCH("층",'04A_국토부원자료'!$A$4:$T$4,0)),",","")),"")</f>
        <v/>
      </c>
      <c r="K1185" s="152">
        <f>IFERROR(VALUE(SUBSTITUTE(INDEX('04A_국토부원자료'!$A:$T,ROW()+1,MATCH("건축년도",'04A_국토부원자료'!$A$4:$T$4,0)),",","")),"")</f>
        <v/>
      </c>
      <c r="L1185" s="176">
        <f>IFERROR(INDEX('04A_국토부원자료'!$A:$T,ROW()+1,MATCH("도로명",'04A_국토부원자료'!$A$4:$T$4,0)),"")</f>
        <v/>
      </c>
      <c r="M1185" s="48">
        <f>IFERROR(INDEX('04A_국토부원자료'!$A:$T,ROW()+1,MATCH("거래유형",'04A_국토부원자료'!$A$4:$T$4,0)),"")</f>
        <v/>
      </c>
      <c r="N1185" s="152">
        <f>IF(B1185="","",IF('02_대상물건입력'!B5="",1,IF(ISNUMBER(SEARCH('02_대상물건입력'!B5,B1185)),1,0)))</f>
        <v/>
      </c>
      <c r="O1185" s="152">
        <f>IF(B1185="","",IF('02_대상물건입력'!B6="",1,IF(ISNUMBER(SEARCH('02_대상물건입력'!B6,B1185)),1,0)))</f>
        <v/>
      </c>
      <c r="P1185" s="152">
        <f>IF(L1185="","",IF('02_대상물건입력'!B15="",0,IF(ISNUMBER(SEARCH('02_대상물건입력'!B15,L1185)),1,0)))</f>
        <v/>
      </c>
      <c r="Q1185" s="152">
        <f>IF(OR(C1185="",L1185=""),0,IF(AND(TRIM(C1185)=TRIM(RIGHT(SUBSTITUTE(TRIM('02_대상물건입력'!$B$7)," ",REPT(" ",99)),99)),IF('02_대상물건입력'!B15="",TRUE(),ISNUMBER(SEARCH('02_대상물건입력'!B15,L1185)))),1,0))</f>
        <v/>
      </c>
      <c r="R1185" s="175">
        <f>IFERROR(ABS(E1185-'02_대상물건입력'!B11)/'02_대상물건입력'!B11,"")</f>
        <v/>
      </c>
      <c r="S1185" s="152">
        <f>IFERROR(ABS(J1185-'02_대상물건입력'!B10),"")</f>
        <v/>
      </c>
      <c r="T1185" s="152">
        <f>IFERROR(ABS('01_설정'!B4-F1185),"")</f>
        <v/>
      </c>
      <c r="U1185" s="152">
        <f>IFERROR(ABS(K1185-YEAR('02_대상물건입력'!B14)),"")</f>
        <v/>
      </c>
      <c r="V1185" s="152">
        <f>IF(B1185="","",IF(AND(E1185&gt;0,F1185&gt;0,H1185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1185=1,TRUE()),R1185&lt;='01_설정'!B5,S1185&lt;='01_설정'!B6,T1185&lt;='01_설정'!B7,U1185&lt;='01_설정'!B8),"Y",""))</f>
        <v/>
      </c>
      <c r="W1185" s="172">
        <f>IF(V1185&lt;&gt;"Y","",MAX(0,(1-R1185/'01_설정'!B5))*'01_설정'!B14+MAX(0,(1-S1185/'01_설정'!B6))*'01_설정'!B15+MAX(0,(1-T1185/'01_설정'!B7))*'01_설정'!B16+MAX(0,(1-U1185/'01_설정'!B8))*'01_설정'!B17+O1185*'01_설정'!B11+Q1185*'01_설정'!B12+P1185*'01_설정'!B13+IF(Z1185="",0,Z1185))</f>
        <v/>
      </c>
      <c r="X1185" s="152">
        <f>IF(W1185="","",1+COUNTIFS($W$4:$W$3003,"&gt;"&amp;W1185)+COUNTIFS($W$4:W1185,W1185)-1)</f>
        <v/>
      </c>
      <c r="Y1185" s="175">
        <f>IF(OR(I1185="",'02_대상물건입력'!B19="",'02_대상물건입력'!B19&lt;=0),"",ABS(I1185-'02_대상물건입력'!B19)/'02_대상물건입력'!B19)</f>
        <v/>
      </c>
      <c r="Z1185" s="172">
        <f>IF(OR(Y1185="",'01_설정'!B31="",'01_설정'!B31&lt;=0,'01_설정'!B32="",'01_설정'!B32&lt;=0),"",MAX(0,(1-Y1185/'01_설정'!B32))*'01_설정'!B31)</f>
        <v/>
      </c>
    </row>
    <row r="1186" ht="17.25" customHeight="1">
      <c r="A1186" s="152">
        <f>IF(INDEX('04A_국토부원자료'!$A:$A,ROW()+1)="","",ROW()-3)</f>
        <v/>
      </c>
      <c r="B1186" s="48">
        <f>IFERROR(INDEX('04A_국토부원자료'!$A:$T,ROW()+1,MATCH("시군구",'04A_국토부원자료'!$A$4:$T$4,0)),"")</f>
        <v/>
      </c>
      <c r="C1186" s="48">
        <f>IF(B1186="","",IFERROR(INDEX('04A_국토부원자료'!$A:$T,ROW()+1,MATCH("번지",'04A_국토부원자료'!$A$4:$T$4,0)),""))</f>
        <v/>
      </c>
      <c r="D1186" s="48">
        <f>IF(B1186="","",IF(Q1186=1,'02_대상물건입력'!$B$8,IFERROR(INDEX('04A_국토부원자료'!$A:$T,ROW()+1,MATCH("단지명",'04A_국토부원자료'!$A$4:$T$4,0)),"")))</f>
        <v/>
      </c>
      <c r="E1186" s="172">
        <f>IFERROR(VALUE(SUBSTITUTE(INDEX('04A_국토부원자료'!$A:$T,ROW()+1,MATCH("전용면적(㎡)",'04A_국토부원자료'!$A$4:$T$4,0)),",","")),"")</f>
        <v/>
      </c>
      <c r="F11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86" s="51">
        <f>IFERROR(VALUE(SUBSTITUTE(INDEX('04A_국토부원자료'!$A:$T,ROW()+1,MATCH("거래금액(만원)",'04A_국토부원자료'!$A$4:$T$4,0)),",","")),"")</f>
        <v/>
      </c>
      <c r="H1186" s="174">
        <f>IF(G1186="","",G1186*10000)</f>
        <v/>
      </c>
      <c r="I1186" s="174">
        <f>IFERROR(IF(AND(H1186&gt;0,E1186&gt;0),H1186/E1186,""),"")</f>
        <v/>
      </c>
      <c r="J1186" s="152">
        <f>IFERROR(VALUE(SUBSTITUTE(INDEX('04A_국토부원자료'!$A:$T,ROW()+1,MATCH("층",'04A_국토부원자료'!$A$4:$T$4,0)),",","")),"")</f>
        <v/>
      </c>
      <c r="K1186" s="152">
        <f>IFERROR(VALUE(SUBSTITUTE(INDEX('04A_국토부원자료'!$A:$T,ROW()+1,MATCH("건축년도",'04A_국토부원자료'!$A$4:$T$4,0)),",","")),"")</f>
        <v/>
      </c>
      <c r="L1186" s="176">
        <f>IFERROR(INDEX('04A_국토부원자료'!$A:$T,ROW()+1,MATCH("도로명",'04A_국토부원자료'!$A$4:$T$4,0)),"")</f>
        <v/>
      </c>
      <c r="M1186" s="48">
        <f>IFERROR(INDEX('04A_국토부원자료'!$A:$T,ROW()+1,MATCH("거래유형",'04A_국토부원자료'!$A$4:$T$4,0)),"")</f>
        <v/>
      </c>
      <c r="N1186" s="152">
        <f>IF(B1186="","",IF('02_대상물건입력'!B5="",1,IF(ISNUMBER(SEARCH('02_대상물건입력'!B5,B1186)),1,0)))</f>
        <v/>
      </c>
      <c r="O1186" s="152">
        <f>IF(B1186="","",IF('02_대상물건입력'!B6="",1,IF(ISNUMBER(SEARCH('02_대상물건입력'!B6,B1186)),1,0)))</f>
        <v/>
      </c>
      <c r="P1186" s="152">
        <f>IF(L1186="","",IF('02_대상물건입력'!B15="",0,IF(ISNUMBER(SEARCH('02_대상물건입력'!B15,L1186)),1,0)))</f>
        <v/>
      </c>
      <c r="Q1186" s="152">
        <f>IF(OR(C1186="",L1186=""),0,IF(AND(TRIM(C1186)=TRIM(RIGHT(SUBSTITUTE(TRIM('02_대상물건입력'!$B$7)," ",REPT(" ",99)),99)),IF('02_대상물건입력'!B15="",TRUE(),ISNUMBER(SEARCH('02_대상물건입력'!B15,L1186)))),1,0))</f>
        <v/>
      </c>
      <c r="R1186" s="175">
        <f>IFERROR(ABS(E1186-'02_대상물건입력'!B11)/'02_대상물건입력'!B11,"")</f>
        <v/>
      </c>
      <c r="S1186" s="152">
        <f>IFERROR(ABS(J1186-'02_대상물건입력'!B10),"")</f>
        <v/>
      </c>
      <c r="T1186" s="152">
        <f>IFERROR(ABS('01_설정'!B4-F1186),"")</f>
        <v/>
      </c>
      <c r="U1186" s="152">
        <f>IFERROR(ABS(K1186-YEAR('02_대상물건입력'!B14)),"")</f>
        <v/>
      </c>
      <c r="V1186" s="152">
        <f>IF(B1186="","",IF(AND(E1186&gt;0,F1186&gt;0,H1186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1186=1,TRUE()),R1186&lt;='01_설정'!B5,S1186&lt;='01_설정'!B6,T1186&lt;='01_설정'!B7,U1186&lt;='01_설정'!B8),"Y",""))</f>
        <v/>
      </c>
      <c r="W1186" s="172">
        <f>IF(V1186&lt;&gt;"Y","",MAX(0,(1-R1186/'01_설정'!B5))*'01_설정'!B14+MAX(0,(1-S1186/'01_설정'!B6))*'01_설정'!B15+MAX(0,(1-T1186/'01_설정'!B7))*'01_설정'!B16+MAX(0,(1-U1186/'01_설정'!B8))*'01_설정'!B17+O1186*'01_설정'!B11+Q1186*'01_설정'!B12+P1186*'01_설정'!B13+IF(Z1186="",0,Z1186))</f>
        <v/>
      </c>
      <c r="X1186" s="152">
        <f>IF(W1186="","",1+COUNTIFS($W$4:$W$3003,"&gt;"&amp;W1186)+COUNTIFS($W$4:W1186,W1186)-1)</f>
        <v/>
      </c>
      <c r="Y1186" s="175">
        <f>IF(OR(I1186="",'02_대상물건입력'!B19="",'02_대상물건입력'!B19&lt;=0),"",ABS(I1186-'02_대상물건입력'!B19)/'02_대상물건입력'!B19)</f>
        <v/>
      </c>
      <c r="Z1186" s="172">
        <f>IF(OR(Y1186="",'01_설정'!B31="",'01_설정'!B31&lt;=0,'01_설정'!B32="",'01_설정'!B32&lt;=0),"",MAX(0,(1-Y1186/'01_설정'!B32))*'01_설정'!B31)</f>
        <v/>
      </c>
    </row>
    <row r="1187" ht="17.25" customHeight="1">
      <c r="A1187" s="152">
        <f>IF(INDEX('04A_국토부원자료'!$A:$A,ROW()+1)="","",ROW()-3)</f>
        <v/>
      </c>
      <c r="B1187" s="48">
        <f>IFERROR(INDEX('04A_국토부원자료'!$A:$T,ROW()+1,MATCH("시군구",'04A_국토부원자료'!$A$4:$T$4,0)),"")</f>
        <v/>
      </c>
      <c r="C1187" s="48">
        <f>IF(B1187="","",IFERROR(INDEX('04A_국토부원자료'!$A:$T,ROW()+1,MATCH("번지",'04A_국토부원자료'!$A$4:$T$4,0)),""))</f>
        <v/>
      </c>
      <c r="D1187" s="48">
        <f>IF(B1187="","",IF(Q1187=1,'02_대상물건입력'!$B$8,IFERROR(INDEX('04A_국토부원자료'!$A:$T,ROW()+1,MATCH("단지명",'04A_국토부원자료'!$A$4:$T$4,0)),"")))</f>
        <v/>
      </c>
      <c r="E1187" s="172">
        <f>IFERROR(VALUE(SUBSTITUTE(INDEX('04A_국토부원자료'!$A:$T,ROW()+1,MATCH("전용면적(㎡)",'04A_국토부원자료'!$A$4:$T$4,0)),",","")),"")</f>
        <v/>
      </c>
      <c r="F11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87" s="51">
        <f>IFERROR(VALUE(SUBSTITUTE(INDEX('04A_국토부원자료'!$A:$T,ROW()+1,MATCH("거래금액(만원)",'04A_국토부원자료'!$A$4:$T$4,0)),",","")),"")</f>
        <v/>
      </c>
      <c r="H1187" s="174">
        <f>IF(G1187="","",G1187*10000)</f>
        <v/>
      </c>
      <c r="I1187" s="174">
        <f>IFERROR(IF(AND(H1187&gt;0,E1187&gt;0),H1187/E1187,""),"")</f>
        <v/>
      </c>
      <c r="J1187" s="152">
        <f>IFERROR(VALUE(SUBSTITUTE(INDEX('04A_국토부원자료'!$A:$T,ROW()+1,MATCH("층",'04A_국토부원자료'!$A$4:$T$4,0)),",","")),"")</f>
        <v/>
      </c>
      <c r="K1187" s="152">
        <f>IFERROR(VALUE(SUBSTITUTE(INDEX('04A_국토부원자료'!$A:$T,ROW()+1,MATCH("건축년도",'04A_국토부원자료'!$A$4:$T$4,0)),",","")),"")</f>
        <v/>
      </c>
      <c r="L1187" s="176">
        <f>IFERROR(INDEX('04A_국토부원자료'!$A:$T,ROW()+1,MATCH("도로명",'04A_국토부원자료'!$A$4:$T$4,0)),"")</f>
        <v/>
      </c>
      <c r="M1187" s="48">
        <f>IFERROR(INDEX('04A_국토부원자료'!$A:$T,ROW()+1,MATCH("거래유형",'04A_국토부원자료'!$A$4:$T$4,0)),"")</f>
        <v/>
      </c>
      <c r="N1187" s="152">
        <f>IF(B1187="","",IF('02_대상물건입력'!B5="",1,IF(ISNUMBER(SEARCH('02_대상물건입력'!B5,B1187)),1,0)))</f>
        <v/>
      </c>
      <c r="O1187" s="152">
        <f>IF(B1187="","",IF('02_대상물건입력'!B6="",1,IF(ISNUMBER(SEARCH('02_대상물건입력'!B6,B1187)),1,0)))</f>
        <v/>
      </c>
      <c r="P1187" s="152">
        <f>IF(L1187="","",IF('02_대상물건입력'!B15="",0,IF(ISNUMBER(SEARCH('02_대상물건입력'!B15,L1187)),1,0)))</f>
        <v/>
      </c>
      <c r="Q1187" s="152">
        <f>IF(OR(C1187="",L1187=""),0,IF(AND(TRIM(C1187)=TRIM(RIGHT(SUBSTITUTE(TRIM('02_대상물건입력'!$B$7)," ",REPT(" ",99)),99)),IF('02_대상물건입력'!B15="",TRUE(),ISNUMBER(SEARCH('02_대상물건입력'!B15,L1187)))),1,0))</f>
        <v/>
      </c>
      <c r="R1187" s="175">
        <f>IFERROR(ABS(E1187-'02_대상물건입력'!B11)/'02_대상물건입력'!B11,"")</f>
        <v/>
      </c>
      <c r="S1187" s="152">
        <f>IFERROR(ABS(J1187-'02_대상물건입력'!B10),"")</f>
        <v/>
      </c>
      <c r="T1187" s="152">
        <f>IFERROR(ABS('01_설정'!B4-F1187),"")</f>
        <v/>
      </c>
      <c r="U1187" s="152">
        <f>IFERROR(ABS(K1187-YEAR('02_대상물건입력'!B14)),"")</f>
        <v/>
      </c>
      <c r="V1187" s="152">
        <f>IF(B1187="","",IF(AND(E1187&gt;0,F1187&gt;0,H1187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1187=1,TRUE()),R1187&lt;='01_설정'!B5,S1187&lt;='01_설정'!B6,T1187&lt;='01_설정'!B7,U1187&lt;='01_설정'!B8),"Y",""))</f>
        <v/>
      </c>
      <c r="W1187" s="172">
        <f>IF(V1187&lt;&gt;"Y","",MAX(0,(1-R1187/'01_설정'!B5))*'01_설정'!B14+MAX(0,(1-S1187/'01_설정'!B6))*'01_설정'!B15+MAX(0,(1-T1187/'01_설정'!B7))*'01_설정'!B16+MAX(0,(1-U1187/'01_설정'!B8))*'01_설정'!B17+O1187*'01_설정'!B11+Q1187*'01_설정'!B12+P1187*'01_설정'!B13+IF(Z1187="",0,Z1187))</f>
        <v/>
      </c>
      <c r="X1187" s="152">
        <f>IF(W1187="","",1+COUNTIFS($W$4:$W$3003,"&gt;"&amp;W1187)+COUNTIFS($W$4:W1187,W1187)-1)</f>
        <v/>
      </c>
      <c r="Y1187" s="175">
        <f>IF(OR(I1187="",'02_대상물건입력'!B19="",'02_대상물건입력'!B19&lt;=0),"",ABS(I1187-'02_대상물건입력'!B19)/'02_대상물건입력'!B19)</f>
        <v/>
      </c>
      <c r="Z1187" s="172">
        <f>IF(OR(Y1187="",'01_설정'!B31="",'01_설정'!B31&lt;=0,'01_설정'!B32="",'01_설정'!B32&lt;=0),"",MAX(0,(1-Y1187/'01_설정'!B32))*'01_설정'!B31)</f>
        <v/>
      </c>
    </row>
    <row r="1188" ht="17.25" customHeight="1">
      <c r="A1188" s="152">
        <f>IF(INDEX('04A_국토부원자료'!$A:$A,ROW()+1)="","",ROW()-3)</f>
        <v/>
      </c>
      <c r="B1188" s="48">
        <f>IFERROR(INDEX('04A_국토부원자료'!$A:$T,ROW()+1,MATCH("시군구",'04A_국토부원자료'!$A$4:$T$4,0)),"")</f>
        <v/>
      </c>
      <c r="C1188" s="48">
        <f>IF(B1188="","",IFERROR(INDEX('04A_국토부원자료'!$A:$T,ROW()+1,MATCH("번지",'04A_국토부원자료'!$A$4:$T$4,0)),""))</f>
        <v/>
      </c>
      <c r="D1188" s="48">
        <f>IF(B1188="","",IF(Q1188=1,'02_대상물건입력'!$B$8,IFERROR(INDEX('04A_국토부원자료'!$A:$T,ROW()+1,MATCH("단지명",'04A_국토부원자료'!$A$4:$T$4,0)),"")))</f>
        <v/>
      </c>
      <c r="E1188" s="172">
        <f>IFERROR(VALUE(SUBSTITUTE(INDEX('04A_국토부원자료'!$A:$T,ROW()+1,MATCH("전용면적(㎡)",'04A_국토부원자료'!$A$4:$T$4,0)),",","")),"")</f>
        <v/>
      </c>
      <c r="F11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88" s="51">
        <f>IFERROR(VALUE(SUBSTITUTE(INDEX('04A_국토부원자료'!$A:$T,ROW()+1,MATCH("거래금액(만원)",'04A_국토부원자료'!$A$4:$T$4,0)),",","")),"")</f>
        <v/>
      </c>
      <c r="H1188" s="174">
        <f>IF(G1188="","",G1188*10000)</f>
        <v/>
      </c>
      <c r="I1188" s="174">
        <f>IFERROR(IF(AND(H1188&gt;0,E1188&gt;0),H1188/E1188,""),"")</f>
        <v/>
      </c>
      <c r="J1188" s="152">
        <f>IFERROR(VALUE(SUBSTITUTE(INDEX('04A_국토부원자료'!$A:$T,ROW()+1,MATCH("층",'04A_국토부원자료'!$A$4:$T$4,0)),",","")),"")</f>
        <v/>
      </c>
      <c r="K1188" s="152">
        <f>IFERROR(VALUE(SUBSTITUTE(INDEX('04A_국토부원자료'!$A:$T,ROW()+1,MATCH("건축년도",'04A_국토부원자료'!$A$4:$T$4,0)),",","")),"")</f>
        <v/>
      </c>
      <c r="L1188" s="176">
        <f>IFERROR(INDEX('04A_국토부원자료'!$A:$T,ROW()+1,MATCH("도로명",'04A_국토부원자료'!$A$4:$T$4,0)),"")</f>
        <v/>
      </c>
      <c r="M1188" s="48">
        <f>IFERROR(INDEX('04A_국토부원자료'!$A:$T,ROW()+1,MATCH("거래유형",'04A_국토부원자료'!$A$4:$T$4,0)),"")</f>
        <v/>
      </c>
      <c r="N1188" s="152">
        <f>IF(B1188="","",IF('02_대상물건입력'!B5="",1,IF(ISNUMBER(SEARCH('02_대상물건입력'!B5,B1188)),1,0)))</f>
        <v/>
      </c>
      <c r="O1188" s="152">
        <f>IF(B1188="","",IF('02_대상물건입력'!B6="",1,IF(ISNUMBER(SEARCH('02_대상물건입력'!B6,B1188)),1,0)))</f>
        <v/>
      </c>
      <c r="P1188" s="152">
        <f>IF(L1188="","",IF('02_대상물건입력'!B15="",0,IF(ISNUMBER(SEARCH('02_대상물건입력'!B15,L1188)),1,0)))</f>
        <v/>
      </c>
      <c r="Q1188" s="152">
        <f>IF(OR(C1188="",L1188=""),0,IF(AND(TRIM(C1188)=TRIM(RIGHT(SUBSTITUTE(TRIM('02_대상물건입력'!$B$7)," ",REPT(" ",99)),99)),IF('02_대상물건입력'!B15="",TRUE(),ISNUMBER(SEARCH('02_대상물건입력'!B15,L1188)))),1,0))</f>
        <v/>
      </c>
      <c r="R1188" s="175">
        <f>IFERROR(ABS(E1188-'02_대상물건입력'!B11)/'02_대상물건입력'!B11,"")</f>
        <v/>
      </c>
      <c r="S1188" s="152">
        <f>IFERROR(ABS(J1188-'02_대상물건입력'!B10),"")</f>
        <v/>
      </c>
      <c r="T1188" s="152">
        <f>IFERROR(ABS('01_설정'!B4-F1188),"")</f>
        <v/>
      </c>
      <c r="U1188" s="152">
        <f>IFERROR(ABS(K1188-YEAR('02_대상물건입력'!B14)),"")</f>
        <v/>
      </c>
      <c r="V1188" s="152">
        <f>IF(B1188="","",IF(AND(E1188&gt;0,F1188&gt;0,H1188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1188=1,TRUE()),R1188&lt;='01_설정'!B5,S1188&lt;='01_설정'!B6,T1188&lt;='01_설정'!B7,U1188&lt;='01_설정'!B8),"Y",""))</f>
        <v/>
      </c>
      <c r="W1188" s="172">
        <f>IF(V1188&lt;&gt;"Y","",MAX(0,(1-R1188/'01_설정'!B5))*'01_설정'!B14+MAX(0,(1-S1188/'01_설정'!B6))*'01_설정'!B15+MAX(0,(1-T1188/'01_설정'!B7))*'01_설정'!B16+MAX(0,(1-U1188/'01_설정'!B8))*'01_설정'!B17+O1188*'01_설정'!B11+Q1188*'01_설정'!B12+P1188*'01_설정'!B13+IF(Z1188="",0,Z1188))</f>
        <v/>
      </c>
      <c r="X1188" s="152">
        <f>IF(W1188="","",1+COUNTIFS($W$4:$W$3003,"&gt;"&amp;W1188)+COUNTIFS($W$4:W1188,W1188)-1)</f>
        <v/>
      </c>
      <c r="Y1188" s="175">
        <f>IF(OR(I1188="",'02_대상물건입력'!B19="",'02_대상물건입력'!B19&lt;=0),"",ABS(I1188-'02_대상물건입력'!B19)/'02_대상물건입력'!B19)</f>
        <v/>
      </c>
      <c r="Z1188" s="172">
        <f>IF(OR(Y1188="",'01_설정'!B31="",'01_설정'!B31&lt;=0,'01_설정'!B32="",'01_설정'!B32&lt;=0),"",MAX(0,(1-Y1188/'01_설정'!B32))*'01_설정'!B31)</f>
        <v/>
      </c>
    </row>
    <row r="1189" ht="17.25" customHeight="1">
      <c r="A1189" s="152">
        <f>IF(INDEX('04A_국토부원자료'!$A:$A,ROW()+1)="","",ROW()-3)</f>
        <v/>
      </c>
      <c r="B1189" s="48">
        <f>IFERROR(INDEX('04A_국토부원자료'!$A:$T,ROW()+1,MATCH("시군구",'04A_국토부원자료'!$A$4:$T$4,0)),"")</f>
        <v/>
      </c>
      <c r="C1189" s="48">
        <f>IF(B1189="","",IFERROR(INDEX('04A_국토부원자료'!$A:$T,ROW()+1,MATCH("번지",'04A_국토부원자료'!$A$4:$T$4,0)),""))</f>
        <v/>
      </c>
      <c r="D1189" s="48">
        <f>IF(B1189="","",IF(Q1189=1,'02_대상물건입력'!$B$8,IFERROR(INDEX('04A_국토부원자료'!$A:$T,ROW()+1,MATCH("단지명",'04A_국토부원자료'!$A$4:$T$4,0)),"")))</f>
        <v/>
      </c>
      <c r="E1189" s="172">
        <f>IFERROR(VALUE(SUBSTITUTE(INDEX('04A_국토부원자료'!$A:$T,ROW()+1,MATCH("전용면적(㎡)",'04A_국토부원자료'!$A$4:$T$4,0)),",","")),"")</f>
        <v/>
      </c>
      <c r="F11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89" s="51">
        <f>IFERROR(VALUE(SUBSTITUTE(INDEX('04A_국토부원자료'!$A:$T,ROW()+1,MATCH("거래금액(만원)",'04A_국토부원자료'!$A$4:$T$4,0)),",","")),"")</f>
        <v/>
      </c>
      <c r="H1189" s="174">
        <f>IF(G1189="","",G1189*10000)</f>
        <v/>
      </c>
      <c r="I1189" s="174">
        <f>IFERROR(IF(AND(H1189&gt;0,E1189&gt;0),H1189/E1189,""),"")</f>
        <v/>
      </c>
      <c r="J1189" s="152">
        <f>IFERROR(VALUE(SUBSTITUTE(INDEX('04A_국토부원자료'!$A:$T,ROW()+1,MATCH("층",'04A_국토부원자료'!$A$4:$T$4,0)),",","")),"")</f>
        <v/>
      </c>
      <c r="K1189" s="152">
        <f>IFERROR(VALUE(SUBSTITUTE(INDEX('04A_국토부원자료'!$A:$T,ROW()+1,MATCH("건축년도",'04A_국토부원자료'!$A$4:$T$4,0)),",","")),"")</f>
        <v/>
      </c>
      <c r="L1189" s="176">
        <f>IFERROR(INDEX('04A_국토부원자료'!$A:$T,ROW()+1,MATCH("도로명",'04A_국토부원자료'!$A$4:$T$4,0)),"")</f>
        <v/>
      </c>
      <c r="M1189" s="48">
        <f>IFERROR(INDEX('04A_국토부원자료'!$A:$T,ROW()+1,MATCH("거래유형",'04A_국토부원자료'!$A$4:$T$4,0)),"")</f>
        <v/>
      </c>
      <c r="N1189" s="152">
        <f>IF(B1189="","",IF('02_대상물건입력'!B5="",1,IF(ISNUMBER(SEARCH('02_대상물건입력'!B5,B1189)),1,0)))</f>
        <v/>
      </c>
      <c r="O1189" s="152">
        <f>IF(B1189="","",IF('02_대상물건입력'!B6="",1,IF(ISNUMBER(SEARCH('02_대상물건입력'!B6,B1189)),1,0)))</f>
        <v/>
      </c>
      <c r="P1189" s="152">
        <f>IF(L1189="","",IF('02_대상물건입력'!B15="",0,IF(ISNUMBER(SEARCH('02_대상물건입력'!B15,L1189)),1,0)))</f>
        <v/>
      </c>
      <c r="Q1189" s="152">
        <f>IF(OR(C1189="",L1189=""),0,IF(AND(TRIM(C1189)=TRIM(RIGHT(SUBSTITUTE(TRIM('02_대상물건입력'!$B$7)," ",REPT(" ",99)),99)),IF('02_대상물건입력'!B15="",TRUE(),ISNUMBER(SEARCH('02_대상물건입력'!B15,L1189)))),1,0))</f>
        <v/>
      </c>
      <c r="R1189" s="175">
        <f>IFERROR(ABS(E1189-'02_대상물건입력'!B11)/'02_대상물건입력'!B11,"")</f>
        <v/>
      </c>
      <c r="S1189" s="152">
        <f>IFERROR(ABS(J1189-'02_대상물건입력'!B10),"")</f>
        <v/>
      </c>
      <c r="T1189" s="152">
        <f>IFERROR(ABS('01_설정'!B4-F1189),"")</f>
        <v/>
      </c>
      <c r="U1189" s="152">
        <f>IFERROR(ABS(K1189-YEAR('02_대상물건입력'!B14)),"")</f>
        <v/>
      </c>
      <c r="V1189" s="152">
        <f>IF(B1189="","",IF(AND(E1189&gt;0,F1189&gt;0,H1189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1189=1,TRUE()),R1189&lt;='01_설정'!B5,S1189&lt;='01_설정'!B6,T1189&lt;='01_설정'!B7,U1189&lt;='01_설정'!B8),"Y",""))</f>
        <v/>
      </c>
      <c r="W1189" s="172">
        <f>IF(V1189&lt;&gt;"Y","",MAX(0,(1-R1189/'01_설정'!B5))*'01_설정'!B14+MAX(0,(1-S1189/'01_설정'!B6))*'01_설정'!B15+MAX(0,(1-T1189/'01_설정'!B7))*'01_설정'!B16+MAX(0,(1-U1189/'01_설정'!B8))*'01_설정'!B17+O1189*'01_설정'!B11+Q1189*'01_설정'!B12+P1189*'01_설정'!B13+IF(Z1189="",0,Z1189))</f>
        <v/>
      </c>
      <c r="X1189" s="152">
        <f>IF(W1189="","",1+COUNTIFS($W$4:$W$3003,"&gt;"&amp;W1189)+COUNTIFS($W$4:W1189,W1189)-1)</f>
        <v/>
      </c>
      <c r="Y1189" s="175">
        <f>IF(OR(I1189="",'02_대상물건입력'!B19="",'02_대상물건입력'!B19&lt;=0),"",ABS(I1189-'02_대상물건입력'!B19)/'02_대상물건입력'!B19)</f>
        <v/>
      </c>
      <c r="Z1189" s="172">
        <f>IF(OR(Y1189="",'01_설정'!B31="",'01_설정'!B31&lt;=0,'01_설정'!B32="",'01_설정'!B32&lt;=0),"",MAX(0,(1-Y1189/'01_설정'!B32))*'01_설정'!B31)</f>
        <v/>
      </c>
    </row>
    <row r="1190" ht="17.25" customHeight="1">
      <c r="A1190" s="152">
        <f>IF(INDEX('04A_국토부원자료'!$A:$A,ROW()+1)="","",ROW()-3)</f>
        <v/>
      </c>
      <c r="B1190" s="48">
        <f>IFERROR(INDEX('04A_국토부원자료'!$A:$T,ROW()+1,MATCH("시군구",'04A_국토부원자료'!$A$4:$T$4,0)),"")</f>
        <v/>
      </c>
      <c r="C1190" s="48">
        <f>IF(B1190="","",IFERROR(INDEX('04A_국토부원자료'!$A:$T,ROW()+1,MATCH("번지",'04A_국토부원자료'!$A$4:$T$4,0)),""))</f>
        <v/>
      </c>
      <c r="D1190" s="48">
        <f>IF(B1190="","",IF(Q1190=1,'02_대상물건입력'!$B$8,IFERROR(INDEX('04A_국토부원자료'!$A:$T,ROW()+1,MATCH("단지명",'04A_국토부원자료'!$A$4:$T$4,0)),"")))</f>
        <v/>
      </c>
      <c r="E1190" s="172">
        <f>IFERROR(VALUE(SUBSTITUTE(INDEX('04A_국토부원자료'!$A:$T,ROW()+1,MATCH("전용면적(㎡)",'04A_국토부원자료'!$A$4:$T$4,0)),",","")),"")</f>
        <v/>
      </c>
      <c r="F11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90" s="51">
        <f>IFERROR(VALUE(SUBSTITUTE(INDEX('04A_국토부원자료'!$A:$T,ROW()+1,MATCH("거래금액(만원)",'04A_국토부원자료'!$A$4:$T$4,0)),",","")),"")</f>
        <v/>
      </c>
      <c r="H1190" s="174">
        <f>IF(G1190="","",G1190*10000)</f>
        <v/>
      </c>
      <c r="I1190" s="174">
        <f>IFERROR(IF(AND(H1190&gt;0,E1190&gt;0),H1190/E1190,""),"")</f>
        <v/>
      </c>
      <c r="J1190" s="152">
        <f>IFERROR(VALUE(SUBSTITUTE(INDEX('04A_국토부원자료'!$A:$T,ROW()+1,MATCH("층",'04A_국토부원자료'!$A$4:$T$4,0)),",","")),"")</f>
        <v/>
      </c>
      <c r="K1190" s="152">
        <f>IFERROR(VALUE(SUBSTITUTE(INDEX('04A_국토부원자료'!$A:$T,ROW()+1,MATCH("건축년도",'04A_국토부원자료'!$A$4:$T$4,0)),",","")),"")</f>
        <v/>
      </c>
      <c r="L1190" s="176">
        <f>IFERROR(INDEX('04A_국토부원자료'!$A:$T,ROW()+1,MATCH("도로명",'04A_국토부원자료'!$A$4:$T$4,0)),"")</f>
        <v/>
      </c>
      <c r="M1190" s="48">
        <f>IFERROR(INDEX('04A_국토부원자료'!$A:$T,ROW()+1,MATCH("거래유형",'04A_국토부원자료'!$A$4:$T$4,0)),"")</f>
        <v/>
      </c>
      <c r="N1190" s="152">
        <f>IF(B1190="","",IF('02_대상물건입력'!B5="",1,IF(ISNUMBER(SEARCH('02_대상물건입력'!B5,B1190)),1,0)))</f>
        <v/>
      </c>
      <c r="O1190" s="152">
        <f>IF(B1190="","",IF('02_대상물건입력'!B6="",1,IF(ISNUMBER(SEARCH('02_대상물건입력'!B6,B1190)),1,0)))</f>
        <v/>
      </c>
      <c r="P1190" s="152">
        <f>IF(L1190="","",IF('02_대상물건입력'!B15="",0,IF(ISNUMBER(SEARCH('02_대상물건입력'!B15,L1190)),1,0)))</f>
        <v/>
      </c>
      <c r="Q1190" s="152">
        <f>IF(OR(C1190="",L1190=""),0,IF(AND(TRIM(C1190)=TRIM(RIGHT(SUBSTITUTE(TRIM('02_대상물건입력'!$B$7)," ",REPT(" ",99)),99)),IF('02_대상물건입력'!B15="",TRUE(),ISNUMBER(SEARCH('02_대상물건입력'!B15,L1190)))),1,0))</f>
        <v/>
      </c>
      <c r="R1190" s="175">
        <f>IFERROR(ABS(E1190-'02_대상물건입력'!B11)/'02_대상물건입력'!B11,"")</f>
        <v/>
      </c>
      <c r="S1190" s="152">
        <f>IFERROR(ABS(J1190-'02_대상물건입력'!B10),"")</f>
        <v/>
      </c>
      <c r="T1190" s="152">
        <f>IFERROR(ABS('01_설정'!B4-F1190),"")</f>
        <v/>
      </c>
      <c r="U1190" s="152">
        <f>IFERROR(ABS(K1190-YEAR('02_대상물건입력'!B14)),"")</f>
        <v/>
      </c>
      <c r="V1190" s="152">
        <f>IF(B1190="","",IF(AND(E1190&gt;0,F1190&gt;0,H1190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1190=1,TRUE()),R1190&lt;='01_설정'!B5,S1190&lt;='01_설정'!B6,T1190&lt;='01_설정'!B7,U1190&lt;='01_설정'!B8),"Y",""))</f>
        <v/>
      </c>
      <c r="W1190" s="172">
        <f>IF(V1190&lt;&gt;"Y","",MAX(0,(1-R1190/'01_설정'!B5))*'01_설정'!B14+MAX(0,(1-S1190/'01_설정'!B6))*'01_설정'!B15+MAX(0,(1-T1190/'01_설정'!B7))*'01_설정'!B16+MAX(0,(1-U1190/'01_설정'!B8))*'01_설정'!B17+O1190*'01_설정'!B11+Q1190*'01_설정'!B12+P1190*'01_설정'!B13+IF(Z1190="",0,Z1190))</f>
        <v/>
      </c>
      <c r="X1190" s="152">
        <f>IF(W1190="","",1+COUNTIFS($W$4:$W$3003,"&gt;"&amp;W1190)+COUNTIFS($W$4:W1190,W1190)-1)</f>
        <v/>
      </c>
      <c r="Y1190" s="175">
        <f>IF(OR(I1190="",'02_대상물건입력'!B19="",'02_대상물건입력'!B19&lt;=0),"",ABS(I1190-'02_대상물건입력'!B19)/'02_대상물건입력'!B19)</f>
        <v/>
      </c>
      <c r="Z1190" s="172">
        <f>IF(OR(Y1190="",'01_설정'!B31="",'01_설정'!B31&lt;=0,'01_설정'!B32="",'01_설정'!B32&lt;=0),"",MAX(0,(1-Y1190/'01_설정'!B32))*'01_설정'!B31)</f>
        <v/>
      </c>
    </row>
    <row r="1191" ht="17.25" customHeight="1">
      <c r="A1191" s="152">
        <f>IF(INDEX('04A_국토부원자료'!$A:$A,ROW()+1)="","",ROW()-3)</f>
        <v/>
      </c>
      <c r="B1191" s="48">
        <f>IFERROR(INDEX('04A_국토부원자료'!$A:$T,ROW()+1,MATCH("시군구",'04A_국토부원자료'!$A$4:$T$4,0)),"")</f>
        <v/>
      </c>
      <c r="C1191" s="48">
        <f>IF(B1191="","",IFERROR(INDEX('04A_국토부원자료'!$A:$T,ROW()+1,MATCH("번지",'04A_국토부원자료'!$A$4:$T$4,0)),""))</f>
        <v/>
      </c>
      <c r="D1191" s="48">
        <f>IF(B1191="","",IF(Q1191=1,'02_대상물건입력'!$B$8,IFERROR(INDEX('04A_국토부원자료'!$A:$T,ROW()+1,MATCH("단지명",'04A_국토부원자료'!$A$4:$T$4,0)),"")))</f>
        <v/>
      </c>
      <c r="E1191" s="172">
        <f>IFERROR(VALUE(SUBSTITUTE(INDEX('04A_국토부원자료'!$A:$T,ROW()+1,MATCH("전용면적(㎡)",'04A_국토부원자료'!$A$4:$T$4,0)),",","")),"")</f>
        <v/>
      </c>
      <c r="F11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91" s="51">
        <f>IFERROR(VALUE(SUBSTITUTE(INDEX('04A_국토부원자료'!$A:$T,ROW()+1,MATCH("거래금액(만원)",'04A_국토부원자료'!$A$4:$T$4,0)),",","")),"")</f>
        <v/>
      </c>
      <c r="H1191" s="174">
        <f>IF(G1191="","",G1191*10000)</f>
        <v/>
      </c>
      <c r="I1191" s="174">
        <f>IFERROR(IF(AND(H1191&gt;0,E1191&gt;0),H1191/E1191,""),"")</f>
        <v/>
      </c>
      <c r="J1191" s="152">
        <f>IFERROR(VALUE(SUBSTITUTE(INDEX('04A_국토부원자료'!$A:$T,ROW()+1,MATCH("층",'04A_국토부원자료'!$A$4:$T$4,0)),",","")),"")</f>
        <v/>
      </c>
      <c r="K1191" s="152">
        <f>IFERROR(VALUE(SUBSTITUTE(INDEX('04A_국토부원자료'!$A:$T,ROW()+1,MATCH("건축년도",'04A_국토부원자료'!$A$4:$T$4,0)),",","")),"")</f>
        <v/>
      </c>
      <c r="L1191" s="176">
        <f>IFERROR(INDEX('04A_국토부원자료'!$A:$T,ROW()+1,MATCH("도로명",'04A_국토부원자료'!$A$4:$T$4,0)),"")</f>
        <v/>
      </c>
      <c r="M1191" s="48">
        <f>IFERROR(INDEX('04A_국토부원자료'!$A:$T,ROW()+1,MATCH("거래유형",'04A_국토부원자료'!$A$4:$T$4,0)),"")</f>
        <v/>
      </c>
      <c r="N1191" s="152">
        <f>IF(B1191="","",IF('02_대상물건입력'!B5="",1,IF(ISNUMBER(SEARCH('02_대상물건입력'!B5,B1191)),1,0)))</f>
        <v/>
      </c>
      <c r="O1191" s="152">
        <f>IF(B1191="","",IF('02_대상물건입력'!B6="",1,IF(ISNUMBER(SEARCH('02_대상물건입력'!B6,B1191)),1,0)))</f>
        <v/>
      </c>
      <c r="P1191" s="152">
        <f>IF(L1191="","",IF('02_대상물건입력'!B15="",0,IF(ISNUMBER(SEARCH('02_대상물건입력'!B15,L1191)),1,0)))</f>
        <v/>
      </c>
      <c r="Q1191" s="152">
        <f>IF(OR(C1191="",L1191=""),0,IF(AND(TRIM(C1191)=TRIM(RIGHT(SUBSTITUTE(TRIM('02_대상물건입력'!$B$7)," ",REPT(" ",99)),99)),IF('02_대상물건입력'!B15="",TRUE(),ISNUMBER(SEARCH('02_대상물건입력'!B15,L1191)))),1,0))</f>
        <v/>
      </c>
      <c r="R1191" s="175">
        <f>IFERROR(ABS(E1191-'02_대상물건입력'!B11)/'02_대상물건입력'!B11,"")</f>
        <v/>
      </c>
      <c r="S1191" s="152">
        <f>IFERROR(ABS(J1191-'02_대상물건입력'!B10),"")</f>
        <v/>
      </c>
      <c r="T1191" s="152">
        <f>IFERROR(ABS('01_설정'!B4-F1191),"")</f>
        <v/>
      </c>
      <c r="U1191" s="152">
        <f>IFERROR(ABS(K1191-YEAR('02_대상물건입력'!B14)),"")</f>
        <v/>
      </c>
      <c r="V1191" s="152">
        <f>IF(B1191="","",IF(AND(E1191&gt;0,F1191&gt;0,H1191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1191=1,TRUE()),R1191&lt;='01_설정'!B5,S1191&lt;='01_설정'!B6,T1191&lt;='01_설정'!B7,U1191&lt;='01_설정'!B8),"Y",""))</f>
        <v/>
      </c>
      <c r="W1191" s="172">
        <f>IF(V1191&lt;&gt;"Y","",MAX(0,(1-R1191/'01_설정'!B5))*'01_설정'!B14+MAX(0,(1-S1191/'01_설정'!B6))*'01_설정'!B15+MAX(0,(1-T1191/'01_설정'!B7))*'01_설정'!B16+MAX(0,(1-U1191/'01_설정'!B8))*'01_설정'!B17+O1191*'01_설정'!B11+Q1191*'01_설정'!B12+P1191*'01_설정'!B13+IF(Z1191="",0,Z1191))</f>
        <v/>
      </c>
      <c r="X1191" s="152">
        <f>IF(W1191="","",1+COUNTIFS($W$4:$W$3003,"&gt;"&amp;W1191)+COUNTIFS($W$4:W1191,W1191)-1)</f>
        <v/>
      </c>
      <c r="Y1191" s="175">
        <f>IF(OR(I1191="",'02_대상물건입력'!B19="",'02_대상물건입력'!B19&lt;=0),"",ABS(I1191-'02_대상물건입력'!B19)/'02_대상물건입력'!B19)</f>
        <v/>
      </c>
      <c r="Z1191" s="172">
        <f>IF(OR(Y1191="",'01_설정'!B31="",'01_설정'!B31&lt;=0,'01_설정'!B32="",'01_설정'!B32&lt;=0),"",MAX(0,(1-Y1191/'01_설정'!B32))*'01_설정'!B31)</f>
        <v/>
      </c>
    </row>
    <row r="1192" ht="17.25" customHeight="1">
      <c r="A1192" s="152">
        <f>IF(INDEX('04A_국토부원자료'!$A:$A,ROW()+1)="","",ROW()-3)</f>
        <v/>
      </c>
      <c r="B1192" s="48">
        <f>IFERROR(INDEX('04A_국토부원자료'!$A:$T,ROW()+1,MATCH("시군구",'04A_국토부원자료'!$A$4:$T$4,0)),"")</f>
        <v/>
      </c>
      <c r="C1192" s="48">
        <f>IF(B1192="","",IFERROR(INDEX('04A_국토부원자료'!$A:$T,ROW()+1,MATCH("번지",'04A_국토부원자료'!$A$4:$T$4,0)),""))</f>
        <v/>
      </c>
      <c r="D1192" s="48">
        <f>IF(B1192="","",IF(Q1192=1,'02_대상물건입력'!$B$8,IFERROR(INDEX('04A_국토부원자료'!$A:$T,ROW()+1,MATCH("단지명",'04A_국토부원자료'!$A$4:$T$4,0)),"")))</f>
        <v/>
      </c>
      <c r="E1192" s="172">
        <f>IFERROR(VALUE(SUBSTITUTE(INDEX('04A_국토부원자료'!$A:$T,ROW()+1,MATCH("전용면적(㎡)",'04A_국토부원자료'!$A$4:$T$4,0)),",","")),"")</f>
        <v/>
      </c>
      <c r="F11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92" s="51">
        <f>IFERROR(VALUE(SUBSTITUTE(INDEX('04A_국토부원자료'!$A:$T,ROW()+1,MATCH("거래금액(만원)",'04A_국토부원자료'!$A$4:$T$4,0)),",","")),"")</f>
        <v/>
      </c>
      <c r="H1192" s="174">
        <f>IF(G1192="","",G1192*10000)</f>
        <v/>
      </c>
      <c r="I1192" s="174">
        <f>IFERROR(IF(AND(H1192&gt;0,E1192&gt;0),H1192/E1192,""),"")</f>
        <v/>
      </c>
      <c r="J1192" s="152">
        <f>IFERROR(VALUE(SUBSTITUTE(INDEX('04A_국토부원자료'!$A:$T,ROW()+1,MATCH("층",'04A_국토부원자료'!$A$4:$T$4,0)),",","")),"")</f>
        <v/>
      </c>
      <c r="K1192" s="152">
        <f>IFERROR(VALUE(SUBSTITUTE(INDEX('04A_국토부원자료'!$A:$T,ROW()+1,MATCH("건축년도",'04A_국토부원자료'!$A$4:$T$4,0)),",","")),"")</f>
        <v/>
      </c>
      <c r="L1192" s="176">
        <f>IFERROR(INDEX('04A_국토부원자료'!$A:$T,ROW()+1,MATCH("도로명",'04A_국토부원자료'!$A$4:$T$4,0)),"")</f>
        <v/>
      </c>
      <c r="M1192" s="48">
        <f>IFERROR(INDEX('04A_국토부원자료'!$A:$T,ROW()+1,MATCH("거래유형",'04A_국토부원자료'!$A$4:$T$4,0)),"")</f>
        <v/>
      </c>
      <c r="N1192" s="152">
        <f>IF(B1192="","",IF('02_대상물건입력'!B5="",1,IF(ISNUMBER(SEARCH('02_대상물건입력'!B5,B1192)),1,0)))</f>
        <v/>
      </c>
      <c r="O1192" s="152">
        <f>IF(B1192="","",IF('02_대상물건입력'!B6="",1,IF(ISNUMBER(SEARCH('02_대상물건입력'!B6,B1192)),1,0)))</f>
        <v/>
      </c>
      <c r="P1192" s="152">
        <f>IF(L1192="","",IF('02_대상물건입력'!B15="",0,IF(ISNUMBER(SEARCH('02_대상물건입력'!B15,L1192)),1,0)))</f>
        <v/>
      </c>
      <c r="Q1192" s="152">
        <f>IF(OR(C1192="",L1192=""),0,IF(AND(TRIM(C1192)=TRIM(RIGHT(SUBSTITUTE(TRIM('02_대상물건입력'!$B$7)," ",REPT(" ",99)),99)),IF('02_대상물건입력'!B15="",TRUE(),ISNUMBER(SEARCH('02_대상물건입력'!B15,L1192)))),1,0))</f>
        <v/>
      </c>
      <c r="R1192" s="175">
        <f>IFERROR(ABS(E1192-'02_대상물건입력'!B11)/'02_대상물건입력'!B11,"")</f>
        <v/>
      </c>
      <c r="S1192" s="152">
        <f>IFERROR(ABS(J1192-'02_대상물건입력'!B10),"")</f>
        <v/>
      </c>
      <c r="T1192" s="152">
        <f>IFERROR(ABS('01_설정'!B4-F1192),"")</f>
        <v/>
      </c>
      <c r="U1192" s="152">
        <f>IFERROR(ABS(K1192-YEAR('02_대상물건입력'!B14)),"")</f>
        <v/>
      </c>
      <c r="V1192" s="152">
        <f>IF(B1192="","",IF(AND(E1192&gt;0,F1192&gt;0,H1192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1192=1,TRUE()),R1192&lt;='01_설정'!B5,S1192&lt;='01_설정'!B6,T1192&lt;='01_설정'!B7,U1192&lt;='01_설정'!B8),"Y",""))</f>
        <v/>
      </c>
      <c r="W1192" s="172">
        <f>IF(V1192&lt;&gt;"Y","",MAX(0,(1-R1192/'01_설정'!B5))*'01_설정'!B14+MAX(0,(1-S1192/'01_설정'!B6))*'01_설정'!B15+MAX(0,(1-T1192/'01_설정'!B7))*'01_설정'!B16+MAX(0,(1-U1192/'01_설정'!B8))*'01_설정'!B17+O1192*'01_설정'!B11+Q1192*'01_설정'!B12+P1192*'01_설정'!B13+IF(Z1192="",0,Z1192))</f>
        <v/>
      </c>
      <c r="X1192" s="152">
        <f>IF(W1192="","",1+COUNTIFS($W$4:$W$3003,"&gt;"&amp;W1192)+COUNTIFS($W$4:W1192,W1192)-1)</f>
        <v/>
      </c>
      <c r="Y1192" s="175">
        <f>IF(OR(I1192="",'02_대상물건입력'!B19="",'02_대상물건입력'!B19&lt;=0),"",ABS(I1192-'02_대상물건입력'!B19)/'02_대상물건입력'!B19)</f>
        <v/>
      </c>
      <c r="Z1192" s="172">
        <f>IF(OR(Y1192="",'01_설정'!B31="",'01_설정'!B31&lt;=0,'01_설정'!B32="",'01_설정'!B32&lt;=0),"",MAX(0,(1-Y1192/'01_설정'!B32))*'01_설정'!B31)</f>
        <v/>
      </c>
    </row>
    <row r="1193" ht="17.25" customHeight="1">
      <c r="A1193" s="152">
        <f>IF(INDEX('04A_국토부원자료'!$A:$A,ROW()+1)="","",ROW()-3)</f>
        <v/>
      </c>
      <c r="B1193" s="48">
        <f>IFERROR(INDEX('04A_국토부원자료'!$A:$T,ROW()+1,MATCH("시군구",'04A_국토부원자료'!$A$4:$T$4,0)),"")</f>
        <v/>
      </c>
      <c r="C1193" s="48">
        <f>IF(B1193="","",IFERROR(INDEX('04A_국토부원자료'!$A:$T,ROW()+1,MATCH("번지",'04A_국토부원자료'!$A$4:$T$4,0)),""))</f>
        <v/>
      </c>
      <c r="D1193" s="48">
        <f>IF(B1193="","",IF(Q1193=1,'02_대상물건입력'!$B$8,IFERROR(INDEX('04A_국토부원자료'!$A:$T,ROW()+1,MATCH("단지명",'04A_국토부원자료'!$A$4:$T$4,0)),"")))</f>
        <v/>
      </c>
      <c r="E1193" s="172">
        <f>IFERROR(VALUE(SUBSTITUTE(INDEX('04A_국토부원자료'!$A:$T,ROW()+1,MATCH("전용면적(㎡)",'04A_국토부원자료'!$A$4:$T$4,0)),",","")),"")</f>
        <v/>
      </c>
      <c r="F11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93" s="51">
        <f>IFERROR(VALUE(SUBSTITUTE(INDEX('04A_국토부원자료'!$A:$T,ROW()+1,MATCH("거래금액(만원)",'04A_국토부원자료'!$A$4:$T$4,0)),",","")),"")</f>
        <v/>
      </c>
      <c r="H1193" s="174">
        <f>IF(G1193="","",G1193*10000)</f>
        <v/>
      </c>
      <c r="I1193" s="174">
        <f>IFERROR(IF(AND(H1193&gt;0,E1193&gt;0),H1193/E1193,""),"")</f>
        <v/>
      </c>
      <c r="J1193" s="152">
        <f>IFERROR(VALUE(SUBSTITUTE(INDEX('04A_국토부원자료'!$A:$T,ROW()+1,MATCH("층",'04A_국토부원자료'!$A$4:$T$4,0)),",","")),"")</f>
        <v/>
      </c>
      <c r="K1193" s="152">
        <f>IFERROR(VALUE(SUBSTITUTE(INDEX('04A_국토부원자료'!$A:$T,ROW()+1,MATCH("건축년도",'04A_국토부원자료'!$A$4:$T$4,0)),",","")),"")</f>
        <v/>
      </c>
      <c r="L1193" s="176">
        <f>IFERROR(INDEX('04A_국토부원자료'!$A:$T,ROW()+1,MATCH("도로명",'04A_국토부원자료'!$A$4:$T$4,0)),"")</f>
        <v/>
      </c>
      <c r="M1193" s="48">
        <f>IFERROR(INDEX('04A_국토부원자료'!$A:$T,ROW()+1,MATCH("거래유형",'04A_국토부원자료'!$A$4:$T$4,0)),"")</f>
        <v/>
      </c>
      <c r="N1193" s="152">
        <f>IF(B1193="","",IF('02_대상물건입력'!B5="",1,IF(ISNUMBER(SEARCH('02_대상물건입력'!B5,B1193)),1,0)))</f>
        <v/>
      </c>
      <c r="O1193" s="152">
        <f>IF(B1193="","",IF('02_대상물건입력'!B6="",1,IF(ISNUMBER(SEARCH('02_대상물건입력'!B6,B1193)),1,0)))</f>
        <v/>
      </c>
      <c r="P1193" s="152">
        <f>IF(L1193="","",IF('02_대상물건입력'!B15="",0,IF(ISNUMBER(SEARCH('02_대상물건입력'!B15,L1193)),1,0)))</f>
        <v/>
      </c>
      <c r="Q1193" s="152">
        <f>IF(OR(C1193="",L1193=""),0,IF(AND(TRIM(C1193)=TRIM(RIGHT(SUBSTITUTE(TRIM('02_대상물건입력'!$B$7)," ",REPT(" ",99)),99)),IF('02_대상물건입력'!B15="",TRUE(),ISNUMBER(SEARCH('02_대상물건입력'!B15,L1193)))),1,0))</f>
        <v/>
      </c>
      <c r="R1193" s="175">
        <f>IFERROR(ABS(E1193-'02_대상물건입력'!B11)/'02_대상물건입력'!B11,"")</f>
        <v/>
      </c>
      <c r="S1193" s="152">
        <f>IFERROR(ABS(J1193-'02_대상물건입력'!B10),"")</f>
        <v/>
      </c>
      <c r="T1193" s="152">
        <f>IFERROR(ABS('01_설정'!B4-F1193),"")</f>
        <v/>
      </c>
      <c r="U1193" s="152">
        <f>IFERROR(ABS(K1193-YEAR('02_대상물건입력'!B14)),"")</f>
        <v/>
      </c>
      <c r="V1193" s="152">
        <f>IF(B1193="","",IF(AND(E1193&gt;0,F1193&gt;0,H1193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1193=1,TRUE()),R1193&lt;='01_설정'!B5,S1193&lt;='01_설정'!B6,T1193&lt;='01_설정'!B7,U1193&lt;='01_설정'!B8),"Y",""))</f>
        <v/>
      </c>
      <c r="W1193" s="172">
        <f>IF(V1193&lt;&gt;"Y","",MAX(0,(1-R1193/'01_설정'!B5))*'01_설정'!B14+MAX(0,(1-S1193/'01_설정'!B6))*'01_설정'!B15+MAX(0,(1-T1193/'01_설정'!B7))*'01_설정'!B16+MAX(0,(1-U1193/'01_설정'!B8))*'01_설정'!B17+O1193*'01_설정'!B11+Q1193*'01_설정'!B12+P1193*'01_설정'!B13+IF(Z1193="",0,Z1193))</f>
        <v/>
      </c>
      <c r="X1193" s="152">
        <f>IF(W1193="","",1+COUNTIFS($W$4:$W$3003,"&gt;"&amp;W1193)+COUNTIFS($W$4:W1193,W1193)-1)</f>
        <v/>
      </c>
      <c r="Y1193" s="175">
        <f>IF(OR(I1193="",'02_대상물건입력'!B19="",'02_대상물건입력'!B19&lt;=0),"",ABS(I1193-'02_대상물건입력'!B19)/'02_대상물건입력'!B19)</f>
        <v/>
      </c>
      <c r="Z1193" s="172">
        <f>IF(OR(Y1193="",'01_설정'!B31="",'01_설정'!B31&lt;=0,'01_설정'!B32="",'01_설정'!B32&lt;=0),"",MAX(0,(1-Y1193/'01_설정'!B32))*'01_설정'!B31)</f>
        <v/>
      </c>
    </row>
    <row r="1194" ht="17.25" customHeight="1">
      <c r="A1194" s="152">
        <f>IF(INDEX('04A_국토부원자료'!$A:$A,ROW()+1)="","",ROW()-3)</f>
        <v/>
      </c>
      <c r="B1194" s="48">
        <f>IFERROR(INDEX('04A_국토부원자료'!$A:$T,ROW()+1,MATCH("시군구",'04A_국토부원자료'!$A$4:$T$4,0)),"")</f>
        <v/>
      </c>
      <c r="C1194" s="48">
        <f>IF(B1194="","",IFERROR(INDEX('04A_국토부원자료'!$A:$T,ROW()+1,MATCH("번지",'04A_국토부원자료'!$A$4:$T$4,0)),""))</f>
        <v/>
      </c>
      <c r="D1194" s="48">
        <f>IF(B1194="","",IF(Q1194=1,'02_대상물건입력'!$B$8,IFERROR(INDEX('04A_국토부원자료'!$A:$T,ROW()+1,MATCH("단지명",'04A_국토부원자료'!$A$4:$T$4,0)),"")))</f>
        <v/>
      </c>
      <c r="E1194" s="172">
        <f>IFERROR(VALUE(SUBSTITUTE(INDEX('04A_국토부원자료'!$A:$T,ROW()+1,MATCH("전용면적(㎡)",'04A_국토부원자료'!$A$4:$T$4,0)),",","")),"")</f>
        <v/>
      </c>
      <c r="F11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94" s="51">
        <f>IFERROR(VALUE(SUBSTITUTE(INDEX('04A_국토부원자료'!$A:$T,ROW()+1,MATCH("거래금액(만원)",'04A_국토부원자료'!$A$4:$T$4,0)),",","")),"")</f>
        <v/>
      </c>
      <c r="H1194" s="174">
        <f>IF(G1194="","",G1194*10000)</f>
        <v/>
      </c>
      <c r="I1194" s="174">
        <f>IFERROR(IF(AND(H1194&gt;0,E1194&gt;0),H1194/E1194,""),"")</f>
        <v/>
      </c>
      <c r="J1194" s="152">
        <f>IFERROR(VALUE(SUBSTITUTE(INDEX('04A_국토부원자료'!$A:$T,ROW()+1,MATCH("층",'04A_국토부원자료'!$A$4:$T$4,0)),",","")),"")</f>
        <v/>
      </c>
      <c r="K1194" s="152">
        <f>IFERROR(VALUE(SUBSTITUTE(INDEX('04A_국토부원자료'!$A:$T,ROW()+1,MATCH("건축년도",'04A_국토부원자료'!$A$4:$T$4,0)),",","")),"")</f>
        <v/>
      </c>
      <c r="L1194" s="176">
        <f>IFERROR(INDEX('04A_국토부원자료'!$A:$T,ROW()+1,MATCH("도로명",'04A_국토부원자료'!$A$4:$T$4,0)),"")</f>
        <v/>
      </c>
      <c r="M1194" s="48">
        <f>IFERROR(INDEX('04A_국토부원자료'!$A:$T,ROW()+1,MATCH("거래유형",'04A_국토부원자료'!$A$4:$T$4,0)),"")</f>
        <v/>
      </c>
      <c r="N1194" s="152">
        <f>IF(B1194="","",IF('02_대상물건입력'!B5="",1,IF(ISNUMBER(SEARCH('02_대상물건입력'!B5,B1194)),1,0)))</f>
        <v/>
      </c>
      <c r="O1194" s="152">
        <f>IF(B1194="","",IF('02_대상물건입력'!B6="",1,IF(ISNUMBER(SEARCH('02_대상물건입력'!B6,B1194)),1,0)))</f>
        <v/>
      </c>
      <c r="P1194" s="152">
        <f>IF(L1194="","",IF('02_대상물건입력'!B15="",0,IF(ISNUMBER(SEARCH('02_대상물건입력'!B15,L1194)),1,0)))</f>
        <v/>
      </c>
      <c r="Q1194" s="152">
        <f>IF(OR(C1194="",L1194=""),0,IF(AND(TRIM(C1194)=TRIM(RIGHT(SUBSTITUTE(TRIM('02_대상물건입력'!$B$7)," ",REPT(" ",99)),99)),IF('02_대상물건입력'!B15="",TRUE(),ISNUMBER(SEARCH('02_대상물건입력'!B15,L1194)))),1,0))</f>
        <v/>
      </c>
      <c r="R1194" s="175">
        <f>IFERROR(ABS(E1194-'02_대상물건입력'!B11)/'02_대상물건입력'!B11,"")</f>
        <v/>
      </c>
      <c r="S1194" s="152">
        <f>IFERROR(ABS(J1194-'02_대상물건입력'!B10),"")</f>
        <v/>
      </c>
      <c r="T1194" s="152">
        <f>IFERROR(ABS('01_설정'!B4-F1194),"")</f>
        <v/>
      </c>
      <c r="U1194" s="152">
        <f>IFERROR(ABS(K1194-YEAR('02_대상물건입력'!B14)),"")</f>
        <v/>
      </c>
      <c r="V1194" s="152">
        <f>IF(B1194="","",IF(AND(E1194&gt;0,F1194&gt;0,H1194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1194=1,TRUE()),R1194&lt;='01_설정'!B5,S1194&lt;='01_설정'!B6,T1194&lt;='01_설정'!B7,U1194&lt;='01_설정'!B8),"Y",""))</f>
        <v/>
      </c>
      <c r="W1194" s="172">
        <f>IF(V1194&lt;&gt;"Y","",MAX(0,(1-R1194/'01_설정'!B5))*'01_설정'!B14+MAX(0,(1-S1194/'01_설정'!B6))*'01_설정'!B15+MAX(0,(1-T1194/'01_설정'!B7))*'01_설정'!B16+MAX(0,(1-U1194/'01_설정'!B8))*'01_설정'!B17+O1194*'01_설정'!B11+Q1194*'01_설정'!B12+P1194*'01_설정'!B13+IF(Z1194="",0,Z1194))</f>
        <v/>
      </c>
      <c r="X1194" s="152">
        <f>IF(W1194="","",1+COUNTIFS($W$4:$W$3003,"&gt;"&amp;W1194)+COUNTIFS($W$4:W1194,W1194)-1)</f>
        <v/>
      </c>
      <c r="Y1194" s="175">
        <f>IF(OR(I1194="",'02_대상물건입력'!B19="",'02_대상물건입력'!B19&lt;=0),"",ABS(I1194-'02_대상물건입력'!B19)/'02_대상물건입력'!B19)</f>
        <v/>
      </c>
      <c r="Z1194" s="172">
        <f>IF(OR(Y1194="",'01_설정'!B31="",'01_설정'!B31&lt;=0,'01_설정'!B32="",'01_설정'!B32&lt;=0),"",MAX(0,(1-Y1194/'01_설정'!B32))*'01_설정'!B31)</f>
        <v/>
      </c>
    </row>
    <row r="1195" ht="17.25" customHeight="1">
      <c r="A1195" s="152">
        <f>IF(INDEX('04A_국토부원자료'!$A:$A,ROW()+1)="","",ROW()-3)</f>
        <v/>
      </c>
      <c r="B1195" s="48">
        <f>IFERROR(INDEX('04A_국토부원자료'!$A:$T,ROW()+1,MATCH("시군구",'04A_국토부원자료'!$A$4:$T$4,0)),"")</f>
        <v/>
      </c>
      <c r="C1195" s="48">
        <f>IF(B1195="","",IFERROR(INDEX('04A_국토부원자료'!$A:$T,ROW()+1,MATCH("번지",'04A_국토부원자료'!$A$4:$T$4,0)),""))</f>
        <v/>
      </c>
      <c r="D1195" s="48">
        <f>IF(B1195="","",IF(Q1195=1,'02_대상물건입력'!$B$8,IFERROR(INDEX('04A_국토부원자료'!$A:$T,ROW()+1,MATCH("단지명",'04A_국토부원자료'!$A$4:$T$4,0)),"")))</f>
        <v/>
      </c>
      <c r="E1195" s="172">
        <f>IFERROR(VALUE(SUBSTITUTE(INDEX('04A_국토부원자료'!$A:$T,ROW()+1,MATCH("전용면적(㎡)",'04A_국토부원자료'!$A$4:$T$4,0)),",","")),"")</f>
        <v/>
      </c>
      <c r="F11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95" s="51">
        <f>IFERROR(VALUE(SUBSTITUTE(INDEX('04A_국토부원자료'!$A:$T,ROW()+1,MATCH("거래금액(만원)",'04A_국토부원자료'!$A$4:$T$4,0)),",","")),"")</f>
        <v/>
      </c>
      <c r="H1195" s="174">
        <f>IF(G1195="","",G1195*10000)</f>
        <v/>
      </c>
      <c r="I1195" s="174">
        <f>IFERROR(IF(AND(H1195&gt;0,E1195&gt;0),H1195/E1195,""),"")</f>
        <v/>
      </c>
      <c r="J1195" s="152">
        <f>IFERROR(VALUE(SUBSTITUTE(INDEX('04A_국토부원자료'!$A:$T,ROW()+1,MATCH("층",'04A_국토부원자료'!$A$4:$T$4,0)),",","")),"")</f>
        <v/>
      </c>
      <c r="K1195" s="152">
        <f>IFERROR(VALUE(SUBSTITUTE(INDEX('04A_국토부원자료'!$A:$T,ROW()+1,MATCH("건축년도",'04A_국토부원자료'!$A$4:$T$4,0)),",","")),"")</f>
        <v/>
      </c>
      <c r="L1195" s="176">
        <f>IFERROR(INDEX('04A_국토부원자료'!$A:$T,ROW()+1,MATCH("도로명",'04A_국토부원자료'!$A$4:$T$4,0)),"")</f>
        <v/>
      </c>
      <c r="M1195" s="48">
        <f>IFERROR(INDEX('04A_국토부원자료'!$A:$T,ROW()+1,MATCH("거래유형",'04A_국토부원자료'!$A$4:$T$4,0)),"")</f>
        <v/>
      </c>
      <c r="N1195" s="152">
        <f>IF(B1195="","",IF('02_대상물건입력'!B5="",1,IF(ISNUMBER(SEARCH('02_대상물건입력'!B5,B1195)),1,0)))</f>
        <v/>
      </c>
      <c r="O1195" s="152">
        <f>IF(B1195="","",IF('02_대상물건입력'!B6="",1,IF(ISNUMBER(SEARCH('02_대상물건입력'!B6,B1195)),1,0)))</f>
        <v/>
      </c>
      <c r="P1195" s="152">
        <f>IF(L1195="","",IF('02_대상물건입력'!B15="",0,IF(ISNUMBER(SEARCH('02_대상물건입력'!B15,L1195)),1,0)))</f>
        <v/>
      </c>
      <c r="Q1195" s="152">
        <f>IF(OR(C1195="",L1195=""),0,IF(AND(TRIM(C1195)=TRIM(RIGHT(SUBSTITUTE(TRIM('02_대상물건입력'!$B$7)," ",REPT(" ",99)),99)),IF('02_대상물건입력'!B15="",TRUE(),ISNUMBER(SEARCH('02_대상물건입력'!B15,L1195)))),1,0))</f>
        <v/>
      </c>
      <c r="R1195" s="175">
        <f>IFERROR(ABS(E1195-'02_대상물건입력'!B11)/'02_대상물건입력'!B11,"")</f>
        <v/>
      </c>
      <c r="S1195" s="152">
        <f>IFERROR(ABS(J1195-'02_대상물건입력'!B10),"")</f>
        <v/>
      </c>
      <c r="T1195" s="152">
        <f>IFERROR(ABS('01_설정'!B4-F1195),"")</f>
        <v/>
      </c>
      <c r="U1195" s="152">
        <f>IFERROR(ABS(K1195-YEAR('02_대상물건입력'!B14)),"")</f>
        <v/>
      </c>
      <c r="V1195" s="152">
        <f>IF(B1195="","",IF(AND(E1195&gt;0,F1195&gt;0,H1195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1195=1,TRUE()),R1195&lt;='01_설정'!B5,S1195&lt;='01_설정'!B6,T1195&lt;='01_설정'!B7,U1195&lt;='01_설정'!B8),"Y",""))</f>
        <v/>
      </c>
      <c r="W1195" s="172">
        <f>IF(V1195&lt;&gt;"Y","",MAX(0,(1-R1195/'01_설정'!B5))*'01_설정'!B14+MAX(0,(1-S1195/'01_설정'!B6))*'01_설정'!B15+MAX(0,(1-T1195/'01_설정'!B7))*'01_설정'!B16+MAX(0,(1-U1195/'01_설정'!B8))*'01_설정'!B17+O1195*'01_설정'!B11+Q1195*'01_설정'!B12+P1195*'01_설정'!B13+IF(Z1195="",0,Z1195))</f>
        <v/>
      </c>
      <c r="X1195" s="152">
        <f>IF(W1195="","",1+COUNTIFS($W$4:$W$3003,"&gt;"&amp;W1195)+COUNTIFS($W$4:W1195,W1195)-1)</f>
        <v/>
      </c>
      <c r="Y1195" s="175">
        <f>IF(OR(I1195="",'02_대상물건입력'!B19="",'02_대상물건입력'!B19&lt;=0),"",ABS(I1195-'02_대상물건입력'!B19)/'02_대상물건입력'!B19)</f>
        <v/>
      </c>
      <c r="Z1195" s="172">
        <f>IF(OR(Y1195="",'01_설정'!B31="",'01_설정'!B31&lt;=0,'01_설정'!B32="",'01_설정'!B32&lt;=0),"",MAX(0,(1-Y1195/'01_설정'!B32))*'01_설정'!B31)</f>
        <v/>
      </c>
    </row>
    <row r="1196" ht="17.25" customHeight="1">
      <c r="A1196" s="152">
        <f>IF(INDEX('04A_국토부원자료'!$A:$A,ROW()+1)="","",ROW()-3)</f>
        <v/>
      </c>
      <c r="B1196" s="48">
        <f>IFERROR(INDEX('04A_국토부원자료'!$A:$T,ROW()+1,MATCH("시군구",'04A_국토부원자료'!$A$4:$T$4,0)),"")</f>
        <v/>
      </c>
      <c r="C1196" s="48">
        <f>IF(B1196="","",IFERROR(INDEX('04A_국토부원자료'!$A:$T,ROW()+1,MATCH("번지",'04A_국토부원자료'!$A$4:$T$4,0)),""))</f>
        <v/>
      </c>
      <c r="D1196" s="48">
        <f>IF(B1196="","",IF(Q1196=1,'02_대상물건입력'!$B$8,IFERROR(INDEX('04A_국토부원자료'!$A:$T,ROW()+1,MATCH("단지명",'04A_국토부원자료'!$A$4:$T$4,0)),"")))</f>
        <v/>
      </c>
      <c r="E1196" s="172">
        <f>IFERROR(VALUE(SUBSTITUTE(INDEX('04A_국토부원자료'!$A:$T,ROW()+1,MATCH("전용면적(㎡)",'04A_국토부원자료'!$A$4:$T$4,0)),",","")),"")</f>
        <v/>
      </c>
      <c r="F11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96" s="51">
        <f>IFERROR(VALUE(SUBSTITUTE(INDEX('04A_국토부원자료'!$A:$T,ROW()+1,MATCH("거래금액(만원)",'04A_국토부원자료'!$A$4:$T$4,0)),",","")),"")</f>
        <v/>
      </c>
      <c r="H1196" s="174">
        <f>IF(G1196="","",G1196*10000)</f>
        <v/>
      </c>
      <c r="I1196" s="174">
        <f>IFERROR(IF(AND(H1196&gt;0,E1196&gt;0),H1196/E1196,""),"")</f>
        <v/>
      </c>
      <c r="J1196" s="152">
        <f>IFERROR(VALUE(SUBSTITUTE(INDEX('04A_국토부원자료'!$A:$T,ROW()+1,MATCH("층",'04A_국토부원자료'!$A$4:$T$4,0)),",","")),"")</f>
        <v/>
      </c>
      <c r="K1196" s="152">
        <f>IFERROR(VALUE(SUBSTITUTE(INDEX('04A_국토부원자료'!$A:$T,ROW()+1,MATCH("건축년도",'04A_국토부원자료'!$A$4:$T$4,0)),",","")),"")</f>
        <v/>
      </c>
      <c r="L1196" s="176">
        <f>IFERROR(INDEX('04A_국토부원자료'!$A:$T,ROW()+1,MATCH("도로명",'04A_국토부원자료'!$A$4:$T$4,0)),"")</f>
        <v/>
      </c>
      <c r="M1196" s="48">
        <f>IFERROR(INDEX('04A_국토부원자료'!$A:$T,ROW()+1,MATCH("거래유형",'04A_국토부원자료'!$A$4:$T$4,0)),"")</f>
        <v/>
      </c>
      <c r="N1196" s="152">
        <f>IF(B1196="","",IF('02_대상물건입력'!B5="",1,IF(ISNUMBER(SEARCH('02_대상물건입력'!B5,B1196)),1,0)))</f>
        <v/>
      </c>
      <c r="O1196" s="152">
        <f>IF(B1196="","",IF('02_대상물건입력'!B6="",1,IF(ISNUMBER(SEARCH('02_대상물건입력'!B6,B1196)),1,0)))</f>
        <v/>
      </c>
      <c r="P1196" s="152">
        <f>IF(L1196="","",IF('02_대상물건입력'!B15="",0,IF(ISNUMBER(SEARCH('02_대상물건입력'!B15,L1196)),1,0)))</f>
        <v/>
      </c>
      <c r="Q1196" s="152">
        <f>IF(OR(C1196="",L1196=""),0,IF(AND(TRIM(C1196)=TRIM(RIGHT(SUBSTITUTE(TRIM('02_대상물건입력'!$B$7)," ",REPT(" ",99)),99)),IF('02_대상물건입력'!B15="",TRUE(),ISNUMBER(SEARCH('02_대상물건입력'!B15,L1196)))),1,0))</f>
        <v/>
      </c>
      <c r="R1196" s="175">
        <f>IFERROR(ABS(E1196-'02_대상물건입력'!B11)/'02_대상물건입력'!B11,"")</f>
        <v/>
      </c>
      <c r="S1196" s="152">
        <f>IFERROR(ABS(J1196-'02_대상물건입력'!B10),"")</f>
        <v/>
      </c>
      <c r="T1196" s="152">
        <f>IFERROR(ABS('01_설정'!B4-F1196),"")</f>
        <v/>
      </c>
      <c r="U1196" s="152">
        <f>IFERROR(ABS(K1196-YEAR('02_대상물건입력'!B14)),"")</f>
        <v/>
      </c>
      <c r="V1196" s="152">
        <f>IF(B1196="","",IF(AND(E1196&gt;0,F1196&gt;0,H1196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1196=1,TRUE()),R1196&lt;='01_설정'!B5,S1196&lt;='01_설정'!B6,T1196&lt;='01_설정'!B7,U1196&lt;='01_설정'!B8),"Y",""))</f>
        <v/>
      </c>
      <c r="W1196" s="172">
        <f>IF(V1196&lt;&gt;"Y","",MAX(0,(1-R1196/'01_설정'!B5))*'01_설정'!B14+MAX(0,(1-S1196/'01_설정'!B6))*'01_설정'!B15+MAX(0,(1-T1196/'01_설정'!B7))*'01_설정'!B16+MAX(0,(1-U1196/'01_설정'!B8))*'01_설정'!B17+O1196*'01_설정'!B11+Q1196*'01_설정'!B12+P1196*'01_설정'!B13+IF(Z1196="",0,Z1196))</f>
        <v/>
      </c>
      <c r="X1196" s="152">
        <f>IF(W1196="","",1+COUNTIFS($W$4:$W$3003,"&gt;"&amp;W1196)+COUNTIFS($W$4:W1196,W1196)-1)</f>
        <v/>
      </c>
      <c r="Y1196" s="175">
        <f>IF(OR(I1196="",'02_대상물건입력'!B19="",'02_대상물건입력'!B19&lt;=0),"",ABS(I1196-'02_대상물건입력'!B19)/'02_대상물건입력'!B19)</f>
        <v/>
      </c>
      <c r="Z1196" s="172">
        <f>IF(OR(Y1196="",'01_설정'!B31="",'01_설정'!B31&lt;=0,'01_설정'!B32="",'01_설정'!B32&lt;=0),"",MAX(0,(1-Y1196/'01_설정'!B32))*'01_설정'!B31)</f>
        <v/>
      </c>
    </row>
    <row r="1197" ht="17.25" customHeight="1">
      <c r="A1197" s="152">
        <f>IF(INDEX('04A_국토부원자료'!$A:$A,ROW()+1)="","",ROW()-3)</f>
        <v/>
      </c>
      <c r="B1197" s="48">
        <f>IFERROR(INDEX('04A_국토부원자료'!$A:$T,ROW()+1,MATCH("시군구",'04A_국토부원자료'!$A$4:$T$4,0)),"")</f>
        <v/>
      </c>
      <c r="C1197" s="48">
        <f>IF(B1197="","",IFERROR(INDEX('04A_국토부원자료'!$A:$T,ROW()+1,MATCH("번지",'04A_국토부원자료'!$A$4:$T$4,0)),""))</f>
        <v/>
      </c>
      <c r="D1197" s="48">
        <f>IF(B1197="","",IF(Q1197=1,'02_대상물건입력'!$B$8,IFERROR(INDEX('04A_국토부원자료'!$A:$T,ROW()+1,MATCH("단지명",'04A_국토부원자료'!$A$4:$T$4,0)),"")))</f>
        <v/>
      </c>
      <c r="E1197" s="172">
        <f>IFERROR(VALUE(SUBSTITUTE(INDEX('04A_국토부원자료'!$A:$T,ROW()+1,MATCH("전용면적(㎡)",'04A_국토부원자료'!$A$4:$T$4,0)),",","")),"")</f>
        <v/>
      </c>
      <c r="F11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97" s="51">
        <f>IFERROR(VALUE(SUBSTITUTE(INDEX('04A_국토부원자료'!$A:$T,ROW()+1,MATCH("거래금액(만원)",'04A_국토부원자료'!$A$4:$T$4,0)),",","")),"")</f>
        <v/>
      </c>
      <c r="H1197" s="174">
        <f>IF(G1197="","",G1197*10000)</f>
        <v/>
      </c>
      <c r="I1197" s="174">
        <f>IFERROR(IF(AND(H1197&gt;0,E1197&gt;0),H1197/E1197,""),"")</f>
        <v/>
      </c>
      <c r="J1197" s="152">
        <f>IFERROR(VALUE(SUBSTITUTE(INDEX('04A_국토부원자료'!$A:$T,ROW()+1,MATCH("층",'04A_국토부원자료'!$A$4:$T$4,0)),",","")),"")</f>
        <v/>
      </c>
      <c r="K1197" s="152">
        <f>IFERROR(VALUE(SUBSTITUTE(INDEX('04A_국토부원자료'!$A:$T,ROW()+1,MATCH("건축년도",'04A_국토부원자료'!$A$4:$T$4,0)),",","")),"")</f>
        <v/>
      </c>
      <c r="L1197" s="176">
        <f>IFERROR(INDEX('04A_국토부원자료'!$A:$T,ROW()+1,MATCH("도로명",'04A_국토부원자료'!$A$4:$T$4,0)),"")</f>
        <v/>
      </c>
      <c r="M1197" s="48">
        <f>IFERROR(INDEX('04A_국토부원자료'!$A:$T,ROW()+1,MATCH("거래유형",'04A_국토부원자료'!$A$4:$T$4,0)),"")</f>
        <v/>
      </c>
      <c r="N1197" s="152">
        <f>IF(B1197="","",IF('02_대상물건입력'!B5="",1,IF(ISNUMBER(SEARCH('02_대상물건입력'!B5,B1197)),1,0)))</f>
        <v/>
      </c>
      <c r="O1197" s="152">
        <f>IF(B1197="","",IF('02_대상물건입력'!B6="",1,IF(ISNUMBER(SEARCH('02_대상물건입력'!B6,B1197)),1,0)))</f>
        <v/>
      </c>
      <c r="P1197" s="152">
        <f>IF(L1197="","",IF('02_대상물건입력'!B15="",0,IF(ISNUMBER(SEARCH('02_대상물건입력'!B15,L1197)),1,0)))</f>
        <v/>
      </c>
      <c r="Q1197" s="152">
        <f>IF(OR(C1197="",L1197=""),0,IF(AND(TRIM(C1197)=TRIM(RIGHT(SUBSTITUTE(TRIM('02_대상물건입력'!$B$7)," ",REPT(" ",99)),99)),IF('02_대상물건입력'!B15="",TRUE(),ISNUMBER(SEARCH('02_대상물건입력'!B15,L1197)))),1,0))</f>
        <v/>
      </c>
      <c r="R1197" s="175">
        <f>IFERROR(ABS(E1197-'02_대상물건입력'!B11)/'02_대상물건입력'!B11,"")</f>
        <v/>
      </c>
      <c r="S1197" s="152">
        <f>IFERROR(ABS(J1197-'02_대상물건입력'!B10),"")</f>
        <v/>
      </c>
      <c r="T1197" s="152">
        <f>IFERROR(ABS('01_설정'!B4-F1197),"")</f>
        <v/>
      </c>
      <c r="U1197" s="152">
        <f>IFERROR(ABS(K1197-YEAR('02_대상물건입력'!B14)),"")</f>
        <v/>
      </c>
      <c r="V1197" s="152">
        <f>IF(B1197="","",IF(AND(E1197&gt;0,F1197&gt;0,H1197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1197=1,TRUE()),R1197&lt;='01_설정'!B5,S1197&lt;='01_설정'!B6,T1197&lt;='01_설정'!B7,U1197&lt;='01_설정'!B8),"Y",""))</f>
        <v/>
      </c>
      <c r="W1197" s="172">
        <f>IF(V1197&lt;&gt;"Y","",MAX(0,(1-R1197/'01_설정'!B5))*'01_설정'!B14+MAX(0,(1-S1197/'01_설정'!B6))*'01_설정'!B15+MAX(0,(1-T1197/'01_설정'!B7))*'01_설정'!B16+MAX(0,(1-U1197/'01_설정'!B8))*'01_설정'!B17+O1197*'01_설정'!B11+Q1197*'01_설정'!B12+P1197*'01_설정'!B13+IF(Z1197="",0,Z1197))</f>
        <v/>
      </c>
      <c r="X1197" s="152">
        <f>IF(W1197="","",1+COUNTIFS($W$4:$W$3003,"&gt;"&amp;W1197)+COUNTIFS($W$4:W1197,W1197)-1)</f>
        <v/>
      </c>
      <c r="Y1197" s="175">
        <f>IF(OR(I1197="",'02_대상물건입력'!B19="",'02_대상물건입력'!B19&lt;=0),"",ABS(I1197-'02_대상물건입력'!B19)/'02_대상물건입력'!B19)</f>
        <v/>
      </c>
      <c r="Z1197" s="172">
        <f>IF(OR(Y1197="",'01_설정'!B31="",'01_설정'!B31&lt;=0,'01_설정'!B32="",'01_설정'!B32&lt;=0),"",MAX(0,(1-Y1197/'01_설정'!B32))*'01_설정'!B31)</f>
        <v/>
      </c>
    </row>
    <row r="1198" ht="17.25" customHeight="1">
      <c r="A1198" s="152">
        <f>IF(INDEX('04A_국토부원자료'!$A:$A,ROW()+1)="","",ROW()-3)</f>
        <v/>
      </c>
      <c r="B1198" s="48">
        <f>IFERROR(INDEX('04A_국토부원자료'!$A:$T,ROW()+1,MATCH("시군구",'04A_국토부원자료'!$A$4:$T$4,0)),"")</f>
        <v/>
      </c>
      <c r="C1198" s="48">
        <f>IF(B1198="","",IFERROR(INDEX('04A_국토부원자료'!$A:$T,ROW()+1,MATCH("번지",'04A_국토부원자료'!$A$4:$T$4,0)),""))</f>
        <v/>
      </c>
      <c r="D1198" s="48">
        <f>IF(B1198="","",IF(Q1198=1,'02_대상물건입력'!$B$8,IFERROR(INDEX('04A_국토부원자료'!$A:$T,ROW()+1,MATCH("단지명",'04A_국토부원자료'!$A$4:$T$4,0)),"")))</f>
        <v/>
      </c>
      <c r="E1198" s="172">
        <f>IFERROR(VALUE(SUBSTITUTE(INDEX('04A_국토부원자료'!$A:$T,ROW()+1,MATCH("전용면적(㎡)",'04A_국토부원자료'!$A$4:$T$4,0)),",","")),"")</f>
        <v/>
      </c>
      <c r="F11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98" s="51">
        <f>IFERROR(VALUE(SUBSTITUTE(INDEX('04A_국토부원자료'!$A:$T,ROW()+1,MATCH("거래금액(만원)",'04A_국토부원자료'!$A$4:$T$4,0)),",","")),"")</f>
        <v/>
      </c>
      <c r="H1198" s="174">
        <f>IF(G1198="","",G1198*10000)</f>
        <v/>
      </c>
      <c r="I1198" s="174">
        <f>IFERROR(IF(AND(H1198&gt;0,E1198&gt;0),H1198/E1198,""),"")</f>
        <v/>
      </c>
      <c r="J1198" s="152">
        <f>IFERROR(VALUE(SUBSTITUTE(INDEX('04A_국토부원자료'!$A:$T,ROW()+1,MATCH("층",'04A_국토부원자료'!$A$4:$T$4,0)),",","")),"")</f>
        <v/>
      </c>
      <c r="K1198" s="152">
        <f>IFERROR(VALUE(SUBSTITUTE(INDEX('04A_국토부원자료'!$A:$T,ROW()+1,MATCH("건축년도",'04A_국토부원자료'!$A$4:$T$4,0)),",","")),"")</f>
        <v/>
      </c>
      <c r="L1198" s="176">
        <f>IFERROR(INDEX('04A_국토부원자료'!$A:$T,ROW()+1,MATCH("도로명",'04A_국토부원자료'!$A$4:$T$4,0)),"")</f>
        <v/>
      </c>
      <c r="M1198" s="48">
        <f>IFERROR(INDEX('04A_국토부원자료'!$A:$T,ROW()+1,MATCH("거래유형",'04A_국토부원자료'!$A$4:$T$4,0)),"")</f>
        <v/>
      </c>
      <c r="N1198" s="152">
        <f>IF(B1198="","",IF('02_대상물건입력'!B5="",1,IF(ISNUMBER(SEARCH('02_대상물건입력'!B5,B1198)),1,0)))</f>
        <v/>
      </c>
      <c r="O1198" s="152">
        <f>IF(B1198="","",IF('02_대상물건입력'!B6="",1,IF(ISNUMBER(SEARCH('02_대상물건입력'!B6,B1198)),1,0)))</f>
        <v/>
      </c>
      <c r="P1198" s="152">
        <f>IF(L1198="","",IF('02_대상물건입력'!B15="",0,IF(ISNUMBER(SEARCH('02_대상물건입력'!B15,L1198)),1,0)))</f>
        <v/>
      </c>
      <c r="Q1198" s="152">
        <f>IF(OR(C1198="",L1198=""),0,IF(AND(TRIM(C1198)=TRIM(RIGHT(SUBSTITUTE(TRIM('02_대상물건입력'!$B$7)," ",REPT(" ",99)),99)),IF('02_대상물건입력'!B15="",TRUE(),ISNUMBER(SEARCH('02_대상물건입력'!B15,L1198)))),1,0))</f>
        <v/>
      </c>
      <c r="R1198" s="175">
        <f>IFERROR(ABS(E1198-'02_대상물건입력'!B11)/'02_대상물건입력'!B11,"")</f>
        <v/>
      </c>
      <c r="S1198" s="152">
        <f>IFERROR(ABS(J1198-'02_대상물건입력'!B10),"")</f>
        <v/>
      </c>
      <c r="T1198" s="152">
        <f>IFERROR(ABS('01_설정'!B4-F1198),"")</f>
        <v/>
      </c>
      <c r="U1198" s="152">
        <f>IFERROR(ABS(K1198-YEAR('02_대상물건입력'!B14)),"")</f>
        <v/>
      </c>
      <c r="V1198" s="152">
        <f>IF(B1198="","",IF(AND(E1198&gt;0,F1198&gt;0,H1198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1198=1,TRUE()),R1198&lt;='01_설정'!B5,S1198&lt;='01_설정'!B6,T1198&lt;='01_설정'!B7,U1198&lt;='01_설정'!B8),"Y",""))</f>
        <v/>
      </c>
      <c r="W1198" s="172">
        <f>IF(V1198&lt;&gt;"Y","",MAX(0,(1-R1198/'01_설정'!B5))*'01_설정'!B14+MAX(0,(1-S1198/'01_설정'!B6))*'01_설정'!B15+MAX(0,(1-T1198/'01_설정'!B7))*'01_설정'!B16+MAX(0,(1-U1198/'01_설정'!B8))*'01_설정'!B17+O1198*'01_설정'!B11+Q1198*'01_설정'!B12+P1198*'01_설정'!B13+IF(Z1198="",0,Z1198))</f>
        <v/>
      </c>
      <c r="X1198" s="152">
        <f>IF(W1198="","",1+COUNTIFS($W$4:$W$3003,"&gt;"&amp;W1198)+COUNTIFS($W$4:W1198,W1198)-1)</f>
        <v/>
      </c>
      <c r="Y1198" s="175">
        <f>IF(OR(I1198="",'02_대상물건입력'!B19="",'02_대상물건입력'!B19&lt;=0),"",ABS(I1198-'02_대상물건입력'!B19)/'02_대상물건입력'!B19)</f>
        <v/>
      </c>
      <c r="Z1198" s="172">
        <f>IF(OR(Y1198="",'01_설정'!B31="",'01_설정'!B31&lt;=0,'01_설정'!B32="",'01_설정'!B32&lt;=0),"",MAX(0,(1-Y1198/'01_설정'!B32))*'01_설정'!B31)</f>
        <v/>
      </c>
    </row>
    <row r="1199" ht="17.25" customHeight="1">
      <c r="A1199" s="152">
        <f>IF(INDEX('04A_국토부원자료'!$A:$A,ROW()+1)="","",ROW()-3)</f>
        <v/>
      </c>
      <c r="B1199" s="48">
        <f>IFERROR(INDEX('04A_국토부원자료'!$A:$T,ROW()+1,MATCH("시군구",'04A_국토부원자료'!$A$4:$T$4,0)),"")</f>
        <v/>
      </c>
      <c r="C1199" s="48">
        <f>IF(B1199="","",IFERROR(INDEX('04A_국토부원자료'!$A:$T,ROW()+1,MATCH("번지",'04A_국토부원자료'!$A$4:$T$4,0)),""))</f>
        <v/>
      </c>
      <c r="D1199" s="48">
        <f>IF(B1199="","",IF(Q1199=1,'02_대상물건입력'!$B$8,IFERROR(INDEX('04A_국토부원자료'!$A:$T,ROW()+1,MATCH("단지명",'04A_국토부원자료'!$A$4:$T$4,0)),"")))</f>
        <v/>
      </c>
      <c r="E1199" s="172">
        <f>IFERROR(VALUE(SUBSTITUTE(INDEX('04A_국토부원자료'!$A:$T,ROW()+1,MATCH("전용면적(㎡)",'04A_국토부원자료'!$A$4:$T$4,0)),",","")),"")</f>
        <v/>
      </c>
      <c r="F11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199" s="51">
        <f>IFERROR(VALUE(SUBSTITUTE(INDEX('04A_국토부원자료'!$A:$T,ROW()+1,MATCH("거래금액(만원)",'04A_국토부원자료'!$A$4:$T$4,0)),",","")),"")</f>
        <v/>
      </c>
      <c r="H1199" s="174">
        <f>IF(G1199="","",G1199*10000)</f>
        <v/>
      </c>
      <c r="I1199" s="174">
        <f>IFERROR(IF(AND(H1199&gt;0,E1199&gt;0),H1199/E1199,""),"")</f>
        <v/>
      </c>
      <c r="J1199" s="152">
        <f>IFERROR(VALUE(SUBSTITUTE(INDEX('04A_국토부원자료'!$A:$T,ROW()+1,MATCH("층",'04A_국토부원자료'!$A$4:$T$4,0)),",","")),"")</f>
        <v/>
      </c>
      <c r="K1199" s="152">
        <f>IFERROR(VALUE(SUBSTITUTE(INDEX('04A_국토부원자료'!$A:$T,ROW()+1,MATCH("건축년도",'04A_국토부원자료'!$A$4:$T$4,0)),",","")),"")</f>
        <v/>
      </c>
      <c r="L1199" s="176">
        <f>IFERROR(INDEX('04A_국토부원자료'!$A:$T,ROW()+1,MATCH("도로명",'04A_국토부원자료'!$A$4:$T$4,0)),"")</f>
        <v/>
      </c>
      <c r="M1199" s="48">
        <f>IFERROR(INDEX('04A_국토부원자료'!$A:$T,ROW()+1,MATCH("거래유형",'04A_국토부원자료'!$A$4:$T$4,0)),"")</f>
        <v/>
      </c>
      <c r="N1199" s="152">
        <f>IF(B1199="","",IF('02_대상물건입력'!B5="",1,IF(ISNUMBER(SEARCH('02_대상물건입력'!B5,B1199)),1,0)))</f>
        <v/>
      </c>
      <c r="O1199" s="152">
        <f>IF(B1199="","",IF('02_대상물건입력'!B6="",1,IF(ISNUMBER(SEARCH('02_대상물건입력'!B6,B1199)),1,0)))</f>
        <v/>
      </c>
      <c r="P1199" s="152">
        <f>IF(L1199="","",IF('02_대상물건입력'!B15="",0,IF(ISNUMBER(SEARCH('02_대상물건입력'!B15,L1199)),1,0)))</f>
        <v/>
      </c>
      <c r="Q1199" s="152">
        <f>IF(OR(C1199="",L1199=""),0,IF(AND(TRIM(C1199)=TRIM(RIGHT(SUBSTITUTE(TRIM('02_대상물건입력'!$B$7)," ",REPT(" ",99)),99)),IF('02_대상물건입력'!B15="",TRUE(),ISNUMBER(SEARCH('02_대상물건입력'!B15,L1199)))),1,0))</f>
        <v/>
      </c>
      <c r="R1199" s="175">
        <f>IFERROR(ABS(E1199-'02_대상물건입력'!B11)/'02_대상물건입력'!B11,"")</f>
        <v/>
      </c>
      <c r="S1199" s="152">
        <f>IFERROR(ABS(J1199-'02_대상물건입력'!B10),"")</f>
        <v/>
      </c>
      <c r="T1199" s="152">
        <f>IFERROR(ABS('01_설정'!B4-F1199),"")</f>
        <v/>
      </c>
      <c r="U1199" s="152">
        <f>IFERROR(ABS(K1199-YEAR('02_대상물건입력'!B14)),"")</f>
        <v/>
      </c>
      <c r="V1199" s="152">
        <f>IF(B1199="","",IF(AND(E1199&gt;0,F1199&gt;0,H1199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1199=1,TRUE()),R1199&lt;='01_설정'!B5,S1199&lt;='01_설정'!B6,T1199&lt;='01_설정'!B7,U1199&lt;='01_설정'!B8),"Y",""))</f>
        <v/>
      </c>
      <c r="W1199" s="172">
        <f>IF(V1199&lt;&gt;"Y","",MAX(0,(1-R1199/'01_설정'!B5))*'01_설정'!B14+MAX(0,(1-S1199/'01_설정'!B6))*'01_설정'!B15+MAX(0,(1-T1199/'01_설정'!B7))*'01_설정'!B16+MAX(0,(1-U1199/'01_설정'!B8))*'01_설정'!B17+O1199*'01_설정'!B11+Q1199*'01_설정'!B12+P1199*'01_설정'!B13+IF(Z1199="",0,Z1199))</f>
        <v/>
      </c>
      <c r="X1199" s="152">
        <f>IF(W1199="","",1+COUNTIFS($W$4:$W$3003,"&gt;"&amp;W1199)+COUNTIFS($W$4:W1199,W1199)-1)</f>
        <v/>
      </c>
      <c r="Y1199" s="175">
        <f>IF(OR(I1199="",'02_대상물건입력'!B19="",'02_대상물건입력'!B19&lt;=0),"",ABS(I1199-'02_대상물건입력'!B19)/'02_대상물건입력'!B19)</f>
        <v/>
      </c>
      <c r="Z1199" s="172">
        <f>IF(OR(Y1199="",'01_설정'!B31="",'01_설정'!B31&lt;=0,'01_설정'!B32="",'01_설정'!B32&lt;=0),"",MAX(0,(1-Y1199/'01_설정'!B32))*'01_설정'!B31)</f>
        <v/>
      </c>
    </row>
    <row r="1200" ht="17.25" customHeight="1">
      <c r="A1200" s="152">
        <f>IF(INDEX('04A_국토부원자료'!$A:$A,ROW()+1)="","",ROW()-3)</f>
        <v/>
      </c>
      <c r="B1200" s="48">
        <f>IFERROR(INDEX('04A_국토부원자료'!$A:$T,ROW()+1,MATCH("시군구",'04A_국토부원자료'!$A$4:$T$4,0)),"")</f>
        <v/>
      </c>
      <c r="C1200" s="48">
        <f>IF(B1200="","",IFERROR(INDEX('04A_국토부원자료'!$A:$T,ROW()+1,MATCH("번지",'04A_국토부원자료'!$A$4:$T$4,0)),""))</f>
        <v/>
      </c>
      <c r="D1200" s="48">
        <f>IF(B1200="","",IF(Q1200=1,'02_대상물건입력'!$B$8,IFERROR(INDEX('04A_국토부원자료'!$A:$T,ROW()+1,MATCH("단지명",'04A_국토부원자료'!$A$4:$T$4,0)),"")))</f>
        <v/>
      </c>
      <c r="E1200" s="172">
        <f>IFERROR(VALUE(SUBSTITUTE(INDEX('04A_국토부원자료'!$A:$T,ROW()+1,MATCH("전용면적(㎡)",'04A_국토부원자료'!$A$4:$T$4,0)),",","")),"")</f>
        <v/>
      </c>
      <c r="F12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00" s="51">
        <f>IFERROR(VALUE(SUBSTITUTE(INDEX('04A_국토부원자료'!$A:$T,ROW()+1,MATCH("거래금액(만원)",'04A_국토부원자료'!$A$4:$T$4,0)),",","")),"")</f>
        <v/>
      </c>
      <c r="H1200" s="174">
        <f>IF(G1200="","",G1200*10000)</f>
        <v/>
      </c>
      <c r="I1200" s="174">
        <f>IFERROR(IF(AND(H1200&gt;0,E1200&gt;0),H1200/E1200,""),"")</f>
        <v/>
      </c>
      <c r="J1200" s="152">
        <f>IFERROR(VALUE(SUBSTITUTE(INDEX('04A_국토부원자료'!$A:$T,ROW()+1,MATCH("층",'04A_국토부원자료'!$A$4:$T$4,0)),",","")),"")</f>
        <v/>
      </c>
      <c r="K1200" s="152">
        <f>IFERROR(VALUE(SUBSTITUTE(INDEX('04A_국토부원자료'!$A:$T,ROW()+1,MATCH("건축년도",'04A_국토부원자료'!$A$4:$T$4,0)),",","")),"")</f>
        <v/>
      </c>
      <c r="L1200" s="176">
        <f>IFERROR(INDEX('04A_국토부원자료'!$A:$T,ROW()+1,MATCH("도로명",'04A_국토부원자료'!$A$4:$T$4,0)),"")</f>
        <v/>
      </c>
      <c r="M1200" s="48">
        <f>IFERROR(INDEX('04A_국토부원자료'!$A:$T,ROW()+1,MATCH("거래유형",'04A_국토부원자료'!$A$4:$T$4,0)),"")</f>
        <v/>
      </c>
      <c r="N1200" s="152">
        <f>IF(B1200="","",IF('02_대상물건입력'!B5="",1,IF(ISNUMBER(SEARCH('02_대상물건입력'!B5,B1200)),1,0)))</f>
        <v/>
      </c>
      <c r="O1200" s="152">
        <f>IF(B1200="","",IF('02_대상물건입력'!B6="",1,IF(ISNUMBER(SEARCH('02_대상물건입력'!B6,B1200)),1,0)))</f>
        <v/>
      </c>
      <c r="P1200" s="152">
        <f>IF(L1200="","",IF('02_대상물건입력'!B15="",0,IF(ISNUMBER(SEARCH('02_대상물건입력'!B15,L1200)),1,0)))</f>
        <v/>
      </c>
      <c r="Q1200" s="152">
        <f>IF(OR(C1200="",L1200=""),0,IF(AND(TRIM(C1200)=TRIM(RIGHT(SUBSTITUTE(TRIM('02_대상물건입력'!$B$7)," ",REPT(" ",99)),99)),IF('02_대상물건입력'!B15="",TRUE(),ISNUMBER(SEARCH('02_대상물건입력'!B15,L1200)))),1,0))</f>
        <v/>
      </c>
      <c r="R1200" s="175">
        <f>IFERROR(ABS(E1200-'02_대상물건입력'!B11)/'02_대상물건입력'!B11,"")</f>
        <v/>
      </c>
      <c r="S1200" s="152">
        <f>IFERROR(ABS(J1200-'02_대상물건입력'!B10),"")</f>
        <v/>
      </c>
      <c r="T1200" s="152">
        <f>IFERROR(ABS('01_설정'!B4-F1200),"")</f>
        <v/>
      </c>
      <c r="U1200" s="152">
        <f>IFERROR(ABS(K1200-YEAR('02_대상물건입력'!B14)),"")</f>
        <v/>
      </c>
      <c r="V1200" s="152">
        <f>IF(B1200="","",IF(AND(E1200&gt;0,F1200&gt;0,H1200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1200=1,TRUE()),R1200&lt;='01_설정'!B5,S1200&lt;='01_설정'!B6,T1200&lt;='01_설정'!B7,U1200&lt;='01_설정'!B8),"Y",""))</f>
        <v/>
      </c>
      <c r="W1200" s="172">
        <f>IF(V1200&lt;&gt;"Y","",MAX(0,(1-R1200/'01_설정'!B5))*'01_설정'!B14+MAX(0,(1-S1200/'01_설정'!B6))*'01_설정'!B15+MAX(0,(1-T1200/'01_설정'!B7))*'01_설정'!B16+MAX(0,(1-U1200/'01_설정'!B8))*'01_설정'!B17+O1200*'01_설정'!B11+Q1200*'01_설정'!B12+P1200*'01_설정'!B13+IF(Z1200="",0,Z1200))</f>
        <v/>
      </c>
      <c r="X1200" s="152">
        <f>IF(W1200="","",1+COUNTIFS($W$4:$W$3003,"&gt;"&amp;W1200)+COUNTIFS($W$4:W1200,W1200)-1)</f>
        <v/>
      </c>
      <c r="Y1200" s="175">
        <f>IF(OR(I1200="",'02_대상물건입력'!B19="",'02_대상물건입력'!B19&lt;=0),"",ABS(I1200-'02_대상물건입력'!B19)/'02_대상물건입력'!B19)</f>
        <v/>
      </c>
      <c r="Z1200" s="172">
        <f>IF(OR(Y1200="",'01_설정'!B31="",'01_설정'!B31&lt;=0,'01_설정'!B32="",'01_설정'!B32&lt;=0),"",MAX(0,(1-Y1200/'01_설정'!B32))*'01_설정'!B31)</f>
        <v/>
      </c>
    </row>
    <row r="1201" ht="17.25" customHeight="1">
      <c r="A1201" s="152">
        <f>IF(INDEX('04A_국토부원자료'!$A:$A,ROW()+1)="","",ROW()-3)</f>
        <v/>
      </c>
      <c r="B1201" s="48">
        <f>IFERROR(INDEX('04A_국토부원자료'!$A:$T,ROW()+1,MATCH("시군구",'04A_국토부원자료'!$A$4:$T$4,0)),"")</f>
        <v/>
      </c>
      <c r="C1201" s="48">
        <f>IF(B1201="","",IFERROR(INDEX('04A_국토부원자료'!$A:$T,ROW()+1,MATCH("번지",'04A_국토부원자료'!$A$4:$T$4,0)),""))</f>
        <v/>
      </c>
      <c r="D1201" s="48">
        <f>IF(B1201="","",IF(Q1201=1,'02_대상물건입력'!$B$8,IFERROR(INDEX('04A_국토부원자료'!$A:$T,ROW()+1,MATCH("단지명",'04A_국토부원자료'!$A$4:$T$4,0)),"")))</f>
        <v/>
      </c>
      <c r="E1201" s="172">
        <f>IFERROR(VALUE(SUBSTITUTE(INDEX('04A_국토부원자료'!$A:$T,ROW()+1,MATCH("전용면적(㎡)",'04A_국토부원자료'!$A$4:$T$4,0)),",","")),"")</f>
        <v/>
      </c>
      <c r="F12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01" s="51">
        <f>IFERROR(VALUE(SUBSTITUTE(INDEX('04A_국토부원자료'!$A:$T,ROW()+1,MATCH("거래금액(만원)",'04A_국토부원자료'!$A$4:$T$4,0)),",","")),"")</f>
        <v/>
      </c>
      <c r="H1201" s="174">
        <f>IF(G1201="","",G1201*10000)</f>
        <v/>
      </c>
      <c r="I1201" s="174">
        <f>IFERROR(IF(AND(H1201&gt;0,E1201&gt;0),H1201/E1201,""),"")</f>
        <v/>
      </c>
      <c r="J1201" s="152">
        <f>IFERROR(VALUE(SUBSTITUTE(INDEX('04A_국토부원자료'!$A:$T,ROW()+1,MATCH("층",'04A_국토부원자료'!$A$4:$T$4,0)),",","")),"")</f>
        <v/>
      </c>
      <c r="K1201" s="152">
        <f>IFERROR(VALUE(SUBSTITUTE(INDEX('04A_국토부원자료'!$A:$T,ROW()+1,MATCH("건축년도",'04A_국토부원자료'!$A$4:$T$4,0)),",","")),"")</f>
        <v/>
      </c>
      <c r="L1201" s="176">
        <f>IFERROR(INDEX('04A_국토부원자료'!$A:$T,ROW()+1,MATCH("도로명",'04A_국토부원자료'!$A$4:$T$4,0)),"")</f>
        <v/>
      </c>
      <c r="M1201" s="48">
        <f>IFERROR(INDEX('04A_국토부원자료'!$A:$T,ROW()+1,MATCH("거래유형",'04A_국토부원자료'!$A$4:$T$4,0)),"")</f>
        <v/>
      </c>
      <c r="N1201" s="152">
        <f>IF(B1201="","",IF('02_대상물건입력'!B5="",1,IF(ISNUMBER(SEARCH('02_대상물건입력'!B5,B1201)),1,0)))</f>
        <v/>
      </c>
      <c r="O1201" s="152">
        <f>IF(B1201="","",IF('02_대상물건입력'!B6="",1,IF(ISNUMBER(SEARCH('02_대상물건입력'!B6,B1201)),1,0)))</f>
        <v/>
      </c>
      <c r="P1201" s="152">
        <f>IF(L1201="","",IF('02_대상물건입력'!B15="",0,IF(ISNUMBER(SEARCH('02_대상물건입력'!B15,L1201)),1,0)))</f>
        <v/>
      </c>
      <c r="Q1201" s="152">
        <f>IF(OR(C1201="",L1201=""),0,IF(AND(TRIM(C1201)=TRIM(RIGHT(SUBSTITUTE(TRIM('02_대상물건입력'!$B$7)," ",REPT(" ",99)),99)),IF('02_대상물건입력'!B15="",TRUE(),ISNUMBER(SEARCH('02_대상물건입력'!B15,L1201)))),1,0))</f>
        <v/>
      </c>
      <c r="R1201" s="175">
        <f>IFERROR(ABS(E1201-'02_대상물건입력'!B11)/'02_대상물건입력'!B11,"")</f>
        <v/>
      </c>
      <c r="S1201" s="152">
        <f>IFERROR(ABS(J1201-'02_대상물건입력'!B10),"")</f>
        <v/>
      </c>
      <c r="T1201" s="152">
        <f>IFERROR(ABS('01_설정'!B4-F1201),"")</f>
        <v/>
      </c>
      <c r="U1201" s="152">
        <f>IFERROR(ABS(K1201-YEAR('02_대상물건입력'!B14)),"")</f>
        <v/>
      </c>
      <c r="V1201" s="152">
        <f>IF(B1201="","",IF(AND(E1201&gt;0,F1201&gt;0,H1201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1201=1,TRUE()),R1201&lt;='01_설정'!B5,S1201&lt;='01_설정'!B6,T1201&lt;='01_설정'!B7,U1201&lt;='01_설정'!B8),"Y",""))</f>
        <v/>
      </c>
      <c r="W1201" s="172">
        <f>IF(V1201&lt;&gt;"Y","",MAX(0,(1-R1201/'01_설정'!B5))*'01_설정'!B14+MAX(0,(1-S1201/'01_설정'!B6))*'01_설정'!B15+MAX(0,(1-T1201/'01_설정'!B7))*'01_설정'!B16+MAX(0,(1-U1201/'01_설정'!B8))*'01_설정'!B17+O1201*'01_설정'!B11+Q1201*'01_설정'!B12+P1201*'01_설정'!B13+IF(Z1201="",0,Z1201))</f>
        <v/>
      </c>
      <c r="X1201" s="152">
        <f>IF(W1201="","",1+COUNTIFS($W$4:$W$3003,"&gt;"&amp;W1201)+COUNTIFS($W$4:W1201,W1201)-1)</f>
        <v/>
      </c>
      <c r="Y1201" s="175">
        <f>IF(OR(I1201="",'02_대상물건입력'!B19="",'02_대상물건입력'!B19&lt;=0),"",ABS(I1201-'02_대상물건입력'!B19)/'02_대상물건입력'!B19)</f>
        <v/>
      </c>
      <c r="Z1201" s="172">
        <f>IF(OR(Y1201="",'01_설정'!B31="",'01_설정'!B31&lt;=0,'01_설정'!B32="",'01_설정'!B32&lt;=0),"",MAX(0,(1-Y1201/'01_설정'!B32))*'01_설정'!B31)</f>
        <v/>
      </c>
    </row>
    <row r="1202" ht="17.25" customHeight="1">
      <c r="A1202" s="152">
        <f>IF(INDEX('04A_국토부원자료'!$A:$A,ROW()+1)="","",ROW()-3)</f>
        <v/>
      </c>
      <c r="B1202" s="48">
        <f>IFERROR(INDEX('04A_국토부원자료'!$A:$T,ROW()+1,MATCH("시군구",'04A_국토부원자료'!$A$4:$T$4,0)),"")</f>
        <v/>
      </c>
      <c r="C1202" s="48">
        <f>IF(B1202="","",IFERROR(INDEX('04A_국토부원자료'!$A:$T,ROW()+1,MATCH("번지",'04A_국토부원자료'!$A$4:$T$4,0)),""))</f>
        <v/>
      </c>
      <c r="D1202" s="48">
        <f>IF(B1202="","",IF(Q1202=1,'02_대상물건입력'!$B$8,IFERROR(INDEX('04A_국토부원자료'!$A:$T,ROW()+1,MATCH("단지명",'04A_국토부원자료'!$A$4:$T$4,0)),"")))</f>
        <v/>
      </c>
      <c r="E1202" s="172">
        <f>IFERROR(VALUE(SUBSTITUTE(INDEX('04A_국토부원자료'!$A:$T,ROW()+1,MATCH("전용면적(㎡)",'04A_국토부원자료'!$A$4:$T$4,0)),",","")),"")</f>
        <v/>
      </c>
      <c r="F12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02" s="51">
        <f>IFERROR(VALUE(SUBSTITUTE(INDEX('04A_국토부원자료'!$A:$T,ROW()+1,MATCH("거래금액(만원)",'04A_국토부원자료'!$A$4:$T$4,0)),",","")),"")</f>
        <v/>
      </c>
      <c r="H1202" s="174">
        <f>IF(G1202="","",G1202*10000)</f>
        <v/>
      </c>
      <c r="I1202" s="174">
        <f>IFERROR(IF(AND(H1202&gt;0,E1202&gt;0),H1202/E1202,""),"")</f>
        <v/>
      </c>
      <c r="J1202" s="152">
        <f>IFERROR(VALUE(SUBSTITUTE(INDEX('04A_국토부원자료'!$A:$T,ROW()+1,MATCH("층",'04A_국토부원자료'!$A$4:$T$4,0)),",","")),"")</f>
        <v/>
      </c>
      <c r="K1202" s="152">
        <f>IFERROR(VALUE(SUBSTITUTE(INDEX('04A_국토부원자료'!$A:$T,ROW()+1,MATCH("건축년도",'04A_국토부원자료'!$A$4:$T$4,0)),",","")),"")</f>
        <v/>
      </c>
      <c r="L1202" s="176">
        <f>IFERROR(INDEX('04A_국토부원자료'!$A:$T,ROW()+1,MATCH("도로명",'04A_국토부원자료'!$A$4:$T$4,0)),"")</f>
        <v/>
      </c>
      <c r="M1202" s="48">
        <f>IFERROR(INDEX('04A_국토부원자료'!$A:$T,ROW()+1,MATCH("거래유형",'04A_국토부원자료'!$A$4:$T$4,0)),"")</f>
        <v/>
      </c>
      <c r="N1202" s="152">
        <f>IF(B1202="","",IF('02_대상물건입력'!B5="",1,IF(ISNUMBER(SEARCH('02_대상물건입력'!B5,B1202)),1,0)))</f>
        <v/>
      </c>
      <c r="O1202" s="152">
        <f>IF(B1202="","",IF('02_대상물건입력'!B6="",1,IF(ISNUMBER(SEARCH('02_대상물건입력'!B6,B1202)),1,0)))</f>
        <v/>
      </c>
      <c r="P1202" s="152">
        <f>IF(L1202="","",IF('02_대상물건입력'!B15="",0,IF(ISNUMBER(SEARCH('02_대상물건입력'!B15,L1202)),1,0)))</f>
        <v/>
      </c>
      <c r="Q1202" s="152">
        <f>IF(OR(C1202="",L1202=""),0,IF(AND(TRIM(C1202)=TRIM(RIGHT(SUBSTITUTE(TRIM('02_대상물건입력'!$B$7)," ",REPT(" ",99)),99)),IF('02_대상물건입력'!B15="",TRUE(),ISNUMBER(SEARCH('02_대상물건입력'!B15,L1202)))),1,0))</f>
        <v/>
      </c>
      <c r="R1202" s="175">
        <f>IFERROR(ABS(E1202-'02_대상물건입력'!B11)/'02_대상물건입력'!B11,"")</f>
        <v/>
      </c>
      <c r="S1202" s="152">
        <f>IFERROR(ABS(J1202-'02_대상물건입력'!B10),"")</f>
        <v/>
      </c>
      <c r="T1202" s="152">
        <f>IFERROR(ABS('01_설정'!B4-F1202),"")</f>
        <v/>
      </c>
      <c r="U1202" s="152">
        <f>IFERROR(ABS(K1202-YEAR('02_대상물건입력'!B14)),"")</f>
        <v/>
      </c>
      <c r="V1202" s="152">
        <f>IF(B1202="","",IF(AND(E1202&gt;0,F1202&gt;0,H1202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1202=1,TRUE()),R1202&lt;='01_설정'!B5,S1202&lt;='01_설정'!B6,T1202&lt;='01_설정'!B7,U1202&lt;='01_설정'!B8),"Y",""))</f>
        <v/>
      </c>
      <c r="W1202" s="172">
        <f>IF(V1202&lt;&gt;"Y","",MAX(0,(1-R1202/'01_설정'!B5))*'01_설정'!B14+MAX(0,(1-S1202/'01_설정'!B6))*'01_설정'!B15+MAX(0,(1-T1202/'01_설정'!B7))*'01_설정'!B16+MAX(0,(1-U1202/'01_설정'!B8))*'01_설정'!B17+O1202*'01_설정'!B11+Q1202*'01_설정'!B12+P1202*'01_설정'!B13+IF(Z1202="",0,Z1202))</f>
        <v/>
      </c>
      <c r="X1202" s="152">
        <f>IF(W1202="","",1+COUNTIFS($W$4:$W$3003,"&gt;"&amp;W1202)+COUNTIFS($W$4:W1202,W1202)-1)</f>
        <v/>
      </c>
      <c r="Y1202" s="175">
        <f>IF(OR(I1202="",'02_대상물건입력'!B19="",'02_대상물건입력'!B19&lt;=0),"",ABS(I1202-'02_대상물건입력'!B19)/'02_대상물건입력'!B19)</f>
        <v/>
      </c>
      <c r="Z1202" s="172">
        <f>IF(OR(Y1202="",'01_설정'!B31="",'01_설정'!B31&lt;=0,'01_설정'!B32="",'01_설정'!B32&lt;=0),"",MAX(0,(1-Y1202/'01_설정'!B32))*'01_설정'!B31)</f>
        <v/>
      </c>
    </row>
    <row r="1203" ht="17.25" customHeight="1">
      <c r="A1203" s="152">
        <f>IF(INDEX('04A_국토부원자료'!$A:$A,ROW()+1)="","",ROW()-3)</f>
        <v/>
      </c>
      <c r="B1203" s="48">
        <f>IFERROR(INDEX('04A_국토부원자료'!$A:$T,ROW()+1,MATCH("시군구",'04A_국토부원자료'!$A$4:$T$4,0)),"")</f>
        <v/>
      </c>
      <c r="C1203" s="48">
        <f>IF(B1203="","",IFERROR(INDEX('04A_국토부원자료'!$A:$T,ROW()+1,MATCH("번지",'04A_국토부원자료'!$A$4:$T$4,0)),""))</f>
        <v/>
      </c>
      <c r="D1203" s="48">
        <f>IF(B1203="","",IF(Q1203=1,'02_대상물건입력'!$B$8,IFERROR(INDEX('04A_국토부원자료'!$A:$T,ROW()+1,MATCH("단지명",'04A_국토부원자료'!$A$4:$T$4,0)),"")))</f>
        <v/>
      </c>
      <c r="E1203" s="172">
        <f>IFERROR(VALUE(SUBSTITUTE(INDEX('04A_국토부원자료'!$A:$T,ROW()+1,MATCH("전용면적(㎡)",'04A_국토부원자료'!$A$4:$T$4,0)),",","")),"")</f>
        <v/>
      </c>
      <c r="F12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03" s="51">
        <f>IFERROR(VALUE(SUBSTITUTE(INDEX('04A_국토부원자료'!$A:$T,ROW()+1,MATCH("거래금액(만원)",'04A_국토부원자료'!$A$4:$T$4,0)),",","")),"")</f>
        <v/>
      </c>
      <c r="H1203" s="174">
        <f>IF(G1203="","",G1203*10000)</f>
        <v/>
      </c>
      <c r="I1203" s="174">
        <f>IFERROR(IF(AND(H1203&gt;0,E1203&gt;0),H1203/E1203,""),"")</f>
        <v/>
      </c>
      <c r="J1203" s="152">
        <f>IFERROR(VALUE(SUBSTITUTE(INDEX('04A_국토부원자료'!$A:$T,ROW()+1,MATCH("층",'04A_국토부원자료'!$A$4:$T$4,0)),",","")),"")</f>
        <v/>
      </c>
      <c r="K1203" s="152">
        <f>IFERROR(VALUE(SUBSTITUTE(INDEX('04A_국토부원자료'!$A:$T,ROW()+1,MATCH("건축년도",'04A_국토부원자료'!$A$4:$T$4,0)),",","")),"")</f>
        <v/>
      </c>
      <c r="L1203" s="176">
        <f>IFERROR(INDEX('04A_국토부원자료'!$A:$T,ROW()+1,MATCH("도로명",'04A_국토부원자료'!$A$4:$T$4,0)),"")</f>
        <v/>
      </c>
      <c r="M1203" s="48">
        <f>IFERROR(INDEX('04A_국토부원자료'!$A:$T,ROW()+1,MATCH("거래유형",'04A_국토부원자료'!$A$4:$T$4,0)),"")</f>
        <v/>
      </c>
      <c r="N1203" s="152">
        <f>IF(B1203="","",IF('02_대상물건입력'!B5="",1,IF(ISNUMBER(SEARCH('02_대상물건입력'!B5,B1203)),1,0)))</f>
        <v/>
      </c>
      <c r="O1203" s="152">
        <f>IF(B1203="","",IF('02_대상물건입력'!B6="",1,IF(ISNUMBER(SEARCH('02_대상물건입력'!B6,B1203)),1,0)))</f>
        <v/>
      </c>
      <c r="P1203" s="152">
        <f>IF(L1203="","",IF('02_대상물건입력'!B15="",0,IF(ISNUMBER(SEARCH('02_대상물건입력'!B15,L1203)),1,0)))</f>
        <v/>
      </c>
      <c r="Q1203" s="152">
        <f>IF(OR(C1203="",L1203=""),0,IF(AND(TRIM(C1203)=TRIM(RIGHT(SUBSTITUTE(TRIM('02_대상물건입력'!$B$7)," ",REPT(" ",99)),99)),IF('02_대상물건입력'!B15="",TRUE(),ISNUMBER(SEARCH('02_대상물건입력'!B15,L1203)))),1,0))</f>
        <v/>
      </c>
      <c r="R1203" s="175">
        <f>IFERROR(ABS(E1203-'02_대상물건입력'!B11)/'02_대상물건입력'!B11,"")</f>
        <v/>
      </c>
      <c r="S1203" s="152">
        <f>IFERROR(ABS(J1203-'02_대상물건입력'!B10),"")</f>
        <v/>
      </c>
      <c r="T1203" s="152">
        <f>IFERROR(ABS('01_설정'!B4-F1203),"")</f>
        <v/>
      </c>
      <c r="U1203" s="152">
        <f>IFERROR(ABS(K1203-YEAR('02_대상물건입력'!B14)),"")</f>
        <v/>
      </c>
      <c r="V1203" s="152">
        <f>IF(B1203="","",IF(AND(E1203&gt;0,F1203&gt;0,H1203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1203=1,TRUE()),R1203&lt;='01_설정'!B5,S1203&lt;='01_설정'!B6,T1203&lt;='01_설정'!B7,U1203&lt;='01_설정'!B8),"Y",""))</f>
        <v/>
      </c>
      <c r="W1203" s="172">
        <f>IF(V1203&lt;&gt;"Y","",MAX(0,(1-R1203/'01_설정'!B5))*'01_설정'!B14+MAX(0,(1-S1203/'01_설정'!B6))*'01_설정'!B15+MAX(0,(1-T1203/'01_설정'!B7))*'01_설정'!B16+MAX(0,(1-U1203/'01_설정'!B8))*'01_설정'!B17+O1203*'01_설정'!B11+Q1203*'01_설정'!B12+P1203*'01_설정'!B13+IF(Z1203="",0,Z1203))</f>
        <v/>
      </c>
      <c r="X1203" s="152">
        <f>IF(W1203="","",1+COUNTIFS($W$4:$W$3003,"&gt;"&amp;W1203)+COUNTIFS($W$4:W1203,W1203)-1)</f>
        <v/>
      </c>
      <c r="Y1203" s="175">
        <f>IF(OR(I1203="",'02_대상물건입력'!B19="",'02_대상물건입력'!B19&lt;=0),"",ABS(I1203-'02_대상물건입력'!B19)/'02_대상물건입력'!B19)</f>
        <v/>
      </c>
      <c r="Z1203" s="172">
        <f>IF(OR(Y1203="",'01_설정'!B31="",'01_설정'!B31&lt;=0,'01_설정'!B32="",'01_설정'!B32&lt;=0),"",MAX(0,(1-Y1203/'01_설정'!B32))*'01_설정'!B31)</f>
        <v/>
      </c>
    </row>
    <row r="1204" ht="17.25" customHeight="1">
      <c r="A1204" s="152">
        <f>IF(INDEX('04A_국토부원자료'!$A:$A,ROW()+1)="","",ROW()-3)</f>
        <v/>
      </c>
      <c r="B1204" s="48">
        <f>IFERROR(INDEX('04A_국토부원자료'!$A:$T,ROW()+1,MATCH("시군구",'04A_국토부원자료'!$A$4:$T$4,0)),"")</f>
        <v/>
      </c>
      <c r="C1204" s="48">
        <f>IF(B1204="","",IFERROR(INDEX('04A_국토부원자료'!$A:$T,ROW()+1,MATCH("번지",'04A_국토부원자료'!$A$4:$T$4,0)),""))</f>
        <v/>
      </c>
      <c r="D1204" s="48">
        <f>IF(B1204="","",IF(Q1204=1,'02_대상물건입력'!$B$8,IFERROR(INDEX('04A_국토부원자료'!$A:$T,ROW()+1,MATCH("단지명",'04A_국토부원자료'!$A$4:$T$4,0)),"")))</f>
        <v/>
      </c>
      <c r="E1204" s="172">
        <f>IFERROR(VALUE(SUBSTITUTE(INDEX('04A_국토부원자료'!$A:$T,ROW()+1,MATCH("전용면적(㎡)",'04A_국토부원자료'!$A$4:$T$4,0)),",","")),"")</f>
        <v/>
      </c>
      <c r="F12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04" s="51">
        <f>IFERROR(VALUE(SUBSTITUTE(INDEX('04A_국토부원자료'!$A:$T,ROW()+1,MATCH("거래금액(만원)",'04A_국토부원자료'!$A$4:$T$4,0)),",","")),"")</f>
        <v/>
      </c>
      <c r="H1204" s="174">
        <f>IF(G1204="","",G1204*10000)</f>
        <v/>
      </c>
      <c r="I1204" s="174">
        <f>IFERROR(IF(AND(H1204&gt;0,E1204&gt;0),H1204/E1204,""),"")</f>
        <v/>
      </c>
      <c r="J1204" s="152">
        <f>IFERROR(VALUE(SUBSTITUTE(INDEX('04A_국토부원자료'!$A:$T,ROW()+1,MATCH("층",'04A_국토부원자료'!$A$4:$T$4,0)),",","")),"")</f>
        <v/>
      </c>
      <c r="K1204" s="152">
        <f>IFERROR(VALUE(SUBSTITUTE(INDEX('04A_국토부원자료'!$A:$T,ROW()+1,MATCH("건축년도",'04A_국토부원자료'!$A$4:$T$4,0)),",","")),"")</f>
        <v/>
      </c>
      <c r="L1204" s="176">
        <f>IFERROR(INDEX('04A_국토부원자료'!$A:$T,ROW()+1,MATCH("도로명",'04A_국토부원자료'!$A$4:$T$4,0)),"")</f>
        <v/>
      </c>
      <c r="M1204" s="48">
        <f>IFERROR(INDEX('04A_국토부원자료'!$A:$T,ROW()+1,MATCH("거래유형",'04A_국토부원자료'!$A$4:$T$4,0)),"")</f>
        <v/>
      </c>
      <c r="N1204" s="152">
        <f>IF(B1204="","",IF('02_대상물건입력'!B5="",1,IF(ISNUMBER(SEARCH('02_대상물건입력'!B5,B1204)),1,0)))</f>
        <v/>
      </c>
      <c r="O1204" s="152">
        <f>IF(B1204="","",IF('02_대상물건입력'!B6="",1,IF(ISNUMBER(SEARCH('02_대상물건입력'!B6,B1204)),1,0)))</f>
        <v/>
      </c>
      <c r="P1204" s="152">
        <f>IF(L1204="","",IF('02_대상물건입력'!B15="",0,IF(ISNUMBER(SEARCH('02_대상물건입력'!B15,L1204)),1,0)))</f>
        <v/>
      </c>
      <c r="Q1204" s="152">
        <f>IF(OR(C1204="",L1204=""),0,IF(AND(TRIM(C1204)=TRIM(RIGHT(SUBSTITUTE(TRIM('02_대상물건입력'!$B$7)," ",REPT(" ",99)),99)),IF('02_대상물건입력'!B15="",TRUE(),ISNUMBER(SEARCH('02_대상물건입력'!B15,L1204)))),1,0))</f>
        <v/>
      </c>
      <c r="R1204" s="175">
        <f>IFERROR(ABS(E1204-'02_대상물건입력'!B11)/'02_대상물건입력'!B11,"")</f>
        <v/>
      </c>
      <c r="S1204" s="152">
        <f>IFERROR(ABS(J1204-'02_대상물건입력'!B10),"")</f>
        <v/>
      </c>
      <c r="T1204" s="152">
        <f>IFERROR(ABS('01_설정'!B4-F1204),"")</f>
        <v/>
      </c>
      <c r="U1204" s="152">
        <f>IFERROR(ABS(K1204-YEAR('02_대상물건입력'!B14)),"")</f>
        <v/>
      </c>
      <c r="V1204" s="152">
        <f>IF(B1204="","",IF(AND(E1204&gt;0,F1204&gt;0,H1204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1204=1,TRUE()),R1204&lt;='01_설정'!B5,S1204&lt;='01_설정'!B6,T1204&lt;='01_설정'!B7,U1204&lt;='01_설정'!B8),"Y",""))</f>
        <v/>
      </c>
      <c r="W1204" s="172">
        <f>IF(V1204&lt;&gt;"Y","",MAX(0,(1-R1204/'01_설정'!B5))*'01_설정'!B14+MAX(0,(1-S1204/'01_설정'!B6))*'01_설정'!B15+MAX(0,(1-T1204/'01_설정'!B7))*'01_설정'!B16+MAX(0,(1-U1204/'01_설정'!B8))*'01_설정'!B17+O1204*'01_설정'!B11+Q1204*'01_설정'!B12+P1204*'01_설정'!B13+IF(Z1204="",0,Z1204))</f>
        <v/>
      </c>
      <c r="X1204" s="152">
        <f>IF(W1204="","",1+COUNTIFS($W$4:$W$3003,"&gt;"&amp;W1204)+COUNTIFS($W$4:W1204,W1204)-1)</f>
        <v/>
      </c>
      <c r="Y1204" s="175">
        <f>IF(OR(I1204="",'02_대상물건입력'!B19="",'02_대상물건입력'!B19&lt;=0),"",ABS(I1204-'02_대상물건입력'!B19)/'02_대상물건입력'!B19)</f>
        <v/>
      </c>
      <c r="Z1204" s="172">
        <f>IF(OR(Y1204="",'01_설정'!B31="",'01_설정'!B31&lt;=0,'01_설정'!B32="",'01_설정'!B32&lt;=0),"",MAX(0,(1-Y1204/'01_설정'!B32))*'01_설정'!B31)</f>
        <v/>
      </c>
    </row>
    <row r="1205" ht="17.25" customHeight="1">
      <c r="A1205" s="152">
        <f>IF(INDEX('04A_국토부원자료'!$A:$A,ROW()+1)="","",ROW()-3)</f>
        <v/>
      </c>
      <c r="B1205" s="48">
        <f>IFERROR(INDEX('04A_국토부원자료'!$A:$T,ROW()+1,MATCH("시군구",'04A_국토부원자료'!$A$4:$T$4,0)),"")</f>
        <v/>
      </c>
      <c r="C1205" s="48">
        <f>IF(B1205="","",IFERROR(INDEX('04A_국토부원자료'!$A:$T,ROW()+1,MATCH("번지",'04A_국토부원자료'!$A$4:$T$4,0)),""))</f>
        <v/>
      </c>
      <c r="D1205" s="48">
        <f>IF(B1205="","",IF(Q1205=1,'02_대상물건입력'!$B$8,IFERROR(INDEX('04A_국토부원자료'!$A:$T,ROW()+1,MATCH("단지명",'04A_국토부원자료'!$A$4:$T$4,0)),"")))</f>
        <v/>
      </c>
      <c r="E1205" s="172">
        <f>IFERROR(VALUE(SUBSTITUTE(INDEX('04A_국토부원자료'!$A:$T,ROW()+1,MATCH("전용면적(㎡)",'04A_국토부원자료'!$A$4:$T$4,0)),",","")),"")</f>
        <v/>
      </c>
      <c r="F12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05" s="51">
        <f>IFERROR(VALUE(SUBSTITUTE(INDEX('04A_국토부원자료'!$A:$T,ROW()+1,MATCH("거래금액(만원)",'04A_국토부원자료'!$A$4:$T$4,0)),",","")),"")</f>
        <v/>
      </c>
      <c r="H1205" s="174">
        <f>IF(G1205="","",G1205*10000)</f>
        <v/>
      </c>
      <c r="I1205" s="174">
        <f>IFERROR(IF(AND(H1205&gt;0,E1205&gt;0),H1205/E1205,""),"")</f>
        <v/>
      </c>
      <c r="J1205" s="152">
        <f>IFERROR(VALUE(SUBSTITUTE(INDEX('04A_국토부원자료'!$A:$T,ROW()+1,MATCH("층",'04A_국토부원자료'!$A$4:$T$4,0)),",","")),"")</f>
        <v/>
      </c>
      <c r="K1205" s="152">
        <f>IFERROR(VALUE(SUBSTITUTE(INDEX('04A_국토부원자료'!$A:$T,ROW()+1,MATCH("건축년도",'04A_국토부원자료'!$A$4:$T$4,0)),",","")),"")</f>
        <v/>
      </c>
      <c r="L1205" s="176">
        <f>IFERROR(INDEX('04A_국토부원자료'!$A:$T,ROW()+1,MATCH("도로명",'04A_국토부원자료'!$A$4:$T$4,0)),"")</f>
        <v/>
      </c>
      <c r="M1205" s="48">
        <f>IFERROR(INDEX('04A_국토부원자료'!$A:$T,ROW()+1,MATCH("거래유형",'04A_국토부원자료'!$A$4:$T$4,0)),"")</f>
        <v/>
      </c>
      <c r="N1205" s="152">
        <f>IF(B1205="","",IF('02_대상물건입력'!B5="",1,IF(ISNUMBER(SEARCH('02_대상물건입력'!B5,B1205)),1,0)))</f>
        <v/>
      </c>
      <c r="O1205" s="152">
        <f>IF(B1205="","",IF('02_대상물건입력'!B6="",1,IF(ISNUMBER(SEARCH('02_대상물건입력'!B6,B1205)),1,0)))</f>
        <v/>
      </c>
      <c r="P1205" s="152">
        <f>IF(L1205="","",IF('02_대상물건입력'!B15="",0,IF(ISNUMBER(SEARCH('02_대상물건입력'!B15,L1205)),1,0)))</f>
        <v/>
      </c>
      <c r="Q1205" s="152">
        <f>IF(OR(C1205="",L1205=""),0,IF(AND(TRIM(C1205)=TRIM(RIGHT(SUBSTITUTE(TRIM('02_대상물건입력'!$B$7)," ",REPT(" ",99)),99)),IF('02_대상물건입력'!B15="",TRUE(),ISNUMBER(SEARCH('02_대상물건입력'!B15,L1205)))),1,0))</f>
        <v/>
      </c>
      <c r="R1205" s="175">
        <f>IFERROR(ABS(E1205-'02_대상물건입력'!B11)/'02_대상물건입력'!B11,"")</f>
        <v/>
      </c>
      <c r="S1205" s="152">
        <f>IFERROR(ABS(J1205-'02_대상물건입력'!B10),"")</f>
        <v/>
      </c>
      <c r="T1205" s="152">
        <f>IFERROR(ABS('01_설정'!B4-F1205),"")</f>
        <v/>
      </c>
      <c r="U1205" s="152">
        <f>IFERROR(ABS(K1205-YEAR('02_대상물건입력'!B14)),"")</f>
        <v/>
      </c>
      <c r="V1205" s="152">
        <f>IF(B1205="","",IF(AND(E1205&gt;0,F1205&gt;0,H1205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1205=1,TRUE()),R1205&lt;='01_설정'!B5,S1205&lt;='01_설정'!B6,T1205&lt;='01_설정'!B7,U1205&lt;='01_설정'!B8),"Y",""))</f>
        <v/>
      </c>
      <c r="W1205" s="172">
        <f>IF(V1205&lt;&gt;"Y","",MAX(0,(1-R1205/'01_설정'!B5))*'01_설정'!B14+MAX(0,(1-S1205/'01_설정'!B6))*'01_설정'!B15+MAX(0,(1-T1205/'01_설정'!B7))*'01_설정'!B16+MAX(0,(1-U1205/'01_설정'!B8))*'01_설정'!B17+O1205*'01_설정'!B11+Q1205*'01_설정'!B12+P1205*'01_설정'!B13+IF(Z1205="",0,Z1205))</f>
        <v/>
      </c>
      <c r="X1205" s="152">
        <f>IF(W1205="","",1+COUNTIFS($W$4:$W$3003,"&gt;"&amp;W1205)+COUNTIFS($W$4:W1205,W1205)-1)</f>
        <v/>
      </c>
      <c r="Y1205" s="175">
        <f>IF(OR(I1205="",'02_대상물건입력'!B19="",'02_대상물건입력'!B19&lt;=0),"",ABS(I1205-'02_대상물건입력'!B19)/'02_대상물건입력'!B19)</f>
        <v/>
      </c>
      <c r="Z1205" s="172">
        <f>IF(OR(Y1205="",'01_설정'!B31="",'01_설정'!B31&lt;=0,'01_설정'!B32="",'01_설정'!B32&lt;=0),"",MAX(0,(1-Y1205/'01_설정'!B32))*'01_설정'!B31)</f>
        <v/>
      </c>
    </row>
    <row r="1206" ht="17.25" customHeight="1">
      <c r="A1206" s="152">
        <f>IF(INDEX('04A_국토부원자료'!$A:$A,ROW()+1)="","",ROW()-3)</f>
        <v/>
      </c>
      <c r="B1206" s="48">
        <f>IFERROR(INDEX('04A_국토부원자료'!$A:$T,ROW()+1,MATCH("시군구",'04A_국토부원자료'!$A$4:$T$4,0)),"")</f>
        <v/>
      </c>
      <c r="C1206" s="48">
        <f>IF(B1206="","",IFERROR(INDEX('04A_국토부원자료'!$A:$T,ROW()+1,MATCH("번지",'04A_국토부원자료'!$A$4:$T$4,0)),""))</f>
        <v/>
      </c>
      <c r="D1206" s="48">
        <f>IF(B1206="","",IF(Q1206=1,'02_대상물건입력'!$B$8,IFERROR(INDEX('04A_국토부원자료'!$A:$T,ROW()+1,MATCH("단지명",'04A_국토부원자료'!$A$4:$T$4,0)),"")))</f>
        <v/>
      </c>
      <c r="E1206" s="172">
        <f>IFERROR(VALUE(SUBSTITUTE(INDEX('04A_국토부원자료'!$A:$T,ROW()+1,MATCH("전용면적(㎡)",'04A_국토부원자료'!$A$4:$T$4,0)),",","")),"")</f>
        <v/>
      </c>
      <c r="F12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06" s="51">
        <f>IFERROR(VALUE(SUBSTITUTE(INDEX('04A_국토부원자료'!$A:$T,ROW()+1,MATCH("거래금액(만원)",'04A_국토부원자료'!$A$4:$T$4,0)),",","")),"")</f>
        <v/>
      </c>
      <c r="H1206" s="174">
        <f>IF(G1206="","",G1206*10000)</f>
        <v/>
      </c>
      <c r="I1206" s="174">
        <f>IFERROR(IF(AND(H1206&gt;0,E1206&gt;0),H1206/E1206,""),"")</f>
        <v/>
      </c>
      <c r="J1206" s="152">
        <f>IFERROR(VALUE(SUBSTITUTE(INDEX('04A_국토부원자료'!$A:$T,ROW()+1,MATCH("층",'04A_국토부원자료'!$A$4:$T$4,0)),",","")),"")</f>
        <v/>
      </c>
      <c r="K1206" s="152">
        <f>IFERROR(VALUE(SUBSTITUTE(INDEX('04A_국토부원자료'!$A:$T,ROW()+1,MATCH("건축년도",'04A_국토부원자료'!$A$4:$T$4,0)),",","")),"")</f>
        <v/>
      </c>
      <c r="L1206" s="176">
        <f>IFERROR(INDEX('04A_국토부원자료'!$A:$T,ROW()+1,MATCH("도로명",'04A_국토부원자료'!$A$4:$T$4,0)),"")</f>
        <v/>
      </c>
      <c r="M1206" s="48">
        <f>IFERROR(INDEX('04A_국토부원자료'!$A:$T,ROW()+1,MATCH("거래유형",'04A_국토부원자료'!$A$4:$T$4,0)),"")</f>
        <v/>
      </c>
      <c r="N1206" s="152">
        <f>IF(B1206="","",IF('02_대상물건입력'!B5="",1,IF(ISNUMBER(SEARCH('02_대상물건입력'!B5,B1206)),1,0)))</f>
        <v/>
      </c>
      <c r="O1206" s="152">
        <f>IF(B1206="","",IF('02_대상물건입력'!B6="",1,IF(ISNUMBER(SEARCH('02_대상물건입력'!B6,B1206)),1,0)))</f>
        <v/>
      </c>
      <c r="P1206" s="152">
        <f>IF(L1206="","",IF('02_대상물건입력'!B15="",0,IF(ISNUMBER(SEARCH('02_대상물건입력'!B15,L1206)),1,0)))</f>
        <v/>
      </c>
      <c r="Q1206" s="152">
        <f>IF(OR(C1206="",L1206=""),0,IF(AND(TRIM(C1206)=TRIM(RIGHT(SUBSTITUTE(TRIM('02_대상물건입력'!$B$7)," ",REPT(" ",99)),99)),IF('02_대상물건입력'!B15="",TRUE(),ISNUMBER(SEARCH('02_대상물건입력'!B15,L1206)))),1,0))</f>
        <v/>
      </c>
      <c r="R1206" s="175">
        <f>IFERROR(ABS(E1206-'02_대상물건입력'!B11)/'02_대상물건입력'!B11,"")</f>
        <v/>
      </c>
      <c r="S1206" s="152">
        <f>IFERROR(ABS(J1206-'02_대상물건입력'!B10),"")</f>
        <v/>
      </c>
      <c r="T1206" s="152">
        <f>IFERROR(ABS('01_설정'!B4-F1206),"")</f>
        <v/>
      </c>
      <c r="U1206" s="152">
        <f>IFERROR(ABS(K1206-YEAR('02_대상물건입력'!B14)),"")</f>
        <v/>
      </c>
      <c r="V1206" s="152">
        <f>IF(B1206="","",IF(AND(E1206&gt;0,F1206&gt;0,H1206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1206=1,TRUE()),R1206&lt;='01_설정'!B5,S1206&lt;='01_설정'!B6,T1206&lt;='01_설정'!B7,U1206&lt;='01_설정'!B8),"Y",""))</f>
        <v/>
      </c>
      <c r="W1206" s="172">
        <f>IF(V1206&lt;&gt;"Y","",MAX(0,(1-R1206/'01_설정'!B5))*'01_설정'!B14+MAX(0,(1-S1206/'01_설정'!B6))*'01_설정'!B15+MAX(0,(1-T1206/'01_설정'!B7))*'01_설정'!B16+MAX(0,(1-U1206/'01_설정'!B8))*'01_설정'!B17+O1206*'01_설정'!B11+Q1206*'01_설정'!B12+P1206*'01_설정'!B13+IF(Z1206="",0,Z1206))</f>
        <v/>
      </c>
      <c r="X1206" s="152">
        <f>IF(W1206="","",1+COUNTIFS($W$4:$W$3003,"&gt;"&amp;W1206)+COUNTIFS($W$4:W1206,W1206)-1)</f>
        <v/>
      </c>
      <c r="Y1206" s="175">
        <f>IF(OR(I1206="",'02_대상물건입력'!B19="",'02_대상물건입력'!B19&lt;=0),"",ABS(I1206-'02_대상물건입력'!B19)/'02_대상물건입력'!B19)</f>
        <v/>
      </c>
      <c r="Z1206" s="172">
        <f>IF(OR(Y1206="",'01_설정'!B31="",'01_설정'!B31&lt;=0,'01_설정'!B32="",'01_설정'!B32&lt;=0),"",MAX(0,(1-Y1206/'01_설정'!B32))*'01_설정'!B31)</f>
        <v/>
      </c>
    </row>
    <row r="1207" ht="17.25" customHeight="1">
      <c r="A1207" s="152">
        <f>IF(INDEX('04A_국토부원자료'!$A:$A,ROW()+1)="","",ROW()-3)</f>
        <v/>
      </c>
      <c r="B1207" s="48">
        <f>IFERROR(INDEX('04A_국토부원자료'!$A:$T,ROW()+1,MATCH("시군구",'04A_국토부원자료'!$A$4:$T$4,0)),"")</f>
        <v/>
      </c>
      <c r="C1207" s="48">
        <f>IF(B1207="","",IFERROR(INDEX('04A_국토부원자료'!$A:$T,ROW()+1,MATCH("번지",'04A_국토부원자료'!$A$4:$T$4,0)),""))</f>
        <v/>
      </c>
      <c r="D1207" s="48">
        <f>IF(B1207="","",IF(Q1207=1,'02_대상물건입력'!$B$8,IFERROR(INDEX('04A_국토부원자료'!$A:$T,ROW()+1,MATCH("단지명",'04A_국토부원자료'!$A$4:$T$4,0)),"")))</f>
        <v/>
      </c>
      <c r="E1207" s="172">
        <f>IFERROR(VALUE(SUBSTITUTE(INDEX('04A_국토부원자료'!$A:$T,ROW()+1,MATCH("전용면적(㎡)",'04A_국토부원자료'!$A$4:$T$4,0)),",","")),"")</f>
        <v/>
      </c>
      <c r="F12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07" s="51">
        <f>IFERROR(VALUE(SUBSTITUTE(INDEX('04A_국토부원자료'!$A:$T,ROW()+1,MATCH("거래금액(만원)",'04A_국토부원자료'!$A$4:$T$4,0)),",","")),"")</f>
        <v/>
      </c>
      <c r="H1207" s="174">
        <f>IF(G1207="","",G1207*10000)</f>
        <v/>
      </c>
      <c r="I1207" s="174">
        <f>IFERROR(IF(AND(H1207&gt;0,E1207&gt;0),H1207/E1207,""),"")</f>
        <v/>
      </c>
      <c r="J1207" s="152">
        <f>IFERROR(VALUE(SUBSTITUTE(INDEX('04A_국토부원자료'!$A:$T,ROW()+1,MATCH("층",'04A_국토부원자료'!$A$4:$T$4,0)),",","")),"")</f>
        <v/>
      </c>
      <c r="K1207" s="152">
        <f>IFERROR(VALUE(SUBSTITUTE(INDEX('04A_국토부원자료'!$A:$T,ROW()+1,MATCH("건축년도",'04A_국토부원자료'!$A$4:$T$4,0)),",","")),"")</f>
        <v/>
      </c>
      <c r="L1207" s="176">
        <f>IFERROR(INDEX('04A_국토부원자료'!$A:$T,ROW()+1,MATCH("도로명",'04A_국토부원자료'!$A$4:$T$4,0)),"")</f>
        <v/>
      </c>
      <c r="M1207" s="48">
        <f>IFERROR(INDEX('04A_국토부원자료'!$A:$T,ROW()+1,MATCH("거래유형",'04A_국토부원자료'!$A$4:$T$4,0)),"")</f>
        <v/>
      </c>
      <c r="N1207" s="152">
        <f>IF(B1207="","",IF('02_대상물건입력'!B5="",1,IF(ISNUMBER(SEARCH('02_대상물건입력'!B5,B1207)),1,0)))</f>
        <v/>
      </c>
      <c r="O1207" s="152">
        <f>IF(B1207="","",IF('02_대상물건입력'!B6="",1,IF(ISNUMBER(SEARCH('02_대상물건입력'!B6,B1207)),1,0)))</f>
        <v/>
      </c>
      <c r="P1207" s="152">
        <f>IF(L1207="","",IF('02_대상물건입력'!B15="",0,IF(ISNUMBER(SEARCH('02_대상물건입력'!B15,L1207)),1,0)))</f>
        <v/>
      </c>
      <c r="Q1207" s="152">
        <f>IF(OR(C1207="",L1207=""),0,IF(AND(TRIM(C1207)=TRIM(RIGHT(SUBSTITUTE(TRIM('02_대상물건입력'!$B$7)," ",REPT(" ",99)),99)),IF('02_대상물건입력'!B15="",TRUE(),ISNUMBER(SEARCH('02_대상물건입력'!B15,L1207)))),1,0))</f>
        <v/>
      </c>
      <c r="R1207" s="175">
        <f>IFERROR(ABS(E1207-'02_대상물건입력'!B11)/'02_대상물건입력'!B11,"")</f>
        <v/>
      </c>
      <c r="S1207" s="152">
        <f>IFERROR(ABS(J1207-'02_대상물건입력'!B10),"")</f>
        <v/>
      </c>
      <c r="T1207" s="152">
        <f>IFERROR(ABS('01_설정'!B4-F1207),"")</f>
        <v/>
      </c>
      <c r="U1207" s="152">
        <f>IFERROR(ABS(K1207-YEAR('02_대상물건입력'!B14)),"")</f>
        <v/>
      </c>
      <c r="V1207" s="152">
        <f>IF(B1207="","",IF(AND(E1207&gt;0,F1207&gt;0,H1207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1207=1,TRUE()),R1207&lt;='01_설정'!B5,S1207&lt;='01_설정'!B6,T1207&lt;='01_설정'!B7,U1207&lt;='01_설정'!B8),"Y",""))</f>
        <v/>
      </c>
      <c r="W1207" s="172">
        <f>IF(V1207&lt;&gt;"Y","",MAX(0,(1-R1207/'01_설정'!B5))*'01_설정'!B14+MAX(0,(1-S1207/'01_설정'!B6))*'01_설정'!B15+MAX(0,(1-T1207/'01_설정'!B7))*'01_설정'!B16+MAX(0,(1-U1207/'01_설정'!B8))*'01_설정'!B17+O1207*'01_설정'!B11+Q1207*'01_설정'!B12+P1207*'01_설정'!B13+IF(Z1207="",0,Z1207))</f>
        <v/>
      </c>
      <c r="X1207" s="152">
        <f>IF(W1207="","",1+COUNTIFS($W$4:$W$3003,"&gt;"&amp;W1207)+COUNTIFS($W$4:W1207,W1207)-1)</f>
        <v/>
      </c>
      <c r="Y1207" s="175">
        <f>IF(OR(I1207="",'02_대상물건입력'!B19="",'02_대상물건입력'!B19&lt;=0),"",ABS(I1207-'02_대상물건입력'!B19)/'02_대상물건입력'!B19)</f>
        <v/>
      </c>
      <c r="Z1207" s="172">
        <f>IF(OR(Y1207="",'01_설정'!B31="",'01_설정'!B31&lt;=0,'01_설정'!B32="",'01_설정'!B32&lt;=0),"",MAX(0,(1-Y1207/'01_설정'!B32))*'01_설정'!B31)</f>
        <v/>
      </c>
    </row>
    <row r="1208" ht="17.25" customHeight="1">
      <c r="A1208" s="152">
        <f>IF(INDEX('04A_국토부원자료'!$A:$A,ROW()+1)="","",ROW()-3)</f>
        <v/>
      </c>
      <c r="B1208" s="48">
        <f>IFERROR(INDEX('04A_국토부원자료'!$A:$T,ROW()+1,MATCH("시군구",'04A_국토부원자료'!$A$4:$T$4,0)),"")</f>
        <v/>
      </c>
      <c r="C1208" s="48">
        <f>IF(B1208="","",IFERROR(INDEX('04A_국토부원자료'!$A:$T,ROW()+1,MATCH("번지",'04A_국토부원자료'!$A$4:$T$4,0)),""))</f>
        <v/>
      </c>
      <c r="D1208" s="48">
        <f>IF(B1208="","",IF(Q1208=1,'02_대상물건입력'!$B$8,IFERROR(INDEX('04A_국토부원자료'!$A:$T,ROW()+1,MATCH("단지명",'04A_국토부원자료'!$A$4:$T$4,0)),"")))</f>
        <v/>
      </c>
      <c r="E1208" s="172">
        <f>IFERROR(VALUE(SUBSTITUTE(INDEX('04A_국토부원자료'!$A:$T,ROW()+1,MATCH("전용면적(㎡)",'04A_국토부원자료'!$A$4:$T$4,0)),",","")),"")</f>
        <v/>
      </c>
      <c r="F12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08" s="51">
        <f>IFERROR(VALUE(SUBSTITUTE(INDEX('04A_국토부원자료'!$A:$T,ROW()+1,MATCH("거래금액(만원)",'04A_국토부원자료'!$A$4:$T$4,0)),",","")),"")</f>
        <v/>
      </c>
      <c r="H1208" s="174">
        <f>IF(G1208="","",G1208*10000)</f>
        <v/>
      </c>
      <c r="I1208" s="174">
        <f>IFERROR(IF(AND(H1208&gt;0,E1208&gt;0),H1208/E1208,""),"")</f>
        <v/>
      </c>
      <c r="J1208" s="152">
        <f>IFERROR(VALUE(SUBSTITUTE(INDEX('04A_국토부원자료'!$A:$T,ROW()+1,MATCH("층",'04A_국토부원자료'!$A$4:$T$4,0)),",","")),"")</f>
        <v/>
      </c>
      <c r="K1208" s="152">
        <f>IFERROR(VALUE(SUBSTITUTE(INDEX('04A_국토부원자료'!$A:$T,ROW()+1,MATCH("건축년도",'04A_국토부원자료'!$A$4:$T$4,0)),",","")),"")</f>
        <v/>
      </c>
      <c r="L1208" s="176">
        <f>IFERROR(INDEX('04A_국토부원자료'!$A:$T,ROW()+1,MATCH("도로명",'04A_국토부원자료'!$A$4:$T$4,0)),"")</f>
        <v/>
      </c>
      <c r="M1208" s="48">
        <f>IFERROR(INDEX('04A_국토부원자료'!$A:$T,ROW()+1,MATCH("거래유형",'04A_국토부원자료'!$A$4:$T$4,0)),"")</f>
        <v/>
      </c>
      <c r="N1208" s="152">
        <f>IF(B1208="","",IF('02_대상물건입력'!B5="",1,IF(ISNUMBER(SEARCH('02_대상물건입력'!B5,B1208)),1,0)))</f>
        <v/>
      </c>
      <c r="O1208" s="152">
        <f>IF(B1208="","",IF('02_대상물건입력'!B6="",1,IF(ISNUMBER(SEARCH('02_대상물건입력'!B6,B1208)),1,0)))</f>
        <v/>
      </c>
      <c r="P1208" s="152">
        <f>IF(L1208="","",IF('02_대상물건입력'!B15="",0,IF(ISNUMBER(SEARCH('02_대상물건입력'!B15,L1208)),1,0)))</f>
        <v/>
      </c>
      <c r="Q1208" s="152">
        <f>IF(OR(C1208="",L1208=""),0,IF(AND(TRIM(C1208)=TRIM(RIGHT(SUBSTITUTE(TRIM('02_대상물건입력'!$B$7)," ",REPT(" ",99)),99)),IF('02_대상물건입력'!B15="",TRUE(),ISNUMBER(SEARCH('02_대상물건입력'!B15,L1208)))),1,0))</f>
        <v/>
      </c>
      <c r="R1208" s="175">
        <f>IFERROR(ABS(E1208-'02_대상물건입력'!B11)/'02_대상물건입력'!B11,"")</f>
        <v/>
      </c>
      <c r="S1208" s="152">
        <f>IFERROR(ABS(J1208-'02_대상물건입력'!B10),"")</f>
        <v/>
      </c>
      <c r="T1208" s="152">
        <f>IFERROR(ABS('01_설정'!B4-F1208),"")</f>
        <v/>
      </c>
      <c r="U1208" s="152">
        <f>IFERROR(ABS(K1208-YEAR('02_대상물건입력'!B14)),"")</f>
        <v/>
      </c>
      <c r="V1208" s="152">
        <f>IF(B1208="","",IF(AND(E1208&gt;0,F1208&gt;0,H1208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1208=1,TRUE()),R1208&lt;='01_설정'!B5,S1208&lt;='01_설정'!B6,T1208&lt;='01_설정'!B7,U1208&lt;='01_설정'!B8),"Y",""))</f>
        <v/>
      </c>
      <c r="W1208" s="172">
        <f>IF(V1208&lt;&gt;"Y","",MAX(0,(1-R1208/'01_설정'!B5))*'01_설정'!B14+MAX(0,(1-S1208/'01_설정'!B6))*'01_설정'!B15+MAX(0,(1-T1208/'01_설정'!B7))*'01_설정'!B16+MAX(0,(1-U1208/'01_설정'!B8))*'01_설정'!B17+O1208*'01_설정'!B11+Q1208*'01_설정'!B12+P1208*'01_설정'!B13+IF(Z1208="",0,Z1208))</f>
        <v/>
      </c>
      <c r="X1208" s="152">
        <f>IF(W1208="","",1+COUNTIFS($W$4:$W$3003,"&gt;"&amp;W1208)+COUNTIFS($W$4:W1208,W1208)-1)</f>
        <v/>
      </c>
      <c r="Y1208" s="175">
        <f>IF(OR(I1208="",'02_대상물건입력'!B19="",'02_대상물건입력'!B19&lt;=0),"",ABS(I1208-'02_대상물건입력'!B19)/'02_대상물건입력'!B19)</f>
        <v/>
      </c>
      <c r="Z1208" s="172">
        <f>IF(OR(Y1208="",'01_설정'!B31="",'01_설정'!B31&lt;=0,'01_설정'!B32="",'01_설정'!B32&lt;=0),"",MAX(0,(1-Y1208/'01_설정'!B32))*'01_설정'!B31)</f>
        <v/>
      </c>
    </row>
    <row r="1209" ht="17.25" customHeight="1">
      <c r="A1209" s="152">
        <f>IF(INDEX('04A_국토부원자료'!$A:$A,ROW()+1)="","",ROW()-3)</f>
        <v/>
      </c>
      <c r="B1209" s="48">
        <f>IFERROR(INDEX('04A_국토부원자료'!$A:$T,ROW()+1,MATCH("시군구",'04A_국토부원자료'!$A$4:$T$4,0)),"")</f>
        <v/>
      </c>
      <c r="C1209" s="48">
        <f>IF(B1209="","",IFERROR(INDEX('04A_국토부원자료'!$A:$T,ROW()+1,MATCH("번지",'04A_국토부원자료'!$A$4:$T$4,0)),""))</f>
        <v/>
      </c>
      <c r="D1209" s="48">
        <f>IF(B1209="","",IF(Q1209=1,'02_대상물건입력'!$B$8,IFERROR(INDEX('04A_국토부원자료'!$A:$T,ROW()+1,MATCH("단지명",'04A_국토부원자료'!$A$4:$T$4,0)),"")))</f>
        <v/>
      </c>
      <c r="E1209" s="172">
        <f>IFERROR(VALUE(SUBSTITUTE(INDEX('04A_국토부원자료'!$A:$T,ROW()+1,MATCH("전용면적(㎡)",'04A_국토부원자료'!$A$4:$T$4,0)),",","")),"")</f>
        <v/>
      </c>
      <c r="F12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09" s="51">
        <f>IFERROR(VALUE(SUBSTITUTE(INDEX('04A_국토부원자료'!$A:$T,ROW()+1,MATCH("거래금액(만원)",'04A_국토부원자료'!$A$4:$T$4,0)),",","")),"")</f>
        <v/>
      </c>
      <c r="H1209" s="174">
        <f>IF(G1209="","",G1209*10000)</f>
        <v/>
      </c>
      <c r="I1209" s="174">
        <f>IFERROR(IF(AND(H1209&gt;0,E1209&gt;0),H1209/E1209,""),"")</f>
        <v/>
      </c>
      <c r="J1209" s="152">
        <f>IFERROR(VALUE(SUBSTITUTE(INDEX('04A_국토부원자료'!$A:$T,ROW()+1,MATCH("층",'04A_국토부원자료'!$A$4:$T$4,0)),",","")),"")</f>
        <v/>
      </c>
      <c r="K1209" s="152">
        <f>IFERROR(VALUE(SUBSTITUTE(INDEX('04A_국토부원자료'!$A:$T,ROW()+1,MATCH("건축년도",'04A_국토부원자료'!$A$4:$T$4,0)),",","")),"")</f>
        <v/>
      </c>
      <c r="L1209" s="176">
        <f>IFERROR(INDEX('04A_국토부원자료'!$A:$T,ROW()+1,MATCH("도로명",'04A_국토부원자료'!$A$4:$T$4,0)),"")</f>
        <v/>
      </c>
      <c r="M1209" s="48">
        <f>IFERROR(INDEX('04A_국토부원자료'!$A:$T,ROW()+1,MATCH("거래유형",'04A_국토부원자료'!$A$4:$T$4,0)),"")</f>
        <v/>
      </c>
      <c r="N1209" s="152">
        <f>IF(B1209="","",IF('02_대상물건입력'!B5="",1,IF(ISNUMBER(SEARCH('02_대상물건입력'!B5,B1209)),1,0)))</f>
        <v/>
      </c>
      <c r="O1209" s="152">
        <f>IF(B1209="","",IF('02_대상물건입력'!B6="",1,IF(ISNUMBER(SEARCH('02_대상물건입력'!B6,B1209)),1,0)))</f>
        <v/>
      </c>
      <c r="P1209" s="152">
        <f>IF(L1209="","",IF('02_대상물건입력'!B15="",0,IF(ISNUMBER(SEARCH('02_대상물건입력'!B15,L1209)),1,0)))</f>
        <v/>
      </c>
      <c r="Q1209" s="152">
        <f>IF(OR(C1209="",L1209=""),0,IF(AND(TRIM(C1209)=TRIM(RIGHT(SUBSTITUTE(TRIM('02_대상물건입력'!$B$7)," ",REPT(" ",99)),99)),IF('02_대상물건입력'!B15="",TRUE(),ISNUMBER(SEARCH('02_대상물건입력'!B15,L1209)))),1,0))</f>
        <v/>
      </c>
      <c r="R1209" s="175">
        <f>IFERROR(ABS(E1209-'02_대상물건입력'!B11)/'02_대상물건입력'!B11,"")</f>
        <v/>
      </c>
      <c r="S1209" s="152">
        <f>IFERROR(ABS(J1209-'02_대상물건입력'!B10),"")</f>
        <v/>
      </c>
      <c r="T1209" s="152">
        <f>IFERROR(ABS('01_설정'!B4-F1209),"")</f>
        <v/>
      </c>
      <c r="U1209" s="152">
        <f>IFERROR(ABS(K1209-YEAR('02_대상물건입력'!B14)),"")</f>
        <v/>
      </c>
      <c r="V1209" s="152">
        <f>IF(B1209="","",IF(AND(E1209&gt;0,F1209&gt;0,H1209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1209=1,TRUE()),R1209&lt;='01_설정'!B5,S1209&lt;='01_설정'!B6,T1209&lt;='01_설정'!B7,U1209&lt;='01_설정'!B8),"Y",""))</f>
        <v/>
      </c>
      <c r="W1209" s="172">
        <f>IF(V1209&lt;&gt;"Y","",MAX(0,(1-R1209/'01_설정'!B5))*'01_설정'!B14+MAX(0,(1-S1209/'01_설정'!B6))*'01_설정'!B15+MAX(0,(1-T1209/'01_설정'!B7))*'01_설정'!B16+MAX(0,(1-U1209/'01_설정'!B8))*'01_설정'!B17+O1209*'01_설정'!B11+Q1209*'01_설정'!B12+P1209*'01_설정'!B13+IF(Z1209="",0,Z1209))</f>
        <v/>
      </c>
      <c r="X1209" s="152">
        <f>IF(W1209="","",1+COUNTIFS($W$4:$W$3003,"&gt;"&amp;W1209)+COUNTIFS($W$4:W1209,W1209)-1)</f>
        <v/>
      </c>
      <c r="Y1209" s="175">
        <f>IF(OR(I1209="",'02_대상물건입력'!B19="",'02_대상물건입력'!B19&lt;=0),"",ABS(I1209-'02_대상물건입력'!B19)/'02_대상물건입력'!B19)</f>
        <v/>
      </c>
      <c r="Z1209" s="172">
        <f>IF(OR(Y1209="",'01_설정'!B31="",'01_설정'!B31&lt;=0,'01_설정'!B32="",'01_설정'!B32&lt;=0),"",MAX(0,(1-Y1209/'01_설정'!B32))*'01_설정'!B31)</f>
        <v/>
      </c>
    </row>
    <row r="1210" ht="17.25" customHeight="1">
      <c r="A1210" s="152">
        <f>IF(INDEX('04A_국토부원자료'!$A:$A,ROW()+1)="","",ROW()-3)</f>
        <v/>
      </c>
      <c r="B1210" s="48">
        <f>IFERROR(INDEX('04A_국토부원자료'!$A:$T,ROW()+1,MATCH("시군구",'04A_국토부원자료'!$A$4:$T$4,0)),"")</f>
        <v/>
      </c>
      <c r="C1210" s="48">
        <f>IF(B1210="","",IFERROR(INDEX('04A_국토부원자료'!$A:$T,ROW()+1,MATCH("번지",'04A_국토부원자료'!$A$4:$T$4,0)),""))</f>
        <v/>
      </c>
      <c r="D1210" s="48">
        <f>IF(B1210="","",IF(Q1210=1,'02_대상물건입력'!$B$8,IFERROR(INDEX('04A_국토부원자료'!$A:$T,ROW()+1,MATCH("단지명",'04A_국토부원자료'!$A$4:$T$4,0)),"")))</f>
        <v/>
      </c>
      <c r="E1210" s="172">
        <f>IFERROR(VALUE(SUBSTITUTE(INDEX('04A_국토부원자료'!$A:$T,ROW()+1,MATCH("전용면적(㎡)",'04A_국토부원자료'!$A$4:$T$4,0)),",","")),"")</f>
        <v/>
      </c>
      <c r="F12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10" s="51">
        <f>IFERROR(VALUE(SUBSTITUTE(INDEX('04A_국토부원자료'!$A:$T,ROW()+1,MATCH("거래금액(만원)",'04A_국토부원자료'!$A$4:$T$4,0)),",","")),"")</f>
        <v/>
      </c>
      <c r="H1210" s="174">
        <f>IF(G1210="","",G1210*10000)</f>
        <v/>
      </c>
      <c r="I1210" s="174">
        <f>IFERROR(IF(AND(H1210&gt;0,E1210&gt;0),H1210/E1210,""),"")</f>
        <v/>
      </c>
      <c r="J1210" s="152">
        <f>IFERROR(VALUE(SUBSTITUTE(INDEX('04A_국토부원자료'!$A:$T,ROW()+1,MATCH("층",'04A_국토부원자료'!$A$4:$T$4,0)),",","")),"")</f>
        <v/>
      </c>
      <c r="K1210" s="152">
        <f>IFERROR(VALUE(SUBSTITUTE(INDEX('04A_국토부원자료'!$A:$T,ROW()+1,MATCH("건축년도",'04A_국토부원자료'!$A$4:$T$4,0)),",","")),"")</f>
        <v/>
      </c>
      <c r="L1210" s="176">
        <f>IFERROR(INDEX('04A_국토부원자료'!$A:$T,ROW()+1,MATCH("도로명",'04A_국토부원자료'!$A$4:$T$4,0)),"")</f>
        <v/>
      </c>
      <c r="M1210" s="48">
        <f>IFERROR(INDEX('04A_국토부원자료'!$A:$T,ROW()+1,MATCH("거래유형",'04A_국토부원자료'!$A$4:$T$4,0)),"")</f>
        <v/>
      </c>
      <c r="N1210" s="152">
        <f>IF(B1210="","",IF('02_대상물건입력'!B5="",1,IF(ISNUMBER(SEARCH('02_대상물건입력'!B5,B1210)),1,0)))</f>
        <v/>
      </c>
      <c r="O1210" s="152">
        <f>IF(B1210="","",IF('02_대상물건입력'!B6="",1,IF(ISNUMBER(SEARCH('02_대상물건입력'!B6,B1210)),1,0)))</f>
        <v/>
      </c>
      <c r="P1210" s="152">
        <f>IF(L1210="","",IF('02_대상물건입력'!B15="",0,IF(ISNUMBER(SEARCH('02_대상물건입력'!B15,L1210)),1,0)))</f>
        <v/>
      </c>
      <c r="Q1210" s="152">
        <f>IF(OR(C1210="",L1210=""),0,IF(AND(TRIM(C1210)=TRIM(RIGHT(SUBSTITUTE(TRIM('02_대상물건입력'!$B$7)," ",REPT(" ",99)),99)),IF('02_대상물건입력'!B15="",TRUE(),ISNUMBER(SEARCH('02_대상물건입력'!B15,L1210)))),1,0))</f>
        <v/>
      </c>
      <c r="R1210" s="175">
        <f>IFERROR(ABS(E1210-'02_대상물건입력'!B11)/'02_대상물건입력'!B11,"")</f>
        <v/>
      </c>
      <c r="S1210" s="152">
        <f>IFERROR(ABS(J1210-'02_대상물건입력'!B10),"")</f>
        <v/>
      </c>
      <c r="T1210" s="152">
        <f>IFERROR(ABS('01_설정'!B4-F1210),"")</f>
        <v/>
      </c>
      <c r="U1210" s="152">
        <f>IFERROR(ABS(K1210-YEAR('02_대상물건입력'!B14)),"")</f>
        <v/>
      </c>
      <c r="V1210" s="152">
        <f>IF(B1210="","",IF(AND(E1210&gt;0,F1210&gt;0,H1210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1210=1,TRUE()),R1210&lt;='01_설정'!B5,S1210&lt;='01_설정'!B6,T1210&lt;='01_설정'!B7,U1210&lt;='01_설정'!B8),"Y",""))</f>
        <v/>
      </c>
      <c r="W1210" s="172">
        <f>IF(V1210&lt;&gt;"Y","",MAX(0,(1-R1210/'01_설정'!B5))*'01_설정'!B14+MAX(0,(1-S1210/'01_설정'!B6))*'01_설정'!B15+MAX(0,(1-T1210/'01_설정'!B7))*'01_설정'!B16+MAX(0,(1-U1210/'01_설정'!B8))*'01_설정'!B17+O1210*'01_설정'!B11+Q1210*'01_설정'!B12+P1210*'01_설정'!B13+IF(Z1210="",0,Z1210))</f>
        <v/>
      </c>
      <c r="X1210" s="152">
        <f>IF(W1210="","",1+COUNTIFS($W$4:$W$3003,"&gt;"&amp;W1210)+COUNTIFS($W$4:W1210,W1210)-1)</f>
        <v/>
      </c>
      <c r="Y1210" s="175">
        <f>IF(OR(I1210="",'02_대상물건입력'!B19="",'02_대상물건입력'!B19&lt;=0),"",ABS(I1210-'02_대상물건입력'!B19)/'02_대상물건입력'!B19)</f>
        <v/>
      </c>
      <c r="Z1210" s="172">
        <f>IF(OR(Y1210="",'01_설정'!B31="",'01_설정'!B31&lt;=0,'01_설정'!B32="",'01_설정'!B32&lt;=0),"",MAX(0,(1-Y1210/'01_설정'!B32))*'01_설정'!B31)</f>
        <v/>
      </c>
    </row>
    <row r="1211" ht="17.25" customHeight="1">
      <c r="A1211" s="152">
        <f>IF(INDEX('04A_국토부원자료'!$A:$A,ROW()+1)="","",ROW()-3)</f>
        <v/>
      </c>
      <c r="B1211" s="48">
        <f>IFERROR(INDEX('04A_국토부원자료'!$A:$T,ROW()+1,MATCH("시군구",'04A_국토부원자료'!$A$4:$T$4,0)),"")</f>
        <v/>
      </c>
      <c r="C1211" s="48">
        <f>IF(B1211="","",IFERROR(INDEX('04A_국토부원자료'!$A:$T,ROW()+1,MATCH("번지",'04A_국토부원자료'!$A$4:$T$4,0)),""))</f>
        <v/>
      </c>
      <c r="D1211" s="48">
        <f>IF(B1211="","",IF(Q1211=1,'02_대상물건입력'!$B$8,IFERROR(INDEX('04A_국토부원자료'!$A:$T,ROW()+1,MATCH("단지명",'04A_국토부원자료'!$A$4:$T$4,0)),"")))</f>
        <v/>
      </c>
      <c r="E1211" s="172">
        <f>IFERROR(VALUE(SUBSTITUTE(INDEX('04A_국토부원자료'!$A:$T,ROW()+1,MATCH("전용면적(㎡)",'04A_국토부원자료'!$A$4:$T$4,0)),",","")),"")</f>
        <v/>
      </c>
      <c r="F12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11" s="51">
        <f>IFERROR(VALUE(SUBSTITUTE(INDEX('04A_국토부원자료'!$A:$T,ROW()+1,MATCH("거래금액(만원)",'04A_국토부원자료'!$A$4:$T$4,0)),",","")),"")</f>
        <v/>
      </c>
      <c r="H1211" s="174">
        <f>IF(G1211="","",G1211*10000)</f>
        <v/>
      </c>
      <c r="I1211" s="174">
        <f>IFERROR(IF(AND(H1211&gt;0,E1211&gt;0),H1211/E1211,""),"")</f>
        <v/>
      </c>
      <c r="J1211" s="152">
        <f>IFERROR(VALUE(SUBSTITUTE(INDEX('04A_국토부원자료'!$A:$T,ROW()+1,MATCH("층",'04A_국토부원자료'!$A$4:$T$4,0)),",","")),"")</f>
        <v/>
      </c>
      <c r="K1211" s="152">
        <f>IFERROR(VALUE(SUBSTITUTE(INDEX('04A_국토부원자료'!$A:$T,ROW()+1,MATCH("건축년도",'04A_국토부원자료'!$A$4:$T$4,0)),",","")),"")</f>
        <v/>
      </c>
      <c r="L1211" s="176">
        <f>IFERROR(INDEX('04A_국토부원자료'!$A:$T,ROW()+1,MATCH("도로명",'04A_국토부원자료'!$A$4:$T$4,0)),"")</f>
        <v/>
      </c>
      <c r="M1211" s="48">
        <f>IFERROR(INDEX('04A_국토부원자료'!$A:$T,ROW()+1,MATCH("거래유형",'04A_국토부원자료'!$A$4:$T$4,0)),"")</f>
        <v/>
      </c>
      <c r="N1211" s="152">
        <f>IF(B1211="","",IF('02_대상물건입력'!B5="",1,IF(ISNUMBER(SEARCH('02_대상물건입력'!B5,B1211)),1,0)))</f>
        <v/>
      </c>
      <c r="O1211" s="152">
        <f>IF(B1211="","",IF('02_대상물건입력'!B6="",1,IF(ISNUMBER(SEARCH('02_대상물건입력'!B6,B1211)),1,0)))</f>
        <v/>
      </c>
      <c r="P1211" s="152">
        <f>IF(L1211="","",IF('02_대상물건입력'!B15="",0,IF(ISNUMBER(SEARCH('02_대상물건입력'!B15,L1211)),1,0)))</f>
        <v/>
      </c>
      <c r="Q1211" s="152">
        <f>IF(OR(C1211="",L1211=""),0,IF(AND(TRIM(C1211)=TRIM(RIGHT(SUBSTITUTE(TRIM('02_대상물건입력'!$B$7)," ",REPT(" ",99)),99)),IF('02_대상물건입력'!B15="",TRUE(),ISNUMBER(SEARCH('02_대상물건입력'!B15,L1211)))),1,0))</f>
        <v/>
      </c>
      <c r="R1211" s="175">
        <f>IFERROR(ABS(E1211-'02_대상물건입력'!B11)/'02_대상물건입력'!B11,"")</f>
        <v/>
      </c>
      <c r="S1211" s="152">
        <f>IFERROR(ABS(J1211-'02_대상물건입력'!B10),"")</f>
        <v/>
      </c>
      <c r="T1211" s="152">
        <f>IFERROR(ABS('01_설정'!B4-F1211),"")</f>
        <v/>
      </c>
      <c r="U1211" s="152">
        <f>IFERROR(ABS(K1211-YEAR('02_대상물건입력'!B14)),"")</f>
        <v/>
      </c>
      <c r="V1211" s="152">
        <f>IF(B1211="","",IF(AND(E1211&gt;0,F1211&gt;0,H1211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1211=1,TRUE()),R1211&lt;='01_설정'!B5,S1211&lt;='01_설정'!B6,T1211&lt;='01_설정'!B7,U1211&lt;='01_설정'!B8),"Y",""))</f>
        <v/>
      </c>
      <c r="W1211" s="172">
        <f>IF(V1211&lt;&gt;"Y","",MAX(0,(1-R1211/'01_설정'!B5))*'01_설정'!B14+MAX(0,(1-S1211/'01_설정'!B6))*'01_설정'!B15+MAX(0,(1-T1211/'01_설정'!B7))*'01_설정'!B16+MAX(0,(1-U1211/'01_설정'!B8))*'01_설정'!B17+O1211*'01_설정'!B11+Q1211*'01_설정'!B12+P1211*'01_설정'!B13+IF(Z1211="",0,Z1211))</f>
        <v/>
      </c>
      <c r="X1211" s="152">
        <f>IF(W1211="","",1+COUNTIFS($W$4:$W$3003,"&gt;"&amp;W1211)+COUNTIFS($W$4:W1211,W1211)-1)</f>
        <v/>
      </c>
      <c r="Y1211" s="175">
        <f>IF(OR(I1211="",'02_대상물건입력'!B19="",'02_대상물건입력'!B19&lt;=0),"",ABS(I1211-'02_대상물건입력'!B19)/'02_대상물건입력'!B19)</f>
        <v/>
      </c>
      <c r="Z1211" s="172">
        <f>IF(OR(Y1211="",'01_설정'!B31="",'01_설정'!B31&lt;=0,'01_설정'!B32="",'01_설정'!B32&lt;=0),"",MAX(0,(1-Y1211/'01_설정'!B32))*'01_설정'!B31)</f>
        <v/>
      </c>
    </row>
    <row r="1212" ht="17.25" customHeight="1">
      <c r="A1212" s="152">
        <f>IF(INDEX('04A_국토부원자료'!$A:$A,ROW()+1)="","",ROW()-3)</f>
        <v/>
      </c>
      <c r="B1212" s="48">
        <f>IFERROR(INDEX('04A_국토부원자료'!$A:$T,ROW()+1,MATCH("시군구",'04A_국토부원자료'!$A$4:$T$4,0)),"")</f>
        <v/>
      </c>
      <c r="C1212" s="48">
        <f>IF(B1212="","",IFERROR(INDEX('04A_국토부원자료'!$A:$T,ROW()+1,MATCH("번지",'04A_국토부원자료'!$A$4:$T$4,0)),""))</f>
        <v/>
      </c>
      <c r="D1212" s="48">
        <f>IF(B1212="","",IF(Q1212=1,'02_대상물건입력'!$B$8,IFERROR(INDEX('04A_국토부원자료'!$A:$T,ROW()+1,MATCH("단지명",'04A_국토부원자료'!$A$4:$T$4,0)),"")))</f>
        <v/>
      </c>
      <c r="E1212" s="172">
        <f>IFERROR(VALUE(SUBSTITUTE(INDEX('04A_국토부원자료'!$A:$T,ROW()+1,MATCH("전용면적(㎡)",'04A_국토부원자료'!$A$4:$T$4,0)),",","")),"")</f>
        <v/>
      </c>
      <c r="F12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12" s="51">
        <f>IFERROR(VALUE(SUBSTITUTE(INDEX('04A_국토부원자료'!$A:$T,ROW()+1,MATCH("거래금액(만원)",'04A_국토부원자료'!$A$4:$T$4,0)),",","")),"")</f>
        <v/>
      </c>
      <c r="H1212" s="174">
        <f>IF(G1212="","",G1212*10000)</f>
        <v/>
      </c>
      <c r="I1212" s="174">
        <f>IFERROR(IF(AND(H1212&gt;0,E1212&gt;0),H1212/E1212,""),"")</f>
        <v/>
      </c>
      <c r="J1212" s="152">
        <f>IFERROR(VALUE(SUBSTITUTE(INDEX('04A_국토부원자료'!$A:$T,ROW()+1,MATCH("층",'04A_국토부원자료'!$A$4:$T$4,0)),",","")),"")</f>
        <v/>
      </c>
      <c r="K1212" s="152">
        <f>IFERROR(VALUE(SUBSTITUTE(INDEX('04A_국토부원자료'!$A:$T,ROW()+1,MATCH("건축년도",'04A_국토부원자료'!$A$4:$T$4,0)),",","")),"")</f>
        <v/>
      </c>
      <c r="L1212" s="176">
        <f>IFERROR(INDEX('04A_국토부원자료'!$A:$T,ROW()+1,MATCH("도로명",'04A_국토부원자료'!$A$4:$T$4,0)),"")</f>
        <v/>
      </c>
      <c r="M1212" s="48">
        <f>IFERROR(INDEX('04A_국토부원자료'!$A:$T,ROW()+1,MATCH("거래유형",'04A_국토부원자료'!$A$4:$T$4,0)),"")</f>
        <v/>
      </c>
      <c r="N1212" s="152">
        <f>IF(B1212="","",IF('02_대상물건입력'!B5="",1,IF(ISNUMBER(SEARCH('02_대상물건입력'!B5,B1212)),1,0)))</f>
        <v/>
      </c>
      <c r="O1212" s="152">
        <f>IF(B1212="","",IF('02_대상물건입력'!B6="",1,IF(ISNUMBER(SEARCH('02_대상물건입력'!B6,B1212)),1,0)))</f>
        <v/>
      </c>
      <c r="P1212" s="152">
        <f>IF(L1212="","",IF('02_대상물건입력'!B15="",0,IF(ISNUMBER(SEARCH('02_대상물건입력'!B15,L1212)),1,0)))</f>
        <v/>
      </c>
      <c r="Q1212" s="152">
        <f>IF(OR(C1212="",L1212=""),0,IF(AND(TRIM(C1212)=TRIM(RIGHT(SUBSTITUTE(TRIM('02_대상물건입력'!$B$7)," ",REPT(" ",99)),99)),IF('02_대상물건입력'!B15="",TRUE(),ISNUMBER(SEARCH('02_대상물건입력'!B15,L1212)))),1,0))</f>
        <v/>
      </c>
      <c r="R1212" s="175">
        <f>IFERROR(ABS(E1212-'02_대상물건입력'!B11)/'02_대상물건입력'!B11,"")</f>
        <v/>
      </c>
      <c r="S1212" s="152">
        <f>IFERROR(ABS(J1212-'02_대상물건입력'!B10),"")</f>
        <v/>
      </c>
      <c r="T1212" s="152">
        <f>IFERROR(ABS('01_설정'!B4-F1212),"")</f>
        <v/>
      </c>
      <c r="U1212" s="152">
        <f>IFERROR(ABS(K1212-YEAR('02_대상물건입력'!B14)),"")</f>
        <v/>
      </c>
      <c r="V1212" s="152">
        <f>IF(B1212="","",IF(AND(E1212&gt;0,F1212&gt;0,H1212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1212=1,TRUE()),R1212&lt;='01_설정'!B5,S1212&lt;='01_설정'!B6,T1212&lt;='01_설정'!B7,U1212&lt;='01_설정'!B8),"Y",""))</f>
        <v/>
      </c>
      <c r="W1212" s="172">
        <f>IF(V1212&lt;&gt;"Y","",MAX(0,(1-R1212/'01_설정'!B5))*'01_설정'!B14+MAX(0,(1-S1212/'01_설정'!B6))*'01_설정'!B15+MAX(0,(1-T1212/'01_설정'!B7))*'01_설정'!B16+MAX(0,(1-U1212/'01_설정'!B8))*'01_설정'!B17+O1212*'01_설정'!B11+Q1212*'01_설정'!B12+P1212*'01_설정'!B13+IF(Z1212="",0,Z1212))</f>
        <v/>
      </c>
      <c r="X1212" s="152">
        <f>IF(W1212="","",1+COUNTIFS($W$4:$W$3003,"&gt;"&amp;W1212)+COUNTIFS($W$4:W1212,W1212)-1)</f>
        <v/>
      </c>
      <c r="Y1212" s="175">
        <f>IF(OR(I1212="",'02_대상물건입력'!B19="",'02_대상물건입력'!B19&lt;=0),"",ABS(I1212-'02_대상물건입력'!B19)/'02_대상물건입력'!B19)</f>
        <v/>
      </c>
      <c r="Z1212" s="172">
        <f>IF(OR(Y1212="",'01_설정'!B31="",'01_설정'!B31&lt;=0,'01_설정'!B32="",'01_설정'!B32&lt;=0),"",MAX(0,(1-Y1212/'01_설정'!B32))*'01_설정'!B31)</f>
        <v/>
      </c>
    </row>
    <row r="1213" ht="17.25" customHeight="1">
      <c r="A1213" s="152">
        <f>IF(INDEX('04A_국토부원자료'!$A:$A,ROW()+1)="","",ROW()-3)</f>
        <v/>
      </c>
      <c r="B1213" s="48">
        <f>IFERROR(INDEX('04A_국토부원자료'!$A:$T,ROW()+1,MATCH("시군구",'04A_국토부원자료'!$A$4:$T$4,0)),"")</f>
        <v/>
      </c>
      <c r="C1213" s="48">
        <f>IF(B1213="","",IFERROR(INDEX('04A_국토부원자료'!$A:$T,ROW()+1,MATCH("번지",'04A_국토부원자료'!$A$4:$T$4,0)),""))</f>
        <v/>
      </c>
      <c r="D1213" s="48">
        <f>IF(B1213="","",IF(Q1213=1,'02_대상물건입력'!$B$8,IFERROR(INDEX('04A_국토부원자료'!$A:$T,ROW()+1,MATCH("단지명",'04A_국토부원자료'!$A$4:$T$4,0)),"")))</f>
        <v/>
      </c>
      <c r="E1213" s="172">
        <f>IFERROR(VALUE(SUBSTITUTE(INDEX('04A_국토부원자료'!$A:$T,ROW()+1,MATCH("전용면적(㎡)",'04A_국토부원자료'!$A$4:$T$4,0)),",","")),"")</f>
        <v/>
      </c>
      <c r="F12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13" s="51">
        <f>IFERROR(VALUE(SUBSTITUTE(INDEX('04A_국토부원자료'!$A:$T,ROW()+1,MATCH("거래금액(만원)",'04A_국토부원자료'!$A$4:$T$4,0)),",","")),"")</f>
        <v/>
      </c>
      <c r="H1213" s="174">
        <f>IF(G1213="","",G1213*10000)</f>
        <v/>
      </c>
      <c r="I1213" s="174">
        <f>IFERROR(IF(AND(H1213&gt;0,E1213&gt;0),H1213/E1213,""),"")</f>
        <v/>
      </c>
      <c r="J1213" s="152">
        <f>IFERROR(VALUE(SUBSTITUTE(INDEX('04A_국토부원자료'!$A:$T,ROW()+1,MATCH("층",'04A_국토부원자료'!$A$4:$T$4,0)),",","")),"")</f>
        <v/>
      </c>
      <c r="K1213" s="152">
        <f>IFERROR(VALUE(SUBSTITUTE(INDEX('04A_국토부원자료'!$A:$T,ROW()+1,MATCH("건축년도",'04A_국토부원자료'!$A$4:$T$4,0)),",","")),"")</f>
        <v/>
      </c>
      <c r="L1213" s="176">
        <f>IFERROR(INDEX('04A_국토부원자료'!$A:$T,ROW()+1,MATCH("도로명",'04A_국토부원자료'!$A$4:$T$4,0)),"")</f>
        <v/>
      </c>
      <c r="M1213" s="48">
        <f>IFERROR(INDEX('04A_국토부원자료'!$A:$T,ROW()+1,MATCH("거래유형",'04A_국토부원자료'!$A$4:$T$4,0)),"")</f>
        <v/>
      </c>
      <c r="N1213" s="152">
        <f>IF(B1213="","",IF('02_대상물건입력'!B5="",1,IF(ISNUMBER(SEARCH('02_대상물건입력'!B5,B1213)),1,0)))</f>
        <v/>
      </c>
      <c r="O1213" s="152">
        <f>IF(B1213="","",IF('02_대상물건입력'!B6="",1,IF(ISNUMBER(SEARCH('02_대상물건입력'!B6,B1213)),1,0)))</f>
        <v/>
      </c>
      <c r="P1213" s="152">
        <f>IF(L1213="","",IF('02_대상물건입력'!B15="",0,IF(ISNUMBER(SEARCH('02_대상물건입력'!B15,L1213)),1,0)))</f>
        <v/>
      </c>
      <c r="Q1213" s="152">
        <f>IF(OR(C1213="",L1213=""),0,IF(AND(TRIM(C1213)=TRIM(RIGHT(SUBSTITUTE(TRIM('02_대상물건입력'!$B$7)," ",REPT(" ",99)),99)),IF('02_대상물건입력'!B15="",TRUE(),ISNUMBER(SEARCH('02_대상물건입력'!B15,L1213)))),1,0))</f>
        <v/>
      </c>
      <c r="R1213" s="175">
        <f>IFERROR(ABS(E1213-'02_대상물건입력'!B11)/'02_대상물건입력'!B11,"")</f>
        <v/>
      </c>
      <c r="S1213" s="152">
        <f>IFERROR(ABS(J1213-'02_대상물건입력'!B10),"")</f>
        <v/>
      </c>
      <c r="T1213" s="152">
        <f>IFERROR(ABS('01_설정'!B4-F1213),"")</f>
        <v/>
      </c>
      <c r="U1213" s="152">
        <f>IFERROR(ABS(K1213-YEAR('02_대상물건입력'!B14)),"")</f>
        <v/>
      </c>
      <c r="V1213" s="152">
        <f>IF(B1213="","",IF(AND(E1213&gt;0,F1213&gt;0,H1213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1213=1,TRUE()),R1213&lt;='01_설정'!B5,S1213&lt;='01_설정'!B6,T1213&lt;='01_설정'!B7,U1213&lt;='01_설정'!B8),"Y",""))</f>
        <v/>
      </c>
      <c r="W1213" s="172">
        <f>IF(V1213&lt;&gt;"Y","",MAX(0,(1-R1213/'01_설정'!B5))*'01_설정'!B14+MAX(0,(1-S1213/'01_설정'!B6))*'01_설정'!B15+MAX(0,(1-T1213/'01_설정'!B7))*'01_설정'!B16+MAX(0,(1-U1213/'01_설정'!B8))*'01_설정'!B17+O1213*'01_설정'!B11+Q1213*'01_설정'!B12+P1213*'01_설정'!B13+IF(Z1213="",0,Z1213))</f>
        <v/>
      </c>
      <c r="X1213" s="152">
        <f>IF(W1213="","",1+COUNTIFS($W$4:$W$3003,"&gt;"&amp;W1213)+COUNTIFS($W$4:W1213,W1213)-1)</f>
        <v/>
      </c>
      <c r="Y1213" s="175">
        <f>IF(OR(I1213="",'02_대상물건입력'!B19="",'02_대상물건입력'!B19&lt;=0),"",ABS(I1213-'02_대상물건입력'!B19)/'02_대상물건입력'!B19)</f>
        <v/>
      </c>
      <c r="Z1213" s="172">
        <f>IF(OR(Y1213="",'01_설정'!B31="",'01_설정'!B31&lt;=0,'01_설정'!B32="",'01_설정'!B32&lt;=0),"",MAX(0,(1-Y1213/'01_설정'!B32))*'01_설정'!B31)</f>
        <v/>
      </c>
    </row>
    <row r="1214" ht="17.25" customHeight="1">
      <c r="A1214" s="152">
        <f>IF(INDEX('04A_국토부원자료'!$A:$A,ROW()+1)="","",ROW()-3)</f>
        <v/>
      </c>
      <c r="B1214" s="48">
        <f>IFERROR(INDEX('04A_국토부원자료'!$A:$T,ROW()+1,MATCH("시군구",'04A_국토부원자료'!$A$4:$T$4,0)),"")</f>
        <v/>
      </c>
      <c r="C1214" s="48">
        <f>IF(B1214="","",IFERROR(INDEX('04A_국토부원자료'!$A:$T,ROW()+1,MATCH("번지",'04A_국토부원자료'!$A$4:$T$4,0)),""))</f>
        <v/>
      </c>
      <c r="D1214" s="48">
        <f>IF(B1214="","",IF(Q1214=1,'02_대상물건입력'!$B$8,IFERROR(INDEX('04A_국토부원자료'!$A:$T,ROW()+1,MATCH("단지명",'04A_국토부원자료'!$A$4:$T$4,0)),"")))</f>
        <v/>
      </c>
      <c r="E1214" s="172">
        <f>IFERROR(VALUE(SUBSTITUTE(INDEX('04A_국토부원자료'!$A:$T,ROW()+1,MATCH("전용면적(㎡)",'04A_국토부원자료'!$A$4:$T$4,0)),",","")),"")</f>
        <v/>
      </c>
      <c r="F12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14" s="51">
        <f>IFERROR(VALUE(SUBSTITUTE(INDEX('04A_국토부원자료'!$A:$T,ROW()+1,MATCH("거래금액(만원)",'04A_국토부원자료'!$A$4:$T$4,0)),",","")),"")</f>
        <v/>
      </c>
      <c r="H1214" s="174">
        <f>IF(G1214="","",G1214*10000)</f>
        <v/>
      </c>
      <c r="I1214" s="174">
        <f>IFERROR(IF(AND(H1214&gt;0,E1214&gt;0),H1214/E1214,""),"")</f>
        <v/>
      </c>
      <c r="J1214" s="152">
        <f>IFERROR(VALUE(SUBSTITUTE(INDEX('04A_국토부원자료'!$A:$T,ROW()+1,MATCH("층",'04A_국토부원자료'!$A$4:$T$4,0)),",","")),"")</f>
        <v/>
      </c>
      <c r="K1214" s="152">
        <f>IFERROR(VALUE(SUBSTITUTE(INDEX('04A_국토부원자료'!$A:$T,ROW()+1,MATCH("건축년도",'04A_국토부원자료'!$A$4:$T$4,0)),",","")),"")</f>
        <v/>
      </c>
      <c r="L1214" s="176">
        <f>IFERROR(INDEX('04A_국토부원자료'!$A:$T,ROW()+1,MATCH("도로명",'04A_국토부원자료'!$A$4:$T$4,0)),"")</f>
        <v/>
      </c>
      <c r="M1214" s="48">
        <f>IFERROR(INDEX('04A_국토부원자료'!$A:$T,ROW()+1,MATCH("거래유형",'04A_국토부원자료'!$A$4:$T$4,0)),"")</f>
        <v/>
      </c>
      <c r="N1214" s="152">
        <f>IF(B1214="","",IF('02_대상물건입력'!B5="",1,IF(ISNUMBER(SEARCH('02_대상물건입력'!B5,B1214)),1,0)))</f>
        <v/>
      </c>
      <c r="O1214" s="152">
        <f>IF(B1214="","",IF('02_대상물건입력'!B6="",1,IF(ISNUMBER(SEARCH('02_대상물건입력'!B6,B1214)),1,0)))</f>
        <v/>
      </c>
      <c r="P1214" s="152">
        <f>IF(L1214="","",IF('02_대상물건입력'!B15="",0,IF(ISNUMBER(SEARCH('02_대상물건입력'!B15,L1214)),1,0)))</f>
        <v/>
      </c>
      <c r="Q1214" s="152">
        <f>IF(OR(C1214="",L1214=""),0,IF(AND(TRIM(C1214)=TRIM(RIGHT(SUBSTITUTE(TRIM('02_대상물건입력'!$B$7)," ",REPT(" ",99)),99)),IF('02_대상물건입력'!B15="",TRUE(),ISNUMBER(SEARCH('02_대상물건입력'!B15,L1214)))),1,0))</f>
        <v/>
      </c>
      <c r="R1214" s="175">
        <f>IFERROR(ABS(E1214-'02_대상물건입력'!B11)/'02_대상물건입력'!B11,"")</f>
        <v/>
      </c>
      <c r="S1214" s="152">
        <f>IFERROR(ABS(J1214-'02_대상물건입력'!B10),"")</f>
        <v/>
      </c>
      <c r="T1214" s="152">
        <f>IFERROR(ABS('01_설정'!B4-F1214),"")</f>
        <v/>
      </c>
      <c r="U1214" s="152">
        <f>IFERROR(ABS(K1214-YEAR('02_대상물건입력'!B14)),"")</f>
        <v/>
      </c>
      <c r="V1214" s="152">
        <f>IF(B1214="","",IF(AND(E1214&gt;0,F1214&gt;0,H1214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1214=1,TRUE()),R1214&lt;='01_설정'!B5,S1214&lt;='01_설정'!B6,T1214&lt;='01_설정'!B7,U1214&lt;='01_설정'!B8),"Y",""))</f>
        <v/>
      </c>
      <c r="W1214" s="172">
        <f>IF(V1214&lt;&gt;"Y","",MAX(0,(1-R1214/'01_설정'!B5))*'01_설정'!B14+MAX(0,(1-S1214/'01_설정'!B6))*'01_설정'!B15+MAX(0,(1-T1214/'01_설정'!B7))*'01_설정'!B16+MAX(0,(1-U1214/'01_설정'!B8))*'01_설정'!B17+O1214*'01_설정'!B11+Q1214*'01_설정'!B12+P1214*'01_설정'!B13+IF(Z1214="",0,Z1214))</f>
        <v/>
      </c>
      <c r="X1214" s="152">
        <f>IF(W1214="","",1+COUNTIFS($W$4:$W$3003,"&gt;"&amp;W1214)+COUNTIFS($W$4:W1214,W1214)-1)</f>
        <v/>
      </c>
      <c r="Y1214" s="175">
        <f>IF(OR(I1214="",'02_대상물건입력'!B19="",'02_대상물건입력'!B19&lt;=0),"",ABS(I1214-'02_대상물건입력'!B19)/'02_대상물건입력'!B19)</f>
        <v/>
      </c>
      <c r="Z1214" s="172">
        <f>IF(OR(Y1214="",'01_설정'!B31="",'01_설정'!B31&lt;=0,'01_설정'!B32="",'01_설정'!B32&lt;=0),"",MAX(0,(1-Y1214/'01_설정'!B32))*'01_설정'!B31)</f>
        <v/>
      </c>
    </row>
    <row r="1215" ht="17.25" customHeight="1">
      <c r="A1215" s="152">
        <f>IF(INDEX('04A_국토부원자료'!$A:$A,ROW()+1)="","",ROW()-3)</f>
        <v/>
      </c>
      <c r="B1215" s="48">
        <f>IFERROR(INDEX('04A_국토부원자료'!$A:$T,ROW()+1,MATCH("시군구",'04A_국토부원자료'!$A$4:$T$4,0)),"")</f>
        <v/>
      </c>
      <c r="C1215" s="48">
        <f>IF(B1215="","",IFERROR(INDEX('04A_국토부원자료'!$A:$T,ROW()+1,MATCH("번지",'04A_국토부원자료'!$A$4:$T$4,0)),""))</f>
        <v/>
      </c>
      <c r="D1215" s="48">
        <f>IF(B1215="","",IF(Q1215=1,'02_대상물건입력'!$B$8,IFERROR(INDEX('04A_국토부원자료'!$A:$T,ROW()+1,MATCH("단지명",'04A_국토부원자료'!$A$4:$T$4,0)),"")))</f>
        <v/>
      </c>
      <c r="E1215" s="172">
        <f>IFERROR(VALUE(SUBSTITUTE(INDEX('04A_국토부원자료'!$A:$T,ROW()+1,MATCH("전용면적(㎡)",'04A_국토부원자료'!$A$4:$T$4,0)),",","")),"")</f>
        <v/>
      </c>
      <c r="F12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15" s="51">
        <f>IFERROR(VALUE(SUBSTITUTE(INDEX('04A_국토부원자료'!$A:$T,ROW()+1,MATCH("거래금액(만원)",'04A_국토부원자료'!$A$4:$T$4,0)),",","")),"")</f>
        <v/>
      </c>
      <c r="H1215" s="174">
        <f>IF(G1215="","",G1215*10000)</f>
        <v/>
      </c>
      <c r="I1215" s="174">
        <f>IFERROR(IF(AND(H1215&gt;0,E1215&gt;0),H1215/E1215,""),"")</f>
        <v/>
      </c>
      <c r="J1215" s="152">
        <f>IFERROR(VALUE(SUBSTITUTE(INDEX('04A_국토부원자료'!$A:$T,ROW()+1,MATCH("층",'04A_국토부원자료'!$A$4:$T$4,0)),",","")),"")</f>
        <v/>
      </c>
      <c r="K1215" s="152">
        <f>IFERROR(VALUE(SUBSTITUTE(INDEX('04A_국토부원자료'!$A:$T,ROW()+1,MATCH("건축년도",'04A_국토부원자료'!$A$4:$T$4,0)),",","")),"")</f>
        <v/>
      </c>
      <c r="L1215" s="176">
        <f>IFERROR(INDEX('04A_국토부원자료'!$A:$T,ROW()+1,MATCH("도로명",'04A_국토부원자료'!$A$4:$T$4,0)),"")</f>
        <v/>
      </c>
      <c r="M1215" s="48">
        <f>IFERROR(INDEX('04A_국토부원자료'!$A:$T,ROW()+1,MATCH("거래유형",'04A_국토부원자료'!$A$4:$T$4,0)),"")</f>
        <v/>
      </c>
      <c r="N1215" s="152">
        <f>IF(B1215="","",IF('02_대상물건입력'!B5="",1,IF(ISNUMBER(SEARCH('02_대상물건입력'!B5,B1215)),1,0)))</f>
        <v/>
      </c>
      <c r="O1215" s="152">
        <f>IF(B1215="","",IF('02_대상물건입력'!B6="",1,IF(ISNUMBER(SEARCH('02_대상물건입력'!B6,B1215)),1,0)))</f>
        <v/>
      </c>
      <c r="P1215" s="152">
        <f>IF(L1215="","",IF('02_대상물건입력'!B15="",0,IF(ISNUMBER(SEARCH('02_대상물건입력'!B15,L1215)),1,0)))</f>
        <v/>
      </c>
      <c r="Q1215" s="152">
        <f>IF(OR(C1215="",L1215=""),0,IF(AND(TRIM(C1215)=TRIM(RIGHT(SUBSTITUTE(TRIM('02_대상물건입력'!$B$7)," ",REPT(" ",99)),99)),IF('02_대상물건입력'!B15="",TRUE(),ISNUMBER(SEARCH('02_대상물건입력'!B15,L1215)))),1,0))</f>
        <v/>
      </c>
      <c r="R1215" s="175">
        <f>IFERROR(ABS(E1215-'02_대상물건입력'!B11)/'02_대상물건입력'!B11,"")</f>
        <v/>
      </c>
      <c r="S1215" s="152">
        <f>IFERROR(ABS(J1215-'02_대상물건입력'!B10),"")</f>
        <v/>
      </c>
      <c r="T1215" s="152">
        <f>IFERROR(ABS('01_설정'!B4-F1215),"")</f>
        <v/>
      </c>
      <c r="U1215" s="152">
        <f>IFERROR(ABS(K1215-YEAR('02_대상물건입력'!B14)),"")</f>
        <v/>
      </c>
      <c r="V1215" s="152">
        <f>IF(B1215="","",IF(AND(E1215&gt;0,F1215&gt;0,H1215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1215=1,TRUE()),R1215&lt;='01_설정'!B5,S1215&lt;='01_설정'!B6,T1215&lt;='01_설정'!B7,U1215&lt;='01_설정'!B8),"Y",""))</f>
        <v/>
      </c>
      <c r="W1215" s="172">
        <f>IF(V1215&lt;&gt;"Y","",MAX(0,(1-R1215/'01_설정'!B5))*'01_설정'!B14+MAX(0,(1-S1215/'01_설정'!B6))*'01_설정'!B15+MAX(0,(1-T1215/'01_설정'!B7))*'01_설정'!B16+MAX(0,(1-U1215/'01_설정'!B8))*'01_설정'!B17+O1215*'01_설정'!B11+Q1215*'01_설정'!B12+P1215*'01_설정'!B13+IF(Z1215="",0,Z1215))</f>
        <v/>
      </c>
      <c r="X1215" s="152">
        <f>IF(W1215="","",1+COUNTIFS($W$4:$W$3003,"&gt;"&amp;W1215)+COUNTIFS($W$4:W1215,W1215)-1)</f>
        <v/>
      </c>
      <c r="Y1215" s="175">
        <f>IF(OR(I1215="",'02_대상물건입력'!B19="",'02_대상물건입력'!B19&lt;=0),"",ABS(I1215-'02_대상물건입력'!B19)/'02_대상물건입력'!B19)</f>
        <v/>
      </c>
      <c r="Z1215" s="172">
        <f>IF(OR(Y1215="",'01_설정'!B31="",'01_설정'!B31&lt;=0,'01_설정'!B32="",'01_설정'!B32&lt;=0),"",MAX(0,(1-Y1215/'01_설정'!B32))*'01_설정'!B31)</f>
        <v/>
      </c>
    </row>
    <row r="1216" ht="17.25" customHeight="1">
      <c r="A1216" s="152">
        <f>IF(INDEX('04A_국토부원자료'!$A:$A,ROW()+1)="","",ROW()-3)</f>
        <v/>
      </c>
      <c r="B1216" s="48">
        <f>IFERROR(INDEX('04A_국토부원자료'!$A:$T,ROW()+1,MATCH("시군구",'04A_국토부원자료'!$A$4:$T$4,0)),"")</f>
        <v/>
      </c>
      <c r="C1216" s="48">
        <f>IF(B1216="","",IFERROR(INDEX('04A_국토부원자료'!$A:$T,ROW()+1,MATCH("번지",'04A_국토부원자료'!$A$4:$T$4,0)),""))</f>
        <v/>
      </c>
      <c r="D1216" s="48">
        <f>IF(B1216="","",IF(Q1216=1,'02_대상물건입력'!$B$8,IFERROR(INDEX('04A_국토부원자료'!$A:$T,ROW()+1,MATCH("단지명",'04A_국토부원자료'!$A$4:$T$4,0)),"")))</f>
        <v/>
      </c>
      <c r="E1216" s="172">
        <f>IFERROR(VALUE(SUBSTITUTE(INDEX('04A_국토부원자료'!$A:$T,ROW()+1,MATCH("전용면적(㎡)",'04A_국토부원자료'!$A$4:$T$4,0)),",","")),"")</f>
        <v/>
      </c>
      <c r="F12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16" s="51">
        <f>IFERROR(VALUE(SUBSTITUTE(INDEX('04A_국토부원자료'!$A:$T,ROW()+1,MATCH("거래금액(만원)",'04A_국토부원자료'!$A$4:$T$4,0)),",","")),"")</f>
        <v/>
      </c>
      <c r="H1216" s="174">
        <f>IF(G1216="","",G1216*10000)</f>
        <v/>
      </c>
      <c r="I1216" s="174">
        <f>IFERROR(IF(AND(H1216&gt;0,E1216&gt;0),H1216/E1216,""),"")</f>
        <v/>
      </c>
      <c r="J1216" s="152">
        <f>IFERROR(VALUE(SUBSTITUTE(INDEX('04A_국토부원자료'!$A:$T,ROW()+1,MATCH("층",'04A_국토부원자료'!$A$4:$T$4,0)),",","")),"")</f>
        <v/>
      </c>
      <c r="K1216" s="152">
        <f>IFERROR(VALUE(SUBSTITUTE(INDEX('04A_국토부원자료'!$A:$T,ROW()+1,MATCH("건축년도",'04A_국토부원자료'!$A$4:$T$4,0)),",","")),"")</f>
        <v/>
      </c>
      <c r="L1216" s="176">
        <f>IFERROR(INDEX('04A_국토부원자료'!$A:$T,ROW()+1,MATCH("도로명",'04A_국토부원자료'!$A$4:$T$4,0)),"")</f>
        <v/>
      </c>
      <c r="M1216" s="48">
        <f>IFERROR(INDEX('04A_국토부원자료'!$A:$T,ROW()+1,MATCH("거래유형",'04A_국토부원자료'!$A$4:$T$4,0)),"")</f>
        <v/>
      </c>
      <c r="N1216" s="152">
        <f>IF(B1216="","",IF('02_대상물건입력'!B5="",1,IF(ISNUMBER(SEARCH('02_대상물건입력'!B5,B1216)),1,0)))</f>
        <v/>
      </c>
      <c r="O1216" s="152">
        <f>IF(B1216="","",IF('02_대상물건입력'!B6="",1,IF(ISNUMBER(SEARCH('02_대상물건입력'!B6,B1216)),1,0)))</f>
        <v/>
      </c>
      <c r="P1216" s="152">
        <f>IF(L1216="","",IF('02_대상물건입력'!B15="",0,IF(ISNUMBER(SEARCH('02_대상물건입력'!B15,L1216)),1,0)))</f>
        <v/>
      </c>
      <c r="Q1216" s="152">
        <f>IF(OR(C1216="",L1216=""),0,IF(AND(TRIM(C1216)=TRIM(RIGHT(SUBSTITUTE(TRIM('02_대상물건입력'!$B$7)," ",REPT(" ",99)),99)),IF('02_대상물건입력'!B15="",TRUE(),ISNUMBER(SEARCH('02_대상물건입력'!B15,L1216)))),1,0))</f>
        <v/>
      </c>
      <c r="R1216" s="175">
        <f>IFERROR(ABS(E1216-'02_대상물건입력'!B11)/'02_대상물건입력'!B11,"")</f>
        <v/>
      </c>
      <c r="S1216" s="152">
        <f>IFERROR(ABS(J1216-'02_대상물건입력'!B10),"")</f>
        <v/>
      </c>
      <c r="T1216" s="152">
        <f>IFERROR(ABS('01_설정'!B4-F1216),"")</f>
        <v/>
      </c>
      <c r="U1216" s="152">
        <f>IFERROR(ABS(K1216-YEAR('02_대상물건입력'!B14)),"")</f>
        <v/>
      </c>
      <c r="V1216" s="152">
        <f>IF(B1216="","",IF(AND(E1216&gt;0,F1216&gt;0,H1216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1216=1,TRUE()),R1216&lt;='01_설정'!B5,S1216&lt;='01_설정'!B6,T1216&lt;='01_설정'!B7,U1216&lt;='01_설정'!B8),"Y",""))</f>
        <v/>
      </c>
      <c r="W1216" s="172">
        <f>IF(V1216&lt;&gt;"Y","",MAX(0,(1-R1216/'01_설정'!B5))*'01_설정'!B14+MAX(0,(1-S1216/'01_설정'!B6))*'01_설정'!B15+MAX(0,(1-T1216/'01_설정'!B7))*'01_설정'!B16+MAX(0,(1-U1216/'01_설정'!B8))*'01_설정'!B17+O1216*'01_설정'!B11+Q1216*'01_설정'!B12+P1216*'01_설정'!B13+IF(Z1216="",0,Z1216))</f>
        <v/>
      </c>
      <c r="X1216" s="152">
        <f>IF(W1216="","",1+COUNTIFS($W$4:$W$3003,"&gt;"&amp;W1216)+COUNTIFS($W$4:W1216,W1216)-1)</f>
        <v/>
      </c>
      <c r="Y1216" s="175">
        <f>IF(OR(I1216="",'02_대상물건입력'!B19="",'02_대상물건입력'!B19&lt;=0),"",ABS(I1216-'02_대상물건입력'!B19)/'02_대상물건입력'!B19)</f>
        <v/>
      </c>
      <c r="Z1216" s="172">
        <f>IF(OR(Y1216="",'01_설정'!B31="",'01_설정'!B31&lt;=0,'01_설정'!B32="",'01_설정'!B32&lt;=0),"",MAX(0,(1-Y1216/'01_설정'!B32))*'01_설정'!B31)</f>
        <v/>
      </c>
    </row>
    <row r="1217" ht="17.25" customHeight="1">
      <c r="A1217" s="152">
        <f>IF(INDEX('04A_국토부원자료'!$A:$A,ROW()+1)="","",ROW()-3)</f>
        <v/>
      </c>
      <c r="B1217" s="48">
        <f>IFERROR(INDEX('04A_국토부원자료'!$A:$T,ROW()+1,MATCH("시군구",'04A_국토부원자료'!$A$4:$T$4,0)),"")</f>
        <v/>
      </c>
      <c r="C1217" s="48">
        <f>IF(B1217="","",IFERROR(INDEX('04A_국토부원자료'!$A:$T,ROW()+1,MATCH("번지",'04A_국토부원자료'!$A$4:$T$4,0)),""))</f>
        <v/>
      </c>
      <c r="D1217" s="48">
        <f>IF(B1217="","",IF(Q1217=1,'02_대상물건입력'!$B$8,IFERROR(INDEX('04A_국토부원자료'!$A:$T,ROW()+1,MATCH("단지명",'04A_국토부원자료'!$A$4:$T$4,0)),"")))</f>
        <v/>
      </c>
      <c r="E1217" s="172">
        <f>IFERROR(VALUE(SUBSTITUTE(INDEX('04A_국토부원자료'!$A:$T,ROW()+1,MATCH("전용면적(㎡)",'04A_국토부원자료'!$A$4:$T$4,0)),",","")),"")</f>
        <v/>
      </c>
      <c r="F12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17" s="51">
        <f>IFERROR(VALUE(SUBSTITUTE(INDEX('04A_국토부원자료'!$A:$T,ROW()+1,MATCH("거래금액(만원)",'04A_국토부원자료'!$A$4:$T$4,0)),",","")),"")</f>
        <v/>
      </c>
      <c r="H1217" s="174">
        <f>IF(G1217="","",G1217*10000)</f>
        <v/>
      </c>
      <c r="I1217" s="174">
        <f>IFERROR(IF(AND(H1217&gt;0,E1217&gt;0),H1217/E1217,""),"")</f>
        <v/>
      </c>
      <c r="J1217" s="152">
        <f>IFERROR(VALUE(SUBSTITUTE(INDEX('04A_국토부원자료'!$A:$T,ROW()+1,MATCH("층",'04A_국토부원자료'!$A$4:$T$4,0)),",","")),"")</f>
        <v/>
      </c>
      <c r="K1217" s="152">
        <f>IFERROR(VALUE(SUBSTITUTE(INDEX('04A_국토부원자료'!$A:$T,ROW()+1,MATCH("건축년도",'04A_국토부원자료'!$A$4:$T$4,0)),",","")),"")</f>
        <v/>
      </c>
      <c r="L1217" s="176">
        <f>IFERROR(INDEX('04A_국토부원자료'!$A:$T,ROW()+1,MATCH("도로명",'04A_국토부원자료'!$A$4:$T$4,0)),"")</f>
        <v/>
      </c>
      <c r="M1217" s="48">
        <f>IFERROR(INDEX('04A_국토부원자료'!$A:$T,ROW()+1,MATCH("거래유형",'04A_국토부원자료'!$A$4:$T$4,0)),"")</f>
        <v/>
      </c>
      <c r="N1217" s="152">
        <f>IF(B1217="","",IF('02_대상물건입력'!B5="",1,IF(ISNUMBER(SEARCH('02_대상물건입력'!B5,B1217)),1,0)))</f>
        <v/>
      </c>
      <c r="O1217" s="152">
        <f>IF(B1217="","",IF('02_대상물건입력'!B6="",1,IF(ISNUMBER(SEARCH('02_대상물건입력'!B6,B1217)),1,0)))</f>
        <v/>
      </c>
      <c r="P1217" s="152">
        <f>IF(L1217="","",IF('02_대상물건입력'!B15="",0,IF(ISNUMBER(SEARCH('02_대상물건입력'!B15,L1217)),1,0)))</f>
        <v/>
      </c>
      <c r="Q1217" s="152">
        <f>IF(OR(C1217="",L1217=""),0,IF(AND(TRIM(C1217)=TRIM(RIGHT(SUBSTITUTE(TRIM('02_대상물건입력'!$B$7)," ",REPT(" ",99)),99)),IF('02_대상물건입력'!B15="",TRUE(),ISNUMBER(SEARCH('02_대상물건입력'!B15,L1217)))),1,0))</f>
        <v/>
      </c>
      <c r="R1217" s="175">
        <f>IFERROR(ABS(E1217-'02_대상물건입력'!B11)/'02_대상물건입력'!B11,"")</f>
        <v/>
      </c>
      <c r="S1217" s="152">
        <f>IFERROR(ABS(J1217-'02_대상물건입력'!B10),"")</f>
        <v/>
      </c>
      <c r="T1217" s="152">
        <f>IFERROR(ABS('01_설정'!B4-F1217),"")</f>
        <v/>
      </c>
      <c r="U1217" s="152">
        <f>IFERROR(ABS(K1217-YEAR('02_대상물건입력'!B14)),"")</f>
        <v/>
      </c>
      <c r="V1217" s="152">
        <f>IF(B1217="","",IF(AND(E1217&gt;0,F1217&gt;0,H1217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1217=1,TRUE()),R1217&lt;='01_설정'!B5,S1217&lt;='01_설정'!B6,T1217&lt;='01_설정'!B7,U1217&lt;='01_설정'!B8),"Y",""))</f>
        <v/>
      </c>
      <c r="W1217" s="172">
        <f>IF(V1217&lt;&gt;"Y","",MAX(0,(1-R1217/'01_설정'!B5))*'01_설정'!B14+MAX(0,(1-S1217/'01_설정'!B6))*'01_설정'!B15+MAX(0,(1-T1217/'01_설정'!B7))*'01_설정'!B16+MAX(0,(1-U1217/'01_설정'!B8))*'01_설정'!B17+O1217*'01_설정'!B11+Q1217*'01_설정'!B12+P1217*'01_설정'!B13+IF(Z1217="",0,Z1217))</f>
        <v/>
      </c>
      <c r="X1217" s="152">
        <f>IF(W1217="","",1+COUNTIFS($W$4:$W$3003,"&gt;"&amp;W1217)+COUNTIFS($W$4:W1217,W1217)-1)</f>
        <v/>
      </c>
      <c r="Y1217" s="175">
        <f>IF(OR(I1217="",'02_대상물건입력'!B19="",'02_대상물건입력'!B19&lt;=0),"",ABS(I1217-'02_대상물건입력'!B19)/'02_대상물건입력'!B19)</f>
        <v/>
      </c>
      <c r="Z1217" s="172">
        <f>IF(OR(Y1217="",'01_설정'!B31="",'01_설정'!B31&lt;=0,'01_설정'!B32="",'01_설정'!B32&lt;=0),"",MAX(0,(1-Y1217/'01_설정'!B32))*'01_설정'!B31)</f>
        <v/>
      </c>
    </row>
    <row r="1218" ht="17.25" customHeight="1">
      <c r="A1218" s="152">
        <f>IF(INDEX('04A_국토부원자료'!$A:$A,ROW()+1)="","",ROW()-3)</f>
        <v/>
      </c>
      <c r="B1218" s="48">
        <f>IFERROR(INDEX('04A_국토부원자료'!$A:$T,ROW()+1,MATCH("시군구",'04A_국토부원자료'!$A$4:$T$4,0)),"")</f>
        <v/>
      </c>
      <c r="C1218" s="48">
        <f>IF(B1218="","",IFERROR(INDEX('04A_국토부원자료'!$A:$T,ROW()+1,MATCH("번지",'04A_국토부원자료'!$A$4:$T$4,0)),""))</f>
        <v/>
      </c>
      <c r="D1218" s="48">
        <f>IF(B1218="","",IF(Q1218=1,'02_대상물건입력'!$B$8,IFERROR(INDEX('04A_국토부원자료'!$A:$T,ROW()+1,MATCH("단지명",'04A_국토부원자료'!$A$4:$T$4,0)),"")))</f>
        <v/>
      </c>
      <c r="E1218" s="172">
        <f>IFERROR(VALUE(SUBSTITUTE(INDEX('04A_국토부원자료'!$A:$T,ROW()+1,MATCH("전용면적(㎡)",'04A_국토부원자료'!$A$4:$T$4,0)),",","")),"")</f>
        <v/>
      </c>
      <c r="F12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18" s="51">
        <f>IFERROR(VALUE(SUBSTITUTE(INDEX('04A_국토부원자료'!$A:$T,ROW()+1,MATCH("거래금액(만원)",'04A_국토부원자료'!$A$4:$T$4,0)),",","")),"")</f>
        <v/>
      </c>
      <c r="H1218" s="174">
        <f>IF(G1218="","",G1218*10000)</f>
        <v/>
      </c>
      <c r="I1218" s="174">
        <f>IFERROR(IF(AND(H1218&gt;0,E1218&gt;0),H1218/E1218,""),"")</f>
        <v/>
      </c>
      <c r="J1218" s="152">
        <f>IFERROR(VALUE(SUBSTITUTE(INDEX('04A_국토부원자료'!$A:$T,ROW()+1,MATCH("층",'04A_국토부원자료'!$A$4:$T$4,0)),",","")),"")</f>
        <v/>
      </c>
      <c r="K1218" s="152">
        <f>IFERROR(VALUE(SUBSTITUTE(INDEX('04A_국토부원자료'!$A:$T,ROW()+1,MATCH("건축년도",'04A_국토부원자료'!$A$4:$T$4,0)),",","")),"")</f>
        <v/>
      </c>
      <c r="L1218" s="176">
        <f>IFERROR(INDEX('04A_국토부원자료'!$A:$T,ROW()+1,MATCH("도로명",'04A_국토부원자료'!$A$4:$T$4,0)),"")</f>
        <v/>
      </c>
      <c r="M1218" s="48">
        <f>IFERROR(INDEX('04A_국토부원자료'!$A:$T,ROW()+1,MATCH("거래유형",'04A_국토부원자료'!$A$4:$T$4,0)),"")</f>
        <v/>
      </c>
      <c r="N1218" s="152">
        <f>IF(B1218="","",IF('02_대상물건입력'!B5="",1,IF(ISNUMBER(SEARCH('02_대상물건입력'!B5,B1218)),1,0)))</f>
        <v/>
      </c>
      <c r="O1218" s="152">
        <f>IF(B1218="","",IF('02_대상물건입력'!B6="",1,IF(ISNUMBER(SEARCH('02_대상물건입력'!B6,B1218)),1,0)))</f>
        <v/>
      </c>
      <c r="P1218" s="152">
        <f>IF(L1218="","",IF('02_대상물건입력'!B15="",0,IF(ISNUMBER(SEARCH('02_대상물건입력'!B15,L1218)),1,0)))</f>
        <v/>
      </c>
      <c r="Q1218" s="152">
        <f>IF(OR(C1218="",L1218=""),0,IF(AND(TRIM(C1218)=TRIM(RIGHT(SUBSTITUTE(TRIM('02_대상물건입력'!$B$7)," ",REPT(" ",99)),99)),IF('02_대상물건입력'!B15="",TRUE(),ISNUMBER(SEARCH('02_대상물건입력'!B15,L1218)))),1,0))</f>
        <v/>
      </c>
      <c r="R1218" s="175">
        <f>IFERROR(ABS(E1218-'02_대상물건입력'!B11)/'02_대상물건입력'!B11,"")</f>
        <v/>
      </c>
      <c r="S1218" s="152">
        <f>IFERROR(ABS(J1218-'02_대상물건입력'!B10),"")</f>
        <v/>
      </c>
      <c r="T1218" s="152">
        <f>IFERROR(ABS('01_설정'!B4-F1218),"")</f>
        <v/>
      </c>
      <c r="U1218" s="152">
        <f>IFERROR(ABS(K1218-YEAR('02_대상물건입력'!B14)),"")</f>
        <v/>
      </c>
      <c r="V1218" s="152">
        <f>IF(B1218="","",IF(AND(E1218&gt;0,F1218&gt;0,H1218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1218=1,TRUE()),R1218&lt;='01_설정'!B5,S1218&lt;='01_설정'!B6,T1218&lt;='01_설정'!B7,U1218&lt;='01_설정'!B8),"Y",""))</f>
        <v/>
      </c>
      <c r="W1218" s="172">
        <f>IF(V1218&lt;&gt;"Y","",MAX(0,(1-R1218/'01_설정'!B5))*'01_설정'!B14+MAX(0,(1-S1218/'01_설정'!B6))*'01_설정'!B15+MAX(0,(1-T1218/'01_설정'!B7))*'01_설정'!B16+MAX(0,(1-U1218/'01_설정'!B8))*'01_설정'!B17+O1218*'01_설정'!B11+Q1218*'01_설정'!B12+P1218*'01_설정'!B13+IF(Z1218="",0,Z1218))</f>
        <v/>
      </c>
      <c r="X1218" s="152">
        <f>IF(W1218="","",1+COUNTIFS($W$4:$W$3003,"&gt;"&amp;W1218)+COUNTIFS($W$4:W1218,W1218)-1)</f>
        <v/>
      </c>
      <c r="Y1218" s="175">
        <f>IF(OR(I1218="",'02_대상물건입력'!B19="",'02_대상물건입력'!B19&lt;=0),"",ABS(I1218-'02_대상물건입력'!B19)/'02_대상물건입력'!B19)</f>
        <v/>
      </c>
      <c r="Z1218" s="172">
        <f>IF(OR(Y1218="",'01_설정'!B31="",'01_설정'!B31&lt;=0,'01_설정'!B32="",'01_설정'!B32&lt;=0),"",MAX(0,(1-Y1218/'01_설정'!B32))*'01_설정'!B31)</f>
        <v/>
      </c>
    </row>
    <row r="1219" ht="17.25" customHeight="1">
      <c r="A1219" s="152">
        <f>IF(INDEX('04A_국토부원자료'!$A:$A,ROW()+1)="","",ROW()-3)</f>
        <v/>
      </c>
      <c r="B1219" s="48">
        <f>IFERROR(INDEX('04A_국토부원자료'!$A:$T,ROW()+1,MATCH("시군구",'04A_국토부원자료'!$A$4:$T$4,0)),"")</f>
        <v/>
      </c>
      <c r="C1219" s="48">
        <f>IF(B1219="","",IFERROR(INDEX('04A_국토부원자료'!$A:$T,ROW()+1,MATCH("번지",'04A_국토부원자료'!$A$4:$T$4,0)),""))</f>
        <v/>
      </c>
      <c r="D1219" s="48">
        <f>IF(B1219="","",IF(Q1219=1,'02_대상물건입력'!$B$8,IFERROR(INDEX('04A_국토부원자료'!$A:$T,ROW()+1,MATCH("단지명",'04A_국토부원자료'!$A$4:$T$4,0)),"")))</f>
        <v/>
      </c>
      <c r="E1219" s="172">
        <f>IFERROR(VALUE(SUBSTITUTE(INDEX('04A_국토부원자료'!$A:$T,ROW()+1,MATCH("전용면적(㎡)",'04A_국토부원자료'!$A$4:$T$4,0)),",","")),"")</f>
        <v/>
      </c>
      <c r="F12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19" s="51">
        <f>IFERROR(VALUE(SUBSTITUTE(INDEX('04A_국토부원자료'!$A:$T,ROW()+1,MATCH("거래금액(만원)",'04A_국토부원자료'!$A$4:$T$4,0)),",","")),"")</f>
        <v/>
      </c>
      <c r="H1219" s="174">
        <f>IF(G1219="","",G1219*10000)</f>
        <v/>
      </c>
      <c r="I1219" s="174">
        <f>IFERROR(IF(AND(H1219&gt;0,E1219&gt;0),H1219/E1219,""),"")</f>
        <v/>
      </c>
      <c r="J1219" s="152">
        <f>IFERROR(VALUE(SUBSTITUTE(INDEX('04A_국토부원자료'!$A:$T,ROW()+1,MATCH("층",'04A_국토부원자료'!$A$4:$T$4,0)),",","")),"")</f>
        <v/>
      </c>
      <c r="K1219" s="152">
        <f>IFERROR(VALUE(SUBSTITUTE(INDEX('04A_국토부원자료'!$A:$T,ROW()+1,MATCH("건축년도",'04A_국토부원자료'!$A$4:$T$4,0)),",","")),"")</f>
        <v/>
      </c>
      <c r="L1219" s="176">
        <f>IFERROR(INDEX('04A_국토부원자료'!$A:$T,ROW()+1,MATCH("도로명",'04A_국토부원자료'!$A$4:$T$4,0)),"")</f>
        <v/>
      </c>
      <c r="M1219" s="48">
        <f>IFERROR(INDEX('04A_국토부원자료'!$A:$T,ROW()+1,MATCH("거래유형",'04A_국토부원자료'!$A$4:$T$4,0)),"")</f>
        <v/>
      </c>
      <c r="N1219" s="152">
        <f>IF(B1219="","",IF('02_대상물건입력'!B5="",1,IF(ISNUMBER(SEARCH('02_대상물건입력'!B5,B1219)),1,0)))</f>
        <v/>
      </c>
      <c r="O1219" s="152">
        <f>IF(B1219="","",IF('02_대상물건입력'!B6="",1,IF(ISNUMBER(SEARCH('02_대상물건입력'!B6,B1219)),1,0)))</f>
        <v/>
      </c>
      <c r="P1219" s="152">
        <f>IF(L1219="","",IF('02_대상물건입력'!B15="",0,IF(ISNUMBER(SEARCH('02_대상물건입력'!B15,L1219)),1,0)))</f>
        <v/>
      </c>
      <c r="Q1219" s="152">
        <f>IF(OR(C1219="",L1219=""),0,IF(AND(TRIM(C1219)=TRIM(RIGHT(SUBSTITUTE(TRIM('02_대상물건입력'!$B$7)," ",REPT(" ",99)),99)),IF('02_대상물건입력'!B15="",TRUE(),ISNUMBER(SEARCH('02_대상물건입력'!B15,L1219)))),1,0))</f>
        <v/>
      </c>
      <c r="R1219" s="175">
        <f>IFERROR(ABS(E1219-'02_대상물건입력'!B11)/'02_대상물건입력'!B11,"")</f>
        <v/>
      </c>
      <c r="S1219" s="152">
        <f>IFERROR(ABS(J1219-'02_대상물건입력'!B10),"")</f>
        <v/>
      </c>
      <c r="T1219" s="152">
        <f>IFERROR(ABS('01_설정'!B4-F1219),"")</f>
        <v/>
      </c>
      <c r="U1219" s="152">
        <f>IFERROR(ABS(K1219-YEAR('02_대상물건입력'!B14)),"")</f>
        <v/>
      </c>
      <c r="V1219" s="152">
        <f>IF(B1219="","",IF(AND(E1219&gt;0,F1219&gt;0,H1219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1219=1,TRUE()),R1219&lt;='01_설정'!B5,S1219&lt;='01_설정'!B6,T1219&lt;='01_설정'!B7,U1219&lt;='01_설정'!B8),"Y",""))</f>
        <v/>
      </c>
      <c r="W1219" s="172">
        <f>IF(V1219&lt;&gt;"Y","",MAX(0,(1-R1219/'01_설정'!B5))*'01_설정'!B14+MAX(0,(1-S1219/'01_설정'!B6))*'01_설정'!B15+MAX(0,(1-T1219/'01_설정'!B7))*'01_설정'!B16+MAX(0,(1-U1219/'01_설정'!B8))*'01_설정'!B17+O1219*'01_설정'!B11+Q1219*'01_설정'!B12+P1219*'01_설정'!B13+IF(Z1219="",0,Z1219))</f>
        <v/>
      </c>
      <c r="X1219" s="152">
        <f>IF(W1219="","",1+COUNTIFS($W$4:$W$3003,"&gt;"&amp;W1219)+COUNTIFS($W$4:W1219,W1219)-1)</f>
        <v/>
      </c>
      <c r="Y1219" s="175">
        <f>IF(OR(I1219="",'02_대상물건입력'!B19="",'02_대상물건입력'!B19&lt;=0),"",ABS(I1219-'02_대상물건입력'!B19)/'02_대상물건입력'!B19)</f>
        <v/>
      </c>
      <c r="Z1219" s="172">
        <f>IF(OR(Y1219="",'01_설정'!B31="",'01_설정'!B31&lt;=0,'01_설정'!B32="",'01_설정'!B32&lt;=0),"",MAX(0,(1-Y1219/'01_설정'!B32))*'01_설정'!B31)</f>
        <v/>
      </c>
    </row>
    <row r="1220" ht="17.25" customHeight="1">
      <c r="A1220" s="152">
        <f>IF(INDEX('04A_국토부원자료'!$A:$A,ROW()+1)="","",ROW()-3)</f>
        <v/>
      </c>
      <c r="B1220" s="48">
        <f>IFERROR(INDEX('04A_국토부원자료'!$A:$T,ROW()+1,MATCH("시군구",'04A_국토부원자료'!$A$4:$T$4,0)),"")</f>
        <v/>
      </c>
      <c r="C1220" s="48">
        <f>IF(B1220="","",IFERROR(INDEX('04A_국토부원자료'!$A:$T,ROW()+1,MATCH("번지",'04A_국토부원자료'!$A$4:$T$4,0)),""))</f>
        <v/>
      </c>
      <c r="D1220" s="48">
        <f>IF(B1220="","",IF(Q1220=1,'02_대상물건입력'!$B$8,IFERROR(INDEX('04A_국토부원자료'!$A:$T,ROW()+1,MATCH("단지명",'04A_국토부원자료'!$A$4:$T$4,0)),"")))</f>
        <v/>
      </c>
      <c r="E1220" s="172">
        <f>IFERROR(VALUE(SUBSTITUTE(INDEX('04A_국토부원자료'!$A:$T,ROW()+1,MATCH("전용면적(㎡)",'04A_국토부원자료'!$A$4:$T$4,0)),",","")),"")</f>
        <v/>
      </c>
      <c r="F12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20" s="51">
        <f>IFERROR(VALUE(SUBSTITUTE(INDEX('04A_국토부원자료'!$A:$T,ROW()+1,MATCH("거래금액(만원)",'04A_국토부원자료'!$A$4:$T$4,0)),",","")),"")</f>
        <v/>
      </c>
      <c r="H1220" s="174">
        <f>IF(G1220="","",G1220*10000)</f>
        <v/>
      </c>
      <c r="I1220" s="174">
        <f>IFERROR(IF(AND(H1220&gt;0,E1220&gt;0),H1220/E1220,""),"")</f>
        <v/>
      </c>
      <c r="J1220" s="152">
        <f>IFERROR(VALUE(SUBSTITUTE(INDEX('04A_국토부원자료'!$A:$T,ROW()+1,MATCH("층",'04A_국토부원자료'!$A$4:$T$4,0)),",","")),"")</f>
        <v/>
      </c>
      <c r="K1220" s="152">
        <f>IFERROR(VALUE(SUBSTITUTE(INDEX('04A_국토부원자료'!$A:$T,ROW()+1,MATCH("건축년도",'04A_국토부원자료'!$A$4:$T$4,0)),",","")),"")</f>
        <v/>
      </c>
      <c r="L1220" s="176">
        <f>IFERROR(INDEX('04A_국토부원자료'!$A:$T,ROW()+1,MATCH("도로명",'04A_국토부원자료'!$A$4:$T$4,0)),"")</f>
        <v/>
      </c>
      <c r="M1220" s="48">
        <f>IFERROR(INDEX('04A_국토부원자료'!$A:$T,ROW()+1,MATCH("거래유형",'04A_국토부원자료'!$A$4:$T$4,0)),"")</f>
        <v/>
      </c>
      <c r="N1220" s="152">
        <f>IF(B1220="","",IF('02_대상물건입력'!B5="",1,IF(ISNUMBER(SEARCH('02_대상물건입력'!B5,B1220)),1,0)))</f>
        <v/>
      </c>
      <c r="O1220" s="152">
        <f>IF(B1220="","",IF('02_대상물건입력'!B6="",1,IF(ISNUMBER(SEARCH('02_대상물건입력'!B6,B1220)),1,0)))</f>
        <v/>
      </c>
      <c r="P1220" s="152">
        <f>IF(L1220="","",IF('02_대상물건입력'!B15="",0,IF(ISNUMBER(SEARCH('02_대상물건입력'!B15,L1220)),1,0)))</f>
        <v/>
      </c>
      <c r="Q1220" s="152">
        <f>IF(OR(C1220="",L1220=""),0,IF(AND(TRIM(C1220)=TRIM(RIGHT(SUBSTITUTE(TRIM('02_대상물건입력'!$B$7)," ",REPT(" ",99)),99)),IF('02_대상물건입력'!B15="",TRUE(),ISNUMBER(SEARCH('02_대상물건입력'!B15,L1220)))),1,0))</f>
        <v/>
      </c>
      <c r="R1220" s="175">
        <f>IFERROR(ABS(E1220-'02_대상물건입력'!B11)/'02_대상물건입력'!B11,"")</f>
        <v/>
      </c>
      <c r="S1220" s="152">
        <f>IFERROR(ABS(J1220-'02_대상물건입력'!B10),"")</f>
        <v/>
      </c>
      <c r="T1220" s="152">
        <f>IFERROR(ABS('01_설정'!B4-F1220),"")</f>
        <v/>
      </c>
      <c r="U1220" s="152">
        <f>IFERROR(ABS(K1220-YEAR('02_대상물건입력'!B14)),"")</f>
        <v/>
      </c>
      <c r="V1220" s="152">
        <f>IF(B1220="","",IF(AND(E1220&gt;0,F1220&gt;0,H1220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1220=1,TRUE()),R1220&lt;='01_설정'!B5,S1220&lt;='01_설정'!B6,T1220&lt;='01_설정'!B7,U1220&lt;='01_설정'!B8),"Y",""))</f>
        <v/>
      </c>
      <c r="W1220" s="172">
        <f>IF(V1220&lt;&gt;"Y","",MAX(0,(1-R1220/'01_설정'!B5))*'01_설정'!B14+MAX(0,(1-S1220/'01_설정'!B6))*'01_설정'!B15+MAX(0,(1-T1220/'01_설정'!B7))*'01_설정'!B16+MAX(0,(1-U1220/'01_설정'!B8))*'01_설정'!B17+O1220*'01_설정'!B11+Q1220*'01_설정'!B12+P1220*'01_설정'!B13+IF(Z1220="",0,Z1220))</f>
        <v/>
      </c>
      <c r="X1220" s="152">
        <f>IF(W1220="","",1+COUNTIFS($W$4:$W$3003,"&gt;"&amp;W1220)+COUNTIFS($W$4:W1220,W1220)-1)</f>
        <v/>
      </c>
      <c r="Y1220" s="175">
        <f>IF(OR(I1220="",'02_대상물건입력'!B19="",'02_대상물건입력'!B19&lt;=0),"",ABS(I1220-'02_대상물건입력'!B19)/'02_대상물건입력'!B19)</f>
        <v/>
      </c>
      <c r="Z1220" s="172">
        <f>IF(OR(Y1220="",'01_설정'!B31="",'01_설정'!B31&lt;=0,'01_설정'!B32="",'01_설정'!B32&lt;=0),"",MAX(0,(1-Y1220/'01_설정'!B32))*'01_설정'!B31)</f>
        <v/>
      </c>
    </row>
    <row r="1221" ht="17.25" customHeight="1">
      <c r="A1221" s="152">
        <f>IF(INDEX('04A_국토부원자료'!$A:$A,ROW()+1)="","",ROW()-3)</f>
        <v/>
      </c>
      <c r="B1221" s="48">
        <f>IFERROR(INDEX('04A_국토부원자료'!$A:$T,ROW()+1,MATCH("시군구",'04A_국토부원자료'!$A$4:$T$4,0)),"")</f>
        <v/>
      </c>
      <c r="C1221" s="48">
        <f>IF(B1221="","",IFERROR(INDEX('04A_국토부원자료'!$A:$T,ROW()+1,MATCH("번지",'04A_국토부원자료'!$A$4:$T$4,0)),""))</f>
        <v/>
      </c>
      <c r="D1221" s="48">
        <f>IF(B1221="","",IF(Q1221=1,'02_대상물건입력'!$B$8,IFERROR(INDEX('04A_국토부원자료'!$A:$T,ROW()+1,MATCH("단지명",'04A_국토부원자료'!$A$4:$T$4,0)),"")))</f>
        <v/>
      </c>
      <c r="E1221" s="172">
        <f>IFERROR(VALUE(SUBSTITUTE(INDEX('04A_국토부원자료'!$A:$T,ROW()+1,MATCH("전용면적(㎡)",'04A_국토부원자료'!$A$4:$T$4,0)),",","")),"")</f>
        <v/>
      </c>
      <c r="F12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21" s="51">
        <f>IFERROR(VALUE(SUBSTITUTE(INDEX('04A_국토부원자료'!$A:$T,ROW()+1,MATCH("거래금액(만원)",'04A_국토부원자료'!$A$4:$T$4,0)),",","")),"")</f>
        <v/>
      </c>
      <c r="H1221" s="174">
        <f>IF(G1221="","",G1221*10000)</f>
        <v/>
      </c>
      <c r="I1221" s="174">
        <f>IFERROR(IF(AND(H1221&gt;0,E1221&gt;0),H1221/E1221,""),"")</f>
        <v/>
      </c>
      <c r="J1221" s="152">
        <f>IFERROR(VALUE(SUBSTITUTE(INDEX('04A_국토부원자료'!$A:$T,ROW()+1,MATCH("층",'04A_국토부원자료'!$A$4:$T$4,0)),",","")),"")</f>
        <v/>
      </c>
      <c r="K1221" s="152">
        <f>IFERROR(VALUE(SUBSTITUTE(INDEX('04A_국토부원자료'!$A:$T,ROW()+1,MATCH("건축년도",'04A_국토부원자료'!$A$4:$T$4,0)),",","")),"")</f>
        <v/>
      </c>
      <c r="L1221" s="176">
        <f>IFERROR(INDEX('04A_국토부원자료'!$A:$T,ROW()+1,MATCH("도로명",'04A_국토부원자료'!$A$4:$T$4,0)),"")</f>
        <v/>
      </c>
      <c r="M1221" s="48">
        <f>IFERROR(INDEX('04A_국토부원자료'!$A:$T,ROW()+1,MATCH("거래유형",'04A_국토부원자료'!$A$4:$T$4,0)),"")</f>
        <v/>
      </c>
      <c r="N1221" s="152">
        <f>IF(B1221="","",IF('02_대상물건입력'!B5="",1,IF(ISNUMBER(SEARCH('02_대상물건입력'!B5,B1221)),1,0)))</f>
        <v/>
      </c>
      <c r="O1221" s="152">
        <f>IF(B1221="","",IF('02_대상물건입력'!B6="",1,IF(ISNUMBER(SEARCH('02_대상물건입력'!B6,B1221)),1,0)))</f>
        <v/>
      </c>
      <c r="P1221" s="152">
        <f>IF(L1221="","",IF('02_대상물건입력'!B15="",0,IF(ISNUMBER(SEARCH('02_대상물건입력'!B15,L1221)),1,0)))</f>
        <v/>
      </c>
      <c r="Q1221" s="152">
        <f>IF(OR(C1221="",L1221=""),0,IF(AND(TRIM(C1221)=TRIM(RIGHT(SUBSTITUTE(TRIM('02_대상물건입력'!$B$7)," ",REPT(" ",99)),99)),IF('02_대상물건입력'!B15="",TRUE(),ISNUMBER(SEARCH('02_대상물건입력'!B15,L1221)))),1,0))</f>
        <v/>
      </c>
      <c r="R1221" s="175">
        <f>IFERROR(ABS(E1221-'02_대상물건입력'!B11)/'02_대상물건입력'!B11,"")</f>
        <v/>
      </c>
      <c r="S1221" s="152">
        <f>IFERROR(ABS(J1221-'02_대상물건입력'!B10),"")</f>
        <v/>
      </c>
      <c r="T1221" s="152">
        <f>IFERROR(ABS('01_설정'!B4-F1221),"")</f>
        <v/>
      </c>
      <c r="U1221" s="152">
        <f>IFERROR(ABS(K1221-YEAR('02_대상물건입력'!B14)),"")</f>
        <v/>
      </c>
      <c r="V1221" s="152">
        <f>IF(B1221="","",IF(AND(E1221&gt;0,F1221&gt;0,H1221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1221=1,TRUE()),R1221&lt;='01_설정'!B5,S1221&lt;='01_설정'!B6,T1221&lt;='01_설정'!B7,U1221&lt;='01_설정'!B8),"Y",""))</f>
        <v/>
      </c>
      <c r="W1221" s="172">
        <f>IF(V1221&lt;&gt;"Y","",MAX(0,(1-R1221/'01_설정'!B5))*'01_설정'!B14+MAX(0,(1-S1221/'01_설정'!B6))*'01_설정'!B15+MAX(0,(1-T1221/'01_설정'!B7))*'01_설정'!B16+MAX(0,(1-U1221/'01_설정'!B8))*'01_설정'!B17+O1221*'01_설정'!B11+Q1221*'01_설정'!B12+P1221*'01_설정'!B13+IF(Z1221="",0,Z1221))</f>
        <v/>
      </c>
      <c r="X1221" s="152">
        <f>IF(W1221="","",1+COUNTIFS($W$4:$W$3003,"&gt;"&amp;W1221)+COUNTIFS($W$4:W1221,W1221)-1)</f>
        <v/>
      </c>
      <c r="Y1221" s="175">
        <f>IF(OR(I1221="",'02_대상물건입력'!B19="",'02_대상물건입력'!B19&lt;=0),"",ABS(I1221-'02_대상물건입력'!B19)/'02_대상물건입력'!B19)</f>
        <v/>
      </c>
      <c r="Z1221" s="172">
        <f>IF(OR(Y1221="",'01_설정'!B31="",'01_설정'!B31&lt;=0,'01_설정'!B32="",'01_설정'!B32&lt;=0),"",MAX(0,(1-Y1221/'01_설정'!B32))*'01_설정'!B31)</f>
        <v/>
      </c>
    </row>
    <row r="1222" ht="17.25" customHeight="1">
      <c r="A1222" s="152">
        <f>IF(INDEX('04A_국토부원자료'!$A:$A,ROW()+1)="","",ROW()-3)</f>
        <v/>
      </c>
      <c r="B1222" s="48">
        <f>IFERROR(INDEX('04A_국토부원자료'!$A:$T,ROW()+1,MATCH("시군구",'04A_국토부원자료'!$A$4:$T$4,0)),"")</f>
        <v/>
      </c>
      <c r="C1222" s="48">
        <f>IF(B1222="","",IFERROR(INDEX('04A_국토부원자료'!$A:$T,ROW()+1,MATCH("번지",'04A_국토부원자료'!$A$4:$T$4,0)),""))</f>
        <v/>
      </c>
      <c r="D1222" s="48">
        <f>IF(B1222="","",IF(Q1222=1,'02_대상물건입력'!$B$8,IFERROR(INDEX('04A_국토부원자료'!$A:$T,ROW()+1,MATCH("단지명",'04A_국토부원자료'!$A$4:$T$4,0)),"")))</f>
        <v/>
      </c>
      <c r="E1222" s="172">
        <f>IFERROR(VALUE(SUBSTITUTE(INDEX('04A_국토부원자료'!$A:$T,ROW()+1,MATCH("전용면적(㎡)",'04A_국토부원자료'!$A$4:$T$4,0)),",","")),"")</f>
        <v/>
      </c>
      <c r="F12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22" s="51">
        <f>IFERROR(VALUE(SUBSTITUTE(INDEX('04A_국토부원자료'!$A:$T,ROW()+1,MATCH("거래금액(만원)",'04A_국토부원자료'!$A$4:$T$4,0)),",","")),"")</f>
        <v/>
      </c>
      <c r="H1222" s="174">
        <f>IF(G1222="","",G1222*10000)</f>
        <v/>
      </c>
      <c r="I1222" s="174">
        <f>IFERROR(IF(AND(H1222&gt;0,E1222&gt;0),H1222/E1222,""),"")</f>
        <v/>
      </c>
      <c r="J1222" s="152">
        <f>IFERROR(VALUE(SUBSTITUTE(INDEX('04A_국토부원자료'!$A:$T,ROW()+1,MATCH("층",'04A_국토부원자료'!$A$4:$T$4,0)),",","")),"")</f>
        <v/>
      </c>
      <c r="K1222" s="152">
        <f>IFERROR(VALUE(SUBSTITUTE(INDEX('04A_국토부원자료'!$A:$T,ROW()+1,MATCH("건축년도",'04A_국토부원자료'!$A$4:$T$4,0)),",","")),"")</f>
        <v/>
      </c>
      <c r="L1222" s="176">
        <f>IFERROR(INDEX('04A_국토부원자료'!$A:$T,ROW()+1,MATCH("도로명",'04A_국토부원자료'!$A$4:$T$4,0)),"")</f>
        <v/>
      </c>
      <c r="M1222" s="48">
        <f>IFERROR(INDEX('04A_국토부원자료'!$A:$T,ROW()+1,MATCH("거래유형",'04A_국토부원자료'!$A$4:$T$4,0)),"")</f>
        <v/>
      </c>
      <c r="N1222" s="152">
        <f>IF(B1222="","",IF('02_대상물건입력'!B5="",1,IF(ISNUMBER(SEARCH('02_대상물건입력'!B5,B1222)),1,0)))</f>
        <v/>
      </c>
      <c r="O1222" s="152">
        <f>IF(B1222="","",IF('02_대상물건입력'!B6="",1,IF(ISNUMBER(SEARCH('02_대상물건입력'!B6,B1222)),1,0)))</f>
        <v/>
      </c>
      <c r="P1222" s="152">
        <f>IF(L1222="","",IF('02_대상물건입력'!B15="",0,IF(ISNUMBER(SEARCH('02_대상물건입력'!B15,L1222)),1,0)))</f>
        <v/>
      </c>
      <c r="Q1222" s="152">
        <f>IF(OR(C1222="",L1222=""),0,IF(AND(TRIM(C1222)=TRIM(RIGHT(SUBSTITUTE(TRIM('02_대상물건입력'!$B$7)," ",REPT(" ",99)),99)),IF('02_대상물건입력'!B15="",TRUE(),ISNUMBER(SEARCH('02_대상물건입력'!B15,L1222)))),1,0))</f>
        <v/>
      </c>
      <c r="R1222" s="175">
        <f>IFERROR(ABS(E1222-'02_대상물건입력'!B11)/'02_대상물건입력'!B11,"")</f>
        <v/>
      </c>
      <c r="S1222" s="152">
        <f>IFERROR(ABS(J1222-'02_대상물건입력'!B10),"")</f>
        <v/>
      </c>
      <c r="T1222" s="152">
        <f>IFERROR(ABS('01_설정'!B4-F1222),"")</f>
        <v/>
      </c>
      <c r="U1222" s="152">
        <f>IFERROR(ABS(K1222-YEAR('02_대상물건입력'!B14)),"")</f>
        <v/>
      </c>
      <c r="V1222" s="152">
        <f>IF(B1222="","",IF(AND(E1222&gt;0,F1222&gt;0,H1222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1222=1,TRUE()),R1222&lt;='01_설정'!B5,S1222&lt;='01_설정'!B6,T1222&lt;='01_설정'!B7,U1222&lt;='01_설정'!B8),"Y",""))</f>
        <v/>
      </c>
      <c r="W1222" s="172">
        <f>IF(V1222&lt;&gt;"Y","",MAX(0,(1-R1222/'01_설정'!B5))*'01_설정'!B14+MAX(0,(1-S1222/'01_설정'!B6))*'01_설정'!B15+MAX(0,(1-T1222/'01_설정'!B7))*'01_설정'!B16+MAX(0,(1-U1222/'01_설정'!B8))*'01_설정'!B17+O1222*'01_설정'!B11+Q1222*'01_설정'!B12+P1222*'01_설정'!B13+IF(Z1222="",0,Z1222))</f>
        <v/>
      </c>
      <c r="X1222" s="152">
        <f>IF(W1222="","",1+COUNTIFS($W$4:$W$3003,"&gt;"&amp;W1222)+COUNTIFS($W$4:W1222,W1222)-1)</f>
        <v/>
      </c>
      <c r="Y1222" s="175">
        <f>IF(OR(I1222="",'02_대상물건입력'!B19="",'02_대상물건입력'!B19&lt;=0),"",ABS(I1222-'02_대상물건입력'!B19)/'02_대상물건입력'!B19)</f>
        <v/>
      </c>
      <c r="Z1222" s="172">
        <f>IF(OR(Y1222="",'01_설정'!B31="",'01_설정'!B31&lt;=0,'01_설정'!B32="",'01_설정'!B32&lt;=0),"",MAX(0,(1-Y1222/'01_설정'!B32))*'01_설정'!B31)</f>
        <v/>
      </c>
    </row>
    <row r="1223" ht="17.25" customHeight="1">
      <c r="A1223" s="152">
        <f>IF(INDEX('04A_국토부원자료'!$A:$A,ROW()+1)="","",ROW()-3)</f>
        <v/>
      </c>
      <c r="B1223" s="48">
        <f>IFERROR(INDEX('04A_국토부원자료'!$A:$T,ROW()+1,MATCH("시군구",'04A_국토부원자료'!$A$4:$T$4,0)),"")</f>
        <v/>
      </c>
      <c r="C1223" s="48">
        <f>IF(B1223="","",IFERROR(INDEX('04A_국토부원자료'!$A:$T,ROW()+1,MATCH("번지",'04A_국토부원자료'!$A$4:$T$4,0)),""))</f>
        <v/>
      </c>
      <c r="D1223" s="48">
        <f>IF(B1223="","",IF(Q1223=1,'02_대상물건입력'!$B$8,IFERROR(INDEX('04A_국토부원자료'!$A:$T,ROW()+1,MATCH("단지명",'04A_국토부원자료'!$A$4:$T$4,0)),"")))</f>
        <v/>
      </c>
      <c r="E1223" s="172">
        <f>IFERROR(VALUE(SUBSTITUTE(INDEX('04A_국토부원자료'!$A:$T,ROW()+1,MATCH("전용면적(㎡)",'04A_국토부원자료'!$A$4:$T$4,0)),",","")),"")</f>
        <v/>
      </c>
      <c r="F12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23" s="51">
        <f>IFERROR(VALUE(SUBSTITUTE(INDEX('04A_국토부원자료'!$A:$T,ROW()+1,MATCH("거래금액(만원)",'04A_국토부원자료'!$A$4:$T$4,0)),",","")),"")</f>
        <v/>
      </c>
      <c r="H1223" s="174">
        <f>IF(G1223="","",G1223*10000)</f>
        <v/>
      </c>
      <c r="I1223" s="174">
        <f>IFERROR(IF(AND(H1223&gt;0,E1223&gt;0),H1223/E1223,""),"")</f>
        <v/>
      </c>
      <c r="J1223" s="152">
        <f>IFERROR(VALUE(SUBSTITUTE(INDEX('04A_국토부원자료'!$A:$T,ROW()+1,MATCH("층",'04A_국토부원자료'!$A$4:$T$4,0)),",","")),"")</f>
        <v/>
      </c>
      <c r="K1223" s="152">
        <f>IFERROR(VALUE(SUBSTITUTE(INDEX('04A_국토부원자료'!$A:$T,ROW()+1,MATCH("건축년도",'04A_국토부원자료'!$A$4:$T$4,0)),",","")),"")</f>
        <v/>
      </c>
      <c r="L1223" s="176">
        <f>IFERROR(INDEX('04A_국토부원자료'!$A:$T,ROW()+1,MATCH("도로명",'04A_국토부원자료'!$A$4:$T$4,0)),"")</f>
        <v/>
      </c>
      <c r="M1223" s="48">
        <f>IFERROR(INDEX('04A_국토부원자료'!$A:$T,ROW()+1,MATCH("거래유형",'04A_국토부원자료'!$A$4:$T$4,0)),"")</f>
        <v/>
      </c>
      <c r="N1223" s="152">
        <f>IF(B1223="","",IF('02_대상물건입력'!B5="",1,IF(ISNUMBER(SEARCH('02_대상물건입력'!B5,B1223)),1,0)))</f>
        <v/>
      </c>
      <c r="O1223" s="152">
        <f>IF(B1223="","",IF('02_대상물건입력'!B6="",1,IF(ISNUMBER(SEARCH('02_대상물건입력'!B6,B1223)),1,0)))</f>
        <v/>
      </c>
      <c r="P1223" s="152">
        <f>IF(L1223="","",IF('02_대상물건입력'!B15="",0,IF(ISNUMBER(SEARCH('02_대상물건입력'!B15,L1223)),1,0)))</f>
        <v/>
      </c>
      <c r="Q1223" s="152">
        <f>IF(OR(C1223="",L1223=""),0,IF(AND(TRIM(C1223)=TRIM(RIGHT(SUBSTITUTE(TRIM('02_대상물건입력'!$B$7)," ",REPT(" ",99)),99)),IF('02_대상물건입력'!B15="",TRUE(),ISNUMBER(SEARCH('02_대상물건입력'!B15,L1223)))),1,0))</f>
        <v/>
      </c>
      <c r="R1223" s="175">
        <f>IFERROR(ABS(E1223-'02_대상물건입력'!B11)/'02_대상물건입력'!B11,"")</f>
        <v/>
      </c>
      <c r="S1223" s="152">
        <f>IFERROR(ABS(J1223-'02_대상물건입력'!B10),"")</f>
        <v/>
      </c>
      <c r="T1223" s="152">
        <f>IFERROR(ABS('01_설정'!B4-F1223),"")</f>
        <v/>
      </c>
      <c r="U1223" s="152">
        <f>IFERROR(ABS(K1223-YEAR('02_대상물건입력'!B14)),"")</f>
        <v/>
      </c>
      <c r="V1223" s="152">
        <f>IF(B1223="","",IF(AND(E1223&gt;0,F1223&gt;0,H1223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1223=1,TRUE()),R1223&lt;='01_설정'!B5,S1223&lt;='01_설정'!B6,T1223&lt;='01_설정'!B7,U1223&lt;='01_설정'!B8),"Y",""))</f>
        <v/>
      </c>
      <c r="W1223" s="172">
        <f>IF(V1223&lt;&gt;"Y","",MAX(0,(1-R1223/'01_설정'!B5))*'01_설정'!B14+MAX(0,(1-S1223/'01_설정'!B6))*'01_설정'!B15+MAX(0,(1-T1223/'01_설정'!B7))*'01_설정'!B16+MAX(0,(1-U1223/'01_설정'!B8))*'01_설정'!B17+O1223*'01_설정'!B11+Q1223*'01_설정'!B12+P1223*'01_설정'!B13+IF(Z1223="",0,Z1223))</f>
        <v/>
      </c>
      <c r="X1223" s="152">
        <f>IF(W1223="","",1+COUNTIFS($W$4:$W$3003,"&gt;"&amp;W1223)+COUNTIFS($W$4:W1223,W1223)-1)</f>
        <v/>
      </c>
      <c r="Y1223" s="175">
        <f>IF(OR(I1223="",'02_대상물건입력'!B19="",'02_대상물건입력'!B19&lt;=0),"",ABS(I1223-'02_대상물건입력'!B19)/'02_대상물건입력'!B19)</f>
        <v/>
      </c>
      <c r="Z1223" s="172">
        <f>IF(OR(Y1223="",'01_설정'!B31="",'01_설정'!B31&lt;=0,'01_설정'!B32="",'01_설정'!B32&lt;=0),"",MAX(0,(1-Y1223/'01_설정'!B32))*'01_설정'!B31)</f>
        <v/>
      </c>
    </row>
    <row r="1224" ht="17.25" customHeight="1">
      <c r="A1224" s="152">
        <f>IF(INDEX('04A_국토부원자료'!$A:$A,ROW()+1)="","",ROW()-3)</f>
        <v/>
      </c>
      <c r="B1224" s="48">
        <f>IFERROR(INDEX('04A_국토부원자료'!$A:$T,ROW()+1,MATCH("시군구",'04A_국토부원자료'!$A$4:$T$4,0)),"")</f>
        <v/>
      </c>
      <c r="C1224" s="48">
        <f>IF(B1224="","",IFERROR(INDEX('04A_국토부원자료'!$A:$T,ROW()+1,MATCH("번지",'04A_국토부원자료'!$A$4:$T$4,0)),""))</f>
        <v/>
      </c>
      <c r="D1224" s="48">
        <f>IF(B1224="","",IF(Q1224=1,'02_대상물건입력'!$B$8,IFERROR(INDEX('04A_국토부원자료'!$A:$T,ROW()+1,MATCH("단지명",'04A_국토부원자료'!$A$4:$T$4,0)),"")))</f>
        <v/>
      </c>
      <c r="E1224" s="172">
        <f>IFERROR(VALUE(SUBSTITUTE(INDEX('04A_국토부원자료'!$A:$T,ROW()+1,MATCH("전용면적(㎡)",'04A_국토부원자료'!$A$4:$T$4,0)),",","")),"")</f>
        <v/>
      </c>
      <c r="F12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24" s="51">
        <f>IFERROR(VALUE(SUBSTITUTE(INDEX('04A_국토부원자료'!$A:$T,ROW()+1,MATCH("거래금액(만원)",'04A_국토부원자료'!$A$4:$T$4,0)),",","")),"")</f>
        <v/>
      </c>
      <c r="H1224" s="174">
        <f>IF(G1224="","",G1224*10000)</f>
        <v/>
      </c>
      <c r="I1224" s="174">
        <f>IFERROR(IF(AND(H1224&gt;0,E1224&gt;0),H1224/E1224,""),"")</f>
        <v/>
      </c>
      <c r="J1224" s="152">
        <f>IFERROR(VALUE(SUBSTITUTE(INDEX('04A_국토부원자료'!$A:$T,ROW()+1,MATCH("층",'04A_국토부원자료'!$A$4:$T$4,0)),",","")),"")</f>
        <v/>
      </c>
      <c r="K1224" s="152">
        <f>IFERROR(VALUE(SUBSTITUTE(INDEX('04A_국토부원자료'!$A:$T,ROW()+1,MATCH("건축년도",'04A_국토부원자료'!$A$4:$T$4,0)),",","")),"")</f>
        <v/>
      </c>
      <c r="L1224" s="176">
        <f>IFERROR(INDEX('04A_국토부원자료'!$A:$T,ROW()+1,MATCH("도로명",'04A_국토부원자료'!$A$4:$T$4,0)),"")</f>
        <v/>
      </c>
      <c r="M1224" s="48">
        <f>IFERROR(INDEX('04A_국토부원자료'!$A:$T,ROW()+1,MATCH("거래유형",'04A_국토부원자료'!$A$4:$T$4,0)),"")</f>
        <v/>
      </c>
      <c r="N1224" s="152">
        <f>IF(B1224="","",IF('02_대상물건입력'!B5="",1,IF(ISNUMBER(SEARCH('02_대상물건입력'!B5,B1224)),1,0)))</f>
        <v/>
      </c>
      <c r="O1224" s="152">
        <f>IF(B1224="","",IF('02_대상물건입력'!B6="",1,IF(ISNUMBER(SEARCH('02_대상물건입력'!B6,B1224)),1,0)))</f>
        <v/>
      </c>
      <c r="P1224" s="152">
        <f>IF(L1224="","",IF('02_대상물건입력'!B15="",0,IF(ISNUMBER(SEARCH('02_대상물건입력'!B15,L1224)),1,0)))</f>
        <v/>
      </c>
      <c r="Q1224" s="152">
        <f>IF(OR(C1224="",L1224=""),0,IF(AND(TRIM(C1224)=TRIM(RIGHT(SUBSTITUTE(TRIM('02_대상물건입력'!$B$7)," ",REPT(" ",99)),99)),IF('02_대상물건입력'!B15="",TRUE(),ISNUMBER(SEARCH('02_대상물건입력'!B15,L1224)))),1,0))</f>
        <v/>
      </c>
      <c r="R1224" s="175">
        <f>IFERROR(ABS(E1224-'02_대상물건입력'!B11)/'02_대상물건입력'!B11,"")</f>
        <v/>
      </c>
      <c r="S1224" s="152">
        <f>IFERROR(ABS(J1224-'02_대상물건입력'!B10),"")</f>
        <v/>
      </c>
      <c r="T1224" s="152">
        <f>IFERROR(ABS('01_설정'!B4-F1224),"")</f>
        <v/>
      </c>
      <c r="U1224" s="152">
        <f>IFERROR(ABS(K1224-YEAR('02_대상물건입력'!B14)),"")</f>
        <v/>
      </c>
      <c r="V1224" s="152">
        <f>IF(B1224="","",IF(AND(E1224&gt;0,F1224&gt;0,H1224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1224=1,TRUE()),R1224&lt;='01_설정'!B5,S1224&lt;='01_설정'!B6,T1224&lt;='01_설정'!B7,U1224&lt;='01_설정'!B8),"Y",""))</f>
        <v/>
      </c>
      <c r="W1224" s="172">
        <f>IF(V1224&lt;&gt;"Y","",MAX(0,(1-R1224/'01_설정'!B5))*'01_설정'!B14+MAX(0,(1-S1224/'01_설정'!B6))*'01_설정'!B15+MAX(0,(1-T1224/'01_설정'!B7))*'01_설정'!B16+MAX(0,(1-U1224/'01_설정'!B8))*'01_설정'!B17+O1224*'01_설정'!B11+Q1224*'01_설정'!B12+P1224*'01_설정'!B13+IF(Z1224="",0,Z1224))</f>
        <v/>
      </c>
      <c r="X1224" s="152">
        <f>IF(W1224="","",1+COUNTIFS($W$4:$W$3003,"&gt;"&amp;W1224)+COUNTIFS($W$4:W1224,W1224)-1)</f>
        <v/>
      </c>
      <c r="Y1224" s="175">
        <f>IF(OR(I1224="",'02_대상물건입력'!B19="",'02_대상물건입력'!B19&lt;=0),"",ABS(I1224-'02_대상물건입력'!B19)/'02_대상물건입력'!B19)</f>
        <v/>
      </c>
      <c r="Z1224" s="172">
        <f>IF(OR(Y1224="",'01_설정'!B31="",'01_설정'!B31&lt;=0,'01_설정'!B32="",'01_설정'!B32&lt;=0),"",MAX(0,(1-Y1224/'01_설정'!B32))*'01_설정'!B31)</f>
        <v/>
      </c>
    </row>
    <row r="1225" ht="17.25" customHeight="1">
      <c r="A1225" s="152">
        <f>IF(INDEX('04A_국토부원자료'!$A:$A,ROW()+1)="","",ROW()-3)</f>
        <v/>
      </c>
      <c r="B1225" s="48">
        <f>IFERROR(INDEX('04A_국토부원자료'!$A:$T,ROW()+1,MATCH("시군구",'04A_국토부원자료'!$A$4:$T$4,0)),"")</f>
        <v/>
      </c>
      <c r="C1225" s="48">
        <f>IF(B1225="","",IFERROR(INDEX('04A_국토부원자료'!$A:$T,ROW()+1,MATCH("번지",'04A_국토부원자료'!$A$4:$T$4,0)),""))</f>
        <v/>
      </c>
      <c r="D1225" s="48">
        <f>IF(B1225="","",IF(Q1225=1,'02_대상물건입력'!$B$8,IFERROR(INDEX('04A_국토부원자료'!$A:$T,ROW()+1,MATCH("단지명",'04A_국토부원자료'!$A$4:$T$4,0)),"")))</f>
        <v/>
      </c>
      <c r="E1225" s="172">
        <f>IFERROR(VALUE(SUBSTITUTE(INDEX('04A_국토부원자료'!$A:$T,ROW()+1,MATCH("전용면적(㎡)",'04A_국토부원자료'!$A$4:$T$4,0)),",","")),"")</f>
        <v/>
      </c>
      <c r="F12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25" s="51">
        <f>IFERROR(VALUE(SUBSTITUTE(INDEX('04A_국토부원자료'!$A:$T,ROW()+1,MATCH("거래금액(만원)",'04A_국토부원자료'!$A$4:$T$4,0)),",","")),"")</f>
        <v/>
      </c>
      <c r="H1225" s="174">
        <f>IF(G1225="","",G1225*10000)</f>
        <v/>
      </c>
      <c r="I1225" s="174">
        <f>IFERROR(IF(AND(H1225&gt;0,E1225&gt;0),H1225/E1225,""),"")</f>
        <v/>
      </c>
      <c r="J1225" s="152">
        <f>IFERROR(VALUE(SUBSTITUTE(INDEX('04A_국토부원자료'!$A:$T,ROW()+1,MATCH("층",'04A_국토부원자료'!$A$4:$T$4,0)),",","")),"")</f>
        <v/>
      </c>
      <c r="K1225" s="152">
        <f>IFERROR(VALUE(SUBSTITUTE(INDEX('04A_국토부원자료'!$A:$T,ROW()+1,MATCH("건축년도",'04A_국토부원자료'!$A$4:$T$4,0)),",","")),"")</f>
        <v/>
      </c>
      <c r="L1225" s="176">
        <f>IFERROR(INDEX('04A_국토부원자료'!$A:$T,ROW()+1,MATCH("도로명",'04A_국토부원자료'!$A$4:$T$4,0)),"")</f>
        <v/>
      </c>
      <c r="M1225" s="48">
        <f>IFERROR(INDEX('04A_국토부원자료'!$A:$T,ROW()+1,MATCH("거래유형",'04A_국토부원자료'!$A$4:$T$4,0)),"")</f>
        <v/>
      </c>
      <c r="N1225" s="152">
        <f>IF(B1225="","",IF('02_대상물건입력'!B5="",1,IF(ISNUMBER(SEARCH('02_대상물건입력'!B5,B1225)),1,0)))</f>
        <v/>
      </c>
      <c r="O1225" s="152">
        <f>IF(B1225="","",IF('02_대상물건입력'!B6="",1,IF(ISNUMBER(SEARCH('02_대상물건입력'!B6,B1225)),1,0)))</f>
        <v/>
      </c>
      <c r="P1225" s="152">
        <f>IF(L1225="","",IF('02_대상물건입력'!B15="",0,IF(ISNUMBER(SEARCH('02_대상물건입력'!B15,L1225)),1,0)))</f>
        <v/>
      </c>
      <c r="Q1225" s="152">
        <f>IF(OR(C1225="",L1225=""),0,IF(AND(TRIM(C1225)=TRIM(RIGHT(SUBSTITUTE(TRIM('02_대상물건입력'!$B$7)," ",REPT(" ",99)),99)),IF('02_대상물건입력'!B15="",TRUE(),ISNUMBER(SEARCH('02_대상물건입력'!B15,L1225)))),1,0))</f>
        <v/>
      </c>
      <c r="R1225" s="175">
        <f>IFERROR(ABS(E1225-'02_대상물건입력'!B11)/'02_대상물건입력'!B11,"")</f>
        <v/>
      </c>
      <c r="S1225" s="152">
        <f>IFERROR(ABS(J1225-'02_대상물건입력'!B10),"")</f>
        <v/>
      </c>
      <c r="T1225" s="152">
        <f>IFERROR(ABS('01_설정'!B4-F1225),"")</f>
        <v/>
      </c>
      <c r="U1225" s="152">
        <f>IFERROR(ABS(K1225-YEAR('02_대상물건입력'!B14)),"")</f>
        <v/>
      </c>
      <c r="V1225" s="152">
        <f>IF(B1225="","",IF(AND(E1225&gt;0,F1225&gt;0,H1225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1225=1,TRUE()),R1225&lt;='01_설정'!B5,S1225&lt;='01_설정'!B6,T1225&lt;='01_설정'!B7,U1225&lt;='01_설정'!B8),"Y",""))</f>
        <v/>
      </c>
      <c r="W1225" s="172">
        <f>IF(V1225&lt;&gt;"Y","",MAX(0,(1-R1225/'01_설정'!B5))*'01_설정'!B14+MAX(0,(1-S1225/'01_설정'!B6))*'01_설정'!B15+MAX(0,(1-T1225/'01_설정'!B7))*'01_설정'!B16+MAX(0,(1-U1225/'01_설정'!B8))*'01_설정'!B17+O1225*'01_설정'!B11+Q1225*'01_설정'!B12+P1225*'01_설정'!B13+IF(Z1225="",0,Z1225))</f>
        <v/>
      </c>
      <c r="X1225" s="152">
        <f>IF(W1225="","",1+COUNTIFS($W$4:$W$3003,"&gt;"&amp;W1225)+COUNTIFS($W$4:W1225,W1225)-1)</f>
        <v/>
      </c>
      <c r="Y1225" s="175">
        <f>IF(OR(I1225="",'02_대상물건입력'!B19="",'02_대상물건입력'!B19&lt;=0),"",ABS(I1225-'02_대상물건입력'!B19)/'02_대상물건입력'!B19)</f>
        <v/>
      </c>
      <c r="Z1225" s="172">
        <f>IF(OR(Y1225="",'01_설정'!B31="",'01_설정'!B31&lt;=0,'01_설정'!B32="",'01_설정'!B32&lt;=0),"",MAX(0,(1-Y1225/'01_설정'!B32))*'01_설정'!B31)</f>
        <v/>
      </c>
    </row>
    <row r="1226" ht="17.25" customHeight="1">
      <c r="A1226" s="152">
        <f>IF(INDEX('04A_국토부원자료'!$A:$A,ROW()+1)="","",ROW()-3)</f>
        <v/>
      </c>
      <c r="B1226" s="48">
        <f>IFERROR(INDEX('04A_국토부원자료'!$A:$T,ROW()+1,MATCH("시군구",'04A_국토부원자료'!$A$4:$T$4,0)),"")</f>
        <v/>
      </c>
      <c r="C1226" s="48">
        <f>IF(B1226="","",IFERROR(INDEX('04A_국토부원자료'!$A:$T,ROW()+1,MATCH("번지",'04A_국토부원자료'!$A$4:$T$4,0)),""))</f>
        <v/>
      </c>
      <c r="D1226" s="48">
        <f>IF(B1226="","",IF(Q1226=1,'02_대상물건입력'!$B$8,IFERROR(INDEX('04A_국토부원자료'!$A:$T,ROW()+1,MATCH("단지명",'04A_국토부원자료'!$A$4:$T$4,0)),"")))</f>
        <v/>
      </c>
      <c r="E1226" s="172">
        <f>IFERROR(VALUE(SUBSTITUTE(INDEX('04A_국토부원자료'!$A:$T,ROW()+1,MATCH("전용면적(㎡)",'04A_국토부원자료'!$A$4:$T$4,0)),",","")),"")</f>
        <v/>
      </c>
      <c r="F12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26" s="51">
        <f>IFERROR(VALUE(SUBSTITUTE(INDEX('04A_국토부원자료'!$A:$T,ROW()+1,MATCH("거래금액(만원)",'04A_국토부원자료'!$A$4:$T$4,0)),",","")),"")</f>
        <v/>
      </c>
      <c r="H1226" s="174">
        <f>IF(G1226="","",G1226*10000)</f>
        <v/>
      </c>
      <c r="I1226" s="174">
        <f>IFERROR(IF(AND(H1226&gt;0,E1226&gt;0),H1226/E1226,""),"")</f>
        <v/>
      </c>
      <c r="J1226" s="152">
        <f>IFERROR(VALUE(SUBSTITUTE(INDEX('04A_국토부원자료'!$A:$T,ROW()+1,MATCH("층",'04A_국토부원자료'!$A$4:$T$4,0)),",","")),"")</f>
        <v/>
      </c>
      <c r="K1226" s="152">
        <f>IFERROR(VALUE(SUBSTITUTE(INDEX('04A_국토부원자료'!$A:$T,ROW()+1,MATCH("건축년도",'04A_국토부원자료'!$A$4:$T$4,0)),",","")),"")</f>
        <v/>
      </c>
      <c r="L1226" s="176">
        <f>IFERROR(INDEX('04A_국토부원자료'!$A:$T,ROW()+1,MATCH("도로명",'04A_국토부원자료'!$A$4:$T$4,0)),"")</f>
        <v/>
      </c>
      <c r="M1226" s="48">
        <f>IFERROR(INDEX('04A_국토부원자료'!$A:$T,ROW()+1,MATCH("거래유형",'04A_국토부원자료'!$A$4:$T$4,0)),"")</f>
        <v/>
      </c>
      <c r="N1226" s="152">
        <f>IF(B1226="","",IF('02_대상물건입력'!B5="",1,IF(ISNUMBER(SEARCH('02_대상물건입력'!B5,B1226)),1,0)))</f>
        <v/>
      </c>
      <c r="O1226" s="152">
        <f>IF(B1226="","",IF('02_대상물건입력'!B6="",1,IF(ISNUMBER(SEARCH('02_대상물건입력'!B6,B1226)),1,0)))</f>
        <v/>
      </c>
      <c r="P1226" s="152">
        <f>IF(L1226="","",IF('02_대상물건입력'!B15="",0,IF(ISNUMBER(SEARCH('02_대상물건입력'!B15,L1226)),1,0)))</f>
        <v/>
      </c>
      <c r="Q1226" s="152">
        <f>IF(OR(C1226="",L1226=""),0,IF(AND(TRIM(C1226)=TRIM(RIGHT(SUBSTITUTE(TRIM('02_대상물건입력'!$B$7)," ",REPT(" ",99)),99)),IF('02_대상물건입력'!B15="",TRUE(),ISNUMBER(SEARCH('02_대상물건입력'!B15,L1226)))),1,0))</f>
        <v/>
      </c>
      <c r="R1226" s="175">
        <f>IFERROR(ABS(E1226-'02_대상물건입력'!B11)/'02_대상물건입력'!B11,"")</f>
        <v/>
      </c>
      <c r="S1226" s="152">
        <f>IFERROR(ABS(J1226-'02_대상물건입력'!B10),"")</f>
        <v/>
      </c>
      <c r="T1226" s="152">
        <f>IFERROR(ABS('01_설정'!B4-F1226),"")</f>
        <v/>
      </c>
      <c r="U1226" s="152">
        <f>IFERROR(ABS(K1226-YEAR('02_대상물건입력'!B14)),"")</f>
        <v/>
      </c>
      <c r="V1226" s="152">
        <f>IF(B1226="","",IF(AND(E1226&gt;0,F1226&gt;0,H1226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1226=1,TRUE()),R1226&lt;='01_설정'!B5,S1226&lt;='01_설정'!B6,T1226&lt;='01_설정'!B7,U1226&lt;='01_설정'!B8),"Y",""))</f>
        <v/>
      </c>
      <c r="W1226" s="172">
        <f>IF(V1226&lt;&gt;"Y","",MAX(0,(1-R1226/'01_설정'!B5))*'01_설정'!B14+MAX(0,(1-S1226/'01_설정'!B6))*'01_설정'!B15+MAX(0,(1-T1226/'01_설정'!B7))*'01_설정'!B16+MAX(0,(1-U1226/'01_설정'!B8))*'01_설정'!B17+O1226*'01_설정'!B11+Q1226*'01_설정'!B12+P1226*'01_설정'!B13+IF(Z1226="",0,Z1226))</f>
        <v/>
      </c>
      <c r="X1226" s="152">
        <f>IF(W1226="","",1+COUNTIFS($W$4:$W$3003,"&gt;"&amp;W1226)+COUNTIFS($W$4:W1226,W1226)-1)</f>
        <v/>
      </c>
      <c r="Y1226" s="175">
        <f>IF(OR(I1226="",'02_대상물건입력'!B19="",'02_대상물건입력'!B19&lt;=0),"",ABS(I1226-'02_대상물건입력'!B19)/'02_대상물건입력'!B19)</f>
        <v/>
      </c>
      <c r="Z1226" s="172">
        <f>IF(OR(Y1226="",'01_설정'!B31="",'01_설정'!B31&lt;=0,'01_설정'!B32="",'01_설정'!B32&lt;=0),"",MAX(0,(1-Y1226/'01_설정'!B32))*'01_설정'!B31)</f>
        <v/>
      </c>
    </row>
    <row r="1227" ht="17.25" customHeight="1">
      <c r="A1227" s="152">
        <f>IF(INDEX('04A_국토부원자료'!$A:$A,ROW()+1)="","",ROW()-3)</f>
        <v/>
      </c>
      <c r="B1227" s="48">
        <f>IFERROR(INDEX('04A_국토부원자료'!$A:$T,ROW()+1,MATCH("시군구",'04A_국토부원자료'!$A$4:$T$4,0)),"")</f>
        <v/>
      </c>
      <c r="C1227" s="48">
        <f>IF(B1227="","",IFERROR(INDEX('04A_국토부원자료'!$A:$T,ROW()+1,MATCH("번지",'04A_국토부원자료'!$A$4:$T$4,0)),""))</f>
        <v/>
      </c>
      <c r="D1227" s="48">
        <f>IF(B1227="","",IF(Q1227=1,'02_대상물건입력'!$B$8,IFERROR(INDEX('04A_국토부원자료'!$A:$T,ROW()+1,MATCH("단지명",'04A_국토부원자료'!$A$4:$T$4,0)),"")))</f>
        <v/>
      </c>
      <c r="E1227" s="172">
        <f>IFERROR(VALUE(SUBSTITUTE(INDEX('04A_국토부원자료'!$A:$T,ROW()+1,MATCH("전용면적(㎡)",'04A_국토부원자료'!$A$4:$T$4,0)),",","")),"")</f>
        <v/>
      </c>
      <c r="F12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27" s="51">
        <f>IFERROR(VALUE(SUBSTITUTE(INDEX('04A_국토부원자료'!$A:$T,ROW()+1,MATCH("거래금액(만원)",'04A_국토부원자료'!$A$4:$T$4,0)),",","")),"")</f>
        <v/>
      </c>
      <c r="H1227" s="174">
        <f>IF(G1227="","",G1227*10000)</f>
        <v/>
      </c>
      <c r="I1227" s="174">
        <f>IFERROR(IF(AND(H1227&gt;0,E1227&gt;0),H1227/E1227,""),"")</f>
        <v/>
      </c>
      <c r="J1227" s="152">
        <f>IFERROR(VALUE(SUBSTITUTE(INDEX('04A_국토부원자료'!$A:$T,ROW()+1,MATCH("층",'04A_국토부원자료'!$A$4:$T$4,0)),",","")),"")</f>
        <v/>
      </c>
      <c r="K1227" s="152">
        <f>IFERROR(VALUE(SUBSTITUTE(INDEX('04A_국토부원자료'!$A:$T,ROW()+1,MATCH("건축년도",'04A_국토부원자료'!$A$4:$T$4,0)),",","")),"")</f>
        <v/>
      </c>
      <c r="L1227" s="176">
        <f>IFERROR(INDEX('04A_국토부원자료'!$A:$T,ROW()+1,MATCH("도로명",'04A_국토부원자료'!$A$4:$T$4,0)),"")</f>
        <v/>
      </c>
      <c r="M1227" s="48">
        <f>IFERROR(INDEX('04A_국토부원자료'!$A:$T,ROW()+1,MATCH("거래유형",'04A_국토부원자료'!$A$4:$T$4,0)),"")</f>
        <v/>
      </c>
      <c r="N1227" s="152">
        <f>IF(B1227="","",IF('02_대상물건입력'!B5="",1,IF(ISNUMBER(SEARCH('02_대상물건입력'!B5,B1227)),1,0)))</f>
        <v/>
      </c>
      <c r="O1227" s="152">
        <f>IF(B1227="","",IF('02_대상물건입력'!B6="",1,IF(ISNUMBER(SEARCH('02_대상물건입력'!B6,B1227)),1,0)))</f>
        <v/>
      </c>
      <c r="P1227" s="152">
        <f>IF(L1227="","",IF('02_대상물건입력'!B15="",0,IF(ISNUMBER(SEARCH('02_대상물건입력'!B15,L1227)),1,0)))</f>
        <v/>
      </c>
      <c r="Q1227" s="152">
        <f>IF(OR(C1227="",L1227=""),0,IF(AND(TRIM(C1227)=TRIM(RIGHT(SUBSTITUTE(TRIM('02_대상물건입력'!$B$7)," ",REPT(" ",99)),99)),IF('02_대상물건입력'!B15="",TRUE(),ISNUMBER(SEARCH('02_대상물건입력'!B15,L1227)))),1,0))</f>
        <v/>
      </c>
      <c r="R1227" s="175">
        <f>IFERROR(ABS(E1227-'02_대상물건입력'!B11)/'02_대상물건입력'!B11,"")</f>
        <v/>
      </c>
      <c r="S1227" s="152">
        <f>IFERROR(ABS(J1227-'02_대상물건입력'!B10),"")</f>
        <v/>
      </c>
      <c r="T1227" s="152">
        <f>IFERROR(ABS('01_설정'!B4-F1227),"")</f>
        <v/>
      </c>
      <c r="U1227" s="152">
        <f>IFERROR(ABS(K1227-YEAR('02_대상물건입력'!B14)),"")</f>
        <v/>
      </c>
      <c r="V1227" s="152">
        <f>IF(B1227="","",IF(AND(E1227&gt;0,F1227&gt;0,H1227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1227=1,TRUE()),R1227&lt;='01_설정'!B5,S1227&lt;='01_설정'!B6,T1227&lt;='01_설정'!B7,U1227&lt;='01_설정'!B8),"Y",""))</f>
        <v/>
      </c>
      <c r="W1227" s="172">
        <f>IF(V1227&lt;&gt;"Y","",MAX(0,(1-R1227/'01_설정'!B5))*'01_설정'!B14+MAX(0,(1-S1227/'01_설정'!B6))*'01_설정'!B15+MAX(0,(1-T1227/'01_설정'!B7))*'01_설정'!B16+MAX(0,(1-U1227/'01_설정'!B8))*'01_설정'!B17+O1227*'01_설정'!B11+Q1227*'01_설정'!B12+P1227*'01_설정'!B13+IF(Z1227="",0,Z1227))</f>
        <v/>
      </c>
      <c r="X1227" s="152">
        <f>IF(W1227="","",1+COUNTIFS($W$4:$W$3003,"&gt;"&amp;W1227)+COUNTIFS($W$4:W1227,W1227)-1)</f>
        <v/>
      </c>
      <c r="Y1227" s="175">
        <f>IF(OR(I1227="",'02_대상물건입력'!B19="",'02_대상물건입력'!B19&lt;=0),"",ABS(I1227-'02_대상물건입력'!B19)/'02_대상물건입력'!B19)</f>
        <v/>
      </c>
      <c r="Z1227" s="172">
        <f>IF(OR(Y1227="",'01_설정'!B31="",'01_설정'!B31&lt;=0,'01_설정'!B32="",'01_설정'!B32&lt;=0),"",MAX(0,(1-Y1227/'01_설정'!B32))*'01_설정'!B31)</f>
        <v/>
      </c>
    </row>
    <row r="1228" ht="17.25" customHeight="1">
      <c r="A1228" s="152">
        <f>IF(INDEX('04A_국토부원자료'!$A:$A,ROW()+1)="","",ROW()-3)</f>
        <v/>
      </c>
      <c r="B1228" s="48">
        <f>IFERROR(INDEX('04A_국토부원자료'!$A:$T,ROW()+1,MATCH("시군구",'04A_국토부원자료'!$A$4:$T$4,0)),"")</f>
        <v/>
      </c>
      <c r="C1228" s="48">
        <f>IF(B1228="","",IFERROR(INDEX('04A_국토부원자료'!$A:$T,ROW()+1,MATCH("번지",'04A_국토부원자료'!$A$4:$T$4,0)),""))</f>
        <v/>
      </c>
      <c r="D1228" s="48">
        <f>IF(B1228="","",IF(Q1228=1,'02_대상물건입력'!$B$8,IFERROR(INDEX('04A_국토부원자료'!$A:$T,ROW()+1,MATCH("단지명",'04A_국토부원자료'!$A$4:$T$4,0)),"")))</f>
        <v/>
      </c>
      <c r="E1228" s="172">
        <f>IFERROR(VALUE(SUBSTITUTE(INDEX('04A_국토부원자료'!$A:$T,ROW()+1,MATCH("전용면적(㎡)",'04A_국토부원자료'!$A$4:$T$4,0)),",","")),"")</f>
        <v/>
      </c>
      <c r="F12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28" s="51">
        <f>IFERROR(VALUE(SUBSTITUTE(INDEX('04A_국토부원자료'!$A:$T,ROW()+1,MATCH("거래금액(만원)",'04A_국토부원자료'!$A$4:$T$4,0)),",","")),"")</f>
        <v/>
      </c>
      <c r="H1228" s="174">
        <f>IF(G1228="","",G1228*10000)</f>
        <v/>
      </c>
      <c r="I1228" s="174">
        <f>IFERROR(IF(AND(H1228&gt;0,E1228&gt;0),H1228/E1228,""),"")</f>
        <v/>
      </c>
      <c r="J1228" s="152">
        <f>IFERROR(VALUE(SUBSTITUTE(INDEX('04A_국토부원자료'!$A:$T,ROW()+1,MATCH("층",'04A_국토부원자료'!$A$4:$T$4,0)),",","")),"")</f>
        <v/>
      </c>
      <c r="K1228" s="152">
        <f>IFERROR(VALUE(SUBSTITUTE(INDEX('04A_국토부원자료'!$A:$T,ROW()+1,MATCH("건축년도",'04A_국토부원자료'!$A$4:$T$4,0)),",","")),"")</f>
        <v/>
      </c>
      <c r="L1228" s="176">
        <f>IFERROR(INDEX('04A_국토부원자료'!$A:$T,ROW()+1,MATCH("도로명",'04A_국토부원자료'!$A$4:$T$4,0)),"")</f>
        <v/>
      </c>
      <c r="M1228" s="48">
        <f>IFERROR(INDEX('04A_국토부원자료'!$A:$T,ROW()+1,MATCH("거래유형",'04A_국토부원자료'!$A$4:$T$4,0)),"")</f>
        <v/>
      </c>
      <c r="N1228" s="152">
        <f>IF(B1228="","",IF('02_대상물건입력'!B5="",1,IF(ISNUMBER(SEARCH('02_대상물건입력'!B5,B1228)),1,0)))</f>
        <v/>
      </c>
      <c r="O1228" s="152">
        <f>IF(B1228="","",IF('02_대상물건입력'!B6="",1,IF(ISNUMBER(SEARCH('02_대상물건입력'!B6,B1228)),1,0)))</f>
        <v/>
      </c>
      <c r="P1228" s="152">
        <f>IF(L1228="","",IF('02_대상물건입력'!B15="",0,IF(ISNUMBER(SEARCH('02_대상물건입력'!B15,L1228)),1,0)))</f>
        <v/>
      </c>
      <c r="Q1228" s="152">
        <f>IF(OR(C1228="",L1228=""),0,IF(AND(TRIM(C1228)=TRIM(RIGHT(SUBSTITUTE(TRIM('02_대상물건입력'!$B$7)," ",REPT(" ",99)),99)),IF('02_대상물건입력'!B15="",TRUE(),ISNUMBER(SEARCH('02_대상물건입력'!B15,L1228)))),1,0))</f>
        <v/>
      </c>
      <c r="R1228" s="175">
        <f>IFERROR(ABS(E1228-'02_대상물건입력'!B11)/'02_대상물건입력'!B11,"")</f>
        <v/>
      </c>
      <c r="S1228" s="152">
        <f>IFERROR(ABS(J1228-'02_대상물건입력'!B10),"")</f>
        <v/>
      </c>
      <c r="T1228" s="152">
        <f>IFERROR(ABS('01_설정'!B4-F1228),"")</f>
        <v/>
      </c>
      <c r="U1228" s="152">
        <f>IFERROR(ABS(K1228-YEAR('02_대상물건입력'!B14)),"")</f>
        <v/>
      </c>
      <c r="V1228" s="152">
        <f>IF(B1228="","",IF(AND(E1228&gt;0,F1228&gt;0,H1228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1228=1,TRUE()),R1228&lt;='01_설정'!B5,S1228&lt;='01_설정'!B6,T1228&lt;='01_설정'!B7,U1228&lt;='01_설정'!B8),"Y",""))</f>
        <v/>
      </c>
      <c r="W1228" s="172">
        <f>IF(V1228&lt;&gt;"Y","",MAX(0,(1-R1228/'01_설정'!B5))*'01_설정'!B14+MAX(0,(1-S1228/'01_설정'!B6))*'01_설정'!B15+MAX(0,(1-T1228/'01_설정'!B7))*'01_설정'!B16+MAX(0,(1-U1228/'01_설정'!B8))*'01_설정'!B17+O1228*'01_설정'!B11+Q1228*'01_설정'!B12+P1228*'01_설정'!B13+IF(Z1228="",0,Z1228))</f>
        <v/>
      </c>
      <c r="X1228" s="152">
        <f>IF(W1228="","",1+COUNTIFS($W$4:$W$3003,"&gt;"&amp;W1228)+COUNTIFS($W$4:W1228,W1228)-1)</f>
        <v/>
      </c>
      <c r="Y1228" s="175">
        <f>IF(OR(I1228="",'02_대상물건입력'!B19="",'02_대상물건입력'!B19&lt;=0),"",ABS(I1228-'02_대상물건입력'!B19)/'02_대상물건입력'!B19)</f>
        <v/>
      </c>
      <c r="Z1228" s="172">
        <f>IF(OR(Y1228="",'01_설정'!B31="",'01_설정'!B31&lt;=0,'01_설정'!B32="",'01_설정'!B32&lt;=0),"",MAX(0,(1-Y1228/'01_설정'!B32))*'01_설정'!B31)</f>
        <v/>
      </c>
    </row>
    <row r="1229" ht="17.25" customHeight="1">
      <c r="A1229" s="152">
        <f>IF(INDEX('04A_국토부원자료'!$A:$A,ROW()+1)="","",ROW()-3)</f>
        <v/>
      </c>
      <c r="B1229" s="48">
        <f>IFERROR(INDEX('04A_국토부원자료'!$A:$T,ROW()+1,MATCH("시군구",'04A_국토부원자료'!$A$4:$T$4,0)),"")</f>
        <v/>
      </c>
      <c r="C1229" s="48">
        <f>IF(B1229="","",IFERROR(INDEX('04A_국토부원자료'!$A:$T,ROW()+1,MATCH("번지",'04A_국토부원자료'!$A$4:$T$4,0)),""))</f>
        <v/>
      </c>
      <c r="D1229" s="48">
        <f>IF(B1229="","",IF(Q1229=1,'02_대상물건입력'!$B$8,IFERROR(INDEX('04A_국토부원자료'!$A:$T,ROW()+1,MATCH("단지명",'04A_국토부원자료'!$A$4:$T$4,0)),"")))</f>
        <v/>
      </c>
      <c r="E1229" s="172">
        <f>IFERROR(VALUE(SUBSTITUTE(INDEX('04A_국토부원자료'!$A:$T,ROW()+1,MATCH("전용면적(㎡)",'04A_국토부원자료'!$A$4:$T$4,0)),",","")),"")</f>
        <v/>
      </c>
      <c r="F12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29" s="51">
        <f>IFERROR(VALUE(SUBSTITUTE(INDEX('04A_국토부원자료'!$A:$T,ROW()+1,MATCH("거래금액(만원)",'04A_국토부원자료'!$A$4:$T$4,0)),",","")),"")</f>
        <v/>
      </c>
      <c r="H1229" s="174">
        <f>IF(G1229="","",G1229*10000)</f>
        <v/>
      </c>
      <c r="I1229" s="174">
        <f>IFERROR(IF(AND(H1229&gt;0,E1229&gt;0),H1229/E1229,""),"")</f>
        <v/>
      </c>
      <c r="J1229" s="152">
        <f>IFERROR(VALUE(SUBSTITUTE(INDEX('04A_국토부원자료'!$A:$T,ROW()+1,MATCH("층",'04A_국토부원자료'!$A$4:$T$4,0)),",","")),"")</f>
        <v/>
      </c>
      <c r="K1229" s="152">
        <f>IFERROR(VALUE(SUBSTITUTE(INDEX('04A_국토부원자료'!$A:$T,ROW()+1,MATCH("건축년도",'04A_국토부원자료'!$A$4:$T$4,0)),",","")),"")</f>
        <v/>
      </c>
      <c r="L1229" s="176">
        <f>IFERROR(INDEX('04A_국토부원자료'!$A:$T,ROW()+1,MATCH("도로명",'04A_국토부원자료'!$A$4:$T$4,0)),"")</f>
        <v/>
      </c>
      <c r="M1229" s="48">
        <f>IFERROR(INDEX('04A_국토부원자료'!$A:$T,ROW()+1,MATCH("거래유형",'04A_국토부원자료'!$A$4:$T$4,0)),"")</f>
        <v/>
      </c>
      <c r="N1229" s="152">
        <f>IF(B1229="","",IF('02_대상물건입력'!B5="",1,IF(ISNUMBER(SEARCH('02_대상물건입력'!B5,B1229)),1,0)))</f>
        <v/>
      </c>
      <c r="O1229" s="152">
        <f>IF(B1229="","",IF('02_대상물건입력'!B6="",1,IF(ISNUMBER(SEARCH('02_대상물건입력'!B6,B1229)),1,0)))</f>
        <v/>
      </c>
      <c r="P1229" s="152">
        <f>IF(L1229="","",IF('02_대상물건입력'!B15="",0,IF(ISNUMBER(SEARCH('02_대상물건입력'!B15,L1229)),1,0)))</f>
        <v/>
      </c>
      <c r="Q1229" s="152">
        <f>IF(OR(C1229="",L1229=""),0,IF(AND(TRIM(C1229)=TRIM(RIGHT(SUBSTITUTE(TRIM('02_대상물건입력'!$B$7)," ",REPT(" ",99)),99)),IF('02_대상물건입력'!B15="",TRUE(),ISNUMBER(SEARCH('02_대상물건입력'!B15,L1229)))),1,0))</f>
        <v/>
      </c>
      <c r="R1229" s="175">
        <f>IFERROR(ABS(E1229-'02_대상물건입력'!B11)/'02_대상물건입력'!B11,"")</f>
        <v/>
      </c>
      <c r="S1229" s="152">
        <f>IFERROR(ABS(J1229-'02_대상물건입력'!B10),"")</f>
        <v/>
      </c>
      <c r="T1229" s="152">
        <f>IFERROR(ABS('01_설정'!B4-F1229),"")</f>
        <v/>
      </c>
      <c r="U1229" s="152">
        <f>IFERROR(ABS(K1229-YEAR('02_대상물건입력'!B14)),"")</f>
        <v/>
      </c>
      <c r="V1229" s="152">
        <f>IF(B1229="","",IF(AND(E1229&gt;0,F1229&gt;0,H1229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1229=1,TRUE()),R1229&lt;='01_설정'!B5,S1229&lt;='01_설정'!B6,T1229&lt;='01_설정'!B7,U1229&lt;='01_설정'!B8),"Y",""))</f>
        <v/>
      </c>
      <c r="W1229" s="172">
        <f>IF(V1229&lt;&gt;"Y","",MAX(0,(1-R1229/'01_설정'!B5))*'01_설정'!B14+MAX(0,(1-S1229/'01_설정'!B6))*'01_설정'!B15+MAX(0,(1-T1229/'01_설정'!B7))*'01_설정'!B16+MAX(0,(1-U1229/'01_설정'!B8))*'01_설정'!B17+O1229*'01_설정'!B11+Q1229*'01_설정'!B12+P1229*'01_설정'!B13+IF(Z1229="",0,Z1229))</f>
        <v/>
      </c>
      <c r="X1229" s="152">
        <f>IF(W1229="","",1+COUNTIFS($W$4:$W$3003,"&gt;"&amp;W1229)+COUNTIFS($W$4:W1229,W1229)-1)</f>
        <v/>
      </c>
      <c r="Y1229" s="175">
        <f>IF(OR(I1229="",'02_대상물건입력'!B19="",'02_대상물건입력'!B19&lt;=0),"",ABS(I1229-'02_대상물건입력'!B19)/'02_대상물건입력'!B19)</f>
        <v/>
      </c>
      <c r="Z1229" s="172">
        <f>IF(OR(Y1229="",'01_설정'!B31="",'01_설정'!B31&lt;=0,'01_설정'!B32="",'01_설정'!B32&lt;=0),"",MAX(0,(1-Y1229/'01_설정'!B32))*'01_설정'!B31)</f>
        <v/>
      </c>
    </row>
    <row r="1230" ht="17.25" customHeight="1">
      <c r="A1230" s="152">
        <f>IF(INDEX('04A_국토부원자료'!$A:$A,ROW()+1)="","",ROW()-3)</f>
        <v/>
      </c>
      <c r="B1230" s="48">
        <f>IFERROR(INDEX('04A_국토부원자료'!$A:$T,ROW()+1,MATCH("시군구",'04A_국토부원자료'!$A$4:$T$4,0)),"")</f>
        <v/>
      </c>
      <c r="C1230" s="48">
        <f>IF(B1230="","",IFERROR(INDEX('04A_국토부원자료'!$A:$T,ROW()+1,MATCH("번지",'04A_국토부원자료'!$A$4:$T$4,0)),""))</f>
        <v/>
      </c>
      <c r="D1230" s="48">
        <f>IF(B1230="","",IF(Q1230=1,'02_대상물건입력'!$B$8,IFERROR(INDEX('04A_국토부원자료'!$A:$T,ROW()+1,MATCH("단지명",'04A_국토부원자료'!$A$4:$T$4,0)),"")))</f>
        <v/>
      </c>
      <c r="E1230" s="172">
        <f>IFERROR(VALUE(SUBSTITUTE(INDEX('04A_국토부원자료'!$A:$T,ROW()+1,MATCH("전용면적(㎡)",'04A_국토부원자료'!$A$4:$T$4,0)),",","")),"")</f>
        <v/>
      </c>
      <c r="F12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30" s="51">
        <f>IFERROR(VALUE(SUBSTITUTE(INDEX('04A_국토부원자료'!$A:$T,ROW()+1,MATCH("거래금액(만원)",'04A_국토부원자료'!$A$4:$T$4,0)),",","")),"")</f>
        <v/>
      </c>
      <c r="H1230" s="174">
        <f>IF(G1230="","",G1230*10000)</f>
        <v/>
      </c>
      <c r="I1230" s="174">
        <f>IFERROR(IF(AND(H1230&gt;0,E1230&gt;0),H1230/E1230,""),"")</f>
        <v/>
      </c>
      <c r="J1230" s="152">
        <f>IFERROR(VALUE(SUBSTITUTE(INDEX('04A_국토부원자료'!$A:$T,ROW()+1,MATCH("층",'04A_국토부원자료'!$A$4:$T$4,0)),",","")),"")</f>
        <v/>
      </c>
      <c r="K1230" s="152">
        <f>IFERROR(VALUE(SUBSTITUTE(INDEX('04A_국토부원자료'!$A:$T,ROW()+1,MATCH("건축년도",'04A_국토부원자료'!$A$4:$T$4,0)),",","")),"")</f>
        <v/>
      </c>
      <c r="L1230" s="176">
        <f>IFERROR(INDEX('04A_국토부원자료'!$A:$T,ROW()+1,MATCH("도로명",'04A_국토부원자료'!$A$4:$T$4,0)),"")</f>
        <v/>
      </c>
      <c r="M1230" s="48">
        <f>IFERROR(INDEX('04A_국토부원자료'!$A:$T,ROW()+1,MATCH("거래유형",'04A_국토부원자료'!$A$4:$T$4,0)),"")</f>
        <v/>
      </c>
      <c r="N1230" s="152">
        <f>IF(B1230="","",IF('02_대상물건입력'!B5="",1,IF(ISNUMBER(SEARCH('02_대상물건입력'!B5,B1230)),1,0)))</f>
        <v/>
      </c>
      <c r="O1230" s="152">
        <f>IF(B1230="","",IF('02_대상물건입력'!B6="",1,IF(ISNUMBER(SEARCH('02_대상물건입력'!B6,B1230)),1,0)))</f>
        <v/>
      </c>
      <c r="P1230" s="152">
        <f>IF(L1230="","",IF('02_대상물건입력'!B15="",0,IF(ISNUMBER(SEARCH('02_대상물건입력'!B15,L1230)),1,0)))</f>
        <v/>
      </c>
      <c r="Q1230" s="152">
        <f>IF(OR(C1230="",L1230=""),0,IF(AND(TRIM(C1230)=TRIM(RIGHT(SUBSTITUTE(TRIM('02_대상물건입력'!$B$7)," ",REPT(" ",99)),99)),IF('02_대상물건입력'!B15="",TRUE(),ISNUMBER(SEARCH('02_대상물건입력'!B15,L1230)))),1,0))</f>
        <v/>
      </c>
      <c r="R1230" s="175">
        <f>IFERROR(ABS(E1230-'02_대상물건입력'!B11)/'02_대상물건입력'!B11,"")</f>
        <v/>
      </c>
      <c r="S1230" s="152">
        <f>IFERROR(ABS(J1230-'02_대상물건입력'!B10),"")</f>
        <v/>
      </c>
      <c r="T1230" s="152">
        <f>IFERROR(ABS('01_설정'!B4-F1230),"")</f>
        <v/>
      </c>
      <c r="U1230" s="152">
        <f>IFERROR(ABS(K1230-YEAR('02_대상물건입력'!B14)),"")</f>
        <v/>
      </c>
      <c r="V1230" s="152">
        <f>IF(B1230="","",IF(AND(E1230&gt;0,F1230&gt;0,H1230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1230=1,TRUE()),R1230&lt;='01_설정'!B5,S1230&lt;='01_설정'!B6,T1230&lt;='01_설정'!B7,U1230&lt;='01_설정'!B8),"Y",""))</f>
        <v/>
      </c>
      <c r="W1230" s="172">
        <f>IF(V1230&lt;&gt;"Y","",MAX(0,(1-R1230/'01_설정'!B5))*'01_설정'!B14+MAX(0,(1-S1230/'01_설정'!B6))*'01_설정'!B15+MAX(0,(1-T1230/'01_설정'!B7))*'01_설정'!B16+MAX(0,(1-U1230/'01_설정'!B8))*'01_설정'!B17+O1230*'01_설정'!B11+Q1230*'01_설정'!B12+P1230*'01_설정'!B13+IF(Z1230="",0,Z1230))</f>
        <v/>
      </c>
      <c r="X1230" s="152">
        <f>IF(W1230="","",1+COUNTIFS($W$4:$W$3003,"&gt;"&amp;W1230)+COUNTIFS($W$4:W1230,W1230)-1)</f>
        <v/>
      </c>
      <c r="Y1230" s="175">
        <f>IF(OR(I1230="",'02_대상물건입력'!B19="",'02_대상물건입력'!B19&lt;=0),"",ABS(I1230-'02_대상물건입력'!B19)/'02_대상물건입력'!B19)</f>
        <v/>
      </c>
      <c r="Z1230" s="172">
        <f>IF(OR(Y1230="",'01_설정'!B31="",'01_설정'!B31&lt;=0,'01_설정'!B32="",'01_설정'!B32&lt;=0),"",MAX(0,(1-Y1230/'01_설정'!B32))*'01_설정'!B31)</f>
        <v/>
      </c>
    </row>
    <row r="1231" ht="17.25" customHeight="1">
      <c r="A1231" s="152">
        <f>IF(INDEX('04A_국토부원자료'!$A:$A,ROW()+1)="","",ROW()-3)</f>
        <v/>
      </c>
      <c r="B1231" s="48">
        <f>IFERROR(INDEX('04A_국토부원자료'!$A:$T,ROW()+1,MATCH("시군구",'04A_국토부원자료'!$A$4:$T$4,0)),"")</f>
        <v/>
      </c>
      <c r="C1231" s="48">
        <f>IF(B1231="","",IFERROR(INDEX('04A_국토부원자료'!$A:$T,ROW()+1,MATCH("번지",'04A_국토부원자료'!$A$4:$T$4,0)),""))</f>
        <v/>
      </c>
      <c r="D1231" s="48">
        <f>IF(B1231="","",IF(Q1231=1,'02_대상물건입력'!$B$8,IFERROR(INDEX('04A_국토부원자료'!$A:$T,ROW()+1,MATCH("단지명",'04A_국토부원자료'!$A$4:$T$4,0)),"")))</f>
        <v/>
      </c>
      <c r="E1231" s="172">
        <f>IFERROR(VALUE(SUBSTITUTE(INDEX('04A_국토부원자료'!$A:$T,ROW()+1,MATCH("전용면적(㎡)",'04A_국토부원자료'!$A$4:$T$4,0)),",","")),"")</f>
        <v/>
      </c>
      <c r="F12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31" s="51">
        <f>IFERROR(VALUE(SUBSTITUTE(INDEX('04A_국토부원자료'!$A:$T,ROW()+1,MATCH("거래금액(만원)",'04A_국토부원자료'!$A$4:$T$4,0)),",","")),"")</f>
        <v/>
      </c>
      <c r="H1231" s="174">
        <f>IF(G1231="","",G1231*10000)</f>
        <v/>
      </c>
      <c r="I1231" s="174">
        <f>IFERROR(IF(AND(H1231&gt;0,E1231&gt;0),H1231/E1231,""),"")</f>
        <v/>
      </c>
      <c r="J1231" s="152">
        <f>IFERROR(VALUE(SUBSTITUTE(INDEX('04A_국토부원자료'!$A:$T,ROW()+1,MATCH("층",'04A_국토부원자료'!$A$4:$T$4,0)),",","")),"")</f>
        <v/>
      </c>
      <c r="K1231" s="152">
        <f>IFERROR(VALUE(SUBSTITUTE(INDEX('04A_국토부원자료'!$A:$T,ROW()+1,MATCH("건축년도",'04A_국토부원자료'!$A$4:$T$4,0)),",","")),"")</f>
        <v/>
      </c>
      <c r="L1231" s="176">
        <f>IFERROR(INDEX('04A_국토부원자료'!$A:$T,ROW()+1,MATCH("도로명",'04A_국토부원자료'!$A$4:$T$4,0)),"")</f>
        <v/>
      </c>
      <c r="M1231" s="48">
        <f>IFERROR(INDEX('04A_국토부원자료'!$A:$T,ROW()+1,MATCH("거래유형",'04A_국토부원자료'!$A$4:$T$4,0)),"")</f>
        <v/>
      </c>
      <c r="N1231" s="152">
        <f>IF(B1231="","",IF('02_대상물건입력'!B5="",1,IF(ISNUMBER(SEARCH('02_대상물건입력'!B5,B1231)),1,0)))</f>
        <v/>
      </c>
      <c r="O1231" s="152">
        <f>IF(B1231="","",IF('02_대상물건입력'!B6="",1,IF(ISNUMBER(SEARCH('02_대상물건입력'!B6,B1231)),1,0)))</f>
        <v/>
      </c>
      <c r="P1231" s="152">
        <f>IF(L1231="","",IF('02_대상물건입력'!B15="",0,IF(ISNUMBER(SEARCH('02_대상물건입력'!B15,L1231)),1,0)))</f>
        <v/>
      </c>
      <c r="Q1231" s="152">
        <f>IF(OR(C1231="",L1231=""),0,IF(AND(TRIM(C1231)=TRIM(RIGHT(SUBSTITUTE(TRIM('02_대상물건입력'!$B$7)," ",REPT(" ",99)),99)),IF('02_대상물건입력'!B15="",TRUE(),ISNUMBER(SEARCH('02_대상물건입력'!B15,L1231)))),1,0))</f>
        <v/>
      </c>
      <c r="R1231" s="175">
        <f>IFERROR(ABS(E1231-'02_대상물건입력'!B11)/'02_대상물건입력'!B11,"")</f>
        <v/>
      </c>
      <c r="S1231" s="152">
        <f>IFERROR(ABS(J1231-'02_대상물건입력'!B10),"")</f>
        <v/>
      </c>
      <c r="T1231" s="152">
        <f>IFERROR(ABS('01_설정'!B4-F1231),"")</f>
        <v/>
      </c>
      <c r="U1231" s="152">
        <f>IFERROR(ABS(K1231-YEAR('02_대상물건입력'!B14)),"")</f>
        <v/>
      </c>
      <c r="V1231" s="152">
        <f>IF(B1231="","",IF(AND(E1231&gt;0,F1231&gt;0,H1231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1231=1,TRUE()),R1231&lt;='01_설정'!B5,S1231&lt;='01_설정'!B6,T1231&lt;='01_설정'!B7,U1231&lt;='01_설정'!B8),"Y",""))</f>
        <v/>
      </c>
      <c r="W1231" s="172">
        <f>IF(V1231&lt;&gt;"Y","",MAX(0,(1-R1231/'01_설정'!B5))*'01_설정'!B14+MAX(0,(1-S1231/'01_설정'!B6))*'01_설정'!B15+MAX(0,(1-T1231/'01_설정'!B7))*'01_설정'!B16+MAX(0,(1-U1231/'01_설정'!B8))*'01_설정'!B17+O1231*'01_설정'!B11+Q1231*'01_설정'!B12+P1231*'01_설정'!B13+IF(Z1231="",0,Z1231))</f>
        <v/>
      </c>
      <c r="X1231" s="152">
        <f>IF(W1231="","",1+COUNTIFS($W$4:$W$3003,"&gt;"&amp;W1231)+COUNTIFS($W$4:W1231,W1231)-1)</f>
        <v/>
      </c>
      <c r="Y1231" s="175">
        <f>IF(OR(I1231="",'02_대상물건입력'!B19="",'02_대상물건입력'!B19&lt;=0),"",ABS(I1231-'02_대상물건입력'!B19)/'02_대상물건입력'!B19)</f>
        <v/>
      </c>
      <c r="Z1231" s="172">
        <f>IF(OR(Y1231="",'01_설정'!B31="",'01_설정'!B31&lt;=0,'01_설정'!B32="",'01_설정'!B32&lt;=0),"",MAX(0,(1-Y1231/'01_설정'!B32))*'01_설정'!B31)</f>
        <v/>
      </c>
    </row>
    <row r="1232" ht="17.25" customHeight="1">
      <c r="A1232" s="152">
        <f>IF(INDEX('04A_국토부원자료'!$A:$A,ROW()+1)="","",ROW()-3)</f>
        <v/>
      </c>
      <c r="B1232" s="48">
        <f>IFERROR(INDEX('04A_국토부원자료'!$A:$T,ROW()+1,MATCH("시군구",'04A_국토부원자료'!$A$4:$T$4,0)),"")</f>
        <v/>
      </c>
      <c r="C1232" s="48">
        <f>IF(B1232="","",IFERROR(INDEX('04A_국토부원자료'!$A:$T,ROW()+1,MATCH("번지",'04A_국토부원자료'!$A$4:$T$4,0)),""))</f>
        <v/>
      </c>
      <c r="D1232" s="48">
        <f>IF(B1232="","",IF(Q1232=1,'02_대상물건입력'!$B$8,IFERROR(INDEX('04A_국토부원자료'!$A:$T,ROW()+1,MATCH("단지명",'04A_국토부원자료'!$A$4:$T$4,0)),"")))</f>
        <v/>
      </c>
      <c r="E1232" s="172">
        <f>IFERROR(VALUE(SUBSTITUTE(INDEX('04A_국토부원자료'!$A:$T,ROW()+1,MATCH("전용면적(㎡)",'04A_국토부원자료'!$A$4:$T$4,0)),",","")),"")</f>
        <v/>
      </c>
      <c r="F12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32" s="51">
        <f>IFERROR(VALUE(SUBSTITUTE(INDEX('04A_국토부원자료'!$A:$T,ROW()+1,MATCH("거래금액(만원)",'04A_국토부원자료'!$A$4:$T$4,0)),",","")),"")</f>
        <v/>
      </c>
      <c r="H1232" s="174">
        <f>IF(G1232="","",G1232*10000)</f>
        <v/>
      </c>
      <c r="I1232" s="174">
        <f>IFERROR(IF(AND(H1232&gt;0,E1232&gt;0),H1232/E1232,""),"")</f>
        <v/>
      </c>
      <c r="J1232" s="152">
        <f>IFERROR(VALUE(SUBSTITUTE(INDEX('04A_국토부원자료'!$A:$T,ROW()+1,MATCH("층",'04A_국토부원자료'!$A$4:$T$4,0)),",","")),"")</f>
        <v/>
      </c>
      <c r="K1232" s="152">
        <f>IFERROR(VALUE(SUBSTITUTE(INDEX('04A_국토부원자료'!$A:$T,ROW()+1,MATCH("건축년도",'04A_국토부원자료'!$A$4:$T$4,0)),",","")),"")</f>
        <v/>
      </c>
      <c r="L1232" s="176">
        <f>IFERROR(INDEX('04A_국토부원자료'!$A:$T,ROW()+1,MATCH("도로명",'04A_국토부원자료'!$A$4:$T$4,0)),"")</f>
        <v/>
      </c>
      <c r="M1232" s="48">
        <f>IFERROR(INDEX('04A_국토부원자료'!$A:$T,ROW()+1,MATCH("거래유형",'04A_국토부원자료'!$A$4:$T$4,0)),"")</f>
        <v/>
      </c>
      <c r="N1232" s="152">
        <f>IF(B1232="","",IF('02_대상물건입력'!B5="",1,IF(ISNUMBER(SEARCH('02_대상물건입력'!B5,B1232)),1,0)))</f>
        <v/>
      </c>
      <c r="O1232" s="152">
        <f>IF(B1232="","",IF('02_대상물건입력'!B6="",1,IF(ISNUMBER(SEARCH('02_대상물건입력'!B6,B1232)),1,0)))</f>
        <v/>
      </c>
      <c r="P1232" s="152">
        <f>IF(L1232="","",IF('02_대상물건입력'!B15="",0,IF(ISNUMBER(SEARCH('02_대상물건입력'!B15,L1232)),1,0)))</f>
        <v/>
      </c>
      <c r="Q1232" s="152">
        <f>IF(OR(C1232="",L1232=""),0,IF(AND(TRIM(C1232)=TRIM(RIGHT(SUBSTITUTE(TRIM('02_대상물건입력'!$B$7)," ",REPT(" ",99)),99)),IF('02_대상물건입력'!B15="",TRUE(),ISNUMBER(SEARCH('02_대상물건입력'!B15,L1232)))),1,0))</f>
        <v/>
      </c>
      <c r="R1232" s="175">
        <f>IFERROR(ABS(E1232-'02_대상물건입력'!B11)/'02_대상물건입력'!B11,"")</f>
        <v/>
      </c>
      <c r="S1232" s="152">
        <f>IFERROR(ABS(J1232-'02_대상물건입력'!B10),"")</f>
        <v/>
      </c>
      <c r="T1232" s="152">
        <f>IFERROR(ABS('01_설정'!B4-F1232),"")</f>
        <v/>
      </c>
      <c r="U1232" s="152">
        <f>IFERROR(ABS(K1232-YEAR('02_대상물건입력'!B14)),"")</f>
        <v/>
      </c>
      <c r="V1232" s="152">
        <f>IF(B1232="","",IF(AND(E1232&gt;0,F1232&gt;0,H1232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1232=1,TRUE()),R1232&lt;='01_설정'!B5,S1232&lt;='01_설정'!B6,T1232&lt;='01_설정'!B7,U1232&lt;='01_설정'!B8),"Y",""))</f>
        <v/>
      </c>
      <c r="W1232" s="172">
        <f>IF(V1232&lt;&gt;"Y","",MAX(0,(1-R1232/'01_설정'!B5))*'01_설정'!B14+MAX(0,(1-S1232/'01_설정'!B6))*'01_설정'!B15+MAX(0,(1-T1232/'01_설정'!B7))*'01_설정'!B16+MAX(0,(1-U1232/'01_설정'!B8))*'01_설정'!B17+O1232*'01_설정'!B11+Q1232*'01_설정'!B12+P1232*'01_설정'!B13+IF(Z1232="",0,Z1232))</f>
        <v/>
      </c>
      <c r="X1232" s="152">
        <f>IF(W1232="","",1+COUNTIFS($W$4:$W$3003,"&gt;"&amp;W1232)+COUNTIFS($W$4:W1232,W1232)-1)</f>
        <v/>
      </c>
      <c r="Y1232" s="175">
        <f>IF(OR(I1232="",'02_대상물건입력'!B19="",'02_대상물건입력'!B19&lt;=0),"",ABS(I1232-'02_대상물건입력'!B19)/'02_대상물건입력'!B19)</f>
        <v/>
      </c>
      <c r="Z1232" s="172">
        <f>IF(OR(Y1232="",'01_설정'!B31="",'01_설정'!B31&lt;=0,'01_설정'!B32="",'01_설정'!B32&lt;=0),"",MAX(0,(1-Y1232/'01_설정'!B32))*'01_설정'!B31)</f>
        <v/>
      </c>
    </row>
    <row r="1233" ht="17.25" customHeight="1">
      <c r="A1233" s="152">
        <f>IF(INDEX('04A_국토부원자료'!$A:$A,ROW()+1)="","",ROW()-3)</f>
        <v/>
      </c>
      <c r="B1233" s="48">
        <f>IFERROR(INDEX('04A_국토부원자료'!$A:$T,ROW()+1,MATCH("시군구",'04A_국토부원자료'!$A$4:$T$4,0)),"")</f>
        <v/>
      </c>
      <c r="C1233" s="48">
        <f>IF(B1233="","",IFERROR(INDEX('04A_국토부원자료'!$A:$T,ROW()+1,MATCH("번지",'04A_국토부원자료'!$A$4:$T$4,0)),""))</f>
        <v/>
      </c>
      <c r="D1233" s="48">
        <f>IF(B1233="","",IF(Q1233=1,'02_대상물건입력'!$B$8,IFERROR(INDEX('04A_국토부원자료'!$A:$T,ROW()+1,MATCH("단지명",'04A_국토부원자료'!$A$4:$T$4,0)),"")))</f>
        <v/>
      </c>
      <c r="E1233" s="172">
        <f>IFERROR(VALUE(SUBSTITUTE(INDEX('04A_국토부원자료'!$A:$T,ROW()+1,MATCH("전용면적(㎡)",'04A_국토부원자료'!$A$4:$T$4,0)),",","")),"")</f>
        <v/>
      </c>
      <c r="F12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33" s="51">
        <f>IFERROR(VALUE(SUBSTITUTE(INDEX('04A_국토부원자료'!$A:$T,ROW()+1,MATCH("거래금액(만원)",'04A_국토부원자료'!$A$4:$T$4,0)),",","")),"")</f>
        <v/>
      </c>
      <c r="H1233" s="174">
        <f>IF(G1233="","",G1233*10000)</f>
        <v/>
      </c>
      <c r="I1233" s="174">
        <f>IFERROR(IF(AND(H1233&gt;0,E1233&gt;0),H1233/E1233,""),"")</f>
        <v/>
      </c>
      <c r="J1233" s="152">
        <f>IFERROR(VALUE(SUBSTITUTE(INDEX('04A_국토부원자료'!$A:$T,ROW()+1,MATCH("층",'04A_국토부원자료'!$A$4:$T$4,0)),",","")),"")</f>
        <v/>
      </c>
      <c r="K1233" s="152">
        <f>IFERROR(VALUE(SUBSTITUTE(INDEX('04A_국토부원자료'!$A:$T,ROW()+1,MATCH("건축년도",'04A_국토부원자료'!$A$4:$T$4,0)),",","")),"")</f>
        <v/>
      </c>
      <c r="L1233" s="176">
        <f>IFERROR(INDEX('04A_국토부원자료'!$A:$T,ROW()+1,MATCH("도로명",'04A_국토부원자료'!$A$4:$T$4,0)),"")</f>
        <v/>
      </c>
      <c r="M1233" s="48">
        <f>IFERROR(INDEX('04A_국토부원자료'!$A:$T,ROW()+1,MATCH("거래유형",'04A_국토부원자료'!$A$4:$T$4,0)),"")</f>
        <v/>
      </c>
      <c r="N1233" s="152">
        <f>IF(B1233="","",IF('02_대상물건입력'!B5="",1,IF(ISNUMBER(SEARCH('02_대상물건입력'!B5,B1233)),1,0)))</f>
        <v/>
      </c>
      <c r="O1233" s="152">
        <f>IF(B1233="","",IF('02_대상물건입력'!B6="",1,IF(ISNUMBER(SEARCH('02_대상물건입력'!B6,B1233)),1,0)))</f>
        <v/>
      </c>
      <c r="P1233" s="152">
        <f>IF(L1233="","",IF('02_대상물건입력'!B15="",0,IF(ISNUMBER(SEARCH('02_대상물건입력'!B15,L1233)),1,0)))</f>
        <v/>
      </c>
      <c r="Q1233" s="152">
        <f>IF(OR(C1233="",L1233=""),0,IF(AND(TRIM(C1233)=TRIM(RIGHT(SUBSTITUTE(TRIM('02_대상물건입력'!$B$7)," ",REPT(" ",99)),99)),IF('02_대상물건입력'!B15="",TRUE(),ISNUMBER(SEARCH('02_대상물건입력'!B15,L1233)))),1,0))</f>
        <v/>
      </c>
      <c r="R1233" s="175">
        <f>IFERROR(ABS(E1233-'02_대상물건입력'!B11)/'02_대상물건입력'!B11,"")</f>
        <v/>
      </c>
      <c r="S1233" s="152">
        <f>IFERROR(ABS(J1233-'02_대상물건입력'!B10),"")</f>
        <v/>
      </c>
      <c r="T1233" s="152">
        <f>IFERROR(ABS('01_설정'!B4-F1233),"")</f>
        <v/>
      </c>
      <c r="U1233" s="152">
        <f>IFERROR(ABS(K1233-YEAR('02_대상물건입력'!B14)),"")</f>
        <v/>
      </c>
      <c r="V1233" s="152">
        <f>IF(B1233="","",IF(AND(E1233&gt;0,F1233&gt;0,H1233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1233=1,TRUE()),R1233&lt;='01_설정'!B5,S1233&lt;='01_설정'!B6,T1233&lt;='01_설정'!B7,U1233&lt;='01_설정'!B8),"Y",""))</f>
        <v/>
      </c>
      <c r="W1233" s="172">
        <f>IF(V1233&lt;&gt;"Y","",MAX(0,(1-R1233/'01_설정'!B5))*'01_설정'!B14+MAX(0,(1-S1233/'01_설정'!B6))*'01_설정'!B15+MAX(0,(1-T1233/'01_설정'!B7))*'01_설정'!B16+MAX(0,(1-U1233/'01_설정'!B8))*'01_설정'!B17+O1233*'01_설정'!B11+Q1233*'01_설정'!B12+P1233*'01_설정'!B13+IF(Z1233="",0,Z1233))</f>
        <v/>
      </c>
      <c r="X1233" s="152">
        <f>IF(W1233="","",1+COUNTIFS($W$4:$W$3003,"&gt;"&amp;W1233)+COUNTIFS($W$4:W1233,W1233)-1)</f>
        <v/>
      </c>
      <c r="Y1233" s="175">
        <f>IF(OR(I1233="",'02_대상물건입력'!B19="",'02_대상물건입력'!B19&lt;=0),"",ABS(I1233-'02_대상물건입력'!B19)/'02_대상물건입력'!B19)</f>
        <v/>
      </c>
      <c r="Z1233" s="172">
        <f>IF(OR(Y1233="",'01_설정'!B31="",'01_설정'!B31&lt;=0,'01_설정'!B32="",'01_설정'!B32&lt;=0),"",MAX(0,(1-Y1233/'01_설정'!B32))*'01_설정'!B31)</f>
        <v/>
      </c>
    </row>
    <row r="1234" ht="17.25" customHeight="1">
      <c r="A1234" s="152">
        <f>IF(INDEX('04A_국토부원자료'!$A:$A,ROW()+1)="","",ROW()-3)</f>
        <v/>
      </c>
      <c r="B1234" s="48">
        <f>IFERROR(INDEX('04A_국토부원자료'!$A:$T,ROW()+1,MATCH("시군구",'04A_국토부원자료'!$A$4:$T$4,0)),"")</f>
        <v/>
      </c>
      <c r="C1234" s="48">
        <f>IF(B1234="","",IFERROR(INDEX('04A_국토부원자료'!$A:$T,ROW()+1,MATCH("번지",'04A_국토부원자료'!$A$4:$T$4,0)),""))</f>
        <v/>
      </c>
      <c r="D1234" s="48">
        <f>IF(B1234="","",IF(Q1234=1,'02_대상물건입력'!$B$8,IFERROR(INDEX('04A_국토부원자료'!$A:$T,ROW()+1,MATCH("단지명",'04A_국토부원자료'!$A$4:$T$4,0)),"")))</f>
        <v/>
      </c>
      <c r="E1234" s="172">
        <f>IFERROR(VALUE(SUBSTITUTE(INDEX('04A_국토부원자료'!$A:$T,ROW()+1,MATCH("전용면적(㎡)",'04A_국토부원자료'!$A$4:$T$4,0)),",","")),"")</f>
        <v/>
      </c>
      <c r="F12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34" s="51">
        <f>IFERROR(VALUE(SUBSTITUTE(INDEX('04A_국토부원자료'!$A:$T,ROW()+1,MATCH("거래금액(만원)",'04A_국토부원자료'!$A$4:$T$4,0)),",","")),"")</f>
        <v/>
      </c>
      <c r="H1234" s="174">
        <f>IF(G1234="","",G1234*10000)</f>
        <v/>
      </c>
      <c r="I1234" s="174">
        <f>IFERROR(IF(AND(H1234&gt;0,E1234&gt;0),H1234/E1234,""),"")</f>
        <v/>
      </c>
      <c r="J1234" s="152">
        <f>IFERROR(VALUE(SUBSTITUTE(INDEX('04A_국토부원자료'!$A:$T,ROW()+1,MATCH("층",'04A_국토부원자료'!$A$4:$T$4,0)),",","")),"")</f>
        <v/>
      </c>
      <c r="K1234" s="152">
        <f>IFERROR(VALUE(SUBSTITUTE(INDEX('04A_국토부원자료'!$A:$T,ROW()+1,MATCH("건축년도",'04A_국토부원자료'!$A$4:$T$4,0)),",","")),"")</f>
        <v/>
      </c>
      <c r="L1234" s="176">
        <f>IFERROR(INDEX('04A_국토부원자료'!$A:$T,ROW()+1,MATCH("도로명",'04A_국토부원자료'!$A$4:$T$4,0)),"")</f>
        <v/>
      </c>
      <c r="M1234" s="48">
        <f>IFERROR(INDEX('04A_국토부원자료'!$A:$T,ROW()+1,MATCH("거래유형",'04A_국토부원자료'!$A$4:$T$4,0)),"")</f>
        <v/>
      </c>
      <c r="N1234" s="152">
        <f>IF(B1234="","",IF('02_대상물건입력'!B5="",1,IF(ISNUMBER(SEARCH('02_대상물건입력'!B5,B1234)),1,0)))</f>
        <v/>
      </c>
      <c r="O1234" s="152">
        <f>IF(B1234="","",IF('02_대상물건입력'!B6="",1,IF(ISNUMBER(SEARCH('02_대상물건입력'!B6,B1234)),1,0)))</f>
        <v/>
      </c>
      <c r="P1234" s="152">
        <f>IF(L1234="","",IF('02_대상물건입력'!B15="",0,IF(ISNUMBER(SEARCH('02_대상물건입력'!B15,L1234)),1,0)))</f>
        <v/>
      </c>
      <c r="Q1234" s="152">
        <f>IF(OR(C1234="",L1234=""),0,IF(AND(TRIM(C1234)=TRIM(RIGHT(SUBSTITUTE(TRIM('02_대상물건입력'!$B$7)," ",REPT(" ",99)),99)),IF('02_대상물건입력'!B15="",TRUE(),ISNUMBER(SEARCH('02_대상물건입력'!B15,L1234)))),1,0))</f>
        <v/>
      </c>
      <c r="R1234" s="175">
        <f>IFERROR(ABS(E1234-'02_대상물건입력'!B11)/'02_대상물건입력'!B11,"")</f>
        <v/>
      </c>
      <c r="S1234" s="152">
        <f>IFERROR(ABS(J1234-'02_대상물건입력'!B10),"")</f>
        <v/>
      </c>
      <c r="T1234" s="152">
        <f>IFERROR(ABS('01_설정'!B4-F1234),"")</f>
        <v/>
      </c>
      <c r="U1234" s="152">
        <f>IFERROR(ABS(K1234-YEAR('02_대상물건입력'!B14)),"")</f>
        <v/>
      </c>
      <c r="V1234" s="152">
        <f>IF(B1234="","",IF(AND(E1234&gt;0,F1234&gt;0,H1234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1234=1,TRUE()),R1234&lt;='01_설정'!B5,S1234&lt;='01_설정'!B6,T1234&lt;='01_설정'!B7,U1234&lt;='01_설정'!B8),"Y",""))</f>
        <v/>
      </c>
      <c r="W1234" s="172">
        <f>IF(V1234&lt;&gt;"Y","",MAX(0,(1-R1234/'01_설정'!B5))*'01_설정'!B14+MAX(0,(1-S1234/'01_설정'!B6))*'01_설정'!B15+MAX(0,(1-T1234/'01_설정'!B7))*'01_설정'!B16+MAX(0,(1-U1234/'01_설정'!B8))*'01_설정'!B17+O1234*'01_설정'!B11+Q1234*'01_설정'!B12+P1234*'01_설정'!B13+IF(Z1234="",0,Z1234))</f>
        <v/>
      </c>
      <c r="X1234" s="152">
        <f>IF(W1234="","",1+COUNTIFS($W$4:$W$3003,"&gt;"&amp;W1234)+COUNTIFS($W$4:W1234,W1234)-1)</f>
        <v/>
      </c>
      <c r="Y1234" s="175">
        <f>IF(OR(I1234="",'02_대상물건입력'!B19="",'02_대상물건입력'!B19&lt;=0),"",ABS(I1234-'02_대상물건입력'!B19)/'02_대상물건입력'!B19)</f>
        <v/>
      </c>
      <c r="Z1234" s="172">
        <f>IF(OR(Y1234="",'01_설정'!B31="",'01_설정'!B31&lt;=0,'01_설정'!B32="",'01_설정'!B32&lt;=0),"",MAX(0,(1-Y1234/'01_설정'!B32))*'01_설정'!B31)</f>
        <v/>
      </c>
    </row>
    <row r="1235" ht="17.25" customHeight="1">
      <c r="A1235" s="152">
        <f>IF(INDEX('04A_국토부원자료'!$A:$A,ROW()+1)="","",ROW()-3)</f>
        <v/>
      </c>
      <c r="B1235" s="48">
        <f>IFERROR(INDEX('04A_국토부원자료'!$A:$T,ROW()+1,MATCH("시군구",'04A_국토부원자료'!$A$4:$T$4,0)),"")</f>
        <v/>
      </c>
      <c r="C1235" s="48">
        <f>IF(B1235="","",IFERROR(INDEX('04A_국토부원자료'!$A:$T,ROW()+1,MATCH("번지",'04A_국토부원자료'!$A$4:$T$4,0)),""))</f>
        <v/>
      </c>
      <c r="D1235" s="48">
        <f>IF(B1235="","",IF(Q1235=1,'02_대상물건입력'!$B$8,IFERROR(INDEX('04A_국토부원자료'!$A:$T,ROW()+1,MATCH("단지명",'04A_국토부원자료'!$A$4:$T$4,0)),"")))</f>
        <v/>
      </c>
      <c r="E1235" s="172">
        <f>IFERROR(VALUE(SUBSTITUTE(INDEX('04A_국토부원자료'!$A:$T,ROW()+1,MATCH("전용면적(㎡)",'04A_국토부원자료'!$A$4:$T$4,0)),",","")),"")</f>
        <v/>
      </c>
      <c r="F12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35" s="51">
        <f>IFERROR(VALUE(SUBSTITUTE(INDEX('04A_국토부원자료'!$A:$T,ROW()+1,MATCH("거래금액(만원)",'04A_국토부원자료'!$A$4:$T$4,0)),",","")),"")</f>
        <v/>
      </c>
      <c r="H1235" s="174">
        <f>IF(G1235="","",G1235*10000)</f>
        <v/>
      </c>
      <c r="I1235" s="174">
        <f>IFERROR(IF(AND(H1235&gt;0,E1235&gt;0),H1235/E1235,""),"")</f>
        <v/>
      </c>
      <c r="J1235" s="152">
        <f>IFERROR(VALUE(SUBSTITUTE(INDEX('04A_국토부원자료'!$A:$T,ROW()+1,MATCH("층",'04A_국토부원자료'!$A$4:$T$4,0)),",","")),"")</f>
        <v/>
      </c>
      <c r="K1235" s="152">
        <f>IFERROR(VALUE(SUBSTITUTE(INDEX('04A_국토부원자료'!$A:$T,ROW()+1,MATCH("건축년도",'04A_국토부원자료'!$A$4:$T$4,0)),",","")),"")</f>
        <v/>
      </c>
      <c r="L1235" s="176">
        <f>IFERROR(INDEX('04A_국토부원자료'!$A:$T,ROW()+1,MATCH("도로명",'04A_국토부원자료'!$A$4:$T$4,0)),"")</f>
        <v/>
      </c>
      <c r="M1235" s="48">
        <f>IFERROR(INDEX('04A_국토부원자료'!$A:$T,ROW()+1,MATCH("거래유형",'04A_국토부원자료'!$A$4:$T$4,0)),"")</f>
        <v/>
      </c>
      <c r="N1235" s="152">
        <f>IF(B1235="","",IF('02_대상물건입력'!B5="",1,IF(ISNUMBER(SEARCH('02_대상물건입력'!B5,B1235)),1,0)))</f>
        <v/>
      </c>
      <c r="O1235" s="152">
        <f>IF(B1235="","",IF('02_대상물건입력'!B6="",1,IF(ISNUMBER(SEARCH('02_대상물건입력'!B6,B1235)),1,0)))</f>
        <v/>
      </c>
      <c r="P1235" s="152">
        <f>IF(L1235="","",IF('02_대상물건입력'!B15="",0,IF(ISNUMBER(SEARCH('02_대상물건입력'!B15,L1235)),1,0)))</f>
        <v/>
      </c>
      <c r="Q1235" s="152">
        <f>IF(OR(C1235="",L1235=""),0,IF(AND(TRIM(C1235)=TRIM(RIGHT(SUBSTITUTE(TRIM('02_대상물건입력'!$B$7)," ",REPT(" ",99)),99)),IF('02_대상물건입력'!B15="",TRUE(),ISNUMBER(SEARCH('02_대상물건입력'!B15,L1235)))),1,0))</f>
        <v/>
      </c>
      <c r="R1235" s="175">
        <f>IFERROR(ABS(E1235-'02_대상물건입력'!B11)/'02_대상물건입력'!B11,"")</f>
        <v/>
      </c>
      <c r="S1235" s="152">
        <f>IFERROR(ABS(J1235-'02_대상물건입력'!B10),"")</f>
        <v/>
      </c>
      <c r="T1235" s="152">
        <f>IFERROR(ABS('01_설정'!B4-F1235),"")</f>
        <v/>
      </c>
      <c r="U1235" s="152">
        <f>IFERROR(ABS(K1235-YEAR('02_대상물건입력'!B14)),"")</f>
        <v/>
      </c>
      <c r="V1235" s="152">
        <f>IF(B1235="","",IF(AND(E1235&gt;0,F1235&gt;0,H1235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1235=1,TRUE()),R1235&lt;='01_설정'!B5,S1235&lt;='01_설정'!B6,T1235&lt;='01_설정'!B7,U1235&lt;='01_설정'!B8),"Y",""))</f>
        <v/>
      </c>
      <c r="W1235" s="172">
        <f>IF(V1235&lt;&gt;"Y","",MAX(0,(1-R1235/'01_설정'!B5))*'01_설정'!B14+MAX(0,(1-S1235/'01_설정'!B6))*'01_설정'!B15+MAX(0,(1-T1235/'01_설정'!B7))*'01_설정'!B16+MAX(0,(1-U1235/'01_설정'!B8))*'01_설정'!B17+O1235*'01_설정'!B11+Q1235*'01_설정'!B12+P1235*'01_설정'!B13+IF(Z1235="",0,Z1235))</f>
        <v/>
      </c>
      <c r="X1235" s="152">
        <f>IF(W1235="","",1+COUNTIFS($W$4:$W$3003,"&gt;"&amp;W1235)+COUNTIFS($W$4:W1235,W1235)-1)</f>
        <v/>
      </c>
      <c r="Y1235" s="175">
        <f>IF(OR(I1235="",'02_대상물건입력'!B19="",'02_대상물건입력'!B19&lt;=0),"",ABS(I1235-'02_대상물건입력'!B19)/'02_대상물건입력'!B19)</f>
        <v/>
      </c>
      <c r="Z1235" s="172">
        <f>IF(OR(Y1235="",'01_설정'!B31="",'01_설정'!B31&lt;=0,'01_설정'!B32="",'01_설정'!B32&lt;=0),"",MAX(0,(1-Y1235/'01_설정'!B32))*'01_설정'!B31)</f>
        <v/>
      </c>
    </row>
    <row r="1236" ht="17.25" customHeight="1">
      <c r="A1236" s="152">
        <f>IF(INDEX('04A_국토부원자료'!$A:$A,ROW()+1)="","",ROW()-3)</f>
        <v/>
      </c>
      <c r="B1236" s="48">
        <f>IFERROR(INDEX('04A_국토부원자료'!$A:$T,ROW()+1,MATCH("시군구",'04A_국토부원자료'!$A$4:$T$4,0)),"")</f>
        <v/>
      </c>
      <c r="C1236" s="48">
        <f>IF(B1236="","",IFERROR(INDEX('04A_국토부원자료'!$A:$T,ROW()+1,MATCH("번지",'04A_국토부원자료'!$A$4:$T$4,0)),""))</f>
        <v/>
      </c>
      <c r="D1236" s="48">
        <f>IF(B1236="","",IF(Q1236=1,'02_대상물건입력'!$B$8,IFERROR(INDEX('04A_국토부원자료'!$A:$T,ROW()+1,MATCH("단지명",'04A_국토부원자료'!$A$4:$T$4,0)),"")))</f>
        <v/>
      </c>
      <c r="E1236" s="172">
        <f>IFERROR(VALUE(SUBSTITUTE(INDEX('04A_국토부원자료'!$A:$T,ROW()+1,MATCH("전용면적(㎡)",'04A_국토부원자료'!$A$4:$T$4,0)),",","")),"")</f>
        <v/>
      </c>
      <c r="F12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36" s="51">
        <f>IFERROR(VALUE(SUBSTITUTE(INDEX('04A_국토부원자료'!$A:$T,ROW()+1,MATCH("거래금액(만원)",'04A_국토부원자료'!$A$4:$T$4,0)),",","")),"")</f>
        <v/>
      </c>
      <c r="H1236" s="174">
        <f>IF(G1236="","",G1236*10000)</f>
        <v/>
      </c>
      <c r="I1236" s="174">
        <f>IFERROR(IF(AND(H1236&gt;0,E1236&gt;0),H1236/E1236,""),"")</f>
        <v/>
      </c>
      <c r="J1236" s="152">
        <f>IFERROR(VALUE(SUBSTITUTE(INDEX('04A_국토부원자료'!$A:$T,ROW()+1,MATCH("층",'04A_국토부원자료'!$A$4:$T$4,0)),",","")),"")</f>
        <v/>
      </c>
      <c r="K1236" s="152">
        <f>IFERROR(VALUE(SUBSTITUTE(INDEX('04A_국토부원자료'!$A:$T,ROW()+1,MATCH("건축년도",'04A_국토부원자료'!$A$4:$T$4,0)),",","")),"")</f>
        <v/>
      </c>
      <c r="L1236" s="176">
        <f>IFERROR(INDEX('04A_국토부원자료'!$A:$T,ROW()+1,MATCH("도로명",'04A_국토부원자료'!$A$4:$T$4,0)),"")</f>
        <v/>
      </c>
      <c r="M1236" s="48">
        <f>IFERROR(INDEX('04A_국토부원자료'!$A:$T,ROW()+1,MATCH("거래유형",'04A_국토부원자료'!$A$4:$T$4,0)),"")</f>
        <v/>
      </c>
      <c r="N1236" s="152">
        <f>IF(B1236="","",IF('02_대상물건입력'!B5="",1,IF(ISNUMBER(SEARCH('02_대상물건입력'!B5,B1236)),1,0)))</f>
        <v/>
      </c>
      <c r="O1236" s="152">
        <f>IF(B1236="","",IF('02_대상물건입력'!B6="",1,IF(ISNUMBER(SEARCH('02_대상물건입력'!B6,B1236)),1,0)))</f>
        <v/>
      </c>
      <c r="P1236" s="152">
        <f>IF(L1236="","",IF('02_대상물건입력'!B15="",0,IF(ISNUMBER(SEARCH('02_대상물건입력'!B15,L1236)),1,0)))</f>
        <v/>
      </c>
      <c r="Q1236" s="152">
        <f>IF(OR(C1236="",L1236=""),0,IF(AND(TRIM(C1236)=TRIM(RIGHT(SUBSTITUTE(TRIM('02_대상물건입력'!$B$7)," ",REPT(" ",99)),99)),IF('02_대상물건입력'!B15="",TRUE(),ISNUMBER(SEARCH('02_대상물건입력'!B15,L1236)))),1,0))</f>
        <v/>
      </c>
      <c r="R1236" s="175">
        <f>IFERROR(ABS(E1236-'02_대상물건입력'!B11)/'02_대상물건입력'!B11,"")</f>
        <v/>
      </c>
      <c r="S1236" s="152">
        <f>IFERROR(ABS(J1236-'02_대상물건입력'!B10),"")</f>
        <v/>
      </c>
      <c r="T1236" s="152">
        <f>IFERROR(ABS('01_설정'!B4-F1236),"")</f>
        <v/>
      </c>
      <c r="U1236" s="152">
        <f>IFERROR(ABS(K1236-YEAR('02_대상물건입력'!B14)),"")</f>
        <v/>
      </c>
      <c r="V1236" s="152">
        <f>IF(B1236="","",IF(AND(E1236&gt;0,F1236&gt;0,H1236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1236=1,TRUE()),R1236&lt;='01_설정'!B5,S1236&lt;='01_설정'!B6,T1236&lt;='01_설정'!B7,U1236&lt;='01_설정'!B8),"Y",""))</f>
        <v/>
      </c>
      <c r="W1236" s="172">
        <f>IF(V1236&lt;&gt;"Y","",MAX(0,(1-R1236/'01_설정'!B5))*'01_설정'!B14+MAX(0,(1-S1236/'01_설정'!B6))*'01_설정'!B15+MAX(0,(1-T1236/'01_설정'!B7))*'01_설정'!B16+MAX(0,(1-U1236/'01_설정'!B8))*'01_설정'!B17+O1236*'01_설정'!B11+Q1236*'01_설정'!B12+P1236*'01_설정'!B13+IF(Z1236="",0,Z1236))</f>
        <v/>
      </c>
      <c r="X1236" s="152">
        <f>IF(W1236="","",1+COUNTIFS($W$4:$W$3003,"&gt;"&amp;W1236)+COUNTIFS($W$4:W1236,W1236)-1)</f>
        <v/>
      </c>
      <c r="Y1236" s="175">
        <f>IF(OR(I1236="",'02_대상물건입력'!B19="",'02_대상물건입력'!B19&lt;=0),"",ABS(I1236-'02_대상물건입력'!B19)/'02_대상물건입력'!B19)</f>
        <v/>
      </c>
      <c r="Z1236" s="172">
        <f>IF(OR(Y1236="",'01_설정'!B31="",'01_설정'!B31&lt;=0,'01_설정'!B32="",'01_설정'!B32&lt;=0),"",MAX(0,(1-Y1236/'01_설정'!B32))*'01_설정'!B31)</f>
        <v/>
      </c>
    </row>
    <row r="1237" ht="17.25" customHeight="1">
      <c r="A1237" s="152">
        <f>IF(INDEX('04A_국토부원자료'!$A:$A,ROW()+1)="","",ROW()-3)</f>
        <v/>
      </c>
      <c r="B1237" s="48">
        <f>IFERROR(INDEX('04A_국토부원자료'!$A:$T,ROW()+1,MATCH("시군구",'04A_국토부원자료'!$A$4:$T$4,0)),"")</f>
        <v/>
      </c>
      <c r="C1237" s="48">
        <f>IF(B1237="","",IFERROR(INDEX('04A_국토부원자료'!$A:$T,ROW()+1,MATCH("번지",'04A_국토부원자료'!$A$4:$T$4,0)),""))</f>
        <v/>
      </c>
      <c r="D1237" s="48">
        <f>IF(B1237="","",IF(Q1237=1,'02_대상물건입력'!$B$8,IFERROR(INDEX('04A_국토부원자료'!$A:$T,ROW()+1,MATCH("단지명",'04A_국토부원자료'!$A$4:$T$4,0)),"")))</f>
        <v/>
      </c>
      <c r="E1237" s="172">
        <f>IFERROR(VALUE(SUBSTITUTE(INDEX('04A_국토부원자료'!$A:$T,ROW()+1,MATCH("전용면적(㎡)",'04A_국토부원자료'!$A$4:$T$4,0)),",","")),"")</f>
        <v/>
      </c>
      <c r="F12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37" s="51">
        <f>IFERROR(VALUE(SUBSTITUTE(INDEX('04A_국토부원자료'!$A:$T,ROW()+1,MATCH("거래금액(만원)",'04A_국토부원자료'!$A$4:$T$4,0)),",","")),"")</f>
        <v/>
      </c>
      <c r="H1237" s="174">
        <f>IF(G1237="","",G1237*10000)</f>
        <v/>
      </c>
      <c r="I1237" s="174">
        <f>IFERROR(IF(AND(H1237&gt;0,E1237&gt;0),H1237/E1237,""),"")</f>
        <v/>
      </c>
      <c r="J1237" s="152">
        <f>IFERROR(VALUE(SUBSTITUTE(INDEX('04A_국토부원자료'!$A:$T,ROW()+1,MATCH("층",'04A_국토부원자료'!$A$4:$T$4,0)),",","")),"")</f>
        <v/>
      </c>
      <c r="K1237" s="152">
        <f>IFERROR(VALUE(SUBSTITUTE(INDEX('04A_국토부원자료'!$A:$T,ROW()+1,MATCH("건축년도",'04A_국토부원자료'!$A$4:$T$4,0)),",","")),"")</f>
        <v/>
      </c>
      <c r="L1237" s="176">
        <f>IFERROR(INDEX('04A_국토부원자료'!$A:$T,ROW()+1,MATCH("도로명",'04A_국토부원자료'!$A$4:$T$4,0)),"")</f>
        <v/>
      </c>
      <c r="M1237" s="48">
        <f>IFERROR(INDEX('04A_국토부원자료'!$A:$T,ROW()+1,MATCH("거래유형",'04A_국토부원자료'!$A$4:$T$4,0)),"")</f>
        <v/>
      </c>
      <c r="N1237" s="152">
        <f>IF(B1237="","",IF('02_대상물건입력'!B5="",1,IF(ISNUMBER(SEARCH('02_대상물건입력'!B5,B1237)),1,0)))</f>
        <v/>
      </c>
      <c r="O1237" s="152">
        <f>IF(B1237="","",IF('02_대상물건입력'!B6="",1,IF(ISNUMBER(SEARCH('02_대상물건입력'!B6,B1237)),1,0)))</f>
        <v/>
      </c>
      <c r="P1237" s="152">
        <f>IF(L1237="","",IF('02_대상물건입력'!B15="",0,IF(ISNUMBER(SEARCH('02_대상물건입력'!B15,L1237)),1,0)))</f>
        <v/>
      </c>
      <c r="Q1237" s="152">
        <f>IF(OR(C1237="",L1237=""),0,IF(AND(TRIM(C1237)=TRIM(RIGHT(SUBSTITUTE(TRIM('02_대상물건입력'!$B$7)," ",REPT(" ",99)),99)),IF('02_대상물건입력'!B15="",TRUE(),ISNUMBER(SEARCH('02_대상물건입력'!B15,L1237)))),1,0))</f>
        <v/>
      </c>
      <c r="R1237" s="175">
        <f>IFERROR(ABS(E1237-'02_대상물건입력'!B11)/'02_대상물건입력'!B11,"")</f>
        <v/>
      </c>
      <c r="S1237" s="152">
        <f>IFERROR(ABS(J1237-'02_대상물건입력'!B10),"")</f>
        <v/>
      </c>
      <c r="T1237" s="152">
        <f>IFERROR(ABS('01_설정'!B4-F1237),"")</f>
        <v/>
      </c>
      <c r="U1237" s="152">
        <f>IFERROR(ABS(K1237-YEAR('02_대상물건입력'!B14)),"")</f>
        <v/>
      </c>
      <c r="V1237" s="152">
        <f>IF(B1237="","",IF(AND(E1237&gt;0,F1237&gt;0,H1237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1237=1,TRUE()),R1237&lt;='01_설정'!B5,S1237&lt;='01_설정'!B6,T1237&lt;='01_설정'!B7,U1237&lt;='01_설정'!B8),"Y",""))</f>
        <v/>
      </c>
      <c r="W1237" s="172">
        <f>IF(V1237&lt;&gt;"Y","",MAX(0,(1-R1237/'01_설정'!B5))*'01_설정'!B14+MAX(0,(1-S1237/'01_설정'!B6))*'01_설정'!B15+MAX(0,(1-T1237/'01_설정'!B7))*'01_설정'!B16+MAX(0,(1-U1237/'01_설정'!B8))*'01_설정'!B17+O1237*'01_설정'!B11+Q1237*'01_설정'!B12+P1237*'01_설정'!B13+IF(Z1237="",0,Z1237))</f>
        <v/>
      </c>
      <c r="X1237" s="152">
        <f>IF(W1237="","",1+COUNTIFS($W$4:$W$3003,"&gt;"&amp;W1237)+COUNTIFS($W$4:W1237,W1237)-1)</f>
        <v/>
      </c>
      <c r="Y1237" s="175">
        <f>IF(OR(I1237="",'02_대상물건입력'!B19="",'02_대상물건입력'!B19&lt;=0),"",ABS(I1237-'02_대상물건입력'!B19)/'02_대상물건입력'!B19)</f>
        <v/>
      </c>
      <c r="Z1237" s="172">
        <f>IF(OR(Y1237="",'01_설정'!B31="",'01_설정'!B31&lt;=0,'01_설정'!B32="",'01_설정'!B32&lt;=0),"",MAX(0,(1-Y1237/'01_설정'!B32))*'01_설정'!B31)</f>
        <v/>
      </c>
    </row>
    <row r="1238" ht="17.25" customHeight="1">
      <c r="A1238" s="152">
        <f>IF(INDEX('04A_국토부원자료'!$A:$A,ROW()+1)="","",ROW()-3)</f>
        <v/>
      </c>
      <c r="B1238" s="48">
        <f>IFERROR(INDEX('04A_국토부원자료'!$A:$T,ROW()+1,MATCH("시군구",'04A_국토부원자료'!$A$4:$T$4,0)),"")</f>
        <v/>
      </c>
      <c r="C1238" s="48">
        <f>IF(B1238="","",IFERROR(INDEX('04A_국토부원자료'!$A:$T,ROW()+1,MATCH("번지",'04A_국토부원자료'!$A$4:$T$4,0)),""))</f>
        <v/>
      </c>
      <c r="D1238" s="48">
        <f>IF(B1238="","",IF(Q1238=1,'02_대상물건입력'!$B$8,IFERROR(INDEX('04A_국토부원자료'!$A:$T,ROW()+1,MATCH("단지명",'04A_국토부원자료'!$A$4:$T$4,0)),"")))</f>
        <v/>
      </c>
      <c r="E1238" s="172">
        <f>IFERROR(VALUE(SUBSTITUTE(INDEX('04A_국토부원자료'!$A:$T,ROW()+1,MATCH("전용면적(㎡)",'04A_국토부원자료'!$A$4:$T$4,0)),",","")),"")</f>
        <v/>
      </c>
      <c r="F12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38" s="51">
        <f>IFERROR(VALUE(SUBSTITUTE(INDEX('04A_국토부원자료'!$A:$T,ROW()+1,MATCH("거래금액(만원)",'04A_국토부원자료'!$A$4:$T$4,0)),",","")),"")</f>
        <v/>
      </c>
      <c r="H1238" s="174">
        <f>IF(G1238="","",G1238*10000)</f>
        <v/>
      </c>
      <c r="I1238" s="174">
        <f>IFERROR(IF(AND(H1238&gt;0,E1238&gt;0),H1238/E1238,""),"")</f>
        <v/>
      </c>
      <c r="J1238" s="152">
        <f>IFERROR(VALUE(SUBSTITUTE(INDEX('04A_국토부원자료'!$A:$T,ROW()+1,MATCH("층",'04A_국토부원자료'!$A$4:$T$4,0)),",","")),"")</f>
        <v/>
      </c>
      <c r="K1238" s="152">
        <f>IFERROR(VALUE(SUBSTITUTE(INDEX('04A_국토부원자료'!$A:$T,ROW()+1,MATCH("건축년도",'04A_국토부원자료'!$A$4:$T$4,0)),",","")),"")</f>
        <v/>
      </c>
      <c r="L1238" s="176">
        <f>IFERROR(INDEX('04A_국토부원자료'!$A:$T,ROW()+1,MATCH("도로명",'04A_국토부원자료'!$A$4:$T$4,0)),"")</f>
        <v/>
      </c>
      <c r="M1238" s="48">
        <f>IFERROR(INDEX('04A_국토부원자료'!$A:$T,ROW()+1,MATCH("거래유형",'04A_국토부원자료'!$A$4:$T$4,0)),"")</f>
        <v/>
      </c>
      <c r="N1238" s="152">
        <f>IF(B1238="","",IF('02_대상물건입력'!B5="",1,IF(ISNUMBER(SEARCH('02_대상물건입력'!B5,B1238)),1,0)))</f>
        <v/>
      </c>
      <c r="O1238" s="152">
        <f>IF(B1238="","",IF('02_대상물건입력'!B6="",1,IF(ISNUMBER(SEARCH('02_대상물건입력'!B6,B1238)),1,0)))</f>
        <v/>
      </c>
      <c r="P1238" s="152">
        <f>IF(L1238="","",IF('02_대상물건입력'!B15="",0,IF(ISNUMBER(SEARCH('02_대상물건입력'!B15,L1238)),1,0)))</f>
        <v/>
      </c>
      <c r="Q1238" s="152">
        <f>IF(OR(C1238="",L1238=""),0,IF(AND(TRIM(C1238)=TRIM(RIGHT(SUBSTITUTE(TRIM('02_대상물건입력'!$B$7)," ",REPT(" ",99)),99)),IF('02_대상물건입력'!B15="",TRUE(),ISNUMBER(SEARCH('02_대상물건입력'!B15,L1238)))),1,0))</f>
        <v/>
      </c>
      <c r="R1238" s="175">
        <f>IFERROR(ABS(E1238-'02_대상물건입력'!B11)/'02_대상물건입력'!B11,"")</f>
        <v/>
      </c>
      <c r="S1238" s="152">
        <f>IFERROR(ABS(J1238-'02_대상물건입력'!B10),"")</f>
        <v/>
      </c>
      <c r="T1238" s="152">
        <f>IFERROR(ABS('01_설정'!B4-F1238),"")</f>
        <v/>
      </c>
      <c r="U1238" s="152">
        <f>IFERROR(ABS(K1238-YEAR('02_대상물건입력'!B14)),"")</f>
        <v/>
      </c>
      <c r="V1238" s="152">
        <f>IF(B1238="","",IF(AND(E1238&gt;0,F1238&gt;0,H1238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1238=1,TRUE()),R1238&lt;='01_설정'!B5,S1238&lt;='01_설정'!B6,T1238&lt;='01_설정'!B7,U1238&lt;='01_설정'!B8),"Y",""))</f>
        <v/>
      </c>
      <c r="W1238" s="172">
        <f>IF(V1238&lt;&gt;"Y","",MAX(0,(1-R1238/'01_설정'!B5))*'01_설정'!B14+MAX(0,(1-S1238/'01_설정'!B6))*'01_설정'!B15+MAX(0,(1-T1238/'01_설정'!B7))*'01_설정'!B16+MAX(0,(1-U1238/'01_설정'!B8))*'01_설정'!B17+O1238*'01_설정'!B11+Q1238*'01_설정'!B12+P1238*'01_설정'!B13+IF(Z1238="",0,Z1238))</f>
        <v/>
      </c>
      <c r="X1238" s="152">
        <f>IF(W1238="","",1+COUNTIFS($W$4:$W$3003,"&gt;"&amp;W1238)+COUNTIFS($W$4:W1238,W1238)-1)</f>
        <v/>
      </c>
      <c r="Y1238" s="175">
        <f>IF(OR(I1238="",'02_대상물건입력'!B19="",'02_대상물건입력'!B19&lt;=0),"",ABS(I1238-'02_대상물건입력'!B19)/'02_대상물건입력'!B19)</f>
        <v/>
      </c>
      <c r="Z1238" s="172">
        <f>IF(OR(Y1238="",'01_설정'!B31="",'01_설정'!B31&lt;=0,'01_설정'!B32="",'01_설정'!B32&lt;=0),"",MAX(0,(1-Y1238/'01_설정'!B32))*'01_설정'!B31)</f>
        <v/>
      </c>
    </row>
    <row r="1239" ht="17.25" customHeight="1">
      <c r="A1239" s="152">
        <f>IF(INDEX('04A_국토부원자료'!$A:$A,ROW()+1)="","",ROW()-3)</f>
        <v/>
      </c>
      <c r="B1239" s="48">
        <f>IFERROR(INDEX('04A_국토부원자료'!$A:$T,ROW()+1,MATCH("시군구",'04A_국토부원자료'!$A$4:$T$4,0)),"")</f>
        <v/>
      </c>
      <c r="C1239" s="48">
        <f>IF(B1239="","",IFERROR(INDEX('04A_국토부원자료'!$A:$T,ROW()+1,MATCH("번지",'04A_국토부원자료'!$A$4:$T$4,0)),""))</f>
        <v/>
      </c>
      <c r="D1239" s="48">
        <f>IF(B1239="","",IF(Q1239=1,'02_대상물건입력'!$B$8,IFERROR(INDEX('04A_국토부원자료'!$A:$T,ROW()+1,MATCH("단지명",'04A_국토부원자료'!$A$4:$T$4,0)),"")))</f>
        <v/>
      </c>
      <c r="E1239" s="172">
        <f>IFERROR(VALUE(SUBSTITUTE(INDEX('04A_국토부원자료'!$A:$T,ROW()+1,MATCH("전용면적(㎡)",'04A_국토부원자료'!$A$4:$T$4,0)),",","")),"")</f>
        <v/>
      </c>
      <c r="F12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39" s="51">
        <f>IFERROR(VALUE(SUBSTITUTE(INDEX('04A_국토부원자료'!$A:$T,ROW()+1,MATCH("거래금액(만원)",'04A_국토부원자료'!$A$4:$T$4,0)),",","")),"")</f>
        <v/>
      </c>
      <c r="H1239" s="174">
        <f>IF(G1239="","",G1239*10000)</f>
        <v/>
      </c>
      <c r="I1239" s="174">
        <f>IFERROR(IF(AND(H1239&gt;0,E1239&gt;0),H1239/E1239,""),"")</f>
        <v/>
      </c>
      <c r="J1239" s="152">
        <f>IFERROR(VALUE(SUBSTITUTE(INDEX('04A_국토부원자료'!$A:$T,ROW()+1,MATCH("층",'04A_국토부원자료'!$A$4:$T$4,0)),",","")),"")</f>
        <v/>
      </c>
      <c r="K1239" s="152">
        <f>IFERROR(VALUE(SUBSTITUTE(INDEX('04A_국토부원자료'!$A:$T,ROW()+1,MATCH("건축년도",'04A_국토부원자료'!$A$4:$T$4,0)),",","")),"")</f>
        <v/>
      </c>
      <c r="L1239" s="176">
        <f>IFERROR(INDEX('04A_국토부원자료'!$A:$T,ROW()+1,MATCH("도로명",'04A_국토부원자료'!$A$4:$T$4,0)),"")</f>
        <v/>
      </c>
      <c r="M1239" s="48">
        <f>IFERROR(INDEX('04A_국토부원자료'!$A:$T,ROW()+1,MATCH("거래유형",'04A_국토부원자료'!$A$4:$T$4,0)),"")</f>
        <v/>
      </c>
      <c r="N1239" s="152">
        <f>IF(B1239="","",IF('02_대상물건입력'!B5="",1,IF(ISNUMBER(SEARCH('02_대상물건입력'!B5,B1239)),1,0)))</f>
        <v/>
      </c>
      <c r="O1239" s="152">
        <f>IF(B1239="","",IF('02_대상물건입력'!B6="",1,IF(ISNUMBER(SEARCH('02_대상물건입력'!B6,B1239)),1,0)))</f>
        <v/>
      </c>
      <c r="P1239" s="152">
        <f>IF(L1239="","",IF('02_대상물건입력'!B15="",0,IF(ISNUMBER(SEARCH('02_대상물건입력'!B15,L1239)),1,0)))</f>
        <v/>
      </c>
      <c r="Q1239" s="152">
        <f>IF(OR(C1239="",L1239=""),0,IF(AND(TRIM(C1239)=TRIM(RIGHT(SUBSTITUTE(TRIM('02_대상물건입력'!$B$7)," ",REPT(" ",99)),99)),IF('02_대상물건입력'!B15="",TRUE(),ISNUMBER(SEARCH('02_대상물건입력'!B15,L1239)))),1,0))</f>
        <v/>
      </c>
      <c r="R1239" s="175">
        <f>IFERROR(ABS(E1239-'02_대상물건입력'!B11)/'02_대상물건입력'!B11,"")</f>
        <v/>
      </c>
      <c r="S1239" s="152">
        <f>IFERROR(ABS(J1239-'02_대상물건입력'!B10),"")</f>
        <v/>
      </c>
      <c r="T1239" s="152">
        <f>IFERROR(ABS('01_설정'!B4-F1239),"")</f>
        <v/>
      </c>
      <c r="U1239" s="152">
        <f>IFERROR(ABS(K1239-YEAR('02_대상물건입력'!B14)),"")</f>
        <v/>
      </c>
      <c r="V1239" s="152">
        <f>IF(B1239="","",IF(AND(E1239&gt;0,F1239&gt;0,H1239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1239=1,TRUE()),R1239&lt;='01_설정'!B5,S1239&lt;='01_설정'!B6,T1239&lt;='01_설정'!B7,U1239&lt;='01_설정'!B8),"Y",""))</f>
        <v/>
      </c>
      <c r="W1239" s="172">
        <f>IF(V1239&lt;&gt;"Y","",MAX(0,(1-R1239/'01_설정'!B5))*'01_설정'!B14+MAX(0,(1-S1239/'01_설정'!B6))*'01_설정'!B15+MAX(0,(1-T1239/'01_설정'!B7))*'01_설정'!B16+MAX(0,(1-U1239/'01_설정'!B8))*'01_설정'!B17+O1239*'01_설정'!B11+Q1239*'01_설정'!B12+P1239*'01_설정'!B13+IF(Z1239="",0,Z1239))</f>
        <v/>
      </c>
      <c r="X1239" s="152">
        <f>IF(W1239="","",1+COUNTIFS($W$4:$W$3003,"&gt;"&amp;W1239)+COUNTIFS($W$4:W1239,W1239)-1)</f>
        <v/>
      </c>
      <c r="Y1239" s="175">
        <f>IF(OR(I1239="",'02_대상물건입력'!B19="",'02_대상물건입력'!B19&lt;=0),"",ABS(I1239-'02_대상물건입력'!B19)/'02_대상물건입력'!B19)</f>
        <v/>
      </c>
      <c r="Z1239" s="172">
        <f>IF(OR(Y1239="",'01_설정'!B31="",'01_설정'!B31&lt;=0,'01_설정'!B32="",'01_설정'!B32&lt;=0),"",MAX(0,(1-Y1239/'01_설정'!B32))*'01_설정'!B31)</f>
        <v/>
      </c>
    </row>
    <row r="1240" ht="17.25" customHeight="1">
      <c r="A1240" s="152">
        <f>IF(INDEX('04A_국토부원자료'!$A:$A,ROW()+1)="","",ROW()-3)</f>
        <v/>
      </c>
      <c r="B1240" s="48">
        <f>IFERROR(INDEX('04A_국토부원자료'!$A:$T,ROW()+1,MATCH("시군구",'04A_국토부원자료'!$A$4:$T$4,0)),"")</f>
        <v/>
      </c>
      <c r="C1240" s="48">
        <f>IF(B1240="","",IFERROR(INDEX('04A_국토부원자료'!$A:$T,ROW()+1,MATCH("번지",'04A_국토부원자료'!$A$4:$T$4,0)),""))</f>
        <v/>
      </c>
      <c r="D1240" s="48">
        <f>IF(B1240="","",IF(Q1240=1,'02_대상물건입력'!$B$8,IFERROR(INDEX('04A_국토부원자료'!$A:$T,ROW()+1,MATCH("단지명",'04A_국토부원자료'!$A$4:$T$4,0)),"")))</f>
        <v/>
      </c>
      <c r="E1240" s="172">
        <f>IFERROR(VALUE(SUBSTITUTE(INDEX('04A_국토부원자료'!$A:$T,ROW()+1,MATCH("전용면적(㎡)",'04A_국토부원자료'!$A$4:$T$4,0)),",","")),"")</f>
        <v/>
      </c>
      <c r="F12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40" s="51">
        <f>IFERROR(VALUE(SUBSTITUTE(INDEX('04A_국토부원자료'!$A:$T,ROW()+1,MATCH("거래금액(만원)",'04A_국토부원자료'!$A$4:$T$4,0)),",","")),"")</f>
        <v/>
      </c>
      <c r="H1240" s="174">
        <f>IF(G1240="","",G1240*10000)</f>
        <v/>
      </c>
      <c r="I1240" s="174">
        <f>IFERROR(IF(AND(H1240&gt;0,E1240&gt;0),H1240/E1240,""),"")</f>
        <v/>
      </c>
      <c r="J1240" s="152">
        <f>IFERROR(VALUE(SUBSTITUTE(INDEX('04A_국토부원자료'!$A:$T,ROW()+1,MATCH("층",'04A_국토부원자료'!$A$4:$T$4,0)),",","")),"")</f>
        <v/>
      </c>
      <c r="K1240" s="152">
        <f>IFERROR(VALUE(SUBSTITUTE(INDEX('04A_국토부원자료'!$A:$T,ROW()+1,MATCH("건축년도",'04A_국토부원자료'!$A$4:$T$4,0)),",","")),"")</f>
        <v/>
      </c>
      <c r="L1240" s="176">
        <f>IFERROR(INDEX('04A_국토부원자료'!$A:$T,ROW()+1,MATCH("도로명",'04A_국토부원자료'!$A$4:$T$4,0)),"")</f>
        <v/>
      </c>
      <c r="M1240" s="48">
        <f>IFERROR(INDEX('04A_국토부원자료'!$A:$T,ROW()+1,MATCH("거래유형",'04A_국토부원자료'!$A$4:$T$4,0)),"")</f>
        <v/>
      </c>
      <c r="N1240" s="152">
        <f>IF(B1240="","",IF('02_대상물건입력'!B5="",1,IF(ISNUMBER(SEARCH('02_대상물건입력'!B5,B1240)),1,0)))</f>
        <v/>
      </c>
      <c r="O1240" s="152">
        <f>IF(B1240="","",IF('02_대상물건입력'!B6="",1,IF(ISNUMBER(SEARCH('02_대상물건입력'!B6,B1240)),1,0)))</f>
        <v/>
      </c>
      <c r="P1240" s="152">
        <f>IF(L1240="","",IF('02_대상물건입력'!B15="",0,IF(ISNUMBER(SEARCH('02_대상물건입력'!B15,L1240)),1,0)))</f>
        <v/>
      </c>
      <c r="Q1240" s="152">
        <f>IF(OR(C1240="",L1240=""),0,IF(AND(TRIM(C1240)=TRIM(RIGHT(SUBSTITUTE(TRIM('02_대상물건입력'!$B$7)," ",REPT(" ",99)),99)),IF('02_대상물건입력'!B15="",TRUE(),ISNUMBER(SEARCH('02_대상물건입력'!B15,L1240)))),1,0))</f>
        <v/>
      </c>
      <c r="R1240" s="175">
        <f>IFERROR(ABS(E1240-'02_대상물건입력'!B11)/'02_대상물건입력'!B11,"")</f>
        <v/>
      </c>
      <c r="S1240" s="152">
        <f>IFERROR(ABS(J1240-'02_대상물건입력'!B10),"")</f>
        <v/>
      </c>
      <c r="T1240" s="152">
        <f>IFERROR(ABS('01_설정'!B4-F1240),"")</f>
        <v/>
      </c>
      <c r="U1240" s="152">
        <f>IFERROR(ABS(K1240-YEAR('02_대상물건입력'!B14)),"")</f>
        <v/>
      </c>
      <c r="V1240" s="152">
        <f>IF(B1240="","",IF(AND(E1240&gt;0,F1240&gt;0,H1240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1240=1,TRUE()),R1240&lt;='01_설정'!B5,S1240&lt;='01_설정'!B6,T1240&lt;='01_설정'!B7,U1240&lt;='01_설정'!B8),"Y",""))</f>
        <v/>
      </c>
      <c r="W1240" s="172">
        <f>IF(V1240&lt;&gt;"Y","",MAX(0,(1-R1240/'01_설정'!B5))*'01_설정'!B14+MAX(0,(1-S1240/'01_설정'!B6))*'01_설정'!B15+MAX(0,(1-T1240/'01_설정'!B7))*'01_설정'!B16+MAX(0,(1-U1240/'01_설정'!B8))*'01_설정'!B17+O1240*'01_설정'!B11+Q1240*'01_설정'!B12+P1240*'01_설정'!B13+IF(Z1240="",0,Z1240))</f>
        <v/>
      </c>
      <c r="X1240" s="152">
        <f>IF(W1240="","",1+COUNTIFS($W$4:$W$3003,"&gt;"&amp;W1240)+COUNTIFS($W$4:W1240,W1240)-1)</f>
        <v/>
      </c>
      <c r="Y1240" s="175">
        <f>IF(OR(I1240="",'02_대상물건입력'!B19="",'02_대상물건입력'!B19&lt;=0),"",ABS(I1240-'02_대상물건입력'!B19)/'02_대상물건입력'!B19)</f>
        <v/>
      </c>
      <c r="Z1240" s="172">
        <f>IF(OR(Y1240="",'01_설정'!B31="",'01_설정'!B31&lt;=0,'01_설정'!B32="",'01_설정'!B32&lt;=0),"",MAX(0,(1-Y1240/'01_설정'!B32))*'01_설정'!B31)</f>
        <v/>
      </c>
    </row>
    <row r="1241" ht="17.25" customHeight="1">
      <c r="A1241" s="152">
        <f>IF(INDEX('04A_국토부원자료'!$A:$A,ROW()+1)="","",ROW()-3)</f>
        <v/>
      </c>
      <c r="B1241" s="48">
        <f>IFERROR(INDEX('04A_국토부원자료'!$A:$T,ROW()+1,MATCH("시군구",'04A_국토부원자료'!$A$4:$T$4,0)),"")</f>
        <v/>
      </c>
      <c r="C1241" s="48">
        <f>IF(B1241="","",IFERROR(INDEX('04A_국토부원자료'!$A:$T,ROW()+1,MATCH("번지",'04A_국토부원자료'!$A$4:$T$4,0)),""))</f>
        <v/>
      </c>
      <c r="D1241" s="48">
        <f>IF(B1241="","",IF(Q1241=1,'02_대상물건입력'!$B$8,IFERROR(INDEX('04A_국토부원자료'!$A:$T,ROW()+1,MATCH("단지명",'04A_국토부원자료'!$A$4:$T$4,0)),"")))</f>
        <v/>
      </c>
      <c r="E1241" s="172">
        <f>IFERROR(VALUE(SUBSTITUTE(INDEX('04A_국토부원자료'!$A:$T,ROW()+1,MATCH("전용면적(㎡)",'04A_국토부원자료'!$A$4:$T$4,0)),",","")),"")</f>
        <v/>
      </c>
      <c r="F12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41" s="51">
        <f>IFERROR(VALUE(SUBSTITUTE(INDEX('04A_국토부원자료'!$A:$T,ROW()+1,MATCH("거래금액(만원)",'04A_국토부원자료'!$A$4:$T$4,0)),",","")),"")</f>
        <v/>
      </c>
      <c r="H1241" s="174">
        <f>IF(G1241="","",G1241*10000)</f>
        <v/>
      </c>
      <c r="I1241" s="174">
        <f>IFERROR(IF(AND(H1241&gt;0,E1241&gt;0),H1241/E1241,""),"")</f>
        <v/>
      </c>
      <c r="J1241" s="152">
        <f>IFERROR(VALUE(SUBSTITUTE(INDEX('04A_국토부원자료'!$A:$T,ROW()+1,MATCH("층",'04A_국토부원자료'!$A$4:$T$4,0)),",","")),"")</f>
        <v/>
      </c>
      <c r="K1241" s="152">
        <f>IFERROR(VALUE(SUBSTITUTE(INDEX('04A_국토부원자료'!$A:$T,ROW()+1,MATCH("건축년도",'04A_국토부원자료'!$A$4:$T$4,0)),",","")),"")</f>
        <v/>
      </c>
      <c r="L1241" s="176">
        <f>IFERROR(INDEX('04A_국토부원자료'!$A:$T,ROW()+1,MATCH("도로명",'04A_국토부원자료'!$A$4:$T$4,0)),"")</f>
        <v/>
      </c>
      <c r="M1241" s="48">
        <f>IFERROR(INDEX('04A_국토부원자료'!$A:$T,ROW()+1,MATCH("거래유형",'04A_국토부원자료'!$A$4:$T$4,0)),"")</f>
        <v/>
      </c>
      <c r="N1241" s="152">
        <f>IF(B1241="","",IF('02_대상물건입력'!B5="",1,IF(ISNUMBER(SEARCH('02_대상물건입력'!B5,B1241)),1,0)))</f>
        <v/>
      </c>
      <c r="O1241" s="152">
        <f>IF(B1241="","",IF('02_대상물건입력'!B6="",1,IF(ISNUMBER(SEARCH('02_대상물건입력'!B6,B1241)),1,0)))</f>
        <v/>
      </c>
      <c r="P1241" s="152">
        <f>IF(L1241="","",IF('02_대상물건입력'!B15="",0,IF(ISNUMBER(SEARCH('02_대상물건입력'!B15,L1241)),1,0)))</f>
        <v/>
      </c>
      <c r="Q1241" s="152">
        <f>IF(OR(C1241="",L1241=""),0,IF(AND(TRIM(C1241)=TRIM(RIGHT(SUBSTITUTE(TRIM('02_대상물건입력'!$B$7)," ",REPT(" ",99)),99)),IF('02_대상물건입력'!B15="",TRUE(),ISNUMBER(SEARCH('02_대상물건입력'!B15,L1241)))),1,0))</f>
        <v/>
      </c>
      <c r="R1241" s="175">
        <f>IFERROR(ABS(E1241-'02_대상물건입력'!B11)/'02_대상물건입력'!B11,"")</f>
        <v/>
      </c>
      <c r="S1241" s="152">
        <f>IFERROR(ABS(J1241-'02_대상물건입력'!B10),"")</f>
        <v/>
      </c>
      <c r="T1241" s="152">
        <f>IFERROR(ABS('01_설정'!B4-F1241),"")</f>
        <v/>
      </c>
      <c r="U1241" s="152">
        <f>IFERROR(ABS(K1241-YEAR('02_대상물건입력'!B14)),"")</f>
        <v/>
      </c>
      <c r="V1241" s="152">
        <f>IF(B1241="","",IF(AND(E1241&gt;0,F1241&gt;0,H1241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1241=1,TRUE()),R1241&lt;='01_설정'!B5,S1241&lt;='01_설정'!B6,T1241&lt;='01_설정'!B7,U1241&lt;='01_설정'!B8),"Y",""))</f>
        <v/>
      </c>
      <c r="W1241" s="172">
        <f>IF(V1241&lt;&gt;"Y","",MAX(0,(1-R1241/'01_설정'!B5))*'01_설정'!B14+MAX(0,(1-S1241/'01_설정'!B6))*'01_설정'!B15+MAX(0,(1-T1241/'01_설정'!B7))*'01_설정'!B16+MAX(0,(1-U1241/'01_설정'!B8))*'01_설정'!B17+O1241*'01_설정'!B11+Q1241*'01_설정'!B12+P1241*'01_설정'!B13+IF(Z1241="",0,Z1241))</f>
        <v/>
      </c>
      <c r="X1241" s="152">
        <f>IF(W1241="","",1+COUNTIFS($W$4:$W$3003,"&gt;"&amp;W1241)+COUNTIFS($W$4:W1241,W1241)-1)</f>
        <v/>
      </c>
      <c r="Y1241" s="175">
        <f>IF(OR(I1241="",'02_대상물건입력'!B19="",'02_대상물건입력'!B19&lt;=0),"",ABS(I1241-'02_대상물건입력'!B19)/'02_대상물건입력'!B19)</f>
        <v/>
      </c>
      <c r="Z1241" s="172">
        <f>IF(OR(Y1241="",'01_설정'!B31="",'01_설정'!B31&lt;=0,'01_설정'!B32="",'01_설정'!B32&lt;=0),"",MAX(0,(1-Y1241/'01_설정'!B32))*'01_설정'!B31)</f>
        <v/>
      </c>
    </row>
    <row r="1242" ht="17.25" customHeight="1">
      <c r="A1242" s="152">
        <f>IF(INDEX('04A_국토부원자료'!$A:$A,ROW()+1)="","",ROW()-3)</f>
        <v/>
      </c>
      <c r="B1242" s="48">
        <f>IFERROR(INDEX('04A_국토부원자료'!$A:$T,ROW()+1,MATCH("시군구",'04A_국토부원자료'!$A$4:$T$4,0)),"")</f>
        <v/>
      </c>
      <c r="C1242" s="48">
        <f>IF(B1242="","",IFERROR(INDEX('04A_국토부원자료'!$A:$T,ROW()+1,MATCH("번지",'04A_국토부원자료'!$A$4:$T$4,0)),""))</f>
        <v/>
      </c>
      <c r="D1242" s="48">
        <f>IF(B1242="","",IF(Q1242=1,'02_대상물건입력'!$B$8,IFERROR(INDEX('04A_국토부원자료'!$A:$T,ROW()+1,MATCH("단지명",'04A_국토부원자료'!$A$4:$T$4,0)),"")))</f>
        <v/>
      </c>
      <c r="E1242" s="172">
        <f>IFERROR(VALUE(SUBSTITUTE(INDEX('04A_국토부원자료'!$A:$T,ROW()+1,MATCH("전용면적(㎡)",'04A_국토부원자료'!$A$4:$T$4,0)),",","")),"")</f>
        <v/>
      </c>
      <c r="F12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42" s="51">
        <f>IFERROR(VALUE(SUBSTITUTE(INDEX('04A_국토부원자료'!$A:$T,ROW()+1,MATCH("거래금액(만원)",'04A_국토부원자료'!$A$4:$T$4,0)),",","")),"")</f>
        <v/>
      </c>
      <c r="H1242" s="174">
        <f>IF(G1242="","",G1242*10000)</f>
        <v/>
      </c>
      <c r="I1242" s="174">
        <f>IFERROR(IF(AND(H1242&gt;0,E1242&gt;0),H1242/E1242,""),"")</f>
        <v/>
      </c>
      <c r="J1242" s="152">
        <f>IFERROR(VALUE(SUBSTITUTE(INDEX('04A_국토부원자료'!$A:$T,ROW()+1,MATCH("층",'04A_국토부원자료'!$A$4:$T$4,0)),",","")),"")</f>
        <v/>
      </c>
      <c r="K1242" s="152">
        <f>IFERROR(VALUE(SUBSTITUTE(INDEX('04A_국토부원자료'!$A:$T,ROW()+1,MATCH("건축년도",'04A_국토부원자료'!$A$4:$T$4,0)),",","")),"")</f>
        <v/>
      </c>
      <c r="L1242" s="176">
        <f>IFERROR(INDEX('04A_국토부원자료'!$A:$T,ROW()+1,MATCH("도로명",'04A_국토부원자료'!$A$4:$T$4,0)),"")</f>
        <v/>
      </c>
      <c r="M1242" s="48">
        <f>IFERROR(INDEX('04A_국토부원자료'!$A:$T,ROW()+1,MATCH("거래유형",'04A_국토부원자료'!$A$4:$T$4,0)),"")</f>
        <v/>
      </c>
      <c r="N1242" s="152">
        <f>IF(B1242="","",IF('02_대상물건입력'!B5="",1,IF(ISNUMBER(SEARCH('02_대상물건입력'!B5,B1242)),1,0)))</f>
        <v/>
      </c>
      <c r="O1242" s="152">
        <f>IF(B1242="","",IF('02_대상물건입력'!B6="",1,IF(ISNUMBER(SEARCH('02_대상물건입력'!B6,B1242)),1,0)))</f>
        <v/>
      </c>
      <c r="P1242" s="152">
        <f>IF(L1242="","",IF('02_대상물건입력'!B15="",0,IF(ISNUMBER(SEARCH('02_대상물건입력'!B15,L1242)),1,0)))</f>
        <v/>
      </c>
      <c r="Q1242" s="152">
        <f>IF(OR(C1242="",L1242=""),0,IF(AND(TRIM(C1242)=TRIM(RIGHT(SUBSTITUTE(TRIM('02_대상물건입력'!$B$7)," ",REPT(" ",99)),99)),IF('02_대상물건입력'!B15="",TRUE(),ISNUMBER(SEARCH('02_대상물건입력'!B15,L1242)))),1,0))</f>
        <v/>
      </c>
      <c r="R1242" s="175">
        <f>IFERROR(ABS(E1242-'02_대상물건입력'!B11)/'02_대상물건입력'!B11,"")</f>
        <v/>
      </c>
      <c r="S1242" s="152">
        <f>IFERROR(ABS(J1242-'02_대상물건입력'!B10),"")</f>
        <v/>
      </c>
      <c r="T1242" s="152">
        <f>IFERROR(ABS('01_설정'!B4-F1242),"")</f>
        <v/>
      </c>
      <c r="U1242" s="152">
        <f>IFERROR(ABS(K1242-YEAR('02_대상물건입력'!B14)),"")</f>
        <v/>
      </c>
      <c r="V1242" s="152">
        <f>IF(B1242="","",IF(AND(E1242&gt;0,F1242&gt;0,H1242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1242=1,TRUE()),R1242&lt;='01_설정'!B5,S1242&lt;='01_설정'!B6,T1242&lt;='01_설정'!B7,U1242&lt;='01_설정'!B8),"Y",""))</f>
        <v/>
      </c>
      <c r="W1242" s="172">
        <f>IF(V1242&lt;&gt;"Y","",MAX(0,(1-R1242/'01_설정'!B5))*'01_설정'!B14+MAX(0,(1-S1242/'01_설정'!B6))*'01_설정'!B15+MAX(0,(1-T1242/'01_설정'!B7))*'01_설정'!B16+MAX(0,(1-U1242/'01_설정'!B8))*'01_설정'!B17+O1242*'01_설정'!B11+Q1242*'01_설정'!B12+P1242*'01_설정'!B13+IF(Z1242="",0,Z1242))</f>
        <v/>
      </c>
      <c r="X1242" s="152">
        <f>IF(W1242="","",1+COUNTIFS($W$4:$W$3003,"&gt;"&amp;W1242)+COUNTIFS($W$4:W1242,W1242)-1)</f>
        <v/>
      </c>
      <c r="Y1242" s="175">
        <f>IF(OR(I1242="",'02_대상물건입력'!B19="",'02_대상물건입력'!B19&lt;=0),"",ABS(I1242-'02_대상물건입력'!B19)/'02_대상물건입력'!B19)</f>
        <v/>
      </c>
      <c r="Z1242" s="172">
        <f>IF(OR(Y1242="",'01_설정'!B31="",'01_설정'!B31&lt;=0,'01_설정'!B32="",'01_설정'!B32&lt;=0),"",MAX(0,(1-Y1242/'01_설정'!B32))*'01_설정'!B31)</f>
        <v/>
      </c>
    </row>
    <row r="1243" ht="17.25" customHeight="1">
      <c r="A1243" s="152">
        <f>IF(INDEX('04A_국토부원자료'!$A:$A,ROW()+1)="","",ROW()-3)</f>
        <v/>
      </c>
      <c r="B1243" s="48">
        <f>IFERROR(INDEX('04A_국토부원자료'!$A:$T,ROW()+1,MATCH("시군구",'04A_국토부원자료'!$A$4:$T$4,0)),"")</f>
        <v/>
      </c>
      <c r="C1243" s="48">
        <f>IF(B1243="","",IFERROR(INDEX('04A_국토부원자료'!$A:$T,ROW()+1,MATCH("번지",'04A_국토부원자료'!$A$4:$T$4,0)),""))</f>
        <v/>
      </c>
      <c r="D1243" s="48">
        <f>IF(B1243="","",IF(Q1243=1,'02_대상물건입력'!$B$8,IFERROR(INDEX('04A_국토부원자료'!$A:$T,ROW()+1,MATCH("단지명",'04A_국토부원자료'!$A$4:$T$4,0)),"")))</f>
        <v/>
      </c>
      <c r="E1243" s="172">
        <f>IFERROR(VALUE(SUBSTITUTE(INDEX('04A_국토부원자료'!$A:$T,ROW()+1,MATCH("전용면적(㎡)",'04A_국토부원자료'!$A$4:$T$4,0)),",","")),"")</f>
        <v/>
      </c>
      <c r="F12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43" s="51">
        <f>IFERROR(VALUE(SUBSTITUTE(INDEX('04A_국토부원자료'!$A:$T,ROW()+1,MATCH("거래금액(만원)",'04A_국토부원자료'!$A$4:$T$4,0)),",","")),"")</f>
        <v/>
      </c>
      <c r="H1243" s="174">
        <f>IF(G1243="","",G1243*10000)</f>
        <v/>
      </c>
      <c r="I1243" s="174">
        <f>IFERROR(IF(AND(H1243&gt;0,E1243&gt;0),H1243/E1243,""),"")</f>
        <v/>
      </c>
      <c r="J1243" s="152">
        <f>IFERROR(VALUE(SUBSTITUTE(INDEX('04A_국토부원자료'!$A:$T,ROW()+1,MATCH("층",'04A_국토부원자료'!$A$4:$T$4,0)),",","")),"")</f>
        <v/>
      </c>
      <c r="K1243" s="152">
        <f>IFERROR(VALUE(SUBSTITUTE(INDEX('04A_국토부원자료'!$A:$T,ROW()+1,MATCH("건축년도",'04A_국토부원자료'!$A$4:$T$4,0)),",","")),"")</f>
        <v/>
      </c>
      <c r="L1243" s="176">
        <f>IFERROR(INDEX('04A_국토부원자료'!$A:$T,ROW()+1,MATCH("도로명",'04A_국토부원자료'!$A$4:$T$4,0)),"")</f>
        <v/>
      </c>
      <c r="M1243" s="48">
        <f>IFERROR(INDEX('04A_국토부원자료'!$A:$T,ROW()+1,MATCH("거래유형",'04A_국토부원자료'!$A$4:$T$4,0)),"")</f>
        <v/>
      </c>
      <c r="N1243" s="152">
        <f>IF(B1243="","",IF('02_대상물건입력'!B5="",1,IF(ISNUMBER(SEARCH('02_대상물건입력'!B5,B1243)),1,0)))</f>
        <v/>
      </c>
      <c r="O1243" s="152">
        <f>IF(B1243="","",IF('02_대상물건입력'!B6="",1,IF(ISNUMBER(SEARCH('02_대상물건입력'!B6,B1243)),1,0)))</f>
        <v/>
      </c>
      <c r="P1243" s="152">
        <f>IF(L1243="","",IF('02_대상물건입력'!B15="",0,IF(ISNUMBER(SEARCH('02_대상물건입력'!B15,L1243)),1,0)))</f>
        <v/>
      </c>
      <c r="Q1243" s="152">
        <f>IF(OR(C1243="",L1243=""),0,IF(AND(TRIM(C1243)=TRIM(RIGHT(SUBSTITUTE(TRIM('02_대상물건입력'!$B$7)," ",REPT(" ",99)),99)),IF('02_대상물건입력'!B15="",TRUE(),ISNUMBER(SEARCH('02_대상물건입력'!B15,L1243)))),1,0))</f>
        <v/>
      </c>
      <c r="R1243" s="175">
        <f>IFERROR(ABS(E1243-'02_대상물건입력'!B11)/'02_대상물건입력'!B11,"")</f>
        <v/>
      </c>
      <c r="S1243" s="152">
        <f>IFERROR(ABS(J1243-'02_대상물건입력'!B10),"")</f>
        <v/>
      </c>
      <c r="T1243" s="152">
        <f>IFERROR(ABS('01_설정'!B4-F1243),"")</f>
        <v/>
      </c>
      <c r="U1243" s="152">
        <f>IFERROR(ABS(K1243-YEAR('02_대상물건입력'!B14)),"")</f>
        <v/>
      </c>
      <c r="V1243" s="152">
        <f>IF(B1243="","",IF(AND(E1243&gt;0,F1243&gt;0,H1243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1243=1,TRUE()),R1243&lt;='01_설정'!B5,S1243&lt;='01_설정'!B6,T1243&lt;='01_설정'!B7,U1243&lt;='01_설정'!B8),"Y",""))</f>
        <v/>
      </c>
      <c r="W1243" s="172">
        <f>IF(V1243&lt;&gt;"Y","",MAX(0,(1-R1243/'01_설정'!B5))*'01_설정'!B14+MAX(0,(1-S1243/'01_설정'!B6))*'01_설정'!B15+MAX(0,(1-T1243/'01_설정'!B7))*'01_설정'!B16+MAX(0,(1-U1243/'01_설정'!B8))*'01_설정'!B17+O1243*'01_설정'!B11+Q1243*'01_설정'!B12+P1243*'01_설정'!B13+IF(Z1243="",0,Z1243))</f>
        <v/>
      </c>
      <c r="X1243" s="152">
        <f>IF(W1243="","",1+COUNTIFS($W$4:$W$3003,"&gt;"&amp;W1243)+COUNTIFS($W$4:W1243,W1243)-1)</f>
        <v/>
      </c>
      <c r="Y1243" s="175">
        <f>IF(OR(I1243="",'02_대상물건입력'!B19="",'02_대상물건입력'!B19&lt;=0),"",ABS(I1243-'02_대상물건입력'!B19)/'02_대상물건입력'!B19)</f>
        <v/>
      </c>
      <c r="Z1243" s="172">
        <f>IF(OR(Y1243="",'01_설정'!B31="",'01_설정'!B31&lt;=0,'01_설정'!B32="",'01_설정'!B32&lt;=0),"",MAX(0,(1-Y1243/'01_설정'!B32))*'01_설정'!B31)</f>
        <v/>
      </c>
    </row>
    <row r="1244" ht="17.25" customHeight="1">
      <c r="A1244" s="152">
        <f>IF(INDEX('04A_국토부원자료'!$A:$A,ROW()+1)="","",ROW()-3)</f>
        <v/>
      </c>
      <c r="B1244" s="48">
        <f>IFERROR(INDEX('04A_국토부원자료'!$A:$T,ROW()+1,MATCH("시군구",'04A_국토부원자료'!$A$4:$T$4,0)),"")</f>
        <v/>
      </c>
      <c r="C1244" s="48">
        <f>IF(B1244="","",IFERROR(INDEX('04A_국토부원자료'!$A:$T,ROW()+1,MATCH("번지",'04A_국토부원자료'!$A$4:$T$4,0)),""))</f>
        <v/>
      </c>
      <c r="D1244" s="48">
        <f>IF(B1244="","",IF(Q1244=1,'02_대상물건입력'!$B$8,IFERROR(INDEX('04A_국토부원자료'!$A:$T,ROW()+1,MATCH("단지명",'04A_국토부원자료'!$A$4:$T$4,0)),"")))</f>
        <v/>
      </c>
      <c r="E1244" s="172">
        <f>IFERROR(VALUE(SUBSTITUTE(INDEX('04A_국토부원자료'!$A:$T,ROW()+1,MATCH("전용면적(㎡)",'04A_국토부원자료'!$A$4:$T$4,0)),",","")),"")</f>
        <v/>
      </c>
      <c r="F12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44" s="51">
        <f>IFERROR(VALUE(SUBSTITUTE(INDEX('04A_국토부원자료'!$A:$T,ROW()+1,MATCH("거래금액(만원)",'04A_국토부원자료'!$A$4:$T$4,0)),",","")),"")</f>
        <v/>
      </c>
      <c r="H1244" s="174">
        <f>IF(G1244="","",G1244*10000)</f>
        <v/>
      </c>
      <c r="I1244" s="174">
        <f>IFERROR(IF(AND(H1244&gt;0,E1244&gt;0),H1244/E1244,""),"")</f>
        <v/>
      </c>
      <c r="J1244" s="152">
        <f>IFERROR(VALUE(SUBSTITUTE(INDEX('04A_국토부원자료'!$A:$T,ROW()+1,MATCH("층",'04A_국토부원자료'!$A$4:$T$4,0)),",","")),"")</f>
        <v/>
      </c>
      <c r="K1244" s="152">
        <f>IFERROR(VALUE(SUBSTITUTE(INDEX('04A_국토부원자료'!$A:$T,ROW()+1,MATCH("건축년도",'04A_국토부원자료'!$A$4:$T$4,0)),",","")),"")</f>
        <v/>
      </c>
      <c r="L1244" s="176">
        <f>IFERROR(INDEX('04A_국토부원자료'!$A:$T,ROW()+1,MATCH("도로명",'04A_국토부원자료'!$A$4:$T$4,0)),"")</f>
        <v/>
      </c>
      <c r="M1244" s="48">
        <f>IFERROR(INDEX('04A_국토부원자료'!$A:$T,ROW()+1,MATCH("거래유형",'04A_국토부원자료'!$A$4:$T$4,0)),"")</f>
        <v/>
      </c>
      <c r="N1244" s="152">
        <f>IF(B1244="","",IF('02_대상물건입력'!B5="",1,IF(ISNUMBER(SEARCH('02_대상물건입력'!B5,B1244)),1,0)))</f>
        <v/>
      </c>
      <c r="O1244" s="152">
        <f>IF(B1244="","",IF('02_대상물건입력'!B6="",1,IF(ISNUMBER(SEARCH('02_대상물건입력'!B6,B1244)),1,0)))</f>
        <v/>
      </c>
      <c r="P1244" s="152">
        <f>IF(L1244="","",IF('02_대상물건입력'!B15="",0,IF(ISNUMBER(SEARCH('02_대상물건입력'!B15,L1244)),1,0)))</f>
        <v/>
      </c>
      <c r="Q1244" s="152">
        <f>IF(OR(C1244="",L1244=""),0,IF(AND(TRIM(C1244)=TRIM(RIGHT(SUBSTITUTE(TRIM('02_대상물건입력'!$B$7)," ",REPT(" ",99)),99)),IF('02_대상물건입력'!B15="",TRUE(),ISNUMBER(SEARCH('02_대상물건입력'!B15,L1244)))),1,0))</f>
        <v/>
      </c>
      <c r="R1244" s="175">
        <f>IFERROR(ABS(E1244-'02_대상물건입력'!B11)/'02_대상물건입력'!B11,"")</f>
        <v/>
      </c>
      <c r="S1244" s="152">
        <f>IFERROR(ABS(J1244-'02_대상물건입력'!B10),"")</f>
        <v/>
      </c>
      <c r="T1244" s="152">
        <f>IFERROR(ABS('01_설정'!B4-F1244),"")</f>
        <v/>
      </c>
      <c r="U1244" s="152">
        <f>IFERROR(ABS(K1244-YEAR('02_대상물건입력'!B14)),"")</f>
        <v/>
      </c>
      <c r="V1244" s="152">
        <f>IF(B1244="","",IF(AND(E1244&gt;0,F1244&gt;0,H1244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1244=1,TRUE()),R1244&lt;='01_설정'!B5,S1244&lt;='01_설정'!B6,T1244&lt;='01_설정'!B7,U1244&lt;='01_설정'!B8),"Y",""))</f>
        <v/>
      </c>
      <c r="W1244" s="172">
        <f>IF(V1244&lt;&gt;"Y","",MAX(0,(1-R1244/'01_설정'!B5))*'01_설정'!B14+MAX(0,(1-S1244/'01_설정'!B6))*'01_설정'!B15+MAX(0,(1-T1244/'01_설정'!B7))*'01_설정'!B16+MAX(0,(1-U1244/'01_설정'!B8))*'01_설정'!B17+O1244*'01_설정'!B11+Q1244*'01_설정'!B12+P1244*'01_설정'!B13+IF(Z1244="",0,Z1244))</f>
        <v/>
      </c>
      <c r="X1244" s="152">
        <f>IF(W1244="","",1+COUNTIFS($W$4:$W$3003,"&gt;"&amp;W1244)+COUNTIFS($W$4:W1244,W1244)-1)</f>
        <v/>
      </c>
      <c r="Y1244" s="175">
        <f>IF(OR(I1244="",'02_대상물건입력'!B19="",'02_대상물건입력'!B19&lt;=0),"",ABS(I1244-'02_대상물건입력'!B19)/'02_대상물건입력'!B19)</f>
        <v/>
      </c>
      <c r="Z1244" s="172">
        <f>IF(OR(Y1244="",'01_설정'!B31="",'01_설정'!B31&lt;=0,'01_설정'!B32="",'01_설정'!B32&lt;=0),"",MAX(0,(1-Y1244/'01_설정'!B32))*'01_설정'!B31)</f>
        <v/>
      </c>
    </row>
    <row r="1245" ht="17.25" customHeight="1">
      <c r="A1245" s="152">
        <f>IF(INDEX('04A_국토부원자료'!$A:$A,ROW()+1)="","",ROW()-3)</f>
        <v/>
      </c>
      <c r="B1245" s="48">
        <f>IFERROR(INDEX('04A_국토부원자료'!$A:$T,ROW()+1,MATCH("시군구",'04A_국토부원자료'!$A$4:$T$4,0)),"")</f>
        <v/>
      </c>
      <c r="C1245" s="48">
        <f>IF(B1245="","",IFERROR(INDEX('04A_국토부원자료'!$A:$T,ROW()+1,MATCH("번지",'04A_국토부원자료'!$A$4:$T$4,0)),""))</f>
        <v/>
      </c>
      <c r="D1245" s="48">
        <f>IF(B1245="","",IF(Q1245=1,'02_대상물건입력'!$B$8,IFERROR(INDEX('04A_국토부원자료'!$A:$T,ROW()+1,MATCH("단지명",'04A_국토부원자료'!$A$4:$T$4,0)),"")))</f>
        <v/>
      </c>
      <c r="E1245" s="172">
        <f>IFERROR(VALUE(SUBSTITUTE(INDEX('04A_국토부원자료'!$A:$T,ROW()+1,MATCH("전용면적(㎡)",'04A_국토부원자료'!$A$4:$T$4,0)),",","")),"")</f>
        <v/>
      </c>
      <c r="F12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45" s="51">
        <f>IFERROR(VALUE(SUBSTITUTE(INDEX('04A_국토부원자료'!$A:$T,ROW()+1,MATCH("거래금액(만원)",'04A_국토부원자료'!$A$4:$T$4,0)),",","")),"")</f>
        <v/>
      </c>
      <c r="H1245" s="174">
        <f>IF(G1245="","",G1245*10000)</f>
        <v/>
      </c>
      <c r="I1245" s="174">
        <f>IFERROR(IF(AND(H1245&gt;0,E1245&gt;0),H1245/E1245,""),"")</f>
        <v/>
      </c>
      <c r="J1245" s="152">
        <f>IFERROR(VALUE(SUBSTITUTE(INDEX('04A_국토부원자료'!$A:$T,ROW()+1,MATCH("층",'04A_국토부원자료'!$A$4:$T$4,0)),",","")),"")</f>
        <v/>
      </c>
      <c r="K1245" s="152">
        <f>IFERROR(VALUE(SUBSTITUTE(INDEX('04A_국토부원자료'!$A:$T,ROW()+1,MATCH("건축년도",'04A_국토부원자료'!$A$4:$T$4,0)),",","")),"")</f>
        <v/>
      </c>
      <c r="L1245" s="176">
        <f>IFERROR(INDEX('04A_국토부원자료'!$A:$T,ROW()+1,MATCH("도로명",'04A_국토부원자료'!$A$4:$T$4,0)),"")</f>
        <v/>
      </c>
      <c r="M1245" s="48">
        <f>IFERROR(INDEX('04A_국토부원자료'!$A:$T,ROW()+1,MATCH("거래유형",'04A_국토부원자료'!$A$4:$T$4,0)),"")</f>
        <v/>
      </c>
      <c r="N1245" s="152">
        <f>IF(B1245="","",IF('02_대상물건입력'!B5="",1,IF(ISNUMBER(SEARCH('02_대상물건입력'!B5,B1245)),1,0)))</f>
        <v/>
      </c>
      <c r="O1245" s="152">
        <f>IF(B1245="","",IF('02_대상물건입력'!B6="",1,IF(ISNUMBER(SEARCH('02_대상물건입력'!B6,B1245)),1,0)))</f>
        <v/>
      </c>
      <c r="P1245" s="152">
        <f>IF(L1245="","",IF('02_대상물건입력'!B15="",0,IF(ISNUMBER(SEARCH('02_대상물건입력'!B15,L1245)),1,0)))</f>
        <v/>
      </c>
      <c r="Q1245" s="152">
        <f>IF(OR(C1245="",L1245=""),0,IF(AND(TRIM(C1245)=TRIM(RIGHT(SUBSTITUTE(TRIM('02_대상물건입력'!$B$7)," ",REPT(" ",99)),99)),IF('02_대상물건입력'!B15="",TRUE(),ISNUMBER(SEARCH('02_대상물건입력'!B15,L1245)))),1,0))</f>
        <v/>
      </c>
      <c r="R1245" s="175">
        <f>IFERROR(ABS(E1245-'02_대상물건입력'!B11)/'02_대상물건입력'!B11,"")</f>
        <v/>
      </c>
      <c r="S1245" s="152">
        <f>IFERROR(ABS(J1245-'02_대상물건입력'!B10),"")</f>
        <v/>
      </c>
      <c r="T1245" s="152">
        <f>IFERROR(ABS('01_설정'!B4-F1245),"")</f>
        <v/>
      </c>
      <c r="U1245" s="152">
        <f>IFERROR(ABS(K1245-YEAR('02_대상물건입력'!B14)),"")</f>
        <v/>
      </c>
      <c r="V1245" s="152">
        <f>IF(B1245="","",IF(AND(E1245&gt;0,F1245&gt;0,H1245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1245=1,TRUE()),R1245&lt;='01_설정'!B5,S1245&lt;='01_설정'!B6,T1245&lt;='01_설정'!B7,U1245&lt;='01_설정'!B8),"Y",""))</f>
        <v/>
      </c>
      <c r="W1245" s="172">
        <f>IF(V1245&lt;&gt;"Y","",MAX(0,(1-R1245/'01_설정'!B5))*'01_설정'!B14+MAX(0,(1-S1245/'01_설정'!B6))*'01_설정'!B15+MAX(0,(1-T1245/'01_설정'!B7))*'01_설정'!B16+MAX(0,(1-U1245/'01_설정'!B8))*'01_설정'!B17+O1245*'01_설정'!B11+Q1245*'01_설정'!B12+P1245*'01_설정'!B13+IF(Z1245="",0,Z1245))</f>
        <v/>
      </c>
      <c r="X1245" s="152">
        <f>IF(W1245="","",1+COUNTIFS($W$4:$W$3003,"&gt;"&amp;W1245)+COUNTIFS($W$4:W1245,W1245)-1)</f>
        <v/>
      </c>
      <c r="Y1245" s="175">
        <f>IF(OR(I1245="",'02_대상물건입력'!B19="",'02_대상물건입력'!B19&lt;=0),"",ABS(I1245-'02_대상물건입력'!B19)/'02_대상물건입력'!B19)</f>
        <v/>
      </c>
      <c r="Z1245" s="172">
        <f>IF(OR(Y1245="",'01_설정'!B31="",'01_설정'!B31&lt;=0,'01_설정'!B32="",'01_설정'!B32&lt;=0),"",MAX(0,(1-Y1245/'01_설정'!B32))*'01_설정'!B31)</f>
        <v/>
      </c>
    </row>
    <row r="1246" ht="17.25" customHeight="1">
      <c r="A1246" s="152">
        <f>IF(INDEX('04A_국토부원자료'!$A:$A,ROW()+1)="","",ROW()-3)</f>
        <v/>
      </c>
      <c r="B1246" s="48">
        <f>IFERROR(INDEX('04A_국토부원자료'!$A:$T,ROW()+1,MATCH("시군구",'04A_국토부원자료'!$A$4:$T$4,0)),"")</f>
        <v/>
      </c>
      <c r="C1246" s="48">
        <f>IF(B1246="","",IFERROR(INDEX('04A_국토부원자료'!$A:$T,ROW()+1,MATCH("번지",'04A_국토부원자료'!$A$4:$T$4,0)),""))</f>
        <v/>
      </c>
      <c r="D1246" s="48">
        <f>IF(B1246="","",IF(Q1246=1,'02_대상물건입력'!$B$8,IFERROR(INDEX('04A_국토부원자료'!$A:$T,ROW()+1,MATCH("단지명",'04A_국토부원자료'!$A$4:$T$4,0)),"")))</f>
        <v/>
      </c>
      <c r="E1246" s="172">
        <f>IFERROR(VALUE(SUBSTITUTE(INDEX('04A_국토부원자료'!$A:$T,ROW()+1,MATCH("전용면적(㎡)",'04A_국토부원자료'!$A$4:$T$4,0)),",","")),"")</f>
        <v/>
      </c>
      <c r="F12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46" s="51">
        <f>IFERROR(VALUE(SUBSTITUTE(INDEX('04A_국토부원자료'!$A:$T,ROW()+1,MATCH("거래금액(만원)",'04A_국토부원자료'!$A$4:$T$4,0)),",","")),"")</f>
        <v/>
      </c>
      <c r="H1246" s="174">
        <f>IF(G1246="","",G1246*10000)</f>
        <v/>
      </c>
      <c r="I1246" s="174">
        <f>IFERROR(IF(AND(H1246&gt;0,E1246&gt;0),H1246/E1246,""),"")</f>
        <v/>
      </c>
      <c r="J1246" s="152">
        <f>IFERROR(VALUE(SUBSTITUTE(INDEX('04A_국토부원자료'!$A:$T,ROW()+1,MATCH("층",'04A_국토부원자료'!$A$4:$T$4,0)),",","")),"")</f>
        <v/>
      </c>
      <c r="K1246" s="152">
        <f>IFERROR(VALUE(SUBSTITUTE(INDEX('04A_국토부원자료'!$A:$T,ROW()+1,MATCH("건축년도",'04A_국토부원자료'!$A$4:$T$4,0)),",","")),"")</f>
        <v/>
      </c>
      <c r="L1246" s="176">
        <f>IFERROR(INDEX('04A_국토부원자료'!$A:$T,ROW()+1,MATCH("도로명",'04A_국토부원자료'!$A$4:$T$4,0)),"")</f>
        <v/>
      </c>
      <c r="M1246" s="48">
        <f>IFERROR(INDEX('04A_국토부원자료'!$A:$T,ROW()+1,MATCH("거래유형",'04A_국토부원자료'!$A$4:$T$4,0)),"")</f>
        <v/>
      </c>
      <c r="N1246" s="152">
        <f>IF(B1246="","",IF('02_대상물건입력'!B5="",1,IF(ISNUMBER(SEARCH('02_대상물건입력'!B5,B1246)),1,0)))</f>
        <v/>
      </c>
      <c r="O1246" s="152">
        <f>IF(B1246="","",IF('02_대상물건입력'!B6="",1,IF(ISNUMBER(SEARCH('02_대상물건입력'!B6,B1246)),1,0)))</f>
        <v/>
      </c>
      <c r="P1246" s="152">
        <f>IF(L1246="","",IF('02_대상물건입력'!B15="",0,IF(ISNUMBER(SEARCH('02_대상물건입력'!B15,L1246)),1,0)))</f>
        <v/>
      </c>
      <c r="Q1246" s="152">
        <f>IF(OR(C1246="",L1246=""),0,IF(AND(TRIM(C1246)=TRIM(RIGHT(SUBSTITUTE(TRIM('02_대상물건입력'!$B$7)," ",REPT(" ",99)),99)),IF('02_대상물건입력'!B15="",TRUE(),ISNUMBER(SEARCH('02_대상물건입력'!B15,L1246)))),1,0))</f>
        <v/>
      </c>
      <c r="R1246" s="175">
        <f>IFERROR(ABS(E1246-'02_대상물건입력'!B11)/'02_대상물건입력'!B11,"")</f>
        <v/>
      </c>
      <c r="S1246" s="152">
        <f>IFERROR(ABS(J1246-'02_대상물건입력'!B10),"")</f>
        <v/>
      </c>
      <c r="T1246" s="152">
        <f>IFERROR(ABS('01_설정'!B4-F1246),"")</f>
        <v/>
      </c>
      <c r="U1246" s="152">
        <f>IFERROR(ABS(K1246-YEAR('02_대상물건입력'!B14)),"")</f>
        <v/>
      </c>
      <c r="V1246" s="152">
        <f>IF(B1246="","",IF(AND(E1246&gt;0,F1246&gt;0,H1246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1246=1,TRUE()),R1246&lt;='01_설정'!B5,S1246&lt;='01_설정'!B6,T1246&lt;='01_설정'!B7,U1246&lt;='01_설정'!B8),"Y",""))</f>
        <v/>
      </c>
      <c r="W1246" s="172">
        <f>IF(V1246&lt;&gt;"Y","",MAX(0,(1-R1246/'01_설정'!B5))*'01_설정'!B14+MAX(0,(1-S1246/'01_설정'!B6))*'01_설정'!B15+MAX(0,(1-T1246/'01_설정'!B7))*'01_설정'!B16+MAX(0,(1-U1246/'01_설정'!B8))*'01_설정'!B17+O1246*'01_설정'!B11+Q1246*'01_설정'!B12+P1246*'01_설정'!B13+IF(Z1246="",0,Z1246))</f>
        <v/>
      </c>
      <c r="X1246" s="152">
        <f>IF(W1246="","",1+COUNTIFS($W$4:$W$3003,"&gt;"&amp;W1246)+COUNTIFS($W$4:W1246,W1246)-1)</f>
        <v/>
      </c>
      <c r="Y1246" s="175">
        <f>IF(OR(I1246="",'02_대상물건입력'!B19="",'02_대상물건입력'!B19&lt;=0),"",ABS(I1246-'02_대상물건입력'!B19)/'02_대상물건입력'!B19)</f>
        <v/>
      </c>
      <c r="Z1246" s="172">
        <f>IF(OR(Y1246="",'01_설정'!B31="",'01_설정'!B31&lt;=0,'01_설정'!B32="",'01_설정'!B32&lt;=0),"",MAX(0,(1-Y1246/'01_설정'!B32))*'01_설정'!B31)</f>
        <v/>
      </c>
    </row>
    <row r="1247" ht="17.25" customHeight="1">
      <c r="A1247" s="152">
        <f>IF(INDEX('04A_국토부원자료'!$A:$A,ROW()+1)="","",ROW()-3)</f>
        <v/>
      </c>
      <c r="B1247" s="48">
        <f>IFERROR(INDEX('04A_국토부원자료'!$A:$T,ROW()+1,MATCH("시군구",'04A_국토부원자료'!$A$4:$T$4,0)),"")</f>
        <v/>
      </c>
      <c r="C1247" s="48">
        <f>IF(B1247="","",IFERROR(INDEX('04A_국토부원자료'!$A:$T,ROW()+1,MATCH("번지",'04A_국토부원자료'!$A$4:$T$4,0)),""))</f>
        <v/>
      </c>
      <c r="D1247" s="48">
        <f>IF(B1247="","",IF(Q1247=1,'02_대상물건입력'!$B$8,IFERROR(INDEX('04A_국토부원자료'!$A:$T,ROW()+1,MATCH("단지명",'04A_국토부원자료'!$A$4:$T$4,0)),"")))</f>
        <v/>
      </c>
      <c r="E1247" s="172">
        <f>IFERROR(VALUE(SUBSTITUTE(INDEX('04A_국토부원자료'!$A:$T,ROW()+1,MATCH("전용면적(㎡)",'04A_국토부원자료'!$A$4:$T$4,0)),",","")),"")</f>
        <v/>
      </c>
      <c r="F12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47" s="51">
        <f>IFERROR(VALUE(SUBSTITUTE(INDEX('04A_국토부원자료'!$A:$T,ROW()+1,MATCH("거래금액(만원)",'04A_국토부원자료'!$A$4:$T$4,0)),",","")),"")</f>
        <v/>
      </c>
      <c r="H1247" s="174">
        <f>IF(G1247="","",G1247*10000)</f>
        <v/>
      </c>
      <c r="I1247" s="174">
        <f>IFERROR(IF(AND(H1247&gt;0,E1247&gt;0),H1247/E1247,""),"")</f>
        <v/>
      </c>
      <c r="J1247" s="152">
        <f>IFERROR(VALUE(SUBSTITUTE(INDEX('04A_국토부원자료'!$A:$T,ROW()+1,MATCH("층",'04A_국토부원자료'!$A$4:$T$4,0)),",","")),"")</f>
        <v/>
      </c>
      <c r="K1247" s="152">
        <f>IFERROR(VALUE(SUBSTITUTE(INDEX('04A_국토부원자료'!$A:$T,ROW()+1,MATCH("건축년도",'04A_국토부원자료'!$A$4:$T$4,0)),",","")),"")</f>
        <v/>
      </c>
      <c r="L1247" s="176">
        <f>IFERROR(INDEX('04A_국토부원자료'!$A:$T,ROW()+1,MATCH("도로명",'04A_국토부원자료'!$A$4:$T$4,0)),"")</f>
        <v/>
      </c>
      <c r="M1247" s="48">
        <f>IFERROR(INDEX('04A_국토부원자료'!$A:$T,ROW()+1,MATCH("거래유형",'04A_국토부원자료'!$A$4:$T$4,0)),"")</f>
        <v/>
      </c>
      <c r="N1247" s="152">
        <f>IF(B1247="","",IF('02_대상물건입력'!B5="",1,IF(ISNUMBER(SEARCH('02_대상물건입력'!B5,B1247)),1,0)))</f>
        <v/>
      </c>
      <c r="O1247" s="152">
        <f>IF(B1247="","",IF('02_대상물건입력'!B6="",1,IF(ISNUMBER(SEARCH('02_대상물건입력'!B6,B1247)),1,0)))</f>
        <v/>
      </c>
      <c r="P1247" s="152">
        <f>IF(L1247="","",IF('02_대상물건입력'!B15="",0,IF(ISNUMBER(SEARCH('02_대상물건입력'!B15,L1247)),1,0)))</f>
        <v/>
      </c>
      <c r="Q1247" s="152">
        <f>IF(OR(C1247="",L1247=""),0,IF(AND(TRIM(C1247)=TRIM(RIGHT(SUBSTITUTE(TRIM('02_대상물건입력'!$B$7)," ",REPT(" ",99)),99)),IF('02_대상물건입력'!B15="",TRUE(),ISNUMBER(SEARCH('02_대상물건입력'!B15,L1247)))),1,0))</f>
        <v/>
      </c>
      <c r="R1247" s="175">
        <f>IFERROR(ABS(E1247-'02_대상물건입력'!B11)/'02_대상물건입력'!B11,"")</f>
        <v/>
      </c>
      <c r="S1247" s="152">
        <f>IFERROR(ABS(J1247-'02_대상물건입력'!B10),"")</f>
        <v/>
      </c>
      <c r="T1247" s="152">
        <f>IFERROR(ABS('01_설정'!B4-F1247),"")</f>
        <v/>
      </c>
      <c r="U1247" s="152">
        <f>IFERROR(ABS(K1247-YEAR('02_대상물건입력'!B14)),"")</f>
        <v/>
      </c>
      <c r="V1247" s="152">
        <f>IF(B1247="","",IF(AND(E1247&gt;0,F1247&gt;0,H1247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1247=1,TRUE()),R1247&lt;='01_설정'!B5,S1247&lt;='01_설정'!B6,T1247&lt;='01_설정'!B7,U1247&lt;='01_설정'!B8),"Y",""))</f>
        <v/>
      </c>
      <c r="W1247" s="172">
        <f>IF(V1247&lt;&gt;"Y","",MAX(0,(1-R1247/'01_설정'!B5))*'01_설정'!B14+MAX(0,(1-S1247/'01_설정'!B6))*'01_설정'!B15+MAX(0,(1-T1247/'01_설정'!B7))*'01_설정'!B16+MAX(0,(1-U1247/'01_설정'!B8))*'01_설정'!B17+O1247*'01_설정'!B11+Q1247*'01_설정'!B12+P1247*'01_설정'!B13+IF(Z1247="",0,Z1247))</f>
        <v/>
      </c>
      <c r="X1247" s="152">
        <f>IF(W1247="","",1+COUNTIFS($W$4:$W$3003,"&gt;"&amp;W1247)+COUNTIFS($W$4:W1247,W1247)-1)</f>
        <v/>
      </c>
      <c r="Y1247" s="175">
        <f>IF(OR(I1247="",'02_대상물건입력'!B19="",'02_대상물건입력'!B19&lt;=0),"",ABS(I1247-'02_대상물건입력'!B19)/'02_대상물건입력'!B19)</f>
        <v/>
      </c>
      <c r="Z1247" s="172">
        <f>IF(OR(Y1247="",'01_설정'!B31="",'01_설정'!B31&lt;=0,'01_설정'!B32="",'01_설정'!B32&lt;=0),"",MAX(0,(1-Y1247/'01_설정'!B32))*'01_설정'!B31)</f>
        <v/>
      </c>
    </row>
    <row r="1248" ht="17.25" customHeight="1">
      <c r="A1248" s="152">
        <f>IF(INDEX('04A_국토부원자료'!$A:$A,ROW()+1)="","",ROW()-3)</f>
        <v/>
      </c>
      <c r="B1248" s="48">
        <f>IFERROR(INDEX('04A_국토부원자료'!$A:$T,ROW()+1,MATCH("시군구",'04A_국토부원자료'!$A$4:$T$4,0)),"")</f>
        <v/>
      </c>
      <c r="C1248" s="48">
        <f>IF(B1248="","",IFERROR(INDEX('04A_국토부원자료'!$A:$T,ROW()+1,MATCH("번지",'04A_국토부원자료'!$A$4:$T$4,0)),""))</f>
        <v/>
      </c>
      <c r="D1248" s="48">
        <f>IF(B1248="","",IF(Q1248=1,'02_대상물건입력'!$B$8,IFERROR(INDEX('04A_국토부원자료'!$A:$T,ROW()+1,MATCH("단지명",'04A_국토부원자료'!$A$4:$T$4,0)),"")))</f>
        <v/>
      </c>
      <c r="E1248" s="172">
        <f>IFERROR(VALUE(SUBSTITUTE(INDEX('04A_국토부원자료'!$A:$T,ROW()+1,MATCH("전용면적(㎡)",'04A_국토부원자료'!$A$4:$T$4,0)),",","")),"")</f>
        <v/>
      </c>
      <c r="F12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48" s="51">
        <f>IFERROR(VALUE(SUBSTITUTE(INDEX('04A_국토부원자료'!$A:$T,ROW()+1,MATCH("거래금액(만원)",'04A_국토부원자료'!$A$4:$T$4,0)),",","")),"")</f>
        <v/>
      </c>
      <c r="H1248" s="174">
        <f>IF(G1248="","",G1248*10000)</f>
        <v/>
      </c>
      <c r="I1248" s="174">
        <f>IFERROR(IF(AND(H1248&gt;0,E1248&gt;0),H1248/E1248,""),"")</f>
        <v/>
      </c>
      <c r="J1248" s="152">
        <f>IFERROR(VALUE(SUBSTITUTE(INDEX('04A_국토부원자료'!$A:$T,ROW()+1,MATCH("층",'04A_국토부원자료'!$A$4:$T$4,0)),",","")),"")</f>
        <v/>
      </c>
      <c r="K1248" s="152">
        <f>IFERROR(VALUE(SUBSTITUTE(INDEX('04A_국토부원자료'!$A:$T,ROW()+1,MATCH("건축년도",'04A_국토부원자료'!$A$4:$T$4,0)),",","")),"")</f>
        <v/>
      </c>
      <c r="L1248" s="176">
        <f>IFERROR(INDEX('04A_국토부원자료'!$A:$T,ROW()+1,MATCH("도로명",'04A_국토부원자료'!$A$4:$T$4,0)),"")</f>
        <v/>
      </c>
      <c r="M1248" s="48">
        <f>IFERROR(INDEX('04A_국토부원자료'!$A:$T,ROW()+1,MATCH("거래유형",'04A_국토부원자료'!$A$4:$T$4,0)),"")</f>
        <v/>
      </c>
      <c r="N1248" s="152">
        <f>IF(B1248="","",IF('02_대상물건입력'!B5="",1,IF(ISNUMBER(SEARCH('02_대상물건입력'!B5,B1248)),1,0)))</f>
        <v/>
      </c>
      <c r="O1248" s="152">
        <f>IF(B1248="","",IF('02_대상물건입력'!B6="",1,IF(ISNUMBER(SEARCH('02_대상물건입력'!B6,B1248)),1,0)))</f>
        <v/>
      </c>
      <c r="P1248" s="152">
        <f>IF(L1248="","",IF('02_대상물건입력'!B15="",0,IF(ISNUMBER(SEARCH('02_대상물건입력'!B15,L1248)),1,0)))</f>
        <v/>
      </c>
      <c r="Q1248" s="152">
        <f>IF(OR(C1248="",L1248=""),0,IF(AND(TRIM(C1248)=TRIM(RIGHT(SUBSTITUTE(TRIM('02_대상물건입력'!$B$7)," ",REPT(" ",99)),99)),IF('02_대상물건입력'!B15="",TRUE(),ISNUMBER(SEARCH('02_대상물건입력'!B15,L1248)))),1,0))</f>
        <v/>
      </c>
      <c r="R1248" s="175">
        <f>IFERROR(ABS(E1248-'02_대상물건입력'!B11)/'02_대상물건입력'!B11,"")</f>
        <v/>
      </c>
      <c r="S1248" s="152">
        <f>IFERROR(ABS(J1248-'02_대상물건입력'!B10),"")</f>
        <v/>
      </c>
      <c r="T1248" s="152">
        <f>IFERROR(ABS('01_설정'!B4-F1248),"")</f>
        <v/>
      </c>
      <c r="U1248" s="152">
        <f>IFERROR(ABS(K1248-YEAR('02_대상물건입력'!B14)),"")</f>
        <v/>
      </c>
      <c r="V1248" s="152">
        <f>IF(B1248="","",IF(AND(E1248&gt;0,F1248&gt;0,H1248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1248=1,TRUE()),R1248&lt;='01_설정'!B5,S1248&lt;='01_설정'!B6,T1248&lt;='01_설정'!B7,U1248&lt;='01_설정'!B8),"Y",""))</f>
        <v/>
      </c>
      <c r="W1248" s="172">
        <f>IF(V1248&lt;&gt;"Y","",MAX(0,(1-R1248/'01_설정'!B5))*'01_설정'!B14+MAX(0,(1-S1248/'01_설정'!B6))*'01_설정'!B15+MAX(0,(1-T1248/'01_설정'!B7))*'01_설정'!B16+MAX(0,(1-U1248/'01_설정'!B8))*'01_설정'!B17+O1248*'01_설정'!B11+Q1248*'01_설정'!B12+P1248*'01_설정'!B13+IF(Z1248="",0,Z1248))</f>
        <v/>
      </c>
      <c r="X1248" s="152">
        <f>IF(W1248="","",1+COUNTIFS($W$4:$W$3003,"&gt;"&amp;W1248)+COUNTIFS($W$4:W1248,W1248)-1)</f>
        <v/>
      </c>
      <c r="Y1248" s="175">
        <f>IF(OR(I1248="",'02_대상물건입력'!B19="",'02_대상물건입력'!B19&lt;=0),"",ABS(I1248-'02_대상물건입력'!B19)/'02_대상물건입력'!B19)</f>
        <v/>
      </c>
      <c r="Z1248" s="172">
        <f>IF(OR(Y1248="",'01_설정'!B31="",'01_설정'!B31&lt;=0,'01_설정'!B32="",'01_설정'!B32&lt;=0),"",MAX(0,(1-Y1248/'01_설정'!B32))*'01_설정'!B31)</f>
        <v/>
      </c>
    </row>
    <row r="1249" ht="17.25" customHeight="1">
      <c r="A1249" s="152">
        <f>IF(INDEX('04A_국토부원자료'!$A:$A,ROW()+1)="","",ROW()-3)</f>
        <v/>
      </c>
      <c r="B1249" s="48">
        <f>IFERROR(INDEX('04A_국토부원자료'!$A:$T,ROW()+1,MATCH("시군구",'04A_국토부원자료'!$A$4:$T$4,0)),"")</f>
        <v/>
      </c>
      <c r="C1249" s="48">
        <f>IF(B1249="","",IFERROR(INDEX('04A_국토부원자료'!$A:$T,ROW()+1,MATCH("번지",'04A_국토부원자료'!$A$4:$T$4,0)),""))</f>
        <v/>
      </c>
      <c r="D1249" s="48">
        <f>IF(B1249="","",IF(Q1249=1,'02_대상물건입력'!$B$8,IFERROR(INDEX('04A_국토부원자료'!$A:$T,ROW()+1,MATCH("단지명",'04A_국토부원자료'!$A$4:$T$4,0)),"")))</f>
        <v/>
      </c>
      <c r="E1249" s="172">
        <f>IFERROR(VALUE(SUBSTITUTE(INDEX('04A_국토부원자료'!$A:$T,ROW()+1,MATCH("전용면적(㎡)",'04A_국토부원자료'!$A$4:$T$4,0)),",","")),"")</f>
        <v/>
      </c>
      <c r="F12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49" s="51">
        <f>IFERROR(VALUE(SUBSTITUTE(INDEX('04A_국토부원자료'!$A:$T,ROW()+1,MATCH("거래금액(만원)",'04A_국토부원자료'!$A$4:$T$4,0)),",","")),"")</f>
        <v/>
      </c>
      <c r="H1249" s="174">
        <f>IF(G1249="","",G1249*10000)</f>
        <v/>
      </c>
      <c r="I1249" s="174">
        <f>IFERROR(IF(AND(H1249&gt;0,E1249&gt;0),H1249/E1249,""),"")</f>
        <v/>
      </c>
      <c r="J1249" s="152">
        <f>IFERROR(VALUE(SUBSTITUTE(INDEX('04A_국토부원자료'!$A:$T,ROW()+1,MATCH("층",'04A_국토부원자료'!$A$4:$T$4,0)),",","")),"")</f>
        <v/>
      </c>
      <c r="K1249" s="152">
        <f>IFERROR(VALUE(SUBSTITUTE(INDEX('04A_국토부원자료'!$A:$T,ROW()+1,MATCH("건축년도",'04A_국토부원자료'!$A$4:$T$4,0)),",","")),"")</f>
        <v/>
      </c>
      <c r="L1249" s="176">
        <f>IFERROR(INDEX('04A_국토부원자료'!$A:$T,ROW()+1,MATCH("도로명",'04A_국토부원자료'!$A$4:$T$4,0)),"")</f>
        <v/>
      </c>
      <c r="M1249" s="48">
        <f>IFERROR(INDEX('04A_국토부원자료'!$A:$T,ROW()+1,MATCH("거래유형",'04A_국토부원자료'!$A$4:$T$4,0)),"")</f>
        <v/>
      </c>
      <c r="N1249" s="152">
        <f>IF(B1249="","",IF('02_대상물건입력'!B5="",1,IF(ISNUMBER(SEARCH('02_대상물건입력'!B5,B1249)),1,0)))</f>
        <v/>
      </c>
      <c r="O1249" s="152">
        <f>IF(B1249="","",IF('02_대상물건입력'!B6="",1,IF(ISNUMBER(SEARCH('02_대상물건입력'!B6,B1249)),1,0)))</f>
        <v/>
      </c>
      <c r="P1249" s="152">
        <f>IF(L1249="","",IF('02_대상물건입력'!B15="",0,IF(ISNUMBER(SEARCH('02_대상물건입력'!B15,L1249)),1,0)))</f>
        <v/>
      </c>
      <c r="Q1249" s="152">
        <f>IF(OR(C1249="",L1249=""),0,IF(AND(TRIM(C1249)=TRIM(RIGHT(SUBSTITUTE(TRIM('02_대상물건입력'!$B$7)," ",REPT(" ",99)),99)),IF('02_대상물건입력'!B15="",TRUE(),ISNUMBER(SEARCH('02_대상물건입력'!B15,L1249)))),1,0))</f>
        <v/>
      </c>
      <c r="R1249" s="175">
        <f>IFERROR(ABS(E1249-'02_대상물건입력'!B11)/'02_대상물건입력'!B11,"")</f>
        <v/>
      </c>
      <c r="S1249" s="152">
        <f>IFERROR(ABS(J1249-'02_대상물건입력'!B10),"")</f>
        <v/>
      </c>
      <c r="T1249" s="152">
        <f>IFERROR(ABS('01_설정'!B4-F1249),"")</f>
        <v/>
      </c>
      <c r="U1249" s="152">
        <f>IFERROR(ABS(K1249-YEAR('02_대상물건입력'!B14)),"")</f>
        <v/>
      </c>
      <c r="V1249" s="152">
        <f>IF(B1249="","",IF(AND(E1249&gt;0,F1249&gt;0,H1249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1249=1,TRUE()),R1249&lt;='01_설정'!B5,S1249&lt;='01_설정'!B6,T1249&lt;='01_설정'!B7,U1249&lt;='01_설정'!B8),"Y",""))</f>
        <v/>
      </c>
      <c r="W1249" s="172">
        <f>IF(V1249&lt;&gt;"Y","",MAX(0,(1-R1249/'01_설정'!B5))*'01_설정'!B14+MAX(0,(1-S1249/'01_설정'!B6))*'01_설정'!B15+MAX(0,(1-T1249/'01_설정'!B7))*'01_설정'!B16+MAX(0,(1-U1249/'01_설정'!B8))*'01_설정'!B17+O1249*'01_설정'!B11+Q1249*'01_설정'!B12+P1249*'01_설정'!B13+IF(Z1249="",0,Z1249))</f>
        <v/>
      </c>
      <c r="X1249" s="152">
        <f>IF(W1249="","",1+COUNTIFS($W$4:$W$3003,"&gt;"&amp;W1249)+COUNTIFS($W$4:W1249,W1249)-1)</f>
        <v/>
      </c>
      <c r="Y1249" s="175">
        <f>IF(OR(I1249="",'02_대상물건입력'!B19="",'02_대상물건입력'!B19&lt;=0),"",ABS(I1249-'02_대상물건입력'!B19)/'02_대상물건입력'!B19)</f>
        <v/>
      </c>
      <c r="Z1249" s="172">
        <f>IF(OR(Y1249="",'01_설정'!B31="",'01_설정'!B31&lt;=0,'01_설정'!B32="",'01_설정'!B32&lt;=0),"",MAX(0,(1-Y1249/'01_설정'!B32))*'01_설정'!B31)</f>
        <v/>
      </c>
    </row>
    <row r="1250" ht="17.25" customHeight="1">
      <c r="A1250" s="152">
        <f>IF(INDEX('04A_국토부원자료'!$A:$A,ROW()+1)="","",ROW()-3)</f>
        <v/>
      </c>
      <c r="B1250" s="48">
        <f>IFERROR(INDEX('04A_국토부원자료'!$A:$T,ROW()+1,MATCH("시군구",'04A_국토부원자료'!$A$4:$T$4,0)),"")</f>
        <v/>
      </c>
      <c r="C1250" s="48">
        <f>IF(B1250="","",IFERROR(INDEX('04A_국토부원자료'!$A:$T,ROW()+1,MATCH("번지",'04A_국토부원자료'!$A$4:$T$4,0)),""))</f>
        <v/>
      </c>
      <c r="D1250" s="48">
        <f>IF(B1250="","",IF(Q1250=1,'02_대상물건입력'!$B$8,IFERROR(INDEX('04A_국토부원자료'!$A:$T,ROW()+1,MATCH("단지명",'04A_국토부원자료'!$A$4:$T$4,0)),"")))</f>
        <v/>
      </c>
      <c r="E1250" s="172">
        <f>IFERROR(VALUE(SUBSTITUTE(INDEX('04A_국토부원자료'!$A:$T,ROW()+1,MATCH("전용면적(㎡)",'04A_국토부원자료'!$A$4:$T$4,0)),",","")),"")</f>
        <v/>
      </c>
      <c r="F12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50" s="51">
        <f>IFERROR(VALUE(SUBSTITUTE(INDEX('04A_국토부원자료'!$A:$T,ROW()+1,MATCH("거래금액(만원)",'04A_국토부원자료'!$A$4:$T$4,0)),",","")),"")</f>
        <v/>
      </c>
      <c r="H1250" s="174">
        <f>IF(G1250="","",G1250*10000)</f>
        <v/>
      </c>
      <c r="I1250" s="174">
        <f>IFERROR(IF(AND(H1250&gt;0,E1250&gt;0),H1250/E1250,""),"")</f>
        <v/>
      </c>
      <c r="J1250" s="152">
        <f>IFERROR(VALUE(SUBSTITUTE(INDEX('04A_국토부원자료'!$A:$T,ROW()+1,MATCH("층",'04A_국토부원자료'!$A$4:$T$4,0)),",","")),"")</f>
        <v/>
      </c>
      <c r="K1250" s="152">
        <f>IFERROR(VALUE(SUBSTITUTE(INDEX('04A_국토부원자료'!$A:$T,ROW()+1,MATCH("건축년도",'04A_국토부원자료'!$A$4:$T$4,0)),",","")),"")</f>
        <v/>
      </c>
      <c r="L1250" s="176">
        <f>IFERROR(INDEX('04A_국토부원자료'!$A:$T,ROW()+1,MATCH("도로명",'04A_국토부원자료'!$A$4:$T$4,0)),"")</f>
        <v/>
      </c>
      <c r="M1250" s="48">
        <f>IFERROR(INDEX('04A_국토부원자료'!$A:$T,ROW()+1,MATCH("거래유형",'04A_국토부원자료'!$A$4:$T$4,0)),"")</f>
        <v/>
      </c>
      <c r="N1250" s="152">
        <f>IF(B1250="","",IF('02_대상물건입력'!B5="",1,IF(ISNUMBER(SEARCH('02_대상물건입력'!B5,B1250)),1,0)))</f>
        <v/>
      </c>
      <c r="O1250" s="152">
        <f>IF(B1250="","",IF('02_대상물건입력'!B6="",1,IF(ISNUMBER(SEARCH('02_대상물건입력'!B6,B1250)),1,0)))</f>
        <v/>
      </c>
      <c r="P1250" s="152">
        <f>IF(L1250="","",IF('02_대상물건입력'!B15="",0,IF(ISNUMBER(SEARCH('02_대상물건입력'!B15,L1250)),1,0)))</f>
        <v/>
      </c>
      <c r="Q1250" s="152">
        <f>IF(OR(C1250="",L1250=""),0,IF(AND(TRIM(C1250)=TRIM(RIGHT(SUBSTITUTE(TRIM('02_대상물건입력'!$B$7)," ",REPT(" ",99)),99)),IF('02_대상물건입력'!B15="",TRUE(),ISNUMBER(SEARCH('02_대상물건입력'!B15,L1250)))),1,0))</f>
        <v/>
      </c>
      <c r="R1250" s="175">
        <f>IFERROR(ABS(E1250-'02_대상물건입력'!B11)/'02_대상물건입력'!B11,"")</f>
        <v/>
      </c>
      <c r="S1250" s="152">
        <f>IFERROR(ABS(J1250-'02_대상물건입력'!B10),"")</f>
        <v/>
      </c>
      <c r="T1250" s="152">
        <f>IFERROR(ABS('01_설정'!B4-F1250),"")</f>
        <v/>
      </c>
      <c r="U1250" s="152">
        <f>IFERROR(ABS(K1250-YEAR('02_대상물건입력'!B14)),"")</f>
        <v/>
      </c>
      <c r="V1250" s="152">
        <f>IF(B1250="","",IF(AND(E1250&gt;0,F1250&gt;0,H1250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1250=1,TRUE()),R1250&lt;='01_설정'!B5,S1250&lt;='01_설정'!B6,T1250&lt;='01_설정'!B7,U1250&lt;='01_설정'!B8),"Y",""))</f>
        <v/>
      </c>
      <c r="W1250" s="172">
        <f>IF(V1250&lt;&gt;"Y","",MAX(0,(1-R1250/'01_설정'!B5))*'01_설정'!B14+MAX(0,(1-S1250/'01_설정'!B6))*'01_설정'!B15+MAX(0,(1-T1250/'01_설정'!B7))*'01_설정'!B16+MAX(0,(1-U1250/'01_설정'!B8))*'01_설정'!B17+O1250*'01_설정'!B11+Q1250*'01_설정'!B12+P1250*'01_설정'!B13+IF(Z1250="",0,Z1250))</f>
        <v/>
      </c>
      <c r="X1250" s="152">
        <f>IF(W1250="","",1+COUNTIFS($W$4:$W$3003,"&gt;"&amp;W1250)+COUNTIFS($W$4:W1250,W1250)-1)</f>
        <v/>
      </c>
      <c r="Y1250" s="175">
        <f>IF(OR(I1250="",'02_대상물건입력'!B19="",'02_대상물건입력'!B19&lt;=0),"",ABS(I1250-'02_대상물건입력'!B19)/'02_대상물건입력'!B19)</f>
        <v/>
      </c>
      <c r="Z1250" s="172">
        <f>IF(OR(Y1250="",'01_설정'!B31="",'01_설정'!B31&lt;=0,'01_설정'!B32="",'01_설정'!B32&lt;=0),"",MAX(0,(1-Y1250/'01_설정'!B32))*'01_설정'!B31)</f>
        <v/>
      </c>
    </row>
    <row r="1251" ht="17.25" customHeight="1">
      <c r="A1251" s="152">
        <f>IF(INDEX('04A_국토부원자료'!$A:$A,ROW()+1)="","",ROW()-3)</f>
        <v/>
      </c>
      <c r="B1251" s="48">
        <f>IFERROR(INDEX('04A_국토부원자료'!$A:$T,ROW()+1,MATCH("시군구",'04A_국토부원자료'!$A$4:$T$4,0)),"")</f>
        <v/>
      </c>
      <c r="C1251" s="48">
        <f>IF(B1251="","",IFERROR(INDEX('04A_국토부원자료'!$A:$T,ROW()+1,MATCH("번지",'04A_국토부원자료'!$A$4:$T$4,0)),""))</f>
        <v/>
      </c>
      <c r="D1251" s="48">
        <f>IF(B1251="","",IF(Q1251=1,'02_대상물건입력'!$B$8,IFERROR(INDEX('04A_국토부원자료'!$A:$T,ROW()+1,MATCH("단지명",'04A_국토부원자료'!$A$4:$T$4,0)),"")))</f>
        <v/>
      </c>
      <c r="E1251" s="172">
        <f>IFERROR(VALUE(SUBSTITUTE(INDEX('04A_국토부원자료'!$A:$T,ROW()+1,MATCH("전용면적(㎡)",'04A_국토부원자료'!$A$4:$T$4,0)),",","")),"")</f>
        <v/>
      </c>
      <c r="F12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51" s="51">
        <f>IFERROR(VALUE(SUBSTITUTE(INDEX('04A_국토부원자료'!$A:$T,ROW()+1,MATCH("거래금액(만원)",'04A_국토부원자료'!$A$4:$T$4,0)),",","")),"")</f>
        <v/>
      </c>
      <c r="H1251" s="174">
        <f>IF(G1251="","",G1251*10000)</f>
        <v/>
      </c>
      <c r="I1251" s="174">
        <f>IFERROR(IF(AND(H1251&gt;0,E1251&gt;0),H1251/E1251,""),"")</f>
        <v/>
      </c>
      <c r="J1251" s="152">
        <f>IFERROR(VALUE(SUBSTITUTE(INDEX('04A_국토부원자료'!$A:$T,ROW()+1,MATCH("층",'04A_국토부원자료'!$A$4:$T$4,0)),",","")),"")</f>
        <v/>
      </c>
      <c r="K1251" s="152">
        <f>IFERROR(VALUE(SUBSTITUTE(INDEX('04A_국토부원자료'!$A:$T,ROW()+1,MATCH("건축년도",'04A_국토부원자료'!$A$4:$T$4,0)),",","")),"")</f>
        <v/>
      </c>
      <c r="L1251" s="176">
        <f>IFERROR(INDEX('04A_국토부원자료'!$A:$T,ROW()+1,MATCH("도로명",'04A_국토부원자료'!$A$4:$T$4,0)),"")</f>
        <v/>
      </c>
      <c r="M1251" s="48">
        <f>IFERROR(INDEX('04A_국토부원자료'!$A:$T,ROW()+1,MATCH("거래유형",'04A_국토부원자료'!$A$4:$T$4,0)),"")</f>
        <v/>
      </c>
      <c r="N1251" s="152">
        <f>IF(B1251="","",IF('02_대상물건입력'!B5="",1,IF(ISNUMBER(SEARCH('02_대상물건입력'!B5,B1251)),1,0)))</f>
        <v/>
      </c>
      <c r="O1251" s="152">
        <f>IF(B1251="","",IF('02_대상물건입력'!B6="",1,IF(ISNUMBER(SEARCH('02_대상물건입력'!B6,B1251)),1,0)))</f>
        <v/>
      </c>
      <c r="P1251" s="152">
        <f>IF(L1251="","",IF('02_대상물건입력'!B15="",0,IF(ISNUMBER(SEARCH('02_대상물건입력'!B15,L1251)),1,0)))</f>
        <v/>
      </c>
      <c r="Q1251" s="152">
        <f>IF(OR(C1251="",L1251=""),0,IF(AND(TRIM(C1251)=TRIM(RIGHT(SUBSTITUTE(TRIM('02_대상물건입력'!$B$7)," ",REPT(" ",99)),99)),IF('02_대상물건입력'!B15="",TRUE(),ISNUMBER(SEARCH('02_대상물건입력'!B15,L1251)))),1,0))</f>
        <v/>
      </c>
      <c r="R1251" s="175">
        <f>IFERROR(ABS(E1251-'02_대상물건입력'!B11)/'02_대상물건입력'!B11,"")</f>
        <v/>
      </c>
      <c r="S1251" s="152">
        <f>IFERROR(ABS(J1251-'02_대상물건입력'!B10),"")</f>
        <v/>
      </c>
      <c r="T1251" s="152">
        <f>IFERROR(ABS('01_설정'!B4-F1251),"")</f>
        <v/>
      </c>
      <c r="U1251" s="152">
        <f>IFERROR(ABS(K1251-YEAR('02_대상물건입력'!B14)),"")</f>
        <v/>
      </c>
      <c r="V1251" s="152">
        <f>IF(B1251="","",IF(AND(E1251&gt;0,F1251&gt;0,H1251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1251=1,TRUE()),R1251&lt;='01_설정'!B5,S1251&lt;='01_설정'!B6,T1251&lt;='01_설정'!B7,U1251&lt;='01_설정'!B8),"Y",""))</f>
        <v/>
      </c>
      <c r="W1251" s="172">
        <f>IF(V1251&lt;&gt;"Y","",MAX(0,(1-R1251/'01_설정'!B5))*'01_설정'!B14+MAX(0,(1-S1251/'01_설정'!B6))*'01_설정'!B15+MAX(0,(1-T1251/'01_설정'!B7))*'01_설정'!B16+MAX(0,(1-U1251/'01_설정'!B8))*'01_설정'!B17+O1251*'01_설정'!B11+Q1251*'01_설정'!B12+P1251*'01_설정'!B13+IF(Z1251="",0,Z1251))</f>
        <v/>
      </c>
      <c r="X1251" s="152">
        <f>IF(W1251="","",1+COUNTIFS($W$4:$W$3003,"&gt;"&amp;W1251)+COUNTIFS($W$4:W1251,W1251)-1)</f>
        <v/>
      </c>
      <c r="Y1251" s="175">
        <f>IF(OR(I1251="",'02_대상물건입력'!B19="",'02_대상물건입력'!B19&lt;=0),"",ABS(I1251-'02_대상물건입력'!B19)/'02_대상물건입력'!B19)</f>
        <v/>
      </c>
      <c r="Z1251" s="172">
        <f>IF(OR(Y1251="",'01_설정'!B31="",'01_설정'!B31&lt;=0,'01_설정'!B32="",'01_설정'!B32&lt;=0),"",MAX(0,(1-Y1251/'01_설정'!B32))*'01_설정'!B31)</f>
        <v/>
      </c>
    </row>
    <row r="1252" ht="17.25" customHeight="1">
      <c r="A1252" s="152">
        <f>IF(INDEX('04A_국토부원자료'!$A:$A,ROW()+1)="","",ROW()-3)</f>
        <v/>
      </c>
      <c r="B1252" s="48">
        <f>IFERROR(INDEX('04A_국토부원자료'!$A:$T,ROW()+1,MATCH("시군구",'04A_국토부원자료'!$A$4:$T$4,0)),"")</f>
        <v/>
      </c>
      <c r="C1252" s="48">
        <f>IF(B1252="","",IFERROR(INDEX('04A_국토부원자료'!$A:$T,ROW()+1,MATCH("번지",'04A_국토부원자료'!$A$4:$T$4,0)),""))</f>
        <v/>
      </c>
      <c r="D1252" s="48">
        <f>IF(B1252="","",IF(Q1252=1,'02_대상물건입력'!$B$8,IFERROR(INDEX('04A_국토부원자료'!$A:$T,ROW()+1,MATCH("단지명",'04A_국토부원자료'!$A$4:$T$4,0)),"")))</f>
        <v/>
      </c>
      <c r="E1252" s="172">
        <f>IFERROR(VALUE(SUBSTITUTE(INDEX('04A_국토부원자료'!$A:$T,ROW()+1,MATCH("전용면적(㎡)",'04A_국토부원자료'!$A$4:$T$4,0)),",","")),"")</f>
        <v/>
      </c>
      <c r="F12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52" s="51">
        <f>IFERROR(VALUE(SUBSTITUTE(INDEX('04A_국토부원자료'!$A:$T,ROW()+1,MATCH("거래금액(만원)",'04A_국토부원자료'!$A$4:$T$4,0)),",","")),"")</f>
        <v/>
      </c>
      <c r="H1252" s="174">
        <f>IF(G1252="","",G1252*10000)</f>
        <v/>
      </c>
      <c r="I1252" s="174">
        <f>IFERROR(IF(AND(H1252&gt;0,E1252&gt;0),H1252/E1252,""),"")</f>
        <v/>
      </c>
      <c r="J1252" s="152">
        <f>IFERROR(VALUE(SUBSTITUTE(INDEX('04A_국토부원자료'!$A:$T,ROW()+1,MATCH("층",'04A_국토부원자료'!$A$4:$T$4,0)),",","")),"")</f>
        <v/>
      </c>
      <c r="K1252" s="152">
        <f>IFERROR(VALUE(SUBSTITUTE(INDEX('04A_국토부원자료'!$A:$T,ROW()+1,MATCH("건축년도",'04A_국토부원자료'!$A$4:$T$4,0)),",","")),"")</f>
        <v/>
      </c>
      <c r="L1252" s="176">
        <f>IFERROR(INDEX('04A_국토부원자료'!$A:$T,ROW()+1,MATCH("도로명",'04A_국토부원자료'!$A$4:$T$4,0)),"")</f>
        <v/>
      </c>
      <c r="M1252" s="48">
        <f>IFERROR(INDEX('04A_국토부원자료'!$A:$T,ROW()+1,MATCH("거래유형",'04A_국토부원자료'!$A$4:$T$4,0)),"")</f>
        <v/>
      </c>
      <c r="N1252" s="152">
        <f>IF(B1252="","",IF('02_대상물건입력'!B5="",1,IF(ISNUMBER(SEARCH('02_대상물건입력'!B5,B1252)),1,0)))</f>
        <v/>
      </c>
      <c r="O1252" s="152">
        <f>IF(B1252="","",IF('02_대상물건입력'!B6="",1,IF(ISNUMBER(SEARCH('02_대상물건입력'!B6,B1252)),1,0)))</f>
        <v/>
      </c>
      <c r="P1252" s="152">
        <f>IF(L1252="","",IF('02_대상물건입력'!B15="",0,IF(ISNUMBER(SEARCH('02_대상물건입력'!B15,L1252)),1,0)))</f>
        <v/>
      </c>
      <c r="Q1252" s="152">
        <f>IF(OR(C1252="",L1252=""),0,IF(AND(TRIM(C1252)=TRIM(RIGHT(SUBSTITUTE(TRIM('02_대상물건입력'!$B$7)," ",REPT(" ",99)),99)),IF('02_대상물건입력'!B15="",TRUE(),ISNUMBER(SEARCH('02_대상물건입력'!B15,L1252)))),1,0))</f>
        <v/>
      </c>
      <c r="R1252" s="175">
        <f>IFERROR(ABS(E1252-'02_대상물건입력'!B11)/'02_대상물건입력'!B11,"")</f>
        <v/>
      </c>
      <c r="S1252" s="152">
        <f>IFERROR(ABS(J1252-'02_대상물건입력'!B10),"")</f>
        <v/>
      </c>
      <c r="T1252" s="152">
        <f>IFERROR(ABS('01_설정'!B4-F1252),"")</f>
        <v/>
      </c>
      <c r="U1252" s="152">
        <f>IFERROR(ABS(K1252-YEAR('02_대상물건입력'!B14)),"")</f>
        <v/>
      </c>
      <c r="V1252" s="152">
        <f>IF(B1252="","",IF(AND(E1252&gt;0,F1252&gt;0,H1252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1252=1,TRUE()),R1252&lt;='01_설정'!B5,S1252&lt;='01_설정'!B6,T1252&lt;='01_설정'!B7,U1252&lt;='01_설정'!B8),"Y",""))</f>
        <v/>
      </c>
      <c r="W1252" s="172">
        <f>IF(V1252&lt;&gt;"Y","",MAX(0,(1-R1252/'01_설정'!B5))*'01_설정'!B14+MAX(0,(1-S1252/'01_설정'!B6))*'01_설정'!B15+MAX(0,(1-T1252/'01_설정'!B7))*'01_설정'!B16+MAX(0,(1-U1252/'01_설정'!B8))*'01_설정'!B17+O1252*'01_설정'!B11+Q1252*'01_설정'!B12+P1252*'01_설정'!B13+IF(Z1252="",0,Z1252))</f>
        <v/>
      </c>
      <c r="X1252" s="152">
        <f>IF(W1252="","",1+COUNTIFS($W$4:$W$3003,"&gt;"&amp;W1252)+COUNTIFS($W$4:W1252,W1252)-1)</f>
        <v/>
      </c>
      <c r="Y1252" s="175">
        <f>IF(OR(I1252="",'02_대상물건입력'!B19="",'02_대상물건입력'!B19&lt;=0),"",ABS(I1252-'02_대상물건입력'!B19)/'02_대상물건입력'!B19)</f>
        <v/>
      </c>
      <c r="Z1252" s="172">
        <f>IF(OR(Y1252="",'01_설정'!B31="",'01_설정'!B31&lt;=0,'01_설정'!B32="",'01_설정'!B32&lt;=0),"",MAX(0,(1-Y1252/'01_설정'!B32))*'01_설정'!B31)</f>
        <v/>
      </c>
    </row>
    <row r="1253" ht="17.25" customHeight="1">
      <c r="A1253" s="152">
        <f>IF(INDEX('04A_국토부원자료'!$A:$A,ROW()+1)="","",ROW()-3)</f>
        <v/>
      </c>
      <c r="B1253" s="48">
        <f>IFERROR(INDEX('04A_국토부원자료'!$A:$T,ROW()+1,MATCH("시군구",'04A_국토부원자료'!$A$4:$T$4,0)),"")</f>
        <v/>
      </c>
      <c r="C1253" s="48">
        <f>IF(B1253="","",IFERROR(INDEX('04A_국토부원자료'!$A:$T,ROW()+1,MATCH("번지",'04A_국토부원자료'!$A$4:$T$4,0)),""))</f>
        <v/>
      </c>
      <c r="D1253" s="48">
        <f>IF(B1253="","",IF(Q1253=1,'02_대상물건입력'!$B$8,IFERROR(INDEX('04A_국토부원자료'!$A:$T,ROW()+1,MATCH("단지명",'04A_국토부원자료'!$A$4:$T$4,0)),"")))</f>
        <v/>
      </c>
      <c r="E1253" s="172">
        <f>IFERROR(VALUE(SUBSTITUTE(INDEX('04A_국토부원자료'!$A:$T,ROW()+1,MATCH("전용면적(㎡)",'04A_국토부원자료'!$A$4:$T$4,0)),",","")),"")</f>
        <v/>
      </c>
      <c r="F12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53" s="51">
        <f>IFERROR(VALUE(SUBSTITUTE(INDEX('04A_국토부원자료'!$A:$T,ROW()+1,MATCH("거래금액(만원)",'04A_국토부원자료'!$A$4:$T$4,0)),",","")),"")</f>
        <v/>
      </c>
      <c r="H1253" s="174">
        <f>IF(G1253="","",G1253*10000)</f>
        <v/>
      </c>
      <c r="I1253" s="174">
        <f>IFERROR(IF(AND(H1253&gt;0,E1253&gt;0),H1253/E1253,""),"")</f>
        <v/>
      </c>
      <c r="J1253" s="152">
        <f>IFERROR(VALUE(SUBSTITUTE(INDEX('04A_국토부원자료'!$A:$T,ROW()+1,MATCH("층",'04A_국토부원자료'!$A$4:$T$4,0)),",","")),"")</f>
        <v/>
      </c>
      <c r="K1253" s="152">
        <f>IFERROR(VALUE(SUBSTITUTE(INDEX('04A_국토부원자료'!$A:$T,ROW()+1,MATCH("건축년도",'04A_국토부원자료'!$A$4:$T$4,0)),",","")),"")</f>
        <v/>
      </c>
      <c r="L1253" s="176">
        <f>IFERROR(INDEX('04A_국토부원자료'!$A:$T,ROW()+1,MATCH("도로명",'04A_국토부원자료'!$A$4:$T$4,0)),"")</f>
        <v/>
      </c>
      <c r="M1253" s="48">
        <f>IFERROR(INDEX('04A_국토부원자료'!$A:$T,ROW()+1,MATCH("거래유형",'04A_국토부원자료'!$A$4:$T$4,0)),"")</f>
        <v/>
      </c>
      <c r="N1253" s="152">
        <f>IF(B1253="","",IF('02_대상물건입력'!B5="",1,IF(ISNUMBER(SEARCH('02_대상물건입력'!B5,B1253)),1,0)))</f>
        <v/>
      </c>
      <c r="O1253" s="152">
        <f>IF(B1253="","",IF('02_대상물건입력'!B6="",1,IF(ISNUMBER(SEARCH('02_대상물건입력'!B6,B1253)),1,0)))</f>
        <v/>
      </c>
      <c r="P1253" s="152">
        <f>IF(L1253="","",IF('02_대상물건입력'!B15="",0,IF(ISNUMBER(SEARCH('02_대상물건입력'!B15,L1253)),1,0)))</f>
        <v/>
      </c>
      <c r="Q1253" s="152">
        <f>IF(OR(C1253="",L1253=""),0,IF(AND(TRIM(C1253)=TRIM(RIGHT(SUBSTITUTE(TRIM('02_대상물건입력'!$B$7)," ",REPT(" ",99)),99)),IF('02_대상물건입력'!B15="",TRUE(),ISNUMBER(SEARCH('02_대상물건입력'!B15,L1253)))),1,0))</f>
        <v/>
      </c>
      <c r="R1253" s="175">
        <f>IFERROR(ABS(E1253-'02_대상물건입력'!B11)/'02_대상물건입력'!B11,"")</f>
        <v/>
      </c>
      <c r="S1253" s="152">
        <f>IFERROR(ABS(J1253-'02_대상물건입력'!B10),"")</f>
        <v/>
      </c>
      <c r="T1253" s="152">
        <f>IFERROR(ABS('01_설정'!B4-F1253),"")</f>
        <v/>
      </c>
      <c r="U1253" s="152">
        <f>IFERROR(ABS(K1253-YEAR('02_대상물건입력'!B14)),"")</f>
        <v/>
      </c>
      <c r="V1253" s="152">
        <f>IF(B1253="","",IF(AND(E1253&gt;0,F1253&gt;0,H1253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1253=1,TRUE()),R1253&lt;='01_설정'!B5,S1253&lt;='01_설정'!B6,T1253&lt;='01_설정'!B7,U1253&lt;='01_설정'!B8),"Y",""))</f>
        <v/>
      </c>
      <c r="W1253" s="172">
        <f>IF(V1253&lt;&gt;"Y","",MAX(0,(1-R1253/'01_설정'!B5))*'01_설정'!B14+MAX(0,(1-S1253/'01_설정'!B6))*'01_설정'!B15+MAX(0,(1-T1253/'01_설정'!B7))*'01_설정'!B16+MAX(0,(1-U1253/'01_설정'!B8))*'01_설정'!B17+O1253*'01_설정'!B11+Q1253*'01_설정'!B12+P1253*'01_설정'!B13+IF(Z1253="",0,Z1253))</f>
        <v/>
      </c>
      <c r="X1253" s="152">
        <f>IF(W1253="","",1+COUNTIFS($W$4:$W$3003,"&gt;"&amp;W1253)+COUNTIFS($W$4:W1253,W1253)-1)</f>
        <v/>
      </c>
      <c r="Y1253" s="175">
        <f>IF(OR(I1253="",'02_대상물건입력'!B19="",'02_대상물건입력'!B19&lt;=0),"",ABS(I1253-'02_대상물건입력'!B19)/'02_대상물건입력'!B19)</f>
        <v/>
      </c>
      <c r="Z1253" s="172">
        <f>IF(OR(Y1253="",'01_설정'!B31="",'01_설정'!B31&lt;=0,'01_설정'!B32="",'01_설정'!B32&lt;=0),"",MAX(0,(1-Y1253/'01_설정'!B32))*'01_설정'!B31)</f>
        <v/>
      </c>
    </row>
    <row r="1254" ht="17.25" customHeight="1">
      <c r="A1254" s="152">
        <f>IF(INDEX('04A_국토부원자료'!$A:$A,ROW()+1)="","",ROW()-3)</f>
        <v/>
      </c>
      <c r="B1254" s="48">
        <f>IFERROR(INDEX('04A_국토부원자료'!$A:$T,ROW()+1,MATCH("시군구",'04A_국토부원자료'!$A$4:$T$4,0)),"")</f>
        <v/>
      </c>
      <c r="C1254" s="48">
        <f>IF(B1254="","",IFERROR(INDEX('04A_국토부원자료'!$A:$T,ROW()+1,MATCH("번지",'04A_국토부원자료'!$A$4:$T$4,0)),""))</f>
        <v/>
      </c>
      <c r="D1254" s="48">
        <f>IF(B1254="","",IF(Q1254=1,'02_대상물건입력'!$B$8,IFERROR(INDEX('04A_국토부원자료'!$A:$T,ROW()+1,MATCH("단지명",'04A_국토부원자료'!$A$4:$T$4,0)),"")))</f>
        <v/>
      </c>
      <c r="E1254" s="172">
        <f>IFERROR(VALUE(SUBSTITUTE(INDEX('04A_국토부원자료'!$A:$T,ROW()+1,MATCH("전용면적(㎡)",'04A_국토부원자료'!$A$4:$T$4,0)),",","")),"")</f>
        <v/>
      </c>
      <c r="F12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54" s="51">
        <f>IFERROR(VALUE(SUBSTITUTE(INDEX('04A_국토부원자료'!$A:$T,ROW()+1,MATCH("거래금액(만원)",'04A_국토부원자료'!$A$4:$T$4,0)),",","")),"")</f>
        <v/>
      </c>
      <c r="H1254" s="174">
        <f>IF(G1254="","",G1254*10000)</f>
        <v/>
      </c>
      <c r="I1254" s="174">
        <f>IFERROR(IF(AND(H1254&gt;0,E1254&gt;0),H1254/E1254,""),"")</f>
        <v/>
      </c>
      <c r="J1254" s="152">
        <f>IFERROR(VALUE(SUBSTITUTE(INDEX('04A_국토부원자료'!$A:$T,ROW()+1,MATCH("층",'04A_국토부원자료'!$A$4:$T$4,0)),",","")),"")</f>
        <v/>
      </c>
      <c r="K1254" s="152">
        <f>IFERROR(VALUE(SUBSTITUTE(INDEX('04A_국토부원자료'!$A:$T,ROW()+1,MATCH("건축년도",'04A_국토부원자료'!$A$4:$T$4,0)),",","")),"")</f>
        <v/>
      </c>
      <c r="L1254" s="176">
        <f>IFERROR(INDEX('04A_국토부원자료'!$A:$T,ROW()+1,MATCH("도로명",'04A_국토부원자료'!$A$4:$T$4,0)),"")</f>
        <v/>
      </c>
      <c r="M1254" s="48">
        <f>IFERROR(INDEX('04A_국토부원자료'!$A:$T,ROW()+1,MATCH("거래유형",'04A_국토부원자료'!$A$4:$T$4,0)),"")</f>
        <v/>
      </c>
      <c r="N1254" s="152">
        <f>IF(B1254="","",IF('02_대상물건입력'!B5="",1,IF(ISNUMBER(SEARCH('02_대상물건입력'!B5,B1254)),1,0)))</f>
        <v/>
      </c>
      <c r="O1254" s="152">
        <f>IF(B1254="","",IF('02_대상물건입력'!B6="",1,IF(ISNUMBER(SEARCH('02_대상물건입력'!B6,B1254)),1,0)))</f>
        <v/>
      </c>
      <c r="P1254" s="152">
        <f>IF(L1254="","",IF('02_대상물건입력'!B15="",0,IF(ISNUMBER(SEARCH('02_대상물건입력'!B15,L1254)),1,0)))</f>
        <v/>
      </c>
      <c r="Q1254" s="152">
        <f>IF(OR(C1254="",L1254=""),0,IF(AND(TRIM(C1254)=TRIM(RIGHT(SUBSTITUTE(TRIM('02_대상물건입력'!$B$7)," ",REPT(" ",99)),99)),IF('02_대상물건입력'!B15="",TRUE(),ISNUMBER(SEARCH('02_대상물건입력'!B15,L1254)))),1,0))</f>
        <v/>
      </c>
      <c r="R1254" s="175">
        <f>IFERROR(ABS(E1254-'02_대상물건입력'!B11)/'02_대상물건입력'!B11,"")</f>
        <v/>
      </c>
      <c r="S1254" s="152">
        <f>IFERROR(ABS(J1254-'02_대상물건입력'!B10),"")</f>
        <v/>
      </c>
      <c r="T1254" s="152">
        <f>IFERROR(ABS('01_설정'!B4-F1254),"")</f>
        <v/>
      </c>
      <c r="U1254" s="152">
        <f>IFERROR(ABS(K1254-YEAR('02_대상물건입력'!B14)),"")</f>
        <v/>
      </c>
      <c r="V1254" s="152">
        <f>IF(B1254="","",IF(AND(E1254&gt;0,F1254&gt;0,H1254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1254=1,TRUE()),R1254&lt;='01_설정'!B5,S1254&lt;='01_설정'!B6,T1254&lt;='01_설정'!B7,U1254&lt;='01_설정'!B8),"Y",""))</f>
        <v/>
      </c>
      <c r="W1254" s="172">
        <f>IF(V1254&lt;&gt;"Y","",MAX(0,(1-R1254/'01_설정'!B5))*'01_설정'!B14+MAX(0,(1-S1254/'01_설정'!B6))*'01_설정'!B15+MAX(0,(1-T1254/'01_설정'!B7))*'01_설정'!B16+MAX(0,(1-U1254/'01_설정'!B8))*'01_설정'!B17+O1254*'01_설정'!B11+Q1254*'01_설정'!B12+P1254*'01_설정'!B13+IF(Z1254="",0,Z1254))</f>
        <v/>
      </c>
      <c r="X1254" s="152">
        <f>IF(W1254="","",1+COUNTIFS($W$4:$W$3003,"&gt;"&amp;W1254)+COUNTIFS($W$4:W1254,W1254)-1)</f>
        <v/>
      </c>
      <c r="Y1254" s="175">
        <f>IF(OR(I1254="",'02_대상물건입력'!B19="",'02_대상물건입력'!B19&lt;=0),"",ABS(I1254-'02_대상물건입력'!B19)/'02_대상물건입력'!B19)</f>
        <v/>
      </c>
      <c r="Z1254" s="172">
        <f>IF(OR(Y1254="",'01_설정'!B31="",'01_설정'!B31&lt;=0,'01_설정'!B32="",'01_설정'!B32&lt;=0),"",MAX(0,(1-Y1254/'01_설정'!B32))*'01_설정'!B31)</f>
        <v/>
      </c>
    </row>
    <row r="1255" ht="17.25" customHeight="1">
      <c r="A1255" s="152">
        <f>IF(INDEX('04A_국토부원자료'!$A:$A,ROW()+1)="","",ROW()-3)</f>
        <v/>
      </c>
      <c r="B1255" s="48">
        <f>IFERROR(INDEX('04A_국토부원자료'!$A:$T,ROW()+1,MATCH("시군구",'04A_국토부원자료'!$A$4:$T$4,0)),"")</f>
        <v/>
      </c>
      <c r="C1255" s="48">
        <f>IF(B1255="","",IFERROR(INDEX('04A_국토부원자료'!$A:$T,ROW()+1,MATCH("번지",'04A_국토부원자료'!$A$4:$T$4,0)),""))</f>
        <v/>
      </c>
      <c r="D1255" s="48">
        <f>IF(B1255="","",IF(Q1255=1,'02_대상물건입력'!$B$8,IFERROR(INDEX('04A_국토부원자료'!$A:$T,ROW()+1,MATCH("단지명",'04A_국토부원자료'!$A$4:$T$4,0)),"")))</f>
        <v/>
      </c>
      <c r="E1255" s="172">
        <f>IFERROR(VALUE(SUBSTITUTE(INDEX('04A_국토부원자료'!$A:$T,ROW()+1,MATCH("전용면적(㎡)",'04A_국토부원자료'!$A$4:$T$4,0)),",","")),"")</f>
        <v/>
      </c>
      <c r="F12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55" s="51">
        <f>IFERROR(VALUE(SUBSTITUTE(INDEX('04A_국토부원자료'!$A:$T,ROW()+1,MATCH("거래금액(만원)",'04A_국토부원자료'!$A$4:$T$4,0)),",","")),"")</f>
        <v/>
      </c>
      <c r="H1255" s="174">
        <f>IF(G1255="","",G1255*10000)</f>
        <v/>
      </c>
      <c r="I1255" s="174">
        <f>IFERROR(IF(AND(H1255&gt;0,E1255&gt;0),H1255/E1255,""),"")</f>
        <v/>
      </c>
      <c r="J1255" s="152">
        <f>IFERROR(VALUE(SUBSTITUTE(INDEX('04A_국토부원자료'!$A:$T,ROW()+1,MATCH("층",'04A_국토부원자료'!$A$4:$T$4,0)),",","")),"")</f>
        <v/>
      </c>
      <c r="K1255" s="152">
        <f>IFERROR(VALUE(SUBSTITUTE(INDEX('04A_국토부원자료'!$A:$T,ROW()+1,MATCH("건축년도",'04A_국토부원자료'!$A$4:$T$4,0)),",","")),"")</f>
        <v/>
      </c>
      <c r="L1255" s="176">
        <f>IFERROR(INDEX('04A_국토부원자료'!$A:$T,ROW()+1,MATCH("도로명",'04A_국토부원자료'!$A$4:$T$4,0)),"")</f>
        <v/>
      </c>
      <c r="M1255" s="48">
        <f>IFERROR(INDEX('04A_국토부원자료'!$A:$T,ROW()+1,MATCH("거래유형",'04A_국토부원자료'!$A$4:$T$4,0)),"")</f>
        <v/>
      </c>
      <c r="N1255" s="152">
        <f>IF(B1255="","",IF('02_대상물건입력'!B5="",1,IF(ISNUMBER(SEARCH('02_대상물건입력'!B5,B1255)),1,0)))</f>
        <v/>
      </c>
      <c r="O1255" s="152">
        <f>IF(B1255="","",IF('02_대상물건입력'!B6="",1,IF(ISNUMBER(SEARCH('02_대상물건입력'!B6,B1255)),1,0)))</f>
        <v/>
      </c>
      <c r="P1255" s="152">
        <f>IF(L1255="","",IF('02_대상물건입력'!B15="",0,IF(ISNUMBER(SEARCH('02_대상물건입력'!B15,L1255)),1,0)))</f>
        <v/>
      </c>
      <c r="Q1255" s="152">
        <f>IF(OR(C1255="",L1255=""),0,IF(AND(TRIM(C1255)=TRIM(RIGHT(SUBSTITUTE(TRIM('02_대상물건입력'!$B$7)," ",REPT(" ",99)),99)),IF('02_대상물건입력'!B15="",TRUE(),ISNUMBER(SEARCH('02_대상물건입력'!B15,L1255)))),1,0))</f>
        <v/>
      </c>
      <c r="R1255" s="175">
        <f>IFERROR(ABS(E1255-'02_대상물건입력'!B11)/'02_대상물건입력'!B11,"")</f>
        <v/>
      </c>
      <c r="S1255" s="152">
        <f>IFERROR(ABS(J1255-'02_대상물건입력'!B10),"")</f>
        <v/>
      </c>
      <c r="T1255" s="152">
        <f>IFERROR(ABS('01_설정'!B4-F1255),"")</f>
        <v/>
      </c>
      <c r="U1255" s="152">
        <f>IFERROR(ABS(K1255-YEAR('02_대상물건입력'!B14)),"")</f>
        <v/>
      </c>
      <c r="V1255" s="152">
        <f>IF(B1255="","",IF(AND(E1255&gt;0,F1255&gt;0,H1255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1255=1,TRUE()),R1255&lt;='01_설정'!B5,S1255&lt;='01_설정'!B6,T1255&lt;='01_설정'!B7,U1255&lt;='01_설정'!B8),"Y",""))</f>
        <v/>
      </c>
      <c r="W1255" s="172">
        <f>IF(V1255&lt;&gt;"Y","",MAX(0,(1-R1255/'01_설정'!B5))*'01_설정'!B14+MAX(0,(1-S1255/'01_설정'!B6))*'01_설정'!B15+MAX(0,(1-T1255/'01_설정'!B7))*'01_설정'!B16+MAX(0,(1-U1255/'01_설정'!B8))*'01_설정'!B17+O1255*'01_설정'!B11+Q1255*'01_설정'!B12+P1255*'01_설정'!B13+IF(Z1255="",0,Z1255))</f>
        <v/>
      </c>
      <c r="X1255" s="152">
        <f>IF(W1255="","",1+COUNTIFS($W$4:$W$3003,"&gt;"&amp;W1255)+COUNTIFS($W$4:W1255,W1255)-1)</f>
        <v/>
      </c>
      <c r="Y1255" s="175">
        <f>IF(OR(I1255="",'02_대상물건입력'!B19="",'02_대상물건입력'!B19&lt;=0),"",ABS(I1255-'02_대상물건입력'!B19)/'02_대상물건입력'!B19)</f>
        <v/>
      </c>
      <c r="Z1255" s="172">
        <f>IF(OR(Y1255="",'01_설정'!B31="",'01_설정'!B31&lt;=0,'01_설정'!B32="",'01_설정'!B32&lt;=0),"",MAX(0,(1-Y1255/'01_설정'!B32))*'01_설정'!B31)</f>
        <v/>
      </c>
    </row>
    <row r="1256" ht="17.25" customHeight="1">
      <c r="A1256" s="152">
        <f>IF(INDEX('04A_국토부원자료'!$A:$A,ROW()+1)="","",ROW()-3)</f>
        <v/>
      </c>
      <c r="B1256" s="48">
        <f>IFERROR(INDEX('04A_국토부원자료'!$A:$T,ROW()+1,MATCH("시군구",'04A_국토부원자료'!$A$4:$T$4,0)),"")</f>
        <v/>
      </c>
      <c r="C1256" s="48">
        <f>IF(B1256="","",IFERROR(INDEX('04A_국토부원자료'!$A:$T,ROW()+1,MATCH("번지",'04A_국토부원자료'!$A$4:$T$4,0)),""))</f>
        <v/>
      </c>
      <c r="D1256" s="48">
        <f>IF(B1256="","",IF(Q1256=1,'02_대상물건입력'!$B$8,IFERROR(INDEX('04A_국토부원자료'!$A:$T,ROW()+1,MATCH("단지명",'04A_국토부원자료'!$A$4:$T$4,0)),"")))</f>
        <v/>
      </c>
      <c r="E1256" s="172">
        <f>IFERROR(VALUE(SUBSTITUTE(INDEX('04A_국토부원자료'!$A:$T,ROW()+1,MATCH("전용면적(㎡)",'04A_국토부원자료'!$A$4:$T$4,0)),",","")),"")</f>
        <v/>
      </c>
      <c r="F12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56" s="51">
        <f>IFERROR(VALUE(SUBSTITUTE(INDEX('04A_국토부원자료'!$A:$T,ROW()+1,MATCH("거래금액(만원)",'04A_국토부원자료'!$A$4:$T$4,0)),",","")),"")</f>
        <v/>
      </c>
      <c r="H1256" s="174">
        <f>IF(G1256="","",G1256*10000)</f>
        <v/>
      </c>
      <c r="I1256" s="174">
        <f>IFERROR(IF(AND(H1256&gt;0,E1256&gt;0),H1256/E1256,""),"")</f>
        <v/>
      </c>
      <c r="J1256" s="152">
        <f>IFERROR(VALUE(SUBSTITUTE(INDEX('04A_국토부원자료'!$A:$T,ROW()+1,MATCH("층",'04A_국토부원자료'!$A$4:$T$4,0)),",","")),"")</f>
        <v/>
      </c>
      <c r="K1256" s="152">
        <f>IFERROR(VALUE(SUBSTITUTE(INDEX('04A_국토부원자료'!$A:$T,ROW()+1,MATCH("건축년도",'04A_국토부원자료'!$A$4:$T$4,0)),",","")),"")</f>
        <v/>
      </c>
      <c r="L1256" s="176">
        <f>IFERROR(INDEX('04A_국토부원자료'!$A:$T,ROW()+1,MATCH("도로명",'04A_국토부원자료'!$A$4:$T$4,0)),"")</f>
        <v/>
      </c>
      <c r="M1256" s="48">
        <f>IFERROR(INDEX('04A_국토부원자료'!$A:$T,ROW()+1,MATCH("거래유형",'04A_국토부원자료'!$A$4:$T$4,0)),"")</f>
        <v/>
      </c>
      <c r="N1256" s="152">
        <f>IF(B1256="","",IF('02_대상물건입력'!B5="",1,IF(ISNUMBER(SEARCH('02_대상물건입력'!B5,B1256)),1,0)))</f>
        <v/>
      </c>
      <c r="O1256" s="152">
        <f>IF(B1256="","",IF('02_대상물건입력'!B6="",1,IF(ISNUMBER(SEARCH('02_대상물건입력'!B6,B1256)),1,0)))</f>
        <v/>
      </c>
      <c r="P1256" s="152">
        <f>IF(L1256="","",IF('02_대상물건입력'!B15="",0,IF(ISNUMBER(SEARCH('02_대상물건입력'!B15,L1256)),1,0)))</f>
        <v/>
      </c>
      <c r="Q1256" s="152">
        <f>IF(OR(C1256="",L1256=""),0,IF(AND(TRIM(C1256)=TRIM(RIGHT(SUBSTITUTE(TRIM('02_대상물건입력'!$B$7)," ",REPT(" ",99)),99)),IF('02_대상물건입력'!B15="",TRUE(),ISNUMBER(SEARCH('02_대상물건입력'!B15,L1256)))),1,0))</f>
        <v/>
      </c>
      <c r="R1256" s="175">
        <f>IFERROR(ABS(E1256-'02_대상물건입력'!B11)/'02_대상물건입력'!B11,"")</f>
        <v/>
      </c>
      <c r="S1256" s="152">
        <f>IFERROR(ABS(J1256-'02_대상물건입력'!B10),"")</f>
        <v/>
      </c>
      <c r="T1256" s="152">
        <f>IFERROR(ABS('01_설정'!B4-F1256),"")</f>
        <v/>
      </c>
      <c r="U1256" s="152">
        <f>IFERROR(ABS(K1256-YEAR('02_대상물건입력'!B14)),"")</f>
        <v/>
      </c>
      <c r="V1256" s="152">
        <f>IF(B1256="","",IF(AND(E1256&gt;0,F1256&gt;0,H1256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1256=1,TRUE()),R1256&lt;='01_설정'!B5,S1256&lt;='01_설정'!B6,T1256&lt;='01_설정'!B7,U1256&lt;='01_설정'!B8),"Y",""))</f>
        <v/>
      </c>
      <c r="W1256" s="172">
        <f>IF(V1256&lt;&gt;"Y","",MAX(0,(1-R1256/'01_설정'!B5))*'01_설정'!B14+MAX(0,(1-S1256/'01_설정'!B6))*'01_설정'!B15+MAX(0,(1-T1256/'01_설정'!B7))*'01_설정'!B16+MAX(0,(1-U1256/'01_설정'!B8))*'01_설정'!B17+O1256*'01_설정'!B11+Q1256*'01_설정'!B12+P1256*'01_설정'!B13+IF(Z1256="",0,Z1256))</f>
        <v/>
      </c>
      <c r="X1256" s="152">
        <f>IF(W1256="","",1+COUNTIFS($W$4:$W$3003,"&gt;"&amp;W1256)+COUNTIFS($W$4:W1256,W1256)-1)</f>
        <v/>
      </c>
      <c r="Y1256" s="175">
        <f>IF(OR(I1256="",'02_대상물건입력'!B19="",'02_대상물건입력'!B19&lt;=0),"",ABS(I1256-'02_대상물건입력'!B19)/'02_대상물건입력'!B19)</f>
        <v/>
      </c>
      <c r="Z1256" s="172">
        <f>IF(OR(Y1256="",'01_설정'!B31="",'01_설정'!B31&lt;=0,'01_설정'!B32="",'01_설정'!B32&lt;=0),"",MAX(0,(1-Y1256/'01_설정'!B32))*'01_설정'!B31)</f>
        <v/>
      </c>
    </row>
    <row r="1257" ht="17.25" customHeight="1">
      <c r="A1257" s="152">
        <f>IF(INDEX('04A_국토부원자료'!$A:$A,ROW()+1)="","",ROW()-3)</f>
        <v/>
      </c>
      <c r="B1257" s="48">
        <f>IFERROR(INDEX('04A_국토부원자료'!$A:$T,ROW()+1,MATCH("시군구",'04A_국토부원자료'!$A$4:$T$4,0)),"")</f>
        <v/>
      </c>
      <c r="C1257" s="48">
        <f>IF(B1257="","",IFERROR(INDEX('04A_국토부원자료'!$A:$T,ROW()+1,MATCH("번지",'04A_국토부원자료'!$A$4:$T$4,0)),""))</f>
        <v/>
      </c>
      <c r="D1257" s="48">
        <f>IF(B1257="","",IF(Q1257=1,'02_대상물건입력'!$B$8,IFERROR(INDEX('04A_국토부원자료'!$A:$T,ROW()+1,MATCH("단지명",'04A_국토부원자료'!$A$4:$T$4,0)),"")))</f>
        <v/>
      </c>
      <c r="E1257" s="172">
        <f>IFERROR(VALUE(SUBSTITUTE(INDEX('04A_국토부원자료'!$A:$T,ROW()+1,MATCH("전용면적(㎡)",'04A_국토부원자료'!$A$4:$T$4,0)),",","")),"")</f>
        <v/>
      </c>
      <c r="F12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57" s="51">
        <f>IFERROR(VALUE(SUBSTITUTE(INDEX('04A_국토부원자료'!$A:$T,ROW()+1,MATCH("거래금액(만원)",'04A_국토부원자료'!$A$4:$T$4,0)),",","")),"")</f>
        <v/>
      </c>
      <c r="H1257" s="174">
        <f>IF(G1257="","",G1257*10000)</f>
        <v/>
      </c>
      <c r="I1257" s="174">
        <f>IFERROR(IF(AND(H1257&gt;0,E1257&gt;0),H1257/E1257,""),"")</f>
        <v/>
      </c>
      <c r="J1257" s="152">
        <f>IFERROR(VALUE(SUBSTITUTE(INDEX('04A_국토부원자료'!$A:$T,ROW()+1,MATCH("층",'04A_국토부원자료'!$A$4:$T$4,0)),",","")),"")</f>
        <v/>
      </c>
      <c r="K1257" s="152">
        <f>IFERROR(VALUE(SUBSTITUTE(INDEX('04A_국토부원자료'!$A:$T,ROW()+1,MATCH("건축년도",'04A_국토부원자료'!$A$4:$T$4,0)),",","")),"")</f>
        <v/>
      </c>
      <c r="L1257" s="176">
        <f>IFERROR(INDEX('04A_국토부원자료'!$A:$T,ROW()+1,MATCH("도로명",'04A_국토부원자료'!$A$4:$T$4,0)),"")</f>
        <v/>
      </c>
      <c r="M1257" s="48">
        <f>IFERROR(INDEX('04A_국토부원자료'!$A:$T,ROW()+1,MATCH("거래유형",'04A_국토부원자료'!$A$4:$T$4,0)),"")</f>
        <v/>
      </c>
      <c r="N1257" s="152">
        <f>IF(B1257="","",IF('02_대상물건입력'!B5="",1,IF(ISNUMBER(SEARCH('02_대상물건입력'!B5,B1257)),1,0)))</f>
        <v/>
      </c>
      <c r="O1257" s="152">
        <f>IF(B1257="","",IF('02_대상물건입력'!B6="",1,IF(ISNUMBER(SEARCH('02_대상물건입력'!B6,B1257)),1,0)))</f>
        <v/>
      </c>
      <c r="P1257" s="152">
        <f>IF(L1257="","",IF('02_대상물건입력'!B15="",0,IF(ISNUMBER(SEARCH('02_대상물건입력'!B15,L1257)),1,0)))</f>
        <v/>
      </c>
      <c r="Q1257" s="152">
        <f>IF(OR(C1257="",L1257=""),0,IF(AND(TRIM(C1257)=TRIM(RIGHT(SUBSTITUTE(TRIM('02_대상물건입력'!$B$7)," ",REPT(" ",99)),99)),IF('02_대상물건입력'!B15="",TRUE(),ISNUMBER(SEARCH('02_대상물건입력'!B15,L1257)))),1,0))</f>
        <v/>
      </c>
      <c r="R1257" s="175">
        <f>IFERROR(ABS(E1257-'02_대상물건입력'!B11)/'02_대상물건입력'!B11,"")</f>
        <v/>
      </c>
      <c r="S1257" s="152">
        <f>IFERROR(ABS(J1257-'02_대상물건입력'!B10),"")</f>
        <v/>
      </c>
      <c r="T1257" s="152">
        <f>IFERROR(ABS('01_설정'!B4-F1257),"")</f>
        <v/>
      </c>
      <c r="U1257" s="152">
        <f>IFERROR(ABS(K1257-YEAR('02_대상물건입력'!B14)),"")</f>
        <v/>
      </c>
      <c r="V1257" s="152">
        <f>IF(B1257="","",IF(AND(E1257&gt;0,F1257&gt;0,H1257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1257=1,TRUE()),R1257&lt;='01_설정'!B5,S1257&lt;='01_설정'!B6,T1257&lt;='01_설정'!B7,U1257&lt;='01_설정'!B8),"Y",""))</f>
        <v/>
      </c>
      <c r="W1257" s="172">
        <f>IF(V1257&lt;&gt;"Y","",MAX(0,(1-R1257/'01_설정'!B5))*'01_설정'!B14+MAX(0,(1-S1257/'01_설정'!B6))*'01_설정'!B15+MAX(0,(1-T1257/'01_설정'!B7))*'01_설정'!B16+MAX(0,(1-U1257/'01_설정'!B8))*'01_설정'!B17+O1257*'01_설정'!B11+Q1257*'01_설정'!B12+P1257*'01_설정'!B13+IF(Z1257="",0,Z1257))</f>
        <v/>
      </c>
      <c r="X1257" s="152">
        <f>IF(W1257="","",1+COUNTIFS($W$4:$W$3003,"&gt;"&amp;W1257)+COUNTIFS($W$4:W1257,W1257)-1)</f>
        <v/>
      </c>
      <c r="Y1257" s="175">
        <f>IF(OR(I1257="",'02_대상물건입력'!B19="",'02_대상물건입력'!B19&lt;=0),"",ABS(I1257-'02_대상물건입력'!B19)/'02_대상물건입력'!B19)</f>
        <v/>
      </c>
      <c r="Z1257" s="172">
        <f>IF(OR(Y1257="",'01_설정'!B31="",'01_설정'!B31&lt;=0,'01_설정'!B32="",'01_설정'!B32&lt;=0),"",MAX(0,(1-Y1257/'01_설정'!B32))*'01_설정'!B31)</f>
        <v/>
      </c>
    </row>
    <row r="1258" ht="17.25" customHeight="1">
      <c r="A1258" s="152">
        <f>IF(INDEX('04A_국토부원자료'!$A:$A,ROW()+1)="","",ROW()-3)</f>
        <v/>
      </c>
      <c r="B1258" s="48">
        <f>IFERROR(INDEX('04A_국토부원자료'!$A:$T,ROW()+1,MATCH("시군구",'04A_국토부원자료'!$A$4:$T$4,0)),"")</f>
        <v/>
      </c>
      <c r="C1258" s="48">
        <f>IF(B1258="","",IFERROR(INDEX('04A_국토부원자료'!$A:$T,ROW()+1,MATCH("번지",'04A_국토부원자료'!$A$4:$T$4,0)),""))</f>
        <v/>
      </c>
      <c r="D1258" s="48">
        <f>IF(B1258="","",IF(Q1258=1,'02_대상물건입력'!$B$8,IFERROR(INDEX('04A_국토부원자료'!$A:$T,ROW()+1,MATCH("단지명",'04A_국토부원자료'!$A$4:$T$4,0)),"")))</f>
        <v/>
      </c>
      <c r="E1258" s="172">
        <f>IFERROR(VALUE(SUBSTITUTE(INDEX('04A_국토부원자료'!$A:$T,ROW()+1,MATCH("전용면적(㎡)",'04A_국토부원자료'!$A$4:$T$4,0)),",","")),"")</f>
        <v/>
      </c>
      <c r="F12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58" s="51">
        <f>IFERROR(VALUE(SUBSTITUTE(INDEX('04A_국토부원자료'!$A:$T,ROW()+1,MATCH("거래금액(만원)",'04A_국토부원자료'!$A$4:$T$4,0)),",","")),"")</f>
        <v/>
      </c>
      <c r="H1258" s="174">
        <f>IF(G1258="","",G1258*10000)</f>
        <v/>
      </c>
      <c r="I1258" s="174">
        <f>IFERROR(IF(AND(H1258&gt;0,E1258&gt;0),H1258/E1258,""),"")</f>
        <v/>
      </c>
      <c r="J1258" s="152">
        <f>IFERROR(VALUE(SUBSTITUTE(INDEX('04A_국토부원자료'!$A:$T,ROW()+1,MATCH("층",'04A_국토부원자료'!$A$4:$T$4,0)),",","")),"")</f>
        <v/>
      </c>
      <c r="K1258" s="152">
        <f>IFERROR(VALUE(SUBSTITUTE(INDEX('04A_국토부원자료'!$A:$T,ROW()+1,MATCH("건축년도",'04A_국토부원자료'!$A$4:$T$4,0)),",","")),"")</f>
        <v/>
      </c>
      <c r="L1258" s="176">
        <f>IFERROR(INDEX('04A_국토부원자료'!$A:$T,ROW()+1,MATCH("도로명",'04A_국토부원자료'!$A$4:$T$4,0)),"")</f>
        <v/>
      </c>
      <c r="M1258" s="48">
        <f>IFERROR(INDEX('04A_국토부원자료'!$A:$T,ROW()+1,MATCH("거래유형",'04A_국토부원자료'!$A$4:$T$4,0)),"")</f>
        <v/>
      </c>
      <c r="N1258" s="152">
        <f>IF(B1258="","",IF('02_대상물건입력'!B5="",1,IF(ISNUMBER(SEARCH('02_대상물건입력'!B5,B1258)),1,0)))</f>
        <v/>
      </c>
      <c r="O1258" s="152">
        <f>IF(B1258="","",IF('02_대상물건입력'!B6="",1,IF(ISNUMBER(SEARCH('02_대상물건입력'!B6,B1258)),1,0)))</f>
        <v/>
      </c>
      <c r="P1258" s="152">
        <f>IF(L1258="","",IF('02_대상물건입력'!B15="",0,IF(ISNUMBER(SEARCH('02_대상물건입력'!B15,L1258)),1,0)))</f>
        <v/>
      </c>
      <c r="Q1258" s="152">
        <f>IF(OR(C1258="",L1258=""),0,IF(AND(TRIM(C1258)=TRIM(RIGHT(SUBSTITUTE(TRIM('02_대상물건입력'!$B$7)," ",REPT(" ",99)),99)),IF('02_대상물건입력'!B15="",TRUE(),ISNUMBER(SEARCH('02_대상물건입력'!B15,L1258)))),1,0))</f>
        <v/>
      </c>
      <c r="R1258" s="175">
        <f>IFERROR(ABS(E1258-'02_대상물건입력'!B11)/'02_대상물건입력'!B11,"")</f>
        <v/>
      </c>
      <c r="S1258" s="152">
        <f>IFERROR(ABS(J1258-'02_대상물건입력'!B10),"")</f>
        <v/>
      </c>
      <c r="T1258" s="152">
        <f>IFERROR(ABS('01_설정'!B4-F1258),"")</f>
        <v/>
      </c>
      <c r="U1258" s="152">
        <f>IFERROR(ABS(K1258-YEAR('02_대상물건입력'!B14)),"")</f>
        <v/>
      </c>
      <c r="V1258" s="152">
        <f>IF(B1258="","",IF(AND(E1258&gt;0,F1258&gt;0,H1258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1258=1,TRUE()),R1258&lt;='01_설정'!B5,S1258&lt;='01_설정'!B6,T1258&lt;='01_설정'!B7,U1258&lt;='01_설정'!B8),"Y",""))</f>
        <v/>
      </c>
      <c r="W1258" s="172">
        <f>IF(V1258&lt;&gt;"Y","",MAX(0,(1-R1258/'01_설정'!B5))*'01_설정'!B14+MAX(0,(1-S1258/'01_설정'!B6))*'01_설정'!B15+MAX(0,(1-T1258/'01_설정'!B7))*'01_설정'!B16+MAX(0,(1-U1258/'01_설정'!B8))*'01_설정'!B17+O1258*'01_설정'!B11+Q1258*'01_설정'!B12+P1258*'01_설정'!B13+IF(Z1258="",0,Z1258))</f>
        <v/>
      </c>
      <c r="X1258" s="152">
        <f>IF(W1258="","",1+COUNTIFS($W$4:$W$3003,"&gt;"&amp;W1258)+COUNTIFS($W$4:W1258,W1258)-1)</f>
        <v/>
      </c>
      <c r="Y1258" s="175">
        <f>IF(OR(I1258="",'02_대상물건입력'!B19="",'02_대상물건입력'!B19&lt;=0),"",ABS(I1258-'02_대상물건입력'!B19)/'02_대상물건입력'!B19)</f>
        <v/>
      </c>
      <c r="Z1258" s="172">
        <f>IF(OR(Y1258="",'01_설정'!B31="",'01_설정'!B31&lt;=0,'01_설정'!B32="",'01_설정'!B32&lt;=0),"",MAX(0,(1-Y1258/'01_설정'!B32))*'01_설정'!B31)</f>
        <v/>
      </c>
    </row>
    <row r="1259" ht="17.25" customHeight="1">
      <c r="A1259" s="152">
        <f>IF(INDEX('04A_국토부원자료'!$A:$A,ROW()+1)="","",ROW()-3)</f>
        <v/>
      </c>
      <c r="B1259" s="48">
        <f>IFERROR(INDEX('04A_국토부원자료'!$A:$T,ROW()+1,MATCH("시군구",'04A_국토부원자료'!$A$4:$T$4,0)),"")</f>
        <v/>
      </c>
      <c r="C1259" s="48">
        <f>IF(B1259="","",IFERROR(INDEX('04A_국토부원자료'!$A:$T,ROW()+1,MATCH("번지",'04A_국토부원자료'!$A$4:$T$4,0)),""))</f>
        <v/>
      </c>
      <c r="D1259" s="48">
        <f>IF(B1259="","",IF(Q1259=1,'02_대상물건입력'!$B$8,IFERROR(INDEX('04A_국토부원자료'!$A:$T,ROW()+1,MATCH("단지명",'04A_국토부원자료'!$A$4:$T$4,0)),"")))</f>
        <v/>
      </c>
      <c r="E1259" s="172">
        <f>IFERROR(VALUE(SUBSTITUTE(INDEX('04A_국토부원자료'!$A:$T,ROW()+1,MATCH("전용면적(㎡)",'04A_국토부원자료'!$A$4:$T$4,0)),",","")),"")</f>
        <v/>
      </c>
      <c r="F12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59" s="51">
        <f>IFERROR(VALUE(SUBSTITUTE(INDEX('04A_국토부원자료'!$A:$T,ROW()+1,MATCH("거래금액(만원)",'04A_국토부원자료'!$A$4:$T$4,0)),",","")),"")</f>
        <v/>
      </c>
      <c r="H1259" s="174">
        <f>IF(G1259="","",G1259*10000)</f>
        <v/>
      </c>
      <c r="I1259" s="174">
        <f>IFERROR(IF(AND(H1259&gt;0,E1259&gt;0),H1259/E1259,""),"")</f>
        <v/>
      </c>
      <c r="J1259" s="152">
        <f>IFERROR(VALUE(SUBSTITUTE(INDEX('04A_국토부원자료'!$A:$T,ROW()+1,MATCH("층",'04A_국토부원자료'!$A$4:$T$4,0)),",","")),"")</f>
        <v/>
      </c>
      <c r="K1259" s="152">
        <f>IFERROR(VALUE(SUBSTITUTE(INDEX('04A_국토부원자료'!$A:$T,ROW()+1,MATCH("건축년도",'04A_국토부원자료'!$A$4:$T$4,0)),",","")),"")</f>
        <v/>
      </c>
      <c r="L1259" s="176">
        <f>IFERROR(INDEX('04A_국토부원자료'!$A:$T,ROW()+1,MATCH("도로명",'04A_국토부원자료'!$A$4:$T$4,0)),"")</f>
        <v/>
      </c>
      <c r="M1259" s="48">
        <f>IFERROR(INDEX('04A_국토부원자료'!$A:$T,ROW()+1,MATCH("거래유형",'04A_국토부원자료'!$A$4:$T$4,0)),"")</f>
        <v/>
      </c>
      <c r="N1259" s="152">
        <f>IF(B1259="","",IF('02_대상물건입력'!B5="",1,IF(ISNUMBER(SEARCH('02_대상물건입력'!B5,B1259)),1,0)))</f>
        <v/>
      </c>
      <c r="O1259" s="152">
        <f>IF(B1259="","",IF('02_대상물건입력'!B6="",1,IF(ISNUMBER(SEARCH('02_대상물건입력'!B6,B1259)),1,0)))</f>
        <v/>
      </c>
      <c r="P1259" s="152">
        <f>IF(L1259="","",IF('02_대상물건입력'!B15="",0,IF(ISNUMBER(SEARCH('02_대상물건입력'!B15,L1259)),1,0)))</f>
        <v/>
      </c>
      <c r="Q1259" s="152">
        <f>IF(OR(C1259="",L1259=""),0,IF(AND(TRIM(C1259)=TRIM(RIGHT(SUBSTITUTE(TRIM('02_대상물건입력'!$B$7)," ",REPT(" ",99)),99)),IF('02_대상물건입력'!B15="",TRUE(),ISNUMBER(SEARCH('02_대상물건입력'!B15,L1259)))),1,0))</f>
        <v/>
      </c>
      <c r="R1259" s="175">
        <f>IFERROR(ABS(E1259-'02_대상물건입력'!B11)/'02_대상물건입력'!B11,"")</f>
        <v/>
      </c>
      <c r="S1259" s="152">
        <f>IFERROR(ABS(J1259-'02_대상물건입력'!B10),"")</f>
        <v/>
      </c>
      <c r="T1259" s="152">
        <f>IFERROR(ABS('01_설정'!B4-F1259),"")</f>
        <v/>
      </c>
      <c r="U1259" s="152">
        <f>IFERROR(ABS(K1259-YEAR('02_대상물건입력'!B14)),"")</f>
        <v/>
      </c>
      <c r="V1259" s="152">
        <f>IF(B1259="","",IF(AND(E1259&gt;0,F1259&gt;0,H1259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1259=1,TRUE()),R1259&lt;='01_설정'!B5,S1259&lt;='01_설정'!B6,T1259&lt;='01_설정'!B7,U1259&lt;='01_설정'!B8),"Y",""))</f>
        <v/>
      </c>
      <c r="W1259" s="172">
        <f>IF(V1259&lt;&gt;"Y","",MAX(0,(1-R1259/'01_설정'!B5))*'01_설정'!B14+MAX(0,(1-S1259/'01_설정'!B6))*'01_설정'!B15+MAX(0,(1-T1259/'01_설정'!B7))*'01_설정'!B16+MAX(0,(1-U1259/'01_설정'!B8))*'01_설정'!B17+O1259*'01_설정'!B11+Q1259*'01_설정'!B12+P1259*'01_설정'!B13+IF(Z1259="",0,Z1259))</f>
        <v/>
      </c>
      <c r="X1259" s="152">
        <f>IF(W1259="","",1+COUNTIFS($W$4:$W$3003,"&gt;"&amp;W1259)+COUNTIFS($W$4:W1259,W1259)-1)</f>
        <v/>
      </c>
      <c r="Y1259" s="175">
        <f>IF(OR(I1259="",'02_대상물건입력'!B19="",'02_대상물건입력'!B19&lt;=0),"",ABS(I1259-'02_대상물건입력'!B19)/'02_대상물건입력'!B19)</f>
        <v/>
      </c>
      <c r="Z1259" s="172">
        <f>IF(OR(Y1259="",'01_설정'!B31="",'01_설정'!B31&lt;=0,'01_설정'!B32="",'01_설정'!B32&lt;=0),"",MAX(0,(1-Y1259/'01_설정'!B32))*'01_설정'!B31)</f>
        <v/>
      </c>
    </row>
    <row r="1260" ht="17.25" customHeight="1">
      <c r="A1260" s="152">
        <f>IF(INDEX('04A_국토부원자료'!$A:$A,ROW()+1)="","",ROW()-3)</f>
        <v/>
      </c>
      <c r="B1260" s="48">
        <f>IFERROR(INDEX('04A_국토부원자료'!$A:$T,ROW()+1,MATCH("시군구",'04A_국토부원자료'!$A$4:$T$4,0)),"")</f>
        <v/>
      </c>
      <c r="C1260" s="48">
        <f>IF(B1260="","",IFERROR(INDEX('04A_국토부원자료'!$A:$T,ROW()+1,MATCH("번지",'04A_국토부원자료'!$A$4:$T$4,0)),""))</f>
        <v/>
      </c>
      <c r="D1260" s="48">
        <f>IF(B1260="","",IF(Q1260=1,'02_대상물건입력'!$B$8,IFERROR(INDEX('04A_국토부원자료'!$A:$T,ROW()+1,MATCH("단지명",'04A_국토부원자료'!$A$4:$T$4,0)),"")))</f>
        <v/>
      </c>
      <c r="E1260" s="172">
        <f>IFERROR(VALUE(SUBSTITUTE(INDEX('04A_국토부원자료'!$A:$T,ROW()+1,MATCH("전용면적(㎡)",'04A_국토부원자료'!$A$4:$T$4,0)),",","")),"")</f>
        <v/>
      </c>
      <c r="F12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60" s="51">
        <f>IFERROR(VALUE(SUBSTITUTE(INDEX('04A_국토부원자료'!$A:$T,ROW()+1,MATCH("거래금액(만원)",'04A_국토부원자료'!$A$4:$T$4,0)),",","")),"")</f>
        <v/>
      </c>
      <c r="H1260" s="174">
        <f>IF(G1260="","",G1260*10000)</f>
        <v/>
      </c>
      <c r="I1260" s="174">
        <f>IFERROR(IF(AND(H1260&gt;0,E1260&gt;0),H1260/E1260,""),"")</f>
        <v/>
      </c>
      <c r="J1260" s="152">
        <f>IFERROR(VALUE(SUBSTITUTE(INDEX('04A_국토부원자료'!$A:$T,ROW()+1,MATCH("층",'04A_국토부원자료'!$A$4:$T$4,0)),",","")),"")</f>
        <v/>
      </c>
      <c r="K1260" s="152">
        <f>IFERROR(VALUE(SUBSTITUTE(INDEX('04A_국토부원자료'!$A:$T,ROW()+1,MATCH("건축년도",'04A_국토부원자료'!$A$4:$T$4,0)),",","")),"")</f>
        <v/>
      </c>
      <c r="L1260" s="176">
        <f>IFERROR(INDEX('04A_국토부원자료'!$A:$T,ROW()+1,MATCH("도로명",'04A_국토부원자료'!$A$4:$T$4,0)),"")</f>
        <v/>
      </c>
      <c r="M1260" s="48">
        <f>IFERROR(INDEX('04A_국토부원자료'!$A:$T,ROW()+1,MATCH("거래유형",'04A_국토부원자료'!$A$4:$T$4,0)),"")</f>
        <v/>
      </c>
      <c r="N1260" s="152">
        <f>IF(B1260="","",IF('02_대상물건입력'!B5="",1,IF(ISNUMBER(SEARCH('02_대상물건입력'!B5,B1260)),1,0)))</f>
        <v/>
      </c>
      <c r="O1260" s="152">
        <f>IF(B1260="","",IF('02_대상물건입력'!B6="",1,IF(ISNUMBER(SEARCH('02_대상물건입력'!B6,B1260)),1,0)))</f>
        <v/>
      </c>
      <c r="P1260" s="152">
        <f>IF(L1260="","",IF('02_대상물건입력'!B15="",0,IF(ISNUMBER(SEARCH('02_대상물건입력'!B15,L1260)),1,0)))</f>
        <v/>
      </c>
      <c r="Q1260" s="152">
        <f>IF(OR(C1260="",L1260=""),0,IF(AND(TRIM(C1260)=TRIM(RIGHT(SUBSTITUTE(TRIM('02_대상물건입력'!$B$7)," ",REPT(" ",99)),99)),IF('02_대상물건입력'!B15="",TRUE(),ISNUMBER(SEARCH('02_대상물건입력'!B15,L1260)))),1,0))</f>
        <v/>
      </c>
      <c r="R1260" s="175">
        <f>IFERROR(ABS(E1260-'02_대상물건입력'!B11)/'02_대상물건입력'!B11,"")</f>
        <v/>
      </c>
      <c r="S1260" s="152">
        <f>IFERROR(ABS(J1260-'02_대상물건입력'!B10),"")</f>
        <v/>
      </c>
      <c r="T1260" s="152">
        <f>IFERROR(ABS('01_설정'!B4-F1260),"")</f>
        <v/>
      </c>
      <c r="U1260" s="152">
        <f>IFERROR(ABS(K1260-YEAR('02_대상물건입력'!B14)),"")</f>
        <v/>
      </c>
      <c r="V1260" s="152">
        <f>IF(B1260="","",IF(AND(E1260&gt;0,F1260&gt;0,H1260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1260=1,TRUE()),R1260&lt;='01_설정'!B5,S1260&lt;='01_설정'!B6,T1260&lt;='01_설정'!B7,U1260&lt;='01_설정'!B8),"Y",""))</f>
        <v/>
      </c>
      <c r="W1260" s="172">
        <f>IF(V1260&lt;&gt;"Y","",MAX(0,(1-R1260/'01_설정'!B5))*'01_설정'!B14+MAX(0,(1-S1260/'01_설정'!B6))*'01_설정'!B15+MAX(0,(1-T1260/'01_설정'!B7))*'01_설정'!B16+MAX(0,(1-U1260/'01_설정'!B8))*'01_설정'!B17+O1260*'01_설정'!B11+Q1260*'01_설정'!B12+P1260*'01_설정'!B13+IF(Z1260="",0,Z1260))</f>
        <v/>
      </c>
      <c r="X1260" s="152">
        <f>IF(W1260="","",1+COUNTIFS($W$4:$W$3003,"&gt;"&amp;W1260)+COUNTIFS($W$4:W1260,W1260)-1)</f>
        <v/>
      </c>
      <c r="Y1260" s="175">
        <f>IF(OR(I1260="",'02_대상물건입력'!B19="",'02_대상물건입력'!B19&lt;=0),"",ABS(I1260-'02_대상물건입력'!B19)/'02_대상물건입력'!B19)</f>
        <v/>
      </c>
      <c r="Z1260" s="172">
        <f>IF(OR(Y1260="",'01_설정'!B31="",'01_설정'!B31&lt;=0,'01_설정'!B32="",'01_설정'!B32&lt;=0),"",MAX(0,(1-Y1260/'01_설정'!B32))*'01_설정'!B31)</f>
        <v/>
      </c>
    </row>
    <row r="1261" ht="17.25" customHeight="1">
      <c r="A1261" s="152">
        <f>IF(INDEX('04A_국토부원자료'!$A:$A,ROW()+1)="","",ROW()-3)</f>
        <v/>
      </c>
      <c r="B1261" s="48">
        <f>IFERROR(INDEX('04A_국토부원자료'!$A:$T,ROW()+1,MATCH("시군구",'04A_국토부원자료'!$A$4:$T$4,0)),"")</f>
        <v/>
      </c>
      <c r="C1261" s="48">
        <f>IF(B1261="","",IFERROR(INDEX('04A_국토부원자료'!$A:$T,ROW()+1,MATCH("번지",'04A_국토부원자료'!$A$4:$T$4,0)),""))</f>
        <v/>
      </c>
      <c r="D1261" s="48">
        <f>IF(B1261="","",IF(Q1261=1,'02_대상물건입력'!$B$8,IFERROR(INDEX('04A_국토부원자료'!$A:$T,ROW()+1,MATCH("단지명",'04A_국토부원자료'!$A$4:$T$4,0)),"")))</f>
        <v/>
      </c>
      <c r="E1261" s="172">
        <f>IFERROR(VALUE(SUBSTITUTE(INDEX('04A_국토부원자료'!$A:$T,ROW()+1,MATCH("전용면적(㎡)",'04A_국토부원자료'!$A$4:$T$4,0)),",","")),"")</f>
        <v/>
      </c>
      <c r="F12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61" s="51">
        <f>IFERROR(VALUE(SUBSTITUTE(INDEX('04A_국토부원자료'!$A:$T,ROW()+1,MATCH("거래금액(만원)",'04A_국토부원자료'!$A$4:$T$4,0)),",","")),"")</f>
        <v/>
      </c>
      <c r="H1261" s="174">
        <f>IF(G1261="","",G1261*10000)</f>
        <v/>
      </c>
      <c r="I1261" s="174">
        <f>IFERROR(IF(AND(H1261&gt;0,E1261&gt;0),H1261/E1261,""),"")</f>
        <v/>
      </c>
      <c r="J1261" s="152">
        <f>IFERROR(VALUE(SUBSTITUTE(INDEX('04A_국토부원자료'!$A:$T,ROW()+1,MATCH("층",'04A_국토부원자료'!$A$4:$T$4,0)),",","")),"")</f>
        <v/>
      </c>
      <c r="K1261" s="152">
        <f>IFERROR(VALUE(SUBSTITUTE(INDEX('04A_국토부원자료'!$A:$T,ROW()+1,MATCH("건축년도",'04A_국토부원자료'!$A$4:$T$4,0)),",","")),"")</f>
        <v/>
      </c>
      <c r="L1261" s="176">
        <f>IFERROR(INDEX('04A_국토부원자료'!$A:$T,ROW()+1,MATCH("도로명",'04A_국토부원자료'!$A$4:$T$4,0)),"")</f>
        <v/>
      </c>
      <c r="M1261" s="48">
        <f>IFERROR(INDEX('04A_국토부원자료'!$A:$T,ROW()+1,MATCH("거래유형",'04A_국토부원자료'!$A$4:$T$4,0)),"")</f>
        <v/>
      </c>
      <c r="N1261" s="152">
        <f>IF(B1261="","",IF('02_대상물건입력'!B5="",1,IF(ISNUMBER(SEARCH('02_대상물건입력'!B5,B1261)),1,0)))</f>
        <v/>
      </c>
      <c r="O1261" s="152">
        <f>IF(B1261="","",IF('02_대상물건입력'!B6="",1,IF(ISNUMBER(SEARCH('02_대상물건입력'!B6,B1261)),1,0)))</f>
        <v/>
      </c>
      <c r="P1261" s="152">
        <f>IF(L1261="","",IF('02_대상물건입력'!B15="",0,IF(ISNUMBER(SEARCH('02_대상물건입력'!B15,L1261)),1,0)))</f>
        <v/>
      </c>
      <c r="Q1261" s="152">
        <f>IF(OR(C1261="",L1261=""),0,IF(AND(TRIM(C1261)=TRIM(RIGHT(SUBSTITUTE(TRIM('02_대상물건입력'!$B$7)," ",REPT(" ",99)),99)),IF('02_대상물건입력'!B15="",TRUE(),ISNUMBER(SEARCH('02_대상물건입력'!B15,L1261)))),1,0))</f>
        <v/>
      </c>
      <c r="R1261" s="175">
        <f>IFERROR(ABS(E1261-'02_대상물건입력'!B11)/'02_대상물건입력'!B11,"")</f>
        <v/>
      </c>
      <c r="S1261" s="152">
        <f>IFERROR(ABS(J1261-'02_대상물건입력'!B10),"")</f>
        <v/>
      </c>
      <c r="T1261" s="152">
        <f>IFERROR(ABS('01_설정'!B4-F1261),"")</f>
        <v/>
      </c>
      <c r="U1261" s="152">
        <f>IFERROR(ABS(K1261-YEAR('02_대상물건입력'!B14)),"")</f>
        <v/>
      </c>
      <c r="V1261" s="152">
        <f>IF(B1261="","",IF(AND(E1261&gt;0,F1261&gt;0,H1261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1261=1,TRUE()),R1261&lt;='01_설정'!B5,S1261&lt;='01_설정'!B6,T1261&lt;='01_설정'!B7,U1261&lt;='01_설정'!B8),"Y",""))</f>
        <v/>
      </c>
      <c r="W1261" s="172">
        <f>IF(V1261&lt;&gt;"Y","",MAX(0,(1-R1261/'01_설정'!B5))*'01_설정'!B14+MAX(0,(1-S1261/'01_설정'!B6))*'01_설정'!B15+MAX(0,(1-T1261/'01_설정'!B7))*'01_설정'!B16+MAX(0,(1-U1261/'01_설정'!B8))*'01_설정'!B17+O1261*'01_설정'!B11+Q1261*'01_설정'!B12+P1261*'01_설정'!B13+IF(Z1261="",0,Z1261))</f>
        <v/>
      </c>
      <c r="X1261" s="152">
        <f>IF(W1261="","",1+COUNTIFS($W$4:$W$3003,"&gt;"&amp;W1261)+COUNTIFS($W$4:W1261,W1261)-1)</f>
        <v/>
      </c>
      <c r="Y1261" s="175">
        <f>IF(OR(I1261="",'02_대상물건입력'!B19="",'02_대상물건입력'!B19&lt;=0),"",ABS(I1261-'02_대상물건입력'!B19)/'02_대상물건입력'!B19)</f>
        <v/>
      </c>
      <c r="Z1261" s="172">
        <f>IF(OR(Y1261="",'01_설정'!B31="",'01_설정'!B31&lt;=0,'01_설정'!B32="",'01_설정'!B32&lt;=0),"",MAX(0,(1-Y1261/'01_설정'!B32))*'01_설정'!B31)</f>
        <v/>
      </c>
    </row>
    <row r="1262" ht="17.25" customHeight="1">
      <c r="A1262" s="152">
        <f>IF(INDEX('04A_국토부원자료'!$A:$A,ROW()+1)="","",ROW()-3)</f>
        <v/>
      </c>
      <c r="B1262" s="48">
        <f>IFERROR(INDEX('04A_국토부원자료'!$A:$T,ROW()+1,MATCH("시군구",'04A_국토부원자료'!$A$4:$T$4,0)),"")</f>
        <v/>
      </c>
      <c r="C1262" s="48">
        <f>IF(B1262="","",IFERROR(INDEX('04A_국토부원자료'!$A:$T,ROW()+1,MATCH("번지",'04A_국토부원자료'!$A$4:$T$4,0)),""))</f>
        <v/>
      </c>
      <c r="D1262" s="48">
        <f>IF(B1262="","",IF(Q1262=1,'02_대상물건입력'!$B$8,IFERROR(INDEX('04A_국토부원자료'!$A:$T,ROW()+1,MATCH("단지명",'04A_국토부원자료'!$A$4:$T$4,0)),"")))</f>
        <v/>
      </c>
      <c r="E1262" s="172">
        <f>IFERROR(VALUE(SUBSTITUTE(INDEX('04A_국토부원자료'!$A:$T,ROW()+1,MATCH("전용면적(㎡)",'04A_국토부원자료'!$A$4:$T$4,0)),",","")),"")</f>
        <v/>
      </c>
      <c r="F12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62" s="51">
        <f>IFERROR(VALUE(SUBSTITUTE(INDEX('04A_국토부원자료'!$A:$T,ROW()+1,MATCH("거래금액(만원)",'04A_국토부원자료'!$A$4:$T$4,0)),",","")),"")</f>
        <v/>
      </c>
      <c r="H1262" s="174">
        <f>IF(G1262="","",G1262*10000)</f>
        <v/>
      </c>
      <c r="I1262" s="174">
        <f>IFERROR(IF(AND(H1262&gt;0,E1262&gt;0),H1262/E1262,""),"")</f>
        <v/>
      </c>
      <c r="J1262" s="152">
        <f>IFERROR(VALUE(SUBSTITUTE(INDEX('04A_국토부원자료'!$A:$T,ROW()+1,MATCH("층",'04A_국토부원자료'!$A$4:$T$4,0)),",","")),"")</f>
        <v/>
      </c>
      <c r="K1262" s="152">
        <f>IFERROR(VALUE(SUBSTITUTE(INDEX('04A_국토부원자료'!$A:$T,ROW()+1,MATCH("건축년도",'04A_국토부원자료'!$A$4:$T$4,0)),",","")),"")</f>
        <v/>
      </c>
      <c r="L1262" s="176">
        <f>IFERROR(INDEX('04A_국토부원자료'!$A:$T,ROW()+1,MATCH("도로명",'04A_국토부원자료'!$A$4:$T$4,0)),"")</f>
        <v/>
      </c>
      <c r="M1262" s="48">
        <f>IFERROR(INDEX('04A_국토부원자료'!$A:$T,ROW()+1,MATCH("거래유형",'04A_국토부원자료'!$A$4:$T$4,0)),"")</f>
        <v/>
      </c>
      <c r="N1262" s="152">
        <f>IF(B1262="","",IF('02_대상물건입력'!B5="",1,IF(ISNUMBER(SEARCH('02_대상물건입력'!B5,B1262)),1,0)))</f>
        <v/>
      </c>
      <c r="O1262" s="152">
        <f>IF(B1262="","",IF('02_대상물건입력'!B6="",1,IF(ISNUMBER(SEARCH('02_대상물건입력'!B6,B1262)),1,0)))</f>
        <v/>
      </c>
      <c r="P1262" s="152">
        <f>IF(L1262="","",IF('02_대상물건입력'!B15="",0,IF(ISNUMBER(SEARCH('02_대상물건입력'!B15,L1262)),1,0)))</f>
        <v/>
      </c>
      <c r="Q1262" s="152">
        <f>IF(OR(C1262="",L1262=""),0,IF(AND(TRIM(C1262)=TRIM(RIGHT(SUBSTITUTE(TRIM('02_대상물건입력'!$B$7)," ",REPT(" ",99)),99)),IF('02_대상물건입력'!B15="",TRUE(),ISNUMBER(SEARCH('02_대상물건입력'!B15,L1262)))),1,0))</f>
        <v/>
      </c>
      <c r="R1262" s="175">
        <f>IFERROR(ABS(E1262-'02_대상물건입력'!B11)/'02_대상물건입력'!B11,"")</f>
        <v/>
      </c>
      <c r="S1262" s="152">
        <f>IFERROR(ABS(J1262-'02_대상물건입력'!B10),"")</f>
        <v/>
      </c>
      <c r="T1262" s="152">
        <f>IFERROR(ABS('01_설정'!B4-F1262),"")</f>
        <v/>
      </c>
      <c r="U1262" s="152">
        <f>IFERROR(ABS(K1262-YEAR('02_대상물건입력'!B14)),"")</f>
        <v/>
      </c>
      <c r="V1262" s="152">
        <f>IF(B1262="","",IF(AND(E1262&gt;0,F1262&gt;0,H1262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1262=1,TRUE()),R1262&lt;='01_설정'!B5,S1262&lt;='01_설정'!B6,T1262&lt;='01_설정'!B7,U1262&lt;='01_설정'!B8),"Y",""))</f>
        <v/>
      </c>
      <c r="W1262" s="172">
        <f>IF(V1262&lt;&gt;"Y","",MAX(0,(1-R1262/'01_설정'!B5))*'01_설정'!B14+MAX(0,(1-S1262/'01_설정'!B6))*'01_설정'!B15+MAX(0,(1-T1262/'01_설정'!B7))*'01_설정'!B16+MAX(0,(1-U1262/'01_설정'!B8))*'01_설정'!B17+O1262*'01_설정'!B11+Q1262*'01_설정'!B12+P1262*'01_설정'!B13+IF(Z1262="",0,Z1262))</f>
        <v/>
      </c>
      <c r="X1262" s="152">
        <f>IF(W1262="","",1+COUNTIFS($W$4:$W$3003,"&gt;"&amp;W1262)+COUNTIFS($W$4:W1262,W1262)-1)</f>
        <v/>
      </c>
      <c r="Y1262" s="175">
        <f>IF(OR(I1262="",'02_대상물건입력'!B19="",'02_대상물건입력'!B19&lt;=0),"",ABS(I1262-'02_대상물건입력'!B19)/'02_대상물건입력'!B19)</f>
        <v/>
      </c>
      <c r="Z1262" s="172">
        <f>IF(OR(Y1262="",'01_설정'!B31="",'01_설정'!B31&lt;=0,'01_설정'!B32="",'01_설정'!B32&lt;=0),"",MAX(0,(1-Y1262/'01_설정'!B32))*'01_설정'!B31)</f>
        <v/>
      </c>
    </row>
    <row r="1263" ht="17.25" customHeight="1">
      <c r="A1263" s="152">
        <f>IF(INDEX('04A_국토부원자료'!$A:$A,ROW()+1)="","",ROW()-3)</f>
        <v/>
      </c>
      <c r="B1263" s="48">
        <f>IFERROR(INDEX('04A_국토부원자료'!$A:$T,ROW()+1,MATCH("시군구",'04A_국토부원자료'!$A$4:$T$4,0)),"")</f>
        <v/>
      </c>
      <c r="C1263" s="48">
        <f>IF(B1263="","",IFERROR(INDEX('04A_국토부원자료'!$A:$T,ROW()+1,MATCH("번지",'04A_국토부원자료'!$A$4:$T$4,0)),""))</f>
        <v/>
      </c>
      <c r="D1263" s="48">
        <f>IF(B1263="","",IF(Q1263=1,'02_대상물건입력'!$B$8,IFERROR(INDEX('04A_국토부원자료'!$A:$T,ROW()+1,MATCH("단지명",'04A_국토부원자료'!$A$4:$T$4,0)),"")))</f>
        <v/>
      </c>
      <c r="E1263" s="172">
        <f>IFERROR(VALUE(SUBSTITUTE(INDEX('04A_국토부원자료'!$A:$T,ROW()+1,MATCH("전용면적(㎡)",'04A_국토부원자료'!$A$4:$T$4,0)),",","")),"")</f>
        <v/>
      </c>
      <c r="F12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63" s="51">
        <f>IFERROR(VALUE(SUBSTITUTE(INDEX('04A_국토부원자료'!$A:$T,ROW()+1,MATCH("거래금액(만원)",'04A_국토부원자료'!$A$4:$T$4,0)),",","")),"")</f>
        <v/>
      </c>
      <c r="H1263" s="174">
        <f>IF(G1263="","",G1263*10000)</f>
        <v/>
      </c>
      <c r="I1263" s="174">
        <f>IFERROR(IF(AND(H1263&gt;0,E1263&gt;0),H1263/E1263,""),"")</f>
        <v/>
      </c>
      <c r="J1263" s="152">
        <f>IFERROR(VALUE(SUBSTITUTE(INDEX('04A_국토부원자료'!$A:$T,ROW()+1,MATCH("층",'04A_국토부원자료'!$A$4:$T$4,0)),",","")),"")</f>
        <v/>
      </c>
      <c r="K1263" s="152">
        <f>IFERROR(VALUE(SUBSTITUTE(INDEX('04A_국토부원자료'!$A:$T,ROW()+1,MATCH("건축년도",'04A_국토부원자료'!$A$4:$T$4,0)),",","")),"")</f>
        <v/>
      </c>
      <c r="L1263" s="176">
        <f>IFERROR(INDEX('04A_국토부원자료'!$A:$T,ROW()+1,MATCH("도로명",'04A_국토부원자료'!$A$4:$T$4,0)),"")</f>
        <v/>
      </c>
      <c r="M1263" s="48">
        <f>IFERROR(INDEX('04A_국토부원자료'!$A:$T,ROW()+1,MATCH("거래유형",'04A_국토부원자료'!$A$4:$T$4,0)),"")</f>
        <v/>
      </c>
      <c r="N1263" s="152">
        <f>IF(B1263="","",IF('02_대상물건입력'!B5="",1,IF(ISNUMBER(SEARCH('02_대상물건입력'!B5,B1263)),1,0)))</f>
        <v/>
      </c>
      <c r="O1263" s="152">
        <f>IF(B1263="","",IF('02_대상물건입력'!B6="",1,IF(ISNUMBER(SEARCH('02_대상물건입력'!B6,B1263)),1,0)))</f>
        <v/>
      </c>
      <c r="P1263" s="152">
        <f>IF(L1263="","",IF('02_대상물건입력'!B15="",0,IF(ISNUMBER(SEARCH('02_대상물건입력'!B15,L1263)),1,0)))</f>
        <v/>
      </c>
      <c r="Q1263" s="152">
        <f>IF(OR(C1263="",L1263=""),0,IF(AND(TRIM(C1263)=TRIM(RIGHT(SUBSTITUTE(TRIM('02_대상물건입력'!$B$7)," ",REPT(" ",99)),99)),IF('02_대상물건입력'!B15="",TRUE(),ISNUMBER(SEARCH('02_대상물건입력'!B15,L1263)))),1,0))</f>
        <v/>
      </c>
      <c r="R1263" s="175">
        <f>IFERROR(ABS(E1263-'02_대상물건입력'!B11)/'02_대상물건입력'!B11,"")</f>
        <v/>
      </c>
      <c r="S1263" s="152">
        <f>IFERROR(ABS(J1263-'02_대상물건입력'!B10),"")</f>
        <v/>
      </c>
      <c r="T1263" s="152">
        <f>IFERROR(ABS('01_설정'!B4-F1263),"")</f>
        <v/>
      </c>
      <c r="U1263" s="152">
        <f>IFERROR(ABS(K1263-YEAR('02_대상물건입력'!B14)),"")</f>
        <v/>
      </c>
      <c r="V1263" s="152">
        <f>IF(B1263="","",IF(AND(E1263&gt;0,F1263&gt;0,H1263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1263=1,TRUE()),R1263&lt;='01_설정'!B5,S1263&lt;='01_설정'!B6,T1263&lt;='01_설정'!B7,U1263&lt;='01_설정'!B8),"Y",""))</f>
        <v/>
      </c>
      <c r="W1263" s="172">
        <f>IF(V1263&lt;&gt;"Y","",MAX(0,(1-R1263/'01_설정'!B5))*'01_설정'!B14+MAX(0,(1-S1263/'01_설정'!B6))*'01_설정'!B15+MAX(0,(1-T1263/'01_설정'!B7))*'01_설정'!B16+MAX(0,(1-U1263/'01_설정'!B8))*'01_설정'!B17+O1263*'01_설정'!B11+Q1263*'01_설정'!B12+P1263*'01_설정'!B13+IF(Z1263="",0,Z1263))</f>
        <v/>
      </c>
      <c r="X1263" s="152">
        <f>IF(W1263="","",1+COUNTIFS($W$4:$W$3003,"&gt;"&amp;W1263)+COUNTIFS($W$4:W1263,W1263)-1)</f>
        <v/>
      </c>
      <c r="Y1263" s="175">
        <f>IF(OR(I1263="",'02_대상물건입력'!B19="",'02_대상물건입력'!B19&lt;=0),"",ABS(I1263-'02_대상물건입력'!B19)/'02_대상물건입력'!B19)</f>
        <v/>
      </c>
      <c r="Z1263" s="172">
        <f>IF(OR(Y1263="",'01_설정'!B31="",'01_설정'!B31&lt;=0,'01_설정'!B32="",'01_설정'!B32&lt;=0),"",MAX(0,(1-Y1263/'01_설정'!B32))*'01_설정'!B31)</f>
        <v/>
      </c>
    </row>
    <row r="1264" ht="17.25" customHeight="1">
      <c r="A1264" s="152">
        <f>IF(INDEX('04A_국토부원자료'!$A:$A,ROW()+1)="","",ROW()-3)</f>
        <v/>
      </c>
      <c r="B1264" s="48">
        <f>IFERROR(INDEX('04A_국토부원자료'!$A:$T,ROW()+1,MATCH("시군구",'04A_국토부원자료'!$A$4:$T$4,0)),"")</f>
        <v/>
      </c>
      <c r="C1264" s="48">
        <f>IF(B1264="","",IFERROR(INDEX('04A_국토부원자료'!$A:$T,ROW()+1,MATCH("번지",'04A_국토부원자료'!$A$4:$T$4,0)),""))</f>
        <v/>
      </c>
      <c r="D1264" s="48">
        <f>IF(B1264="","",IF(Q1264=1,'02_대상물건입력'!$B$8,IFERROR(INDEX('04A_국토부원자료'!$A:$T,ROW()+1,MATCH("단지명",'04A_국토부원자료'!$A$4:$T$4,0)),"")))</f>
        <v/>
      </c>
      <c r="E1264" s="172">
        <f>IFERROR(VALUE(SUBSTITUTE(INDEX('04A_국토부원자료'!$A:$T,ROW()+1,MATCH("전용면적(㎡)",'04A_국토부원자료'!$A$4:$T$4,0)),",","")),"")</f>
        <v/>
      </c>
      <c r="F12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64" s="51">
        <f>IFERROR(VALUE(SUBSTITUTE(INDEX('04A_국토부원자료'!$A:$T,ROW()+1,MATCH("거래금액(만원)",'04A_국토부원자료'!$A$4:$T$4,0)),",","")),"")</f>
        <v/>
      </c>
      <c r="H1264" s="174">
        <f>IF(G1264="","",G1264*10000)</f>
        <v/>
      </c>
      <c r="I1264" s="174">
        <f>IFERROR(IF(AND(H1264&gt;0,E1264&gt;0),H1264/E1264,""),"")</f>
        <v/>
      </c>
      <c r="J1264" s="152">
        <f>IFERROR(VALUE(SUBSTITUTE(INDEX('04A_국토부원자료'!$A:$T,ROW()+1,MATCH("층",'04A_국토부원자료'!$A$4:$T$4,0)),",","")),"")</f>
        <v/>
      </c>
      <c r="K1264" s="152">
        <f>IFERROR(VALUE(SUBSTITUTE(INDEX('04A_국토부원자료'!$A:$T,ROW()+1,MATCH("건축년도",'04A_국토부원자료'!$A$4:$T$4,0)),",","")),"")</f>
        <v/>
      </c>
      <c r="L1264" s="176">
        <f>IFERROR(INDEX('04A_국토부원자료'!$A:$T,ROW()+1,MATCH("도로명",'04A_국토부원자료'!$A$4:$T$4,0)),"")</f>
        <v/>
      </c>
      <c r="M1264" s="48">
        <f>IFERROR(INDEX('04A_국토부원자료'!$A:$T,ROW()+1,MATCH("거래유형",'04A_국토부원자료'!$A$4:$T$4,0)),"")</f>
        <v/>
      </c>
      <c r="N1264" s="152">
        <f>IF(B1264="","",IF('02_대상물건입력'!B5="",1,IF(ISNUMBER(SEARCH('02_대상물건입력'!B5,B1264)),1,0)))</f>
        <v/>
      </c>
      <c r="O1264" s="152">
        <f>IF(B1264="","",IF('02_대상물건입력'!B6="",1,IF(ISNUMBER(SEARCH('02_대상물건입력'!B6,B1264)),1,0)))</f>
        <v/>
      </c>
      <c r="P1264" s="152">
        <f>IF(L1264="","",IF('02_대상물건입력'!B15="",0,IF(ISNUMBER(SEARCH('02_대상물건입력'!B15,L1264)),1,0)))</f>
        <v/>
      </c>
      <c r="Q1264" s="152">
        <f>IF(OR(C1264="",L1264=""),0,IF(AND(TRIM(C1264)=TRIM(RIGHT(SUBSTITUTE(TRIM('02_대상물건입력'!$B$7)," ",REPT(" ",99)),99)),IF('02_대상물건입력'!B15="",TRUE(),ISNUMBER(SEARCH('02_대상물건입력'!B15,L1264)))),1,0))</f>
        <v/>
      </c>
      <c r="R1264" s="175">
        <f>IFERROR(ABS(E1264-'02_대상물건입력'!B11)/'02_대상물건입력'!B11,"")</f>
        <v/>
      </c>
      <c r="S1264" s="152">
        <f>IFERROR(ABS(J1264-'02_대상물건입력'!B10),"")</f>
        <v/>
      </c>
      <c r="T1264" s="152">
        <f>IFERROR(ABS('01_설정'!B4-F1264),"")</f>
        <v/>
      </c>
      <c r="U1264" s="152">
        <f>IFERROR(ABS(K1264-YEAR('02_대상물건입력'!B14)),"")</f>
        <v/>
      </c>
      <c r="V1264" s="152">
        <f>IF(B1264="","",IF(AND(E1264&gt;0,F1264&gt;0,H1264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1264=1,TRUE()),R1264&lt;='01_설정'!B5,S1264&lt;='01_설정'!B6,T1264&lt;='01_설정'!B7,U1264&lt;='01_설정'!B8),"Y",""))</f>
        <v/>
      </c>
      <c r="W1264" s="172">
        <f>IF(V1264&lt;&gt;"Y","",MAX(0,(1-R1264/'01_설정'!B5))*'01_설정'!B14+MAX(0,(1-S1264/'01_설정'!B6))*'01_설정'!B15+MAX(0,(1-T1264/'01_설정'!B7))*'01_설정'!B16+MAX(0,(1-U1264/'01_설정'!B8))*'01_설정'!B17+O1264*'01_설정'!B11+Q1264*'01_설정'!B12+P1264*'01_설정'!B13+IF(Z1264="",0,Z1264))</f>
        <v/>
      </c>
      <c r="X1264" s="152">
        <f>IF(W1264="","",1+COUNTIFS($W$4:$W$3003,"&gt;"&amp;W1264)+COUNTIFS($W$4:W1264,W1264)-1)</f>
        <v/>
      </c>
      <c r="Y1264" s="175">
        <f>IF(OR(I1264="",'02_대상물건입력'!B19="",'02_대상물건입력'!B19&lt;=0),"",ABS(I1264-'02_대상물건입력'!B19)/'02_대상물건입력'!B19)</f>
        <v/>
      </c>
      <c r="Z1264" s="172">
        <f>IF(OR(Y1264="",'01_설정'!B31="",'01_설정'!B31&lt;=0,'01_설정'!B32="",'01_설정'!B32&lt;=0),"",MAX(0,(1-Y1264/'01_설정'!B32))*'01_설정'!B31)</f>
        <v/>
      </c>
    </row>
    <row r="1265" ht="17.25" customHeight="1">
      <c r="A1265" s="152">
        <f>IF(INDEX('04A_국토부원자료'!$A:$A,ROW()+1)="","",ROW()-3)</f>
        <v/>
      </c>
      <c r="B1265" s="48">
        <f>IFERROR(INDEX('04A_국토부원자료'!$A:$T,ROW()+1,MATCH("시군구",'04A_국토부원자료'!$A$4:$T$4,0)),"")</f>
        <v/>
      </c>
      <c r="C1265" s="48">
        <f>IF(B1265="","",IFERROR(INDEX('04A_국토부원자료'!$A:$T,ROW()+1,MATCH("번지",'04A_국토부원자료'!$A$4:$T$4,0)),""))</f>
        <v/>
      </c>
      <c r="D1265" s="48">
        <f>IF(B1265="","",IF(Q1265=1,'02_대상물건입력'!$B$8,IFERROR(INDEX('04A_국토부원자료'!$A:$T,ROW()+1,MATCH("단지명",'04A_국토부원자료'!$A$4:$T$4,0)),"")))</f>
        <v/>
      </c>
      <c r="E1265" s="172">
        <f>IFERROR(VALUE(SUBSTITUTE(INDEX('04A_국토부원자료'!$A:$T,ROW()+1,MATCH("전용면적(㎡)",'04A_국토부원자료'!$A$4:$T$4,0)),",","")),"")</f>
        <v/>
      </c>
      <c r="F12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65" s="51">
        <f>IFERROR(VALUE(SUBSTITUTE(INDEX('04A_국토부원자료'!$A:$T,ROW()+1,MATCH("거래금액(만원)",'04A_국토부원자료'!$A$4:$T$4,0)),",","")),"")</f>
        <v/>
      </c>
      <c r="H1265" s="174">
        <f>IF(G1265="","",G1265*10000)</f>
        <v/>
      </c>
      <c r="I1265" s="174">
        <f>IFERROR(IF(AND(H1265&gt;0,E1265&gt;0),H1265/E1265,""),"")</f>
        <v/>
      </c>
      <c r="J1265" s="152">
        <f>IFERROR(VALUE(SUBSTITUTE(INDEX('04A_국토부원자료'!$A:$T,ROW()+1,MATCH("층",'04A_국토부원자료'!$A$4:$T$4,0)),",","")),"")</f>
        <v/>
      </c>
      <c r="K1265" s="152">
        <f>IFERROR(VALUE(SUBSTITUTE(INDEX('04A_국토부원자료'!$A:$T,ROW()+1,MATCH("건축년도",'04A_국토부원자료'!$A$4:$T$4,0)),",","")),"")</f>
        <v/>
      </c>
      <c r="L1265" s="176">
        <f>IFERROR(INDEX('04A_국토부원자료'!$A:$T,ROW()+1,MATCH("도로명",'04A_국토부원자료'!$A$4:$T$4,0)),"")</f>
        <v/>
      </c>
      <c r="M1265" s="48">
        <f>IFERROR(INDEX('04A_국토부원자료'!$A:$T,ROW()+1,MATCH("거래유형",'04A_국토부원자료'!$A$4:$T$4,0)),"")</f>
        <v/>
      </c>
      <c r="N1265" s="152">
        <f>IF(B1265="","",IF('02_대상물건입력'!B5="",1,IF(ISNUMBER(SEARCH('02_대상물건입력'!B5,B1265)),1,0)))</f>
        <v/>
      </c>
      <c r="O1265" s="152">
        <f>IF(B1265="","",IF('02_대상물건입력'!B6="",1,IF(ISNUMBER(SEARCH('02_대상물건입력'!B6,B1265)),1,0)))</f>
        <v/>
      </c>
      <c r="P1265" s="152">
        <f>IF(L1265="","",IF('02_대상물건입력'!B15="",0,IF(ISNUMBER(SEARCH('02_대상물건입력'!B15,L1265)),1,0)))</f>
        <v/>
      </c>
      <c r="Q1265" s="152">
        <f>IF(OR(C1265="",L1265=""),0,IF(AND(TRIM(C1265)=TRIM(RIGHT(SUBSTITUTE(TRIM('02_대상물건입력'!$B$7)," ",REPT(" ",99)),99)),IF('02_대상물건입력'!B15="",TRUE(),ISNUMBER(SEARCH('02_대상물건입력'!B15,L1265)))),1,0))</f>
        <v/>
      </c>
      <c r="R1265" s="175">
        <f>IFERROR(ABS(E1265-'02_대상물건입력'!B11)/'02_대상물건입력'!B11,"")</f>
        <v/>
      </c>
      <c r="S1265" s="152">
        <f>IFERROR(ABS(J1265-'02_대상물건입력'!B10),"")</f>
        <v/>
      </c>
      <c r="T1265" s="152">
        <f>IFERROR(ABS('01_설정'!B4-F1265),"")</f>
        <v/>
      </c>
      <c r="U1265" s="152">
        <f>IFERROR(ABS(K1265-YEAR('02_대상물건입력'!B14)),"")</f>
        <v/>
      </c>
      <c r="V1265" s="152">
        <f>IF(B1265="","",IF(AND(E1265&gt;0,F1265&gt;0,H1265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1265=1,TRUE()),R1265&lt;='01_설정'!B5,S1265&lt;='01_설정'!B6,T1265&lt;='01_설정'!B7,U1265&lt;='01_설정'!B8),"Y",""))</f>
        <v/>
      </c>
      <c r="W1265" s="172">
        <f>IF(V1265&lt;&gt;"Y","",MAX(0,(1-R1265/'01_설정'!B5))*'01_설정'!B14+MAX(0,(1-S1265/'01_설정'!B6))*'01_설정'!B15+MAX(0,(1-T1265/'01_설정'!B7))*'01_설정'!B16+MAX(0,(1-U1265/'01_설정'!B8))*'01_설정'!B17+O1265*'01_설정'!B11+Q1265*'01_설정'!B12+P1265*'01_설정'!B13+IF(Z1265="",0,Z1265))</f>
        <v/>
      </c>
      <c r="X1265" s="152">
        <f>IF(W1265="","",1+COUNTIFS($W$4:$W$3003,"&gt;"&amp;W1265)+COUNTIFS($W$4:W1265,W1265)-1)</f>
        <v/>
      </c>
      <c r="Y1265" s="175">
        <f>IF(OR(I1265="",'02_대상물건입력'!B19="",'02_대상물건입력'!B19&lt;=0),"",ABS(I1265-'02_대상물건입력'!B19)/'02_대상물건입력'!B19)</f>
        <v/>
      </c>
      <c r="Z1265" s="172">
        <f>IF(OR(Y1265="",'01_설정'!B31="",'01_설정'!B31&lt;=0,'01_설정'!B32="",'01_설정'!B32&lt;=0),"",MAX(0,(1-Y1265/'01_설정'!B32))*'01_설정'!B31)</f>
        <v/>
      </c>
    </row>
    <row r="1266" ht="17.25" customHeight="1">
      <c r="A1266" s="152">
        <f>IF(INDEX('04A_국토부원자료'!$A:$A,ROW()+1)="","",ROW()-3)</f>
        <v/>
      </c>
      <c r="B1266" s="48">
        <f>IFERROR(INDEX('04A_국토부원자료'!$A:$T,ROW()+1,MATCH("시군구",'04A_국토부원자료'!$A$4:$T$4,0)),"")</f>
        <v/>
      </c>
      <c r="C1266" s="48">
        <f>IF(B1266="","",IFERROR(INDEX('04A_국토부원자료'!$A:$T,ROW()+1,MATCH("번지",'04A_국토부원자료'!$A$4:$T$4,0)),""))</f>
        <v/>
      </c>
      <c r="D1266" s="48">
        <f>IF(B1266="","",IF(Q1266=1,'02_대상물건입력'!$B$8,IFERROR(INDEX('04A_국토부원자료'!$A:$T,ROW()+1,MATCH("단지명",'04A_국토부원자료'!$A$4:$T$4,0)),"")))</f>
        <v/>
      </c>
      <c r="E1266" s="172">
        <f>IFERROR(VALUE(SUBSTITUTE(INDEX('04A_국토부원자료'!$A:$T,ROW()+1,MATCH("전용면적(㎡)",'04A_국토부원자료'!$A$4:$T$4,0)),",","")),"")</f>
        <v/>
      </c>
      <c r="F12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66" s="51">
        <f>IFERROR(VALUE(SUBSTITUTE(INDEX('04A_국토부원자료'!$A:$T,ROW()+1,MATCH("거래금액(만원)",'04A_국토부원자료'!$A$4:$T$4,0)),",","")),"")</f>
        <v/>
      </c>
      <c r="H1266" s="174">
        <f>IF(G1266="","",G1266*10000)</f>
        <v/>
      </c>
      <c r="I1266" s="174">
        <f>IFERROR(IF(AND(H1266&gt;0,E1266&gt;0),H1266/E1266,""),"")</f>
        <v/>
      </c>
      <c r="J1266" s="152">
        <f>IFERROR(VALUE(SUBSTITUTE(INDEX('04A_국토부원자료'!$A:$T,ROW()+1,MATCH("층",'04A_국토부원자료'!$A$4:$T$4,0)),",","")),"")</f>
        <v/>
      </c>
      <c r="K1266" s="152">
        <f>IFERROR(VALUE(SUBSTITUTE(INDEX('04A_국토부원자료'!$A:$T,ROW()+1,MATCH("건축년도",'04A_국토부원자료'!$A$4:$T$4,0)),",","")),"")</f>
        <v/>
      </c>
      <c r="L1266" s="176">
        <f>IFERROR(INDEX('04A_국토부원자료'!$A:$T,ROW()+1,MATCH("도로명",'04A_국토부원자료'!$A$4:$T$4,0)),"")</f>
        <v/>
      </c>
      <c r="M1266" s="48">
        <f>IFERROR(INDEX('04A_국토부원자료'!$A:$T,ROW()+1,MATCH("거래유형",'04A_국토부원자료'!$A$4:$T$4,0)),"")</f>
        <v/>
      </c>
      <c r="N1266" s="152">
        <f>IF(B1266="","",IF('02_대상물건입력'!B5="",1,IF(ISNUMBER(SEARCH('02_대상물건입력'!B5,B1266)),1,0)))</f>
        <v/>
      </c>
      <c r="O1266" s="152">
        <f>IF(B1266="","",IF('02_대상물건입력'!B6="",1,IF(ISNUMBER(SEARCH('02_대상물건입력'!B6,B1266)),1,0)))</f>
        <v/>
      </c>
      <c r="P1266" s="152">
        <f>IF(L1266="","",IF('02_대상물건입력'!B15="",0,IF(ISNUMBER(SEARCH('02_대상물건입력'!B15,L1266)),1,0)))</f>
        <v/>
      </c>
      <c r="Q1266" s="152">
        <f>IF(OR(C1266="",L1266=""),0,IF(AND(TRIM(C1266)=TRIM(RIGHT(SUBSTITUTE(TRIM('02_대상물건입력'!$B$7)," ",REPT(" ",99)),99)),IF('02_대상물건입력'!B15="",TRUE(),ISNUMBER(SEARCH('02_대상물건입력'!B15,L1266)))),1,0))</f>
        <v/>
      </c>
      <c r="R1266" s="175">
        <f>IFERROR(ABS(E1266-'02_대상물건입력'!B11)/'02_대상물건입력'!B11,"")</f>
        <v/>
      </c>
      <c r="S1266" s="152">
        <f>IFERROR(ABS(J1266-'02_대상물건입력'!B10),"")</f>
        <v/>
      </c>
      <c r="T1266" s="152">
        <f>IFERROR(ABS('01_설정'!B4-F1266),"")</f>
        <v/>
      </c>
      <c r="U1266" s="152">
        <f>IFERROR(ABS(K1266-YEAR('02_대상물건입력'!B14)),"")</f>
        <v/>
      </c>
      <c r="V1266" s="152">
        <f>IF(B1266="","",IF(AND(E1266&gt;0,F1266&gt;0,H1266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1266=1,TRUE()),R1266&lt;='01_설정'!B5,S1266&lt;='01_설정'!B6,T1266&lt;='01_설정'!B7,U1266&lt;='01_설정'!B8),"Y",""))</f>
        <v/>
      </c>
      <c r="W1266" s="172">
        <f>IF(V1266&lt;&gt;"Y","",MAX(0,(1-R1266/'01_설정'!B5))*'01_설정'!B14+MAX(0,(1-S1266/'01_설정'!B6))*'01_설정'!B15+MAX(0,(1-T1266/'01_설정'!B7))*'01_설정'!B16+MAX(0,(1-U1266/'01_설정'!B8))*'01_설정'!B17+O1266*'01_설정'!B11+Q1266*'01_설정'!B12+P1266*'01_설정'!B13+IF(Z1266="",0,Z1266))</f>
        <v/>
      </c>
      <c r="X1266" s="152">
        <f>IF(W1266="","",1+COUNTIFS($W$4:$W$3003,"&gt;"&amp;W1266)+COUNTIFS($W$4:W1266,W1266)-1)</f>
        <v/>
      </c>
      <c r="Y1266" s="175">
        <f>IF(OR(I1266="",'02_대상물건입력'!B19="",'02_대상물건입력'!B19&lt;=0),"",ABS(I1266-'02_대상물건입력'!B19)/'02_대상물건입력'!B19)</f>
        <v/>
      </c>
      <c r="Z1266" s="172">
        <f>IF(OR(Y1266="",'01_설정'!B31="",'01_설정'!B31&lt;=0,'01_설정'!B32="",'01_설정'!B32&lt;=0),"",MAX(0,(1-Y1266/'01_설정'!B32))*'01_설정'!B31)</f>
        <v/>
      </c>
    </row>
    <row r="1267" ht="17.25" customHeight="1">
      <c r="A1267" s="152">
        <f>IF(INDEX('04A_국토부원자료'!$A:$A,ROW()+1)="","",ROW()-3)</f>
        <v/>
      </c>
      <c r="B1267" s="48">
        <f>IFERROR(INDEX('04A_국토부원자료'!$A:$T,ROW()+1,MATCH("시군구",'04A_국토부원자료'!$A$4:$T$4,0)),"")</f>
        <v/>
      </c>
      <c r="C1267" s="48">
        <f>IF(B1267="","",IFERROR(INDEX('04A_국토부원자료'!$A:$T,ROW()+1,MATCH("번지",'04A_국토부원자료'!$A$4:$T$4,0)),""))</f>
        <v/>
      </c>
      <c r="D1267" s="48">
        <f>IF(B1267="","",IF(Q1267=1,'02_대상물건입력'!$B$8,IFERROR(INDEX('04A_국토부원자료'!$A:$T,ROW()+1,MATCH("단지명",'04A_국토부원자료'!$A$4:$T$4,0)),"")))</f>
        <v/>
      </c>
      <c r="E1267" s="172">
        <f>IFERROR(VALUE(SUBSTITUTE(INDEX('04A_국토부원자료'!$A:$T,ROW()+1,MATCH("전용면적(㎡)",'04A_국토부원자료'!$A$4:$T$4,0)),",","")),"")</f>
        <v/>
      </c>
      <c r="F12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67" s="51">
        <f>IFERROR(VALUE(SUBSTITUTE(INDEX('04A_국토부원자료'!$A:$T,ROW()+1,MATCH("거래금액(만원)",'04A_국토부원자료'!$A$4:$T$4,0)),",","")),"")</f>
        <v/>
      </c>
      <c r="H1267" s="174">
        <f>IF(G1267="","",G1267*10000)</f>
        <v/>
      </c>
      <c r="I1267" s="174">
        <f>IFERROR(IF(AND(H1267&gt;0,E1267&gt;0),H1267/E1267,""),"")</f>
        <v/>
      </c>
      <c r="J1267" s="152">
        <f>IFERROR(VALUE(SUBSTITUTE(INDEX('04A_국토부원자료'!$A:$T,ROW()+1,MATCH("층",'04A_국토부원자료'!$A$4:$T$4,0)),",","")),"")</f>
        <v/>
      </c>
      <c r="K1267" s="152">
        <f>IFERROR(VALUE(SUBSTITUTE(INDEX('04A_국토부원자료'!$A:$T,ROW()+1,MATCH("건축년도",'04A_국토부원자료'!$A$4:$T$4,0)),",","")),"")</f>
        <v/>
      </c>
      <c r="L1267" s="176">
        <f>IFERROR(INDEX('04A_국토부원자료'!$A:$T,ROW()+1,MATCH("도로명",'04A_국토부원자료'!$A$4:$T$4,0)),"")</f>
        <v/>
      </c>
      <c r="M1267" s="48">
        <f>IFERROR(INDEX('04A_국토부원자료'!$A:$T,ROW()+1,MATCH("거래유형",'04A_국토부원자료'!$A$4:$T$4,0)),"")</f>
        <v/>
      </c>
      <c r="N1267" s="152">
        <f>IF(B1267="","",IF('02_대상물건입력'!B5="",1,IF(ISNUMBER(SEARCH('02_대상물건입력'!B5,B1267)),1,0)))</f>
        <v/>
      </c>
      <c r="O1267" s="152">
        <f>IF(B1267="","",IF('02_대상물건입력'!B6="",1,IF(ISNUMBER(SEARCH('02_대상물건입력'!B6,B1267)),1,0)))</f>
        <v/>
      </c>
      <c r="P1267" s="152">
        <f>IF(L1267="","",IF('02_대상물건입력'!B15="",0,IF(ISNUMBER(SEARCH('02_대상물건입력'!B15,L1267)),1,0)))</f>
        <v/>
      </c>
      <c r="Q1267" s="152">
        <f>IF(OR(C1267="",L1267=""),0,IF(AND(TRIM(C1267)=TRIM(RIGHT(SUBSTITUTE(TRIM('02_대상물건입력'!$B$7)," ",REPT(" ",99)),99)),IF('02_대상물건입력'!B15="",TRUE(),ISNUMBER(SEARCH('02_대상물건입력'!B15,L1267)))),1,0))</f>
        <v/>
      </c>
      <c r="R1267" s="175">
        <f>IFERROR(ABS(E1267-'02_대상물건입력'!B11)/'02_대상물건입력'!B11,"")</f>
        <v/>
      </c>
      <c r="S1267" s="152">
        <f>IFERROR(ABS(J1267-'02_대상물건입력'!B10),"")</f>
        <v/>
      </c>
      <c r="T1267" s="152">
        <f>IFERROR(ABS('01_설정'!B4-F1267),"")</f>
        <v/>
      </c>
      <c r="U1267" s="152">
        <f>IFERROR(ABS(K1267-YEAR('02_대상물건입력'!B14)),"")</f>
        <v/>
      </c>
      <c r="V1267" s="152">
        <f>IF(B1267="","",IF(AND(E1267&gt;0,F1267&gt;0,H1267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1267=1,TRUE()),R1267&lt;='01_설정'!B5,S1267&lt;='01_설정'!B6,T1267&lt;='01_설정'!B7,U1267&lt;='01_설정'!B8),"Y",""))</f>
        <v/>
      </c>
      <c r="W1267" s="172">
        <f>IF(V1267&lt;&gt;"Y","",MAX(0,(1-R1267/'01_설정'!B5))*'01_설정'!B14+MAX(0,(1-S1267/'01_설정'!B6))*'01_설정'!B15+MAX(0,(1-T1267/'01_설정'!B7))*'01_설정'!B16+MAX(0,(1-U1267/'01_설정'!B8))*'01_설정'!B17+O1267*'01_설정'!B11+Q1267*'01_설정'!B12+P1267*'01_설정'!B13+IF(Z1267="",0,Z1267))</f>
        <v/>
      </c>
      <c r="X1267" s="152">
        <f>IF(W1267="","",1+COUNTIFS($W$4:$W$3003,"&gt;"&amp;W1267)+COUNTIFS($W$4:W1267,W1267)-1)</f>
        <v/>
      </c>
      <c r="Y1267" s="175">
        <f>IF(OR(I1267="",'02_대상물건입력'!B19="",'02_대상물건입력'!B19&lt;=0),"",ABS(I1267-'02_대상물건입력'!B19)/'02_대상물건입력'!B19)</f>
        <v/>
      </c>
      <c r="Z1267" s="172">
        <f>IF(OR(Y1267="",'01_설정'!B31="",'01_설정'!B31&lt;=0,'01_설정'!B32="",'01_설정'!B32&lt;=0),"",MAX(0,(1-Y1267/'01_설정'!B32))*'01_설정'!B31)</f>
        <v/>
      </c>
    </row>
    <row r="1268" ht="17.25" customHeight="1">
      <c r="A1268" s="152">
        <f>IF(INDEX('04A_국토부원자료'!$A:$A,ROW()+1)="","",ROW()-3)</f>
        <v/>
      </c>
      <c r="B1268" s="48">
        <f>IFERROR(INDEX('04A_국토부원자료'!$A:$T,ROW()+1,MATCH("시군구",'04A_국토부원자료'!$A$4:$T$4,0)),"")</f>
        <v/>
      </c>
      <c r="C1268" s="48">
        <f>IF(B1268="","",IFERROR(INDEX('04A_국토부원자료'!$A:$T,ROW()+1,MATCH("번지",'04A_국토부원자료'!$A$4:$T$4,0)),""))</f>
        <v/>
      </c>
      <c r="D1268" s="48">
        <f>IF(B1268="","",IF(Q1268=1,'02_대상물건입력'!$B$8,IFERROR(INDEX('04A_국토부원자료'!$A:$T,ROW()+1,MATCH("단지명",'04A_국토부원자료'!$A$4:$T$4,0)),"")))</f>
        <v/>
      </c>
      <c r="E1268" s="172">
        <f>IFERROR(VALUE(SUBSTITUTE(INDEX('04A_국토부원자료'!$A:$T,ROW()+1,MATCH("전용면적(㎡)",'04A_국토부원자료'!$A$4:$T$4,0)),",","")),"")</f>
        <v/>
      </c>
      <c r="F12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68" s="51">
        <f>IFERROR(VALUE(SUBSTITUTE(INDEX('04A_국토부원자료'!$A:$T,ROW()+1,MATCH("거래금액(만원)",'04A_국토부원자료'!$A$4:$T$4,0)),",","")),"")</f>
        <v/>
      </c>
      <c r="H1268" s="174">
        <f>IF(G1268="","",G1268*10000)</f>
        <v/>
      </c>
      <c r="I1268" s="174">
        <f>IFERROR(IF(AND(H1268&gt;0,E1268&gt;0),H1268/E1268,""),"")</f>
        <v/>
      </c>
      <c r="J1268" s="152">
        <f>IFERROR(VALUE(SUBSTITUTE(INDEX('04A_국토부원자료'!$A:$T,ROW()+1,MATCH("층",'04A_국토부원자료'!$A$4:$T$4,0)),",","")),"")</f>
        <v/>
      </c>
      <c r="K1268" s="152">
        <f>IFERROR(VALUE(SUBSTITUTE(INDEX('04A_국토부원자료'!$A:$T,ROW()+1,MATCH("건축년도",'04A_국토부원자료'!$A$4:$T$4,0)),",","")),"")</f>
        <v/>
      </c>
      <c r="L1268" s="176">
        <f>IFERROR(INDEX('04A_국토부원자료'!$A:$T,ROW()+1,MATCH("도로명",'04A_국토부원자료'!$A$4:$T$4,0)),"")</f>
        <v/>
      </c>
      <c r="M1268" s="48">
        <f>IFERROR(INDEX('04A_국토부원자료'!$A:$T,ROW()+1,MATCH("거래유형",'04A_국토부원자료'!$A$4:$T$4,0)),"")</f>
        <v/>
      </c>
      <c r="N1268" s="152">
        <f>IF(B1268="","",IF('02_대상물건입력'!B5="",1,IF(ISNUMBER(SEARCH('02_대상물건입력'!B5,B1268)),1,0)))</f>
        <v/>
      </c>
      <c r="O1268" s="152">
        <f>IF(B1268="","",IF('02_대상물건입력'!B6="",1,IF(ISNUMBER(SEARCH('02_대상물건입력'!B6,B1268)),1,0)))</f>
        <v/>
      </c>
      <c r="P1268" s="152">
        <f>IF(L1268="","",IF('02_대상물건입력'!B15="",0,IF(ISNUMBER(SEARCH('02_대상물건입력'!B15,L1268)),1,0)))</f>
        <v/>
      </c>
      <c r="Q1268" s="152">
        <f>IF(OR(C1268="",L1268=""),0,IF(AND(TRIM(C1268)=TRIM(RIGHT(SUBSTITUTE(TRIM('02_대상물건입력'!$B$7)," ",REPT(" ",99)),99)),IF('02_대상물건입력'!B15="",TRUE(),ISNUMBER(SEARCH('02_대상물건입력'!B15,L1268)))),1,0))</f>
        <v/>
      </c>
      <c r="R1268" s="175">
        <f>IFERROR(ABS(E1268-'02_대상물건입력'!B11)/'02_대상물건입력'!B11,"")</f>
        <v/>
      </c>
      <c r="S1268" s="152">
        <f>IFERROR(ABS(J1268-'02_대상물건입력'!B10),"")</f>
        <v/>
      </c>
      <c r="T1268" s="152">
        <f>IFERROR(ABS('01_설정'!B4-F1268),"")</f>
        <v/>
      </c>
      <c r="U1268" s="152">
        <f>IFERROR(ABS(K1268-YEAR('02_대상물건입력'!B14)),"")</f>
        <v/>
      </c>
      <c r="V1268" s="152">
        <f>IF(B1268="","",IF(AND(E1268&gt;0,F1268&gt;0,H1268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1268=1,TRUE()),R1268&lt;='01_설정'!B5,S1268&lt;='01_설정'!B6,T1268&lt;='01_설정'!B7,U1268&lt;='01_설정'!B8),"Y",""))</f>
        <v/>
      </c>
      <c r="W1268" s="172">
        <f>IF(V1268&lt;&gt;"Y","",MAX(0,(1-R1268/'01_설정'!B5))*'01_설정'!B14+MAX(0,(1-S1268/'01_설정'!B6))*'01_설정'!B15+MAX(0,(1-T1268/'01_설정'!B7))*'01_설정'!B16+MAX(0,(1-U1268/'01_설정'!B8))*'01_설정'!B17+O1268*'01_설정'!B11+Q1268*'01_설정'!B12+P1268*'01_설정'!B13+IF(Z1268="",0,Z1268))</f>
        <v/>
      </c>
      <c r="X1268" s="152">
        <f>IF(W1268="","",1+COUNTIFS($W$4:$W$3003,"&gt;"&amp;W1268)+COUNTIFS($W$4:W1268,W1268)-1)</f>
        <v/>
      </c>
      <c r="Y1268" s="175">
        <f>IF(OR(I1268="",'02_대상물건입력'!B19="",'02_대상물건입력'!B19&lt;=0),"",ABS(I1268-'02_대상물건입력'!B19)/'02_대상물건입력'!B19)</f>
        <v/>
      </c>
      <c r="Z1268" s="172">
        <f>IF(OR(Y1268="",'01_설정'!B31="",'01_설정'!B31&lt;=0,'01_설정'!B32="",'01_설정'!B32&lt;=0),"",MAX(0,(1-Y1268/'01_설정'!B32))*'01_설정'!B31)</f>
        <v/>
      </c>
    </row>
    <row r="1269" ht="17.25" customHeight="1">
      <c r="A1269" s="152">
        <f>IF(INDEX('04A_국토부원자료'!$A:$A,ROW()+1)="","",ROW()-3)</f>
        <v/>
      </c>
      <c r="B1269" s="48">
        <f>IFERROR(INDEX('04A_국토부원자료'!$A:$T,ROW()+1,MATCH("시군구",'04A_국토부원자료'!$A$4:$T$4,0)),"")</f>
        <v/>
      </c>
      <c r="C1269" s="48">
        <f>IF(B1269="","",IFERROR(INDEX('04A_국토부원자료'!$A:$T,ROW()+1,MATCH("번지",'04A_국토부원자료'!$A$4:$T$4,0)),""))</f>
        <v/>
      </c>
      <c r="D1269" s="48">
        <f>IF(B1269="","",IF(Q1269=1,'02_대상물건입력'!$B$8,IFERROR(INDEX('04A_국토부원자료'!$A:$T,ROW()+1,MATCH("단지명",'04A_국토부원자료'!$A$4:$T$4,0)),"")))</f>
        <v/>
      </c>
      <c r="E1269" s="172">
        <f>IFERROR(VALUE(SUBSTITUTE(INDEX('04A_국토부원자료'!$A:$T,ROW()+1,MATCH("전용면적(㎡)",'04A_국토부원자료'!$A$4:$T$4,0)),",","")),"")</f>
        <v/>
      </c>
      <c r="F12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69" s="51">
        <f>IFERROR(VALUE(SUBSTITUTE(INDEX('04A_국토부원자료'!$A:$T,ROW()+1,MATCH("거래금액(만원)",'04A_국토부원자료'!$A$4:$T$4,0)),",","")),"")</f>
        <v/>
      </c>
      <c r="H1269" s="174">
        <f>IF(G1269="","",G1269*10000)</f>
        <v/>
      </c>
      <c r="I1269" s="174">
        <f>IFERROR(IF(AND(H1269&gt;0,E1269&gt;0),H1269/E1269,""),"")</f>
        <v/>
      </c>
      <c r="J1269" s="152">
        <f>IFERROR(VALUE(SUBSTITUTE(INDEX('04A_국토부원자료'!$A:$T,ROW()+1,MATCH("층",'04A_국토부원자료'!$A$4:$T$4,0)),",","")),"")</f>
        <v/>
      </c>
      <c r="K1269" s="152">
        <f>IFERROR(VALUE(SUBSTITUTE(INDEX('04A_국토부원자료'!$A:$T,ROW()+1,MATCH("건축년도",'04A_국토부원자료'!$A$4:$T$4,0)),",","")),"")</f>
        <v/>
      </c>
      <c r="L1269" s="176">
        <f>IFERROR(INDEX('04A_국토부원자료'!$A:$T,ROW()+1,MATCH("도로명",'04A_국토부원자료'!$A$4:$T$4,0)),"")</f>
        <v/>
      </c>
      <c r="M1269" s="48">
        <f>IFERROR(INDEX('04A_국토부원자료'!$A:$T,ROW()+1,MATCH("거래유형",'04A_국토부원자료'!$A$4:$T$4,0)),"")</f>
        <v/>
      </c>
      <c r="N1269" s="152">
        <f>IF(B1269="","",IF('02_대상물건입력'!B5="",1,IF(ISNUMBER(SEARCH('02_대상물건입력'!B5,B1269)),1,0)))</f>
        <v/>
      </c>
      <c r="O1269" s="152">
        <f>IF(B1269="","",IF('02_대상물건입력'!B6="",1,IF(ISNUMBER(SEARCH('02_대상물건입력'!B6,B1269)),1,0)))</f>
        <v/>
      </c>
      <c r="P1269" s="152">
        <f>IF(L1269="","",IF('02_대상물건입력'!B15="",0,IF(ISNUMBER(SEARCH('02_대상물건입력'!B15,L1269)),1,0)))</f>
        <v/>
      </c>
      <c r="Q1269" s="152">
        <f>IF(OR(C1269="",L1269=""),0,IF(AND(TRIM(C1269)=TRIM(RIGHT(SUBSTITUTE(TRIM('02_대상물건입력'!$B$7)," ",REPT(" ",99)),99)),IF('02_대상물건입력'!B15="",TRUE(),ISNUMBER(SEARCH('02_대상물건입력'!B15,L1269)))),1,0))</f>
        <v/>
      </c>
      <c r="R1269" s="175">
        <f>IFERROR(ABS(E1269-'02_대상물건입력'!B11)/'02_대상물건입력'!B11,"")</f>
        <v/>
      </c>
      <c r="S1269" s="152">
        <f>IFERROR(ABS(J1269-'02_대상물건입력'!B10),"")</f>
        <v/>
      </c>
      <c r="T1269" s="152">
        <f>IFERROR(ABS('01_설정'!B4-F1269),"")</f>
        <v/>
      </c>
      <c r="U1269" s="152">
        <f>IFERROR(ABS(K1269-YEAR('02_대상물건입력'!B14)),"")</f>
        <v/>
      </c>
      <c r="V1269" s="152">
        <f>IF(B1269="","",IF(AND(E1269&gt;0,F1269&gt;0,H1269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1269=1,TRUE()),R1269&lt;='01_설정'!B5,S1269&lt;='01_설정'!B6,T1269&lt;='01_설정'!B7,U1269&lt;='01_설정'!B8),"Y",""))</f>
        <v/>
      </c>
      <c r="W1269" s="172">
        <f>IF(V1269&lt;&gt;"Y","",MAX(0,(1-R1269/'01_설정'!B5))*'01_설정'!B14+MAX(0,(1-S1269/'01_설정'!B6))*'01_설정'!B15+MAX(0,(1-T1269/'01_설정'!B7))*'01_설정'!B16+MAX(0,(1-U1269/'01_설정'!B8))*'01_설정'!B17+O1269*'01_설정'!B11+Q1269*'01_설정'!B12+P1269*'01_설정'!B13+IF(Z1269="",0,Z1269))</f>
        <v/>
      </c>
      <c r="X1269" s="152">
        <f>IF(W1269="","",1+COUNTIFS($W$4:$W$3003,"&gt;"&amp;W1269)+COUNTIFS($W$4:W1269,W1269)-1)</f>
        <v/>
      </c>
      <c r="Y1269" s="175">
        <f>IF(OR(I1269="",'02_대상물건입력'!B19="",'02_대상물건입력'!B19&lt;=0),"",ABS(I1269-'02_대상물건입력'!B19)/'02_대상물건입력'!B19)</f>
        <v/>
      </c>
      <c r="Z1269" s="172">
        <f>IF(OR(Y1269="",'01_설정'!B31="",'01_설정'!B31&lt;=0,'01_설정'!B32="",'01_설정'!B32&lt;=0),"",MAX(0,(1-Y1269/'01_설정'!B32))*'01_설정'!B31)</f>
        <v/>
      </c>
    </row>
    <row r="1270" ht="17.25" customHeight="1">
      <c r="A1270" s="152">
        <f>IF(INDEX('04A_국토부원자료'!$A:$A,ROW()+1)="","",ROW()-3)</f>
        <v/>
      </c>
      <c r="B1270" s="48">
        <f>IFERROR(INDEX('04A_국토부원자료'!$A:$T,ROW()+1,MATCH("시군구",'04A_국토부원자료'!$A$4:$T$4,0)),"")</f>
        <v/>
      </c>
      <c r="C1270" s="48">
        <f>IF(B1270="","",IFERROR(INDEX('04A_국토부원자료'!$A:$T,ROW()+1,MATCH("번지",'04A_국토부원자료'!$A$4:$T$4,0)),""))</f>
        <v/>
      </c>
      <c r="D1270" s="48">
        <f>IF(B1270="","",IF(Q1270=1,'02_대상물건입력'!$B$8,IFERROR(INDEX('04A_국토부원자료'!$A:$T,ROW()+1,MATCH("단지명",'04A_국토부원자료'!$A$4:$T$4,0)),"")))</f>
        <v/>
      </c>
      <c r="E1270" s="172">
        <f>IFERROR(VALUE(SUBSTITUTE(INDEX('04A_국토부원자료'!$A:$T,ROW()+1,MATCH("전용면적(㎡)",'04A_국토부원자료'!$A$4:$T$4,0)),",","")),"")</f>
        <v/>
      </c>
      <c r="F12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70" s="51">
        <f>IFERROR(VALUE(SUBSTITUTE(INDEX('04A_국토부원자료'!$A:$T,ROW()+1,MATCH("거래금액(만원)",'04A_국토부원자료'!$A$4:$T$4,0)),",","")),"")</f>
        <v/>
      </c>
      <c r="H1270" s="174">
        <f>IF(G1270="","",G1270*10000)</f>
        <v/>
      </c>
      <c r="I1270" s="174">
        <f>IFERROR(IF(AND(H1270&gt;0,E1270&gt;0),H1270/E1270,""),"")</f>
        <v/>
      </c>
      <c r="J1270" s="152">
        <f>IFERROR(VALUE(SUBSTITUTE(INDEX('04A_국토부원자료'!$A:$T,ROW()+1,MATCH("층",'04A_국토부원자료'!$A$4:$T$4,0)),",","")),"")</f>
        <v/>
      </c>
      <c r="K1270" s="152">
        <f>IFERROR(VALUE(SUBSTITUTE(INDEX('04A_국토부원자료'!$A:$T,ROW()+1,MATCH("건축년도",'04A_국토부원자료'!$A$4:$T$4,0)),",","")),"")</f>
        <v/>
      </c>
      <c r="L1270" s="176">
        <f>IFERROR(INDEX('04A_국토부원자료'!$A:$T,ROW()+1,MATCH("도로명",'04A_국토부원자료'!$A$4:$T$4,0)),"")</f>
        <v/>
      </c>
      <c r="M1270" s="48">
        <f>IFERROR(INDEX('04A_국토부원자료'!$A:$T,ROW()+1,MATCH("거래유형",'04A_국토부원자료'!$A$4:$T$4,0)),"")</f>
        <v/>
      </c>
      <c r="N1270" s="152">
        <f>IF(B1270="","",IF('02_대상물건입력'!B5="",1,IF(ISNUMBER(SEARCH('02_대상물건입력'!B5,B1270)),1,0)))</f>
        <v/>
      </c>
      <c r="O1270" s="152">
        <f>IF(B1270="","",IF('02_대상물건입력'!B6="",1,IF(ISNUMBER(SEARCH('02_대상물건입력'!B6,B1270)),1,0)))</f>
        <v/>
      </c>
      <c r="P1270" s="152">
        <f>IF(L1270="","",IF('02_대상물건입력'!B15="",0,IF(ISNUMBER(SEARCH('02_대상물건입력'!B15,L1270)),1,0)))</f>
        <v/>
      </c>
      <c r="Q1270" s="152">
        <f>IF(OR(C1270="",L1270=""),0,IF(AND(TRIM(C1270)=TRIM(RIGHT(SUBSTITUTE(TRIM('02_대상물건입력'!$B$7)," ",REPT(" ",99)),99)),IF('02_대상물건입력'!B15="",TRUE(),ISNUMBER(SEARCH('02_대상물건입력'!B15,L1270)))),1,0))</f>
        <v/>
      </c>
      <c r="R1270" s="175">
        <f>IFERROR(ABS(E1270-'02_대상물건입력'!B11)/'02_대상물건입력'!B11,"")</f>
        <v/>
      </c>
      <c r="S1270" s="152">
        <f>IFERROR(ABS(J1270-'02_대상물건입력'!B10),"")</f>
        <v/>
      </c>
      <c r="T1270" s="152">
        <f>IFERROR(ABS('01_설정'!B4-F1270),"")</f>
        <v/>
      </c>
      <c r="U1270" s="152">
        <f>IFERROR(ABS(K1270-YEAR('02_대상물건입력'!B14)),"")</f>
        <v/>
      </c>
      <c r="V1270" s="152">
        <f>IF(B1270="","",IF(AND(E1270&gt;0,F1270&gt;0,H1270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1270=1,TRUE()),R1270&lt;='01_설정'!B5,S1270&lt;='01_설정'!B6,T1270&lt;='01_설정'!B7,U1270&lt;='01_설정'!B8),"Y",""))</f>
        <v/>
      </c>
      <c r="W1270" s="172">
        <f>IF(V1270&lt;&gt;"Y","",MAX(0,(1-R1270/'01_설정'!B5))*'01_설정'!B14+MAX(0,(1-S1270/'01_설정'!B6))*'01_설정'!B15+MAX(0,(1-T1270/'01_설정'!B7))*'01_설정'!B16+MAX(0,(1-U1270/'01_설정'!B8))*'01_설정'!B17+O1270*'01_설정'!B11+Q1270*'01_설정'!B12+P1270*'01_설정'!B13+IF(Z1270="",0,Z1270))</f>
        <v/>
      </c>
      <c r="X1270" s="152">
        <f>IF(W1270="","",1+COUNTIFS($W$4:$W$3003,"&gt;"&amp;W1270)+COUNTIFS($W$4:W1270,W1270)-1)</f>
        <v/>
      </c>
      <c r="Y1270" s="175">
        <f>IF(OR(I1270="",'02_대상물건입력'!B19="",'02_대상물건입력'!B19&lt;=0),"",ABS(I1270-'02_대상물건입력'!B19)/'02_대상물건입력'!B19)</f>
        <v/>
      </c>
      <c r="Z1270" s="172">
        <f>IF(OR(Y1270="",'01_설정'!B31="",'01_설정'!B31&lt;=0,'01_설정'!B32="",'01_설정'!B32&lt;=0),"",MAX(0,(1-Y1270/'01_설정'!B32))*'01_설정'!B31)</f>
        <v/>
      </c>
    </row>
    <row r="1271" ht="17.25" customHeight="1">
      <c r="A1271" s="152">
        <f>IF(INDEX('04A_국토부원자료'!$A:$A,ROW()+1)="","",ROW()-3)</f>
        <v/>
      </c>
      <c r="B1271" s="48">
        <f>IFERROR(INDEX('04A_국토부원자료'!$A:$T,ROW()+1,MATCH("시군구",'04A_국토부원자료'!$A$4:$T$4,0)),"")</f>
        <v/>
      </c>
      <c r="C1271" s="48">
        <f>IF(B1271="","",IFERROR(INDEX('04A_국토부원자료'!$A:$T,ROW()+1,MATCH("번지",'04A_국토부원자료'!$A$4:$T$4,0)),""))</f>
        <v/>
      </c>
      <c r="D1271" s="48">
        <f>IF(B1271="","",IF(Q1271=1,'02_대상물건입력'!$B$8,IFERROR(INDEX('04A_국토부원자료'!$A:$T,ROW()+1,MATCH("단지명",'04A_국토부원자료'!$A$4:$T$4,0)),"")))</f>
        <v/>
      </c>
      <c r="E1271" s="172">
        <f>IFERROR(VALUE(SUBSTITUTE(INDEX('04A_국토부원자료'!$A:$T,ROW()+1,MATCH("전용면적(㎡)",'04A_국토부원자료'!$A$4:$T$4,0)),",","")),"")</f>
        <v/>
      </c>
      <c r="F12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71" s="51">
        <f>IFERROR(VALUE(SUBSTITUTE(INDEX('04A_국토부원자료'!$A:$T,ROW()+1,MATCH("거래금액(만원)",'04A_국토부원자료'!$A$4:$T$4,0)),",","")),"")</f>
        <v/>
      </c>
      <c r="H1271" s="174">
        <f>IF(G1271="","",G1271*10000)</f>
        <v/>
      </c>
      <c r="I1271" s="174">
        <f>IFERROR(IF(AND(H1271&gt;0,E1271&gt;0),H1271/E1271,""),"")</f>
        <v/>
      </c>
      <c r="J1271" s="152">
        <f>IFERROR(VALUE(SUBSTITUTE(INDEX('04A_국토부원자료'!$A:$T,ROW()+1,MATCH("층",'04A_국토부원자료'!$A$4:$T$4,0)),",","")),"")</f>
        <v/>
      </c>
      <c r="K1271" s="152">
        <f>IFERROR(VALUE(SUBSTITUTE(INDEX('04A_국토부원자료'!$A:$T,ROW()+1,MATCH("건축년도",'04A_국토부원자료'!$A$4:$T$4,0)),",","")),"")</f>
        <v/>
      </c>
      <c r="L1271" s="176">
        <f>IFERROR(INDEX('04A_국토부원자료'!$A:$T,ROW()+1,MATCH("도로명",'04A_국토부원자료'!$A$4:$T$4,0)),"")</f>
        <v/>
      </c>
      <c r="M1271" s="48">
        <f>IFERROR(INDEX('04A_국토부원자료'!$A:$T,ROW()+1,MATCH("거래유형",'04A_국토부원자료'!$A$4:$T$4,0)),"")</f>
        <v/>
      </c>
      <c r="N1271" s="152">
        <f>IF(B1271="","",IF('02_대상물건입력'!B5="",1,IF(ISNUMBER(SEARCH('02_대상물건입력'!B5,B1271)),1,0)))</f>
        <v/>
      </c>
      <c r="O1271" s="152">
        <f>IF(B1271="","",IF('02_대상물건입력'!B6="",1,IF(ISNUMBER(SEARCH('02_대상물건입력'!B6,B1271)),1,0)))</f>
        <v/>
      </c>
      <c r="P1271" s="152">
        <f>IF(L1271="","",IF('02_대상물건입력'!B15="",0,IF(ISNUMBER(SEARCH('02_대상물건입력'!B15,L1271)),1,0)))</f>
        <v/>
      </c>
      <c r="Q1271" s="152">
        <f>IF(OR(C1271="",L1271=""),0,IF(AND(TRIM(C1271)=TRIM(RIGHT(SUBSTITUTE(TRIM('02_대상물건입력'!$B$7)," ",REPT(" ",99)),99)),IF('02_대상물건입력'!B15="",TRUE(),ISNUMBER(SEARCH('02_대상물건입력'!B15,L1271)))),1,0))</f>
        <v/>
      </c>
      <c r="R1271" s="175">
        <f>IFERROR(ABS(E1271-'02_대상물건입력'!B11)/'02_대상물건입력'!B11,"")</f>
        <v/>
      </c>
      <c r="S1271" s="152">
        <f>IFERROR(ABS(J1271-'02_대상물건입력'!B10),"")</f>
        <v/>
      </c>
      <c r="T1271" s="152">
        <f>IFERROR(ABS('01_설정'!B4-F1271),"")</f>
        <v/>
      </c>
      <c r="U1271" s="152">
        <f>IFERROR(ABS(K1271-YEAR('02_대상물건입력'!B14)),"")</f>
        <v/>
      </c>
      <c r="V1271" s="152">
        <f>IF(B1271="","",IF(AND(E1271&gt;0,F1271&gt;0,H1271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1271=1,TRUE()),R1271&lt;='01_설정'!B5,S1271&lt;='01_설정'!B6,T1271&lt;='01_설정'!B7,U1271&lt;='01_설정'!B8),"Y",""))</f>
        <v/>
      </c>
      <c r="W1271" s="172">
        <f>IF(V1271&lt;&gt;"Y","",MAX(0,(1-R1271/'01_설정'!B5))*'01_설정'!B14+MAX(0,(1-S1271/'01_설정'!B6))*'01_설정'!B15+MAX(0,(1-T1271/'01_설정'!B7))*'01_설정'!B16+MAX(0,(1-U1271/'01_설정'!B8))*'01_설정'!B17+O1271*'01_설정'!B11+Q1271*'01_설정'!B12+P1271*'01_설정'!B13+IF(Z1271="",0,Z1271))</f>
        <v/>
      </c>
      <c r="X1271" s="152">
        <f>IF(W1271="","",1+COUNTIFS($W$4:$W$3003,"&gt;"&amp;W1271)+COUNTIFS($W$4:W1271,W1271)-1)</f>
        <v/>
      </c>
      <c r="Y1271" s="175">
        <f>IF(OR(I1271="",'02_대상물건입력'!B19="",'02_대상물건입력'!B19&lt;=0),"",ABS(I1271-'02_대상물건입력'!B19)/'02_대상물건입력'!B19)</f>
        <v/>
      </c>
      <c r="Z1271" s="172">
        <f>IF(OR(Y1271="",'01_설정'!B31="",'01_설정'!B31&lt;=0,'01_설정'!B32="",'01_설정'!B32&lt;=0),"",MAX(0,(1-Y1271/'01_설정'!B32))*'01_설정'!B31)</f>
        <v/>
      </c>
    </row>
    <row r="1272" ht="17.25" customHeight="1">
      <c r="A1272" s="152">
        <f>IF(INDEX('04A_국토부원자료'!$A:$A,ROW()+1)="","",ROW()-3)</f>
        <v/>
      </c>
      <c r="B1272" s="48">
        <f>IFERROR(INDEX('04A_국토부원자료'!$A:$T,ROW()+1,MATCH("시군구",'04A_국토부원자료'!$A$4:$T$4,0)),"")</f>
        <v/>
      </c>
      <c r="C1272" s="48">
        <f>IF(B1272="","",IFERROR(INDEX('04A_국토부원자료'!$A:$T,ROW()+1,MATCH("번지",'04A_국토부원자료'!$A$4:$T$4,0)),""))</f>
        <v/>
      </c>
      <c r="D1272" s="48">
        <f>IF(B1272="","",IF(Q1272=1,'02_대상물건입력'!$B$8,IFERROR(INDEX('04A_국토부원자료'!$A:$T,ROW()+1,MATCH("단지명",'04A_국토부원자료'!$A$4:$T$4,0)),"")))</f>
        <v/>
      </c>
      <c r="E1272" s="172">
        <f>IFERROR(VALUE(SUBSTITUTE(INDEX('04A_국토부원자료'!$A:$T,ROW()+1,MATCH("전용면적(㎡)",'04A_국토부원자료'!$A$4:$T$4,0)),",","")),"")</f>
        <v/>
      </c>
      <c r="F12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72" s="51">
        <f>IFERROR(VALUE(SUBSTITUTE(INDEX('04A_국토부원자료'!$A:$T,ROW()+1,MATCH("거래금액(만원)",'04A_국토부원자료'!$A$4:$T$4,0)),",","")),"")</f>
        <v/>
      </c>
      <c r="H1272" s="174">
        <f>IF(G1272="","",G1272*10000)</f>
        <v/>
      </c>
      <c r="I1272" s="174">
        <f>IFERROR(IF(AND(H1272&gt;0,E1272&gt;0),H1272/E1272,""),"")</f>
        <v/>
      </c>
      <c r="J1272" s="152">
        <f>IFERROR(VALUE(SUBSTITUTE(INDEX('04A_국토부원자료'!$A:$T,ROW()+1,MATCH("층",'04A_국토부원자료'!$A$4:$T$4,0)),",","")),"")</f>
        <v/>
      </c>
      <c r="K1272" s="152">
        <f>IFERROR(VALUE(SUBSTITUTE(INDEX('04A_국토부원자료'!$A:$T,ROW()+1,MATCH("건축년도",'04A_국토부원자료'!$A$4:$T$4,0)),",","")),"")</f>
        <v/>
      </c>
      <c r="L1272" s="176">
        <f>IFERROR(INDEX('04A_국토부원자료'!$A:$T,ROW()+1,MATCH("도로명",'04A_국토부원자료'!$A$4:$T$4,0)),"")</f>
        <v/>
      </c>
      <c r="M1272" s="48">
        <f>IFERROR(INDEX('04A_국토부원자료'!$A:$T,ROW()+1,MATCH("거래유형",'04A_국토부원자료'!$A$4:$T$4,0)),"")</f>
        <v/>
      </c>
      <c r="N1272" s="152">
        <f>IF(B1272="","",IF('02_대상물건입력'!B5="",1,IF(ISNUMBER(SEARCH('02_대상물건입력'!B5,B1272)),1,0)))</f>
        <v/>
      </c>
      <c r="O1272" s="152">
        <f>IF(B1272="","",IF('02_대상물건입력'!B6="",1,IF(ISNUMBER(SEARCH('02_대상물건입력'!B6,B1272)),1,0)))</f>
        <v/>
      </c>
      <c r="P1272" s="152">
        <f>IF(L1272="","",IF('02_대상물건입력'!B15="",0,IF(ISNUMBER(SEARCH('02_대상물건입력'!B15,L1272)),1,0)))</f>
        <v/>
      </c>
      <c r="Q1272" s="152">
        <f>IF(OR(C1272="",L1272=""),0,IF(AND(TRIM(C1272)=TRIM(RIGHT(SUBSTITUTE(TRIM('02_대상물건입력'!$B$7)," ",REPT(" ",99)),99)),IF('02_대상물건입력'!B15="",TRUE(),ISNUMBER(SEARCH('02_대상물건입력'!B15,L1272)))),1,0))</f>
        <v/>
      </c>
      <c r="R1272" s="175">
        <f>IFERROR(ABS(E1272-'02_대상물건입력'!B11)/'02_대상물건입력'!B11,"")</f>
        <v/>
      </c>
      <c r="S1272" s="152">
        <f>IFERROR(ABS(J1272-'02_대상물건입력'!B10),"")</f>
        <v/>
      </c>
      <c r="T1272" s="152">
        <f>IFERROR(ABS('01_설정'!B4-F1272),"")</f>
        <v/>
      </c>
      <c r="U1272" s="152">
        <f>IFERROR(ABS(K1272-YEAR('02_대상물건입력'!B14)),"")</f>
        <v/>
      </c>
      <c r="V1272" s="152">
        <f>IF(B1272="","",IF(AND(E1272&gt;0,F1272&gt;0,H1272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1272=1,TRUE()),R1272&lt;='01_설정'!B5,S1272&lt;='01_설정'!B6,T1272&lt;='01_설정'!B7,U1272&lt;='01_설정'!B8),"Y",""))</f>
        <v/>
      </c>
      <c r="W1272" s="172">
        <f>IF(V1272&lt;&gt;"Y","",MAX(0,(1-R1272/'01_설정'!B5))*'01_설정'!B14+MAX(0,(1-S1272/'01_설정'!B6))*'01_설정'!B15+MAX(0,(1-T1272/'01_설정'!B7))*'01_설정'!B16+MAX(0,(1-U1272/'01_설정'!B8))*'01_설정'!B17+O1272*'01_설정'!B11+Q1272*'01_설정'!B12+P1272*'01_설정'!B13+IF(Z1272="",0,Z1272))</f>
        <v/>
      </c>
      <c r="X1272" s="152">
        <f>IF(W1272="","",1+COUNTIFS($W$4:$W$3003,"&gt;"&amp;W1272)+COUNTIFS($W$4:W1272,W1272)-1)</f>
        <v/>
      </c>
      <c r="Y1272" s="175">
        <f>IF(OR(I1272="",'02_대상물건입력'!B19="",'02_대상물건입력'!B19&lt;=0),"",ABS(I1272-'02_대상물건입력'!B19)/'02_대상물건입력'!B19)</f>
        <v/>
      </c>
      <c r="Z1272" s="172">
        <f>IF(OR(Y1272="",'01_설정'!B31="",'01_설정'!B31&lt;=0,'01_설정'!B32="",'01_설정'!B32&lt;=0),"",MAX(0,(1-Y1272/'01_설정'!B32))*'01_설정'!B31)</f>
        <v/>
      </c>
    </row>
    <row r="1273" ht="17.25" customHeight="1">
      <c r="A1273" s="152">
        <f>IF(INDEX('04A_국토부원자료'!$A:$A,ROW()+1)="","",ROW()-3)</f>
        <v/>
      </c>
      <c r="B1273" s="48">
        <f>IFERROR(INDEX('04A_국토부원자료'!$A:$T,ROW()+1,MATCH("시군구",'04A_국토부원자료'!$A$4:$T$4,0)),"")</f>
        <v/>
      </c>
      <c r="C1273" s="48">
        <f>IF(B1273="","",IFERROR(INDEX('04A_국토부원자료'!$A:$T,ROW()+1,MATCH("번지",'04A_국토부원자료'!$A$4:$T$4,0)),""))</f>
        <v/>
      </c>
      <c r="D1273" s="48">
        <f>IF(B1273="","",IF(Q1273=1,'02_대상물건입력'!$B$8,IFERROR(INDEX('04A_국토부원자료'!$A:$T,ROW()+1,MATCH("단지명",'04A_국토부원자료'!$A$4:$T$4,0)),"")))</f>
        <v/>
      </c>
      <c r="E1273" s="172">
        <f>IFERROR(VALUE(SUBSTITUTE(INDEX('04A_국토부원자료'!$A:$T,ROW()+1,MATCH("전용면적(㎡)",'04A_국토부원자료'!$A$4:$T$4,0)),",","")),"")</f>
        <v/>
      </c>
      <c r="F12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73" s="51">
        <f>IFERROR(VALUE(SUBSTITUTE(INDEX('04A_국토부원자료'!$A:$T,ROW()+1,MATCH("거래금액(만원)",'04A_국토부원자료'!$A$4:$T$4,0)),",","")),"")</f>
        <v/>
      </c>
      <c r="H1273" s="174">
        <f>IF(G1273="","",G1273*10000)</f>
        <v/>
      </c>
      <c r="I1273" s="174">
        <f>IFERROR(IF(AND(H1273&gt;0,E1273&gt;0),H1273/E1273,""),"")</f>
        <v/>
      </c>
      <c r="J1273" s="152">
        <f>IFERROR(VALUE(SUBSTITUTE(INDEX('04A_국토부원자료'!$A:$T,ROW()+1,MATCH("층",'04A_국토부원자료'!$A$4:$T$4,0)),",","")),"")</f>
        <v/>
      </c>
      <c r="K1273" s="152">
        <f>IFERROR(VALUE(SUBSTITUTE(INDEX('04A_국토부원자료'!$A:$T,ROW()+1,MATCH("건축년도",'04A_국토부원자료'!$A$4:$T$4,0)),",","")),"")</f>
        <v/>
      </c>
      <c r="L1273" s="176">
        <f>IFERROR(INDEX('04A_국토부원자료'!$A:$T,ROW()+1,MATCH("도로명",'04A_국토부원자료'!$A$4:$T$4,0)),"")</f>
        <v/>
      </c>
      <c r="M1273" s="48">
        <f>IFERROR(INDEX('04A_국토부원자료'!$A:$T,ROW()+1,MATCH("거래유형",'04A_국토부원자료'!$A$4:$T$4,0)),"")</f>
        <v/>
      </c>
      <c r="N1273" s="152">
        <f>IF(B1273="","",IF('02_대상물건입력'!B5="",1,IF(ISNUMBER(SEARCH('02_대상물건입력'!B5,B1273)),1,0)))</f>
        <v/>
      </c>
      <c r="O1273" s="152">
        <f>IF(B1273="","",IF('02_대상물건입력'!B6="",1,IF(ISNUMBER(SEARCH('02_대상물건입력'!B6,B1273)),1,0)))</f>
        <v/>
      </c>
      <c r="P1273" s="152">
        <f>IF(L1273="","",IF('02_대상물건입력'!B15="",0,IF(ISNUMBER(SEARCH('02_대상물건입력'!B15,L1273)),1,0)))</f>
        <v/>
      </c>
      <c r="Q1273" s="152">
        <f>IF(OR(C1273="",L1273=""),0,IF(AND(TRIM(C1273)=TRIM(RIGHT(SUBSTITUTE(TRIM('02_대상물건입력'!$B$7)," ",REPT(" ",99)),99)),IF('02_대상물건입력'!B15="",TRUE(),ISNUMBER(SEARCH('02_대상물건입력'!B15,L1273)))),1,0))</f>
        <v/>
      </c>
      <c r="R1273" s="175">
        <f>IFERROR(ABS(E1273-'02_대상물건입력'!B11)/'02_대상물건입력'!B11,"")</f>
        <v/>
      </c>
      <c r="S1273" s="152">
        <f>IFERROR(ABS(J1273-'02_대상물건입력'!B10),"")</f>
        <v/>
      </c>
      <c r="T1273" s="152">
        <f>IFERROR(ABS('01_설정'!B4-F1273),"")</f>
        <v/>
      </c>
      <c r="U1273" s="152">
        <f>IFERROR(ABS(K1273-YEAR('02_대상물건입력'!B14)),"")</f>
        <v/>
      </c>
      <c r="V1273" s="152">
        <f>IF(B1273="","",IF(AND(E1273&gt;0,F1273&gt;0,H1273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1273=1,TRUE()),R1273&lt;='01_설정'!B5,S1273&lt;='01_설정'!B6,T1273&lt;='01_설정'!B7,U1273&lt;='01_설정'!B8),"Y",""))</f>
        <v/>
      </c>
      <c r="W1273" s="172">
        <f>IF(V1273&lt;&gt;"Y","",MAX(0,(1-R1273/'01_설정'!B5))*'01_설정'!B14+MAX(0,(1-S1273/'01_설정'!B6))*'01_설정'!B15+MAX(0,(1-T1273/'01_설정'!B7))*'01_설정'!B16+MAX(0,(1-U1273/'01_설정'!B8))*'01_설정'!B17+O1273*'01_설정'!B11+Q1273*'01_설정'!B12+P1273*'01_설정'!B13+IF(Z1273="",0,Z1273))</f>
        <v/>
      </c>
      <c r="X1273" s="152">
        <f>IF(W1273="","",1+COUNTIFS($W$4:$W$3003,"&gt;"&amp;W1273)+COUNTIFS($W$4:W1273,W1273)-1)</f>
        <v/>
      </c>
      <c r="Y1273" s="175">
        <f>IF(OR(I1273="",'02_대상물건입력'!B19="",'02_대상물건입력'!B19&lt;=0),"",ABS(I1273-'02_대상물건입력'!B19)/'02_대상물건입력'!B19)</f>
        <v/>
      </c>
      <c r="Z1273" s="172">
        <f>IF(OR(Y1273="",'01_설정'!B31="",'01_설정'!B31&lt;=0,'01_설정'!B32="",'01_설정'!B32&lt;=0),"",MAX(0,(1-Y1273/'01_설정'!B32))*'01_설정'!B31)</f>
        <v/>
      </c>
    </row>
    <row r="1274" ht="17.25" customHeight="1">
      <c r="A1274" s="152">
        <f>IF(INDEX('04A_국토부원자료'!$A:$A,ROW()+1)="","",ROW()-3)</f>
        <v/>
      </c>
      <c r="B1274" s="48">
        <f>IFERROR(INDEX('04A_국토부원자료'!$A:$T,ROW()+1,MATCH("시군구",'04A_국토부원자료'!$A$4:$T$4,0)),"")</f>
        <v/>
      </c>
      <c r="C1274" s="48">
        <f>IF(B1274="","",IFERROR(INDEX('04A_국토부원자료'!$A:$T,ROW()+1,MATCH("번지",'04A_국토부원자료'!$A$4:$T$4,0)),""))</f>
        <v/>
      </c>
      <c r="D1274" s="48">
        <f>IF(B1274="","",IF(Q1274=1,'02_대상물건입력'!$B$8,IFERROR(INDEX('04A_국토부원자료'!$A:$T,ROW()+1,MATCH("단지명",'04A_국토부원자료'!$A$4:$T$4,0)),"")))</f>
        <v/>
      </c>
      <c r="E1274" s="172">
        <f>IFERROR(VALUE(SUBSTITUTE(INDEX('04A_국토부원자료'!$A:$T,ROW()+1,MATCH("전용면적(㎡)",'04A_국토부원자료'!$A$4:$T$4,0)),",","")),"")</f>
        <v/>
      </c>
      <c r="F12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74" s="51">
        <f>IFERROR(VALUE(SUBSTITUTE(INDEX('04A_국토부원자료'!$A:$T,ROW()+1,MATCH("거래금액(만원)",'04A_국토부원자료'!$A$4:$T$4,0)),",","")),"")</f>
        <v/>
      </c>
      <c r="H1274" s="174">
        <f>IF(G1274="","",G1274*10000)</f>
        <v/>
      </c>
      <c r="I1274" s="174">
        <f>IFERROR(IF(AND(H1274&gt;0,E1274&gt;0),H1274/E1274,""),"")</f>
        <v/>
      </c>
      <c r="J1274" s="152">
        <f>IFERROR(VALUE(SUBSTITUTE(INDEX('04A_국토부원자료'!$A:$T,ROW()+1,MATCH("층",'04A_국토부원자료'!$A$4:$T$4,0)),",","")),"")</f>
        <v/>
      </c>
      <c r="K1274" s="152">
        <f>IFERROR(VALUE(SUBSTITUTE(INDEX('04A_국토부원자료'!$A:$T,ROW()+1,MATCH("건축년도",'04A_국토부원자료'!$A$4:$T$4,0)),",","")),"")</f>
        <v/>
      </c>
      <c r="L1274" s="176">
        <f>IFERROR(INDEX('04A_국토부원자료'!$A:$T,ROW()+1,MATCH("도로명",'04A_국토부원자료'!$A$4:$T$4,0)),"")</f>
        <v/>
      </c>
      <c r="M1274" s="48">
        <f>IFERROR(INDEX('04A_국토부원자료'!$A:$T,ROW()+1,MATCH("거래유형",'04A_국토부원자료'!$A$4:$T$4,0)),"")</f>
        <v/>
      </c>
      <c r="N1274" s="152">
        <f>IF(B1274="","",IF('02_대상물건입력'!B5="",1,IF(ISNUMBER(SEARCH('02_대상물건입력'!B5,B1274)),1,0)))</f>
        <v/>
      </c>
      <c r="O1274" s="152">
        <f>IF(B1274="","",IF('02_대상물건입력'!B6="",1,IF(ISNUMBER(SEARCH('02_대상물건입력'!B6,B1274)),1,0)))</f>
        <v/>
      </c>
      <c r="P1274" s="152">
        <f>IF(L1274="","",IF('02_대상물건입력'!B15="",0,IF(ISNUMBER(SEARCH('02_대상물건입력'!B15,L1274)),1,0)))</f>
        <v/>
      </c>
      <c r="Q1274" s="152">
        <f>IF(OR(C1274="",L1274=""),0,IF(AND(TRIM(C1274)=TRIM(RIGHT(SUBSTITUTE(TRIM('02_대상물건입력'!$B$7)," ",REPT(" ",99)),99)),IF('02_대상물건입력'!B15="",TRUE(),ISNUMBER(SEARCH('02_대상물건입력'!B15,L1274)))),1,0))</f>
        <v/>
      </c>
      <c r="R1274" s="175">
        <f>IFERROR(ABS(E1274-'02_대상물건입력'!B11)/'02_대상물건입력'!B11,"")</f>
        <v/>
      </c>
      <c r="S1274" s="152">
        <f>IFERROR(ABS(J1274-'02_대상물건입력'!B10),"")</f>
        <v/>
      </c>
      <c r="T1274" s="152">
        <f>IFERROR(ABS('01_설정'!B4-F1274),"")</f>
        <v/>
      </c>
      <c r="U1274" s="152">
        <f>IFERROR(ABS(K1274-YEAR('02_대상물건입력'!B14)),"")</f>
        <v/>
      </c>
      <c r="V1274" s="152">
        <f>IF(B1274="","",IF(AND(E1274&gt;0,F1274&gt;0,H1274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1274=1,TRUE()),R1274&lt;='01_설정'!B5,S1274&lt;='01_설정'!B6,T1274&lt;='01_설정'!B7,U1274&lt;='01_설정'!B8),"Y",""))</f>
        <v/>
      </c>
      <c r="W1274" s="172">
        <f>IF(V1274&lt;&gt;"Y","",MAX(0,(1-R1274/'01_설정'!B5))*'01_설정'!B14+MAX(0,(1-S1274/'01_설정'!B6))*'01_설정'!B15+MAX(0,(1-T1274/'01_설정'!B7))*'01_설정'!B16+MAX(0,(1-U1274/'01_설정'!B8))*'01_설정'!B17+O1274*'01_설정'!B11+Q1274*'01_설정'!B12+P1274*'01_설정'!B13+IF(Z1274="",0,Z1274))</f>
        <v/>
      </c>
      <c r="X1274" s="152">
        <f>IF(W1274="","",1+COUNTIFS($W$4:$W$3003,"&gt;"&amp;W1274)+COUNTIFS($W$4:W1274,W1274)-1)</f>
        <v/>
      </c>
      <c r="Y1274" s="175">
        <f>IF(OR(I1274="",'02_대상물건입력'!B19="",'02_대상물건입력'!B19&lt;=0),"",ABS(I1274-'02_대상물건입력'!B19)/'02_대상물건입력'!B19)</f>
        <v/>
      </c>
      <c r="Z1274" s="172">
        <f>IF(OR(Y1274="",'01_설정'!B31="",'01_설정'!B31&lt;=0,'01_설정'!B32="",'01_설정'!B32&lt;=0),"",MAX(0,(1-Y1274/'01_설정'!B32))*'01_설정'!B31)</f>
        <v/>
      </c>
    </row>
    <row r="1275" ht="17.25" customHeight="1">
      <c r="A1275" s="152">
        <f>IF(INDEX('04A_국토부원자료'!$A:$A,ROW()+1)="","",ROW()-3)</f>
        <v/>
      </c>
      <c r="B1275" s="48">
        <f>IFERROR(INDEX('04A_국토부원자료'!$A:$T,ROW()+1,MATCH("시군구",'04A_국토부원자료'!$A$4:$T$4,0)),"")</f>
        <v/>
      </c>
      <c r="C1275" s="48">
        <f>IF(B1275="","",IFERROR(INDEX('04A_국토부원자료'!$A:$T,ROW()+1,MATCH("번지",'04A_국토부원자료'!$A$4:$T$4,0)),""))</f>
        <v/>
      </c>
      <c r="D1275" s="48">
        <f>IF(B1275="","",IF(Q1275=1,'02_대상물건입력'!$B$8,IFERROR(INDEX('04A_국토부원자료'!$A:$T,ROW()+1,MATCH("단지명",'04A_국토부원자료'!$A$4:$T$4,0)),"")))</f>
        <v/>
      </c>
      <c r="E1275" s="172">
        <f>IFERROR(VALUE(SUBSTITUTE(INDEX('04A_국토부원자료'!$A:$T,ROW()+1,MATCH("전용면적(㎡)",'04A_국토부원자료'!$A$4:$T$4,0)),",","")),"")</f>
        <v/>
      </c>
      <c r="F12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75" s="51">
        <f>IFERROR(VALUE(SUBSTITUTE(INDEX('04A_국토부원자료'!$A:$T,ROW()+1,MATCH("거래금액(만원)",'04A_국토부원자료'!$A$4:$T$4,0)),",","")),"")</f>
        <v/>
      </c>
      <c r="H1275" s="174">
        <f>IF(G1275="","",G1275*10000)</f>
        <v/>
      </c>
      <c r="I1275" s="174">
        <f>IFERROR(IF(AND(H1275&gt;0,E1275&gt;0),H1275/E1275,""),"")</f>
        <v/>
      </c>
      <c r="J1275" s="152">
        <f>IFERROR(VALUE(SUBSTITUTE(INDEX('04A_국토부원자료'!$A:$T,ROW()+1,MATCH("층",'04A_국토부원자료'!$A$4:$T$4,0)),",","")),"")</f>
        <v/>
      </c>
      <c r="K1275" s="152">
        <f>IFERROR(VALUE(SUBSTITUTE(INDEX('04A_국토부원자료'!$A:$T,ROW()+1,MATCH("건축년도",'04A_국토부원자료'!$A$4:$T$4,0)),",","")),"")</f>
        <v/>
      </c>
      <c r="L1275" s="176">
        <f>IFERROR(INDEX('04A_국토부원자료'!$A:$T,ROW()+1,MATCH("도로명",'04A_국토부원자료'!$A$4:$T$4,0)),"")</f>
        <v/>
      </c>
      <c r="M1275" s="48">
        <f>IFERROR(INDEX('04A_국토부원자료'!$A:$T,ROW()+1,MATCH("거래유형",'04A_국토부원자료'!$A$4:$T$4,0)),"")</f>
        <v/>
      </c>
      <c r="N1275" s="152">
        <f>IF(B1275="","",IF('02_대상물건입력'!B5="",1,IF(ISNUMBER(SEARCH('02_대상물건입력'!B5,B1275)),1,0)))</f>
        <v/>
      </c>
      <c r="O1275" s="152">
        <f>IF(B1275="","",IF('02_대상물건입력'!B6="",1,IF(ISNUMBER(SEARCH('02_대상물건입력'!B6,B1275)),1,0)))</f>
        <v/>
      </c>
      <c r="P1275" s="152">
        <f>IF(L1275="","",IF('02_대상물건입력'!B15="",0,IF(ISNUMBER(SEARCH('02_대상물건입력'!B15,L1275)),1,0)))</f>
        <v/>
      </c>
      <c r="Q1275" s="152">
        <f>IF(OR(C1275="",L1275=""),0,IF(AND(TRIM(C1275)=TRIM(RIGHT(SUBSTITUTE(TRIM('02_대상물건입력'!$B$7)," ",REPT(" ",99)),99)),IF('02_대상물건입력'!B15="",TRUE(),ISNUMBER(SEARCH('02_대상물건입력'!B15,L1275)))),1,0))</f>
        <v/>
      </c>
      <c r="R1275" s="175">
        <f>IFERROR(ABS(E1275-'02_대상물건입력'!B11)/'02_대상물건입력'!B11,"")</f>
        <v/>
      </c>
      <c r="S1275" s="152">
        <f>IFERROR(ABS(J1275-'02_대상물건입력'!B10),"")</f>
        <v/>
      </c>
      <c r="T1275" s="152">
        <f>IFERROR(ABS('01_설정'!B4-F1275),"")</f>
        <v/>
      </c>
      <c r="U1275" s="152">
        <f>IFERROR(ABS(K1275-YEAR('02_대상물건입력'!B14)),"")</f>
        <v/>
      </c>
      <c r="V1275" s="152">
        <f>IF(B1275="","",IF(AND(E1275&gt;0,F1275&gt;0,H1275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1275=1,TRUE()),R1275&lt;='01_설정'!B5,S1275&lt;='01_설정'!B6,T1275&lt;='01_설정'!B7,U1275&lt;='01_설정'!B8),"Y",""))</f>
        <v/>
      </c>
      <c r="W1275" s="172">
        <f>IF(V1275&lt;&gt;"Y","",MAX(0,(1-R1275/'01_설정'!B5))*'01_설정'!B14+MAX(0,(1-S1275/'01_설정'!B6))*'01_설정'!B15+MAX(0,(1-T1275/'01_설정'!B7))*'01_설정'!B16+MAX(0,(1-U1275/'01_설정'!B8))*'01_설정'!B17+O1275*'01_설정'!B11+Q1275*'01_설정'!B12+P1275*'01_설정'!B13+IF(Z1275="",0,Z1275))</f>
        <v/>
      </c>
      <c r="X1275" s="152">
        <f>IF(W1275="","",1+COUNTIFS($W$4:$W$3003,"&gt;"&amp;W1275)+COUNTIFS($W$4:W1275,W1275)-1)</f>
        <v/>
      </c>
      <c r="Y1275" s="175">
        <f>IF(OR(I1275="",'02_대상물건입력'!B19="",'02_대상물건입력'!B19&lt;=0),"",ABS(I1275-'02_대상물건입력'!B19)/'02_대상물건입력'!B19)</f>
        <v/>
      </c>
      <c r="Z1275" s="172">
        <f>IF(OR(Y1275="",'01_설정'!B31="",'01_설정'!B31&lt;=0,'01_설정'!B32="",'01_설정'!B32&lt;=0),"",MAX(0,(1-Y1275/'01_설정'!B32))*'01_설정'!B31)</f>
        <v/>
      </c>
    </row>
    <row r="1276" ht="17.25" customHeight="1">
      <c r="A1276" s="152">
        <f>IF(INDEX('04A_국토부원자료'!$A:$A,ROW()+1)="","",ROW()-3)</f>
        <v/>
      </c>
      <c r="B1276" s="48">
        <f>IFERROR(INDEX('04A_국토부원자료'!$A:$T,ROW()+1,MATCH("시군구",'04A_국토부원자료'!$A$4:$T$4,0)),"")</f>
        <v/>
      </c>
      <c r="C1276" s="48">
        <f>IF(B1276="","",IFERROR(INDEX('04A_국토부원자료'!$A:$T,ROW()+1,MATCH("번지",'04A_국토부원자료'!$A$4:$T$4,0)),""))</f>
        <v/>
      </c>
      <c r="D1276" s="48">
        <f>IF(B1276="","",IF(Q1276=1,'02_대상물건입력'!$B$8,IFERROR(INDEX('04A_국토부원자료'!$A:$T,ROW()+1,MATCH("단지명",'04A_국토부원자료'!$A$4:$T$4,0)),"")))</f>
        <v/>
      </c>
      <c r="E1276" s="172">
        <f>IFERROR(VALUE(SUBSTITUTE(INDEX('04A_국토부원자료'!$A:$T,ROW()+1,MATCH("전용면적(㎡)",'04A_국토부원자료'!$A$4:$T$4,0)),",","")),"")</f>
        <v/>
      </c>
      <c r="F12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76" s="51">
        <f>IFERROR(VALUE(SUBSTITUTE(INDEX('04A_국토부원자료'!$A:$T,ROW()+1,MATCH("거래금액(만원)",'04A_국토부원자료'!$A$4:$T$4,0)),",","")),"")</f>
        <v/>
      </c>
      <c r="H1276" s="174">
        <f>IF(G1276="","",G1276*10000)</f>
        <v/>
      </c>
      <c r="I1276" s="174">
        <f>IFERROR(IF(AND(H1276&gt;0,E1276&gt;0),H1276/E1276,""),"")</f>
        <v/>
      </c>
      <c r="J1276" s="152">
        <f>IFERROR(VALUE(SUBSTITUTE(INDEX('04A_국토부원자료'!$A:$T,ROW()+1,MATCH("층",'04A_국토부원자료'!$A$4:$T$4,0)),",","")),"")</f>
        <v/>
      </c>
      <c r="K1276" s="152">
        <f>IFERROR(VALUE(SUBSTITUTE(INDEX('04A_국토부원자료'!$A:$T,ROW()+1,MATCH("건축년도",'04A_국토부원자료'!$A$4:$T$4,0)),",","")),"")</f>
        <v/>
      </c>
      <c r="L1276" s="176">
        <f>IFERROR(INDEX('04A_국토부원자료'!$A:$T,ROW()+1,MATCH("도로명",'04A_국토부원자료'!$A$4:$T$4,0)),"")</f>
        <v/>
      </c>
      <c r="M1276" s="48">
        <f>IFERROR(INDEX('04A_국토부원자료'!$A:$T,ROW()+1,MATCH("거래유형",'04A_국토부원자료'!$A$4:$T$4,0)),"")</f>
        <v/>
      </c>
      <c r="N1276" s="152">
        <f>IF(B1276="","",IF('02_대상물건입력'!B5="",1,IF(ISNUMBER(SEARCH('02_대상물건입력'!B5,B1276)),1,0)))</f>
        <v/>
      </c>
      <c r="O1276" s="152">
        <f>IF(B1276="","",IF('02_대상물건입력'!B6="",1,IF(ISNUMBER(SEARCH('02_대상물건입력'!B6,B1276)),1,0)))</f>
        <v/>
      </c>
      <c r="P1276" s="152">
        <f>IF(L1276="","",IF('02_대상물건입력'!B15="",0,IF(ISNUMBER(SEARCH('02_대상물건입력'!B15,L1276)),1,0)))</f>
        <v/>
      </c>
      <c r="Q1276" s="152">
        <f>IF(OR(C1276="",L1276=""),0,IF(AND(TRIM(C1276)=TRIM(RIGHT(SUBSTITUTE(TRIM('02_대상물건입력'!$B$7)," ",REPT(" ",99)),99)),IF('02_대상물건입력'!B15="",TRUE(),ISNUMBER(SEARCH('02_대상물건입력'!B15,L1276)))),1,0))</f>
        <v/>
      </c>
      <c r="R1276" s="175">
        <f>IFERROR(ABS(E1276-'02_대상물건입력'!B11)/'02_대상물건입력'!B11,"")</f>
        <v/>
      </c>
      <c r="S1276" s="152">
        <f>IFERROR(ABS(J1276-'02_대상물건입력'!B10),"")</f>
        <v/>
      </c>
      <c r="T1276" s="152">
        <f>IFERROR(ABS('01_설정'!B4-F1276),"")</f>
        <v/>
      </c>
      <c r="U1276" s="152">
        <f>IFERROR(ABS(K1276-YEAR('02_대상물건입력'!B14)),"")</f>
        <v/>
      </c>
      <c r="V1276" s="152">
        <f>IF(B1276="","",IF(AND(E1276&gt;0,F1276&gt;0,H1276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1276=1,TRUE()),R1276&lt;='01_설정'!B5,S1276&lt;='01_설정'!B6,T1276&lt;='01_설정'!B7,U1276&lt;='01_설정'!B8),"Y",""))</f>
        <v/>
      </c>
      <c r="W1276" s="172">
        <f>IF(V1276&lt;&gt;"Y","",MAX(0,(1-R1276/'01_설정'!B5))*'01_설정'!B14+MAX(0,(1-S1276/'01_설정'!B6))*'01_설정'!B15+MAX(0,(1-T1276/'01_설정'!B7))*'01_설정'!B16+MAX(0,(1-U1276/'01_설정'!B8))*'01_설정'!B17+O1276*'01_설정'!B11+Q1276*'01_설정'!B12+P1276*'01_설정'!B13+IF(Z1276="",0,Z1276))</f>
        <v/>
      </c>
      <c r="X1276" s="152">
        <f>IF(W1276="","",1+COUNTIFS($W$4:$W$3003,"&gt;"&amp;W1276)+COUNTIFS($W$4:W1276,W1276)-1)</f>
        <v/>
      </c>
      <c r="Y1276" s="175">
        <f>IF(OR(I1276="",'02_대상물건입력'!B19="",'02_대상물건입력'!B19&lt;=0),"",ABS(I1276-'02_대상물건입력'!B19)/'02_대상물건입력'!B19)</f>
        <v/>
      </c>
      <c r="Z1276" s="172">
        <f>IF(OR(Y1276="",'01_설정'!B31="",'01_설정'!B31&lt;=0,'01_설정'!B32="",'01_설정'!B32&lt;=0),"",MAX(0,(1-Y1276/'01_설정'!B32))*'01_설정'!B31)</f>
        <v/>
      </c>
    </row>
    <row r="1277" ht="17.25" customHeight="1">
      <c r="A1277" s="152">
        <f>IF(INDEX('04A_국토부원자료'!$A:$A,ROW()+1)="","",ROW()-3)</f>
        <v/>
      </c>
      <c r="B1277" s="48">
        <f>IFERROR(INDEX('04A_국토부원자료'!$A:$T,ROW()+1,MATCH("시군구",'04A_국토부원자료'!$A$4:$T$4,0)),"")</f>
        <v/>
      </c>
      <c r="C1277" s="48">
        <f>IF(B1277="","",IFERROR(INDEX('04A_국토부원자료'!$A:$T,ROW()+1,MATCH("번지",'04A_국토부원자료'!$A$4:$T$4,0)),""))</f>
        <v/>
      </c>
      <c r="D1277" s="48">
        <f>IF(B1277="","",IF(Q1277=1,'02_대상물건입력'!$B$8,IFERROR(INDEX('04A_국토부원자료'!$A:$T,ROW()+1,MATCH("단지명",'04A_국토부원자료'!$A$4:$T$4,0)),"")))</f>
        <v/>
      </c>
      <c r="E1277" s="172">
        <f>IFERROR(VALUE(SUBSTITUTE(INDEX('04A_국토부원자료'!$A:$T,ROW()+1,MATCH("전용면적(㎡)",'04A_국토부원자료'!$A$4:$T$4,0)),",","")),"")</f>
        <v/>
      </c>
      <c r="F12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77" s="51">
        <f>IFERROR(VALUE(SUBSTITUTE(INDEX('04A_국토부원자료'!$A:$T,ROW()+1,MATCH("거래금액(만원)",'04A_국토부원자료'!$A$4:$T$4,0)),",","")),"")</f>
        <v/>
      </c>
      <c r="H1277" s="174">
        <f>IF(G1277="","",G1277*10000)</f>
        <v/>
      </c>
      <c r="I1277" s="174">
        <f>IFERROR(IF(AND(H1277&gt;0,E1277&gt;0),H1277/E1277,""),"")</f>
        <v/>
      </c>
      <c r="J1277" s="152">
        <f>IFERROR(VALUE(SUBSTITUTE(INDEX('04A_국토부원자료'!$A:$T,ROW()+1,MATCH("층",'04A_국토부원자료'!$A$4:$T$4,0)),",","")),"")</f>
        <v/>
      </c>
      <c r="K1277" s="152">
        <f>IFERROR(VALUE(SUBSTITUTE(INDEX('04A_국토부원자료'!$A:$T,ROW()+1,MATCH("건축년도",'04A_국토부원자료'!$A$4:$T$4,0)),",","")),"")</f>
        <v/>
      </c>
      <c r="L1277" s="176">
        <f>IFERROR(INDEX('04A_국토부원자료'!$A:$T,ROW()+1,MATCH("도로명",'04A_국토부원자료'!$A$4:$T$4,0)),"")</f>
        <v/>
      </c>
      <c r="M1277" s="48">
        <f>IFERROR(INDEX('04A_국토부원자료'!$A:$T,ROW()+1,MATCH("거래유형",'04A_국토부원자료'!$A$4:$T$4,0)),"")</f>
        <v/>
      </c>
      <c r="N1277" s="152">
        <f>IF(B1277="","",IF('02_대상물건입력'!B5="",1,IF(ISNUMBER(SEARCH('02_대상물건입력'!B5,B1277)),1,0)))</f>
        <v/>
      </c>
      <c r="O1277" s="152">
        <f>IF(B1277="","",IF('02_대상물건입력'!B6="",1,IF(ISNUMBER(SEARCH('02_대상물건입력'!B6,B1277)),1,0)))</f>
        <v/>
      </c>
      <c r="P1277" s="152">
        <f>IF(L1277="","",IF('02_대상물건입력'!B15="",0,IF(ISNUMBER(SEARCH('02_대상물건입력'!B15,L1277)),1,0)))</f>
        <v/>
      </c>
      <c r="Q1277" s="152">
        <f>IF(OR(C1277="",L1277=""),0,IF(AND(TRIM(C1277)=TRIM(RIGHT(SUBSTITUTE(TRIM('02_대상물건입력'!$B$7)," ",REPT(" ",99)),99)),IF('02_대상물건입력'!B15="",TRUE(),ISNUMBER(SEARCH('02_대상물건입력'!B15,L1277)))),1,0))</f>
        <v/>
      </c>
      <c r="R1277" s="175">
        <f>IFERROR(ABS(E1277-'02_대상물건입력'!B11)/'02_대상물건입력'!B11,"")</f>
        <v/>
      </c>
      <c r="S1277" s="152">
        <f>IFERROR(ABS(J1277-'02_대상물건입력'!B10),"")</f>
        <v/>
      </c>
      <c r="T1277" s="152">
        <f>IFERROR(ABS('01_설정'!B4-F1277),"")</f>
        <v/>
      </c>
      <c r="U1277" s="152">
        <f>IFERROR(ABS(K1277-YEAR('02_대상물건입력'!B14)),"")</f>
        <v/>
      </c>
      <c r="V1277" s="152">
        <f>IF(B1277="","",IF(AND(E1277&gt;0,F1277&gt;0,H1277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1277=1,TRUE()),R1277&lt;='01_설정'!B5,S1277&lt;='01_설정'!B6,T1277&lt;='01_설정'!B7,U1277&lt;='01_설정'!B8),"Y",""))</f>
        <v/>
      </c>
      <c r="W1277" s="172">
        <f>IF(V1277&lt;&gt;"Y","",MAX(0,(1-R1277/'01_설정'!B5))*'01_설정'!B14+MAX(0,(1-S1277/'01_설정'!B6))*'01_설정'!B15+MAX(0,(1-T1277/'01_설정'!B7))*'01_설정'!B16+MAX(0,(1-U1277/'01_설정'!B8))*'01_설정'!B17+O1277*'01_설정'!B11+Q1277*'01_설정'!B12+P1277*'01_설정'!B13+IF(Z1277="",0,Z1277))</f>
        <v/>
      </c>
      <c r="X1277" s="152">
        <f>IF(W1277="","",1+COUNTIFS($W$4:$W$3003,"&gt;"&amp;W1277)+COUNTIFS($W$4:W1277,W1277)-1)</f>
        <v/>
      </c>
      <c r="Y1277" s="175">
        <f>IF(OR(I1277="",'02_대상물건입력'!B19="",'02_대상물건입력'!B19&lt;=0),"",ABS(I1277-'02_대상물건입력'!B19)/'02_대상물건입력'!B19)</f>
        <v/>
      </c>
      <c r="Z1277" s="172">
        <f>IF(OR(Y1277="",'01_설정'!B31="",'01_설정'!B31&lt;=0,'01_설정'!B32="",'01_설정'!B32&lt;=0),"",MAX(0,(1-Y1277/'01_설정'!B32))*'01_설정'!B31)</f>
        <v/>
      </c>
    </row>
    <row r="1278" ht="17.25" customHeight="1">
      <c r="A1278" s="152">
        <f>IF(INDEX('04A_국토부원자료'!$A:$A,ROW()+1)="","",ROW()-3)</f>
        <v/>
      </c>
      <c r="B1278" s="48">
        <f>IFERROR(INDEX('04A_국토부원자료'!$A:$T,ROW()+1,MATCH("시군구",'04A_국토부원자료'!$A$4:$T$4,0)),"")</f>
        <v/>
      </c>
      <c r="C1278" s="48">
        <f>IF(B1278="","",IFERROR(INDEX('04A_국토부원자료'!$A:$T,ROW()+1,MATCH("번지",'04A_국토부원자료'!$A$4:$T$4,0)),""))</f>
        <v/>
      </c>
      <c r="D1278" s="48">
        <f>IF(B1278="","",IF(Q1278=1,'02_대상물건입력'!$B$8,IFERROR(INDEX('04A_국토부원자료'!$A:$T,ROW()+1,MATCH("단지명",'04A_국토부원자료'!$A$4:$T$4,0)),"")))</f>
        <v/>
      </c>
      <c r="E1278" s="172">
        <f>IFERROR(VALUE(SUBSTITUTE(INDEX('04A_국토부원자료'!$A:$T,ROW()+1,MATCH("전용면적(㎡)",'04A_국토부원자료'!$A$4:$T$4,0)),",","")),"")</f>
        <v/>
      </c>
      <c r="F12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78" s="51">
        <f>IFERROR(VALUE(SUBSTITUTE(INDEX('04A_국토부원자료'!$A:$T,ROW()+1,MATCH("거래금액(만원)",'04A_국토부원자료'!$A$4:$T$4,0)),",","")),"")</f>
        <v/>
      </c>
      <c r="H1278" s="174">
        <f>IF(G1278="","",G1278*10000)</f>
        <v/>
      </c>
      <c r="I1278" s="174">
        <f>IFERROR(IF(AND(H1278&gt;0,E1278&gt;0),H1278/E1278,""),"")</f>
        <v/>
      </c>
      <c r="J1278" s="152">
        <f>IFERROR(VALUE(SUBSTITUTE(INDEX('04A_국토부원자료'!$A:$T,ROW()+1,MATCH("층",'04A_국토부원자료'!$A$4:$T$4,0)),",","")),"")</f>
        <v/>
      </c>
      <c r="K1278" s="152">
        <f>IFERROR(VALUE(SUBSTITUTE(INDEX('04A_국토부원자료'!$A:$T,ROW()+1,MATCH("건축년도",'04A_국토부원자료'!$A$4:$T$4,0)),",","")),"")</f>
        <v/>
      </c>
      <c r="L1278" s="176">
        <f>IFERROR(INDEX('04A_국토부원자료'!$A:$T,ROW()+1,MATCH("도로명",'04A_국토부원자료'!$A$4:$T$4,0)),"")</f>
        <v/>
      </c>
      <c r="M1278" s="48">
        <f>IFERROR(INDEX('04A_국토부원자료'!$A:$T,ROW()+1,MATCH("거래유형",'04A_국토부원자료'!$A$4:$T$4,0)),"")</f>
        <v/>
      </c>
      <c r="N1278" s="152">
        <f>IF(B1278="","",IF('02_대상물건입력'!B5="",1,IF(ISNUMBER(SEARCH('02_대상물건입력'!B5,B1278)),1,0)))</f>
        <v/>
      </c>
      <c r="O1278" s="152">
        <f>IF(B1278="","",IF('02_대상물건입력'!B6="",1,IF(ISNUMBER(SEARCH('02_대상물건입력'!B6,B1278)),1,0)))</f>
        <v/>
      </c>
      <c r="P1278" s="152">
        <f>IF(L1278="","",IF('02_대상물건입력'!B15="",0,IF(ISNUMBER(SEARCH('02_대상물건입력'!B15,L1278)),1,0)))</f>
        <v/>
      </c>
      <c r="Q1278" s="152">
        <f>IF(OR(C1278="",L1278=""),0,IF(AND(TRIM(C1278)=TRIM(RIGHT(SUBSTITUTE(TRIM('02_대상물건입력'!$B$7)," ",REPT(" ",99)),99)),IF('02_대상물건입력'!B15="",TRUE(),ISNUMBER(SEARCH('02_대상물건입력'!B15,L1278)))),1,0))</f>
        <v/>
      </c>
      <c r="R1278" s="175">
        <f>IFERROR(ABS(E1278-'02_대상물건입력'!B11)/'02_대상물건입력'!B11,"")</f>
        <v/>
      </c>
      <c r="S1278" s="152">
        <f>IFERROR(ABS(J1278-'02_대상물건입력'!B10),"")</f>
        <v/>
      </c>
      <c r="T1278" s="152">
        <f>IFERROR(ABS('01_설정'!B4-F1278),"")</f>
        <v/>
      </c>
      <c r="U1278" s="152">
        <f>IFERROR(ABS(K1278-YEAR('02_대상물건입력'!B14)),"")</f>
        <v/>
      </c>
      <c r="V1278" s="152">
        <f>IF(B1278="","",IF(AND(E1278&gt;0,F1278&gt;0,H1278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1278=1,TRUE()),R1278&lt;='01_설정'!B5,S1278&lt;='01_설정'!B6,T1278&lt;='01_설정'!B7,U1278&lt;='01_설정'!B8),"Y",""))</f>
        <v/>
      </c>
      <c r="W1278" s="172">
        <f>IF(V1278&lt;&gt;"Y","",MAX(0,(1-R1278/'01_설정'!B5))*'01_설정'!B14+MAX(0,(1-S1278/'01_설정'!B6))*'01_설정'!B15+MAX(0,(1-T1278/'01_설정'!B7))*'01_설정'!B16+MAX(0,(1-U1278/'01_설정'!B8))*'01_설정'!B17+O1278*'01_설정'!B11+Q1278*'01_설정'!B12+P1278*'01_설정'!B13+IF(Z1278="",0,Z1278))</f>
        <v/>
      </c>
      <c r="X1278" s="152">
        <f>IF(W1278="","",1+COUNTIFS($W$4:$W$3003,"&gt;"&amp;W1278)+COUNTIFS($W$4:W1278,W1278)-1)</f>
        <v/>
      </c>
      <c r="Y1278" s="175">
        <f>IF(OR(I1278="",'02_대상물건입력'!B19="",'02_대상물건입력'!B19&lt;=0),"",ABS(I1278-'02_대상물건입력'!B19)/'02_대상물건입력'!B19)</f>
        <v/>
      </c>
      <c r="Z1278" s="172">
        <f>IF(OR(Y1278="",'01_설정'!B31="",'01_설정'!B31&lt;=0,'01_설정'!B32="",'01_설정'!B32&lt;=0),"",MAX(0,(1-Y1278/'01_설정'!B32))*'01_설정'!B31)</f>
        <v/>
      </c>
    </row>
    <row r="1279" ht="17.25" customHeight="1">
      <c r="A1279" s="152">
        <f>IF(INDEX('04A_국토부원자료'!$A:$A,ROW()+1)="","",ROW()-3)</f>
        <v/>
      </c>
      <c r="B1279" s="48">
        <f>IFERROR(INDEX('04A_국토부원자료'!$A:$T,ROW()+1,MATCH("시군구",'04A_국토부원자료'!$A$4:$T$4,0)),"")</f>
        <v/>
      </c>
      <c r="C1279" s="48">
        <f>IF(B1279="","",IFERROR(INDEX('04A_국토부원자료'!$A:$T,ROW()+1,MATCH("번지",'04A_국토부원자료'!$A$4:$T$4,0)),""))</f>
        <v/>
      </c>
      <c r="D1279" s="48">
        <f>IF(B1279="","",IF(Q1279=1,'02_대상물건입력'!$B$8,IFERROR(INDEX('04A_국토부원자료'!$A:$T,ROW()+1,MATCH("단지명",'04A_국토부원자료'!$A$4:$T$4,0)),"")))</f>
        <v/>
      </c>
      <c r="E1279" s="172">
        <f>IFERROR(VALUE(SUBSTITUTE(INDEX('04A_국토부원자료'!$A:$T,ROW()+1,MATCH("전용면적(㎡)",'04A_국토부원자료'!$A$4:$T$4,0)),",","")),"")</f>
        <v/>
      </c>
      <c r="F12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79" s="51">
        <f>IFERROR(VALUE(SUBSTITUTE(INDEX('04A_국토부원자료'!$A:$T,ROW()+1,MATCH("거래금액(만원)",'04A_국토부원자료'!$A$4:$T$4,0)),",","")),"")</f>
        <v/>
      </c>
      <c r="H1279" s="174">
        <f>IF(G1279="","",G1279*10000)</f>
        <v/>
      </c>
      <c r="I1279" s="174">
        <f>IFERROR(IF(AND(H1279&gt;0,E1279&gt;0),H1279/E1279,""),"")</f>
        <v/>
      </c>
      <c r="J1279" s="152">
        <f>IFERROR(VALUE(SUBSTITUTE(INDEX('04A_국토부원자료'!$A:$T,ROW()+1,MATCH("층",'04A_국토부원자료'!$A$4:$T$4,0)),",","")),"")</f>
        <v/>
      </c>
      <c r="K1279" s="152">
        <f>IFERROR(VALUE(SUBSTITUTE(INDEX('04A_국토부원자료'!$A:$T,ROW()+1,MATCH("건축년도",'04A_국토부원자료'!$A$4:$T$4,0)),",","")),"")</f>
        <v/>
      </c>
      <c r="L1279" s="176">
        <f>IFERROR(INDEX('04A_국토부원자료'!$A:$T,ROW()+1,MATCH("도로명",'04A_국토부원자료'!$A$4:$T$4,0)),"")</f>
        <v/>
      </c>
      <c r="M1279" s="48">
        <f>IFERROR(INDEX('04A_국토부원자료'!$A:$T,ROW()+1,MATCH("거래유형",'04A_국토부원자료'!$A$4:$T$4,0)),"")</f>
        <v/>
      </c>
      <c r="N1279" s="152">
        <f>IF(B1279="","",IF('02_대상물건입력'!B5="",1,IF(ISNUMBER(SEARCH('02_대상물건입력'!B5,B1279)),1,0)))</f>
        <v/>
      </c>
      <c r="O1279" s="152">
        <f>IF(B1279="","",IF('02_대상물건입력'!B6="",1,IF(ISNUMBER(SEARCH('02_대상물건입력'!B6,B1279)),1,0)))</f>
        <v/>
      </c>
      <c r="P1279" s="152">
        <f>IF(L1279="","",IF('02_대상물건입력'!B15="",0,IF(ISNUMBER(SEARCH('02_대상물건입력'!B15,L1279)),1,0)))</f>
        <v/>
      </c>
      <c r="Q1279" s="152">
        <f>IF(OR(C1279="",L1279=""),0,IF(AND(TRIM(C1279)=TRIM(RIGHT(SUBSTITUTE(TRIM('02_대상물건입력'!$B$7)," ",REPT(" ",99)),99)),IF('02_대상물건입력'!B15="",TRUE(),ISNUMBER(SEARCH('02_대상물건입력'!B15,L1279)))),1,0))</f>
        <v/>
      </c>
      <c r="R1279" s="175">
        <f>IFERROR(ABS(E1279-'02_대상물건입력'!B11)/'02_대상물건입력'!B11,"")</f>
        <v/>
      </c>
      <c r="S1279" s="152">
        <f>IFERROR(ABS(J1279-'02_대상물건입력'!B10),"")</f>
        <v/>
      </c>
      <c r="T1279" s="152">
        <f>IFERROR(ABS('01_설정'!B4-F1279),"")</f>
        <v/>
      </c>
      <c r="U1279" s="152">
        <f>IFERROR(ABS(K1279-YEAR('02_대상물건입력'!B14)),"")</f>
        <v/>
      </c>
      <c r="V1279" s="152">
        <f>IF(B1279="","",IF(AND(E1279&gt;0,F1279&gt;0,H1279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1279=1,TRUE()),R1279&lt;='01_설정'!B5,S1279&lt;='01_설정'!B6,T1279&lt;='01_설정'!B7,U1279&lt;='01_설정'!B8),"Y",""))</f>
        <v/>
      </c>
      <c r="W1279" s="172">
        <f>IF(V1279&lt;&gt;"Y","",MAX(0,(1-R1279/'01_설정'!B5))*'01_설정'!B14+MAX(0,(1-S1279/'01_설정'!B6))*'01_설정'!B15+MAX(0,(1-T1279/'01_설정'!B7))*'01_설정'!B16+MAX(0,(1-U1279/'01_설정'!B8))*'01_설정'!B17+O1279*'01_설정'!B11+Q1279*'01_설정'!B12+P1279*'01_설정'!B13+IF(Z1279="",0,Z1279))</f>
        <v/>
      </c>
      <c r="X1279" s="152">
        <f>IF(W1279="","",1+COUNTIFS($W$4:$W$3003,"&gt;"&amp;W1279)+COUNTIFS($W$4:W1279,W1279)-1)</f>
        <v/>
      </c>
      <c r="Y1279" s="175">
        <f>IF(OR(I1279="",'02_대상물건입력'!B19="",'02_대상물건입력'!B19&lt;=0),"",ABS(I1279-'02_대상물건입력'!B19)/'02_대상물건입력'!B19)</f>
        <v/>
      </c>
      <c r="Z1279" s="172">
        <f>IF(OR(Y1279="",'01_설정'!B31="",'01_설정'!B31&lt;=0,'01_설정'!B32="",'01_설정'!B32&lt;=0),"",MAX(0,(1-Y1279/'01_설정'!B32))*'01_설정'!B31)</f>
        <v/>
      </c>
    </row>
    <row r="1280" ht="17.25" customHeight="1">
      <c r="A1280" s="152">
        <f>IF(INDEX('04A_국토부원자료'!$A:$A,ROW()+1)="","",ROW()-3)</f>
        <v/>
      </c>
      <c r="B1280" s="48">
        <f>IFERROR(INDEX('04A_국토부원자료'!$A:$T,ROW()+1,MATCH("시군구",'04A_국토부원자료'!$A$4:$T$4,0)),"")</f>
        <v/>
      </c>
      <c r="C1280" s="48">
        <f>IF(B1280="","",IFERROR(INDEX('04A_국토부원자료'!$A:$T,ROW()+1,MATCH("번지",'04A_국토부원자료'!$A$4:$T$4,0)),""))</f>
        <v/>
      </c>
      <c r="D1280" s="48">
        <f>IF(B1280="","",IF(Q1280=1,'02_대상물건입력'!$B$8,IFERROR(INDEX('04A_국토부원자료'!$A:$T,ROW()+1,MATCH("단지명",'04A_국토부원자료'!$A$4:$T$4,0)),"")))</f>
        <v/>
      </c>
      <c r="E1280" s="172">
        <f>IFERROR(VALUE(SUBSTITUTE(INDEX('04A_국토부원자료'!$A:$T,ROW()+1,MATCH("전용면적(㎡)",'04A_국토부원자료'!$A$4:$T$4,0)),",","")),"")</f>
        <v/>
      </c>
      <c r="F12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80" s="51">
        <f>IFERROR(VALUE(SUBSTITUTE(INDEX('04A_국토부원자료'!$A:$T,ROW()+1,MATCH("거래금액(만원)",'04A_국토부원자료'!$A$4:$T$4,0)),",","")),"")</f>
        <v/>
      </c>
      <c r="H1280" s="174">
        <f>IF(G1280="","",G1280*10000)</f>
        <v/>
      </c>
      <c r="I1280" s="174">
        <f>IFERROR(IF(AND(H1280&gt;0,E1280&gt;0),H1280/E1280,""),"")</f>
        <v/>
      </c>
      <c r="J1280" s="152">
        <f>IFERROR(VALUE(SUBSTITUTE(INDEX('04A_국토부원자료'!$A:$T,ROW()+1,MATCH("층",'04A_국토부원자료'!$A$4:$T$4,0)),",","")),"")</f>
        <v/>
      </c>
      <c r="K1280" s="152">
        <f>IFERROR(VALUE(SUBSTITUTE(INDEX('04A_국토부원자료'!$A:$T,ROW()+1,MATCH("건축년도",'04A_국토부원자료'!$A$4:$T$4,0)),",","")),"")</f>
        <v/>
      </c>
      <c r="L1280" s="176">
        <f>IFERROR(INDEX('04A_국토부원자료'!$A:$T,ROW()+1,MATCH("도로명",'04A_국토부원자료'!$A$4:$T$4,0)),"")</f>
        <v/>
      </c>
      <c r="M1280" s="48">
        <f>IFERROR(INDEX('04A_국토부원자료'!$A:$T,ROW()+1,MATCH("거래유형",'04A_국토부원자료'!$A$4:$T$4,0)),"")</f>
        <v/>
      </c>
      <c r="N1280" s="152">
        <f>IF(B1280="","",IF('02_대상물건입력'!B5="",1,IF(ISNUMBER(SEARCH('02_대상물건입력'!B5,B1280)),1,0)))</f>
        <v/>
      </c>
      <c r="O1280" s="152">
        <f>IF(B1280="","",IF('02_대상물건입력'!B6="",1,IF(ISNUMBER(SEARCH('02_대상물건입력'!B6,B1280)),1,0)))</f>
        <v/>
      </c>
      <c r="P1280" s="152">
        <f>IF(L1280="","",IF('02_대상물건입력'!B15="",0,IF(ISNUMBER(SEARCH('02_대상물건입력'!B15,L1280)),1,0)))</f>
        <v/>
      </c>
      <c r="Q1280" s="152">
        <f>IF(OR(C1280="",L1280=""),0,IF(AND(TRIM(C1280)=TRIM(RIGHT(SUBSTITUTE(TRIM('02_대상물건입력'!$B$7)," ",REPT(" ",99)),99)),IF('02_대상물건입력'!B15="",TRUE(),ISNUMBER(SEARCH('02_대상물건입력'!B15,L1280)))),1,0))</f>
        <v/>
      </c>
      <c r="R1280" s="175">
        <f>IFERROR(ABS(E1280-'02_대상물건입력'!B11)/'02_대상물건입력'!B11,"")</f>
        <v/>
      </c>
      <c r="S1280" s="152">
        <f>IFERROR(ABS(J1280-'02_대상물건입력'!B10),"")</f>
        <v/>
      </c>
      <c r="T1280" s="152">
        <f>IFERROR(ABS('01_설정'!B4-F1280),"")</f>
        <v/>
      </c>
      <c r="U1280" s="152">
        <f>IFERROR(ABS(K1280-YEAR('02_대상물건입력'!B14)),"")</f>
        <v/>
      </c>
      <c r="V1280" s="152">
        <f>IF(B1280="","",IF(AND(E1280&gt;0,F1280&gt;0,H1280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1280=1,TRUE()),R1280&lt;='01_설정'!B5,S1280&lt;='01_설정'!B6,T1280&lt;='01_설정'!B7,U1280&lt;='01_설정'!B8),"Y",""))</f>
        <v/>
      </c>
      <c r="W1280" s="172">
        <f>IF(V1280&lt;&gt;"Y","",MAX(0,(1-R1280/'01_설정'!B5))*'01_설정'!B14+MAX(0,(1-S1280/'01_설정'!B6))*'01_설정'!B15+MAX(0,(1-T1280/'01_설정'!B7))*'01_설정'!B16+MAX(0,(1-U1280/'01_설정'!B8))*'01_설정'!B17+O1280*'01_설정'!B11+Q1280*'01_설정'!B12+P1280*'01_설정'!B13+IF(Z1280="",0,Z1280))</f>
        <v/>
      </c>
      <c r="X1280" s="152">
        <f>IF(W1280="","",1+COUNTIFS($W$4:$W$3003,"&gt;"&amp;W1280)+COUNTIFS($W$4:W1280,W1280)-1)</f>
        <v/>
      </c>
      <c r="Y1280" s="175">
        <f>IF(OR(I1280="",'02_대상물건입력'!B19="",'02_대상물건입력'!B19&lt;=0),"",ABS(I1280-'02_대상물건입력'!B19)/'02_대상물건입력'!B19)</f>
        <v/>
      </c>
      <c r="Z1280" s="172">
        <f>IF(OR(Y1280="",'01_설정'!B31="",'01_설정'!B31&lt;=0,'01_설정'!B32="",'01_설정'!B32&lt;=0),"",MAX(0,(1-Y1280/'01_설정'!B32))*'01_설정'!B31)</f>
        <v/>
      </c>
    </row>
    <row r="1281" ht="17.25" customHeight="1">
      <c r="A1281" s="152">
        <f>IF(INDEX('04A_국토부원자료'!$A:$A,ROW()+1)="","",ROW()-3)</f>
        <v/>
      </c>
      <c r="B1281" s="48">
        <f>IFERROR(INDEX('04A_국토부원자료'!$A:$T,ROW()+1,MATCH("시군구",'04A_국토부원자료'!$A$4:$T$4,0)),"")</f>
        <v/>
      </c>
      <c r="C1281" s="48">
        <f>IF(B1281="","",IFERROR(INDEX('04A_국토부원자료'!$A:$T,ROW()+1,MATCH("번지",'04A_국토부원자료'!$A$4:$T$4,0)),""))</f>
        <v/>
      </c>
      <c r="D1281" s="48">
        <f>IF(B1281="","",IF(Q1281=1,'02_대상물건입력'!$B$8,IFERROR(INDEX('04A_국토부원자료'!$A:$T,ROW()+1,MATCH("단지명",'04A_국토부원자료'!$A$4:$T$4,0)),"")))</f>
        <v/>
      </c>
      <c r="E1281" s="172">
        <f>IFERROR(VALUE(SUBSTITUTE(INDEX('04A_국토부원자료'!$A:$T,ROW()+1,MATCH("전용면적(㎡)",'04A_국토부원자료'!$A$4:$T$4,0)),",","")),"")</f>
        <v/>
      </c>
      <c r="F12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81" s="51">
        <f>IFERROR(VALUE(SUBSTITUTE(INDEX('04A_국토부원자료'!$A:$T,ROW()+1,MATCH("거래금액(만원)",'04A_국토부원자료'!$A$4:$T$4,0)),",","")),"")</f>
        <v/>
      </c>
      <c r="H1281" s="174">
        <f>IF(G1281="","",G1281*10000)</f>
        <v/>
      </c>
      <c r="I1281" s="174">
        <f>IFERROR(IF(AND(H1281&gt;0,E1281&gt;0),H1281/E1281,""),"")</f>
        <v/>
      </c>
      <c r="J1281" s="152">
        <f>IFERROR(VALUE(SUBSTITUTE(INDEX('04A_국토부원자료'!$A:$T,ROW()+1,MATCH("층",'04A_국토부원자료'!$A$4:$T$4,0)),",","")),"")</f>
        <v/>
      </c>
      <c r="K1281" s="152">
        <f>IFERROR(VALUE(SUBSTITUTE(INDEX('04A_국토부원자료'!$A:$T,ROW()+1,MATCH("건축년도",'04A_국토부원자료'!$A$4:$T$4,0)),",","")),"")</f>
        <v/>
      </c>
      <c r="L1281" s="176">
        <f>IFERROR(INDEX('04A_국토부원자료'!$A:$T,ROW()+1,MATCH("도로명",'04A_국토부원자료'!$A$4:$T$4,0)),"")</f>
        <v/>
      </c>
      <c r="M1281" s="48">
        <f>IFERROR(INDEX('04A_국토부원자료'!$A:$T,ROW()+1,MATCH("거래유형",'04A_국토부원자료'!$A$4:$T$4,0)),"")</f>
        <v/>
      </c>
      <c r="N1281" s="152">
        <f>IF(B1281="","",IF('02_대상물건입력'!B5="",1,IF(ISNUMBER(SEARCH('02_대상물건입력'!B5,B1281)),1,0)))</f>
        <v/>
      </c>
      <c r="O1281" s="152">
        <f>IF(B1281="","",IF('02_대상물건입력'!B6="",1,IF(ISNUMBER(SEARCH('02_대상물건입력'!B6,B1281)),1,0)))</f>
        <v/>
      </c>
      <c r="P1281" s="152">
        <f>IF(L1281="","",IF('02_대상물건입력'!B15="",0,IF(ISNUMBER(SEARCH('02_대상물건입력'!B15,L1281)),1,0)))</f>
        <v/>
      </c>
      <c r="Q1281" s="152">
        <f>IF(OR(C1281="",L1281=""),0,IF(AND(TRIM(C1281)=TRIM(RIGHT(SUBSTITUTE(TRIM('02_대상물건입력'!$B$7)," ",REPT(" ",99)),99)),IF('02_대상물건입력'!B15="",TRUE(),ISNUMBER(SEARCH('02_대상물건입력'!B15,L1281)))),1,0))</f>
        <v/>
      </c>
      <c r="R1281" s="175">
        <f>IFERROR(ABS(E1281-'02_대상물건입력'!B11)/'02_대상물건입력'!B11,"")</f>
        <v/>
      </c>
      <c r="S1281" s="152">
        <f>IFERROR(ABS(J1281-'02_대상물건입력'!B10),"")</f>
        <v/>
      </c>
      <c r="T1281" s="152">
        <f>IFERROR(ABS('01_설정'!B4-F1281),"")</f>
        <v/>
      </c>
      <c r="U1281" s="152">
        <f>IFERROR(ABS(K1281-YEAR('02_대상물건입력'!B14)),"")</f>
        <v/>
      </c>
      <c r="V1281" s="152">
        <f>IF(B1281="","",IF(AND(E1281&gt;0,F1281&gt;0,H1281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1281=1,TRUE()),R1281&lt;='01_설정'!B5,S1281&lt;='01_설정'!B6,T1281&lt;='01_설정'!B7,U1281&lt;='01_설정'!B8),"Y",""))</f>
        <v/>
      </c>
      <c r="W1281" s="172">
        <f>IF(V1281&lt;&gt;"Y","",MAX(0,(1-R1281/'01_설정'!B5))*'01_설정'!B14+MAX(0,(1-S1281/'01_설정'!B6))*'01_설정'!B15+MAX(0,(1-T1281/'01_설정'!B7))*'01_설정'!B16+MAX(0,(1-U1281/'01_설정'!B8))*'01_설정'!B17+O1281*'01_설정'!B11+Q1281*'01_설정'!B12+P1281*'01_설정'!B13+IF(Z1281="",0,Z1281))</f>
        <v/>
      </c>
      <c r="X1281" s="152">
        <f>IF(W1281="","",1+COUNTIFS($W$4:$W$3003,"&gt;"&amp;W1281)+COUNTIFS($W$4:W1281,W1281)-1)</f>
        <v/>
      </c>
      <c r="Y1281" s="175">
        <f>IF(OR(I1281="",'02_대상물건입력'!B19="",'02_대상물건입력'!B19&lt;=0),"",ABS(I1281-'02_대상물건입력'!B19)/'02_대상물건입력'!B19)</f>
        <v/>
      </c>
      <c r="Z1281" s="172">
        <f>IF(OR(Y1281="",'01_설정'!B31="",'01_설정'!B31&lt;=0,'01_설정'!B32="",'01_설정'!B32&lt;=0),"",MAX(0,(1-Y1281/'01_설정'!B32))*'01_설정'!B31)</f>
        <v/>
      </c>
    </row>
    <row r="1282" ht="17.25" customHeight="1">
      <c r="A1282" s="152">
        <f>IF(INDEX('04A_국토부원자료'!$A:$A,ROW()+1)="","",ROW()-3)</f>
        <v/>
      </c>
      <c r="B1282" s="48">
        <f>IFERROR(INDEX('04A_국토부원자료'!$A:$T,ROW()+1,MATCH("시군구",'04A_국토부원자료'!$A$4:$T$4,0)),"")</f>
        <v/>
      </c>
      <c r="C1282" s="48">
        <f>IF(B1282="","",IFERROR(INDEX('04A_국토부원자료'!$A:$T,ROW()+1,MATCH("번지",'04A_국토부원자료'!$A$4:$T$4,0)),""))</f>
        <v/>
      </c>
      <c r="D1282" s="48">
        <f>IF(B1282="","",IF(Q1282=1,'02_대상물건입력'!$B$8,IFERROR(INDEX('04A_국토부원자료'!$A:$T,ROW()+1,MATCH("단지명",'04A_국토부원자료'!$A$4:$T$4,0)),"")))</f>
        <v/>
      </c>
      <c r="E1282" s="172">
        <f>IFERROR(VALUE(SUBSTITUTE(INDEX('04A_국토부원자료'!$A:$T,ROW()+1,MATCH("전용면적(㎡)",'04A_국토부원자료'!$A$4:$T$4,0)),",","")),"")</f>
        <v/>
      </c>
      <c r="F12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82" s="51">
        <f>IFERROR(VALUE(SUBSTITUTE(INDEX('04A_국토부원자료'!$A:$T,ROW()+1,MATCH("거래금액(만원)",'04A_국토부원자료'!$A$4:$T$4,0)),",","")),"")</f>
        <v/>
      </c>
      <c r="H1282" s="174">
        <f>IF(G1282="","",G1282*10000)</f>
        <v/>
      </c>
      <c r="I1282" s="174">
        <f>IFERROR(IF(AND(H1282&gt;0,E1282&gt;0),H1282/E1282,""),"")</f>
        <v/>
      </c>
      <c r="J1282" s="152">
        <f>IFERROR(VALUE(SUBSTITUTE(INDEX('04A_국토부원자료'!$A:$T,ROW()+1,MATCH("층",'04A_국토부원자료'!$A$4:$T$4,0)),",","")),"")</f>
        <v/>
      </c>
      <c r="K1282" s="152">
        <f>IFERROR(VALUE(SUBSTITUTE(INDEX('04A_국토부원자료'!$A:$T,ROW()+1,MATCH("건축년도",'04A_국토부원자료'!$A$4:$T$4,0)),",","")),"")</f>
        <v/>
      </c>
      <c r="L1282" s="176">
        <f>IFERROR(INDEX('04A_국토부원자료'!$A:$T,ROW()+1,MATCH("도로명",'04A_국토부원자료'!$A$4:$T$4,0)),"")</f>
        <v/>
      </c>
      <c r="M1282" s="48">
        <f>IFERROR(INDEX('04A_국토부원자료'!$A:$T,ROW()+1,MATCH("거래유형",'04A_국토부원자료'!$A$4:$T$4,0)),"")</f>
        <v/>
      </c>
      <c r="N1282" s="152">
        <f>IF(B1282="","",IF('02_대상물건입력'!B5="",1,IF(ISNUMBER(SEARCH('02_대상물건입력'!B5,B1282)),1,0)))</f>
        <v/>
      </c>
      <c r="O1282" s="152">
        <f>IF(B1282="","",IF('02_대상물건입력'!B6="",1,IF(ISNUMBER(SEARCH('02_대상물건입력'!B6,B1282)),1,0)))</f>
        <v/>
      </c>
      <c r="P1282" s="152">
        <f>IF(L1282="","",IF('02_대상물건입력'!B15="",0,IF(ISNUMBER(SEARCH('02_대상물건입력'!B15,L1282)),1,0)))</f>
        <v/>
      </c>
      <c r="Q1282" s="152">
        <f>IF(OR(C1282="",L1282=""),0,IF(AND(TRIM(C1282)=TRIM(RIGHT(SUBSTITUTE(TRIM('02_대상물건입력'!$B$7)," ",REPT(" ",99)),99)),IF('02_대상물건입력'!B15="",TRUE(),ISNUMBER(SEARCH('02_대상물건입력'!B15,L1282)))),1,0))</f>
        <v/>
      </c>
      <c r="R1282" s="175">
        <f>IFERROR(ABS(E1282-'02_대상물건입력'!B11)/'02_대상물건입력'!B11,"")</f>
        <v/>
      </c>
      <c r="S1282" s="152">
        <f>IFERROR(ABS(J1282-'02_대상물건입력'!B10),"")</f>
        <v/>
      </c>
      <c r="T1282" s="152">
        <f>IFERROR(ABS('01_설정'!B4-F1282),"")</f>
        <v/>
      </c>
      <c r="U1282" s="152">
        <f>IFERROR(ABS(K1282-YEAR('02_대상물건입력'!B14)),"")</f>
        <v/>
      </c>
      <c r="V1282" s="152">
        <f>IF(B1282="","",IF(AND(E1282&gt;0,F1282&gt;0,H1282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1282=1,TRUE()),R1282&lt;='01_설정'!B5,S1282&lt;='01_설정'!B6,T1282&lt;='01_설정'!B7,U1282&lt;='01_설정'!B8),"Y",""))</f>
        <v/>
      </c>
      <c r="W1282" s="172">
        <f>IF(V1282&lt;&gt;"Y","",MAX(0,(1-R1282/'01_설정'!B5))*'01_설정'!B14+MAX(0,(1-S1282/'01_설정'!B6))*'01_설정'!B15+MAX(0,(1-T1282/'01_설정'!B7))*'01_설정'!B16+MAX(0,(1-U1282/'01_설정'!B8))*'01_설정'!B17+O1282*'01_설정'!B11+Q1282*'01_설정'!B12+P1282*'01_설정'!B13+IF(Z1282="",0,Z1282))</f>
        <v/>
      </c>
      <c r="X1282" s="152">
        <f>IF(W1282="","",1+COUNTIFS($W$4:$W$3003,"&gt;"&amp;W1282)+COUNTIFS($W$4:W1282,W1282)-1)</f>
        <v/>
      </c>
      <c r="Y1282" s="175">
        <f>IF(OR(I1282="",'02_대상물건입력'!B19="",'02_대상물건입력'!B19&lt;=0),"",ABS(I1282-'02_대상물건입력'!B19)/'02_대상물건입력'!B19)</f>
        <v/>
      </c>
      <c r="Z1282" s="172">
        <f>IF(OR(Y1282="",'01_설정'!B31="",'01_설정'!B31&lt;=0,'01_설정'!B32="",'01_설정'!B32&lt;=0),"",MAX(0,(1-Y1282/'01_설정'!B32))*'01_설정'!B31)</f>
        <v/>
      </c>
    </row>
    <row r="1283" ht="17.25" customHeight="1">
      <c r="A1283" s="152">
        <f>IF(INDEX('04A_국토부원자료'!$A:$A,ROW()+1)="","",ROW()-3)</f>
        <v/>
      </c>
      <c r="B1283" s="48">
        <f>IFERROR(INDEX('04A_국토부원자료'!$A:$T,ROW()+1,MATCH("시군구",'04A_국토부원자료'!$A$4:$T$4,0)),"")</f>
        <v/>
      </c>
      <c r="C1283" s="48">
        <f>IF(B1283="","",IFERROR(INDEX('04A_국토부원자료'!$A:$T,ROW()+1,MATCH("번지",'04A_국토부원자료'!$A$4:$T$4,0)),""))</f>
        <v/>
      </c>
      <c r="D1283" s="48">
        <f>IF(B1283="","",IF(Q1283=1,'02_대상물건입력'!$B$8,IFERROR(INDEX('04A_국토부원자료'!$A:$T,ROW()+1,MATCH("단지명",'04A_국토부원자료'!$A$4:$T$4,0)),"")))</f>
        <v/>
      </c>
      <c r="E1283" s="172">
        <f>IFERROR(VALUE(SUBSTITUTE(INDEX('04A_국토부원자료'!$A:$T,ROW()+1,MATCH("전용면적(㎡)",'04A_국토부원자료'!$A$4:$T$4,0)),",","")),"")</f>
        <v/>
      </c>
      <c r="F12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83" s="51">
        <f>IFERROR(VALUE(SUBSTITUTE(INDEX('04A_국토부원자료'!$A:$T,ROW()+1,MATCH("거래금액(만원)",'04A_국토부원자료'!$A$4:$T$4,0)),",","")),"")</f>
        <v/>
      </c>
      <c r="H1283" s="174">
        <f>IF(G1283="","",G1283*10000)</f>
        <v/>
      </c>
      <c r="I1283" s="174">
        <f>IFERROR(IF(AND(H1283&gt;0,E1283&gt;0),H1283/E1283,""),"")</f>
        <v/>
      </c>
      <c r="J1283" s="152">
        <f>IFERROR(VALUE(SUBSTITUTE(INDEX('04A_국토부원자료'!$A:$T,ROW()+1,MATCH("층",'04A_국토부원자료'!$A$4:$T$4,0)),",","")),"")</f>
        <v/>
      </c>
      <c r="K1283" s="152">
        <f>IFERROR(VALUE(SUBSTITUTE(INDEX('04A_국토부원자료'!$A:$T,ROW()+1,MATCH("건축년도",'04A_국토부원자료'!$A$4:$T$4,0)),",","")),"")</f>
        <v/>
      </c>
      <c r="L1283" s="176">
        <f>IFERROR(INDEX('04A_국토부원자료'!$A:$T,ROW()+1,MATCH("도로명",'04A_국토부원자료'!$A$4:$T$4,0)),"")</f>
        <v/>
      </c>
      <c r="M1283" s="48">
        <f>IFERROR(INDEX('04A_국토부원자료'!$A:$T,ROW()+1,MATCH("거래유형",'04A_국토부원자료'!$A$4:$T$4,0)),"")</f>
        <v/>
      </c>
      <c r="N1283" s="152">
        <f>IF(B1283="","",IF('02_대상물건입력'!B5="",1,IF(ISNUMBER(SEARCH('02_대상물건입력'!B5,B1283)),1,0)))</f>
        <v/>
      </c>
      <c r="O1283" s="152">
        <f>IF(B1283="","",IF('02_대상물건입력'!B6="",1,IF(ISNUMBER(SEARCH('02_대상물건입력'!B6,B1283)),1,0)))</f>
        <v/>
      </c>
      <c r="P1283" s="152">
        <f>IF(L1283="","",IF('02_대상물건입력'!B15="",0,IF(ISNUMBER(SEARCH('02_대상물건입력'!B15,L1283)),1,0)))</f>
        <v/>
      </c>
      <c r="Q1283" s="152">
        <f>IF(OR(C1283="",L1283=""),0,IF(AND(TRIM(C1283)=TRIM(RIGHT(SUBSTITUTE(TRIM('02_대상물건입력'!$B$7)," ",REPT(" ",99)),99)),IF('02_대상물건입력'!B15="",TRUE(),ISNUMBER(SEARCH('02_대상물건입력'!B15,L1283)))),1,0))</f>
        <v/>
      </c>
      <c r="R1283" s="175">
        <f>IFERROR(ABS(E1283-'02_대상물건입력'!B11)/'02_대상물건입력'!B11,"")</f>
        <v/>
      </c>
      <c r="S1283" s="152">
        <f>IFERROR(ABS(J1283-'02_대상물건입력'!B10),"")</f>
        <v/>
      </c>
      <c r="T1283" s="152">
        <f>IFERROR(ABS('01_설정'!B4-F1283),"")</f>
        <v/>
      </c>
      <c r="U1283" s="152">
        <f>IFERROR(ABS(K1283-YEAR('02_대상물건입력'!B14)),"")</f>
        <v/>
      </c>
      <c r="V1283" s="152">
        <f>IF(B1283="","",IF(AND(E1283&gt;0,F1283&gt;0,H1283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1283=1,TRUE()),R1283&lt;='01_설정'!B5,S1283&lt;='01_설정'!B6,T1283&lt;='01_설정'!B7,U1283&lt;='01_설정'!B8),"Y",""))</f>
        <v/>
      </c>
      <c r="W1283" s="172">
        <f>IF(V1283&lt;&gt;"Y","",MAX(0,(1-R1283/'01_설정'!B5))*'01_설정'!B14+MAX(0,(1-S1283/'01_설정'!B6))*'01_설정'!B15+MAX(0,(1-T1283/'01_설정'!B7))*'01_설정'!B16+MAX(0,(1-U1283/'01_설정'!B8))*'01_설정'!B17+O1283*'01_설정'!B11+Q1283*'01_설정'!B12+P1283*'01_설정'!B13+IF(Z1283="",0,Z1283))</f>
        <v/>
      </c>
      <c r="X1283" s="152">
        <f>IF(W1283="","",1+COUNTIFS($W$4:$W$3003,"&gt;"&amp;W1283)+COUNTIFS($W$4:W1283,W1283)-1)</f>
        <v/>
      </c>
      <c r="Y1283" s="175">
        <f>IF(OR(I1283="",'02_대상물건입력'!B19="",'02_대상물건입력'!B19&lt;=0),"",ABS(I1283-'02_대상물건입력'!B19)/'02_대상물건입력'!B19)</f>
        <v/>
      </c>
      <c r="Z1283" s="172">
        <f>IF(OR(Y1283="",'01_설정'!B31="",'01_설정'!B31&lt;=0,'01_설정'!B32="",'01_설정'!B32&lt;=0),"",MAX(0,(1-Y1283/'01_설정'!B32))*'01_설정'!B31)</f>
        <v/>
      </c>
    </row>
    <row r="1284" ht="17.25" customHeight="1">
      <c r="A1284" s="152">
        <f>IF(INDEX('04A_국토부원자료'!$A:$A,ROW()+1)="","",ROW()-3)</f>
        <v/>
      </c>
      <c r="B1284" s="48">
        <f>IFERROR(INDEX('04A_국토부원자료'!$A:$T,ROW()+1,MATCH("시군구",'04A_국토부원자료'!$A$4:$T$4,0)),"")</f>
        <v/>
      </c>
      <c r="C1284" s="48">
        <f>IF(B1284="","",IFERROR(INDEX('04A_국토부원자료'!$A:$T,ROW()+1,MATCH("번지",'04A_국토부원자료'!$A$4:$T$4,0)),""))</f>
        <v/>
      </c>
      <c r="D1284" s="48">
        <f>IF(B1284="","",IF(Q1284=1,'02_대상물건입력'!$B$8,IFERROR(INDEX('04A_국토부원자료'!$A:$T,ROW()+1,MATCH("단지명",'04A_국토부원자료'!$A$4:$T$4,0)),"")))</f>
        <v/>
      </c>
      <c r="E1284" s="172">
        <f>IFERROR(VALUE(SUBSTITUTE(INDEX('04A_국토부원자료'!$A:$T,ROW()+1,MATCH("전용면적(㎡)",'04A_국토부원자료'!$A$4:$T$4,0)),",","")),"")</f>
        <v/>
      </c>
      <c r="F12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84" s="51">
        <f>IFERROR(VALUE(SUBSTITUTE(INDEX('04A_국토부원자료'!$A:$T,ROW()+1,MATCH("거래금액(만원)",'04A_국토부원자료'!$A$4:$T$4,0)),",","")),"")</f>
        <v/>
      </c>
      <c r="H1284" s="174">
        <f>IF(G1284="","",G1284*10000)</f>
        <v/>
      </c>
      <c r="I1284" s="174">
        <f>IFERROR(IF(AND(H1284&gt;0,E1284&gt;0),H1284/E1284,""),"")</f>
        <v/>
      </c>
      <c r="J1284" s="152">
        <f>IFERROR(VALUE(SUBSTITUTE(INDEX('04A_국토부원자료'!$A:$T,ROW()+1,MATCH("층",'04A_국토부원자료'!$A$4:$T$4,0)),",","")),"")</f>
        <v/>
      </c>
      <c r="K1284" s="152">
        <f>IFERROR(VALUE(SUBSTITUTE(INDEX('04A_국토부원자료'!$A:$T,ROW()+1,MATCH("건축년도",'04A_국토부원자료'!$A$4:$T$4,0)),",","")),"")</f>
        <v/>
      </c>
      <c r="L1284" s="176">
        <f>IFERROR(INDEX('04A_국토부원자료'!$A:$T,ROW()+1,MATCH("도로명",'04A_국토부원자료'!$A$4:$T$4,0)),"")</f>
        <v/>
      </c>
      <c r="M1284" s="48">
        <f>IFERROR(INDEX('04A_국토부원자료'!$A:$T,ROW()+1,MATCH("거래유형",'04A_국토부원자료'!$A$4:$T$4,0)),"")</f>
        <v/>
      </c>
      <c r="N1284" s="152">
        <f>IF(B1284="","",IF('02_대상물건입력'!B5="",1,IF(ISNUMBER(SEARCH('02_대상물건입력'!B5,B1284)),1,0)))</f>
        <v/>
      </c>
      <c r="O1284" s="152">
        <f>IF(B1284="","",IF('02_대상물건입력'!B6="",1,IF(ISNUMBER(SEARCH('02_대상물건입력'!B6,B1284)),1,0)))</f>
        <v/>
      </c>
      <c r="P1284" s="152">
        <f>IF(L1284="","",IF('02_대상물건입력'!B15="",0,IF(ISNUMBER(SEARCH('02_대상물건입력'!B15,L1284)),1,0)))</f>
        <v/>
      </c>
      <c r="Q1284" s="152">
        <f>IF(OR(C1284="",L1284=""),0,IF(AND(TRIM(C1284)=TRIM(RIGHT(SUBSTITUTE(TRIM('02_대상물건입력'!$B$7)," ",REPT(" ",99)),99)),IF('02_대상물건입력'!B15="",TRUE(),ISNUMBER(SEARCH('02_대상물건입력'!B15,L1284)))),1,0))</f>
        <v/>
      </c>
      <c r="R1284" s="175">
        <f>IFERROR(ABS(E1284-'02_대상물건입력'!B11)/'02_대상물건입력'!B11,"")</f>
        <v/>
      </c>
      <c r="S1284" s="152">
        <f>IFERROR(ABS(J1284-'02_대상물건입력'!B10),"")</f>
        <v/>
      </c>
      <c r="T1284" s="152">
        <f>IFERROR(ABS('01_설정'!B4-F1284),"")</f>
        <v/>
      </c>
      <c r="U1284" s="152">
        <f>IFERROR(ABS(K1284-YEAR('02_대상물건입력'!B14)),"")</f>
        <v/>
      </c>
      <c r="V1284" s="152">
        <f>IF(B1284="","",IF(AND(E1284&gt;0,F1284&gt;0,H1284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1284=1,TRUE()),R1284&lt;='01_설정'!B5,S1284&lt;='01_설정'!B6,T1284&lt;='01_설정'!B7,U1284&lt;='01_설정'!B8),"Y",""))</f>
        <v/>
      </c>
      <c r="W1284" s="172">
        <f>IF(V1284&lt;&gt;"Y","",MAX(0,(1-R1284/'01_설정'!B5))*'01_설정'!B14+MAX(0,(1-S1284/'01_설정'!B6))*'01_설정'!B15+MAX(0,(1-T1284/'01_설정'!B7))*'01_설정'!B16+MAX(0,(1-U1284/'01_설정'!B8))*'01_설정'!B17+O1284*'01_설정'!B11+Q1284*'01_설정'!B12+P1284*'01_설정'!B13+IF(Z1284="",0,Z1284))</f>
        <v/>
      </c>
      <c r="X1284" s="152">
        <f>IF(W1284="","",1+COUNTIFS($W$4:$W$3003,"&gt;"&amp;W1284)+COUNTIFS($W$4:W1284,W1284)-1)</f>
        <v/>
      </c>
      <c r="Y1284" s="175">
        <f>IF(OR(I1284="",'02_대상물건입력'!B19="",'02_대상물건입력'!B19&lt;=0),"",ABS(I1284-'02_대상물건입력'!B19)/'02_대상물건입력'!B19)</f>
        <v/>
      </c>
      <c r="Z1284" s="172">
        <f>IF(OR(Y1284="",'01_설정'!B31="",'01_설정'!B31&lt;=0,'01_설정'!B32="",'01_설정'!B32&lt;=0),"",MAX(0,(1-Y1284/'01_설정'!B32))*'01_설정'!B31)</f>
        <v/>
      </c>
    </row>
    <row r="1285" ht="17.25" customHeight="1">
      <c r="A1285" s="152">
        <f>IF(INDEX('04A_국토부원자료'!$A:$A,ROW()+1)="","",ROW()-3)</f>
        <v/>
      </c>
      <c r="B1285" s="48">
        <f>IFERROR(INDEX('04A_국토부원자료'!$A:$T,ROW()+1,MATCH("시군구",'04A_국토부원자료'!$A$4:$T$4,0)),"")</f>
        <v/>
      </c>
      <c r="C1285" s="48">
        <f>IF(B1285="","",IFERROR(INDEX('04A_국토부원자료'!$A:$T,ROW()+1,MATCH("번지",'04A_국토부원자료'!$A$4:$T$4,0)),""))</f>
        <v/>
      </c>
      <c r="D1285" s="48">
        <f>IF(B1285="","",IF(Q1285=1,'02_대상물건입력'!$B$8,IFERROR(INDEX('04A_국토부원자료'!$A:$T,ROW()+1,MATCH("단지명",'04A_국토부원자료'!$A$4:$T$4,0)),"")))</f>
        <v/>
      </c>
      <c r="E1285" s="172">
        <f>IFERROR(VALUE(SUBSTITUTE(INDEX('04A_국토부원자료'!$A:$T,ROW()+1,MATCH("전용면적(㎡)",'04A_국토부원자료'!$A$4:$T$4,0)),",","")),"")</f>
        <v/>
      </c>
      <c r="F12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85" s="51">
        <f>IFERROR(VALUE(SUBSTITUTE(INDEX('04A_국토부원자료'!$A:$T,ROW()+1,MATCH("거래금액(만원)",'04A_국토부원자료'!$A$4:$T$4,0)),",","")),"")</f>
        <v/>
      </c>
      <c r="H1285" s="174">
        <f>IF(G1285="","",G1285*10000)</f>
        <v/>
      </c>
      <c r="I1285" s="174">
        <f>IFERROR(IF(AND(H1285&gt;0,E1285&gt;0),H1285/E1285,""),"")</f>
        <v/>
      </c>
      <c r="J1285" s="152">
        <f>IFERROR(VALUE(SUBSTITUTE(INDEX('04A_국토부원자료'!$A:$T,ROW()+1,MATCH("층",'04A_국토부원자료'!$A$4:$T$4,0)),",","")),"")</f>
        <v/>
      </c>
      <c r="K1285" s="152">
        <f>IFERROR(VALUE(SUBSTITUTE(INDEX('04A_국토부원자료'!$A:$T,ROW()+1,MATCH("건축년도",'04A_국토부원자료'!$A$4:$T$4,0)),",","")),"")</f>
        <v/>
      </c>
      <c r="L1285" s="176">
        <f>IFERROR(INDEX('04A_국토부원자료'!$A:$T,ROW()+1,MATCH("도로명",'04A_국토부원자료'!$A$4:$T$4,0)),"")</f>
        <v/>
      </c>
      <c r="M1285" s="48">
        <f>IFERROR(INDEX('04A_국토부원자료'!$A:$T,ROW()+1,MATCH("거래유형",'04A_국토부원자료'!$A$4:$T$4,0)),"")</f>
        <v/>
      </c>
      <c r="N1285" s="152">
        <f>IF(B1285="","",IF('02_대상물건입력'!B5="",1,IF(ISNUMBER(SEARCH('02_대상물건입력'!B5,B1285)),1,0)))</f>
        <v/>
      </c>
      <c r="O1285" s="152">
        <f>IF(B1285="","",IF('02_대상물건입력'!B6="",1,IF(ISNUMBER(SEARCH('02_대상물건입력'!B6,B1285)),1,0)))</f>
        <v/>
      </c>
      <c r="P1285" s="152">
        <f>IF(L1285="","",IF('02_대상물건입력'!B15="",0,IF(ISNUMBER(SEARCH('02_대상물건입력'!B15,L1285)),1,0)))</f>
        <v/>
      </c>
      <c r="Q1285" s="152">
        <f>IF(OR(C1285="",L1285=""),0,IF(AND(TRIM(C1285)=TRIM(RIGHT(SUBSTITUTE(TRIM('02_대상물건입력'!$B$7)," ",REPT(" ",99)),99)),IF('02_대상물건입력'!B15="",TRUE(),ISNUMBER(SEARCH('02_대상물건입력'!B15,L1285)))),1,0))</f>
        <v/>
      </c>
      <c r="R1285" s="175">
        <f>IFERROR(ABS(E1285-'02_대상물건입력'!B11)/'02_대상물건입력'!B11,"")</f>
        <v/>
      </c>
      <c r="S1285" s="152">
        <f>IFERROR(ABS(J1285-'02_대상물건입력'!B10),"")</f>
        <v/>
      </c>
      <c r="T1285" s="152">
        <f>IFERROR(ABS('01_설정'!B4-F1285),"")</f>
        <v/>
      </c>
      <c r="U1285" s="152">
        <f>IFERROR(ABS(K1285-YEAR('02_대상물건입력'!B14)),"")</f>
        <v/>
      </c>
      <c r="V1285" s="152">
        <f>IF(B1285="","",IF(AND(E1285&gt;0,F1285&gt;0,H1285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1285=1,TRUE()),R1285&lt;='01_설정'!B5,S1285&lt;='01_설정'!B6,T1285&lt;='01_설정'!B7,U1285&lt;='01_설정'!B8),"Y",""))</f>
        <v/>
      </c>
      <c r="W1285" s="172">
        <f>IF(V1285&lt;&gt;"Y","",MAX(0,(1-R1285/'01_설정'!B5))*'01_설정'!B14+MAX(0,(1-S1285/'01_설정'!B6))*'01_설정'!B15+MAX(0,(1-T1285/'01_설정'!B7))*'01_설정'!B16+MAX(0,(1-U1285/'01_설정'!B8))*'01_설정'!B17+O1285*'01_설정'!B11+Q1285*'01_설정'!B12+P1285*'01_설정'!B13+IF(Z1285="",0,Z1285))</f>
        <v/>
      </c>
      <c r="X1285" s="152">
        <f>IF(W1285="","",1+COUNTIFS($W$4:$W$3003,"&gt;"&amp;W1285)+COUNTIFS($W$4:W1285,W1285)-1)</f>
        <v/>
      </c>
      <c r="Y1285" s="175">
        <f>IF(OR(I1285="",'02_대상물건입력'!B19="",'02_대상물건입력'!B19&lt;=0),"",ABS(I1285-'02_대상물건입력'!B19)/'02_대상물건입력'!B19)</f>
        <v/>
      </c>
      <c r="Z1285" s="172">
        <f>IF(OR(Y1285="",'01_설정'!B31="",'01_설정'!B31&lt;=0,'01_설정'!B32="",'01_설정'!B32&lt;=0),"",MAX(0,(1-Y1285/'01_설정'!B32))*'01_설정'!B31)</f>
        <v/>
      </c>
    </row>
    <row r="1286" ht="17.25" customHeight="1">
      <c r="A1286" s="152">
        <f>IF(INDEX('04A_국토부원자료'!$A:$A,ROW()+1)="","",ROW()-3)</f>
        <v/>
      </c>
      <c r="B1286" s="48">
        <f>IFERROR(INDEX('04A_국토부원자료'!$A:$T,ROW()+1,MATCH("시군구",'04A_국토부원자료'!$A$4:$T$4,0)),"")</f>
        <v/>
      </c>
      <c r="C1286" s="48">
        <f>IF(B1286="","",IFERROR(INDEX('04A_국토부원자료'!$A:$T,ROW()+1,MATCH("번지",'04A_국토부원자료'!$A$4:$T$4,0)),""))</f>
        <v/>
      </c>
      <c r="D1286" s="48">
        <f>IF(B1286="","",IF(Q1286=1,'02_대상물건입력'!$B$8,IFERROR(INDEX('04A_국토부원자료'!$A:$T,ROW()+1,MATCH("단지명",'04A_국토부원자료'!$A$4:$T$4,0)),"")))</f>
        <v/>
      </c>
      <c r="E1286" s="172">
        <f>IFERROR(VALUE(SUBSTITUTE(INDEX('04A_국토부원자료'!$A:$T,ROW()+1,MATCH("전용면적(㎡)",'04A_국토부원자료'!$A$4:$T$4,0)),",","")),"")</f>
        <v/>
      </c>
      <c r="F12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86" s="51">
        <f>IFERROR(VALUE(SUBSTITUTE(INDEX('04A_국토부원자료'!$A:$T,ROW()+1,MATCH("거래금액(만원)",'04A_국토부원자료'!$A$4:$T$4,0)),",","")),"")</f>
        <v/>
      </c>
      <c r="H1286" s="174">
        <f>IF(G1286="","",G1286*10000)</f>
        <v/>
      </c>
      <c r="I1286" s="174">
        <f>IFERROR(IF(AND(H1286&gt;0,E1286&gt;0),H1286/E1286,""),"")</f>
        <v/>
      </c>
      <c r="J1286" s="152">
        <f>IFERROR(VALUE(SUBSTITUTE(INDEX('04A_국토부원자료'!$A:$T,ROW()+1,MATCH("층",'04A_국토부원자료'!$A$4:$T$4,0)),",","")),"")</f>
        <v/>
      </c>
      <c r="K1286" s="152">
        <f>IFERROR(VALUE(SUBSTITUTE(INDEX('04A_국토부원자료'!$A:$T,ROW()+1,MATCH("건축년도",'04A_국토부원자료'!$A$4:$T$4,0)),",","")),"")</f>
        <v/>
      </c>
      <c r="L1286" s="176">
        <f>IFERROR(INDEX('04A_국토부원자료'!$A:$T,ROW()+1,MATCH("도로명",'04A_국토부원자료'!$A$4:$T$4,0)),"")</f>
        <v/>
      </c>
      <c r="M1286" s="48">
        <f>IFERROR(INDEX('04A_국토부원자료'!$A:$T,ROW()+1,MATCH("거래유형",'04A_국토부원자료'!$A$4:$T$4,0)),"")</f>
        <v/>
      </c>
      <c r="N1286" s="152">
        <f>IF(B1286="","",IF('02_대상물건입력'!B5="",1,IF(ISNUMBER(SEARCH('02_대상물건입력'!B5,B1286)),1,0)))</f>
        <v/>
      </c>
      <c r="O1286" s="152">
        <f>IF(B1286="","",IF('02_대상물건입력'!B6="",1,IF(ISNUMBER(SEARCH('02_대상물건입력'!B6,B1286)),1,0)))</f>
        <v/>
      </c>
      <c r="P1286" s="152">
        <f>IF(L1286="","",IF('02_대상물건입력'!B15="",0,IF(ISNUMBER(SEARCH('02_대상물건입력'!B15,L1286)),1,0)))</f>
        <v/>
      </c>
      <c r="Q1286" s="152">
        <f>IF(OR(C1286="",L1286=""),0,IF(AND(TRIM(C1286)=TRIM(RIGHT(SUBSTITUTE(TRIM('02_대상물건입력'!$B$7)," ",REPT(" ",99)),99)),IF('02_대상물건입력'!B15="",TRUE(),ISNUMBER(SEARCH('02_대상물건입력'!B15,L1286)))),1,0))</f>
        <v/>
      </c>
      <c r="R1286" s="175">
        <f>IFERROR(ABS(E1286-'02_대상물건입력'!B11)/'02_대상물건입력'!B11,"")</f>
        <v/>
      </c>
      <c r="S1286" s="152">
        <f>IFERROR(ABS(J1286-'02_대상물건입력'!B10),"")</f>
        <v/>
      </c>
      <c r="T1286" s="152">
        <f>IFERROR(ABS('01_설정'!B4-F1286),"")</f>
        <v/>
      </c>
      <c r="U1286" s="152">
        <f>IFERROR(ABS(K1286-YEAR('02_대상물건입력'!B14)),"")</f>
        <v/>
      </c>
      <c r="V1286" s="152">
        <f>IF(B1286="","",IF(AND(E1286&gt;0,F1286&gt;0,H1286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1286=1,TRUE()),R1286&lt;='01_설정'!B5,S1286&lt;='01_설정'!B6,T1286&lt;='01_설정'!B7,U1286&lt;='01_설정'!B8),"Y",""))</f>
        <v/>
      </c>
      <c r="W1286" s="172">
        <f>IF(V1286&lt;&gt;"Y","",MAX(0,(1-R1286/'01_설정'!B5))*'01_설정'!B14+MAX(0,(1-S1286/'01_설정'!B6))*'01_설정'!B15+MAX(0,(1-T1286/'01_설정'!B7))*'01_설정'!B16+MAX(0,(1-U1286/'01_설정'!B8))*'01_설정'!B17+O1286*'01_설정'!B11+Q1286*'01_설정'!B12+P1286*'01_설정'!B13+IF(Z1286="",0,Z1286))</f>
        <v/>
      </c>
      <c r="X1286" s="152">
        <f>IF(W1286="","",1+COUNTIFS($W$4:$W$3003,"&gt;"&amp;W1286)+COUNTIFS($W$4:W1286,W1286)-1)</f>
        <v/>
      </c>
      <c r="Y1286" s="175">
        <f>IF(OR(I1286="",'02_대상물건입력'!B19="",'02_대상물건입력'!B19&lt;=0),"",ABS(I1286-'02_대상물건입력'!B19)/'02_대상물건입력'!B19)</f>
        <v/>
      </c>
      <c r="Z1286" s="172">
        <f>IF(OR(Y1286="",'01_설정'!B31="",'01_설정'!B31&lt;=0,'01_설정'!B32="",'01_설정'!B32&lt;=0),"",MAX(0,(1-Y1286/'01_설정'!B32))*'01_설정'!B31)</f>
        <v/>
      </c>
    </row>
    <row r="1287" ht="17.25" customHeight="1">
      <c r="A1287" s="152">
        <f>IF(INDEX('04A_국토부원자료'!$A:$A,ROW()+1)="","",ROW()-3)</f>
        <v/>
      </c>
      <c r="B1287" s="48">
        <f>IFERROR(INDEX('04A_국토부원자료'!$A:$T,ROW()+1,MATCH("시군구",'04A_국토부원자료'!$A$4:$T$4,0)),"")</f>
        <v/>
      </c>
      <c r="C1287" s="48">
        <f>IF(B1287="","",IFERROR(INDEX('04A_국토부원자료'!$A:$T,ROW()+1,MATCH("번지",'04A_국토부원자료'!$A$4:$T$4,0)),""))</f>
        <v/>
      </c>
      <c r="D1287" s="48">
        <f>IF(B1287="","",IF(Q1287=1,'02_대상물건입력'!$B$8,IFERROR(INDEX('04A_국토부원자료'!$A:$T,ROW()+1,MATCH("단지명",'04A_국토부원자료'!$A$4:$T$4,0)),"")))</f>
        <v/>
      </c>
      <c r="E1287" s="172">
        <f>IFERROR(VALUE(SUBSTITUTE(INDEX('04A_국토부원자료'!$A:$T,ROW()+1,MATCH("전용면적(㎡)",'04A_국토부원자료'!$A$4:$T$4,0)),",","")),"")</f>
        <v/>
      </c>
      <c r="F12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87" s="51">
        <f>IFERROR(VALUE(SUBSTITUTE(INDEX('04A_국토부원자료'!$A:$T,ROW()+1,MATCH("거래금액(만원)",'04A_국토부원자료'!$A$4:$T$4,0)),",","")),"")</f>
        <v/>
      </c>
      <c r="H1287" s="174">
        <f>IF(G1287="","",G1287*10000)</f>
        <v/>
      </c>
      <c r="I1287" s="174">
        <f>IFERROR(IF(AND(H1287&gt;0,E1287&gt;0),H1287/E1287,""),"")</f>
        <v/>
      </c>
      <c r="J1287" s="152">
        <f>IFERROR(VALUE(SUBSTITUTE(INDEX('04A_국토부원자료'!$A:$T,ROW()+1,MATCH("층",'04A_국토부원자료'!$A$4:$T$4,0)),",","")),"")</f>
        <v/>
      </c>
      <c r="K1287" s="152">
        <f>IFERROR(VALUE(SUBSTITUTE(INDEX('04A_국토부원자료'!$A:$T,ROW()+1,MATCH("건축년도",'04A_국토부원자료'!$A$4:$T$4,0)),",","")),"")</f>
        <v/>
      </c>
      <c r="L1287" s="176">
        <f>IFERROR(INDEX('04A_국토부원자료'!$A:$T,ROW()+1,MATCH("도로명",'04A_국토부원자료'!$A$4:$T$4,0)),"")</f>
        <v/>
      </c>
      <c r="M1287" s="48">
        <f>IFERROR(INDEX('04A_국토부원자료'!$A:$T,ROW()+1,MATCH("거래유형",'04A_국토부원자료'!$A$4:$T$4,0)),"")</f>
        <v/>
      </c>
      <c r="N1287" s="152">
        <f>IF(B1287="","",IF('02_대상물건입력'!B5="",1,IF(ISNUMBER(SEARCH('02_대상물건입력'!B5,B1287)),1,0)))</f>
        <v/>
      </c>
      <c r="O1287" s="152">
        <f>IF(B1287="","",IF('02_대상물건입력'!B6="",1,IF(ISNUMBER(SEARCH('02_대상물건입력'!B6,B1287)),1,0)))</f>
        <v/>
      </c>
      <c r="P1287" s="152">
        <f>IF(L1287="","",IF('02_대상물건입력'!B15="",0,IF(ISNUMBER(SEARCH('02_대상물건입력'!B15,L1287)),1,0)))</f>
        <v/>
      </c>
      <c r="Q1287" s="152">
        <f>IF(OR(C1287="",L1287=""),0,IF(AND(TRIM(C1287)=TRIM(RIGHT(SUBSTITUTE(TRIM('02_대상물건입력'!$B$7)," ",REPT(" ",99)),99)),IF('02_대상물건입력'!B15="",TRUE(),ISNUMBER(SEARCH('02_대상물건입력'!B15,L1287)))),1,0))</f>
        <v/>
      </c>
      <c r="R1287" s="175">
        <f>IFERROR(ABS(E1287-'02_대상물건입력'!B11)/'02_대상물건입력'!B11,"")</f>
        <v/>
      </c>
      <c r="S1287" s="152">
        <f>IFERROR(ABS(J1287-'02_대상물건입력'!B10),"")</f>
        <v/>
      </c>
      <c r="T1287" s="152">
        <f>IFERROR(ABS('01_설정'!B4-F1287),"")</f>
        <v/>
      </c>
      <c r="U1287" s="152">
        <f>IFERROR(ABS(K1287-YEAR('02_대상물건입력'!B14)),"")</f>
        <v/>
      </c>
      <c r="V1287" s="152">
        <f>IF(B1287="","",IF(AND(E1287&gt;0,F1287&gt;0,H1287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1287=1,TRUE()),R1287&lt;='01_설정'!B5,S1287&lt;='01_설정'!B6,T1287&lt;='01_설정'!B7,U1287&lt;='01_설정'!B8),"Y",""))</f>
        <v/>
      </c>
      <c r="W1287" s="172">
        <f>IF(V1287&lt;&gt;"Y","",MAX(0,(1-R1287/'01_설정'!B5))*'01_설정'!B14+MAX(0,(1-S1287/'01_설정'!B6))*'01_설정'!B15+MAX(0,(1-T1287/'01_설정'!B7))*'01_설정'!B16+MAX(0,(1-U1287/'01_설정'!B8))*'01_설정'!B17+O1287*'01_설정'!B11+Q1287*'01_설정'!B12+P1287*'01_설정'!B13+IF(Z1287="",0,Z1287))</f>
        <v/>
      </c>
      <c r="X1287" s="152">
        <f>IF(W1287="","",1+COUNTIFS($W$4:$W$3003,"&gt;"&amp;W1287)+COUNTIFS($W$4:W1287,W1287)-1)</f>
        <v/>
      </c>
      <c r="Y1287" s="175">
        <f>IF(OR(I1287="",'02_대상물건입력'!B19="",'02_대상물건입력'!B19&lt;=0),"",ABS(I1287-'02_대상물건입력'!B19)/'02_대상물건입력'!B19)</f>
        <v/>
      </c>
      <c r="Z1287" s="172">
        <f>IF(OR(Y1287="",'01_설정'!B31="",'01_설정'!B31&lt;=0,'01_설정'!B32="",'01_설정'!B32&lt;=0),"",MAX(0,(1-Y1287/'01_설정'!B32))*'01_설정'!B31)</f>
        <v/>
      </c>
    </row>
    <row r="1288" ht="17.25" customHeight="1">
      <c r="A1288" s="152">
        <f>IF(INDEX('04A_국토부원자료'!$A:$A,ROW()+1)="","",ROW()-3)</f>
        <v/>
      </c>
      <c r="B1288" s="48">
        <f>IFERROR(INDEX('04A_국토부원자료'!$A:$T,ROW()+1,MATCH("시군구",'04A_국토부원자료'!$A$4:$T$4,0)),"")</f>
        <v/>
      </c>
      <c r="C1288" s="48">
        <f>IF(B1288="","",IFERROR(INDEX('04A_국토부원자료'!$A:$T,ROW()+1,MATCH("번지",'04A_국토부원자료'!$A$4:$T$4,0)),""))</f>
        <v/>
      </c>
      <c r="D1288" s="48">
        <f>IF(B1288="","",IF(Q1288=1,'02_대상물건입력'!$B$8,IFERROR(INDEX('04A_국토부원자료'!$A:$T,ROW()+1,MATCH("단지명",'04A_국토부원자료'!$A$4:$T$4,0)),"")))</f>
        <v/>
      </c>
      <c r="E1288" s="172">
        <f>IFERROR(VALUE(SUBSTITUTE(INDEX('04A_국토부원자료'!$A:$T,ROW()+1,MATCH("전용면적(㎡)",'04A_국토부원자료'!$A$4:$T$4,0)),",","")),"")</f>
        <v/>
      </c>
      <c r="F12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88" s="51">
        <f>IFERROR(VALUE(SUBSTITUTE(INDEX('04A_국토부원자료'!$A:$T,ROW()+1,MATCH("거래금액(만원)",'04A_국토부원자료'!$A$4:$T$4,0)),",","")),"")</f>
        <v/>
      </c>
      <c r="H1288" s="174">
        <f>IF(G1288="","",G1288*10000)</f>
        <v/>
      </c>
      <c r="I1288" s="174">
        <f>IFERROR(IF(AND(H1288&gt;0,E1288&gt;0),H1288/E1288,""),"")</f>
        <v/>
      </c>
      <c r="J1288" s="152">
        <f>IFERROR(VALUE(SUBSTITUTE(INDEX('04A_국토부원자료'!$A:$T,ROW()+1,MATCH("층",'04A_국토부원자료'!$A$4:$T$4,0)),",","")),"")</f>
        <v/>
      </c>
      <c r="K1288" s="152">
        <f>IFERROR(VALUE(SUBSTITUTE(INDEX('04A_국토부원자료'!$A:$T,ROW()+1,MATCH("건축년도",'04A_국토부원자료'!$A$4:$T$4,0)),",","")),"")</f>
        <v/>
      </c>
      <c r="L1288" s="176">
        <f>IFERROR(INDEX('04A_국토부원자료'!$A:$T,ROW()+1,MATCH("도로명",'04A_국토부원자료'!$A$4:$T$4,0)),"")</f>
        <v/>
      </c>
      <c r="M1288" s="48">
        <f>IFERROR(INDEX('04A_국토부원자료'!$A:$T,ROW()+1,MATCH("거래유형",'04A_국토부원자료'!$A$4:$T$4,0)),"")</f>
        <v/>
      </c>
      <c r="N1288" s="152">
        <f>IF(B1288="","",IF('02_대상물건입력'!B5="",1,IF(ISNUMBER(SEARCH('02_대상물건입력'!B5,B1288)),1,0)))</f>
        <v/>
      </c>
      <c r="O1288" s="152">
        <f>IF(B1288="","",IF('02_대상물건입력'!B6="",1,IF(ISNUMBER(SEARCH('02_대상물건입력'!B6,B1288)),1,0)))</f>
        <v/>
      </c>
      <c r="P1288" s="152">
        <f>IF(L1288="","",IF('02_대상물건입력'!B15="",0,IF(ISNUMBER(SEARCH('02_대상물건입력'!B15,L1288)),1,0)))</f>
        <v/>
      </c>
      <c r="Q1288" s="152">
        <f>IF(OR(C1288="",L1288=""),0,IF(AND(TRIM(C1288)=TRIM(RIGHT(SUBSTITUTE(TRIM('02_대상물건입력'!$B$7)," ",REPT(" ",99)),99)),IF('02_대상물건입력'!B15="",TRUE(),ISNUMBER(SEARCH('02_대상물건입력'!B15,L1288)))),1,0))</f>
        <v/>
      </c>
      <c r="R1288" s="175">
        <f>IFERROR(ABS(E1288-'02_대상물건입력'!B11)/'02_대상물건입력'!B11,"")</f>
        <v/>
      </c>
      <c r="S1288" s="152">
        <f>IFERROR(ABS(J1288-'02_대상물건입력'!B10),"")</f>
        <v/>
      </c>
      <c r="T1288" s="152">
        <f>IFERROR(ABS('01_설정'!B4-F1288),"")</f>
        <v/>
      </c>
      <c r="U1288" s="152">
        <f>IFERROR(ABS(K1288-YEAR('02_대상물건입력'!B14)),"")</f>
        <v/>
      </c>
      <c r="V1288" s="152">
        <f>IF(B1288="","",IF(AND(E1288&gt;0,F1288&gt;0,H1288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1288=1,TRUE()),R1288&lt;='01_설정'!B5,S1288&lt;='01_설정'!B6,T1288&lt;='01_설정'!B7,U1288&lt;='01_설정'!B8),"Y",""))</f>
        <v/>
      </c>
      <c r="W1288" s="172">
        <f>IF(V1288&lt;&gt;"Y","",MAX(0,(1-R1288/'01_설정'!B5))*'01_설정'!B14+MAX(0,(1-S1288/'01_설정'!B6))*'01_설정'!B15+MAX(0,(1-T1288/'01_설정'!B7))*'01_설정'!B16+MAX(0,(1-U1288/'01_설정'!B8))*'01_설정'!B17+O1288*'01_설정'!B11+Q1288*'01_설정'!B12+P1288*'01_설정'!B13+IF(Z1288="",0,Z1288))</f>
        <v/>
      </c>
      <c r="X1288" s="152">
        <f>IF(W1288="","",1+COUNTIFS($W$4:$W$3003,"&gt;"&amp;W1288)+COUNTIFS($W$4:W1288,W1288)-1)</f>
        <v/>
      </c>
      <c r="Y1288" s="175">
        <f>IF(OR(I1288="",'02_대상물건입력'!B19="",'02_대상물건입력'!B19&lt;=0),"",ABS(I1288-'02_대상물건입력'!B19)/'02_대상물건입력'!B19)</f>
        <v/>
      </c>
      <c r="Z1288" s="172">
        <f>IF(OR(Y1288="",'01_설정'!B31="",'01_설정'!B31&lt;=0,'01_설정'!B32="",'01_설정'!B32&lt;=0),"",MAX(0,(1-Y1288/'01_설정'!B32))*'01_설정'!B31)</f>
        <v/>
      </c>
    </row>
    <row r="1289" ht="17.25" customHeight="1">
      <c r="A1289" s="152">
        <f>IF(INDEX('04A_국토부원자료'!$A:$A,ROW()+1)="","",ROW()-3)</f>
        <v/>
      </c>
      <c r="B1289" s="48">
        <f>IFERROR(INDEX('04A_국토부원자료'!$A:$T,ROW()+1,MATCH("시군구",'04A_국토부원자료'!$A$4:$T$4,0)),"")</f>
        <v/>
      </c>
      <c r="C1289" s="48">
        <f>IF(B1289="","",IFERROR(INDEX('04A_국토부원자료'!$A:$T,ROW()+1,MATCH("번지",'04A_국토부원자료'!$A$4:$T$4,0)),""))</f>
        <v/>
      </c>
      <c r="D1289" s="48">
        <f>IF(B1289="","",IF(Q1289=1,'02_대상물건입력'!$B$8,IFERROR(INDEX('04A_국토부원자료'!$A:$T,ROW()+1,MATCH("단지명",'04A_국토부원자료'!$A$4:$T$4,0)),"")))</f>
        <v/>
      </c>
      <c r="E1289" s="172">
        <f>IFERROR(VALUE(SUBSTITUTE(INDEX('04A_국토부원자료'!$A:$T,ROW()+1,MATCH("전용면적(㎡)",'04A_국토부원자료'!$A$4:$T$4,0)),",","")),"")</f>
        <v/>
      </c>
      <c r="F12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89" s="51">
        <f>IFERROR(VALUE(SUBSTITUTE(INDEX('04A_국토부원자료'!$A:$T,ROW()+1,MATCH("거래금액(만원)",'04A_국토부원자료'!$A$4:$T$4,0)),",","")),"")</f>
        <v/>
      </c>
      <c r="H1289" s="174">
        <f>IF(G1289="","",G1289*10000)</f>
        <v/>
      </c>
      <c r="I1289" s="174">
        <f>IFERROR(IF(AND(H1289&gt;0,E1289&gt;0),H1289/E1289,""),"")</f>
        <v/>
      </c>
      <c r="J1289" s="152">
        <f>IFERROR(VALUE(SUBSTITUTE(INDEX('04A_국토부원자료'!$A:$T,ROW()+1,MATCH("층",'04A_국토부원자료'!$A$4:$T$4,0)),",","")),"")</f>
        <v/>
      </c>
      <c r="K1289" s="152">
        <f>IFERROR(VALUE(SUBSTITUTE(INDEX('04A_국토부원자료'!$A:$T,ROW()+1,MATCH("건축년도",'04A_국토부원자료'!$A$4:$T$4,0)),",","")),"")</f>
        <v/>
      </c>
      <c r="L1289" s="176">
        <f>IFERROR(INDEX('04A_국토부원자료'!$A:$T,ROW()+1,MATCH("도로명",'04A_국토부원자료'!$A$4:$T$4,0)),"")</f>
        <v/>
      </c>
      <c r="M1289" s="48">
        <f>IFERROR(INDEX('04A_국토부원자료'!$A:$T,ROW()+1,MATCH("거래유형",'04A_국토부원자료'!$A$4:$T$4,0)),"")</f>
        <v/>
      </c>
      <c r="N1289" s="152">
        <f>IF(B1289="","",IF('02_대상물건입력'!B5="",1,IF(ISNUMBER(SEARCH('02_대상물건입력'!B5,B1289)),1,0)))</f>
        <v/>
      </c>
      <c r="O1289" s="152">
        <f>IF(B1289="","",IF('02_대상물건입력'!B6="",1,IF(ISNUMBER(SEARCH('02_대상물건입력'!B6,B1289)),1,0)))</f>
        <v/>
      </c>
      <c r="P1289" s="152">
        <f>IF(L1289="","",IF('02_대상물건입력'!B15="",0,IF(ISNUMBER(SEARCH('02_대상물건입력'!B15,L1289)),1,0)))</f>
        <v/>
      </c>
      <c r="Q1289" s="152">
        <f>IF(OR(C1289="",L1289=""),0,IF(AND(TRIM(C1289)=TRIM(RIGHT(SUBSTITUTE(TRIM('02_대상물건입력'!$B$7)," ",REPT(" ",99)),99)),IF('02_대상물건입력'!B15="",TRUE(),ISNUMBER(SEARCH('02_대상물건입력'!B15,L1289)))),1,0))</f>
        <v/>
      </c>
      <c r="R1289" s="175">
        <f>IFERROR(ABS(E1289-'02_대상물건입력'!B11)/'02_대상물건입력'!B11,"")</f>
        <v/>
      </c>
      <c r="S1289" s="152">
        <f>IFERROR(ABS(J1289-'02_대상물건입력'!B10),"")</f>
        <v/>
      </c>
      <c r="T1289" s="152">
        <f>IFERROR(ABS('01_설정'!B4-F1289),"")</f>
        <v/>
      </c>
      <c r="U1289" s="152">
        <f>IFERROR(ABS(K1289-YEAR('02_대상물건입력'!B14)),"")</f>
        <v/>
      </c>
      <c r="V1289" s="152">
        <f>IF(B1289="","",IF(AND(E1289&gt;0,F1289&gt;0,H1289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1289=1,TRUE()),R1289&lt;='01_설정'!B5,S1289&lt;='01_설정'!B6,T1289&lt;='01_설정'!B7,U1289&lt;='01_설정'!B8),"Y",""))</f>
        <v/>
      </c>
      <c r="W1289" s="172">
        <f>IF(V1289&lt;&gt;"Y","",MAX(0,(1-R1289/'01_설정'!B5))*'01_설정'!B14+MAX(0,(1-S1289/'01_설정'!B6))*'01_설정'!B15+MAX(0,(1-T1289/'01_설정'!B7))*'01_설정'!B16+MAX(0,(1-U1289/'01_설정'!B8))*'01_설정'!B17+O1289*'01_설정'!B11+Q1289*'01_설정'!B12+P1289*'01_설정'!B13+IF(Z1289="",0,Z1289))</f>
        <v/>
      </c>
      <c r="X1289" s="152">
        <f>IF(W1289="","",1+COUNTIFS($W$4:$W$3003,"&gt;"&amp;W1289)+COUNTIFS($W$4:W1289,W1289)-1)</f>
        <v/>
      </c>
      <c r="Y1289" s="175">
        <f>IF(OR(I1289="",'02_대상물건입력'!B19="",'02_대상물건입력'!B19&lt;=0),"",ABS(I1289-'02_대상물건입력'!B19)/'02_대상물건입력'!B19)</f>
        <v/>
      </c>
      <c r="Z1289" s="172">
        <f>IF(OR(Y1289="",'01_설정'!B31="",'01_설정'!B31&lt;=0,'01_설정'!B32="",'01_설정'!B32&lt;=0),"",MAX(0,(1-Y1289/'01_설정'!B32))*'01_설정'!B31)</f>
        <v/>
      </c>
    </row>
    <row r="1290" ht="17.25" customHeight="1">
      <c r="A1290" s="152">
        <f>IF(INDEX('04A_국토부원자료'!$A:$A,ROW()+1)="","",ROW()-3)</f>
        <v/>
      </c>
      <c r="B1290" s="48">
        <f>IFERROR(INDEX('04A_국토부원자료'!$A:$T,ROW()+1,MATCH("시군구",'04A_국토부원자료'!$A$4:$T$4,0)),"")</f>
        <v/>
      </c>
      <c r="C1290" s="48">
        <f>IF(B1290="","",IFERROR(INDEX('04A_국토부원자료'!$A:$T,ROW()+1,MATCH("번지",'04A_국토부원자료'!$A$4:$T$4,0)),""))</f>
        <v/>
      </c>
      <c r="D1290" s="48">
        <f>IF(B1290="","",IF(Q1290=1,'02_대상물건입력'!$B$8,IFERROR(INDEX('04A_국토부원자료'!$A:$T,ROW()+1,MATCH("단지명",'04A_국토부원자료'!$A$4:$T$4,0)),"")))</f>
        <v/>
      </c>
      <c r="E1290" s="172">
        <f>IFERROR(VALUE(SUBSTITUTE(INDEX('04A_국토부원자료'!$A:$T,ROW()+1,MATCH("전용면적(㎡)",'04A_국토부원자료'!$A$4:$T$4,0)),",","")),"")</f>
        <v/>
      </c>
      <c r="F12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90" s="51">
        <f>IFERROR(VALUE(SUBSTITUTE(INDEX('04A_국토부원자료'!$A:$T,ROW()+1,MATCH("거래금액(만원)",'04A_국토부원자료'!$A$4:$T$4,0)),",","")),"")</f>
        <v/>
      </c>
      <c r="H1290" s="174">
        <f>IF(G1290="","",G1290*10000)</f>
        <v/>
      </c>
      <c r="I1290" s="174">
        <f>IFERROR(IF(AND(H1290&gt;0,E1290&gt;0),H1290/E1290,""),"")</f>
        <v/>
      </c>
      <c r="J1290" s="152">
        <f>IFERROR(VALUE(SUBSTITUTE(INDEX('04A_국토부원자료'!$A:$T,ROW()+1,MATCH("층",'04A_국토부원자료'!$A$4:$T$4,0)),",","")),"")</f>
        <v/>
      </c>
      <c r="K1290" s="152">
        <f>IFERROR(VALUE(SUBSTITUTE(INDEX('04A_국토부원자료'!$A:$T,ROW()+1,MATCH("건축년도",'04A_국토부원자료'!$A$4:$T$4,0)),",","")),"")</f>
        <v/>
      </c>
      <c r="L1290" s="176">
        <f>IFERROR(INDEX('04A_국토부원자료'!$A:$T,ROW()+1,MATCH("도로명",'04A_국토부원자료'!$A$4:$T$4,0)),"")</f>
        <v/>
      </c>
      <c r="M1290" s="48">
        <f>IFERROR(INDEX('04A_국토부원자료'!$A:$T,ROW()+1,MATCH("거래유형",'04A_국토부원자료'!$A$4:$T$4,0)),"")</f>
        <v/>
      </c>
      <c r="N1290" s="152">
        <f>IF(B1290="","",IF('02_대상물건입력'!B5="",1,IF(ISNUMBER(SEARCH('02_대상물건입력'!B5,B1290)),1,0)))</f>
        <v/>
      </c>
      <c r="O1290" s="152">
        <f>IF(B1290="","",IF('02_대상물건입력'!B6="",1,IF(ISNUMBER(SEARCH('02_대상물건입력'!B6,B1290)),1,0)))</f>
        <v/>
      </c>
      <c r="P1290" s="152">
        <f>IF(L1290="","",IF('02_대상물건입력'!B15="",0,IF(ISNUMBER(SEARCH('02_대상물건입력'!B15,L1290)),1,0)))</f>
        <v/>
      </c>
      <c r="Q1290" s="152">
        <f>IF(OR(C1290="",L1290=""),0,IF(AND(TRIM(C1290)=TRIM(RIGHT(SUBSTITUTE(TRIM('02_대상물건입력'!$B$7)," ",REPT(" ",99)),99)),IF('02_대상물건입력'!B15="",TRUE(),ISNUMBER(SEARCH('02_대상물건입력'!B15,L1290)))),1,0))</f>
        <v/>
      </c>
      <c r="R1290" s="175">
        <f>IFERROR(ABS(E1290-'02_대상물건입력'!B11)/'02_대상물건입력'!B11,"")</f>
        <v/>
      </c>
      <c r="S1290" s="152">
        <f>IFERROR(ABS(J1290-'02_대상물건입력'!B10),"")</f>
        <v/>
      </c>
      <c r="T1290" s="152">
        <f>IFERROR(ABS('01_설정'!B4-F1290),"")</f>
        <v/>
      </c>
      <c r="U1290" s="152">
        <f>IFERROR(ABS(K1290-YEAR('02_대상물건입력'!B14)),"")</f>
        <v/>
      </c>
      <c r="V1290" s="152">
        <f>IF(B1290="","",IF(AND(E1290&gt;0,F1290&gt;0,H1290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1290=1,TRUE()),R1290&lt;='01_설정'!B5,S1290&lt;='01_설정'!B6,T1290&lt;='01_설정'!B7,U1290&lt;='01_설정'!B8),"Y",""))</f>
        <v/>
      </c>
      <c r="W1290" s="172">
        <f>IF(V1290&lt;&gt;"Y","",MAX(0,(1-R1290/'01_설정'!B5))*'01_설정'!B14+MAX(0,(1-S1290/'01_설정'!B6))*'01_설정'!B15+MAX(0,(1-T1290/'01_설정'!B7))*'01_설정'!B16+MAX(0,(1-U1290/'01_설정'!B8))*'01_설정'!B17+O1290*'01_설정'!B11+Q1290*'01_설정'!B12+P1290*'01_설정'!B13+IF(Z1290="",0,Z1290))</f>
        <v/>
      </c>
      <c r="X1290" s="152">
        <f>IF(W1290="","",1+COUNTIFS($W$4:$W$3003,"&gt;"&amp;W1290)+COUNTIFS($W$4:W1290,W1290)-1)</f>
        <v/>
      </c>
      <c r="Y1290" s="175">
        <f>IF(OR(I1290="",'02_대상물건입력'!B19="",'02_대상물건입력'!B19&lt;=0),"",ABS(I1290-'02_대상물건입력'!B19)/'02_대상물건입력'!B19)</f>
        <v/>
      </c>
      <c r="Z1290" s="172">
        <f>IF(OR(Y1290="",'01_설정'!B31="",'01_설정'!B31&lt;=0,'01_설정'!B32="",'01_설정'!B32&lt;=0),"",MAX(0,(1-Y1290/'01_설정'!B32))*'01_설정'!B31)</f>
        <v/>
      </c>
    </row>
    <row r="1291" ht="17.25" customHeight="1">
      <c r="A1291" s="152">
        <f>IF(INDEX('04A_국토부원자료'!$A:$A,ROW()+1)="","",ROW()-3)</f>
        <v/>
      </c>
      <c r="B1291" s="48">
        <f>IFERROR(INDEX('04A_국토부원자료'!$A:$T,ROW()+1,MATCH("시군구",'04A_국토부원자료'!$A$4:$T$4,0)),"")</f>
        <v/>
      </c>
      <c r="C1291" s="48">
        <f>IF(B1291="","",IFERROR(INDEX('04A_국토부원자료'!$A:$T,ROW()+1,MATCH("번지",'04A_국토부원자료'!$A$4:$T$4,0)),""))</f>
        <v/>
      </c>
      <c r="D1291" s="48">
        <f>IF(B1291="","",IF(Q1291=1,'02_대상물건입력'!$B$8,IFERROR(INDEX('04A_국토부원자료'!$A:$T,ROW()+1,MATCH("단지명",'04A_국토부원자료'!$A$4:$T$4,0)),"")))</f>
        <v/>
      </c>
      <c r="E1291" s="172">
        <f>IFERROR(VALUE(SUBSTITUTE(INDEX('04A_국토부원자료'!$A:$T,ROW()+1,MATCH("전용면적(㎡)",'04A_국토부원자료'!$A$4:$T$4,0)),",","")),"")</f>
        <v/>
      </c>
      <c r="F12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91" s="51">
        <f>IFERROR(VALUE(SUBSTITUTE(INDEX('04A_국토부원자료'!$A:$T,ROW()+1,MATCH("거래금액(만원)",'04A_국토부원자료'!$A$4:$T$4,0)),",","")),"")</f>
        <v/>
      </c>
      <c r="H1291" s="174">
        <f>IF(G1291="","",G1291*10000)</f>
        <v/>
      </c>
      <c r="I1291" s="174">
        <f>IFERROR(IF(AND(H1291&gt;0,E1291&gt;0),H1291/E1291,""),"")</f>
        <v/>
      </c>
      <c r="J1291" s="152">
        <f>IFERROR(VALUE(SUBSTITUTE(INDEX('04A_국토부원자료'!$A:$T,ROW()+1,MATCH("층",'04A_국토부원자료'!$A$4:$T$4,0)),",","")),"")</f>
        <v/>
      </c>
      <c r="K1291" s="152">
        <f>IFERROR(VALUE(SUBSTITUTE(INDEX('04A_국토부원자료'!$A:$T,ROW()+1,MATCH("건축년도",'04A_국토부원자료'!$A$4:$T$4,0)),",","")),"")</f>
        <v/>
      </c>
      <c r="L1291" s="176">
        <f>IFERROR(INDEX('04A_국토부원자료'!$A:$T,ROW()+1,MATCH("도로명",'04A_국토부원자료'!$A$4:$T$4,0)),"")</f>
        <v/>
      </c>
      <c r="M1291" s="48">
        <f>IFERROR(INDEX('04A_국토부원자료'!$A:$T,ROW()+1,MATCH("거래유형",'04A_국토부원자료'!$A$4:$T$4,0)),"")</f>
        <v/>
      </c>
      <c r="N1291" s="152">
        <f>IF(B1291="","",IF('02_대상물건입력'!B5="",1,IF(ISNUMBER(SEARCH('02_대상물건입력'!B5,B1291)),1,0)))</f>
        <v/>
      </c>
      <c r="O1291" s="152">
        <f>IF(B1291="","",IF('02_대상물건입력'!B6="",1,IF(ISNUMBER(SEARCH('02_대상물건입력'!B6,B1291)),1,0)))</f>
        <v/>
      </c>
      <c r="P1291" s="152">
        <f>IF(L1291="","",IF('02_대상물건입력'!B15="",0,IF(ISNUMBER(SEARCH('02_대상물건입력'!B15,L1291)),1,0)))</f>
        <v/>
      </c>
      <c r="Q1291" s="152">
        <f>IF(OR(C1291="",L1291=""),0,IF(AND(TRIM(C1291)=TRIM(RIGHT(SUBSTITUTE(TRIM('02_대상물건입력'!$B$7)," ",REPT(" ",99)),99)),IF('02_대상물건입력'!B15="",TRUE(),ISNUMBER(SEARCH('02_대상물건입력'!B15,L1291)))),1,0))</f>
        <v/>
      </c>
      <c r="R1291" s="175">
        <f>IFERROR(ABS(E1291-'02_대상물건입력'!B11)/'02_대상물건입력'!B11,"")</f>
        <v/>
      </c>
      <c r="S1291" s="152">
        <f>IFERROR(ABS(J1291-'02_대상물건입력'!B10),"")</f>
        <v/>
      </c>
      <c r="T1291" s="152">
        <f>IFERROR(ABS('01_설정'!B4-F1291),"")</f>
        <v/>
      </c>
      <c r="U1291" s="152">
        <f>IFERROR(ABS(K1291-YEAR('02_대상물건입력'!B14)),"")</f>
        <v/>
      </c>
      <c r="V1291" s="152">
        <f>IF(B1291="","",IF(AND(E1291&gt;0,F1291&gt;0,H1291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1291=1,TRUE()),R1291&lt;='01_설정'!B5,S1291&lt;='01_설정'!B6,T1291&lt;='01_설정'!B7,U1291&lt;='01_설정'!B8),"Y",""))</f>
        <v/>
      </c>
      <c r="W1291" s="172">
        <f>IF(V1291&lt;&gt;"Y","",MAX(0,(1-R1291/'01_설정'!B5))*'01_설정'!B14+MAX(0,(1-S1291/'01_설정'!B6))*'01_설정'!B15+MAX(0,(1-T1291/'01_설정'!B7))*'01_설정'!B16+MAX(0,(1-U1291/'01_설정'!B8))*'01_설정'!B17+O1291*'01_설정'!B11+Q1291*'01_설정'!B12+P1291*'01_설정'!B13+IF(Z1291="",0,Z1291))</f>
        <v/>
      </c>
      <c r="X1291" s="152">
        <f>IF(W1291="","",1+COUNTIFS($W$4:$W$3003,"&gt;"&amp;W1291)+COUNTIFS($W$4:W1291,W1291)-1)</f>
        <v/>
      </c>
      <c r="Y1291" s="175">
        <f>IF(OR(I1291="",'02_대상물건입력'!B19="",'02_대상물건입력'!B19&lt;=0),"",ABS(I1291-'02_대상물건입력'!B19)/'02_대상물건입력'!B19)</f>
        <v/>
      </c>
      <c r="Z1291" s="172">
        <f>IF(OR(Y1291="",'01_설정'!B31="",'01_설정'!B31&lt;=0,'01_설정'!B32="",'01_설정'!B32&lt;=0),"",MAX(0,(1-Y1291/'01_설정'!B32))*'01_설정'!B31)</f>
        <v/>
      </c>
    </row>
    <row r="1292" ht="17.25" customHeight="1">
      <c r="A1292" s="152">
        <f>IF(INDEX('04A_국토부원자료'!$A:$A,ROW()+1)="","",ROW()-3)</f>
        <v/>
      </c>
      <c r="B1292" s="48">
        <f>IFERROR(INDEX('04A_국토부원자료'!$A:$T,ROW()+1,MATCH("시군구",'04A_국토부원자료'!$A$4:$T$4,0)),"")</f>
        <v/>
      </c>
      <c r="C1292" s="48">
        <f>IF(B1292="","",IFERROR(INDEX('04A_국토부원자료'!$A:$T,ROW()+1,MATCH("번지",'04A_국토부원자료'!$A$4:$T$4,0)),""))</f>
        <v/>
      </c>
      <c r="D1292" s="48">
        <f>IF(B1292="","",IF(Q1292=1,'02_대상물건입력'!$B$8,IFERROR(INDEX('04A_국토부원자료'!$A:$T,ROW()+1,MATCH("단지명",'04A_국토부원자료'!$A$4:$T$4,0)),"")))</f>
        <v/>
      </c>
      <c r="E1292" s="172">
        <f>IFERROR(VALUE(SUBSTITUTE(INDEX('04A_국토부원자료'!$A:$T,ROW()+1,MATCH("전용면적(㎡)",'04A_국토부원자료'!$A$4:$T$4,0)),",","")),"")</f>
        <v/>
      </c>
      <c r="F12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92" s="51">
        <f>IFERROR(VALUE(SUBSTITUTE(INDEX('04A_국토부원자료'!$A:$T,ROW()+1,MATCH("거래금액(만원)",'04A_국토부원자료'!$A$4:$T$4,0)),",","")),"")</f>
        <v/>
      </c>
      <c r="H1292" s="174">
        <f>IF(G1292="","",G1292*10000)</f>
        <v/>
      </c>
      <c r="I1292" s="174">
        <f>IFERROR(IF(AND(H1292&gt;0,E1292&gt;0),H1292/E1292,""),"")</f>
        <v/>
      </c>
      <c r="J1292" s="152">
        <f>IFERROR(VALUE(SUBSTITUTE(INDEX('04A_국토부원자료'!$A:$T,ROW()+1,MATCH("층",'04A_국토부원자료'!$A$4:$T$4,0)),",","")),"")</f>
        <v/>
      </c>
      <c r="K1292" s="152">
        <f>IFERROR(VALUE(SUBSTITUTE(INDEX('04A_국토부원자료'!$A:$T,ROW()+1,MATCH("건축년도",'04A_국토부원자료'!$A$4:$T$4,0)),",","")),"")</f>
        <v/>
      </c>
      <c r="L1292" s="176">
        <f>IFERROR(INDEX('04A_국토부원자료'!$A:$T,ROW()+1,MATCH("도로명",'04A_국토부원자료'!$A$4:$T$4,0)),"")</f>
        <v/>
      </c>
      <c r="M1292" s="48">
        <f>IFERROR(INDEX('04A_국토부원자료'!$A:$T,ROW()+1,MATCH("거래유형",'04A_국토부원자료'!$A$4:$T$4,0)),"")</f>
        <v/>
      </c>
      <c r="N1292" s="152">
        <f>IF(B1292="","",IF('02_대상물건입력'!B5="",1,IF(ISNUMBER(SEARCH('02_대상물건입력'!B5,B1292)),1,0)))</f>
        <v/>
      </c>
      <c r="O1292" s="152">
        <f>IF(B1292="","",IF('02_대상물건입력'!B6="",1,IF(ISNUMBER(SEARCH('02_대상물건입력'!B6,B1292)),1,0)))</f>
        <v/>
      </c>
      <c r="P1292" s="152">
        <f>IF(L1292="","",IF('02_대상물건입력'!B15="",0,IF(ISNUMBER(SEARCH('02_대상물건입력'!B15,L1292)),1,0)))</f>
        <v/>
      </c>
      <c r="Q1292" s="152">
        <f>IF(OR(C1292="",L1292=""),0,IF(AND(TRIM(C1292)=TRIM(RIGHT(SUBSTITUTE(TRIM('02_대상물건입력'!$B$7)," ",REPT(" ",99)),99)),IF('02_대상물건입력'!B15="",TRUE(),ISNUMBER(SEARCH('02_대상물건입력'!B15,L1292)))),1,0))</f>
        <v/>
      </c>
      <c r="R1292" s="175">
        <f>IFERROR(ABS(E1292-'02_대상물건입력'!B11)/'02_대상물건입력'!B11,"")</f>
        <v/>
      </c>
      <c r="S1292" s="152">
        <f>IFERROR(ABS(J1292-'02_대상물건입력'!B10),"")</f>
        <v/>
      </c>
      <c r="T1292" s="152">
        <f>IFERROR(ABS('01_설정'!B4-F1292),"")</f>
        <v/>
      </c>
      <c r="U1292" s="152">
        <f>IFERROR(ABS(K1292-YEAR('02_대상물건입력'!B14)),"")</f>
        <v/>
      </c>
      <c r="V1292" s="152">
        <f>IF(B1292="","",IF(AND(E1292&gt;0,F1292&gt;0,H1292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1292=1,TRUE()),R1292&lt;='01_설정'!B5,S1292&lt;='01_설정'!B6,T1292&lt;='01_설정'!B7,U1292&lt;='01_설정'!B8),"Y",""))</f>
        <v/>
      </c>
      <c r="W1292" s="172">
        <f>IF(V1292&lt;&gt;"Y","",MAX(0,(1-R1292/'01_설정'!B5))*'01_설정'!B14+MAX(0,(1-S1292/'01_설정'!B6))*'01_설정'!B15+MAX(0,(1-T1292/'01_설정'!B7))*'01_설정'!B16+MAX(0,(1-U1292/'01_설정'!B8))*'01_설정'!B17+O1292*'01_설정'!B11+Q1292*'01_설정'!B12+P1292*'01_설정'!B13+IF(Z1292="",0,Z1292))</f>
        <v/>
      </c>
      <c r="X1292" s="152">
        <f>IF(W1292="","",1+COUNTIFS($W$4:$W$3003,"&gt;"&amp;W1292)+COUNTIFS($W$4:W1292,W1292)-1)</f>
        <v/>
      </c>
      <c r="Y1292" s="175">
        <f>IF(OR(I1292="",'02_대상물건입력'!B19="",'02_대상물건입력'!B19&lt;=0),"",ABS(I1292-'02_대상물건입력'!B19)/'02_대상물건입력'!B19)</f>
        <v/>
      </c>
      <c r="Z1292" s="172">
        <f>IF(OR(Y1292="",'01_설정'!B31="",'01_설정'!B31&lt;=0,'01_설정'!B32="",'01_설정'!B32&lt;=0),"",MAX(0,(1-Y1292/'01_설정'!B32))*'01_설정'!B31)</f>
        <v/>
      </c>
    </row>
    <row r="1293" ht="17.25" customHeight="1">
      <c r="A1293" s="152">
        <f>IF(INDEX('04A_국토부원자료'!$A:$A,ROW()+1)="","",ROW()-3)</f>
        <v/>
      </c>
      <c r="B1293" s="48">
        <f>IFERROR(INDEX('04A_국토부원자료'!$A:$T,ROW()+1,MATCH("시군구",'04A_국토부원자료'!$A$4:$T$4,0)),"")</f>
        <v/>
      </c>
      <c r="C1293" s="48">
        <f>IF(B1293="","",IFERROR(INDEX('04A_국토부원자료'!$A:$T,ROW()+1,MATCH("번지",'04A_국토부원자료'!$A$4:$T$4,0)),""))</f>
        <v/>
      </c>
      <c r="D1293" s="48">
        <f>IF(B1293="","",IF(Q1293=1,'02_대상물건입력'!$B$8,IFERROR(INDEX('04A_국토부원자료'!$A:$T,ROW()+1,MATCH("단지명",'04A_국토부원자료'!$A$4:$T$4,0)),"")))</f>
        <v/>
      </c>
      <c r="E1293" s="172">
        <f>IFERROR(VALUE(SUBSTITUTE(INDEX('04A_국토부원자료'!$A:$T,ROW()+1,MATCH("전용면적(㎡)",'04A_국토부원자료'!$A$4:$T$4,0)),",","")),"")</f>
        <v/>
      </c>
      <c r="F12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93" s="51">
        <f>IFERROR(VALUE(SUBSTITUTE(INDEX('04A_국토부원자료'!$A:$T,ROW()+1,MATCH("거래금액(만원)",'04A_국토부원자료'!$A$4:$T$4,0)),",","")),"")</f>
        <v/>
      </c>
      <c r="H1293" s="174">
        <f>IF(G1293="","",G1293*10000)</f>
        <v/>
      </c>
      <c r="I1293" s="174">
        <f>IFERROR(IF(AND(H1293&gt;0,E1293&gt;0),H1293/E1293,""),"")</f>
        <v/>
      </c>
      <c r="J1293" s="152">
        <f>IFERROR(VALUE(SUBSTITUTE(INDEX('04A_국토부원자료'!$A:$T,ROW()+1,MATCH("층",'04A_국토부원자료'!$A$4:$T$4,0)),",","")),"")</f>
        <v/>
      </c>
      <c r="K1293" s="152">
        <f>IFERROR(VALUE(SUBSTITUTE(INDEX('04A_국토부원자료'!$A:$T,ROW()+1,MATCH("건축년도",'04A_국토부원자료'!$A$4:$T$4,0)),",","")),"")</f>
        <v/>
      </c>
      <c r="L1293" s="176">
        <f>IFERROR(INDEX('04A_국토부원자료'!$A:$T,ROW()+1,MATCH("도로명",'04A_국토부원자료'!$A$4:$T$4,0)),"")</f>
        <v/>
      </c>
      <c r="M1293" s="48">
        <f>IFERROR(INDEX('04A_국토부원자료'!$A:$T,ROW()+1,MATCH("거래유형",'04A_국토부원자료'!$A$4:$T$4,0)),"")</f>
        <v/>
      </c>
      <c r="N1293" s="152">
        <f>IF(B1293="","",IF('02_대상물건입력'!B5="",1,IF(ISNUMBER(SEARCH('02_대상물건입력'!B5,B1293)),1,0)))</f>
        <v/>
      </c>
      <c r="O1293" s="152">
        <f>IF(B1293="","",IF('02_대상물건입력'!B6="",1,IF(ISNUMBER(SEARCH('02_대상물건입력'!B6,B1293)),1,0)))</f>
        <v/>
      </c>
      <c r="P1293" s="152">
        <f>IF(L1293="","",IF('02_대상물건입력'!B15="",0,IF(ISNUMBER(SEARCH('02_대상물건입력'!B15,L1293)),1,0)))</f>
        <v/>
      </c>
      <c r="Q1293" s="152">
        <f>IF(OR(C1293="",L1293=""),0,IF(AND(TRIM(C1293)=TRIM(RIGHT(SUBSTITUTE(TRIM('02_대상물건입력'!$B$7)," ",REPT(" ",99)),99)),IF('02_대상물건입력'!B15="",TRUE(),ISNUMBER(SEARCH('02_대상물건입력'!B15,L1293)))),1,0))</f>
        <v/>
      </c>
      <c r="R1293" s="175">
        <f>IFERROR(ABS(E1293-'02_대상물건입력'!B11)/'02_대상물건입력'!B11,"")</f>
        <v/>
      </c>
      <c r="S1293" s="152">
        <f>IFERROR(ABS(J1293-'02_대상물건입력'!B10),"")</f>
        <v/>
      </c>
      <c r="T1293" s="152">
        <f>IFERROR(ABS('01_설정'!B4-F1293),"")</f>
        <v/>
      </c>
      <c r="U1293" s="152">
        <f>IFERROR(ABS(K1293-YEAR('02_대상물건입력'!B14)),"")</f>
        <v/>
      </c>
      <c r="V1293" s="152">
        <f>IF(B1293="","",IF(AND(E1293&gt;0,F1293&gt;0,H1293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1293=1,TRUE()),R1293&lt;='01_설정'!B5,S1293&lt;='01_설정'!B6,T1293&lt;='01_설정'!B7,U1293&lt;='01_설정'!B8),"Y",""))</f>
        <v/>
      </c>
      <c r="W1293" s="172">
        <f>IF(V1293&lt;&gt;"Y","",MAX(0,(1-R1293/'01_설정'!B5))*'01_설정'!B14+MAX(0,(1-S1293/'01_설정'!B6))*'01_설정'!B15+MAX(0,(1-T1293/'01_설정'!B7))*'01_설정'!B16+MAX(0,(1-U1293/'01_설정'!B8))*'01_설정'!B17+O1293*'01_설정'!B11+Q1293*'01_설정'!B12+P1293*'01_설정'!B13+IF(Z1293="",0,Z1293))</f>
        <v/>
      </c>
      <c r="X1293" s="152">
        <f>IF(W1293="","",1+COUNTIFS($W$4:$W$3003,"&gt;"&amp;W1293)+COUNTIFS($W$4:W1293,W1293)-1)</f>
        <v/>
      </c>
      <c r="Y1293" s="175">
        <f>IF(OR(I1293="",'02_대상물건입력'!B19="",'02_대상물건입력'!B19&lt;=0),"",ABS(I1293-'02_대상물건입력'!B19)/'02_대상물건입력'!B19)</f>
        <v/>
      </c>
      <c r="Z1293" s="172">
        <f>IF(OR(Y1293="",'01_설정'!B31="",'01_설정'!B31&lt;=0,'01_설정'!B32="",'01_설정'!B32&lt;=0),"",MAX(0,(1-Y1293/'01_설정'!B32))*'01_설정'!B31)</f>
        <v/>
      </c>
    </row>
    <row r="1294" ht="17.25" customHeight="1">
      <c r="A1294" s="152">
        <f>IF(INDEX('04A_국토부원자료'!$A:$A,ROW()+1)="","",ROW()-3)</f>
        <v/>
      </c>
      <c r="B1294" s="48">
        <f>IFERROR(INDEX('04A_국토부원자료'!$A:$T,ROW()+1,MATCH("시군구",'04A_국토부원자료'!$A$4:$T$4,0)),"")</f>
        <v/>
      </c>
      <c r="C1294" s="48">
        <f>IF(B1294="","",IFERROR(INDEX('04A_국토부원자료'!$A:$T,ROW()+1,MATCH("번지",'04A_국토부원자료'!$A$4:$T$4,0)),""))</f>
        <v/>
      </c>
      <c r="D1294" s="48">
        <f>IF(B1294="","",IF(Q1294=1,'02_대상물건입력'!$B$8,IFERROR(INDEX('04A_국토부원자료'!$A:$T,ROW()+1,MATCH("단지명",'04A_국토부원자료'!$A$4:$T$4,0)),"")))</f>
        <v/>
      </c>
      <c r="E1294" s="172">
        <f>IFERROR(VALUE(SUBSTITUTE(INDEX('04A_국토부원자료'!$A:$T,ROW()+1,MATCH("전용면적(㎡)",'04A_국토부원자료'!$A$4:$T$4,0)),",","")),"")</f>
        <v/>
      </c>
      <c r="F12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94" s="51">
        <f>IFERROR(VALUE(SUBSTITUTE(INDEX('04A_국토부원자료'!$A:$T,ROW()+1,MATCH("거래금액(만원)",'04A_국토부원자료'!$A$4:$T$4,0)),",","")),"")</f>
        <v/>
      </c>
      <c r="H1294" s="174">
        <f>IF(G1294="","",G1294*10000)</f>
        <v/>
      </c>
      <c r="I1294" s="174">
        <f>IFERROR(IF(AND(H1294&gt;0,E1294&gt;0),H1294/E1294,""),"")</f>
        <v/>
      </c>
      <c r="J1294" s="152">
        <f>IFERROR(VALUE(SUBSTITUTE(INDEX('04A_국토부원자료'!$A:$T,ROW()+1,MATCH("층",'04A_국토부원자료'!$A$4:$T$4,0)),",","")),"")</f>
        <v/>
      </c>
      <c r="K1294" s="152">
        <f>IFERROR(VALUE(SUBSTITUTE(INDEX('04A_국토부원자료'!$A:$T,ROW()+1,MATCH("건축년도",'04A_국토부원자료'!$A$4:$T$4,0)),",","")),"")</f>
        <v/>
      </c>
      <c r="L1294" s="176">
        <f>IFERROR(INDEX('04A_국토부원자료'!$A:$T,ROW()+1,MATCH("도로명",'04A_국토부원자료'!$A$4:$T$4,0)),"")</f>
        <v/>
      </c>
      <c r="M1294" s="48">
        <f>IFERROR(INDEX('04A_국토부원자료'!$A:$T,ROW()+1,MATCH("거래유형",'04A_국토부원자료'!$A$4:$T$4,0)),"")</f>
        <v/>
      </c>
      <c r="N1294" s="152">
        <f>IF(B1294="","",IF('02_대상물건입력'!B5="",1,IF(ISNUMBER(SEARCH('02_대상물건입력'!B5,B1294)),1,0)))</f>
        <v/>
      </c>
      <c r="O1294" s="152">
        <f>IF(B1294="","",IF('02_대상물건입력'!B6="",1,IF(ISNUMBER(SEARCH('02_대상물건입력'!B6,B1294)),1,0)))</f>
        <v/>
      </c>
      <c r="P1294" s="152">
        <f>IF(L1294="","",IF('02_대상물건입력'!B15="",0,IF(ISNUMBER(SEARCH('02_대상물건입력'!B15,L1294)),1,0)))</f>
        <v/>
      </c>
      <c r="Q1294" s="152">
        <f>IF(OR(C1294="",L1294=""),0,IF(AND(TRIM(C1294)=TRIM(RIGHT(SUBSTITUTE(TRIM('02_대상물건입력'!$B$7)," ",REPT(" ",99)),99)),IF('02_대상물건입력'!B15="",TRUE(),ISNUMBER(SEARCH('02_대상물건입력'!B15,L1294)))),1,0))</f>
        <v/>
      </c>
      <c r="R1294" s="175">
        <f>IFERROR(ABS(E1294-'02_대상물건입력'!B11)/'02_대상물건입력'!B11,"")</f>
        <v/>
      </c>
      <c r="S1294" s="152">
        <f>IFERROR(ABS(J1294-'02_대상물건입력'!B10),"")</f>
        <v/>
      </c>
      <c r="T1294" s="152">
        <f>IFERROR(ABS('01_설정'!B4-F1294),"")</f>
        <v/>
      </c>
      <c r="U1294" s="152">
        <f>IFERROR(ABS(K1294-YEAR('02_대상물건입력'!B14)),"")</f>
        <v/>
      </c>
      <c r="V1294" s="152">
        <f>IF(B1294="","",IF(AND(E1294&gt;0,F1294&gt;0,H1294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1294=1,TRUE()),R1294&lt;='01_설정'!B5,S1294&lt;='01_설정'!B6,T1294&lt;='01_설정'!B7,U1294&lt;='01_설정'!B8),"Y",""))</f>
        <v/>
      </c>
      <c r="W1294" s="172">
        <f>IF(V1294&lt;&gt;"Y","",MAX(0,(1-R1294/'01_설정'!B5))*'01_설정'!B14+MAX(0,(1-S1294/'01_설정'!B6))*'01_설정'!B15+MAX(0,(1-T1294/'01_설정'!B7))*'01_설정'!B16+MAX(0,(1-U1294/'01_설정'!B8))*'01_설정'!B17+O1294*'01_설정'!B11+Q1294*'01_설정'!B12+P1294*'01_설정'!B13+IF(Z1294="",0,Z1294))</f>
        <v/>
      </c>
      <c r="X1294" s="152">
        <f>IF(W1294="","",1+COUNTIFS($W$4:$W$3003,"&gt;"&amp;W1294)+COUNTIFS($W$4:W1294,W1294)-1)</f>
        <v/>
      </c>
      <c r="Y1294" s="175">
        <f>IF(OR(I1294="",'02_대상물건입력'!B19="",'02_대상물건입력'!B19&lt;=0),"",ABS(I1294-'02_대상물건입력'!B19)/'02_대상물건입력'!B19)</f>
        <v/>
      </c>
      <c r="Z1294" s="172">
        <f>IF(OR(Y1294="",'01_설정'!B31="",'01_설정'!B31&lt;=0,'01_설정'!B32="",'01_설정'!B32&lt;=0),"",MAX(0,(1-Y1294/'01_설정'!B32))*'01_설정'!B31)</f>
        <v/>
      </c>
    </row>
    <row r="1295" ht="17.25" customHeight="1">
      <c r="A1295" s="152">
        <f>IF(INDEX('04A_국토부원자료'!$A:$A,ROW()+1)="","",ROW()-3)</f>
        <v/>
      </c>
      <c r="B1295" s="48">
        <f>IFERROR(INDEX('04A_국토부원자료'!$A:$T,ROW()+1,MATCH("시군구",'04A_국토부원자료'!$A$4:$T$4,0)),"")</f>
        <v/>
      </c>
      <c r="C1295" s="48">
        <f>IF(B1295="","",IFERROR(INDEX('04A_국토부원자료'!$A:$T,ROW()+1,MATCH("번지",'04A_국토부원자료'!$A$4:$T$4,0)),""))</f>
        <v/>
      </c>
      <c r="D1295" s="48">
        <f>IF(B1295="","",IF(Q1295=1,'02_대상물건입력'!$B$8,IFERROR(INDEX('04A_국토부원자료'!$A:$T,ROW()+1,MATCH("단지명",'04A_국토부원자료'!$A$4:$T$4,0)),"")))</f>
        <v/>
      </c>
      <c r="E1295" s="172">
        <f>IFERROR(VALUE(SUBSTITUTE(INDEX('04A_국토부원자료'!$A:$T,ROW()+1,MATCH("전용면적(㎡)",'04A_국토부원자료'!$A$4:$T$4,0)),",","")),"")</f>
        <v/>
      </c>
      <c r="F12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95" s="51">
        <f>IFERROR(VALUE(SUBSTITUTE(INDEX('04A_국토부원자료'!$A:$T,ROW()+1,MATCH("거래금액(만원)",'04A_국토부원자료'!$A$4:$T$4,0)),",","")),"")</f>
        <v/>
      </c>
      <c r="H1295" s="174">
        <f>IF(G1295="","",G1295*10000)</f>
        <v/>
      </c>
      <c r="I1295" s="174">
        <f>IFERROR(IF(AND(H1295&gt;0,E1295&gt;0),H1295/E1295,""),"")</f>
        <v/>
      </c>
      <c r="J1295" s="152">
        <f>IFERROR(VALUE(SUBSTITUTE(INDEX('04A_국토부원자료'!$A:$T,ROW()+1,MATCH("층",'04A_국토부원자료'!$A$4:$T$4,0)),",","")),"")</f>
        <v/>
      </c>
      <c r="K1295" s="152">
        <f>IFERROR(VALUE(SUBSTITUTE(INDEX('04A_국토부원자료'!$A:$T,ROW()+1,MATCH("건축년도",'04A_국토부원자료'!$A$4:$T$4,0)),",","")),"")</f>
        <v/>
      </c>
      <c r="L1295" s="176">
        <f>IFERROR(INDEX('04A_국토부원자료'!$A:$T,ROW()+1,MATCH("도로명",'04A_국토부원자료'!$A$4:$T$4,0)),"")</f>
        <v/>
      </c>
      <c r="M1295" s="48">
        <f>IFERROR(INDEX('04A_국토부원자료'!$A:$T,ROW()+1,MATCH("거래유형",'04A_국토부원자료'!$A$4:$T$4,0)),"")</f>
        <v/>
      </c>
      <c r="N1295" s="152">
        <f>IF(B1295="","",IF('02_대상물건입력'!B5="",1,IF(ISNUMBER(SEARCH('02_대상물건입력'!B5,B1295)),1,0)))</f>
        <v/>
      </c>
      <c r="O1295" s="152">
        <f>IF(B1295="","",IF('02_대상물건입력'!B6="",1,IF(ISNUMBER(SEARCH('02_대상물건입력'!B6,B1295)),1,0)))</f>
        <v/>
      </c>
      <c r="P1295" s="152">
        <f>IF(L1295="","",IF('02_대상물건입력'!B15="",0,IF(ISNUMBER(SEARCH('02_대상물건입력'!B15,L1295)),1,0)))</f>
        <v/>
      </c>
      <c r="Q1295" s="152">
        <f>IF(OR(C1295="",L1295=""),0,IF(AND(TRIM(C1295)=TRIM(RIGHT(SUBSTITUTE(TRIM('02_대상물건입력'!$B$7)," ",REPT(" ",99)),99)),IF('02_대상물건입력'!B15="",TRUE(),ISNUMBER(SEARCH('02_대상물건입력'!B15,L1295)))),1,0))</f>
        <v/>
      </c>
      <c r="R1295" s="175">
        <f>IFERROR(ABS(E1295-'02_대상물건입력'!B11)/'02_대상물건입력'!B11,"")</f>
        <v/>
      </c>
      <c r="S1295" s="152">
        <f>IFERROR(ABS(J1295-'02_대상물건입력'!B10),"")</f>
        <v/>
      </c>
      <c r="T1295" s="152">
        <f>IFERROR(ABS('01_설정'!B4-F1295),"")</f>
        <v/>
      </c>
      <c r="U1295" s="152">
        <f>IFERROR(ABS(K1295-YEAR('02_대상물건입력'!B14)),"")</f>
        <v/>
      </c>
      <c r="V1295" s="152">
        <f>IF(B1295="","",IF(AND(E1295&gt;0,F1295&gt;0,H1295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1295=1,TRUE()),R1295&lt;='01_설정'!B5,S1295&lt;='01_설정'!B6,T1295&lt;='01_설정'!B7,U1295&lt;='01_설정'!B8),"Y",""))</f>
        <v/>
      </c>
      <c r="W1295" s="172">
        <f>IF(V1295&lt;&gt;"Y","",MAX(0,(1-R1295/'01_설정'!B5))*'01_설정'!B14+MAX(0,(1-S1295/'01_설정'!B6))*'01_설정'!B15+MAX(0,(1-T1295/'01_설정'!B7))*'01_설정'!B16+MAX(0,(1-U1295/'01_설정'!B8))*'01_설정'!B17+O1295*'01_설정'!B11+Q1295*'01_설정'!B12+P1295*'01_설정'!B13+IF(Z1295="",0,Z1295))</f>
        <v/>
      </c>
      <c r="X1295" s="152">
        <f>IF(W1295="","",1+COUNTIFS($W$4:$W$3003,"&gt;"&amp;W1295)+COUNTIFS($W$4:W1295,W1295)-1)</f>
        <v/>
      </c>
      <c r="Y1295" s="175">
        <f>IF(OR(I1295="",'02_대상물건입력'!B19="",'02_대상물건입력'!B19&lt;=0),"",ABS(I1295-'02_대상물건입력'!B19)/'02_대상물건입력'!B19)</f>
        <v/>
      </c>
      <c r="Z1295" s="172">
        <f>IF(OR(Y1295="",'01_설정'!B31="",'01_설정'!B31&lt;=0,'01_설정'!B32="",'01_설정'!B32&lt;=0),"",MAX(0,(1-Y1295/'01_설정'!B32))*'01_설정'!B31)</f>
        <v/>
      </c>
    </row>
    <row r="1296" ht="17.25" customHeight="1">
      <c r="A1296" s="152">
        <f>IF(INDEX('04A_국토부원자료'!$A:$A,ROW()+1)="","",ROW()-3)</f>
        <v/>
      </c>
      <c r="B1296" s="48">
        <f>IFERROR(INDEX('04A_국토부원자료'!$A:$T,ROW()+1,MATCH("시군구",'04A_국토부원자료'!$A$4:$T$4,0)),"")</f>
        <v/>
      </c>
      <c r="C1296" s="48">
        <f>IF(B1296="","",IFERROR(INDEX('04A_국토부원자료'!$A:$T,ROW()+1,MATCH("번지",'04A_국토부원자료'!$A$4:$T$4,0)),""))</f>
        <v/>
      </c>
      <c r="D1296" s="48">
        <f>IF(B1296="","",IF(Q1296=1,'02_대상물건입력'!$B$8,IFERROR(INDEX('04A_국토부원자료'!$A:$T,ROW()+1,MATCH("단지명",'04A_국토부원자료'!$A$4:$T$4,0)),"")))</f>
        <v/>
      </c>
      <c r="E1296" s="172">
        <f>IFERROR(VALUE(SUBSTITUTE(INDEX('04A_국토부원자료'!$A:$T,ROW()+1,MATCH("전용면적(㎡)",'04A_국토부원자료'!$A$4:$T$4,0)),",","")),"")</f>
        <v/>
      </c>
      <c r="F12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96" s="51">
        <f>IFERROR(VALUE(SUBSTITUTE(INDEX('04A_국토부원자료'!$A:$T,ROW()+1,MATCH("거래금액(만원)",'04A_국토부원자료'!$A$4:$T$4,0)),",","")),"")</f>
        <v/>
      </c>
      <c r="H1296" s="174">
        <f>IF(G1296="","",G1296*10000)</f>
        <v/>
      </c>
      <c r="I1296" s="174">
        <f>IFERROR(IF(AND(H1296&gt;0,E1296&gt;0),H1296/E1296,""),"")</f>
        <v/>
      </c>
      <c r="J1296" s="152">
        <f>IFERROR(VALUE(SUBSTITUTE(INDEX('04A_국토부원자료'!$A:$T,ROW()+1,MATCH("층",'04A_국토부원자료'!$A$4:$T$4,0)),",","")),"")</f>
        <v/>
      </c>
      <c r="K1296" s="152">
        <f>IFERROR(VALUE(SUBSTITUTE(INDEX('04A_국토부원자료'!$A:$T,ROW()+1,MATCH("건축년도",'04A_국토부원자료'!$A$4:$T$4,0)),",","")),"")</f>
        <v/>
      </c>
      <c r="L1296" s="176">
        <f>IFERROR(INDEX('04A_국토부원자료'!$A:$T,ROW()+1,MATCH("도로명",'04A_국토부원자료'!$A$4:$T$4,0)),"")</f>
        <v/>
      </c>
      <c r="M1296" s="48">
        <f>IFERROR(INDEX('04A_국토부원자료'!$A:$T,ROW()+1,MATCH("거래유형",'04A_국토부원자료'!$A$4:$T$4,0)),"")</f>
        <v/>
      </c>
      <c r="N1296" s="152">
        <f>IF(B1296="","",IF('02_대상물건입력'!B5="",1,IF(ISNUMBER(SEARCH('02_대상물건입력'!B5,B1296)),1,0)))</f>
        <v/>
      </c>
      <c r="O1296" s="152">
        <f>IF(B1296="","",IF('02_대상물건입력'!B6="",1,IF(ISNUMBER(SEARCH('02_대상물건입력'!B6,B1296)),1,0)))</f>
        <v/>
      </c>
      <c r="P1296" s="152">
        <f>IF(L1296="","",IF('02_대상물건입력'!B15="",0,IF(ISNUMBER(SEARCH('02_대상물건입력'!B15,L1296)),1,0)))</f>
        <v/>
      </c>
      <c r="Q1296" s="152">
        <f>IF(OR(C1296="",L1296=""),0,IF(AND(TRIM(C1296)=TRIM(RIGHT(SUBSTITUTE(TRIM('02_대상물건입력'!$B$7)," ",REPT(" ",99)),99)),IF('02_대상물건입력'!B15="",TRUE(),ISNUMBER(SEARCH('02_대상물건입력'!B15,L1296)))),1,0))</f>
        <v/>
      </c>
      <c r="R1296" s="175">
        <f>IFERROR(ABS(E1296-'02_대상물건입력'!B11)/'02_대상물건입력'!B11,"")</f>
        <v/>
      </c>
      <c r="S1296" s="152">
        <f>IFERROR(ABS(J1296-'02_대상물건입력'!B10),"")</f>
        <v/>
      </c>
      <c r="T1296" s="152">
        <f>IFERROR(ABS('01_설정'!B4-F1296),"")</f>
        <v/>
      </c>
      <c r="U1296" s="152">
        <f>IFERROR(ABS(K1296-YEAR('02_대상물건입력'!B14)),"")</f>
        <v/>
      </c>
      <c r="V1296" s="152">
        <f>IF(B1296="","",IF(AND(E1296&gt;0,F1296&gt;0,H1296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1296=1,TRUE()),R1296&lt;='01_설정'!B5,S1296&lt;='01_설정'!B6,T1296&lt;='01_설정'!B7,U1296&lt;='01_설정'!B8),"Y",""))</f>
        <v/>
      </c>
      <c r="W1296" s="172">
        <f>IF(V1296&lt;&gt;"Y","",MAX(0,(1-R1296/'01_설정'!B5))*'01_설정'!B14+MAX(0,(1-S1296/'01_설정'!B6))*'01_설정'!B15+MAX(0,(1-T1296/'01_설정'!B7))*'01_설정'!B16+MAX(0,(1-U1296/'01_설정'!B8))*'01_설정'!B17+O1296*'01_설정'!B11+Q1296*'01_설정'!B12+P1296*'01_설정'!B13+IF(Z1296="",0,Z1296))</f>
        <v/>
      </c>
      <c r="X1296" s="152">
        <f>IF(W1296="","",1+COUNTIFS($W$4:$W$3003,"&gt;"&amp;W1296)+COUNTIFS($W$4:W1296,W1296)-1)</f>
        <v/>
      </c>
      <c r="Y1296" s="175">
        <f>IF(OR(I1296="",'02_대상물건입력'!B19="",'02_대상물건입력'!B19&lt;=0),"",ABS(I1296-'02_대상물건입력'!B19)/'02_대상물건입력'!B19)</f>
        <v/>
      </c>
      <c r="Z1296" s="172">
        <f>IF(OR(Y1296="",'01_설정'!B31="",'01_설정'!B31&lt;=0,'01_설정'!B32="",'01_설정'!B32&lt;=0),"",MAX(0,(1-Y1296/'01_설정'!B32))*'01_설정'!B31)</f>
        <v/>
      </c>
    </row>
    <row r="1297" ht="17.25" customHeight="1">
      <c r="A1297" s="152">
        <f>IF(INDEX('04A_국토부원자료'!$A:$A,ROW()+1)="","",ROW()-3)</f>
        <v/>
      </c>
      <c r="B1297" s="48">
        <f>IFERROR(INDEX('04A_국토부원자료'!$A:$T,ROW()+1,MATCH("시군구",'04A_국토부원자료'!$A$4:$T$4,0)),"")</f>
        <v/>
      </c>
      <c r="C1297" s="48">
        <f>IF(B1297="","",IFERROR(INDEX('04A_국토부원자료'!$A:$T,ROW()+1,MATCH("번지",'04A_국토부원자료'!$A$4:$T$4,0)),""))</f>
        <v/>
      </c>
      <c r="D1297" s="48">
        <f>IF(B1297="","",IF(Q1297=1,'02_대상물건입력'!$B$8,IFERROR(INDEX('04A_국토부원자료'!$A:$T,ROW()+1,MATCH("단지명",'04A_국토부원자료'!$A$4:$T$4,0)),"")))</f>
        <v/>
      </c>
      <c r="E1297" s="172">
        <f>IFERROR(VALUE(SUBSTITUTE(INDEX('04A_국토부원자료'!$A:$T,ROW()+1,MATCH("전용면적(㎡)",'04A_국토부원자료'!$A$4:$T$4,0)),",","")),"")</f>
        <v/>
      </c>
      <c r="F12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97" s="51">
        <f>IFERROR(VALUE(SUBSTITUTE(INDEX('04A_국토부원자료'!$A:$T,ROW()+1,MATCH("거래금액(만원)",'04A_국토부원자료'!$A$4:$T$4,0)),",","")),"")</f>
        <v/>
      </c>
      <c r="H1297" s="174">
        <f>IF(G1297="","",G1297*10000)</f>
        <v/>
      </c>
      <c r="I1297" s="174">
        <f>IFERROR(IF(AND(H1297&gt;0,E1297&gt;0),H1297/E1297,""),"")</f>
        <v/>
      </c>
      <c r="J1297" s="152">
        <f>IFERROR(VALUE(SUBSTITUTE(INDEX('04A_국토부원자료'!$A:$T,ROW()+1,MATCH("층",'04A_국토부원자료'!$A$4:$T$4,0)),",","")),"")</f>
        <v/>
      </c>
      <c r="K1297" s="152">
        <f>IFERROR(VALUE(SUBSTITUTE(INDEX('04A_국토부원자료'!$A:$T,ROW()+1,MATCH("건축년도",'04A_국토부원자료'!$A$4:$T$4,0)),",","")),"")</f>
        <v/>
      </c>
      <c r="L1297" s="176">
        <f>IFERROR(INDEX('04A_국토부원자료'!$A:$T,ROW()+1,MATCH("도로명",'04A_국토부원자료'!$A$4:$T$4,0)),"")</f>
        <v/>
      </c>
      <c r="M1297" s="48">
        <f>IFERROR(INDEX('04A_국토부원자료'!$A:$T,ROW()+1,MATCH("거래유형",'04A_국토부원자료'!$A$4:$T$4,0)),"")</f>
        <v/>
      </c>
      <c r="N1297" s="152">
        <f>IF(B1297="","",IF('02_대상물건입력'!B5="",1,IF(ISNUMBER(SEARCH('02_대상물건입력'!B5,B1297)),1,0)))</f>
        <v/>
      </c>
      <c r="O1297" s="152">
        <f>IF(B1297="","",IF('02_대상물건입력'!B6="",1,IF(ISNUMBER(SEARCH('02_대상물건입력'!B6,B1297)),1,0)))</f>
        <v/>
      </c>
      <c r="P1297" s="152">
        <f>IF(L1297="","",IF('02_대상물건입력'!B15="",0,IF(ISNUMBER(SEARCH('02_대상물건입력'!B15,L1297)),1,0)))</f>
        <v/>
      </c>
      <c r="Q1297" s="152">
        <f>IF(OR(C1297="",L1297=""),0,IF(AND(TRIM(C1297)=TRIM(RIGHT(SUBSTITUTE(TRIM('02_대상물건입력'!$B$7)," ",REPT(" ",99)),99)),IF('02_대상물건입력'!B15="",TRUE(),ISNUMBER(SEARCH('02_대상물건입력'!B15,L1297)))),1,0))</f>
        <v/>
      </c>
      <c r="R1297" s="175">
        <f>IFERROR(ABS(E1297-'02_대상물건입력'!B11)/'02_대상물건입력'!B11,"")</f>
        <v/>
      </c>
      <c r="S1297" s="152">
        <f>IFERROR(ABS(J1297-'02_대상물건입력'!B10),"")</f>
        <v/>
      </c>
      <c r="T1297" s="152">
        <f>IFERROR(ABS('01_설정'!B4-F1297),"")</f>
        <v/>
      </c>
      <c r="U1297" s="152">
        <f>IFERROR(ABS(K1297-YEAR('02_대상물건입력'!B14)),"")</f>
        <v/>
      </c>
      <c r="V1297" s="152">
        <f>IF(B1297="","",IF(AND(E1297&gt;0,F1297&gt;0,H1297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1297=1,TRUE()),R1297&lt;='01_설정'!B5,S1297&lt;='01_설정'!B6,T1297&lt;='01_설정'!B7,U1297&lt;='01_설정'!B8),"Y",""))</f>
        <v/>
      </c>
      <c r="W1297" s="172">
        <f>IF(V1297&lt;&gt;"Y","",MAX(0,(1-R1297/'01_설정'!B5))*'01_설정'!B14+MAX(0,(1-S1297/'01_설정'!B6))*'01_설정'!B15+MAX(0,(1-T1297/'01_설정'!B7))*'01_설정'!B16+MAX(0,(1-U1297/'01_설정'!B8))*'01_설정'!B17+O1297*'01_설정'!B11+Q1297*'01_설정'!B12+P1297*'01_설정'!B13+IF(Z1297="",0,Z1297))</f>
        <v/>
      </c>
      <c r="X1297" s="152">
        <f>IF(W1297="","",1+COUNTIFS($W$4:$W$3003,"&gt;"&amp;W1297)+COUNTIFS($W$4:W1297,W1297)-1)</f>
        <v/>
      </c>
      <c r="Y1297" s="175">
        <f>IF(OR(I1297="",'02_대상물건입력'!B19="",'02_대상물건입력'!B19&lt;=0),"",ABS(I1297-'02_대상물건입력'!B19)/'02_대상물건입력'!B19)</f>
        <v/>
      </c>
      <c r="Z1297" s="172">
        <f>IF(OR(Y1297="",'01_설정'!B31="",'01_설정'!B31&lt;=0,'01_설정'!B32="",'01_설정'!B32&lt;=0),"",MAX(0,(1-Y1297/'01_설정'!B32))*'01_설정'!B31)</f>
        <v/>
      </c>
    </row>
    <row r="1298" ht="17.25" customHeight="1">
      <c r="A1298" s="152">
        <f>IF(INDEX('04A_국토부원자료'!$A:$A,ROW()+1)="","",ROW()-3)</f>
        <v/>
      </c>
      <c r="B1298" s="48">
        <f>IFERROR(INDEX('04A_국토부원자료'!$A:$T,ROW()+1,MATCH("시군구",'04A_국토부원자료'!$A$4:$T$4,0)),"")</f>
        <v/>
      </c>
      <c r="C1298" s="48">
        <f>IF(B1298="","",IFERROR(INDEX('04A_국토부원자료'!$A:$T,ROW()+1,MATCH("번지",'04A_국토부원자료'!$A$4:$T$4,0)),""))</f>
        <v/>
      </c>
      <c r="D1298" s="48">
        <f>IF(B1298="","",IF(Q1298=1,'02_대상물건입력'!$B$8,IFERROR(INDEX('04A_국토부원자료'!$A:$T,ROW()+1,MATCH("단지명",'04A_국토부원자료'!$A$4:$T$4,0)),"")))</f>
        <v/>
      </c>
      <c r="E1298" s="172">
        <f>IFERROR(VALUE(SUBSTITUTE(INDEX('04A_국토부원자료'!$A:$T,ROW()+1,MATCH("전용면적(㎡)",'04A_국토부원자료'!$A$4:$T$4,0)),",","")),"")</f>
        <v/>
      </c>
      <c r="F12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98" s="51">
        <f>IFERROR(VALUE(SUBSTITUTE(INDEX('04A_국토부원자료'!$A:$T,ROW()+1,MATCH("거래금액(만원)",'04A_국토부원자료'!$A$4:$T$4,0)),",","")),"")</f>
        <v/>
      </c>
      <c r="H1298" s="174">
        <f>IF(G1298="","",G1298*10000)</f>
        <v/>
      </c>
      <c r="I1298" s="174">
        <f>IFERROR(IF(AND(H1298&gt;0,E1298&gt;0),H1298/E1298,""),"")</f>
        <v/>
      </c>
      <c r="J1298" s="152">
        <f>IFERROR(VALUE(SUBSTITUTE(INDEX('04A_국토부원자료'!$A:$T,ROW()+1,MATCH("층",'04A_국토부원자료'!$A$4:$T$4,0)),",","")),"")</f>
        <v/>
      </c>
      <c r="K1298" s="152">
        <f>IFERROR(VALUE(SUBSTITUTE(INDEX('04A_국토부원자료'!$A:$T,ROW()+1,MATCH("건축년도",'04A_국토부원자료'!$A$4:$T$4,0)),",","")),"")</f>
        <v/>
      </c>
      <c r="L1298" s="176">
        <f>IFERROR(INDEX('04A_국토부원자료'!$A:$T,ROW()+1,MATCH("도로명",'04A_국토부원자료'!$A$4:$T$4,0)),"")</f>
        <v/>
      </c>
      <c r="M1298" s="48">
        <f>IFERROR(INDEX('04A_국토부원자료'!$A:$T,ROW()+1,MATCH("거래유형",'04A_국토부원자료'!$A$4:$T$4,0)),"")</f>
        <v/>
      </c>
      <c r="N1298" s="152">
        <f>IF(B1298="","",IF('02_대상물건입력'!B5="",1,IF(ISNUMBER(SEARCH('02_대상물건입력'!B5,B1298)),1,0)))</f>
        <v/>
      </c>
      <c r="O1298" s="152">
        <f>IF(B1298="","",IF('02_대상물건입력'!B6="",1,IF(ISNUMBER(SEARCH('02_대상물건입력'!B6,B1298)),1,0)))</f>
        <v/>
      </c>
      <c r="P1298" s="152">
        <f>IF(L1298="","",IF('02_대상물건입력'!B15="",0,IF(ISNUMBER(SEARCH('02_대상물건입력'!B15,L1298)),1,0)))</f>
        <v/>
      </c>
      <c r="Q1298" s="152">
        <f>IF(OR(C1298="",L1298=""),0,IF(AND(TRIM(C1298)=TRIM(RIGHT(SUBSTITUTE(TRIM('02_대상물건입력'!$B$7)," ",REPT(" ",99)),99)),IF('02_대상물건입력'!B15="",TRUE(),ISNUMBER(SEARCH('02_대상물건입력'!B15,L1298)))),1,0))</f>
        <v/>
      </c>
      <c r="R1298" s="175">
        <f>IFERROR(ABS(E1298-'02_대상물건입력'!B11)/'02_대상물건입력'!B11,"")</f>
        <v/>
      </c>
      <c r="S1298" s="152">
        <f>IFERROR(ABS(J1298-'02_대상물건입력'!B10),"")</f>
        <v/>
      </c>
      <c r="T1298" s="152">
        <f>IFERROR(ABS('01_설정'!B4-F1298),"")</f>
        <v/>
      </c>
      <c r="U1298" s="152">
        <f>IFERROR(ABS(K1298-YEAR('02_대상물건입력'!B14)),"")</f>
        <v/>
      </c>
      <c r="V1298" s="152">
        <f>IF(B1298="","",IF(AND(E1298&gt;0,F1298&gt;0,H1298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1298=1,TRUE()),R1298&lt;='01_설정'!B5,S1298&lt;='01_설정'!B6,T1298&lt;='01_설정'!B7,U1298&lt;='01_설정'!B8),"Y",""))</f>
        <v/>
      </c>
      <c r="W1298" s="172">
        <f>IF(V1298&lt;&gt;"Y","",MAX(0,(1-R1298/'01_설정'!B5))*'01_설정'!B14+MAX(0,(1-S1298/'01_설정'!B6))*'01_설정'!B15+MAX(0,(1-T1298/'01_설정'!B7))*'01_설정'!B16+MAX(0,(1-U1298/'01_설정'!B8))*'01_설정'!B17+O1298*'01_설정'!B11+Q1298*'01_설정'!B12+P1298*'01_설정'!B13+IF(Z1298="",0,Z1298))</f>
        <v/>
      </c>
      <c r="X1298" s="152">
        <f>IF(W1298="","",1+COUNTIFS($W$4:$W$3003,"&gt;"&amp;W1298)+COUNTIFS($W$4:W1298,W1298)-1)</f>
        <v/>
      </c>
      <c r="Y1298" s="175">
        <f>IF(OR(I1298="",'02_대상물건입력'!B19="",'02_대상물건입력'!B19&lt;=0),"",ABS(I1298-'02_대상물건입력'!B19)/'02_대상물건입력'!B19)</f>
        <v/>
      </c>
      <c r="Z1298" s="172">
        <f>IF(OR(Y1298="",'01_설정'!B31="",'01_설정'!B31&lt;=0,'01_설정'!B32="",'01_설정'!B32&lt;=0),"",MAX(0,(1-Y1298/'01_설정'!B32))*'01_설정'!B31)</f>
        <v/>
      </c>
    </row>
    <row r="1299" ht="17.25" customHeight="1">
      <c r="A1299" s="152">
        <f>IF(INDEX('04A_국토부원자료'!$A:$A,ROW()+1)="","",ROW()-3)</f>
        <v/>
      </c>
      <c r="B1299" s="48">
        <f>IFERROR(INDEX('04A_국토부원자료'!$A:$T,ROW()+1,MATCH("시군구",'04A_국토부원자료'!$A$4:$T$4,0)),"")</f>
        <v/>
      </c>
      <c r="C1299" s="48">
        <f>IF(B1299="","",IFERROR(INDEX('04A_국토부원자료'!$A:$T,ROW()+1,MATCH("번지",'04A_국토부원자료'!$A$4:$T$4,0)),""))</f>
        <v/>
      </c>
      <c r="D1299" s="48">
        <f>IF(B1299="","",IF(Q1299=1,'02_대상물건입력'!$B$8,IFERROR(INDEX('04A_국토부원자료'!$A:$T,ROW()+1,MATCH("단지명",'04A_국토부원자료'!$A$4:$T$4,0)),"")))</f>
        <v/>
      </c>
      <c r="E1299" s="172">
        <f>IFERROR(VALUE(SUBSTITUTE(INDEX('04A_국토부원자료'!$A:$T,ROW()+1,MATCH("전용면적(㎡)",'04A_국토부원자료'!$A$4:$T$4,0)),",","")),"")</f>
        <v/>
      </c>
      <c r="F12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299" s="51">
        <f>IFERROR(VALUE(SUBSTITUTE(INDEX('04A_국토부원자료'!$A:$T,ROW()+1,MATCH("거래금액(만원)",'04A_국토부원자료'!$A$4:$T$4,0)),",","")),"")</f>
        <v/>
      </c>
      <c r="H1299" s="174">
        <f>IF(G1299="","",G1299*10000)</f>
        <v/>
      </c>
      <c r="I1299" s="174">
        <f>IFERROR(IF(AND(H1299&gt;0,E1299&gt;0),H1299/E1299,""),"")</f>
        <v/>
      </c>
      <c r="J1299" s="152">
        <f>IFERROR(VALUE(SUBSTITUTE(INDEX('04A_국토부원자료'!$A:$T,ROW()+1,MATCH("층",'04A_국토부원자료'!$A$4:$T$4,0)),",","")),"")</f>
        <v/>
      </c>
      <c r="K1299" s="152">
        <f>IFERROR(VALUE(SUBSTITUTE(INDEX('04A_국토부원자료'!$A:$T,ROW()+1,MATCH("건축년도",'04A_국토부원자료'!$A$4:$T$4,0)),",","")),"")</f>
        <v/>
      </c>
      <c r="L1299" s="176">
        <f>IFERROR(INDEX('04A_국토부원자료'!$A:$T,ROW()+1,MATCH("도로명",'04A_국토부원자료'!$A$4:$T$4,0)),"")</f>
        <v/>
      </c>
      <c r="M1299" s="48">
        <f>IFERROR(INDEX('04A_국토부원자료'!$A:$T,ROW()+1,MATCH("거래유형",'04A_국토부원자료'!$A$4:$T$4,0)),"")</f>
        <v/>
      </c>
      <c r="N1299" s="152">
        <f>IF(B1299="","",IF('02_대상물건입력'!B5="",1,IF(ISNUMBER(SEARCH('02_대상물건입력'!B5,B1299)),1,0)))</f>
        <v/>
      </c>
      <c r="O1299" s="152">
        <f>IF(B1299="","",IF('02_대상물건입력'!B6="",1,IF(ISNUMBER(SEARCH('02_대상물건입력'!B6,B1299)),1,0)))</f>
        <v/>
      </c>
      <c r="P1299" s="152">
        <f>IF(L1299="","",IF('02_대상물건입력'!B15="",0,IF(ISNUMBER(SEARCH('02_대상물건입력'!B15,L1299)),1,0)))</f>
        <v/>
      </c>
      <c r="Q1299" s="152">
        <f>IF(OR(C1299="",L1299=""),0,IF(AND(TRIM(C1299)=TRIM(RIGHT(SUBSTITUTE(TRIM('02_대상물건입력'!$B$7)," ",REPT(" ",99)),99)),IF('02_대상물건입력'!B15="",TRUE(),ISNUMBER(SEARCH('02_대상물건입력'!B15,L1299)))),1,0))</f>
        <v/>
      </c>
      <c r="R1299" s="175">
        <f>IFERROR(ABS(E1299-'02_대상물건입력'!B11)/'02_대상물건입력'!B11,"")</f>
        <v/>
      </c>
      <c r="S1299" s="152">
        <f>IFERROR(ABS(J1299-'02_대상물건입력'!B10),"")</f>
        <v/>
      </c>
      <c r="T1299" s="152">
        <f>IFERROR(ABS('01_설정'!B4-F1299),"")</f>
        <v/>
      </c>
      <c r="U1299" s="152">
        <f>IFERROR(ABS(K1299-YEAR('02_대상물건입력'!B14)),"")</f>
        <v/>
      </c>
      <c r="V1299" s="152">
        <f>IF(B1299="","",IF(AND(E1299&gt;0,F1299&gt;0,H1299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1299=1,TRUE()),R1299&lt;='01_설정'!B5,S1299&lt;='01_설정'!B6,T1299&lt;='01_설정'!B7,U1299&lt;='01_설정'!B8),"Y",""))</f>
        <v/>
      </c>
      <c r="W1299" s="172">
        <f>IF(V1299&lt;&gt;"Y","",MAX(0,(1-R1299/'01_설정'!B5))*'01_설정'!B14+MAX(0,(1-S1299/'01_설정'!B6))*'01_설정'!B15+MAX(0,(1-T1299/'01_설정'!B7))*'01_설정'!B16+MAX(0,(1-U1299/'01_설정'!B8))*'01_설정'!B17+O1299*'01_설정'!B11+Q1299*'01_설정'!B12+P1299*'01_설정'!B13+IF(Z1299="",0,Z1299))</f>
        <v/>
      </c>
      <c r="X1299" s="152">
        <f>IF(W1299="","",1+COUNTIFS($W$4:$W$3003,"&gt;"&amp;W1299)+COUNTIFS($W$4:W1299,W1299)-1)</f>
        <v/>
      </c>
      <c r="Y1299" s="175">
        <f>IF(OR(I1299="",'02_대상물건입력'!B19="",'02_대상물건입력'!B19&lt;=0),"",ABS(I1299-'02_대상물건입력'!B19)/'02_대상물건입력'!B19)</f>
        <v/>
      </c>
      <c r="Z1299" s="172">
        <f>IF(OR(Y1299="",'01_설정'!B31="",'01_설정'!B31&lt;=0,'01_설정'!B32="",'01_설정'!B32&lt;=0),"",MAX(0,(1-Y1299/'01_설정'!B32))*'01_설정'!B31)</f>
        <v/>
      </c>
    </row>
    <row r="1300" ht="17.25" customHeight="1">
      <c r="A1300" s="152">
        <f>IF(INDEX('04A_국토부원자료'!$A:$A,ROW()+1)="","",ROW()-3)</f>
        <v/>
      </c>
      <c r="B1300" s="48">
        <f>IFERROR(INDEX('04A_국토부원자료'!$A:$T,ROW()+1,MATCH("시군구",'04A_국토부원자료'!$A$4:$T$4,0)),"")</f>
        <v/>
      </c>
      <c r="C1300" s="48">
        <f>IF(B1300="","",IFERROR(INDEX('04A_국토부원자료'!$A:$T,ROW()+1,MATCH("번지",'04A_국토부원자료'!$A$4:$T$4,0)),""))</f>
        <v/>
      </c>
      <c r="D1300" s="48">
        <f>IF(B1300="","",IF(Q1300=1,'02_대상물건입력'!$B$8,IFERROR(INDEX('04A_국토부원자료'!$A:$T,ROW()+1,MATCH("단지명",'04A_국토부원자료'!$A$4:$T$4,0)),"")))</f>
        <v/>
      </c>
      <c r="E1300" s="172">
        <f>IFERROR(VALUE(SUBSTITUTE(INDEX('04A_국토부원자료'!$A:$T,ROW()+1,MATCH("전용면적(㎡)",'04A_국토부원자료'!$A$4:$T$4,0)),",","")),"")</f>
        <v/>
      </c>
      <c r="F13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00" s="51">
        <f>IFERROR(VALUE(SUBSTITUTE(INDEX('04A_국토부원자료'!$A:$T,ROW()+1,MATCH("거래금액(만원)",'04A_국토부원자료'!$A$4:$T$4,0)),",","")),"")</f>
        <v/>
      </c>
      <c r="H1300" s="174">
        <f>IF(G1300="","",G1300*10000)</f>
        <v/>
      </c>
      <c r="I1300" s="174">
        <f>IFERROR(IF(AND(H1300&gt;0,E1300&gt;0),H1300/E1300,""),"")</f>
        <v/>
      </c>
      <c r="J1300" s="152">
        <f>IFERROR(VALUE(SUBSTITUTE(INDEX('04A_국토부원자료'!$A:$T,ROW()+1,MATCH("층",'04A_국토부원자료'!$A$4:$T$4,0)),",","")),"")</f>
        <v/>
      </c>
      <c r="K1300" s="152">
        <f>IFERROR(VALUE(SUBSTITUTE(INDEX('04A_국토부원자료'!$A:$T,ROW()+1,MATCH("건축년도",'04A_국토부원자료'!$A$4:$T$4,0)),",","")),"")</f>
        <v/>
      </c>
      <c r="L1300" s="176">
        <f>IFERROR(INDEX('04A_국토부원자료'!$A:$T,ROW()+1,MATCH("도로명",'04A_국토부원자료'!$A$4:$T$4,0)),"")</f>
        <v/>
      </c>
      <c r="M1300" s="48">
        <f>IFERROR(INDEX('04A_국토부원자료'!$A:$T,ROW()+1,MATCH("거래유형",'04A_국토부원자료'!$A$4:$T$4,0)),"")</f>
        <v/>
      </c>
      <c r="N1300" s="152">
        <f>IF(B1300="","",IF('02_대상물건입력'!B5="",1,IF(ISNUMBER(SEARCH('02_대상물건입력'!B5,B1300)),1,0)))</f>
        <v/>
      </c>
      <c r="O1300" s="152">
        <f>IF(B1300="","",IF('02_대상물건입력'!B6="",1,IF(ISNUMBER(SEARCH('02_대상물건입력'!B6,B1300)),1,0)))</f>
        <v/>
      </c>
      <c r="P1300" s="152">
        <f>IF(L1300="","",IF('02_대상물건입력'!B15="",0,IF(ISNUMBER(SEARCH('02_대상물건입력'!B15,L1300)),1,0)))</f>
        <v/>
      </c>
      <c r="Q1300" s="152">
        <f>IF(OR(C1300="",L1300=""),0,IF(AND(TRIM(C1300)=TRIM(RIGHT(SUBSTITUTE(TRIM('02_대상물건입력'!$B$7)," ",REPT(" ",99)),99)),IF('02_대상물건입력'!B15="",TRUE(),ISNUMBER(SEARCH('02_대상물건입력'!B15,L1300)))),1,0))</f>
        <v/>
      </c>
      <c r="R1300" s="175">
        <f>IFERROR(ABS(E1300-'02_대상물건입력'!B11)/'02_대상물건입력'!B11,"")</f>
        <v/>
      </c>
      <c r="S1300" s="152">
        <f>IFERROR(ABS(J1300-'02_대상물건입력'!B10),"")</f>
        <v/>
      </c>
      <c r="T1300" s="152">
        <f>IFERROR(ABS('01_설정'!B4-F1300),"")</f>
        <v/>
      </c>
      <c r="U1300" s="152">
        <f>IFERROR(ABS(K1300-YEAR('02_대상물건입력'!B14)),"")</f>
        <v/>
      </c>
      <c r="V1300" s="152">
        <f>IF(B1300="","",IF(AND(E1300&gt;0,F1300&gt;0,H1300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1300=1,TRUE()),R1300&lt;='01_설정'!B5,S1300&lt;='01_설정'!B6,T1300&lt;='01_설정'!B7,U1300&lt;='01_설정'!B8),"Y",""))</f>
        <v/>
      </c>
      <c r="W1300" s="172">
        <f>IF(V1300&lt;&gt;"Y","",MAX(0,(1-R1300/'01_설정'!B5))*'01_설정'!B14+MAX(0,(1-S1300/'01_설정'!B6))*'01_설정'!B15+MAX(0,(1-T1300/'01_설정'!B7))*'01_설정'!B16+MAX(0,(1-U1300/'01_설정'!B8))*'01_설정'!B17+O1300*'01_설정'!B11+Q1300*'01_설정'!B12+P1300*'01_설정'!B13+IF(Z1300="",0,Z1300))</f>
        <v/>
      </c>
      <c r="X1300" s="152">
        <f>IF(W1300="","",1+COUNTIFS($W$4:$W$3003,"&gt;"&amp;W1300)+COUNTIFS($W$4:W1300,W1300)-1)</f>
        <v/>
      </c>
      <c r="Y1300" s="175">
        <f>IF(OR(I1300="",'02_대상물건입력'!B19="",'02_대상물건입력'!B19&lt;=0),"",ABS(I1300-'02_대상물건입력'!B19)/'02_대상물건입력'!B19)</f>
        <v/>
      </c>
      <c r="Z1300" s="172">
        <f>IF(OR(Y1300="",'01_설정'!B31="",'01_설정'!B31&lt;=0,'01_설정'!B32="",'01_설정'!B32&lt;=0),"",MAX(0,(1-Y1300/'01_설정'!B32))*'01_설정'!B31)</f>
        <v/>
      </c>
    </row>
    <row r="1301" ht="17.25" customHeight="1">
      <c r="A1301" s="152">
        <f>IF(INDEX('04A_국토부원자료'!$A:$A,ROW()+1)="","",ROW()-3)</f>
        <v/>
      </c>
      <c r="B1301" s="48">
        <f>IFERROR(INDEX('04A_국토부원자료'!$A:$T,ROW()+1,MATCH("시군구",'04A_국토부원자료'!$A$4:$T$4,0)),"")</f>
        <v/>
      </c>
      <c r="C1301" s="48">
        <f>IF(B1301="","",IFERROR(INDEX('04A_국토부원자료'!$A:$T,ROW()+1,MATCH("번지",'04A_국토부원자료'!$A$4:$T$4,0)),""))</f>
        <v/>
      </c>
      <c r="D1301" s="48">
        <f>IF(B1301="","",IF(Q1301=1,'02_대상물건입력'!$B$8,IFERROR(INDEX('04A_국토부원자료'!$A:$T,ROW()+1,MATCH("단지명",'04A_국토부원자료'!$A$4:$T$4,0)),"")))</f>
        <v/>
      </c>
      <c r="E1301" s="172">
        <f>IFERROR(VALUE(SUBSTITUTE(INDEX('04A_국토부원자료'!$A:$T,ROW()+1,MATCH("전용면적(㎡)",'04A_국토부원자료'!$A$4:$T$4,0)),",","")),"")</f>
        <v/>
      </c>
      <c r="F13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01" s="51">
        <f>IFERROR(VALUE(SUBSTITUTE(INDEX('04A_국토부원자료'!$A:$T,ROW()+1,MATCH("거래금액(만원)",'04A_국토부원자료'!$A$4:$T$4,0)),",","")),"")</f>
        <v/>
      </c>
      <c r="H1301" s="174">
        <f>IF(G1301="","",G1301*10000)</f>
        <v/>
      </c>
      <c r="I1301" s="174">
        <f>IFERROR(IF(AND(H1301&gt;0,E1301&gt;0),H1301/E1301,""),"")</f>
        <v/>
      </c>
      <c r="J1301" s="152">
        <f>IFERROR(VALUE(SUBSTITUTE(INDEX('04A_국토부원자료'!$A:$T,ROW()+1,MATCH("층",'04A_국토부원자료'!$A$4:$T$4,0)),",","")),"")</f>
        <v/>
      </c>
      <c r="K1301" s="152">
        <f>IFERROR(VALUE(SUBSTITUTE(INDEX('04A_국토부원자료'!$A:$T,ROW()+1,MATCH("건축년도",'04A_국토부원자료'!$A$4:$T$4,0)),",","")),"")</f>
        <v/>
      </c>
      <c r="L1301" s="176">
        <f>IFERROR(INDEX('04A_국토부원자료'!$A:$T,ROW()+1,MATCH("도로명",'04A_국토부원자료'!$A$4:$T$4,0)),"")</f>
        <v/>
      </c>
      <c r="M1301" s="48">
        <f>IFERROR(INDEX('04A_국토부원자료'!$A:$T,ROW()+1,MATCH("거래유형",'04A_국토부원자료'!$A$4:$T$4,0)),"")</f>
        <v/>
      </c>
      <c r="N1301" s="152">
        <f>IF(B1301="","",IF('02_대상물건입력'!B5="",1,IF(ISNUMBER(SEARCH('02_대상물건입력'!B5,B1301)),1,0)))</f>
        <v/>
      </c>
      <c r="O1301" s="152">
        <f>IF(B1301="","",IF('02_대상물건입력'!B6="",1,IF(ISNUMBER(SEARCH('02_대상물건입력'!B6,B1301)),1,0)))</f>
        <v/>
      </c>
      <c r="P1301" s="152">
        <f>IF(L1301="","",IF('02_대상물건입력'!B15="",0,IF(ISNUMBER(SEARCH('02_대상물건입력'!B15,L1301)),1,0)))</f>
        <v/>
      </c>
      <c r="Q1301" s="152">
        <f>IF(OR(C1301="",L1301=""),0,IF(AND(TRIM(C1301)=TRIM(RIGHT(SUBSTITUTE(TRIM('02_대상물건입력'!$B$7)," ",REPT(" ",99)),99)),IF('02_대상물건입력'!B15="",TRUE(),ISNUMBER(SEARCH('02_대상물건입력'!B15,L1301)))),1,0))</f>
        <v/>
      </c>
      <c r="R1301" s="175">
        <f>IFERROR(ABS(E1301-'02_대상물건입력'!B11)/'02_대상물건입력'!B11,"")</f>
        <v/>
      </c>
      <c r="S1301" s="152">
        <f>IFERROR(ABS(J1301-'02_대상물건입력'!B10),"")</f>
        <v/>
      </c>
      <c r="T1301" s="152">
        <f>IFERROR(ABS('01_설정'!B4-F1301),"")</f>
        <v/>
      </c>
      <c r="U1301" s="152">
        <f>IFERROR(ABS(K1301-YEAR('02_대상물건입력'!B14)),"")</f>
        <v/>
      </c>
      <c r="V1301" s="152">
        <f>IF(B1301="","",IF(AND(E1301&gt;0,F1301&gt;0,H1301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1301=1,TRUE()),R1301&lt;='01_설정'!B5,S1301&lt;='01_설정'!B6,T1301&lt;='01_설정'!B7,U1301&lt;='01_설정'!B8),"Y",""))</f>
        <v/>
      </c>
      <c r="W1301" s="172">
        <f>IF(V1301&lt;&gt;"Y","",MAX(0,(1-R1301/'01_설정'!B5))*'01_설정'!B14+MAX(0,(1-S1301/'01_설정'!B6))*'01_설정'!B15+MAX(0,(1-T1301/'01_설정'!B7))*'01_설정'!B16+MAX(0,(1-U1301/'01_설정'!B8))*'01_설정'!B17+O1301*'01_설정'!B11+Q1301*'01_설정'!B12+P1301*'01_설정'!B13+IF(Z1301="",0,Z1301))</f>
        <v/>
      </c>
      <c r="X1301" s="152">
        <f>IF(W1301="","",1+COUNTIFS($W$4:$W$3003,"&gt;"&amp;W1301)+COUNTIFS($W$4:W1301,W1301)-1)</f>
        <v/>
      </c>
      <c r="Y1301" s="175">
        <f>IF(OR(I1301="",'02_대상물건입력'!B19="",'02_대상물건입력'!B19&lt;=0),"",ABS(I1301-'02_대상물건입력'!B19)/'02_대상물건입력'!B19)</f>
        <v/>
      </c>
      <c r="Z1301" s="172">
        <f>IF(OR(Y1301="",'01_설정'!B31="",'01_설정'!B31&lt;=0,'01_설정'!B32="",'01_설정'!B32&lt;=0),"",MAX(0,(1-Y1301/'01_설정'!B32))*'01_설정'!B31)</f>
        <v/>
      </c>
    </row>
    <row r="1302" ht="17.25" customHeight="1">
      <c r="A1302" s="152">
        <f>IF(INDEX('04A_국토부원자료'!$A:$A,ROW()+1)="","",ROW()-3)</f>
        <v/>
      </c>
      <c r="B1302" s="48">
        <f>IFERROR(INDEX('04A_국토부원자료'!$A:$T,ROW()+1,MATCH("시군구",'04A_국토부원자료'!$A$4:$T$4,0)),"")</f>
        <v/>
      </c>
      <c r="C1302" s="48">
        <f>IF(B1302="","",IFERROR(INDEX('04A_국토부원자료'!$A:$T,ROW()+1,MATCH("번지",'04A_국토부원자료'!$A$4:$T$4,0)),""))</f>
        <v/>
      </c>
      <c r="D1302" s="48">
        <f>IF(B1302="","",IF(Q1302=1,'02_대상물건입력'!$B$8,IFERROR(INDEX('04A_국토부원자료'!$A:$T,ROW()+1,MATCH("단지명",'04A_국토부원자료'!$A$4:$T$4,0)),"")))</f>
        <v/>
      </c>
      <c r="E1302" s="172">
        <f>IFERROR(VALUE(SUBSTITUTE(INDEX('04A_국토부원자료'!$A:$T,ROW()+1,MATCH("전용면적(㎡)",'04A_국토부원자료'!$A$4:$T$4,0)),",","")),"")</f>
        <v/>
      </c>
      <c r="F13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02" s="51">
        <f>IFERROR(VALUE(SUBSTITUTE(INDEX('04A_국토부원자료'!$A:$T,ROW()+1,MATCH("거래금액(만원)",'04A_국토부원자료'!$A$4:$T$4,0)),",","")),"")</f>
        <v/>
      </c>
      <c r="H1302" s="174">
        <f>IF(G1302="","",G1302*10000)</f>
        <v/>
      </c>
      <c r="I1302" s="174">
        <f>IFERROR(IF(AND(H1302&gt;0,E1302&gt;0),H1302/E1302,""),"")</f>
        <v/>
      </c>
      <c r="J1302" s="152">
        <f>IFERROR(VALUE(SUBSTITUTE(INDEX('04A_국토부원자료'!$A:$T,ROW()+1,MATCH("층",'04A_국토부원자료'!$A$4:$T$4,0)),",","")),"")</f>
        <v/>
      </c>
      <c r="K1302" s="152">
        <f>IFERROR(VALUE(SUBSTITUTE(INDEX('04A_국토부원자료'!$A:$T,ROW()+1,MATCH("건축년도",'04A_국토부원자료'!$A$4:$T$4,0)),",","")),"")</f>
        <v/>
      </c>
      <c r="L1302" s="176">
        <f>IFERROR(INDEX('04A_국토부원자료'!$A:$T,ROW()+1,MATCH("도로명",'04A_국토부원자료'!$A$4:$T$4,0)),"")</f>
        <v/>
      </c>
      <c r="M1302" s="48">
        <f>IFERROR(INDEX('04A_국토부원자료'!$A:$T,ROW()+1,MATCH("거래유형",'04A_국토부원자료'!$A$4:$T$4,0)),"")</f>
        <v/>
      </c>
      <c r="N1302" s="152">
        <f>IF(B1302="","",IF('02_대상물건입력'!B5="",1,IF(ISNUMBER(SEARCH('02_대상물건입력'!B5,B1302)),1,0)))</f>
        <v/>
      </c>
      <c r="O1302" s="152">
        <f>IF(B1302="","",IF('02_대상물건입력'!B6="",1,IF(ISNUMBER(SEARCH('02_대상물건입력'!B6,B1302)),1,0)))</f>
        <v/>
      </c>
      <c r="P1302" s="152">
        <f>IF(L1302="","",IF('02_대상물건입력'!B15="",0,IF(ISNUMBER(SEARCH('02_대상물건입력'!B15,L1302)),1,0)))</f>
        <v/>
      </c>
      <c r="Q1302" s="152">
        <f>IF(OR(C1302="",L1302=""),0,IF(AND(TRIM(C1302)=TRIM(RIGHT(SUBSTITUTE(TRIM('02_대상물건입력'!$B$7)," ",REPT(" ",99)),99)),IF('02_대상물건입력'!B15="",TRUE(),ISNUMBER(SEARCH('02_대상물건입력'!B15,L1302)))),1,0))</f>
        <v/>
      </c>
      <c r="R1302" s="175">
        <f>IFERROR(ABS(E1302-'02_대상물건입력'!B11)/'02_대상물건입력'!B11,"")</f>
        <v/>
      </c>
      <c r="S1302" s="152">
        <f>IFERROR(ABS(J1302-'02_대상물건입력'!B10),"")</f>
        <v/>
      </c>
      <c r="T1302" s="152">
        <f>IFERROR(ABS('01_설정'!B4-F1302),"")</f>
        <v/>
      </c>
      <c r="U1302" s="152">
        <f>IFERROR(ABS(K1302-YEAR('02_대상물건입력'!B14)),"")</f>
        <v/>
      </c>
      <c r="V1302" s="152">
        <f>IF(B1302="","",IF(AND(E1302&gt;0,F1302&gt;0,H1302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1302=1,TRUE()),R1302&lt;='01_설정'!B5,S1302&lt;='01_설정'!B6,T1302&lt;='01_설정'!B7,U1302&lt;='01_설정'!B8),"Y",""))</f>
        <v/>
      </c>
      <c r="W1302" s="172">
        <f>IF(V1302&lt;&gt;"Y","",MAX(0,(1-R1302/'01_설정'!B5))*'01_설정'!B14+MAX(0,(1-S1302/'01_설정'!B6))*'01_설정'!B15+MAX(0,(1-T1302/'01_설정'!B7))*'01_설정'!B16+MAX(0,(1-U1302/'01_설정'!B8))*'01_설정'!B17+O1302*'01_설정'!B11+Q1302*'01_설정'!B12+P1302*'01_설정'!B13+IF(Z1302="",0,Z1302))</f>
        <v/>
      </c>
      <c r="X1302" s="152">
        <f>IF(W1302="","",1+COUNTIFS($W$4:$W$3003,"&gt;"&amp;W1302)+COUNTIFS($W$4:W1302,W1302)-1)</f>
        <v/>
      </c>
      <c r="Y1302" s="175">
        <f>IF(OR(I1302="",'02_대상물건입력'!B19="",'02_대상물건입력'!B19&lt;=0),"",ABS(I1302-'02_대상물건입력'!B19)/'02_대상물건입력'!B19)</f>
        <v/>
      </c>
      <c r="Z1302" s="172">
        <f>IF(OR(Y1302="",'01_설정'!B31="",'01_설정'!B31&lt;=0,'01_설정'!B32="",'01_설정'!B32&lt;=0),"",MAX(0,(1-Y1302/'01_설정'!B32))*'01_설정'!B31)</f>
        <v/>
      </c>
    </row>
    <row r="1303" ht="17.25" customHeight="1">
      <c r="A1303" s="152">
        <f>IF(INDEX('04A_국토부원자료'!$A:$A,ROW()+1)="","",ROW()-3)</f>
        <v/>
      </c>
      <c r="B1303" s="48">
        <f>IFERROR(INDEX('04A_국토부원자료'!$A:$T,ROW()+1,MATCH("시군구",'04A_국토부원자료'!$A$4:$T$4,0)),"")</f>
        <v/>
      </c>
      <c r="C1303" s="48">
        <f>IF(B1303="","",IFERROR(INDEX('04A_국토부원자료'!$A:$T,ROW()+1,MATCH("번지",'04A_국토부원자료'!$A$4:$T$4,0)),""))</f>
        <v/>
      </c>
      <c r="D1303" s="48">
        <f>IF(B1303="","",IF(Q1303=1,'02_대상물건입력'!$B$8,IFERROR(INDEX('04A_국토부원자료'!$A:$T,ROW()+1,MATCH("단지명",'04A_국토부원자료'!$A$4:$T$4,0)),"")))</f>
        <v/>
      </c>
      <c r="E1303" s="172">
        <f>IFERROR(VALUE(SUBSTITUTE(INDEX('04A_국토부원자료'!$A:$T,ROW()+1,MATCH("전용면적(㎡)",'04A_국토부원자료'!$A$4:$T$4,0)),",","")),"")</f>
        <v/>
      </c>
      <c r="F13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03" s="51">
        <f>IFERROR(VALUE(SUBSTITUTE(INDEX('04A_국토부원자료'!$A:$T,ROW()+1,MATCH("거래금액(만원)",'04A_국토부원자료'!$A$4:$T$4,0)),",","")),"")</f>
        <v/>
      </c>
      <c r="H1303" s="174">
        <f>IF(G1303="","",G1303*10000)</f>
        <v/>
      </c>
      <c r="I1303" s="174">
        <f>IFERROR(IF(AND(H1303&gt;0,E1303&gt;0),H1303/E1303,""),"")</f>
        <v/>
      </c>
      <c r="J1303" s="152">
        <f>IFERROR(VALUE(SUBSTITUTE(INDEX('04A_국토부원자료'!$A:$T,ROW()+1,MATCH("층",'04A_국토부원자료'!$A$4:$T$4,0)),",","")),"")</f>
        <v/>
      </c>
      <c r="K1303" s="152">
        <f>IFERROR(VALUE(SUBSTITUTE(INDEX('04A_국토부원자료'!$A:$T,ROW()+1,MATCH("건축년도",'04A_국토부원자료'!$A$4:$T$4,0)),",","")),"")</f>
        <v/>
      </c>
      <c r="L1303" s="176">
        <f>IFERROR(INDEX('04A_국토부원자료'!$A:$T,ROW()+1,MATCH("도로명",'04A_국토부원자료'!$A$4:$T$4,0)),"")</f>
        <v/>
      </c>
      <c r="M1303" s="48">
        <f>IFERROR(INDEX('04A_국토부원자료'!$A:$T,ROW()+1,MATCH("거래유형",'04A_국토부원자료'!$A$4:$T$4,0)),"")</f>
        <v/>
      </c>
      <c r="N1303" s="152">
        <f>IF(B1303="","",IF('02_대상물건입력'!B5="",1,IF(ISNUMBER(SEARCH('02_대상물건입력'!B5,B1303)),1,0)))</f>
        <v/>
      </c>
      <c r="O1303" s="152">
        <f>IF(B1303="","",IF('02_대상물건입력'!B6="",1,IF(ISNUMBER(SEARCH('02_대상물건입력'!B6,B1303)),1,0)))</f>
        <v/>
      </c>
      <c r="P1303" s="152">
        <f>IF(L1303="","",IF('02_대상물건입력'!B15="",0,IF(ISNUMBER(SEARCH('02_대상물건입력'!B15,L1303)),1,0)))</f>
        <v/>
      </c>
      <c r="Q1303" s="152">
        <f>IF(OR(C1303="",L1303=""),0,IF(AND(TRIM(C1303)=TRIM(RIGHT(SUBSTITUTE(TRIM('02_대상물건입력'!$B$7)," ",REPT(" ",99)),99)),IF('02_대상물건입력'!B15="",TRUE(),ISNUMBER(SEARCH('02_대상물건입력'!B15,L1303)))),1,0))</f>
        <v/>
      </c>
      <c r="R1303" s="175">
        <f>IFERROR(ABS(E1303-'02_대상물건입력'!B11)/'02_대상물건입력'!B11,"")</f>
        <v/>
      </c>
      <c r="S1303" s="152">
        <f>IFERROR(ABS(J1303-'02_대상물건입력'!B10),"")</f>
        <v/>
      </c>
      <c r="T1303" s="152">
        <f>IFERROR(ABS('01_설정'!B4-F1303),"")</f>
        <v/>
      </c>
      <c r="U1303" s="152">
        <f>IFERROR(ABS(K1303-YEAR('02_대상물건입력'!B14)),"")</f>
        <v/>
      </c>
      <c r="V1303" s="152">
        <f>IF(B1303="","",IF(AND(E1303&gt;0,F1303&gt;0,H1303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1303=1,TRUE()),R1303&lt;='01_설정'!B5,S1303&lt;='01_설정'!B6,T1303&lt;='01_설정'!B7,U1303&lt;='01_설정'!B8),"Y",""))</f>
        <v/>
      </c>
      <c r="W1303" s="172">
        <f>IF(V1303&lt;&gt;"Y","",MAX(0,(1-R1303/'01_설정'!B5))*'01_설정'!B14+MAX(0,(1-S1303/'01_설정'!B6))*'01_설정'!B15+MAX(0,(1-T1303/'01_설정'!B7))*'01_설정'!B16+MAX(0,(1-U1303/'01_설정'!B8))*'01_설정'!B17+O1303*'01_설정'!B11+Q1303*'01_설정'!B12+P1303*'01_설정'!B13+IF(Z1303="",0,Z1303))</f>
        <v/>
      </c>
      <c r="X1303" s="152">
        <f>IF(W1303="","",1+COUNTIFS($W$4:$W$3003,"&gt;"&amp;W1303)+COUNTIFS($W$4:W1303,W1303)-1)</f>
        <v/>
      </c>
      <c r="Y1303" s="175">
        <f>IF(OR(I1303="",'02_대상물건입력'!B19="",'02_대상물건입력'!B19&lt;=0),"",ABS(I1303-'02_대상물건입력'!B19)/'02_대상물건입력'!B19)</f>
        <v/>
      </c>
      <c r="Z1303" s="172">
        <f>IF(OR(Y1303="",'01_설정'!B31="",'01_설정'!B31&lt;=0,'01_설정'!B32="",'01_설정'!B32&lt;=0),"",MAX(0,(1-Y1303/'01_설정'!B32))*'01_설정'!B31)</f>
        <v/>
      </c>
    </row>
    <row r="1304" ht="17.25" customHeight="1">
      <c r="A1304" s="152">
        <f>IF(INDEX('04A_국토부원자료'!$A:$A,ROW()+1)="","",ROW()-3)</f>
        <v/>
      </c>
      <c r="B1304" s="48">
        <f>IFERROR(INDEX('04A_국토부원자료'!$A:$T,ROW()+1,MATCH("시군구",'04A_국토부원자료'!$A$4:$T$4,0)),"")</f>
        <v/>
      </c>
      <c r="C1304" s="48">
        <f>IF(B1304="","",IFERROR(INDEX('04A_국토부원자료'!$A:$T,ROW()+1,MATCH("번지",'04A_국토부원자료'!$A$4:$T$4,0)),""))</f>
        <v/>
      </c>
      <c r="D1304" s="48">
        <f>IF(B1304="","",IF(Q1304=1,'02_대상물건입력'!$B$8,IFERROR(INDEX('04A_국토부원자료'!$A:$T,ROW()+1,MATCH("단지명",'04A_국토부원자료'!$A$4:$T$4,0)),"")))</f>
        <v/>
      </c>
      <c r="E1304" s="172">
        <f>IFERROR(VALUE(SUBSTITUTE(INDEX('04A_국토부원자료'!$A:$T,ROW()+1,MATCH("전용면적(㎡)",'04A_국토부원자료'!$A$4:$T$4,0)),",","")),"")</f>
        <v/>
      </c>
      <c r="F13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04" s="51">
        <f>IFERROR(VALUE(SUBSTITUTE(INDEX('04A_국토부원자료'!$A:$T,ROW()+1,MATCH("거래금액(만원)",'04A_국토부원자료'!$A$4:$T$4,0)),",","")),"")</f>
        <v/>
      </c>
      <c r="H1304" s="174">
        <f>IF(G1304="","",G1304*10000)</f>
        <v/>
      </c>
      <c r="I1304" s="174">
        <f>IFERROR(IF(AND(H1304&gt;0,E1304&gt;0),H1304/E1304,""),"")</f>
        <v/>
      </c>
      <c r="J1304" s="152">
        <f>IFERROR(VALUE(SUBSTITUTE(INDEX('04A_국토부원자료'!$A:$T,ROW()+1,MATCH("층",'04A_국토부원자료'!$A$4:$T$4,0)),",","")),"")</f>
        <v/>
      </c>
      <c r="K1304" s="152">
        <f>IFERROR(VALUE(SUBSTITUTE(INDEX('04A_국토부원자료'!$A:$T,ROW()+1,MATCH("건축년도",'04A_국토부원자료'!$A$4:$T$4,0)),",","")),"")</f>
        <v/>
      </c>
      <c r="L1304" s="176">
        <f>IFERROR(INDEX('04A_국토부원자료'!$A:$T,ROW()+1,MATCH("도로명",'04A_국토부원자료'!$A$4:$T$4,0)),"")</f>
        <v/>
      </c>
      <c r="M1304" s="48">
        <f>IFERROR(INDEX('04A_국토부원자료'!$A:$T,ROW()+1,MATCH("거래유형",'04A_국토부원자료'!$A$4:$T$4,0)),"")</f>
        <v/>
      </c>
      <c r="N1304" s="152">
        <f>IF(B1304="","",IF('02_대상물건입력'!B5="",1,IF(ISNUMBER(SEARCH('02_대상물건입력'!B5,B1304)),1,0)))</f>
        <v/>
      </c>
      <c r="O1304" s="152">
        <f>IF(B1304="","",IF('02_대상물건입력'!B6="",1,IF(ISNUMBER(SEARCH('02_대상물건입력'!B6,B1304)),1,0)))</f>
        <v/>
      </c>
      <c r="P1304" s="152">
        <f>IF(L1304="","",IF('02_대상물건입력'!B15="",0,IF(ISNUMBER(SEARCH('02_대상물건입력'!B15,L1304)),1,0)))</f>
        <v/>
      </c>
      <c r="Q1304" s="152">
        <f>IF(OR(C1304="",L1304=""),0,IF(AND(TRIM(C1304)=TRIM(RIGHT(SUBSTITUTE(TRIM('02_대상물건입력'!$B$7)," ",REPT(" ",99)),99)),IF('02_대상물건입력'!B15="",TRUE(),ISNUMBER(SEARCH('02_대상물건입력'!B15,L1304)))),1,0))</f>
        <v/>
      </c>
      <c r="R1304" s="175">
        <f>IFERROR(ABS(E1304-'02_대상물건입력'!B11)/'02_대상물건입력'!B11,"")</f>
        <v/>
      </c>
      <c r="S1304" s="152">
        <f>IFERROR(ABS(J1304-'02_대상물건입력'!B10),"")</f>
        <v/>
      </c>
      <c r="T1304" s="152">
        <f>IFERROR(ABS('01_설정'!B4-F1304),"")</f>
        <v/>
      </c>
      <c r="U1304" s="152">
        <f>IFERROR(ABS(K1304-YEAR('02_대상물건입력'!B14)),"")</f>
        <v/>
      </c>
      <c r="V1304" s="152">
        <f>IF(B1304="","",IF(AND(E1304&gt;0,F1304&gt;0,H1304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1304=1,TRUE()),R1304&lt;='01_설정'!B5,S1304&lt;='01_설정'!B6,T1304&lt;='01_설정'!B7,U1304&lt;='01_설정'!B8),"Y",""))</f>
        <v/>
      </c>
      <c r="W1304" s="172">
        <f>IF(V1304&lt;&gt;"Y","",MAX(0,(1-R1304/'01_설정'!B5))*'01_설정'!B14+MAX(0,(1-S1304/'01_설정'!B6))*'01_설정'!B15+MAX(0,(1-T1304/'01_설정'!B7))*'01_설정'!B16+MAX(0,(1-U1304/'01_설정'!B8))*'01_설정'!B17+O1304*'01_설정'!B11+Q1304*'01_설정'!B12+P1304*'01_설정'!B13+IF(Z1304="",0,Z1304))</f>
        <v/>
      </c>
      <c r="X1304" s="152">
        <f>IF(W1304="","",1+COUNTIFS($W$4:$W$3003,"&gt;"&amp;W1304)+COUNTIFS($W$4:W1304,W1304)-1)</f>
        <v/>
      </c>
      <c r="Y1304" s="175">
        <f>IF(OR(I1304="",'02_대상물건입력'!B19="",'02_대상물건입력'!B19&lt;=0),"",ABS(I1304-'02_대상물건입력'!B19)/'02_대상물건입력'!B19)</f>
        <v/>
      </c>
      <c r="Z1304" s="172">
        <f>IF(OR(Y1304="",'01_설정'!B31="",'01_설정'!B31&lt;=0,'01_설정'!B32="",'01_설정'!B32&lt;=0),"",MAX(0,(1-Y1304/'01_설정'!B32))*'01_설정'!B31)</f>
        <v/>
      </c>
    </row>
    <row r="1305" ht="17.25" customHeight="1">
      <c r="A1305" s="152">
        <f>IF(INDEX('04A_국토부원자료'!$A:$A,ROW()+1)="","",ROW()-3)</f>
        <v/>
      </c>
      <c r="B1305" s="48">
        <f>IFERROR(INDEX('04A_국토부원자료'!$A:$T,ROW()+1,MATCH("시군구",'04A_국토부원자료'!$A$4:$T$4,0)),"")</f>
        <v/>
      </c>
      <c r="C1305" s="48">
        <f>IF(B1305="","",IFERROR(INDEX('04A_국토부원자료'!$A:$T,ROW()+1,MATCH("번지",'04A_국토부원자료'!$A$4:$T$4,0)),""))</f>
        <v/>
      </c>
      <c r="D1305" s="48">
        <f>IF(B1305="","",IF(Q1305=1,'02_대상물건입력'!$B$8,IFERROR(INDEX('04A_국토부원자료'!$A:$T,ROW()+1,MATCH("단지명",'04A_국토부원자료'!$A$4:$T$4,0)),"")))</f>
        <v/>
      </c>
      <c r="E1305" s="172">
        <f>IFERROR(VALUE(SUBSTITUTE(INDEX('04A_국토부원자료'!$A:$T,ROW()+1,MATCH("전용면적(㎡)",'04A_국토부원자료'!$A$4:$T$4,0)),",","")),"")</f>
        <v/>
      </c>
      <c r="F13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05" s="51">
        <f>IFERROR(VALUE(SUBSTITUTE(INDEX('04A_국토부원자료'!$A:$T,ROW()+1,MATCH("거래금액(만원)",'04A_국토부원자료'!$A$4:$T$4,0)),",","")),"")</f>
        <v/>
      </c>
      <c r="H1305" s="174">
        <f>IF(G1305="","",G1305*10000)</f>
        <v/>
      </c>
      <c r="I1305" s="174">
        <f>IFERROR(IF(AND(H1305&gt;0,E1305&gt;0),H1305/E1305,""),"")</f>
        <v/>
      </c>
      <c r="J1305" s="152">
        <f>IFERROR(VALUE(SUBSTITUTE(INDEX('04A_국토부원자료'!$A:$T,ROW()+1,MATCH("층",'04A_국토부원자료'!$A$4:$T$4,0)),",","")),"")</f>
        <v/>
      </c>
      <c r="K1305" s="152">
        <f>IFERROR(VALUE(SUBSTITUTE(INDEX('04A_국토부원자료'!$A:$T,ROW()+1,MATCH("건축년도",'04A_국토부원자료'!$A$4:$T$4,0)),",","")),"")</f>
        <v/>
      </c>
      <c r="L1305" s="176">
        <f>IFERROR(INDEX('04A_국토부원자료'!$A:$T,ROW()+1,MATCH("도로명",'04A_국토부원자료'!$A$4:$T$4,0)),"")</f>
        <v/>
      </c>
      <c r="M1305" s="48">
        <f>IFERROR(INDEX('04A_국토부원자료'!$A:$T,ROW()+1,MATCH("거래유형",'04A_국토부원자료'!$A$4:$T$4,0)),"")</f>
        <v/>
      </c>
      <c r="N1305" s="152">
        <f>IF(B1305="","",IF('02_대상물건입력'!B5="",1,IF(ISNUMBER(SEARCH('02_대상물건입력'!B5,B1305)),1,0)))</f>
        <v/>
      </c>
      <c r="O1305" s="152">
        <f>IF(B1305="","",IF('02_대상물건입력'!B6="",1,IF(ISNUMBER(SEARCH('02_대상물건입력'!B6,B1305)),1,0)))</f>
        <v/>
      </c>
      <c r="P1305" s="152">
        <f>IF(L1305="","",IF('02_대상물건입력'!B15="",0,IF(ISNUMBER(SEARCH('02_대상물건입력'!B15,L1305)),1,0)))</f>
        <v/>
      </c>
      <c r="Q1305" s="152">
        <f>IF(OR(C1305="",L1305=""),0,IF(AND(TRIM(C1305)=TRIM(RIGHT(SUBSTITUTE(TRIM('02_대상물건입력'!$B$7)," ",REPT(" ",99)),99)),IF('02_대상물건입력'!B15="",TRUE(),ISNUMBER(SEARCH('02_대상물건입력'!B15,L1305)))),1,0))</f>
        <v/>
      </c>
      <c r="R1305" s="175">
        <f>IFERROR(ABS(E1305-'02_대상물건입력'!B11)/'02_대상물건입력'!B11,"")</f>
        <v/>
      </c>
      <c r="S1305" s="152">
        <f>IFERROR(ABS(J1305-'02_대상물건입력'!B10),"")</f>
        <v/>
      </c>
      <c r="T1305" s="152">
        <f>IFERROR(ABS('01_설정'!B4-F1305),"")</f>
        <v/>
      </c>
      <c r="U1305" s="152">
        <f>IFERROR(ABS(K1305-YEAR('02_대상물건입력'!B14)),"")</f>
        <v/>
      </c>
      <c r="V1305" s="152">
        <f>IF(B1305="","",IF(AND(E1305&gt;0,F1305&gt;0,H1305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1305=1,TRUE()),R1305&lt;='01_설정'!B5,S1305&lt;='01_설정'!B6,T1305&lt;='01_설정'!B7,U1305&lt;='01_설정'!B8),"Y",""))</f>
        <v/>
      </c>
      <c r="W1305" s="172">
        <f>IF(V1305&lt;&gt;"Y","",MAX(0,(1-R1305/'01_설정'!B5))*'01_설정'!B14+MAX(0,(1-S1305/'01_설정'!B6))*'01_설정'!B15+MAX(0,(1-T1305/'01_설정'!B7))*'01_설정'!B16+MAX(0,(1-U1305/'01_설정'!B8))*'01_설정'!B17+O1305*'01_설정'!B11+Q1305*'01_설정'!B12+P1305*'01_설정'!B13+IF(Z1305="",0,Z1305))</f>
        <v/>
      </c>
      <c r="X1305" s="152">
        <f>IF(W1305="","",1+COUNTIFS($W$4:$W$3003,"&gt;"&amp;W1305)+COUNTIFS($W$4:W1305,W1305)-1)</f>
        <v/>
      </c>
      <c r="Y1305" s="175">
        <f>IF(OR(I1305="",'02_대상물건입력'!B19="",'02_대상물건입력'!B19&lt;=0),"",ABS(I1305-'02_대상물건입력'!B19)/'02_대상물건입력'!B19)</f>
        <v/>
      </c>
      <c r="Z1305" s="172">
        <f>IF(OR(Y1305="",'01_설정'!B31="",'01_설정'!B31&lt;=0,'01_설정'!B32="",'01_설정'!B32&lt;=0),"",MAX(0,(1-Y1305/'01_설정'!B32))*'01_설정'!B31)</f>
        <v/>
      </c>
    </row>
    <row r="1306" ht="17.25" customHeight="1">
      <c r="A1306" s="152">
        <f>IF(INDEX('04A_국토부원자료'!$A:$A,ROW()+1)="","",ROW()-3)</f>
        <v/>
      </c>
      <c r="B1306" s="48">
        <f>IFERROR(INDEX('04A_국토부원자료'!$A:$T,ROW()+1,MATCH("시군구",'04A_국토부원자료'!$A$4:$T$4,0)),"")</f>
        <v/>
      </c>
      <c r="C1306" s="48">
        <f>IF(B1306="","",IFERROR(INDEX('04A_국토부원자료'!$A:$T,ROW()+1,MATCH("번지",'04A_국토부원자료'!$A$4:$T$4,0)),""))</f>
        <v/>
      </c>
      <c r="D1306" s="48">
        <f>IF(B1306="","",IF(Q1306=1,'02_대상물건입력'!$B$8,IFERROR(INDEX('04A_국토부원자료'!$A:$T,ROW()+1,MATCH("단지명",'04A_국토부원자료'!$A$4:$T$4,0)),"")))</f>
        <v/>
      </c>
      <c r="E1306" s="172">
        <f>IFERROR(VALUE(SUBSTITUTE(INDEX('04A_국토부원자료'!$A:$T,ROW()+1,MATCH("전용면적(㎡)",'04A_국토부원자료'!$A$4:$T$4,0)),",","")),"")</f>
        <v/>
      </c>
      <c r="F13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06" s="51">
        <f>IFERROR(VALUE(SUBSTITUTE(INDEX('04A_국토부원자료'!$A:$T,ROW()+1,MATCH("거래금액(만원)",'04A_국토부원자료'!$A$4:$T$4,0)),",","")),"")</f>
        <v/>
      </c>
      <c r="H1306" s="174">
        <f>IF(G1306="","",G1306*10000)</f>
        <v/>
      </c>
      <c r="I1306" s="174">
        <f>IFERROR(IF(AND(H1306&gt;0,E1306&gt;0),H1306/E1306,""),"")</f>
        <v/>
      </c>
      <c r="J1306" s="152">
        <f>IFERROR(VALUE(SUBSTITUTE(INDEX('04A_국토부원자료'!$A:$T,ROW()+1,MATCH("층",'04A_국토부원자료'!$A$4:$T$4,0)),",","")),"")</f>
        <v/>
      </c>
      <c r="K1306" s="152">
        <f>IFERROR(VALUE(SUBSTITUTE(INDEX('04A_국토부원자료'!$A:$T,ROW()+1,MATCH("건축년도",'04A_국토부원자료'!$A$4:$T$4,0)),",","")),"")</f>
        <v/>
      </c>
      <c r="L1306" s="176">
        <f>IFERROR(INDEX('04A_국토부원자료'!$A:$T,ROW()+1,MATCH("도로명",'04A_국토부원자료'!$A$4:$T$4,0)),"")</f>
        <v/>
      </c>
      <c r="M1306" s="48">
        <f>IFERROR(INDEX('04A_국토부원자료'!$A:$T,ROW()+1,MATCH("거래유형",'04A_국토부원자료'!$A$4:$T$4,0)),"")</f>
        <v/>
      </c>
      <c r="N1306" s="152">
        <f>IF(B1306="","",IF('02_대상물건입력'!B5="",1,IF(ISNUMBER(SEARCH('02_대상물건입력'!B5,B1306)),1,0)))</f>
        <v/>
      </c>
      <c r="O1306" s="152">
        <f>IF(B1306="","",IF('02_대상물건입력'!B6="",1,IF(ISNUMBER(SEARCH('02_대상물건입력'!B6,B1306)),1,0)))</f>
        <v/>
      </c>
      <c r="P1306" s="152">
        <f>IF(L1306="","",IF('02_대상물건입력'!B15="",0,IF(ISNUMBER(SEARCH('02_대상물건입력'!B15,L1306)),1,0)))</f>
        <v/>
      </c>
      <c r="Q1306" s="152">
        <f>IF(OR(C1306="",L1306=""),0,IF(AND(TRIM(C1306)=TRIM(RIGHT(SUBSTITUTE(TRIM('02_대상물건입력'!$B$7)," ",REPT(" ",99)),99)),IF('02_대상물건입력'!B15="",TRUE(),ISNUMBER(SEARCH('02_대상물건입력'!B15,L1306)))),1,0))</f>
        <v/>
      </c>
      <c r="R1306" s="175">
        <f>IFERROR(ABS(E1306-'02_대상물건입력'!B11)/'02_대상물건입력'!B11,"")</f>
        <v/>
      </c>
      <c r="S1306" s="152">
        <f>IFERROR(ABS(J1306-'02_대상물건입력'!B10),"")</f>
        <v/>
      </c>
      <c r="T1306" s="152">
        <f>IFERROR(ABS('01_설정'!B4-F1306),"")</f>
        <v/>
      </c>
      <c r="U1306" s="152">
        <f>IFERROR(ABS(K1306-YEAR('02_대상물건입력'!B14)),"")</f>
        <v/>
      </c>
      <c r="V1306" s="152">
        <f>IF(B1306="","",IF(AND(E1306&gt;0,F1306&gt;0,H1306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1306=1,TRUE()),R1306&lt;='01_설정'!B5,S1306&lt;='01_설정'!B6,T1306&lt;='01_설정'!B7,U1306&lt;='01_설정'!B8),"Y",""))</f>
        <v/>
      </c>
      <c r="W1306" s="172">
        <f>IF(V1306&lt;&gt;"Y","",MAX(0,(1-R1306/'01_설정'!B5))*'01_설정'!B14+MAX(0,(1-S1306/'01_설정'!B6))*'01_설정'!B15+MAX(0,(1-T1306/'01_설정'!B7))*'01_설정'!B16+MAX(0,(1-U1306/'01_설정'!B8))*'01_설정'!B17+O1306*'01_설정'!B11+Q1306*'01_설정'!B12+P1306*'01_설정'!B13+IF(Z1306="",0,Z1306))</f>
        <v/>
      </c>
      <c r="X1306" s="152">
        <f>IF(W1306="","",1+COUNTIFS($W$4:$W$3003,"&gt;"&amp;W1306)+COUNTIFS($W$4:W1306,W1306)-1)</f>
        <v/>
      </c>
      <c r="Y1306" s="175">
        <f>IF(OR(I1306="",'02_대상물건입력'!B19="",'02_대상물건입력'!B19&lt;=0),"",ABS(I1306-'02_대상물건입력'!B19)/'02_대상물건입력'!B19)</f>
        <v/>
      </c>
      <c r="Z1306" s="172">
        <f>IF(OR(Y1306="",'01_설정'!B31="",'01_설정'!B31&lt;=0,'01_설정'!B32="",'01_설정'!B32&lt;=0),"",MAX(0,(1-Y1306/'01_설정'!B32))*'01_설정'!B31)</f>
        <v/>
      </c>
    </row>
    <row r="1307" ht="17.25" customHeight="1">
      <c r="A1307" s="152">
        <f>IF(INDEX('04A_국토부원자료'!$A:$A,ROW()+1)="","",ROW()-3)</f>
        <v/>
      </c>
      <c r="B1307" s="48">
        <f>IFERROR(INDEX('04A_국토부원자료'!$A:$T,ROW()+1,MATCH("시군구",'04A_국토부원자료'!$A$4:$T$4,0)),"")</f>
        <v/>
      </c>
      <c r="C1307" s="48">
        <f>IF(B1307="","",IFERROR(INDEX('04A_국토부원자료'!$A:$T,ROW()+1,MATCH("번지",'04A_국토부원자료'!$A$4:$T$4,0)),""))</f>
        <v/>
      </c>
      <c r="D1307" s="48">
        <f>IF(B1307="","",IF(Q1307=1,'02_대상물건입력'!$B$8,IFERROR(INDEX('04A_국토부원자료'!$A:$T,ROW()+1,MATCH("단지명",'04A_국토부원자료'!$A$4:$T$4,0)),"")))</f>
        <v/>
      </c>
      <c r="E1307" s="172">
        <f>IFERROR(VALUE(SUBSTITUTE(INDEX('04A_국토부원자료'!$A:$T,ROW()+1,MATCH("전용면적(㎡)",'04A_국토부원자료'!$A$4:$T$4,0)),",","")),"")</f>
        <v/>
      </c>
      <c r="F13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07" s="51">
        <f>IFERROR(VALUE(SUBSTITUTE(INDEX('04A_국토부원자료'!$A:$T,ROW()+1,MATCH("거래금액(만원)",'04A_국토부원자료'!$A$4:$T$4,0)),",","")),"")</f>
        <v/>
      </c>
      <c r="H1307" s="174">
        <f>IF(G1307="","",G1307*10000)</f>
        <v/>
      </c>
      <c r="I1307" s="174">
        <f>IFERROR(IF(AND(H1307&gt;0,E1307&gt;0),H1307/E1307,""),"")</f>
        <v/>
      </c>
      <c r="J1307" s="152">
        <f>IFERROR(VALUE(SUBSTITUTE(INDEX('04A_국토부원자료'!$A:$T,ROW()+1,MATCH("층",'04A_국토부원자료'!$A$4:$T$4,0)),",","")),"")</f>
        <v/>
      </c>
      <c r="K1307" s="152">
        <f>IFERROR(VALUE(SUBSTITUTE(INDEX('04A_국토부원자료'!$A:$T,ROW()+1,MATCH("건축년도",'04A_국토부원자료'!$A$4:$T$4,0)),",","")),"")</f>
        <v/>
      </c>
      <c r="L1307" s="176">
        <f>IFERROR(INDEX('04A_국토부원자료'!$A:$T,ROW()+1,MATCH("도로명",'04A_국토부원자료'!$A$4:$T$4,0)),"")</f>
        <v/>
      </c>
      <c r="M1307" s="48">
        <f>IFERROR(INDEX('04A_국토부원자료'!$A:$T,ROW()+1,MATCH("거래유형",'04A_국토부원자료'!$A$4:$T$4,0)),"")</f>
        <v/>
      </c>
      <c r="N1307" s="152">
        <f>IF(B1307="","",IF('02_대상물건입력'!B5="",1,IF(ISNUMBER(SEARCH('02_대상물건입력'!B5,B1307)),1,0)))</f>
        <v/>
      </c>
      <c r="O1307" s="152">
        <f>IF(B1307="","",IF('02_대상물건입력'!B6="",1,IF(ISNUMBER(SEARCH('02_대상물건입력'!B6,B1307)),1,0)))</f>
        <v/>
      </c>
      <c r="P1307" s="152">
        <f>IF(L1307="","",IF('02_대상물건입력'!B15="",0,IF(ISNUMBER(SEARCH('02_대상물건입력'!B15,L1307)),1,0)))</f>
        <v/>
      </c>
      <c r="Q1307" s="152">
        <f>IF(OR(C1307="",L1307=""),0,IF(AND(TRIM(C1307)=TRIM(RIGHT(SUBSTITUTE(TRIM('02_대상물건입력'!$B$7)," ",REPT(" ",99)),99)),IF('02_대상물건입력'!B15="",TRUE(),ISNUMBER(SEARCH('02_대상물건입력'!B15,L1307)))),1,0))</f>
        <v/>
      </c>
      <c r="R1307" s="175">
        <f>IFERROR(ABS(E1307-'02_대상물건입력'!B11)/'02_대상물건입력'!B11,"")</f>
        <v/>
      </c>
      <c r="S1307" s="152">
        <f>IFERROR(ABS(J1307-'02_대상물건입력'!B10),"")</f>
        <v/>
      </c>
      <c r="T1307" s="152">
        <f>IFERROR(ABS('01_설정'!B4-F1307),"")</f>
        <v/>
      </c>
      <c r="U1307" s="152">
        <f>IFERROR(ABS(K1307-YEAR('02_대상물건입력'!B14)),"")</f>
        <v/>
      </c>
      <c r="V1307" s="152">
        <f>IF(B1307="","",IF(AND(E1307&gt;0,F1307&gt;0,H1307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1307=1,TRUE()),R1307&lt;='01_설정'!B5,S1307&lt;='01_설정'!B6,T1307&lt;='01_설정'!B7,U1307&lt;='01_설정'!B8),"Y",""))</f>
        <v/>
      </c>
      <c r="W1307" s="172">
        <f>IF(V1307&lt;&gt;"Y","",MAX(0,(1-R1307/'01_설정'!B5))*'01_설정'!B14+MAX(0,(1-S1307/'01_설정'!B6))*'01_설정'!B15+MAX(0,(1-T1307/'01_설정'!B7))*'01_설정'!B16+MAX(0,(1-U1307/'01_설정'!B8))*'01_설정'!B17+O1307*'01_설정'!B11+Q1307*'01_설정'!B12+P1307*'01_설정'!B13+IF(Z1307="",0,Z1307))</f>
        <v/>
      </c>
      <c r="X1307" s="152">
        <f>IF(W1307="","",1+COUNTIFS($W$4:$W$3003,"&gt;"&amp;W1307)+COUNTIFS($W$4:W1307,W1307)-1)</f>
        <v/>
      </c>
      <c r="Y1307" s="175">
        <f>IF(OR(I1307="",'02_대상물건입력'!B19="",'02_대상물건입력'!B19&lt;=0),"",ABS(I1307-'02_대상물건입력'!B19)/'02_대상물건입력'!B19)</f>
        <v/>
      </c>
      <c r="Z1307" s="172">
        <f>IF(OR(Y1307="",'01_설정'!B31="",'01_설정'!B31&lt;=0,'01_설정'!B32="",'01_설정'!B32&lt;=0),"",MAX(0,(1-Y1307/'01_설정'!B32))*'01_설정'!B31)</f>
        <v/>
      </c>
    </row>
    <row r="1308" ht="17.25" customHeight="1">
      <c r="A1308" s="152">
        <f>IF(INDEX('04A_국토부원자료'!$A:$A,ROW()+1)="","",ROW()-3)</f>
        <v/>
      </c>
      <c r="B1308" s="48">
        <f>IFERROR(INDEX('04A_국토부원자료'!$A:$T,ROW()+1,MATCH("시군구",'04A_국토부원자료'!$A$4:$T$4,0)),"")</f>
        <v/>
      </c>
      <c r="C1308" s="48">
        <f>IF(B1308="","",IFERROR(INDEX('04A_국토부원자료'!$A:$T,ROW()+1,MATCH("번지",'04A_국토부원자료'!$A$4:$T$4,0)),""))</f>
        <v/>
      </c>
      <c r="D1308" s="48">
        <f>IF(B1308="","",IF(Q1308=1,'02_대상물건입력'!$B$8,IFERROR(INDEX('04A_국토부원자료'!$A:$T,ROW()+1,MATCH("단지명",'04A_국토부원자료'!$A$4:$T$4,0)),"")))</f>
        <v/>
      </c>
      <c r="E1308" s="172">
        <f>IFERROR(VALUE(SUBSTITUTE(INDEX('04A_국토부원자료'!$A:$T,ROW()+1,MATCH("전용면적(㎡)",'04A_국토부원자료'!$A$4:$T$4,0)),",","")),"")</f>
        <v/>
      </c>
      <c r="F13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08" s="51">
        <f>IFERROR(VALUE(SUBSTITUTE(INDEX('04A_국토부원자료'!$A:$T,ROW()+1,MATCH("거래금액(만원)",'04A_국토부원자료'!$A$4:$T$4,0)),",","")),"")</f>
        <v/>
      </c>
      <c r="H1308" s="174">
        <f>IF(G1308="","",G1308*10000)</f>
        <v/>
      </c>
      <c r="I1308" s="174">
        <f>IFERROR(IF(AND(H1308&gt;0,E1308&gt;0),H1308/E1308,""),"")</f>
        <v/>
      </c>
      <c r="J1308" s="152">
        <f>IFERROR(VALUE(SUBSTITUTE(INDEX('04A_국토부원자료'!$A:$T,ROW()+1,MATCH("층",'04A_국토부원자료'!$A$4:$T$4,0)),",","")),"")</f>
        <v/>
      </c>
      <c r="K1308" s="152">
        <f>IFERROR(VALUE(SUBSTITUTE(INDEX('04A_국토부원자료'!$A:$T,ROW()+1,MATCH("건축년도",'04A_국토부원자료'!$A$4:$T$4,0)),",","")),"")</f>
        <v/>
      </c>
      <c r="L1308" s="176">
        <f>IFERROR(INDEX('04A_국토부원자료'!$A:$T,ROW()+1,MATCH("도로명",'04A_국토부원자료'!$A$4:$T$4,0)),"")</f>
        <v/>
      </c>
      <c r="M1308" s="48">
        <f>IFERROR(INDEX('04A_국토부원자료'!$A:$T,ROW()+1,MATCH("거래유형",'04A_국토부원자료'!$A$4:$T$4,0)),"")</f>
        <v/>
      </c>
      <c r="N1308" s="152">
        <f>IF(B1308="","",IF('02_대상물건입력'!B5="",1,IF(ISNUMBER(SEARCH('02_대상물건입력'!B5,B1308)),1,0)))</f>
        <v/>
      </c>
      <c r="O1308" s="152">
        <f>IF(B1308="","",IF('02_대상물건입력'!B6="",1,IF(ISNUMBER(SEARCH('02_대상물건입력'!B6,B1308)),1,0)))</f>
        <v/>
      </c>
      <c r="P1308" s="152">
        <f>IF(L1308="","",IF('02_대상물건입력'!B15="",0,IF(ISNUMBER(SEARCH('02_대상물건입력'!B15,L1308)),1,0)))</f>
        <v/>
      </c>
      <c r="Q1308" s="152">
        <f>IF(OR(C1308="",L1308=""),0,IF(AND(TRIM(C1308)=TRIM(RIGHT(SUBSTITUTE(TRIM('02_대상물건입력'!$B$7)," ",REPT(" ",99)),99)),IF('02_대상물건입력'!B15="",TRUE(),ISNUMBER(SEARCH('02_대상물건입력'!B15,L1308)))),1,0))</f>
        <v/>
      </c>
      <c r="R1308" s="175">
        <f>IFERROR(ABS(E1308-'02_대상물건입력'!B11)/'02_대상물건입력'!B11,"")</f>
        <v/>
      </c>
      <c r="S1308" s="152">
        <f>IFERROR(ABS(J1308-'02_대상물건입력'!B10),"")</f>
        <v/>
      </c>
      <c r="T1308" s="152">
        <f>IFERROR(ABS('01_설정'!B4-F1308),"")</f>
        <v/>
      </c>
      <c r="U1308" s="152">
        <f>IFERROR(ABS(K1308-YEAR('02_대상물건입력'!B14)),"")</f>
        <v/>
      </c>
      <c r="V1308" s="152">
        <f>IF(B1308="","",IF(AND(E1308&gt;0,F1308&gt;0,H1308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1308=1,TRUE()),R1308&lt;='01_설정'!B5,S1308&lt;='01_설정'!B6,T1308&lt;='01_설정'!B7,U1308&lt;='01_설정'!B8),"Y",""))</f>
        <v/>
      </c>
      <c r="W1308" s="172">
        <f>IF(V1308&lt;&gt;"Y","",MAX(0,(1-R1308/'01_설정'!B5))*'01_설정'!B14+MAX(0,(1-S1308/'01_설정'!B6))*'01_설정'!B15+MAX(0,(1-T1308/'01_설정'!B7))*'01_설정'!B16+MAX(0,(1-U1308/'01_설정'!B8))*'01_설정'!B17+O1308*'01_설정'!B11+Q1308*'01_설정'!B12+P1308*'01_설정'!B13+IF(Z1308="",0,Z1308))</f>
        <v/>
      </c>
      <c r="X1308" s="152">
        <f>IF(W1308="","",1+COUNTIFS($W$4:$W$3003,"&gt;"&amp;W1308)+COUNTIFS($W$4:W1308,W1308)-1)</f>
        <v/>
      </c>
      <c r="Y1308" s="175">
        <f>IF(OR(I1308="",'02_대상물건입력'!B19="",'02_대상물건입력'!B19&lt;=0),"",ABS(I1308-'02_대상물건입력'!B19)/'02_대상물건입력'!B19)</f>
        <v/>
      </c>
      <c r="Z1308" s="172">
        <f>IF(OR(Y1308="",'01_설정'!B31="",'01_설정'!B31&lt;=0,'01_설정'!B32="",'01_설정'!B32&lt;=0),"",MAX(0,(1-Y1308/'01_설정'!B32))*'01_설정'!B31)</f>
        <v/>
      </c>
    </row>
    <row r="1309" ht="17.25" customHeight="1">
      <c r="A1309" s="152">
        <f>IF(INDEX('04A_국토부원자료'!$A:$A,ROW()+1)="","",ROW()-3)</f>
        <v/>
      </c>
      <c r="B1309" s="48">
        <f>IFERROR(INDEX('04A_국토부원자료'!$A:$T,ROW()+1,MATCH("시군구",'04A_국토부원자료'!$A$4:$T$4,0)),"")</f>
        <v/>
      </c>
      <c r="C1309" s="48">
        <f>IF(B1309="","",IFERROR(INDEX('04A_국토부원자료'!$A:$T,ROW()+1,MATCH("번지",'04A_국토부원자료'!$A$4:$T$4,0)),""))</f>
        <v/>
      </c>
      <c r="D1309" s="48">
        <f>IF(B1309="","",IF(Q1309=1,'02_대상물건입력'!$B$8,IFERROR(INDEX('04A_국토부원자료'!$A:$T,ROW()+1,MATCH("단지명",'04A_국토부원자료'!$A$4:$T$4,0)),"")))</f>
        <v/>
      </c>
      <c r="E1309" s="172">
        <f>IFERROR(VALUE(SUBSTITUTE(INDEX('04A_국토부원자료'!$A:$T,ROW()+1,MATCH("전용면적(㎡)",'04A_국토부원자료'!$A$4:$T$4,0)),",","")),"")</f>
        <v/>
      </c>
      <c r="F13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09" s="51">
        <f>IFERROR(VALUE(SUBSTITUTE(INDEX('04A_국토부원자료'!$A:$T,ROW()+1,MATCH("거래금액(만원)",'04A_국토부원자료'!$A$4:$T$4,0)),",","")),"")</f>
        <v/>
      </c>
      <c r="H1309" s="174">
        <f>IF(G1309="","",G1309*10000)</f>
        <v/>
      </c>
      <c r="I1309" s="174">
        <f>IFERROR(IF(AND(H1309&gt;0,E1309&gt;0),H1309/E1309,""),"")</f>
        <v/>
      </c>
      <c r="J1309" s="152">
        <f>IFERROR(VALUE(SUBSTITUTE(INDEX('04A_국토부원자료'!$A:$T,ROW()+1,MATCH("층",'04A_국토부원자료'!$A$4:$T$4,0)),",","")),"")</f>
        <v/>
      </c>
      <c r="K1309" s="152">
        <f>IFERROR(VALUE(SUBSTITUTE(INDEX('04A_국토부원자료'!$A:$T,ROW()+1,MATCH("건축년도",'04A_국토부원자료'!$A$4:$T$4,0)),",","")),"")</f>
        <v/>
      </c>
      <c r="L1309" s="176">
        <f>IFERROR(INDEX('04A_국토부원자료'!$A:$T,ROW()+1,MATCH("도로명",'04A_국토부원자료'!$A$4:$T$4,0)),"")</f>
        <v/>
      </c>
      <c r="M1309" s="48">
        <f>IFERROR(INDEX('04A_국토부원자료'!$A:$T,ROW()+1,MATCH("거래유형",'04A_국토부원자료'!$A$4:$T$4,0)),"")</f>
        <v/>
      </c>
      <c r="N1309" s="152">
        <f>IF(B1309="","",IF('02_대상물건입력'!B5="",1,IF(ISNUMBER(SEARCH('02_대상물건입력'!B5,B1309)),1,0)))</f>
        <v/>
      </c>
      <c r="O1309" s="152">
        <f>IF(B1309="","",IF('02_대상물건입력'!B6="",1,IF(ISNUMBER(SEARCH('02_대상물건입력'!B6,B1309)),1,0)))</f>
        <v/>
      </c>
      <c r="P1309" s="152">
        <f>IF(L1309="","",IF('02_대상물건입력'!B15="",0,IF(ISNUMBER(SEARCH('02_대상물건입력'!B15,L1309)),1,0)))</f>
        <v/>
      </c>
      <c r="Q1309" s="152">
        <f>IF(OR(C1309="",L1309=""),0,IF(AND(TRIM(C1309)=TRIM(RIGHT(SUBSTITUTE(TRIM('02_대상물건입력'!$B$7)," ",REPT(" ",99)),99)),IF('02_대상물건입력'!B15="",TRUE(),ISNUMBER(SEARCH('02_대상물건입력'!B15,L1309)))),1,0))</f>
        <v/>
      </c>
      <c r="R1309" s="175">
        <f>IFERROR(ABS(E1309-'02_대상물건입력'!B11)/'02_대상물건입력'!B11,"")</f>
        <v/>
      </c>
      <c r="S1309" s="152">
        <f>IFERROR(ABS(J1309-'02_대상물건입력'!B10),"")</f>
        <v/>
      </c>
      <c r="T1309" s="152">
        <f>IFERROR(ABS('01_설정'!B4-F1309),"")</f>
        <v/>
      </c>
      <c r="U1309" s="152">
        <f>IFERROR(ABS(K1309-YEAR('02_대상물건입력'!B14)),"")</f>
        <v/>
      </c>
      <c r="V1309" s="152">
        <f>IF(B1309="","",IF(AND(E1309&gt;0,F1309&gt;0,H1309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1309=1,TRUE()),R1309&lt;='01_설정'!B5,S1309&lt;='01_설정'!B6,T1309&lt;='01_설정'!B7,U1309&lt;='01_설정'!B8),"Y",""))</f>
        <v/>
      </c>
      <c r="W1309" s="172">
        <f>IF(V1309&lt;&gt;"Y","",MAX(0,(1-R1309/'01_설정'!B5))*'01_설정'!B14+MAX(0,(1-S1309/'01_설정'!B6))*'01_설정'!B15+MAX(0,(1-T1309/'01_설정'!B7))*'01_설정'!B16+MAX(0,(1-U1309/'01_설정'!B8))*'01_설정'!B17+O1309*'01_설정'!B11+Q1309*'01_설정'!B12+P1309*'01_설정'!B13+IF(Z1309="",0,Z1309))</f>
        <v/>
      </c>
      <c r="X1309" s="152">
        <f>IF(W1309="","",1+COUNTIFS($W$4:$W$3003,"&gt;"&amp;W1309)+COUNTIFS($W$4:W1309,W1309)-1)</f>
        <v/>
      </c>
      <c r="Y1309" s="175">
        <f>IF(OR(I1309="",'02_대상물건입력'!B19="",'02_대상물건입력'!B19&lt;=0),"",ABS(I1309-'02_대상물건입력'!B19)/'02_대상물건입력'!B19)</f>
        <v/>
      </c>
      <c r="Z1309" s="172">
        <f>IF(OR(Y1309="",'01_설정'!B31="",'01_설정'!B31&lt;=0,'01_설정'!B32="",'01_설정'!B32&lt;=0),"",MAX(0,(1-Y1309/'01_설정'!B32))*'01_설정'!B31)</f>
        <v/>
      </c>
    </row>
    <row r="1310" ht="17.25" customHeight="1">
      <c r="A1310" s="152">
        <f>IF(INDEX('04A_국토부원자료'!$A:$A,ROW()+1)="","",ROW()-3)</f>
        <v/>
      </c>
      <c r="B1310" s="48">
        <f>IFERROR(INDEX('04A_국토부원자료'!$A:$T,ROW()+1,MATCH("시군구",'04A_국토부원자료'!$A$4:$T$4,0)),"")</f>
        <v/>
      </c>
      <c r="C1310" s="48">
        <f>IF(B1310="","",IFERROR(INDEX('04A_국토부원자료'!$A:$T,ROW()+1,MATCH("번지",'04A_국토부원자료'!$A$4:$T$4,0)),""))</f>
        <v/>
      </c>
      <c r="D1310" s="48">
        <f>IF(B1310="","",IF(Q1310=1,'02_대상물건입력'!$B$8,IFERROR(INDEX('04A_국토부원자료'!$A:$T,ROW()+1,MATCH("단지명",'04A_국토부원자료'!$A$4:$T$4,0)),"")))</f>
        <v/>
      </c>
      <c r="E1310" s="172">
        <f>IFERROR(VALUE(SUBSTITUTE(INDEX('04A_국토부원자료'!$A:$T,ROW()+1,MATCH("전용면적(㎡)",'04A_국토부원자료'!$A$4:$T$4,0)),",","")),"")</f>
        <v/>
      </c>
      <c r="F13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10" s="51">
        <f>IFERROR(VALUE(SUBSTITUTE(INDEX('04A_국토부원자료'!$A:$T,ROW()+1,MATCH("거래금액(만원)",'04A_국토부원자료'!$A$4:$T$4,0)),",","")),"")</f>
        <v/>
      </c>
      <c r="H1310" s="174">
        <f>IF(G1310="","",G1310*10000)</f>
        <v/>
      </c>
      <c r="I1310" s="174">
        <f>IFERROR(IF(AND(H1310&gt;0,E1310&gt;0),H1310/E1310,""),"")</f>
        <v/>
      </c>
      <c r="J1310" s="152">
        <f>IFERROR(VALUE(SUBSTITUTE(INDEX('04A_국토부원자료'!$A:$T,ROW()+1,MATCH("층",'04A_국토부원자료'!$A$4:$T$4,0)),",","")),"")</f>
        <v/>
      </c>
      <c r="K1310" s="152">
        <f>IFERROR(VALUE(SUBSTITUTE(INDEX('04A_국토부원자료'!$A:$T,ROW()+1,MATCH("건축년도",'04A_국토부원자료'!$A$4:$T$4,0)),",","")),"")</f>
        <v/>
      </c>
      <c r="L1310" s="176">
        <f>IFERROR(INDEX('04A_국토부원자료'!$A:$T,ROW()+1,MATCH("도로명",'04A_국토부원자료'!$A$4:$T$4,0)),"")</f>
        <v/>
      </c>
      <c r="M1310" s="48">
        <f>IFERROR(INDEX('04A_국토부원자료'!$A:$T,ROW()+1,MATCH("거래유형",'04A_국토부원자료'!$A$4:$T$4,0)),"")</f>
        <v/>
      </c>
      <c r="N1310" s="152">
        <f>IF(B1310="","",IF('02_대상물건입력'!B5="",1,IF(ISNUMBER(SEARCH('02_대상물건입력'!B5,B1310)),1,0)))</f>
        <v/>
      </c>
      <c r="O1310" s="152">
        <f>IF(B1310="","",IF('02_대상물건입력'!B6="",1,IF(ISNUMBER(SEARCH('02_대상물건입력'!B6,B1310)),1,0)))</f>
        <v/>
      </c>
      <c r="P1310" s="152">
        <f>IF(L1310="","",IF('02_대상물건입력'!B15="",0,IF(ISNUMBER(SEARCH('02_대상물건입력'!B15,L1310)),1,0)))</f>
        <v/>
      </c>
      <c r="Q1310" s="152">
        <f>IF(OR(C1310="",L1310=""),0,IF(AND(TRIM(C1310)=TRIM(RIGHT(SUBSTITUTE(TRIM('02_대상물건입력'!$B$7)," ",REPT(" ",99)),99)),IF('02_대상물건입력'!B15="",TRUE(),ISNUMBER(SEARCH('02_대상물건입력'!B15,L1310)))),1,0))</f>
        <v/>
      </c>
      <c r="R1310" s="175">
        <f>IFERROR(ABS(E1310-'02_대상물건입력'!B11)/'02_대상물건입력'!B11,"")</f>
        <v/>
      </c>
      <c r="S1310" s="152">
        <f>IFERROR(ABS(J1310-'02_대상물건입력'!B10),"")</f>
        <v/>
      </c>
      <c r="T1310" s="152">
        <f>IFERROR(ABS('01_설정'!B4-F1310),"")</f>
        <v/>
      </c>
      <c r="U1310" s="152">
        <f>IFERROR(ABS(K1310-YEAR('02_대상물건입력'!B14)),"")</f>
        <v/>
      </c>
      <c r="V1310" s="152">
        <f>IF(B1310="","",IF(AND(E1310&gt;0,F1310&gt;0,H1310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1310=1,TRUE()),R1310&lt;='01_설정'!B5,S1310&lt;='01_설정'!B6,T1310&lt;='01_설정'!B7,U1310&lt;='01_설정'!B8),"Y",""))</f>
        <v/>
      </c>
      <c r="W1310" s="172">
        <f>IF(V1310&lt;&gt;"Y","",MAX(0,(1-R1310/'01_설정'!B5))*'01_설정'!B14+MAX(0,(1-S1310/'01_설정'!B6))*'01_설정'!B15+MAX(0,(1-T1310/'01_설정'!B7))*'01_설정'!B16+MAX(0,(1-U1310/'01_설정'!B8))*'01_설정'!B17+O1310*'01_설정'!B11+Q1310*'01_설정'!B12+P1310*'01_설정'!B13+IF(Z1310="",0,Z1310))</f>
        <v/>
      </c>
      <c r="X1310" s="152">
        <f>IF(W1310="","",1+COUNTIFS($W$4:$W$3003,"&gt;"&amp;W1310)+COUNTIFS($W$4:W1310,W1310)-1)</f>
        <v/>
      </c>
      <c r="Y1310" s="175">
        <f>IF(OR(I1310="",'02_대상물건입력'!B19="",'02_대상물건입력'!B19&lt;=0),"",ABS(I1310-'02_대상물건입력'!B19)/'02_대상물건입력'!B19)</f>
        <v/>
      </c>
      <c r="Z1310" s="172">
        <f>IF(OR(Y1310="",'01_설정'!B31="",'01_설정'!B31&lt;=0,'01_설정'!B32="",'01_설정'!B32&lt;=0),"",MAX(0,(1-Y1310/'01_설정'!B32))*'01_설정'!B31)</f>
        <v/>
      </c>
    </row>
    <row r="1311" ht="17.25" customHeight="1">
      <c r="A1311" s="152">
        <f>IF(INDEX('04A_국토부원자료'!$A:$A,ROW()+1)="","",ROW()-3)</f>
        <v/>
      </c>
      <c r="B1311" s="48">
        <f>IFERROR(INDEX('04A_국토부원자료'!$A:$T,ROW()+1,MATCH("시군구",'04A_국토부원자료'!$A$4:$T$4,0)),"")</f>
        <v/>
      </c>
      <c r="C1311" s="48">
        <f>IF(B1311="","",IFERROR(INDEX('04A_국토부원자료'!$A:$T,ROW()+1,MATCH("번지",'04A_국토부원자료'!$A$4:$T$4,0)),""))</f>
        <v/>
      </c>
      <c r="D1311" s="48">
        <f>IF(B1311="","",IF(Q1311=1,'02_대상물건입력'!$B$8,IFERROR(INDEX('04A_국토부원자료'!$A:$T,ROW()+1,MATCH("단지명",'04A_국토부원자료'!$A$4:$T$4,0)),"")))</f>
        <v/>
      </c>
      <c r="E1311" s="172">
        <f>IFERROR(VALUE(SUBSTITUTE(INDEX('04A_국토부원자료'!$A:$T,ROW()+1,MATCH("전용면적(㎡)",'04A_국토부원자료'!$A$4:$T$4,0)),",","")),"")</f>
        <v/>
      </c>
      <c r="F13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11" s="51">
        <f>IFERROR(VALUE(SUBSTITUTE(INDEX('04A_국토부원자료'!$A:$T,ROW()+1,MATCH("거래금액(만원)",'04A_국토부원자료'!$A$4:$T$4,0)),",","")),"")</f>
        <v/>
      </c>
      <c r="H1311" s="174">
        <f>IF(G1311="","",G1311*10000)</f>
        <v/>
      </c>
      <c r="I1311" s="174">
        <f>IFERROR(IF(AND(H1311&gt;0,E1311&gt;0),H1311/E1311,""),"")</f>
        <v/>
      </c>
      <c r="J1311" s="152">
        <f>IFERROR(VALUE(SUBSTITUTE(INDEX('04A_국토부원자료'!$A:$T,ROW()+1,MATCH("층",'04A_국토부원자료'!$A$4:$T$4,0)),",","")),"")</f>
        <v/>
      </c>
      <c r="K1311" s="152">
        <f>IFERROR(VALUE(SUBSTITUTE(INDEX('04A_국토부원자료'!$A:$T,ROW()+1,MATCH("건축년도",'04A_국토부원자료'!$A$4:$T$4,0)),",","")),"")</f>
        <v/>
      </c>
      <c r="L1311" s="176">
        <f>IFERROR(INDEX('04A_국토부원자료'!$A:$T,ROW()+1,MATCH("도로명",'04A_국토부원자료'!$A$4:$T$4,0)),"")</f>
        <v/>
      </c>
      <c r="M1311" s="48">
        <f>IFERROR(INDEX('04A_국토부원자료'!$A:$T,ROW()+1,MATCH("거래유형",'04A_국토부원자료'!$A$4:$T$4,0)),"")</f>
        <v/>
      </c>
      <c r="N1311" s="152">
        <f>IF(B1311="","",IF('02_대상물건입력'!B5="",1,IF(ISNUMBER(SEARCH('02_대상물건입력'!B5,B1311)),1,0)))</f>
        <v/>
      </c>
      <c r="O1311" s="152">
        <f>IF(B1311="","",IF('02_대상물건입력'!B6="",1,IF(ISNUMBER(SEARCH('02_대상물건입력'!B6,B1311)),1,0)))</f>
        <v/>
      </c>
      <c r="P1311" s="152">
        <f>IF(L1311="","",IF('02_대상물건입력'!B15="",0,IF(ISNUMBER(SEARCH('02_대상물건입력'!B15,L1311)),1,0)))</f>
        <v/>
      </c>
      <c r="Q1311" s="152">
        <f>IF(OR(C1311="",L1311=""),0,IF(AND(TRIM(C1311)=TRIM(RIGHT(SUBSTITUTE(TRIM('02_대상물건입력'!$B$7)," ",REPT(" ",99)),99)),IF('02_대상물건입력'!B15="",TRUE(),ISNUMBER(SEARCH('02_대상물건입력'!B15,L1311)))),1,0))</f>
        <v/>
      </c>
      <c r="R1311" s="175">
        <f>IFERROR(ABS(E1311-'02_대상물건입력'!B11)/'02_대상물건입력'!B11,"")</f>
        <v/>
      </c>
      <c r="S1311" s="152">
        <f>IFERROR(ABS(J1311-'02_대상물건입력'!B10),"")</f>
        <v/>
      </c>
      <c r="T1311" s="152">
        <f>IFERROR(ABS('01_설정'!B4-F1311),"")</f>
        <v/>
      </c>
      <c r="U1311" s="152">
        <f>IFERROR(ABS(K1311-YEAR('02_대상물건입력'!B14)),"")</f>
        <v/>
      </c>
      <c r="V1311" s="152">
        <f>IF(B1311="","",IF(AND(E1311&gt;0,F1311&gt;0,H1311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1311=1,TRUE()),R1311&lt;='01_설정'!B5,S1311&lt;='01_설정'!B6,T1311&lt;='01_설정'!B7,U1311&lt;='01_설정'!B8),"Y",""))</f>
        <v/>
      </c>
      <c r="W1311" s="172">
        <f>IF(V1311&lt;&gt;"Y","",MAX(0,(1-R1311/'01_설정'!B5))*'01_설정'!B14+MAX(0,(1-S1311/'01_설정'!B6))*'01_설정'!B15+MAX(0,(1-T1311/'01_설정'!B7))*'01_설정'!B16+MAX(0,(1-U1311/'01_설정'!B8))*'01_설정'!B17+O1311*'01_설정'!B11+Q1311*'01_설정'!B12+P1311*'01_설정'!B13+IF(Z1311="",0,Z1311))</f>
        <v/>
      </c>
      <c r="X1311" s="152">
        <f>IF(W1311="","",1+COUNTIFS($W$4:$W$3003,"&gt;"&amp;W1311)+COUNTIFS($W$4:W1311,W1311)-1)</f>
        <v/>
      </c>
      <c r="Y1311" s="175">
        <f>IF(OR(I1311="",'02_대상물건입력'!B19="",'02_대상물건입력'!B19&lt;=0),"",ABS(I1311-'02_대상물건입력'!B19)/'02_대상물건입력'!B19)</f>
        <v/>
      </c>
      <c r="Z1311" s="172">
        <f>IF(OR(Y1311="",'01_설정'!B31="",'01_설정'!B31&lt;=0,'01_설정'!B32="",'01_설정'!B32&lt;=0),"",MAX(0,(1-Y1311/'01_설정'!B32))*'01_설정'!B31)</f>
        <v/>
      </c>
    </row>
    <row r="1312" ht="17.25" customHeight="1">
      <c r="A1312" s="152">
        <f>IF(INDEX('04A_국토부원자료'!$A:$A,ROW()+1)="","",ROW()-3)</f>
        <v/>
      </c>
      <c r="B1312" s="48">
        <f>IFERROR(INDEX('04A_국토부원자료'!$A:$T,ROW()+1,MATCH("시군구",'04A_국토부원자료'!$A$4:$T$4,0)),"")</f>
        <v/>
      </c>
      <c r="C1312" s="48">
        <f>IF(B1312="","",IFERROR(INDEX('04A_국토부원자료'!$A:$T,ROW()+1,MATCH("번지",'04A_국토부원자료'!$A$4:$T$4,0)),""))</f>
        <v/>
      </c>
      <c r="D1312" s="48">
        <f>IF(B1312="","",IF(Q1312=1,'02_대상물건입력'!$B$8,IFERROR(INDEX('04A_국토부원자료'!$A:$T,ROW()+1,MATCH("단지명",'04A_국토부원자료'!$A$4:$T$4,0)),"")))</f>
        <v/>
      </c>
      <c r="E1312" s="172">
        <f>IFERROR(VALUE(SUBSTITUTE(INDEX('04A_국토부원자료'!$A:$T,ROW()+1,MATCH("전용면적(㎡)",'04A_국토부원자료'!$A$4:$T$4,0)),",","")),"")</f>
        <v/>
      </c>
      <c r="F13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12" s="51">
        <f>IFERROR(VALUE(SUBSTITUTE(INDEX('04A_국토부원자료'!$A:$T,ROW()+1,MATCH("거래금액(만원)",'04A_국토부원자료'!$A$4:$T$4,0)),",","")),"")</f>
        <v/>
      </c>
      <c r="H1312" s="174">
        <f>IF(G1312="","",G1312*10000)</f>
        <v/>
      </c>
      <c r="I1312" s="174">
        <f>IFERROR(IF(AND(H1312&gt;0,E1312&gt;0),H1312/E1312,""),"")</f>
        <v/>
      </c>
      <c r="J1312" s="152">
        <f>IFERROR(VALUE(SUBSTITUTE(INDEX('04A_국토부원자료'!$A:$T,ROW()+1,MATCH("층",'04A_국토부원자료'!$A$4:$T$4,0)),",","")),"")</f>
        <v/>
      </c>
      <c r="K1312" s="152">
        <f>IFERROR(VALUE(SUBSTITUTE(INDEX('04A_국토부원자료'!$A:$T,ROW()+1,MATCH("건축년도",'04A_국토부원자료'!$A$4:$T$4,0)),",","")),"")</f>
        <v/>
      </c>
      <c r="L1312" s="176">
        <f>IFERROR(INDEX('04A_국토부원자료'!$A:$T,ROW()+1,MATCH("도로명",'04A_국토부원자료'!$A$4:$T$4,0)),"")</f>
        <v/>
      </c>
      <c r="M1312" s="48">
        <f>IFERROR(INDEX('04A_국토부원자료'!$A:$T,ROW()+1,MATCH("거래유형",'04A_국토부원자료'!$A$4:$T$4,0)),"")</f>
        <v/>
      </c>
      <c r="N1312" s="152">
        <f>IF(B1312="","",IF('02_대상물건입력'!B5="",1,IF(ISNUMBER(SEARCH('02_대상물건입력'!B5,B1312)),1,0)))</f>
        <v/>
      </c>
      <c r="O1312" s="152">
        <f>IF(B1312="","",IF('02_대상물건입력'!B6="",1,IF(ISNUMBER(SEARCH('02_대상물건입력'!B6,B1312)),1,0)))</f>
        <v/>
      </c>
      <c r="P1312" s="152">
        <f>IF(L1312="","",IF('02_대상물건입력'!B15="",0,IF(ISNUMBER(SEARCH('02_대상물건입력'!B15,L1312)),1,0)))</f>
        <v/>
      </c>
      <c r="Q1312" s="152">
        <f>IF(OR(C1312="",L1312=""),0,IF(AND(TRIM(C1312)=TRIM(RIGHT(SUBSTITUTE(TRIM('02_대상물건입력'!$B$7)," ",REPT(" ",99)),99)),IF('02_대상물건입력'!B15="",TRUE(),ISNUMBER(SEARCH('02_대상물건입력'!B15,L1312)))),1,0))</f>
        <v/>
      </c>
      <c r="R1312" s="175">
        <f>IFERROR(ABS(E1312-'02_대상물건입력'!B11)/'02_대상물건입력'!B11,"")</f>
        <v/>
      </c>
      <c r="S1312" s="152">
        <f>IFERROR(ABS(J1312-'02_대상물건입력'!B10),"")</f>
        <v/>
      </c>
      <c r="T1312" s="152">
        <f>IFERROR(ABS('01_설정'!B4-F1312),"")</f>
        <v/>
      </c>
      <c r="U1312" s="152">
        <f>IFERROR(ABS(K1312-YEAR('02_대상물건입력'!B14)),"")</f>
        <v/>
      </c>
      <c r="V1312" s="152">
        <f>IF(B1312="","",IF(AND(E1312&gt;0,F1312&gt;0,H1312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1312=1,TRUE()),R1312&lt;='01_설정'!B5,S1312&lt;='01_설정'!B6,T1312&lt;='01_설정'!B7,U1312&lt;='01_설정'!B8),"Y",""))</f>
        <v/>
      </c>
      <c r="W1312" s="172">
        <f>IF(V1312&lt;&gt;"Y","",MAX(0,(1-R1312/'01_설정'!B5))*'01_설정'!B14+MAX(0,(1-S1312/'01_설정'!B6))*'01_설정'!B15+MAX(0,(1-T1312/'01_설정'!B7))*'01_설정'!B16+MAX(0,(1-U1312/'01_설정'!B8))*'01_설정'!B17+O1312*'01_설정'!B11+Q1312*'01_설정'!B12+P1312*'01_설정'!B13+IF(Z1312="",0,Z1312))</f>
        <v/>
      </c>
      <c r="X1312" s="152">
        <f>IF(W1312="","",1+COUNTIFS($W$4:$W$3003,"&gt;"&amp;W1312)+COUNTIFS($W$4:W1312,W1312)-1)</f>
        <v/>
      </c>
      <c r="Y1312" s="175">
        <f>IF(OR(I1312="",'02_대상물건입력'!B19="",'02_대상물건입력'!B19&lt;=0),"",ABS(I1312-'02_대상물건입력'!B19)/'02_대상물건입력'!B19)</f>
        <v/>
      </c>
      <c r="Z1312" s="172">
        <f>IF(OR(Y1312="",'01_설정'!B31="",'01_설정'!B31&lt;=0,'01_설정'!B32="",'01_설정'!B32&lt;=0),"",MAX(0,(1-Y1312/'01_설정'!B32))*'01_설정'!B31)</f>
        <v/>
      </c>
    </row>
    <row r="1313" ht="17.25" customHeight="1">
      <c r="A1313" s="152">
        <f>IF(INDEX('04A_국토부원자료'!$A:$A,ROW()+1)="","",ROW()-3)</f>
        <v/>
      </c>
      <c r="B1313" s="48">
        <f>IFERROR(INDEX('04A_국토부원자료'!$A:$T,ROW()+1,MATCH("시군구",'04A_국토부원자료'!$A$4:$T$4,0)),"")</f>
        <v/>
      </c>
      <c r="C1313" s="48">
        <f>IF(B1313="","",IFERROR(INDEX('04A_국토부원자료'!$A:$T,ROW()+1,MATCH("번지",'04A_국토부원자료'!$A$4:$T$4,0)),""))</f>
        <v/>
      </c>
      <c r="D1313" s="48">
        <f>IF(B1313="","",IF(Q1313=1,'02_대상물건입력'!$B$8,IFERROR(INDEX('04A_국토부원자료'!$A:$T,ROW()+1,MATCH("단지명",'04A_국토부원자료'!$A$4:$T$4,0)),"")))</f>
        <v/>
      </c>
      <c r="E1313" s="172">
        <f>IFERROR(VALUE(SUBSTITUTE(INDEX('04A_국토부원자료'!$A:$T,ROW()+1,MATCH("전용면적(㎡)",'04A_국토부원자료'!$A$4:$T$4,0)),",","")),"")</f>
        <v/>
      </c>
      <c r="F13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13" s="51">
        <f>IFERROR(VALUE(SUBSTITUTE(INDEX('04A_국토부원자료'!$A:$T,ROW()+1,MATCH("거래금액(만원)",'04A_국토부원자료'!$A$4:$T$4,0)),",","")),"")</f>
        <v/>
      </c>
      <c r="H1313" s="174">
        <f>IF(G1313="","",G1313*10000)</f>
        <v/>
      </c>
      <c r="I1313" s="174">
        <f>IFERROR(IF(AND(H1313&gt;0,E1313&gt;0),H1313/E1313,""),"")</f>
        <v/>
      </c>
      <c r="J1313" s="152">
        <f>IFERROR(VALUE(SUBSTITUTE(INDEX('04A_국토부원자료'!$A:$T,ROW()+1,MATCH("층",'04A_국토부원자료'!$A$4:$T$4,0)),",","")),"")</f>
        <v/>
      </c>
      <c r="K1313" s="152">
        <f>IFERROR(VALUE(SUBSTITUTE(INDEX('04A_국토부원자료'!$A:$T,ROW()+1,MATCH("건축년도",'04A_국토부원자료'!$A$4:$T$4,0)),",","")),"")</f>
        <v/>
      </c>
      <c r="L1313" s="176">
        <f>IFERROR(INDEX('04A_국토부원자료'!$A:$T,ROW()+1,MATCH("도로명",'04A_국토부원자료'!$A$4:$T$4,0)),"")</f>
        <v/>
      </c>
      <c r="M1313" s="48">
        <f>IFERROR(INDEX('04A_국토부원자료'!$A:$T,ROW()+1,MATCH("거래유형",'04A_국토부원자료'!$A$4:$T$4,0)),"")</f>
        <v/>
      </c>
      <c r="N1313" s="152">
        <f>IF(B1313="","",IF('02_대상물건입력'!B5="",1,IF(ISNUMBER(SEARCH('02_대상물건입력'!B5,B1313)),1,0)))</f>
        <v/>
      </c>
      <c r="O1313" s="152">
        <f>IF(B1313="","",IF('02_대상물건입력'!B6="",1,IF(ISNUMBER(SEARCH('02_대상물건입력'!B6,B1313)),1,0)))</f>
        <v/>
      </c>
      <c r="P1313" s="152">
        <f>IF(L1313="","",IF('02_대상물건입력'!B15="",0,IF(ISNUMBER(SEARCH('02_대상물건입력'!B15,L1313)),1,0)))</f>
        <v/>
      </c>
      <c r="Q1313" s="152">
        <f>IF(OR(C1313="",L1313=""),0,IF(AND(TRIM(C1313)=TRIM(RIGHT(SUBSTITUTE(TRIM('02_대상물건입력'!$B$7)," ",REPT(" ",99)),99)),IF('02_대상물건입력'!B15="",TRUE(),ISNUMBER(SEARCH('02_대상물건입력'!B15,L1313)))),1,0))</f>
        <v/>
      </c>
      <c r="R1313" s="175">
        <f>IFERROR(ABS(E1313-'02_대상물건입력'!B11)/'02_대상물건입력'!B11,"")</f>
        <v/>
      </c>
      <c r="S1313" s="152">
        <f>IFERROR(ABS(J1313-'02_대상물건입력'!B10),"")</f>
        <v/>
      </c>
      <c r="T1313" s="152">
        <f>IFERROR(ABS('01_설정'!B4-F1313),"")</f>
        <v/>
      </c>
      <c r="U1313" s="152">
        <f>IFERROR(ABS(K1313-YEAR('02_대상물건입력'!B14)),"")</f>
        <v/>
      </c>
      <c r="V1313" s="152">
        <f>IF(B1313="","",IF(AND(E1313&gt;0,F1313&gt;0,H1313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1313=1,TRUE()),R1313&lt;='01_설정'!B5,S1313&lt;='01_설정'!B6,T1313&lt;='01_설정'!B7,U1313&lt;='01_설정'!B8),"Y",""))</f>
        <v/>
      </c>
      <c r="W1313" s="172">
        <f>IF(V1313&lt;&gt;"Y","",MAX(0,(1-R1313/'01_설정'!B5))*'01_설정'!B14+MAX(0,(1-S1313/'01_설정'!B6))*'01_설정'!B15+MAX(0,(1-T1313/'01_설정'!B7))*'01_설정'!B16+MAX(0,(1-U1313/'01_설정'!B8))*'01_설정'!B17+O1313*'01_설정'!B11+Q1313*'01_설정'!B12+P1313*'01_설정'!B13+IF(Z1313="",0,Z1313))</f>
        <v/>
      </c>
      <c r="X1313" s="152">
        <f>IF(W1313="","",1+COUNTIFS($W$4:$W$3003,"&gt;"&amp;W1313)+COUNTIFS($W$4:W1313,W1313)-1)</f>
        <v/>
      </c>
      <c r="Y1313" s="175">
        <f>IF(OR(I1313="",'02_대상물건입력'!B19="",'02_대상물건입력'!B19&lt;=0),"",ABS(I1313-'02_대상물건입력'!B19)/'02_대상물건입력'!B19)</f>
        <v/>
      </c>
      <c r="Z1313" s="172">
        <f>IF(OR(Y1313="",'01_설정'!B31="",'01_설정'!B31&lt;=0,'01_설정'!B32="",'01_설정'!B32&lt;=0),"",MAX(0,(1-Y1313/'01_설정'!B32))*'01_설정'!B31)</f>
        <v/>
      </c>
    </row>
    <row r="1314" ht="17.25" customHeight="1">
      <c r="A1314" s="152">
        <f>IF(INDEX('04A_국토부원자료'!$A:$A,ROW()+1)="","",ROW()-3)</f>
        <v/>
      </c>
      <c r="B1314" s="48">
        <f>IFERROR(INDEX('04A_국토부원자료'!$A:$T,ROW()+1,MATCH("시군구",'04A_국토부원자료'!$A$4:$T$4,0)),"")</f>
        <v/>
      </c>
      <c r="C1314" s="48">
        <f>IF(B1314="","",IFERROR(INDEX('04A_국토부원자료'!$A:$T,ROW()+1,MATCH("번지",'04A_국토부원자료'!$A$4:$T$4,0)),""))</f>
        <v/>
      </c>
      <c r="D1314" s="48">
        <f>IF(B1314="","",IF(Q1314=1,'02_대상물건입력'!$B$8,IFERROR(INDEX('04A_국토부원자료'!$A:$T,ROW()+1,MATCH("단지명",'04A_국토부원자료'!$A$4:$T$4,0)),"")))</f>
        <v/>
      </c>
      <c r="E1314" s="172">
        <f>IFERROR(VALUE(SUBSTITUTE(INDEX('04A_국토부원자료'!$A:$T,ROW()+1,MATCH("전용면적(㎡)",'04A_국토부원자료'!$A$4:$T$4,0)),",","")),"")</f>
        <v/>
      </c>
      <c r="F13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14" s="51">
        <f>IFERROR(VALUE(SUBSTITUTE(INDEX('04A_국토부원자료'!$A:$T,ROW()+1,MATCH("거래금액(만원)",'04A_국토부원자료'!$A$4:$T$4,0)),",","")),"")</f>
        <v/>
      </c>
      <c r="H1314" s="174">
        <f>IF(G1314="","",G1314*10000)</f>
        <v/>
      </c>
      <c r="I1314" s="174">
        <f>IFERROR(IF(AND(H1314&gt;0,E1314&gt;0),H1314/E1314,""),"")</f>
        <v/>
      </c>
      <c r="J1314" s="152">
        <f>IFERROR(VALUE(SUBSTITUTE(INDEX('04A_국토부원자료'!$A:$T,ROW()+1,MATCH("층",'04A_국토부원자료'!$A$4:$T$4,0)),",","")),"")</f>
        <v/>
      </c>
      <c r="K1314" s="152">
        <f>IFERROR(VALUE(SUBSTITUTE(INDEX('04A_국토부원자료'!$A:$T,ROW()+1,MATCH("건축년도",'04A_국토부원자료'!$A$4:$T$4,0)),",","")),"")</f>
        <v/>
      </c>
      <c r="L1314" s="176">
        <f>IFERROR(INDEX('04A_국토부원자료'!$A:$T,ROW()+1,MATCH("도로명",'04A_국토부원자료'!$A$4:$T$4,0)),"")</f>
        <v/>
      </c>
      <c r="M1314" s="48">
        <f>IFERROR(INDEX('04A_국토부원자료'!$A:$T,ROW()+1,MATCH("거래유형",'04A_국토부원자료'!$A$4:$T$4,0)),"")</f>
        <v/>
      </c>
      <c r="N1314" s="152">
        <f>IF(B1314="","",IF('02_대상물건입력'!B5="",1,IF(ISNUMBER(SEARCH('02_대상물건입력'!B5,B1314)),1,0)))</f>
        <v/>
      </c>
      <c r="O1314" s="152">
        <f>IF(B1314="","",IF('02_대상물건입력'!B6="",1,IF(ISNUMBER(SEARCH('02_대상물건입력'!B6,B1314)),1,0)))</f>
        <v/>
      </c>
      <c r="P1314" s="152">
        <f>IF(L1314="","",IF('02_대상물건입력'!B15="",0,IF(ISNUMBER(SEARCH('02_대상물건입력'!B15,L1314)),1,0)))</f>
        <v/>
      </c>
      <c r="Q1314" s="152">
        <f>IF(OR(C1314="",L1314=""),0,IF(AND(TRIM(C1314)=TRIM(RIGHT(SUBSTITUTE(TRIM('02_대상물건입력'!$B$7)," ",REPT(" ",99)),99)),IF('02_대상물건입력'!B15="",TRUE(),ISNUMBER(SEARCH('02_대상물건입력'!B15,L1314)))),1,0))</f>
        <v/>
      </c>
      <c r="R1314" s="175">
        <f>IFERROR(ABS(E1314-'02_대상물건입력'!B11)/'02_대상물건입력'!B11,"")</f>
        <v/>
      </c>
      <c r="S1314" s="152">
        <f>IFERROR(ABS(J1314-'02_대상물건입력'!B10),"")</f>
        <v/>
      </c>
      <c r="T1314" s="152">
        <f>IFERROR(ABS('01_설정'!B4-F1314),"")</f>
        <v/>
      </c>
      <c r="U1314" s="152">
        <f>IFERROR(ABS(K1314-YEAR('02_대상물건입력'!B14)),"")</f>
        <v/>
      </c>
      <c r="V1314" s="152">
        <f>IF(B1314="","",IF(AND(E1314&gt;0,F1314&gt;0,H1314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1314=1,TRUE()),R1314&lt;='01_설정'!B5,S1314&lt;='01_설정'!B6,T1314&lt;='01_설정'!B7,U1314&lt;='01_설정'!B8),"Y",""))</f>
        <v/>
      </c>
      <c r="W1314" s="172">
        <f>IF(V1314&lt;&gt;"Y","",MAX(0,(1-R1314/'01_설정'!B5))*'01_설정'!B14+MAX(0,(1-S1314/'01_설정'!B6))*'01_설정'!B15+MAX(0,(1-T1314/'01_설정'!B7))*'01_설정'!B16+MAX(0,(1-U1314/'01_설정'!B8))*'01_설정'!B17+O1314*'01_설정'!B11+Q1314*'01_설정'!B12+P1314*'01_설정'!B13+IF(Z1314="",0,Z1314))</f>
        <v/>
      </c>
      <c r="X1314" s="152">
        <f>IF(W1314="","",1+COUNTIFS($W$4:$W$3003,"&gt;"&amp;W1314)+COUNTIFS($W$4:W1314,W1314)-1)</f>
        <v/>
      </c>
      <c r="Y1314" s="175">
        <f>IF(OR(I1314="",'02_대상물건입력'!B19="",'02_대상물건입력'!B19&lt;=0),"",ABS(I1314-'02_대상물건입력'!B19)/'02_대상물건입력'!B19)</f>
        <v/>
      </c>
      <c r="Z1314" s="172">
        <f>IF(OR(Y1314="",'01_설정'!B31="",'01_설정'!B31&lt;=0,'01_설정'!B32="",'01_설정'!B32&lt;=0),"",MAX(0,(1-Y1314/'01_설정'!B32))*'01_설정'!B31)</f>
        <v/>
      </c>
    </row>
    <row r="1315" ht="17.25" customHeight="1">
      <c r="A1315" s="152">
        <f>IF(INDEX('04A_국토부원자료'!$A:$A,ROW()+1)="","",ROW()-3)</f>
        <v/>
      </c>
      <c r="B1315" s="48">
        <f>IFERROR(INDEX('04A_국토부원자료'!$A:$T,ROW()+1,MATCH("시군구",'04A_국토부원자료'!$A$4:$T$4,0)),"")</f>
        <v/>
      </c>
      <c r="C1315" s="48">
        <f>IF(B1315="","",IFERROR(INDEX('04A_국토부원자료'!$A:$T,ROW()+1,MATCH("번지",'04A_국토부원자료'!$A$4:$T$4,0)),""))</f>
        <v/>
      </c>
      <c r="D1315" s="48">
        <f>IF(B1315="","",IF(Q1315=1,'02_대상물건입력'!$B$8,IFERROR(INDEX('04A_국토부원자료'!$A:$T,ROW()+1,MATCH("단지명",'04A_국토부원자료'!$A$4:$T$4,0)),"")))</f>
        <v/>
      </c>
      <c r="E1315" s="172">
        <f>IFERROR(VALUE(SUBSTITUTE(INDEX('04A_국토부원자료'!$A:$T,ROW()+1,MATCH("전용면적(㎡)",'04A_국토부원자료'!$A$4:$T$4,0)),",","")),"")</f>
        <v/>
      </c>
      <c r="F13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15" s="51">
        <f>IFERROR(VALUE(SUBSTITUTE(INDEX('04A_국토부원자료'!$A:$T,ROW()+1,MATCH("거래금액(만원)",'04A_국토부원자료'!$A$4:$T$4,0)),",","")),"")</f>
        <v/>
      </c>
      <c r="H1315" s="174">
        <f>IF(G1315="","",G1315*10000)</f>
        <v/>
      </c>
      <c r="I1315" s="174">
        <f>IFERROR(IF(AND(H1315&gt;0,E1315&gt;0),H1315/E1315,""),"")</f>
        <v/>
      </c>
      <c r="J1315" s="152">
        <f>IFERROR(VALUE(SUBSTITUTE(INDEX('04A_국토부원자료'!$A:$T,ROW()+1,MATCH("층",'04A_국토부원자료'!$A$4:$T$4,0)),",","")),"")</f>
        <v/>
      </c>
      <c r="K1315" s="152">
        <f>IFERROR(VALUE(SUBSTITUTE(INDEX('04A_국토부원자료'!$A:$T,ROW()+1,MATCH("건축년도",'04A_국토부원자료'!$A$4:$T$4,0)),",","")),"")</f>
        <v/>
      </c>
      <c r="L1315" s="176">
        <f>IFERROR(INDEX('04A_국토부원자료'!$A:$T,ROW()+1,MATCH("도로명",'04A_국토부원자료'!$A$4:$T$4,0)),"")</f>
        <v/>
      </c>
      <c r="M1315" s="48">
        <f>IFERROR(INDEX('04A_국토부원자료'!$A:$T,ROW()+1,MATCH("거래유형",'04A_국토부원자료'!$A$4:$T$4,0)),"")</f>
        <v/>
      </c>
      <c r="N1315" s="152">
        <f>IF(B1315="","",IF('02_대상물건입력'!B5="",1,IF(ISNUMBER(SEARCH('02_대상물건입력'!B5,B1315)),1,0)))</f>
        <v/>
      </c>
      <c r="O1315" s="152">
        <f>IF(B1315="","",IF('02_대상물건입력'!B6="",1,IF(ISNUMBER(SEARCH('02_대상물건입력'!B6,B1315)),1,0)))</f>
        <v/>
      </c>
      <c r="P1315" s="152">
        <f>IF(L1315="","",IF('02_대상물건입력'!B15="",0,IF(ISNUMBER(SEARCH('02_대상물건입력'!B15,L1315)),1,0)))</f>
        <v/>
      </c>
      <c r="Q1315" s="152">
        <f>IF(OR(C1315="",L1315=""),0,IF(AND(TRIM(C1315)=TRIM(RIGHT(SUBSTITUTE(TRIM('02_대상물건입력'!$B$7)," ",REPT(" ",99)),99)),IF('02_대상물건입력'!B15="",TRUE(),ISNUMBER(SEARCH('02_대상물건입력'!B15,L1315)))),1,0))</f>
        <v/>
      </c>
      <c r="R1315" s="175">
        <f>IFERROR(ABS(E1315-'02_대상물건입력'!B11)/'02_대상물건입력'!B11,"")</f>
        <v/>
      </c>
      <c r="S1315" s="152">
        <f>IFERROR(ABS(J1315-'02_대상물건입력'!B10),"")</f>
        <v/>
      </c>
      <c r="T1315" s="152">
        <f>IFERROR(ABS('01_설정'!B4-F1315),"")</f>
        <v/>
      </c>
      <c r="U1315" s="152">
        <f>IFERROR(ABS(K1315-YEAR('02_대상물건입력'!B14)),"")</f>
        <v/>
      </c>
      <c r="V1315" s="152">
        <f>IF(B1315="","",IF(AND(E1315&gt;0,F1315&gt;0,H1315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1315=1,TRUE()),R1315&lt;='01_설정'!B5,S1315&lt;='01_설정'!B6,T1315&lt;='01_설정'!B7,U1315&lt;='01_설정'!B8),"Y",""))</f>
        <v/>
      </c>
      <c r="W1315" s="172">
        <f>IF(V1315&lt;&gt;"Y","",MAX(0,(1-R1315/'01_설정'!B5))*'01_설정'!B14+MAX(0,(1-S1315/'01_설정'!B6))*'01_설정'!B15+MAX(0,(1-T1315/'01_설정'!B7))*'01_설정'!B16+MAX(0,(1-U1315/'01_설정'!B8))*'01_설정'!B17+O1315*'01_설정'!B11+Q1315*'01_설정'!B12+P1315*'01_설정'!B13+IF(Z1315="",0,Z1315))</f>
        <v/>
      </c>
      <c r="X1315" s="152">
        <f>IF(W1315="","",1+COUNTIFS($W$4:$W$3003,"&gt;"&amp;W1315)+COUNTIFS($W$4:W1315,W1315)-1)</f>
        <v/>
      </c>
      <c r="Y1315" s="175">
        <f>IF(OR(I1315="",'02_대상물건입력'!B19="",'02_대상물건입력'!B19&lt;=0),"",ABS(I1315-'02_대상물건입력'!B19)/'02_대상물건입력'!B19)</f>
        <v/>
      </c>
      <c r="Z1315" s="172">
        <f>IF(OR(Y1315="",'01_설정'!B31="",'01_설정'!B31&lt;=0,'01_설정'!B32="",'01_설정'!B32&lt;=0),"",MAX(0,(1-Y1315/'01_설정'!B32))*'01_설정'!B31)</f>
        <v/>
      </c>
    </row>
    <row r="1316" ht="17.25" customHeight="1">
      <c r="A1316" s="152">
        <f>IF(INDEX('04A_국토부원자료'!$A:$A,ROW()+1)="","",ROW()-3)</f>
        <v/>
      </c>
      <c r="B1316" s="48">
        <f>IFERROR(INDEX('04A_국토부원자료'!$A:$T,ROW()+1,MATCH("시군구",'04A_국토부원자료'!$A$4:$T$4,0)),"")</f>
        <v/>
      </c>
      <c r="C1316" s="48">
        <f>IF(B1316="","",IFERROR(INDEX('04A_국토부원자료'!$A:$T,ROW()+1,MATCH("번지",'04A_국토부원자료'!$A$4:$T$4,0)),""))</f>
        <v/>
      </c>
      <c r="D1316" s="48">
        <f>IF(B1316="","",IF(Q1316=1,'02_대상물건입력'!$B$8,IFERROR(INDEX('04A_국토부원자료'!$A:$T,ROW()+1,MATCH("단지명",'04A_국토부원자료'!$A$4:$T$4,0)),"")))</f>
        <v/>
      </c>
      <c r="E1316" s="172">
        <f>IFERROR(VALUE(SUBSTITUTE(INDEX('04A_국토부원자료'!$A:$T,ROW()+1,MATCH("전용면적(㎡)",'04A_국토부원자료'!$A$4:$T$4,0)),",","")),"")</f>
        <v/>
      </c>
      <c r="F13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16" s="51">
        <f>IFERROR(VALUE(SUBSTITUTE(INDEX('04A_국토부원자료'!$A:$T,ROW()+1,MATCH("거래금액(만원)",'04A_국토부원자료'!$A$4:$T$4,0)),",","")),"")</f>
        <v/>
      </c>
      <c r="H1316" s="174">
        <f>IF(G1316="","",G1316*10000)</f>
        <v/>
      </c>
      <c r="I1316" s="174">
        <f>IFERROR(IF(AND(H1316&gt;0,E1316&gt;0),H1316/E1316,""),"")</f>
        <v/>
      </c>
      <c r="J1316" s="152">
        <f>IFERROR(VALUE(SUBSTITUTE(INDEX('04A_국토부원자료'!$A:$T,ROW()+1,MATCH("층",'04A_국토부원자료'!$A$4:$T$4,0)),",","")),"")</f>
        <v/>
      </c>
      <c r="K1316" s="152">
        <f>IFERROR(VALUE(SUBSTITUTE(INDEX('04A_국토부원자료'!$A:$T,ROW()+1,MATCH("건축년도",'04A_국토부원자료'!$A$4:$T$4,0)),",","")),"")</f>
        <v/>
      </c>
      <c r="L1316" s="176">
        <f>IFERROR(INDEX('04A_국토부원자료'!$A:$T,ROW()+1,MATCH("도로명",'04A_국토부원자료'!$A$4:$T$4,0)),"")</f>
        <v/>
      </c>
      <c r="M1316" s="48">
        <f>IFERROR(INDEX('04A_국토부원자료'!$A:$T,ROW()+1,MATCH("거래유형",'04A_국토부원자료'!$A$4:$T$4,0)),"")</f>
        <v/>
      </c>
      <c r="N1316" s="152">
        <f>IF(B1316="","",IF('02_대상물건입력'!B5="",1,IF(ISNUMBER(SEARCH('02_대상물건입력'!B5,B1316)),1,0)))</f>
        <v/>
      </c>
      <c r="O1316" s="152">
        <f>IF(B1316="","",IF('02_대상물건입력'!B6="",1,IF(ISNUMBER(SEARCH('02_대상물건입력'!B6,B1316)),1,0)))</f>
        <v/>
      </c>
      <c r="P1316" s="152">
        <f>IF(L1316="","",IF('02_대상물건입력'!B15="",0,IF(ISNUMBER(SEARCH('02_대상물건입력'!B15,L1316)),1,0)))</f>
        <v/>
      </c>
      <c r="Q1316" s="152">
        <f>IF(OR(C1316="",L1316=""),0,IF(AND(TRIM(C1316)=TRIM(RIGHT(SUBSTITUTE(TRIM('02_대상물건입력'!$B$7)," ",REPT(" ",99)),99)),IF('02_대상물건입력'!B15="",TRUE(),ISNUMBER(SEARCH('02_대상물건입력'!B15,L1316)))),1,0))</f>
        <v/>
      </c>
      <c r="R1316" s="175">
        <f>IFERROR(ABS(E1316-'02_대상물건입력'!B11)/'02_대상물건입력'!B11,"")</f>
        <v/>
      </c>
      <c r="S1316" s="152">
        <f>IFERROR(ABS(J1316-'02_대상물건입력'!B10),"")</f>
        <v/>
      </c>
      <c r="T1316" s="152">
        <f>IFERROR(ABS('01_설정'!B4-F1316),"")</f>
        <v/>
      </c>
      <c r="U1316" s="152">
        <f>IFERROR(ABS(K1316-YEAR('02_대상물건입력'!B14)),"")</f>
        <v/>
      </c>
      <c r="V1316" s="152">
        <f>IF(B1316="","",IF(AND(E1316&gt;0,F1316&gt;0,H1316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1316=1,TRUE()),R1316&lt;='01_설정'!B5,S1316&lt;='01_설정'!B6,T1316&lt;='01_설정'!B7,U1316&lt;='01_설정'!B8),"Y",""))</f>
        <v/>
      </c>
      <c r="W1316" s="172">
        <f>IF(V1316&lt;&gt;"Y","",MAX(0,(1-R1316/'01_설정'!B5))*'01_설정'!B14+MAX(0,(1-S1316/'01_설정'!B6))*'01_설정'!B15+MAX(0,(1-T1316/'01_설정'!B7))*'01_설정'!B16+MAX(0,(1-U1316/'01_설정'!B8))*'01_설정'!B17+O1316*'01_설정'!B11+Q1316*'01_설정'!B12+P1316*'01_설정'!B13+IF(Z1316="",0,Z1316))</f>
        <v/>
      </c>
      <c r="X1316" s="152">
        <f>IF(W1316="","",1+COUNTIFS($W$4:$W$3003,"&gt;"&amp;W1316)+COUNTIFS($W$4:W1316,W1316)-1)</f>
        <v/>
      </c>
      <c r="Y1316" s="175">
        <f>IF(OR(I1316="",'02_대상물건입력'!B19="",'02_대상물건입력'!B19&lt;=0),"",ABS(I1316-'02_대상물건입력'!B19)/'02_대상물건입력'!B19)</f>
        <v/>
      </c>
      <c r="Z1316" s="172">
        <f>IF(OR(Y1316="",'01_설정'!B31="",'01_설정'!B31&lt;=0,'01_설정'!B32="",'01_설정'!B32&lt;=0),"",MAX(0,(1-Y1316/'01_설정'!B32))*'01_설정'!B31)</f>
        <v/>
      </c>
    </row>
    <row r="1317" ht="17.25" customHeight="1">
      <c r="A1317" s="152">
        <f>IF(INDEX('04A_국토부원자료'!$A:$A,ROW()+1)="","",ROW()-3)</f>
        <v/>
      </c>
      <c r="B1317" s="48">
        <f>IFERROR(INDEX('04A_국토부원자료'!$A:$T,ROW()+1,MATCH("시군구",'04A_국토부원자료'!$A$4:$T$4,0)),"")</f>
        <v/>
      </c>
      <c r="C1317" s="48">
        <f>IF(B1317="","",IFERROR(INDEX('04A_국토부원자료'!$A:$T,ROW()+1,MATCH("번지",'04A_국토부원자료'!$A$4:$T$4,0)),""))</f>
        <v/>
      </c>
      <c r="D1317" s="48">
        <f>IF(B1317="","",IF(Q1317=1,'02_대상물건입력'!$B$8,IFERROR(INDEX('04A_국토부원자료'!$A:$T,ROW()+1,MATCH("단지명",'04A_국토부원자료'!$A$4:$T$4,0)),"")))</f>
        <v/>
      </c>
      <c r="E1317" s="172">
        <f>IFERROR(VALUE(SUBSTITUTE(INDEX('04A_국토부원자료'!$A:$T,ROW()+1,MATCH("전용면적(㎡)",'04A_국토부원자료'!$A$4:$T$4,0)),",","")),"")</f>
        <v/>
      </c>
      <c r="F13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17" s="51">
        <f>IFERROR(VALUE(SUBSTITUTE(INDEX('04A_국토부원자료'!$A:$T,ROW()+1,MATCH("거래금액(만원)",'04A_국토부원자료'!$A$4:$T$4,0)),",","")),"")</f>
        <v/>
      </c>
      <c r="H1317" s="174">
        <f>IF(G1317="","",G1317*10000)</f>
        <v/>
      </c>
      <c r="I1317" s="174">
        <f>IFERROR(IF(AND(H1317&gt;0,E1317&gt;0),H1317/E1317,""),"")</f>
        <v/>
      </c>
      <c r="J1317" s="152">
        <f>IFERROR(VALUE(SUBSTITUTE(INDEX('04A_국토부원자료'!$A:$T,ROW()+1,MATCH("층",'04A_국토부원자료'!$A$4:$T$4,0)),",","")),"")</f>
        <v/>
      </c>
      <c r="K1317" s="152">
        <f>IFERROR(VALUE(SUBSTITUTE(INDEX('04A_국토부원자료'!$A:$T,ROW()+1,MATCH("건축년도",'04A_국토부원자료'!$A$4:$T$4,0)),",","")),"")</f>
        <v/>
      </c>
      <c r="L1317" s="176">
        <f>IFERROR(INDEX('04A_국토부원자료'!$A:$T,ROW()+1,MATCH("도로명",'04A_국토부원자료'!$A$4:$T$4,0)),"")</f>
        <v/>
      </c>
      <c r="M1317" s="48">
        <f>IFERROR(INDEX('04A_국토부원자료'!$A:$T,ROW()+1,MATCH("거래유형",'04A_국토부원자료'!$A$4:$T$4,0)),"")</f>
        <v/>
      </c>
      <c r="N1317" s="152">
        <f>IF(B1317="","",IF('02_대상물건입력'!B5="",1,IF(ISNUMBER(SEARCH('02_대상물건입력'!B5,B1317)),1,0)))</f>
        <v/>
      </c>
      <c r="O1317" s="152">
        <f>IF(B1317="","",IF('02_대상물건입력'!B6="",1,IF(ISNUMBER(SEARCH('02_대상물건입력'!B6,B1317)),1,0)))</f>
        <v/>
      </c>
      <c r="P1317" s="152">
        <f>IF(L1317="","",IF('02_대상물건입력'!B15="",0,IF(ISNUMBER(SEARCH('02_대상물건입력'!B15,L1317)),1,0)))</f>
        <v/>
      </c>
      <c r="Q1317" s="152">
        <f>IF(OR(C1317="",L1317=""),0,IF(AND(TRIM(C1317)=TRIM(RIGHT(SUBSTITUTE(TRIM('02_대상물건입력'!$B$7)," ",REPT(" ",99)),99)),IF('02_대상물건입력'!B15="",TRUE(),ISNUMBER(SEARCH('02_대상물건입력'!B15,L1317)))),1,0))</f>
        <v/>
      </c>
      <c r="R1317" s="175">
        <f>IFERROR(ABS(E1317-'02_대상물건입력'!B11)/'02_대상물건입력'!B11,"")</f>
        <v/>
      </c>
      <c r="S1317" s="152">
        <f>IFERROR(ABS(J1317-'02_대상물건입력'!B10),"")</f>
        <v/>
      </c>
      <c r="T1317" s="152">
        <f>IFERROR(ABS('01_설정'!B4-F1317),"")</f>
        <v/>
      </c>
      <c r="U1317" s="152">
        <f>IFERROR(ABS(K1317-YEAR('02_대상물건입력'!B14)),"")</f>
        <v/>
      </c>
      <c r="V1317" s="152">
        <f>IF(B1317="","",IF(AND(E1317&gt;0,F1317&gt;0,H1317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1317=1,TRUE()),R1317&lt;='01_설정'!B5,S1317&lt;='01_설정'!B6,T1317&lt;='01_설정'!B7,U1317&lt;='01_설정'!B8),"Y",""))</f>
        <v/>
      </c>
      <c r="W1317" s="172">
        <f>IF(V1317&lt;&gt;"Y","",MAX(0,(1-R1317/'01_설정'!B5))*'01_설정'!B14+MAX(0,(1-S1317/'01_설정'!B6))*'01_설정'!B15+MAX(0,(1-T1317/'01_설정'!B7))*'01_설정'!B16+MAX(0,(1-U1317/'01_설정'!B8))*'01_설정'!B17+O1317*'01_설정'!B11+Q1317*'01_설정'!B12+P1317*'01_설정'!B13+IF(Z1317="",0,Z1317))</f>
        <v/>
      </c>
      <c r="X1317" s="152">
        <f>IF(W1317="","",1+COUNTIFS($W$4:$W$3003,"&gt;"&amp;W1317)+COUNTIFS($W$4:W1317,W1317)-1)</f>
        <v/>
      </c>
      <c r="Y1317" s="175">
        <f>IF(OR(I1317="",'02_대상물건입력'!B19="",'02_대상물건입력'!B19&lt;=0),"",ABS(I1317-'02_대상물건입력'!B19)/'02_대상물건입력'!B19)</f>
        <v/>
      </c>
      <c r="Z1317" s="172">
        <f>IF(OR(Y1317="",'01_설정'!B31="",'01_설정'!B31&lt;=0,'01_설정'!B32="",'01_설정'!B32&lt;=0),"",MAX(0,(1-Y1317/'01_설정'!B32))*'01_설정'!B31)</f>
        <v/>
      </c>
    </row>
    <row r="1318" ht="17.25" customHeight="1">
      <c r="A1318" s="152">
        <f>IF(INDEX('04A_국토부원자료'!$A:$A,ROW()+1)="","",ROW()-3)</f>
        <v/>
      </c>
      <c r="B1318" s="48">
        <f>IFERROR(INDEX('04A_국토부원자료'!$A:$T,ROW()+1,MATCH("시군구",'04A_국토부원자료'!$A$4:$T$4,0)),"")</f>
        <v/>
      </c>
      <c r="C1318" s="48">
        <f>IF(B1318="","",IFERROR(INDEX('04A_국토부원자료'!$A:$T,ROW()+1,MATCH("번지",'04A_국토부원자료'!$A$4:$T$4,0)),""))</f>
        <v/>
      </c>
      <c r="D1318" s="48">
        <f>IF(B1318="","",IF(Q1318=1,'02_대상물건입력'!$B$8,IFERROR(INDEX('04A_국토부원자료'!$A:$T,ROW()+1,MATCH("단지명",'04A_국토부원자료'!$A$4:$T$4,0)),"")))</f>
        <v/>
      </c>
      <c r="E1318" s="172">
        <f>IFERROR(VALUE(SUBSTITUTE(INDEX('04A_국토부원자료'!$A:$T,ROW()+1,MATCH("전용면적(㎡)",'04A_국토부원자료'!$A$4:$T$4,0)),",","")),"")</f>
        <v/>
      </c>
      <c r="F13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18" s="51">
        <f>IFERROR(VALUE(SUBSTITUTE(INDEX('04A_국토부원자료'!$A:$T,ROW()+1,MATCH("거래금액(만원)",'04A_국토부원자료'!$A$4:$T$4,0)),",","")),"")</f>
        <v/>
      </c>
      <c r="H1318" s="174">
        <f>IF(G1318="","",G1318*10000)</f>
        <v/>
      </c>
      <c r="I1318" s="174">
        <f>IFERROR(IF(AND(H1318&gt;0,E1318&gt;0),H1318/E1318,""),"")</f>
        <v/>
      </c>
      <c r="J1318" s="152">
        <f>IFERROR(VALUE(SUBSTITUTE(INDEX('04A_국토부원자료'!$A:$T,ROW()+1,MATCH("층",'04A_국토부원자료'!$A$4:$T$4,0)),",","")),"")</f>
        <v/>
      </c>
      <c r="K1318" s="152">
        <f>IFERROR(VALUE(SUBSTITUTE(INDEX('04A_국토부원자료'!$A:$T,ROW()+1,MATCH("건축년도",'04A_국토부원자료'!$A$4:$T$4,0)),",","")),"")</f>
        <v/>
      </c>
      <c r="L1318" s="176">
        <f>IFERROR(INDEX('04A_국토부원자료'!$A:$T,ROW()+1,MATCH("도로명",'04A_국토부원자료'!$A$4:$T$4,0)),"")</f>
        <v/>
      </c>
      <c r="M1318" s="48">
        <f>IFERROR(INDEX('04A_국토부원자료'!$A:$T,ROW()+1,MATCH("거래유형",'04A_국토부원자료'!$A$4:$T$4,0)),"")</f>
        <v/>
      </c>
      <c r="N1318" s="152">
        <f>IF(B1318="","",IF('02_대상물건입력'!B5="",1,IF(ISNUMBER(SEARCH('02_대상물건입력'!B5,B1318)),1,0)))</f>
        <v/>
      </c>
      <c r="O1318" s="152">
        <f>IF(B1318="","",IF('02_대상물건입력'!B6="",1,IF(ISNUMBER(SEARCH('02_대상물건입력'!B6,B1318)),1,0)))</f>
        <v/>
      </c>
      <c r="P1318" s="152">
        <f>IF(L1318="","",IF('02_대상물건입력'!B15="",0,IF(ISNUMBER(SEARCH('02_대상물건입력'!B15,L1318)),1,0)))</f>
        <v/>
      </c>
      <c r="Q1318" s="152">
        <f>IF(OR(C1318="",L1318=""),0,IF(AND(TRIM(C1318)=TRIM(RIGHT(SUBSTITUTE(TRIM('02_대상물건입력'!$B$7)," ",REPT(" ",99)),99)),IF('02_대상물건입력'!B15="",TRUE(),ISNUMBER(SEARCH('02_대상물건입력'!B15,L1318)))),1,0))</f>
        <v/>
      </c>
      <c r="R1318" s="175">
        <f>IFERROR(ABS(E1318-'02_대상물건입력'!B11)/'02_대상물건입력'!B11,"")</f>
        <v/>
      </c>
      <c r="S1318" s="152">
        <f>IFERROR(ABS(J1318-'02_대상물건입력'!B10),"")</f>
        <v/>
      </c>
      <c r="T1318" s="152">
        <f>IFERROR(ABS('01_설정'!B4-F1318),"")</f>
        <v/>
      </c>
      <c r="U1318" s="152">
        <f>IFERROR(ABS(K1318-YEAR('02_대상물건입력'!B14)),"")</f>
        <v/>
      </c>
      <c r="V1318" s="152">
        <f>IF(B1318="","",IF(AND(E1318&gt;0,F1318&gt;0,H1318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1318=1,TRUE()),R1318&lt;='01_설정'!B5,S1318&lt;='01_설정'!B6,T1318&lt;='01_설정'!B7,U1318&lt;='01_설정'!B8),"Y",""))</f>
        <v/>
      </c>
      <c r="W1318" s="172">
        <f>IF(V1318&lt;&gt;"Y","",MAX(0,(1-R1318/'01_설정'!B5))*'01_설정'!B14+MAX(0,(1-S1318/'01_설정'!B6))*'01_설정'!B15+MAX(0,(1-T1318/'01_설정'!B7))*'01_설정'!B16+MAX(0,(1-U1318/'01_설정'!B8))*'01_설정'!B17+O1318*'01_설정'!B11+Q1318*'01_설정'!B12+P1318*'01_설정'!B13+IF(Z1318="",0,Z1318))</f>
        <v/>
      </c>
      <c r="X1318" s="152">
        <f>IF(W1318="","",1+COUNTIFS($W$4:$W$3003,"&gt;"&amp;W1318)+COUNTIFS($W$4:W1318,W1318)-1)</f>
        <v/>
      </c>
      <c r="Y1318" s="175">
        <f>IF(OR(I1318="",'02_대상물건입력'!B19="",'02_대상물건입력'!B19&lt;=0),"",ABS(I1318-'02_대상물건입력'!B19)/'02_대상물건입력'!B19)</f>
        <v/>
      </c>
      <c r="Z1318" s="172">
        <f>IF(OR(Y1318="",'01_설정'!B31="",'01_설정'!B31&lt;=0,'01_설정'!B32="",'01_설정'!B32&lt;=0),"",MAX(0,(1-Y1318/'01_설정'!B32))*'01_설정'!B31)</f>
        <v/>
      </c>
    </row>
    <row r="1319" ht="17.25" customHeight="1">
      <c r="A1319" s="152">
        <f>IF(INDEX('04A_국토부원자료'!$A:$A,ROW()+1)="","",ROW()-3)</f>
        <v/>
      </c>
      <c r="B1319" s="48">
        <f>IFERROR(INDEX('04A_국토부원자료'!$A:$T,ROW()+1,MATCH("시군구",'04A_국토부원자료'!$A$4:$T$4,0)),"")</f>
        <v/>
      </c>
      <c r="C1319" s="48">
        <f>IF(B1319="","",IFERROR(INDEX('04A_국토부원자료'!$A:$T,ROW()+1,MATCH("번지",'04A_국토부원자료'!$A$4:$T$4,0)),""))</f>
        <v/>
      </c>
      <c r="D1319" s="48">
        <f>IF(B1319="","",IF(Q1319=1,'02_대상물건입력'!$B$8,IFERROR(INDEX('04A_국토부원자료'!$A:$T,ROW()+1,MATCH("단지명",'04A_국토부원자료'!$A$4:$T$4,0)),"")))</f>
        <v/>
      </c>
      <c r="E1319" s="172">
        <f>IFERROR(VALUE(SUBSTITUTE(INDEX('04A_국토부원자료'!$A:$T,ROW()+1,MATCH("전용면적(㎡)",'04A_국토부원자료'!$A$4:$T$4,0)),",","")),"")</f>
        <v/>
      </c>
      <c r="F13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19" s="51">
        <f>IFERROR(VALUE(SUBSTITUTE(INDEX('04A_국토부원자료'!$A:$T,ROW()+1,MATCH("거래금액(만원)",'04A_국토부원자료'!$A$4:$T$4,0)),",","")),"")</f>
        <v/>
      </c>
      <c r="H1319" s="174">
        <f>IF(G1319="","",G1319*10000)</f>
        <v/>
      </c>
      <c r="I1319" s="174">
        <f>IFERROR(IF(AND(H1319&gt;0,E1319&gt;0),H1319/E1319,""),"")</f>
        <v/>
      </c>
      <c r="J1319" s="152">
        <f>IFERROR(VALUE(SUBSTITUTE(INDEX('04A_국토부원자료'!$A:$T,ROW()+1,MATCH("층",'04A_국토부원자료'!$A$4:$T$4,0)),",","")),"")</f>
        <v/>
      </c>
      <c r="K1319" s="152">
        <f>IFERROR(VALUE(SUBSTITUTE(INDEX('04A_국토부원자료'!$A:$T,ROW()+1,MATCH("건축년도",'04A_국토부원자료'!$A$4:$T$4,0)),",","")),"")</f>
        <v/>
      </c>
      <c r="L1319" s="176">
        <f>IFERROR(INDEX('04A_국토부원자료'!$A:$T,ROW()+1,MATCH("도로명",'04A_국토부원자료'!$A$4:$T$4,0)),"")</f>
        <v/>
      </c>
      <c r="M1319" s="48">
        <f>IFERROR(INDEX('04A_국토부원자료'!$A:$T,ROW()+1,MATCH("거래유형",'04A_국토부원자료'!$A$4:$T$4,0)),"")</f>
        <v/>
      </c>
      <c r="N1319" s="152">
        <f>IF(B1319="","",IF('02_대상물건입력'!B5="",1,IF(ISNUMBER(SEARCH('02_대상물건입력'!B5,B1319)),1,0)))</f>
        <v/>
      </c>
      <c r="O1319" s="152">
        <f>IF(B1319="","",IF('02_대상물건입력'!B6="",1,IF(ISNUMBER(SEARCH('02_대상물건입력'!B6,B1319)),1,0)))</f>
        <v/>
      </c>
      <c r="P1319" s="152">
        <f>IF(L1319="","",IF('02_대상물건입력'!B15="",0,IF(ISNUMBER(SEARCH('02_대상물건입력'!B15,L1319)),1,0)))</f>
        <v/>
      </c>
      <c r="Q1319" s="152">
        <f>IF(OR(C1319="",L1319=""),0,IF(AND(TRIM(C1319)=TRIM(RIGHT(SUBSTITUTE(TRIM('02_대상물건입력'!$B$7)," ",REPT(" ",99)),99)),IF('02_대상물건입력'!B15="",TRUE(),ISNUMBER(SEARCH('02_대상물건입력'!B15,L1319)))),1,0))</f>
        <v/>
      </c>
      <c r="R1319" s="175">
        <f>IFERROR(ABS(E1319-'02_대상물건입력'!B11)/'02_대상물건입력'!B11,"")</f>
        <v/>
      </c>
      <c r="S1319" s="152">
        <f>IFERROR(ABS(J1319-'02_대상물건입력'!B10),"")</f>
        <v/>
      </c>
      <c r="T1319" s="152">
        <f>IFERROR(ABS('01_설정'!B4-F1319),"")</f>
        <v/>
      </c>
      <c r="U1319" s="152">
        <f>IFERROR(ABS(K1319-YEAR('02_대상물건입력'!B14)),"")</f>
        <v/>
      </c>
      <c r="V1319" s="152">
        <f>IF(B1319="","",IF(AND(E1319&gt;0,F1319&gt;0,H1319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1319=1,TRUE()),R1319&lt;='01_설정'!B5,S1319&lt;='01_설정'!B6,T1319&lt;='01_설정'!B7,U1319&lt;='01_설정'!B8),"Y",""))</f>
        <v/>
      </c>
      <c r="W1319" s="172">
        <f>IF(V1319&lt;&gt;"Y","",MAX(0,(1-R1319/'01_설정'!B5))*'01_설정'!B14+MAX(0,(1-S1319/'01_설정'!B6))*'01_설정'!B15+MAX(0,(1-T1319/'01_설정'!B7))*'01_설정'!B16+MAX(0,(1-U1319/'01_설정'!B8))*'01_설정'!B17+O1319*'01_설정'!B11+Q1319*'01_설정'!B12+P1319*'01_설정'!B13+IF(Z1319="",0,Z1319))</f>
        <v/>
      </c>
      <c r="X1319" s="152">
        <f>IF(W1319="","",1+COUNTIFS($W$4:$W$3003,"&gt;"&amp;W1319)+COUNTIFS($W$4:W1319,W1319)-1)</f>
        <v/>
      </c>
      <c r="Y1319" s="175">
        <f>IF(OR(I1319="",'02_대상물건입력'!B19="",'02_대상물건입력'!B19&lt;=0),"",ABS(I1319-'02_대상물건입력'!B19)/'02_대상물건입력'!B19)</f>
        <v/>
      </c>
      <c r="Z1319" s="172">
        <f>IF(OR(Y1319="",'01_설정'!B31="",'01_설정'!B31&lt;=0,'01_설정'!B32="",'01_설정'!B32&lt;=0),"",MAX(0,(1-Y1319/'01_설정'!B32))*'01_설정'!B31)</f>
        <v/>
      </c>
    </row>
    <row r="1320" ht="17.25" customHeight="1">
      <c r="A1320" s="152">
        <f>IF(INDEX('04A_국토부원자료'!$A:$A,ROW()+1)="","",ROW()-3)</f>
        <v/>
      </c>
      <c r="B1320" s="48">
        <f>IFERROR(INDEX('04A_국토부원자료'!$A:$T,ROW()+1,MATCH("시군구",'04A_국토부원자료'!$A$4:$T$4,0)),"")</f>
        <v/>
      </c>
      <c r="C1320" s="48">
        <f>IF(B1320="","",IFERROR(INDEX('04A_국토부원자료'!$A:$T,ROW()+1,MATCH("번지",'04A_국토부원자료'!$A$4:$T$4,0)),""))</f>
        <v/>
      </c>
      <c r="D1320" s="48">
        <f>IF(B1320="","",IF(Q1320=1,'02_대상물건입력'!$B$8,IFERROR(INDEX('04A_국토부원자료'!$A:$T,ROW()+1,MATCH("단지명",'04A_국토부원자료'!$A$4:$T$4,0)),"")))</f>
        <v/>
      </c>
      <c r="E1320" s="172">
        <f>IFERROR(VALUE(SUBSTITUTE(INDEX('04A_국토부원자료'!$A:$T,ROW()+1,MATCH("전용면적(㎡)",'04A_국토부원자료'!$A$4:$T$4,0)),",","")),"")</f>
        <v/>
      </c>
      <c r="F13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20" s="51">
        <f>IFERROR(VALUE(SUBSTITUTE(INDEX('04A_국토부원자료'!$A:$T,ROW()+1,MATCH("거래금액(만원)",'04A_국토부원자료'!$A$4:$T$4,0)),",","")),"")</f>
        <v/>
      </c>
      <c r="H1320" s="174">
        <f>IF(G1320="","",G1320*10000)</f>
        <v/>
      </c>
      <c r="I1320" s="174">
        <f>IFERROR(IF(AND(H1320&gt;0,E1320&gt;0),H1320/E1320,""),"")</f>
        <v/>
      </c>
      <c r="J1320" s="152">
        <f>IFERROR(VALUE(SUBSTITUTE(INDEX('04A_국토부원자료'!$A:$T,ROW()+1,MATCH("층",'04A_국토부원자료'!$A$4:$T$4,0)),",","")),"")</f>
        <v/>
      </c>
      <c r="K1320" s="152">
        <f>IFERROR(VALUE(SUBSTITUTE(INDEX('04A_국토부원자료'!$A:$T,ROW()+1,MATCH("건축년도",'04A_국토부원자료'!$A$4:$T$4,0)),",","")),"")</f>
        <v/>
      </c>
      <c r="L1320" s="176">
        <f>IFERROR(INDEX('04A_국토부원자료'!$A:$T,ROW()+1,MATCH("도로명",'04A_국토부원자료'!$A$4:$T$4,0)),"")</f>
        <v/>
      </c>
      <c r="M1320" s="48">
        <f>IFERROR(INDEX('04A_국토부원자료'!$A:$T,ROW()+1,MATCH("거래유형",'04A_국토부원자료'!$A$4:$T$4,0)),"")</f>
        <v/>
      </c>
      <c r="N1320" s="152">
        <f>IF(B1320="","",IF('02_대상물건입력'!B5="",1,IF(ISNUMBER(SEARCH('02_대상물건입력'!B5,B1320)),1,0)))</f>
        <v/>
      </c>
      <c r="O1320" s="152">
        <f>IF(B1320="","",IF('02_대상물건입력'!B6="",1,IF(ISNUMBER(SEARCH('02_대상물건입력'!B6,B1320)),1,0)))</f>
        <v/>
      </c>
      <c r="P1320" s="152">
        <f>IF(L1320="","",IF('02_대상물건입력'!B15="",0,IF(ISNUMBER(SEARCH('02_대상물건입력'!B15,L1320)),1,0)))</f>
        <v/>
      </c>
      <c r="Q1320" s="152">
        <f>IF(OR(C1320="",L1320=""),0,IF(AND(TRIM(C1320)=TRIM(RIGHT(SUBSTITUTE(TRIM('02_대상물건입력'!$B$7)," ",REPT(" ",99)),99)),IF('02_대상물건입력'!B15="",TRUE(),ISNUMBER(SEARCH('02_대상물건입력'!B15,L1320)))),1,0))</f>
        <v/>
      </c>
      <c r="R1320" s="175">
        <f>IFERROR(ABS(E1320-'02_대상물건입력'!B11)/'02_대상물건입력'!B11,"")</f>
        <v/>
      </c>
      <c r="S1320" s="152">
        <f>IFERROR(ABS(J1320-'02_대상물건입력'!B10),"")</f>
        <v/>
      </c>
      <c r="T1320" s="152">
        <f>IFERROR(ABS('01_설정'!B4-F1320),"")</f>
        <v/>
      </c>
      <c r="U1320" s="152">
        <f>IFERROR(ABS(K1320-YEAR('02_대상물건입력'!B14)),"")</f>
        <v/>
      </c>
      <c r="V1320" s="152">
        <f>IF(B1320="","",IF(AND(E1320&gt;0,F1320&gt;0,H1320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1320=1,TRUE()),R1320&lt;='01_설정'!B5,S1320&lt;='01_설정'!B6,T1320&lt;='01_설정'!B7,U1320&lt;='01_설정'!B8),"Y",""))</f>
        <v/>
      </c>
      <c r="W1320" s="172">
        <f>IF(V1320&lt;&gt;"Y","",MAX(0,(1-R1320/'01_설정'!B5))*'01_설정'!B14+MAX(0,(1-S1320/'01_설정'!B6))*'01_설정'!B15+MAX(0,(1-T1320/'01_설정'!B7))*'01_설정'!B16+MAX(0,(1-U1320/'01_설정'!B8))*'01_설정'!B17+O1320*'01_설정'!B11+Q1320*'01_설정'!B12+P1320*'01_설정'!B13+IF(Z1320="",0,Z1320))</f>
        <v/>
      </c>
      <c r="X1320" s="152">
        <f>IF(W1320="","",1+COUNTIFS($W$4:$W$3003,"&gt;"&amp;W1320)+COUNTIFS($W$4:W1320,W1320)-1)</f>
        <v/>
      </c>
      <c r="Y1320" s="175">
        <f>IF(OR(I1320="",'02_대상물건입력'!B19="",'02_대상물건입력'!B19&lt;=0),"",ABS(I1320-'02_대상물건입력'!B19)/'02_대상물건입력'!B19)</f>
        <v/>
      </c>
      <c r="Z1320" s="172">
        <f>IF(OR(Y1320="",'01_설정'!B31="",'01_설정'!B31&lt;=0,'01_설정'!B32="",'01_설정'!B32&lt;=0),"",MAX(0,(1-Y1320/'01_설정'!B32))*'01_설정'!B31)</f>
        <v/>
      </c>
    </row>
    <row r="1321" ht="17.25" customHeight="1">
      <c r="A1321" s="152">
        <f>IF(INDEX('04A_국토부원자료'!$A:$A,ROW()+1)="","",ROW()-3)</f>
        <v/>
      </c>
      <c r="B1321" s="48">
        <f>IFERROR(INDEX('04A_국토부원자료'!$A:$T,ROW()+1,MATCH("시군구",'04A_국토부원자료'!$A$4:$T$4,0)),"")</f>
        <v/>
      </c>
      <c r="C1321" s="48">
        <f>IF(B1321="","",IFERROR(INDEX('04A_국토부원자료'!$A:$T,ROW()+1,MATCH("번지",'04A_국토부원자료'!$A$4:$T$4,0)),""))</f>
        <v/>
      </c>
      <c r="D1321" s="48">
        <f>IF(B1321="","",IF(Q1321=1,'02_대상물건입력'!$B$8,IFERROR(INDEX('04A_국토부원자료'!$A:$T,ROW()+1,MATCH("단지명",'04A_국토부원자료'!$A$4:$T$4,0)),"")))</f>
        <v/>
      </c>
      <c r="E1321" s="172">
        <f>IFERROR(VALUE(SUBSTITUTE(INDEX('04A_국토부원자료'!$A:$T,ROW()+1,MATCH("전용면적(㎡)",'04A_국토부원자료'!$A$4:$T$4,0)),",","")),"")</f>
        <v/>
      </c>
      <c r="F13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21" s="51">
        <f>IFERROR(VALUE(SUBSTITUTE(INDEX('04A_국토부원자료'!$A:$T,ROW()+1,MATCH("거래금액(만원)",'04A_국토부원자료'!$A$4:$T$4,0)),",","")),"")</f>
        <v/>
      </c>
      <c r="H1321" s="174">
        <f>IF(G1321="","",G1321*10000)</f>
        <v/>
      </c>
      <c r="I1321" s="174">
        <f>IFERROR(IF(AND(H1321&gt;0,E1321&gt;0),H1321/E1321,""),"")</f>
        <v/>
      </c>
      <c r="J1321" s="152">
        <f>IFERROR(VALUE(SUBSTITUTE(INDEX('04A_국토부원자료'!$A:$T,ROW()+1,MATCH("층",'04A_국토부원자료'!$A$4:$T$4,0)),",","")),"")</f>
        <v/>
      </c>
      <c r="K1321" s="152">
        <f>IFERROR(VALUE(SUBSTITUTE(INDEX('04A_국토부원자료'!$A:$T,ROW()+1,MATCH("건축년도",'04A_국토부원자료'!$A$4:$T$4,0)),",","")),"")</f>
        <v/>
      </c>
      <c r="L1321" s="176">
        <f>IFERROR(INDEX('04A_국토부원자료'!$A:$T,ROW()+1,MATCH("도로명",'04A_국토부원자료'!$A$4:$T$4,0)),"")</f>
        <v/>
      </c>
      <c r="M1321" s="48">
        <f>IFERROR(INDEX('04A_국토부원자료'!$A:$T,ROW()+1,MATCH("거래유형",'04A_국토부원자료'!$A$4:$T$4,0)),"")</f>
        <v/>
      </c>
      <c r="N1321" s="152">
        <f>IF(B1321="","",IF('02_대상물건입력'!B5="",1,IF(ISNUMBER(SEARCH('02_대상물건입력'!B5,B1321)),1,0)))</f>
        <v/>
      </c>
      <c r="O1321" s="152">
        <f>IF(B1321="","",IF('02_대상물건입력'!B6="",1,IF(ISNUMBER(SEARCH('02_대상물건입력'!B6,B1321)),1,0)))</f>
        <v/>
      </c>
      <c r="P1321" s="152">
        <f>IF(L1321="","",IF('02_대상물건입력'!B15="",0,IF(ISNUMBER(SEARCH('02_대상물건입력'!B15,L1321)),1,0)))</f>
        <v/>
      </c>
      <c r="Q1321" s="152">
        <f>IF(OR(C1321="",L1321=""),0,IF(AND(TRIM(C1321)=TRIM(RIGHT(SUBSTITUTE(TRIM('02_대상물건입력'!$B$7)," ",REPT(" ",99)),99)),IF('02_대상물건입력'!B15="",TRUE(),ISNUMBER(SEARCH('02_대상물건입력'!B15,L1321)))),1,0))</f>
        <v/>
      </c>
      <c r="R1321" s="175">
        <f>IFERROR(ABS(E1321-'02_대상물건입력'!B11)/'02_대상물건입력'!B11,"")</f>
        <v/>
      </c>
      <c r="S1321" s="152">
        <f>IFERROR(ABS(J1321-'02_대상물건입력'!B10),"")</f>
        <v/>
      </c>
      <c r="T1321" s="152">
        <f>IFERROR(ABS('01_설정'!B4-F1321),"")</f>
        <v/>
      </c>
      <c r="U1321" s="152">
        <f>IFERROR(ABS(K1321-YEAR('02_대상물건입력'!B14)),"")</f>
        <v/>
      </c>
      <c r="V1321" s="152">
        <f>IF(B1321="","",IF(AND(E1321&gt;0,F1321&gt;0,H1321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1321=1,TRUE()),R1321&lt;='01_설정'!B5,S1321&lt;='01_설정'!B6,T1321&lt;='01_설정'!B7,U1321&lt;='01_설정'!B8),"Y",""))</f>
        <v/>
      </c>
      <c r="W1321" s="172">
        <f>IF(V1321&lt;&gt;"Y","",MAX(0,(1-R1321/'01_설정'!B5))*'01_설정'!B14+MAX(0,(1-S1321/'01_설정'!B6))*'01_설정'!B15+MAX(0,(1-T1321/'01_설정'!B7))*'01_설정'!B16+MAX(0,(1-U1321/'01_설정'!B8))*'01_설정'!B17+O1321*'01_설정'!B11+Q1321*'01_설정'!B12+P1321*'01_설정'!B13+IF(Z1321="",0,Z1321))</f>
        <v/>
      </c>
      <c r="X1321" s="152">
        <f>IF(W1321="","",1+COUNTIFS($W$4:$W$3003,"&gt;"&amp;W1321)+COUNTIFS($W$4:W1321,W1321)-1)</f>
        <v/>
      </c>
      <c r="Y1321" s="175">
        <f>IF(OR(I1321="",'02_대상물건입력'!B19="",'02_대상물건입력'!B19&lt;=0),"",ABS(I1321-'02_대상물건입력'!B19)/'02_대상물건입력'!B19)</f>
        <v/>
      </c>
      <c r="Z1321" s="172">
        <f>IF(OR(Y1321="",'01_설정'!B31="",'01_설정'!B31&lt;=0,'01_설정'!B32="",'01_설정'!B32&lt;=0),"",MAX(0,(1-Y1321/'01_설정'!B32))*'01_설정'!B31)</f>
        <v/>
      </c>
    </row>
    <row r="1322" ht="17.25" customHeight="1">
      <c r="A1322" s="152">
        <f>IF(INDEX('04A_국토부원자료'!$A:$A,ROW()+1)="","",ROW()-3)</f>
        <v/>
      </c>
      <c r="B1322" s="48">
        <f>IFERROR(INDEX('04A_국토부원자료'!$A:$T,ROW()+1,MATCH("시군구",'04A_국토부원자료'!$A$4:$T$4,0)),"")</f>
        <v/>
      </c>
      <c r="C1322" s="48">
        <f>IF(B1322="","",IFERROR(INDEX('04A_국토부원자료'!$A:$T,ROW()+1,MATCH("번지",'04A_국토부원자료'!$A$4:$T$4,0)),""))</f>
        <v/>
      </c>
      <c r="D1322" s="48">
        <f>IF(B1322="","",IF(Q1322=1,'02_대상물건입력'!$B$8,IFERROR(INDEX('04A_국토부원자료'!$A:$T,ROW()+1,MATCH("단지명",'04A_국토부원자료'!$A$4:$T$4,0)),"")))</f>
        <v/>
      </c>
      <c r="E1322" s="172">
        <f>IFERROR(VALUE(SUBSTITUTE(INDEX('04A_국토부원자료'!$A:$T,ROW()+1,MATCH("전용면적(㎡)",'04A_국토부원자료'!$A$4:$T$4,0)),",","")),"")</f>
        <v/>
      </c>
      <c r="F13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22" s="51">
        <f>IFERROR(VALUE(SUBSTITUTE(INDEX('04A_국토부원자료'!$A:$T,ROW()+1,MATCH("거래금액(만원)",'04A_국토부원자료'!$A$4:$T$4,0)),",","")),"")</f>
        <v/>
      </c>
      <c r="H1322" s="174">
        <f>IF(G1322="","",G1322*10000)</f>
        <v/>
      </c>
      <c r="I1322" s="174">
        <f>IFERROR(IF(AND(H1322&gt;0,E1322&gt;0),H1322/E1322,""),"")</f>
        <v/>
      </c>
      <c r="J1322" s="152">
        <f>IFERROR(VALUE(SUBSTITUTE(INDEX('04A_국토부원자료'!$A:$T,ROW()+1,MATCH("층",'04A_국토부원자료'!$A$4:$T$4,0)),",","")),"")</f>
        <v/>
      </c>
      <c r="K1322" s="152">
        <f>IFERROR(VALUE(SUBSTITUTE(INDEX('04A_국토부원자료'!$A:$T,ROW()+1,MATCH("건축년도",'04A_국토부원자료'!$A$4:$T$4,0)),",","")),"")</f>
        <v/>
      </c>
      <c r="L1322" s="176">
        <f>IFERROR(INDEX('04A_국토부원자료'!$A:$T,ROW()+1,MATCH("도로명",'04A_국토부원자료'!$A$4:$T$4,0)),"")</f>
        <v/>
      </c>
      <c r="M1322" s="48">
        <f>IFERROR(INDEX('04A_국토부원자료'!$A:$T,ROW()+1,MATCH("거래유형",'04A_국토부원자료'!$A$4:$T$4,0)),"")</f>
        <v/>
      </c>
      <c r="N1322" s="152">
        <f>IF(B1322="","",IF('02_대상물건입력'!B5="",1,IF(ISNUMBER(SEARCH('02_대상물건입력'!B5,B1322)),1,0)))</f>
        <v/>
      </c>
      <c r="O1322" s="152">
        <f>IF(B1322="","",IF('02_대상물건입력'!B6="",1,IF(ISNUMBER(SEARCH('02_대상물건입력'!B6,B1322)),1,0)))</f>
        <v/>
      </c>
      <c r="P1322" s="152">
        <f>IF(L1322="","",IF('02_대상물건입력'!B15="",0,IF(ISNUMBER(SEARCH('02_대상물건입력'!B15,L1322)),1,0)))</f>
        <v/>
      </c>
      <c r="Q1322" s="152">
        <f>IF(OR(C1322="",L1322=""),0,IF(AND(TRIM(C1322)=TRIM(RIGHT(SUBSTITUTE(TRIM('02_대상물건입력'!$B$7)," ",REPT(" ",99)),99)),IF('02_대상물건입력'!B15="",TRUE(),ISNUMBER(SEARCH('02_대상물건입력'!B15,L1322)))),1,0))</f>
        <v/>
      </c>
      <c r="R1322" s="175">
        <f>IFERROR(ABS(E1322-'02_대상물건입력'!B11)/'02_대상물건입력'!B11,"")</f>
        <v/>
      </c>
      <c r="S1322" s="152">
        <f>IFERROR(ABS(J1322-'02_대상물건입력'!B10),"")</f>
        <v/>
      </c>
      <c r="T1322" s="152">
        <f>IFERROR(ABS('01_설정'!B4-F1322),"")</f>
        <v/>
      </c>
      <c r="U1322" s="152">
        <f>IFERROR(ABS(K1322-YEAR('02_대상물건입력'!B14)),"")</f>
        <v/>
      </c>
      <c r="V1322" s="152">
        <f>IF(B1322="","",IF(AND(E1322&gt;0,F1322&gt;0,H1322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1322=1,TRUE()),R1322&lt;='01_설정'!B5,S1322&lt;='01_설정'!B6,T1322&lt;='01_설정'!B7,U1322&lt;='01_설정'!B8),"Y",""))</f>
        <v/>
      </c>
      <c r="W1322" s="172">
        <f>IF(V1322&lt;&gt;"Y","",MAX(0,(1-R1322/'01_설정'!B5))*'01_설정'!B14+MAX(0,(1-S1322/'01_설정'!B6))*'01_설정'!B15+MAX(0,(1-T1322/'01_설정'!B7))*'01_설정'!B16+MAX(0,(1-U1322/'01_설정'!B8))*'01_설정'!B17+O1322*'01_설정'!B11+Q1322*'01_설정'!B12+P1322*'01_설정'!B13+IF(Z1322="",0,Z1322))</f>
        <v/>
      </c>
      <c r="X1322" s="152">
        <f>IF(W1322="","",1+COUNTIFS($W$4:$W$3003,"&gt;"&amp;W1322)+COUNTIFS($W$4:W1322,W1322)-1)</f>
        <v/>
      </c>
      <c r="Y1322" s="175">
        <f>IF(OR(I1322="",'02_대상물건입력'!B19="",'02_대상물건입력'!B19&lt;=0),"",ABS(I1322-'02_대상물건입력'!B19)/'02_대상물건입력'!B19)</f>
        <v/>
      </c>
      <c r="Z1322" s="172">
        <f>IF(OR(Y1322="",'01_설정'!B31="",'01_설정'!B31&lt;=0,'01_설정'!B32="",'01_설정'!B32&lt;=0),"",MAX(0,(1-Y1322/'01_설정'!B32))*'01_설정'!B31)</f>
        <v/>
      </c>
    </row>
    <row r="1323" ht="17.25" customHeight="1">
      <c r="A1323" s="152">
        <f>IF(INDEX('04A_국토부원자료'!$A:$A,ROW()+1)="","",ROW()-3)</f>
        <v/>
      </c>
      <c r="B1323" s="48">
        <f>IFERROR(INDEX('04A_국토부원자료'!$A:$T,ROW()+1,MATCH("시군구",'04A_국토부원자료'!$A$4:$T$4,0)),"")</f>
        <v/>
      </c>
      <c r="C1323" s="48">
        <f>IF(B1323="","",IFERROR(INDEX('04A_국토부원자료'!$A:$T,ROW()+1,MATCH("번지",'04A_국토부원자료'!$A$4:$T$4,0)),""))</f>
        <v/>
      </c>
      <c r="D1323" s="48">
        <f>IF(B1323="","",IF(Q1323=1,'02_대상물건입력'!$B$8,IFERROR(INDEX('04A_국토부원자료'!$A:$T,ROW()+1,MATCH("단지명",'04A_국토부원자료'!$A$4:$T$4,0)),"")))</f>
        <v/>
      </c>
      <c r="E1323" s="172">
        <f>IFERROR(VALUE(SUBSTITUTE(INDEX('04A_국토부원자료'!$A:$T,ROW()+1,MATCH("전용면적(㎡)",'04A_국토부원자료'!$A$4:$T$4,0)),",","")),"")</f>
        <v/>
      </c>
      <c r="F13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23" s="51">
        <f>IFERROR(VALUE(SUBSTITUTE(INDEX('04A_국토부원자료'!$A:$T,ROW()+1,MATCH("거래금액(만원)",'04A_국토부원자료'!$A$4:$T$4,0)),",","")),"")</f>
        <v/>
      </c>
      <c r="H1323" s="174">
        <f>IF(G1323="","",G1323*10000)</f>
        <v/>
      </c>
      <c r="I1323" s="174">
        <f>IFERROR(IF(AND(H1323&gt;0,E1323&gt;0),H1323/E1323,""),"")</f>
        <v/>
      </c>
      <c r="J1323" s="152">
        <f>IFERROR(VALUE(SUBSTITUTE(INDEX('04A_국토부원자료'!$A:$T,ROW()+1,MATCH("층",'04A_국토부원자료'!$A$4:$T$4,0)),",","")),"")</f>
        <v/>
      </c>
      <c r="K1323" s="152">
        <f>IFERROR(VALUE(SUBSTITUTE(INDEX('04A_국토부원자료'!$A:$T,ROW()+1,MATCH("건축년도",'04A_국토부원자료'!$A$4:$T$4,0)),",","")),"")</f>
        <v/>
      </c>
      <c r="L1323" s="176">
        <f>IFERROR(INDEX('04A_국토부원자료'!$A:$T,ROW()+1,MATCH("도로명",'04A_국토부원자료'!$A$4:$T$4,0)),"")</f>
        <v/>
      </c>
      <c r="M1323" s="48">
        <f>IFERROR(INDEX('04A_국토부원자료'!$A:$T,ROW()+1,MATCH("거래유형",'04A_국토부원자료'!$A$4:$T$4,0)),"")</f>
        <v/>
      </c>
      <c r="N1323" s="152">
        <f>IF(B1323="","",IF('02_대상물건입력'!B5="",1,IF(ISNUMBER(SEARCH('02_대상물건입력'!B5,B1323)),1,0)))</f>
        <v/>
      </c>
      <c r="O1323" s="152">
        <f>IF(B1323="","",IF('02_대상물건입력'!B6="",1,IF(ISNUMBER(SEARCH('02_대상물건입력'!B6,B1323)),1,0)))</f>
        <v/>
      </c>
      <c r="P1323" s="152">
        <f>IF(L1323="","",IF('02_대상물건입력'!B15="",0,IF(ISNUMBER(SEARCH('02_대상물건입력'!B15,L1323)),1,0)))</f>
        <v/>
      </c>
      <c r="Q1323" s="152">
        <f>IF(OR(C1323="",L1323=""),0,IF(AND(TRIM(C1323)=TRIM(RIGHT(SUBSTITUTE(TRIM('02_대상물건입력'!$B$7)," ",REPT(" ",99)),99)),IF('02_대상물건입력'!B15="",TRUE(),ISNUMBER(SEARCH('02_대상물건입력'!B15,L1323)))),1,0))</f>
        <v/>
      </c>
      <c r="R1323" s="175">
        <f>IFERROR(ABS(E1323-'02_대상물건입력'!B11)/'02_대상물건입력'!B11,"")</f>
        <v/>
      </c>
      <c r="S1323" s="152">
        <f>IFERROR(ABS(J1323-'02_대상물건입력'!B10),"")</f>
        <v/>
      </c>
      <c r="T1323" s="152">
        <f>IFERROR(ABS('01_설정'!B4-F1323),"")</f>
        <v/>
      </c>
      <c r="U1323" s="152">
        <f>IFERROR(ABS(K1323-YEAR('02_대상물건입력'!B14)),"")</f>
        <v/>
      </c>
      <c r="V1323" s="152">
        <f>IF(B1323="","",IF(AND(E1323&gt;0,F1323&gt;0,H1323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1323=1,TRUE()),R1323&lt;='01_설정'!B5,S1323&lt;='01_설정'!B6,T1323&lt;='01_설정'!B7,U1323&lt;='01_설정'!B8),"Y",""))</f>
        <v/>
      </c>
      <c r="W1323" s="172">
        <f>IF(V1323&lt;&gt;"Y","",MAX(0,(1-R1323/'01_설정'!B5))*'01_설정'!B14+MAX(0,(1-S1323/'01_설정'!B6))*'01_설정'!B15+MAX(0,(1-T1323/'01_설정'!B7))*'01_설정'!B16+MAX(0,(1-U1323/'01_설정'!B8))*'01_설정'!B17+O1323*'01_설정'!B11+Q1323*'01_설정'!B12+P1323*'01_설정'!B13+IF(Z1323="",0,Z1323))</f>
        <v/>
      </c>
      <c r="X1323" s="152">
        <f>IF(W1323="","",1+COUNTIFS($W$4:$W$3003,"&gt;"&amp;W1323)+COUNTIFS($W$4:W1323,W1323)-1)</f>
        <v/>
      </c>
      <c r="Y1323" s="175">
        <f>IF(OR(I1323="",'02_대상물건입력'!B19="",'02_대상물건입력'!B19&lt;=0),"",ABS(I1323-'02_대상물건입력'!B19)/'02_대상물건입력'!B19)</f>
        <v/>
      </c>
      <c r="Z1323" s="172">
        <f>IF(OR(Y1323="",'01_설정'!B31="",'01_설정'!B31&lt;=0,'01_설정'!B32="",'01_설정'!B32&lt;=0),"",MAX(0,(1-Y1323/'01_설정'!B32))*'01_설정'!B31)</f>
        <v/>
      </c>
    </row>
    <row r="1324" ht="17.25" customHeight="1">
      <c r="A1324" s="152">
        <f>IF(INDEX('04A_국토부원자료'!$A:$A,ROW()+1)="","",ROW()-3)</f>
        <v/>
      </c>
      <c r="B1324" s="48">
        <f>IFERROR(INDEX('04A_국토부원자료'!$A:$T,ROW()+1,MATCH("시군구",'04A_국토부원자료'!$A$4:$T$4,0)),"")</f>
        <v/>
      </c>
      <c r="C1324" s="48">
        <f>IF(B1324="","",IFERROR(INDEX('04A_국토부원자료'!$A:$T,ROW()+1,MATCH("번지",'04A_국토부원자료'!$A$4:$T$4,0)),""))</f>
        <v/>
      </c>
      <c r="D1324" s="48">
        <f>IF(B1324="","",IF(Q1324=1,'02_대상물건입력'!$B$8,IFERROR(INDEX('04A_국토부원자료'!$A:$T,ROW()+1,MATCH("단지명",'04A_국토부원자료'!$A$4:$T$4,0)),"")))</f>
        <v/>
      </c>
      <c r="E1324" s="172">
        <f>IFERROR(VALUE(SUBSTITUTE(INDEX('04A_국토부원자료'!$A:$T,ROW()+1,MATCH("전용면적(㎡)",'04A_국토부원자료'!$A$4:$T$4,0)),",","")),"")</f>
        <v/>
      </c>
      <c r="F13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24" s="51">
        <f>IFERROR(VALUE(SUBSTITUTE(INDEX('04A_국토부원자료'!$A:$T,ROW()+1,MATCH("거래금액(만원)",'04A_국토부원자료'!$A$4:$T$4,0)),",","")),"")</f>
        <v/>
      </c>
      <c r="H1324" s="174">
        <f>IF(G1324="","",G1324*10000)</f>
        <v/>
      </c>
      <c r="I1324" s="174">
        <f>IFERROR(IF(AND(H1324&gt;0,E1324&gt;0),H1324/E1324,""),"")</f>
        <v/>
      </c>
      <c r="J1324" s="152">
        <f>IFERROR(VALUE(SUBSTITUTE(INDEX('04A_국토부원자료'!$A:$T,ROW()+1,MATCH("층",'04A_국토부원자료'!$A$4:$T$4,0)),",","")),"")</f>
        <v/>
      </c>
      <c r="K1324" s="152">
        <f>IFERROR(VALUE(SUBSTITUTE(INDEX('04A_국토부원자료'!$A:$T,ROW()+1,MATCH("건축년도",'04A_국토부원자료'!$A$4:$T$4,0)),",","")),"")</f>
        <v/>
      </c>
      <c r="L1324" s="176">
        <f>IFERROR(INDEX('04A_국토부원자료'!$A:$T,ROW()+1,MATCH("도로명",'04A_국토부원자료'!$A$4:$T$4,0)),"")</f>
        <v/>
      </c>
      <c r="M1324" s="48">
        <f>IFERROR(INDEX('04A_국토부원자료'!$A:$T,ROW()+1,MATCH("거래유형",'04A_국토부원자료'!$A$4:$T$4,0)),"")</f>
        <v/>
      </c>
      <c r="N1324" s="152">
        <f>IF(B1324="","",IF('02_대상물건입력'!B5="",1,IF(ISNUMBER(SEARCH('02_대상물건입력'!B5,B1324)),1,0)))</f>
        <v/>
      </c>
      <c r="O1324" s="152">
        <f>IF(B1324="","",IF('02_대상물건입력'!B6="",1,IF(ISNUMBER(SEARCH('02_대상물건입력'!B6,B1324)),1,0)))</f>
        <v/>
      </c>
      <c r="P1324" s="152">
        <f>IF(L1324="","",IF('02_대상물건입력'!B15="",0,IF(ISNUMBER(SEARCH('02_대상물건입력'!B15,L1324)),1,0)))</f>
        <v/>
      </c>
      <c r="Q1324" s="152">
        <f>IF(OR(C1324="",L1324=""),0,IF(AND(TRIM(C1324)=TRIM(RIGHT(SUBSTITUTE(TRIM('02_대상물건입력'!$B$7)," ",REPT(" ",99)),99)),IF('02_대상물건입력'!B15="",TRUE(),ISNUMBER(SEARCH('02_대상물건입력'!B15,L1324)))),1,0))</f>
        <v/>
      </c>
      <c r="R1324" s="175">
        <f>IFERROR(ABS(E1324-'02_대상물건입력'!B11)/'02_대상물건입력'!B11,"")</f>
        <v/>
      </c>
      <c r="S1324" s="152">
        <f>IFERROR(ABS(J1324-'02_대상물건입력'!B10),"")</f>
        <v/>
      </c>
      <c r="T1324" s="152">
        <f>IFERROR(ABS('01_설정'!B4-F1324),"")</f>
        <v/>
      </c>
      <c r="U1324" s="152">
        <f>IFERROR(ABS(K1324-YEAR('02_대상물건입력'!B14)),"")</f>
        <v/>
      </c>
      <c r="V1324" s="152">
        <f>IF(B1324="","",IF(AND(E1324&gt;0,F1324&gt;0,H1324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1324=1,TRUE()),R1324&lt;='01_설정'!B5,S1324&lt;='01_설정'!B6,T1324&lt;='01_설정'!B7,U1324&lt;='01_설정'!B8),"Y",""))</f>
        <v/>
      </c>
      <c r="W1324" s="172">
        <f>IF(V1324&lt;&gt;"Y","",MAX(0,(1-R1324/'01_설정'!B5))*'01_설정'!B14+MAX(0,(1-S1324/'01_설정'!B6))*'01_설정'!B15+MAX(0,(1-T1324/'01_설정'!B7))*'01_설정'!B16+MAX(0,(1-U1324/'01_설정'!B8))*'01_설정'!B17+O1324*'01_설정'!B11+Q1324*'01_설정'!B12+P1324*'01_설정'!B13+IF(Z1324="",0,Z1324))</f>
        <v/>
      </c>
      <c r="X1324" s="152">
        <f>IF(W1324="","",1+COUNTIFS($W$4:$W$3003,"&gt;"&amp;W1324)+COUNTIFS($W$4:W1324,W1324)-1)</f>
        <v/>
      </c>
      <c r="Y1324" s="175">
        <f>IF(OR(I1324="",'02_대상물건입력'!B19="",'02_대상물건입력'!B19&lt;=0),"",ABS(I1324-'02_대상물건입력'!B19)/'02_대상물건입력'!B19)</f>
        <v/>
      </c>
      <c r="Z1324" s="172">
        <f>IF(OR(Y1324="",'01_설정'!B31="",'01_설정'!B31&lt;=0,'01_설정'!B32="",'01_설정'!B32&lt;=0),"",MAX(0,(1-Y1324/'01_설정'!B32))*'01_설정'!B31)</f>
        <v/>
      </c>
    </row>
    <row r="1325" ht="17.25" customHeight="1">
      <c r="A1325" s="152">
        <f>IF(INDEX('04A_국토부원자료'!$A:$A,ROW()+1)="","",ROW()-3)</f>
        <v/>
      </c>
      <c r="B1325" s="48">
        <f>IFERROR(INDEX('04A_국토부원자료'!$A:$T,ROW()+1,MATCH("시군구",'04A_국토부원자료'!$A$4:$T$4,0)),"")</f>
        <v/>
      </c>
      <c r="C1325" s="48">
        <f>IF(B1325="","",IFERROR(INDEX('04A_국토부원자료'!$A:$T,ROW()+1,MATCH("번지",'04A_국토부원자료'!$A$4:$T$4,0)),""))</f>
        <v/>
      </c>
      <c r="D1325" s="48">
        <f>IF(B1325="","",IF(Q1325=1,'02_대상물건입력'!$B$8,IFERROR(INDEX('04A_국토부원자료'!$A:$T,ROW()+1,MATCH("단지명",'04A_국토부원자료'!$A$4:$T$4,0)),"")))</f>
        <v/>
      </c>
      <c r="E1325" s="172">
        <f>IFERROR(VALUE(SUBSTITUTE(INDEX('04A_국토부원자료'!$A:$T,ROW()+1,MATCH("전용면적(㎡)",'04A_국토부원자료'!$A$4:$T$4,0)),",","")),"")</f>
        <v/>
      </c>
      <c r="F13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25" s="51">
        <f>IFERROR(VALUE(SUBSTITUTE(INDEX('04A_국토부원자료'!$A:$T,ROW()+1,MATCH("거래금액(만원)",'04A_국토부원자료'!$A$4:$T$4,0)),",","")),"")</f>
        <v/>
      </c>
      <c r="H1325" s="174">
        <f>IF(G1325="","",G1325*10000)</f>
        <v/>
      </c>
      <c r="I1325" s="174">
        <f>IFERROR(IF(AND(H1325&gt;0,E1325&gt;0),H1325/E1325,""),"")</f>
        <v/>
      </c>
      <c r="J1325" s="152">
        <f>IFERROR(VALUE(SUBSTITUTE(INDEX('04A_국토부원자료'!$A:$T,ROW()+1,MATCH("층",'04A_국토부원자료'!$A$4:$T$4,0)),",","")),"")</f>
        <v/>
      </c>
      <c r="K1325" s="152">
        <f>IFERROR(VALUE(SUBSTITUTE(INDEX('04A_국토부원자료'!$A:$T,ROW()+1,MATCH("건축년도",'04A_국토부원자료'!$A$4:$T$4,0)),",","")),"")</f>
        <v/>
      </c>
      <c r="L1325" s="176">
        <f>IFERROR(INDEX('04A_국토부원자료'!$A:$T,ROW()+1,MATCH("도로명",'04A_국토부원자료'!$A$4:$T$4,0)),"")</f>
        <v/>
      </c>
      <c r="M1325" s="48">
        <f>IFERROR(INDEX('04A_국토부원자료'!$A:$T,ROW()+1,MATCH("거래유형",'04A_국토부원자료'!$A$4:$T$4,0)),"")</f>
        <v/>
      </c>
      <c r="N1325" s="152">
        <f>IF(B1325="","",IF('02_대상물건입력'!B5="",1,IF(ISNUMBER(SEARCH('02_대상물건입력'!B5,B1325)),1,0)))</f>
        <v/>
      </c>
      <c r="O1325" s="152">
        <f>IF(B1325="","",IF('02_대상물건입력'!B6="",1,IF(ISNUMBER(SEARCH('02_대상물건입력'!B6,B1325)),1,0)))</f>
        <v/>
      </c>
      <c r="P1325" s="152">
        <f>IF(L1325="","",IF('02_대상물건입력'!B15="",0,IF(ISNUMBER(SEARCH('02_대상물건입력'!B15,L1325)),1,0)))</f>
        <v/>
      </c>
      <c r="Q1325" s="152">
        <f>IF(OR(C1325="",L1325=""),0,IF(AND(TRIM(C1325)=TRIM(RIGHT(SUBSTITUTE(TRIM('02_대상물건입력'!$B$7)," ",REPT(" ",99)),99)),IF('02_대상물건입력'!B15="",TRUE(),ISNUMBER(SEARCH('02_대상물건입력'!B15,L1325)))),1,0))</f>
        <v/>
      </c>
      <c r="R1325" s="175">
        <f>IFERROR(ABS(E1325-'02_대상물건입력'!B11)/'02_대상물건입력'!B11,"")</f>
        <v/>
      </c>
      <c r="S1325" s="152">
        <f>IFERROR(ABS(J1325-'02_대상물건입력'!B10),"")</f>
        <v/>
      </c>
      <c r="T1325" s="152">
        <f>IFERROR(ABS('01_설정'!B4-F1325),"")</f>
        <v/>
      </c>
      <c r="U1325" s="152">
        <f>IFERROR(ABS(K1325-YEAR('02_대상물건입력'!B14)),"")</f>
        <v/>
      </c>
      <c r="V1325" s="152">
        <f>IF(B1325="","",IF(AND(E1325&gt;0,F1325&gt;0,H1325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1325=1,TRUE()),R1325&lt;='01_설정'!B5,S1325&lt;='01_설정'!B6,T1325&lt;='01_설정'!B7,U1325&lt;='01_설정'!B8),"Y",""))</f>
        <v/>
      </c>
      <c r="W1325" s="172">
        <f>IF(V1325&lt;&gt;"Y","",MAX(0,(1-R1325/'01_설정'!B5))*'01_설정'!B14+MAX(0,(1-S1325/'01_설정'!B6))*'01_설정'!B15+MAX(0,(1-T1325/'01_설정'!B7))*'01_설정'!B16+MAX(0,(1-U1325/'01_설정'!B8))*'01_설정'!B17+O1325*'01_설정'!B11+Q1325*'01_설정'!B12+P1325*'01_설정'!B13+IF(Z1325="",0,Z1325))</f>
        <v/>
      </c>
      <c r="X1325" s="152">
        <f>IF(W1325="","",1+COUNTIFS($W$4:$W$3003,"&gt;"&amp;W1325)+COUNTIFS($W$4:W1325,W1325)-1)</f>
        <v/>
      </c>
      <c r="Y1325" s="175">
        <f>IF(OR(I1325="",'02_대상물건입력'!B19="",'02_대상물건입력'!B19&lt;=0),"",ABS(I1325-'02_대상물건입력'!B19)/'02_대상물건입력'!B19)</f>
        <v/>
      </c>
      <c r="Z1325" s="172">
        <f>IF(OR(Y1325="",'01_설정'!B31="",'01_설정'!B31&lt;=0,'01_설정'!B32="",'01_설정'!B32&lt;=0),"",MAX(0,(1-Y1325/'01_설정'!B32))*'01_설정'!B31)</f>
        <v/>
      </c>
    </row>
    <row r="1326" ht="17.25" customHeight="1">
      <c r="A1326" s="152">
        <f>IF(INDEX('04A_국토부원자료'!$A:$A,ROW()+1)="","",ROW()-3)</f>
        <v/>
      </c>
      <c r="B1326" s="48">
        <f>IFERROR(INDEX('04A_국토부원자료'!$A:$T,ROW()+1,MATCH("시군구",'04A_국토부원자료'!$A$4:$T$4,0)),"")</f>
        <v/>
      </c>
      <c r="C1326" s="48">
        <f>IF(B1326="","",IFERROR(INDEX('04A_국토부원자료'!$A:$T,ROW()+1,MATCH("번지",'04A_국토부원자료'!$A$4:$T$4,0)),""))</f>
        <v/>
      </c>
      <c r="D1326" s="48">
        <f>IF(B1326="","",IF(Q1326=1,'02_대상물건입력'!$B$8,IFERROR(INDEX('04A_국토부원자료'!$A:$T,ROW()+1,MATCH("단지명",'04A_국토부원자료'!$A$4:$T$4,0)),"")))</f>
        <v/>
      </c>
      <c r="E1326" s="172">
        <f>IFERROR(VALUE(SUBSTITUTE(INDEX('04A_국토부원자료'!$A:$T,ROW()+1,MATCH("전용면적(㎡)",'04A_국토부원자료'!$A$4:$T$4,0)),",","")),"")</f>
        <v/>
      </c>
      <c r="F13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26" s="51">
        <f>IFERROR(VALUE(SUBSTITUTE(INDEX('04A_국토부원자료'!$A:$T,ROW()+1,MATCH("거래금액(만원)",'04A_국토부원자료'!$A$4:$T$4,0)),",","")),"")</f>
        <v/>
      </c>
      <c r="H1326" s="174">
        <f>IF(G1326="","",G1326*10000)</f>
        <v/>
      </c>
      <c r="I1326" s="174">
        <f>IFERROR(IF(AND(H1326&gt;0,E1326&gt;0),H1326/E1326,""),"")</f>
        <v/>
      </c>
      <c r="J1326" s="152">
        <f>IFERROR(VALUE(SUBSTITUTE(INDEX('04A_국토부원자료'!$A:$T,ROW()+1,MATCH("층",'04A_국토부원자료'!$A$4:$T$4,0)),",","")),"")</f>
        <v/>
      </c>
      <c r="K1326" s="152">
        <f>IFERROR(VALUE(SUBSTITUTE(INDEX('04A_국토부원자료'!$A:$T,ROW()+1,MATCH("건축년도",'04A_국토부원자료'!$A$4:$T$4,0)),",","")),"")</f>
        <v/>
      </c>
      <c r="L1326" s="176">
        <f>IFERROR(INDEX('04A_국토부원자료'!$A:$T,ROW()+1,MATCH("도로명",'04A_국토부원자료'!$A$4:$T$4,0)),"")</f>
        <v/>
      </c>
      <c r="M1326" s="48">
        <f>IFERROR(INDEX('04A_국토부원자료'!$A:$T,ROW()+1,MATCH("거래유형",'04A_국토부원자료'!$A$4:$T$4,0)),"")</f>
        <v/>
      </c>
      <c r="N1326" s="152">
        <f>IF(B1326="","",IF('02_대상물건입력'!B5="",1,IF(ISNUMBER(SEARCH('02_대상물건입력'!B5,B1326)),1,0)))</f>
        <v/>
      </c>
      <c r="O1326" s="152">
        <f>IF(B1326="","",IF('02_대상물건입력'!B6="",1,IF(ISNUMBER(SEARCH('02_대상물건입력'!B6,B1326)),1,0)))</f>
        <v/>
      </c>
      <c r="P1326" s="152">
        <f>IF(L1326="","",IF('02_대상물건입력'!B15="",0,IF(ISNUMBER(SEARCH('02_대상물건입력'!B15,L1326)),1,0)))</f>
        <v/>
      </c>
      <c r="Q1326" s="152">
        <f>IF(OR(C1326="",L1326=""),0,IF(AND(TRIM(C1326)=TRIM(RIGHT(SUBSTITUTE(TRIM('02_대상물건입력'!$B$7)," ",REPT(" ",99)),99)),IF('02_대상물건입력'!B15="",TRUE(),ISNUMBER(SEARCH('02_대상물건입력'!B15,L1326)))),1,0))</f>
        <v/>
      </c>
      <c r="R1326" s="175">
        <f>IFERROR(ABS(E1326-'02_대상물건입력'!B11)/'02_대상물건입력'!B11,"")</f>
        <v/>
      </c>
      <c r="S1326" s="152">
        <f>IFERROR(ABS(J1326-'02_대상물건입력'!B10),"")</f>
        <v/>
      </c>
      <c r="T1326" s="152">
        <f>IFERROR(ABS('01_설정'!B4-F1326),"")</f>
        <v/>
      </c>
      <c r="U1326" s="152">
        <f>IFERROR(ABS(K1326-YEAR('02_대상물건입력'!B14)),"")</f>
        <v/>
      </c>
      <c r="V1326" s="152">
        <f>IF(B1326="","",IF(AND(E1326&gt;0,F1326&gt;0,H1326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1326=1,TRUE()),R1326&lt;='01_설정'!B5,S1326&lt;='01_설정'!B6,T1326&lt;='01_설정'!B7,U1326&lt;='01_설정'!B8),"Y",""))</f>
        <v/>
      </c>
      <c r="W1326" s="172">
        <f>IF(V1326&lt;&gt;"Y","",MAX(0,(1-R1326/'01_설정'!B5))*'01_설정'!B14+MAX(0,(1-S1326/'01_설정'!B6))*'01_설정'!B15+MAX(0,(1-T1326/'01_설정'!B7))*'01_설정'!B16+MAX(0,(1-U1326/'01_설정'!B8))*'01_설정'!B17+O1326*'01_설정'!B11+Q1326*'01_설정'!B12+P1326*'01_설정'!B13+IF(Z1326="",0,Z1326))</f>
        <v/>
      </c>
      <c r="X1326" s="152">
        <f>IF(W1326="","",1+COUNTIFS($W$4:$W$3003,"&gt;"&amp;W1326)+COUNTIFS($W$4:W1326,W1326)-1)</f>
        <v/>
      </c>
      <c r="Y1326" s="175">
        <f>IF(OR(I1326="",'02_대상물건입력'!B19="",'02_대상물건입력'!B19&lt;=0),"",ABS(I1326-'02_대상물건입력'!B19)/'02_대상물건입력'!B19)</f>
        <v/>
      </c>
      <c r="Z1326" s="172">
        <f>IF(OR(Y1326="",'01_설정'!B31="",'01_설정'!B31&lt;=0,'01_설정'!B32="",'01_설정'!B32&lt;=0),"",MAX(0,(1-Y1326/'01_설정'!B32))*'01_설정'!B31)</f>
        <v/>
      </c>
    </row>
    <row r="1327" ht="17.25" customHeight="1">
      <c r="A1327" s="152">
        <f>IF(INDEX('04A_국토부원자료'!$A:$A,ROW()+1)="","",ROW()-3)</f>
        <v/>
      </c>
      <c r="B1327" s="48">
        <f>IFERROR(INDEX('04A_국토부원자료'!$A:$T,ROW()+1,MATCH("시군구",'04A_국토부원자료'!$A$4:$T$4,0)),"")</f>
        <v/>
      </c>
      <c r="C1327" s="48">
        <f>IF(B1327="","",IFERROR(INDEX('04A_국토부원자료'!$A:$T,ROW()+1,MATCH("번지",'04A_국토부원자료'!$A$4:$T$4,0)),""))</f>
        <v/>
      </c>
      <c r="D1327" s="48">
        <f>IF(B1327="","",IF(Q1327=1,'02_대상물건입력'!$B$8,IFERROR(INDEX('04A_국토부원자료'!$A:$T,ROW()+1,MATCH("단지명",'04A_국토부원자료'!$A$4:$T$4,0)),"")))</f>
        <v/>
      </c>
      <c r="E1327" s="172">
        <f>IFERROR(VALUE(SUBSTITUTE(INDEX('04A_국토부원자료'!$A:$T,ROW()+1,MATCH("전용면적(㎡)",'04A_국토부원자료'!$A$4:$T$4,0)),",","")),"")</f>
        <v/>
      </c>
      <c r="F13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27" s="51">
        <f>IFERROR(VALUE(SUBSTITUTE(INDEX('04A_국토부원자료'!$A:$T,ROW()+1,MATCH("거래금액(만원)",'04A_국토부원자료'!$A$4:$T$4,0)),",","")),"")</f>
        <v/>
      </c>
      <c r="H1327" s="174">
        <f>IF(G1327="","",G1327*10000)</f>
        <v/>
      </c>
      <c r="I1327" s="174">
        <f>IFERROR(IF(AND(H1327&gt;0,E1327&gt;0),H1327/E1327,""),"")</f>
        <v/>
      </c>
      <c r="J1327" s="152">
        <f>IFERROR(VALUE(SUBSTITUTE(INDEX('04A_국토부원자료'!$A:$T,ROW()+1,MATCH("층",'04A_국토부원자료'!$A$4:$T$4,0)),",","")),"")</f>
        <v/>
      </c>
      <c r="K1327" s="152">
        <f>IFERROR(VALUE(SUBSTITUTE(INDEX('04A_국토부원자료'!$A:$T,ROW()+1,MATCH("건축년도",'04A_국토부원자료'!$A$4:$T$4,0)),",","")),"")</f>
        <v/>
      </c>
      <c r="L1327" s="176">
        <f>IFERROR(INDEX('04A_국토부원자료'!$A:$T,ROW()+1,MATCH("도로명",'04A_국토부원자료'!$A$4:$T$4,0)),"")</f>
        <v/>
      </c>
      <c r="M1327" s="48">
        <f>IFERROR(INDEX('04A_국토부원자료'!$A:$T,ROW()+1,MATCH("거래유형",'04A_국토부원자료'!$A$4:$T$4,0)),"")</f>
        <v/>
      </c>
      <c r="N1327" s="152">
        <f>IF(B1327="","",IF('02_대상물건입력'!B5="",1,IF(ISNUMBER(SEARCH('02_대상물건입력'!B5,B1327)),1,0)))</f>
        <v/>
      </c>
      <c r="O1327" s="152">
        <f>IF(B1327="","",IF('02_대상물건입력'!B6="",1,IF(ISNUMBER(SEARCH('02_대상물건입력'!B6,B1327)),1,0)))</f>
        <v/>
      </c>
      <c r="P1327" s="152">
        <f>IF(L1327="","",IF('02_대상물건입력'!B15="",0,IF(ISNUMBER(SEARCH('02_대상물건입력'!B15,L1327)),1,0)))</f>
        <v/>
      </c>
      <c r="Q1327" s="152">
        <f>IF(OR(C1327="",L1327=""),0,IF(AND(TRIM(C1327)=TRIM(RIGHT(SUBSTITUTE(TRIM('02_대상물건입력'!$B$7)," ",REPT(" ",99)),99)),IF('02_대상물건입력'!B15="",TRUE(),ISNUMBER(SEARCH('02_대상물건입력'!B15,L1327)))),1,0))</f>
        <v/>
      </c>
      <c r="R1327" s="175">
        <f>IFERROR(ABS(E1327-'02_대상물건입력'!B11)/'02_대상물건입력'!B11,"")</f>
        <v/>
      </c>
      <c r="S1327" s="152">
        <f>IFERROR(ABS(J1327-'02_대상물건입력'!B10),"")</f>
        <v/>
      </c>
      <c r="T1327" s="152">
        <f>IFERROR(ABS('01_설정'!B4-F1327),"")</f>
        <v/>
      </c>
      <c r="U1327" s="152">
        <f>IFERROR(ABS(K1327-YEAR('02_대상물건입력'!B14)),"")</f>
        <v/>
      </c>
      <c r="V1327" s="152">
        <f>IF(B1327="","",IF(AND(E1327&gt;0,F1327&gt;0,H1327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1327=1,TRUE()),R1327&lt;='01_설정'!B5,S1327&lt;='01_설정'!B6,T1327&lt;='01_설정'!B7,U1327&lt;='01_설정'!B8),"Y",""))</f>
        <v/>
      </c>
      <c r="W1327" s="172">
        <f>IF(V1327&lt;&gt;"Y","",MAX(0,(1-R1327/'01_설정'!B5))*'01_설정'!B14+MAX(0,(1-S1327/'01_설정'!B6))*'01_설정'!B15+MAX(0,(1-T1327/'01_설정'!B7))*'01_설정'!B16+MAX(0,(1-U1327/'01_설정'!B8))*'01_설정'!B17+O1327*'01_설정'!B11+Q1327*'01_설정'!B12+P1327*'01_설정'!B13+IF(Z1327="",0,Z1327))</f>
        <v/>
      </c>
      <c r="X1327" s="152">
        <f>IF(W1327="","",1+COUNTIFS($W$4:$W$3003,"&gt;"&amp;W1327)+COUNTIFS($W$4:W1327,W1327)-1)</f>
        <v/>
      </c>
      <c r="Y1327" s="175">
        <f>IF(OR(I1327="",'02_대상물건입력'!B19="",'02_대상물건입력'!B19&lt;=0),"",ABS(I1327-'02_대상물건입력'!B19)/'02_대상물건입력'!B19)</f>
        <v/>
      </c>
      <c r="Z1327" s="172">
        <f>IF(OR(Y1327="",'01_설정'!B31="",'01_설정'!B31&lt;=0,'01_설정'!B32="",'01_설정'!B32&lt;=0),"",MAX(0,(1-Y1327/'01_설정'!B32))*'01_설정'!B31)</f>
        <v/>
      </c>
    </row>
    <row r="1328" ht="17.25" customHeight="1">
      <c r="A1328" s="152">
        <f>IF(INDEX('04A_국토부원자료'!$A:$A,ROW()+1)="","",ROW()-3)</f>
        <v/>
      </c>
      <c r="B1328" s="48">
        <f>IFERROR(INDEX('04A_국토부원자료'!$A:$T,ROW()+1,MATCH("시군구",'04A_국토부원자료'!$A$4:$T$4,0)),"")</f>
        <v/>
      </c>
      <c r="C1328" s="48">
        <f>IF(B1328="","",IFERROR(INDEX('04A_국토부원자료'!$A:$T,ROW()+1,MATCH("번지",'04A_국토부원자료'!$A$4:$T$4,0)),""))</f>
        <v/>
      </c>
      <c r="D1328" s="48">
        <f>IF(B1328="","",IF(Q1328=1,'02_대상물건입력'!$B$8,IFERROR(INDEX('04A_국토부원자료'!$A:$T,ROW()+1,MATCH("단지명",'04A_국토부원자료'!$A$4:$T$4,0)),"")))</f>
        <v/>
      </c>
      <c r="E1328" s="172">
        <f>IFERROR(VALUE(SUBSTITUTE(INDEX('04A_국토부원자료'!$A:$T,ROW()+1,MATCH("전용면적(㎡)",'04A_국토부원자료'!$A$4:$T$4,0)),",","")),"")</f>
        <v/>
      </c>
      <c r="F13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28" s="51">
        <f>IFERROR(VALUE(SUBSTITUTE(INDEX('04A_국토부원자료'!$A:$T,ROW()+1,MATCH("거래금액(만원)",'04A_국토부원자료'!$A$4:$T$4,0)),",","")),"")</f>
        <v/>
      </c>
      <c r="H1328" s="174">
        <f>IF(G1328="","",G1328*10000)</f>
        <v/>
      </c>
      <c r="I1328" s="174">
        <f>IFERROR(IF(AND(H1328&gt;0,E1328&gt;0),H1328/E1328,""),"")</f>
        <v/>
      </c>
      <c r="J1328" s="152">
        <f>IFERROR(VALUE(SUBSTITUTE(INDEX('04A_국토부원자료'!$A:$T,ROW()+1,MATCH("층",'04A_국토부원자료'!$A$4:$T$4,0)),",","")),"")</f>
        <v/>
      </c>
      <c r="K1328" s="152">
        <f>IFERROR(VALUE(SUBSTITUTE(INDEX('04A_국토부원자료'!$A:$T,ROW()+1,MATCH("건축년도",'04A_국토부원자료'!$A$4:$T$4,0)),",","")),"")</f>
        <v/>
      </c>
      <c r="L1328" s="176">
        <f>IFERROR(INDEX('04A_국토부원자료'!$A:$T,ROW()+1,MATCH("도로명",'04A_국토부원자료'!$A$4:$T$4,0)),"")</f>
        <v/>
      </c>
      <c r="M1328" s="48">
        <f>IFERROR(INDEX('04A_국토부원자료'!$A:$T,ROW()+1,MATCH("거래유형",'04A_국토부원자료'!$A$4:$T$4,0)),"")</f>
        <v/>
      </c>
      <c r="N1328" s="152">
        <f>IF(B1328="","",IF('02_대상물건입력'!B5="",1,IF(ISNUMBER(SEARCH('02_대상물건입력'!B5,B1328)),1,0)))</f>
        <v/>
      </c>
      <c r="O1328" s="152">
        <f>IF(B1328="","",IF('02_대상물건입력'!B6="",1,IF(ISNUMBER(SEARCH('02_대상물건입력'!B6,B1328)),1,0)))</f>
        <v/>
      </c>
      <c r="P1328" s="152">
        <f>IF(L1328="","",IF('02_대상물건입력'!B15="",0,IF(ISNUMBER(SEARCH('02_대상물건입력'!B15,L1328)),1,0)))</f>
        <v/>
      </c>
      <c r="Q1328" s="152">
        <f>IF(OR(C1328="",L1328=""),0,IF(AND(TRIM(C1328)=TRIM(RIGHT(SUBSTITUTE(TRIM('02_대상물건입력'!$B$7)," ",REPT(" ",99)),99)),IF('02_대상물건입력'!B15="",TRUE(),ISNUMBER(SEARCH('02_대상물건입력'!B15,L1328)))),1,0))</f>
        <v/>
      </c>
      <c r="R1328" s="175">
        <f>IFERROR(ABS(E1328-'02_대상물건입력'!B11)/'02_대상물건입력'!B11,"")</f>
        <v/>
      </c>
      <c r="S1328" s="152">
        <f>IFERROR(ABS(J1328-'02_대상물건입력'!B10),"")</f>
        <v/>
      </c>
      <c r="T1328" s="152">
        <f>IFERROR(ABS('01_설정'!B4-F1328),"")</f>
        <v/>
      </c>
      <c r="U1328" s="152">
        <f>IFERROR(ABS(K1328-YEAR('02_대상물건입력'!B14)),"")</f>
        <v/>
      </c>
      <c r="V1328" s="152">
        <f>IF(B1328="","",IF(AND(E1328&gt;0,F1328&gt;0,H1328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1328=1,TRUE()),R1328&lt;='01_설정'!B5,S1328&lt;='01_설정'!B6,T1328&lt;='01_설정'!B7,U1328&lt;='01_설정'!B8),"Y",""))</f>
        <v/>
      </c>
      <c r="W1328" s="172">
        <f>IF(V1328&lt;&gt;"Y","",MAX(0,(1-R1328/'01_설정'!B5))*'01_설정'!B14+MAX(0,(1-S1328/'01_설정'!B6))*'01_설정'!B15+MAX(0,(1-T1328/'01_설정'!B7))*'01_설정'!B16+MAX(0,(1-U1328/'01_설정'!B8))*'01_설정'!B17+O1328*'01_설정'!B11+Q1328*'01_설정'!B12+P1328*'01_설정'!B13+IF(Z1328="",0,Z1328))</f>
        <v/>
      </c>
      <c r="X1328" s="152">
        <f>IF(W1328="","",1+COUNTIFS($W$4:$W$3003,"&gt;"&amp;W1328)+COUNTIFS($W$4:W1328,W1328)-1)</f>
        <v/>
      </c>
      <c r="Y1328" s="175">
        <f>IF(OR(I1328="",'02_대상물건입력'!B19="",'02_대상물건입력'!B19&lt;=0),"",ABS(I1328-'02_대상물건입력'!B19)/'02_대상물건입력'!B19)</f>
        <v/>
      </c>
      <c r="Z1328" s="172">
        <f>IF(OR(Y1328="",'01_설정'!B31="",'01_설정'!B31&lt;=0,'01_설정'!B32="",'01_설정'!B32&lt;=0),"",MAX(0,(1-Y1328/'01_설정'!B32))*'01_설정'!B31)</f>
        <v/>
      </c>
    </row>
    <row r="1329" ht="17.25" customHeight="1">
      <c r="A1329" s="152">
        <f>IF(INDEX('04A_국토부원자료'!$A:$A,ROW()+1)="","",ROW()-3)</f>
        <v/>
      </c>
      <c r="B1329" s="48">
        <f>IFERROR(INDEX('04A_국토부원자료'!$A:$T,ROW()+1,MATCH("시군구",'04A_국토부원자료'!$A$4:$T$4,0)),"")</f>
        <v/>
      </c>
      <c r="C1329" s="48">
        <f>IF(B1329="","",IFERROR(INDEX('04A_국토부원자료'!$A:$T,ROW()+1,MATCH("번지",'04A_국토부원자료'!$A$4:$T$4,0)),""))</f>
        <v/>
      </c>
      <c r="D1329" s="48">
        <f>IF(B1329="","",IF(Q1329=1,'02_대상물건입력'!$B$8,IFERROR(INDEX('04A_국토부원자료'!$A:$T,ROW()+1,MATCH("단지명",'04A_국토부원자료'!$A$4:$T$4,0)),"")))</f>
        <v/>
      </c>
      <c r="E1329" s="172">
        <f>IFERROR(VALUE(SUBSTITUTE(INDEX('04A_국토부원자료'!$A:$T,ROW()+1,MATCH("전용면적(㎡)",'04A_국토부원자료'!$A$4:$T$4,0)),",","")),"")</f>
        <v/>
      </c>
      <c r="F13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29" s="51">
        <f>IFERROR(VALUE(SUBSTITUTE(INDEX('04A_국토부원자료'!$A:$T,ROW()+1,MATCH("거래금액(만원)",'04A_국토부원자료'!$A$4:$T$4,0)),",","")),"")</f>
        <v/>
      </c>
      <c r="H1329" s="174">
        <f>IF(G1329="","",G1329*10000)</f>
        <v/>
      </c>
      <c r="I1329" s="174">
        <f>IFERROR(IF(AND(H1329&gt;0,E1329&gt;0),H1329/E1329,""),"")</f>
        <v/>
      </c>
      <c r="J1329" s="152">
        <f>IFERROR(VALUE(SUBSTITUTE(INDEX('04A_국토부원자료'!$A:$T,ROW()+1,MATCH("층",'04A_국토부원자료'!$A$4:$T$4,0)),",","")),"")</f>
        <v/>
      </c>
      <c r="K1329" s="152">
        <f>IFERROR(VALUE(SUBSTITUTE(INDEX('04A_국토부원자료'!$A:$T,ROW()+1,MATCH("건축년도",'04A_국토부원자료'!$A$4:$T$4,0)),",","")),"")</f>
        <v/>
      </c>
      <c r="L1329" s="176">
        <f>IFERROR(INDEX('04A_국토부원자료'!$A:$T,ROW()+1,MATCH("도로명",'04A_국토부원자료'!$A$4:$T$4,0)),"")</f>
        <v/>
      </c>
      <c r="M1329" s="48">
        <f>IFERROR(INDEX('04A_국토부원자료'!$A:$T,ROW()+1,MATCH("거래유형",'04A_국토부원자료'!$A$4:$T$4,0)),"")</f>
        <v/>
      </c>
      <c r="N1329" s="152">
        <f>IF(B1329="","",IF('02_대상물건입력'!B5="",1,IF(ISNUMBER(SEARCH('02_대상물건입력'!B5,B1329)),1,0)))</f>
        <v/>
      </c>
      <c r="O1329" s="152">
        <f>IF(B1329="","",IF('02_대상물건입력'!B6="",1,IF(ISNUMBER(SEARCH('02_대상물건입력'!B6,B1329)),1,0)))</f>
        <v/>
      </c>
      <c r="P1329" s="152">
        <f>IF(L1329="","",IF('02_대상물건입력'!B15="",0,IF(ISNUMBER(SEARCH('02_대상물건입력'!B15,L1329)),1,0)))</f>
        <v/>
      </c>
      <c r="Q1329" s="152">
        <f>IF(OR(C1329="",L1329=""),0,IF(AND(TRIM(C1329)=TRIM(RIGHT(SUBSTITUTE(TRIM('02_대상물건입력'!$B$7)," ",REPT(" ",99)),99)),IF('02_대상물건입력'!B15="",TRUE(),ISNUMBER(SEARCH('02_대상물건입력'!B15,L1329)))),1,0))</f>
        <v/>
      </c>
      <c r="R1329" s="175">
        <f>IFERROR(ABS(E1329-'02_대상물건입력'!B11)/'02_대상물건입력'!B11,"")</f>
        <v/>
      </c>
      <c r="S1329" s="152">
        <f>IFERROR(ABS(J1329-'02_대상물건입력'!B10),"")</f>
        <v/>
      </c>
      <c r="T1329" s="152">
        <f>IFERROR(ABS('01_설정'!B4-F1329),"")</f>
        <v/>
      </c>
      <c r="U1329" s="152">
        <f>IFERROR(ABS(K1329-YEAR('02_대상물건입력'!B14)),"")</f>
        <v/>
      </c>
      <c r="V1329" s="152">
        <f>IF(B1329="","",IF(AND(E1329&gt;0,F1329&gt;0,H1329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1329=1,TRUE()),R1329&lt;='01_설정'!B5,S1329&lt;='01_설정'!B6,T1329&lt;='01_설정'!B7,U1329&lt;='01_설정'!B8),"Y",""))</f>
        <v/>
      </c>
      <c r="W1329" s="172">
        <f>IF(V1329&lt;&gt;"Y","",MAX(0,(1-R1329/'01_설정'!B5))*'01_설정'!B14+MAX(0,(1-S1329/'01_설정'!B6))*'01_설정'!B15+MAX(0,(1-T1329/'01_설정'!B7))*'01_설정'!B16+MAX(0,(1-U1329/'01_설정'!B8))*'01_설정'!B17+O1329*'01_설정'!B11+Q1329*'01_설정'!B12+P1329*'01_설정'!B13+IF(Z1329="",0,Z1329))</f>
        <v/>
      </c>
      <c r="X1329" s="152">
        <f>IF(W1329="","",1+COUNTIFS($W$4:$W$3003,"&gt;"&amp;W1329)+COUNTIFS($W$4:W1329,W1329)-1)</f>
        <v/>
      </c>
      <c r="Y1329" s="175">
        <f>IF(OR(I1329="",'02_대상물건입력'!B19="",'02_대상물건입력'!B19&lt;=0),"",ABS(I1329-'02_대상물건입력'!B19)/'02_대상물건입력'!B19)</f>
        <v/>
      </c>
      <c r="Z1329" s="172">
        <f>IF(OR(Y1329="",'01_설정'!B31="",'01_설정'!B31&lt;=0,'01_설정'!B32="",'01_설정'!B32&lt;=0),"",MAX(0,(1-Y1329/'01_설정'!B32))*'01_설정'!B31)</f>
        <v/>
      </c>
    </row>
    <row r="1330" ht="17.25" customHeight="1">
      <c r="A1330" s="152">
        <f>IF(INDEX('04A_국토부원자료'!$A:$A,ROW()+1)="","",ROW()-3)</f>
        <v/>
      </c>
      <c r="B1330" s="48">
        <f>IFERROR(INDEX('04A_국토부원자료'!$A:$T,ROW()+1,MATCH("시군구",'04A_국토부원자료'!$A$4:$T$4,0)),"")</f>
        <v/>
      </c>
      <c r="C1330" s="48">
        <f>IF(B1330="","",IFERROR(INDEX('04A_국토부원자료'!$A:$T,ROW()+1,MATCH("번지",'04A_국토부원자료'!$A$4:$T$4,0)),""))</f>
        <v/>
      </c>
      <c r="D1330" s="48">
        <f>IF(B1330="","",IF(Q1330=1,'02_대상물건입력'!$B$8,IFERROR(INDEX('04A_국토부원자료'!$A:$T,ROW()+1,MATCH("단지명",'04A_국토부원자료'!$A$4:$T$4,0)),"")))</f>
        <v/>
      </c>
      <c r="E1330" s="172">
        <f>IFERROR(VALUE(SUBSTITUTE(INDEX('04A_국토부원자료'!$A:$T,ROW()+1,MATCH("전용면적(㎡)",'04A_국토부원자료'!$A$4:$T$4,0)),",","")),"")</f>
        <v/>
      </c>
      <c r="F13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30" s="51">
        <f>IFERROR(VALUE(SUBSTITUTE(INDEX('04A_국토부원자료'!$A:$T,ROW()+1,MATCH("거래금액(만원)",'04A_국토부원자료'!$A$4:$T$4,0)),",","")),"")</f>
        <v/>
      </c>
      <c r="H1330" s="174">
        <f>IF(G1330="","",G1330*10000)</f>
        <v/>
      </c>
      <c r="I1330" s="174">
        <f>IFERROR(IF(AND(H1330&gt;0,E1330&gt;0),H1330/E1330,""),"")</f>
        <v/>
      </c>
      <c r="J1330" s="152">
        <f>IFERROR(VALUE(SUBSTITUTE(INDEX('04A_국토부원자료'!$A:$T,ROW()+1,MATCH("층",'04A_국토부원자료'!$A$4:$T$4,0)),",","")),"")</f>
        <v/>
      </c>
      <c r="K1330" s="152">
        <f>IFERROR(VALUE(SUBSTITUTE(INDEX('04A_국토부원자료'!$A:$T,ROW()+1,MATCH("건축년도",'04A_국토부원자료'!$A$4:$T$4,0)),",","")),"")</f>
        <v/>
      </c>
      <c r="L1330" s="176">
        <f>IFERROR(INDEX('04A_국토부원자료'!$A:$T,ROW()+1,MATCH("도로명",'04A_국토부원자료'!$A$4:$T$4,0)),"")</f>
        <v/>
      </c>
      <c r="M1330" s="48">
        <f>IFERROR(INDEX('04A_국토부원자료'!$A:$T,ROW()+1,MATCH("거래유형",'04A_국토부원자료'!$A$4:$T$4,0)),"")</f>
        <v/>
      </c>
      <c r="N1330" s="152">
        <f>IF(B1330="","",IF('02_대상물건입력'!B5="",1,IF(ISNUMBER(SEARCH('02_대상물건입력'!B5,B1330)),1,0)))</f>
        <v/>
      </c>
      <c r="O1330" s="152">
        <f>IF(B1330="","",IF('02_대상물건입력'!B6="",1,IF(ISNUMBER(SEARCH('02_대상물건입력'!B6,B1330)),1,0)))</f>
        <v/>
      </c>
      <c r="P1330" s="152">
        <f>IF(L1330="","",IF('02_대상물건입력'!B15="",0,IF(ISNUMBER(SEARCH('02_대상물건입력'!B15,L1330)),1,0)))</f>
        <v/>
      </c>
      <c r="Q1330" s="152">
        <f>IF(OR(C1330="",L1330=""),0,IF(AND(TRIM(C1330)=TRIM(RIGHT(SUBSTITUTE(TRIM('02_대상물건입력'!$B$7)," ",REPT(" ",99)),99)),IF('02_대상물건입력'!B15="",TRUE(),ISNUMBER(SEARCH('02_대상물건입력'!B15,L1330)))),1,0))</f>
        <v/>
      </c>
      <c r="R1330" s="175">
        <f>IFERROR(ABS(E1330-'02_대상물건입력'!B11)/'02_대상물건입력'!B11,"")</f>
        <v/>
      </c>
      <c r="S1330" s="152">
        <f>IFERROR(ABS(J1330-'02_대상물건입력'!B10),"")</f>
        <v/>
      </c>
      <c r="T1330" s="152">
        <f>IFERROR(ABS('01_설정'!B4-F1330),"")</f>
        <v/>
      </c>
      <c r="U1330" s="152">
        <f>IFERROR(ABS(K1330-YEAR('02_대상물건입력'!B14)),"")</f>
        <v/>
      </c>
      <c r="V1330" s="152">
        <f>IF(B1330="","",IF(AND(E1330&gt;0,F1330&gt;0,H1330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1330=1,TRUE()),R1330&lt;='01_설정'!B5,S1330&lt;='01_설정'!B6,T1330&lt;='01_설정'!B7,U1330&lt;='01_설정'!B8),"Y",""))</f>
        <v/>
      </c>
      <c r="W1330" s="172">
        <f>IF(V1330&lt;&gt;"Y","",MAX(0,(1-R1330/'01_설정'!B5))*'01_설정'!B14+MAX(0,(1-S1330/'01_설정'!B6))*'01_설정'!B15+MAX(0,(1-T1330/'01_설정'!B7))*'01_설정'!B16+MAX(0,(1-U1330/'01_설정'!B8))*'01_설정'!B17+O1330*'01_설정'!B11+Q1330*'01_설정'!B12+P1330*'01_설정'!B13+IF(Z1330="",0,Z1330))</f>
        <v/>
      </c>
      <c r="X1330" s="152">
        <f>IF(W1330="","",1+COUNTIFS($W$4:$W$3003,"&gt;"&amp;W1330)+COUNTIFS($W$4:W1330,W1330)-1)</f>
        <v/>
      </c>
      <c r="Y1330" s="175">
        <f>IF(OR(I1330="",'02_대상물건입력'!B19="",'02_대상물건입력'!B19&lt;=0),"",ABS(I1330-'02_대상물건입력'!B19)/'02_대상물건입력'!B19)</f>
        <v/>
      </c>
      <c r="Z1330" s="172">
        <f>IF(OR(Y1330="",'01_설정'!B31="",'01_설정'!B31&lt;=0,'01_설정'!B32="",'01_설정'!B32&lt;=0),"",MAX(0,(1-Y1330/'01_설정'!B32))*'01_설정'!B31)</f>
        <v/>
      </c>
    </row>
    <row r="1331" ht="17.25" customHeight="1">
      <c r="A1331" s="152">
        <f>IF(INDEX('04A_국토부원자료'!$A:$A,ROW()+1)="","",ROW()-3)</f>
        <v/>
      </c>
      <c r="B1331" s="48">
        <f>IFERROR(INDEX('04A_국토부원자료'!$A:$T,ROW()+1,MATCH("시군구",'04A_국토부원자료'!$A$4:$T$4,0)),"")</f>
        <v/>
      </c>
      <c r="C1331" s="48">
        <f>IF(B1331="","",IFERROR(INDEX('04A_국토부원자료'!$A:$T,ROW()+1,MATCH("번지",'04A_국토부원자료'!$A$4:$T$4,0)),""))</f>
        <v/>
      </c>
      <c r="D1331" s="48">
        <f>IF(B1331="","",IF(Q1331=1,'02_대상물건입력'!$B$8,IFERROR(INDEX('04A_국토부원자료'!$A:$T,ROW()+1,MATCH("단지명",'04A_국토부원자료'!$A$4:$T$4,0)),"")))</f>
        <v/>
      </c>
      <c r="E1331" s="172">
        <f>IFERROR(VALUE(SUBSTITUTE(INDEX('04A_국토부원자료'!$A:$T,ROW()+1,MATCH("전용면적(㎡)",'04A_국토부원자료'!$A$4:$T$4,0)),",","")),"")</f>
        <v/>
      </c>
      <c r="F13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31" s="51">
        <f>IFERROR(VALUE(SUBSTITUTE(INDEX('04A_국토부원자료'!$A:$T,ROW()+1,MATCH("거래금액(만원)",'04A_국토부원자료'!$A$4:$T$4,0)),",","")),"")</f>
        <v/>
      </c>
      <c r="H1331" s="174">
        <f>IF(G1331="","",G1331*10000)</f>
        <v/>
      </c>
      <c r="I1331" s="174">
        <f>IFERROR(IF(AND(H1331&gt;0,E1331&gt;0),H1331/E1331,""),"")</f>
        <v/>
      </c>
      <c r="J1331" s="152">
        <f>IFERROR(VALUE(SUBSTITUTE(INDEX('04A_국토부원자료'!$A:$T,ROW()+1,MATCH("층",'04A_국토부원자료'!$A$4:$T$4,0)),",","")),"")</f>
        <v/>
      </c>
      <c r="K1331" s="152">
        <f>IFERROR(VALUE(SUBSTITUTE(INDEX('04A_국토부원자료'!$A:$T,ROW()+1,MATCH("건축년도",'04A_국토부원자료'!$A$4:$T$4,0)),",","")),"")</f>
        <v/>
      </c>
      <c r="L1331" s="176">
        <f>IFERROR(INDEX('04A_국토부원자료'!$A:$T,ROW()+1,MATCH("도로명",'04A_국토부원자료'!$A$4:$T$4,0)),"")</f>
        <v/>
      </c>
      <c r="M1331" s="48">
        <f>IFERROR(INDEX('04A_국토부원자료'!$A:$T,ROW()+1,MATCH("거래유형",'04A_국토부원자료'!$A$4:$T$4,0)),"")</f>
        <v/>
      </c>
      <c r="N1331" s="152">
        <f>IF(B1331="","",IF('02_대상물건입력'!B5="",1,IF(ISNUMBER(SEARCH('02_대상물건입력'!B5,B1331)),1,0)))</f>
        <v/>
      </c>
      <c r="O1331" s="152">
        <f>IF(B1331="","",IF('02_대상물건입력'!B6="",1,IF(ISNUMBER(SEARCH('02_대상물건입력'!B6,B1331)),1,0)))</f>
        <v/>
      </c>
      <c r="P1331" s="152">
        <f>IF(L1331="","",IF('02_대상물건입력'!B15="",0,IF(ISNUMBER(SEARCH('02_대상물건입력'!B15,L1331)),1,0)))</f>
        <v/>
      </c>
      <c r="Q1331" s="152">
        <f>IF(OR(C1331="",L1331=""),0,IF(AND(TRIM(C1331)=TRIM(RIGHT(SUBSTITUTE(TRIM('02_대상물건입력'!$B$7)," ",REPT(" ",99)),99)),IF('02_대상물건입력'!B15="",TRUE(),ISNUMBER(SEARCH('02_대상물건입력'!B15,L1331)))),1,0))</f>
        <v/>
      </c>
      <c r="R1331" s="175">
        <f>IFERROR(ABS(E1331-'02_대상물건입력'!B11)/'02_대상물건입력'!B11,"")</f>
        <v/>
      </c>
      <c r="S1331" s="152">
        <f>IFERROR(ABS(J1331-'02_대상물건입력'!B10),"")</f>
        <v/>
      </c>
      <c r="T1331" s="152">
        <f>IFERROR(ABS('01_설정'!B4-F1331),"")</f>
        <v/>
      </c>
      <c r="U1331" s="152">
        <f>IFERROR(ABS(K1331-YEAR('02_대상물건입력'!B14)),"")</f>
        <v/>
      </c>
      <c r="V1331" s="152">
        <f>IF(B1331="","",IF(AND(E1331&gt;0,F1331&gt;0,H1331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1331=1,TRUE()),R1331&lt;='01_설정'!B5,S1331&lt;='01_설정'!B6,T1331&lt;='01_설정'!B7,U1331&lt;='01_설정'!B8),"Y",""))</f>
        <v/>
      </c>
      <c r="W1331" s="172">
        <f>IF(V1331&lt;&gt;"Y","",MAX(0,(1-R1331/'01_설정'!B5))*'01_설정'!B14+MAX(0,(1-S1331/'01_설정'!B6))*'01_설정'!B15+MAX(0,(1-T1331/'01_설정'!B7))*'01_설정'!B16+MAX(0,(1-U1331/'01_설정'!B8))*'01_설정'!B17+O1331*'01_설정'!B11+Q1331*'01_설정'!B12+P1331*'01_설정'!B13+IF(Z1331="",0,Z1331))</f>
        <v/>
      </c>
      <c r="X1331" s="152">
        <f>IF(W1331="","",1+COUNTIFS($W$4:$W$3003,"&gt;"&amp;W1331)+COUNTIFS($W$4:W1331,W1331)-1)</f>
        <v/>
      </c>
      <c r="Y1331" s="175">
        <f>IF(OR(I1331="",'02_대상물건입력'!B19="",'02_대상물건입력'!B19&lt;=0),"",ABS(I1331-'02_대상물건입력'!B19)/'02_대상물건입력'!B19)</f>
        <v/>
      </c>
      <c r="Z1331" s="172">
        <f>IF(OR(Y1331="",'01_설정'!B31="",'01_설정'!B31&lt;=0,'01_설정'!B32="",'01_설정'!B32&lt;=0),"",MAX(0,(1-Y1331/'01_설정'!B32))*'01_설정'!B31)</f>
        <v/>
      </c>
    </row>
    <row r="1332" ht="17.25" customHeight="1">
      <c r="A1332" s="152">
        <f>IF(INDEX('04A_국토부원자료'!$A:$A,ROW()+1)="","",ROW()-3)</f>
        <v/>
      </c>
      <c r="B1332" s="48">
        <f>IFERROR(INDEX('04A_국토부원자료'!$A:$T,ROW()+1,MATCH("시군구",'04A_국토부원자료'!$A$4:$T$4,0)),"")</f>
        <v/>
      </c>
      <c r="C1332" s="48">
        <f>IF(B1332="","",IFERROR(INDEX('04A_국토부원자료'!$A:$T,ROW()+1,MATCH("번지",'04A_국토부원자료'!$A$4:$T$4,0)),""))</f>
        <v/>
      </c>
      <c r="D1332" s="48">
        <f>IF(B1332="","",IF(Q1332=1,'02_대상물건입력'!$B$8,IFERROR(INDEX('04A_국토부원자료'!$A:$T,ROW()+1,MATCH("단지명",'04A_국토부원자료'!$A$4:$T$4,0)),"")))</f>
        <v/>
      </c>
      <c r="E1332" s="172">
        <f>IFERROR(VALUE(SUBSTITUTE(INDEX('04A_국토부원자료'!$A:$T,ROW()+1,MATCH("전용면적(㎡)",'04A_국토부원자료'!$A$4:$T$4,0)),",","")),"")</f>
        <v/>
      </c>
      <c r="F13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32" s="51">
        <f>IFERROR(VALUE(SUBSTITUTE(INDEX('04A_국토부원자료'!$A:$T,ROW()+1,MATCH("거래금액(만원)",'04A_국토부원자료'!$A$4:$T$4,0)),",","")),"")</f>
        <v/>
      </c>
      <c r="H1332" s="174">
        <f>IF(G1332="","",G1332*10000)</f>
        <v/>
      </c>
      <c r="I1332" s="174">
        <f>IFERROR(IF(AND(H1332&gt;0,E1332&gt;0),H1332/E1332,""),"")</f>
        <v/>
      </c>
      <c r="J1332" s="152">
        <f>IFERROR(VALUE(SUBSTITUTE(INDEX('04A_국토부원자료'!$A:$T,ROW()+1,MATCH("층",'04A_국토부원자료'!$A$4:$T$4,0)),",","")),"")</f>
        <v/>
      </c>
      <c r="K1332" s="152">
        <f>IFERROR(VALUE(SUBSTITUTE(INDEX('04A_국토부원자료'!$A:$T,ROW()+1,MATCH("건축년도",'04A_국토부원자료'!$A$4:$T$4,0)),",","")),"")</f>
        <v/>
      </c>
      <c r="L1332" s="176">
        <f>IFERROR(INDEX('04A_국토부원자료'!$A:$T,ROW()+1,MATCH("도로명",'04A_국토부원자료'!$A$4:$T$4,0)),"")</f>
        <v/>
      </c>
      <c r="M1332" s="48">
        <f>IFERROR(INDEX('04A_국토부원자료'!$A:$T,ROW()+1,MATCH("거래유형",'04A_국토부원자료'!$A$4:$T$4,0)),"")</f>
        <v/>
      </c>
      <c r="N1332" s="152">
        <f>IF(B1332="","",IF('02_대상물건입력'!B5="",1,IF(ISNUMBER(SEARCH('02_대상물건입력'!B5,B1332)),1,0)))</f>
        <v/>
      </c>
      <c r="O1332" s="152">
        <f>IF(B1332="","",IF('02_대상물건입력'!B6="",1,IF(ISNUMBER(SEARCH('02_대상물건입력'!B6,B1332)),1,0)))</f>
        <v/>
      </c>
      <c r="P1332" s="152">
        <f>IF(L1332="","",IF('02_대상물건입력'!B15="",0,IF(ISNUMBER(SEARCH('02_대상물건입력'!B15,L1332)),1,0)))</f>
        <v/>
      </c>
      <c r="Q1332" s="152">
        <f>IF(OR(C1332="",L1332=""),0,IF(AND(TRIM(C1332)=TRIM(RIGHT(SUBSTITUTE(TRIM('02_대상물건입력'!$B$7)," ",REPT(" ",99)),99)),IF('02_대상물건입력'!B15="",TRUE(),ISNUMBER(SEARCH('02_대상물건입력'!B15,L1332)))),1,0))</f>
        <v/>
      </c>
      <c r="R1332" s="175">
        <f>IFERROR(ABS(E1332-'02_대상물건입력'!B11)/'02_대상물건입력'!B11,"")</f>
        <v/>
      </c>
      <c r="S1332" s="152">
        <f>IFERROR(ABS(J1332-'02_대상물건입력'!B10),"")</f>
        <v/>
      </c>
      <c r="T1332" s="152">
        <f>IFERROR(ABS('01_설정'!B4-F1332),"")</f>
        <v/>
      </c>
      <c r="U1332" s="152">
        <f>IFERROR(ABS(K1332-YEAR('02_대상물건입력'!B14)),"")</f>
        <v/>
      </c>
      <c r="V1332" s="152">
        <f>IF(B1332="","",IF(AND(E1332&gt;0,F1332&gt;0,H1332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1332=1,TRUE()),R1332&lt;='01_설정'!B5,S1332&lt;='01_설정'!B6,T1332&lt;='01_설정'!B7,U1332&lt;='01_설정'!B8),"Y",""))</f>
        <v/>
      </c>
      <c r="W1332" s="172">
        <f>IF(V1332&lt;&gt;"Y","",MAX(0,(1-R1332/'01_설정'!B5))*'01_설정'!B14+MAX(0,(1-S1332/'01_설정'!B6))*'01_설정'!B15+MAX(0,(1-T1332/'01_설정'!B7))*'01_설정'!B16+MAX(0,(1-U1332/'01_설정'!B8))*'01_설정'!B17+O1332*'01_설정'!B11+Q1332*'01_설정'!B12+P1332*'01_설정'!B13+IF(Z1332="",0,Z1332))</f>
        <v/>
      </c>
      <c r="X1332" s="152">
        <f>IF(W1332="","",1+COUNTIFS($W$4:$W$3003,"&gt;"&amp;W1332)+COUNTIFS($W$4:W1332,W1332)-1)</f>
        <v/>
      </c>
      <c r="Y1332" s="175">
        <f>IF(OR(I1332="",'02_대상물건입력'!B19="",'02_대상물건입력'!B19&lt;=0),"",ABS(I1332-'02_대상물건입력'!B19)/'02_대상물건입력'!B19)</f>
        <v/>
      </c>
      <c r="Z1332" s="172">
        <f>IF(OR(Y1332="",'01_설정'!B31="",'01_설정'!B31&lt;=0,'01_설정'!B32="",'01_설정'!B32&lt;=0),"",MAX(0,(1-Y1332/'01_설정'!B32))*'01_설정'!B31)</f>
        <v/>
      </c>
    </row>
    <row r="1333" ht="17.25" customHeight="1">
      <c r="A1333" s="152">
        <f>IF(INDEX('04A_국토부원자료'!$A:$A,ROW()+1)="","",ROW()-3)</f>
        <v/>
      </c>
      <c r="B1333" s="48">
        <f>IFERROR(INDEX('04A_국토부원자료'!$A:$T,ROW()+1,MATCH("시군구",'04A_국토부원자료'!$A$4:$T$4,0)),"")</f>
        <v/>
      </c>
      <c r="C1333" s="48">
        <f>IF(B1333="","",IFERROR(INDEX('04A_국토부원자료'!$A:$T,ROW()+1,MATCH("번지",'04A_국토부원자료'!$A$4:$T$4,0)),""))</f>
        <v/>
      </c>
      <c r="D1333" s="48">
        <f>IF(B1333="","",IF(Q1333=1,'02_대상물건입력'!$B$8,IFERROR(INDEX('04A_국토부원자료'!$A:$T,ROW()+1,MATCH("단지명",'04A_국토부원자료'!$A$4:$T$4,0)),"")))</f>
        <v/>
      </c>
      <c r="E1333" s="172">
        <f>IFERROR(VALUE(SUBSTITUTE(INDEX('04A_국토부원자료'!$A:$T,ROW()+1,MATCH("전용면적(㎡)",'04A_국토부원자료'!$A$4:$T$4,0)),",","")),"")</f>
        <v/>
      </c>
      <c r="F13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33" s="51">
        <f>IFERROR(VALUE(SUBSTITUTE(INDEX('04A_국토부원자료'!$A:$T,ROW()+1,MATCH("거래금액(만원)",'04A_국토부원자료'!$A$4:$T$4,0)),",","")),"")</f>
        <v/>
      </c>
      <c r="H1333" s="174">
        <f>IF(G1333="","",G1333*10000)</f>
        <v/>
      </c>
      <c r="I1333" s="174">
        <f>IFERROR(IF(AND(H1333&gt;0,E1333&gt;0),H1333/E1333,""),"")</f>
        <v/>
      </c>
      <c r="J1333" s="152">
        <f>IFERROR(VALUE(SUBSTITUTE(INDEX('04A_국토부원자료'!$A:$T,ROW()+1,MATCH("층",'04A_국토부원자료'!$A$4:$T$4,0)),",","")),"")</f>
        <v/>
      </c>
      <c r="K1333" s="152">
        <f>IFERROR(VALUE(SUBSTITUTE(INDEX('04A_국토부원자료'!$A:$T,ROW()+1,MATCH("건축년도",'04A_국토부원자료'!$A$4:$T$4,0)),",","")),"")</f>
        <v/>
      </c>
      <c r="L1333" s="176">
        <f>IFERROR(INDEX('04A_국토부원자료'!$A:$T,ROW()+1,MATCH("도로명",'04A_국토부원자료'!$A$4:$T$4,0)),"")</f>
        <v/>
      </c>
      <c r="M1333" s="48">
        <f>IFERROR(INDEX('04A_국토부원자료'!$A:$T,ROW()+1,MATCH("거래유형",'04A_국토부원자료'!$A$4:$T$4,0)),"")</f>
        <v/>
      </c>
      <c r="N1333" s="152">
        <f>IF(B1333="","",IF('02_대상물건입력'!B5="",1,IF(ISNUMBER(SEARCH('02_대상물건입력'!B5,B1333)),1,0)))</f>
        <v/>
      </c>
      <c r="O1333" s="152">
        <f>IF(B1333="","",IF('02_대상물건입력'!B6="",1,IF(ISNUMBER(SEARCH('02_대상물건입력'!B6,B1333)),1,0)))</f>
        <v/>
      </c>
      <c r="P1333" s="152">
        <f>IF(L1333="","",IF('02_대상물건입력'!B15="",0,IF(ISNUMBER(SEARCH('02_대상물건입력'!B15,L1333)),1,0)))</f>
        <v/>
      </c>
      <c r="Q1333" s="152">
        <f>IF(OR(C1333="",L1333=""),0,IF(AND(TRIM(C1333)=TRIM(RIGHT(SUBSTITUTE(TRIM('02_대상물건입력'!$B$7)," ",REPT(" ",99)),99)),IF('02_대상물건입력'!B15="",TRUE(),ISNUMBER(SEARCH('02_대상물건입력'!B15,L1333)))),1,0))</f>
        <v/>
      </c>
      <c r="R1333" s="175">
        <f>IFERROR(ABS(E1333-'02_대상물건입력'!B11)/'02_대상물건입력'!B11,"")</f>
        <v/>
      </c>
      <c r="S1333" s="152">
        <f>IFERROR(ABS(J1333-'02_대상물건입력'!B10),"")</f>
        <v/>
      </c>
      <c r="T1333" s="152">
        <f>IFERROR(ABS('01_설정'!B4-F1333),"")</f>
        <v/>
      </c>
      <c r="U1333" s="152">
        <f>IFERROR(ABS(K1333-YEAR('02_대상물건입력'!B14)),"")</f>
        <v/>
      </c>
      <c r="V1333" s="152">
        <f>IF(B1333="","",IF(AND(E1333&gt;0,F1333&gt;0,H1333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1333=1,TRUE()),R1333&lt;='01_설정'!B5,S1333&lt;='01_설정'!B6,T1333&lt;='01_설정'!B7,U1333&lt;='01_설정'!B8),"Y",""))</f>
        <v/>
      </c>
      <c r="W1333" s="172">
        <f>IF(V1333&lt;&gt;"Y","",MAX(0,(1-R1333/'01_설정'!B5))*'01_설정'!B14+MAX(0,(1-S1333/'01_설정'!B6))*'01_설정'!B15+MAX(0,(1-T1333/'01_설정'!B7))*'01_설정'!B16+MAX(0,(1-U1333/'01_설정'!B8))*'01_설정'!B17+O1333*'01_설정'!B11+Q1333*'01_설정'!B12+P1333*'01_설정'!B13+IF(Z1333="",0,Z1333))</f>
        <v/>
      </c>
      <c r="X1333" s="152">
        <f>IF(W1333="","",1+COUNTIFS($W$4:$W$3003,"&gt;"&amp;W1333)+COUNTIFS($W$4:W1333,W1333)-1)</f>
        <v/>
      </c>
      <c r="Y1333" s="175">
        <f>IF(OR(I1333="",'02_대상물건입력'!B19="",'02_대상물건입력'!B19&lt;=0),"",ABS(I1333-'02_대상물건입력'!B19)/'02_대상물건입력'!B19)</f>
        <v/>
      </c>
      <c r="Z1333" s="172">
        <f>IF(OR(Y1333="",'01_설정'!B31="",'01_설정'!B31&lt;=0,'01_설정'!B32="",'01_설정'!B32&lt;=0),"",MAX(0,(1-Y1333/'01_설정'!B32))*'01_설정'!B31)</f>
        <v/>
      </c>
    </row>
    <row r="1334" ht="17.25" customHeight="1">
      <c r="A1334" s="152">
        <f>IF(INDEX('04A_국토부원자료'!$A:$A,ROW()+1)="","",ROW()-3)</f>
        <v/>
      </c>
      <c r="B1334" s="48">
        <f>IFERROR(INDEX('04A_국토부원자료'!$A:$T,ROW()+1,MATCH("시군구",'04A_국토부원자료'!$A$4:$T$4,0)),"")</f>
        <v/>
      </c>
      <c r="C1334" s="48">
        <f>IF(B1334="","",IFERROR(INDEX('04A_국토부원자료'!$A:$T,ROW()+1,MATCH("번지",'04A_국토부원자료'!$A$4:$T$4,0)),""))</f>
        <v/>
      </c>
      <c r="D1334" s="48">
        <f>IF(B1334="","",IF(Q1334=1,'02_대상물건입력'!$B$8,IFERROR(INDEX('04A_국토부원자료'!$A:$T,ROW()+1,MATCH("단지명",'04A_국토부원자료'!$A$4:$T$4,0)),"")))</f>
        <v/>
      </c>
      <c r="E1334" s="172">
        <f>IFERROR(VALUE(SUBSTITUTE(INDEX('04A_국토부원자료'!$A:$T,ROW()+1,MATCH("전용면적(㎡)",'04A_국토부원자료'!$A$4:$T$4,0)),",","")),"")</f>
        <v/>
      </c>
      <c r="F13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34" s="51">
        <f>IFERROR(VALUE(SUBSTITUTE(INDEX('04A_국토부원자료'!$A:$T,ROW()+1,MATCH("거래금액(만원)",'04A_국토부원자료'!$A$4:$T$4,0)),",","")),"")</f>
        <v/>
      </c>
      <c r="H1334" s="174">
        <f>IF(G1334="","",G1334*10000)</f>
        <v/>
      </c>
      <c r="I1334" s="174">
        <f>IFERROR(IF(AND(H1334&gt;0,E1334&gt;0),H1334/E1334,""),"")</f>
        <v/>
      </c>
      <c r="J1334" s="152">
        <f>IFERROR(VALUE(SUBSTITUTE(INDEX('04A_국토부원자료'!$A:$T,ROW()+1,MATCH("층",'04A_국토부원자료'!$A$4:$T$4,0)),",","")),"")</f>
        <v/>
      </c>
      <c r="K1334" s="152">
        <f>IFERROR(VALUE(SUBSTITUTE(INDEX('04A_국토부원자료'!$A:$T,ROW()+1,MATCH("건축년도",'04A_국토부원자료'!$A$4:$T$4,0)),",","")),"")</f>
        <v/>
      </c>
      <c r="L1334" s="176">
        <f>IFERROR(INDEX('04A_국토부원자료'!$A:$T,ROW()+1,MATCH("도로명",'04A_국토부원자료'!$A$4:$T$4,0)),"")</f>
        <v/>
      </c>
      <c r="M1334" s="48">
        <f>IFERROR(INDEX('04A_국토부원자료'!$A:$T,ROW()+1,MATCH("거래유형",'04A_국토부원자료'!$A$4:$T$4,0)),"")</f>
        <v/>
      </c>
      <c r="N1334" s="152">
        <f>IF(B1334="","",IF('02_대상물건입력'!B5="",1,IF(ISNUMBER(SEARCH('02_대상물건입력'!B5,B1334)),1,0)))</f>
        <v/>
      </c>
      <c r="O1334" s="152">
        <f>IF(B1334="","",IF('02_대상물건입력'!B6="",1,IF(ISNUMBER(SEARCH('02_대상물건입력'!B6,B1334)),1,0)))</f>
        <v/>
      </c>
      <c r="P1334" s="152">
        <f>IF(L1334="","",IF('02_대상물건입력'!B15="",0,IF(ISNUMBER(SEARCH('02_대상물건입력'!B15,L1334)),1,0)))</f>
        <v/>
      </c>
      <c r="Q1334" s="152">
        <f>IF(OR(C1334="",L1334=""),0,IF(AND(TRIM(C1334)=TRIM(RIGHT(SUBSTITUTE(TRIM('02_대상물건입력'!$B$7)," ",REPT(" ",99)),99)),IF('02_대상물건입력'!B15="",TRUE(),ISNUMBER(SEARCH('02_대상물건입력'!B15,L1334)))),1,0))</f>
        <v/>
      </c>
      <c r="R1334" s="175">
        <f>IFERROR(ABS(E1334-'02_대상물건입력'!B11)/'02_대상물건입력'!B11,"")</f>
        <v/>
      </c>
      <c r="S1334" s="152">
        <f>IFERROR(ABS(J1334-'02_대상물건입력'!B10),"")</f>
        <v/>
      </c>
      <c r="T1334" s="152">
        <f>IFERROR(ABS('01_설정'!B4-F1334),"")</f>
        <v/>
      </c>
      <c r="U1334" s="152">
        <f>IFERROR(ABS(K1334-YEAR('02_대상물건입력'!B14)),"")</f>
        <v/>
      </c>
      <c r="V1334" s="152">
        <f>IF(B1334="","",IF(AND(E1334&gt;0,F1334&gt;0,H1334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1334=1,TRUE()),R1334&lt;='01_설정'!B5,S1334&lt;='01_설정'!B6,T1334&lt;='01_설정'!B7,U1334&lt;='01_설정'!B8),"Y",""))</f>
        <v/>
      </c>
      <c r="W1334" s="172">
        <f>IF(V1334&lt;&gt;"Y","",MAX(0,(1-R1334/'01_설정'!B5))*'01_설정'!B14+MAX(0,(1-S1334/'01_설정'!B6))*'01_설정'!B15+MAX(0,(1-T1334/'01_설정'!B7))*'01_설정'!B16+MAX(0,(1-U1334/'01_설정'!B8))*'01_설정'!B17+O1334*'01_설정'!B11+Q1334*'01_설정'!B12+P1334*'01_설정'!B13+IF(Z1334="",0,Z1334))</f>
        <v/>
      </c>
      <c r="X1334" s="152">
        <f>IF(W1334="","",1+COUNTIFS($W$4:$W$3003,"&gt;"&amp;W1334)+COUNTIFS($W$4:W1334,W1334)-1)</f>
        <v/>
      </c>
      <c r="Y1334" s="175">
        <f>IF(OR(I1334="",'02_대상물건입력'!B19="",'02_대상물건입력'!B19&lt;=0),"",ABS(I1334-'02_대상물건입력'!B19)/'02_대상물건입력'!B19)</f>
        <v/>
      </c>
      <c r="Z1334" s="172">
        <f>IF(OR(Y1334="",'01_설정'!B31="",'01_설정'!B31&lt;=0,'01_설정'!B32="",'01_설정'!B32&lt;=0),"",MAX(0,(1-Y1334/'01_설정'!B32))*'01_설정'!B31)</f>
        <v/>
      </c>
    </row>
    <row r="1335" ht="17.25" customHeight="1">
      <c r="A1335" s="152">
        <f>IF(INDEX('04A_국토부원자료'!$A:$A,ROW()+1)="","",ROW()-3)</f>
        <v/>
      </c>
      <c r="B1335" s="48">
        <f>IFERROR(INDEX('04A_국토부원자료'!$A:$T,ROW()+1,MATCH("시군구",'04A_국토부원자료'!$A$4:$T$4,0)),"")</f>
        <v/>
      </c>
      <c r="C1335" s="48">
        <f>IF(B1335="","",IFERROR(INDEX('04A_국토부원자료'!$A:$T,ROW()+1,MATCH("번지",'04A_국토부원자료'!$A$4:$T$4,0)),""))</f>
        <v/>
      </c>
      <c r="D1335" s="48">
        <f>IF(B1335="","",IF(Q1335=1,'02_대상물건입력'!$B$8,IFERROR(INDEX('04A_국토부원자료'!$A:$T,ROW()+1,MATCH("단지명",'04A_국토부원자료'!$A$4:$T$4,0)),"")))</f>
        <v/>
      </c>
      <c r="E1335" s="172">
        <f>IFERROR(VALUE(SUBSTITUTE(INDEX('04A_국토부원자료'!$A:$T,ROW()+1,MATCH("전용면적(㎡)",'04A_국토부원자료'!$A$4:$T$4,0)),",","")),"")</f>
        <v/>
      </c>
      <c r="F13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35" s="51">
        <f>IFERROR(VALUE(SUBSTITUTE(INDEX('04A_국토부원자료'!$A:$T,ROW()+1,MATCH("거래금액(만원)",'04A_국토부원자료'!$A$4:$T$4,0)),",","")),"")</f>
        <v/>
      </c>
      <c r="H1335" s="174">
        <f>IF(G1335="","",G1335*10000)</f>
        <v/>
      </c>
      <c r="I1335" s="174">
        <f>IFERROR(IF(AND(H1335&gt;0,E1335&gt;0),H1335/E1335,""),"")</f>
        <v/>
      </c>
      <c r="J1335" s="152">
        <f>IFERROR(VALUE(SUBSTITUTE(INDEX('04A_국토부원자료'!$A:$T,ROW()+1,MATCH("층",'04A_국토부원자료'!$A$4:$T$4,0)),",","")),"")</f>
        <v/>
      </c>
      <c r="K1335" s="152">
        <f>IFERROR(VALUE(SUBSTITUTE(INDEX('04A_국토부원자료'!$A:$T,ROW()+1,MATCH("건축년도",'04A_국토부원자료'!$A$4:$T$4,0)),",","")),"")</f>
        <v/>
      </c>
      <c r="L1335" s="176">
        <f>IFERROR(INDEX('04A_국토부원자료'!$A:$T,ROW()+1,MATCH("도로명",'04A_국토부원자료'!$A$4:$T$4,0)),"")</f>
        <v/>
      </c>
      <c r="M1335" s="48">
        <f>IFERROR(INDEX('04A_국토부원자료'!$A:$T,ROW()+1,MATCH("거래유형",'04A_국토부원자료'!$A$4:$T$4,0)),"")</f>
        <v/>
      </c>
      <c r="N1335" s="152">
        <f>IF(B1335="","",IF('02_대상물건입력'!B5="",1,IF(ISNUMBER(SEARCH('02_대상물건입력'!B5,B1335)),1,0)))</f>
        <v/>
      </c>
      <c r="O1335" s="152">
        <f>IF(B1335="","",IF('02_대상물건입력'!B6="",1,IF(ISNUMBER(SEARCH('02_대상물건입력'!B6,B1335)),1,0)))</f>
        <v/>
      </c>
      <c r="P1335" s="152">
        <f>IF(L1335="","",IF('02_대상물건입력'!B15="",0,IF(ISNUMBER(SEARCH('02_대상물건입력'!B15,L1335)),1,0)))</f>
        <v/>
      </c>
      <c r="Q1335" s="152">
        <f>IF(OR(C1335="",L1335=""),0,IF(AND(TRIM(C1335)=TRIM(RIGHT(SUBSTITUTE(TRIM('02_대상물건입력'!$B$7)," ",REPT(" ",99)),99)),IF('02_대상물건입력'!B15="",TRUE(),ISNUMBER(SEARCH('02_대상물건입력'!B15,L1335)))),1,0))</f>
        <v/>
      </c>
      <c r="R1335" s="175">
        <f>IFERROR(ABS(E1335-'02_대상물건입력'!B11)/'02_대상물건입력'!B11,"")</f>
        <v/>
      </c>
      <c r="S1335" s="152">
        <f>IFERROR(ABS(J1335-'02_대상물건입력'!B10),"")</f>
        <v/>
      </c>
      <c r="T1335" s="152">
        <f>IFERROR(ABS('01_설정'!B4-F1335),"")</f>
        <v/>
      </c>
      <c r="U1335" s="152">
        <f>IFERROR(ABS(K1335-YEAR('02_대상물건입력'!B14)),"")</f>
        <v/>
      </c>
      <c r="V1335" s="152">
        <f>IF(B1335="","",IF(AND(E1335&gt;0,F1335&gt;0,H1335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1335=1,TRUE()),R1335&lt;='01_설정'!B5,S1335&lt;='01_설정'!B6,T1335&lt;='01_설정'!B7,U1335&lt;='01_설정'!B8),"Y",""))</f>
        <v/>
      </c>
      <c r="W1335" s="172">
        <f>IF(V1335&lt;&gt;"Y","",MAX(0,(1-R1335/'01_설정'!B5))*'01_설정'!B14+MAX(0,(1-S1335/'01_설정'!B6))*'01_설정'!B15+MAX(0,(1-T1335/'01_설정'!B7))*'01_설정'!B16+MAX(0,(1-U1335/'01_설정'!B8))*'01_설정'!B17+O1335*'01_설정'!B11+Q1335*'01_설정'!B12+P1335*'01_설정'!B13+IF(Z1335="",0,Z1335))</f>
        <v/>
      </c>
      <c r="X1335" s="152">
        <f>IF(W1335="","",1+COUNTIFS($W$4:$W$3003,"&gt;"&amp;W1335)+COUNTIFS($W$4:W1335,W1335)-1)</f>
        <v/>
      </c>
      <c r="Y1335" s="175">
        <f>IF(OR(I1335="",'02_대상물건입력'!B19="",'02_대상물건입력'!B19&lt;=0),"",ABS(I1335-'02_대상물건입력'!B19)/'02_대상물건입력'!B19)</f>
        <v/>
      </c>
      <c r="Z1335" s="172">
        <f>IF(OR(Y1335="",'01_설정'!B31="",'01_설정'!B31&lt;=0,'01_설정'!B32="",'01_설정'!B32&lt;=0),"",MAX(0,(1-Y1335/'01_설정'!B32))*'01_설정'!B31)</f>
        <v/>
      </c>
    </row>
    <row r="1336" ht="17.25" customHeight="1">
      <c r="A1336" s="152">
        <f>IF(INDEX('04A_국토부원자료'!$A:$A,ROW()+1)="","",ROW()-3)</f>
        <v/>
      </c>
      <c r="B1336" s="48">
        <f>IFERROR(INDEX('04A_국토부원자료'!$A:$T,ROW()+1,MATCH("시군구",'04A_국토부원자료'!$A$4:$T$4,0)),"")</f>
        <v/>
      </c>
      <c r="C1336" s="48">
        <f>IF(B1336="","",IFERROR(INDEX('04A_국토부원자료'!$A:$T,ROW()+1,MATCH("번지",'04A_국토부원자료'!$A$4:$T$4,0)),""))</f>
        <v/>
      </c>
      <c r="D1336" s="48">
        <f>IF(B1336="","",IF(Q1336=1,'02_대상물건입력'!$B$8,IFERROR(INDEX('04A_국토부원자료'!$A:$T,ROW()+1,MATCH("단지명",'04A_국토부원자료'!$A$4:$T$4,0)),"")))</f>
        <v/>
      </c>
      <c r="E1336" s="172">
        <f>IFERROR(VALUE(SUBSTITUTE(INDEX('04A_국토부원자료'!$A:$T,ROW()+1,MATCH("전용면적(㎡)",'04A_국토부원자료'!$A$4:$T$4,0)),",","")),"")</f>
        <v/>
      </c>
      <c r="F13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36" s="51">
        <f>IFERROR(VALUE(SUBSTITUTE(INDEX('04A_국토부원자료'!$A:$T,ROW()+1,MATCH("거래금액(만원)",'04A_국토부원자료'!$A$4:$T$4,0)),",","")),"")</f>
        <v/>
      </c>
      <c r="H1336" s="174">
        <f>IF(G1336="","",G1336*10000)</f>
        <v/>
      </c>
      <c r="I1336" s="174">
        <f>IFERROR(IF(AND(H1336&gt;0,E1336&gt;0),H1336/E1336,""),"")</f>
        <v/>
      </c>
      <c r="J1336" s="152">
        <f>IFERROR(VALUE(SUBSTITUTE(INDEX('04A_국토부원자료'!$A:$T,ROW()+1,MATCH("층",'04A_국토부원자료'!$A$4:$T$4,0)),",","")),"")</f>
        <v/>
      </c>
      <c r="K1336" s="152">
        <f>IFERROR(VALUE(SUBSTITUTE(INDEX('04A_국토부원자료'!$A:$T,ROW()+1,MATCH("건축년도",'04A_국토부원자료'!$A$4:$T$4,0)),",","")),"")</f>
        <v/>
      </c>
      <c r="L1336" s="176">
        <f>IFERROR(INDEX('04A_국토부원자료'!$A:$T,ROW()+1,MATCH("도로명",'04A_국토부원자료'!$A$4:$T$4,0)),"")</f>
        <v/>
      </c>
      <c r="M1336" s="48">
        <f>IFERROR(INDEX('04A_국토부원자료'!$A:$T,ROW()+1,MATCH("거래유형",'04A_국토부원자료'!$A$4:$T$4,0)),"")</f>
        <v/>
      </c>
      <c r="N1336" s="152">
        <f>IF(B1336="","",IF('02_대상물건입력'!B5="",1,IF(ISNUMBER(SEARCH('02_대상물건입력'!B5,B1336)),1,0)))</f>
        <v/>
      </c>
      <c r="O1336" s="152">
        <f>IF(B1336="","",IF('02_대상물건입력'!B6="",1,IF(ISNUMBER(SEARCH('02_대상물건입력'!B6,B1336)),1,0)))</f>
        <v/>
      </c>
      <c r="P1336" s="152">
        <f>IF(L1336="","",IF('02_대상물건입력'!B15="",0,IF(ISNUMBER(SEARCH('02_대상물건입력'!B15,L1336)),1,0)))</f>
        <v/>
      </c>
      <c r="Q1336" s="152">
        <f>IF(OR(C1336="",L1336=""),0,IF(AND(TRIM(C1336)=TRIM(RIGHT(SUBSTITUTE(TRIM('02_대상물건입력'!$B$7)," ",REPT(" ",99)),99)),IF('02_대상물건입력'!B15="",TRUE(),ISNUMBER(SEARCH('02_대상물건입력'!B15,L1336)))),1,0))</f>
        <v/>
      </c>
      <c r="R1336" s="175">
        <f>IFERROR(ABS(E1336-'02_대상물건입력'!B11)/'02_대상물건입력'!B11,"")</f>
        <v/>
      </c>
      <c r="S1336" s="152">
        <f>IFERROR(ABS(J1336-'02_대상물건입력'!B10),"")</f>
        <v/>
      </c>
      <c r="T1336" s="152">
        <f>IFERROR(ABS('01_설정'!B4-F1336),"")</f>
        <v/>
      </c>
      <c r="U1336" s="152">
        <f>IFERROR(ABS(K1336-YEAR('02_대상물건입력'!B14)),"")</f>
        <v/>
      </c>
      <c r="V1336" s="152">
        <f>IF(B1336="","",IF(AND(E1336&gt;0,F1336&gt;0,H1336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1336=1,TRUE()),R1336&lt;='01_설정'!B5,S1336&lt;='01_설정'!B6,T1336&lt;='01_설정'!B7,U1336&lt;='01_설정'!B8),"Y",""))</f>
        <v/>
      </c>
      <c r="W1336" s="172">
        <f>IF(V1336&lt;&gt;"Y","",MAX(0,(1-R1336/'01_설정'!B5))*'01_설정'!B14+MAX(0,(1-S1336/'01_설정'!B6))*'01_설정'!B15+MAX(0,(1-T1336/'01_설정'!B7))*'01_설정'!B16+MAX(0,(1-U1336/'01_설정'!B8))*'01_설정'!B17+O1336*'01_설정'!B11+Q1336*'01_설정'!B12+P1336*'01_설정'!B13+IF(Z1336="",0,Z1336))</f>
        <v/>
      </c>
      <c r="X1336" s="152">
        <f>IF(W1336="","",1+COUNTIFS($W$4:$W$3003,"&gt;"&amp;W1336)+COUNTIFS($W$4:W1336,W1336)-1)</f>
        <v/>
      </c>
      <c r="Y1336" s="175">
        <f>IF(OR(I1336="",'02_대상물건입력'!B19="",'02_대상물건입력'!B19&lt;=0),"",ABS(I1336-'02_대상물건입력'!B19)/'02_대상물건입력'!B19)</f>
        <v/>
      </c>
      <c r="Z1336" s="172">
        <f>IF(OR(Y1336="",'01_설정'!B31="",'01_설정'!B31&lt;=0,'01_설정'!B32="",'01_설정'!B32&lt;=0),"",MAX(0,(1-Y1336/'01_설정'!B32))*'01_설정'!B31)</f>
        <v/>
      </c>
    </row>
    <row r="1337" ht="17.25" customHeight="1">
      <c r="A1337" s="152">
        <f>IF(INDEX('04A_국토부원자료'!$A:$A,ROW()+1)="","",ROW()-3)</f>
        <v/>
      </c>
      <c r="B1337" s="48">
        <f>IFERROR(INDEX('04A_국토부원자료'!$A:$T,ROW()+1,MATCH("시군구",'04A_국토부원자료'!$A$4:$T$4,0)),"")</f>
        <v/>
      </c>
      <c r="C1337" s="48">
        <f>IF(B1337="","",IFERROR(INDEX('04A_국토부원자료'!$A:$T,ROW()+1,MATCH("번지",'04A_국토부원자료'!$A$4:$T$4,0)),""))</f>
        <v/>
      </c>
      <c r="D1337" s="48">
        <f>IF(B1337="","",IF(Q1337=1,'02_대상물건입력'!$B$8,IFERROR(INDEX('04A_국토부원자료'!$A:$T,ROW()+1,MATCH("단지명",'04A_국토부원자료'!$A$4:$T$4,0)),"")))</f>
        <v/>
      </c>
      <c r="E1337" s="172">
        <f>IFERROR(VALUE(SUBSTITUTE(INDEX('04A_국토부원자료'!$A:$T,ROW()+1,MATCH("전용면적(㎡)",'04A_국토부원자료'!$A$4:$T$4,0)),",","")),"")</f>
        <v/>
      </c>
      <c r="F13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37" s="51">
        <f>IFERROR(VALUE(SUBSTITUTE(INDEX('04A_국토부원자료'!$A:$T,ROW()+1,MATCH("거래금액(만원)",'04A_국토부원자료'!$A$4:$T$4,0)),",","")),"")</f>
        <v/>
      </c>
      <c r="H1337" s="174">
        <f>IF(G1337="","",G1337*10000)</f>
        <v/>
      </c>
      <c r="I1337" s="174">
        <f>IFERROR(IF(AND(H1337&gt;0,E1337&gt;0),H1337/E1337,""),"")</f>
        <v/>
      </c>
      <c r="J1337" s="152">
        <f>IFERROR(VALUE(SUBSTITUTE(INDEX('04A_국토부원자료'!$A:$T,ROW()+1,MATCH("층",'04A_국토부원자료'!$A$4:$T$4,0)),",","")),"")</f>
        <v/>
      </c>
      <c r="K1337" s="152">
        <f>IFERROR(VALUE(SUBSTITUTE(INDEX('04A_국토부원자료'!$A:$T,ROW()+1,MATCH("건축년도",'04A_국토부원자료'!$A$4:$T$4,0)),",","")),"")</f>
        <v/>
      </c>
      <c r="L1337" s="176">
        <f>IFERROR(INDEX('04A_국토부원자료'!$A:$T,ROW()+1,MATCH("도로명",'04A_국토부원자료'!$A$4:$T$4,0)),"")</f>
        <v/>
      </c>
      <c r="M1337" s="48">
        <f>IFERROR(INDEX('04A_국토부원자료'!$A:$T,ROW()+1,MATCH("거래유형",'04A_국토부원자료'!$A$4:$T$4,0)),"")</f>
        <v/>
      </c>
      <c r="N1337" s="152">
        <f>IF(B1337="","",IF('02_대상물건입력'!B5="",1,IF(ISNUMBER(SEARCH('02_대상물건입력'!B5,B1337)),1,0)))</f>
        <v/>
      </c>
      <c r="O1337" s="152">
        <f>IF(B1337="","",IF('02_대상물건입력'!B6="",1,IF(ISNUMBER(SEARCH('02_대상물건입력'!B6,B1337)),1,0)))</f>
        <v/>
      </c>
      <c r="P1337" s="152">
        <f>IF(L1337="","",IF('02_대상물건입력'!B15="",0,IF(ISNUMBER(SEARCH('02_대상물건입력'!B15,L1337)),1,0)))</f>
        <v/>
      </c>
      <c r="Q1337" s="152">
        <f>IF(OR(C1337="",L1337=""),0,IF(AND(TRIM(C1337)=TRIM(RIGHT(SUBSTITUTE(TRIM('02_대상물건입력'!$B$7)," ",REPT(" ",99)),99)),IF('02_대상물건입력'!B15="",TRUE(),ISNUMBER(SEARCH('02_대상물건입력'!B15,L1337)))),1,0))</f>
        <v/>
      </c>
      <c r="R1337" s="175">
        <f>IFERROR(ABS(E1337-'02_대상물건입력'!B11)/'02_대상물건입력'!B11,"")</f>
        <v/>
      </c>
      <c r="S1337" s="152">
        <f>IFERROR(ABS(J1337-'02_대상물건입력'!B10),"")</f>
        <v/>
      </c>
      <c r="T1337" s="152">
        <f>IFERROR(ABS('01_설정'!B4-F1337),"")</f>
        <v/>
      </c>
      <c r="U1337" s="152">
        <f>IFERROR(ABS(K1337-YEAR('02_대상물건입력'!B14)),"")</f>
        <v/>
      </c>
      <c r="V1337" s="152">
        <f>IF(B1337="","",IF(AND(E1337&gt;0,F1337&gt;0,H1337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1337=1,TRUE()),R1337&lt;='01_설정'!B5,S1337&lt;='01_설정'!B6,T1337&lt;='01_설정'!B7,U1337&lt;='01_설정'!B8),"Y",""))</f>
        <v/>
      </c>
      <c r="W1337" s="172">
        <f>IF(V1337&lt;&gt;"Y","",MAX(0,(1-R1337/'01_설정'!B5))*'01_설정'!B14+MAX(0,(1-S1337/'01_설정'!B6))*'01_설정'!B15+MAX(0,(1-T1337/'01_설정'!B7))*'01_설정'!B16+MAX(0,(1-U1337/'01_설정'!B8))*'01_설정'!B17+O1337*'01_설정'!B11+Q1337*'01_설정'!B12+P1337*'01_설정'!B13+IF(Z1337="",0,Z1337))</f>
        <v/>
      </c>
      <c r="X1337" s="152">
        <f>IF(W1337="","",1+COUNTIFS($W$4:$W$3003,"&gt;"&amp;W1337)+COUNTIFS($W$4:W1337,W1337)-1)</f>
        <v/>
      </c>
      <c r="Y1337" s="175">
        <f>IF(OR(I1337="",'02_대상물건입력'!B19="",'02_대상물건입력'!B19&lt;=0),"",ABS(I1337-'02_대상물건입력'!B19)/'02_대상물건입력'!B19)</f>
        <v/>
      </c>
      <c r="Z1337" s="172">
        <f>IF(OR(Y1337="",'01_설정'!B31="",'01_설정'!B31&lt;=0,'01_설정'!B32="",'01_설정'!B32&lt;=0),"",MAX(0,(1-Y1337/'01_설정'!B32))*'01_설정'!B31)</f>
        <v/>
      </c>
    </row>
    <row r="1338" ht="17.25" customHeight="1">
      <c r="A1338" s="152">
        <f>IF(INDEX('04A_국토부원자료'!$A:$A,ROW()+1)="","",ROW()-3)</f>
        <v/>
      </c>
      <c r="B1338" s="48">
        <f>IFERROR(INDEX('04A_국토부원자료'!$A:$T,ROW()+1,MATCH("시군구",'04A_국토부원자료'!$A$4:$T$4,0)),"")</f>
        <v/>
      </c>
      <c r="C1338" s="48">
        <f>IF(B1338="","",IFERROR(INDEX('04A_국토부원자료'!$A:$T,ROW()+1,MATCH("번지",'04A_국토부원자료'!$A$4:$T$4,0)),""))</f>
        <v/>
      </c>
      <c r="D1338" s="48">
        <f>IF(B1338="","",IF(Q1338=1,'02_대상물건입력'!$B$8,IFERROR(INDEX('04A_국토부원자료'!$A:$T,ROW()+1,MATCH("단지명",'04A_국토부원자료'!$A$4:$T$4,0)),"")))</f>
        <v/>
      </c>
      <c r="E1338" s="172">
        <f>IFERROR(VALUE(SUBSTITUTE(INDEX('04A_국토부원자료'!$A:$T,ROW()+1,MATCH("전용면적(㎡)",'04A_국토부원자료'!$A$4:$T$4,0)),",","")),"")</f>
        <v/>
      </c>
      <c r="F13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38" s="51">
        <f>IFERROR(VALUE(SUBSTITUTE(INDEX('04A_국토부원자료'!$A:$T,ROW()+1,MATCH("거래금액(만원)",'04A_국토부원자료'!$A$4:$T$4,0)),",","")),"")</f>
        <v/>
      </c>
      <c r="H1338" s="174">
        <f>IF(G1338="","",G1338*10000)</f>
        <v/>
      </c>
      <c r="I1338" s="174">
        <f>IFERROR(IF(AND(H1338&gt;0,E1338&gt;0),H1338/E1338,""),"")</f>
        <v/>
      </c>
      <c r="J1338" s="152">
        <f>IFERROR(VALUE(SUBSTITUTE(INDEX('04A_국토부원자료'!$A:$T,ROW()+1,MATCH("층",'04A_국토부원자료'!$A$4:$T$4,0)),",","")),"")</f>
        <v/>
      </c>
      <c r="K1338" s="152">
        <f>IFERROR(VALUE(SUBSTITUTE(INDEX('04A_국토부원자료'!$A:$T,ROW()+1,MATCH("건축년도",'04A_국토부원자료'!$A$4:$T$4,0)),",","")),"")</f>
        <v/>
      </c>
      <c r="L1338" s="176">
        <f>IFERROR(INDEX('04A_국토부원자료'!$A:$T,ROW()+1,MATCH("도로명",'04A_국토부원자료'!$A$4:$T$4,0)),"")</f>
        <v/>
      </c>
      <c r="M1338" s="48">
        <f>IFERROR(INDEX('04A_국토부원자료'!$A:$T,ROW()+1,MATCH("거래유형",'04A_국토부원자료'!$A$4:$T$4,0)),"")</f>
        <v/>
      </c>
      <c r="N1338" s="152">
        <f>IF(B1338="","",IF('02_대상물건입력'!B5="",1,IF(ISNUMBER(SEARCH('02_대상물건입력'!B5,B1338)),1,0)))</f>
        <v/>
      </c>
      <c r="O1338" s="152">
        <f>IF(B1338="","",IF('02_대상물건입력'!B6="",1,IF(ISNUMBER(SEARCH('02_대상물건입력'!B6,B1338)),1,0)))</f>
        <v/>
      </c>
      <c r="P1338" s="152">
        <f>IF(L1338="","",IF('02_대상물건입력'!B15="",0,IF(ISNUMBER(SEARCH('02_대상물건입력'!B15,L1338)),1,0)))</f>
        <v/>
      </c>
      <c r="Q1338" s="152">
        <f>IF(OR(C1338="",L1338=""),0,IF(AND(TRIM(C1338)=TRIM(RIGHT(SUBSTITUTE(TRIM('02_대상물건입력'!$B$7)," ",REPT(" ",99)),99)),IF('02_대상물건입력'!B15="",TRUE(),ISNUMBER(SEARCH('02_대상물건입력'!B15,L1338)))),1,0))</f>
        <v/>
      </c>
      <c r="R1338" s="175">
        <f>IFERROR(ABS(E1338-'02_대상물건입력'!B11)/'02_대상물건입력'!B11,"")</f>
        <v/>
      </c>
      <c r="S1338" s="152">
        <f>IFERROR(ABS(J1338-'02_대상물건입력'!B10),"")</f>
        <v/>
      </c>
      <c r="T1338" s="152">
        <f>IFERROR(ABS('01_설정'!B4-F1338),"")</f>
        <v/>
      </c>
      <c r="U1338" s="152">
        <f>IFERROR(ABS(K1338-YEAR('02_대상물건입력'!B14)),"")</f>
        <v/>
      </c>
      <c r="V1338" s="152">
        <f>IF(B1338="","",IF(AND(E1338&gt;0,F1338&gt;0,H1338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1338=1,TRUE()),R1338&lt;='01_설정'!B5,S1338&lt;='01_설정'!B6,T1338&lt;='01_설정'!B7,U1338&lt;='01_설정'!B8),"Y",""))</f>
        <v/>
      </c>
      <c r="W1338" s="172">
        <f>IF(V1338&lt;&gt;"Y","",MAX(0,(1-R1338/'01_설정'!B5))*'01_설정'!B14+MAX(0,(1-S1338/'01_설정'!B6))*'01_설정'!B15+MAX(0,(1-T1338/'01_설정'!B7))*'01_설정'!B16+MAX(0,(1-U1338/'01_설정'!B8))*'01_설정'!B17+O1338*'01_설정'!B11+Q1338*'01_설정'!B12+P1338*'01_설정'!B13+IF(Z1338="",0,Z1338))</f>
        <v/>
      </c>
      <c r="X1338" s="152">
        <f>IF(W1338="","",1+COUNTIFS($W$4:$W$3003,"&gt;"&amp;W1338)+COUNTIFS($W$4:W1338,W1338)-1)</f>
        <v/>
      </c>
      <c r="Y1338" s="175">
        <f>IF(OR(I1338="",'02_대상물건입력'!B19="",'02_대상물건입력'!B19&lt;=0),"",ABS(I1338-'02_대상물건입력'!B19)/'02_대상물건입력'!B19)</f>
        <v/>
      </c>
      <c r="Z1338" s="172">
        <f>IF(OR(Y1338="",'01_설정'!B31="",'01_설정'!B31&lt;=0,'01_설정'!B32="",'01_설정'!B32&lt;=0),"",MAX(0,(1-Y1338/'01_설정'!B32))*'01_설정'!B31)</f>
        <v/>
      </c>
    </row>
    <row r="1339" ht="17.25" customHeight="1">
      <c r="A1339" s="152">
        <f>IF(INDEX('04A_국토부원자료'!$A:$A,ROW()+1)="","",ROW()-3)</f>
        <v/>
      </c>
      <c r="B1339" s="48">
        <f>IFERROR(INDEX('04A_국토부원자료'!$A:$T,ROW()+1,MATCH("시군구",'04A_국토부원자료'!$A$4:$T$4,0)),"")</f>
        <v/>
      </c>
      <c r="C1339" s="48">
        <f>IF(B1339="","",IFERROR(INDEX('04A_국토부원자료'!$A:$T,ROW()+1,MATCH("번지",'04A_국토부원자료'!$A$4:$T$4,0)),""))</f>
        <v/>
      </c>
      <c r="D1339" s="48">
        <f>IF(B1339="","",IF(Q1339=1,'02_대상물건입력'!$B$8,IFERROR(INDEX('04A_국토부원자료'!$A:$T,ROW()+1,MATCH("단지명",'04A_국토부원자료'!$A$4:$T$4,0)),"")))</f>
        <v/>
      </c>
      <c r="E1339" s="172">
        <f>IFERROR(VALUE(SUBSTITUTE(INDEX('04A_국토부원자료'!$A:$T,ROW()+1,MATCH("전용면적(㎡)",'04A_국토부원자료'!$A$4:$T$4,0)),",","")),"")</f>
        <v/>
      </c>
      <c r="F13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39" s="51">
        <f>IFERROR(VALUE(SUBSTITUTE(INDEX('04A_국토부원자료'!$A:$T,ROW()+1,MATCH("거래금액(만원)",'04A_국토부원자료'!$A$4:$T$4,0)),",","")),"")</f>
        <v/>
      </c>
      <c r="H1339" s="174">
        <f>IF(G1339="","",G1339*10000)</f>
        <v/>
      </c>
      <c r="I1339" s="174">
        <f>IFERROR(IF(AND(H1339&gt;0,E1339&gt;0),H1339/E1339,""),"")</f>
        <v/>
      </c>
      <c r="J1339" s="152">
        <f>IFERROR(VALUE(SUBSTITUTE(INDEX('04A_국토부원자료'!$A:$T,ROW()+1,MATCH("층",'04A_국토부원자료'!$A$4:$T$4,0)),",","")),"")</f>
        <v/>
      </c>
      <c r="K1339" s="152">
        <f>IFERROR(VALUE(SUBSTITUTE(INDEX('04A_국토부원자료'!$A:$T,ROW()+1,MATCH("건축년도",'04A_국토부원자료'!$A$4:$T$4,0)),",","")),"")</f>
        <v/>
      </c>
      <c r="L1339" s="176">
        <f>IFERROR(INDEX('04A_국토부원자료'!$A:$T,ROW()+1,MATCH("도로명",'04A_국토부원자료'!$A$4:$T$4,0)),"")</f>
        <v/>
      </c>
      <c r="M1339" s="48">
        <f>IFERROR(INDEX('04A_국토부원자료'!$A:$T,ROW()+1,MATCH("거래유형",'04A_국토부원자료'!$A$4:$T$4,0)),"")</f>
        <v/>
      </c>
      <c r="N1339" s="152">
        <f>IF(B1339="","",IF('02_대상물건입력'!B5="",1,IF(ISNUMBER(SEARCH('02_대상물건입력'!B5,B1339)),1,0)))</f>
        <v/>
      </c>
      <c r="O1339" s="152">
        <f>IF(B1339="","",IF('02_대상물건입력'!B6="",1,IF(ISNUMBER(SEARCH('02_대상물건입력'!B6,B1339)),1,0)))</f>
        <v/>
      </c>
      <c r="P1339" s="152">
        <f>IF(L1339="","",IF('02_대상물건입력'!B15="",0,IF(ISNUMBER(SEARCH('02_대상물건입력'!B15,L1339)),1,0)))</f>
        <v/>
      </c>
      <c r="Q1339" s="152">
        <f>IF(OR(C1339="",L1339=""),0,IF(AND(TRIM(C1339)=TRIM(RIGHT(SUBSTITUTE(TRIM('02_대상물건입력'!$B$7)," ",REPT(" ",99)),99)),IF('02_대상물건입력'!B15="",TRUE(),ISNUMBER(SEARCH('02_대상물건입력'!B15,L1339)))),1,0))</f>
        <v/>
      </c>
      <c r="R1339" s="175">
        <f>IFERROR(ABS(E1339-'02_대상물건입력'!B11)/'02_대상물건입력'!B11,"")</f>
        <v/>
      </c>
      <c r="S1339" s="152">
        <f>IFERROR(ABS(J1339-'02_대상물건입력'!B10),"")</f>
        <v/>
      </c>
      <c r="T1339" s="152">
        <f>IFERROR(ABS('01_설정'!B4-F1339),"")</f>
        <v/>
      </c>
      <c r="U1339" s="152">
        <f>IFERROR(ABS(K1339-YEAR('02_대상물건입력'!B14)),"")</f>
        <v/>
      </c>
      <c r="V1339" s="152">
        <f>IF(B1339="","",IF(AND(E1339&gt;0,F1339&gt;0,H1339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1339=1,TRUE()),R1339&lt;='01_설정'!B5,S1339&lt;='01_설정'!B6,T1339&lt;='01_설정'!B7,U1339&lt;='01_설정'!B8),"Y",""))</f>
        <v/>
      </c>
      <c r="W1339" s="172">
        <f>IF(V1339&lt;&gt;"Y","",MAX(0,(1-R1339/'01_설정'!B5))*'01_설정'!B14+MAX(0,(1-S1339/'01_설정'!B6))*'01_설정'!B15+MAX(0,(1-T1339/'01_설정'!B7))*'01_설정'!B16+MAX(0,(1-U1339/'01_설정'!B8))*'01_설정'!B17+O1339*'01_설정'!B11+Q1339*'01_설정'!B12+P1339*'01_설정'!B13+IF(Z1339="",0,Z1339))</f>
        <v/>
      </c>
      <c r="X1339" s="152">
        <f>IF(W1339="","",1+COUNTIFS($W$4:$W$3003,"&gt;"&amp;W1339)+COUNTIFS($W$4:W1339,W1339)-1)</f>
        <v/>
      </c>
      <c r="Y1339" s="175">
        <f>IF(OR(I1339="",'02_대상물건입력'!B19="",'02_대상물건입력'!B19&lt;=0),"",ABS(I1339-'02_대상물건입력'!B19)/'02_대상물건입력'!B19)</f>
        <v/>
      </c>
      <c r="Z1339" s="172">
        <f>IF(OR(Y1339="",'01_설정'!B31="",'01_설정'!B31&lt;=0,'01_설정'!B32="",'01_설정'!B32&lt;=0),"",MAX(0,(1-Y1339/'01_설정'!B32))*'01_설정'!B31)</f>
        <v/>
      </c>
    </row>
    <row r="1340" ht="17.25" customHeight="1">
      <c r="A1340" s="152">
        <f>IF(INDEX('04A_국토부원자료'!$A:$A,ROW()+1)="","",ROW()-3)</f>
        <v/>
      </c>
      <c r="B1340" s="48">
        <f>IFERROR(INDEX('04A_국토부원자료'!$A:$T,ROW()+1,MATCH("시군구",'04A_국토부원자료'!$A$4:$T$4,0)),"")</f>
        <v/>
      </c>
      <c r="C1340" s="48">
        <f>IF(B1340="","",IFERROR(INDEX('04A_국토부원자료'!$A:$T,ROW()+1,MATCH("번지",'04A_국토부원자료'!$A$4:$T$4,0)),""))</f>
        <v/>
      </c>
      <c r="D1340" s="48">
        <f>IF(B1340="","",IF(Q1340=1,'02_대상물건입력'!$B$8,IFERROR(INDEX('04A_국토부원자료'!$A:$T,ROW()+1,MATCH("단지명",'04A_국토부원자료'!$A$4:$T$4,0)),"")))</f>
        <v/>
      </c>
      <c r="E1340" s="172">
        <f>IFERROR(VALUE(SUBSTITUTE(INDEX('04A_국토부원자료'!$A:$T,ROW()+1,MATCH("전용면적(㎡)",'04A_국토부원자료'!$A$4:$T$4,0)),",","")),"")</f>
        <v/>
      </c>
      <c r="F13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40" s="51">
        <f>IFERROR(VALUE(SUBSTITUTE(INDEX('04A_국토부원자료'!$A:$T,ROW()+1,MATCH("거래금액(만원)",'04A_국토부원자료'!$A$4:$T$4,0)),",","")),"")</f>
        <v/>
      </c>
      <c r="H1340" s="174">
        <f>IF(G1340="","",G1340*10000)</f>
        <v/>
      </c>
      <c r="I1340" s="174">
        <f>IFERROR(IF(AND(H1340&gt;0,E1340&gt;0),H1340/E1340,""),"")</f>
        <v/>
      </c>
      <c r="J1340" s="152">
        <f>IFERROR(VALUE(SUBSTITUTE(INDEX('04A_국토부원자료'!$A:$T,ROW()+1,MATCH("층",'04A_국토부원자료'!$A$4:$T$4,0)),",","")),"")</f>
        <v/>
      </c>
      <c r="K1340" s="152">
        <f>IFERROR(VALUE(SUBSTITUTE(INDEX('04A_국토부원자료'!$A:$T,ROW()+1,MATCH("건축년도",'04A_국토부원자료'!$A$4:$T$4,0)),",","")),"")</f>
        <v/>
      </c>
      <c r="L1340" s="176">
        <f>IFERROR(INDEX('04A_국토부원자료'!$A:$T,ROW()+1,MATCH("도로명",'04A_국토부원자료'!$A$4:$T$4,0)),"")</f>
        <v/>
      </c>
      <c r="M1340" s="48">
        <f>IFERROR(INDEX('04A_국토부원자료'!$A:$T,ROW()+1,MATCH("거래유형",'04A_국토부원자료'!$A$4:$T$4,0)),"")</f>
        <v/>
      </c>
      <c r="N1340" s="152">
        <f>IF(B1340="","",IF('02_대상물건입력'!B5="",1,IF(ISNUMBER(SEARCH('02_대상물건입력'!B5,B1340)),1,0)))</f>
        <v/>
      </c>
      <c r="O1340" s="152">
        <f>IF(B1340="","",IF('02_대상물건입력'!B6="",1,IF(ISNUMBER(SEARCH('02_대상물건입력'!B6,B1340)),1,0)))</f>
        <v/>
      </c>
      <c r="P1340" s="152">
        <f>IF(L1340="","",IF('02_대상물건입력'!B15="",0,IF(ISNUMBER(SEARCH('02_대상물건입력'!B15,L1340)),1,0)))</f>
        <v/>
      </c>
      <c r="Q1340" s="152">
        <f>IF(OR(C1340="",L1340=""),0,IF(AND(TRIM(C1340)=TRIM(RIGHT(SUBSTITUTE(TRIM('02_대상물건입력'!$B$7)," ",REPT(" ",99)),99)),IF('02_대상물건입력'!B15="",TRUE(),ISNUMBER(SEARCH('02_대상물건입력'!B15,L1340)))),1,0))</f>
        <v/>
      </c>
      <c r="R1340" s="175">
        <f>IFERROR(ABS(E1340-'02_대상물건입력'!B11)/'02_대상물건입력'!B11,"")</f>
        <v/>
      </c>
      <c r="S1340" s="152">
        <f>IFERROR(ABS(J1340-'02_대상물건입력'!B10),"")</f>
        <v/>
      </c>
      <c r="T1340" s="152">
        <f>IFERROR(ABS('01_설정'!B4-F1340),"")</f>
        <v/>
      </c>
      <c r="U1340" s="152">
        <f>IFERROR(ABS(K1340-YEAR('02_대상물건입력'!B14)),"")</f>
        <v/>
      </c>
      <c r="V1340" s="152">
        <f>IF(B1340="","",IF(AND(E1340&gt;0,F1340&gt;0,H1340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1340=1,TRUE()),R1340&lt;='01_설정'!B5,S1340&lt;='01_설정'!B6,T1340&lt;='01_설정'!B7,U1340&lt;='01_설정'!B8),"Y",""))</f>
        <v/>
      </c>
      <c r="W1340" s="172">
        <f>IF(V1340&lt;&gt;"Y","",MAX(0,(1-R1340/'01_설정'!B5))*'01_설정'!B14+MAX(0,(1-S1340/'01_설정'!B6))*'01_설정'!B15+MAX(0,(1-T1340/'01_설정'!B7))*'01_설정'!B16+MAX(0,(1-U1340/'01_설정'!B8))*'01_설정'!B17+O1340*'01_설정'!B11+Q1340*'01_설정'!B12+P1340*'01_설정'!B13+IF(Z1340="",0,Z1340))</f>
        <v/>
      </c>
      <c r="X1340" s="152">
        <f>IF(W1340="","",1+COUNTIFS($W$4:$W$3003,"&gt;"&amp;W1340)+COUNTIFS($W$4:W1340,W1340)-1)</f>
        <v/>
      </c>
      <c r="Y1340" s="175">
        <f>IF(OR(I1340="",'02_대상물건입력'!B19="",'02_대상물건입력'!B19&lt;=0),"",ABS(I1340-'02_대상물건입력'!B19)/'02_대상물건입력'!B19)</f>
        <v/>
      </c>
      <c r="Z1340" s="172">
        <f>IF(OR(Y1340="",'01_설정'!B31="",'01_설정'!B31&lt;=0,'01_설정'!B32="",'01_설정'!B32&lt;=0),"",MAX(0,(1-Y1340/'01_설정'!B32))*'01_설정'!B31)</f>
        <v/>
      </c>
    </row>
    <row r="1341" ht="17.25" customHeight="1">
      <c r="A1341" s="152">
        <f>IF(INDEX('04A_국토부원자료'!$A:$A,ROW()+1)="","",ROW()-3)</f>
        <v/>
      </c>
      <c r="B1341" s="48">
        <f>IFERROR(INDEX('04A_국토부원자료'!$A:$T,ROW()+1,MATCH("시군구",'04A_국토부원자료'!$A$4:$T$4,0)),"")</f>
        <v/>
      </c>
      <c r="C1341" s="48">
        <f>IF(B1341="","",IFERROR(INDEX('04A_국토부원자료'!$A:$T,ROW()+1,MATCH("번지",'04A_국토부원자료'!$A$4:$T$4,0)),""))</f>
        <v/>
      </c>
      <c r="D1341" s="48">
        <f>IF(B1341="","",IF(Q1341=1,'02_대상물건입력'!$B$8,IFERROR(INDEX('04A_국토부원자료'!$A:$T,ROW()+1,MATCH("단지명",'04A_국토부원자료'!$A$4:$T$4,0)),"")))</f>
        <v/>
      </c>
      <c r="E1341" s="172">
        <f>IFERROR(VALUE(SUBSTITUTE(INDEX('04A_국토부원자료'!$A:$T,ROW()+1,MATCH("전용면적(㎡)",'04A_국토부원자료'!$A$4:$T$4,0)),",","")),"")</f>
        <v/>
      </c>
      <c r="F13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41" s="51">
        <f>IFERROR(VALUE(SUBSTITUTE(INDEX('04A_국토부원자료'!$A:$T,ROW()+1,MATCH("거래금액(만원)",'04A_국토부원자료'!$A$4:$T$4,0)),",","")),"")</f>
        <v/>
      </c>
      <c r="H1341" s="174">
        <f>IF(G1341="","",G1341*10000)</f>
        <v/>
      </c>
      <c r="I1341" s="174">
        <f>IFERROR(IF(AND(H1341&gt;0,E1341&gt;0),H1341/E1341,""),"")</f>
        <v/>
      </c>
      <c r="J1341" s="152">
        <f>IFERROR(VALUE(SUBSTITUTE(INDEX('04A_국토부원자료'!$A:$T,ROW()+1,MATCH("층",'04A_국토부원자료'!$A$4:$T$4,0)),",","")),"")</f>
        <v/>
      </c>
      <c r="K1341" s="152">
        <f>IFERROR(VALUE(SUBSTITUTE(INDEX('04A_국토부원자료'!$A:$T,ROW()+1,MATCH("건축년도",'04A_국토부원자료'!$A$4:$T$4,0)),",","")),"")</f>
        <v/>
      </c>
      <c r="L1341" s="176">
        <f>IFERROR(INDEX('04A_국토부원자료'!$A:$T,ROW()+1,MATCH("도로명",'04A_국토부원자료'!$A$4:$T$4,0)),"")</f>
        <v/>
      </c>
      <c r="M1341" s="48">
        <f>IFERROR(INDEX('04A_국토부원자료'!$A:$T,ROW()+1,MATCH("거래유형",'04A_국토부원자료'!$A$4:$T$4,0)),"")</f>
        <v/>
      </c>
      <c r="N1341" s="152">
        <f>IF(B1341="","",IF('02_대상물건입력'!B5="",1,IF(ISNUMBER(SEARCH('02_대상물건입력'!B5,B1341)),1,0)))</f>
        <v/>
      </c>
      <c r="O1341" s="152">
        <f>IF(B1341="","",IF('02_대상물건입력'!B6="",1,IF(ISNUMBER(SEARCH('02_대상물건입력'!B6,B1341)),1,0)))</f>
        <v/>
      </c>
      <c r="P1341" s="152">
        <f>IF(L1341="","",IF('02_대상물건입력'!B15="",0,IF(ISNUMBER(SEARCH('02_대상물건입력'!B15,L1341)),1,0)))</f>
        <v/>
      </c>
      <c r="Q1341" s="152">
        <f>IF(OR(C1341="",L1341=""),0,IF(AND(TRIM(C1341)=TRIM(RIGHT(SUBSTITUTE(TRIM('02_대상물건입력'!$B$7)," ",REPT(" ",99)),99)),IF('02_대상물건입력'!B15="",TRUE(),ISNUMBER(SEARCH('02_대상물건입력'!B15,L1341)))),1,0))</f>
        <v/>
      </c>
      <c r="R1341" s="175">
        <f>IFERROR(ABS(E1341-'02_대상물건입력'!B11)/'02_대상물건입력'!B11,"")</f>
        <v/>
      </c>
      <c r="S1341" s="152">
        <f>IFERROR(ABS(J1341-'02_대상물건입력'!B10),"")</f>
        <v/>
      </c>
      <c r="T1341" s="152">
        <f>IFERROR(ABS('01_설정'!B4-F1341),"")</f>
        <v/>
      </c>
      <c r="U1341" s="152">
        <f>IFERROR(ABS(K1341-YEAR('02_대상물건입력'!B14)),"")</f>
        <v/>
      </c>
      <c r="V1341" s="152">
        <f>IF(B1341="","",IF(AND(E1341&gt;0,F1341&gt;0,H1341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1341=1,TRUE()),R1341&lt;='01_설정'!B5,S1341&lt;='01_설정'!B6,T1341&lt;='01_설정'!B7,U1341&lt;='01_설정'!B8),"Y",""))</f>
        <v/>
      </c>
      <c r="W1341" s="172">
        <f>IF(V1341&lt;&gt;"Y","",MAX(0,(1-R1341/'01_설정'!B5))*'01_설정'!B14+MAX(0,(1-S1341/'01_설정'!B6))*'01_설정'!B15+MAX(0,(1-T1341/'01_설정'!B7))*'01_설정'!B16+MAX(0,(1-U1341/'01_설정'!B8))*'01_설정'!B17+O1341*'01_설정'!B11+Q1341*'01_설정'!B12+P1341*'01_설정'!B13+IF(Z1341="",0,Z1341))</f>
        <v/>
      </c>
      <c r="X1341" s="152">
        <f>IF(W1341="","",1+COUNTIFS($W$4:$W$3003,"&gt;"&amp;W1341)+COUNTIFS($W$4:W1341,W1341)-1)</f>
        <v/>
      </c>
      <c r="Y1341" s="175">
        <f>IF(OR(I1341="",'02_대상물건입력'!B19="",'02_대상물건입력'!B19&lt;=0),"",ABS(I1341-'02_대상물건입력'!B19)/'02_대상물건입력'!B19)</f>
        <v/>
      </c>
      <c r="Z1341" s="172">
        <f>IF(OR(Y1341="",'01_설정'!B31="",'01_설정'!B31&lt;=0,'01_설정'!B32="",'01_설정'!B32&lt;=0),"",MAX(0,(1-Y1341/'01_설정'!B32))*'01_설정'!B31)</f>
        <v/>
      </c>
    </row>
    <row r="1342" ht="17.25" customHeight="1">
      <c r="A1342" s="152">
        <f>IF(INDEX('04A_국토부원자료'!$A:$A,ROW()+1)="","",ROW()-3)</f>
        <v/>
      </c>
      <c r="B1342" s="48">
        <f>IFERROR(INDEX('04A_국토부원자료'!$A:$T,ROW()+1,MATCH("시군구",'04A_국토부원자료'!$A$4:$T$4,0)),"")</f>
        <v/>
      </c>
      <c r="C1342" s="48">
        <f>IF(B1342="","",IFERROR(INDEX('04A_국토부원자료'!$A:$T,ROW()+1,MATCH("번지",'04A_국토부원자료'!$A$4:$T$4,0)),""))</f>
        <v/>
      </c>
      <c r="D1342" s="48">
        <f>IF(B1342="","",IF(Q1342=1,'02_대상물건입력'!$B$8,IFERROR(INDEX('04A_국토부원자료'!$A:$T,ROW()+1,MATCH("단지명",'04A_국토부원자료'!$A$4:$T$4,0)),"")))</f>
        <v/>
      </c>
      <c r="E1342" s="172">
        <f>IFERROR(VALUE(SUBSTITUTE(INDEX('04A_국토부원자료'!$A:$T,ROW()+1,MATCH("전용면적(㎡)",'04A_국토부원자료'!$A$4:$T$4,0)),",","")),"")</f>
        <v/>
      </c>
      <c r="F13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42" s="51">
        <f>IFERROR(VALUE(SUBSTITUTE(INDEX('04A_국토부원자료'!$A:$T,ROW()+1,MATCH("거래금액(만원)",'04A_국토부원자료'!$A$4:$T$4,0)),",","")),"")</f>
        <v/>
      </c>
      <c r="H1342" s="174">
        <f>IF(G1342="","",G1342*10000)</f>
        <v/>
      </c>
      <c r="I1342" s="174">
        <f>IFERROR(IF(AND(H1342&gt;0,E1342&gt;0),H1342/E1342,""),"")</f>
        <v/>
      </c>
      <c r="J1342" s="152">
        <f>IFERROR(VALUE(SUBSTITUTE(INDEX('04A_국토부원자료'!$A:$T,ROW()+1,MATCH("층",'04A_국토부원자료'!$A$4:$T$4,0)),",","")),"")</f>
        <v/>
      </c>
      <c r="K1342" s="152">
        <f>IFERROR(VALUE(SUBSTITUTE(INDEX('04A_국토부원자료'!$A:$T,ROW()+1,MATCH("건축년도",'04A_국토부원자료'!$A$4:$T$4,0)),",","")),"")</f>
        <v/>
      </c>
      <c r="L1342" s="176">
        <f>IFERROR(INDEX('04A_국토부원자료'!$A:$T,ROW()+1,MATCH("도로명",'04A_국토부원자료'!$A$4:$T$4,0)),"")</f>
        <v/>
      </c>
      <c r="M1342" s="48">
        <f>IFERROR(INDEX('04A_국토부원자료'!$A:$T,ROW()+1,MATCH("거래유형",'04A_국토부원자료'!$A$4:$T$4,0)),"")</f>
        <v/>
      </c>
      <c r="N1342" s="152">
        <f>IF(B1342="","",IF('02_대상물건입력'!B5="",1,IF(ISNUMBER(SEARCH('02_대상물건입력'!B5,B1342)),1,0)))</f>
        <v/>
      </c>
      <c r="O1342" s="152">
        <f>IF(B1342="","",IF('02_대상물건입력'!B6="",1,IF(ISNUMBER(SEARCH('02_대상물건입력'!B6,B1342)),1,0)))</f>
        <v/>
      </c>
      <c r="P1342" s="152">
        <f>IF(L1342="","",IF('02_대상물건입력'!B15="",0,IF(ISNUMBER(SEARCH('02_대상물건입력'!B15,L1342)),1,0)))</f>
        <v/>
      </c>
      <c r="Q1342" s="152">
        <f>IF(OR(C1342="",L1342=""),0,IF(AND(TRIM(C1342)=TRIM(RIGHT(SUBSTITUTE(TRIM('02_대상물건입력'!$B$7)," ",REPT(" ",99)),99)),IF('02_대상물건입력'!B15="",TRUE(),ISNUMBER(SEARCH('02_대상물건입력'!B15,L1342)))),1,0))</f>
        <v/>
      </c>
      <c r="R1342" s="175">
        <f>IFERROR(ABS(E1342-'02_대상물건입력'!B11)/'02_대상물건입력'!B11,"")</f>
        <v/>
      </c>
      <c r="S1342" s="152">
        <f>IFERROR(ABS(J1342-'02_대상물건입력'!B10),"")</f>
        <v/>
      </c>
      <c r="T1342" s="152">
        <f>IFERROR(ABS('01_설정'!B4-F1342),"")</f>
        <v/>
      </c>
      <c r="U1342" s="152">
        <f>IFERROR(ABS(K1342-YEAR('02_대상물건입력'!B14)),"")</f>
        <v/>
      </c>
      <c r="V1342" s="152">
        <f>IF(B1342="","",IF(AND(E1342&gt;0,F1342&gt;0,H1342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1342=1,TRUE()),R1342&lt;='01_설정'!B5,S1342&lt;='01_설정'!B6,T1342&lt;='01_설정'!B7,U1342&lt;='01_설정'!B8),"Y",""))</f>
        <v/>
      </c>
      <c r="W1342" s="172">
        <f>IF(V1342&lt;&gt;"Y","",MAX(0,(1-R1342/'01_설정'!B5))*'01_설정'!B14+MAX(0,(1-S1342/'01_설정'!B6))*'01_설정'!B15+MAX(0,(1-T1342/'01_설정'!B7))*'01_설정'!B16+MAX(0,(1-U1342/'01_설정'!B8))*'01_설정'!B17+O1342*'01_설정'!B11+Q1342*'01_설정'!B12+P1342*'01_설정'!B13+IF(Z1342="",0,Z1342))</f>
        <v/>
      </c>
      <c r="X1342" s="152">
        <f>IF(W1342="","",1+COUNTIFS($W$4:$W$3003,"&gt;"&amp;W1342)+COUNTIFS($W$4:W1342,W1342)-1)</f>
        <v/>
      </c>
      <c r="Y1342" s="175">
        <f>IF(OR(I1342="",'02_대상물건입력'!B19="",'02_대상물건입력'!B19&lt;=0),"",ABS(I1342-'02_대상물건입력'!B19)/'02_대상물건입력'!B19)</f>
        <v/>
      </c>
      <c r="Z1342" s="172">
        <f>IF(OR(Y1342="",'01_설정'!B31="",'01_설정'!B31&lt;=0,'01_설정'!B32="",'01_설정'!B32&lt;=0),"",MAX(0,(1-Y1342/'01_설정'!B32))*'01_설정'!B31)</f>
        <v/>
      </c>
    </row>
    <row r="1343" ht="17.25" customHeight="1">
      <c r="A1343" s="152">
        <f>IF(INDEX('04A_국토부원자료'!$A:$A,ROW()+1)="","",ROW()-3)</f>
        <v/>
      </c>
      <c r="B1343" s="48">
        <f>IFERROR(INDEX('04A_국토부원자료'!$A:$T,ROW()+1,MATCH("시군구",'04A_국토부원자료'!$A$4:$T$4,0)),"")</f>
        <v/>
      </c>
      <c r="C1343" s="48">
        <f>IF(B1343="","",IFERROR(INDEX('04A_국토부원자료'!$A:$T,ROW()+1,MATCH("번지",'04A_국토부원자료'!$A$4:$T$4,0)),""))</f>
        <v/>
      </c>
      <c r="D1343" s="48">
        <f>IF(B1343="","",IF(Q1343=1,'02_대상물건입력'!$B$8,IFERROR(INDEX('04A_국토부원자료'!$A:$T,ROW()+1,MATCH("단지명",'04A_국토부원자료'!$A$4:$T$4,0)),"")))</f>
        <v/>
      </c>
      <c r="E1343" s="172">
        <f>IFERROR(VALUE(SUBSTITUTE(INDEX('04A_국토부원자료'!$A:$T,ROW()+1,MATCH("전용면적(㎡)",'04A_국토부원자료'!$A$4:$T$4,0)),",","")),"")</f>
        <v/>
      </c>
      <c r="F13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43" s="51">
        <f>IFERROR(VALUE(SUBSTITUTE(INDEX('04A_국토부원자료'!$A:$T,ROW()+1,MATCH("거래금액(만원)",'04A_국토부원자료'!$A$4:$T$4,0)),",","")),"")</f>
        <v/>
      </c>
      <c r="H1343" s="174">
        <f>IF(G1343="","",G1343*10000)</f>
        <v/>
      </c>
      <c r="I1343" s="174">
        <f>IFERROR(IF(AND(H1343&gt;0,E1343&gt;0),H1343/E1343,""),"")</f>
        <v/>
      </c>
      <c r="J1343" s="152">
        <f>IFERROR(VALUE(SUBSTITUTE(INDEX('04A_국토부원자료'!$A:$T,ROW()+1,MATCH("층",'04A_국토부원자료'!$A$4:$T$4,0)),",","")),"")</f>
        <v/>
      </c>
      <c r="K1343" s="152">
        <f>IFERROR(VALUE(SUBSTITUTE(INDEX('04A_국토부원자료'!$A:$T,ROW()+1,MATCH("건축년도",'04A_국토부원자료'!$A$4:$T$4,0)),",","")),"")</f>
        <v/>
      </c>
      <c r="L1343" s="176">
        <f>IFERROR(INDEX('04A_국토부원자료'!$A:$T,ROW()+1,MATCH("도로명",'04A_국토부원자료'!$A$4:$T$4,0)),"")</f>
        <v/>
      </c>
      <c r="M1343" s="48">
        <f>IFERROR(INDEX('04A_국토부원자료'!$A:$T,ROW()+1,MATCH("거래유형",'04A_국토부원자료'!$A$4:$T$4,0)),"")</f>
        <v/>
      </c>
      <c r="N1343" s="152">
        <f>IF(B1343="","",IF('02_대상물건입력'!B5="",1,IF(ISNUMBER(SEARCH('02_대상물건입력'!B5,B1343)),1,0)))</f>
        <v/>
      </c>
      <c r="O1343" s="152">
        <f>IF(B1343="","",IF('02_대상물건입력'!B6="",1,IF(ISNUMBER(SEARCH('02_대상물건입력'!B6,B1343)),1,0)))</f>
        <v/>
      </c>
      <c r="P1343" s="152">
        <f>IF(L1343="","",IF('02_대상물건입력'!B15="",0,IF(ISNUMBER(SEARCH('02_대상물건입력'!B15,L1343)),1,0)))</f>
        <v/>
      </c>
      <c r="Q1343" s="152">
        <f>IF(OR(C1343="",L1343=""),0,IF(AND(TRIM(C1343)=TRIM(RIGHT(SUBSTITUTE(TRIM('02_대상물건입력'!$B$7)," ",REPT(" ",99)),99)),IF('02_대상물건입력'!B15="",TRUE(),ISNUMBER(SEARCH('02_대상물건입력'!B15,L1343)))),1,0))</f>
        <v/>
      </c>
      <c r="R1343" s="175">
        <f>IFERROR(ABS(E1343-'02_대상물건입력'!B11)/'02_대상물건입력'!B11,"")</f>
        <v/>
      </c>
      <c r="S1343" s="152">
        <f>IFERROR(ABS(J1343-'02_대상물건입력'!B10),"")</f>
        <v/>
      </c>
      <c r="T1343" s="152">
        <f>IFERROR(ABS('01_설정'!B4-F1343),"")</f>
        <v/>
      </c>
      <c r="U1343" s="152">
        <f>IFERROR(ABS(K1343-YEAR('02_대상물건입력'!B14)),"")</f>
        <v/>
      </c>
      <c r="V1343" s="152">
        <f>IF(B1343="","",IF(AND(E1343&gt;0,F1343&gt;0,H1343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1343=1,TRUE()),R1343&lt;='01_설정'!B5,S1343&lt;='01_설정'!B6,T1343&lt;='01_설정'!B7,U1343&lt;='01_설정'!B8),"Y",""))</f>
        <v/>
      </c>
      <c r="W1343" s="172">
        <f>IF(V1343&lt;&gt;"Y","",MAX(0,(1-R1343/'01_설정'!B5))*'01_설정'!B14+MAX(0,(1-S1343/'01_설정'!B6))*'01_설정'!B15+MAX(0,(1-T1343/'01_설정'!B7))*'01_설정'!B16+MAX(0,(1-U1343/'01_설정'!B8))*'01_설정'!B17+O1343*'01_설정'!B11+Q1343*'01_설정'!B12+P1343*'01_설정'!B13+IF(Z1343="",0,Z1343))</f>
        <v/>
      </c>
      <c r="X1343" s="152">
        <f>IF(W1343="","",1+COUNTIFS($W$4:$W$3003,"&gt;"&amp;W1343)+COUNTIFS($W$4:W1343,W1343)-1)</f>
        <v/>
      </c>
      <c r="Y1343" s="175">
        <f>IF(OR(I1343="",'02_대상물건입력'!B19="",'02_대상물건입력'!B19&lt;=0),"",ABS(I1343-'02_대상물건입력'!B19)/'02_대상물건입력'!B19)</f>
        <v/>
      </c>
      <c r="Z1343" s="172">
        <f>IF(OR(Y1343="",'01_설정'!B31="",'01_설정'!B31&lt;=0,'01_설정'!B32="",'01_설정'!B32&lt;=0),"",MAX(0,(1-Y1343/'01_설정'!B32))*'01_설정'!B31)</f>
        <v/>
      </c>
    </row>
    <row r="1344" ht="17.25" customHeight="1">
      <c r="A1344" s="152">
        <f>IF(INDEX('04A_국토부원자료'!$A:$A,ROW()+1)="","",ROW()-3)</f>
        <v/>
      </c>
      <c r="B1344" s="48">
        <f>IFERROR(INDEX('04A_국토부원자료'!$A:$T,ROW()+1,MATCH("시군구",'04A_국토부원자료'!$A$4:$T$4,0)),"")</f>
        <v/>
      </c>
      <c r="C1344" s="48">
        <f>IF(B1344="","",IFERROR(INDEX('04A_국토부원자료'!$A:$T,ROW()+1,MATCH("번지",'04A_국토부원자료'!$A$4:$T$4,0)),""))</f>
        <v/>
      </c>
      <c r="D1344" s="48">
        <f>IF(B1344="","",IF(Q1344=1,'02_대상물건입력'!$B$8,IFERROR(INDEX('04A_국토부원자료'!$A:$T,ROW()+1,MATCH("단지명",'04A_국토부원자료'!$A$4:$T$4,0)),"")))</f>
        <v/>
      </c>
      <c r="E1344" s="172">
        <f>IFERROR(VALUE(SUBSTITUTE(INDEX('04A_국토부원자료'!$A:$T,ROW()+1,MATCH("전용면적(㎡)",'04A_국토부원자료'!$A$4:$T$4,0)),",","")),"")</f>
        <v/>
      </c>
      <c r="F13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44" s="51">
        <f>IFERROR(VALUE(SUBSTITUTE(INDEX('04A_국토부원자료'!$A:$T,ROW()+1,MATCH("거래금액(만원)",'04A_국토부원자료'!$A$4:$T$4,0)),",","")),"")</f>
        <v/>
      </c>
      <c r="H1344" s="174">
        <f>IF(G1344="","",G1344*10000)</f>
        <v/>
      </c>
      <c r="I1344" s="174">
        <f>IFERROR(IF(AND(H1344&gt;0,E1344&gt;0),H1344/E1344,""),"")</f>
        <v/>
      </c>
      <c r="J1344" s="152">
        <f>IFERROR(VALUE(SUBSTITUTE(INDEX('04A_국토부원자료'!$A:$T,ROW()+1,MATCH("층",'04A_국토부원자료'!$A$4:$T$4,0)),",","")),"")</f>
        <v/>
      </c>
      <c r="K1344" s="152">
        <f>IFERROR(VALUE(SUBSTITUTE(INDEX('04A_국토부원자료'!$A:$T,ROW()+1,MATCH("건축년도",'04A_국토부원자료'!$A$4:$T$4,0)),",","")),"")</f>
        <v/>
      </c>
      <c r="L1344" s="176">
        <f>IFERROR(INDEX('04A_국토부원자료'!$A:$T,ROW()+1,MATCH("도로명",'04A_국토부원자료'!$A$4:$T$4,0)),"")</f>
        <v/>
      </c>
      <c r="M1344" s="48">
        <f>IFERROR(INDEX('04A_국토부원자료'!$A:$T,ROW()+1,MATCH("거래유형",'04A_국토부원자료'!$A$4:$T$4,0)),"")</f>
        <v/>
      </c>
      <c r="N1344" s="152">
        <f>IF(B1344="","",IF('02_대상물건입력'!B5="",1,IF(ISNUMBER(SEARCH('02_대상물건입력'!B5,B1344)),1,0)))</f>
        <v/>
      </c>
      <c r="O1344" s="152">
        <f>IF(B1344="","",IF('02_대상물건입력'!B6="",1,IF(ISNUMBER(SEARCH('02_대상물건입력'!B6,B1344)),1,0)))</f>
        <v/>
      </c>
      <c r="P1344" s="152">
        <f>IF(L1344="","",IF('02_대상물건입력'!B15="",0,IF(ISNUMBER(SEARCH('02_대상물건입력'!B15,L1344)),1,0)))</f>
        <v/>
      </c>
      <c r="Q1344" s="152">
        <f>IF(OR(C1344="",L1344=""),0,IF(AND(TRIM(C1344)=TRIM(RIGHT(SUBSTITUTE(TRIM('02_대상물건입력'!$B$7)," ",REPT(" ",99)),99)),IF('02_대상물건입력'!B15="",TRUE(),ISNUMBER(SEARCH('02_대상물건입력'!B15,L1344)))),1,0))</f>
        <v/>
      </c>
      <c r="R1344" s="175">
        <f>IFERROR(ABS(E1344-'02_대상물건입력'!B11)/'02_대상물건입력'!B11,"")</f>
        <v/>
      </c>
      <c r="S1344" s="152">
        <f>IFERROR(ABS(J1344-'02_대상물건입력'!B10),"")</f>
        <v/>
      </c>
      <c r="T1344" s="152">
        <f>IFERROR(ABS('01_설정'!B4-F1344),"")</f>
        <v/>
      </c>
      <c r="U1344" s="152">
        <f>IFERROR(ABS(K1344-YEAR('02_대상물건입력'!B14)),"")</f>
        <v/>
      </c>
      <c r="V1344" s="152">
        <f>IF(B1344="","",IF(AND(E1344&gt;0,F1344&gt;0,H1344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1344=1,TRUE()),R1344&lt;='01_설정'!B5,S1344&lt;='01_설정'!B6,T1344&lt;='01_설정'!B7,U1344&lt;='01_설정'!B8),"Y",""))</f>
        <v/>
      </c>
      <c r="W1344" s="172">
        <f>IF(V1344&lt;&gt;"Y","",MAX(0,(1-R1344/'01_설정'!B5))*'01_설정'!B14+MAX(0,(1-S1344/'01_설정'!B6))*'01_설정'!B15+MAX(0,(1-T1344/'01_설정'!B7))*'01_설정'!B16+MAX(0,(1-U1344/'01_설정'!B8))*'01_설정'!B17+O1344*'01_설정'!B11+Q1344*'01_설정'!B12+P1344*'01_설정'!B13+IF(Z1344="",0,Z1344))</f>
        <v/>
      </c>
      <c r="X1344" s="152">
        <f>IF(W1344="","",1+COUNTIFS($W$4:$W$3003,"&gt;"&amp;W1344)+COUNTIFS($W$4:W1344,W1344)-1)</f>
        <v/>
      </c>
      <c r="Y1344" s="175">
        <f>IF(OR(I1344="",'02_대상물건입력'!B19="",'02_대상물건입력'!B19&lt;=0),"",ABS(I1344-'02_대상물건입력'!B19)/'02_대상물건입력'!B19)</f>
        <v/>
      </c>
      <c r="Z1344" s="172">
        <f>IF(OR(Y1344="",'01_설정'!B31="",'01_설정'!B31&lt;=0,'01_설정'!B32="",'01_설정'!B32&lt;=0),"",MAX(0,(1-Y1344/'01_설정'!B32))*'01_설정'!B31)</f>
        <v/>
      </c>
    </row>
    <row r="1345" ht="17.25" customHeight="1">
      <c r="A1345" s="152">
        <f>IF(INDEX('04A_국토부원자료'!$A:$A,ROW()+1)="","",ROW()-3)</f>
        <v/>
      </c>
      <c r="B1345" s="48">
        <f>IFERROR(INDEX('04A_국토부원자료'!$A:$T,ROW()+1,MATCH("시군구",'04A_국토부원자료'!$A$4:$T$4,0)),"")</f>
        <v/>
      </c>
      <c r="C1345" s="48">
        <f>IF(B1345="","",IFERROR(INDEX('04A_국토부원자료'!$A:$T,ROW()+1,MATCH("번지",'04A_국토부원자료'!$A$4:$T$4,0)),""))</f>
        <v/>
      </c>
      <c r="D1345" s="48">
        <f>IF(B1345="","",IF(Q1345=1,'02_대상물건입력'!$B$8,IFERROR(INDEX('04A_국토부원자료'!$A:$T,ROW()+1,MATCH("단지명",'04A_국토부원자료'!$A$4:$T$4,0)),"")))</f>
        <v/>
      </c>
      <c r="E1345" s="172">
        <f>IFERROR(VALUE(SUBSTITUTE(INDEX('04A_국토부원자료'!$A:$T,ROW()+1,MATCH("전용면적(㎡)",'04A_국토부원자료'!$A$4:$T$4,0)),",","")),"")</f>
        <v/>
      </c>
      <c r="F13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45" s="51">
        <f>IFERROR(VALUE(SUBSTITUTE(INDEX('04A_국토부원자료'!$A:$T,ROW()+1,MATCH("거래금액(만원)",'04A_국토부원자료'!$A$4:$T$4,0)),",","")),"")</f>
        <v/>
      </c>
      <c r="H1345" s="174">
        <f>IF(G1345="","",G1345*10000)</f>
        <v/>
      </c>
      <c r="I1345" s="174">
        <f>IFERROR(IF(AND(H1345&gt;0,E1345&gt;0),H1345/E1345,""),"")</f>
        <v/>
      </c>
      <c r="J1345" s="152">
        <f>IFERROR(VALUE(SUBSTITUTE(INDEX('04A_국토부원자료'!$A:$T,ROW()+1,MATCH("층",'04A_국토부원자료'!$A$4:$T$4,0)),",","")),"")</f>
        <v/>
      </c>
      <c r="K1345" s="152">
        <f>IFERROR(VALUE(SUBSTITUTE(INDEX('04A_국토부원자료'!$A:$T,ROW()+1,MATCH("건축년도",'04A_국토부원자료'!$A$4:$T$4,0)),",","")),"")</f>
        <v/>
      </c>
      <c r="L1345" s="176">
        <f>IFERROR(INDEX('04A_국토부원자료'!$A:$T,ROW()+1,MATCH("도로명",'04A_국토부원자료'!$A$4:$T$4,0)),"")</f>
        <v/>
      </c>
      <c r="M1345" s="48">
        <f>IFERROR(INDEX('04A_국토부원자료'!$A:$T,ROW()+1,MATCH("거래유형",'04A_국토부원자료'!$A$4:$T$4,0)),"")</f>
        <v/>
      </c>
      <c r="N1345" s="152">
        <f>IF(B1345="","",IF('02_대상물건입력'!B5="",1,IF(ISNUMBER(SEARCH('02_대상물건입력'!B5,B1345)),1,0)))</f>
        <v/>
      </c>
      <c r="O1345" s="152">
        <f>IF(B1345="","",IF('02_대상물건입력'!B6="",1,IF(ISNUMBER(SEARCH('02_대상물건입력'!B6,B1345)),1,0)))</f>
        <v/>
      </c>
      <c r="P1345" s="152">
        <f>IF(L1345="","",IF('02_대상물건입력'!B15="",0,IF(ISNUMBER(SEARCH('02_대상물건입력'!B15,L1345)),1,0)))</f>
        <v/>
      </c>
      <c r="Q1345" s="152">
        <f>IF(OR(C1345="",L1345=""),0,IF(AND(TRIM(C1345)=TRIM(RIGHT(SUBSTITUTE(TRIM('02_대상물건입력'!$B$7)," ",REPT(" ",99)),99)),IF('02_대상물건입력'!B15="",TRUE(),ISNUMBER(SEARCH('02_대상물건입력'!B15,L1345)))),1,0))</f>
        <v/>
      </c>
      <c r="R1345" s="175">
        <f>IFERROR(ABS(E1345-'02_대상물건입력'!B11)/'02_대상물건입력'!B11,"")</f>
        <v/>
      </c>
      <c r="S1345" s="152">
        <f>IFERROR(ABS(J1345-'02_대상물건입력'!B10),"")</f>
        <v/>
      </c>
      <c r="T1345" s="152">
        <f>IFERROR(ABS('01_설정'!B4-F1345),"")</f>
        <v/>
      </c>
      <c r="U1345" s="152">
        <f>IFERROR(ABS(K1345-YEAR('02_대상물건입력'!B14)),"")</f>
        <v/>
      </c>
      <c r="V1345" s="152">
        <f>IF(B1345="","",IF(AND(E1345&gt;0,F1345&gt;0,H1345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1345=1,TRUE()),R1345&lt;='01_설정'!B5,S1345&lt;='01_설정'!B6,T1345&lt;='01_설정'!B7,U1345&lt;='01_설정'!B8),"Y",""))</f>
        <v/>
      </c>
      <c r="W1345" s="172">
        <f>IF(V1345&lt;&gt;"Y","",MAX(0,(1-R1345/'01_설정'!B5))*'01_설정'!B14+MAX(0,(1-S1345/'01_설정'!B6))*'01_설정'!B15+MAX(0,(1-T1345/'01_설정'!B7))*'01_설정'!B16+MAX(0,(1-U1345/'01_설정'!B8))*'01_설정'!B17+O1345*'01_설정'!B11+Q1345*'01_설정'!B12+P1345*'01_설정'!B13+IF(Z1345="",0,Z1345))</f>
        <v/>
      </c>
      <c r="X1345" s="152">
        <f>IF(W1345="","",1+COUNTIFS($W$4:$W$3003,"&gt;"&amp;W1345)+COUNTIFS($W$4:W1345,W1345)-1)</f>
        <v/>
      </c>
      <c r="Y1345" s="175">
        <f>IF(OR(I1345="",'02_대상물건입력'!B19="",'02_대상물건입력'!B19&lt;=0),"",ABS(I1345-'02_대상물건입력'!B19)/'02_대상물건입력'!B19)</f>
        <v/>
      </c>
      <c r="Z1345" s="172">
        <f>IF(OR(Y1345="",'01_설정'!B31="",'01_설정'!B31&lt;=0,'01_설정'!B32="",'01_설정'!B32&lt;=0),"",MAX(0,(1-Y1345/'01_설정'!B32))*'01_설정'!B31)</f>
        <v/>
      </c>
    </row>
    <row r="1346" ht="17.25" customHeight="1">
      <c r="A1346" s="152">
        <f>IF(INDEX('04A_국토부원자료'!$A:$A,ROW()+1)="","",ROW()-3)</f>
        <v/>
      </c>
      <c r="B1346" s="48">
        <f>IFERROR(INDEX('04A_국토부원자료'!$A:$T,ROW()+1,MATCH("시군구",'04A_국토부원자료'!$A$4:$T$4,0)),"")</f>
        <v/>
      </c>
      <c r="C1346" s="48">
        <f>IF(B1346="","",IFERROR(INDEX('04A_국토부원자료'!$A:$T,ROW()+1,MATCH("번지",'04A_국토부원자료'!$A$4:$T$4,0)),""))</f>
        <v/>
      </c>
      <c r="D1346" s="48">
        <f>IF(B1346="","",IF(Q1346=1,'02_대상물건입력'!$B$8,IFERROR(INDEX('04A_국토부원자료'!$A:$T,ROW()+1,MATCH("단지명",'04A_국토부원자료'!$A$4:$T$4,0)),"")))</f>
        <v/>
      </c>
      <c r="E1346" s="172">
        <f>IFERROR(VALUE(SUBSTITUTE(INDEX('04A_국토부원자료'!$A:$T,ROW()+1,MATCH("전용면적(㎡)",'04A_국토부원자료'!$A$4:$T$4,0)),",","")),"")</f>
        <v/>
      </c>
      <c r="F13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46" s="51">
        <f>IFERROR(VALUE(SUBSTITUTE(INDEX('04A_국토부원자료'!$A:$T,ROW()+1,MATCH("거래금액(만원)",'04A_국토부원자료'!$A$4:$T$4,0)),",","")),"")</f>
        <v/>
      </c>
      <c r="H1346" s="174">
        <f>IF(G1346="","",G1346*10000)</f>
        <v/>
      </c>
      <c r="I1346" s="174">
        <f>IFERROR(IF(AND(H1346&gt;0,E1346&gt;0),H1346/E1346,""),"")</f>
        <v/>
      </c>
      <c r="J1346" s="152">
        <f>IFERROR(VALUE(SUBSTITUTE(INDEX('04A_국토부원자료'!$A:$T,ROW()+1,MATCH("층",'04A_국토부원자료'!$A$4:$T$4,0)),",","")),"")</f>
        <v/>
      </c>
      <c r="K1346" s="152">
        <f>IFERROR(VALUE(SUBSTITUTE(INDEX('04A_국토부원자료'!$A:$T,ROW()+1,MATCH("건축년도",'04A_국토부원자료'!$A$4:$T$4,0)),",","")),"")</f>
        <v/>
      </c>
      <c r="L1346" s="176">
        <f>IFERROR(INDEX('04A_국토부원자료'!$A:$T,ROW()+1,MATCH("도로명",'04A_국토부원자료'!$A$4:$T$4,0)),"")</f>
        <v/>
      </c>
      <c r="M1346" s="48">
        <f>IFERROR(INDEX('04A_국토부원자료'!$A:$T,ROW()+1,MATCH("거래유형",'04A_국토부원자료'!$A$4:$T$4,0)),"")</f>
        <v/>
      </c>
      <c r="N1346" s="152">
        <f>IF(B1346="","",IF('02_대상물건입력'!B5="",1,IF(ISNUMBER(SEARCH('02_대상물건입력'!B5,B1346)),1,0)))</f>
        <v/>
      </c>
      <c r="O1346" s="152">
        <f>IF(B1346="","",IF('02_대상물건입력'!B6="",1,IF(ISNUMBER(SEARCH('02_대상물건입력'!B6,B1346)),1,0)))</f>
        <v/>
      </c>
      <c r="P1346" s="152">
        <f>IF(L1346="","",IF('02_대상물건입력'!B15="",0,IF(ISNUMBER(SEARCH('02_대상물건입력'!B15,L1346)),1,0)))</f>
        <v/>
      </c>
      <c r="Q1346" s="152">
        <f>IF(OR(C1346="",L1346=""),0,IF(AND(TRIM(C1346)=TRIM(RIGHT(SUBSTITUTE(TRIM('02_대상물건입력'!$B$7)," ",REPT(" ",99)),99)),IF('02_대상물건입력'!B15="",TRUE(),ISNUMBER(SEARCH('02_대상물건입력'!B15,L1346)))),1,0))</f>
        <v/>
      </c>
      <c r="R1346" s="175">
        <f>IFERROR(ABS(E1346-'02_대상물건입력'!B11)/'02_대상물건입력'!B11,"")</f>
        <v/>
      </c>
      <c r="S1346" s="152">
        <f>IFERROR(ABS(J1346-'02_대상물건입력'!B10),"")</f>
        <v/>
      </c>
      <c r="T1346" s="152">
        <f>IFERROR(ABS('01_설정'!B4-F1346),"")</f>
        <v/>
      </c>
      <c r="U1346" s="152">
        <f>IFERROR(ABS(K1346-YEAR('02_대상물건입력'!B14)),"")</f>
        <v/>
      </c>
      <c r="V1346" s="152">
        <f>IF(B1346="","",IF(AND(E1346&gt;0,F1346&gt;0,H1346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1346=1,TRUE()),R1346&lt;='01_설정'!B5,S1346&lt;='01_설정'!B6,T1346&lt;='01_설정'!B7,U1346&lt;='01_설정'!B8),"Y",""))</f>
        <v/>
      </c>
      <c r="W1346" s="172">
        <f>IF(V1346&lt;&gt;"Y","",MAX(0,(1-R1346/'01_설정'!B5))*'01_설정'!B14+MAX(0,(1-S1346/'01_설정'!B6))*'01_설정'!B15+MAX(0,(1-T1346/'01_설정'!B7))*'01_설정'!B16+MAX(0,(1-U1346/'01_설정'!B8))*'01_설정'!B17+O1346*'01_설정'!B11+Q1346*'01_설정'!B12+P1346*'01_설정'!B13+IF(Z1346="",0,Z1346))</f>
        <v/>
      </c>
      <c r="X1346" s="152">
        <f>IF(W1346="","",1+COUNTIFS($W$4:$W$3003,"&gt;"&amp;W1346)+COUNTIFS($W$4:W1346,W1346)-1)</f>
        <v/>
      </c>
      <c r="Y1346" s="175">
        <f>IF(OR(I1346="",'02_대상물건입력'!B19="",'02_대상물건입력'!B19&lt;=0),"",ABS(I1346-'02_대상물건입력'!B19)/'02_대상물건입력'!B19)</f>
        <v/>
      </c>
      <c r="Z1346" s="172">
        <f>IF(OR(Y1346="",'01_설정'!B31="",'01_설정'!B31&lt;=0,'01_설정'!B32="",'01_설정'!B32&lt;=0),"",MAX(0,(1-Y1346/'01_설정'!B32))*'01_설정'!B31)</f>
        <v/>
      </c>
    </row>
    <row r="1347" ht="17.25" customHeight="1">
      <c r="A1347" s="152">
        <f>IF(INDEX('04A_국토부원자료'!$A:$A,ROW()+1)="","",ROW()-3)</f>
        <v/>
      </c>
      <c r="B1347" s="48">
        <f>IFERROR(INDEX('04A_국토부원자료'!$A:$T,ROW()+1,MATCH("시군구",'04A_국토부원자료'!$A$4:$T$4,0)),"")</f>
        <v/>
      </c>
      <c r="C1347" s="48">
        <f>IF(B1347="","",IFERROR(INDEX('04A_국토부원자료'!$A:$T,ROW()+1,MATCH("번지",'04A_국토부원자료'!$A$4:$T$4,0)),""))</f>
        <v/>
      </c>
      <c r="D1347" s="48">
        <f>IF(B1347="","",IF(Q1347=1,'02_대상물건입력'!$B$8,IFERROR(INDEX('04A_국토부원자료'!$A:$T,ROW()+1,MATCH("단지명",'04A_국토부원자료'!$A$4:$T$4,0)),"")))</f>
        <v/>
      </c>
      <c r="E1347" s="172">
        <f>IFERROR(VALUE(SUBSTITUTE(INDEX('04A_국토부원자료'!$A:$T,ROW()+1,MATCH("전용면적(㎡)",'04A_국토부원자료'!$A$4:$T$4,0)),",","")),"")</f>
        <v/>
      </c>
      <c r="F13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47" s="51">
        <f>IFERROR(VALUE(SUBSTITUTE(INDEX('04A_국토부원자료'!$A:$T,ROW()+1,MATCH("거래금액(만원)",'04A_국토부원자료'!$A$4:$T$4,0)),",","")),"")</f>
        <v/>
      </c>
      <c r="H1347" s="174">
        <f>IF(G1347="","",G1347*10000)</f>
        <v/>
      </c>
      <c r="I1347" s="174">
        <f>IFERROR(IF(AND(H1347&gt;0,E1347&gt;0),H1347/E1347,""),"")</f>
        <v/>
      </c>
      <c r="J1347" s="152">
        <f>IFERROR(VALUE(SUBSTITUTE(INDEX('04A_국토부원자료'!$A:$T,ROW()+1,MATCH("층",'04A_국토부원자료'!$A$4:$T$4,0)),",","")),"")</f>
        <v/>
      </c>
      <c r="K1347" s="152">
        <f>IFERROR(VALUE(SUBSTITUTE(INDEX('04A_국토부원자료'!$A:$T,ROW()+1,MATCH("건축년도",'04A_국토부원자료'!$A$4:$T$4,0)),",","")),"")</f>
        <v/>
      </c>
      <c r="L1347" s="176">
        <f>IFERROR(INDEX('04A_국토부원자료'!$A:$T,ROW()+1,MATCH("도로명",'04A_국토부원자료'!$A$4:$T$4,0)),"")</f>
        <v/>
      </c>
      <c r="M1347" s="48">
        <f>IFERROR(INDEX('04A_국토부원자료'!$A:$T,ROW()+1,MATCH("거래유형",'04A_국토부원자료'!$A$4:$T$4,0)),"")</f>
        <v/>
      </c>
      <c r="N1347" s="152">
        <f>IF(B1347="","",IF('02_대상물건입력'!B5="",1,IF(ISNUMBER(SEARCH('02_대상물건입력'!B5,B1347)),1,0)))</f>
        <v/>
      </c>
      <c r="O1347" s="152">
        <f>IF(B1347="","",IF('02_대상물건입력'!B6="",1,IF(ISNUMBER(SEARCH('02_대상물건입력'!B6,B1347)),1,0)))</f>
        <v/>
      </c>
      <c r="P1347" s="152">
        <f>IF(L1347="","",IF('02_대상물건입력'!B15="",0,IF(ISNUMBER(SEARCH('02_대상물건입력'!B15,L1347)),1,0)))</f>
        <v/>
      </c>
      <c r="Q1347" s="152">
        <f>IF(OR(C1347="",L1347=""),0,IF(AND(TRIM(C1347)=TRIM(RIGHT(SUBSTITUTE(TRIM('02_대상물건입력'!$B$7)," ",REPT(" ",99)),99)),IF('02_대상물건입력'!B15="",TRUE(),ISNUMBER(SEARCH('02_대상물건입력'!B15,L1347)))),1,0))</f>
        <v/>
      </c>
      <c r="R1347" s="175">
        <f>IFERROR(ABS(E1347-'02_대상물건입력'!B11)/'02_대상물건입력'!B11,"")</f>
        <v/>
      </c>
      <c r="S1347" s="152">
        <f>IFERROR(ABS(J1347-'02_대상물건입력'!B10),"")</f>
        <v/>
      </c>
      <c r="T1347" s="152">
        <f>IFERROR(ABS('01_설정'!B4-F1347),"")</f>
        <v/>
      </c>
      <c r="U1347" s="152">
        <f>IFERROR(ABS(K1347-YEAR('02_대상물건입력'!B14)),"")</f>
        <v/>
      </c>
      <c r="V1347" s="152">
        <f>IF(B1347="","",IF(AND(E1347&gt;0,F1347&gt;0,H1347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1347=1,TRUE()),R1347&lt;='01_설정'!B5,S1347&lt;='01_설정'!B6,T1347&lt;='01_설정'!B7,U1347&lt;='01_설정'!B8),"Y",""))</f>
        <v/>
      </c>
      <c r="W1347" s="172">
        <f>IF(V1347&lt;&gt;"Y","",MAX(0,(1-R1347/'01_설정'!B5))*'01_설정'!B14+MAX(0,(1-S1347/'01_설정'!B6))*'01_설정'!B15+MAX(0,(1-T1347/'01_설정'!B7))*'01_설정'!B16+MAX(0,(1-U1347/'01_설정'!B8))*'01_설정'!B17+O1347*'01_설정'!B11+Q1347*'01_설정'!B12+P1347*'01_설정'!B13+IF(Z1347="",0,Z1347))</f>
        <v/>
      </c>
      <c r="X1347" s="152">
        <f>IF(W1347="","",1+COUNTIFS($W$4:$W$3003,"&gt;"&amp;W1347)+COUNTIFS($W$4:W1347,W1347)-1)</f>
        <v/>
      </c>
      <c r="Y1347" s="175">
        <f>IF(OR(I1347="",'02_대상물건입력'!B19="",'02_대상물건입력'!B19&lt;=0),"",ABS(I1347-'02_대상물건입력'!B19)/'02_대상물건입력'!B19)</f>
        <v/>
      </c>
      <c r="Z1347" s="172">
        <f>IF(OR(Y1347="",'01_설정'!B31="",'01_설정'!B31&lt;=0,'01_설정'!B32="",'01_설정'!B32&lt;=0),"",MAX(0,(1-Y1347/'01_설정'!B32))*'01_설정'!B31)</f>
        <v/>
      </c>
    </row>
    <row r="1348" ht="17.25" customHeight="1">
      <c r="A1348" s="152">
        <f>IF(INDEX('04A_국토부원자료'!$A:$A,ROW()+1)="","",ROW()-3)</f>
        <v/>
      </c>
      <c r="B1348" s="48">
        <f>IFERROR(INDEX('04A_국토부원자료'!$A:$T,ROW()+1,MATCH("시군구",'04A_국토부원자료'!$A$4:$T$4,0)),"")</f>
        <v/>
      </c>
      <c r="C1348" s="48">
        <f>IF(B1348="","",IFERROR(INDEX('04A_국토부원자료'!$A:$T,ROW()+1,MATCH("번지",'04A_국토부원자료'!$A$4:$T$4,0)),""))</f>
        <v/>
      </c>
      <c r="D1348" s="48">
        <f>IF(B1348="","",IF(Q1348=1,'02_대상물건입력'!$B$8,IFERROR(INDEX('04A_국토부원자료'!$A:$T,ROW()+1,MATCH("단지명",'04A_국토부원자료'!$A$4:$T$4,0)),"")))</f>
        <v/>
      </c>
      <c r="E1348" s="172">
        <f>IFERROR(VALUE(SUBSTITUTE(INDEX('04A_국토부원자료'!$A:$T,ROW()+1,MATCH("전용면적(㎡)",'04A_국토부원자료'!$A$4:$T$4,0)),",","")),"")</f>
        <v/>
      </c>
      <c r="F13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48" s="51">
        <f>IFERROR(VALUE(SUBSTITUTE(INDEX('04A_국토부원자료'!$A:$T,ROW()+1,MATCH("거래금액(만원)",'04A_국토부원자료'!$A$4:$T$4,0)),",","")),"")</f>
        <v/>
      </c>
      <c r="H1348" s="174">
        <f>IF(G1348="","",G1348*10000)</f>
        <v/>
      </c>
      <c r="I1348" s="174">
        <f>IFERROR(IF(AND(H1348&gt;0,E1348&gt;0),H1348/E1348,""),"")</f>
        <v/>
      </c>
      <c r="J1348" s="152">
        <f>IFERROR(VALUE(SUBSTITUTE(INDEX('04A_국토부원자료'!$A:$T,ROW()+1,MATCH("층",'04A_국토부원자료'!$A$4:$T$4,0)),",","")),"")</f>
        <v/>
      </c>
      <c r="K1348" s="152">
        <f>IFERROR(VALUE(SUBSTITUTE(INDEX('04A_국토부원자료'!$A:$T,ROW()+1,MATCH("건축년도",'04A_국토부원자료'!$A$4:$T$4,0)),",","")),"")</f>
        <v/>
      </c>
      <c r="L1348" s="176">
        <f>IFERROR(INDEX('04A_국토부원자료'!$A:$T,ROW()+1,MATCH("도로명",'04A_국토부원자료'!$A$4:$T$4,0)),"")</f>
        <v/>
      </c>
      <c r="M1348" s="48">
        <f>IFERROR(INDEX('04A_국토부원자료'!$A:$T,ROW()+1,MATCH("거래유형",'04A_국토부원자료'!$A$4:$T$4,0)),"")</f>
        <v/>
      </c>
      <c r="N1348" s="152">
        <f>IF(B1348="","",IF('02_대상물건입력'!B5="",1,IF(ISNUMBER(SEARCH('02_대상물건입력'!B5,B1348)),1,0)))</f>
        <v/>
      </c>
      <c r="O1348" s="152">
        <f>IF(B1348="","",IF('02_대상물건입력'!B6="",1,IF(ISNUMBER(SEARCH('02_대상물건입력'!B6,B1348)),1,0)))</f>
        <v/>
      </c>
      <c r="P1348" s="152">
        <f>IF(L1348="","",IF('02_대상물건입력'!B15="",0,IF(ISNUMBER(SEARCH('02_대상물건입력'!B15,L1348)),1,0)))</f>
        <v/>
      </c>
      <c r="Q1348" s="152">
        <f>IF(OR(C1348="",L1348=""),0,IF(AND(TRIM(C1348)=TRIM(RIGHT(SUBSTITUTE(TRIM('02_대상물건입력'!$B$7)," ",REPT(" ",99)),99)),IF('02_대상물건입력'!B15="",TRUE(),ISNUMBER(SEARCH('02_대상물건입력'!B15,L1348)))),1,0))</f>
        <v/>
      </c>
      <c r="R1348" s="175">
        <f>IFERROR(ABS(E1348-'02_대상물건입력'!B11)/'02_대상물건입력'!B11,"")</f>
        <v/>
      </c>
      <c r="S1348" s="152">
        <f>IFERROR(ABS(J1348-'02_대상물건입력'!B10),"")</f>
        <v/>
      </c>
      <c r="T1348" s="152">
        <f>IFERROR(ABS('01_설정'!B4-F1348),"")</f>
        <v/>
      </c>
      <c r="U1348" s="152">
        <f>IFERROR(ABS(K1348-YEAR('02_대상물건입력'!B14)),"")</f>
        <v/>
      </c>
      <c r="V1348" s="152">
        <f>IF(B1348="","",IF(AND(E1348&gt;0,F1348&gt;0,H1348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1348=1,TRUE()),R1348&lt;='01_설정'!B5,S1348&lt;='01_설정'!B6,T1348&lt;='01_설정'!B7,U1348&lt;='01_설정'!B8),"Y",""))</f>
        <v/>
      </c>
      <c r="W1348" s="172">
        <f>IF(V1348&lt;&gt;"Y","",MAX(0,(1-R1348/'01_설정'!B5))*'01_설정'!B14+MAX(0,(1-S1348/'01_설정'!B6))*'01_설정'!B15+MAX(0,(1-T1348/'01_설정'!B7))*'01_설정'!B16+MAX(0,(1-U1348/'01_설정'!B8))*'01_설정'!B17+O1348*'01_설정'!B11+Q1348*'01_설정'!B12+P1348*'01_설정'!B13+IF(Z1348="",0,Z1348))</f>
        <v/>
      </c>
      <c r="X1348" s="152">
        <f>IF(W1348="","",1+COUNTIFS($W$4:$W$3003,"&gt;"&amp;W1348)+COUNTIFS($W$4:W1348,W1348)-1)</f>
        <v/>
      </c>
      <c r="Y1348" s="175">
        <f>IF(OR(I1348="",'02_대상물건입력'!B19="",'02_대상물건입력'!B19&lt;=0),"",ABS(I1348-'02_대상물건입력'!B19)/'02_대상물건입력'!B19)</f>
        <v/>
      </c>
      <c r="Z1348" s="172">
        <f>IF(OR(Y1348="",'01_설정'!B31="",'01_설정'!B31&lt;=0,'01_설정'!B32="",'01_설정'!B32&lt;=0),"",MAX(0,(1-Y1348/'01_설정'!B32))*'01_설정'!B31)</f>
        <v/>
      </c>
    </row>
    <row r="1349" ht="17.25" customHeight="1">
      <c r="A1349" s="152">
        <f>IF(INDEX('04A_국토부원자료'!$A:$A,ROW()+1)="","",ROW()-3)</f>
        <v/>
      </c>
      <c r="B1349" s="48">
        <f>IFERROR(INDEX('04A_국토부원자료'!$A:$T,ROW()+1,MATCH("시군구",'04A_국토부원자료'!$A$4:$T$4,0)),"")</f>
        <v/>
      </c>
      <c r="C1349" s="48">
        <f>IF(B1349="","",IFERROR(INDEX('04A_국토부원자료'!$A:$T,ROW()+1,MATCH("번지",'04A_국토부원자료'!$A$4:$T$4,0)),""))</f>
        <v/>
      </c>
      <c r="D1349" s="48">
        <f>IF(B1349="","",IF(Q1349=1,'02_대상물건입력'!$B$8,IFERROR(INDEX('04A_국토부원자료'!$A:$T,ROW()+1,MATCH("단지명",'04A_국토부원자료'!$A$4:$T$4,0)),"")))</f>
        <v/>
      </c>
      <c r="E1349" s="172">
        <f>IFERROR(VALUE(SUBSTITUTE(INDEX('04A_국토부원자료'!$A:$T,ROW()+1,MATCH("전용면적(㎡)",'04A_국토부원자료'!$A$4:$T$4,0)),",","")),"")</f>
        <v/>
      </c>
      <c r="F13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49" s="51">
        <f>IFERROR(VALUE(SUBSTITUTE(INDEX('04A_국토부원자료'!$A:$T,ROW()+1,MATCH("거래금액(만원)",'04A_국토부원자료'!$A$4:$T$4,0)),",","")),"")</f>
        <v/>
      </c>
      <c r="H1349" s="174">
        <f>IF(G1349="","",G1349*10000)</f>
        <v/>
      </c>
      <c r="I1349" s="174">
        <f>IFERROR(IF(AND(H1349&gt;0,E1349&gt;0),H1349/E1349,""),"")</f>
        <v/>
      </c>
      <c r="J1349" s="152">
        <f>IFERROR(VALUE(SUBSTITUTE(INDEX('04A_국토부원자료'!$A:$T,ROW()+1,MATCH("층",'04A_국토부원자료'!$A$4:$T$4,0)),",","")),"")</f>
        <v/>
      </c>
      <c r="K1349" s="152">
        <f>IFERROR(VALUE(SUBSTITUTE(INDEX('04A_국토부원자료'!$A:$T,ROW()+1,MATCH("건축년도",'04A_국토부원자료'!$A$4:$T$4,0)),",","")),"")</f>
        <v/>
      </c>
      <c r="L1349" s="176">
        <f>IFERROR(INDEX('04A_국토부원자료'!$A:$T,ROW()+1,MATCH("도로명",'04A_국토부원자료'!$A$4:$T$4,0)),"")</f>
        <v/>
      </c>
      <c r="M1349" s="48">
        <f>IFERROR(INDEX('04A_국토부원자료'!$A:$T,ROW()+1,MATCH("거래유형",'04A_국토부원자료'!$A$4:$T$4,0)),"")</f>
        <v/>
      </c>
      <c r="N1349" s="152">
        <f>IF(B1349="","",IF('02_대상물건입력'!B5="",1,IF(ISNUMBER(SEARCH('02_대상물건입력'!B5,B1349)),1,0)))</f>
        <v/>
      </c>
      <c r="O1349" s="152">
        <f>IF(B1349="","",IF('02_대상물건입력'!B6="",1,IF(ISNUMBER(SEARCH('02_대상물건입력'!B6,B1349)),1,0)))</f>
        <v/>
      </c>
      <c r="P1349" s="152">
        <f>IF(L1349="","",IF('02_대상물건입력'!B15="",0,IF(ISNUMBER(SEARCH('02_대상물건입력'!B15,L1349)),1,0)))</f>
        <v/>
      </c>
      <c r="Q1349" s="152">
        <f>IF(OR(C1349="",L1349=""),0,IF(AND(TRIM(C1349)=TRIM(RIGHT(SUBSTITUTE(TRIM('02_대상물건입력'!$B$7)," ",REPT(" ",99)),99)),IF('02_대상물건입력'!B15="",TRUE(),ISNUMBER(SEARCH('02_대상물건입력'!B15,L1349)))),1,0))</f>
        <v/>
      </c>
      <c r="R1349" s="175">
        <f>IFERROR(ABS(E1349-'02_대상물건입력'!B11)/'02_대상물건입력'!B11,"")</f>
        <v/>
      </c>
      <c r="S1349" s="152">
        <f>IFERROR(ABS(J1349-'02_대상물건입력'!B10),"")</f>
        <v/>
      </c>
      <c r="T1349" s="152">
        <f>IFERROR(ABS('01_설정'!B4-F1349),"")</f>
        <v/>
      </c>
      <c r="U1349" s="152">
        <f>IFERROR(ABS(K1349-YEAR('02_대상물건입력'!B14)),"")</f>
        <v/>
      </c>
      <c r="V1349" s="152">
        <f>IF(B1349="","",IF(AND(E1349&gt;0,F1349&gt;0,H1349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1349=1,TRUE()),R1349&lt;='01_설정'!B5,S1349&lt;='01_설정'!B6,T1349&lt;='01_설정'!B7,U1349&lt;='01_설정'!B8),"Y",""))</f>
        <v/>
      </c>
      <c r="W1349" s="172">
        <f>IF(V1349&lt;&gt;"Y","",MAX(0,(1-R1349/'01_설정'!B5))*'01_설정'!B14+MAX(0,(1-S1349/'01_설정'!B6))*'01_설정'!B15+MAX(0,(1-T1349/'01_설정'!B7))*'01_설정'!B16+MAX(0,(1-U1349/'01_설정'!B8))*'01_설정'!B17+O1349*'01_설정'!B11+Q1349*'01_설정'!B12+P1349*'01_설정'!B13+IF(Z1349="",0,Z1349))</f>
        <v/>
      </c>
      <c r="X1349" s="152">
        <f>IF(W1349="","",1+COUNTIFS($W$4:$W$3003,"&gt;"&amp;W1349)+COUNTIFS($W$4:W1349,W1349)-1)</f>
        <v/>
      </c>
      <c r="Y1349" s="175">
        <f>IF(OR(I1349="",'02_대상물건입력'!B19="",'02_대상물건입력'!B19&lt;=0),"",ABS(I1349-'02_대상물건입력'!B19)/'02_대상물건입력'!B19)</f>
        <v/>
      </c>
      <c r="Z1349" s="172">
        <f>IF(OR(Y1349="",'01_설정'!B31="",'01_설정'!B31&lt;=0,'01_설정'!B32="",'01_설정'!B32&lt;=0),"",MAX(0,(1-Y1349/'01_설정'!B32))*'01_설정'!B31)</f>
        <v/>
      </c>
    </row>
    <row r="1350" ht="17.25" customHeight="1">
      <c r="A1350" s="152">
        <f>IF(INDEX('04A_국토부원자료'!$A:$A,ROW()+1)="","",ROW()-3)</f>
        <v/>
      </c>
      <c r="B1350" s="48">
        <f>IFERROR(INDEX('04A_국토부원자료'!$A:$T,ROW()+1,MATCH("시군구",'04A_국토부원자료'!$A$4:$T$4,0)),"")</f>
        <v/>
      </c>
      <c r="C1350" s="48">
        <f>IF(B1350="","",IFERROR(INDEX('04A_국토부원자료'!$A:$T,ROW()+1,MATCH("번지",'04A_국토부원자료'!$A$4:$T$4,0)),""))</f>
        <v/>
      </c>
      <c r="D1350" s="48">
        <f>IF(B1350="","",IF(Q1350=1,'02_대상물건입력'!$B$8,IFERROR(INDEX('04A_국토부원자료'!$A:$T,ROW()+1,MATCH("단지명",'04A_국토부원자료'!$A$4:$T$4,0)),"")))</f>
        <v/>
      </c>
      <c r="E1350" s="172">
        <f>IFERROR(VALUE(SUBSTITUTE(INDEX('04A_국토부원자료'!$A:$T,ROW()+1,MATCH("전용면적(㎡)",'04A_국토부원자료'!$A$4:$T$4,0)),",","")),"")</f>
        <v/>
      </c>
      <c r="F13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50" s="51">
        <f>IFERROR(VALUE(SUBSTITUTE(INDEX('04A_국토부원자료'!$A:$T,ROW()+1,MATCH("거래금액(만원)",'04A_국토부원자료'!$A$4:$T$4,0)),",","")),"")</f>
        <v/>
      </c>
      <c r="H1350" s="174">
        <f>IF(G1350="","",G1350*10000)</f>
        <v/>
      </c>
      <c r="I1350" s="174">
        <f>IFERROR(IF(AND(H1350&gt;0,E1350&gt;0),H1350/E1350,""),"")</f>
        <v/>
      </c>
      <c r="J1350" s="152">
        <f>IFERROR(VALUE(SUBSTITUTE(INDEX('04A_국토부원자료'!$A:$T,ROW()+1,MATCH("층",'04A_국토부원자료'!$A$4:$T$4,0)),",","")),"")</f>
        <v/>
      </c>
      <c r="K1350" s="152">
        <f>IFERROR(VALUE(SUBSTITUTE(INDEX('04A_국토부원자료'!$A:$T,ROW()+1,MATCH("건축년도",'04A_국토부원자료'!$A$4:$T$4,0)),",","")),"")</f>
        <v/>
      </c>
      <c r="L1350" s="176">
        <f>IFERROR(INDEX('04A_국토부원자료'!$A:$T,ROW()+1,MATCH("도로명",'04A_국토부원자료'!$A$4:$T$4,0)),"")</f>
        <v/>
      </c>
      <c r="M1350" s="48">
        <f>IFERROR(INDEX('04A_국토부원자료'!$A:$T,ROW()+1,MATCH("거래유형",'04A_국토부원자료'!$A$4:$T$4,0)),"")</f>
        <v/>
      </c>
      <c r="N1350" s="152">
        <f>IF(B1350="","",IF('02_대상물건입력'!B5="",1,IF(ISNUMBER(SEARCH('02_대상물건입력'!B5,B1350)),1,0)))</f>
        <v/>
      </c>
      <c r="O1350" s="152">
        <f>IF(B1350="","",IF('02_대상물건입력'!B6="",1,IF(ISNUMBER(SEARCH('02_대상물건입력'!B6,B1350)),1,0)))</f>
        <v/>
      </c>
      <c r="P1350" s="152">
        <f>IF(L1350="","",IF('02_대상물건입력'!B15="",0,IF(ISNUMBER(SEARCH('02_대상물건입력'!B15,L1350)),1,0)))</f>
        <v/>
      </c>
      <c r="Q1350" s="152">
        <f>IF(OR(C1350="",L1350=""),0,IF(AND(TRIM(C1350)=TRIM(RIGHT(SUBSTITUTE(TRIM('02_대상물건입력'!$B$7)," ",REPT(" ",99)),99)),IF('02_대상물건입력'!B15="",TRUE(),ISNUMBER(SEARCH('02_대상물건입력'!B15,L1350)))),1,0))</f>
        <v/>
      </c>
      <c r="R1350" s="175">
        <f>IFERROR(ABS(E1350-'02_대상물건입력'!B11)/'02_대상물건입력'!B11,"")</f>
        <v/>
      </c>
      <c r="S1350" s="152">
        <f>IFERROR(ABS(J1350-'02_대상물건입력'!B10),"")</f>
        <v/>
      </c>
      <c r="T1350" s="152">
        <f>IFERROR(ABS('01_설정'!B4-F1350),"")</f>
        <v/>
      </c>
      <c r="U1350" s="152">
        <f>IFERROR(ABS(K1350-YEAR('02_대상물건입력'!B14)),"")</f>
        <v/>
      </c>
      <c r="V1350" s="152">
        <f>IF(B1350="","",IF(AND(E1350&gt;0,F1350&gt;0,H1350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1350=1,TRUE()),R1350&lt;='01_설정'!B5,S1350&lt;='01_설정'!B6,T1350&lt;='01_설정'!B7,U1350&lt;='01_설정'!B8),"Y",""))</f>
        <v/>
      </c>
      <c r="W1350" s="172">
        <f>IF(V1350&lt;&gt;"Y","",MAX(0,(1-R1350/'01_설정'!B5))*'01_설정'!B14+MAX(0,(1-S1350/'01_설정'!B6))*'01_설정'!B15+MAX(0,(1-T1350/'01_설정'!B7))*'01_설정'!B16+MAX(0,(1-U1350/'01_설정'!B8))*'01_설정'!B17+O1350*'01_설정'!B11+Q1350*'01_설정'!B12+P1350*'01_설정'!B13+IF(Z1350="",0,Z1350))</f>
        <v/>
      </c>
      <c r="X1350" s="152">
        <f>IF(W1350="","",1+COUNTIFS($W$4:$W$3003,"&gt;"&amp;W1350)+COUNTIFS($W$4:W1350,W1350)-1)</f>
        <v/>
      </c>
      <c r="Y1350" s="175">
        <f>IF(OR(I1350="",'02_대상물건입력'!B19="",'02_대상물건입력'!B19&lt;=0),"",ABS(I1350-'02_대상물건입력'!B19)/'02_대상물건입력'!B19)</f>
        <v/>
      </c>
      <c r="Z1350" s="172">
        <f>IF(OR(Y1350="",'01_설정'!B31="",'01_설정'!B31&lt;=0,'01_설정'!B32="",'01_설정'!B32&lt;=0),"",MAX(0,(1-Y1350/'01_설정'!B32))*'01_설정'!B31)</f>
        <v/>
      </c>
    </row>
    <row r="1351" ht="17.25" customHeight="1">
      <c r="A1351" s="152">
        <f>IF(INDEX('04A_국토부원자료'!$A:$A,ROW()+1)="","",ROW()-3)</f>
        <v/>
      </c>
      <c r="B1351" s="48">
        <f>IFERROR(INDEX('04A_국토부원자료'!$A:$T,ROW()+1,MATCH("시군구",'04A_국토부원자료'!$A$4:$T$4,0)),"")</f>
        <v/>
      </c>
      <c r="C1351" s="48">
        <f>IF(B1351="","",IFERROR(INDEX('04A_국토부원자료'!$A:$T,ROW()+1,MATCH("번지",'04A_국토부원자료'!$A$4:$T$4,0)),""))</f>
        <v/>
      </c>
      <c r="D1351" s="48">
        <f>IF(B1351="","",IF(Q1351=1,'02_대상물건입력'!$B$8,IFERROR(INDEX('04A_국토부원자료'!$A:$T,ROW()+1,MATCH("단지명",'04A_국토부원자료'!$A$4:$T$4,0)),"")))</f>
        <v/>
      </c>
      <c r="E1351" s="172">
        <f>IFERROR(VALUE(SUBSTITUTE(INDEX('04A_국토부원자료'!$A:$T,ROW()+1,MATCH("전용면적(㎡)",'04A_국토부원자료'!$A$4:$T$4,0)),",","")),"")</f>
        <v/>
      </c>
      <c r="F13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51" s="51">
        <f>IFERROR(VALUE(SUBSTITUTE(INDEX('04A_국토부원자료'!$A:$T,ROW()+1,MATCH("거래금액(만원)",'04A_국토부원자료'!$A$4:$T$4,0)),",","")),"")</f>
        <v/>
      </c>
      <c r="H1351" s="174">
        <f>IF(G1351="","",G1351*10000)</f>
        <v/>
      </c>
      <c r="I1351" s="174">
        <f>IFERROR(IF(AND(H1351&gt;0,E1351&gt;0),H1351/E1351,""),"")</f>
        <v/>
      </c>
      <c r="J1351" s="152">
        <f>IFERROR(VALUE(SUBSTITUTE(INDEX('04A_국토부원자료'!$A:$T,ROW()+1,MATCH("층",'04A_국토부원자료'!$A$4:$T$4,0)),",","")),"")</f>
        <v/>
      </c>
      <c r="K1351" s="152">
        <f>IFERROR(VALUE(SUBSTITUTE(INDEX('04A_국토부원자료'!$A:$T,ROW()+1,MATCH("건축년도",'04A_국토부원자료'!$A$4:$T$4,0)),",","")),"")</f>
        <v/>
      </c>
      <c r="L1351" s="176">
        <f>IFERROR(INDEX('04A_국토부원자료'!$A:$T,ROW()+1,MATCH("도로명",'04A_국토부원자료'!$A$4:$T$4,0)),"")</f>
        <v/>
      </c>
      <c r="M1351" s="48">
        <f>IFERROR(INDEX('04A_국토부원자료'!$A:$T,ROW()+1,MATCH("거래유형",'04A_국토부원자료'!$A$4:$T$4,0)),"")</f>
        <v/>
      </c>
      <c r="N1351" s="152">
        <f>IF(B1351="","",IF('02_대상물건입력'!B5="",1,IF(ISNUMBER(SEARCH('02_대상물건입력'!B5,B1351)),1,0)))</f>
        <v/>
      </c>
      <c r="O1351" s="152">
        <f>IF(B1351="","",IF('02_대상물건입력'!B6="",1,IF(ISNUMBER(SEARCH('02_대상물건입력'!B6,B1351)),1,0)))</f>
        <v/>
      </c>
      <c r="P1351" s="152">
        <f>IF(L1351="","",IF('02_대상물건입력'!B15="",0,IF(ISNUMBER(SEARCH('02_대상물건입력'!B15,L1351)),1,0)))</f>
        <v/>
      </c>
      <c r="Q1351" s="152">
        <f>IF(OR(C1351="",L1351=""),0,IF(AND(TRIM(C1351)=TRIM(RIGHT(SUBSTITUTE(TRIM('02_대상물건입력'!$B$7)," ",REPT(" ",99)),99)),IF('02_대상물건입력'!B15="",TRUE(),ISNUMBER(SEARCH('02_대상물건입력'!B15,L1351)))),1,0))</f>
        <v/>
      </c>
      <c r="R1351" s="175">
        <f>IFERROR(ABS(E1351-'02_대상물건입력'!B11)/'02_대상물건입력'!B11,"")</f>
        <v/>
      </c>
      <c r="S1351" s="152">
        <f>IFERROR(ABS(J1351-'02_대상물건입력'!B10),"")</f>
        <v/>
      </c>
      <c r="T1351" s="152">
        <f>IFERROR(ABS('01_설정'!B4-F1351),"")</f>
        <v/>
      </c>
      <c r="U1351" s="152">
        <f>IFERROR(ABS(K1351-YEAR('02_대상물건입력'!B14)),"")</f>
        <v/>
      </c>
      <c r="V1351" s="152">
        <f>IF(B1351="","",IF(AND(E1351&gt;0,F1351&gt;0,H1351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1351=1,TRUE()),R1351&lt;='01_설정'!B5,S1351&lt;='01_설정'!B6,T1351&lt;='01_설정'!B7,U1351&lt;='01_설정'!B8),"Y",""))</f>
        <v/>
      </c>
      <c r="W1351" s="172">
        <f>IF(V1351&lt;&gt;"Y","",MAX(0,(1-R1351/'01_설정'!B5))*'01_설정'!B14+MAX(0,(1-S1351/'01_설정'!B6))*'01_설정'!B15+MAX(0,(1-T1351/'01_설정'!B7))*'01_설정'!B16+MAX(0,(1-U1351/'01_설정'!B8))*'01_설정'!B17+O1351*'01_설정'!B11+Q1351*'01_설정'!B12+P1351*'01_설정'!B13+IF(Z1351="",0,Z1351))</f>
        <v/>
      </c>
      <c r="X1351" s="152">
        <f>IF(W1351="","",1+COUNTIFS($W$4:$W$3003,"&gt;"&amp;W1351)+COUNTIFS($W$4:W1351,W1351)-1)</f>
        <v/>
      </c>
      <c r="Y1351" s="175">
        <f>IF(OR(I1351="",'02_대상물건입력'!B19="",'02_대상물건입력'!B19&lt;=0),"",ABS(I1351-'02_대상물건입력'!B19)/'02_대상물건입력'!B19)</f>
        <v/>
      </c>
      <c r="Z1351" s="172">
        <f>IF(OR(Y1351="",'01_설정'!B31="",'01_설정'!B31&lt;=0,'01_설정'!B32="",'01_설정'!B32&lt;=0),"",MAX(0,(1-Y1351/'01_설정'!B32))*'01_설정'!B31)</f>
        <v/>
      </c>
    </row>
    <row r="1352" ht="17.25" customHeight="1">
      <c r="A1352" s="152">
        <f>IF(INDEX('04A_국토부원자료'!$A:$A,ROW()+1)="","",ROW()-3)</f>
        <v/>
      </c>
      <c r="B1352" s="48">
        <f>IFERROR(INDEX('04A_국토부원자료'!$A:$T,ROW()+1,MATCH("시군구",'04A_국토부원자료'!$A$4:$T$4,0)),"")</f>
        <v/>
      </c>
      <c r="C1352" s="48">
        <f>IF(B1352="","",IFERROR(INDEX('04A_국토부원자료'!$A:$T,ROW()+1,MATCH("번지",'04A_국토부원자료'!$A$4:$T$4,0)),""))</f>
        <v/>
      </c>
      <c r="D1352" s="48">
        <f>IF(B1352="","",IF(Q1352=1,'02_대상물건입력'!$B$8,IFERROR(INDEX('04A_국토부원자료'!$A:$T,ROW()+1,MATCH("단지명",'04A_국토부원자료'!$A$4:$T$4,0)),"")))</f>
        <v/>
      </c>
      <c r="E1352" s="172">
        <f>IFERROR(VALUE(SUBSTITUTE(INDEX('04A_국토부원자료'!$A:$T,ROW()+1,MATCH("전용면적(㎡)",'04A_국토부원자료'!$A$4:$T$4,0)),",","")),"")</f>
        <v/>
      </c>
      <c r="F13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52" s="51">
        <f>IFERROR(VALUE(SUBSTITUTE(INDEX('04A_국토부원자료'!$A:$T,ROW()+1,MATCH("거래금액(만원)",'04A_국토부원자료'!$A$4:$T$4,0)),",","")),"")</f>
        <v/>
      </c>
      <c r="H1352" s="174">
        <f>IF(G1352="","",G1352*10000)</f>
        <v/>
      </c>
      <c r="I1352" s="174">
        <f>IFERROR(IF(AND(H1352&gt;0,E1352&gt;0),H1352/E1352,""),"")</f>
        <v/>
      </c>
      <c r="J1352" s="152">
        <f>IFERROR(VALUE(SUBSTITUTE(INDEX('04A_국토부원자료'!$A:$T,ROW()+1,MATCH("층",'04A_국토부원자료'!$A$4:$T$4,0)),",","")),"")</f>
        <v/>
      </c>
      <c r="K1352" s="152">
        <f>IFERROR(VALUE(SUBSTITUTE(INDEX('04A_국토부원자료'!$A:$T,ROW()+1,MATCH("건축년도",'04A_국토부원자료'!$A$4:$T$4,0)),",","")),"")</f>
        <v/>
      </c>
      <c r="L1352" s="176">
        <f>IFERROR(INDEX('04A_국토부원자료'!$A:$T,ROW()+1,MATCH("도로명",'04A_국토부원자료'!$A$4:$T$4,0)),"")</f>
        <v/>
      </c>
      <c r="M1352" s="48">
        <f>IFERROR(INDEX('04A_국토부원자료'!$A:$T,ROW()+1,MATCH("거래유형",'04A_국토부원자료'!$A$4:$T$4,0)),"")</f>
        <v/>
      </c>
      <c r="N1352" s="152">
        <f>IF(B1352="","",IF('02_대상물건입력'!B5="",1,IF(ISNUMBER(SEARCH('02_대상물건입력'!B5,B1352)),1,0)))</f>
        <v/>
      </c>
      <c r="O1352" s="152">
        <f>IF(B1352="","",IF('02_대상물건입력'!B6="",1,IF(ISNUMBER(SEARCH('02_대상물건입력'!B6,B1352)),1,0)))</f>
        <v/>
      </c>
      <c r="P1352" s="152">
        <f>IF(L1352="","",IF('02_대상물건입력'!B15="",0,IF(ISNUMBER(SEARCH('02_대상물건입력'!B15,L1352)),1,0)))</f>
        <v/>
      </c>
      <c r="Q1352" s="152">
        <f>IF(OR(C1352="",L1352=""),0,IF(AND(TRIM(C1352)=TRIM(RIGHT(SUBSTITUTE(TRIM('02_대상물건입력'!$B$7)," ",REPT(" ",99)),99)),IF('02_대상물건입력'!B15="",TRUE(),ISNUMBER(SEARCH('02_대상물건입력'!B15,L1352)))),1,0))</f>
        <v/>
      </c>
      <c r="R1352" s="175">
        <f>IFERROR(ABS(E1352-'02_대상물건입력'!B11)/'02_대상물건입력'!B11,"")</f>
        <v/>
      </c>
      <c r="S1352" s="152">
        <f>IFERROR(ABS(J1352-'02_대상물건입력'!B10),"")</f>
        <v/>
      </c>
      <c r="T1352" s="152">
        <f>IFERROR(ABS('01_설정'!B4-F1352),"")</f>
        <v/>
      </c>
      <c r="U1352" s="152">
        <f>IFERROR(ABS(K1352-YEAR('02_대상물건입력'!B14)),"")</f>
        <v/>
      </c>
      <c r="V1352" s="152">
        <f>IF(B1352="","",IF(AND(E1352&gt;0,F1352&gt;0,H1352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1352=1,TRUE()),R1352&lt;='01_설정'!B5,S1352&lt;='01_설정'!B6,T1352&lt;='01_설정'!B7,U1352&lt;='01_설정'!B8),"Y",""))</f>
        <v/>
      </c>
      <c r="W1352" s="172">
        <f>IF(V1352&lt;&gt;"Y","",MAX(0,(1-R1352/'01_설정'!B5))*'01_설정'!B14+MAX(0,(1-S1352/'01_설정'!B6))*'01_설정'!B15+MAX(0,(1-T1352/'01_설정'!B7))*'01_설정'!B16+MAX(0,(1-U1352/'01_설정'!B8))*'01_설정'!B17+O1352*'01_설정'!B11+Q1352*'01_설정'!B12+P1352*'01_설정'!B13+IF(Z1352="",0,Z1352))</f>
        <v/>
      </c>
      <c r="X1352" s="152">
        <f>IF(W1352="","",1+COUNTIFS($W$4:$W$3003,"&gt;"&amp;W1352)+COUNTIFS($W$4:W1352,W1352)-1)</f>
        <v/>
      </c>
      <c r="Y1352" s="175">
        <f>IF(OR(I1352="",'02_대상물건입력'!B19="",'02_대상물건입력'!B19&lt;=0),"",ABS(I1352-'02_대상물건입력'!B19)/'02_대상물건입력'!B19)</f>
        <v/>
      </c>
      <c r="Z1352" s="172">
        <f>IF(OR(Y1352="",'01_설정'!B31="",'01_설정'!B31&lt;=0,'01_설정'!B32="",'01_설정'!B32&lt;=0),"",MAX(0,(1-Y1352/'01_설정'!B32))*'01_설정'!B31)</f>
        <v/>
      </c>
    </row>
    <row r="1353" ht="17.25" customHeight="1">
      <c r="A1353" s="152">
        <f>IF(INDEX('04A_국토부원자료'!$A:$A,ROW()+1)="","",ROW()-3)</f>
        <v/>
      </c>
      <c r="B1353" s="48">
        <f>IFERROR(INDEX('04A_국토부원자료'!$A:$T,ROW()+1,MATCH("시군구",'04A_국토부원자료'!$A$4:$T$4,0)),"")</f>
        <v/>
      </c>
      <c r="C1353" s="48">
        <f>IF(B1353="","",IFERROR(INDEX('04A_국토부원자료'!$A:$T,ROW()+1,MATCH("번지",'04A_국토부원자료'!$A$4:$T$4,0)),""))</f>
        <v/>
      </c>
      <c r="D1353" s="48">
        <f>IF(B1353="","",IF(Q1353=1,'02_대상물건입력'!$B$8,IFERROR(INDEX('04A_국토부원자료'!$A:$T,ROW()+1,MATCH("단지명",'04A_국토부원자료'!$A$4:$T$4,0)),"")))</f>
        <v/>
      </c>
      <c r="E1353" s="172">
        <f>IFERROR(VALUE(SUBSTITUTE(INDEX('04A_국토부원자료'!$A:$T,ROW()+1,MATCH("전용면적(㎡)",'04A_국토부원자료'!$A$4:$T$4,0)),",","")),"")</f>
        <v/>
      </c>
      <c r="F13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53" s="51">
        <f>IFERROR(VALUE(SUBSTITUTE(INDEX('04A_국토부원자료'!$A:$T,ROW()+1,MATCH("거래금액(만원)",'04A_국토부원자료'!$A$4:$T$4,0)),",","")),"")</f>
        <v/>
      </c>
      <c r="H1353" s="174">
        <f>IF(G1353="","",G1353*10000)</f>
        <v/>
      </c>
      <c r="I1353" s="174">
        <f>IFERROR(IF(AND(H1353&gt;0,E1353&gt;0),H1353/E1353,""),"")</f>
        <v/>
      </c>
      <c r="J1353" s="152">
        <f>IFERROR(VALUE(SUBSTITUTE(INDEX('04A_국토부원자료'!$A:$T,ROW()+1,MATCH("층",'04A_국토부원자료'!$A$4:$T$4,0)),",","")),"")</f>
        <v/>
      </c>
      <c r="K1353" s="152">
        <f>IFERROR(VALUE(SUBSTITUTE(INDEX('04A_국토부원자료'!$A:$T,ROW()+1,MATCH("건축년도",'04A_국토부원자료'!$A$4:$T$4,0)),",","")),"")</f>
        <v/>
      </c>
      <c r="L1353" s="176">
        <f>IFERROR(INDEX('04A_국토부원자료'!$A:$T,ROW()+1,MATCH("도로명",'04A_국토부원자료'!$A$4:$T$4,0)),"")</f>
        <v/>
      </c>
      <c r="M1353" s="48">
        <f>IFERROR(INDEX('04A_국토부원자료'!$A:$T,ROW()+1,MATCH("거래유형",'04A_국토부원자료'!$A$4:$T$4,0)),"")</f>
        <v/>
      </c>
      <c r="N1353" s="152">
        <f>IF(B1353="","",IF('02_대상물건입력'!B5="",1,IF(ISNUMBER(SEARCH('02_대상물건입력'!B5,B1353)),1,0)))</f>
        <v/>
      </c>
      <c r="O1353" s="152">
        <f>IF(B1353="","",IF('02_대상물건입력'!B6="",1,IF(ISNUMBER(SEARCH('02_대상물건입력'!B6,B1353)),1,0)))</f>
        <v/>
      </c>
      <c r="P1353" s="152">
        <f>IF(L1353="","",IF('02_대상물건입력'!B15="",0,IF(ISNUMBER(SEARCH('02_대상물건입력'!B15,L1353)),1,0)))</f>
        <v/>
      </c>
      <c r="Q1353" s="152">
        <f>IF(OR(C1353="",L1353=""),0,IF(AND(TRIM(C1353)=TRIM(RIGHT(SUBSTITUTE(TRIM('02_대상물건입력'!$B$7)," ",REPT(" ",99)),99)),IF('02_대상물건입력'!B15="",TRUE(),ISNUMBER(SEARCH('02_대상물건입력'!B15,L1353)))),1,0))</f>
        <v/>
      </c>
      <c r="R1353" s="175">
        <f>IFERROR(ABS(E1353-'02_대상물건입력'!B11)/'02_대상물건입력'!B11,"")</f>
        <v/>
      </c>
      <c r="S1353" s="152">
        <f>IFERROR(ABS(J1353-'02_대상물건입력'!B10),"")</f>
        <v/>
      </c>
      <c r="T1353" s="152">
        <f>IFERROR(ABS('01_설정'!B4-F1353),"")</f>
        <v/>
      </c>
      <c r="U1353" s="152">
        <f>IFERROR(ABS(K1353-YEAR('02_대상물건입력'!B14)),"")</f>
        <v/>
      </c>
      <c r="V1353" s="152">
        <f>IF(B1353="","",IF(AND(E1353&gt;0,F1353&gt;0,H1353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1353=1,TRUE()),R1353&lt;='01_설정'!B5,S1353&lt;='01_설정'!B6,T1353&lt;='01_설정'!B7,U1353&lt;='01_설정'!B8),"Y",""))</f>
        <v/>
      </c>
      <c r="W1353" s="172">
        <f>IF(V1353&lt;&gt;"Y","",MAX(0,(1-R1353/'01_설정'!B5))*'01_설정'!B14+MAX(0,(1-S1353/'01_설정'!B6))*'01_설정'!B15+MAX(0,(1-T1353/'01_설정'!B7))*'01_설정'!B16+MAX(0,(1-U1353/'01_설정'!B8))*'01_설정'!B17+O1353*'01_설정'!B11+Q1353*'01_설정'!B12+P1353*'01_설정'!B13+IF(Z1353="",0,Z1353))</f>
        <v/>
      </c>
      <c r="X1353" s="152">
        <f>IF(W1353="","",1+COUNTIFS($W$4:$W$3003,"&gt;"&amp;W1353)+COUNTIFS($W$4:W1353,W1353)-1)</f>
        <v/>
      </c>
      <c r="Y1353" s="175">
        <f>IF(OR(I1353="",'02_대상물건입력'!B19="",'02_대상물건입력'!B19&lt;=0),"",ABS(I1353-'02_대상물건입력'!B19)/'02_대상물건입력'!B19)</f>
        <v/>
      </c>
      <c r="Z1353" s="172">
        <f>IF(OR(Y1353="",'01_설정'!B31="",'01_설정'!B31&lt;=0,'01_설정'!B32="",'01_설정'!B32&lt;=0),"",MAX(0,(1-Y1353/'01_설정'!B32))*'01_설정'!B31)</f>
        <v/>
      </c>
    </row>
    <row r="1354" ht="17.25" customHeight="1">
      <c r="A1354" s="152">
        <f>IF(INDEX('04A_국토부원자료'!$A:$A,ROW()+1)="","",ROW()-3)</f>
        <v/>
      </c>
      <c r="B1354" s="48">
        <f>IFERROR(INDEX('04A_국토부원자료'!$A:$T,ROW()+1,MATCH("시군구",'04A_국토부원자료'!$A$4:$T$4,0)),"")</f>
        <v/>
      </c>
      <c r="C1354" s="48">
        <f>IF(B1354="","",IFERROR(INDEX('04A_국토부원자료'!$A:$T,ROW()+1,MATCH("번지",'04A_국토부원자료'!$A$4:$T$4,0)),""))</f>
        <v/>
      </c>
      <c r="D1354" s="48">
        <f>IF(B1354="","",IF(Q1354=1,'02_대상물건입력'!$B$8,IFERROR(INDEX('04A_국토부원자료'!$A:$T,ROW()+1,MATCH("단지명",'04A_국토부원자료'!$A$4:$T$4,0)),"")))</f>
        <v/>
      </c>
      <c r="E1354" s="172">
        <f>IFERROR(VALUE(SUBSTITUTE(INDEX('04A_국토부원자료'!$A:$T,ROW()+1,MATCH("전용면적(㎡)",'04A_국토부원자료'!$A$4:$T$4,0)),",","")),"")</f>
        <v/>
      </c>
      <c r="F13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54" s="51">
        <f>IFERROR(VALUE(SUBSTITUTE(INDEX('04A_국토부원자료'!$A:$T,ROW()+1,MATCH("거래금액(만원)",'04A_국토부원자료'!$A$4:$T$4,0)),",","")),"")</f>
        <v/>
      </c>
      <c r="H1354" s="174">
        <f>IF(G1354="","",G1354*10000)</f>
        <v/>
      </c>
      <c r="I1354" s="174">
        <f>IFERROR(IF(AND(H1354&gt;0,E1354&gt;0),H1354/E1354,""),"")</f>
        <v/>
      </c>
      <c r="J1354" s="152">
        <f>IFERROR(VALUE(SUBSTITUTE(INDEX('04A_국토부원자료'!$A:$T,ROW()+1,MATCH("층",'04A_국토부원자료'!$A$4:$T$4,0)),",","")),"")</f>
        <v/>
      </c>
      <c r="K1354" s="152">
        <f>IFERROR(VALUE(SUBSTITUTE(INDEX('04A_국토부원자료'!$A:$T,ROW()+1,MATCH("건축년도",'04A_국토부원자료'!$A$4:$T$4,0)),",","")),"")</f>
        <v/>
      </c>
      <c r="L1354" s="176">
        <f>IFERROR(INDEX('04A_국토부원자료'!$A:$T,ROW()+1,MATCH("도로명",'04A_국토부원자료'!$A$4:$T$4,0)),"")</f>
        <v/>
      </c>
      <c r="M1354" s="48">
        <f>IFERROR(INDEX('04A_국토부원자료'!$A:$T,ROW()+1,MATCH("거래유형",'04A_국토부원자료'!$A$4:$T$4,0)),"")</f>
        <v/>
      </c>
      <c r="N1354" s="152">
        <f>IF(B1354="","",IF('02_대상물건입력'!B5="",1,IF(ISNUMBER(SEARCH('02_대상물건입력'!B5,B1354)),1,0)))</f>
        <v/>
      </c>
      <c r="O1354" s="152">
        <f>IF(B1354="","",IF('02_대상물건입력'!B6="",1,IF(ISNUMBER(SEARCH('02_대상물건입력'!B6,B1354)),1,0)))</f>
        <v/>
      </c>
      <c r="P1354" s="152">
        <f>IF(L1354="","",IF('02_대상물건입력'!B15="",0,IF(ISNUMBER(SEARCH('02_대상물건입력'!B15,L1354)),1,0)))</f>
        <v/>
      </c>
      <c r="Q1354" s="152">
        <f>IF(OR(C1354="",L1354=""),0,IF(AND(TRIM(C1354)=TRIM(RIGHT(SUBSTITUTE(TRIM('02_대상물건입력'!$B$7)," ",REPT(" ",99)),99)),IF('02_대상물건입력'!B15="",TRUE(),ISNUMBER(SEARCH('02_대상물건입력'!B15,L1354)))),1,0))</f>
        <v/>
      </c>
      <c r="R1354" s="175">
        <f>IFERROR(ABS(E1354-'02_대상물건입력'!B11)/'02_대상물건입력'!B11,"")</f>
        <v/>
      </c>
      <c r="S1354" s="152">
        <f>IFERROR(ABS(J1354-'02_대상물건입력'!B10),"")</f>
        <v/>
      </c>
      <c r="T1354" s="152">
        <f>IFERROR(ABS('01_설정'!B4-F1354),"")</f>
        <v/>
      </c>
      <c r="U1354" s="152">
        <f>IFERROR(ABS(K1354-YEAR('02_대상물건입력'!B14)),"")</f>
        <v/>
      </c>
      <c r="V1354" s="152">
        <f>IF(B1354="","",IF(AND(E1354&gt;0,F1354&gt;0,H1354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1354=1,TRUE()),R1354&lt;='01_설정'!B5,S1354&lt;='01_설정'!B6,T1354&lt;='01_설정'!B7,U1354&lt;='01_설정'!B8),"Y",""))</f>
        <v/>
      </c>
      <c r="W1354" s="172">
        <f>IF(V1354&lt;&gt;"Y","",MAX(0,(1-R1354/'01_설정'!B5))*'01_설정'!B14+MAX(0,(1-S1354/'01_설정'!B6))*'01_설정'!B15+MAX(0,(1-T1354/'01_설정'!B7))*'01_설정'!B16+MAX(0,(1-U1354/'01_설정'!B8))*'01_설정'!B17+O1354*'01_설정'!B11+Q1354*'01_설정'!B12+P1354*'01_설정'!B13+IF(Z1354="",0,Z1354))</f>
        <v/>
      </c>
      <c r="X1354" s="152">
        <f>IF(W1354="","",1+COUNTIFS($W$4:$W$3003,"&gt;"&amp;W1354)+COUNTIFS($W$4:W1354,W1354)-1)</f>
        <v/>
      </c>
      <c r="Y1354" s="175">
        <f>IF(OR(I1354="",'02_대상물건입력'!B19="",'02_대상물건입력'!B19&lt;=0),"",ABS(I1354-'02_대상물건입력'!B19)/'02_대상물건입력'!B19)</f>
        <v/>
      </c>
      <c r="Z1354" s="172">
        <f>IF(OR(Y1354="",'01_설정'!B31="",'01_설정'!B31&lt;=0,'01_설정'!B32="",'01_설정'!B32&lt;=0),"",MAX(0,(1-Y1354/'01_설정'!B32))*'01_설정'!B31)</f>
        <v/>
      </c>
    </row>
    <row r="1355" ht="17.25" customHeight="1">
      <c r="A1355" s="152">
        <f>IF(INDEX('04A_국토부원자료'!$A:$A,ROW()+1)="","",ROW()-3)</f>
        <v/>
      </c>
      <c r="B1355" s="48">
        <f>IFERROR(INDEX('04A_국토부원자료'!$A:$T,ROW()+1,MATCH("시군구",'04A_국토부원자료'!$A$4:$T$4,0)),"")</f>
        <v/>
      </c>
      <c r="C1355" s="48">
        <f>IF(B1355="","",IFERROR(INDEX('04A_국토부원자료'!$A:$T,ROW()+1,MATCH("번지",'04A_국토부원자료'!$A$4:$T$4,0)),""))</f>
        <v/>
      </c>
      <c r="D1355" s="48">
        <f>IF(B1355="","",IF(Q1355=1,'02_대상물건입력'!$B$8,IFERROR(INDEX('04A_국토부원자료'!$A:$T,ROW()+1,MATCH("단지명",'04A_국토부원자료'!$A$4:$T$4,0)),"")))</f>
        <v/>
      </c>
      <c r="E1355" s="172">
        <f>IFERROR(VALUE(SUBSTITUTE(INDEX('04A_국토부원자료'!$A:$T,ROW()+1,MATCH("전용면적(㎡)",'04A_국토부원자료'!$A$4:$T$4,0)),",","")),"")</f>
        <v/>
      </c>
      <c r="F13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55" s="51">
        <f>IFERROR(VALUE(SUBSTITUTE(INDEX('04A_국토부원자료'!$A:$T,ROW()+1,MATCH("거래금액(만원)",'04A_국토부원자료'!$A$4:$T$4,0)),",","")),"")</f>
        <v/>
      </c>
      <c r="H1355" s="174">
        <f>IF(G1355="","",G1355*10000)</f>
        <v/>
      </c>
      <c r="I1355" s="174">
        <f>IFERROR(IF(AND(H1355&gt;0,E1355&gt;0),H1355/E1355,""),"")</f>
        <v/>
      </c>
      <c r="J1355" s="152">
        <f>IFERROR(VALUE(SUBSTITUTE(INDEX('04A_국토부원자료'!$A:$T,ROW()+1,MATCH("층",'04A_국토부원자료'!$A$4:$T$4,0)),",","")),"")</f>
        <v/>
      </c>
      <c r="K1355" s="152">
        <f>IFERROR(VALUE(SUBSTITUTE(INDEX('04A_국토부원자료'!$A:$T,ROW()+1,MATCH("건축년도",'04A_국토부원자료'!$A$4:$T$4,0)),",","")),"")</f>
        <v/>
      </c>
      <c r="L1355" s="176">
        <f>IFERROR(INDEX('04A_국토부원자료'!$A:$T,ROW()+1,MATCH("도로명",'04A_국토부원자료'!$A$4:$T$4,0)),"")</f>
        <v/>
      </c>
      <c r="M1355" s="48">
        <f>IFERROR(INDEX('04A_국토부원자료'!$A:$T,ROW()+1,MATCH("거래유형",'04A_국토부원자료'!$A$4:$T$4,0)),"")</f>
        <v/>
      </c>
      <c r="N1355" s="152">
        <f>IF(B1355="","",IF('02_대상물건입력'!B5="",1,IF(ISNUMBER(SEARCH('02_대상물건입력'!B5,B1355)),1,0)))</f>
        <v/>
      </c>
      <c r="O1355" s="152">
        <f>IF(B1355="","",IF('02_대상물건입력'!B6="",1,IF(ISNUMBER(SEARCH('02_대상물건입력'!B6,B1355)),1,0)))</f>
        <v/>
      </c>
      <c r="P1355" s="152">
        <f>IF(L1355="","",IF('02_대상물건입력'!B15="",0,IF(ISNUMBER(SEARCH('02_대상물건입력'!B15,L1355)),1,0)))</f>
        <v/>
      </c>
      <c r="Q1355" s="152">
        <f>IF(OR(C1355="",L1355=""),0,IF(AND(TRIM(C1355)=TRIM(RIGHT(SUBSTITUTE(TRIM('02_대상물건입력'!$B$7)," ",REPT(" ",99)),99)),IF('02_대상물건입력'!B15="",TRUE(),ISNUMBER(SEARCH('02_대상물건입력'!B15,L1355)))),1,0))</f>
        <v/>
      </c>
      <c r="R1355" s="175">
        <f>IFERROR(ABS(E1355-'02_대상물건입력'!B11)/'02_대상물건입력'!B11,"")</f>
        <v/>
      </c>
      <c r="S1355" s="152">
        <f>IFERROR(ABS(J1355-'02_대상물건입력'!B10),"")</f>
        <v/>
      </c>
      <c r="T1355" s="152">
        <f>IFERROR(ABS('01_설정'!B4-F1355),"")</f>
        <v/>
      </c>
      <c r="U1355" s="152">
        <f>IFERROR(ABS(K1355-YEAR('02_대상물건입력'!B14)),"")</f>
        <v/>
      </c>
      <c r="V1355" s="152">
        <f>IF(B1355="","",IF(AND(E1355&gt;0,F1355&gt;0,H1355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1355=1,TRUE()),R1355&lt;='01_설정'!B5,S1355&lt;='01_설정'!B6,T1355&lt;='01_설정'!B7,U1355&lt;='01_설정'!B8),"Y",""))</f>
        <v/>
      </c>
      <c r="W1355" s="172">
        <f>IF(V1355&lt;&gt;"Y","",MAX(0,(1-R1355/'01_설정'!B5))*'01_설정'!B14+MAX(0,(1-S1355/'01_설정'!B6))*'01_설정'!B15+MAX(0,(1-T1355/'01_설정'!B7))*'01_설정'!B16+MAX(0,(1-U1355/'01_설정'!B8))*'01_설정'!B17+O1355*'01_설정'!B11+Q1355*'01_설정'!B12+P1355*'01_설정'!B13+IF(Z1355="",0,Z1355))</f>
        <v/>
      </c>
      <c r="X1355" s="152">
        <f>IF(W1355="","",1+COUNTIFS($W$4:$W$3003,"&gt;"&amp;W1355)+COUNTIFS($W$4:W1355,W1355)-1)</f>
        <v/>
      </c>
      <c r="Y1355" s="175">
        <f>IF(OR(I1355="",'02_대상물건입력'!B19="",'02_대상물건입력'!B19&lt;=0),"",ABS(I1355-'02_대상물건입력'!B19)/'02_대상물건입력'!B19)</f>
        <v/>
      </c>
      <c r="Z1355" s="172">
        <f>IF(OR(Y1355="",'01_설정'!B31="",'01_설정'!B31&lt;=0,'01_설정'!B32="",'01_설정'!B32&lt;=0),"",MAX(0,(1-Y1355/'01_설정'!B32))*'01_설정'!B31)</f>
        <v/>
      </c>
    </row>
    <row r="1356" ht="17.25" customHeight="1">
      <c r="A1356" s="152">
        <f>IF(INDEX('04A_국토부원자료'!$A:$A,ROW()+1)="","",ROW()-3)</f>
        <v/>
      </c>
      <c r="B1356" s="48">
        <f>IFERROR(INDEX('04A_국토부원자료'!$A:$T,ROW()+1,MATCH("시군구",'04A_국토부원자료'!$A$4:$T$4,0)),"")</f>
        <v/>
      </c>
      <c r="C1356" s="48">
        <f>IF(B1356="","",IFERROR(INDEX('04A_국토부원자료'!$A:$T,ROW()+1,MATCH("번지",'04A_국토부원자료'!$A$4:$T$4,0)),""))</f>
        <v/>
      </c>
      <c r="D1356" s="48">
        <f>IF(B1356="","",IF(Q1356=1,'02_대상물건입력'!$B$8,IFERROR(INDEX('04A_국토부원자료'!$A:$T,ROW()+1,MATCH("단지명",'04A_국토부원자료'!$A$4:$T$4,0)),"")))</f>
        <v/>
      </c>
      <c r="E1356" s="172">
        <f>IFERROR(VALUE(SUBSTITUTE(INDEX('04A_국토부원자료'!$A:$T,ROW()+1,MATCH("전용면적(㎡)",'04A_국토부원자료'!$A$4:$T$4,0)),",","")),"")</f>
        <v/>
      </c>
      <c r="F13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56" s="51">
        <f>IFERROR(VALUE(SUBSTITUTE(INDEX('04A_국토부원자료'!$A:$T,ROW()+1,MATCH("거래금액(만원)",'04A_국토부원자료'!$A$4:$T$4,0)),",","")),"")</f>
        <v/>
      </c>
      <c r="H1356" s="174">
        <f>IF(G1356="","",G1356*10000)</f>
        <v/>
      </c>
      <c r="I1356" s="174">
        <f>IFERROR(IF(AND(H1356&gt;0,E1356&gt;0),H1356/E1356,""),"")</f>
        <v/>
      </c>
      <c r="J1356" s="152">
        <f>IFERROR(VALUE(SUBSTITUTE(INDEX('04A_국토부원자료'!$A:$T,ROW()+1,MATCH("층",'04A_국토부원자료'!$A$4:$T$4,0)),",","")),"")</f>
        <v/>
      </c>
      <c r="K1356" s="152">
        <f>IFERROR(VALUE(SUBSTITUTE(INDEX('04A_국토부원자료'!$A:$T,ROW()+1,MATCH("건축년도",'04A_국토부원자료'!$A$4:$T$4,0)),",","")),"")</f>
        <v/>
      </c>
      <c r="L1356" s="176">
        <f>IFERROR(INDEX('04A_국토부원자료'!$A:$T,ROW()+1,MATCH("도로명",'04A_국토부원자료'!$A$4:$T$4,0)),"")</f>
        <v/>
      </c>
      <c r="M1356" s="48">
        <f>IFERROR(INDEX('04A_국토부원자료'!$A:$T,ROW()+1,MATCH("거래유형",'04A_국토부원자료'!$A$4:$T$4,0)),"")</f>
        <v/>
      </c>
      <c r="N1356" s="152">
        <f>IF(B1356="","",IF('02_대상물건입력'!B5="",1,IF(ISNUMBER(SEARCH('02_대상물건입력'!B5,B1356)),1,0)))</f>
        <v/>
      </c>
      <c r="O1356" s="152">
        <f>IF(B1356="","",IF('02_대상물건입력'!B6="",1,IF(ISNUMBER(SEARCH('02_대상물건입력'!B6,B1356)),1,0)))</f>
        <v/>
      </c>
      <c r="P1356" s="152">
        <f>IF(L1356="","",IF('02_대상물건입력'!B15="",0,IF(ISNUMBER(SEARCH('02_대상물건입력'!B15,L1356)),1,0)))</f>
        <v/>
      </c>
      <c r="Q1356" s="152">
        <f>IF(OR(C1356="",L1356=""),0,IF(AND(TRIM(C1356)=TRIM(RIGHT(SUBSTITUTE(TRIM('02_대상물건입력'!$B$7)," ",REPT(" ",99)),99)),IF('02_대상물건입력'!B15="",TRUE(),ISNUMBER(SEARCH('02_대상물건입력'!B15,L1356)))),1,0))</f>
        <v/>
      </c>
      <c r="R1356" s="175">
        <f>IFERROR(ABS(E1356-'02_대상물건입력'!B11)/'02_대상물건입력'!B11,"")</f>
        <v/>
      </c>
      <c r="S1356" s="152">
        <f>IFERROR(ABS(J1356-'02_대상물건입력'!B10),"")</f>
        <v/>
      </c>
      <c r="T1356" s="152">
        <f>IFERROR(ABS('01_설정'!B4-F1356),"")</f>
        <v/>
      </c>
      <c r="U1356" s="152">
        <f>IFERROR(ABS(K1356-YEAR('02_대상물건입력'!B14)),"")</f>
        <v/>
      </c>
      <c r="V1356" s="152">
        <f>IF(B1356="","",IF(AND(E1356&gt;0,F1356&gt;0,H1356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1356=1,TRUE()),R1356&lt;='01_설정'!B5,S1356&lt;='01_설정'!B6,T1356&lt;='01_설정'!B7,U1356&lt;='01_설정'!B8),"Y",""))</f>
        <v/>
      </c>
      <c r="W1356" s="172">
        <f>IF(V1356&lt;&gt;"Y","",MAX(0,(1-R1356/'01_설정'!B5))*'01_설정'!B14+MAX(0,(1-S1356/'01_설정'!B6))*'01_설정'!B15+MAX(0,(1-T1356/'01_설정'!B7))*'01_설정'!B16+MAX(0,(1-U1356/'01_설정'!B8))*'01_설정'!B17+O1356*'01_설정'!B11+Q1356*'01_설정'!B12+P1356*'01_설정'!B13+IF(Z1356="",0,Z1356))</f>
        <v/>
      </c>
      <c r="X1356" s="152">
        <f>IF(W1356="","",1+COUNTIFS($W$4:$W$3003,"&gt;"&amp;W1356)+COUNTIFS($W$4:W1356,W1356)-1)</f>
        <v/>
      </c>
      <c r="Y1356" s="175">
        <f>IF(OR(I1356="",'02_대상물건입력'!B19="",'02_대상물건입력'!B19&lt;=0),"",ABS(I1356-'02_대상물건입력'!B19)/'02_대상물건입력'!B19)</f>
        <v/>
      </c>
      <c r="Z1356" s="172">
        <f>IF(OR(Y1356="",'01_설정'!B31="",'01_설정'!B31&lt;=0,'01_설정'!B32="",'01_설정'!B32&lt;=0),"",MAX(0,(1-Y1356/'01_설정'!B32))*'01_설정'!B31)</f>
        <v/>
      </c>
    </row>
    <row r="1357" ht="17.25" customHeight="1">
      <c r="A1357" s="152">
        <f>IF(INDEX('04A_국토부원자료'!$A:$A,ROW()+1)="","",ROW()-3)</f>
        <v/>
      </c>
      <c r="B1357" s="48">
        <f>IFERROR(INDEX('04A_국토부원자료'!$A:$T,ROW()+1,MATCH("시군구",'04A_국토부원자료'!$A$4:$T$4,0)),"")</f>
        <v/>
      </c>
      <c r="C1357" s="48">
        <f>IF(B1357="","",IFERROR(INDEX('04A_국토부원자료'!$A:$T,ROW()+1,MATCH("번지",'04A_국토부원자료'!$A$4:$T$4,0)),""))</f>
        <v/>
      </c>
      <c r="D1357" s="48">
        <f>IF(B1357="","",IF(Q1357=1,'02_대상물건입력'!$B$8,IFERROR(INDEX('04A_국토부원자료'!$A:$T,ROW()+1,MATCH("단지명",'04A_국토부원자료'!$A$4:$T$4,0)),"")))</f>
        <v/>
      </c>
      <c r="E1357" s="172">
        <f>IFERROR(VALUE(SUBSTITUTE(INDEX('04A_국토부원자료'!$A:$T,ROW()+1,MATCH("전용면적(㎡)",'04A_국토부원자료'!$A$4:$T$4,0)),",","")),"")</f>
        <v/>
      </c>
      <c r="F13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57" s="51">
        <f>IFERROR(VALUE(SUBSTITUTE(INDEX('04A_국토부원자료'!$A:$T,ROW()+1,MATCH("거래금액(만원)",'04A_국토부원자료'!$A$4:$T$4,0)),",","")),"")</f>
        <v/>
      </c>
      <c r="H1357" s="174">
        <f>IF(G1357="","",G1357*10000)</f>
        <v/>
      </c>
      <c r="I1357" s="174">
        <f>IFERROR(IF(AND(H1357&gt;0,E1357&gt;0),H1357/E1357,""),"")</f>
        <v/>
      </c>
      <c r="J1357" s="152">
        <f>IFERROR(VALUE(SUBSTITUTE(INDEX('04A_국토부원자료'!$A:$T,ROW()+1,MATCH("층",'04A_국토부원자료'!$A$4:$T$4,0)),",","")),"")</f>
        <v/>
      </c>
      <c r="K1357" s="152">
        <f>IFERROR(VALUE(SUBSTITUTE(INDEX('04A_국토부원자료'!$A:$T,ROW()+1,MATCH("건축년도",'04A_국토부원자료'!$A$4:$T$4,0)),",","")),"")</f>
        <v/>
      </c>
      <c r="L1357" s="176">
        <f>IFERROR(INDEX('04A_국토부원자료'!$A:$T,ROW()+1,MATCH("도로명",'04A_국토부원자료'!$A$4:$T$4,0)),"")</f>
        <v/>
      </c>
      <c r="M1357" s="48">
        <f>IFERROR(INDEX('04A_국토부원자료'!$A:$T,ROW()+1,MATCH("거래유형",'04A_국토부원자료'!$A$4:$T$4,0)),"")</f>
        <v/>
      </c>
      <c r="N1357" s="152">
        <f>IF(B1357="","",IF('02_대상물건입력'!B5="",1,IF(ISNUMBER(SEARCH('02_대상물건입력'!B5,B1357)),1,0)))</f>
        <v/>
      </c>
      <c r="O1357" s="152">
        <f>IF(B1357="","",IF('02_대상물건입력'!B6="",1,IF(ISNUMBER(SEARCH('02_대상물건입력'!B6,B1357)),1,0)))</f>
        <v/>
      </c>
      <c r="P1357" s="152">
        <f>IF(L1357="","",IF('02_대상물건입력'!B15="",0,IF(ISNUMBER(SEARCH('02_대상물건입력'!B15,L1357)),1,0)))</f>
        <v/>
      </c>
      <c r="Q1357" s="152">
        <f>IF(OR(C1357="",L1357=""),0,IF(AND(TRIM(C1357)=TRIM(RIGHT(SUBSTITUTE(TRIM('02_대상물건입력'!$B$7)," ",REPT(" ",99)),99)),IF('02_대상물건입력'!B15="",TRUE(),ISNUMBER(SEARCH('02_대상물건입력'!B15,L1357)))),1,0))</f>
        <v/>
      </c>
      <c r="R1357" s="175">
        <f>IFERROR(ABS(E1357-'02_대상물건입력'!B11)/'02_대상물건입력'!B11,"")</f>
        <v/>
      </c>
      <c r="S1357" s="152">
        <f>IFERROR(ABS(J1357-'02_대상물건입력'!B10),"")</f>
        <v/>
      </c>
      <c r="T1357" s="152">
        <f>IFERROR(ABS('01_설정'!B4-F1357),"")</f>
        <v/>
      </c>
      <c r="U1357" s="152">
        <f>IFERROR(ABS(K1357-YEAR('02_대상물건입력'!B14)),"")</f>
        <v/>
      </c>
      <c r="V1357" s="152">
        <f>IF(B1357="","",IF(AND(E1357&gt;0,F1357&gt;0,H1357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1357=1,TRUE()),R1357&lt;='01_설정'!B5,S1357&lt;='01_설정'!B6,T1357&lt;='01_설정'!B7,U1357&lt;='01_설정'!B8),"Y",""))</f>
        <v/>
      </c>
      <c r="W1357" s="172">
        <f>IF(V1357&lt;&gt;"Y","",MAX(0,(1-R1357/'01_설정'!B5))*'01_설정'!B14+MAX(0,(1-S1357/'01_설정'!B6))*'01_설정'!B15+MAX(0,(1-T1357/'01_설정'!B7))*'01_설정'!B16+MAX(0,(1-U1357/'01_설정'!B8))*'01_설정'!B17+O1357*'01_설정'!B11+Q1357*'01_설정'!B12+P1357*'01_설정'!B13+IF(Z1357="",0,Z1357))</f>
        <v/>
      </c>
      <c r="X1357" s="152">
        <f>IF(W1357="","",1+COUNTIFS($W$4:$W$3003,"&gt;"&amp;W1357)+COUNTIFS($W$4:W1357,W1357)-1)</f>
        <v/>
      </c>
      <c r="Y1357" s="175">
        <f>IF(OR(I1357="",'02_대상물건입력'!B19="",'02_대상물건입력'!B19&lt;=0),"",ABS(I1357-'02_대상물건입력'!B19)/'02_대상물건입력'!B19)</f>
        <v/>
      </c>
      <c r="Z1357" s="172">
        <f>IF(OR(Y1357="",'01_설정'!B31="",'01_설정'!B31&lt;=0,'01_설정'!B32="",'01_설정'!B32&lt;=0),"",MAX(0,(1-Y1357/'01_설정'!B32))*'01_설정'!B31)</f>
        <v/>
      </c>
    </row>
    <row r="1358" ht="17.25" customHeight="1">
      <c r="A1358" s="152">
        <f>IF(INDEX('04A_국토부원자료'!$A:$A,ROW()+1)="","",ROW()-3)</f>
        <v/>
      </c>
      <c r="B1358" s="48">
        <f>IFERROR(INDEX('04A_국토부원자료'!$A:$T,ROW()+1,MATCH("시군구",'04A_국토부원자료'!$A$4:$T$4,0)),"")</f>
        <v/>
      </c>
      <c r="C1358" s="48">
        <f>IF(B1358="","",IFERROR(INDEX('04A_국토부원자료'!$A:$T,ROW()+1,MATCH("번지",'04A_국토부원자료'!$A$4:$T$4,0)),""))</f>
        <v/>
      </c>
      <c r="D1358" s="48">
        <f>IF(B1358="","",IF(Q1358=1,'02_대상물건입력'!$B$8,IFERROR(INDEX('04A_국토부원자료'!$A:$T,ROW()+1,MATCH("단지명",'04A_국토부원자료'!$A$4:$T$4,0)),"")))</f>
        <v/>
      </c>
      <c r="E1358" s="172">
        <f>IFERROR(VALUE(SUBSTITUTE(INDEX('04A_국토부원자료'!$A:$T,ROW()+1,MATCH("전용면적(㎡)",'04A_국토부원자료'!$A$4:$T$4,0)),",","")),"")</f>
        <v/>
      </c>
      <c r="F13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58" s="51">
        <f>IFERROR(VALUE(SUBSTITUTE(INDEX('04A_국토부원자료'!$A:$T,ROW()+1,MATCH("거래금액(만원)",'04A_국토부원자료'!$A$4:$T$4,0)),",","")),"")</f>
        <v/>
      </c>
      <c r="H1358" s="174">
        <f>IF(G1358="","",G1358*10000)</f>
        <v/>
      </c>
      <c r="I1358" s="174">
        <f>IFERROR(IF(AND(H1358&gt;0,E1358&gt;0),H1358/E1358,""),"")</f>
        <v/>
      </c>
      <c r="J1358" s="152">
        <f>IFERROR(VALUE(SUBSTITUTE(INDEX('04A_국토부원자료'!$A:$T,ROW()+1,MATCH("층",'04A_국토부원자료'!$A$4:$T$4,0)),",","")),"")</f>
        <v/>
      </c>
      <c r="K1358" s="152">
        <f>IFERROR(VALUE(SUBSTITUTE(INDEX('04A_국토부원자료'!$A:$T,ROW()+1,MATCH("건축년도",'04A_국토부원자료'!$A$4:$T$4,0)),",","")),"")</f>
        <v/>
      </c>
      <c r="L1358" s="176">
        <f>IFERROR(INDEX('04A_국토부원자료'!$A:$T,ROW()+1,MATCH("도로명",'04A_국토부원자료'!$A$4:$T$4,0)),"")</f>
        <v/>
      </c>
      <c r="M1358" s="48">
        <f>IFERROR(INDEX('04A_국토부원자료'!$A:$T,ROW()+1,MATCH("거래유형",'04A_국토부원자료'!$A$4:$T$4,0)),"")</f>
        <v/>
      </c>
      <c r="N1358" s="152">
        <f>IF(B1358="","",IF('02_대상물건입력'!B5="",1,IF(ISNUMBER(SEARCH('02_대상물건입력'!B5,B1358)),1,0)))</f>
        <v/>
      </c>
      <c r="O1358" s="152">
        <f>IF(B1358="","",IF('02_대상물건입력'!B6="",1,IF(ISNUMBER(SEARCH('02_대상물건입력'!B6,B1358)),1,0)))</f>
        <v/>
      </c>
      <c r="P1358" s="152">
        <f>IF(L1358="","",IF('02_대상물건입력'!B15="",0,IF(ISNUMBER(SEARCH('02_대상물건입력'!B15,L1358)),1,0)))</f>
        <v/>
      </c>
      <c r="Q1358" s="152">
        <f>IF(OR(C1358="",L1358=""),0,IF(AND(TRIM(C1358)=TRIM(RIGHT(SUBSTITUTE(TRIM('02_대상물건입력'!$B$7)," ",REPT(" ",99)),99)),IF('02_대상물건입력'!B15="",TRUE(),ISNUMBER(SEARCH('02_대상물건입력'!B15,L1358)))),1,0))</f>
        <v/>
      </c>
      <c r="R1358" s="175">
        <f>IFERROR(ABS(E1358-'02_대상물건입력'!B11)/'02_대상물건입력'!B11,"")</f>
        <v/>
      </c>
      <c r="S1358" s="152">
        <f>IFERROR(ABS(J1358-'02_대상물건입력'!B10),"")</f>
        <v/>
      </c>
      <c r="T1358" s="152">
        <f>IFERROR(ABS('01_설정'!B4-F1358),"")</f>
        <v/>
      </c>
      <c r="U1358" s="152">
        <f>IFERROR(ABS(K1358-YEAR('02_대상물건입력'!B14)),"")</f>
        <v/>
      </c>
      <c r="V1358" s="152">
        <f>IF(B1358="","",IF(AND(E1358&gt;0,F1358&gt;0,H1358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1358=1,TRUE()),R1358&lt;='01_설정'!B5,S1358&lt;='01_설정'!B6,T1358&lt;='01_설정'!B7,U1358&lt;='01_설정'!B8),"Y",""))</f>
        <v/>
      </c>
      <c r="W1358" s="172">
        <f>IF(V1358&lt;&gt;"Y","",MAX(0,(1-R1358/'01_설정'!B5))*'01_설정'!B14+MAX(0,(1-S1358/'01_설정'!B6))*'01_설정'!B15+MAX(0,(1-T1358/'01_설정'!B7))*'01_설정'!B16+MAX(0,(1-U1358/'01_설정'!B8))*'01_설정'!B17+O1358*'01_설정'!B11+Q1358*'01_설정'!B12+P1358*'01_설정'!B13+IF(Z1358="",0,Z1358))</f>
        <v/>
      </c>
      <c r="X1358" s="152">
        <f>IF(W1358="","",1+COUNTIFS($W$4:$W$3003,"&gt;"&amp;W1358)+COUNTIFS($W$4:W1358,W1358)-1)</f>
        <v/>
      </c>
      <c r="Y1358" s="175">
        <f>IF(OR(I1358="",'02_대상물건입력'!B19="",'02_대상물건입력'!B19&lt;=0),"",ABS(I1358-'02_대상물건입력'!B19)/'02_대상물건입력'!B19)</f>
        <v/>
      </c>
      <c r="Z1358" s="172">
        <f>IF(OR(Y1358="",'01_설정'!B31="",'01_설정'!B31&lt;=0,'01_설정'!B32="",'01_설정'!B32&lt;=0),"",MAX(0,(1-Y1358/'01_설정'!B32))*'01_설정'!B31)</f>
        <v/>
      </c>
    </row>
    <row r="1359" ht="17.25" customHeight="1">
      <c r="A1359" s="152">
        <f>IF(INDEX('04A_국토부원자료'!$A:$A,ROW()+1)="","",ROW()-3)</f>
        <v/>
      </c>
      <c r="B1359" s="48">
        <f>IFERROR(INDEX('04A_국토부원자료'!$A:$T,ROW()+1,MATCH("시군구",'04A_국토부원자료'!$A$4:$T$4,0)),"")</f>
        <v/>
      </c>
      <c r="C1359" s="48">
        <f>IF(B1359="","",IFERROR(INDEX('04A_국토부원자료'!$A:$T,ROW()+1,MATCH("번지",'04A_국토부원자료'!$A$4:$T$4,0)),""))</f>
        <v/>
      </c>
      <c r="D1359" s="48">
        <f>IF(B1359="","",IF(Q1359=1,'02_대상물건입력'!$B$8,IFERROR(INDEX('04A_국토부원자료'!$A:$T,ROW()+1,MATCH("단지명",'04A_국토부원자료'!$A$4:$T$4,0)),"")))</f>
        <v/>
      </c>
      <c r="E1359" s="172">
        <f>IFERROR(VALUE(SUBSTITUTE(INDEX('04A_국토부원자료'!$A:$T,ROW()+1,MATCH("전용면적(㎡)",'04A_국토부원자료'!$A$4:$T$4,0)),",","")),"")</f>
        <v/>
      </c>
      <c r="F13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59" s="51">
        <f>IFERROR(VALUE(SUBSTITUTE(INDEX('04A_국토부원자료'!$A:$T,ROW()+1,MATCH("거래금액(만원)",'04A_국토부원자료'!$A$4:$T$4,0)),",","")),"")</f>
        <v/>
      </c>
      <c r="H1359" s="174">
        <f>IF(G1359="","",G1359*10000)</f>
        <v/>
      </c>
      <c r="I1359" s="174">
        <f>IFERROR(IF(AND(H1359&gt;0,E1359&gt;0),H1359/E1359,""),"")</f>
        <v/>
      </c>
      <c r="J1359" s="152">
        <f>IFERROR(VALUE(SUBSTITUTE(INDEX('04A_국토부원자료'!$A:$T,ROW()+1,MATCH("층",'04A_국토부원자료'!$A$4:$T$4,0)),",","")),"")</f>
        <v/>
      </c>
      <c r="K1359" s="152">
        <f>IFERROR(VALUE(SUBSTITUTE(INDEX('04A_국토부원자료'!$A:$T,ROW()+1,MATCH("건축년도",'04A_국토부원자료'!$A$4:$T$4,0)),",","")),"")</f>
        <v/>
      </c>
      <c r="L1359" s="176">
        <f>IFERROR(INDEX('04A_국토부원자료'!$A:$T,ROW()+1,MATCH("도로명",'04A_국토부원자료'!$A$4:$T$4,0)),"")</f>
        <v/>
      </c>
      <c r="M1359" s="48">
        <f>IFERROR(INDEX('04A_국토부원자료'!$A:$T,ROW()+1,MATCH("거래유형",'04A_국토부원자료'!$A$4:$T$4,0)),"")</f>
        <v/>
      </c>
      <c r="N1359" s="152">
        <f>IF(B1359="","",IF('02_대상물건입력'!B5="",1,IF(ISNUMBER(SEARCH('02_대상물건입력'!B5,B1359)),1,0)))</f>
        <v/>
      </c>
      <c r="O1359" s="152">
        <f>IF(B1359="","",IF('02_대상물건입력'!B6="",1,IF(ISNUMBER(SEARCH('02_대상물건입력'!B6,B1359)),1,0)))</f>
        <v/>
      </c>
      <c r="P1359" s="152">
        <f>IF(L1359="","",IF('02_대상물건입력'!B15="",0,IF(ISNUMBER(SEARCH('02_대상물건입력'!B15,L1359)),1,0)))</f>
        <v/>
      </c>
      <c r="Q1359" s="152">
        <f>IF(OR(C1359="",L1359=""),0,IF(AND(TRIM(C1359)=TRIM(RIGHT(SUBSTITUTE(TRIM('02_대상물건입력'!$B$7)," ",REPT(" ",99)),99)),IF('02_대상물건입력'!B15="",TRUE(),ISNUMBER(SEARCH('02_대상물건입력'!B15,L1359)))),1,0))</f>
        <v/>
      </c>
      <c r="R1359" s="175">
        <f>IFERROR(ABS(E1359-'02_대상물건입력'!B11)/'02_대상물건입력'!B11,"")</f>
        <v/>
      </c>
      <c r="S1359" s="152">
        <f>IFERROR(ABS(J1359-'02_대상물건입력'!B10),"")</f>
        <v/>
      </c>
      <c r="T1359" s="152">
        <f>IFERROR(ABS('01_설정'!B4-F1359),"")</f>
        <v/>
      </c>
      <c r="U1359" s="152">
        <f>IFERROR(ABS(K1359-YEAR('02_대상물건입력'!B14)),"")</f>
        <v/>
      </c>
      <c r="V1359" s="152">
        <f>IF(B1359="","",IF(AND(E1359&gt;0,F1359&gt;0,H1359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1359=1,TRUE()),R1359&lt;='01_설정'!B5,S1359&lt;='01_설정'!B6,T1359&lt;='01_설정'!B7,U1359&lt;='01_설정'!B8),"Y",""))</f>
        <v/>
      </c>
      <c r="W1359" s="172">
        <f>IF(V1359&lt;&gt;"Y","",MAX(0,(1-R1359/'01_설정'!B5))*'01_설정'!B14+MAX(0,(1-S1359/'01_설정'!B6))*'01_설정'!B15+MAX(0,(1-T1359/'01_설정'!B7))*'01_설정'!B16+MAX(0,(1-U1359/'01_설정'!B8))*'01_설정'!B17+O1359*'01_설정'!B11+Q1359*'01_설정'!B12+P1359*'01_설정'!B13+IF(Z1359="",0,Z1359))</f>
        <v/>
      </c>
      <c r="X1359" s="152">
        <f>IF(W1359="","",1+COUNTIFS($W$4:$W$3003,"&gt;"&amp;W1359)+COUNTIFS($W$4:W1359,W1359)-1)</f>
        <v/>
      </c>
      <c r="Y1359" s="175">
        <f>IF(OR(I1359="",'02_대상물건입력'!B19="",'02_대상물건입력'!B19&lt;=0),"",ABS(I1359-'02_대상물건입력'!B19)/'02_대상물건입력'!B19)</f>
        <v/>
      </c>
      <c r="Z1359" s="172">
        <f>IF(OR(Y1359="",'01_설정'!B31="",'01_설정'!B31&lt;=0,'01_설정'!B32="",'01_설정'!B32&lt;=0),"",MAX(0,(1-Y1359/'01_설정'!B32))*'01_설정'!B31)</f>
        <v/>
      </c>
    </row>
    <row r="1360" ht="17.25" customHeight="1">
      <c r="A1360" s="152">
        <f>IF(INDEX('04A_국토부원자료'!$A:$A,ROW()+1)="","",ROW()-3)</f>
        <v/>
      </c>
      <c r="B1360" s="48">
        <f>IFERROR(INDEX('04A_국토부원자료'!$A:$T,ROW()+1,MATCH("시군구",'04A_국토부원자료'!$A$4:$T$4,0)),"")</f>
        <v/>
      </c>
      <c r="C1360" s="48">
        <f>IF(B1360="","",IFERROR(INDEX('04A_국토부원자료'!$A:$T,ROW()+1,MATCH("번지",'04A_국토부원자료'!$A$4:$T$4,0)),""))</f>
        <v/>
      </c>
      <c r="D1360" s="48">
        <f>IF(B1360="","",IF(Q1360=1,'02_대상물건입력'!$B$8,IFERROR(INDEX('04A_국토부원자료'!$A:$T,ROW()+1,MATCH("단지명",'04A_국토부원자료'!$A$4:$T$4,0)),"")))</f>
        <v/>
      </c>
      <c r="E1360" s="172">
        <f>IFERROR(VALUE(SUBSTITUTE(INDEX('04A_국토부원자료'!$A:$T,ROW()+1,MATCH("전용면적(㎡)",'04A_국토부원자료'!$A$4:$T$4,0)),",","")),"")</f>
        <v/>
      </c>
      <c r="F13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60" s="51">
        <f>IFERROR(VALUE(SUBSTITUTE(INDEX('04A_국토부원자료'!$A:$T,ROW()+1,MATCH("거래금액(만원)",'04A_국토부원자료'!$A$4:$T$4,0)),",","")),"")</f>
        <v/>
      </c>
      <c r="H1360" s="174">
        <f>IF(G1360="","",G1360*10000)</f>
        <v/>
      </c>
      <c r="I1360" s="174">
        <f>IFERROR(IF(AND(H1360&gt;0,E1360&gt;0),H1360/E1360,""),"")</f>
        <v/>
      </c>
      <c r="J1360" s="152">
        <f>IFERROR(VALUE(SUBSTITUTE(INDEX('04A_국토부원자료'!$A:$T,ROW()+1,MATCH("층",'04A_국토부원자료'!$A$4:$T$4,0)),",","")),"")</f>
        <v/>
      </c>
      <c r="K1360" s="152">
        <f>IFERROR(VALUE(SUBSTITUTE(INDEX('04A_국토부원자료'!$A:$T,ROW()+1,MATCH("건축년도",'04A_국토부원자료'!$A$4:$T$4,0)),",","")),"")</f>
        <v/>
      </c>
      <c r="L1360" s="176">
        <f>IFERROR(INDEX('04A_국토부원자료'!$A:$T,ROW()+1,MATCH("도로명",'04A_국토부원자료'!$A$4:$T$4,0)),"")</f>
        <v/>
      </c>
      <c r="M1360" s="48">
        <f>IFERROR(INDEX('04A_국토부원자료'!$A:$T,ROW()+1,MATCH("거래유형",'04A_국토부원자료'!$A$4:$T$4,0)),"")</f>
        <v/>
      </c>
      <c r="N1360" s="152">
        <f>IF(B1360="","",IF('02_대상물건입력'!B5="",1,IF(ISNUMBER(SEARCH('02_대상물건입력'!B5,B1360)),1,0)))</f>
        <v/>
      </c>
      <c r="O1360" s="152">
        <f>IF(B1360="","",IF('02_대상물건입력'!B6="",1,IF(ISNUMBER(SEARCH('02_대상물건입력'!B6,B1360)),1,0)))</f>
        <v/>
      </c>
      <c r="P1360" s="152">
        <f>IF(L1360="","",IF('02_대상물건입력'!B15="",0,IF(ISNUMBER(SEARCH('02_대상물건입력'!B15,L1360)),1,0)))</f>
        <v/>
      </c>
      <c r="Q1360" s="152">
        <f>IF(OR(C1360="",L1360=""),0,IF(AND(TRIM(C1360)=TRIM(RIGHT(SUBSTITUTE(TRIM('02_대상물건입력'!$B$7)," ",REPT(" ",99)),99)),IF('02_대상물건입력'!B15="",TRUE(),ISNUMBER(SEARCH('02_대상물건입력'!B15,L1360)))),1,0))</f>
        <v/>
      </c>
      <c r="R1360" s="175">
        <f>IFERROR(ABS(E1360-'02_대상물건입력'!B11)/'02_대상물건입력'!B11,"")</f>
        <v/>
      </c>
      <c r="S1360" s="152">
        <f>IFERROR(ABS(J1360-'02_대상물건입력'!B10),"")</f>
        <v/>
      </c>
      <c r="T1360" s="152">
        <f>IFERROR(ABS('01_설정'!B4-F1360),"")</f>
        <v/>
      </c>
      <c r="U1360" s="152">
        <f>IFERROR(ABS(K1360-YEAR('02_대상물건입력'!B14)),"")</f>
        <v/>
      </c>
      <c r="V1360" s="152">
        <f>IF(B1360="","",IF(AND(E1360&gt;0,F1360&gt;0,H1360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1360=1,TRUE()),R1360&lt;='01_설정'!B5,S1360&lt;='01_설정'!B6,T1360&lt;='01_설정'!B7,U1360&lt;='01_설정'!B8),"Y",""))</f>
        <v/>
      </c>
      <c r="W1360" s="172">
        <f>IF(V1360&lt;&gt;"Y","",MAX(0,(1-R1360/'01_설정'!B5))*'01_설정'!B14+MAX(0,(1-S1360/'01_설정'!B6))*'01_설정'!B15+MAX(0,(1-T1360/'01_설정'!B7))*'01_설정'!B16+MAX(0,(1-U1360/'01_설정'!B8))*'01_설정'!B17+O1360*'01_설정'!B11+Q1360*'01_설정'!B12+P1360*'01_설정'!B13+IF(Z1360="",0,Z1360))</f>
        <v/>
      </c>
      <c r="X1360" s="152">
        <f>IF(W1360="","",1+COUNTIFS($W$4:$W$3003,"&gt;"&amp;W1360)+COUNTIFS($W$4:W1360,W1360)-1)</f>
        <v/>
      </c>
      <c r="Y1360" s="175">
        <f>IF(OR(I1360="",'02_대상물건입력'!B19="",'02_대상물건입력'!B19&lt;=0),"",ABS(I1360-'02_대상물건입력'!B19)/'02_대상물건입력'!B19)</f>
        <v/>
      </c>
      <c r="Z1360" s="172">
        <f>IF(OR(Y1360="",'01_설정'!B31="",'01_설정'!B31&lt;=0,'01_설정'!B32="",'01_설정'!B32&lt;=0),"",MAX(0,(1-Y1360/'01_설정'!B32))*'01_설정'!B31)</f>
        <v/>
      </c>
    </row>
    <row r="1361" ht="17.25" customHeight="1">
      <c r="A1361" s="152">
        <f>IF(INDEX('04A_국토부원자료'!$A:$A,ROW()+1)="","",ROW()-3)</f>
        <v/>
      </c>
      <c r="B1361" s="48">
        <f>IFERROR(INDEX('04A_국토부원자료'!$A:$T,ROW()+1,MATCH("시군구",'04A_국토부원자료'!$A$4:$T$4,0)),"")</f>
        <v/>
      </c>
      <c r="C1361" s="48">
        <f>IF(B1361="","",IFERROR(INDEX('04A_국토부원자료'!$A:$T,ROW()+1,MATCH("번지",'04A_국토부원자료'!$A$4:$T$4,0)),""))</f>
        <v/>
      </c>
      <c r="D1361" s="48">
        <f>IF(B1361="","",IF(Q1361=1,'02_대상물건입력'!$B$8,IFERROR(INDEX('04A_국토부원자료'!$A:$T,ROW()+1,MATCH("단지명",'04A_국토부원자료'!$A$4:$T$4,0)),"")))</f>
        <v/>
      </c>
      <c r="E1361" s="172">
        <f>IFERROR(VALUE(SUBSTITUTE(INDEX('04A_국토부원자료'!$A:$T,ROW()+1,MATCH("전용면적(㎡)",'04A_국토부원자료'!$A$4:$T$4,0)),",","")),"")</f>
        <v/>
      </c>
      <c r="F13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61" s="51">
        <f>IFERROR(VALUE(SUBSTITUTE(INDEX('04A_국토부원자료'!$A:$T,ROW()+1,MATCH("거래금액(만원)",'04A_국토부원자료'!$A$4:$T$4,0)),",","")),"")</f>
        <v/>
      </c>
      <c r="H1361" s="174">
        <f>IF(G1361="","",G1361*10000)</f>
        <v/>
      </c>
      <c r="I1361" s="174">
        <f>IFERROR(IF(AND(H1361&gt;0,E1361&gt;0),H1361/E1361,""),"")</f>
        <v/>
      </c>
      <c r="J1361" s="152">
        <f>IFERROR(VALUE(SUBSTITUTE(INDEX('04A_국토부원자료'!$A:$T,ROW()+1,MATCH("층",'04A_국토부원자료'!$A$4:$T$4,0)),",","")),"")</f>
        <v/>
      </c>
      <c r="K1361" s="152">
        <f>IFERROR(VALUE(SUBSTITUTE(INDEX('04A_국토부원자료'!$A:$T,ROW()+1,MATCH("건축년도",'04A_국토부원자료'!$A$4:$T$4,0)),",","")),"")</f>
        <v/>
      </c>
      <c r="L1361" s="176">
        <f>IFERROR(INDEX('04A_국토부원자료'!$A:$T,ROW()+1,MATCH("도로명",'04A_국토부원자료'!$A$4:$T$4,0)),"")</f>
        <v/>
      </c>
      <c r="M1361" s="48">
        <f>IFERROR(INDEX('04A_국토부원자료'!$A:$T,ROW()+1,MATCH("거래유형",'04A_국토부원자료'!$A$4:$T$4,0)),"")</f>
        <v/>
      </c>
      <c r="N1361" s="152">
        <f>IF(B1361="","",IF('02_대상물건입력'!B5="",1,IF(ISNUMBER(SEARCH('02_대상물건입력'!B5,B1361)),1,0)))</f>
        <v/>
      </c>
      <c r="O1361" s="152">
        <f>IF(B1361="","",IF('02_대상물건입력'!B6="",1,IF(ISNUMBER(SEARCH('02_대상물건입력'!B6,B1361)),1,0)))</f>
        <v/>
      </c>
      <c r="P1361" s="152">
        <f>IF(L1361="","",IF('02_대상물건입력'!B15="",0,IF(ISNUMBER(SEARCH('02_대상물건입력'!B15,L1361)),1,0)))</f>
        <v/>
      </c>
      <c r="Q1361" s="152">
        <f>IF(OR(C1361="",L1361=""),0,IF(AND(TRIM(C1361)=TRIM(RIGHT(SUBSTITUTE(TRIM('02_대상물건입력'!$B$7)," ",REPT(" ",99)),99)),IF('02_대상물건입력'!B15="",TRUE(),ISNUMBER(SEARCH('02_대상물건입력'!B15,L1361)))),1,0))</f>
        <v/>
      </c>
      <c r="R1361" s="175">
        <f>IFERROR(ABS(E1361-'02_대상물건입력'!B11)/'02_대상물건입력'!B11,"")</f>
        <v/>
      </c>
      <c r="S1361" s="152">
        <f>IFERROR(ABS(J1361-'02_대상물건입력'!B10),"")</f>
        <v/>
      </c>
      <c r="T1361" s="152">
        <f>IFERROR(ABS('01_설정'!B4-F1361),"")</f>
        <v/>
      </c>
      <c r="U1361" s="152">
        <f>IFERROR(ABS(K1361-YEAR('02_대상물건입력'!B14)),"")</f>
        <v/>
      </c>
      <c r="V1361" s="152">
        <f>IF(B1361="","",IF(AND(E1361&gt;0,F1361&gt;0,H1361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1361=1,TRUE()),R1361&lt;='01_설정'!B5,S1361&lt;='01_설정'!B6,T1361&lt;='01_설정'!B7,U1361&lt;='01_설정'!B8),"Y",""))</f>
        <v/>
      </c>
      <c r="W1361" s="172">
        <f>IF(V1361&lt;&gt;"Y","",MAX(0,(1-R1361/'01_설정'!B5))*'01_설정'!B14+MAX(0,(1-S1361/'01_설정'!B6))*'01_설정'!B15+MAX(0,(1-T1361/'01_설정'!B7))*'01_설정'!B16+MAX(0,(1-U1361/'01_설정'!B8))*'01_설정'!B17+O1361*'01_설정'!B11+Q1361*'01_설정'!B12+P1361*'01_설정'!B13+IF(Z1361="",0,Z1361))</f>
        <v/>
      </c>
      <c r="X1361" s="152">
        <f>IF(W1361="","",1+COUNTIFS($W$4:$W$3003,"&gt;"&amp;W1361)+COUNTIFS($W$4:W1361,W1361)-1)</f>
        <v/>
      </c>
      <c r="Y1361" s="175">
        <f>IF(OR(I1361="",'02_대상물건입력'!B19="",'02_대상물건입력'!B19&lt;=0),"",ABS(I1361-'02_대상물건입력'!B19)/'02_대상물건입력'!B19)</f>
        <v/>
      </c>
      <c r="Z1361" s="172">
        <f>IF(OR(Y1361="",'01_설정'!B31="",'01_설정'!B31&lt;=0,'01_설정'!B32="",'01_설정'!B32&lt;=0),"",MAX(0,(1-Y1361/'01_설정'!B32))*'01_설정'!B31)</f>
        <v/>
      </c>
    </row>
    <row r="1362" ht="17.25" customHeight="1">
      <c r="A1362" s="152">
        <f>IF(INDEX('04A_국토부원자료'!$A:$A,ROW()+1)="","",ROW()-3)</f>
        <v/>
      </c>
      <c r="B1362" s="48">
        <f>IFERROR(INDEX('04A_국토부원자료'!$A:$T,ROW()+1,MATCH("시군구",'04A_국토부원자료'!$A$4:$T$4,0)),"")</f>
        <v/>
      </c>
      <c r="C1362" s="48">
        <f>IF(B1362="","",IFERROR(INDEX('04A_국토부원자료'!$A:$T,ROW()+1,MATCH("번지",'04A_국토부원자료'!$A$4:$T$4,0)),""))</f>
        <v/>
      </c>
      <c r="D1362" s="48">
        <f>IF(B1362="","",IF(Q1362=1,'02_대상물건입력'!$B$8,IFERROR(INDEX('04A_국토부원자료'!$A:$T,ROW()+1,MATCH("단지명",'04A_국토부원자료'!$A$4:$T$4,0)),"")))</f>
        <v/>
      </c>
      <c r="E1362" s="172">
        <f>IFERROR(VALUE(SUBSTITUTE(INDEX('04A_국토부원자료'!$A:$T,ROW()+1,MATCH("전용면적(㎡)",'04A_국토부원자료'!$A$4:$T$4,0)),",","")),"")</f>
        <v/>
      </c>
      <c r="F13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62" s="51">
        <f>IFERROR(VALUE(SUBSTITUTE(INDEX('04A_국토부원자료'!$A:$T,ROW()+1,MATCH("거래금액(만원)",'04A_국토부원자료'!$A$4:$T$4,0)),",","")),"")</f>
        <v/>
      </c>
      <c r="H1362" s="174">
        <f>IF(G1362="","",G1362*10000)</f>
        <v/>
      </c>
      <c r="I1362" s="174">
        <f>IFERROR(IF(AND(H1362&gt;0,E1362&gt;0),H1362/E1362,""),"")</f>
        <v/>
      </c>
      <c r="J1362" s="152">
        <f>IFERROR(VALUE(SUBSTITUTE(INDEX('04A_국토부원자료'!$A:$T,ROW()+1,MATCH("층",'04A_국토부원자료'!$A$4:$T$4,0)),",","")),"")</f>
        <v/>
      </c>
      <c r="K1362" s="152">
        <f>IFERROR(VALUE(SUBSTITUTE(INDEX('04A_국토부원자료'!$A:$T,ROW()+1,MATCH("건축년도",'04A_국토부원자료'!$A$4:$T$4,0)),",","")),"")</f>
        <v/>
      </c>
      <c r="L1362" s="176">
        <f>IFERROR(INDEX('04A_국토부원자료'!$A:$T,ROW()+1,MATCH("도로명",'04A_국토부원자료'!$A$4:$T$4,0)),"")</f>
        <v/>
      </c>
      <c r="M1362" s="48">
        <f>IFERROR(INDEX('04A_국토부원자료'!$A:$T,ROW()+1,MATCH("거래유형",'04A_국토부원자료'!$A$4:$T$4,0)),"")</f>
        <v/>
      </c>
      <c r="N1362" s="152">
        <f>IF(B1362="","",IF('02_대상물건입력'!B5="",1,IF(ISNUMBER(SEARCH('02_대상물건입력'!B5,B1362)),1,0)))</f>
        <v/>
      </c>
      <c r="O1362" s="152">
        <f>IF(B1362="","",IF('02_대상물건입력'!B6="",1,IF(ISNUMBER(SEARCH('02_대상물건입력'!B6,B1362)),1,0)))</f>
        <v/>
      </c>
      <c r="P1362" s="152">
        <f>IF(L1362="","",IF('02_대상물건입력'!B15="",0,IF(ISNUMBER(SEARCH('02_대상물건입력'!B15,L1362)),1,0)))</f>
        <v/>
      </c>
      <c r="Q1362" s="152">
        <f>IF(OR(C1362="",L1362=""),0,IF(AND(TRIM(C1362)=TRIM(RIGHT(SUBSTITUTE(TRIM('02_대상물건입력'!$B$7)," ",REPT(" ",99)),99)),IF('02_대상물건입력'!B15="",TRUE(),ISNUMBER(SEARCH('02_대상물건입력'!B15,L1362)))),1,0))</f>
        <v/>
      </c>
      <c r="R1362" s="175">
        <f>IFERROR(ABS(E1362-'02_대상물건입력'!B11)/'02_대상물건입력'!B11,"")</f>
        <v/>
      </c>
      <c r="S1362" s="152">
        <f>IFERROR(ABS(J1362-'02_대상물건입력'!B10),"")</f>
        <v/>
      </c>
      <c r="T1362" s="152">
        <f>IFERROR(ABS('01_설정'!B4-F1362),"")</f>
        <v/>
      </c>
      <c r="U1362" s="152">
        <f>IFERROR(ABS(K1362-YEAR('02_대상물건입력'!B14)),"")</f>
        <v/>
      </c>
      <c r="V1362" s="152">
        <f>IF(B1362="","",IF(AND(E1362&gt;0,F1362&gt;0,H1362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1362=1,TRUE()),R1362&lt;='01_설정'!B5,S1362&lt;='01_설정'!B6,T1362&lt;='01_설정'!B7,U1362&lt;='01_설정'!B8),"Y",""))</f>
        <v/>
      </c>
      <c r="W1362" s="172">
        <f>IF(V1362&lt;&gt;"Y","",MAX(0,(1-R1362/'01_설정'!B5))*'01_설정'!B14+MAX(0,(1-S1362/'01_설정'!B6))*'01_설정'!B15+MAX(0,(1-T1362/'01_설정'!B7))*'01_설정'!B16+MAX(0,(1-U1362/'01_설정'!B8))*'01_설정'!B17+O1362*'01_설정'!B11+Q1362*'01_설정'!B12+P1362*'01_설정'!B13+IF(Z1362="",0,Z1362))</f>
        <v/>
      </c>
      <c r="X1362" s="152">
        <f>IF(W1362="","",1+COUNTIFS($W$4:$W$3003,"&gt;"&amp;W1362)+COUNTIFS($W$4:W1362,W1362)-1)</f>
        <v/>
      </c>
      <c r="Y1362" s="175">
        <f>IF(OR(I1362="",'02_대상물건입력'!B19="",'02_대상물건입력'!B19&lt;=0),"",ABS(I1362-'02_대상물건입력'!B19)/'02_대상물건입력'!B19)</f>
        <v/>
      </c>
      <c r="Z1362" s="172">
        <f>IF(OR(Y1362="",'01_설정'!B31="",'01_설정'!B31&lt;=0,'01_설정'!B32="",'01_설정'!B32&lt;=0),"",MAX(0,(1-Y1362/'01_설정'!B32))*'01_설정'!B31)</f>
        <v/>
      </c>
    </row>
    <row r="1363" ht="17.25" customHeight="1">
      <c r="A1363" s="152">
        <f>IF(INDEX('04A_국토부원자료'!$A:$A,ROW()+1)="","",ROW()-3)</f>
        <v/>
      </c>
      <c r="B1363" s="48">
        <f>IFERROR(INDEX('04A_국토부원자료'!$A:$T,ROW()+1,MATCH("시군구",'04A_국토부원자료'!$A$4:$T$4,0)),"")</f>
        <v/>
      </c>
      <c r="C1363" s="48">
        <f>IF(B1363="","",IFERROR(INDEX('04A_국토부원자료'!$A:$T,ROW()+1,MATCH("번지",'04A_국토부원자료'!$A$4:$T$4,0)),""))</f>
        <v/>
      </c>
      <c r="D1363" s="48">
        <f>IF(B1363="","",IF(Q1363=1,'02_대상물건입력'!$B$8,IFERROR(INDEX('04A_국토부원자료'!$A:$T,ROW()+1,MATCH("단지명",'04A_국토부원자료'!$A$4:$T$4,0)),"")))</f>
        <v/>
      </c>
      <c r="E1363" s="172">
        <f>IFERROR(VALUE(SUBSTITUTE(INDEX('04A_국토부원자료'!$A:$T,ROW()+1,MATCH("전용면적(㎡)",'04A_국토부원자료'!$A$4:$T$4,0)),",","")),"")</f>
        <v/>
      </c>
      <c r="F13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63" s="51">
        <f>IFERROR(VALUE(SUBSTITUTE(INDEX('04A_국토부원자료'!$A:$T,ROW()+1,MATCH("거래금액(만원)",'04A_국토부원자료'!$A$4:$T$4,0)),",","")),"")</f>
        <v/>
      </c>
      <c r="H1363" s="174">
        <f>IF(G1363="","",G1363*10000)</f>
        <v/>
      </c>
      <c r="I1363" s="174">
        <f>IFERROR(IF(AND(H1363&gt;0,E1363&gt;0),H1363/E1363,""),"")</f>
        <v/>
      </c>
      <c r="J1363" s="152">
        <f>IFERROR(VALUE(SUBSTITUTE(INDEX('04A_국토부원자료'!$A:$T,ROW()+1,MATCH("층",'04A_국토부원자료'!$A$4:$T$4,0)),",","")),"")</f>
        <v/>
      </c>
      <c r="K1363" s="152">
        <f>IFERROR(VALUE(SUBSTITUTE(INDEX('04A_국토부원자료'!$A:$T,ROW()+1,MATCH("건축년도",'04A_국토부원자료'!$A$4:$T$4,0)),",","")),"")</f>
        <v/>
      </c>
      <c r="L1363" s="176">
        <f>IFERROR(INDEX('04A_국토부원자료'!$A:$T,ROW()+1,MATCH("도로명",'04A_국토부원자료'!$A$4:$T$4,0)),"")</f>
        <v/>
      </c>
      <c r="M1363" s="48">
        <f>IFERROR(INDEX('04A_국토부원자료'!$A:$T,ROW()+1,MATCH("거래유형",'04A_국토부원자료'!$A$4:$T$4,0)),"")</f>
        <v/>
      </c>
      <c r="N1363" s="152">
        <f>IF(B1363="","",IF('02_대상물건입력'!B5="",1,IF(ISNUMBER(SEARCH('02_대상물건입력'!B5,B1363)),1,0)))</f>
        <v/>
      </c>
      <c r="O1363" s="152">
        <f>IF(B1363="","",IF('02_대상물건입력'!B6="",1,IF(ISNUMBER(SEARCH('02_대상물건입력'!B6,B1363)),1,0)))</f>
        <v/>
      </c>
      <c r="P1363" s="152">
        <f>IF(L1363="","",IF('02_대상물건입력'!B15="",0,IF(ISNUMBER(SEARCH('02_대상물건입력'!B15,L1363)),1,0)))</f>
        <v/>
      </c>
      <c r="Q1363" s="152">
        <f>IF(OR(C1363="",L1363=""),0,IF(AND(TRIM(C1363)=TRIM(RIGHT(SUBSTITUTE(TRIM('02_대상물건입력'!$B$7)," ",REPT(" ",99)),99)),IF('02_대상물건입력'!B15="",TRUE(),ISNUMBER(SEARCH('02_대상물건입력'!B15,L1363)))),1,0))</f>
        <v/>
      </c>
      <c r="R1363" s="175">
        <f>IFERROR(ABS(E1363-'02_대상물건입력'!B11)/'02_대상물건입력'!B11,"")</f>
        <v/>
      </c>
      <c r="S1363" s="152">
        <f>IFERROR(ABS(J1363-'02_대상물건입력'!B10),"")</f>
        <v/>
      </c>
      <c r="T1363" s="152">
        <f>IFERROR(ABS('01_설정'!B4-F1363),"")</f>
        <v/>
      </c>
      <c r="U1363" s="152">
        <f>IFERROR(ABS(K1363-YEAR('02_대상물건입력'!B14)),"")</f>
        <v/>
      </c>
      <c r="V1363" s="152">
        <f>IF(B1363="","",IF(AND(E1363&gt;0,F1363&gt;0,H1363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1363=1,TRUE()),R1363&lt;='01_설정'!B5,S1363&lt;='01_설정'!B6,T1363&lt;='01_설정'!B7,U1363&lt;='01_설정'!B8),"Y",""))</f>
        <v/>
      </c>
      <c r="W1363" s="172">
        <f>IF(V1363&lt;&gt;"Y","",MAX(0,(1-R1363/'01_설정'!B5))*'01_설정'!B14+MAX(0,(1-S1363/'01_설정'!B6))*'01_설정'!B15+MAX(0,(1-T1363/'01_설정'!B7))*'01_설정'!B16+MAX(0,(1-U1363/'01_설정'!B8))*'01_설정'!B17+O1363*'01_설정'!B11+Q1363*'01_설정'!B12+P1363*'01_설정'!B13+IF(Z1363="",0,Z1363))</f>
        <v/>
      </c>
      <c r="X1363" s="152">
        <f>IF(W1363="","",1+COUNTIFS($W$4:$W$3003,"&gt;"&amp;W1363)+COUNTIFS($W$4:W1363,W1363)-1)</f>
        <v/>
      </c>
      <c r="Y1363" s="175">
        <f>IF(OR(I1363="",'02_대상물건입력'!B19="",'02_대상물건입력'!B19&lt;=0),"",ABS(I1363-'02_대상물건입력'!B19)/'02_대상물건입력'!B19)</f>
        <v/>
      </c>
      <c r="Z1363" s="172">
        <f>IF(OR(Y1363="",'01_설정'!B31="",'01_설정'!B31&lt;=0,'01_설정'!B32="",'01_설정'!B32&lt;=0),"",MAX(0,(1-Y1363/'01_설정'!B32))*'01_설정'!B31)</f>
        <v/>
      </c>
    </row>
    <row r="1364" ht="17.25" customHeight="1">
      <c r="A1364" s="152">
        <f>IF(INDEX('04A_국토부원자료'!$A:$A,ROW()+1)="","",ROW()-3)</f>
        <v/>
      </c>
      <c r="B1364" s="48">
        <f>IFERROR(INDEX('04A_국토부원자료'!$A:$T,ROW()+1,MATCH("시군구",'04A_국토부원자료'!$A$4:$T$4,0)),"")</f>
        <v/>
      </c>
      <c r="C1364" s="48">
        <f>IF(B1364="","",IFERROR(INDEX('04A_국토부원자료'!$A:$T,ROW()+1,MATCH("번지",'04A_국토부원자료'!$A$4:$T$4,0)),""))</f>
        <v/>
      </c>
      <c r="D1364" s="48">
        <f>IF(B1364="","",IF(Q1364=1,'02_대상물건입력'!$B$8,IFERROR(INDEX('04A_국토부원자료'!$A:$T,ROW()+1,MATCH("단지명",'04A_국토부원자료'!$A$4:$T$4,0)),"")))</f>
        <v/>
      </c>
      <c r="E1364" s="172">
        <f>IFERROR(VALUE(SUBSTITUTE(INDEX('04A_국토부원자료'!$A:$T,ROW()+1,MATCH("전용면적(㎡)",'04A_국토부원자료'!$A$4:$T$4,0)),",","")),"")</f>
        <v/>
      </c>
      <c r="F13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64" s="51">
        <f>IFERROR(VALUE(SUBSTITUTE(INDEX('04A_국토부원자료'!$A:$T,ROW()+1,MATCH("거래금액(만원)",'04A_국토부원자료'!$A$4:$T$4,0)),",","")),"")</f>
        <v/>
      </c>
      <c r="H1364" s="174">
        <f>IF(G1364="","",G1364*10000)</f>
        <v/>
      </c>
      <c r="I1364" s="174">
        <f>IFERROR(IF(AND(H1364&gt;0,E1364&gt;0),H1364/E1364,""),"")</f>
        <v/>
      </c>
      <c r="J1364" s="152">
        <f>IFERROR(VALUE(SUBSTITUTE(INDEX('04A_국토부원자료'!$A:$T,ROW()+1,MATCH("층",'04A_국토부원자료'!$A$4:$T$4,0)),",","")),"")</f>
        <v/>
      </c>
      <c r="K1364" s="152">
        <f>IFERROR(VALUE(SUBSTITUTE(INDEX('04A_국토부원자료'!$A:$T,ROW()+1,MATCH("건축년도",'04A_국토부원자료'!$A$4:$T$4,0)),",","")),"")</f>
        <v/>
      </c>
      <c r="L1364" s="176">
        <f>IFERROR(INDEX('04A_국토부원자료'!$A:$T,ROW()+1,MATCH("도로명",'04A_국토부원자료'!$A$4:$T$4,0)),"")</f>
        <v/>
      </c>
      <c r="M1364" s="48">
        <f>IFERROR(INDEX('04A_국토부원자료'!$A:$T,ROW()+1,MATCH("거래유형",'04A_국토부원자료'!$A$4:$T$4,0)),"")</f>
        <v/>
      </c>
      <c r="N1364" s="152">
        <f>IF(B1364="","",IF('02_대상물건입력'!B5="",1,IF(ISNUMBER(SEARCH('02_대상물건입력'!B5,B1364)),1,0)))</f>
        <v/>
      </c>
      <c r="O1364" s="152">
        <f>IF(B1364="","",IF('02_대상물건입력'!B6="",1,IF(ISNUMBER(SEARCH('02_대상물건입력'!B6,B1364)),1,0)))</f>
        <v/>
      </c>
      <c r="P1364" s="152">
        <f>IF(L1364="","",IF('02_대상물건입력'!B15="",0,IF(ISNUMBER(SEARCH('02_대상물건입력'!B15,L1364)),1,0)))</f>
        <v/>
      </c>
      <c r="Q1364" s="152">
        <f>IF(OR(C1364="",L1364=""),0,IF(AND(TRIM(C1364)=TRIM(RIGHT(SUBSTITUTE(TRIM('02_대상물건입력'!$B$7)," ",REPT(" ",99)),99)),IF('02_대상물건입력'!B15="",TRUE(),ISNUMBER(SEARCH('02_대상물건입력'!B15,L1364)))),1,0))</f>
        <v/>
      </c>
      <c r="R1364" s="175">
        <f>IFERROR(ABS(E1364-'02_대상물건입력'!B11)/'02_대상물건입력'!B11,"")</f>
        <v/>
      </c>
      <c r="S1364" s="152">
        <f>IFERROR(ABS(J1364-'02_대상물건입력'!B10),"")</f>
        <v/>
      </c>
      <c r="T1364" s="152">
        <f>IFERROR(ABS('01_설정'!B4-F1364),"")</f>
        <v/>
      </c>
      <c r="U1364" s="152">
        <f>IFERROR(ABS(K1364-YEAR('02_대상물건입력'!B14)),"")</f>
        <v/>
      </c>
      <c r="V1364" s="152">
        <f>IF(B1364="","",IF(AND(E1364&gt;0,F1364&gt;0,H1364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1364=1,TRUE()),R1364&lt;='01_설정'!B5,S1364&lt;='01_설정'!B6,T1364&lt;='01_설정'!B7,U1364&lt;='01_설정'!B8),"Y",""))</f>
        <v/>
      </c>
      <c r="W1364" s="172">
        <f>IF(V1364&lt;&gt;"Y","",MAX(0,(1-R1364/'01_설정'!B5))*'01_설정'!B14+MAX(0,(1-S1364/'01_설정'!B6))*'01_설정'!B15+MAX(0,(1-T1364/'01_설정'!B7))*'01_설정'!B16+MAX(0,(1-U1364/'01_설정'!B8))*'01_설정'!B17+O1364*'01_설정'!B11+Q1364*'01_설정'!B12+P1364*'01_설정'!B13+IF(Z1364="",0,Z1364))</f>
        <v/>
      </c>
      <c r="X1364" s="152">
        <f>IF(W1364="","",1+COUNTIFS($W$4:$W$3003,"&gt;"&amp;W1364)+COUNTIFS($W$4:W1364,W1364)-1)</f>
        <v/>
      </c>
      <c r="Y1364" s="175">
        <f>IF(OR(I1364="",'02_대상물건입력'!B19="",'02_대상물건입력'!B19&lt;=0),"",ABS(I1364-'02_대상물건입력'!B19)/'02_대상물건입력'!B19)</f>
        <v/>
      </c>
      <c r="Z1364" s="172">
        <f>IF(OR(Y1364="",'01_설정'!B31="",'01_설정'!B31&lt;=0,'01_설정'!B32="",'01_설정'!B32&lt;=0),"",MAX(0,(1-Y1364/'01_설정'!B32))*'01_설정'!B31)</f>
        <v/>
      </c>
    </row>
    <row r="1365" ht="17.25" customHeight="1">
      <c r="A1365" s="152">
        <f>IF(INDEX('04A_국토부원자료'!$A:$A,ROW()+1)="","",ROW()-3)</f>
        <v/>
      </c>
      <c r="B1365" s="48">
        <f>IFERROR(INDEX('04A_국토부원자료'!$A:$T,ROW()+1,MATCH("시군구",'04A_국토부원자료'!$A$4:$T$4,0)),"")</f>
        <v/>
      </c>
      <c r="C1365" s="48">
        <f>IF(B1365="","",IFERROR(INDEX('04A_국토부원자료'!$A:$T,ROW()+1,MATCH("번지",'04A_국토부원자료'!$A$4:$T$4,0)),""))</f>
        <v/>
      </c>
      <c r="D1365" s="48">
        <f>IF(B1365="","",IF(Q1365=1,'02_대상물건입력'!$B$8,IFERROR(INDEX('04A_국토부원자료'!$A:$T,ROW()+1,MATCH("단지명",'04A_국토부원자료'!$A$4:$T$4,0)),"")))</f>
        <v/>
      </c>
      <c r="E1365" s="172">
        <f>IFERROR(VALUE(SUBSTITUTE(INDEX('04A_국토부원자료'!$A:$T,ROW()+1,MATCH("전용면적(㎡)",'04A_국토부원자료'!$A$4:$T$4,0)),",","")),"")</f>
        <v/>
      </c>
      <c r="F13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65" s="51">
        <f>IFERROR(VALUE(SUBSTITUTE(INDEX('04A_국토부원자료'!$A:$T,ROW()+1,MATCH("거래금액(만원)",'04A_국토부원자료'!$A$4:$T$4,0)),",","")),"")</f>
        <v/>
      </c>
      <c r="H1365" s="174">
        <f>IF(G1365="","",G1365*10000)</f>
        <v/>
      </c>
      <c r="I1365" s="174">
        <f>IFERROR(IF(AND(H1365&gt;0,E1365&gt;0),H1365/E1365,""),"")</f>
        <v/>
      </c>
      <c r="J1365" s="152">
        <f>IFERROR(VALUE(SUBSTITUTE(INDEX('04A_국토부원자료'!$A:$T,ROW()+1,MATCH("층",'04A_국토부원자료'!$A$4:$T$4,0)),",","")),"")</f>
        <v/>
      </c>
      <c r="K1365" s="152">
        <f>IFERROR(VALUE(SUBSTITUTE(INDEX('04A_국토부원자료'!$A:$T,ROW()+1,MATCH("건축년도",'04A_국토부원자료'!$A$4:$T$4,0)),",","")),"")</f>
        <v/>
      </c>
      <c r="L1365" s="176">
        <f>IFERROR(INDEX('04A_국토부원자료'!$A:$T,ROW()+1,MATCH("도로명",'04A_국토부원자료'!$A$4:$T$4,0)),"")</f>
        <v/>
      </c>
      <c r="M1365" s="48">
        <f>IFERROR(INDEX('04A_국토부원자료'!$A:$T,ROW()+1,MATCH("거래유형",'04A_국토부원자료'!$A$4:$T$4,0)),"")</f>
        <v/>
      </c>
      <c r="N1365" s="152">
        <f>IF(B1365="","",IF('02_대상물건입력'!B5="",1,IF(ISNUMBER(SEARCH('02_대상물건입력'!B5,B1365)),1,0)))</f>
        <v/>
      </c>
      <c r="O1365" s="152">
        <f>IF(B1365="","",IF('02_대상물건입력'!B6="",1,IF(ISNUMBER(SEARCH('02_대상물건입력'!B6,B1365)),1,0)))</f>
        <v/>
      </c>
      <c r="P1365" s="152">
        <f>IF(L1365="","",IF('02_대상물건입력'!B15="",0,IF(ISNUMBER(SEARCH('02_대상물건입력'!B15,L1365)),1,0)))</f>
        <v/>
      </c>
      <c r="Q1365" s="152">
        <f>IF(OR(C1365="",L1365=""),0,IF(AND(TRIM(C1365)=TRIM(RIGHT(SUBSTITUTE(TRIM('02_대상물건입력'!$B$7)," ",REPT(" ",99)),99)),IF('02_대상물건입력'!B15="",TRUE(),ISNUMBER(SEARCH('02_대상물건입력'!B15,L1365)))),1,0))</f>
        <v/>
      </c>
      <c r="R1365" s="175">
        <f>IFERROR(ABS(E1365-'02_대상물건입력'!B11)/'02_대상물건입력'!B11,"")</f>
        <v/>
      </c>
      <c r="S1365" s="152">
        <f>IFERROR(ABS(J1365-'02_대상물건입력'!B10),"")</f>
        <v/>
      </c>
      <c r="T1365" s="152">
        <f>IFERROR(ABS('01_설정'!B4-F1365),"")</f>
        <v/>
      </c>
      <c r="U1365" s="152">
        <f>IFERROR(ABS(K1365-YEAR('02_대상물건입력'!B14)),"")</f>
        <v/>
      </c>
      <c r="V1365" s="152">
        <f>IF(B1365="","",IF(AND(E1365&gt;0,F1365&gt;0,H1365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1365=1,TRUE()),R1365&lt;='01_설정'!B5,S1365&lt;='01_설정'!B6,T1365&lt;='01_설정'!B7,U1365&lt;='01_설정'!B8),"Y",""))</f>
        <v/>
      </c>
      <c r="W1365" s="172">
        <f>IF(V1365&lt;&gt;"Y","",MAX(0,(1-R1365/'01_설정'!B5))*'01_설정'!B14+MAX(0,(1-S1365/'01_설정'!B6))*'01_설정'!B15+MAX(0,(1-T1365/'01_설정'!B7))*'01_설정'!B16+MAX(0,(1-U1365/'01_설정'!B8))*'01_설정'!B17+O1365*'01_설정'!B11+Q1365*'01_설정'!B12+P1365*'01_설정'!B13+IF(Z1365="",0,Z1365))</f>
        <v/>
      </c>
      <c r="X1365" s="152">
        <f>IF(W1365="","",1+COUNTIFS($W$4:$W$3003,"&gt;"&amp;W1365)+COUNTIFS($W$4:W1365,W1365)-1)</f>
        <v/>
      </c>
      <c r="Y1365" s="175">
        <f>IF(OR(I1365="",'02_대상물건입력'!B19="",'02_대상물건입력'!B19&lt;=0),"",ABS(I1365-'02_대상물건입력'!B19)/'02_대상물건입력'!B19)</f>
        <v/>
      </c>
      <c r="Z1365" s="172">
        <f>IF(OR(Y1365="",'01_설정'!B31="",'01_설정'!B31&lt;=0,'01_설정'!B32="",'01_설정'!B32&lt;=0),"",MAX(0,(1-Y1365/'01_설정'!B32))*'01_설정'!B31)</f>
        <v/>
      </c>
    </row>
    <row r="1366" ht="17.25" customHeight="1">
      <c r="A1366" s="152">
        <f>IF(INDEX('04A_국토부원자료'!$A:$A,ROW()+1)="","",ROW()-3)</f>
        <v/>
      </c>
      <c r="B1366" s="48">
        <f>IFERROR(INDEX('04A_국토부원자료'!$A:$T,ROW()+1,MATCH("시군구",'04A_국토부원자료'!$A$4:$T$4,0)),"")</f>
        <v/>
      </c>
      <c r="C1366" s="48">
        <f>IF(B1366="","",IFERROR(INDEX('04A_국토부원자료'!$A:$T,ROW()+1,MATCH("번지",'04A_국토부원자료'!$A$4:$T$4,0)),""))</f>
        <v/>
      </c>
      <c r="D1366" s="48">
        <f>IF(B1366="","",IF(Q1366=1,'02_대상물건입력'!$B$8,IFERROR(INDEX('04A_국토부원자료'!$A:$T,ROW()+1,MATCH("단지명",'04A_국토부원자료'!$A$4:$T$4,0)),"")))</f>
        <v/>
      </c>
      <c r="E1366" s="172">
        <f>IFERROR(VALUE(SUBSTITUTE(INDEX('04A_국토부원자료'!$A:$T,ROW()+1,MATCH("전용면적(㎡)",'04A_국토부원자료'!$A$4:$T$4,0)),",","")),"")</f>
        <v/>
      </c>
      <c r="F13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66" s="51">
        <f>IFERROR(VALUE(SUBSTITUTE(INDEX('04A_국토부원자료'!$A:$T,ROW()+1,MATCH("거래금액(만원)",'04A_국토부원자료'!$A$4:$T$4,0)),",","")),"")</f>
        <v/>
      </c>
      <c r="H1366" s="174">
        <f>IF(G1366="","",G1366*10000)</f>
        <v/>
      </c>
      <c r="I1366" s="174">
        <f>IFERROR(IF(AND(H1366&gt;0,E1366&gt;0),H1366/E1366,""),"")</f>
        <v/>
      </c>
      <c r="J1366" s="152">
        <f>IFERROR(VALUE(SUBSTITUTE(INDEX('04A_국토부원자료'!$A:$T,ROW()+1,MATCH("층",'04A_국토부원자료'!$A$4:$T$4,0)),",","")),"")</f>
        <v/>
      </c>
      <c r="K1366" s="152">
        <f>IFERROR(VALUE(SUBSTITUTE(INDEX('04A_국토부원자료'!$A:$T,ROW()+1,MATCH("건축년도",'04A_국토부원자료'!$A$4:$T$4,0)),",","")),"")</f>
        <v/>
      </c>
      <c r="L1366" s="176">
        <f>IFERROR(INDEX('04A_국토부원자료'!$A:$T,ROW()+1,MATCH("도로명",'04A_국토부원자료'!$A$4:$T$4,0)),"")</f>
        <v/>
      </c>
      <c r="M1366" s="48">
        <f>IFERROR(INDEX('04A_국토부원자료'!$A:$T,ROW()+1,MATCH("거래유형",'04A_국토부원자료'!$A$4:$T$4,0)),"")</f>
        <v/>
      </c>
      <c r="N1366" s="152">
        <f>IF(B1366="","",IF('02_대상물건입력'!B5="",1,IF(ISNUMBER(SEARCH('02_대상물건입력'!B5,B1366)),1,0)))</f>
        <v/>
      </c>
      <c r="O1366" s="152">
        <f>IF(B1366="","",IF('02_대상물건입력'!B6="",1,IF(ISNUMBER(SEARCH('02_대상물건입력'!B6,B1366)),1,0)))</f>
        <v/>
      </c>
      <c r="P1366" s="152">
        <f>IF(L1366="","",IF('02_대상물건입력'!B15="",0,IF(ISNUMBER(SEARCH('02_대상물건입력'!B15,L1366)),1,0)))</f>
        <v/>
      </c>
      <c r="Q1366" s="152">
        <f>IF(OR(C1366="",L1366=""),0,IF(AND(TRIM(C1366)=TRIM(RIGHT(SUBSTITUTE(TRIM('02_대상물건입력'!$B$7)," ",REPT(" ",99)),99)),IF('02_대상물건입력'!B15="",TRUE(),ISNUMBER(SEARCH('02_대상물건입력'!B15,L1366)))),1,0))</f>
        <v/>
      </c>
      <c r="R1366" s="175">
        <f>IFERROR(ABS(E1366-'02_대상물건입력'!B11)/'02_대상물건입력'!B11,"")</f>
        <v/>
      </c>
      <c r="S1366" s="152">
        <f>IFERROR(ABS(J1366-'02_대상물건입력'!B10),"")</f>
        <v/>
      </c>
      <c r="T1366" s="152">
        <f>IFERROR(ABS('01_설정'!B4-F1366),"")</f>
        <v/>
      </c>
      <c r="U1366" s="152">
        <f>IFERROR(ABS(K1366-YEAR('02_대상물건입력'!B14)),"")</f>
        <v/>
      </c>
      <c r="V1366" s="152">
        <f>IF(B1366="","",IF(AND(E1366&gt;0,F1366&gt;0,H1366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1366=1,TRUE()),R1366&lt;='01_설정'!B5,S1366&lt;='01_설정'!B6,T1366&lt;='01_설정'!B7,U1366&lt;='01_설정'!B8),"Y",""))</f>
        <v/>
      </c>
      <c r="W1366" s="172">
        <f>IF(V1366&lt;&gt;"Y","",MAX(0,(1-R1366/'01_설정'!B5))*'01_설정'!B14+MAX(0,(1-S1366/'01_설정'!B6))*'01_설정'!B15+MAX(0,(1-T1366/'01_설정'!B7))*'01_설정'!B16+MAX(0,(1-U1366/'01_설정'!B8))*'01_설정'!B17+O1366*'01_설정'!B11+Q1366*'01_설정'!B12+P1366*'01_설정'!B13+IF(Z1366="",0,Z1366))</f>
        <v/>
      </c>
      <c r="X1366" s="152">
        <f>IF(W1366="","",1+COUNTIFS($W$4:$W$3003,"&gt;"&amp;W1366)+COUNTIFS($W$4:W1366,W1366)-1)</f>
        <v/>
      </c>
      <c r="Y1366" s="175">
        <f>IF(OR(I1366="",'02_대상물건입력'!B19="",'02_대상물건입력'!B19&lt;=0),"",ABS(I1366-'02_대상물건입력'!B19)/'02_대상물건입력'!B19)</f>
        <v/>
      </c>
      <c r="Z1366" s="172">
        <f>IF(OR(Y1366="",'01_설정'!B31="",'01_설정'!B31&lt;=0,'01_설정'!B32="",'01_설정'!B32&lt;=0),"",MAX(0,(1-Y1366/'01_설정'!B32))*'01_설정'!B31)</f>
        <v/>
      </c>
    </row>
    <row r="1367" ht="17.25" customHeight="1">
      <c r="A1367" s="152">
        <f>IF(INDEX('04A_국토부원자료'!$A:$A,ROW()+1)="","",ROW()-3)</f>
        <v/>
      </c>
      <c r="B1367" s="48">
        <f>IFERROR(INDEX('04A_국토부원자료'!$A:$T,ROW()+1,MATCH("시군구",'04A_국토부원자료'!$A$4:$T$4,0)),"")</f>
        <v/>
      </c>
      <c r="C1367" s="48">
        <f>IF(B1367="","",IFERROR(INDEX('04A_국토부원자료'!$A:$T,ROW()+1,MATCH("번지",'04A_국토부원자료'!$A$4:$T$4,0)),""))</f>
        <v/>
      </c>
      <c r="D1367" s="48">
        <f>IF(B1367="","",IF(Q1367=1,'02_대상물건입력'!$B$8,IFERROR(INDEX('04A_국토부원자료'!$A:$T,ROW()+1,MATCH("단지명",'04A_국토부원자료'!$A$4:$T$4,0)),"")))</f>
        <v/>
      </c>
      <c r="E1367" s="172">
        <f>IFERROR(VALUE(SUBSTITUTE(INDEX('04A_국토부원자료'!$A:$T,ROW()+1,MATCH("전용면적(㎡)",'04A_국토부원자료'!$A$4:$T$4,0)),",","")),"")</f>
        <v/>
      </c>
      <c r="F13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67" s="51">
        <f>IFERROR(VALUE(SUBSTITUTE(INDEX('04A_국토부원자료'!$A:$T,ROW()+1,MATCH("거래금액(만원)",'04A_국토부원자료'!$A$4:$T$4,0)),",","")),"")</f>
        <v/>
      </c>
      <c r="H1367" s="174">
        <f>IF(G1367="","",G1367*10000)</f>
        <v/>
      </c>
      <c r="I1367" s="174">
        <f>IFERROR(IF(AND(H1367&gt;0,E1367&gt;0),H1367/E1367,""),"")</f>
        <v/>
      </c>
      <c r="J1367" s="152">
        <f>IFERROR(VALUE(SUBSTITUTE(INDEX('04A_국토부원자료'!$A:$T,ROW()+1,MATCH("층",'04A_국토부원자료'!$A$4:$T$4,0)),",","")),"")</f>
        <v/>
      </c>
      <c r="K1367" s="152">
        <f>IFERROR(VALUE(SUBSTITUTE(INDEX('04A_국토부원자료'!$A:$T,ROW()+1,MATCH("건축년도",'04A_국토부원자료'!$A$4:$T$4,0)),",","")),"")</f>
        <v/>
      </c>
      <c r="L1367" s="176">
        <f>IFERROR(INDEX('04A_국토부원자료'!$A:$T,ROW()+1,MATCH("도로명",'04A_국토부원자료'!$A$4:$T$4,0)),"")</f>
        <v/>
      </c>
      <c r="M1367" s="48">
        <f>IFERROR(INDEX('04A_국토부원자료'!$A:$T,ROW()+1,MATCH("거래유형",'04A_국토부원자료'!$A$4:$T$4,0)),"")</f>
        <v/>
      </c>
      <c r="N1367" s="152">
        <f>IF(B1367="","",IF('02_대상물건입력'!B5="",1,IF(ISNUMBER(SEARCH('02_대상물건입력'!B5,B1367)),1,0)))</f>
        <v/>
      </c>
      <c r="O1367" s="152">
        <f>IF(B1367="","",IF('02_대상물건입력'!B6="",1,IF(ISNUMBER(SEARCH('02_대상물건입력'!B6,B1367)),1,0)))</f>
        <v/>
      </c>
      <c r="P1367" s="152">
        <f>IF(L1367="","",IF('02_대상물건입력'!B15="",0,IF(ISNUMBER(SEARCH('02_대상물건입력'!B15,L1367)),1,0)))</f>
        <v/>
      </c>
      <c r="Q1367" s="152">
        <f>IF(OR(C1367="",L1367=""),0,IF(AND(TRIM(C1367)=TRIM(RIGHT(SUBSTITUTE(TRIM('02_대상물건입력'!$B$7)," ",REPT(" ",99)),99)),IF('02_대상물건입력'!B15="",TRUE(),ISNUMBER(SEARCH('02_대상물건입력'!B15,L1367)))),1,0))</f>
        <v/>
      </c>
      <c r="R1367" s="175">
        <f>IFERROR(ABS(E1367-'02_대상물건입력'!B11)/'02_대상물건입력'!B11,"")</f>
        <v/>
      </c>
      <c r="S1367" s="152">
        <f>IFERROR(ABS(J1367-'02_대상물건입력'!B10),"")</f>
        <v/>
      </c>
      <c r="T1367" s="152">
        <f>IFERROR(ABS('01_설정'!B4-F1367),"")</f>
        <v/>
      </c>
      <c r="U1367" s="152">
        <f>IFERROR(ABS(K1367-YEAR('02_대상물건입력'!B14)),"")</f>
        <v/>
      </c>
      <c r="V1367" s="152">
        <f>IF(B1367="","",IF(AND(E1367&gt;0,F1367&gt;0,H1367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1367=1,TRUE()),R1367&lt;='01_설정'!B5,S1367&lt;='01_설정'!B6,T1367&lt;='01_설정'!B7,U1367&lt;='01_설정'!B8),"Y",""))</f>
        <v/>
      </c>
      <c r="W1367" s="172">
        <f>IF(V1367&lt;&gt;"Y","",MAX(0,(1-R1367/'01_설정'!B5))*'01_설정'!B14+MAX(0,(1-S1367/'01_설정'!B6))*'01_설정'!B15+MAX(0,(1-T1367/'01_설정'!B7))*'01_설정'!B16+MAX(0,(1-U1367/'01_설정'!B8))*'01_설정'!B17+O1367*'01_설정'!B11+Q1367*'01_설정'!B12+P1367*'01_설정'!B13+IF(Z1367="",0,Z1367))</f>
        <v/>
      </c>
      <c r="X1367" s="152">
        <f>IF(W1367="","",1+COUNTIFS($W$4:$W$3003,"&gt;"&amp;W1367)+COUNTIFS($W$4:W1367,W1367)-1)</f>
        <v/>
      </c>
      <c r="Y1367" s="175">
        <f>IF(OR(I1367="",'02_대상물건입력'!B19="",'02_대상물건입력'!B19&lt;=0),"",ABS(I1367-'02_대상물건입력'!B19)/'02_대상물건입력'!B19)</f>
        <v/>
      </c>
      <c r="Z1367" s="172">
        <f>IF(OR(Y1367="",'01_설정'!B31="",'01_설정'!B31&lt;=0,'01_설정'!B32="",'01_설정'!B32&lt;=0),"",MAX(0,(1-Y1367/'01_설정'!B32))*'01_설정'!B31)</f>
        <v/>
      </c>
    </row>
    <row r="1368" ht="17.25" customHeight="1">
      <c r="A1368" s="152">
        <f>IF(INDEX('04A_국토부원자료'!$A:$A,ROW()+1)="","",ROW()-3)</f>
        <v/>
      </c>
      <c r="B1368" s="48">
        <f>IFERROR(INDEX('04A_국토부원자료'!$A:$T,ROW()+1,MATCH("시군구",'04A_국토부원자료'!$A$4:$T$4,0)),"")</f>
        <v/>
      </c>
      <c r="C1368" s="48">
        <f>IF(B1368="","",IFERROR(INDEX('04A_국토부원자료'!$A:$T,ROW()+1,MATCH("번지",'04A_국토부원자료'!$A$4:$T$4,0)),""))</f>
        <v/>
      </c>
      <c r="D1368" s="48">
        <f>IF(B1368="","",IF(Q1368=1,'02_대상물건입력'!$B$8,IFERROR(INDEX('04A_국토부원자료'!$A:$T,ROW()+1,MATCH("단지명",'04A_국토부원자료'!$A$4:$T$4,0)),"")))</f>
        <v/>
      </c>
      <c r="E1368" s="172">
        <f>IFERROR(VALUE(SUBSTITUTE(INDEX('04A_국토부원자료'!$A:$T,ROW()+1,MATCH("전용면적(㎡)",'04A_국토부원자료'!$A$4:$T$4,0)),",","")),"")</f>
        <v/>
      </c>
      <c r="F13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68" s="51">
        <f>IFERROR(VALUE(SUBSTITUTE(INDEX('04A_국토부원자료'!$A:$T,ROW()+1,MATCH("거래금액(만원)",'04A_국토부원자료'!$A$4:$T$4,0)),",","")),"")</f>
        <v/>
      </c>
      <c r="H1368" s="174">
        <f>IF(G1368="","",G1368*10000)</f>
        <v/>
      </c>
      <c r="I1368" s="174">
        <f>IFERROR(IF(AND(H1368&gt;0,E1368&gt;0),H1368/E1368,""),"")</f>
        <v/>
      </c>
      <c r="J1368" s="152">
        <f>IFERROR(VALUE(SUBSTITUTE(INDEX('04A_국토부원자료'!$A:$T,ROW()+1,MATCH("층",'04A_국토부원자료'!$A$4:$T$4,0)),",","")),"")</f>
        <v/>
      </c>
      <c r="K1368" s="152">
        <f>IFERROR(VALUE(SUBSTITUTE(INDEX('04A_국토부원자료'!$A:$T,ROW()+1,MATCH("건축년도",'04A_국토부원자료'!$A$4:$T$4,0)),",","")),"")</f>
        <v/>
      </c>
      <c r="L1368" s="176">
        <f>IFERROR(INDEX('04A_국토부원자료'!$A:$T,ROW()+1,MATCH("도로명",'04A_국토부원자료'!$A$4:$T$4,0)),"")</f>
        <v/>
      </c>
      <c r="M1368" s="48">
        <f>IFERROR(INDEX('04A_국토부원자료'!$A:$T,ROW()+1,MATCH("거래유형",'04A_국토부원자료'!$A$4:$T$4,0)),"")</f>
        <v/>
      </c>
      <c r="N1368" s="152">
        <f>IF(B1368="","",IF('02_대상물건입력'!B5="",1,IF(ISNUMBER(SEARCH('02_대상물건입력'!B5,B1368)),1,0)))</f>
        <v/>
      </c>
      <c r="O1368" s="152">
        <f>IF(B1368="","",IF('02_대상물건입력'!B6="",1,IF(ISNUMBER(SEARCH('02_대상물건입력'!B6,B1368)),1,0)))</f>
        <v/>
      </c>
      <c r="P1368" s="152">
        <f>IF(L1368="","",IF('02_대상물건입력'!B15="",0,IF(ISNUMBER(SEARCH('02_대상물건입력'!B15,L1368)),1,0)))</f>
        <v/>
      </c>
      <c r="Q1368" s="152">
        <f>IF(OR(C1368="",L1368=""),0,IF(AND(TRIM(C1368)=TRIM(RIGHT(SUBSTITUTE(TRIM('02_대상물건입력'!$B$7)," ",REPT(" ",99)),99)),IF('02_대상물건입력'!B15="",TRUE(),ISNUMBER(SEARCH('02_대상물건입력'!B15,L1368)))),1,0))</f>
        <v/>
      </c>
      <c r="R1368" s="175">
        <f>IFERROR(ABS(E1368-'02_대상물건입력'!B11)/'02_대상물건입력'!B11,"")</f>
        <v/>
      </c>
      <c r="S1368" s="152">
        <f>IFERROR(ABS(J1368-'02_대상물건입력'!B10),"")</f>
        <v/>
      </c>
      <c r="T1368" s="152">
        <f>IFERROR(ABS('01_설정'!B4-F1368),"")</f>
        <v/>
      </c>
      <c r="U1368" s="152">
        <f>IFERROR(ABS(K1368-YEAR('02_대상물건입력'!B14)),"")</f>
        <v/>
      </c>
      <c r="V1368" s="152">
        <f>IF(B1368="","",IF(AND(E1368&gt;0,F1368&gt;0,H1368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1368=1,TRUE()),R1368&lt;='01_설정'!B5,S1368&lt;='01_설정'!B6,T1368&lt;='01_설정'!B7,U1368&lt;='01_설정'!B8),"Y",""))</f>
        <v/>
      </c>
      <c r="W1368" s="172">
        <f>IF(V1368&lt;&gt;"Y","",MAX(0,(1-R1368/'01_설정'!B5))*'01_설정'!B14+MAX(0,(1-S1368/'01_설정'!B6))*'01_설정'!B15+MAX(0,(1-T1368/'01_설정'!B7))*'01_설정'!B16+MAX(0,(1-U1368/'01_설정'!B8))*'01_설정'!B17+O1368*'01_설정'!B11+Q1368*'01_설정'!B12+P1368*'01_설정'!B13+IF(Z1368="",0,Z1368))</f>
        <v/>
      </c>
      <c r="X1368" s="152">
        <f>IF(W1368="","",1+COUNTIFS($W$4:$W$3003,"&gt;"&amp;W1368)+COUNTIFS($W$4:W1368,W1368)-1)</f>
        <v/>
      </c>
      <c r="Y1368" s="175">
        <f>IF(OR(I1368="",'02_대상물건입력'!B19="",'02_대상물건입력'!B19&lt;=0),"",ABS(I1368-'02_대상물건입력'!B19)/'02_대상물건입력'!B19)</f>
        <v/>
      </c>
      <c r="Z1368" s="172">
        <f>IF(OR(Y1368="",'01_설정'!B31="",'01_설정'!B31&lt;=0,'01_설정'!B32="",'01_설정'!B32&lt;=0),"",MAX(0,(1-Y1368/'01_설정'!B32))*'01_설정'!B31)</f>
        <v/>
      </c>
    </row>
    <row r="1369" ht="17.25" customHeight="1">
      <c r="A1369" s="152">
        <f>IF(INDEX('04A_국토부원자료'!$A:$A,ROW()+1)="","",ROW()-3)</f>
        <v/>
      </c>
      <c r="B1369" s="48">
        <f>IFERROR(INDEX('04A_국토부원자료'!$A:$T,ROW()+1,MATCH("시군구",'04A_국토부원자료'!$A$4:$T$4,0)),"")</f>
        <v/>
      </c>
      <c r="C1369" s="48">
        <f>IF(B1369="","",IFERROR(INDEX('04A_국토부원자료'!$A:$T,ROW()+1,MATCH("번지",'04A_국토부원자료'!$A$4:$T$4,0)),""))</f>
        <v/>
      </c>
      <c r="D1369" s="48">
        <f>IF(B1369="","",IF(Q1369=1,'02_대상물건입력'!$B$8,IFERROR(INDEX('04A_국토부원자료'!$A:$T,ROW()+1,MATCH("단지명",'04A_국토부원자료'!$A$4:$T$4,0)),"")))</f>
        <v/>
      </c>
      <c r="E1369" s="172">
        <f>IFERROR(VALUE(SUBSTITUTE(INDEX('04A_국토부원자료'!$A:$T,ROW()+1,MATCH("전용면적(㎡)",'04A_국토부원자료'!$A$4:$T$4,0)),",","")),"")</f>
        <v/>
      </c>
      <c r="F13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69" s="51">
        <f>IFERROR(VALUE(SUBSTITUTE(INDEX('04A_국토부원자료'!$A:$T,ROW()+1,MATCH("거래금액(만원)",'04A_국토부원자료'!$A$4:$T$4,0)),",","")),"")</f>
        <v/>
      </c>
      <c r="H1369" s="174">
        <f>IF(G1369="","",G1369*10000)</f>
        <v/>
      </c>
      <c r="I1369" s="174">
        <f>IFERROR(IF(AND(H1369&gt;0,E1369&gt;0),H1369/E1369,""),"")</f>
        <v/>
      </c>
      <c r="J1369" s="152">
        <f>IFERROR(VALUE(SUBSTITUTE(INDEX('04A_국토부원자료'!$A:$T,ROW()+1,MATCH("층",'04A_국토부원자료'!$A$4:$T$4,0)),",","")),"")</f>
        <v/>
      </c>
      <c r="K1369" s="152">
        <f>IFERROR(VALUE(SUBSTITUTE(INDEX('04A_국토부원자료'!$A:$T,ROW()+1,MATCH("건축년도",'04A_국토부원자료'!$A$4:$T$4,0)),",","")),"")</f>
        <v/>
      </c>
      <c r="L1369" s="176">
        <f>IFERROR(INDEX('04A_국토부원자료'!$A:$T,ROW()+1,MATCH("도로명",'04A_국토부원자료'!$A$4:$T$4,0)),"")</f>
        <v/>
      </c>
      <c r="M1369" s="48">
        <f>IFERROR(INDEX('04A_국토부원자료'!$A:$T,ROW()+1,MATCH("거래유형",'04A_국토부원자료'!$A$4:$T$4,0)),"")</f>
        <v/>
      </c>
      <c r="N1369" s="152">
        <f>IF(B1369="","",IF('02_대상물건입력'!B5="",1,IF(ISNUMBER(SEARCH('02_대상물건입력'!B5,B1369)),1,0)))</f>
        <v/>
      </c>
      <c r="O1369" s="152">
        <f>IF(B1369="","",IF('02_대상물건입력'!B6="",1,IF(ISNUMBER(SEARCH('02_대상물건입력'!B6,B1369)),1,0)))</f>
        <v/>
      </c>
      <c r="P1369" s="152">
        <f>IF(L1369="","",IF('02_대상물건입력'!B15="",0,IF(ISNUMBER(SEARCH('02_대상물건입력'!B15,L1369)),1,0)))</f>
        <v/>
      </c>
      <c r="Q1369" s="152">
        <f>IF(OR(C1369="",L1369=""),0,IF(AND(TRIM(C1369)=TRIM(RIGHT(SUBSTITUTE(TRIM('02_대상물건입력'!$B$7)," ",REPT(" ",99)),99)),IF('02_대상물건입력'!B15="",TRUE(),ISNUMBER(SEARCH('02_대상물건입력'!B15,L1369)))),1,0))</f>
        <v/>
      </c>
      <c r="R1369" s="175">
        <f>IFERROR(ABS(E1369-'02_대상물건입력'!B11)/'02_대상물건입력'!B11,"")</f>
        <v/>
      </c>
      <c r="S1369" s="152">
        <f>IFERROR(ABS(J1369-'02_대상물건입력'!B10),"")</f>
        <v/>
      </c>
      <c r="T1369" s="152">
        <f>IFERROR(ABS('01_설정'!B4-F1369),"")</f>
        <v/>
      </c>
      <c r="U1369" s="152">
        <f>IFERROR(ABS(K1369-YEAR('02_대상물건입력'!B14)),"")</f>
        <v/>
      </c>
      <c r="V1369" s="152">
        <f>IF(B1369="","",IF(AND(E1369&gt;0,F1369&gt;0,H1369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1369=1,TRUE()),R1369&lt;='01_설정'!B5,S1369&lt;='01_설정'!B6,T1369&lt;='01_설정'!B7,U1369&lt;='01_설정'!B8),"Y",""))</f>
        <v/>
      </c>
      <c r="W1369" s="172">
        <f>IF(V1369&lt;&gt;"Y","",MAX(0,(1-R1369/'01_설정'!B5))*'01_설정'!B14+MAX(0,(1-S1369/'01_설정'!B6))*'01_설정'!B15+MAX(0,(1-T1369/'01_설정'!B7))*'01_설정'!B16+MAX(0,(1-U1369/'01_설정'!B8))*'01_설정'!B17+O1369*'01_설정'!B11+Q1369*'01_설정'!B12+P1369*'01_설정'!B13+IF(Z1369="",0,Z1369))</f>
        <v/>
      </c>
      <c r="X1369" s="152">
        <f>IF(W1369="","",1+COUNTIFS($W$4:$W$3003,"&gt;"&amp;W1369)+COUNTIFS($W$4:W1369,W1369)-1)</f>
        <v/>
      </c>
      <c r="Y1369" s="175">
        <f>IF(OR(I1369="",'02_대상물건입력'!B19="",'02_대상물건입력'!B19&lt;=0),"",ABS(I1369-'02_대상물건입력'!B19)/'02_대상물건입력'!B19)</f>
        <v/>
      </c>
      <c r="Z1369" s="172">
        <f>IF(OR(Y1369="",'01_설정'!B31="",'01_설정'!B31&lt;=0,'01_설정'!B32="",'01_설정'!B32&lt;=0),"",MAX(0,(1-Y1369/'01_설정'!B32))*'01_설정'!B31)</f>
        <v/>
      </c>
    </row>
    <row r="1370" ht="17.25" customHeight="1">
      <c r="A1370" s="152">
        <f>IF(INDEX('04A_국토부원자료'!$A:$A,ROW()+1)="","",ROW()-3)</f>
        <v/>
      </c>
      <c r="B1370" s="48">
        <f>IFERROR(INDEX('04A_국토부원자료'!$A:$T,ROW()+1,MATCH("시군구",'04A_국토부원자료'!$A$4:$T$4,0)),"")</f>
        <v/>
      </c>
      <c r="C1370" s="48">
        <f>IF(B1370="","",IFERROR(INDEX('04A_국토부원자료'!$A:$T,ROW()+1,MATCH("번지",'04A_국토부원자료'!$A$4:$T$4,0)),""))</f>
        <v/>
      </c>
      <c r="D1370" s="48">
        <f>IF(B1370="","",IF(Q1370=1,'02_대상물건입력'!$B$8,IFERROR(INDEX('04A_국토부원자료'!$A:$T,ROW()+1,MATCH("단지명",'04A_국토부원자료'!$A$4:$T$4,0)),"")))</f>
        <v/>
      </c>
      <c r="E1370" s="172">
        <f>IFERROR(VALUE(SUBSTITUTE(INDEX('04A_국토부원자료'!$A:$T,ROW()+1,MATCH("전용면적(㎡)",'04A_국토부원자료'!$A$4:$T$4,0)),",","")),"")</f>
        <v/>
      </c>
      <c r="F13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70" s="51">
        <f>IFERROR(VALUE(SUBSTITUTE(INDEX('04A_국토부원자료'!$A:$T,ROW()+1,MATCH("거래금액(만원)",'04A_국토부원자료'!$A$4:$T$4,0)),",","")),"")</f>
        <v/>
      </c>
      <c r="H1370" s="174">
        <f>IF(G1370="","",G1370*10000)</f>
        <v/>
      </c>
      <c r="I1370" s="174">
        <f>IFERROR(IF(AND(H1370&gt;0,E1370&gt;0),H1370/E1370,""),"")</f>
        <v/>
      </c>
      <c r="J1370" s="152">
        <f>IFERROR(VALUE(SUBSTITUTE(INDEX('04A_국토부원자료'!$A:$T,ROW()+1,MATCH("층",'04A_국토부원자료'!$A$4:$T$4,0)),",","")),"")</f>
        <v/>
      </c>
      <c r="K1370" s="152">
        <f>IFERROR(VALUE(SUBSTITUTE(INDEX('04A_국토부원자료'!$A:$T,ROW()+1,MATCH("건축년도",'04A_국토부원자료'!$A$4:$T$4,0)),",","")),"")</f>
        <v/>
      </c>
      <c r="L1370" s="176">
        <f>IFERROR(INDEX('04A_국토부원자료'!$A:$T,ROW()+1,MATCH("도로명",'04A_국토부원자료'!$A$4:$T$4,0)),"")</f>
        <v/>
      </c>
      <c r="M1370" s="48">
        <f>IFERROR(INDEX('04A_국토부원자료'!$A:$T,ROW()+1,MATCH("거래유형",'04A_국토부원자료'!$A$4:$T$4,0)),"")</f>
        <v/>
      </c>
      <c r="N1370" s="152">
        <f>IF(B1370="","",IF('02_대상물건입력'!B5="",1,IF(ISNUMBER(SEARCH('02_대상물건입력'!B5,B1370)),1,0)))</f>
        <v/>
      </c>
      <c r="O1370" s="152">
        <f>IF(B1370="","",IF('02_대상물건입력'!B6="",1,IF(ISNUMBER(SEARCH('02_대상물건입력'!B6,B1370)),1,0)))</f>
        <v/>
      </c>
      <c r="P1370" s="152">
        <f>IF(L1370="","",IF('02_대상물건입력'!B15="",0,IF(ISNUMBER(SEARCH('02_대상물건입력'!B15,L1370)),1,0)))</f>
        <v/>
      </c>
      <c r="Q1370" s="152">
        <f>IF(OR(C1370="",L1370=""),0,IF(AND(TRIM(C1370)=TRIM(RIGHT(SUBSTITUTE(TRIM('02_대상물건입력'!$B$7)," ",REPT(" ",99)),99)),IF('02_대상물건입력'!B15="",TRUE(),ISNUMBER(SEARCH('02_대상물건입력'!B15,L1370)))),1,0))</f>
        <v/>
      </c>
      <c r="R1370" s="175">
        <f>IFERROR(ABS(E1370-'02_대상물건입력'!B11)/'02_대상물건입력'!B11,"")</f>
        <v/>
      </c>
      <c r="S1370" s="152">
        <f>IFERROR(ABS(J1370-'02_대상물건입력'!B10),"")</f>
        <v/>
      </c>
      <c r="T1370" s="152">
        <f>IFERROR(ABS('01_설정'!B4-F1370),"")</f>
        <v/>
      </c>
      <c r="U1370" s="152">
        <f>IFERROR(ABS(K1370-YEAR('02_대상물건입력'!B14)),"")</f>
        <v/>
      </c>
      <c r="V1370" s="152">
        <f>IF(B1370="","",IF(AND(E1370&gt;0,F1370&gt;0,H1370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1370=1,TRUE()),R1370&lt;='01_설정'!B5,S1370&lt;='01_설정'!B6,T1370&lt;='01_설정'!B7,U1370&lt;='01_설정'!B8),"Y",""))</f>
        <v/>
      </c>
      <c r="W1370" s="172">
        <f>IF(V1370&lt;&gt;"Y","",MAX(0,(1-R1370/'01_설정'!B5))*'01_설정'!B14+MAX(0,(1-S1370/'01_설정'!B6))*'01_설정'!B15+MAX(0,(1-T1370/'01_설정'!B7))*'01_설정'!B16+MAX(0,(1-U1370/'01_설정'!B8))*'01_설정'!B17+O1370*'01_설정'!B11+Q1370*'01_설정'!B12+P1370*'01_설정'!B13+IF(Z1370="",0,Z1370))</f>
        <v/>
      </c>
      <c r="X1370" s="152">
        <f>IF(W1370="","",1+COUNTIFS($W$4:$W$3003,"&gt;"&amp;W1370)+COUNTIFS($W$4:W1370,W1370)-1)</f>
        <v/>
      </c>
      <c r="Y1370" s="175">
        <f>IF(OR(I1370="",'02_대상물건입력'!B19="",'02_대상물건입력'!B19&lt;=0),"",ABS(I1370-'02_대상물건입력'!B19)/'02_대상물건입력'!B19)</f>
        <v/>
      </c>
      <c r="Z1370" s="172">
        <f>IF(OR(Y1370="",'01_설정'!B31="",'01_설정'!B31&lt;=0,'01_설정'!B32="",'01_설정'!B32&lt;=0),"",MAX(0,(1-Y1370/'01_설정'!B32))*'01_설정'!B31)</f>
        <v/>
      </c>
    </row>
    <row r="1371" ht="17.25" customHeight="1">
      <c r="A1371" s="152">
        <f>IF(INDEX('04A_국토부원자료'!$A:$A,ROW()+1)="","",ROW()-3)</f>
        <v/>
      </c>
      <c r="B1371" s="48">
        <f>IFERROR(INDEX('04A_국토부원자료'!$A:$T,ROW()+1,MATCH("시군구",'04A_국토부원자료'!$A$4:$T$4,0)),"")</f>
        <v/>
      </c>
      <c r="C1371" s="48">
        <f>IF(B1371="","",IFERROR(INDEX('04A_국토부원자료'!$A:$T,ROW()+1,MATCH("번지",'04A_국토부원자료'!$A$4:$T$4,0)),""))</f>
        <v/>
      </c>
      <c r="D1371" s="48">
        <f>IF(B1371="","",IF(Q1371=1,'02_대상물건입력'!$B$8,IFERROR(INDEX('04A_국토부원자료'!$A:$T,ROW()+1,MATCH("단지명",'04A_국토부원자료'!$A$4:$T$4,0)),"")))</f>
        <v/>
      </c>
      <c r="E1371" s="172">
        <f>IFERROR(VALUE(SUBSTITUTE(INDEX('04A_국토부원자료'!$A:$T,ROW()+1,MATCH("전용면적(㎡)",'04A_국토부원자료'!$A$4:$T$4,0)),",","")),"")</f>
        <v/>
      </c>
      <c r="F13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71" s="51">
        <f>IFERROR(VALUE(SUBSTITUTE(INDEX('04A_국토부원자료'!$A:$T,ROW()+1,MATCH("거래금액(만원)",'04A_국토부원자료'!$A$4:$T$4,0)),",","")),"")</f>
        <v/>
      </c>
      <c r="H1371" s="174">
        <f>IF(G1371="","",G1371*10000)</f>
        <v/>
      </c>
      <c r="I1371" s="174">
        <f>IFERROR(IF(AND(H1371&gt;0,E1371&gt;0),H1371/E1371,""),"")</f>
        <v/>
      </c>
      <c r="J1371" s="152">
        <f>IFERROR(VALUE(SUBSTITUTE(INDEX('04A_국토부원자료'!$A:$T,ROW()+1,MATCH("층",'04A_국토부원자료'!$A$4:$T$4,0)),",","")),"")</f>
        <v/>
      </c>
      <c r="K1371" s="152">
        <f>IFERROR(VALUE(SUBSTITUTE(INDEX('04A_국토부원자료'!$A:$T,ROW()+1,MATCH("건축년도",'04A_국토부원자료'!$A$4:$T$4,0)),",","")),"")</f>
        <v/>
      </c>
      <c r="L1371" s="176">
        <f>IFERROR(INDEX('04A_국토부원자료'!$A:$T,ROW()+1,MATCH("도로명",'04A_국토부원자료'!$A$4:$T$4,0)),"")</f>
        <v/>
      </c>
      <c r="M1371" s="48">
        <f>IFERROR(INDEX('04A_국토부원자료'!$A:$T,ROW()+1,MATCH("거래유형",'04A_국토부원자료'!$A$4:$T$4,0)),"")</f>
        <v/>
      </c>
      <c r="N1371" s="152">
        <f>IF(B1371="","",IF('02_대상물건입력'!B5="",1,IF(ISNUMBER(SEARCH('02_대상물건입력'!B5,B1371)),1,0)))</f>
        <v/>
      </c>
      <c r="O1371" s="152">
        <f>IF(B1371="","",IF('02_대상물건입력'!B6="",1,IF(ISNUMBER(SEARCH('02_대상물건입력'!B6,B1371)),1,0)))</f>
        <v/>
      </c>
      <c r="P1371" s="152">
        <f>IF(L1371="","",IF('02_대상물건입력'!B15="",0,IF(ISNUMBER(SEARCH('02_대상물건입력'!B15,L1371)),1,0)))</f>
        <v/>
      </c>
      <c r="Q1371" s="152">
        <f>IF(OR(C1371="",L1371=""),0,IF(AND(TRIM(C1371)=TRIM(RIGHT(SUBSTITUTE(TRIM('02_대상물건입력'!$B$7)," ",REPT(" ",99)),99)),IF('02_대상물건입력'!B15="",TRUE(),ISNUMBER(SEARCH('02_대상물건입력'!B15,L1371)))),1,0))</f>
        <v/>
      </c>
      <c r="R1371" s="175">
        <f>IFERROR(ABS(E1371-'02_대상물건입력'!B11)/'02_대상물건입력'!B11,"")</f>
        <v/>
      </c>
      <c r="S1371" s="152">
        <f>IFERROR(ABS(J1371-'02_대상물건입력'!B10),"")</f>
        <v/>
      </c>
      <c r="T1371" s="152">
        <f>IFERROR(ABS('01_설정'!B4-F1371),"")</f>
        <v/>
      </c>
      <c r="U1371" s="152">
        <f>IFERROR(ABS(K1371-YEAR('02_대상물건입력'!B14)),"")</f>
        <v/>
      </c>
      <c r="V1371" s="152">
        <f>IF(B1371="","",IF(AND(E1371&gt;0,F1371&gt;0,H1371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1371=1,TRUE()),R1371&lt;='01_설정'!B5,S1371&lt;='01_설정'!B6,T1371&lt;='01_설정'!B7,U1371&lt;='01_설정'!B8),"Y",""))</f>
        <v/>
      </c>
      <c r="W1371" s="172">
        <f>IF(V1371&lt;&gt;"Y","",MAX(0,(1-R1371/'01_설정'!B5))*'01_설정'!B14+MAX(0,(1-S1371/'01_설정'!B6))*'01_설정'!B15+MAX(0,(1-T1371/'01_설정'!B7))*'01_설정'!B16+MAX(0,(1-U1371/'01_설정'!B8))*'01_설정'!B17+O1371*'01_설정'!B11+Q1371*'01_설정'!B12+P1371*'01_설정'!B13+IF(Z1371="",0,Z1371))</f>
        <v/>
      </c>
      <c r="X1371" s="152">
        <f>IF(W1371="","",1+COUNTIFS($W$4:$W$3003,"&gt;"&amp;W1371)+COUNTIFS($W$4:W1371,W1371)-1)</f>
        <v/>
      </c>
      <c r="Y1371" s="175">
        <f>IF(OR(I1371="",'02_대상물건입력'!B19="",'02_대상물건입력'!B19&lt;=0),"",ABS(I1371-'02_대상물건입력'!B19)/'02_대상물건입력'!B19)</f>
        <v/>
      </c>
      <c r="Z1371" s="172">
        <f>IF(OR(Y1371="",'01_설정'!B31="",'01_설정'!B31&lt;=0,'01_설정'!B32="",'01_설정'!B32&lt;=0),"",MAX(0,(1-Y1371/'01_설정'!B32))*'01_설정'!B31)</f>
        <v/>
      </c>
    </row>
    <row r="1372" ht="17.25" customHeight="1">
      <c r="A1372" s="152">
        <f>IF(INDEX('04A_국토부원자료'!$A:$A,ROW()+1)="","",ROW()-3)</f>
        <v/>
      </c>
      <c r="B1372" s="48">
        <f>IFERROR(INDEX('04A_국토부원자료'!$A:$T,ROW()+1,MATCH("시군구",'04A_국토부원자료'!$A$4:$T$4,0)),"")</f>
        <v/>
      </c>
      <c r="C1372" s="48">
        <f>IF(B1372="","",IFERROR(INDEX('04A_국토부원자료'!$A:$T,ROW()+1,MATCH("번지",'04A_국토부원자료'!$A$4:$T$4,0)),""))</f>
        <v/>
      </c>
      <c r="D1372" s="48">
        <f>IF(B1372="","",IF(Q1372=1,'02_대상물건입력'!$B$8,IFERROR(INDEX('04A_국토부원자료'!$A:$T,ROW()+1,MATCH("단지명",'04A_국토부원자료'!$A$4:$T$4,0)),"")))</f>
        <v/>
      </c>
      <c r="E1372" s="172">
        <f>IFERROR(VALUE(SUBSTITUTE(INDEX('04A_국토부원자료'!$A:$T,ROW()+1,MATCH("전용면적(㎡)",'04A_국토부원자료'!$A$4:$T$4,0)),",","")),"")</f>
        <v/>
      </c>
      <c r="F13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72" s="51">
        <f>IFERROR(VALUE(SUBSTITUTE(INDEX('04A_국토부원자료'!$A:$T,ROW()+1,MATCH("거래금액(만원)",'04A_국토부원자료'!$A$4:$T$4,0)),",","")),"")</f>
        <v/>
      </c>
      <c r="H1372" s="174">
        <f>IF(G1372="","",G1372*10000)</f>
        <v/>
      </c>
      <c r="I1372" s="174">
        <f>IFERROR(IF(AND(H1372&gt;0,E1372&gt;0),H1372/E1372,""),"")</f>
        <v/>
      </c>
      <c r="J1372" s="152">
        <f>IFERROR(VALUE(SUBSTITUTE(INDEX('04A_국토부원자료'!$A:$T,ROW()+1,MATCH("층",'04A_국토부원자료'!$A$4:$T$4,0)),",","")),"")</f>
        <v/>
      </c>
      <c r="K1372" s="152">
        <f>IFERROR(VALUE(SUBSTITUTE(INDEX('04A_국토부원자료'!$A:$T,ROW()+1,MATCH("건축년도",'04A_국토부원자료'!$A$4:$T$4,0)),",","")),"")</f>
        <v/>
      </c>
      <c r="L1372" s="176">
        <f>IFERROR(INDEX('04A_국토부원자료'!$A:$T,ROW()+1,MATCH("도로명",'04A_국토부원자료'!$A$4:$T$4,0)),"")</f>
        <v/>
      </c>
      <c r="M1372" s="48">
        <f>IFERROR(INDEX('04A_국토부원자료'!$A:$T,ROW()+1,MATCH("거래유형",'04A_국토부원자료'!$A$4:$T$4,0)),"")</f>
        <v/>
      </c>
      <c r="N1372" s="152">
        <f>IF(B1372="","",IF('02_대상물건입력'!B5="",1,IF(ISNUMBER(SEARCH('02_대상물건입력'!B5,B1372)),1,0)))</f>
        <v/>
      </c>
      <c r="O1372" s="152">
        <f>IF(B1372="","",IF('02_대상물건입력'!B6="",1,IF(ISNUMBER(SEARCH('02_대상물건입력'!B6,B1372)),1,0)))</f>
        <v/>
      </c>
      <c r="P1372" s="152">
        <f>IF(L1372="","",IF('02_대상물건입력'!B15="",0,IF(ISNUMBER(SEARCH('02_대상물건입력'!B15,L1372)),1,0)))</f>
        <v/>
      </c>
      <c r="Q1372" s="152">
        <f>IF(OR(C1372="",L1372=""),0,IF(AND(TRIM(C1372)=TRIM(RIGHT(SUBSTITUTE(TRIM('02_대상물건입력'!$B$7)," ",REPT(" ",99)),99)),IF('02_대상물건입력'!B15="",TRUE(),ISNUMBER(SEARCH('02_대상물건입력'!B15,L1372)))),1,0))</f>
        <v/>
      </c>
      <c r="R1372" s="175">
        <f>IFERROR(ABS(E1372-'02_대상물건입력'!B11)/'02_대상물건입력'!B11,"")</f>
        <v/>
      </c>
      <c r="S1372" s="152">
        <f>IFERROR(ABS(J1372-'02_대상물건입력'!B10),"")</f>
        <v/>
      </c>
      <c r="T1372" s="152">
        <f>IFERROR(ABS('01_설정'!B4-F1372),"")</f>
        <v/>
      </c>
      <c r="U1372" s="152">
        <f>IFERROR(ABS(K1372-YEAR('02_대상물건입력'!B14)),"")</f>
        <v/>
      </c>
      <c r="V1372" s="152">
        <f>IF(B1372="","",IF(AND(E1372&gt;0,F1372&gt;0,H1372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1372=1,TRUE()),R1372&lt;='01_설정'!B5,S1372&lt;='01_설정'!B6,T1372&lt;='01_설정'!B7,U1372&lt;='01_설정'!B8),"Y",""))</f>
        <v/>
      </c>
      <c r="W1372" s="172">
        <f>IF(V1372&lt;&gt;"Y","",MAX(0,(1-R1372/'01_설정'!B5))*'01_설정'!B14+MAX(0,(1-S1372/'01_설정'!B6))*'01_설정'!B15+MAX(0,(1-T1372/'01_설정'!B7))*'01_설정'!B16+MAX(0,(1-U1372/'01_설정'!B8))*'01_설정'!B17+O1372*'01_설정'!B11+Q1372*'01_설정'!B12+P1372*'01_설정'!B13+IF(Z1372="",0,Z1372))</f>
        <v/>
      </c>
      <c r="X1372" s="152">
        <f>IF(W1372="","",1+COUNTIFS($W$4:$W$3003,"&gt;"&amp;W1372)+COUNTIFS($W$4:W1372,W1372)-1)</f>
        <v/>
      </c>
      <c r="Y1372" s="175">
        <f>IF(OR(I1372="",'02_대상물건입력'!B19="",'02_대상물건입력'!B19&lt;=0),"",ABS(I1372-'02_대상물건입력'!B19)/'02_대상물건입력'!B19)</f>
        <v/>
      </c>
      <c r="Z1372" s="172">
        <f>IF(OR(Y1372="",'01_설정'!B31="",'01_설정'!B31&lt;=0,'01_설정'!B32="",'01_설정'!B32&lt;=0),"",MAX(0,(1-Y1372/'01_설정'!B32))*'01_설정'!B31)</f>
        <v/>
      </c>
    </row>
    <row r="1373" ht="17.25" customHeight="1">
      <c r="A1373" s="152">
        <f>IF(INDEX('04A_국토부원자료'!$A:$A,ROW()+1)="","",ROW()-3)</f>
        <v/>
      </c>
      <c r="B1373" s="48">
        <f>IFERROR(INDEX('04A_국토부원자료'!$A:$T,ROW()+1,MATCH("시군구",'04A_국토부원자료'!$A$4:$T$4,0)),"")</f>
        <v/>
      </c>
      <c r="C1373" s="48">
        <f>IF(B1373="","",IFERROR(INDEX('04A_국토부원자료'!$A:$T,ROW()+1,MATCH("번지",'04A_국토부원자료'!$A$4:$T$4,0)),""))</f>
        <v/>
      </c>
      <c r="D1373" s="48">
        <f>IF(B1373="","",IF(Q1373=1,'02_대상물건입력'!$B$8,IFERROR(INDEX('04A_국토부원자료'!$A:$T,ROW()+1,MATCH("단지명",'04A_국토부원자료'!$A$4:$T$4,0)),"")))</f>
        <v/>
      </c>
      <c r="E1373" s="172">
        <f>IFERROR(VALUE(SUBSTITUTE(INDEX('04A_국토부원자료'!$A:$T,ROW()+1,MATCH("전용면적(㎡)",'04A_국토부원자료'!$A$4:$T$4,0)),",","")),"")</f>
        <v/>
      </c>
      <c r="F13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73" s="51">
        <f>IFERROR(VALUE(SUBSTITUTE(INDEX('04A_국토부원자료'!$A:$T,ROW()+1,MATCH("거래금액(만원)",'04A_국토부원자료'!$A$4:$T$4,0)),",","")),"")</f>
        <v/>
      </c>
      <c r="H1373" s="174">
        <f>IF(G1373="","",G1373*10000)</f>
        <v/>
      </c>
      <c r="I1373" s="174">
        <f>IFERROR(IF(AND(H1373&gt;0,E1373&gt;0),H1373/E1373,""),"")</f>
        <v/>
      </c>
      <c r="J1373" s="152">
        <f>IFERROR(VALUE(SUBSTITUTE(INDEX('04A_국토부원자료'!$A:$T,ROW()+1,MATCH("층",'04A_국토부원자료'!$A$4:$T$4,0)),",","")),"")</f>
        <v/>
      </c>
      <c r="K1373" s="152">
        <f>IFERROR(VALUE(SUBSTITUTE(INDEX('04A_국토부원자료'!$A:$T,ROW()+1,MATCH("건축년도",'04A_국토부원자료'!$A$4:$T$4,0)),",","")),"")</f>
        <v/>
      </c>
      <c r="L1373" s="176">
        <f>IFERROR(INDEX('04A_국토부원자료'!$A:$T,ROW()+1,MATCH("도로명",'04A_국토부원자료'!$A$4:$T$4,0)),"")</f>
        <v/>
      </c>
      <c r="M1373" s="48">
        <f>IFERROR(INDEX('04A_국토부원자료'!$A:$T,ROW()+1,MATCH("거래유형",'04A_국토부원자료'!$A$4:$T$4,0)),"")</f>
        <v/>
      </c>
      <c r="N1373" s="152">
        <f>IF(B1373="","",IF('02_대상물건입력'!B5="",1,IF(ISNUMBER(SEARCH('02_대상물건입력'!B5,B1373)),1,0)))</f>
        <v/>
      </c>
      <c r="O1373" s="152">
        <f>IF(B1373="","",IF('02_대상물건입력'!B6="",1,IF(ISNUMBER(SEARCH('02_대상물건입력'!B6,B1373)),1,0)))</f>
        <v/>
      </c>
      <c r="P1373" s="152">
        <f>IF(L1373="","",IF('02_대상물건입력'!B15="",0,IF(ISNUMBER(SEARCH('02_대상물건입력'!B15,L1373)),1,0)))</f>
        <v/>
      </c>
      <c r="Q1373" s="152">
        <f>IF(OR(C1373="",L1373=""),0,IF(AND(TRIM(C1373)=TRIM(RIGHT(SUBSTITUTE(TRIM('02_대상물건입력'!$B$7)," ",REPT(" ",99)),99)),IF('02_대상물건입력'!B15="",TRUE(),ISNUMBER(SEARCH('02_대상물건입력'!B15,L1373)))),1,0))</f>
        <v/>
      </c>
      <c r="R1373" s="175">
        <f>IFERROR(ABS(E1373-'02_대상물건입력'!B11)/'02_대상물건입력'!B11,"")</f>
        <v/>
      </c>
      <c r="S1373" s="152">
        <f>IFERROR(ABS(J1373-'02_대상물건입력'!B10),"")</f>
        <v/>
      </c>
      <c r="T1373" s="152">
        <f>IFERROR(ABS('01_설정'!B4-F1373),"")</f>
        <v/>
      </c>
      <c r="U1373" s="152">
        <f>IFERROR(ABS(K1373-YEAR('02_대상물건입력'!B14)),"")</f>
        <v/>
      </c>
      <c r="V1373" s="152">
        <f>IF(B1373="","",IF(AND(E1373&gt;0,F1373&gt;0,H1373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1373=1,TRUE()),R1373&lt;='01_설정'!B5,S1373&lt;='01_설정'!B6,T1373&lt;='01_설정'!B7,U1373&lt;='01_설정'!B8),"Y",""))</f>
        <v/>
      </c>
      <c r="W1373" s="172">
        <f>IF(V1373&lt;&gt;"Y","",MAX(0,(1-R1373/'01_설정'!B5))*'01_설정'!B14+MAX(0,(1-S1373/'01_설정'!B6))*'01_설정'!B15+MAX(0,(1-T1373/'01_설정'!B7))*'01_설정'!B16+MAX(0,(1-U1373/'01_설정'!B8))*'01_설정'!B17+O1373*'01_설정'!B11+Q1373*'01_설정'!B12+P1373*'01_설정'!B13+IF(Z1373="",0,Z1373))</f>
        <v/>
      </c>
      <c r="X1373" s="152">
        <f>IF(W1373="","",1+COUNTIFS($W$4:$W$3003,"&gt;"&amp;W1373)+COUNTIFS($W$4:W1373,W1373)-1)</f>
        <v/>
      </c>
      <c r="Y1373" s="175">
        <f>IF(OR(I1373="",'02_대상물건입력'!B19="",'02_대상물건입력'!B19&lt;=0),"",ABS(I1373-'02_대상물건입력'!B19)/'02_대상물건입력'!B19)</f>
        <v/>
      </c>
      <c r="Z1373" s="172">
        <f>IF(OR(Y1373="",'01_설정'!B31="",'01_설정'!B31&lt;=0,'01_설정'!B32="",'01_설정'!B32&lt;=0),"",MAX(0,(1-Y1373/'01_설정'!B32))*'01_설정'!B31)</f>
        <v/>
      </c>
    </row>
    <row r="1374" ht="17.25" customHeight="1">
      <c r="A1374" s="152">
        <f>IF(INDEX('04A_국토부원자료'!$A:$A,ROW()+1)="","",ROW()-3)</f>
        <v/>
      </c>
      <c r="B1374" s="48">
        <f>IFERROR(INDEX('04A_국토부원자료'!$A:$T,ROW()+1,MATCH("시군구",'04A_국토부원자료'!$A$4:$T$4,0)),"")</f>
        <v/>
      </c>
      <c r="C1374" s="48">
        <f>IF(B1374="","",IFERROR(INDEX('04A_국토부원자료'!$A:$T,ROW()+1,MATCH("번지",'04A_국토부원자료'!$A$4:$T$4,0)),""))</f>
        <v/>
      </c>
      <c r="D1374" s="48">
        <f>IF(B1374="","",IF(Q1374=1,'02_대상물건입력'!$B$8,IFERROR(INDEX('04A_국토부원자료'!$A:$T,ROW()+1,MATCH("단지명",'04A_국토부원자료'!$A$4:$T$4,0)),"")))</f>
        <v/>
      </c>
      <c r="E1374" s="172">
        <f>IFERROR(VALUE(SUBSTITUTE(INDEX('04A_국토부원자료'!$A:$T,ROW()+1,MATCH("전용면적(㎡)",'04A_국토부원자료'!$A$4:$T$4,0)),",","")),"")</f>
        <v/>
      </c>
      <c r="F13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74" s="51">
        <f>IFERROR(VALUE(SUBSTITUTE(INDEX('04A_국토부원자료'!$A:$T,ROW()+1,MATCH("거래금액(만원)",'04A_국토부원자료'!$A$4:$T$4,0)),",","")),"")</f>
        <v/>
      </c>
      <c r="H1374" s="174">
        <f>IF(G1374="","",G1374*10000)</f>
        <v/>
      </c>
      <c r="I1374" s="174">
        <f>IFERROR(IF(AND(H1374&gt;0,E1374&gt;0),H1374/E1374,""),"")</f>
        <v/>
      </c>
      <c r="J1374" s="152">
        <f>IFERROR(VALUE(SUBSTITUTE(INDEX('04A_국토부원자료'!$A:$T,ROW()+1,MATCH("층",'04A_국토부원자료'!$A$4:$T$4,0)),",","")),"")</f>
        <v/>
      </c>
      <c r="K1374" s="152">
        <f>IFERROR(VALUE(SUBSTITUTE(INDEX('04A_국토부원자료'!$A:$T,ROW()+1,MATCH("건축년도",'04A_국토부원자료'!$A$4:$T$4,0)),",","")),"")</f>
        <v/>
      </c>
      <c r="L1374" s="176">
        <f>IFERROR(INDEX('04A_국토부원자료'!$A:$T,ROW()+1,MATCH("도로명",'04A_국토부원자료'!$A$4:$T$4,0)),"")</f>
        <v/>
      </c>
      <c r="M1374" s="48">
        <f>IFERROR(INDEX('04A_국토부원자료'!$A:$T,ROW()+1,MATCH("거래유형",'04A_국토부원자료'!$A$4:$T$4,0)),"")</f>
        <v/>
      </c>
      <c r="N1374" s="152">
        <f>IF(B1374="","",IF('02_대상물건입력'!B5="",1,IF(ISNUMBER(SEARCH('02_대상물건입력'!B5,B1374)),1,0)))</f>
        <v/>
      </c>
      <c r="O1374" s="152">
        <f>IF(B1374="","",IF('02_대상물건입력'!B6="",1,IF(ISNUMBER(SEARCH('02_대상물건입력'!B6,B1374)),1,0)))</f>
        <v/>
      </c>
      <c r="P1374" s="152">
        <f>IF(L1374="","",IF('02_대상물건입력'!B15="",0,IF(ISNUMBER(SEARCH('02_대상물건입력'!B15,L1374)),1,0)))</f>
        <v/>
      </c>
      <c r="Q1374" s="152">
        <f>IF(OR(C1374="",L1374=""),0,IF(AND(TRIM(C1374)=TRIM(RIGHT(SUBSTITUTE(TRIM('02_대상물건입력'!$B$7)," ",REPT(" ",99)),99)),IF('02_대상물건입력'!B15="",TRUE(),ISNUMBER(SEARCH('02_대상물건입력'!B15,L1374)))),1,0))</f>
        <v/>
      </c>
      <c r="R1374" s="175">
        <f>IFERROR(ABS(E1374-'02_대상물건입력'!B11)/'02_대상물건입력'!B11,"")</f>
        <v/>
      </c>
      <c r="S1374" s="152">
        <f>IFERROR(ABS(J1374-'02_대상물건입력'!B10),"")</f>
        <v/>
      </c>
      <c r="T1374" s="152">
        <f>IFERROR(ABS('01_설정'!B4-F1374),"")</f>
        <v/>
      </c>
      <c r="U1374" s="152">
        <f>IFERROR(ABS(K1374-YEAR('02_대상물건입력'!B14)),"")</f>
        <v/>
      </c>
      <c r="V1374" s="152">
        <f>IF(B1374="","",IF(AND(E1374&gt;0,F1374&gt;0,H1374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1374=1,TRUE()),R1374&lt;='01_설정'!B5,S1374&lt;='01_설정'!B6,T1374&lt;='01_설정'!B7,U1374&lt;='01_설정'!B8),"Y",""))</f>
        <v/>
      </c>
      <c r="W1374" s="172">
        <f>IF(V1374&lt;&gt;"Y","",MAX(0,(1-R1374/'01_설정'!B5))*'01_설정'!B14+MAX(0,(1-S1374/'01_설정'!B6))*'01_설정'!B15+MAX(0,(1-T1374/'01_설정'!B7))*'01_설정'!B16+MAX(0,(1-U1374/'01_설정'!B8))*'01_설정'!B17+O1374*'01_설정'!B11+Q1374*'01_설정'!B12+P1374*'01_설정'!B13+IF(Z1374="",0,Z1374))</f>
        <v/>
      </c>
      <c r="X1374" s="152">
        <f>IF(W1374="","",1+COUNTIFS($W$4:$W$3003,"&gt;"&amp;W1374)+COUNTIFS($W$4:W1374,W1374)-1)</f>
        <v/>
      </c>
      <c r="Y1374" s="175">
        <f>IF(OR(I1374="",'02_대상물건입력'!B19="",'02_대상물건입력'!B19&lt;=0),"",ABS(I1374-'02_대상물건입력'!B19)/'02_대상물건입력'!B19)</f>
        <v/>
      </c>
      <c r="Z1374" s="172">
        <f>IF(OR(Y1374="",'01_설정'!B31="",'01_설정'!B31&lt;=0,'01_설정'!B32="",'01_설정'!B32&lt;=0),"",MAX(0,(1-Y1374/'01_설정'!B32))*'01_설정'!B31)</f>
        <v/>
      </c>
    </row>
    <row r="1375" ht="17.25" customHeight="1">
      <c r="A1375" s="152">
        <f>IF(INDEX('04A_국토부원자료'!$A:$A,ROW()+1)="","",ROW()-3)</f>
        <v/>
      </c>
      <c r="B1375" s="48">
        <f>IFERROR(INDEX('04A_국토부원자료'!$A:$T,ROW()+1,MATCH("시군구",'04A_국토부원자료'!$A$4:$T$4,0)),"")</f>
        <v/>
      </c>
      <c r="C1375" s="48">
        <f>IF(B1375="","",IFERROR(INDEX('04A_국토부원자료'!$A:$T,ROW()+1,MATCH("번지",'04A_국토부원자료'!$A$4:$T$4,0)),""))</f>
        <v/>
      </c>
      <c r="D1375" s="48">
        <f>IF(B1375="","",IF(Q1375=1,'02_대상물건입력'!$B$8,IFERROR(INDEX('04A_국토부원자료'!$A:$T,ROW()+1,MATCH("단지명",'04A_국토부원자료'!$A$4:$T$4,0)),"")))</f>
        <v/>
      </c>
      <c r="E1375" s="172">
        <f>IFERROR(VALUE(SUBSTITUTE(INDEX('04A_국토부원자료'!$A:$T,ROW()+1,MATCH("전용면적(㎡)",'04A_국토부원자료'!$A$4:$T$4,0)),",","")),"")</f>
        <v/>
      </c>
      <c r="F13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75" s="51">
        <f>IFERROR(VALUE(SUBSTITUTE(INDEX('04A_국토부원자료'!$A:$T,ROW()+1,MATCH("거래금액(만원)",'04A_국토부원자료'!$A$4:$T$4,0)),",","")),"")</f>
        <v/>
      </c>
      <c r="H1375" s="174">
        <f>IF(G1375="","",G1375*10000)</f>
        <v/>
      </c>
      <c r="I1375" s="174">
        <f>IFERROR(IF(AND(H1375&gt;0,E1375&gt;0),H1375/E1375,""),"")</f>
        <v/>
      </c>
      <c r="J1375" s="152">
        <f>IFERROR(VALUE(SUBSTITUTE(INDEX('04A_국토부원자료'!$A:$T,ROW()+1,MATCH("층",'04A_국토부원자료'!$A$4:$T$4,0)),",","")),"")</f>
        <v/>
      </c>
      <c r="K1375" s="152">
        <f>IFERROR(VALUE(SUBSTITUTE(INDEX('04A_국토부원자료'!$A:$T,ROW()+1,MATCH("건축년도",'04A_국토부원자료'!$A$4:$T$4,0)),",","")),"")</f>
        <v/>
      </c>
      <c r="L1375" s="176">
        <f>IFERROR(INDEX('04A_국토부원자료'!$A:$T,ROW()+1,MATCH("도로명",'04A_국토부원자료'!$A$4:$T$4,0)),"")</f>
        <v/>
      </c>
      <c r="M1375" s="48">
        <f>IFERROR(INDEX('04A_국토부원자료'!$A:$T,ROW()+1,MATCH("거래유형",'04A_국토부원자료'!$A$4:$T$4,0)),"")</f>
        <v/>
      </c>
      <c r="N1375" s="152">
        <f>IF(B1375="","",IF('02_대상물건입력'!B5="",1,IF(ISNUMBER(SEARCH('02_대상물건입력'!B5,B1375)),1,0)))</f>
        <v/>
      </c>
      <c r="O1375" s="152">
        <f>IF(B1375="","",IF('02_대상물건입력'!B6="",1,IF(ISNUMBER(SEARCH('02_대상물건입력'!B6,B1375)),1,0)))</f>
        <v/>
      </c>
      <c r="P1375" s="152">
        <f>IF(L1375="","",IF('02_대상물건입력'!B15="",0,IF(ISNUMBER(SEARCH('02_대상물건입력'!B15,L1375)),1,0)))</f>
        <v/>
      </c>
      <c r="Q1375" s="152">
        <f>IF(OR(C1375="",L1375=""),0,IF(AND(TRIM(C1375)=TRIM(RIGHT(SUBSTITUTE(TRIM('02_대상물건입력'!$B$7)," ",REPT(" ",99)),99)),IF('02_대상물건입력'!B15="",TRUE(),ISNUMBER(SEARCH('02_대상물건입력'!B15,L1375)))),1,0))</f>
        <v/>
      </c>
      <c r="R1375" s="175">
        <f>IFERROR(ABS(E1375-'02_대상물건입력'!B11)/'02_대상물건입력'!B11,"")</f>
        <v/>
      </c>
      <c r="S1375" s="152">
        <f>IFERROR(ABS(J1375-'02_대상물건입력'!B10),"")</f>
        <v/>
      </c>
      <c r="T1375" s="152">
        <f>IFERROR(ABS('01_설정'!B4-F1375),"")</f>
        <v/>
      </c>
      <c r="U1375" s="152">
        <f>IFERROR(ABS(K1375-YEAR('02_대상물건입력'!B14)),"")</f>
        <v/>
      </c>
      <c r="V1375" s="152">
        <f>IF(B1375="","",IF(AND(E1375&gt;0,F1375&gt;0,H1375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1375=1,TRUE()),R1375&lt;='01_설정'!B5,S1375&lt;='01_설정'!B6,T1375&lt;='01_설정'!B7,U1375&lt;='01_설정'!B8),"Y",""))</f>
        <v/>
      </c>
      <c r="W1375" s="172">
        <f>IF(V1375&lt;&gt;"Y","",MAX(0,(1-R1375/'01_설정'!B5))*'01_설정'!B14+MAX(0,(1-S1375/'01_설정'!B6))*'01_설정'!B15+MAX(0,(1-T1375/'01_설정'!B7))*'01_설정'!B16+MAX(0,(1-U1375/'01_설정'!B8))*'01_설정'!B17+O1375*'01_설정'!B11+Q1375*'01_설정'!B12+P1375*'01_설정'!B13+IF(Z1375="",0,Z1375))</f>
        <v/>
      </c>
      <c r="X1375" s="152">
        <f>IF(W1375="","",1+COUNTIFS($W$4:$W$3003,"&gt;"&amp;W1375)+COUNTIFS($W$4:W1375,W1375)-1)</f>
        <v/>
      </c>
      <c r="Y1375" s="175">
        <f>IF(OR(I1375="",'02_대상물건입력'!B19="",'02_대상물건입력'!B19&lt;=0),"",ABS(I1375-'02_대상물건입력'!B19)/'02_대상물건입력'!B19)</f>
        <v/>
      </c>
      <c r="Z1375" s="172">
        <f>IF(OR(Y1375="",'01_설정'!B31="",'01_설정'!B31&lt;=0,'01_설정'!B32="",'01_설정'!B32&lt;=0),"",MAX(0,(1-Y1375/'01_설정'!B32))*'01_설정'!B31)</f>
        <v/>
      </c>
    </row>
    <row r="1376" ht="17.25" customHeight="1">
      <c r="A1376" s="152">
        <f>IF(INDEX('04A_국토부원자료'!$A:$A,ROW()+1)="","",ROW()-3)</f>
        <v/>
      </c>
      <c r="B1376" s="48">
        <f>IFERROR(INDEX('04A_국토부원자료'!$A:$T,ROW()+1,MATCH("시군구",'04A_국토부원자료'!$A$4:$T$4,0)),"")</f>
        <v/>
      </c>
      <c r="C1376" s="48">
        <f>IF(B1376="","",IFERROR(INDEX('04A_국토부원자료'!$A:$T,ROW()+1,MATCH("번지",'04A_국토부원자료'!$A$4:$T$4,0)),""))</f>
        <v/>
      </c>
      <c r="D1376" s="48">
        <f>IF(B1376="","",IF(Q1376=1,'02_대상물건입력'!$B$8,IFERROR(INDEX('04A_국토부원자료'!$A:$T,ROW()+1,MATCH("단지명",'04A_국토부원자료'!$A$4:$T$4,0)),"")))</f>
        <v/>
      </c>
      <c r="E1376" s="172">
        <f>IFERROR(VALUE(SUBSTITUTE(INDEX('04A_국토부원자료'!$A:$T,ROW()+1,MATCH("전용면적(㎡)",'04A_국토부원자료'!$A$4:$T$4,0)),",","")),"")</f>
        <v/>
      </c>
      <c r="F13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76" s="51">
        <f>IFERROR(VALUE(SUBSTITUTE(INDEX('04A_국토부원자료'!$A:$T,ROW()+1,MATCH("거래금액(만원)",'04A_국토부원자료'!$A$4:$T$4,0)),",","")),"")</f>
        <v/>
      </c>
      <c r="H1376" s="174">
        <f>IF(G1376="","",G1376*10000)</f>
        <v/>
      </c>
      <c r="I1376" s="174">
        <f>IFERROR(IF(AND(H1376&gt;0,E1376&gt;0),H1376/E1376,""),"")</f>
        <v/>
      </c>
      <c r="J1376" s="152">
        <f>IFERROR(VALUE(SUBSTITUTE(INDEX('04A_국토부원자료'!$A:$T,ROW()+1,MATCH("층",'04A_국토부원자료'!$A$4:$T$4,0)),",","")),"")</f>
        <v/>
      </c>
      <c r="K1376" s="152">
        <f>IFERROR(VALUE(SUBSTITUTE(INDEX('04A_국토부원자료'!$A:$T,ROW()+1,MATCH("건축년도",'04A_국토부원자료'!$A$4:$T$4,0)),",","")),"")</f>
        <v/>
      </c>
      <c r="L1376" s="176">
        <f>IFERROR(INDEX('04A_국토부원자료'!$A:$T,ROW()+1,MATCH("도로명",'04A_국토부원자료'!$A$4:$T$4,0)),"")</f>
        <v/>
      </c>
      <c r="M1376" s="48">
        <f>IFERROR(INDEX('04A_국토부원자료'!$A:$T,ROW()+1,MATCH("거래유형",'04A_국토부원자료'!$A$4:$T$4,0)),"")</f>
        <v/>
      </c>
      <c r="N1376" s="152">
        <f>IF(B1376="","",IF('02_대상물건입력'!B5="",1,IF(ISNUMBER(SEARCH('02_대상물건입력'!B5,B1376)),1,0)))</f>
        <v/>
      </c>
      <c r="O1376" s="152">
        <f>IF(B1376="","",IF('02_대상물건입력'!B6="",1,IF(ISNUMBER(SEARCH('02_대상물건입력'!B6,B1376)),1,0)))</f>
        <v/>
      </c>
      <c r="P1376" s="152">
        <f>IF(L1376="","",IF('02_대상물건입력'!B15="",0,IF(ISNUMBER(SEARCH('02_대상물건입력'!B15,L1376)),1,0)))</f>
        <v/>
      </c>
      <c r="Q1376" s="152">
        <f>IF(OR(C1376="",L1376=""),0,IF(AND(TRIM(C1376)=TRIM(RIGHT(SUBSTITUTE(TRIM('02_대상물건입력'!$B$7)," ",REPT(" ",99)),99)),IF('02_대상물건입력'!B15="",TRUE(),ISNUMBER(SEARCH('02_대상물건입력'!B15,L1376)))),1,0))</f>
        <v/>
      </c>
      <c r="R1376" s="175">
        <f>IFERROR(ABS(E1376-'02_대상물건입력'!B11)/'02_대상물건입력'!B11,"")</f>
        <v/>
      </c>
      <c r="S1376" s="152">
        <f>IFERROR(ABS(J1376-'02_대상물건입력'!B10),"")</f>
        <v/>
      </c>
      <c r="T1376" s="152">
        <f>IFERROR(ABS('01_설정'!B4-F1376),"")</f>
        <v/>
      </c>
      <c r="U1376" s="152">
        <f>IFERROR(ABS(K1376-YEAR('02_대상물건입력'!B14)),"")</f>
        <v/>
      </c>
      <c r="V1376" s="152">
        <f>IF(B1376="","",IF(AND(E1376&gt;0,F1376&gt;0,H1376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1376=1,TRUE()),R1376&lt;='01_설정'!B5,S1376&lt;='01_설정'!B6,T1376&lt;='01_설정'!B7,U1376&lt;='01_설정'!B8),"Y",""))</f>
        <v/>
      </c>
      <c r="W1376" s="172">
        <f>IF(V1376&lt;&gt;"Y","",MAX(0,(1-R1376/'01_설정'!B5))*'01_설정'!B14+MAX(0,(1-S1376/'01_설정'!B6))*'01_설정'!B15+MAX(0,(1-T1376/'01_설정'!B7))*'01_설정'!B16+MAX(0,(1-U1376/'01_설정'!B8))*'01_설정'!B17+O1376*'01_설정'!B11+Q1376*'01_설정'!B12+P1376*'01_설정'!B13+IF(Z1376="",0,Z1376))</f>
        <v/>
      </c>
      <c r="X1376" s="152">
        <f>IF(W1376="","",1+COUNTIFS($W$4:$W$3003,"&gt;"&amp;W1376)+COUNTIFS($W$4:W1376,W1376)-1)</f>
        <v/>
      </c>
      <c r="Y1376" s="175">
        <f>IF(OR(I1376="",'02_대상물건입력'!B19="",'02_대상물건입력'!B19&lt;=0),"",ABS(I1376-'02_대상물건입력'!B19)/'02_대상물건입력'!B19)</f>
        <v/>
      </c>
      <c r="Z1376" s="172">
        <f>IF(OR(Y1376="",'01_설정'!B31="",'01_설정'!B31&lt;=0,'01_설정'!B32="",'01_설정'!B32&lt;=0),"",MAX(0,(1-Y1376/'01_설정'!B32))*'01_설정'!B31)</f>
        <v/>
      </c>
    </row>
    <row r="1377" ht="17.25" customHeight="1">
      <c r="A1377" s="152">
        <f>IF(INDEX('04A_국토부원자료'!$A:$A,ROW()+1)="","",ROW()-3)</f>
        <v/>
      </c>
      <c r="B1377" s="48">
        <f>IFERROR(INDEX('04A_국토부원자료'!$A:$T,ROW()+1,MATCH("시군구",'04A_국토부원자료'!$A$4:$T$4,0)),"")</f>
        <v/>
      </c>
      <c r="C1377" s="48">
        <f>IF(B1377="","",IFERROR(INDEX('04A_국토부원자료'!$A:$T,ROW()+1,MATCH("번지",'04A_국토부원자료'!$A$4:$T$4,0)),""))</f>
        <v/>
      </c>
      <c r="D1377" s="48">
        <f>IF(B1377="","",IF(Q1377=1,'02_대상물건입력'!$B$8,IFERROR(INDEX('04A_국토부원자료'!$A:$T,ROW()+1,MATCH("단지명",'04A_국토부원자료'!$A$4:$T$4,0)),"")))</f>
        <v/>
      </c>
      <c r="E1377" s="172">
        <f>IFERROR(VALUE(SUBSTITUTE(INDEX('04A_국토부원자료'!$A:$T,ROW()+1,MATCH("전용면적(㎡)",'04A_국토부원자료'!$A$4:$T$4,0)),",","")),"")</f>
        <v/>
      </c>
      <c r="F13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77" s="51">
        <f>IFERROR(VALUE(SUBSTITUTE(INDEX('04A_국토부원자료'!$A:$T,ROW()+1,MATCH("거래금액(만원)",'04A_국토부원자료'!$A$4:$T$4,0)),",","")),"")</f>
        <v/>
      </c>
      <c r="H1377" s="174">
        <f>IF(G1377="","",G1377*10000)</f>
        <v/>
      </c>
      <c r="I1377" s="174">
        <f>IFERROR(IF(AND(H1377&gt;0,E1377&gt;0),H1377/E1377,""),"")</f>
        <v/>
      </c>
      <c r="J1377" s="152">
        <f>IFERROR(VALUE(SUBSTITUTE(INDEX('04A_국토부원자료'!$A:$T,ROW()+1,MATCH("층",'04A_국토부원자료'!$A$4:$T$4,0)),",","")),"")</f>
        <v/>
      </c>
      <c r="K1377" s="152">
        <f>IFERROR(VALUE(SUBSTITUTE(INDEX('04A_국토부원자료'!$A:$T,ROW()+1,MATCH("건축년도",'04A_국토부원자료'!$A$4:$T$4,0)),",","")),"")</f>
        <v/>
      </c>
      <c r="L1377" s="176">
        <f>IFERROR(INDEX('04A_국토부원자료'!$A:$T,ROW()+1,MATCH("도로명",'04A_국토부원자료'!$A$4:$T$4,0)),"")</f>
        <v/>
      </c>
      <c r="M1377" s="48">
        <f>IFERROR(INDEX('04A_국토부원자료'!$A:$T,ROW()+1,MATCH("거래유형",'04A_국토부원자료'!$A$4:$T$4,0)),"")</f>
        <v/>
      </c>
      <c r="N1377" s="152">
        <f>IF(B1377="","",IF('02_대상물건입력'!B5="",1,IF(ISNUMBER(SEARCH('02_대상물건입력'!B5,B1377)),1,0)))</f>
        <v/>
      </c>
      <c r="O1377" s="152">
        <f>IF(B1377="","",IF('02_대상물건입력'!B6="",1,IF(ISNUMBER(SEARCH('02_대상물건입력'!B6,B1377)),1,0)))</f>
        <v/>
      </c>
      <c r="P1377" s="152">
        <f>IF(L1377="","",IF('02_대상물건입력'!B15="",0,IF(ISNUMBER(SEARCH('02_대상물건입력'!B15,L1377)),1,0)))</f>
        <v/>
      </c>
      <c r="Q1377" s="152">
        <f>IF(OR(C1377="",L1377=""),0,IF(AND(TRIM(C1377)=TRIM(RIGHT(SUBSTITUTE(TRIM('02_대상물건입력'!$B$7)," ",REPT(" ",99)),99)),IF('02_대상물건입력'!B15="",TRUE(),ISNUMBER(SEARCH('02_대상물건입력'!B15,L1377)))),1,0))</f>
        <v/>
      </c>
      <c r="R1377" s="175">
        <f>IFERROR(ABS(E1377-'02_대상물건입력'!B11)/'02_대상물건입력'!B11,"")</f>
        <v/>
      </c>
      <c r="S1377" s="152">
        <f>IFERROR(ABS(J1377-'02_대상물건입력'!B10),"")</f>
        <v/>
      </c>
      <c r="T1377" s="152">
        <f>IFERROR(ABS('01_설정'!B4-F1377),"")</f>
        <v/>
      </c>
      <c r="U1377" s="152">
        <f>IFERROR(ABS(K1377-YEAR('02_대상물건입력'!B14)),"")</f>
        <v/>
      </c>
      <c r="V1377" s="152">
        <f>IF(B1377="","",IF(AND(E1377&gt;0,F1377&gt;0,H1377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1377=1,TRUE()),R1377&lt;='01_설정'!B5,S1377&lt;='01_설정'!B6,T1377&lt;='01_설정'!B7,U1377&lt;='01_설정'!B8),"Y",""))</f>
        <v/>
      </c>
      <c r="W1377" s="172">
        <f>IF(V1377&lt;&gt;"Y","",MAX(0,(1-R1377/'01_설정'!B5))*'01_설정'!B14+MAX(0,(1-S1377/'01_설정'!B6))*'01_설정'!B15+MAX(0,(1-T1377/'01_설정'!B7))*'01_설정'!B16+MAX(0,(1-U1377/'01_설정'!B8))*'01_설정'!B17+O1377*'01_설정'!B11+Q1377*'01_설정'!B12+P1377*'01_설정'!B13+IF(Z1377="",0,Z1377))</f>
        <v/>
      </c>
      <c r="X1377" s="152">
        <f>IF(W1377="","",1+COUNTIFS($W$4:$W$3003,"&gt;"&amp;W1377)+COUNTIFS($W$4:W1377,W1377)-1)</f>
        <v/>
      </c>
      <c r="Y1377" s="175">
        <f>IF(OR(I1377="",'02_대상물건입력'!B19="",'02_대상물건입력'!B19&lt;=0),"",ABS(I1377-'02_대상물건입력'!B19)/'02_대상물건입력'!B19)</f>
        <v/>
      </c>
      <c r="Z1377" s="172">
        <f>IF(OR(Y1377="",'01_설정'!B31="",'01_설정'!B31&lt;=0,'01_설정'!B32="",'01_설정'!B32&lt;=0),"",MAX(0,(1-Y1377/'01_설정'!B32))*'01_설정'!B31)</f>
        <v/>
      </c>
    </row>
    <row r="1378" ht="17.25" customHeight="1">
      <c r="A1378" s="152">
        <f>IF(INDEX('04A_국토부원자료'!$A:$A,ROW()+1)="","",ROW()-3)</f>
        <v/>
      </c>
      <c r="B1378" s="48">
        <f>IFERROR(INDEX('04A_국토부원자료'!$A:$T,ROW()+1,MATCH("시군구",'04A_국토부원자료'!$A$4:$T$4,0)),"")</f>
        <v/>
      </c>
      <c r="C1378" s="48">
        <f>IF(B1378="","",IFERROR(INDEX('04A_국토부원자료'!$A:$T,ROW()+1,MATCH("번지",'04A_국토부원자료'!$A$4:$T$4,0)),""))</f>
        <v/>
      </c>
      <c r="D1378" s="48">
        <f>IF(B1378="","",IF(Q1378=1,'02_대상물건입력'!$B$8,IFERROR(INDEX('04A_국토부원자료'!$A:$T,ROW()+1,MATCH("단지명",'04A_국토부원자료'!$A$4:$T$4,0)),"")))</f>
        <v/>
      </c>
      <c r="E1378" s="172">
        <f>IFERROR(VALUE(SUBSTITUTE(INDEX('04A_국토부원자료'!$A:$T,ROW()+1,MATCH("전용면적(㎡)",'04A_국토부원자료'!$A$4:$T$4,0)),",","")),"")</f>
        <v/>
      </c>
      <c r="F13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78" s="51">
        <f>IFERROR(VALUE(SUBSTITUTE(INDEX('04A_국토부원자료'!$A:$T,ROW()+1,MATCH("거래금액(만원)",'04A_국토부원자료'!$A$4:$T$4,0)),",","")),"")</f>
        <v/>
      </c>
      <c r="H1378" s="174">
        <f>IF(G1378="","",G1378*10000)</f>
        <v/>
      </c>
      <c r="I1378" s="174">
        <f>IFERROR(IF(AND(H1378&gt;0,E1378&gt;0),H1378/E1378,""),"")</f>
        <v/>
      </c>
      <c r="J1378" s="152">
        <f>IFERROR(VALUE(SUBSTITUTE(INDEX('04A_국토부원자료'!$A:$T,ROW()+1,MATCH("층",'04A_국토부원자료'!$A$4:$T$4,0)),",","")),"")</f>
        <v/>
      </c>
      <c r="K1378" s="152">
        <f>IFERROR(VALUE(SUBSTITUTE(INDEX('04A_국토부원자료'!$A:$T,ROW()+1,MATCH("건축년도",'04A_국토부원자료'!$A$4:$T$4,0)),",","")),"")</f>
        <v/>
      </c>
      <c r="L1378" s="176">
        <f>IFERROR(INDEX('04A_국토부원자료'!$A:$T,ROW()+1,MATCH("도로명",'04A_국토부원자료'!$A$4:$T$4,0)),"")</f>
        <v/>
      </c>
      <c r="M1378" s="48">
        <f>IFERROR(INDEX('04A_국토부원자료'!$A:$T,ROW()+1,MATCH("거래유형",'04A_국토부원자료'!$A$4:$T$4,0)),"")</f>
        <v/>
      </c>
      <c r="N1378" s="152">
        <f>IF(B1378="","",IF('02_대상물건입력'!B5="",1,IF(ISNUMBER(SEARCH('02_대상물건입력'!B5,B1378)),1,0)))</f>
        <v/>
      </c>
      <c r="O1378" s="152">
        <f>IF(B1378="","",IF('02_대상물건입력'!B6="",1,IF(ISNUMBER(SEARCH('02_대상물건입력'!B6,B1378)),1,0)))</f>
        <v/>
      </c>
      <c r="P1378" s="152">
        <f>IF(L1378="","",IF('02_대상물건입력'!B15="",0,IF(ISNUMBER(SEARCH('02_대상물건입력'!B15,L1378)),1,0)))</f>
        <v/>
      </c>
      <c r="Q1378" s="152">
        <f>IF(OR(C1378="",L1378=""),0,IF(AND(TRIM(C1378)=TRIM(RIGHT(SUBSTITUTE(TRIM('02_대상물건입력'!$B$7)," ",REPT(" ",99)),99)),IF('02_대상물건입력'!B15="",TRUE(),ISNUMBER(SEARCH('02_대상물건입력'!B15,L1378)))),1,0))</f>
        <v/>
      </c>
      <c r="R1378" s="175">
        <f>IFERROR(ABS(E1378-'02_대상물건입력'!B11)/'02_대상물건입력'!B11,"")</f>
        <v/>
      </c>
      <c r="S1378" s="152">
        <f>IFERROR(ABS(J1378-'02_대상물건입력'!B10),"")</f>
        <v/>
      </c>
      <c r="T1378" s="152">
        <f>IFERROR(ABS('01_설정'!B4-F1378),"")</f>
        <v/>
      </c>
      <c r="U1378" s="152">
        <f>IFERROR(ABS(K1378-YEAR('02_대상물건입력'!B14)),"")</f>
        <v/>
      </c>
      <c r="V1378" s="152">
        <f>IF(B1378="","",IF(AND(E1378&gt;0,F1378&gt;0,H1378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1378=1,TRUE()),R1378&lt;='01_설정'!B5,S1378&lt;='01_설정'!B6,T1378&lt;='01_설정'!B7,U1378&lt;='01_설정'!B8),"Y",""))</f>
        <v/>
      </c>
      <c r="W1378" s="172">
        <f>IF(V1378&lt;&gt;"Y","",MAX(0,(1-R1378/'01_설정'!B5))*'01_설정'!B14+MAX(0,(1-S1378/'01_설정'!B6))*'01_설정'!B15+MAX(0,(1-T1378/'01_설정'!B7))*'01_설정'!B16+MAX(0,(1-U1378/'01_설정'!B8))*'01_설정'!B17+O1378*'01_설정'!B11+Q1378*'01_설정'!B12+P1378*'01_설정'!B13+IF(Z1378="",0,Z1378))</f>
        <v/>
      </c>
      <c r="X1378" s="152">
        <f>IF(W1378="","",1+COUNTIFS($W$4:$W$3003,"&gt;"&amp;W1378)+COUNTIFS($W$4:W1378,W1378)-1)</f>
        <v/>
      </c>
      <c r="Y1378" s="175">
        <f>IF(OR(I1378="",'02_대상물건입력'!B19="",'02_대상물건입력'!B19&lt;=0),"",ABS(I1378-'02_대상물건입력'!B19)/'02_대상물건입력'!B19)</f>
        <v/>
      </c>
      <c r="Z1378" s="172">
        <f>IF(OR(Y1378="",'01_설정'!B31="",'01_설정'!B31&lt;=0,'01_설정'!B32="",'01_설정'!B32&lt;=0),"",MAX(0,(1-Y1378/'01_설정'!B32))*'01_설정'!B31)</f>
        <v/>
      </c>
    </row>
    <row r="1379" ht="17.25" customHeight="1">
      <c r="A1379" s="152">
        <f>IF(INDEX('04A_국토부원자료'!$A:$A,ROW()+1)="","",ROW()-3)</f>
        <v/>
      </c>
      <c r="B1379" s="48">
        <f>IFERROR(INDEX('04A_국토부원자료'!$A:$T,ROW()+1,MATCH("시군구",'04A_국토부원자료'!$A$4:$T$4,0)),"")</f>
        <v/>
      </c>
      <c r="C1379" s="48">
        <f>IF(B1379="","",IFERROR(INDEX('04A_국토부원자료'!$A:$T,ROW()+1,MATCH("번지",'04A_국토부원자료'!$A$4:$T$4,0)),""))</f>
        <v/>
      </c>
      <c r="D1379" s="48">
        <f>IF(B1379="","",IF(Q1379=1,'02_대상물건입력'!$B$8,IFERROR(INDEX('04A_국토부원자료'!$A:$T,ROW()+1,MATCH("단지명",'04A_국토부원자료'!$A$4:$T$4,0)),"")))</f>
        <v/>
      </c>
      <c r="E1379" s="172">
        <f>IFERROR(VALUE(SUBSTITUTE(INDEX('04A_국토부원자료'!$A:$T,ROW()+1,MATCH("전용면적(㎡)",'04A_국토부원자료'!$A$4:$T$4,0)),",","")),"")</f>
        <v/>
      </c>
      <c r="F13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79" s="51">
        <f>IFERROR(VALUE(SUBSTITUTE(INDEX('04A_국토부원자료'!$A:$T,ROW()+1,MATCH("거래금액(만원)",'04A_국토부원자료'!$A$4:$T$4,0)),",","")),"")</f>
        <v/>
      </c>
      <c r="H1379" s="174">
        <f>IF(G1379="","",G1379*10000)</f>
        <v/>
      </c>
      <c r="I1379" s="174">
        <f>IFERROR(IF(AND(H1379&gt;0,E1379&gt;0),H1379/E1379,""),"")</f>
        <v/>
      </c>
      <c r="J1379" s="152">
        <f>IFERROR(VALUE(SUBSTITUTE(INDEX('04A_국토부원자료'!$A:$T,ROW()+1,MATCH("층",'04A_국토부원자료'!$A$4:$T$4,0)),",","")),"")</f>
        <v/>
      </c>
      <c r="K1379" s="152">
        <f>IFERROR(VALUE(SUBSTITUTE(INDEX('04A_국토부원자료'!$A:$T,ROW()+1,MATCH("건축년도",'04A_국토부원자료'!$A$4:$T$4,0)),",","")),"")</f>
        <v/>
      </c>
      <c r="L1379" s="176">
        <f>IFERROR(INDEX('04A_국토부원자료'!$A:$T,ROW()+1,MATCH("도로명",'04A_국토부원자료'!$A$4:$T$4,0)),"")</f>
        <v/>
      </c>
      <c r="M1379" s="48">
        <f>IFERROR(INDEX('04A_국토부원자료'!$A:$T,ROW()+1,MATCH("거래유형",'04A_국토부원자료'!$A$4:$T$4,0)),"")</f>
        <v/>
      </c>
      <c r="N1379" s="152">
        <f>IF(B1379="","",IF('02_대상물건입력'!B5="",1,IF(ISNUMBER(SEARCH('02_대상물건입력'!B5,B1379)),1,0)))</f>
        <v/>
      </c>
      <c r="O1379" s="152">
        <f>IF(B1379="","",IF('02_대상물건입력'!B6="",1,IF(ISNUMBER(SEARCH('02_대상물건입력'!B6,B1379)),1,0)))</f>
        <v/>
      </c>
      <c r="P1379" s="152">
        <f>IF(L1379="","",IF('02_대상물건입력'!B15="",0,IF(ISNUMBER(SEARCH('02_대상물건입력'!B15,L1379)),1,0)))</f>
        <v/>
      </c>
      <c r="Q1379" s="152">
        <f>IF(OR(C1379="",L1379=""),0,IF(AND(TRIM(C1379)=TRIM(RIGHT(SUBSTITUTE(TRIM('02_대상물건입력'!$B$7)," ",REPT(" ",99)),99)),IF('02_대상물건입력'!B15="",TRUE(),ISNUMBER(SEARCH('02_대상물건입력'!B15,L1379)))),1,0))</f>
        <v/>
      </c>
      <c r="R1379" s="175">
        <f>IFERROR(ABS(E1379-'02_대상물건입력'!B11)/'02_대상물건입력'!B11,"")</f>
        <v/>
      </c>
      <c r="S1379" s="152">
        <f>IFERROR(ABS(J1379-'02_대상물건입력'!B10),"")</f>
        <v/>
      </c>
      <c r="T1379" s="152">
        <f>IFERROR(ABS('01_설정'!B4-F1379),"")</f>
        <v/>
      </c>
      <c r="U1379" s="152">
        <f>IFERROR(ABS(K1379-YEAR('02_대상물건입력'!B14)),"")</f>
        <v/>
      </c>
      <c r="V1379" s="152">
        <f>IF(B1379="","",IF(AND(E1379&gt;0,F1379&gt;0,H1379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1379=1,TRUE()),R1379&lt;='01_설정'!B5,S1379&lt;='01_설정'!B6,T1379&lt;='01_설정'!B7,U1379&lt;='01_설정'!B8),"Y",""))</f>
        <v/>
      </c>
      <c r="W1379" s="172">
        <f>IF(V1379&lt;&gt;"Y","",MAX(0,(1-R1379/'01_설정'!B5))*'01_설정'!B14+MAX(0,(1-S1379/'01_설정'!B6))*'01_설정'!B15+MAX(0,(1-T1379/'01_설정'!B7))*'01_설정'!B16+MAX(0,(1-U1379/'01_설정'!B8))*'01_설정'!B17+O1379*'01_설정'!B11+Q1379*'01_설정'!B12+P1379*'01_설정'!B13+IF(Z1379="",0,Z1379))</f>
        <v/>
      </c>
      <c r="X1379" s="152">
        <f>IF(W1379="","",1+COUNTIFS($W$4:$W$3003,"&gt;"&amp;W1379)+COUNTIFS($W$4:W1379,W1379)-1)</f>
        <v/>
      </c>
      <c r="Y1379" s="175">
        <f>IF(OR(I1379="",'02_대상물건입력'!B19="",'02_대상물건입력'!B19&lt;=0),"",ABS(I1379-'02_대상물건입력'!B19)/'02_대상물건입력'!B19)</f>
        <v/>
      </c>
      <c r="Z1379" s="172">
        <f>IF(OR(Y1379="",'01_설정'!B31="",'01_설정'!B31&lt;=0,'01_설정'!B32="",'01_설정'!B32&lt;=0),"",MAX(0,(1-Y1379/'01_설정'!B32))*'01_설정'!B31)</f>
        <v/>
      </c>
    </row>
    <row r="1380" ht="17.25" customHeight="1">
      <c r="A1380" s="152">
        <f>IF(INDEX('04A_국토부원자료'!$A:$A,ROW()+1)="","",ROW()-3)</f>
        <v/>
      </c>
      <c r="B1380" s="48">
        <f>IFERROR(INDEX('04A_국토부원자료'!$A:$T,ROW()+1,MATCH("시군구",'04A_국토부원자료'!$A$4:$T$4,0)),"")</f>
        <v/>
      </c>
      <c r="C1380" s="48">
        <f>IF(B1380="","",IFERROR(INDEX('04A_국토부원자료'!$A:$T,ROW()+1,MATCH("번지",'04A_국토부원자료'!$A$4:$T$4,0)),""))</f>
        <v/>
      </c>
      <c r="D1380" s="48">
        <f>IF(B1380="","",IF(Q1380=1,'02_대상물건입력'!$B$8,IFERROR(INDEX('04A_국토부원자료'!$A:$T,ROW()+1,MATCH("단지명",'04A_국토부원자료'!$A$4:$T$4,0)),"")))</f>
        <v/>
      </c>
      <c r="E1380" s="172">
        <f>IFERROR(VALUE(SUBSTITUTE(INDEX('04A_국토부원자료'!$A:$T,ROW()+1,MATCH("전용면적(㎡)",'04A_국토부원자료'!$A$4:$T$4,0)),",","")),"")</f>
        <v/>
      </c>
      <c r="F13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80" s="51">
        <f>IFERROR(VALUE(SUBSTITUTE(INDEX('04A_국토부원자료'!$A:$T,ROW()+1,MATCH("거래금액(만원)",'04A_국토부원자료'!$A$4:$T$4,0)),",","")),"")</f>
        <v/>
      </c>
      <c r="H1380" s="174">
        <f>IF(G1380="","",G1380*10000)</f>
        <v/>
      </c>
      <c r="I1380" s="174">
        <f>IFERROR(IF(AND(H1380&gt;0,E1380&gt;0),H1380/E1380,""),"")</f>
        <v/>
      </c>
      <c r="J1380" s="152">
        <f>IFERROR(VALUE(SUBSTITUTE(INDEX('04A_국토부원자료'!$A:$T,ROW()+1,MATCH("층",'04A_국토부원자료'!$A$4:$T$4,0)),",","")),"")</f>
        <v/>
      </c>
      <c r="K1380" s="152">
        <f>IFERROR(VALUE(SUBSTITUTE(INDEX('04A_국토부원자료'!$A:$T,ROW()+1,MATCH("건축년도",'04A_국토부원자료'!$A$4:$T$4,0)),",","")),"")</f>
        <v/>
      </c>
      <c r="L1380" s="176">
        <f>IFERROR(INDEX('04A_국토부원자료'!$A:$T,ROW()+1,MATCH("도로명",'04A_국토부원자료'!$A$4:$T$4,0)),"")</f>
        <v/>
      </c>
      <c r="M1380" s="48">
        <f>IFERROR(INDEX('04A_국토부원자료'!$A:$T,ROW()+1,MATCH("거래유형",'04A_국토부원자료'!$A$4:$T$4,0)),"")</f>
        <v/>
      </c>
      <c r="N1380" s="152">
        <f>IF(B1380="","",IF('02_대상물건입력'!B5="",1,IF(ISNUMBER(SEARCH('02_대상물건입력'!B5,B1380)),1,0)))</f>
        <v/>
      </c>
      <c r="O1380" s="152">
        <f>IF(B1380="","",IF('02_대상물건입력'!B6="",1,IF(ISNUMBER(SEARCH('02_대상물건입력'!B6,B1380)),1,0)))</f>
        <v/>
      </c>
      <c r="P1380" s="152">
        <f>IF(L1380="","",IF('02_대상물건입력'!B15="",0,IF(ISNUMBER(SEARCH('02_대상물건입력'!B15,L1380)),1,0)))</f>
        <v/>
      </c>
      <c r="Q1380" s="152">
        <f>IF(OR(C1380="",L1380=""),0,IF(AND(TRIM(C1380)=TRIM(RIGHT(SUBSTITUTE(TRIM('02_대상물건입력'!$B$7)," ",REPT(" ",99)),99)),IF('02_대상물건입력'!B15="",TRUE(),ISNUMBER(SEARCH('02_대상물건입력'!B15,L1380)))),1,0))</f>
        <v/>
      </c>
      <c r="R1380" s="175">
        <f>IFERROR(ABS(E1380-'02_대상물건입력'!B11)/'02_대상물건입력'!B11,"")</f>
        <v/>
      </c>
      <c r="S1380" s="152">
        <f>IFERROR(ABS(J1380-'02_대상물건입력'!B10),"")</f>
        <v/>
      </c>
      <c r="T1380" s="152">
        <f>IFERROR(ABS('01_설정'!B4-F1380),"")</f>
        <v/>
      </c>
      <c r="U1380" s="152">
        <f>IFERROR(ABS(K1380-YEAR('02_대상물건입력'!B14)),"")</f>
        <v/>
      </c>
      <c r="V1380" s="152">
        <f>IF(B1380="","",IF(AND(E1380&gt;0,F1380&gt;0,H1380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1380=1,TRUE()),R1380&lt;='01_설정'!B5,S1380&lt;='01_설정'!B6,T1380&lt;='01_설정'!B7,U1380&lt;='01_설정'!B8),"Y",""))</f>
        <v/>
      </c>
      <c r="W1380" s="172">
        <f>IF(V1380&lt;&gt;"Y","",MAX(0,(1-R1380/'01_설정'!B5))*'01_설정'!B14+MAX(0,(1-S1380/'01_설정'!B6))*'01_설정'!B15+MAX(0,(1-T1380/'01_설정'!B7))*'01_설정'!B16+MAX(0,(1-U1380/'01_설정'!B8))*'01_설정'!B17+O1380*'01_설정'!B11+Q1380*'01_설정'!B12+P1380*'01_설정'!B13+IF(Z1380="",0,Z1380))</f>
        <v/>
      </c>
      <c r="X1380" s="152">
        <f>IF(W1380="","",1+COUNTIFS($W$4:$W$3003,"&gt;"&amp;W1380)+COUNTIFS($W$4:W1380,W1380)-1)</f>
        <v/>
      </c>
      <c r="Y1380" s="175">
        <f>IF(OR(I1380="",'02_대상물건입력'!B19="",'02_대상물건입력'!B19&lt;=0),"",ABS(I1380-'02_대상물건입력'!B19)/'02_대상물건입력'!B19)</f>
        <v/>
      </c>
      <c r="Z1380" s="172">
        <f>IF(OR(Y1380="",'01_설정'!B31="",'01_설정'!B31&lt;=0,'01_설정'!B32="",'01_설정'!B32&lt;=0),"",MAX(0,(1-Y1380/'01_설정'!B32))*'01_설정'!B31)</f>
        <v/>
      </c>
    </row>
    <row r="1381" ht="17.25" customHeight="1">
      <c r="A1381" s="152">
        <f>IF(INDEX('04A_국토부원자료'!$A:$A,ROW()+1)="","",ROW()-3)</f>
        <v/>
      </c>
      <c r="B1381" s="48">
        <f>IFERROR(INDEX('04A_국토부원자료'!$A:$T,ROW()+1,MATCH("시군구",'04A_국토부원자료'!$A$4:$T$4,0)),"")</f>
        <v/>
      </c>
      <c r="C1381" s="48">
        <f>IF(B1381="","",IFERROR(INDEX('04A_국토부원자료'!$A:$T,ROW()+1,MATCH("번지",'04A_국토부원자료'!$A$4:$T$4,0)),""))</f>
        <v/>
      </c>
      <c r="D1381" s="48">
        <f>IF(B1381="","",IF(Q1381=1,'02_대상물건입력'!$B$8,IFERROR(INDEX('04A_국토부원자료'!$A:$T,ROW()+1,MATCH("단지명",'04A_국토부원자료'!$A$4:$T$4,0)),"")))</f>
        <v/>
      </c>
      <c r="E1381" s="172">
        <f>IFERROR(VALUE(SUBSTITUTE(INDEX('04A_국토부원자료'!$A:$T,ROW()+1,MATCH("전용면적(㎡)",'04A_국토부원자료'!$A$4:$T$4,0)),",","")),"")</f>
        <v/>
      </c>
      <c r="F13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81" s="51">
        <f>IFERROR(VALUE(SUBSTITUTE(INDEX('04A_국토부원자료'!$A:$T,ROW()+1,MATCH("거래금액(만원)",'04A_국토부원자료'!$A$4:$T$4,0)),",","")),"")</f>
        <v/>
      </c>
      <c r="H1381" s="174">
        <f>IF(G1381="","",G1381*10000)</f>
        <v/>
      </c>
      <c r="I1381" s="174">
        <f>IFERROR(IF(AND(H1381&gt;0,E1381&gt;0),H1381/E1381,""),"")</f>
        <v/>
      </c>
      <c r="J1381" s="152">
        <f>IFERROR(VALUE(SUBSTITUTE(INDEX('04A_국토부원자료'!$A:$T,ROW()+1,MATCH("층",'04A_국토부원자료'!$A$4:$T$4,0)),",","")),"")</f>
        <v/>
      </c>
      <c r="K1381" s="152">
        <f>IFERROR(VALUE(SUBSTITUTE(INDEX('04A_국토부원자료'!$A:$T,ROW()+1,MATCH("건축년도",'04A_국토부원자료'!$A$4:$T$4,0)),",","")),"")</f>
        <v/>
      </c>
      <c r="L1381" s="176">
        <f>IFERROR(INDEX('04A_국토부원자료'!$A:$T,ROW()+1,MATCH("도로명",'04A_국토부원자료'!$A$4:$T$4,0)),"")</f>
        <v/>
      </c>
      <c r="M1381" s="48">
        <f>IFERROR(INDEX('04A_국토부원자료'!$A:$T,ROW()+1,MATCH("거래유형",'04A_국토부원자료'!$A$4:$T$4,0)),"")</f>
        <v/>
      </c>
      <c r="N1381" s="152">
        <f>IF(B1381="","",IF('02_대상물건입력'!B5="",1,IF(ISNUMBER(SEARCH('02_대상물건입력'!B5,B1381)),1,0)))</f>
        <v/>
      </c>
      <c r="O1381" s="152">
        <f>IF(B1381="","",IF('02_대상물건입력'!B6="",1,IF(ISNUMBER(SEARCH('02_대상물건입력'!B6,B1381)),1,0)))</f>
        <v/>
      </c>
      <c r="P1381" s="152">
        <f>IF(L1381="","",IF('02_대상물건입력'!B15="",0,IF(ISNUMBER(SEARCH('02_대상물건입력'!B15,L1381)),1,0)))</f>
        <v/>
      </c>
      <c r="Q1381" s="152">
        <f>IF(OR(C1381="",L1381=""),0,IF(AND(TRIM(C1381)=TRIM(RIGHT(SUBSTITUTE(TRIM('02_대상물건입력'!$B$7)," ",REPT(" ",99)),99)),IF('02_대상물건입력'!B15="",TRUE(),ISNUMBER(SEARCH('02_대상물건입력'!B15,L1381)))),1,0))</f>
        <v/>
      </c>
      <c r="R1381" s="175">
        <f>IFERROR(ABS(E1381-'02_대상물건입력'!B11)/'02_대상물건입력'!B11,"")</f>
        <v/>
      </c>
      <c r="S1381" s="152">
        <f>IFERROR(ABS(J1381-'02_대상물건입력'!B10),"")</f>
        <v/>
      </c>
      <c r="T1381" s="152">
        <f>IFERROR(ABS('01_설정'!B4-F1381),"")</f>
        <v/>
      </c>
      <c r="U1381" s="152">
        <f>IFERROR(ABS(K1381-YEAR('02_대상물건입력'!B14)),"")</f>
        <v/>
      </c>
      <c r="V1381" s="152">
        <f>IF(B1381="","",IF(AND(E1381&gt;0,F1381&gt;0,H1381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1381=1,TRUE()),R1381&lt;='01_설정'!B5,S1381&lt;='01_설정'!B6,T1381&lt;='01_설정'!B7,U1381&lt;='01_설정'!B8),"Y",""))</f>
        <v/>
      </c>
      <c r="W1381" s="172">
        <f>IF(V1381&lt;&gt;"Y","",MAX(0,(1-R1381/'01_설정'!B5))*'01_설정'!B14+MAX(0,(1-S1381/'01_설정'!B6))*'01_설정'!B15+MAX(0,(1-T1381/'01_설정'!B7))*'01_설정'!B16+MAX(0,(1-U1381/'01_설정'!B8))*'01_설정'!B17+O1381*'01_설정'!B11+Q1381*'01_설정'!B12+P1381*'01_설정'!B13+IF(Z1381="",0,Z1381))</f>
        <v/>
      </c>
      <c r="X1381" s="152">
        <f>IF(W1381="","",1+COUNTIFS($W$4:$W$3003,"&gt;"&amp;W1381)+COUNTIFS($W$4:W1381,W1381)-1)</f>
        <v/>
      </c>
      <c r="Y1381" s="175">
        <f>IF(OR(I1381="",'02_대상물건입력'!B19="",'02_대상물건입력'!B19&lt;=0),"",ABS(I1381-'02_대상물건입력'!B19)/'02_대상물건입력'!B19)</f>
        <v/>
      </c>
      <c r="Z1381" s="172">
        <f>IF(OR(Y1381="",'01_설정'!B31="",'01_설정'!B31&lt;=0,'01_설정'!B32="",'01_설정'!B32&lt;=0),"",MAX(0,(1-Y1381/'01_설정'!B32))*'01_설정'!B31)</f>
        <v/>
      </c>
    </row>
    <row r="1382" ht="17.25" customHeight="1">
      <c r="A1382" s="152">
        <f>IF(INDEX('04A_국토부원자료'!$A:$A,ROW()+1)="","",ROW()-3)</f>
        <v/>
      </c>
      <c r="B1382" s="48">
        <f>IFERROR(INDEX('04A_국토부원자료'!$A:$T,ROW()+1,MATCH("시군구",'04A_국토부원자료'!$A$4:$T$4,0)),"")</f>
        <v/>
      </c>
      <c r="C1382" s="48">
        <f>IF(B1382="","",IFERROR(INDEX('04A_국토부원자료'!$A:$T,ROW()+1,MATCH("번지",'04A_국토부원자료'!$A$4:$T$4,0)),""))</f>
        <v/>
      </c>
      <c r="D1382" s="48">
        <f>IF(B1382="","",IF(Q1382=1,'02_대상물건입력'!$B$8,IFERROR(INDEX('04A_국토부원자료'!$A:$T,ROW()+1,MATCH("단지명",'04A_국토부원자료'!$A$4:$T$4,0)),"")))</f>
        <v/>
      </c>
      <c r="E1382" s="172">
        <f>IFERROR(VALUE(SUBSTITUTE(INDEX('04A_국토부원자료'!$A:$T,ROW()+1,MATCH("전용면적(㎡)",'04A_국토부원자료'!$A$4:$T$4,0)),",","")),"")</f>
        <v/>
      </c>
      <c r="F13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82" s="51">
        <f>IFERROR(VALUE(SUBSTITUTE(INDEX('04A_국토부원자료'!$A:$T,ROW()+1,MATCH("거래금액(만원)",'04A_국토부원자료'!$A$4:$T$4,0)),",","")),"")</f>
        <v/>
      </c>
      <c r="H1382" s="174">
        <f>IF(G1382="","",G1382*10000)</f>
        <v/>
      </c>
      <c r="I1382" s="174">
        <f>IFERROR(IF(AND(H1382&gt;0,E1382&gt;0),H1382/E1382,""),"")</f>
        <v/>
      </c>
      <c r="J1382" s="152">
        <f>IFERROR(VALUE(SUBSTITUTE(INDEX('04A_국토부원자료'!$A:$T,ROW()+1,MATCH("층",'04A_국토부원자료'!$A$4:$T$4,0)),",","")),"")</f>
        <v/>
      </c>
      <c r="K1382" s="152">
        <f>IFERROR(VALUE(SUBSTITUTE(INDEX('04A_국토부원자료'!$A:$T,ROW()+1,MATCH("건축년도",'04A_국토부원자료'!$A$4:$T$4,0)),",","")),"")</f>
        <v/>
      </c>
      <c r="L1382" s="176">
        <f>IFERROR(INDEX('04A_국토부원자료'!$A:$T,ROW()+1,MATCH("도로명",'04A_국토부원자료'!$A$4:$T$4,0)),"")</f>
        <v/>
      </c>
      <c r="M1382" s="48">
        <f>IFERROR(INDEX('04A_국토부원자료'!$A:$T,ROW()+1,MATCH("거래유형",'04A_국토부원자료'!$A$4:$T$4,0)),"")</f>
        <v/>
      </c>
      <c r="N1382" s="152">
        <f>IF(B1382="","",IF('02_대상물건입력'!B5="",1,IF(ISNUMBER(SEARCH('02_대상물건입력'!B5,B1382)),1,0)))</f>
        <v/>
      </c>
      <c r="O1382" s="152">
        <f>IF(B1382="","",IF('02_대상물건입력'!B6="",1,IF(ISNUMBER(SEARCH('02_대상물건입력'!B6,B1382)),1,0)))</f>
        <v/>
      </c>
      <c r="P1382" s="152">
        <f>IF(L1382="","",IF('02_대상물건입력'!B15="",0,IF(ISNUMBER(SEARCH('02_대상물건입력'!B15,L1382)),1,0)))</f>
        <v/>
      </c>
      <c r="Q1382" s="152">
        <f>IF(OR(C1382="",L1382=""),0,IF(AND(TRIM(C1382)=TRIM(RIGHT(SUBSTITUTE(TRIM('02_대상물건입력'!$B$7)," ",REPT(" ",99)),99)),IF('02_대상물건입력'!B15="",TRUE(),ISNUMBER(SEARCH('02_대상물건입력'!B15,L1382)))),1,0))</f>
        <v/>
      </c>
      <c r="R1382" s="175">
        <f>IFERROR(ABS(E1382-'02_대상물건입력'!B11)/'02_대상물건입력'!B11,"")</f>
        <v/>
      </c>
      <c r="S1382" s="152">
        <f>IFERROR(ABS(J1382-'02_대상물건입력'!B10),"")</f>
        <v/>
      </c>
      <c r="T1382" s="152">
        <f>IFERROR(ABS('01_설정'!B4-F1382),"")</f>
        <v/>
      </c>
      <c r="U1382" s="152">
        <f>IFERROR(ABS(K1382-YEAR('02_대상물건입력'!B14)),"")</f>
        <v/>
      </c>
      <c r="V1382" s="152">
        <f>IF(B1382="","",IF(AND(E1382&gt;0,F1382&gt;0,H1382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1382=1,TRUE()),R1382&lt;='01_설정'!B5,S1382&lt;='01_설정'!B6,T1382&lt;='01_설정'!B7,U1382&lt;='01_설정'!B8),"Y",""))</f>
        <v/>
      </c>
      <c r="W1382" s="172">
        <f>IF(V1382&lt;&gt;"Y","",MAX(0,(1-R1382/'01_설정'!B5))*'01_설정'!B14+MAX(0,(1-S1382/'01_설정'!B6))*'01_설정'!B15+MAX(0,(1-T1382/'01_설정'!B7))*'01_설정'!B16+MAX(0,(1-U1382/'01_설정'!B8))*'01_설정'!B17+O1382*'01_설정'!B11+Q1382*'01_설정'!B12+P1382*'01_설정'!B13+IF(Z1382="",0,Z1382))</f>
        <v/>
      </c>
      <c r="X1382" s="152">
        <f>IF(W1382="","",1+COUNTIFS($W$4:$W$3003,"&gt;"&amp;W1382)+COUNTIFS($W$4:W1382,W1382)-1)</f>
        <v/>
      </c>
      <c r="Y1382" s="175">
        <f>IF(OR(I1382="",'02_대상물건입력'!B19="",'02_대상물건입력'!B19&lt;=0),"",ABS(I1382-'02_대상물건입력'!B19)/'02_대상물건입력'!B19)</f>
        <v/>
      </c>
      <c r="Z1382" s="172">
        <f>IF(OR(Y1382="",'01_설정'!B31="",'01_설정'!B31&lt;=0,'01_설정'!B32="",'01_설정'!B32&lt;=0),"",MAX(0,(1-Y1382/'01_설정'!B32))*'01_설정'!B31)</f>
        <v/>
      </c>
    </row>
    <row r="1383" ht="17.25" customHeight="1">
      <c r="A1383" s="152">
        <f>IF(INDEX('04A_국토부원자료'!$A:$A,ROW()+1)="","",ROW()-3)</f>
        <v/>
      </c>
      <c r="B1383" s="48">
        <f>IFERROR(INDEX('04A_국토부원자료'!$A:$T,ROW()+1,MATCH("시군구",'04A_국토부원자료'!$A$4:$T$4,0)),"")</f>
        <v/>
      </c>
      <c r="C1383" s="48">
        <f>IF(B1383="","",IFERROR(INDEX('04A_국토부원자료'!$A:$T,ROW()+1,MATCH("번지",'04A_국토부원자료'!$A$4:$T$4,0)),""))</f>
        <v/>
      </c>
      <c r="D1383" s="48">
        <f>IF(B1383="","",IF(Q1383=1,'02_대상물건입력'!$B$8,IFERROR(INDEX('04A_국토부원자료'!$A:$T,ROW()+1,MATCH("단지명",'04A_국토부원자료'!$A$4:$T$4,0)),"")))</f>
        <v/>
      </c>
      <c r="E1383" s="172">
        <f>IFERROR(VALUE(SUBSTITUTE(INDEX('04A_국토부원자료'!$A:$T,ROW()+1,MATCH("전용면적(㎡)",'04A_국토부원자료'!$A$4:$T$4,0)),",","")),"")</f>
        <v/>
      </c>
      <c r="F13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83" s="51">
        <f>IFERROR(VALUE(SUBSTITUTE(INDEX('04A_국토부원자료'!$A:$T,ROW()+1,MATCH("거래금액(만원)",'04A_국토부원자료'!$A$4:$T$4,0)),",","")),"")</f>
        <v/>
      </c>
      <c r="H1383" s="174">
        <f>IF(G1383="","",G1383*10000)</f>
        <v/>
      </c>
      <c r="I1383" s="174">
        <f>IFERROR(IF(AND(H1383&gt;0,E1383&gt;0),H1383/E1383,""),"")</f>
        <v/>
      </c>
      <c r="J1383" s="152">
        <f>IFERROR(VALUE(SUBSTITUTE(INDEX('04A_국토부원자료'!$A:$T,ROW()+1,MATCH("층",'04A_국토부원자료'!$A$4:$T$4,0)),",","")),"")</f>
        <v/>
      </c>
      <c r="K1383" s="152">
        <f>IFERROR(VALUE(SUBSTITUTE(INDEX('04A_국토부원자료'!$A:$T,ROW()+1,MATCH("건축년도",'04A_국토부원자료'!$A$4:$T$4,0)),",","")),"")</f>
        <v/>
      </c>
      <c r="L1383" s="176">
        <f>IFERROR(INDEX('04A_국토부원자료'!$A:$T,ROW()+1,MATCH("도로명",'04A_국토부원자료'!$A$4:$T$4,0)),"")</f>
        <v/>
      </c>
      <c r="M1383" s="48">
        <f>IFERROR(INDEX('04A_국토부원자료'!$A:$T,ROW()+1,MATCH("거래유형",'04A_국토부원자료'!$A$4:$T$4,0)),"")</f>
        <v/>
      </c>
      <c r="N1383" s="152">
        <f>IF(B1383="","",IF('02_대상물건입력'!B5="",1,IF(ISNUMBER(SEARCH('02_대상물건입력'!B5,B1383)),1,0)))</f>
        <v/>
      </c>
      <c r="O1383" s="152">
        <f>IF(B1383="","",IF('02_대상물건입력'!B6="",1,IF(ISNUMBER(SEARCH('02_대상물건입력'!B6,B1383)),1,0)))</f>
        <v/>
      </c>
      <c r="P1383" s="152">
        <f>IF(L1383="","",IF('02_대상물건입력'!B15="",0,IF(ISNUMBER(SEARCH('02_대상물건입력'!B15,L1383)),1,0)))</f>
        <v/>
      </c>
      <c r="Q1383" s="152">
        <f>IF(OR(C1383="",L1383=""),0,IF(AND(TRIM(C1383)=TRIM(RIGHT(SUBSTITUTE(TRIM('02_대상물건입력'!$B$7)," ",REPT(" ",99)),99)),IF('02_대상물건입력'!B15="",TRUE(),ISNUMBER(SEARCH('02_대상물건입력'!B15,L1383)))),1,0))</f>
        <v/>
      </c>
      <c r="R1383" s="175">
        <f>IFERROR(ABS(E1383-'02_대상물건입력'!B11)/'02_대상물건입력'!B11,"")</f>
        <v/>
      </c>
      <c r="S1383" s="152">
        <f>IFERROR(ABS(J1383-'02_대상물건입력'!B10),"")</f>
        <v/>
      </c>
      <c r="T1383" s="152">
        <f>IFERROR(ABS('01_설정'!B4-F1383),"")</f>
        <v/>
      </c>
      <c r="U1383" s="152">
        <f>IFERROR(ABS(K1383-YEAR('02_대상물건입력'!B14)),"")</f>
        <v/>
      </c>
      <c r="V1383" s="152">
        <f>IF(B1383="","",IF(AND(E1383&gt;0,F1383&gt;0,H1383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1383=1,TRUE()),R1383&lt;='01_설정'!B5,S1383&lt;='01_설정'!B6,T1383&lt;='01_설정'!B7,U1383&lt;='01_설정'!B8),"Y",""))</f>
        <v/>
      </c>
      <c r="W1383" s="172">
        <f>IF(V1383&lt;&gt;"Y","",MAX(0,(1-R1383/'01_설정'!B5))*'01_설정'!B14+MAX(0,(1-S1383/'01_설정'!B6))*'01_설정'!B15+MAX(0,(1-T1383/'01_설정'!B7))*'01_설정'!B16+MAX(0,(1-U1383/'01_설정'!B8))*'01_설정'!B17+O1383*'01_설정'!B11+Q1383*'01_설정'!B12+P1383*'01_설정'!B13+IF(Z1383="",0,Z1383))</f>
        <v/>
      </c>
      <c r="X1383" s="152">
        <f>IF(W1383="","",1+COUNTIFS($W$4:$W$3003,"&gt;"&amp;W1383)+COUNTIFS($W$4:W1383,W1383)-1)</f>
        <v/>
      </c>
      <c r="Y1383" s="175">
        <f>IF(OR(I1383="",'02_대상물건입력'!B19="",'02_대상물건입력'!B19&lt;=0),"",ABS(I1383-'02_대상물건입력'!B19)/'02_대상물건입력'!B19)</f>
        <v/>
      </c>
      <c r="Z1383" s="172">
        <f>IF(OR(Y1383="",'01_설정'!B31="",'01_설정'!B31&lt;=0,'01_설정'!B32="",'01_설정'!B32&lt;=0),"",MAX(0,(1-Y1383/'01_설정'!B32))*'01_설정'!B31)</f>
        <v/>
      </c>
    </row>
    <row r="1384" ht="17.25" customHeight="1">
      <c r="A1384" s="152">
        <f>IF(INDEX('04A_국토부원자료'!$A:$A,ROW()+1)="","",ROW()-3)</f>
        <v/>
      </c>
      <c r="B1384" s="48">
        <f>IFERROR(INDEX('04A_국토부원자료'!$A:$T,ROW()+1,MATCH("시군구",'04A_국토부원자료'!$A$4:$T$4,0)),"")</f>
        <v/>
      </c>
      <c r="C1384" s="48">
        <f>IF(B1384="","",IFERROR(INDEX('04A_국토부원자료'!$A:$T,ROW()+1,MATCH("번지",'04A_국토부원자료'!$A$4:$T$4,0)),""))</f>
        <v/>
      </c>
      <c r="D1384" s="48">
        <f>IF(B1384="","",IF(Q1384=1,'02_대상물건입력'!$B$8,IFERROR(INDEX('04A_국토부원자료'!$A:$T,ROW()+1,MATCH("단지명",'04A_국토부원자료'!$A$4:$T$4,0)),"")))</f>
        <v/>
      </c>
      <c r="E1384" s="172">
        <f>IFERROR(VALUE(SUBSTITUTE(INDEX('04A_국토부원자료'!$A:$T,ROW()+1,MATCH("전용면적(㎡)",'04A_국토부원자료'!$A$4:$T$4,0)),",","")),"")</f>
        <v/>
      </c>
      <c r="F13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84" s="51">
        <f>IFERROR(VALUE(SUBSTITUTE(INDEX('04A_국토부원자료'!$A:$T,ROW()+1,MATCH("거래금액(만원)",'04A_국토부원자료'!$A$4:$T$4,0)),",","")),"")</f>
        <v/>
      </c>
      <c r="H1384" s="174">
        <f>IF(G1384="","",G1384*10000)</f>
        <v/>
      </c>
      <c r="I1384" s="174">
        <f>IFERROR(IF(AND(H1384&gt;0,E1384&gt;0),H1384/E1384,""),"")</f>
        <v/>
      </c>
      <c r="J1384" s="152">
        <f>IFERROR(VALUE(SUBSTITUTE(INDEX('04A_국토부원자료'!$A:$T,ROW()+1,MATCH("층",'04A_국토부원자료'!$A$4:$T$4,0)),",","")),"")</f>
        <v/>
      </c>
      <c r="K1384" s="152">
        <f>IFERROR(VALUE(SUBSTITUTE(INDEX('04A_국토부원자료'!$A:$T,ROW()+1,MATCH("건축년도",'04A_국토부원자료'!$A$4:$T$4,0)),",","")),"")</f>
        <v/>
      </c>
      <c r="L1384" s="176">
        <f>IFERROR(INDEX('04A_국토부원자료'!$A:$T,ROW()+1,MATCH("도로명",'04A_국토부원자료'!$A$4:$T$4,0)),"")</f>
        <v/>
      </c>
      <c r="M1384" s="48">
        <f>IFERROR(INDEX('04A_국토부원자료'!$A:$T,ROW()+1,MATCH("거래유형",'04A_국토부원자료'!$A$4:$T$4,0)),"")</f>
        <v/>
      </c>
      <c r="N1384" s="152">
        <f>IF(B1384="","",IF('02_대상물건입력'!B5="",1,IF(ISNUMBER(SEARCH('02_대상물건입력'!B5,B1384)),1,0)))</f>
        <v/>
      </c>
      <c r="O1384" s="152">
        <f>IF(B1384="","",IF('02_대상물건입력'!B6="",1,IF(ISNUMBER(SEARCH('02_대상물건입력'!B6,B1384)),1,0)))</f>
        <v/>
      </c>
      <c r="P1384" s="152">
        <f>IF(L1384="","",IF('02_대상물건입력'!B15="",0,IF(ISNUMBER(SEARCH('02_대상물건입력'!B15,L1384)),1,0)))</f>
        <v/>
      </c>
      <c r="Q1384" s="152">
        <f>IF(OR(C1384="",L1384=""),0,IF(AND(TRIM(C1384)=TRIM(RIGHT(SUBSTITUTE(TRIM('02_대상물건입력'!$B$7)," ",REPT(" ",99)),99)),IF('02_대상물건입력'!B15="",TRUE(),ISNUMBER(SEARCH('02_대상물건입력'!B15,L1384)))),1,0))</f>
        <v/>
      </c>
      <c r="R1384" s="175">
        <f>IFERROR(ABS(E1384-'02_대상물건입력'!B11)/'02_대상물건입력'!B11,"")</f>
        <v/>
      </c>
      <c r="S1384" s="152">
        <f>IFERROR(ABS(J1384-'02_대상물건입력'!B10),"")</f>
        <v/>
      </c>
      <c r="T1384" s="152">
        <f>IFERROR(ABS('01_설정'!B4-F1384),"")</f>
        <v/>
      </c>
      <c r="U1384" s="152">
        <f>IFERROR(ABS(K1384-YEAR('02_대상물건입력'!B14)),"")</f>
        <v/>
      </c>
      <c r="V1384" s="152">
        <f>IF(B1384="","",IF(AND(E1384&gt;0,F1384&gt;0,H1384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1384=1,TRUE()),R1384&lt;='01_설정'!B5,S1384&lt;='01_설정'!B6,T1384&lt;='01_설정'!B7,U1384&lt;='01_설정'!B8),"Y",""))</f>
        <v/>
      </c>
      <c r="W1384" s="172">
        <f>IF(V1384&lt;&gt;"Y","",MAX(0,(1-R1384/'01_설정'!B5))*'01_설정'!B14+MAX(0,(1-S1384/'01_설정'!B6))*'01_설정'!B15+MAX(0,(1-T1384/'01_설정'!B7))*'01_설정'!B16+MAX(0,(1-U1384/'01_설정'!B8))*'01_설정'!B17+O1384*'01_설정'!B11+Q1384*'01_설정'!B12+P1384*'01_설정'!B13+IF(Z1384="",0,Z1384))</f>
        <v/>
      </c>
      <c r="X1384" s="152">
        <f>IF(W1384="","",1+COUNTIFS($W$4:$W$3003,"&gt;"&amp;W1384)+COUNTIFS($W$4:W1384,W1384)-1)</f>
        <v/>
      </c>
      <c r="Y1384" s="175">
        <f>IF(OR(I1384="",'02_대상물건입력'!B19="",'02_대상물건입력'!B19&lt;=0),"",ABS(I1384-'02_대상물건입력'!B19)/'02_대상물건입력'!B19)</f>
        <v/>
      </c>
      <c r="Z1384" s="172">
        <f>IF(OR(Y1384="",'01_설정'!B31="",'01_설정'!B31&lt;=0,'01_설정'!B32="",'01_설정'!B32&lt;=0),"",MAX(0,(1-Y1384/'01_설정'!B32))*'01_설정'!B31)</f>
        <v/>
      </c>
    </row>
    <row r="1385" ht="17.25" customHeight="1">
      <c r="A1385" s="152">
        <f>IF(INDEX('04A_국토부원자료'!$A:$A,ROW()+1)="","",ROW()-3)</f>
        <v/>
      </c>
      <c r="B1385" s="48">
        <f>IFERROR(INDEX('04A_국토부원자료'!$A:$T,ROW()+1,MATCH("시군구",'04A_국토부원자료'!$A$4:$T$4,0)),"")</f>
        <v/>
      </c>
      <c r="C1385" s="48">
        <f>IF(B1385="","",IFERROR(INDEX('04A_국토부원자료'!$A:$T,ROW()+1,MATCH("번지",'04A_국토부원자료'!$A$4:$T$4,0)),""))</f>
        <v/>
      </c>
      <c r="D1385" s="48">
        <f>IF(B1385="","",IF(Q1385=1,'02_대상물건입력'!$B$8,IFERROR(INDEX('04A_국토부원자료'!$A:$T,ROW()+1,MATCH("단지명",'04A_국토부원자료'!$A$4:$T$4,0)),"")))</f>
        <v/>
      </c>
      <c r="E1385" s="172">
        <f>IFERROR(VALUE(SUBSTITUTE(INDEX('04A_국토부원자료'!$A:$T,ROW()+1,MATCH("전용면적(㎡)",'04A_국토부원자료'!$A$4:$T$4,0)),",","")),"")</f>
        <v/>
      </c>
      <c r="F13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85" s="51">
        <f>IFERROR(VALUE(SUBSTITUTE(INDEX('04A_국토부원자료'!$A:$T,ROW()+1,MATCH("거래금액(만원)",'04A_국토부원자료'!$A$4:$T$4,0)),",","")),"")</f>
        <v/>
      </c>
      <c r="H1385" s="174">
        <f>IF(G1385="","",G1385*10000)</f>
        <v/>
      </c>
      <c r="I1385" s="174">
        <f>IFERROR(IF(AND(H1385&gt;0,E1385&gt;0),H1385/E1385,""),"")</f>
        <v/>
      </c>
      <c r="J1385" s="152">
        <f>IFERROR(VALUE(SUBSTITUTE(INDEX('04A_국토부원자료'!$A:$T,ROW()+1,MATCH("층",'04A_국토부원자료'!$A$4:$T$4,0)),",","")),"")</f>
        <v/>
      </c>
      <c r="K1385" s="152">
        <f>IFERROR(VALUE(SUBSTITUTE(INDEX('04A_국토부원자료'!$A:$T,ROW()+1,MATCH("건축년도",'04A_국토부원자료'!$A$4:$T$4,0)),",","")),"")</f>
        <v/>
      </c>
      <c r="L1385" s="176">
        <f>IFERROR(INDEX('04A_국토부원자료'!$A:$T,ROW()+1,MATCH("도로명",'04A_국토부원자료'!$A$4:$T$4,0)),"")</f>
        <v/>
      </c>
      <c r="M1385" s="48">
        <f>IFERROR(INDEX('04A_국토부원자료'!$A:$T,ROW()+1,MATCH("거래유형",'04A_국토부원자료'!$A$4:$T$4,0)),"")</f>
        <v/>
      </c>
      <c r="N1385" s="152">
        <f>IF(B1385="","",IF('02_대상물건입력'!B5="",1,IF(ISNUMBER(SEARCH('02_대상물건입력'!B5,B1385)),1,0)))</f>
        <v/>
      </c>
      <c r="O1385" s="152">
        <f>IF(B1385="","",IF('02_대상물건입력'!B6="",1,IF(ISNUMBER(SEARCH('02_대상물건입력'!B6,B1385)),1,0)))</f>
        <v/>
      </c>
      <c r="P1385" s="152">
        <f>IF(L1385="","",IF('02_대상물건입력'!B15="",0,IF(ISNUMBER(SEARCH('02_대상물건입력'!B15,L1385)),1,0)))</f>
        <v/>
      </c>
      <c r="Q1385" s="152">
        <f>IF(OR(C1385="",L1385=""),0,IF(AND(TRIM(C1385)=TRIM(RIGHT(SUBSTITUTE(TRIM('02_대상물건입력'!$B$7)," ",REPT(" ",99)),99)),IF('02_대상물건입력'!B15="",TRUE(),ISNUMBER(SEARCH('02_대상물건입력'!B15,L1385)))),1,0))</f>
        <v/>
      </c>
      <c r="R1385" s="175">
        <f>IFERROR(ABS(E1385-'02_대상물건입력'!B11)/'02_대상물건입력'!B11,"")</f>
        <v/>
      </c>
      <c r="S1385" s="152">
        <f>IFERROR(ABS(J1385-'02_대상물건입력'!B10),"")</f>
        <v/>
      </c>
      <c r="T1385" s="152">
        <f>IFERROR(ABS('01_설정'!B4-F1385),"")</f>
        <v/>
      </c>
      <c r="U1385" s="152">
        <f>IFERROR(ABS(K1385-YEAR('02_대상물건입력'!B14)),"")</f>
        <v/>
      </c>
      <c r="V1385" s="152">
        <f>IF(B1385="","",IF(AND(E1385&gt;0,F1385&gt;0,H1385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1385=1,TRUE()),R1385&lt;='01_설정'!B5,S1385&lt;='01_설정'!B6,T1385&lt;='01_설정'!B7,U1385&lt;='01_설정'!B8),"Y",""))</f>
        <v/>
      </c>
      <c r="W1385" s="172">
        <f>IF(V1385&lt;&gt;"Y","",MAX(0,(1-R1385/'01_설정'!B5))*'01_설정'!B14+MAX(0,(1-S1385/'01_설정'!B6))*'01_설정'!B15+MAX(0,(1-T1385/'01_설정'!B7))*'01_설정'!B16+MAX(0,(1-U1385/'01_설정'!B8))*'01_설정'!B17+O1385*'01_설정'!B11+Q1385*'01_설정'!B12+P1385*'01_설정'!B13+IF(Z1385="",0,Z1385))</f>
        <v/>
      </c>
      <c r="X1385" s="152">
        <f>IF(W1385="","",1+COUNTIFS($W$4:$W$3003,"&gt;"&amp;W1385)+COUNTIFS($W$4:W1385,W1385)-1)</f>
        <v/>
      </c>
      <c r="Y1385" s="175">
        <f>IF(OR(I1385="",'02_대상물건입력'!B19="",'02_대상물건입력'!B19&lt;=0),"",ABS(I1385-'02_대상물건입력'!B19)/'02_대상물건입력'!B19)</f>
        <v/>
      </c>
      <c r="Z1385" s="172">
        <f>IF(OR(Y1385="",'01_설정'!B31="",'01_설정'!B31&lt;=0,'01_설정'!B32="",'01_설정'!B32&lt;=0),"",MAX(0,(1-Y1385/'01_설정'!B32))*'01_설정'!B31)</f>
        <v/>
      </c>
    </row>
    <row r="1386" ht="17.25" customHeight="1">
      <c r="A1386" s="152">
        <f>IF(INDEX('04A_국토부원자료'!$A:$A,ROW()+1)="","",ROW()-3)</f>
        <v/>
      </c>
      <c r="B1386" s="48">
        <f>IFERROR(INDEX('04A_국토부원자료'!$A:$T,ROW()+1,MATCH("시군구",'04A_국토부원자료'!$A$4:$T$4,0)),"")</f>
        <v/>
      </c>
      <c r="C1386" s="48">
        <f>IF(B1386="","",IFERROR(INDEX('04A_국토부원자료'!$A:$T,ROW()+1,MATCH("번지",'04A_국토부원자료'!$A$4:$T$4,0)),""))</f>
        <v/>
      </c>
      <c r="D1386" s="48">
        <f>IF(B1386="","",IF(Q1386=1,'02_대상물건입력'!$B$8,IFERROR(INDEX('04A_국토부원자료'!$A:$T,ROW()+1,MATCH("단지명",'04A_국토부원자료'!$A$4:$T$4,0)),"")))</f>
        <v/>
      </c>
      <c r="E1386" s="172">
        <f>IFERROR(VALUE(SUBSTITUTE(INDEX('04A_국토부원자료'!$A:$T,ROW()+1,MATCH("전용면적(㎡)",'04A_국토부원자료'!$A$4:$T$4,0)),",","")),"")</f>
        <v/>
      </c>
      <c r="F13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86" s="51">
        <f>IFERROR(VALUE(SUBSTITUTE(INDEX('04A_국토부원자료'!$A:$T,ROW()+1,MATCH("거래금액(만원)",'04A_국토부원자료'!$A$4:$T$4,0)),",","")),"")</f>
        <v/>
      </c>
      <c r="H1386" s="174">
        <f>IF(G1386="","",G1386*10000)</f>
        <v/>
      </c>
      <c r="I1386" s="174">
        <f>IFERROR(IF(AND(H1386&gt;0,E1386&gt;0),H1386/E1386,""),"")</f>
        <v/>
      </c>
      <c r="J1386" s="152">
        <f>IFERROR(VALUE(SUBSTITUTE(INDEX('04A_국토부원자료'!$A:$T,ROW()+1,MATCH("층",'04A_국토부원자료'!$A$4:$T$4,0)),",","")),"")</f>
        <v/>
      </c>
      <c r="K1386" s="152">
        <f>IFERROR(VALUE(SUBSTITUTE(INDEX('04A_국토부원자료'!$A:$T,ROW()+1,MATCH("건축년도",'04A_국토부원자료'!$A$4:$T$4,0)),",","")),"")</f>
        <v/>
      </c>
      <c r="L1386" s="176">
        <f>IFERROR(INDEX('04A_국토부원자료'!$A:$T,ROW()+1,MATCH("도로명",'04A_국토부원자료'!$A$4:$T$4,0)),"")</f>
        <v/>
      </c>
      <c r="M1386" s="48">
        <f>IFERROR(INDEX('04A_국토부원자료'!$A:$T,ROW()+1,MATCH("거래유형",'04A_국토부원자료'!$A$4:$T$4,0)),"")</f>
        <v/>
      </c>
      <c r="N1386" s="152">
        <f>IF(B1386="","",IF('02_대상물건입력'!B5="",1,IF(ISNUMBER(SEARCH('02_대상물건입력'!B5,B1386)),1,0)))</f>
        <v/>
      </c>
      <c r="O1386" s="152">
        <f>IF(B1386="","",IF('02_대상물건입력'!B6="",1,IF(ISNUMBER(SEARCH('02_대상물건입력'!B6,B1386)),1,0)))</f>
        <v/>
      </c>
      <c r="P1386" s="152">
        <f>IF(L1386="","",IF('02_대상물건입력'!B15="",0,IF(ISNUMBER(SEARCH('02_대상물건입력'!B15,L1386)),1,0)))</f>
        <v/>
      </c>
      <c r="Q1386" s="152">
        <f>IF(OR(C1386="",L1386=""),0,IF(AND(TRIM(C1386)=TRIM(RIGHT(SUBSTITUTE(TRIM('02_대상물건입력'!$B$7)," ",REPT(" ",99)),99)),IF('02_대상물건입력'!B15="",TRUE(),ISNUMBER(SEARCH('02_대상물건입력'!B15,L1386)))),1,0))</f>
        <v/>
      </c>
      <c r="R1386" s="175">
        <f>IFERROR(ABS(E1386-'02_대상물건입력'!B11)/'02_대상물건입력'!B11,"")</f>
        <v/>
      </c>
      <c r="S1386" s="152">
        <f>IFERROR(ABS(J1386-'02_대상물건입력'!B10),"")</f>
        <v/>
      </c>
      <c r="T1386" s="152">
        <f>IFERROR(ABS('01_설정'!B4-F1386),"")</f>
        <v/>
      </c>
      <c r="U1386" s="152">
        <f>IFERROR(ABS(K1386-YEAR('02_대상물건입력'!B14)),"")</f>
        <v/>
      </c>
      <c r="V1386" s="152">
        <f>IF(B1386="","",IF(AND(E1386&gt;0,F1386&gt;0,H1386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1386=1,TRUE()),R1386&lt;='01_설정'!B5,S1386&lt;='01_설정'!B6,T1386&lt;='01_설정'!B7,U1386&lt;='01_설정'!B8),"Y",""))</f>
        <v/>
      </c>
      <c r="W1386" s="172">
        <f>IF(V1386&lt;&gt;"Y","",MAX(0,(1-R1386/'01_설정'!B5))*'01_설정'!B14+MAX(0,(1-S1386/'01_설정'!B6))*'01_설정'!B15+MAX(0,(1-T1386/'01_설정'!B7))*'01_설정'!B16+MAX(0,(1-U1386/'01_설정'!B8))*'01_설정'!B17+O1386*'01_설정'!B11+Q1386*'01_설정'!B12+P1386*'01_설정'!B13+IF(Z1386="",0,Z1386))</f>
        <v/>
      </c>
      <c r="X1386" s="152">
        <f>IF(W1386="","",1+COUNTIFS($W$4:$W$3003,"&gt;"&amp;W1386)+COUNTIFS($W$4:W1386,W1386)-1)</f>
        <v/>
      </c>
      <c r="Y1386" s="175">
        <f>IF(OR(I1386="",'02_대상물건입력'!B19="",'02_대상물건입력'!B19&lt;=0),"",ABS(I1386-'02_대상물건입력'!B19)/'02_대상물건입력'!B19)</f>
        <v/>
      </c>
      <c r="Z1386" s="172">
        <f>IF(OR(Y1386="",'01_설정'!B31="",'01_설정'!B31&lt;=0,'01_설정'!B32="",'01_설정'!B32&lt;=0),"",MAX(0,(1-Y1386/'01_설정'!B32))*'01_설정'!B31)</f>
        <v/>
      </c>
    </row>
    <row r="1387" ht="17.25" customHeight="1">
      <c r="A1387" s="152">
        <f>IF(INDEX('04A_국토부원자료'!$A:$A,ROW()+1)="","",ROW()-3)</f>
        <v/>
      </c>
      <c r="B1387" s="48">
        <f>IFERROR(INDEX('04A_국토부원자료'!$A:$T,ROW()+1,MATCH("시군구",'04A_국토부원자료'!$A$4:$T$4,0)),"")</f>
        <v/>
      </c>
      <c r="C1387" s="48">
        <f>IF(B1387="","",IFERROR(INDEX('04A_국토부원자료'!$A:$T,ROW()+1,MATCH("번지",'04A_국토부원자료'!$A$4:$T$4,0)),""))</f>
        <v/>
      </c>
      <c r="D1387" s="48">
        <f>IF(B1387="","",IF(Q1387=1,'02_대상물건입력'!$B$8,IFERROR(INDEX('04A_국토부원자료'!$A:$T,ROW()+1,MATCH("단지명",'04A_국토부원자료'!$A$4:$T$4,0)),"")))</f>
        <v/>
      </c>
      <c r="E1387" s="172">
        <f>IFERROR(VALUE(SUBSTITUTE(INDEX('04A_국토부원자료'!$A:$T,ROW()+1,MATCH("전용면적(㎡)",'04A_국토부원자료'!$A$4:$T$4,0)),",","")),"")</f>
        <v/>
      </c>
      <c r="F13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87" s="51">
        <f>IFERROR(VALUE(SUBSTITUTE(INDEX('04A_국토부원자료'!$A:$T,ROW()+1,MATCH("거래금액(만원)",'04A_국토부원자료'!$A$4:$T$4,0)),",","")),"")</f>
        <v/>
      </c>
      <c r="H1387" s="174">
        <f>IF(G1387="","",G1387*10000)</f>
        <v/>
      </c>
      <c r="I1387" s="174">
        <f>IFERROR(IF(AND(H1387&gt;0,E1387&gt;0),H1387/E1387,""),"")</f>
        <v/>
      </c>
      <c r="J1387" s="152">
        <f>IFERROR(VALUE(SUBSTITUTE(INDEX('04A_국토부원자료'!$A:$T,ROW()+1,MATCH("층",'04A_국토부원자료'!$A$4:$T$4,0)),",","")),"")</f>
        <v/>
      </c>
      <c r="K1387" s="152">
        <f>IFERROR(VALUE(SUBSTITUTE(INDEX('04A_국토부원자료'!$A:$T,ROW()+1,MATCH("건축년도",'04A_국토부원자료'!$A$4:$T$4,0)),",","")),"")</f>
        <v/>
      </c>
      <c r="L1387" s="176">
        <f>IFERROR(INDEX('04A_국토부원자료'!$A:$T,ROW()+1,MATCH("도로명",'04A_국토부원자료'!$A$4:$T$4,0)),"")</f>
        <v/>
      </c>
      <c r="M1387" s="48">
        <f>IFERROR(INDEX('04A_국토부원자료'!$A:$T,ROW()+1,MATCH("거래유형",'04A_국토부원자료'!$A$4:$T$4,0)),"")</f>
        <v/>
      </c>
      <c r="N1387" s="152">
        <f>IF(B1387="","",IF('02_대상물건입력'!B5="",1,IF(ISNUMBER(SEARCH('02_대상물건입력'!B5,B1387)),1,0)))</f>
        <v/>
      </c>
      <c r="O1387" s="152">
        <f>IF(B1387="","",IF('02_대상물건입력'!B6="",1,IF(ISNUMBER(SEARCH('02_대상물건입력'!B6,B1387)),1,0)))</f>
        <v/>
      </c>
      <c r="P1387" s="152">
        <f>IF(L1387="","",IF('02_대상물건입력'!B15="",0,IF(ISNUMBER(SEARCH('02_대상물건입력'!B15,L1387)),1,0)))</f>
        <v/>
      </c>
      <c r="Q1387" s="152">
        <f>IF(OR(C1387="",L1387=""),0,IF(AND(TRIM(C1387)=TRIM(RIGHT(SUBSTITUTE(TRIM('02_대상물건입력'!$B$7)," ",REPT(" ",99)),99)),IF('02_대상물건입력'!B15="",TRUE(),ISNUMBER(SEARCH('02_대상물건입력'!B15,L1387)))),1,0))</f>
        <v/>
      </c>
      <c r="R1387" s="175">
        <f>IFERROR(ABS(E1387-'02_대상물건입력'!B11)/'02_대상물건입력'!B11,"")</f>
        <v/>
      </c>
      <c r="S1387" s="152">
        <f>IFERROR(ABS(J1387-'02_대상물건입력'!B10),"")</f>
        <v/>
      </c>
      <c r="T1387" s="152">
        <f>IFERROR(ABS('01_설정'!B4-F1387),"")</f>
        <v/>
      </c>
      <c r="U1387" s="152">
        <f>IFERROR(ABS(K1387-YEAR('02_대상물건입력'!B14)),"")</f>
        <v/>
      </c>
      <c r="V1387" s="152">
        <f>IF(B1387="","",IF(AND(E1387&gt;0,F1387&gt;0,H1387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1387=1,TRUE()),R1387&lt;='01_설정'!B5,S1387&lt;='01_설정'!B6,T1387&lt;='01_설정'!B7,U1387&lt;='01_설정'!B8),"Y",""))</f>
        <v/>
      </c>
      <c r="W1387" s="172">
        <f>IF(V1387&lt;&gt;"Y","",MAX(0,(1-R1387/'01_설정'!B5))*'01_설정'!B14+MAX(0,(1-S1387/'01_설정'!B6))*'01_설정'!B15+MAX(0,(1-T1387/'01_설정'!B7))*'01_설정'!B16+MAX(0,(1-U1387/'01_설정'!B8))*'01_설정'!B17+O1387*'01_설정'!B11+Q1387*'01_설정'!B12+P1387*'01_설정'!B13+IF(Z1387="",0,Z1387))</f>
        <v/>
      </c>
      <c r="X1387" s="152">
        <f>IF(W1387="","",1+COUNTIFS($W$4:$W$3003,"&gt;"&amp;W1387)+COUNTIFS($W$4:W1387,W1387)-1)</f>
        <v/>
      </c>
      <c r="Y1387" s="175">
        <f>IF(OR(I1387="",'02_대상물건입력'!B19="",'02_대상물건입력'!B19&lt;=0),"",ABS(I1387-'02_대상물건입력'!B19)/'02_대상물건입력'!B19)</f>
        <v/>
      </c>
      <c r="Z1387" s="172">
        <f>IF(OR(Y1387="",'01_설정'!B31="",'01_설정'!B31&lt;=0,'01_설정'!B32="",'01_설정'!B32&lt;=0),"",MAX(0,(1-Y1387/'01_설정'!B32))*'01_설정'!B31)</f>
        <v/>
      </c>
    </row>
    <row r="1388" ht="17.25" customHeight="1">
      <c r="A1388" s="152">
        <f>IF(INDEX('04A_국토부원자료'!$A:$A,ROW()+1)="","",ROW()-3)</f>
        <v/>
      </c>
      <c r="B1388" s="48">
        <f>IFERROR(INDEX('04A_국토부원자료'!$A:$T,ROW()+1,MATCH("시군구",'04A_국토부원자료'!$A$4:$T$4,0)),"")</f>
        <v/>
      </c>
      <c r="C1388" s="48">
        <f>IF(B1388="","",IFERROR(INDEX('04A_국토부원자료'!$A:$T,ROW()+1,MATCH("번지",'04A_국토부원자료'!$A$4:$T$4,0)),""))</f>
        <v/>
      </c>
      <c r="D1388" s="48">
        <f>IF(B1388="","",IF(Q1388=1,'02_대상물건입력'!$B$8,IFERROR(INDEX('04A_국토부원자료'!$A:$T,ROW()+1,MATCH("단지명",'04A_국토부원자료'!$A$4:$T$4,0)),"")))</f>
        <v/>
      </c>
      <c r="E1388" s="172">
        <f>IFERROR(VALUE(SUBSTITUTE(INDEX('04A_국토부원자료'!$A:$T,ROW()+1,MATCH("전용면적(㎡)",'04A_국토부원자료'!$A$4:$T$4,0)),",","")),"")</f>
        <v/>
      </c>
      <c r="F13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88" s="51">
        <f>IFERROR(VALUE(SUBSTITUTE(INDEX('04A_국토부원자료'!$A:$T,ROW()+1,MATCH("거래금액(만원)",'04A_국토부원자료'!$A$4:$T$4,0)),",","")),"")</f>
        <v/>
      </c>
      <c r="H1388" s="174">
        <f>IF(G1388="","",G1388*10000)</f>
        <v/>
      </c>
      <c r="I1388" s="174">
        <f>IFERROR(IF(AND(H1388&gt;0,E1388&gt;0),H1388/E1388,""),"")</f>
        <v/>
      </c>
      <c r="J1388" s="152">
        <f>IFERROR(VALUE(SUBSTITUTE(INDEX('04A_국토부원자료'!$A:$T,ROW()+1,MATCH("층",'04A_국토부원자료'!$A$4:$T$4,0)),",","")),"")</f>
        <v/>
      </c>
      <c r="K1388" s="152">
        <f>IFERROR(VALUE(SUBSTITUTE(INDEX('04A_국토부원자료'!$A:$T,ROW()+1,MATCH("건축년도",'04A_국토부원자료'!$A$4:$T$4,0)),",","")),"")</f>
        <v/>
      </c>
      <c r="L1388" s="176">
        <f>IFERROR(INDEX('04A_국토부원자료'!$A:$T,ROW()+1,MATCH("도로명",'04A_국토부원자료'!$A$4:$T$4,0)),"")</f>
        <v/>
      </c>
      <c r="M1388" s="48">
        <f>IFERROR(INDEX('04A_국토부원자료'!$A:$T,ROW()+1,MATCH("거래유형",'04A_국토부원자료'!$A$4:$T$4,0)),"")</f>
        <v/>
      </c>
      <c r="N1388" s="152">
        <f>IF(B1388="","",IF('02_대상물건입력'!B5="",1,IF(ISNUMBER(SEARCH('02_대상물건입력'!B5,B1388)),1,0)))</f>
        <v/>
      </c>
      <c r="O1388" s="152">
        <f>IF(B1388="","",IF('02_대상물건입력'!B6="",1,IF(ISNUMBER(SEARCH('02_대상물건입력'!B6,B1388)),1,0)))</f>
        <v/>
      </c>
      <c r="P1388" s="152">
        <f>IF(L1388="","",IF('02_대상물건입력'!B15="",0,IF(ISNUMBER(SEARCH('02_대상물건입력'!B15,L1388)),1,0)))</f>
        <v/>
      </c>
      <c r="Q1388" s="152">
        <f>IF(OR(C1388="",L1388=""),0,IF(AND(TRIM(C1388)=TRIM(RIGHT(SUBSTITUTE(TRIM('02_대상물건입력'!$B$7)," ",REPT(" ",99)),99)),IF('02_대상물건입력'!B15="",TRUE(),ISNUMBER(SEARCH('02_대상물건입력'!B15,L1388)))),1,0))</f>
        <v/>
      </c>
      <c r="R1388" s="175">
        <f>IFERROR(ABS(E1388-'02_대상물건입력'!B11)/'02_대상물건입력'!B11,"")</f>
        <v/>
      </c>
      <c r="S1388" s="152">
        <f>IFERROR(ABS(J1388-'02_대상물건입력'!B10),"")</f>
        <v/>
      </c>
      <c r="T1388" s="152">
        <f>IFERROR(ABS('01_설정'!B4-F1388),"")</f>
        <v/>
      </c>
      <c r="U1388" s="152">
        <f>IFERROR(ABS(K1388-YEAR('02_대상물건입력'!B14)),"")</f>
        <v/>
      </c>
      <c r="V1388" s="152">
        <f>IF(B1388="","",IF(AND(E1388&gt;0,F1388&gt;0,H1388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1388=1,TRUE()),R1388&lt;='01_설정'!B5,S1388&lt;='01_설정'!B6,T1388&lt;='01_설정'!B7,U1388&lt;='01_설정'!B8),"Y",""))</f>
        <v/>
      </c>
      <c r="W1388" s="172">
        <f>IF(V1388&lt;&gt;"Y","",MAX(0,(1-R1388/'01_설정'!B5))*'01_설정'!B14+MAX(0,(1-S1388/'01_설정'!B6))*'01_설정'!B15+MAX(0,(1-T1388/'01_설정'!B7))*'01_설정'!B16+MAX(0,(1-U1388/'01_설정'!B8))*'01_설정'!B17+O1388*'01_설정'!B11+Q1388*'01_설정'!B12+P1388*'01_설정'!B13+IF(Z1388="",0,Z1388))</f>
        <v/>
      </c>
      <c r="X1388" s="152">
        <f>IF(W1388="","",1+COUNTIFS($W$4:$W$3003,"&gt;"&amp;W1388)+COUNTIFS($W$4:W1388,W1388)-1)</f>
        <v/>
      </c>
      <c r="Y1388" s="175">
        <f>IF(OR(I1388="",'02_대상물건입력'!B19="",'02_대상물건입력'!B19&lt;=0),"",ABS(I1388-'02_대상물건입력'!B19)/'02_대상물건입력'!B19)</f>
        <v/>
      </c>
      <c r="Z1388" s="172">
        <f>IF(OR(Y1388="",'01_설정'!B31="",'01_설정'!B31&lt;=0,'01_설정'!B32="",'01_설정'!B32&lt;=0),"",MAX(0,(1-Y1388/'01_설정'!B32))*'01_설정'!B31)</f>
        <v/>
      </c>
    </row>
    <row r="1389" ht="17.25" customHeight="1">
      <c r="A1389" s="152">
        <f>IF(INDEX('04A_국토부원자료'!$A:$A,ROW()+1)="","",ROW()-3)</f>
        <v/>
      </c>
      <c r="B1389" s="48">
        <f>IFERROR(INDEX('04A_국토부원자료'!$A:$T,ROW()+1,MATCH("시군구",'04A_국토부원자료'!$A$4:$T$4,0)),"")</f>
        <v/>
      </c>
      <c r="C1389" s="48">
        <f>IF(B1389="","",IFERROR(INDEX('04A_국토부원자료'!$A:$T,ROW()+1,MATCH("번지",'04A_국토부원자료'!$A$4:$T$4,0)),""))</f>
        <v/>
      </c>
      <c r="D1389" s="48">
        <f>IF(B1389="","",IF(Q1389=1,'02_대상물건입력'!$B$8,IFERROR(INDEX('04A_국토부원자료'!$A:$T,ROW()+1,MATCH("단지명",'04A_국토부원자료'!$A$4:$T$4,0)),"")))</f>
        <v/>
      </c>
      <c r="E1389" s="172">
        <f>IFERROR(VALUE(SUBSTITUTE(INDEX('04A_국토부원자료'!$A:$T,ROW()+1,MATCH("전용면적(㎡)",'04A_국토부원자료'!$A$4:$T$4,0)),",","")),"")</f>
        <v/>
      </c>
      <c r="F13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89" s="51">
        <f>IFERROR(VALUE(SUBSTITUTE(INDEX('04A_국토부원자료'!$A:$T,ROW()+1,MATCH("거래금액(만원)",'04A_국토부원자료'!$A$4:$T$4,0)),",","")),"")</f>
        <v/>
      </c>
      <c r="H1389" s="174">
        <f>IF(G1389="","",G1389*10000)</f>
        <v/>
      </c>
      <c r="I1389" s="174">
        <f>IFERROR(IF(AND(H1389&gt;0,E1389&gt;0),H1389/E1389,""),"")</f>
        <v/>
      </c>
      <c r="J1389" s="152">
        <f>IFERROR(VALUE(SUBSTITUTE(INDEX('04A_국토부원자료'!$A:$T,ROW()+1,MATCH("층",'04A_국토부원자료'!$A$4:$T$4,0)),",","")),"")</f>
        <v/>
      </c>
      <c r="K1389" s="152">
        <f>IFERROR(VALUE(SUBSTITUTE(INDEX('04A_국토부원자료'!$A:$T,ROW()+1,MATCH("건축년도",'04A_국토부원자료'!$A$4:$T$4,0)),",","")),"")</f>
        <v/>
      </c>
      <c r="L1389" s="176">
        <f>IFERROR(INDEX('04A_국토부원자료'!$A:$T,ROW()+1,MATCH("도로명",'04A_국토부원자료'!$A$4:$T$4,0)),"")</f>
        <v/>
      </c>
      <c r="M1389" s="48">
        <f>IFERROR(INDEX('04A_국토부원자료'!$A:$T,ROW()+1,MATCH("거래유형",'04A_국토부원자료'!$A$4:$T$4,0)),"")</f>
        <v/>
      </c>
      <c r="N1389" s="152">
        <f>IF(B1389="","",IF('02_대상물건입력'!B5="",1,IF(ISNUMBER(SEARCH('02_대상물건입력'!B5,B1389)),1,0)))</f>
        <v/>
      </c>
      <c r="O1389" s="152">
        <f>IF(B1389="","",IF('02_대상물건입력'!B6="",1,IF(ISNUMBER(SEARCH('02_대상물건입력'!B6,B1389)),1,0)))</f>
        <v/>
      </c>
      <c r="P1389" s="152">
        <f>IF(L1389="","",IF('02_대상물건입력'!B15="",0,IF(ISNUMBER(SEARCH('02_대상물건입력'!B15,L1389)),1,0)))</f>
        <v/>
      </c>
      <c r="Q1389" s="152">
        <f>IF(OR(C1389="",L1389=""),0,IF(AND(TRIM(C1389)=TRIM(RIGHT(SUBSTITUTE(TRIM('02_대상물건입력'!$B$7)," ",REPT(" ",99)),99)),IF('02_대상물건입력'!B15="",TRUE(),ISNUMBER(SEARCH('02_대상물건입력'!B15,L1389)))),1,0))</f>
        <v/>
      </c>
      <c r="R1389" s="175">
        <f>IFERROR(ABS(E1389-'02_대상물건입력'!B11)/'02_대상물건입력'!B11,"")</f>
        <v/>
      </c>
      <c r="S1389" s="152">
        <f>IFERROR(ABS(J1389-'02_대상물건입력'!B10),"")</f>
        <v/>
      </c>
      <c r="T1389" s="152">
        <f>IFERROR(ABS('01_설정'!B4-F1389),"")</f>
        <v/>
      </c>
      <c r="U1389" s="152">
        <f>IFERROR(ABS(K1389-YEAR('02_대상물건입력'!B14)),"")</f>
        <v/>
      </c>
      <c r="V1389" s="152">
        <f>IF(B1389="","",IF(AND(E1389&gt;0,F1389&gt;0,H1389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1389=1,TRUE()),R1389&lt;='01_설정'!B5,S1389&lt;='01_설정'!B6,T1389&lt;='01_설정'!B7,U1389&lt;='01_설정'!B8),"Y",""))</f>
        <v/>
      </c>
      <c r="W1389" s="172">
        <f>IF(V1389&lt;&gt;"Y","",MAX(0,(1-R1389/'01_설정'!B5))*'01_설정'!B14+MAX(0,(1-S1389/'01_설정'!B6))*'01_설정'!B15+MAX(0,(1-T1389/'01_설정'!B7))*'01_설정'!B16+MAX(0,(1-U1389/'01_설정'!B8))*'01_설정'!B17+O1389*'01_설정'!B11+Q1389*'01_설정'!B12+P1389*'01_설정'!B13+IF(Z1389="",0,Z1389))</f>
        <v/>
      </c>
      <c r="X1389" s="152">
        <f>IF(W1389="","",1+COUNTIFS($W$4:$W$3003,"&gt;"&amp;W1389)+COUNTIFS($W$4:W1389,W1389)-1)</f>
        <v/>
      </c>
      <c r="Y1389" s="175">
        <f>IF(OR(I1389="",'02_대상물건입력'!B19="",'02_대상물건입력'!B19&lt;=0),"",ABS(I1389-'02_대상물건입력'!B19)/'02_대상물건입력'!B19)</f>
        <v/>
      </c>
      <c r="Z1389" s="172">
        <f>IF(OR(Y1389="",'01_설정'!B31="",'01_설정'!B31&lt;=0,'01_설정'!B32="",'01_설정'!B32&lt;=0),"",MAX(0,(1-Y1389/'01_설정'!B32))*'01_설정'!B31)</f>
        <v/>
      </c>
    </row>
    <row r="1390" ht="17.25" customHeight="1">
      <c r="A1390" s="152">
        <f>IF(INDEX('04A_국토부원자료'!$A:$A,ROW()+1)="","",ROW()-3)</f>
        <v/>
      </c>
      <c r="B1390" s="48">
        <f>IFERROR(INDEX('04A_국토부원자료'!$A:$T,ROW()+1,MATCH("시군구",'04A_국토부원자료'!$A$4:$T$4,0)),"")</f>
        <v/>
      </c>
      <c r="C1390" s="48">
        <f>IF(B1390="","",IFERROR(INDEX('04A_국토부원자료'!$A:$T,ROW()+1,MATCH("번지",'04A_국토부원자료'!$A$4:$T$4,0)),""))</f>
        <v/>
      </c>
      <c r="D1390" s="48">
        <f>IF(B1390="","",IF(Q1390=1,'02_대상물건입력'!$B$8,IFERROR(INDEX('04A_국토부원자료'!$A:$T,ROW()+1,MATCH("단지명",'04A_국토부원자료'!$A$4:$T$4,0)),"")))</f>
        <v/>
      </c>
      <c r="E1390" s="172">
        <f>IFERROR(VALUE(SUBSTITUTE(INDEX('04A_국토부원자료'!$A:$T,ROW()+1,MATCH("전용면적(㎡)",'04A_국토부원자료'!$A$4:$T$4,0)),",","")),"")</f>
        <v/>
      </c>
      <c r="F13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90" s="51">
        <f>IFERROR(VALUE(SUBSTITUTE(INDEX('04A_국토부원자료'!$A:$T,ROW()+1,MATCH("거래금액(만원)",'04A_국토부원자료'!$A$4:$T$4,0)),",","")),"")</f>
        <v/>
      </c>
      <c r="H1390" s="174">
        <f>IF(G1390="","",G1390*10000)</f>
        <v/>
      </c>
      <c r="I1390" s="174">
        <f>IFERROR(IF(AND(H1390&gt;0,E1390&gt;0),H1390/E1390,""),"")</f>
        <v/>
      </c>
      <c r="J1390" s="152">
        <f>IFERROR(VALUE(SUBSTITUTE(INDEX('04A_국토부원자료'!$A:$T,ROW()+1,MATCH("층",'04A_국토부원자료'!$A$4:$T$4,0)),",","")),"")</f>
        <v/>
      </c>
      <c r="K1390" s="152">
        <f>IFERROR(VALUE(SUBSTITUTE(INDEX('04A_국토부원자료'!$A:$T,ROW()+1,MATCH("건축년도",'04A_국토부원자료'!$A$4:$T$4,0)),",","")),"")</f>
        <v/>
      </c>
      <c r="L1390" s="176">
        <f>IFERROR(INDEX('04A_국토부원자료'!$A:$T,ROW()+1,MATCH("도로명",'04A_국토부원자료'!$A$4:$T$4,0)),"")</f>
        <v/>
      </c>
      <c r="M1390" s="48">
        <f>IFERROR(INDEX('04A_국토부원자료'!$A:$T,ROW()+1,MATCH("거래유형",'04A_국토부원자료'!$A$4:$T$4,0)),"")</f>
        <v/>
      </c>
      <c r="N1390" s="152">
        <f>IF(B1390="","",IF('02_대상물건입력'!B5="",1,IF(ISNUMBER(SEARCH('02_대상물건입력'!B5,B1390)),1,0)))</f>
        <v/>
      </c>
      <c r="O1390" s="152">
        <f>IF(B1390="","",IF('02_대상물건입력'!B6="",1,IF(ISNUMBER(SEARCH('02_대상물건입력'!B6,B1390)),1,0)))</f>
        <v/>
      </c>
      <c r="P1390" s="152">
        <f>IF(L1390="","",IF('02_대상물건입력'!B15="",0,IF(ISNUMBER(SEARCH('02_대상물건입력'!B15,L1390)),1,0)))</f>
        <v/>
      </c>
      <c r="Q1390" s="152">
        <f>IF(OR(C1390="",L1390=""),0,IF(AND(TRIM(C1390)=TRIM(RIGHT(SUBSTITUTE(TRIM('02_대상물건입력'!$B$7)," ",REPT(" ",99)),99)),IF('02_대상물건입력'!B15="",TRUE(),ISNUMBER(SEARCH('02_대상물건입력'!B15,L1390)))),1,0))</f>
        <v/>
      </c>
      <c r="R1390" s="175">
        <f>IFERROR(ABS(E1390-'02_대상물건입력'!B11)/'02_대상물건입력'!B11,"")</f>
        <v/>
      </c>
      <c r="S1390" s="152">
        <f>IFERROR(ABS(J1390-'02_대상물건입력'!B10),"")</f>
        <v/>
      </c>
      <c r="T1390" s="152">
        <f>IFERROR(ABS('01_설정'!B4-F1390),"")</f>
        <v/>
      </c>
      <c r="U1390" s="152">
        <f>IFERROR(ABS(K1390-YEAR('02_대상물건입력'!B14)),"")</f>
        <v/>
      </c>
      <c r="V1390" s="152">
        <f>IF(B1390="","",IF(AND(E1390&gt;0,F1390&gt;0,H1390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1390=1,TRUE()),R1390&lt;='01_설정'!B5,S1390&lt;='01_설정'!B6,T1390&lt;='01_설정'!B7,U1390&lt;='01_설정'!B8),"Y",""))</f>
        <v/>
      </c>
      <c r="W1390" s="172">
        <f>IF(V1390&lt;&gt;"Y","",MAX(0,(1-R1390/'01_설정'!B5))*'01_설정'!B14+MAX(0,(1-S1390/'01_설정'!B6))*'01_설정'!B15+MAX(0,(1-T1390/'01_설정'!B7))*'01_설정'!B16+MAX(0,(1-U1390/'01_설정'!B8))*'01_설정'!B17+O1390*'01_설정'!B11+Q1390*'01_설정'!B12+P1390*'01_설정'!B13+IF(Z1390="",0,Z1390))</f>
        <v/>
      </c>
      <c r="X1390" s="152">
        <f>IF(W1390="","",1+COUNTIFS($W$4:$W$3003,"&gt;"&amp;W1390)+COUNTIFS($W$4:W1390,W1390)-1)</f>
        <v/>
      </c>
      <c r="Y1390" s="175">
        <f>IF(OR(I1390="",'02_대상물건입력'!B19="",'02_대상물건입력'!B19&lt;=0),"",ABS(I1390-'02_대상물건입력'!B19)/'02_대상물건입력'!B19)</f>
        <v/>
      </c>
      <c r="Z1390" s="172">
        <f>IF(OR(Y1390="",'01_설정'!B31="",'01_설정'!B31&lt;=0,'01_설정'!B32="",'01_설정'!B32&lt;=0),"",MAX(0,(1-Y1390/'01_설정'!B32))*'01_설정'!B31)</f>
        <v/>
      </c>
    </row>
    <row r="1391" ht="17.25" customHeight="1">
      <c r="A1391" s="152">
        <f>IF(INDEX('04A_국토부원자료'!$A:$A,ROW()+1)="","",ROW()-3)</f>
        <v/>
      </c>
      <c r="B1391" s="48">
        <f>IFERROR(INDEX('04A_국토부원자료'!$A:$T,ROW()+1,MATCH("시군구",'04A_국토부원자료'!$A$4:$T$4,0)),"")</f>
        <v/>
      </c>
      <c r="C1391" s="48">
        <f>IF(B1391="","",IFERROR(INDEX('04A_국토부원자료'!$A:$T,ROW()+1,MATCH("번지",'04A_국토부원자료'!$A$4:$T$4,0)),""))</f>
        <v/>
      </c>
      <c r="D1391" s="48">
        <f>IF(B1391="","",IF(Q1391=1,'02_대상물건입력'!$B$8,IFERROR(INDEX('04A_국토부원자료'!$A:$T,ROW()+1,MATCH("단지명",'04A_국토부원자료'!$A$4:$T$4,0)),"")))</f>
        <v/>
      </c>
      <c r="E1391" s="172">
        <f>IFERROR(VALUE(SUBSTITUTE(INDEX('04A_국토부원자료'!$A:$T,ROW()+1,MATCH("전용면적(㎡)",'04A_국토부원자료'!$A$4:$T$4,0)),",","")),"")</f>
        <v/>
      </c>
      <c r="F13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91" s="51">
        <f>IFERROR(VALUE(SUBSTITUTE(INDEX('04A_국토부원자료'!$A:$T,ROW()+1,MATCH("거래금액(만원)",'04A_국토부원자료'!$A$4:$T$4,0)),",","")),"")</f>
        <v/>
      </c>
      <c r="H1391" s="174">
        <f>IF(G1391="","",G1391*10000)</f>
        <v/>
      </c>
      <c r="I1391" s="174">
        <f>IFERROR(IF(AND(H1391&gt;0,E1391&gt;0),H1391/E1391,""),"")</f>
        <v/>
      </c>
      <c r="J1391" s="152">
        <f>IFERROR(VALUE(SUBSTITUTE(INDEX('04A_국토부원자료'!$A:$T,ROW()+1,MATCH("층",'04A_국토부원자료'!$A$4:$T$4,0)),",","")),"")</f>
        <v/>
      </c>
      <c r="K1391" s="152">
        <f>IFERROR(VALUE(SUBSTITUTE(INDEX('04A_국토부원자료'!$A:$T,ROW()+1,MATCH("건축년도",'04A_국토부원자료'!$A$4:$T$4,0)),",","")),"")</f>
        <v/>
      </c>
      <c r="L1391" s="176">
        <f>IFERROR(INDEX('04A_국토부원자료'!$A:$T,ROW()+1,MATCH("도로명",'04A_국토부원자료'!$A$4:$T$4,0)),"")</f>
        <v/>
      </c>
      <c r="M1391" s="48">
        <f>IFERROR(INDEX('04A_국토부원자료'!$A:$T,ROW()+1,MATCH("거래유형",'04A_국토부원자료'!$A$4:$T$4,0)),"")</f>
        <v/>
      </c>
      <c r="N1391" s="152">
        <f>IF(B1391="","",IF('02_대상물건입력'!B5="",1,IF(ISNUMBER(SEARCH('02_대상물건입력'!B5,B1391)),1,0)))</f>
        <v/>
      </c>
      <c r="O1391" s="152">
        <f>IF(B1391="","",IF('02_대상물건입력'!B6="",1,IF(ISNUMBER(SEARCH('02_대상물건입력'!B6,B1391)),1,0)))</f>
        <v/>
      </c>
      <c r="P1391" s="152">
        <f>IF(L1391="","",IF('02_대상물건입력'!B15="",0,IF(ISNUMBER(SEARCH('02_대상물건입력'!B15,L1391)),1,0)))</f>
        <v/>
      </c>
      <c r="Q1391" s="152">
        <f>IF(OR(C1391="",L1391=""),0,IF(AND(TRIM(C1391)=TRIM(RIGHT(SUBSTITUTE(TRIM('02_대상물건입력'!$B$7)," ",REPT(" ",99)),99)),IF('02_대상물건입력'!B15="",TRUE(),ISNUMBER(SEARCH('02_대상물건입력'!B15,L1391)))),1,0))</f>
        <v/>
      </c>
      <c r="R1391" s="175">
        <f>IFERROR(ABS(E1391-'02_대상물건입력'!B11)/'02_대상물건입력'!B11,"")</f>
        <v/>
      </c>
      <c r="S1391" s="152">
        <f>IFERROR(ABS(J1391-'02_대상물건입력'!B10),"")</f>
        <v/>
      </c>
      <c r="T1391" s="152">
        <f>IFERROR(ABS('01_설정'!B4-F1391),"")</f>
        <v/>
      </c>
      <c r="U1391" s="152">
        <f>IFERROR(ABS(K1391-YEAR('02_대상물건입력'!B14)),"")</f>
        <v/>
      </c>
      <c r="V1391" s="152">
        <f>IF(B1391="","",IF(AND(E1391&gt;0,F1391&gt;0,H1391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1391=1,TRUE()),R1391&lt;='01_설정'!B5,S1391&lt;='01_설정'!B6,T1391&lt;='01_설정'!B7,U1391&lt;='01_설정'!B8),"Y",""))</f>
        <v/>
      </c>
      <c r="W1391" s="172">
        <f>IF(V1391&lt;&gt;"Y","",MAX(0,(1-R1391/'01_설정'!B5))*'01_설정'!B14+MAX(0,(1-S1391/'01_설정'!B6))*'01_설정'!B15+MAX(0,(1-T1391/'01_설정'!B7))*'01_설정'!B16+MAX(0,(1-U1391/'01_설정'!B8))*'01_설정'!B17+O1391*'01_설정'!B11+Q1391*'01_설정'!B12+P1391*'01_설정'!B13+IF(Z1391="",0,Z1391))</f>
        <v/>
      </c>
      <c r="X1391" s="152">
        <f>IF(W1391="","",1+COUNTIFS($W$4:$W$3003,"&gt;"&amp;W1391)+COUNTIFS($W$4:W1391,W1391)-1)</f>
        <v/>
      </c>
      <c r="Y1391" s="175">
        <f>IF(OR(I1391="",'02_대상물건입력'!B19="",'02_대상물건입력'!B19&lt;=0),"",ABS(I1391-'02_대상물건입력'!B19)/'02_대상물건입력'!B19)</f>
        <v/>
      </c>
      <c r="Z1391" s="172">
        <f>IF(OR(Y1391="",'01_설정'!B31="",'01_설정'!B31&lt;=0,'01_설정'!B32="",'01_설정'!B32&lt;=0),"",MAX(0,(1-Y1391/'01_설정'!B32))*'01_설정'!B31)</f>
        <v/>
      </c>
    </row>
    <row r="1392" ht="17.25" customHeight="1">
      <c r="A1392" s="152">
        <f>IF(INDEX('04A_국토부원자료'!$A:$A,ROW()+1)="","",ROW()-3)</f>
        <v/>
      </c>
      <c r="B1392" s="48">
        <f>IFERROR(INDEX('04A_국토부원자료'!$A:$T,ROW()+1,MATCH("시군구",'04A_국토부원자료'!$A$4:$T$4,0)),"")</f>
        <v/>
      </c>
      <c r="C1392" s="48">
        <f>IF(B1392="","",IFERROR(INDEX('04A_국토부원자료'!$A:$T,ROW()+1,MATCH("번지",'04A_국토부원자료'!$A$4:$T$4,0)),""))</f>
        <v/>
      </c>
      <c r="D1392" s="48">
        <f>IF(B1392="","",IF(Q1392=1,'02_대상물건입력'!$B$8,IFERROR(INDEX('04A_국토부원자료'!$A:$T,ROW()+1,MATCH("단지명",'04A_국토부원자료'!$A$4:$T$4,0)),"")))</f>
        <v/>
      </c>
      <c r="E1392" s="172">
        <f>IFERROR(VALUE(SUBSTITUTE(INDEX('04A_국토부원자료'!$A:$T,ROW()+1,MATCH("전용면적(㎡)",'04A_국토부원자료'!$A$4:$T$4,0)),",","")),"")</f>
        <v/>
      </c>
      <c r="F13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92" s="51">
        <f>IFERROR(VALUE(SUBSTITUTE(INDEX('04A_국토부원자료'!$A:$T,ROW()+1,MATCH("거래금액(만원)",'04A_국토부원자료'!$A$4:$T$4,0)),",","")),"")</f>
        <v/>
      </c>
      <c r="H1392" s="174">
        <f>IF(G1392="","",G1392*10000)</f>
        <v/>
      </c>
      <c r="I1392" s="174">
        <f>IFERROR(IF(AND(H1392&gt;0,E1392&gt;0),H1392/E1392,""),"")</f>
        <v/>
      </c>
      <c r="J1392" s="152">
        <f>IFERROR(VALUE(SUBSTITUTE(INDEX('04A_국토부원자료'!$A:$T,ROW()+1,MATCH("층",'04A_국토부원자료'!$A$4:$T$4,0)),",","")),"")</f>
        <v/>
      </c>
      <c r="K1392" s="152">
        <f>IFERROR(VALUE(SUBSTITUTE(INDEX('04A_국토부원자료'!$A:$T,ROW()+1,MATCH("건축년도",'04A_국토부원자료'!$A$4:$T$4,0)),",","")),"")</f>
        <v/>
      </c>
      <c r="L1392" s="176">
        <f>IFERROR(INDEX('04A_국토부원자료'!$A:$T,ROW()+1,MATCH("도로명",'04A_국토부원자료'!$A$4:$T$4,0)),"")</f>
        <v/>
      </c>
      <c r="M1392" s="48">
        <f>IFERROR(INDEX('04A_국토부원자료'!$A:$T,ROW()+1,MATCH("거래유형",'04A_국토부원자료'!$A$4:$T$4,0)),"")</f>
        <v/>
      </c>
      <c r="N1392" s="152">
        <f>IF(B1392="","",IF('02_대상물건입력'!B5="",1,IF(ISNUMBER(SEARCH('02_대상물건입력'!B5,B1392)),1,0)))</f>
        <v/>
      </c>
      <c r="O1392" s="152">
        <f>IF(B1392="","",IF('02_대상물건입력'!B6="",1,IF(ISNUMBER(SEARCH('02_대상물건입력'!B6,B1392)),1,0)))</f>
        <v/>
      </c>
      <c r="P1392" s="152">
        <f>IF(L1392="","",IF('02_대상물건입력'!B15="",0,IF(ISNUMBER(SEARCH('02_대상물건입력'!B15,L1392)),1,0)))</f>
        <v/>
      </c>
      <c r="Q1392" s="152">
        <f>IF(OR(C1392="",L1392=""),0,IF(AND(TRIM(C1392)=TRIM(RIGHT(SUBSTITUTE(TRIM('02_대상물건입력'!$B$7)," ",REPT(" ",99)),99)),IF('02_대상물건입력'!B15="",TRUE(),ISNUMBER(SEARCH('02_대상물건입력'!B15,L1392)))),1,0))</f>
        <v/>
      </c>
      <c r="R1392" s="175">
        <f>IFERROR(ABS(E1392-'02_대상물건입력'!B11)/'02_대상물건입력'!B11,"")</f>
        <v/>
      </c>
      <c r="S1392" s="152">
        <f>IFERROR(ABS(J1392-'02_대상물건입력'!B10),"")</f>
        <v/>
      </c>
      <c r="T1392" s="152">
        <f>IFERROR(ABS('01_설정'!B4-F1392),"")</f>
        <v/>
      </c>
      <c r="U1392" s="152">
        <f>IFERROR(ABS(K1392-YEAR('02_대상물건입력'!B14)),"")</f>
        <v/>
      </c>
      <c r="V1392" s="152">
        <f>IF(B1392="","",IF(AND(E1392&gt;0,F1392&gt;0,H1392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1392=1,TRUE()),R1392&lt;='01_설정'!B5,S1392&lt;='01_설정'!B6,T1392&lt;='01_설정'!B7,U1392&lt;='01_설정'!B8),"Y",""))</f>
        <v/>
      </c>
      <c r="W1392" s="172">
        <f>IF(V1392&lt;&gt;"Y","",MAX(0,(1-R1392/'01_설정'!B5))*'01_설정'!B14+MAX(0,(1-S1392/'01_설정'!B6))*'01_설정'!B15+MAX(0,(1-T1392/'01_설정'!B7))*'01_설정'!B16+MAX(0,(1-U1392/'01_설정'!B8))*'01_설정'!B17+O1392*'01_설정'!B11+Q1392*'01_설정'!B12+P1392*'01_설정'!B13+IF(Z1392="",0,Z1392))</f>
        <v/>
      </c>
      <c r="X1392" s="152">
        <f>IF(W1392="","",1+COUNTIFS($W$4:$W$3003,"&gt;"&amp;W1392)+COUNTIFS($W$4:W1392,W1392)-1)</f>
        <v/>
      </c>
      <c r="Y1392" s="175">
        <f>IF(OR(I1392="",'02_대상물건입력'!B19="",'02_대상물건입력'!B19&lt;=0),"",ABS(I1392-'02_대상물건입력'!B19)/'02_대상물건입력'!B19)</f>
        <v/>
      </c>
      <c r="Z1392" s="172">
        <f>IF(OR(Y1392="",'01_설정'!B31="",'01_설정'!B31&lt;=0,'01_설정'!B32="",'01_설정'!B32&lt;=0),"",MAX(0,(1-Y1392/'01_설정'!B32))*'01_설정'!B31)</f>
        <v/>
      </c>
    </row>
    <row r="1393" ht="17.25" customHeight="1">
      <c r="A1393" s="152">
        <f>IF(INDEX('04A_국토부원자료'!$A:$A,ROW()+1)="","",ROW()-3)</f>
        <v/>
      </c>
      <c r="B1393" s="48">
        <f>IFERROR(INDEX('04A_국토부원자료'!$A:$T,ROW()+1,MATCH("시군구",'04A_국토부원자료'!$A$4:$T$4,0)),"")</f>
        <v/>
      </c>
      <c r="C1393" s="48">
        <f>IF(B1393="","",IFERROR(INDEX('04A_국토부원자료'!$A:$T,ROW()+1,MATCH("번지",'04A_국토부원자료'!$A$4:$T$4,0)),""))</f>
        <v/>
      </c>
      <c r="D1393" s="48">
        <f>IF(B1393="","",IF(Q1393=1,'02_대상물건입력'!$B$8,IFERROR(INDEX('04A_국토부원자료'!$A:$T,ROW()+1,MATCH("단지명",'04A_국토부원자료'!$A$4:$T$4,0)),"")))</f>
        <v/>
      </c>
      <c r="E1393" s="172">
        <f>IFERROR(VALUE(SUBSTITUTE(INDEX('04A_국토부원자료'!$A:$T,ROW()+1,MATCH("전용면적(㎡)",'04A_국토부원자료'!$A$4:$T$4,0)),",","")),"")</f>
        <v/>
      </c>
      <c r="F13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93" s="51">
        <f>IFERROR(VALUE(SUBSTITUTE(INDEX('04A_국토부원자료'!$A:$T,ROW()+1,MATCH("거래금액(만원)",'04A_국토부원자료'!$A$4:$T$4,0)),",","")),"")</f>
        <v/>
      </c>
      <c r="H1393" s="174">
        <f>IF(G1393="","",G1393*10000)</f>
        <v/>
      </c>
      <c r="I1393" s="174">
        <f>IFERROR(IF(AND(H1393&gt;0,E1393&gt;0),H1393/E1393,""),"")</f>
        <v/>
      </c>
      <c r="J1393" s="152">
        <f>IFERROR(VALUE(SUBSTITUTE(INDEX('04A_국토부원자료'!$A:$T,ROW()+1,MATCH("층",'04A_국토부원자료'!$A$4:$T$4,0)),",","")),"")</f>
        <v/>
      </c>
      <c r="K1393" s="152">
        <f>IFERROR(VALUE(SUBSTITUTE(INDEX('04A_국토부원자료'!$A:$T,ROW()+1,MATCH("건축년도",'04A_국토부원자료'!$A$4:$T$4,0)),",","")),"")</f>
        <v/>
      </c>
      <c r="L1393" s="176">
        <f>IFERROR(INDEX('04A_국토부원자료'!$A:$T,ROW()+1,MATCH("도로명",'04A_국토부원자료'!$A$4:$T$4,0)),"")</f>
        <v/>
      </c>
      <c r="M1393" s="48">
        <f>IFERROR(INDEX('04A_국토부원자료'!$A:$T,ROW()+1,MATCH("거래유형",'04A_국토부원자료'!$A$4:$T$4,0)),"")</f>
        <v/>
      </c>
      <c r="N1393" s="152">
        <f>IF(B1393="","",IF('02_대상물건입력'!B5="",1,IF(ISNUMBER(SEARCH('02_대상물건입력'!B5,B1393)),1,0)))</f>
        <v/>
      </c>
      <c r="O1393" s="152">
        <f>IF(B1393="","",IF('02_대상물건입력'!B6="",1,IF(ISNUMBER(SEARCH('02_대상물건입력'!B6,B1393)),1,0)))</f>
        <v/>
      </c>
      <c r="P1393" s="152">
        <f>IF(L1393="","",IF('02_대상물건입력'!B15="",0,IF(ISNUMBER(SEARCH('02_대상물건입력'!B15,L1393)),1,0)))</f>
        <v/>
      </c>
      <c r="Q1393" s="152">
        <f>IF(OR(C1393="",L1393=""),0,IF(AND(TRIM(C1393)=TRIM(RIGHT(SUBSTITUTE(TRIM('02_대상물건입력'!$B$7)," ",REPT(" ",99)),99)),IF('02_대상물건입력'!B15="",TRUE(),ISNUMBER(SEARCH('02_대상물건입력'!B15,L1393)))),1,0))</f>
        <v/>
      </c>
      <c r="R1393" s="175">
        <f>IFERROR(ABS(E1393-'02_대상물건입력'!B11)/'02_대상물건입력'!B11,"")</f>
        <v/>
      </c>
      <c r="S1393" s="152">
        <f>IFERROR(ABS(J1393-'02_대상물건입력'!B10),"")</f>
        <v/>
      </c>
      <c r="T1393" s="152">
        <f>IFERROR(ABS('01_설정'!B4-F1393),"")</f>
        <v/>
      </c>
      <c r="U1393" s="152">
        <f>IFERROR(ABS(K1393-YEAR('02_대상물건입력'!B14)),"")</f>
        <v/>
      </c>
      <c r="V1393" s="152">
        <f>IF(B1393="","",IF(AND(E1393&gt;0,F1393&gt;0,H1393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1393=1,TRUE()),R1393&lt;='01_설정'!B5,S1393&lt;='01_설정'!B6,T1393&lt;='01_설정'!B7,U1393&lt;='01_설정'!B8),"Y",""))</f>
        <v/>
      </c>
      <c r="W1393" s="172">
        <f>IF(V1393&lt;&gt;"Y","",MAX(0,(1-R1393/'01_설정'!B5))*'01_설정'!B14+MAX(0,(1-S1393/'01_설정'!B6))*'01_설정'!B15+MAX(0,(1-T1393/'01_설정'!B7))*'01_설정'!B16+MAX(0,(1-U1393/'01_설정'!B8))*'01_설정'!B17+O1393*'01_설정'!B11+Q1393*'01_설정'!B12+P1393*'01_설정'!B13+IF(Z1393="",0,Z1393))</f>
        <v/>
      </c>
      <c r="X1393" s="152">
        <f>IF(W1393="","",1+COUNTIFS($W$4:$W$3003,"&gt;"&amp;W1393)+COUNTIFS($W$4:W1393,W1393)-1)</f>
        <v/>
      </c>
      <c r="Y1393" s="175">
        <f>IF(OR(I1393="",'02_대상물건입력'!B19="",'02_대상물건입력'!B19&lt;=0),"",ABS(I1393-'02_대상물건입력'!B19)/'02_대상물건입력'!B19)</f>
        <v/>
      </c>
      <c r="Z1393" s="172">
        <f>IF(OR(Y1393="",'01_설정'!B31="",'01_설정'!B31&lt;=0,'01_설정'!B32="",'01_설정'!B32&lt;=0),"",MAX(0,(1-Y1393/'01_설정'!B32))*'01_설정'!B31)</f>
        <v/>
      </c>
    </row>
    <row r="1394" ht="17.25" customHeight="1">
      <c r="A1394" s="152">
        <f>IF(INDEX('04A_국토부원자료'!$A:$A,ROW()+1)="","",ROW()-3)</f>
        <v/>
      </c>
      <c r="B1394" s="48">
        <f>IFERROR(INDEX('04A_국토부원자료'!$A:$T,ROW()+1,MATCH("시군구",'04A_국토부원자료'!$A$4:$T$4,0)),"")</f>
        <v/>
      </c>
      <c r="C1394" s="48">
        <f>IF(B1394="","",IFERROR(INDEX('04A_국토부원자료'!$A:$T,ROW()+1,MATCH("번지",'04A_국토부원자료'!$A$4:$T$4,0)),""))</f>
        <v/>
      </c>
      <c r="D1394" s="48">
        <f>IF(B1394="","",IF(Q1394=1,'02_대상물건입력'!$B$8,IFERROR(INDEX('04A_국토부원자료'!$A:$T,ROW()+1,MATCH("단지명",'04A_국토부원자료'!$A$4:$T$4,0)),"")))</f>
        <v/>
      </c>
      <c r="E1394" s="172">
        <f>IFERROR(VALUE(SUBSTITUTE(INDEX('04A_국토부원자료'!$A:$T,ROW()+1,MATCH("전용면적(㎡)",'04A_국토부원자료'!$A$4:$T$4,0)),",","")),"")</f>
        <v/>
      </c>
      <c r="F13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94" s="51">
        <f>IFERROR(VALUE(SUBSTITUTE(INDEX('04A_국토부원자료'!$A:$T,ROW()+1,MATCH("거래금액(만원)",'04A_국토부원자료'!$A$4:$T$4,0)),",","")),"")</f>
        <v/>
      </c>
      <c r="H1394" s="174">
        <f>IF(G1394="","",G1394*10000)</f>
        <v/>
      </c>
      <c r="I1394" s="174">
        <f>IFERROR(IF(AND(H1394&gt;0,E1394&gt;0),H1394/E1394,""),"")</f>
        <v/>
      </c>
      <c r="J1394" s="152">
        <f>IFERROR(VALUE(SUBSTITUTE(INDEX('04A_국토부원자료'!$A:$T,ROW()+1,MATCH("층",'04A_국토부원자료'!$A$4:$T$4,0)),",","")),"")</f>
        <v/>
      </c>
      <c r="K1394" s="152">
        <f>IFERROR(VALUE(SUBSTITUTE(INDEX('04A_국토부원자료'!$A:$T,ROW()+1,MATCH("건축년도",'04A_국토부원자료'!$A$4:$T$4,0)),",","")),"")</f>
        <v/>
      </c>
      <c r="L1394" s="176">
        <f>IFERROR(INDEX('04A_국토부원자료'!$A:$T,ROW()+1,MATCH("도로명",'04A_국토부원자료'!$A$4:$T$4,0)),"")</f>
        <v/>
      </c>
      <c r="M1394" s="48">
        <f>IFERROR(INDEX('04A_국토부원자료'!$A:$T,ROW()+1,MATCH("거래유형",'04A_국토부원자료'!$A$4:$T$4,0)),"")</f>
        <v/>
      </c>
      <c r="N1394" s="152">
        <f>IF(B1394="","",IF('02_대상물건입력'!B5="",1,IF(ISNUMBER(SEARCH('02_대상물건입력'!B5,B1394)),1,0)))</f>
        <v/>
      </c>
      <c r="O1394" s="152">
        <f>IF(B1394="","",IF('02_대상물건입력'!B6="",1,IF(ISNUMBER(SEARCH('02_대상물건입력'!B6,B1394)),1,0)))</f>
        <v/>
      </c>
      <c r="P1394" s="152">
        <f>IF(L1394="","",IF('02_대상물건입력'!B15="",0,IF(ISNUMBER(SEARCH('02_대상물건입력'!B15,L1394)),1,0)))</f>
        <v/>
      </c>
      <c r="Q1394" s="152">
        <f>IF(OR(C1394="",L1394=""),0,IF(AND(TRIM(C1394)=TRIM(RIGHT(SUBSTITUTE(TRIM('02_대상물건입력'!$B$7)," ",REPT(" ",99)),99)),IF('02_대상물건입력'!B15="",TRUE(),ISNUMBER(SEARCH('02_대상물건입력'!B15,L1394)))),1,0))</f>
        <v/>
      </c>
      <c r="R1394" s="175">
        <f>IFERROR(ABS(E1394-'02_대상물건입력'!B11)/'02_대상물건입력'!B11,"")</f>
        <v/>
      </c>
      <c r="S1394" s="152">
        <f>IFERROR(ABS(J1394-'02_대상물건입력'!B10),"")</f>
        <v/>
      </c>
      <c r="T1394" s="152">
        <f>IFERROR(ABS('01_설정'!B4-F1394),"")</f>
        <v/>
      </c>
      <c r="U1394" s="152">
        <f>IFERROR(ABS(K1394-YEAR('02_대상물건입력'!B14)),"")</f>
        <v/>
      </c>
      <c r="V1394" s="152">
        <f>IF(B1394="","",IF(AND(E1394&gt;0,F1394&gt;0,H1394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1394=1,TRUE()),R1394&lt;='01_설정'!B5,S1394&lt;='01_설정'!B6,T1394&lt;='01_설정'!B7,U1394&lt;='01_설정'!B8),"Y",""))</f>
        <v/>
      </c>
      <c r="W1394" s="172">
        <f>IF(V1394&lt;&gt;"Y","",MAX(0,(1-R1394/'01_설정'!B5))*'01_설정'!B14+MAX(0,(1-S1394/'01_설정'!B6))*'01_설정'!B15+MAX(0,(1-T1394/'01_설정'!B7))*'01_설정'!B16+MAX(0,(1-U1394/'01_설정'!B8))*'01_설정'!B17+O1394*'01_설정'!B11+Q1394*'01_설정'!B12+P1394*'01_설정'!B13+IF(Z1394="",0,Z1394))</f>
        <v/>
      </c>
      <c r="X1394" s="152">
        <f>IF(W1394="","",1+COUNTIFS($W$4:$W$3003,"&gt;"&amp;W1394)+COUNTIFS($W$4:W1394,W1394)-1)</f>
        <v/>
      </c>
      <c r="Y1394" s="175">
        <f>IF(OR(I1394="",'02_대상물건입력'!B19="",'02_대상물건입력'!B19&lt;=0),"",ABS(I1394-'02_대상물건입력'!B19)/'02_대상물건입력'!B19)</f>
        <v/>
      </c>
      <c r="Z1394" s="172">
        <f>IF(OR(Y1394="",'01_설정'!B31="",'01_설정'!B31&lt;=0,'01_설정'!B32="",'01_설정'!B32&lt;=0),"",MAX(0,(1-Y1394/'01_설정'!B32))*'01_설정'!B31)</f>
        <v/>
      </c>
    </row>
    <row r="1395" ht="17.25" customHeight="1">
      <c r="A1395" s="152">
        <f>IF(INDEX('04A_국토부원자료'!$A:$A,ROW()+1)="","",ROW()-3)</f>
        <v/>
      </c>
      <c r="B1395" s="48">
        <f>IFERROR(INDEX('04A_국토부원자료'!$A:$T,ROW()+1,MATCH("시군구",'04A_국토부원자료'!$A$4:$T$4,0)),"")</f>
        <v/>
      </c>
      <c r="C1395" s="48">
        <f>IF(B1395="","",IFERROR(INDEX('04A_국토부원자료'!$A:$T,ROW()+1,MATCH("번지",'04A_국토부원자료'!$A$4:$T$4,0)),""))</f>
        <v/>
      </c>
      <c r="D1395" s="48">
        <f>IF(B1395="","",IF(Q1395=1,'02_대상물건입력'!$B$8,IFERROR(INDEX('04A_국토부원자료'!$A:$T,ROW()+1,MATCH("단지명",'04A_국토부원자료'!$A$4:$T$4,0)),"")))</f>
        <v/>
      </c>
      <c r="E1395" s="172">
        <f>IFERROR(VALUE(SUBSTITUTE(INDEX('04A_국토부원자료'!$A:$T,ROW()+1,MATCH("전용면적(㎡)",'04A_국토부원자료'!$A$4:$T$4,0)),",","")),"")</f>
        <v/>
      </c>
      <c r="F13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95" s="51">
        <f>IFERROR(VALUE(SUBSTITUTE(INDEX('04A_국토부원자료'!$A:$T,ROW()+1,MATCH("거래금액(만원)",'04A_국토부원자료'!$A$4:$T$4,0)),",","")),"")</f>
        <v/>
      </c>
      <c r="H1395" s="174">
        <f>IF(G1395="","",G1395*10000)</f>
        <v/>
      </c>
      <c r="I1395" s="174">
        <f>IFERROR(IF(AND(H1395&gt;0,E1395&gt;0),H1395/E1395,""),"")</f>
        <v/>
      </c>
      <c r="J1395" s="152">
        <f>IFERROR(VALUE(SUBSTITUTE(INDEX('04A_국토부원자료'!$A:$T,ROW()+1,MATCH("층",'04A_국토부원자료'!$A$4:$T$4,0)),",","")),"")</f>
        <v/>
      </c>
      <c r="K1395" s="152">
        <f>IFERROR(VALUE(SUBSTITUTE(INDEX('04A_국토부원자료'!$A:$T,ROW()+1,MATCH("건축년도",'04A_국토부원자료'!$A$4:$T$4,0)),",","")),"")</f>
        <v/>
      </c>
      <c r="L1395" s="176">
        <f>IFERROR(INDEX('04A_국토부원자료'!$A:$T,ROW()+1,MATCH("도로명",'04A_국토부원자료'!$A$4:$T$4,0)),"")</f>
        <v/>
      </c>
      <c r="M1395" s="48">
        <f>IFERROR(INDEX('04A_국토부원자료'!$A:$T,ROW()+1,MATCH("거래유형",'04A_국토부원자료'!$A$4:$T$4,0)),"")</f>
        <v/>
      </c>
      <c r="N1395" s="152">
        <f>IF(B1395="","",IF('02_대상물건입력'!B5="",1,IF(ISNUMBER(SEARCH('02_대상물건입력'!B5,B1395)),1,0)))</f>
        <v/>
      </c>
      <c r="O1395" s="152">
        <f>IF(B1395="","",IF('02_대상물건입력'!B6="",1,IF(ISNUMBER(SEARCH('02_대상물건입력'!B6,B1395)),1,0)))</f>
        <v/>
      </c>
      <c r="P1395" s="152">
        <f>IF(L1395="","",IF('02_대상물건입력'!B15="",0,IF(ISNUMBER(SEARCH('02_대상물건입력'!B15,L1395)),1,0)))</f>
        <v/>
      </c>
      <c r="Q1395" s="152">
        <f>IF(OR(C1395="",L1395=""),0,IF(AND(TRIM(C1395)=TRIM(RIGHT(SUBSTITUTE(TRIM('02_대상물건입력'!$B$7)," ",REPT(" ",99)),99)),IF('02_대상물건입력'!B15="",TRUE(),ISNUMBER(SEARCH('02_대상물건입력'!B15,L1395)))),1,0))</f>
        <v/>
      </c>
      <c r="R1395" s="175">
        <f>IFERROR(ABS(E1395-'02_대상물건입력'!B11)/'02_대상물건입력'!B11,"")</f>
        <v/>
      </c>
      <c r="S1395" s="152">
        <f>IFERROR(ABS(J1395-'02_대상물건입력'!B10),"")</f>
        <v/>
      </c>
      <c r="T1395" s="152">
        <f>IFERROR(ABS('01_설정'!B4-F1395),"")</f>
        <v/>
      </c>
      <c r="U1395" s="152">
        <f>IFERROR(ABS(K1395-YEAR('02_대상물건입력'!B14)),"")</f>
        <v/>
      </c>
      <c r="V1395" s="152">
        <f>IF(B1395="","",IF(AND(E1395&gt;0,F1395&gt;0,H1395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1395=1,TRUE()),R1395&lt;='01_설정'!B5,S1395&lt;='01_설정'!B6,T1395&lt;='01_설정'!B7,U1395&lt;='01_설정'!B8),"Y",""))</f>
        <v/>
      </c>
      <c r="W1395" s="172">
        <f>IF(V1395&lt;&gt;"Y","",MAX(0,(1-R1395/'01_설정'!B5))*'01_설정'!B14+MAX(0,(1-S1395/'01_설정'!B6))*'01_설정'!B15+MAX(0,(1-T1395/'01_설정'!B7))*'01_설정'!B16+MAX(0,(1-U1395/'01_설정'!B8))*'01_설정'!B17+O1395*'01_설정'!B11+Q1395*'01_설정'!B12+P1395*'01_설정'!B13+IF(Z1395="",0,Z1395))</f>
        <v/>
      </c>
      <c r="X1395" s="152">
        <f>IF(W1395="","",1+COUNTIFS($W$4:$W$3003,"&gt;"&amp;W1395)+COUNTIFS($W$4:W1395,W1395)-1)</f>
        <v/>
      </c>
      <c r="Y1395" s="175">
        <f>IF(OR(I1395="",'02_대상물건입력'!B19="",'02_대상물건입력'!B19&lt;=0),"",ABS(I1395-'02_대상물건입력'!B19)/'02_대상물건입력'!B19)</f>
        <v/>
      </c>
      <c r="Z1395" s="172">
        <f>IF(OR(Y1395="",'01_설정'!B31="",'01_설정'!B31&lt;=0,'01_설정'!B32="",'01_설정'!B32&lt;=0),"",MAX(0,(1-Y1395/'01_설정'!B32))*'01_설정'!B31)</f>
        <v/>
      </c>
    </row>
    <row r="1396" ht="17.25" customHeight="1">
      <c r="A1396" s="152">
        <f>IF(INDEX('04A_국토부원자료'!$A:$A,ROW()+1)="","",ROW()-3)</f>
        <v/>
      </c>
      <c r="B1396" s="48">
        <f>IFERROR(INDEX('04A_국토부원자료'!$A:$T,ROW()+1,MATCH("시군구",'04A_국토부원자료'!$A$4:$T$4,0)),"")</f>
        <v/>
      </c>
      <c r="C1396" s="48">
        <f>IF(B1396="","",IFERROR(INDEX('04A_국토부원자료'!$A:$T,ROW()+1,MATCH("번지",'04A_국토부원자료'!$A$4:$T$4,0)),""))</f>
        <v/>
      </c>
      <c r="D1396" s="48">
        <f>IF(B1396="","",IF(Q1396=1,'02_대상물건입력'!$B$8,IFERROR(INDEX('04A_국토부원자료'!$A:$T,ROW()+1,MATCH("단지명",'04A_국토부원자료'!$A$4:$T$4,0)),"")))</f>
        <v/>
      </c>
      <c r="E1396" s="172">
        <f>IFERROR(VALUE(SUBSTITUTE(INDEX('04A_국토부원자료'!$A:$T,ROW()+1,MATCH("전용면적(㎡)",'04A_국토부원자료'!$A$4:$T$4,0)),",","")),"")</f>
        <v/>
      </c>
      <c r="F13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96" s="51">
        <f>IFERROR(VALUE(SUBSTITUTE(INDEX('04A_국토부원자료'!$A:$T,ROW()+1,MATCH("거래금액(만원)",'04A_국토부원자료'!$A$4:$T$4,0)),",","")),"")</f>
        <v/>
      </c>
      <c r="H1396" s="174">
        <f>IF(G1396="","",G1396*10000)</f>
        <v/>
      </c>
      <c r="I1396" s="174">
        <f>IFERROR(IF(AND(H1396&gt;0,E1396&gt;0),H1396/E1396,""),"")</f>
        <v/>
      </c>
      <c r="J1396" s="152">
        <f>IFERROR(VALUE(SUBSTITUTE(INDEX('04A_국토부원자료'!$A:$T,ROW()+1,MATCH("층",'04A_국토부원자료'!$A$4:$T$4,0)),",","")),"")</f>
        <v/>
      </c>
      <c r="K1396" s="152">
        <f>IFERROR(VALUE(SUBSTITUTE(INDEX('04A_국토부원자료'!$A:$T,ROW()+1,MATCH("건축년도",'04A_국토부원자료'!$A$4:$T$4,0)),",","")),"")</f>
        <v/>
      </c>
      <c r="L1396" s="176">
        <f>IFERROR(INDEX('04A_국토부원자료'!$A:$T,ROW()+1,MATCH("도로명",'04A_국토부원자료'!$A$4:$T$4,0)),"")</f>
        <v/>
      </c>
      <c r="M1396" s="48">
        <f>IFERROR(INDEX('04A_국토부원자료'!$A:$T,ROW()+1,MATCH("거래유형",'04A_국토부원자료'!$A$4:$T$4,0)),"")</f>
        <v/>
      </c>
      <c r="N1396" s="152">
        <f>IF(B1396="","",IF('02_대상물건입력'!B5="",1,IF(ISNUMBER(SEARCH('02_대상물건입력'!B5,B1396)),1,0)))</f>
        <v/>
      </c>
      <c r="O1396" s="152">
        <f>IF(B1396="","",IF('02_대상물건입력'!B6="",1,IF(ISNUMBER(SEARCH('02_대상물건입력'!B6,B1396)),1,0)))</f>
        <v/>
      </c>
      <c r="P1396" s="152">
        <f>IF(L1396="","",IF('02_대상물건입력'!B15="",0,IF(ISNUMBER(SEARCH('02_대상물건입력'!B15,L1396)),1,0)))</f>
        <v/>
      </c>
      <c r="Q1396" s="152">
        <f>IF(OR(C1396="",L1396=""),0,IF(AND(TRIM(C1396)=TRIM(RIGHT(SUBSTITUTE(TRIM('02_대상물건입력'!$B$7)," ",REPT(" ",99)),99)),IF('02_대상물건입력'!B15="",TRUE(),ISNUMBER(SEARCH('02_대상물건입력'!B15,L1396)))),1,0))</f>
        <v/>
      </c>
      <c r="R1396" s="175">
        <f>IFERROR(ABS(E1396-'02_대상물건입력'!B11)/'02_대상물건입력'!B11,"")</f>
        <v/>
      </c>
      <c r="S1396" s="152">
        <f>IFERROR(ABS(J1396-'02_대상물건입력'!B10),"")</f>
        <v/>
      </c>
      <c r="T1396" s="152">
        <f>IFERROR(ABS('01_설정'!B4-F1396),"")</f>
        <v/>
      </c>
      <c r="U1396" s="152">
        <f>IFERROR(ABS(K1396-YEAR('02_대상물건입력'!B14)),"")</f>
        <v/>
      </c>
      <c r="V1396" s="152">
        <f>IF(B1396="","",IF(AND(E1396&gt;0,F1396&gt;0,H1396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1396=1,TRUE()),R1396&lt;='01_설정'!B5,S1396&lt;='01_설정'!B6,T1396&lt;='01_설정'!B7,U1396&lt;='01_설정'!B8),"Y",""))</f>
        <v/>
      </c>
      <c r="W1396" s="172">
        <f>IF(V1396&lt;&gt;"Y","",MAX(0,(1-R1396/'01_설정'!B5))*'01_설정'!B14+MAX(0,(1-S1396/'01_설정'!B6))*'01_설정'!B15+MAX(0,(1-T1396/'01_설정'!B7))*'01_설정'!B16+MAX(0,(1-U1396/'01_설정'!B8))*'01_설정'!B17+O1396*'01_설정'!B11+Q1396*'01_설정'!B12+P1396*'01_설정'!B13+IF(Z1396="",0,Z1396))</f>
        <v/>
      </c>
      <c r="X1396" s="152">
        <f>IF(W1396="","",1+COUNTIFS($W$4:$W$3003,"&gt;"&amp;W1396)+COUNTIFS($W$4:W1396,W1396)-1)</f>
        <v/>
      </c>
      <c r="Y1396" s="175">
        <f>IF(OR(I1396="",'02_대상물건입력'!B19="",'02_대상물건입력'!B19&lt;=0),"",ABS(I1396-'02_대상물건입력'!B19)/'02_대상물건입력'!B19)</f>
        <v/>
      </c>
      <c r="Z1396" s="172">
        <f>IF(OR(Y1396="",'01_설정'!B31="",'01_설정'!B31&lt;=0,'01_설정'!B32="",'01_설정'!B32&lt;=0),"",MAX(0,(1-Y1396/'01_설정'!B32))*'01_설정'!B31)</f>
        <v/>
      </c>
    </row>
    <row r="1397" ht="17.25" customHeight="1">
      <c r="A1397" s="152">
        <f>IF(INDEX('04A_국토부원자료'!$A:$A,ROW()+1)="","",ROW()-3)</f>
        <v/>
      </c>
      <c r="B1397" s="48">
        <f>IFERROR(INDEX('04A_국토부원자료'!$A:$T,ROW()+1,MATCH("시군구",'04A_국토부원자료'!$A$4:$T$4,0)),"")</f>
        <v/>
      </c>
      <c r="C1397" s="48">
        <f>IF(B1397="","",IFERROR(INDEX('04A_국토부원자료'!$A:$T,ROW()+1,MATCH("번지",'04A_국토부원자료'!$A$4:$T$4,0)),""))</f>
        <v/>
      </c>
      <c r="D1397" s="48">
        <f>IF(B1397="","",IF(Q1397=1,'02_대상물건입력'!$B$8,IFERROR(INDEX('04A_국토부원자료'!$A:$T,ROW()+1,MATCH("단지명",'04A_국토부원자료'!$A$4:$T$4,0)),"")))</f>
        <v/>
      </c>
      <c r="E1397" s="172">
        <f>IFERROR(VALUE(SUBSTITUTE(INDEX('04A_국토부원자료'!$A:$T,ROW()+1,MATCH("전용면적(㎡)",'04A_국토부원자료'!$A$4:$T$4,0)),",","")),"")</f>
        <v/>
      </c>
      <c r="F13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97" s="51">
        <f>IFERROR(VALUE(SUBSTITUTE(INDEX('04A_국토부원자료'!$A:$T,ROW()+1,MATCH("거래금액(만원)",'04A_국토부원자료'!$A$4:$T$4,0)),",","")),"")</f>
        <v/>
      </c>
      <c r="H1397" s="174">
        <f>IF(G1397="","",G1397*10000)</f>
        <v/>
      </c>
      <c r="I1397" s="174">
        <f>IFERROR(IF(AND(H1397&gt;0,E1397&gt;0),H1397/E1397,""),"")</f>
        <v/>
      </c>
      <c r="J1397" s="152">
        <f>IFERROR(VALUE(SUBSTITUTE(INDEX('04A_국토부원자료'!$A:$T,ROW()+1,MATCH("층",'04A_국토부원자료'!$A$4:$T$4,0)),",","")),"")</f>
        <v/>
      </c>
      <c r="K1397" s="152">
        <f>IFERROR(VALUE(SUBSTITUTE(INDEX('04A_국토부원자료'!$A:$T,ROW()+1,MATCH("건축년도",'04A_국토부원자료'!$A$4:$T$4,0)),",","")),"")</f>
        <v/>
      </c>
      <c r="L1397" s="176">
        <f>IFERROR(INDEX('04A_국토부원자료'!$A:$T,ROW()+1,MATCH("도로명",'04A_국토부원자료'!$A$4:$T$4,0)),"")</f>
        <v/>
      </c>
      <c r="M1397" s="48">
        <f>IFERROR(INDEX('04A_국토부원자료'!$A:$T,ROW()+1,MATCH("거래유형",'04A_국토부원자료'!$A$4:$T$4,0)),"")</f>
        <v/>
      </c>
      <c r="N1397" s="152">
        <f>IF(B1397="","",IF('02_대상물건입력'!B5="",1,IF(ISNUMBER(SEARCH('02_대상물건입력'!B5,B1397)),1,0)))</f>
        <v/>
      </c>
      <c r="O1397" s="152">
        <f>IF(B1397="","",IF('02_대상물건입력'!B6="",1,IF(ISNUMBER(SEARCH('02_대상물건입력'!B6,B1397)),1,0)))</f>
        <v/>
      </c>
      <c r="P1397" s="152">
        <f>IF(L1397="","",IF('02_대상물건입력'!B15="",0,IF(ISNUMBER(SEARCH('02_대상물건입력'!B15,L1397)),1,0)))</f>
        <v/>
      </c>
      <c r="Q1397" s="152">
        <f>IF(OR(C1397="",L1397=""),0,IF(AND(TRIM(C1397)=TRIM(RIGHT(SUBSTITUTE(TRIM('02_대상물건입력'!$B$7)," ",REPT(" ",99)),99)),IF('02_대상물건입력'!B15="",TRUE(),ISNUMBER(SEARCH('02_대상물건입력'!B15,L1397)))),1,0))</f>
        <v/>
      </c>
      <c r="R1397" s="175">
        <f>IFERROR(ABS(E1397-'02_대상물건입력'!B11)/'02_대상물건입력'!B11,"")</f>
        <v/>
      </c>
      <c r="S1397" s="152">
        <f>IFERROR(ABS(J1397-'02_대상물건입력'!B10),"")</f>
        <v/>
      </c>
      <c r="T1397" s="152">
        <f>IFERROR(ABS('01_설정'!B4-F1397),"")</f>
        <v/>
      </c>
      <c r="U1397" s="152">
        <f>IFERROR(ABS(K1397-YEAR('02_대상물건입력'!B14)),"")</f>
        <v/>
      </c>
      <c r="V1397" s="152">
        <f>IF(B1397="","",IF(AND(E1397&gt;0,F1397&gt;0,H1397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1397=1,TRUE()),R1397&lt;='01_설정'!B5,S1397&lt;='01_설정'!B6,T1397&lt;='01_설정'!B7,U1397&lt;='01_설정'!B8),"Y",""))</f>
        <v/>
      </c>
      <c r="W1397" s="172">
        <f>IF(V1397&lt;&gt;"Y","",MAX(0,(1-R1397/'01_설정'!B5))*'01_설정'!B14+MAX(0,(1-S1397/'01_설정'!B6))*'01_설정'!B15+MAX(0,(1-T1397/'01_설정'!B7))*'01_설정'!B16+MAX(0,(1-U1397/'01_설정'!B8))*'01_설정'!B17+O1397*'01_설정'!B11+Q1397*'01_설정'!B12+P1397*'01_설정'!B13+IF(Z1397="",0,Z1397))</f>
        <v/>
      </c>
      <c r="X1397" s="152">
        <f>IF(W1397="","",1+COUNTIFS($W$4:$W$3003,"&gt;"&amp;W1397)+COUNTIFS($W$4:W1397,W1397)-1)</f>
        <v/>
      </c>
      <c r="Y1397" s="175">
        <f>IF(OR(I1397="",'02_대상물건입력'!B19="",'02_대상물건입력'!B19&lt;=0),"",ABS(I1397-'02_대상물건입력'!B19)/'02_대상물건입력'!B19)</f>
        <v/>
      </c>
      <c r="Z1397" s="172">
        <f>IF(OR(Y1397="",'01_설정'!B31="",'01_설정'!B31&lt;=0,'01_설정'!B32="",'01_설정'!B32&lt;=0),"",MAX(0,(1-Y1397/'01_설정'!B32))*'01_설정'!B31)</f>
        <v/>
      </c>
    </row>
    <row r="1398" ht="17.25" customHeight="1">
      <c r="A1398" s="152">
        <f>IF(INDEX('04A_국토부원자료'!$A:$A,ROW()+1)="","",ROW()-3)</f>
        <v/>
      </c>
      <c r="B1398" s="48">
        <f>IFERROR(INDEX('04A_국토부원자료'!$A:$T,ROW()+1,MATCH("시군구",'04A_국토부원자료'!$A$4:$T$4,0)),"")</f>
        <v/>
      </c>
      <c r="C1398" s="48">
        <f>IF(B1398="","",IFERROR(INDEX('04A_국토부원자료'!$A:$T,ROW()+1,MATCH("번지",'04A_국토부원자료'!$A$4:$T$4,0)),""))</f>
        <v/>
      </c>
      <c r="D1398" s="48">
        <f>IF(B1398="","",IF(Q1398=1,'02_대상물건입력'!$B$8,IFERROR(INDEX('04A_국토부원자료'!$A:$T,ROW()+1,MATCH("단지명",'04A_국토부원자료'!$A$4:$T$4,0)),"")))</f>
        <v/>
      </c>
      <c r="E1398" s="172">
        <f>IFERROR(VALUE(SUBSTITUTE(INDEX('04A_국토부원자료'!$A:$T,ROW()+1,MATCH("전용면적(㎡)",'04A_국토부원자료'!$A$4:$T$4,0)),",","")),"")</f>
        <v/>
      </c>
      <c r="F13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98" s="51">
        <f>IFERROR(VALUE(SUBSTITUTE(INDEX('04A_국토부원자료'!$A:$T,ROW()+1,MATCH("거래금액(만원)",'04A_국토부원자료'!$A$4:$T$4,0)),",","")),"")</f>
        <v/>
      </c>
      <c r="H1398" s="174">
        <f>IF(G1398="","",G1398*10000)</f>
        <v/>
      </c>
      <c r="I1398" s="174">
        <f>IFERROR(IF(AND(H1398&gt;0,E1398&gt;0),H1398/E1398,""),"")</f>
        <v/>
      </c>
      <c r="J1398" s="152">
        <f>IFERROR(VALUE(SUBSTITUTE(INDEX('04A_국토부원자료'!$A:$T,ROW()+1,MATCH("층",'04A_국토부원자료'!$A$4:$T$4,0)),",","")),"")</f>
        <v/>
      </c>
      <c r="K1398" s="152">
        <f>IFERROR(VALUE(SUBSTITUTE(INDEX('04A_국토부원자료'!$A:$T,ROW()+1,MATCH("건축년도",'04A_국토부원자료'!$A$4:$T$4,0)),",","")),"")</f>
        <v/>
      </c>
      <c r="L1398" s="176">
        <f>IFERROR(INDEX('04A_국토부원자료'!$A:$T,ROW()+1,MATCH("도로명",'04A_국토부원자료'!$A$4:$T$4,0)),"")</f>
        <v/>
      </c>
      <c r="M1398" s="48">
        <f>IFERROR(INDEX('04A_국토부원자료'!$A:$T,ROW()+1,MATCH("거래유형",'04A_국토부원자료'!$A$4:$T$4,0)),"")</f>
        <v/>
      </c>
      <c r="N1398" s="152">
        <f>IF(B1398="","",IF('02_대상물건입력'!B5="",1,IF(ISNUMBER(SEARCH('02_대상물건입력'!B5,B1398)),1,0)))</f>
        <v/>
      </c>
      <c r="O1398" s="152">
        <f>IF(B1398="","",IF('02_대상물건입력'!B6="",1,IF(ISNUMBER(SEARCH('02_대상물건입력'!B6,B1398)),1,0)))</f>
        <v/>
      </c>
      <c r="P1398" s="152">
        <f>IF(L1398="","",IF('02_대상물건입력'!B15="",0,IF(ISNUMBER(SEARCH('02_대상물건입력'!B15,L1398)),1,0)))</f>
        <v/>
      </c>
      <c r="Q1398" s="152">
        <f>IF(OR(C1398="",L1398=""),0,IF(AND(TRIM(C1398)=TRIM(RIGHT(SUBSTITUTE(TRIM('02_대상물건입력'!$B$7)," ",REPT(" ",99)),99)),IF('02_대상물건입력'!B15="",TRUE(),ISNUMBER(SEARCH('02_대상물건입력'!B15,L1398)))),1,0))</f>
        <v/>
      </c>
      <c r="R1398" s="175">
        <f>IFERROR(ABS(E1398-'02_대상물건입력'!B11)/'02_대상물건입력'!B11,"")</f>
        <v/>
      </c>
      <c r="S1398" s="152">
        <f>IFERROR(ABS(J1398-'02_대상물건입력'!B10),"")</f>
        <v/>
      </c>
      <c r="T1398" s="152">
        <f>IFERROR(ABS('01_설정'!B4-F1398),"")</f>
        <v/>
      </c>
      <c r="U1398" s="152">
        <f>IFERROR(ABS(K1398-YEAR('02_대상물건입력'!B14)),"")</f>
        <v/>
      </c>
      <c r="V1398" s="152">
        <f>IF(B1398="","",IF(AND(E1398&gt;0,F1398&gt;0,H1398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1398=1,TRUE()),R1398&lt;='01_설정'!B5,S1398&lt;='01_설정'!B6,T1398&lt;='01_설정'!B7,U1398&lt;='01_설정'!B8),"Y",""))</f>
        <v/>
      </c>
      <c r="W1398" s="172">
        <f>IF(V1398&lt;&gt;"Y","",MAX(0,(1-R1398/'01_설정'!B5))*'01_설정'!B14+MAX(0,(1-S1398/'01_설정'!B6))*'01_설정'!B15+MAX(0,(1-T1398/'01_설정'!B7))*'01_설정'!B16+MAX(0,(1-U1398/'01_설정'!B8))*'01_설정'!B17+O1398*'01_설정'!B11+Q1398*'01_설정'!B12+P1398*'01_설정'!B13+IF(Z1398="",0,Z1398))</f>
        <v/>
      </c>
      <c r="X1398" s="152">
        <f>IF(W1398="","",1+COUNTIFS($W$4:$W$3003,"&gt;"&amp;W1398)+COUNTIFS($W$4:W1398,W1398)-1)</f>
        <v/>
      </c>
      <c r="Y1398" s="175">
        <f>IF(OR(I1398="",'02_대상물건입력'!B19="",'02_대상물건입력'!B19&lt;=0),"",ABS(I1398-'02_대상물건입력'!B19)/'02_대상물건입력'!B19)</f>
        <v/>
      </c>
      <c r="Z1398" s="172">
        <f>IF(OR(Y1398="",'01_설정'!B31="",'01_설정'!B31&lt;=0,'01_설정'!B32="",'01_설정'!B32&lt;=0),"",MAX(0,(1-Y1398/'01_설정'!B32))*'01_설정'!B31)</f>
        <v/>
      </c>
    </row>
    <row r="1399" ht="17.25" customHeight="1">
      <c r="A1399" s="152">
        <f>IF(INDEX('04A_국토부원자료'!$A:$A,ROW()+1)="","",ROW()-3)</f>
        <v/>
      </c>
      <c r="B1399" s="48">
        <f>IFERROR(INDEX('04A_국토부원자료'!$A:$T,ROW()+1,MATCH("시군구",'04A_국토부원자료'!$A$4:$T$4,0)),"")</f>
        <v/>
      </c>
      <c r="C1399" s="48">
        <f>IF(B1399="","",IFERROR(INDEX('04A_국토부원자료'!$A:$T,ROW()+1,MATCH("번지",'04A_국토부원자료'!$A$4:$T$4,0)),""))</f>
        <v/>
      </c>
      <c r="D1399" s="48">
        <f>IF(B1399="","",IF(Q1399=1,'02_대상물건입력'!$B$8,IFERROR(INDEX('04A_국토부원자료'!$A:$T,ROW()+1,MATCH("단지명",'04A_국토부원자료'!$A$4:$T$4,0)),"")))</f>
        <v/>
      </c>
      <c r="E1399" s="172">
        <f>IFERROR(VALUE(SUBSTITUTE(INDEX('04A_국토부원자료'!$A:$T,ROW()+1,MATCH("전용면적(㎡)",'04A_국토부원자료'!$A$4:$T$4,0)),",","")),"")</f>
        <v/>
      </c>
      <c r="F13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399" s="51">
        <f>IFERROR(VALUE(SUBSTITUTE(INDEX('04A_국토부원자료'!$A:$T,ROW()+1,MATCH("거래금액(만원)",'04A_국토부원자료'!$A$4:$T$4,0)),",","")),"")</f>
        <v/>
      </c>
      <c r="H1399" s="174">
        <f>IF(G1399="","",G1399*10000)</f>
        <v/>
      </c>
      <c r="I1399" s="174">
        <f>IFERROR(IF(AND(H1399&gt;0,E1399&gt;0),H1399/E1399,""),"")</f>
        <v/>
      </c>
      <c r="J1399" s="152">
        <f>IFERROR(VALUE(SUBSTITUTE(INDEX('04A_국토부원자료'!$A:$T,ROW()+1,MATCH("층",'04A_국토부원자료'!$A$4:$T$4,0)),",","")),"")</f>
        <v/>
      </c>
      <c r="K1399" s="152">
        <f>IFERROR(VALUE(SUBSTITUTE(INDEX('04A_국토부원자료'!$A:$T,ROW()+1,MATCH("건축년도",'04A_국토부원자료'!$A$4:$T$4,0)),",","")),"")</f>
        <v/>
      </c>
      <c r="L1399" s="176">
        <f>IFERROR(INDEX('04A_국토부원자료'!$A:$T,ROW()+1,MATCH("도로명",'04A_국토부원자료'!$A$4:$T$4,0)),"")</f>
        <v/>
      </c>
      <c r="M1399" s="48">
        <f>IFERROR(INDEX('04A_국토부원자료'!$A:$T,ROW()+1,MATCH("거래유형",'04A_국토부원자료'!$A$4:$T$4,0)),"")</f>
        <v/>
      </c>
      <c r="N1399" s="152">
        <f>IF(B1399="","",IF('02_대상물건입력'!B5="",1,IF(ISNUMBER(SEARCH('02_대상물건입력'!B5,B1399)),1,0)))</f>
        <v/>
      </c>
      <c r="O1399" s="152">
        <f>IF(B1399="","",IF('02_대상물건입력'!B6="",1,IF(ISNUMBER(SEARCH('02_대상물건입력'!B6,B1399)),1,0)))</f>
        <v/>
      </c>
      <c r="P1399" s="152">
        <f>IF(L1399="","",IF('02_대상물건입력'!B15="",0,IF(ISNUMBER(SEARCH('02_대상물건입력'!B15,L1399)),1,0)))</f>
        <v/>
      </c>
      <c r="Q1399" s="152">
        <f>IF(OR(C1399="",L1399=""),0,IF(AND(TRIM(C1399)=TRIM(RIGHT(SUBSTITUTE(TRIM('02_대상물건입력'!$B$7)," ",REPT(" ",99)),99)),IF('02_대상물건입력'!B15="",TRUE(),ISNUMBER(SEARCH('02_대상물건입력'!B15,L1399)))),1,0))</f>
        <v/>
      </c>
      <c r="R1399" s="175">
        <f>IFERROR(ABS(E1399-'02_대상물건입력'!B11)/'02_대상물건입력'!B11,"")</f>
        <v/>
      </c>
      <c r="S1399" s="152">
        <f>IFERROR(ABS(J1399-'02_대상물건입력'!B10),"")</f>
        <v/>
      </c>
      <c r="T1399" s="152">
        <f>IFERROR(ABS('01_설정'!B4-F1399),"")</f>
        <v/>
      </c>
      <c r="U1399" s="152">
        <f>IFERROR(ABS(K1399-YEAR('02_대상물건입력'!B14)),"")</f>
        <v/>
      </c>
      <c r="V1399" s="152">
        <f>IF(B1399="","",IF(AND(E1399&gt;0,F1399&gt;0,H1399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1399=1,TRUE()),R1399&lt;='01_설정'!B5,S1399&lt;='01_설정'!B6,T1399&lt;='01_설정'!B7,U1399&lt;='01_설정'!B8),"Y",""))</f>
        <v/>
      </c>
      <c r="W1399" s="172">
        <f>IF(V1399&lt;&gt;"Y","",MAX(0,(1-R1399/'01_설정'!B5))*'01_설정'!B14+MAX(0,(1-S1399/'01_설정'!B6))*'01_설정'!B15+MAX(0,(1-T1399/'01_설정'!B7))*'01_설정'!B16+MAX(0,(1-U1399/'01_설정'!B8))*'01_설정'!B17+O1399*'01_설정'!B11+Q1399*'01_설정'!B12+P1399*'01_설정'!B13+IF(Z1399="",0,Z1399))</f>
        <v/>
      </c>
      <c r="X1399" s="152">
        <f>IF(W1399="","",1+COUNTIFS($W$4:$W$3003,"&gt;"&amp;W1399)+COUNTIFS($W$4:W1399,W1399)-1)</f>
        <v/>
      </c>
      <c r="Y1399" s="175">
        <f>IF(OR(I1399="",'02_대상물건입력'!B19="",'02_대상물건입력'!B19&lt;=0),"",ABS(I1399-'02_대상물건입력'!B19)/'02_대상물건입력'!B19)</f>
        <v/>
      </c>
      <c r="Z1399" s="172">
        <f>IF(OR(Y1399="",'01_설정'!B31="",'01_설정'!B31&lt;=0,'01_설정'!B32="",'01_설정'!B32&lt;=0),"",MAX(0,(1-Y1399/'01_설정'!B32))*'01_설정'!B31)</f>
        <v/>
      </c>
    </row>
    <row r="1400" ht="17.25" customHeight="1">
      <c r="A1400" s="152">
        <f>IF(INDEX('04A_국토부원자료'!$A:$A,ROW()+1)="","",ROW()-3)</f>
        <v/>
      </c>
      <c r="B1400" s="48">
        <f>IFERROR(INDEX('04A_국토부원자료'!$A:$T,ROW()+1,MATCH("시군구",'04A_국토부원자료'!$A$4:$T$4,0)),"")</f>
        <v/>
      </c>
      <c r="C1400" s="48">
        <f>IF(B1400="","",IFERROR(INDEX('04A_국토부원자료'!$A:$T,ROW()+1,MATCH("번지",'04A_국토부원자료'!$A$4:$T$4,0)),""))</f>
        <v/>
      </c>
      <c r="D1400" s="48">
        <f>IF(B1400="","",IF(Q1400=1,'02_대상물건입력'!$B$8,IFERROR(INDEX('04A_국토부원자료'!$A:$T,ROW()+1,MATCH("단지명",'04A_국토부원자료'!$A$4:$T$4,0)),"")))</f>
        <v/>
      </c>
      <c r="E1400" s="172">
        <f>IFERROR(VALUE(SUBSTITUTE(INDEX('04A_국토부원자료'!$A:$T,ROW()+1,MATCH("전용면적(㎡)",'04A_국토부원자료'!$A$4:$T$4,0)),",","")),"")</f>
        <v/>
      </c>
      <c r="F14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00" s="51">
        <f>IFERROR(VALUE(SUBSTITUTE(INDEX('04A_국토부원자료'!$A:$T,ROW()+1,MATCH("거래금액(만원)",'04A_국토부원자료'!$A$4:$T$4,0)),",","")),"")</f>
        <v/>
      </c>
      <c r="H1400" s="174">
        <f>IF(G1400="","",G1400*10000)</f>
        <v/>
      </c>
      <c r="I1400" s="174">
        <f>IFERROR(IF(AND(H1400&gt;0,E1400&gt;0),H1400/E1400,""),"")</f>
        <v/>
      </c>
      <c r="J1400" s="152">
        <f>IFERROR(VALUE(SUBSTITUTE(INDEX('04A_국토부원자료'!$A:$T,ROW()+1,MATCH("층",'04A_국토부원자료'!$A$4:$T$4,0)),",","")),"")</f>
        <v/>
      </c>
      <c r="K1400" s="152">
        <f>IFERROR(VALUE(SUBSTITUTE(INDEX('04A_국토부원자료'!$A:$T,ROW()+1,MATCH("건축년도",'04A_국토부원자료'!$A$4:$T$4,0)),",","")),"")</f>
        <v/>
      </c>
      <c r="L1400" s="176">
        <f>IFERROR(INDEX('04A_국토부원자료'!$A:$T,ROW()+1,MATCH("도로명",'04A_국토부원자료'!$A$4:$T$4,0)),"")</f>
        <v/>
      </c>
      <c r="M1400" s="48">
        <f>IFERROR(INDEX('04A_국토부원자료'!$A:$T,ROW()+1,MATCH("거래유형",'04A_국토부원자료'!$A$4:$T$4,0)),"")</f>
        <v/>
      </c>
      <c r="N1400" s="152">
        <f>IF(B1400="","",IF('02_대상물건입력'!B5="",1,IF(ISNUMBER(SEARCH('02_대상물건입력'!B5,B1400)),1,0)))</f>
        <v/>
      </c>
      <c r="O1400" s="152">
        <f>IF(B1400="","",IF('02_대상물건입력'!B6="",1,IF(ISNUMBER(SEARCH('02_대상물건입력'!B6,B1400)),1,0)))</f>
        <v/>
      </c>
      <c r="P1400" s="152">
        <f>IF(L1400="","",IF('02_대상물건입력'!B15="",0,IF(ISNUMBER(SEARCH('02_대상물건입력'!B15,L1400)),1,0)))</f>
        <v/>
      </c>
      <c r="Q1400" s="152">
        <f>IF(OR(C1400="",L1400=""),0,IF(AND(TRIM(C1400)=TRIM(RIGHT(SUBSTITUTE(TRIM('02_대상물건입력'!$B$7)," ",REPT(" ",99)),99)),IF('02_대상물건입력'!B15="",TRUE(),ISNUMBER(SEARCH('02_대상물건입력'!B15,L1400)))),1,0))</f>
        <v/>
      </c>
      <c r="R1400" s="175">
        <f>IFERROR(ABS(E1400-'02_대상물건입력'!B11)/'02_대상물건입력'!B11,"")</f>
        <v/>
      </c>
      <c r="S1400" s="152">
        <f>IFERROR(ABS(J1400-'02_대상물건입력'!B10),"")</f>
        <v/>
      </c>
      <c r="T1400" s="152">
        <f>IFERROR(ABS('01_설정'!B4-F1400),"")</f>
        <v/>
      </c>
      <c r="U1400" s="152">
        <f>IFERROR(ABS(K1400-YEAR('02_대상물건입력'!B14)),"")</f>
        <v/>
      </c>
      <c r="V1400" s="152">
        <f>IF(B1400="","",IF(AND(E1400&gt;0,F1400&gt;0,H1400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1400=1,TRUE()),R1400&lt;='01_설정'!B5,S1400&lt;='01_설정'!B6,T1400&lt;='01_설정'!B7,U1400&lt;='01_설정'!B8),"Y",""))</f>
        <v/>
      </c>
      <c r="W1400" s="172">
        <f>IF(V1400&lt;&gt;"Y","",MAX(0,(1-R1400/'01_설정'!B5))*'01_설정'!B14+MAX(0,(1-S1400/'01_설정'!B6))*'01_설정'!B15+MAX(0,(1-T1400/'01_설정'!B7))*'01_설정'!B16+MAX(0,(1-U1400/'01_설정'!B8))*'01_설정'!B17+O1400*'01_설정'!B11+Q1400*'01_설정'!B12+P1400*'01_설정'!B13+IF(Z1400="",0,Z1400))</f>
        <v/>
      </c>
      <c r="X1400" s="152">
        <f>IF(W1400="","",1+COUNTIFS($W$4:$W$3003,"&gt;"&amp;W1400)+COUNTIFS($W$4:W1400,W1400)-1)</f>
        <v/>
      </c>
      <c r="Y1400" s="175">
        <f>IF(OR(I1400="",'02_대상물건입력'!B19="",'02_대상물건입력'!B19&lt;=0),"",ABS(I1400-'02_대상물건입력'!B19)/'02_대상물건입력'!B19)</f>
        <v/>
      </c>
      <c r="Z1400" s="172">
        <f>IF(OR(Y1400="",'01_설정'!B31="",'01_설정'!B31&lt;=0,'01_설정'!B32="",'01_설정'!B32&lt;=0),"",MAX(0,(1-Y1400/'01_설정'!B32))*'01_설정'!B31)</f>
        <v/>
      </c>
    </row>
    <row r="1401" ht="17.25" customHeight="1">
      <c r="A1401" s="152">
        <f>IF(INDEX('04A_국토부원자료'!$A:$A,ROW()+1)="","",ROW()-3)</f>
        <v/>
      </c>
      <c r="B1401" s="48">
        <f>IFERROR(INDEX('04A_국토부원자료'!$A:$T,ROW()+1,MATCH("시군구",'04A_국토부원자료'!$A$4:$T$4,0)),"")</f>
        <v/>
      </c>
      <c r="C1401" s="48">
        <f>IF(B1401="","",IFERROR(INDEX('04A_국토부원자료'!$A:$T,ROW()+1,MATCH("번지",'04A_국토부원자료'!$A$4:$T$4,0)),""))</f>
        <v/>
      </c>
      <c r="D1401" s="48">
        <f>IF(B1401="","",IF(Q1401=1,'02_대상물건입력'!$B$8,IFERROR(INDEX('04A_국토부원자료'!$A:$T,ROW()+1,MATCH("단지명",'04A_국토부원자료'!$A$4:$T$4,0)),"")))</f>
        <v/>
      </c>
      <c r="E1401" s="172">
        <f>IFERROR(VALUE(SUBSTITUTE(INDEX('04A_국토부원자료'!$A:$T,ROW()+1,MATCH("전용면적(㎡)",'04A_국토부원자료'!$A$4:$T$4,0)),",","")),"")</f>
        <v/>
      </c>
      <c r="F14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01" s="51">
        <f>IFERROR(VALUE(SUBSTITUTE(INDEX('04A_국토부원자료'!$A:$T,ROW()+1,MATCH("거래금액(만원)",'04A_국토부원자료'!$A$4:$T$4,0)),",","")),"")</f>
        <v/>
      </c>
      <c r="H1401" s="174">
        <f>IF(G1401="","",G1401*10000)</f>
        <v/>
      </c>
      <c r="I1401" s="174">
        <f>IFERROR(IF(AND(H1401&gt;0,E1401&gt;0),H1401/E1401,""),"")</f>
        <v/>
      </c>
      <c r="J1401" s="152">
        <f>IFERROR(VALUE(SUBSTITUTE(INDEX('04A_국토부원자료'!$A:$T,ROW()+1,MATCH("층",'04A_국토부원자료'!$A$4:$T$4,0)),",","")),"")</f>
        <v/>
      </c>
      <c r="K1401" s="152">
        <f>IFERROR(VALUE(SUBSTITUTE(INDEX('04A_국토부원자료'!$A:$T,ROW()+1,MATCH("건축년도",'04A_국토부원자료'!$A$4:$T$4,0)),",","")),"")</f>
        <v/>
      </c>
      <c r="L1401" s="176">
        <f>IFERROR(INDEX('04A_국토부원자료'!$A:$T,ROW()+1,MATCH("도로명",'04A_국토부원자료'!$A$4:$T$4,0)),"")</f>
        <v/>
      </c>
      <c r="M1401" s="48">
        <f>IFERROR(INDEX('04A_국토부원자료'!$A:$T,ROW()+1,MATCH("거래유형",'04A_국토부원자료'!$A$4:$T$4,0)),"")</f>
        <v/>
      </c>
      <c r="N1401" s="152">
        <f>IF(B1401="","",IF('02_대상물건입력'!B5="",1,IF(ISNUMBER(SEARCH('02_대상물건입력'!B5,B1401)),1,0)))</f>
        <v/>
      </c>
      <c r="O1401" s="152">
        <f>IF(B1401="","",IF('02_대상물건입력'!B6="",1,IF(ISNUMBER(SEARCH('02_대상물건입력'!B6,B1401)),1,0)))</f>
        <v/>
      </c>
      <c r="P1401" s="152">
        <f>IF(L1401="","",IF('02_대상물건입력'!B15="",0,IF(ISNUMBER(SEARCH('02_대상물건입력'!B15,L1401)),1,0)))</f>
        <v/>
      </c>
      <c r="Q1401" s="152">
        <f>IF(OR(C1401="",L1401=""),0,IF(AND(TRIM(C1401)=TRIM(RIGHT(SUBSTITUTE(TRIM('02_대상물건입력'!$B$7)," ",REPT(" ",99)),99)),IF('02_대상물건입력'!B15="",TRUE(),ISNUMBER(SEARCH('02_대상물건입력'!B15,L1401)))),1,0))</f>
        <v/>
      </c>
      <c r="R1401" s="175">
        <f>IFERROR(ABS(E1401-'02_대상물건입력'!B11)/'02_대상물건입력'!B11,"")</f>
        <v/>
      </c>
      <c r="S1401" s="152">
        <f>IFERROR(ABS(J1401-'02_대상물건입력'!B10),"")</f>
        <v/>
      </c>
      <c r="T1401" s="152">
        <f>IFERROR(ABS('01_설정'!B4-F1401),"")</f>
        <v/>
      </c>
      <c r="U1401" s="152">
        <f>IFERROR(ABS(K1401-YEAR('02_대상물건입력'!B14)),"")</f>
        <v/>
      </c>
      <c r="V1401" s="152">
        <f>IF(B1401="","",IF(AND(E1401&gt;0,F1401&gt;0,H1401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1401=1,TRUE()),R1401&lt;='01_설정'!B5,S1401&lt;='01_설정'!B6,T1401&lt;='01_설정'!B7,U1401&lt;='01_설정'!B8),"Y",""))</f>
        <v/>
      </c>
      <c r="W1401" s="172">
        <f>IF(V1401&lt;&gt;"Y","",MAX(0,(1-R1401/'01_설정'!B5))*'01_설정'!B14+MAX(0,(1-S1401/'01_설정'!B6))*'01_설정'!B15+MAX(0,(1-T1401/'01_설정'!B7))*'01_설정'!B16+MAX(0,(1-U1401/'01_설정'!B8))*'01_설정'!B17+O1401*'01_설정'!B11+Q1401*'01_설정'!B12+P1401*'01_설정'!B13+IF(Z1401="",0,Z1401))</f>
        <v/>
      </c>
      <c r="X1401" s="152">
        <f>IF(W1401="","",1+COUNTIFS($W$4:$W$3003,"&gt;"&amp;W1401)+COUNTIFS($W$4:W1401,W1401)-1)</f>
        <v/>
      </c>
      <c r="Y1401" s="175">
        <f>IF(OR(I1401="",'02_대상물건입력'!B19="",'02_대상물건입력'!B19&lt;=0),"",ABS(I1401-'02_대상물건입력'!B19)/'02_대상물건입력'!B19)</f>
        <v/>
      </c>
      <c r="Z1401" s="172">
        <f>IF(OR(Y1401="",'01_설정'!B31="",'01_설정'!B31&lt;=0,'01_설정'!B32="",'01_설정'!B32&lt;=0),"",MAX(0,(1-Y1401/'01_설정'!B32))*'01_설정'!B31)</f>
        <v/>
      </c>
    </row>
    <row r="1402" ht="17.25" customHeight="1">
      <c r="A1402" s="152">
        <f>IF(INDEX('04A_국토부원자료'!$A:$A,ROW()+1)="","",ROW()-3)</f>
        <v/>
      </c>
      <c r="B1402" s="48">
        <f>IFERROR(INDEX('04A_국토부원자료'!$A:$T,ROW()+1,MATCH("시군구",'04A_국토부원자료'!$A$4:$T$4,0)),"")</f>
        <v/>
      </c>
      <c r="C1402" s="48">
        <f>IF(B1402="","",IFERROR(INDEX('04A_국토부원자료'!$A:$T,ROW()+1,MATCH("번지",'04A_국토부원자료'!$A$4:$T$4,0)),""))</f>
        <v/>
      </c>
      <c r="D1402" s="48">
        <f>IF(B1402="","",IF(Q1402=1,'02_대상물건입력'!$B$8,IFERROR(INDEX('04A_국토부원자료'!$A:$T,ROW()+1,MATCH("단지명",'04A_국토부원자료'!$A$4:$T$4,0)),"")))</f>
        <v/>
      </c>
      <c r="E1402" s="172">
        <f>IFERROR(VALUE(SUBSTITUTE(INDEX('04A_국토부원자료'!$A:$T,ROW()+1,MATCH("전용면적(㎡)",'04A_국토부원자료'!$A$4:$T$4,0)),",","")),"")</f>
        <v/>
      </c>
      <c r="F14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02" s="51">
        <f>IFERROR(VALUE(SUBSTITUTE(INDEX('04A_국토부원자료'!$A:$T,ROW()+1,MATCH("거래금액(만원)",'04A_국토부원자료'!$A$4:$T$4,0)),",","")),"")</f>
        <v/>
      </c>
      <c r="H1402" s="174">
        <f>IF(G1402="","",G1402*10000)</f>
        <v/>
      </c>
      <c r="I1402" s="174">
        <f>IFERROR(IF(AND(H1402&gt;0,E1402&gt;0),H1402/E1402,""),"")</f>
        <v/>
      </c>
      <c r="J1402" s="152">
        <f>IFERROR(VALUE(SUBSTITUTE(INDEX('04A_국토부원자료'!$A:$T,ROW()+1,MATCH("층",'04A_국토부원자료'!$A$4:$T$4,0)),",","")),"")</f>
        <v/>
      </c>
      <c r="K1402" s="152">
        <f>IFERROR(VALUE(SUBSTITUTE(INDEX('04A_국토부원자료'!$A:$T,ROW()+1,MATCH("건축년도",'04A_국토부원자료'!$A$4:$T$4,0)),",","")),"")</f>
        <v/>
      </c>
      <c r="L1402" s="176">
        <f>IFERROR(INDEX('04A_국토부원자료'!$A:$T,ROW()+1,MATCH("도로명",'04A_국토부원자료'!$A$4:$T$4,0)),"")</f>
        <v/>
      </c>
      <c r="M1402" s="48">
        <f>IFERROR(INDEX('04A_국토부원자료'!$A:$T,ROW()+1,MATCH("거래유형",'04A_국토부원자료'!$A$4:$T$4,0)),"")</f>
        <v/>
      </c>
      <c r="N1402" s="152">
        <f>IF(B1402="","",IF('02_대상물건입력'!B5="",1,IF(ISNUMBER(SEARCH('02_대상물건입력'!B5,B1402)),1,0)))</f>
        <v/>
      </c>
      <c r="O1402" s="152">
        <f>IF(B1402="","",IF('02_대상물건입력'!B6="",1,IF(ISNUMBER(SEARCH('02_대상물건입력'!B6,B1402)),1,0)))</f>
        <v/>
      </c>
      <c r="P1402" s="152">
        <f>IF(L1402="","",IF('02_대상물건입력'!B15="",0,IF(ISNUMBER(SEARCH('02_대상물건입력'!B15,L1402)),1,0)))</f>
        <v/>
      </c>
      <c r="Q1402" s="152">
        <f>IF(OR(C1402="",L1402=""),0,IF(AND(TRIM(C1402)=TRIM(RIGHT(SUBSTITUTE(TRIM('02_대상물건입력'!$B$7)," ",REPT(" ",99)),99)),IF('02_대상물건입력'!B15="",TRUE(),ISNUMBER(SEARCH('02_대상물건입력'!B15,L1402)))),1,0))</f>
        <v/>
      </c>
      <c r="R1402" s="175">
        <f>IFERROR(ABS(E1402-'02_대상물건입력'!B11)/'02_대상물건입력'!B11,"")</f>
        <v/>
      </c>
      <c r="S1402" s="152">
        <f>IFERROR(ABS(J1402-'02_대상물건입력'!B10),"")</f>
        <v/>
      </c>
      <c r="T1402" s="152">
        <f>IFERROR(ABS('01_설정'!B4-F1402),"")</f>
        <v/>
      </c>
      <c r="U1402" s="152">
        <f>IFERROR(ABS(K1402-YEAR('02_대상물건입력'!B14)),"")</f>
        <v/>
      </c>
      <c r="V1402" s="152">
        <f>IF(B1402="","",IF(AND(E1402&gt;0,F1402&gt;0,H1402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1402=1,TRUE()),R1402&lt;='01_설정'!B5,S1402&lt;='01_설정'!B6,T1402&lt;='01_설정'!B7,U1402&lt;='01_설정'!B8),"Y",""))</f>
        <v/>
      </c>
      <c r="W1402" s="172">
        <f>IF(V1402&lt;&gt;"Y","",MAX(0,(1-R1402/'01_설정'!B5))*'01_설정'!B14+MAX(0,(1-S1402/'01_설정'!B6))*'01_설정'!B15+MAX(0,(1-T1402/'01_설정'!B7))*'01_설정'!B16+MAX(0,(1-U1402/'01_설정'!B8))*'01_설정'!B17+O1402*'01_설정'!B11+Q1402*'01_설정'!B12+P1402*'01_설정'!B13+IF(Z1402="",0,Z1402))</f>
        <v/>
      </c>
      <c r="X1402" s="152">
        <f>IF(W1402="","",1+COUNTIFS($W$4:$W$3003,"&gt;"&amp;W1402)+COUNTIFS($W$4:W1402,W1402)-1)</f>
        <v/>
      </c>
      <c r="Y1402" s="175">
        <f>IF(OR(I1402="",'02_대상물건입력'!B19="",'02_대상물건입력'!B19&lt;=0),"",ABS(I1402-'02_대상물건입력'!B19)/'02_대상물건입력'!B19)</f>
        <v/>
      </c>
      <c r="Z1402" s="172">
        <f>IF(OR(Y1402="",'01_설정'!B31="",'01_설정'!B31&lt;=0,'01_설정'!B32="",'01_설정'!B32&lt;=0),"",MAX(0,(1-Y1402/'01_설정'!B32))*'01_설정'!B31)</f>
        <v/>
      </c>
    </row>
    <row r="1403" ht="17.25" customHeight="1">
      <c r="A1403" s="152">
        <f>IF(INDEX('04A_국토부원자료'!$A:$A,ROW()+1)="","",ROW()-3)</f>
        <v/>
      </c>
      <c r="B1403" s="48">
        <f>IFERROR(INDEX('04A_국토부원자료'!$A:$T,ROW()+1,MATCH("시군구",'04A_국토부원자료'!$A$4:$T$4,0)),"")</f>
        <v/>
      </c>
      <c r="C1403" s="48">
        <f>IF(B1403="","",IFERROR(INDEX('04A_국토부원자료'!$A:$T,ROW()+1,MATCH("번지",'04A_국토부원자료'!$A$4:$T$4,0)),""))</f>
        <v/>
      </c>
      <c r="D1403" s="48">
        <f>IF(B1403="","",IF(Q1403=1,'02_대상물건입력'!$B$8,IFERROR(INDEX('04A_국토부원자료'!$A:$T,ROW()+1,MATCH("단지명",'04A_국토부원자료'!$A$4:$T$4,0)),"")))</f>
        <v/>
      </c>
      <c r="E1403" s="172">
        <f>IFERROR(VALUE(SUBSTITUTE(INDEX('04A_국토부원자료'!$A:$T,ROW()+1,MATCH("전용면적(㎡)",'04A_국토부원자료'!$A$4:$T$4,0)),",","")),"")</f>
        <v/>
      </c>
      <c r="F14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03" s="51">
        <f>IFERROR(VALUE(SUBSTITUTE(INDEX('04A_국토부원자료'!$A:$T,ROW()+1,MATCH("거래금액(만원)",'04A_국토부원자료'!$A$4:$T$4,0)),",","")),"")</f>
        <v/>
      </c>
      <c r="H1403" s="174">
        <f>IF(G1403="","",G1403*10000)</f>
        <v/>
      </c>
      <c r="I1403" s="174">
        <f>IFERROR(IF(AND(H1403&gt;0,E1403&gt;0),H1403/E1403,""),"")</f>
        <v/>
      </c>
      <c r="J1403" s="152">
        <f>IFERROR(VALUE(SUBSTITUTE(INDEX('04A_국토부원자료'!$A:$T,ROW()+1,MATCH("층",'04A_국토부원자료'!$A$4:$T$4,0)),",","")),"")</f>
        <v/>
      </c>
      <c r="K1403" s="152">
        <f>IFERROR(VALUE(SUBSTITUTE(INDEX('04A_국토부원자료'!$A:$T,ROW()+1,MATCH("건축년도",'04A_국토부원자료'!$A$4:$T$4,0)),",","")),"")</f>
        <v/>
      </c>
      <c r="L1403" s="176">
        <f>IFERROR(INDEX('04A_국토부원자료'!$A:$T,ROW()+1,MATCH("도로명",'04A_국토부원자료'!$A$4:$T$4,0)),"")</f>
        <v/>
      </c>
      <c r="M1403" s="48">
        <f>IFERROR(INDEX('04A_국토부원자료'!$A:$T,ROW()+1,MATCH("거래유형",'04A_국토부원자료'!$A$4:$T$4,0)),"")</f>
        <v/>
      </c>
      <c r="N1403" s="152">
        <f>IF(B1403="","",IF('02_대상물건입력'!B5="",1,IF(ISNUMBER(SEARCH('02_대상물건입력'!B5,B1403)),1,0)))</f>
        <v/>
      </c>
      <c r="O1403" s="152">
        <f>IF(B1403="","",IF('02_대상물건입력'!B6="",1,IF(ISNUMBER(SEARCH('02_대상물건입력'!B6,B1403)),1,0)))</f>
        <v/>
      </c>
      <c r="P1403" s="152">
        <f>IF(L1403="","",IF('02_대상물건입력'!B15="",0,IF(ISNUMBER(SEARCH('02_대상물건입력'!B15,L1403)),1,0)))</f>
        <v/>
      </c>
      <c r="Q1403" s="152">
        <f>IF(OR(C1403="",L1403=""),0,IF(AND(TRIM(C1403)=TRIM(RIGHT(SUBSTITUTE(TRIM('02_대상물건입력'!$B$7)," ",REPT(" ",99)),99)),IF('02_대상물건입력'!B15="",TRUE(),ISNUMBER(SEARCH('02_대상물건입력'!B15,L1403)))),1,0))</f>
        <v/>
      </c>
      <c r="R1403" s="175">
        <f>IFERROR(ABS(E1403-'02_대상물건입력'!B11)/'02_대상물건입력'!B11,"")</f>
        <v/>
      </c>
      <c r="S1403" s="152">
        <f>IFERROR(ABS(J1403-'02_대상물건입력'!B10),"")</f>
        <v/>
      </c>
      <c r="T1403" s="152">
        <f>IFERROR(ABS('01_설정'!B4-F1403),"")</f>
        <v/>
      </c>
      <c r="U1403" s="152">
        <f>IFERROR(ABS(K1403-YEAR('02_대상물건입력'!B14)),"")</f>
        <v/>
      </c>
      <c r="V1403" s="152">
        <f>IF(B1403="","",IF(AND(E1403&gt;0,F1403&gt;0,H1403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1403=1,TRUE()),R1403&lt;='01_설정'!B5,S1403&lt;='01_설정'!B6,T1403&lt;='01_설정'!B7,U1403&lt;='01_설정'!B8),"Y",""))</f>
        <v/>
      </c>
      <c r="W1403" s="172">
        <f>IF(V1403&lt;&gt;"Y","",MAX(0,(1-R1403/'01_설정'!B5))*'01_설정'!B14+MAX(0,(1-S1403/'01_설정'!B6))*'01_설정'!B15+MAX(0,(1-T1403/'01_설정'!B7))*'01_설정'!B16+MAX(0,(1-U1403/'01_설정'!B8))*'01_설정'!B17+O1403*'01_설정'!B11+Q1403*'01_설정'!B12+P1403*'01_설정'!B13+IF(Z1403="",0,Z1403))</f>
        <v/>
      </c>
      <c r="X1403" s="152">
        <f>IF(W1403="","",1+COUNTIFS($W$4:$W$3003,"&gt;"&amp;W1403)+COUNTIFS($W$4:W1403,W1403)-1)</f>
        <v/>
      </c>
      <c r="Y1403" s="175">
        <f>IF(OR(I1403="",'02_대상물건입력'!B19="",'02_대상물건입력'!B19&lt;=0),"",ABS(I1403-'02_대상물건입력'!B19)/'02_대상물건입력'!B19)</f>
        <v/>
      </c>
      <c r="Z1403" s="172">
        <f>IF(OR(Y1403="",'01_설정'!B31="",'01_설정'!B31&lt;=0,'01_설정'!B32="",'01_설정'!B32&lt;=0),"",MAX(0,(1-Y1403/'01_설정'!B32))*'01_설정'!B31)</f>
        <v/>
      </c>
    </row>
    <row r="1404" ht="17.25" customHeight="1">
      <c r="A1404" s="152">
        <f>IF(INDEX('04A_국토부원자료'!$A:$A,ROW()+1)="","",ROW()-3)</f>
        <v/>
      </c>
      <c r="B1404" s="48">
        <f>IFERROR(INDEX('04A_국토부원자료'!$A:$T,ROW()+1,MATCH("시군구",'04A_국토부원자료'!$A$4:$T$4,0)),"")</f>
        <v/>
      </c>
      <c r="C1404" s="48">
        <f>IF(B1404="","",IFERROR(INDEX('04A_국토부원자료'!$A:$T,ROW()+1,MATCH("번지",'04A_국토부원자료'!$A$4:$T$4,0)),""))</f>
        <v/>
      </c>
      <c r="D1404" s="48">
        <f>IF(B1404="","",IF(Q1404=1,'02_대상물건입력'!$B$8,IFERROR(INDEX('04A_국토부원자료'!$A:$T,ROW()+1,MATCH("단지명",'04A_국토부원자료'!$A$4:$T$4,0)),"")))</f>
        <v/>
      </c>
      <c r="E1404" s="172">
        <f>IFERROR(VALUE(SUBSTITUTE(INDEX('04A_국토부원자료'!$A:$T,ROW()+1,MATCH("전용면적(㎡)",'04A_국토부원자료'!$A$4:$T$4,0)),",","")),"")</f>
        <v/>
      </c>
      <c r="F14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04" s="51">
        <f>IFERROR(VALUE(SUBSTITUTE(INDEX('04A_국토부원자료'!$A:$T,ROW()+1,MATCH("거래금액(만원)",'04A_국토부원자료'!$A$4:$T$4,0)),",","")),"")</f>
        <v/>
      </c>
      <c r="H1404" s="174">
        <f>IF(G1404="","",G1404*10000)</f>
        <v/>
      </c>
      <c r="I1404" s="174">
        <f>IFERROR(IF(AND(H1404&gt;0,E1404&gt;0),H1404/E1404,""),"")</f>
        <v/>
      </c>
      <c r="J1404" s="152">
        <f>IFERROR(VALUE(SUBSTITUTE(INDEX('04A_국토부원자료'!$A:$T,ROW()+1,MATCH("층",'04A_국토부원자료'!$A$4:$T$4,0)),",","")),"")</f>
        <v/>
      </c>
      <c r="K1404" s="152">
        <f>IFERROR(VALUE(SUBSTITUTE(INDEX('04A_국토부원자료'!$A:$T,ROW()+1,MATCH("건축년도",'04A_국토부원자료'!$A$4:$T$4,0)),",","")),"")</f>
        <v/>
      </c>
      <c r="L1404" s="176">
        <f>IFERROR(INDEX('04A_국토부원자료'!$A:$T,ROW()+1,MATCH("도로명",'04A_국토부원자료'!$A$4:$T$4,0)),"")</f>
        <v/>
      </c>
      <c r="M1404" s="48">
        <f>IFERROR(INDEX('04A_국토부원자료'!$A:$T,ROW()+1,MATCH("거래유형",'04A_국토부원자료'!$A$4:$T$4,0)),"")</f>
        <v/>
      </c>
      <c r="N1404" s="152">
        <f>IF(B1404="","",IF('02_대상물건입력'!B5="",1,IF(ISNUMBER(SEARCH('02_대상물건입력'!B5,B1404)),1,0)))</f>
        <v/>
      </c>
      <c r="O1404" s="152">
        <f>IF(B1404="","",IF('02_대상물건입력'!B6="",1,IF(ISNUMBER(SEARCH('02_대상물건입력'!B6,B1404)),1,0)))</f>
        <v/>
      </c>
      <c r="P1404" s="152">
        <f>IF(L1404="","",IF('02_대상물건입력'!B15="",0,IF(ISNUMBER(SEARCH('02_대상물건입력'!B15,L1404)),1,0)))</f>
        <v/>
      </c>
      <c r="Q1404" s="152">
        <f>IF(OR(C1404="",L1404=""),0,IF(AND(TRIM(C1404)=TRIM(RIGHT(SUBSTITUTE(TRIM('02_대상물건입력'!$B$7)," ",REPT(" ",99)),99)),IF('02_대상물건입력'!B15="",TRUE(),ISNUMBER(SEARCH('02_대상물건입력'!B15,L1404)))),1,0))</f>
        <v/>
      </c>
      <c r="R1404" s="175">
        <f>IFERROR(ABS(E1404-'02_대상물건입력'!B11)/'02_대상물건입력'!B11,"")</f>
        <v/>
      </c>
      <c r="S1404" s="152">
        <f>IFERROR(ABS(J1404-'02_대상물건입력'!B10),"")</f>
        <v/>
      </c>
      <c r="T1404" s="152">
        <f>IFERROR(ABS('01_설정'!B4-F1404),"")</f>
        <v/>
      </c>
      <c r="U1404" s="152">
        <f>IFERROR(ABS(K1404-YEAR('02_대상물건입력'!B14)),"")</f>
        <v/>
      </c>
      <c r="V1404" s="152">
        <f>IF(B1404="","",IF(AND(E1404&gt;0,F1404&gt;0,H1404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1404=1,TRUE()),R1404&lt;='01_설정'!B5,S1404&lt;='01_설정'!B6,T1404&lt;='01_설정'!B7,U1404&lt;='01_설정'!B8),"Y",""))</f>
        <v/>
      </c>
      <c r="W1404" s="172">
        <f>IF(V1404&lt;&gt;"Y","",MAX(0,(1-R1404/'01_설정'!B5))*'01_설정'!B14+MAX(0,(1-S1404/'01_설정'!B6))*'01_설정'!B15+MAX(0,(1-T1404/'01_설정'!B7))*'01_설정'!B16+MAX(0,(1-U1404/'01_설정'!B8))*'01_설정'!B17+O1404*'01_설정'!B11+Q1404*'01_설정'!B12+P1404*'01_설정'!B13+IF(Z1404="",0,Z1404))</f>
        <v/>
      </c>
      <c r="X1404" s="152">
        <f>IF(W1404="","",1+COUNTIFS($W$4:$W$3003,"&gt;"&amp;W1404)+COUNTIFS($W$4:W1404,W1404)-1)</f>
        <v/>
      </c>
      <c r="Y1404" s="175">
        <f>IF(OR(I1404="",'02_대상물건입력'!B19="",'02_대상물건입력'!B19&lt;=0),"",ABS(I1404-'02_대상물건입력'!B19)/'02_대상물건입력'!B19)</f>
        <v/>
      </c>
      <c r="Z1404" s="172">
        <f>IF(OR(Y1404="",'01_설정'!B31="",'01_설정'!B31&lt;=0,'01_설정'!B32="",'01_설정'!B32&lt;=0),"",MAX(0,(1-Y1404/'01_설정'!B32))*'01_설정'!B31)</f>
        <v/>
      </c>
    </row>
    <row r="1405" ht="17.25" customHeight="1">
      <c r="A1405" s="152">
        <f>IF(INDEX('04A_국토부원자료'!$A:$A,ROW()+1)="","",ROW()-3)</f>
        <v/>
      </c>
      <c r="B1405" s="48">
        <f>IFERROR(INDEX('04A_국토부원자료'!$A:$T,ROW()+1,MATCH("시군구",'04A_국토부원자료'!$A$4:$T$4,0)),"")</f>
        <v/>
      </c>
      <c r="C1405" s="48">
        <f>IF(B1405="","",IFERROR(INDEX('04A_국토부원자료'!$A:$T,ROW()+1,MATCH("번지",'04A_국토부원자료'!$A$4:$T$4,0)),""))</f>
        <v/>
      </c>
      <c r="D1405" s="48">
        <f>IF(B1405="","",IF(Q1405=1,'02_대상물건입력'!$B$8,IFERROR(INDEX('04A_국토부원자료'!$A:$T,ROW()+1,MATCH("단지명",'04A_국토부원자료'!$A$4:$T$4,0)),"")))</f>
        <v/>
      </c>
      <c r="E1405" s="172">
        <f>IFERROR(VALUE(SUBSTITUTE(INDEX('04A_국토부원자료'!$A:$T,ROW()+1,MATCH("전용면적(㎡)",'04A_국토부원자료'!$A$4:$T$4,0)),",","")),"")</f>
        <v/>
      </c>
      <c r="F14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05" s="51">
        <f>IFERROR(VALUE(SUBSTITUTE(INDEX('04A_국토부원자료'!$A:$T,ROW()+1,MATCH("거래금액(만원)",'04A_국토부원자료'!$A$4:$T$4,0)),",","")),"")</f>
        <v/>
      </c>
      <c r="H1405" s="174">
        <f>IF(G1405="","",G1405*10000)</f>
        <v/>
      </c>
      <c r="I1405" s="174">
        <f>IFERROR(IF(AND(H1405&gt;0,E1405&gt;0),H1405/E1405,""),"")</f>
        <v/>
      </c>
      <c r="J1405" s="152">
        <f>IFERROR(VALUE(SUBSTITUTE(INDEX('04A_국토부원자료'!$A:$T,ROW()+1,MATCH("층",'04A_국토부원자료'!$A$4:$T$4,0)),",","")),"")</f>
        <v/>
      </c>
      <c r="K1405" s="152">
        <f>IFERROR(VALUE(SUBSTITUTE(INDEX('04A_국토부원자료'!$A:$T,ROW()+1,MATCH("건축년도",'04A_국토부원자료'!$A$4:$T$4,0)),",","")),"")</f>
        <v/>
      </c>
      <c r="L1405" s="176">
        <f>IFERROR(INDEX('04A_국토부원자료'!$A:$T,ROW()+1,MATCH("도로명",'04A_국토부원자료'!$A$4:$T$4,0)),"")</f>
        <v/>
      </c>
      <c r="M1405" s="48">
        <f>IFERROR(INDEX('04A_국토부원자료'!$A:$T,ROW()+1,MATCH("거래유형",'04A_국토부원자료'!$A$4:$T$4,0)),"")</f>
        <v/>
      </c>
      <c r="N1405" s="152">
        <f>IF(B1405="","",IF('02_대상물건입력'!B5="",1,IF(ISNUMBER(SEARCH('02_대상물건입력'!B5,B1405)),1,0)))</f>
        <v/>
      </c>
      <c r="O1405" s="152">
        <f>IF(B1405="","",IF('02_대상물건입력'!B6="",1,IF(ISNUMBER(SEARCH('02_대상물건입력'!B6,B1405)),1,0)))</f>
        <v/>
      </c>
      <c r="P1405" s="152">
        <f>IF(L1405="","",IF('02_대상물건입력'!B15="",0,IF(ISNUMBER(SEARCH('02_대상물건입력'!B15,L1405)),1,0)))</f>
        <v/>
      </c>
      <c r="Q1405" s="152">
        <f>IF(OR(C1405="",L1405=""),0,IF(AND(TRIM(C1405)=TRIM(RIGHT(SUBSTITUTE(TRIM('02_대상물건입력'!$B$7)," ",REPT(" ",99)),99)),IF('02_대상물건입력'!B15="",TRUE(),ISNUMBER(SEARCH('02_대상물건입력'!B15,L1405)))),1,0))</f>
        <v/>
      </c>
      <c r="R1405" s="175">
        <f>IFERROR(ABS(E1405-'02_대상물건입력'!B11)/'02_대상물건입력'!B11,"")</f>
        <v/>
      </c>
      <c r="S1405" s="152">
        <f>IFERROR(ABS(J1405-'02_대상물건입력'!B10),"")</f>
        <v/>
      </c>
      <c r="T1405" s="152">
        <f>IFERROR(ABS('01_설정'!B4-F1405),"")</f>
        <v/>
      </c>
      <c r="U1405" s="152">
        <f>IFERROR(ABS(K1405-YEAR('02_대상물건입력'!B14)),"")</f>
        <v/>
      </c>
      <c r="V1405" s="152">
        <f>IF(B1405="","",IF(AND(E1405&gt;0,F1405&gt;0,H1405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1405=1,TRUE()),R1405&lt;='01_설정'!B5,S1405&lt;='01_설정'!B6,T1405&lt;='01_설정'!B7,U1405&lt;='01_설정'!B8),"Y",""))</f>
        <v/>
      </c>
      <c r="W1405" s="172">
        <f>IF(V1405&lt;&gt;"Y","",MAX(0,(1-R1405/'01_설정'!B5))*'01_설정'!B14+MAX(0,(1-S1405/'01_설정'!B6))*'01_설정'!B15+MAX(0,(1-T1405/'01_설정'!B7))*'01_설정'!B16+MAX(0,(1-U1405/'01_설정'!B8))*'01_설정'!B17+O1405*'01_설정'!B11+Q1405*'01_설정'!B12+P1405*'01_설정'!B13+IF(Z1405="",0,Z1405))</f>
        <v/>
      </c>
      <c r="X1405" s="152">
        <f>IF(W1405="","",1+COUNTIFS($W$4:$W$3003,"&gt;"&amp;W1405)+COUNTIFS($W$4:W1405,W1405)-1)</f>
        <v/>
      </c>
      <c r="Y1405" s="175">
        <f>IF(OR(I1405="",'02_대상물건입력'!B19="",'02_대상물건입력'!B19&lt;=0),"",ABS(I1405-'02_대상물건입력'!B19)/'02_대상물건입력'!B19)</f>
        <v/>
      </c>
      <c r="Z1405" s="172">
        <f>IF(OR(Y1405="",'01_설정'!B31="",'01_설정'!B31&lt;=0,'01_설정'!B32="",'01_설정'!B32&lt;=0),"",MAX(0,(1-Y1405/'01_설정'!B32))*'01_설정'!B31)</f>
        <v/>
      </c>
    </row>
    <row r="1406" ht="17.25" customHeight="1">
      <c r="A1406" s="152">
        <f>IF(INDEX('04A_국토부원자료'!$A:$A,ROW()+1)="","",ROW()-3)</f>
        <v/>
      </c>
      <c r="B1406" s="48">
        <f>IFERROR(INDEX('04A_국토부원자료'!$A:$T,ROW()+1,MATCH("시군구",'04A_국토부원자료'!$A$4:$T$4,0)),"")</f>
        <v/>
      </c>
      <c r="C1406" s="48">
        <f>IF(B1406="","",IFERROR(INDEX('04A_국토부원자료'!$A:$T,ROW()+1,MATCH("번지",'04A_국토부원자료'!$A$4:$T$4,0)),""))</f>
        <v/>
      </c>
      <c r="D1406" s="48">
        <f>IF(B1406="","",IF(Q1406=1,'02_대상물건입력'!$B$8,IFERROR(INDEX('04A_국토부원자료'!$A:$T,ROW()+1,MATCH("단지명",'04A_국토부원자료'!$A$4:$T$4,0)),"")))</f>
        <v/>
      </c>
      <c r="E1406" s="172">
        <f>IFERROR(VALUE(SUBSTITUTE(INDEX('04A_국토부원자료'!$A:$T,ROW()+1,MATCH("전용면적(㎡)",'04A_국토부원자료'!$A$4:$T$4,0)),",","")),"")</f>
        <v/>
      </c>
      <c r="F14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06" s="51">
        <f>IFERROR(VALUE(SUBSTITUTE(INDEX('04A_국토부원자료'!$A:$T,ROW()+1,MATCH("거래금액(만원)",'04A_국토부원자료'!$A$4:$T$4,0)),",","")),"")</f>
        <v/>
      </c>
      <c r="H1406" s="174">
        <f>IF(G1406="","",G1406*10000)</f>
        <v/>
      </c>
      <c r="I1406" s="174">
        <f>IFERROR(IF(AND(H1406&gt;0,E1406&gt;0),H1406/E1406,""),"")</f>
        <v/>
      </c>
      <c r="J1406" s="152">
        <f>IFERROR(VALUE(SUBSTITUTE(INDEX('04A_국토부원자료'!$A:$T,ROW()+1,MATCH("층",'04A_국토부원자료'!$A$4:$T$4,0)),",","")),"")</f>
        <v/>
      </c>
      <c r="K1406" s="152">
        <f>IFERROR(VALUE(SUBSTITUTE(INDEX('04A_국토부원자료'!$A:$T,ROW()+1,MATCH("건축년도",'04A_국토부원자료'!$A$4:$T$4,0)),",","")),"")</f>
        <v/>
      </c>
      <c r="L1406" s="176">
        <f>IFERROR(INDEX('04A_국토부원자료'!$A:$T,ROW()+1,MATCH("도로명",'04A_국토부원자료'!$A$4:$T$4,0)),"")</f>
        <v/>
      </c>
      <c r="M1406" s="48">
        <f>IFERROR(INDEX('04A_국토부원자료'!$A:$T,ROW()+1,MATCH("거래유형",'04A_국토부원자료'!$A$4:$T$4,0)),"")</f>
        <v/>
      </c>
      <c r="N1406" s="152">
        <f>IF(B1406="","",IF('02_대상물건입력'!B5="",1,IF(ISNUMBER(SEARCH('02_대상물건입력'!B5,B1406)),1,0)))</f>
        <v/>
      </c>
      <c r="O1406" s="152">
        <f>IF(B1406="","",IF('02_대상물건입력'!B6="",1,IF(ISNUMBER(SEARCH('02_대상물건입력'!B6,B1406)),1,0)))</f>
        <v/>
      </c>
      <c r="P1406" s="152">
        <f>IF(L1406="","",IF('02_대상물건입력'!B15="",0,IF(ISNUMBER(SEARCH('02_대상물건입력'!B15,L1406)),1,0)))</f>
        <v/>
      </c>
      <c r="Q1406" s="152">
        <f>IF(OR(C1406="",L1406=""),0,IF(AND(TRIM(C1406)=TRIM(RIGHT(SUBSTITUTE(TRIM('02_대상물건입력'!$B$7)," ",REPT(" ",99)),99)),IF('02_대상물건입력'!B15="",TRUE(),ISNUMBER(SEARCH('02_대상물건입력'!B15,L1406)))),1,0))</f>
        <v/>
      </c>
      <c r="R1406" s="175">
        <f>IFERROR(ABS(E1406-'02_대상물건입력'!B11)/'02_대상물건입력'!B11,"")</f>
        <v/>
      </c>
      <c r="S1406" s="152">
        <f>IFERROR(ABS(J1406-'02_대상물건입력'!B10),"")</f>
        <v/>
      </c>
      <c r="T1406" s="152">
        <f>IFERROR(ABS('01_설정'!B4-F1406),"")</f>
        <v/>
      </c>
      <c r="U1406" s="152">
        <f>IFERROR(ABS(K1406-YEAR('02_대상물건입력'!B14)),"")</f>
        <v/>
      </c>
      <c r="V1406" s="152">
        <f>IF(B1406="","",IF(AND(E1406&gt;0,F1406&gt;0,H1406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1406=1,TRUE()),R1406&lt;='01_설정'!B5,S1406&lt;='01_설정'!B6,T1406&lt;='01_설정'!B7,U1406&lt;='01_설정'!B8),"Y",""))</f>
        <v/>
      </c>
      <c r="W1406" s="172">
        <f>IF(V1406&lt;&gt;"Y","",MAX(0,(1-R1406/'01_설정'!B5))*'01_설정'!B14+MAX(0,(1-S1406/'01_설정'!B6))*'01_설정'!B15+MAX(0,(1-T1406/'01_설정'!B7))*'01_설정'!B16+MAX(0,(1-U1406/'01_설정'!B8))*'01_설정'!B17+O1406*'01_설정'!B11+Q1406*'01_설정'!B12+P1406*'01_설정'!B13+IF(Z1406="",0,Z1406))</f>
        <v/>
      </c>
      <c r="X1406" s="152">
        <f>IF(W1406="","",1+COUNTIFS($W$4:$W$3003,"&gt;"&amp;W1406)+COUNTIFS($W$4:W1406,W1406)-1)</f>
        <v/>
      </c>
      <c r="Y1406" s="175">
        <f>IF(OR(I1406="",'02_대상물건입력'!B19="",'02_대상물건입력'!B19&lt;=0),"",ABS(I1406-'02_대상물건입력'!B19)/'02_대상물건입력'!B19)</f>
        <v/>
      </c>
      <c r="Z1406" s="172">
        <f>IF(OR(Y1406="",'01_설정'!B31="",'01_설정'!B31&lt;=0,'01_설정'!B32="",'01_설정'!B32&lt;=0),"",MAX(0,(1-Y1406/'01_설정'!B32))*'01_설정'!B31)</f>
        <v/>
      </c>
    </row>
    <row r="1407" ht="17.25" customHeight="1">
      <c r="A1407" s="152">
        <f>IF(INDEX('04A_국토부원자료'!$A:$A,ROW()+1)="","",ROW()-3)</f>
        <v/>
      </c>
      <c r="B1407" s="48">
        <f>IFERROR(INDEX('04A_국토부원자료'!$A:$T,ROW()+1,MATCH("시군구",'04A_국토부원자료'!$A$4:$T$4,0)),"")</f>
        <v/>
      </c>
      <c r="C1407" s="48">
        <f>IF(B1407="","",IFERROR(INDEX('04A_국토부원자료'!$A:$T,ROW()+1,MATCH("번지",'04A_국토부원자료'!$A$4:$T$4,0)),""))</f>
        <v/>
      </c>
      <c r="D1407" s="48">
        <f>IF(B1407="","",IF(Q1407=1,'02_대상물건입력'!$B$8,IFERROR(INDEX('04A_국토부원자료'!$A:$T,ROW()+1,MATCH("단지명",'04A_국토부원자료'!$A$4:$T$4,0)),"")))</f>
        <v/>
      </c>
      <c r="E1407" s="172">
        <f>IFERROR(VALUE(SUBSTITUTE(INDEX('04A_국토부원자료'!$A:$T,ROW()+1,MATCH("전용면적(㎡)",'04A_국토부원자료'!$A$4:$T$4,0)),",","")),"")</f>
        <v/>
      </c>
      <c r="F14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07" s="51">
        <f>IFERROR(VALUE(SUBSTITUTE(INDEX('04A_국토부원자료'!$A:$T,ROW()+1,MATCH("거래금액(만원)",'04A_국토부원자료'!$A$4:$T$4,0)),",","")),"")</f>
        <v/>
      </c>
      <c r="H1407" s="174">
        <f>IF(G1407="","",G1407*10000)</f>
        <v/>
      </c>
      <c r="I1407" s="174">
        <f>IFERROR(IF(AND(H1407&gt;0,E1407&gt;0),H1407/E1407,""),"")</f>
        <v/>
      </c>
      <c r="J1407" s="152">
        <f>IFERROR(VALUE(SUBSTITUTE(INDEX('04A_국토부원자료'!$A:$T,ROW()+1,MATCH("층",'04A_국토부원자료'!$A$4:$T$4,0)),",","")),"")</f>
        <v/>
      </c>
      <c r="K1407" s="152">
        <f>IFERROR(VALUE(SUBSTITUTE(INDEX('04A_국토부원자료'!$A:$T,ROW()+1,MATCH("건축년도",'04A_국토부원자료'!$A$4:$T$4,0)),",","")),"")</f>
        <v/>
      </c>
      <c r="L1407" s="176">
        <f>IFERROR(INDEX('04A_국토부원자료'!$A:$T,ROW()+1,MATCH("도로명",'04A_국토부원자료'!$A$4:$T$4,0)),"")</f>
        <v/>
      </c>
      <c r="M1407" s="48">
        <f>IFERROR(INDEX('04A_국토부원자료'!$A:$T,ROW()+1,MATCH("거래유형",'04A_국토부원자료'!$A$4:$T$4,0)),"")</f>
        <v/>
      </c>
      <c r="N1407" s="152">
        <f>IF(B1407="","",IF('02_대상물건입력'!B5="",1,IF(ISNUMBER(SEARCH('02_대상물건입력'!B5,B1407)),1,0)))</f>
        <v/>
      </c>
      <c r="O1407" s="152">
        <f>IF(B1407="","",IF('02_대상물건입력'!B6="",1,IF(ISNUMBER(SEARCH('02_대상물건입력'!B6,B1407)),1,0)))</f>
        <v/>
      </c>
      <c r="P1407" s="152">
        <f>IF(L1407="","",IF('02_대상물건입력'!B15="",0,IF(ISNUMBER(SEARCH('02_대상물건입력'!B15,L1407)),1,0)))</f>
        <v/>
      </c>
      <c r="Q1407" s="152">
        <f>IF(OR(C1407="",L1407=""),0,IF(AND(TRIM(C1407)=TRIM(RIGHT(SUBSTITUTE(TRIM('02_대상물건입력'!$B$7)," ",REPT(" ",99)),99)),IF('02_대상물건입력'!B15="",TRUE(),ISNUMBER(SEARCH('02_대상물건입력'!B15,L1407)))),1,0))</f>
        <v/>
      </c>
      <c r="R1407" s="175">
        <f>IFERROR(ABS(E1407-'02_대상물건입력'!B11)/'02_대상물건입력'!B11,"")</f>
        <v/>
      </c>
      <c r="S1407" s="152">
        <f>IFERROR(ABS(J1407-'02_대상물건입력'!B10),"")</f>
        <v/>
      </c>
      <c r="T1407" s="152">
        <f>IFERROR(ABS('01_설정'!B4-F1407),"")</f>
        <v/>
      </c>
      <c r="U1407" s="152">
        <f>IFERROR(ABS(K1407-YEAR('02_대상물건입력'!B14)),"")</f>
        <v/>
      </c>
      <c r="V1407" s="152">
        <f>IF(B1407="","",IF(AND(E1407&gt;0,F1407&gt;0,H1407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1407=1,TRUE()),R1407&lt;='01_설정'!B5,S1407&lt;='01_설정'!B6,T1407&lt;='01_설정'!B7,U1407&lt;='01_설정'!B8),"Y",""))</f>
        <v/>
      </c>
      <c r="W1407" s="172">
        <f>IF(V1407&lt;&gt;"Y","",MAX(0,(1-R1407/'01_설정'!B5))*'01_설정'!B14+MAX(0,(1-S1407/'01_설정'!B6))*'01_설정'!B15+MAX(0,(1-T1407/'01_설정'!B7))*'01_설정'!B16+MAX(0,(1-U1407/'01_설정'!B8))*'01_설정'!B17+O1407*'01_설정'!B11+Q1407*'01_설정'!B12+P1407*'01_설정'!B13+IF(Z1407="",0,Z1407))</f>
        <v/>
      </c>
      <c r="X1407" s="152">
        <f>IF(W1407="","",1+COUNTIFS($W$4:$W$3003,"&gt;"&amp;W1407)+COUNTIFS($W$4:W1407,W1407)-1)</f>
        <v/>
      </c>
      <c r="Y1407" s="175">
        <f>IF(OR(I1407="",'02_대상물건입력'!B19="",'02_대상물건입력'!B19&lt;=0),"",ABS(I1407-'02_대상물건입력'!B19)/'02_대상물건입력'!B19)</f>
        <v/>
      </c>
      <c r="Z1407" s="172">
        <f>IF(OR(Y1407="",'01_설정'!B31="",'01_설정'!B31&lt;=0,'01_설정'!B32="",'01_설정'!B32&lt;=0),"",MAX(0,(1-Y1407/'01_설정'!B32))*'01_설정'!B31)</f>
        <v/>
      </c>
    </row>
    <row r="1408" ht="17.25" customHeight="1">
      <c r="A1408" s="152">
        <f>IF(INDEX('04A_국토부원자료'!$A:$A,ROW()+1)="","",ROW()-3)</f>
        <v/>
      </c>
      <c r="B1408" s="48">
        <f>IFERROR(INDEX('04A_국토부원자료'!$A:$T,ROW()+1,MATCH("시군구",'04A_국토부원자료'!$A$4:$T$4,0)),"")</f>
        <v/>
      </c>
      <c r="C1408" s="48">
        <f>IF(B1408="","",IFERROR(INDEX('04A_국토부원자료'!$A:$T,ROW()+1,MATCH("번지",'04A_국토부원자료'!$A$4:$T$4,0)),""))</f>
        <v/>
      </c>
      <c r="D1408" s="48">
        <f>IF(B1408="","",IF(Q1408=1,'02_대상물건입력'!$B$8,IFERROR(INDEX('04A_국토부원자료'!$A:$T,ROW()+1,MATCH("단지명",'04A_국토부원자료'!$A$4:$T$4,0)),"")))</f>
        <v/>
      </c>
      <c r="E1408" s="172">
        <f>IFERROR(VALUE(SUBSTITUTE(INDEX('04A_국토부원자료'!$A:$T,ROW()+1,MATCH("전용면적(㎡)",'04A_국토부원자료'!$A$4:$T$4,0)),",","")),"")</f>
        <v/>
      </c>
      <c r="F14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08" s="51">
        <f>IFERROR(VALUE(SUBSTITUTE(INDEX('04A_국토부원자료'!$A:$T,ROW()+1,MATCH("거래금액(만원)",'04A_국토부원자료'!$A$4:$T$4,0)),",","")),"")</f>
        <v/>
      </c>
      <c r="H1408" s="174">
        <f>IF(G1408="","",G1408*10000)</f>
        <v/>
      </c>
      <c r="I1408" s="174">
        <f>IFERROR(IF(AND(H1408&gt;0,E1408&gt;0),H1408/E1408,""),"")</f>
        <v/>
      </c>
      <c r="J1408" s="152">
        <f>IFERROR(VALUE(SUBSTITUTE(INDEX('04A_국토부원자료'!$A:$T,ROW()+1,MATCH("층",'04A_국토부원자료'!$A$4:$T$4,0)),",","")),"")</f>
        <v/>
      </c>
      <c r="K1408" s="152">
        <f>IFERROR(VALUE(SUBSTITUTE(INDEX('04A_국토부원자료'!$A:$T,ROW()+1,MATCH("건축년도",'04A_국토부원자료'!$A$4:$T$4,0)),",","")),"")</f>
        <v/>
      </c>
      <c r="L1408" s="176">
        <f>IFERROR(INDEX('04A_국토부원자료'!$A:$T,ROW()+1,MATCH("도로명",'04A_국토부원자료'!$A$4:$T$4,0)),"")</f>
        <v/>
      </c>
      <c r="M1408" s="48">
        <f>IFERROR(INDEX('04A_국토부원자료'!$A:$T,ROW()+1,MATCH("거래유형",'04A_국토부원자료'!$A$4:$T$4,0)),"")</f>
        <v/>
      </c>
      <c r="N1408" s="152">
        <f>IF(B1408="","",IF('02_대상물건입력'!B5="",1,IF(ISNUMBER(SEARCH('02_대상물건입력'!B5,B1408)),1,0)))</f>
        <v/>
      </c>
      <c r="O1408" s="152">
        <f>IF(B1408="","",IF('02_대상물건입력'!B6="",1,IF(ISNUMBER(SEARCH('02_대상물건입력'!B6,B1408)),1,0)))</f>
        <v/>
      </c>
      <c r="P1408" s="152">
        <f>IF(L1408="","",IF('02_대상물건입력'!B15="",0,IF(ISNUMBER(SEARCH('02_대상물건입력'!B15,L1408)),1,0)))</f>
        <v/>
      </c>
      <c r="Q1408" s="152">
        <f>IF(OR(C1408="",L1408=""),0,IF(AND(TRIM(C1408)=TRIM(RIGHT(SUBSTITUTE(TRIM('02_대상물건입력'!$B$7)," ",REPT(" ",99)),99)),IF('02_대상물건입력'!B15="",TRUE(),ISNUMBER(SEARCH('02_대상물건입력'!B15,L1408)))),1,0))</f>
        <v/>
      </c>
      <c r="R1408" s="175">
        <f>IFERROR(ABS(E1408-'02_대상물건입력'!B11)/'02_대상물건입력'!B11,"")</f>
        <v/>
      </c>
      <c r="S1408" s="152">
        <f>IFERROR(ABS(J1408-'02_대상물건입력'!B10),"")</f>
        <v/>
      </c>
      <c r="T1408" s="152">
        <f>IFERROR(ABS('01_설정'!B4-F1408),"")</f>
        <v/>
      </c>
      <c r="U1408" s="152">
        <f>IFERROR(ABS(K1408-YEAR('02_대상물건입력'!B14)),"")</f>
        <v/>
      </c>
      <c r="V1408" s="152">
        <f>IF(B1408="","",IF(AND(E1408&gt;0,F1408&gt;0,H1408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1408=1,TRUE()),R1408&lt;='01_설정'!B5,S1408&lt;='01_설정'!B6,T1408&lt;='01_설정'!B7,U1408&lt;='01_설정'!B8),"Y",""))</f>
        <v/>
      </c>
      <c r="W1408" s="172">
        <f>IF(V1408&lt;&gt;"Y","",MAX(0,(1-R1408/'01_설정'!B5))*'01_설정'!B14+MAX(0,(1-S1408/'01_설정'!B6))*'01_설정'!B15+MAX(0,(1-T1408/'01_설정'!B7))*'01_설정'!B16+MAX(0,(1-U1408/'01_설정'!B8))*'01_설정'!B17+O1408*'01_설정'!B11+Q1408*'01_설정'!B12+P1408*'01_설정'!B13+IF(Z1408="",0,Z1408))</f>
        <v/>
      </c>
      <c r="X1408" s="152">
        <f>IF(W1408="","",1+COUNTIFS($W$4:$W$3003,"&gt;"&amp;W1408)+COUNTIFS($W$4:W1408,W1408)-1)</f>
        <v/>
      </c>
      <c r="Y1408" s="175">
        <f>IF(OR(I1408="",'02_대상물건입력'!B19="",'02_대상물건입력'!B19&lt;=0),"",ABS(I1408-'02_대상물건입력'!B19)/'02_대상물건입력'!B19)</f>
        <v/>
      </c>
      <c r="Z1408" s="172">
        <f>IF(OR(Y1408="",'01_설정'!B31="",'01_설정'!B31&lt;=0,'01_설정'!B32="",'01_설정'!B32&lt;=0),"",MAX(0,(1-Y1408/'01_설정'!B32))*'01_설정'!B31)</f>
        <v/>
      </c>
    </row>
    <row r="1409" ht="17.25" customHeight="1">
      <c r="A1409" s="152">
        <f>IF(INDEX('04A_국토부원자료'!$A:$A,ROW()+1)="","",ROW()-3)</f>
        <v/>
      </c>
      <c r="B1409" s="48">
        <f>IFERROR(INDEX('04A_국토부원자료'!$A:$T,ROW()+1,MATCH("시군구",'04A_국토부원자료'!$A$4:$T$4,0)),"")</f>
        <v/>
      </c>
      <c r="C1409" s="48">
        <f>IF(B1409="","",IFERROR(INDEX('04A_국토부원자료'!$A:$T,ROW()+1,MATCH("번지",'04A_국토부원자료'!$A$4:$T$4,0)),""))</f>
        <v/>
      </c>
      <c r="D1409" s="48">
        <f>IF(B1409="","",IF(Q1409=1,'02_대상물건입력'!$B$8,IFERROR(INDEX('04A_국토부원자료'!$A:$T,ROW()+1,MATCH("단지명",'04A_국토부원자료'!$A$4:$T$4,0)),"")))</f>
        <v/>
      </c>
      <c r="E1409" s="172">
        <f>IFERROR(VALUE(SUBSTITUTE(INDEX('04A_국토부원자료'!$A:$T,ROW()+1,MATCH("전용면적(㎡)",'04A_국토부원자료'!$A$4:$T$4,0)),",","")),"")</f>
        <v/>
      </c>
      <c r="F14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09" s="51">
        <f>IFERROR(VALUE(SUBSTITUTE(INDEX('04A_국토부원자료'!$A:$T,ROW()+1,MATCH("거래금액(만원)",'04A_국토부원자료'!$A$4:$T$4,0)),",","")),"")</f>
        <v/>
      </c>
      <c r="H1409" s="174">
        <f>IF(G1409="","",G1409*10000)</f>
        <v/>
      </c>
      <c r="I1409" s="174">
        <f>IFERROR(IF(AND(H1409&gt;0,E1409&gt;0),H1409/E1409,""),"")</f>
        <v/>
      </c>
      <c r="J1409" s="152">
        <f>IFERROR(VALUE(SUBSTITUTE(INDEX('04A_국토부원자료'!$A:$T,ROW()+1,MATCH("층",'04A_국토부원자료'!$A$4:$T$4,0)),",","")),"")</f>
        <v/>
      </c>
      <c r="K1409" s="152">
        <f>IFERROR(VALUE(SUBSTITUTE(INDEX('04A_국토부원자료'!$A:$T,ROW()+1,MATCH("건축년도",'04A_국토부원자료'!$A$4:$T$4,0)),",","")),"")</f>
        <v/>
      </c>
      <c r="L1409" s="176">
        <f>IFERROR(INDEX('04A_국토부원자료'!$A:$T,ROW()+1,MATCH("도로명",'04A_국토부원자료'!$A$4:$T$4,0)),"")</f>
        <v/>
      </c>
      <c r="M1409" s="48">
        <f>IFERROR(INDEX('04A_국토부원자료'!$A:$T,ROW()+1,MATCH("거래유형",'04A_국토부원자료'!$A$4:$T$4,0)),"")</f>
        <v/>
      </c>
      <c r="N1409" s="152">
        <f>IF(B1409="","",IF('02_대상물건입력'!B5="",1,IF(ISNUMBER(SEARCH('02_대상물건입력'!B5,B1409)),1,0)))</f>
        <v/>
      </c>
      <c r="O1409" s="152">
        <f>IF(B1409="","",IF('02_대상물건입력'!B6="",1,IF(ISNUMBER(SEARCH('02_대상물건입력'!B6,B1409)),1,0)))</f>
        <v/>
      </c>
      <c r="P1409" s="152">
        <f>IF(L1409="","",IF('02_대상물건입력'!B15="",0,IF(ISNUMBER(SEARCH('02_대상물건입력'!B15,L1409)),1,0)))</f>
        <v/>
      </c>
      <c r="Q1409" s="152">
        <f>IF(OR(C1409="",L1409=""),0,IF(AND(TRIM(C1409)=TRIM(RIGHT(SUBSTITUTE(TRIM('02_대상물건입력'!$B$7)," ",REPT(" ",99)),99)),IF('02_대상물건입력'!B15="",TRUE(),ISNUMBER(SEARCH('02_대상물건입력'!B15,L1409)))),1,0))</f>
        <v/>
      </c>
      <c r="R1409" s="175">
        <f>IFERROR(ABS(E1409-'02_대상물건입력'!B11)/'02_대상물건입력'!B11,"")</f>
        <v/>
      </c>
      <c r="S1409" s="152">
        <f>IFERROR(ABS(J1409-'02_대상물건입력'!B10),"")</f>
        <v/>
      </c>
      <c r="T1409" s="152">
        <f>IFERROR(ABS('01_설정'!B4-F1409),"")</f>
        <v/>
      </c>
      <c r="U1409" s="152">
        <f>IFERROR(ABS(K1409-YEAR('02_대상물건입력'!B14)),"")</f>
        <v/>
      </c>
      <c r="V1409" s="152">
        <f>IF(B1409="","",IF(AND(E1409&gt;0,F1409&gt;0,H1409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1409=1,TRUE()),R1409&lt;='01_설정'!B5,S1409&lt;='01_설정'!B6,T1409&lt;='01_설정'!B7,U1409&lt;='01_설정'!B8),"Y",""))</f>
        <v/>
      </c>
      <c r="W1409" s="172">
        <f>IF(V1409&lt;&gt;"Y","",MAX(0,(1-R1409/'01_설정'!B5))*'01_설정'!B14+MAX(0,(1-S1409/'01_설정'!B6))*'01_설정'!B15+MAX(0,(1-T1409/'01_설정'!B7))*'01_설정'!B16+MAX(0,(1-U1409/'01_설정'!B8))*'01_설정'!B17+O1409*'01_설정'!B11+Q1409*'01_설정'!B12+P1409*'01_설정'!B13+IF(Z1409="",0,Z1409))</f>
        <v/>
      </c>
      <c r="X1409" s="152">
        <f>IF(W1409="","",1+COUNTIFS($W$4:$W$3003,"&gt;"&amp;W1409)+COUNTIFS($W$4:W1409,W1409)-1)</f>
        <v/>
      </c>
      <c r="Y1409" s="175">
        <f>IF(OR(I1409="",'02_대상물건입력'!B19="",'02_대상물건입력'!B19&lt;=0),"",ABS(I1409-'02_대상물건입력'!B19)/'02_대상물건입력'!B19)</f>
        <v/>
      </c>
      <c r="Z1409" s="172">
        <f>IF(OR(Y1409="",'01_설정'!B31="",'01_설정'!B31&lt;=0,'01_설정'!B32="",'01_설정'!B32&lt;=0),"",MAX(0,(1-Y1409/'01_설정'!B32))*'01_설정'!B31)</f>
        <v/>
      </c>
    </row>
    <row r="1410" ht="17.25" customHeight="1">
      <c r="A1410" s="152">
        <f>IF(INDEX('04A_국토부원자료'!$A:$A,ROW()+1)="","",ROW()-3)</f>
        <v/>
      </c>
      <c r="B1410" s="48">
        <f>IFERROR(INDEX('04A_국토부원자료'!$A:$T,ROW()+1,MATCH("시군구",'04A_국토부원자료'!$A$4:$T$4,0)),"")</f>
        <v/>
      </c>
      <c r="C1410" s="48">
        <f>IF(B1410="","",IFERROR(INDEX('04A_국토부원자료'!$A:$T,ROW()+1,MATCH("번지",'04A_국토부원자료'!$A$4:$T$4,0)),""))</f>
        <v/>
      </c>
      <c r="D1410" s="48">
        <f>IF(B1410="","",IF(Q1410=1,'02_대상물건입력'!$B$8,IFERROR(INDEX('04A_국토부원자료'!$A:$T,ROW()+1,MATCH("단지명",'04A_국토부원자료'!$A$4:$T$4,0)),"")))</f>
        <v/>
      </c>
      <c r="E1410" s="172">
        <f>IFERROR(VALUE(SUBSTITUTE(INDEX('04A_국토부원자료'!$A:$T,ROW()+1,MATCH("전용면적(㎡)",'04A_국토부원자료'!$A$4:$T$4,0)),",","")),"")</f>
        <v/>
      </c>
      <c r="F14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10" s="51">
        <f>IFERROR(VALUE(SUBSTITUTE(INDEX('04A_국토부원자료'!$A:$T,ROW()+1,MATCH("거래금액(만원)",'04A_국토부원자료'!$A$4:$T$4,0)),",","")),"")</f>
        <v/>
      </c>
      <c r="H1410" s="174">
        <f>IF(G1410="","",G1410*10000)</f>
        <v/>
      </c>
      <c r="I1410" s="174">
        <f>IFERROR(IF(AND(H1410&gt;0,E1410&gt;0),H1410/E1410,""),"")</f>
        <v/>
      </c>
      <c r="J1410" s="152">
        <f>IFERROR(VALUE(SUBSTITUTE(INDEX('04A_국토부원자료'!$A:$T,ROW()+1,MATCH("층",'04A_국토부원자료'!$A$4:$T$4,0)),",","")),"")</f>
        <v/>
      </c>
      <c r="K1410" s="152">
        <f>IFERROR(VALUE(SUBSTITUTE(INDEX('04A_국토부원자료'!$A:$T,ROW()+1,MATCH("건축년도",'04A_국토부원자료'!$A$4:$T$4,0)),",","")),"")</f>
        <v/>
      </c>
      <c r="L1410" s="176">
        <f>IFERROR(INDEX('04A_국토부원자료'!$A:$T,ROW()+1,MATCH("도로명",'04A_국토부원자료'!$A$4:$T$4,0)),"")</f>
        <v/>
      </c>
      <c r="M1410" s="48">
        <f>IFERROR(INDEX('04A_국토부원자료'!$A:$T,ROW()+1,MATCH("거래유형",'04A_국토부원자료'!$A$4:$T$4,0)),"")</f>
        <v/>
      </c>
      <c r="N1410" s="152">
        <f>IF(B1410="","",IF('02_대상물건입력'!B5="",1,IF(ISNUMBER(SEARCH('02_대상물건입력'!B5,B1410)),1,0)))</f>
        <v/>
      </c>
      <c r="O1410" s="152">
        <f>IF(B1410="","",IF('02_대상물건입력'!B6="",1,IF(ISNUMBER(SEARCH('02_대상물건입력'!B6,B1410)),1,0)))</f>
        <v/>
      </c>
      <c r="P1410" s="152">
        <f>IF(L1410="","",IF('02_대상물건입력'!B15="",0,IF(ISNUMBER(SEARCH('02_대상물건입력'!B15,L1410)),1,0)))</f>
        <v/>
      </c>
      <c r="Q1410" s="152">
        <f>IF(OR(C1410="",L1410=""),0,IF(AND(TRIM(C1410)=TRIM(RIGHT(SUBSTITUTE(TRIM('02_대상물건입력'!$B$7)," ",REPT(" ",99)),99)),IF('02_대상물건입력'!B15="",TRUE(),ISNUMBER(SEARCH('02_대상물건입력'!B15,L1410)))),1,0))</f>
        <v/>
      </c>
      <c r="R1410" s="175">
        <f>IFERROR(ABS(E1410-'02_대상물건입력'!B11)/'02_대상물건입력'!B11,"")</f>
        <v/>
      </c>
      <c r="S1410" s="152">
        <f>IFERROR(ABS(J1410-'02_대상물건입력'!B10),"")</f>
        <v/>
      </c>
      <c r="T1410" s="152">
        <f>IFERROR(ABS('01_설정'!B4-F1410),"")</f>
        <v/>
      </c>
      <c r="U1410" s="152">
        <f>IFERROR(ABS(K1410-YEAR('02_대상물건입력'!B14)),"")</f>
        <v/>
      </c>
      <c r="V1410" s="152">
        <f>IF(B1410="","",IF(AND(E1410&gt;0,F1410&gt;0,H1410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1410=1,TRUE()),R1410&lt;='01_설정'!B5,S1410&lt;='01_설정'!B6,T1410&lt;='01_설정'!B7,U1410&lt;='01_설정'!B8),"Y",""))</f>
        <v/>
      </c>
      <c r="W1410" s="172">
        <f>IF(V1410&lt;&gt;"Y","",MAX(0,(1-R1410/'01_설정'!B5))*'01_설정'!B14+MAX(0,(1-S1410/'01_설정'!B6))*'01_설정'!B15+MAX(0,(1-T1410/'01_설정'!B7))*'01_설정'!B16+MAX(0,(1-U1410/'01_설정'!B8))*'01_설정'!B17+O1410*'01_설정'!B11+Q1410*'01_설정'!B12+P1410*'01_설정'!B13+IF(Z1410="",0,Z1410))</f>
        <v/>
      </c>
      <c r="X1410" s="152">
        <f>IF(W1410="","",1+COUNTIFS($W$4:$W$3003,"&gt;"&amp;W1410)+COUNTIFS($W$4:W1410,W1410)-1)</f>
        <v/>
      </c>
      <c r="Y1410" s="175">
        <f>IF(OR(I1410="",'02_대상물건입력'!B19="",'02_대상물건입력'!B19&lt;=0),"",ABS(I1410-'02_대상물건입력'!B19)/'02_대상물건입력'!B19)</f>
        <v/>
      </c>
      <c r="Z1410" s="172">
        <f>IF(OR(Y1410="",'01_설정'!B31="",'01_설정'!B31&lt;=0,'01_설정'!B32="",'01_설정'!B32&lt;=0),"",MAX(0,(1-Y1410/'01_설정'!B32))*'01_설정'!B31)</f>
        <v/>
      </c>
    </row>
    <row r="1411" ht="17.25" customHeight="1">
      <c r="A1411" s="152">
        <f>IF(INDEX('04A_국토부원자료'!$A:$A,ROW()+1)="","",ROW()-3)</f>
        <v/>
      </c>
      <c r="B1411" s="48">
        <f>IFERROR(INDEX('04A_국토부원자료'!$A:$T,ROW()+1,MATCH("시군구",'04A_국토부원자료'!$A$4:$T$4,0)),"")</f>
        <v/>
      </c>
      <c r="C1411" s="48">
        <f>IF(B1411="","",IFERROR(INDEX('04A_국토부원자료'!$A:$T,ROW()+1,MATCH("번지",'04A_국토부원자료'!$A$4:$T$4,0)),""))</f>
        <v/>
      </c>
      <c r="D1411" s="48">
        <f>IF(B1411="","",IF(Q1411=1,'02_대상물건입력'!$B$8,IFERROR(INDEX('04A_국토부원자료'!$A:$T,ROW()+1,MATCH("단지명",'04A_국토부원자료'!$A$4:$T$4,0)),"")))</f>
        <v/>
      </c>
      <c r="E1411" s="172">
        <f>IFERROR(VALUE(SUBSTITUTE(INDEX('04A_국토부원자료'!$A:$T,ROW()+1,MATCH("전용면적(㎡)",'04A_국토부원자료'!$A$4:$T$4,0)),",","")),"")</f>
        <v/>
      </c>
      <c r="F14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11" s="51">
        <f>IFERROR(VALUE(SUBSTITUTE(INDEX('04A_국토부원자료'!$A:$T,ROW()+1,MATCH("거래금액(만원)",'04A_국토부원자료'!$A$4:$T$4,0)),",","")),"")</f>
        <v/>
      </c>
      <c r="H1411" s="174">
        <f>IF(G1411="","",G1411*10000)</f>
        <v/>
      </c>
      <c r="I1411" s="174">
        <f>IFERROR(IF(AND(H1411&gt;0,E1411&gt;0),H1411/E1411,""),"")</f>
        <v/>
      </c>
      <c r="J1411" s="152">
        <f>IFERROR(VALUE(SUBSTITUTE(INDEX('04A_국토부원자료'!$A:$T,ROW()+1,MATCH("층",'04A_국토부원자료'!$A$4:$T$4,0)),",","")),"")</f>
        <v/>
      </c>
      <c r="K1411" s="152">
        <f>IFERROR(VALUE(SUBSTITUTE(INDEX('04A_국토부원자료'!$A:$T,ROW()+1,MATCH("건축년도",'04A_국토부원자료'!$A$4:$T$4,0)),",","")),"")</f>
        <v/>
      </c>
      <c r="L1411" s="176">
        <f>IFERROR(INDEX('04A_국토부원자료'!$A:$T,ROW()+1,MATCH("도로명",'04A_국토부원자료'!$A$4:$T$4,0)),"")</f>
        <v/>
      </c>
      <c r="M1411" s="48">
        <f>IFERROR(INDEX('04A_국토부원자료'!$A:$T,ROW()+1,MATCH("거래유형",'04A_국토부원자료'!$A$4:$T$4,0)),"")</f>
        <v/>
      </c>
      <c r="N1411" s="152">
        <f>IF(B1411="","",IF('02_대상물건입력'!B5="",1,IF(ISNUMBER(SEARCH('02_대상물건입력'!B5,B1411)),1,0)))</f>
        <v/>
      </c>
      <c r="O1411" s="152">
        <f>IF(B1411="","",IF('02_대상물건입력'!B6="",1,IF(ISNUMBER(SEARCH('02_대상물건입력'!B6,B1411)),1,0)))</f>
        <v/>
      </c>
      <c r="P1411" s="152">
        <f>IF(L1411="","",IF('02_대상물건입력'!B15="",0,IF(ISNUMBER(SEARCH('02_대상물건입력'!B15,L1411)),1,0)))</f>
        <v/>
      </c>
      <c r="Q1411" s="152">
        <f>IF(OR(C1411="",L1411=""),0,IF(AND(TRIM(C1411)=TRIM(RIGHT(SUBSTITUTE(TRIM('02_대상물건입력'!$B$7)," ",REPT(" ",99)),99)),IF('02_대상물건입력'!B15="",TRUE(),ISNUMBER(SEARCH('02_대상물건입력'!B15,L1411)))),1,0))</f>
        <v/>
      </c>
      <c r="R1411" s="175">
        <f>IFERROR(ABS(E1411-'02_대상물건입력'!B11)/'02_대상물건입력'!B11,"")</f>
        <v/>
      </c>
      <c r="S1411" s="152">
        <f>IFERROR(ABS(J1411-'02_대상물건입력'!B10),"")</f>
        <v/>
      </c>
      <c r="T1411" s="152">
        <f>IFERROR(ABS('01_설정'!B4-F1411),"")</f>
        <v/>
      </c>
      <c r="U1411" s="152">
        <f>IFERROR(ABS(K1411-YEAR('02_대상물건입력'!B14)),"")</f>
        <v/>
      </c>
      <c r="V1411" s="152">
        <f>IF(B1411="","",IF(AND(E1411&gt;0,F1411&gt;0,H1411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1411=1,TRUE()),R1411&lt;='01_설정'!B5,S1411&lt;='01_설정'!B6,T1411&lt;='01_설정'!B7,U1411&lt;='01_설정'!B8),"Y",""))</f>
        <v/>
      </c>
      <c r="W1411" s="172">
        <f>IF(V1411&lt;&gt;"Y","",MAX(0,(1-R1411/'01_설정'!B5))*'01_설정'!B14+MAX(0,(1-S1411/'01_설정'!B6))*'01_설정'!B15+MAX(0,(1-T1411/'01_설정'!B7))*'01_설정'!B16+MAX(0,(1-U1411/'01_설정'!B8))*'01_설정'!B17+O1411*'01_설정'!B11+Q1411*'01_설정'!B12+P1411*'01_설정'!B13+IF(Z1411="",0,Z1411))</f>
        <v/>
      </c>
      <c r="X1411" s="152">
        <f>IF(W1411="","",1+COUNTIFS($W$4:$W$3003,"&gt;"&amp;W1411)+COUNTIFS($W$4:W1411,W1411)-1)</f>
        <v/>
      </c>
      <c r="Y1411" s="175">
        <f>IF(OR(I1411="",'02_대상물건입력'!B19="",'02_대상물건입력'!B19&lt;=0),"",ABS(I1411-'02_대상물건입력'!B19)/'02_대상물건입력'!B19)</f>
        <v/>
      </c>
      <c r="Z1411" s="172">
        <f>IF(OR(Y1411="",'01_설정'!B31="",'01_설정'!B31&lt;=0,'01_설정'!B32="",'01_설정'!B32&lt;=0),"",MAX(0,(1-Y1411/'01_설정'!B32))*'01_설정'!B31)</f>
        <v/>
      </c>
    </row>
    <row r="1412" ht="17.25" customHeight="1">
      <c r="A1412" s="152">
        <f>IF(INDEX('04A_국토부원자료'!$A:$A,ROW()+1)="","",ROW()-3)</f>
        <v/>
      </c>
      <c r="B1412" s="48">
        <f>IFERROR(INDEX('04A_국토부원자료'!$A:$T,ROW()+1,MATCH("시군구",'04A_국토부원자료'!$A$4:$T$4,0)),"")</f>
        <v/>
      </c>
      <c r="C1412" s="48">
        <f>IF(B1412="","",IFERROR(INDEX('04A_국토부원자료'!$A:$T,ROW()+1,MATCH("번지",'04A_국토부원자료'!$A$4:$T$4,0)),""))</f>
        <v/>
      </c>
      <c r="D1412" s="48">
        <f>IF(B1412="","",IF(Q1412=1,'02_대상물건입력'!$B$8,IFERROR(INDEX('04A_국토부원자료'!$A:$T,ROW()+1,MATCH("단지명",'04A_국토부원자료'!$A$4:$T$4,0)),"")))</f>
        <v/>
      </c>
      <c r="E1412" s="172">
        <f>IFERROR(VALUE(SUBSTITUTE(INDEX('04A_국토부원자료'!$A:$T,ROW()+1,MATCH("전용면적(㎡)",'04A_국토부원자료'!$A$4:$T$4,0)),",","")),"")</f>
        <v/>
      </c>
      <c r="F14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12" s="51">
        <f>IFERROR(VALUE(SUBSTITUTE(INDEX('04A_국토부원자료'!$A:$T,ROW()+1,MATCH("거래금액(만원)",'04A_국토부원자료'!$A$4:$T$4,0)),",","")),"")</f>
        <v/>
      </c>
      <c r="H1412" s="174">
        <f>IF(G1412="","",G1412*10000)</f>
        <v/>
      </c>
      <c r="I1412" s="174">
        <f>IFERROR(IF(AND(H1412&gt;0,E1412&gt;0),H1412/E1412,""),"")</f>
        <v/>
      </c>
      <c r="J1412" s="152">
        <f>IFERROR(VALUE(SUBSTITUTE(INDEX('04A_국토부원자료'!$A:$T,ROW()+1,MATCH("층",'04A_국토부원자료'!$A$4:$T$4,0)),",","")),"")</f>
        <v/>
      </c>
      <c r="K1412" s="152">
        <f>IFERROR(VALUE(SUBSTITUTE(INDEX('04A_국토부원자료'!$A:$T,ROW()+1,MATCH("건축년도",'04A_국토부원자료'!$A$4:$T$4,0)),",","")),"")</f>
        <v/>
      </c>
      <c r="L1412" s="176">
        <f>IFERROR(INDEX('04A_국토부원자료'!$A:$T,ROW()+1,MATCH("도로명",'04A_국토부원자료'!$A$4:$T$4,0)),"")</f>
        <v/>
      </c>
      <c r="M1412" s="48">
        <f>IFERROR(INDEX('04A_국토부원자료'!$A:$T,ROW()+1,MATCH("거래유형",'04A_국토부원자료'!$A$4:$T$4,0)),"")</f>
        <v/>
      </c>
      <c r="N1412" s="152">
        <f>IF(B1412="","",IF('02_대상물건입력'!B5="",1,IF(ISNUMBER(SEARCH('02_대상물건입력'!B5,B1412)),1,0)))</f>
        <v/>
      </c>
      <c r="O1412" s="152">
        <f>IF(B1412="","",IF('02_대상물건입력'!B6="",1,IF(ISNUMBER(SEARCH('02_대상물건입력'!B6,B1412)),1,0)))</f>
        <v/>
      </c>
      <c r="P1412" s="152">
        <f>IF(L1412="","",IF('02_대상물건입력'!B15="",0,IF(ISNUMBER(SEARCH('02_대상물건입력'!B15,L1412)),1,0)))</f>
        <v/>
      </c>
      <c r="Q1412" s="152">
        <f>IF(OR(C1412="",L1412=""),0,IF(AND(TRIM(C1412)=TRIM(RIGHT(SUBSTITUTE(TRIM('02_대상물건입력'!$B$7)," ",REPT(" ",99)),99)),IF('02_대상물건입력'!B15="",TRUE(),ISNUMBER(SEARCH('02_대상물건입력'!B15,L1412)))),1,0))</f>
        <v/>
      </c>
      <c r="R1412" s="175">
        <f>IFERROR(ABS(E1412-'02_대상물건입력'!B11)/'02_대상물건입력'!B11,"")</f>
        <v/>
      </c>
      <c r="S1412" s="152">
        <f>IFERROR(ABS(J1412-'02_대상물건입력'!B10),"")</f>
        <v/>
      </c>
      <c r="T1412" s="152">
        <f>IFERROR(ABS('01_설정'!B4-F1412),"")</f>
        <v/>
      </c>
      <c r="U1412" s="152">
        <f>IFERROR(ABS(K1412-YEAR('02_대상물건입력'!B14)),"")</f>
        <v/>
      </c>
      <c r="V1412" s="152">
        <f>IF(B1412="","",IF(AND(E1412&gt;0,F1412&gt;0,H1412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1412=1,TRUE()),R1412&lt;='01_설정'!B5,S1412&lt;='01_설정'!B6,T1412&lt;='01_설정'!B7,U1412&lt;='01_설정'!B8),"Y",""))</f>
        <v/>
      </c>
      <c r="W1412" s="172">
        <f>IF(V1412&lt;&gt;"Y","",MAX(0,(1-R1412/'01_설정'!B5))*'01_설정'!B14+MAX(0,(1-S1412/'01_설정'!B6))*'01_설정'!B15+MAX(0,(1-T1412/'01_설정'!B7))*'01_설정'!B16+MAX(0,(1-U1412/'01_설정'!B8))*'01_설정'!B17+O1412*'01_설정'!B11+Q1412*'01_설정'!B12+P1412*'01_설정'!B13+IF(Z1412="",0,Z1412))</f>
        <v/>
      </c>
      <c r="X1412" s="152">
        <f>IF(W1412="","",1+COUNTIFS($W$4:$W$3003,"&gt;"&amp;W1412)+COUNTIFS($W$4:W1412,W1412)-1)</f>
        <v/>
      </c>
      <c r="Y1412" s="175">
        <f>IF(OR(I1412="",'02_대상물건입력'!B19="",'02_대상물건입력'!B19&lt;=0),"",ABS(I1412-'02_대상물건입력'!B19)/'02_대상물건입력'!B19)</f>
        <v/>
      </c>
      <c r="Z1412" s="172">
        <f>IF(OR(Y1412="",'01_설정'!B31="",'01_설정'!B31&lt;=0,'01_설정'!B32="",'01_설정'!B32&lt;=0),"",MAX(0,(1-Y1412/'01_설정'!B32))*'01_설정'!B31)</f>
        <v/>
      </c>
    </row>
    <row r="1413" ht="17.25" customHeight="1">
      <c r="A1413" s="152">
        <f>IF(INDEX('04A_국토부원자료'!$A:$A,ROW()+1)="","",ROW()-3)</f>
        <v/>
      </c>
      <c r="B1413" s="48">
        <f>IFERROR(INDEX('04A_국토부원자료'!$A:$T,ROW()+1,MATCH("시군구",'04A_국토부원자료'!$A$4:$T$4,0)),"")</f>
        <v/>
      </c>
      <c r="C1413" s="48">
        <f>IF(B1413="","",IFERROR(INDEX('04A_국토부원자료'!$A:$T,ROW()+1,MATCH("번지",'04A_국토부원자료'!$A$4:$T$4,0)),""))</f>
        <v/>
      </c>
      <c r="D1413" s="48">
        <f>IF(B1413="","",IF(Q1413=1,'02_대상물건입력'!$B$8,IFERROR(INDEX('04A_국토부원자료'!$A:$T,ROW()+1,MATCH("단지명",'04A_국토부원자료'!$A$4:$T$4,0)),"")))</f>
        <v/>
      </c>
      <c r="E1413" s="172">
        <f>IFERROR(VALUE(SUBSTITUTE(INDEX('04A_국토부원자료'!$A:$T,ROW()+1,MATCH("전용면적(㎡)",'04A_국토부원자료'!$A$4:$T$4,0)),",","")),"")</f>
        <v/>
      </c>
      <c r="F14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13" s="51">
        <f>IFERROR(VALUE(SUBSTITUTE(INDEX('04A_국토부원자료'!$A:$T,ROW()+1,MATCH("거래금액(만원)",'04A_국토부원자료'!$A$4:$T$4,0)),",","")),"")</f>
        <v/>
      </c>
      <c r="H1413" s="174">
        <f>IF(G1413="","",G1413*10000)</f>
        <v/>
      </c>
      <c r="I1413" s="174">
        <f>IFERROR(IF(AND(H1413&gt;0,E1413&gt;0),H1413/E1413,""),"")</f>
        <v/>
      </c>
      <c r="J1413" s="152">
        <f>IFERROR(VALUE(SUBSTITUTE(INDEX('04A_국토부원자료'!$A:$T,ROW()+1,MATCH("층",'04A_국토부원자료'!$A$4:$T$4,0)),",","")),"")</f>
        <v/>
      </c>
      <c r="K1413" s="152">
        <f>IFERROR(VALUE(SUBSTITUTE(INDEX('04A_국토부원자료'!$A:$T,ROW()+1,MATCH("건축년도",'04A_국토부원자료'!$A$4:$T$4,0)),",","")),"")</f>
        <v/>
      </c>
      <c r="L1413" s="176">
        <f>IFERROR(INDEX('04A_국토부원자료'!$A:$T,ROW()+1,MATCH("도로명",'04A_국토부원자료'!$A$4:$T$4,0)),"")</f>
        <v/>
      </c>
      <c r="M1413" s="48">
        <f>IFERROR(INDEX('04A_국토부원자료'!$A:$T,ROW()+1,MATCH("거래유형",'04A_국토부원자료'!$A$4:$T$4,0)),"")</f>
        <v/>
      </c>
      <c r="N1413" s="152">
        <f>IF(B1413="","",IF('02_대상물건입력'!B5="",1,IF(ISNUMBER(SEARCH('02_대상물건입력'!B5,B1413)),1,0)))</f>
        <v/>
      </c>
      <c r="O1413" s="152">
        <f>IF(B1413="","",IF('02_대상물건입력'!B6="",1,IF(ISNUMBER(SEARCH('02_대상물건입력'!B6,B1413)),1,0)))</f>
        <v/>
      </c>
      <c r="P1413" s="152">
        <f>IF(L1413="","",IF('02_대상물건입력'!B15="",0,IF(ISNUMBER(SEARCH('02_대상물건입력'!B15,L1413)),1,0)))</f>
        <v/>
      </c>
      <c r="Q1413" s="152">
        <f>IF(OR(C1413="",L1413=""),0,IF(AND(TRIM(C1413)=TRIM(RIGHT(SUBSTITUTE(TRIM('02_대상물건입력'!$B$7)," ",REPT(" ",99)),99)),IF('02_대상물건입력'!B15="",TRUE(),ISNUMBER(SEARCH('02_대상물건입력'!B15,L1413)))),1,0))</f>
        <v/>
      </c>
      <c r="R1413" s="175">
        <f>IFERROR(ABS(E1413-'02_대상물건입력'!B11)/'02_대상물건입력'!B11,"")</f>
        <v/>
      </c>
      <c r="S1413" s="152">
        <f>IFERROR(ABS(J1413-'02_대상물건입력'!B10),"")</f>
        <v/>
      </c>
      <c r="T1413" s="152">
        <f>IFERROR(ABS('01_설정'!B4-F1413),"")</f>
        <v/>
      </c>
      <c r="U1413" s="152">
        <f>IFERROR(ABS(K1413-YEAR('02_대상물건입력'!B14)),"")</f>
        <v/>
      </c>
      <c r="V1413" s="152">
        <f>IF(B1413="","",IF(AND(E1413&gt;0,F1413&gt;0,H1413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1413=1,TRUE()),R1413&lt;='01_설정'!B5,S1413&lt;='01_설정'!B6,T1413&lt;='01_설정'!B7,U1413&lt;='01_설정'!B8),"Y",""))</f>
        <v/>
      </c>
      <c r="W1413" s="172">
        <f>IF(V1413&lt;&gt;"Y","",MAX(0,(1-R1413/'01_설정'!B5))*'01_설정'!B14+MAX(0,(1-S1413/'01_설정'!B6))*'01_설정'!B15+MAX(0,(1-T1413/'01_설정'!B7))*'01_설정'!B16+MAX(0,(1-U1413/'01_설정'!B8))*'01_설정'!B17+O1413*'01_설정'!B11+Q1413*'01_설정'!B12+P1413*'01_설정'!B13+IF(Z1413="",0,Z1413))</f>
        <v/>
      </c>
      <c r="X1413" s="152">
        <f>IF(W1413="","",1+COUNTIFS($W$4:$W$3003,"&gt;"&amp;W1413)+COUNTIFS($W$4:W1413,W1413)-1)</f>
        <v/>
      </c>
      <c r="Y1413" s="175">
        <f>IF(OR(I1413="",'02_대상물건입력'!B19="",'02_대상물건입력'!B19&lt;=0),"",ABS(I1413-'02_대상물건입력'!B19)/'02_대상물건입력'!B19)</f>
        <v/>
      </c>
      <c r="Z1413" s="172">
        <f>IF(OR(Y1413="",'01_설정'!B31="",'01_설정'!B31&lt;=0,'01_설정'!B32="",'01_설정'!B32&lt;=0),"",MAX(0,(1-Y1413/'01_설정'!B32))*'01_설정'!B31)</f>
        <v/>
      </c>
    </row>
    <row r="1414" ht="17.25" customHeight="1">
      <c r="A1414" s="152">
        <f>IF(INDEX('04A_국토부원자료'!$A:$A,ROW()+1)="","",ROW()-3)</f>
        <v/>
      </c>
      <c r="B1414" s="48">
        <f>IFERROR(INDEX('04A_국토부원자료'!$A:$T,ROW()+1,MATCH("시군구",'04A_국토부원자료'!$A$4:$T$4,0)),"")</f>
        <v/>
      </c>
      <c r="C1414" s="48">
        <f>IF(B1414="","",IFERROR(INDEX('04A_국토부원자료'!$A:$T,ROW()+1,MATCH("번지",'04A_국토부원자료'!$A$4:$T$4,0)),""))</f>
        <v/>
      </c>
      <c r="D1414" s="48">
        <f>IF(B1414="","",IF(Q1414=1,'02_대상물건입력'!$B$8,IFERROR(INDEX('04A_국토부원자료'!$A:$T,ROW()+1,MATCH("단지명",'04A_국토부원자료'!$A$4:$T$4,0)),"")))</f>
        <v/>
      </c>
      <c r="E1414" s="172">
        <f>IFERROR(VALUE(SUBSTITUTE(INDEX('04A_국토부원자료'!$A:$T,ROW()+1,MATCH("전용면적(㎡)",'04A_국토부원자료'!$A$4:$T$4,0)),",","")),"")</f>
        <v/>
      </c>
      <c r="F14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14" s="51">
        <f>IFERROR(VALUE(SUBSTITUTE(INDEX('04A_국토부원자료'!$A:$T,ROW()+1,MATCH("거래금액(만원)",'04A_국토부원자료'!$A$4:$T$4,0)),",","")),"")</f>
        <v/>
      </c>
      <c r="H1414" s="174">
        <f>IF(G1414="","",G1414*10000)</f>
        <v/>
      </c>
      <c r="I1414" s="174">
        <f>IFERROR(IF(AND(H1414&gt;0,E1414&gt;0),H1414/E1414,""),"")</f>
        <v/>
      </c>
      <c r="J1414" s="152">
        <f>IFERROR(VALUE(SUBSTITUTE(INDEX('04A_국토부원자료'!$A:$T,ROW()+1,MATCH("층",'04A_국토부원자료'!$A$4:$T$4,0)),",","")),"")</f>
        <v/>
      </c>
      <c r="K1414" s="152">
        <f>IFERROR(VALUE(SUBSTITUTE(INDEX('04A_국토부원자료'!$A:$T,ROW()+1,MATCH("건축년도",'04A_국토부원자료'!$A$4:$T$4,0)),",","")),"")</f>
        <v/>
      </c>
      <c r="L1414" s="176">
        <f>IFERROR(INDEX('04A_국토부원자료'!$A:$T,ROW()+1,MATCH("도로명",'04A_국토부원자료'!$A$4:$T$4,0)),"")</f>
        <v/>
      </c>
      <c r="M1414" s="48">
        <f>IFERROR(INDEX('04A_국토부원자료'!$A:$T,ROW()+1,MATCH("거래유형",'04A_국토부원자료'!$A$4:$T$4,0)),"")</f>
        <v/>
      </c>
      <c r="N1414" s="152">
        <f>IF(B1414="","",IF('02_대상물건입력'!B5="",1,IF(ISNUMBER(SEARCH('02_대상물건입력'!B5,B1414)),1,0)))</f>
        <v/>
      </c>
      <c r="O1414" s="152">
        <f>IF(B1414="","",IF('02_대상물건입력'!B6="",1,IF(ISNUMBER(SEARCH('02_대상물건입력'!B6,B1414)),1,0)))</f>
        <v/>
      </c>
      <c r="P1414" s="152">
        <f>IF(L1414="","",IF('02_대상물건입력'!B15="",0,IF(ISNUMBER(SEARCH('02_대상물건입력'!B15,L1414)),1,0)))</f>
        <v/>
      </c>
      <c r="Q1414" s="152">
        <f>IF(OR(C1414="",L1414=""),0,IF(AND(TRIM(C1414)=TRIM(RIGHT(SUBSTITUTE(TRIM('02_대상물건입력'!$B$7)," ",REPT(" ",99)),99)),IF('02_대상물건입력'!B15="",TRUE(),ISNUMBER(SEARCH('02_대상물건입력'!B15,L1414)))),1,0))</f>
        <v/>
      </c>
      <c r="R1414" s="175">
        <f>IFERROR(ABS(E1414-'02_대상물건입력'!B11)/'02_대상물건입력'!B11,"")</f>
        <v/>
      </c>
      <c r="S1414" s="152">
        <f>IFERROR(ABS(J1414-'02_대상물건입력'!B10),"")</f>
        <v/>
      </c>
      <c r="T1414" s="152">
        <f>IFERROR(ABS('01_설정'!B4-F1414),"")</f>
        <v/>
      </c>
      <c r="U1414" s="152">
        <f>IFERROR(ABS(K1414-YEAR('02_대상물건입력'!B14)),"")</f>
        <v/>
      </c>
      <c r="V1414" s="152">
        <f>IF(B1414="","",IF(AND(E1414&gt;0,F1414&gt;0,H1414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1414=1,TRUE()),R1414&lt;='01_설정'!B5,S1414&lt;='01_설정'!B6,T1414&lt;='01_설정'!B7,U1414&lt;='01_설정'!B8),"Y",""))</f>
        <v/>
      </c>
      <c r="W1414" s="172">
        <f>IF(V1414&lt;&gt;"Y","",MAX(0,(1-R1414/'01_설정'!B5))*'01_설정'!B14+MAX(0,(1-S1414/'01_설정'!B6))*'01_설정'!B15+MAX(0,(1-T1414/'01_설정'!B7))*'01_설정'!B16+MAX(0,(1-U1414/'01_설정'!B8))*'01_설정'!B17+O1414*'01_설정'!B11+Q1414*'01_설정'!B12+P1414*'01_설정'!B13+IF(Z1414="",0,Z1414))</f>
        <v/>
      </c>
      <c r="X1414" s="152">
        <f>IF(W1414="","",1+COUNTIFS($W$4:$W$3003,"&gt;"&amp;W1414)+COUNTIFS($W$4:W1414,W1414)-1)</f>
        <v/>
      </c>
      <c r="Y1414" s="175">
        <f>IF(OR(I1414="",'02_대상물건입력'!B19="",'02_대상물건입력'!B19&lt;=0),"",ABS(I1414-'02_대상물건입력'!B19)/'02_대상물건입력'!B19)</f>
        <v/>
      </c>
      <c r="Z1414" s="172">
        <f>IF(OR(Y1414="",'01_설정'!B31="",'01_설정'!B31&lt;=0,'01_설정'!B32="",'01_설정'!B32&lt;=0),"",MAX(0,(1-Y1414/'01_설정'!B32))*'01_설정'!B31)</f>
        <v/>
      </c>
    </row>
    <row r="1415" ht="17.25" customHeight="1">
      <c r="A1415" s="152">
        <f>IF(INDEX('04A_국토부원자료'!$A:$A,ROW()+1)="","",ROW()-3)</f>
        <v/>
      </c>
      <c r="B1415" s="48">
        <f>IFERROR(INDEX('04A_국토부원자료'!$A:$T,ROW()+1,MATCH("시군구",'04A_국토부원자료'!$A$4:$T$4,0)),"")</f>
        <v/>
      </c>
      <c r="C1415" s="48">
        <f>IF(B1415="","",IFERROR(INDEX('04A_국토부원자료'!$A:$T,ROW()+1,MATCH("번지",'04A_국토부원자료'!$A$4:$T$4,0)),""))</f>
        <v/>
      </c>
      <c r="D1415" s="48">
        <f>IF(B1415="","",IF(Q1415=1,'02_대상물건입력'!$B$8,IFERROR(INDEX('04A_국토부원자료'!$A:$T,ROW()+1,MATCH("단지명",'04A_국토부원자료'!$A$4:$T$4,0)),"")))</f>
        <v/>
      </c>
      <c r="E1415" s="172">
        <f>IFERROR(VALUE(SUBSTITUTE(INDEX('04A_국토부원자료'!$A:$T,ROW()+1,MATCH("전용면적(㎡)",'04A_국토부원자료'!$A$4:$T$4,0)),",","")),"")</f>
        <v/>
      </c>
      <c r="F14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15" s="51">
        <f>IFERROR(VALUE(SUBSTITUTE(INDEX('04A_국토부원자료'!$A:$T,ROW()+1,MATCH("거래금액(만원)",'04A_국토부원자료'!$A$4:$T$4,0)),",","")),"")</f>
        <v/>
      </c>
      <c r="H1415" s="174">
        <f>IF(G1415="","",G1415*10000)</f>
        <v/>
      </c>
      <c r="I1415" s="174">
        <f>IFERROR(IF(AND(H1415&gt;0,E1415&gt;0),H1415/E1415,""),"")</f>
        <v/>
      </c>
      <c r="J1415" s="152">
        <f>IFERROR(VALUE(SUBSTITUTE(INDEX('04A_국토부원자료'!$A:$T,ROW()+1,MATCH("층",'04A_국토부원자료'!$A$4:$T$4,0)),",","")),"")</f>
        <v/>
      </c>
      <c r="K1415" s="152">
        <f>IFERROR(VALUE(SUBSTITUTE(INDEX('04A_국토부원자료'!$A:$T,ROW()+1,MATCH("건축년도",'04A_국토부원자료'!$A$4:$T$4,0)),",","")),"")</f>
        <v/>
      </c>
      <c r="L1415" s="176">
        <f>IFERROR(INDEX('04A_국토부원자료'!$A:$T,ROW()+1,MATCH("도로명",'04A_국토부원자료'!$A$4:$T$4,0)),"")</f>
        <v/>
      </c>
      <c r="M1415" s="48">
        <f>IFERROR(INDEX('04A_국토부원자료'!$A:$T,ROW()+1,MATCH("거래유형",'04A_국토부원자료'!$A$4:$T$4,0)),"")</f>
        <v/>
      </c>
      <c r="N1415" s="152">
        <f>IF(B1415="","",IF('02_대상물건입력'!B5="",1,IF(ISNUMBER(SEARCH('02_대상물건입력'!B5,B1415)),1,0)))</f>
        <v/>
      </c>
      <c r="O1415" s="152">
        <f>IF(B1415="","",IF('02_대상물건입력'!B6="",1,IF(ISNUMBER(SEARCH('02_대상물건입력'!B6,B1415)),1,0)))</f>
        <v/>
      </c>
      <c r="P1415" s="152">
        <f>IF(L1415="","",IF('02_대상물건입력'!B15="",0,IF(ISNUMBER(SEARCH('02_대상물건입력'!B15,L1415)),1,0)))</f>
        <v/>
      </c>
      <c r="Q1415" s="152">
        <f>IF(OR(C1415="",L1415=""),0,IF(AND(TRIM(C1415)=TRIM(RIGHT(SUBSTITUTE(TRIM('02_대상물건입력'!$B$7)," ",REPT(" ",99)),99)),IF('02_대상물건입력'!B15="",TRUE(),ISNUMBER(SEARCH('02_대상물건입력'!B15,L1415)))),1,0))</f>
        <v/>
      </c>
      <c r="R1415" s="175">
        <f>IFERROR(ABS(E1415-'02_대상물건입력'!B11)/'02_대상물건입력'!B11,"")</f>
        <v/>
      </c>
      <c r="S1415" s="152">
        <f>IFERROR(ABS(J1415-'02_대상물건입력'!B10),"")</f>
        <v/>
      </c>
      <c r="T1415" s="152">
        <f>IFERROR(ABS('01_설정'!B4-F1415),"")</f>
        <v/>
      </c>
      <c r="U1415" s="152">
        <f>IFERROR(ABS(K1415-YEAR('02_대상물건입력'!B14)),"")</f>
        <v/>
      </c>
      <c r="V1415" s="152">
        <f>IF(B1415="","",IF(AND(E1415&gt;0,F1415&gt;0,H1415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1415=1,TRUE()),R1415&lt;='01_설정'!B5,S1415&lt;='01_설정'!B6,T1415&lt;='01_설정'!B7,U1415&lt;='01_설정'!B8),"Y",""))</f>
        <v/>
      </c>
      <c r="W1415" s="172">
        <f>IF(V1415&lt;&gt;"Y","",MAX(0,(1-R1415/'01_설정'!B5))*'01_설정'!B14+MAX(0,(1-S1415/'01_설정'!B6))*'01_설정'!B15+MAX(0,(1-T1415/'01_설정'!B7))*'01_설정'!B16+MAX(0,(1-U1415/'01_설정'!B8))*'01_설정'!B17+O1415*'01_설정'!B11+Q1415*'01_설정'!B12+P1415*'01_설정'!B13+IF(Z1415="",0,Z1415))</f>
        <v/>
      </c>
      <c r="X1415" s="152">
        <f>IF(W1415="","",1+COUNTIFS($W$4:$W$3003,"&gt;"&amp;W1415)+COUNTIFS($W$4:W1415,W1415)-1)</f>
        <v/>
      </c>
      <c r="Y1415" s="175">
        <f>IF(OR(I1415="",'02_대상물건입력'!B19="",'02_대상물건입력'!B19&lt;=0),"",ABS(I1415-'02_대상물건입력'!B19)/'02_대상물건입력'!B19)</f>
        <v/>
      </c>
      <c r="Z1415" s="172">
        <f>IF(OR(Y1415="",'01_설정'!B31="",'01_설정'!B31&lt;=0,'01_설정'!B32="",'01_설정'!B32&lt;=0),"",MAX(0,(1-Y1415/'01_설정'!B32))*'01_설정'!B31)</f>
        <v/>
      </c>
    </row>
    <row r="1416" ht="17.25" customHeight="1">
      <c r="A1416" s="152">
        <f>IF(INDEX('04A_국토부원자료'!$A:$A,ROW()+1)="","",ROW()-3)</f>
        <v/>
      </c>
      <c r="B1416" s="48">
        <f>IFERROR(INDEX('04A_국토부원자료'!$A:$T,ROW()+1,MATCH("시군구",'04A_국토부원자료'!$A$4:$T$4,0)),"")</f>
        <v/>
      </c>
      <c r="C1416" s="48">
        <f>IF(B1416="","",IFERROR(INDEX('04A_국토부원자료'!$A:$T,ROW()+1,MATCH("번지",'04A_국토부원자료'!$A$4:$T$4,0)),""))</f>
        <v/>
      </c>
      <c r="D1416" s="48">
        <f>IF(B1416="","",IF(Q1416=1,'02_대상물건입력'!$B$8,IFERROR(INDEX('04A_국토부원자료'!$A:$T,ROW()+1,MATCH("단지명",'04A_국토부원자료'!$A$4:$T$4,0)),"")))</f>
        <v/>
      </c>
      <c r="E1416" s="172">
        <f>IFERROR(VALUE(SUBSTITUTE(INDEX('04A_국토부원자료'!$A:$T,ROW()+1,MATCH("전용면적(㎡)",'04A_국토부원자료'!$A$4:$T$4,0)),",","")),"")</f>
        <v/>
      </c>
      <c r="F14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16" s="51">
        <f>IFERROR(VALUE(SUBSTITUTE(INDEX('04A_국토부원자료'!$A:$T,ROW()+1,MATCH("거래금액(만원)",'04A_국토부원자료'!$A$4:$T$4,0)),",","")),"")</f>
        <v/>
      </c>
      <c r="H1416" s="174">
        <f>IF(G1416="","",G1416*10000)</f>
        <v/>
      </c>
      <c r="I1416" s="174">
        <f>IFERROR(IF(AND(H1416&gt;0,E1416&gt;0),H1416/E1416,""),"")</f>
        <v/>
      </c>
      <c r="J1416" s="152">
        <f>IFERROR(VALUE(SUBSTITUTE(INDEX('04A_국토부원자료'!$A:$T,ROW()+1,MATCH("층",'04A_국토부원자료'!$A$4:$T$4,0)),",","")),"")</f>
        <v/>
      </c>
      <c r="K1416" s="152">
        <f>IFERROR(VALUE(SUBSTITUTE(INDEX('04A_국토부원자료'!$A:$T,ROW()+1,MATCH("건축년도",'04A_국토부원자료'!$A$4:$T$4,0)),",","")),"")</f>
        <v/>
      </c>
      <c r="L1416" s="176">
        <f>IFERROR(INDEX('04A_국토부원자료'!$A:$T,ROW()+1,MATCH("도로명",'04A_국토부원자료'!$A$4:$T$4,0)),"")</f>
        <v/>
      </c>
      <c r="M1416" s="48">
        <f>IFERROR(INDEX('04A_국토부원자료'!$A:$T,ROW()+1,MATCH("거래유형",'04A_국토부원자료'!$A$4:$T$4,0)),"")</f>
        <v/>
      </c>
      <c r="N1416" s="152">
        <f>IF(B1416="","",IF('02_대상물건입력'!B5="",1,IF(ISNUMBER(SEARCH('02_대상물건입력'!B5,B1416)),1,0)))</f>
        <v/>
      </c>
      <c r="O1416" s="152">
        <f>IF(B1416="","",IF('02_대상물건입력'!B6="",1,IF(ISNUMBER(SEARCH('02_대상물건입력'!B6,B1416)),1,0)))</f>
        <v/>
      </c>
      <c r="P1416" s="152">
        <f>IF(L1416="","",IF('02_대상물건입력'!B15="",0,IF(ISNUMBER(SEARCH('02_대상물건입력'!B15,L1416)),1,0)))</f>
        <v/>
      </c>
      <c r="Q1416" s="152">
        <f>IF(OR(C1416="",L1416=""),0,IF(AND(TRIM(C1416)=TRIM(RIGHT(SUBSTITUTE(TRIM('02_대상물건입력'!$B$7)," ",REPT(" ",99)),99)),IF('02_대상물건입력'!B15="",TRUE(),ISNUMBER(SEARCH('02_대상물건입력'!B15,L1416)))),1,0))</f>
        <v/>
      </c>
      <c r="R1416" s="175">
        <f>IFERROR(ABS(E1416-'02_대상물건입력'!B11)/'02_대상물건입력'!B11,"")</f>
        <v/>
      </c>
      <c r="S1416" s="152">
        <f>IFERROR(ABS(J1416-'02_대상물건입력'!B10),"")</f>
        <v/>
      </c>
      <c r="T1416" s="152">
        <f>IFERROR(ABS('01_설정'!B4-F1416),"")</f>
        <v/>
      </c>
      <c r="U1416" s="152">
        <f>IFERROR(ABS(K1416-YEAR('02_대상물건입력'!B14)),"")</f>
        <v/>
      </c>
      <c r="V1416" s="152">
        <f>IF(B1416="","",IF(AND(E1416&gt;0,F1416&gt;0,H1416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1416=1,TRUE()),R1416&lt;='01_설정'!B5,S1416&lt;='01_설정'!B6,T1416&lt;='01_설정'!B7,U1416&lt;='01_설정'!B8),"Y",""))</f>
        <v/>
      </c>
      <c r="W1416" s="172">
        <f>IF(V1416&lt;&gt;"Y","",MAX(0,(1-R1416/'01_설정'!B5))*'01_설정'!B14+MAX(0,(1-S1416/'01_설정'!B6))*'01_설정'!B15+MAX(0,(1-T1416/'01_설정'!B7))*'01_설정'!B16+MAX(0,(1-U1416/'01_설정'!B8))*'01_설정'!B17+O1416*'01_설정'!B11+Q1416*'01_설정'!B12+P1416*'01_설정'!B13+IF(Z1416="",0,Z1416))</f>
        <v/>
      </c>
      <c r="X1416" s="152">
        <f>IF(W1416="","",1+COUNTIFS($W$4:$W$3003,"&gt;"&amp;W1416)+COUNTIFS($W$4:W1416,W1416)-1)</f>
        <v/>
      </c>
      <c r="Y1416" s="175">
        <f>IF(OR(I1416="",'02_대상물건입력'!B19="",'02_대상물건입력'!B19&lt;=0),"",ABS(I1416-'02_대상물건입력'!B19)/'02_대상물건입력'!B19)</f>
        <v/>
      </c>
      <c r="Z1416" s="172">
        <f>IF(OR(Y1416="",'01_설정'!B31="",'01_설정'!B31&lt;=0,'01_설정'!B32="",'01_설정'!B32&lt;=0),"",MAX(0,(1-Y1416/'01_설정'!B32))*'01_설정'!B31)</f>
        <v/>
      </c>
    </row>
    <row r="1417" ht="17.25" customHeight="1">
      <c r="A1417" s="152">
        <f>IF(INDEX('04A_국토부원자료'!$A:$A,ROW()+1)="","",ROW()-3)</f>
        <v/>
      </c>
      <c r="B1417" s="48">
        <f>IFERROR(INDEX('04A_국토부원자료'!$A:$T,ROW()+1,MATCH("시군구",'04A_국토부원자료'!$A$4:$T$4,0)),"")</f>
        <v/>
      </c>
      <c r="C1417" s="48">
        <f>IF(B1417="","",IFERROR(INDEX('04A_국토부원자료'!$A:$T,ROW()+1,MATCH("번지",'04A_국토부원자료'!$A$4:$T$4,0)),""))</f>
        <v/>
      </c>
      <c r="D1417" s="48">
        <f>IF(B1417="","",IF(Q1417=1,'02_대상물건입력'!$B$8,IFERROR(INDEX('04A_국토부원자료'!$A:$T,ROW()+1,MATCH("단지명",'04A_국토부원자료'!$A$4:$T$4,0)),"")))</f>
        <v/>
      </c>
      <c r="E1417" s="172">
        <f>IFERROR(VALUE(SUBSTITUTE(INDEX('04A_국토부원자료'!$A:$T,ROW()+1,MATCH("전용면적(㎡)",'04A_국토부원자료'!$A$4:$T$4,0)),",","")),"")</f>
        <v/>
      </c>
      <c r="F14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17" s="51">
        <f>IFERROR(VALUE(SUBSTITUTE(INDEX('04A_국토부원자료'!$A:$T,ROW()+1,MATCH("거래금액(만원)",'04A_국토부원자료'!$A$4:$T$4,0)),",","")),"")</f>
        <v/>
      </c>
      <c r="H1417" s="174">
        <f>IF(G1417="","",G1417*10000)</f>
        <v/>
      </c>
      <c r="I1417" s="174">
        <f>IFERROR(IF(AND(H1417&gt;0,E1417&gt;0),H1417/E1417,""),"")</f>
        <v/>
      </c>
      <c r="J1417" s="152">
        <f>IFERROR(VALUE(SUBSTITUTE(INDEX('04A_국토부원자료'!$A:$T,ROW()+1,MATCH("층",'04A_국토부원자료'!$A$4:$T$4,0)),",","")),"")</f>
        <v/>
      </c>
      <c r="K1417" s="152">
        <f>IFERROR(VALUE(SUBSTITUTE(INDEX('04A_국토부원자료'!$A:$T,ROW()+1,MATCH("건축년도",'04A_국토부원자료'!$A$4:$T$4,0)),",","")),"")</f>
        <v/>
      </c>
      <c r="L1417" s="176">
        <f>IFERROR(INDEX('04A_국토부원자료'!$A:$T,ROW()+1,MATCH("도로명",'04A_국토부원자료'!$A$4:$T$4,0)),"")</f>
        <v/>
      </c>
      <c r="M1417" s="48">
        <f>IFERROR(INDEX('04A_국토부원자료'!$A:$T,ROW()+1,MATCH("거래유형",'04A_국토부원자료'!$A$4:$T$4,0)),"")</f>
        <v/>
      </c>
      <c r="N1417" s="152">
        <f>IF(B1417="","",IF('02_대상물건입력'!B5="",1,IF(ISNUMBER(SEARCH('02_대상물건입력'!B5,B1417)),1,0)))</f>
        <v/>
      </c>
      <c r="O1417" s="152">
        <f>IF(B1417="","",IF('02_대상물건입력'!B6="",1,IF(ISNUMBER(SEARCH('02_대상물건입력'!B6,B1417)),1,0)))</f>
        <v/>
      </c>
      <c r="P1417" s="152">
        <f>IF(L1417="","",IF('02_대상물건입력'!B15="",0,IF(ISNUMBER(SEARCH('02_대상물건입력'!B15,L1417)),1,0)))</f>
        <v/>
      </c>
      <c r="Q1417" s="152">
        <f>IF(OR(C1417="",L1417=""),0,IF(AND(TRIM(C1417)=TRIM(RIGHT(SUBSTITUTE(TRIM('02_대상물건입력'!$B$7)," ",REPT(" ",99)),99)),IF('02_대상물건입력'!B15="",TRUE(),ISNUMBER(SEARCH('02_대상물건입력'!B15,L1417)))),1,0))</f>
        <v/>
      </c>
      <c r="R1417" s="175">
        <f>IFERROR(ABS(E1417-'02_대상물건입력'!B11)/'02_대상물건입력'!B11,"")</f>
        <v/>
      </c>
      <c r="S1417" s="152">
        <f>IFERROR(ABS(J1417-'02_대상물건입력'!B10),"")</f>
        <v/>
      </c>
      <c r="T1417" s="152">
        <f>IFERROR(ABS('01_설정'!B4-F1417),"")</f>
        <v/>
      </c>
      <c r="U1417" s="152">
        <f>IFERROR(ABS(K1417-YEAR('02_대상물건입력'!B14)),"")</f>
        <v/>
      </c>
      <c r="V1417" s="152">
        <f>IF(B1417="","",IF(AND(E1417&gt;0,F1417&gt;0,H1417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1417=1,TRUE()),R1417&lt;='01_설정'!B5,S1417&lt;='01_설정'!B6,T1417&lt;='01_설정'!B7,U1417&lt;='01_설정'!B8),"Y",""))</f>
        <v/>
      </c>
      <c r="W1417" s="172">
        <f>IF(V1417&lt;&gt;"Y","",MAX(0,(1-R1417/'01_설정'!B5))*'01_설정'!B14+MAX(0,(1-S1417/'01_설정'!B6))*'01_설정'!B15+MAX(0,(1-T1417/'01_설정'!B7))*'01_설정'!B16+MAX(0,(1-U1417/'01_설정'!B8))*'01_설정'!B17+O1417*'01_설정'!B11+Q1417*'01_설정'!B12+P1417*'01_설정'!B13+IF(Z1417="",0,Z1417))</f>
        <v/>
      </c>
      <c r="X1417" s="152">
        <f>IF(W1417="","",1+COUNTIFS($W$4:$W$3003,"&gt;"&amp;W1417)+COUNTIFS($W$4:W1417,W1417)-1)</f>
        <v/>
      </c>
      <c r="Y1417" s="175">
        <f>IF(OR(I1417="",'02_대상물건입력'!B19="",'02_대상물건입력'!B19&lt;=0),"",ABS(I1417-'02_대상물건입력'!B19)/'02_대상물건입력'!B19)</f>
        <v/>
      </c>
      <c r="Z1417" s="172">
        <f>IF(OR(Y1417="",'01_설정'!B31="",'01_설정'!B31&lt;=0,'01_설정'!B32="",'01_설정'!B32&lt;=0),"",MAX(0,(1-Y1417/'01_설정'!B32))*'01_설정'!B31)</f>
        <v/>
      </c>
    </row>
    <row r="1418" ht="17.25" customHeight="1">
      <c r="A1418" s="152">
        <f>IF(INDEX('04A_국토부원자료'!$A:$A,ROW()+1)="","",ROW()-3)</f>
        <v/>
      </c>
      <c r="B1418" s="48">
        <f>IFERROR(INDEX('04A_국토부원자료'!$A:$T,ROW()+1,MATCH("시군구",'04A_국토부원자료'!$A$4:$T$4,0)),"")</f>
        <v/>
      </c>
      <c r="C1418" s="48">
        <f>IF(B1418="","",IFERROR(INDEX('04A_국토부원자료'!$A:$T,ROW()+1,MATCH("번지",'04A_국토부원자료'!$A$4:$T$4,0)),""))</f>
        <v/>
      </c>
      <c r="D1418" s="48">
        <f>IF(B1418="","",IF(Q1418=1,'02_대상물건입력'!$B$8,IFERROR(INDEX('04A_국토부원자료'!$A:$T,ROW()+1,MATCH("단지명",'04A_국토부원자료'!$A$4:$T$4,0)),"")))</f>
        <v/>
      </c>
      <c r="E1418" s="172">
        <f>IFERROR(VALUE(SUBSTITUTE(INDEX('04A_국토부원자료'!$A:$T,ROW()+1,MATCH("전용면적(㎡)",'04A_국토부원자료'!$A$4:$T$4,0)),",","")),"")</f>
        <v/>
      </c>
      <c r="F14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18" s="51">
        <f>IFERROR(VALUE(SUBSTITUTE(INDEX('04A_국토부원자료'!$A:$T,ROW()+1,MATCH("거래금액(만원)",'04A_국토부원자료'!$A$4:$T$4,0)),",","")),"")</f>
        <v/>
      </c>
      <c r="H1418" s="174">
        <f>IF(G1418="","",G1418*10000)</f>
        <v/>
      </c>
      <c r="I1418" s="174">
        <f>IFERROR(IF(AND(H1418&gt;0,E1418&gt;0),H1418/E1418,""),"")</f>
        <v/>
      </c>
      <c r="J1418" s="152">
        <f>IFERROR(VALUE(SUBSTITUTE(INDEX('04A_국토부원자료'!$A:$T,ROW()+1,MATCH("층",'04A_국토부원자료'!$A$4:$T$4,0)),",","")),"")</f>
        <v/>
      </c>
      <c r="K1418" s="152">
        <f>IFERROR(VALUE(SUBSTITUTE(INDEX('04A_국토부원자료'!$A:$T,ROW()+1,MATCH("건축년도",'04A_국토부원자료'!$A$4:$T$4,0)),",","")),"")</f>
        <v/>
      </c>
      <c r="L1418" s="176">
        <f>IFERROR(INDEX('04A_국토부원자료'!$A:$T,ROW()+1,MATCH("도로명",'04A_국토부원자료'!$A$4:$T$4,0)),"")</f>
        <v/>
      </c>
      <c r="M1418" s="48">
        <f>IFERROR(INDEX('04A_국토부원자료'!$A:$T,ROW()+1,MATCH("거래유형",'04A_국토부원자료'!$A$4:$T$4,0)),"")</f>
        <v/>
      </c>
      <c r="N1418" s="152">
        <f>IF(B1418="","",IF('02_대상물건입력'!B5="",1,IF(ISNUMBER(SEARCH('02_대상물건입력'!B5,B1418)),1,0)))</f>
        <v/>
      </c>
      <c r="O1418" s="152">
        <f>IF(B1418="","",IF('02_대상물건입력'!B6="",1,IF(ISNUMBER(SEARCH('02_대상물건입력'!B6,B1418)),1,0)))</f>
        <v/>
      </c>
      <c r="P1418" s="152">
        <f>IF(L1418="","",IF('02_대상물건입력'!B15="",0,IF(ISNUMBER(SEARCH('02_대상물건입력'!B15,L1418)),1,0)))</f>
        <v/>
      </c>
      <c r="Q1418" s="152">
        <f>IF(OR(C1418="",L1418=""),0,IF(AND(TRIM(C1418)=TRIM(RIGHT(SUBSTITUTE(TRIM('02_대상물건입력'!$B$7)," ",REPT(" ",99)),99)),IF('02_대상물건입력'!B15="",TRUE(),ISNUMBER(SEARCH('02_대상물건입력'!B15,L1418)))),1,0))</f>
        <v/>
      </c>
      <c r="R1418" s="175">
        <f>IFERROR(ABS(E1418-'02_대상물건입력'!B11)/'02_대상물건입력'!B11,"")</f>
        <v/>
      </c>
      <c r="S1418" s="152">
        <f>IFERROR(ABS(J1418-'02_대상물건입력'!B10),"")</f>
        <v/>
      </c>
      <c r="T1418" s="152">
        <f>IFERROR(ABS('01_설정'!B4-F1418),"")</f>
        <v/>
      </c>
      <c r="U1418" s="152">
        <f>IFERROR(ABS(K1418-YEAR('02_대상물건입력'!B14)),"")</f>
        <v/>
      </c>
      <c r="V1418" s="152">
        <f>IF(B1418="","",IF(AND(E1418&gt;0,F1418&gt;0,H1418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1418=1,TRUE()),R1418&lt;='01_설정'!B5,S1418&lt;='01_설정'!B6,T1418&lt;='01_설정'!B7,U1418&lt;='01_설정'!B8),"Y",""))</f>
        <v/>
      </c>
      <c r="W1418" s="172">
        <f>IF(V1418&lt;&gt;"Y","",MAX(0,(1-R1418/'01_설정'!B5))*'01_설정'!B14+MAX(0,(1-S1418/'01_설정'!B6))*'01_설정'!B15+MAX(0,(1-T1418/'01_설정'!B7))*'01_설정'!B16+MAX(0,(1-U1418/'01_설정'!B8))*'01_설정'!B17+O1418*'01_설정'!B11+Q1418*'01_설정'!B12+P1418*'01_설정'!B13+IF(Z1418="",0,Z1418))</f>
        <v/>
      </c>
      <c r="X1418" s="152">
        <f>IF(W1418="","",1+COUNTIFS($W$4:$W$3003,"&gt;"&amp;W1418)+COUNTIFS($W$4:W1418,W1418)-1)</f>
        <v/>
      </c>
      <c r="Y1418" s="175">
        <f>IF(OR(I1418="",'02_대상물건입력'!B19="",'02_대상물건입력'!B19&lt;=0),"",ABS(I1418-'02_대상물건입력'!B19)/'02_대상물건입력'!B19)</f>
        <v/>
      </c>
      <c r="Z1418" s="172">
        <f>IF(OR(Y1418="",'01_설정'!B31="",'01_설정'!B31&lt;=0,'01_설정'!B32="",'01_설정'!B32&lt;=0),"",MAX(0,(1-Y1418/'01_설정'!B32))*'01_설정'!B31)</f>
        <v/>
      </c>
    </row>
    <row r="1419" ht="17.25" customHeight="1">
      <c r="A1419" s="152">
        <f>IF(INDEX('04A_국토부원자료'!$A:$A,ROW()+1)="","",ROW()-3)</f>
        <v/>
      </c>
      <c r="B1419" s="48">
        <f>IFERROR(INDEX('04A_국토부원자료'!$A:$T,ROW()+1,MATCH("시군구",'04A_국토부원자료'!$A$4:$T$4,0)),"")</f>
        <v/>
      </c>
      <c r="C1419" s="48">
        <f>IF(B1419="","",IFERROR(INDEX('04A_국토부원자료'!$A:$T,ROW()+1,MATCH("번지",'04A_국토부원자료'!$A$4:$T$4,0)),""))</f>
        <v/>
      </c>
      <c r="D1419" s="48">
        <f>IF(B1419="","",IF(Q1419=1,'02_대상물건입력'!$B$8,IFERROR(INDEX('04A_국토부원자료'!$A:$T,ROW()+1,MATCH("단지명",'04A_국토부원자료'!$A$4:$T$4,0)),"")))</f>
        <v/>
      </c>
      <c r="E1419" s="172">
        <f>IFERROR(VALUE(SUBSTITUTE(INDEX('04A_국토부원자료'!$A:$T,ROW()+1,MATCH("전용면적(㎡)",'04A_국토부원자료'!$A$4:$T$4,0)),",","")),"")</f>
        <v/>
      </c>
      <c r="F14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19" s="51">
        <f>IFERROR(VALUE(SUBSTITUTE(INDEX('04A_국토부원자료'!$A:$T,ROW()+1,MATCH("거래금액(만원)",'04A_국토부원자료'!$A$4:$T$4,0)),",","")),"")</f>
        <v/>
      </c>
      <c r="H1419" s="174">
        <f>IF(G1419="","",G1419*10000)</f>
        <v/>
      </c>
      <c r="I1419" s="174">
        <f>IFERROR(IF(AND(H1419&gt;0,E1419&gt;0),H1419/E1419,""),"")</f>
        <v/>
      </c>
      <c r="J1419" s="152">
        <f>IFERROR(VALUE(SUBSTITUTE(INDEX('04A_국토부원자료'!$A:$T,ROW()+1,MATCH("층",'04A_국토부원자료'!$A$4:$T$4,0)),",","")),"")</f>
        <v/>
      </c>
      <c r="K1419" s="152">
        <f>IFERROR(VALUE(SUBSTITUTE(INDEX('04A_국토부원자료'!$A:$T,ROW()+1,MATCH("건축년도",'04A_국토부원자료'!$A$4:$T$4,0)),",","")),"")</f>
        <v/>
      </c>
      <c r="L1419" s="176">
        <f>IFERROR(INDEX('04A_국토부원자료'!$A:$T,ROW()+1,MATCH("도로명",'04A_국토부원자료'!$A$4:$T$4,0)),"")</f>
        <v/>
      </c>
      <c r="M1419" s="48">
        <f>IFERROR(INDEX('04A_국토부원자료'!$A:$T,ROW()+1,MATCH("거래유형",'04A_국토부원자료'!$A$4:$T$4,0)),"")</f>
        <v/>
      </c>
      <c r="N1419" s="152">
        <f>IF(B1419="","",IF('02_대상물건입력'!B5="",1,IF(ISNUMBER(SEARCH('02_대상물건입력'!B5,B1419)),1,0)))</f>
        <v/>
      </c>
      <c r="O1419" s="152">
        <f>IF(B1419="","",IF('02_대상물건입력'!B6="",1,IF(ISNUMBER(SEARCH('02_대상물건입력'!B6,B1419)),1,0)))</f>
        <v/>
      </c>
      <c r="P1419" s="152">
        <f>IF(L1419="","",IF('02_대상물건입력'!B15="",0,IF(ISNUMBER(SEARCH('02_대상물건입력'!B15,L1419)),1,0)))</f>
        <v/>
      </c>
      <c r="Q1419" s="152">
        <f>IF(OR(C1419="",L1419=""),0,IF(AND(TRIM(C1419)=TRIM(RIGHT(SUBSTITUTE(TRIM('02_대상물건입력'!$B$7)," ",REPT(" ",99)),99)),IF('02_대상물건입력'!B15="",TRUE(),ISNUMBER(SEARCH('02_대상물건입력'!B15,L1419)))),1,0))</f>
        <v/>
      </c>
      <c r="R1419" s="175">
        <f>IFERROR(ABS(E1419-'02_대상물건입력'!B11)/'02_대상물건입력'!B11,"")</f>
        <v/>
      </c>
      <c r="S1419" s="152">
        <f>IFERROR(ABS(J1419-'02_대상물건입력'!B10),"")</f>
        <v/>
      </c>
      <c r="T1419" s="152">
        <f>IFERROR(ABS('01_설정'!B4-F1419),"")</f>
        <v/>
      </c>
      <c r="U1419" s="152">
        <f>IFERROR(ABS(K1419-YEAR('02_대상물건입력'!B14)),"")</f>
        <v/>
      </c>
      <c r="V1419" s="152">
        <f>IF(B1419="","",IF(AND(E1419&gt;0,F1419&gt;0,H1419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1419=1,TRUE()),R1419&lt;='01_설정'!B5,S1419&lt;='01_설정'!B6,T1419&lt;='01_설정'!B7,U1419&lt;='01_설정'!B8),"Y",""))</f>
        <v/>
      </c>
      <c r="W1419" s="172">
        <f>IF(V1419&lt;&gt;"Y","",MAX(0,(1-R1419/'01_설정'!B5))*'01_설정'!B14+MAX(0,(1-S1419/'01_설정'!B6))*'01_설정'!B15+MAX(0,(1-T1419/'01_설정'!B7))*'01_설정'!B16+MAX(0,(1-U1419/'01_설정'!B8))*'01_설정'!B17+O1419*'01_설정'!B11+Q1419*'01_설정'!B12+P1419*'01_설정'!B13+IF(Z1419="",0,Z1419))</f>
        <v/>
      </c>
      <c r="X1419" s="152">
        <f>IF(W1419="","",1+COUNTIFS($W$4:$W$3003,"&gt;"&amp;W1419)+COUNTIFS($W$4:W1419,W1419)-1)</f>
        <v/>
      </c>
      <c r="Y1419" s="175">
        <f>IF(OR(I1419="",'02_대상물건입력'!B19="",'02_대상물건입력'!B19&lt;=0),"",ABS(I1419-'02_대상물건입력'!B19)/'02_대상물건입력'!B19)</f>
        <v/>
      </c>
      <c r="Z1419" s="172">
        <f>IF(OR(Y1419="",'01_설정'!B31="",'01_설정'!B31&lt;=0,'01_설정'!B32="",'01_설정'!B32&lt;=0),"",MAX(0,(1-Y1419/'01_설정'!B32))*'01_설정'!B31)</f>
        <v/>
      </c>
    </row>
    <row r="1420" ht="17.25" customHeight="1">
      <c r="A1420" s="152">
        <f>IF(INDEX('04A_국토부원자료'!$A:$A,ROW()+1)="","",ROW()-3)</f>
        <v/>
      </c>
      <c r="B1420" s="48">
        <f>IFERROR(INDEX('04A_국토부원자료'!$A:$T,ROW()+1,MATCH("시군구",'04A_국토부원자료'!$A$4:$T$4,0)),"")</f>
        <v/>
      </c>
      <c r="C1420" s="48">
        <f>IF(B1420="","",IFERROR(INDEX('04A_국토부원자료'!$A:$T,ROW()+1,MATCH("번지",'04A_국토부원자료'!$A$4:$T$4,0)),""))</f>
        <v/>
      </c>
      <c r="D1420" s="48">
        <f>IF(B1420="","",IF(Q1420=1,'02_대상물건입력'!$B$8,IFERROR(INDEX('04A_국토부원자료'!$A:$T,ROW()+1,MATCH("단지명",'04A_국토부원자료'!$A$4:$T$4,0)),"")))</f>
        <v/>
      </c>
      <c r="E1420" s="172">
        <f>IFERROR(VALUE(SUBSTITUTE(INDEX('04A_국토부원자료'!$A:$T,ROW()+1,MATCH("전용면적(㎡)",'04A_국토부원자료'!$A$4:$T$4,0)),",","")),"")</f>
        <v/>
      </c>
      <c r="F14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20" s="51">
        <f>IFERROR(VALUE(SUBSTITUTE(INDEX('04A_국토부원자료'!$A:$T,ROW()+1,MATCH("거래금액(만원)",'04A_국토부원자료'!$A$4:$T$4,0)),",","")),"")</f>
        <v/>
      </c>
      <c r="H1420" s="174">
        <f>IF(G1420="","",G1420*10000)</f>
        <v/>
      </c>
      <c r="I1420" s="174">
        <f>IFERROR(IF(AND(H1420&gt;0,E1420&gt;0),H1420/E1420,""),"")</f>
        <v/>
      </c>
      <c r="J1420" s="152">
        <f>IFERROR(VALUE(SUBSTITUTE(INDEX('04A_국토부원자료'!$A:$T,ROW()+1,MATCH("층",'04A_국토부원자료'!$A$4:$T$4,0)),",","")),"")</f>
        <v/>
      </c>
      <c r="K1420" s="152">
        <f>IFERROR(VALUE(SUBSTITUTE(INDEX('04A_국토부원자료'!$A:$T,ROW()+1,MATCH("건축년도",'04A_국토부원자료'!$A$4:$T$4,0)),",","")),"")</f>
        <v/>
      </c>
      <c r="L1420" s="176">
        <f>IFERROR(INDEX('04A_국토부원자료'!$A:$T,ROW()+1,MATCH("도로명",'04A_국토부원자료'!$A$4:$T$4,0)),"")</f>
        <v/>
      </c>
      <c r="M1420" s="48">
        <f>IFERROR(INDEX('04A_국토부원자료'!$A:$T,ROW()+1,MATCH("거래유형",'04A_국토부원자료'!$A$4:$T$4,0)),"")</f>
        <v/>
      </c>
      <c r="N1420" s="152">
        <f>IF(B1420="","",IF('02_대상물건입력'!B5="",1,IF(ISNUMBER(SEARCH('02_대상물건입력'!B5,B1420)),1,0)))</f>
        <v/>
      </c>
      <c r="O1420" s="152">
        <f>IF(B1420="","",IF('02_대상물건입력'!B6="",1,IF(ISNUMBER(SEARCH('02_대상물건입력'!B6,B1420)),1,0)))</f>
        <v/>
      </c>
      <c r="P1420" s="152">
        <f>IF(L1420="","",IF('02_대상물건입력'!B15="",0,IF(ISNUMBER(SEARCH('02_대상물건입력'!B15,L1420)),1,0)))</f>
        <v/>
      </c>
      <c r="Q1420" s="152">
        <f>IF(OR(C1420="",L1420=""),0,IF(AND(TRIM(C1420)=TRIM(RIGHT(SUBSTITUTE(TRIM('02_대상물건입력'!$B$7)," ",REPT(" ",99)),99)),IF('02_대상물건입력'!B15="",TRUE(),ISNUMBER(SEARCH('02_대상물건입력'!B15,L1420)))),1,0))</f>
        <v/>
      </c>
      <c r="R1420" s="175">
        <f>IFERROR(ABS(E1420-'02_대상물건입력'!B11)/'02_대상물건입력'!B11,"")</f>
        <v/>
      </c>
      <c r="S1420" s="152">
        <f>IFERROR(ABS(J1420-'02_대상물건입력'!B10),"")</f>
        <v/>
      </c>
      <c r="T1420" s="152">
        <f>IFERROR(ABS('01_설정'!B4-F1420),"")</f>
        <v/>
      </c>
      <c r="U1420" s="152">
        <f>IFERROR(ABS(K1420-YEAR('02_대상물건입력'!B14)),"")</f>
        <v/>
      </c>
      <c r="V1420" s="152">
        <f>IF(B1420="","",IF(AND(E1420&gt;0,F1420&gt;0,H1420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1420=1,TRUE()),R1420&lt;='01_설정'!B5,S1420&lt;='01_설정'!B6,T1420&lt;='01_설정'!B7,U1420&lt;='01_설정'!B8),"Y",""))</f>
        <v/>
      </c>
      <c r="W1420" s="172">
        <f>IF(V1420&lt;&gt;"Y","",MAX(0,(1-R1420/'01_설정'!B5))*'01_설정'!B14+MAX(0,(1-S1420/'01_설정'!B6))*'01_설정'!B15+MAX(0,(1-T1420/'01_설정'!B7))*'01_설정'!B16+MAX(0,(1-U1420/'01_설정'!B8))*'01_설정'!B17+O1420*'01_설정'!B11+Q1420*'01_설정'!B12+P1420*'01_설정'!B13+IF(Z1420="",0,Z1420))</f>
        <v/>
      </c>
      <c r="X1420" s="152">
        <f>IF(W1420="","",1+COUNTIFS($W$4:$W$3003,"&gt;"&amp;W1420)+COUNTIFS($W$4:W1420,W1420)-1)</f>
        <v/>
      </c>
      <c r="Y1420" s="175">
        <f>IF(OR(I1420="",'02_대상물건입력'!B19="",'02_대상물건입력'!B19&lt;=0),"",ABS(I1420-'02_대상물건입력'!B19)/'02_대상물건입력'!B19)</f>
        <v/>
      </c>
      <c r="Z1420" s="172">
        <f>IF(OR(Y1420="",'01_설정'!B31="",'01_설정'!B31&lt;=0,'01_설정'!B32="",'01_설정'!B32&lt;=0),"",MAX(0,(1-Y1420/'01_설정'!B32))*'01_설정'!B31)</f>
        <v/>
      </c>
    </row>
    <row r="1421" ht="17.25" customHeight="1">
      <c r="A1421" s="152">
        <f>IF(INDEX('04A_국토부원자료'!$A:$A,ROW()+1)="","",ROW()-3)</f>
        <v/>
      </c>
      <c r="B1421" s="48">
        <f>IFERROR(INDEX('04A_국토부원자료'!$A:$T,ROW()+1,MATCH("시군구",'04A_국토부원자료'!$A$4:$T$4,0)),"")</f>
        <v/>
      </c>
      <c r="C1421" s="48">
        <f>IF(B1421="","",IFERROR(INDEX('04A_국토부원자료'!$A:$T,ROW()+1,MATCH("번지",'04A_국토부원자료'!$A$4:$T$4,0)),""))</f>
        <v/>
      </c>
      <c r="D1421" s="48">
        <f>IF(B1421="","",IF(Q1421=1,'02_대상물건입력'!$B$8,IFERROR(INDEX('04A_국토부원자료'!$A:$T,ROW()+1,MATCH("단지명",'04A_국토부원자료'!$A$4:$T$4,0)),"")))</f>
        <v/>
      </c>
      <c r="E1421" s="172">
        <f>IFERROR(VALUE(SUBSTITUTE(INDEX('04A_국토부원자료'!$A:$T,ROW()+1,MATCH("전용면적(㎡)",'04A_국토부원자료'!$A$4:$T$4,0)),",","")),"")</f>
        <v/>
      </c>
      <c r="F14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21" s="51">
        <f>IFERROR(VALUE(SUBSTITUTE(INDEX('04A_국토부원자료'!$A:$T,ROW()+1,MATCH("거래금액(만원)",'04A_국토부원자료'!$A$4:$T$4,0)),",","")),"")</f>
        <v/>
      </c>
      <c r="H1421" s="174">
        <f>IF(G1421="","",G1421*10000)</f>
        <v/>
      </c>
      <c r="I1421" s="174">
        <f>IFERROR(IF(AND(H1421&gt;0,E1421&gt;0),H1421/E1421,""),"")</f>
        <v/>
      </c>
      <c r="J1421" s="152">
        <f>IFERROR(VALUE(SUBSTITUTE(INDEX('04A_국토부원자료'!$A:$T,ROW()+1,MATCH("층",'04A_국토부원자료'!$A$4:$T$4,0)),",","")),"")</f>
        <v/>
      </c>
      <c r="K1421" s="152">
        <f>IFERROR(VALUE(SUBSTITUTE(INDEX('04A_국토부원자료'!$A:$T,ROW()+1,MATCH("건축년도",'04A_국토부원자료'!$A$4:$T$4,0)),",","")),"")</f>
        <v/>
      </c>
      <c r="L1421" s="176">
        <f>IFERROR(INDEX('04A_국토부원자료'!$A:$T,ROW()+1,MATCH("도로명",'04A_국토부원자료'!$A$4:$T$4,0)),"")</f>
        <v/>
      </c>
      <c r="M1421" s="48">
        <f>IFERROR(INDEX('04A_국토부원자료'!$A:$T,ROW()+1,MATCH("거래유형",'04A_국토부원자료'!$A$4:$T$4,0)),"")</f>
        <v/>
      </c>
      <c r="N1421" s="152">
        <f>IF(B1421="","",IF('02_대상물건입력'!B5="",1,IF(ISNUMBER(SEARCH('02_대상물건입력'!B5,B1421)),1,0)))</f>
        <v/>
      </c>
      <c r="O1421" s="152">
        <f>IF(B1421="","",IF('02_대상물건입력'!B6="",1,IF(ISNUMBER(SEARCH('02_대상물건입력'!B6,B1421)),1,0)))</f>
        <v/>
      </c>
      <c r="P1421" s="152">
        <f>IF(L1421="","",IF('02_대상물건입력'!B15="",0,IF(ISNUMBER(SEARCH('02_대상물건입력'!B15,L1421)),1,0)))</f>
        <v/>
      </c>
      <c r="Q1421" s="152">
        <f>IF(OR(C1421="",L1421=""),0,IF(AND(TRIM(C1421)=TRIM(RIGHT(SUBSTITUTE(TRIM('02_대상물건입력'!$B$7)," ",REPT(" ",99)),99)),IF('02_대상물건입력'!B15="",TRUE(),ISNUMBER(SEARCH('02_대상물건입력'!B15,L1421)))),1,0))</f>
        <v/>
      </c>
      <c r="R1421" s="175">
        <f>IFERROR(ABS(E1421-'02_대상물건입력'!B11)/'02_대상물건입력'!B11,"")</f>
        <v/>
      </c>
      <c r="S1421" s="152">
        <f>IFERROR(ABS(J1421-'02_대상물건입력'!B10),"")</f>
        <v/>
      </c>
      <c r="T1421" s="152">
        <f>IFERROR(ABS('01_설정'!B4-F1421),"")</f>
        <v/>
      </c>
      <c r="U1421" s="152">
        <f>IFERROR(ABS(K1421-YEAR('02_대상물건입력'!B14)),"")</f>
        <v/>
      </c>
      <c r="V1421" s="152">
        <f>IF(B1421="","",IF(AND(E1421&gt;0,F1421&gt;0,H1421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1421=1,TRUE()),R1421&lt;='01_설정'!B5,S1421&lt;='01_설정'!B6,T1421&lt;='01_설정'!B7,U1421&lt;='01_설정'!B8),"Y",""))</f>
        <v/>
      </c>
      <c r="W1421" s="172">
        <f>IF(V1421&lt;&gt;"Y","",MAX(0,(1-R1421/'01_설정'!B5))*'01_설정'!B14+MAX(0,(1-S1421/'01_설정'!B6))*'01_설정'!B15+MAX(0,(1-T1421/'01_설정'!B7))*'01_설정'!B16+MAX(0,(1-U1421/'01_설정'!B8))*'01_설정'!B17+O1421*'01_설정'!B11+Q1421*'01_설정'!B12+P1421*'01_설정'!B13+IF(Z1421="",0,Z1421))</f>
        <v/>
      </c>
      <c r="X1421" s="152">
        <f>IF(W1421="","",1+COUNTIFS($W$4:$W$3003,"&gt;"&amp;W1421)+COUNTIFS($W$4:W1421,W1421)-1)</f>
        <v/>
      </c>
      <c r="Y1421" s="175">
        <f>IF(OR(I1421="",'02_대상물건입력'!B19="",'02_대상물건입력'!B19&lt;=0),"",ABS(I1421-'02_대상물건입력'!B19)/'02_대상물건입력'!B19)</f>
        <v/>
      </c>
      <c r="Z1421" s="172">
        <f>IF(OR(Y1421="",'01_설정'!B31="",'01_설정'!B31&lt;=0,'01_설정'!B32="",'01_설정'!B32&lt;=0),"",MAX(0,(1-Y1421/'01_설정'!B32))*'01_설정'!B31)</f>
        <v/>
      </c>
    </row>
    <row r="1422" ht="17.25" customHeight="1">
      <c r="A1422" s="152">
        <f>IF(INDEX('04A_국토부원자료'!$A:$A,ROW()+1)="","",ROW()-3)</f>
        <v/>
      </c>
      <c r="B1422" s="48">
        <f>IFERROR(INDEX('04A_국토부원자료'!$A:$T,ROW()+1,MATCH("시군구",'04A_국토부원자료'!$A$4:$T$4,0)),"")</f>
        <v/>
      </c>
      <c r="C1422" s="48">
        <f>IF(B1422="","",IFERROR(INDEX('04A_국토부원자료'!$A:$T,ROW()+1,MATCH("번지",'04A_국토부원자료'!$A$4:$T$4,0)),""))</f>
        <v/>
      </c>
      <c r="D1422" s="48">
        <f>IF(B1422="","",IF(Q1422=1,'02_대상물건입력'!$B$8,IFERROR(INDEX('04A_국토부원자료'!$A:$T,ROW()+1,MATCH("단지명",'04A_국토부원자료'!$A$4:$T$4,0)),"")))</f>
        <v/>
      </c>
      <c r="E1422" s="172">
        <f>IFERROR(VALUE(SUBSTITUTE(INDEX('04A_국토부원자료'!$A:$T,ROW()+1,MATCH("전용면적(㎡)",'04A_국토부원자료'!$A$4:$T$4,0)),",","")),"")</f>
        <v/>
      </c>
      <c r="F14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22" s="51">
        <f>IFERROR(VALUE(SUBSTITUTE(INDEX('04A_국토부원자료'!$A:$T,ROW()+1,MATCH("거래금액(만원)",'04A_국토부원자료'!$A$4:$T$4,0)),",","")),"")</f>
        <v/>
      </c>
      <c r="H1422" s="174">
        <f>IF(G1422="","",G1422*10000)</f>
        <v/>
      </c>
      <c r="I1422" s="174">
        <f>IFERROR(IF(AND(H1422&gt;0,E1422&gt;0),H1422/E1422,""),"")</f>
        <v/>
      </c>
      <c r="J1422" s="152">
        <f>IFERROR(VALUE(SUBSTITUTE(INDEX('04A_국토부원자료'!$A:$T,ROW()+1,MATCH("층",'04A_국토부원자료'!$A$4:$T$4,0)),",","")),"")</f>
        <v/>
      </c>
      <c r="K1422" s="152">
        <f>IFERROR(VALUE(SUBSTITUTE(INDEX('04A_국토부원자료'!$A:$T,ROW()+1,MATCH("건축년도",'04A_국토부원자료'!$A$4:$T$4,0)),",","")),"")</f>
        <v/>
      </c>
      <c r="L1422" s="176">
        <f>IFERROR(INDEX('04A_국토부원자료'!$A:$T,ROW()+1,MATCH("도로명",'04A_국토부원자료'!$A$4:$T$4,0)),"")</f>
        <v/>
      </c>
      <c r="M1422" s="48">
        <f>IFERROR(INDEX('04A_국토부원자료'!$A:$T,ROW()+1,MATCH("거래유형",'04A_국토부원자료'!$A$4:$T$4,0)),"")</f>
        <v/>
      </c>
      <c r="N1422" s="152">
        <f>IF(B1422="","",IF('02_대상물건입력'!B5="",1,IF(ISNUMBER(SEARCH('02_대상물건입력'!B5,B1422)),1,0)))</f>
        <v/>
      </c>
      <c r="O1422" s="152">
        <f>IF(B1422="","",IF('02_대상물건입력'!B6="",1,IF(ISNUMBER(SEARCH('02_대상물건입력'!B6,B1422)),1,0)))</f>
        <v/>
      </c>
      <c r="P1422" s="152">
        <f>IF(L1422="","",IF('02_대상물건입력'!B15="",0,IF(ISNUMBER(SEARCH('02_대상물건입력'!B15,L1422)),1,0)))</f>
        <v/>
      </c>
      <c r="Q1422" s="152">
        <f>IF(OR(C1422="",L1422=""),0,IF(AND(TRIM(C1422)=TRIM(RIGHT(SUBSTITUTE(TRIM('02_대상물건입력'!$B$7)," ",REPT(" ",99)),99)),IF('02_대상물건입력'!B15="",TRUE(),ISNUMBER(SEARCH('02_대상물건입력'!B15,L1422)))),1,0))</f>
        <v/>
      </c>
      <c r="R1422" s="175">
        <f>IFERROR(ABS(E1422-'02_대상물건입력'!B11)/'02_대상물건입력'!B11,"")</f>
        <v/>
      </c>
      <c r="S1422" s="152">
        <f>IFERROR(ABS(J1422-'02_대상물건입력'!B10),"")</f>
        <v/>
      </c>
      <c r="T1422" s="152">
        <f>IFERROR(ABS('01_설정'!B4-F1422),"")</f>
        <v/>
      </c>
      <c r="U1422" s="152">
        <f>IFERROR(ABS(K1422-YEAR('02_대상물건입력'!B14)),"")</f>
        <v/>
      </c>
      <c r="V1422" s="152">
        <f>IF(B1422="","",IF(AND(E1422&gt;0,F1422&gt;0,H1422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1422=1,TRUE()),R1422&lt;='01_설정'!B5,S1422&lt;='01_설정'!B6,T1422&lt;='01_설정'!B7,U1422&lt;='01_설정'!B8),"Y",""))</f>
        <v/>
      </c>
      <c r="W1422" s="172">
        <f>IF(V1422&lt;&gt;"Y","",MAX(0,(1-R1422/'01_설정'!B5))*'01_설정'!B14+MAX(0,(1-S1422/'01_설정'!B6))*'01_설정'!B15+MAX(0,(1-T1422/'01_설정'!B7))*'01_설정'!B16+MAX(0,(1-U1422/'01_설정'!B8))*'01_설정'!B17+O1422*'01_설정'!B11+Q1422*'01_설정'!B12+P1422*'01_설정'!B13+IF(Z1422="",0,Z1422))</f>
        <v/>
      </c>
      <c r="X1422" s="152">
        <f>IF(W1422="","",1+COUNTIFS($W$4:$W$3003,"&gt;"&amp;W1422)+COUNTIFS($W$4:W1422,W1422)-1)</f>
        <v/>
      </c>
      <c r="Y1422" s="175">
        <f>IF(OR(I1422="",'02_대상물건입력'!B19="",'02_대상물건입력'!B19&lt;=0),"",ABS(I1422-'02_대상물건입력'!B19)/'02_대상물건입력'!B19)</f>
        <v/>
      </c>
      <c r="Z1422" s="172">
        <f>IF(OR(Y1422="",'01_설정'!B31="",'01_설정'!B31&lt;=0,'01_설정'!B32="",'01_설정'!B32&lt;=0),"",MAX(0,(1-Y1422/'01_설정'!B32))*'01_설정'!B31)</f>
        <v/>
      </c>
    </row>
    <row r="1423" ht="17.25" customHeight="1">
      <c r="A1423" s="152">
        <f>IF(INDEX('04A_국토부원자료'!$A:$A,ROW()+1)="","",ROW()-3)</f>
        <v/>
      </c>
      <c r="B1423" s="48">
        <f>IFERROR(INDEX('04A_국토부원자료'!$A:$T,ROW()+1,MATCH("시군구",'04A_국토부원자료'!$A$4:$T$4,0)),"")</f>
        <v/>
      </c>
      <c r="C1423" s="48">
        <f>IF(B1423="","",IFERROR(INDEX('04A_국토부원자료'!$A:$T,ROW()+1,MATCH("번지",'04A_국토부원자료'!$A$4:$T$4,0)),""))</f>
        <v/>
      </c>
      <c r="D1423" s="48">
        <f>IF(B1423="","",IF(Q1423=1,'02_대상물건입력'!$B$8,IFERROR(INDEX('04A_국토부원자료'!$A:$T,ROW()+1,MATCH("단지명",'04A_국토부원자료'!$A$4:$T$4,0)),"")))</f>
        <v/>
      </c>
      <c r="E1423" s="172">
        <f>IFERROR(VALUE(SUBSTITUTE(INDEX('04A_국토부원자료'!$A:$T,ROW()+1,MATCH("전용면적(㎡)",'04A_국토부원자료'!$A$4:$T$4,0)),",","")),"")</f>
        <v/>
      </c>
      <c r="F14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23" s="51">
        <f>IFERROR(VALUE(SUBSTITUTE(INDEX('04A_국토부원자료'!$A:$T,ROW()+1,MATCH("거래금액(만원)",'04A_국토부원자료'!$A$4:$T$4,0)),",","")),"")</f>
        <v/>
      </c>
      <c r="H1423" s="174">
        <f>IF(G1423="","",G1423*10000)</f>
        <v/>
      </c>
      <c r="I1423" s="174">
        <f>IFERROR(IF(AND(H1423&gt;0,E1423&gt;0),H1423/E1423,""),"")</f>
        <v/>
      </c>
      <c r="J1423" s="152">
        <f>IFERROR(VALUE(SUBSTITUTE(INDEX('04A_국토부원자료'!$A:$T,ROW()+1,MATCH("층",'04A_국토부원자료'!$A$4:$T$4,0)),",","")),"")</f>
        <v/>
      </c>
      <c r="K1423" s="152">
        <f>IFERROR(VALUE(SUBSTITUTE(INDEX('04A_국토부원자료'!$A:$T,ROW()+1,MATCH("건축년도",'04A_국토부원자료'!$A$4:$T$4,0)),",","")),"")</f>
        <v/>
      </c>
      <c r="L1423" s="176">
        <f>IFERROR(INDEX('04A_국토부원자료'!$A:$T,ROW()+1,MATCH("도로명",'04A_국토부원자료'!$A$4:$T$4,0)),"")</f>
        <v/>
      </c>
      <c r="M1423" s="48">
        <f>IFERROR(INDEX('04A_국토부원자료'!$A:$T,ROW()+1,MATCH("거래유형",'04A_국토부원자료'!$A$4:$T$4,0)),"")</f>
        <v/>
      </c>
      <c r="N1423" s="152">
        <f>IF(B1423="","",IF('02_대상물건입력'!B5="",1,IF(ISNUMBER(SEARCH('02_대상물건입력'!B5,B1423)),1,0)))</f>
        <v/>
      </c>
      <c r="O1423" s="152">
        <f>IF(B1423="","",IF('02_대상물건입력'!B6="",1,IF(ISNUMBER(SEARCH('02_대상물건입력'!B6,B1423)),1,0)))</f>
        <v/>
      </c>
      <c r="P1423" s="152">
        <f>IF(L1423="","",IF('02_대상물건입력'!B15="",0,IF(ISNUMBER(SEARCH('02_대상물건입력'!B15,L1423)),1,0)))</f>
        <v/>
      </c>
      <c r="Q1423" s="152">
        <f>IF(OR(C1423="",L1423=""),0,IF(AND(TRIM(C1423)=TRIM(RIGHT(SUBSTITUTE(TRIM('02_대상물건입력'!$B$7)," ",REPT(" ",99)),99)),IF('02_대상물건입력'!B15="",TRUE(),ISNUMBER(SEARCH('02_대상물건입력'!B15,L1423)))),1,0))</f>
        <v/>
      </c>
      <c r="R1423" s="175">
        <f>IFERROR(ABS(E1423-'02_대상물건입력'!B11)/'02_대상물건입력'!B11,"")</f>
        <v/>
      </c>
      <c r="S1423" s="152">
        <f>IFERROR(ABS(J1423-'02_대상물건입력'!B10),"")</f>
        <v/>
      </c>
      <c r="T1423" s="152">
        <f>IFERROR(ABS('01_설정'!B4-F1423),"")</f>
        <v/>
      </c>
      <c r="U1423" s="152">
        <f>IFERROR(ABS(K1423-YEAR('02_대상물건입력'!B14)),"")</f>
        <v/>
      </c>
      <c r="V1423" s="152">
        <f>IF(B1423="","",IF(AND(E1423&gt;0,F1423&gt;0,H1423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1423=1,TRUE()),R1423&lt;='01_설정'!B5,S1423&lt;='01_설정'!B6,T1423&lt;='01_설정'!B7,U1423&lt;='01_설정'!B8),"Y",""))</f>
        <v/>
      </c>
      <c r="W1423" s="172">
        <f>IF(V1423&lt;&gt;"Y","",MAX(0,(1-R1423/'01_설정'!B5))*'01_설정'!B14+MAX(0,(1-S1423/'01_설정'!B6))*'01_설정'!B15+MAX(0,(1-T1423/'01_설정'!B7))*'01_설정'!B16+MAX(0,(1-U1423/'01_설정'!B8))*'01_설정'!B17+O1423*'01_설정'!B11+Q1423*'01_설정'!B12+P1423*'01_설정'!B13+IF(Z1423="",0,Z1423))</f>
        <v/>
      </c>
      <c r="X1423" s="152">
        <f>IF(W1423="","",1+COUNTIFS($W$4:$W$3003,"&gt;"&amp;W1423)+COUNTIFS($W$4:W1423,W1423)-1)</f>
        <v/>
      </c>
      <c r="Y1423" s="175">
        <f>IF(OR(I1423="",'02_대상물건입력'!B19="",'02_대상물건입력'!B19&lt;=0),"",ABS(I1423-'02_대상물건입력'!B19)/'02_대상물건입력'!B19)</f>
        <v/>
      </c>
      <c r="Z1423" s="172">
        <f>IF(OR(Y1423="",'01_설정'!B31="",'01_설정'!B31&lt;=0,'01_설정'!B32="",'01_설정'!B32&lt;=0),"",MAX(0,(1-Y1423/'01_설정'!B32))*'01_설정'!B31)</f>
        <v/>
      </c>
    </row>
    <row r="1424" ht="17.25" customHeight="1">
      <c r="A1424" s="152">
        <f>IF(INDEX('04A_국토부원자료'!$A:$A,ROW()+1)="","",ROW()-3)</f>
        <v/>
      </c>
      <c r="B1424" s="48">
        <f>IFERROR(INDEX('04A_국토부원자료'!$A:$T,ROW()+1,MATCH("시군구",'04A_국토부원자료'!$A$4:$T$4,0)),"")</f>
        <v/>
      </c>
      <c r="C1424" s="48">
        <f>IF(B1424="","",IFERROR(INDEX('04A_국토부원자료'!$A:$T,ROW()+1,MATCH("번지",'04A_국토부원자료'!$A$4:$T$4,0)),""))</f>
        <v/>
      </c>
      <c r="D1424" s="48">
        <f>IF(B1424="","",IF(Q1424=1,'02_대상물건입력'!$B$8,IFERROR(INDEX('04A_국토부원자료'!$A:$T,ROW()+1,MATCH("단지명",'04A_국토부원자료'!$A$4:$T$4,0)),"")))</f>
        <v/>
      </c>
      <c r="E1424" s="172">
        <f>IFERROR(VALUE(SUBSTITUTE(INDEX('04A_국토부원자료'!$A:$T,ROW()+1,MATCH("전용면적(㎡)",'04A_국토부원자료'!$A$4:$T$4,0)),",","")),"")</f>
        <v/>
      </c>
      <c r="F14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24" s="51">
        <f>IFERROR(VALUE(SUBSTITUTE(INDEX('04A_국토부원자료'!$A:$T,ROW()+1,MATCH("거래금액(만원)",'04A_국토부원자료'!$A$4:$T$4,0)),",","")),"")</f>
        <v/>
      </c>
      <c r="H1424" s="174">
        <f>IF(G1424="","",G1424*10000)</f>
        <v/>
      </c>
      <c r="I1424" s="174">
        <f>IFERROR(IF(AND(H1424&gt;0,E1424&gt;0),H1424/E1424,""),"")</f>
        <v/>
      </c>
      <c r="J1424" s="152">
        <f>IFERROR(VALUE(SUBSTITUTE(INDEX('04A_국토부원자료'!$A:$T,ROW()+1,MATCH("층",'04A_국토부원자료'!$A$4:$T$4,0)),",","")),"")</f>
        <v/>
      </c>
      <c r="K1424" s="152">
        <f>IFERROR(VALUE(SUBSTITUTE(INDEX('04A_국토부원자료'!$A:$T,ROW()+1,MATCH("건축년도",'04A_국토부원자료'!$A$4:$T$4,0)),",","")),"")</f>
        <v/>
      </c>
      <c r="L1424" s="176">
        <f>IFERROR(INDEX('04A_국토부원자료'!$A:$T,ROW()+1,MATCH("도로명",'04A_국토부원자료'!$A$4:$T$4,0)),"")</f>
        <v/>
      </c>
      <c r="M1424" s="48">
        <f>IFERROR(INDEX('04A_국토부원자료'!$A:$T,ROW()+1,MATCH("거래유형",'04A_국토부원자료'!$A$4:$T$4,0)),"")</f>
        <v/>
      </c>
      <c r="N1424" s="152">
        <f>IF(B1424="","",IF('02_대상물건입력'!B5="",1,IF(ISNUMBER(SEARCH('02_대상물건입력'!B5,B1424)),1,0)))</f>
        <v/>
      </c>
      <c r="O1424" s="152">
        <f>IF(B1424="","",IF('02_대상물건입력'!B6="",1,IF(ISNUMBER(SEARCH('02_대상물건입력'!B6,B1424)),1,0)))</f>
        <v/>
      </c>
      <c r="P1424" s="152">
        <f>IF(L1424="","",IF('02_대상물건입력'!B15="",0,IF(ISNUMBER(SEARCH('02_대상물건입력'!B15,L1424)),1,0)))</f>
        <v/>
      </c>
      <c r="Q1424" s="152">
        <f>IF(OR(C1424="",L1424=""),0,IF(AND(TRIM(C1424)=TRIM(RIGHT(SUBSTITUTE(TRIM('02_대상물건입력'!$B$7)," ",REPT(" ",99)),99)),IF('02_대상물건입력'!B15="",TRUE(),ISNUMBER(SEARCH('02_대상물건입력'!B15,L1424)))),1,0))</f>
        <v/>
      </c>
      <c r="R1424" s="175">
        <f>IFERROR(ABS(E1424-'02_대상물건입력'!B11)/'02_대상물건입력'!B11,"")</f>
        <v/>
      </c>
      <c r="S1424" s="152">
        <f>IFERROR(ABS(J1424-'02_대상물건입력'!B10),"")</f>
        <v/>
      </c>
      <c r="T1424" s="152">
        <f>IFERROR(ABS('01_설정'!B4-F1424),"")</f>
        <v/>
      </c>
      <c r="U1424" s="152">
        <f>IFERROR(ABS(K1424-YEAR('02_대상물건입력'!B14)),"")</f>
        <v/>
      </c>
      <c r="V1424" s="152">
        <f>IF(B1424="","",IF(AND(E1424&gt;0,F1424&gt;0,H1424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1424=1,TRUE()),R1424&lt;='01_설정'!B5,S1424&lt;='01_설정'!B6,T1424&lt;='01_설정'!B7,U1424&lt;='01_설정'!B8),"Y",""))</f>
        <v/>
      </c>
      <c r="W1424" s="172">
        <f>IF(V1424&lt;&gt;"Y","",MAX(0,(1-R1424/'01_설정'!B5))*'01_설정'!B14+MAX(0,(1-S1424/'01_설정'!B6))*'01_설정'!B15+MAX(0,(1-T1424/'01_설정'!B7))*'01_설정'!B16+MAX(0,(1-U1424/'01_설정'!B8))*'01_설정'!B17+O1424*'01_설정'!B11+Q1424*'01_설정'!B12+P1424*'01_설정'!B13+IF(Z1424="",0,Z1424))</f>
        <v/>
      </c>
      <c r="X1424" s="152">
        <f>IF(W1424="","",1+COUNTIFS($W$4:$W$3003,"&gt;"&amp;W1424)+COUNTIFS($W$4:W1424,W1424)-1)</f>
        <v/>
      </c>
      <c r="Y1424" s="175">
        <f>IF(OR(I1424="",'02_대상물건입력'!B19="",'02_대상물건입력'!B19&lt;=0),"",ABS(I1424-'02_대상물건입력'!B19)/'02_대상물건입력'!B19)</f>
        <v/>
      </c>
      <c r="Z1424" s="172">
        <f>IF(OR(Y1424="",'01_설정'!B31="",'01_설정'!B31&lt;=0,'01_설정'!B32="",'01_설정'!B32&lt;=0),"",MAX(0,(1-Y1424/'01_설정'!B32))*'01_설정'!B31)</f>
        <v/>
      </c>
    </row>
    <row r="1425" ht="17.25" customHeight="1">
      <c r="A1425" s="152">
        <f>IF(INDEX('04A_국토부원자료'!$A:$A,ROW()+1)="","",ROW()-3)</f>
        <v/>
      </c>
      <c r="B1425" s="48">
        <f>IFERROR(INDEX('04A_국토부원자료'!$A:$T,ROW()+1,MATCH("시군구",'04A_국토부원자료'!$A$4:$T$4,0)),"")</f>
        <v/>
      </c>
      <c r="C1425" s="48">
        <f>IF(B1425="","",IFERROR(INDEX('04A_국토부원자료'!$A:$T,ROW()+1,MATCH("번지",'04A_국토부원자료'!$A$4:$T$4,0)),""))</f>
        <v/>
      </c>
      <c r="D1425" s="48">
        <f>IF(B1425="","",IF(Q1425=1,'02_대상물건입력'!$B$8,IFERROR(INDEX('04A_국토부원자료'!$A:$T,ROW()+1,MATCH("단지명",'04A_국토부원자료'!$A$4:$T$4,0)),"")))</f>
        <v/>
      </c>
      <c r="E1425" s="172">
        <f>IFERROR(VALUE(SUBSTITUTE(INDEX('04A_국토부원자료'!$A:$T,ROW()+1,MATCH("전용면적(㎡)",'04A_국토부원자료'!$A$4:$T$4,0)),",","")),"")</f>
        <v/>
      </c>
      <c r="F14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25" s="51">
        <f>IFERROR(VALUE(SUBSTITUTE(INDEX('04A_국토부원자료'!$A:$T,ROW()+1,MATCH("거래금액(만원)",'04A_국토부원자료'!$A$4:$T$4,0)),",","")),"")</f>
        <v/>
      </c>
      <c r="H1425" s="174">
        <f>IF(G1425="","",G1425*10000)</f>
        <v/>
      </c>
      <c r="I1425" s="174">
        <f>IFERROR(IF(AND(H1425&gt;0,E1425&gt;0),H1425/E1425,""),"")</f>
        <v/>
      </c>
      <c r="J1425" s="152">
        <f>IFERROR(VALUE(SUBSTITUTE(INDEX('04A_국토부원자료'!$A:$T,ROW()+1,MATCH("층",'04A_국토부원자료'!$A$4:$T$4,0)),",","")),"")</f>
        <v/>
      </c>
      <c r="K1425" s="152">
        <f>IFERROR(VALUE(SUBSTITUTE(INDEX('04A_국토부원자료'!$A:$T,ROW()+1,MATCH("건축년도",'04A_국토부원자료'!$A$4:$T$4,0)),",","")),"")</f>
        <v/>
      </c>
      <c r="L1425" s="176">
        <f>IFERROR(INDEX('04A_국토부원자료'!$A:$T,ROW()+1,MATCH("도로명",'04A_국토부원자료'!$A$4:$T$4,0)),"")</f>
        <v/>
      </c>
      <c r="M1425" s="48">
        <f>IFERROR(INDEX('04A_국토부원자료'!$A:$T,ROW()+1,MATCH("거래유형",'04A_국토부원자료'!$A$4:$T$4,0)),"")</f>
        <v/>
      </c>
      <c r="N1425" s="152">
        <f>IF(B1425="","",IF('02_대상물건입력'!B5="",1,IF(ISNUMBER(SEARCH('02_대상물건입력'!B5,B1425)),1,0)))</f>
        <v/>
      </c>
      <c r="O1425" s="152">
        <f>IF(B1425="","",IF('02_대상물건입력'!B6="",1,IF(ISNUMBER(SEARCH('02_대상물건입력'!B6,B1425)),1,0)))</f>
        <v/>
      </c>
      <c r="P1425" s="152">
        <f>IF(L1425="","",IF('02_대상물건입력'!B15="",0,IF(ISNUMBER(SEARCH('02_대상물건입력'!B15,L1425)),1,0)))</f>
        <v/>
      </c>
      <c r="Q1425" s="152">
        <f>IF(OR(C1425="",L1425=""),0,IF(AND(TRIM(C1425)=TRIM(RIGHT(SUBSTITUTE(TRIM('02_대상물건입력'!$B$7)," ",REPT(" ",99)),99)),IF('02_대상물건입력'!B15="",TRUE(),ISNUMBER(SEARCH('02_대상물건입력'!B15,L1425)))),1,0))</f>
        <v/>
      </c>
      <c r="R1425" s="175">
        <f>IFERROR(ABS(E1425-'02_대상물건입력'!B11)/'02_대상물건입력'!B11,"")</f>
        <v/>
      </c>
      <c r="S1425" s="152">
        <f>IFERROR(ABS(J1425-'02_대상물건입력'!B10),"")</f>
        <v/>
      </c>
      <c r="T1425" s="152">
        <f>IFERROR(ABS('01_설정'!B4-F1425),"")</f>
        <v/>
      </c>
      <c r="U1425" s="152">
        <f>IFERROR(ABS(K1425-YEAR('02_대상물건입력'!B14)),"")</f>
        <v/>
      </c>
      <c r="V1425" s="152">
        <f>IF(B1425="","",IF(AND(E1425&gt;0,F1425&gt;0,H1425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1425=1,TRUE()),R1425&lt;='01_설정'!B5,S1425&lt;='01_설정'!B6,T1425&lt;='01_설정'!B7,U1425&lt;='01_설정'!B8),"Y",""))</f>
        <v/>
      </c>
      <c r="W1425" s="172">
        <f>IF(V1425&lt;&gt;"Y","",MAX(0,(1-R1425/'01_설정'!B5))*'01_설정'!B14+MAX(0,(1-S1425/'01_설정'!B6))*'01_설정'!B15+MAX(0,(1-T1425/'01_설정'!B7))*'01_설정'!B16+MAX(0,(1-U1425/'01_설정'!B8))*'01_설정'!B17+O1425*'01_설정'!B11+Q1425*'01_설정'!B12+P1425*'01_설정'!B13+IF(Z1425="",0,Z1425))</f>
        <v/>
      </c>
      <c r="X1425" s="152">
        <f>IF(W1425="","",1+COUNTIFS($W$4:$W$3003,"&gt;"&amp;W1425)+COUNTIFS($W$4:W1425,W1425)-1)</f>
        <v/>
      </c>
      <c r="Y1425" s="175">
        <f>IF(OR(I1425="",'02_대상물건입력'!B19="",'02_대상물건입력'!B19&lt;=0),"",ABS(I1425-'02_대상물건입력'!B19)/'02_대상물건입력'!B19)</f>
        <v/>
      </c>
      <c r="Z1425" s="172">
        <f>IF(OR(Y1425="",'01_설정'!B31="",'01_설정'!B31&lt;=0,'01_설정'!B32="",'01_설정'!B32&lt;=0),"",MAX(0,(1-Y1425/'01_설정'!B32))*'01_설정'!B31)</f>
        <v/>
      </c>
    </row>
    <row r="1426" ht="17.25" customHeight="1">
      <c r="A1426" s="152">
        <f>IF(INDEX('04A_국토부원자료'!$A:$A,ROW()+1)="","",ROW()-3)</f>
        <v/>
      </c>
      <c r="B1426" s="48">
        <f>IFERROR(INDEX('04A_국토부원자료'!$A:$T,ROW()+1,MATCH("시군구",'04A_국토부원자료'!$A$4:$T$4,0)),"")</f>
        <v/>
      </c>
      <c r="C1426" s="48">
        <f>IF(B1426="","",IFERROR(INDEX('04A_국토부원자료'!$A:$T,ROW()+1,MATCH("번지",'04A_국토부원자료'!$A$4:$T$4,0)),""))</f>
        <v/>
      </c>
      <c r="D1426" s="48">
        <f>IF(B1426="","",IF(Q1426=1,'02_대상물건입력'!$B$8,IFERROR(INDEX('04A_국토부원자료'!$A:$T,ROW()+1,MATCH("단지명",'04A_국토부원자료'!$A$4:$T$4,0)),"")))</f>
        <v/>
      </c>
      <c r="E1426" s="172">
        <f>IFERROR(VALUE(SUBSTITUTE(INDEX('04A_국토부원자료'!$A:$T,ROW()+1,MATCH("전용면적(㎡)",'04A_국토부원자료'!$A$4:$T$4,0)),",","")),"")</f>
        <v/>
      </c>
      <c r="F14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26" s="51">
        <f>IFERROR(VALUE(SUBSTITUTE(INDEX('04A_국토부원자료'!$A:$T,ROW()+1,MATCH("거래금액(만원)",'04A_국토부원자료'!$A$4:$T$4,0)),",","")),"")</f>
        <v/>
      </c>
      <c r="H1426" s="174">
        <f>IF(G1426="","",G1426*10000)</f>
        <v/>
      </c>
      <c r="I1426" s="174">
        <f>IFERROR(IF(AND(H1426&gt;0,E1426&gt;0),H1426/E1426,""),"")</f>
        <v/>
      </c>
      <c r="J1426" s="152">
        <f>IFERROR(VALUE(SUBSTITUTE(INDEX('04A_국토부원자료'!$A:$T,ROW()+1,MATCH("층",'04A_국토부원자료'!$A$4:$T$4,0)),",","")),"")</f>
        <v/>
      </c>
      <c r="K1426" s="152">
        <f>IFERROR(VALUE(SUBSTITUTE(INDEX('04A_국토부원자료'!$A:$T,ROW()+1,MATCH("건축년도",'04A_국토부원자료'!$A$4:$T$4,0)),",","")),"")</f>
        <v/>
      </c>
      <c r="L1426" s="176">
        <f>IFERROR(INDEX('04A_국토부원자료'!$A:$T,ROW()+1,MATCH("도로명",'04A_국토부원자료'!$A$4:$T$4,0)),"")</f>
        <v/>
      </c>
      <c r="M1426" s="48">
        <f>IFERROR(INDEX('04A_국토부원자료'!$A:$T,ROW()+1,MATCH("거래유형",'04A_국토부원자료'!$A$4:$T$4,0)),"")</f>
        <v/>
      </c>
      <c r="N1426" s="152">
        <f>IF(B1426="","",IF('02_대상물건입력'!B5="",1,IF(ISNUMBER(SEARCH('02_대상물건입력'!B5,B1426)),1,0)))</f>
        <v/>
      </c>
      <c r="O1426" s="152">
        <f>IF(B1426="","",IF('02_대상물건입력'!B6="",1,IF(ISNUMBER(SEARCH('02_대상물건입력'!B6,B1426)),1,0)))</f>
        <v/>
      </c>
      <c r="P1426" s="152">
        <f>IF(L1426="","",IF('02_대상물건입력'!B15="",0,IF(ISNUMBER(SEARCH('02_대상물건입력'!B15,L1426)),1,0)))</f>
        <v/>
      </c>
      <c r="Q1426" s="152">
        <f>IF(OR(C1426="",L1426=""),0,IF(AND(TRIM(C1426)=TRIM(RIGHT(SUBSTITUTE(TRIM('02_대상물건입력'!$B$7)," ",REPT(" ",99)),99)),IF('02_대상물건입력'!B15="",TRUE(),ISNUMBER(SEARCH('02_대상물건입력'!B15,L1426)))),1,0))</f>
        <v/>
      </c>
      <c r="R1426" s="175">
        <f>IFERROR(ABS(E1426-'02_대상물건입력'!B11)/'02_대상물건입력'!B11,"")</f>
        <v/>
      </c>
      <c r="S1426" s="152">
        <f>IFERROR(ABS(J1426-'02_대상물건입력'!B10),"")</f>
        <v/>
      </c>
      <c r="T1426" s="152">
        <f>IFERROR(ABS('01_설정'!B4-F1426),"")</f>
        <v/>
      </c>
      <c r="U1426" s="152">
        <f>IFERROR(ABS(K1426-YEAR('02_대상물건입력'!B14)),"")</f>
        <v/>
      </c>
      <c r="V1426" s="152">
        <f>IF(B1426="","",IF(AND(E1426&gt;0,F1426&gt;0,H1426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1426=1,TRUE()),R1426&lt;='01_설정'!B5,S1426&lt;='01_설정'!B6,T1426&lt;='01_설정'!B7,U1426&lt;='01_설정'!B8),"Y",""))</f>
        <v/>
      </c>
      <c r="W1426" s="172">
        <f>IF(V1426&lt;&gt;"Y","",MAX(0,(1-R1426/'01_설정'!B5))*'01_설정'!B14+MAX(0,(1-S1426/'01_설정'!B6))*'01_설정'!B15+MAX(0,(1-T1426/'01_설정'!B7))*'01_설정'!B16+MAX(0,(1-U1426/'01_설정'!B8))*'01_설정'!B17+O1426*'01_설정'!B11+Q1426*'01_설정'!B12+P1426*'01_설정'!B13+IF(Z1426="",0,Z1426))</f>
        <v/>
      </c>
      <c r="X1426" s="152">
        <f>IF(W1426="","",1+COUNTIFS($W$4:$W$3003,"&gt;"&amp;W1426)+COUNTIFS($W$4:W1426,W1426)-1)</f>
        <v/>
      </c>
      <c r="Y1426" s="175">
        <f>IF(OR(I1426="",'02_대상물건입력'!B19="",'02_대상물건입력'!B19&lt;=0),"",ABS(I1426-'02_대상물건입력'!B19)/'02_대상물건입력'!B19)</f>
        <v/>
      </c>
      <c r="Z1426" s="172">
        <f>IF(OR(Y1426="",'01_설정'!B31="",'01_설정'!B31&lt;=0,'01_설정'!B32="",'01_설정'!B32&lt;=0),"",MAX(0,(1-Y1426/'01_설정'!B32))*'01_설정'!B31)</f>
        <v/>
      </c>
    </row>
    <row r="1427" ht="17.25" customHeight="1">
      <c r="A1427" s="152">
        <f>IF(INDEX('04A_국토부원자료'!$A:$A,ROW()+1)="","",ROW()-3)</f>
        <v/>
      </c>
      <c r="B1427" s="48">
        <f>IFERROR(INDEX('04A_국토부원자료'!$A:$T,ROW()+1,MATCH("시군구",'04A_국토부원자료'!$A$4:$T$4,0)),"")</f>
        <v/>
      </c>
      <c r="C1427" s="48">
        <f>IF(B1427="","",IFERROR(INDEX('04A_국토부원자료'!$A:$T,ROW()+1,MATCH("번지",'04A_국토부원자료'!$A$4:$T$4,0)),""))</f>
        <v/>
      </c>
      <c r="D1427" s="48">
        <f>IF(B1427="","",IF(Q1427=1,'02_대상물건입력'!$B$8,IFERROR(INDEX('04A_국토부원자료'!$A:$T,ROW()+1,MATCH("단지명",'04A_국토부원자료'!$A$4:$T$4,0)),"")))</f>
        <v/>
      </c>
      <c r="E1427" s="172">
        <f>IFERROR(VALUE(SUBSTITUTE(INDEX('04A_국토부원자료'!$A:$T,ROW()+1,MATCH("전용면적(㎡)",'04A_국토부원자료'!$A$4:$T$4,0)),",","")),"")</f>
        <v/>
      </c>
      <c r="F14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27" s="51">
        <f>IFERROR(VALUE(SUBSTITUTE(INDEX('04A_국토부원자료'!$A:$T,ROW()+1,MATCH("거래금액(만원)",'04A_국토부원자료'!$A$4:$T$4,0)),",","")),"")</f>
        <v/>
      </c>
      <c r="H1427" s="174">
        <f>IF(G1427="","",G1427*10000)</f>
        <v/>
      </c>
      <c r="I1427" s="174">
        <f>IFERROR(IF(AND(H1427&gt;0,E1427&gt;0),H1427/E1427,""),"")</f>
        <v/>
      </c>
      <c r="J1427" s="152">
        <f>IFERROR(VALUE(SUBSTITUTE(INDEX('04A_국토부원자료'!$A:$T,ROW()+1,MATCH("층",'04A_국토부원자료'!$A$4:$T$4,0)),",","")),"")</f>
        <v/>
      </c>
      <c r="K1427" s="152">
        <f>IFERROR(VALUE(SUBSTITUTE(INDEX('04A_국토부원자료'!$A:$T,ROW()+1,MATCH("건축년도",'04A_국토부원자료'!$A$4:$T$4,0)),",","")),"")</f>
        <v/>
      </c>
      <c r="L1427" s="176">
        <f>IFERROR(INDEX('04A_국토부원자료'!$A:$T,ROW()+1,MATCH("도로명",'04A_국토부원자료'!$A$4:$T$4,0)),"")</f>
        <v/>
      </c>
      <c r="M1427" s="48">
        <f>IFERROR(INDEX('04A_국토부원자료'!$A:$T,ROW()+1,MATCH("거래유형",'04A_국토부원자료'!$A$4:$T$4,0)),"")</f>
        <v/>
      </c>
      <c r="N1427" s="152">
        <f>IF(B1427="","",IF('02_대상물건입력'!B5="",1,IF(ISNUMBER(SEARCH('02_대상물건입력'!B5,B1427)),1,0)))</f>
        <v/>
      </c>
      <c r="O1427" s="152">
        <f>IF(B1427="","",IF('02_대상물건입력'!B6="",1,IF(ISNUMBER(SEARCH('02_대상물건입력'!B6,B1427)),1,0)))</f>
        <v/>
      </c>
      <c r="P1427" s="152">
        <f>IF(L1427="","",IF('02_대상물건입력'!B15="",0,IF(ISNUMBER(SEARCH('02_대상물건입력'!B15,L1427)),1,0)))</f>
        <v/>
      </c>
      <c r="Q1427" s="152">
        <f>IF(OR(C1427="",L1427=""),0,IF(AND(TRIM(C1427)=TRIM(RIGHT(SUBSTITUTE(TRIM('02_대상물건입력'!$B$7)," ",REPT(" ",99)),99)),IF('02_대상물건입력'!B15="",TRUE(),ISNUMBER(SEARCH('02_대상물건입력'!B15,L1427)))),1,0))</f>
        <v/>
      </c>
      <c r="R1427" s="175">
        <f>IFERROR(ABS(E1427-'02_대상물건입력'!B11)/'02_대상물건입력'!B11,"")</f>
        <v/>
      </c>
      <c r="S1427" s="152">
        <f>IFERROR(ABS(J1427-'02_대상물건입력'!B10),"")</f>
        <v/>
      </c>
      <c r="T1427" s="152">
        <f>IFERROR(ABS('01_설정'!B4-F1427),"")</f>
        <v/>
      </c>
      <c r="U1427" s="152">
        <f>IFERROR(ABS(K1427-YEAR('02_대상물건입력'!B14)),"")</f>
        <v/>
      </c>
      <c r="V1427" s="152">
        <f>IF(B1427="","",IF(AND(E1427&gt;0,F1427&gt;0,H1427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1427=1,TRUE()),R1427&lt;='01_설정'!B5,S1427&lt;='01_설정'!B6,T1427&lt;='01_설정'!B7,U1427&lt;='01_설정'!B8),"Y",""))</f>
        <v/>
      </c>
      <c r="W1427" s="172">
        <f>IF(V1427&lt;&gt;"Y","",MAX(0,(1-R1427/'01_설정'!B5))*'01_설정'!B14+MAX(0,(1-S1427/'01_설정'!B6))*'01_설정'!B15+MAX(0,(1-T1427/'01_설정'!B7))*'01_설정'!B16+MAX(0,(1-U1427/'01_설정'!B8))*'01_설정'!B17+O1427*'01_설정'!B11+Q1427*'01_설정'!B12+P1427*'01_설정'!B13+IF(Z1427="",0,Z1427))</f>
        <v/>
      </c>
      <c r="X1427" s="152">
        <f>IF(W1427="","",1+COUNTIFS($W$4:$W$3003,"&gt;"&amp;W1427)+COUNTIFS($W$4:W1427,W1427)-1)</f>
        <v/>
      </c>
      <c r="Y1427" s="175">
        <f>IF(OR(I1427="",'02_대상물건입력'!B19="",'02_대상물건입력'!B19&lt;=0),"",ABS(I1427-'02_대상물건입력'!B19)/'02_대상물건입력'!B19)</f>
        <v/>
      </c>
      <c r="Z1427" s="172">
        <f>IF(OR(Y1427="",'01_설정'!B31="",'01_설정'!B31&lt;=0,'01_설정'!B32="",'01_설정'!B32&lt;=0),"",MAX(0,(1-Y1427/'01_설정'!B32))*'01_설정'!B31)</f>
        <v/>
      </c>
    </row>
    <row r="1428" ht="17.25" customHeight="1">
      <c r="A1428" s="152">
        <f>IF(INDEX('04A_국토부원자료'!$A:$A,ROW()+1)="","",ROW()-3)</f>
        <v/>
      </c>
      <c r="B1428" s="48">
        <f>IFERROR(INDEX('04A_국토부원자료'!$A:$T,ROW()+1,MATCH("시군구",'04A_국토부원자료'!$A$4:$T$4,0)),"")</f>
        <v/>
      </c>
      <c r="C1428" s="48">
        <f>IF(B1428="","",IFERROR(INDEX('04A_국토부원자료'!$A:$T,ROW()+1,MATCH("번지",'04A_국토부원자료'!$A$4:$T$4,0)),""))</f>
        <v/>
      </c>
      <c r="D1428" s="48">
        <f>IF(B1428="","",IF(Q1428=1,'02_대상물건입력'!$B$8,IFERROR(INDEX('04A_국토부원자료'!$A:$T,ROW()+1,MATCH("단지명",'04A_국토부원자료'!$A$4:$T$4,0)),"")))</f>
        <v/>
      </c>
      <c r="E1428" s="172">
        <f>IFERROR(VALUE(SUBSTITUTE(INDEX('04A_국토부원자료'!$A:$T,ROW()+1,MATCH("전용면적(㎡)",'04A_국토부원자료'!$A$4:$T$4,0)),",","")),"")</f>
        <v/>
      </c>
      <c r="F14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28" s="51">
        <f>IFERROR(VALUE(SUBSTITUTE(INDEX('04A_국토부원자료'!$A:$T,ROW()+1,MATCH("거래금액(만원)",'04A_국토부원자료'!$A$4:$T$4,0)),",","")),"")</f>
        <v/>
      </c>
      <c r="H1428" s="174">
        <f>IF(G1428="","",G1428*10000)</f>
        <v/>
      </c>
      <c r="I1428" s="174">
        <f>IFERROR(IF(AND(H1428&gt;0,E1428&gt;0),H1428/E1428,""),"")</f>
        <v/>
      </c>
      <c r="J1428" s="152">
        <f>IFERROR(VALUE(SUBSTITUTE(INDEX('04A_국토부원자료'!$A:$T,ROW()+1,MATCH("층",'04A_국토부원자료'!$A$4:$T$4,0)),",","")),"")</f>
        <v/>
      </c>
      <c r="K1428" s="152">
        <f>IFERROR(VALUE(SUBSTITUTE(INDEX('04A_국토부원자료'!$A:$T,ROW()+1,MATCH("건축년도",'04A_국토부원자료'!$A$4:$T$4,0)),",","")),"")</f>
        <v/>
      </c>
      <c r="L1428" s="176">
        <f>IFERROR(INDEX('04A_국토부원자료'!$A:$T,ROW()+1,MATCH("도로명",'04A_국토부원자료'!$A$4:$T$4,0)),"")</f>
        <v/>
      </c>
      <c r="M1428" s="48">
        <f>IFERROR(INDEX('04A_국토부원자료'!$A:$T,ROW()+1,MATCH("거래유형",'04A_국토부원자료'!$A$4:$T$4,0)),"")</f>
        <v/>
      </c>
      <c r="N1428" s="152">
        <f>IF(B1428="","",IF('02_대상물건입력'!B5="",1,IF(ISNUMBER(SEARCH('02_대상물건입력'!B5,B1428)),1,0)))</f>
        <v/>
      </c>
      <c r="O1428" s="152">
        <f>IF(B1428="","",IF('02_대상물건입력'!B6="",1,IF(ISNUMBER(SEARCH('02_대상물건입력'!B6,B1428)),1,0)))</f>
        <v/>
      </c>
      <c r="P1428" s="152">
        <f>IF(L1428="","",IF('02_대상물건입력'!B15="",0,IF(ISNUMBER(SEARCH('02_대상물건입력'!B15,L1428)),1,0)))</f>
        <v/>
      </c>
      <c r="Q1428" s="152">
        <f>IF(OR(C1428="",L1428=""),0,IF(AND(TRIM(C1428)=TRIM(RIGHT(SUBSTITUTE(TRIM('02_대상물건입력'!$B$7)," ",REPT(" ",99)),99)),IF('02_대상물건입력'!B15="",TRUE(),ISNUMBER(SEARCH('02_대상물건입력'!B15,L1428)))),1,0))</f>
        <v/>
      </c>
      <c r="R1428" s="175">
        <f>IFERROR(ABS(E1428-'02_대상물건입력'!B11)/'02_대상물건입력'!B11,"")</f>
        <v/>
      </c>
      <c r="S1428" s="152">
        <f>IFERROR(ABS(J1428-'02_대상물건입력'!B10),"")</f>
        <v/>
      </c>
      <c r="T1428" s="152">
        <f>IFERROR(ABS('01_설정'!B4-F1428),"")</f>
        <v/>
      </c>
      <c r="U1428" s="152">
        <f>IFERROR(ABS(K1428-YEAR('02_대상물건입력'!B14)),"")</f>
        <v/>
      </c>
      <c r="V1428" s="152">
        <f>IF(B1428="","",IF(AND(E1428&gt;0,F1428&gt;0,H1428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1428=1,TRUE()),R1428&lt;='01_설정'!B5,S1428&lt;='01_설정'!B6,T1428&lt;='01_설정'!B7,U1428&lt;='01_설정'!B8),"Y",""))</f>
        <v/>
      </c>
      <c r="W1428" s="172">
        <f>IF(V1428&lt;&gt;"Y","",MAX(0,(1-R1428/'01_설정'!B5))*'01_설정'!B14+MAX(0,(1-S1428/'01_설정'!B6))*'01_설정'!B15+MAX(0,(1-T1428/'01_설정'!B7))*'01_설정'!B16+MAX(0,(1-U1428/'01_설정'!B8))*'01_설정'!B17+O1428*'01_설정'!B11+Q1428*'01_설정'!B12+P1428*'01_설정'!B13+IF(Z1428="",0,Z1428))</f>
        <v/>
      </c>
      <c r="X1428" s="152">
        <f>IF(W1428="","",1+COUNTIFS($W$4:$W$3003,"&gt;"&amp;W1428)+COUNTIFS($W$4:W1428,W1428)-1)</f>
        <v/>
      </c>
      <c r="Y1428" s="175">
        <f>IF(OR(I1428="",'02_대상물건입력'!B19="",'02_대상물건입력'!B19&lt;=0),"",ABS(I1428-'02_대상물건입력'!B19)/'02_대상물건입력'!B19)</f>
        <v/>
      </c>
      <c r="Z1428" s="172">
        <f>IF(OR(Y1428="",'01_설정'!B31="",'01_설정'!B31&lt;=0,'01_설정'!B32="",'01_설정'!B32&lt;=0),"",MAX(0,(1-Y1428/'01_설정'!B32))*'01_설정'!B31)</f>
        <v/>
      </c>
    </row>
    <row r="1429" ht="17.25" customHeight="1">
      <c r="A1429" s="152">
        <f>IF(INDEX('04A_국토부원자료'!$A:$A,ROW()+1)="","",ROW()-3)</f>
        <v/>
      </c>
      <c r="B1429" s="48">
        <f>IFERROR(INDEX('04A_국토부원자료'!$A:$T,ROW()+1,MATCH("시군구",'04A_국토부원자료'!$A$4:$T$4,0)),"")</f>
        <v/>
      </c>
      <c r="C1429" s="48">
        <f>IF(B1429="","",IFERROR(INDEX('04A_국토부원자료'!$A:$T,ROW()+1,MATCH("번지",'04A_국토부원자료'!$A$4:$T$4,0)),""))</f>
        <v/>
      </c>
      <c r="D1429" s="48">
        <f>IF(B1429="","",IF(Q1429=1,'02_대상물건입력'!$B$8,IFERROR(INDEX('04A_국토부원자료'!$A:$T,ROW()+1,MATCH("단지명",'04A_국토부원자료'!$A$4:$T$4,0)),"")))</f>
        <v/>
      </c>
      <c r="E1429" s="172">
        <f>IFERROR(VALUE(SUBSTITUTE(INDEX('04A_국토부원자료'!$A:$T,ROW()+1,MATCH("전용면적(㎡)",'04A_국토부원자료'!$A$4:$T$4,0)),",","")),"")</f>
        <v/>
      </c>
      <c r="F14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29" s="51">
        <f>IFERROR(VALUE(SUBSTITUTE(INDEX('04A_국토부원자료'!$A:$T,ROW()+1,MATCH("거래금액(만원)",'04A_국토부원자료'!$A$4:$T$4,0)),",","")),"")</f>
        <v/>
      </c>
      <c r="H1429" s="174">
        <f>IF(G1429="","",G1429*10000)</f>
        <v/>
      </c>
      <c r="I1429" s="174">
        <f>IFERROR(IF(AND(H1429&gt;0,E1429&gt;0),H1429/E1429,""),"")</f>
        <v/>
      </c>
      <c r="J1429" s="152">
        <f>IFERROR(VALUE(SUBSTITUTE(INDEX('04A_국토부원자료'!$A:$T,ROW()+1,MATCH("층",'04A_국토부원자료'!$A$4:$T$4,0)),",","")),"")</f>
        <v/>
      </c>
      <c r="K1429" s="152">
        <f>IFERROR(VALUE(SUBSTITUTE(INDEX('04A_국토부원자료'!$A:$T,ROW()+1,MATCH("건축년도",'04A_국토부원자료'!$A$4:$T$4,0)),",","")),"")</f>
        <v/>
      </c>
      <c r="L1429" s="176">
        <f>IFERROR(INDEX('04A_국토부원자료'!$A:$T,ROW()+1,MATCH("도로명",'04A_국토부원자료'!$A$4:$T$4,0)),"")</f>
        <v/>
      </c>
      <c r="M1429" s="48">
        <f>IFERROR(INDEX('04A_국토부원자료'!$A:$T,ROW()+1,MATCH("거래유형",'04A_국토부원자료'!$A$4:$T$4,0)),"")</f>
        <v/>
      </c>
      <c r="N1429" s="152">
        <f>IF(B1429="","",IF('02_대상물건입력'!B5="",1,IF(ISNUMBER(SEARCH('02_대상물건입력'!B5,B1429)),1,0)))</f>
        <v/>
      </c>
      <c r="O1429" s="152">
        <f>IF(B1429="","",IF('02_대상물건입력'!B6="",1,IF(ISNUMBER(SEARCH('02_대상물건입력'!B6,B1429)),1,0)))</f>
        <v/>
      </c>
      <c r="P1429" s="152">
        <f>IF(L1429="","",IF('02_대상물건입력'!B15="",0,IF(ISNUMBER(SEARCH('02_대상물건입력'!B15,L1429)),1,0)))</f>
        <v/>
      </c>
      <c r="Q1429" s="152">
        <f>IF(OR(C1429="",L1429=""),0,IF(AND(TRIM(C1429)=TRIM(RIGHT(SUBSTITUTE(TRIM('02_대상물건입력'!$B$7)," ",REPT(" ",99)),99)),IF('02_대상물건입력'!B15="",TRUE(),ISNUMBER(SEARCH('02_대상물건입력'!B15,L1429)))),1,0))</f>
        <v/>
      </c>
      <c r="R1429" s="175">
        <f>IFERROR(ABS(E1429-'02_대상물건입력'!B11)/'02_대상물건입력'!B11,"")</f>
        <v/>
      </c>
      <c r="S1429" s="152">
        <f>IFERROR(ABS(J1429-'02_대상물건입력'!B10),"")</f>
        <v/>
      </c>
      <c r="T1429" s="152">
        <f>IFERROR(ABS('01_설정'!B4-F1429),"")</f>
        <v/>
      </c>
      <c r="U1429" s="152">
        <f>IFERROR(ABS(K1429-YEAR('02_대상물건입력'!B14)),"")</f>
        <v/>
      </c>
      <c r="V1429" s="152">
        <f>IF(B1429="","",IF(AND(E1429&gt;0,F1429&gt;0,H1429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1429=1,TRUE()),R1429&lt;='01_설정'!B5,S1429&lt;='01_설정'!B6,T1429&lt;='01_설정'!B7,U1429&lt;='01_설정'!B8),"Y",""))</f>
        <v/>
      </c>
      <c r="W1429" s="172">
        <f>IF(V1429&lt;&gt;"Y","",MAX(0,(1-R1429/'01_설정'!B5))*'01_설정'!B14+MAX(0,(1-S1429/'01_설정'!B6))*'01_설정'!B15+MAX(0,(1-T1429/'01_설정'!B7))*'01_설정'!B16+MAX(0,(1-U1429/'01_설정'!B8))*'01_설정'!B17+O1429*'01_설정'!B11+Q1429*'01_설정'!B12+P1429*'01_설정'!B13+IF(Z1429="",0,Z1429))</f>
        <v/>
      </c>
      <c r="X1429" s="152">
        <f>IF(W1429="","",1+COUNTIFS($W$4:$W$3003,"&gt;"&amp;W1429)+COUNTIFS($W$4:W1429,W1429)-1)</f>
        <v/>
      </c>
      <c r="Y1429" s="175">
        <f>IF(OR(I1429="",'02_대상물건입력'!B19="",'02_대상물건입력'!B19&lt;=0),"",ABS(I1429-'02_대상물건입력'!B19)/'02_대상물건입력'!B19)</f>
        <v/>
      </c>
      <c r="Z1429" s="172">
        <f>IF(OR(Y1429="",'01_설정'!B31="",'01_설정'!B31&lt;=0,'01_설정'!B32="",'01_설정'!B32&lt;=0),"",MAX(0,(1-Y1429/'01_설정'!B32))*'01_설정'!B31)</f>
        <v/>
      </c>
    </row>
    <row r="1430" ht="17.25" customHeight="1">
      <c r="A1430" s="152">
        <f>IF(INDEX('04A_국토부원자료'!$A:$A,ROW()+1)="","",ROW()-3)</f>
        <v/>
      </c>
      <c r="B1430" s="48">
        <f>IFERROR(INDEX('04A_국토부원자료'!$A:$T,ROW()+1,MATCH("시군구",'04A_국토부원자료'!$A$4:$T$4,0)),"")</f>
        <v/>
      </c>
      <c r="C1430" s="48">
        <f>IF(B1430="","",IFERROR(INDEX('04A_국토부원자료'!$A:$T,ROW()+1,MATCH("번지",'04A_국토부원자료'!$A$4:$T$4,0)),""))</f>
        <v/>
      </c>
      <c r="D1430" s="48">
        <f>IF(B1430="","",IF(Q1430=1,'02_대상물건입력'!$B$8,IFERROR(INDEX('04A_국토부원자료'!$A:$T,ROW()+1,MATCH("단지명",'04A_국토부원자료'!$A$4:$T$4,0)),"")))</f>
        <v/>
      </c>
      <c r="E1430" s="172">
        <f>IFERROR(VALUE(SUBSTITUTE(INDEX('04A_국토부원자료'!$A:$T,ROW()+1,MATCH("전용면적(㎡)",'04A_국토부원자료'!$A$4:$T$4,0)),",","")),"")</f>
        <v/>
      </c>
      <c r="F14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30" s="51">
        <f>IFERROR(VALUE(SUBSTITUTE(INDEX('04A_국토부원자료'!$A:$T,ROW()+1,MATCH("거래금액(만원)",'04A_국토부원자료'!$A$4:$T$4,0)),",","")),"")</f>
        <v/>
      </c>
      <c r="H1430" s="174">
        <f>IF(G1430="","",G1430*10000)</f>
        <v/>
      </c>
      <c r="I1430" s="174">
        <f>IFERROR(IF(AND(H1430&gt;0,E1430&gt;0),H1430/E1430,""),"")</f>
        <v/>
      </c>
      <c r="J1430" s="152">
        <f>IFERROR(VALUE(SUBSTITUTE(INDEX('04A_국토부원자료'!$A:$T,ROW()+1,MATCH("층",'04A_국토부원자료'!$A$4:$T$4,0)),",","")),"")</f>
        <v/>
      </c>
      <c r="K1430" s="152">
        <f>IFERROR(VALUE(SUBSTITUTE(INDEX('04A_국토부원자료'!$A:$T,ROW()+1,MATCH("건축년도",'04A_국토부원자료'!$A$4:$T$4,0)),",","")),"")</f>
        <v/>
      </c>
      <c r="L1430" s="176">
        <f>IFERROR(INDEX('04A_국토부원자료'!$A:$T,ROW()+1,MATCH("도로명",'04A_국토부원자료'!$A$4:$T$4,0)),"")</f>
        <v/>
      </c>
      <c r="M1430" s="48">
        <f>IFERROR(INDEX('04A_국토부원자료'!$A:$T,ROW()+1,MATCH("거래유형",'04A_국토부원자료'!$A$4:$T$4,0)),"")</f>
        <v/>
      </c>
      <c r="N1430" s="152">
        <f>IF(B1430="","",IF('02_대상물건입력'!B5="",1,IF(ISNUMBER(SEARCH('02_대상물건입력'!B5,B1430)),1,0)))</f>
        <v/>
      </c>
      <c r="O1430" s="152">
        <f>IF(B1430="","",IF('02_대상물건입력'!B6="",1,IF(ISNUMBER(SEARCH('02_대상물건입력'!B6,B1430)),1,0)))</f>
        <v/>
      </c>
      <c r="P1430" s="152">
        <f>IF(L1430="","",IF('02_대상물건입력'!B15="",0,IF(ISNUMBER(SEARCH('02_대상물건입력'!B15,L1430)),1,0)))</f>
        <v/>
      </c>
      <c r="Q1430" s="152">
        <f>IF(OR(C1430="",L1430=""),0,IF(AND(TRIM(C1430)=TRIM(RIGHT(SUBSTITUTE(TRIM('02_대상물건입력'!$B$7)," ",REPT(" ",99)),99)),IF('02_대상물건입력'!B15="",TRUE(),ISNUMBER(SEARCH('02_대상물건입력'!B15,L1430)))),1,0))</f>
        <v/>
      </c>
      <c r="R1430" s="175">
        <f>IFERROR(ABS(E1430-'02_대상물건입력'!B11)/'02_대상물건입력'!B11,"")</f>
        <v/>
      </c>
      <c r="S1430" s="152">
        <f>IFERROR(ABS(J1430-'02_대상물건입력'!B10),"")</f>
        <v/>
      </c>
      <c r="T1430" s="152">
        <f>IFERROR(ABS('01_설정'!B4-F1430),"")</f>
        <v/>
      </c>
      <c r="U1430" s="152">
        <f>IFERROR(ABS(K1430-YEAR('02_대상물건입력'!B14)),"")</f>
        <v/>
      </c>
      <c r="V1430" s="152">
        <f>IF(B1430="","",IF(AND(E1430&gt;0,F1430&gt;0,H1430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1430=1,TRUE()),R1430&lt;='01_설정'!B5,S1430&lt;='01_설정'!B6,T1430&lt;='01_설정'!B7,U1430&lt;='01_설정'!B8),"Y",""))</f>
        <v/>
      </c>
      <c r="W1430" s="172">
        <f>IF(V1430&lt;&gt;"Y","",MAX(0,(1-R1430/'01_설정'!B5))*'01_설정'!B14+MAX(0,(1-S1430/'01_설정'!B6))*'01_설정'!B15+MAX(0,(1-T1430/'01_설정'!B7))*'01_설정'!B16+MAX(0,(1-U1430/'01_설정'!B8))*'01_설정'!B17+O1430*'01_설정'!B11+Q1430*'01_설정'!B12+P1430*'01_설정'!B13+IF(Z1430="",0,Z1430))</f>
        <v/>
      </c>
      <c r="X1430" s="152">
        <f>IF(W1430="","",1+COUNTIFS($W$4:$W$3003,"&gt;"&amp;W1430)+COUNTIFS($W$4:W1430,W1430)-1)</f>
        <v/>
      </c>
      <c r="Y1430" s="175">
        <f>IF(OR(I1430="",'02_대상물건입력'!B19="",'02_대상물건입력'!B19&lt;=0),"",ABS(I1430-'02_대상물건입력'!B19)/'02_대상물건입력'!B19)</f>
        <v/>
      </c>
      <c r="Z1430" s="172">
        <f>IF(OR(Y1430="",'01_설정'!B31="",'01_설정'!B31&lt;=0,'01_설정'!B32="",'01_설정'!B32&lt;=0),"",MAX(0,(1-Y1430/'01_설정'!B32))*'01_설정'!B31)</f>
        <v/>
      </c>
    </row>
    <row r="1431" ht="17.25" customHeight="1">
      <c r="A1431" s="152">
        <f>IF(INDEX('04A_국토부원자료'!$A:$A,ROW()+1)="","",ROW()-3)</f>
        <v/>
      </c>
      <c r="B1431" s="48">
        <f>IFERROR(INDEX('04A_국토부원자료'!$A:$T,ROW()+1,MATCH("시군구",'04A_국토부원자료'!$A$4:$T$4,0)),"")</f>
        <v/>
      </c>
      <c r="C1431" s="48">
        <f>IF(B1431="","",IFERROR(INDEX('04A_국토부원자료'!$A:$T,ROW()+1,MATCH("번지",'04A_국토부원자료'!$A$4:$T$4,0)),""))</f>
        <v/>
      </c>
      <c r="D1431" s="48">
        <f>IF(B1431="","",IF(Q1431=1,'02_대상물건입력'!$B$8,IFERROR(INDEX('04A_국토부원자료'!$A:$T,ROW()+1,MATCH("단지명",'04A_국토부원자료'!$A$4:$T$4,0)),"")))</f>
        <v/>
      </c>
      <c r="E1431" s="172">
        <f>IFERROR(VALUE(SUBSTITUTE(INDEX('04A_국토부원자료'!$A:$T,ROW()+1,MATCH("전용면적(㎡)",'04A_국토부원자료'!$A$4:$T$4,0)),",","")),"")</f>
        <v/>
      </c>
      <c r="F14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31" s="51">
        <f>IFERROR(VALUE(SUBSTITUTE(INDEX('04A_국토부원자료'!$A:$T,ROW()+1,MATCH("거래금액(만원)",'04A_국토부원자료'!$A$4:$T$4,0)),",","")),"")</f>
        <v/>
      </c>
      <c r="H1431" s="174">
        <f>IF(G1431="","",G1431*10000)</f>
        <v/>
      </c>
      <c r="I1431" s="174">
        <f>IFERROR(IF(AND(H1431&gt;0,E1431&gt;0),H1431/E1431,""),"")</f>
        <v/>
      </c>
      <c r="J1431" s="152">
        <f>IFERROR(VALUE(SUBSTITUTE(INDEX('04A_국토부원자료'!$A:$T,ROW()+1,MATCH("층",'04A_국토부원자료'!$A$4:$T$4,0)),",","")),"")</f>
        <v/>
      </c>
      <c r="K1431" s="152">
        <f>IFERROR(VALUE(SUBSTITUTE(INDEX('04A_국토부원자료'!$A:$T,ROW()+1,MATCH("건축년도",'04A_국토부원자료'!$A$4:$T$4,0)),",","")),"")</f>
        <v/>
      </c>
      <c r="L1431" s="176">
        <f>IFERROR(INDEX('04A_국토부원자료'!$A:$T,ROW()+1,MATCH("도로명",'04A_국토부원자료'!$A$4:$T$4,0)),"")</f>
        <v/>
      </c>
      <c r="M1431" s="48">
        <f>IFERROR(INDEX('04A_국토부원자료'!$A:$T,ROW()+1,MATCH("거래유형",'04A_국토부원자료'!$A$4:$T$4,0)),"")</f>
        <v/>
      </c>
      <c r="N1431" s="152">
        <f>IF(B1431="","",IF('02_대상물건입력'!B5="",1,IF(ISNUMBER(SEARCH('02_대상물건입력'!B5,B1431)),1,0)))</f>
        <v/>
      </c>
      <c r="O1431" s="152">
        <f>IF(B1431="","",IF('02_대상물건입력'!B6="",1,IF(ISNUMBER(SEARCH('02_대상물건입력'!B6,B1431)),1,0)))</f>
        <v/>
      </c>
      <c r="P1431" s="152">
        <f>IF(L1431="","",IF('02_대상물건입력'!B15="",0,IF(ISNUMBER(SEARCH('02_대상물건입력'!B15,L1431)),1,0)))</f>
        <v/>
      </c>
      <c r="Q1431" s="152">
        <f>IF(OR(C1431="",L1431=""),0,IF(AND(TRIM(C1431)=TRIM(RIGHT(SUBSTITUTE(TRIM('02_대상물건입력'!$B$7)," ",REPT(" ",99)),99)),IF('02_대상물건입력'!B15="",TRUE(),ISNUMBER(SEARCH('02_대상물건입력'!B15,L1431)))),1,0))</f>
        <v/>
      </c>
      <c r="R1431" s="175">
        <f>IFERROR(ABS(E1431-'02_대상물건입력'!B11)/'02_대상물건입력'!B11,"")</f>
        <v/>
      </c>
      <c r="S1431" s="152">
        <f>IFERROR(ABS(J1431-'02_대상물건입력'!B10),"")</f>
        <v/>
      </c>
      <c r="T1431" s="152">
        <f>IFERROR(ABS('01_설정'!B4-F1431),"")</f>
        <v/>
      </c>
      <c r="U1431" s="152">
        <f>IFERROR(ABS(K1431-YEAR('02_대상물건입력'!B14)),"")</f>
        <v/>
      </c>
      <c r="V1431" s="152">
        <f>IF(B1431="","",IF(AND(E1431&gt;0,F1431&gt;0,H1431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1431=1,TRUE()),R1431&lt;='01_설정'!B5,S1431&lt;='01_설정'!B6,T1431&lt;='01_설정'!B7,U1431&lt;='01_설정'!B8),"Y",""))</f>
        <v/>
      </c>
      <c r="W1431" s="172">
        <f>IF(V1431&lt;&gt;"Y","",MAX(0,(1-R1431/'01_설정'!B5))*'01_설정'!B14+MAX(0,(1-S1431/'01_설정'!B6))*'01_설정'!B15+MAX(0,(1-T1431/'01_설정'!B7))*'01_설정'!B16+MAX(0,(1-U1431/'01_설정'!B8))*'01_설정'!B17+O1431*'01_설정'!B11+Q1431*'01_설정'!B12+P1431*'01_설정'!B13+IF(Z1431="",0,Z1431))</f>
        <v/>
      </c>
      <c r="X1431" s="152">
        <f>IF(W1431="","",1+COUNTIFS($W$4:$W$3003,"&gt;"&amp;W1431)+COUNTIFS($W$4:W1431,W1431)-1)</f>
        <v/>
      </c>
      <c r="Y1431" s="175">
        <f>IF(OR(I1431="",'02_대상물건입력'!B19="",'02_대상물건입력'!B19&lt;=0),"",ABS(I1431-'02_대상물건입력'!B19)/'02_대상물건입력'!B19)</f>
        <v/>
      </c>
      <c r="Z1431" s="172">
        <f>IF(OR(Y1431="",'01_설정'!B31="",'01_설정'!B31&lt;=0,'01_설정'!B32="",'01_설정'!B32&lt;=0),"",MAX(0,(1-Y1431/'01_설정'!B32))*'01_설정'!B31)</f>
        <v/>
      </c>
    </row>
    <row r="1432" ht="17.25" customHeight="1">
      <c r="A1432" s="152">
        <f>IF(INDEX('04A_국토부원자료'!$A:$A,ROW()+1)="","",ROW()-3)</f>
        <v/>
      </c>
      <c r="B1432" s="48">
        <f>IFERROR(INDEX('04A_국토부원자료'!$A:$T,ROW()+1,MATCH("시군구",'04A_국토부원자료'!$A$4:$T$4,0)),"")</f>
        <v/>
      </c>
      <c r="C1432" s="48">
        <f>IF(B1432="","",IFERROR(INDEX('04A_국토부원자료'!$A:$T,ROW()+1,MATCH("번지",'04A_국토부원자료'!$A$4:$T$4,0)),""))</f>
        <v/>
      </c>
      <c r="D1432" s="48">
        <f>IF(B1432="","",IF(Q1432=1,'02_대상물건입력'!$B$8,IFERROR(INDEX('04A_국토부원자료'!$A:$T,ROW()+1,MATCH("단지명",'04A_국토부원자료'!$A$4:$T$4,0)),"")))</f>
        <v/>
      </c>
      <c r="E1432" s="172">
        <f>IFERROR(VALUE(SUBSTITUTE(INDEX('04A_국토부원자료'!$A:$T,ROW()+1,MATCH("전용면적(㎡)",'04A_국토부원자료'!$A$4:$T$4,0)),",","")),"")</f>
        <v/>
      </c>
      <c r="F14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32" s="51">
        <f>IFERROR(VALUE(SUBSTITUTE(INDEX('04A_국토부원자료'!$A:$T,ROW()+1,MATCH("거래금액(만원)",'04A_국토부원자료'!$A$4:$T$4,0)),",","")),"")</f>
        <v/>
      </c>
      <c r="H1432" s="174">
        <f>IF(G1432="","",G1432*10000)</f>
        <v/>
      </c>
      <c r="I1432" s="174">
        <f>IFERROR(IF(AND(H1432&gt;0,E1432&gt;0),H1432/E1432,""),"")</f>
        <v/>
      </c>
      <c r="J1432" s="152">
        <f>IFERROR(VALUE(SUBSTITUTE(INDEX('04A_국토부원자료'!$A:$T,ROW()+1,MATCH("층",'04A_국토부원자료'!$A$4:$T$4,0)),",","")),"")</f>
        <v/>
      </c>
      <c r="K1432" s="152">
        <f>IFERROR(VALUE(SUBSTITUTE(INDEX('04A_국토부원자료'!$A:$T,ROW()+1,MATCH("건축년도",'04A_국토부원자료'!$A$4:$T$4,0)),",","")),"")</f>
        <v/>
      </c>
      <c r="L1432" s="176">
        <f>IFERROR(INDEX('04A_국토부원자료'!$A:$T,ROW()+1,MATCH("도로명",'04A_국토부원자료'!$A$4:$T$4,0)),"")</f>
        <v/>
      </c>
      <c r="M1432" s="48">
        <f>IFERROR(INDEX('04A_국토부원자료'!$A:$T,ROW()+1,MATCH("거래유형",'04A_국토부원자료'!$A$4:$T$4,0)),"")</f>
        <v/>
      </c>
      <c r="N1432" s="152">
        <f>IF(B1432="","",IF('02_대상물건입력'!B5="",1,IF(ISNUMBER(SEARCH('02_대상물건입력'!B5,B1432)),1,0)))</f>
        <v/>
      </c>
      <c r="O1432" s="152">
        <f>IF(B1432="","",IF('02_대상물건입력'!B6="",1,IF(ISNUMBER(SEARCH('02_대상물건입력'!B6,B1432)),1,0)))</f>
        <v/>
      </c>
      <c r="P1432" s="152">
        <f>IF(L1432="","",IF('02_대상물건입력'!B15="",0,IF(ISNUMBER(SEARCH('02_대상물건입력'!B15,L1432)),1,0)))</f>
        <v/>
      </c>
      <c r="Q1432" s="152">
        <f>IF(OR(C1432="",L1432=""),0,IF(AND(TRIM(C1432)=TRIM(RIGHT(SUBSTITUTE(TRIM('02_대상물건입력'!$B$7)," ",REPT(" ",99)),99)),IF('02_대상물건입력'!B15="",TRUE(),ISNUMBER(SEARCH('02_대상물건입력'!B15,L1432)))),1,0))</f>
        <v/>
      </c>
      <c r="R1432" s="175">
        <f>IFERROR(ABS(E1432-'02_대상물건입력'!B11)/'02_대상물건입력'!B11,"")</f>
        <v/>
      </c>
      <c r="S1432" s="152">
        <f>IFERROR(ABS(J1432-'02_대상물건입력'!B10),"")</f>
        <v/>
      </c>
      <c r="T1432" s="152">
        <f>IFERROR(ABS('01_설정'!B4-F1432),"")</f>
        <v/>
      </c>
      <c r="U1432" s="152">
        <f>IFERROR(ABS(K1432-YEAR('02_대상물건입력'!B14)),"")</f>
        <v/>
      </c>
      <c r="V1432" s="152">
        <f>IF(B1432="","",IF(AND(E1432&gt;0,F1432&gt;0,H1432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1432=1,TRUE()),R1432&lt;='01_설정'!B5,S1432&lt;='01_설정'!B6,T1432&lt;='01_설정'!B7,U1432&lt;='01_설정'!B8),"Y",""))</f>
        <v/>
      </c>
      <c r="W1432" s="172">
        <f>IF(V1432&lt;&gt;"Y","",MAX(0,(1-R1432/'01_설정'!B5))*'01_설정'!B14+MAX(0,(1-S1432/'01_설정'!B6))*'01_설정'!B15+MAX(0,(1-T1432/'01_설정'!B7))*'01_설정'!B16+MAX(0,(1-U1432/'01_설정'!B8))*'01_설정'!B17+O1432*'01_설정'!B11+Q1432*'01_설정'!B12+P1432*'01_설정'!B13+IF(Z1432="",0,Z1432))</f>
        <v/>
      </c>
      <c r="X1432" s="152">
        <f>IF(W1432="","",1+COUNTIFS($W$4:$W$3003,"&gt;"&amp;W1432)+COUNTIFS($W$4:W1432,W1432)-1)</f>
        <v/>
      </c>
      <c r="Y1432" s="175">
        <f>IF(OR(I1432="",'02_대상물건입력'!B19="",'02_대상물건입력'!B19&lt;=0),"",ABS(I1432-'02_대상물건입력'!B19)/'02_대상물건입력'!B19)</f>
        <v/>
      </c>
      <c r="Z1432" s="172">
        <f>IF(OR(Y1432="",'01_설정'!B31="",'01_설정'!B31&lt;=0,'01_설정'!B32="",'01_설정'!B32&lt;=0),"",MAX(0,(1-Y1432/'01_설정'!B32))*'01_설정'!B31)</f>
        <v/>
      </c>
    </row>
    <row r="1433" ht="17.25" customHeight="1">
      <c r="A1433" s="152">
        <f>IF(INDEX('04A_국토부원자료'!$A:$A,ROW()+1)="","",ROW()-3)</f>
        <v/>
      </c>
      <c r="B1433" s="48">
        <f>IFERROR(INDEX('04A_국토부원자료'!$A:$T,ROW()+1,MATCH("시군구",'04A_국토부원자료'!$A$4:$T$4,0)),"")</f>
        <v/>
      </c>
      <c r="C1433" s="48">
        <f>IF(B1433="","",IFERROR(INDEX('04A_국토부원자료'!$A:$T,ROW()+1,MATCH("번지",'04A_국토부원자료'!$A$4:$T$4,0)),""))</f>
        <v/>
      </c>
      <c r="D1433" s="48">
        <f>IF(B1433="","",IF(Q1433=1,'02_대상물건입력'!$B$8,IFERROR(INDEX('04A_국토부원자료'!$A:$T,ROW()+1,MATCH("단지명",'04A_국토부원자료'!$A$4:$T$4,0)),"")))</f>
        <v/>
      </c>
      <c r="E1433" s="172">
        <f>IFERROR(VALUE(SUBSTITUTE(INDEX('04A_국토부원자료'!$A:$T,ROW()+1,MATCH("전용면적(㎡)",'04A_국토부원자료'!$A$4:$T$4,0)),",","")),"")</f>
        <v/>
      </c>
      <c r="F14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33" s="51">
        <f>IFERROR(VALUE(SUBSTITUTE(INDEX('04A_국토부원자료'!$A:$T,ROW()+1,MATCH("거래금액(만원)",'04A_국토부원자료'!$A$4:$T$4,0)),",","")),"")</f>
        <v/>
      </c>
      <c r="H1433" s="174">
        <f>IF(G1433="","",G1433*10000)</f>
        <v/>
      </c>
      <c r="I1433" s="174">
        <f>IFERROR(IF(AND(H1433&gt;0,E1433&gt;0),H1433/E1433,""),"")</f>
        <v/>
      </c>
      <c r="J1433" s="152">
        <f>IFERROR(VALUE(SUBSTITUTE(INDEX('04A_국토부원자료'!$A:$T,ROW()+1,MATCH("층",'04A_국토부원자료'!$A$4:$T$4,0)),",","")),"")</f>
        <v/>
      </c>
      <c r="K1433" s="152">
        <f>IFERROR(VALUE(SUBSTITUTE(INDEX('04A_국토부원자료'!$A:$T,ROW()+1,MATCH("건축년도",'04A_국토부원자료'!$A$4:$T$4,0)),",","")),"")</f>
        <v/>
      </c>
      <c r="L1433" s="176">
        <f>IFERROR(INDEX('04A_국토부원자료'!$A:$T,ROW()+1,MATCH("도로명",'04A_국토부원자료'!$A$4:$T$4,0)),"")</f>
        <v/>
      </c>
      <c r="M1433" s="48">
        <f>IFERROR(INDEX('04A_국토부원자료'!$A:$T,ROW()+1,MATCH("거래유형",'04A_국토부원자료'!$A$4:$T$4,0)),"")</f>
        <v/>
      </c>
      <c r="N1433" s="152">
        <f>IF(B1433="","",IF('02_대상물건입력'!B5="",1,IF(ISNUMBER(SEARCH('02_대상물건입력'!B5,B1433)),1,0)))</f>
        <v/>
      </c>
      <c r="O1433" s="152">
        <f>IF(B1433="","",IF('02_대상물건입력'!B6="",1,IF(ISNUMBER(SEARCH('02_대상물건입력'!B6,B1433)),1,0)))</f>
        <v/>
      </c>
      <c r="P1433" s="152">
        <f>IF(L1433="","",IF('02_대상물건입력'!B15="",0,IF(ISNUMBER(SEARCH('02_대상물건입력'!B15,L1433)),1,0)))</f>
        <v/>
      </c>
      <c r="Q1433" s="152">
        <f>IF(OR(C1433="",L1433=""),0,IF(AND(TRIM(C1433)=TRIM(RIGHT(SUBSTITUTE(TRIM('02_대상물건입력'!$B$7)," ",REPT(" ",99)),99)),IF('02_대상물건입력'!B15="",TRUE(),ISNUMBER(SEARCH('02_대상물건입력'!B15,L1433)))),1,0))</f>
        <v/>
      </c>
      <c r="R1433" s="175">
        <f>IFERROR(ABS(E1433-'02_대상물건입력'!B11)/'02_대상물건입력'!B11,"")</f>
        <v/>
      </c>
      <c r="S1433" s="152">
        <f>IFERROR(ABS(J1433-'02_대상물건입력'!B10),"")</f>
        <v/>
      </c>
      <c r="T1433" s="152">
        <f>IFERROR(ABS('01_설정'!B4-F1433),"")</f>
        <v/>
      </c>
      <c r="U1433" s="152">
        <f>IFERROR(ABS(K1433-YEAR('02_대상물건입력'!B14)),"")</f>
        <v/>
      </c>
      <c r="V1433" s="152">
        <f>IF(B1433="","",IF(AND(E1433&gt;0,F1433&gt;0,H1433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1433=1,TRUE()),R1433&lt;='01_설정'!B5,S1433&lt;='01_설정'!B6,T1433&lt;='01_설정'!B7,U1433&lt;='01_설정'!B8),"Y",""))</f>
        <v/>
      </c>
      <c r="W1433" s="172">
        <f>IF(V1433&lt;&gt;"Y","",MAX(0,(1-R1433/'01_설정'!B5))*'01_설정'!B14+MAX(0,(1-S1433/'01_설정'!B6))*'01_설정'!B15+MAX(0,(1-T1433/'01_설정'!B7))*'01_설정'!B16+MAX(0,(1-U1433/'01_설정'!B8))*'01_설정'!B17+O1433*'01_설정'!B11+Q1433*'01_설정'!B12+P1433*'01_설정'!B13+IF(Z1433="",0,Z1433))</f>
        <v/>
      </c>
      <c r="X1433" s="152">
        <f>IF(W1433="","",1+COUNTIFS($W$4:$W$3003,"&gt;"&amp;W1433)+COUNTIFS($W$4:W1433,W1433)-1)</f>
        <v/>
      </c>
      <c r="Y1433" s="175">
        <f>IF(OR(I1433="",'02_대상물건입력'!B19="",'02_대상물건입력'!B19&lt;=0),"",ABS(I1433-'02_대상물건입력'!B19)/'02_대상물건입력'!B19)</f>
        <v/>
      </c>
      <c r="Z1433" s="172">
        <f>IF(OR(Y1433="",'01_설정'!B31="",'01_설정'!B31&lt;=0,'01_설정'!B32="",'01_설정'!B32&lt;=0),"",MAX(0,(1-Y1433/'01_설정'!B32))*'01_설정'!B31)</f>
        <v/>
      </c>
    </row>
    <row r="1434" ht="17.25" customHeight="1">
      <c r="A1434" s="152">
        <f>IF(INDEX('04A_국토부원자료'!$A:$A,ROW()+1)="","",ROW()-3)</f>
        <v/>
      </c>
      <c r="B1434" s="48">
        <f>IFERROR(INDEX('04A_국토부원자료'!$A:$T,ROW()+1,MATCH("시군구",'04A_국토부원자료'!$A$4:$T$4,0)),"")</f>
        <v/>
      </c>
      <c r="C1434" s="48">
        <f>IF(B1434="","",IFERROR(INDEX('04A_국토부원자료'!$A:$T,ROW()+1,MATCH("번지",'04A_국토부원자료'!$A$4:$T$4,0)),""))</f>
        <v/>
      </c>
      <c r="D1434" s="48">
        <f>IF(B1434="","",IF(Q1434=1,'02_대상물건입력'!$B$8,IFERROR(INDEX('04A_국토부원자료'!$A:$T,ROW()+1,MATCH("단지명",'04A_국토부원자료'!$A$4:$T$4,0)),"")))</f>
        <v/>
      </c>
      <c r="E1434" s="172">
        <f>IFERROR(VALUE(SUBSTITUTE(INDEX('04A_국토부원자료'!$A:$T,ROW()+1,MATCH("전용면적(㎡)",'04A_국토부원자료'!$A$4:$T$4,0)),",","")),"")</f>
        <v/>
      </c>
      <c r="F14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34" s="51">
        <f>IFERROR(VALUE(SUBSTITUTE(INDEX('04A_국토부원자료'!$A:$T,ROW()+1,MATCH("거래금액(만원)",'04A_국토부원자료'!$A$4:$T$4,0)),",","")),"")</f>
        <v/>
      </c>
      <c r="H1434" s="174">
        <f>IF(G1434="","",G1434*10000)</f>
        <v/>
      </c>
      <c r="I1434" s="174">
        <f>IFERROR(IF(AND(H1434&gt;0,E1434&gt;0),H1434/E1434,""),"")</f>
        <v/>
      </c>
      <c r="J1434" s="152">
        <f>IFERROR(VALUE(SUBSTITUTE(INDEX('04A_국토부원자료'!$A:$T,ROW()+1,MATCH("층",'04A_국토부원자료'!$A$4:$T$4,0)),",","")),"")</f>
        <v/>
      </c>
      <c r="K1434" s="152">
        <f>IFERROR(VALUE(SUBSTITUTE(INDEX('04A_국토부원자료'!$A:$T,ROW()+1,MATCH("건축년도",'04A_국토부원자료'!$A$4:$T$4,0)),",","")),"")</f>
        <v/>
      </c>
      <c r="L1434" s="176">
        <f>IFERROR(INDEX('04A_국토부원자료'!$A:$T,ROW()+1,MATCH("도로명",'04A_국토부원자료'!$A$4:$T$4,0)),"")</f>
        <v/>
      </c>
      <c r="M1434" s="48">
        <f>IFERROR(INDEX('04A_국토부원자료'!$A:$T,ROW()+1,MATCH("거래유형",'04A_국토부원자료'!$A$4:$T$4,0)),"")</f>
        <v/>
      </c>
      <c r="N1434" s="152">
        <f>IF(B1434="","",IF('02_대상물건입력'!B5="",1,IF(ISNUMBER(SEARCH('02_대상물건입력'!B5,B1434)),1,0)))</f>
        <v/>
      </c>
      <c r="O1434" s="152">
        <f>IF(B1434="","",IF('02_대상물건입력'!B6="",1,IF(ISNUMBER(SEARCH('02_대상물건입력'!B6,B1434)),1,0)))</f>
        <v/>
      </c>
      <c r="P1434" s="152">
        <f>IF(L1434="","",IF('02_대상물건입력'!B15="",0,IF(ISNUMBER(SEARCH('02_대상물건입력'!B15,L1434)),1,0)))</f>
        <v/>
      </c>
      <c r="Q1434" s="152">
        <f>IF(OR(C1434="",L1434=""),0,IF(AND(TRIM(C1434)=TRIM(RIGHT(SUBSTITUTE(TRIM('02_대상물건입력'!$B$7)," ",REPT(" ",99)),99)),IF('02_대상물건입력'!B15="",TRUE(),ISNUMBER(SEARCH('02_대상물건입력'!B15,L1434)))),1,0))</f>
        <v/>
      </c>
      <c r="R1434" s="175">
        <f>IFERROR(ABS(E1434-'02_대상물건입력'!B11)/'02_대상물건입력'!B11,"")</f>
        <v/>
      </c>
      <c r="S1434" s="152">
        <f>IFERROR(ABS(J1434-'02_대상물건입력'!B10),"")</f>
        <v/>
      </c>
      <c r="T1434" s="152">
        <f>IFERROR(ABS('01_설정'!B4-F1434),"")</f>
        <v/>
      </c>
      <c r="U1434" s="152">
        <f>IFERROR(ABS(K1434-YEAR('02_대상물건입력'!B14)),"")</f>
        <v/>
      </c>
      <c r="V1434" s="152">
        <f>IF(B1434="","",IF(AND(E1434&gt;0,F1434&gt;0,H1434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1434=1,TRUE()),R1434&lt;='01_설정'!B5,S1434&lt;='01_설정'!B6,T1434&lt;='01_설정'!B7,U1434&lt;='01_설정'!B8),"Y",""))</f>
        <v/>
      </c>
      <c r="W1434" s="172">
        <f>IF(V1434&lt;&gt;"Y","",MAX(0,(1-R1434/'01_설정'!B5))*'01_설정'!B14+MAX(0,(1-S1434/'01_설정'!B6))*'01_설정'!B15+MAX(0,(1-T1434/'01_설정'!B7))*'01_설정'!B16+MAX(0,(1-U1434/'01_설정'!B8))*'01_설정'!B17+O1434*'01_설정'!B11+Q1434*'01_설정'!B12+P1434*'01_설정'!B13+IF(Z1434="",0,Z1434))</f>
        <v/>
      </c>
      <c r="X1434" s="152">
        <f>IF(W1434="","",1+COUNTIFS($W$4:$W$3003,"&gt;"&amp;W1434)+COUNTIFS($W$4:W1434,W1434)-1)</f>
        <v/>
      </c>
      <c r="Y1434" s="175">
        <f>IF(OR(I1434="",'02_대상물건입력'!B19="",'02_대상물건입력'!B19&lt;=0),"",ABS(I1434-'02_대상물건입력'!B19)/'02_대상물건입력'!B19)</f>
        <v/>
      </c>
      <c r="Z1434" s="172">
        <f>IF(OR(Y1434="",'01_설정'!B31="",'01_설정'!B31&lt;=0,'01_설정'!B32="",'01_설정'!B32&lt;=0),"",MAX(0,(1-Y1434/'01_설정'!B32))*'01_설정'!B31)</f>
        <v/>
      </c>
    </row>
    <row r="1435" ht="17.25" customHeight="1">
      <c r="A1435" s="152">
        <f>IF(INDEX('04A_국토부원자료'!$A:$A,ROW()+1)="","",ROW()-3)</f>
        <v/>
      </c>
      <c r="B1435" s="48">
        <f>IFERROR(INDEX('04A_국토부원자료'!$A:$T,ROW()+1,MATCH("시군구",'04A_국토부원자료'!$A$4:$T$4,0)),"")</f>
        <v/>
      </c>
      <c r="C1435" s="48">
        <f>IF(B1435="","",IFERROR(INDEX('04A_국토부원자료'!$A:$T,ROW()+1,MATCH("번지",'04A_국토부원자료'!$A$4:$T$4,0)),""))</f>
        <v/>
      </c>
      <c r="D1435" s="48">
        <f>IF(B1435="","",IF(Q1435=1,'02_대상물건입력'!$B$8,IFERROR(INDEX('04A_국토부원자료'!$A:$T,ROW()+1,MATCH("단지명",'04A_국토부원자료'!$A$4:$T$4,0)),"")))</f>
        <v/>
      </c>
      <c r="E1435" s="172">
        <f>IFERROR(VALUE(SUBSTITUTE(INDEX('04A_국토부원자료'!$A:$T,ROW()+1,MATCH("전용면적(㎡)",'04A_국토부원자료'!$A$4:$T$4,0)),",","")),"")</f>
        <v/>
      </c>
      <c r="F14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35" s="51">
        <f>IFERROR(VALUE(SUBSTITUTE(INDEX('04A_국토부원자료'!$A:$T,ROW()+1,MATCH("거래금액(만원)",'04A_국토부원자료'!$A$4:$T$4,0)),",","")),"")</f>
        <v/>
      </c>
      <c r="H1435" s="174">
        <f>IF(G1435="","",G1435*10000)</f>
        <v/>
      </c>
      <c r="I1435" s="174">
        <f>IFERROR(IF(AND(H1435&gt;0,E1435&gt;0),H1435/E1435,""),"")</f>
        <v/>
      </c>
      <c r="J1435" s="152">
        <f>IFERROR(VALUE(SUBSTITUTE(INDEX('04A_국토부원자료'!$A:$T,ROW()+1,MATCH("층",'04A_국토부원자료'!$A$4:$T$4,0)),",","")),"")</f>
        <v/>
      </c>
      <c r="K1435" s="152">
        <f>IFERROR(VALUE(SUBSTITUTE(INDEX('04A_국토부원자료'!$A:$T,ROW()+1,MATCH("건축년도",'04A_국토부원자료'!$A$4:$T$4,0)),",","")),"")</f>
        <v/>
      </c>
      <c r="L1435" s="176">
        <f>IFERROR(INDEX('04A_국토부원자료'!$A:$T,ROW()+1,MATCH("도로명",'04A_국토부원자료'!$A$4:$T$4,0)),"")</f>
        <v/>
      </c>
      <c r="M1435" s="48">
        <f>IFERROR(INDEX('04A_국토부원자료'!$A:$T,ROW()+1,MATCH("거래유형",'04A_국토부원자료'!$A$4:$T$4,0)),"")</f>
        <v/>
      </c>
      <c r="N1435" s="152">
        <f>IF(B1435="","",IF('02_대상물건입력'!B5="",1,IF(ISNUMBER(SEARCH('02_대상물건입력'!B5,B1435)),1,0)))</f>
        <v/>
      </c>
      <c r="O1435" s="152">
        <f>IF(B1435="","",IF('02_대상물건입력'!B6="",1,IF(ISNUMBER(SEARCH('02_대상물건입력'!B6,B1435)),1,0)))</f>
        <v/>
      </c>
      <c r="P1435" s="152">
        <f>IF(L1435="","",IF('02_대상물건입력'!B15="",0,IF(ISNUMBER(SEARCH('02_대상물건입력'!B15,L1435)),1,0)))</f>
        <v/>
      </c>
      <c r="Q1435" s="152">
        <f>IF(OR(C1435="",L1435=""),0,IF(AND(TRIM(C1435)=TRIM(RIGHT(SUBSTITUTE(TRIM('02_대상물건입력'!$B$7)," ",REPT(" ",99)),99)),IF('02_대상물건입력'!B15="",TRUE(),ISNUMBER(SEARCH('02_대상물건입력'!B15,L1435)))),1,0))</f>
        <v/>
      </c>
      <c r="R1435" s="175">
        <f>IFERROR(ABS(E1435-'02_대상물건입력'!B11)/'02_대상물건입력'!B11,"")</f>
        <v/>
      </c>
      <c r="S1435" s="152">
        <f>IFERROR(ABS(J1435-'02_대상물건입력'!B10),"")</f>
        <v/>
      </c>
      <c r="T1435" s="152">
        <f>IFERROR(ABS('01_설정'!B4-F1435),"")</f>
        <v/>
      </c>
      <c r="U1435" s="152">
        <f>IFERROR(ABS(K1435-YEAR('02_대상물건입력'!B14)),"")</f>
        <v/>
      </c>
      <c r="V1435" s="152">
        <f>IF(B1435="","",IF(AND(E1435&gt;0,F1435&gt;0,H1435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1435=1,TRUE()),R1435&lt;='01_설정'!B5,S1435&lt;='01_설정'!B6,T1435&lt;='01_설정'!B7,U1435&lt;='01_설정'!B8),"Y",""))</f>
        <v/>
      </c>
      <c r="W1435" s="172">
        <f>IF(V1435&lt;&gt;"Y","",MAX(0,(1-R1435/'01_설정'!B5))*'01_설정'!B14+MAX(0,(1-S1435/'01_설정'!B6))*'01_설정'!B15+MAX(0,(1-T1435/'01_설정'!B7))*'01_설정'!B16+MAX(0,(1-U1435/'01_설정'!B8))*'01_설정'!B17+O1435*'01_설정'!B11+Q1435*'01_설정'!B12+P1435*'01_설정'!B13+IF(Z1435="",0,Z1435))</f>
        <v/>
      </c>
      <c r="X1435" s="152">
        <f>IF(W1435="","",1+COUNTIFS($W$4:$W$3003,"&gt;"&amp;W1435)+COUNTIFS($W$4:W1435,W1435)-1)</f>
        <v/>
      </c>
      <c r="Y1435" s="175">
        <f>IF(OR(I1435="",'02_대상물건입력'!B19="",'02_대상물건입력'!B19&lt;=0),"",ABS(I1435-'02_대상물건입력'!B19)/'02_대상물건입력'!B19)</f>
        <v/>
      </c>
      <c r="Z1435" s="172">
        <f>IF(OR(Y1435="",'01_설정'!B31="",'01_설정'!B31&lt;=0,'01_설정'!B32="",'01_설정'!B32&lt;=0),"",MAX(0,(1-Y1435/'01_설정'!B32))*'01_설정'!B31)</f>
        <v/>
      </c>
    </row>
    <row r="1436" ht="17.25" customHeight="1">
      <c r="A1436" s="152">
        <f>IF(INDEX('04A_국토부원자료'!$A:$A,ROW()+1)="","",ROW()-3)</f>
        <v/>
      </c>
      <c r="B1436" s="48">
        <f>IFERROR(INDEX('04A_국토부원자료'!$A:$T,ROW()+1,MATCH("시군구",'04A_국토부원자료'!$A$4:$T$4,0)),"")</f>
        <v/>
      </c>
      <c r="C1436" s="48">
        <f>IF(B1436="","",IFERROR(INDEX('04A_국토부원자료'!$A:$T,ROW()+1,MATCH("번지",'04A_국토부원자료'!$A$4:$T$4,0)),""))</f>
        <v/>
      </c>
      <c r="D1436" s="48">
        <f>IF(B1436="","",IF(Q1436=1,'02_대상물건입력'!$B$8,IFERROR(INDEX('04A_국토부원자료'!$A:$T,ROW()+1,MATCH("단지명",'04A_국토부원자료'!$A$4:$T$4,0)),"")))</f>
        <v/>
      </c>
      <c r="E1436" s="172">
        <f>IFERROR(VALUE(SUBSTITUTE(INDEX('04A_국토부원자료'!$A:$T,ROW()+1,MATCH("전용면적(㎡)",'04A_국토부원자료'!$A$4:$T$4,0)),",","")),"")</f>
        <v/>
      </c>
      <c r="F14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36" s="51">
        <f>IFERROR(VALUE(SUBSTITUTE(INDEX('04A_국토부원자료'!$A:$T,ROW()+1,MATCH("거래금액(만원)",'04A_국토부원자료'!$A$4:$T$4,0)),",","")),"")</f>
        <v/>
      </c>
      <c r="H1436" s="174">
        <f>IF(G1436="","",G1436*10000)</f>
        <v/>
      </c>
      <c r="I1436" s="174">
        <f>IFERROR(IF(AND(H1436&gt;0,E1436&gt;0),H1436/E1436,""),"")</f>
        <v/>
      </c>
      <c r="J1436" s="152">
        <f>IFERROR(VALUE(SUBSTITUTE(INDEX('04A_국토부원자료'!$A:$T,ROW()+1,MATCH("층",'04A_국토부원자료'!$A$4:$T$4,0)),",","")),"")</f>
        <v/>
      </c>
      <c r="K1436" s="152">
        <f>IFERROR(VALUE(SUBSTITUTE(INDEX('04A_국토부원자료'!$A:$T,ROW()+1,MATCH("건축년도",'04A_국토부원자료'!$A$4:$T$4,0)),",","")),"")</f>
        <v/>
      </c>
      <c r="L1436" s="176">
        <f>IFERROR(INDEX('04A_국토부원자료'!$A:$T,ROW()+1,MATCH("도로명",'04A_국토부원자료'!$A$4:$T$4,0)),"")</f>
        <v/>
      </c>
      <c r="M1436" s="48">
        <f>IFERROR(INDEX('04A_국토부원자료'!$A:$T,ROW()+1,MATCH("거래유형",'04A_국토부원자료'!$A$4:$T$4,0)),"")</f>
        <v/>
      </c>
      <c r="N1436" s="152">
        <f>IF(B1436="","",IF('02_대상물건입력'!B5="",1,IF(ISNUMBER(SEARCH('02_대상물건입력'!B5,B1436)),1,0)))</f>
        <v/>
      </c>
      <c r="O1436" s="152">
        <f>IF(B1436="","",IF('02_대상물건입력'!B6="",1,IF(ISNUMBER(SEARCH('02_대상물건입력'!B6,B1436)),1,0)))</f>
        <v/>
      </c>
      <c r="P1436" s="152">
        <f>IF(L1436="","",IF('02_대상물건입력'!B15="",0,IF(ISNUMBER(SEARCH('02_대상물건입력'!B15,L1436)),1,0)))</f>
        <v/>
      </c>
      <c r="Q1436" s="152">
        <f>IF(OR(C1436="",L1436=""),0,IF(AND(TRIM(C1436)=TRIM(RIGHT(SUBSTITUTE(TRIM('02_대상물건입력'!$B$7)," ",REPT(" ",99)),99)),IF('02_대상물건입력'!B15="",TRUE(),ISNUMBER(SEARCH('02_대상물건입력'!B15,L1436)))),1,0))</f>
        <v/>
      </c>
      <c r="R1436" s="175">
        <f>IFERROR(ABS(E1436-'02_대상물건입력'!B11)/'02_대상물건입력'!B11,"")</f>
        <v/>
      </c>
      <c r="S1436" s="152">
        <f>IFERROR(ABS(J1436-'02_대상물건입력'!B10),"")</f>
        <v/>
      </c>
      <c r="T1436" s="152">
        <f>IFERROR(ABS('01_설정'!B4-F1436),"")</f>
        <v/>
      </c>
      <c r="U1436" s="152">
        <f>IFERROR(ABS(K1436-YEAR('02_대상물건입력'!B14)),"")</f>
        <v/>
      </c>
      <c r="V1436" s="152">
        <f>IF(B1436="","",IF(AND(E1436&gt;0,F1436&gt;0,H1436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1436=1,TRUE()),R1436&lt;='01_설정'!B5,S1436&lt;='01_설정'!B6,T1436&lt;='01_설정'!B7,U1436&lt;='01_설정'!B8),"Y",""))</f>
        <v/>
      </c>
      <c r="W1436" s="172">
        <f>IF(V1436&lt;&gt;"Y","",MAX(0,(1-R1436/'01_설정'!B5))*'01_설정'!B14+MAX(0,(1-S1436/'01_설정'!B6))*'01_설정'!B15+MAX(0,(1-T1436/'01_설정'!B7))*'01_설정'!B16+MAX(0,(1-U1436/'01_설정'!B8))*'01_설정'!B17+O1436*'01_설정'!B11+Q1436*'01_설정'!B12+P1436*'01_설정'!B13+IF(Z1436="",0,Z1436))</f>
        <v/>
      </c>
      <c r="X1436" s="152">
        <f>IF(W1436="","",1+COUNTIFS($W$4:$W$3003,"&gt;"&amp;W1436)+COUNTIFS($W$4:W1436,W1436)-1)</f>
        <v/>
      </c>
      <c r="Y1436" s="175">
        <f>IF(OR(I1436="",'02_대상물건입력'!B19="",'02_대상물건입력'!B19&lt;=0),"",ABS(I1436-'02_대상물건입력'!B19)/'02_대상물건입력'!B19)</f>
        <v/>
      </c>
      <c r="Z1436" s="172">
        <f>IF(OR(Y1436="",'01_설정'!B31="",'01_설정'!B31&lt;=0,'01_설정'!B32="",'01_설정'!B32&lt;=0),"",MAX(0,(1-Y1436/'01_설정'!B32))*'01_설정'!B31)</f>
        <v/>
      </c>
    </row>
    <row r="1437" ht="17.25" customHeight="1">
      <c r="A1437" s="152">
        <f>IF(INDEX('04A_국토부원자료'!$A:$A,ROW()+1)="","",ROW()-3)</f>
        <v/>
      </c>
      <c r="B1437" s="48">
        <f>IFERROR(INDEX('04A_국토부원자료'!$A:$T,ROW()+1,MATCH("시군구",'04A_국토부원자료'!$A$4:$T$4,0)),"")</f>
        <v/>
      </c>
      <c r="C1437" s="48">
        <f>IF(B1437="","",IFERROR(INDEX('04A_국토부원자료'!$A:$T,ROW()+1,MATCH("번지",'04A_국토부원자료'!$A$4:$T$4,0)),""))</f>
        <v/>
      </c>
      <c r="D1437" s="48">
        <f>IF(B1437="","",IF(Q1437=1,'02_대상물건입력'!$B$8,IFERROR(INDEX('04A_국토부원자료'!$A:$T,ROW()+1,MATCH("단지명",'04A_국토부원자료'!$A$4:$T$4,0)),"")))</f>
        <v/>
      </c>
      <c r="E1437" s="172">
        <f>IFERROR(VALUE(SUBSTITUTE(INDEX('04A_국토부원자료'!$A:$T,ROW()+1,MATCH("전용면적(㎡)",'04A_국토부원자료'!$A$4:$T$4,0)),",","")),"")</f>
        <v/>
      </c>
      <c r="F14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37" s="51">
        <f>IFERROR(VALUE(SUBSTITUTE(INDEX('04A_국토부원자료'!$A:$T,ROW()+1,MATCH("거래금액(만원)",'04A_국토부원자료'!$A$4:$T$4,0)),",","")),"")</f>
        <v/>
      </c>
      <c r="H1437" s="174">
        <f>IF(G1437="","",G1437*10000)</f>
        <v/>
      </c>
      <c r="I1437" s="174">
        <f>IFERROR(IF(AND(H1437&gt;0,E1437&gt;0),H1437/E1437,""),"")</f>
        <v/>
      </c>
      <c r="J1437" s="152">
        <f>IFERROR(VALUE(SUBSTITUTE(INDEX('04A_국토부원자료'!$A:$T,ROW()+1,MATCH("층",'04A_국토부원자료'!$A$4:$T$4,0)),",","")),"")</f>
        <v/>
      </c>
      <c r="K1437" s="152">
        <f>IFERROR(VALUE(SUBSTITUTE(INDEX('04A_국토부원자료'!$A:$T,ROW()+1,MATCH("건축년도",'04A_국토부원자료'!$A$4:$T$4,0)),",","")),"")</f>
        <v/>
      </c>
      <c r="L1437" s="176">
        <f>IFERROR(INDEX('04A_국토부원자료'!$A:$T,ROW()+1,MATCH("도로명",'04A_국토부원자료'!$A$4:$T$4,0)),"")</f>
        <v/>
      </c>
      <c r="M1437" s="48">
        <f>IFERROR(INDEX('04A_국토부원자료'!$A:$T,ROW()+1,MATCH("거래유형",'04A_국토부원자료'!$A$4:$T$4,0)),"")</f>
        <v/>
      </c>
      <c r="N1437" s="152">
        <f>IF(B1437="","",IF('02_대상물건입력'!B5="",1,IF(ISNUMBER(SEARCH('02_대상물건입력'!B5,B1437)),1,0)))</f>
        <v/>
      </c>
      <c r="O1437" s="152">
        <f>IF(B1437="","",IF('02_대상물건입력'!B6="",1,IF(ISNUMBER(SEARCH('02_대상물건입력'!B6,B1437)),1,0)))</f>
        <v/>
      </c>
      <c r="P1437" s="152">
        <f>IF(L1437="","",IF('02_대상물건입력'!B15="",0,IF(ISNUMBER(SEARCH('02_대상물건입력'!B15,L1437)),1,0)))</f>
        <v/>
      </c>
      <c r="Q1437" s="152">
        <f>IF(OR(C1437="",L1437=""),0,IF(AND(TRIM(C1437)=TRIM(RIGHT(SUBSTITUTE(TRIM('02_대상물건입력'!$B$7)," ",REPT(" ",99)),99)),IF('02_대상물건입력'!B15="",TRUE(),ISNUMBER(SEARCH('02_대상물건입력'!B15,L1437)))),1,0))</f>
        <v/>
      </c>
      <c r="R1437" s="175">
        <f>IFERROR(ABS(E1437-'02_대상물건입력'!B11)/'02_대상물건입력'!B11,"")</f>
        <v/>
      </c>
      <c r="S1437" s="152">
        <f>IFERROR(ABS(J1437-'02_대상물건입력'!B10),"")</f>
        <v/>
      </c>
      <c r="T1437" s="152">
        <f>IFERROR(ABS('01_설정'!B4-F1437),"")</f>
        <v/>
      </c>
      <c r="U1437" s="152">
        <f>IFERROR(ABS(K1437-YEAR('02_대상물건입력'!B14)),"")</f>
        <v/>
      </c>
      <c r="V1437" s="152">
        <f>IF(B1437="","",IF(AND(E1437&gt;0,F1437&gt;0,H1437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1437=1,TRUE()),R1437&lt;='01_설정'!B5,S1437&lt;='01_설정'!B6,T1437&lt;='01_설정'!B7,U1437&lt;='01_설정'!B8),"Y",""))</f>
        <v/>
      </c>
      <c r="W1437" s="172">
        <f>IF(V1437&lt;&gt;"Y","",MAX(0,(1-R1437/'01_설정'!B5))*'01_설정'!B14+MAX(0,(1-S1437/'01_설정'!B6))*'01_설정'!B15+MAX(0,(1-T1437/'01_설정'!B7))*'01_설정'!B16+MAX(0,(1-U1437/'01_설정'!B8))*'01_설정'!B17+O1437*'01_설정'!B11+Q1437*'01_설정'!B12+P1437*'01_설정'!B13+IF(Z1437="",0,Z1437))</f>
        <v/>
      </c>
      <c r="X1437" s="152">
        <f>IF(W1437="","",1+COUNTIFS($W$4:$W$3003,"&gt;"&amp;W1437)+COUNTIFS($W$4:W1437,W1437)-1)</f>
        <v/>
      </c>
      <c r="Y1437" s="175">
        <f>IF(OR(I1437="",'02_대상물건입력'!B19="",'02_대상물건입력'!B19&lt;=0),"",ABS(I1437-'02_대상물건입력'!B19)/'02_대상물건입력'!B19)</f>
        <v/>
      </c>
      <c r="Z1437" s="172">
        <f>IF(OR(Y1437="",'01_설정'!B31="",'01_설정'!B31&lt;=0,'01_설정'!B32="",'01_설정'!B32&lt;=0),"",MAX(0,(1-Y1437/'01_설정'!B32))*'01_설정'!B31)</f>
        <v/>
      </c>
    </row>
    <row r="1438" ht="17.25" customHeight="1">
      <c r="A1438" s="152">
        <f>IF(INDEX('04A_국토부원자료'!$A:$A,ROW()+1)="","",ROW()-3)</f>
        <v/>
      </c>
      <c r="B1438" s="48">
        <f>IFERROR(INDEX('04A_국토부원자료'!$A:$T,ROW()+1,MATCH("시군구",'04A_국토부원자료'!$A$4:$T$4,0)),"")</f>
        <v/>
      </c>
      <c r="C1438" s="48">
        <f>IF(B1438="","",IFERROR(INDEX('04A_국토부원자료'!$A:$T,ROW()+1,MATCH("번지",'04A_국토부원자료'!$A$4:$T$4,0)),""))</f>
        <v/>
      </c>
      <c r="D1438" s="48">
        <f>IF(B1438="","",IF(Q1438=1,'02_대상물건입력'!$B$8,IFERROR(INDEX('04A_국토부원자료'!$A:$T,ROW()+1,MATCH("단지명",'04A_국토부원자료'!$A$4:$T$4,0)),"")))</f>
        <v/>
      </c>
      <c r="E1438" s="172">
        <f>IFERROR(VALUE(SUBSTITUTE(INDEX('04A_국토부원자료'!$A:$T,ROW()+1,MATCH("전용면적(㎡)",'04A_국토부원자료'!$A$4:$T$4,0)),",","")),"")</f>
        <v/>
      </c>
      <c r="F14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38" s="51">
        <f>IFERROR(VALUE(SUBSTITUTE(INDEX('04A_국토부원자료'!$A:$T,ROW()+1,MATCH("거래금액(만원)",'04A_국토부원자료'!$A$4:$T$4,0)),",","")),"")</f>
        <v/>
      </c>
      <c r="H1438" s="174">
        <f>IF(G1438="","",G1438*10000)</f>
        <v/>
      </c>
      <c r="I1438" s="174">
        <f>IFERROR(IF(AND(H1438&gt;0,E1438&gt;0),H1438/E1438,""),"")</f>
        <v/>
      </c>
      <c r="J1438" s="152">
        <f>IFERROR(VALUE(SUBSTITUTE(INDEX('04A_국토부원자료'!$A:$T,ROW()+1,MATCH("층",'04A_국토부원자료'!$A$4:$T$4,0)),",","")),"")</f>
        <v/>
      </c>
      <c r="K1438" s="152">
        <f>IFERROR(VALUE(SUBSTITUTE(INDEX('04A_국토부원자료'!$A:$T,ROW()+1,MATCH("건축년도",'04A_국토부원자료'!$A$4:$T$4,0)),",","")),"")</f>
        <v/>
      </c>
      <c r="L1438" s="176">
        <f>IFERROR(INDEX('04A_국토부원자료'!$A:$T,ROW()+1,MATCH("도로명",'04A_국토부원자료'!$A$4:$T$4,0)),"")</f>
        <v/>
      </c>
      <c r="M1438" s="48">
        <f>IFERROR(INDEX('04A_국토부원자료'!$A:$T,ROW()+1,MATCH("거래유형",'04A_국토부원자료'!$A$4:$T$4,0)),"")</f>
        <v/>
      </c>
      <c r="N1438" s="152">
        <f>IF(B1438="","",IF('02_대상물건입력'!B5="",1,IF(ISNUMBER(SEARCH('02_대상물건입력'!B5,B1438)),1,0)))</f>
        <v/>
      </c>
      <c r="O1438" s="152">
        <f>IF(B1438="","",IF('02_대상물건입력'!B6="",1,IF(ISNUMBER(SEARCH('02_대상물건입력'!B6,B1438)),1,0)))</f>
        <v/>
      </c>
      <c r="P1438" s="152">
        <f>IF(L1438="","",IF('02_대상물건입력'!B15="",0,IF(ISNUMBER(SEARCH('02_대상물건입력'!B15,L1438)),1,0)))</f>
        <v/>
      </c>
      <c r="Q1438" s="152">
        <f>IF(OR(C1438="",L1438=""),0,IF(AND(TRIM(C1438)=TRIM(RIGHT(SUBSTITUTE(TRIM('02_대상물건입력'!$B$7)," ",REPT(" ",99)),99)),IF('02_대상물건입력'!B15="",TRUE(),ISNUMBER(SEARCH('02_대상물건입력'!B15,L1438)))),1,0))</f>
        <v/>
      </c>
      <c r="R1438" s="175">
        <f>IFERROR(ABS(E1438-'02_대상물건입력'!B11)/'02_대상물건입력'!B11,"")</f>
        <v/>
      </c>
      <c r="S1438" s="152">
        <f>IFERROR(ABS(J1438-'02_대상물건입력'!B10),"")</f>
        <v/>
      </c>
      <c r="T1438" s="152">
        <f>IFERROR(ABS('01_설정'!B4-F1438),"")</f>
        <v/>
      </c>
      <c r="U1438" s="152">
        <f>IFERROR(ABS(K1438-YEAR('02_대상물건입력'!B14)),"")</f>
        <v/>
      </c>
      <c r="V1438" s="152">
        <f>IF(B1438="","",IF(AND(E1438&gt;0,F1438&gt;0,H1438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1438=1,TRUE()),R1438&lt;='01_설정'!B5,S1438&lt;='01_설정'!B6,T1438&lt;='01_설정'!B7,U1438&lt;='01_설정'!B8),"Y",""))</f>
        <v/>
      </c>
      <c r="W1438" s="172">
        <f>IF(V1438&lt;&gt;"Y","",MAX(0,(1-R1438/'01_설정'!B5))*'01_설정'!B14+MAX(0,(1-S1438/'01_설정'!B6))*'01_설정'!B15+MAX(0,(1-T1438/'01_설정'!B7))*'01_설정'!B16+MAX(0,(1-U1438/'01_설정'!B8))*'01_설정'!B17+O1438*'01_설정'!B11+Q1438*'01_설정'!B12+P1438*'01_설정'!B13+IF(Z1438="",0,Z1438))</f>
        <v/>
      </c>
      <c r="X1438" s="152">
        <f>IF(W1438="","",1+COUNTIFS($W$4:$W$3003,"&gt;"&amp;W1438)+COUNTIFS($W$4:W1438,W1438)-1)</f>
        <v/>
      </c>
      <c r="Y1438" s="175">
        <f>IF(OR(I1438="",'02_대상물건입력'!B19="",'02_대상물건입력'!B19&lt;=0),"",ABS(I1438-'02_대상물건입력'!B19)/'02_대상물건입력'!B19)</f>
        <v/>
      </c>
      <c r="Z1438" s="172">
        <f>IF(OR(Y1438="",'01_설정'!B31="",'01_설정'!B31&lt;=0,'01_설정'!B32="",'01_설정'!B32&lt;=0),"",MAX(0,(1-Y1438/'01_설정'!B32))*'01_설정'!B31)</f>
        <v/>
      </c>
    </row>
    <row r="1439" ht="17.25" customHeight="1">
      <c r="A1439" s="152">
        <f>IF(INDEX('04A_국토부원자료'!$A:$A,ROW()+1)="","",ROW()-3)</f>
        <v/>
      </c>
      <c r="B1439" s="48">
        <f>IFERROR(INDEX('04A_국토부원자료'!$A:$T,ROW()+1,MATCH("시군구",'04A_국토부원자료'!$A$4:$T$4,0)),"")</f>
        <v/>
      </c>
      <c r="C1439" s="48">
        <f>IF(B1439="","",IFERROR(INDEX('04A_국토부원자료'!$A:$T,ROW()+1,MATCH("번지",'04A_국토부원자료'!$A$4:$T$4,0)),""))</f>
        <v/>
      </c>
      <c r="D1439" s="48">
        <f>IF(B1439="","",IF(Q1439=1,'02_대상물건입력'!$B$8,IFERROR(INDEX('04A_국토부원자료'!$A:$T,ROW()+1,MATCH("단지명",'04A_국토부원자료'!$A$4:$T$4,0)),"")))</f>
        <v/>
      </c>
      <c r="E1439" s="172">
        <f>IFERROR(VALUE(SUBSTITUTE(INDEX('04A_국토부원자료'!$A:$T,ROW()+1,MATCH("전용면적(㎡)",'04A_국토부원자료'!$A$4:$T$4,0)),",","")),"")</f>
        <v/>
      </c>
      <c r="F14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39" s="51">
        <f>IFERROR(VALUE(SUBSTITUTE(INDEX('04A_국토부원자료'!$A:$T,ROW()+1,MATCH("거래금액(만원)",'04A_국토부원자료'!$A$4:$T$4,0)),",","")),"")</f>
        <v/>
      </c>
      <c r="H1439" s="174">
        <f>IF(G1439="","",G1439*10000)</f>
        <v/>
      </c>
      <c r="I1439" s="174">
        <f>IFERROR(IF(AND(H1439&gt;0,E1439&gt;0),H1439/E1439,""),"")</f>
        <v/>
      </c>
      <c r="J1439" s="152">
        <f>IFERROR(VALUE(SUBSTITUTE(INDEX('04A_국토부원자료'!$A:$T,ROW()+1,MATCH("층",'04A_국토부원자료'!$A$4:$T$4,0)),",","")),"")</f>
        <v/>
      </c>
      <c r="K1439" s="152">
        <f>IFERROR(VALUE(SUBSTITUTE(INDEX('04A_국토부원자료'!$A:$T,ROW()+1,MATCH("건축년도",'04A_국토부원자료'!$A$4:$T$4,0)),",","")),"")</f>
        <v/>
      </c>
      <c r="L1439" s="176">
        <f>IFERROR(INDEX('04A_국토부원자료'!$A:$T,ROW()+1,MATCH("도로명",'04A_국토부원자료'!$A$4:$T$4,0)),"")</f>
        <v/>
      </c>
      <c r="M1439" s="48">
        <f>IFERROR(INDEX('04A_국토부원자료'!$A:$T,ROW()+1,MATCH("거래유형",'04A_국토부원자료'!$A$4:$T$4,0)),"")</f>
        <v/>
      </c>
      <c r="N1439" s="152">
        <f>IF(B1439="","",IF('02_대상물건입력'!B5="",1,IF(ISNUMBER(SEARCH('02_대상물건입력'!B5,B1439)),1,0)))</f>
        <v/>
      </c>
      <c r="O1439" s="152">
        <f>IF(B1439="","",IF('02_대상물건입력'!B6="",1,IF(ISNUMBER(SEARCH('02_대상물건입력'!B6,B1439)),1,0)))</f>
        <v/>
      </c>
      <c r="P1439" s="152">
        <f>IF(L1439="","",IF('02_대상물건입력'!B15="",0,IF(ISNUMBER(SEARCH('02_대상물건입력'!B15,L1439)),1,0)))</f>
        <v/>
      </c>
      <c r="Q1439" s="152">
        <f>IF(OR(C1439="",L1439=""),0,IF(AND(TRIM(C1439)=TRIM(RIGHT(SUBSTITUTE(TRIM('02_대상물건입력'!$B$7)," ",REPT(" ",99)),99)),IF('02_대상물건입력'!B15="",TRUE(),ISNUMBER(SEARCH('02_대상물건입력'!B15,L1439)))),1,0))</f>
        <v/>
      </c>
      <c r="R1439" s="175">
        <f>IFERROR(ABS(E1439-'02_대상물건입력'!B11)/'02_대상물건입력'!B11,"")</f>
        <v/>
      </c>
      <c r="S1439" s="152">
        <f>IFERROR(ABS(J1439-'02_대상물건입력'!B10),"")</f>
        <v/>
      </c>
      <c r="T1439" s="152">
        <f>IFERROR(ABS('01_설정'!B4-F1439),"")</f>
        <v/>
      </c>
      <c r="U1439" s="152">
        <f>IFERROR(ABS(K1439-YEAR('02_대상물건입력'!B14)),"")</f>
        <v/>
      </c>
      <c r="V1439" s="152">
        <f>IF(B1439="","",IF(AND(E1439&gt;0,F1439&gt;0,H1439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1439=1,TRUE()),R1439&lt;='01_설정'!B5,S1439&lt;='01_설정'!B6,T1439&lt;='01_설정'!B7,U1439&lt;='01_설정'!B8),"Y",""))</f>
        <v/>
      </c>
      <c r="W1439" s="172">
        <f>IF(V1439&lt;&gt;"Y","",MAX(0,(1-R1439/'01_설정'!B5))*'01_설정'!B14+MAX(0,(1-S1439/'01_설정'!B6))*'01_설정'!B15+MAX(0,(1-T1439/'01_설정'!B7))*'01_설정'!B16+MAX(0,(1-U1439/'01_설정'!B8))*'01_설정'!B17+O1439*'01_설정'!B11+Q1439*'01_설정'!B12+P1439*'01_설정'!B13+IF(Z1439="",0,Z1439))</f>
        <v/>
      </c>
      <c r="X1439" s="152">
        <f>IF(W1439="","",1+COUNTIFS($W$4:$W$3003,"&gt;"&amp;W1439)+COUNTIFS($W$4:W1439,W1439)-1)</f>
        <v/>
      </c>
      <c r="Y1439" s="175">
        <f>IF(OR(I1439="",'02_대상물건입력'!B19="",'02_대상물건입력'!B19&lt;=0),"",ABS(I1439-'02_대상물건입력'!B19)/'02_대상물건입력'!B19)</f>
        <v/>
      </c>
      <c r="Z1439" s="172">
        <f>IF(OR(Y1439="",'01_설정'!B31="",'01_설정'!B31&lt;=0,'01_설정'!B32="",'01_설정'!B32&lt;=0),"",MAX(0,(1-Y1439/'01_설정'!B32))*'01_설정'!B31)</f>
        <v/>
      </c>
    </row>
    <row r="1440" ht="17.25" customHeight="1">
      <c r="A1440" s="152">
        <f>IF(INDEX('04A_국토부원자료'!$A:$A,ROW()+1)="","",ROW()-3)</f>
        <v/>
      </c>
      <c r="B1440" s="48">
        <f>IFERROR(INDEX('04A_국토부원자료'!$A:$T,ROW()+1,MATCH("시군구",'04A_국토부원자료'!$A$4:$T$4,0)),"")</f>
        <v/>
      </c>
      <c r="C1440" s="48">
        <f>IF(B1440="","",IFERROR(INDEX('04A_국토부원자료'!$A:$T,ROW()+1,MATCH("번지",'04A_국토부원자료'!$A$4:$T$4,0)),""))</f>
        <v/>
      </c>
      <c r="D1440" s="48">
        <f>IF(B1440="","",IF(Q1440=1,'02_대상물건입력'!$B$8,IFERROR(INDEX('04A_국토부원자료'!$A:$T,ROW()+1,MATCH("단지명",'04A_국토부원자료'!$A$4:$T$4,0)),"")))</f>
        <v/>
      </c>
      <c r="E1440" s="172">
        <f>IFERROR(VALUE(SUBSTITUTE(INDEX('04A_국토부원자료'!$A:$T,ROW()+1,MATCH("전용면적(㎡)",'04A_국토부원자료'!$A$4:$T$4,0)),",","")),"")</f>
        <v/>
      </c>
      <c r="F14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40" s="51">
        <f>IFERROR(VALUE(SUBSTITUTE(INDEX('04A_국토부원자료'!$A:$T,ROW()+1,MATCH("거래금액(만원)",'04A_국토부원자료'!$A$4:$T$4,0)),",","")),"")</f>
        <v/>
      </c>
      <c r="H1440" s="174">
        <f>IF(G1440="","",G1440*10000)</f>
        <v/>
      </c>
      <c r="I1440" s="174">
        <f>IFERROR(IF(AND(H1440&gt;0,E1440&gt;0),H1440/E1440,""),"")</f>
        <v/>
      </c>
      <c r="J1440" s="152">
        <f>IFERROR(VALUE(SUBSTITUTE(INDEX('04A_국토부원자료'!$A:$T,ROW()+1,MATCH("층",'04A_국토부원자료'!$A$4:$T$4,0)),",","")),"")</f>
        <v/>
      </c>
      <c r="K1440" s="152">
        <f>IFERROR(VALUE(SUBSTITUTE(INDEX('04A_국토부원자료'!$A:$T,ROW()+1,MATCH("건축년도",'04A_국토부원자료'!$A$4:$T$4,0)),",","")),"")</f>
        <v/>
      </c>
      <c r="L1440" s="176">
        <f>IFERROR(INDEX('04A_국토부원자료'!$A:$T,ROW()+1,MATCH("도로명",'04A_국토부원자료'!$A$4:$T$4,0)),"")</f>
        <v/>
      </c>
      <c r="M1440" s="48">
        <f>IFERROR(INDEX('04A_국토부원자료'!$A:$T,ROW()+1,MATCH("거래유형",'04A_국토부원자료'!$A$4:$T$4,0)),"")</f>
        <v/>
      </c>
      <c r="N1440" s="152">
        <f>IF(B1440="","",IF('02_대상물건입력'!B5="",1,IF(ISNUMBER(SEARCH('02_대상물건입력'!B5,B1440)),1,0)))</f>
        <v/>
      </c>
      <c r="O1440" s="152">
        <f>IF(B1440="","",IF('02_대상물건입력'!B6="",1,IF(ISNUMBER(SEARCH('02_대상물건입력'!B6,B1440)),1,0)))</f>
        <v/>
      </c>
      <c r="P1440" s="152">
        <f>IF(L1440="","",IF('02_대상물건입력'!B15="",0,IF(ISNUMBER(SEARCH('02_대상물건입력'!B15,L1440)),1,0)))</f>
        <v/>
      </c>
      <c r="Q1440" s="152">
        <f>IF(OR(C1440="",L1440=""),0,IF(AND(TRIM(C1440)=TRIM(RIGHT(SUBSTITUTE(TRIM('02_대상물건입력'!$B$7)," ",REPT(" ",99)),99)),IF('02_대상물건입력'!B15="",TRUE(),ISNUMBER(SEARCH('02_대상물건입력'!B15,L1440)))),1,0))</f>
        <v/>
      </c>
      <c r="R1440" s="175">
        <f>IFERROR(ABS(E1440-'02_대상물건입력'!B11)/'02_대상물건입력'!B11,"")</f>
        <v/>
      </c>
      <c r="S1440" s="152">
        <f>IFERROR(ABS(J1440-'02_대상물건입력'!B10),"")</f>
        <v/>
      </c>
      <c r="T1440" s="152">
        <f>IFERROR(ABS('01_설정'!B4-F1440),"")</f>
        <v/>
      </c>
      <c r="U1440" s="152">
        <f>IFERROR(ABS(K1440-YEAR('02_대상물건입력'!B14)),"")</f>
        <v/>
      </c>
      <c r="V1440" s="152">
        <f>IF(B1440="","",IF(AND(E1440&gt;0,F1440&gt;0,H1440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1440=1,TRUE()),R1440&lt;='01_설정'!B5,S1440&lt;='01_설정'!B6,T1440&lt;='01_설정'!B7,U1440&lt;='01_설정'!B8),"Y",""))</f>
        <v/>
      </c>
      <c r="W1440" s="172">
        <f>IF(V1440&lt;&gt;"Y","",MAX(0,(1-R1440/'01_설정'!B5))*'01_설정'!B14+MAX(0,(1-S1440/'01_설정'!B6))*'01_설정'!B15+MAX(0,(1-T1440/'01_설정'!B7))*'01_설정'!B16+MAX(0,(1-U1440/'01_설정'!B8))*'01_설정'!B17+O1440*'01_설정'!B11+Q1440*'01_설정'!B12+P1440*'01_설정'!B13+IF(Z1440="",0,Z1440))</f>
        <v/>
      </c>
      <c r="X1440" s="152">
        <f>IF(W1440="","",1+COUNTIFS($W$4:$W$3003,"&gt;"&amp;W1440)+COUNTIFS($W$4:W1440,W1440)-1)</f>
        <v/>
      </c>
      <c r="Y1440" s="175">
        <f>IF(OR(I1440="",'02_대상물건입력'!B19="",'02_대상물건입력'!B19&lt;=0),"",ABS(I1440-'02_대상물건입력'!B19)/'02_대상물건입력'!B19)</f>
        <v/>
      </c>
      <c r="Z1440" s="172">
        <f>IF(OR(Y1440="",'01_설정'!B31="",'01_설정'!B31&lt;=0,'01_설정'!B32="",'01_설정'!B32&lt;=0),"",MAX(0,(1-Y1440/'01_설정'!B32))*'01_설정'!B31)</f>
        <v/>
      </c>
    </row>
    <row r="1441" ht="17.25" customHeight="1">
      <c r="A1441" s="152">
        <f>IF(INDEX('04A_국토부원자료'!$A:$A,ROW()+1)="","",ROW()-3)</f>
        <v/>
      </c>
      <c r="B1441" s="48">
        <f>IFERROR(INDEX('04A_국토부원자료'!$A:$T,ROW()+1,MATCH("시군구",'04A_국토부원자료'!$A$4:$T$4,0)),"")</f>
        <v/>
      </c>
      <c r="C1441" s="48">
        <f>IF(B1441="","",IFERROR(INDEX('04A_국토부원자료'!$A:$T,ROW()+1,MATCH("번지",'04A_국토부원자료'!$A$4:$T$4,0)),""))</f>
        <v/>
      </c>
      <c r="D1441" s="48">
        <f>IF(B1441="","",IF(Q1441=1,'02_대상물건입력'!$B$8,IFERROR(INDEX('04A_국토부원자료'!$A:$T,ROW()+1,MATCH("단지명",'04A_국토부원자료'!$A$4:$T$4,0)),"")))</f>
        <v/>
      </c>
      <c r="E1441" s="172">
        <f>IFERROR(VALUE(SUBSTITUTE(INDEX('04A_국토부원자료'!$A:$T,ROW()+1,MATCH("전용면적(㎡)",'04A_국토부원자료'!$A$4:$T$4,0)),",","")),"")</f>
        <v/>
      </c>
      <c r="F14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41" s="51">
        <f>IFERROR(VALUE(SUBSTITUTE(INDEX('04A_국토부원자료'!$A:$T,ROW()+1,MATCH("거래금액(만원)",'04A_국토부원자료'!$A$4:$T$4,0)),",","")),"")</f>
        <v/>
      </c>
      <c r="H1441" s="174">
        <f>IF(G1441="","",G1441*10000)</f>
        <v/>
      </c>
      <c r="I1441" s="174">
        <f>IFERROR(IF(AND(H1441&gt;0,E1441&gt;0),H1441/E1441,""),"")</f>
        <v/>
      </c>
      <c r="J1441" s="152">
        <f>IFERROR(VALUE(SUBSTITUTE(INDEX('04A_국토부원자료'!$A:$T,ROW()+1,MATCH("층",'04A_국토부원자료'!$A$4:$T$4,0)),",","")),"")</f>
        <v/>
      </c>
      <c r="K1441" s="152">
        <f>IFERROR(VALUE(SUBSTITUTE(INDEX('04A_국토부원자료'!$A:$T,ROW()+1,MATCH("건축년도",'04A_국토부원자료'!$A$4:$T$4,0)),",","")),"")</f>
        <v/>
      </c>
      <c r="L1441" s="176">
        <f>IFERROR(INDEX('04A_국토부원자료'!$A:$T,ROW()+1,MATCH("도로명",'04A_국토부원자료'!$A$4:$T$4,0)),"")</f>
        <v/>
      </c>
      <c r="M1441" s="48">
        <f>IFERROR(INDEX('04A_국토부원자료'!$A:$T,ROW()+1,MATCH("거래유형",'04A_국토부원자료'!$A$4:$T$4,0)),"")</f>
        <v/>
      </c>
      <c r="N1441" s="152">
        <f>IF(B1441="","",IF('02_대상물건입력'!B5="",1,IF(ISNUMBER(SEARCH('02_대상물건입력'!B5,B1441)),1,0)))</f>
        <v/>
      </c>
      <c r="O1441" s="152">
        <f>IF(B1441="","",IF('02_대상물건입력'!B6="",1,IF(ISNUMBER(SEARCH('02_대상물건입력'!B6,B1441)),1,0)))</f>
        <v/>
      </c>
      <c r="P1441" s="152">
        <f>IF(L1441="","",IF('02_대상물건입력'!B15="",0,IF(ISNUMBER(SEARCH('02_대상물건입력'!B15,L1441)),1,0)))</f>
        <v/>
      </c>
      <c r="Q1441" s="152">
        <f>IF(OR(C1441="",L1441=""),0,IF(AND(TRIM(C1441)=TRIM(RIGHT(SUBSTITUTE(TRIM('02_대상물건입력'!$B$7)," ",REPT(" ",99)),99)),IF('02_대상물건입력'!B15="",TRUE(),ISNUMBER(SEARCH('02_대상물건입력'!B15,L1441)))),1,0))</f>
        <v/>
      </c>
      <c r="R1441" s="175">
        <f>IFERROR(ABS(E1441-'02_대상물건입력'!B11)/'02_대상물건입력'!B11,"")</f>
        <v/>
      </c>
      <c r="S1441" s="152">
        <f>IFERROR(ABS(J1441-'02_대상물건입력'!B10),"")</f>
        <v/>
      </c>
      <c r="T1441" s="152">
        <f>IFERROR(ABS('01_설정'!B4-F1441),"")</f>
        <v/>
      </c>
      <c r="U1441" s="152">
        <f>IFERROR(ABS(K1441-YEAR('02_대상물건입력'!B14)),"")</f>
        <v/>
      </c>
      <c r="V1441" s="152">
        <f>IF(B1441="","",IF(AND(E1441&gt;0,F1441&gt;0,H1441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1441=1,TRUE()),R1441&lt;='01_설정'!B5,S1441&lt;='01_설정'!B6,T1441&lt;='01_설정'!B7,U1441&lt;='01_설정'!B8),"Y",""))</f>
        <v/>
      </c>
      <c r="W1441" s="172">
        <f>IF(V1441&lt;&gt;"Y","",MAX(0,(1-R1441/'01_설정'!B5))*'01_설정'!B14+MAX(0,(1-S1441/'01_설정'!B6))*'01_설정'!B15+MAX(0,(1-T1441/'01_설정'!B7))*'01_설정'!B16+MAX(0,(1-U1441/'01_설정'!B8))*'01_설정'!B17+O1441*'01_설정'!B11+Q1441*'01_설정'!B12+P1441*'01_설정'!B13+IF(Z1441="",0,Z1441))</f>
        <v/>
      </c>
      <c r="X1441" s="152">
        <f>IF(W1441="","",1+COUNTIFS($W$4:$W$3003,"&gt;"&amp;W1441)+COUNTIFS($W$4:W1441,W1441)-1)</f>
        <v/>
      </c>
      <c r="Y1441" s="175">
        <f>IF(OR(I1441="",'02_대상물건입력'!B19="",'02_대상물건입력'!B19&lt;=0),"",ABS(I1441-'02_대상물건입력'!B19)/'02_대상물건입력'!B19)</f>
        <v/>
      </c>
      <c r="Z1441" s="172">
        <f>IF(OR(Y1441="",'01_설정'!B31="",'01_설정'!B31&lt;=0,'01_설정'!B32="",'01_설정'!B32&lt;=0),"",MAX(0,(1-Y1441/'01_설정'!B32))*'01_설정'!B31)</f>
        <v/>
      </c>
    </row>
    <row r="1442" ht="17.25" customHeight="1">
      <c r="A1442" s="152">
        <f>IF(INDEX('04A_국토부원자료'!$A:$A,ROW()+1)="","",ROW()-3)</f>
        <v/>
      </c>
      <c r="B1442" s="48">
        <f>IFERROR(INDEX('04A_국토부원자료'!$A:$T,ROW()+1,MATCH("시군구",'04A_국토부원자료'!$A$4:$T$4,0)),"")</f>
        <v/>
      </c>
      <c r="C1442" s="48">
        <f>IF(B1442="","",IFERROR(INDEX('04A_국토부원자료'!$A:$T,ROW()+1,MATCH("번지",'04A_국토부원자료'!$A$4:$T$4,0)),""))</f>
        <v/>
      </c>
      <c r="D1442" s="48">
        <f>IF(B1442="","",IF(Q1442=1,'02_대상물건입력'!$B$8,IFERROR(INDEX('04A_국토부원자료'!$A:$T,ROW()+1,MATCH("단지명",'04A_국토부원자료'!$A$4:$T$4,0)),"")))</f>
        <v/>
      </c>
      <c r="E1442" s="172">
        <f>IFERROR(VALUE(SUBSTITUTE(INDEX('04A_국토부원자료'!$A:$T,ROW()+1,MATCH("전용면적(㎡)",'04A_국토부원자료'!$A$4:$T$4,0)),",","")),"")</f>
        <v/>
      </c>
      <c r="F14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42" s="51">
        <f>IFERROR(VALUE(SUBSTITUTE(INDEX('04A_국토부원자료'!$A:$T,ROW()+1,MATCH("거래금액(만원)",'04A_국토부원자료'!$A$4:$T$4,0)),",","")),"")</f>
        <v/>
      </c>
      <c r="H1442" s="174">
        <f>IF(G1442="","",G1442*10000)</f>
        <v/>
      </c>
      <c r="I1442" s="174">
        <f>IFERROR(IF(AND(H1442&gt;0,E1442&gt;0),H1442/E1442,""),"")</f>
        <v/>
      </c>
      <c r="J1442" s="152">
        <f>IFERROR(VALUE(SUBSTITUTE(INDEX('04A_국토부원자료'!$A:$T,ROW()+1,MATCH("층",'04A_국토부원자료'!$A$4:$T$4,0)),",","")),"")</f>
        <v/>
      </c>
      <c r="K1442" s="152">
        <f>IFERROR(VALUE(SUBSTITUTE(INDEX('04A_국토부원자료'!$A:$T,ROW()+1,MATCH("건축년도",'04A_국토부원자료'!$A$4:$T$4,0)),",","")),"")</f>
        <v/>
      </c>
      <c r="L1442" s="176">
        <f>IFERROR(INDEX('04A_국토부원자료'!$A:$T,ROW()+1,MATCH("도로명",'04A_국토부원자료'!$A$4:$T$4,0)),"")</f>
        <v/>
      </c>
      <c r="M1442" s="48">
        <f>IFERROR(INDEX('04A_국토부원자료'!$A:$T,ROW()+1,MATCH("거래유형",'04A_국토부원자료'!$A$4:$T$4,0)),"")</f>
        <v/>
      </c>
      <c r="N1442" s="152">
        <f>IF(B1442="","",IF('02_대상물건입력'!B5="",1,IF(ISNUMBER(SEARCH('02_대상물건입력'!B5,B1442)),1,0)))</f>
        <v/>
      </c>
      <c r="O1442" s="152">
        <f>IF(B1442="","",IF('02_대상물건입력'!B6="",1,IF(ISNUMBER(SEARCH('02_대상물건입력'!B6,B1442)),1,0)))</f>
        <v/>
      </c>
      <c r="P1442" s="152">
        <f>IF(L1442="","",IF('02_대상물건입력'!B15="",0,IF(ISNUMBER(SEARCH('02_대상물건입력'!B15,L1442)),1,0)))</f>
        <v/>
      </c>
      <c r="Q1442" s="152">
        <f>IF(OR(C1442="",L1442=""),0,IF(AND(TRIM(C1442)=TRIM(RIGHT(SUBSTITUTE(TRIM('02_대상물건입력'!$B$7)," ",REPT(" ",99)),99)),IF('02_대상물건입력'!B15="",TRUE(),ISNUMBER(SEARCH('02_대상물건입력'!B15,L1442)))),1,0))</f>
        <v/>
      </c>
      <c r="R1442" s="175">
        <f>IFERROR(ABS(E1442-'02_대상물건입력'!B11)/'02_대상물건입력'!B11,"")</f>
        <v/>
      </c>
      <c r="S1442" s="152">
        <f>IFERROR(ABS(J1442-'02_대상물건입력'!B10),"")</f>
        <v/>
      </c>
      <c r="T1442" s="152">
        <f>IFERROR(ABS('01_설정'!B4-F1442),"")</f>
        <v/>
      </c>
      <c r="U1442" s="152">
        <f>IFERROR(ABS(K1442-YEAR('02_대상물건입력'!B14)),"")</f>
        <v/>
      </c>
      <c r="V1442" s="152">
        <f>IF(B1442="","",IF(AND(E1442&gt;0,F1442&gt;0,H1442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1442=1,TRUE()),R1442&lt;='01_설정'!B5,S1442&lt;='01_설정'!B6,T1442&lt;='01_설정'!B7,U1442&lt;='01_설정'!B8),"Y",""))</f>
        <v/>
      </c>
      <c r="W1442" s="172">
        <f>IF(V1442&lt;&gt;"Y","",MAX(0,(1-R1442/'01_설정'!B5))*'01_설정'!B14+MAX(0,(1-S1442/'01_설정'!B6))*'01_설정'!B15+MAX(0,(1-T1442/'01_설정'!B7))*'01_설정'!B16+MAX(0,(1-U1442/'01_설정'!B8))*'01_설정'!B17+O1442*'01_설정'!B11+Q1442*'01_설정'!B12+P1442*'01_설정'!B13+IF(Z1442="",0,Z1442))</f>
        <v/>
      </c>
      <c r="X1442" s="152">
        <f>IF(W1442="","",1+COUNTIFS($W$4:$W$3003,"&gt;"&amp;W1442)+COUNTIFS($W$4:W1442,W1442)-1)</f>
        <v/>
      </c>
      <c r="Y1442" s="175">
        <f>IF(OR(I1442="",'02_대상물건입력'!B19="",'02_대상물건입력'!B19&lt;=0),"",ABS(I1442-'02_대상물건입력'!B19)/'02_대상물건입력'!B19)</f>
        <v/>
      </c>
      <c r="Z1442" s="172">
        <f>IF(OR(Y1442="",'01_설정'!B31="",'01_설정'!B31&lt;=0,'01_설정'!B32="",'01_설정'!B32&lt;=0),"",MAX(0,(1-Y1442/'01_설정'!B32))*'01_설정'!B31)</f>
        <v/>
      </c>
    </row>
    <row r="1443" ht="17.25" customHeight="1">
      <c r="A1443" s="152">
        <f>IF(INDEX('04A_국토부원자료'!$A:$A,ROW()+1)="","",ROW()-3)</f>
        <v/>
      </c>
      <c r="B1443" s="48">
        <f>IFERROR(INDEX('04A_국토부원자료'!$A:$T,ROW()+1,MATCH("시군구",'04A_국토부원자료'!$A$4:$T$4,0)),"")</f>
        <v/>
      </c>
      <c r="C1443" s="48">
        <f>IF(B1443="","",IFERROR(INDEX('04A_국토부원자료'!$A:$T,ROW()+1,MATCH("번지",'04A_국토부원자료'!$A$4:$T$4,0)),""))</f>
        <v/>
      </c>
      <c r="D1443" s="48">
        <f>IF(B1443="","",IF(Q1443=1,'02_대상물건입력'!$B$8,IFERROR(INDEX('04A_국토부원자료'!$A:$T,ROW()+1,MATCH("단지명",'04A_국토부원자료'!$A$4:$T$4,0)),"")))</f>
        <v/>
      </c>
      <c r="E1443" s="172">
        <f>IFERROR(VALUE(SUBSTITUTE(INDEX('04A_국토부원자료'!$A:$T,ROW()+1,MATCH("전용면적(㎡)",'04A_국토부원자료'!$A$4:$T$4,0)),",","")),"")</f>
        <v/>
      </c>
      <c r="F14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43" s="51">
        <f>IFERROR(VALUE(SUBSTITUTE(INDEX('04A_국토부원자료'!$A:$T,ROW()+1,MATCH("거래금액(만원)",'04A_국토부원자료'!$A$4:$T$4,0)),",","")),"")</f>
        <v/>
      </c>
      <c r="H1443" s="174">
        <f>IF(G1443="","",G1443*10000)</f>
        <v/>
      </c>
      <c r="I1443" s="174">
        <f>IFERROR(IF(AND(H1443&gt;0,E1443&gt;0),H1443/E1443,""),"")</f>
        <v/>
      </c>
      <c r="J1443" s="152">
        <f>IFERROR(VALUE(SUBSTITUTE(INDEX('04A_국토부원자료'!$A:$T,ROW()+1,MATCH("층",'04A_국토부원자료'!$A$4:$T$4,0)),",","")),"")</f>
        <v/>
      </c>
      <c r="K1443" s="152">
        <f>IFERROR(VALUE(SUBSTITUTE(INDEX('04A_국토부원자료'!$A:$T,ROW()+1,MATCH("건축년도",'04A_국토부원자료'!$A$4:$T$4,0)),",","")),"")</f>
        <v/>
      </c>
      <c r="L1443" s="176">
        <f>IFERROR(INDEX('04A_국토부원자료'!$A:$T,ROW()+1,MATCH("도로명",'04A_국토부원자료'!$A$4:$T$4,0)),"")</f>
        <v/>
      </c>
      <c r="M1443" s="48">
        <f>IFERROR(INDEX('04A_국토부원자료'!$A:$T,ROW()+1,MATCH("거래유형",'04A_국토부원자료'!$A$4:$T$4,0)),"")</f>
        <v/>
      </c>
      <c r="N1443" s="152">
        <f>IF(B1443="","",IF('02_대상물건입력'!B5="",1,IF(ISNUMBER(SEARCH('02_대상물건입력'!B5,B1443)),1,0)))</f>
        <v/>
      </c>
      <c r="O1443" s="152">
        <f>IF(B1443="","",IF('02_대상물건입력'!B6="",1,IF(ISNUMBER(SEARCH('02_대상물건입력'!B6,B1443)),1,0)))</f>
        <v/>
      </c>
      <c r="P1443" s="152">
        <f>IF(L1443="","",IF('02_대상물건입력'!B15="",0,IF(ISNUMBER(SEARCH('02_대상물건입력'!B15,L1443)),1,0)))</f>
        <v/>
      </c>
      <c r="Q1443" s="152">
        <f>IF(OR(C1443="",L1443=""),0,IF(AND(TRIM(C1443)=TRIM(RIGHT(SUBSTITUTE(TRIM('02_대상물건입력'!$B$7)," ",REPT(" ",99)),99)),IF('02_대상물건입력'!B15="",TRUE(),ISNUMBER(SEARCH('02_대상물건입력'!B15,L1443)))),1,0))</f>
        <v/>
      </c>
      <c r="R1443" s="175">
        <f>IFERROR(ABS(E1443-'02_대상물건입력'!B11)/'02_대상물건입력'!B11,"")</f>
        <v/>
      </c>
      <c r="S1443" s="152">
        <f>IFERROR(ABS(J1443-'02_대상물건입력'!B10),"")</f>
        <v/>
      </c>
      <c r="T1443" s="152">
        <f>IFERROR(ABS('01_설정'!B4-F1443),"")</f>
        <v/>
      </c>
      <c r="U1443" s="152">
        <f>IFERROR(ABS(K1443-YEAR('02_대상물건입력'!B14)),"")</f>
        <v/>
      </c>
      <c r="V1443" s="152">
        <f>IF(B1443="","",IF(AND(E1443&gt;0,F1443&gt;0,H1443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1443=1,TRUE()),R1443&lt;='01_설정'!B5,S1443&lt;='01_설정'!B6,T1443&lt;='01_설정'!B7,U1443&lt;='01_설정'!B8),"Y",""))</f>
        <v/>
      </c>
      <c r="W1443" s="172">
        <f>IF(V1443&lt;&gt;"Y","",MAX(0,(1-R1443/'01_설정'!B5))*'01_설정'!B14+MAX(0,(1-S1443/'01_설정'!B6))*'01_설정'!B15+MAX(0,(1-T1443/'01_설정'!B7))*'01_설정'!B16+MAX(0,(1-U1443/'01_설정'!B8))*'01_설정'!B17+O1443*'01_설정'!B11+Q1443*'01_설정'!B12+P1443*'01_설정'!B13+IF(Z1443="",0,Z1443))</f>
        <v/>
      </c>
      <c r="X1443" s="152">
        <f>IF(W1443="","",1+COUNTIFS($W$4:$W$3003,"&gt;"&amp;W1443)+COUNTIFS($W$4:W1443,W1443)-1)</f>
        <v/>
      </c>
      <c r="Y1443" s="175">
        <f>IF(OR(I1443="",'02_대상물건입력'!B19="",'02_대상물건입력'!B19&lt;=0),"",ABS(I1443-'02_대상물건입력'!B19)/'02_대상물건입력'!B19)</f>
        <v/>
      </c>
      <c r="Z1443" s="172">
        <f>IF(OR(Y1443="",'01_설정'!B31="",'01_설정'!B31&lt;=0,'01_설정'!B32="",'01_설정'!B32&lt;=0),"",MAX(0,(1-Y1443/'01_설정'!B32))*'01_설정'!B31)</f>
        <v/>
      </c>
    </row>
    <row r="1444" ht="17.25" customHeight="1">
      <c r="A1444" s="152">
        <f>IF(INDEX('04A_국토부원자료'!$A:$A,ROW()+1)="","",ROW()-3)</f>
        <v/>
      </c>
      <c r="B1444" s="48">
        <f>IFERROR(INDEX('04A_국토부원자료'!$A:$T,ROW()+1,MATCH("시군구",'04A_국토부원자료'!$A$4:$T$4,0)),"")</f>
        <v/>
      </c>
      <c r="C1444" s="48">
        <f>IF(B1444="","",IFERROR(INDEX('04A_국토부원자료'!$A:$T,ROW()+1,MATCH("번지",'04A_국토부원자료'!$A$4:$T$4,0)),""))</f>
        <v/>
      </c>
      <c r="D1444" s="48">
        <f>IF(B1444="","",IF(Q1444=1,'02_대상물건입력'!$B$8,IFERROR(INDEX('04A_국토부원자료'!$A:$T,ROW()+1,MATCH("단지명",'04A_국토부원자료'!$A$4:$T$4,0)),"")))</f>
        <v/>
      </c>
      <c r="E1444" s="172">
        <f>IFERROR(VALUE(SUBSTITUTE(INDEX('04A_국토부원자료'!$A:$T,ROW()+1,MATCH("전용면적(㎡)",'04A_국토부원자료'!$A$4:$T$4,0)),",","")),"")</f>
        <v/>
      </c>
      <c r="F14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44" s="51">
        <f>IFERROR(VALUE(SUBSTITUTE(INDEX('04A_국토부원자료'!$A:$T,ROW()+1,MATCH("거래금액(만원)",'04A_국토부원자료'!$A$4:$T$4,0)),",","")),"")</f>
        <v/>
      </c>
      <c r="H1444" s="174">
        <f>IF(G1444="","",G1444*10000)</f>
        <v/>
      </c>
      <c r="I1444" s="174">
        <f>IFERROR(IF(AND(H1444&gt;0,E1444&gt;0),H1444/E1444,""),"")</f>
        <v/>
      </c>
      <c r="J1444" s="152">
        <f>IFERROR(VALUE(SUBSTITUTE(INDEX('04A_국토부원자료'!$A:$T,ROW()+1,MATCH("층",'04A_국토부원자료'!$A$4:$T$4,0)),",","")),"")</f>
        <v/>
      </c>
      <c r="K1444" s="152">
        <f>IFERROR(VALUE(SUBSTITUTE(INDEX('04A_국토부원자료'!$A:$T,ROW()+1,MATCH("건축년도",'04A_국토부원자료'!$A$4:$T$4,0)),",","")),"")</f>
        <v/>
      </c>
      <c r="L1444" s="176">
        <f>IFERROR(INDEX('04A_국토부원자료'!$A:$T,ROW()+1,MATCH("도로명",'04A_국토부원자료'!$A$4:$T$4,0)),"")</f>
        <v/>
      </c>
      <c r="M1444" s="48">
        <f>IFERROR(INDEX('04A_국토부원자료'!$A:$T,ROW()+1,MATCH("거래유형",'04A_국토부원자료'!$A$4:$T$4,0)),"")</f>
        <v/>
      </c>
      <c r="N1444" s="152">
        <f>IF(B1444="","",IF('02_대상물건입력'!B5="",1,IF(ISNUMBER(SEARCH('02_대상물건입력'!B5,B1444)),1,0)))</f>
        <v/>
      </c>
      <c r="O1444" s="152">
        <f>IF(B1444="","",IF('02_대상물건입력'!B6="",1,IF(ISNUMBER(SEARCH('02_대상물건입력'!B6,B1444)),1,0)))</f>
        <v/>
      </c>
      <c r="P1444" s="152">
        <f>IF(L1444="","",IF('02_대상물건입력'!B15="",0,IF(ISNUMBER(SEARCH('02_대상물건입력'!B15,L1444)),1,0)))</f>
        <v/>
      </c>
      <c r="Q1444" s="152">
        <f>IF(OR(C1444="",L1444=""),0,IF(AND(TRIM(C1444)=TRIM(RIGHT(SUBSTITUTE(TRIM('02_대상물건입력'!$B$7)," ",REPT(" ",99)),99)),IF('02_대상물건입력'!B15="",TRUE(),ISNUMBER(SEARCH('02_대상물건입력'!B15,L1444)))),1,0))</f>
        <v/>
      </c>
      <c r="R1444" s="175">
        <f>IFERROR(ABS(E1444-'02_대상물건입력'!B11)/'02_대상물건입력'!B11,"")</f>
        <v/>
      </c>
      <c r="S1444" s="152">
        <f>IFERROR(ABS(J1444-'02_대상물건입력'!B10),"")</f>
        <v/>
      </c>
      <c r="T1444" s="152">
        <f>IFERROR(ABS('01_설정'!B4-F1444),"")</f>
        <v/>
      </c>
      <c r="U1444" s="152">
        <f>IFERROR(ABS(K1444-YEAR('02_대상물건입력'!B14)),"")</f>
        <v/>
      </c>
      <c r="V1444" s="152">
        <f>IF(B1444="","",IF(AND(E1444&gt;0,F1444&gt;0,H1444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1444=1,TRUE()),R1444&lt;='01_설정'!B5,S1444&lt;='01_설정'!B6,T1444&lt;='01_설정'!B7,U1444&lt;='01_설정'!B8),"Y",""))</f>
        <v/>
      </c>
      <c r="W1444" s="172">
        <f>IF(V1444&lt;&gt;"Y","",MAX(0,(1-R1444/'01_설정'!B5))*'01_설정'!B14+MAX(0,(1-S1444/'01_설정'!B6))*'01_설정'!B15+MAX(0,(1-T1444/'01_설정'!B7))*'01_설정'!B16+MAX(0,(1-U1444/'01_설정'!B8))*'01_설정'!B17+O1444*'01_설정'!B11+Q1444*'01_설정'!B12+P1444*'01_설정'!B13+IF(Z1444="",0,Z1444))</f>
        <v/>
      </c>
      <c r="X1444" s="152">
        <f>IF(W1444="","",1+COUNTIFS($W$4:$W$3003,"&gt;"&amp;W1444)+COUNTIFS($W$4:W1444,W1444)-1)</f>
        <v/>
      </c>
      <c r="Y1444" s="175">
        <f>IF(OR(I1444="",'02_대상물건입력'!B19="",'02_대상물건입력'!B19&lt;=0),"",ABS(I1444-'02_대상물건입력'!B19)/'02_대상물건입력'!B19)</f>
        <v/>
      </c>
      <c r="Z1444" s="172">
        <f>IF(OR(Y1444="",'01_설정'!B31="",'01_설정'!B31&lt;=0,'01_설정'!B32="",'01_설정'!B32&lt;=0),"",MAX(0,(1-Y1444/'01_설정'!B32))*'01_설정'!B31)</f>
        <v/>
      </c>
    </row>
    <row r="1445" ht="17.25" customHeight="1">
      <c r="A1445" s="152">
        <f>IF(INDEX('04A_국토부원자료'!$A:$A,ROW()+1)="","",ROW()-3)</f>
        <v/>
      </c>
      <c r="B1445" s="48">
        <f>IFERROR(INDEX('04A_국토부원자료'!$A:$T,ROW()+1,MATCH("시군구",'04A_국토부원자료'!$A$4:$T$4,0)),"")</f>
        <v/>
      </c>
      <c r="C1445" s="48">
        <f>IF(B1445="","",IFERROR(INDEX('04A_국토부원자료'!$A:$T,ROW()+1,MATCH("번지",'04A_국토부원자료'!$A$4:$T$4,0)),""))</f>
        <v/>
      </c>
      <c r="D1445" s="48">
        <f>IF(B1445="","",IF(Q1445=1,'02_대상물건입력'!$B$8,IFERROR(INDEX('04A_국토부원자료'!$A:$T,ROW()+1,MATCH("단지명",'04A_국토부원자료'!$A$4:$T$4,0)),"")))</f>
        <v/>
      </c>
      <c r="E1445" s="172">
        <f>IFERROR(VALUE(SUBSTITUTE(INDEX('04A_국토부원자료'!$A:$T,ROW()+1,MATCH("전용면적(㎡)",'04A_국토부원자료'!$A$4:$T$4,0)),",","")),"")</f>
        <v/>
      </c>
      <c r="F14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45" s="51">
        <f>IFERROR(VALUE(SUBSTITUTE(INDEX('04A_국토부원자료'!$A:$T,ROW()+1,MATCH("거래금액(만원)",'04A_국토부원자료'!$A$4:$T$4,0)),",","")),"")</f>
        <v/>
      </c>
      <c r="H1445" s="174">
        <f>IF(G1445="","",G1445*10000)</f>
        <v/>
      </c>
      <c r="I1445" s="174">
        <f>IFERROR(IF(AND(H1445&gt;0,E1445&gt;0),H1445/E1445,""),"")</f>
        <v/>
      </c>
      <c r="J1445" s="152">
        <f>IFERROR(VALUE(SUBSTITUTE(INDEX('04A_국토부원자료'!$A:$T,ROW()+1,MATCH("층",'04A_국토부원자료'!$A$4:$T$4,0)),",","")),"")</f>
        <v/>
      </c>
      <c r="K1445" s="152">
        <f>IFERROR(VALUE(SUBSTITUTE(INDEX('04A_국토부원자료'!$A:$T,ROW()+1,MATCH("건축년도",'04A_국토부원자료'!$A$4:$T$4,0)),",","")),"")</f>
        <v/>
      </c>
      <c r="L1445" s="176">
        <f>IFERROR(INDEX('04A_국토부원자료'!$A:$T,ROW()+1,MATCH("도로명",'04A_국토부원자료'!$A$4:$T$4,0)),"")</f>
        <v/>
      </c>
      <c r="M1445" s="48">
        <f>IFERROR(INDEX('04A_국토부원자료'!$A:$T,ROW()+1,MATCH("거래유형",'04A_국토부원자료'!$A$4:$T$4,0)),"")</f>
        <v/>
      </c>
      <c r="N1445" s="152">
        <f>IF(B1445="","",IF('02_대상물건입력'!B5="",1,IF(ISNUMBER(SEARCH('02_대상물건입력'!B5,B1445)),1,0)))</f>
        <v/>
      </c>
      <c r="O1445" s="152">
        <f>IF(B1445="","",IF('02_대상물건입력'!B6="",1,IF(ISNUMBER(SEARCH('02_대상물건입력'!B6,B1445)),1,0)))</f>
        <v/>
      </c>
      <c r="P1445" s="152">
        <f>IF(L1445="","",IF('02_대상물건입력'!B15="",0,IF(ISNUMBER(SEARCH('02_대상물건입력'!B15,L1445)),1,0)))</f>
        <v/>
      </c>
      <c r="Q1445" s="152">
        <f>IF(OR(C1445="",L1445=""),0,IF(AND(TRIM(C1445)=TRIM(RIGHT(SUBSTITUTE(TRIM('02_대상물건입력'!$B$7)," ",REPT(" ",99)),99)),IF('02_대상물건입력'!B15="",TRUE(),ISNUMBER(SEARCH('02_대상물건입력'!B15,L1445)))),1,0))</f>
        <v/>
      </c>
      <c r="R1445" s="175">
        <f>IFERROR(ABS(E1445-'02_대상물건입력'!B11)/'02_대상물건입력'!B11,"")</f>
        <v/>
      </c>
      <c r="S1445" s="152">
        <f>IFERROR(ABS(J1445-'02_대상물건입력'!B10),"")</f>
        <v/>
      </c>
      <c r="T1445" s="152">
        <f>IFERROR(ABS('01_설정'!B4-F1445),"")</f>
        <v/>
      </c>
      <c r="U1445" s="152">
        <f>IFERROR(ABS(K1445-YEAR('02_대상물건입력'!B14)),"")</f>
        <v/>
      </c>
      <c r="V1445" s="152">
        <f>IF(B1445="","",IF(AND(E1445&gt;0,F1445&gt;0,H1445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1445=1,TRUE()),R1445&lt;='01_설정'!B5,S1445&lt;='01_설정'!B6,T1445&lt;='01_설정'!B7,U1445&lt;='01_설정'!B8),"Y",""))</f>
        <v/>
      </c>
      <c r="W1445" s="172">
        <f>IF(V1445&lt;&gt;"Y","",MAX(0,(1-R1445/'01_설정'!B5))*'01_설정'!B14+MAX(0,(1-S1445/'01_설정'!B6))*'01_설정'!B15+MAX(0,(1-T1445/'01_설정'!B7))*'01_설정'!B16+MAX(0,(1-U1445/'01_설정'!B8))*'01_설정'!B17+O1445*'01_설정'!B11+Q1445*'01_설정'!B12+P1445*'01_설정'!B13+IF(Z1445="",0,Z1445))</f>
        <v/>
      </c>
      <c r="X1445" s="152">
        <f>IF(W1445="","",1+COUNTIFS($W$4:$W$3003,"&gt;"&amp;W1445)+COUNTIFS($W$4:W1445,W1445)-1)</f>
        <v/>
      </c>
      <c r="Y1445" s="175">
        <f>IF(OR(I1445="",'02_대상물건입력'!B19="",'02_대상물건입력'!B19&lt;=0),"",ABS(I1445-'02_대상물건입력'!B19)/'02_대상물건입력'!B19)</f>
        <v/>
      </c>
      <c r="Z1445" s="172">
        <f>IF(OR(Y1445="",'01_설정'!B31="",'01_설정'!B31&lt;=0,'01_설정'!B32="",'01_설정'!B32&lt;=0),"",MAX(0,(1-Y1445/'01_설정'!B32))*'01_설정'!B31)</f>
        <v/>
      </c>
    </row>
    <row r="1446" ht="17.25" customHeight="1">
      <c r="A1446" s="152">
        <f>IF(INDEX('04A_국토부원자료'!$A:$A,ROW()+1)="","",ROW()-3)</f>
        <v/>
      </c>
      <c r="B1446" s="48">
        <f>IFERROR(INDEX('04A_국토부원자료'!$A:$T,ROW()+1,MATCH("시군구",'04A_국토부원자료'!$A$4:$T$4,0)),"")</f>
        <v/>
      </c>
      <c r="C1446" s="48">
        <f>IF(B1446="","",IFERROR(INDEX('04A_국토부원자료'!$A:$T,ROW()+1,MATCH("번지",'04A_국토부원자료'!$A$4:$T$4,0)),""))</f>
        <v/>
      </c>
      <c r="D1446" s="48">
        <f>IF(B1446="","",IF(Q1446=1,'02_대상물건입력'!$B$8,IFERROR(INDEX('04A_국토부원자료'!$A:$T,ROW()+1,MATCH("단지명",'04A_국토부원자료'!$A$4:$T$4,0)),"")))</f>
        <v/>
      </c>
      <c r="E1446" s="172">
        <f>IFERROR(VALUE(SUBSTITUTE(INDEX('04A_국토부원자료'!$A:$T,ROW()+1,MATCH("전용면적(㎡)",'04A_국토부원자료'!$A$4:$T$4,0)),",","")),"")</f>
        <v/>
      </c>
      <c r="F14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46" s="51">
        <f>IFERROR(VALUE(SUBSTITUTE(INDEX('04A_국토부원자료'!$A:$T,ROW()+1,MATCH("거래금액(만원)",'04A_국토부원자료'!$A$4:$T$4,0)),",","")),"")</f>
        <v/>
      </c>
      <c r="H1446" s="174">
        <f>IF(G1446="","",G1446*10000)</f>
        <v/>
      </c>
      <c r="I1446" s="174">
        <f>IFERROR(IF(AND(H1446&gt;0,E1446&gt;0),H1446/E1446,""),"")</f>
        <v/>
      </c>
      <c r="J1446" s="152">
        <f>IFERROR(VALUE(SUBSTITUTE(INDEX('04A_국토부원자료'!$A:$T,ROW()+1,MATCH("층",'04A_국토부원자료'!$A$4:$T$4,0)),",","")),"")</f>
        <v/>
      </c>
      <c r="K1446" s="152">
        <f>IFERROR(VALUE(SUBSTITUTE(INDEX('04A_국토부원자료'!$A:$T,ROW()+1,MATCH("건축년도",'04A_국토부원자료'!$A$4:$T$4,0)),",","")),"")</f>
        <v/>
      </c>
      <c r="L1446" s="176">
        <f>IFERROR(INDEX('04A_국토부원자료'!$A:$T,ROW()+1,MATCH("도로명",'04A_국토부원자료'!$A$4:$T$4,0)),"")</f>
        <v/>
      </c>
      <c r="M1446" s="48">
        <f>IFERROR(INDEX('04A_국토부원자료'!$A:$T,ROW()+1,MATCH("거래유형",'04A_국토부원자료'!$A$4:$T$4,0)),"")</f>
        <v/>
      </c>
      <c r="N1446" s="152">
        <f>IF(B1446="","",IF('02_대상물건입력'!B5="",1,IF(ISNUMBER(SEARCH('02_대상물건입력'!B5,B1446)),1,0)))</f>
        <v/>
      </c>
      <c r="O1446" s="152">
        <f>IF(B1446="","",IF('02_대상물건입력'!B6="",1,IF(ISNUMBER(SEARCH('02_대상물건입력'!B6,B1446)),1,0)))</f>
        <v/>
      </c>
      <c r="P1446" s="152">
        <f>IF(L1446="","",IF('02_대상물건입력'!B15="",0,IF(ISNUMBER(SEARCH('02_대상물건입력'!B15,L1446)),1,0)))</f>
        <v/>
      </c>
      <c r="Q1446" s="152">
        <f>IF(OR(C1446="",L1446=""),0,IF(AND(TRIM(C1446)=TRIM(RIGHT(SUBSTITUTE(TRIM('02_대상물건입력'!$B$7)," ",REPT(" ",99)),99)),IF('02_대상물건입력'!B15="",TRUE(),ISNUMBER(SEARCH('02_대상물건입력'!B15,L1446)))),1,0))</f>
        <v/>
      </c>
      <c r="R1446" s="175">
        <f>IFERROR(ABS(E1446-'02_대상물건입력'!B11)/'02_대상물건입력'!B11,"")</f>
        <v/>
      </c>
      <c r="S1446" s="152">
        <f>IFERROR(ABS(J1446-'02_대상물건입력'!B10),"")</f>
        <v/>
      </c>
      <c r="T1446" s="152">
        <f>IFERROR(ABS('01_설정'!B4-F1446),"")</f>
        <v/>
      </c>
      <c r="U1446" s="152">
        <f>IFERROR(ABS(K1446-YEAR('02_대상물건입력'!B14)),"")</f>
        <v/>
      </c>
      <c r="V1446" s="152">
        <f>IF(B1446="","",IF(AND(E1446&gt;0,F1446&gt;0,H1446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1446=1,TRUE()),R1446&lt;='01_설정'!B5,S1446&lt;='01_설정'!B6,T1446&lt;='01_설정'!B7,U1446&lt;='01_설정'!B8),"Y",""))</f>
        <v/>
      </c>
      <c r="W1446" s="172">
        <f>IF(V1446&lt;&gt;"Y","",MAX(0,(1-R1446/'01_설정'!B5))*'01_설정'!B14+MAX(0,(1-S1446/'01_설정'!B6))*'01_설정'!B15+MAX(0,(1-T1446/'01_설정'!B7))*'01_설정'!B16+MAX(0,(1-U1446/'01_설정'!B8))*'01_설정'!B17+O1446*'01_설정'!B11+Q1446*'01_설정'!B12+P1446*'01_설정'!B13+IF(Z1446="",0,Z1446))</f>
        <v/>
      </c>
      <c r="X1446" s="152">
        <f>IF(W1446="","",1+COUNTIFS($W$4:$W$3003,"&gt;"&amp;W1446)+COUNTIFS($W$4:W1446,W1446)-1)</f>
        <v/>
      </c>
      <c r="Y1446" s="175">
        <f>IF(OR(I1446="",'02_대상물건입력'!B19="",'02_대상물건입력'!B19&lt;=0),"",ABS(I1446-'02_대상물건입력'!B19)/'02_대상물건입력'!B19)</f>
        <v/>
      </c>
      <c r="Z1446" s="172">
        <f>IF(OR(Y1446="",'01_설정'!B31="",'01_설정'!B31&lt;=0,'01_설정'!B32="",'01_설정'!B32&lt;=0),"",MAX(0,(1-Y1446/'01_설정'!B32))*'01_설정'!B31)</f>
        <v/>
      </c>
    </row>
    <row r="1447" ht="17.25" customHeight="1">
      <c r="A1447" s="152">
        <f>IF(INDEX('04A_국토부원자료'!$A:$A,ROW()+1)="","",ROW()-3)</f>
        <v/>
      </c>
      <c r="B1447" s="48">
        <f>IFERROR(INDEX('04A_국토부원자료'!$A:$T,ROW()+1,MATCH("시군구",'04A_국토부원자료'!$A$4:$T$4,0)),"")</f>
        <v/>
      </c>
      <c r="C1447" s="48">
        <f>IF(B1447="","",IFERROR(INDEX('04A_국토부원자료'!$A:$T,ROW()+1,MATCH("번지",'04A_국토부원자료'!$A$4:$T$4,0)),""))</f>
        <v/>
      </c>
      <c r="D1447" s="48">
        <f>IF(B1447="","",IF(Q1447=1,'02_대상물건입력'!$B$8,IFERROR(INDEX('04A_국토부원자료'!$A:$T,ROW()+1,MATCH("단지명",'04A_국토부원자료'!$A$4:$T$4,0)),"")))</f>
        <v/>
      </c>
      <c r="E1447" s="172">
        <f>IFERROR(VALUE(SUBSTITUTE(INDEX('04A_국토부원자료'!$A:$T,ROW()+1,MATCH("전용면적(㎡)",'04A_국토부원자료'!$A$4:$T$4,0)),",","")),"")</f>
        <v/>
      </c>
      <c r="F14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47" s="51">
        <f>IFERROR(VALUE(SUBSTITUTE(INDEX('04A_국토부원자료'!$A:$T,ROW()+1,MATCH("거래금액(만원)",'04A_국토부원자료'!$A$4:$T$4,0)),",","")),"")</f>
        <v/>
      </c>
      <c r="H1447" s="174">
        <f>IF(G1447="","",G1447*10000)</f>
        <v/>
      </c>
      <c r="I1447" s="174">
        <f>IFERROR(IF(AND(H1447&gt;0,E1447&gt;0),H1447/E1447,""),"")</f>
        <v/>
      </c>
      <c r="J1447" s="152">
        <f>IFERROR(VALUE(SUBSTITUTE(INDEX('04A_국토부원자료'!$A:$T,ROW()+1,MATCH("층",'04A_국토부원자료'!$A$4:$T$4,0)),",","")),"")</f>
        <v/>
      </c>
      <c r="K1447" s="152">
        <f>IFERROR(VALUE(SUBSTITUTE(INDEX('04A_국토부원자료'!$A:$T,ROW()+1,MATCH("건축년도",'04A_국토부원자료'!$A$4:$T$4,0)),",","")),"")</f>
        <v/>
      </c>
      <c r="L1447" s="176">
        <f>IFERROR(INDEX('04A_국토부원자료'!$A:$T,ROW()+1,MATCH("도로명",'04A_국토부원자료'!$A$4:$T$4,0)),"")</f>
        <v/>
      </c>
      <c r="M1447" s="48">
        <f>IFERROR(INDEX('04A_국토부원자료'!$A:$T,ROW()+1,MATCH("거래유형",'04A_국토부원자료'!$A$4:$T$4,0)),"")</f>
        <v/>
      </c>
      <c r="N1447" s="152">
        <f>IF(B1447="","",IF('02_대상물건입력'!B5="",1,IF(ISNUMBER(SEARCH('02_대상물건입력'!B5,B1447)),1,0)))</f>
        <v/>
      </c>
      <c r="O1447" s="152">
        <f>IF(B1447="","",IF('02_대상물건입력'!B6="",1,IF(ISNUMBER(SEARCH('02_대상물건입력'!B6,B1447)),1,0)))</f>
        <v/>
      </c>
      <c r="P1447" s="152">
        <f>IF(L1447="","",IF('02_대상물건입력'!B15="",0,IF(ISNUMBER(SEARCH('02_대상물건입력'!B15,L1447)),1,0)))</f>
        <v/>
      </c>
      <c r="Q1447" s="152">
        <f>IF(OR(C1447="",L1447=""),0,IF(AND(TRIM(C1447)=TRIM(RIGHT(SUBSTITUTE(TRIM('02_대상물건입력'!$B$7)," ",REPT(" ",99)),99)),IF('02_대상물건입력'!B15="",TRUE(),ISNUMBER(SEARCH('02_대상물건입력'!B15,L1447)))),1,0))</f>
        <v/>
      </c>
      <c r="R1447" s="175">
        <f>IFERROR(ABS(E1447-'02_대상물건입력'!B11)/'02_대상물건입력'!B11,"")</f>
        <v/>
      </c>
      <c r="S1447" s="152">
        <f>IFERROR(ABS(J1447-'02_대상물건입력'!B10),"")</f>
        <v/>
      </c>
      <c r="T1447" s="152">
        <f>IFERROR(ABS('01_설정'!B4-F1447),"")</f>
        <v/>
      </c>
      <c r="U1447" s="152">
        <f>IFERROR(ABS(K1447-YEAR('02_대상물건입력'!B14)),"")</f>
        <v/>
      </c>
      <c r="V1447" s="152">
        <f>IF(B1447="","",IF(AND(E1447&gt;0,F1447&gt;0,H1447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1447=1,TRUE()),R1447&lt;='01_설정'!B5,S1447&lt;='01_설정'!B6,T1447&lt;='01_설정'!B7,U1447&lt;='01_설정'!B8),"Y",""))</f>
        <v/>
      </c>
      <c r="W1447" s="172">
        <f>IF(V1447&lt;&gt;"Y","",MAX(0,(1-R1447/'01_설정'!B5))*'01_설정'!B14+MAX(0,(1-S1447/'01_설정'!B6))*'01_설정'!B15+MAX(0,(1-T1447/'01_설정'!B7))*'01_설정'!B16+MAX(0,(1-U1447/'01_설정'!B8))*'01_설정'!B17+O1447*'01_설정'!B11+Q1447*'01_설정'!B12+P1447*'01_설정'!B13+IF(Z1447="",0,Z1447))</f>
        <v/>
      </c>
      <c r="X1447" s="152">
        <f>IF(W1447="","",1+COUNTIFS($W$4:$W$3003,"&gt;"&amp;W1447)+COUNTIFS($W$4:W1447,W1447)-1)</f>
        <v/>
      </c>
      <c r="Y1447" s="175">
        <f>IF(OR(I1447="",'02_대상물건입력'!B19="",'02_대상물건입력'!B19&lt;=0),"",ABS(I1447-'02_대상물건입력'!B19)/'02_대상물건입력'!B19)</f>
        <v/>
      </c>
      <c r="Z1447" s="172">
        <f>IF(OR(Y1447="",'01_설정'!B31="",'01_설정'!B31&lt;=0,'01_설정'!B32="",'01_설정'!B32&lt;=0),"",MAX(0,(1-Y1447/'01_설정'!B32))*'01_설정'!B31)</f>
        <v/>
      </c>
    </row>
    <row r="1448" ht="17.25" customHeight="1">
      <c r="A1448" s="152">
        <f>IF(INDEX('04A_국토부원자료'!$A:$A,ROW()+1)="","",ROW()-3)</f>
        <v/>
      </c>
      <c r="B1448" s="48">
        <f>IFERROR(INDEX('04A_국토부원자료'!$A:$T,ROW()+1,MATCH("시군구",'04A_국토부원자료'!$A$4:$T$4,0)),"")</f>
        <v/>
      </c>
      <c r="C1448" s="48">
        <f>IF(B1448="","",IFERROR(INDEX('04A_국토부원자료'!$A:$T,ROW()+1,MATCH("번지",'04A_국토부원자료'!$A$4:$T$4,0)),""))</f>
        <v/>
      </c>
      <c r="D1448" s="48">
        <f>IF(B1448="","",IF(Q1448=1,'02_대상물건입력'!$B$8,IFERROR(INDEX('04A_국토부원자료'!$A:$T,ROW()+1,MATCH("단지명",'04A_국토부원자료'!$A$4:$T$4,0)),"")))</f>
        <v/>
      </c>
      <c r="E1448" s="172">
        <f>IFERROR(VALUE(SUBSTITUTE(INDEX('04A_국토부원자료'!$A:$T,ROW()+1,MATCH("전용면적(㎡)",'04A_국토부원자료'!$A$4:$T$4,0)),",","")),"")</f>
        <v/>
      </c>
      <c r="F14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48" s="51">
        <f>IFERROR(VALUE(SUBSTITUTE(INDEX('04A_국토부원자료'!$A:$T,ROW()+1,MATCH("거래금액(만원)",'04A_국토부원자료'!$A$4:$T$4,0)),",","")),"")</f>
        <v/>
      </c>
      <c r="H1448" s="174">
        <f>IF(G1448="","",G1448*10000)</f>
        <v/>
      </c>
      <c r="I1448" s="174">
        <f>IFERROR(IF(AND(H1448&gt;0,E1448&gt;0),H1448/E1448,""),"")</f>
        <v/>
      </c>
      <c r="J1448" s="152">
        <f>IFERROR(VALUE(SUBSTITUTE(INDEX('04A_국토부원자료'!$A:$T,ROW()+1,MATCH("층",'04A_국토부원자료'!$A$4:$T$4,0)),",","")),"")</f>
        <v/>
      </c>
      <c r="K1448" s="152">
        <f>IFERROR(VALUE(SUBSTITUTE(INDEX('04A_국토부원자료'!$A:$T,ROW()+1,MATCH("건축년도",'04A_국토부원자료'!$A$4:$T$4,0)),",","")),"")</f>
        <v/>
      </c>
      <c r="L1448" s="176">
        <f>IFERROR(INDEX('04A_국토부원자료'!$A:$T,ROW()+1,MATCH("도로명",'04A_국토부원자료'!$A$4:$T$4,0)),"")</f>
        <v/>
      </c>
      <c r="M1448" s="48">
        <f>IFERROR(INDEX('04A_국토부원자료'!$A:$T,ROW()+1,MATCH("거래유형",'04A_국토부원자료'!$A$4:$T$4,0)),"")</f>
        <v/>
      </c>
      <c r="N1448" s="152">
        <f>IF(B1448="","",IF('02_대상물건입력'!B5="",1,IF(ISNUMBER(SEARCH('02_대상물건입력'!B5,B1448)),1,0)))</f>
        <v/>
      </c>
      <c r="O1448" s="152">
        <f>IF(B1448="","",IF('02_대상물건입력'!B6="",1,IF(ISNUMBER(SEARCH('02_대상물건입력'!B6,B1448)),1,0)))</f>
        <v/>
      </c>
      <c r="P1448" s="152">
        <f>IF(L1448="","",IF('02_대상물건입력'!B15="",0,IF(ISNUMBER(SEARCH('02_대상물건입력'!B15,L1448)),1,0)))</f>
        <v/>
      </c>
      <c r="Q1448" s="152">
        <f>IF(OR(C1448="",L1448=""),0,IF(AND(TRIM(C1448)=TRIM(RIGHT(SUBSTITUTE(TRIM('02_대상물건입력'!$B$7)," ",REPT(" ",99)),99)),IF('02_대상물건입력'!B15="",TRUE(),ISNUMBER(SEARCH('02_대상물건입력'!B15,L1448)))),1,0))</f>
        <v/>
      </c>
      <c r="R1448" s="175">
        <f>IFERROR(ABS(E1448-'02_대상물건입력'!B11)/'02_대상물건입력'!B11,"")</f>
        <v/>
      </c>
      <c r="S1448" s="152">
        <f>IFERROR(ABS(J1448-'02_대상물건입력'!B10),"")</f>
        <v/>
      </c>
      <c r="T1448" s="152">
        <f>IFERROR(ABS('01_설정'!B4-F1448),"")</f>
        <v/>
      </c>
      <c r="U1448" s="152">
        <f>IFERROR(ABS(K1448-YEAR('02_대상물건입력'!B14)),"")</f>
        <v/>
      </c>
      <c r="V1448" s="152">
        <f>IF(B1448="","",IF(AND(E1448&gt;0,F1448&gt;0,H1448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1448=1,TRUE()),R1448&lt;='01_설정'!B5,S1448&lt;='01_설정'!B6,T1448&lt;='01_설정'!B7,U1448&lt;='01_설정'!B8),"Y",""))</f>
        <v/>
      </c>
      <c r="W1448" s="172">
        <f>IF(V1448&lt;&gt;"Y","",MAX(0,(1-R1448/'01_설정'!B5))*'01_설정'!B14+MAX(0,(1-S1448/'01_설정'!B6))*'01_설정'!B15+MAX(0,(1-T1448/'01_설정'!B7))*'01_설정'!B16+MAX(0,(1-U1448/'01_설정'!B8))*'01_설정'!B17+O1448*'01_설정'!B11+Q1448*'01_설정'!B12+P1448*'01_설정'!B13+IF(Z1448="",0,Z1448))</f>
        <v/>
      </c>
      <c r="X1448" s="152">
        <f>IF(W1448="","",1+COUNTIFS($W$4:$W$3003,"&gt;"&amp;W1448)+COUNTIFS($W$4:W1448,W1448)-1)</f>
        <v/>
      </c>
      <c r="Y1448" s="175">
        <f>IF(OR(I1448="",'02_대상물건입력'!B19="",'02_대상물건입력'!B19&lt;=0),"",ABS(I1448-'02_대상물건입력'!B19)/'02_대상물건입력'!B19)</f>
        <v/>
      </c>
      <c r="Z1448" s="172">
        <f>IF(OR(Y1448="",'01_설정'!B31="",'01_설정'!B31&lt;=0,'01_설정'!B32="",'01_설정'!B32&lt;=0),"",MAX(0,(1-Y1448/'01_설정'!B32))*'01_설정'!B31)</f>
        <v/>
      </c>
    </row>
    <row r="1449" ht="17.25" customHeight="1">
      <c r="A1449" s="152">
        <f>IF(INDEX('04A_국토부원자료'!$A:$A,ROW()+1)="","",ROW()-3)</f>
        <v/>
      </c>
      <c r="B1449" s="48">
        <f>IFERROR(INDEX('04A_국토부원자료'!$A:$T,ROW()+1,MATCH("시군구",'04A_국토부원자료'!$A$4:$T$4,0)),"")</f>
        <v/>
      </c>
      <c r="C1449" s="48">
        <f>IF(B1449="","",IFERROR(INDEX('04A_국토부원자료'!$A:$T,ROW()+1,MATCH("번지",'04A_국토부원자료'!$A$4:$T$4,0)),""))</f>
        <v/>
      </c>
      <c r="D1449" s="48">
        <f>IF(B1449="","",IF(Q1449=1,'02_대상물건입력'!$B$8,IFERROR(INDEX('04A_국토부원자료'!$A:$T,ROW()+1,MATCH("단지명",'04A_국토부원자료'!$A$4:$T$4,0)),"")))</f>
        <v/>
      </c>
      <c r="E1449" s="172">
        <f>IFERROR(VALUE(SUBSTITUTE(INDEX('04A_국토부원자료'!$A:$T,ROW()+1,MATCH("전용면적(㎡)",'04A_국토부원자료'!$A$4:$T$4,0)),",","")),"")</f>
        <v/>
      </c>
      <c r="F14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49" s="51">
        <f>IFERROR(VALUE(SUBSTITUTE(INDEX('04A_국토부원자료'!$A:$T,ROW()+1,MATCH("거래금액(만원)",'04A_국토부원자료'!$A$4:$T$4,0)),",","")),"")</f>
        <v/>
      </c>
      <c r="H1449" s="174">
        <f>IF(G1449="","",G1449*10000)</f>
        <v/>
      </c>
      <c r="I1449" s="174">
        <f>IFERROR(IF(AND(H1449&gt;0,E1449&gt;0),H1449/E1449,""),"")</f>
        <v/>
      </c>
      <c r="J1449" s="152">
        <f>IFERROR(VALUE(SUBSTITUTE(INDEX('04A_국토부원자료'!$A:$T,ROW()+1,MATCH("층",'04A_국토부원자료'!$A$4:$T$4,0)),",","")),"")</f>
        <v/>
      </c>
      <c r="K1449" s="152">
        <f>IFERROR(VALUE(SUBSTITUTE(INDEX('04A_국토부원자료'!$A:$T,ROW()+1,MATCH("건축년도",'04A_국토부원자료'!$A$4:$T$4,0)),",","")),"")</f>
        <v/>
      </c>
      <c r="L1449" s="176">
        <f>IFERROR(INDEX('04A_국토부원자료'!$A:$T,ROW()+1,MATCH("도로명",'04A_국토부원자료'!$A$4:$T$4,0)),"")</f>
        <v/>
      </c>
      <c r="M1449" s="48">
        <f>IFERROR(INDEX('04A_국토부원자료'!$A:$T,ROW()+1,MATCH("거래유형",'04A_국토부원자료'!$A$4:$T$4,0)),"")</f>
        <v/>
      </c>
      <c r="N1449" s="152">
        <f>IF(B1449="","",IF('02_대상물건입력'!B5="",1,IF(ISNUMBER(SEARCH('02_대상물건입력'!B5,B1449)),1,0)))</f>
        <v/>
      </c>
      <c r="O1449" s="152">
        <f>IF(B1449="","",IF('02_대상물건입력'!B6="",1,IF(ISNUMBER(SEARCH('02_대상물건입력'!B6,B1449)),1,0)))</f>
        <v/>
      </c>
      <c r="P1449" s="152">
        <f>IF(L1449="","",IF('02_대상물건입력'!B15="",0,IF(ISNUMBER(SEARCH('02_대상물건입력'!B15,L1449)),1,0)))</f>
        <v/>
      </c>
      <c r="Q1449" s="152">
        <f>IF(OR(C1449="",L1449=""),0,IF(AND(TRIM(C1449)=TRIM(RIGHT(SUBSTITUTE(TRIM('02_대상물건입력'!$B$7)," ",REPT(" ",99)),99)),IF('02_대상물건입력'!B15="",TRUE(),ISNUMBER(SEARCH('02_대상물건입력'!B15,L1449)))),1,0))</f>
        <v/>
      </c>
      <c r="R1449" s="175">
        <f>IFERROR(ABS(E1449-'02_대상물건입력'!B11)/'02_대상물건입력'!B11,"")</f>
        <v/>
      </c>
      <c r="S1449" s="152">
        <f>IFERROR(ABS(J1449-'02_대상물건입력'!B10),"")</f>
        <v/>
      </c>
      <c r="T1449" s="152">
        <f>IFERROR(ABS('01_설정'!B4-F1449),"")</f>
        <v/>
      </c>
      <c r="U1449" s="152">
        <f>IFERROR(ABS(K1449-YEAR('02_대상물건입력'!B14)),"")</f>
        <v/>
      </c>
      <c r="V1449" s="152">
        <f>IF(B1449="","",IF(AND(E1449&gt;0,F1449&gt;0,H1449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1449=1,TRUE()),R1449&lt;='01_설정'!B5,S1449&lt;='01_설정'!B6,T1449&lt;='01_설정'!B7,U1449&lt;='01_설정'!B8),"Y",""))</f>
        <v/>
      </c>
      <c r="W1449" s="172">
        <f>IF(V1449&lt;&gt;"Y","",MAX(0,(1-R1449/'01_설정'!B5))*'01_설정'!B14+MAX(0,(1-S1449/'01_설정'!B6))*'01_설정'!B15+MAX(0,(1-T1449/'01_설정'!B7))*'01_설정'!B16+MAX(0,(1-U1449/'01_설정'!B8))*'01_설정'!B17+O1449*'01_설정'!B11+Q1449*'01_설정'!B12+P1449*'01_설정'!B13+IF(Z1449="",0,Z1449))</f>
        <v/>
      </c>
      <c r="X1449" s="152">
        <f>IF(W1449="","",1+COUNTIFS($W$4:$W$3003,"&gt;"&amp;W1449)+COUNTIFS($W$4:W1449,W1449)-1)</f>
        <v/>
      </c>
      <c r="Y1449" s="175">
        <f>IF(OR(I1449="",'02_대상물건입력'!B19="",'02_대상물건입력'!B19&lt;=0),"",ABS(I1449-'02_대상물건입력'!B19)/'02_대상물건입력'!B19)</f>
        <v/>
      </c>
      <c r="Z1449" s="172">
        <f>IF(OR(Y1449="",'01_설정'!B31="",'01_설정'!B31&lt;=0,'01_설정'!B32="",'01_설정'!B32&lt;=0),"",MAX(0,(1-Y1449/'01_설정'!B32))*'01_설정'!B31)</f>
        <v/>
      </c>
    </row>
    <row r="1450" ht="17.25" customHeight="1">
      <c r="A1450" s="152">
        <f>IF(INDEX('04A_국토부원자료'!$A:$A,ROW()+1)="","",ROW()-3)</f>
        <v/>
      </c>
      <c r="B1450" s="48">
        <f>IFERROR(INDEX('04A_국토부원자료'!$A:$T,ROW()+1,MATCH("시군구",'04A_국토부원자료'!$A$4:$T$4,0)),"")</f>
        <v/>
      </c>
      <c r="C1450" s="48">
        <f>IF(B1450="","",IFERROR(INDEX('04A_국토부원자료'!$A:$T,ROW()+1,MATCH("번지",'04A_국토부원자료'!$A$4:$T$4,0)),""))</f>
        <v/>
      </c>
      <c r="D1450" s="48">
        <f>IF(B1450="","",IF(Q1450=1,'02_대상물건입력'!$B$8,IFERROR(INDEX('04A_국토부원자료'!$A:$T,ROW()+1,MATCH("단지명",'04A_국토부원자료'!$A$4:$T$4,0)),"")))</f>
        <v/>
      </c>
      <c r="E1450" s="172">
        <f>IFERROR(VALUE(SUBSTITUTE(INDEX('04A_국토부원자료'!$A:$T,ROW()+1,MATCH("전용면적(㎡)",'04A_국토부원자료'!$A$4:$T$4,0)),",","")),"")</f>
        <v/>
      </c>
      <c r="F14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50" s="51">
        <f>IFERROR(VALUE(SUBSTITUTE(INDEX('04A_국토부원자료'!$A:$T,ROW()+1,MATCH("거래금액(만원)",'04A_국토부원자료'!$A$4:$T$4,0)),",","")),"")</f>
        <v/>
      </c>
      <c r="H1450" s="174">
        <f>IF(G1450="","",G1450*10000)</f>
        <v/>
      </c>
      <c r="I1450" s="174">
        <f>IFERROR(IF(AND(H1450&gt;0,E1450&gt;0),H1450/E1450,""),"")</f>
        <v/>
      </c>
      <c r="J1450" s="152">
        <f>IFERROR(VALUE(SUBSTITUTE(INDEX('04A_국토부원자료'!$A:$T,ROW()+1,MATCH("층",'04A_국토부원자료'!$A$4:$T$4,0)),",","")),"")</f>
        <v/>
      </c>
      <c r="K1450" s="152">
        <f>IFERROR(VALUE(SUBSTITUTE(INDEX('04A_국토부원자료'!$A:$T,ROW()+1,MATCH("건축년도",'04A_국토부원자료'!$A$4:$T$4,0)),",","")),"")</f>
        <v/>
      </c>
      <c r="L1450" s="176">
        <f>IFERROR(INDEX('04A_국토부원자료'!$A:$T,ROW()+1,MATCH("도로명",'04A_국토부원자료'!$A$4:$T$4,0)),"")</f>
        <v/>
      </c>
      <c r="M1450" s="48">
        <f>IFERROR(INDEX('04A_국토부원자료'!$A:$T,ROW()+1,MATCH("거래유형",'04A_국토부원자료'!$A$4:$T$4,0)),"")</f>
        <v/>
      </c>
      <c r="N1450" s="152">
        <f>IF(B1450="","",IF('02_대상물건입력'!B5="",1,IF(ISNUMBER(SEARCH('02_대상물건입력'!B5,B1450)),1,0)))</f>
        <v/>
      </c>
      <c r="O1450" s="152">
        <f>IF(B1450="","",IF('02_대상물건입력'!B6="",1,IF(ISNUMBER(SEARCH('02_대상물건입력'!B6,B1450)),1,0)))</f>
        <v/>
      </c>
      <c r="P1450" s="152">
        <f>IF(L1450="","",IF('02_대상물건입력'!B15="",0,IF(ISNUMBER(SEARCH('02_대상물건입력'!B15,L1450)),1,0)))</f>
        <v/>
      </c>
      <c r="Q1450" s="152">
        <f>IF(OR(C1450="",L1450=""),0,IF(AND(TRIM(C1450)=TRIM(RIGHT(SUBSTITUTE(TRIM('02_대상물건입력'!$B$7)," ",REPT(" ",99)),99)),IF('02_대상물건입력'!B15="",TRUE(),ISNUMBER(SEARCH('02_대상물건입력'!B15,L1450)))),1,0))</f>
        <v/>
      </c>
      <c r="R1450" s="175">
        <f>IFERROR(ABS(E1450-'02_대상물건입력'!B11)/'02_대상물건입력'!B11,"")</f>
        <v/>
      </c>
      <c r="S1450" s="152">
        <f>IFERROR(ABS(J1450-'02_대상물건입력'!B10),"")</f>
        <v/>
      </c>
      <c r="T1450" s="152">
        <f>IFERROR(ABS('01_설정'!B4-F1450),"")</f>
        <v/>
      </c>
      <c r="U1450" s="152">
        <f>IFERROR(ABS(K1450-YEAR('02_대상물건입력'!B14)),"")</f>
        <v/>
      </c>
      <c r="V1450" s="152">
        <f>IF(B1450="","",IF(AND(E1450&gt;0,F1450&gt;0,H1450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1450=1,TRUE()),R1450&lt;='01_설정'!B5,S1450&lt;='01_설정'!B6,T1450&lt;='01_설정'!B7,U1450&lt;='01_설정'!B8),"Y",""))</f>
        <v/>
      </c>
      <c r="W1450" s="172">
        <f>IF(V1450&lt;&gt;"Y","",MAX(0,(1-R1450/'01_설정'!B5))*'01_설정'!B14+MAX(0,(1-S1450/'01_설정'!B6))*'01_설정'!B15+MAX(0,(1-T1450/'01_설정'!B7))*'01_설정'!B16+MAX(0,(1-U1450/'01_설정'!B8))*'01_설정'!B17+O1450*'01_설정'!B11+Q1450*'01_설정'!B12+P1450*'01_설정'!B13+IF(Z1450="",0,Z1450))</f>
        <v/>
      </c>
      <c r="X1450" s="152">
        <f>IF(W1450="","",1+COUNTIFS($W$4:$W$3003,"&gt;"&amp;W1450)+COUNTIFS($W$4:W1450,W1450)-1)</f>
        <v/>
      </c>
      <c r="Y1450" s="175">
        <f>IF(OR(I1450="",'02_대상물건입력'!B19="",'02_대상물건입력'!B19&lt;=0),"",ABS(I1450-'02_대상물건입력'!B19)/'02_대상물건입력'!B19)</f>
        <v/>
      </c>
      <c r="Z1450" s="172">
        <f>IF(OR(Y1450="",'01_설정'!B31="",'01_설정'!B31&lt;=0,'01_설정'!B32="",'01_설정'!B32&lt;=0),"",MAX(0,(1-Y1450/'01_설정'!B32))*'01_설정'!B31)</f>
        <v/>
      </c>
    </row>
    <row r="1451" ht="17.25" customHeight="1">
      <c r="A1451" s="152">
        <f>IF(INDEX('04A_국토부원자료'!$A:$A,ROW()+1)="","",ROW()-3)</f>
        <v/>
      </c>
      <c r="B1451" s="48">
        <f>IFERROR(INDEX('04A_국토부원자료'!$A:$T,ROW()+1,MATCH("시군구",'04A_국토부원자료'!$A$4:$T$4,0)),"")</f>
        <v/>
      </c>
      <c r="C1451" s="48">
        <f>IF(B1451="","",IFERROR(INDEX('04A_국토부원자료'!$A:$T,ROW()+1,MATCH("번지",'04A_국토부원자료'!$A$4:$T$4,0)),""))</f>
        <v/>
      </c>
      <c r="D1451" s="48">
        <f>IF(B1451="","",IF(Q1451=1,'02_대상물건입력'!$B$8,IFERROR(INDEX('04A_국토부원자료'!$A:$T,ROW()+1,MATCH("단지명",'04A_국토부원자료'!$A$4:$T$4,0)),"")))</f>
        <v/>
      </c>
      <c r="E1451" s="172">
        <f>IFERROR(VALUE(SUBSTITUTE(INDEX('04A_국토부원자료'!$A:$T,ROW()+1,MATCH("전용면적(㎡)",'04A_국토부원자료'!$A$4:$T$4,0)),",","")),"")</f>
        <v/>
      </c>
      <c r="F14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51" s="51">
        <f>IFERROR(VALUE(SUBSTITUTE(INDEX('04A_국토부원자료'!$A:$T,ROW()+1,MATCH("거래금액(만원)",'04A_국토부원자료'!$A$4:$T$4,0)),",","")),"")</f>
        <v/>
      </c>
      <c r="H1451" s="174">
        <f>IF(G1451="","",G1451*10000)</f>
        <v/>
      </c>
      <c r="I1451" s="174">
        <f>IFERROR(IF(AND(H1451&gt;0,E1451&gt;0),H1451/E1451,""),"")</f>
        <v/>
      </c>
      <c r="J1451" s="152">
        <f>IFERROR(VALUE(SUBSTITUTE(INDEX('04A_국토부원자료'!$A:$T,ROW()+1,MATCH("층",'04A_국토부원자료'!$A$4:$T$4,0)),",","")),"")</f>
        <v/>
      </c>
      <c r="K1451" s="152">
        <f>IFERROR(VALUE(SUBSTITUTE(INDEX('04A_국토부원자료'!$A:$T,ROW()+1,MATCH("건축년도",'04A_국토부원자료'!$A$4:$T$4,0)),",","")),"")</f>
        <v/>
      </c>
      <c r="L1451" s="176">
        <f>IFERROR(INDEX('04A_국토부원자료'!$A:$T,ROW()+1,MATCH("도로명",'04A_국토부원자료'!$A$4:$T$4,0)),"")</f>
        <v/>
      </c>
      <c r="M1451" s="48">
        <f>IFERROR(INDEX('04A_국토부원자료'!$A:$T,ROW()+1,MATCH("거래유형",'04A_국토부원자료'!$A$4:$T$4,0)),"")</f>
        <v/>
      </c>
      <c r="N1451" s="152">
        <f>IF(B1451="","",IF('02_대상물건입력'!B5="",1,IF(ISNUMBER(SEARCH('02_대상물건입력'!B5,B1451)),1,0)))</f>
        <v/>
      </c>
      <c r="O1451" s="152">
        <f>IF(B1451="","",IF('02_대상물건입력'!B6="",1,IF(ISNUMBER(SEARCH('02_대상물건입력'!B6,B1451)),1,0)))</f>
        <v/>
      </c>
      <c r="P1451" s="152">
        <f>IF(L1451="","",IF('02_대상물건입력'!B15="",0,IF(ISNUMBER(SEARCH('02_대상물건입력'!B15,L1451)),1,0)))</f>
        <v/>
      </c>
      <c r="Q1451" s="152">
        <f>IF(OR(C1451="",L1451=""),0,IF(AND(TRIM(C1451)=TRIM(RIGHT(SUBSTITUTE(TRIM('02_대상물건입력'!$B$7)," ",REPT(" ",99)),99)),IF('02_대상물건입력'!B15="",TRUE(),ISNUMBER(SEARCH('02_대상물건입력'!B15,L1451)))),1,0))</f>
        <v/>
      </c>
      <c r="R1451" s="175">
        <f>IFERROR(ABS(E1451-'02_대상물건입력'!B11)/'02_대상물건입력'!B11,"")</f>
        <v/>
      </c>
      <c r="S1451" s="152">
        <f>IFERROR(ABS(J1451-'02_대상물건입력'!B10),"")</f>
        <v/>
      </c>
      <c r="T1451" s="152">
        <f>IFERROR(ABS('01_설정'!B4-F1451),"")</f>
        <v/>
      </c>
      <c r="U1451" s="152">
        <f>IFERROR(ABS(K1451-YEAR('02_대상물건입력'!B14)),"")</f>
        <v/>
      </c>
      <c r="V1451" s="152">
        <f>IF(B1451="","",IF(AND(E1451&gt;0,F1451&gt;0,H1451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1451=1,TRUE()),R1451&lt;='01_설정'!B5,S1451&lt;='01_설정'!B6,T1451&lt;='01_설정'!B7,U1451&lt;='01_설정'!B8),"Y",""))</f>
        <v/>
      </c>
      <c r="W1451" s="172">
        <f>IF(V1451&lt;&gt;"Y","",MAX(0,(1-R1451/'01_설정'!B5))*'01_설정'!B14+MAX(0,(1-S1451/'01_설정'!B6))*'01_설정'!B15+MAX(0,(1-T1451/'01_설정'!B7))*'01_설정'!B16+MAX(0,(1-U1451/'01_설정'!B8))*'01_설정'!B17+O1451*'01_설정'!B11+Q1451*'01_설정'!B12+P1451*'01_설정'!B13+IF(Z1451="",0,Z1451))</f>
        <v/>
      </c>
      <c r="X1451" s="152">
        <f>IF(W1451="","",1+COUNTIFS($W$4:$W$3003,"&gt;"&amp;W1451)+COUNTIFS($W$4:W1451,W1451)-1)</f>
        <v/>
      </c>
      <c r="Y1451" s="175">
        <f>IF(OR(I1451="",'02_대상물건입력'!B19="",'02_대상물건입력'!B19&lt;=0),"",ABS(I1451-'02_대상물건입력'!B19)/'02_대상물건입력'!B19)</f>
        <v/>
      </c>
      <c r="Z1451" s="172">
        <f>IF(OR(Y1451="",'01_설정'!B31="",'01_설정'!B31&lt;=0,'01_설정'!B32="",'01_설정'!B32&lt;=0),"",MAX(0,(1-Y1451/'01_설정'!B32))*'01_설정'!B31)</f>
        <v/>
      </c>
    </row>
    <row r="1452" ht="17.25" customHeight="1">
      <c r="A1452" s="152">
        <f>IF(INDEX('04A_국토부원자료'!$A:$A,ROW()+1)="","",ROW()-3)</f>
        <v/>
      </c>
      <c r="B1452" s="48">
        <f>IFERROR(INDEX('04A_국토부원자료'!$A:$T,ROW()+1,MATCH("시군구",'04A_국토부원자료'!$A$4:$T$4,0)),"")</f>
        <v/>
      </c>
      <c r="C1452" s="48">
        <f>IF(B1452="","",IFERROR(INDEX('04A_국토부원자료'!$A:$T,ROW()+1,MATCH("번지",'04A_국토부원자료'!$A$4:$T$4,0)),""))</f>
        <v/>
      </c>
      <c r="D1452" s="48">
        <f>IF(B1452="","",IF(Q1452=1,'02_대상물건입력'!$B$8,IFERROR(INDEX('04A_국토부원자료'!$A:$T,ROW()+1,MATCH("단지명",'04A_국토부원자료'!$A$4:$T$4,0)),"")))</f>
        <v/>
      </c>
      <c r="E1452" s="172">
        <f>IFERROR(VALUE(SUBSTITUTE(INDEX('04A_국토부원자료'!$A:$T,ROW()+1,MATCH("전용면적(㎡)",'04A_국토부원자료'!$A$4:$T$4,0)),",","")),"")</f>
        <v/>
      </c>
      <c r="F14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52" s="51">
        <f>IFERROR(VALUE(SUBSTITUTE(INDEX('04A_국토부원자료'!$A:$T,ROW()+1,MATCH("거래금액(만원)",'04A_국토부원자료'!$A$4:$T$4,0)),",","")),"")</f>
        <v/>
      </c>
      <c r="H1452" s="174">
        <f>IF(G1452="","",G1452*10000)</f>
        <v/>
      </c>
      <c r="I1452" s="174">
        <f>IFERROR(IF(AND(H1452&gt;0,E1452&gt;0),H1452/E1452,""),"")</f>
        <v/>
      </c>
      <c r="J1452" s="152">
        <f>IFERROR(VALUE(SUBSTITUTE(INDEX('04A_국토부원자료'!$A:$T,ROW()+1,MATCH("층",'04A_국토부원자료'!$A$4:$T$4,0)),",","")),"")</f>
        <v/>
      </c>
      <c r="K1452" s="152">
        <f>IFERROR(VALUE(SUBSTITUTE(INDEX('04A_국토부원자료'!$A:$T,ROW()+1,MATCH("건축년도",'04A_국토부원자료'!$A$4:$T$4,0)),",","")),"")</f>
        <v/>
      </c>
      <c r="L1452" s="176">
        <f>IFERROR(INDEX('04A_국토부원자료'!$A:$T,ROW()+1,MATCH("도로명",'04A_국토부원자료'!$A$4:$T$4,0)),"")</f>
        <v/>
      </c>
      <c r="M1452" s="48">
        <f>IFERROR(INDEX('04A_국토부원자료'!$A:$T,ROW()+1,MATCH("거래유형",'04A_국토부원자료'!$A$4:$T$4,0)),"")</f>
        <v/>
      </c>
      <c r="N1452" s="152">
        <f>IF(B1452="","",IF('02_대상물건입력'!B5="",1,IF(ISNUMBER(SEARCH('02_대상물건입력'!B5,B1452)),1,0)))</f>
        <v/>
      </c>
      <c r="O1452" s="152">
        <f>IF(B1452="","",IF('02_대상물건입력'!B6="",1,IF(ISNUMBER(SEARCH('02_대상물건입력'!B6,B1452)),1,0)))</f>
        <v/>
      </c>
      <c r="P1452" s="152">
        <f>IF(L1452="","",IF('02_대상물건입력'!B15="",0,IF(ISNUMBER(SEARCH('02_대상물건입력'!B15,L1452)),1,0)))</f>
        <v/>
      </c>
      <c r="Q1452" s="152">
        <f>IF(OR(C1452="",L1452=""),0,IF(AND(TRIM(C1452)=TRIM(RIGHT(SUBSTITUTE(TRIM('02_대상물건입력'!$B$7)," ",REPT(" ",99)),99)),IF('02_대상물건입력'!B15="",TRUE(),ISNUMBER(SEARCH('02_대상물건입력'!B15,L1452)))),1,0))</f>
        <v/>
      </c>
      <c r="R1452" s="175">
        <f>IFERROR(ABS(E1452-'02_대상물건입력'!B11)/'02_대상물건입력'!B11,"")</f>
        <v/>
      </c>
      <c r="S1452" s="152">
        <f>IFERROR(ABS(J1452-'02_대상물건입력'!B10),"")</f>
        <v/>
      </c>
      <c r="T1452" s="152">
        <f>IFERROR(ABS('01_설정'!B4-F1452),"")</f>
        <v/>
      </c>
      <c r="U1452" s="152">
        <f>IFERROR(ABS(K1452-YEAR('02_대상물건입력'!B14)),"")</f>
        <v/>
      </c>
      <c r="V1452" s="152">
        <f>IF(B1452="","",IF(AND(E1452&gt;0,F1452&gt;0,H1452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1452=1,TRUE()),R1452&lt;='01_설정'!B5,S1452&lt;='01_설정'!B6,T1452&lt;='01_설정'!B7,U1452&lt;='01_설정'!B8),"Y",""))</f>
        <v/>
      </c>
      <c r="W1452" s="172">
        <f>IF(V1452&lt;&gt;"Y","",MAX(0,(1-R1452/'01_설정'!B5))*'01_설정'!B14+MAX(0,(1-S1452/'01_설정'!B6))*'01_설정'!B15+MAX(0,(1-T1452/'01_설정'!B7))*'01_설정'!B16+MAX(0,(1-U1452/'01_설정'!B8))*'01_설정'!B17+O1452*'01_설정'!B11+Q1452*'01_설정'!B12+P1452*'01_설정'!B13+IF(Z1452="",0,Z1452))</f>
        <v/>
      </c>
      <c r="X1452" s="152">
        <f>IF(W1452="","",1+COUNTIFS($W$4:$W$3003,"&gt;"&amp;W1452)+COUNTIFS($W$4:W1452,W1452)-1)</f>
        <v/>
      </c>
      <c r="Y1452" s="175">
        <f>IF(OR(I1452="",'02_대상물건입력'!B19="",'02_대상물건입력'!B19&lt;=0),"",ABS(I1452-'02_대상물건입력'!B19)/'02_대상물건입력'!B19)</f>
        <v/>
      </c>
      <c r="Z1452" s="172">
        <f>IF(OR(Y1452="",'01_설정'!B31="",'01_설정'!B31&lt;=0,'01_설정'!B32="",'01_설정'!B32&lt;=0),"",MAX(0,(1-Y1452/'01_설정'!B32))*'01_설정'!B31)</f>
        <v/>
      </c>
    </row>
    <row r="1453" ht="17.25" customHeight="1">
      <c r="A1453" s="152">
        <f>IF(INDEX('04A_국토부원자료'!$A:$A,ROW()+1)="","",ROW()-3)</f>
        <v/>
      </c>
      <c r="B1453" s="48">
        <f>IFERROR(INDEX('04A_국토부원자료'!$A:$T,ROW()+1,MATCH("시군구",'04A_국토부원자료'!$A$4:$T$4,0)),"")</f>
        <v/>
      </c>
      <c r="C1453" s="48">
        <f>IF(B1453="","",IFERROR(INDEX('04A_국토부원자료'!$A:$T,ROW()+1,MATCH("번지",'04A_국토부원자료'!$A$4:$T$4,0)),""))</f>
        <v/>
      </c>
      <c r="D1453" s="48">
        <f>IF(B1453="","",IF(Q1453=1,'02_대상물건입력'!$B$8,IFERROR(INDEX('04A_국토부원자료'!$A:$T,ROW()+1,MATCH("단지명",'04A_국토부원자료'!$A$4:$T$4,0)),"")))</f>
        <v/>
      </c>
      <c r="E1453" s="172">
        <f>IFERROR(VALUE(SUBSTITUTE(INDEX('04A_국토부원자료'!$A:$T,ROW()+1,MATCH("전용면적(㎡)",'04A_국토부원자료'!$A$4:$T$4,0)),",","")),"")</f>
        <v/>
      </c>
      <c r="F14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53" s="51">
        <f>IFERROR(VALUE(SUBSTITUTE(INDEX('04A_국토부원자료'!$A:$T,ROW()+1,MATCH("거래금액(만원)",'04A_국토부원자료'!$A$4:$T$4,0)),",","")),"")</f>
        <v/>
      </c>
      <c r="H1453" s="174">
        <f>IF(G1453="","",G1453*10000)</f>
        <v/>
      </c>
      <c r="I1453" s="174">
        <f>IFERROR(IF(AND(H1453&gt;0,E1453&gt;0),H1453/E1453,""),"")</f>
        <v/>
      </c>
      <c r="J1453" s="152">
        <f>IFERROR(VALUE(SUBSTITUTE(INDEX('04A_국토부원자료'!$A:$T,ROW()+1,MATCH("층",'04A_국토부원자료'!$A$4:$T$4,0)),",","")),"")</f>
        <v/>
      </c>
      <c r="K1453" s="152">
        <f>IFERROR(VALUE(SUBSTITUTE(INDEX('04A_국토부원자료'!$A:$T,ROW()+1,MATCH("건축년도",'04A_국토부원자료'!$A$4:$T$4,0)),",","")),"")</f>
        <v/>
      </c>
      <c r="L1453" s="176">
        <f>IFERROR(INDEX('04A_국토부원자료'!$A:$T,ROW()+1,MATCH("도로명",'04A_국토부원자료'!$A$4:$T$4,0)),"")</f>
        <v/>
      </c>
      <c r="M1453" s="48">
        <f>IFERROR(INDEX('04A_국토부원자료'!$A:$T,ROW()+1,MATCH("거래유형",'04A_국토부원자료'!$A$4:$T$4,0)),"")</f>
        <v/>
      </c>
      <c r="N1453" s="152">
        <f>IF(B1453="","",IF('02_대상물건입력'!B5="",1,IF(ISNUMBER(SEARCH('02_대상물건입력'!B5,B1453)),1,0)))</f>
        <v/>
      </c>
      <c r="O1453" s="152">
        <f>IF(B1453="","",IF('02_대상물건입력'!B6="",1,IF(ISNUMBER(SEARCH('02_대상물건입력'!B6,B1453)),1,0)))</f>
        <v/>
      </c>
      <c r="P1453" s="152">
        <f>IF(L1453="","",IF('02_대상물건입력'!B15="",0,IF(ISNUMBER(SEARCH('02_대상물건입력'!B15,L1453)),1,0)))</f>
        <v/>
      </c>
      <c r="Q1453" s="152">
        <f>IF(OR(C1453="",L1453=""),0,IF(AND(TRIM(C1453)=TRIM(RIGHT(SUBSTITUTE(TRIM('02_대상물건입력'!$B$7)," ",REPT(" ",99)),99)),IF('02_대상물건입력'!B15="",TRUE(),ISNUMBER(SEARCH('02_대상물건입력'!B15,L1453)))),1,0))</f>
        <v/>
      </c>
      <c r="R1453" s="175">
        <f>IFERROR(ABS(E1453-'02_대상물건입력'!B11)/'02_대상물건입력'!B11,"")</f>
        <v/>
      </c>
      <c r="S1453" s="152">
        <f>IFERROR(ABS(J1453-'02_대상물건입력'!B10),"")</f>
        <v/>
      </c>
      <c r="T1453" s="152">
        <f>IFERROR(ABS('01_설정'!B4-F1453),"")</f>
        <v/>
      </c>
      <c r="U1453" s="152">
        <f>IFERROR(ABS(K1453-YEAR('02_대상물건입력'!B14)),"")</f>
        <v/>
      </c>
      <c r="V1453" s="152">
        <f>IF(B1453="","",IF(AND(E1453&gt;0,F1453&gt;0,H1453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1453=1,TRUE()),R1453&lt;='01_설정'!B5,S1453&lt;='01_설정'!B6,T1453&lt;='01_설정'!B7,U1453&lt;='01_설정'!B8),"Y",""))</f>
        <v/>
      </c>
      <c r="W1453" s="172">
        <f>IF(V1453&lt;&gt;"Y","",MAX(0,(1-R1453/'01_설정'!B5))*'01_설정'!B14+MAX(0,(1-S1453/'01_설정'!B6))*'01_설정'!B15+MAX(0,(1-T1453/'01_설정'!B7))*'01_설정'!B16+MAX(0,(1-U1453/'01_설정'!B8))*'01_설정'!B17+O1453*'01_설정'!B11+Q1453*'01_설정'!B12+P1453*'01_설정'!B13+IF(Z1453="",0,Z1453))</f>
        <v/>
      </c>
      <c r="X1453" s="152">
        <f>IF(W1453="","",1+COUNTIFS($W$4:$W$3003,"&gt;"&amp;W1453)+COUNTIFS($W$4:W1453,W1453)-1)</f>
        <v/>
      </c>
      <c r="Y1453" s="175">
        <f>IF(OR(I1453="",'02_대상물건입력'!B19="",'02_대상물건입력'!B19&lt;=0),"",ABS(I1453-'02_대상물건입력'!B19)/'02_대상물건입력'!B19)</f>
        <v/>
      </c>
      <c r="Z1453" s="172">
        <f>IF(OR(Y1453="",'01_설정'!B31="",'01_설정'!B31&lt;=0,'01_설정'!B32="",'01_설정'!B32&lt;=0),"",MAX(0,(1-Y1453/'01_설정'!B32))*'01_설정'!B31)</f>
        <v/>
      </c>
    </row>
    <row r="1454" ht="17.25" customHeight="1">
      <c r="A1454" s="152">
        <f>IF(INDEX('04A_국토부원자료'!$A:$A,ROW()+1)="","",ROW()-3)</f>
        <v/>
      </c>
      <c r="B1454" s="48">
        <f>IFERROR(INDEX('04A_국토부원자료'!$A:$T,ROW()+1,MATCH("시군구",'04A_국토부원자료'!$A$4:$T$4,0)),"")</f>
        <v/>
      </c>
      <c r="C1454" s="48">
        <f>IF(B1454="","",IFERROR(INDEX('04A_국토부원자료'!$A:$T,ROW()+1,MATCH("번지",'04A_국토부원자료'!$A$4:$T$4,0)),""))</f>
        <v/>
      </c>
      <c r="D1454" s="48">
        <f>IF(B1454="","",IF(Q1454=1,'02_대상물건입력'!$B$8,IFERROR(INDEX('04A_국토부원자료'!$A:$T,ROW()+1,MATCH("단지명",'04A_국토부원자료'!$A$4:$T$4,0)),"")))</f>
        <v/>
      </c>
      <c r="E1454" s="172">
        <f>IFERROR(VALUE(SUBSTITUTE(INDEX('04A_국토부원자료'!$A:$T,ROW()+1,MATCH("전용면적(㎡)",'04A_국토부원자료'!$A$4:$T$4,0)),",","")),"")</f>
        <v/>
      </c>
      <c r="F14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54" s="51">
        <f>IFERROR(VALUE(SUBSTITUTE(INDEX('04A_국토부원자료'!$A:$T,ROW()+1,MATCH("거래금액(만원)",'04A_국토부원자료'!$A$4:$T$4,0)),",","")),"")</f>
        <v/>
      </c>
      <c r="H1454" s="174">
        <f>IF(G1454="","",G1454*10000)</f>
        <v/>
      </c>
      <c r="I1454" s="174">
        <f>IFERROR(IF(AND(H1454&gt;0,E1454&gt;0),H1454/E1454,""),"")</f>
        <v/>
      </c>
      <c r="J1454" s="152">
        <f>IFERROR(VALUE(SUBSTITUTE(INDEX('04A_국토부원자료'!$A:$T,ROW()+1,MATCH("층",'04A_국토부원자료'!$A$4:$T$4,0)),",","")),"")</f>
        <v/>
      </c>
      <c r="K1454" s="152">
        <f>IFERROR(VALUE(SUBSTITUTE(INDEX('04A_국토부원자료'!$A:$T,ROW()+1,MATCH("건축년도",'04A_국토부원자료'!$A$4:$T$4,0)),",","")),"")</f>
        <v/>
      </c>
      <c r="L1454" s="176">
        <f>IFERROR(INDEX('04A_국토부원자료'!$A:$T,ROW()+1,MATCH("도로명",'04A_국토부원자료'!$A$4:$T$4,0)),"")</f>
        <v/>
      </c>
      <c r="M1454" s="48">
        <f>IFERROR(INDEX('04A_국토부원자료'!$A:$T,ROW()+1,MATCH("거래유형",'04A_국토부원자료'!$A$4:$T$4,0)),"")</f>
        <v/>
      </c>
      <c r="N1454" s="152">
        <f>IF(B1454="","",IF('02_대상물건입력'!B5="",1,IF(ISNUMBER(SEARCH('02_대상물건입력'!B5,B1454)),1,0)))</f>
        <v/>
      </c>
      <c r="O1454" s="152">
        <f>IF(B1454="","",IF('02_대상물건입력'!B6="",1,IF(ISNUMBER(SEARCH('02_대상물건입력'!B6,B1454)),1,0)))</f>
        <v/>
      </c>
      <c r="P1454" s="152">
        <f>IF(L1454="","",IF('02_대상물건입력'!B15="",0,IF(ISNUMBER(SEARCH('02_대상물건입력'!B15,L1454)),1,0)))</f>
        <v/>
      </c>
      <c r="Q1454" s="152">
        <f>IF(OR(C1454="",L1454=""),0,IF(AND(TRIM(C1454)=TRIM(RIGHT(SUBSTITUTE(TRIM('02_대상물건입력'!$B$7)," ",REPT(" ",99)),99)),IF('02_대상물건입력'!B15="",TRUE(),ISNUMBER(SEARCH('02_대상물건입력'!B15,L1454)))),1,0))</f>
        <v/>
      </c>
      <c r="R1454" s="175">
        <f>IFERROR(ABS(E1454-'02_대상물건입력'!B11)/'02_대상물건입력'!B11,"")</f>
        <v/>
      </c>
      <c r="S1454" s="152">
        <f>IFERROR(ABS(J1454-'02_대상물건입력'!B10),"")</f>
        <v/>
      </c>
      <c r="T1454" s="152">
        <f>IFERROR(ABS('01_설정'!B4-F1454),"")</f>
        <v/>
      </c>
      <c r="U1454" s="152">
        <f>IFERROR(ABS(K1454-YEAR('02_대상물건입력'!B14)),"")</f>
        <v/>
      </c>
      <c r="V1454" s="152">
        <f>IF(B1454="","",IF(AND(E1454&gt;0,F1454&gt;0,H1454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1454=1,TRUE()),R1454&lt;='01_설정'!B5,S1454&lt;='01_설정'!B6,T1454&lt;='01_설정'!B7,U1454&lt;='01_설정'!B8),"Y",""))</f>
        <v/>
      </c>
      <c r="W1454" s="172">
        <f>IF(V1454&lt;&gt;"Y","",MAX(0,(1-R1454/'01_설정'!B5))*'01_설정'!B14+MAX(0,(1-S1454/'01_설정'!B6))*'01_설정'!B15+MAX(0,(1-T1454/'01_설정'!B7))*'01_설정'!B16+MAX(0,(1-U1454/'01_설정'!B8))*'01_설정'!B17+O1454*'01_설정'!B11+Q1454*'01_설정'!B12+P1454*'01_설정'!B13+IF(Z1454="",0,Z1454))</f>
        <v/>
      </c>
      <c r="X1454" s="152">
        <f>IF(W1454="","",1+COUNTIFS($W$4:$W$3003,"&gt;"&amp;W1454)+COUNTIFS($W$4:W1454,W1454)-1)</f>
        <v/>
      </c>
      <c r="Y1454" s="175">
        <f>IF(OR(I1454="",'02_대상물건입력'!B19="",'02_대상물건입력'!B19&lt;=0),"",ABS(I1454-'02_대상물건입력'!B19)/'02_대상물건입력'!B19)</f>
        <v/>
      </c>
      <c r="Z1454" s="172">
        <f>IF(OR(Y1454="",'01_설정'!B31="",'01_설정'!B31&lt;=0,'01_설정'!B32="",'01_설정'!B32&lt;=0),"",MAX(0,(1-Y1454/'01_설정'!B32))*'01_설정'!B31)</f>
        <v/>
      </c>
    </row>
    <row r="1455" ht="17.25" customHeight="1">
      <c r="A1455" s="152">
        <f>IF(INDEX('04A_국토부원자료'!$A:$A,ROW()+1)="","",ROW()-3)</f>
        <v/>
      </c>
      <c r="B1455" s="48">
        <f>IFERROR(INDEX('04A_국토부원자료'!$A:$T,ROW()+1,MATCH("시군구",'04A_국토부원자료'!$A$4:$T$4,0)),"")</f>
        <v/>
      </c>
      <c r="C1455" s="48">
        <f>IF(B1455="","",IFERROR(INDEX('04A_국토부원자료'!$A:$T,ROW()+1,MATCH("번지",'04A_국토부원자료'!$A$4:$T$4,0)),""))</f>
        <v/>
      </c>
      <c r="D1455" s="48">
        <f>IF(B1455="","",IF(Q1455=1,'02_대상물건입력'!$B$8,IFERROR(INDEX('04A_국토부원자료'!$A:$T,ROW()+1,MATCH("단지명",'04A_국토부원자료'!$A$4:$T$4,0)),"")))</f>
        <v/>
      </c>
      <c r="E1455" s="172">
        <f>IFERROR(VALUE(SUBSTITUTE(INDEX('04A_국토부원자료'!$A:$T,ROW()+1,MATCH("전용면적(㎡)",'04A_국토부원자료'!$A$4:$T$4,0)),",","")),"")</f>
        <v/>
      </c>
      <c r="F14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55" s="51">
        <f>IFERROR(VALUE(SUBSTITUTE(INDEX('04A_국토부원자료'!$A:$T,ROW()+1,MATCH("거래금액(만원)",'04A_국토부원자료'!$A$4:$T$4,0)),",","")),"")</f>
        <v/>
      </c>
      <c r="H1455" s="174">
        <f>IF(G1455="","",G1455*10000)</f>
        <v/>
      </c>
      <c r="I1455" s="174">
        <f>IFERROR(IF(AND(H1455&gt;0,E1455&gt;0),H1455/E1455,""),"")</f>
        <v/>
      </c>
      <c r="J1455" s="152">
        <f>IFERROR(VALUE(SUBSTITUTE(INDEX('04A_국토부원자료'!$A:$T,ROW()+1,MATCH("층",'04A_국토부원자료'!$A$4:$T$4,0)),",","")),"")</f>
        <v/>
      </c>
      <c r="K1455" s="152">
        <f>IFERROR(VALUE(SUBSTITUTE(INDEX('04A_국토부원자료'!$A:$T,ROW()+1,MATCH("건축년도",'04A_국토부원자료'!$A$4:$T$4,0)),",","")),"")</f>
        <v/>
      </c>
      <c r="L1455" s="176">
        <f>IFERROR(INDEX('04A_국토부원자료'!$A:$T,ROW()+1,MATCH("도로명",'04A_국토부원자료'!$A$4:$T$4,0)),"")</f>
        <v/>
      </c>
      <c r="M1455" s="48">
        <f>IFERROR(INDEX('04A_국토부원자료'!$A:$T,ROW()+1,MATCH("거래유형",'04A_국토부원자료'!$A$4:$T$4,0)),"")</f>
        <v/>
      </c>
      <c r="N1455" s="152">
        <f>IF(B1455="","",IF('02_대상물건입력'!B5="",1,IF(ISNUMBER(SEARCH('02_대상물건입력'!B5,B1455)),1,0)))</f>
        <v/>
      </c>
      <c r="O1455" s="152">
        <f>IF(B1455="","",IF('02_대상물건입력'!B6="",1,IF(ISNUMBER(SEARCH('02_대상물건입력'!B6,B1455)),1,0)))</f>
        <v/>
      </c>
      <c r="P1455" s="152">
        <f>IF(L1455="","",IF('02_대상물건입력'!B15="",0,IF(ISNUMBER(SEARCH('02_대상물건입력'!B15,L1455)),1,0)))</f>
        <v/>
      </c>
      <c r="Q1455" s="152">
        <f>IF(OR(C1455="",L1455=""),0,IF(AND(TRIM(C1455)=TRIM(RIGHT(SUBSTITUTE(TRIM('02_대상물건입력'!$B$7)," ",REPT(" ",99)),99)),IF('02_대상물건입력'!B15="",TRUE(),ISNUMBER(SEARCH('02_대상물건입력'!B15,L1455)))),1,0))</f>
        <v/>
      </c>
      <c r="R1455" s="175">
        <f>IFERROR(ABS(E1455-'02_대상물건입력'!B11)/'02_대상물건입력'!B11,"")</f>
        <v/>
      </c>
      <c r="S1455" s="152">
        <f>IFERROR(ABS(J1455-'02_대상물건입력'!B10),"")</f>
        <v/>
      </c>
      <c r="T1455" s="152">
        <f>IFERROR(ABS('01_설정'!B4-F1455),"")</f>
        <v/>
      </c>
      <c r="U1455" s="152">
        <f>IFERROR(ABS(K1455-YEAR('02_대상물건입력'!B14)),"")</f>
        <v/>
      </c>
      <c r="V1455" s="152">
        <f>IF(B1455="","",IF(AND(E1455&gt;0,F1455&gt;0,H1455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1455=1,TRUE()),R1455&lt;='01_설정'!B5,S1455&lt;='01_설정'!B6,T1455&lt;='01_설정'!B7,U1455&lt;='01_설정'!B8),"Y",""))</f>
        <v/>
      </c>
      <c r="W1455" s="172">
        <f>IF(V1455&lt;&gt;"Y","",MAX(0,(1-R1455/'01_설정'!B5))*'01_설정'!B14+MAX(0,(1-S1455/'01_설정'!B6))*'01_설정'!B15+MAX(0,(1-T1455/'01_설정'!B7))*'01_설정'!B16+MAX(0,(1-U1455/'01_설정'!B8))*'01_설정'!B17+O1455*'01_설정'!B11+Q1455*'01_설정'!B12+P1455*'01_설정'!B13+IF(Z1455="",0,Z1455))</f>
        <v/>
      </c>
      <c r="X1455" s="152">
        <f>IF(W1455="","",1+COUNTIFS($W$4:$W$3003,"&gt;"&amp;W1455)+COUNTIFS($W$4:W1455,W1455)-1)</f>
        <v/>
      </c>
      <c r="Y1455" s="175">
        <f>IF(OR(I1455="",'02_대상물건입력'!B19="",'02_대상물건입력'!B19&lt;=0),"",ABS(I1455-'02_대상물건입력'!B19)/'02_대상물건입력'!B19)</f>
        <v/>
      </c>
      <c r="Z1455" s="172">
        <f>IF(OR(Y1455="",'01_설정'!B31="",'01_설정'!B31&lt;=0,'01_설정'!B32="",'01_설정'!B32&lt;=0),"",MAX(0,(1-Y1455/'01_설정'!B32))*'01_설정'!B31)</f>
        <v/>
      </c>
    </row>
    <row r="1456" ht="17.25" customHeight="1">
      <c r="A1456" s="152">
        <f>IF(INDEX('04A_국토부원자료'!$A:$A,ROW()+1)="","",ROW()-3)</f>
        <v/>
      </c>
      <c r="B1456" s="48">
        <f>IFERROR(INDEX('04A_국토부원자료'!$A:$T,ROW()+1,MATCH("시군구",'04A_국토부원자료'!$A$4:$T$4,0)),"")</f>
        <v/>
      </c>
      <c r="C1456" s="48">
        <f>IF(B1456="","",IFERROR(INDEX('04A_국토부원자료'!$A:$T,ROW()+1,MATCH("번지",'04A_국토부원자료'!$A$4:$T$4,0)),""))</f>
        <v/>
      </c>
      <c r="D1456" s="48">
        <f>IF(B1456="","",IF(Q1456=1,'02_대상물건입력'!$B$8,IFERROR(INDEX('04A_국토부원자료'!$A:$T,ROW()+1,MATCH("단지명",'04A_국토부원자료'!$A$4:$T$4,0)),"")))</f>
        <v/>
      </c>
      <c r="E1456" s="172">
        <f>IFERROR(VALUE(SUBSTITUTE(INDEX('04A_국토부원자료'!$A:$T,ROW()+1,MATCH("전용면적(㎡)",'04A_국토부원자료'!$A$4:$T$4,0)),",","")),"")</f>
        <v/>
      </c>
      <c r="F14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56" s="51">
        <f>IFERROR(VALUE(SUBSTITUTE(INDEX('04A_국토부원자료'!$A:$T,ROW()+1,MATCH("거래금액(만원)",'04A_국토부원자료'!$A$4:$T$4,0)),",","")),"")</f>
        <v/>
      </c>
      <c r="H1456" s="174">
        <f>IF(G1456="","",G1456*10000)</f>
        <v/>
      </c>
      <c r="I1456" s="174">
        <f>IFERROR(IF(AND(H1456&gt;0,E1456&gt;0),H1456/E1456,""),"")</f>
        <v/>
      </c>
      <c r="J1456" s="152">
        <f>IFERROR(VALUE(SUBSTITUTE(INDEX('04A_국토부원자료'!$A:$T,ROW()+1,MATCH("층",'04A_국토부원자료'!$A$4:$T$4,0)),",","")),"")</f>
        <v/>
      </c>
      <c r="K1456" s="152">
        <f>IFERROR(VALUE(SUBSTITUTE(INDEX('04A_국토부원자료'!$A:$T,ROW()+1,MATCH("건축년도",'04A_국토부원자료'!$A$4:$T$4,0)),",","")),"")</f>
        <v/>
      </c>
      <c r="L1456" s="176">
        <f>IFERROR(INDEX('04A_국토부원자료'!$A:$T,ROW()+1,MATCH("도로명",'04A_국토부원자료'!$A$4:$T$4,0)),"")</f>
        <v/>
      </c>
      <c r="M1456" s="48">
        <f>IFERROR(INDEX('04A_국토부원자료'!$A:$T,ROW()+1,MATCH("거래유형",'04A_국토부원자료'!$A$4:$T$4,0)),"")</f>
        <v/>
      </c>
      <c r="N1456" s="152">
        <f>IF(B1456="","",IF('02_대상물건입력'!B5="",1,IF(ISNUMBER(SEARCH('02_대상물건입력'!B5,B1456)),1,0)))</f>
        <v/>
      </c>
      <c r="O1456" s="152">
        <f>IF(B1456="","",IF('02_대상물건입력'!B6="",1,IF(ISNUMBER(SEARCH('02_대상물건입력'!B6,B1456)),1,0)))</f>
        <v/>
      </c>
      <c r="P1456" s="152">
        <f>IF(L1456="","",IF('02_대상물건입력'!B15="",0,IF(ISNUMBER(SEARCH('02_대상물건입력'!B15,L1456)),1,0)))</f>
        <v/>
      </c>
      <c r="Q1456" s="152">
        <f>IF(OR(C1456="",L1456=""),0,IF(AND(TRIM(C1456)=TRIM(RIGHT(SUBSTITUTE(TRIM('02_대상물건입력'!$B$7)," ",REPT(" ",99)),99)),IF('02_대상물건입력'!B15="",TRUE(),ISNUMBER(SEARCH('02_대상물건입력'!B15,L1456)))),1,0))</f>
        <v/>
      </c>
      <c r="R1456" s="175">
        <f>IFERROR(ABS(E1456-'02_대상물건입력'!B11)/'02_대상물건입력'!B11,"")</f>
        <v/>
      </c>
      <c r="S1456" s="152">
        <f>IFERROR(ABS(J1456-'02_대상물건입력'!B10),"")</f>
        <v/>
      </c>
      <c r="T1456" s="152">
        <f>IFERROR(ABS('01_설정'!B4-F1456),"")</f>
        <v/>
      </c>
      <c r="U1456" s="152">
        <f>IFERROR(ABS(K1456-YEAR('02_대상물건입력'!B14)),"")</f>
        <v/>
      </c>
      <c r="V1456" s="152">
        <f>IF(B1456="","",IF(AND(E1456&gt;0,F1456&gt;0,H1456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1456=1,TRUE()),R1456&lt;='01_설정'!B5,S1456&lt;='01_설정'!B6,T1456&lt;='01_설정'!B7,U1456&lt;='01_설정'!B8),"Y",""))</f>
        <v/>
      </c>
      <c r="W1456" s="172">
        <f>IF(V1456&lt;&gt;"Y","",MAX(0,(1-R1456/'01_설정'!B5))*'01_설정'!B14+MAX(0,(1-S1456/'01_설정'!B6))*'01_설정'!B15+MAX(0,(1-T1456/'01_설정'!B7))*'01_설정'!B16+MAX(0,(1-U1456/'01_설정'!B8))*'01_설정'!B17+O1456*'01_설정'!B11+Q1456*'01_설정'!B12+P1456*'01_설정'!B13+IF(Z1456="",0,Z1456))</f>
        <v/>
      </c>
      <c r="X1456" s="152">
        <f>IF(W1456="","",1+COUNTIFS($W$4:$W$3003,"&gt;"&amp;W1456)+COUNTIFS($W$4:W1456,W1456)-1)</f>
        <v/>
      </c>
      <c r="Y1456" s="175">
        <f>IF(OR(I1456="",'02_대상물건입력'!B19="",'02_대상물건입력'!B19&lt;=0),"",ABS(I1456-'02_대상물건입력'!B19)/'02_대상물건입력'!B19)</f>
        <v/>
      </c>
      <c r="Z1456" s="172">
        <f>IF(OR(Y1456="",'01_설정'!B31="",'01_설정'!B31&lt;=0,'01_설정'!B32="",'01_설정'!B32&lt;=0),"",MAX(0,(1-Y1456/'01_설정'!B32))*'01_설정'!B31)</f>
        <v/>
      </c>
    </row>
    <row r="1457" ht="17.25" customHeight="1">
      <c r="A1457" s="152">
        <f>IF(INDEX('04A_국토부원자료'!$A:$A,ROW()+1)="","",ROW()-3)</f>
        <v/>
      </c>
      <c r="B1457" s="48">
        <f>IFERROR(INDEX('04A_국토부원자료'!$A:$T,ROW()+1,MATCH("시군구",'04A_국토부원자료'!$A$4:$T$4,0)),"")</f>
        <v/>
      </c>
      <c r="C1457" s="48">
        <f>IF(B1457="","",IFERROR(INDEX('04A_국토부원자료'!$A:$T,ROW()+1,MATCH("번지",'04A_국토부원자료'!$A$4:$T$4,0)),""))</f>
        <v/>
      </c>
      <c r="D1457" s="48">
        <f>IF(B1457="","",IF(Q1457=1,'02_대상물건입력'!$B$8,IFERROR(INDEX('04A_국토부원자료'!$A:$T,ROW()+1,MATCH("단지명",'04A_국토부원자료'!$A$4:$T$4,0)),"")))</f>
        <v/>
      </c>
      <c r="E1457" s="172">
        <f>IFERROR(VALUE(SUBSTITUTE(INDEX('04A_국토부원자료'!$A:$T,ROW()+1,MATCH("전용면적(㎡)",'04A_국토부원자료'!$A$4:$T$4,0)),",","")),"")</f>
        <v/>
      </c>
      <c r="F14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57" s="51">
        <f>IFERROR(VALUE(SUBSTITUTE(INDEX('04A_국토부원자료'!$A:$T,ROW()+1,MATCH("거래금액(만원)",'04A_국토부원자료'!$A$4:$T$4,0)),",","")),"")</f>
        <v/>
      </c>
      <c r="H1457" s="174">
        <f>IF(G1457="","",G1457*10000)</f>
        <v/>
      </c>
      <c r="I1457" s="174">
        <f>IFERROR(IF(AND(H1457&gt;0,E1457&gt;0),H1457/E1457,""),"")</f>
        <v/>
      </c>
      <c r="J1457" s="152">
        <f>IFERROR(VALUE(SUBSTITUTE(INDEX('04A_국토부원자료'!$A:$T,ROW()+1,MATCH("층",'04A_국토부원자료'!$A$4:$T$4,0)),",","")),"")</f>
        <v/>
      </c>
      <c r="K1457" s="152">
        <f>IFERROR(VALUE(SUBSTITUTE(INDEX('04A_국토부원자료'!$A:$T,ROW()+1,MATCH("건축년도",'04A_국토부원자료'!$A$4:$T$4,0)),",","")),"")</f>
        <v/>
      </c>
      <c r="L1457" s="176">
        <f>IFERROR(INDEX('04A_국토부원자료'!$A:$T,ROW()+1,MATCH("도로명",'04A_국토부원자료'!$A$4:$T$4,0)),"")</f>
        <v/>
      </c>
      <c r="M1457" s="48">
        <f>IFERROR(INDEX('04A_국토부원자료'!$A:$T,ROW()+1,MATCH("거래유형",'04A_국토부원자료'!$A$4:$T$4,0)),"")</f>
        <v/>
      </c>
      <c r="N1457" s="152">
        <f>IF(B1457="","",IF('02_대상물건입력'!B5="",1,IF(ISNUMBER(SEARCH('02_대상물건입력'!B5,B1457)),1,0)))</f>
        <v/>
      </c>
      <c r="O1457" s="152">
        <f>IF(B1457="","",IF('02_대상물건입력'!B6="",1,IF(ISNUMBER(SEARCH('02_대상물건입력'!B6,B1457)),1,0)))</f>
        <v/>
      </c>
      <c r="P1457" s="152">
        <f>IF(L1457="","",IF('02_대상물건입력'!B15="",0,IF(ISNUMBER(SEARCH('02_대상물건입력'!B15,L1457)),1,0)))</f>
        <v/>
      </c>
      <c r="Q1457" s="152">
        <f>IF(OR(C1457="",L1457=""),0,IF(AND(TRIM(C1457)=TRIM(RIGHT(SUBSTITUTE(TRIM('02_대상물건입력'!$B$7)," ",REPT(" ",99)),99)),IF('02_대상물건입력'!B15="",TRUE(),ISNUMBER(SEARCH('02_대상물건입력'!B15,L1457)))),1,0))</f>
        <v/>
      </c>
      <c r="R1457" s="175">
        <f>IFERROR(ABS(E1457-'02_대상물건입력'!B11)/'02_대상물건입력'!B11,"")</f>
        <v/>
      </c>
      <c r="S1457" s="152">
        <f>IFERROR(ABS(J1457-'02_대상물건입력'!B10),"")</f>
        <v/>
      </c>
      <c r="T1457" s="152">
        <f>IFERROR(ABS('01_설정'!B4-F1457),"")</f>
        <v/>
      </c>
      <c r="U1457" s="152">
        <f>IFERROR(ABS(K1457-YEAR('02_대상물건입력'!B14)),"")</f>
        <v/>
      </c>
      <c r="V1457" s="152">
        <f>IF(B1457="","",IF(AND(E1457&gt;0,F1457&gt;0,H1457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1457=1,TRUE()),R1457&lt;='01_설정'!B5,S1457&lt;='01_설정'!B6,T1457&lt;='01_설정'!B7,U1457&lt;='01_설정'!B8),"Y",""))</f>
        <v/>
      </c>
      <c r="W1457" s="172">
        <f>IF(V1457&lt;&gt;"Y","",MAX(0,(1-R1457/'01_설정'!B5))*'01_설정'!B14+MAX(0,(1-S1457/'01_설정'!B6))*'01_설정'!B15+MAX(0,(1-T1457/'01_설정'!B7))*'01_설정'!B16+MAX(0,(1-U1457/'01_설정'!B8))*'01_설정'!B17+O1457*'01_설정'!B11+Q1457*'01_설정'!B12+P1457*'01_설정'!B13+IF(Z1457="",0,Z1457))</f>
        <v/>
      </c>
      <c r="X1457" s="152">
        <f>IF(W1457="","",1+COUNTIFS($W$4:$W$3003,"&gt;"&amp;W1457)+COUNTIFS($W$4:W1457,W1457)-1)</f>
        <v/>
      </c>
      <c r="Y1457" s="175">
        <f>IF(OR(I1457="",'02_대상물건입력'!B19="",'02_대상물건입력'!B19&lt;=0),"",ABS(I1457-'02_대상물건입력'!B19)/'02_대상물건입력'!B19)</f>
        <v/>
      </c>
      <c r="Z1457" s="172">
        <f>IF(OR(Y1457="",'01_설정'!B31="",'01_설정'!B31&lt;=0,'01_설정'!B32="",'01_설정'!B32&lt;=0),"",MAX(0,(1-Y1457/'01_설정'!B32))*'01_설정'!B31)</f>
        <v/>
      </c>
    </row>
    <row r="1458" ht="17.25" customHeight="1">
      <c r="A1458" s="152">
        <f>IF(INDEX('04A_국토부원자료'!$A:$A,ROW()+1)="","",ROW()-3)</f>
        <v/>
      </c>
      <c r="B1458" s="48">
        <f>IFERROR(INDEX('04A_국토부원자료'!$A:$T,ROW()+1,MATCH("시군구",'04A_국토부원자료'!$A$4:$T$4,0)),"")</f>
        <v/>
      </c>
      <c r="C1458" s="48">
        <f>IF(B1458="","",IFERROR(INDEX('04A_국토부원자료'!$A:$T,ROW()+1,MATCH("번지",'04A_국토부원자료'!$A$4:$T$4,0)),""))</f>
        <v/>
      </c>
      <c r="D1458" s="48">
        <f>IF(B1458="","",IF(Q1458=1,'02_대상물건입력'!$B$8,IFERROR(INDEX('04A_국토부원자료'!$A:$T,ROW()+1,MATCH("단지명",'04A_국토부원자료'!$A$4:$T$4,0)),"")))</f>
        <v/>
      </c>
      <c r="E1458" s="172">
        <f>IFERROR(VALUE(SUBSTITUTE(INDEX('04A_국토부원자료'!$A:$T,ROW()+1,MATCH("전용면적(㎡)",'04A_국토부원자료'!$A$4:$T$4,0)),",","")),"")</f>
        <v/>
      </c>
      <c r="F14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58" s="51">
        <f>IFERROR(VALUE(SUBSTITUTE(INDEX('04A_국토부원자료'!$A:$T,ROW()+1,MATCH("거래금액(만원)",'04A_국토부원자료'!$A$4:$T$4,0)),",","")),"")</f>
        <v/>
      </c>
      <c r="H1458" s="174">
        <f>IF(G1458="","",G1458*10000)</f>
        <v/>
      </c>
      <c r="I1458" s="174">
        <f>IFERROR(IF(AND(H1458&gt;0,E1458&gt;0),H1458/E1458,""),"")</f>
        <v/>
      </c>
      <c r="J1458" s="152">
        <f>IFERROR(VALUE(SUBSTITUTE(INDEX('04A_국토부원자료'!$A:$T,ROW()+1,MATCH("층",'04A_국토부원자료'!$A$4:$T$4,0)),",","")),"")</f>
        <v/>
      </c>
      <c r="K1458" s="152">
        <f>IFERROR(VALUE(SUBSTITUTE(INDEX('04A_국토부원자료'!$A:$T,ROW()+1,MATCH("건축년도",'04A_국토부원자료'!$A$4:$T$4,0)),",","")),"")</f>
        <v/>
      </c>
      <c r="L1458" s="176">
        <f>IFERROR(INDEX('04A_국토부원자료'!$A:$T,ROW()+1,MATCH("도로명",'04A_국토부원자료'!$A$4:$T$4,0)),"")</f>
        <v/>
      </c>
      <c r="M1458" s="48">
        <f>IFERROR(INDEX('04A_국토부원자료'!$A:$T,ROW()+1,MATCH("거래유형",'04A_국토부원자료'!$A$4:$T$4,0)),"")</f>
        <v/>
      </c>
      <c r="N1458" s="152">
        <f>IF(B1458="","",IF('02_대상물건입력'!B5="",1,IF(ISNUMBER(SEARCH('02_대상물건입력'!B5,B1458)),1,0)))</f>
        <v/>
      </c>
      <c r="O1458" s="152">
        <f>IF(B1458="","",IF('02_대상물건입력'!B6="",1,IF(ISNUMBER(SEARCH('02_대상물건입력'!B6,B1458)),1,0)))</f>
        <v/>
      </c>
      <c r="P1458" s="152">
        <f>IF(L1458="","",IF('02_대상물건입력'!B15="",0,IF(ISNUMBER(SEARCH('02_대상물건입력'!B15,L1458)),1,0)))</f>
        <v/>
      </c>
      <c r="Q1458" s="152">
        <f>IF(OR(C1458="",L1458=""),0,IF(AND(TRIM(C1458)=TRIM(RIGHT(SUBSTITUTE(TRIM('02_대상물건입력'!$B$7)," ",REPT(" ",99)),99)),IF('02_대상물건입력'!B15="",TRUE(),ISNUMBER(SEARCH('02_대상물건입력'!B15,L1458)))),1,0))</f>
        <v/>
      </c>
      <c r="R1458" s="175">
        <f>IFERROR(ABS(E1458-'02_대상물건입력'!B11)/'02_대상물건입력'!B11,"")</f>
        <v/>
      </c>
      <c r="S1458" s="152">
        <f>IFERROR(ABS(J1458-'02_대상물건입력'!B10),"")</f>
        <v/>
      </c>
      <c r="T1458" s="152">
        <f>IFERROR(ABS('01_설정'!B4-F1458),"")</f>
        <v/>
      </c>
      <c r="U1458" s="152">
        <f>IFERROR(ABS(K1458-YEAR('02_대상물건입력'!B14)),"")</f>
        <v/>
      </c>
      <c r="V1458" s="152">
        <f>IF(B1458="","",IF(AND(E1458&gt;0,F1458&gt;0,H1458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1458=1,TRUE()),R1458&lt;='01_설정'!B5,S1458&lt;='01_설정'!B6,T1458&lt;='01_설정'!B7,U1458&lt;='01_설정'!B8),"Y",""))</f>
        <v/>
      </c>
      <c r="W1458" s="172">
        <f>IF(V1458&lt;&gt;"Y","",MAX(0,(1-R1458/'01_설정'!B5))*'01_설정'!B14+MAX(0,(1-S1458/'01_설정'!B6))*'01_설정'!B15+MAX(0,(1-T1458/'01_설정'!B7))*'01_설정'!B16+MAX(0,(1-U1458/'01_설정'!B8))*'01_설정'!B17+O1458*'01_설정'!B11+Q1458*'01_설정'!B12+P1458*'01_설정'!B13+IF(Z1458="",0,Z1458))</f>
        <v/>
      </c>
      <c r="X1458" s="152">
        <f>IF(W1458="","",1+COUNTIFS($W$4:$W$3003,"&gt;"&amp;W1458)+COUNTIFS($W$4:W1458,W1458)-1)</f>
        <v/>
      </c>
      <c r="Y1458" s="175">
        <f>IF(OR(I1458="",'02_대상물건입력'!B19="",'02_대상물건입력'!B19&lt;=0),"",ABS(I1458-'02_대상물건입력'!B19)/'02_대상물건입력'!B19)</f>
        <v/>
      </c>
      <c r="Z1458" s="172">
        <f>IF(OR(Y1458="",'01_설정'!B31="",'01_설정'!B31&lt;=0,'01_설정'!B32="",'01_설정'!B32&lt;=0),"",MAX(0,(1-Y1458/'01_설정'!B32))*'01_설정'!B31)</f>
        <v/>
      </c>
    </row>
    <row r="1459" ht="17.25" customHeight="1">
      <c r="A1459" s="152">
        <f>IF(INDEX('04A_국토부원자료'!$A:$A,ROW()+1)="","",ROW()-3)</f>
        <v/>
      </c>
      <c r="B1459" s="48">
        <f>IFERROR(INDEX('04A_국토부원자료'!$A:$T,ROW()+1,MATCH("시군구",'04A_국토부원자료'!$A$4:$T$4,0)),"")</f>
        <v/>
      </c>
      <c r="C1459" s="48">
        <f>IF(B1459="","",IFERROR(INDEX('04A_국토부원자료'!$A:$T,ROW()+1,MATCH("번지",'04A_국토부원자료'!$A$4:$T$4,0)),""))</f>
        <v/>
      </c>
      <c r="D1459" s="48">
        <f>IF(B1459="","",IF(Q1459=1,'02_대상물건입력'!$B$8,IFERROR(INDEX('04A_국토부원자료'!$A:$T,ROW()+1,MATCH("단지명",'04A_국토부원자료'!$A$4:$T$4,0)),"")))</f>
        <v/>
      </c>
      <c r="E1459" s="172">
        <f>IFERROR(VALUE(SUBSTITUTE(INDEX('04A_국토부원자료'!$A:$T,ROW()+1,MATCH("전용면적(㎡)",'04A_국토부원자료'!$A$4:$T$4,0)),",","")),"")</f>
        <v/>
      </c>
      <c r="F14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59" s="51">
        <f>IFERROR(VALUE(SUBSTITUTE(INDEX('04A_국토부원자료'!$A:$T,ROW()+1,MATCH("거래금액(만원)",'04A_국토부원자료'!$A$4:$T$4,0)),",","")),"")</f>
        <v/>
      </c>
      <c r="H1459" s="174">
        <f>IF(G1459="","",G1459*10000)</f>
        <v/>
      </c>
      <c r="I1459" s="174">
        <f>IFERROR(IF(AND(H1459&gt;0,E1459&gt;0),H1459/E1459,""),"")</f>
        <v/>
      </c>
      <c r="J1459" s="152">
        <f>IFERROR(VALUE(SUBSTITUTE(INDEX('04A_국토부원자료'!$A:$T,ROW()+1,MATCH("층",'04A_국토부원자료'!$A$4:$T$4,0)),",","")),"")</f>
        <v/>
      </c>
      <c r="K1459" s="152">
        <f>IFERROR(VALUE(SUBSTITUTE(INDEX('04A_국토부원자료'!$A:$T,ROW()+1,MATCH("건축년도",'04A_국토부원자료'!$A$4:$T$4,0)),",","")),"")</f>
        <v/>
      </c>
      <c r="L1459" s="176">
        <f>IFERROR(INDEX('04A_국토부원자료'!$A:$T,ROW()+1,MATCH("도로명",'04A_국토부원자료'!$A$4:$T$4,0)),"")</f>
        <v/>
      </c>
      <c r="M1459" s="48">
        <f>IFERROR(INDEX('04A_국토부원자료'!$A:$T,ROW()+1,MATCH("거래유형",'04A_국토부원자료'!$A$4:$T$4,0)),"")</f>
        <v/>
      </c>
      <c r="N1459" s="152">
        <f>IF(B1459="","",IF('02_대상물건입력'!B5="",1,IF(ISNUMBER(SEARCH('02_대상물건입력'!B5,B1459)),1,0)))</f>
        <v/>
      </c>
      <c r="O1459" s="152">
        <f>IF(B1459="","",IF('02_대상물건입력'!B6="",1,IF(ISNUMBER(SEARCH('02_대상물건입력'!B6,B1459)),1,0)))</f>
        <v/>
      </c>
      <c r="P1459" s="152">
        <f>IF(L1459="","",IF('02_대상물건입력'!B15="",0,IF(ISNUMBER(SEARCH('02_대상물건입력'!B15,L1459)),1,0)))</f>
        <v/>
      </c>
      <c r="Q1459" s="152">
        <f>IF(OR(C1459="",L1459=""),0,IF(AND(TRIM(C1459)=TRIM(RIGHT(SUBSTITUTE(TRIM('02_대상물건입력'!$B$7)," ",REPT(" ",99)),99)),IF('02_대상물건입력'!B15="",TRUE(),ISNUMBER(SEARCH('02_대상물건입력'!B15,L1459)))),1,0))</f>
        <v/>
      </c>
      <c r="R1459" s="175">
        <f>IFERROR(ABS(E1459-'02_대상물건입력'!B11)/'02_대상물건입력'!B11,"")</f>
        <v/>
      </c>
      <c r="S1459" s="152">
        <f>IFERROR(ABS(J1459-'02_대상물건입력'!B10),"")</f>
        <v/>
      </c>
      <c r="T1459" s="152">
        <f>IFERROR(ABS('01_설정'!B4-F1459),"")</f>
        <v/>
      </c>
      <c r="U1459" s="152">
        <f>IFERROR(ABS(K1459-YEAR('02_대상물건입력'!B14)),"")</f>
        <v/>
      </c>
      <c r="V1459" s="152">
        <f>IF(B1459="","",IF(AND(E1459&gt;0,F1459&gt;0,H1459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1459=1,TRUE()),R1459&lt;='01_설정'!B5,S1459&lt;='01_설정'!B6,T1459&lt;='01_설정'!B7,U1459&lt;='01_설정'!B8),"Y",""))</f>
        <v/>
      </c>
      <c r="W1459" s="172">
        <f>IF(V1459&lt;&gt;"Y","",MAX(0,(1-R1459/'01_설정'!B5))*'01_설정'!B14+MAX(0,(1-S1459/'01_설정'!B6))*'01_설정'!B15+MAX(0,(1-T1459/'01_설정'!B7))*'01_설정'!B16+MAX(0,(1-U1459/'01_설정'!B8))*'01_설정'!B17+O1459*'01_설정'!B11+Q1459*'01_설정'!B12+P1459*'01_설정'!B13+IF(Z1459="",0,Z1459))</f>
        <v/>
      </c>
      <c r="X1459" s="152">
        <f>IF(W1459="","",1+COUNTIFS($W$4:$W$3003,"&gt;"&amp;W1459)+COUNTIFS($W$4:W1459,W1459)-1)</f>
        <v/>
      </c>
      <c r="Y1459" s="175">
        <f>IF(OR(I1459="",'02_대상물건입력'!B19="",'02_대상물건입력'!B19&lt;=0),"",ABS(I1459-'02_대상물건입력'!B19)/'02_대상물건입력'!B19)</f>
        <v/>
      </c>
      <c r="Z1459" s="172">
        <f>IF(OR(Y1459="",'01_설정'!B31="",'01_설정'!B31&lt;=0,'01_설정'!B32="",'01_설정'!B32&lt;=0),"",MAX(0,(1-Y1459/'01_설정'!B32))*'01_설정'!B31)</f>
        <v/>
      </c>
    </row>
    <row r="1460" ht="17.25" customHeight="1">
      <c r="A1460" s="152">
        <f>IF(INDEX('04A_국토부원자료'!$A:$A,ROW()+1)="","",ROW()-3)</f>
        <v/>
      </c>
      <c r="B1460" s="48">
        <f>IFERROR(INDEX('04A_국토부원자료'!$A:$T,ROW()+1,MATCH("시군구",'04A_국토부원자료'!$A$4:$T$4,0)),"")</f>
        <v/>
      </c>
      <c r="C1460" s="48">
        <f>IF(B1460="","",IFERROR(INDEX('04A_국토부원자료'!$A:$T,ROW()+1,MATCH("번지",'04A_국토부원자료'!$A$4:$T$4,0)),""))</f>
        <v/>
      </c>
      <c r="D1460" s="48">
        <f>IF(B1460="","",IF(Q1460=1,'02_대상물건입력'!$B$8,IFERROR(INDEX('04A_국토부원자료'!$A:$T,ROW()+1,MATCH("단지명",'04A_국토부원자료'!$A$4:$T$4,0)),"")))</f>
        <v/>
      </c>
      <c r="E1460" s="172">
        <f>IFERROR(VALUE(SUBSTITUTE(INDEX('04A_국토부원자료'!$A:$T,ROW()+1,MATCH("전용면적(㎡)",'04A_국토부원자료'!$A$4:$T$4,0)),",","")),"")</f>
        <v/>
      </c>
      <c r="F14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60" s="51">
        <f>IFERROR(VALUE(SUBSTITUTE(INDEX('04A_국토부원자료'!$A:$T,ROW()+1,MATCH("거래금액(만원)",'04A_국토부원자료'!$A$4:$T$4,0)),",","")),"")</f>
        <v/>
      </c>
      <c r="H1460" s="174">
        <f>IF(G1460="","",G1460*10000)</f>
        <v/>
      </c>
      <c r="I1460" s="174">
        <f>IFERROR(IF(AND(H1460&gt;0,E1460&gt;0),H1460/E1460,""),"")</f>
        <v/>
      </c>
      <c r="J1460" s="152">
        <f>IFERROR(VALUE(SUBSTITUTE(INDEX('04A_국토부원자료'!$A:$T,ROW()+1,MATCH("층",'04A_국토부원자료'!$A$4:$T$4,0)),",","")),"")</f>
        <v/>
      </c>
      <c r="K1460" s="152">
        <f>IFERROR(VALUE(SUBSTITUTE(INDEX('04A_국토부원자료'!$A:$T,ROW()+1,MATCH("건축년도",'04A_국토부원자료'!$A$4:$T$4,0)),",","")),"")</f>
        <v/>
      </c>
      <c r="L1460" s="176">
        <f>IFERROR(INDEX('04A_국토부원자료'!$A:$T,ROW()+1,MATCH("도로명",'04A_국토부원자료'!$A$4:$T$4,0)),"")</f>
        <v/>
      </c>
      <c r="M1460" s="48">
        <f>IFERROR(INDEX('04A_국토부원자료'!$A:$T,ROW()+1,MATCH("거래유형",'04A_국토부원자료'!$A$4:$T$4,0)),"")</f>
        <v/>
      </c>
      <c r="N1460" s="152">
        <f>IF(B1460="","",IF('02_대상물건입력'!B5="",1,IF(ISNUMBER(SEARCH('02_대상물건입력'!B5,B1460)),1,0)))</f>
        <v/>
      </c>
      <c r="O1460" s="152">
        <f>IF(B1460="","",IF('02_대상물건입력'!B6="",1,IF(ISNUMBER(SEARCH('02_대상물건입력'!B6,B1460)),1,0)))</f>
        <v/>
      </c>
      <c r="P1460" s="152">
        <f>IF(L1460="","",IF('02_대상물건입력'!B15="",0,IF(ISNUMBER(SEARCH('02_대상물건입력'!B15,L1460)),1,0)))</f>
        <v/>
      </c>
      <c r="Q1460" s="152">
        <f>IF(OR(C1460="",L1460=""),0,IF(AND(TRIM(C1460)=TRIM(RIGHT(SUBSTITUTE(TRIM('02_대상물건입력'!$B$7)," ",REPT(" ",99)),99)),IF('02_대상물건입력'!B15="",TRUE(),ISNUMBER(SEARCH('02_대상물건입력'!B15,L1460)))),1,0))</f>
        <v/>
      </c>
      <c r="R1460" s="175">
        <f>IFERROR(ABS(E1460-'02_대상물건입력'!B11)/'02_대상물건입력'!B11,"")</f>
        <v/>
      </c>
      <c r="S1460" s="152">
        <f>IFERROR(ABS(J1460-'02_대상물건입력'!B10),"")</f>
        <v/>
      </c>
      <c r="T1460" s="152">
        <f>IFERROR(ABS('01_설정'!B4-F1460),"")</f>
        <v/>
      </c>
      <c r="U1460" s="152">
        <f>IFERROR(ABS(K1460-YEAR('02_대상물건입력'!B14)),"")</f>
        <v/>
      </c>
      <c r="V1460" s="152">
        <f>IF(B1460="","",IF(AND(E1460&gt;0,F1460&gt;0,H1460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1460=1,TRUE()),R1460&lt;='01_설정'!B5,S1460&lt;='01_설정'!B6,T1460&lt;='01_설정'!B7,U1460&lt;='01_설정'!B8),"Y",""))</f>
        <v/>
      </c>
      <c r="W1460" s="172">
        <f>IF(V1460&lt;&gt;"Y","",MAX(0,(1-R1460/'01_설정'!B5))*'01_설정'!B14+MAX(0,(1-S1460/'01_설정'!B6))*'01_설정'!B15+MAX(0,(1-T1460/'01_설정'!B7))*'01_설정'!B16+MAX(0,(1-U1460/'01_설정'!B8))*'01_설정'!B17+O1460*'01_설정'!B11+Q1460*'01_설정'!B12+P1460*'01_설정'!B13+IF(Z1460="",0,Z1460))</f>
        <v/>
      </c>
      <c r="X1460" s="152">
        <f>IF(W1460="","",1+COUNTIFS($W$4:$W$3003,"&gt;"&amp;W1460)+COUNTIFS($W$4:W1460,W1460)-1)</f>
        <v/>
      </c>
      <c r="Y1460" s="175">
        <f>IF(OR(I1460="",'02_대상물건입력'!B19="",'02_대상물건입력'!B19&lt;=0),"",ABS(I1460-'02_대상물건입력'!B19)/'02_대상물건입력'!B19)</f>
        <v/>
      </c>
      <c r="Z1460" s="172">
        <f>IF(OR(Y1460="",'01_설정'!B31="",'01_설정'!B31&lt;=0,'01_설정'!B32="",'01_설정'!B32&lt;=0),"",MAX(0,(1-Y1460/'01_설정'!B32))*'01_설정'!B31)</f>
        <v/>
      </c>
    </row>
    <row r="1461" ht="17.25" customHeight="1">
      <c r="A1461" s="152">
        <f>IF(INDEX('04A_국토부원자료'!$A:$A,ROW()+1)="","",ROW()-3)</f>
        <v/>
      </c>
      <c r="B1461" s="48">
        <f>IFERROR(INDEX('04A_국토부원자료'!$A:$T,ROW()+1,MATCH("시군구",'04A_국토부원자료'!$A$4:$T$4,0)),"")</f>
        <v/>
      </c>
      <c r="C1461" s="48">
        <f>IF(B1461="","",IFERROR(INDEX('04A_국토부원자료'!$A:$T,ROW()+1,MATCH("번지",'04A_국토부원자료'!$A$4:$T$4,0)),""))</f>
        <v/>
      </c>
      <c r="D1461" s="48">
        <f>IF(B1461="","",IF(Q1461=1,'02_대상물건입력'!$B$8,IFERROR(INDEX('04A_국토부원자료'!$A:$T,ROW()+1,MATCH("단지명",'04A_국토부원자료'!$A$4:$T$4,0)),"")))</f>
        <v/>
      </c>
      <c r="E1461" s="172">
        <f>IFERROR(VALUE(SUBSTITUTE(INDEX('04A_국토부원자료'!$A:$T,ROW()+1,MATCH("전용면적(㎡)",'04A_국토부원자료'!$A$4:$T$4,0)),",","")),"")</f>
        <v/>
      </c>
      <c r="F14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61" s="51">
        <f>IFERROR(VALUE(SUBSTITUTE(INDEX('04A_국토부원자료'!$A:$T,ROW()+1,MATCH("거래금액(만원)",'04A_국토부원자료'!$A$4:$T$4,0)),",","")),"")</f>
        <v/>
      </c>
      <c r="H1461" s="174">
        <f>IF(G1461="","",G1461*10000)</f>
        <v/>
      </c>
      <c r="I1461" s="174">
        <f>IFERROR(IF(AND(H1461&gt;0,E1461&gt;0),H1461/E1461,""),"")</f>
        <v/>
      </c>
      <c r="J1461" s="152">
        <f>IFERROR(VALUE(SUBSTITUTE(INDEX('04A_국토부원자료'!$A:$T,ROW()+1,MATCH("층",'04A_국토부원자료'!$A$4:$T$4,0)),",","")),"")</f>
        <v/>
      </c>
      <c r="K1461" s="152">
        <f>IFERROR(VALUE(SUBSTITUTE(INDEX('04A_국토부원자료'!$A:$T,ROW()+1,MATCH("건축년도",'04A_국토부원자료'!$A$4:$T$4,0)),",","")),"")</f>
        <v/>
      </c>
      <c r="L1461" s="176">
        <f>IFERROR(INDEX('04A_국토부원자료'!$A:$T,ROW()+1,MATCH("도로명",'04A_국토부원자료'!$A$4:$T$4,0)),"")</f>
        <v/>
      </c>
      <c r="M1461" s="48">
        <f>IFERROR(INDEX('04A_국토부원자료'!$A:$T,ROW()+1,MATCH("거래유형",'04A_국토부원자료'!$A$4:$T$4,0)),"")</f>
        <v/>
      </c>
      <c r="N1461" s="152">
        <f>IF(B1461="","",IF('02_대상물건입력'!B5="",1,IF(ISNUMBER(SEARCH('02_대상물건입력'!B5,B1461)),1,0)))</f>
        <v/>
      </c>
      <c r="O1461" s="152">
        <f>IF(B1461="","",IF('02_대상물건입력'!B6="",1,IF(ISNUMBER(SEARCH('02_대상물건입력'!B6,B1461)),1,0)))</f>
        <v/>
      </c>
      <c r="P1461" s="152">
        <f>IF(L1461="","",IF('02_대상물건입력'!B15="",0,IF(ISNUMBER(SEARCH('02_대상물건입력'!B15,L1461)),1,0)))</f>
        <v/>
      </c>
      <c r="Q1461" s="152">
        <f>IF(OR(C1461="",L1461=""),0,IF(AND(TRIM(C1461)=TRIM(RIGHT(SUBSTITUTE(TRIM('02_대상물건입력'!$B$7)," ",REPT(" ",99)),99)),IF('02_대상물건입력'!B15="",TRUE(),ISNUMBER(SEARCH('02_대상물건입력'!B15,L1461)))),1,0))</f>
        <v/>
      </c>
      <c r="R1461" s="175">
        <f>IFERROR(ABS(E1461-'02_대상물건입력'!B11)/'02_대상물건입력'!B11,"")</f>
        <v/>
      </c>
      <c r="S1461" s="152">
        <f>IFERROR(ABS(J1461-'02_대상물건입력'!B10),"")</f>
        <v/>
      </c>
      <c r="T1461" s="152">
        <f>IFERROR(ABS('01_설정'!B4-F1461),"")</f>
        <v/>
      </c>
      <c r="U1461" s="152">
        <f>IFERROR(ABS(K1461-YEAR('02_대상물건입력'!B14)),"")</f>
        <v/>
      </c>
      <c r="V1461" s="152">
        <f>IF(B1461="","",IF(AND(E1461&gt;0,F1461&gt;0,H1461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1461=1,TRUE()),R1461&lt;='01_설정'!B5,S1461&lt;='01_설정'!B6,T1461&lt;='01_설정'!B7,U1461&lt;='01_설정'!B8),"Y",""))</f>
        <v/>
      </c>
      <c r="W1461" s="172">
        <f>IF(V1461&lt;&gt;"Y","",MAX(0,(1-R1461/'01_설정'!B5))*'01_설정'!B14+MAX(0,(1-S1461/'01_설정'!B6))*'01_설정'!B15+MAX(0,(1-T1461/'01_설정'!B7))*'01_설정'!B16+MAX(0,(1-U1461/'01_설정'!B8))*'01_설정'!B17+O1461*'01_설정'!B11+Q1461*'01_설정'!B12+P1461*'01_설정'!B13+IF(Z1461="",0,Z1461))</f>
        <v/>
      </c>
      <c r="X1461" s="152">
        <f>IF(W1461="","",1+COUNTIFS($W$4:$W$3003,"&gt;"&amp;W1461)+COUNTIFS($W$4:W1461,W1461)-1)</f>
        <v/>
      </c>
      <c r="Y1461" s="175">
        <f>IF(OR(I1461="",'02_대상물건입력'!B19="",'02_대상물건입력'!B19&lt;=0),"",ABS(I1461-'02_대상물건입력'!B19)/'02_대상물건입력'!B19)</f>
        <v/>
      </c>
      <c r="Z1461" s="172">
        <f>IF(OR(Y1461="",'01_설정'!B31="",'01_설정'!B31&lt;=0,'01_설정'!B32="",'01_설정'!B32&lt;=0),"",MAX(0,(1-Y1461/'01_설정'!B32))*'01_설정'!B31)</f>
        <v/>
      </c>
    </row>
    <row r="1462" ht="17.25" customHeight="1">
      <c r="A1462" s="152">
        <f>IF(INDEX('04A_국토부원자료'!$A:$A,ROW()+1)="","",ROW()-3)</f>
        <v/>
      </c>
      <c r="B1462" s="48">
        <f>IFERROR(INDEX('04A_국토부원자료'!$A:$T,ROW()+1,MATCH("시군구",'04A_국토부원자료'!$A$4:$T$4,0)),"")</f>
        <v/>
      </c>
      <c r="C1462" s="48">
        <f>IF(B1462="","",IFERROR(INDEX('04A_국토부원자료'!$A:$T,ROW()+1,MATCH("번지",'04A_국토부원자료'!$A$4:$T$4,0)),""))</f>
        <v/>
      </c>
      <c r="D1462" s="48">
        <f>IF(B1462="","",IF(Q1462=1,'02_대상물건입력'!$B$8,IFERROR(INDEX('04A_국토부원자료'!$A:$T,ROW()+1,MATCH("단지명",'04A_국토부원자료'!$A$4:$T$4,0)),"")))</f>
        <v/>
      </c>
      <c r="E1462" s="172">
        <f>IFERROR(VALUE(SUBSTITUTE(INDEX('04A_국토부원자료'!$A:$T,ROW()+1,MATCH("전용면적(㎡)",'04A_국토부원자료'!$A$4:$T$4,0)),",","")),"")</f>
        <v/>
      </c>
      <c r="F14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62" s="51">
        <f>IFERROR(VALUE(SUBSTITUTE(INDEX('04A_국토부원자료'!$A:$T,ROW()+1,MATCH("거래금액(만원)",'04A_국토부원자료'!$A$4:$T$4,0)),",","")),"")</f>
        <v/>
      </c>
      <c r="H1462" s="174">
        <f>IF(G1462="","",G1462*10000)</f>
        <v/>
      </c>
      <c r="I1462" s="174">
        <f>IFERROR(IF(AND(H1462&gt;0,E1462&gt;0),H1462/E1462,""),"")</f>
        <v/>
      </c>
      <c r="J1462" s="152">
        <f>IFERROR(VALUE(SUBSTITUTE(INDEX('04A_국토부원자료'!$A:$T,ROW()+1,MATCH("층",'04A_국토부원자료'!$A$4:$T$4,0)),",","")),"")</f>
        <v/>
      </c>
      <c r="K1462" s="152">
        <f>IFERROR(VALUE(SUBSTITUTE(INDEX('04A_국토부원자료'!$A:$T,ROW()+1,MATCH("건축년도",'04A_국토부원자료'!$A$4:$T$4,0)),",","")),"")</f>
        <v/>
      </c>
      <c r="L1462" s="176">
        <f>IFERROR(INDEX('04A_국토부원자료'!$A:$T,ROW()+1,MATCH("도로명",'04A_국토부원자료'!$A$4:$T$4,0)),"")</f>
        <v/>
      </c>
      <c r="M1462" s="48">
        <f>IFERROR(INDEX('04A_국토부원자료'!$A:$T,ROW()+1,MATCH("거래유형",'04A_국토부원자료'!$A$4:$T$4,0)),"")</f>
        <v/>
      </c>
      <c r="N1462" s="152">
        <f>IF(B1462="","",IF('02_대상물건입력'!B5="",1,IF(ISNUMBER(SEARCH('02_대상물건입력'!B5,B1462)),1,0)))</f>
        <v/>
      </c>
      <c r="O1462" s="152">
        <f>IF(B1462="","",IF('02_대상물건입력'!B6="",1,IF(ISNUMBER(SEARCH('02_대상물건입력'!B6,B1462)),1,0)))</f>
        <v/>
      </c>
      <c r="P1462" s="152">
        <f>IF(L1462="","",IF('02_대상물건입력'!B15="",0,IF(ISNUMBER(SEARCH('02_대상물건입력'!B15,L1462)),1,0)))</f>
        <v/>
      </c>
      <c r="Q1462" s="152">
        <f>IF(OR(C1462="",L1462=""),0,IF(AND(TRIM(C1462)=TRIM(RIGHT(SUBSTITUTE(TRIM('02_대상물건입력'!$B$7)," ",REPT(" ",99)),99)),IF('02_대상물건입력'!B15="",TRUE(),ISNUMBER(SEARCH('02_대상물건입력'!B15,L1462)))),1,0))</f>
        <v/>
      </c>
      <c r="R1462" s="175">
        <f>IFERROR(ABS(E1462-'02_대상물건입력'!B11)/'02_대상물건입력'!B11,"")</f>
        <v/>
      </c>
      <c r="S1462" s="152">
        <f>IFERROR(ABS(J1462-'02_대상물건입력'!B10),"")</f>
        <v/>
      </c>
      <c r="T1462" s="152">
        <f>IFERROR(ABS('01_설정'!B4-F1462),"")</f>
        <v/>
      </c>
      <c r="U1462" s="152">
        <f>IFERROR(ABS(K1462-YEAR('02_대상물건입력'!B14)),"")</f>
        <v/>
      </c>
      <c r="V1462" s="152">
        <f>IF(B1462="","",IF(AND(E1462&gt;0,F1462&gt;0,H1462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1462=1,TRUE()),R1462&lt;='01_설정'!B5,S1462&lt;='01_설정'!B6,T1462&lt;='01_설정'!B7,U1462&lt;='01_설정'!B8),"Y",""))</f>
        <v/>
      </c>
      <c r="W1462" s="172">
        <f>IF(V1462&lt;&gt;"Y","",MAX(0,(1-R1462/'01_설정'!B5))*'01_설정'!B14+MAX(0,(1-S1462/'01_설정'!B6))*'01_설정'!B15+MAX(0,(1-T1462/'01_설정'!B7))*'01_설정'!B16+MAX(0,(1-U1462/'01_설정'!B8))*'01_설정'!B17+O1462*'01_설정'!B11+Q1462*'01_설정'!B12+P1462*'01_설정'!B13+IF(Z1462="",0,Z1462))</f>
        <v/>
      </c>
      <c r="X1462" s="152">
        <f>IF(W1462="","",1+COUNTIFS($W$4:$W$3003,"&gt;"&amp;W1462)+COUNTIFS($W$4:W1462,W1462)-1)</f>
        <v/>
      </c>
      <c r="Y1462" s="175">
        <f>IF(OR(I1462="",'02_대상물건입력'!B19="",'02_대상물건입력'!B19&lt;=0),"",ABS(I1462-'02_대상물건입력'!B19)/'02_대상물건입력'!B19)</f>
        <v/>
      </c>
      <c r="Z1462" s="172">
        <f>IF(OR(Y1462="",'01_설정'!B31="",'01_설정'!B31&lt;=0,'01_설정'!B32="",'01_설정'!B32&lt;=0),"",MAX(0,(1-Y1462/'01_설정'!B32))*'01_설정'!B31)</f>
        <v/>
      </c>
    </row>
    <row r="1463" ht="17.25" customHeight="1">
      <c r="A1463" s="152">
        <f>IF(INDEX('04A_국토부원자료'!$A:$A,ROW()+1)="","",ROW()-3)</f>
        <v/>
      </c>
      <c r="B1463" s="48">
        <f>IFERROR(INDEX('04A_국토부원자료'!$A:$T,ROW()+1,MATCH("시군구",'04A_국토부원자료'!$A$4:$T$4,0)),"")</f>
        <v/>
      </c>
      <c r="C1463" s="48">
        <f>IF(B1463="","",IFERROR(INDEX('04A_국토부원자료'!$A:$T,ROW()+1,MATCH("번지",'04A_국토부원자료'!$A$4:$T$4,0)),""))</f>
        <v/>
      </c>
      <c r="D1463" s="48">
        <f>IF(B1463="","",IF(Q1463=1,'02_대상물건입력'!$B$8,IFERROR(INDEX('04A_국토부원자료'!$A:$T,ROW()+1,MATCH("단지명",'04A_국토부원자료'!$A$4:$T$4,0)),"")))</f>
        <v/>
      </c>
      <c r="E1463" s="172">
        <f>IFERROR(VALUE(SUBSTITUTE(INDEX('04A_국토부원자료'!$A:$T,ROW()+1,MATCH("전용면적(㎡)",'04A_국토부원자료'!$A$4:$T$4,0)),",","")),"")</f>
        <v/>
      </c>
      <c r="F14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63" s="51">
        <f>IFERROR(VALUE(SUBSTITUTE(INDEX('04A_국토부원자료'!$A:$T,ROW()+1,MATCH("거래금액(만원)",'04A_국토부원자료'!$A$4:$T$4,0)),",","")),"")</f>
        <v/>
      </c>
      <c r="H1463" s="174">
        <f>IF(G1463="","",G1463*10000)</f>
        <v/>
      </c>
      <c r="I1463" s="174">
        <f>IFERROR(IF(AND(H1463&gt;0,E1463&gt;0),H1463/E1463,""),"")</f>
        <v/>
      </c>
      <c r="J1463" s="152">
        <f>IFERROR(VALUE(SUBSTITUTE(INDEX('04A_국토부원자료'!$A:$T,ROW()+1,MATCH("층",'04A_국토부원자료'!$A$4:$T$4,0)),",","")),"")</f>
        <v/>
      </c>
      <c r="K1463" s="152">
        <f>IFERROR(VALUE(SUBSTITUTE(INDEX('04A_국토부원자료'!$A:$T,ROW()+1,MATCH("건축년도",'04A_국토부원자료'!$A$4:$T$4,0)),",","")),"")</f>
        <v/>
      </c>
      <c r="L1463" s="176">
        <f>IFERROR(INDEX('04A_국토부원자료'!$A:$T,ROW()+1,MATCH("도로명",'04A_국토부원자료'!$A$4:$T$4,0)),"")</f>
        <v/>
      </c>
      <c r="M1463" s="48">
        <f>IFERROR(INDEX('04A_국토부원자료'!$A:$T,ROW()+1,MATCH("거래유형",'04A_국토부원자료'!$A$4:$T$4,0)),"")</f>
        <v/>
      </c>
      <c r="N1463" s="152">
        <f>IF(B1463="","",IF('02_대상물건입력'!B5="",1,IF(ISNUMBER(SEARCH('02_대상물건입력'!B5,B1463)),1,0)))</f>
        <v/>
      </c>
      <c r="O1463" s="152">
        <f>IF(B1463="","",IF('02_대상물건입력'!B6="",1,IF(ISNUMBER(SEARCH('02_대상물건입력'!B6,B1463)),1,0)))</f>
        <v/>
      </c>
      <c r="P1463" s="152">
        <f>IF(L1463="","",IF('02_대상물건입력'!B15="",0,IF(ISNUMBER(SEARCH('02_대상물건입력'!B15,L1463)),1,0)))</f>
        <v/>
      </c>
      <c r="Q1463" s="152">
        <f>IF(OR(C1463="",L1463=""),0,IF(AND(TRIM(C1463)=TRIM(RIGHT(SUBSTITUTE(TRIM('02_대상물건입력'!$B$7)," ",REPT(" ",99)),99)),IF('02_대상물건입력'!B15="",TRUE(),ISNUMBER(SEARCH('02_대상물건입력'!B15,L1463)))),1,0))</f>
        <v/>
      </c>
      <c r="R1463" s="175">
        <f>IFERROR(ABS(E1463-'02_대상물건입력'!B11)/'02_대상물건입력'!B11,"")</f>
        <v/>
      </c>
      <c r="S1463" s="152">
        <f>IFERROR(ABS(J1463-'02_대상물건입력'!B10),"")</f>
        <v/>
      </c>
      <c r="T1463" s="152">
        <f>IFERROR(ABS('01_설정'!B4-F1463),"")</f>
        <v/>
      </c>
      <c r="U1463" s="152">
        <f>IFERROR(ABS(K1463-YEAR('02_대상물건입력'!B14)),"")</f>
        <v/>
      </c>
      <c r="V1463" s="152">
        <f>IF(B1463="","",IF(AND(E1463&gt;0,F1463&gt;0,H1463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1463=1,TRUE()),R1463&lt;='01_설정'!B5,S1463&lt;='01_설정'!B6,T1463&lt;='01_설정'!B7,U1463&lt;='01_설정'!B8),"Y",""))</f>
        <v/>
      </c>
      <c r="W1463" s="172">
        <f>IF(V1463&lt;&gt;"Y","",MAX(0,(1-R1463/'01_설정'!B5))*'01_설정'!B14+MAX(0,(1-S1463/'01_설정'!B6))*'01_설정'!B15+MAX(0,(1-T1463/'01_설정'!B7))*'01_설정'!B16+MAX(0,(1-U1463/'01_설정'!B8))*'01_설정'!B17+O1463*'01_설정'!B11+Q1463*'01_설정'!B12+P1463*'01_설정'!B13+IF(Z1463="",0,Z1463))</f>
        <v/>
      </c>
      <c r="X1463" s="152">
        <f>IF(W1463="","",1+COUNTIFS($W$4:$W$3003,"&gt;"&amp;W1463)+COUNTIFS($W$4:W1463,W1463)-1)</f>
        <v/>
      </c>
      <c r="Y1463" s="175">
        <f>IF(OR(I1463="",'02_대상물건입력'!B19="",'02_대상물건입력'!B19&lt;=0),"",ABS(I1463-'02_대상물건입력'!B19)/'02_대상물건입력'!B19)</f>
        <v/>
      </c>
      <c r="Z1463" s="172">
        <f>IF(OR(Y1463="",'01_설정'!B31="",'01_설정'!B31&lt;=0,'01_설정'!B32="",'01_설정'!B32&lt;=0),"",MAX(0,(1-Y1463/'01_설정'!B32))*'01_설정'!B31)</f>
        <v/>
      </c>
    </row>
    <row r="1464" ht="17.25" customHeight="1">
      <c r="A1464" s="152">
        <f>IF(INDEX('04A_국토부원자료'!$A:$A,ROW()+1)="","",ROW()-3)</f>
        <v/>
      </c>
      <c r="B1464" s="48">
        <f>IFERROR(INDEX('04A_국토부원자료'!$A:$T,ROW()+1,MATCH("시군구",'04A_국토부원자료'!$A$4:$T$4,0)),"")</f>
        <v/>
      </c>
      <c r="C1464" s="48">
        <f>IF(B1464="","",IFERROR(INDEX('04A_국토부원자료'!$A:$T,ROW()+1,MATCH("번지",'04A_국토부원자료'!$A$4:$T$4,0)),""))</f>
        <v/>
      </c>
      <c r="D1464" s="48">
        <f>IF(B1464="","",IF(Q1464=1,'02_대상물건입력'!$B$8,IFERROR(INDEX('04A_국토부원자료'!$A:$T,ROW()+1,MATCH("단지명",'04A_국토부원자료'!$A$4:$T$4,0)),"")))</f>
        <v/>
      </c>
      <c r="E1464" s="172">
        <f>IFERROR(VALUE(SUBSTITUTE(INDEX('04A_국토부원자료'!$A:$T,ROW()+1,MATCH("전용면적(㎡)",'04A_국토부원자료'!$A$4:$T$4,0)),",","")),"")</f>
        <v/>
      </c>
      <c r="F14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64" s="51">
        <f>IFERROR(VALUE(SUBSTITUTE(INDEX('04A_국토부원자료'!$A:$T,ROW()+1,MATCH("거래금액(만원)",'04A_국토부원자료'!$A$4:$T$4,0)),",","")),"")</f>
        <v/>
      </c>
      <c r="H1464" s="174">
        <f>IF(G1464="","",G1464*10000)</f>
        <v/>
      </c>
      <c r="I1464" s="174">
        <f>IFERROR(IF(AND(H1464&gt;0,E1464&gt;0),H1464/E1464,""),"")</f>
        <v/>
      </c>
      <c r="J1464" s="152">
        <f>IFERROR(VALUE(SUBSTITUTE(INDEX('04A_국토부원자료'!$A:$T,ROW()+1,MATCH("층",'04A_국토부원자료'!$A$4:$T$4,0)),",","")),"")</f>
        <v/>
      </c>
      <c r="K1464" s="152">
        <f>IFERROR(VALUE(SUBSTITUTE(INDEX('04A_국토부원자료'!$A:$T,ROW()+1,MATCH("건축년도",'04A_국토부원자료'!$A$4:$T$4,0)),",","")),"")</f>
        <v/>
      </c>
      <c r="L1464" s="176">
        <f>IFERROR(INDEX('04A_국토부원자료'!$A:$T,ROW()+1,MATCH("도로명",'04A_국토부원자료'!$A$4:$T$4,0)),"")</f>
        <v/>
      </c>
      <c r="M1464" s="48">
        <f>IFERROR(INDEX('04A_국토부원자료'!$A:$T,ROW()+1,MATCH("거래유형",'04A_국토부원자료'!$A$4:$T$4,0)),"")</f>
        <v/>
      </c>
      <c r="N1464" s="152">
        <f>IF(B1464="","",IF('02_대상물건입력'!B5="",1,IF(ISNUMBER(SEARCH('02_대상물건입력'!B5,B1464)),1,0)))</f>
        <v/>
      </c>
      <c r="O1464" s="152">
        <f>IF(B1464="","",IF('02_대상물건입력'!B6="",1,IF(ISNUMBER(SEARCH('02_대상물건입력'!B6,B1464)),1,0)))</f>
        <v/>
      </c>
      <c r="P1464" s="152">
        <f>IF(L1464="","",IF('02_대상물건입력'!B15="",0,IF(ISNUMBER(SEARCH('02_대상물건입력'!B15,L1464)),1,0)))</f>
        <v/>
      </c>
      <c r="Q1464" s="152">
        <f>IF(OR(C1464="",L1464=""),0,IF(AND(TRIM(C1464)=TRIM(RIGHT(SUBSTITUTE(TRIM('02_대상물건입력'!$B$7)," ",REPT(" ",99)),99)),IF('02_대상물건입력'!B15="",TRUE(),ISNUMBER(SEARCH('02_대상물건입력'!B15,L1464)))),1,0))</f>
        <v/>
      </c>
      <c r="R1464" s="175">
        <f>IFERROR(ABS(E1464-'02_대상물건입력'!B11)/'02_대상물건입력'!B11,"")</f>
        <v/>
      </c>
      <c r="S1464" s="152">
        <f>IFERROR(ABS(J1464-'02_대상물건입력'!B10),"")</f>
        <v/>
      </c>
      <c r="T1464" s="152">
        <f>IFERROR(ABS('01_설정'!B4-F1464),"")</f>
        <v/>
      </c>
      <c r="U1464" s="152">
        <f>IFERROR(ABS(K1464-YEAR('02_대상물건입력'!B14)),"")</f>
        <v/>
      </c>
      <c r="V1464" s="152">
        <f>IF(B1464="","",IF(AND(E1464&gt;0,F1464&gt;0,H1464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1464=1,TRUE()),R1464&lt;='01_설정'!B5,S1464&lt;='01_설정'!B6,T1464&lt;='01_설정'!B7,U1464&lt;='01_설정'!B8),"Y",""))</f>
        <v/>
      </c>
      <c r="W1464" s="172">
        <f>IF(V1464&lt;&gt;"Y","",MAX(0,(1-R1464/'01_설정'!B5))*'01_설정'!B14+MAX(0,(1-S1464/'01_설정'!B6))*'01_설정'!B15+MAX(0,(1-T1464/'01_설정'!B7))*'01_설정'!B16+MAX(0,(1-U1464/'01_설정'!B8))*'01_설정'!B17+O1464*'01_설정'!B11+Q1464*'01_설정'!B12+P1464*'01_설정'!B13+IF(Z1464="",0,Z1464))</f>
        <v/>
      </c>
      <c r="X1464" s="152">
        <f>IF(W1464="","",1+COUNTIFS($W$4:$W$3003,"&gt;"&amp;W1464)+COUNTIFS($W$4:W1464,W1464)-1)</f>
        <v/>
      </c>
      <c r="Y1464" s="175">
        <f>IF(OR(I1464="",'02_대상물건입력'!B19="",'02_대상물건입력'!B19&lt;=0),"",ABS(I1464-'02_대상물건입력'!B19)/'02_대상물건입력'!B19)</f>
        <v/>
      </c>
      <c r="Z1464" s="172">
        <f>IF(OR(Y1464="",'01_설정'!B31="",'01_설정'!B31&lt;=0,'01_설정'!B32="",'01_설정'!B32&lt;=0),"",MAX(0,(1-Y1464/'01_설정'!B32))*'01_설정'!B31)</f>
        <v/>
      </c>
    </row>
    <row r="1465" ht="17.25" customHeight="1">
      <c r="A1465" s="152">
        <f>IF(INDEX('04A_국토부원자료'!$A:$A,ROW()+1)="","",ROW()-3)</f>
        <v/>
      </c>
      <c r="B1465" s="48">
        <f>IFERROR(INDEX('04A_국토부원자료'!$A:$T,ROW()+1,MATCH("시군구",'04A_국토부원자료'!$A$4:$T$4,0)),"")</f>
        <v/>
      </c>
      <c r="C1465" s="48">
        <f>IF(B1465="","",IFERROR(INDEX('04A_국토부원자료'!$A:$T,ROW()+1,MATCH("번지",'04A_국토부원자료'!$A$4:$T$4,0)),""))</f>
        <v/>
      </c>
      <c r="D1465" s="48">
        <f>IF(B1465="","",IF(Q1465=1,'02_대상물건입력'!$B$8,IFERROR(INDEX('04A_국토부원자료'!$A:$T,ROW()+1,MATCH("단지명",'04A_국토부원자료'!$A$4:$T$4,0)),"")))</f>
        <v/>
      </c>
      <c r="E1465" s="172">
        <f>IFERROR(VALUE(SUBSTITUTE(INDEX('04A_국토부원자료'!$A:$T,ROW()+1,MATCH("전용면적(㎡)",'04A_국토부원자료'!$A$4:$T$4,0)),",","")),"")</f>
        <v/>
      </c>
      <c r="F14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65" s="51">
        <f>IFERROR(VALUE(SUBSTITUTE(INDEX('04A_국토부원자료'!$A:$T,ROW()+1,MATCH("거래금액(만원)",'04A_국토부원자료'!$A$4:$T$4,0)),",","")),"")</f>
        <v/>
      </c>
      <c r="H1465" s="174">
        <f>IF(G1465="","",G1465*10000)</f>
        <v/>
      </c>
      <c r="I1465" s="174">
        <f>IFERROR(IF(AND(H1465&gt;0,E1465&gt;0),H1465/E1465,""),"")</f>
        <v/>
      </c>
      <c r="J1465" s="152">
        <f>IFERROR(VALUE(SUBSTITUTE(INDEX('04A_국토부원자료'!$A:$T,ROW()+1,MATCH("층",'04A_국토부원자료'!$A$4:$T$4,0)),",","")),"")</f>
        <v/>
      </c>
      <c r="K1465" s="152">
        <f>IFERROR(VALUE(SUBSTITUTE(INDEX('04A_국토부원자료'!$A:$T,ROW()+1,MATCH("건축년도",'04A_국토부원자료'!$A$4:$T$4,0)),",","")),"")</f>
        <v/>
      </c>
      <c r="L1465" s="176">
        <f>IFERROR(INDEX('04A_국토부원자료'!$A:$T,ROW()+1,MATCH("도로명",'04A_국토부원자료'!$A$4:$T$4,0)),"")</f>
        <v/>
      </c>
      <c r="M1465" s="48">
        <f>IFERROR(INDEX('04A_국토부원자료'!$A:$T,ROW()+1,MATCH("거래유형",'04A_국토부원자료'!$A$4:$T$4,0)),"")</f>
        <v/>
      </c>
      <c r="N1465" s="152">
        <f>IF(B1465="","",IF('02_대상물건입력'!B5="",1,IF(ISNUMBER(SEARCH('02_대상물건입력'!B5,B1465)),1,0)))</f>
        <v/>
      </c>
      <c r="O1465" s="152">
        <f>IF(B1465="","",IF('02_대상물건입력'!B6="",1,IF(ISNUMBER(SEARCH('02_대상물건입력'!B6,B1465)),1,0)))</f>
        <v/>
      </c>
      <c r="P1465" s="152">
        <f>IF(L1465="","",IF('02_대상물건입력'!B15="",0,IF(ISNUMBER(SEARCH('02_대상물건입력'!B15,L1465)),1,0)))</f>
        <v/>
      </c>
      <c r="Q1465" s="152">
        <f>IF(OR(C1465="",L1465=""),0,IF(AND(TRIM(C1465)=TRIM(RIGHT(SUBSTITUTE(TRIM('02_대상물건입력'!$B$7)," ",REPT(" ",99)),99)),IF('02_대상물건입력'!B15="",TRUE(),ISNUMBER(SEARCH('02_대상물건입력'!B15,L1465)))),1,0))</f>
        <v/>
      </c>
      <c r="R1465" s="175">
        <f>IFERROR(ABS(E1465-'02_대상물건입력'!B11)/'02_대상물건입력'!B11,"")</f>
        <v/>
      </c>
      <c r="S1465" s="152">
        <f>IFERROR(ABS(J1465-'02_대상물건입력'!B10),"")</f>
        <v/>
      </c>
      <c r="T1465" s="152">
        <f>IFERROR(ABS('01_설정'!B4-F1465),"")</f>
        <v/>
      </c>
      <c r="U1465" s="152">
        <f>IFERROR(ABS(K1465-YEAR('02_대상물건입력'!B14)),"")</f>
        <v/>
      </c>
      <c r="V1465" s="152">
        <f>IF(B1465="","",IF(AND(E1465&gt;0,F1465&gt;0,H1465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1465=1,TRUE()),R1465&lt;='01_설정'!B5,S1465&lt;='01_설정'!B6,T1465&lt;='01_설정'!B7,U1465&lt;='01_설정'!B8),"Y",""))</f>
        <v/>
      </c>
      <c r="W1465" s="172">
        <f>IF(V1465&lt;&gt;"Y","",MAX(0,(1-R1465/'01_설정'!B5))*'01_설정'!B14+MAX(0,(1-S1465/'01_설정'!B6))*'01_설정'!B15+MAX(0,(1-T1465/'01_설정'!B7))*'01_설정'!B16+MAX(0,(1-U1465/'01_설정'!B8))*'01_설정'!B17+O1465*'01_설정'!B11+Q1465*'01_설정'!B12+P1465*'01_설정'!B13+IF(Z1465="",0,Z1465))</f>
        <v/>
      </c>
      <c r="X1465" s="152">
        <f>IF(W1465="","",1+COUNTIFS($W$4:$W$3003,"&gt;"&amp;W1465)+COUNTIFS($W$4:W1465,W1465)-1)</f>
        <v/>
      </c>
      <c r="Y1465" s="175">
        <f>IF(OR(I1465="",'02_대상물건입력'!B19="",'02_대상물건입력'!B19&lt;=0),"",ABS(I1465-'02_대상물건입력'!B19)/'02_대상물건입력'!B19)</f>
        <v/>
      </c>
      <c r="Z1465" s="172">
        <f>IF(OR(Y1465="",'01_설정'!B31="",'01_설정'!B31&lt;=0,'01_설정'!B32="",'01_설정'!B32&lt;=0),"",MAX(0,(1-Y1465/'01_설정'!B32))*'01_설정'!B31)</f>
        <v/>
      </c>
    </row>
    <row r="1466" ht="17.25" customHeight="1">
      <c r="A1466" s="152">
        <f>IF(INDEX('04A_국토부원자료'!$A:$A,ROW()+1)="","",ROW()-3)</f>
        <v/>
      </c>
      <c r="B1466" s="48">
        <f>IFERROR(INDEX('04A_국토부원자료'!$A:$T,ROW()+1,MATCH("시군구",'04A_국토부원자료'!$A$4:$T$4,0)),"")</f>
        <v/>
      </c>
      <c r="C1466" s="48">
        <f>IF(B1466="","",IFERROR(INDEX('04A_국토부원자료'!$A:$T,ROW()+1,MATCH("번지",'04A_국토부원자료'!$A$4:$T$4,0)),""))</f>
        <v/>
      </c>
      <c r="D1466" s="48">
        <f>IF(B1466="","",IF(Q1466=1,'02_대상물건입력'!$B$8,IFERROR(INDEX('04A_국토부원자료'!$A:$T,ROW()+1,MATCH("단지명",'04A_국토부원자료'!$A$4:$T$4,0)),"")))</f>
        <v/>
      </c>
      <c r="E1466" s="172">
        <f>IFERROR(VALUE(SUBSTITUTE(INDEX('04A_국토부원자료'!$A:$T,ROW()+1,MATCH("전용면적(㎡)",'04A_국토부원자료'!$A$4:$T$4,0)),",","")),"")</f>
        <v/>
      </c>
      <c r="F14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66" s="51">
        <f>IFERROR(VALUE(SUBSTITUTE(INDEX('04A_국토부원자료'!$A:$T,ROW()+1,MATCH("거래금액(만원)",'04A_국토부원자료'!$A$4:$T$4,0)),",","")),"")</f>
        <v/>
      </c>
      <c r="H1466" s="174">
        <f>IF(G1466="","",G1466*10000)</f>
        <v/>
      </c>
      <c r="I1466" s="174">
        <f>IFERROR(IF(AND(H1466&gt;0,E1466&gt;0),H1466/E1466,""),"")</f>
        <v/>
      </c>
      <c r="J1466" s="152">
        <f>IFERROR(VALUE(SUBSTITUTE(INDEX('04A_국토부원자료'!$A:$T,ROW()+1,MATCH("층",'04A_국토부원자료'!$A$4:$T$4,0)),",","")),"")</f>
        <v/>
      </c>
      <c r="K1466" s="152">
        <f>IFERROR(VALUE(SUBSTITUTE(INDEX('04A_국토부원자료'!$A:$T,ROW()+1,MATCH("건축년도",'04A_국토부원자료'!$A$4:$T$4,0)),",","")),"")</f>
        <v/>
      </c>
      <c r="L1466" s="176">
        <f>IFERROR(INDEX('04A_국토부원자료'!$A:$T,ROW()+1,MATCH("도로명",'04A_국토부원자료'!$A$4:$T$4,0)),"")</f>
        <v/>
      </c>
      <c r="M1466" s="48">
        <f>IFERROR(INDEX('04A_국토부원자료'!$A:$T,ROW()+1,MATCH("거래유형",'04A_국토부원자료'!$A$4:$T$4,0)),"")</f>
        <v/>
      </c>
      <c r="N1466" s="152">
        <f>IF(B1466="","",IF('02_대상물건입력'!B5="",1,IF(ISNUMBER(SEARCH('02_대상물건입력'!B5,B1466)),1,0)))</f>
        <v/>
      </c>
      <c r="O1466" s="152">
        <f>IF(B1466="","",IF('02_대상물건입력'!B6="",1,IF(ISNUMBER(SEARCH('02_대상물건입력'!B6,B1466)),1,0)))</f>
        <v/>
      </c>
      <c r="P1466" s="152">
        <f>IF(L1466="","",IF('02_대상물건입력'!B15="",0,IF(ISNUMBER(SEARCH('02_대상물건입력'!B15,L1466)),1,0)))</f>
        <v/>
      </c>
      <c r="Q1466" s="152">
        <f>IF(OR(C1466="",L1466=""),0,IF(AND(TRIM(C1466)=TRIM(RIGHT(SUBSTITUTE(TRIM('02_대상물건입력'!$B$7)," ",REPT(" ",99)),99)),IF('02_대상물건입력'!B15="",TRUE(),ISNUMBER(SEARCH('02_대상물건입력'!B15,L1466)))),1,0))</f>
        <v/>
      </c>
      <c r="R1466" s="175">
        <f>IFERROR(ABS(E1466-'02_대상물건입력'!B11)/'02_대상물건입력'!B11,"")</f>
        <v/>
      </c>
      <c r="S1466" s="152">
        <f>IFERROR(ABS(J1466-'02_대상물건입력'!B10),"")</f>
        <v/>
      </c>
      <c r="T1466" s="152">
        <f>IFERROR(ABS('01_설정'!B4-F1466),"")</f>
        <v/>
      </c>
      <c r="U1466" s="152">
        <f>IFERROR(ABS(K1466-YEAR('02_대상물건입력'!B14)),"")</f>
        <v/>
      </c>
      <c r="V1466" s="152">
        <f>IF(B1466="","",IF(AND(E1466&gt;0,F1466&gt;0,H1466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1466=1,TRUE()),R1466&lt;='01_설정'!B5,S1466&lt;='01_설정'!B6,T1466&lt;='01_설정'!B7,U1466&lt;='01_설정'!B8),"Y",""))</f>
        <v/>
      </c>
      <c r="W1466" s="172">
        <f>IF(V1466&lt;&gt;"Y","",MAX(0,(1-R1466/'01_설정'!B5))*'01_설정'!B14+MAX(0,(1-S1466/'01_설정'!B6))*'01_설정'!B15+MAX(0,(1-T1466/'01_설정'!B7))*'01_설정'!B16+MAX(0,(1-U1466/'01_설정'!B8))*'01_설정'!B17+O1466*'01_설정'!B11+Q1466*'01_설정'!B12+P1466*'01_설정'!B13+IF(Z1466="",0,Z1466))</f>
        <v/>
      </c>
      <c r="X1466" s="152">
        <f>IF(W1466="","",1+COUNTIFS($W$4:$W$3003,"&gt;"&amp;W1466)+COUNTIFS($W$4:W1466,W1466)-1)</f>
        <v/>
      </c>
      <c r="Y1466" s="175">
        <f>IF(OR(I1466="",'02_대상물건입력'!B19="",'02_대상물건입력'!B19&lt;=0),"",ABS(I1466-'02_대상물건입력'!B19)/'02_대상물건입력'!B19)</f>
        <v/>
      </c>
      <c r="Z1466" s="172">
        <f>IF(OR(Y1466="",'01_설정'!B31="",'01_설정'!B31&lt;=0,'01_설정'!B32="",'01_설정'!B32&lt;=0),"",MAX(0,(1-Y1466/'01_설정'!B32))*'01_설정'!B31)</f>
        <v/>
      </c>
    </row>
    <row r="1467" ht="17.25" customHeight="1">
      <c r="A1467" s="152">
        <f>IF(INDEX('04A_국토부원자료'!$A:$A,ROW()+1)="","",ROW()-3)</f>
        <v/>
      </c>
      <c r="B1467" s="48">
        <f>IFERROR(INDEX('04A_국토부원자료'!$A:$T,ROW()+1,MATCH("시군구",'04A_국토부원자료'!$A$4:$T$4,0)),"")</f>
        <v/>
      </c>
      <c r="C1467" s="48">
        <f>IF(B1467="","",IFERROR(INDEX('04A_국토부원자료'!$A:$T,ROW()+1,MATCH("번지",'04A_국토부원자료'!$A$4:$T$4,0)),""))</f>
        <v/>
      </c>
      <c r="D1467" s="48">
        <f>IF(B1467="","",IF(Q1467=1,'02_대상물건입력'!$B$8,IFERROR(INDEX('04A_국토부원자료'!$A:$T,ROW()+1,MATCH("단지명",'04A_국토부원자료'!$A$4:$T$4,0)),"")))</f>
        <v/>
      </c>
      <c r="E1467" s="172">
        <f>IFERROR(VALUE(SUBSTITUTE(INDEX('04A_국토부원자료'!$A:$T,ROW()+1,MATCH("전용면적(㎡)",'04A_국토부원자료'!$A$4:$T$4,0)),",","")),"")</f>
        <v/>
      </c>
      <c r="F14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67" s="51">
        <f>IFERROR(VALUE(SUBSTITUTE(INDEX('04A_국토부원자료'!$A:$T,ROW()+1,MATCH("거래금액(만원)",'04A_국토부원자료'!$A$4:$T$4,0)),",","")),"")</f>
        <v/>
      </c>
      <c r="H1467" s="174">
        <f>IF(G1467="","",G1467*10000)</f>
        <v/>
      </c>
      <c r="I1467" s="174">
        <f>IFERROR(IF(AND(H1467&gt;0,E1467&gt;0),H1467/E1467,""),"")</f>
        <v/>
      </c>
      <c r="J1467" s="152">
        <f>IFERROR(VALUE(SUBSTITUTE(INDEX('04A_국토부원자료'!$A:$T,ROW()+1,MATCH("층",'04A_국토부원자료'!$A$4:$T$4,0)),",","")),"")</f>
        <v/>
      </c>
      <c r="K1467" s="152">
        <f>IFERROR(VALUE(SUBSTITUTE(INDEX('04A_국토부원자료'!$A:$T,ROW()+1,MATCH("건축년도",'04A_국토부원자료'!$A$4:$T$4,0)),",","")),"")</f>
        <v/>
      </c>
      <c r="L1467" s="176">
        <f>IFERROR(INDEX('04A_국토부원자료'!$A:$T,ROW()+1,MATCH("도로명",'04A_국토부원자료'!$A$4:$T$4,0)),"")</f>
        <v/>
      </c>
      <c r="M1467" s="48">
        <f>IFERROR(INDEX('04A_국토부원자료'!$A:$T,ROW()+1,MATCH("거래유형",'04A_국토부원자료'!$A$4:$T$4,0)),"")</f>
        <v/>
      </c>
      <c r="N1467" s="152">
        <f>IF(B1467="","",IF('02_대상물건입력'!B5="",1,IF(ISNUMBER(SEARCH('02_대상물건입력'!B5,B1467)),1,0)))</f>
        <v/>
      </c>
      <c r="O1467" s="152">
        <f>IF(B1467="","",IF('02_대상물건입력'!B6="",1,IF(ISNUMBER(SEARCH('02_대상물건입력'!B6,B1467)),1,0)))</f>
        <v/>
      </c>
      <c r="P1467" s="152">
        <f>IF(L1467="","",IF('02_대상물건입력'!B15="",0,IF(ISNUMBER(SEARCH('02_대상물건입력'!B15,L1467)),1,0)))</f>
        <v/>
      </c>
      <c r="Q1467" s="152">
        <f>IF(OR(C1467="",L1467=""),0,IF(AND(TRIM(C1467)=TRIM(RIGHT(SUBSTITUTE(TRIM('02_대상물건입력'!$B$7)," ",REPT(" ",99)),99)),IF('02_대상물건입력'!B15="",TRUE(),ISNUMBER(SEARCH('02_대상물건입력'!B15,L1467)))),1,0))</f>
        <v/>
      </c>
      <c r="R1467" s="175">
        <f>IFERROR(ABS(E1467-'02_대상물건입력'!B11)/'02_대상물건입력'!B11,"")</f>
        <v/>
      </c>
      <c r="S1467" s="152">
        <f>IFERROR(ABS(J1467-'02_대상물건입력'!B10),"")</f>
        <v/>
      </c>
      <c r="T1467" s="152">
        <f>IFERROR(ABS('01_설정'!B4-F1467),"")</f>
        <v/>
      </c>
      <c r="U1467" s="152">
        <f>IFERROR(ABS(K1467-YEAR('02_대상물건입력'!B14)),"")</f>
        <v/>
      </c>
      <c r="V1467" s="152">
        <f>IF(B1467="","",IF(AND(E1467&gt;0,F1467&gt;0,H1467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1467=1,TRUE()),R1467&lt;='01_설정'!B5,S1467&lt;='01_설정'!B6,T1467&lt;='01_설정'!B7,U1467&lt;='01_설정'!B8),"Y",""))</f>
        <v/>
      </c>
      <c r="W1467" s="172">
        <f>IF(V1467&lt;&gt;"Y","",MAX(0,(1-R1467/'01_설정'!B5))*'01_설정'!B14+MAX(0,(1-S1467/'01_설정'!B6))*'01_설정'!B15+MAX(0,(1-T1467/'01_설정'!B7))*'01_설정'!B16+MAX(0,(1-U1467/'01_설정'!B8))*'01_설정'!B17+O1467*'01_설정'!B11+Q1467*'01_설정'!B12+P1467*'01_설정'!B13+IF(Z1467="",0,Z1467))</f>
        <v/>
      </c>
      <c r="X1467" s="152">
        <f>IF(W1467="","",1+COUNTIFS($W$4:$W$3003,"&gt;"&amp;W1467)+COUNTIFS($W$4:W1467,W1467)-1)</f>
        <v/>
      </c>
      <c r="Y1467" s="175">
        <f>IF(OR(I1467="",'02_대상물건입력'!B19="",'02_대상물건입력'!B19&lt;=0),"",ABS(I1467-'02_대상물건입력'!B19)/'02_대상물건입력'!B19)</f>
        <v/>
      </c>
      <c r="Z1467" s="172">
        <f>IF(OR(Y1467="",'01_설정'!B31="",'01_설정'!B31&lt;=0,'01_설정'!B32="",'01_설정'!B32&lt;=0),"",MAX(0,(1-Y1467/'01_설정'!B32))*'01_설정'!B31)</f>
        <v/>
      </c>
    </row>
    <row r="1468" ht="17.25" customHeight="1">
      <c r="A1468" s="152">
        <f>IF(INDEX('04A_국토부원자료'!$A:$A,ROW()+1)="","",ROW()-3)</f>
        <v/>
      </c>
      <c r="B1468" s="48">
        <f>IFERROR(INDEX('04A_국토부원자료'!$A:$T,ROW()+1,MATCH("시군구",'04A_국토부원자료'!$A$4:$T$4,0)),"")</f>
        <v/>
      </c>
      <c r="C1468" s="48">
        <f>IF(B1468="","",IFERROR(INDEX('04A_국토부원자료'!$A:$T,ROW()+1,MATCH("번지",'04A_국토부원자료'!$A$4:$T$4,0)),""))</f>
        <v/>
      </c>
      <c r="D1468" s="48">
        <f>IF(B1468="","",IF(Q1468=1,'02_대상물건입력'!$B$8,IFERROR(INDEX('04A_국토부원자료'!$A:$T,ROW()+1,MATCH("단지명",'04A_국토부원자료'!$A$4:$T$4,0)),"")))</f>
        <v/>
      </c>
      <c r="E1468" s="172">
        <f>IFERROR(VALUE(SUBSTITUTE(INDEX('04A_국토부원자료'!$A:$T,ROW()+1,MATCH("전용면적(㎡)",'04A_국토부원자료'!$A$4:$T$4,0)),",","")),"")</f>
        <v/>
      </c>
      <c r="F14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68" s="51">
        <f>IFERROR(VALUE(SUBSTITUTE(INDEX('04A_국토부원자료'!$A:$T,ROW()+1,MATCH("거래금액(만원)",'04A_국토부원자료'!$A$4:$T$4,0)),",","")),"")</f>
        <v/>
      </c>
      <c r="H1468" s="174">
        <f>IF(G1468="","",G1468*10000)</f>
        <v/>
      </c>
      <c r="I1468" s="174">
        <f>IFERROR(IF(AND(H1468&gt;0,E1468&gt;0),H1468/E1468,""),"")</f>
        <v/>
      </c>
      <c r="J1468" s="152">
        <f>IFERROR(VALUE(SUBSTITUTE(INDEX('04A_국토부원자료'!$A:$T,ROW()+1,MATCH("층",'04A_국토부원자료'!$A$4:$T$4,0)),",","")),"")</f>
        <v/>
      </c>
      <c r="K1468" s="152">
        <f>IFERROR(VALUE(SUBSTITUTE(INDEX('04A_국토부원자료'!$A:$T,ROW()+1,MATCH("건축년도",'04A_국토부원자료'!$A$4:$T$4,0)),",","")),"")</f>
        <v/>
      </c>
      <c r="L1468" s="176">
        <f>IFERROR(INDEX('04A_국토부원자료'!$A:$T,ROW()+1,MATCH("도로명",'04A_국토부원자료'!$A$4:$T$4,0)),"")</f>
        <v/>
      </c>
      <c r="M1468" s="48">
        <f>IFERROR(INDEX('04A_국토부원자료'!$A:$T,ROW()+1,MATCH("거래유형",'04A_국토부원자료'!$A$4:$T$4,0)),"")</f>
        <v/>
      </c>
      <c r="N1468" s="152">
        <f>IF(B1468="","",IF('02_대상물건입력'!B5="",1,IF(ISNUMBER(SEARCH('02_대상물건입력'!B5,B1468)),1,0)))</f>
        <v/>
      </c>
      <c r="O1468" s="152">
        <f>IF(B1468="","",IF('02_대상물건입력'!B6="",1,IF(ISNUMBER(SEARCH('02_대상물건입력'!B6,B1468)),1,0)))</f>
        <v/>
      </c>
      <c r="P1468" s="152">
        <f>IF(L1468="","",IF('02_대상물건입력'!B15="",0,IF(ISNUMBER(SEARCH('02_대상물건입력'!B15,L1468)),1,0)))</f>
        <v/>
      </c>
      <c r="Q1468" s="152">
        <f>IF(OR(C1468="",L1468=""),0,IF(AND(TRIM(C1468)=TRIM(RIGHT(SUBSTITUTE(TRIM('02_대상물건입력'!$B$7)," ",REPT(" ",99)),99)),IF('02_대상물건입력'!B15="",TRUE(),ISNUMBER(SEARCH('02_대상물건입력'!B15,L1468)))),1,0))</f>
        <v/>
      </c>
      <c r="R1468" s="175">
        <f>IFERROR(ABS(E1468-'02_대상물건입력'!B11)/'02_대상물건입력'!B11,"")</f>
        <v/>
      </c>
      <c r="S1468" s="152">
        <f>IFERROR(ABS(J1468-'02_대상물건입력'!B10),"")</f>
        <v/>
      </c>
      <c r="T1468" s="152">
        <f>IFERROR(ABS('01_설정'!B4-F1468),"")</f>
        <v/>
      </c>
      <c r="U1468" s="152">
        <f>IFERROR(ABS(K1468-YEAR('02_대상물건입력'!B14)),"")</f>
        <v/>
      </c>
      <c r="V1468" s="152">
        <f>IF(B1468="","",IF(AND(E1468&gt;0,F1468&gt;0,H1468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1468=1,TRUE()),R1468&lt;='01_설정'!B5,S1468&lt;='01_설정'!B6,T1468&lt;='01_설정'!B7,U1468&lt;='01_설정'!B8),"Y",""))</f>
        <v/>
      </c>
      <c r="W1468" s="172">
        <f>IF(V1468&lt;&gt;"Y","",MAX(0,(1-R1468/'01_설정'!B5))*'01_설정'!B14+MAX(0,(1-S1468/'01_설정'!B6))*'01_설정'!B15+MAX(0,(1-T1468/'01_설정'!B7))*'01_설정'!B16+MAX(0,(1-U1468/'01_설정'!B8))*'01_설정'!B17+O1468*'01_설정'!B11+Q1468*'01_설정'!B12+P1468*'01_설정'!B13+IF(Z1468="",0,Z1468))</f>
        <v/>
      </c>
      <c r="X1468" s="152">
        <f>IF(W1468="","",1+COUNTIFS($W$4:$W$3003,"&gt;"&amp;W1468)+COUNTIFS($W$4:W1468,W1468)-1)</f>
        <v/>
      </c>
      <c r="Y1468" s="175">
        <f>IF(OR(I1468="",'02_대상물건입력'!B19="",'02_대상물건입력'!B19&lt;=0),"",ABS(I1468-'02_대상물건입력'!B19)/'02_대상물건입력'!B19)</f>
        <v/>
      </c>
      <c r="Z1468" s="172">
        <f>IF(OR(Y1468="",'01_설정'!B31="",'01_설정'!B31&lt;=0,'01_설정'!B32="",'01_설정'!B32&lt;=0),"",MAX(0,(1-Y1468/'01_설정'!B32))*'01_설정'!B31)</f>
        <v/>
      </c>
    </row>
    <row r="1469" ht="17.25" customHeight="1">
      <c r="A1469" s="152">
        <f>IF(INDEX('04A_국토부원자료'!$A:$A,ROW()+1)="","",ROW()-3)</f>
        <v/>
      </c>
      <c r="B1469" s="48">
        <f>IFERROR(INDEX('04A_국토부원자료'!$A:$T,ROW()+1,MATCH("시군구",'04A_국토부원자료'!$A$4:$T$4,0)),"")</f>
        <v/>
      </c>
      <c r="C1469" s="48">
        <f>IF(B1469="","",IFERROR(INDEX('04A_국토부원자료'!$A:$T,ROW()+1,MATCH("번지",'04A_국토부원자료'!$A$4:$T$4,0)),""))</f>
        <v/>
      </c>
      <c r="D1469" s="48">
        <f>IF(B1469="","",IF(Q1469=1,'02_대상물건입력'!$B$8,IFERROR(INDEX('04A_국토부원자료'!$A:$T,ROW()+1,MATCH("단지명",'04A_국토부원자료'!$A$4:$T$4,0)),"")))</f>
        <v/>
      </c>
      <c r="E1469" s="172">
        <f>IFERROR(VALUE(SUBSTITUTE(INDEX('04A_국토부원자료'!$A:$T,ROW()+1,MATCH("전용면적(㎡)",'04A_국토부원자료'!$A$4:$T$4,0)),",","")),"")</f>
        <v/>
      </c>
      <c r="F14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69" s="51">
        <f>IFERROR(VALUE(SUBSTITUTE(INDEX('04A_국토부원자료'!$A:$T,ROW()+1,MATCH("거래금액(만원)",'04A_국토부원자료'!$A$4:$T$4,0)),",","")),"")</f>
        <v/>
      </c>
      <c r="H1469" s="174">
        <f>IF(G1469="","",G1469*10000)</f>
        <v/>
      </c>
      <c r="I1469" s="174">
        <f>IFERROR(IF(AND(H1469&gt;0,E1469&gt;0),H1469/E1469,""),"")</f>
        <v/>
      </c>
      <c r="J1469" s="152">
        <f>IFERROR(VALUE(SUBSTITUTE(INDEX('04A_국토부원자료'!$A:$T,ROW()+1,MATCH("층",'04A_국토부원자료'!$A$4:$T$4,0)),",","")),"")</f>
        <v/>
      </c>
      <c r="K1469" s="152">
        <f>IFERROR(VALUE(SUBSTITUTE(INDEX('04A_국토부원자료'!$A:$T,ROW()+1,MATCH("건축년도",'04A_국토부원자료'!$A$4:$T$4,0)),",","")),"")</f>
        <v/>
      </c>
      <c r="L1469" s="176">
        <f>IFERROR(INDEX('04A_국토부원자료'!$A:$T,ROW()+1,MATCH("도로명",'04A_국토부원자료'!$A$4:$T$4,0)),"")</f>
        <v/>
      </c>
      <c r="M1469" s="48">
        <f>IFERROR(INDEX('04A_국토부원자료'!$A:$T,ROW()+1,MATCH("거래유형",'04A_국토부원자료'!$A$4:$T$4,0)),"")</f>
        <v/>
      </c>
      <c r="N1469" s="152">
        <f>IF(B1469="","",IF('02_대상물건입력'!B5="",1,IF(ISNUMBER(SEARCH('02_대상물건입력'!B5,B1469)),1,0)))</f>
        <v/>
      </c>
      <c r="O1469" s="152">
        <f>IF(B1469="","",IF('02_대상물건입력'!B6="",1,IF(ISNUMBER(SEARCH('02_대상물건입력'!B6,B1469)),1,0)))</f>
        <v/>
      </c>
      <c r="P1469" s="152">
        <f>IF(L1469="","",IF('02_대상물건입력'!B15="",0,IF(ISNUMBER(SEARCH('02_대상물건입력'!B15,L1469)),1,0)))</f>
        <v/>
      </c>
      <c r="Q1469" s="152">
        <f>IF(OR(C1469="",L1469=""),0,IF(AND(TRIM(C1469)=TRIM(RIGHT(SUBSTITUTE(TRIM('02_대상물건입력'!$B$7)," ",REPT(" ",99)),99)),IF('02_대상물건입력'!B15="",TRUE(),ISNUMBER(SEARCH('02_대상물건입력'!B15,L1469)))),1,0))</f>
        <v/>
      </c>
      <c r="R1469" s="175">
        <f>IFERROR(ABS(E1469-'02_대상물건입력'!B11)/'02_대상물건입력'!B11,"")</f>
        <v/>
      </c>
      <c r="S1469" s="152">
        <f>IFERROR(ABS(J1469-'02_대상물건입력'!B10),"")</f>
        <v/>
      </c>
      <c r="T1469" s="152">
        <f>IFERROR(ABS('01_설정'!B4-F1469),"")</f>
        <v/>
      </c>
      <c r="U1469" s="152">
        <f>IFERROR(ABS(K1469-YEAR('02_대상물건입력'!B14)),"")</f>
        <v/>
      </c>
      <c r="V1469" s="152">
        <f>IF(B1469="","",IF(AND(E1469&gt;0,F1469&gt;0,H1469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1469=1,TRUE()),R1469&lt;='01_설정'!B5,S1469&lt;='01_설정'!B6,T1469&lt;='01_설정'!B7,U1469&lt;='01_설정'!B8),"Y",""))</f>
        <v/>
      </c>
      <c r="W1469" s="172">
        <f>IF(V1469&lt;&gt;"Y","",MAX(0,(1-R1469/'01_설정'!B5))*'01_설정'!B14+MAX(0,(1-S1469/'01_설정'!B6))*'01_설정'!B15+MAX(0,(1-T1469/'01_설정'!B7))*'01_설정'!B16+MAX(0,(1-U1469/'01_설정'!B8))*'01_설정'!B17+O1469*'01_설정'!B11+Q1469*'01_설정'!B12+P1469*'01_설정'!B13+IF(Z1469="",0,Z1469))</f>
        <v/>
      </c>
      <c r="X1469" s="152">
        <f>IF(W1469="","",1+COUNTIFS($W$4:$W$3003,"&gt;"&amp;W1469)+COUNTIFS($W$4:W1469,W1469)-1)</f>
        <v/>
      </c>
      <c r="Y1469" s="175">
        <f>IF(OR(I1469="",'02_대상물건입력'!B19="",'02_대상물건입력'!B19&lt;=0),"",ABS(I1469-'02_대상물건입력'!B19)/'02_대상물건입력'!B19)</f>
        <v/>
      </c>
      <c r="Z1469" s="172">
        <f>IF(OR(Y1469="",'01_설정'!B31="",'01_설정'!B31&lt;=0,'01_설정'!B32="",'01_설정'!B32&lt;=0),"",MAX(0,(1-Y1469/'01_설정'!B32))*'01_설정'!B31)</f>
        <v/>
      </c>
    </row>
    <row r="1470" ht="17.25" customHeight="1">
      <c r="A1470" s="152">
        <f>IF(INDEX('04A_국토부원자료'!$A:$A,ROW()+1)="","",ROW()-3)</f>
        <v/>
      </c>
      <c r="B1470" s="48">
        <f>IFERROR(INDEX('04A_국토부원자료'!$A:$T,ROW()+1,MATCH("시군구",'04A_국토부원자료'!$A$4:$T$4,0)),"")</f>
        <v/>
      </c>
      <c r="C1470" s="48">
        <f>IF(B1470="","",IFERROR(INDEX('04A_국토부원자료'!$A:$T,ROW()+1,MATCH("번지",'04A_국토부원자료'!$A$4:$T$4,0)),""))</f>
        <v/>
      </c>
      <c r="D1470" s="48">
        <f>IF(B1470="","",IF(Q1470=1,'02_대상물건입력'!$B$8,IFERROR(INDEX('04A_국토부원자료'!$A:$T,ROW()+1,MATCH("단지명",'04A_국토부원자료'!$A$4:$T$4,0)),"")))</f>
        <v/>
      </c>
      <c r="E1470" s="172">
        <f>IFERROR(VALUE(SUBSTITUTE(INDEX('04A_국토부원자료'!$A:$T,ROW()+1,MATCH("전용면적(㎡)",'04A_국토부원자료'!$A$4:$T$4,0)),",","")),"")</f>
        <v/>
      </c>
      <c r="F14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70" s="51">
        <f>IFERROR(VALUE(SUBSTITUTE(INDEX('04A_국토부원자료'!$A:$T,ROW()+1,MATCH("거래금액(만원)",'04A_국토부원자료'!$A$4:$T$4,0)),",","")),"")</f>
        <v/>
      </c>
      <c r="H1470" s="174">
        <f>IF(G1470="","",G1470*10000)</f>
        <v/>
      </c>
      <c r="I1470" s="174">
        <f>IFERROR(IF(AND(H1470&gt;0,E1470&gt;0),H1470/E1470,""),"")</f>
        <v/>
      </c>
      <c r="J1470" s="152">
        <f>IFERROR(VALUE(SUBSTITUTE(INDEX('04A_국토부원자료'!$A:$T,ROW()+1,MATCH("층",'04A_국토부원자료'!$A$4:$T$4,0)),",","")),"")</f>
        <v/>
      </c>
      <c r="K1470" s="152">
        <f>IFERROR(VALUE(SUBSTITUTE(INDEX('04A_국토부원자료'!$A:$T,ROW()+1,MATCH("건축년도",'04A_국토부원자료'!$A$4:$T$4,0)),",","")),"")</f>
        <v/>
      </c>
      <c r="L1470" s="176">
        <f>IFERROR(INDEX('04A_국토부원자료'!$A:$T,ROW()+1,MATCH("도로명",'04A_국토부원자료'!$A$4:$T$4,0)),"")</f>
        <v/>
      </c>
      <c r="M1470" s="48">
        <f>IFERROR(INDEX('04A_국토부원자료'!$A:$T,ROW()+1,MATCH("거래유형",'04A_국토부원자료'!$A$4:$T$4,0)),"")</f>
        <v/>
      </c>
      <c r="N1470" s="152">
        <f>IF(B1470="","",IF('02_대상물건입력'!B5="",1,IF(ISNUMBER(SEARCH('02_대상물건입력'!B5,B1470)),1,0)))</f>
        <v/>
      </c>
      <c r="O1470" s="152">
        <f>IF(B1470="","",IF('02_대상물건입력'!B6="",1,IF(ISNUMBER(SEARCH('02_대상물건입력'!B6,B1470)),1,0)))</f>
        <v/>
      </c>
      <c r="P1470" s="152">
        <f>IF(L1470="","",IF('02_대상물건입력'!B15="",0,IF(ISNUMBER(SEARCH('02_대상물건입력'!B15,L1470)),1,0)))</f>
        <v/>
      </c>
      <c r="Q1470" s="152">
        <f>IF(OR(C1470="",L1470=""),0,IF(AND(TRIM(C1470)=TRIM(RIGHT(SUBSTITUTE(TRIM('02_대상물건입력'!$B$7)," ",REPT(" ",99)),99)),IF('02_대상물건입력'!B15="",TRUE(),ISNUMBER(SEARCH('02_대상물건입력'!B15,L1470)))),1,0))</f>
        <v/>
      </c>
      <c r="R1470" s="175">
        <f>IFERROR(ABS(E1470-'02_대상물건입력'!B11)/'02_대상물건입력'!B11,"")</f>
        <v/>
      </c>
      <c r="S1470" s="152">
        <f>IFERROR(ABS(J1470-'02_대상물건입력'!B10),"")</f>
        <v/>
      </c>
      <c r="T1470" s="152">
        <f>IFERROR(ABS('01_설정'!B4-F1470),"")</f>
        <v/>
      </c>
      <c r="U1470" s="152">
        <f>IFERROR(ABS(K1470-YEAR('02_대상물건입력'!B14)),"")</f>
        <v/>
      </c>
      <c r="V1470" s="152">
        <f>IF(B1470="","",IF(AND(E1470&gt;0,F1470&gt;0,H1470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1470=1,TRUE()),R1470&lt;='01_설정'!B5,S1470&lt;='01_설정'!B6,T1470&lt;='01_설정'!B7,U1470&lt;='01_설정'!B8),"Y",""))</f>
        <v/>
      </c>
      <c r="W1470" s="172">
        <f>IF(V1470&lt;&gt;"Y","",MAX(0,(1-R1470/'01_설정'!B5))*'01_설정'!B14+MAX(0,(1-S1470/'01_설정'!B6))*'01_설정'!B15+MAX(0,(1-T1470/'01_설정'!B7))*'01_설정'!B16+MAX(0,(1-U1470/'01_설정'!B8))*'01_설정'!B17+O1470*'01_설정'!B11+Q1470*'01_설정'!B12+P1470*'01_설정'!B13+IF(Z1470="",0,Z1470))</f>
        <v/>
      </c>
      <c r="X1470" s="152">
        <f>IF(W1470="","",1+COUNTIFS($W$4:$W$3003,"&gt;"&amp;W1470)+COUNTIFS($W$4:W1470,W1470)-1)</f>
        <v/>
      </c>
      <c r="Y1470" s="175">
        <f>IF(OR(I1470="",'02_대상물건입력'!B19="",'02_대상물건입력'!B19&lt;=0),"",ABS(I1470-'02_대상물건입력'!B19)/'02_대상물건입력'!B19)</f>
        <v/>
      </c>
      <c r="Z1470" s="172">
        <f>IF(OR(Y1470="",'01_설정'!B31="",'01_설정'!B31&lt;=0,'01_설정'!B32="",'01_설정'!B32&lt;=0),"",MAX(0,(1-Y1470/'01_설정'!B32))*'01_설정'!B31)</f>
        <v/>
      </c>
    </row>
    <row r="1471" ht="17.25" customHeight="1">
      <c r="A1471" s="152">
        <f>IF(INDEX('04A_국토부원자료'!$A:$A,ROW()+1)="","",ROW()-3)</f>
        <v/>
      </c>
      <c r="B1471" s="48">
        <f>IFERROR(INDEX('04A_국토부원자료'!$A:$T,ROW()+1,MATCH("시군구",'04A_국토부원자료'!$A$4:$T$4,0)),"")</f>
        <v/>
      </c>
      <c r="C1471" s="48">
        <f>IF(B1471="","",IFERROR(INDEX('04A_국토부원자료'!$A:$T,ROW()+1,MATCH("번지",'04A_국토부원자료'!$A$4:$T$4,0)),""))</f>
        <v/>
      </c>
      <c r="D1471" s="48">
        <f>IF(B1471="","",IF(Q1471=1,'02_대상물건입력'!$B$8,IFERROR(INDEX('04A_국토부원자료'!$A:$T,ROW()+1,MATCH("단지명",'04A_국토부원자료'!$A$4:$T$4,0)),"")))</f>
        <v/>
      </c>
      <c r="E1471" s="172">
        <f>IFERROR(VALUE(SUBSTITUTE(INDEX('04A_국토부원자료'!$A:$T,ROW()+1,MATCH("전용면적(㎡)",'04A_국토부원자료'!$A$4:$T$4,0)),",","")),"")</f>
        <v/>
      </c>
      <c r="F14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71" s="51">
        <f>IFERROR(VALUE(SUBSTITUTE(INDEX('04A_국토부원자료'!$A:$T,ROW()+1,MATCH("거래금액(만원)",'04A_국토부원자료'!$A$4:$T$4,0)),",","")),"")</f>
        <v/>
      </c>
      <c r="H1471" s="174">
        <f>IF(G1471="","",G1471*10000)</f>
        <v/>
      </c>
      <c r="I1471" s="174">
        <f>IFERROR(IF(AND(H1471&gt;0,E1471&gt;0),H1471/E1471,""),"")</f>
        <v/>
      </c>
      <c r="J1471" s="152">
        <f>IFERROR(VALUE(SUBSTITUTE(INDEX('04A_국토부원자료'!$A:$T,ROW()+1,MATCH("층",'04A_국토부원자료'!$A$4:$T$4,0)),",","")),"")</f>
        <v/>
      </c>
      <c r="K1471" s="152">
        <f>IFERROR(VALUE(SUBSTITUTE(INDEX('04A_국토부원자료'!$A:$T,ROW()+1,MATCH("건축년도",'04A_국토부원자료'!$A$4:$T$4,0)),",","")),"")</f>
        <v/>
      </c>
      <c r="L1471" s="176">
        <f>IFERROR(INDEX('04A_국토부원자료'!$A:$T,ROW()+1,MATCH("도로명",'04A_국토부원자료'!$A$4:$T$4,0)),"")</f>
        <v/>
      </c>
      <c r="M1471" s="48">
        <f>IFERROR(INDEX('04A_국토부원자료'!$A:$T,ROW()+1,MATCH("거래유형",'04A_국토부원자료'!$A$4:$T$4,0)),"")</f>
        <v/>
      </c>
      <c r="N1471" s="152">
        <f>IF(B1471="","",IF('02_대상물건입력'!B5="",1,IF(ISNUMBER(SEARCH('02_대상물건입력'!B5,B1471)),1,0)))</f>
        <v/>
      </c>
      <c r="O1471" s="152">
        <f>IF(B1471="","",IF('02_대상물건입력'!B6="",1,IF(ISNUMBER(SEARCH('02_대상물건입력'!B6,B1471)),1,0)))</f>
        <v/>
      </c>
      <c r="P1471" s="152">
        <f>IF(L1471="","",IF('02_대상물건입력'!B15="",0,IF(ISNUMBER(SEARCH('02_대상물건입력'!B15,L1471)),1,0)))</f>
        <v/>
      </c>
      <c r="Q1471" s="152">
        <f>IF(OR(C1471="",L1471=""),0,IF(AND(TRIM(C1471)=TRIM(RIGHT(SUBSTITUTE(TRIM('02_대상물건입력'!$B$7)," ",REPT(" ",99)),99)),IF('02_대상물건입력'!B15="",TRUE(),ISNUMBER(SEARCH('02_대상물건입력'!B15,L1471)))),1,0))</f>
        <v/>
      </c>
      <c r="R1471" s="175">
        <f>IFERROR(ABS(E1471-'02_대상물건입력'!B11)/'02_대상물건입력'!B11,"")</f>
        <v/>
      </c>
      <c r="S1471" s="152">
        <f>IFERROR(ABS(J1471-'02_대상물건입력'!B10),"")</f>
        <v/>
      </c>
      <c r="T1471" s="152">
        <f>IFERROR(ABS('01_설정'!B4-F1471),"")</f>
        <v/>
      </c>
      <c r="U1471" s="152">
        <f>IFERROR(ABS(K1471-YEAR('02_대상물건입력'!B14)),"")</f>
        <v/>
      </c>
      <c r="V1471" s="152">
        <f>IF(B1471="","",IF(AND(E1471&gt;0,F1471&gt;0,H1471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1471=1,TRUE()),R1471&lt;='01_설정'!B5,S1471&lt;='01_설정'!B6,T1471&lt;='01_설정'!B7,U1471&lt;='01_설정'!B8),"Y",""))</f>
        <v/>
      </c>
      <c r="W1471" s="172">
        <f>IF(V1471&lt;&gt;"Y","",MAX(0,(1-R1471/'01_설정'!B5))*'01_설정'!B14+MAX(0,(1-S1471/'01_설정'!B6))*'01_설정'!B15+MAX(0,(1-T1471/'01_설정'!B7))*'01_설정'!B16+MAX(0,(1-U1471/'01_설정'!B8))*'01_설정'!B17+O1471*'01_설정'!B11+Q1471*'01_설정'!B12+P1471*'01_설정'!B13+IF(Z1471="",0,Z1471))</f>
        <v/>
      </c>
      <c r="X1471" s="152">
        <f>IF(W1471="","",1+COUNTIFS($W$4:$W$3003,"&gt;"&amp;W1471)+COUNTIFS($W$4:W1471,W1471)-1)</f>
        <v/>
      </c>
      <c r="Y1471" s="175">
        <f>IF(OR(I1471="",'02_대상물건입력'!B19="",'02_대상물건입력'!B19&lt;=0),"",ABS(I1471-'02_대상물건입력'!B19)/'02_대상물건입력'!B19)</f>
        <v/>
      </c>
      <c r="Z1471" s="172">
        <f>IF(OR(Y1471="",'01_설정'!B31="",'01_설정'!B31&lt;=0,'01_설정'!B32="",'01_설정'!B32&lt;=0),"",MAX(0,(1-Y1471/'01_설정'!B32))*'01_설정'!B31)</f>
        <v/>
      </c>
    </row>
    <row r="1472" ht="17.25" customHeight="1">
      <c r="A1472" s="152">
        <f>IF(INDEX('04A_국토부원자료'!$A:$A,ROW()+1)="","",ROW()-3)</f>
        <v/>
      </c>
      <c r="B1472" s="48">
        <f>IFERROR(INDEX('04A_국토부원자료'!$A:$T,ROW()+1,MATCH("시군구",'04A_국토부원자료'!$A$4:$T$4,0)),"")</f>
        <v/>
      </c>
      <c r="C1472" s="48">
        <f>IF(B1472="","",IFERROR(INDEX('04A_국토부원자료'!$A:$T,ROW()+1,MATCH("번지",'04A_국토부원자료'!$A$4:$T$4,0)),""))</f>
        <v/>
      </c>
      <c r="D1472" s="48">
        <f>IF(B1472="","",IF(Q1472=1,'02_대상물건입력'!$B$8,IFERROR(INDEX('04A_국토부원자료'!$A:$T,ROW()+1,MATCH("단지명",'04A_국토부원자료'!$A$4:$T$4,0)),"")))</f>
        <v/>
      </c>
      <c r="E1472" s="172">
        <f>IFERROR(VALUE(SUBSTITUTE(INDEX('04A_국토부원자료'!$A:$T,ROW()+1,MATCH("전용면적(㎡)",'04A_국토부원자료'!$A$4:$T$4,0)),",","")),"")</f>
        <v/>
      </c>
      <c r="F14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72" s="51">
        <f>IFERROR(VALUE(SUBSTITUTE(INDEX('04A_국토부원자료'!$A:$T,ROW()+1,MATCH("거래금액(만원)",'04A_국토부원자료'!$A$4:$T$4,0)),",","")),"")</f>
        <v/>
      </c>
      <c r="H1472" s="174">
        <f>IF(G1472="","",G1472*10000)</f>
        <v/>
      </c>
      <c r="I1472" s="174">
        <f>IFERROR(IF(AND(H1472&gt;0,E1472&gt;0),H1472/E1472,""),"")</f>
        <v/>
      </c>
      <c r="J1472" s="152">
        <f>IFERROR(VALUE(SUBSTITUTE(INDEX('04A_국토부원자료'!$A:$T,ROW()+1,MATCH("층",'04A_국토부원자료'!$A$4:$T$4,0)),",","")),"")</f>
        <v/>
      </c>
      <c r="K1472" s="152">
        <f>IFERROR(VALUE(SUBSTITUTE(INDEX('04A_국토부원자료'!$A:$T,ROW()+1,MATCH("건축년도",'04A_국토부원자료'!$A$4:$T$4,0)),",","")),"")</f>
        <v/>
      </c>
      <c r="L1472" s="176">
        <f>IFERROR(INDEX('04A_국토부원자료'!$A:$T,ROW()+1,MATCH("도로명",'04A_국토부원자료'!$A$4:$T$4,0)),"")</f>
        <v/>
      </c>
      <c r="M1472" s="48">
        <f>IFERROR(INDEX('04A_국토부원자료'!$A:$T,ROW()+1,MATCH("거래유형",'04A_국토부원자료'!$A$4:$T$4,0)),"")</f>
        <v/>
      </c>
      <c r="N1472" s="152">
        <f>IF(B1472="","",IF('02_대상물건입력'!B5="",1,IF(ISNUMBER(SEARCH('02_대상물건입력'!B5,B1472)),1,0)))</f>
        <v/>
      </c>
      <c r="O1472" s="152">
        <f>IF(B1472="","",IF('02_대상물건입력'!B6="",1,IF(ISNUMBER(SEARCH('02_대상물건입력'!B6,B1472)),1,0)))</f>
        <v/>
      </c>
      <c r="P1472" s="152">
        <f>IF(L1472="","",IF('02_대상물건입력'!B15="",0,IF(ISNUMBER(SEARCH('02_대상물건입력'!B15,L1472)),1,0)))</f>
        <v/>
      </c>
      <c r="Q1472" s="152">
        <f>IF(OR(C1472="",L1472=""),0,IF(AND(TRIM(C1472)=TRIM(RIGHT(SUBSTITUTE(TRIM('02_대상물건입력'!$B$7)," ",REPT(" ",99)),99)),IF('02_대상물건입력'!B15="",TRUE(),ISNUMBER(SEARCH('02_대상물건입력'!B15,L1472)))),1,0))</f>
        <v/>
      </c>
      <c r="R1472" s="175">
        <f>IFERROR(ABS(E1472-'02_대상물건입력'!B11)/'02_대상물건입력'!B11,"")</f>
        <v/>
      </c>
      <c r="S1472" s="152">
        <f>IFERROR(ABS(J1472-'02_대상물건입력'!B10),"")</f>
        <v/>
      </c>
      <c r="T1472" s="152">
        <f>IFERROR(ABS('01_설정'!B4-F1472),"")</f>
        <v/>
      </c>
      <c r="U1472" s="152">
        <f>IFERROR(ABS(K1472-YEAR('02_대상물건입력'!B14)),"")</f>
        <v/>
      </c>
      <c r="V1472" s="152">
        <f>IF(B1472="","",IF(AND(E1472&gt;0,F1472&gt;0,H1472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1472=1,TRUE()),R1472&lt;='01_설정'!B5,S1472&lt;='01_설정'!B6,T1472&lt;='01_설정'!B7,U1472&lt;='01_설정'!B8),"Y",""))</f>
        <v/>
      </c>
      <c r="W1472" s="172">
        <f>IF(V1472&lt;&gt;"Y","",MAX(0,(1-R1472/'01_설정'!B5))*'01_설정'!B14+MAX(0,(1-S1472/'01_설정'!B6))*'01_설정'!B15+MAX(0,(1-T1472/'01_설정'!B7))*'01_설정'!B16+MAX(0,(1-U1472/'01_설정'!B8))*'01_설정'!B17+O1472*'01_설정'!B11+Q1472*'01_설정'!B12+P1472*'01_설정'!B13+IF(Z1472="",0,Z1472))</f>
        <v/>
      </c>
      <c r="X1472" s="152">
        <f>IF(W1472="","",1+COUNTIFS($W$4:$W$3003,"&gt;"&amp;W1472)+COUNTIFS($W$4:W1472,W1472)-1)</f>
        <v/>
      </c>
      <c r="Y1472" s="175">
        <f>IF(OR(I1472="",'02_대상물건입력'!B19="",'02_대상물건입력'!B19&lt;=0),"",ABS(I1472-'02_대상물건입력'!B19)/'02_대상물건입력'!B19)</f>
        <v/>
      </c>
      <c r="Z1472" s="172">
        <f>IF(OR(Y1472="",'01_설정'!B31="",'01_설정'!B31&lt;=0,'01_설정'!B32="",'01_설정'!B32&lt;=0),"",MAX(0,(1-Y1472/'01_설정'!B32))*'01_설정'!B31)</f>
        <v/>
      </c>
    </row>
    <row r="1473" ht="17.25" customHeight="1">
      <c r="A1473" s="152">
        <f>IF(INDEX('04A_국토부원자료'!$A:$A,ROW()+1)="","",ROW()-3)</f>
        <v/>
      </c>
      <c r="B1473" s="48">
        <f>IFERROR(INDEX('04A_국토부원자료'!$A:$T,ROW()+1,MATCH("시군구",'04A_국토부원자료'!$A$4:$T$4,0)),"")</f>
        <v/>
      </c>
      <c r="C1473" s="48">
        <f>IF(B1473="","",IFERROR(INDEX('04A_국토부원자료'!$A:$T,ROW()+1,MATCH("번지",'04A_국토부원자료'!$A$4:$T$4,0)),""))</f>
        <v/>
      </c>
      <c r="D1473" s="48">
        <f>IF(B1473="","",IF(Q1473=1,'02_대상물건입력'!$B$8,IFERROR(INDEX('04A_국토부원자료'!$A:$T,ROW()+1,MATCH("단지명",'04A_국토부원자료'!$A$4:$T$4,0)),"")))</f>
        <v/>
      </c>
      <c r="E1473" s="172">
        <f>IFERROR(VALUE(SUBSTITUTE(INDEX('04A_국토부원자료'!$A:$T,ROW()+1,MATCH("전용면적(㎡)",'04A_국토부원자료'!$A$4:$T$4,0)),",","")),"")</f>
        <v/>
      </c>
      <c r="F14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73" s="51">
        <f>IFERROR(VALUE(SUBSTITUTE(INDEX('04A_국토부원자료'!$A:$T,ROW()+1,MATCH("거래금액(만원)",'04A_국토부원자료'!$A$4:$T$4,0)),",","")),"")</f>
        <v/>
      </c>
      <c r="H1473" s="174">
        <f>IF(G1473="","",G1473*10000)</f>
        <v/>
      </c>
      <c r="I1473" s="174">
        <f>IFERROR(IF(AND(H1473&gt;0,E1473&gt;0),H1473/E1473,""),"")</f>
        <v/>
      </c>
      <c r="J1473" s="152">
        <f>IFERROR(VALUE(SUBSTITUTE(INDEX('04A_국토부원자료'!$A:$T,ROW()+1,MATCH("층",'04A_국토부원자료'!$A$4:$T$4,0)),",","")),"")</f>
        <v/>
      </c>
      <c r="K1473" s="152">
        <f>IFERROR(VALUE(SUBSTITUTE(INDEX('04A_국토부원자료'!$A:$T,ROW()+1,MATCH("건축년도",'04A_국토부원자료'!$A$4:$T$4,0)),",","")),"")</f>
        <v/>
      </c>
      <c r="L1473" s="176">
        <f>IFERROR(INDEX('04A_국토부원자료'!$A:$T,ROW()+1,MATCH("도로명",'04A_국토부원자료'!$A$4:$T$4,0)),"")</f>
        <v/>
      </c>
      <c r="M1473" s="48">
        <f>IFERROR(INDEX('04A_국토부원자료'!$A:$T,ROW()+1,MATCH("거래유형",'04A_국토부원자료'!$A$4:$T$4,0)),"")</f>
        <v/>
      </c>
      <c r="N1473" s="152">
        <f>IF(B1473="","",IF('02_대상물건입력'!B5="",1,IF(ISNUMBER(SEARCH('02_대상물건입력'!B5,B1473)),1,0)))</f>
        <v/>
      </c>
      <c r="O1473" s="152">
        <f>IF(B1473="","",IF('02_대상물건입력'!B6="",1,IF(ISNUMBER(SEARCH('02_대상물건입력'!B6,B1473)),1,0)))</f>
        <v/>
      </c>
      <c r="P1473" s="152">
        <f>IF(L1473="","",IF('02_대상물건입력'!B15="",0,IF(ISNUMBER(SEARCH('02_대상물건입력'!B15,L1473)),1,0)))</f>
        <v/>
      </c>
      <c r="Q1473" s="152">
        <f>IF(OR(C1473="",L1473=""),0,IF(AND(TRIM(C1473)=TRIM(RIGHT(SUBSTITUTE(TRIM('02_대상물건입력'!$B$7)," ",REPT(" ",99)),99)),IF('02_대상물건입력'!B15="",TRUE(),ISNUMBER(SEARCH('02_대상물건입력'!B15,L1473)))),1,0))</f>
        <v/>
      </c>
      <c r="R1473" s="175">
        <f>IFERROR(ABS(E1473-'02_대상물건입력'!B11)/'02_대상물건입력'!B11,"")</f>
        <v/>
      </c>
      <c r="S1473" s="152">
        <f>IFERROR(ABS(J1473-'02_대상물건입력'!B10),"")</f>
        <v/>
      </c>
      <c r="T1473" s="152">
        <f>IFERROR(ABS('01_설정'!B4-F1473),"")</f>
        <v/>
      </c>
      <c r="U1473" s="152">
        <f>IFERROR(ABS(K1473-YEAR('02_대상물건입력'!B14)),"")</f>
        <v/>
      </c>
      <c r="V1473" s="152">
        <f>IF(B1473="","",IF(AND(E1473&gt;0,F1473&gt;0,H1473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1473=1,TRUE()),R1473&lt;='01_설정'!B5,S1473&lt;='01_설정'!B6,T1473&lt;='01_설정'!B7,U1473&lt;='01_설정'!B8),"Y",""))</f>
        <v/>
      </c>
      <c r="W1473" s="172">
        <f>IF(V1473&lt;&gt;"Y","",MAX(0,(1-R1473/'01_설정'!B5))*'01_설정'!B14+MAX(0,(1-S1473/'01_설정'!B6))*'01_설정'!B15+MAX(0,(1-T1473/'01_설정'!B7))*'01_설정'!B16+MAX(0,(1-U1473/'01_설정'!B8))*'01_설정'!B17+O1473*'01_설정'!B11+Q1473*'01_설정'!B12+P1473*'01_설정'!B13+IF(Z1473="",0,Z1473))</f>
        <v/>
      </c>
      <c r="X1473" s="152">
        <f>IF(W1473="","",1+COUNTIFS($W$4:$W$3003,"&gt;"&amp;W1473)+COUNTIFS($W$4:W1473,W1473)-1)</f>
        <v/>
      </c>
      <c r="Y1473" s="175">
        <f>IF(OR(I1473="",'02_대상물건입력'!B19="",'02_대상물건입력'!B19&lt;=0),"",ABS(I1473-'02_대상물건입력'!B19)/'02_대상물건입력'!B19)</f>
        <v/>
      </c>
      <c r="Z1473" s="172">
        <f>IF(OR(Y1473="",'01_설정'!B31="",'01_설정'!B31&lt;=0,'01_설정'!B32="",'01_설정'!B32&lt;=0),"",MAX(0,(1-Y1473/'01_설정'!B32))*'01_설정'!B31)</f>
        <v/>
      </c>
    </row>
    <row r="1474" ht="17.25" customHeight="1">
      <c r="A1474" s="152">
        <f>IF(INDEX('04A_국토부원자료'!$A:$A,ROW()+1)="","",ROW()-3)</f>
        <v/>
      </c>
      <c r="B1474" s="48">
        <f>IFERROR(INDEX('04A_국토부원자료'!$A:$T,ROW()+1,MATCH("시군구",'04A_국토부원자료'!$A$4:$T$4,0)),"")</f>
        <v/>
      </c>
      <c r="C1474" s="48">
        <f>IF(B1474="","",IFERROR(INDEX('04A_국토부원자료'!$A:$T,ROW()+1,MATCH("번지",'04A_국토부원자료'!$A$4:$T$4,0)),""))</f>
        <v/>
      </c>
      <c r="D1474" s="48">
        <f>IF(B1474="","",IF(Q1474=1,'02_대상물건입력'!$B$8,IFERROR(INDEX('04A_국토부원자료'!$A:$T,ROW()+1,MATCH("단지명",'04A_국토부원자료'!$A$4:$T$4,0)),"")))</f>
        <v/>
      </c>
      <c r="E1474" s="172">
        <f>IFERROR(VALUE(SUBSTITUTE(INDEX('04A_국토부원자료'!$A:$T,ROW()+1,MATCH("전용면적(㎡)",'04A_국토부원자료'!$A$4:$T$4,0)),",","")),"")</f>
        <v/>
      </c>
      <c r="F14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74" s="51">
        <f>IFERROR(VALUE(SUBSTITUTE(INDEX('04A_국토부원자료'!$A:$T,ROW()+1,MATCH("거래금액(만원)",'04A_국토부원자료'!$A$4:$T$4,0)),",","")),"")</f>
        <v/>
      </c>
      <c r="H1474" s="174">
        <f>IF(G1474="","",G1474*10000)</f>
        <v/>
      </c>
      <c r="I1474" s="174">
        <f>IFERROR(IF(AND(H1474&gt;0,E1474&gt;0),H1474/E1474,""),"")</f>
        <v/>
      </c>
      <c r="J1474" s="152">
        <f>IFERROR(VALUE(SUBSTITUTE(INDEX('04A_국토부원자료'!$A:$T,ROW()+1,MATCH("층",'04A_국토부원자료'!$A$4:$T$4,0)),",","")),"")</f>
        <v/>
      </c>
      <c r="K1474" s="152">
        <f>IFERROR(VALUE(SUBSTITUTE(INDEX('04A_국토부원자료'!$A:$T,ROW()+1,MATCH("건축년도",'04A_국토부원자료'!$A$4:$T$4,0)),",","")),"")</f>
        <v/>
      </c>
      <c r="L1474" s="176">
        <f>IFERROR(INDEX('04A_국토부원자료'!$A:$T,ROW()+1,MATCH("도로명",'04A_국토부원자료'!$A$4:$T$4,0)),"")</f>
        <v/>
      </c>
      <c r="M1474" s="48">
        <f>IFERROR(INDEX('04A_국토부원자료'!$A:$T,ROW()+1,MATCH("거래유형",'04A_국토부원자료'!$A$4:$T$4,0)),"")</f>
        <v/>
      </c>
      <c r="N1474" s="152">
        <f>IF(B1474="","",IF('02_대상물건입력'!B5="",1,IF(ISNUMBER(SEARCH('02_대상물건입력'!B5,B1474)),1,0)))</f>
        <v/>
      </c>
      <c r="O1474" s="152">
        <f>IF(B1474="","",IF('02_대상물건입력'!B6="",1,IF(ISNUMBER(SEARCH('02_대상물건입력'!B6,B1474)),1,0)))</f>
        <v/>
      </c>
      <c r="P1474" s="152">
        <f>IF(L1474="","",IF('02_대상물건입력'!B15="",0,IF(ISNUMBER(SEARCH('02_대상물건입력'!B15,L1474)),1,0)))</f>
        <v/>
      </c>
      <c r="Q1474" s="152">
        <f>IF(OR(C1474="",L1474=""),0,IF(AND(TRIM(C1474)=TRIM(RIGHT(SUBSTITUTE(TRIM('02_대상물건입력'!$B$7)," ",REPT(" ",99)),99)),IF('02_대상물건입력'!B15="",TRUE(),ISNUMBER(SEARCH('02_대상물건입력'!B15,L1474)))),1,0))</f>
        <v/>
      </c>
      <c r="R1474" s="175">
        <f>IFERROR(ABS(E1474-'02_대상물건입력'!B11)/'02_대상물건입력'!B11,"")</f>
        <v/>
      </c>
      <c r="S1474" s="152">
        <f>IFERROR(ABS(J1474-'02_대상물건입력'!B10),"")</f>
        <v/>
      </c>
      <c r="T1474" s="152">
        <f>IFERROR(ABS('01_설정'!B4-F1474),"")</f>
        <v/>
      </c>
      <c r="U1474" s="152">
        <f>IFERROR(ABS(K1474-YEAR('02_대상물건입력'!B14)),"")</f>
        <v/>
      </c>
      <c r="V1474" s="152">
        <f>IF(B1474="","",IF(AND(E1474&gt;0,F1474&gt;0,H1474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1474=1,TRUE()),R1474&lt;='01_설정'!B5,S1474&lt;='01_설정'!B6,T1474&lt;='01_설정'!B7,U1474&lt;='01_설정'!B8),"Y",""))</f>
        <v/>
      </c>
      <c r="W1474" s="172">
        <f>IF(V1474&lt;&gt;"Y","",MAX(0,(1-R1474/'01_설정'!B5))*'01_설정'!B14+MAX(0,(1-S1474/'01_설정'!B6))*'01_설정'!B15+MAX(0,(1-T1474/'01_설정'!B7))*'01_설정'!B16+MAX(0,(1-U1474/'01_설정'!B8))*'01_설정'!B17+O1474*'01_설정'!B11+Q1474*'01_설정'!B12+P1474*'01_설정'!B13+IF(Z1474="",0,Z1474))</f>
        <v/>
      </c>
      <c r="X1474" s="152">
        <f>IF(W1474="","",1+COUNTIFS($W$4:$W$3003,"&gt;"&amp;W1474)+COUNTIFS($W$4:W1474,W1474)-1)</f>
        <v/>
      </c>
      <c r="Y1474" s="175">
        <f>IF(OR(I1474="",'02_대상물건입력'!B19="",'02_대상물건입력'!B19&lt;=0),"",ABS(I1474-'02_대상물건입력'!B19)/'02_대상물건입력'!B19)</f>
        <v/>
      </c>
      <c r="Z1474" s="172">
        <f>IF(OR(Y1474="",'01_설정'!B31="",'01_설정'!B31&lt;=0,'01_설정'!B32="",'01_설정'!B32&lt;=0),"",MAX(0,(1-Y1474/'01_설정'!B32))*'01_설정'!B31)</f>
        <v/>
      </c>
    </row>
    <row r="1475" ht="17.25" customHeight="1">
      <c r="A1475" s="152">
        <f>IF(INDEX('04A_국토부원자료'!$A:$A,ROW()+1)="","",ROW()-3)</f>
        <v/>
      </c>
      <c r="B1475" s="48">
        <f>IFERROR(INDEX('04A_국토부원자료'!$A:$T,ROW()+1,MATCH("시군구",'04A_국토부원자료'!$A$4:$T$4,0)),"")</f>
        <v/>
      </c>
      <c r="C1475" s="48">
        <f>IF(B1475="","",IFERROR(INDEX('04A_국토부원자료'!$A:$T,ROW()+1,MATCH("번지",'04A_국토부원자료'!$A$4:$T$4,0)),""))</f>
        <v/>
      </c>
      <c r="D1475" s="48">
        <f>IF(B1475="","",IF(Q1475=1,'02_대상물건입력'!$B$8,IFERROR(INDEX('04A_국토부원자료'!$A:$T,ROW()+1,MATCH("단지명",'04A_국토부원자료'!$A$4:$T$4,0)),"")))</f>
        <v/>
      </c>
      <c r="E1475" s="172">
        <f>IFERROR(VALUE(SUBSTITUTE(INDEX('04A_국토부원자료'!$A:$T,ROW()+1,MATCH("전용면적(㎡)",'04A_국토부원자료'!$A$4:$T$4,0)),",","")),"")</f>
        <v/>
      </c>
      <c r="F14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75" s="51">
        <f>IFERROR(VALUE(SUBSTITUTE(INDEX('04A_국토부원자료'!$A:$T,ROW()+1,MATCH("거래금액(만원)",'04A_국토부원자료'!$A$4:$T$4,0)),",","")),"")</f>
        <v/>
      </c>
      <c r="H1475" s="174">
        <f>IF(G1475="","",G1475*10000)</f>
        <v/>
      </c>
      <c r="I1475" s="174">
        <f>IFERROR(IF(AND(H1475&gt;0,E1475&gt;0),H1475/E1475,""),"")</f>
        <v/>
      </c>
      <c r="J1475" s="152">
        <f>IFERROR(VALUE(SUBSTITUTE(INDEX('04A_국토부원자료'!$A:$T,ROW()+1,MATCH("층",'04A_국토부원자료'!$A$4:$T$4,0)),",","")),"")</f>
        <v/>
      </c>
      <c r="K1475" s="152">
        <f>IFERROR(VALUE(SUBSTITUTE(INDEX('04A_국토부원자료'!$A:$T,ROW()+1,MATCH("건축년도",'04A_국토부원자료'!$A$4:$T$4,0)),",","")),"")</f>
        <v/>
      </c>
      <c r="L1475" s="176">
        <f>IFERROR(INDEX('04A_국토부원자료'!$A:$T,ROW()+1,MATCH("도로명",'04A_국토부원자료'!$A$4:$T$4,0)),"")</f>
        <v/>
      </c>
      <c r="M1475" s="48">
        <f>IFERROR(INDEX('04A_국토부원자료'!$A:$T,ROW()+1,MATCH("거래유형",'04A_국토부원자료'!$A$4:$T$4,0)),"")</f>
        <v/>
      </c>
      <c r="N1475" s="152">
        <f>IF(B1475="","",IF('02_대상물건입력'!B5="",1,IF(ISNUMBER(SEARCH('02_대상물건입력'!B5,B1475)),1,0)))</f>
        <v/>
      </c>
      <c r="O1475" s="152">
        <f>IF(B1475="","",IF('02_대상물건입력'!B6="",1,IF(ISNUMBER(SEARCH('02_대상물건입력'!B6,B1475)),1,0)))</f>
        <v/>
      </c>
      <c r="P1475" s="152">
        <f>IF(L1475="","",IF('02_대상물건입력'!B15="",0,IF(ISNUMBER(SEARCH('02_대상물건입력'!B15,L1475)),1,0)))</f>
        <v/>
      </c>
      <c r="Q1475" s="152">
        <f>IF(OR(C1475="",L1475=""),0,IF(AND(TRIM(C1475)=TRIM(RIGHT(SUBSTITUTE(TRIM('02_대상물건입력'!$B$7)," ",REPT(" ",99)),99)),IF('02_대상물건입력'!B15="",TRUE(),ISNUMBER(SEARCH('02_대상물건입력'!B15,L1475)))),1,0))</f>
        <v/>
      </c>
      <c r="R1475" s="175">
        <f>IFERROR(ABS(E1475-'02_대상물건입력'!B11)/'02_대상물건입력'!B11,"")</f>
        <v/>
      </c>
      <c r="S1475" s="152">
        <f>IFERROR(ABS(J1475-'02_대상물건입력'!B10),"")</f>
        <v/>
      </c>
      <c r="T1475" s="152">
        <f>IFERROR(ABS('01_설정'!B4-F1475),"")</f>
        <v/>
      </c>
      <c r="U1475" s="152">
        <f>IFERROR(ABS(K1475-YEAR('02_대상물건입력'!B14)),"")</f>
        <v/>
      </c>
      <c r="V1475" s="152">
        <f>IF(B1475="","",IF(AND(E1475&gt;0,F1475&gt;0,H1475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1475=1,TRUE()),R1475&lt;='01_설정'!B5,S1475&lt;='01_설정'!B6,T1475&lt;='01_설정'!B7,U1475&lt;='01_설정'!B8),"Y",""))</f>
        <v/>
      </c>
      <c r="W1475" s="172">
        <f>IF(V1475&lt;&gt;"Y","",MAX(0,(1-R1475/'01_설정'!B5))*'01_설정'!B14+MAX(0,(1-S1475/'01_설정'!B6))*'01_설정'!B15+MAX(0,(1-T1475/'01_설정'!B7))*'01_설정'!B16+MAX(0,(1-U1475/'01_설정'!B8))*'01_설정'!B17+O1475*'01_설정'!B11+Q1475*'01_설정'!B12+P1475*'01_설정'!B13+IF(Z1475="",0,Z1475))</f>
        <v/>
      </c>
      <c r="X1475" s="152">
        <f>IF(W1475="","",1+COUNTIFS($W$4:$W$3003,"&gt;"&amp;W1475)+COUNTIFS($W$4:W1475,W1475)-1)</f>
        <v/>
      </c>
      <c r="Y1475" s="175">
        <f>IF(OR(I1475="",'02_대상물건입력'!B19="",'02_대상물건입력'!B19&lt;=0),"",ABS(I1475-'02_대상물건입력'!B19)/'02_대상물건입력'!B19)</f>
        <v/>
      </c>
      <c r="Z1475" s="172">
        <f>IF(OR(Y1475="",'01_설정'!B31="",'01_설정'!B31&lt;=0,'01_설정'!B32="",'01_설정'!B32&lt;=0),"",MAX(0,(1-Y1475/'01_설정'!B32))*'01_설정'!B31)</f>
        <v/>
      </c>
    </row>
    <row r="1476" ht="17.25" customHeight="1">
      <c r="A1476" s="152">
        <f>IF(INDEX('04A_국토부원자료'!$A:$A,ROW()+1)="","",ROW()-3)</f>
        <v/>
      </c>
      <c r="B1476" s="48">
        <f>IFERROR(INDEX('04A_국토부원자료'!$A:$T,ROW()+1,MATCH("시군구",'04A_국토부원자료'!$A$4:$T$4,0)),"")</f>
        <v/>
      </c>
      <c r="C1476" s="48">
        <f>IF(B1476="","",IFERROR(INDEX('04A_국토부원자료'!$A:$T,ROW()+1,MATCH("번지",'04A_국토부원자료'!$A$4:$T$4,0)),""))</f>
        <v/>
      </c>
      <c r="D1476" s="48">
        <f>IF(B1476="","",IF(Q1476=1,'02_대상물건입력'!$B$8,IFERROR(INDEX('04A_국토부원자료'!$A:$T,ROW()+1,MATCH("단지명",'04A_국토부원자료'!$A$4:$T$4,0)),"")))</f>
        <v/>
      </c>
      <c r="E1476" s="172">
        <f>IFERROR(VALUE(SUBSTITUTE(INDEX('04A_국토부원자료'!$A:$T,ROW()+1,MATCH("전용면적(㎡)",'04A_국토부원자료'!$A$4:$T$4,0)),",","")),"")</f>
        <v/>
      </c>
      <c r="F14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76" s="51">
        <f>IFERROR(VALUE(SUBSTITUTE(INDEX('04A_국토부원자료'!$A:$T,ROW()+1,MATCH("거래금액(만원)",'04A_국토부원자료'!$A$4:$T$4,0)),",","")),"")</f>
        <v/>
      </c>
      <c r="H1476" s="174">
        <f>IF(G1476="","",G1476*10000)</f>
        <v/>
      </c>
      <c r="I1476" s="174">
        <f>IFERROR(IF(AND(H1476&gt;0,E1476&gt;0),H1476/E1476,""),"")</f>
        <v/>
      </c>
      <c r="J1476" s="152">
        <f>IFERROR(VALUE(SUBSTITUTE(INDEX('04A_국토부원자료'!$A:$T,ROW()+1,MATCH("층",'04A_국토부원자료'!$A$4:$T$4,0)),",","")),"")</f>
        <v/>
      </c>
      <c r="K1476" s="152">
        <f>IFERROR(VALUE(SUBSTITUTE(INDEX('04A_국토부원자료'!$A:$T,ROW()+1,MATCH("건축년도",'04A_국토부원자료'!$A$4:$T$4,0)),",","")),"")</f>
        <v/>
      </c>
      <c r="L1476" s="176">
        <f>IFERROR(INDEX('04A_국토부원자료'!$A:$T,ROW()+1,MATCH("도로명",'04A_국토부원자료'!$A$4:$T$4,0)),"")</f>
        <v/>
      </c>
      <c r="M1476" s="48">
        <f>IFERROR(INDEX('04A_국토부원자료'!$A:$T,ROW()+1,MATCH("거래유형",'04A_국토부원자료'!$A$4:$T$4,0)),"")</f>
        <v/>
      </c>
      <c r="N1476" s="152">
        <f>IF(B1476="","",IF('02_대상물건입력'!B5="",1,IF(ISNUMBER(SEARCH('02_대상물건입력'!B5,B1476)),1,0)))</f>
        <v/>
      </c>
      <c r="O1476" s="152">
        <f>IF(B1476="","",IF('02_대상물건입력'!B6="",1,IF(ISNUMBER(SEARCH('02_대상물건입력'!B6,B1476)),1,0)))</f>
        <v/>
      </c>
      <c r="P1476" s="152">
        <f>IF(L1476="","",IF('02_대상물건입력'!B15="",0,IF(ISNUMBER(SEARCH('02_대상물건입력'!B15,L1476)),1,0)))</f>
        <v/>
      </c>
      <c r="Q1476" s="152">
        <f>IF(OR(C1476="",L1476=""),0,IF(AND(TRIM(C1476)=TRIM(RIGHT(SUBSTITUTE(TRIM('02_대상물건입력'!$B$7)," ",REPT(" ",99)),99)),IF('02_대상물건입력'!B15="",TRUE(),ISNUMBER(SEARCH('02_대상물건입력'!B15,L1476)))),1,0))</f>
        <v/>
      </c>
      <c r="R1476" s="175">
        <f>IFERROR(ABS(E1476-'02_대상물건입력'!B11)/'02_대상물건입력'!B11,"")</f>
        <v/>
      </c>
      <c r="S1476" s="152">
        <f>IFERROR(ABS(J1476-'02_대상물건입력'!B10),"")</f>
        <v/>
      </c>
      <c r="T1476" s="152">
        <f>IFERROR(ABS('01_설정'!B4-F1476),"")</f>
        <v/>
      </c>
      <c r="U1476" s="152">
        <f>IFERROR(ABS(K1476-YEAR('02_대상물건입력'!B14)),"")</f>
        <v/>
      </c>
      <c r="V1476" s="152">
        <f>IF(B1476="","",IF(AND(E1476&gt;0,F1476&gt;0,H1476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1476=1,TRUE()),R1476&lt;='01_설정'!B5,S1476&lt;='01_설정'!B6,T1476&lt;='01_설정'!B7,U1476&lt;='01_설정'!B8),"Y",""))</f>
        <v/>
      </c>
      <c r="W1476" s="172">
        <f>IF(V1476&lt;&gt;"Y","",MAX(0,(1-R1476/'01_설정'!B5))*'01_설정'!B14+MAX(0,(1-S1476/'01_설정'!B6))*'01_설정'!B15+MAX(0,(1-T1476/'01_설정'!B7))*'01_설정'!B16+MAX(0,(1-U1476/'01_설정'!B8))*'01_설정'!B17+O1476*'01_설정'!B11+Q1476*'01_설정'!B12+P1476*'01_설정'!B13+IF(Z1476="",0,Z1476))</f>
        <v/>
      </c>
      <c r="X1476" s="152">
        <f>IF(W1476="","",1+COUNTIFS($W$4:$W$3003,"&gt;"&amp;W1476)+COUNTIFS($W$4:W1476,W1476)-1)</f>
        <v/>
      </c>
      <c r="Y1476" s="175">
        <f>IF(OR(I1476="",'02_대상물건입력'!B19="",'02_대상물건입력'!B19&lt;=0),"",ABS(I1476-'02_대상물건입력'!B19)/'02_대상물건입력'!B19)</f>
        <v/>
      </c>
      <c r="Z1476" s="172">
        <f>IF(OR(Y1476="",'01_설정'!B31="",'01_설정'!B31&lt;=0,'01_설정'!B32="",'01_설정'!B32&lt;=0),"",MAX(0,(1-Y1476/'01_설정'!B32))*'01_설정'!B31)</f>
        <v/>
      </c>
    </row>
    <row r="1477" ht="17.25" customHeight="1">
      <c r="A1477" s="152">
        <f>IF(INDEX('04A_국토부원자료'!$A:$A,ROW()+1)="","",ROW()-3)</f>
        <v/>
      </c>
      <c r="B1477" s="48">
        <f>IFERROR(INDEX('04A_국토부원자료'!$A:$T,ROW()+1,MATCH("시군구",'04A_국토부원자료'!$A$4:$T$4,0)),"")</f>
        <v/>
      </c>
      <c r="C1477" s="48">
        <f>IF(B1477="","",IFERROR(INDEX('04A_국토부원자료'!$A:$T,ROW()+1,MATCH("번지",'04A_국토부원자료'!$A$4:$T$4,0)),""))</f>
        <v/>
      </c>
      <c r="D1477" s="48">
        <f>IF(B1477="","",IF(Q1477=1,'02_대상물건입력'!$B$8,IFERROR(INDEX('04A_국토부원자료'!$A:$T,ROW()+1,MATCH("단지명",'04A_국토부원자료'!$A$4:$T$4,0)),"")))</f>
        <v/>
      </c>
      <c r="E1477" s="172">
        <f>IFERROR(VALUE(SUBSTITUTE(INDEX('04A_국토부원자료'!$A:$T,ROW()+1,MATCH("전용면적(㎡)",'04A_국토부원자료'!$A$4:$T$4,0)),",","")),"")</f>
        <v/>
      </c>
      <c r="F14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77" s="51">
        <f>IFERROR(VALUE(SUBSTITUTE(INDEX('04A_국토부원자료'!$A:$T,ROW()+1,MATCH("거래금액(만원)",'04A_국토부원자료'!$A$4:$T$4,0)),",","")),"")</f>
        <v/>
      </c>
      <c r="H1477" s="174">
        <f>IF(G1477="","",G1477*10000)</f>
        <v/>
      </c>
      <c r="I1477" s="174">
        <f>IFERROR(IF(AND(H1477&gt;0,E1477&gt;0),H1477/E1477,""),"")</f>
        <v/>
      </c>
      <c r="J1477" s="152">
        <f>IFERROR(VALUE(SUBSTITUTE(INDEX('04A_국토부원자료'!$A:$T,ROW()+1,MATCH("층",'04A_국토부원자료'!$A$4:$T$4,0)),",","")),"")</f>
        <v/>
      </c>
      <c r="K1477" s="152">
        <f>IFERROR(VALUE(SUBSTITUTE(INDEX('04A_국토부원자료'!$A:$T,ROW()+1,MATCH("건축년도",'04A_국토부원자료'!$A$4:$T$4,0)),",","")),"")</f>
        <v/>
      </c>
      <c r="L1477" s="176">
        <f>IFERROR(INDEX('04A_국토부원자료'!$A:$T,ROW()+1,MATCH("도로명",'04A_국토부원자료'!$A$4:$T$4,0)),"")</f>
        <v/>
      </c>
      <c r="M1477" s="48">
        <f>IFERROR(INDEX('04A_국토부원자료'!$A:$T,ROW()+1,MATCH("거래유형",'04A_국토부원자료'!$A$4:$T$4,0)),"")</f>
        <v/>
      </c>
      <c r="N1477" s="152">
        <f>IF(B1477="","",IF('02_대상물건입력'!B5="",1,IF(ISNUMBER(SEARCH('02_대상물건입력'!B5,B1477)),1,0)))</f>
        <v/>
      </c>
      <c r="O1477" s="152">
        <f>IF(B1477="","",IF('02_대상물건입력'!B6="",1,IF(ISNUMBER(SEARCH('02_대상물건입력'!B6,B1477)),1,0)))</f>
        <v/>
      </c>
      <c r="P1477" s="152">
        <f>IF(L1477="","",IF('02_대상물건입력'!B15="",0,IF(ISNUMBER(SEARCH('02_대상물건입력'!B15,L1477)),1,0)))</f>
        <v/>
      </c>
      <c r="Q1477" s="152">
        <f>IF(OR(C1477="",L1477=""),0,IF(AND(TRIM(C1477)=TRIM(RIGHT(SUBSTITUTE(TRIM('02_대상물건입력'!$B$7)," ",REPT(" ",99)),99)),IF('02_대상물건입력'!B15="",TRUE(),ISNUMBER(SEARCH('02_대상물건입력'!B15,L1477)))),1,0))</f>
        <v/>
      </c>
      <c r="R1477" s="175">
        <f>IFERROR(ABS(E1477-'02_대상물건입력'!B11)/'02_대상물건입력'!B11,"")</f>
        <v/>
      </c>
      <c r="S1477" s="152">
        <f>IFERROR(ABS(J1477-'02_대상물건입력'!B10),"")</f>
        <v/>
      </c>
      <c r="T1477" s="152">
        <f>IFERROR(ABS('01_설정'!B4-F1477),"")</f>
        <v/>
      </c>
      <c r="U1477" s="152">
        <f>IFERROR(ABS(K1477-YEAR('02_대상물건입력'!B14)),"")</f>
        <v/>
      </c>
      <c r="V1477" s="152">
        <f>IF(B1477="","",IF(AND(E1477&gt;0,F1477&gt;0,H1477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1477=1,TRUE()),R1477&lt;='01_설정'!B5,S1477&lt;='01_설정'!B6,T1477&lt;='01_설정'!B7,U1477&lt;='01_설정'!B8),"Y",""))</f>
        <v/>
      </c>
      <c r="W1477" s="172">
        <f>IF(V1477&lt;&gt;"Y","",MAX(0,(1-R1477/'01_설정'!B5))*'01_설정'!B14+MAX(0,(1-S1477/'01_설정'!B6))*'01_설정'!B15+MAX(0,(1-T1477/'01_설정'!B7))*'01_설정'!B16+MAX(0,(1-U1477/'01_설정'!B8))*'01_설정'!B17+O1477*'01_설정'!B11+Q1477*'01_설정'!B12+P1477*'01_설정'!B13+IF(Z1477="",0,Z1477))</f>
        <v/>
      </c>
      <c r="X1477" s="152">
        <f>IF(W1477="","",1+COUNTIFS($W$4:$W$3003,"&gt;"&amp;W1477)+COUNTIFS($W$4:W1477,W1477)-1)</f>
        <v/>
      </c>
      <c r="Y1477" s="175">
        <f>IF(OR(I1477="",'02_대상물건입력'!B19="",'02_대상물건입력'!B19&lt;=0),"",ABS(I1477-'02_대상물건입력'!B19)/'02_대상물건입력'!B19)</f>
        <v/>
      </c>
      <c r="Z1477" s="172">
        <f>IF(OR(Y1477="",'01_설정'!B31="",'01_설정'!B31&lt;=0,'01_설정'!B32="",'01_설정'!B32&lt;=0),"",MAX(0,(1-Y1477/'01_설정'!B32))*'01_설정'!B31)</f>
        <v/>
      </c>
    </row>
    <row r="1478" ht="17.25" customHeight="1">
      <c r="A1478" s="152">
        <f>IF(INDEX('04A_국토부원자료'!$A:$A,ROW()+1)="","",ROW()-3)</f>
        <v/>
      </c>
      <c r="B1478" s="48">
        <f>IFERROR(INDEX('04A_국토부원자료'!$A:$T,ROW()+1,MATCH("시군구",'04A_국토부원자료'!$A$4:$T$4,0)),"")</f>
        <v/>
      </c>
      <c r="C1478" s="48">
        <f>IF(B1478="","",IFERROR(INDEX('04A_국토부원자료'!$A:$T,ROW()+1,MATCH("번지",'04A_국토부원자료'!$A$4:$T$4,0)),""))</f>
        <v/>
      </c>
      <c r="D1478" s="48">
        <f>IF(B1478="","",IF(Q1478=1,'02_대상물건입력'!$B$8,IFERROR(INDEX('04A_국토부원자료'!$A:$T,ROW()+1,MATCH("단지명",'04A_국토부원자료'!$A$4:$T$4,0)),"")))</f>
        <v/>
      </c>
      <c r="E1478" s="172">
        <f>IFERROR(VALUE(SUBSTITUTE(INDEX('04A_국토부원자료'!$A:$T,ROW()+1,MATCH("전용면적(㎡)",'04A_국토부원자료'!$A$4:$T$4,0)),",","")),"")</f>
        <v/>
      </c>
      <c r="F14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78" s="51">
        <f>IFERROR(VALUE(SUBSTITUTE(INDEX('04A_국토부원자료'!$A:$T,ROW()+1,MATCH("거래금액(만원)",'04A_국토부원자료'!$A$4:$T$4,0)),",","")),"")</f>
        <v/>
      </c>
      <c r="H1478" s="174">
        <f>IF(G1478="","",G1478*10000)</f>
        <v/>
      </c>
      <c r="I1478" s="174">
        <f>IFERROR(IF(AND(H1478&gt;0,E1478&gt;0),H1478/E1478,""),"")</f>
        <v/>
      </c>
      <c r="J1478" s="152">
        <f>IFERROR(VALUE(SUBSTITUTE(INDEX('04A_국토부원자료'!$A:$T,ROW()+1,MATCH("층",'04A_국토부원자료'!$A$4:$T$4,0)),",","")),"")</f>
        <v/>
      </c>
      <c r="K1478" s="152">
        <f>IFERROR(VALUE(SUBSTITUTE(INDEX('04A_국토부원자료'!$A:$T,ROW()+1,MATCH("건축년도",'04A_국토부원자료'!$A$4:$T$4,0)),",","")),"")</f>
        <v/>
      </c>
      <c r="L1478" s="176">
        <f>IFERROR(INDEX('04A_국토부원자료'!$A:$T,ROW()+1,MATCH("도로명",'04A_국토부원자료'!$A$4:$T$4,0)),"")</f>
        <v/>
      </c>
      <c r="M1478" s="48">
        <f>IFERROR(INDEX('04A_국토부원자료'!$A:$T,ROW()+1,MATCH("거래유형",'04A_국토부원자료'!$A$4:$T$4,0)),"")</f>
        <v/>
      </c>
      <c r="N1478" s="152">
        <f>IF(B1478="","",IF('02_대상물건입력'!B5="",1,IF(ISNUMBER(SEARCH('02_대상물건입력'!B5,B1478)),1,0)))</f>
        <v/>
      </c>
      <c r="O1478" s="152">
        <f>IF(B1478="","",IF('02_대상물건입력'!B6="",1,IF(ISNUMBER(SEARCH('02_대상물건입력'!B6,B1478)),1,0)))</f>
        <v/>
      </c>
      <c r="P1478" s="152">
        <f>IF(L1478="","",IF('02_대상물건입력'!B15="",0,IF(ISNUMBER(SEARCH('02_대상물건입력'!B15,L1478)),1,0)))</f>
        <v/>
      </c>
      <c r="Q1478" s="152">
        <f>IF(OR(C1478="",L1478=""),0,IF(AND(TRIM(C1478)=TRIM(RIGHT(SUBSTITUTE(TRIM('02_대상물건입력'!$B$7)," ",REPT(" ",99)),99)),IF('02_대상물건입력'!B15="",TRUE(),ISNUMBER(SEARCH('02_대상물건입력'!B15,L1478)))),1,0))</f>
        <v/>
      </c>
      <c r="R1478" s="175">
        <f>IFERROR(ABS(E1478-'02_대상물건입력'!B11)/'02_대상물건입력'!B11,"")</f>
        <v/>
      </c>
      <c r="S1478" s="152">
        <f>IFERROR(ABS(J1478-'02_대상물건입력'!B10),"")</f>
        <v/>
      </c>
      <c r="T1478" s="152">
        <f>IFERROR(ABS('01_설정'!B4-F1478),"")</f>
        <v/>
      </c>
      <c r="U1478" s="152">
        <f>IFERROR(ABS(K1478-YEAR('02_대상물건입력'!B14)),"")</f>
        <v/>
      </c>
      <c r="V1478" s="152">
        <f>IF(B1478="","",IF(AND(E1478&gt;0,F1478&gt;0,H1478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1478=1,TRUE()),R1478&lt;='01_설정'!B5,S1478&lt;='01_설정'!B6,T1478&lt;='01_설정'!B7,U1478&lt;='01_설정'!B8),"Y",""))</f>
        <v/>
      </c>
      <c r="W1478" s="172">
        <f>IF(V1478&lt;&gt;"Y","",MAX(0,(1-R1478/'01_설정'!B5))*'01_설정'!B14+MAX(0,(1-S1478/'01_설정'!B6))*'01_설정'!B15+MAX(0,(1-T1478/'01_설정'!B7))*'01_설정'!B16+MAX(0,(1-U1478/'01_설정'!B8))*'01_설정'!B17+O1478*'01_설정'!B11+Q1478*'01_설정'!B12+P1478*'01_설정'!B13+IF(Z1478="",0,Z1478))</f>
        <v/>
      </c>
      <c r="X1478" s="152">
        <f>IF(W1478="","",1+COUNTIFS($W$4:$W$3003,"&gt;"&amp;W1478)+COUNTIFS($W$4:W1478,W1478)-1)</f>
        <v/>
      </c>
      <c r="Y1478" s="175">
        <f>IF(OR(I1478="",'02_대상물건입력'!B19="",'02_대상물건입력'!B19&lt;=0),"",ABS(I1478-'02_대상물건입력'!B19)/'02_대상물건입력'!B19)</f>
        <v/>
      </c>
      <c r="Z1478" s="172">
        <f>IF(OR(Y1478="",'01_설정'!B31="",'01_설정'!B31&lt;=0,'01_설정'!B32="",'01_설정'!B32&lt;=0),"",MAX(0,(1-Y1478/'01_설정'!B32))*'01_설정'!B31)</f>
        <v/>
      </c>
    </row>
    <row r="1479" ht="17.25" customHeight="1">
      <c r="A1479" s="152">
        <f>IF(INDEX('04A_국토부원자료'!$A:$A,ROW()+1)="","",ROW()-3)</f>
        <v/>
      </c>
      <c r="B1479" s="48">
        <f>IFERROR(INDEX('04A_국토부원자료'!$A:$T,ROW()+1,MATCH("시군구",'04A_국토부원자료'!$A$4:$T$4,0)),"")</f>
        <v/>
      </c>
      <c r="C1479" s="48">
        <f>IF(B1479="","",IFERROR(INDEX('04A_국토부원자료'!$A:$T,ROW()+1,MATCH("번지",'04A_국토부원자료'!$A$4:$T$4,0)),""))</f>
        <v/>
      </c>
      <c r="D1479" s="48">
        <f>IF(B1479="","",IF(Q1479=1,'02_대상물건입력'!$B$8,IFERROR(INDEX('04A_국토부원자료'!$A:$T,ROW()+1,MATCH("단지명",'04A_국토부원자료'!$A$4:$T$4,0)),"")))</f>
        <v/>
      </c>
      <c r="E1479" s="172">
        <f>IFERROR(VALUE(SUBSTITUTE(INDEX('04A_국토부원자료'!$A:$T,ROW()+1,MATCH("전용면적(㎡)",'04A_국토부원자료'!$A$4:$T$4,0)),",","")),"")</f>
        <v/>
      </c>
      <c r="F14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79" s="51">
        <f>IFERROR(VALUE(SUBSTITUTE(INDEX('04A_국토부원자료'!$A:$T,ROW()+1,MATCH("거래금액(만원)",'04A_국토부원자료'!$A$4:$T$4,0)),",","")),"")</f>
        <v/>
      </c>
      <c r="H1479" s="174">
        <f>IF(G1479="","",G1479*10000)</f>
        <v/>
      </c>
      <c r="I1479" s="174">
        <f>IFERROR(IF(AND(H1479&gt;0,E1479&gt;0),H1479/E1479,""),"")</f>
        <v/>
      </c>
      <c r="J1479" s="152">
        <f>IFERROR(VALUE(SUBSTITUTE(INDEX('04A_국토부원자료'!$A:$T,ROW()+1,MATCH("층",'04A_국토부원자료'!$A$4:$T$4,0)),",","")),"")</f>
        <v/>
      </c>
      <c r="K1479" s="152">
        <f>IFERROR(VALUE(SUBSTITUTE(INDEX('04A_국토부원자료'!$A:$T,ROW()+1,MATCH("건축년도",'04A_국토부원자료'!$A$4:$T$4,0)),",","")),"")</f>
        <v/>
      </c>
      <c r="L1479" s="176">
        <f>IFERROR(INDEX('04A_국토부원자료'!$A:$T,ROW()+1,MATCH("도로명",'04A_국토부원자료'!$A$4:$T$4,0)),"")</f>
        <v/>
      </c>
      <c r="M1479" s="48">
        <f>IFERROR(INDEX('04A_국토부원자료'!$A:$T,ROW()+1,MATCH("거래유형",'04A_국토부원자료'!$A$4:$T$4,0)),"")</f>
        <v/>
      </c>
      <c r="N1479" s="152">
        <f>IF(B1479="","",IF('02_대상물건입력'!B5="",1,IF(ISNUMBER(SEARCH('02_대상물건입력'!B5,B1479)),1,0)))</f>
        <v/>
      </c>
      <c r="O1479" s="152">
        <f>IF(B1479="","",IF('02_대상물건입력'!B6="",1,IF(ISNUMBER(SEARCH('02_대상물건입력'!B6,B1479)),1,0)))</f>
        <v/>
      </c>
      <c r="P1479" s="152">
        <f>IF(L1479="","",IF('02_대상물건입력'!B15="",0,IF(ISNUMBER(SEARCH('02_대상물건입력'!B15,L1479)),1,0)))</f>
        <v/>
      </c>
      <c r="Q1479" s="152">
        <f>IF(OR(C1479="",L1479=""),0,IF(AND(TRIM(C1479)=TRIM(RIGHT(SUBSTITUTE(TRIM('02_대상물건입력'!$B$7)," ",REPT(" ",99)),99)),IF('02_대상물건입력'!B15="",TRUE(),ISNUMBER(SEARCH('02_대상물건입력'!B15,L1479)))),1,0))</f>
        <v/>
      </c>
      <c r="R1479" s="175">
        <f>IFERROR(ABS(E1479-'02_대상물건입력'!B11)/'02_대상물건입력'!B11,"")</f>
        <v/>
      </c>
      <c r="S1479" s="152">
        <f>IFERROR(ABS(J1479-'02_대상물건입력'!B10),"")</f>
        <v/>
      </c>
      <c r="T1479" s="152">
        <f>IFERROR(ABS('01_설정'!B4-F1479),"")</f>
        <v/>
      </c>
      <c r="U1479" s="152">
        <f>IFERROR(ABS(K1479-YEAR('02_대상물건입력'!B14)),"")</f>
        <v/>
      </c>
      <c r="V1479" s="152">
        <f>IF(B1479="","",IF(AND(E1479&gt;0,F1479&gt;0,H1479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1479=1,TRUE()),R1479&lt;='01_설정'!B5,S1479&lt;='01_설정'!B6,T1479&lt;='01_설정'!B7,U1479&lt;='01_설정'!B8),"Y",""))</f>
        <v/>
      </c>
      <c r="W1479" s="172">
        <f>IF(V1479&lt;&gt;"Y","",MAX(0,(1-R1479/'01_설정'!B5))*'01_설정'!B14+MAX(0,(1-S1479/'01_설정'!B6))*'01_설정'!B15+MAX(0,(1-T1479/'01_설정'!B7))*'01_설정'!B16+MAX(0,(1-U1479/'01_설정'!B8))*'01_설정'!B17+O1479*'01_설정'!B11+Q1479*'01_설정'!B12+P1479*'01_설정'!B13+IF(Z1479="",0,Z1479))</f>
        <v/>
      </c>
      <c r="X1479" s="152">
        <f>IF(W1479="","",1+COUNTIFS($W$4:$W$3003,"&gt;"&amp;W1479)+COUNTIFS($W$4:W1479,W1479)-1)</f>
        <v/>
      </c>
      <c r="Y1479" s="175">
        <f>IF(OR(I1479="",'02_대상물건입력'!B19="",'02_대상물건입력'!B19&lt;=0),"",ABS(I1479-'02_대상물건입력'!B19)/'02_대상물건입력'!B19)</f>
        <v/>
      </c>
      <c r="Z1479" s="172">
        <f>IF(OR(Y1479="",'01_설정'!B31="",'01_설정'!B31&lt;=0,'01_설정'!B32="",'01_설정'!B32&lt;=0),"",MAX(0,(1-Y1479/'01_설정'!B32))*'01_설정'!B31)</f>
        <v/>
      </c>
    </row>
    <row r="1480" ht="17.25" customHeight="1">
      <c r="A1480" s="152">
        <f>IF(INDEX('04A_국토부원자료'!$A:$A,ROW()+1)="","",ROW()-3)</f>
        <v/>
      </c>
      <c r="B1480" s="48">
        <f>IFERROR(INDEX('04A_국토부원자료'!$A:$T,ROW()+1,MATCH("시군구",'04A_국토부원자료'!$A$4:$T$4,0)),"")</f>
        <v/>
      </c>
      <c r="C1480" s="48">
        <f>IF(B1480="","",IFERROR(INDEX('04A_국토부원자료'!$A:$T,ROW()+1,MATCH("번지",'04A_국토부원자료'!$A$4:$T$4,0)),""))</f>
        <v/>
      </c>
      <c r="D1480" s="48">
        <f>IF(B1480="","",IF(Q1480=1,'02_대상물건입력'!$B$8,IFERROR(INDEX('04A_국토부원자료'!$A:$T,ROW()+1,MATCH("단지명",'04A_국토부원자료'!$A$4:$T$4,0)),"")))</f>
        <v/>
      </c>
      <c r="E1480" s="172">
        <f>IFERROR(VALUE(SUBSTITUTE(INDEX('04A_국토부원자료'!$A:$T,ROW()+1,MATCH("전용면적(㎡)",'04A_국토부원자료'!$A$4:$T$4,0)),",","")),"")</f>
        <v/>
      </c>
      <c r="F14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80" s="51">
        <f>IFERROR(VALUE(SUBSTITUTE(INDEX('04A_국토부원자료'!$A:$T,ROW()+1,MATCH("거래금액(만원)",'04A_국토부원자료'!$A$4:$T$4,0)),",","")),"")</f>
        <v/>
      </c>
      <c r="H1480" s="174">
        <f>IF(G1480="","",G1480*10000)</f>
        <v/>
      </c>
      <c r="I1480" s="174">
        <f>IFERROR(IF(AND(H1480&gt;0,E1480&gt;0),H1480/E1480,""),"")</f>
        <v/>
      </c>
      <c r="J1480" s="152">
        <f>IFERROR(VALUE(SUBSTITUTE(INDEX('04A_국토부원자료'!$A:$T,ROW()+1,MATCH("층",'04A_국토부원자료'!$A$4:$T$4,0)),",","")),"")</f>
        <v/>
      </c>
      <c r="K1480" s="152">
        <f>IFERROR(VALUE(SUBSTITUTE(INDEX('04A_국토부원자료'!$A:$T,ROW()+1,MATCH("건축년도",'04A_국토부원자료'!$A$4:$T$4,0)),",","")),"")</f>
        <v/>
      </c>
      <c r="L1480" s="176">
        <f>IFERROR(INDEX('04A_국토부원자료'!$A:$T,ROW()+1,MATCH("도로명",'04A_국토부원자료'!$A$4:$T$4,0)),"")</f>
        <v/>
      </c>
      <c r="M1480" s="48">
        <f>IFERROR(INDEX('04A_국토부원자료'!$A:$T,ROW()+1,MATCH("거래유형",'04A_국토부원자료'!$A$4:$T$4,0)),"")</f>
        <v/>
      </c>
      <c r="N1480" s="152">
        <f>IF(B1480="","",IF('02_대상물건입력'!B5="",1,IF(ISNUMBER(SEARCH('02_대상물건입력'!B5,B1480)),1,0)))</f>
        <v/>
      </c>
      <c r="O1480" s="152">
        <f>IF(B1480="","",IF('02_대상물건입력'!B6="",1,IF(ISNUMBER(SEARCH('02_대상물건입력'!B6,B1480)),1,0)))</f>
        <v/>
      </c>
      <c r="P1480" s="152">
        <f>IF(L1480="","",IF('02_대상물건입력'!B15="",0,IF(ISNUMBER(SEARCH('02_대상물건입력'!B15,L1480)),1,0)))</f>
        <v/>
      </c>
      <c r="Q1480" s="152">
        <f>IF(OR(C1480="",L1480=""),0,IF(AND(TRIM(C1480)=TRIM(RIGHT(SUBSTITUTE(TRIM('02_대상물건입력'!$B$7)," ",REPT(" ",99)),99)),IF('02_대상물건입력'!B15="",TRUE(),ISNUMBER(SEARCH('02_대상물건입력'!B15,L1480)))),1,0))</f>
        <v/>
      </c>
      <c r="R1480" s="175">
        <f>IFERROR(ABS(E1480-'02_대상물건입력'!B11)/'02_대상물건입력'!B11,"")</f>
        <v/>
      </c>
      <c r="S1480" s="152">
        <f>IFERROR(ABS(J1480-'02_대상물건입력'!B10),"")</f>
        <v/>
      </c>
      <c r="T1480" s="152">
        <f>IFERROR(ABS('01_설정'!B4-F1480),"")</f>
        <v/>
      </c>
      <c r="U1480" s="152">
        <f>IFERROR(ABS(K1480-YEAR('02_대상물건입력'!B14)),"")</f>
        <v/>
      </c>
      <c r="V1480" s="152">
        <f>IF(B1480="","",IF(AND(E1480&gt;0,F1480&gt;0,H1480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1480=1,TRUE()),R1480&lt;='01_설정'!B5,S1480&lt;='01_설정'!B6,T1480&lt;='01_설정'!B7,U1480&lt;='01_설정'!B8),"Y",""))</f>
        <v/>
      </c>
      <c r="W1480" s="172">
        <f>IF(V1480&lt;&gt;"Y","",MAX(0,(1-R1480/'01_설정'!B5))*'01_설정'!B14+MAX(0,(1-S1480/'01_설정'!B6))*'01_설정'!B15+MAX(0,(1-T1480/'01_설정'!B7))*'01_설정'!B16+MAX(0,(1-U1480/'01_설정'!B8))*'01_설정'!B17+O1480*'01_설정'!B11+Q1480*'01_설정'!B12+P1480*'01_설정'!B13+IF(Z1480="",0,Z1480))</f>
        <v/>
      </c>
      <c r="X1480" s="152">
        <f>IF(W1480="","",1+COUNTIFS($W$4:$W$3003,"&gt;"&amp;W1480)+COUNTIFS($W$4:W1480,W1480)-1)</f>
        <v/>
      </c>
      <c r="Y1480" s="175">
        <f>IF(OR(I1480="",'02_대상물건입력'!B19="",'02_대상물건입력'!B19&lt;=0),"",ABS(I1480-'02_대상물건입력'!B19)/'02_대상물건입력'!B19)</f>
        <v/>
      </c>
      <c r="Z1480" s="172">
        <f>IF(OR(Y1480="",'01_설정'!B31="",'01_설정'!B31&lt;=0,'01_설정'!B32="",'01_설정'!B32&lt;=0),"",MAX(0,(1-Y1480/'01_설정'!B32))*'01_설정'!B31)</f>
        <v/>
      </c>
    </row>
    <row r="1481" ht="17.25" customHeight="1">
      <c r="A1481" s="152">
        <f>IF(INDEX('04A_국토부원자료'!$A:$A,ROW()+1)="","",ROW()-3)</f>
        <v/>
      </c>
      <c r="B1481" s="48">
        <f>IFERROR(INDEX('04A_국토부원자료'!$A:$T,ROW()+1,MATCH("시군구",'04A_국토부원자료'!$A$4:$T$4,0)),"")</f>
        <v/>
      </c>
      <c r="C1481" s="48">
        <f>IF(B1481="","",IFERROR(INDEX('04A_국토부원자료'!$A:$T,ROW()+1,MATCH("번지",'04A_국토부원자료'!$A$4:$T$4,0)),""))</f>
        <v/>
      </c>
      <c r="D1481" s="48">
        <f>IF(B1481="","",IF(Q1481=1,'02_대상물건입력'!$B$8,IFERROR(INDEX('04A_국토부원자료'!$A:$T,ROW()+1,MATCH("단지명",'04A_국토부원자료'!$A$4:$T$4,0)),"")))</f>
        <v/>
      </c>
      <c r="E1481" s="172">
        <f>IFERROR(VALUE(SUBSTITUTE(INDEX('04A_국토부원자료'!$A:$T,ROW()+1,MATCH("전용면적(㎡)",'04A_국토부원자료'!$A$4:$T$4,0)),",","")),"")</f>
        <v/>
      </c>
      <c r="F14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81" s="51">
        <f>IFERROR(VALUE(SUBSTITUTE(INDEX('04A_국토부원자료'!$A:$T,ROW()+1,MATCH("거래금액(만원)",'04A_국토부원자료'!$A$4:$T$4,0)),",","")),"")</f>
        <v/>
      </c>
      <c r="H1481" s="174">
        <f>IF(G1481="","",G1481*10000)</f>
        <v/>
      </c>
      <c r="I1481" s="174">
        <f>IFERROR(IF(AND(H1481&gt;0,E1481&gt;0),H1481/E1481,""),"")</f>
        <v/>
      </c>
      <c r="J1481" s="152">
        <f>IFERROR(VALUE(SUBSTITUTE(INDEX('04A_국토부원자료'!$A:$T,ROW()+1,MATCH("층",'04A_국토부원자료'!$A$4:$T$4,0)),",","")),"")</f>
        <v/>
      </c>
      <c r="K1481" s="152">
        <f>IFERROR(VALUE(SUBSTITUTE(INDEX('04A_국토부원자료'!$A:$T,ROW()+1,MATCH("건축년도",'04A_국토부원자료'!$A$4:$T$4,0)),",","")),"")</f>
        <v/>
      </c>
      <c r="L1481" s="176">
        <f>IFERROR(INDEX('04A_국토부원자료'!$A:$T,ROW()+1,MATCH("도로명",'04A_국토부원자료'!$A$4:$T$4,0)),"")</f>
        <v/>
      </c>
      <c r="M1481" s="48">
        <f>IFERROR(INDEX('04A_국토부원자료'!$A:$T,ROW()+1,MATCH("거래유형",'04A_국토부원자료'!$A$4:$T$4,0)),"")</f>
        <v/>
      </c>
      <c r="N1481" s="152">
        <f>IF(B1481="","",IF('02_대상물건입력'!B5="",1,IF(ISNUMBER(SEARCH('02_대상물건입력'!B5,B1481)),1,0)))</f>
        <v/>
      </c>
      <c r="O1481" s="152">
        <f>IF(B1481="","",IF('02_대상물건입력'!B6="",1,IF(ISNUMBER(SEARCH('02_대상물건입력'!B6,B1481)),1,0)))</f>
        <v/>
      </c>
      <c r="P1481" s="152">
        <f>IF(L1481="","",IF('02_대상물건입력'!B15="",0,IF(ISNUMBER(SEARCH('02_대상물건입력'!B15,L1481)),1,0)))</f>
        <v/>
      </c>
      <c r="Q1481" s="152">
        <f>IF(OR(C1481="",L1481=""),0,IF(AND(TRIM(C1481)=TRIM(RIGHT(SUBSTITUTE(TRIM('02_대상물건입력'!$B$7)," ",REPT(" ",99)),99)),IF('02_대상물건입력'!B15="",TRUE(),ISNUMBER(SEARCH('02_대상물건입력'!B15,L1481)))),1,0))</f>
        <v/>
      </c>
      <c r="R1481" s="175">
        <f>IFERROR(ABS(E1481-'02_대상물건입력'!B11)/'02_대상물건입력'!B11,"")</f>
        <v/>
      </c>
      <c r="S1481" s="152">
        <f>IFERROR(ABS(J1481-'02_대상물건입력'!B10),"")</f>
        <v/>
      </c>
      <c r="T1481" s="152">
        <f>IFERROR(ABS('01_설정'!B4-F1481),"")</f>
        <v/>
      </c>
      <c r="U1481" s="152">
        <f>IFERROR(ABS(K1481-YEAR('02_대상물건입력'!B14)),"")</f>
        <v/>
      </c>
      <c r="V1481" s="152">
        <f>IF(B1481="","",IF(AND(E1481&gt;0,F1481&gt;0,H1481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1481=1,TRUE()),R1481&lt;='01_설정'!B5,S1481&lt;='01_설정'!B6,T1481&lt;='01_설정'!B7,U1481&lt;='01_설정'!B8),"Y",""))</f>
        <v/>
      </c>
      <c r="W1481" s="172">
        <f>IF(V1481&lt;&gt;"Y","",MAX(0,(1-R1481/'01_설정'!B5))*'01_설정'!B14+MAX(0,(1-S1481/'01_설정'!B6))*'01_설정'!B15+MAX(0,(1-T1481/'01_설정'!B7))*'01_설정'!B16+MAX(0,(1-U1481/'01_설정'!B8))*'01_설정'!B17+O1481*'01_설정'!B11+Q1481*'01_설정'!B12+P1481*'01_설정'!B13+IF(Z1481="",0,Z1481))</f>
        <v/>
      </c>
      <c r="X1481" s="152">
        <f>IF(W1481="","",1+COUNTIFS($W$4:$W$3003,"&gt;"&amp;W1481)+COUNTIFS($W$4:W1481,W1481)-1)</f>
        <v/>
      </c>
      <c r="Y1481" s="175">
        <f>IF(OR(I1481="",'02_대상물건입력'!B19="",'02_대상물건입력'!B19&lt;=0),"",ABS(I1481-'02_대상물건입력'!B19)/'02_대상물건입력'!B19)</f>
        <v/>
      </c>
      <c r="Z1481" s="172">
        <f>IF(OR(Y1481="",'01_설정'!B31="",'01_설정'!B31&lt;=0,'01_설정'!B32="",'01_설정'!B32&lt;=0),"",MAX(0,(1-Y1481/'01_설정'!B32))*'01_설정'!B31)</f>
        <v/>
      </c>
    </row>
    <row r="1482" ht="17.25" customHeight="1">
      <c r="A1482" s="152">
        <f>IF(INDEX('04A_국토부원자료'!$A:$A,ROW()+1)="","",ROW()-3)</f>
        <v/>
      </c>
      <c r="B1482" s="48">
        <f>IFERROR(INDEX('04A_국토부원자료'!$A:$T,ROW()+1,MATCH("시군구",'04A_국토부원자료'!$A$4:$T$4,0)),"")</f>
        <v/>
      </c>
      <c r="C1482" s="48">
        <f>IF(B1482="","",IFERROR(INDEX('04A_국토부원자료'!$A:$T,ROW()+1,MATCH("번지",'04A_국토부원자료'!$A$4:$T$4,0)),""))</f>
        <v/>
      </c>
      <c r="D1482" s="48">
        <f>IF(B1482="","",IF(Q1482=1,'02_대상물건입력'!$B$8,IFERROR(INDEX('04A_국토부원자료'!$A:$T,ROW()+1,MATCH("단지명",'04A_국토부원자료'!$A$4:$T$4,0)),"")))</f>
        <v/>
      </c>
      <c r="E1482" s="172">
        <f>IFERROR(VALUE(SUBSTITUTE(INDEX('04A_국토부원자료'!$A:$T,ROW()+1,MATCH("전용면적(㎡)",'04A_국토부원자료'!$A$4:$T$4,0)),",","")),"")</f>
        <v/>
      </c>
      <c r="F14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82" s="51">
        <f>IFERROR(VALUE(SUBSTITUTE(INDEX('04A_국토부원자료'!$A:$T,ROW()+1,MATCH("거래금액(만원)",'04A_국토부원자료'!$A$4:$T$4,0)),",","")),"")</f>
        <v/>
      </c>
      <c r="H1482" s="174">
        <f>IF(G1482="","",G1482*10000)</f>
        <v/>
      </c>
      <c r="I1482" s="174">
        <f>IFERROR(IF(AND(H1482&gt;0,E1482&gt;0),H1482/E1482,""),"")</f>
        <v/>
      </c>
      <c r="J1482" s="152">
        <f>IFERROR(VALUE(SUBSTITUTE(INDEX('04A_국토부원자료'!$A:$T,ROW()+1,MATCH("층",'04A_국토부원자료'!$A$4:$T$4,0)),",","")),"")</f>
        <v/>
      </c>
      <c r="K1482" s="152">
        <f>IFERROR(VALUE(SUBSTITUTE(INDEX('04A_국토부원자료'!$A:$T,ROW()+1,MATCH("건축년도",'04A_국토부원자료'!$A$4:$T$4,0)),",","")),"")</f>
        <v/>
      </c>
      <c r="L1482" s="176">
        <f>IFERROR(INDEX('04A_국토부원자료'!$A:$T,ROW()+1,MATCH("도로명",'04A_국토부원자료'!$A$4:$T$4,0)),"")</f>
        <v/>
      </c>
      <c r="M1482" s="48">
        <f>IFERROR(INDEX('04A_국토부원자료'!$A:$T,ROW()+1,MATCH("거래유형",'04A_국토부원자료'!$A$4:$T$4,0)),"")</f>
        <v/>
      </c>
      <c r="N1482" s="152">
        <f>IF(B1482="","",IF('02_대상물건입력'!B5="",1,IF(ISNUMBER(SEARCH('02_대상물건입력'!B5,B1482)),1,0)))</f>
        <v/>
      </c>
      <c r="O1482" s="152">
        <f>IF(B1482="","",IF('02_대상물건입력'!B6="",1,IF(ISNUMBER(SEARCH('02_대상물건입력'!B6,B1482)),1,0)))</f>
        <v/>
      </c>
      <c r="P1482" s="152">
        <f>IF(L1482="","",IF('02_대상물건입력'!B15="",0,IF(ISNUMBER(SEARCH('02_대상물건입력'!B15,L1482)),1,0)))</f>
        <v/>
      </c>
      <c r="Q1482" s="152">
        <f>IF(OR(C1482="",L1482=""),0,IF(AND(TRIM(C1482)=TRIM(RIGHT(SUBSTITUTE(TRIM('02_대상물건입력'!$B$7)," ",REPT(" ",99)),99)),IF('02_대상물건입력'!B15="",TRUE(),ISNUMBER(SEARCH('02_대상물건입력'!B15,L1482)))),1,0))</f>
        <v/>
      </c>
      <c r="R1482" s="175">
        <f>IFERROR(ABS(E1482-'02_대상물건입력'!B11)/'02_대상물건입력'!B11,"")</f>
        <v/>
      </c>
      <c r="S1482" s="152">
        <f>IFERROR(ABS(J1482-'02_대상물건입력'!B10),"")</f>
        <v/>
      </c>
      <c r="T1482" s="152">
        <f>IFERROR(ABS('01_설정'!B4-F1482),"")</f>
        <v/>
      </c>
      <c r="U1482" s="152">
        <f>IFERROR(ABS(K1482-YEAR('02_대상물건입력'!B14)),"")</f>
        <v/>
      </c>
      <c r="V1482" s="152">
        <f>IF(B1482="","",IF(AND(E1482&gt;0,F1482&gt;0,H1482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1482=1,TRUE()),R1482&lt;='01_설정'!B5,S1482&lt;='01_설정'!B6,T1482&lt;='01_설정'!B7,U1482&lt;='01_설정'!B8),"Y",""))</f>
        <v/>
      </c>
      <c r="W1482" s="172">
        <f>IF(V1482&lt;&gt;"Y","",MAX(0,(1-R1482/'01_설정'!B5))*'01_설정'!B14+MAX(0,(1-S1482/'01_설정'!B6))*'01_설정'!B15+MAX(0,(1-T1482/'01_설정'!B7))*'01_설정'!B16+MAX(0,(1-U1482/'01_설정'!B8))*'01_설정'!B17+O1482*'01_설정'!B11+Q1482*'01_설정'!B12+P1482*'01_설정'!B13+IF(Z1482="",0,Z1482))</f>
        <v/>
      </c>
      <c r="X1482" s="152">
        <f>IF(W1482="","",1+COUNTIFS($W$4:$W$3003,"&gt;"&amp;W1482)+COUNTIFS($W$4:W1482,W1482)-1)</f>
        <v/>
      </c>
      <c r="Y1482" s="175">
        <f>IF(OR(I1482="",'02_대상물건입력'!B19="",'02_대상물건입력'!B19&lt;=0),"",ABS(I1482-'02_대상물건입력'!B19)/'02_대상물건입력'!B19)</f>
        <v/>
      </c>
      <c r="Z1482" s="172">
        <f>IF(OR(Y1482="",'01_설정'!B31="",'01_설정'!B31&lt;=0,'01_설정'!B32="",'01_설정'!B32&lt;=0),"",MAX(0,(1-Y1482/'01_설정'!B32))*'01_설정'!B31)</f>
        <v/>
      </c>
    </row>
    <row r="1483" ht="17.25" customHeight="1">
      <c r="A1483" s="152">
        <f>IF(INDEX('04A_국토부원자료'!$A:$A,ROW()+1)="","",ROW()-3)</f>
        <v/>
      </c>
      <c r="B1483" s="48">
        <f>IFERROR(INDEX('04A_국토부원자료'!$A:$T,ROW()+1,MATCH("시군구",'04A_국토부원자료'!$A$4:$T$4,0)),"")</f>
        <v/>
      </c>
      <c r="C1483" s="48">
        <f>IF(B1483="","",IFERROR(INDEX('04A_국토부원자료'!$A:$T,ROW()+1,MATCH("번지",'04A_국토부원자료'!$A$4:$T$4,0)),""))</f>
        <v/>
      </c>
      <c r="D1483" s="48">
        <f>IF(B1483="","",IF(Q1483=1,'02_대상물건입력'!$B$8,IFERROR(INDEX('04A_국토부원자료'!$A:$T,ROW()+1,MATCH("단지명",'04A_국토부원자료'!$A$4:$T$4,0)),"")))</f>
        <v/>
      </c>
      <c r="E1483" s="172">
        <f>IFERROR(VALUE(SUBSTITUTE(INDEX('04A_국토부원자료'!$A:$T,ROW()+1,MATCH("전용면적(㎡)",'04A_국토부원자료'!$A$4:$T$4,0)),",","")),"")</f>
        <v/>
      </c>
      <c r="F14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83" s="51">
        <f>IFERROR(VALUE(SUBSTITUTE(INDEX('04A_국토부원자료'!$A:$T,ROW()+1,MATCH("거래금액(만원)",'04A_국토부원자료'!$A$4:$T$4,0)),",","")),"")</f>
        <v/>
      </c>
      <c r="H1483" s="174">
        <f>IF(G1483="","",G1483*10000)</f>
        <v/>
      </c>
      <c r="I1483" s="174">
        <f>IFERROR(IF(AND(H1483&gt;0,E1483&gt;0),H1483/E1483,""),"")</f>
        <v/>
      </c>
      <c r="J1483" s="152">
        <f>IFERROR(VALUE(SUBSTITUTE(INDEX('04A_국토부원자료'!$A:$T,ROW()+1,MATCH("층",'04A_국토부원자료'!$A$4:$T$4,0)),",","")),"")</f>
        <v/>
      </c>
      <c r="K1483" s="152">
        <f>IFERROR(VALUE(SUBSTITUTE(INDEX('04A_국토부원자료'!$A:$T,ROW()+1,MATCH("건축년도",'04A_국토부원자료'!$A$4:$T$4,0)),",","")),"")</f>
        <v/>
      </c>
      <c r="L1483" s="176">
        <f>IFERROR(INDEX('04A_국토부원자료'!$A:$T,ROW()+1,MATCH("도로명",'04A_국토부원자료'!$A$4:$T$4,0)),"")</f>
        <v/>
      </c>
      <c r="M1483" s="48">
        <f>IFERROR(INDEX('04A_국토부원자료'!$A:$T,ROW()+1,MATCH("거래유형",'04A_국토부원자료'!$A$4:$T$4,0)),"")</f>
        <v/>
      </c>
      <c r="N1483" s="152">
        <f>IF(B1483="","",IF('02_대상물건입력'!B5="",1,IF(ISNUMBER(SEARCH('02_대상물건입력'!B5,B1483)),1,0)))</f>
        <v/>
      </c>
      <c r="O1483" s="152">
        <f>IF(B1483="","",IF('02_대상물건입력'!B6="",1,IF(ISNUMBER(SEARCH('02_대상물건입력'!B6,B1483)),1,0)))</f>
        <v/>
      </c>
      <c r="P1483" s="152">
        <f>IF(L1483="","",IF('02_대상물건입력'!B15="",0,IF(ISNUMBER(SEARCH('02_대상물건입력'!B15,L1483)),1,0)))</f>
        <v/>
      </c>
      <c r="Q1483" s="152">
        <f>IF(OR(C1483="",L1483=""),0,IF(AND(TRIM(C1483)=TRIM(RIGHT(SUBSTITUTE(TRIM('02_대상물건입력'!$B$7)," ",REPT(" ",99)),99)),IF('02_대상물건입력'!B15="",TRUE(),ISNUMBER(SEARCH('02_대상물건입력'!B15,L1483)))),1,0))</f>
        <v/>
      </c>
      <c r="R1483" s="175">
        <f>IFERROR(ABS(E1483-'02_대상물건입력'!B11)/'02_대상물건입력'!B11,"")</f>
        <v/>
      </c>
      <c r="S1483" s="152">
        <f>IFERROR(ABS(J1483-'02_대상물건입력'!B10),"")</f>
        <v/>
      </c>
      <c r="T1483" s="152">
        <f>IFERROR(ABS('01_설정'!B4-F1483),"")</f>
        <v/>
      </c>
      <c r="U1483" s="152">
        <f>IFERROR(ABS(K1483-YEAR('02_대상물건입력'!B14)),"")</f>
        <v/>
      </c>
      <c r="V1483" s="152">
        <f>IF(B1483="","",IF(AND(E1483&gt;0,F1483&gt;0,H1483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1483=1,TRUE()),R1483&lt;='01_설정'!B5,S1483&lt;='01_설정'!B6,T1483&lt;='01_설정'!B7,U1483&lt;='01_설정'!B8),"Y",""))</f>
        <v/>
      </c>
      <c r="W1483" s="172">
        <f>IF(V1483&lt;&gt;"Y","",MAX(0,(1-R1483/'01_설정'!B5))*'01_설정'!B14+MAX(0,(1-S1483/'01_설정'!B6))*'01_설정'!B15+MAX(0,(1-T1483/'01_설정'!B7))*'01_설정'!B16+MAX(0,(1-U1483/'01_설정'!B8))*'01_설정'!B17+O1483*'01_설정'!B11+Q1483*'01_설정'!B12+P1483*'01_설정'!B13+IF(Z1483="",0,Z1483))</f>
        <v/>
      </c>
      <c r="X1483" s="152">
        <f>IF(W1483="","",1+COUNTIFS($W$4:$W$3003,"&gt;"&amp;W1483)+COUNTIFS($W$4:W1483,W1483)-1)</f>
        <v/>
      </c>
      <c r="Y1483" s="175">
        <f>IF(OR(I1483="",'02_대상물건입력'!B19="",'02_대상물건입력'!B19&lt;=0),"",ABS(I1483-'02_대상물건입력'!B19)/'02_대상물건입력'!B19)</f>
        <v/>
      </c>
      <c r="Z1483" s="172">
        <f>IF(OR(Y1483="",'01_설정'!B31="",'01_설정'!B31&lt;=0,'01_설정'!B32="",'01_설정'!B32&lt;=0),"",MAX(0,(1-Y1483/'01_설정'!B32))*'01_설정'!B31)</f>
        <v/>
      </c>
    </row>
    <row r="1484" ht="17.25" customHeight="1">
      <c r="A1484" s="152">
        <f>IF(INDEX('04A_국토부원자료'!$A:$A,ROW()+1)="","",ROW()-3)</f>
        <v/>
      </c>
      <c r="B1484" s="48">
        <f>IFERROR(INDEX('04A_국토부원자료'!$A:$T,ROW()+1,MATCH("시군구",'04A_국토부원자료'!$A$4:$T$4,0)),"")</f>
        <v/>
      </c>
      <c r="C1484" s="48">
        <f>IF(B1484="","",IFERROR(INDEX('04A_국토부원자료'!$A:$T,ROW()+1,MATCH("번지",'04A_국토부원자료'!$A$4:$T$4,0)),""))</f>
        <v/>
      </c>
      <c r="D1484" s="48">
        <f>IF(B1484="","",IF(Q1484=1,'02_대상물건입력'!$B$8,IFERROR(INDEX('04A_국토부원자료'!$A:$T,ROW()+1,MATCH("단지명",'04A_국토부원자료'!$A$4:$T$4,0)),"")))</f>
        <v/>
      </c>
      <c r="E1484" s="172">
        <f>IFERROR(VALUE(SUBSTITUTE(INDEX('04A_국토부원자료'!$A:$T,ROW()+1,MATCH("전용면적(㎡)",'04A_국토부원자료'!$A$4:$T$4,0)),",","")),"")</f>
        <v/>
      </c>
      <c r="F14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84" s="51">
        <f>IFERROR(VALUE(SUBSTITUTE(INDEX('04A_국토부원자료'!$A:$T,ROW()+1,MATCH("거래금액(만원)",'04A_국토부원자료'!$A$4:$T$4,0)),",","")),"")</f>
        <v/>
      </c>
      <c r="H1484" s="174">
        <f>IF(G1484="","",G1484*10000)</f>
        <v/>
      </c>
      <c r="I1484" s="174">
        <f>IFERROR(IF(AND(H1484&gt;0,E1484&gt;0),H1484/E1484,""),"")</f>
        <v/>
      </c>
      <c r="J1484" s="152">
        <f>IFERROR(VALUE(SUBSTITUTE(INDEX('04A_국토부원자료'!$A:$T,ROW()+1,MATCH("층",'04A_국토부원자료'!$A$4:$T$4,0)),",","")),"")</f>
        <v/>
      </c>
      <c r="K1484" s="152">
        <f>IFERROR(VALUE(SUBSTITUTE(INDEX('04A_국토부원자료'!$A:$T,ROW()+1,MATCH("건축년도",'04A_국토부원자료'!$A$4:$T$4,0)),",","")),"")</f>
        <v/>
      </c>
      <c r="L1484" s="176">
        <f>IFERROR(INDEX('04A_국토부원자료'!$A:$T,ROW()+1,MATCH("도로명",'04A_국토부원자료'!$A$4:$T$4,0)),"")</f>
        <v/>
      </c>
      <c r="M1484" s="48">
        <f>IFERROR(INDEX('04A_국토부원자료'!$A:$T,ROW()+1,MATCH("거래유형",'04A_국토부원자료'!$A$4:$T$4,0)),"")</f>
        <v/>
      </c>
      <c r="N1484" s="152">
        <f>IF(B1484="","",IF('02_대상물건입력'!B5="",1,IF(ISNUMBER(SEARCH('02_대상물건입력'!B5,B1484)),1,0)))</f>
        <v/>
      </c>
      <c r="O1484" s="152">
        <f>IF(B1484="","",IF('02_대상물건입력'!B6="",1,IF(ISNUMBER(SEARCH('02_대상물건입력'!B6,B1484)),1,0)))</f>
        <v/>
      </c>
      <c r="P1484" s="152">
        <f>IF(L1484="","",IF('02_대상물건입력'!B15="",0,IF(ISNUMBER(SEARCH('02_대상물건입력'!B15,L1484)),1,0)))</f>
        <v/>
      </c>
      <c r="Q1484" s="152">
        <f>IF(OR(C1484="",L1484=""),0,IF(AND(TRIM(C1484)=TRIM(RIGHT(SUBSTITUTE(TRIM('02_대상물건입력'!$B$7)," ",REPT(" ",99)),99)),IF('02_대상물건입력'!B15="",TRUE(),ISNUMBER(SEARCH('02_대상물건입력'!B15,L1484)))),1,0))</f>
        <v/>
      </c>
      <c r="R1484" s="175">
        <f>IFERROR(ABS(E1484-'02_대상물건입력'!B11)/'02_대상물건입력'!B11,"")</f>
        <v/>
      </c>
      <c r="S1484" s="152">
        <f>IFERROR(ABS(J1484-'02_대상물건입력'!B10),"")</f>
        <v/>
      </c>
      <c r="T1484" s="152">
        <f>IFERROR(ABS('01_설정'!B4-F1484),"")</f>
        <v/>
      </c>
      <c r="U1484" s="152">
        <f>IFERROR(ABS(K1484-YEAR('02_대상물건입력'!B14)),"")</f>
        <v/>
      </c>
      <c r="V1484" s="152">
        <f>IF(B1484="","",IF(AND(E1484&gt;0,F1484&gt;0,H1484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1484=1,TRUE()),R1484&lt;='01_설정'!B5,S1484&lt;='01_설정'!B6,T1484&lt;='01_설정'!B7,U1484&lt;='01_설정'!B8),"Y",""))</f>
        <v/>
      </c>
      <c r="W1484" s="172">
        <f>IF(V1484&lt;&gt;"Y","",MAX(0,(1-R1484/'01_설정'!B5))*'01_설정'!B14+MAX(0,(1-S1484/'01_설정'!B6))*'01_설정'!B15+MAX(0,(1-T1484/'01_설정'!B7))*'01_설정'!B16+MAX(0,(1-U1484/'01_설정'!B8))*'01_설정'!B17+O1484*'01_설정'!B11+Q1484*'01_설정'!B12+P1484*'01_설정'!B13+IF(Z1484="",0,Z1484))</f>
        <v/>
      </c>
      <c r="X1484" s="152">
        <f>IF(W1484="","",1+COUNTIFS($W$4:$W$3003,"&gt;"&amp;W1484)+COUNTIFS($W$4:W1484,W1484)-1)</f>
        <v/>
      </c>
      <c r="Y1484" s="175">
        <f>IF(OR(I1484="",'02_대상물건입력'!B19="",'02_대상물건입력'!B19&lt;=0),"",ABS(I1484-'02_대상물건입력'!B19)/'02_대상물건입력'!B19)</f>
        <v/>
      </c>
      <c r="Z1484" s="172">
        <f>IF(OR(Y1484="",'01_설정'!B31="",'01_설정'!B31&lt;=0,'01_설정'!B32="",'01_설정'!B32&lt;=0),"",MAX(0,(1-Y1484/'01_설정'!B32))*'01_설정'!B31)</f>
        <v/>
      </c>
    </row>
    <row r="1485" ht="17.25" customHeight="1">
      <c r="A1485" s="152">
        <f>IF(INDEX('04A_국토부원자료'!$A:$A,ROW()+1)="","",ROW()-3)</f>
        <v/>
      </c>
      <c r="B1485" s="48">
        <f>IFERROR(INDEX('04A_국토부원자료'!$A:$T,ROW()+1,MATCH("시군구",'04A_국토부원자료'!$A$4:$T$4,0)),"")</f>
        <v/>
      </c>
      <c r="C1485" s="48">
        <f>IF(B1485="","",IFERROR(INDEX('04A_국토부원자료'!$A:$T,ROW()+1,MATCH("번지",'04A_국토부원자료'!$A$4:$T$4,0)),""))</f>
        <v/>
      </c>
      <c r="D1485" s="48">
        <f>IF(B1485="","",IF(Q1485=1,'02_대상물건입력'!$B$8,IFERROR(INDEX('04A_국토부원자료'!$A:$T,ROW()+1,MATCH("단지명",'04A_국토부원자료'!$A$4:$T$4,0)),"")))</f>
        <v/>
      </c>
      <c r="E1485" s="172">
        <f>IFERROR(VALUE(SUBSTITUTE(INDEX('04A_국토부원자료'!$A:$T,ROW()+1,MATCH("전용면적(㎡)",'04A_국토부원자료'!$A$4:$T$4,0)),",","")),"")</f>
        <v/>
      </c>
      <c r="F14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85" s="51">
        <f>IFERROR(VALUE(SUBSTITUTE(INDEX('04A_국토부원자료'!$A:$T,ROW()+1,MATCH("거래금액(만원)",'04A_국토부원자료'!$A$4:$T$4,0)),",","")),"")</f>
        <v/>
      </c>
      <c r="H1485" s="174">
        <f>IF(G1485="","",G1485*10000)</f>
        <v/>
      </c>
      <c r="I1485" s="174">
        <f>IFERROR(IF(AND(H1485&gt;0,E1485&gt;0),H1485/E1485,""),"")</f>
        <v/>
      </c>
      <c r="J1485" s="152">
        <f>IFERROR(VALUE(SUBSTITUTE(INDEX('04A_국토부원자료'!$A:$T,ROW()+1,MATCH("층",'04A_국토부원자료'!$A$4:$T$4,0)),",","")),"")</f>
        <v/>
      </c>
      <c r="K1485" s="152">
        <f>IFERROR(VALUE(SUBSTITUTE(INDEX('04A_국토부원자료'!$A:$T,ROW()+1,MATCH("건축년도",'04A_국토부원자료'!$A$4:$T$4,0)),",","")),"")</f>
        <v/>
      </c>
      <c r="L1485" s="176">
        <f>IFERROR(INDEX('04A_국토부원자료'!$A:$T,ROW()+1,MATCH("도로명",'04A_국토부원자료'!$A$4:$T$4,0)),"")</f>
        <v/>
      </c>
      <c r="M1485" s="48">
        <f>IFERROR(INDEX('04A_국토부원자료'!$A:$T,ROW()+1,MATCH("거래유형",'04A_국토부원자료'!$A$4:$T$4,0)),"")</f>
        <v/>
      </c>
      <c r="N1485" s="152">
        <f>IF(B1485="","",IF('02_대상물건입력'!B5="",1,IF(ISNUMBER(SEARCH('02_대상물건입력'!B5,B1485)),1,0)))</f>
        <v/>
      </c>
      <c r="O1485" s="152">
        <f>IF(B1485="","",IF('02_대상물건입력'!B6="",1,IF(ISNUMBER(SEARCH('02_대상물건입력'!B6,B1485)),1,0)))</f>
        <v/>
      </c>
      <c r="P1485" s="152">
        <f>IF(L1485="","",IF('02_대상물건입력'!B15="",0,IF(ISNUMBER(SEARCH('02_대상물건입력'!B15,L1485)),1,0)))</f>
        <v/>
      </c>
      <c r="Q1485" s="152">
        <f>IF(OR(C1485="",L1485=""),0,IF(AND(TRIM(C1485)=TRIM(RIGHT(SUBSTITUTE(TRIM('02_대상물건입력'!$B$7)," ",REPT(" ",99)),99)),IF('02_대상물건입력'!B15="",TRUE(),ISNUMBER(SEARCH('02_대상물건입력'!B15,L1485)))),1,0))</f>
        <v/>
      </c>
      <c r="R1485" s="175">
        <f>IFERROR(ABS(E1485-'02_대상물건입력'!B11)/'02_대상물건입력'!B11,"")</f>
        <v/>
      </c>
      <c r="S1485" s="152">
        <f>IFERROR(ABS(J1485-'02_대상물건입력'!B10),"")</f>
        <v/>
      </c>
      <c r="T1485" s="152">
        <f>IFERROR(ABS('01_설정'!B4-F1485),"")</f>
        <v/>
      </c>
      <c r="U1485" s="152">
        <f>IFERROR(ABS(K1485-YEAR('02_대상물건입력'!B14)),"")</f>
        <v/>
      </c>
      <c r="V1485" s="152">
        <f>IF(B1485="","",IF(AND(E1485&gt;0,F1485&gt;0,H1485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1485=1,TRUE()),R1485&lt;='01_설정'!B5,S1485&lt;='01_설정'!B6,T1485&lt;='01_설정'!B7,U1485&lt;='01_설정'!B8),"Y",""))</f>
        <v/>
      </c>
      <c r="W1485" s="172">
        <f>IF(V1485&lt;&gt;"Y","",MAX(0,(1-R1485/'01_설정'!B5))*'01_설정'!B14+MAX(0,(1-S1485/'01_설정'!B6))*'01_설정'!B15+MAX(0,(1-T1485/'01_설정'!B7))*'01_설정'!B16+MAX(0,(1-U1485/'01_설정'!B8))*'01_설정'!B17+O1485*'01_설정'!B11+Q1485*'01_설정'!B12+P1485*'01_설정'!B13+IF(Z1485="",0,Z1485))</f>
        <v/>
      </c>
      <c r="X1485" s="152">
        <f>IF(W1485="","",1+COUNTIFS($W$4:$W$3003,"&gt;"&amp;W1485)+COUNTIFS($W$4:W1485,W1485)-1)</f>
        <v/>
      </c>
      <c r="Y1485" s="175">
        <f>IF(OR(I1485="",'02_대상물건입력'!B19="",'02_대상물건입력'!B19&lt;=0),"",ABS(I1485-'02_대상물건입력'!B19)/'02_대상물건입력'!B19)</f>
        <v/>
      </c>
      <c r="Z1485" s="172">
        <f>IF(OR(Y1485="",'01_설정'!B31="",'01_설정'!B31&lt;=0,'01_설정'!B32="",'01_설정'!B32&lt;=0),"",MAX(0,(1-Y1485/'01_설정'!B32))*'01_설정'!B31)</f>
        <v/>
      </c>
    </row>
    <row r="1486" ht="17.25" customHeight="1">
      <c r="A1486" s="152">
        <f>IF(INDEX('04A_국토부원자료'!$A:$A,ROW()+1)="","",ROW()-3)</f>
        <v/>
      </c>
      <c r="B1486" s="48">
        <f>IFERROR(INDEX('04A_국토부원자료'!$A:$T,ROW()+1,MATCH("시군구",'04A_국토부원자료'!$A$4:$T$4,0)),"")</f>
        <v/>
      </c>
      <c r="C1486" s="48">
        <f>IF(B1486="","",IFERROR(INDEX('04A_국토부원자료'!$A:$T,ROW()+1,MATCH("번지",'04A_국토부원자료'!$A$4:$T$4,0)),""))</f>
        <v/>
      </c>
      <c r="D1486" s="48">
        <f>IF(B1486="","",IF(Q1486=1,'02_대상물건입력'!$B$8,IFERROR(INDEX('04A_국토부원자료'!$A:$T,ROW()+1,MATCH("단지명",'04A_국토부원자료'!$A$4:$T$4,0)),"")))</f>
        <v/>
      </c>
      <c r="E1486" s="172">
        <f>IFERROR(VALUE(SUBSTITUTE(INDEX('04A_국토부원자료'!$A:$T,ROW()+1,MATCH("전용면적(㎡)",'04A_국토부원자료'!$A$4:$T$4,0)),",","")),"")</f>
        <v/>
      </c>
      <c r="F14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86" s="51">
        <f>IFERROR(VALUE(SUBSTITUTE(INDEX('04A_국토부원자료'!$A:$T,ROW()+1,MATCH("거래금액(만원)",'04A_국토부원자료'!$A$4:$T$4,0)),",","")),"")</f>
        <v/>
      </c>
      <c r="H1486" s="174">
        <f>IF(G1486="","",G1486*10000)</f>
        <v/>
      </c>
      <c r="I1486" s="174">
        <f>IFERROR(IF(AND(H1486&gt;0,E1486&gt;0),H1486/E1486,""),"")</f>
        <v/>
      </c>
      <c r="J1486" s="152">
        <f>IFERROR(VALUE(SUBSTITUTE(INDEX('04A_국토부원자료'!$A:$T,ROW()+1,MATCH("층",'04A_국토부원자료'!$A$4:$T$4,0)),",","")),"")</f>
        <v/>
      </c>
      <c r="K1486" s="152">
        <f>IFERROR(VALUE(SUBSTITUTE(INDEX('04A_국토부원자료'!$A:$T,ROW()+1,MATCH("건축년도",'04A_국토부원자료'!$A$4:$T$4,0)),",","")),"")</f>
        <v/>
      </c>
      <c r="L1486" s="176">
        <f>IFERROR(INDEX('04A_국토부원자료'!$A:$T,ROW()+1,MATCH("도로명",'04A_국토부원자료'!$A$4:$T$4,0)),"")</f>
        <v/>
      </c>
      <c r="M1486" s="48">
        <f>IFERROR(INDEX('04A_국토부원자료'!$A:$T,ROW()+1,MATCH("거래유형",'04A_국토부원자료'!$A$4:$T$4,0)),"")</f>
        <v/>
      </c>
      <c r="N1486" s="152">
        <f>IF(B1486="","",IF('02_대상물건입력'!B5="",1,IF(ISNUMBER(SEARCH('02_대상물건입력'!B5,B1486)),1,0)))</f>
        <v/>
      </c>
      <c r="O1486" s="152">
        <f>IF(B1486="","",IF('02_대상물건입력'!B6="",1,IF(ISNUMBER(SEARCH('02_대상물건입력'!B6,B1486)),1,0)))</f>
        <v/>
      </c>
      <c r="P1486" s="152">
        <f>IF(L1486="","",IF('02_대상물건입력'!B15="",0,IF(ISNUMBER(SEARCH('02_대상물건입력'!B15,L1486)),1,0)))</f>
        <v/>
      </c>
      <c r="Q1486" s="152">
        <f>IF(OR(C1486="",L1486=""),0,IF(AND(TRIM(C1486)=TRIM(RIGHT(SUBSTITUTE(TRIM('02_대상물건입력'!$B$7)," ",REPT(" ",99)),99)),IF('02_대상물건입력'!B15="",TRUE(),ISNUMBER(SEARCH('02_대상물건입력'!B15,L1486)))),1,0))</f>
        <v/>
      </c>
      <c r="R1486" s="175">
        <f>IFERROR(ABS(E1486-'02_대상물건입력'!B11)/'02_대상물건입력'!B11,"")</f>
        <v/>
      </c>
      <c r="S1486" s="152">
        <f>IFERROR(ABS(J1486-'02_대상물건입력'!B10),"")</f>
        <v/>
      </c>
      <c r="T1486" s="152">
        <f>IFERROR(ABS('01_설정'!B4-F1486),"")</f>
        <v/>
      </c>
      <c r="U1486" s="152">
        <f>IFERROR(ABS(K1486-YEAR('02_대상물건입력'!B14)),"")</f>
        <v/>
      </c>
      <c r="V1486" s="152">
        <f>IF(B1486="","",IF(AND(E1486&gt;0,F1486&gt;0,H1486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1486=1,TRUE()),R1486&lt;='01_설정'!B5,S1486&lt;='01_설정'!B6,T1486&lt;='01_설정'!B7,U1486&lt;='01_설정'!B8),"Y",""))</f>
        <v/>
      </c>
      <c r="W1486" s="172">
        <f>IF(V1486&lt;&gt;"Y","",MAX(0,(1-R1486/'01_설정'!B5))*'01_설정'!B14+MAX(0,(1-S1486/'01_설정'!B6))*'01_설정'!B15+MAX(0,(1-T1486/'01_설정'!B7))*'01_설정'!B16+MAX(0,(1-U1486/'01_설정'!B8))*'01_설정'!B17+O1486*'01_설정'!B11+Q1486*'01_설정'!B12+P1486*'01_설정'!B13+IF(Z1486="",0,Z1486))</f>
        <v/>
      </c>
      <c r="X1486" s="152">
        <f>IF(W1486="","",1+COUNTIFS($W$4:$W$3003,"&gt;"&amp;W1486)+COUNTIFS($W$4:W1486,W1486)-1)</f>
        <v/>
      </c>
      <c r="Y1486" s="175">
        <f>IF(OR(I1486="",'02_대상물건입력'!B19="",'02_대상물건입력'!B19&lt;=0),"",ABS(I1486-'02_대상물건입력'!B19)/'02_대상물건입력'!B19)</f>
        <v/>
      </c>
      <c r="Z1486" s="172">
        <f>IF(OR(Y1486="",'01_설정'!B31="",'01_설정'!B31&lt;=0,'01_설정'!B32="",'01_설정'!B32&lt;=0),"",MAX(0,(1-Y1486/'01_설정'!B32))*'01_설정'!B31)</f>
        <v/>
      </c>
    </row>
    <row r="1487" ht="17.25" customHeight="1">
      <c r="A1487" s="152">
        <f>IF(INDEX('04A_국토부원자료'!$A:$A,ROW()+1)="","",ROW()-3)</f>
        <v/>
      </c>
      <c r="B1487" s="48">
        <f>IFERROR(INDEX('04A_국토부원자료'!$A:$T,ROW()+1,MATCH("시군구",'04A_국토부원자료'!$A$4:$T$4,0)),"")</f>
        <v/>
      </c>
      <c r="C1487" s="48">
        <f>IF(B1487="","",IFERROR(INDEX('04A_국토부원자료'!$A:$T,ROW()+1,MATCH("번지",'04A_국토부원자료'!$A$4:$T$4,0)),""))</f>
        <v/>
      </c>
      <c r="D1487" s="48">
        <f>IF(B1487="","",IF(Q1487=1,'02_대상물건입력'!$B$8,IFERROR(INDEX('04A_국토부원자료'!$A:$T,ROW()+1,MATCH("단지명",'04A_국토부원자료'!$A$4:$T$4,0)),"")))</f>
        <v/>
      </c>
      <c r="E1487" s="172">
        <f>IFERROR(VALUE(SUBSTITUTE(INDEX('04A_국토부원자료'!$A:$T,ROW()+1,MATCH("전용면적(㎡)",'04A_국토부원자료'!$A$4:$T$4,0)),",","")),"")</f>
        <v/>
      </c>
      <c r="F14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87" s="51">
        <f>IFERROR(VALUE(SUBSTITUTE(INDEX('04A_국토부원자료'!$A:$T,ROW()+1,MATCH("거래금액(만원)",'04A_국토부원자료'!$A$4:$T$4,0)),",","")),"")</f>
        <v/>
      </c>
      <c r="H1487" s="174">
        <f>IF(G1487="","",G1487*10000)</f>
        <v/>
      </c>
      <c r="I1487" s="174">
        <f>IFERROR(IF(AND(H1487&gt;0,E1487&gt;0),H1487/E1487,""),"")</f>
        <v/>
      </c>
      <c r="J1487" s="152">
        <f>IFERROR(VALUE(SUBSTITUTE(INDEX('04A_국토부원자료'!$A:$T,ROW()+1,MATCH("층",'04A_국토부원자료'!$A$4:$T$4,0)),",","")),"")</f>
        <v/>
      </c>
      <c r="K1487" s="152">
        <f>IFERROR(VALUE(SUBSTITUTE(INDEX('04A_국토부원자료'!$A:$T,ROW()+1,MATCH("건축년도",'04A_국토부원자료'!$A$4:$T$4,0)),",","")),"")</f>
        <v/>
      </c>
      <c r="L1487" s="176">
        <f>IFERROR(INDEX('04A_국토부원자료'!$A:$T,ROW()+1,MATCH("도로명",'04A_국토부원자료'!$A$4:$T$4,0)),"")</f>
        <v/>
      </c>
      <c r="M1487" s="48">
        <f>IFERROR(INDEX('04A_국토부원자료'!$A:$T,ROW()+1,MATCH("거래유형",'04A_국토부원자료'!$A$4:$T$4,0)),"")</f>
        <v/>
      </c>
      <c r="N1487" s="152">
        <f>IF(B1487="","",IF('02_대상물건입력'!B5="",1,IF(ISNUMBER(SEARCH('02_대상물건입력'!B5,B1487)),1,0)))</f>
        <v/>
      </c>
      <c r="O1487" s="152">
        <f>IF(B1487="","",IF('02_대상물건입력'!B6="",1,IF(ISNUMBER(SEARCH('02_대상물건입력'!B6,B1487)),1,0)))</f>
        <v/>
      </c>
      <c r="P1487" s="152">
        <f>IF(L1487="","",IF('02_대상물건입력'!B15="",0,IF(ISNUMBER(SEARCH('02_대상물건입력'!B15,L1487)),1,0)))</f>
        <v/>
      </c>
      <c r="Q1487" s="152">
        <f>IF(OR(C1487="",L1487=""),0,IF(AND(TRIM(C1487)=TRIM(RIGHT(SUBSTITUTE(TRIM('02_대상물건입력'!$B$7)," ",REPT(" ",99)),99)),IF('02_대상물건입력'!B15="",TRUE(),ISNUMBER(SEARCH('02_대상물건입력'!B15,L1487)))),1,0))</f>
        <v/>
      </c>
      <c r="R1487" s="175">
        <f>IFERROR(ABS(E1487-'02_대상물건입력'!B11)/'02_대상물건입력'!B11,"")</f>
        <v/>
      </c>
      <c r="S1487" s="152">
        <f>IFERROR(ABS(J1487-'02_대상물건입력'!B10),"")</f>
        <v/>
      </c>
      <c r="T1487" s="152">
        <f>IFERROR(ABS('01_설정'!B4-F1487),"")</f>
        <v/>
      </c>
      <c r="U1487" s="152">
        <f>IFERROR(ABS(K1487-YEAR('02_대상물건입력'!B14)),"")</f>
        <v/>
      </c>
      <c r="V1487" s="152">
        <f>IF(B1487="","",IF(AND(E1487&gt;0,F1487&gt;0,H1487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1487=1,TRUE()),R1487&lt;='01_설정'!B5,S1487&lt;='01_설정'!B6,T1487&lt;='01_설정'!B7,U1487&lt;='01_설정'!B8),"Y",""))</f>
        <v/>
      </c>
      <c r="W1487" s="172">
        <f>IF(V1487&lt;&gt;"Y","",MAX(0,(1-R1487/'01_설정'!B5))*'01_설정'!B14+MAX(0,(1-S1487/'01_설정'!B6))*'01_설정'!B15+MAX(0,(1-T1487/'01_설정'!B7))*'01_설정'!B16+MAX(0,(1-U1487/'01_설정'!B8))*'01_설정'!B17+O1487*'01_설정'!B11+Q1487*'01_설정'!B12+P1487*'01_설정'!B13+IF(Z1487="",0,Z1487))</f>
        <v/>
      </c>
      <c r="X1487" s="152">
        <f>IF(W1487="","",1+COUNTIFS($W$4:$W$3003,"&gt;"&amp;W1487)+COUNTIFS($W$4:W1487,W1487)-1)</f>
        <v/>
      </c>
      <c r="Y1487" s="175">
        <f>IF(OR(I1487="",'02_대상물건입력'!B19="",'02_대상물건입력'!B19&lt;=0),"",ABS(I1487-'02_대상물건입력'!B19)/'02_대상물건입력'!B19)</f>
        <v/>
      </c>
      <c r="Z1487" s="172">
        <f>IF(OR(Y1487="",'01_설정'!B31="",'01_설정'!B31&lt;=0,'01_설정'!B32="",'01_설정'!B32&lt;=0),"",MAX(0,(1-Y1487/'01_설정'!B32))*'01_설정'!B31)</f>
        <v/>
      </c>
    </row>
    <row r="1488" ht="17.25" customHeight="1">
      <c r="A1488" s="152">
        <f>IF(INDEX('04A_국토부원자료'!$A:$A,ROW()+1)="","",ROW()-3)</f>
        <v/>
      </c>
      <c r="B1488" s="48">
        <f>IFERROR(INDEX('04A_국토부원자료'!$A:$T,ROW()+1,MATCH("시군구",'04A_국토부원자료'!$A$4:$T$4,0)),"")</f>
        <v/>
      </c>
      <c r="C1488" s="48">
        <f>IF(B1488="","",IFERROR(INDEX('04A_국토부원자료'!$A:$T,ROW()+1,MATCH("번지",'04A_국토부원자료'!$A$4:$T$4,0)),""))</f>
        <v/>
      </c>
      <c r="D1488" s="48">
        <f>IF(B1488="","",IF(Q1488=1,'02_대상물건입력'!$B$8,IFERROR(INDEX('04A_국토부원자료'!$A:$T,ROW()+1,MATCH("단지명",'04A_국토부원자료'!$A$4:$T$4,0)),"")))</f>
        <v/>
      </c>
      <c r="E1488" s="172">
        <f>IFERROR(VALUE(SUBSTITUTE(INDEX('04A_국토부원자료'!$A:$T,ROW()+1,MATCH("전용면적(㎡)",'04A_국토부원자료'!$A$4:$T$4,0)),",","")),"")</f>
        <v/>
      </c>
      <c r="F14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88" s="51">
        <f>IFERROR(VALUE(SUBSTITUTE(INDEX('04A_국토부원자료'!$A:$T,ROW()+1,MATCH("거래금액(만원)",'04A_국토부원자료'!$A$4:$T$4,0)),",","")),"")</f>
        <v/>
      </c>
      <c r="H1488" s="174">
        <f>IF(G1488="","",G1488*10000)</f>
        <v/>
      </c>
      <c r="I1488" s="174">
        <f>IFERROR(IF(AND(H1488&gt;0,E1488&gt;0),H1488/E1488,""),"")</f>
        <v/>
      </c>
      <c r="J1488" s="152">
        <f>IFERROR(VALUE(SUBSTITUTE(INDEX('04A_국토부원자료'!$A:$T,ROW()+1,MATCH("층",'04A_국토부원자료'!$A$4:$T$4,0)),",","")),"")</f>
        <v/>
      </c>
      <c r="K1488" s="152">
        <f>IFERROR(VALUE(SUBSTITUTE(INDEX('04A_국토부원자료'!$A:$T,ROW()+1,MATCH("건축년도",'04A_국토부원자료'!$A$4:$T$4,0)),",","")),"")</f>
        <v/>
      </c>
      <c r="L1488" s="176">
        <f>IFERROR(INDEX('04A_국토부원자료'!$A:$T,ROW()+1,MATCH("도로명",'04A_국토부원자료'!$A$4:$T$4,0)),"")</f>
        <v/>
      </c>
      <c r="M1488" s="48">
        <f>IFERROR(INDEX('04A_국토부원자료'!$A:$T,ROW()+1,MATCH("거래유형",'04A_국토부원자료'!$A$4:$T$4,0)),"")</f>
        <v/>
      </c>
      <c r="N1488" s="152">
        <f>IF(B1488="","",IF('02_대상물건입력'!B5="",1,IF(ISNUMBER(SEARCH('02_대상물건입력'!B5,B1488)),1,0)))</f>
        <v/>
      </c>
      <c r="O1488" s="152">
        <f>IF(B1488="","",IF('02_대상물건입력'!B6="",1,IF(ISNUMBER(SEARCH('02_대상물건입력'!B6,B1488)),1,0)))</f>
        <v/>
      </c>
      <c r="P1488" s="152">
        <f>IF(L1488="","",IF('02_대상물건입력'!B15="",0,IF(ISNUMBER(SEARCH('02_대상물건입력'!B15,L1488)),1,0)))</f>
        <v/>
      </c>
      <c r="Q1488" s="152">
        <f>IF(OR(C1488="",L1488=""),0,IF(AND(TRIM(C1488)=TRIM(RIGHT(SUBSTITUTE(TRIM('02_대상물건입력'!$B$7)," ",REPT(" ",99)),99)),IF('02_대상물건입력'!B15="",TRUE(),ISNUMBER(SEARCH('02_대상물건입력'!B15,L1488)))),1,0))</f>
        <v/>
      </c>
      <c r="R1488" s="175">
        <f>IFERROR(ABS(E1488-'02_대상물건입력'!B11)/'02_대상물건입력'!B11,"")</f>
        <v/>
      </c>
      <c r="S1488" s="152">
        <f>IFERROR(ABS(J1488-'02_대상물건입력'!B10),"")</f>
        <v/>
      </c>
      <c r="T1488" s="152">
        <f>IFERROR(ABS('01_설정'!B4-F1488),"")</f>
        <v/>
      </c>
      <c r="U1488" s="152">
        <f>IFERROR(ABS(K1488-YEAR('02_대상물건입력'!B14)),"")</f>
        <v/>
      </c>
      <c r="V1488" s="152">
        <f>IF(B1488="","",IF(AND(E1488&gt;0,F1488&gt;0,H1488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1488=1,TRUE()),R1488&lt;='01_설정'!B5,S1488&lt;='01_설정'!B6,T1488&lt;='01_설정'!B7,U1488&lt;='01_설정'!B8),"Y",""))</f>
        <v/>
      </c>
      <c r="W1488" s="172">
        <f>IF(V1488&lt;&gt;"Y","",MAX(0,(1-R1488/'01_설정'!B5))*'01_설정'!B14+MAX(0,(1-S1488/'01_설정'!B6))*'01_설정'!B15+MAX(0,(1-T1488/'01_설정'!B7))*'01_설정'!B16+MAX(0,(1-U1488/'01_설정'!B8))*'01_설정'!B17+O1488*'01_설정'!B11+Q1488*'01_설정'!B12+P1488*'01_설정'!B13+IF(Z1488="",0,Z1488))</f>
        <v/>
      </c>
      <c r="X1488" s="152">
        <f>IF(W1488="","",1+COUNTIFS($W$4:$W$3003,"&gt;"&amp;W1488)+COUNTIFS($W$4:W1488,W1488)-1)</f>
        <v/>
      </c>
      <c r="Y1488" s="175">
        <f>IF(OR(I1488="",'02_대상물건입력'!B19="",'02_대상물건입력'!B19&lt;=0),"",ABS(I1488-'02_대상물건입력'!B19)/'02_대상물건입력'!B19)</f>
        <v/>
      </c>
      <c r="Z1488" s="172">
        <f>IF(OR(Y1488="",'01_설정'!B31="",'01_설정'!B31&lt;=0,'01_설정'!B32="",'01_설정'!B32&lt;=0),"",MAX(0,(1-Y1488/'01_설정'!B32))*'01_설정'!B31)</f>
        <v/>
      </c>
    </row>
    <row r="1489" ht="17.25" customHeight="1">
      <c r="A1489" s="152">
        <f>IF(INDEX('04A_국토부원자료'!$A:$A,ROW()+1)="","",ROW()-3)</f>
        <v/>
      </c>
      <c r="B1489" s="48">
        <f>IFERROR(INDEX('04A_국토부원자료'!$A:$T,ROW()+1,MATCH("시군구",'04A_국토부원자료'!$A$4:$T$4,0)),"")</f>
        <v/>
      </c>
      <c r="C1489" s="48">
        <f>IF(B1489="","",IFERROR(INDEX('04A_국토부원자료'!$A:$T,ROW()+1,MATCH("번지",'04A_국토부원자료'!$A$4:$T$4,0)),""))</f>
        <v/>
      </c>
      <c r="D1489" s="48">
        <f>IF(B1489="","",IF(Q1489=1,'02_대상물건입력'!$B$8,IFERROR(INDEX('04A_국토부원자료'!$A:$T,ROW()+1,MATCH("단지명",'04A_국토부원자료'!$A$4:$T$4,0)),"")))</f>
        <v/>
      </c>
      <c r="E1489" s="172">
        <f>IFERROR(VALUE(SUBSTITUTE(INDEX('04A_국토부원자료'!$A:$T,ROW()+1,MATCH("전용면적(㎡)",'04A_국토부원자료'!$A$4:$T$4,0)),",","")),"")</f>
        <v/>
      </c>
      <c r="F14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89" s="51">
        <f>IFERROR(VALUE(SUBSTITUTE(INDEX('04A_국토부원자료'!$A:$T,ROW()+1,MATCH("거래금액(만원)",'04A_국토부원자료'!$A$4:$T$4,0)),",","")),"")</f>
        <v/>
      </c>
      <c r="H1489" s="174">
        <f>IF(G1489="","",G1489*10000)</f>
        <v/>
      </c>
      <c r="I1489" s="174">
        <f>IFERROR(IF(AND(H1489&gt;0,E1489&gt;0),H1489/E1489,""),"")</f>
        <v/>
      </c>
      <c r="J1489" s="152">
        <f>IFERROR(VALUE(SUBSTITUTE(INDEX('04A_국토부원자료'!$A:$T,ROW()+1,MATCH("층",'04A_국토부원자료'!$A$4:$T$4,0)),",","")),"")</f>
        <v/>
      </c>
      <c r="K1489" s="152">
        <f>IFERROR(VALUE(SUBSTITUTE(INDEX('04A_국토부원자료'!$A:$T,ROW()+1,MATCH("건축년도",'04A_국토부원자료'!$A$4:$T$4,0)),",","")),"")</f>
        <v/>
      </c>
      <c r="L1489" s="176">
        <f>IFERROR(INDEX('04A_국토부원자료'!$A:$T,ROW()+1,MATCH("도로명",'04A_국토부원자료'!$A$4:$T$4,0)),"")</f>
        <v/>
      </c>
      <c r="M1489" s="48">
        <f>IFERROR(INDEX('04A_국토부원자료'!$A:$T,ROW()+1,MATCH("거래유형",'04A_국토부원자료'!$A$4:$T$4,0)),"")</f>
        <v/>
      </c>
      <c r="N1489" s="152">
        <f>IF(B1489="","",IF('02_대상물건입력'!B5="",1,IF(ISNUMBER(SEARCH('02_대상물건입력'!B5,B1489)),1,0)))</f>
        <v/>
      </c>
      <c r="O1489" s="152">
        <f>IF(B1489="","",IF('02_대상물건입력'!B6="",1,IF(ISNUMBER(SEARCH('02_대상물건입력'!B6,B1489)),1,0)))</f>
        <v/>
      </c>
      <c r="P1489" s="152">
        <f>IF(L1489="","",IF('02_대상물건입력'!B15="",0,IF(ISNUMBER(SEARCH('02_대상물건입력'!B15,L1489)),1,0)))</f>
        <v/>
      </c>
      <c r="Q1489" s="152">
        <f>IF(OR(C1489="",L1489=""),0,IF(AND(TRIM(C1489)=TRIM(RIGHT(SUBSTITUTE(TRIM('02_대상물건입력'!$B$7)," ",REPT(" ",99)),99)),IF('02_대상물건입력'!B15="",TRUE(),ISNUMBER(SEARCH('02_대상물건입력'!B15,L1489)))),1,0))</f>
        <v/>
      </c>
      <c r="R1489" s="175">
        <f>IFERROR(ABS(E1489-'02_대상물건입력'!B11)/'02_대상물건입력'!B11,"")</f>
        <v/>
      </c>
      <c r="S1489" s="152">
        <f>IFERROR(ABS(J1489-'02_대상물건입력'!B10),"")</f>
        <v/>
      </c>
      <c r="T1489" s="152">
        <f>IFERROR(ABS('01_설정'!B4-F1489),"")</f>
        <v/>
      </c>
      <c r="U1489" s="152">
        <f>IFERROR(ABS(K1489-YEAR('02_대상물건입력'!B14)),"")</f>
        <v/>
      </c>
      <c r="V1489" s="152">
        <f>IF(B1489="","",IF(AND(E1489&gt;0,F1489&gt;0,H1489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1489=1,TRUE()),R1489&lt;='01_설정'!B5,S1489&lt;='01_설정'!B6,T1489&lt;='01_설정'!B7,U1489&lt;='01_설정'!B8),"Y",""))</f>
        <v/>
      </c>
      <c r="W1489" s="172">
        <f>IF(V1489&lt;&gt;"Y","",MAX(0,(1-R1489/'01_설정'!B5))*'01_설정'!B14+MAX(0,(1-S1489/'01_설정'!B6))*'01_설정'!B15+MAX(0,(1-T1489/'01_설정'!B7))*'01_설정'!B16+MAX(0,(1-U1489/'01_설정'!B8))*'01_설정'!B17+O1489*'01_설정'!B11+Q1489*'01_설정'!B12+P1489*'01_설정'!B13+IF(Z1489="",0,Z1489))</f>
        <v/>
      </c>
      <c r="X1489" s="152">
        <f>IF(W1489="","",1+COUNTIFS($W$4:$W$3003,"&gt;"&amp;W1489)+COUNTIFS($W$4:W1489,W1489)-1)</f>
        <v/>
      </c>
      <c r="Y1489" s="175">
        <f>IF(OR(I1489="",'02_대상물건입력'!B19="",'02_대상물건입력'!B19&lt;=0),"",ABS(I1489-'02_대상물건입력'!B19)/'02_대상물건입력'!B19)</f>
        <v/>
      </c>
      <c r="Z1489" s="172">
        <f>IF(OR(Y1489="",'01_설정'!B31="",'01_설정'!B31&lt;=0,'01_설정'!B32="",'01_설정'!B32&lt;=0),"",MAX(0,(1-Y1489/'01_설정'!B32))*'01_설정'!B31)</f>
        <v/>
      </c>
    </row>
    <row r="1490" ht="17.25" customHeight="1">
      <c r="A1490" s="152">
        <f>IF(INDEX('04A_국토부원자료'!$A:$A,ROW()+1)="","",ROW()-3)</f>
        <v/>
      </c>
      <c r="B1490" s="48">
        <f>IFERROR(INDEX('04A_국토부원자료'!$A:$T,ROW()+1,MATCH("시군구",'04A_국토부원자료'!$A$4:$T$4,0)),"")</f>
        <v/>
      </c>
      <c r="C1490" s="48">
        <f>IF(B1490="","",IFERROR(INDEX('04A_국토부원자료'!$A:$T,ROW()+1,MATCH("번지",'04A_국토부원자료'!$A$4:$T$4,0)),""))</f>
        <v/>
      </c>
      <c r="D1490" s="48">
        <f>IF(B1490="","",IF(Q1490=1,'02_대상물건입력'!$B$8,IFERROR(INDEX('04A_국토부원자료'!$A:$T,ROW()+1,MATCH("단지명",'04A_국토부원자료'!$A$4:$T$4,0)),"")))</f>
        <v/>
      </c>
      <c r="E1490" s="172">
        <f>IFERROR(VALUE(SUBSTITUTE(INDEX('04A_국토부원자료'!$A:$T,ROW()+1,MATCH("전용면적(㎡)",'04A_국토부원자료'!$A$4:$T$4,0)),",","")),"")</f>
        <v/>
      </c>
      <c r="F14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90" s="51">
        <f>IFERROR(VALUE(SUBSTITUTE(INDEX('04A_국토부원자료'!$A:$T,ROW()+1,MATCH("거래금액(만원)",'04A_국토부원자료'!$A$4:$T$4,0)),",","")),"")</f>
        <v/>
      </c>
      <c r="H1490" s="174">
        <f>IF(G1490="","",G1490*10000)</f>
        <v/>
      </c>
      <c r="I1490" s="174">
        <f>IFERROR(IF(AND(H1490&gt;0,E1490&gt;0),H1490/E1490,""),"")</f>
        <v/>
      </c>
      <c r="J1490" s="152">
        <f>IFERROR(VALUE(SUBSTITUTE(INDEX('04A_국토부원자료'!$A:$T,ROW()+1,MATCH("층",'04A_국토부원자료'!$A$4:$T$4,0)),",","")),"")</f>
        <v/>
      </c>
      <c r="K1490" s="152">
        <f>IFERROR(VALUE(SUBSTITUTE(INDEX('04A_국토부원자료'!$A:$T,ROW()+1,MATCH("건축년도",'04A_국토부원자료'!$A$4:$T$4,0)),",","")),"")</f>
        <v/>
      </c>
      <c r="L1490" s="176">
        <f>IFERROR(INDEX('04A_국토부원자료'!$A:$T,ROW()+1,MATCH("도로명",'04A_국토부원자료'!$A$4:$T$4,0)),"")</f>
        <v/>
      </c>
      <c r="M1490" s="48">
        <f>IFERROR(INDEX('04A_국토부원자료'!$A:$T,ROW()+1,MATCH("거래유형",'04A_국토부원자료'!$A$4:$T$4,0)),"")</f>
        <v/>
      </c>
      <c r="N1490" s="152">
        <f>IF(B1490="","",IF('02_대상물건입력'!B5="",1,IF(ISNUMBER(SEARCH('02_대상물건입력'!B5,B1490)),1,0)))</f>
        <v/>
      </c>
      <c r="O1490" s="152">
        <f>IF(B1490="","",IF('02_대상물건입력'!B6="",1,IF(ISNUMBER(SEARCH('02_대상물건입력'!B6,B1490)),1,0)))</f>
        <v/>
      </c>
      <c r="P1490" s="152">
        <f>IF(L1490="","",IF('02_대상물건입력'!B15="",0,IF(ISNUMBER(SEARCH('02_대상물건입력'!B15,L1490)),1,0)))</f>
        <v/>
      </c>
      <c r="Q1490" s="152">
        <f>IF(OR(C1490="",L1490=""),0,IF(AND(TRIM(C1490)=TRIM(RIGHT(SUBSTITUTE(TRIM('02_대상물건입력'!$B$7)," ",REPT(" ",99)),99)),IF('02_대상물건입력'!B15="",TRUE(),ISNUMBER(SEARCH('02_대상물건입력'!B15,L1490)))),1,0))</f>
        <v/>
      </c>
      <c r="R1490" s="175">
        <f>IFERROR(ABS(E1490-'02_대상물건입력'!B11)/'02_대상물건입력'!B11,"")</f>
        <v/>
      </c>
      <c r="S1490" s="152">
        <f>IFERROR(ABS(J1490-'02_대상물건입력'!B10),"")</f>
        <v/>
      </c>
      <c r="T1490" s="152">
        <f>IFERROR(ABS('01_설정'!B4-F1490),"")</f>
        <v/>
      </c>
      <c r="U1490" s="152">
        <f>IFERROR(ABS(K1490-YEAR('02_대상물건입력'!B14)),"")</f>
        <v/>
      </c>
      <c r="V1490" s="152">
        <f>IF(B1490="","",IF(AND(E1490&gt;0,F1490&gt;0,H1490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1490=1,TRUE()),R1490&lt;='01_설정'!B5,S1490&lt;='01_설정'!B6,T1490&lt;='01_설정'!B7,U1490&lt;='01_설정'!B8),"Y",""))</f>
        <v/>
      </c>
      <c r="W1490" s="172">
        <f>IF(V1490&lt;&gt;"Y","",MAX(0,(1-R1490/'01_설정'!B5))*'01_설정'!B14+MAX(0,(1-S1490/'01_설정'!B6))*'01_설정'!B15+MAX(0,(1-T1490/'01_설정'!B7))*'01_설정'!B16+MAX(0,(1-U1490/'01_설정'!B8))*'01_설정'!B17+O1490*'01_설정'!B11+Q1490*'01_설정'!B12+P1490*'01_설정'!B13+IF(Z1490="",0,Z1490))</f>
        <v/>
      </c>
      <c r="X1490" s="152">
        <f>IF(W1490="","",1+COUNTIFS($W$4:$W$3003,"&gt;"&amp;W1490)+COUNTIFS($W$4:W1490,W1490)-1)</f>
        <v/>
      </c>
      <c r="Y1490" s="175">
        <f>IF(OR(I1490="",'02_대상물건입력'!B19="",'02_대상물건입력'!B19&lt;=0),"",ABS(I1490-'02_대상물건입력'!B19)/'02_대상물건입력'!B19)</f>
        <v/>
      </c>
      <c r="Z1490" s="172">
        <f>IF(OR(Y1490="",'01_설정'!B31="",'01_설정'!B31&lt;=0,'01_설정'!B32="",'01_설정'!B32&lt;=0),"",MAX(0,(1-Y1490/'01_설정'!B32))*'01_설정'!B31)</f>
        <v/>
      </c>
    </row>
    <row r="1491" ht="17.25" customHeight="1">
      <c r="A1491" s="152">
        <f>IF(INDEX('04A_국토부원자료'!$A:$A,ROW()+1)="","",ROW()-3)</f>
        <v/>
      </c>
      <c r="B1491" s="48">
        <f>IFERROR(INDEX('04A_국토부원자료'!$A:$T,ROW()+1,MATCH("시군구",'04A_국토부원자료'!$A$4:$T$4,0)),"")</f>
        <v/>
      </c>
      <c r="C1491" s="48">
        <f>IF(B1491="","",IFERROR(INDEX('04A_국토부원자료'!$A:$T,ROW()+1,MATCH("번지",'04A_국토부원자료'!$A$4:$T$4,0)),""))</f>
        <v/>
      </c>
      <c r="D1491" s="48">
        <f>IF(B1491="","",IF(Q1491=1,'02_대상물건입력'!$B$8,IFERROR(INDEX('04A_국토부원자료'!$A:$T,ROW()+1,MATCH("단지명",'04A_국토부원자료'!$A$4:$T$4,0)),"")))</f>
        <v/>
      </c>
      <c r="E1491" s="172">
        <f>IFERROR(VALUE(SUBSTITUTE(INDEX('04A_국토부원자료'!$A:$T,ROW()+1,MATCH("전용면적(㎡)",'04A_국토부원자료'!$A$4:$T$4,0)),",","")),"")</f>
        <v/>
      </c>
      <c r="F14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91" s="51">
        <f>IFERROR(VALUE(SUBSTITUTE(INDEX('04A_국토부원자료'!$A:$T,ROW()+1,MATCH("거래금액(만원)",'04A_국토부원자료'!$A$4:$T$4,0)),",","")),"")</f>
        <v/>
      </c>
      <c r="H1491" s="174">
        <f>IF(G1491="","",G1491*10000)</f>
        <v/>
      </c>
      <c r="I1491" s="174">
        <f>IFERROR(IF(AND(H1491&gt;0,E1491&gt;0),H1491/E1491,""),"")</f>
        <v/>
      </c>
      <c r="J1491" s="152">
        <f>IFERROR(VALUE(SUBSTITUTE(INDEX('04A_국토부원자료'!$A:$T,ROW()+1,MATCH("층",'04A_국토부원자료'!$A$4:$T$4,0)),",","")),"")</f>
        <v/>
      </c>
      <c r="K1491" s="152">
        <f>IFERROR(VALUE(SUBSTITUTE(INDEX('04A_국토부원자료'!$A:$T,ROW()+1,MATCH("건축년도",'04A_국토부원자료'!$A$4:$T$4,0)),",","")),"")</f>
        <v/>
      </c>
      <c r="L1491" s="176">
        <f>IFERROR(INDEX('04A_국토부원자료'!$A:$T,ROW()+1,MATCH("도로명",'04A_국토부원자료'!$A$4:$T$4,0)),"")</f>
        <v/>
      </c>
      <c r="M1491" s="48">
        <f>IFERROR(INDEX('04A_국토부원자료'!$A:$T,ROW()+1,MATCH("거래유형",'04A_국토부원자료'!$A$4:$T$4,0)),"")</f>
        <v/>
      </c>
      <c r="N1491" s="152">
        <f>IF(B1491="","",IF('02_대상물건입력'!B5="",1,IF(ISNUMBER(SEARCH('02_대상물건입력'!B5,B1491)),1,0)))</f>
        <v/>
      </c>
      <c r="O1491" s="152">
        <f>IF(B1491="","",IF('02_대상물건입력'!B6="",1,IF(ISNUMBER(SEARCH('02_대상물건입력'!B6,B1491)),1,0)))</f>
        <v/>
      </c>
      <c r="P1491" s="152">
        <f>IF(L1491="","",IF('02_대상물건입력'!B15="",0,IF(ISNUMBER(SEARCH('02_대상물건입력'!B15,L1491)),1,0)))</f>
        <v/>
      </c>
      <c r="Q1491" s="152">
        <f>IF(OR(C1491="",L1491=""),0,IF(AND(TRIM(C1491)=TRIM(RIGHT(SUBSTITUTE(TRIM('02_대상물건입력'!$B$7)," ",REPT(" ",99)),99)),IF('02_대상물건입력'!B15="",TRUE(),ISNUMBER(SEARCH('02_대상물건입력'!B15,L1491)))),1,0))</f>
        <v/>
      </c>
      <c r="R1491" s="175">
        <f>IFERROR(ABS(E1491-'02_대상물건입력'!B11)/'02_대상물건입력'!B11,"")</f>
        <v/>
      </c>
      <c r="S1491" s="152">
        <f>IFERROR(ABS(J1491-'02_대상물건입력'!B10),"")</f>
        <v/>
      </c>
      <c r="T1491" s="152">
        <f>IFERROR(ABS('01_설정'!B4-F1491),"")</f>
        <v/>
      </c>
      <c r="U1491" s="152">
        <f>IFERROR(ABS(K1491-YEAR('02_대상물건입력'!B14)),"")</f>
        <v/>
      </c>
      <c r="V1491" s="152">
        <f>IF(B1491="","",IF(AND(E1491&gt;0,F1491&gt;0,H1491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1491=1,TRUE()),R1491&lt;='01_설정'!B5,S1491&lt;='01_설정'!B6,T1491&lt;='01_설정'!B7,U1491&lt;='01_설정'!B8),"Y",""))</f>
        <v/>
      </c>
      <c r="W1491" s="172">
        <f>IF(V1491&lt;&gt;"Y","",MAX(0,(1-R1491/'01_설정'!B5))*'01_설정'!B14+MAX(0,(1-S1491/'01_설정'!B6))*'01_설정'!B15+MAX(0,(1-T1491/'01_설정'!B7))*'01_설정'!B16+MAX(0,(1-U1491/'01_설정'!B8))*'01_설정'!B17+O1491*'01_설정'!B11+Q1491*'01_설정'!B12+P1491*'01_설정'!B13+IF(Z1491="",0,Z1491))</f>
        <v/>
      </c>
      <c r="X1491" s="152">
        <f>IF(W1491="","",1+COUNTIFS($W$4:$W$3003,"&gt;"&amp;W1491)+COUNTIFS($W$4:W1491,W1491)-1)</f>
        <v/>
      </c>
      <c r="Y1491" s="175">
        <f>IF(OR(I1491="",'02_대상물건입력'!B19="",'02_대상물건입력'!B19&lt;=0),"",ABS(I1491-'02_대상물건입력'!B19)/'02_대상물건입력'!B19)</f>
        <v/>
      </c>
      <c r="Z1491" s="172">
        <f>IF(OR(Y1491="",'01_설정'!B31="",'01_설정'!B31&lt;=0,'01_설정'!B32="",'01_설정'!B32&lt;=0),"",MAX(0,(1-Y1491/'01_설정'!B32))*'01_설정'!B31)</f>
        <v/>
      </c>
    </row>
    <row r="1492" ht="17.25" customHeight="1">
      <c r="A1492" s="152">
        <f>IF(INDEX('04A_국토부원자료'!$A:$A,ROW()+1)="","",ROW()-3)</f>
        <v/>
      </c>
      <c r="B1492" s="48">
        <f>IFERROR(INDEX('04A_국토부원자료'!$A:$T,ROW()+1,MATCH("시군구",'04A_국토부원자료'!$A$4:$T$4,0)),"")</f>
        <v/>
      </c>
      <c r="C1492" s="48">
        <f>IF(B1492="","",IFERROR(INDEX('04A_국토부원자료'!$A:$T,ROW()+1,MATCH("번지",'04A_국토부원자료'!$A$4:$T$4,0)),""))</f>
        <v/>
      </c>
      <c r="D1492" s="48">
        <f>IF(B1492="","",IF(Q1492=1,'02_대상물건입력'!$B$8,IFERROR(INDEX('04A_국토부원자료'!$A:$T,ROW()+1,MATCH("단지명",'04A_국토부원자료'!$A$4:$T$4,0)),"")))</f>
        <v/>
      </c>
      <c r="E1492" s="172">
        <f>IFERROR(VALUE(SUBSTITUTE(INDEX('04A_국토부원자료'!$A:$T,ROW()+1,MATCH("전용면적(㎡)",'04A_국토부원자료'!$A$4:$T$4,0)),",","")),"")</f>
        <v/>
      </c>
      <c r="F14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92" s="51">
        <f>IFERROR(VALUE(SUBSTITUTE(INDEX('04A_국토부원자료'!$A:$T,ROW()+1,MATCH("거래금액(만원)",'04A_국토부원자료'!$A$4:$T$4,0)),",","")),"")</f>
        <v/>
      </c>
      <c r="H1492" s="174">
        <f>IF(G1492="","",G1492*10000)</f>
        <v/>
      </c>
      <c r="I1492" s="174">
        <f>IFERROR(IF(AND(H1492&gt;0,E1492&gt;0),H1492/E1492,""),"")</f>
        <v/>
      </c>
      <c r="J1492" s="152">
        <f>IFERROR(VALUE(SUBSTITUTE(INDEX('04A_국토부원자료'!$A:$T,ROW()+1,MATCH("층",'04A_국토부원자료'!$A$4:$T$4,0)),",","")),"")</f>
        <v/>
      </c>
      <c r="K1492" s="152">
        <f>IFERROR(VALUE(SUBSTITUTE(INDEX('04A_국토부원자료'!$A:$T,ROW()+1,MATCH("건축년도",'04A_국토부원자료'!$A$4:$T$4,0)),",","")),"")</f>
        <v/>
      </c>
      <c r="L1492" s="176">
        <f>IFERROR(INDEX('04A_국토부원자료'!$A:$T,ROW()+1,MATCH("도로명",'04A_국토부원자료'!$A$4:$T$4,0)),"")</f>
        <v/>
      </c>
      <c r="M1492" s="48">
        <f>IFERROR(INDEX('04A_국토부원자료'!$A:$T,ROW()+1,MATCH("거래유형",'04A_국토부원자료'!$A$4:$T$4,0)),"")</f>
        <v/>
      </c>
      <c r="N1492" s="152">
        <f>IF(B1492="","",IF('02_대상물건입력'!B5="",1,IF(ISNUMBER(SEARCH('02_대상물건입력'!B5,B1492)),1,0)))</f>
        <v/>
      </c>
      <c r="O1492" s="152">
        <f>IF(B1492="","",IF('02_대상물건입력'!B6="",1,IF(ISNUMBER(SEARCH('02_대상물건입력'!B6,B1492)),1,0)))</f>
        <v/>
      </c>
      <c r="P1492" s="152">
        <f>IF(L1492="","",IF('02_대상물건입력'!B15="",0,IF(ISNUMBER(SEARCH('02_대상물건입력'!B15,L1492)),1,0)))</f>
        <v/>
      </c>
      <c r="Q1492" s="152">
        <f>IF(OR(C1492="",L1492=""),0,IF(AND(TRIM(C1492)=TRIM(RIGHT(SUBSTITUTE(TRIM('02_대상물건입력'!$B$7)," ",REPT(" ",99)),99)),IF('02_대상물건입력'!B15="",TRUE(),ISNUMBER(SEARCH('02_대상물건입력'!B15,L1492)))),1,0))</f>
        <v/>
      </c>
      <c r="R1492" s="175">
        <f>IFERROR(ABS(E1492-'02_대상물건입력'!B11)/'02_대상물건입력'!B11,"")</f>
        <v/>
      </c>
      <c r="S1492" s="152">
        <f>IFERROR(ABS(J1492-'02_대상물건입력'!B10),"")</f>
        <v/>
      </c>
      <c r="T1492" s="152">
        <f>IFERROR(ABS('01_설정'!B4-F1492),"")</f>
        <v/>
      </c>
      <c r="U1492" s="152">
        <f>IFERROR(ABS(K1492-YEAR('02_대상물건입력'!B14)),"")</f>
        <v/>
      </c>
      <c r="V1492" s="152">
        <f>IF(B1492="","",IF(AND(E1492&gt;0,F1492&gt;0,H1492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1492=1,TRUE()),R1492&lt;='01_설정'!B5,S1492&lt;='01_설정'!B6,T1492&lt;='01_설정'!B7,U1492&lt;='01_설정'!B8),"Y",""))</f>
        <v/>
      </c>
      <c r="W1492" s="172">
        <f>IF(V1492&lt;&gt;"Y","",MAX(0,(1-R1492/'01_설정'!B5))*'01_설정'!B14+MAX(0,(1-S1492/'01_설정'!B6))*'01_설정'!B15+MAX(0,(1-T1492/'01_설정'!B7))*'01_설정'!B16+MAX(0,(1-U1492/'01_설정'!B8))*'01_설정'!B17+O1492*'01_설정'!B11+Q1492*'01_설정'!B12+P1492*'01_설정'!B13+IF(Z1492="",0,Z1492))</f>
        <v/>
      </c>
      <c r="X1492" s="152">
        <f>IF(W1492="","",1+COUNTIFS($W$4:$W$3003,"&gt;"&amp;W1492)+COUNTIFS($W$4:W1492,W1492)-1)</f>
        <v/>
      </c>
      <c r="Y1492" s="175">
        <f>IF(OR(I1492="",'02_대상물건입력'!B19="",'02_대상물건입력'!B19&lt;=0),"",ABS(I1492-'02_대상물건입력'!B19)/'02_대상물건입력'!B19)</f>
        <v/>
      </c>
      <c r="Z1492" s="172">
        <f>IF(OR(Y1492="",'01_설정'!B31="",'01_설정'!B31&lt;=0,'01_설정'!B32="",'01_설정'!B32&lt;=0),"",MAX(0,(1-Y1492/'01_설정'!B32))*'01_설정'!B31)</f>
        <v/>
      </c>
    </row>
    <row r="1493" ht="17.25" customHeight="1">
      <c r="A1493" s="152">
        <f>IF(INDEX('04A_국토부원자료'!$A:$A,ROW()+1)="","",ROW()-3)</f>
        <v/>
      </c>
      <c r="B1493" s="48">
        <f>IFERROR(INDEX('04A_국토부원자료'!$A:$T,ROW()+1,MATCH("시군구",'04A_국토부원자료'!$A$4:$T$4,0)),"")</f>
        <v/>
      </c>
      <c r="C1493" s="48">
        <f>IF(B1493="","",IFERROR(INDEX('04A_국토부원자료'!$A:$T,ROW()+1,MATCH("번지",'04A_국토부원자료'!$A$4:$T$4,0)),""))</f>
        <v/>
      </c>
      <c r="D1493" s="48">
        <f>IF(B1493="","",IF(Q1493=1,'02_대상물건입력'!$B$8,IFERROR(INDEX('04A_국토부원자료'!$A:$T,ROW()+1,MATCH("단지명",'04A_국토부원자료'!$A$4:$T$4,0)),"")))</f>
        <v/>
      </c>
      <c r="E1493" s="172">
        <f>IFERROR(VALUE(SUBSTITUTE(INDEX('04A_국토부원자료'!$A:$T,ROW()+1,MATCH("전용면적(㎡)",'04A_국토부원자료'!$A$4:$T$4,0)),",","")),"")</f>
        <v/>
      </c>
      <c r="F14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93" s="51">
        <f>IFERROR(VALUE(SUBSTITUTE(INDEX('04A_국토부원자료'!$A:$T,ROW()+1,MATCH("거래금액(만원)",'04A_국토부원자료'!$A$4:$T$4,0)),",","")),"")</f>
        <v/>
      </c>
      <c r="H1493" s="174">
        <f>IF(G1493="","",G1493*10000)</f>
        <v/>
      </c>
      <c r="I1493" s="174">
        <f>IFERROR(IF(AND(H1493&gt;0,E1493&gt;0),H1493/E1493,""),"")</f>
        <v/>
      </c>
      <c r="J1493" s="152">
        <f>IFERROR(VALUE(SUBSTITUTE(INDEX('04A_국토부원자료'!$A:$T,ROW()+1,MATCH("층",'04A_국토부원자료'!$A$4:$T$4,0)),",","")),"")</f>
        <v/>
      </c>
      <c r="K1493" s="152">
        <f>IFERROR(VALUE(SUBSTITUTE(INDEX('04A_국토부원자료'!$A:$T,ROW()+1,MATCH("건축년도",'04A_국토부원자료'!$A$4:$T$4,0)),",","")),"")</f>
        <v/>
      </c>
      <c r="L1493" s="176">
        <f>IFERROR(INDEX('04A_국토부원자료'!$A:$T,ROW()+1,MATCH("도로명",'04A_국토부원자료'!$A$4:$T$4,0)),"")</f>
        <v/>
      </c>
      <c r="M1493" s="48">
        <f>IFERROR(INDEX('04A_국토부원자료'!$A:$T,ROW()+1,MATCH("거래유형",'04A_국토부원자료'!$A$4:$T$4,0)),"")</f>
        <v/>
      </c>
      <c r="N1493" s="152">
        <f>IF(B1493="","",IF('02_대상물건입력'!B5="",1,IF(ISNUMBER(SEARCH('02_대상물건입력'!B5,B1493)),1,0)))</f>
        <v/>
      </c>
      <c r="O1493" s="152">
        <f>IF(B1493="","",IF('02_대상물건입력'!B6="",1,IF(ISNUMBER(SEARCH('02_대상물건입력'!B6,B1493)),1,0)))</f>
        <v/>
      </c>
      <c r="P1493" s="152">
        <f>IF(L1493="","",IF('02_대상물건입력'!B15="",0,IF(ISNUMBER(SEARCH('02_대상물건입력'!B15,L1493)),1,0)))</f>
        <v/>
      </c>
      <c r="Q1493" s="152">
        <f>IF(OR(C1493="",L1493=""),0,IF(AND(TRIM(C1493)=TRIM(RIGHT(SUBSTITUTE(TRIM('02_대상물건입력'!$B$7)," ",REPT(" ",99)),99)),IF('02_대상물건입력'!B15="",TRUE(),ISNUMBER(SEARCH('02_대상물건입력'!B15,L1493)))),1,0))</f>
        <v/>
      </c>
      <c r="R1493" s="175">
        <f>IFERROR(ABS(E1493-'02_대상물건입력'!B11)/'02_대상물건입력'!B11,"")</f>
        <v/>
      </c>
      <c r="S1493" s="152">
        <f>IFERROR(ABS(J1493-'02_대상물건입력'!B10),"")</f>
        <v/>
      </c>
      <c r="T1493" s="152">
        <f>IFERROR(ABS('01_설정'!B4-F1493),"")</f>
        <v/>
      </c>
      <c r="U1493" s="152">
        <f>IFERROR(ABS(K1493-YEAR('02_대상물건입력'!B14)),"")</f>
        <v/>
      </c>
      <c r="V1493" s="152">
        <f>IF(B1493="","",IF(AND(E1493&gt;0,F1493&gt;0,H1493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1493=1,TRUE()),R1493&lt;='01_설정'!B5,S1493&lt;='01_설정'!B6,T1493&lt;='01_설정'!B7,U1493&lt;='01_설정'!B8),"Y",""))</f>
        <v/>
      </c>
      <c r="W1493" s="172">
        <f>IF(V1493&lt;&gt;"Y","",MAX(0,(1-R1493/'01_설정'!B5))*'01_설정'!B14+MAX(0,(1-S1493/'01_설정'!B6))*'01_설정'!B15+MAX(0,(1-T1493/'01_설정'!B7))*'01_설정'!B16+MAX(0,(1-U1493/'01_설정'!B8))*'01_설정'!B17+O1493*'01_설정'!B11+Q1493*'01_설정'!B12+P1493*'01_설정'!B13+IF(Z1493="",0,Z1493))</f>
        <v/>
      </c>
      <c r="X1493" s="152">
        <f>IF(W1493="","",1+COUNTIFS($W$4:$W$3003,"&gt;"&amp;W1493)+COUNTIFS($W$4:W1493,W1493)-1)</f>
        <v/>
      </c>
      <c r="Y1493" s="175">
        <f>IF(OR(I1493="",'02_대상물건입력'!B19="",'02_대상물건입력'!B19&lt;=0),"",ABS(I1493-'02_대상물건입력'!B19)/'02_대상물건입력'!B19)</f>
        <v/>
      </c>
      <c r="Z1493" s="172">
        <f>IF(OR(Y1493="",'01_설정'!B31="",'01_설정'!B31&lt;=0,'01_설정'!B32="",'01_설정'!B32&lt;=0),"",MAX(0,(1-Y1493/'01_설정'!B32))*'01_설정'!B31)</f>
        <v/>
      </c>
    </row>
    <row r="1494" ht="17.25" customHeight="1">
      <c r="A1494" s="152">
        <f>IF(INDEX('04A_국토부원자료'!$A:$A,ROW()+1)="","",ROW()-3)</f>
        <v/>
      </c>
      <c r="B1494" s="48">
        <f>IFERROR(INDEX('04A_국토부원자료'!$A:$T,ROW()+1,MATCH("시군구",'04A_국토부원자료'!$A$4:$T$4,0)),"")</f>
        <v/>
      </c>
      <c r="C1494" s="48">
        <f>IF(B1494="","",IFERROR(INDEX('04A_국토부원자료'!$A:$T,ROW()+1,MATCH("번지",'04A_국토부원자료'!$A$4:$T$4,0)),""))</f>
        <v/>
      </c>
      <c r="D1494" s="48">
        <f>IF(B1494="","",IF(Q1494=1,'02_대상물건입력'!$B$8,IFERROR(INDEX('04A_국토부원자료'!$A:$T,ROW()+1,MATCH("단지명",'04A_국토부원자료'!$A$4:$T$4,0)),"")))</f>
        <v/>
      </c>
      <c r="E1494" s="172">
        <f>IFERROR(VALUE(SUBSTITUTE(INDEX('04A_국토부원자료'!$A:$T,ROW()+1,MATCH("전용면적(㎡)",'04A_국토부원자료'!$A$4:$T$4,0)),",","")),"")</f>
        <v/>
      </c>
      <c r="F14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94" s="51">
        <f>IFERROR(VALUE(SUBSTITUTE(INDEX('04A_국토부원자료'!$A:$T,ROW()+1,MATCH("거래금액(만원)",'04A_국토부원자료'!$A$4:$T$4,0)),",","")),"")</f>
        <v/>
      </c>
      <c r="H1494" s="174">
        <f>IF(G1494="","",G1494*10000)</f>
        <v/>
      </c>
      <c r="I1494" s="174">
        <f>IFERROR(IF(AND(H1494&gt;0,E1494&gt;0),H1494/E1494,""),"")</f>
        <v/>
      </c>
      <c r="J1494" s="152">
        <f>IFERROR(VALUE(SUBSTITUTE(INDEX('04A_국토부원자료'!$A:$T,ROW()+1,MATCH("층",'04A_국토부원자료'!$A$4:$T$4,0)),",","")),"")</f>
        <v/>
      </c>
      <c r="K1494" s="152">
        <f>IFERROR(VALUE(SUBSTITUTE(INDEX('04A_국토부원자료'!$A:$T,ROW()+1,MATCH("건축년도",'04A_국토부원자료'!$A$4:$T$4,0)),",","")),"")</f>
        <v/>
      </c>
      <c r="L1494" s="176">
        <f>IFERROR(INDEX('04A_국토부원자료'!$A:$T,ROW()+1,MATCH("도로명",'04A_국토부원자료'!$A$4:$T$4,0)),"")</f>
        <v/>
      </c>
      <c r="M1494" s="48">
        <f>IFERROR(INDEX('04A_국토부원자료'!$A:$T,ROW()+1,MATCH("거래유형",'04A_국토부원자료'!$A$4:$T$4,0)),"")</f>
        <v/>
      </c>
      <c r="N1494" s="152">
        <f>IF(B1494="","",IF('02_대상물건입력'!B5="",1,IF(ISNUMBER(SEARCH('02_대상물건입력'!B5,B1494)),1,0)))</f>
        <v/>
      </c>
      <c r="O1494" s="152">
        <f>IF(B1494="","",IF('02_대상물건입력'!B6="",1,IF(ISNUMBER(SEARCH('02_대상물건입력'!B6,B1494)),1,0)))</f>
        <v/>
      </c>
      <c r="P1494" s="152">
        <f>IF(L1494="","",IF('02_대상물건입력'!B15="",0,IF(ISNUMBER(SEARCH('02_대상물건입력'!B15,L1494)),1,0)))</f>
        <v/>
      </c>
      <c r="Q1494" s="152">
        <f>IF(OR(C1494="",L1494=""),0,IF(AND(TRIM(C1494)=TRIM(RIGHT(SUBSTITUTE(TRIM('02_대상물건입력'!$B$7)," ",REPT(" ",99)),99)),IF('02_대상물건입력'!B15="",TRUE(),ISNUMBER(SEARCH('02_대상물건입력'!B15,L1494)))),1,0))</f>
        <v/>
      </c>
      <c r="R1494" s="175">
        <f>IFERROR(ABS(E1494-'02_대상물건입력'!B11)/'02_대상물건입력'!B11,"")</f>
        <v/>
      </c>
      <c r="S1494" s="152">
        <f>IFERROR(ABS(J1494-'02_대상물건입력'!B10),"")</f>
        <v/>
      </c>
      <c r="T1494" s="152">
        <f>IFERROR(ABS('01_설정'!B4-F1494),"")</f>
        <v/>
      </c>
      <c r="U1494" s="152">
        <f>IFERROR(ABS(K1494-YEAR('02_대상물건입력'!B14)),"")</f>
        <v/>
      </c>
      <c r="V1494" s="152">
        <f>IF(B1494="","",IF(AND(E1494&gt;0,F1494&gt;0,H1494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1494=1,TRUE()),R1494&lt;='01_설정'!B5,S1494&lt;='01_설정'!B6,T1494&lt;='01_설정'!B7,U1494&lt;='01_설정'!B8),"Y",""))</f>
        <v/>
      </c>
      <c r="W1494" s="172">
        <f>IF(V1494&lt;&gt;"Y","",MAX(0,(1-R1494/'01_설정'!B5))*'01_설정'!B14+MAX(0,(1-S1494/'01_설정'!B6))*'01_설정'!B15+MAX(0,(1-T1494/'01_설정'!B7))*'01_설정'!B16+MAX(0,(1-U1494/'01_설정'!B8))*'01_설정'!B17+O1494*'01_설정'!B11+Q1494*'01_설정'!B12+P1494*'01_설정'!B13+IF(Z1494="",0,Z1494))</f>
        <v/>
      </c>
      <c r="X1494" s="152">
        <f>IF(W1494="","",1+COUNTIFS($W$4:$W$3003,"&gt;"&amp;W1494)+COUNTIFS($W$4:W1494,W1494)-1)</f>
        <v/>
      </c>
      <c r="Y1494" s="175">
        <f>IF(OR(I1494="",'02_대상물건입력'!B19="",'02_대상물건입력'!B19&lt;=0),"",ABS(I1494-'02_대상물건입력'!B19)/'02_대상물건입력'!B19)</f>
        <v/>
      </c>
      <c r="Z1494" s="172">
        <f>IF(OR(Y1494="",'01_설정'!B31="",'01_설정'!B31&lt;=0,'01_설정'!B32="",'01_설정'!B32&lt;=0),"",MAX(0,(1-Y1494/'01_설정'!B32))*'01_설정'!B31)</f>
        <v/>
      </c>
    </row>
    <row r="1495" ht="17.25" customHeight="1">
      <c r="A1495" s="152">
        <f>IF(INDEX('04A_국토부원자료'!$A:$A,ROW()+1)="","",ROW()-3)</f>
        <v/>
      </c>
      <c r="B1495" s="48">
        <f>IFERROR(INDEX('04A_국토부원자료'!$A:$T,ROW()+1,MATCH("시군구",'04A_국토부원자료'!$A$4:$T$4,0)),"")</f>
        <v/>
      </c>
      <c r="C1495" s="48">
        <f>IF(B1495="","",IFERROR(INDEX('04A_국토부원자료'!$A:$T,ROW()+1,MATCH("번지",'04A_국토부원자료'!$A$4:$T$4,0)),""))</f>
        <v/>
      </c>
      <c r="D1495" s="48">
        <f>IF(B1495="","",IF(Q1495=1,'02_대상물건입력'!$B$8,IFERROR(INDEX('04A_국토부원자료'!$A:$T,ROW()+1,MATCH("단지명",'04A_국토부원자료'!$A$4:$T$4,0)),"")))</f>
        <v/>
      </c>
      <c r="E1495" s="172">
        <f>IFERROR(VALUE(SUBSTITUTE(INDEX('04A_국토부원자료'!$A:$T,ROW()+1,MATCH("전용면적(㎡)",'04A_국토부원자료'!$A$4:$T$4,0)),",","")),"")</f>
        <v/>
      </c>
      <c r="F14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95" s="51">
        <f>IFERROR(VALUE(SUBSTITUTE(INDEX('04A_국토부원자료'!$A:$T,ROW()+1,MATCH("거래금액(만원)",'04A_국토부원자료'!$A$4:$T$4,0)),",","")),"")</f>
        <v/>
      </c>
      <c r="H1495" s="174">
        <f>IF(G1495="","",G1495*10000)</f>
        <v/>
      </c>
      <c r="I1495" s="174">
        <f>IFERROR(IF(AND(H1495&gt;0,E1495&gt;0),H1495/E1495,""),"")</f>
        <v/>
      </c>
      <c r="J1495" s="152">
        <f>IFERROR(VALUE(SUBSTITUTE(INDEX('04A_국토부원자료'!$A:$T,ROW()+1,MATCH("층",'04A_국토부원자료'!$A$4:$T$4,0)),",","")),"")</f>
        <v/>
      </c>
      <c r="K1495" s="152">
        <f>IFERROR(VALUE(SUBSTITUTE(INDEX('04A_국토부원자료'!$A:$T,ROW()+1,MATCH("건축년도",'04A_국토부원자료'!$A$4:$T$4,0)),",","")),"")</f>
        <v/>
      </c>
      <c r="L1495" s="176">
        <f>IFERROR(INDEX('04A_국토부원자료'!$A:$T,ROW()+1,MATCH("도로명",'04A_국토부원자료'!$A$4:$T$4,0)),"")</f>
        <v/>
      </c>
      <c r="M1495" s="48">
        <f>IFERROR(INDEX('04A_국토부원자료'!$A:$T,ROW()+1,MATCH("거래유형",'04A_국토부원자료'!$A$4:$T$4,0)),"")</f>
        <v/>
      </c>
      <c r="N1495" s="152">
        <f>IF(B1495="","",IF('02_대상물건입력'!B5="",1,IF(ISNUMBER(SEARCH('02_대상물건입력'!B5,B1495)),1,0)))</f>
        <v/>
      </c>
      <c r="O1495" s="152">
        <f>IF(B1495="","",IF('02_대상물건입력'!B6="",1,IF(ISNUMBER(SEARCH('02_대상물건입력'!B6,B1495)),1,0)))</f>
        <v/>
      </c>
      <c r="P1495" s="152">
        <f>IF(L1495="","",IF('02_대상물건입력'!B15="",0,IF(ISNUMBER(SEARCH('02_대상물건입력'!B15,L1495)),1,0)))</f>
        <v/>
      </c>
      <c r="Q1495" s="152">
        <f>IF(OR(C1495="",L1495=""),0,IF(AND(TRIM(C1495)=TRIM(RIGHT(SUBSTITUTE(TRIM('02_대상물건입력'!$B$7)," ",REPT(" ",99)),99)),IF('02_대상물건입력'!B15="",TRUE(),ISNUMBER(SEARCH('02_대상물건입력'!B15,L1495)))),1,0))</f>
        <v/>
      </c>
      <c r="R1495" s="175">
        <f>IFERROR(ABS(E1495-'02_대상물건입력'!B11)/'02_대상물건입력'!B11,"")</f>
        <v/>
      </c>
      <c r="S1495" s="152">
        <f>IFERROR(ABS(J1495-'02_대상물건입력'!B10),"")</f>
        <v/>
      </c>
      <c r="T1495" s="152">
        <f>IFERROR(ABS('01_설정'!B4-F1495),"")</f>
        <v/>
      </c>
      <c r="U1495" s="152">
        <f>IFERROR(ABS(K1495-YEAR('02_대상물건입력'!B14)),"")</f>
        <v/>
      </c>
      <c r="V1495" s="152">
        <f>IF(B1495="","",IF(AND(E1495&gt;0,F1495&gt;0,H1495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1495=1,TRUE()),R1495&lt;='01_설정'!B5,S1495&lt;='01_설정'!B6,T1495&lt;='01_설정'!B7,U1495&lt;='01_설정'!B8),"Y",""))</f>
        <v/>
      </c>
      <c r="W1495" s="172">
        <f>IF(V1495&lt;&gt;"Y","",MAX(0,(1-R1495/'01_설정'!B5))*'01_설정'!B14+MAX(0,(1-S1495/'01_설정'!B6))*'01_설정'!B15+MAX(0,(1-T1495/'01_설정'!B7))*'01_설정'!B16+MAX(0,(1-U1495/'01_설정'!B8))*'01_설정'!B17+O1495*'01_설정'!B11+Q1495*'01_설정'!B12+P1495*'01_설정'!B13+IF(Z1495="",0,Z1495))</f>
        <v/>
      </c>
      <c r="X1495" s="152">
        <f>IF(W1495="","",1+COUNTIFS($W$4:$W$3003,"&gt;"&amp;W1495)+COUNTIFS($W$4:W1495,W1495)-1)</f>
        <v/>
      </c>
      <c r="Y1495" s="175">
        <f>IF(OR(I1495="",'02_대상물건입력'!B19="",'02_대상물건입력'!B19&lt;=0),"",ABS(I1495-'02_대상물건입력'!B19)/'02_대상물건입력'!B19)</f>
        <v/>
      </c>
      <c r="Z1495" s="172">
        <f>IF(OR(Y1495="",'01_설정'!B31="",'01_설정'!B31&lt;=0,'01_설정'!B32="",'01_설정'!B32&lt;=0),"",MAX(0,(1-Y1495/'01_설정'!B32))*'01_설정'!B31)</f>
        <v/>
      </c>
    </row>
    <row r="1496" ht="17.25" customHeight="1">
      <c r="A1496" s="152">
        <f>IF(INDEX('04A_국토부원자료'!$A:$A,ROW()+1)="","",ROW()-3)</f>
        <v/>
      </c>
      <c r="B1496" s="48">
        <f>IFERROR(INDEX('04A_국토부원자료'!$A:$T,ROW()+1,MATCH("시군구",'04A_국토부원자료'!$A$4:$T$4,0)),"")</f>
        <v/>
      </c>
      <c r="C1496" s="48">
        <f>IF(B1496="","",IFERROR(INDEX('04A_국토부원자료'!$A:$T,ROW()+1,MATCH("번지",'04A_국토부원자료'!$A$4:$T$4,0)),""))</f>
        <v/>
      </c>
      <c r="D1496" s="48">
        <f>IF(B1496="","",IF(Q1496=1,'02_대상물건입력'!$B$8,IFERROR(INDEX('04A_국토부원자료'!$A:$T,ROW()+1,MATCH("단지명",'04A_국토부원자료'!$A$4:$T$4,0)),"")))</f>
        <v/>
      </c>
      <c r="E1496" s="172">
        <f>IFERROR(VALUE(SUBSTITUTE(INDEX('04A_국토부원자료'!$A:$T,ROW()+1,MATCH("전용면적(㎡)",'04A_국토부원자료'!$A$4:$T$4,0)),",","")),"")</f>
        <v/>
      </c>
      <c r="F14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96" s="51">
        <f>IFERROR(VALUE(SUBSTITUTE(INDEX('04A_국토부원자료'!$A:$T,ROW()+1,MATCH("거래금액(만원)",'04A_국토부원자료'!$A$4:$T$4,0)),",","")),"")</f>
        <v/>
      </c>
      <c r="H1496" s="174">
        <f>IF(G1496="","",G1496*10000)</f>
        <v/>
      </c>
      <c r="I1496" s="174">
        <f>IFERROR(IF(AND(H1496&gt;0,E1496&gt;0),H1496/E1496,""),"")</f>
        <v/>
      </c>
      <c r="J1496" s="152">
        <f>IFERROR(VALUE(SUBSTITUTE(INDEX('04A_국토부원자료'!$A:$T,ROW()+1,MATCH("층",'04A_국토부원자료'!$A$4:$T$4,0)),",","")),"")</f>
        <v/>
      </c>
      <c r="K1496" s="152">
        <f>IFERROR(VALUE(SUBSTITUTE(INDEX('04A_국토부원자료'!$A:$T,ROW()+1,MATCH("건축년도",'04A_국토부원자료'!$A$4:$T$4,0)),",","")),"")</f>
        <v/>
      </c>
      <c r="L1496" s="176">
        <f>IFERROR(INDEX('04A_국토부원자료'!$A:$T,ROW()+1,MATCH("도로명",'04A_국토부원자료'!$A$4:$T$4,0)),"")</f>
        <v/>
      </c>
      <c r="M1496" s="48">
        <f>IFERROR(INDEX('04A_국토부원자료'!$A:$T,ROW()+1,MATCH("거래유형",'04A_국토부원자료'!$A$4:$T$4,0)),"")</f>
        <v/>
      </c>
      <c r="N1496" s="152">
        <f>IF(B1496="","",IF('02_대상물건입력'!B5="",1,IF(ISNUMBER(SEARCH('02_대상물건입력'!B5,B1496)),1,0)))</f>
        <v/>
      </c>
      <c r="O1496" s="152">
        <f>IF(B1496="","",IF('02_대상물건입력'!B6="",1,IF(ISNUMBER(SEARCH('02_대상물건입력'!B6,B1496)),1,0)))</f>
        <v/>
      </c>
      <c r="P1496" s="152">
        <f>IF(L1496="","",IF('02_대상물건입력'!B15="",0,IF(ISNUMBER(SEARCH('02_대상물건입력'!B15,L1496)),1,0)))</f>
        <v/>
      </c>
      <c r="Q1496" s="152">
        <f>IF(OR(C1496="",L1496=""),0,IF(AND(TRIM(C1496)=TRIM(RIGHT(SUBSTITUTE(TRIM('02_대상물건입력'!$B$7)," ",REPT(" ",99)),99)),IF('02_대상물건입력'!B15="",TRUE(),ISNUMBER(SEARCH('02_대상물건입력'!B15,L1496)))),1,0))</f>
        <v/>
      </c>
      <c r="R1496" s="175">
        <f>IFERROR(ABS(E1496-'02_대상물건입력'!B11)/'02_대상물건입력'!B11,"")</f>
        <v/>
      </c>
      <c r="S1496" s="152">
        <f>IFERROR(ABS(J1496-'02_대상물건입력'!B10),"")</f>
        <v/>
      </c>
      <c r="T1496" s="152">
        <f>IFERROR(ABS('01_설정'!B4-F1496),"")</f>
        <v/>
      </c>
      <c r="U1496" s="152">
        <f>IFERROR(ABS(K1496-YEAR('02_대상물건입력'!B14)),"")</f>
        <v/>
      </c>
      <c r="V1496" s="152">
        <f>IF(B1496="","",IF(AND(E1496&gt;0,F1496&gt;0,H1496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1496=1,TRUE()),R1496&lt;='01_설정'!B5,S1496&lt;='01_설정'!B6,T1496&lt;='01_설정'!B7,U1496&lt;='01_설정'!B8),"Y",""))</f>
        <v/>
      </c>
      <c r="W1496" s="172">
        <f>IF(V1496&lt;&gt;"Y","",MAX(0,(1-R1496/'01_설정'!B5))*'01_설정'!B14+MAX(0,(1-S1496/'01_설정'!B6))*'01_설정'!B15+MAX(0,(1-T1496/'01_설정'!B7))*'01_설정'!B16+MAX(0,(1-U1496/'01_설정'!B8))*'01_설정'!B17+O1496*'01_설정'!B11+Q1496*'01_설정'!B12+P1496*'01_설정'!B13+IF(Z1496="",0,Z1496))</f>
        <v/>
      </c>
      <c r="X1496" s="152">
        <f>IF(W1496="","",1+COUNTIFS($W$4:$W$3003,"&gt;"&amp;W1496)+COUNTIFS($W$4:W1496,W1496)-1)</f>
        <v/>
      </c>
      <c r="Y1496" s="175">
        <f>IF(OR(I1496="",'02_대상물건입력'!B19="",'02_대상물건입력'!B19&lt;=0),"",ABS(I1496-'02_대상물건입력'!B19)/'02_대상물건입력'!B19)</f>
        <v/>
      </c>
      <c r="Z1496" s="172">
        <f>IF(OR(Y1496="",'01_설정'!B31="",'01_설정'!B31&lt;=0,'01_설정'!B32="",'01_설정'!B32&lt;=0),"",MAX(0,(1-Y1496/'01_설정'!B32))*'01_설정'!B31)</f>
        <v/>
      </c>
    </row>
    <row r="1497" ht="17.25" customHeight="1">
      <c r="A1497" s="152">
        <f>IF(INDEX('04A_국토부원자료'!$A:$A,ROW()+1)="","",ROW()-3)</f>
        <v/>
      </c>
      <c r="B1497" s="48">
        <f>IFERROR(INDEX('04A_국토부원자료'!$A:$T,ROW()+1,MATCH("시군구",'04A_국토부원자료'!$A$4:$T$4,0)),"")</f>
        <v/>
      </c>
      <c r="C1497" s="48">
        <f>IF(B1497="","",IFERROR(INDEX('04A_국토부원자료'!$A:$T,ROW()+1,MATCH("번지",'04A_국토부원자료'!$A$4:$T$4,0)),""))</f>
        <v/>
      </c>
      <c r="D1497" s="48">
        <f>IF(B1497="","",IF(Q1497=1,'02_대상물건입력'!$B$8,IFERROR(INDEX('04A_국토부원자료'!$A:$T,ROW()+1,MATCH("단지명",'04A_국토부원자료'!$A$4:$T$4,0)),"")))</f>
        <v/>
      </c>
      <c r="E1497" s="172">
        <f>IFERROR(VALUE(SUBSTITUTE(INDEX('04A_국토부원자료'!$A:$T,ROW()+1,MATCH("전용면적(㎡)",'04A_국토부원자료'!$A$4:$T$4,0)),",","")),"")</f>
        <v/>
      </c>
      <c r="F14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97" s="51">
        <f>IFERROR(VALUE(SUBSTITUTE(INDEX('04A_국토부원자료'!$A:$T,ROW()+1,MATCH("거래금액(만원)",'04A_국토부원자료'!$A$4:$T$4,0)),",","")),"")</f>
        <v/>
      </c>
      <c r="H1497" s="174">
        <f>IF(G1497="","",G1497*10000)</f>
        <v/>
      </c>
      <c r="I1497" s="174">
        <f>IFERROR(IF(AND(H1497&gt;0,E1497&gt;0),H1497/E1497,""),"")</f>
        <v/>
      </c>
      <c r="J1497" s="152">
        <f>IFERROR(VALUE(SUBSTITUTE(INDEX('04A_국토부원자료'!$A:$T,ROW()+1,MATCH("층",'04A_국토부원자료'!$A$4:$T$4,0)),",","")),"")</f>
        <v/>
      </c>
      <c r="K1497" s="152">
        <f>IFERROR(VALUE(SUBSTITUTE(INDEX('04A_국토부원자료'!$A:$T,ROW()+1,MATCH("건축년도",'04A_국토부원자료'!$A$4:$T$4,0)),",","")),"")</f>
        <v/>
      </c>
      <c r="L1497" s="176">
        <f>IFERROR(INDEX('04A_국토부원자료'!$A:$T,ROW()+1,MATCH("도로명",'04A_국토부원자료'!$A$4:$T$4,0)),"")</f>
        <v/>
      </c>
      <c r="M1497" s="48">
        <f>IFERROR(INDEX('04A_국토부원자료'!$A:$T,ROW()+1,MATCH("거래유형",'04A_국토부원자료'!$A$4:$T$4,0)),"")</f>
        <v/>
      </c>
      <c r="N1497" s="152">
        <f>IF(B1497="","",IF('02_대상물건입력'!B5="",1,IF(ISNUMBER(SEARCH('02_대상물건입력'!B5,B1497)),1,0)))</f>
        <v/>
      </c>
      <c r="O1497" s="152">
        <f>IF(B1497="","",IF('02_대상물건입력'!B6="",1,IF(ISNUMBER(SEARCH('02_대상물건입력'!B6,B1497)),1,0)))</f>
        <v/>
      </c>
      <c r="P1497" s="152">
        <f>IF(L1497="","",IF('02_대상물건입력'!B15="",0,IF(ISNUMBER(SEARCH('02_대상물건입력'!B15,L1497)),1,0)))</f>
        <v/>
      </c>
      <c r="Q1497" s="152">
        <f>IF(OR(C1497="",L1497=""),0,IF(AND(TRIM(C1497)=TRIM(RIGHT(SUBSTITUTE(TRIM('02_대상물건입력'!$B$7)," ",REPT(" ",99)),99)),IF('02_대상물건입력'!B15="",TRUE(),ISNUMBER(SEARCH('02_대상물건입력'!B15,L1497)))),1,0))</f>
        <v/>
      </c>
      <c r="R1497" s="175">
        <f>IFERROR(ABS(E1497-'02_대상물건입력'!B11)/'02_대상물건입력'!B11,"")</f>
        <v/>
      </c>
      <c r="S1497" s="152">
        <f>IFERROR(ABS(J1497-'02_대상물건입력'!B10),"")</f>
        <v/>
      </c>
      <c r="T1497" s="152">
        <f>IFERROR(ABS('01_설정'!B4-F1497),"")</f>
        <v/>
      </c>
      <c r="U1497" s="152">
        <f>IFERROR(ABS(K1497-YEAR('02_대상물건입력'!B14)),"")</f>
        <v/>
      </c>
      <c r="V1497" s="152">
        <f>IF(B1497="","",IF(AND(E1497&gt;0,F1497&gt;0,H1497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1497=1,TRUE()),R1497&lt;='01_설정'!B5,S1497&lt;='01_설정'!B6,T1497&lt;='01_설정'!B7,U1497&lt;='01_설정'!B8),"Y",""))</f>
        <v/>
      </c>
      <c r="W1497" s="172">
        <f>IF(V1497&lt;&gt;"Y","",MAX(0,(1-R1497/'01_설정'!B5))*'01_설정'!B14+MAX(0,(1-S1497/'01_설정'!B6))*'01_설정'!B15+MAX(0,(1-T1497/'01_설정'!B7))*'01_설정'!B16+MAX(0,(1-U1497/'01_설정'!B8))*'01_설정'!B17+O1497*'01_설정'!B11+Q1497*'01_설정'!B12+P1497*'01_설정'!B13+IF(Z1497="",0,Z1497))</f>
        <v/>
      </c>
      <c r="X1497" s="152">
        <f>IF(W1497="","",1+COUNTIFS($W$4:$W$3003,"&gt;"&amp;W1497)+COUNTIFS($W$4:W1497,W1497)-1)</f>
        <v/>
      </c>
      <c r="Y1497" s="175">
        <f>IF(OR(I1497="",'02_대상물건입력'!B19="",'02_대상물건입력'!B19&lt;=0),"",ABS(I1497-'02_대상물건입력'!B19)/'02_대상물건입력'!B19)</f>
        <v/>
      </c>
      <c r="Z1497" s="172">
        <f>IF(OR(Y1497="",'01_설정'!B31="",'01_설정'!B31&lt;=0,'01_설정'!B32="",'01_설정'!B32&lt;=0),"",MAX(0,(1-Y1497/'01_설정'!B32))*'01_설정'!B31)</f>
        <v/>
      </c>
    </row>
    <row r="1498" ht="17.25" customHeight="1">
      <c r="A1498" s="152">
        <f>IF(INDEX('04A_국토부원자료'!$A:$A,ROW()+1)="","",ROW()-3)</f>
        <v/>
      </c>
      <c r="B1498" s="48">
        <f>IFERROR(INDEX('04A_국토부원자료'!$A:$T,ROW()+1,MATCH("시군구",'04A_국토부원자료'!$A$4:$T$4,0)),"")</f>
        <v/>
      </c>
      <c r="C1498" s="48">
        <f>IF(B1498="","",IFERROR(INDEX('04A_국토부원자료'!$A:$T,ROW()+1,MATCH("번지",'04A_국토부원자료'!$A$4:$T$4,0)),""))</f>
        <v/>
      </c>
      <c r="D1498" s="48">
        <f>IF(B1498="","",IF(Q1498=1,'02_대상물건입력'!$B$8,IFERROR(INDEX('04A_국토부원자료'!$A:$T,ROW()+1,MATCH("단지명",'04A_국토부원자료'!$A$4:$T$4,0)),"")))</f>
        <v/>
      </c>
      <c r="E1498" s="172">
        <f>IFERROR(VALUE(SUBSTITUTE(INDEX('04A_국토부원자료'!$A:$T,ROW()+1,MATCH("전용면적(㎡)",'04A_국토부원자료'!$A$4:$T$4,0)),",","")),"")</f>
        <v/>
      </c>
      <c r="F14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98" s="51">
        <f>IFERROR(VALUE(SUBSTITUTE(INDEX('04A_국토부원자료'!$A:$T,ROW()+1,MATCH("거래금액(만원)",'04A_국토부원자료'!$A$4:$T$4,0)),",","")),"")</f>
        <v/>
      </c>
      <c r="H1498" s="174">
        <f>IF(G1498="","",G1498*10000)</f>
        <v/>
      </c>
      <c r="I1498" s="174">
        <f>IFERROR(IF(AND(H1498&gt;0,E1498&gt;0),H1498/E1498,""),"")</f>
        <v/>
      </c>
      <c r="J1498" s="152">
        <f>IFERROR(VALUE(SUBSTITUTE(INDEX('04A_국토부원자료'!$A:$T,ROW()+1,MATCH("층",'04A_국토부원자료'!$A$4:$T$4,0)),",","")),"")</f>
        <v/>
      </c>
      <c r="K1498" s="152">
        <f>IFERROR(VALUE(SUBSTITUTE(INDEX('04A_국토부원자료'!$A:$T,ROW()+1,MATCH("건축년도",'04A_국토부원자료'!$A$4:$T$4,0)),",","")),"")</f>
        <v/>
      </c>
      <c r="L1498" s="176">
        <f>IFERROR(INDEX('04A_국토부원자료'!$A:$T,ROW()+1,MATCH("도로명",'04A_국토부원자료'!$A$4:$T$4,0)),"")</f>
        <v/>
      </c>
      <c r="M1498" s="48">
        <f>IFERROR(INDEX('04A_국토부원자료'!$A:$T,ROW()+1,MATCH("거래유형",'04A_국토부원자료'!$A$4:$T$4,0)),"")</f>
        <v/>
      </c>
      <c r="N1498" s="152">
        <f>IF(B1498="","",IF('02_대상물건입력'!B5="",1,IF(ISNUMBER(SEARCH('02_대상물건입력'!B5,B1498)),1,0)))</f>
        <v/>
      </c>
      <c r="O1498" s="152">
        <f>IF(B1498="","",IF('02_대상물건입력'!B6="",1,IF(ISNUMBER(SEARCH('02_대상물건입력'!B6,B1498)),1,0)))</f>
        <v/>
      </c>
      <c r="P1498" s="152">
        <f>IF(L1498="","",IF('02_대상물건입력'!B15="",0,IF(ISNUMBER(SEARCH('02_대상물건입력'!B15,L1498)),1,0)))</f>
        <v/>
      </c>
      <c r="Q1498" s="152">
        <f>IF(OR(C1498="",L1498=""),0,IF(AND(TRIM(C1498)=TRIM(RIGHT(SUBSTITUTE(TRIM('02_대상물건입력'!$B$7)," ",REPT(" ",99)),99)),IF('02_대상물건입력'!B15="",TRUE(),ISNUMBER(SEARCH('02_대상물건입력'!B15,L1498)))),1,0))</f>
        <v/>
      </c>
      <c r="R1498" s="175">
        <f>IFERROR(ABS(E1498-'02_대상물건입력'!B11)/'02_대상물건입력'!B11,"")</f>
        <v/>
      </c>
      <c r="S1498" s="152">
        <f>IFERROR(ABS(J1498-'02_대상물건입력'!B10),"")</f>
        <v/>
      </c>
      <c r="T1498" s="152">
        <f>IFERROR(ABS('01_설정'!B4-F1498),"")</f>
        <v/>
      </c>
      <c r="U1498" s="152">
        <f>IFERROR(ABS(K1498-YEAR('02_대상물건입력'!B14)),"")</f>
        <v/>
      </c>
      <c r="V1498" s="152">
        <f>IF(B1498="","",IF(AND(E1498&gt;0,F1498&gt;0,H1498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1498=1,TRUE()),R1498&lt;='01_설정'!B5,S1498&lt;='01_설정'!B6,T1498&lt;='01_설정'!B7,U1498&lt;='01_설정'!B8),"Y",""))</f>
        <v/>
      </c>
      <c r="W1498" s="172">
        <f>IF(V1498&lt;&gt;"Y","",MAX(0,(1-R1498/'01_설정'!B5))*'01_설정'!B14+MAX(0,(1-S1498/'01_설정'!B6))*'01_설정'!B15+MAX(0,(1-T1498/'01_설정'!B7))*'01_설정'!B16+MAX(0,(1-U1498/'01_설정'!B8))*'01_설정'!B17+O1498*'01_설정'!B11+Q1498*'01_설정'!B12+P1498*'01_설정'!B13+IF(Z1498="",0,Z1498))</f>
        <v/>
      </c>
      <c r="X1498" s="152">
        <f>IF(W1498="","",1+COUNTIFS($W$4:$W$3003,"&gt;"&amp;W1498)+COUNTIFS($W$4:W1498,W1498)-1)</f>
        <v/>
      </c>
      <c r="Y1498" s="175">
        <f>IF(OR(I1498="",'02_대상물건입력'!B19="",'02_대상물건입력'!B19&lt;=0),"",ABS(I1498-'02_대상물건입력'!B19)/'02_대상물건입력'!B19)</f>
        <v/>
      </c>
      <c r="Z1498" s="172">
        <f>IF(OR(Y1498="",'01_설정'!B31="",'01_설정'!B31&lt;=0,'01_설정'!B32="",'01_설정'!B32&lt;=0),"",MAX(0,(1-Y1498/'01_설정'!B32))*'01_설정'!B31)</f>
        <v/>
      </c>
    </row>
    <row r="1499" ht="17.25" customHeight="1">
      <c r="A1499" s="152">
        <f>IF(INDEX('04A_국토부원자료'!$A:$A,ROW()+1)="","",ROW()-3)</f>
        <v/>
      </c>
      <c r="B1499" s="48">
        <f>IFERROR(INDEX('04A_국토부원자료'!$A:$T,ROW()+1,MATCH("시군구",'04A_국토부원자료'!$A$4:$T$4,0)),"")</f>
        <v/>
      </c>
      <c r="C1499" s="48">
        <f>IF(B1499="","",IFERROR(INDEX('04A_국토부원자료'!$A:$T,ROW()+1,MATCH("번지",'04A_국토부원자료'!$A$4:$T$4,0)),""))</f>
        <v/>
      </c>
      <c r="D1499" s="48">
        <f>IF(B1499="","",IF(Q1499=1,'02_대상물건입력'!$B$8,IFERROR(INDEX('04A_국토부원자료'!$A:$T,ROW()+1,MATCH("단지명",'04A_국토부원자료'!$A$4:$T$4,0)),"")))</f>
        <v/>
      </c>
      <c r="E1499" s="172">
        <f>IFERROR(VALUE(SUBSTITUTE(INDEX('04A_국토부원자료'!$A:$T,ROW()+1,MATCH("전용면적(㎡)",'04A_국토부원자료'!$A$4:$T$4,0)),",","")),"")</f>
        <v/>
      </c>
      <c r="F14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499" s="51">
        <f>IFERROR(VALUE(SUBSTITUTE(INDEX('04A_국토부원자료'!$A:$T,ROW()+1,MATCH("거래금액(만원)",'04A_국토부원자료'!$A$4:$T$4,0)),",","")),"")</f>
        <v/>
      </c>
      <c r="H1499" s="174">
        <f>IF(G1499="","",G1499*10000)</f>
        <v/>
      </c>
      <c r="I1499" s="174">
        <f>IFERROR(IF(AND(H1499&gt;0,E1499&gt;0),H1499/E1499,""),"")</f>
        <v/>
      </c>
      <c r="J1499" s="152">
        <f>IFERROR(VALUE(SUBSTITUTE(INDEX('04A_국토부원자료'!$A:$T,ROW()+1,MATCH("층",'04A_국토부원자료'!$A$4:$T$4,0)),",","")),"")</f>
        <v/>
      </c>
      <c r="K1499" s="152">
        <f>IFERROR(VALUE(SUBSTITUTE(INDEX('04A_국토부원자료'!$A:$T,ROW()+1,MATCH("건축년도",'04A_국토부원자료'!$A$4:$T$4,0)),",","")),"")</f>
        <v/>
      </c>
      <c r="L1499" s="176">
        <f>IFERROR(INDEX('04A_국토부원자료'!$A:$T,ROW()+1,MATCH("도로명",'04A_국토부원자료'!$A$4:$T$4,0)),"")</f>
        <v/>
      </c>
      <c r="M1499" s="48">
        <f>IFERROR(INDEX('04A_국토부원자료'!$A:$T,ROW()+1,MATCH("거래유형",'04A_국토부원자료'!$A$4:$T$4,0)),"")</f>
        <v/>
      </c>
      <c r="N1499" s="152">
        <f>IF(B1499="","",IF('02_대상물건입력'!B5="",1,IF(ISNUMBER(SEARCH('02_대상물건입력'!B5,B1499)),1,0)))</f>
        <v/>
      </c>
      <c r="O1499" s="152">
        <f>IF(B1499="","",IF('02_대상물건입력'!B6="",1,IF(ISNUMBER(SEARCH('02_대상물건입력'!B6,B1499)),1,0)))</f>
        <v/>
      </c>
      <c r="P1499" s="152">
        <f>IF(L1499="","",IF('02_대상물건입력'!B15="",0,IF(ISNUMBER(SEARCH('02_대상물건입력'!B15,L1499)),1,0)))</f>
        <v/>
      </c>
      <c r="Q1499" s="152">
        <f>IF(OR(C1499="",L1499=""),0,IF(AND(TRIM(C1499)=TRIM(RIGHT(SUBSTITUTE(TRIM('02_대상물건입력'!$B$7)," ",REPT(" ",99)),99)),IF('02_대상물건입력'!B15="",TRUE(),ISNUMBER(SEARCH('02_대상물건입력'!B15,L1499)))),1,0))</f>
        <v/>
      </c>
      <c r="R1499" s="175">
        <f>IFERROR(ABS(E1499-'02_대상물건입력'!B11)/'02_대상물건입력'!B11,"")</f>
        <v/>
      </c>
      <c r="S1499" s="152">
        <f>IFERROR(ABS(J1499-'02_대상물건입력'!B10),"")</f>
        <v/>
      </c>
      <c r="T1499" s="152">
        <f>IFERROR(ABS('01_설정'!B4-F1499),"")</f>
        <v/>
      </c>
      <c r="U1499" s="152">
        <f>IFERROR(ABS(K1499-YEAR('02_대상물건입력'!B14)),"")</f>
        <v/>
      </c>
      <c r="V1499" s="152">
        <f>IF(B1499="","",IF(AND(E1499&gt;0,F1499&gt;0,H1499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1499=1,TRUE()),R1499&lt;='01_설정'!B5,S1499&lt;='01_설정'!B6,T1499&lt;='01_설정'!B7,U1499&lt;='01_설정'!B8),"Y",""))</f>
        <v/>
      </c>
      <c r="W1499" s="172">
        <f>IF(V1499&lt;&gt;"Y","",MAX(0,(1-R1499/'01_설정'!B5))*'01_설정'!B14+MAX(0,(1-S1499/'01_설정'!B6))*'01_설정'!B15+MAX(0,(1-T1499/'01_설정'!B7))*'01_설정'!B16+MAX(0,(1-U1499/'01_설정'!B8))*'01_설정'!B17+O1499*'01_설정'!B11+Q1499*'01_설정'!B12+P1499*'01_설정'!B13+IF(Z1499="",0,Z1499))</f>
        <v/>
      </c>
      <c r="X1499" s="152">
        <f>IF(W1499="","",1+COUNTIFS($W$4:$W$3003,"&gt;"&amp;W1499)+COUNTIFS($W$4:W1499,W1499)-1)</f>
        <v/>
      </c>
      <c r="Y1499" s="175">
        <f>IF(OR(I1499="",'02_대상물건입력'!B19="",'02_대상물건입력'!B19&lt;=0),"",ABS(I1499-'02_대상물건입력'!B19)/'02_대상물건입력'!B19)</f>
        <v/>
      </c>
      <c r="Z1499" s="172">
        <f>IF(OR(Y1499="",'01_설정'!B31="",'01_설정'!B31&lt;=0,'01_설정'!B32="",'01_설정'!B32&lt;=0),"",MAX(0,(1-Y1499/'01_설정'!B32))*'01_설정'!B31)</f>
        <v/>
      </c>
    </row>
    <row r="1500" ht="17.25" customHeight="1">
      <c r="A1500" s="152">
        <f>IF(INDEX('04A_국토부원자료'!$A:$A,ROW()+1)="","",ROW()-3)</f>
        <v/>
      </c>
      <c r="B1500" s="48">
        <f>IFERROR(INDEX('04A_국토부원자료'!$A:$T,ROW()+1,MATCH("시군구",'04A_국토부원자료'!$A$4:$T$4,0)),"")</f>
        <v/>
      </c>
      <c r="C1500" s="48">
        <f>IF(B1500="","",IFERROR(INDEX('04A_국토부원자료'!$A:$T,ROW()+1,MATCH("번지",'04A_국토부원자료'!$A$4:$T$4,0)),""))</f>
        <v/>
      </c>
      <c r="D1500" s="48">
        <f>IF(B1500="","",IF(Q1500=1,'02_대상물건입력'!$B$8,IFERROR(INDEX('04A_국토부원자료'!$A:$T,ROW()+1,MATCH("단지명",'04A_국토부원자료'!$A$4:$T$4,0)),"")))</f>
        <v/>
      </c>
      <c r="E1500" s="172">
        <f>IFERROR(VALUE(SUBSTITUTE(INDEX('04A_국토부원자료'!$A:$T,ROW()+1,MATCH("전용면적(㎡)",'04A_국토부원자료'!$A$4:$T$4,0)),",","")),"")</f>
        <v/>
      </c>
      <c r="F15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00" s="51">
        <f>IFERROR(VALUE(SUBSTITUTE(INDEX('04A_국토부원자료'!$A:$T,ROW()+1,MATCH("거래금액(만원)",'04A_국토부원자료'!$A$4:$T$4,0)),",","")),"")</f>
        <v/>
      </c>
      <c r="H1500" s="174">
        <f>IF(G1500="","",G1500*10000)</f>
        <v/>
      </c>
      <c r="I1500" s="174">
        <f>IFERROR(IF(AND(H1500&gt;0,E1500&gt;0),H1500/E1500,""),"")</f>
        <v/>
      </c>
      <c r="J1500" s="152">
        <f>IFERROR(VALUE(SUBSTITUTE(INDEX('04A_국토부원자료'!$A:$T,ROW()+1,MATCH("층",'04A_국토부원자료'!$A$4:$T$4,0)),",","")),"")</f>
        <v/>
      </c>
      <c r="K1500" s="152">
        <f>IFERROR(VALUE(SUBSTITUTE(INDEX('04A_국토부원자료'!$A:$T,ROW()+1,MATCH("건축년도",'04A_국토부원자료'!$A$4:$T$4,0)),",","")),"")</f>
        <v/>
      </c>
      <c r="L1500" s="176">
        <f>IFERROR(INDEX('04A_국토부원자료'!$A:$T,ROW()+1,MATCH("도로명",'04A_국토부원자료'!$A$4:$T$4,0)),"")</f>
        <v/>
      </c>
      <c r="M1500" s="48">
        <f>IFERROR(INDEX('04A_국토부원자료'!$A:$T,ROW()+1,MATCH("거래유형",'04A_국토부원자료'!$A$4:$T$4,0)),"")</f>
        <v/>
      </c>
      <c r="N1500" s="152">
        <f>IF(B1500="","",IF('02_대상물건입력'!B5="",1,IF(ISNUMBER(SEARCH('02_대상물건입력'!B5,B1500)),1,0)))</f>
        <v/>
      </c>
      <c r="O1500" s="152">
        <f>IF(B1500="","",IF('02_대상물건입력'!B6="",1,IF(ISNUMBER(SEARCH('02_대상물건입력'!B6,B1500)),1,0)))</f>
        <v/>
      </c>
      <c r="P1500" s="152">
        <f>IF(L1500="","",IF('02_대상물건입력'!B15="",0,IF(ISNUMBER(SEARCH('02_대상물건입력'!B15,L1500)),1,0)))</f>
        <v/>
      </c>
      <c r="Q1500" s="152">
        <f>IF(OR(C1500="",L1500=""),0,IF(AND(TRIM(C1500)=TRIM(RIGHT(SUBSTITUTE(TRIM('02_대상물건입력'!$B$7)," ",REPT(" ",99)),99)),IF('02_대상물건입력'!B15="",TRUE(),ISNUMBER(SEARCH('02_대상물건입력'!B15,L1500)))),1,0))</f>
        <v/>
      </c>
      <c r="R1500" s="175">
        <f>IFERROR(ABS(E1500-'02_대상물건입력'!B11)/'02_대상물건입력'!B11,"")</f>
        <v/>
      </c>
      <c r="S1500" s="152">
        <f>IFERROR(ABS(J1500-'02_대상물건입력'!B10),"")</f>
        <v/>
      </c>
      <c r="T1500" s="152">
        <f>IFERROR(ABS('01_설정'!B4-F1500),"")</f>
        <v/>
      </c>
      <c r="U1500" s="152">
        <f>IFERROR(ABS(K1500-YEAR('02_대상물건입력'!B14)),"")</f>
        <v/>
      </c>
      <c r="V1500" s="152">
        <f>IF(B1500="","",IF(AND(E1500&gt;0,F1500&gt;0,H1500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1500=1,TRUE()),R1500&lt;='01_설정'!B5,S1500&lt;='01_설정'!B6,T1500&lt;='01_설정'!B7,U1500&lt;='01_설정'!B8),"Y",""))</f>
        <v/>
      </c>
      <c r="W1500" s="172">
        <f>IF(V1500&lt;&gt;"Y","",MAX(0,(1-R1500/'01_설정'!B5))*'01_설정'!B14+MAX(0,(1-S1500/'01_설정'!B6))*'01_설정'!B15+MAX(0,(1-T1500/'01_설정'!B7))*'01_설정'!B16+MAX(0,(1-U1500/'01_설정'!B8))*'01_설정'!B17+O1500*'01_설정'!B11+Q1500*'01_설정'!B12+P1500*'01_설정'!B13+IF(Z1500="",0,Z1500))</f>
        <v/>
      </c>
      <c r="X1500" s="152">
        <f>IF(W1500="","",1+COUNTIFS($W$4:$W$3003,"&gt;"&amp;W1500)+COUNTIFS($W$4:W1500,W1500)-1)</f>
        <v/>
      </c>
      <c r="Y1500" s="175">
        <f>IF(OR(I1500="",'02_대상물건입력'!B19="",'02_대상물건입력'!B19&lt;=0),"",ABS(I1500-'02_대상물건입력'!B19)/'02_대상물건입력'!B19)</f>
        <v/>
      </c>
      <c r="Z1500" s="172">
        <f>IF(OR(Y1500="",'01_설정'!B31="",'01_설정'!B31&lt;=0,'01_설정'!B32="",'01_설정'!B32&lt;=0),"",MAX(0,(1-Y1500/'01_설정'!B32))*'01_설정'!B31)</f>
        <v/>
      </c>
    </row>
    <row r="1501" ht="17.25" customHeight="1">
      <c r="A1501" s="152">
        <f>IF(INDEX('04A_국토부원자료'!$A:$A,ROW()+1)="","",ROW()-3)</f>
        <v/>
      </c>
      <c r="B1501" s="48">
        <f>IFERROR(INDEX('04A_국토부원자료'!$A:$T,ROW()+1,MATCH("시군구",'04A_국토부원자료'!$A$4:$T$4,0)),"")</f>
        <v/>
      </c>
      <c r="C1501" s="48">
        <f>IF(B1501="","",IFERROR(INDEX('04A_국토부원자료'!$A:$T,ROW()+1,MATCH("번지",'04A_국토부원자료'!$A$4:$T$4,0)),""))</f>
        <v/>
      </c>
      <c r="D1501" s="48">
        <f>IF(B1501="","",IF(Q1501=1,'02_대상물건입력'!$B$8,IFERROR(INDEX('04A_국토부원자료'!$A:$T,ROW()+1,MATCH("단지명",'04A_국토부원자료'!$A$4:$T$4,0)),"")))</f>
        <v/>
      </c>
      <c r="E1501" s="172">
        <f>IFERROR(VALUE(SUBSTITUTE(INDEX('04A_국토부원자료'!$A:$T,ROW()+1,MATCH("전용면적(㎡)",'04A_국토부원자료'!$A$4:$T$4,0)),",","")),"")</f>
        <v/>
      </c>
      <c r="F15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01" s="51">
        <f>IFERROR(VALUE(SUBSTITUTE(INDEX('04A_국토부원자료'!$A:$T,ROW()+1,MATCH("거래금액(만원)",'04A_국토부원자료'!$A$4:$T$4,0)),",","")),"")</f>
        <v/>
      </c>
      <c r="H1501" s="174">
        <f>IF(G1501="","",G1501*10000)</f>
        <v/>
      </c>
      <c r="I1501" s="174">
        <f>IFERROR(IF(AND(H1501&gt;0,E1501&gt;0),H1501/E1501,""),"")</f>
        <v/>
      </c>
      <c r="J1501" s="152">
        <f>IFERROR(VALUE(SUBSTITUTE(INDEX('04A_국토부원자료'!$A:$T,ROW()+1,MATCH("층",'04A_국토부원자료'!$A$4:$T$4,0)),",","")),"")</f>
        <v/>
      </c>
      <c r="K1501" s="152">
        <f>IFERROR(VALUE(SUBSTITUTE(INDEX('04A_국토부원자료'!$A:$T,ROW()+1,MATCH("건축년도",'04A_국토부원자료'!$A$4:$T$4,0)),",","")),"")</f>
        <v/>
      </c>
      <c r="L1501" s="176">
        <f>IFERROR(INDEX('04A_국토부원자료'!$A:$T,ROW()+1,MATCH("도로명",'04A_국토부원자료'!$A$4:$T$4,0)),"")</f>
        <v/>
      </c>
      <c r="M1501" s="48">
        <f>IFERROR(INDEX('04A_국토부원자료'!$A:$T,ROW()+1,MATCH("거래유형",'04A_국토부원자료'!$A$4:$T$4,0)),"")</f>
        <v/>
      </c>
      <c r="N1501" s="152">
        <f>IF(B1501="","",IF('02_대상물건입력'!B5="",1,IF(ISNUMBER(SEARCH('02_대상물건입력'!B5,B1501)),1,0)))</f>
        <v/>
      </c>
      <c r="O1501" s="152">
        <f>IF(B1501="","",IF('02_대상물건입력'!B6="",1,IF(ISNUMBER(SEARCH('02_대상물건입력'!B6,B1501)),1,0)))</f>
        <v/>
      </c>
      <c r="P1501" s="152">
        <f>IF(L1501="","",IF('02_대상물건입력'!B15="",0,IF(ISNUMBER(SEARCH('02_대상물건입력'!B15,L1501)),1,0)))</f>
        <v/>
      </c>
      <c r="Q1501" s="152">
        <f>IF(OR(C1501="",L1501=""),0,IF(AND(TRIM(C1501)=TRIM(RIGHT(SUBSTITUTE(TRIM('02_대상물건입력'!$B$7)," ",REPT(" ",99)),99)),IF('02_대상물건입력'!B15="",TRUE(),ISNUMBER(SEARCH('02_대상물건입력'!B15,L1501)))),1,0))</f>
        <v/>
      </c>
      <c r="R1501" s="175">
        <f>IFERROR(ABS(E1501-'02_대상물건입력'!B11)/'02_대상물건입력'!B11,"")</f>
        <v/>
      </c>
      <c r="S1501" s="152">
        <f>IFERROR(ABS(J1501-'02_대상물건입력'!B10),"")</f>
        <v/>
      </c>
      <c r="T1501" s="152">
        <f>IFERROR(ABS('01_설정'!B4-F1501),"")</f>
        <v/>
      </c>
      <c r="U1501" s="152">
        <f>IFERROR(ABS(K1501-YEAR('02_대상물건입력'!B14)),"")</f>
        <v/>
      </c>
      <c r="V1501" s="152">
        <f>IF(B1501="","",IF(AND(E1501&gt;0,F1501&gt;0,H1501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1501=1,TRUE()),R1501&lt;='01_설정'!B5,S1501&lt;='01_설정'!B6,T1501&lt;='01_설정'!B7,U1501&lt;='01_설정'!B8),"Y",""))</f>
        <v/>
      </c>
      <c r="W1501" s="172">
        <f>IF(V1501&lt;&gt;"Y","",MAX(0,(1-R1501/'01_설정'!B5))*'01_설정'!B14+MAX(0,(1-S1501/'01_설정'!B6))*'01_설정'!B15+MAX(0,(1-T1501/'01_설정'!B7))*'01_설정'!B16+MAX(0,(1-U1501/'01_설정'!B8))*'01_설정'!B17+O1501*'01_설정'!B11+Q1501*'01_설정'!B12+P1501*'01_설정'!B13+IF(Z1501="",0,Z1501))</f>
        <v/>
      </c>
      <c r="X1501" s="152">
        <f>IF(W1501="","",1+COUNTIFS($W$4:$W$3003,"&gt;"&amp;W1501)+COUNTIFS($W$4:W1501,W1501)-1)</f>
        <v/>
      </c>
      <c r="Y1501" s="175">
        <f>IF(OR(I1501="",'02_대상물건입력'!B19="",'02_대상물건입력'!B19&lt;=0),"",ABS(I1501-'02_대상물건입력'!B19)/'02_대상물건입력'!B19)</f>
        <v/>
      </c>
      <c r="Z1501" s="172">
        <f>IF(OR(Y1501="",'01_설정'!B31="",'01_설정'!B31&lt;=0,'01_설정'!B32="",'01_설정'!B32&lt;=0),"",MAX(0,(1-Y1501/'01_설정'!B32))*'01_설정'!B31)</f>
        <v/>
      </c>
    </row>
    <row r="1502" ht="17.25" customHeight="1">
      <c r="A1502" s="152">
        <f>IF(INDEX('04A_국토부원자료'!$A:$A,ROW()+1)="","",ROW()-3)</f>
        <v/>
      </c>
      <c r="B1502" s="48">
        <f>IFERROR(INDEX('04A_국토부원자료'!$A:$T,ROW()+1,MATCH("시군구",'04A_국토부원자료'!$A$4:$T$4,0)),"")</f>
        <v/>
      </c>
      <c r="C1502" s="48">
        <f>IF(B1502="","",IFERROR(INDEX('04A_국토부원자료'!$A:$T,ROW()+1,MATCH("번지",'04A_국토부원자료'!$A$4:$T$4,0)),""))</f>
        <v/>
      </c>
      <c r="D1502" s="48">
        <f>IF(B1502="","",IF(Q1502=1,'02_대상물건입력'!$B$8,IFERROR(INDEX('04A_국토부원자료'!$A:$T,ROW()+1,MATCH("단지명",'04A_국토부원자료'!$A$4:$T$4,0)),"")))</f>
        <v/>
      </c>
      <c r="E1502" s="172">
        <f>IFERROR(VALUE(SUBSTITUTE(INDEX('04A_국토부원자료'!$A:$T,ROW()+1,MATCH("전용면적(㎡)",'04A_국토부원자료'!$A$4:$T$4,0)),",","")),"")</f>
        <v/>
      </c>
      <c r="F15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02" s="51">
        <f>IFERROR(VALUE(SUBSTITUTE(INDEX('04A_국토부원자료'!$A:$T,ROW()+1,MATCH("거래금액(만원)",'04A_국토부원자료'!$A$4:$T$4,0)),",","")),"")</f>
        <v/>
      </c>
      <c r="H1502" s="174">
        <f>IF(G1502="","",G1502*10000)</f>
        <v/>
      </c>
      <c r="I1502" s="174">
        <f>IFERROR(IF(AND(H1502&gt;0,E1502&gt;0),H1502/E1502,""),"")</f>
        <v/>
      </c>
      <c r="J1502" s="152">
        <f>IFERROR(VALUE(SUBSTITUTE(INDEX('04A_국토부원자료'!$A:$T,ROW()+1,MATCH("층",'04A_국토부원자료'!$A$4:$T$4,0)),",","")),"")</f>
        <v/>
      </c>
      <c r="K1502" s="152">
        <f>IFERROR(VALUE(SUBSTITUTE(INDEX('04A_국토부원자료'!$A:$T,ROW()+1,MATCH("건축년도",'04A_국토부원자료'!$A$4:$T$4,0)),",","")),"")</f>
        <v/>
      </c>
      <c r="L1502" s="176">
        <f>IFERROR(INDEX('04A_국토부원자료'!$A:$T,ROW()+1,MATCH("도로명",'04A_국토부원자료'!$A$4:$T$4,0)),"")</f>
        <v/>
      </c>
      <c r="M1502" s="48">
        <f>IFERROR(INDEX('04A_국토부원자료'!$A:$T,ROW()+1,MATCH("거래유형",'04A_국토부원자료'!$A$4:$T$4,0)),"")</f>
        <v/>
      </c>
      <c r="N1502" s="152">
        <f>IF(B1502="","",IF('02_대상물건입력'!B5="",1,IF(ISNUMBER(SEARCH('02_대상물건입력'!B5,B1502)),1,0)))</f>
        <v/>
      </c>
      <c r="O1502" s="152">
        <f>IF(B1502="","",IF('02_대상물건입력'!B6="",1,IF(ISNUMBER(SEARCH('02_대상물건입력'!B6,B1502)),1,0)))</f>
        <v/>
      </c>
      <c r="P1502" s="152">
        <f>IF(L1502="","",IF('02_대상물건입력'!B15="",0,IF(ISNUMBER(SEARCH('02_대상물건입력'!B15,L1502)),1,0)))</f>
        <v/>
      </c>
      <c r="Q1502" s="152">
        <f>IF(OR(C1502="",L1502=""),0,IF(AND(TRIM(C1502)=TRIM(RIGHT(SUBSTITUTE(TRIM('02_대상물건입력'!$B$7)," ",REPT(" ",99)),99)),IF('02_대상물건입력'!B15="",TRUE(),ISNUMBER(SEARCH('02_대상물건입력'!B15,L1502)))),1,0))</f>
        <v/>
      </c>
      <c r="R1502" s="175">
        <f>IFERROR(ABS(E1502-'02_대상물건입력'!B11)/'02_대상물건입력'!B11,"")</f>
        <v/>
      </c>
      <c r="S1502" s="152">
        <f>IFERROR(ABS(J1502-'02_대상물건입력'!B10),"")</f>
        <v/>
      </c>
      <c r="T1502" s="152">
        <f>IFERROR(ABS('01_설정'!B4-F1502),"")</f>
        <v/>
      </c>
      <c r="U1502" s="152">
        <f>IFERROR(ABS(K1502-YEAR('02_대상물건입력'!B14)),"")</f>
        <v/>
      </c>
      <c r="V1502" s="152">
        <f>IF(B1502="","",IF(AND(E1502&gt;0,F1502&gt;0,H1502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1502=1,TRUE()),R1502&lt;='01_설정'!B5,S1502&lt;='01_설정'!B6,T1502&lt;='01_설정'!B7,U1502&lt;='01_설정'!B8),"Y",""))</f>
        <v/>
      </c>
      <c r="W1502" s="172">
        <f>IF(V1502&lt;&gt;"Y","",MAX(0,(1-R1502/'01_설정'!B5))*'01_설정'!B14+MAX(0,(1-S1502/'01_설정'!B6))*'01_설정'!B15+MAX(0,(1-T1502/'01_설정'!B7))*'01_설정'!B16+MAX(0,(1-U1502/'01_설정'!B8))*'01_설정'!B17+O1502*'01_설정'!B11+Q1502*'01_설정'!B12+P1502*'01_설정'!B13+IF(Z1502="",0,Z1502))</f>
        <v/>
      </c>
      <c r="X1502" s="152">
        <f>IF(W1502="","",1+COUNTIFS($W$4:$W$3003,"&gt;"&amp;W1502)+COUNTIFS($W$4:W1502,W1502)-1)</f>
        <v/>
      </c>
      <c r="Y1502" s="175">
        <f>IF(OR(I1502="",'02_대상물건입력'!B19="",'02_대상물건입력'!B19&lt;=0),"",ABS(I1502-'02_대상물건입력'!B19)/'02_대상물건입력'!B19)</f>
        <v/>
      </c>
      <c r="Z1502" s="172">
        <f>IF(OR(Y1502="",'01_설정'!B31="",'01_설정'!B31&lt;=0,'01_설정'!B32="",'01_설정'!B32&lt;=0),"",MAX(0,(1-Y1502/'01_설정'!B32))*'01_설정'!B31)</f>
        <v/>
      </c>
    </row>
    <row r="1503" ht="17.25" customHeight="1">
      <c r="A1503" s="152">
        <f>IF(INDEX('04A_국토부원자료'!$A:$A,ROW()+1)="","",ROW()-3)</f>
        <v/>
      </c>
      <c r="B1503" s="48">
        <f>IFERROR(INDEX('04A_국토부원자료'!$A:$T,ROW()+1,MATCH("시군구",'04A_국토부원자료'!$A$4:$T$4,0)),"")</f>
        <v/>
      </c>
      <c r="C1503" s="48">
        <f>IF(B1503="","",IFERROR(INDEX('04A_국토부원자료'!$A:$T,ROW()+1,MATCH("번지",'04A_국토부원자료'!$A$4:$T$4,0)),""))</f>
        <v/>
      </c>
      <c r="D1503" s="48">
        <f>IF(B1503="","",IF(Q1503=1,'02_대상물건입력'!$B$8,IFERROR(INDEX('04A_국토부원자료'!$A:$T,ROW()+1,MATCH("단지명",'04A_국토부원자료'!$A$4:$T$4,0)),"")))</f>
        <v/>
      </c>
      <c r="E1503" s="172">
        <f>IFERROR(VALUE(SUBSTITUTE(INDEX('04A_국토부원자료'!$A:$T,ROW()+1,MATCH("전용면적(㎡)",'04A_국토부원자료'!$A$4:$T$4,0)),",","")),"")</f>
        <v/>
      </c>
      <c r="F15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03" s="51">
        <f>IFERROR(VALUE(SUBSTITUTE(INDEX('04A_국토부원자료'!$A:$T,ROW()+1,MATCH("거래금액(만원)",'04A_국토부원자료'!$A$4:$T$4,0)),",","")),"")</f>
        <v/>
      </c>
      <c r="H1503" s="174">
        <f>IF(G1503="","",G1503*10000)</f>
        <v/>
      </c>
      <c r="I1503" s="174">
        <f>IFERROR(IF(AND(H1503&gt;0,E1503&gt;0),H1503/E1503,""),"")</f>
        <v/>
      </c>
      <c r="J1503" s="152">
        <f>IFERROR(VALUE(SUBSTITUTE(INDEX('04A_국토부원자료'!$A:$T,ROW()+1,MATCH("층",'04A_국토부원자료'!$A$4:$T$4,0)),",","")),"")</f>
        <v/>
      </c>
      <c r="K1503" s="152">
        <f>IFERROR(VALUE(SUBSTITUTE(INDEX('04A_국토부원자료'!$A:$T,ROW()+1,MATCH("건축년도",'04A_국토부원자료'!$A$4:$T$4,0)),",","")),"")</f>
        <v/>
      </c>
      <c r="L1503" s="176">
        <f>IFERROR(INDEX('04A_국토부원자료'!$A:$T,ROW()+1,MATCH("도로명",'04A_국토부원자료'!$A$4:$T$4,0)),"")</f>
        <v/>
      </c>
      <c r="M1503" s="48">
        <f>IFERROR(INDEX('04A_국토부원자료'!$A:$T,ROW()+1,MATCH("거래유형",'04A_국토부원자료'!$A$4:$T$4,0)),"")</f>
        <v/>
      </c>
      <c r="N1503" s="152">
        <f>IF(B1503="","",IF('02_대상물건입력'!B5="",1,IF(ISNUMBER(SEARCH('02_대상물건입력'!B5,B1503)),1,0)))</f>
        <v/>
      </c>
      <c r="O1503" s="152">
        <f>IF(B1503="","",IF('02_대상물건입력'!B6="",1,IF(ISNUMBER(SEARCH('02_대상물건입력'!B6,B1503)),1,0)))</f>
        <v/>
      </c>
      <c r="P1503" s="152">
        <f>IF(L1503="","",IF('02_대상물건입력'!B15="",0,IF(ISNUMBER(SEARCH('02_대상물건입력'!B15,L1503)),1,0)))</f>
        <v/>
      </c>
      <c r="Q1503" s="152">
        <f>IF(OR(C1503="",L1503=""),0,IF(AND(TRIM(C1503)=TRIM(RIGHT(SUBSTITUTE(TRIM('02_대상물건입력'!$B$7)," ",REPT(" ",99)),99)),IF('02_대상물건입력'!B15="",TRUE(),ISNUMBER(SEARCH('02_대상물건입력'!B15,L1503)))),1,0))</f>
        <v/>
      </c>
      <c r="R1503" s="175">
        <f>IFERROR(ABS(E1503-'02_대상물건입력'!B11)/'02_대상물건입력'!B11,"")</f>
        <v/>
      </c>
      <c r="S1503" s="152">
        <f>IFERROR(ABS(J1503-'02_대상물건입력'!B10),"")</f>
        <v/>
      </c>
      <c r="T1503" s="152">
        <f>IFERROR(ABS('01_설정'!B4-F1503),"")</f>
        <v/>
      </c>
      <c r="U1503" s="152">
        <f>IFERROR(ABS(K1503-YEAR('02_대상물건입력'!B14)),"")</f>
        <v/>
      </c>
      <c r="V1503" s="152">
        <f>IF(B1503="","",IF(AND(E1503&gt;0,F1503&gt;0,H1503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1503=1,TRUE()),R1503&lt;='01_설정'!B5,S1503&lt;='01_설정'!B6,T1503&lt;='01_설정'!B7,U1503&lt;='01_설정'!B8),"Y",""))</f>
        <v/>
      </c>
      <c r="W1503" s="172">
        <f>IF(V1503&lt;&gt;"Y","",MAX(0,(1-R1503/'01_설정'!B5))*'01_설정'!B14+MAX(0,(1-S1503/'01_설정'!B6))*'01_설정'!B15+MAX(0,(1-T1503/'01_설정'!B7))*'01_설정'!B16+MAX(0,(1-U1503/'01_설정'!B8))*'01_설정'!B17+O1503*'01_설정'!B11+Q1503*'01_설정'!B12+P1503*'01_설정'!B13+IF(Z1503="",0,Z1503))</f>
        <v/>
      </c>
      <c r="X1503" s="152">
        <f>IF(W1503="","",1+COUNTIFS($W$4:$W$3003,"&gt;"&amp;W1503)+COUNTIFS($W$4:W1503,W1503)-1)</f>
        <v/>
      </c>
      <c r="Y1503" s="175">
        <f>IF(OR(I1503="",'02_대상물건입력'!B19="",'02_대상물건입력'!B19&lt;=0),"",ABS(I1503-'02_대상물건입력'!B19)/'02_대상물건입력'!B19)</f>
        <v/>
      </c>
      <c r="Z1503" s="172">
        <f>IF(OR(Y1503="",'01_설정'!B31="",'01_설정'!B31&lt;=0,'01_설정'!B32="",'01_설정'!B32&lt;=0),"",MAX(0,(1-Y1503/'01_설정'!B32))*'01_설정'!B31)</f>
        <v/>
      </c>
    </row>
    <row r="1504" ht="17.25" customHeight="1">
      <c r="A1504" s="152">
        <f>IF(INDEX('04A_국토부원자료'!$A:$A,ROW()+1)="","",ROW()-3)</f>
        <v/>
      </c>
      <c r="B1504" s="48">
        <f>IFERROR(INDEX('04A_국토부원자료'!$A:$T,ROW()+1,MATCH("시군구",'04A_국토부원자료'!$A$4:$T$4,0)),"")</f>
        <v/>
      </c>
      <c r="C1504" s="48">
        <f>IF(B1504="","",IFERROR(INDEX('04A_국토부원자료'!$A:$T,ROW()+1,MATCH("번지",'04A_국토부원자료'!$A$4:$T$4,0)),""))</f>
        <v/>
      </c>
      <c r="D1504" s="48">
        <f>IF(B1504="","",IF(Q1504=1,'02_대상물건입력'!$B$8,IFERROR(INDEX('04A_국토부원자료'!$A:$T,ROW()+1,MATCH("단지명",'04A_국토부원자료'!$A$4:$T$4,0)),"")))</f>
        <v/>
      </c>
      <c r="E1504" s="172">
        <f>IFERROR(VALUE(SUBSTITUTE(INDEX('04A_국토부원자료'!$A:$T,ROW()+1,MATCH("전용면적(㎡)",'04A_국토부원자료'!$A$4:$T$4,0)),",","")),"")</f>
        <v/>
      </c>
      <c r="F15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04" s="51">
        <f>IFERROR(VALUE(SUBSTITUTE(INDEX('04A_국토부원자료'!$A:$T,ROW()+1,MATCH("거래금액(만원)",'04A_국토부원자료'!$A$4:$T$4,0)),",","")),"")</f>
        <v/>
      </c>
      <c r="H1504" s="174">
        <f>IF(G1504="","",G1504*10000)</f>
        <v/>
      </c>
      <c r="I1504" s="174">
        <f>IFERROR(IF(AND(H1504&gt;0,E1504&gt;0),H1504/E1504,""),"")</f>
        <v/>
      </c>
      <c r="J1504" s="152">
        <f>IFERROR(VALUE(SUBSTITUTE(INDEX('04A_국토부원자료'!$A:$T,ROW()+1,MATCH("층",'04A_국토부원자료'!$A$4:$T$4,0)),",","")),"")</f>
        <v/>
      </c>
      <c r="K1504" s="152">
        <f>IFERROR(VALUE(SUBSTITUTE(INDEX('04A_국토부원자료'!$A:$T,ROW()+1,MATCH("건축년도",'04A_국토부원자료'!$A$4:$T$4,0)),",","")),"")</f>
        <v/>
      </c>
      <c r="L1504" s="176">
        <f>IFERROR(INDEX('04A_국토부원자료'!$A:$T,ROW()+1,MATCH("도로명",'04A_국토부원자료'!$A$4:$T$4,0)),"")</f>
        <v/>
      </c>
      <c r="M1504" s="48">
        <f>IFERROR(INDEX('04A_국토부원자료'!$A:$T,ROW()+1,MATCH("거래유형",'04A_국토부원자료'!$A$4:$T$4,0)),"")</f>
        <v/>
      </c>
      <c r="N1504" s="152">
        <f>IF(B1504="","",IF('02_대상물건입력'!B5="",1,IF(ISNUMBER(SEARCH('02_대상물건입력'!B5,B1504)),1,0)))</f>
        <v/>
      </c>
      <c r="O1504" s="152">
        <f>IF(B1504="","",IF('02_대상물건입력'!B6="",1,IF(ISNUMBER(SEARCH('02_대상물건입력'!B6,B1504)),1,0)))</f>
        <v/>
      </c>
      <c r="P1504" s="152">
        <f>IF(L1504="","",IF('02_대상물건입력'!B15="",0,IF(ISNUMBER(SEARCH('02_대상물건입력'!B15,L1504)),1,0)))</f>
        <v/>
      </c>
      <c r="Q1504" s="152">
        <f>IF(OR(C1504="",L1504=""),0,IF(AND(TRIM(C1504)=TRIM(RIGHT(SUBSTITUTE(TRIM('02_대상물건입력'!$B$7)," ",REPT(" ",99)),99)),IF('02_대상물건입력'!B15="",TRUE(),ISNUMBER(SEARCH('02_대상물건입력'!B15,L1504)))),1,0))</f>
        <v/>
      </c>
      <c r="R1504" s="175">
        <f>IFERROR(ABS(E1504-'02_대상물건입력'!B11)/'02_대상물건입력'!B11,"")</f>
        <v/>
      </c>
      <c r="S1504" s="152">
        <f>IFERROR(ABS(J1504-'02_대상물건입력'!B10),"")</f>
        <v/>
      </c>
      <c r="T1504" s="152">
        <f>IFERROR(ABS('01_설정'!B4-F1504),"")</f>
        <v/>
      </c>
      <c r="U1504" s="152">
        <f>IFERROR(ABS(K1504-YEAR('02_대상물건입력'!B14)),"")</f>
        <v/>
      </c>
      <c r="V1504" s="152">
        <f>IF(B1504="","",IF(AND(E1504&gt;0,F1504&gt;0,H1504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1504=1,TRUE()),R1504&lt;='01_설정'!B5,S1504&lt;='01_설정'!B6,T1504&lt;='01_설정'!B7,U1504&lt;='01_설정'!B8),"Y",""))</f>
        <v/>
      </c>
      <c r="W1504" s="172">
        <f>IF(V1504&lt;&gt;"Y","",MAX(0,(1-R1504/'01_설정'!B5))*'01_설정'!B14+MAX(0,(1-S1504/'01_설정'!B6))*'01_설정'!B15+MAX(0,(1-T1504/'01_설정'!B7))*'01_설정'!B16+MAX(0,(1-U1504/'01_설정'!B8))*'01_설정'!B17+O1504*'01_설정'!B11+Q1504*'01_설정'!B12+P1504*'01_설정'!B13+IF(Z1504="",0,Z1504))</f>
        <v/>
      </c>
      <c r="X1504" s="152">
        <f>IF(W1504="","",1+COUNTIFS($W$4:$W$3003,"&gt;"&amp;W1504)+COUNTIFS($W$4:W1504,W1504)-1)</f>
        <v/>
      </c>
      <c r="Y1504" s="175">
        <f>IF(OR(I1504="",'02_대상물건입력'!B19="",'02_대상물건입력'!B19&lt;=0),"",ABS(I1504-'02_대상물건입력'!B19)/'02_대상물건입력'!B19)</f>
        <v/>
      </c>
      <c r="Z1504" s="172">
        <f>IF(OR(Y1504="",'01_설정'!B31="",'01_설정'!B31&lt;=0,'01_설정'!B32="",'01_설정'!B32&lt;=0),"",MAX(0,(1-Y1504/'01_설정'!B32))*'01_설정'!B31)</f>
        <v/>
      </c>
    </row>
    <row r="1505" ht="17.25" customHeight="1">
      <c r="A1505" s="152">
        <f>IF(INDEX('04A_국토부원자료'!$A:$A,ROW()+1)="","",ROW()-3)</f>
        <v/>
      </c>
      <c r="B1505" s="48">
        <f>IFERROR(INDEX('04A_국토부원자료'!$A:$T,ROW()+1,MATCH("시군구",'04A_국토부원자료'!$A$4:$T$4,0)),"")</f>
        <v/>
      </c>
      <c r="C1505" s="48">
        <f>IF(B1505="","",IFERROR(INDEX('04A_국토부원자료'!$A:$T,ROW()+1,MATCH("번지",'04A_국토부원자료'!$A$4:$T$4,0)),""))</f>
        <v/>
      </c>
      <c r="D1505" s="48">
        <f>IF(B1505="","",IF(Q1505=1,'02_대상물건입력'!$B$8,IFERROR(INDEX('04A_국토부원자료'!$A:$T,ROW()+1,MATCH("단지명",'04A_국토부원자료'!$A$4:$T$4,0)),"")))</f>
        <v/>
      </c>
      <c r="E1505" s="172">
        <f>IFERROR(VALUE(SUBSTITUTE(INDEX('04A_국토부원자료'!$A:$T,ROW()+1,MATCH("전용면적(㎡)",'04A_국토부원자료'!$A$4:$T$4,0)),",","")),"")</f>
        <v/>
      </c>
      <c r="F15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05" s="51">
        <f>IFERROR(VALUE(SUBSTITUTE(INDEX('04A_국토부원자료'!$A:$T,ROW()+1,MATCH("거래금액(만원)",'04A_국토부원자료'!$A$4:$T$4,0)),",","")),"")</f>
        <v/>
      </c>
      <c r="H1505" s="174">
        <f>IF(G1505="","",G1505*10000)</f>
        <v/>
      </c>
      <c r="I1505" s="174">
        <f>IFERROR(IF(AND(H1505&gt;0,E1505&gt;0),H1505/E1505,""),"")</f>
        <v/>
      </c>
      <c r="J1505" s="152">
        <f>IFERROR(VALUE(SUBSTITUTE(INDEX('04A_국토부원자료'!$A:$T,ROW()+1,MATCH("층",'04A_국토부원자료'!$A$4:$T$4,0)),",","")),"")</f>
        <v/>
      </c>
      <c r="K1505" s="152">
        <f>IFERROR(VALUE(SUBSTITUTE(INDEX('04A_국토부원자료'!$A:$T,ROW()+1,MATCH("건축년도",'04A_국토부원자료'!$A$4:$T$4,0)),",","")),"")</f>
        <v/>
      </c>
      <c r="L1505" s="176">
        <f>IFERROR(INDEX('04A_국토부원자료'!$A:$T,ROW()+1,MATCH("도로명",'04A_국토부원자료'!$A$4:$T$4,0)),"")</f>
        <v/>
      </c>
      <c r="M1505" s="48">
        <f>IFERROR(INDEX('04A_국토부원자료'!$A:$T,ROW()+1,MATCH("거래유형",'04A_국토부원자료'!$A$4:$T$4,0)),"")</f>
        <v/>
      </c>
      <c r="N1505" s="152">
        <f>IF(B1505="","",IF('02_대상물건입력'!B5="",1,IF(ISNUMBER(SEARCH('02_대상물건입력'!B5,B1505)),1,0)))</f>
        <v/>
      </c>
      <c r="O1505" s="152">
        <f>IF(B1505="","",IF('02_대상물건입력'!B6="",1,IF(ISNUMBER(SEARCH('02_대상물건입력'!B6,B1505)),1,0)))</f>
        <v/>
      </c>
      <c r="P1505" s="152">
        <f>IF(L1505="","",IF('02_대상물건입력'!B15="",0,IF(ISNUMBER(SEARCH('02_대상물건입력'!B15,L1505)),1,0)))</f>
        <v/>
      </c>
      <c r="Q1505" s="152">
        <f>IF(OR(C1505="",L1505=""),0,IF(AND(TRIM(C1505)=TRIM(RIGHT(SUBSTITUTE(TRIM('02_대상물건입력'!$B$7)," ",REPT(" ",99)),99)),IF('02_대상물건입력'!B15="",TRUE(),ISNUMBER(SEARCH('02_대상물건입력'!B15,L1505)))),1,0))</f>
        <v/>
      </c>
      <c r="R1505" s="175">
        <f>IFERROR(ABS(E1505-'02_대상물건입력'!B11)/'02_대상물건입력'!B11,"")</f>
        <v/>
      </c>
      <c r="S1505" s="152">
        <f>IFERROR(ABS(J1505-'02_대상물건입력'!B10),"")</f>
        <v/>
      </c>
      <c r="T1505" s="152">
        <f>IFERROR(ABS('01_설정'!B4-F1505),"")</f>
        <v/>
      </c>
      <c r="U1505" s="152">
        <f>IFERROR(ABS(K1505-YEAR('02_대상물건입력'!B14)),"")</f>
        <v/>
      </c>
      <c r="V1505" s="152">
        <f>IF(B1505="","",IF(AND(E1505&gt;0,F1505&gt;0,H1505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1505=1,TRUE()),R1505&lt;='01_설정'!B5,S1505&lt;='01_설정'!B6,T1505&lt;='01_설정'!B7,U1505&lt;='01_설정'!B8),"Y",""))</f>
        <v/>
      </c>
      <c r="W1505" s="172">
        <f>IF(V1505&lt;&gt;"Y","",MAX(0,(1-R1505/'01_설정'!B5))*'01_설정'!B14+MAX(0,(1-S1505/'01_설정'!B6))*'01_설정'!B15+MAX(0,(1-T1505/'01_설정'!B7))*'01_설정'!B16+MAX(0,(1-U1505/'01_설정'!B8))*'01_설정'!B17+O1505*'01_설정'!B11+Q1505*'01_설정'!B12+P1505*'01_설정'!B13+IF(Z1505="",0,Z1505))</f>
        <v/>
      </c>
      <c r="X1505" s="152">
        <f>IF(W1505="","",1+COUNTIFS($W$4:$W$3003,"&gt;"&amp;W1505)+COUNTIFS($W$4:W1505,W1505)-1)</f>
        <v/>
      </c>
      <c r="Y1505" s="175">
        <f>IF(OR(I1505="",'02_대상물건입력'!B19="",'02_대상물건입력'!B19&lt;=0),"",ABS(I1505-'02_대상물건입력'!B19)/'02_대상물건입력'!B19)</f>
        <v/>
      </c>
      <c r="Z1505" s="172">
        <f>IF(OR(Y1505="",'01_설정'!B31="",'01_설정'!B31&lt;=0,'01_설정'!B32="",'01_설정'!B32&lt;=0),"",MAX(0,(1-Y1505/'01_설정'!B32))*'01_설정'!B31)</f>
        <v/>
      </c>
    </row>
    <row r="1506" ht="17.25" customHeight="1">
      <c r="A1506" s="152">
        <f>IF(INDEX('04A_국토부원자료'!$A:$A,ROW()+1)="","",ROW()-3)</f>
        <v/>
      </c>
      <c r="B1506" s="48">
        <f>IFERROR(INDEX('04A_국토부원자료'!$A:$T,ROW()+1,MATCH("시군구",'04A_국토부원자료'!$A$4:$T$4,0)),"")</f>
        <v/>
      </c>
      <c r="C1506" s="48">
        <f>IF(B1506="","",IFERROR(INDEX('04A_국토부원자료'!$A:$T,ROW()+1,MATCH("번지",'04A_국토부원자료'!$A$4:$T$4,0)),""))</f>
        <v/>
      </c>
      <c r="D1506" s="48">
        <f>IF(B1506="","",IF(Q1506=1,'02_대상물건입력'!$B$8,IFERROR(INDEX('04A_국토부원자료'!$A:$T,ROW()+1,MATCH("단지명",'04A_국토부원자료'!$A$4:$T$4,0)),"")))</f>
        <v/>
      </c>
      <c r="E1506" s="172">
        <f>IFERROR(VALUE(SUBSTITUTE(INDEX('04A_국토부원자료'!$A:$T,ROW()+1,MATCH("전용면적(㎡)",'04A_국토부원자료'!$A$4:$T$4,0)),",","")),"")</f>
        <v/>
      </c>
      <c r="F15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06" s="51">
        <f>IFERROR(VALUE(SUBSTITUTE(INDEX('04A_국토부원자료'!$A:$T,ROW()+1,MATCH("거래금액(만원)",'04A_국토부원자료'!$A$4:$T$4,0)),",","")),"")</f>
        <v/>
      </c>
      <c r="H1506" s="174">
        <f>IF(G1506="","",G1506*10000)</f>
        <v/>
      </c>
      <c r="I1506" s="174">
        <f>IFERROR(IF(AND(H1506&gt;0,E1506&gt;0),H1506/E1506,""),"")</f>
        <v/>
      </c>
      <c r="J1506" s="152">
        <f>IFERROR(VALUE(SUBSTITUTE(INDEX('04A_국토부원자료'!$A:$T,ROW()+1,MATCH("층",'04A_국토부원자료'!$A$4:$T$4,0)),",","")),"")</f>
        <v/>
      </c>
      <c r="K1506" s="152">
        <f>IFERROR(VALUE(SUBSTITUTE(INDEX('04A_국토부원자료'!$A:$T,ROW()+1,MATCH("건축년도",'04A_국토부원자료'!$A$4:$T$4,0)),",","")),"")</f>
        <v/>
      </c>
      <c r="L1506" s="176">
        <f>IFERROR(INDEX('04A_국토부원자료'!$A:$T,ROW()+1,MATCH("도로명",'04A_국토부원자료'!$A$4:$T$4,0)),"")</f>
        <v/>
      </c>
      <c r="M1506" s="48">
        <f>IFERROR(INDEX('04A_국토부원자료'!$A:$T,ROW()+1,MATCH("거래유형",'04A_국토부원자료'!$A$4:$T$4,0)),"")</f>
        <v/>
      </c>
      <c r="N1506" s="152">
        <f>IF(B1506="","",IF('02_대상물건입력'!B5="",1,IF(ISNUMBER(SEARCH('02_대상물건입력'!B5,B1506)),1,0)))</f>
        <v/>
      </c>
      <c r="O1506" s="152">
        <f>IF(B1506="","",IF('02_대상물건입력'!B6="",1,IF(ISNUMBER(SEARCH('02_대상물건입력'!B6,B1506)),1,0)))</f>
        <v/>
      </c>
      <c r="P1506" s="152">
        <f>IF(L1506="","",IF('02_대상물건입력'!B15="",0,IF(ISNUMBER(SEARCH('02_대상물건입력'!B15,L1506)),1,0)))</f>
        <v/>
      </c>
      <c r="Q1506" s="152">
        <f>IF(OR(C1506="",L1506=""),0,IF(AND(TRIM(C1506)=TRIM(RIGHT(SUBSTITUTE(TRIM('02_대상물건입력'!$B$7)," ",REPT(" ",99)),99)),IF('02_대상물건입력'!B15="",TRUE(),ISNUMBER(SEARCH('02_대상물건입력'!B15,L1506)))),1,0))</f>
        <v/>
      </c>
      <c r="R1506" s="175">
        <f>IFERROR(ABS(E1506-'02_대상물건입력'!B11)/'02_대상물건입력'!B11,"")</f>
        <v/>
      </c>
      <c r="S1506" s="152">
        <f>IFERROR(ABS(J1506-'02_대상물건입력'!B10),"")</f>
        <v/>
      </c>
      <c r="T1506" s="152">
        <f>IFERROR(ABS('01_설정'!B4-F1506),"")</f>
        <v/>
      </c>
      <c r="U1506" s="152">
        <f>IFERROR(ABS(K1506-YEAR('02_대상물건입력'!B14)),"")</f>
        <v/>
      </c>
      <c r="V1506" s="152">
        <f>IF(B1506="","",IF(AND(E1506&gt;0,F1506&gt;0,H1506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1506=1,TRUE()),R1506&lt;='01_설정'!B5,S1506&lt;='01_설정'!B6,T1506&lt;='01_설정'!B7,U1506&lt;='01_설정'!B8),"Y",""))</f>
        <v/>
      </c>
      <c r="W1506" s="172">
        <f>IF(V1506&lt;&gt;"Y","",MAX(0,(1-R1506/'01_설정'!B5))*'01_설정'!B14+MAX(0,(1-S1506/'01_설정'!B6))*'01_설정'!B15+MAX(0,(1-T1506/'01_설정'!B7))*'01_설정'!B16+MAX(0,(1-U1506/'01_설정'!B8))*'01_설정'!B17+O1506*'01_설정'!B11+Q1506*'01_설정'!B12+P1506*'01_설정'!B13+IF(Z1506="",0,Z1506))</f>
        <v/>
      </c>
      <c r="X1506" s="152">
        <f>IF(W1506="","",1+COUNTIFS($W$4:$W$3003,"&gt;"&amp;W1506)+COUNTIFS($W$4:W1506,W1506)-1)</f>
        <v/>
      </c>
      <c r="Y1506" s="175">
        <f>IF(OR(I1506="",'02_대상물건입력'!B19="",'02_대상물건입력'!B19&lt;=0),"",ABS(I1506-'02_대상물건입력'!B19)/'02_대상물건입력'!B19)</f>
        <v/>
      </c>
      <c r="Z1506" s="172">
        <f>IF(OR(Y1506="",'01_설정'!B31="",'01_설정'!B31&lt;=0,'01_설정'!B32="",'01_설정'!B32&lt;=0),"",MAX(0,(1-Y1506/'01_설정'!B32))*'01_설정'!B31)</f>
        <v/>
      </c>
    </row>
    <row r="1507" ht="17.25" customHeight="1">
      <c r="A1507" s="152">
        <f>IF(INDEX('04A_국토부원자료'!$A:$A,ROW()+1)="","",ROW()-3)</f>
        <v/>
      </c>
      <c r="B1507" s="48">
        <f>IFERROR(INDEX('04A_국토부원자료'!$A:$T,ROW()+1,MATCH("시군구",'04A_국토부원자료'!$A$4:$T$4,0)),"")</f>
        <v/>
      </c>
      <c r="C1507" s="48">
        <f>IF(B1507="","",IFERROR(INDEX('04A_국토부원자료'!$A:$T,ROW()+1,MATCH("번지",'04A_국토부원자료'!$A$4:$T$4,0)),""))</f>
        <v/>
      </c>
      <c r="D1507" s="48">
        <f>IF(B1507="","",IF(Q1507=1,'02_대상물건입력'!$B$8,IFERROR(INDEX('04A_국토부원자료'!$A:$T,ROW()+1,MATCH("단지명",'04A_국토부원자료'!$A$4:$T$4,0)),"")))</f>
        <v/>
      </c>
      <c r="E1507" s="172">
        <f>IFERROR(VALUE(SUBSTITUTE(INDEX('04A_국토부원자료'!$A:$T,ROW()+1,MATCH("전용면적(㎡)",'04A_국토부원자료'!$A$4:$T$4,0)),",","")),"")</f>
        <v/>
      </c>
      <c r="F15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07" s="51">
        <f>IFERROR(VALUE(SUBSTITUTE(INDEX('04A_국토부원자료'!$A:$T,ROW()+1,MATCH("거래금액(만원)",'04A_국토부원자료'!$A$4:$T$4,0)),",","")),"")</f>
        <v/>
      </c>
      <c r="H1507" s="174">
        <f>IF(G1507="","",G1507*10000)</f>
        <v/>
      </c>
      <c r="I1507" s="174">
        <f>IFERROR(IF(AND(H1507&gt;0,E1507&gt;0),H1507/E1507,""),"")</f>
        <v/>
      </c>
      <c r="J1507" s="152">
        <f>IFERROR(VALUE(SUBSTITUTE(INDEX('04A_국토부원자료'!$A:$T,ROW()+1,MATCH("층",'04A_국토부원자료'!$A$4:$T$4,0)),",","")),"")</f>
        <v/>
      </c>
      <c r="K1507" s="152">
        <f>IFERROR(VALUE(SUBSTITUTE(INDEX('04A_국토부원자료'!$A:$T,ROW()+1,MATCH("건축년도",'04A_국토부원자료'!$A$4:$T$4,0)),",","")),"")</f>
        <v/>
      </c>
      <c r="L1507" s="176">
        <f>IFERROR(INDEX('04A_국토부원자료'!$A:$T,ROW()+1,MATCH("도로명",'04A_국토부원자료'!$A$4:$T$4,0)),"")</f>
        <v/>
      </c>
      <c r="M1507" s="48">
        <f>IFERROR(INDEX('04A_국토부원자료'!$A:$T,ROW()+1,MATCH("거래유형",'04A_국토부원자료'!$A$4:$T$4,0)),"")</f>
        <v/>
      </c>
      <c r="N1507" s="152">
        <f>IF(B1507="","",IF('02_대상물건입력'!B5="",1,IF(ISNUMBER(SEARCH('02_대상물건입력'!B5,B1507)),1,0)))</f>
        <v/>
      </c>
      <c r="O1507" s="152">
        <f>IF(B1507="","",IF('02_대상물건입력'!B6="",1,IF(ISNUMBER(SEARCH('02_대상물건입력'!B6,B1507)),1,0)))</f>
        <v/>
      </c>
      <c r="P1507" s="152">
        <f>IF(L1507="","",IF('02_대상물건입력'!B15="",0,IF(ISNUMBER(SEARCH('02_대상물건입력'!B15,L1507)),1,0)))</f>
        <v/>
      </c>
      <c r="Q1507" s="152">
        <f>IF(OR(C1507="",L1507=""),0,IF(AND(TRIM(C1507)=TRIM(RIGHT(SUBSTITUTE(TRIM('02_대상물건입력'!$B$7)," ",REPT(" ",99)),99)),IF('02_대상물건입력'!B15="",TRUE(),ISNUMBER(SEARCH('02_대상물건입력'!B15,L1507)))),1,0))</f>
        <v/>
      </c>
      <c r="R1507" s="175">
        <f>IFERROR(ABS(E1507-'02_대상물건입력'!B11)/'02_대상물건입력'!B11,"")</f>
        <v/>
      </c>
      <c r="S1507" s="152">
        <f>IFERROR(ABS(J1507-'02_대상물건입력'!B10),"")</f>
        <v/>
      </c>
      <c r="T1507" s="152">
        <f>IFERROR(ABS('01_설정'!B4-F1507),"")</f>
        <v/>
      </c>
      <c r="U1507" s="152">
        <f>IFERROR(ABS(K1507-YEAR('02_대상물건입력'!B14)),"")</f>
        <v/>
      </c>
      <c r="V1507" s="152">
        <f>IF(B1507="","",IF(AND(E1507&gt;0,F1507&gt;0,H1507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1507=1,TRUE()),R1507&lt;='01_설정'!B5,S1507&lt;='01_설정'!B6,T1507&lt;='01_설정'!B7,U1507&lt;='01_설정'!B8),"Y",""))</f>
        <v/>
      </c>
      <c r="W1507" s="172">
        <f>IF(V1507&lt;&gt;"Y","",MAX(0,(1-R1507/'01_설정'!B5))*'01_설정'!B14+MAX(0,(1-S1507/'01_설정'!B6))*'01_설정'!B15+MAX(0,(1-T1507/'01_설정'!B7))*'01_설정'!B16+MAX(0,(1-U1507/'01_설정'!B8))*'01_설정'!B17+O1507*'01_설정'!B11+Q1507*'01_설정'!B12+P1507*'01_설정'!B13+IF(Z1507="",0,Z1507))</f>
        <v/>
      </c>
      <c r="X1507" s="152">
        <f>IF(W1507="","",1+COUNTIFS($W$4:$W$3003,"&gt;"&amp;W1507)+COUNTIFS($W$4:W1507,W1507)-1)</f>
        <v/>
      </c>
      <c r="Y1507" s="175">
        <f>IF(OR(I1507="",'02_대상물건입력'!B19="",'02_대상물건입력'!B19&lt;=0),"",ABS(I1507-'02_대상물건입력'!B19)/'02_대상물건입력'!B19)</f>
        <v/>
      </c>
      <c r="Z1507" s="172">
        <f>IF(OR(Y1507="",'01_설정'!B31="",'01_설정'!B31&lt;=0,'01_설정'!B32="",'01_설정'!B32&lt;=0),"",MAX(0,(1-Y1507/'01_설정'!B32))*'01_설정'!B31)</f>
        <v/>
      </c>
    </row>
    <row r="1508" ht="17.25" customHeight="1">
      <c r="A1508" s="152">
        <f>IF(INDEX('04A_국토부원자료'!$A:$A,ROW()+1)="","",ROW()-3)</f>
        <v/>
      </c>
      <c r="B1508" s="48">
        <f>IFERROR(INDEX('04A_국토부원자료'!$A:$T,ROW()+1,MATCH("시군구",'04A_국토부원자료'!$A$4:$T$4,0)),"")</f>
        <v/>
      </c>
      <c r="C1508" s="48">
        <f>IF(B1508="","",IFERROR(INDEX('04A_국토부원자료'!$A:$T,ROW()+1,MATCH("번지",'04A_국토부원자료'!$A$4:$T$4,0)),""))</f>
        <v/>
      </c>
      <c r="D1508" s="48">
        <f>IF(B1508="","",IF(Q1508=1,'02_대상물건입력'!$B$8,IFERROR(INDEX('04A_국토부원자료'!$A:$T,ROW()+1,MATCH("단지명",'04A_국토부원자료'!$A$4:$T$4,0)),"")))</f>
        <v/>
      </c>
      <c r="E1508" s="172">
        <f>IFERROR(VALUE(SUBSTITUTE(INDEX('04A_국토부원자료'!$A:$T,ROW()+1,MATCH("전용면적(㎡)",'04A_국토부원자료'!$A$4:$T$4,0)),",","")),"")</f>
        <v/>
      </c>
      <c r="F15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08" s="51">
        <f>IFERROR(VALUE(SUBSTITUTE(INDEX('04A_국토부원자료'!$A:$T,ROW()+1,MATCH("거래금액(만원)",'04A_국토부원자료'!$A$4:$T$4,0)),",","")),"")</f>
        <v/>
      </c>
      <c r="H1508" s="174">
        <f>IF(G1508="","",G1508*10000)</f>
        <v/>
      </c>
      <c r="I1508" s="174">
        <f>IFERROR(IF(AND(H1508&gt;0,E1508&gt;0),H1508/E1508,""),"")</f>
        <v/>
      </c>
      <c r="J1508" s="152">
        <f>IFERROR(VALUE(SUBSTITUTE(INDEX('04A_국토부원자료'!$A:$T,ROW()+1,MATCH("층",'04A_국토부원자료'!$A$4:$T$4,0)),",","")),"")</f>
        <v/>
      </c>
      <c r="K1508" s="152">
        <f>IFERROR(VALUE(SUBSTITUTE(INDEX('04A_국토부원자료'!$A:$T,ROW()+1,MATCH("건축년도",'04A_국토부원자료'!$A$4:$T$4,0)),",","")),"")</f>
        <v/>
      </c>
      <c r="L1508" s="176">
        <f>IFERROR(INDEX('04A_국토부원자료'!$A:$T,ROW()+1,MATCH("도로명",'04A_국토부원자료'!$A$4:$T$4,0)),"")</f>
        <v/>
      </c>
      <c r="M1508" s="48">
        <f>IFERROR(INDEX('04A_국토부원자료'!$A:$T,ROW()+1,MATCH("거래유형",'04A_국토부원자료'!$A$4:$T$4,0)),"")</f>
        <v/>
      </c>
      <c r="N1508" s="152">
        <f>IF(B1508="","",IF('02_대상물건입력'!B5="",1,IF(ISNUMBER(SEARCH('02_대상물건입력'!B5,B1508)),1,0)))</f>
        <v/>
      </c>
      <c r="O1508" s="152">
        <f>IF(B1508="","",IF('02_대상물건입력'!B6="",1,IF(ISNUMBER(SEARCH('02_대상물건입력'!B6,B1508)),1,0)))</f>
        <v/>
      </c>
      <c r="P1508" s="152">
        <f>IF(L1508="","",IF('02_대상물건입력'!B15="",0,IF(ISNUMBER(SEARCH('02_대상물건입력'!B15,L1508)),1,0)))</f>
        <v/>
      </c>
      <c r="Q1508" s="152">
        <f>IF(OR(C1508="",L1508=""),0,IF(AND(TRIM(C1508)=TRIM(RIGHT(SUBSTITUTE(TRIM('02_대상물건입력'!$B$7)," ",REPT(" ",99)),99)),IF('02_대상물건입력'!B15="",TRUE(),ISNUMBER(SEARCH('02_대상물건입력'!B15,L1508)))),1,0))</f>
        <v/>
      </c>
      <c r="R1508" s="175">
        <f>IFERROR(ABS(E1508-'02_대상물건입력'!B11)/'02_대상물건입력'!B11,"")</f>
        <v/>
      </c>
      <c r="S1508" s="152">
        <f>IFERROR(ABS(J1508-'02_대상물건입력'!B10),"")</f>
        <v/>
      </c>
      <c r="T1508" s="152">
        <f>IFERROR(ABS('01_설정'!B4-F1508),"")</f>
        <v/>
      </c>
      <c r="U1508" s="152">
        <f>IFERROR(ABS(K1508-YEAR('02_대상물건입력'!B14)),"")</f>
        <v/>
      </c>
      <c r="V1508" s="152">
        <f>IF(B1508="","",IF(AND(E1508&gt;0,F1508&gt;0,H1508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1508=1,TRUE()),R1508&lt;='01_설정'!B5,S1508&lt;='01_설정'!B6,T1508&lt;='01_설정'!B7,U1508&lt;='01_설정'!B8),"Y",""))</f>
        <v/>
      </c>
      <c r="W1508" s="172">
        <f>IF(V1508&lt;&gt;"Y","",MAX(0,(1-R1508/'01_설정'!B5))*'01_설정'!B14+MAX(0,(1-S1508/'01_설정'!B6))*'01_설정'!B15+MAX(0,(1-T1508/'01_설정'!B7))*'01_설정'!B16+MAX(0,(1-U1508/'01_설정'!B8))*'01_설정'!B17+O1508*'01_설정'!B11+Q1508*'01_설정'!B12+P1508*'01_설정'!B13+IF(Z1508="",0,Z1508))</f>
        <v/>
      </c>
      <c r="X1508" s="152">
        <f>IF(W1508="","",1+COUNTIFS($W$4:$W$3003,"&gt;"&amp;W1508)+COUNTIFS($W$4:W1508,W1508)-1)</f>
        <v/>
      </c>
      <c r="Y1508" s="175">
        <f>IF(OR(I1508="",'02_대상물건입력'!B19="",'02_대상물건입력'!B19&lt;=0),"",ABS(I1508-'02_대상물건입력'!B19)/'02_대상물건입력'!B19)</f>
        <v/>
      </c>
      <c r="Z1508" s="172">
        <f>IF(OR(Y1508="",'01_설정'!B31="",'01_설정'!B31&lt;=0,'01_설정'!B32="",'01_설정'!B32&lt;=0),"",MAX(0,(1-Y1508/'01_설정'!B32))*'01_설정'!B31)</f>
        <v/>
      </c>
    </row>
    <row r="1509" ht="17.25" customHeight="1">
      <c r="A1509" s="152">
        <f>IF(INDEX('04A_국토부원자료'!$A:$A,ROW()+1)="","",ROW()-3)</f>
        <v/>
      </c>
      <c r="B1509" s="48">
        <f>IFERROR(INDEX('04A_국토부원자료'!$A:$T,ROW()+1,MATCH("시군구",'04A_국토부원자료'!$A$4:$T$4,0)),"")</f>
        <v/>
      </c>
      <c r="C1509" s="48">
        <f>IF(B1509="","",IFERROR(INDEX('04A_국토부원자료'!$A:$T,ROW()+1,MATCH("번지",'04A_국토부원자료'!$A$4:$T$4,0)),""))</f>
        <v/>
      </c>
      <c r="D1509" s="48">
        <f>IF(B1509="","",IF(Q1509=1,'02_대상물건입력'!$B$8,IFERROR(INDEX('04A_국토부원자료'!$A:$T,ROW()+1,MATCH("단지명",'04A_국토부원자료'!$A$4:$T$4,0)),"")))</f>
        <v/>
      </c>
      <c r="E1509" s="172">
        <f>IFERROR(VALUE(SUBSTITUTE(INDEX('04A_국토부원자료'!$A:$T,ROW()+1,MATCH("전용면적(㎡)",'04A_국토부원자료'!$A$4:$T$4,0)),",","")),"")</f>
        <v/>
      </c>
      <c r="F15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09" s="51">
        <f>IFERROR(VALUE(SUBSTITUTE(INDEX('04A_국토부원자료'!$A:$T,ROW()+1,MATCH("거래금액(만원)",'04A_국토부원자료'!$A$4:$T$4,0)),",","")),"")</f>
        <v/>
      </c>
      <c r="H1509" s="174">
        <f>IF(G1509="","",G1509*10000)</f>
        <v/>
      </c>
      <c r="I1509" s="174">
        <f>IFERROR(IF(AND(H1509&gt;0,E1509&gt;0),H1509/E1509,""),"")</f>
        <v/>
      </c>
      <c r="J1509" s="152">
        <f>IFERROR(VALUE(SUBSTITUTE(INDEX('04A_국토부원자료'!$A:$T,ROW()+1,MATCH("층",'04A_국토부원자료'!$A$4:$T$4,0)),",","")),"")</f>
        <v/>
      </c>
      <c r="K1509" s="152">
        <f>IFERROR(VALUE(SUBSTITUTE(INDEX('04A_국토부원자료'!$A:$T,ROW()+1,MATCH("건축년도",'04A_국토부원자료'!$A$4:$T$4,0)),",","")),"")</f>
        <v/>
      </c>
      <c r="L1509" s="176">
        <f>IFERROR(INDEX('04A_국토부원자료'!$A:$T,ROW()+1,MATCH("도로명",'04A_국토부원자료'!$A$4:$T$4,0)),"")</f>
        <v/>
      </c>
      <c r="M1509" s="48">
        <f>IFERROR(INDEX('04A_국토부원자료'!$A:$T,ROW()+1,MATCH("거래유형",'04A_국토부원자료'!$A$4:$T$4,0)),"")</f>
        <v/>
      </c>
      <c r="N1509" s="152">
        <f>IF(B1509="","",IF('02_대상물건입력'!B5="",1,IF(ISNUMBER(SEARCH('02_대상물건입력'!B5,B1509)),1,0)))</f>
        <v/>
      </c>
      <c r="O1509" s="152">
        <f>IF(B1509="","",IF('02_대상물건입력'!B6="",1,IF(ISNUMBER(SEARCH('02_대상물건입력'!B6,B1509)),1,0)))</f>
        <v/>
      </c>
      <c r="P1509" s="152">
        <f>IF(L1509="","",IF('02_대상물건입력'!B15="",0,IF(ISNUMBER(SEARCH('02_대상물건입력'!B15,L1509)),1,0)))</f>
        <v/>
      </c>
      <c r="Q1509" s="152">
        <f>IF(OR(C1509="",L1509=""),0,IF(AND(TRIM(C1509)=TRIM(RIGHT(SUBSTITUTE(TRIM('02_대상물건입력'!$B$7)," ",REPT(" ",99)),99)),IF('02_대상물건입력'!B15="",TRUE(),ISNUMBER(SEARCH('02_대상물건입력'!B15,L1509)))),1,0))</f>
        <v/>
      </c>
      <c r="R1509" s="175">
        <f>IFERROR(ABS(E1509-'02_대상물건입력'!B11)/'02_대상물건입력'!B11,"")</f>
        <v/>
      </c>
      <c r="S1509" s="152">
        <f>IFERROR(ABS(J1509-'02_대상물건입력'!B10),"")</f>
        <v/>
      </c>
      <c r="T1509" s="152">
        <f>IFERROR(ABS('01_설정'!B4-F1509),"")</f>
        <v/>
      </c>
      <c r="U1509" s="152">
        <f>IFERROR(ABS(K1509-YEAR('02_대상물건입력'!B14)),"")</f>
        <v/>
      </c>
      <c r="V1509" s="152">
        <f>IF(B1509="","",IF(AND(E1509&gt;0,F1509&gt;0,H1509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1509=1,TRUE()),R1509&lt;='01_설정'!B5,S1509&lt;='01_설정'!B6,T1509&lt;='01_설정'!B7,U1509&lt;='01_설정'!B8),"Y",""))</f>
        <v/>
      </c>
      <c r="W1509" s="172">
        <f>IF(V1509&lt;&gt;"Y","",MAX(0,(1-R1509/'01_설정'!B5))*'01_설정'!B14+MAX(0,(1-S1509/'01_설정'!B6))*'01_설정'!B15+MAX(0,(1-T1509/'01_설정'!B7))*'01_설정'!B16+MAX(0,(1-U1509/'01_설정'!B8))*'01_설정'!B17+O1509*'01_설정'!B11+Q1509*'01_설정'!B12+P1509*'01_설정'!B13+IF(Z1509="",0,Z1509))</f>
        <v/>
      </c>
      <c r="X1509" s="152">
        <f>IF(W1509="","",1+COUNTIFS($W$4:$W$3003,"&gt;"&amp;W1509)+COUNTIFS($W$4:W1509,W1509)-1)</f>
        <v/>
      </c>
      <c r="Y1509" s="175">
        <f>IF(OR(I1509="",'02_대상물건입력'!B19="",'02_대상물건입력'!B19&lt;=0),"",ABS(I1509-'02_대상물건입력'!B19)/'02_대상물건입력'!B19)</f>
        <v/>
      </c>
      <c r="Z1509" s="172">
        <f>IF(OR(Y1509="",'01_설정'!B31="",'01_설정'!B31&lt;=0,'01_설정'!B32="",'01_설정'!B32&lt;=0),"",MAX(0,(1-Y1509/'01_설정'!B32))*'01_설정'!B31)</f>
        <v/>
      </c>
    </row>
    <row r="1510" ht="17.25" customHeight="1">
      <c r="A1510" s="152">
        <f>IF(INDEX('04A_국토부원자료'!$A:$A,ROW()+1)="","",ROW()-3)</f>
        <v/>
      </c>
      <c r="B1510" s="48">
        <f>IFERROR(INDEX('04A_국토부원자료'!$A:$T,ROW()+1,MATCH("시군구",'04A_국토부원자료'!$A$4:$T$4,0)),"")</f>
        <v/>
      </c>
      <c r="C1510" s="48">
        <f>IF(B1510="","",IFERROR(INDEX('04A_국토부원자료'!$A:$T,ROW()+1,MATCH("번지",'04A_국토부원자료'!$A$4:$T$4,0)),""))</f>
        <v/>
      </c>
      <c r="D1510" s="48">
        <f>IF(B1510="","",IF(Q1510=1,'02_대상물건입력'!$B$8,IFERROR(INDEX('04A_국토부원자료'!$A:$T,ROW()+1,MATCH("단지명",'04A_국토부원자료'!$A$4:$T$4,0)),"")))</f>
        <v/>
      </c>
      <c r="E1510" s="172">
        <f>IFERROR(VALUE(SUBSTITUTE(INDEX('04A_국토부원자료'!$A:$T,ROW()+1,MATCH("전용면적(㎡)",'04A_국토부원자료'!$A$4:$T$4,0)),",","")),"")</f>
        <v/>
      </c>
      <c r="F15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10" s="51">
        <f>IFERROR(VALUE(SUBSTITUTE(INDEX('04A_국토부원자료'!$A:$T,ROW()+1,MATCH("거래금액(만원)",'04A_국토부원자료'!$A$4:$T$4,0)),",","")),"")</f>
        <v/>
      </c>
      <c r="H1510" s="174">
        <f>IF(G1510="","",G1510*10000)</f>
        <v/>
      </c>
      <c r="I1510" s="174">
        <f>IFERROR(IF(AND(H1510&gt;0,E1510&gt;0),H1510/E1510,""),"")</f>
        <v/>
      </c>
      <c r="J1510" s="152">
        <f>IFERROR(VALUE(SUBSTITUTE(INDEX('04A_국토부원자료'!$A:$T,ROW()+1,MATCH("층",'04A_국토부원자료'!$A$4:$T$4,0)),",","")),"")</f>
        <v/>
      </c>
      <c r="K1510" s="152">
        <f>IFERROR(VALUE(SUBSTITUTE(INDEX('04A_국토부원자료'!$A:$T,ROW()+1,MATCH("건축년도",'04A_국토부원자료'!$A$4:$T$4,0)),",","")),"")</f>
        <v/>
      </c>
      <c r="L1510" s="176">
        <f>IFERROR(INDEX('04A_국토부원자료'!$A:$T,ROW()+1,MATCH("도로명",'04A_국토부원자료'!$A$4:$T$4,0)),"")</f>
        <v/>
      </c>
      <c r="M1510" s="48">
        <f>IFERROR(INDEX('04A_국토부원자료'!$A:$T,ROW()+1,MATCH("거래유형",'04A_국토부원자료'!$A$4:$T$4,0)),"")</f>
        <v/>
      </c>
      <c r="N1510" s="152">
        <f>IF(B1510="","",IF('02_대상물건입력'!B5="",1,IF(ISNUMBER(SEARCH('02_대상물건입력'!B5,B1510)),1,0)))</f>
        <v/>
      </c>
      <c r="O1510" s="152">
        <f>IF(B1510="","",IF('02_대상물건입력'!B6="",1,IF(ISNUMBER(SEARCH('02_대상물건입력'!B6,B1510)),1,0)))</f>
        <v/>
      </c>
      <c r="P1510" s="152">
        <f>IF(L1510="","",IF('02_대상물건입력'!B15="",0,IF(ISNUMBER(SEARCH('02_대상물건입력'!B15,L1510)),1,0)))</f>
        <v/>
      </c>
      <c r="Q1510" s="152">
        <f>IF(OR(C1510="",L1510=""),0,IF(AND(TRIM(C1510)=TRIM(RIGHT(SUBSTITUTE(TRIM('02_대상물건입력'!$B$7)," ",REPT(" ",99)),99)),IF('02_대상물건입력'!B15="",TRUE(),ISNUMBER(SEARCH('02_대상물건입력'!B15,L1510)))),1,0))</f>
        <v/>
      </c>
      <c r="R1510" s="175">
        <f>IFERROR(ABS(E1510-'02_대상물건입력'!B11)/'02_대상물건입력'!B11,"")</f>
        <v/>
      </c>
      <c r="S1510" s="152">
        <f>IFERROR(ABS(J1510-'02_대상물건입력'!B10),"")</f>
        <v/>
      </c>
      <c r="T1510" s="152">
        <f>IFERROR(ABS('01_설정'!B4-F1510),"")</f>
        <v/>
      </c>
      <c r="U1510" s="152">
        <f>IFERROR(ABS(K1510-YEAR('02_대상물건입력'!B14)),"")</f>
        <v/>
      </c>
      <c r="V1510" s="152">
        <f>IF(B1510="","",IF(AND(E1510&gt;0,F1510&gt;0,H1510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1510=1,TRUE()),R1510&lt;='01_설정'!B5,S1510&lt;='01_설정'!B6,T1510&lt;='01_설정'!B7,U1510&lt;='01_설정'!B8),"Y",""))</f>
        <v/>
      </c>
      <c r="W1510" s="172">
        <f>IF(V1510&lt;&gt;"Y","",MAX(0,(1-R1510/'01_설정'!B5))*'01_설정'!B14+MAX(0,(1-S1510/'01_설정'!B6))*'01_설정'!B15+MAX(0,(1-T1510/'01_설정'!B7))*'01_설정'!B16+MAX(0,(1-U1510/'01_설정'!B8))*'01_설정'!B17+O1510*'01_설정'!B11+Q1510*'01_설정'!B12+P1510*'01_설정'!B13+IF(Z1510="",0,Z1510))</f>
        <v/>
      </c>
      <c r="X1510" s="152">
        <f>IF(W1510="","",1+COUNTIFS($W$4:$W$3003,"&gt;"&amp;W1510)+COUNTIFS($W$4:W1510,W1510)-1)</f>
        <v/>
      </c>
      <c r="Y1510" s="175">
        <f>IF(OR(I1510="",'02_대상물건입력'!B19="",'02_대상물건입력'!B19&lt;=0),"",ABS(I1510-'02_대상물건입력'!B19)/'02_대상물건입력'!B19)</f>
        <v/>
      </c>
      <c r="Z1510" s="172">
        <f>IF(OR(Y1510="",'01_설정'!B31="",'01_설정'!B31&lt;=0,'01_설정'!B32="",'01_설정'!B32&lt;=0),"",MAX(0,(1-Y1510/'01_설정'!B32))*'01_설정'!B31)</f>
        <v/>
      </c>
    </row>
    <row r="1511" ht="17.25" customHeight="1">
      <c r="A1511" s="152">
        <f>IF(INDEX('04A_국토부원자료'!$A:$A,ROW()+1)="","",ROW()-3)</f>
        <v/>
      </c>
      <c r="B1511" s="48">
        <f>IFERROR(INDEX('04A_국토부원자료'!$A:$T,ROW()+1,MATCH("시군구",'04A_국토부원자료'!$A$4:$T$4,0)),"")</f>
        <v/>
      </c>
      <c r="C1511" s="48">
        <f>IF(B1511="","",IFERROR(INDEX('04A_국토부원자료'!$A:$T,ROW()+1,MATCH("번지",'04A_국토부원자료'!$A$4:$T$4,0)),""))</f>
        <v/>
      </c>
      <c r="D1511" s="48">
        <f>IF(B1511="","",IF(Q1511=1,'02_대상물건입력'!$B$8,IFERROR(INDEX('04A_국토부원자료'!$A:$T,ROW()+1,MATCH("단지명",'04A_국토부원자료'!$A$4:$T$4,0)),"")))</f>
        <v/>
      </c>
      <c r="E1511" s="172">
        <f>IFERROR(VALUE(SUBSTITUTE(INDEX('04A_국토부원자료'!$A:$T,ROW()+1,MATCH("전용면적(㎡)",'04A_국토부원자료'!$A$4:$T$4,0)),",","")),"")</f>
        <v/>
      </c>
      <c r="F15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11" s="51">
        <f>IFERROR(VALUE(SUBSTITUTE(INDEX('04A_국토부원자료'!$A:$T,ROW()+1,MATCH("거래금액(만원)",'04A_국토부원자료'!$A$4:$T$4,0)),",","")),"")</f>
        <v/>
      </c>
      <c r="H1511" s="174">
        <f>IF(G1511="","",G1511*10000)</f>
        <v/>
      </c>
      <c r="I1511" s="174">
        <f>IFERROR(IF(AND(H1511&gt;0,E1511&gt;0),H1511/E1511,""),"")</f>
        <v/>
      </c>
      <c r="J1511" s="152">
        <f>IFERROR(VALUE(SUBSTITUTE(INDEX('04A_국토부원자료'!$A:$T,ROW()+1,MATCH("층",'04A_국토부원자료'!$A$4:$T$4,0)),",","")),"")</f>
        <v/>
      </c>
      <c r="K1511" s="152">
        <f>IFERROR(VALUE(SUBSTITUTE(INDEX('04A_국토부원자료'!$A:$T,ROW()+1,MATCH("건축년도",'04A_국토부원자료'!$A$4:$T$4,0)),",","")),"")</f>
        <v/>
      </c>
      <c r="L1511" s="176">
        <f>IFERROR(INDEX('04A_국토부원자료'!$A:$T,ROW()+1,MATCH("도로명",'04A_국토부원자료'!$A$4:$T$4,0)),"")</f>
        <v/>
      </c>
      <c r="M1511" s="48">
        <f>IFERROR(INDEX('04A_국토부원자료'!$A:$T,ROW()+1,MATCH("거래유형",'04A_국토부원자료'!$A$4:$T$4,0)),"")</f>
        <v/>
      </c>
      <c r="N1511" s="152">
        <f>IF(B1511="","",IF('02_대상물건입력'!B5="",1,IF(ISNUMBER(SEARCH('02_대상물건입력'!B5,B1511)),1,0)))</f>
        <v/>
      </c>
      <c r="O1511" s="152">
        <f>IF(B1511="","",IF('02_대상물건입력'!B6="",1,IF(ISNUMBER(SEARCH('02_대상물건입력'!B6,B1511)),1,0)))</f>
        <v/>
      </c>
      <c r="P1511" s="152">
        <f>IF(L1511="","",IF('02_대상물건입력'!B15="",0,IF(ISNUMBER(SEARCH('02_대상물건입력'!B15,L1511)),1,0)))</f>
        <v/>
      </c>
      <c r="Q1511" s="152">
        <f>IF(OR(C1511="",L1511=""),0,IF(AND(TRIM(C1511)=TRIM(RIGHT(SUBSTITUTE(TRIM('02_대상물건입력'!$B$7)," ",REPT(" ",99)),99)),IF('02_대상물건입력'!B15="",TRUE(),ISNUMBER(SEARCH('02_대상물건입력'!B15,L1511)))),1,0))</f>
        <v/>
      </c>
      <c r="R1511" s="175">
        <f>IFERROR(ABS(E1511-'02_대상물건입력'!B11)/'02_대상물건입력'!B11,"")</f>
        <v/>
      </c>
      <c r="S1511" s="152">
        <f>IFERROR(ABS(J1511-'02_대상물건입력'!B10),"")</f>
        <v/>
      </c>
      <c r="T1511" s="152">
        <f>IFERROR(ABS('01_설정'!B4-F1511),"")</f>
        <v/>
      </c>
      <c r="U1511" s="152">
        <f>IFERROR(ABS(K1511-YEAR('02_대상물건입력'!B14)),"")</f>
        <v/>
      </c>
      <c r="V1511" s="152">
        <f>IF(B1511="","",IF(AND(E1511&gt;0,F1511&gt;0,H1511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1511=1,TRUE()),R1511&lt;='01_설정'!B5,S1511&lt;='01_설정'!B6,T1511&lt;='01_설정'!B7,U1511&lt;='01_설정'!B8),"Y",""))</f>
        <v/>
      </c>
      <c r="W1511" s="172">
        <f>IF(V1511&lt;&gt;"Y","",MAX(0,(1-R1511/'01_설정'!B5))*'01_설정'!B14+MAX(0,(1-S1511/'01_설정'!B6))*'01_설정'!B15+MAX(0,(1-T1511/'01_설정'!B7))*'01_설정'!B16+MAX(0,(1-U1511/'01_설정'!B8))*'01_설정'!B17+O1511*'01_설정'!B11+Q1511*'01_설정'!B12+P1511*'01_설정'!B13+IF(Z1511="",0,Z1511))</f>
        <v/>
      </c>
      <c r="X1511" s="152">
        <f>IF(W1511="","",1+COUNTIFS($W$4:$W$3003,"&gt;"&amp;W1511)+COUNTIFS($W$4:W1511,W1511)-1)</f>
        <v/>
      </c>
      <c r="Y1511" s="175">
        <f>IF(OR(I1511="",'02_대상물건입력'!B19="",'02_대상물건입력'!B19&lt;=0),"",ABS(I1511-'02_대상물건입력'!B19)/'02_대상물건입력'!B19)</f>
        <v/>
      </c>
      <c r="Z1511" s="172">
        <f>IF(OR(Y1511="",'01_설정'!B31="",'01_설정'!B31&lt;=0,'01_설정'!B32="",'01_설정'!B32&lt;=0),"",MAX(0,(1-Y1511/'01_설정'!B32))*'01_설정'!B31)</f>
        <v/>
      </c>
    </row>
    <row r="1512" ht="17.25" customHeight="1">
      <c r="A1512" s="152">
        <f>IF(INDEX('04A_국토부원자료'!$A:$A,ROW()+1)="","",ROW()-3)</f>
        <v/>
      </c>
      <c r="B1512" s="48">
        <f>IFERROR(INDEX('04A_국토부원자료'!$A:$T,ROW()+1,MATCH("시군구",'04A_국토부원자료'!$A$4:$T$4,0)),"")</f>
        <v/>
      </c>
      <c r="C1512" s="48">
        <f>IF(B1512="","",IFERROR(INDEX('04A_국토부원자료'!$A:$T,ROW()+1,MATCH("번지",'04A_국토부원자료'!$A$4:$T$4,0)),""))</f>
        <v/>
      </c>
      <c r="D1512" s="48">
        <f>IF(B1512="","",IF(Q1512=1,'02_대상물건입력'!$B$8,IFERROR(INDEX('04A_국토부원자료'!$A:$T,ROW()+1,MATCH("단지명",'04A_국토부원자료'!$A$4:$T$4,0)),"")))</f>
        <v/>
      </c>
      <c r="E1512" s="172">
        <f>IFERROR(VALUE(SUBSTITUTE(INDEX('04A_국토부원자료'!$A:$T,ROW()+1,MATCH("전용면적(㎡)",'04A_국토부원자료'!$A$4:$T$4,0)),",","")),"")</f>
        <v/>
      </c>
      <c r="F15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12" s="51">
        <f>IFERROR(VALUE(SUBSTITUTE(INDEX('04A_국토부원자료'!$A:$T,ROW()+1,MATCH("거래금액(만원)",'04A_국토부원자료'!$A$4:$T$4,0)),",","")),"")</f>
        <v/>
      </c>
      <c r="H1512" s="174">
        <f>IF(G1512="","",G1512*10000)</f>
        <v/>
      </c>
      <c r="I1512" s="174">
        <f>IFERROR(IF(AND(H1512&gt;0,E1512&gt;0),H1512/E1512,""),"")</f>
        <v/>
      </c>
      <c r="J1512" s="152">
        <f>IFERROR(VALUE(SUBSTITUTE(INDEX('04A_국토부원자료'!$A:$T,ROW()+1,MATCH("층",'04A_국토부원자료'!$A$4:$T$4,0)),",","")),"")</f>
        <v/>
      </c>
      <c r="K1512" s="152">
        <f>IFERROR(VALUE(SUBSTITUTE(INDEX('04A_국토부원자료'!$A:$T,ROW()+1,MATCH("건축년도",'04A_국토부원자료'!$A$4:$T$4,0)),",","")),"")</f>
        <v/>
      </c>
      <c r="L1512" s="176">
        <f>IFERROR(INDEX('04A_국토부원자료'!$A:$T,ROW()+1,MATCH("도로명",'04A_국토부원자료'!$A$4:$T$4,0)),"")</f>
        <v/>
      </c>
      <c r="M1512" s="48">
        <f>IFERROR(INDEX('04A_국토부원자료'!$A:$T,ROW()+1,MATCH("거래유형",'04A_국토부원자료'!$A$4:$T$4,0)),"")</f>
        <v/>
      </c>
      <c r="N1512" s="152">
        <f>IF(B1512="","",IF('02_대상물건입력'!B5="",1,IF(ISNUMBER(SEARCH('02_대상물건입력'!B5,B1512)),1,0)))</f>
        <v/>
      </c>
      <c r="O1512" s="152">
        <f>IF(B1512="","",IF('02_대상물건입력'!B6="",1,IF(ISNUMBER(SEARCH('02_대상물건입력'!B6,B1512)),1,0)))</f>
        <v/>
      </c>
      <c r="P1512" s="152">
        <f>IF(L1512="","",IF('02_대상물건입력'!B15="",0,IF(ISNUMBER(SEARCH('02_대상물건입력'!B15,L1512)),1,0)))</f>
        <v/>
      </c>
      <c r="Q1512" s="152">
        <f>IF(OR(C1512="",L1512=""),0,IF(AND(TRIM(C1512)=TRIM(RIGHT(SUBSTITUTE(TRIM('02_대상물건입력'!$B$7)," ",REPT(" ",99)),99)),IF('02_대상물건입력'!B15="",TRUE(),ISNUMBER(SEARCH('02_대상물건입력'!B15,L1512)))),1,0))</f>
        <v/>
      </c>
      <c r="R1512" s="175">
        <f>IFERROR(ABS(E1512-'02_대상물건입력'!B11)/'02_대상물건입력'!B11,"")</f>
        <v/>
      </c>
      <c r="S1512" s="152">
        <f>IFERROR(ABS(J1512-'02_대상물건입력'!B10),"")</f>
        <v/>
      </c>
      <c r="T1512" s="152">
        <f>IFERROR(ABS('01_설정'!B4-F1512),"")</f>
        <v/>
      </c>
      <c r="U1512" s="152">
        <f>IFERROR(ABS(K1512-YEAR('02_대상물건입력'!B14)),"")</f>
        <v/>
      </c>
      <c r="V1512" s="152">
        <f>IF(B1512="","",IF(AND(E1512&gt;0,F1512&gt;0,H1512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1512=1,TRUE()),R1512&lt;='01_설정'!B5,S1512&lt;='01_설정'!B6,T1512&lt;='01_설정'!B7,U1512&lt;='01_설정'!B8),"Y",""))</f>
        <v/>
      </c>
      <c r="W1512" s="172">
        <f>IF(V1512&lt;&gt;"Y","",MAX(0,(1-R1512/'01_설정'!B5))*'01_설정'!B14+MAX(0,(1-S1512/'01_설정'!B6))*'01_설정'!B15+MAX(0,(1-T1512/'01_설정'!B7))*'01_설정'!B16+MAX(0,(1-U1512/'01_설정'!B8))*'01_설정'!B17+O1512*'01_설정'!B11+Q1512*'01_설정'!B12+P1512*'01_설정'!B13+IF(Z1512="",0,Z1512))</f>
        <v/>
      </c>
      <c r="X1512" s="152">
        <f>IF(W1512="","",1+COUNTIFS($W$4:$W$3003,"&gt;"&amp;W1512)+COUNTIFS($W$4:W1512,W1512)-1)</f>
        <v/>
      </c>
      <c r="Y1512" s="175">
        <f>IF(OR(I1512="",'02_대상물건입력'!B19="",'02_대상물건입력'!B19&lt;=0),"",ABS(I1512-'02_대상물건입력'!B19)/'02_대상물건입력'!B19)</f>
        <v/>
      </c>
      <c r="Z1512" s="172">
        <f>IF(OR(Y1512="",'01_설정'!B31="",'01_설정'!B31&lt;=0,'01_설정'!B32="",'01_설정'!B32&lt;=0),"",MAX(0,(1-Y1512/'01_설정'!B32))*'01_설정'!B31)</f>
        <v/>
      </c>
    </row>
    <row r="1513" ht="17.25" customHeight="1">
      <c r="A1513" s="152">
        <f>IF(INDEX('04A_국토부원자료'!$A:$A,ROW()+1)="","",ROW()-3)</f>
        <v/>
      </c>
      <c r="B1513" s="48">
        <f>IFERROR(INDEX('04A_국토부원자료'!$A:$T,ROW()+1,MATCH("시군구",'04A_국토부원자료'!$A$4:$T$4,0)),"")</f>
        <v/>
      </c>
      <c r="C1513" s="48">
        <f>IF(B1513="","",IFERROR(INDEX('04A_국토부원자료'!$A:$T,ROW()+1,MATCH("번지",'04A_국토부원자료'!$A$4:$T$4,0)),""))</f>
        <v/>
      </c>
      <c r="D1513" s="48">
        <f>IF(B1513="","",IF(Q1513=1,'02_대상물건입력'!$B$8,IFERROR(INDEX('04A_국토부원자료'!$A:$T,ROW()+1,MATCH("단지명",'04A_국토부원자료'!$A$4:$T$4,0)),"")))</f>
        <v/>
      </c>
      <c r="E1513" s="172">
        <f>IFERROR(VALUE(SUBSTITUTE(INDEX('04A_국토부원자료'!$A:$T,ROW()+1,MATCH("전용면적(㎡)",'04A_국토부원자료'!$A$4:$T$4,0)),",","")),"")</f>
        <v/>
      </c>
      <c r="F15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13" s="51">
        <f>IFERROR(VALUE(SUBSTITUTE(INDEX('04A_국토부원자료'!$A:$T,ROW()+1,MATCH("거래금액(만원)",'04A_국토부원자료'!$A$4:$T$4,0)),",","")),"")</f>
        <v/>
      </c>
      <c r="H1513" s="174">
        <f>IF(G1513="","",G1513*10000)</f>
        <v/>
      </c>
      <c r="I1513" s="174">
        <f>IFERROR(IF(AND(H1513&gt;0,E1513&gt;0),H1513/E1513,""),"")</f>
        <v/>
      </c>
      <c r="J1513" s="152">
        <f>IFERROR(VALUE(SUBSTITUTE(INDEX('04A_국토부원자료'!$A:$T,ROW()+1,MATCH("층",'04A_국토부원자료'!$A$4:$T$4,0)),",","")),"")</f>
        <v/>
      </c>
      <c r="K1513" s="152">
        <f>IFERROR(VALUE(SUBSTITUTE(INDEX('04A_국토부원자료'!$A:$T,ROW()+1,MATCH("건축년도",'04A_국토부원자료'!$A$4:$T$4,0)),",","")),"")</f>
        <v/>
      </c>
      <c r="L1513" s="176">
        <f>IFERROR(INDEX('04A_국토부원자료'!$A:$T,ROW()+1,MATCH("도로명",'04A_국토부원자료'!$A$4:$T$4,0)),"")</f>
        <v/>
      </c>
      <c r="M1513" s="48">
        <f>IFERROR(INDEX('04A_국토부원자료'!$A:$T,ROW()+1,MATCH("거래유형",'04A_국토부원자료'!$A$4:$T$4,0)),"")</f>
        <v/>
      </c>
      <c r="N1513" s="152">
        <f>IF(B1513="","",IF('02_대상물건입력'!B5="",1,IF(ISNUMBER(SEARCH('02_대상물건입력'!B5,B1513)),1,0)))</f>
        <v/>
      </c>
      <c r="O1513" s="152">
        <f>IF(B1513="","",IF('02_대상물건입력'!B6="",1,IF(ISNUMBER(SEARCH('02_대상물건입력'!B6,B1513)),1,0)))</f>
        <v/>
      </c>
      <c r="P1513" s="152">
        <f>IF(L1513="","",IF('02_대상물건입력'!B15="",0,IF(ISNUMBER(SEARCH('02_대상물건입력'!B15,L1513)),1,0)))</f>
        <v/>
      </c>
      <c r="Q1513" s="152">
        <f>IF(OR(C1513="",L1513=""),0,IF(AND(TRIM(C1513)=TRIM(RIGHT(SUBSTITUTE(TRIM('02_대상물건입력'!$B$7)," ",REPT(" ",99)),99)),IF('02_대상물건입력'!B15="",TRUE(),ISNUMBER(SEARCH('02_대상물건입력'!B15,L1513)))),1,0))</f>
        <v/>
      </c>
      <c r="R1513" s="175">
        <f>IFERROR(ABS(E1513-'02_대상물건입력'!B11)/'02_대상물건입력'!B11,"")</f>
        <v/>
      </c>
      <c r="S1513" s="152">
        <f>IFERROR(ABS(J1513-'02_대상물건입력'!B10),"")</f>
        <v/>
      </c>
      <c r="T1513" s="152">
        <f>IFERROR(ABS('01_설정'!B4-F1513),"")</f>
        <v/>
      </c>
      <c r="U1513" s="152">
        <f>IFERROR(ABS(K1513-YEAR('02_대상물건입력'!B14)),"")</f>
        <v/>
      </c>
      <c r="V1513" s="152">
        <f>IF(B1513="","",IF(AND(E1513&gt;0,F1513&gt;0,H1513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1513=1,TRUE()),R1513&lt;='01_설정'!B5,S1513&lt;='01_설정'!B6,T1513&lt;='01_설정'!B7,U1513&lt;='01_설정'!B8),"Y",""))</f>
        <v/>
      </c>
      <c r="W1513" s="172">
        <f>IF(V1513&lt;&gt;"Y","",MAX(0,(1-R1513/'01_설정'!B5))*'01_설정'!B14+MAX(0,(1-S1513/'01_설정'!B6))*'01_설정'!B15+MAX(0,(1-T1513/'01_설정'!B7))*'01_설정'!B16+MAX(0,(1-U1513/'01_설정'!B8))*'01_설정'!B17+O1513*'01_설정'!B11+Q1513*'01_설정'!B12+P1513*'01_설정'!B13+IF(Z1513="",0,Z1513))</f>
        <v/>
      </c>
      <c r="X1513" s="152">
        <f>IF(W1513="","",1+COUNTIFS($W$4:$W$3003,"&gt;"&amp;W1513)+COUNTIFS($W$4:W1513,W1513)-1)</f>
        <v/>
      </c>
      <c r="Y1513" s="175">
        <f>IF(OR(I1513="",'02_대상물건입력'!B19="",'02_대상물건입력'!B19&lt;=0),"",ABS(I1513-'02_대상물건입력'!B19)/'02_대상물건입력'!B19)</f>
        <v/>
      </c>
      <c r="Z1513" s="172">
        <f>IF(OR(Y1513="",'01_설정'!B31="",'01_설정'!B31&lt;=0,'01_설정'!B32="",'01_설정'!B32&lt;=0),"",MAX(0,(1-Y1513/'01_설정'!B32))*'01_설정'!B31)</f>
        <v/>
      </c>
    </row>
    <row r="1514" ht="17.25" customHeight="1">
      <c r="A1514" s="152">
        <f>IF(INDEX('04A_국토부원자료'!$A:$A,ROW()+1)="","",ROW()-3)</f>
        <v/>
      </c>
      <c r="B1514" s="48">
        <f>IFERROR(INDEX('04A_국토부원자료'!$A:$T,ROW()+1,MATCH("시군구",'04A_국토부원자료'!$A$4:$T$4,0)),"")</f>
        <v/>
      </c>
      <c r="C1514" s="48">
        <f>IF(B1514="","",IFERROR(INDEX('04A_국토부원자료'!$A:$T,ROW()+1,MATCH("번지",'04A_국토부원자료'!$A$4:$T$4,0)),""))</f>
        <v/>
      </c>
      <c r="D1514" s="48">
        <f>IF(B1514="","",IF(Q1514=1,'02_대상물건입력'!$B$8,IFERROR(INDEX('04A_국토부원자료'!$A:$T,ROW()+1,MATCH("단지명",'04A_국토부원자료'!$A$4:$T$4,0)),"")))</f>
        <v/>
      </c>
      <c r="E1514" s="172">
        <f>IFERROR(VALUE(SUBSTITUTE(INDEX('04A_국토부원자료'!$A:$T,ROW()+1,MATCH("전용면적(㎡)",'04A_국토부원자료'!$A$4:$T$4,0)),",","")),"")</f>
        <v/>
      </c>
      <c r="F15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14" s="51">
        <f>IFERROR(VALUE(SUBSTITUTE(INDEX('04A_국토부원자료'!$A:$T,ROW()+1,MATCH("거래금액(만원)",'04A_국토부원자료'!$A$4:$T$4,0)),",","")),"")</f>
        <v/>
      </c>
      <c r="H1514" s="174">
        <f>IF(G1514="","",G1514*10000)</f>
        <v/>
      </c>
      <c r="I1514" s="174">
        <f>IFERROR(IF(AND(H1514&gt;0,E1514&gt;0),H1514/E1514,""),"")</f>
        <v/>
      </c>
      <c r="J1514" s="152">
        <f>IFERROR(VALUE(SUBSTITUTE(INDEX('04A_국토부원자료'!$A:$T,ROW()+1,MATCH("층",'04A_국토부원자료'!$A$4:$T$4,0)),",","")),"")</f>
        <v/>
      </c>
      <c r="K1514" s="152">
        <f>IFERROR(VALUE(SUBSTITUTE(INDEX('04A_국토부원자료'!$A:$T,ROW()+1,MATCH("건축년도",'04A_국토부원자료'!$A$4:$T$4,0)),",","")),"")</f>
        <v/>
      </c>
      <c r="L1514" s="176">
        <f>IFERROR(INDEX('04A_국토부원자료'!$A:$T,ROW()+1,MATCH("도로명",'04A_국토부원자료'!$A$4:$T$4,0)),"")</f>
        <v/>
      </c>
      <c r="M1514" s="48">
        <f>IFERROR(INDEX('04A_국토부원자료'!$A:$T,ROW()+1,MATCH("거래유형",'04A_국토부원자료'!$A$4:$T$4,0)),"")</f>
        <v/>
      </c>
      <c r="N1514" s="152">
        <f>IF(B1514="","",IF('02_대상물건입력'!B5="",1,IF(ISNUMBER(SEARCH('02_대상물건입력'!B5,B1514)),1,0)))</f>
        <v/>
      </c>
      <c r="O1514" s="152">
        <f>IF(B1514="","",IF('02_대상물건입력'!B6="",1,IF(ISNUMBER(SEARCH('02_대상물건입력'!B6,B1514)),1,0)))</f>
        <v/>
      </c>
      <c r="P1514" s="152">
        <f>IF(L1514="","",IF('02_대상물건입력'!B15="",0,IF(ISNUMBER(SEARCH('02_대상물건입력'!B15,L1514)),1,0)))</f>
        <v/>
      </c>
      <c r="Q1514" s="152">
        <f>IF(OR(C1514="",L1514=""),0,IF(AND(TRIM(C1514)=TRIM(RIGHT(SUBSTITUTE(TRIM('02_대상물건입력'!$B$7)," ",REPT(" ",99)),99)),IF('02_대상물건입력'!B15="",TRUE(),ISNUMBER(SEARCH('02_대상물건입력'!B15,L1514)))),1,0))</f>
        <v/>
      </c>
      <c r="R1514" s="175">
        <f>IFERROR(ABS(E1514-'02_대상물건입력'!B11)/'02_대상물건입력'!B11,"")</f>
        <v/>
      </c>
      <c r="S1514" s="152">
        <f>IFERROR(ABS(J1514-'02_대상물건입력'!B10),"")</f>
        <v/>
      </c>
      <c r="T1514" s="152">
        <f>IFERROR(ABS('01_설정'!B4-F1514),"")</f>
        <v/>
      </c>
      <c r="U1514" s="152">
        <f>IFERROR(ABS(K1514-YEAR('02_대상물건입력'!B14)),"")</f>
        <v/>
      </c>
      <c r="V1514" s="152">
        <f>IF(B1514="","",IF(AND(E1514&gt;0,F1514&gt;0,H1514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1514=1,TRUE()),R1514&lt;='01_설정'!B5,S1514&lt;='01_설정'!B6,T1514&lt;='01_설정'!B7,U1514&lt;='01_설정'!B8),"Y",""))</f>
        <v/>
      </c>
      <c r="W1514" s="172">
        <f>IF(V1514&lt;&gt;"Y","",MAX(0,(1-R1514/'01_설정'!B5))*'01_설정'!B14+MAX(0,(1-S1514/'01_설정'!B6))*'01_설정'!B15+MAX(0,(1-T1514/'01_설정'!B7))*'01_설정'!B16+MAX(0,(1-U1514/'01_설정'!B8))*'01_설정'!B17+O1514*'01_설정'!B11+Q1514*'01_설정'!B12+P1514*'01_설정'!B13+IF(Z1514="",0,Z1514))</f>
        <v/>
      </c>
      <c r="X1514" s="152">
        <f>IF(W1514="","",1+COUNTIFS($W$4:$W$3003,"&gt;"&amp;W1514)+COUNTIFS($W$4:W1514,W1514)-1)</f>
        <v/>
      </c>
      <c r="Y1514" s="175">
        <f>IF(OR(I1514="",'02_대상물건입력'!B19="",'02_대상물건입력'!B19&lt;=0),"",ABS(I1514-'02_대상물건입력'!B19)/'02_대상물건입력'!B19)</f>
        <v/>
      </c>
      <c r="Z1514" s="172">
        <f>IF(OR(Y1514="",'01_설정'!B31="",'01_설정'!B31&lt;=0,'01_설정'!B32="",'01_설정'!B32&lt;=0),"",MAX(0,(1-Y1514/'01_설정'!B32))*'01_설정'!B31)</f>
        <v/>
      </c>
    </row>
    <row r="1515" ht="17.25" customHeight="1">
      <c r="A1515" s="152">
        <f>IF(INDEX('04A_국토부원자료'!$A:$A,ROW()+1)="","",ROW()-3)</f>
        <v/>
      </c>
      <c r="B1515" s="48">
        <f>IFERROR(INDEX('04A_국토부원자료'!$A:$T,ROW()+1,MATCH("시군구",'04A_국토부원자료'!$A$4:$T$4,0)),"")</f>
        <v/>
      </c>
      <c r="C1515" s="48">
        <f>IF(B1515="","",IFERROR(INDEX('04A_국토부원자료'!$A:$T,ROW()+1,MATCH("번지",'04A_국토부원자료'!$A$4:$T$4,0)),""))</f>
        <v/>
      </c>
      <c r="D1515" s="48">
        <f>IF(B1515="","",IF(Q1515=1,'02_대상물건입력'!$B$8,IFERROR(INDEX('04A_국토부원자료'!$A:$T,ROW()+1,MATCH("단지명",'04A_국토부원자료'!$A$4:$T$4,0)),"")))</f>
        <v/>
      </c>
      <c r="E1515" s="172">
        <f>IFERROR(VALUE(SUBSTITUTE(INDEX('04A_국토부원자료'!$A:$T,ROW()+1,MATCH("전용면적(㎡)",'04A_국토부원자료'!$A$4:$T$4,0)),",","")),"")</f>
        <v/>
      </c>
      <c r="F15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15" s="51">
        <f>IFERROR(VALUE(SUBSTITUTE(INDEX('04A_국토부원자료'!$A:$T,ROW()+1,MATCH("거래금액(만원)",'04A_국토부원자료'!$A$4:$T$4,0)),",","")),"")</f>
        <v/>
      </c>
      <c r="H1515" s="174">
        <f>IF(G1515="","",G1515*10000)</f>
        <v/>
      </c>
      <c r="I1515" s="174">
        <f>IFERROR(IF(AND(H1515&gt;0,E1515&gt;0),H1515/E1515,""),"")</f>
        <v/>
      </c>
      <c r="J1515" s="152">
        <f>IFERROR(VALUE(SUBSTITUTE(INDEX('04A_국토부원자료'!$A:$T,ROW()+1,MATCH("층",'04A_국토부원자료'!$A$4:$T$4,0)),",","")),"")</f>
        <v/>
      </c>
      <c r="K1515" s="152">
        <f>IFERROR(VALUE(SUBSTITUTE(INDEX('04A_국토부원자료'!$A:$T,ROW()+1,MATCH("건축년도",'04A_국토부원자료'!$A$4:$T$4,0)),",","")),"")</f>
        <v/>
      </c>
      <c r="L1515" s="176">
        <f>IFERROR(INDEX('04A_국토부원자료'!$A:$T,ROW()+1,MATCH("도로명",'04A_국토부원자료'!$A$4:$T$4,0)),"")</f>
        <v/>
      </c>
      <c r="M1515" s="48">
        <f>IFERROR(INDEX('04A_국토부원자료'!$A:$T,ROW()+1,MATCH("거래유형",'04A_국토부원자료'!$A$4:$T$4,0)),"")</f>
        <v/>
      </c>
      <c r="N1515" s="152">
        <f>IF(B1515="","",IF('02_대상물건입력'!B5="",1,IF(ISNUMBER(SEARCH('02_대상물건입력'!B5,B1515)),1,0)))</f>
        <v/>
      </c>
      <c r="O1515" s="152">
        <f>IF(B1515="","",IF('02_대상물건입력'!B6="",1,IF(ISNUMBER(SEARCH('02_대상물건입력'!B6,B1515)),1,0)))</f>
        <v/>
      </c>
      <c r="P1515" s="152">
        <f>IF(L1515="","",IF('02_대상물건입력'!B15="",0,IF(ISNUMBER(SEARCH('02_대상물건입력'!B15,L1515)),1,0)))</f>
        <v/>
      </c>
      <c r="Q1515" s="152">
        <f>IF(OR(C1515="",L1515=""),0,IF(AND(TRIM(C1515)=TRIM(RIGHT(SUBSTITUTE(TRIM('02_대상물건입력'!$B$7)," ",REPT(" ",99)),99)),IF('02_대상물건입력'!B15="",TRUE(),ISNUMBER(SEARCH('02_대상물건입력'!B15,L1515)))),1,0))</f>
        <v/>
      </c>
      <c r="R1515" s="175">
        <f>IFERROR(ABS(E1515-'02_대상물건입력'!B11)/'02_대상물건입력'!B11,"")</f>
        <v/>
      </c>
      <c r="S1515" s="152">
        <f>IFERROR(ABS(J1515-'02_대상물건입력'!B10),"")</f>
        <v/>
      </c>
      <c r="T1515" s="152">
        <f>IFERROR(ABS('01_설정'!B4-F1515),"")</f>
        <v/>
      </c>
      <c r="U1515" s="152">
        <f>IFERROR(ABS(K1515-YEAR('02_대상물건입력'!B14)),"")</f>
        <v/>
      </c>
      <c r="V1515" s="152">
        <f>IF(B1515="","",IF(AND(E1515&gt;0,F1515&gt;0,H1515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1515=1,TRUE()),R1515&lt;='01_설정'!B5,S1515&lt;='01_설정'!B6,T1515&lt;='01_설정'!B7,U1515&lt;='01_설정'!B8),"Y",""))</f>
        <v/>
      </c>
      <c r="W1515" s="172">
        <f>IF(V1515&lt;&gt;"Y","",MAX(0,(1-R1515/'01_설정'!B5))*'01_설정'!B14+MAX(0,(1-S1515/'01_설정'!B6))*'01_설정'!B15+MAX(0,(1-T1515/'01_설정'!B7))*'01_설정'!B16+MAX(0,(1-U1515/'01_설정'!B8))*'01_설정'!B17+O1515*'01_설정'!B11+Q1515*'01_설정'!B12+P1515*'01_설정'!B13+IF(Z1515="",0,Z1515))</f>
        <v/>
      </c>
      <c r="X1515" s="152">
        <f>IF(W1515="","",1+COUNTIFS($W$4:$W$3003,"&gt;"&amp;W1515)+COUNTIFS($W$4:W1515,W1515)-1)</f>
        <v/>
      </c>
      <c r="Y1515" s="175">
        <f>IF(OR(I1515="",'02_대상물건입력'!B19="",'02_대상물건입력'!B19&lt;=0),"",ABS(I1515-'02_대상물건입력'!B19)/'02_대상물건입력'!B19)</f>
        <v/>
      </c>
      <c r="Z1515" s="172">
        <f>IF(OR(Y1515="",'01_설정'!B31="",'01_설정'!B31&lt;=0,'01_설정'!B32="",'01_설정'!B32&lt;=0),"",MAX(0,(1-Y1515/'01_설정'!B32))*'01_설정'!B31)</f>
        <v/>
      </c>
    </row>
    <row r="1516" ht="17.25" customHeight="1">
      <c r="A1516" s="152">
        <f>IF(INDEX('04A_국토부원자료'!$A:$A,ROW()+1)="","",ROW()-3)</f>
        <v/>
      </c>
      <c r="B1516" s="48">
        <f>IFERROR(INDEX('04A_국토부원자료'!$A:$T,ROW()+1,MATCH("시군구",'04A_국토부원자료'!$A$4:$T$4,0)),"")</f>
        <v/>
      </c>
      <c r="C1516" s="48">
        <f>IF(B1516="","",IFERROR(INDEX('04A_국토부원자료'!$A:$T,ROW()+1,MATCH("번지",'04A_국토부원자료'!$A$4:$T$4,0)),""))</f>
        <v/>
      </c>
      <c r="D1516" s="48">
        <f>IF(B1516="","",IF(Q1516=1,'02_대상물건입력'!$B$8,IFERROR(INDEX('04A_국토부원자료'!$A:$T,ROW()+1,MATCH("단지명",'04A_국토부원자료'!$A$4:$T$4,0)),"")))</f>
        <v/>
      </c>
      <c r="E1516" s="172">
        <f>IFERROR(VALUE(SUBSTITUTE(INDEX('04A_국토부원자료'!$A:$T,ROW()+1,MATCH("전용면적(㎡)",'04A_국토부원자료'!$A$4:$T$4,0)),",","")),"")</f>
        <v/>
      </c>
      <c r="F15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16" s="51">
        <f>IFERROR(VALUE(SUBSTITUTE(INDEX('04A_국토부원자료'!$A:$T,ROW()+1,MATCH("거래금액(만원)",'04A_국토부원자료'!$A$4:$T$4,0)),",","")),"")</f>
        <v/>
      </c>
      <c r="H1516" s="174">
        <f>IF(G1516="","",G1516*10000)</f>
        <v/>
      </c>
      <c r="I1516" s="174">
        <f>IFERROR(IF(AND(H1516&gt;0,E1516&gt;0),H1516/E1516,""),"")</f>
        <v/>
      </c>
      <c r="J1516" s="152">
        <f>IFERROR(VALUE(SUBSTITUTE(INDEX('04A_국토부원자료'!$A:$T,ROW()+1,MATCH("층",'04A_국토부원자료'!$A$4:$T$4,0)),",","")),"")</f>
        <v/>
      </c>
      <c r="K1516" s="152">
        <f>IFERROR(VALUE(SUBSTITUTE(INDEX('04A_국토부원자료'!$A:$T,ROW()+1,MATCH("건축년도",'04A_국토부원자료'!$A$4:$T$4,0)),",","")),"")</f>
        <v/>
      </c>
      <c r="L1516" s="176">
        <f>IFERROR(INDEX('04A_국토부원자료'!$A:$T,ROW()+1,MATCH("도로명",'04A_국토부원자료'!$A$4:$T$4,0)),"")</f>
        <v/>
      </c>
      <c r="M1516" s="48">
        <f>IFERROR(INDEX('04A_국토부원자료'!$A:$T,ROW()+1,MATCH("거래유형",'04A_국토부원자료'!$A$4:$T$4,0)),"")</f>
        <v/>
      </c>
      <c r="N1516" s="152">
        <f>IF(B1516="","",IF('02_대상물건입력'!B5="",1,IF(ISNUMBER(SEARCH('02_대상물건입력'!B5,B1516)),1,0)))</f>
        <v/>
      </c>
      <c r="O1516" s="152">
        <f>IF(B1516="","",IF('02_대상물건입력'!B6="",1,IF(ISNUMBER(SEARCH('02_대상물건입력'!B6,B1516)),1,0)))</f>
        <v/>
      </c>
      <c r="P1516" s="152">
        <f>IF(L1516="","",IF('02_대상물건입력'!B15="",0,IF(ISNUMBER(SEARCH('02_대상물건입력'!B15,L1516)),1,0)))</f>
        <v/>
      </c>
      <c r="Q1516" s="152">
        <f>IF(OR(C1516="",L1516=""),0,IF(AND(TRIM(C1516)=TRIM(RIGHT(SUBSTITUTE(TRIM('02_대상물건입력'!$B$7)," ",REPT(" ",99)),99)),IF('02_대상물건입력'!B15="",TRUE(),ISNUMBER(SEARCH('02_대상물건입력'!B15,L1516)))),1,0))</f>
        <v/>
      </c>
      <c r="R1516" s="175">
        <f>IFERROR(ABS(E1516-'02_대상물건입력'!B11)/'02_대상물건입력'!B11,"")</f>
        <v/>
      </c>
      <c r="S1516" s="152">
        <f>IFERROR(ABS(J1516-'02_대상물건입력'!B10),"")</f>
        <v/>
      </c>
      <c r="T1516" s="152">
        <f>IFERROR(ABS('01_설정'!B4-F1516),"")</f>
        <v/>
      </c>
      <c r="U1516" s="152">
        <f>IFERROR(ABS(K1516-YEAR('02_대상물건입력'!B14)),"")</f>
        <v/>
      </c>
      <c r="V1516" s="152">
        <f>IF(B1516="","",IF(AND(E1516&gt;0,F1516&gt;0,H1516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1516=1,TRUE()),R1516&lt;='01_설정'!B5,S1516&lt;='01_설정'!B6,T1516&lt;='01_설정'!B7,U1516&lt;='01_설정'!B8),"Y",""))</f>
        <v/>
      </c>
      <c r="W1516" s="172">
        <f>IF(V1516&lt;&gt;"Y","",MAX(0,(1-R1516/'01_설정'!B5))*'01_설정'!B14+MAX(0,(1-S1516/'01_설정'!B6))*'01_설정'!B15+MAX(0,(1-T1516/'01_설정'!B7))*'01_설정'!B16+MAX(0,(1-U1516/'01_설정'!B8))*'01_설정'!B17+O1516*'01_설정'!B11+Q1516*'01_설정'!B12+P1516*'01_설정'!B13+IF(Z1516="",0,Z1516))</f>
        <v/>
      </c>
      <c r="X1516" s="152">
        <f>IF(W1516="","",1+COUNTIFS($W$4:$W$3003,"&gt;"&amp;W1516)+COUNTIFS($W$4:W1516,W1516)-1)</f>
        <v/>
      </c>
      <c r="Y1516" s="175">
        <f>IF(OR(I1516="",'02_대상물건입력'!B19="",'02_대상물건입력'!B19&lt;=0),"",ABS(I1516-'02_대상물건입력'!B19)/'02_대상물건입력'!B19)</f>
        <v/>
      </c>
      <c r="Z1516" s="172">
        <f>IF(OR(Y1516="",'01_설정'!B31="",'01_설정'!B31&lt;=0,'01_설정'!B32="",'01_설정'!B32&lt;=0),"",MAX(0,(1-Y1516/'01_설정'!B32))*'01_설정'!B31)</f>
        <v/>
      </c>
    </row>
    <row r="1517" ht="17.25" customHeight="1">
      <c r="A1517" s="152">
        <f>IF(INDEX('04A_국토부원자료'!$A:$A,ROW()+1)="","",ROW()-3)</f>
        <v/>
      </c>
      <c r="B1517" s="48">
        <f>IFERROR(INDEX('04A_국토부원자료'!$A:$T,ROW()+1,MATCH("시군구",'04A_국토부원자료'!$A$4:$T$4,0)),"")</f>
        <v/>
      </c>
      <c r="C1517" s="48">
        <f>IF(B1517="","",IFERROR(INDEX('04A_국토부원자료'!$A:$T,ROW()+1,MATCH("번지",'04A_국토부원자료'!$A$4:$T$4,0)),""))</f>
        <v/>
      </c>
      <c r="D1517" s="48">
        <f>IF(B1517="","",IF(Q1517=1,'02_대상물건입력'!$B$8,IFERROR(INDEX('04A_국토부원자료'!$A:$T,ROW()+1,MATCH("단지명",'04A_국토부원자료'!$A$4:$T$4,0)),"")))</f>
        <v/>
      </c>
      <c r="E1517" s="172">
        <f>IFERROR(VALUE(SUBSTITUTE(INDEX('04A_국토부원자료'!$A:$T,ROW()+1,MATCH("전용면적(㎡)",'04A_국토부원자료'!$A$4:$T$4,0)),",","")),"")</f>
        <v/>
      </c>
      <c r="F15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17" s="51">
        <f>IFERROR(VALUE(SUBSTITUTE(INDEX('04A_국토부원자료'!$A:$T,ROW()+1,MATCH("거래금액(만원)",'04A_국토부원자료'!$A$4:$T$4,0)),",","")),"")</f>
        <v/>
      </c>
      <c r="H1517" s="174">
        <f>IF(G1517="","",G1517*10000)</f>
        <v/>
      </c>
      <c r="I1517" s="174">
        <f>IFERROR(IF(AND(H1517&gt;0,E1517&gt;0),H1517/E1517,""),"")</f>
        <v/>
      </c>
      <c r="J1517" s="152">
        <f>IFERROR(VALUE(SUBSTITUTE(INDEX('04A_국토부원자료'!$A:$T,ROW()+1,MATCH("층",'04A_국토부원자료'!$A$4:$T$4,0)),",","")),"")</f>
        <v/>
      </c>
      <c r="K1517" s="152">
        <f>IFERROR(VALUE(SUBSTITUTE(INDEX('04A_국토부원자료'!$A:$T,ROW()+1,MATCH("건축년도",'04A_국토부원자료'!$A$4:$T$4,0)),",","")),"")</f>
        <v/>
      </c>
      <c r="L1517" s="176">
        <f>IFERROR(INDEX('04A_국토부원자료'!$A:$T,ROW()+1,MATCH("도로명",'04A_국토부원자료'!$A$4:$T$4,0)),"")</f>
        <v/>
      </c>
      <c r="M1517" s="48">
        <f>IFERROR(INDEX('04A_국토부원자료'!$A:$T,ROW()+1,MATCH("거래유형",'04A_국토부원자료'!$A$4:$T$4,0)),"")</f>
        <v/>
      </c>
      <c r="N1517" s="152">
        <f>IF(B1517="","",IF('02_대상물건입력'!B5="",1,IF(ISNUMBER(SEARCH('02_대상물건입력'!B5,B1517)),1,0)))</f>
        <v/>
      </c>
      <c r="O1517" s="152">
        <f>IF(B1517="","",IF('02_대상물건입력'!B6="",1,IF(ISNUMBER(SEARCH('02_대상물건입력'!B6,B1517)),1,0)))</f>
        <v/>
      </c>
      <c r="P1517" s="152">
        <f>IF(L1517="","",IF('02_대상물건입력'!B15="",0,IF(ISNUMBER(SEARCH('02_대상물건입력'!B15,L1517)),1,0)))</f>
        <v/>
      </c>
      <c r="Q1517" s="152">
        <f>IF(OR(C1517="",L1517=""),0,IF(AND(TRIM(C1517)=TRIM(RIGHT(SUBSTITUTE(TRIM('02_대상물건입력'!$B$7)," ",REPT(" ",99)),99)),IF('02_대상물건입력'!B15="",TRUE(),ISNUMBER(SEARCH('02_대상물건입력'!B15,L1517)))),1,0))</f>
        <v/>
      </c>
      <c r="R1517" s="175">
        <f>IFERROR(ABS(E1517-'02_대상물건입력'!B11)/'02_대상물건입력'!B11,"")</f>
        <v/>
      </c>
      <c r="S1517" s="152">
        <f>IFERROR(ABS(J1517-'02_대상물건입력'!B10),"")</f>
        <v/>
      </c>
      <c r="T1517" s="152">
        <f>IFERROR(ABS('01_설정'!B4-F1517),"")</f>
        <v/>
      </c>
      <c r="U1517" s="152">
        <f>IFERROR(ABS(K1517-YEAR('02_대상물건입력'!B14)),"")</f>
        <v/>
      </c>
      <c r="V1517" s="152">
        <f>IF(B1517="","",IF(AND(E1517&gt;0,F1517&gt;0,H1517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1517=1,TRUE()),R1517&lt;='01_설정'!B5,S1517&lt;='01_설정'!B6,T1517&lt;='01_설정'!B7,U1517&lt;='01_설정'!B8),"Y",""))</f>
        <v/>
      </c>
      <c r="W1517" s="172">
        <f>IF(V1517&lt;&gt;"Y","",MAX(0,(1-R1517/'01_설정'!B5))*'01_설정'!B14+MAX(0,(1-S1517/'01_설정'!B6))*'01_설정'!B15+MAX(0,(1-T1517/'01_설정'!B7))*'01_설정'!B16+MAX(0,(1-U1517/'01_설정'!B8))*'01_설정'!B17+O1517*'01_설정'!B11+Q1517*'01_설정'!B12+P1517*'01_설정'!B13+IF(Z1517="",0,Z1517))</f>
        <v/>
      </c>
      <c r="X1517" s="152">
        <f>IF(W1517="","",1+COUNTIFS($W$4:$W$3003,"&gt;"&amp;W1517)+COUNTIFS($W$4:W1517,W1517)-1)</f>
        <v/>
      </c>
      <c r="Y1517" s="175">
        <f>IF(OR(I1517="",'02_대상물건입력'!B19="",'02_대상물건입력'!B19&lt;=0),"",ABS(I1517-'02_대상물건입력'!B19)/'02_대상물건입력'!B19)</f>
        <v/>
      </c>
      <c r="Z1517" s="172">
        <f>IF(OR(Y1517="",'01_설정'!B31="",'01_설정'!B31&lt;=0,'01_설정'!B32="",'01_설정'!B32&lt;=0),"",MAX(0,(1-Y1517/'01_설정'!B32))*'01_설정'!B31)</f>
        <v/>
      </c>
    </row>
    <row r="1518" ht="17.25" customHeight="1">
      <c r="A1518" s="152">
        <f>IF(INDEX('04A_국토부원자료'!$A:$A,ROW()+1)="","",ROW()-3)</f>
        <v/>
      </c>
      <c r="B1518" s="48">
        <f>IFERROR(INDEX('04A_국토부원자료'!$A:$T,ROW()+1,MATCH("시군구",'04A_국토부원자료'!$A$4:$T$4,0)),"")</f>
        <v/>
      </c>
      <c r="C1518" s="48">
        <f>IF(B1518="","",IFERROR(INDEX('04A_국토부원자료'!$A:$T,ROW()+1,MATCH("번지",'04A_국토부원자료'!$A$4:$T$4,0)),""))</f>
        <v/>
      </c>
      <c r="D1518" s="48">
        <f>IF(B1518="","",IF(Q1518=1,'02_대상물건입력'!$B$8,IFERROR(INDEX('04A_국토부원자료'!$A:$T,ROW()+1,MATCH("단지명",'04A_국토부원자료'!$A$4:$T$4,0)),"")))</f>
        <v/>
      </c>
      <c r="E1518" s="172">
        <f>IFERROR(VALUE(SUBSTITUTE(INDEX('04A_국토부원자료'!$A:$T,ROW()+1,MATCH("전용면적(㎡)",'04A_국토부원자료'!$A$4:$T$4,0)),",","")),"")</f>
        <v/>
      </c>
      <c r="F15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18" s="51">
        <f>IFERROR(VALUE(SUBSTITUTE(INDEX('04A_국토부원자료'!$A:$T,ROW()+1,MATCH("거래금액(만원)",'04A_국토부원자료'!$A$4:$T$4,0)),",","")),"")</f>
        <v/>
      </c>
      <c r="H1518" s="174">
        <f>IF(G1518="","",G1518*10000)</f>
        <v/>
      </c>
      <c r="I1518" s="174">
        <f>IFERROR(IF(AND(H1518&gt;0,E1518&gt;0),H1518/E1518,""),"")</f>
        <v/>
      </c>
      <c r="J1518" s="152">
        <f>IFERROR(VALUE(SUBSTITUTE(INDEX('04A_국토부원자료'!$A:$T,ROW()+1,MATCH("층",'04A_국토부원자료'!$A$4:$T$4,0)),",","")),"")</f>
        <v/>
      </c>
      <c r="K1518" s="152">
        <f>IFERROR(VALUE(SUBSTITUTE(INDEX('04A_국토부원자료'!$A:$T,ROW()+1,MATCH("건축년도",'04A_국토부원자료'!$A$4:$T$4,0)),",","")),"")</f>
        <v/>
      </c>
      <c r="L1518" s="176">
        <f>IFERROR(INDEX('04A_국토부원자료'!$A:$T,ROW()+1,MATCH("도로명",'04A_국토부원자료'!$A$4:$T$4,0)),"")</f>
        <v/>
      </c>
      <c r="M1518" s="48">
        <f>IFERROR(INDEX('04A_국토부원자료'!$A:$T,ROW()+1,MATCH("거래유형",'04A_국토부원자료'!$A$4:$T$4,0)),"")</f>
        <v/>
      </c>
      <c r="N1518" s="152">
        <f>IF(B1518="","",IF('02_대상물건입력'!B5="",1,IF(ISNUMBER(SEARCH('02_대상물건입력'!B5,B1518)),1,0)))</f>
        <v/>
      </c>
      <c r="O1518" s="152">
        <f>IF(B1518="","",IF('02_대상물건입력'!B6="",1,IF(ISNUMBER(SEARCH('02_대상물건입력'!B6,B1518)),1,0)))</f>
        <v/>
      </c>
      <c r="P1518" s="152">
        <f>IF(L1518="","",IF('02_대상물건입력'!B15="",0,IF(ISNUMBER(SEARCH('02_대상물건입력'!B15,L1518)),1,0)))</f>
        <v/>
      </c>
      <c r="Q1518" s="152">
        <f>IF(OR(C1518="",L1518=""),0,IF(AND(TRIM(C1518)=TRIM(RIGHT(SUBSTITUTE(TRIM('02_대상물건입력'!$B$7)," ",REPT(" ",99)),99)),IF('02_대상물건입력'!B15="",TRUE(),ISNUMBER(SEARCH('02_대상물건입력'!B15,L1518)))),1,0))</f>
        <v/>
      </c>
      <c r="R1518" s="175">
        <f>IFERROR(ABS(E1518-'02_대상물건입력'!B11)/'02_대상물건입력'!B11,"")</f>
        <v/>
      </c>
      <c r="S1518" s="152">
        <f>IFERROR(ABS(J1518-'02_대상물건입력'!B10),"")</f>
        <v/>
      </c>
      <c r="T1518" s="152">
        <f>IFERROR(ABS('01_설정'!B4-F1518),"")</f>
        <v/>
      </c>
      <c r="U1518" s="152">
        <f>IFERROR(ABS(K1518-YEAR('02_대상물건입력'!B14)),"")</f>
        <v/>
      </c>
      <c r="V1518" s="152">
        <f>IF(B1518="","",IF(AND(E1518&gt;0,F1518&gt;0,H1518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1518=1,TRUE()),R1518&lt;='01_설정'!B5,S1518&lt;='01_설정'!B6,T1518&lt;='01_설정'!B7,U1518&lt;='01_설정'!B8),"Y",""))</f>
        <v/>
      </c>
      <c r="W1518" s="172">
        <f>IF(V1518&lt;&gt;"Y","",MAX(0,(1-R1518/'01_설정'!B5))*'01_설정'!B14+MAX(0,(1-S1518/'01_설정'!B6))*'01_설정'!B15+MAX(0,(1-T1518/'01_설정'!B7))*'01_설정'!B16+MAX(0,(1-U1518/'01_설정'!B8))*'01_설정'!B17+O1518*'01_설정'!B11+Q1518*'01_설정'!B12+P1518*'01_설정'!B13+IF(Z1518="",0,Z1518))</f>
        <v/>
      </c>
      <c r="X1518" s="152">
        <f>IF(W1518="","",1+COUNTIFS($W$4:$W$3003,"&gt;"&amp;W1518)+COUNTIFS($W$4:W1518,W1518)-1)</f>
        <v/>
      </c>
      <c r="Y1518" s="175">
        <f>IF(OR(I1518="",'02_대상물건입력'!B19="",'02_대상물건입력'!B19&lt;=0),"",ABS(I1518-'02_대상물건입력'!B19)/'02_대상물건입력'!B19)</f>
        <v/>
      </c>
      <c r="Z1518" s="172">
        <f>IF(OR(Y1518="",'01_설정'!B31="",'01_설정'!B31&lt;=0,'01_설정'!B32="",'01_설정'!B32&lt;=0),"",MAX(0,(1-Y1518/'01_설정'!B32))*'01_설정'!B31)</f>
        <v/>
      </c>
    </row>
    <row r="1519" ht="17.25" customHeight="1">
      <c r="A1519" s="152">
        <f>IF(INDEX('04A_국토부원자료'!$A:$A,ROW()+1)="","",ROW()-3)</f>
        <v/>
      </c>
      <c r="B1519" s="48">
        <f>IFERROR(INDEX('04A_국토부원자료'!$A:$T,ROW()+1,MATCH("시군구",'04A_국토부원자료'!$A$4:$T$4,0)),"")</f>
        <v/>
      </c>
      <c r="C1519" s="48">
        <f>IF(B1519="","",IFERROR(INDEX('04A_국토부원자료'!$A:$T,ROW()+1,MATCH("번지",'04A_국토부원자료'!$A$4:$T$4,0)),""))</f>
        <v/>
      </c>
      <c r="D1519" s="48">
        <f>IF(B1519="","",IF(Q1519=1,'02_대상물건입력'!$B$8,IFERROR(INDEX('04A_국토부원자료'!$A:$T,ROW()+1,MATCH("단지명",'04A_국토부원자료'!$A$4:$T$4,0)),"")))</f>
        <v/>
      </c>
      <c r="E1519" s="172">
        <f>IFERROR(VALUE(SUBSTITUTE(INDEX('04A_국토부원자료'!$A:$T,ROW()+1,MATCH("전용면적(㎡)",'04A_국토부원자료'!$A$4:$T$4,0)),",","")),"")</f>
        <v/>
      </c>
      <c r="F15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19" s="51">
        <f>IFERROR(VALUE(SUBSTITUTE(INDEX('04A_국토부원자료'!$A:$T,ROW()+1,MATCH("거래금액(만원)",'04A_국토부원자료'!$A$4:$T$4,0)),",","")),"")</f>
        <v/>
      </c>
      <c r="H1519" s="174">
        <f>IF(G1519="","",G1519*10000)</f>
        <v/>
      </c>
      <c r="I1519" s="174">
        <f>IFERROR(IF(AND(H1519&gt;0,E1519&gt;0),H1519/E1519,""),"")</f>
        <v/>
      </c>
      <c r="J1519" s="152">
        <f>IFERROR(VALUE(SUBSTITUTE(INDEX('04A_국토부원자료'!$A:$T,ROW()+1,MATCH("층",'04A_국토부원자료'!$A$4:$T$4,0)),",","")),"")</f>
        <v/>
      </c>
      <c r="K1519" s="152">
        <f>IFERROR(VALUE(SUBSTITUTE(INDEX('04A_국토부원자료'!$A:$T,ROW()+1,MATCH("건축년도",'04A_국토부원자료'!$A$4:$T$4,0)),",","")),"")</f>
        <v/>
      </c>
      <c r="L1519" s="176">
        <f>IFERROR(INDEX('04A_국토부원자료'!$A:$T,ROW()+1,MATCH("도로명",'04A_국토부원자료'!$A$4:$T$4,0)),"")</f>
        <v/>
      </c>
      <c r="M1519" s="48">
        <f>IFERROR(INDEX('04A_국토부원자료'!$A:$T,ROW()+1,MATCH("거래유형",'04A_국토부원자료'!$A$4:$T$4,0)),"")</f>
        <v/>
      </c>
      <c r="N1519" s="152">
        <f>IF(B1519="","",IF('02_대상물건입력'!B5="",1,IF(ISNUMBER(SEARCH('02_대상물건입력'!B5,B1519)),1,0)))</f>
        <v/>
      </c>
      <c r="O1519" s="152">
        <f>IF(B1519="","",IF('02_대상물건입력'!B6="",1,IF(ISNUMBER(SEARCH('02_대상물건입력'!B6,B1519)),1,0)))</f>
        <v/>
      </c>
      <c r="P1519" s="152">
        <f>IF(L1519="","",IF('02_대상물건입력'!B15="",0,IF(ISNUMBER(SEARCH('02_대상물건입력'!B15,L1519)),1,0)))</f>
        <v/>
      </c>
      <c r="Q1519" s="152">
        <f>IF(OR(C1519="",L1519=""),0,IF(AND(TRIM(C1519)=TRIM(RIGHT(SUBSTITUTE(TRIM('02_대상물건입력'!$B$7)," ",REPT(" ",99)),99)),IF('02_대상물건입력'!B15="",TRUE(),ISNUMBER(SEARCH('02_대상물건입력'!B15,L1519)))),1,0))</f>
        <v/>
      </c>
      <c r="R1519" s="175">
        <f>IFERROR(ABS(E1519-'02_대상물건입력'!B11)/'02_대상물건입력'!B11,"")</f>
        <v/>
      </c>
      <c r="S1519" s="152">
        <f>IFERROR(ABS(J1519-'02_대상물건입력'!B10),"")</f>
        <v/>
      </c>
      <c r="T1519" s="152">
        <f>IFERROR(ABS('01_설정'!B4-F1519),"")</f>
        <v/>
      </c>
      <c r="U1519" s="152">
        <f>IFERROR(ABS(K1519-YEAR('02_대상물건입력'!B14)),"")</f>
        <v/>
      </c>
      <c r="V1519" s="152">
        <f>IF(B1519="","",IF(AND(E1519&gt;0,F1519&gt;0,H1519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1519=1,TRUE()),R1519&lt;='01_설정'!B5,S1519&lt;='01_설정'!B6,T1519&lt;='01_설정'!B7,U1519&lt;='01_설정'!B8),"Y",""))</f>
        <v/>
      </c>
      <c r="W1519" s="172">
        <f>IF(V1519&lt;&gt;"Y","",MAX(0,(1-R1519/'01_설정'!B5))*'01_설정'!B14+MAX(0,(1-S1519/'01_설정'!B6))*'01_설정'!B15+MAX(0,(1-T1519/'01_설정'!B7))*'01_설정'!B16+MAX(0,(1-U1519/'01_설정'!B8))*'01_설정'!B17+O1519*'01_설정'!B11+Q1519*'01_설정'!B12+P1519*'01_설정'!B13+IF(Z1519="",0,Z1519))</f>
        <v/>
      </c>
      <c r="X1519" s="152">
        <f>IF(W1519="","",1+COUNTIFS($W$4:$W$3003,"&gt;"&amp;W1519)+COUNTIFS($W$4:W1519,W1519)-1)</f>
        <v/>
      </c>
      <c r="Y1519" s="175">
        <f>IF(OR(I1519="",'02_대상물건입력'!B19="",'02_대상물건입력'!B19&lt;=0),"",ABS(I1519-'02_대상물건입력'!B19)/'02_대상물건입력'!B19)</f>
        <v/>
      </c>
      <c r="Z1519" s="172">
        <f>IF(OR(Y1519="",'01_설정'!B31="",'01_설정'!B31&lt;=0,'01_설정'!B32="",'01_설정'!B32&lt;=0),"",MAX(0,(1-Y1519/'01_설정'!B32))*'01_설정'!B31)</f>
        <v/>
      </c>
    </row>
    <row r="1520" ht="17.25" customHeight="1">
      <c r="A1520" s="152">
        <f>IF(INDEX('04A_국토부원자료'!$A:$A,ROW()+1)="","",ROW()-3)</f>
        <v/>
      </c>
      <c r="B1520" s="48">
        <f>IFERROR(INDEX('04A_국토부원자료'!$A:$T,ROW()+1,MATCH("시군구",'04A_국토부원자료'!$A$4:$T$4,0)),"")</f>
        <v/>
      </c>
      <c r="C1520" s="48">
        <f>IF(B1520="","",IFERROR(INDEX('04A_국토부원자료'!$A:$T,ROW()+1,MATCH("번지",'04A_국토부원자료'!$A$4:$T$4,0)),""))</f>
        <v/>
      </c>
      <c r="D1520" s="48">
        <f>IF(B1520="","",IF(Q1520=1,'02_대상물건입력'!$B$8,IFERROR(INDEX('04A_국토부원자료'!$A:$T,ROW()+1,MATCH("단지명",'04A_국토부원자료'!$A$4:$T$4,0)),"")))</f>
        <v/>
      </c>
      <c r="E1520" s="172">
        <f>IFERROR(VALUE(SUBSTITUTE(INDEX('04A_국토부원자료'!$A:$T,ROW()+1,MATCH("전용면적(㎡)",'04A_국토부원자료'!$A$4:$T$4,0)),",","")),"")</f>
        <v/>
      </c>
      <c r="F15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20" s="51">
        <f>IFERROR(VALUE(SUBSTITUTE(INDEX('04A_국토부원자료'!$A:$T,ROW()+1,MATCH("거래금액(만원)",'04A_국토부원자료'!$A$4:$T$4,0)),",","")),"")</f>
        <v/>
      </c>
      <c r="H1520" s="174">
        <f>IF(G1520="","",G1520*10000)</f>
        <v/>
      </c>
      <c r="I1520" s="174">
        <f>IFERROR(IF(AND(H1520&gt;0,E1520&gt;0),H1520/E1520,""),"")</f>
        <v/>
      </c>
      <c r="J1520" s="152">
        <f>IFERROR(VALUE(SUBSTITUTE(INDEX('04A_국토부원자료'!$A:$T,ROW()+1,MATCH("층",'04A_국토부원자료'!$A$4:$T$4,0)),",","")),"")</f>
        <v/>
      </c>
      <c r="K1520" s="152">
        <f>IFERROR(VALUE(SUBSTITUTE(INDEX('04A_국토부원자료'!$A:$T,ROW()+1,MATCH("건축년도",'04A_국토부원자료'!$A$4:$T$4,0)),",","")),"")</f>
        <v/>
      </c>
      <c r="L1520" s="176">
        <f>IFERROR(INDEX('04A_국토부원자료'!$A:$T,ROW()+1,MATCH("도로명",'04A_국토부원자료'!$A$4:$T$4,0)),"")</f>
        <v/>
      </c>
      <c r="M1520" s="48">
        <f>IFERROR(INDEX('04A_국토부원자료'!$A:$T,ROW()+1,MATCH("거래유형",'04A_국토부원자료'!$A$4:$T$4,0)),"")</f>
        <v/>
      </c>
      <c r="N1520" s="152">
        <f>IF(B1520="","",IF('02_대상물건입력'!B5="",1,IF(ISNUMBER(SEARCH('02_대상물건입력'!B5,B1520)),1,0)))</f>
        <v/>
      </c>
      <c r="O1520" s="152">
        <f>IF(B1520="","",IF('02_대상물건입력'!B6="",1,IF(ISNUMBER(SEARCH('02_대상물건입력'!B6,B1520)),1,0)))</f>
        <v/>
      </c>
      <c r="P1520" s="152">
        <f>IF(L1520="","",IF('02_대상물건입력'!B15="",0,IF(ISNUMBER(SEARCH('02_대상물건입력'!B15,L1520)),1,0)))</f>
        <v/>
      </c>
      <c r="Q1520" s="152">
        <f>IF(OR(C1520="",L1520=""),0,IF(AND(TRIM(C1520)=TRIM(RIGHT(SUBSTITUTE(TRIM('02_대상물건입력'!$B$7)," ",REPT(" ",99)),99)),IF('02_대상물건입력'!B15="",TRUE(),ISNUMBER(SEARCH('02_대상물건입력'!B15,L1520)))),1,0))</f>
        <v/>
      </c>
      <c r="R1520" s="175">
        <f>IFERROR(ABS(E1520-'02_대상물건입력'!B11)/'02_대상물건입력'!B11,"")</f>
        <v/>
      </c>
      <c r="S1520" s="152">
        <f>IFERROR(ABS(J1520-'02_대상물건입력'!B10),"")</f>
        <v/>
      </c>
      <c r="T1520" s="152">
        <f>IFERROR(ABS('01_설정'!B4-F1520),"")</f>
        <v/>
      </c>
      <c r="U1520" s="152">
        <f>IFERROR(ABS(K1520-YEAR('02_대상물건입력'!B14)),"")</f>
        <v/>
      </c>
      <c r="V1520" s="152">
        <f>IF(B1520="","",IF(AND(E1520&gt;0,F1520&gt;0,H1520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1520=1,TRUE()),R1520&lt;='01_설정'!B5,S1520&lt;='01_설정'!B6,T1520&lt;='01_설정'!B7,U1520&lt;='01_설정'!B8),"Y",""))</f>
        <v/>
      </c>
      <c r="W1520" s="172">
        <f>IF(V1520&lt;&gt;"Y","",MAX(0,(1-R1520/'01_설정'!B5))*'01_설정'!B14+MAX(0,(1-S1520/'01_설정'!B6))*'01_설정'!B15+MAX(0,(1-T1520/'01_설정'!B7))*'01_설정'!B16+MAX(0,(1-U1520/'01_설정'!B8))*'01_설정'!B17+O1520*'01_설정'!B11+Q1520*'01_설정'!B12+P1520*'01_설정'!B13+IF(Z1520="",0,Z1520))</f>
        <v/>
      </c>
      <c r="X1520" s="152">
        <f>IF(W1520="","",1+COUNTIFS($W$4:$W$3003,"&gt;"&amp;W1520)+COUNTIFS($W$4:W1520,W1520)-1)</f>
        <v/>
      </c>
      <c r="Y1520" s="175">
        <f>IF(OR(I1520="",'02_대상물건입력'!B19="",'02_대상물건입력'!B19&lt;=0),"",ABS(I1520-'02_대상물건입력'!B19)/'02_대상물건입력'!B19)</f>
        <v/>
      </c>
      <c r="Z1520" s="172">
        <f>IF(OR(Y1520="",'01_설정'!B31="",'01_설정'!B31&lt;=0,'01_설정'!B32="",'01_설정'!B32&lt;=0),"",MAX(0,(1-Y1520/'01_설정'!B32))*'01_설정'!B31)</f>
        <v/>
      </c>
    </row>
    <row r="1521" ht="17.25" customHeight="1">
      <c r="A1521" s="152">
        <f>IF(INDEX('04A_국토부원자료'!$A:$A,ROW()+1)="","",ROW()-3)</f>
        <v/>
      </c>
      <c r="B1521" s="48">
        <f>IFERROR(INDEX('04A_국토부원자료'!$A:$T,ROW()+1,MATCH("시군구",'04A_국토부원자료'!$A$4:$T$4,0)),"")</f>
        <v/>
      </c>
      <c r="C1521" s="48">
        <f>IF(B1521="","",IFERROR(INDEX('04A_국토부원자료'!$A:$T,ROW()+1,MATCH("번지",'04A_국토부원자료'!$A$4:$T$4,0)),""))</f>
        <v/>
      </c>
      <c r="D1521" s="48">
        <f>IF(B1521="","",IF(Q1521=1,'02_대상물건입력'!$B$8,IFERROR(INDEX('04A_국토부원자료'!$A:$T,ROW()+1,MATCH("단지명",'04A_국토부원자료'!$A$4:$T$4,0)),"")))</f>
        <v/>
      </c>
      <c r="E1521" s="172">
        <f>IFERROR(VALUE(SUBSTITUTE(INDEX('04A_국토부원자료'!$A:$T,ROW()+1,MATCH("전용면적(㎡)",'04A_국토부원자료'!$A$4:$T$4,0)),",","")),"")</f>
        <v/>
      </c>
      <c r="F15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21" s="51">
        <f>IFERROR(VALUE(SUBSTITUTE(INDEX('04A_국토부원자료'!$A:$T,ROW()+1,MATCH("거래금액(만원)",'04A_국토부원자료'!$A$4:$T$4,0)),",","")),"")</f>
        <v/>
      </c>
      <c r="H1521" s="174">
        <f>IF(G1521="","",G1521*10000)</f>
        <v/>
      </c>
      <c r="I1521" s="174">
        <f>IFERROR(IF(AND(H1521&gt;0,E1521&gt;0),H1521/E1521,""),"")</f>
        <v/>
      </c>
      <c r="J1521" s="152">
        <f>IFERROR(VALUE(SUBSTITUTE(INDEX('04A_국토부원자료'!$A:$T,ROW()+1,MATCH("층",'04A_국토부원자료'!$A$4:$T$4,0)),",","")),"")</f>
        <v/>
      </c>
      <c r="K1521" s="152">
        <f>IFERROR(VALUE(SUBSTITUTE(INDEX('04A_국토부원자료'!$A:$T,ROW()+1,MATCH("건축년도",'04A_국토부원자료'!$A$4:$T$4,0)),",","")),"")</f>
        <v/>
      </c>
      <c r="L1521" s="176">
        <f>IFERROR(INDEX('04A_국토부원자료'!$A:$T,ROW()+1,MATCH("도로명",'04A_국토부원자료'!$A$4:$T$4,0)),"")</f>
        <v/>
      </c>
      <c r="M1521" s="48">
        <f>IFERROR(INDEX('04A_국토부원자료'!$A:$T,ROW()+1,MATCH("거래유형",'04A_국토부원자료'!$A$4:$T$4,0)),"")</f>
        <v/>
      </c>
      <c r="N1521" s="152">
        <f>IF(B1521="","",IF('02_대상물건입력'!B5="",1,IF(ISNUMBER(SEARCH('02_대상물건입력'!B5,B1521)),1,0)))</f>
        <v/>
      </c>
      <c r="O1521" s="152">
        <f>IF(B1521="","",IF('02_대상물건입력'!B6="",1,IF(ISNUMBER(SEARCH('02_대상물건입력'!B6,B1521)),1,0)))</f>
        <v/>
      </c>
      <c r="P1521" s="152">
        <f>IF(L1521="","",IF('02_대상물건입력'!B15="",0,IF(ISNUMBER(SEARCH('02_대상물건입력'!B15,L1521)),1,0)))</f>
        <v/>
      </c>
      <c r="Q1521" s="152">
        <f>IF(OR(C1521="",L1521=""),0,IF(AND(TRIM(C1521)=TRIM(RIGHT(SUBSTITUTE(TRIM('02_대상물건입력'!$B$7)," ",REPT(" ",99)),99)),IF('02_대상물건입력'!B15="",TRUE(),ISNUMBER(SEARCH('02_대상물건입력'!B15,L1521)))),1,0))</f>
        <v/>
      </c>
      <c r="R1521" s="175">
        <f>IFERROR(ABS(E1521-'02_대상물건입력'!B11)/'02_대상물건입력'!B11,"")</f>
        <v/>
      </c>
      <c r="S1521" s="152">
        <f>IFERROR(ABS(J1521-'02_대상물건입력'!B10),"")</f>
        <v/>
      </c>
      <c r="T1521" s="152">
        <f>IFERROR(ABS('01_설정'!B4-F1521),"")</f>
        <v/>
      </c>
      <c r="U1521" s="152">
        <f>IFERROR(ABS(K1521-YEAR('02_대상물건입력'!B14)),"")</f>
        <v/>
      </c>
      <c r="V1521" s="152">
        <f>IF(B1521="","",IF(AND(E1521&gt;0,F1521&gt;0,H1521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1521=1,TRUE()),R1521&lt;='01_설정'!B5,S1521&lt;='01_설정'!B6,T1521&lt;='01_설정'!B7,U1521&lt;='01_설정'!B8),"Y",""))</f>
        <v/>
      </c>
      <c r="W1521" s="172">
        <f>IF(V1521&lt;&gt;"Y","",MAX(0,(1-R1521/'01_설정'!B5))*'01_설정'!B14+MAX(0,(1-S1521/'01_설정'!B6))*'01_설정'!B15+MAX(0,(1-T1521/'01_설정'!B7))*'01_설정'!B16+MAX(0,(1-U1521/'01_설정'!B8))*'01_설정'!B17+O1521*'01_설정'!B11+Q1521*'01_설정'!B12+P1521*'01_설정'!B13+IF(Z1521="",0,Z1521))</f>
        <v/>
      </c>
      <c r="X1521" s="152">
        <f>IF(W1521="","",1+COUNTIFS($W$4:$W$3003,"&gt;"&amp;W1521)+COUNTIFS($W$4:W1521,W1521)-1)</f>
        <v/>
      </c>
      <c r="Y1521" s="175">
        <f>IF(OR(I1521="",'02_대상물건입력'!B19="",'02_대상물건입력'!B19&lt;=0),"",ABS(I1521-'02_대상물건입력'!B19)/'02_대상물건입력'!B19)</f>
        <v/>
      </c>
      <c r="Z1521" s="172">
        <f>IF(OR(Y1521="",'01_설정'!B31="",'01_설정'!B31&lt;=0,'01_설정'!B32="",'01_설정'!B32&lt;=0),"",MAX(0,(1-Y1521/'01_설정'!B32))*'01_설정'!B31)</f>
        <v/>
      </c>
    </row>
    <row r="1522" ht="17.25" customHeight="1">
      <c r="A1522" s="152">
        <f>IF(INDEX('04A_국토부원자료'!$A:$A,ROW()+1)="","",ROW()-3)</f>
        <v/>
      </c>
      <c r="B1522" s="48">
        <f>IFERROR(INDEX('04A_국토부원자료'!$A:$T,ROW()+1,MATCH("시군구",'04A_국토부원자료'!$A$4:$T$4,0)),"")</f>
        <v/>
      </c>
      <c r="C1522" s="48">
        <f>IF(B1522="","",IFERROR(INDEX('04A_국토부원자료'!$A:$T,ROW()+1,MATCH("번지",'04A_국토부원자료'!$A$4:$T$4,0)),""))</f>
        <v/>
      </c>
      <c r="D1522" s="48">
        <f>IF(B1522="","",IF(Q1522=1,'02_대상물건입력'!$B$8,IFERROR(INDEX('04A_국토부원자료'!$A:$T,ROW()+1,MATCH("단지명",'04A_국토부원자료'!$A$4:$T$4,0)),"")))</f>
        <v/>
      </c>
      <c r="E1522" s="172">
        <f>IFERROR(VALUE(SUBSTITUTE(INDEX('04A_국토부원자료'!$A:$T,ROW()+1,MATCH("전용면적(㎡)",'04A_국토부원자료'!$A$4:$T$4,0)),",","")),"")</f>
        <v/>
      </c>
      <c r="F15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22" s="51">
        <f>IFERROR(VALUE(SUBSTITUTE(INDEX('04A_국토부원자료'!$A:$T,ROW()+1,MATCH("거래금액(만원)",'04A_국토부원자료'!$A$4:$T$4,0)),",","")),"")</f>
        <v/>
      </c>
      <c r="H1522" s="174">
        <f>IF(G1522="","",G1522*10000)</f>
        <v/>
      </c>
      <c r="I1522" s="174">
        <f>IFERROR(IF(AND(H1522&gt;0,E1522&gt;0),H1522/E1522,""),"")</f>
        <v/>
      </c>
      <c r="J1522" s="152">
        <f>IFERROR(VALUE(SUBSTITUTE(INDEX('04A_국토부원자료'!$A:$T,ROW()+1,MATCH("층",'04A_국토부원자료'!$A$4:$T$4,0)),",","")),"")</f>
        <v/>
      </c>
      <c r="K1522" s="152">
        <f>IFERROR(VALUE(SUBSTITUTE(INDEX('04A_국토부원자료'!$A:$T,ROW()+1,MATCH("건축년도",'04A_국토부원자료'!$A$4:$T$4,0)),",","")),"")</f>
        <v/>
      </c>
      <c r="L1522" s="176">
        <f>IFERROR(INDEX('04A_국토부원자료'!$A:$T,ROW()+1,MATCH("도로명",'04A_국토부원자료'!$A$4:$T$4,0)),"")</f>
        <v/>
      </c>
      <c r="M1522" s="48">
        <f>IFERROR(INDEX('04A_국토부원자료'!$A:$T,ROW()+1,MATCH("거래유형",'04A_국토부원자료'!$A$4:$T$4,0)),"")</f>
        <v/>
      </c>
      <c r="N1522" s="152">
        <f>IF(B1522="","",IF('02_대상물건입력'!B5="",1,IF(ISNUMBER(SEARCH('02_대상물건입력'!B5,B1522)),1,0)))</f>
        <v/>
      </c>
      <c r="O1522" s="152">
        <f>IF(B1522="","",IF('02_대상물건입력'!B6="",1,IF(ISNUMBER(SEARCH('02_대상물건입력'!B6,B1522)),1,0)))</f>
        <v/>
      </c>
      <c r="P1522" s="152">
        <f>IF(L1522="","",IF('02_대상물건입력'!B15="",0,IF(ISNUMBER(SEARCH('02_대상물건입력'!B15,L1522)),1,0)))</f>
        <v/>
      </c>
      <c r="Q1522" s="152">
        <f>IF(OR(C1522="",L1522=""),0,IF(AND(TRIM(C1522)=TRIM(RIGHT(SUBSTITUTE(TRIM('02_대상물건입력'!$B$7)," ",REPT(" ",99)),99)),IF('02_대상물건입력'!B15="",TRUE(),ISNUMBER(SEARCH('02_대상물건입력'!B15,L1522)))),1,0))</f>
        <v/>
      </c>
      <c r="R1522" s="175">
        <f>IFERROR(ABS(E1522-'02_대상물건입력'!B11)/'02_대상물건입력'!B11,"")</f>
        <v/>
      </c>
      <c r="S1522" s="152">
        <f>IFERROR(ABS(J1522-'02_대상물건입력'!B10),"")</f>
        <v/>
      </c>
      <c r="T1522" s="152">
        <f>IFERROR(ABS('01_설정'!B4-F1522),"")</f>
        <v/>
      </c>
      <c r="U1522" s="152">
        <f>IFERROR(ABS(K1522-YEAR('02_대상물건입력'!B14)),"")</f>
        <v/>
      </c>
      <c r="V1522" s="152">
        <f>IF(B1522="","",IF(AND(E1522&gt;0,F1522&gt;0,H1522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1522=1,TRUE()),R1522&lt;='01_설정'!B5,S1522&lt;='01_설정'!B6,T1522&lt;='01_설정'!B7,U1522&lt;='01_설정'!B8),"Y",""))</f>
        <v/>
      </c>
      <c r="W1522" s="172">
        <f>IF(V1522&lt;&gt;"Y","",MAX(0,(1-R1522/'01_설정'!B5))*'01_설정'!B14+MAX(0,(1-S1522/'01_설정'!B6))*'01_설정'!B15+MAX(0,(1-T1522/'01_설정'!B7))*'01_설정'!B16+MAX(0,(1-U1522/'01_설정'!B8))*'01_설정'!B17+O1522*'01_설정'!B11+Q1522*'01_설정'!B12+P1522*'01_설정'!B13+IF(Z1522="",0,Z1522))</f>
        <v/>
      </c>
      <c r="X1522" s="152">
        <f>IF(W1522="","",1+COUNTIFS($W$4:$W$3003,"&gt;"&amp;W1522)+COUNTIFS($W$4:W1522,W1522)-1)</f>
        <v/>
      </c>
      <c r="Y1522" s="175">
        <f>IF(OR(I1522="",'02_대상물건입력'!B19="",'02_대상물건입력'!B19&lt;=0),"",ABS(I1522-'02_대상물건입력'!B19)/'02_대상물건입력'!B19)</f>
        <v/>
      </c>
      <c r="Z1522" s="172">
        <f>IF(OR(Y1522="",'01_설정'!B31="",'01_설정'!B31&lt;=0,'01_설정'!B32="",'01_설정'!B32&lt;=0),"",MAX(0,(1-Y1522/'01_설정'!B32))*'01_설정'!B31)</f>
        <v/>
      </c>
    </row>
    <row r="1523" ht="17.25" customHeight="1">
      <c r="A1523" s="152">
        <f>IF(INDEX('04A_국토부원자료'!$A:$A,ROW()+1)="","",ROW()-3)</f>
        <v/>
      </c>
      <c r="B1523" s="48">
        <f>IFERROR(INDEX('04A_국토부원자료'!$A:$T,ROW()+1,MATCH("시군구",'04A_국토부원자료'!$A$4:$T$4,0)),"")</f>
        <v/>
      </c>
      <c r="C1523" s="48">
        <f>IF(B1523="","",IFERROR(INDEX('04A_국토부원자료'!$A:$T,ROW()+1,MATCH("번지",'04A_국토부원자료'!$A$4:$T$4,0)),""))</f>
        <v/>
      </c>
      <c r="D1523" s="48">
        <f>IF(B1523="","",IF(Q1523=1,'02_대상물건입력'!$B$8,IFERROR(INDEX('04A_국토부원자료'!$A:$T,ROW()+1,MATCH("단지명",'04A_국토부원자료'!$A$4:$T$4,0)),"")))</f>
        <v/>
      </c>
      <c r="E1523" s="172">
        <f>IFERROR(VALUE(SUBSTITUTE(INDEX('04A_국토부원자료'!$A:$T,ROW()+1,MATCH("전용면적(㎡)",'04A_국토부원자료'!$A$4:$T$4,0)),",","")),"")</f>
        <v/>
      </c>
      <c r="F15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23" s="51">
        <f>IFERROR(VALUE(SUBSTITUTE(INDEX('04A_국토부원자료'!$A:$T,ROW()+1,MATCH("거래금액(만원)",'04A_국토부원자료'!$A$4:$T$4,0)),",","")),"")</f>
        <v/>
      </c>
      <c r="H1523" s="174">
        <f>IF(G1523="","",G1523*10000)</f>
        <v/>
      </c>
      <c r="I1523" s="174">
        <f>IFERROR(IF(AND(H1523&gt;0,E1523&gt;0),H1523/E1523,""),"")</f>
        <v/>
      </c>
      <c r="J1523" s="152">
        <f>IFERROR(VALUE(SUBSTITUTE(INDEX('04A_국토부원자료'!$A:$T,ROW()+1,MATCH("층",'04A_국토부원자료'!$A$4:$T$4,0)),",","")),"")</f>
        <v/>
      </c>
      <c r="K1523" s="152">
        <f>IFERROR(VALUE(SUBSTITUTE(INDEX('04A_국토부원자료'!$A:$T,ROW()+1,MATCH("건축년도",'04A_국토부원자료'!$A$4:$T$4,0)),",","")),"")</f>
        <v/>
      </c>
      <c r="L1523" s="176">
        <f>IFERROR(INDEX('04A_국토부원자료'!$A:$T,ROW()+1,MATCH("도로명",'04A_국토부원자료'!$A$4:$T$4,0)),"")</f>
        <v/>
      </c>
      <c r="M1523" s="48">
        <f>IFERROR(INDEX('04A_국토부원자료'!$A:$T,ROW()+1,MATCH("거래유형",'04A_국토부원자료'!$A$4:$T$4,0)),"")</f>
        <v/>
      </c>
      <c r="N1523" s="152">
        <f>IF(B1523="","",IF('02_대상물건입력'!B5="",1,IF(ISNUMBER(SEARCH('02_대상물건입력'!B5,B1523)),1,0)))</f>
        <v/>
      </c>
      <c r="O1523" s="152">
        <f>IF(B1523="","",IF('02_대상물건입력'!B6="",1,IF(ISNUMBER(SEARCH('02_대상물건입력'!B6,B1523)),1,0)))</f>
        <v/>
      </c>
      <c r="P1523" s="152">
        <f>IF(L1523="","",IF('02_대상물건입력'!B15="",0,IF(ISNUMBER(SEARCH('02_대상물건입력'!B15,L1523)),1,0)))</f>
        <v/>
      </c>
      <c r="Q1523" s="152">
        <f>IF(OR(C1523="",L1523=""),0,IF(AND(TRIM(C1523)=TRIM(RIGHT(SUBSTITUTE(TRIM('02_대상물건입력'!$B$7)," ",REPT(" ",99)),99)),IF('02_대상물건입력'!B15="",TRUE(),ISNUMBER(SEARCH('02_대상물건입력'!B15,L1523)))),1,0))</f>
        <v/>
      </c>
      <c r="R1523" s="175">
        <f>IFERROR(ABS(E1523-'02_대상물건입력'!B11)/'02_대상물건입력'!B11,"")</f>
        <v/>
      </c>
      <c r="S1523" s="152">
        <f>IFERROR(ABS(J1523-'02_대상물건입력'!B10),"")</f>
        <v/>
      </c>
      <c r="T1523" s="152">
        <f>IFERROR(ABS('01_설정'!B4-F1523),"")</f>
        <v/>
      </c>
      <c r="U1523" s="152">
        <f>IFERROR(ABS(K1523-YEAR('02_대상물건입력'!B14)),"")</f>
        <v/>
      </c>
      <c r="V1523" s="152">
        <f>IF(B1523="","",IF(AND(E1523&gt;0,F1523&gt;0,H1523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1523=1,TRUE()),R1523&lt;='01_설정'!B5,S1523&lt;='01_설정'!B6,T1523&lt;='01_설정'!B7,U1523&lt;='01_설정'!B8),"Y",""))</f>
        <v/>
      </c>
      <c r="W1523" s="172">
        <f>IF(V1523&lt;&gt;"Y","",MAX(0,(1-R1523/'01_설정'!B5))*'01_설정'!B14+MAX(0,(1-S1523/'01_설정'!B6))*'01_설정'!B15+MAX(0,(1-T1523/'01_설정'!B7))*'01_설정'!B16+MAX(0,(1-U1523/'01_설정'!B8))*'01_설정'!B17+O1523*'01_설정'!B11+Q1523*'01_설정'!B12+P1523*'01_설정'!B13+IF(Z1523="",0,Z1523))</f>
        <v/>
      </c>
      <c r="X1523" s="152">
        <f>IF(W1523="","",1+COUNTIFS($W$4:$W$3003,"&gt;"&amp;W1523)+COUNTIFS($W$4:W1523,W1523)-1)</f>
        <v/>
      </c>
      <c r="Y1523" s="175">
        <f>IF(OR(I1523="",'02_대상물건입력'!B19="",'02_대상물건입력'!B19&lt;=0),"",ABS(I1523-'02_대상물건입력'!B19)/'02_대상물건입력'!B19)</f>
        <v/>
      </c>
      <c r="Z1523" s="172">
        <f>IF(OR(Y1523="",'01_설정'!B31="",'01_설정'!B31&lt;=0,'01_설정'!B32="",'01_설정'!B32&lt;=0),"",MAX(0,(1-Y1523/'01_설정'!B32))*'01_설정'!B31)</f>
        <v/>
      </c>
    </row>
    <row r="1524" ht="17.25" customHeight="1">
      <c r="A1524" s="152">
        <f>IF(INDEX('04A_국토부원자료'!$A:$A,ROW()+1)="","",ROW()-3)</f>
        <v/>
      </c>
      <c r="B1524" s="48">
        <f>IFERROR(INDEX('04A_국토부원자료'!$A:$T,ROW()+1,MATCH("시군구",'04A_국토부원자료'!$A$4:$T$4,0)),"")</f>
        <v/>
      </c>
      <c r="C1524" s="48">
        <f>IF(B1524="","",IFERROR(INDEX('04A_국토부원자료'!$A:$T,ROW()+1,MATCH("번지",'04A_국토부원자료'!$A$4:$T$4,0)),""))</f>
        <v/>
      </c>
      <c r="D1524" s="48">
        <f>IF(B1524="","",IF(Q1524=1,'02_대상물건입력'!$B$8,IFERROR(INDEX('04A_국토부원자료'!$A:$T,ROW()+1,MATCH("단지명",'04A_국토부원자료'!$A$4:$T$4,0)),"")))</f>
        <v/>
      </c>
      <c r="E1524" s="172">
        <f>IFERROR(VALUE(SUBSTITUTE(INDEX('04A_국토부원자료'!$A:$T,ROW()+1,MATCH("전용면적(㎡)",'04A_국토부원자료'!$A$4:$T$4,0)),",","")),"")</f>
        <v/>
      </c>
      <c r="F15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24" s="51">
        <f>IFERROR(VALUE(SUBSTITUTE(INDEX('04A_국토부원자료'!$A:$T,ROW()+1,MATCH("거래금액(만원)",'04A_국토부원자료'!$A$4:$T$4,0)),",","")),"")</f>
        <v/>
      </c>
      <c r="H1524" s="174">
        <f>IF(G1524="","",G1524*10000)</f>
        <v/>
      </c>
      <c r="I1524" s="174">
        <f>IFERROR(IF(AND(H1524&gt;0,E1524&gt;0),H1524/E1524,""),"")</f>
        <v/>
      </c>
      <c r="J1524" s="152">
        <f>IFERROR(VALUE(SUBSTITUTE(INDEX('04A_국토부원자료'!$A:$T,ROW()+1,MATCH("층",'04A_국토부원자료'!$A$4:$T$4,0)),",","")),"")</f>
        <v/>
      </c>
      <c r="K1524" s="152">
        <f>IFERROR(VALUE(SUBSTITUTE(INDEX('04A_국토부원자료'!$A:$T,ROW()+1,MATCH("건축년도",'04A_국토부원자료'!$A$4:$T$4,0)),",","")),"")</f>
        <v/>
      </c>
      <c r="L1524" s="176">
        <f>IFERROR(INDEX('04A_국토부원자료'!$A:$T,ROW()+1,MATCH("도로명",'04A_국토부원자료'!$A$4:$T$4,0)),"")</f>
        <v/>
      </c>
      <c r="M1524" s="48">
        <f>IFERROR(INDEX('04A_국토부원자료'!$A:$T,ROW()+1,MATCH("거래유형",'04A_국토부원자료'!$A$4:$T$4,0)),"")</f>
        <v/>
      </c>
      <c r="N1524" s="152">
        <f>IF(B1524="","",IF('02_대상물건입력'!B5="",1,IF(ISNUMBER(SEARCH('02_대상물건입력'!B5,B1524)),1,0)))</f>
        <v/>
      </c>
      <c r="O1524" s="152">
        <f>IF(B1524="","",IF('02_대상물건입력'!B6="",1,IF(ISNUMBER(SEARCH('02_대상물건입력'!B6,B1524)),1,0)))</f>
        <v/>
      </c>
      <c r="P1524" s="152">
        <f>IF(L1524="","",IF('02_대상물건입력'!B15="",0,IF(ISNUMBER(SEARCH('02_대상물건입력'!B15,L1524)),1,0)))</f>
        <v/>
      </c>
      <c r="Q1524" s="152">
        <f>IF(OR(C1524="",L1524=""),0,IF(AND(TRIM(C1524)=TRIM(RIGHT(SUBSTITUTE(TRIM('02_대상물건입력'!$B$7)," ",REPT(" ",99)),99)),IF('02_대상물건입력'!B15="",TRUE(),ISNUMBER(SEARCH('02_대상물건입력'!B15,L1524)))),1,0))</f>
        <v/>
      </c>
      <c r="R1524" s="175">
        <f>IFERROR(ABS(E1524-'02_대상물건입력'!B11)/'02_대상물건입력'!B11,"")</f>
        <v/>
      </c>
      <c r="S1524" s="152">
        <f>IFERROR(ABS(J1524-'02_대상물건입력'!B10),"")</f>
        <v/>
      </c>
      <c r="T1524" s="152">
        <f>IFERROR(ABS('01_설정'!B4-F1524),"")</f>
        <v/>
      </c>
      <c r="U1524" s="152">
        <f>IFERROR(ABS(K1524-YEAR('02_대상물건입력'!B14)),"")</f>
        <v/>
      </c>
      <c r="V1524" s="152">
        <f>IF(B1524="","",IF(AND(E1524&gt;0,F1524&gt;0,H1524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1524=1,TRUE()),R1524&lt;='01_설정'!B5,S1524&lt;='01_설정'!B6,T1524&lt;='01_설정'!B7,U1524&lt;='01_설정'!B8),"Y",""))</f>
        <v/>
      </c>
      <c r="W1524" s="172">
        <f>IF(V1524&lt;&gt;"Y","",MAX(0,(1-R1524/'01_설정'!B5))*'01_설정'!B14+MAX(0,(1-S1524/'01_설정'!B6))*'01_설정'!B15+MAX(0,(1-T1524/'01_설정'!B7))*'01_설정'!B16+MAX(0,(1-U1524/'01_설정'!B8))*'01_설정'!B17+O1524*'01_설정'!B11+Q1524*'01_설정'!B12+P1524*'01_설정'!B13+IF(Z1524="",0,Z1524))</f>
        <v/>
      </c>
      <c r="X1524" s="152">
        <f>IF(W1524="","",1+COUNTIFS($W$4:$W$3003,"&gt;"&amp;W1524)+COUNTIFS($W$4:W1524,W1524)-1)</f>
        <v/>
      </c>
      <c r="Y1524" s="175">
        <f>IF(OR(I1524="",'02_대상물건입력'!B19="",'02_대상물건입력'!B19&lt;=0),"",ABS(I1524-'02_대상물건입력'!B19)/'02_대상물건입력'!B19)</f>
        <v/>
      </c>
      <c r="Z1524" s="172">
        <f>IF(OR(Y1524="",'01_설정'!B31="",'01_설정'!B31&lt;=0,'01_설정'!B32="",'01_설정'!B32&lt;=0),"",MAX(0,(1-Y1524/'01_설정'!B32))*'01_설정'!B31)</f>
        <v/>
      </c>
    </row>
    <row r="1525" ht="17.25" customHeight="1">
      <c r="A1525" s="152">
        <f>IF(INDEX('04A_국토부원자료'!$A:$A,ROW()+1)="","",ROW()-3)</f>
        <v/>
      </c>
      <c r="B1525" s="48">
        <f>IFERROR(INDEX('04A_국토부원자료'!$A:$T,ROW()+1,MATCH("시군구",'04A_국토부원자료'!$A$4:$T$4,0)),"")</f>
        <v/>
      </c>
      <c r="C1525" s="48">
        <f>IF(B1525="","",IFERROR(INDEX('04A_국토부원자료'!$A:$T,ROW()+1,MATCH("번지",'04A_국토부원자료'!$A$4:$T$4,0)),""))</f>
        <v/>
      </c>
      <c r="D1525" s="48">
        <f>IF(B1525="","",IF(Q1525=1,'02_대상물건입력'!$B$8,IFERROR(INDEX('04A_국토부원자료'!$A:$T,ROW()+1,MATCH("단지명",'04A_국토부원자료'!$A$4:$T$4,0)),"")))</f>
        <v/>
      </c>
      <c r="E1525" s="172">
        <f>IFERROR(VALUE(SUBSTITUTE(INDEX('04A_국토부원자료'!$A:$T,ROW()+1,MATCH("전용면적(㎡)",'04A_국토부원자료'!$A$4:$T$4,0)),",","")),"")</f>
        <v/>
      </c>
      <c r="F15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25" s="51">
        <f>IFERROR(VALUE(SUBSTITUTE(INDEX('04A_국토부원자료'!$A:$T,ROW()+1,MATCH("거래금액(만원)",'04A_국토부원자료'!$A$4:$T$4,0)),",","")),"")</f>
        <v/>
      </c>
      <c r="H1525" s="174">
        <f>IF(G1525="","",G1525*10000)</f>
        <v/>
      </c>
      <c r="I1525" s="174">
        <f>IFERROR(IF(AND(H1525&gt;0,E1525&gt;0),H1525/E1525,""),"")</f>
        <v/>
      </c>
      <c r="J1525" s="152">
        <f>IFERROR(VALUE(SUBSTITUTE(INDEX('04A_국토부원자료'!$A:$T,ROW()+1,MATCH("층",'04A_국토부원자료'!$A$4:$T$4,0)),",","")),"")</f>
        <v/>
      </c>
      <c r="K1525" s="152">
        <f>IFERROR(VALUE(SUBSTITUTE(INDEX('04A_국토부원자료'!$A:$T,ROW()+1,MATCH("건축년도",'04A_국토부원자료'!$A$4:$T$4,0)),",","")),"")</f>
        <v/>
      </c>
      <c r="L1525" s="176">
        <f>IFERROR(INDEX('04A_국토부원자료'!$A:$T,ROW()+1,MATCH("도로명",'04A_국토부원자료'!$A$4:$T$4,0)),"")</f>
        <v/>
      </c>
      <c r="M1525" s="48">
        <f>IFERROR(INDEX('04A_국토부원자료'!$A:$T,ROW()+1,MATCH("거래유형",'04A_국토부원자료'!$A$4:$T$4,0)),"")</f>
        <v/>
      </c>
      <c r="N1525" s="152">
        <f>IF(B1525="","",IF('02_대상물건입력'!B5="",1,IF(ISNUMBER(SEARCH('02_대상물건입력'!B5,B1525)),1,0)))</f>
        <v/>
      </c>
      <c r="O1525" s="152">
        <f>IF(B1525="","",IF('02_대상물건입력'!B6="",1,IF(ISNUMBER(SEARCH('02_대상물건입력'!B6,B1525)),1,0)))</f>
        <v/>
      </c>
      <c r="P1525" s="152">
        <f>IF(L1525="","",IF('02_대상물건입력'!B15="",0,IF(ISNUMBER(SEARCH('02_대상물건입력'!B15,L1525)),1,0)))</f>
        <v/>
      </c>
      <c r="Q1525" s="152">
        <f>IF(OR(C1525="",L1525=""),0,IF(AND(TRIM(C1525)=TRIM(RIGHT(SUBSTITUTE(TRIM('02_대상물건입력'!$B$7)," ",REPT(" ",99)),99)),IF('02_대상물건입력'!B15="",TRUE(),ISNUMBER(SEARCH('02_대상물건입력'!B15,L1525)))),1,0))</f>
        <v/>
      </c>
      <c r="R1525" s="175">
        <f>IFERROR(ABS(E1525-'02_대상물건입력'!B11)/'02_대상물건입력'!B11,"")</f>
        <v/>
      </c>
      <c r="S1525" s="152">
        <f>IFERROR(ABS(J1525-'02_대상물건입력'!B10),"")</f>
        <v/>
      </c>
      <c r="T1525" s="152">
        <f>IFERROR(ABS('01_설정'!B4-F1525),"")</f>
        <v/>
      </c>
      <c r="U1525" s="152">
        <f>IFERROR(ABS(K1525-YEAR('02_대상물건입력'!B14)),"")</f>
        <v/>
      </c>
      <c r="V1525" s="152">
        <f>IF(B1525="","",IF(AND(E1525&gt;0,F1525&gt;0,H1525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1525=1,TRUE()),R1525&lt;='01_설정'!B5,S1525&lt;='01_설정'!B6,T1525&lt;='01_설정'!B7,U1525&lt;='01_설정'!B8),"Y",""))</f>
        <v/>
      </c>
      <c r="W1525" s="172">
        <f>IF(V1525&lt;&gt;"Y","",MAX(0,(1-R1525/'01_설정'!B5))*'01_설정'!B14+MAX(0,(1-S1525/'01_설정'!B6))*'01_설정'!B15+MAX(0,(1-T1525/'01_설정'!B7))*'01_설정'!B16+MAX(0,(1-U1525/'01_설정'!B8))*'01_설정'!B17+O1525*'01_설정'!B11+Q1525*'01_설정'!B12+P1525*'01_설정'!B13+IF(Z1525="",0,Z1525))</f>
        <v/>
      </c>
      <c r="X1525" s="152">
        <f>IF(W1525="","",1+COUNTIFS($W$4:$W$3003,"&gt;"&amp;W1525)+COUNTIFS($W$4:W1525,W1525)-1)</f>
        <v/>
      </c>
      <c r="Y1525" s="175">
        <f>IF(OR(I1525="",'02_대상물건입력'!B19="",'02_대상물건입력'!B19&lt;=0),"",ABS(I1525-'02_대상물건입력'!B19)/'02_대상물건입력'!B19)</f>
        <v/>
      </c>
      <c r="Z1525" s="172">
        <f>IF(OR(Y1525="",'01_설정'!B31="",'01_설정'!B31&lt;=0,'01_설정'!B32="",'01_설정'!B32&lt;=0),"",MAX(0,(1-Y1525/'01_설정'!B32))*'01_설정'!B31)</f>
        <v/>
      </c>
    </row>
    <row r="1526" ht="17.25" customHeight="1">
      <c r="A1526" s="152">
        <f>IF(INDEX('04A_국토부원자료'!$A:$A,ROW()+1)="","",ROW()-3)</f>
        <v/>
      </c>
      <c r="B1526" s="48">
        <f>IFERROR(INDEX('04A_국토부원자료'!$A:$T,ROW()+1,MATCH("시군구",'04A_국토부원자료'!$A$4:$T$4,0)),"")</f>
        <v/>
      </c>
      <c r="C1526" s="48">
        <f>IF(B1526="","",IFERROR(INDEX('04A_국토부원자료'!$A:$T,ROW()+1,MATCH("번지",'04A_국토부원자료'!$A$4:$T$4,0)),""))</f>
        <v/>
      </c>
      <c r="D1526" s="48">
        <f>IF(B1526="","",IF(Q1526=1,'02_대상물건입력'!$B$8,IFERROR(INDEX('04A_국토부원자료'!$A:$T,ROW()+1,MATCH("단지명",'04A_국토부원자료'!$A$4:$T$4,0)),"")))</f>
        <v/>
      </c>
      <c r="E1526" s="172">
        <f>IFERROR(VALUE(SUBSTITUTE(INDEX('04A_국토부원자료'!$A:$T,ROW()+1,MATCH("전용면적(㎡)",'04A_국토부원자료'!$A$4:$T$4,0)),",","")),"")</f>
        <v/>
      </c>
      <c r="F15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26" s="51">
        <f>IFERROR(VALUE(SUBSTITUTE(INDEX('04A_국토부원자료'!$A:$T,ROW()+1,MATCH("거래금액(만원)",'04A_국토부원자료'!$A$4:$T$4,0)),",","")),"")</f>
        <v/>
      </c>
      <c r="H1526" s="174">
        <f>IF(G1526="","",G1526*10000)</f>
        <v/>
      </c>
      <c r="I1526" s="174">
        <f>IFERROR(IF(AND(H1526&gt;0,E1526&gt;0),H1526/E1526,""),"")</f>
        <v/>
      </c>
      <c r="J1526" s="152">
        <f>IFERROR(VALUE(SUBSTITUTE(INDEX('04A_국토부원자료'!$A:$T,ROW()+1,MATCH("층",'04A_국토부원자료'!$A$4:$T$4,0)),",","")),"")</f>
        <v/>
      </c>
      <c r="K1526" s="152">
        <f>IFERROR(VALUE(SUBSTITUTE(INDEX('04A_국토부원자료'!$A:$T,ROW()+1,MATCH("건축년도",'04A_국토부원자료'!$A$4:$T$4,0)),",","")),"")</f>
        <v/>
      </c>
      <c r="L1526" s="176">
        <f>IFERROR(INDEX('04A_국토부원자료'!$A:$T,ROW()+1,MATCH("도로명",'04A_국토부원자료'!$A$4:$T$4,0)),"")</f>
        <v/>
      </c>
      <c r="M1526" s="48">
        <f>IFERROR(INDEX('04A_국토부원자료'!$A:$T,ROW()+1,MATCH("거래유형",'04A_국토부원자료'!$A$4:$T$4,0)),"")</f>
        <v/>
      </c>
      <c r="N1526" s="152">
        <f>IF(B1526="","",IF('02_대상물건입력'!B5="",1,IF(ISNUMBER(SEARCH('02_대상물건입력'!B5,B1526)),1,0)))</f>
        <v/>
      </c>
      <c r="O1526" s="152">
        <f>IF(B1526="","",IF('02_대상물건입력'!B6="",1,IF(ISNUMBER(SEARCH('02_대상물건입력'!B6,B1526)),1,0)))</f>
        <v/>
      </c>
      <c r="P1526" s="152">
        <f>IF(L1526="","",IF('02_대상물건입력'!B15="",0,IF(ISNUMBER(SEARCH('02_대상물건입력'!B15,L1526)),1,0)))</f>
        <v/>
      </c>
      <c r="Q1526" s="152">
        <f>IF(OR(C1526="",L1526=""),0,IF(AND(TRIM(C1526)=TRIM(RIGHT(SUBSTITUTE(TRIM('02_대상물건입력'!$B$7)," ",REPT(" ",99)),99)),IF('02_대상물건입력'!B15="",TRUE(),ISNUMBER(SEARCH('02_대상물건입력'!B15,L1526)))),1,0))</f>
        <v/>
      </c>
      <c r="R1526" s="175">
        <f>IFERROR(ABS(E1526-'02_대상물건입력'!B11)/'02_대상물건입력'!B11,"")</f>
        <v/>
      </c>
      <c r="S1526" s="152">
        <f>IFERROR(ABS(J1526-'02_대상물건입력'!B10),"")</f>
        <v/>
      </c>
      <c r="T1526" s="152">
        <f>IFERROR(ABS('01_설정'!B4-F1526),"")</f>
        <v/>
      </c>
      <c r="U1526" s="152">
        <f>IFERROR(ABS(K1526-YEAR('02_대상물건입력'!B14)),"")</f>
        <v/>
      </c>
      <c r="V1526" s="152">
        <f>IF(B1526="","",IF(AND(E1526&gt;0,F1526&gt;0,H1526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1526=1,TRUE()),R1526&lt;='01_설정'!B5,S1526&lt;='01_설정'!B6,T1526&lt;='01_설정'!B7,U1526&lt;='01_설정'!B8),"Y",""))</f>
        <v/>
      </c>
      <c r="W1526" s="172">
        <f>IF(V1526&lt;&gt;"Y","",MAX(0,(1-R1526/'01_설정'!B5))*'01_설정'!B14+MAX(0,(1-S1526/'01_설정'!B6))*'01_설정'!B15+MAX(0,(1-T1526/'01_설정'!B7))*'01_설정'!B16+MAX(0,(1-U1526/'01_설정'!B8))*'01_설정'!B17+O1526*'01_설정'!B11+Q1526*'01_설정'!B12+P1526*'01_설정'!B13+IF(Z1526="",0,Z1526))</f>
        <v/>
      </c>
      <c r="X1526" s="152">
        <f>IF(W1526="","",1+COUNTIFS($W$4:$W$3003,"&gt;"&amp;W1526)+COUNTIFS($W$4:W1526,W1526)-1)</f>
        <v/>
      </c>
      <c r="Y1526" s="175">
        <f>IF(OR(I1526="",'02_대상물건입력'!B19="",'02_대상물건입력'!B19&lt;=0),"",ABS(I1526-'02_대상물건입력'!B19)/'02_대상물건입력'!B19)</f>
        <v/>
      </c>
      <c r="Z1526" s="172">
        <f>IF(OR(Y1526="",'01_설정'!B31="",'01_설정'!B31&lt;=0,'01_설정'!B32="",'01_설정'!B32&lt;=0),"",MAX(0,(1-Y1526/'01_설정'!B32))*'01_설정'!B31)</f>
        <v/>
      </c>
    </row>
    <row r="1527" ht="17.25" customHeight="1">
      <c r="A1527" s="152">
        <f>IF(INDEX('04A_국토부원자료'!$A:$A,ROW()+1)="","",ROW()-3)</f>
        <v/>
      </c>
      <c r="B1527" s="48">
        <f>IFERROR(INDEX('04A_국토부원자료'!$A:$T,ROW()+1,MATCH("시군구",'04A_국토부원자료'!$A$4:$T$4,0)),"")</f>
        <v/>
      </c>
      <c r="C1527" s="48">
        <f>IF(B1527="","",IFERROR(INDEX('04A_국토부원자료'!$A:$T,ROW()+1,MATCH("번지",'04A_국토부원자료'!$A$4:$T$4,0)),""))</f>
        <v/>
      </c>
      <c r="D1527" s="48">
        <f>IF(B1527="","",IF(Q1527=1,'02_대상물건입력'!$B$8,IFERROR(INDEX('04A_국토부원자료'!$A:$T,ROW()+1,MATCH("단지명",'04A_국토부원자료'!$A$4:$T$4,0)),"")))</f>
        <v/>
      </c>
      <c r="E1527" s="172">
        <f>IFERROR(VALUE(SUBSTITUTE(INDEX('04A_국토부원자료'!$A:$T,ROW()+1,MATCH("전용면적(㎡)",'04A_국토부원자료'!$A$4:$T$4,0)),",","")),"")</f>
        <v/>
      </c>
      <c r="F15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27" s="51">
        <f>IFERROR(VALUE(SUBSTITUTE(INDEX('04A_국토부원자료'!$A:$T,ROW()+1,MATCH("거래금액(만원)",'04A_국토부원자료'!$A$4:$T$4,0)),",","")),"")</f>
        <v/>
      </c>
      <c r="H1527" s="174">
        <f>IF(G1527="","",G1527*10000)</f>
        <v/>
      </c>
      <c r="I1527" s="174">
        <f>IFERROR(IF(AND(H1527&gt;0,E1527&gt;0),H1527/E1527,""),"")</f>
        <v/>
      </c>
      <c r="J1527" s="152">
        <f>IFERROR(VALUE(SUBSTITUTE(INDEX('04A_국토부원자료'!$A:$T,ROW()+1,MATCH("층",'04A_국토부원자료'!$A$4:$T$4,0)),",","")),"")</f>
        <v/>
      </c>
      <c r="K1527" s="152">
        <f>IFERROR(VALUE(SUBSTITUTE(INDEX('04A_국토부원자료'!$A:$T,ROW()+1,MATCH("건축년도",'04A_국토부원자료'!$A$4:$T$4,0)),",","")),"")</f>
        <v/>
      </c>
      <c r="L1527" s="176">
        <f>IFERROR(INDEX('04A_국토부원자료'!$A:$T,ROW()+1,MATCH("도로명",'04A_국토부원자료'!$A$4:$T$4,0)),"")</f>
        <v/>
      </c>
      <c r="M1527" s="48">
        <f>IFERROR(INDEX('04A_국토부원자료'!$A:$T,ROW()+1,MATCH("거래유형",'04A_국토부원자료'!$A$4:$T$4,0)),"")</f>
        <v/>
      </c>
      <c r="N1527" s="152">
        <f>IF(B1527="","",IF('02_대상물건입력'!B5="",1,IF(ISNUMBER(SEARCH('02_대상물건입력'!B5,B1527)),1,0)))</f>
        <v/>
      </c>
      <c r="O1527" s="152">
        <f>IF(B1527="","",IF('02_대상물건입력'!B6="",1,IF(ISNUMBER(SEARCH('02_대상물건입력'!B6,B1527)),1,0)))</f>
        <v/>
      </c>
      <c r="P1527" s="152">
        <f>IF(L1527="","",IF('02_대상물건입력'!B15="",0,IF(ISNUMBER(SEARCH('02_대상물건입력'!B15,L1527)),1,0)))</f>
        <v/>
      </c>
      <c r="Q1527" s="152">
        <f>IF(OR(C1527="",L1527=""),0,IF(AND(TRIM(C1527)=TRIM(RIGHT(SUBSTITUTE(TRIM('02_대상물건입력'!$B$7)," ",REPT(" ",99)),99)),IF('02_대상물건입력'!B15="",TRUE(),ISNUMBER(SEARCH('02_대상물건입력'!B15,L1527)))),1,0))</f>
        <v/>
      </c>
      <c r="R1527" s="175">
        <f>IFERROR(ABS(E1527-'02_대상물건입력'!B11)/'02_대상물건입력'!B11,"")</f>
        <v/>
      </c>
      <c r="S1527" s="152">
        <f>IFERROR(ABS(J1527-'02_대상물건입력'!B10),"")</f>
        <v/>
      </c>
      <c r="T1527" s="152">
        <f>IFERROR(ABS('01_설정'!B4-F1527),"")</f>
        <v/>
      </c>
      <c r="U1527" s="152">
        <f>IFERROR(ABS(K1527-YEAR('02_대상물건입력'!B14)),"")</f>
        <v/>
      </c>
      <c r="V1527" s="152">
        <f>IF(B1527="","",IF(AND(E1527&gt;0,F1527&gt;0,H1527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1527=1,TRUE()),R1527&lt;='01_설정'!B5,S1527&lt;='01_설정'!B6,T1527&lt;='01_설정'!B7,U1527&lt;='01_설정'!B8),"Y",""))</f>
        <v/>
      </c>
      <c r="W1527" s="172">
        <f>IF(V1527&lt;&gt;"Y","",MAX(0,(1-R1527/'01_설정'!B5))*'01_설정'!B14+MAX(0,(1-S1527/'01_설정'!B6))*'01_설정'!B15+MAX(0,(1-T1527/'01_설정'!B7))*'01_설정'!B16+MAX(0,(1-U1527/'01_설정'!B8))*'01_설정'!B17+O1527*'01_설정'!B11+Q1527*'01_설정'!B12+P1527*'01_설정'!B13+IF(Z1527="",0,Z1527))</f>
        <v/>
      </c>
      <c r="X1527" s="152">
        <f>IF(W1527="","",1+COUNTIFS($W$4:$W$3003,"&gt;"&amp;W1527)+COUNTIFS($W$4:W1527,W1527)-1)</f>
        <v/>
      </c>
      <c r="Y1527" s="175">
        <f>IF(OR(I1527="",'02_대상물건입력'!B19="",'02_대상물건입력'!B19&lt;=0),"",ABS(I1527-'02_대상물건입력'!B19)/'02_대상물건입력'!B19)</f>
        <v/>
      </c>
      <c r="Z1527" s="172">
        <f>IF(OR(Y1527="",'01_설정'!B31="",'01_설정'!B31&lt;=0,'01_설정'!B32="",'01_설정'!B32&lt;=0),"",MAX(0,(1-Y1527/'01_설정'!B32))*'01_설정'!B31)</f>
        <v/>
      </c>
    </row>
    <row r="1528" ht="17.25" customHeight="1">
      <c r="A1528" s="152">
        <f>IF(INDEX('04A_국토부원자료'!$A:$A,ROW()+1)="","",ROW()-3)</f>
        <v/>
      </c>
      <c r="B1528" s="48">
        <f>IFERROR(INDEX('04A_국토부원자료'!$A:$T,ROW()+1,MATCH("시군구",'04A_국토부원자료'!$A$4:$T$4,0)),"")</f>
        <v/>
      </c>
      <c r="C1528" s="48">
        <f>IF(B1528="","",IFERROR(INDEX('04A_국토부원자료'!$A:$T,ROW()+1,MATCH("번지",'04A_국토부원자료'!$A$4:$T$4,0)),""))</f>
        <v/>
      </c>
      <c r="D1528" s="48">
        <f>IF(B1528="","",IF(Q1528=1,'02_대상물건입력'!$B$8,IFERROR(INDEX('04A_국토부원자료'!$A:$T,ROW()+1,MATCH("단지명",'04A_국토부원자료'!$A$4:$T$4,0)),"")))</f>
        <v/>
      </c>
      <c r="E1528" s="172">
        <f>IFERROR(VALUE(SUBSTITUTE(INDEX('04A_국토부원자료'!$A:$T,ROW()+1,MATCH("전용면적(㎡)",'04A_국토부원자료'!$A$4:$T$4,0)),",","")),"")</f>
        <v/>
      </c>
      <c r="F15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28" s="51">
        <f>IFERROR(VALUE(SUBSTITUTE(INDEX('04A_국토부원자료'!$A:$T,ROW()+1,MATCH("거래금액(만원)",'04A_국토부원자료'!$A$4:$T$4,0)),",","")),"")</f>
        <v/>
      </c>
      <c r="H1528" s="174">
        <f>IF(G1528="","",G1528*10000)</f>
        <v/>
      </c>
      <c r="I1528" s="174">
        <f>IFERROR(IF(AND(H1528&gt;0,E1528&gt;0),H1528/E1528,""),"")</f>
        <v/>
      </c>
      <c r="J1528" s="152">
        <f>IFERROR(VALUE(SUBSTITUTE(INDEX('04A_국토부원자료'!$A:$T,ROW()+1,MATCH("층",'04A_국토부원자료'!$A$4:$T$4,0)),",","")),"")</f>
        <v/>
      </c>
      <c r="K1528" s="152">
        <f>IFERROR(VALUE(SUBSTITUTE(INDEX('04A_국토부원자료'!$A:$T,ROW()+1,MATCH("건축년도",'04A_국토부원자료'!$A$4:$T$4,0)),",","")),"")</f>
        <v/>
      </c>
      <c r="L1528" s="176">
        <f>IFERROR(INDEX('04A_국토부원자료'!$A:$T,ROW()+1,MATCH("도로명",'04A_국토부원자료'!$A$4:$T$4,0)),"")</f>
        <v/>
      </c>
      <c r="M1528" s="48">
        <f>IFERROR(INDEX('04A_국토부원자료'!$A:$T,ROW()+1,MATCH("거래유형",'04A_국토부원자료'!$A$4:$T$4,0)),"")</f>
        <v/>
      </c>
      <c r="N1528" s="152">
        <f>IF(B1528="","",IF('02_대상물건입력'!B5="",1,IF(ISNUMBER(SEARCH('02_대상물건입력'!B5,B1528)),1,0)))</f>
        <v/>
      </c>
      <c r="O1528" s="152">
        <f>IF(B1528="","",IF('02_대상물건입력'!B6="",1,IF(ISNUMBER(SEARCH('02_대상물건입력'!B6,B1528)),1,0)))</f>
        <v/>
      </c>
      <c r="P1528" s="152">
        <f>IF(L1528="","",IF('02_대상물건입력'!B15="",0,IF(ISNUMBER(SEARCH('02_대상물건입력'!B15,L1528)),1,0)))</f>
        <v/>
      </c>
      <c r="Q1528" s="152">
        <f>IF(OR(C1528="",L1528=""),0,IF(AND(TRIM(C1528)=TRIM(RIGHT(SUBSTITUTE(TRIM('02_대상물건입력'!$B$7)," ",REPT(" ",99)),99)),IF('02_대상물건입력'!B15="",TRUE(),ISNUMBER(SEARCH('02_대상물건입력'!B15,L1528)))),1,0))</f>
        <v/>
      </c>
      <c r="R1528" s="175">
        <f>IFERROR(ABS(E1528-'02_대상물건입력'!B11)/'02_대상물건입력'!B11,"")</f>
        <v/>
      </c>
      <c r="S1528" s="152">
        <f>IFERROR(ABS(J1528-'02_대상물건입력'!B10),"")</f>
        <v/>
      </c>
      <c r="T1528" s="152">
        <f>IFERROR(ABS('01_설정'!B4-F1528),"")</f>
        <v/>
      </c>
      <c r="U1528" s="152">
        <f>IFERROR(ABS(K1528-YEAR('02_대상물건입력'!B14)),"")</f>
        <v/>
      </c>
      <c r="V1528" s="152">
        <f>IF(B1528="","",IF(AND(E1528&gt;0,F1528&gt;0,H1528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1528=1,TRUE()),R1528&lt;='01_설정'!B5,S1528&lt;='01_설정'!B6,T1528&lt;='01_설정'!B7,U1528&lt;='01_설정'!B8),"Y",""))</f>
        <v/>
      </c>
      <c r="W1528" s="172">
        <f>IF(V1528&lt;&gt;"Y","",MAX(0,(1-R1528/'01_설정'!B5))*'01_설정'!B14+MAX(0,(1-S1528/'01_설정'!B6))*'01_설정'!B15+MAX(0,(1-T1528/'01_설정'!B7))*'01_설정'!B16+MAX(0,(1-U1528/'01_설정'!B8))*'01_설정'!B17+O1528*'01_설정'!B11+Q1528*'01_설정'!B12+P1528*'01_설정'!B13+IF(Z1528="",0,Z1528))</f>
        <v/>
      </c>
      <c r="X1528" s="152">
        <f>IF(W1528="","",1+COUNTIFS($W$4:$W$3003,"&gt;"&amp;W1528)+COUNTIFS($W$4:W1528,W1528)-1)</f>
        <v/>
      </c>
      <c r="Y1528" s="175">
        <f>IF(OR(I1528="",'02_대상물건입력'!B19="",'02_대상물건입력'!B19&lt;=0),"",ABS(I1528-'02_대상물건입력'!B19)/'02_대상물건입력'!B19)</f>
        <v/>
      </c>
      <c r="Z1528" s="172">
        <f>IF(OR(Y1528="",'01_설정'!B31="",'01_설정'!B31&lt;=0,'01_설정'!B32="",'01_설정'!B32&lt;=0),"",MAX(0,(1-Y1528/'01_설정'!B32))*'01_설정'!B31)</f>
        <v/>
      </c>
    </row>
    <row r="1529" ht="17.25" customHeight="1">
      <c r="A1529" s="152">
        <f>IF(INDEX('04A_국토부원자료'!$A:$A,ROW()+1)="","",ROW()-3)</f>
        <v/>
      </c>
      <c r="B1529" s="48">
        <f>IFERROR(INDEX('04A_국토부원자료'!$A:$T,ROW()+1,MATCH("시군구",'04A_국토부원자료'!$A$4:$T$4,0)),"")</f>
        <v/>
      </c>
      <c r="C1529" s="48">
        <f>IF(B1529="","",IFERROR(INDEX('04A_국토부원자료'!$A:$T,ROW()+1,MATCH("번지",'04A_국토부원자료'!$A$4:$T$4,0)),""))</f>
        <v/>
      </c>
      <c r="D1529" s="48">
        <f>IF(B1529="","",IF(Q1529=1,'02_대상물건입력'!$B$8,IFERROR(INDEX('04A_국토부원자료'!$A:$T,ROW()+1,MATCH("단지명",'04A_국토부원자료'!$A$4:$T$4,0)),"")))</f>
        <v/>
      </c>
      <c r="E1529" s="172">
        <f>IFERROR(VALUE(SUBSTITUTE(INDEX('04A_국토부원자료'!$A:$T,ROW()+1,MATCH("전용면적(㎡)",'04A_국토부원자료'!$A$4:$T$4,0)),",","")),"")</f>
        <v/>
      </c>
      <c r="F15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29" s="51">
        <f>IFERROR(VALUE(SUBSTITUTE(INDEX('04A_국토부원자료'!$A:$T,ROW()+1,MATCH("거래금액(만원)",'04A_국토부원자료'!$A$4:$T$4,0)),",","")),"")</f>
        <v/>
      </c>
      <c r="H1529" s="174">
        <f>IF(G1529="","",G1529*10000)</f>
        <v/>
      </c>
      <c r="I1529" s="174">
        <f>IFERROR(IF(AND(H1529&gt;0,E1529&gt;0),H1529/E1529,""),"")</f>
        <v/>
      </c>
      <c r="J1529" s="152">
        <f>IFERROR(VALUE(SUBSTITUTE(INDEX('04A_국토부원자료'!$A:$T,ROW()+1,MATCH("층",'04A_국토부원자료'!$A$4:$T$4,0)),",","")),"")</f>
        <v/>
      </c>
      <c r="K1529" s="152">
        <f>IFERROR(VALUE(SUBSTITUTE(INDEX('04A_국토부원자료'!$A:$T,ROW()+1,MATCH("건축년도",'04A_국토부원자료'!$A$4:$T$4,0)),",","")),"")</f>
        <v/>
      </c>
      <c r="L1529" s="176">
        <f>IFERROR(INDEX('04A_국토부원자료'!$A:$T,ROW()+1,MATCH("도로명",'04A_국토부원자료'!$A$4:$T$4,0)),"")</f>
        <v/>
      </c>
      <c r="M1529" s="48">
        <f>IFERROR(INDEX('04A_국토부원자료'!$A:$T,ROW()+1,MATCH("거래유형",'04A_국토부원자료'!$A$4:$T$4,0)),"")</f>
        <v/>
      </c>
      <c r="N1529" s="152">
        <f>IF(B1529="","",IF('02_대상물건입력'!B5="",1,IF(ISNUMBER(SEARCH('02_대상물건입력'!B5,B1529)),1,0)))</f>
        <v/>
      </c>
      <c r="O1529" s="152">
        <f>IF(B1529="","",IF('02_대상물건입력'!B6="",1,IF(ISNUMBER(SEARCH('02_대상물건입력'!B6,B1529)),1,0)))</f>
        <v/>
      </c>
      <c r="P1529" s="152">
        <f>IF(L1529="","",IF('02_대상물건입력'!B15="",0,IF(ISNUMBER(SEARCH('02_대상물건입력'!B15,L1529)),1,0)))</f>
        <v/>
      </c>
      <c r="Q1529" s="152">
        <f>IF(OR(C1529="",L1529=""),0,IF(AND(TRIM(C1529)=TRIM(RIGHT(SUBSTITUTE(TRIM('02_대상물건입력'!$B$7)," ",REPT(" ",99)),99)),IF('02_대상물건입력'!B15="",TRUE(),ISNUMBER(SEARCH('02_대상물건입력'!B15,L1529)))),1,0))</f>
        <v/>
      </c>
      <c r="R1529" s="175">
        <f>IFERROR(ABS(E1529-'02_대상물건입력'!B11)/'02_대상물건입력'!B11,"")</f>
        <v/>
      </c>
      <c r="S1529" s="152">
        <f>IFERROR(ABS(J1529-'02_대상물건입력'!B10),"")</f>
        <v/>
      </c>
      <c r="T1529" s="152">
        <f>IFERROR(ABS('01_설정'!B4-F1529),"")</f>
        <v/>
      </c>
      <c r="U1529" s="152">
        <f>IFERROR(ABS(K1529-YEAR('02_대상물건입력'!B14)),"")</f>
        <v/>
      </c>
      <c r="V1529" s="152">
        <f>IF(B1529="","",IF(AND(E1529&gt;0,F1529&gt;0,H1529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1529=1,TRUE()),R1529&lt;='01_설정'!B5,S1529&lt;='01_설정'!B6,T1529&lt;='01_설정'!B7,U1529&lt;='01_설정'!B8),"Y",""))</f>
        <v/>
      </c>
      <c r="W1529" s="172">
        <f>IF(V1529&lt;&gt;"Y","",MAX(0,(1-R1529/'01_설정'!B5))*'01_설정'!B14+MAX(0,(1-S1529/'01_설정'!B6))*'01_설정'!B15+MAX(0,(1-T1529/'01_설정'!B7))*'01_설정'!B16+MAX(0,(1-U1529/'01_설정'!B8))*'01_설정'!B17+O1529*'01_설정'!B11+Q1529*'01_설정'!B12+P1529*'01_설정'!B13+IF(Z1529="",0,Z1529))</f>
        <v/>
      </c>
      <c r="X1529" s="152">
        <f>IF(W1529="","",1+COUNTIFS($W$4:$W$3003,"&gt;"&amp;W1529)+COUNTIFS($W$4:W1529,W1529)-1)</f>
        <v/>
      </c>
      <c r="Y1529" s="175">
        <f>IF(OR(I1529="",'02_대상물건입력'!B19="",'02_대상물건입력'!B19&lt;=0),"",ABS(I1529-'02_대상물건입력'!B19)/'02_대상물건입력'!B19)</f>
        <v/>
      </c>
      <c r="Z1529" s="172">
        <f>IF(OR(Y1529="",'01_설정'!B31="",'01_설정'!B31&lt;=0,'01_설정'!B32="",'01_설정'!B32&lt;=0),"",MAX(0,(1-Y1529/'01_설정'!B32))*'01_설정'!B31)</f>
        <v/>
      </c>
    </row>
    <row r="1530" ht="17.25" customHeight="1">
      <c r="A1530" s="152">
        <f>IF(INDEX('04A_국토부원자료'!$A:$A,ROW()+1)="","",ROW()-3)</f>
        <v/>
      </c>
      <c r="B1530" s="48">
        <f>IFERROR(INDEX('04A_국토부원자료'!$A:$T,ROW()+1,MATCH("시군구",'04A_국토부원자료'!$A$4:$T$4,0)),"")</f>
        <v/>
      </c>
      <c r="C1530" s="48">
        <f>IF(B1530="","",IFERROR(INDEX('04A_국토부원자료'!$A:$T,ROW()+1,MATCH("번지",'04A_국토부원자료'!$A$4:$T$4,0)),""))</f>
        <v/>
      </c>
      <c r="D1530" s="48">
        <f>IF(B1530="","",IF(Q1530=1,'02_대상물건입력'!$B$8,IFERROR(INDEX('04A_국토부원자료'!$A:$T,ROW()+1,MATCH("단지명",'04A_국토부원자료'!$A$4:$T$4,0)),"")))</f>
        <v/>
      </c>
      <c r="E1530" s="172">
        <f>IFERROR(VALUE(SUBSTITUTE(INDEX('04A_국토부원자료'!$A:$T,ROW()+1,MATCH("전용면적(㎡)",'04A_국토부원자료'!$A$4:$T$4,0)),",","")),"")</f>
        <v/>
      </c>
      <c r="F15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30" s="51">
        <f>IFERROR(VALUE(SUBSTITUTE(INDEX('04A_국토부원자료'!$A:$T,ROW()+1,MATCH("거래금액(만원)",'04A_국토부원자료'!$A$4:$T$4,0)),",","")),"")</f>
        <v/>
      </c>
      <c r="H1530" s="174">
        <f>IF(G1530="","",G1530*10000)</f>
        <v/>
      </c>
      <c r="I1530" s="174">
        <f>IFERROR(IF(AND(H1530&gt;0,E1530&gt;0),H1530/E1530,""),"")</f>
        <v/>
      </c>
      <c r="J1530" s="152">
        <f>IFERROR(VALUE(SUBSTITUTE(INDEX('04A_국토부원자료'!$A:$T,ROW()+1,MATCH("층",'04A_국토부원자료'!$A$4:$T$4,0)),",","")),"")</f>
        <v/>
      </c>
      <c r="K1530" s="152">
        <f>IFERROR(VALUE(SUBSTITUTE(INDEX('04A_국토부원자료'!$A:$T,ROW()+1,MATCH("건축년도",'04A_국토부원자료'!$A$4:$T$4,0)),",","")),"")</f>
        <v/>
      </c>
      <c r="L1530" s="176">
        <f>IFERROR(INDEX('04A_국토부원자료'!$A:$T,ROW()+1,MATCH("도로명",'04A_국토부원자료'!$A$4:$T$4,0)),"")</f>
        <v/>
      </c>
      <c r="M1530" s="48">
        <f>IFERROR(INDEX('04A_국토부원자료'!$A:$T,ROW()+1,MATCH("거래유형",'04A_국토부원자료'!$A$4:$T$4,0)),"")</f>
        <v/>
      </c>
      <c r="N1530" s="152">
        <f>IF(B1530="","",IF('02_대상물건입력'!B5="",1,IF(ISNUMBER(SEARCH('02_대상물건입력'!B5,B1530)),1,0)))</f>
        <v/>
      </c>
      <c r="O1530" s="152">
        <f>IF(B1530="","",IF('02_대상물건입력'!B6="",1,IF(ISNUMBER(SEARCH('02_대상물건입력'!B6,B1530)),1,0)))</f>
        <v/>
      </c>
      <c r="P1530" s="152">
        <f>IF(L1530="","",IF('02_대상물건입력'!B15="",0,IF(ISNUMBER(SEARCH('02_대상물건입력'!B15,L1530)),1,0)))</f>
        <v/>
      </c>
      <c r="Q1530" s="152">
        <f>IF(OR(C1530="",L1530=""),0,IF(AND(TRIM(C1530)=TRIM(RIGHT(SUBSTITUTE(TRIM('02_대상물건입력'!$B$7)," ",REPT(" ",99)),99)),IF('02_대상물건입력'!B15="",TRUE(),ISNUMBER(SEARCH('02_대상물건입력'!B15,L1530)))),1,0))</f>
        <v/>
      </c>
      <c r="R1530" s="175">
        <f>IFERROR(ABS(E1530-'02_대상물건입력'!B11)/'02_대상물건입력'!B11,"")</f>
        <v/>
      </c>
      <c r="S1530" s="152">
        <f>IFERROR(ABS(J1530-'02_대상물건입력'!B10),"")</f>
        <v/>
      </c>
      <c r="T1530" s="152">
        <f>IFERROR(ABS('01_설정'!B4-F1530),"")</f>
        <v/>
      </c>
      <c r="U1530" s="152">
        <f>IFERROR(ABS(K1530-YEAR('02_대상물건입력'!B14)),"")</f>
        <v/>
      </c>
      <c r="V1530" s="152">
        <f>IF(B1530="","",IF(AND(E1530&gt;0,F1530&gt;0,H1530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1530=1,TRUE()),R1530&lt;='01_설정'!B5,S1530&lt;='01_설정'!B6,T1530&lt;='01_설정'!B7,U1530&lt;='01_설정'!B8),"Y",""))</f>
        <v/>
      </c>
      <c r="W1530" s="172">
        <f>IF(V1530&lt;&gt;"Y","",MAX(0,(1-R1530/'01_설정'!B5))*'01_설정'!B14+MAX(0,(1-S1530/'01_설정'!B6))*'01_설정'!B15+MAX(0,(1-T1530/'01_설정'!B7))*'01_설정'!B16+MAX(0,(1-U1530/'01_설정'!B8))*'01_설정'!B17+O1530*'01_설정'!B11+Q1530*'01_설정'!B12+P1530*'01_설정'!B13+IF(Z1530="",0,Z1530))</f>
        <v/>
      </c>
      <c r="X1530" s="152">
        <f>IF(W1530="","",1+COUNTIFS($W$4:$W$3003,"&gt;"&amp;W1530)+COUNTIFS($W$4:W1530,W1530)-1)</f>
        <v/>
      </c>
      <c r="Y1530" s="175">
        <f>IF(OR(I1530="",'02_대상물건입력'!B19="",'02_대상물건입력'!B19&lt;=0),"",ABS(I1530-'02_대상물건입력'!B19)/'02_대상물건입력'!B19)</f>
        <v/>
      </c>
      <c r="Z1530" s="172">
        <f>IF(OR(Y1530="",'01_설정'!B31="",'01_설정'!B31&lt;=0,'01_설정'!B32="",'01_설정'!B32&lt;=0),"",MAX(0,(1-Y1530/'01_설정'!B32))*'01_설정'!B31)</f>
        <v/>
      </c>
    </row>
    <row r="1531" ht="17.25" customHeight="1">
      <c r="A1531" s="152">
        <f>IF(INDEX('04A_국토부원자료'!$A:$A,ROW()+1)="","",ROW()-3)</f>
        <v/>
      </c>
      <c r="B1531" s="48">
        <f>IFERROR(INDEX('04A_국토부원자료'!$A:$T,ROW()+1,MATCH("시군구",'04A_국토부원자료'!$A$4:$T$4,0)),"")</f>
        <v/>
      </c>
      <c r="C1531" s="48">
        <f>IF(B1531="","",IFERROR(INDEX('04A_국토부원자료'!$A:$T,ROW()+1,MATCH("번지",'04A_국토부원자료'!$A$4:$T$4,0)),""))</f>
        <v/>
      </c>
      <c r="D1531" s="48">
        <f>IF(B1531="","",IF(Q1531=1,'02_대상물건입력'!$B$8,IFERROR(INDEX('04A_국토부원자료'!$A:$T,ROW()+1,MATCH("단지명",'04A_국토부원자료'!$A$4:$T$4,0)),"")))</f>
        <v/>
      </c>
      <c r="E1531" s="172">
        <f>IFERROR(VALUE(SUBSTITUTE(INDEX('04A_국토부원자료'!$A:$T,ROW()+1,MATCH("전용면적(㎡)",'04A_국토부원자료'!$A$4:$T$4,0)),",","")),"")</f>
        <v/>
      </c>
      <c r="F15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31" s="51">
        <f>IFERROR(VALUE(SUBSTITUTE(INDEX('04A_국토부원자료'!$A:$T,ROW()+1,MATCH("거래금액(만원)",'04A_국토부원자료'!$A$4:$T$4,0)),",","")),"")</f>
        <v/>
      </c>
      <c r="H1531" s="174">
        <f>IF(G1531="","",G1531*10000)</f>
        <v/>
      </c>
      <c r="I1531" s="174">
        <f>IFERROR(IF(AND(H1531&gt;0,E1531&gt;0),H1531/E1531,""),"")</f>
        <v/>
      </c>
      <c r="J1531" s="152">
        <f>IFERROR(VALUE(SUBSTITUTE(INDEX('04A_국토부원자료'!$A:$T,ROW()+1,MATCH("층",'04A_국토부원자료'!$A$4:$T$4,0)),",","")),"")</f>
        <v/>
      </c>
      <c r="K1531" s="152">
        <f>IFERROR(VALUE(SUBSTITUTE(INDEX('04A_국토부원자료'!$A:$T,ROW()+1,MATCH("건축년도",'04A_국토부원자료'!$A$4:$T$4,0)),",","")),"")</f>
        <v/>
      </c>
      <c r="L1531" s="176">
        <f>IFERROR(INDEX('04A_국토부원자료'!$A:$T,ROW()+1,MATCH("도로명",'04A_국토부원자료'!$A$4:$T$4,0)),"")</f>
        <v/>
      </c>
      <c r="M1531" s="48">
        <f>IFERROR(INDEX('04A_국토부원자료'!$A:$T,ROW()+1,MATCH("거래유형",'04A_국토부원자료'!$A$4:$T$4,0)),"")</f>
        <v/>
      </c>
      <c r="N1531" s="152">
        <f>IF(B1531="","",IF('02_대상물건입력'!B5="",1,IF(ISNUMBER(SEARCH('02_대상물건입력'!B5,B1531)),1,0)))</f>
        <v/>
      </c>
      <c r="O1531" s="152">
        <f>IF(B1531="","",IF('02_대상물건입력'!B6="",1,IF(ISNUMBER(SEARCH('02_대상물건입력'!B6,B1531)),1,0)))</f>
        <v/>
      </c>
      <c r="P1531" s="152">
        <f>IF(L1531="","",IF('02_대상물건입력'!B15="",0,IF(ISNUMBER(SEARCH('02_대상물건입력'!B15,L1531)),1,0)))</f>
        <v/>
      </c>
      <c r="Q1531" s="152">
        <f>IF(OR(C1531="",L1531=""),0,IF(AND(TRIM(C1531)=TRIM(RIGHT(SUBSTITUTE(TRIM('02_대상물건입력'!$B$7)," ",REPT(" ",99)),99)),IF('02_대상물건입력'!B15="",TRUE(),ISNUMBER(SEARCH('02_대상물건입력'!B15,L1531)))),1,0))</f>
        <v/>
      </c>
      <c r="R1531" s="175">
        <f>IFERROR(ABS(E1531-'02_대상물건입력'!B11)/'02_대상물건입력'!B11,"")</f>
        <v/>
      </c>
      <c r="S1531" s="152">
        <f>IFERROR(ABS(J1531-'02_대상물건입력'!B10),"")</f>
        <v/>
      </c>
      <c r="T1531" s="152">
        <f>IFERROR(ABS('01_설정'!B4-F1531),"")</f>
        <v/>
      </c>
      <c r="U1531" s="152">
        <f>IFERROR(ABS(K1531-YEAR('02_대상물건입력'!B14)),"")</f>
        <v/>
      </c>
      <c r="V1531" s="152">
        <f>IF(B1531="","",IF(AND(E1531&gt;0,F1531&gt;0,H1531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1531=1,TRUE()),R1531&lt;='01_설정'!B5,S1531&lt;='01_설정'!B6,T1531&lt;='01_설정'!B7,U1531&lt;='01_설정'!B8),"Y",""))</f>
        <v/>
      </c>
      <c r="W1531" s="172">
        <f>IF(V1531&lt;&gt;"Y","",MAX(0,(1-R1531/'01_설정'!B5))*'01_설정'!B14+MAX(0,(1-S1531/'01_설정'!B6))*'01_설정'!B15+MAX(0,(1-T1531/'01_설정'!B7))*'01_설정'!B16+MAX(0,(1-U1531/'01_설정'!B8))*'01_설정'!B17+O1531*'01_설정'!B11+Q1531*'01_설정'!B12+P1531*'01_설정'!B13+IF(Z1531="",0,Z1531))</f>
        <v/>
      </c>
      <c r="X1531" s="152">
        <f>IF(W1531="","",1+COUNTIFS($W$4:$W$3003,"&gt;"&amp;W1531)+COUNTIFS($W$4:W1531,W1531)-1)</f>
        <v/>
      </c>
      <c r="Y1531" s="175">
        <f>IF(OR(I1531="",'02_대상물건입력'!B19="",'02_대상물건입력'!B19&lt;=0),"",ABS(I1531-'02_대상물건입력'!B19)/'02_대상물건입력'!B19)</f>
        <v/>
      </c>
      <c r="Z1531" s="172">
        <f>IF(OR(Y1531="",'01_설정'!B31="",'01_설정'!B31&lt;=0,'01_설정'!B32="",'01_설정'!B32&lt;=0),"",MAX(0,(1-Y1531/'01_설정'!B32))*'01_설정'!B31)</f>
        <v/>
      </c>
    </row>
    <row r="1532" ht="17.25" customHeight="1">
      <c r="A1532" s="152">
        <f>IF(INDEX('04A_국토부원자료'!$A:$A,ROW()+1)="","",ROW()-3)</f>
        <v/>
      </c>
      <c r="B1532" s="48">
        <f>IFERROR(INDEX('04A_국토부원자료'!$A:$T,ROW()+1,MATCH("시군구",'04A_국토부원자료'!$A$4:$T$4,0)),"")</f>
        <v/>
      </c>
      <c r="C1532" s="48">
        <f>IF(B1532="","",IFERROR(INDEX('04A_국토부원자료'!$A:$T,ROW()+1,MATCH("번지",'04A_국토부원자료'!$A$4:$T$4,0)),""))</f>
        <v/>
      </c>
      <c r="D1532" s="48">
        <f>IF(B1532="","",IF(Q1532=1,'02_대상물건입력'!$B$8,IFERROR(INDEX('04A_국토부원자료'!$A:$T,ROW()+1,MATCH("단지명",'04A_국토부원자료'!$A$4:$T$4,0)),"")))</f>
        <v/>
      </c>
      <c r="E1532" s="172">
        <f>IFERROR(VALUE(SUBSTITUTE(INDEX('04A_국토부원자료'!$A:$T,ROW()+1,MATCH("전용면적(㎡)",'04A_국토부원자료'!$A$4:$T$4,0)),",","")),"")</f>
        <v/>
      </c>
      <c r="F15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32" s="51">
        <f>IFERROR(VALUE(SUBSTITUTE(INDEX('04A_국토부원자료'!$A:$T,ROW()+1,MATCH("거래금액(만원)",'04A_국토부원자료'!$A$4:$T$4,0)),",","")),"")</f>
        <v/>
      </c>
      <c r="H1532" s="174">
        <f>IF(G1532="","",G1532*10000)</f>
        <v/>
      </c>
      <c r="I1532" s="174">
        <f>IFERROR(IF(AND(H1532&gt;0,E1532&gt;0),H1532/E1532,""),"")</f>
        <v/>
      </c>
      <c r="J1532" s="152">
        <f>IFERROR(VALUE(SUBSTITUTE(INDEX('04A_국토부원자료'!$A:$T,ROW()+1,MATCH("층",'04A_국토부원자료'!$A$4:$T$4,0)),",","")),"")</f>
        <v/>
      </c>
      <c r="K1532" s="152">
        <f>IFERROR(VALUE(SUBSTITUTE(INDEX('04A_국토부원자료'!$A:$T,ROW()+1,MATCH("건축년도",'04A_국토부원자료'!$A$4:$T$4,0)),",","")),"")</f>
        <v/>
      </c>
      <c r="L1532" s="176">
        <f>IFERROR(INDEX('04A_국토부원자료'!$A:$T,ROW()+1,MATCH("도로명",'04A_국토부원자료'!$A$4:$T$4,0)),"")</f>
        <v/>
      </c>
      <c r="M1532" s="48">
        <f>IFERROR(INDEX('04A_국토부원자료'!$A:$T,ROW()+1,MATCH("거래유형",'04A_국토부원자료'!$A$4:$T$4,0)),"")</f>
        <v/>
      </c>
      <c r="N1532" s="152">
        <f>IF(B1532="","",IF('02_대상물건입력'!B5="",1,IF(ISNUMBER(SEARCH('02_대상물건입력'!B5,B1532)),1,0)))</f>
        <v/>
      </c>
      <c r="O1532" s="152">
        <f>IF(B1532="","",IF('02_대상물건입력'!B6="",1,IF(ISNUMBER(SEARCH('02_대상물건입력'!B6,B1532)),1,0)))</f>
        <v/>
      </c>
      <c r="P1532" s="152">
        <f>IF(L1532="","",IF('02_대상물건입력'!B15="",0,IF(ISNUMBER(SEARCH('02_대상물건입력'!B15,L1532)),1,0)))</f>
        <v/>
      </c>
      <c r="Q1532" s="152">
        <f>IF(OR(C1532="",L1532=""),0,IF(AND(TRIM(C1532)=TRIM(RIGHT(SUBSTITUTE(TRIM('02_대상물건입력'!$B$7)," ",REPT(" ",99)),99)),IF('02_대상물건입력'!B15="",TRUE(),ISNUMBER(SEARCH('02_대상물건입력'!B15,L1532)))),1,0))</f>
        <v/>
      </c>
      <c r="R1532" s="175">
        <f>IFERROR(ABS(E1532-'02_대상물건입력'!B11)/'02_대상물건입력'!B11,"")</f>
        <v/>
      </c>
      <c r="S1532" s="152">
        <f>IFERROR(ABS(J1532-'02_대상물건입력'!B10),"")</f>
        <v/>
      </c>
      <c r="T1532" s="152">
        <f>IFERROR(ABS('01_설정'!B4-F1532),"")</f>
        <v/>
      </c>
      <c r="U1532" s="152">
        <f>IFERROR(ABS(K1532-YEAR('02_대상물건입력'!B14)),"")</f>
        <v/>
      </c>
      <c r="V1532" s="152">
        <f>IF(B1532="","",IF(AND(E1532&gt;0,F1532&gt;0,H1532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1532=1,TRUE()),R1532&lt;='01_설정'!B5,S1532&lt;='01_설정'!B6,T1532&lt;='01_설정'!B7,U1532&lt;='01_설정'!B8),"Y",""))</f>
        <v/>
      </c>
      <c r="W1532" s="172">
        <f>IF(V1532&lt;&gt;"Y","",MAX(0,(1-R1532/'01_설정'!B5))*'01_설정'!B14+MAX(0,(1-S1532/'01_설정'!B6))*'01_설정'!B15+MAX(0,(1-T1532/'01_설정'!B7))*'01_설정'!B16+MAX(0,(1-U1532/'01_설정'!B8))*'01_설정'!B17+O1532*'01_설정'!B11+Q1532*'01_설정'!B12+P1532*'01_설정'!B13+IF(Z1532="",0,Z1532))</f>
        <v/>
      </c>
      <c r="X1532" s="152">
        <f>IF(W1532="","",1+COUNTIFS($W$4:$W$3003,"&gt;"&amp;W1532)+COUNTIFS($W$4:W1532,W1532)-1)</f>
        <v/>
      </c>
      <c r="Y1532" s="175">
        <f>IF(OR(I1532="",'02_대상물건입력'!B19="",'02_대상물건입력'!B19&lt;=0),"",ABS(I1532-'02_대상물건입력'!B19)/'02_대상물건입력'!B19)</f>
        <v/>
      </c>
      <c r="Z1532" s="172">
        <f>IF(OR(Y1532="",'01_설정'!B31="",'01_설정'!B31&lt;=0,'01_설정'!B32="",'01_설정'!B32&lt;=0),"",MAX(0,(1-Y1532/'01_설정'!B32))*'01_설정'!B31)</f>
        <v/>
      </c>
    </row>
    <row r="1533" ht="17.25" customHeight="1">
      <c r="A1533" s="152">
        <f>IF(INDEX('04A_국토부원자료'!$A:$A,ROW()+1)="","",ROW()-3)</f>
        <v/>
      </c>
      <c r="B1533" s="48">
        <f>IFERROR(INDEX('04A_국토부원자료'!$A:$T,ROW()+1,MATCH("시군구",'04A_국토부원자료'!$A$4:$T$4,0)),"")</f>
        <v/>
      </c>
      <c r="C1533" s="48">
        <f>IF(B1533="","",IFERROR(INDEX('04A_국토부원자료'!$A:$T,ROW()+1,MATCH("번지",'04A_국토부원자료'!$A$4:$T$4,0)),""))</f>
        <v/>
      </c>
      <c r="D1533" s="48">
        <f>IF(B1533="","",IF(Q1533=1,'02_대상물건입력'!$B$8,IFERROR(INDEX('04A_국토부원자료'!$A:$T,ROW()+1,MATCH("단지명",'04A_국토부원자료'!$A$4:$T$4,0)),"")))</f>
        <v/>
      </c>
      <c r="E1533" s="172">
        <f>IFERROR(VALUE(SUBSTITUTE(INDEX('04A_국토부원자료'!$A:$T,ROW()+1,MATCH("전용면적(㎡)",'04A_국토부원자료'!$A$4:$T$4,0)),",","")),"")</f>
        <v/>
      </c>
      <c r="F15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33" s="51">
        <f>IFERROR(VALUE(SUBSTITUTE(INDEX('04A_국토부원자료'!$A:$T,ROW()+1,MATCH("거래금액(만원)",'04A_국토부원자료'!$A$4:$T$4,0)),",","")),"")</f>
        <v/>
      </c>
      <c r="H1533" s="174">
        <f>IF(G1533="","",G1533*10000)</f>
        <v/>
      </c>
      <c r="I1533" s="174">
        <f>IFERROR(IF(AND(H1533&gt;0,E1533&gt;0),H1533/E1533,""),"")</f>
        <v/>
      </c>
      <c r="J1533" s="152">
        <f>IFERROR(VALUE(SUBSTITUTE(INDEX('04A_국토부원자료'!$A:$T,ROW()+1,MATCH("층",'04A_국토부원자료'!$A$4:$T$4,0)),",","")),"")</f>
        <v/>
      </c>
      <c r="K1533" s="152">
        <f>IFERROR(VALUE(SUBSTITUTE(INDEX('04A_국토부원자료'!$A:$T,ROW()+1,MATCH("건축년도",'04A_국토부원자료'!$A$4:$T$4,0)),",","")),"")</f>
        <v/>
      </c>
      <c r="L1533" s="176">
        <f>IFERROR(INDEX('04A_국토부원자료'!$A:$T,ROW()+1,MATCH("도로명",'04A_국토부원자료'!$A$4:$T$4,0)),"")</f>
        <v/>
      </c>
      <c r="M1533" s="48">
        <f>IFERROR(INDEX('04A_국토부원자료'!$A:$T,ROW()+1,MATCH("거래유형",'04A_국토부원자료'!$A$4:$T$4,0)),"")</f>
        <v/>
      </c>
      <c r="N1533" s="152">
        <f>IF(B1533="","",IF('02_대상물건입력'!B5="",1,IF(ISNUMBER(SEARCH('02_대상물건입력'!B5,B1533)),1,0)))</f>
        <v/>
      </c>
      <c r="O1533" s="152">
        <f>IF(B1533="","",IF('02_대상물건입력'!B6="",1,IF(ISNUMBER(SEARCH('02_대상물건입력'!B6,B1533)),1,0)))</f>
        <v/>
      </c>
      <c r="P1533" s="152">
        <f>IF(L1533="","",IF('02_대상물건입력'!B15="",0,IF(ISNUMBER(SEARCH('02_대상물건입력'!B15,L1533)),1,0)))</f>
        <v/>
      </c>
      <c r="Q1533" s="152">
        <f>IF(OR(C1533="",L1533=""),0,IF(AND(TRIM(C1533)=TRIM(RIGHT(SUBSTITUTE(TRIM('02_대상물건입력'!$B$7)," ",REPT(" ",99)),99)),IF('02_대상물건입력'!B15="",TRUE(),ISNUMBER(SEARCH('02_대상물건입력'!B15,L1533)))),1,0))</f>
        <v/>
      </c>
      <c r="R1533" s="175">
        <f>IFERROR(ABS(E1533-'02_대상물건입력'!B11)/'02_대상물건입력'!B11,"")</f>
        <v/>
      </c>
      <c r="S1533" s="152">
        <f>IFERROR(ABS(J1533-'02_대상물건입력'!B10),"")</f>
        <v/>
      </c>
      <c r="T1533" s="152">
        <f>IFERROR(ABS('01_설정'!B4-F1533),"")</f>
        <v/>
      </c>
      <c r="U1533" s="152">
        <f>IFERROR(ABS(K1533-YEAR('02_대상물건입력'!B14)),"")</f>
        <v/>
      </c>
      <c r="V1533" s="152">
        <f>IF(B1533="","",IF(AND(E1533&gt;0,F1533&gt;0,H1533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1533=1,TRUE()),R1533&lt;='01_설정'!B5,S1533&lt;='01_설정'!B6,T1533&lt;='01_설정'!B7,U1533&lt;='01_설정'!B8),"Y",""))</f>
        <v/>
      </c>
      <c r="W1533" s="172">
        <f>IF(V1533&lt;&gt;"Y","",MAX(0,(1-R1533/'01_설정'!B5))*'01_설정'!B14+MAX(0,(1-S1533/'01_설정'!B6))*'01_설정'!B15+MAX(0,(1-T1533/'01_설정'!B7))*'01_설정'!B16+MAX(0,(1-U1533/'01_설정'!B8))*'01_설정'!B17+O1533*'01_설정'!B11+Q1533*'01_설정'!B12+P1533*'01_설정'!B13+IF(Z1533="",0,Z1533))</f>
        <v/>
      </c>
      <c r="X1533" s="152">
        <f>IF(W1533="","",1+COUNTIFS($W$4:$W$3003,"&gt;"&amp;W1533)+COUNTIFS($W$4:W1533,W1533)-1)</f>
        <v/>
      </c>
      <c r="Y1533" s="175">
        <f>IF(OR(I1533="",'02_대상물건입력'!B19="",'02_대상물건입력'!B19&lt;=0),"",ABS(I1533-'02_대상물건입력'!B19)/'02_대상물건입력'!B19)</f>
        <v/>
      </c>
      <c r="Z1533" s="172">
        <f>IF(OR(Y1533="",'01_설정'!B31="",'01_설정'!B31&lt;=0,'01_설정'!B32="",'01_설정'!B32&lt;=0),"",MAX(0,(1-Y1533/'01_설정'!B32))*'01_설정'!B31)</f>
        <v/>
      </c>
    </row>
    <row r="1534" ht="17.25" customHeight="1">
      <c r="A1534" s="152">
        <f>IF(INDEX('04A_국토부원자료'!$A:$A,ROW()+1)="","",ROW()-3)</f>
        <v/>
      </c>
      <c r="B1534" s="48">
        <f>IFERROR(INDEX('04A_국토부원자료'!$A:$T,ROW()+1,MATCH("시군구",'04A_국토부원자료'!$A$4:$T$4,0)),"")</f>
        <v/>
      </c>
      <c r="C1534" s="48">
        <f>IF(B1534="","",IFERROR(INDEX('04A_국토부원자료'!$A:$T,ROW()+1,MATCH("번지",'04A_국토부원자료'!$A$4:$T$4,0)),""))</f>
        <v/>
      </c>
      <c r="D1534" s="48">
        <f>IF(B1534="","",IF(Q1534=1,'02_대상물건입력'!$B$8,IFERROR(INDEX('04A_국토부원자료'!$A:$T,ROW()+1,MATCH("단지명",'04A_국토부원자료'!$A$4:$T$4,0)),"")))</f>
        <v/>
      </c>
      <c r="E1534" s="172">
        <f>IFERROR(VALUE(SUBSTITUTE(INDEX('04A_국토부원자료'!$A:$T,ROW()+1,MATCH("전용면적(㎡)",'04A_국토부원자료'!$A$4:$T$4,0)),",","")),"")</f>
        <v/>
      </c>
      <c r="F15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34" s="51">
        <f>IFERROR(VALUE(SUBSTITUTE(INDEX('04A_국토부원자료'!$A:$T,ROW()+1,MATCH("거래금액(만원)",'04A_국토부원자료'!$A$4:$T$4,0)),",","")),"")</f>
        <v/>
      </c>
      <c r="H1534" s="174">
        <f>IF(G1534="","",G1534*10000)</f>
        <v/>
      </c>
      <c r="I1534" s="174">
        <f>IFERROR(IF(AND(H1534&gt;0,E1534&gt;0),H1534/E1534,""),"")</f>
        <v/>
      </c>
      <c r="J1534" s="152">
        <f>IFERROR(VALUE(SUBSTITUTE(INDEX('04A_국토부원자료'!$A:$T,ROW()+1,MATCH("층",'04A_국토부원자료'!$A$4:$T$4,0)),",","")),"")</f>
        <v/>
      </c>
      <c r="K1534" s="152">
        <f>IFERROR(VALUE(SUBSTITUTE(INDEX('04A_국토부원자료'!$A:$T,ROW()+1,MATCH("건축년도",'04A_국토부원자료'!$A$4:$T$4,0)),",","")),"")</f>
        <v/>
      </c>
      <c r="L1534" s="176">
        <f>IFERROR(INDEX('04A_국토부원자료'!$A:$T,ROW()+1,MATCH("도로명",'04A_국토부원자료'!$A$4:$T$4,0)),"")</f>
        <v/>
      </c>
      <c r="M1534" s="48">
        <f>IFERROR(INDEX('04A_국토부원자료'!$A:$T,ROW()+1,MATCH("거래유형",'04A_국토부원자료'!$A$4:$T$4,0)),"")</f>
        <v/>
      </c>
      <c r="N1534" s="152">
        <f>IF(B1534="","",IF('02_대상물건입력'!B5="",1,IF(ISNUMBER(SEARCH('02_대상물건입력'!B5,B1534)),1,0)))</f>
        <v/>
      </c>
      <c r="O1534" s="152">
        <f>IF(B1534="","",IF('02_대상물건입력'!B6="",1,IF(ISNUMBER(SEARCH('02_대상물건입력'!B6,B1534)),1,0)))</f>
        <v/>
      </c>
      <c r="P1534" s="152">
        <f>IF(L1534="","",IF('02_대상물건입력'!B15="",0,IF(ISNUMBER(SEARCH('02_대상물건입력'!B15,L1534)),1,0)))</f>
        <v/>
      </c>
      <c r="Q1534" s="152">
        <f>IF(OR(C1534="",L1534=""),0,IF(AND(TRIM(C1534)=TRIM(RIGHT(SUBSTITUTE(TRIM('02_대상물건입력'!$B$7)," ",REPT(" ",99)),99)),IF('02_대상물건입력'!B15="",TRUE(),ISNUMBER(SEARCH('02_대상물건입력'!B15,L1534)))),1,0))</f>
        <v/>
      </c>
      <c r="R1534" s="175">
        <f>IFERROR(ABS(E1534-'02_대상물건입력'!B11)/'02_대상물건입력'!B11,"")</f>
        <v/>
      </c>
      <c r="S1534" s="152">
        <f>IFERROR(ABS(J1534-'02_대상물건입력'!B10),"")</f>
        <v/>
      </c>
      <c r="T1534" s="152">
        <f>IFERROR(ABS('01_설정'!B4-F1534),"")</f>
        <v/>
      </c>
      <c r="U1534" s="152">
        <f>IFERROR(ABS(K1534-YEAR('02_대상물건입력'!B14)),"")</f>
        <v/>
      </c>
      <c r="V1534" s="152">
        <f>IF(B1534="","",IF(AND(E1534&gt;0,F1534&gt;0,H1534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1534=1,TRUE()),R1534&lt;='01_설정'!B5,S1534&lt;='01_설정'!B6,T1534&lt;='01_설정'!B7,U1534&lt;='01_설정'!B8),"Y",""))</f>
        <v/>
      </c>
      <c r="W1534" s="172">
        <f>IF(V1534&lt;&gt;"Y","",MAX(0,(1-R1534/'01_설정'!B5))*'01_설정'!B14+MAX(0,(1-S1534/'01_설정'!B6))*'01_설정'!B15+MAX(0,(1-T1534/'01_설정'!B7))*'01_설정'!B16+MAX(0,(1-U1534/'01_설정'!B8))*'01_설정'!B17+O1534*'01_설정'!B11+Q1534*'01_설정'!B12+P1534*'01_설정'!B13+IF(Z1534="",0,Z1534))</f>
        <v/>
      </c>
      <c r="X1534" s="152">
        <f>IF(W1534="","",1+COUNTIFS($W$4:$W$3003,"&gt;"&amp;W1534)+COUNTIFS($W$4:W1534,W1534)-1)</f>
        <v/>
      </c>
      <c r="Y1534" s="175">
        <f>IF(OR(I1534="",'02_대상물건입력'!B19="",'02_대상물건입력'!B19&lt;=0),"",ABS(I1534-'02_대상물건입력'!B19)/'02_대상물건입력'!B19)</f>
        <v/>
      </c>
      <c r="Z1534" s="172">
        <f>IF(OR(Y1534="",'01_설정'!B31="",'01_설정'!B31&lt;=0,'01_설정'!B32="",'01_설정'!B32&lt;=0),"",MAX(0,(1-Y1534/'01_설정'!B32))*'01_설정'!B31)</f>
        <v/>
      </c>
    </row>
    <row r="1535" ht="17.25" customHeight="1">
      <c r="A1535" s="152">
        <f>IF(INDEX('04A_국토부원자료'!$A:$A,ROW()+1)="","",ROW()-3)</f>
        <v/>
      </c>
      <c r="B1535" s="48">
        <f>IFERROR(INDEX('04A_국토부원자료'!$A:$T,ROW()+1,MATCH("시군구",'04A_국토부원자료'!$A$4:$T$4,0)),"")</f>
        <v/>
      </c>
      <c r="C1535" s="48">
        <f>IF(B1535="","",IFERROR(INDEX('04A_국토부원자료'!$A:$T,ROW()+1,MATCH("번지",'04A_국토부원자료'!$A$4:$T$4,0)),""))</f>
        <v/>
      </c>
      <c r="D1535" s="48">
        <f>IF(B1535="","",IF(Q1535=1,'02_대상물건입력'!$B$8,IFERROR(INDEX('04A_국토부원자료'!$A:$T,ROW()+1,MATCH("단지명",'04A_국토부원자료'!$A$4:$T$4,0)),"")))</f>
        <v/>
      </c>
      <c r="E1535" s="172">
        <f>IFERROR(VALUE(SUBSTITUTE(INDEX('04A_국토부원자료'!$A:$T,ROW()+1,MATCH("전용면적(㎡)",'04A_국토부원자료'!$A$4:$T$4,0)),",","")),"")</f>
        <v/>
      </c>
      <c r="F15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35" s="51">
        <f>IFERROR(VALUE(SUBSTITUTE(INDEX('04A_국토부원자료'!$A:$T,ROW()+1,MATCH("거래금액(만원)",'04A_국토부원자료'!$A$4:$T$4,0)),",","")),"")</f>
        <v/>
      </c>
      <c r="H1535" s="174">
        <f>IF(G1535="","",G1535*10000)</f>
        <v/>
      </c>
      <c r="I1535" s="174">
        <f>IFERROR(IF(AND(H1535&gt;0,E1535&gt;0),H1535/E1535,""),"")</f>
        <v/>
      </c>
      <c r="J1535" s="152">
        <f>IFERROR(VALUE(SUBSTITUTE(INDEX('04A_국토부원자료'!$A:$T,ROW()+1,MATCH("층",'04A_국토부원자료'!$A$4:$T$4,0)),",","")),"")</f>
        <v/>
      </c>
      <c r="K1535" s="152">
        <f>IFERROR(VALUE(SUBSTITUTE(INDEX('04A_국토부원자료'!$A:$T,ROW()+1,MATCH("건축년도",'04A_국토부원자료'!$A$4:$T$4,0)),",","")),"")</f>
        <v/>
      </c>
      <c r="L1535" s="176">
        <f>IFERROR(INDEX('04A_국토부원자료'!$A:$T,ROW()+1,MATCH("도로명",'04A_국토부원자료'!$A$4:$T$4,0)),"")</f>
        <v/>
      </c>
      <c r="M1535" s="48">
        <f>IFERROR(INDEX('04A_국토부원자료'!$A:$T,ROW()+1,MATCH("거래유형",'04A_국토부원자료'!$A$4:$T$4,0)),"")</f>
        <v/>
      </c>
      <c r="N1535" s="152">
        <f>IF(B1535="","",IF('02_대상물건입력'!B5="",1,IF(ISNUMBER(SEARCH('02_대상물건입력'!B5,B1535)),1,0)))</f>
        <v/>
      </c>
      <c r="O1535" s="152">
        <f>IF(B1535="","",IF('02_대상물건입력'!B6="",1,IF(ISNUMBER(SEARCH('02_대상물건입력'!B6,B1535)),1,0)))</f>
        <v/>
      </c>
      <c r="P1535" s="152">
        <f>IF(L1535="","",IF('02_대상물건입력'!B15="",0,IF(ISNUMBER(SEARCH('02_대상물건입력'!B15,L1535)),1,0)))</f>
        <v/>
      </c>
      <c r="Q1535" s="152">
        <f>IF(OR(C1535="",L1535=""),0,IF(AND(TRIM(C1535)=TRIM(RIGHT(SUBSTITUTE(TRIM('02_대상물건입력'!$B$7)," ",REPT(" ",99)),99)),IF('02_대상물건입력'!B15="",TRUE(),ISNUMBER(SEARCH('02_대상물건입력'!B15,L1535)))),1,0))</f>
        <v/>
      </c>
      <c r="R1535" s="175">
        <f>IFERROR(ABS(E1535-'02_대상물건입력'!B11)/'02_대상물건입력'!B11,"")</f>
        <v/>
      </c>
      <c r="S1535" s="152">
        <f>IFERROR(ABS(J1535-'02_대상물건입력'!B10),"")</f>
        <v/>
      </c>
      <c r="T1535" s="152">
        <f>IFERROR(ABS('01_설정'!B4-F1535),"")</f>
        <v/>
      </c>
      <c r="U1535" s="152">
        <f>IFERROR(ABS(K1535-YEAR('02_대상물건입력'!B14)),"")</f>
        <v/>
      </c>
      <c r="V1535" s="152">
        <f>IF(B1535="","",IF(AND(E1535&gt;0,F1535&gt;0,H1535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1535=1,TRUE()),R1535&lt;='01_설정'!B5,S1535&lt;='01_설정'!B6,T1535&lt;='01_설정'!B7,U1535&lt;='01_설정'!B8),"Y",""))</f>
        <v/>
      </c>
      <c r="W1535" s="172">
        <f>IF(V1535&lt;&gt;"Y","",MAX(0,(1-R1535/'01_설정'!B5))*'01_설정'!B14+MAX(0,(1-S1535/'01_설정'!B6))*'01_설정'!B15+MAX(0,(1-T1535/'01_설정'!B7))*'01_설정'!B16+MAX(0,(1-U1535/'01_설정'!B8))*'01_설정'!B17+O1535*'01_설정'!B11+Q1535*'01_설정'!B12+P1535*'01_설정'!B13+IF(Z1535="",0,Z1535))</f>
        <v/>
      </c>
      <c r="X1535" s="152">
        <f>IF(W1535="","",1+COUNTIFS($W$4:$W$3003,"&gt;"&amp;W1535)+COUNTIFS($W$4:W1535,W1535)-1)</f>
        <v/>
      </c>
      <c r="Y1535" s="175">
        <f>IF(OR(I1535="",'02_대상물건입력'!B19="",'02_대상물건입력'!B19&lt;=0),"",ABS(I1535-'02_대상물건입력'!B19)/'02_대상물건입력'!B19)</f>
        <v/>
      </c>
      <c r="Z1535" s="172">
        <f>IF(OR(Y1535="",'01_설정'!B31="",'01_설정'!B31&lt;=0,'01_설정'!B32="",'01_설정'!B32&lt;=0),"",MAX(0,(1-Y1535/'01_설정'!B32))*'01_설정'!B31)</f>
        <v/>
      </c>
    </row>
    <row r="1536" ht="17.25" customHeight="1">
      <c r="A1536" s="152">
        <f>IF(INDEX('04A_국토부원자료'!$A:$A,ROW()+1)="","",ROW()-3)</f>
        <v/>
      </c>
      <c r="B1536" s="48">
        <f>IFERROR(INDEX('04A_국토부원자료'!$A:$T,ROW()+1,MATCH("시군구",'04A_국토부원자료'!$A$4:$T$4,0)),"")</f>
        <v/>
      </c>
      <c r="C1536" s="48">
        <f>IF(B1536="","",IFERROR(INDEX('04A_국토부원자료'!$A:$T,ROW()+1,MATCH("번지",'04A_국토부원자료'!$A$4:$T$4,0)),""))</f>
        <v/>
      </c>
      <c r="D1536" s="48">
        <f>IF(B1536="","",IF(Q1536=1,'02_대상물건입력'!$B$8,IFERROR(INDEX('04A_국토부원자료'!$A:$T,ROW()+1,MATCH("단지명",'04A_국토부원자료'!$A$4:$T$4,0)),"")))</f>
        <v/>
      </c>
      <c r="E1536" s="172">
        <f>IFERROR(VALUE(SUBSTITUTE(INDEX('04A_국토부원자료'!$A:$T,ROW()+1,MATCH("전용면적(㎡)",'04A_국토부원자료'!$A$4:$T$4,0)),",","")),"")</f>
        <v/>
      </c>
      <c r="F15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36" s="51">
        <f>IFERROR(VALUE(SUBSTITUTE(INDEX('04A_국토부원자료'!$A:$T,ROW()+1,MATCH("거래금액(만원)",'04A_국토부원자료'!$A$4:$T$4,0)),",","")),"")</f>
        <v/>
      </c>
      <c r="H1536" s="174">
        <f>IF(G1536="","",G1536*10000)</f>
        <v/>
      </c>
      <c r="I1536" s="174">
        <f>IFERROR(IF(AND(H1536&gt;0,E1536&gt;0),H1536/E1536,""),"")</f>
        <v/>
      </c>
      <c r="J1536" s="152">
        <f>IFERROR(VALUE(SUBSTITUTE(INDEX('04A_국토부원자료'!$A:$T,ROW()+1,MATCH("층",'04A_국토부원자료'!$A$4:$T$4,0)),",","")),"")</f>
        <v/>
      </c>
      <c r="K1536" s="152">
        <f>IFERROR(VALUE(SUBSTITUTE(INDEX('04A_국토부원자료'!$A:$T,ROW()+1,MATCH("건축년도",'04A_국토부원자료'!$A$4:$T$4,0)),",","")),"")</f>
        <v/>
      </c>
      <c r="L1536" s="176">
        <f>IFERROR(INDEX('04A_국토부원자료'!$A:$T,ROW()+1,MATCH("도로명",'04A_국토부원자료'!$A$4:$T$4,0)),"")</f>
        <v/>
      </c>
      <c r="M1536" s="48">
        <f>IFERROR(INDEX('04A_국토부원자료'!$A:$T,ROW()+1,MATCH("거래유형",'04A_국토부원자료'!$A$4:$T$4,0)),"")</f>
        <v/>
      </c>
      <c r="N1536" s="152">
        <f>IF(B1536="","",IF('02_대상물건입력'!B5="",1,IF(ISNUMBER(SEARCH('02_대상물건입력'!B5,B1536)),1,0)))</f>
        <v/>
      </c>
      <c r="O1536" s="152">
        <f>IF(B1536="","",IF('02_대상물건입력'!B6="",1,IF(ISNUMBER(SEARCH('02_대상물건입력'!B6,B1536)),1,0)))</f>
        <v/>
      </c>
      <c r="P1536" s="152">
        <f>IF(L1536="","",IF('02_대상물건입력'!B15="",0,IF(ISNUMBER(SEARCH('02_대상물건입력'!B15,L1536)),1,0)))</f>
        <v/>
      </c>
      <c r="Q1536" s="152">
        <f>IF(OR(C1536="",L1536=""),0,IF(AND(TRIM(C1536)=TRIM(RIGHT(SUBSTITUTE(TRIM('02_대상물건입력'!$B$7)," ",REPT(" ",99)),99)),IF('02_대상물건입력'!B15="",TRUE(),ISNUMBER(SEARCH('02_대상물건입력'!B15,L1536)))),1,0))</f>
        <v/>
      </c>
      <c r="R1536" s="175">
        <f>IFERROR(ABS(E1536-'02_대상물건입력'!B11)/'02_대상물건입력'!B11,"")</f>
        <v/>
      </c>
      <c r="S1536" s="152">
        <f>IFERROR(ABS(J1536-'02_대상물건입력'!B10),"")</f>
        <v/>
      </c>
      <c r="T1536" s="152">
        <f>IFERROR(ABS('01_설정'!B4-F1536),"")</f>
        <v/>
      </c>
      <c r="U1536" s="152">
        <f>IFERROR(ABS(K1536-YEAR('02_대상물건입력'!B14)),"")</f>
        <v/>
      </c>
      <c r="V1536" s="152">
        <f>IF(B1536="","",IF(AND(E1536&gt;0,F1536&gt;0,H1536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1536=1,TRUE()),R1536&lt;='01_설정'!B5,S1536&lt;='01_설정'!B6,T1536&lt;='01_설정'!B7,U1536&lt;='01_설정'!B8),"Y",""))</f>
        <v/>
      </c>
      <c r="W1536" s="172">
        <f>IF(V1536&lt;&gt;"Y","",MAX(0,(1-R1536/'01_설정'!B5))*'01_설정'!B14+MAX(0,(1-S1536/'01_설정'!B6))*'01_설정'!B15+MAX(0,(1-T1536/'01_설정'!B7))*'01_설정'!B16+MAX(0,(1-U1536/'01_설정'!B8))*'01_설정'!B17+O1536*'01_설정'!B11+Q1536*'01_설정'!B12+P1536*'01_설정'!B13+IF(Z1536="",0,Z1536))</f>
        <v/>
      </c>
      <c r="X1536" s="152">
        <f>IF(W1536="","",1+COUNTIFS($W$4:$W$3003,"&gt;"&amp;W1536)+COUNTIFS($W$4:W1536,W1536)-1)</f>
        <v/>
      </c>
      <c r="Y1536" s="175">
        <f>IF(OR(I1536="",'02_대상물건입력'!B19="",'02_대상물건입력'!B19&lt;=0),"",ABS(I1536-'02_대상물건입력'!B19)/'02_대상물건입력'!B19)</f>
        <v/>
      </c>
      <c r="Z1536" s="172">
        <f>IF(OR(Y1536="",'01_설정'!B31="",'01_설정'!B31&lt;=0,'01_설정'!B32="",'01_설정'!B32&lt;=0),"",MAX(0,(1-Y1536/'01_설정'!B32))*'01_설정'!B31)</f>
        <v/>
      </c>
    </row>
    <row r="1537" ht="17.25" customHeight="1">
      <c r="A1537" s="152">
        <f>IF(INDEX('04A_국토부원자료'!$A:$A,ROW()+1)="","",ROW()-3)</f>
        <v/>
      </c>
      <c r="B1537" s="48">
        <f>IFERROR(INDEX('04A_국토부원자료'!$A:$T,ROW()+1,MATCH("시군구",'04A_국토부원자료'!$A$4:$T$4,0)),"")</f>
        <v/>
      </c>
      <c r="C1537" s="48">
        <f>IF(B1537="","",IFERROR(INDEX('04A_국토부원자료'!$A:$T,ROW()+1,MATCH("번지",'04A_국토부원자료'!$A$4:$T$4,0)),""))</f>
        <v/>
      </c>
      <c r="D1537" s="48">
        <f>IF(B1537="","",IF(Q1537=1,'02_대상물건입력'!$B$8,IFERROR(INDEX('04A_국토부원자료'!$A:$T,ROW()+1,MATCH("단지명",'04A_국토부원자료'!$A$4:$T$4,0)),"")))</f>
        <v/>
      </c>
      <c r="E1537" s="172">
        <f>IFERROR(VALUE(SUBSTITUTE(INDEX('04A_국토부원자료'!$A:$T,ROW()+1,MATCH("전용면적(㎡)",'04A_국토부원자료'!$A$4:$T$4,0)),",","")),"")</f>
        <v/>
      </c>
      <c r="F15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37" s="51">
        <f>IFERROR(VALUE(SUBSTITUTE(INDEX('04A_국토부원자료'!$A:$T,ROW()+1,MATCH("거래금액(만원)",'04A_국토부원자료'!$A$4:$T$4,0)),",","")),"")</f>
        <v/>
      </c>
      <c r="H1537" s="174">
        <f>IF(G1537="","",G1537*10000)</f>
        <v/>
      </c>
      <c r="I1537" s="174">
        <f>IFERROR(IF(AND(H1537&gt;0,E1537&gt;0),H1537/E1537,""),"")</f>
        <v/>
      </c>
      <c r="J1537" s="152">
        <f>IFERROR(VALUE(SUBSTITUTE(INDEX('04A_국토부원자료'!$A:$T,ROW()+1,MATCH("층",'04A_국토부원자료'!$A$4:$T$4,0)),",","")),"")</f>
        <v/>
      </c>
      <c r="K1537" s="152">
        <f>IFERROR(VALUE(SUBSTITUTE(INDEX('04A_국토부원자료'!$A:$T,ROW()+1,MATCH("건축년도",'04A_국토부원자료'!$A$4:$T$4,0)),",","")),"")</f>
        <v/>
      </c>
      <c r="L1537" s="176">
        <f>IFERROR(INDEX('04A_국토부원자료'!$A:$T,ROW()+1,MATCH("도로명",'04A_국토부원자료'!$A$4:$T$4,0)),"")</f>
        <v/>
      </c>
      <c r="M1537" s="48">
        <f>IFERROR(INDEX('04A_국토부원자료'!$A:$T,ROW()+1,MATCH("거래유형",'04A_국토부원자료'!$A$4:$T$4,0)),"")</f>
        <v/>
      </c>
      <c r="N1537" s="152">
        <f>IF(B1537="","",IF('02_대상물건입력'!B5="",1,IF(ISNUMBER(SEARCH('02_대상물건입력'!B5,B1537)),1,0)))</f>
        <v/>
      </c>
      <c r="O1537" s="152">
        <f>IF(B1537="","",IF('02_대상물건입력'!B6="",1,IF(ISNUMBER(SEARCH('02_대상물건입력'!B6,B1537)),1,0)))</f>
        <v/>
      </c>
      <c r="P1537" s="152">
        <f>IF(L1537="","",IF('02_대상물건입력'!B15="",0,IF(ISNUMBER(SEARCH('02_대상물건입력'!B15,L1537)),1,0)))</f>
        <v/>
      </c>
      <c r="Q1537" s="152">
        <f>IF(OR(C1537="",L1537=""),0,IF(AND(TRIM(C1537)=TRIM(RIGHT(SUBSTITUTE(TRIM('02_대상물건입력'!$B$7)," ",REPT(" ",99)),99)),IF('02_대상물건입력'!B15="",TRUE(),ISNUMBER(SEARCH('02_대상물건입력'!B15,L1537)))),1,0))</f>
        <v/>
      </c>
      <c r="R1537" s="175">
        <f>IFERROR(ABS(E1537-'02_대상물건입력'!B11)/'02_대상물건입력'!B11,"")</f>
        <v/>
      </c>
      <c r="S1537" s="152">
        <f>IFERROR(ABS(J1537-'02_대상물건입력'!B10),"")</f>
        <v/>
      </c>
      <c r="T1537" s="152">
        <f>IFERROR(ABS('01_설정'!B4-F1537),"")</f>
        <v/>
      </c>
      <c r="U1537" s="152">
        <f>IFERROR(ABS(K1537-YEAR('02_대상물건입력'!B14)),"")</f>
        <v/>
      </c>
      <c r="V1537" s="152">
        <f>IF(B1537="","",IF(AND(E1537&gt;0,F1537&gt;0,H1537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1537=1,TRUE()),R1537&lt;='01_설정'!B5,S1537&lt;='01_설정'!B6,T1537&lt;='01_설정'!B7,U1537&lt;='01_설정'!B8),"Y",""))</f>
        <v/>
      </c>
      <c r="W1537" s="172">
        <f>IF(V1537&lt;&gt;"Y","",MAX(0,(1-R1537/'01_설정'!B5))*'01_설정'!B14+MAX(0,(1-S1537/'01_설정'!B6))*'01_설정'!B15+MAX(0,(1-T1537/'01_설정'!B7))*'01_설정'!B16+MAX(0,(1-U1537/'01_설정'!B8))*'01_설정'!B17+O1537*'01_설정'!B11+Q1537*'01_설정'!B12+P1537*'01_설정'!B13+IF(Z1537="",0,Z1537))</f>
        <v/>
      </c>
      <c r="X1537" s="152">
        <f>IF(W1537="","",1+COUNTIFS($W$4:$W$3003,"&gt;"&amp;W1537)+COUNTIFS($W$4:W1537,W1537)-1)</f>
        <v/>
      </c>
      <c r="Y1537" s="175">
        <f>IF(OR(I1537="",'02_대상물건입력'!B19="",'02_대상물건입력'!B19&lt;=0),"",ABS(I1537-'02_대상물건입력'!B19)/'02_대상물건입력'!B19)</f>
        <v/>
      </c>
      <c r="Z1537" s="172">
        <f>IF(OR(Y1537="",'01_설정'!B31="",'01_설정'!B31&lt;=0,'01_설정'!B32="",'01_설정'!B32&lt;=0),"",MAX(0,(1-Y1537/'01_설정'!B32))*'01_설정'!B31)</f>
        <v/>
      </c>
    </row>
    <row r="1538" ht="17.25" customHeight="1">
      <c r="A1538" s="152">
        <f>IF(INDEX('04A_국토부원자료'!$A:$A,ROW()+1)="","",ROW()-3)</f>
        <v/>
      </c>
      <c r="B1538" s="48">
        <f>IFERROR(INDEX('04A_국토부원자료'!$A:$T,ROW()+1,MATCH("시군구",'04A_국토부원자료'!$A$4:$T$4,0)),"")</f>
        <v/>
      </c>
      <c r="C1538" s="48">
        <f>IF(B1538="","",IFERROR(INDEX('04A_국토부원자료'!$A:$T,ROW()+1,MATCH("번지",'04A_국토부원자료'!$A$4:$T$4,0)),""))</f>
        <v/>
      </c>
      <c r="D1538" s="48">
        <f>IF(B1538="","",IF(Q1538=1,'02_대상물건입력'!$B$8,IFERROR(INDEX('04A_국토부원자료'!$A:$T,ROW()+1,MATCH("단지명",'04A_국토부원자료'!$A$4:$T$4,0)),"")))</f>
        <v/>
      </c>
      <c r="E1538" s="172">
        <f>IFERROR(VALUE(SUBSTITUTE(INDEX('04A_국토부원자료'!$A:$T,ROW()+1,MATCH("전용면적(㎡)",'04A_국토부원자료'!$A$4:$T$4,0)),",","")),"")</f>
        <v/>
      </c>
      <c r="F15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38" s="51">
        <f>IFERROR(VALUE(SUBSTITUTE(INDEX('04A_국토부원자료'!$A:$T,ROW()+1,MATCH("거래금액(만원)",'04A_국토부원자료'!$A$4:$T$4,0)),",","")),"")</f>
        <v/>
      </c>
      <c r="H1538" s="174">
        <f>IF(G1538="","",G1538*10000)</f>
        <v/>
      </c>
      <c r="I1538" s="174">
        <f>IFERROR(IF(AND(H1538&gt;0,E1538&gt;0),H1538/E1538,""),"")</f>
        <v/>
      </c>
      <c r="J1538" s="152">
        <f>IFERROR(VALUE(SUBSTITUTE(INDEX('04A_국토부원자료'!$A:$T,ROW()+1,MATCH("층",'04A_국토부원자료'!$A$4:$T$4,0)),",","")),"")</f>
        <v/>
      </c>
      <c r="K1538" s="152">
        <f>IFERROR(VALUE(SUBSTITUTE(INDEX('04A_국토부원자료'!$A:$T,ROW()+1,MATCH("건축년도",'04A_국토부원자료'!$A$4:$T$4,0)),",","")),"")</f>
        <v/>
      </c>
      <c r="L1538" s="176">
        <f>IFERROR(INDEX('04A_국토부원자료'!$A:$T,ROW()+1,MATCH("도로명",'04A_국토부원자료'!$A$4:$T$4,0)),"")</f>
        <v/>
      </c>
      <c r="M1538" s="48">
        <f>IFERROR(INDEX('04A_국토부원자료'!$A:$T,ROW()+1,MATCH("거래유형",'04A_국토부원자료'!$A$4:$T$4,0)),"")</f>
        <v/>
      </c>
      <c r="N1538" s="152">
        <f>IF(B1538="","",IF('02_대상물건입력'!B5="",1,IF(ISNUMBER(SEARCH('02_대상물건입력'!B5,B1538)),1,0)))</f>
        <v/>
      </c>
      <c r="O1538" s="152">
        <f>IF(B1538="","",IF('02_대상물건입력'!B6="",1,IF(ISNUMBER(SEARCH('02_대상물건입력'!B6,B1538)),1,0)))</f>
        <v/>
      </c>
      <c r="P1538" s="152">
        <f>IF(L1538="","",IF('02_대상물건입력'!B15="",0,IF(ISNUMBER(SEARCH('02_대상물건입력'!B15,L1538)),1,0)))</f>
        <v/>
      </c>
      <c r="Q1538" s="152">
        <f>IF(OR(C1538="",L1538=""),0,IF(AND(TRIM(C1538)=TRIM(RIGHT(SUBSTITUTE(TRIM('02_대상물건입력'!$B$7)," ",REPT(" ",99)),99)),IF('02_대상물건입력'!B15="",TRUE(),ISNUMBER(SEARCH('02_대상물건입력'!B15,L1538)))),1,0))</f>
        <v/>
      </c>
      <c r="R1538" s="175">
        <f>IFERROR(ABS(E1538-'02_대상물건입력'!B11)/'02_대상물건입력'!B11,"")</f>
        <v/>
      </c>
      <c r="S1538" s="152">
        <f>IFERROR(ABS(J1538-'02_대상물건입력'!B10),"")</f>
        <v/>
      </c>
      <c r="T1538" s="152">
        <f>IFERROR(ABS('01_설정'!B4-F1538),"")</f>
        <v/>
      </c>
      <c r="U1538" s="152">
        <f>IFERROR(ABS(K1538-YEAR('02_대상물건입력'!B14)),"")</f>
        <v/>
      </c>
      <c r="V1538" s="152">
        <f>IF(B1538="","",IF(AND(E1538&gt;0,F1538&gt;0,H1538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1538=1,TRUE()),R1538&lt;='01_설정'!B5,S1538&lt;='01_설정'!B6,T1538&lt;='01_설정'!B7,U1538&lt;='01_설정'!B8),"Y",""))</f>
        <v/>
      </c>
      <c r="W1538" s="172">
        <f>IF(V1538&lt;&gt;"Y","",MAX(0,(1-R1538/'01_설정'!B5))*'01_설정'!B14+MAX(0,(1-S1538/'01_설정'!B6))*'01_설정'!B15+MAX(0,(1-T1538/'01_설정'!B7))*'01_설정'!B16+MAX(0,(1-U1538/'01_설정'!B8))*'01_설정'!B17+O1538*'01_설정'!B11+Q1538*'01_설정'!B12+P1538*'01_설정'!B13+IF(Z1538="",0,Z1538))</f>
        <v/>
      </c>
      <c r="X1538" s="152">
        <f>IF(W1538="","",1+COUNTIFS($W$4:$W$3003,"&gt;"&amp;W1538)+COUNTIFS($W$4:W1538,W1538)-1)</f>
        <v/>
      </c>
      <c r="Y1538" s="175">
        <f>IF(OR(I1538="",'02_대상물건입력'!B19="",'02_대상물건입력'!B19&lt;=0),"",ABS(I1538-'02_대상물건입력'!B19)/'02_대상물건입력'!B19)</f>
        <v/>
      </c>
      <c r="Z1538" s="172">
        <f>IF(OR(Y1538="",'01_설정'!B31="",'01_설정'!B31&lt;=0,'01_설정'!B32="",'01_설정'!B32&lt;=0),"",MAX(0,(1-Y1538/'01_설정'!B32))*'01_설정'!B31)</f>
        <v/>
      </c>
    </row>
    <row r="1539" ht="17.25" customHeight="1">
      <c r="A1539" s="152">
        <f>IF(INDEX('04A_국토부원자료'!$A:$A,ROW()+1)="","",ROW()-3)</f>
        <v/>
      </c>
      <c r="B1539" s="48">
        <f>IFERROR(INDEX('04A_국토부원자료'!$A:$T,ROW()+1,MATCH("시군구",'04A_국토부원자료'!$A$4:$T$4,0)),"")</f>
        <v/>
      </c>
      <c r="C1539" s="48">
        <f>IF(B1539="","",IFERROR(INDEX('04A_국토부원자료'!$A:$T,ROW()+1,MATCH("번지",'04A_국토부원자료'!$A$4:$T$4,0)),""))</f>
        <v/>
      </c>
      <c r="D1539" s="48">
        <f>IF(B1539="","",IF(Q1539=1,'02_대상물건입력'!$B$8,IFERROR(INDEX('04A_국토부원자료'!$A:$T,ROW()+1,MATCH("단지명",'04A_국토부원자료'!$A$4:$T$4,0)),"")))</f>
        <v/>
      </c>
      <c r="E1539" s="172">
        <f>IFERROR(VALUE(SUBSTITUTE(INDEX('04A_국토부원자료'!$A:$T,ROW()+1,MATCH("전용면적(㎡)",'04A_국토부원자료'!$A$4:$T$4,0)),",","")),"")</f>
        <v/>
      </c>
      <c r="F15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39" s="51">
        <f>IFERROR(VALUE(SUBSTITUTE(INDEX('04A_국토부원자료'!$A:$T,ROW()+1,MATCH("거래금액(만원)",'04A_국토부원자료'!$A$4:$T$4,0)),",","")),"")</f>
        <v/>
      </c>
      <c r="H1539" s="174">
        <f>IF(G1539="","",G1539*10000)</f>
        <v/>
      </c>
      <c r="I1539" s="174">
        <f>IFERROR(IF(AND(H1539&gt;0,E1539&gt;0),H1539/E1539,""),"")</f>
        <v/>
      </c>
      <c r="J1539" s="152">
        <f>IFERROR(VALUE(SUBSTITUTE(INDEX('04A_국토부원자료'!$A:$T,ROW()+1,MATCH("층",'04A_국토부원자료'!$A$4:$T$4,0)),",","")),"")</f>
        <v/>
      </c>
      <c r="K1539" s="152">
        <f>IFERROR(VALUE(SUBSTITUTE(INDEX('04A_국토부원자료'!$A:$T,ROW()+1,MATCH("건축년도",'04A_국토부원자료'!$A$4:$T$4,0)),",","")),"")</f>
        <v/>
      </c>
      <c r="L1539" s="176">
        <f>IFERROR(INDEX('04A_국토부원자료'!$A:$T,ROW()+1,MATCH("도로명",'04A_국토부원자료'!$A$4:$T$4,0)),"")</f>
        <v/>
      </c>
      <c r="M1539" s="48">
        <f>IFERROR(INDEX('04A_국토부원자료'!$A:$T,ROW()+1,MATCH("거래유형",'04A_국토부원자료'!$A$4:$T$4,0)),"")</f>
        <v/>
      </c>
      <c r="N1539" s="152">
        <f>IF(B1539="","",IF('02_대상물건입력'!B5="",1,IF(ISNUMBER(SEARCH('02_대상물건입력'!B5,B1539)),1,0)))</f>
        <v/>
      </c>
      <c r="O1539" s="152">
        <f>IF(B1539="","",IF('02_대상물건입력'!B6="",1,IF(ISNUMBER(SEARCH('02_대상물건입력'!B6,B1539)),1,0)))</f>
        <v/>
      </c>
      <c r="P1539" s="152">
        <f>IF(L1539="","",IF('02_대상물건입력'!B15="",0,IF(ISNUMBER(SEARCH('02_대상물건입력'!B15,L1539)),1,0)))</f>
        <v/>
      </c>
      <c r="Q1539" s="152">
        <f>IF(OR(C1539="",L1539=""),0,IF(AND(TRIM(C1539)=TRIM(RIGHT(SUBSTITUTE(TRIM('02_대상물건입력'!$B$7)," ",REPT(" ",99)),99)),IF('02_대상물건입력'!B15="",TRUE(),ISNUMBER(SEARCH('02_대상물건입력'!B15,L1539)))),1,0))</f>
        <v/>
      </c>
      <c r="R1539" s="175">
        <f>IFERROR(ABS(E1539-'02_대상물건입력'!B11)/'02_대상물건입력'!B11,"")</f>
        <v/>
      </c>
      <c r="S1539" s="152">
        <f>IFERROR(ABS(J1539-'02_대상물건입력'!B10),"")</f>
        <v/>
      </c>
      <c r="T1539" s="152">
        <f>IFERROR(ABS('01_설정'!B4-F1539),"")</f>
        <v/>
      </c>
      <c r="U1539" s="152">
        <f>IFERROR(ABS(K1539-YEAR('02_대상물건입력'!B14)),"")</f>
        <v/>
      </c>
      <c r="V1539" s="152">
        <f>IF(B1539="","",IF(AND(E1539&gt;0,F1539&gt;0,H1539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1539=1,TRUE()),R1539&lt;='01_설정'!B5,S1539&lt;='01_설정'!B6,T1539&lt;='01_설정'!B7,U1539&lt;='01_설정'!B8),"Y",""))</f>
        <v/>
      </c>
      <c r="W1539" s="172">
        <f>IF(V1539&lt;&gt;"Y","",MAX(0,(1-R1539/'01_설정'!B5))*'01_설정'!B14+MAX(0,(1-S1539/'01_설정'!B6))*'01_설정'!B15+MAX(0,(1-T1539/'01_설정'!B7))*'01_설정'!B16+MAX(0,(1-U1539/'01_설정'!B8))*'01_설정'!B17+O1539*'01_설정'!B11+Q1539*'01_설정'!B12+P1539*'01_설정'!B13+IF(Z1539="",0,Z1539))</f>
        <v/>
      </c>
      <c r="X1539" s="152">
        <f>IF(W1539="","",1+COUNTIFS($W$4:$W$3003,"&gt;"&amp;W1539)+COUNTIFS($W$4:W1539,W1539)-1)</f>
        <v/>
      </c>
      <c r="Y1539" s="175">
        <f>IF(OR(I1539="",'02_대상물건입력'!B19="",'02_대상물건입력'!B19&lt;=0),"",ABS(I1539-'02_대상물건입력'!B19)/'02_대상물건입력'!B19)</f>
        <v/>
      </c>
      <c r="Z1539" s="172">
        <f>IF(OR(Y1539="",'01_설정'!B31="",'01_설정'!B31&lt;=0,'01_설정'!B32="",'01_설정'!B32&lt;=0),"",MAX(0,(1-Y1539/'01_설정'!B32))*'01_설정'!B31)</f>
        <v/>
      </c>
    </row>
    <row r="1540" ht="17.25" customHeight="1">
      <c r="A1540" s="152">
        <f>IF(INDEX('04A_국토부원자료'!$A:$A,ROW()+1)="","",ROW()-3)</f>
        <v/>
      </c>
      <c r="B1540" s="48">
        <f>IFERROR(INDEX('04A_국토부원자료'!$A:$T,ROW()+1,MATCH("시군구",'04A_국토부원자료'!$A$4:$T$4,0)),"")</f>
        <v/>
      </c>
      <c r="C1540" s="48">
        <f>IF(B1540="","",IFERROR(INDEX('04A_국토부원자료'!$A:$T,ROW()+1,MATCH("번지",'04A_국토부원자료'!$A$4:$T$4,0)),""))</f>
        <v/>
      </c>
      <c r="D1540" s="48">
        <f>IF(B1540="","",IF(Q1540=1,'02_대상물건입력'!$B$8,IFERROR(INDEX('04A_국토부원자료'!$A:$T,ROW()+1,MATCH("단지명",'04A_국토부원자료'!$A$4:$T$4,0)),"")))</f>
        <v/>
      </c>
      <c r="E1540" s="172">
        <f>IFERROR(VALUE(SUBSTITUTE(INDEX('04A_국토부원자료'!$A:$T,ROW()+1,MATCH("전용면적(㎡)",'04A_국토부원자료'!$A$4:$T$4,0)),",","")),"")</f>
        <v/>
      </c>
      <c r="F15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40" s="51">
        <f>IFERROR(VALUE(SUBSTITUTE(INDEX('04A_국토부원자료'!$A:$T,ROW()+1,MATCH("거래금액(만원)",'04A_국토부원자료'!$A$4:$T$4,0)),",","")),"")</f>
        <v/>
      </c>
      <c r="H1540" s="174">
        <f>IF(G1540="","",G1540*10000)</f>
        <v/>
      </c>
      <c r="I1540" s="174">
        <f>IFERROR(IF(AND(H1540&gt;0,E1540&gt;0),H1540/E1540,""),"")</f>
        <v/>
      </c>
      <c r="J1540" s="152">
        <f>IFERROR(VALUE(SUBSTITUTE(INDEX('04A_국토부원자료'!$A:$T,ROW()+1,MATCH("층",'04A_국토부원자료'!$A$4:$T$4,0)),",","")),"")</f>
        <v/>
      </c>
      <c r="K1540" s="152">
        <f>IFERROR(VALUE(SUBSTITUTE(INDEX('04A_국토부원자료'!$A:$T,ROW()+1,MATCH("건축년도",'04A_국토부원자료'!$A$4:$T$4,0)),",","")),"")</f>
        <v/>
      </c>
      <c r="L1540" s="176">
        <f>IFERROR(INDEX('04A_국토부원자료'!$A:$T,ROW()+1,MATCH("도로명",'04A_국토부원자료'!$A$4:$T$4,0)),"")</f>
        <v/>
      </c>
      <c r="M1540" s="48">
        <f>IFERROR(INDEX('04A_국토부원자료'!$A:$T,ROW()+1,MATCH("거래유형",'04A_국토부원자료'!$A$4:$T$4,0)),"")</f>
        <v/>
      </c>
      <c r="N1540" s="152">
        <f>IF(B1540="","",IF('02_대상물건입력'!B5="",1,IF(ISNUMBER(SEARCH('02_대상물건입력'!B5,B1540)),1,0)))</f>
        <v/>
      </c>
      <c r="O1540" s="152">
        <f>IF(B1540="","",IF('02_대상물건입력'!B6="",1,IF(ISNUMBER(SEARCH('02_대상물건입력'!B6,B1540)),1,0)))</f>
        <v/>
      </c>
      <c r="P1540" s="152">
        <f>IF(L1540="","",IF('02_대상물건입력'!B15="",0,IF(ISNUMBER(SEARCH('02_대상물건입력'!B15,L1540)),1,0)))</f>
        <v/>
      </c>
      <c r="Q1540" s="152">
        <f>IF(OR(C1540="",L1540=""),0,IF(AND(TRIM(C1540)=TRIM(RIGHT(SUBSTITUTE(TRIM('02_대상물건입력'!$B$7)," ",REPT(" ",99)),99)),IF('02_대상물건입력'!B15="",TRUE(),ISNUMBER(SEARCH('02_대상물건입력'!B15,L1540)))),1,0))</f>
        <v/>
      </c>
      <c r="R1540" s="175">
        <f>IFERROR(ABS(E1540-'02_대상물건입력'!B11)/'02_대상물건입력'!B11,"")</f>
        <v/>
      </c>
      <c r="S1540" s="152">
        <f>IFERROR(ABS(J1540-'02_대상물건입력'!B10),"")</f>
        <v/>
      </c>
      <c r="T1540" s="152">
        <f>IFERROR(ABS('01_설정'!B4-F1540),"")</f>
        <v/>
      </c>
      <c r="U1540" s="152">
        <f>IFERROR(ABS(K1540-YEAR('02_대상물건입력'!B14)),"")</f>
        <v/>
      </c>
      <c r="V1540" s="152">
        <f>IF(B1540="","",IF(AND(E1540&gt;0,F1540&gt;0,H1540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1540=1,TRUE()),R1540&lt;='01_설정'!B5,S1540&lt;='01_설정'!B6,T1540&lt;='01_설정'!B7,U1540&lt;='01_설정'!B8),"Y",""))</f>
        <v/>
      </c>
      <c r="W1540" s="172">
        <f>IF(V1540&lt;&gt;"Y","",MAX(0,(1-R1540/'01_설정'!B5))*'01_설정'!B14+MAX(0,(1-S1540/'01_설정'!B6))*'01_설정'!B15+MAX(0,(1-T1540/'01_설정'!B7))*'01_설정'!B16+MAX(0,(1-U1540/'01_설정'!B8))*'01_설정'!B17+O1540*'01_설정'!B11+Q1540*'01_설정'!B12+P1540*'01_설정'!B13+IF(Z1540="",0,Z1540))</f>
        <v/>
      </c>
      <c r="X1540" s="152">
        <f>IF(W1540="","",1+COUNTIFS($W$4:$W$3003,"&gt;"&amp;W1540)+COUNTIFS($W$4:W1540,W1540)-1)</f>
        <v/>
      </c>
      <c r="Y1540" s="175">
        <f>IF(OR(I1540="",'02_대상물건입력'!B19="",'02_대상물건입력'!B19&lt;=0),"",ABS(I1540-'02_대상물건입력'!B19)/'02_대상물건입력'!B19)</f>
        <v/>
      </c>
      <c r="Z1540" s="172">
        <f>IF(OR(Y1540="",'01_설정'!B31="",'01_설정'!B31&lt;=0,'01_설정'!B32="",'01_설정'!B32&lt;=0),"",MAX(0,(1-Y1540/'01_설정'!B32))*'01_설정'!B31)</f>
        <v/>
      </c>
    </row>
    <row r="1541" ht="17.25" customHeight="1">
      <c r="A1541" s="152">
        <f>IF(INDEX('04A_국토부원자료'!$A:$A,ROW()+1)="","",ROW()-3)</f>
        <v/>
      </c>
      <c r="B1541" s="48">
        <f>IFERROR(INDEX('04A_국토부원자료'!$A:$T,ROW()+1,MATCH("시군구",'04A_국토부원자료'!$A$4:$T$4,0)),"")</f>
        <v/>
      </c>
      <c r="C1541" s="48">
        <f>IF(B1541="","",IFERROR(INDEX('04A_국토부원자료'!$A:$T,ROW()+1,MATCH("번지",'04A_국토부원자료'!$A$4:$T$4,0)),""))</f>
        <v/>
      </c>
      <c r="D1541" s="48">
        <f>IF(B1541="","",IF(Q1541=1,'02_대상물건입력'!$B$8,IFERROR(INDEX('04A_국토부원자료'!$A:$T,ROW()+1,MATCH("단지명",'04A_국토부원자료'!$A$4:$T$4,0)),"")))</f>
        <v/>
      </c>
      <c r="E1541" s="172">
        <f>IFERROR(VALUE(SUBSTITUTE(INDEX('04A_국토부원자료'!$A:$T,ROW()+1,MATCH("전용면적(㎡)",'04A_국토부원자료'!$A$4:$T$4,0)),",","")),"")</f>
        <v/>
      </c>
      <c r="F15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41" s="51">
        <f>IFERROR(VALUE(SUBSTITUTE(INDEX('04A_국토부원자료'!$A:$T,ROW()+1,MATCH("거래금액(만원)",'04A_국토부원자료'!$A$4:$T$4,0)),",","")),"")</f>
        <v/>
      </c>
      <c r="H1541" s="174">
        <f>IF(G1541="","",G1541*10000)</f>
        <v/>
      </c>
      <c r="I1541" s="174">
        <f>IFERROR(IF(AND(H1541&gt;0,E1541&gt;0),H1541/E1541,""),"")</f>
        <v/>
      </c>
      <c r="J1541" s="152">
        <f>IFERROR(VALUE(SUBSTITUTE(INDEX('04A_국토부원자료'!$A:$T,ROW()+1,MATCH("층",'04A_국토부원자료'!$A$4:$T$4,0)),",","")),"")</f>
        <v/>
      </c>
      <c r="K1541" s="152">
        <f>IFERROR(VALUE(SUBSTITUTE(INDEX('04A_국토부원자료'!$A:$T,ROW()+1,MATCH("건축년도",'04A_국토부원자료'!$A$4:$T$4,0)),",","")),"")</f>
        <v/>
      </c>
      <c r="L1541" s="176">
        <f>IFERROR(INDEX('04A_국토부원자료'!$A:$T,ROW()+1,MATCH("도로명",'04A_국토부원자료'!$A$4:$T$4,0)),"")</f>
        <v/>
      </c>
      <c r="M1541" s="48">
        <f>IFERROR(INDEX('04A_국토부원자료'!$A:$T,ROW()+1,MATCH("거래유형",'04A_국토부원자료'!$A$4:$T$4,0)),"")</f>
        <v/>
      </c>
      <c r="N1541" s="152">
        <f>IF(B1541="","",IF('02_대상물건입력'!B5="",1,IF(ISNUMBER(SEARCH('02_대상물건입력'!B5,B1541)),1,0)))</f>
        <v/>
      </c>
      <c r="O1541" s="152">
        <f>IF(B1541="","",IF('02_대상물건입력'!B6="",1,IF(ISNUMBER(SEARCH('02_대상물건입력'!B6,B1541)),1,0)))</f>
        <v/>
      </c>
      <c r="P1541" s="152">
        <f>IF(L1541="","",IF('02_대상물건입력'!B15="",0,IF(ISNUMBER(SEARCH('02_대상물건입력'!B15,L1541)),1,0)))</f>
        <v/>
      </c>
      <c r="Q1541" s="152">
        <f>IF(OR(C1541="",L1541=""),0,IF(AND(TRIM(C1541)=TRIM(RIGHT(SUBSTITUTE(TRIM('02_대상물건입력'!$B$7)," ",REPT(" ",99)),99)),IF('02_대상물건입력'!B15="",TRUE(),ISNUMBER(SEARCH('02_대상물건입력'!B15,L1541)))),1,0))</f>
        <v/>
      </c>
      <c r="R1541" s="175">
        <f>IFERROR(ABS(E1541-'02_대상물건입력'!B11)/'02_대상물건입력'!B11,"")</f>
        <v/>
      </c>
      <c r="S1541" s="152">
        <f>IFERROR(ABS(J1541-'02_대상물건입력'!B10),"")</f>
        <v/>
      </c>
      <c r="T1541" s="152">
        <f>IFERROR(ABS('01_설정'!B4-F1541),"")</f>
        <v/>
      </c>
      <c r="U1541" s="152">
        <f>IFERROR(ABS(K1541-YEAR('02_대상물건입력'!B14)),"")</f>
        <v/>
      </c>
      <c r="V1541" s="152">
        <f>IF(B1541="","",IF(AND(E1541&gt;0,F1541&gt;0,H1541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1541=1,TRUE()),R1541&lt;='01_설정'!B5,S1541&lt;='01_설정'!B6,T1541&lt;='01_설정'!B7,U1541&lt;='01_설정'!B8),"Y",""))</f>
        <v/>
      </c>
      <c r="W1541" s="172">
        <f>IF(V1541&lt;&gt;"Y","",MAX(0,(1-R1541/'01_설정'!B5))*'01_설정'!B14+MAX(0,(1-S1541/'01_설정'!B6))*'01_설정'!B15+MAX(0,(1-T1541/'01_설정'!B7))*'01_설정'!B16+MAX(0,(1-U1541/'01_설정'!B8))*'01_설정'!B17+O1541*'01_설정'!B11+Q1541*'01_설정'!B12+P1541*'01_설정'!B13+IF(Z1541="",0,Z1541))</f>
        <v/>
      </c>
      <c r="X1541" s="152">
        <f>IF(W1541="","",1+COUNTIFS($W$4:$W$3003,"&gt;"&amp;W1541)+COUNTIFS($W$4:W1541,W1541)-1)</f>
        <v/>
      </c>
      <c r="Y1541" s="175">
        <f>IF(OR(I1541="",'02_대상물건입력'!B19="",'02_대상물건입력'!B19&lt;=0),"",ABS(I1541-'02_대상물건입력'!B19)/'02_대상물건입력'!B19)</f>
        <v/>
      </c>
      <c r="Z1541" s="172">
        <f>IF(OR(Y1541="",'01_설정'!B31="",'01_설정'!B31&lt;=0,'01_설정'!B32="",'01_설정'!B32&lt;=0),"",MAX(0,(1-Y1541/'01_설정'!B32))*'01_설정'!B31)</f>
        <v/>
      </c>
    </row>
    <row r="1542" ht="17.25" customHeight="1">
      <c r="A1542" s="152">
        <f>IF(INDEX('04A_국토부원자료'!$A:$A,ROW()+1)="","",ROW()-3)</f>
        <v/>
      </c>
      <c r="B1542" s="48">
        <f>IFERROR(INDEX('04A_국토부원자료'!$A:$T,ROW()+1,MATCH("시군구",'04A_국토부원자료'!$A$4:$T$4,0)),"")</f>
        <v/>
      </c>
      <c r="C1542" s="48">
        <f>IF(B1542="","",IFERROR(INDEX('04A_국토부원자료'!$A:$T,ROW()+1,MATCH("번지",'04A_국토부원자료'!$A$4:$T$4,0)),""))</f>
        <v/>
      </c>
      <c r="D1542" s="48">
        <f>IF(B1542="","",IF(Q1542=1,'02_대상물건입력'!$B$8,IFERROR(INDEX('04A_국토부원자료'!$A:$T,ROW()+1,MATCH("단지명",'04A_국토부원자료'!$A$4:$T$4,0)),"")))</f>
        <v/>
      </c>
      <c r="E1542" s="172">
        <f>IFERROR(VALUE(SUBSTITUTE(INDEX('04A_국토부원자료'!$A:$T,ROW()+1,MATCH("전용면적(㎡)",'04A_국토부원자료'!$A$4:$T$4,0)),",","")),"")</f>
        <v/>
      </c>
      <c r="F15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42" s="51">
        <f>IFERROR(VALUE(SUBSTITUTE(INDEX('04A_국토부원자료'!$A:$T,ROW()+1,MATCH("거래금액(만원)",'04A_국토부원자료'!$A$4:$T$4,0)),",","")),"")</f>
        <v/>
      </c>
      <c r="H1542" s="174">
        <f>IF(G1542="","",G1542*10000)</f>
        <v/>
      </c>
      <c r="I1542" s="174">
        <f>IFERROR(IF(AND(H1542&gt;0,E1542&gt;0),H1542/E1542,""),"")</f>
        <v/>
      </c>
      <c r="J1542" s="152">
        <f>IFERROR(VALUE(SUBSTITUTE(INDEX('04A_국토부원자료'!$A:$T,ROW()+1,MATCH("층",'04A_국토부원자료'!$A$4:$T$4,0)),",","")),"")</f>
        <v/>
      </c>
      <c r="K1542" s="152">
        <f>IFERROR(VALUE(SUBSTITUTE(INDEX('04A_국토부원자료'!$A:$T,ROW()+1,MATCH("건축년도",'04A_국토부원자료'!$A$4:$T$4,0)),",","")),"")</f>
        <v/>
      </c>
      <c r="L1542" s="176">
        <f>IFERROR(INDEX('04A_국토부원자료'!$A:$T,ROW()+1,MATCH("도로명",'04A_국토부원자료'!$A$4:$T$4,0)),"")</f>
        <v/>
      </c>
      <c r="M1542" s="48">
        <f>IFERROR(INDEX('04A_국토부원자료'!$A:$T,ROW()+1,MATCH("거래유형",'04A_국토부원자료'!$A$4:$T$4,0)),"")</f>
        <v/>
      </c>
      <c r="N1542" s="152">
        <f>IF(B1542="","",IF('02_대상물건입력'!B5="",1,IF(ISNUMBER(SEARCH('02_대상물건입력'!B5,B1542)),1,0)))</f>
        <v/>
      </c>
      <c r="O1542" s="152">
        <f>IF(B1542="","",IF('02_대상물건입력'!B6="",1,IF(ISNUMBER(SEARCH('02_대상물건입력'!B6,B1542)),1,0)))</f>
        <v/>
      </c>
      <c r="P1542" s="152">
        <f>IF(L1542="","",IF('02_대상물건입력'!B15="",0,IF(ISNUMBER(SEARCH('02_대상물건입력'!B15,L1542)),1,0)))</f>
        <v/>
      </c>
      <c r="Q1542" s="152">
        <f>IF(OR(C1542="",L1542=""),0,IF(AND(TRIM(C1542)=TRIM(RIGHT(SUBSTITUTE(TRIM('02_대상물건입력'!$B$7)," ",REPT(" ",99)),99)),IF('02_대상물건입력'!B15="",TRUE(),ISNUMBER(SEARCH('02_대상물건입력'!B15,L1542)))),1,0))</f>
        <v/>
      </c>
      <c r="R1542" s="175">
        <f>IFERROR(ABS(E1542-'02_대상물건입력'!B11)/'02_대상물건입력'!B11,"")</f>
        <v/>
      </c>
      <c r="S1542" s="152">
        <f>IFERROR(ABS(J1542-'02_대상물건입력'!B10),"")</f>
        <v/>
      </c>
      <c r="T1542" s="152">
        <f>IFERROR(ABS('01_설정'!B4-F1542),"")</f>
        <v/>
      </c>
      <c r="U1542" s="152">
        <f>IFERROR(ABS(K1542-YEAR('02_대상물건입력'!B14)),"")</f>
        <v/>
      </c>
      <c r="V1542" s="152">
        <f>IF(B1542="","",IF(AND(E1542&gt;0,F1542&gt;0,H1542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1542=1,TRUE()),R1542&lt;='01_설정'!B5,S1542&lt;='01_설정'!B6,T1542&lt;='01_설정'!B7,U1542&lt;='01_설정'!B8),"Y",""))</f>
        <v/>
      </c>
      <c r="W1542" s="172">
        <f>IF(V1542&lt;&gt;"Y","",MAX(0,(1-R1542/'01_설정'!B5))*'01_설정'!B14+MAX(0,(1-S1542/'01_설정'!B6))*'01_설정'!B15+MAX(0,(1-T1542/'01_설정'!B7))*'01_설정'!B16+MAX(0,(1-U1542/'01_설정'!B8))*'01_설정'!B17+O1542*'01_설정'!B11+Q1542*'01_설정'!B12+P1542*'01_설정'!B13+IF(Z1542="",0,Z1542))</f>
        <v/>
      </c>
      <c r="X1542" s="152">
        <f>IF(W1542="","",1+COUNTIFS($W$4:$W$3003,"&gt;"&amp;W1542)+COUNTIFS($W$4:W1542,W1542)-1)</f>
        <v/>
      </c>
      <c r="Y1542" s="175">
        <f>IF(OR(I1542="",'02_대상물건입력'!B19="",'02_대상물건입력'!B19&lt;=0),"",ABS(I1542-'02_대상물건입력'!B19)/'02_대상물건입력'!B19)</f>
        <v/>
      </c>
      <c r="Z1542" s="172">
        <f>IF(OR(Y1542="",'01_설정'!B31="",'01_설정'!B31&lt;=0,'01_설정'!B32="",'01_설정'!B32&lt;=0),"",MAX(0,(1-Y1542/'01_설정'!B32))*'01_설정'!B31)</f>
        <v/>
      </c>
    </row>
    <row r="1543" ht="17.25" customHeight="1">
      <c r="A1543" s="152">
        <f>IF(INDEX('04A_국토부원자료'!$A:$A,ROW()+1)="","",ROW()-3)</f>
        <v/>
      </c>
      <c r="B1543" s="48">
        <f>IFERROR(INDEX('04A_국토부원자료'!$A:$T,ROW()+1,MATCH("시군구",'04A_국토부원자료'!$A$4:$T$4,0)),"")</f>
        <v/>
      </c>
      <c r="C1543" s="48">
        <f>IF(B1543="","",IFERROR(INDEX('04A_국토부원자료'!$A:$T,ROW()+1,MATCH("번지",'04A_국토부원자료'!$A$4:$T$4,0)),""))</f>
        <v/>
      </c>
      <c r="D1543" s="48">
        <f>IF(B1543="","",IF(Q1543=1,'02_대상물건입력'!$B$8,IFERROR(INDEX('04A_국토부원자료'!$A:$T,ROW()+1,MATCH("단지명",'04A_국토부원자료'!$A$4:$T$4,0)),"")))</f>
        <v/>
      </c>
      <c r="E1543" s="172">
        <f>IFERROR(VALUE(SUBSTITUTE(INDEX('04A_국토부원자료'!$A:$T,ROW()+1,MATCH("전용면적(㎡)",'04A_국토부원자료'!$A$4:$T$4,0)),",","")),"")</f>
        <v/>
      </c>
      <c r="F15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43" s="51">
        <f>IFERROR(VALUE(SUBSTITUTE(INDEX('04A_국토부원자료'!$A:$T,ROW()+1,MATCH("거래금액(만원)",'04A_국토부원자료'!$A$4:$T$4,0)),",","")),"")</f>
        <v/>
      </c>
      <c r="H1543" s="174">
        <f>IF(G1543="","",G1543*10000)</f>
        <v/>
      </c>
      <c r="I1543" s="174">
        <f>IFERROR(IF(AND(H1543&gt;0,E1543&gt;0),H1543/E1543,""),"")</f>
        <v/>
      </c>
      <c r="J1543" s="152">
        <f>IFERROR(VALUE(SUBSTITUTE(INDEX('04A_국토부원자료'!$A:$T,ROW()+1,MATCH("층",'04A_국토부원자료'!$A$4:$T$4,0)),",","")),"")</f>
        <v/>
      </c>
      <c r="K1543" s="152">
        <f>IFERROR(VALUE(SUBSTITUTE(INDEX('04A_국토부원자료'!$A:$T,ROW()+1,MATCH("건축년도",'04A_국토부원자료'!$A$4:$T$4,0)),",","")),"")</f>
        <v/>
      </c>
      <c r="L1543" s="176">
        <f>IFERROR(INDEX('04A_국토부원자료'!$A:$T,ROW()+1,MATCH("도로명",'04A_국토부원자료'!$A$4:$T$4,0)),"")</f>
        <v/>
      </c>
      <c r="M1543" s="48">
        <f>IFERROR(INDEX('04A_국토부원자료'!$A:$T,ROW()+1,MATCH("거래유형",'04A_국토부원자료'!$A$4:$T$4,0)),"")</f>
        <v/>
      </c>
      <c r="N1543" s="152">
        <f>IF(B1543="","",IF('02_대상물건입력'!B5="",1,IF(ISNUMBER(SEARCH('02_대상물건입력'!B5,B1543)),1,0)))</f>
        <v/>
      </c>
      <c r="O1543" s="152">
        <f>IF(B1543="","",IF('02_대상물건입력'!B6="",1,IF(ISNUMBER(SEARCH('02_대상물건입력'!B6,B1543)),1,0)))</f>
        <v/>
      </c>
      <c r="P1543" s="152">
        <f>IF(L1543="","",IF('02_대상물건입력'!B15="",0,IF(ISNUMBER(SEARCH('02_대상물건입력'!B15,L1543)),1,0)))</f>
        <v/>
      </c>
      <c r="Q1543" s="152">
        <f>IF(OR(C1543="",L1543=""),0,IF(AND(TRIM(C1543)=TRIM(RIGHT(SUBSTITUTE(TRIM('02_대상물건입력'!$B$7)," ",REPT(" ",99)),99)),IF('02_대상물건입력'!B15="",TRUE(),ISNUMBER(SEARCH('02_대상물건입력'!B15,L1543)))),1,0))</f>
        <v/>
      </c>
      <c r="R1543" s="175">
        <f>IFERROR(ABS(E1543-'02_대상물건입력'!B11)/'02_대상물건입력'!B11,"")</f>
        <v/>
      </c>
      <c r="S1543" s="152">
        <f>IFERROR(ABS(J1543-'02_대상물건입력'!B10),"")</f>
        <v/>
      </c>
      <c r="T1543" s="152">
        <f>IFERROR(ABS('01_설정'!B4-F1543),"")</f>
        <v/>
      </c>
      <c r="U1543" s="152">
        <f>IFERROR(ABS(K1543-YEAR('02_대상물건입력'!B14)),"")</f>
        <v/>
      </c>
      <c r="V1543" s="152">
        <f>IF(B1543="","",IF(AND(E1543&gt;0,F1543&gt;0,H1543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1543=1,TRUE()),R1543&lt;='01_설정'!B5,S1543&lt;='01_설정'!B6,T1543&lt;='01_설정'!B7,U1543&lt;='01_설정'!B8),"Y",""))</f>
        <v/>
      </c>
      <c r="W1543" s="172">
        <f>IF(V1543&lt;&gt;"Y","",MAX(0,(1-R1543/'01_설정'!B5))*'01_설정'!B14+MAX(0,(1-S1543/'01_설정'!B6))*'01_설정'!B15+MAX(0,(1-T1543/'01_설정'!B7))*'01_설정'!B16+MAX(0,(1-U1543/'01_설정'!B8))*'01_설정'!B17+O1543*'01_설정'!B11+Q1543*'01_설정'!B12+P1543*'01_설정'!B13+IF(Z1543="",0,Z1543))</f>
        <v/>
      </c>
      <c r="X1543" s="152">
        <f>IF(W1543="","",1+COUNTIFS($W$4:$W$3003,"&gt;"&amp;W1543)+COUNTIFS($W$4:W1543,W1543)-1)</f>
        <v/>
      </c>
      <c r="Y1543" s="175">
        <f>IF(OR(I1543="",'02_대상물건입력'!B19="",'02_대상물건입력'!B19&lt;=0),"",ABS(I1543-'02_대상물건입력'!B19)/'02_대상물건입력'!B19)</f>
        <v/>
      </c>
      <c r="Z1543" s="172">
        <f>IF(OR(Y1543="",'01_설정'!B31="",'01_설정'!B31&lt;=0,'01_설정'!B32="",'01_설정'!B32&lt;=0),"",MAX(0,(1-Y1543/'01_설정'!B32))*'01_설정'!B31)</f>
        <v/>
      </c>
    </row>
    <row r="1544" ht="17.25" customHeight="1">
      <c r="A1544" s="152">
        <f>IF(INDEX('04A_국토부원자료'!$A:$A,ROW()+1)="","",ROW()-3)</f>
        <v/>
      </c>
      <c r="B1544" s="48">
        <f>IFERROR(INDEX('04A_국토부원자료'!$A:$T,ROW()+1,MATCH("시군구",'04A_국토부원자료'!$A$4:$T$4,0)),"")</f>
        <v/>
      </c>
      <c r="C1544" s="48">
        <f>IF(B1544="","",IFERROR(INDEX('04A_국토부원자료'!$A:$T,ROW()+1,MATCH("번지",'04A_국토부원자료'!$A$4:$T$4,0)),""))</f>
        <v/>
      </c>
      <c r="D1544" s="48">
        <f>IF(B1544="","",IF(Q1544=1,'02_대상물건입력'!$B$8,IFERROR(INDEX('04A_국토부원자료'!$A:$T,ROW()+1,MATCH("단지명",'04A_국토부원자료'!$A$4:$T$4,0)),"")))</f>
        <v/>
      </c>
      <c r="E1544" s="172">
        <f>IFERROR(VALUE(SUBSTITUTE(INDEX('04A_국토부원자료'!$A:$T,ROW()+1,MATCH("전용면적(㎡)",'04A_국토부원자료'!$A$4:$T$4,0)),",","")),"")</f>
        <v/>
      </c>
      <c r="F15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44" s="51">
        <f>IFERROR(VALUE(SUBSTITUTE(INDEX('04A_국토부원자료'!$A:$T,ROW()+1,MATCH("거래금액(만원)",'04A_국토부원자료'!$A$4:$T$4,0)),",","")),"")</f>
        <v/>
      </c>
      <c r="H1544" s="174">
        <f>IF(G1544="","",G1544*10000)</f>
        <v/>
      </c>
      <c r="I1544" s="174">
        <f>IFERROR(IF(AND(H1544&gt;0,E1544&gt;0),H1544/E1544,""),"")</f>
        <v/>
      </c>
      <c r="J1544" s="152">
        <f>IFERROR(VALUE(SUBSTITUTE(INDEX('04A_국토부원자료'!$A:$T,ROW()+1,MATCH("층",'04A_국토부원자료'!$A$4:$T$4,0)),",","")),"")</f>
        <v/>
      </c>
      <c r="K1544" s="152">
        <f>IFERROR(VALUE(SUBSTITUTE(INDEX('04A_국토부원자료'!$A:$T,ROW()+1,MATCH("건축년도",'04A_국토부원자료'!$A$4:$T$4,0)),",","")),"")</f>
        <v/>
      </c>
      <c r="L1544" s="176">
        <f>IFERROR(INDEX('04A_국토부원자료'!$A:$T,ROW()+1,MATCH("도로명",'04A_국토부원자료'!$A$4:$T$4,0)),"")</f>
        <v/>
      </c>
      <c r="M1544" s="48">
        <f>IFERROR(INDEX('04A_국토부원자료'!$A:$T,ROW()+1,MATCH("거래유형",'04A_국토부원자료'!$A$4:$T$4,0)),"")</f>
        <v/>
      </c>
      <c r="N1544" s="152">
        <f>IF(B1544="","",IF('02_대상물건입력'!B5="",1,IF(ISNUMBER(SEARCH('02_대상물건입력'!B5,B1544)),1,0)))</f>
        <v/>
      </c>
      <c r="O1544" s="152">
        <f>IF(B1544="","",IF('02_대상물건입력'!B6="",1,IF(ISNUMBER(SEARCH('02_대상물건입력'!B6,B1544)),1,0)))</f>
        <v/>
      </c>
      <c r="P1544" s="152">
        <f>IF(L1544="","",IF('02_대상물건입력'!B15="",0,IF(ISNUMBER(SEARCH('02_대상물건입력'!B15,L1544)),1,0)))</f>
        <v/>
      </c>
      <c r="Q1544" s="152">
        <f>IF(OR(C1544="",L1544=""),0,IF(AND(TRIM(C1544)=TRIM(RIGHT(SUBSTITUTE(TRIM('02_대상물건입력'!$B$7)," ",REPT(" ",99)),99)),IF('02_대상물건입력'!B15="",TRUE(),ISNUMBER(SEARCH('02_대상물건입력'!B15,L1544)))),1,0))</f>
        <v/>
      </c>
      <c r="R1544" s="175">
        <f>IFERROR(ABS(E1544-'02_대상물건입력'!B11)/'02_대상물건입력'!B11,"")</f>
        <v/>
      </c>
      <c r="S1544" s="152">
        <f>IFERROR(ABS(J1544-'02_대상물건입력'!B10),"")</f>
        <v/>
      </c>
      <c r="T1544" s="152">
        <f>IFERROR(ABS('01_설정'!B4-F1544),"")</f>
        <v/>
      </c>
      <c r="U1544" s="152">
        <f>IFERROR(ABS(K1544-YEAR('02_대상물건입력'!B14)),"")</f>
        <v/>
      </c>
      <c r="V1544" s="152">
        <f>IF(B1544="","",IF(AND(E1544&gt;0,F1544&gt;0,H1544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1544=1,TRUE()),R1544&lt;='01_설정'!B5,S1544&lt;='01_설정'!B6,T1544&lt;='01_설정'!B7,U1544&lt;='01_설정'!B8),"Y",""))</f>
        <v/>
      </c>
      <c r="W1544" s="172">
        <f>IF(V1544&lt;&gt;"Y","",MAX(0,(1-R1544/'01_설정'!B5))*'01_설정'!B14+MAX(0,(1-S1544/'01_설정'!B6))*'01_설정'!B15+MAX(0,(1-T1544/'01_설정'!B7))*'01_설정'!B16+MAX(0,(1-U1544/'01_설정'!B8))*'01_설정'!B17+O1544*'01_설정'!B11+Q1544*'01_설정'!B12+P1544*'01_설정'!B13+IF(Z1544="",0,Z1544))</f>
        <v/>
      </c>
      <c r="X1544" s="152">
        <f>IF(W1544="","",1+COUNTIFS($W$4:$W$3003,"&gt;"&amp;W1544)+COUNTIFS($W$4:W1544,W1544)-1)</f>
        <v/>
      </c>
      <c r="Y1544" s="175">
        <f>IF(OR(I1544="",'02_대상물건입력'!B19="",'02_대상물건입력'!B19&lt;=0),"",ABS(I1544-'02_대상물건입력'!B19)/'02_대상물건입력'!B19)</f>
        <v/>
      </c>
      <c r="Z1544" s="172">
        <f>IF(OR(Y1544="",'01_설정'!B31="",'01_설정'!B31&lt;=0,'01_설정'!B32="",'01_설정'!B32&lt;=0),"",MAX(0,(1-Y1544/'01_설정'!B32))*'01_설정'!B31)</f>
        <v/>
      </c>
    </row>
    <row r="1545" ht="17.25" customHeight="1">
      <c r="A1545" s="152">
        <f>IF(INDEX('04A_국토부원자료'!$A:$A,ROW()+1)="","",ROW()-3)</f>
        <v/>
      </c>
      <c r="B1545" s="48">
        <f>IFERROR(INDEX('04A_국토부원자료'!$A:$T,ROW()+1,MATCH("시군구",'04A_국토부원자료'!$A$4:$T$4,0)),"")</f>
        <v/>
      </c>
      <c r="C1545" s="48">
        <f>IF(B1545="","",IFERROR(INDEX('04A_국토부원자료'!$A:$T,ROW()+1,MATCH("번지",'04A_국토부원자료'!$A$4:$T$4,0)),""))</f>
        <v/>
      </c>
      <c r="D1545" s="48">
        <f>IF(B1545="","",IF(Q1545=1,'02_대상물건입력'!$B$8,IFERROR(INDEX('04A_국토부원자료'!$A:$T,ROW()+1,MATCH("단지명",'04A_국토부원자료'!$A$4:$T$4,0)),"")))</f>
        <v/>
      </c>
      <c r="E1545" s="172">
        <f>IFERROR(VALUE(SUBSTITUTE(INDEX('04A_국토부원자료'!$A:$T,ROW()+1,MATCH("전용면적(㎡)",'04A_국토부원자료'!$A$4:$T$4,0)),",","")),"")</f>
        <v/>
      </c>
      <c r="F15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45" s="51">
        <f>IFERROR(VALUE(SUBSTITUTE(INDEX('04A_국토부원자료'!$A:$T,ROW()+1,MATCH("거래금액(만원)",'04A_국토부원자료'!$A$4:$T$4,0)),",","")),"")</f>
        <v/>
      </c>
      <c r="H1545" s="174">
        <f>IF(G1545="","",G1545*10000)</f>
        <v/>
      </c>
      <c r="I1545" s="174">
        <f>IFERROR(IF(AND(H1545&gt;0,E1545&gt;0),H1545/E1545,""),"")</f>
        <v/>
      </c>
      <c r="J1545" s="152">
        <f>IFERROR(VALUE(SUBSTITUTE(INDEX('04A_국토부원자료'!$A:$T,ROW()+1,MATCH("층",'04A_국토부원자료'!$A$4:$T$4,0)),",","")),"")</f>
        <v/>
      </c>
      <c r="K1545" s="152">
        <f>IFERROR(VALUE(SUBSTITUTE(INDEX('04A_국토부원자료'!$A:$T,ROW()+1,MATCH("건축년도",'04A_국토부원자료'!$A$4:$T$4,0)),",","")),"")</f>
        <v/>
      </c>
      <c r="L1545" s="176">
        <f>IFERROR(INDEX('04A_국토부원자료'!$A:$T,ROW()+1,MATCH("도로명",'04A_국토부원자료'!$A$4:$T$4,0)),"")</f>
        <v/>
      </c>
      <c r="M1545" s="48">
        <f>IFERROR(INDEX('04A_국토부원자료'!$A:$T,ROW()+1,MATCH("거래유형",'04A_국토부원자료'!$A$4:$T$4,0)),"")</f>
        <v/>
      </c>
      <c r="N1545" s="152">
        <f>IF(B1545="","",IF('02_대상물건입력'!B5="",1,IF(ISNUMBER(SEARCH('02_대상물건입력'!B5,B1545)),1,0)))</f>
        <v/>
      </c>
      <c r="O1545" s="152">
        <f>IF(B1545="","",IF('02_대상물건입력'!B6="",1,IF(ISNUMBER(SEARCH('02_대상물건입력'!B6,B1545)),1,0)))</f>
        <v/>
      </c>
      <c r="P1545" s="152">
        <f>IF(L1545="","",IF('02_대상물건입력'!B15="",0,IF(ISNUMBER(SEARCH('02_대상물건입력'!B15,L1545)),1,0)))</f>
        <v/>
      </c>
      <c r="Q1545" s="152">
        <f>IF(OR(C1545="",L1545=""),0,IF(AND(TRIM(C1545)=TRIM(RIGHT(SUBSTITUTE(TRIM('02_대상물건입력'!$B$7)," ",REPT(" ",99)),99)),IF('02_대상물건입력'!B15="",TRUE(),ISNUMBER(SEARCH('02_대상물건입력'!B15,L1545)))),1,0))</f>
        <v/>
      </c>
      <c r="R1545" s="175">
        <f>IFERROR(ABS(E1545-'02_대상물건입력'!B11)/'02_대상물건입력'!B11,"")</f>
        <v/>
      </c>
      <c r="S1545" s="152">
        <f>IFERROR(ABS(J1545-'02_대상물건입력'!B10),"")</f>
        <v/>
      </c>
      <c r="T1545" s="152">
        <f>IFERROR(ABS('01_설정'!B4-F1545),"")</f>
        <v/>
      </c>
      <c r="U1545" s="152">
        <f>IFERROR(ABS(K1545-YEAR('02_대상물건입력'!B14)),"")</f>
        <v/>
      </c>
      <c r="V1545" s="152">
        <f>IF(B1545="","",IF(AND(E1545&gt;0,F1545&gt;0,H1545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1545=1,TRUE()),R1545&lt;='01_설정'!B5,S1545&lt;='01_설정'!B6,T1545&lt;='01_설정'!B7,U1545&lt;='01_설정'!B8),"Y",""))</f>
        <v/>
      </c>
      <c r="W1545" s="172">
        <f>IF(V1545&lt;&gt;"Y","",MAX(0,(1-R1545/'01_설정'!B5))*'01_설정'!B14+MAX(0,(1-S1545/'01_설정'!B6))*'01_설정'!B15+MAX(0,(1-T1545/'01_설정'!B7))*'01_설정'!B16+MAX(0,(1-U1545/'01_설정'!B8))*'01_설정'!B17+O1545*'01_설정'!B11+Q1545*'01_설정'!B12+P1545*'01_설정'!B13+IF(Z1545="",0,Z1545))</f>
        <v/>
      </c>
      <c r="X1545" s="152">
        <f>IF(W1545="","",1+COUNTIFS($W$4:$W$3003,"&gt;"&amp;W1545)+COUNTIFS($W$4:W1545,W1545)-1)</f>
        <v/>
      </c>
      <c r="Y1545" s="175">
        <f>IF(OR(I1545="",'02_대상물건입력'!B19="",'02_대상물건입력'!B19&lt;=0),"",ABS(I1545-'02_대상물건입력'!B19)/'02_대상물건입력'!B19)</f>
        <v/>
      </c>
      <c r="Z1545" s="172">
        <f>IF(OR(Y1545="",'01_설정'!B31="",'01_설정'!B31&lt;=0,'01_설정'!B32="",'01_설정'!B32&lt;=0),"",MAX(0,(1-Y1545/'01_설정'!B32))*'01_설정'!B31)</f>
        <v/>
      </c>
    </row>
    <row r="1546" ht="17.25" customHeight="1">
      <c r="A1546" s="152">
        <f>IF(INDEX('04A_국토부원자료'!$A:$A,ROW()+1)="","",ROW()-3)</f>
        <v/>
      </c>
      <c r="B1546" s="48">
        <f>IFERROR(INDEX('04A_국토부원자료'!$A:$T,ROW()+1,MATCH("시군구",'04A_국토부원자료'!$A$4:$T$4,0)),"")</f>
        <v/>
      </c>
      <c r="C1546" s="48">
        <f>IF(B1546="","",IFERROR(INDEX('04A_국토부원자료'!$A:$T,ROW()+1,MATCH("번지",'04A_국토부원자료'!$A$4:$T$4,0)),""))</f>
        <v/>
      </c>
      <c r="D1546" s="48">
        <f>IF(B1546="","",IF(Q1546=1,'02_대상물건입력'!$B$8,IFERROR(INDEX('04A_국토부원자료'!$A:$T,ROW()+1,MATCH("단지명",'04A_국토부원자료'!$A$4:$T$4,0)),"")))</f>
        <v/>
      </c>
      <c r="E1546" s="172">
        <f>IFERROR(VALUE(SUBSTITUTE(INDEX('04A_국토부원자료'!$A:$T,ROW()+1,MATCH("전용면적(㎡)",'04A_국토부원자료'!$A$4:$T$4,0)),",","")),"")</f>
        <v/>
      </c>
      <c r="F15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46" s="51">
        <f>IFERROR(VALUE(SUBSTITUTE(INDEX('04A_국토부원자료'!$A:$T,ROW()+1,MATCH("거래금액(만원)",'04A_국토부원자료'!$A$4:$T$4,0)),",","")),"")</f>
        <v/>
      </c>
      <c r="H1546" s="174">
        <f>IF(G1546="","",G1546*10000)</f>
        <v/>
      </c>
      <c r="I1546" s="174">
        <f>IFERROR(IF(AND(H1546&gt;0,E1546&gt;0),H1546/E1546,""),"")</f>
        <v/>
      </c>
      <c r="J1546" s="152">
        <f>IFERROR(VALUE(SUBSTITUTE(INDEX('04A_국토부원자료'!$A:$T,ROW()+1,MATCH("층",'04A_국토부원자료'!$A$4:$T$4,0)),",","")),"")</f>
        <v/>
      </c>
      <c r="K1546" s="152">
        <f>IFERROR(VALUE(SUBSTITUTE(INDEX('04A_국토부원자료'!$A:$T,ROW()+1,MATCH("건축년도",'04A_국토부원자료'!$A$4:$T$4,0)),",","")),"")</f>
        <v/>
      </c>
      <c r="L1546" s="176">
        <f>IFERROR(INDEX('04A_국토부원자료'!$A:$T,ROW()+1,MATCH("도로명",'04A_국토부원자료'!$A$4:$T$4,0)),"")</f>
        <v/>
      </c>
      <c r="M1546" s="48">
        <f>IFERROR(INDEX('04A_국토부원자료'!$A:$T,ROW()+1,MATCH("거래유형",'04A_국토부원자료'!$A$4:$T$4,0)),"")</f>
        <v/>
      </c>
      <c r="N1546" s="152">
        <f>IF(B1546="","",IF('02_대상물건입력'!B5="",1,IF(ISNUMBER(SEARCH('02_대상물건입력'!B5,B1546)),1,0)))</f>
        <v/>
      </c>
      <c r="O1546" s="152">
        <f>IF(B1546="","",IF('02_대상물건입력'!B6="",1,IF(ISNUMBER(SEARCH('02_대상물건입력'!B6,B1546)),1,0)))</f>
        <v/>
      </c>
      <c r="P1546" s="152">
        <f>IF(L1546="","",IF('02_대상물건입력'!B15="",0,IF(ISNUMBER(SEARCH('02_대상물건입력'!B15,L1546)),1,0)))</f>
        <v/>
      </c>
      <c r="Q1546" s="152">
        <f>IF(OR(C1546="",L1546=""),0,IF(AND(TRIM(C1546)=TRIM(RIGHT(SUBSTITUTE(TRIM('02_대상물건입력'!$B$7)," ",REPT(" ",99)),99)),IF('02_대상물건입력'!B15="",TRUE(),ISNUMBER(SEARCH('02_대상물건입력'!B15,L1546)))),1,0))</f>
        <v/>
      </c>
      <c r="R1546" s="175">
        <f>IFERROR(ABS(E1546-'02_대상물건입력'!B11)/'02_대상물건입력'!B11,"")</f>
        <v/>
      </c>
      <c r="S1546" s="152">
        <f>IFERROR(ABS(J1546-'02_대상물건입력'!B10),"")</f>
        <v/>
      </c>
      <c r="T1546" s="152">
        <f>IFERROR(ABS('01_설정'!B4-F1546),"")</f>
        <v/>
      </c>
      <c r="U1546" s="152">
        <f>IFERROR(ABS(K1546-YEAR('02_대상물건입력'!B14)),"")</f>
        <v/>
      </c>
      <c r="V1546" s="152">
        <f>IF(B1546="","",IF(AND(E1546&gt;0,F1546&gt;0,H1546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1546=1,TRUE()),R1546&lt;='01_설정'!B5,S1546&lt;='01_설정'!B6,T1546&lt;='01_설정'!B7,U1546&lt;='01_설정'!B8),"Y",""))</f>
        <v/>
      </c>
      <c r="W1546" s="172">
        <f>IF(V1546&lt;&gt;"Y","",MAX(0,(1-R1546/'01_설정'!B5))*'01_설정'!B14+MAX(0,(1-S1546/'01_설정'!B6))*'01_설정'!B15+MAX(0,(1-T1546/'01_설정'!B7))*'01_설정'!B16+MAX(0,(1-U1546/'01_설정'!B8))*'01_설정'!B17+O1546*'01_설정'!B11+Q1546*'01_설정'!B12+P1546*'01_설정'!B13+IF(Z1546="",0,Z1546))</f>
        <v/>
      </c>
      <c r="X1546" s="152">
        <f>IF(W1546="","",1+COUNTIFS($W$4:$W$3003,"&gt;"&amp;W1546)+COUNTIFS($W$4:W1546,W1546)-1)</f>
        <v/>
      </c>
      <c r="Y1546" s="175">
        <f>IF(OR(I1546="",'02_대상물건입력'!B19="",'02_대상물건입력'!B19&lt;=0),"",ABS(I1546-'02_대상물건입력'!B19)/'02_대상물건입력'!B19)</f>
        <v/>
      </c>
      <c r="Z1546" s="172">
        <f>IF(OR(Y1546="",'01_설정'!B31="",'01_설정'!B31&lt;=0,'01_설정'!B32="",'01_설정'!B32&lt;=0),"",MAX(0,(1-Y1546/'01_설정'!B32))*'01_설정'!B31)</f>
        <v/>
      </c>
    </row>
    <row r="1547" ht="17.25" customHeight="1">
      <c r="A1547" s="152">
        <f>IF(INDEX('04A_국토부원자료'!$A:$A,ROW()+1)="","",ROW()-3)</f>
        <v/>
      </c>
      <c r="B1547" s="48">
        <f>IFERROR(INDEX('04A_국토부원자료'!$A:$T,ROW()+1,MATCH("시군구",'04A_국토부원자료'!$A$4:$T$4,0)),"")</f>
        <v/>
      </c>
      <c r="C1547" s="48">
        <f>IF(B1547="","",IFERROR(INDEX('04A_국토부원자료'!$A:$T,ROW()+1,MATCH("번지",'04A_국토부원자료'!$A$4:$T$4,0)),""))</f>
        <v/>
      </c>
      <c r="D1547" s="48">
        <f>IF(B1547="","",IF(Q1547=1,'02_대상물건입력'!$B$8,IFERROR(INDEX('04A_국토부원자료'!$A:$T,ROW()+1,MATCH("단지명",'04A_국토부원자료'!$A$4:$T$4,0)),"")))</f>
        <v/>
      </c>
      <c r="E1547" s="172">
        <f>IFERROR(VALUE(SUBSTITUTE(INDEX('04A_국토부원자료'!$A:$T,ROW()+1,MATCH("전용면적(㎡)",'04A_국토부원자료'!$A$4:$T$4,0)),",","")),"")</f>
        <v/>
      </c>
      <c r="F15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47" s="51">
        <f>IFERROR(VALUE(SUBSTITUTE(INDEX('04A_국토부원자료'!$A:$T,ROW()+1,MATCH("거래금액(만원)",'04A_국토부원자료'!$A$4:$T$4,0)),",","")),"")</f>
        <v/>
      </c>
      <c r="H1547" s="174">
        <f>IF(G1547="","",G1547*10000)</f>
        <v/>
      </c>
      <c r="I1547" s="174">
        <f>IFERROR(IF(AND(H1547&gt;0,E1547&gt;0),H1547/E1547,""),"")</f>
        <v/>
      </c>
      <c r="J1547" s="152">
        <f>IFERROR(VALUE(SUBSTITUTE(INDEX('04A_국토부원자료'!$A:$T,ROW()+1,MATCH("층",'04A_국토부원자료'!$A$4:$T$4,0)),",","")),"")</f>
        <v/>
      </c>
      <c r="K1547" s="152">
        <f>IFERROR(VALUE(SUBSTITUTE(INDEX('04A_국토부원자료'!$A:$T,ROW()+1,MATCH("건축년도",'04A_국토부원자료'!$A$4:$T$4,0)),",","")),"")</f>
        <v/>
      </c>
      <c r="L1547" s="176">
        <f>IFERROR(INDEX('04A_국토부원자료'!$A:$T,ROW()+1,MATCH("도로명",'04A_국토부원자료'!$A$4:$T$4,0)),"")</f>
        <v/>
      </c>
      <c r="M1547" s="48">
        <f>IFERROR(INDEX('04A_국토부원자료'!$A:$T,ROW()+1,MATCH("거래유형",'04A_국토부원자료'!$A$4:$T$4,0)),"")</f>
        <v/>
      </c>
      <c r="N1547" s="152">
        <f>IF(B1547="","",IF('02_대상물건입력'!B5="",1,IF(ISNUMBER(SEARCH('02_대상물건입력'!B5,B1547)),1,0)))</f>
        <v/>
      </c>
      <c r="O1547" s="152">
        <f>IF(B1547="","",IF('02_대상물건입력'!B6="",1,IF(ISNUMBER(SEARCH('02_대상물건입력'!B6,B1547)),1,0)))</f>
        <v/>
      </c>
      <c r="P1547" s="152">
        <f>IF(L1547="","",IF('02_대상물건입력'!B15="",0,IF(ISNUMBER(SEARCH('02_대상물건입력'!B15,L1547)),1,0)))</f>
        <v/>
      </c>
      <c r="Q1547" s="152">
        <f>IF(OR(C1547="",L1547=""),0,IF(AND(TRIM(C1547)=TRIM(RIGHT(SUBSTITUTE(TRIM('02_대상물건입력'!$B$7)," ",REPT(" ",99)),99)),IF('02_대상물건입력'!B15="",TRUE(),ISNUMBER(SEARCH('02_대상물건입력'!B15,L1547)))),1,0))</f>
        <v/>
      </c>
      <c r="R1547" s="175">
        <f>IFERROR(ABS(E1547-'02_대상물건입력'!B11)/'02_대상물건입력'!B11,"")</f>
        <v/>
      </c>
      <c r="S1547" s="152">
        <f>IFERROR(ABS(J1547-'02_대상물건입력'!B10),"")</f>
        <v/>
      </c>
      <c r="T1547" s="152">
        <f>IFERROR(ABS('01_설정'!B4-F1547),"")</f>
        <v/>
      </c>
      <c r="U1547" s="152">
        <f>IFERROR(ABS(K1547-YEAR('02_대상물건입력'!B14)),"")</f>
        <v/>
      </c>
      <c r="V1547" s="152">
        <f>IF(B1547="","",IF(AND(E1547&gt;0,F1547&gt;0,H1547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1547=1,TRUE()),R1547&lt;='01_설정'!B5,S1547&lt;='01_설정'!B6,T1547&lt;='01_설정'!B7,U1547&lt;='01_설정'!B8),"Y",""))</f>
        <v/>
      </c>
      <c r="W1547" s="172">
        <f>IF(V1547&lt;&gt;"Y","",MAX(0,(1-R1547/'01_설정'!B5))*'01_설정'!B14+MAX(0,(1-S1547/'01_설정'!B6))*'01_설정'!B15+MAX(0,(1-T1547/'01_설정'!B7))*'01_설정'!B16+MAX(0,(1-U1547/'01_설정'!B8))*'01_설정'!B17+O1547*'01_설정'!B11+Q1547*'01_설정'!B12+P1547*'01_설정'!B13+IF(Z1547="",0,Z1547))</f>
        <v/>
      </c>
      <c r="X1547" s="152">
        <f>IF(W1547="","",1+COUNTIFS($W$4:$W$3003,"&gt;"&amp;W1547)+COUNTIFS($W$4:W1547,W1547)-1)</f>
        <v/>
      </c>
      <c r="Y1547" s="175">
        <f>IF(OR(I1547="",'02_대상물건입력'!B19="",'02_대상물건입력'!B19&lt;=0),"",ABS(I1547-'02_대상물건입력'!B19)/'02_대상물건입력'!B19)</f>
        <v/>
      </c>
      <c r="Z1547" s="172">
        <f>IF(OR(Y1547="",'01_설정'!B31="",'01_설정'!B31&lt;=0,'01_설정'!B32="",'01_설정'!B32&lt;=0),"",MAX(0,(1-Y1547/'01_설정'!B32))*'01_설정'!B31)</f>
        <v/>
      </c>
    </row>
    <row r="1548" ht="17.25" customHeight="1">
      <c r="A1548" s="152">
        <f>IF(INDEX('04A_국토부원자료'!$A:$A,ROW()+1)="","",ROW()-3)</f>
        <v/>
      </c>
      <c r="B1548" s="48">
        <f>IFERROR(INDEX('04A_국토부원자료'!$A:$T,ROW()+1,MATCH("시군구",'04A_국토부원자료'!$A$4:$T$4,0)),"")</f>
        <v/>
      </c>
      <c r="C1548" s="48">
        <f>IF(B1548="","",IFERROR(INDEX('04A_국토부원자료'!$A:$T,ROW()+1,MATCH("번지",'04A_국토부원자료'!$A$4:$T$4,0)),""))</f>
        <v/>
      </c>
      <c r="D1548" s="48">
        <f>IF(B1548="","",IF(Q1548=1,'02_대상물건입력'!$B$8,IFERROR(INDEX('04A_국토부원자료'!$A:$T,ROW()+1,MATCH("단지명",'04A_국토부원자료'!$A$4:$T$4,0)),"")))</f>
        <v/>
      </c>
      <c r="E1548" s="172">
        <f>IFERROR(VALUE(SUBSTITUTE(INDEX('04A_국토부원자료'!$A:$T,ROW()+1,MATCH("전용면적(㎡)",'04A_국토부원자료'!$A$4:$T$4,0)),",","")),"")</f>
        <v/>
      </c>
      <c r="F15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48" s="51">
        <f>IFERROR(VALUE(SUBSTITUTE(INDEX('04A_국토부원자료'!$A:$T,ROW()+1,MATCH("거래금액(만원)",'04A_국토부원자료'!$A$4:$T$4,0)),",","")),"")</f>
        <v/>
      </c>
      <c r="H1548" s="174">
        <f>IF(G1548="","",G1548*10000)</f>
        <v/>
      </c>
      <c r="I1548" s="174">
        <f>IFERROR(IF(AND(H1548&gt;0,E1548&gt;0),H1548/E1548,""),"")</f>
        <v/>
      </c>
      <c r="J1548" s="152">
        <f>IFERROR(VALUE(SUBSTITUTE(INDEX('04A_국토부원자료'!$A:$T,ROW()+1,MATCH("층",'04A_국토부원자료'!$A$4:$T$4,0)),",","")),"")</f>
        <v/>
      </c>
      <c r="K1548" s="152">
        <f>IFERROR(VALUE(SUBSTITUTE(INDEX('04A_국토부원자료'!$A:$T,ROW()+1,MATCH("건축년도",'04A_국토부원자료'!$A$4:$T$4,0)),",","")),"")</f>
        <v/>
      </c>
      <c r="L1548" s="176">
        <f>IFERROR(INDEX('04A_국토부원자료'!$A:$T,ROW()+1,MATCH("도로명",'04A_국토부원자료'!$A$4:$T$4,0)),"")</f>
        <v/>
      </c>
      <c r="M1548" s="48">
        <f>IFERROR(INDEX('04A_국토부원자료'!$A:$T,ROW()+1,MATCH("거래유형",'04A_국토부원자료'!$A$4:$T$4,0)),"")</f>
        <v/>
      </c>
      <c r="N1548" s="152">
        <f>IF(B1548="","",IF('02_대상물건입력'!B5="",1,IF(ISNUMBER(SEARCH('02_대상물건입력'!B5,B1548)),1,0)))</f>
        <v/>
      </c>
      <c r="O1548" s="152">
        <f>IF(B1548="","",IF('02_대상물건입력'!B6="",1,IF(ISNUMBER(SEARCH('02_대상물건입력'!B6,B1548)),1,0)))</f>
        <v/>
      </c>
      <c r="P1548" s="152">
        <f>IF(L1548="","",IF('02_대상물건입력'!B15="",0,IF(ISNUMBER(SEARCH('02_대상물건입력'!B15,L1548)),1,0)))</f>
        <v/>
      </c>
      <c r="Q1548" s="152">
        <f>IF(OR(C1548="",L1548=""),0,IF(AND(TRIM(C1548)=TRIM(RIGHT(SUBSTITUTE(TRIM('02_대상물건입력'!$B$7)," ",REPT(" ",99)),99)),IF('02_대상물건입력'!B15="",TRUE(),ISNUMBER(SEARCH('02_대상물건입력'!B15,L1548)))),1,0))</f>
        <v/>
      </c>
      <c r="R1548" s="175">
        <f>IFERROR(ABS(E1548-'02_대상물건입력'!B11)/'02_대상물건입력'!B11,"")</f>
        <v/>
      </c>
      <c r="S1548" s="152">
        <f>IFERROR(ABS(J1548-'02_대상물건입력'!B10),"")</f>
        <v/>
      </c>
      <c r="T1548" s="152">
        <f>IFERROR(ABS('01_설정'!B4-F1548),"")</f>
        <v/>
      </c>
      <c r="U1548" s="152">
        <f>IFERROR(ABS(K1548-YEAR('02_대상물건입력'!B14)),"")</f>
        <v/>
      </c>
      <c r="V1548" s="152">
        <f>IF(B1548="","",IF(AND(E1548&gt;0,F1548&gt;0,H1548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1548=1,TRUE()),R1548&lt;='01_설정'!B5,S1548&lt;='01_설정'!B6,T1548&lt;='01_설정'!B7,U1548&lt;='01_설정'!B8),"Y",""))</f>
        <v/>
      </c>
      <c r="W1548" s="172">
        <f>IF(V1548&lt;&gt;"Y","",MAX(0,(1-R1548/'01_설정'!B5))*'01_설정'!B14+MAX(0,(1-S1548/'01_설정'!B6))*'01_설정'!B15+MAX(0,(1-T1548/'01_설정'!B7))*'01_설정'!B16+MAX(0,(1-U1548/'01_설정'!B8))*'01_설정'!B17+O1548*'01_설정'!B11+Q1548*'01_설정'!B12+P1548*'01_설정'!B13+IF(Z1548="",0,Z1548))</f>
        <v/>
      </c>
      <c r="X1548" s="152">
        <f>IF(W1548="","",1+COUNTIFS($W$4:$W$3003,"&gt;"&amp;W1548)+COUNTIFS($W$4:W1548,W1548)-1)</f>
        <v/>
      </c>
      <c r="Y1548" s="175">
        <f>IF(OR(I1548="",'02_대상물건입력'!B19="",'02_대상물건입력'!B19&lt;=0),"",ABS(I1548-'02_대상물건입력'!B19)/'02_대상물건입력'!B19)</f>
        <v/>
      </c>
      <c r="Z1548" s="172">
        <f>IF(OR(Y1548="",'01_설정'!B31="",'01_설정'!B31&lt;=0,'01_설정'!B32="",'01_설정'!B32&lt;=0),"",MAX(0,(1-Y1548/'01_설정'!B32))*'01_설정'!B31)</f>
        <v/>
      </c>
    </row>
    <row r="1549" ht="17.25" customHeight="1">
      <c r="A1549" s="152">
        <f>IF(INDEX('04A_국토부원자료'!$A:$A,ROW()+1)="","",ROW()-3)</f>
        <v/>
      </c>
      <c r="B1549" s="48">
        <f>IFERROR(INDEX('04A_국토부원자료'!$A:$T,ROW()+1,MATCH("시군구",'04A_국토부원자료'!$A$4:$T$4,0)),"")</f>
        <v/>
      </c>
      <c r="C1549" s="48">
        <f>IF(B1549="","",IFERROR(INDEX('04A_국토부원자료'!$A:$T,ROW()+1,MATCH("번지",'04A_국토부원자료'!$A$4:$T$4,0)),""))</f>
        <v/>
      </c>
      <c r="D1549" s="48">
        <f>IF(B1549="","",IF(Q1549=1,'02_대상물건입력'!$B$8,IFERROR(INDEX('04A_국토부원자료'!$A:$T,ROW()+1,MATCH("단지명",'04A_국토부원자료'!$A$4:$T$4,0)),"")))</f>
        <v/>
      </c>
      <c r="E1549" s="172">
        <f>IFERROR(VALUE(SUBSTITUTE(INDEX('04A_국토부원자료'!$A:$T,ROW()+1,MATCH("전용면적(㎡)",'04A_국토부원자료'!$A$4:$T$4,0)),",","")),"")</f>
        <v/>
      </c>
      <c r="F15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49" s="51">
        <f>IFERROR(VALUE(SUBSTITUTE(INDEX('04A_국토부원자료'!$A:$T,ROW()+1,MATCH("거래금액(만원)",'04A_국토부원자료'!$A$4:$T$4,0)),",","")),"")</f>
        <v/>
      </c>
      <c r="H1549" s="174">
        <f>IF(G1549="","",G1549*10000)</f>
        <v/>
      </c>
      <c r="I1549" s="174">
        <f>IFERROR(IF(AND(H1549&gt;0,E1549&gt;0),H1549/E1549,""),"")</f>
        <v/>
      </c>
      <c r="J1549" s="152">
        <f>IFERROR(VALUE(SUBSTITUTE(INDEX('04A_국토부원자료'!$A:$T,ROW()+1,MATCH("층",'04A_국토부원자료'!$A$4:$T$4,0)),",","")),"")</f>
        <v/>
      </c>
      <c r="K1549" s="152">
        <f>IFERROR(VALUE(SUBSTITUTE(INDEX('04A_국토부원자료'!$A:$T,ROW()+1,MATCH("건축년도",'04A_국토부원자료'!$A$4:$T$4,0)),",","")),"")</f>
        <v/>
      </c>
      <c r="L1549" s="176">
        <f>IFERROR(INDEX('04A_국토부원자료'!$A:$T,ROW()+1,MATCH("도로명",'04A_국토부원자료'!$A$4:$T$4,0)),"")</f>
        <v/>
      </c>
      <c r="M1549" s="48">
        <f>IFERROR(INDEX('04A_국토부원자료'!$A:$T,ROW()+1,MATCH("거래유형",'04A_국토부원자료'!$A$4:$T$4,0)),"")</f>
        <v/>
      </c>
      <c r="N1549" s="152">
        <f>IF(B1549="","",IF('02_대상물건입력'!B5="",1,IF(ISNUMBER(SEARCH('02_대상물건입력'!B5,B1549)),1,0)))</f>
        <v/>
      </c>
      <c r="O1549" s="152">
        <f>IF(B1549="","",IF('02_대상물건입력'!B6="",1,IF(ISNUMBER(SEARCH('02_대상물건입력'!B6,B1549)),1,0)))</f>
        <v/>
      </c>
      <c r="P1549" s="152">
        <f>IF(L1549="","",IF('02_대상물건입력'!B15="",0,IF(ISNUMBER(SEARCH('02_대상물건입력'!B15,L1549)),1,0)))</f>
        <v/>
      </c>
      <c r="Q1549" s="152">
        <f>IF(OR(C1549="",L1549=""),0,IF(AND(TRIM(C1549)=TRIM(RIGHT(SUBSTITUTE(TRIM('02_대상물건입력'!$B$7)," ",REPT(" ",99)),99)),IF('02_대상물건입력'!B15="",TRUE(),ISNUMBER(SEARCH('02_대상물건입력'!B15,L1549)))),1,0))</f>
        <v/>
      </c>
      <c r="R1549" s="175">
        <f>IFERROR(ABS(E1549-'02_대상물건입력'!B11)/'02_대상물건입력'!B11,"")</f>
        <v/>
      </c>
      <c r="S1549" s="152">
        <f>IFERROR(ABS(J1549-'02_대상물건입력'!B10),"")</f>
        <v/>
      </c>
      <c r="T1549" s="152">
        <f>IFERROR(ABS('01_설정'!B4-F1549),"")</f>
        <v/>
      </c>
      <c r="U1549" s="152">
        <f>IFERROR(ABS(K1549-YEAR('02_대상물건입력'!B14)),"")</f>
        <v/>
      </c>
      <c r="V1549" s="152">
        <f>IF(B1549="","",IF(AND(E1549&gt;0,F1549&gt;0,H1549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1549=1,TRUE()),R1549&lt;='01_설정'!B5,S1549&lt;='01_설정'!B6,T1549&lt;='01_설정'!B7,U1549&lt;='01_설정'!B8),"Y",""))</f>
        <v/>
      </c>
      <c r="W1549" s="172">
        <f>IF(V1549&lt;&gt;"Y","",MAX(0,(1-R1549/'01_설정'!B5))*'01_설정'!B14+MAX(0,(1-S1549/'01_설정'!B6))*'01_설정'!B15+MAX(0,(1-T1549/'01_설정'!B7))*'01_설정'!B16+MAX(0,(1-U1549/'01_설정'!B8))*'01_설정'!B17+O1549*'01_설정'!B11+Q1549*'01_설정'!B12+P1549*'01_설정'!B13+IF(Z1549="",0,Z1549))</f>
        <v/>
      </c>
      <c r="X1549" s="152">
        <f>IF(W1549="","",1+COUNTIFS($W$4:$W$3003,"&gt;"&amp;W1549)+COUNTIFS($W$4:W1549,W1549)-1)</f>
        <v/>
      </c>
      <c r="Y1549" s="175">
        <f>IF(OR(I1549="",'02_대상물건입력'!B19="",'02_대상물건입력'!B19&lt;=0),"",ABS(I1549-'02_대상물건입력'!B19)/'02_대상물건입력'!B19)</f>
        <v/>
      </c>
      <c r="Z1549" s="172">
        <f>IF(OR(Y1549="",'01_설정'!B31="",'01_설정'!B31&lt;=0,'01_설정'!B32="",'01_설정'!B32&lt;=0),"",MAX(0,(1-Y1549/'01_설정'!B32))*'01_설정'!B31)</f>
        <v/>
      </c>
    </row>
    <row r="1550" ht="17.25" customHeight="1">
      <c r="A1550" s="152">
        <f>IF(INDEX('04A_국토부원자료'!$A:$A,ROW()+1)="","",ROW()-3)</f>
        <v/>
      </c>
      <c r="B1550" s="48">
        <f>IFERROR(INDEX('04A_국토부원자료'!$A:$T,ROW()+1,MATCH("시군구",'04A_국토부원자료'!$A$4:$T$4,0)),"")</f>
        <v/>
      </c>
      <c r="C1550" s="48">
        <f>IF(B1550="","",IFERROR(INDEX('04A_국토부원자료'!$A:$T,ROW()+1,MATCH("번지",'04A_국토부원자료'!$A$4:$T$4,0)),""))</f>
        <v/>
      </c>
      <c r="D1550" s="48">
        <f>IF(B1550="","",IF(Q1550=1,'02_대상물건입력'!$B$8,IFERROR(INDEX('04A_국토부원자료'!$A:$T,ROW()+1,MATCH("단지명",'04A_국토부원자료'!$A$4:$T$4,0)),"")))</f>
        <v/>
      </c>
      <c r="E1550" s="172">
        <f>IFERROR(VALUE(SUBSTITUTE(INDEX('04A_국토부원자료'!$A:$T,ROW()+1,MATCH("전용면적(㎡)",'04A_국토부원자료'!$A$4:$T$4,0)),",","")),"")</f>
        <v/>
      </c>
      <c r="F15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50" s="51">
        <f>IFERROR(VALUE(SUBSTITUTE(INDEX('04A_국토부원자료'!$A:$T,ROW()+1,MATCH("거래금액(만원)",'04A_국토부원자료'!$A$4:$T$4,0)),",","")),"")</f>
        <v/>
      </c>
      <c r="H1550" s="174">
        <f>IF(G1550="","",G1550*10000)</f>
        <v/>
      </c>
      <c r="I1550" s="174">
        <f>IFERROR(IF(AND(H1550&gt;0,E1550&gt;0),H1550/E1550,""),"")</f>
        <v/>
      </c>
      <c r="J1550" s="152">
        <f>IFERROR(VALUE(SUBSTITUTE(INDEX('04A_국토부원자료'!$A:$T,ROW()+1,MATCH("층",'04A_국토부원자료'!$A$4:$T$4,0)),",","")),"")</f>
        <v/>
      </c>
      <c r="K1550" s="152">
        <f>IFERROR(VALUE(SUBSTITUTE(INDEX('04A_국토부원자료'!$A:$T,ROW()+1,MATCH("건축년도",'04A_국토부원자료'!$A$4:$T$4,0)),",","")),"")</f>
        <v/>
      </c>
      <c r="L1550" s="176">
        <f>IFERROR(INDEX('04A_국토부원자료'!$A:$T,ROW()+1,MATCH("도로명",'04A_국토부원자료'!$A$4:$T$4,0)),"")</f>
        <v/>
      </c>
      <c r="M1550" s="48">
        <f>IFERROR(INDEX('04A_국토부원자료'!$A:$T,ROW()+1,MATCH("거래유형",'04A_국토부원자료'!$A$4:$T$4,0)),"")</f>
        <v/>
      </c>
      <c r="N1550" s="152">
        <f>IF(B1550="","",IF('02_대상물건입력'!B5="",1,IF(ISNUMBER(SEARCH('02_대상물건입력'!B5,B1550)),1,0)))</f>
        <v/>
      </c>
      <c r="O1550" s="152">
        <f>IF(B1550="","",IF('02_대상물건입력'!B6="",1,IF(ISNUMBER(SEARCH('02_대상물건입력'!B6,B1550)),1,0)))</f>
        <v/>
      </c>
      <c r="P1550" s="152">
        <f>IF(L1550="","",IF('02_대상물건입력'!B15="",0,IF(ISNUMBER(SEARCH('02_대상물건입력'!B15,L1550)),1,0)))</f>
        <v/>
      </c>
      <c r="Q1550" s="152">
        <f>IF(OR(C1550="",L1550=""),0,IF(AND(TRIM(C1550)=TRIM(RIGHT(SUBSTITUTE(TRIM('02_대상물건입력'!$B$7)," ",REPT(" ",99)),99)),IF('02_대상물건입력'!B15="",TRUE(),ISNUMBER(SEARCH('02_대상물건입력'!B15,L1550)))),1,0))</f>
        <v/>
      </c>
      <c r="R1550" s="175">
        <f>IFERROR(ABS(E1550-'02_대상물건입력'!B11)/'02_대상물건입력'!B11,"")</f>
        <v/>
      </c>
      <c r="S1550" s="152">
        <f>IFERROR(ABS(J1550-'02_대상물건입력'!B10),"")</f>
        <v/>
      </c>
      <c r="T1550" s="152">
        <f>IFERROR(ABS('01_설정'!B4-F1550),"")</f>
        <v/>
      </c>
      <c r="U1550" s="152">
        <f>IFERROR(ABS(K1550-YEAR('02_대상물건입력'!B14)),"")</f>
        <v/>
      </c>
      <c r="V1550" s="152">
        <f>IF(B1550="","",IF(AND(E1550&gt;0,F1550&gt;0,H1550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1550=1,TRUE()),R1550&lt;='01_설정'!B5,S1550&lt;='01_설정'!B6,T1550&lt;='01_설정'!B7,U1550&lt;='01_설정'!B8),"Y",""))</f>
        <v/>
      </c>
      <c r="W1550" s="172">
        <f>IF(V1550&lt;&gt;"Y","",MAX(0,(1-R1550/'01_설정'!B5))*'01_설정'!B14+MAX(0,(1-S1550/'01_설정'!B6))*'01_설정'!B15+MAX(0,(1-T1550/'01_설정'!B7))*'01_설정'!B16+MAX(0,(1-U1550/'01_설정'!B8))*'01_설정'!B17+O1550*'01_설정'!B11+Q1550*'01_설정'!B12+P1550*'01_설정'!B13+IF(Z1550="",0,Z1550))</f>
        <v/>
      </c>
      <c r="X1550" s="152">
        <f>IF(W1550="","",1+COUNTIFS($W$4:$W$3003,"&gt;"&amp;W1550)+COUNTIFS($W$4:W1550,W1550)-1)</f>
        <v/>
      </c>
      <c r="Y1550" s="175">
        <f>IF(OR(I1550="",'02_대상물건입력'!B19="",'02_대상물건입력'!B19&lt;=0),"",ABS(I1550-'02_대상물건입력'!B19)/'02_대상물건입력'!B19)</f>
        <v/>
      </c>
      <c r="Z1550" s="172">
        <f>IF(OR(Y1550="",'01_설정'!B31="",'01_설정'!B31&lt;=0,'01_설정'!B32="",'01_설정'!B32&lt;=0),"",MAX(0,(1-Y1550/'01_설정'!B32))*'01_설정'!B31)</f>
        <v/>
      </c>
    </row>
    <row r="1551" ht="17.25" customHeight="1">
      <c r="A1551" s="152">
        <f>IF(INDEX('04A_국토부원자료'!$A:$A,ROW()+1)="","",ROW()-3)</f>
        <v/>
      </c>
      <c r="B1551" s="48">
        <f>IFERROR(INDEX('04A_국토부원자료'!$A:$T,ROW()+1,MATCH("시군구",'04A_국토부원자료'!$A$4:$T$4,0)),"")</f>
        <v/>
      </c>
      <c r="C1551" s="48">
        <f>IF(B1551="","",IFERROR(INDEX('04A_국토부원자료'!$A:$T,ROW()+1,MATCH("번지",'04A_국토부원자료'!$A$4:$T$4,0)),""))</f>
        <v/>
      </c>
      <c r="D1551" s="48">
        <f>IF(B1551="","",IF(Q1551=1,'02_대상물건입력'!$B$8,IFERROR(INDEX('04A_국토부원자료'!$A:$T,ROW()+1,MATCH("단지명",'04A_국토부원자료'!$A$4:$T$4,0)),"")))</f>
        <v/>
      </c>
      <c r="E1551" s="172">
        <f>IFERROR(VALUE(SUBSTITUTE(INDEX('04A_국토부원자료'!$A:$T,ROW()+1,MATCH("전용면적(㎡)",'04A_국토부원자료'!$A$4:$T$4,0)),",","")),"")</f>
        <v/>
      </c>
      <c r="F15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51" s="51">
        <f>IFERROR(VALUE(SUBSTITUTE(INDEX('04A_국토부원자료'!$A:$T,ROW()+1,MATCH("거래금액(만원)",'04A_국토부원자료'!$A$4:$T$4,0)),",","")),"")</f>
        <v/>
      </c>
      <c r="H1551" s="174">
        <f>IF(G1551="","",G1551*10000)</f>
        <v/>
      </c>
      <c r="I1551" s="174">
        <f>IFERROR(IF(AND(H1551&gt;0,E1551&gt;0),H1551/E1551,""),"")</f>
        <v/>
      </c>
      <c r="J1551" s="152">
        <f>IFERROR(VALUE(SUBSTITUTE(INDEX('04A_국토부원자료'!$A:$T,ROW()+1,MATCH("층",'04A_국토부원자료'!$A$4:$T$4,0)),",","")),"")</f>
        <v/>
      </c>
      <c r="K1551" s="152">
        <f>IFERROR(VALUE(SUBSTITUTE(INDEX('04A_국토부원자료'!$A:$T,ROW()+1,MATCH("건축년도",'04A_국토부원자료'!$A$4:$T$4,0)),",","")),"")</f>
        <v/>
      </c>
      <c r="L1551" s="176">
        <f>IFERROR(INDEX('04A_국토부원자료'!$A:$T,ROW()+1,MATCH("도로명",'04A_국토부원자료'!$A$4:$T$4,0)),"")</f>
        <v/>
      </c>
      <c r="M1551" s="48">
        <f>IFERROR(INDEX('04A_국토부원자료'!$A:$T,ROW()+1,MATCH("거래유형",'04A_국토부원자료'!$A$4:$T$4,0)),"")</f>
        <v/>
      </c>
      <c r="N1551" s="152">
        <f>IF(B1551="","",IF('02_대상물건입력'!B5="",1,IF(ISNUMBER(SEARCH('02_대상물건입력'!B5,B1551)),1,0)))</f>
        <v/>
      </c>
      <c r="O1551" s="152">
        <f>IF(B1551="","",IF('02_대상물건입력'!B6="",1,IF(ISNUMBER(SEARCH('02_대상물건입력'!B6,B1551)),1,0)))</f>
        <v/>
      </c>
      <c r="P1551" s="152">
        <f>IF(L1551="","",IF('02_대상물건입력'!B15="",0,IF(ISNUMBER(SEARCH('02_대상물건입력'!B15,L1551)),1,0)))</f>
        <v/>
      </c>
      <c r="Q1551" s="152">
        <f>IF(OR(C1551="",L1551=""),0,IF(AND(TRIM(C1551)=TRIM(RIGHT(SUBSTITUTE(TRIM('02_대상물건입력'!$B$7)," ",REPT(" ",99)),99)),IF('02_대상물건입력'!B15="",TRUE(),ISNUMBER(SEARCH('02_대상물건입력'!B15,L1551)))),1,0))</f>
        <v/>
      </c>
      <c r="R1551" s="175">
        <f>IFERROR(ABS(E1551-'02_대상물건입력'!B11)/'02_대상물건입력'!B11,"")</f>
        <v/>
      </c>
      <c r="S1551" s="152">
        <f>IFERROR(ABS(J1551-'02_대상물건입력'!B10),"")</f>
        <v/>
      </c>
      <c r="T1551" s="152">
        <f>IFERROR(ABS('01_설정'!B4-F1551),"")</f>
        <v/>
      </c>
      <c r="U1551" s="152">
        <f>IFERROR(ABS(K1551-YEAR('02_대상물건입력'!B14)),"")</f>
        <v/>
      </c>
      <c r="V1551" s="152">
        <f>IF(B1551="","",IF(AND(E1551&gt;0,F1551&gt;0,H1551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1551=1,TRUE()),R1551&lt;='01_설정'!B5,S1551&lt;='01_설정'!B6,T1551&lt;='01_설정'!B7,U1551&lt;='01_설정'!B8),"Y",""))</f>
        <v/>
      </c>
      <c r="W1551" s="172">
        <f>IF(V1551&lt;&gt;"Y","",MAX(0,(1-R1551/'01_설정'!B5))*'01_설정'!B14+MAX(0,(1-S1551/'01_설정'!B6))*'01_설정'!B15+MAX(0,(1-T1551/'01_설정'!B7))*'01_설정'!B16+MAX(0,(1-U1551/'01_설정'!B8))*'01_설정'!B17+O1551*'01_설정'!B11+Q1551*'01_설정'!B12+P1551*'01_설정'!B13+IF(Z1551="",0,Z1551))</f>
        <v/>
      </c>
      <c r="X1551" s="152">
        <f>IF(W1551="","",1+COUNTIFS($W$4:$W$3003,"&gt;"&amp;W1551)+COUNTIFS($W$4:W1551,W1551)-1)</f>
        <v/>
      </c>
      <c r="Y1551" s="175">
        <f>IF(OR(I1551="",'02_대상물건입력'!B19="",'02_대상물건입력'!B19&lt;=0),"",ABS(I1551-'02_대상물건입력'!B19)/'02_대상물건입력'!B19)</f>
        <v/>
      </c>
      <c r="Z1551" s="172">
        <f>IF(OR(Y1551="",'01_설정'!B31="",'01_설정'!B31&lt;=0,'01_설정'!B32="",'01_설정'!B32&lt;=0),"",MAX(0,(1-Y1551/'01_설정'!B32))*'01_설정'!B31)</f>
        <v/>
      </c>
    </row>
    <row r="1552" ht="17.25" customHeight="1">
      <c r="A1552" s="152">
        <f>IF(INDEX('04A_국토부원자료'!$A:$A,ROW()+1)="","",ROW()-3)</f>
        <v/>
      </c>
      <c r="B1552" s="48">
        <f>IFERROR(INDEX('04A_국토부원자료'!$A:$T,ROW()+1,MATCH("시군구",'04A_국토부원자료'!$A$4:$T$4,0)),"")</f>
        <v/>
      </c>
      <c r="C1552" s="48">
        <f>IF(B1552="","",IFERROR(INDEX('04A_국토부원자료'!$A:$T,ROW()+1,MATCH("번지",'04A_국토부원자료'!$A$4:$T$4,0)),""))</f>
        <v/>
      </c>
      <c r="D1552" s="48">
        <f>IF(B1552="","",IF(Q1552=1,'02_대상물건입력'!$B$8,IFERROR(INDEX('04A_국토부원자료'!$A:$T,ROW()+1,MATCH("단지명",'04A_국토부원자료'!$A$4:$T$4,0)),"")))</f>
        <v/>
      </c>
      <c r="E1552" s="172">
        <f>IFERROR(VALUE(SUBSTITUTE(INDEX('04A_국토부원자료'!$A:$T,ROW()+1,MATCH("전용면적(㎡)",'04A_국토부원자료'!$A$4:$T$4,0)),",","")),"")</f>
        <v/>
      </c>
      <c r="F15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52" s="51">
        <f>IFERROR(VALUE(SUBSTITUTE(INDEX('04A_국토부원자료'!$A:$T,ROW()+1,MATCH("거래금액(만원)",'04A_국토부원자료'!$A$4:$T$4,0)),",","")),"")</f>
        <v/>
      </c>
      <c r="H1552" s="174">
        <f>IF(G1552="","",G1552*10000)</f>
        <v/>
      </c>
      <c r="I1552" s="174">
        <f>IFERROR(IF(AND(H1552&gt;0,E1552&gt;0),H1552/E1552,""),"")</f>
        <v/>
      </c>
      <c r="J1552" s="152">
        <f>IFERROR(VALUE(SUBSTITUTE(INDEX('04A_국토부원자료'!$A:$T,ROW()+1,MATCH("층",'04A_국토부원자료'!$A$4:$T$4,0)),",","")),"")</f>
        <v/>
      </c>
      <c r="K1552" s="152">
        <f>IFERROR(VALUE(SUBSTITUTE(INDEX('04A_국토부원자료'!$A:$T,ROW()+1,MATCH("건축년도",'04A_국토부원자료'!$A$4:$T$4,0)),",","")),"")</f>
        <v/>
      </c>
      <c r="L1552" s="176">
        <f>IFERROR(INDEX('04A_국토부원자료'!$A:$T,ROW()+1,MATCH("도로명",'04A_국토부원자료'!$A$4:$T$4,0)),"")</f>
        <v/>
      </c>
      <c r="M1552" s="48">
        <f>IFERROR(INDEX('04A_국토부원자료'!$A:$T,ROW()+1,MATCH("거래유형",'04A_국토부원자료'!$A$4:$T$4,0)),"")</f>
        <v/>
      </c>
      <c r="N1552" s="152">
        <f>IF(B1552="","",IF('02_대상물건입력'!B5="",1,IF(ISNUMBER(SEARCH('02_대상물건입력'!B5,B1552)),1,0)))</f>
        <v/>
      </c>
      <c r="O1552" s="152">
        <f>IF(B1552="","",IF('02_대상물건입력'!B6="",1,IF(ISNUMBER(SEARCH('02_대상물건입력'!B6,B1552)),1,0)))</f>
        <v/>
      </c>
      <c r="P1552" s="152">
        <f>IF(L1552="","",IF('02_대상물건입력'!B15="",0,IF(ISNUMBER(SEARCH('02_대상물건입력'!B15,L1552)),1,0)))</f>
        <v/>
      </c>
      <c r="Q1552" s="152">
        <f>IF(OR(C1552="",L1552=""),0,IF(AND(TRIM(C1552)=TRIM(RIGHT(SUBSTITUTE(TRIM('02_대상물건입력'!$B$7)," ",REPT(" ",99)),99)),IF('02_대상물건입력'!B15="",TRUE(),ISNUMBER(SEARCH('02_대상물건입력'!B15,L1552)))),1,0))</f>
        <v/>
      </c>
      <c r="R1552" s="175">
        <f>IFERROR(ABS(E1552-'02_대상물건입력'!B11)/'02_대상물건입력'!B11,"")</f>
        <v/>
      </c>
      <c r="S1552" s="152">
        <f>IFERROR(ABS(J1552-'02_대상물건입력'!B10),"")</f>
        <v/>
      </c>
      <c r="T1552" s="152">
        <f>IFERROR(ABS('01_설정'!B4-F1552),"")</f>
        <v/>
      </c>
      <c r="U1552" s="152">
        <f>IFERROR(ABS(K1552-YEAR('02_대상물건입력'!B14)),"")</f>
        <v/>
      </c>
      <c r="V1552" s="152">
        <f>IF(B1552="","",IF(AND(E1552&gt;0,F1552&gt;0,H1552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1552=1,TRUE()),R1552&lt;='01_설정'!B5,S1552&lt;='01_설정'!B6,T1552&lt;='01_설정'!B7,U1552&lt;='01_설정'!B8),"Y",""))</f>
        <v/>
      </c>
      <c r="W1552" s="172">
        <f>IF(V1552&lt;&gt;"Y","",MAX(0,(1-R1552/'01_설정'!B5))*'01_설정'!B14+MAX(0,(1-S1552/'01_설정'!B6))*'01_설정'!B15+MAX(0,(1-T1552/'01_설정'!B7))*'01_설정'!B16+MAX(0,(1-U1552/'01_설정'!B8))*'01_설정'!B17+O1552*'01_설정'!B11+Q1552*'01_설정'!B12+P1552*'01_설정'!B13+IF(Z1552="",0,Z1552))</f>
        <v/>
      </c>
      <c r="X1552" s="152">
        <f>IF(W1552="","",1+COUNTIFS($W$4:$W$3003,"&gt;"&amp;W1552)+COUNTIFS($W$4:W1552,W1552)-1)</f>
        <v/>
      </c>
      <c r="Y1552" s="175">
        <f>IF(OR(I1552="",'02_대상물건입력'!B19="",'02_대상물건입력'!B19&lt;=0),"",ABS(I1552-'02_대상물건입력'!B19)/'02_대상물건입력'!B19)</f>
        <v/>
      </c>
      <c r="Z1552" s="172">
        <f>IF(OR(Y1552="",'01_설정'!B31="",'01_설정'!B31&lt;=0,'01_설정'!B32="",'01_설정'!B32&lt;=0),"",MAX(0,(1-Y1552/'01_설정'!B32))*'01_설정'!B31)</f>
        <v/>
      </c>
    </row>
    <row r="1553" ht="17.25" customHeight="1">
      <c r="A1553" s="152">
        <f>IF(INDEX('04A_국토부원자료'!$A:$A,ROW()+1)="","",ROW()-3)</f>
        <v/>
      </c>
      <c r="B1553" s="48">
        <f>IFERROR(INDEX('04A_국토부원자료'!$A:$T,ROW()+1,MATCH("시군구",'04A_국토부원자료'!$A$4:$T$4,0)),"")</f>
        <v/>
      </c>
      <c r="C1553" s="48">
        <f>IF(B1553="","",IFERROR(INDEX('04A_국토부원자료'!$A:$T,ROW()+1,MATCH("번지",'04A_국토부원자료'!$A$4:$T$4,0)),""))</f>
        <v/>
      </c>
      <c r="D1553" s="48">
        <f>IF(B1553="","",IF(Q1553=1,'02_대상물건입력'!$B$8,IFERROR(INDEX('04A_국토부원자료'!$A:$T,ROW()+1,MATCH("단지명",'04A_국토부원자료'!$A$4:$T$4,0)),"")))</f>
        <v/>
      </c>
      <c r="E1553" s="172">
        <f>IFERROR(VALUE(SUBSTITUTE(INDEX('04A_국토부원자료'!$A:$T,ROW()+1,MATCH("전용면적(㎡)",'04A_국토부원자료'!$A$4:$T$4,0)),",","")),"")</f>
        <v/>
      </c>
      <c r="F15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53" s="51">
        <f>IFERROR(VALUE(SUBSTITUTE(INDEX('04A_국토부원자료'!$A:$T,ROW()+1,MATCH("거래금액(만원)",'04A_국토부원자료'!$A$4:$T$4,0)),",","")),"")</f>
        <v/>
      </c>
      <c r="H1553" s="174">
        <f>IF(G1553="","",G1553*10000)</f>
        <v/>
      </c>
      <c r="I1553" s="174">
        <f>IFERROR(IF(AND(H1553&gt;0,E1553&gt;0),H1553/E1553,""),"")</f>
        <v/>
      </c>
      <c r="J1553" s="152">
        <f>IFERROR(VALUE(SUBSTITUTE(INDEX('04A_국토부원자료'!$A:$T,ROW()+1,MATCH("층",'04A_국토부원자료'!$A$4:$T$4,0)),",","")),"")</f>
        <v/>
      </c>
      <c r="K1553" s="152">
        <f>IFERROR(VALUE(SUBSTITUTE(INDEX('04A_국토부원자료'!$A:$T,ROW()+1,MATCH("건축년도",'04A_국토부원자료'!$A$4:$T$4,0)),",","")),"")</f>
        <v/>
      </c>
      <c r="L1553" s="176">
        <f>IFERROR(INDEX('04A_국토부원자료'!$A:$T,ROW()+1,MATCH("도로명",'04A_국토부원자료'!$A$4:$T$4,0)),"")</f>
        <v/>
      </c>
      <c r="M1553" s="48">
        <f>IFERROR(INDEX('04A_국토부원자료'!$A:$T,ROW()+1,MATCH("거래유형",'04A_국토부원자료'!$A$4:$T$4,0)),"")</f>
        <v/>
      </c>
      <c r="N1553" s="152">
        <f>IF(B1553="","",IF('02_대상물건입력'!B5="",1,IF(ISNUMBER(SEARCH('02_대상물건입력'!B5,B1553)),1,0)))</f>
        <v/>
      </c>
      <c r="O1553" s="152">
        <f>IF(B1553="","",IF('02_대상물건입력'!B6="",1,IF(ISNUMBER(SEARCH('02_대상물건입력'!B6,B1553)),1,0)))</f>
        <v/>
      </c>
      <c r="P1553" s="152">
        <f>IF(L1553="","",IF('02_대상물건입력'!B15="",0,IF(ISNUMBER(SEARCH('02_대상물건입력'!B15,L1553)),1,0)))</f>
        <v/>
      </c>
      <c r="Q1553" s="152">
        <f>IF(OR(C1553="",L1553=""),0,IF(AND(TRIM(C1553)=TRIM(RIGHT(SUBSTITUTE(TRIM('02_대상물건입력'!$B$7)," ",REPT(" ",99)),99)),IF('02_대상물건입력'!B15="",TRUE(),ISNUMBER(SEARCH('02_대상물건입력'!B15,L1553)))),1,0))</f>
        <v/>
      </c>
      <c r="R1553" s="175">
        <f>IFERROR(ABS(E1553-'02_대상물건입력'!B11)/'02_대상물건입력'!B11,"")</f>
        <v/>
      </c>
      <c r="S1553" s="152">
        <f>IFERROR(ABS(J1553-'02_대상물건입력'!B10),"")</f>
        <v/>
      </c>
      <c r="T1553" s="152">
        <f>IFERROR(ABS('01_설정'!B4-F1553),"")</f>
        <v/>
      </c>
      <c r="U1553" s="152">
        <f>IFERROR(ABS(K1553-YEAR('02_대상물건입력'!B14)),"")</f>
        <v/>
      </c>
      <c r="V1553" s="152">
        <f>IF(B1553="","",IF(AND(E1553&gt;0,F1553&gt;0,H1553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1553=1,TRUE()),R1553&lt;='01_설정'!B5,S1553&lt;='01_설정'!B6,T1553&lt;='01_설정'!B7,U1553&lt;='01_설정'!B8),"Y",""))</f>
        <v/>
      </c>
      <c r="W1553" s="172">
        <f>IF(V1553&lt;&gt;"Y","",MAX(0,(1-R1553/'01_설정'!B5))*'01_설정'!B14+MAX(0,(1-S1553/'01_설정'!B6))*'01_설정'!B15+MAX(0,(1-T1553/'01_설정'!B7))*'01_설정'!B16+MAX(0,(1-U1553/'01_설정'!B8))*'01_설정'!B17+O1553*'01_설정'!B11+Q1553*'01_설정'!B12+P1553*'01_설정'!B13+IF(Z1553="",0,Z1553))</f>
        <v/>
      </c>
      <c r="X1553" s="152">
        <f>IF(W1553="","",1+COUNTIFS($W$4:$W$3003,"&gt;"&amp;W1553)+COUNTIFS($W$4:W1553,W1553)-1)</f>
        <v/>
      </c>
      <c r="Y1553" s="175">
        <f>IF(OR(I1553="",'02_대상물건입력'!B19="",'02_대상물건입력'!B19&lt;=0),"",ABS(I1553-'02_대상물건입력'!B19)/'02_대상물건입력'!B19)</f>
        <v/>
      </c>
      <c r="Z1553" s="172">
        <f>IF(OR(Y1553="",'01_설정'!B31="",'01_설정'!B31&lt;=0,'01_설정'!B32="",'01_설정'!B32&lt;=0),"",MAX(0,(1-Y1553/'01_설정'!B32))*'01_설정'!B31)</f>
        <v/>
      </c>
    </row>
    <row r="1554" ht="17.25" customHeight="1">
      <c r="A1554" s="152">
        <f>IF(INDEX('04A_국토부원자료'!$A:$A,ROW()+1)="","",ROW()-3)</f>
        <v/>
      </c>
      <c r="B1554" s="48">
        <f>IFERROR(INDEX('04A_국토부원자료'!$A:$T,ROW()+1,MATCH("시군구",'04A_국토부원자료'!$A$4:$T$4,0)),"")</f>
        <v/>
      </c>
      <c r="C1554" s="48">
        <f>IF(B1554="","",IFERROR(INDEX('04A_국토부원자료'!$A:$T,ROW()+1,MATCH("번지",'04A_국토부원자료'!$A$4:$T$4,0)),""))</f>
        <v/>
      </c>
      <c r="D1554" s="48">
        <f>IF(B1554="","",IF(Q1554=1,'02_대상물건입력'!$B$8,IFERROR(INDEX('04A_국토부원자료'!$A:$T,ROW()+1,MATCH("단지명",'04A_국토부원자료'!$A$4:$T$4,0)),"")))</f>
        <v/>
      </c>
      <c r="E1554" s="172">
        <f>IFERROR(VALUE(SUBSTITUTE(INDEX('04A_국토부원자료'!$A:$T,ROW()+1,MATCH("전용면적(㎡)",'04A_국토부원자료'!$A$4:$T$4,0)),",","")),"")</f>
        <v/>
      </c>
      <c r="F15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54" s="51">
        <f>IFERROR(VALUE(SUBSTITUTE(INDEX('04A_국토부원자료'!$A:$T,ROW()+1,MATCH("거래금액(만원)",'04A_국토부원자료'!$A$4:$T$4,0)),",","")),"")</f>
        <v/>
      </c>
      <c r="H1554" s="174">
        <f>IF(G1554="","",G1554*10000)</f>
        <v/>
      </c>
      <c r="I1554" s="174">
        <f>IFERROR(IF(AND(H1554&gt;0,E1554&gt;0),H1554/E1554,""),"")</f>
        <v/>
      </c>
      <c r="J1554" s="152">
        <f>IFERROR(VALUE(SUBSTITUTE(INDEX('04A_국토부원자료'!$A:$T,ROW()+1,MATCH("층",'04A_국토부원자료'!$A$4:$T$4,0)),",","")),"")</f>
        <v/>
      </c>
      <c r="K1554" s="152">
        <f>IFERROR(VALUE(SUBSTITUTE(INDEX('04A_국토부원자료'!$A:$T,ROW()+1,MATCH("건축년도",'04A_국토부원자료'!$A$4:$T$4,0)),",","")),"")</f>
        <v/>
      </c>
      <c r="L1554" s="176">
        <f>IFERROR(INDEX('04A_국토부원자료'!$A:$T,ROW()+1,MATCH("도로명",'04A_국토부원자료'!$A$4:$T$4,0)),"")</f>
        <v/>
      </c>
      <c r="M1554" s="48">
        <f>IFERROR(INDEX('04A_국토부원자료'!$A:$T,ROW()+1,MATCH("거래유형",'04A_국토부원자료'!$A$4:$T$4,0)),"")</f>
        <v/>
      </c>
      <c r="N1554" s="152">
        <f>IF(B1554="","",IF('02_대상물건입력'!B5="",1,IF(ISNUMBER(SEARCH('02_대상물건입력'!B5,B1554)),1,0)))</f>
        <v/>
      </c>
      <c r="O1554" s="152">
        <f>IF(B1554="","",IF('02_대상물건입력'!B6="",1,IF(ISNUMBER(SEARCH('02_대상물건입력'!B6,B1554)),1,0)))</f>
        <v/>
      </c>
      <c r="P1554" s="152">
        <f>IF(L1554="","",IF('02_대상물건입력'!B15="",0,IF(ISNUMBER(SEARCH('02_대상물건입력'!B15,L1554)),1,0)))</f>
        <v/>
      </c>
      <c r="Q1554" s="152">
        <f>IF(OR(C1554="",L1554=""),0,IF(AND(TRIM(C1554)=TRIM(RIGHT(SUBSTITUTE(TRIM('02_대상물건입력'!$B$7)," ",REPT(" ",99)),99)),IF('02_대상물건입력'!B15="",TRUE(),ISNUMBER(SEARCH('02_대상물건입력'!B15,L1554)))),1,0))</f>
        <v/>
      </c>
      <c r="R1554" s="175">
        <f>IFERROR(ABS(E1554-'02_대상물건입력'!B11)/'02_대상물건입력'!B11,"")</f>
        <v/>
      </c>
      <c r="S1554" s="152">
        <f>IFERROR(ABS(J1554-'02_대상물건입력'!B10),"")</f>
        <v/>
      </c>
      <c r="T1554" s="152">
        <f>IFERROR(ABS('01_설정'!B4-F1554),"")</f>
        <v/>
      </c>
      <c r="U1554" s="152">
        <f>IFERROR(ABS(K1554-YEAR('02_대상물건입력'!B14)),"")</f>
        <v/>
      </c>
      <c r="V1554" s="152">
        <f>IF(B1554="","",IF(AND(E1554&gt;0,F1554&gt;0,H1554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1554=1,TRUE()),R1554&lt;='01_설정'!B5,S1554&lt;='01_설정'!B6,T1554&lt;='01_설정'!B7,U1554&lt;='01_설정'!B8),"Y",""))</f>
        <v/>
      </c>
      <c r="W1554" s="172">
        <f>IF(V1554&lt;&gt;"Y","",MAX(0,(1-R1554/'01_설정'!B5))*'01_설정'!B14+MAX(0,(1-S1554/'01_설정'!B6))*'01_설정'!B15+MAX(0,(1-T1554/'01_설정'!B7))*'01_설정'!B16+MAX(0,(1-U1554/'01_설정'!B8))*'01_설정'!B17+O1554*'01_설정'!B11+Q1554*'01_설정'!B12+P1554*'01_설정'!B13+IF(Z1554="",0,Z1554))</f>
        <v/>
      </c>
      <c r="X1554" s="152">
        <f>IF(W1554="","",1+COUNTIFS($W$4:$W$3003,"&gt;"&amp;W1554)+COUNTIFS($W$4:W1554,W1554)-1)</f>
        <v/>
      </c>
      <c r="Y1554" s="175">
        <f>IF(OR(I1554="",'02_대상물건입력'!B19="",'02_대상물건입력'!B19&lt;=0),"",ABS(I1554-'02_대상물건입력'!B19)/'02_대상물건입력'!B19)</f>
        <v/>
      </c>
      <c r="Z1554" s="172">
        <f>IF(OR(Y1554="",'01_설정'!B31="",'01_설정'!B31&lt;=0,'01_설정'!B32="",'01_설정'!B32&lt;=0),"",MAX(0,(1-Y1554/'01_설정'!B32))*'01_설정'!B31)</f>
        <v/>
      </c>
    </row>
    <row r="1555" ht="17.25" customHeight="1">
      <c r="A1555" s="152">
        <f>IF(INDEX('04A_국토부원자료'!$A:$A,ROW()+1)="","",ROW()-3)</f>
        <v/>
      </c>
      <c r="B1555" s="48">
        <f>IFERROR(INDEX('04A_국토부원자료'!$A:$T,ROW()+1,MATCH("시군구",'04A_국토부원자료'!$A$4:$T$4,0)),"")</f>
        <v/>
      </c>
      <c r="C1555" s="48">
        <f>IF(B1555="","",IFERROR(INDEX('04A_국토부원자료'!$A:$T,ROW()+1,MATCH("번지",'04A_국토부원자료'!$A$4:$T$4,0)),""))</f>
        <v/>
      </c>
      <c r="D1555" s="48">
        <f>IF(B1555="","",IF(Q1555=1,'02_대상물건입력'!$B$8,IFERROR(INDEX('04A_국토부원자료'!$A:$T,ROW()+1,MATCH("단지명",'04A_국토부원자료'!$A$4:$T$4,0)),"")))</f>
        <v/>
      </c>
      <c r="E1555" s="172">
        <f>IFERROR(VALUE(SUBSTITUTE(INDEX('04A_국토부원자료'!$A:$T,ROW()+1,MATCH("전용면적(㎡)",'04A_국토부원자료'!$A$4:$T$4,0)),",","")),"")</f>
        <v/>
      </c>
      <c r="F15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55" s="51">
        <f>IFERROR(VALUE(SUBSTITUTE(INDEX('04A_국토부원자료'!$A:$T,ROW()+1,MATCH("거래금액(만원)",'04A_국토부원자료'!$A$4:$T$4,0)),",","")),"")</f>
        <v/>
      </c>
      <c r="H1555" s="174">
        <f>IF(G1555="","",G1555*10000)</f>
        <v/>
      </c>
      <c r="I1555" s="174">
        <f>IFERROR(IF(AND(H1555&gt;0,E1555&gt;0),H1555/E1555,""),"")</f>
        <v/>
      </c>
      <c r="J1555" s="152">
        <f>IFERROR(VALUE(SUBSTITUTE(INDEX('04A_국토부원자료'!$A:$T,ROW()+1,MATCH("층",'04A_국토부원자료'!$A$4:$T$4,0)),",","")),"")</f>
        <v/>
      </c>
      <c r="K1555" s="152">
        <f>IFERROR(VALUE(SUBSTITUTE(INDEX('04A_국토부원자료'!$A:$T,ROW()+1,MATCH("건축년도",'04A_국토부원자료'!$A$4:$T$4,0)),",","")),"")</f>
        <v/>
      </c>
      <c r="L1555" s="176">
        <f>IFERROR(INDEX('04A_국토부원자료'!$A:$T,ROW()+1,MATCH("도로명",'04A_국토부원자료'!$A$4:$T$4,0)),"")</f>
        <v/>
      </c>
      <c r="M1555" s="48">
        <f>IFERROR(INDEX('04A_국토부원자료'!$A:$T,ROW()+1,MATCH("거래유형",'04A_국토부원자료'!$A$4:$T$4,0)),"")</f>
        <v/>
      </c>
      <c r="N1555" s="152">
        <f>IF(B1555="","",IF('02_대상물건입력'!B5="",1,IF(ISNUMBER(SEARCH('02_대상물건입력'!B5,B1555)),1,0)))</f>
        <v/>
      </c>
      <c r="O1555" s="152">
        <f>IF(B1555="","",IF('02_대상물건입력'!B6="",1,IF(ISNUMBER(SEARCH('02_대상물건입력'!B6,B1555)),1,0)))</f>
        <v/>
      </c>
      <c r="P1555" s="152">
        <f>IF(L1555="","",IF('02_대상물건입력'!B15="",0,IF(ISNUMBER(SEARCH('02_대상물건입력'!B15,L1555)),1,0)))</f>
        <v/>
      </c>
      <c r="Q1555" s="152">
        <f>IF(OR(C1555="",L1555=""),0,IF(AND(TRIM(C1555)=TRIM(RIGHT(SUBSTITUTE(TRIM('02_대상물건입력'!$B$7)," ",REPT(" ",99)),99)),IF('02_대상물건입력'!B15="",TRUE(),ISNUMBER(SEARCH('02_대상물건입력'!B15,L1555)))),1,0))</f>
        <v/>
      </c>
      <c r="R1555" s="175">
        <f>IFERROR(ABS(E1555-'02_대상물건입력'!B11)/'02_대상물건입력'!B11,"")</f>
        <v/>
      </c>
      <c r="S1555" s="152">
        <f>IFERROR(ABS(J1555-'02_대상물건입력'!B10),"")</f>
        <v/>
      </c>
      <c r="T1555" s="152">
        <f>IFERROR(ABS('01_설정'!B4-F1555),"")</f>
        <v/>
      </c>
      <c r="U1555" s="152">
        <f>IFERROR(ABS(K1555-YEAR('02_대상물건입력'!B14)),"")</f>
        <v/>
      </c>
      <c r="V1555" s="152">
        <f>IF(B1555="","",IF(AND(E1555&gt;0,F1555&gt;0,H1555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1555=1,TRUE()),R1555&lt;='01_설정'!B5,S1555&lt;='01_설정'!B6,T1555&lt;='01_설정'!B7,U1555&lt;='01_설정'!B8),"Y",""))</f>
        <v/>
      </c>
      <c r="W1555" s="172">
        <f>IF(V1555&lt;&gt;"Y","",MAX(0,(1-R1555/'01_설정'!B5))*'01_설정'!B14+MAX(0,(1-S1555/'01_설정'!B6))*'01_설정'!B15+MAX(0,(1-T1555/'01_설정'!B7))*'01_설정'!B16+MAX(0,(1-U1555/'01_설정'!B8))*'01_설정'!B17+O1555*'01_설정'!B11+Q1555*'01_설정'!B12+P1555*'01_설정'!B13+IF(Z1555="",0,Z1555))</f>
        <v/>
      </c>
      <c r="X1555" s="152">
        <f>IF(W1555="","",1+COUNTIFS($W$4:$W$3003,"&gt;"&amp;W1555)+COUNTIFS($W$4:W1555,W1555)-1)</f>
        <v/>
      </c>
      <c r="Y1555" s="175">
        <f>IF(OR(I1555="",'02_대상물건입력'!B19="",'02_대상물건입력'!B19&lt;=0),"",ABS(I1555-'02_대상물건입력'!B19)/'02_대상물건입력'!B19)</f>
        <v/>
      </c>
      <c r="Z1555" s="172">
        <f>IF(OR(Y1555="",'01_설정'!B31="",'01_설정'!B31&lt;=0,'01_설정'!B32="",'01_설정'!B32&lt;=0),"",MAX(0,(1-Y1555/'01_설정'!B32))*'01_설정'!B31)</f>
        <v/>
      </c>
    </row>
    <row r="1556" ht="17.25" customHeight="1">
      <c r="A1556" s="152">
        <f>IF(INDEX('04A_국토부원자료'!$A:$A,ROW()+1)="","",ROW()-3)</f>
        <v/>
      </c>
      <c r="B1556" s="48">
        <f>IFERROR(INDEX('04A_국토부원자료'!$A:$T,ROW()+1,MATCH("시군구",'04A_국토부원자료'!$A$4:$T$4,0)),"")</f>
        <v/>
      </c>
      <c r="C1556" s="48">
        <f>IF(B1556="","",IFERROR(INDEX('04A_국토부원자료'!$A:$T,ROW()+1,MATCH("번지",'04A_국토부원자료'!$A$4:$T$4,0)),""))</f>
        <v/>
      </c>
      <c r="D1556" s="48">
        <f>IF(B1556="","",IF(Q1556=1,'02_대상물건입력'!$B$8,IFERROR(INDEX('04A_국토부원자료'!$A:$T,ROW()+1,MATCH("단지명",'04A_국토부원자료'!$A$4:$T$4,0)),"")))</f>
        <v/>
      </c>
      <c r="E1556" s="172">
        <f>IFERROR(VALUE(SUBSTITUTE(INDEX('04A_국토부원자료'!$A:$T,ROW()+1,MATCH("전용면적(㎡)",'04A_국토부원자료'!$A$4:$T$4,0)),",","")),"")</f>
        <v/>
      </c>
      <c r="F15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56" s="51">
        <f>IFERROR(VALUE(SUBSTITUTE(INDEX('04A_국토부원자료'!$A:$T,ROW()+1,MATCH("거래금액(만원)",'04A_국토부원자료'!$A$4:$T$4,0)),",","")),"")</f>
        <v/>
      </c>
      <c r="H1556" s="174">
        <f>IF(G1556="","",G1556*10000)</f>
        <v/>
      </c>
      <c r="I1556" s="174">
        <f>IFERROR(IF(AND(H1556&gt;0,E1556&gt;0),H1556/E1556,""),"")</f>
        <v/>
      </c>
      <c r="J1556" s="152">
        <f>IFERROR(VALUE(SUBSTITUTE(INDEX('04A_국토부원자료'!$A:$T,ROW()+1,MATCH("층",'04A_국토부원자료'!$A$4:$T$4,0)),",","")),"")</f>
        <v/>
      </c>
      <c r="K1556" s="152">
        <f>IFERROR(VALUE(SUBSTITUTE(INDEX('04A_국토부원자료'!$A:$T,ROW()+1,MATCH("건축년도",'04A_국토부원자료'!$A$4:$T$4,0)),",","")),"")</f>
        <v/>
      </c>
      <c r="L1556" s="176">
        <f>IFERROR(INDEX('04A_국토부원자료'!$A:$T,ROW()+1,MATCH("도로명",'04A_국토부원자료'!$A$4:$T$4,0)),"")</f>
        <v/>
      </c>
      <c r="M1556" s="48">
        <f>IFERROR(INDEX('04A_국토부원자료'!$A:$T,ROW()+1,MATCH("거래유형",'04A_국토부원자료'!$A$4:$T$4,0)),"")</f>
        <v/>
      </c>
      <c r="N1556" s="152">
        <f>IF(B1556="","",IF('02_대상물건입력'!B5="",1,IF(ISNUMBER(SEARCH('02_대상물건입력'!B5,B1556)),1,0)))</f>
        <v/>
      </c>
      <c r="O1556" s="152">
        <f>IF(B1556="","",IF('02_대상물건입력'!B6="",1,IF(ISNUMBER(SEARCH('02_대상물건입력'!B6,B1556)),1,0)))</f>
        <v/>
      </c>
      <c r="P1556" s="152">
        <f>IF(L1556="","",IF('02_대상물건입력'!B15="",0,IF(ISNUMBER(SEARCH('02_대상물건입력'!B15,L1556)),1,0)))</f>
        <v/>
      </c>
      <c r="Q1556" s="152">
        <f>IF(OR(C1556="",L1556=""),0,IF(AND(TRIM(C1556)=TRIM(RIGHT(SUBSTITUTE(TRIM('02_대상물건입력'!$B$7)," ",REPT(" ",99)),99)),IF('02_대상물건입력'!B15="",TRUE(),ISNUMBER(SEARCH('02_대상물건입력'!B15,L1556)))),1,0))</f>
        <v/>
      </c>
      <c r="R1556" s="175">
        <f>IFERROR(ABS(E1556-'02_대상물건입력'!B11)/'02_대상물건입력'!B11,"")</f>
        <v/>
      </c>
      <c r="S1556" s="152">
        <f>IFERROR(ABS(J1556-'02_대상물건입력'!B10),"")</f>
        <v/>
      </c>
      <c r="T1556" s="152">
        <f>IFERROR(ABS('01_설정'!B4-F1556),"")</f>
        <v/>
      </c>
      <c r="U1556" s="152">
        <f>IFERROR(ABS(K1556-YEAR('02_대상물건입력'!B14)),"")</f>
        <v/>
      </c>
      <c r="V1556" s="152">
        <f>IF(B1556="","",IF(AND(E1556&gt;0,F1556&gt;0,H1556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1556=1,TRUE()),R1556&lt;='01_설정'!B5,S1556&lt;='01_설정'!B6,T1556&lt;='01_설정'!B7,U1556&lt;='01_설정'!B8),"Y",""))</f>
        <v/>
      </c>
      <c r="W1556" s="172">
        <f>IF(V1556&lt;&gt;"Y","",MAX(0,(1-R1556/'01_설정'!B5))*'01_설정'!B14+MAX(0,(1-S1556/'01_설정'!B6))*'01_설정'!B15+MAX(0,(1-T1556/'01_설정'!B7))*'01_설정'!B16+MAX(0,(1-U1556/'01_설정'!B8))*'01_설정'!B17+O1556*'01_설정'!B11+Q1556*'01_설정'!B12+P1556*'01_설정'!B13+IF(Z1556="",0,Z1556))</f>
        <v/>
      </c>
      <c r="X1556" s="152">
        <f>IF(W1556="","",1+COUNTIFS($W$4:$W$3003,"&gt;"&amp;W1556)+COUNTIFS($W$4:W1556,W1556)-1)</f>
        <v/>
      </c>
      <c r="Y1556" s="175">
        <f>IF(OR(I1556="",'02_대상물건입력'!B19="",'02_대상물건입력'!B19&lt;=0),"",ABS(I1556-'02_대상물건입력'!B19)/'02_대상물건입력'!B19)</f>
        <v/>
      </c>
      <c r="Z1556" s="172">
        <f>IF(OR(Y1556="",'01_설정'!B31="",'01_설정'!B31&lt;=0,'01_설정'!B32="",'01_설정'!B32&lt;=0),"",MAX(0,(1-Y1556/'01_설정'!B32))*'01_설정'!B31)</f>
        <v/>
      </c>
    </row>
    <row r="1557" ht="17.25" customHeight="1">
      <c r="A1557" s="152">
        <f>IF(INDEX('04A_국토부원자료'!$A:$A,ROW()+1)="","",ROW()-3)</f>
        <v/>
      </c>
      <c r="B1557" s="48">
        <f>IFERROR(INDEX('04A_국토부원자료'!$A:$T,ROW()+1,MATCH("시군구",'04A_국토부원자료'!$A$4:$T$4,0)),"")</f>
        <v/>
      </c>
      <c r="C1557" s="48">
        <f>IF(B1557="","",IFERROR(INDEX('04A_국토부원자료'!$A:$T,ROW()+1,MATCH("번지",'04A_국토부원자료'!$A$4:$T$4,0)),""))</f>
        <v/>
      </c>
      <c r="D1557" s="48">
        <f>IF(B1557="","",IF(Q1557=1,'02_대상물건입력'!$B$8,IFERROR(INDEX('04A_국토부원자료'!$A:$T,ROW()+1,MATCH("단지명",'04A_국토부원자료'!$A$4:$T$4,0)),"")))</f>
        <v/>
      </c>
      <c r="E1557" s="172">
        <f>IFERROR(VALUE(SUBSTITUTE(INDEX('04A_국토부원자료'!$A:$T,ROW()+1,MATCH("전용면적(㎡)",'04A_국토부원자료'!$A$4:$T$4,0)),",","")),"")</f>
        <v/>
      </c>
      <c r="F15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57" s="51">
        <f>IFERROR(VALUE(SUBSTITUTE(INDEX('04A_국토부원자료'!$A:$T,ROW()+1,MATCH("거래금액(만원)",'04A_국토부원자료'!$A$4:$T$4,0)),",","")),"")</f>
        <v/>
      </c>
      <c r="H1557" s="174">
        <f>IF(G1557="","",G1557*10000)</f>
        <v/>
      </c>
      <c r="I1557" s="174">
        <f>IFERROR(IF(AND(H1557&gt;0,E1557&gt;0),H1557/E1557,""),"")</f>
        <v/>
      </c>
      <c r="J1557" s="152">
        <f>IFERROR(VALUE(SUBSTITUTE(INDEX('04A_국토부원자료'!$A:$T,ROW()+1,MATCH("층",'04A_국토부원자료'!$A$4:$T$4,0)),",","")),"")</f>
        <v/>
      </c>
      <c r="K1557" s="152">
        <f>IFERROR(VALUE(SUBSTITUTE(INDEX('04A_국토부원자료'!$A:$T,ROW()+1,MATCH("건축년도",'04A_국토부원자료'!$A$4:$T$4,0)),",","")),"")</f>
        <v/>
      </c>
      <c r="L1557" s="176">
        <f>IFERROR(INDEX('04A_국토부원자료'!$A:$T,ROW()+1,MATCH("도로명",'04A_국토부원자료'!$A$4:$T$4,0)),"")</f>
        <v/>
      </c>
      <c r="M1557" s="48">
        <f>IFERROR(INDEX('04A_국토부원자료'!$A:$T,ROW()+1,MATCH("거래유형",'04A_국토부원자료'!$A$4:$T$4,0)),"")</f>
        <v/>
      </c>
      <c r="N1557" s="152">
        <f>IF(B1557="","",IF('02_대상물건입력'!B5="",1,IF(ISNUMBER(SEARCH('02_대상물건입력'!B5,B1557)),1,0)))</f>
        <v/>
      </c>
      <c r="O1557" s="152">
        <f>IF(B1557="","",IF('02_대상물건입력'!B6="",1,IF(ISNUMBER(SEARCH('02_대상물건입력'!B6,B1557)),1,0)))</f>
        <v/>
      </c>
      <c r="P1557" s="152">
        <f>IF(L1557="","",IF('02_대상물건입력'!B15="",0,IF(ISNUMBER(SEARCH('02_대상물건입력'!B15,L1557)),1,0)))</f>
        <v/>
      </c>
      <c r="Q1557" s="152">
        <f>IF(OR(C1557="",L1557=""),0,IF(AND(TRIM(C1557)=TRIM(RIGHT(SUBSTITUTE(TRIM('02_대상물건입력'!$B$7)," ",REPT(" ",99)),99)),IF('02_대상물건입력'!B15="",TRUE(),ISNUMBER(SEARCH('02_대상물건입력'!B15,L1557)))),1,0))</f>
        <v/>
      </c>
      <c r="R1557" s="175">
        <f>IFERROR(ABS(E1557-'02_대상물건입력'!B11)/'02_대상물건입력'!B11,"")</f>
        <v/>
      </c>
      <c r="S1557" s="152">
        <f>IFERROR(ABS(J1557-'02_대상물건입력'!B10),"")</f>
        <v/>
      </c>
      <c r="T1557" s="152">
        <f>IFERROR(ABS('01_설정'!B4-F1557),"")</f>
        <v/>
      </c>
      <c r="U1557" s="152">
        <f>IFERROR(ABS(K1557-YEAR('02_대상물건입력'!B14)),"")</f>
        <v/>
      </c>
      <c r="V1557" s="152">
        <f>IF(B1557="","",IF(AND(E1557&gt;0,F1557&gt;0,H1557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1557=1,TRUE()),R1557&lt;='01_설정'!B5,S1557&lt;='01_설정'!B6,T1557&lt;='01_설정'!B7,U1557&lt;='01_설정'!B8),"Y",""))</f>
        <v/>
      </c>
      <c r="W1557" s="172">
        <f>IF(V1557&lt;&gt;"Y","",MAX(0,(1-R1557/'01_설정'!B5))*'01_설정'!B14+MAX(0,(1-S1557/'01_설정'!B6))*'01_설정'!B15+MAX(0,(1-T1557/'01_설정'!B7))*'01_설정'!B16+MAX(0,(1-U1557/'01_설정'!B8))*'01_설정'!B17+O1557*'01_설정'!B11+Q1557*'01_설정'!B12+P1557*'01_설정'!B13+IF(Z1557="",0,Z1557))</f>
        <v/>
      </c>
      <c r="X1557" s="152">
        <f>IF(W1557="","",1+COUNTIFS($W$4:$W$3003,"&gt;"&amp;W1557)+COUNTIFS($W$4:W1557,W1557)-1)</f>
        <v/>
      </c>
      <c r="Y1557" s="175">
        <f>IF(OR(I1557="",'02_대상물건입력'!B19="",'02_대상물건입력'!B19&lt;=0),"",ABS(I1557-'02_대상물건입력'!B19)/'02_대상물건입력'!B19)</f>
        <v/>
      </c>
      <c r="Z1557" s="172">
        <f>IF(OR(Y1557="",'01_설정'!B31="",'01_설정'!B31&lt;=0,'01_설정'!B32="",'01_설정'!B32&lt;=0),"",MAX(0,(1-Y1557/'01_설정'!B32))*'01_설정'!B31)</f>
        <v/>
      </c>
    </row>
    <row r="1558" ht="17.25" customHeight="1">
      <c r="A1558" s="152">
        <f>IF(INDEX('04A_국토부원자료'!$A:$A,ROW()+1)="","",ROW()-3)</f>
        <v/>
      </c>
      <c r="B1558" s="48">
        <f>IFERROR(INDEX('04A_국토부원자료'!$A:$T,ROW()+1,MATCH("시군구",'04A_국토부원자료'!$A$4:$T$4,0)),"")</f>
        <v/>
      </c>
      <c r="C1558" s="48">
        <f>IF(B1558="","",IFERROR(INDEX('04A_국토부원자료'!$A:$T,ROW()+1,MATCH("번지",'04A_국토부원자료'!$A$4:$T$4,0)),""))</f>
        <v/>
      </c>
      <c r="D1558" s="48">
        <f>IF(B1558="","",IF(Q1558=1,'02_대상물건입력'!$B$8,IFERROR(INDEX('04A_국토부원자료'!$A:$T,ROW()+1,MATCH("단지명",'04A_국토부원자료'!$A$4:$T$4,0)),"")))</f>
        <v/>
      </c>
      <c r="E1558" s="172">
        <f>IFERROR(VALUE(SUBSTITUTE(INDEX('04A_국토부원자료'!$A:$T,ROW()+1,MATCH("전용면적(㎡)",'04A_국토부원자료'!$A$4:$T$4,0)),",","")),"")</f>
        <v/>
      </c>
      <c r="F15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58" s="51">
        <f>IFERROR(VALUE(SUBSTITUTE(INDEX('04A_국토부원자료'!$A:$T,ROW()+1,MATCH("거래금액(만원)",'04A_국토부원자료'!$A$4:$T$4,0)),",","")),"")</f>
        <v/>
      </c>
      <c r="H1558" s="174">
        <f>IF(G1558="","",G1558*10000)</f>
        <v/>
      </c>
      <c r="I1558" s="174">
        <f>IFERROR(IF(AND(H1558&gt;0,E1558&gt;0),H1558/E1558,""),"")</f>
        <v/>
      </c>
      <c r="J1558" s="152">
        <f>IFERROR(VALUE(SUBSTITUTE(INDEX('04A_국토부원자료'!$A:$T,ROW()+1,MATCH("층",'04A_국토부원자료'!$A$4:$T$4,0)),",","")),"")</f>
        <v/>
      </c>
      <c r="K1558" s="152">
        <f>IFERROR(VALUE(SUBSTITUTE(INDEX('04A_국토부원자료'!$A:$T,ROW()+1,MATCH("건축년도",'04A_국토부원자료'!$A$4:$T$4,0)),",","")),"")</f>
        <v/>
      </c>
      <c r="L1558" s="176">
        <f>IFERROR(INDEX('04A_국토부원자료'!$A:$T,ROW()+1,MATCH("도로명",'04A_국토부원자료'!$A$4:$T$4,0)),"")</f>
        <v/>
      </c>
      <c r="M1558" s="48">
        <f>IFERROR(INDEX('04A_국토부원자료'!$A:$T,ROW()+1,MATCH("거래유형",'04A_국토부원자료'!$A$4:$T$4,0)),"")</f>
        <v/>
      </c>
      <c r="N1558" s="152">
        <f>IF(B1558="","",IF('02_대상물건입력'!B5="",1,IF(ISNUMBER(SEARCH('02_대상물건입력'!B5,B1558)),1,0)))</f>
        <v/>
      </c>
      <c r="O1558" s="152">
        <f>IF(B1558="","",IF('02_대상물건입력'!B6="",1,IF(ISNUMBER(SEARCH('02_대상물건입력'!B6,B1558)),1,0)))</f>
        <v/>
      </c>
      <c r="P1558" s="152">
        <f>IF(L1558="","",IF('02_대상물건입력'!B15="",0,IF(ISNUMBER(SEARCH('02_대상물건입력'!B15,L1558)),1,0)))</f>
        <v/>
      </c>
      <c r="Q1558" s="152">
        <f>IF(OR(C1558="",L1558=""),0,IF(AND(TRIM(C1558)=TRIM(RIGHT(SUBSTITUTE(TRIM('02_대상물건입력'!$B$7)," ",REPT(" ",99)),99)),IF('02_대상물건입력'!B15="",TRUE(),ISNUMBER(SEARCH('02_대상물건입력'!B15,L1558)))),1,0))</f>
        <v/>
      </c>
      <c r="R1558" s="175">
        <f>IFERROR(ABS(E1558-'02_대상물건입력'!B11)/'02_대상물건입력'!B11,"")</f>
        <v/>
      </c>
      <c r="S1558" s="152">
        <f>IFERROR(ABS(J1558-'02_대상물건입력'!B10),"")</f>
        <v/>
      </c>
      <c r="T1558" s="152">
        <f>IFERROR(ABS('01_설정'!B4-F1558),"")</f>
        <v/>
      </c>
      <c r="U1558" s="152">
        <f>IFERROR(ABS(K1558-YEAR('02_대상물건입력'!B14)),"")</f>
        <v/>
      </c>
      <c r="V1558" s="152">
        <f>IF(B1558="","",IF(AND(E1558&gt;0,F1558&gt;0,H1558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1558=1,TRUE()),R1558&lt;='01_설정'!B5,S1558&lt;='01_설정'!B6,T1558&lt;='01_설정'!B7,U1558&lt;='01_설정'!B8),"Y",""))</f>
        <v/>
      </c>
      <c r="W1558" s="172">
        <f>IF(V1558&lt;&gt;"Y","",MAX(0,(1-R1558/'01_설정'!B5))*'01_설정'!B14+MAX(0,(1-S1558/'01_설정'!B6))*'01_설정'!B15+MAX(0,(1-T1558/'01_설정'!B7))*'01_설정'!B16+MAX(0,(1-U1558/'01_설정'!B8))*'01_설정'!B17+O1558*'01_설정'!B11+Q1558*'01_설정'!B12+P1558*'01_설정'!B13+IF(Z1558="",0,Z1558))</f>
        <v/>
      </c>
      <c r="X1558" s="152">
        <f>IF(W1558="","",1+COUNTIFS($W$4:$W$3003,"&gt;"&amp;W1558)+COUNTIFS($W$4:W1558,W1558)-1)</f>
        <v/>
      </c>
      <c r="Y1558" s="175">
        <f>IF(OR(I1558="",'02_대상물건입력'!B19="",'02_대상물건입력'!B19&lt;=0),"",ABS(I1558-'02_대상물건입력'!B19)/'02_대상물건입력'!B19)</f>
        <v/>
      </c>
      <c r="Z1558" s="172">
        <f>IF(OR(Y1558="",'01_설정'!B31="",'01_설정'!B31&lt;=0,'01_설정'!B32="",'01_설정'!B32&lt;=0),"",MAX(0,(1-Y1558/'01_설정'!B32))*'01_설정'!B31)</f>
        <v/>
      </c>
    </row>
    <row r="1559" ht="17.25" customHeight="1">
      <c r="A1559" s="152">
        <f>IF(INDEX('04A_국토부원자료'!$A:$A,ROW()+1)="","",ROW()-3)</f>
        <v/>
      </c>
      <c r="B1559" s="48">
        <f>IFERROR(INDEX('04A_국토부원자료'!$A:$T,ROW()+1,MATCH("시군구",'04A_국토부원자료'!$A$4:$T$4,0)),"")</f>
        <v/>
      </c>
      <c r="C1559" s="48">
        <f>IF(B1559="","",IFERROR(INDEX('04A_국토부원자료'!$A:$T,ROW()+1,MATCH("번지",'04A_국토부원자료'!$A$4:$T$4,0)),""))</f>
        <v/>
      </c>
      <c r="D1559" s="48">
        <f>IF(B1559="","",IF(Q1559=1,'02_대상물건입력'!$B$8,IFERROR(INDEX('04A_국토부원자료'!$A:$T,ROW()+1,MATCH("단지명",'04A_국토부원자료'!$A$4:$T$4,0)),"")))</f>
        <v/>
      </c>
      <c r="E1559" s="172">
        <f>IFERROR(VALUE(SUBSTITUTE(INDEX('04A_국토부원자료'!$A:$T,ROW()+1,MATCH("전용면적(㎡)",'04A_국토부원자료'!$A$4:$T$4,0)),",","")),"")</f>
        <v/>
      </c>
      <c r="F15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59" s="51">
        <f>IFERROR(VALUE(SUBSTITUTE(INDEX('04A_국토부원자료'!$A:$T,ROW()+1,MATCH("거래금액(만원)",'04A_국토부원자료'!$A$4:$T$4,0)),",","")),"")</f>
        <v/>
      </c>
      <c r="H1559" s="174">
        <f>IF(G1559="","",G1559*10000)</f>
        <v/>
      </c>
      <c r="I1559" s="174">
        <f>IFERROR(IF(AND(H1559&gt;0,E1559&gt;0),H1559/E1559,""),"")</f>
        <v/>
      </c>
      <c r="J1559" s="152">
        <f>IFERROR(VALUE(SUBSTITUTE(INDEX('04A_국토부원자료'!$A:$T,ROW()+1,MATCH("층",'04A_국토부원자료'!$A$4:$T$4,0)),",","")),"")</f>
        <v/>
      </c>
      <c r="K1559" s="152">
        <f>IFERROR(VALUE(SUBSTITUTE(INDEX('04A_국토부원자료'!$A:$T,ROW()+1,MATCH("건축년도",'04A_국토부원자료'!$A$4:$T$4,0)),",","")),"")</f>
        <v/>
      </c>
      <c r="L1559" s="176">
        <f>IFERROR(INDEX('04A_국토부원자료'!$A:$T,ROW()+1,MATCH("도로명",'04A_국토부원자료'!$A$4:$T$4,0)),"")</f>
        <v/>
      </c>
      <c r="M1559" s="48">
        <f>IFERROR(INDEX('04A_국토부원자료'!$A:$T,ROW()+1,MATCH("거래유형",'04A_국토부원자료'!$A$4:$T$4,0)),"")</f>
        <v/>
      </c>
      <c r="N1559" s="152">
        <f>IF(B1559="","",IF('02_대상물건입력'!B5="",1,IF(ISNUMBER(SEARCH('02_대상물건입력'!B5,B1559)),1,0)))</f>
        <v/>
      </c>
      <c r="O1559" s="152">
        <f>IF(B1559="","",IF('02_대상물건입력'!B6="",1,IF(ISNUMBER(SEARCH('02_대상물건입력'!B6,B1559)),1,0)))</f>
        <v/>
      </c>
      <c r="P1559" s="152">
        <f>IF(L1559="","",IF('02_대상물건입력'!B15="",0,IF(ISNUMBER(SEARCH('02_대상물건입력'!B15,L1559)),1,0)))</f>
        <v/>
      </c>
      <c r="Q1559" s="152">
        <f>IF(OR(C1559="",L1559=""),0,IF(AND(TRIM(C1559)=TRIM(RIGHT(SUBSTITUTE(TRIM('02_대상물건입력'!$B$7)," ",REPT(" ",99)),99)),IF('02_대상물건입력'!B15="",TRUE(),ISNUMBER(SEARCH('02_대상물건입력'!B15,L1559)))),1,0))</f>
        <v/>
      </c>
      <c r="R1559" s="175">
        <f>IFERROR(ABS(E1559-'02_대상물건입력'!B11)/'02_대상물건입력'!B11,"")</f>
        <v/>
      </c>
      <c r="S1559" s="152">
        <f>IFERROR(ABS(J1559-'02_대상물건입력'!B10),"")</f>
        <v/>
      </c>
      <c r="T1559" s="152">
        <f>IFERROR(ABS('01_설정'!B4-F1559),"")</f>
        <v/>
      </c>
      <c r="U1559" s="152">
        <f>IFERROR(ABS(K1559-YEAR('02_대상물건입력'!B14)),"")</f>
        <v/>
      </c>
      <c r="V1559" s="152">
        <f>IF(B1559="","",IF(AND(E1559&gt;0,F1559&gt;0,H1559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1559=1,TRUE()),R1559&lt;='01_설정'!B5,S1559&lt;='01_설정'!B6,T1559&lt;='01_설정'!B7,U1559&lt;='01_설정'!B8),"Y",""))</f>
        <v/>
      </c>
      <c r="W1559" s="172">
        <f>IF(V1559&lt;&gt;"Y","",MAX(0,(1-R1559/'01_설정'!B5))*'01_설정'!B14+MAX(0,(1-S1559/'01_설정'!B6))*'01_설정'!B15+MAX(0,(1-T1559/'01_설정'!B7))*'01_설정'!B16+MAX(0,(1-U1559/'01_설정'!B8))*'01_설정'!B17+O1559*'01_설정'!B11+Q1559*'01_설정'!B12+P1559*'01_설정'!B13+IF(Z1559="",0,Z1559))</f>
        <v/>
      </c>
      <c r="X1559" s="152">
        <f>IF(W1559="","",1+COUNTIFS($W$4:$W$3003,"&gt;"&amp;W1559)+COUNTIFS($W$4:W1559,W1559)-1)</f>
        <v/>
      </c>
      <c r="Y1559" s="175">
        <f>IF(OR(I1559="",'02_대상물건입력'!B19="",'02_대상물건입력'!B19&lt;=0),"",ABS(I1559-'02_대상물건입력'!B19)/'02_대상물건입력'!B19)</f>
        <v/>
      </c>
      <c r="Z1559" s="172">
        <f>IF(OR(Y1559="",'01_설정'!B31="",'01_설정'!B31&lt;=0,'01_설정'!B32="",'01_설정'!B32&lt;=0),"",MAX(0,(1-Y1559/'01_설정'!B32))*'01_설정'!B31)</f>
        <v/>
      </c>
    </row>
    <row r="1560" ht="17.25" customHeight="1">
      <c r="A1560" s="152">
        <f>IF(INDEX('04A_국토부원자료'!$A:$A,ROW()+1)="","",ROW()-3)</f>
        <v/>
      </c>
      <c r="B1560" s="48">
        <f>IFERROR(INDEX('04A_국토부원자료'!$A:$T,ROW()+1,MATCH("시군구",'04A_국토부원자료'!$A$4:$T$4,0)),"")</f>
        <v/>
      </c>
      <c r="C1560" s="48">
        <f>IF(B1560="","",IFERROR(INDEX('04A_국토부원자료'!$A:$T,ROW()+1,MATCH("번지",'04A_국토부원자료'!$A$4:$T$4,0)),""))</f>
        <v/>
      </c>
      <c r="D1560" s="48">
        <f>IF(B1560="","",IF(Q1560=1,'02_대상물건입력'!$B$8,IFERROR(INDEX('04A_국토부원자료'!$A:$T,ROW()+1,MATCH("단지명",'04A_국토부원자료'!$A$4:$T$4,0)),"")))</f>
        <v/>
      </c>
      <c r="E1560" s="172">
        <f>IFERROR(VALUE(SUBSTITUTE(INDEX('04A_국토부원자료'!$A:$T,ROW()+1,MATCH("전용면적(㎡)",'04A_국토부원자료'!$A$4:$T$4,0)),",","")),"")</f>
        <v/>
      </c>
      <c r="F15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60" s="51">
        <f>IFERROR(VALUE(SUBSTITUTE(INDEX('04A_국토부원자료'!$A:$T,ROW()+1,MATCH("거래금액(만원)",'04A_국토부원자료'!$A$4:$T$4,0)),",","")),"")</f>
        <v/>
      </c>
      <c r="H1560" s="174">
        <f>IF(G1560="","",G1560*10000)</f>
        <v/>
      </c>
      <c r="I1560" s="174">
        <f>IFERROR(IF(AND(H1560&gt;0,E1560&gt;0),H1560/E1560,""),"")</f>
        <v/>
      </c>
      <c r="J1560" s="152">
        <f>IFERROR(VALUE(SUBSTITUTE(INDEX('04A_국토부원자료'!$A:$T,ROW()+1,MATCH("층",'04A_국토부원자료'!$A$4:$T$4,0)),",","")),"")</f>
        <v/>
      </c>
      <c r="K1560" s="152">
        <f>IFERROR(VALUE(SUBSTITUTE(INDEX('04A_국토부원자료'!$A:$T,ROW()+1,MATCH("건축년도",'04A_국토부원자료'!$A$4:$T$4,0)),",","")),"")</f>
        <v/>
      </c>
      <c r="L1560" s="176">
        <f>IFERROR(INDEX('04A_국토부원자료'!$A:$T,ROW()+1,MATCH("도로명",'04A_국토부원자료'!$A$4:$T$4,0)),"")</f>
        <v/>
      </c>
      <c r="M1560" s="48">
        <f>IFERROR(INDEX('04A_국토부원자료'!$A:$T,ROW()+1,MATCH("거래유형",'04A_국토부원자료'!$A$4:$T$4,0)),"")</f>
        <v/>
      </c>
      <c r="N1560" s="152">
        <f>IF(B1560="","",IF('02_대상물건입력'!B5="",1,IF(ISNUMBER(SEARCH('02_대상물건입력'!B5,B1560)),1,0)))</f>
        <v/>
      </c>
      <c r="O1560" s="152">
        <f>IF(B1560="","",IF('02_대상물건입력'!B6="",1,IF(ISNUMBER(SEARCH('02_대상물건입력'!B6,B1560)),1,0)))</f>
        <v/>
      </c>
      <c r="P1560" s="152">
        <f>IF(L1560="","",IF('02_대상물건입력'!B15="",0,IF(ISNUMBER(SEARCH('02_대상물건입력'!B15,L1560)),1,0)))</f>
        <v/>
      </c>
      <c r="Q1560" s="152">
        <f>IF(OR(C1560="",L1560=""),0,IF(AND(TRIM(C1560)=TRIM(RIGHT(SUBSTITUTE(TRIM('02_대상물건입력'!$B$7)," ",REPT(" ",99)),99)),IF('02_대상물건입력'!B15="",TRUE(),ISNUMBER(SEARCH('02_대상물건입력'!B15,L1560)))),1,0))</f>
        <v/>
      </c>
      <c r="R1560" s="175">
        <f>IFERROR(ABS(E1560-'02_대상물건입력'!B11)/'02_대상물건입력'!B11,"")</f>
        <v/>
      </c>
      <c r="S1560" s="152">
        <f>IFERROR(ABS(J1560-'02_대상물건입력'!B10),"")</f>
        <v/>
      </c>
      <c r="T1560" s="152">
        <f>IFERROR(ABS('01_설정'!B4-F1560),"")</f>
        <v/>
      </c>
      <c r="U1560" s="152">
        <f>IFERROR(ABS(K1560-YEAR('02_대상물건입력'!B14)),"")</f>
        <v/>
      </c>
      <c r="V1560" s="152">
        <f>IF(B1560="","",IF(AND(E1560&gt;0,F1560&gt;0,H1560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1560=1,TRUE()),R1560&lt;='01_설정'!B5,S1560&lt;='01_설정'!B6,T1560&lt;='01_설정'!B7,U1560&lt;='01_설정'!B8),"Y",""))</f>
        <v/>
      </c>
      <c r="W1560" s="172">
        <f>IF(V1560&lt;&gt;"Y","",MAX(0,(1-R1560/'01_설정'!B5))*'01_설정'!B14+MAX(0,(1-S1560/'01_설정'!B6))*'01_설정'!B15+MAX(0,(1-T1560/'01_설정'!B7))*'01_설정'!B16+MAX(0,(1-U1560/'01_설정'!B8))*'01_설정'!B17+O1560*'01_설정'!B11+Q1560*'01_설정'!B12+P1560*'01_설정'!B13+IF(Z1560="",0,Z1560))</f>
        <v/>
      </c>
      <c r="X1560" s="152">
        <f>IF(W1560="","",1+COUNTIFS($W$4:$W$3003,"&gt;"&amp;W1560)+COUNTIFS($W$4:W1560,W1560)-1)</f>
        <v/>
      </c>
      <c r="Y1560" s="175">
        <f>IF(OR(I1560="",'02_대상물건입력'!B19="",'02_대상물건입력'!B19&lt;=0),"",ABS(I1560-'02_대상물건입력'!B19)/'02_대상물건입력'!B19)</f>
        <v/>
      </c>
      <c r="Z1560" s="172">
        <f>IF(OR(Y1560="",'01_설정'!B31="",'01_설정'!B31&lt;=0,'01_설정'!B32="",'01_설정'!B32&lt;=0),"",MAX(0,(1-Y1560/'01_설정'!B32))*'01_설정'!B31)</f>
        <v/>
      </c>
    </row>
    <row r="1561" ht="17.25" customHeight="1">
      <c r="A1561" s="152">
        <f>IF(INDEX('04A_국토부원자료'!$A:$A,ROW()+1)="","",ROW()-3)</f>
        <v/>
      </c>
      <c r="B1561" s="48">
        <f>IFERROR(INDEX('04A_국토부원자료'!$A:$T,ROW()+1,MATCH("시군구",'04A_국토부원자료'!$A$4:$T$4,0)),"")</f>
        <v/>
      </c>
      <c r="C1561" s="48">
        <f>IF(B1561="","",IFERROR(INDEX('04A_국토부원자료'!$A:$T,ROW()+1,MATCH("번지",'04A_국토부원자료'!$A$4:$T$4,0)),""))</f>
        <v/>
      </c>
      <c r="D1561" s="48">
        <f>IF(B1561="","",IF(Q1561=1,'02_대상물건입력'!$B$8,IFERROR(INDEX('04A_국토부원자료'!$A:$T,ROW()+1,MATCH("단지명",'04A_국토부원자료'!$A$4:$T$4,0)),"")))</f>
        <v/>
      </c>
      <c r="E1561" s="172">
        <f>IFERROR(VALUE(SUBSTITUTE(INDEX('04A_국토부원자료'!$A:$T,ROW()+1,MATCH("전용면적(㎡)",'04A_국토부원자료'!$A$4:$T$4,0)),",","")),"")</f>
        <v/>
      </c>
      <c r="F15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61" s="51">
        <f>IFERROR(VALUE(SUBSTITUTE(INDEX('04A_국토부원자료'!$A:$T,ROW()+1,MATCH("거래금액(만원)",'04A_국토부원자료'!$A$4:$T$4,0)),",","")),"")</f>
        <v/>
      </c>
      <c r="H1561" s="174">
        <f>IF(G1561="","",G1561*10000)</f>
        <v/>
      </c>
      <c r="I1561" s="174">
        <f>IFERROR(IF(AND(H1561&gt;0,E1561&gt;0),H1561/E1561,""),"")</f>
        <v/>
      </c>
      <c r="J1561" s="152">
        <f>IFERROR(VALUE(SUBSTITUTE(INDEX('04A_국토부원자료'!$A:$T,ROW()+1,MATCH("층",'04A_국토부원자료'!$A$4:$T$4,0)),",","")),"")</f>
        <v/>
      </c>
      <c r="K1561" s="152">
        <f>IFERROR(VALUE(SUBSTITUTE(INDEX('04A_국토부원자료'!$A:$T,ROW()+1,MATCH("건축년도",'04A_국토부원자료'!$A$4:$T$4,0)),",","")),"")</f>
        <v/>
      </c>
      <c r="L1561" s="176">
        <f>IFERROR(INDEX('04A_국토부원자료'!$A:$T,ROW()+1,MATCH("도로명",'04A_국토부원자료'!$A$4:$T$4,0)),"")</f>
        <v/>
      </c>
      <c r="M1561" s="48">
        <f>IFERROR(INDEX('04A_국토부원자료'!$A:$T,ROW()+1,MATCH("거래유형",'04A_국토부원자료'!$A$4:$T$4,0)),"")</f>
        <v/>
      </c>
      <c r="N1561" s="152">
        <f>IF(B1561="","",IF('02_대상물건입력'!B5="",1,IF(ISNUMBER(SEARCH('02_대상물건입력'!B5,B1561)),1,0)))</f>
        <v/>
      </c>
      <c r="O1561" s="152">
        <f>IF(B1561="","",IF('02_대상물건입력'!B6="",1,IF(ISNUMBER(SEARCH('02_대상물건입력'!B6,B1561)),1,0)))</f>
        <v/>
      </c>
      <c r="P1561" s="152">
        <f>IF(L1561="","",IF('02_대상물건입력'!B15="",0,IF(ISNUMBER(SEARCH('02_대상물건입력'!B15,L1561)),1,0)))</f>
        <v/>
      </c>
      <c r="Q1561" s="152">
        <f>IF(OR(C1561="",L1561=""),0,IF(AND(TRIM(C1561)=TRIM(RIGHT(SUBSTITUTE(TRIM('02_대상물건입력'!$B$7)," ",REPT(" ",99)),99)),IF('02_대상물건입력'!B15="",TRUE(),ISNUMBER(SEARCH('02_대상물건입력'!B15,L1561)))),1,0))</f>
        <v/>
      </c>
      <c r="R1561" s="175">
        <f>IFERROR(ABS(E1561-'02_대상물건입력'!B11)/'02_대상물건입력'!B11,"")</f>
        <v/>
      </c>
      <c r="S1561" s="152">
        <f>IFERROR(ABS(J1561-'02_대상물건입력'!B10),"")</f>
        <v/>
      </c>
      <c r="T1561" s="152">
        <f>IFERROR(ABS('01_설정'!B4-F1561),"")</f>
        <v/>
      </c>
      <c r="U1561" s="152">
        <f>IFERROR(ABS(K1561-YEAR('02_대상물건입력'!B14)),"")</f>
        <v/>
      </c>
      <c r="V1561" s="152">
        <f>IF(B1561="","",IF(AND(E1561&gt;0,F1561&gt;0,H1561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1561=1,TRUE()),R1561&lt;='01_설정'!B5,S1561&lt;='01_설정'!B6,T1561&lt;='01_설정'!B7,U1561&lt;='01_설정'!B8),"Y",""))</f>
        <v/>
      </c>
      <c r="W1561" s="172">
        <f>IF(V1561&lt;&gt;"Y","",MAX(0,(1-R1561/'01_설정'!B5))*'01_설정'!B14+MAX(0,(1-S1561/'01_설정'!B6))*'01_설정'!B15+MAX(0,(1-T1561/'01_설정'!B7))*'01_설정'!B16+MAX(0,(1-U1561/'01_설정'!B8))*'01_설정'!B17+O1561*'01_설정'!B11+Q1561*'01_설정'!B12+P1561*'01_설정'!B13+IF(Z1561="",0,Z1561))</f>
        <v/>
      </c>
      <c r="X1561" s="152">
        <f>IF(W1561="","",1+COUNTIFS($W$4:$W$3003,"&gt;"&amp;W1561)+COUNTIFS($W$4:W1561,W1561)-1)</f>
        <v/>
      </c>
      <c r="Y1561" s="175">
        <f>IF(OR(I1561="",'02_대상물건입력'!B19="",'02_대상물건입력'!B19&lt;=0),"",ABS(I1561-'02_대상물건입력'!B19)/'02_대상물건입력'!B19)</f>
        <v/>
      </c>
      <c r="Z1561" s="172">
        <f>IF(OR(Y1561="",'01_설정'!B31="",'01_설정'!B31&lt;=0,'01_설정'!B32="",'01_설정'!B32&lt;=0),"",MAX(0,(1-Y1561/'01_설정'!B32))*'01_설정'!B31)</f>
        <v/>
      </c>
    </row>
    <row r="1562" ht="17.25" customHeight="1">
      <c r="A1562" s="152">
        <f>IF(INDEX('04A_국토부원자료'!$A:$A,ROW()+1)="","",ROW()-3)</f>
        <v/>
      </c>
      <c r="B1562" s="48">
        <f>IFERROR(INDEX('04A_국토부원자료'!$A:$T,ROW()+1,MATCH("시군구",'04A_국토부원자료'!$A$4:$T$4,0)),"")</f>
        <v/>
      </c>
      <c r="C1562" s="48">
        <f>IF(B1562="","",IFERROR(INDEX('04A_국토부원자료'!$A:$T,ROW()+1,MATCH("번지",'04A_국토부원자료'!$A$4:$T$4,0)),""))</f>
        <v/>
      </c>
      <c r="D1562" s="48">
        <f>IF(B1562="","",IF(Q1562=1,'02_대상물건입력'!$B$8,IFERROR(INDEX('04A_국토부원자료'!$A:$T,ROW()+1,MATCH("단지명",'04A_국토부원자료'!$A$4:$T$4,0)),"")))</f>
        <v/>
      </c>
      <c r="E1562" s="172">
        <f>IFERROR(VALUE(SUBSTITUTE(INDEX('04A_국토부원자료'!$A:$T,ROW()+1,MATCH("전용면적(㎡)",'04A_국토부원자료'!$A$4:$T$4,0)),",","")),"")</f>
        <v/>
      </c>
      <c r="F15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62" s="51">
        <f>IFERROR(VALUE(SUBSTITUTE(INDEX('04A_국토부원자료'!$A:$T,ROW()+1,MATCH("거래금액(만원)",'04A_국토부원자료'!$A$4:$T$4,0)),",","")),"")</f>
        <v/>
      </c>
      <c r="H1562" s="174">
        <f>IF(G1562="","",G1562*10000)</f>
        <v/>
      </c>
      <c r="I1562" s="174">
        <f>IFERROR(IF(AND(H1562&gt;0,E1562&gt;0),H1562/E1562,""),"")</f>
        <v/>
      </c>
      <c r="J1562" s="152">
        <f>IFERROR(VALUE(SUBSTITUTE(INDEX('04A_국토부원자료'!$A:$T,ROW()+1,MATCH("층",'04A_국토부원자료'!$A$4:$T$4,0)),",","")),"")</f>
        <v/>
      </c>
      <c r="K1562" s="152">
        <f>IFERROR(VALUE(SUBSTITUTE(INDEX('04A_국토부원자료'!$A:$T,ROW()+1,MATCH("건축년도",'04A_국토부원자료'!$A$4:$T$4,0)),",","")),"")</f>
        <v/>
      </c>
      <c r="L1562" s="176">
        <f>IFERROR(INDEX('04A_국토부원자료'!$A:$T,ROW()+1,MATCH("도로명",'04A_국토부원자료'!$A$4:$T$4,0)),"")</f>
        <v/>
      </c>
      <c r="M1562" s="48">
        <f>IFERROR(INDEX('04A_국토부원자료'!$A:$T,ROW()+1,MATCH("거래유형",'04A_국토부원자료'!$A$4:$T$4,0)),"")</f>
        <v/>
      </c>
      <c r="N1562" s="152">
        <f>IF(B1562="","",IF('02_대상물건입력'!B5="",1,IF(ISNUMBER(SEARCH('02_대상물건입력'!B5,B1562)),1,0)))</f>
        <v/>
      </c>
      <c r="O1562" s="152">
        <f>IF(B1562="","",IF('02_대상물건입력'!B6="",1,IF(ISNUMBER(SEARCH('02_대상물건입력'!B6,B1562)),1,0)))</f>
        <v/>
      </c>
      <c r="P1562" s="152">
        <f>IF(L1562="","",IF('02_대상물건입력'!B15="",0,IF(ISNUMBER(SEARCH('02_대상물건입력'!B15,L1562)),1,0)))</f>
        <v/>
      </c>
      <c r="Q1562" s="152">
        <f>IF(OR(C1562="",L1562=""),0,IF(AND(TRIM(C1562)=TRIM(RIGHT(SUBSTITUTE(TRIM('02_대상물건입력'!$B$7)," ",REPT(" ",99)),99)),IF('02_대상물건입력'!B15="",TRUE(),ISNUMBER(SEARCH('02_대상물건입력'!B15,L1562)))),1,0))</f>
        <v/>
      </c>
      <c r="R1562" s="175">
        <f>IFERROR(ABS(E1562-'02_대상물건입력'!B11)/'02_대상물건입력'!B11,"")</f>
        <v/>
      </c>
      <c r="S1562" s="152">
        <f>IFERROR(ABS(J1562-'02_대상물건입력'!B10),"")</f>
        <v/>
      </c>
      <c r="T1562" s="152">
        <f>IFERROR(ABS('01_설정'!B4-F1562),"")</f>
        <v/>
      </c>
      <c r="U1562" s="152">
        <f>IFERROR(ABS(K1562-YEAR('02_대상물건입력'!B14)),"")</f>
        <v/>
      </c>
      <c r="V1562" s="152">
        <f>IF(B1562="","",IF(AND(E1562&gt;0,F1562&gt;0,H1562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1562=1,TRUE()),R1562&lt;='01_설정'!B5,S1562&lt;='01_설정'!B6,T1562&lt;='01_설정'!B7,U1562&lt;='01_설정'!B8),"Y",""))</f>
        <v/>
      </c>
      <c r="W1562" s="172">
        <f>IF(V1562&lt;&gt;"Y","",MAX(0,(1-R1562/'01_설정'!B5))*'01_설정'!B14+MAX(0,(1-S1562/'01_설정'!B6))*'01_설정'!B15+MAX(0,(1-T1562/'01_설정'!B7))*'01_설정'!B16+MAX(0,(1-U1562/'01_설정'!B8))*'01_설정'!B17+O1562*'01_설정'!B11+Q1562*'01_설정'!B12+P1562*'01_설정'!B13+IF(Z1562="",0,Z1562))</f>
        <v/>
      </c>
      <c r="X1562" s="152">
        <f>IF(W1562="","",1+COUNTIFS($W$4:$W$3003,"&gt;"&amp;W1562)+COUNTIFS($W$4:W1562,W1562)-1)</f>
        <v/>
      </c>
      <c r="Y1562" s="175">
        <f>IF(OR(I1562="",'02_대상물건입력'!B19="",'02_대상물건입력'!B19&lt;=0),"",ABS(I1562-'02_대상물건입력'!B19)/'02_대상물건입력'!B19)</f>
        <v/>
      </c>
      <c r="Z1562" s="172">
        <f>IF(OR(Y1562="",'01_설정'!B31="",'01_설정'!B31&lt;=0,'01_설정'!B32="",'01_설정'!B32&lt;=0),"",MAX(0,(1-Y1562/'01_설정'!B32))*'01_설정'!B31)</f>
        <v/>
      </c>
    </row>
    <row r="1563" ht="17.25" customHeight="1">
      <c r="A1563" s="152">
        <f>IF(INDEX('04A_국토부원자료'!$A:$A,ROW()+1)="","",ROW()-3)</f>
        <v/>
      </c>
      <c r="B1563" s="48">
        <f>IFERROR(INDEX('04A_국토부원자료'!$A:$T,ROW()+1,MATCH("시군구",'04A_국토부원자료'!$A$4:$T$4,0)),"")</f>
        <v/>
      </c>
      <c r="C1563" s="48">
        <f>IF(B1563="","",IFERROR(INDEX('04A_국토부원자료'!$A:$T,ROW()+1,MATCH("번지",'04A_국토부원자료'!$A$4:$T$4,0)),""))</f>
        <v/>
      </c>
      <c r="D1563" s="48">
        <f>IF(B1563="","",IF(Q1563=1,'02_대상물건입력'!$B$8,IFERROR(INDEX('04A_국토부원자료'!$A:$T,ROW()+1,MATCH("단지명",'04A_국토부원자료'!$A$4:$T$4,0)),"")))</f>
        <v/>
      </c>
      <c r="E1563" s="172">
        <f>IFERROR(VALUE(SUBSTITUTE(INDEX('04A_국토부원자료'!$A:$T,ROW()+1,MATCH("전용면적(㎡)",'04A_국토부원자료'!$A$4:$T$4,0)),",","")),"")</f>
        <v/>
      </c>
      <c r="F15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63" s="51">
        <f>IFERROR(VALUE(SUBSTITUTE(INDEX('04A_국토부원자료'!$A:$T,ROW()+1,MATCH("거래금액(만원)",'04A_국토부원자료'!$A$4:$T$4,0)),",","")),"")</f>
        <v/>
      </c>
      <c r="H1563" s="174">
        <f>IF(G1563="","",G1563*10000)</f>
        <v/>
      </c>
      <c r="I1563" s="174">
        <f>IFERROR(IF(AND(H1563&gt;0,E1563&gt;0),H1563/E1563,""),"")</f>
        <v/>
      </c>
      <c r="J1563" s="152">
        <f>IFERROR(VALUE(SUBSTITUTE(INDEX('04A_국토부원자료'!$A:$T,ROW()+1,MATCH("층",'04A_국토부원자료'!$A$4:$T$4,0)),",","")),"")</f>
        <v/>
      </c>
      <c r="K1563" s="152">
        <f>IFERROR(VALUE(SUBSTITUTE(INDEX('04A_국토부원자료'!$A:$T,ROW()+1,MATCH("건축년도",'04A_국토부원자료'!$A$4:$T$4,0)),",","")),"")</f>
        <v/>
      </c>
      <c r="L1563" s="176">
        <f>IFERROR(INDEX('04A_국토부원자료'!$A:$T,ROW()+1,MATCH("도로명",'04A_국토부원자료'!$A$4:$T$4,0)),"")</f>
        <v/>
      </c>
      <c r="M1563" s="48">
        <f>IFERROR(INDEX('04A_국토부원자료'!$A:$T,ROW()+1,MATCH("거래유형",'04A_국토부원자료'!$A$4:$T$4,0)),"")</f>
        <v/>
      </c>
      <c r="N1563" s="152">
        <f>IF(B1563="","",IF('02_대상물건입력'!B5="",1,IF(ISNUMBER(SEARCH('02_대상물건입력'!B5,B1563)),1,0)))</f>
        <v/>
      </c>
      <c r="O1563" s="152">
        <f>IF(B1563="","",IF('02_대상물건입력'!B6="",1,IF(ISNUMBER(SEARCH('02_대상물건입력'!B6,B1563)),1,0)))</f>
        <v/>
      </c>
      <c r="P1563" s="152">
        <f>IF(L1563="","",IF('02_대상물건입력'!B15="",0,IF(ISNUMBER(SEARCH('02_대상물건입력'!B15,L1563)),1,0)))</f>
        <v/>
      </c>
      <c r="Q1563" s="152">
        <f>IF(OR(C1563="",L1563=""),0,IF(AND(TRIM(C1563)=TRIM(RIGHT(SUBSTITUTE(TRIM('02_대상물건입력'!$B$7)," ",REPT(" ",99)),99)),IF('02_대상물건입력'!B15="",TRUE(),ISNUMBER(SEARCH('02_대상물건입력'!B15,L1563)))),1,0))</f>
        <v/>
      </c>
      <c r="R1563" s="175">
        <f>IFERROR(ABS(E1563-'02_대상물건입력'!B11)/'02_대상물건입력'!B11,"")</f>
        <v/>
      </c>
      <c r="S1563" s="152">
        <f>IFERROR(ABS(J1563-'02_대상물건입력'!B10),"")</f>
        <v/>
      </c>
      <c r="T1563" s="152">
        <f>IFERROR(ABS('01_설정'!B4-F1563),"")</f>
        <v/>
      </c>
      <c r="U1563" s="152">
        <f>IFERROR(ABS(K1563-YEAR('02_대상물건입력'!B14)),"")</f>
        <v/>
      </c>
      <c r="V1563" s="152">
        <f>IF(B1563="","",IF(AND(E1563&gt;0,F1563&gt;0,H1563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1563=1,TRUE()),R1563&lt;='01_설정'!B5,S1563&lt;='01_설정'!B6,T1563&lt;='01_설정'!B7,U1563&lt;='01_설정'!B8),"Y",""))</f>
        <v/>
      </c>
      <c r="W1563" s="172">
        <f>IF(V1563&lt;&gt;"Y","",MAX(0,(1-R1563/'01_설정'!B5))*'01_설정'!B14+MAX(0,(1-S1563/'01_설정'!B6))*'01_설정'!B15+MAX(0,(1-T1563/'01_설정'!B7))*'01_설정'!B16+MAX(0,(1-U1563/'01_설정'!B8))*'01_설정'!B17+O1563*'01_설정'!B11+Q1563*'01_설정'!B12+P1563*'01_설정'!B13+IF(Z1563="",0,Z1563))</f>
        <v/>
      </c>
      <c r="X1563" s="152">
        <f>IF(W1563="","",1+COUNTIFS($W$4:$W$3003,"&gt;"&amp;W1563)+COUNTIFS($W$4:W1563,W1563)-1)</f>
        <v/>
      </c>
      <c r="Y1563" s="175">
        <f>IF(OR(I1563="",'02_대상물건입력'!B19="",'02_대상물건입력'!B19&lt;=0),"",ABS(I1563-'02_대상물건입력'!B19)/'02_대상물건입력'!B19)</f>
        <v/>
      </c>
      <c r="Z1563" s="172">
        <f>IF(OR(Y1563="",'01_설정'!B31="",'01_설정'!B31&lt;=0,'01_설정'!B32="",'01_설정'!B32&lt;=0),"",MAX(0,(1-Y1563/'01_설정'!B32))*'01_설정'!B31)</f>
        <v/>
      </c>
    </row>
    <row r="1564" ht="17.25" customHeight="1">
      <c r="A1564" s="152">
        <f>IF(INDEX('04A_국토부원자료'!$A:$A,ROW()+1)="","",ROW()-3)</f>
        <v/>
      </c>
      <c r="B1564" s="48">
        <f>IFERROR(INDEX('04A_국토부원자료'!$A:$T,ROW()+1,MATCH("시군구",'04A_국토부원자료'!$A$4:$T$4,0)),"")</f>
        <v/>
      </c>
      <c r="C1564" s="48">
        <f>IF(B1564="","",IFERROR(INDEX('04A_국토부원자료'!$A:$T,ROW()+1,MATCH("번지",'04A_국토부원자료'!$A$4:$T$4,0)),""))</f>
        <v/>
      </c>
      <c r="D1564" s="48">
        <f>IF(B1564="","",IF(Q1564=1,'02_대상물건입력'!$B$8,IFERROR(INDEX('04A_국토부원자료'!$A:$T,ROW()+1,MATCH("단지명",'04A_국토부원자료'!$A$4:$T$4,0)),"")))</f>
        <v/>
      </c>
      <c r="E1564" s="172">
        <f>IFERROR(VALUE(SUBSTITUTE(INDEX('04A_국토부원자료'!$A:$T,ROW()+1,MATCH("전용면적(㎡)",'04A_국토부원자료'!$A$4:$T$4,0)),",","")),"")</f>
        <v/>
      </c>
      <c r="F15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64" s="51">
        <f>IFERROR(VALUE(SUBSTITUTE(INDEX('04A_국토부원자료'!$A:$T,ROW()+1,MATCH("거래금액(만원)",'04A_국토부원자료'!$A$4:$T$4,0)),",","")),"")</f>
        <v/>
      </c>
      <c r="H1564" s="174">
        <f>IF(G1564="","",G1564*10000)</f>
        <v/>
      </c>
      <c r="I1564" s="174">
        <f>IFERROR(IF(AND(H1564&gt;0,E1564&gt;0),H1564/E1564,""),"")</f>
        <v/>
      </c>
      <c r="J1564" s="152">
        <f>IFERROR(VALUE(SUBSTITUTE(INDEX('04A_국토부원자료'!$A:$T,ROW()+1,MATCH("층",'04A_국토부원자료'!$A$4:$T$4,0)),",","")),"")</f>
        <v/>
      </c>
      <c r="K1564" s="152">
        <f>IFERROR(VALUE(SUBSTITUTE(INDEX('04A_국토부원자료'!$A:$T,ROW()+1,MATCH("건축년도",'04A_국토부원자료'!$A$4:$T$4,0)),",","")),"")</f>
        <v/>
      </c>
      <c r="L1564" s="176">
        <f>IFERROR(INDEX('04A_국토부원자료'!$A:$T,ROW()+1,MATCH("도로명",'04A_국토부원자료'!$A$4:$T$4,0)),"")</f>
        <v/>
      </c>
      <c r="M1564" s="48">
        <f>IFERROR(INDEX('04A_국토부원자료'!$A:$T,ROW()+1,MATCH("거래유형",'04A_국토부원자료'!$A$4:$T$4,0)),"")</f>
        <v/>
      </c>
      <c r="N1564" s="152">
        <f>IF(B1564="","",IF('02_대상물건입력'!B5="",1,IF(ISNUMBER(SEARCH('02_대상물건입력'!B5,B1564)),1,0)))</f>
        <v/>
      </c>
      <c r="O1564" s="152">
        <f>IF(B1564="","",IF('02_대상물건입력'!B6="",1,IF(ISNUMBER(SEARCH('02_대상물건입력'!B6,B1564)),1,0)))</f>
        <v/>
      </c>
      <c r="P1564" s="152">
        <f>IF(L1564="","",IF('02_대상물건입력'!B15="",0,IF(ISNUMBER(SEARCH('02_대상물건입력'!B15,L1564)),1,0)))</f>
        <v/>
      </c>
      <c r="Q1564" s="152">
        <f>IF(OR(C1564="",L1564=""),0,IF(AND(TRIM(C1564)=TRIM(RIGHT(SUBSTITUTE(TRIM('02_대상물건입력'!$B$7)," ",REPT(" ",99)),99)),IF('02_대상물건입력'!B15="",TRUE(),ISNUMBER(SEARCH('02_대상물건입력'!B15,L1564)))),1,0))</f>
        <v/>
      </c>
      <c r="R1564" s="175">
        <f>IFERROR(ABS(E1564-'02_대상물건입력'!B11)/'02_대상물건입력'!B11,"")</f>
        <v/>
      </c>
      <c r="S1564" s="152">
        <f>IFERROR(ABS(J1564-'02_대상물건입력'!B10),"")</f>
        <v/>
      </c>
      <c r="T1564" s="152">
        <f>IFERROR(ABS('01_설정'!B4-F1564),"")</f>
        <v/>
      </c>
      <c r="U1564" s="152">
        <f>IFERROR(ABS(K1564-YEAR('02_대상물건입력'!B14)),"")</f>
        <v/>
      </c>
      <c r="V1564" s="152">
        <f>IF(B1564="","",IF(AND(E1564&gt;0,F1564&gt;0,H1564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1564=1,TRUE()),R1564&lt;='01_설정'!B5,S1564&lt;='01_설정'!B6,T1564&lt;='01_설정'!B7,U1564&lt;='01_설정'!B8),"Y",""))</f>
        <v/>
      </c>
      <c r="W1564" s="172">
        <f>IF(V1564&lt;&gt;"Y","",MAX(0,(1-R1564/'01_설정'!B5))*'01_설정'!B14+MAX(0,(1-S1564/'01_설정'!B6))*'01_설정'!B15+MAX(0,(1-T1564/'01_설정'!B7))*'01_설정'!B16+MAX(0,(1-U1564/'01_설정'!B8))*'01_설정'!B17+O1564*'01_설정'!B11+Q1564*'01_설정'!B12+P1564*'01_설정'!B13+IF(Z1564="",0,Z1564))</f>
        <v/>
      </c>
      <c r="X1564" s="152">
        <f>IF(W1564="","",1+COUNTIFS($W$4:$W$3003,"&gt;"&amp;W1564)+COUNTIFS($W$4:W1564,W1564)-1)</f>
        <v/>
      </c>
      <c r="Y1564" s="175">
        <f>IF(OR(I1564="",'02_대상물건입력'!B19="",'02_대상물건입력'!B19&lt;=0),"",ABS(I1564-'02_대상물건입력'!B19)/'02_대상물건입력'!B19)</f>
        <v/>
      </c>
      <c r="Z1564" s="172">
        <f>IF(OR(Y1564="",'01_설정'!B31="",'01_설정'!B31&lt;=0,'01_설정'!B32="",'01_설정'!B32&lt;=0),"",MAX(0,(1-Y1564/'01_설정'!B32))*'01_설정'!B31)</f>
        <v/>
      </c>
    </row>
    <row r="1565" ht="17.25" customHeight="1">
      <c r="A1565" s="152">
        <f>IF(INDEX('04A_국토부원자료'!$A:$A,ROW()+1)="","",ROW()-3)</f>
        <v/>
      </c>
      <c r="B1565" s="48">
        <f>IFERROR(INDEX('04A_국토부원자료'!$A:$T,ROW()+1,MATCH("시군구",'04A_국토부원자료'!$A$4:$T$4,0)),"")</f>
        <v/>
      </c>
      <c r="C1565" s="48">
        <f>IF(B1565="","",IFERROR(INDEX('04A_국토부원자료'!$A:$T,ROW()+1,MATCH("번지",'04A_국토부원자료'!$A$4:$T$4,0)),""))</f>
        <v/>
      </c>
      <c r="D1565" s="48">
        <f>IF(B1565="","",IF(Q1565=1,'02_대상물건입력'!$B$8,IFERROR(INDEX('04A_국토부원자료'!$A:$T,ROW()+1,MATCH("단지명",'04A_국토부원자료'!$A$4:$T$4,0)),"")))</f>
        <v/>
      </c>
      <c r="E1565" s="172">
        <f>IFERROR(VALUE(SUBSTITUTE(INDEX('04A_국토부원자료'!$A:$T,ROW()+1,MATCH("전용면적(㎡)",'04A_국토부원자료'!$A$4:$T$4,0)),",","")),"")</f>
        <v/>
      </c>
      <c r="F15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65" s="51">
        <f>IFERROR(VALUE(SUBSTITUTE(INDEX('04A_국토부원자료'!$A:$T,ROW()+1,MATCH("거래금액(만원)",'04A_국토부원자료'!$A$4:$T$4,0)),",","")),"")</f>
        <v/>
      </c>
      <c r="H1565" s="174">
        <f>IF(G1565="","",G1565*10000)</f>
        <v/>
      </c>
      <c r="I1565" s="174">
        <f>IFERROR(IF(AND(H1565&gt;0,E1565&gt;0),H1565/E1565,""),"")</f>
        <v/>
      </c>
      <c r="J1565" s="152">
        <f>IFERROR(VALUE(SUBSTITUTE(INDEX('04A_국토부원자료'!$A:$T,ROW()+1,MATCH("층",'04A_국토부원자료'!$A$4:$T$4,0)),",","")),"")</f>
        <v/>
      </c>
      <c r="K1565" s="152">
        <f>IFERROR(VALUE(SUBSTITUTE(INDEX('04A_국토부원자료'!$A:$T,ROW()+1,MATCH("건축년도",'04A_국토부원자료'!$A$4:$T$4,0)),",","")),"")</f>
        <v/>
      </c>
      <c r="L1565" s="176">
        <f>IFERROR(INDEX('04A_국토부원자료'!$A:$T,ROW()+1,MATCH("도로명",'04A_국토부원자료'!$A$4:$T$4,0)),"")</f>
        <v/>
      </c>
      <c r="M1565" s="48">
        <f>IFERROR(INDEX('04A_국토부원자료'!$A:$T,ROW()+1,MATCH("거래유형",'04A_국토부원자료'!$A$4:$T$4,0)),"")</f>
        <v/>
      </c>
      <c r="N1565" s="152">
        <f>IF(B1565="","",IF('02_대상물건입력'!B5="",1,IF(ISNUMBER(SEARCH('02_대상물건입력'!B5,B1565)),1,0)))</f>
        <v/>
      </c>
      <c r="O1565" s="152">
        <f>IF(B1565="","",IF('02_대상물건입력'!B6="",1,IF(ISNUMBER(SEARCH('02_대상물건입력'!B6,B1565)),1,0)))</f>
        <v/>
      </c>
      <c r="P1565" s="152">
        <f>IF(L1565="","",IF('02_대상물건입력'!B15="",0,IF(ISNUMBER(SEARCH('02_대상물건입력'!B15,L1565)),1,0)))</f>
        <v/>
      </c>
      <c r="Q1565" s="152">
        <f>IF(OR(C1565="",L1565=""),0,IF(AND(TRIM(C1565)=TRIM(RIGHT(SUBSTITUTE(TRIM('02_대상물건입력'!$B$7)," ",REPT(" ",99)),99)),IF('02_대상물건입력'!B15="",TRUE(),ISNUMBER(SEARCH('02_대상물건입력'!B15,L1565)))),1,0))</f>
        <v/>
      </c>
      <c r="R1565" s="175">
        <f>IFERROR(ABS(E1565-'02_대상물건입력'!B11)/'02_대상물건입력'!B11,"")</f>
        <v/>
      </c>
      <c r="S1565" s="152">
        <f>IFERROR(ABS(J1565-'02_대상물건입력'!B10),"")</f>
        <v/>
      </c>
      <c r="T1565" s="152">
        <f>IFERROR(ABS('01_설정'!B4-F1565),"")</f>
        <v/>
      </c>
      <c r="U1565" s="152">
        <f>IFERROR(ABS(K1565-YEAR('02_대상물건입력'!B14)),"")</f>
        <v/>
      </c>
      <c r="V1565" s="152">
        <f>IF(B1565="","",IF(AND(E1565&gt;0,F1565&gt;0,H1565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1565=1,TRUE()),R1565&lt;='01_설정'!B5,S1565&lt;='01_설정'!B6,T1565&lt;='01_설정'!B7,U1565&lt;='01_설정'!B8),"Y",""))</f>
        <v/>
      </c>
      <c r="W1565" s="172">
        <f>IF(V1565&lt;&gt;"Y","",MAX(0,(1-R1565/'01_설정'!B5))*'01_설정'!B14+MAX(0,(1-S1565/'01_설정'!B6))*'01_설정'!B15+MAX(0,(1-T1565/'01_설정'!B7))*'01_설정'!B16+MAX(0,(1-U1565/'01_설정'!B8))*'01_설정'!B17+O1565*'01_설정'!B11+Q1565*'01_설정'!B12+P1565*'01_설정'!B13+IF(Z1565="",0,Z1565))</f>
        <v/>
      </c>
      <c r="X1565" s="152">
        <f>IF(W1565="","",1+COUNTIFS($W$4:$W$3003,"&gt;"&amp;W1565)+COUNTIFS($W$4:W1565,W1565)-1)</f>
        <v/>
      </c>
      <c r="Y1565" s="175">
        <f>IF(OR(I1565="",'02_대상물건입력'!B19="",'02_대상물건입력'!B19&lt;=0),"",ABS(I1565-'02_대상물건입력'!B19)/'02_대상물건입력'!B19)</f>
        <v/>
      </c>
      <c r="Z1565" s="172">
        <f>IF(OR(Y1565="",'01_설정'!B31="",'01_설정'!B31&lt;=0,'01_설정'!B32="",'01_설정'!B32&lt;=0),"",MAX(0,(1-Y1565/'01_설정'!B32))*'01_설정'!B31)</f>
        <v/>
      </c>
    </row>
    <row r="1566" ht="17.25" customHeight="1">
      <c r="A1566" s="152">
        <f>IF(INDEX('04A_국토부원자료'!$A:$A,ROW()+1)="","",ROW()-3)</f>
        <v/>
      </c>
      <c r="B1566" s="48">
        <f>IFERROR(INDEX('04A_국토부원자료'!$A:$T,ROW()+1,MATCH("시군구",'04A_국토부원자료'!$A$4:$T$4,0)),"")</f>
        <v/>
      </c>
      <c r="C1566" s="48">
        <f>IF(B1566="","",IFERROR(INDEX('04A_국토부원자료'!$A:$T,ROW()+1,MATCH("번지",'04A_국토부원자료'!$A$4:$T$4,0)),""))</f>
        <v/>
      </c>
      <c r="D1566" s="48">
        <f>IF(B1566="","",IF(Q1566=1,'02_대상물건입력'!$B$8,IFERROR(INDEX('04A_국토부원자료'!$A:$T,ROW()+1,MATCH("단지명",'04A_국토부원자료'!$A$4:$T$4,0)),"")))</f>
        <v/>
      </c>
      <c r="E1566" s="172">
        <f>IFERROR(VALUE(SUBSTITUTE(INDEX('04A_국토부원자료'!$A:$T,ROW()+1,MATCH("전용면적(㎡)",'04A_국토부원자료'!$A$4:$T$4,0)),",","")),"")</f>
        <v/>
      </c>
      <c r="F15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66" s="51">
        <f>IFERROR(VALUE(SUBSTITUTE(INDEX('04A_국토부원자료'!$A:$T,ROW()+1,MATCH("거래금액(만원)",'04A_국토부원자료'!$A$4:$T$4,0)),",","")),"")</f>
        <v/>
      </c>
      <c r="H1566" s="174">
        <f>IF(G1566="","",G1566*10000)</f>
        <v/>
      </c>
      <c r="I1566" s="174">
        <f>IFERROR(IF(AND(H1566&gt;0,E1566&gt;0),H1566/E1566,""),"")</f>
        <v/>
      </c>
      <c r="J1566" s="152">
        <f>IFERROR(VALUE(SUBSTITUTE(INDEX('04A_국토부원자료'!$A:$T,ROW()+1,MATCH("층",'04A_국토부원자료'!$A$4:$T$4,0)),",","")),"")</f>
        <v/>
      </c>
      <c r="K1566" s="152">
        <f>IFERROR(VALUE(SUBSTITUTE(INDEX('04A_국토부원자료'!$A:$T,ROW()+1,MATCH("건축년도",'04A_국토부원자료'!$A$4:$T$4,0)),",","")),"")</f>
        <v/>
      </c>
      <c r="L1566" s="176">
        <f>IFERROR(INDEX('04A_국토부원자료'!$A:$T,ROW()+1,MATCH("도로명",'04A_국토부원자료'!$A$4:$T$4,0)),"")</f>
        <v/>
      </c>
      <c r="M1566" s="48">
        <f>IFERROR(INDEX('04A_국토부원자료'!$A:$T,ROW()+1,MATCH("거래유형",'04A_국토부원자료'!$A$4:$T$4,0)),"")</f>
        <v/>
      </c>
      <c r="N1566" s="152">
        <f>IF(B1566="","",IF('02_대상물건입력'!B5="",1,IF(ISNUMBER(SEARCH('02_대상물건입력'!B5,B1566)),1,0)))</f>
        <v/>
      </c>
      <c r="O1566" s="152">
        <f>IF(B1566="","",IF('02_대상물건입력'!B6="",1,IF(ISNUMBER(SEARCH('02_대상물건입력'!B6,B1566)),1,0)))</f>
        <v/>
      </c>
      <c r="P1566" s="152">
        <f>IF(L1566="","",IF('02_대상물건입력'!B15="",0,IF(ISNUMBER(SEARCH('02_대상물건입력'!B15,L1566)),1,0)))</f>
        <v/>
      </c>
      <c r="Q1566" s="152">
        <f>IF(OR(C1566="",L1566=""),0,IF(AND(TRIM(C1566)=TRIM(RIGHT(SUBSTITUTE(TRIM('02_대상물건입력'!$B$7)," ",REPT(" ",99)),99)),IF('02_대상물건입력'!B15="",TRUE(),ISNUMBER(SEARCH('02_대상물건입력'!B15,L1566)))),1,0))</f>
        <v/>
      </c>
      <c r="R1566" s="175">
        <f>IFERROR(ABS(E1566-'02_대상물건입력'!B11)/'02_대상물건입력'!B11,"")</f>
        <v/>
      </c>
      <c r="S1566" s="152">
        <f>IFERROR(ABS(J1566-'02_대상물건입력'!B10),"")</f>
        <v/>
      </c>
      <c r="T1566" s="152">
        <f>IFERROR(ABS('01_설정'!B4-F1566),"")</f>
        <v/>
      </c>
      <c r="U1566" s="152">
        <f>IFERROR(ABS(K1566-YEAR('02_대상물건입력'!B14)),"")</f>
        <v/>
      </c>
      <c r="V1566" s="152">
        <f>IF(B1566="","",IF(AND(E1566&gt;0,F1566&gt;0,H1566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1566=1,TRUE()),R1566&lt;='01_설정'!B5,S1566&lt;='01_설정'!B6,T1566&lt;='01_설정'!B7,U1566&lt;='01_설정'!B8),"Y",""))</f>
        <v/>
      </c>
      <c r="W1566" s="172">
        <f>IF(V1566&lt;&gt;"Y","",MAX(0,(1-R1566/'01_설정'!B5))*'01_설정'!B14+MAX(0,(1-S1566/'01_설정'!B6))*'01_설정'!B15+MAX(0,(1-T1566/'01_설정'!B7))*'01_설정'!B16+MAX(0,(1-U1566/'01_설정'!B8))*'01_설정'!B17+O1566*'01_설정'!B11+Q1566*'01_설정'!B12+P1566*'01_설정'!B13+IF(Z1566="",0,Z1566))</f>
        <v/>
      </c>
      <c r="X1566" s="152">
        <f>IF(W1566="","",1+COUNTIFS($W$4:$W$3003,"&gt;"&amp;W1566)+COUNTIFS($W$4:W1566,W1566)-1)</f>
        <v/>
      </c>
      <c r="Y1566" s="175">
        <f>IF(OR(I1566="",'02_대상물건입력'!B19="",'02_대상물건입력'!B19&lt;=0),"",ABS(I1566-'02_대상물건입력'!B19)/'02_대상물건입력'!B19)</f>
        <v/>
      </c>
      <c r="Z1566" s="172">
        <f>IF(OR(Y1566="",'01_설정'!B31="",'01_설정'!B31&lt;=0,'01_설정'!B32="",'01_설정'!B32&lt;=0),"",MAX(0,(1-Y1566/'01_설정'!B32))*'01_설정'!B31)</f>
        <v/>
      </c>
    </row>
    <row r="1567" ht="17.25" customHeight="1">
      <c r="A1567" s="152">
        <f>IF(INDEX('04A_국토부원자료'!$A:$A,ROW()+1)="","",ROW()-3)</f>
        <v/>
      </c>
      <c r="B1567" s="48">
        <f>IFERROR(INDEX('04A_국토부원자료'!$A:$T,ROW()+1,MATCH("시군구",'04A_국토부원자료'!$A$4:$T$4,0)),"")</f>
        <v/>
      </c>
      <c r="C1567" s="48">
        <f>IF(B1567="","",IFERROR(INDEX('04A_국토부원자료'!$A:$T,ROW()+1,MATCH("번지",'04A_국토부원자료'!$A$4:$T$4,0)),""))</f>
        <v/>
      </c>
      <c r="D1567" s="48">
        <f>IF(B1567="","",IF(Q1567=1,'02_대상물건입력'!$B$8,IFERROR(INDEX('04A_국토부원자료'!$A:$T,ROW()+1,MATCH("단지명",'04A_국토부원자료'!$A$4:$T$4,0)),"")))</f>
        <v/>
      </c>
      <c r="E1567" s="172">
        <f>IFERROR(VALUE(SUBSTITUTE(INDEX('04A_국토부원자료'!$A:$T,ROW()+1,MATCH("전용면적(㎡)",'04A_국토부원자료'!$A$4:$T$4,0)),",","")),"")</f>
        <v/>
      </c>
      <c r="F15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67" s="51">
        <f>IFERROR(VALUE(SUBSTITUTE(INDEX('04A_국토부원자료'!$A:$T,ROW()+1,MATCH("거래금액(만원)",'04A_국토부원자료'!$A$4:$T$4,0)),",","")),"")</f>
        <v/>
      </c>
      <c r="H1567" s="174">
        <f>IF(G1567="","",G1567*10000)</f>
        <v/>
      </c>
      <c r="I1567" s="174">
        <f>IFERROR(IF(AND(H1567&gt;0,E1567&gt;0),H1567/E1567,""),"")</f>
        <v/>
      </c>
      <c r="J1567" s="152">
        <f>IFERROR(VALUE(SUBSTITUTE(INDEX('04A_국토부원자료'!$A:$T,ROW()+1,MATCH("층",'04A_국토부원자료'!$A$4:$T$4,0)),",","")),"")</f>
        <v/>
      </c>
      <c r="K1567" s="152">
        <f>IFERROR(VALUE(SUBSTITUTE(INDEX('04A_국토부원자료'!$A:$T,ROW()+1,MATCH("건축년도",'04A_국토부원자료'!$A$4:$T$4,0)),",","")),"")</f>
        <v/>
      </c>
      <c r="L1567" s="176">
        <f>IFERROR(INDEX('04A_국토부원자료'!$A:$T,ROW()+1,MATCH("도로명",'04A_국토부원자료'!$A$4:$T$4,0)),"")</f>
        <v/>
      </c>
      <c r="M1567" s="48">
        <f>IFERROR(INDEX('04A_국토부원자료'!$A:$T,ROW()+1,MATCH("거래유형",'04A_국토부원자료'!$A$4:$T$4,0)),"")</f>
        <v/>
      </c>
      <c r="N1567" s="152">
        <f>IF(B1567="","",IF('02_대상물건입력'!B5="",1,IF(ISNUMBER(SEARCH('02_대상물건입력'!B5,B1567)),1,0)))</f>
        <v/>
      </c>
      <c r="O1567" s="152">
        <f>IF(B1567="","",IF('02_대상물건입력'!B6="",1,IF(ISNUMBER(SEARCH('02_대상물건입력'!B6,B1567)),1,0)))</f>
        <v/>
      </c>
      <c r="P1567" s="152">
        <f>IF(L1567="","",IF('02_대상물건입력'!B15="",0,IF(ISNUMBER(SEARCH('02_대상물건입력'!B15,L1567)),1,0)))</f>
        <v/>
      </c>
      <c r="Q1567" s="152">
        <f>IF(OR(C1567="",L1567=""),0,IF(AND(TRIM(C1567)=TRIM(RIGHT(SUBSTITUTE(TRIM('02_대상물건입력'!$B$7)," ",REPT(" ",99)),99)),IF('02_대상물건입력'!B15="",TRUE(),ISNUMBER(SEARCH('02_대상물건입력'!B15,L1567)))),1,0))</f>
        <v/>
      </c>
      <c r="R1567" s="175">
        <f>IFERROR(ABS(E1567-'02_대상물건입력'!B11)/'02_대상물건입력'!B11,"")</f>
        <v/>
      </c>
      <c r="S1567" s="152">
        <f>IFERROR(ABS(J1567-'02_대상물건입력'!B10),"")</f>
        <v/>
      </c>
      <c r="T1567" s="152">
        <f>IFERROR(ABS('01_설정'!B4-F1567),"")</f>
        <v/>
      </c>
      <c r="U1567" s="152">
        <f>IFERROR(ABS(K1567-YEAR('02_대상물건입력'!B14)),"")</f>
        <v/>
      </c>
      <c r="V1567" s="152">
        <f>IF(B1567="","",IF(AND(E1567&gt;0,F1567&gt;0,H1567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1567=1,TRUE()),R1567&lt;='01_설정'!B5,S1567&lt;='01_설정'!B6,T1567&lt;='01_설정'!B7,U1567&lt;='01_설정'!B8),"Y",""))</f>
        <v/>
      </c>
      <c r="W1567" s="172">
        <f>IF(V1567&lt;&gt;"Y","",MAX(0,(1-R1567/'01_설정'!B5))*'01_설정'!B14+MAX(0,(1-S1567/'01_설정'!B6))*'01_설정'!B15+MAX(0,(1-T1567/'01_설정'!B7))*'01_설정'!B16+MAX(0,(1-U1567/'01_설정'!B8))*'01_설정'!B17+O1567*'01_설정'!B11+Q1567*'01_설정'!B12+P1567*'01_설정'!B13+IF(Z1567="",0,Z1567))</f>
        <v/>
      </c>
      <c r="X1567" s="152">
        <f>IF(W1567="","",1+COUNTIFS($W$4:$W$3003,"&gt;"&amp;W1567)+COUNTIFS($W$4:W1567,W1567)-1)</f>
        <v/>
      </c>
      <c r="Y1567" s="175">
        <f>IF(OR(I1567="",'02_대상물건입력'!B19="",'02_대상물건입력'!B19&lt;=0),"",ABS(I1567-'02_대상물건입력'!B19)/'02_대상물건입력'!B19)</f>
        <v/>
      </c>
      <c r="Z1567" s="172">
        <f>IF(OR(Y1567="",'01_설정'!B31="",'01_설정'!B31&lt;=0,'01_설정'!B32="",'01_설정'!B32&lt;=0),"",MAX(0,(1-Y1567/'01_설정'!B32))*'01_설정'!B31)</f>
        <v/>
      </c>
    </row>
    <row r="1568" ht="17.25" customHeight="1">
      <c r="A1568" s="152">
        <f>IF(INDEX('04A_국토부원자료'!$A:$A,ROW()+1)="","",ROW()-3)</f>
        <v/>
      </c>
      <c r="B1568" s="48">
        <f>IFERROR(INDEX('04A_국토부원자료'!$A:$T,ROW()+1,MATCH("시군구",'04A_국토부원자료'!$A$4:$T$4,0)),"")</f>
        <v/>
      </c>
      <c r="C1568" s="48">
        <f>IF(B1568="","",IFERROR(INDEX('04A_국토부원자료'!$A:$T,ROW()+1,MATCH("번지",'04A_국토부원자료'!$A$4:$T$4,0)),""))</f>
        <v/>
      </c>
      <c r="D1568" s="48">
        <f>IF(B1568="","",IF(Q1568=1,'02_대상물건입력'!$B$8,IFERROR(INDEX('04A_국토부원자료'!$A:$T,ROW()+1,MATCH("단지명",'04A_국토부원자료'!$A$4:$T$4,0)),"")))</f>
        <v/>
      </c>
      <c r="E1568" s="172">
        <f>IFERROR(VALUE(SUBSTITUTE(INDEX('04A_국토부원자료'!$A:$T,ROW()+1,MATCH("전용면적(㎡)",'04A_국토부원자료'!$A$4:$T$4,0)),",","")),"")</f>
        <v/>
      </c>
      <c r="F15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68" s="51">
        <f>IFERROR(VALUE(SUBSTITUTE(INDEX('04A_국토부원자료'!$A:$T,ROW()+1,MATCH("거래금액(만원)",'04A_국토부원자료'!$A$4:$T$4,0)),",","")),"")</f>
        <v/>
      </c>
      <c r="H1568" s="174">
        <f>IF(G1568="","",G1568*10000)</f>
        <v/>
      </c>
      <c r="I1568" s="174">
        <f>IFERROR(IF(AND(H1568&gt;0,E1568&gt;0),H1568/E1568,""),"")</f>
        <v/>
      </c>
      <c r="J1568" s="152">
        <f>IFERROR(VALUE(SUBSTITUTE(INDEX('04A_국토부원자료'!$A:$T,ROW()+1,MATCH("층",'04A_국토부원자료'!$A$4:$T$4,0)),",","")),"")</f>
        <v/>
      </c>
      <c r="K1568" s="152">
        <f>IFERROR(VALUE(SUBSTITUTE(INDEX('04A_국토부원자료'!$A:$T,ROW()+1,MATCH("건축년도",'04A_국토부원자료'!$A$4:$T$4,0)),",","")),"")</f>
        <v/>
      </c>
      <c r="L1568" s="176">
        <f>IFERROR(INDEX('04A_국토부원자료'!$A:$T,ROW()+1,MATCH("도로명",'04A_국토부원자료'!$A$4:$T$4,0)),"")</f>
        <v/>
      </c>
      <c r="M1568" s="48">
        <f>IFERROR(INDEX('04A_국토부원자료'!$A:$T,ROW()+1,MATCH("거래유형",'04A_국토부원자료'!$A$4:$T$4,0)),"")</f>
        <v/>
      </c>
      <c r="N1568" s="152">
        <f>IF(B1568="","",IF('02_대상물건입력'!B5="",1,IF(ISNUMBER(SEARCH('02_대상물건입력'!B5,B1568)),1,0)))</f>
        <v/>
      </c>
      <c r="O1568" s="152">
        <f>IF(B1568="","",IF('02_대상물건입력'!B6="",1,IF(ISNUMBER(SEARCH('02_대상물건입력'!B6,B1568)),1,0)))</f>
        <v/>
      </c>
      <c r="P1568" s="152">
        <f>IF(L1568="","",IF('02_대상물건입력'!B15="",0,IF(ISNUMBER(SEARCH('02_대상물건입력'!B15,L1568)),1,0)))</f>
        <v/>
      </c>
      <c r="Q1568" s="152">
        <f>IF(OR(C1568="",L1568=""),0,IF(AND(TRIM(C1568)=TRIM(RIGHT(SUBSTITUTE(TRIM('02_대상물건입력'!$B$7)," ",REPT(" ",99)),99)),IF('02_대상물건입력'!B15="",TRUE(),ISNUMBER(SEARCH('02_대상물건입력'!B15,L1568)))),1,0))</f>
        <v/>
      </c>
      <c r="R1568" s="175">
        <f>IFERROR(ABS(E1568-'02_대상물건입력'!B11)/'02_대상물건입력'!B11,"")</f>
        <v/>
      </c>
      <c r="S1568" s="152">
        <f>IFERROR(ABS(J1568-'02_대상물건입력'!B10),"")</f>
        <v/>
      </c>
      <c r="T1568" s="152">
        <f>IFERROR(ABS('01_설정'!B4-F1568),"")</f>
        <v/>
      </c>
      <c r="U1568" s="152">
        <f>IFERROR(ABS(K1568-YEAR('02_대상물건입력'!B14)),"")</f>
        <v/>
      </c>
      <c r="V1568" s="152">
        <f>IF(B1568="","",IF(AND(E1568&gt;0,F1568&gt;0,H1568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1568=1,TRUE()),R1568&lt;='01_설정'!B5,S1568&lt;='01_설정'!B6,T1568&lt;='01_설정'!B7,U1568&lt;='01_설정'!B8),"Y",""))</f>
        <v/>
      </c>
      <c r="W1568" s="172">
        <f>IF(V1568&lt;&gt;"Y","",MAX(0,(1-R1568/'01_설정'!B5))*'01_설정'!B14+MAX(0,(1-S1568/'01_설정'!B6))*'01_설정'!B15+MAX(0,(1-T1568/'01_설정'!B7))*'01_설정'!B16+MAX(0,(1-U1568/'01_설정'!B8))*'01_설정'!B17+O1568*'01_설정'!B11+Q1568*'01_설정'!B12+P1568*'01_설정'!B13+IF(Z1568="",0,Z1568))</f>
        <v/>
      </c>
      <c r="X1568" s="152">
        <f>IF(W1568="","",1+COUNTIFS($W$4:$W$3003,"&gt;"&amp;W1568)+COUNTIFS($W$4:W1568,W1568)-1)</f>
        <v/>
      </c>
      <c r="Y1568" s="175">
        <f>IF(OR(I1568="",'02_대상물건입력'!B19="",'02_대상물건입력'!B19&lt;=0),"",ABS(I1568-'02_대상물건입력'!B19)/'02_대상물건입력'!B19)</f>
        <v/>
      </c>
      <c r="Z1568" s="172">
        <f>IF(OR(Y1568="",'01_설정'!B31="",'01_설정'!B31&lt;=0,'01_설정'!B32="",'01_설정'!B32&lt;=0),"",MAX(0,(1-Y1568/'01_설정'!B32))*'01_설정'!B31)</f>
        <v/>
      </c>
    </row>
    <row r="1569" ht="17.25" customHeight="1">
      <c r="A1569" s="152">
        <f>IF(INDEX('04A_국토부원자료'!$A:$A,ROW()+1)="","",ROW()-3)</f>
        <v/>
      </c>
      <c r="B1569" s="48">
        <f>IFERROR(INDEX('04A_국토부원자료'!$A:$T,ROW()+1,MATCH("시군구",'04A_국토부원자료'!$A$4:$T$4,0)),"")</f>
        <v/>
      </c>
      <c r="C1569" s="48">
        <f>IF(B1569="","",IFERROR(INDEX('04A_국토부원자료'!$A:$T,ROW()+1,MATCH("번지",'04A_국토부원자료'!$A$4:$T$4,0)),""))</f>
        <v/>
      </c>
      <c r="D1569" s="48">
        <f>IF(B1569="","",IF(Q1569=1,'02_대상물건입력'!$B$8,IFERROR(INDEX('04A_국토부원자료'!$A:$T,ROW()+1,MATCH("단지명",'04A_국토부원자료'!$A$4:$T$4,0)),"")))</f>
        <v/>
      </c>
      <c r="E1569" s="172">
        <f>IFERROR(VALUE(SUBSTITUTE(INDEX('04A_국토부원자료'!$A:$T,ROW()+1,MATCH("전용면적(㎡)",'04A_국토부원자료'!$A$4:$T$4,0)),",","")),"")</f>
        <v/>
      </c>
      <c r="F15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69" s="51">
        <f>IFERROR(VALUE(SUBSTITUTE(INDEX('04A_국토부원자료'!$A:$T,ROW()+1,MATCH("거래금액(만원)",'04A_국토부원자료'!$A$4:$T$4,0)),",","")),"")</f>
        <v/>
      </c>
      <c r="H1569" s="174">
        <f>IF(G1569="","",G1569*10000)</f>
        <v/>
      </c>
      <c r="I1569" s="174">
        <f>IFERROR(IF(AND(H1569&gt;0,E1569&gt;0),H1569/E1569,""),"")</f>
        <v/>
      </c>
      <c r="J1569" s="152">
        <f>IFERROR(VALUE(SUBSTITUTE(INDEX('04A_국토부원자료'!$A:$T,ROW()+1,MATCH("층",'04A_국토부원자료'!$A$4:$T$4,0)),",","")),"")</f>
        <v/>
      </c>
      <c r="K1569" s="152">
        <f>IFERROR(VALUE(SUBSTITUTE(INDEX('04A_국토부원자료'!$A:$T,ROW()+1,MATCH("건축년도",'04A_국토부원자료'!$A$4:$T$4,0)),",","")),"")</f>
        <v/>
      </c>
      <c r="L1569" s="176">
        <f>IFERROR(INDEX('04A_국토부원자료'!$A:$T,ROW()+1,MATCH("도로명",'04A_국토부원자료'!$A$4:$T$4,0)),"")</f>
        <v/>
      </c>
      <c r="M1569" s="48">
        <f>IFERROR(INDEX('04A_국토부원자료'!$A:$T,ROW()+1,MATCH("거래유형",'04A_국토부원자료'!$A$4:$T$4,0)),"")</f>
        <v/>
      </c>
      <c r="N1569" s="152">
        <f>IF(B1569="","",IF('02_대상물건입력'!B5="",1,IF(ISNUMBER(SEARCH('02_대상물건입력'!B5,B1569)),1,0)))</f>
        <v/>
      </c>
      <c r="O1569" s="152">
        <f>IF(B1569="","",IF('02_대상물건입력'!B6="",1,IF(ISNUMBER(SEARCH('02_대상물건입력'!B6,B1569)),1,0)))</f>
        <v/>
      </c>
      <c r="P1569" s="152">
        <f>IF(L1569="","",IF('02_대상물건입력'!B15="",0,IF(ISNUMBER(SEARCH('02_대상물건입력'!B15,L1569)),1,0)))</f>
        <v/>
      </c>
      <c r="Q1569" s="152">
        <f>IF(OR(C1569="",L1569=""),0,IF(AND(TRIM(C1569)=TRIM(RIGHT(SUBSTITUTE(TRIM('02_대상물건입력'!$B$7)," ",REPT(" ",99)),99)),IF('02_대상물건입력'!B15="",TRUE(),ISNUMBER(SEARCH('02_대상물건입력'!B15,L1569)))),1,0))</f>
        <v/>
      </c>
      <c r="R1569" s="175">
        <f>IFERROR(ABS(E1569-'02_대상물건입력'!B11)/'02_대상물건입력'!B11,"")</f>
        <v/>
      </c>
      <c r="S1569" s="152">
        <f>IFERROR(ABS(J1569-'02_대상물건입력'!B10),"")</f>
        <v/>
      </c>
      <c r="T1569" s="152">
        <f>IFERROR(ABS('01_설정'!B4-F1569),"")</f>
        <v/>
      </c>
      <c r="U1569" s="152">
        <f>IFERROR(ABS(K1569-YEAR('02_대상물건입력'!B14)),"")</f>
        <v/>
      </c>
      <c r="V1569" s="152">
        <f>IF(B1569="","",IF(AND(E1569&gt;0,F1569&gt;0,H1569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1569=1,TRUE()),R1569&lt;='01_설정'!B5,S1569&lt;='01_설정'!B6,T1569&lt;='01_설정'!B7,U1569&lt;='01_설정'!B8),"Y",""))</f>
        <v/>
      </c>
      <c r="W1569" s="172">
        <f>IF(V1569&lt;&gt;"Y","",MAX(0,(1-R1569/'01_설정'!B5))*'01_설정'!B14+MAX(0,(1-S1569/'01_설정'!B6))*'01_설정'!B15+MAX(0,(1-T1569/'01_설정'!B7))*'01_설정'!B16+MAX(0,(1-U1569/'01_설정'!B8))*'01_설정'!B17+O1569*'01_설정'!B11+Q1569*'01_설정'!B12+P1569*'01_설정'!B13+IF(Z1569="",0,Z1569))</f>
        <v/>
      </c>
      <c r="X1569" s="152">
        <f>IF(W1569="","",1+COUNTIFS($W$4:$W$3003,"&gt;"&amp;W1569)+COUNTIFS($W$4:W1569,W1569)-1)</f>
        <v/>
      </c>
      <c r="Y1569" s="175">
        <f>IF(OR(I1569="",'02_대상물건입력'!B19="",'02_대상물건입력'!B19&lt;=0),"",ABS(I1569-'02_대상물건입력'!B19)/'02_대상물건입력'!B19)</f>
        <v/>
      </c>
      <c r="Z1569" s="172">
        <f>IF(OR(Y1569="",'01_설정'!B31="",'01_설정'!B31&lt;=0,'01_설정'!B32="",'01_설정'!B32&lt;=0),"",MAX(0,(1-Y1569/'01_설정'!B32))*'01_설정'!B31)</f>
        <v/>
      </c>
    </row>
    <row r="1570" ht="17.25" customHeight="1">
      <c r="A1570" s="152">
        <f>IF(INDEX('04A_국토부원자료'!$A:$A,ROW()+1)="","",ROW()-3)</f>
        <v/>
      </c>
      <c r="B1570" s="48">
        <f>IFERROR(INDEX('04A_국토부원자료'!$A:$T,ROW()+1,MATCH("시군구",'04A_국토부원자료'!$A$4:$T$4,0)),"")</f>
        <v/>
      </c>
      <c r="C1570" s="48">
        <f>IF(B1570="","",IFERROR(INDEX('04A_국토부원자료'!$A:$T,ROW()+1,MATCH("번지",'04A_국토부원자료'!$A$4:$T$4,0)),""))</f>
        <v/>
      </c>
      <c r="D1570" s="48">
        <f>IF(B1570="","",IF(Q1570=1,'02_대상물건입력'!$B$8,IFERROR(INDEX('04A_국토부원자료'!$A:$T,ROW()+1,MATCH("단지명",'04A_국토부원자료'!$A$4:$T$4,0)),"")))</f>
        <v/>
      </c>
      <c r="E1570" s="172">
        <f>IFERROR(VALUE(SUBSTITUTE(INDEX('04A_국토부원자료'!$A:$T,ROW()+1,MATCH("전용면적(㎡)",'04A_국토부원자료'!$A$4:$T$4,0)),",","")),"")</f>
        <v/>
      </c>
      <c r="F15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70" s="51">
        <f>IFERROR(VALUE(SUBSTITUTE(INDEX('04A_국토부원자료'!$A:$T,ROW()+1,MATCH("거래금액(만원)",'04A_국토부원자료'!$A$4:$T$4,0)),",","")),"")</f>
        <v/>
      </c>
      <c r="H1570" s="174">
        <f>IF(G1570="","",G1570*10000)</f>
        <v/>
      </c>
      <c r="I1570" s="174">
        <f>IFERROR(IF(AND(H1570&gt;0,E1570&gt;0),H1570/E1570,""),"")</f>
        <v/>
      </c>
      <c r="J1570" s="152">
        <f>IFERROR(VALUE(SUBSTITUTE(INDEX('04A_국토부원자료'!$A:$T,ROW()+1,MATCH("층",'04A_국토부원자료'!$A$4:$T$4,0)),",","")),"")</f>
        <v/>
      </c>
      <c r="K1570" s="152">
        <f>IFERROR(VALUE(SUBSTITUTE(INDEX('04A_국토부원자료'!$A:$T,ROW()+1,MATCH("건축년도",'04A_국토부원자료'!$A$4:$T$4,0)),",","")),"")</f>
        <v/>
      </c>
      <c r="L1570" s="176">
        <f>IFERROR(INDEX('04A_국토부원자료'!$A:$T,ROW()+1,MATCH("도로명",'04A_국토부원자료'!$A$4:$T$4,0)),"")</f>
        <v/>
      </c>
      <c r="M1570" s="48">
        <f>IFERROR(INDEX('04A_국토부원자료'!$A:$T,ROW()+1,MATCH("거래유형",'04A_국토부원자료'!$A$4:$T$4,0)),"")</f>
        <v/>
      </c>
      <c r="N1570" s="152">
        <f>IF(B1570="","",IF('02_대상물건입력'!B5="",1,IF(ISNUMBER(SEARCH('02_대상물건입력'!B5,B1570)),1,0)))</f>
        <v/>
      </c>
      <c r="O1570" s="152">
        <f>IF(B1570="","",IF('02_대상물건입력'!B6="",1,IF(ISNUMBER(SEARCH('02_대상물건입력'!B6,B1570)),1,0)))</f>
        <v/>
      </c>
      <c r="P1570" s="152">
        <f>IF(L1570="","",IF('02_대상물건입력'!B15="",0,IF(ISNUMBER(SEARCH('02_대상물건입력'!B15,L1570)),1,0)))</f>
        <v/>
      </c>
      <c r="Q1570" s="152">
        <f>IF(OR(C1570="",L1570=""),0,IF(AND(TRIM(C1570)=TRIM(RIGHT(SUBSTITUTE(TRIM('02_대상물건입력'!$B$7)," ",REPT(" ",99)),99)),IF('02_대상물건입력'!B15="",TRUE(),ISNUMBER(SEARCH('02_대상물건입력'!B15,L1570)))),1,0))</f>
        <v/>
      </c>
      <c r="R1570" s="175">
        <f>IFERROR(ABS(E1570-'02_대상물건입력'!B11)/'02_대상물건입력'!B11,"")</f>
        <v/>
      </c>
      <c r="S1570" s="152">
        <f>IFERROR(ABS(J1570-'02_대상물건입력'!B10),"")</f>
        <v/>
      </c>
      <c r="T1570" s="152">
        <f>IFERROR(ABS('01_설정'!B4-F1570),"")</f>
        <v/>
      </c>
      <c r="U1570" s="152">
        <f>IFERROR(ABS(K1570-YEAR('02_대상물건입력'!B14)),"")</f>
        <v/>
      </c>
      <c r="V1570" s="152">
        <f>IF(B1570="","",IF(AND(E1570&gt;0,F1570&gt;0,H1570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1570=1,TRUE()),R1570&lt;='01_설정'!B5,S1570&lt;='01_설정'!B6,T1570&lt;='01_설정'!B7,U1570&lt;='01_설정'!B8),"Y",""))</f>
        <v/>
      </c>
      <c r="W1570" s="172">
        <f>IF(V1570&lt;&gt;"Y","",MAX(0,(1-R1570/'01_설정'!B5))*'01_설정'!B14+MAX(0,(1-S1570/'01_설정'!B6))*'01_설정'!B15+MAX(0,(1-T1570/'01_설정'!B7))*'01_설정'!B16+MAX(0,(1-U1570/'01_설정'!B8))*'01_설정'!B17+O1570*'01_설정'!B11+Q1570*'01_설정'!B12+P1570*'01_설정'!B13+IF(Z1570="",0,Z1570))</f>
        <v/>
      </c>
      <c r="X1570" s="152">
        <f>IF(W1570="","",1+COUNTIFS($W$4:$W$3003,"&gt;"&amp;W1570)+COUNTIFS($W$4:W1570,W1570)-1)</f>
        <v/>
      </c>
      <c r="Y1570" s="175">
        <f>IF(OR(I1570="",'02_대상물건입력'!B19="",'02_대상물건입력'!B19&lt;=0),"",ABS(I1570-'02_대상물건입력'!B19)/'02_대상물건입력'!B19)</f>
        <v/>
      </c>
      <c r="Z1570" s="172">
        <f>IF(OR(Y1570="",'01_설정'!B31="",'01_설정'!B31&lt;=0,'01_설정'!B32="",'01_설정'!B32&lt;=0),"",MAX(0,(1-Y1570/'01_설정'!B32))*'01_설정'!B31)</f>
        <v/>
      </c>
    </row>
    <row r="1571" ht="17.25" customHeight="1">
      <c r="A1571" s="152">
        <f>IF(INDEX('04A_국토부원자료'!$A:$A,ROW()+1)="","",ROW()-3)</f>
        <v/>
      </c>
      <c r="B1571" s="48">
        <f>IFERROR(INDEX('04A_국토부원자료'!$A:$T,ROW()+1,MATCH("시군구",'04A_국토부원자료'!$A$4:$T$4,0)),"")</f>
        <v/>
      </c>
      <c r="C1571" s="48">
        <f>IF(B1571="","",IFERROR(INDEX('04A_국토부원자료'!$A:$T,ROW()+1,MATCH("번지",'04A_국토부원자료'!$A$4:$T$4,0)),""))</f>
        <v/>
      </c>
      <c r="D1571" s="48">
        <f>IF(B1571="","",IF(Q1571=1,'02_대상물건입력'!$B$8,IFERROR(INDEX('04A_국토부원자료'!$A:$T,ROW()+1,MATCH("단지명",'04A_국토부원자료'!$A$4:$T$4,0)),"")))</f>
        <v/>
      </c>
      <c r="E1571" s="172">
        <f>IFERROR(VALUE(SUBSTITUTE(INDEX('04A_국토부원자료'!$A:$T,ROW()+1,MATCH("전용면적(㎡)",'04A_국토부원자료'!$A$4:$T$4,0)),",","")),"")</f>
        <v/>
      </c>
      <c r="F15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71" s="51">
        <f>IFERROR(VALUE(SUBSTITUTE(INDEX('04A_국토부원자료'!$A:$T,ROW()+1,MATCH("거래금액(만원)",'04A_국토부원자료'!$A$4:$T$4,0)),",","")),"")</f>
        <v/>
      </c>
      <c r="H1571" s="174">
        <f>IF(G1571="","",G1571*10000)</f>
        <v/>
      </c>
      <c r="I1571" s="174">
        <f>IFERROR(IF(AND(H1571&gt;0,E1571&gt;0),H1571/E1571,""),"")</f>
        <v/>
      </c>
      <c r="J1571" s="152">
        <f>IFERROR(VALUE(SUBSTITUTE(INDEX('04A_국토부원자료'!$A:$T,ROW()+1,MATCH("층",'04A_국토부원자료'!$A$4:$T$4,0)),",","")),"")</f>
        <v/>
      </c>
      <c r="K1571" s="152">
        <f>IFERROR(VALUE(SUBSTITUTE(INDEX('04A_국토부원자료'!$A:$T,ROW()+1,MATCH("건축년도",'04A_국토부원자료'!$A$4:$T$4,0)),",","")),"")</f>
        <v/>
      </c>
      <c r="L1571" s="176">
        <f>IFERROR(INDEX('04A_국토부원자료'!$A:$T,ROW()+1,MATCH("도로명",'04A_국토부원자료'!$A$4:$T$4,0)),"")</f>
        <v/>
      </c>
      <c r="M1571" s="48">
        <f>IFERROR(INDEX('04A_국토부원자료'!$A:$T,ROW()+1,MATCH("거래유형",'04A_국토부원자료'!$A$4:$T$4,0)),"")</f>
        <v/>
      </c>
      <c r="N1571" s="152">
        <f>IF(B1571="","",IF('02_대상물건입력'!B5="",1,IF(ISNUMBER(SEARCH('02_대상물건입력'!B5,B1571)),1,0)))</f>
        <v/>
      </c>
      <c r="O1571" s="152">
        <f>IF(B1571="","",IF('02_대상물건입력'!B6="",1,IF(ISNUMBER(SEARCH('02_대상물건입력'!B6,B1571)),1,0)))</f>
        <v/>
      </c>
      <c r="P1571" s="152">
        <f>IF(L1571="","",IF('02_대상물건입력'!B15="",0,IF(ISNUMBER(SEARCH('02_대상물건입력'!B15,L1571)),1,0)))</f>
        <v/>
      </c>
      <c r="Q1571" s="152">
        <f>IF(OR(C1571="",L1571=""),0,IF(AND(TRIM(C1571)=TRIM(RIGHT(SUBSTITUTE(TRIM('02_대상물건입력'!$B$7)," ",REPT(" ",99)),99)),IF('02_대상물건입력'!B15="",TRUE(),ISNUMBER(SEARCH('02_대상물건입력'!B15,L1571)))),1,0))</f>
        <v/>
      </c>
      <c r="R1571" s="175">
        <f>IFERROR(ABS(E1571-'02_대상물건입력'!B11)/'02_대상물건입력'!B11,"")</f>
        <v/>
      </c>
      <c r="S1571" s="152">
        <f>IFERROR(ABS(J1571-'02_대상물건입력'!B10),"")</f>
        <v/>
      </c>
      <c r="T1571" s="152">
        <f>IFERROR(ABS('01_설정'!B4-F1571),"")</f>
        <v/>
      </c>
      <c r="U1571" s="152">
        <f>IFERROR(ABS(K1571-YEAR('02_대상물건입력'!B14)),"")</f>
        <v/>
      </c>
      <c r="V1571" s="152">
        <f>IF(B1571="","",IF(AND(E1571&gt;0,F1571&gt;0,H1571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1571=1,TRUE()),R1571&lt;='01_설정'!B5,S1571&lt;='01_설정'!B6,T1571&lt;='01_설정'!B7,U1571&lt;='01_설정'!B8),"Y",""))</f>
        <v/>
      </c>
      <c r="W1571" s="172">
        <f>IF(V1571&lt;&gt;"Y","",MAX(0,(1-R1571/'01_설정'!B5))*'01_설정'!B14+MAX(0,(1-S1571/'01_설정'!B6))*'01_설정'!B15+MAX(0,(1-T1571/'01_설정'!B7))*'01_설정'!B16+MAX(0,(1-U1571/'01_설정'!B8))*'01_설정'!B17+O1571*'01_설정'!B11+Q1571*'01_설정'!B12+P1571*'01_설정'!B13+IF(Z1571="",0,Z1571))</f>
        <v/>
      </c>
      <c r="X1571" s="152">
        <f>IF(W1571="","",1+COUNTIFS($W$4:$W$3003,"&gt;"&amp;W1571)+COUNTIFS($W$4:W1571,W1571)-1)</f>
        <v/>
      </c>
      <c r="Y1571" s="175">
        <f>IF(OR(I1571="",'02_대상물건입력'!B19="",'02_대상물건입력'!B19&lt;=0),"",ABS(I1571-'02_대상물건입력'!B19)/'02_대상물건입력'!B19)</f>
        <v/>
      </c>
      <c r="Z1571" s="172">
        <f>IF(OR(Y1571="",'01_설정'!B31="",'01_설정'!B31&lt;=0,'01_설정'!B32="",'01_설정'!B32&lt;=0),"",MAX(0,(1-Y1571/'01_설정'!B32))*'01_설정'!B31)</f>
        <v/>
      </c>
    </row>
    <row r="1572" ht="17.25" customHeight="1">
      <c r="A1572" s="152">
        <f>IF(INDEX('04A_국토부원자료'!$A:$A,ROW()+1)="","",ROW()-3)</f>
        <v/>
      </c>
      <c r="B1572" s="48">
        <f>IFERROR(INDEX('04A_국토부원자료'!$A:$T,ROW()+1,MATCH("시군구",'04A_국토부원자료'!$A$4:$T$4,0)),"")</f>
        <v/>
      </c>
      <c r="C1572" s="48">
        <f>IF(B1572="","",IFERROR(INDEX('04A_국토부원자료'!$A:$T,ROW()+1,MATCH("번지",'04A_국토부원자료'!$A$4:$T$4,0)),""))</f>
        <v/>
      </c>
      <c r="D1572" s="48">
        <f>IF(B1572="","",IF(Q1572=1,'02_대상물건입력'!$B$8,IFERROR(INDEX('04A_국토부원자료'!$A:$T,ROW()+1,MATCH("단지명",'04A_국토부원자료'!$A$4:$T$4,0)),"")))</f>
        <v/>
      </c>
      <c r="E1572" s="172">
        <f>IFERROR(VALUE(SUBSTITUTE(INDEX('04A_국토부원자료'!$A:$T,ROW()+1,MATCH("전용면적(㎡)",'04A_국토부원자료'!$A$4:$T$4,0)),",","")),"")</f>
        <v/>
      </c>
      <c r="F15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72" s="51">
        <f>IFERROR(VALUE(SUBSTITUTE(INDEX('04A_국토부원자료'!$A:$T,ROW()+1,MATCH("거래금액(만원)",'04A_국토부원자료'!$A$4:$T$4,0)),",","")),"")</f>
        <v/>
      </c>
      <c r="H1572" s="174">
        <f>IF(G1572="","",G1572*10000)</f>
        <v/>
      </c>
      <c r="I1572" s="174">
        <f>IFERROR(IF(AND(H1572&gt;0,E1572&gt;0),H1572/E1572,""),"")</f>
        <v/>
      </c>
      <c r="J1572" s="152">
        <f>IFERROR(VALUE(SUBSTITUTE(INDEX('04A_국토부원자료'!$A:$T,ROW()+1,MATCH("층",'04A_국토부원자료'!$A$4:$T$4,0)),",","")),"")</f>
        <v/>
      </c>
      <c r="K1572" s="152">
        <f>IFERROR(VALUE(SUBSTITUTE(INDEX('04A_국토부원자료'!$A:$T,ROW()+1,MATCH("건축년도",'04A_국토부원자료'!$A$4:$T$4,0)),",","")),"")</f>
        <v/>
      </c>
      <c r="L1572" s="176">
        <f>IFERROR(INDEX('04A_국토부원자료'!$A:$T,ROW()+1,MATCH("도로명",'04A_국토부원자료'!$A$4:$T$4,0)),"")</f>
        <v/>
      </c>
      <c r="M1572" s="48">
        <f>IFERROR(INDEX('04A_국토부원자료'!$A:$T,ROW()+1,MATCH("거래유형",'04A_국토부원자료'!$A$4:$T$4,0)),"")</f>
        <v/>
      </c>
      <c r="N1572" s="152">
        <f>IF(B1572="","",IF('02_대상물건입력'!B5="",1,IF(ISNUMBER(SEARCH('02_대상물건입력'!B5,B1572)),1,0)))</f>
        <v/>
      </c>
      <c r="O1572" s="152">
        <f>IF(B1572="","",IF('02_대상물건입력'!B6="",1,IF(ISNUMBER(SEARCH('02_대상물건입력'!B6,B1572)),1,0)))</f>
        <v/>
      </c>
      <c r="P1572" s="152">
        <f>IF(L1572="","",IF('02_대상물건입력'!B15="",0,IF(ISNUMBER(SEARCH('02_대상물건입력'!B15,L1572)),1,0)))</f>
        <v/>
      </c>
      <c r="Q1572" s="152">
        <f>IF(OR(C1572="",L1572=""),0,IF(AND(TRIM(C1572)=TRIM(RIGHT(SUBSTITUTE(TRIM('02_대상물건입력'!$B$7)," ",REPT(" ",99)),99)),IF('02_대상물건입력'!B15="",TRUE(),ISNUMBER(SEARCH('02_대상물건입력'!B15,L1572)))),1,0))</f>
        <v/>
      </c>
      <c r="R1572" s="175">
        <f>IFERROR(ABS(E1572-'02_대상물건입력'!B11)/'02_대상물건입력'!B11,"")</f>
        <v/>
      </c>
      <c r="S1572" s="152">
        <f>IFERROR(ABS(J1572-'02_대상물건입력'!B10),"")</f>
        <v/>
      </c>
      <c r="T1572" s="152">
        <f>IFERROR(ABS('01_설정'!B4-F1572),"")</f>
        <v/>
      </c>
      <c r="U1572" s="152">
        <f>IFERROR(ABS(K1572-YEAR('02_대상물건입력'!B14)),"")</f>
        <v/>
      </c>
      <c r="V1572" s="152">
        <f>IF(B1572="","",IF(AND(E1572&gt;0,F1572&gt;0,H1572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1572=1,TRUE()),R1572&lt;='01_설정'!B5,S1572&lt;='01_설정'!B6,T1572&lt;='01_설정'!B7,U1572&lt;='01_설정'!B8),"Y",""))</f>
        <v/>
      </c>
      <c r="W1572" s="172">
        <f>IF(V1572&lt;&gt;"Y","",MAX(0,(1-R1572/'01_설정'!B5))*'01_설정'!B14+MAX(0,(1-S1572/'01_설정'!B6))*'01_설정'!B15+MAX(0,(1-T1572/'01_설정'!B7))*'01_설정'!B16+MAX(0,(1-U1572/'01_설정'!B8))*'01_설정'!B17+O1572*'01_설정'!B11+Q1572*'01_설정'!B12+P1572*'01_설정'!B13+IF(Z1572="",0,Z1572))</f>
        <v/>
      </c>
      <c r="X1572" s="152">
        <f>IF(W1572="","",1+COUNTIFS($W$4:$W$3003,"&gt;"&amp;W1572)+COUNTIFS($W$4:W1572,W1572)-1)</f>
        <v/>
      </c>
      <c r="Y1572" s="175">
        <f>IF(OR(I1572="",'02_대상물건입력'!B19="",'02_대상물건입력'!B19&lt;=0),"",ABS(I1572-'02_대상물건입력'!B19)/'02_대상물건입력'!B19)</f>
        <v/>
      </c>
      <c r="Z1572" s="172">
        <f>IF(OR(Y1572="",'01_설정'!B31="",'01_설정'!B31&lt;=0,'01_설정'!B32="",'01_설정'!B32&lt;=0),"",MAX(0,(1-Y1572/'01_설정'!B32))*'01_설정'!B31)</f>
        <v/>
      </c>
    </row>
    <row r="1573" ht="17.25" customHeight="1">
      <c r="A1573" s="152">
        <f>IF(INDEX('04A_국토부원자료'!$A:$A,ROW()+1)="","",ROW()-3)</f>
        <v/>
      </c>
      <c r="B1573" s="48">
        <f>IFERROR(INDEX('04A_국토부원자료'!$A:$T,ROW()+1,MATCH("시군구",'04A_국토부원자료'!$A$4:$T$4,0)),"")</f>
        <v/>
      </c>
      <c r="C1573" s="48">
        <f>IF(B1573="","",IFERROR(INDEX('04A_국토부원자료'!$A:$T,ROW()+1,MATCH("번지",'04A_국토부원자료'!$A$4:$T$4,0)),""))</f>
        <v/>
      </c>
      <c r="D1573" s="48">
        <f>IF(B1573="","",IF(Q1573=1,'02_대상물건입력'!$B$8,IFERROR(INDEX('04A_국토부원자료'!$A:$T,ROW()+1,MATCH("단지명",'04A_국토부원자료'!$A$4:$T$4,0)),"")))</f>
        <v/>
      </c>
      <c r="E1573" s="172">
        <f>IFERROR(VALUE(SUBSTITUTE(INDEX('04A_국토부원자료'!$A:$T,ROW()+1,MATCH("전용면적(㎡)",'04A_국토부원자료'!$A$4:$T$4,0)),",","")),"")</f>
        <v/>
      </c>
      <c r="F15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73" s="51">
        <f>IFERROR(VALUE(SUBSTITUTE(INDEX('04A_국토부원자료'!$A:$T,ROW()+1,MATCH("거래금액(만원)",'04A_국토부원자료'!$A$4:$T$4,0)),",","")),"")</f>
        <v/>
      </c>
      <c r="H1573" s="174">
        <f>IF(G1573="","",G1573*10000)</f>
        <v/>
      </c>
      <c r="I1573" s="174">
        <f>IFERROR(IF(AND(H1573&gt;0,E1573&gt;0),H1573/E1573,""),"")</f>
        <v/>
      </c>
      <c r="J1573" s="152">
        <f>IFERROR(VALUE(SUBSTITUTE(INDEX('04A_국토부원자료'!$A:$T,ROW()+1,MATCH("층",'04A_국토부원자료'!$A$4:$T$4,0)),",","")),"")</f>
        <v/>
      </c>
      <c r="K1573" s="152">
        <f>IFERROR(VALUE(SUBSTITUTE(INDEX('04A_국토부원자료'!$A:$T,ROW()+1,MATCH("건축년도",'04A_국토부원자료'!$A$4:$T$4,0)),",","")),"")</f>
        <v/>
      </c>
      <c r="L1573" s="176">
        <f>IFERROR(INDEX('04A_국토부원자료'!$A:$T,ROW()+1,MATCH("도로명",'04A_국토부원자료'!$A$4:$T$4,0)),"")</f>
        <v/>
      </c>
      <c r="M1573" s="48">
        <f>IFERROR(INDEX('04A_국토부원자료'!$A:$T,ROW()+1,MATCH("거래유형",'04A_국토부원자료'!$A$4:$T$4,0)),"")</f>
        <v/>
      </c>
      <c r="N1573" s="152">
        <f>IF(B1573="","",IF('02_대상물건입력'!B5="",1,IF(ISNUMBER(SEARCH('02_대상물건입력'!B5,B1573)),1,0)))</f>
        <v/>
      </c>
      <c r="O1573" s="152">
        <f>IF(B1573="","",IF('02_대상물건입력'!B6="",1,IF(ISNUMBER(SEARCH('02_대상물건입력'!B6,B1573)),1,0)))</f>
        <v/>
      </c>
      <c r="P1573" s="152">
        <f>IF(L1573="","",IF('02_대상물건입력'!B15="",0,IF(ISNUMBER(SEARCH('02_대상물건입력'!B15,L1573)),1,0)))</f>
        <v/>
      </c>
      <c r="Q1573" s="152">
        <f>IF(OR(C1573="",L1573=""),0,IF(AND(TRIM(C1573)=TRIM(RIGHT(SUBSTITUTE(TRIM('02_대상물건입력'!$B$7)," ",REPT(" ",99)),99)),IF('02_대상물건입력'!B15="",TRUE(),ISNUMBER(SEARCH('02_대상물건입력'!B15,L1573)))),1,0))</f>
        <v/>
      </c>
      <c r="R1573" s="175">
        <f>IFERROR(ABS(E1573-'02_대상물건입력'!B11)/'02_대상물건입력'!B11,"")</f>
        <v/>
      </c>
      <c r="S1573" s="152">
        <f>IFERROR(ABS(J1573-'02_대상물건입력'!B10),"")</f>
        <v/>
      </c>
      <c r="T1573" s="152">
        <f>IFERROR(ABS('01_설정'!B4-F1573),"")</f>
        <v/>
      </c>
      <c r="U1573" s="152">
        <f>IFERROR(ABS(K1573-YEAR('02_대상물건입력'!B14)),"")</f>
        <v/>
      </c>
      <c r="V1573" s="152">
        <f>IF(B1573="","",IF(AND(E1573&gt;0,F1573&gt;0,H1573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1573=1,TRUE()),R1573&lt;='01_설정'!B5,S1573&lt;='01_설정'!B6,T1573&lt;='01_설정'!B7,U1573&lt;='01_설정'!B8),"Y",""))</f>
        <v/>
      </c>
      <c r="W1573" s="172">
        <f>IF(V1573&lt;&gt;"Y","",MAX(0,(1-R1573/'01_설정'!B5))*'01_설정'!B14+MAX(0,(1-S1573/'01_설정'!B6))*'01_설정'!B15+MAX(0,(1-T1573/'01_설정'!B7))*'01_설정'!B16+MAX(0,(1-U1573/'01_설정'!B8))*'01_설정'!B17+O1573*'01_설정'!B11+Q1573*'01_설정'!B12+P1573*'01_설정'!B13+IF(Z1573="",0,Z1573))</f>
        <v/>
      </c>
      <c r="X1573" s="152">
        <f>IF(W1573="","",1+COUNTIFS($W$4:$W$3003,"&gt;"&amp;W1573)+COUNTIFS($W$4:W1573,W1573)-1)</f>
        <v/>
      </c>
      <c r="Y1573" s="175">
        <f>IF(OR(I1573="",'02_대상물건입력'!B19="",'02_대상물건입력'!B19&lt;=0),"",ABS(I1573-'02_대상물건입력'!B19)/'02_대상물건입력'!B19)</f>
        <v/>
      </c>
      <c r="Z1573" s="172">
        <f>IF(OR(Y1573="",'01_설정'!B31="",'01_설정'!B31&lt;=0,'01_설정'!B32="",'01_설정'!B32&lt;=0),"",MAX(0,(1-Y1573/'01_설정'!B32))*'01_설정'!B31)</f>
        <v/>
      </c>
    </row>
    <row r="1574" ht="17.25" customHeight="1">
      <c r="A1574" s="152">
        <f>IF(INDEX('04A_국토부원자료'!$A:$A,ROW()+1)="","",ROW()-3)</f>
        <v/>
      </c>
      <c r="B1574" s="48">
        <f>IFERROR(INDEX('04A_국토부원자료'!$A:$T,ROW()+1,MATCH("시군구",'04A_국토부원자료'!$A$4:$T$4,0)),"")</f>
        <v/>
      </c>
      <c r="C1574" s="48">
        <f>IF(B1574="","",IFERROR(INDEX('04A_국토부원자료'!$A:$T,ROW()+1,MATCH("번지",'04A_국토부원자료'!$A$4:$T$4,0)),""))</f>
        <v/>
      </c>
      <c r="D1574" s="48">
        <f>IF(B1574="","",IF(Q1574=1,'02_대상물건입력'!$B$8,IFERROR(INDEX('04A_국토부원자료'!$A:$T,ROW()+1,MATCH("단지명",'04A_국토부원자료'!$A$4:$T$4,0)),"")))</f>
        <v/>
      </c>
      <c r="E1574" s="172">
        <f>IFERROR(VALUE(SUBSTITUTE(INDEX('04A_국토부원자료'!$A:$T,ROW()+1,MATCH("전용면적(㎡)",'04A_국토부원자료'!$A$4:$T$4,0)),",","")),"")</f>
        <v/>
      </c>
      <c r="F15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74" s="51">
        <f>IFERROR(VALUE(SUBSTITUTE(INDEX('04A_국토부원자료'!$A:$T,ROW()+1,MATCH("거래금액(만원)",'04A_국토부원자료'!$A$4:$T$4,0)),",","")),"")</f>
        <v/>
      </c>
      <c r="H1574" s="174">
        <f>IF(G1574="","",G1574*10000)</f>
        <v/>
      </c>
      <c r="I1574" s="174">
        <f>IFERROR(IF(AND(H1574&gt;0,E1574&gt;0),H1574/E1574,""),"")</f>
        <v/>
      </c>
      <c r="J1574" s="152">
        <f>IFERROR(VALUE(SUBSTITUTE(INDEX('04A_국토부원자료'!$A:$T,ROW()+1,MATCH("층",'04A_국토부원자료'!$A$4:$T$4,0)),",","")),"")</f>
        <v/>
      </c>
      <c r="K1574" s="152">
        <f>IFERROR(VALUE(SUBSTITUTE(INDEX('04A_국토부원자료'!$A:$T,ROW()+1,MATCH("건축년도",'04A_국토부원자료'!$A$4:$T$4,0)),",","")),"")</f>
        <v/>
      </c>
      <c r="L1574" s="176">
        <f>IFERROR(INDEX('04A_국토부원자료'!$A:$T,ROW()+1,MATCH("도로명",'04A_국토부원자료'!$A$4:$T$4,0)),"")</f>
        <v/>
      </c>
      <c r="M1574" s="48">
        <f>IFERROR(INDEX('04A_국토부원자료'!$A:$T,ROW()+1,MATCH("거래유형",'04A_국토부원자료'!$A$4:$T$4,0)),"")</f>
        <v/>
      </c>
      <c r="N1574" s="152">
        <f>IF(B1574="","",IF('02_대상물건입력'!B5="",1,IF(ISNUMBER(SEARCH('02_대상물건입력'!B5,B1574)),1,0)))</f>
        <v/>
      </c>
      <c r="O1574" s="152">
        <f>IF(B1574="","",IF('02_대상물건입력'!B6="",1,IF(ISNUMBER(SEARCH('02_대상물건입력'!B6,B1574)),1,0)))</f>
        <v/>
      </c>
      <c r="P1574" s="152">
        <f>IF(L1574="","",IF('02_대상물건입력'!B15="",0,IF(ISNUMBER(SEARCH('02_대상물건입력'!B15,L1574)),1,0)))</f>
        <v/>
      </c>
      <c r="Q1574" s="152">
        <f>IF(OR(C1574="",L1574=""),0,IF(AND(TRIM(C1574)=TRIM(RIGHT(SUBSTITUTE(TRIM('02_대상물건입력'!$B$7)," ",REPT(" ",99)),99)),IF('02_대상물건입력'!B15="",TRUE(),ISNUMBER(SEARCH('02_대상물건입력'!B15,L1574)))),1,0))</f>
        <v/>
      </c>
      <c r="R1574" s="175">
        <f>IFERROR(ABS(E1574-'02_대상물건입력'!B11)/'02_대상물건입력'!B11,"")</f>
        <v/>
      </c>
      <c r="S1574" s="152">
        <f>IFERROR(ABS(J1574-'02_대상물건입력'!B10),"")</f>
        <v/>
      </c>
      <c r="T1574" s="152">
        <f>IFERROR(ABS('01_설정'!B4-F1574),"")</f>
        <v/>
      </c>
      <c r="U1574" s="152">
        <f>IFERROR(ABS(K1574-YEAR('02_대상물건입력'!B14)),"")</f>
        <v/>
      </c>
      <c r="V1574" s="152">
        <f>IF(B1574="","",IF(AND(E1574&gt;0,F1574&gt;0,H1574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1574=1,TRUE()),R1574&lt;='01_설정'!B5,S1574&lt;='01_설정'!B6,T1574&lt;='01_설정'!B7,U1574&lt;='01_설정'!B8),"Y",""))</f>
        <v/>
      </c>
      <c r="W1574" s="172">
        <f>IF(V1574&lt;&gt;"Y","",MAX(0,(1-R1574/'01_설정'!B5))*'01_설정'!B14+MAX(0,(1-S1574/'01_설정'!B6))*'01_설정'!B15+MAX(0,(1-T1574/'01_설정'!B7))*'01_설정'!B16+MAX(0,(1-U1574/'01_설정'!B8))*'01_설정'!B17+O1574*'01_설정'!B11+Q1574*'01_설정'!B12+P1574*'01_설정'!B13+IF(Z1574="",0,Z1574))</f>
        <v/>
      </c>
      <c r="X1574" s="152">
        <f>IF(W1574="","",1+COUNTIFS($W$4:$W$3003,"&gt;"&amp;W1574)+COUNTIFS($W$4:W1574,W1574)-1)</f>
        <v/>
      </c>
      <c r="Y1574" s="175">
        <f>IF(OR(I1574="",'02_대상물건입력'!B19="",'02_대상물건입력'!B19&lt;=0),"",ABS(I1574-'02_대상물건입력'!B19)/'02_대상물건입력'!B19)</f>
        <v/>
      </c>
      <c r="Z1574" s="172">
        <f>IF(OR(Y1574="",'01_설정'!B31="",'01_설정'!B31&lt;=0,'01_설정'!B32="",'01_설정'!B32&lt;=0),"",MAX(0,(1-Y1574/'01_설정'!B32))*'01_설정'!B31)</f>
        <v/>
      </c>
    </row>
    <row r="1575" ht="17.25" customHeight="1">
      <c r="A1575" s="152">
        <f>IF(INDEX('04A_국토부원자료'!$A:$A,ROW()+1)="","",ROW()-3)</f>
        <v/>
      </c>
      <c r="B1575" s="48">
        <f>IFERROR(INDEX('04A_국토부원자료'!$A:$T,ROW()+1,MATCH("시군구",'04A_국토부원자료'!$A$4:$T$4,0)),"")</f>
        <v/>
      </c>
      <c r="C1575" s="48">
        <f>IF(B1575="","",IFERROR(INDEX('04A_국토부원자료'!$A:$T,ROW()+1,MATCH("번지",'04A_국토부원자료'!$A$4:$T$4,0)),""))</f>
        <v/>
      </c>
      <c r="D1575" s="48">
        <f>IF(B1575="","",IF(Q1575=1,'02_대상물건입력'!$B$8,IFERROR(INDEX('04A_국토부원자료'!$A:$T,ROW()+1,MATCH("단지명",'04A_국토부원자료'!$A$4:$T$4,0)),"")))</f>
        <v/>
      </c>
      <c r="E1575" s="172">
        <f>IFERROR(VALUE(SUBSTITUTE(INDEX('04A_국토부원자료'!$A:$T,ROW()+1,MATCH("전용면적(㎡)",'04A_국토부원자료'!$A$4:$T$4,0)),",","")),"")</f>
        <v/>
      </c>
      <c r="F15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75" s="51">
        <f>IFERROR(VALUE(SUBSTITUTE(INDEX('04A_국토부원자료'!$A:$T,ROW()+1,MATCH("거래금액(만원)",'04A_국토부원자료'!$A$4:$T$4,0)),",","")),"")</f>
        <v/>
      </c>
      <c r="H1575" s="174">
        <f>IF(G1575="","",G1575*10000)</f>
        <v/>
      </c>
      <c r="I1575" s="174">
        <f>IFERROR(IF(AND(H1575&gt;0,E1575&gt;0),H1575/E1575,""),"")</f>
        <v/>
      </c>
      <c r="J1575" s="152">
        <f>IFERROR(VALUE(SUBSTITUTE(INDEX('04A_국토부원자료'!$A:$T,ROW()+1,MATCH("층",'04A_국토부원자료'!$A$4:$T$4,0)),",","")),"")</f>
        <v/>
      </c>
      <c r="K1575" s="152">
        <f>IFERROR(VALUE(SUBSTITUTE(INDEX('04A_국토부원자료'!$A:$T,ROW()+1,MATCH("건축년도",'04A_국토부원자료'!$A$4:$T$4,0)),",","")),"")</f>
        <v/>
      </c>
      <c r="L1575" s="176">
        <f>IFERROR(INDEX('04A_국토부원자료'!$A:$T,ROW()+1,MATCH("도로명",'04A_국토부원자료'!$A$4:$T$4,0)),"")</f>
        <v/>
      </c>
      <c r="M1575" s="48">
        <f>IFERROR(INDEX('04A_국토부원자료'!$A:$T,ROW()+1,MATCH("거래유형",'04A_국토부원자료'!$A$4:$T$4,0)),"")</f>
        <v/>
      </c>
      <c r="N1575" s="152">
        <f>IF(B1575="","",IF('02_대상물건입력'!B5="",1,IF(ISNUMBER(SEARCH('02_대상물건입력'!B5,B1575)),1,0)))</f>
        <v/>
      </c>
      <c r="O1575" s="152">
        <f>IF(B1575="","",IF('02_대상물건입력'!B6="",1,IF(ISNUMBER(SEARCH('02_대상물건입력'!B6,B1575)),1,0)))</f>
        <v/>
      </c>
      <c r="P1575" s="152">
        <f>IF(L1575="","",IF('02_대상물건입력'!B15="",0,IF(ISNUMBER(SEARCH('02_대상물건입력'!B15,L1575)),1,0)))</f>
        <v/>
      </c>
      <c r="Q1575" s="152">
        <f>IF(OR(C1575="",L1575=""),0,IF(AND(TRIM(C1575)=TRIM(RIGHT(SUBSTITUTE(TRIM('02_대상물건입력'!$B$7)," ",REPT(" ",99)),99)),IF('02_대상물건입력'!B15="",TRUE(),ISNUMBER(SEARCH('02_대상물건입력'!B15,L1575)))),1,0))</f>
        <v/>
      </c>
      <c r="R1575" s="175">
        <f>IFERROR(ABS(E1575-'02_대상물건입력'!B11)/'02_대상물건입력'!B11,"")</f>
        <v/>
      </c>
      <c r="S1575" s="152">
        <f>IFERROR(ABS(J1575-'02_대상물건입력'!B10),"")</f>
        <v/>
      </c>
      <c r="T1575" s="152">
        <f>IFERROR(ABS('01_설정'!B4-F1575),"")</f>
        <v/>
      </c>
      <c r="U1575" s="152">
        <f>IFERROR(ABS(K1575-YEAR('02_대상물건입력'!B14)),"")</f>
        <v/>
      </c>
      <c r="V1575" s="152">
        <f>IF(B1575="","",IF(AND(E1575&gt;0,F1575&gt;0,H1575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1575=1,TRUE()),R1575&lt;='01_설정'!B5,S1575&lt;='01_설정'!B6,T1575&lt;='01_설정'!B7,U1575&lt;='01_설정'!B8),"Y",""))</f>
        <v/>
      </c>
      <c r="W1575" s="172">
        <f>IF(V1575&lt;&gt;"Y","",MAX(0,(1-R1575/'01_설정'!B5))*'01_설정'!B14+MAX(0,(1-S1575/'01_설정'!B6))*'01_설정'!B15+MAX(0,(1-T1575/'01_설정'!B7))*'01_설정'!B16+MAX(0,(1-U1575/'01_설정'!B8))*'01_설정'!B17+O1575*'01_설정'!B11+Q1575*'01_설정'!B12+P1575*'01_설정'!B13+IF(Z1575="",0,Z1575))</f>
        <v/>
      </c>
      <c r="X1575" s="152">
        <f>IF(W1575="","",1+COUNTIFS($W$4:$W$3003,"&gt;"&amp;W1575)+COUNTIFS($W$4:W1575,W1575)-1)</f>
        <v/>
      </c>
      <c r="Y1575" s="175">
        <f>IF(OR(I1575="",'02_대상물건입력'!B19="",'02_대상물건입력'!B19&lt;=0),"",ABS(I1575-'02_대상물건입력'!B19)/'02_대상물건입력'!B19)</f>
        <v/>
      </c>
      <c r="Z1575" s="172">
        <f>IF(OR(Y1575="",'01_설정'!B31="",'01_설정'!B31&lt;=0,'01_설정'!B32="",'01_설정'!B32&lt;=0),"",MAX(0,(1-Y1575/'01_설정'!B32))*'01_설정'!B31)</f>
        <v/>
      </c>
    </row>
    <row r="1576" ht="17.25" customHeight="1">
      <c r="A1576" s="152">
        <f>IF(INDEX('04A_국토부원자료'!$A:$A,ROW()+1)="","",ROW()-3)</f>
        <v/>
      </c>
      <c r="B1576" s="48">
        <f>IFERROR(INDEX('04A_국토부원자료'!$A:$T,ROW()+1,MATCH("시군구",'04A_국토부원자료'!$A$4:$T$4,0)),"")</f>
        <v/>
      </c>
      <c r="C1576" s="48">
        <f>IF(B1576="","",IFERROR(INDEX('04A_국토부원자료'!$A:$T,ROW()+1,MATCH("번지",'04A_국토부원자료'!$A$4:$T$4,0)),""))</f>
        <v/>
      </c>
      <c r="D1576" s="48">
        <f>IF(B1576="","",IF(Q1576=1,'02_대상물건입력'!$B$8,IFERROR(INDEX('04A_국토부원자료'!$A:$T,ROW()+1,MATCH("단지명",'04A_국토부원자료'!$A$4:$T$4,0)),"")))</f>
        <v/>
      </c>
      <c r="E1576" s="172">
        <f>IFERROR(VALUE(SUBSTITUTE(INDEX('04A_국토부원자료'!$A:$T,ROW()+1,MATCH("전용면적(㎡)",'04A_국토부원자료'!$A$4:$T$4,0)),",","")),"")</f>
        <v/>
      </c>
      <c r="F15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76" s="51">
        <f>IFERROR(VALUE(SUBSTITUTE(INDEX('04A_국토부원자료'!$A:$T,ROW()+1,MATCH("거래금액(만원)",'04A_국토부원자료'!$A$4:$T$4,0)),",","")),"")</f>
        <v/>
      </c>
      <c r="H1576" s="174">
        <f>IF(G1576="","",G1576*10000)</f>
        <v/>
      </c>
      <c r="I1576" s="174">
        <f>IFERROR(IF(AND(H1576&gt;0,E1576&gt;0),H1576/E1576,""),"")</f>
        <v/>
      </c>
      <c r="J1576" s="152">
        <f>IFERROR(VALUE(SUBSTITUTE(INDEX('04A_국토부원자료'!$A:$T,ROW()+1,MATCH("층",'04A_국토부원자료'!$A$4:$T$4,0)),",","")),"")</f>
        <v/>
      </c>
      <c r="K1576" s="152">
        <f>IFERROR(VALUE(SUBSTITUTE(INDEX('04A_국토부원자료'!$A:$T,ROW()+1,MATCH("건축년도",'04A_국토부원자료'!$A$4:$T$4,0)),",","")),"")</f>
        <v/>
      </c>
      <c r="L1576" s="176">
        <f>IFERROR(INDEX('04A_국토부원자료'!$A:$T,ROW()+1,MATCH("도로명",'04A_국토부원자료'!$A$4:$T$4,0)),"")</f>
        <v/>
      </c>
      <c r="M1576" s="48">
        <f>IFERROR(INDEX('04A_국토부원자료'!$A:$T,ROW()+1,MATCH("거래유형",'04A_국토부원자료'!$A$4:$T$4,0)),"")</f>
        <v/>
      </c>
      <c r="N1576" s="152">
        <f>IF(B1576="","",IF('02_대상물건입력'!B5="",1,IF(ISNUMBER(SEARCH('02_대상물건입력'!B5,B1576)),1,0)))</f>
        <v/>
      </c>
      <c r="O1576" s="152">
        <f>IF(B1576="","",IF('02_대상물건입력'!B6="",1,IF(ISNUMBER(SEARCH('02_대상물건입력'!B6,B1576)),1,0)))</f>
        <v/>
      </c>
      <c r="P1576" s="152">
        <f>IF(L1576="","",IF('02_대상물건입력'!B15="",0,IF(ISNUMBER(SEARCH('02_대상물건입력'!B15,L1576)),1,0)))</f>
        <v/>
      </c>
      <c r="Q1576" s="152">
        <f>IF(OR(C1576="",L1576=""),0,IF(AND(TRIM(C1576)=TRIM(RIGHT(SUBSTITUTE(TRIM('02_대상물건입력'!$B$7)," ",REPT(" ",99)),99)),IF('02_대상물건입력'!B15="",TRUE(),ISNUMBER(SEARCH('02_대상물건입력'!B15,L1576)))),1,0))</f>
        <v/>
      </c>
      <c r="R1576" s="175">
        <f>IFERROR(ABS(E1576-'02_대상물건입력'!B11)/'02_대상물건입력'!B11,"")</f>
        <v/>
      </c>
      <c r="S1576" s="152">
        <f>IFERROR(ABS(J1576-'02_대상물건입력'!B10),"")</f>
        <v/>
      </c>
      <c r="T1576" s="152">
        <f>IFERROR(ABS('01_설정'!B4-F1576),"")</f>
        <v/>
      </c>
      <c r="U1576" s="152">
        <f>IFERROR(ABS(K1576-YEAR('02_대상물건입력'!B14)),"")</f>
        <v/>
      </c>
      <c r="V1576" s="152">
        <f>IF(B1576="","",IF(AND(E1576&gt;0,F1576&gt;0,H1576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1576=1,TRUE()),R1576&lt;='01_설정'!B5,S1576&lt;='01_설정'!B6,T1576&lt;='01_설정'!B7,U1576&lt;='01_설정'!B8),"Y",""))</f>
        <v/>
      </c>
      <c r="W1576" s="172">
        <f>IF(V1576&lt;&gt;"Y","",MAX(0,(1-R1576/'01_설정'!B5))*'01_설정'!B14+MAX(0,(1-S1576/'01_설정'!B6))*'01_설정'!B15+MAX(0,(1-T1576/'01_설정'!B7))*'01_설정'!B16+MAX(0,(1-U1576/'01_설정'!B8))*'01_설정'!B17+O1576*'01_설정'!B11+Q1576*'01_설정'!B12+P1576*'01_설정'!B13+IF(Z1576="",0,Z1576))</f>
        <v/>
      </c>
      <c r="X1576" s="152">
        <f>IF(W1576="","",1+COUNTIFS($W$4:$W$3003,"&gt;"&amp;W1576)+COUNTIFS($W$4:W1576,W1576)-1)</f>
        <v/>
      </c>
      <c r="Y1576" s="175">
        <f>IF(OR(I1576="",'02_대상물건입력'!B19="",'02_대상물건입력'!B19&lt;=0),"",ABS(I1576-'02_대상물건입력'!B19)/'02_대상물건입력'!B19)</f>
        <v/>
      </c>
      <c r="Z1576" s="172">
        <f>IF(OR(Y1576="",'01_설정'!B31="",'01_설정'!B31&lt;=0,'01_설정'!B32="",'01_설정'!B32&lt;=0),"",MAX(0,(1-Y1576/'01_설정'!B32))*'01_설정'!B31)</f>
        <v/>
      </c>
    </row>
    <row r="1577" ht="17.25" customHeight="1">
      <c r="A1577" s="152">
        <f>IF(INDEX('04A_국토부원자료'!$A:$A,ROW()+1)="","",ROW()-3)</f>
        <v/>
      </c>
      <c r="B1577" s="48">
        <f>IFERROR(INDEX('04A_국토부원자료'!$A:$T,ROW()+1,MATCH("시군구",'04A_국토부원자료'!$A$4:$T$4,0)),"")</f>
        <v/>
      </c>
      <c r="C1577" s="48">
        <f>IF(B1577="","",IFERROR(INDEX('04A_국토부원자료'!$A:$T,ROW()+1,MATCH("번지",'04A_국토부원자료'!$A$4:$T$4,0)),""))</f>
        <v/>
      </c>
      <c r="D1577" s="48">
        <f>IF(B1577="","",IF(Q1577=1,'02_대상물건입력'!$B$8,IFERROR(INDEX('04A_국토부원자료'!$A:$T,ROW()+1,MATCH("단지명",'04A_국토부원자료'!$A$4:$T$4,0)),"")))</f>
        <v/>
      </c>
      <c r="E1577" s="172">
        <f>IFERROR(VALUE(SUBSTITUTE(INDEX('04A_국토부원자료'!$A:$T,ROW()+1,MATCH("전용면적(㎡)",'04A_국토부원자료'!$A$4:$T$4,0)),",","")),"")</f>
        <v/>
      </c>
      <c r="F15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77" s="51">
        <f>IFERROR(VALUE(SUBSTITUTE(INDEX('04A_국토부원자료'!$A:$T,ROW()+1,MATCH("거래금액(만원)",'04A_국토부원자료'!$A$4:$T$4,0)),",","")),"")</f>
        <v/>
      </c>
      <c r="H1577" s="174">
        <f>IF(G1577="","",G1577*10000)</f>
        <v/>
      </c>
      <c r="I1577" s="174">
        <f>IFERROR(IF(AND(H1577&gt;0,E1577&gt;0),H1577/E1577,""),"")</f>
        <v/>
      </c>
      <c r="J1577" s="152">
        <f>IFERROR(VALUE(SUBSTITUTE(INDEX('04A_국토부원자료'!$A:$T,ROW()+1,MATCH("층",'04A_국토부원자료'!$A$4:$T$4,0)),",","")),"")</f>
        <v/>
      </c>
      <c r="K1577" s="152">
        <f>IFERROR(VALUE(SUBSTITUTE(INDEX('04A_국토부원자료'!$A:$T,ROW()+1,MATCH("건축년도",'04A_국토부원자료'!$A$4:$T$4,0)),",","")),"")</f>
        <v/>
      </c>
      <c r="L1577" s="176">
        <f>IFERROR(INDEX('04A_국토부원자료'!$A:$T,ROW()+1,MATCH("도로명",'04A_국토부원자료'!$A$4:$T$4,0)),"")</f>
        <v/>
      </c>
      <c r="M1577" s="48">
        <f>IFERROR(INDEX('04A_국토부원자료'!$A:$T,ROW()+1,MATCH("거래유형",'04A_국토부원자료'!$A$4:$T$4,0)),"")</f>
        <v/>
      </c>
      <c r="N1577" s="152">
        <f>IF(B1577="","",IF('02_대상물건입력'!B5="",1,IF(ISNUMBER(SEARCH('02_대상물건입력'!B5,B1577)),1,0)))</f>
        <v/>
      </c>
      <c r="O1577" s="152">
        <f>IF(B1577="","",IF('02_대상물건입력'!B6="",1,IF(ISNUMBER(SEARCH('02_대상물건입력'!B6,B1577)),1,0)))</f>
        <v/>
      </c>
      <c r="P1577" s="152">
        <f>IF(L1577="","",IF('02_대상물건입력'!B15="",0,IF(ISNUMBER(SEARCH('02_대상물건입력'!B15,L1577)),1,0)))</f>
        <v/>
      </c>
      <c r="Q1577" s="152">
        <f>IF(OR(C1577="",L1577=""),0,IF(AND(TRIM(C1577)=TRIM(RIGHT(SUBSTITUTE(TRIM('02_대상물건입력'!$B$7)," ",REPT(" ",99)),99)),IF('02_대상물건입력'!B15="",TRUE(),ISNUMBER(SEARCH('02_대상물건입력'!B15,L1577)))),1,0))</f>
        <v/>
      </c>
      <c r="R1577" s="175">
        <f>IFERROR(ABS(E1577-'02_대상물건입력'!B11)/'02_대상물건입력'!B11,"")</f>
        <v/>
      </c>
      <c r="S1577" s="152">
        <f>IFERROR(ABS(J1577-'02_대상물건입력'!B10),"")</f>
        <v/>
      </c>
      <c r="T1577" s="152">
        <f>IFERROR(ABS('01_설정'!B4-F1577),"")</f>
        <v/>
      </c>
      <c r="U1577" s="152">
        <f>IFERROR(ABS(K1577-YEAR('02_대상물건입력'!B14)),"")</f>
        <v/>
      </c>
      <c r="V1577" s="152">
        <f>IF(B1577="","",IF(AND(E1577&gt;0,F1577&gt;0,H1577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1577=1,TRUE()),R1577&lt;='01_설정'!B5,S1577&lt;='01_설정'!B6,T1577&lt;='01_설정'!B7,U1577&lt;='01_설정'!B8),"Y",""))</f>
        <v/>
      </c>
      <c r="W1577" s="172">
        <f>IF(V1577&lt;&gt;"Y","",MAX(0,(1-R1577/'01_설정'!B5))*'01_설정'!B14+MAX(0,(1-S1577/'01_설정'!B6))*'01_설정'!B15+MAX(0,(1-T1577/'01_설정'!B7))*'01_설정'!B16+MAX(0,(1-U1577/'01_설정'!B8))*'01_설정'!B17+O1577*'01_설정'!B11+Q1577*'01_설정'!B12+P1577*'01_설정'!B13+IF(Z1577="",0,Z1577))</f>
        <v/>
      </c>
      <c r="X1577" s="152">
        <f>IF(W1577="","",1+COUNTIFS($W$4:$W$3003,"&gt;"&amp;W1577)+COUNTIFS($W$4:W1577,W1577)-1)</f>
        <v/>
      </c>
      <c r="Y1577" s="175">
        <f>IF(OR(I1577="",'02_대상물건입력'!B19="",'02_대상물건입력'!B19&lt;=0),"",ABS(I1577-'02_대상물건입력'!B19)/'02_대상물건입력'!B19)</f>
        <v/>
      </c>
      <c r="Z1577" s="172">
        <f>IF(OR(Y1577="",'01_설정'!B31="",'01_설정'!B31&lt;=0,'01_설정'!B32="",'01_설정'!B32&lt;=0),"",MAX(0,(1-Y1577/'01_설정'!B32))*'01_설정'!B31)</f>
        <v/>
      </c>
    </row>
    <row r="1578" ht="17.25" customHeight="1">
      <c r="A1578" s="152">
        <f>IF(INDEX('04A_국토부원자료'!$A:$A,ROW()+1)="","",ROW()-3)</f>
        <v/>
      </c>
      <c r="B1578" s="48">
        <f>IFERROR(INDEX('04A_국토부원자료'!$A:$T,ROW()+1,MATCH("시군구",'04A_국토부원자료'!$A$4:$T$4,0)),"")</f>
        <v/>
      </c>
      <c r="C1578" s="48">
        <f>IF(B1578="","",IFERROR(INDEX('04A_국토부원자료'!$A:$T,ROW()+1,MATCH("번지",'04A_국토부원자료'!$A$4:$T$4,0)),""))</f>
        <v/>
      </c>
      <c r="D1578" s="48">
        <f>IF(B1578="","",IF(Q1578=1,'02_대상물건입력'!$B$8,IFERROR(INDEX('04A_국토부원자료'!$A:$T,ROW()+1,MATCH("단지명",'04A_국토부원자료'!$A$4:$T$4,0)),"")))</f>
        <v/>
      </c>
      <c r="E1578" s="172">
        <f>IFERROR(VALUE(SUBSTITUTE(INDEX('04A_국토부원자료'!$A:$T,ROW()+1,MATCH("전용면적(㎡)",'04A_국토부원자료'!$A$4:$T$4,0)),",","")),"")</f>
        <v/>
      </c>
      <c r="F15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78" s="51">
        <f>IFERROR(VALUE(SUBSTITUTE(INDEX('04A_국토부원자료'!$A:$T,ROW()+1,MATCH("거래금액(만원)",'04A_국토부원자료'!$A$4:$T$4,0)),",","")),"")</f>
        <v/>
      </c>
      <c r="H1578" s="174">
        <f>IF(G1578="","",G1578*10000)</f>
        <v/>
      </c>
      <c r="I1578" s="174">
        <f>IFERROR(IF(AND(H1578&gt;0,E1578&gt;0),H1578/E1578,""),"")</f>
        <v/>
      </c>
      <c r="J1578" s="152">
        <f>IFERROR(VALUE(SUBSTITUTE(INDEX('04A_국토부원자료'!$A:$T,ROW()+1,MATCH("층",'04A_국토부원자료'!$A$4:$T$4,0)),",","")),"")</f>
        <v/>
      </c>
      <c r="K1578" s="152">
        <f>IFERROR(VALUE(SUBSTITUTE(INDEX('04A_국토부원자료'!$A:$T,ROW()+1,MATCH("건축년도",'04A_국토부원자료'!$A$4:$T$4,0)),",","")),"")</f>
        <v/>
      </c>
      <c r="L1578" s="176">
        <f>IFERROR(INDEX('04A_국토부원자료'!$A:$T,ROW()+1,MATCH("도로명",'04A_국토부원자료'!$A$4:$T$4,0)),"")</f>
        <v/>
      </c>
      <c r="M1578" s="48">
        <f>IFERROR(INDEX('04A_국토부원자료'!$A:$T,ROW()+1,MATCH("거래유형",'04A_국토부원자료'!$A$4:$T$4,0)),"")</f>
        <v/>
      </c>
      <c r="N1578" s="152">
        <f>IF(B1578="","",IF('02_대상물건입력'!B5="",1,IF(ISNUMBER(SEARCH('02_대상물건입력'!B5,B1578)),1,0)))</f>
        <v/>
      </c>
      <c r="O1578" s="152">
        <f>IF(B1578="","",IF('02_대상물건입력'!B6="",1,IF(ISNUMBER(SEARCH('02_대상물건입력'!B6,B1578)),1,0)))</f>
        <v/>
      </c>
      <c r="P1578" s="152">
        <f>IF(L1578="","",IF('02_대상물건입력'!B15="",0,IF(ISNUMBER(SEARCH('02_대상물건입력'!B15,L1578)),1,0)))</f>
        <v/>
      </c>
      <c r="Q1578" s="152">
        <f>IF(OR(C1578="",L1578=""),0,IF(AND(TRIM(C1578)=TRIM(RIGHT(SUBSTITUTE(TRIM('02_대상물건입력'!$B$7)," ",REPT(" ",99)),99)),IF('02_대상물건입력'!B15="",TRUE(),ISNUMBER(SEARCH('02_대상물건입력'!B15,L1578)))),1,0))</f>
        <v/>
      </c>
      <c r="R1578" s="175">
        <f>IFERROR(ABS(E1578-'02_대상물건입력'!B11)/'02_대상물건입력'!B11,"")</f>
        <v/>
      </c>
      <c r="S1578" s="152">
        <f>IFERROR(ABS(J1578-'02_대상물건입력'!B10),"")</f>
        <v/>
      </c>
      <c r="T1578" s="152">
        <f>IFERROR(ABS('01_설정'!B4-F1578),"")</f>
        <v/>
      </c>
      <c r="U1578" s="152">
        <f>IFERROR(ABS(K1578-YEAR('02_대상물건입력'!B14)),"")</f>
        <v/>
      </c>
      <c r="V1578" s="152">
        <f>IF(B1578="","",IF(AND(E1578&gt;0,F1578&gt;0,H1578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1578=1,TRUE()),R1578&lt;='01_설정'!B5,S1578&lt;='01_설정'!B6,T1578&lt;='01_설정'!B7,U1578&lt;='01_설정'!B8),"Y",""))</f>
        <v/>
      </c>
      <c r="W1578" s="172">
        <f>IF(V1578&lt;&gt;"Y","",MAX(0,(1-R1578/'01_설정'!B5))*'01_설정'!B14+MAX(0,(1-S1578/'01_설정'!B6))*'01_설정'!B15+MAX(0,(1-T1578/'01_설정'!B7))*'01_설정'!B16+MAX(0,(1-U1578/'01_설정'!B8))*'01_설정'!B17+O1578*'01_설정'!B11+Q1578*'01_설정'!B12+P1578*'01_설정'!B13+IF(Z1578="",0,Z1578))</f>
        <v/>
      </c>
      <c r="X1578" s="152">
        <f>IF(W1578="","",1+COUNTIFS($W$4:$W$3003,"&gt;"&amp;W1578)+COUNTIFS($W$4:W1578,W1578)-1)</f>
        <v/>
      </c>
      <c r="Y1578" s="175">
        <f>IF(OR(I1578="",'02_대상물건입력'!B19="",'02_대상물건입력'!B19&lt;=0),"",ABS(I1578-'02_대상물건입력'!B19)/'02_대상물건입력'!B19)</f>
        <v/>
      </c>
      <c r="Z1578" s="172">
        <f>IF(OR(Y1578="",'01_설정'!B31="",'01_설정'!B31&lt;=0,'01_설정'!B32="",'01_설정'!B32&lt;=0),"",MAX(0,(1-Y1578/'01_설정'!B32))*'01_설정'!B31)</f>
        <v/>
      </c>
    </row>
    <row r="1579" ht="17.25" customHeight="1">
      <c r="A1579" s="152">
        <f>IF(INDEX('04A_국토부원자료'!$A:$A,ROW()+1)="","",ROW()-3)</f>
        <v/>
      </c>
      <c r="B1579" s="48">
        <f>IFERROR(INDEX('04A_국토부원자료'!$A:$T,ROW()+1,MATCH("시군구",'04A_국토부원자료'!$A$4:$T$4,0)),"")</f>
        <v/>
      </c>
      <c r="C1579" s="48">
        <f>IF(B1579="","",IFERROR(INDEX('04A_국토부원자료'!$A:$T,ROW()+1,MATCH("번지",'04A_국토부원자료'!$A$4:$T$4,0)),""))</f>
        <v/>
      </c>
      <c r="D1579" s="48">
        <f>IF(B1579="","",IF(Q1579=1,'02_대상물건입력'!$B$8,IFERROR(INDEX('04A_국토부원자료'!$A:$T,ROW()+1,MATCH("단지명",'04A_국토부원자료'!$A$4:$T$4,0)),"")))</f>
        <v/>
      </c>
      <c r="E1579" s="172">
        <f>IFERROR(VALUE(SUBSTITUTE(INDEX('04A_국토부원자료'!$A:$T,ROW()+1,MATCH("전용면적(㎡)",'04A_국토부원자료'!$A$4:$T$4,0)),",","")),"")</f>
        <v/>
      </c>
      <c r="F15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79" s="51">
        <f>IFERROR(VALUE(SUBSTITUTE(INDEX('04A_국토부원자료'!$A:$T,ROW()+1,MATCH("거래금액(만원)",'04A_국토부원자료'!$A$4:$T$4,0)),",","")),"")</f>
        <v/>
      </c>
      <c r="H1579" s="174">
        <f>IF(G1579="","",G1579*10000)</f>
        <v/>
      </c>
      <c r="I1579" s="174">
        <f>IFERROR(IF(AND(H1579&gt;0,E1579&gt;0),H1579/E1579,""),"")</f>
        <v/>
      </c>
      <c r="J1579" s="152">
        <f>IFERROR(VALUE(SUBSTITUTE(INDEX('04A_국토부원자료'!$A:$T,ROW()+1,MATCH("층",'04A_국토부원자료'!$A$4:$T$4,0)),",","")),"")</f>
        <v/>
      </c>
      <c r="K1579" s="152">
        <f>IFERROR(VALUE(SUBSTITUTE(INDEX('04A_국토부원자료'!$A:$T,ROW()+1,MATCH("건축년도",'04A_국토부원자료'!$A$4:$T$4,0)),",","")),"")</f>
        <v/>
      </c>
      <c r="L1579" s="176">
        <f>IFERROR(INDEX('04A_국토부원자료'!$A:$T,ROW()+1,MATCH("도로명",'04A_국토부원자료'!$A$4:$T$4,0)),"")</f>
        <v/>
      </c>
      <c r="M1579" s="48">
        <f>IFERROR(INDEX('04A_국토부원자료'!$A:$T,ROW()+1,MATCH("거래유형",'04A_국토부원자료'!$A$4:$T$4,0)),"")</f>
        <v/>
      </c>
      <c r="N1579" s="152">
        <f>IF(B1579="","",IF('02_대상물건입력'!B5="",1,IF(ISNUMBER(SEARCH('02_대상물건입력'!B5,B1579)),1,0)))</f>
        <v/>
      </c>
      <c r="O1579" s="152">
        <f>IF(B1579="","",IF('02_대상물건입력'!B6="",1,IF(ISNUMBER(SEARCH('02_대상물건입력'!B6,B1579)),1,0)))</f>
        <v/>
      </c>
      <c r="P1579" s="152">
        <f>IF(L1579="","",IF('02_대상물건입력'!B15="",0,IF(ISNUMBER(SEARCH('02_대상물건입력'!B15,L1579)),1,0)))</f>
        <v/>
      </c>
      <c r="Q1579" s="152">
        <f>IF(OR(C1579="",L1579=""),0,IF(AND(TRIM(C1579)=TRIM(RIGHT(SUBSTITUTE(TRIM('02_대상물건입력'!$B$7)," ",REPT(" ",99)),99)),IF('02_대상물건입력'!B15="",TRUE(),ISNUMBER(SEARCH('02_대상물건입력'!B15,L1579)))),1,0))</f>
        <v/>
      </c>
      <c r="R1579" s="175">
        <f>IFERROR(ABS(E1579-'02_대상물건입력'!B11)/'02_대상물건입력'!B11,"")</f>
        <v/>
      </c>
      <c r="S1579" s="152">
        <f>IFERROR(ABS(J1579-'02_대상물건입력'!B10),"")</f>
        <v/>
      </c>
      <c r="T1579" s="152">
        <f>IFERROR(ABS('01_설정'!B4-F1579),"")</f>
        <v/>
      </c>
      <c r="U1579" s="152">
        <f>IFERROR(ABS(K1579-YEAR('02_대상물건입력'!B14)),"")</f>
        <v/>
      </c>
      <c r="V1579" s="152">
        <f>IF(B1579="","",IF(AND(E1579&gt;0,F1579&gt;0,H1579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1579=1,TRUE()),R1579&lt;='01_설정'!B5,S1579&lt;='01_설정'!B6,T1579&lt;='01_설정'!B7,U1579&lt;='01_설정'!B8),"Y",""))</f>
        <v/>
      </c>
      <c r="W1579" s="172">
        <f>IF(V1579&lt;&gt;"Y","",MAX(0,(1-R1579/'01_설정'!B5))*'01_설정'!B14+MAX(0,(1-S1579/'01_설정'!B6))*'01_설정'!B15+MAX(0,(1-T1579/'01_설정'!B7))*'01_설정'!B16+MAX(0,(1-U1579/'01_설정'!B8))*'01_설정'!B17+O1579*'01_설정'!B11+Q1579*'01_설정'!B12+P1579*'01_설정'!B13+IF(Z1579="",0,Z1579))</f>
        <v/>
      </c>
      <c r="X1579" s="152">
        <f>IF(W1579="","",1+COUNTIFS($W$4:$W$3003,"&gt;"&amp;W1579)+COUNTIFS($W$4:W1579,W1579)-1)</f>
        <v/>
      </c>
      <c r="Y1579" s="175">
        <f>IF(OR(I1579="",'02_대상물건입력'!B19="",'02_대상물건입력'!B19&lt;=0),"",ABS(I1579-'02_대상물건입력'!B19)/'02_대상물건입력'!B19)</f>
        <v/>
      </c>
      <c r="Z1579" s="172">
        <f>IF(OR(Y1579="",'01_설정'!B31="",'01_설정'!B31&lt;=0,'01_설정'!B32="",'01_설정'!B32&lt;=0),"",MAX(0,(1-Y1579/'01_설정'!B32))*'01_설정'!B31)</f>
        <v/>
      </c>
    </row>
    <row r="1580" ht="17.25" customHeight="1">
      <c r="A1580" s="152">
        <f>IF(INDEX('04A_국토부원자료'!$A:$A,ROW()+1)="","",ROW()-3)</f>
        <v/>
      </c>
      <c r="B1580" s="48">
        <f>IFERROR(INDEX('04A_국토부원자료'!$A:$T,ROW()+1,MATCH("시군구",'04A_국토부원자료'!$A$4:$T$4,0)),"")</f>
        <v/>
      </c>
      <c r="C1580" s="48">
        <f>IF(B1580="","",IFERROR(INDEX('04A_국토부원자료'!$A:$T,ROW()+1,MATCH("번지",'04A_국토부원자료'!$A$4:$T$4,0)),""))</f>
        <v/>
      </c>
      <c r="D1580" s="48">
        <f>IF(B1580="","",IF(Q1580=1,'02_대상물건입력'!$B$8,IFERROR(INDEX('04A_국토부원자료'!$A:$T,ROW()+1,MATCH("단지명",'04A_국토부원자료'!$A$4:$T$4,0)),"")))</f>
        <v/>
      </c>
      <c r="E1580" s="172">
        <f>IFERROR(VALUE(SUBSTITUTE(INDEX('04A_국토부원자료'!$A:$T,ROW()+1,MATCH("전용면적(㎡)",'04A_국토부원자료'!$A$4:$T$4,0)),",","")),"")</f>
        <v/>
      </c>
      <c r="F15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80" s="51">
        <f>IFERROR(VALUE(SUBSTITUTE(INDEX('04A_국토부원자료'!$A:$T,ROW()+1,MATCH("거래금액(만원)",'04A_국토부원자료'!$A$4:$T$4,0)),",","")),"")</f>
        <v/>
      </c>
      <c r="H1580" s="174">
        <f>IF(G1580="","",G1580*10000)</f>
        <v/>
      </c>
      <c r="I1580" s="174">
        <f>IFERROR(IF(AND(H1580&gt;0,E1580&gt;0),H1580/E1580,""),"")</f>
        <v/>
      </c>
      <c r="J1580" s="152">
        <f>IFERROR(VALUE(SUBSTITUTE(INDEX('04A_국토부원자료'!$A:$T,ROW()+1,MATCH("층",'04A_국토부원자료'!$A$4:$T$4,0)),",","")),"")</f>
        <v/>
      </c>
      <c r="K1580" s="152">
        <f>IFERROR(VALUE(SUBSTITUTE(INDEX('04A_국토부원자료'!$A:$T,ROW()+1,MATCH("건축년도",'04A_국토부원자료'!$A$4:$T$4,0)),",","")),"")</f>
        <v/>
      </c>
      <c r="L1580" s="176">
        <f>IFERROR(INDEX('04A_국토부원자료'!$A:$T,ROW()+1,MATCH("도로명",'04A_국토부원자료'!$A$4:$T$4,0)),"")</f>
        <v/>
      </c>
      <c r="M1580" s="48">
        <f>IFERROR(INDEX('04A_국토부원자료'!$A:$T,ROW()+1,MATCH("거래유형",'04A_국토부원자료'!$A$4:$T$4,0)),"")</f>
        <v/>
      </c>
      <c r="N1580" s="152">
        <f>IF(B1580="","",IF('02_대상물건입력'!B5="",1,IF(ISNUMBER(SEARCH('02_대상물건입력'!B5,B1580)),1,0)))</f>
        <v/>
      </c>
      <c r="O1580" s="152">
        <f>IF(B1580="","",IF('02_대상물건입력'!B6="",1,IF(ISNUMBER(SEARCH('02_대상물건입력'!B6,B1580)),1,0)))</f>
        <v/>
      </c>
      <c r="P1580" s="152">
        <f>IF(L1580="","",IF('02_대상물건입력'!B15="",0,IF(ISNUMBER(SEARCH('02_대상물건입력'!B15,L1580)),1,0)))</f>
        <v/>
      </c>
      <c r="Q1580" s="152">
        <f>IF(OR(C1580="",L1580=""),0,IF(AND(TRIM(C1580)=TRIM(RIGHT(SUBSTITUTE(TRIM('02_대상물건입력'!$B$7)," ",REPT(" ",99)),99)),IF('02_대상물건입력'!B15="",TRUE(),ISNUMBER(SEARCH('02_대상물건입력'!B15,L1580)))),1,0))</f>
        <v/>
      </c>
      <c r="R1580" s="175">
        <f>IFERROR(ABS(E1580-'02_대상물건입력'!B11)/'02_대상물건입력'!B11,"")</f>
        <v/>
      </c>
      <c r="S1580" s="152">
        <f>IFERROR(ABS(J1580-'02_대상물건입력'!B10),"")</f>
        <v/>
      </c>
      <c r="T1580" s="152">
        <f>IFERROR(ABS('01_설정'!B4-F1580),"")</f>
        <v/>
      </c>
      <c r="U1580" s="152">
        <f>IFERROR(ABS(K1580-YEAR('02_대상물건입력'!B14)),"")</f>
        <v/>
      </c>
      <c r="V1580" s="152">
        <f>IF(B1580="","",IF(AND(E1580&gt;0,F1580&gt;0,H1580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1580=1,TRUE()),R1580&lt;='01_설정'!B5,S1580&lt;='01_설정'!B6,T1580&lt;='01_설정'!B7,U1580&lt;='01_설정'!B8),"Y",""))</f>
        <v/>
      </c>
      <c r="W1580" s="172">
        <f>IF(V1580&lt;&gt;"Y","",MAX(0,(1-R1580/'01_설정'!B5))*'01_설정'!B14+MAX(0,(1-S1580/'01_설정'!B6))*'01_설정'!B15+MAX(0,(1-T1580/'01_설정'!B7))*'01_설정'!B16+MAX(0,(1-U1580/'01_설정'!B8))*'01_설정'!B17+O1580*'01_설정'!B11+Q1580*'01_설정'!B12+P1580*'01_설정'!B13+IF(Z1580="",0,Z1580))</f>
        <v/>
      </c>
      <c r="X1580" s="152">
        <f>IF(W1580="","",1+COUNTIFS($W$4:$W$3003,"&gt;"&amp;W1580)+COUNTIFS($W$4:W1580,W1580)-1)</f>
        <v/>
      </c>
      <c r="Y1580" s="175">
        <f>IF(OR(I1580="",'02_대상물건입력'!B19="",'02_대상물건입력'!B19&lt;=0),"",ABS(I1580-'02_대상물건입력'!B19)/'02_대상물건입력'!B19)</f>
        <v/>
      </c>
      <c r="Z1580" s="172">
        <f>IF(OR(Y1580="",'01_설정'!B31="",'01_설정'!B31&lt;=0,'01_설정'!B32="",'01_설정'!B32&lt;=0),"",MAX(0,(1-Y1580/'01_설정'!B32))*'01_설정'!B31)</f>
        <v/>
      </c>
    </row>
    <row r="1581" ht="17.25" customHeight="1">
      <c r="A1581" s="152">
        <f>IF(INDEX('04A_국토부원자료'!$A:$A,ROW()+1)="","",ROW()-3)</f>
        <v/>
      </c>
      <c r="B1581" s="48">
        <f>IFERROR(INDEX('04A_국토부원자료'!$A:$T,ROW()+1,MATCH("시군구",'04A_국토부원자료'!$A$4:$T$4,0)),"")</f>
        <v/>
      </c>
      <c r="C1581" s="48">
        <f>IF(B1581="","",IFERROR(INDEX('04A_국토부원자료'!$A:$T,ROW()+1,MATCH("번지",'04A_국토부원자료'!$A$4:$T$4,0)),""))</f>
        <v/>
      </c>
      <c r="D1581" s="48">
        <f>IF(B1581="","",IF(Q1581=1,'02_대상물건입력'!$B$8,IFERROR(INDEX('04A_국토부원자료'!$A:$T,ROW()+1,MATCH("단지명",'04A_국토부원자료'!$A$4:$T$4,0)),"")))</f>
        <v/>
      </c>
      <c r="E1581" s="172">
        <f>IFERROR(VALUE(SUBSTITUTE(INDEX('04A_국토부원자료'!$A:$T,ROW()+1,MATCH("전용면적(㎡)",'04A_국토부원자료'!$A$4:$T$4,0)),",","")),"")</f>
        <v/>
      </c>
      <c r="F15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81" s="51">
        <f>IFERROR(VALUE(SUBSTITUTE(INDEX('04A_국토부원자료'!$A:$T,ROW()+1,MATCH("거래금액(만원)",'04A_국토부원자료'!$A$4:$T$4,0)),",","")),"")</f>
        <v/>
      </c>
      <c r="H1581" s="174">
        <f>IF(G1581="","",G1581*10000)</f>
        <v/>
      </c>
      <c r="I1581" s="174">
        <f>IFERROR(IF(AND(H1581&gt;0,E1581&gt;0),H1581/E1581,""),"")</f>
        <v/>
      </c>
      <c r="J1581" s="152">
        <f>IFERROR(VALUE(SUBSTITUTE(INDEX('04A_국토부원자료'!$A:$T,ROW()+1,MATCH("층",'04A_국토부원자료'!$A$4:$T$4,0)),",","")),"")</f>
        <v/>
      </c>
      <c r="K1581" s="152">
        <f>IFERROR(VALUE(SUBSTITUTE(INDEX('04A_국토부원자료'!$A:$T,ROW()+1,MATCH("건축년도",'04A_국토부원자료'!$A$4:$T$4,0)),",","")),"")</f>
        <v/>
      </c>
      <c r="L1581" s="176">
        <f>IFERROR(INDEX('04A_국토부원자료'!$A:$T,ROW()+1,MATCH("도로명",'04A_국토부원자료'!$A$4:$T$4,0)),"")</f>
        <v/>
      </c>
      <c r="M1581" s="48">
        <f>IFERROR(INDEX('04A_국토부원자료'!$A:$T,ROW()+1,MATCH("거래유형",'04A_국토부원자료'!$A$4:$T$4,0)),"")</f>
        <v/>
      </c>
      <c r="N1581" s="152">
        <f>IF(B1581="","",IF('02_대상물건입력'!B5="",1,IF(ISNUMBER(SEARCH('02_대상물건입력'!B5,B1581)),1,0)))</f>
        <v/>
      </c>
      <c r="O1581" s="152">
        <f>IF(B1581="","",IF('02_대상물건입력'!B6="",1,IF(ISNUMBER(SEARCH('02_대상물건입력'!B6,B1581)),1,0)))</f>
        <v/>
      </c>
      <c r="P1581" s="152">
        <f>IF(L1581="","",IF('02_대상물건입력'!B15="",0,IF(ISNUMBER(SEARCH('02_대상물건입력'!B15,L1581)),1,0)))</f>
        <v/>
      </c>
      <c r="Q1581" s="152">
        <f>IF(OR(C1581="",L1581=""),0,IF(AND(TRIM(C1581)=TRIM(RIGHT(SUBSTITUTE(TRIM('02_대상물건입력'!$B$7)," ",REPT(" ",99)),99)),IF('02_대상물건입력'!B15="",TRUE(),ISNUMBER(SEARCH('02_대상물건입력'!B15,L1581)))),1,0))</f>
        <v/>
      </c>
      <c r="R1581" s="175">
        <f>IFERROR(ABS(E1581-'02_대상물건입력'!B11)/'02_대상물건입력'!B11,"")</f>
        <v/>
      </c>
      <c r="S1581" s="152">
        <f>IFERROR(ABS(J1581-'02_대상물건입력'!B10),"")</f>
        <v/>
      </c>
      <c r="T1581" s="152">
        <f>IFERROR(ABS('01_설정'!B4-F1581),"")</f>
        <v/>
      </c>
      <c r="U1581" s="152">
        <f>IFERROR(ABS(K1581-YEAR('02_대상물건입력'!B14)),"")</f>
        <v/>
      </c>
      <c r="V1581" s="152">
        <f>IF(B1581="","",IF(AND(E1581&gt;0,F1581&gt;0,H1581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1581=1,TRUE()),R1581&lt;='01_설정'!B5,S1581&lt;='01_설정'!B6,T1581&lt;='01_설정'!B7,U1581&lt;='01_설정'!B8),"Y",""))</f>
        <v/>
      </c>
      <c r="W1581" s="172">
        <f>IF(V1581&lt;&gt;"Y","",MAX(0,(1-R1581/'01_설정'!B5))*'01_설정'!B14+MAX(0,(1-S1581/'01_설정'!B6))*'01_설정'!B15+MAX(0,(1-T1581/'01_설정'!B7))*'01_설정'!B16+MAX(0,(1-U1581/'01_설정'!B8))*'01_설정'!B17+O1581*'01_설정'!B11+Q1581*'01_설정'!B12+P1581*'01_설정'!B13+IF(Z1581="",0,Z1581))</f>
        <v/>
      </c>
      <c r="X1581" s="152">
        <f>IF(W1581="","",1+COUNTIFS($W$4:$W$3003,"&gt;"&amp;W1581)+COUNTIFS($W$4:W1581,W1581)-1)</f>
        <v/>
      </c>
      <c r="Y1581" s="175">
        <f>IF(OR(I1581="",'02_대상물건입력'!B19="",'02_대상물건입력'!B19&lt;=0),"",ABS(I1581-'02_대상물건입력'!B19)/'02_대상물건입력'!B19)</f>
        <v/>
      </c>
      <c r="Z1581" s="172">
        <f>IF(OR(Y1581="",'01_설정'!B31="",'01_설정'!B31&lt;=0,'01_설정'!B32="",'01_설정'!B32&lt;=0),"",MAX(0,(1-Y1581/'01_설정'!B32))*'01_설정'!B31)</f>
        <v/>
      </c>
    </row>
    <row r="1582" ht="17.25" customHeight="1">
      <c r="A1582" s="152">
        <f>IF(INDEX('04A_국토부원자료'!$A:$A,ROW()+1)="","",ROW()-3)</f>
        <v/>
      </c>
      <c r="B1582" s="48">
        <f>IFERROR(INDEX('04A_국토부원자료'!$A:$T,ROW()+1,MATCH("시군구",'04A_국토부원자료'!$A$4:$T$4,0)),"")</f>
        <v/>
      </c>
      <c r="C1582" s="48">
        <f>IF(B1582="","",IFERROR(INDEX('04A_국토부원자료'!$A:$T,ROW()+1,MATCH("번지",'04A_국토부원자료'!$A$4:$T$4,0)),""))</f>
        <v/>
      </c>
      <c r="D1582" s="48">
        <f>IF(B1582="","",IF(Q1582=1,'02_대상물건입력'!$B$8,IFERROR(INDEX('04A_국토부원자료'!$A:$T,ROW()+1,MATCH("단지명",'04A_국토부원자료'!$A$4:$T$4,0)),"")))</f>
        <v/>
      </c>
      <c r="E1582" s="172">
        <f>IFERROR(VALUE(SUBSTITUTE(INDEX('04A_국토부원자료'!$A:$T,ROW()+1,MATCH("전용면적(㎡)",'04A_국토부원자료'!$A$4:$T$4,0)),",","")),"")</f>
        <v/>
      </c>
      <c r="F15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82" s="51">
        <f>IFERROR(VALUE(SUBSTITUTE(INDEX('04A_국토부원자료'!$A:$T,ROW()+1,MATCH("거래금액(만원)",'04A_국토부원자료'!$A$4:$T$4,0)),",","")),"")</f>
        <v/>
      </c>
      <c r="H1582" s="174">
        <f>IF(G1582="","",G1582*10000)</f>
        <v/>
      </c>
      <c r="I1582" s="174">
        <f>IFERROR(IF(AND(H1582&gt;0,E1582&gt;0),H1582/E1582,""),"")</f>
        <v/>
      </c>
      <c r="J1582" s="152">
        <f>IFERROR(VALUE(SUBSTITUTE(INDEX('04A_국토부원자료'!$A:$T,ROW()+1,MATCH("층",'04A_국토부원자료'!$A$4:$T$4,0)),",","")),"")</f>
        <v/>
      </c>
      <c r="K1582" s="152">
        <f>IFERROR(VALUE(SUBSTITUTE(INDEX('04A_국토부원자료'!$A:$T,ROW()+1,MATCH("건축년도",'04A_국토부원자료'!$A$4:$T$4,0)),",","")),"")</f>
        <v/>
      </c>
      <c r="L1582" s="176">
        <f>IFERROR(INDEX('04A_국토부원자료'!$A:$T,ROW()+1,MATCH("도로명",'04A_국토부원자료'!$A$4:$T$4,0)),"")</f>
        <v/>
      </c>
      <c r="M1582" s="48">
        <f>IFERROR(INDEX('04A_국토부원자료'!$A:$T,ROW()+1,MATCH("거래유형",'04A_국토부원자료'!$A$4:$T$4,0)),"")</f>
        <v/>
      </c>
      <c r="N1582" s="152">
        <f>IF(B1582="","",IF('02_대상물건입력'!B5="",1,IF(ISNUMBER(SEARCH('02_대상물건입력'!B5,B1582)),1,0)))</f>
        <v/>
      </c>
      <c r="O1582" s="152">
        <f>IF(B1582="","",IF('02_대상물건입력'!B6="",1,IF(ISNUMBER(SEARCH('02_대상물건입력'!B6,B1582)),1,0)))</f>
        <v/>
      </c>
      <c r="P1582" s="152">
        <f>IF(L1582="","",IF('02_대상물건입력'!B15="",0,IF(ISNUMBER(SEARCH('02_대상물건입력'!B15,L1582)),1,0)))</f>
        <v/>
      </c>
      <c r="Q1582" s="152">
        <f>IF(OR(C1582="",L1582=""),0,IF(AND(TRIM(C1582)=TRIM(RIGHT(SUBSTITUTE(TRIM('02_대상물건입력'!$B$7)," ",REPT(" ",99)),99)),IF('02_대상물건입력'!B15="",TRUE(),ISNUMBER(SEARCH('02_대상물건입력'!B15,L1582)))),1,0))</f>
        <v/>
      </c>
      <c r="R1582" s="175">
        <f>IFERROR(ABS(E1582-'02_대상물건입력'!B11)/'02_대상물건입력'!B11,"")</f>
        <v/>
      </c>
      <c r="S1582" s="152">
        <f>IFERROR(ABS(J1582-'02_대상물건입력'!B10),"")</f>
        <v/>
      </c>
      <c r="T1582" s="152">
        <f>IFERROR(ABS('01_설정'!B4-F1582),"")</f>
        <v/>
      </c>
      <c r="U1582" s="152">
        <f>IFERROR(ABS(K1582-YEAR('02_대상물건입력'!B14)),"")</f>
        <v/>
      </c>
      <c r="V1582" s="152">
        <f>IF(B1582="","",IF(AND(E1582&gt;0,F1582&gt;0,H1582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1582=1,TRUE()),R1582&lt;='01_설정'!B5,S1582&lt;='01_설정'!B6,T1582&lt;='01_설정'!B7,U1582&lt;='01_설정'!B8),"Y",""))</f>
        <v/>
      </c>
      <c r="W1582" s="172">
        <f>IF(V1582&lt;&gt;"Y","",MAX(0,(1-R1582/'01_설정'!B5))*'01_설정'!B14+MAX(0,(1-S1582/'01_설정'!B6))*'01_설정'!B15+MAX(0,(1-T1582/'01_설정'!B7))*'01_설정'!B16+MAX(0,(1-U1582/'01_설정'!B8))*'01_설정'!B17+O1582*'01_설정'!B11+Q1582*'01_설정'!B12+P1582*'01_설정'!B13+IF(Z1582="",0,Z1582))</f>
        <v/>
      </c>
      <c r="X1582" s="152">
        <f>IF(W1582="","",1+COUNTIFS($W$4:$W$3003,"&gt;"&amp;W1582)+COUNTIFS($W$4:W1582,W1582)-1)</f>
        <v/>
      </c>
      <c r="Y1582" s="175">
        <f>IF(OR(I1582="",'02_대상물건입력'!B19="",'02_대상물건입력'!B19&lt;=0),"",ABS(I1582-'02_대상물건입력'!B19)/'02_대상물건입력'!B19)</f>
        <v/>
      </c>
      <c r="Z1582" s="172">
        <f>IF(OR(Y1582="",'01_설정'!B31="",'01_설정'!B31&lt;=0,'01_설정'!B32="",'01_설정'!B32&lt;=0),"",MAX(0,(1-Y1582/'01_설정'!B32))*'01_설정'!B31)</f>
        <v/>
      </c>
    </row>
    <row r="1583" ht="17.25" customHeight="1">
      <c r="A1583" s="152">
        <f>IF(INDEX('04A_국토부원자료'!$A:$A,ROW()+1)="","",ROW()-3)</f>
        <v/>
      </c>
      <c r="B1583" s="48">
        <f>IFERROR(INDEX('04A_국토부원자료'!$A:$T,ROW()+1,MATCH("시군구",'04A_국토부원자료'!$A$4:$T$4,0)),"")</f>
        <v/>
      </c>
      <c r="C1583" s="48">
        <f>IF(B1583="","",IFERROR(INDEX('04A_국토부원자료'!$A:$T,ROW()+1,MATCH("번지",'04A_국토부원자료'!$A$4:$T$4,0)),""))</f>
        <v/>
      </c>
      <c r="D1583" s="48">
        <f>IF(B1583="","",IF(Q1583=1,'02_대상물건입력'!$B$8,IFERROR(INDEX('04A_국토부원자료'!$A:$T,ROW()+1,MATCH("단지명",'04A_국토부원자료'!$A$4:$T$4,0)),"")))</f>
        <v/>
      </c>
      <c r="E1583" s="172">
        <f>IFERROR(VALUE(SUBSTITUTE(INDEX('04A_국토부원자료'!$A:$T,ROW()+1,MATCH("전용면적(㎡)",'04A_국토부원자료'!$A$4:$T$4,0)),",","")),"")</f>
        <v/>
      </c>
      <c r="F15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83" s="51">
        <f>IFERROR(VALUE(SUBSTITUTE(INDEX('04A_국토부원자료'!$A:$T,ROW()+1,MATCH("거래금액(만원)",'04A_국토부원자료'!$A$4:$T$4,0)),",","")),"")</f>
        <v/>
      </c>
      <c r="H1583" s="174">
        <f>IF(G1583="","",G1583*10000)</f>
        <v/>
      </c>
      <c r="I1583" s="174">
        <f>IFERROR(IF(AND(H1583&gt;0,E1583&gt;0),H1583/E1583,""),"")</f>
        <v/>
      </c>
      <c r="J1583" s="152">
        <f>IFERROR(VALUE(SUBSTITUTE(INDEX('04A_국토부원자료'!$A:$T,ROW()+1,MATCH("층",'04A_국토부원자료'!$A$4:$T$4,0)),",","")),"")</f>
        <v/>
      </c>
      <c r="K1583" s="152">
        <f>IFERROR(VALUE(SUBSTITUTE(INDEX('04A_국토부원자료'!$A:$T,ROW()+1,MATCH("건축년도",'04A_국토부원자료'!$A$4:$T$4,0)),",","")),"")</f>
        <v/>
      </c>
      <c r="L1583" s="176">
        <f>IFERROR(INDEX('04A_국토부원자료'!$A:$T,ROW()+1,MATCH("도로명",'04A_국토부원자료'!$A$4:$T$4,0)),"")</f>
        <v/>
      </c>
      <c r="M1583" s="48">
        <f>IFERROR(INDEX('04A_국토부원자료'!$A:$T,ROW()+1,MATCH("거래유형",'04A_국토부원자료'!$A$4:$T$4,0)),"")</f>
        <v/>
      </c>
      <c r="N1583" s="152">
        <f>IF(B1583="","",IF('02_대상물건입력'!B5="",1,IF(ISNUMBER(SEARCH('02_대상물건입력'!B5,B1583)),1,0)))</f>
        <v/>
      </c>
      <c r="O1583" s="152">
        <f>IF(B1583="","",IF('02_대상물건입력'!B6="",1,IF(ISNUMBER(SEARCH('02_대상물건입력'!B6,B1583)),1,0)))</f>
        <v/>
      </c>
      <c r="P1583" s="152">
        <f>IF(L1583="","",IF('02_대상물건입력'!B15="",0,IF(ISNUMBER(SEARCH('02_대상물건입력'!B15,L1583)),1,0)))</f>
        <v/>
      </c>
      <c r="Q1583" s="152">
        <f>IF(OR(C1583="",L1583=""),0,IF(AND(TRIM(C1583)=TRIM(RIGHT(SUBSTITUTE(TRIM('02_대상물건입력'!$B$7)," ",REPT(" ",99)),99)),IF('02_대상물건입력'!B15="",TRUE(),ISNUMBER(SEARCH('02_대상물건입력'!B15,L1583)))),1,0))</f>
        <v/>
      </c>
      <c r="R1583" s="175">
        <f>IFERROR(ABS(E1583-'02_대상물건입력'!B11)/'02_대상물건입력'!B11,"")</f>
        <v/>
      </c>
      <c r="S1583" s="152">
        <f>IFERROR(ABS(J1583-'02_대상물건입력'!B10),"")</f>
        <v/>
      </c>
      <c r="T1583" s="152">
        <f>IFERROR(ABS('01_설정'!B4-F1583),"")</f>
        <v/>
      </c>
      <c r="U1583" s="152">
        <f>IFERROR(ABS(K1583-YEAR('02_대상물건입력'!B14)),"")</f>
        <v/>
      </c>
      <c r="V1583" s="152">
        <f>IF(B1583="","",IF(AND(E1583&gt;0,F1583&gt;0,H1583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1583=1,TRUE()),R1583&lt;='01_설정'!B5,S1583&lt;='01_설정'!B6,T1583&lt;='01_설정'!B7,U1583&lt;='01_설정'!B8),"Y",""))</f>
        <v/>
      </c>
      <c r="W1583" s="172">
        <f>IF(V1583&lt;&gt;"Y","",MAX(0,(1-R1583/'01_설정'!B5))*'01_설정'!B14+MAX(0,(1-S1583/'01_설정'!B6))*'01_설정'!B15+MAX(0,(1-T1583/'01_설정'!B7))*'01_설정'!B16+MAX(0,(1-U1583/'01_설정'!B8))*'01_설정'!B17+O1583*'01_설정'!B11+Q1583*'01_설정'!B12+P1583*'01_설정'!B13+IF(Z1583="",0,Z1583))</f>
        <v/>
      </c>
      <c r="X1583" s="152">
        <f>IF(W1583="","",1+COUNTIFS($W$4:$W$3003,"&gt;"&amp;W1583)+COUNTIFS($W$4:W1583,W1583)-1)</f>
        <v/>
      </c>
      <c r="Y1583" s="175">
        <f>IF(OR(I1583="",'02_대상물건입력'!B19="",'02_대상물건입력'!B19&lt;=0),"",ABS(I1583-'02_대상물건입력'!B19)/'02_대상물건입력'!B19)</f>
        <v/>
      </c>
      <c r="Z1583" s="172">
        <f>IF(OR(Y1583="",'01_설정'!B31="",'01_설정'!B31&lt;=0,'01_설정'!B32="",'01_설정'!B32&lt;=0),"",MAX(0,(1-Y1583/'01_설정'!B32))*'01_설정'!B31)</f>
        <v/>
      </c>
    </row>
    <row r="1584" ht="17.25" customHeight="1">
      <c r="A1584" s="152">
        <f>IF(INDEX('04A_국토부원자료'!$A:$A,ROW()+1)="","",ROW()-3)</f>
        <v/>
      </c>
      <c r="B1584" s="48">
        <f>IFERROR(INDEX('04A_국토부원자료'!$A:$T,ROW()+1,MATCH("시군구",'04A_국토부원자료'!$A$4:$T$4,0)),"")</f>
        <v/>
      </c>
      <c r="C1584" s="48">
        <f>IF(B1584="","",IFERROR(INDEX('04A_국토부원자료'!$A:$T,ROW()+1,MATCH("번지",'04A_국토부원자료'!$A$4:$T$4,0)),""))</f>
        <v/>
      </c>
      <c r="D1584" s="48">
        <f>IF(B1584="","",IF(Q1584=1,'02_대상물건입력'!$B$8,IFERROR(INDEX('04A_국토부원자료'!$A:$T,ROW()+1,MATCH("단지명",'04A_국토부원자료'!$A$4:$T$4,0)),"")))</f>
        <v/>
      </c>
      <c r="E1584" s="172">
        <f>IFERROR(VALUE(SUBSTITUTE(INDEX('04A_국토부원자료'!$A:$T,ROW()+1,MATCH("전용면적(㎡)",'04A_국토부원자료'!$A$4:$T$4,0)),",","")),"")</f>
        <v/>
      </c>
      <c r="F15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84" s="51">
        <f>IFERROR(VALUE(SUBSTITUTE(INDEX('04A_국토부원자료'!$A:$T,ROW()+1,MATCH("거래금액(만원)",'04A_국토부원자료'!$A$4:$T$4,0)),",","")),"")</f>
        <v/>
      </c>
      <c r="H1584" s="174">
        <f>IF(G1584="","",G1584*10000)</f>
        <v/>
      </c>
      <c r="I1584" s="174">
        <f>IFERROR(IF(AND(H1584&gt;0,E1584&gt;0),H1584/E1584,""),"")</f>
        <v/>
      </c>
      <c r="J1584" s="152">
        <f>IFERROR(VALUE(SUBSTITUTE(INDEX('04A_국토부원자료'!$A:$T,ROW()+1,MATCH("층",'04A_국토부원자료'!$A$4:$T$4,0)),",","")),"")</f>
        <v/>
      </c>
      <c r="K1584" s="152">
        <f>IFERROR(VALUE(SUBSTITUTE(INDEX('04A_국토부원자료'!$A:$T,ROW()+1,MATCH("건축년도",'04A_국토부원자료'!$A$4:$T$4,0)),",","")),"")</f>
        <v/>
      </c>
      <c r="L1584" s="176">
        <f>IFERROR(INDEX('04A_국토부원자료'!$A:$T,ROW()+1,MATCH("도로명",'04A_국토부원자료'!$A$4:$T$4,0)),"")</f>
        <v/>
      </c>
      <c r="M1584" s="48">
        <f>IFERROR(INDEX('04A_국토부원자료'!$A:$T,ROW()+1,MATCH("거래유형",'04A_국토부원자료'!$A$4:$T$4,0)),"")</f>
        <v/>
      </c>
      <c r="N1584" s="152">
        <f>IF(B1584="","",IF('02_대상물건입력'!B5="",1,IF(ISNUMBER(SEARCH('02_대상물건입력'!B5,B1584)),1,0)))</f>
        <v/>
      </c>
      <c r="O1584" s="152">
        <f>IF(B1584="","",IF('02_대상물건입력'!B6="",1,IF(ISNUMBER(SEARCH('02_대상물건입력'!B6,B1584)),1,0)))</f>
        <v/>
      </c>
      <c r="P1584" s="152">
        <f>IF(L1584="","",IF('02_대상물건입력'!B15="",0,IF(ISNUMBER(SEARCH('02_대상물건입력'!B15,L1584)),1,0)))</f>
        <v/>
      </c>
      <c r="Q1584" s="152">
        <f>IF(OR(C1584="",L1584=""),0,IF(AND(TRIM(C1584)=TRIM(RIGHT(SUBSTITUTE(TRIM('02_대상물건입력'!$B$7)," ",REPT(" ",99)),99)),IF('02_대상물건입력'!B15="",TRUE(),ISNUMBER(SEARCH('02_대상물건입력'!B15,L1584)))),1,0))</f>
        <v/>
      </c>
      <c r="R1584" s="175">
        <f>IFERROR(ABS(E1584-'02_대상물건입력'!B11)/'02_대상물건입력'!B11,"")</f>
        <v/>
      </c>
      <c r="S1584" s="152">
        <f>IFERROR(ABS(J1584-'02_대상물건입력'!B10),"")</f>
        <v/>
      </c>
      <c r="T1584" s="152">
        <f>IFERROR(ABS('01_설정'!B4-F1584),"")</f>
        <v/>
      </c>
      <c r="U1584" s="152">
        <f>IFERROR(ABS(K1584-YEAR('02_대상물건입력'!B14)),"")</f>
        <v/>
      </c>
      <c r="V1584" s="152">
        <f>IF(B1584="","",IF(AND(E1584&gt;0,F1584&gt;0,H1584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1584=1,TRUE()),R1584&lt;='01_설정'!B5,S1584&lt;='01_설정'!B6,T1584&lt;='01_설정'!B7,U1584&lt;='01_설정'!B8),"Y",""))</f>
        <v/>
      </c>
      <c r="W1584" s="172">
        <f>IF(V1584&lt;&gt;"Y","",MAX(0,(1-R1584/'01_설정'!B5))*'01_설정'!B14+MAX(0,(1-S1584/'01_설정'!B6))*'01_설정'!B15+MAX(0,(1-T1584/'01_설정'!B7))*'01_설정'!B16+MAX(0,(1-U1584/'01_설정'!B8))*'01_설정'!B17+O1584*'01_설정'!B11+Q1584*'01_설정'!B12+P1584*'01_설정'!B13+IF(Z1584="",0,Z1584))</f>
        <v/>
      </c>
      <c r="X1584" s="152">
        <f>IF(W1584="","",1+COUNTIFS($W$4:$W$3003,"&gt;"&amp;W1584)+COUNTIFS($W$4:W1584,W1584)-1)</f>
        <v/>
      </c>
      <c r="Y1584" s="175">
        <f>IF(OR(I1584="",'02_대상물건입력'!B19="",'02_대상물건입력'!B19&lt;=0),"",ABS(I1584-'02_대상물건입력'!B19)/'02_대상물건입력'!B19)</f>
        <v/>
      </c>
      <c r="Z1584" s="172">
        <f>IF(OR(Y1584="",'01_설정'!B31="",'01_설정'!B31&lt;=0,'01_설정'!B32="",'01_설정'!B32&lt;=0),"",MAX(0,(1-Y1584/'01_설정'!B32))*'01_설정'!B31)</f>
        <v/>
      </c>
    </row>
    <row r="1585" ht="17.25" customHeight="1">
      <c r="A1585" s="152">
        <f>IF(INDEX('04A_국토부원자료'!$A:$A,ROW()+1)="","",ROW()-3)</f>
        <v/>
      </c>
      <c r="B1585" s="48">
        <f>IFERROR(INDEX('04A_국토부원자료'!$A:$T,ROW()+1,MATCH("시군구",'04A_국토부원자료'!$A$4:$T$4,0)),"")</f>
        <v/>
      </c>
      <c r="C1585" s="48">
        <f>IF(B1585="","",IFERROR(INDEX('04A_국토부원자료'!$A:$T,ROW()+1,MATCH("번지",'04A_국토부원자료'!$A$4:$T$4,0)),""))</f>
        <v/>
      </c>
      <c r="D1585" s="48">
        <f>IF(B1585="","",IF(Q1585=1,'02_대상물건입력'!$B$8,IFERROR(INDEX('04A_국토부원자료'!$A:$T,ROW()+1,MATCH("단지명",'04A_국토부원자료'!$A$4:$T$4,0)),"")))</f>
        <v/>
      </c>
      <c r="E1585" s="172">
        <f>IFERROR(VALUE(SUBSTITUTE(INDEX('04A_국토부원자료'!$A:$T,ROW()+1,MATCH("전용면적(㎡)",'04A_국토부원자료'!$A$4:$T$4,0)),",","")),"")</f>
        <v/>
      </c>
      <c r="F15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85" s="51">
        <f>IFERROR(VALUE(SUBSTITUTE(INDEX('04A_국토부원자료'!$A:$T,ROW()+1,MATCH("거래금액(만원)",'04A_국토부원자료'!$A$4:$T$4,0)),",","")),"")</f>
        <v/>
      </c>
      <c r="H1585" s="174">
        <f>IF(G1585="","",G1585*10000)</f>
        <v/>
      </c>
      <c r="I1585" s="174">
        <f>IFERROR(IF(AND(H1585&gt;0,E1585&gt;0),H1585/E1585,""),"")</f>
        <v/>
      </c>
      <c r="J1585" s="152">
        <f>IFERROR(VALUE(SUBSTITUTE(INDEX('04A_국토부원자료'!$A:$T,ROW()+1,MATCH("층",'04A_국토부원자료'!$A$4:$T$4,0)),",","")),"")</f>
        <v/>
      </c>
      <c r="K1585" s="152">
        <f>IFERROR(VALUE(SUBSTITUTE(INDEX('04A_국토부원자료'!$A:$T,ROW()+1,MATCH("건축년도",'04A_국토부원자료'!$A$4:$T$4,0)),",","")),"")</f>
        <v/>
      </c>
      <c r="L1585" s="176">
        <f>IFERROR(INDEX('04A_국토부원자료'!$A:$T,ROW()+1,MATCH("도로명",'04A_국토부원자료'!$A$4:$T$4,0)),"")</f>
        <v/>
      </c>
      <c r="M1585" s="48">
        <f>IFERROR(INDEX('04A_국토부원자료'!$A:$T,ROW()+1,MATCH("거래유형",'04A_국토부원자료'!$A$4:$T$4,0)),"")</f>
        <v/>
      </c>
      <c r="N1585" s="152">
        <f>IF(B1585="","",IF('02_대상물건입력'!B5="",1,IF(ISNUMBER(SEARCH('02_대상물건입력'!B5,B1585)),1,0)))</f>
        <v/>
      </c>
      <c r="O1585" s="152">
        <f>IF(B1585="","",IF('02_대상물건입력'!B6="",1,IF(ISNUMBER(SEARCH('02_대상물건입력'!B6,B1585)),1,0)))</f>
        <v/>
      </c>
      <c r="P1585" s="152">
        <f>IF(L1585="","",IF('02_대상물건입력'!B15="",0,IF(ISNUMBER(SEARCH('02_대상물건입력'!B15,L1585)),1,0)))</f>
        <v/>
      </c>
      <c r="Q1585" s="152">
        <f>IF(OR(C1585="",L1585=""),0,IF(AND(TRIM(C1585)=TRIM(RIGHT(SUBSTITUTE(TRIM('02_대상물건입력'!$B$7)," ",REPT(" ",99)),99)),IF('02_대상물건입력'!B15="",TRUE(),ISNUMBER(SEARCH('02_대상물건입력'!B15,L1585)))),1,0))</f>
        <v/>
      </c>
      <c r="R1585" s="175">
        <f>IFERROR(ABS(E1585-'02_대상물건입력'!B11)/'02_대상물건입력'!B11,"")</f>
        <v/>
      </c>
      <c r="S1585" s="152">
        <f>IFERROR(ABS(J1585-'02_대상물건입력'!B10),"")</f>
        <v/>
      </c>
      <c r="T1585" s="152">
        <f>IFERROR(ABS('01_설정'!B4-F1585),"")</f>
        <v/>
      </c>
      <c r="U1585" s="152">
        <f>IFERROR(ABS(K1585-YEAR('02_대상물건입력'!B14)),"")</f>
        <v/>
      </c>
      <c r="V1585" s="152">
        <f>IF(B1585="","",IF(AND(E1585&gt;0,F1585&gt;0,H1585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1585=1,TRUE()),R1585&lt;='01_설정'!B5,S1585&lt;='01_설정'!B6,T1585&lt;='01_설정'!B7,U1585&lt;='01_설정'!B8),"Y",""))</f>
        <v/>
      </c>
      <c r="W1585" s="172">
        <f>IF(V1585&lt;&gt;"Y","",MAX(0,(1-R1585/'01_설정'!B5))*'01_설정'!B14+MAX(0,(1-S1585/'01_설정'!B6))*'01_설정'!B15+MAX(0,(1-T1585/'01_설정'!B7))*'01_설정'!B16+MAX(0,(1-U1585/'01_설정'!B8))*'01_설정'!B17+O1585*'01_설정'!B11+Q1585*'01_설정'!B12+P1585*'01_설정'!B13+IF(Z1585="",0,Z1585))</f>
        <v/>
      </c>
      <c r="X1585" s="152">
        <f>IF(W1585="","",1+COUNTIFS($W$4:$W$3003,"&gt;"&amp;W1585)+COUNTIFS($W$4:W1585,W1585)-1)</f>
        <v/>
      </c>
      <c r="Y1585" s="175">
        <f>IF(OR(I1585="",'02_대상물건입력'!B19="",'02_대상물건입력'!B19&lt;=0),"",ABS(I1585-'02_대상물건입력'!B19)/'02_대상물건입력'!B19)</f>
        <v/>
      </c>
      <c r="Z1585" s="172">
        <f>IF(OR(Y1585="",'01_설정'!B31="",'01_설정'!B31&lt;=0,'01_설정'!B32="",'01_설정'!B32&lt;=0),"",MAX(0,(1-Y1585/'01_설정'!B32))*'01_설정'!B31)</f>
        <v/>
      </c>
    </row>
    <row r="1586" ht="17.25" customHeight="1">
      <c r="A1586" s="152">
        <f>IF(INDEX('04A_국토부원자료'!$A:$A,ROW()+1)="","",ROW()-3)</f>
        <v/>
      </c>
      <c r="B1586" s="48">
        <f>IFERROR(INDEX('04A_국토부원자료'!$A:$T,ROW()+1,MATCH("시군구",'04A_국토부원자료'!$A$4:$T$4,0)),"")</f>
        <v/>
      </c>
      <c r="C1586" s="48">
        <f>IF(B1586="","",IFERROR(INDEX('04A_국토부원자료'!$A:$T,ROW()+1,MATCH("번지",'04A_국토부원자료'!$A$4:$T$4,0)),""))</f>
        <v/>
      </c>
      <c r="D1586" s="48">
        <f>IF(B1586="","",IF(Q1586=1,'02_대상물건입력'!$B$8,IFERROR(INDEX('04A_국토부원자료'!$A:$T,ROW()+1,MATCH("단지명",'04A_국토부원자료'!$A$4:$T$4,0)),"")))</f>
        <v/>
      </c>
      <c r="E1586" s="172">
        <f>IFERROR(VALUE(SUBSTITUTE(INDEX('04A_국토부원자료'!$A:$T,ROW()+1,MATCH("전용면적(㎡)",'04A_국토부원자료'!$A$4:$T$4,0)),",","")),"")</f>
        <v/>
      </c>
      <c r="F15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86" s="51">
        <f>IFERROR(VALUE(SUBSTITUTE(INDEX('04A_국토부원자료'!$A:$T,ROW()+1,MATCH("거래금액(만원)",'04A_국토부원자료'!$A$4:$T$4,0)),",","")),"")</f>
        <v/>
      </c>
      <c r="H1586" s="174">
        <f>IF(G1586="","",G1586*10000)</f>
        <v/>
      </c>
      <c r="I1586" s="174">
        <f>IFERROR(IF(AND(H1586&gt;0,E1586&gt;0),H1586/E1586,""),"")</f>
        <v/>
      </c>
      <c r="J1586" s="152">
        <f>IFERROR(VALUE(SUBSTITUTE(INDEX('04A_국토부원자료'!$A:$T,ROW()+1,MATCH("층",'04A_국토부원자료'!$A$4:$T$4,0)),",","")),"")</f>
        <v/>
      </c>
      <c r="K1586" s="152">
        <f>IFERROR(VALUE(SUBSTITUTE(INDEX('04A_국토부원자료'!$A:$T,ROW()+1,MATCH("건축년도",'04A_국토부원자료'!$A$4:$T$4,0)),",","")),"")</f>
        <v/>
      </c>
      <c r="L1586" s="176">
        <f>IFERROR(INDEX('04A_국토부원자료'!$A:$T,ROW()+1,MATCH("도로명",'04A_국토부원자료'!$A$4:$T$4,0)),"")</f>
        <v/>
      </c>
      <c r="M1586" s="48">
        <f>IFERROR(INDEX('04A_국토부원자료'!$A:$T,ROW()+1,MATCH("거래유형",'04A_국토부원자료'!$A$4:$T$4,0)),"")</f>
        <v/>
      </c>
      <c r="N1586" s="152">
        <f>IF(B1586="","",IF('02_대상물건입력'!B5="",1,IF(ISNUMBER(SEARCH('02_대상물건입력'!B5,B1586)),1,0)))</f>
        <v/>
      </c>
      <c r="O1586" s="152">
        <f>IF(B1586="","",IF('02_대상물건입력'!B6="",1,IF(ISNUMBER(SEARCH('02_대상물건입력'!B6,B1586)),1,0)))</f>
        <v/>
      </c>
      <c r="P1586" s="152">
        <f>IF(L1586="","",IF('02_대상물건입력'!B15="",0,IF(ISNUMBER(SEARCH('02_대상물건입력'!B15,L1586)),1,0)))</f>
        <v/>
      </c>
      <c r="Q1586" s="152">
        <f>IF(OR(C1586="",L1586=""),0,IF(AND(TRIM(C1586)=TRIM(RIGHT(SUBSTITUTE(TRIM('02_대상물건입력'!$B$7)," ",REPT(" ",99)),99)),IF('02_대상물건입력'!B15="",TRUE(),ISNUMBER(SEARCH('02_대상물건입력'!B15,L1586)))),1,0))</f>
        <v/>
      </c>
      <c r="R1586" s="175">
        <f>IFERROR(ABS(E1586-'02_대상물건입력'!B11)/'02_대상물건입력'!B11,"")</f>
        <v/>
      </c>
      <c r="S1586" s="152">
        <f>IFERROR(ABS(J1586-'02_대상물건입력'!B10),"")</f>
        <v/>
      </c>
      <c r="T1586" s="152">
        <f>IFERROR(ABS('01_설정'!B4-F1586),"")</f>
        <v/>
      </c>
      <c r="U1586" s="152">
        <f>IFERROR(ABS(K1586-YEAR('02_대상물건입력'!B14)),"")</f>
        <v/>
      </c>
      <c r="V1586" s="152">
        <f>IF(B1586="","",IF(AND(E1586&gt;0,F1586&gt;0,H1586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1586=1,TRUE()),R1586&lt;='01_설정'!B5,S1586&lt;='01_설정'!B6,T1586&lt;='01_설정'!B7,U1586&lt;='01_설정'!B8),"Y",""))</f>
        <v/>
      </c>
      <c r="W1586" s="172">
        <f>IF(V1586&lt;&gt;"Y","",MAX(0,(1-R1586/'01_설정'!B5))*'01_설정'!B14+MAX(0,(1-S1586/'01_설정'!B6))*'01_설정'!B15+MAX(0,(1-T1586/'01_설정'!B7))*'01_설정'!B16+MAX(0,(1-U1586/'01_설정'!B8))*'01_설정'!B17+O1586*'01_설정'!B11+Q1586*'01_설정'!B12+P1586*'01_설정'!B13+IF(Z1586="",0,Z1586))</f>
        <v/>
      </c>
      <c r="X1586" s="152">
        <f>IF(W1586="","",1+COUNTIFS($W$4:$W$3003,"&gt;"&amp;W1586)+COUNTIFS($W$4:W1586,W1586)-1)</f>
        <v/>
      </c>
      <c r="Y1586" s="175">
        <f>IF(OR(I1586="",'02_대상물건입력'!B19="",'02_대상물건입력'!B19&lt;=0),"",ABS(I1586-'02_대상물건입력'!B19)/'02_대상물건입력'!B19)</f>
        <v/>
      </c>
      <c r="Z1586" s="172">
        <f>IF(OR(Y1586="",'01_설정'!B31="",'01_설정'!B31&lt;=0,'01_설정'!B32="",'01_설정'!B32&lt;=0),"",MAX(0,(1-Y1586/'01_설정'!B32))*'01_설정'!B31)</f>
        <v/>
      </c>
    </row>
    <row r="1587" ht="17.25" customHeight="1">
      <c r="A1587" s="152">
        <f>IF(INDEX('04A_국토부원자료'!$A:$A,ROW()+1)="","",ROW()-3)</f>
        <v/>
      </c>
      <c r="B1587" s="48">
        <f>IFERROR(INDEX('04A_국토부원자료'!$A:$T,ROW()+1,MATCH("시군구",'04A_국토부원자료'!$A$4:$T$4,0)),"")</f>
        <v/>
      </c>
      <c r="C1587" s="48">
        <f>IF(B1587="","",IFERROR(INDEX('04A_국토부원자료'!$A:$T,ROW()+1,MATCH("번지",'04A_국토부원자료'!$A$4:$T$4,0)),""))</f>
        <v/>
      </c>
      <c r="D1587" s="48">
        <f>IF(B1587="","",IF(Q1587=1,'02_대상물건입력'!$B$8,IFERROR(INDEX('04A_국토부원자료'!$A:$T,ROW()+1,MATCH("단지명",'04A_국토부원자료'!$A$4:$T$4,0)),"")))</f>
        <v/>
      </c>
      <c r="E1587" s="172">
        <f>IFERROR(VALUE(SUBSTITUTE(INDEX('04A_국토부원자료'!$A:$T,ROW()+1,MATCH("전용면적(㎡)",'04A_국토부원자료'!$A$4:$T$4,0)),",","")),"")</f>
        <v/>
      </c>
      <c r="F15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87" s="51">
        <f>IFERROR(VALUE(SUBSTITUTE(INDEX('04A_국토부원자료'!$A:$T,ROW()+1,MATCH("거래금액(만원)",'04A_국토부원자료'!$A$4:$T$4,0)),",","")),"")</f>
        <v/>
      </c>
      <c r="H1587" s="174">
        <f>IF(G1587="","",G1587*10000)</f>
        <v/>
      </c>
      <c r="I1587" s="174">
        <f>IFERROR(IF(AND(H1587&gt;0,E1587&gt;0),H1587/E1587,""),"")</f>
        <v/>
      </c>
      <c r="J1587" s="152">
        <f>IFERROR(VALUE(SUBSTITUTE(INDEX('04A_국토부원자료'!$A:$T,ROW()+1,MATCH("층",'04A_국토부원자료'!$A$4:$T$4,0)),",","")),"")</f>
        <v/>
      </c>
      <c r="K1587" s="152">
        <f>IFERROR(VALUE(SUBSTITUTE(INDEX('04A_국토부원자료'!$A:$T,ROW()+1,MATCH("건축년도",'04A_국토부원자료'!$A$4:$T$4,0)),",","")),"")</f>
        <v/>
      </c>
      <c r="L1587" s="176">
        <f>IFERROR(INDEX('04A_국토부원자료'!$A:$T,ROW()+1,MATCH("도로명",'04A_국토부원자료'!$A$4:$T$4,0)),"")</f>
        <v/>
      </c>
      <c r="M1587" s="48">
        <f>IFERROR(INDEX('04A_국토부원자료'!$A:$T,ROW()+1,MATCH("거래유형",'04A_국토부원자료'!$A$4:$T$4,0)),"")</f>
        <v/>
      </c>
      <c r="N1587" s="152">
        <f>IF(B1587="","",IF('02_대상물건입력'!B5="",1,IF(ISNUMBER(SEARCH('02_대상물건입력'!B5,B1587)),1,0)))</f>
        <v/>
      </c>
      <c r="O1587" s="152">
        <f>IF(B1587="","",IF('02_대상물건입력'!B6="",1,IF(ISNUMBER(SEARCH('02_대상물건입력'!B6,B1587)),1,0)))</f>
        <v/>
      </c>
      <c r="P1587" s="152">
        <f>IF(L1587="","",IF('02_대상물건입력'!B15="",0,IF(ISNUMBER(SEARCH('02_대상물건입력'!B15,L1587)),1,0)))</f>
        <v/>
      </c>
      <c r="Q1587" s="152">
        <f>IF(OR(C1587="",L1587=""),0,IF(AND(TRIM(C1587)=TRIM(RIGHT(SUBSTITUTE(TRIM('02_대상물건입력'!$B$7)," ",REPT(" ",99)),99)),IF('02_대상물건입력'!B15="",TRUE(),ISNUMBER(SEARCH('02_대상물건입력'!B15,L1587)))),1,0))</f>
        <v/>
      </c>
      <c r="R1587" s="175">
        <f>IFERROR(ABS(E1587-'02_대상물건입력'!B11)/'02_대상물건입력'!B11,"")</f>
        <v/>
      </c>
      <c r="S1587" s="152">
        <f>IFERROR(ABS(J1587-'02_대상물건입력'!B10),"")</f>
        <v/>
      </c>
      <c r="T1587" s="152">
        <f>IFERROR(ABS('01_설정'!B4-F1587),"")</f>
        <v/>
      </c>
      <c r="U1587" s="152">
        <f>IFERROR(ABS(K1587-YEAR('02_대상물건입력'!B14)),"")</f>
        <v/>
      </c>
      <c r="V1587" s="152">
        <f>IF(B1587="","",IF(AND(E1587&gt;0,F1587&gt;0,H1587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1587=1,TRUE()),R1587&lt;='01_설정'!B5,S1587&lt;='01_설정'!B6,T1587&lt;='01_설정'!B7,U1587&lt;='01_설정'!B8),"Y",""))</f>
        <v/>
      </c>
      <c r="W1587" s="172">
        <f>IF(V1587&lt;&gt;"Y","",MAX(0,(1-R1587/'01_설정'!B5))*'01_설정'!B14+MAX(0,(1-S1587/'01_설정'!B6))*'01_설정'!B15+MAX(0,(1-T1587/'01_설정'!B7))*'01_설정'!B16+MAX(0,(1-U1587/'01_설정'!B8))*'01_설정'!B17+O1587*'01_설정'!B11+Q1587*'01_설정'!B12+P1587*'01_설정'!B13+IF(Z1587="",0,Z1587))</f>
        <v/>
      </c>
      <c r="X1587" s="152">
        <f>IF(W1587="","",1+COUNTIFS($W$4:$W$3003,"&gt;"&amp;W1587)+COUNTIFS($W$4:W1587,W1587)-1)</f>
        <v/>
      </c>
      <c r="Y1587" s="175">
        <f>IF(OR(I1587="",'02_대상물건입력'!B19="",'02_대상물건입력'!B19&lt;=0),"",ABS(I1587-'02_대상물건입력'!B19)/'02_대상물건입력'!B19)</f>
        <v/>
      </c>
      <c r="Z1587" s="172">
        <f>IF(OR(Y1587="",'01_설정'!B31="",'01_설정'!B31&lt;=0,'01_설정'!B32="",'01_설정'!B32&lt;=0),"",MAX(0,(1-Y1587/'01_설정'!B32))*'01_설정'!B31)</f>
        <v/>
      </c>
    </row>
    <row r="1588" ht="17.25" customHeight="1">
      <c r="A1588" s="152">
        <f>IF(INDEX('04A_국토부원자료'!$A:$A,ROW()+1)="","",ROW()-3)</f>
        <v/>
      </c>
      <c r="B1588" s="48">
        <f>IFERROR(INDEX('04A_국토부원자료'!$A:$T,ROW()+1,MATCH("시군구",'04A_국토부원자료'!$A$4:$T$4,0)),"")</f>
        <v/>
      </c>
      <c r="C1588" s="48">
        <f>IF(B1588="","",IFERROR(INDEX('04A_국토부원자료'!$A:$T,ROW()+1,MATCH("번지",'04A_국토부원자료'!$A$4:$T$4,0)),""))</f>
        <v/>
      </c>
      <c r="D1588" s="48">
        <f>IF(B1588="","",IF(Q1588=1,'02_대상물건입력'!$B$8,IFERROR(INDEX('04A_국토부원자료'!$A:$T,ROW()+1,MATCH("단지명",'04A_국토부원자료'!$A$4:$T$4,0)),"")))</f>
        <v/>
      </c>
      <c r="E1588" s="172">
        <f>IFERROR(VALUE(SUBSTITUTE(INDEX('04A_국토부원자료'!$A:$T,ROW()+1,MATCH("전용면적(㎡)",'04A_국토부원자료'!$A$4:$T$4,0)),",","")),"")</f>
        <v/>
      </c>
      <c r="F15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88" s="51">
        <f>IFERROR(VALUE(SUBSTITUTE(INDEX('04A_국토부원자료'!$A:$T,ROW()+1,MATCH("거래금액(만원)",'04A_국토부원자료'!$A$4:$T$4,0)),",","")),"")</f>
        <v/>
      </c>
      <c r="H1588" s="174">
        <f>IF(G1588="","",G1588*10000)</f>
        <v/>
      </c>
      <c r="I1588" s="174">
        <f>IFERROR(IF(AND(H1588&gt;0,E1588&gt;0),H1588/E1588,""),"")</f>
        <v/>
      </c>
      <c r="J1588" s="152">
        <f>IFERROR(VALUE(SUBSTITUTE(INDEX('04A_국토부원자료'!$A:$T,ROW()+1,MATCH("층",'04A_국토부원자료'!$A$4:$T$4,0)),",","")),"")</f>
        <v/>
      </c>
      <c r="K1588" s="152">
        <f>IFERROR(VALUE(SUBSTITUTE(INDEX('04A_국토부원자료'!$A:$T,ROW()+1,MATCH("건축년도",'04A_국토부원자료'!$A$4:$T$4,0)),",","")),"")</f>
        <v/>
      </c>
      <c r="L1588" s="176">
        <f>IFERROR(INDEX('04A_국토부원자료'!$A:$T,ROW()+1,MATCH("도로명",'04A_국토부원자료'!$A$4:$T$4,0)),"")</f>
        <v/>
      </c>
      <c r="M1588" s="48">
        <f>IFERROR(INDEX('04A_국토부원자료'!$A:$T,ROW()+1,MATCH("거래유형",'04A_국토부원자료'!$A$4:$T$4,0)),"")</f>
        <v/>
      </c>
      <c r="N1588" s="152">
        <f>IF(B1588="","",IF('02_대상물건입력'!B5="",1,IF(ISNUMBER(SEARCH('02_대상물건입력'!B5,B1588)),1,0)))</f>
        <v/>
      </c>
      <c r="O1588" s="152">
        <f>IF(B1588="","",IF('02_대상물건입력'!B6="",1,IF(ISNUMBER(SEARCH('02_대상물건입력'!B6,B1588)),1,0)))</f>
        <v/>
      </c>
      <c r="P1588" s="152">
        <f>IF(L1588="","",IF('02_대상물건입력'!B15="",0,IF(ISNUMBER(SEARCH('02_대상물건입력'!B15,L1588)),1,0)))</f>
        <v/>
      </c>
      <c r="Q1588" s="152">
        <f>IF(OR(C1588="",L1588=""),0,IF(AND(TRIM(C1588)=TRIM(RIGHT(SUBSTITUTE(TRIM('02_대상물건입력'!$B$7)," ",REPT(" ",99)),99)),IF('02_대상물건입력'!B15="",TRUE(),ISNUMBER(SEARCH('02_대상물건입력'!B15,L1588)))),1,0))</f>
        <v/>
      </c>
      <c r="R1588" s="175">
        <f>IFERROR(ABS(E1588-'02_대상물건입력'!B11)/'02_대상물건입력'!B11,"")</f>
        <v/>
      </c>
      <c r="S1588" s="152">
        <f>IFERROR(ABS(J1588-'02_대상물건입력'!B10),"")</f>
        <v/>
      </c>
      <c r="T1588" s="152">
        <f>IFERROR(ABS('01_설정'!B4-F1588),"")</f>
        <v/>
      </c>
      <c r="U1588" s="152">
        <f>IFERROR(ABS(K1588-YEAR('02_대상물건입력'!B14)),"")</f>
        <v/>
      </c>
      <c r="V1588" s="152">
        <f>IF(B1588="","",IF(AND(E1588&gt;0,F1588&gt;0,H1588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1588=1,TRUE()),R1588&lt;='01_설정'!B5,S1588&lt;='01_설정'!B6,T1588&lt;='01_설정'!B7,U1588&lt;='01_설정'!B8),"Y",""))</f>
        <v/>
      </c>
      <c r="W1588" s="172">
        <f>IF(V1588&lt;&gt;"Y","",MAX(0,(1-R1588/'01_설정'!B5))*'01_설정'!B14+MAX(0,(1-S1588/'01_설정'!B6))*'01_설정'!B15+MAX(0,(1-T1588/'01_설정'!B7))*'01_설정'!B16+MAX(0,(1-U1588/'01_설정'!B8))*'01_설정'!B17+O1588*'01_설정'!B11+Q1588*'01_설정'!B12+P1588*'01_설정'!B13+IF(Z1588="",0,Z1588))</f>
        <v/>
      </c>
      <c r="X1588" s="152">
        <f>IF(W1588="","",1+COUNTIFS($W$4:$W$3003,"&gt;"&amp;W1588)+COUNTIFS($W$4:W1588,W1588)-1)</f>
        <v/>
      </c>
      <c r="Y1588" s="175">
        <f>IF(OR(I1588="",'02_대상물건입력'!B19="",'02_대상물건입력'!B19&lt;=0),"",ABS(I1588-'02_대상물건입력'!B19)/'02_대상물건입력'!B19)</f>
        <v/>
      </c>
      <c r="Z1588" s="172">
        <f>IF(OR(Y1588="",'01_설정'!B31="",'01_설정'!B31&lt;=0,'01_설정'!B32="",'01_설정'!B32&lt;=0),"",MAX(0,(1-Y1588/'01_설정'!B32))*'01_설정'!B31)</f>
        <v/>
      </c>
    </row>
    <row r="1589" ht="17.25" customHeight="1">
      <c r="A1589" s="152">
        <f>IF(INDEX('04A_국토부원자료'!$A:$A,ROW()+1)="","",ROW()-3)</f>
        <v/>
      </c>
      <c r="B1589" s="48">
        <f>IFERROR(INDEX('04A_국토부원자료'!$A:$T,ROW()+1,MATCH("시군구",'04A_국토부원자료'!$A$4:$T$4,0)),"")</f>
        <v/>
      </c>
      <c r="C1589" s="48">
        <f>IF(B1589="","",IFERROR(INDEX('04A_국토부원자료'!$A:$T,ROW()+1,MATCH("번지",'04A_국토부원자료'!$A$4:$T$4,0)),""))</f>
        <v/>
      </c>
      <c r="D1589" s="48">
        <f>IF(B1589="","",IF(Q1589=1,'02_대상물건입력'!$B$8,IFERROR(INDEX('04A_국토부원자료'!$A:$T,ROW()+1,MATCH("단지명",'04A_국토부원자료'!$A$4:$T$4,0)),"")))</f>
        <v/>
      </c>
      <c r="E1589" s="172">
        <f>IFERROR(VALUE(SUBSTITUTE(INDEX('04A_국토부원자료'!$A:$T,ROW()+1,MATCH("전용면적(㎡)",'04A_국토부원자료'!$A$4:$T$4,0)),",","")),"")</f>
        <v/>
      </c>
      <c r="F15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89" s="51">
        <f>IFERROR(VALUE(SUBSTITUTE(INDEX('04A_국토부원자료'!$A:$T,ROW()+1,MATCH("거래금액(만원)",'04A_국토부원자료'!$A$4:$T$4,0)),",","")),"")</f>
        <v/>
      </c>
      <c r="H1589" s="174">
        <f>IF(G1589="","",G1589*10000)</f>
        <v/>
      </c>
      <c r="I1589" s="174">
        <f>IFERROR(IF(AND(H1589&gt;0,E1589&gt;0),H1589/E1589,""),"")</f>
        <v/>
      </c>
      <c r="J1589" s="152">
        <f>IFERROR(VALUE(SUBSTITUTE(INDEX('04A_국토부원자료'!$A:$T,ROW()+1,MATCH("층",'04A_국토부원자료'!$A$4:$T$4,0)),",","")),"")</f>
        <v/>
      </c>
      <c r="K1589" s="152">
        <f>IFERROR(VALUE(SUBSTITUTE(INDEX('04A_국토부원자료'!$A:$T,ROW()+1,MATCH("건축년도",'04A_국토부원자료'!$A$4:$T$4,0)),",","")),"")</f>
        <v/>
      </c>
      <c r="L1589" s="176">
        <f>IFERROR(INDEX('04A_국토부원자료'!$A:$T,ROW()+1,MATCH("도로명",'04A_국토부원자료'!$A$4:$T$4,0)),"")</f>
        <v/>
      </c>
      <c r="M1589" s="48">
        <f>IFERROR(INDEX('04A_국토부원자료'!$A:$T,ROW()+1,MATCH("거래유형",'04A_국토부원자료'!$A$4:$T$4,0)),"")</f>
        <v/>
      </c>
      <c r="N1589" s="152">
        <f>IF(B1589="","",IF('02_대상물건입력'!B5="",1,IF(ISNUMBER(SEARCH('02_대상물건입력'!B5,B1589)),1,0)))</f>
        <v/>
      </c>
      <c r="O1589" s="152">
        <f>IF(B1589="","",IF('02_대상물건입력'!B6="",1,IF(ISNUMBER(SEARCH('02_대상물건입력'!B6,B1589)),1,0)))</f>
        <v/>
      </c>
      <c r="P1589" s="152">
        <f>IF(L1589="","",IF('02_대상물건입력'!B15="",0,IF(ISNUMBER(SEARCH('02_대상물건입력'!B15,L1589)),1,0)))</f>
        <v/>
      </c>
      <c r="Q1589" s="152">
        <f>IF(OR(C1589="",L1589=""),0,IF(AND(TRIM(C1589)=TRIM(RIGHT(SUBSTITUTE(TRIM('02_대상물건입력'!$B$7)," ",REPT(" ",99)),99)),IF('02_대상물건입력'!B15="",TRUE(),ISNUMBER(SEARCH('02_대상물건입력'!B15,L1589)))),1,0))</f>
        <v/>
      </c>
      <c r="R1589" s="175">
        <f>IFERROR(ABS(E1589-'02_대상물건입력'!B11)/'02_대상물건입력'!B11,"")</f>
        <v/>
      </c>
      <c r="S1589" s="152">
        <f>IFERROR(ABS(J1589-'02_대상물건입력'!B10),"")</f>
        <v/>
      </c>
      <c r="T1589" s="152">
        <f>IFERROR(ABS('01_설정'!B4-F1589),"")</f>
        <v/>
      </c>
      <c r="U1589" s="152">
        <f>IFERROR(ABS(K1589-YEAR('02_대상물건입력'!B14)),"")</f>
        <v/>
      </c>
      <c r="V1589" s="152">
        <f>IF(B1589="","",IF(AND(E1589&gt;0,F1589&gt;0,H1589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1589=1,TRUE()),R1589&lt;='01_설정'!B5,S1589&lt;='01_설정'!B6,T1589&lt;='01_설정'!B7,U1589&lt;='01_설정'!B8),"Y",""))</f>
        <v/>
      </c>
      <c r="W1589" s="172">
        <f>IF(V1589&lt;&gt;"Y","",MAX(0,(1-R1589/'01_설정'!B5))*'01_설정'!B14+MAX(0,(1-S1589/'01_설정'!B6))*'01_설정'!B15+MAX(0,(1-T1589/'01_설정'!B7))*'01_설정'!B16+MAX(0,(1-U1589/'01_설정'!B8))*'01_설정'!B17+O1589*'01_설정'!B11+Q1589*'01_설정'!B12+P1589*'01_설정'!B13+IF(Z1589="",0,Z1589))</f>
        <v/>
      </c>
      <c r="X1589" s="152">
        <f>IF(W1589="","",1+COUNTIFS($W$4:$W$3003,"&gt;"&amp;W1589)+COUNTIFS($W$4:W1589,W1589)-1)</f>
        <v/>
      </c>
      <c r="Y1589" s="175">
        <f>IF(OR(I1589="",'02_대상물건입력'!B19="",'02_대상물건입력'!B19&lt;=0),"",ABS(I1589-'02_대상물건입력'!B19)/'02_대상물건입력'!B19)</f>
        <v/>
      </c>
      <c r="Z1589" s="172">
        <f>IF(OR(Y1589="",'01_설정'!B31="",'01_설정'!B31&lt;=0,'01_설정'!B32="",'01_설정'!B32&lt;=0),"",MAX(0,(1-Y1589/'01_설정'!B32))*'01_설정'!B31)</f>
        <v/>
      </c>
    </row>
    <row r="1590" ht="17.25" customHeight="1">
      <c r="A1590" s="152">
        <f>IF(INDEX('04A_국토부원자료'!$A:$A,ROW()+1)="","",ROW()-3)</f>
        <v/>
      </c>
      <c r="B1590" s="48">
        <f>IFERROR(INDEX('04A_국토부원자료'!$A:$T,ROW()+1,MATCH("시군구",'04A_국토부원자료'!$A$4:$T$4,0)),"")</f>
        <v/>
      </c>
      <c r="C1590" s="48">
        <f>IF(B1590="","",IFERROR(INDEX('04A_국토부원자료'!$A:$T,ROW()+1,MATCH("번지",'04A_국토부원자료'!$A$4:$T$4,0)),""))</f>
        <v/>
      </c>
      <c r="D1590" s="48">
        <f>IF(B1590="","",IF(Q1590=1,'02_대상물건입력'!$B$8,IFERROR(INDEX('04A_국토부원자료'!$A:$T,ROW()+1,MATCH("단지명",'04A_국토부원자료'!$A$4:$T$4,0)),"")))</f>
        <v/>
      </c>
      <c r="E1590" s="172">
        <f>IFERROR(VALUE(SUBSTITUTE(INDEX('04A_국토부원자료'!$A:$T,ROW()+1,MATCH("전용면적(㎡)",'04A_국토부원자료'!$A$4:$T$4,0)),",","")),"")</f>
        <v/>
      </c>
      <c r="F15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90" s="51">
        <f>IFERROR(VALUE(SUBSTITUTE(INDEX('04A_국토부원자료'!$A:$T,ROW()+1,MATCH("거래금액(만원)",'04A_국토부원자료'!$A$4:$T$4,0)),",","")),"")</f>
        <v/>
      </c>
      <c r="H1590" s="174">
        <f>IF(G1590="","",G1590*10000)</f>
        <v/>
      </c>
      <c r="I1590" s="174">
        <f>IFERROR(IF(AND(H1590&gt;0,E1590&gt;0),H1590/E1590,""),"")</f>
        <v/>
      </c>
      <c r="J1590" s="152">
        <f>IFERROR(VALUE(SUBSTITUTE(INDEX('04A_국토부원자료'!$A:$T,ROW()+1,MATCH("층",'04A_국토부원자료'!$A$4:$T$4,0)),",","")),"")</f>
        <v/>
      </c>
      <c r="K1590" s="152">
        <f>IFERROR(VALUE(SUBSTITUTE(INDEX('04A_국토부원자료'!$A:$T,ROW()+1,MATCH("건축년도",'04A_국토부원자료'!$A$4:$T$4,0)),",","")),"")</f>
        <v/>
      </c>
      <c r="L1590" s="176">
        <f>IFERROR(INDEX('04A_국토부원자료'!$A:$T,ROW()+1,MATCH("도로명",'04A_국토부원자료'!$A$4:$T$4,0)),"")</f>
        <v/>
      </c>
      <c r="M1590" s="48">
        <f>IFERROR(INDEX('04A_국토부원자료'!$A:$T,ROW()+1,MATCH("거래유형",'04A_국토부원자료'!$A$4:$T$4,0)),"")</f>
        <v/>
      </c>
      <c r="N1590" s="152">
        <f>IF(B1590="","",IF('02_대상물건입력'!B5="",1,IF(ISNUMBER(SEARCH('02_대상물건입력'!B5,B1590)),1,0)))</f>
        <v/>
      </c>
      <c r="O1590" s="152">
        <f>IF(B1590="","",IF('02_대상물건입력'!B6="",1,IF(ISNUMBER(SEARCH('02_대상물건입력'!B6,B1590)),1,0)))</f>
        <v/>
      </c>
      <c r="P1590" s="152">
        <f>IF(L1590="","",IF('02_대상물건입력'!B15="",0,IF(ISNUMBER(SEARCH('02_대상물건입력'!B15,L1590)),1,0)))</f>
        <v/>
      </c>
      <c r="Q1590" s="152">
        <f>IF(OR(C1590="",L1590=""),0,IF(AND(TRIM(C1590)=TRIM(RIGHT(SUBSTITUTE(TRIM('02_대상물건입력'!$B$7)," ",REPT(" ",99)),99)),IF('02_대상물건입력'!B15="",TRUE(),ISNUMBER(SEARCH('02_대상물건입력'!B15,L1590)))),1,0))</f>
        <v/>
      </c>
      <c r="R1590" s="175">
        <f>IFERROR(ABS(E1590-'02_대상물건입력'!B11)/'02_대상물건입력'!B11,"")</f>
        <v/>
      </c>
      <c r="S1590" s="152">
        <f>IFERROR(ABS(J1590-'02_대상물건입력'!B10),"")</f>
        <v/>
      </c>
      <c r="T1590" s="152">
        <f>IFERROR(ABS('01_설정'!B4-F1590),"")</f>
        <v/>
      </c>
      <c r="U1590" s="152">
        <f>IFERROR(ABS(K1590-YEAR('02_대상물건입력'!B14)),"")</f>
        <v/>
      </c>
      <c r="V1590" s="152">
        <f>IF(B1590="","",IF(AND(E1590&gt;0,F1590&gt;0,H1590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1590=1,TRUE()),R1590&lt;='01_설정'!B5,S1590&lt;='01_설정'!B6,T1590&lt;='01_설정'!B7,U1590&lt;='01_설정'!B8),"Y",""))</f>
        <v/>
      </c>
      <c r="W1590" s="172">
        <f>IF(V1590&lt;&gt;"Y","",MAX(0,(1-R1590/'01_설정'!B5))*'01_설정'!B14+MAX(0,(1-S1590/'01_설정'!B6))*'01_설정'!B15+MAX(0,(1-T1590/'01_설정'!B7))*'01_설정'!B16+MAX(0,(1-U1590/'01_설정'!B8))*'01_설정'!B17+O1590*'01_설정'!B11+Q1590*'01_설정'!B12+P1590*'01_설정'!B13+IF(Z1590="",0,Z1590))</f>
        <v/>
      </c>
      <c r="X1590" s="152">
        <f>IF(W1590="","",1+COUNTIFS($W$4:$W$3003,"&gt;"&amp;W1590)+COUNTIFS($W$4:W1590,W1590)-1)</f>
        <v/>
      </c>
      <c r="Y1590" s="175">
        <f>IF(OR(I1590="",'02_대상물건입력'!B19="",'02_대상물건입력'!B19&lt;=0),"",ABS(I1590-'02_대상물건입력'!B19)/'02_대상물건입력'!B19)</f>
        <v/>
      </c>
      <c r="Z1590" s="172">
        <f>IF(OR(Y1590="",'01_설정'!B31="",'01_설정'!B31&lt;=0,'01_설정'!B32="",'01_설정'!B32&lt;=0),"",MAX(0,(1-Y1590/'01_설정'!B32))*'01_설정'!B31)</f>
        <v/>
      </c>
    </row>
    <row r="1591" ht="17.25" customHeight="1">
      <c r="A1591" s="152">
        <f>IF(INDEX('04A_국토부원자료'!$A:$A,ROW()+1)="","",ROW()-3)</f>
        <v/>
      </c>
      <c r="B1591" s="48">
        <f>IFERROR(INDEX('04A_국토부원자료'!$A:$T,ROW()+1,MATCH("시군구",'04A_국토부원자료'!$A$4:$T$4,0)),"")</f>
        <v/>
      </c>
      <c r="C1591" s="48">
        <f>IF(B1591="","",IFERROR(INDEX('04A_국토부원자료'!$A:$T,ROW()+1,MATCH("번지",'04A_국토부원자료'!$A$4:$T$4,0)),""))</f>
        <v/>
      </c>
      <c r="D1591" s="48">
        <f>IF(B1591="","",IF(Q1591=1,'02_대상물건입력'!$B$8,IFERROR(INDEX('04A_국토부원자료'!$A:$T,ROW()+1,MATCH("단지명",'04A_국토부원자료'!$A$4:$T$4,0)),"")))</f>
        <v/>
      </c>
      <c r="E1591" s="172">
        <f>IFERROR(VALUE(SUBSTITUTE(INDEX('04A_국토부원자료'!$A:$T,ROW()+1,MATCH("전용면적(㎡)",'04A_국토부원자료'!$A$4:$T$4,0)),",","")),"")</f>
        <v/>
      </c>
      <c r="F15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91" s="51">
        <f>IFERROR(VALUE(SUBSTITUTE(INDEX('04A_국토부원자료'!$A:$T,ROW()+1,MATCH("거래금액(만원)",'04A_국토부원자료'!$A$4:$T$4,0)),",","")),"")</f>
        <v/>
      </c>
      <c r="H1591" s="174">
        <f>IF(G1591="","",G1591*10000)</f>
        <v/>
      </c>
      <c r="I1591" s="174">
        <f>IFERROR(IF(AND(H1591&gt;0,E1591&gt;0),H1591/E1591,""),"")</f>
        <v/>
      </c>
      <c r="J1591" s="152">
        <f>IFERROR(VALUE(SUBSTITUTE(INDEX('04A_국토부원자료'!$A:$T,ROW()+1,MATCH("층",'04A_국토부원자료'!$A$4:$T$4,0)),",","")),"")</f>
        <v/>
      </c>
      <c r="K1591" s="152">
        <f>IFERROR(VALUE(SUBSTITUTE(INDEX('04A_국토부원자료'!$A:$T,ROW()+1,MATCH("건축년도",'04A_국토부원자료'!$A$4:$T$4,0)),",","")),"")</f>
        <v/>
      </c>
      <c r="L1591" s="176">
        <f>IFERROR(INDEX('04A_국토부원자료'!$A:$T,ROW()+1,MATCH("도로명",'04A_국토부원자료'!$A$4:$T$4,0)),"")</f>
        <v/>
      </c>
      <c r="M1591" s="48">
        <f>IFERROR(INDEX('04A_국토부원자료'!$A:$T,ROW()+1,MATCH("거래유형",'04A_국토부원자료'!$A$4:$T$4,0)),"")</f>
        <v/>
      </c>
      <c r="N1591" s="152">
        <f>IF(B1591="","",IF('02_대상물건입력'!B5="",1,IF(ISNUMBER(SEARCH('02_대상물건입력'!B5,B1591)),1,0)))</f>
        <v/>
      </c>
      <c r="O1591" s="152">
        <f>IF(B1591="","",IF('02_대상물건입력'!B6="",1,IF(ISNUMBER(SEARCH('02_대상물건입력'!B6,B1591)),1,0)))</f>
        <v/>
      </c>
      <c r="P1591" s="152">
        <f>IF(L1591="","",IF('02_대상물건입력'!B15="",0,IF(ISNUMBER(SEARCH('02_대상물건입력'!B15,L1591)),1,0)))</f>
        <v/>
      </c>
      <c r="Q1591" s="152">
        <f>IF(OR(C1591="",L1591=""),0,IF(AND(TRIM(C1591)=TRIM(RIGHT(SUBSTITUTE(TRIM('02_대상물건입력'!$B$7)," ",REPT(" ",99)),99)),IF('02_대상물건입력'!B15="",TRUE(),ISNUMBER(SEARCH('02_대상물건입력'!B15,L1591)))),1,0))</f>
        <v/>
      </c>
      <c r="R1591" s="175">
        <f>IFERROR(ABS(E1591-'02_대상물건입력'!B11)/'02_대상물건입력'!B11,"")</f>
        <v/>
      </c>
      <c r="S1591" s="152">
        <f>IFERROR(ABS(J1591-'02_대상물건입력'!B10),"")</f>
        <v/>
      </c>
      <c r="T1591" s="152">
        <f>IFERROR(ABS('01_설정'!B4-F1591),"")</f>
        <v/>
      </c>
      <c r="U1591" s="152">
        <f>IFERROR(ABS(K1591-YEAR('02_대상물건입력'!B14)),"")</f>
        <v/>
      </c>
      <c r="V1591" s="152">
        <f>IF(B1591="","",IF(AND(E1591&gt;0,F1591&gt;0,H1591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1591=1,TRUE()),R1591&lt;='01_설정'!B5,S1591&lt;='01_설정'!B6,T1591&lt;='01_설정'!B7,U1591&lt;='01_설정'!B8),"Y",""))</f>
        <v/>
      </c>
      <c r="W1591" s="172">
        <f>IF(V1591&lt;&gt;"Y","",MAX(0,(1-R1591/'01_설정'!B5))*'01_설정'!B14+MAX(0,(1-S1591/'01_설정'!B6))*'01_설정'!B15+MAX(0,(1-T1591/'01_설정'!B7))*'01_설정'!B16+MAX(0,(1-U1591/'01_설정'!B8))*'01_설정'!B17+O1591*'01_설정'!B11+Q1591*'01_설정'!B12+P1591*'01_설정'!B13+IF(Z1591="",0,Z1591))</f>
        <v/>
      </c>
      <c r="X1591" s="152">
        <f>IF(W1591="","",1+COUNTIFS($W$4:$W$3003,"&gt;"&amp;W1591)+COUNTIFS($W$4:W1591,W1591)-1)</f>
        <v/>
      </c>
      <c r="Y1591" s="175">
        <f>IF(OR(I1591="",'02_대상물건입력'!B19="",'02_대상물건입력'!B19&lt;=0),"",ABS(I1591-'02_대상물건입력'!B19)/'02_대상물건입력'!B19)</f>
        <v/>
      </c>
      <c r="Z1591" s="172">
        <f>IF(OR(Y1591="",'01_설정'!B31="",'01_설정'!B31&lt;=0,'01_설정'!B32="",'01_설정'!B32&lt;=0),"",MAX(0,(1-Y1591/'01_설정'!B32))*'01_설정'!B31)</f>
        <v/>
      </c>
    </row>
    <row r="1592" ht="17.25" customHeight="1">
      <c r="A1592" s="152">
        <f>IF(INDEX('04A_국토부원자료'!$A:$A,ROW()+1)="","",ROW()-3)</f>
        <v/>
      </c>
      <c r="B1592" s="48">
        <f>IFERROR(INDEX('04A_국토부원자료'!$A:$T,ROW()+1,MATCH("시군구",'04A_국토부원자료'!$A$4:$T$4,0)),"")</f>
        <v/>
      </c>
      <c r="C1592" s="48">
        <f>IF(B1592="","",IFERROR(INDEX('04A_국토부원자료'!$A:$T,ROW()+1,MATCH("번지",'04A_국토부원자료'!$A$4:$T$4,0)),""))</f>
        <v/>
      </c>
      <c r="D1592" s="48">
        <f>IF(B1592="","",IF(Q1592=1,'02_대상물건입력'!$B$8,IFERROR(INDEX('04A_국토부원자료'!$A:$T,ROW()+1,MATCH("단지명",'04A_국토부원자료'!$A$4:$T$4,0)),"")))</f>
        <v/>
      </c>
      <c r="E1592" s="172">
        <f>IFERROR(VALUE(SUBSTITUTE(INDEX('04A_국토부원자료'!$A:$T,ROW()+1,MATCH("전용면적(㎡)",'04A_국토부원자료'!$A$4:$T$4,0)),",","")),"")</f>
        <v/>
      </c>
      <c r="F15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92" s="51">
        <f>IFERROR(VALUE(SUBSTITUTE(INDEX('04A_국토부원자료'!$A:$T,ROW()+1,MATCH("거래금액(만원)",'04A_국토부원자료'!$A$4:$T$4,0)),",","")),"")</f>
        <v/>
      </c>
      <c r="H1592" s="174">
        <f>IF(G1592="","",G1592*10000)</f>
        <v/>
      </c>
      <c r="I1592" s="174">
        <f>IFERROR(IF(AND(H1592&gt;0,E1592&gt;0),H1592/E1592,""),"")</f>
        <v/>
      </c>
      <c r="J1592" s="152">
        <f>IFERROR(VALUE(SUBSTITUTE(INDEX('04A_국토부원자료'!$A:$T,ROW()+1,MATCH("층",'04A_국토부원자료'!$A$4:$T$4,0)),",","")),"")</f>
        <v/>
      </c>
      <c r="K1592" s="152">
        <f>IFERROR(VALUE(SUBSTITUTE(INDEX('04A_국토부원자료'!$A:$T,ROW()+1,MATCH("건축년도",'04A_국토부원자료'!$A$4:$T$4,0)),",","")),"")</f>
        <v/>
      </c>
      <c r="L1592" s="176">
        <f>IFERROR(INDEX('04A_국토부원자료'!$A:$T,ROW()+1,MATCH("도로명",'04A_국토부원자료'!$A$4:$T$4,0)),"")</f>
        <v/>
      </c>
      <c r="M1592" s="48">
        <f>IFERROR(INDEX('04A_국토부원자료'!$A:$T,ROW()+1,MATCH("거래유형",'04A_국토부원자료'!$A$4:$T$4,0)),"")</f>
        <v/>
      </c>
      <c r="N1592" s="152">
        <f>IF(B1592="","",IF('02_대상물건입력'!B5="",1,IF(ISNUMBER(SEARCH('02_대상물건입력'!B5,B1592)),1,0)))</f>
        <v/>
      </c>
      <c r="O1592" s="152">
        <f>IF(B1592="","",IF('02_대상물건입력'!B6="",1,IF(ISNUMBER(SEARCH('02_대상물건입력'!B6,B1592)),1,0)))</f>
        <v/>
      </c>
      <c r="P1592" s="152">
        <f>IF(L1592="","",IF('02_대상물건입력'!B15="",0,IF(ISNUMBER(SEARCH('02_대상물건입력'!B15,L1592)),1,0)))</f>
        <v/>
      </c>
      <c r="Q1592" s="152">
        <f>IF(OR(C1592="",L1592=""),0,IF(AND(TRIM(C1592)=TRIM(RIGHT(SUBSTITUTE(TRIM('02_대상물건입력'!$B$7)," ",REPT(" ",99)),99)),IF('02_대상물건입력'!B15="",TRUE(),ISNUMBER(SEARCH('02_대상물건입력'!B15,L1592)))),1,0))</f>
        <v/>
      </c>
      <c r="R1592" s="175">
        <f>IFERROR(ABS(E1592-'02_대상물건입력'!B11)/'02_대상물건입력'!B11,"")</f>
        <v/>
      </c>
      <c r="S1592" s="152">
        <f>IFERROR(ABS(J1592-'02_대상물건입력'!B10),"")</f>
        <v/>
      </c>
      <c r="T1592" s="152">
        <f>IFERROR(ABS('01_설정'!B4-F1592),"")</f>
        <v/>
      </c>
      <c r="U1592" s="152">
        <f>IFERROR(ABS(K1592-YEAR('02_대상물건입력'!B14)),"")</f>
        <v/>
      </c>
      <c r="V1592" s="152">
        <f>IF(B1592="","",IF(AND(E1592&gt;0,F1592&gt;0,H1592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1592=1,TRUE()),R1592&lt;='01_설정'!B5,S1592&lt;='01_설정'!B6,T1592&lt;='01_설정'!B7,U1592&lt;='01_설정'!B8),"Y",""))</f>
        <v/>
      </c>
      <c r="W1592" s="172">
        <f>IF(V1592&lt;&gt;"Y","",MAX(0,(1-R1592/'01_설정'!B5))*'01_설정'!B14+MAX(0,(1-S1592/'01_설정'!B6))*'01_설정'!B15+MAX(0,(1-T1592/'01_설정'!B7))*'01_설정'!B16+MAX(0,(1-U1592/'01_설정'!B8))*'01_설정'!B17+O1592*'01_설정'!B11+Q1592*'01_설정'!B12+P1592*'01_설정'!B13+IF(Z1592="",0,Z1592))</f>
        <v/>
      </c>
      <c r="X1592" s="152">
        <f>IF(W1592="","",1+COUNTIFS($W$4:$W$3003,"&gt;"&amp;W1592)+COUNTIFS($W$4:W1592,W1592)-1)</f>
        <v/>
      </c>
      <c r="Y1592" s="175">
        <f>IF(OR(I1592="",'02_대상물건입력'!B19="",'02_대상물건입력'!B19&lt;=0),"",ABS(I1592-'02_대상물건입력'!B19)/'02_대상물건입력'!B19)</f>
        <v/>
      </c>
      <c r="Z1592" s="172">
        <f>IF(OR(Y1592="",'01_설정'!B31="",'01_설정'!B31&lt;=0,'01_설정'!B32="",'01_설정'!B32&lt;=0),"",MAX(0,(1-Y1592/'01_설정'!B32))*'01_설정'!B31)</f>
        <v/>
      </c>
    </row>
    <row r="1593" ht="17.25" customHeight="1">
      <c r="A1593" s="152">
        <f>IF(INDEX('04A_국토부원자료'!$A:$A,ROW()+1)="","",ROW()-3)</f>
        <v/>
      </c>
      <c r="B1593" s="48">
        <f>IFERROR(INDEX('04A_국토부원자료'!$A:$T,ROW()+1,MATCH("시군구",'04A_국토부원자료'!$A$4:$T$4,0)),"")</f>
        <v/>
      </c>
      <c r="C1593" s="48">
        <f>IF(B1593="","",IFERROR(INDEX('04A_국토부원자료'!$A:$T,ROW()+1,MATCH("번지",'04A_국토부원자료'!$A$4:$T$4,0)),""))</f>
        <v/>
      </c>
      <c r="D1593" s="48">
        <f>IF(B1593="","",IF(Q1593=1,'02_대상물건입력'!$B$8,IFERROR(INDEX('04A_국토부원자료'!$A:$T,ROW()+1,MATCH("단지명",'04A_국토부원자료'!$A$4:$T$4,0)),"")))</f>
        <v/>
      </c>
      <c r="E1593" s="172">
        <f>IFERROR(VALUE(SUBSTITUTE(INDEX('04A_국토부원자료'!$A:$T,ROW()+1,MATCH("전용면적(㎡)",'04A_국토부원자료'!$A$4:$T$4,0)),",","")),"")</f>
        <v/>
      </c>
      <c r="F15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93" s="51">
        <f>IFERROR(VALUE(SUBSTITUTE(INDEX('04A_국토부원자료'!$A:$T,ROW()+1,MATCH("거래금액(만원)",'04A_국토부원자료'!$A$4:$T$4,0)),",","")),"")</f>
        <v/>
      </c>
      <c r="H1593" s="174">
        <f>IF(G1593="","",G1593*10000)</f>
        <v/>
      </c>
      <c r="I1593" s="174">
        <f>IFERROR(IF(AND(H1593&gt;0,E1593&gt;0),H1593/E1593,""),"")</f>
        <v/>
      </c>
      <c r="J1593" s="152">
        <f>IFERROR(VALUE(SUBSTITUTE(INDEX('04A_국토부원자료'!$A:$T,ROW()+1,MATCH("층",'04A_국토부원자료'!$A$4:$T$4,0)),",","")),"")</f>
        <v/>
      </c>
      <c r="K1593" s="152">
        <f>IFERROR(VALUE(SUBSTITUTE(INDEX('04A_국토부원자료'!$A:$T,ROW()+1,MATCH("건축년도",'04A_국토부원자료'!$A$4:$T$4,0)),",","")),"")</f>
        <v/>
      </c>
      <c r="L1593" s="176">
        <f>IFERROR(INDEX('04A_국토부원자료'!$A:$T,ROW()+1,MATCH("도로명",'04A_국토부원자료'!$A$4:$T$4,0)),"")</f>
        <v/>
      </c>
      <c r="M1593" s="48">
        <f>IFERROR(INDEX('04A_국토부원자료'!$A:$T,ROW()+1,MATCH("거래유형",'04A_국토부원자료'!$A$4:$T$4,0)),"")</f>
        <v/>
      </c>
      <c r="N1593" s="152">
        <f>IF(B1593="","",IF('02_대상물건입력'!B5="",1,IF(ISNUMBER(SEARCH('02_대상물건입력'!B5,B1593)),1,0)))</f>
        <v/>
      </c>
      <c r="O1593" s="152">
        <f>IF(B1593="","",IF('02_대상물건입력'!B6="",1,IF(ISNUMBER(SEARCH('02_대상물건입력'!B6,B1593)),1,0)))</f>
        <v/>
      </c>
      <c r="P1593" s="152">
        <f>IF(L1593="","",IF('02_대상물건입력'!B15="",0,IF(ISNUMBER(SEARCH('02_대상물건입력'!B15,L1593)),1,0)))</f>
        <v/>
      </c>
      <c r="Q1593" s="152">
        <f>IF(OR(C1593="",L1593=""),0,IF(AND(TRIM(C1593)=TRIM(RIGHT(SUBSTITUTE(TRIM('02_대상물건입력'!$B$7)," ",REPT(" ",99)),99)),IF('02_대상물건입력'!B15="",TRUE(),ISNUMBER(SEARCH('02_대상물건입력'!B15,L1593)))),1,0))</f>
        <v/>
      </c>
      <c r="R1593" s="175">
        <f>IFERROR(ABS(E1593-'02_대상물건입력'!B11)/'02_대상물건입력'!B11,"")</f>
        <v/>
      </c>
      <c r="S1593" s="152">
        <f>IFERROR(ABS(J1593-'02_대상물건입력'!B10),"")</f>
        <v/>
      </c>
      <c r="T1593" s="152">
        <f>IFERROR(ABS('01_설정'!B4-F1593),"")</f>
        <v/>
      </c>
      <c r="U1593" s="152">
        <f>IFERROR(ABS(K1593-YEAR('02_대상물건입력'!B14)),"")</f>
        <v/>
      </c>
      <c r="V1593" s="152">
        <f>IF(B1593="","",IF(AND(E1593&gt;0,F1593&gt;0,H1593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1593=1,TRUE()),R1593&lt;='01_설정'!B5,S1593&lt;='01_설정'!B6,T1593&lt;='01_설정'!B7,U1593&lt;='01_설정'!B8),"Y",""))</f>
        <v/>
      </c>
      <c r="W1593" s="172">
        <f>IF(V1593&lt;&gt;"Y","",MAX(0,(1-R1593/'01_설정'!B5))*'01_설정'!B14+MAX(0,(1-S1593/'01_설정'!B6))*'01_설정'!B15+MAX(0,(1-T1593/'01_설정'!B7))*'01_설정'!B16+MAX(0,(1-U1593/'01_설정'!B8))*'01_설정'!B17+O1593*'01_설정'!B11+Q1593*'01_설정'!B12+P1593*'01_설정'!B13+IF(Z1593="",0,Z1593))</f>
        <v/>
      </c>
      <c r="X1593" s="152">
        <f>IF(W1593="","",1+COUNTIFS($W$4:$W$3003,"&gt;"&amp;W1593)+COUNTIFS($W$4:W1593,W1593)-1)</f>
        <v/>
      </c>
      <c r="Y1593" s="175">
        <f>IF(OR(I1593="",'02_대상물건입력'!B19="",'02_대상물건입력'!B19&lt;=0),"",ABS(I1593-'02_대상물건입력'!B19)/'02_대상물건입력'!B19)</f>
        <v/>
      </c>
      <c r="Z1593" s="172">
        <f>IF(OR(Y1593="",'01_설정'!B31="",'01_설정'!B31&lt;=0,'01_설정'!B32="",'01_설정'!B32&lt;=0),"",MAX(0,(1-Y1593/'01_설정'!B32))*'01_설정'!B31)</f>
        <v/>
      </c>
    </row>
    <row r="1594" ht="17.25" customHeight="1">
      <c r="A1594" s="152">
        <f>IF(INDEX('04A_국토부원자료'!$A:$A,ROW()+1)="","",ROW()-3)</f>
        <v/>
      </c>
      <c r="B1594" s="48">
        <f>IFERROR(INDEX('04A_국토부원자료'!$A:$T,ROW()+1,MATCH("시군구",'04A_국토부원자료'!$A$4:$T$4,0)),"")</f>
        <v/>
      </c>
      <c r="C1594" s="48">
        <f>IF(B1594="","",IFERROR(INDEX('04A_국토부원자료'!$A:$T,ROW()+1,MATCH("번지",'04A_국토부원자료'!$A$4:$T$4,0)),""))</f>
        <v/>
      </c>
      <c r="D1594" s="48">
        <f>IF(B1594="","",IF(Q1594=1,'02_대상물건입력'!$B$8,IFERROR(INDEX('04A_국토부원자료'!$A:$T,ROW()+1,MATCH("단지명",'04A_국토부원자료'!$A$4:$T$4,0)),"")))</f>
        <v/>
      </c>
      <c r="E1594" s="172">
        <f>IFERROR(VALUE(SUBSTITUTE(INDEX('04A_국토부원자료'!$A:$T,ROW()+1,MATCH("전용면적(㎡)",'04A_국토부원자료'!$A$4:$T$4,0)),",","")),"")</f>
        <v/>
      </c>
      <c r="F15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94" s="51">
        <f>IFERROR(VALUE(SUBSTITUTE(INDEX('04A_국토부원자료'!$A:$T,ROW()+1,MATCH("거래금액(만원)",'04A_국토부원자료'!$A$4:$T$4,0)),",","")),"")</f>
        <v/>
      </c>
      <c r="H1594" s="174">
        <f>IF(G1594="","",G1594*10000)</f>
        <v/>
      </c>
      <c r="I1594" s="174">
        <f>IFERROR(IF(AND(H1594&gt;0,E1594&gt;0),H1594/E1594,""),"")</f>
        <v/>
      </c>
      <c r="J1594" s="152">
        <f>IFERROR(VALUE(SUBSTITUTE(INDEX('04A_국토부원자료'!$A:$T,ROW()+1,MATCH("층",'04A_국토부원자료'!$A$4:$T$4,0)),",","")),"")</f>
        <v/>
      </c>
      <c r="K1594" s="152">
        <f>IFERROR(VALUE(SUBSTITUTE(INDEX('04A_국토부원자료'!$A:$T,ROW()+1,MATCH("건축년도",'04A_국토부원자료'!$A$4:$T$4,0)),",","")),"")</f>
        <v/>
      </c>
      <c r="L1594" s="176">
        <f>IFERROR(INDEX('04A_국토부원자료'!$A:$T,ROW()+1,MATCH("도로명",'04A_국토부원자료'!$A$4:$T$4,0)),"")</f>
        <v/>
      </c>
      <c r="M1594" s="48">
        <f>IFERROR(INDEX('04A_국토부원자료'!$A:$T,ROW()+1,MATCH("거래유형",'04A_국토부원자료'!$A$4:$T$4,0)),"")</f>
        <v/>
      </c>
      <c r="N1594" s="152">
        <f>IF(B1594="","",IF('02_대상물건입력'!B5="",1,IF(ISNUMBER(SEARCH('02_대상물건입력'!B5,B1594)),1,0)))</f>
        <v/>
      </c>
      <c r="O1594" s="152">
        <f>IF(B1594="","",IF('02_대상물건입력'!B6="",1,IF(ISNUMBER(SEARCH('02_대상물건입력'!B6,B1594)),1,0)))</f>
        <v/>
      </c>
      <c r="P1594" s="152">
        <f>IF(L1594="","",IF('02_대상물건입력'!B15="",0,IF(ISNUMBER(SEARCH('02_대상물건입력'!B15,L1594)),1,0)))</f>
        <v/>
      </c>
      <c r="Q1594" s="152">
        <f>IF(OR(C1594="",L1594=""),0,IF(AND(TRIM(C1594)=TRIM(RIGHT(SUBSTITUTE(TRIM('02_대상물건입력'!$B$7)," ",REPT(" ",99)),99)),IF('02_대상물건입력'!B15="",TRUE(),ISNUMBER(SEARCH('02_대상물건입력'!B15,L1594)))),1,0))</f>
        <v/>
      </c>
      <c r="R1594" s="175">
        <f>IFERROR(ABS(E1594-'02_대상물건입력'!B11)/'02_대상물건입력'!B11,"")</f>
        <v/>
      </c>
      <c r="S1594" s="152">
        <f>IFERROR(ABS(J1594-'02_대상물건입력'!B10),"")</f>
        <v/>
      </c>
      <c r="T1594" s="152">
        <f>IFERROR(ABS('01_설정'!B4-F1594),"")</f>
        <v/>
      </c>
      <c r="U1594" s="152">
        <f>IFERROR(ABS(K1594-YEAR('02_대상물건입력'!B14)),"")</f>
        <v/>
      </c>
      <c r="V1594" s="152">
        <f>IF(B1594="","",IF(AND(E1594&gt;0,F1594&gt;0,H1594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1594=1,TRUE()),R1594&lt;='01_설정'!B5,S1594&lt;='01_설정'!B6,T1594&lt;='01_설정'!B7,U1594&lt;='01_설정'!B8),"Y",""))</f>
        <v/>
      </c>
      <c r="W1594" s="172">
        <f>IF(V1594&lt;&gt;"Y","",MAX(0,(1-R1594/'01_설정'!B5))*'01_설정'!B14+MAX(0,(1-S1594/'01_설정'!B6))*'01_설정'!B15+MAX(0,(1-T1594/'01_설정'!B7))*'01_설정'!B16+MAX(0,(1-U1594/'01_설정'!B8))*'01_설정'!B17+O1594*'01_설정'!B11+Q1594*'01_설정'!B12+P1594*'01_설정'!B13+IF(Z1594="",0,Z1594))</f>
        <v/>
      </c>
      <c r="X1594" s="152">
        <f>IF(W1594="","",1+COUNTIFS($W$4:$W$3003,"&gt;"&amp;W1594)+COUNTIFS($W$4:W1594,W1594)-1)</f>
        <v/>
      </c>
      <c r="Y1594" s="175">
        <f>IF(OR(I1594="",'02_대상물건입력'!B19="",'02_대상물건입력'!B19&lt;=0),"",ABS(I1594-'02_대상물건입력'!B19)/'02_대상물건입력'!B19)</f>
        <v/>
      </c>
      <c r="Z1594" s="172">
        <f>IF(OR(Y1594="",'01_설정'!B31="",'01_설정'!B31&lt;=0,'01_설정'!B32="",'01_설정'!B32&lt;=0),"",MAX(0,(1-Y1594/'01_설정'!B32))*'01_설정'!B31)</f>
        <v/>
      </c>
    </row>
    <row r="1595" ht="17.25" customHeight="1">
      <c r="A1595" s="152">
        <f>IF(INDEX('04A_국토부원자료'!$A:$A,ROW()+1)="","",ROW()-3)</f>
        <v/>
      </c>
      <c r="B1595" s="48">
        <f>IFERROR(INDEX('04A_국토부원자료'!$A:$T,ROW()+1,MATCH("시군구",'04A_국토부원자료'!$A$4:$T$4,0)),"")</f>
        <v/>
      </c>
      <c r="C1595" s="48">
        <f>IF(B1595="","",IFERROR(INDEX('04A_국토부원자료'!$A:$T,ROW()+1,MATCH("번지",'04A_국토부원자료'!$A$4:$T$4,0)),""))</f>
        <v/>
      </c>
      <c r="D1595" s="48">
        <f>IF(B1595="","",IF(Q1595=1,'02_대상물건입력'!$B$8,IFERROR(INDEX('04A_국토부원자료'!$A:$T,ROW()+1,MATCH("단지명",'04A_국토부원자료'!$A$4:$T$4,0)),"")))</f>
        <v/>
      </c>
      <c r="E1595" s="172">
        <f>IFERROR(VALUE(SUBSTITUTE(INDEX('04A_국토부원자료'!$A:$T,ROW()+1,MATCH("전용면적(㎡)",'04A_국토부원자료'!$A$4:$T$4,0)),",","")),"")</f>
        <v/>
      </c>
      <c r="F15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95" s="51">
        <f>IFERROR(VALUE(SUBSTITUTE(INDEX('04A_국토부원자료'!$A:$T,ROW()+1,MATCH("거래금액(만원)",'04A_국토부원자료'!$A$4:$T$4,0)),",","")),"")</f>
        <v/>
      </c>
      <c r="H1595" s="174">
        <f>IF(G1595="","",G1595*10000)</f>
        <v/>
      </c>
      <c r="I1595" s="174">
        <f>IFERROR(IF(AND(H1595&gt;0,E1595&gt;0),H1595/E1595,""),"")</f>
        <v/>
      </c>
      <c r="J1595" s="152">
        <f>IFERROR(VALUE(SUBSTITUTE(INDEX('04A_국토부원자료'!$A:$T,ROW()+1,MATCH("층",'04A_국토부원자료'!$A$4:$T$4,0)),",","")),"")</f>
        <v/>
      </c>
      <c r="K1595" s="152">
        <f>IFERROR(VALUE(SUBSTITUTE(INDEX('04A_국토부원자료'!$A:$T,ROW()+1,MATCH("건축년도",'04A_국토부원자료'!$A$4:$T$4,0)),",","")),"")</f>
        <v/>
      </c>
      <c r="L1595" s="176">
        <f>IFERROR(INDEX('04A_국토부원자료'!$A:$T,ROW()+1,MATCH("도로명",'04A_국토부원자료'!$A$4:$T$4,0)),"")</f>
        <v/>
      </c>
      <c r="M1595" s="48">
        <f>IFERROR(INDEX('04A_국토부원자료'!$A:$T,ROW()+1,MATCH("거래유형",'04A_국토부원자료'!$A$4:$T$4,0)),"")</f>
        <v/>
      </c>
      <c r="N1595" s="152">
        <f>IF(B1595="","",IF('02_대상물건입력'!B5="",1,IF(ISNUMBER(SEARCH('02_대상물건입력'!B5,B1595)),1,0)))</f>
        <v/>
      </c>
      <c r="O1595" s="152">
        <f>IF(B1595="","",IF('02_대상물건입력'!B6="",1,IF(ISNUMBER(SEARCH('02_대상물건입력'!B6,B1595)),1,0)))</f>
        <v/>
      </c>
      <c r="P1595" s="152">
        <f>IF(L1595="","",IF('02_대상물건입력'!B15="",0,IF(ISNUMBER(SEARCH('02_대상물건입력'!B15,L1595)),1,0)))</f>
        <v/>
      </c>
      <c r="Q1595" s="152">
        <f>IF(OR(C1595="",L1595=""),0,IF(AND(TRIM(C1595)=TRIM(RIGHT(SUBSTITUTE(TRIM('02_대상물건입력'!$B$7)," ",REPT(" ",99)),99)),IF('02_대상물건입력'!B15="",TRUE(),ISNUMBER(SEARCH('02_대상물건입력'!B15,L1595)))),1,0))</f>
        <v/>
      </c>
      <c r="R1595" s="175">
        <f>IFERROR(ABS(E1595-'02_대상물건입력'!B11)/'02_대상물건입력'!B11,"")</f>
        <v/>
      </c>
      <c r="S1595" s="152">
        <f>IFERROR(ABS(J1595-'02_대상물건입력'!B10),"")</f>
        <v/>
      </c>
      <c r="T1595" s="152">
        <f>IFERROR(ABS('01_설정'!B4-F1595),"")</f>
        <v/>
      </c>
      <c r="U1595" s="152">
        <f>IFERROR(ABS(K1595-YEAR('02_대상물건입력'!B14)),"")</f>
        <v/>
      </c>
      <c r="V1595" s="152">
        <f>IF(B1595="","",IF(AND(E1595&gt;0,F1595&gt;0,H1595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1595=1,TRUE()),R1595&lt;='01_설정'!B5,S1595&lt;='01_설정'!B6,T1595&lt;='01_설정'!B7,U1595&lt;='01_설정'!B8),"Y",""))</f>
        <v/>
      </c>
      <c r="W1595" s="172">
        <f>IF(V1595&lt;&gt;"Y","",MAX(0,(1-R1595/'01_설정'!B5))*'01_설정'!B14+MAX(0,(1-S1595/'01_설정'!B6))*'01_설정'!B15+MAX(0,(1-T1595/'01_설정'!B7))*'01_설정'!B16+MAX(0,(1-U1595/'01_설정'!B8))*'01_설정'!B17+O1595*'01_설정'!B11+Q1595*'01_설정'!B12+P1595*'01_설정'!B13+IF(Z1595="",0,Z1595))</f>
        <v/>
      </c>
      <c r="X1595" s="152">
        <f>IF(W1595="","",1+COUNTIFS($W$4:$W$3003,"&gt;"&amp;W1595)+COUNTIFS($W$4:W1595,W1595)-1)</f>
        <v/>
      </c>
      <c r="Y1595" s="175">
        <f>IF(OR(I1595="",'02_대상물건입력'!B19="",'02_대상물건입력'!B19&lt;=0),"",ABS(I1595-'02_대상물건입력'!B19)/'02_대상물건입력'!B19)</f>
        <v/>
      </c>
      <c r="Z1595" s="172">
        <f>IF(OR(Y1595="",'01_설정'!B31="",'01_설정'!B31&lt;=0,'01_설정'!B32="",'01_설정'!B32&lt;=0),"",MAX(0,(1-Y1595/'01_설정'!B32))*'01_설정'!B31)</f>
        <v/>
      </c>
    </row>
    <row r="1596" ht="17.25" customHeight="1">
      <c r="A1596" s="152">
        <f>IF(INDEX('04A_국토부원자료'!$A:$A,ROW()+1)="","",ROW()-3)</f>
        <v/>
      </c>
      <c r="B1596" s="48">
        <f>IFERROR(INDEX('04A_국토부원자료'!$A:$T,ROW()+1,MATCH("시군구",'04A_국토부원자료'!$A$4:$T$4,0)),"")</f>
        <v/>
      </c>
      <c r="C1596" s="48">
        <f>IF(B1596="","",IFERROR(INDEX('04A_국토부원자료'!$A:$T,ROW()+1,MATCH("번지",'04A_국토부원자료'!$A$4:$T$4,0)),""))</f>
        <v/>
      </c>
      <c r="D1596" s="48">
        <f>IF(B1596="","",IF(Q1596=1,'02_대상물건입력'!$B$8,IFERROR(INDEX('04A_국토부원자료'!$A:$T,ROW()+1,MATCH("단지명",'04A_국토부원자료'!$A$4:$T$4,0)),"")))</f>
        <v/>
      </c>
      <c r="E1596" s="172">
        <f>IFERROR(VALUE(SUBSTITUTE(INDEX('04A_국토부원자료'!$A:$T,ROW()+1,MATCH("전용면적(㎡)",'04A_국토부원자료'!$A$4:$T$4,0)),",","")),"")</f>
        <v/>
      </c>
      <c r="F15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96" s="51">
        <f>IFERROR(VALUE(SUBSTITUTE(INDEX('04A_국토부원자료'!$A:$T,ROW()+1,MATCH("거래금액(만원)",'04A_국토부원자료'!$A$4:$T$4,0)),",","")),"")</f>
        <v/>
      </c>
      <c r="H1596" s="174">
        <f>IF(G1596="","",G1596*10000)</f>
        <v/>
      </c>
      <c r="I1596" s="174">
        <f>IFERROR(IF(AND(H1596&gt;0,E1596&gt;0),H1596/E1596,""),"")</f>
        <v/>
      </c>
      <c r="J1596" s="152">
        <f>IFERROR(VALUE(SUBSTITUTE(INDEX('04A_국토부원자료'!$A:$T,ROW()+1,MATCH("층",'04A_국토부원자료'!$A$4:$T$4,0)),",","")),"")</f>
        <v/>
      </c>
      <c r="K1596" s="152">
        <f>IFERROR(VALUE(SUBSTITUTE(INDEX('04A_국토부원자료'!$A:$T,ROW()+1,MATCH("건축년도",'04A_국토부원자료'!$A$4:$T$4,0)),",","")),"")</f>
        <v/>
      </c>
      <c r="L1596" s="176">
        <f>IFERROR(INDEX('04A_국토부원자료'!$A:$T,ROW()+1,MATCH("도로명",'04A_국토부원자료'!$A$4:$T$4,0)),"")</f>
        <v/>
      </c>
      <c r="M1596" s="48">
        <f>IFERROR(INDEX('04A_국토부원자료'!$A:$T,ROW()+1,MATCH("거래유형",'04A_국토부원자료'!$A$4:$T$4,0)),"")</f>
        <v/>
      </c>
      <c r="N1596" s="152">
        <f>IF(B1596="","",IF('02_대상물건입력'!B5="",1,IF(ISNUMBER(SEARCH('02_대상물건입력'!B5,B1596)),1,0)))</f>
        <v/>
      </c>
      <c r="O1596" s="152">
        <f>IF(B1596="","",IF('02_대상물건입력'!B6="",1,IF(ISNUMBER(SEARCH('02_대상물건입력'!B6,B1596)),1,0)))</f>
        <v/>
      </c>
      <c r="P1596" s="152">
        <f>IF(L1596="","",IF('02_대상물건입력'!B15="",0,IF(ISNUMBER(SEARCH('02_대상물건입력'!B15,L1596)),1,0)))</f>
        <v/>
      </c>
      <c r="Q1596" s="152">
        <f>IF(OR(C1596="",L1596=""),0,IF(AND(TRIM(C1596)=TRIM(RIGHT(SUBSTITUTE(TRIM('02_대상물건입력'!$B$7)," ",REPT(" ",99)),99)),IF('02_대상물건입력'!B15="",TRUE(),ISNUMBER(SEARCH('02_대상물건입력'!B15,L1596)))),1,0))</f>
        <v/>
      </c>
      <c r="R1596" s="175">
        <f>IFERROR(ABS(E1596-'02_대상물건입력'!B11)/'02_대상물건입력'!B11,"")</f>
        <v/>
      </c>
      <c r="S1596" s="152">
        <f>IFERROR(ABS(J1596-'02_대상물건입력'!B10),"")</f>
        <v/>
      </c>
      <c r="T1596" s="152">
        <f>IFERROR(ABS('01_설정'!B4-F1596),"")</f>
        <v/>
      </c>
      <c r="U1596" s="152">
        <f>IFERROR(ABS(K1596-YEAR('02_대상물건입력'!B14)),"")</f>
        <v/>
      </c>
      <c r="V1596" s="152">
        <f>IF(B1596="","",IF(AND(E1596&gt;0,F1596&gt;0,H1596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1596=1,TRUE()),R1596&lt;='01_설정'!B5,S1596&lt;='01_설정'!B6,T1596&lt;='01_설정'!B7,U1596&lt;='01_설정'!B8),"Y",""))</f>
        <v/>
      </c>
      <c r="W1596" s="172">
        <f>IF(V1596&lt;&gt;"Y","",MAX(0,(1-R1596/'01_설정'!B5))*'01_설정'!B14+MAX(0,(1-S1596/'01_설정'!B6))*'01_설정'!B15+MAX(0,(1-T1596/'01_설정'!B7))*'01_설정'!B16+MAX(0,(1-U1596/'01_설정'!B8))*'01_설정'!B17+O1596*'01_설정'!B11+Q1596*'01_설정'!B12+P1596*'01_설정'!B13+IF(Z1596="",0,Z1596))</f>
        <v/>
      </c>
      <c r="X1596" s="152">
        <f>IF(W1596="","",1+COUNTIFS($W$4:$W$3003,"&gt;"&amp;W1596)+COUNTIFS($W$4:W1596,W1596)-1)</f>
        <v/>
      </c>
      <c r="Y1596" s="175">
        <f>IF(OR(I1596="",'02_대상물건입력'!B19="",'02_대상물건입력'!B19&lt;=0),"",ABS(I1596-'02_대상물건입력'!B19)/'02_대상물건입력'!B19)</f>
        <v/>
      </c>
      <c r="Z1596" s="172">
        <f>IF(OR(Y1596="",'01_설정'!B31="",'01_설정'!B31&lt;=0,'01_설정'!B32="",'01_설정'!B32&lt;=0),"",MAX(0,(1-Y1596/'01_설정'!B32))*'01_설정'!B31)</f>
        <v/>
      </c>
    </row>
    <row r="1597" ht="17.25" customHeight="1">
      <c r="A1597" s="152">
        <f>IF(INDEX('04A_국토부원자료'!$A:$A,ROW()+1)="","",ROW()-3)</f>
        <v/>
      </c>
      <c r="B1597" s="48">
        <f>IFERROR(INDEX('04A_국토부원자료'!$A:$T,ROW()+1,MATCH("시군구",'04A_국토부원자료'!$A$4:$T$4,0)),"")</f>
        <v/>
      </c>
      <c r="C1597" s="48">
        <f>IF(B1597="","",IFERROR(INDEX('04A_국토부원자료'!$A:$T,ROW()+1,MATCH("번지",'04A_국토부원자료'!$A$4:$T$4,0)),""))</f>
        <v/>
      </c>
      <c r="D1597" s="48">
        <f>IF(B1597="","",IF(Q1597=1,'02_대상물건입력'!$B$8,IFERROR(INDEX('04A_국토부원자료'!$A:$T,ROW()+1,MATCH("단지명",'04A_국토부원자료'!$A$4:$T$4,0)),"")))</f>
        <v/>
      </c>
      <c r="E1597" s="172">
        <f>IFERROR(VALUE(SUBSTITUTE(INDEX('04A_국토부원자료'!$A:$T,ROW()+1,MATCH("전용면적(㎡)",'04A_국토부원자료'!$A$4:$T$4,0)),",","")),"")</f>
        <v/>
      </c>
      <c r="F15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97" s="51">
        <f>IFERROR(VALUE(SUBSTITUTE(INDEX('04A_국토부원자료'!$A:$T,ROW()+1,MATCH("거래금액(만원)",'04A_국토부원자료'!$A$4:$T$4,0)),",","")),"")</f>
        <v/>
      </c>
      <c r="H1597" s="174">
        <f>IF(G1597="","",G1597*10000)</f>
        <v/>
      </c>
      <c r="I1597" s="174">
        <f>IFERROR(IF(AND(H1597&gt;0,E1597&gt;0),H1597/E1597,""),"")</f>
        <v/>
      </c>
      <c r="J1597" s="152">
        <f>IFERROR(VALUE(SUBSTITUTE(INDEX('04A_국토부원자료'!$A:$T,ROW()+1,MATCH("층",'04A_국토부원자료'!$A$4:$T$4,0)),",","")),"")</f>
        <v/>
      </c>
      <c r="K1597" s="152">
        <f>IFERROR(VALUE(SUBSTITUTE(INDEX('04A_국토부원자료'!$A:$T,ROW()+1,MATCH("건축년도",'04A_국토부원자료'!$A$4:$T$4,0)),",","")),"")</f>
        <v/>
      </c>
      <c r="L1597" s="176">
        <f>IFERROR(INDEX('04A_국토부원자료'!$A:$T,ROW()+1,MATCH("도로명",'04A_국토부원자료'!$A$4:$T$4,0)),"")</f>
        <v/>
      </c>
      <c r="M1597" s="48">
        <f>IFERROR(INDEX('04A_국토부원자료'!$A:$T,ROW()+1,MATCH("거래유형",'04A_국토부원자료'!$A$4:$T$4,0)),"")</f>
        <v/>
      </c>
      <c r="N1597" s="152">
        <f>IF(B1597="","",IF('02_대상물건입력'!B5="",1,IF(ISNUMBER(SEARCH('02_대상물건입력'!B5,B1597)),1,0)))</f>
        <v/>
      </c>
      <c r="O1597" s="152">
        <f>IF(B1597="","",IF('02_대상물건입력'!B6="",1,IF(ISNUMBER(SEARCH('02_대상물건입력'!B6,B1597)),1,0)))</f>
        <v/>
      </c>
      <c r="P1597" s="152">
        <f>IF(L1597="","",IF('02_대상물건입력'!B15="",0,IF(ISNUMBER(SEARCH('02_대상물건입력'!B15,L1597)),1,0)))</f>
        <v/>
      </c>
      <c r="Q1597" s="152">
        <f>IF(OR(C1597="",L1597=""),0,IF(AND(TRIM(C1597)=TRIM(RIGHT(SUBSTITUTE(TRIM('02_대상물건입력'!$B$7)," ",REPT(" ",99)),99)),IF('02_대상물건입력'!B15="",TRUE(),ISNUMBER(SEARCH('02_대상물건입력'!B15,L1597)))),1,0))</f>
        <v/>
      </c>
      <c r="R1597" s="175">
        <f>IFERROR(ABS(E1597-'02_대상물건입력'!B11)/'02_대상물건입력'!B11,"")</f>
        <v/>
      </c>
      <c r="S1597" s="152">
        <f>IFERROR(ABS(J1597-'02_대상물건입력'!B10),"")</f>
        <v/>
      </c>
      <c r="T1597" s="152">
        <f>IFERROR(ABS('01_설정'!B4-F1597),"")</f>
        <v/>
      </c>
      <c r="U1597" s="152">
        <f>IFERROR(ABS(K1597-YEAR('02_대상물건입력'!B14)),"")</f>
        <v/>
      </c>
      <c r="V1597" s="152">
        <f>IF(B1597="","",IF(AND(E1597&gt;0,F1597&gt;0,H1597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1597=1,TRUE()),R1597&lt;='01_설정'!B5,S1597&lt;='01_설정'!B6,T1597&lt;='01_설정'!B7,U1597&lt;='01_설정'!B8),"Y",""))</f>
        <v/>
      </c>
      <c r="W1597" s="172">
        <f>IF(V1597&lt;&gt;"Y","",MAX(0,(1-R1597/'01_설정'!B5))*'01_설정'!B14+MAX(0,(1-S1597/'01_설정'!B6))*'01_설정'!B15+MAX(0,(1-T1597/'01_설정'!B7))*'01_설정'!B16+MAX(0,(1-U1597/'01_설정'!B8))*'01_설정'!B17+O1597*'01_설정'!B11+Q1597*'01_설정'!B12+P1597*'01_설정'!B13+IF(Z1597="",0,Z1597))</f>
        <v/>
      </c>
      <c r="X1597" s="152">
        <f>IF(W1597="","",1+COUNTIFS($W$4:$W$3003,"&gt;"&amp;W1597)+COUNTIFS($W$4:W1597,W1597)-1)</f>
        <v/>
      </c>
      <c r="Y1597" s="175">
        <f>IF(OR(I1597="",'02_대상물건입력'!B19="",'02_대상물건입력'!B19&lt;=0),"",ABS(I1597-'02_대상물건입력'!B19)/'02_대상물건입력'!B19)</f>
        <v/>
      </c>
      <c r="Z1597" s="172">
        <f>IF(OR(Y1597="",'01_설정'!B31="",'01_설정'!B31&lt;=0,'01_설정'!B32="",'01_설정'!B32&lt;=0),"",MAX(0,(1-Y1597/'01_설정'!B32))*'01_설정'!B31)</f>
        <v/>
      </c>
    </row>
    <row r="1598" ht="17.25" customHeight="1">
      <c r="A1598" s="152">
        <f>IF(INDEX('04A_국토부원자료'!$A:$A,ROW()+1)="","",ROW()-3)</f>
        <v/>
      </c>
      <c r="B1598" s="48">
        <f>IFERROR(INDEX('04A_국토부원자료'!$A:$T,ROW()+1,MATCH("시군구",'04A_국토부원자료'!$A$4:$T$4,0)),"")</f>
        <v/>
      </c>
      <c r="C1598" s="48">
        <f>IF(B1598="","",IFERROR(INDEX('04A_국토부원자료'!$A:$T,ROW()+1,MATCH("번지",'04A_국토부원자료'!$A$4:$T$4,0)),""))</f>
        <v/>
      </c>
      <c r="D1598" s="48">
        <f>IF(B1598="","",IF(Q1598=1,'02_대상물건입력'!$B$8,IFERROR(INDEX('04A_국토부원자료'!$A:$T,ROW()+1,MATCH("단지명",'04A_국토부원자료'!$A$4:$T$4,0)),"")))</f>
        <v/>
      </c>
      <c r="E1598" s="172">
        <f>IFERROR(VALUE(SUBSTITUTE(INDEX('04A_국토부원자료'!$A:$T,ROW()+1,MATCH("전용면적(㎡)",'04A_국토부원자료'!$A$4:$T$4,0)),",","")),"")</f>
        <v/>
      </c>
      <c r="F15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98" s="51">
        <f>IFERROR(VALUE(SUBSTITUTE(INDEX('04A_국토부원자료'!$A:$T,ROW()+1,MATCH("거래금액(만원)",'04A_국토부원자료'!$A$4:$T$4,0)),",","")),"")</f>
        <v/>
      </c>
      <c r="H1598" s="174">
        <f>IF(G1598="","",G1598*10000)</f>
        <v/>
      </c>
      <c r="I1598" s="174">
        <f>IFERROR(IF(AND(H1598&gt;0,E1598&gt;0),H1598/E1598,""),"")</f>
        <v/>
      </c>
      <c r="J1598" s="152">
        <f>IFERROR(VALUE(SUBSTITUTE(INDEX('04A_국토부원자료'!$A:$T,ROW()+1,MATCH("층",'04A_국토부원자료'!$A$4:$T$4,0)),",","")),"")</f>
        <v/>
      </c>
      <c r="K1598" s="152">
        <f>IFERROR(VALUE(SUBSTITUTE(INDEX('04A_국토부원자료'!$A:$T,ROW()+1,MATCH("건축년도",'04A_국토부원자료'!$A$4:$T$4,0)),",","")),"")</f>
        <v/>
      </c>
      <c r="L1598" s="176">
        <f>IFERROR(INDEX('04A_국토부원자료'!$A:$T,ROW()+1,MATCH("도로명",'04A_국토부원자료'!$A$4:$T$4,0)),"")</f>
        <v/>
      </c>
      <c r="M1598" s="48">
        <f>IFERROR(INDEX('04A_국토부원자료'!$A:$T,ROW()+1,MATCH("거래유형",'04A_국토부원자료'!$A$4:$T$4,0)),"")</f>
        <v/>
      </c>
      <c r="N1598" s="152">
        <f>IF(B1598="","",IF('02_대상물건입력'!B5="",1,IF(ISNUMBER(SEARCH('02_대상물건입력'!B5,B1598)),1,0)))</f>
        <v/>
      </c>
      <c r="O1598" s="152">
        <f>IF(B1598="","",IF('02_대상물건입력'!B6="",1,IF(ISNUMBER(SEARCH('02_대상물건입력'!B6,B1598)),1,0)))</f>
        <v/>
      </c>
      <c r="P1598" s="152">
        <f>IF(L1598="","",IF('02_대상물건입력'!B15="",0,IF(ISNUMBER(SEARCH('02_대상물건입력'!B15,L1598)),1,0)))</f>
        <v/>
      </c>
      <c r="Q1598" s="152">
        <f>IF(OR(C1598="",L1598=""),0,IF(AND(TRIM(C1598)=TRIM(RIGHT(SUBSTITUTE(TRIM('02_대상물건입력'!$B$7)," ",REPT(" ",99)),99)),IF('02_대상물건입력'!B15="",TRUE(),ISNUMBER(SEARCH('02_대상물건입력'!B15,L1598)))),1,0))</f>
        <v/>
      </c>
      <c r="R1598" s="175">
        <f>IFERROR(ABS(E1598-'02_대상물건입력'!B11)/'02_대상물건입력'!B11,"")</f>
        <v/>
      </c>
      <c r="S1598" s="152">
        <f>IFERROR(ABS(J1598-'02_대상물건입력'!B10),"")</f>
        <v/>
      </c>
      <c r="T1598" s="152">
        <f>IFERROR(ABS('01_설정'!B4-F1598),"")</f>
        <v/>
      </c>
      <c r="U1598" s="152">
        <f>IFERROR(ABS(K1598-YEAR('02_대상물건입력'!B14)),"")</f>
        <v/>
      </c>
      <c r="V1598" s="152">
        <f>IF(B1598="","",IF(AND(E1598&gt;0,F1598&gt;0,H1598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1598=1,TRUE()),R1598&lt;='01_설정'!B5,S1598&lt;='01_설정'!B6,T1598&lt;='01_설정'!B7,U1598&lt;='01_설정'!B8),"Y",""))</f>
        <v/>
      </c>
      <c r="W1598" s="172">
        <f>IF(V1598&lt;&gt;"Y","",MAX(0,(1-R1598/'01_설정'!B5))*'01_설정'!B14+MAX(0,(1-S1598/'01_설정'!B6))*'01_설정'!B15+MAX(0,(1-T1598/'01_설정'!B7))*'01_설정'!B16+MAX(0,(1-U1598/'01_설정'!B8))*'01_설정'!B17+O1598*'01_설정'!B11+Q1598*'01_설정'!B12+P1598*'01_설정'!B13+IF(Z1598="",0,Z1598))</f>
        <v/>
      </c>
      <c r="X1598" s="152">
        <f>IF(W1598="","",1+COUNTIFS($W$4:$W$3003,"&gt;"&amp;W1598)+COUNTIFS($W$4:W1598,W1598)-1)</f>
        <v/>
      </c>
      <c r="Y1598" s="175">
        <f>IF(OR(I1598="",'02_대상물건입력'!B19="",'02_대상물건입력'!B19&lt;=0),"",ABS(I1598-'02_대상물건입력'!B19)/'02_대상물건입력'!B19)</f>
        <v/>
      </c>
      <c r="Z1598" s="172">
        <f>IF(OR(Y1598="",'01_설정'!B31="",'01_설정'!B31&lt;=0,'01_설정'!B32="",'01_설정'!B32&lt;=0),"",MAX(0,(1-Y1598/'01_설정'!B32))*'01_설정'!B31)</f>
        <v/>
      </c>
    </row>
    <row r="1599" ht="17.25" customHeight="1">
      <c r="A1599" s="152">
        <f>IF(INDEX('04A_국토부원자료'!$A:$A,ROW()+1)="","",ROW()-3)</f>
        <v/>
      </c>
      <c r="B1599" s="48">
        <f>IFERROR(INDEX('04A_국토부원자료'!$A:$T,ROW()+1,MATCH("시군구",'04A_국토부원자료'!$A$4:$T$4,0)),"")</f>
        <v/>
      </c>
      <c r="C1599" s="48">
        <f>IF(B1599="","",IFERROR(INDEX('04A_국토부원자료'!$A:$T,ROW()+1,MATCH("번지",'04A_국토부원자료'!$A$4:$T$4,0)),""))</f>
        <v/>
      </c>
      <c r="D1599" s="48">
        <f>IF(B1599="","",IF(Q1599=1,'02_대상물건입력'!$B$8,IFERROR(INDEX('04A_국토부원자료'!$A:$T,ROW()+1,MATCH("단지명",'04A_국토부원자료'!$A$4:$T$4,0)),"")))</f>
        <v/>
      </c>
      <c r="E1599" s="172">
        <f>IFERROR(VALUE(SUBSTITUTE(INDEX('04A_국토부원자료'!$A:$T,ROW()+1,MATCH("전용면적(㎡)",'04A_국토부원자료'!$A$4:$T$4,0)),",","")),"")</f>
        <v/>
      </c>
      <c r="F15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599" s="51">
        <f>IFERROR(VALUE(SUBSTITUTE(INDEX('04A_국토부원자료'!$A:$T,ROW()+1,MATCH("거래금액(만원)",'04A_국토부원자료'!$A$4:$T$4,0)),",","")),"")</f>
        <v/>
      </c>
      <c r="H1599" s="174">
        <f>IF(G1599="","",G1599*10000)</f>
        <v/>
      </c>
      <c r="I1599" s="174">
        <f>IFERROR(IF(AND(H1599&gt;0,E1599&gt;0),H1599/E1599,""),"")</f>
        <v/>
      </c>
      <c r="J1599" s="152">
        <f>IFERROR(VALUE(SUBSTITUTE(INDEX('04A_국토부원자료'!$A:$T,ROW()+1,MATCH("층",'04A_국토부원자료'!$A$4:$T$4,0)),",","")),"")</f>
        <v/>
      </c>
      <c r="K1599" s="152">
        <f>IFERROR(VALUE(SUBSTITUTE(INDEX('04A_국토부원자료'!$A:$T,ROW()+1,MATCH("건축년도",'04A_국토부원자료'!$A$4:$T$4,0)),",","")),"")</f>
        <v/>
      </c>
      <c r="L1599" s="176">
        <f>IFERROR(INDEX('04A_국토부원자료'!$A:$T,ROW()+1,MATCH("도로명",'04A_국토부원자료'!$A$4:$T$4,0)),"")</f>
        <v/>
      </c>
      <c r="M1599" s="48">
        <f>IFERROR(INDEX('04A_국토부원자료'!$A:$T,ROW()+1,MATCH("거래유형",'04A_국토부원자료'!$A$4:$T$4,0)),"")</f>
        <v/>
      </c>
      <c r="N1599" s="152">
        <f>IF(B1599="","",IF('02_대상물건입력'!B5="",1,IF(ISNUMBER(SEARCH('02_대상물건입력'!B5,B1599)),1,0)))</f>
        <v/>
      </c>
      <c r="O1599" s="152">
        <f>IF(B1599="","",IF('02_대상물건입력'!B6="",1,IF(ISNUMBER(SEARCH('02_대상물건입력'!B6,B1599)),1,0)))</f>
        <v/>
      </c>
      <c r="P1599" s="152">
        <f>IF(L1599="","",IF('02_대상물건입력'!B15="",0,IF(ISNUMBER(SEARCH('02_대상물건입력'!B15,L1599)),1,0)))</f>
        <v/>
      </c>
      <c r="Q1599" s="152">
        <f>IF(OR(C1599="",L1599=""),0,IF(AND(TRIM(C1599)=TRIM(RIGHT(SUBSTITUTE(TRIM('02_대상물건입력'!$B$7)," ",REPT(" ",99)),99)),IF('02_대상물건입력'!B15="",TRUE(),ISNUMBER(SEARCH('02_대상물건입력'!B15,L1599)))),1,0))</f>
        <v/>
      </c>
      <c r="R1599" s="175">
        <f>IFERROR(ABS(E1599-'02_대상물건입력'!B11)/'02_대상물건입력'!B11,"")</f>
        <v/>
      </c>
      <c r="S1599" s="152">
        <f>IFERROR(ABS(J1599-'02_대상물건입력'!B10),"")</f>
        <v/>
      </c>
      <c r="T1599" s="152">
        <f>IFERROR(ABS('01_설정'!B4-F1599),"")</f>
        <v/>
      </c>
      <c r="U1599" s="152">
        <f>IFERROR(ABS(K1599-YEAR('02_대상물건입력'!B14)),"")</f>
        <v/>
      </c>
      <c r="V1599" s="152">
        <f>IF(B1599="","",IF(AND(E1599&gt;0,F1599&gt;0,H1599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1599=1,TRUE()),R1599&lt;='01_설정'!B5,S1599&lt;='01_설정'!B6,T1599&lt;='01_설정'!B7,U1599&lt;='01_설정'!B8),"Y",""))</f>
        <v/>
      </c>
      <c r="W1599" s="172">
        <f>IF(V1599&lt;&gt;"Y","",MAX(0,(1-R1599/'01_설정'!B5))*'01_설정'!B14+MAX(0,(1-S1599/'01_설정'!B6))*'01_설정'!B15+MAX(0,(1-T1599/'01_설정'!B7))*'01_설정'!B16+MAX(0,(1-U1599/'01_설정'!B8))*'01_설정'!B17+O1599*'01_설정'!B11+Q1599*'01_설정'!B12+P1599*'01_설정'!B13+IF(Z1599="",0,Z1599))</f>
        <v/>
      </c>
      <c r="X1599" s="152">
        <f>IF(W1599="","",1+COUNTIFS($W$4:$W$3003,"&gt;"&amp;W1599)+COUNTIFS($W$4:W1599,W1599)-1)</f>
        <v/>
      </c>
      <c r="Y1599" s="175">
        <f>IF(OR(I1599="",'02_대상물건입력'!B19="",'02_대상물건입력'!B19&lt;=0),"",ABS(I1599-'02_대상물건입력'!B19)/'02_대상물건입력'!B19)</f>
        <v/>
      </c>
      <c r="Z1599" s="172">
        <f>IF(OR(Y1599="",'01_설정'!B31="",'01_설정'!B31&lt;=0,'01_설정'!B32="",'01_설정'!B32&lt;=0),"",MAX(0,(1-Y1599/'01_설정'!B32))*'01_설정'!B31)</f>
        <v/>
      </c>
    </row>
    <row r="1600" ht="17.25" customHeight="1">
      <c r="A1600" s="152">
        <f>IF(INDEX('04A_국토부원자료'!$A:$A,ROW()+1)="","",ROW()-3)</f>
        <v/>
      </c>
      <c r="B1600" s="48">
        <f>IFERROR(INDEX('04A_국토부원자료'!$A:$T,ROW()+1,MATCH("시군구",'04A_국토부원자료'!$A$4:$T$4,0)),"")</f>
        <v/>
      </c>
      <c r="C1600" s="48">
        <f>IF(B1600="","",IFERROR(INDEX('04A_국토부원자료'!$A:$T,ROW()+1,MATCH("번지",'04A_국토부원자료'!$A$4:$T$4,0)),""))</f>
        <v/>
      </c>
      <c r="D1600" s="48">
        <f>IF(B1600="","",IF(Q1600=1,'02_대상물건입력'!$B$8,IFERROR(INDEX('04A_국토부원자료'!$A:$T,ROW()+1,MATCH("단지명",'04A_국토부원자료'!$A$4:$T$4,0)),"")))</f>
        <v/>
      </c>
      <c r="E1600" s="172">
        <f>IFERROR(VALUE(SUBSTITUTE(INDEX('04A_국토부원자료'!$A:$T,ROW()+1,MATCH("전용면적(㎡)",'04A_국토부원자료'!$A$4:$T$4,0)),",","")),"")</f>
        <v/>
      </c>
      <c r="F16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00" s="51">
        <f>IFERROR(VALUE(SUBSTITUTE(INDEX('04A_국토부원자료'!$A:$T,ROW()+1,MATCH("거래금액(만원)",'04A_국토부원자료'!$A$4:$T$4,0)),",","")),"")</f>
        <v/>
      </c>
      <c r="H1600" s="174">
        <f>IF(G1600="","",G1600*10000)</f>
        <v/>
      </c>
      <c r="I1600" s="174">
        <f>IFERROR(IF(AND(H1600&gt;0,E1600&gt;0),H1600/E1600,""),"")</f>
        <v/>
      </c>
      <c r="J1600" s="152">
        <f>IFERROR(VALUE(SUBSTITUTE(INDEX('04A_국토부원자료'!$A:$T,ROW()+1,MATCH("층",'04A_국토부원자료'!$A$4:$T$4,0)),",","")),"")</f>
        <v/>
      </c>
      <c r="K1600" s="152">
        <f>IFERROR(VALUE(SUBSTITUTE(INDEX('04A_국토부원자료'!$A:$T,ROW()+1,MATCH("건축년도",'04A_국토부원자료'!$A$4:$T$4,0)),",","")),"")</f>
        <v/>
      </c>
      <c r="L1600" s="176">
        <f>IFERROR(INDEX('04A_국토부원자료'!$A:$T,ROW()+1,MATCH("도로명",'04A_국토부원자료'!$A$4:$T$4,0)),"")</f>
        <v/>
      </c>
      <c r="M1600" s="48">
        <f>IFERROR(INDEX('04A_국토부원자료'!$A:$T,ROW()+1,MATCH("거래유형",'04A_국토부원자료'!$A$4:$T$4,0)),"")</f>
        <v/>
      </c>
      <c r="N1600" s="152">
        <f>IF(B1600="","",IF('02_대상물건입력'!B5="",1,IF(ISNUMBER(SEARCH('02_대상물건입력'!B5,B1600)),1,0)))</f>
        <v/>
      </c>
      <c r="O1600" s="152">
        <f>IF(B1600="","",IF('02_대상물건입력'!B6="",1,IF(ISNUMBER(SEARCH('02_대상물건입력'!B6,B1600)),1,0)))</f>
        <v/>
      </c>
      <c r="P1600" s="152">
        <f>IF(L1600="","",IF('02_대상물건입력'!B15="",0,IF(ISNUMBER(SEARCH('02_대상물건입력'!B15,L1600)),1,0)))</f>
        <v/>
      </c>
      <c r="Q1600" s="152">
        <f>IF(OR(C1600="",L1600=""),0,IF(AND(TRIM(C1600)=TRIM(RIGHT(SUBSTITUTE(TRIM('02_대상물건입력'!$B$7)," ",REPT(" ",99)),99)),IF('02_대상물건입력'!B15="",TRUE(),ISNUMBER(SEARCH('02_대상물건입력'!B15,L1600)))),1,0))</f>
        <v/>
      </c>
      <c r="R1600" s="175">
        <f>IFERROR(ABS(E1600-'02_대상물건입력'!B11)/'02_대상물건입력'!B11,"")</f>
        <v/>
      </c>
      <c r="S1600" s="152">
        <f>IFERROR(ABS(J1600-'02_대상물건입력'!B10),"")</f>
        <v/>
      </c>
      <c r="T1600" s="152">
        <f>IFERROR(ABS('01_설정'!B4-F1600),"")</f>
        <v/>
      </c>
      <c r="U1600" s="152">
        <f>IFERROR(ABS(K1600-YEAR('02_대상물건입력'!B14)),"")</f>
        <v/>
      </c>
      <c r="V1600" s="152">
        <f>IF(B1600="","",IF(AND(E1600&gt;0,F1600&gt;0,H1600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1600=1,TRUE()),R1600&lt;='01_설정'!B5,S1600&lt;='01_설정'!B6,T1600&lt;='01_설정'!B7,U1600&lt;='01_설정'!B8),"Y",""))</f>
        <v/>
      </c>
      <c r="W1600" s="172">
        <f>IF(V1600&lt;&gt;"Y","",MAX(0,(1-R1600/'01_설정'!B5))*'01_설정'!B14+MAX(0,(1-S1600/'01_설정'!B6))*'01_설정'!B15+MAX(0,(1-T1600/'01_설정'!B7))*'01_설정'!B16+MAX(0,(1-U1600/'01_설정'!B8))*'01_설정'!B17+O1600*'01_설정'!B11+Q1600*'01_설정'!B12+P1600*'01_설정'!B13+IF(Z1600="",0,Z1600))</f>
        <v/>
      </c>
      <c r="X1600" s="152">
        <f>IF(W1600="","",1+COUNTIFS($W$4:$W$3003,"&gt;"&amp;W1600)+COUNTIFS($W$4:W1600,W1600)-1)</f>
        <v/>
      </c>
      <c r="Y1600" s="175">
        <f>IF(OR(I1600="",'02_대상물건입력'!B19="",'02_대상물건입력'!B19&lt;=0),"",ABS(I1600-'02_대상물건입력'!B19)/'02_대상물건입력'!B19)</f>
        <v/>
      </c>
      <c r="Z1600" s="172">
        <f>IF(OR(Y1600="",'01_설정'!B31="",'01_설정'!B31&lt;=0,'01_설정'!B32="",'01_설정'!B32&lt;=0),"",MAX(0,(1-Y1600/'01_설정'!B32))*'01_설정'!B31)</f>
        <v/>
      </c>
    </row>
    <row r="1601" ht="17.25" customHeight="1">
      <c r="A1601" s="152">
        <f>IF(INDEX('04A_국토부원자료'!$A:$A,ROW()+1)="","",ROW()-3)</f>
        <v/>
      </c>
      <c r="B1601" s="48">
        <f>IFERROR(INDEX('04A_국토부원자료'!$A:$T,ROW()+1,MATCH("시군구",'04A_국토부원자료'!$A$4:$T$4,0)),"")</f>
        <v/>
      </c>
      <c r="C1601" s="48">
        <f>IF(B1601="","",IFERROR(INDEX('04A_국토부원자료'!$A:$T,ROW()+1,MATCH("번지",'04A_국토부원자료'!$A$4:$T$4,0)),""))</f>
        <v/>
      </c>
      <c r="D1601" s="48">
        <f>IF(B1601="","",IF(Q1601=1,'02_대상물건입력'!$B$8,IFERROR(INDEX('04A_국토부원자료'!$A:$T,ROW()+1,MATCH("단지명",'04A_국토부원자료'!$A$4:$T$4,0)),"")))</f>
        <v/>
      </c>
      <c r="E1601" s="172">
        <f>IFERROR(VALUE(SUBSTITUTE(INDEX('04A_국토부원자료'!$A:$T,ROW()+1,MATCH("전용면적(㎡)",'04A_국토부원자료'!$A$4:$T$4,0)),",","")),"")</f>
        <v/>
      </c>
      <c r="F16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01" s="51">
        <f>IFERROR(VALUE(SUBSTITUTE(INDEX('04A_국토부원자료'!$A:$T,ROW()+1,MATCH("거래금액(만원)",'04A_국토부원자료'!$A$4:$T$4,0)),",","")),"")</f>
        <v/>
      </c>
      <c r="H1601" s="174">
        <f>IF(G1601="","",G1601*10000)</f>
        <v/>
      </c>
      <c r="I1601" s="174">
        <f>IFERROR(IF(AND(H1601&gt;0,E1601&gt;0),H1601/E1601,""),"")</f>
        <v/>
      </c>
      <c r="J1601" s="152">
        <f>IFERROR(VALUE(SUBSTITUTE(INDEX('04A_국토부원자료'!$A:$T,ROW()+1,MATCH("층",'04A_국토부원자료'!$A$4:$T$4,0)),",","")),"")</f>
        <v/>
      </c>
      <c r="K1601" s="152">
        <f>IFERROR(VALUE(SUBSTITUTE(INDEX('04A_국토부원자료'!$A:$T,ROW()+1,MATCH("건축년도",'04A_국토부원자료'!$A$4:$T$4,0)),",","")),"")</f>
        <v/>
      </c>
      <c r="L1601" s="176">
        <f>IFERROR(INDEX('04A_국토부원자료'!$A:$T,ROW()+1,MATCH("도로명",'04A_국토부원자료'!$A$4:$T$4,0)),"")</f>
        <v/>
      </c>
      <c r="M1601" s="48">
        <f>IFERROR(INDEX('04A_국토부원자료'!$A:$T,ROW()+1,MATCH("거래유형",'04A_국토부원자료'!$A$4:$T$4,0)),"")</f>
        <v/>
      </c>
      <c r="N1601" s="152">
        <f>IF(B1601="","",IF('02_대상물건입력'!B5="",1,IF(ISNUMBER(SEARCH('02_대상물건입력'!B5,B1601)),1,0)))</f>
        <v/>
      </c>
      <c r="O1601" s="152">
        <f>IF(B1601="","",IF('02_대상물건입력'!B6="",1,IF(ISNUMBER(SEARCH('02_대상물건입력'!B6,B1601)),1,0)))</f>
        <v/>
      </c>
      <c r="P1601" s="152">
        <f>IF(L1601="","",IF('02_대상물건입력'!B15="",0,IF(ISNUMBER(SEARCH('02_대상물건입력'!B15,L1601)),1,0)))</f>
        <v/>
      </c>
      <c r="Q1601" s="152">
        <f>IF(OR(C1601="",L1601=""),0,IF(AND(TRIM(C1601)=TRIM(RIGHT(SUBSTITUTE(TRIM('02_대상물건입력'!$B$7)," ",REPT(" ",99)),99)),IF('02_대상물건입력'!B15="",TRUE(),ISNUMBER(SEARCH('02_대상물건입력'!B15,L1601)))),1,0))</f>
        <v/>
      </c>
      <c r="R1601" s="175">
        <f>IFERROR(ABS(E1601-'02_대상물건입력'!B11)/'02_대상물건입력'!B11,"")</f>
        <v/>
      </c>
      <c r="S1601" s="152">
        <f>IFERROR(ABS(J1601-'02_대상물건입력'!B10),"")</f>
        <v/>
      </c>
      <c r="T1601" s="152">
        <f>IFERROR(ABS('01_설정'!B4-F1601),"")</f>
        <v/>
      </c>
      <c r="U1601" s="152">
        <f>IFERROR(ABS(K1601-YEAR('02_대상물건입력'!B14)),"")</f>
        <v/>
      </c>
      <c r="V1601" s="152">
        <f>IF(B1601="","",IF(AND(E1601&gt;0,F1601&gt;0,H1601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1601=1,TRUE()),R1601&lt;='01_설정'!B5,S1601&lt;='01_설정'!B6,T1601&lt;='01_설정'!B7,U1601&lt;='01_설정'!B8),"Y",""))</f>
        <v/>
      </c>
      <c r="W1601" s="172">
        <f>IF(V1601&lt;&gt;"Y","",MAX(0,(1-R1601/'01_설정'!B5))*'01_설정'!B14+MAX(0,(1-S1601/'01_설정'!B6))*'01_설정'!B15+MAX(0,(1-T1601/'01_설정'!B7))*'01_설정'!B16+MAX(0,(1-U1601/'01_설정'!B8))*'01_설정'!B17+O1601*'01_설정'!B11+Q1601*'01_설정'!B12+P1601*'01_설정'!B13+IF(Z1601="",0,Z1601))</f>
        <v/>
      </c>
      <c r="X1601" s="152">
        <f>IF(W1601="","",1+COUNTIFS($W$4:$W$3003,"&gt;"&amp;W1601)+COUNTIFS($W$4:W1601,W1601)-1)</f>
        <v/>
      </c>
      <c r="Y1601" s="175">
        <f>IF(OR(I1601="",'02_대상물건입력'!B19="",'02_대상물건입력'!B19&lt;=0),"",ABS(I1601-'02_대상물건입력'!B19)/'02_대상물건입력'!B19)</f>
        <v/>
      </c>
      <c r="Z1601" s="172">
        <f>IF(OR(Y1601="",'01_설정'!B31="",'01_설정'!B31&lt;=0,'01_설정'!B32="",'01_설정'!B32&lt;=0),"",MAX(0,(1-Y1601/'01_설정'!B32))*'01_설정'!B31)</f>
        <v/>
      </c>
    </row>
    <row r="1602" ht="17.25" customHeight="1">
      <c r="A1602" s="152">
        <f>IF(INDEX('04A_국토부원자료'!$A:$A,ROW()+1)="","",ROW()-3)</f>
        <v/>
      </c>
      <c r="B1602" s="48">
        <f>IFERROR(INDEX('04A_국토부원자료'!$A:$T,ROW()+1,MATCH("시군구",'04A_국토부원자료'!$A$4:$T$4,0)),"")</f>
        <v/>
      </c>
      <c r="C1602" s="48">
        <f>IF(B1602="","",IFERROR(INDEX('04A_국토부원자료'!$A:$T,ROW()+1,MATCH("번지",'04A_국토부원자료'!$A$4:$T$4,0)),""))</f>
        <v/>
      </c>
      <c r="D1602" s="48">
        <f>IF(B1602="","",IF(Q1602=1,'02_대상물건입력'!$B$8,IFERROR(INDEX('04A_국토부원자료'!$A:$T,ROW()+1,MATCH("단지명",'04A_국토부원자료'!$A$4:$T$4,0)),"")))</f>
        <v/>
      </c>
      <c r="E1602" s="172">
        <f>IFERROR(VALUE(SUBSTITUTE(INDEX('04A_국토부원자료'!$A:$T,ROW()+1,MATCH("전용면적(㎡)",'04A_국토부원자료'!$A$4:$T$4,0)),",","")),"")</f>
        <v/>
      </c>
      <c r="F16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02" s="51">
        <f>IFERROR(VALUE(SUBSTITUTE(INDEX('04A_국토부원자료'!$A:$T,ROW()+1,MATCH("거래금액(만원)",'04A_국토부원자료'!$A$4:$T$4,0)),",","")),"")</f>
        <v/>
      </c>
      <c r="H1602" s="174">
        <f>IF(G1602="","",G1602*10000)</f>
        <v/>
      </c>
      <c r="I1602" s="174">
        <f>IFERROR(IF(AND(H1602&gt;0,E1602&gt;0),H1602/E1602,""),"")</f>
        <v/>
      </c>
      <c r="J1602" s="152">
        <f>IFERROR(VALUE(SUBSTITUTE(INDEX('04A_국토부원자료'!$A:$T,ROW()+1,MATCH("층",'04A_국토부원자료'!$A$4:$T$4,0)),",","")),"")</f>
        <v/>
      </c>
      <c r="K1602" s="152">
        <f>IFERROR(VALUE(SUBSTITUTE(INDEX('04A_국토부원자료'!$A:$T,ROW()+1,MATCH("건축년도",'04A_국토부원자료'!$A$4:$T$4,0)),",","")),"")</f>
        <v/>
      </c>
      <c r="L1602" s="176">
        <f>IFERROR(INDEX('04A_국토부원자료'!$A:$T,ROW()+1,MATCH("도로명",'04A_국토부원자료'!$A$4:$T$4,0)),"")</f>
        <v/>
      </c>
      <c r="M1602" s="48">
        <f>IFERROR(INDEX('04A_국토부원자료'!$A:$T,ROW()+1,MATCH("거래유형",'04A_국토부원자료'!$A$4:$T$4,0)),"")</f>
        <v/>
      </c>
      <c r="N1602" s="152">
        <f>IF(B1602="","",IF('02_대상물건입력'!B5="",1,IF(ISNUMBER(SEARCH('02_대상물건입력'!B5,B1602)),1,0)))</f>
        <v/>
      </c>
      <c r="O1602" s="152">
        <f>IF(B1602="","",IF('02_대상물건입력'!B6="",1,IF(ISNUMBER(SEARCH('02_대상물건입력'!B6,B1602)),1,0)))</f>
        <v/>
      </c>
      <c r="P1602" s="152">
        <f>IF(L1602="","",IF('02_대상물건입력'!B15="",0,IF(ISNUMBER(SEARCH('02_대상물건입력'!B15,L1602)),1,0)))</f>
        <v/>
      </c>
      <c r="Q1602" s="152">
        <f>IF(OR(C1602="",L1602=""),0,IF(AND(TRIM(C1602)=TRIM(RIGHT(SUBSTITUTE(TRIM('02_대상물건입력'!$B$7)," ",REPT(" ",99)),99)),IF('02_대상물건입력'!B15="",TRUE(),ISNUMBER(SEARCH('02_대상물건입력'!B15,L1602)))),1,0))</f>
        <v/>
      </c>
      <c r="R1602" s="175">
        <f>IFERROR(ABS(E1602-'02_대상물건입력'!B11)/'02_대상물건입력'!B11,"")</f>
        <v/>
      </c>
      <c r="S1602" s="152">
        <f>IFERROR(ABS(J1602-'02_대상물건입력'!B10),"")</f>
        <v/>
      </c>
      <c r="T1602" s="152">
        <f>IFERROR(ABS('01_설정'!B4-F1602),"")</f>
        <v/>
      </c>
      <c r="U1602" s="152">
        <f>IFERROR(ABS(K1602-YEAR('02_대상물건입력'!B14)),"")</f>
        <v/>
      </c>
      <c r="V1602" s="152">
        <f>IF(B1602="","",IF(AND(E1602&gt;0,F1602&gt;0,H1602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1602=1,TRUE()),R1602&lt;='01_설정'!B5,S1602&lt;='01_설정'!B6,T1602&lt;='01_설정'!B7,U1602&lt;='01_설정'!B8),"Y",""))</f>
        <v/>
      </c>
      <c r="W1602" s="172">
        <f>IF(V1602&lt;&gt;"Y","",MAX(0,(1-R1602/'01_설정'!B5))*'01_설정'!B14+MAX(0,(1-S1602/'01_설정'!B6))*'01_설정'!B15+MAX(0,(1-T1602/'01_설정'!B7))*'01_설정'!B16+MAX(0,(1-U1602/'01_설정'!B8))*'01_설정'!B17+O1602*'01_설정'!B11+Q1602*'01_설정'!B12+P1602*'01_설정'!B13+IF(Z1602="",0,Z1602))</f>
        <v/>
      </c>
      <c r="X1602" s="152">
        <f>IF(W1602="","",1+COUNTIFS($W$4:$W$3003,"&gt;"&amp;W1602)+COUNTIFS($W$4:W1602,W1602)-1)</f>
        <v/>
      </c>
      <c r="Y1602" s="175">
        <f>IF(OR(I1602="",'02_대상물건입력'!B19="",'02_대상물건입력'!B19&lt;=0),"",ABS(I1602-'02_대상물건입력'!B19)/'02_대상물건입력'!B19)</f>
        <v/>
      </c>
      <c r="Z1602" s="172">
        <f>IF(OR(Y1602="",'01_설정'!B31="",'01_설정'!B31&lt;=0,'01_설정'!B32="",'01_설정'!B32&lt;=0),"",MAX(0,(1-Y1602/'01_설정'!B32))*'01_설정'!B31)</f>
        <v/>
      </c>
    </row>
    <row r="1603" ht="17.25" customHeight="1">
      <c r="A1603" s="152">
        <f>IF(INDEX('04A_국토부원자료'!$A:$A,ROW()+1)="","",ROW()-3)</f>
        <v/>
      </c>
      <c r="B1603" s="48">
        <f>IFERROR(INDEX('04A_국토부원자료'!$A:$T,ROW()+1,MATCH("시군구",'04A_국토부원자료'!$A$4:$T$4,0)),"")</f>
        <v/>
      </c>
      <c r="C1603" s="48">
        <f>IF(B1603="","",IFERROR(INDEX('04A_국토부원자료'!$A:$T,ROW()+1,MATCH("번지",'04A_국토부원자료'!$A$4:$T$4,0)),""))</f>
        <v/>
      </c>
      <c r="D1603" s="48">
        <f>IF(B1603="","",IF(Q1603=1,'02_대상물건입력'!$B$8,IFERROR(INDEX('04A_국토부원자료'!$A:$T,ROW()+1,MATCH("단지명",'04A_국토부원자료'!$A$4:$T$4,0)),"")))</f>
        <v/>
      </c>
      <c r="E1603" s="172">
        <f>IFERROR(VALUE(SUBSTITUTE(INDEX('04A_국토부원자료'!$A:$T,ROW()+1,MATCH("전용면적(㎡)",'04A_국토부원자료'!$A$4:$T$4,0)),",","")),"")</f>
        <v/>
      </c>
      <c r="F16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03" s="51">
        <f>IFERROR(VALUE(SUBSTITUTE(INDEX('04A_국토부원자료'!$A:$T,ROW()+1,MATCH("거래금액(만원)",'04A_국토부원자료'!$A$4:$T$4,0)),",","")),"")</f>
        <v/>
      </c>
      <c r="H1603" s="174">
        <f>IF(G1603="","",G1603*10000)</f>
        <v/>
      </c>
      <c r="I1603" s="174">
        <f>IFERROR(IF(AND(H1603&gt;0,E1603&gt;0),H1603/E1603,""),"")</f>
        <v/>
      </c>
      <c r="J1603" s="152">
        <f>IFERROR(VALUE(SUBSTITUTE(INDEX('04A_국토부원자료'!$A:$T,ROW()+1,MATCH("층",'04A_국토부원자료'!$A$4:$T$4,0)),",","")),"")</f>
        <v/>
      </c>
      <c r="K1603" s="152">
        <f>IFERROR(VALUE(SUBSTITUTE(INDEX('04A_국토부원자료'!$A:$T,ROW()+1,MATCH("건축년도",'04A_국토부원자료'!$A$4:$T$4,0)),",","")),"")</f>
        <v/>
      </c>
      <c r="L1603" s="176">
        <f>IFERROR(INDEX('04A_국토부원자료'!$A:$T,ROW()+1,MATCH("도로명",'04A_국토부원자료'!$A$4:$T$4,0)),"")</f>
        <v/>
      </c>
      <c r="M1603" s="48">
        <f>IFERROR(INDEX('04A_국토부원자료'!$A:$T,ROW()+1,MATCH("거래유형",'04A_국토부원자료'!$A$4:$T$4,0)),"")</f>
        <v/>
      </c>
      <c r="N1603" s="152">
        <f>IF(B1603="","",IF('02_대상물건입력'!B5="",1,IF(ISNUMBER(SEARCH('02_대상물건입력'!B5,B1603)),1,0)))</f>
        <v/>
      </c>
      <c r="O1603" s="152">
        <f>IF(B1603="","",IF('02_대상물건입력'!B6="",1,IF(ISNUMBER(SEARCH('02_대상물건입력'!B6,B1603)),1,0)))</f>
        <v/>
      </c>
      <c r="P1603" s="152">
        <f>IF(L1603="","",IF('02_대상물건입력'!B15="",0,IF(ISNUMBER(SEARCH('02_대상물건입력'!B15,L1603)),1,0)))</f>
        <v/>
      </c>
      <c r="Q1603" s="152">
        <f>IF(OR(C1603="",L1603=""),0,IF(AND(TRIM(C1603)=TRIM(RIGHT(SUBSTITUTE(TRIM('02_대상물건입력'!$B$7)," ",REPT(" ",99)),99)),IF('02_대상물건입력'!B15="",TRUE(),ISNUMBER(SEARCH('02_대상물건입력'!B15,L1603)))),1,0))</f>
        <v/>
      </c>
      <c r="R1603" s="175">
        <f>IFERROR(ABS(E1603-'02_대상물건입력'!B11)/'02_대상물건입력'!B11,"")</f>
        <v/>
      </c>
      <c r="S1603" s="152">
        <f>IFERROR(ABS(J1603-'02_대상물건입력'!B10),"")</f>
        <v/>
      </c>
      <c r="T1603" s="152">
        <f>IFERROR(ABS('01_설정'!B4-F1603),"")</f>
        <v/>
      </c>
      <c r="U1603" s="152">
        <f>IFERROR(ABS(K1603-YEAR('02_대상물건입력'!B14)),"")</f>
        <v/>
      </c>
      <c r="V1603" s="152">
        <f>IF(B1603="","",IF(AND(E1603&gt;0,F1603&gt;0,H1603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1603=1,TRUE()),R1603&lt;='01_설정'!B5,S1603&lt;='01_설정'!B6,T1603&lt;='01_설정'!B7,U1603&lt;='01_설정'!B8),"Y",""))</f>
        <v/>
      </c>
      <c r="W1603" s="172">
        <f>IF(V1603&lt;&gt;"Y","",MAX(0,(1-R1603/'01_설정'!B5))*'01_설정'!B14+MAX(0,(1-S1603/'01_설정'!B6))*'01_설정'!B15+MAX(0,(1-T1603/'01_설정'!B7))*'01_설정'!B16+MAX(0,(1-U1603/'01_설정'!B8))*'01_설정'!B17+O1603*'01_설정'!B11+Q1603*'01_설정'!B12+P1603*'01_설정'!B13+IF(Z1603="",0,Z1603))</f>
        <v/>
      </c>
      <c r="X1603" s="152">
        <f>IF(W1603="","",1+COUNTIFS($W$4:$W$3003,"&gt;"&amp;W1603)+COUNTIFS($W$4:W1603,W1603)-1)</f>
        <v/>
      </c>
      <c r="Y1603" s="175">
        <f>IF(OR(I1603="",'02_대상물건입력'!B19="",'02_대상물건입력'!B19&lt;=0),"",ABS(I1603-'02_대상물건입력'!B19)/'02_대상물건입력'!B19)</f>
        <v/>
      </c>
      <c r="Z1603" s="172">
        <f>IF(OR(Y1603="",'01_설정'!B31="",'01_설정'!B31&lt;=0,'01_설정'!B32="",'01_설정'!B32&lt;=0),"",MAX(0,(1-Y1603/'01_설정'!B32))*'01_설정'!B31)</f>
        <v/>
      </c>
    </row>
    <row r="1604" ht="17.25" customHeight="1">
      <c r="A1604" s="152">
        <f>IF(INDEX('04A_국토부원자료'!$A:$A,ROW()+1)="","",ROW()-3)</f>
        <v/>
      </c>
      <c r="B1604" s="48">
        <f>IFERROR(INDEX('04A_국토부원자료'!$A:$T,ROW()+1,MATCH("시군구",'04A_국토부원자료'!$A$4:$T$4,0)),"")</f>
        <v/>
      </c>
      <c r="C1604" s="48">
        <f>IF(B1604="","",IFERROR(INDEX('04A_국토부원자료'!$A:$T,ROW()+1,MATCH("번지",'04A_국토부원자료'!$A$4:$T$4,0)),""))</f>
        <v/>
      </c>
      <c r="D1604" s="48">
        <f>IF(B1604="","",IF(Q1604=1,'02_대상물건입력'!$B$8,IFERROR(INDEX('04A_국토부원자료'!$A:$T,ROW()+1,MATCH("단지명",'04A_국토부원자료'!$A$4:$T$4,0)),"")))</f>
        <v/>
      </c>
      <c r="E1604" s="172">
        <f>IFERROR(VALUE(SUBSTITUTE(INDEX('04A_국토부원자료'!$A:$T,ROW()+1,MATCH("전용면적(㎡)",'04A_국토부원자료'!$A$4:$T$4,0)),",","")),"")</f>
        <v/>
      </c>
      <c r="F16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04" s="51">
        <f>IFERROR(VALUE(SUBSTITUTE(INDEX('04A_국토부원자료'!$A:$T,ROW()+1,MATCH("거래금액(만원)",'04A_국토부원자료'!$A$4:$T$4,0)),",","")),"")</f>
        <v/>
      </c>
      <c r="H1604" s="174">
        <f>IF(G1604="","",G1604*10000)</f>
        <v/>
      </c>
      <c r="I1604" s="174">
        <f>IFERROR(IF(AND(H1604&gt;0,E1604&gt;0),H1604/E1604,""),"")</f>
        <v/>
      </c>
      <c r="J1604" s="152">
        <f>IFERROR(VALUE(SUBSTITUTE(INDEX('04A_국토부원자료'!$A:$T,ROW()+1,MATCH("층",'04A_국토부원자료'!$A$4:$T$4,0)),",","")),"")</f>
        <v/>
      </c>
      <c r="K1604" s="152">
        <f>IFERROR(VALUE(SUBSTITUTE(INDEX('04A_국토부원자료'!$A:$T,ROW()+1,MATCH("건축년도",'04A_국토부원자료'!$A$4:$T$4,0)),",","")),"")</f>
        <v/>
      </c>
      <c r="L1604" s="176">
        <f>IFERROR(INDEX('04A_국토부원자료'!$A:$T,ROW()+1,MATCH("도로명",'04A_국토부원자료'!$A$4:$T$4,0)),"")</f>
        <v/>
      </c>
      <c r="M1604" s="48">
        <f>IFERROR(INDEX('04A_국토부원자료'!$A:$T,ROW()+1,MATCH("거래유형",'04A_국토부원자료'!$A$4:$T$4,0)),"")</f>
        <v/>
      </c>
      <c r="N1604" s="152">
        <f>IF(B1604="","",IF('02_대상물건입력'!B5="",1,IF(ISNUMBER(SEARCH('02_대상물건입력'!B5,B1604)),1,0)))</f>
        <v/>
      </c>
      <c r="O1604" s="152">
        <f>IF(B1604="","",IF('02_대상물건입력'!B6="",1,IF(ISNUMBER(SEARCH('02_대상물건입력'!B6,B1604)),1,0)))</f>
        <v/>
      </c>
      <c r="P1604" s="152">
        <f>IF(L1604="","",IF('02_대상물건입력'!B15="",0,IF(ISNUMBER(SEARCH('02_대상물건입력'!B15,L1604)),1,0)))</f>
        <v/>
      </c>
      <c r="Q1604" s="152">
        <f>IF(OR(C1604="",L1604=""),0,IF(AND(TRIM(C1604)=TRIM(RIGHT(SUBSTITUTE(TRIM('02_대상물건입력'!$B$7)," ",REPT(" ",99)),99)),IF('02_대상물건입력'!B15="",TRUE(),ISNUMBER(SEARCH('02_대상물건입력'!B15,L1604)))),1,0))</f>
        <v/>
      </c>
      <c r="R1604" s="175">
        <f>IFERROR(ABS(E1604-'02_대상물건입력'!B11)/'02_대상물건입력'!B11,"")</f>
        <v/>
      </c>
      <c r="S1604" s="152">
        <f>IFERROR(ABS(J1604-'02_대상물건입력'!B10),"")</f>
        <v/>
      </c>
      <c r="T1604" s="152">
        <f>IFERROR(ABS('01_설정'!B4-F1604),"")</f>
        <v/>
      </c>
      <c r="U1604" s="152">
        <f>IFERROR(ABS(K1604-YEAR('02_대상물건입력'!B14)),"")</f>
        <v/>
      </c>
      <c r="V1604" s="152">
        <f>IF(B1604="","",IF(AND(E1604&gt;0,F1604&gt;0,H1604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1604=1,TRUE()),R1604&lt;='01_설정'!B5,S1604&lt;='01_설정'!B6,T1604&lt;='01_설정'!B7,U1604&lt;='01_설정'!B8),"Y",""))</f>
        <v/>
      </c>
      <c r="W1604" s="172">
        <f>IF(V1604&lt;&gt;"Y","",MAX(0,(1-R1604/'01_설정'!B5))*'01_설정'!B14+MAX(0,(1-S1604/'01_설정'!B6))*'01_설정'!B15+MAX(0,(1-T1604/'01_설정'!B7))*'01_설정'!B16+MAX(0,(1-U1604/'01_설정'!B8))*'01_설정'!B17+O1604*'01_설정'!B11+Q1604*'01_설정'!B12+P1604*'01_설정'!B13+IF(Z1604="",0,Z1604))</f>
        <v/>
      </c>
      <c r="X1604" s="152">
        <f>IF(W1604="","",1+COUNTIFS($W$4:$W$3003,"&gt;"&amp;W1604)+COUNTIFS($W$4:W1604,W1604)-1)</f>
        <v/>
      </c>
      <c r="Y1604" s="175">
        <f>IF(OR(I1604="",'02_대상물건입력'!B19="",'02_대상물건입력'!B19&lt;=0),"",ABS(I1604-'02_대상물건입력'!B19)/'02_대상물건입력'!B19)</f>
        <v/>
      </c>
      <c r="Z1604" s="172">
        <f>IF(OR(Y1604="",'01_설정'!B31="",'01_설정'!B31&lt;=0,'01_설정'!B32="",'01_설정'!B32&lt;=0),"",MAX(0,(1-Y1604/'01_설정'!B32))*'01_설정'!B31)</f>
        <v/>
      </c>
    </row>
    <row r="1605" ht="17.25" customHeight="1">
      <c r="A1605" s="152">
        <f>IF(INDEX('04A_국토부원자료'!$A:$A,ROW()+1)="","",ROW()-3)</f>
        <v/>
      </c>
      <c r="B1605" s="48">
        <f>IFERROR(INDEX('04A_국토부원자료'!$A:$T,ROW()+1,MATCH("시군구",'04A_국토부원자료'!$A$4:$T$4,0)),"")</f>
        <v/>
      </c>
      <c r="C1605" s="48">
        <f>IF(B1605="","",IFERROR(INDEX('04A_국토부원자료'!$A:$T,ROW()+1,MATCH("번지",'04A_국토부원자료'!$A$4:$T$4,0)),""))</f>
        <v/>
      </c>
      <c r="D1605" s="48">
        <f>IF(B1605="","",IF(Q1605=1,'02_대상물건입력'!$B$8,IFERROR(INDEX('04A_국토부원자료'!$A:$T,ROW()+1,MATCH("단지명",'04A_국토부원자료'!$A$4:$T$4,0)),"")))</f>
        <v/>
      </c>
      <c r="E1605" s="172">
        <f>IFERROR(VALUE(SUBSTITUTE(INDEX('04A_국토부원자료'!$A:$T,ROW()+1,MATCH("전용면적(㎡)",'04A_국토부원자료'!$A$4:$T$4,0)),",","")),"")</f>
        <v/>
      </c>
      <c r="F16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05" s="51">
        <f>IFERROR(VALUE(SUBSTITUTE(INDEX('04A_국토부원자료'!$A:$T,ROW()+1,MATCH("거래금액(만원)",'04A_국토부원자료'!$A$4:$T$4,0)),",","")),"")</f>
        <v/>
      </c>
      <c r="H1605" s="174">
        <f>IF(G1605="","",G1605*10000)</f>
        <v/>
      </c>
      <c r="I1605" s="174">
        <f>IFERROR(IF(AND(H1605&gt;0,E1605&gt;0),H1605/E1605,""),"")</f>
        <v/>
      </c>
      <c r="J1605" s="152">
        <f>IFERROR(VALUE(SUBSTITUTE(INDEX('04A_국토부원자료'!$A:$T,ROW()+1,MATCH("층",'04A_국토부원자료'!$A$4:$T$4,0)),",","")),"")</f>
        <v/>
      </c>
      <c r="K1605" s="152">
        <f>IFERROR(VALUE(SUBSTITUTE(INDEX('04A_국토부원자료'!$A:$T,ROW()+1,MATCH("건축년도",'04A_국토부원자료'!$A$4:$T$4,0)),",","")),"")</f>
        <v/>
      </c>
      <c r="L1605" s="176">
        <f>IFERROR(INDEX('04A_국토부원자료'!$A:$T,ROW()+1,MATCH("도로명",'04A_국토부원자료'!$A$4:$T$4,0)),"")</f>
        <v/>
      </c>
      <c r="M1605" s="48">
        <f>IFERROR(INDEX('04A_국토부원자료'!$A:$T,ROW()+1,MATCH("거래유형",'04A_국토부원자료'!$A$4:$T$4,0)),"")</f>
        <v/>
      </c>
      <c r="N1605" s="152">
        <f>IF(B1605="","",IF('02_대상물건입력'!B5="",1,IF(ISNUMBER(SEARCH('02_대상물건입력'!B5,B1605)),1,0)))</f>
        <v/>
      </c>
      <c r="O1605" s="152">
        <f>IF(B1605="","",IF('02_대상물건입력'!B6="",1,IF(ISNUMBER(SEARCH('02_대상물건입력'!B6,B1605)),1,0)))</f>
        <v/>
      </c>
      <c r="P1605" s="152">
        <f>IF(L1605="","",IF('02_대상물건입력'!B15="",0,IF(ISNUMBER(SEARCH('02_대상물건입력'!B15,L1605)),1,0)))</f>
        <v/>
      </c>
      <c r="Q1605" s="152">
        <f>IF(OR(C1605="",L1605=""),0,IF(AND(TRIM(C1605)=TRIM(RIGHT(SUBSTITUTE(TRIM('02_대상물건입력'!$B$7)," ",REPT(" ",99)),99)),IF('02_대상물건입력'!B15="",TRUE(),ISNUMBER(SEARCH('02_대상물건입력'!B15,L1605)))),1,0))</f>
        <v/>
      </c>
      <c r="R1605" s="175">
        <f>IFERROR(ABS(E1605-'02_대상물건입력'!B11)/'02_대상물건입력'!B11,"")</f>
        <v/>
      </c>
      <c r="S1605" s="152">
        <f>IFERROR(ABS(J1605-'02_대상물건입력'!B10),"")</f>
        <v/>
      </c>
      <c r="T1605" s="152">
        <f>IFERROR(ABS('01_설정'!B4-F1605),"")</f>
        <v/>
      </c>
      <c r="U1605" s="152">
        <f>IFERROR(ABS(K1605-YEAR('02_대상물건입력'!B14)),"")</f>
        <v/>
      </c>
      <c r="V1605" s="152">
        <f>IF(B1605="","",IF(AND(E1605&gt;0,F1605&gt;0,H1605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1605=1,TRUE()),R1605&lt;='01_설정'!B5,S1605&lt;='01_설정'!B6,T1605&lt;='01_설정'!B7,U1605&lt;='01_설정'!B8),"Y",""))</f>
        <v/>
      </c>
      <c r="W1605" s="172">
        <f>IF(V1605&lt;&gt;"Y","",MAX(0,(1-R1605/'01_설정'!B5))*'01_설정'!B14+MAX(0,(1-S1605/'01_설정'!B6))*'01_설정'!B15+MAX(0,(1-T1605/'01_설정'!B7))*'01_설정'!B16+MAX(0,(1-U1605/'01_설정'!B8))*'01_설정'!B17+O1605*'01_설정'!B11+Q1605*'01_설정'!B12+P1605*'01_설정'!B13+IF(Z1605="",0,Z1605))</f>
        <v/>
      </c>
      <c r="X1605" s="152">
        <f>IF(W1605="","",1+COUNTIFS($W$4:$W$3003,"&gt;"&amp;W1605)+COUNTIFS($W$4:W1605,W1605)-1)</f>
        <v/>
      </c>
      <c r="Y1605" s="175">
        <f>IF(OR(I1605="",'02_대상물건입력'!B19="",'02_대상물건입력'!B19&lt;=0),"",ABS(I1605-'02_대상물건입력'!B19)/'02_대상물건입력'!B19)</f>
        <v/>
      </c>
      <c r="Z1605" s="172">
        <f>IF(OR(Y1605="",'01_설정'!B31="",'01_설정'!B31&lt;=0,'01_설정'!B32="",'01_설정'!B32&lt;=0),"",MAX(0,(1-Y1605/'01_설정'!B32))*'01_설정'!B31)</f>
        <v/>
      </c>
    </row>
    <row r="1606" ht="17.25" customHeight="1">
      <c r="A1606" s="152">
        <f>IF(INDEX('04A_국토부원자료'!$A:$A,ROW()+1)="","",ROW()-3)</f>
        <v/>
      </c>
      <c r="B1606" s="48">
        <f>IFERROR(INDEX('04A_국토부원자료'!$A:$T,ROW()+1,MATCH("시군구",'04A_국토부원자료'!$A$4:$T$4,0)),"")</f>
        <v/>
      </c>
      <c r="C1606" s="48">
        <f>IF(B1606="","",IFERROR(INDEX('04A_국토부원자료'!$A:$T,ROW()+1,MATCH("번지",'04A_국토부원자료'!$A$4:$T$4,0)),""))</f>
        <v/>
      </c>
      <c r="D1606" s="48">
        <f>IF(B1606="","",IF(Q1606=1,'02_대상물건입력'!$B$8,IFERROR(INDEX('04A_국토부원자료'!$A:$T,ROW()+1,MATCH("단지명",'04A_국토부원자료'!$A$4:$T$4,0)),"")))</f>
        <v/>
      </c>
      <c r="E1606" s="172">
        <f>IFERROR(VALUE(SUBSTITUTE(INDEX('04A_국토부원자료'!$A:$T,ROW()+1,MATCH("전용면적(㎡)",'04A_국토부원자료'!$A$4:$T$4,0)),",","")),"")</f>
        <v/>
      </c>
      <c r="F16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06" s="51">
        <f>IFERROR(VALUE(SUBSTITUTE(INDEX('04A_국토부원자료'!$A:$T,ROW()+1,MATCH("거래금액(만원)",'04A_국토부원자료'!$A$4:$T$4,0)),",","")),"")</f>
        <v/>
      </c>
      <c r="H1606" s="174">
        <f>IF(G1606="","",G1606*10000)</f>
        <v/>
      </c>
      <c r="I1606" s="174">
        <f>IFERROR(IF(AND(H1606&gt;0,E1606&gt;0),H1606/E1606,""),"")</f>
        <v/>
      </c>
      <c r="J1606" s="152">
        <f>IFERROR(VALUE(SUBSTITUTE(INDEX('04A_국토부원자료'!$A:$T,ROW()+1,MATCH("층",'04A_국토부원자료'!$A$4:$T$4,0)),",","")),"")</f>
        <v/>
      </c>
      <c r="K1606" s="152">
        <f>IFERROR(VALUE(SUBSTITUTE(INDEX('04A_국토부원자료'!$A:$T,ROW()+1,MATCH("건축년도",'04A_국토부원자료'!$A$4:$T$4,0)),",","")),"")</f>
        <v/>
      </c>
      <c r="L1606" s="176">
        <f>IFERROR(INDEX('04A_국토부원자료'!$A:$T,ROW()+1,MATCH("도로명",'04A_국토부원자료'!$A$4:$T$4,0)),"")</f>
        <v/>
      </c>
      <c r="M1606" s="48">
        <f>IFERROR(INDEX('04A_국토부원자료'!$A:$T,ROW()+1,MATCH("거래유형",'04A_국토부원자료'!$A$4:$T$4,0)),"")</f>
        <v/>
      </c>
      <c r="N1606" s="152">
        <f>IF(B1606="","",IF('02_대상물건입력'!B5="",1,IF(ISNUMBER(SEARCH('02_대상물건입력'!B5,B1606)),1,0)))</f>
        <v/>
      </c>
      <c r="O1606" s="152">
        <f>IF(B1606="","",IF('02_대상물건입력'!B6="",1,IF(ISNUMBER(SEARCH('02_대상물건입력'!B6,B1606)),1,0)))</f>
        <v/>
      </c>
      <c r="P1606" s="152">
        <f>IF(L1606="","",IF('02_대상물건입력'!B15="",0,IF(ISNUMBER(SEARCH('02_대상물건입력'!B15,L1606)),1,0)))</f>
        <v/>
      </c>
      <c r="Q1606" s="152">
        <f>IF(OR(C1606="",L1606=""),0,IF(AND(TRIM(C1606)=TRIM(RIGHT(SUBSTITUTE(TRIM('02_대상물건입력'!$B$7)," ",REPT(" ",99)),99)),IF('02_대상물건입력'!B15="",TRUE(),ISNUMBER(SEARCH('02_대상물건입력'!B15,L1606)))),1,0))</f>
        <v/>
      </c>
      <c r="R1606" s="175">
        <f>IFERROR(ABS(E1606-'02_대상물건입력'!B11)/'02_대상물건입력'!B11,"")</f>
        <v/>
      </c>
      <c r="S1606" s="152">
        <f>IFERROR(ABS(J1606-'02_대상물건입력'!B10),"")</f>
        <v/>
      </c>
      <c r="T1606" s="152">
        <f>IFERROR(ABS('01_설정'!B4-F1606),"")</f>
        <v/>
      </c>
      <c r="U1606" s="152">
        <f>IFERROR(ABS(K1606-YEAR('02_대상물건입력'!B14)),"")</f>
        <v/>
      </c>
      <c r="V1606" s="152">
        <f>IF(B1606="","",IF(AND(E1606&gt;0,F1606&gt;0,H1606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1606=1,TRUE()),R1606&lt;='01_설정'!B5,S1606&lt;='01_설정'!B6,T1606&lt;='01_설정'!B7,U1606&lt;='01_설정'!B8),"Y",""))</f>
        <v/>
      </c>
      <c r="W1606" s="172">
        <f>IF(V1606&lt;&gt;"Y","",MAX(0,(1-R1606/'01_설정'!B5))*'01_설정'!B14+MAX(0,(1-S1606/'01_설정'!B6))*'01_설정'!B15+MAX(0,(1-T1606/'01_설정'!B7))*'01_설정'!B16+MAX(0,(1-U1606/'01_설정'!B8))*'01_설정'!B17+O1606*'01_설정'!B11+Q1606*'01_설정'!B12+P1606*'01_설정'!B13+IF(Z1606="",0,Z1606))</f>
        <v/>
      </c>
      <c r="X1606" s="152">
        <f>IF(W1606="","",1+COUNTIFS($W$4:$W$3003,"&gt;"&amp;W1606)+COUNTIFS($W$4:W1606,W1606)-1)</f>
        <v/>
      </c>
      <c r="Y1606" s="175">
        <f>IF(OR(I1606="",'02_대상물건입력'!B19="",'02_대상물건입력'!B19&lt;=0),"",ABS(I1606-'02_대상물건입력'!B19)/'02_대상물건입력'!B19)</f>
        <v/>
      </c>
      <c r="Z1606" s="172">
        <f>IF(OR(Y1606="",'01_설정'!B31="",'01_설정'!B31&lt;=0,'01_설정'!B32="",'01_설정'!B32&lt;=0),"",MAX(0,(1-Y1606/'01_설정'!B32))*'01_설정'!B31)</f>
        <v/>
      </c>
    </row>
    <row r="1607" ht="17.25" customHeight="1">
      <c r="A1607" s="152">
        <f>IF(INDEX('04A_국토부원자료'!$A:$A,ROW()+1)="","",ROW()-3)</f>
        <v/>
      </c>
      <c r="B1607" s="48">
        <f>IFERROR(INDEX('04A_국토부원자료'!$A:$T,ROW()+1,MATCH("시군구",'04A_국토부원자료'!$A$4:$T$4,0)),"")</f>
        <v/>
      </c>
      <c r="C1607" s="48">
        <f>IF(B1607="","",IFERROR(INDEX('04A_국토부원자료'!$A:$T,ROW()+1,MATCH("번지",'04A_국토부원자료'!$A$4:$T$4,0)),""))</f>
        <v/>
      </c>
      <c r="D1607" s="48">
        <f>IF(B1607="","",IF(Q1607=1,'02_대상물건입력'!$B$8,IFERROR(INDEX('04A_국토부원자료'!$A:$T,ROW()+1,MATCH("단지명",'04A_국토부원자료'!$A$4:$T$4,0)),"")))</f>
        <v/>
      </c>
      <c r="E1607" s="172">
        <f>IFERROR(VALUE(SUBSTITUTE(INDEX('04A_국토부원자료'!$A:$T,ROW()+1,MATCH("전용면적(㎡)",'04A_국토부원자료'!$A$4:$T$4,0)),",","")),"")</f>
        <v/>
      </c>
      <c r="F16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07" s="51">
        <f>IFERROR(VALUE(SUBSTITUTE(INDEX('04A_국토부원자료'!$A:$T,ROW()+1,MATCH("거래금액(만원)",'04A_국토부원자료'!$A$4:$T$4,0)),",","")),"")</f>
        <v/>
      </c>
      <c r="H1607" s="174">
        <f>IF(G1607="","",G1607*10000)</f>
        <v/>
      </c>
      <c r="I1607" s="174">
        <f>IFERROR(IF(AND(H1607&gt;0,E1607&gt;0),H1607/E1607,""),"")</f>
        <v/>
      </c>
      <c r="J1607" s="152">
        <f>IFERROR(VALUE(SUBSTITUTE(INDEX('04A_국토부원자료'!$A:$T,ROW()+1,MATCH("층",'04A_국토부원자료'!$A$4:$T$4,0)),",","")),"")</f>
        <v/>
      </c>
      <c r="K1607" s="152">
        <f>IFERROR(VALUE(SUBSTITUTE(INDEX('04A_국토부원자료'!$A:$T,ROW()+1,MATCH("건축년도",'04A_국토부원자료'!$A$4:$T$4,0)),",","")),"")</f>
        <v/>
      </c>
      <c r="L1607" s="176">
        <f>IFERROR(INDEX('04A_국토부원자료'!$A:$T,ROW()+1,MATCH("도로명",'04A_국토부원자료'!$A$4:$T$4,0)),"")</f>
        <v/>
      </c>
      <c r="M1607" s="48">
        <f>IFERROR(INDEX('04A_국토부원자료'!$A:$T,ROW()+1,MATCH("거래유형",'04A_국토부원자료'!$A$4:$T$4,0)),"")</f>
        <v/>
      </c>
      <c r="N1607" s="152">
        <f>IF(B1607="","",IF('02_대상물건입력'!B5="",1,IF(ISNUMBER(SEARCH('02_대상물건입력'!B5,B1607)),1,0)))</f>
        <v/>
      </c>
      <c r="O1607" s="152">
        <f>IF(B1607="","",IF('02_대상물건입력'!B6="",1,IF(ISNUMBER(SEARCH('02_대상물건입력'!B6,B1607)),1,0)))</f>
        <v/>
      </c>
      <c r="P1607" s="152">
        <f>IF(L1607="","",IF('02_대상물건입력'!B15="",0,IF(ISNUMBER(SEARCH('02_대상물건입력'!B15,L1607)),1,0)))</f>
        <v/>
      </c>
      <c r="Q1607" s="152">
        <f>IF(OR(C1607="",L1607=""),0,IF(AND(TRIM(C1607)=TRIM(RIGHT(SUBSTITUTE(TRIM('02_대상물건입력'!$B$7)," ",REPT(" ",99)),99)),IF('02_대상물건입력'!B15="",TRUE(),ISNUMBER(SEARCH('02_대상물건입력'!B15,L1607)))),1,0))</f>
        <v/>
      </c>
      <c r="R1607" s="175">
        <f>IFERROR(ABS(E1607-'02_대상물건입력'!B11)/'02_대상물건입력'!B11,"")</f>
        <v/>
      </c>
      <c r="S1607" s="152">
        <f>IFERROR(ABS(J1607-'02_대상물건입력'!B10),"")</f>
        <v/>
      </c>
      <c r="T1607" s="152">
        <f>IFERROR(ABS('01_설정'!B4-F1607),"")</f>
        <v/>
      </c>
      <c r="U1607" s="152">
        <f>IFERROR(ABS(K1607-YEAR('02_대상물건입력'!B14)),"")</f>
        <v/>
      </c>
      <c r="V1607" s="152">
        <f>IF(B1607="","",IF(AND(E1607&gt;0,F1607&gt;0,H1607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1607=1,TRUE()),R1607&lt;='01_설정'!B5,S1607&lt;='01_설정'!B6,T1607&lt;='01_설정'!B7,U1607&lt;='01_설정'!B8),"Y",""))</f>
        <v/>
      </c>
      <c r="W1607" s="172">
        <f>IF(V1607&lt;&gt;"Y","",MAX(0,(1-R1607/'01_설정'!B5))*'01_설정'!B14+MAX(0,(1-S1607/'01_설정'!B6))*'01_설정'!B15+MAX(0,(1-T1607/'01_설정'!B7))*'01_설정'!B16+MAX(0,(1-U1607/'01_설정'!B8))*'01_설정'!B17+O1607*'01_설정'!B11+Q1607*'01_설정'!B12+P1607*'01_설정'!B13+IF(Z1607="",0,Z1607))</f>
        <v/>
      </c>
      <c r="X1607" s="152">
        <f>IF(W1607="","",1+COUNTIFS($W$4:$W$3003,"&gt;"&amp;W1607)+COUNTIFS($W$4:W1607,W1607)-1)</f>
        <v/>
      </c>
      <c r="Y1607" s="175">
        <f>IF(OR(I1607="",'02_대상물건입력'!B19="",'02_대상물건입력'!B19&lt;=0),"",ABS(I1607-'02_대상물건입력'!B19)/'02_대상물건입력'!B19)</f>
        <v/>
      </c>
      <c r="Z1607" s="172">
        <f>IF(OR(Y1607="",'01_설정'!B31="",'01_설정'!B31&lt;=0,'01_설정'!B32="",'01_설정'!B32&lt;=0),"",MAX(0,(1-Y1607/'01_설정'!B32))*'01_설정'!B31)</f>
        <v/>
      </c>
    </row>
    <row r="1608" ht="17.25" customHeight="1">
      <c r="A1608" s="152">
        <f>IF(INDEX('04A_국토부원자료'!$A:$A,ROW()+1)="","",ROW()-3)</f>
        <v/>
      </c>
      <c r="B1608" s="48">
        <f>IFERROR(INDEX('04A_국토부원자료'!$A:$T,ROW()+1,MATCH("시군구",'04A_국토부원자료'!$A$4:$T$4,0)),"")</f>
        <v/>
      </c>
      <c r="C1608" s="48">
        <f>IF(B1608="","",IFERROR(INDEX('04A_국토부원자료'!$A:$T,ROW()+1,MATCH("번지",'04A_국토부원자료'!$A$4:$T$4,0)),""))</f>
        <v/>
      </c>
      <c r="D1608" s="48">
        <f>IF(B1608="","",IF(Q1608=1,'02_대상물건입력'!$B$8,IFERROR(INDEX('04A_국토부원자료'!$A:$T,ROW()+1,MATCH("단지명",'04A_국토부원자료'!$A$4:$T$4,0)),"")))</f>
        <v/>
      </c>
      <c r="E1608" s="172">
        <f>IFERROR(VALUE(SUBSTITUTE(INDEX('04A_국토부원자료'!$A:$T,ROW()+1,MATCH("전용면적(㎡)",'04A_국토부원자료'!$A$4:$T$4,0)),",","")),"")</f>
        <v/>
      </c>
      <c r="F16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08" s="51">
        <f>IFERROR(VALUE(SUBSTITUTE(INDEX('04A_국토부원자료'!$A:$T,ROW()+1,MATCH("거래금액(만원)",'04A_국토부원자료'!$A$4:$T$4,0)),",","")),"")</f>
        <v/>
      </c>
      <c r="H1608" s="174">
        <f>IF(G1608="","",G1608*10000)</f>
        <v/>
      </c>
      <c r="I1608" s="174">
        <f>IFERROR(IF(AND(H1608&gt;0,E1608&gt;0),H1608/E1608,""),"")</f>
        <v/>
      </c>
      <c r="J1608" s="152">
        <f>IFERROR(VALUE(SUBSTITUTE(INDEX('04A_국토부원자료'!$A:$T,ROW()+1,MATCH("층",'04A_국토부원자료'!$A$4:$T$4,0)),",","")),"")</f>
        <v/>
      </c>
      <c r="K1608" s="152">
        <f>IFERROR(VALUE(SUBSTITUTE(INDEX('04A_국토부원자료'!$A:$T,ROW()+1,MATCH("건축년도",'04A_국토부원자료'!$A$4:$T$4,0)),",","")),"")</f>
        <v/>
      </c>
      <c r="L1608" s="176">
        <f>IFERROR(INDEX('04A_국토부원자료'!$A:$T,ROW()+1,MATCH("도로명",'04A_국토부원자료'!$A$4:$T$4,0)),"")</f>
        <v/>
      </c>
      <c r="M1608" s="48">
        <f>IFERROR(INDEX('04A_국토부원자료'!$A:$T,ROW()+1,MATCH("거래유형",'04A_국토부원자료'!$A$4:$T$4,0)),"")</f>
        <v/>
      </c>
      <c r="N1608" s="152">
        <f>IF(B1608="","",IF('02_대상물건입력'!B5="",1,IF(ISNUMBER(SEARCH('02_대상물건입력'!B5,B1608)),1,0)))</f>
        <v/>
      </c>
      <c r="O1608" s="152">
        <f>IF(B1608="","",IF('02_대상물건입력'!B6="",1,IF(ISNUMBER(SEARCH('02_대상물건입력'!B6,B1608)),1,0)))</f>
        <v/>
      </c>
      <c r="P1608" s="152">
        <f>IF(L1608="","",IF('02_대상물건입력'!B15="",0,IF(ISNUMBER(SEARCH('02_대상물건입력'!B15,L1608)),1,0)))</f>
        <v/>
      </c>
      <c r="Q1608" s="152">
        <f>IF(OR(C1608="",L1608=""),0,IF(AND(TRIM(C1608)=TRIM(RIGHT(SUBSTITUTE(TRIM('02_대상물건입력'!$B$7)," ",REPT(" ",99)),99)),IF('02_대상물건입력'!B15="",TRUE(),ISNUMBER(SEARCH('02_대상물건입력'!B15,L1608)))),1,0))</f>
        <v/>
      </c>
      <c r="R1608" s="175">
        <f>IFERROR(ABS(E1608-'02_대상물건입력'!B11)/'02_대상물건입력'!B11,"")</f>
        <v/>
      </c>
      <c r="S1608" s="152">
        <f>IFERROR(ABS(J1608-'02_대상물건입력'!B10),"")</f>
        <v/>
      </c>
      <c r="T1608" s="152">
        <f>IFERROR(ABS('01_설정'!B4-F1608),"")</f>
        <v/>
      </c>
      <c r="U1608" s="152">
        <f>IFERROR(ABS(K1608-YEAR('02_대상물건입력'!B14)),"")</f>
        <v/>
      </c>
      <c r="V1608" s="152">
        <f>IF(B1608="","",IF(AND(E1608&gt;0,F1608&gt;0,H1608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1608=1,TRUE()),R1608&lt;='01_설정'!B5,S1608&lt;='01_설정'!B6,T1608&lt;='01_설정'!B7,U1608&lt;='01_설정'!B8),"Y",""))</f>
        <v/>
      </c>
      <c r="W1608" s="172">
        <f>IF(V1608&lt;&gt;"Y","",MAX(0,(1-R1608/'01_설정'!B5))*'01_설정'!B14+MAX(0,(1-S1608/'01_설정'!B6))*'01_설정'!B15+MAX(0,(1-T1608/'01_설정'!B7))*'01_설정'!B16+MAX(0,(1-U1608/'01_설정'!B8))*'01_설정'!B17+O1608*'01_설정'!B11+Q1608*'01_설정'!B12+P1608*'01_설정'!B13+IF(Z1608="",0,Z1608))</f>
        <v/>
      </c>
      <c r="X1608" s="152">
        <f>IF(W1608="","",1+COUNTIFS($W$4:$W$3003,"&gt;"&amp;W1608)+COUNTIFS($W$4:W1608,W1608)-1)</f>
        <v/>
      </c>
      <c r="Y1608" s="175">
        <f>IF(OR(I1608="",'02_대상물건입력'!B19="",'02_대상물건입력'!B19&lt;=0),"",ABS(I1608-'02_대상물건입력'!B19)/'02_대상물건입력'!B19)</f>
        <v/>
      </c>
      <c r="Z1608" s="172">
        <f>IF(OR(Y1608="",'01_설정'!B31="",'01_설정'!B31&lt;=0,'01_설정'!B32="",'01_설정'!B32&lt;=0),"",MAX(0,(1-Y1608/'01_설정'!B32))*'01_설정'!B31)</f>
        <v/>
      </c>
    </row>
    <row r="1609" ht="17.25" customHeight="1">
      <c r="A1609" s="152">
        <f>IF(INDEX('04A_국토부원자료'!$A:$A,ROW()+1)="","",ROW()-3)</f>
        <v/>
      </c>
      <c r="B1609" s="48">
        <f>IFERROR(INDEX('04A_국토부원자료'!$A:$T,ROW()+1,MATCH("시군구",'04A_국토부원자료'!$A$4:$T$4,0)),"")</f>
        <v/>
      </c>
      <c r="C1609" s="48">
        <f>IF(B1609="","",IFERROR(INDEX('04A_국토부원자료'!$A:$T,ROW()+1,MATCH("번지",'04A_국토부원자료'!$A$4:$T$4,0)),""))</f>
        <v/>
      </c>
      <c r="D1609" s="48">
        <f>IF(B1609="","",IF(Q1609=1,'02_대상물건입력'!$B$8,IFERROR(INDEX('04A_국토부원자료'!$A:$T,ROW()+1,MATCH("단지명",'04A_국토부원자료'!$A$4:$T$4,0)),"")))</f>
        <v/>
      </c>
      <c r="E1609" s="172">
        <f>IFERROR(VALUE(SUBSTITUTE(INDEX('04A_국토부원자료'!$A:$T,ROW()+1,MATCH("전용면적(㎡)",'04A_국토부원자료'!$A$4:$T$4,0)),",","")),"")</f>
        <v/>
      </c>
      <c r="F16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09" s="51">
        <f>IFERROR(VALUE(SUBSTITUTE(INDEX('04A_국토부원자료'!$A:$T,ROW()+1,MATCH("거래금액(만원)",'04A_국토부원자료'!$A$4:$T$4,0)),",","")),"")</f>
        <v/>
      </c>
      <c r="H1609" s="174">
        <f>IF(G1609="","",G1609*10000)</f>
        <v/>
      </c>
      <c r="I1609" s="174">
        <f>IFERROR(IF(AND(H1609&gt;0,E1609&gt;0),H1609/E1609,""),"")</f>
        <v/>
      </c>
      <c r="J1609" s="152">
        <f>IFERROR(VALUE(SUBSTITUTE(INDEX('04A_국토부원자료'!$A:$T,ROW()+1,MATCH("층",'04A_국토부원자료'!$A$4:$T$4,0)),",","")),"")</f>
        <v/>
      </c>
      <c r="K1609" s="152">
        <f>IFERROR(VALUE(SUBSTITUTE(INDEX('04A_국토부원자료'!$A:$T,ROW()+1,MATCH("건축년도",'04A_국토부원자료'!$A$4:$T$4,0)),",","")),"")</f>
        <v/>
      </c>
      <c r="L1609" s="176">
        <f>IFERROR(INDEX('04A_국토부원자료'!$A:$T,ROW()+1,MATCH("도로명",'04A_국토부원자료'!$A$4:$T$4,0)),"")</f>
        <v/>
      </c>
      <c r="M1609" s="48">
        <f>IFERROR(INDEX('04A_국토부원자료'!$A:$T,ROW()+1,MATCH("거래유형",'04A_국토부원자료'!$A$4:$T$4,0)),"")</f>
        <v/>
      </c>
      <c r="N1609" s="152">
        <f>IF(B1609="","",IF('02_대상물건입력'!B5="",1,IF(ISNUMBER(SEARCH('02_대상물건입력'!B5,B1609)),1,0)))</f>
        <v/>
      </c>
      <c r="O1609" s="152">
        <f>IF(B1609="","",IF('02_대상물건입력'!B6="",1,IF(ISNUMBER(SEARCH('02_대상물건입력'!B6,B1609)),1,0)))</f>
        <v/>
      </c>
      <c r="P1609" s="152">
        <f>IF(L1609="","",IF('02_대상물건입력'!B15="",0,IF(ISNUMBER(SEARCH('02_대상물건입력'!B15,L1609)),1,0)))</f>
        <v/>
      </c>
      <c r="Q1609" s="152">
        <f>IF(OR(C1609="",L1609=""),0,IF(AND(TRIM(C1609)=TRIM(RIGHT(SUBSTITUTE(TRIM('02_대상물건입력'!$B$7)," ",REPT(" ",99)),99)),IF('02_대상물건입력'!B15="",TRUE(),ISNUMBER(SEARCH('02_대상물건입력'!B15,L1609)))),1,0))</f>
        <v/>
      </c>
      <c r="R1609" s="175">
        <f>IFERROR(ABS(E1609-'02_대상물건입력'!B11)/'02_대상물건입력'!B11,"")</f>
        <v/>
      </c>
      <c r="S1609" s="152">
        <f>IFERROR(ABS(J1609-'02_대상물건입력'!B10),"")</f>
        <v/>
      </c>
      <c r="T1609" s="152">
        <f>IFERROR(ABS('01_설정'!B4-F1609),"")</f>
        <v/>
      </c>
      <c r="U1609" s="152">
        <f>IFERROR(ABS(K1609-YEAR('02_대상물건입력'!B14)),"")</f>
        <v/>
      </c>
      <c r="V1609" s="152">
        <f>IF(B1609="","",IF(AND(E1609&gt;0,F1609&gt;0,H1609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1609=1,TRUE()),R1609&lt;='01_설정'!B5,S1609&lt;='01_설정'!B6,T1609&lt;='01_설정'!B7,U1609&lt;='01_설정'!B8),"Y",""))</f>
        <v/>
      </c>
      <c r="W1609" s="172">
        <f>IF(V1609&lt;&gt;"Y","",MAX(0,(1-R1609/'01_설정'!B5))*'01_설정'!B14+MAX(0,(1-S1609/'01_설정'!B6))*'01_설정'!B15+MAX(0,(1-T1609/'01_설정'!B7))*'01_설정'!B16+MAX(0,(1-U1609/'01_설정'!B8))*'01_설정'!B17+O1609*'01_설정'!B11+Q1609*'01_설정'!B12+P1609*'01_설정'!B13+IF(Z1609="",0,Z1609))</f>
        <v/>
      </c>
      <c r="X1609" s="152">
        <f>IF(W1609="","",1+COUNTIFS($W$4:$W$3003,"&gt;"&amp;W1609)+COUNTIFS($W$4:W1609,W1609)-1)</f>
        <v/>
      </c>
      <c r="Y1609" s="175">
        <f>IF(OR(I1609="",'02_대상물건입력'!B19="",'02_대상물건입력'!B19&lt;=0),"",ABS(I1609-'02_대상물건입력'!B19)/'02_대상물건입력'!B19)</f>
        <v/>
      </c>
      <c r="Z1609" s="172">
        <f>IF(OR(Y1609="",'01_설정'!B31="",'01_설정'!B31&lt;=0,'01_설정'!B32="",'01_설정'!B32&lt;=0),"",MAX(0,(1-Y1609/'01_설정'!B32))*'01_설정'!B31)</f>
        <v/>
      </c>
    </row>
    <row r="1610" ht="17.25" customHeight="1">
      <c r="A1610" s="152">
        <f>IF(INDEX('04A_국토부원자료'!$A:$A,ROW()+1)="","",ROW()-3)</f>
        <v/>
      </c>
      <c r="B1610" s="48">
        <f>IFERROR(INDEX('04A_국토부원자료'!$A:$T,ROW()+1,MATCH("시군구",'04A_국토부원자료'!$A$4:$T$4,0)),"")</f>
        <v/>
      </c>
      <c r="C1610" s="48">
        <f>IF(B1610="","",IFERROR(INDEX('04A_국토부원자료'!$A:$T,ROW()+1,MATCH("번지",'04A_국토부원자료'!$A$4:$T$4,0)),""))</f>
        <v/>
      </c>
      <c r="D1610" s="48">
        <f>IF(B1610="","",IF(Q1610=1,'02_대상물건입력'!$B$8,IFERROR(INDEX('04A_국토부원자료'!$A:$T,ROW()+1,MATCH("단지명",'04A_국토부원자료'!$A$4:$T$4,0)),"")))</f>
        <v/>
      </c>
      <c r="E1610" s="172">
        <f>IFERROR(VALUE(SUBSTITUTE(INDEX('04A_국토부원자료'!$A:$T,ROW()+1,MATCH("전용면적(㎡)",'04A_국토부원자료'!$A$4:$T$4,0)),",","")),"")</f>
        <v/>
      </c>
      <c r="F16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10" s="51">
        <f>IFERROR(VALUE(SUBSTITUTE(INDEX('04A_국토부원자료'!$A:$T,ROW()+1,MATCH("거래금액(만원)",'04A_국토부원자료'!$A$4:$T$4,0)),",","")),"")</f>
        <v/>
      </c>
      <c r="H1610" s="174">
        <f>IF(G1610="","",G1610*10000)</f>
        <v/>
      </c>
      <c r="I1610" s="174">
        <f>IFERROR(IF(AND(H1610&gt;0,E1610&gt;0),H1610/E1610,""),"")</f>
        <v/>
      </c>
      <c r="J1610" s="152">
        <f>IFERROR(VALUE(SUBSTITUTE(INDEX('04A_국토부원자료'!$A:$T,ROW()+1,MATCH("층",'04A_국토부원자료'!$A$4:$T$4,0)),",","")),"")</f>
        <v/>
      </c>
      <c r="K1610" s="152">
        <f>IFERROR(VALUE(SUBSTITUTE(INDEX('04A_국토부원자료'!$A:$T,ROW()+1,MATCH("건축년도",'04A_국토부원자료'!$A$4:$T$4,0)),",","")),"")</f>
        <v/>
      </c>
      <c r="L1610" s="176">
        <f>IFERROR(INDEX('04A_국토부원자료'!$A:$T,ROW()+1,MATCH("도로명",'04A_국토부원자료'!$A$4:$T$4,0)),"")</f>
        <v/>
      </c>
      <c r="M1610" s="48">
        <f>IFERROR(INDEX('04A_국토부원자료'!$A:$T,ROW()+1,MATCH("거래유형",'04A_국토부원자료'!$A$4:$T$4,0)),"")</f>
        <v/>
      </c>
      <c r="N1610" s="152">
        <f>IF(B1610="","",IF('02_대상물건입력'!B5="",1,IF(ISNUMBER(SEARCH('02_대상물건입력'!B5,B1610)),1,0)))</f>
        <v/>
      </c>
      <c r="O1610" s="152">
        <f>IF(B1610="","",IF('02_대상물건입력'!B6="",1,IF(ISNUMBER(SEARCH('02_대상물건입력'!B6,B1610)),1,0)))</f>
        <v/>
      </c>
      <c r="P1610" s="152">
        <f>IF(L1610="","",IF('02_대상물건입력'!B15="",0,IF(ISNUMBER(SEARCH('02_대상물건입력'!B15,L1610)),1,0)))</f>
        <v/>
      </c>
      <c r="Q1610" s="152">
        <f>IF(OR(C1610="",L1610=""),0,IF(AND(TRIM(C1610)=TRIM(RIGHT(SUBSTITUTE(TRIM('02_대상물건입력'!$B$7)," ",REPT(" ",99)),99)),IF('02_대상물건입력'!B15="",TRUE(),ISNUMBER(SEARCH('02_대상물건입력'!B15,L1610)))),1,0))</f>
        <v/>
      </c>
      <c r="R1610" s="175">
        <f>IFERROR(ABS(E1610-'02_대상물건입력'!B11)/'02_대상물건입력'!B11,"")</f>
        <v/>
      </c>
      <c r="S1610" s="152">
        <f>IFERROR(ABS(J1610-'02_대상물건입력'!B10),"")</f>
        <v/>
      </c>
      <c r="T1610" s="152">
        <f>IFERROR(ABS('01_설정'!B4-F1610),"")</f>
        <v/>
      </c>
      <c r="U1610" s="152">
        <f>IFERROR(ABS(K1610-YEAR('02_대상물건입력'!B14)),"")</f>
        <v/>
      </c>
      <c r="V1610" s="152">
        <f>IF(B1610="","",IF(AND(E1610&gt;0,F1610&gt;0,H1610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1610=1,TRUE()),R1610&lt;='01_설정'!B5,S1610&lt;='01_설정'!B6,T1610&lt;='01_설정'!B7,U1610&lt;='01_설정'!B8),"Y",""))</f>
        <v/>
      </c>
      <c r="W1610" s="172">
        <f>IF(V1610&lt;&gt;"Y","",MAX(0,(1-R1610/'01_설정'!B5))*'01_설정'!B14+MAX(0,(1-S1610/'01_설정'!B6))*'01_설정'!B15+MAX(0,(1-T1610/'01_설정'!B7))*'01_설정'!B16+MAX(0,(1-U1610/'01_설정'!B8))*'01_설정'!B17+O1610*'01_설정'!B11+Q1610*'01_설정'!B12+P1610*'01_설정'!B13+IF(Z1610="",0,Z1610))</f>
        <v/>
      </c>
      <c r="X1610" s="152">
        <f>IF(W1610="","",1+COUNTIFS($W$4:$W$3003,"&gt;"&amp;W1610)+COUNTIFS($W$4:W1610,W1610)-1)</f>
        <v/>
      </c>
      <c r="Y1610" s="175">
        <f>IF(OR(I1610="",'02_대상물건입력'!B19="",'02_대상물건입력'!B19&lt;=0),"",ABS(I1610-'02_대상물건입력'!B19)/'02_대상물건입력'!B19)</f>
        <v/>
      </c>
      <c r="Z1610" s="172">
        <f>IF(OR(Y1610="",'01_설정'!B31="",'01_설정'!B31&lt;=0,'01_설정'!B32="",'01_설정'!B32&lt;=0),"",MAX(0,(1-Y1610/'01_설정'!B32))*'01_설정'!B31)</f>
        <v/>
      </c>
    </row>
    <row r="1611" ht="17.25" customHeight="1">
      <c r="A1611" s="152">
        <f>IF(INDEX('04A_국토부원자료'!$A:$A,ROW()+1)="","",ROW()-3)</f>
        <v/>
      </c>
      <c r="B1611" s="48">
        <f>IFERROR(INDEX('04A_국토부원자료'!$A:$T,ROW()+1,MATCH("시군구",'04A_국토부원자료'!$A$4:$T$4,0)),"")</f>
        <v/>
      </c>
      <c r="C1611" s="48">
        <f>IF(B1611="","",IFERROR(INDEX('04A_국토부원자료'!$A:$T,ROW()+1,MATCH("번지",'04A_국토부원자료'!$A$4:$T$4,0)),""))</f>
        <v/>
      </c>
      <c r="D1611" s="48">
        <f>IF(B1611="","",IF(Q1611=1,'02_대상물건입력'!$B$8,IFERROR(INDEX('04A_국토부원자료'!$A:$T,ROW()+1,MATCH("단지명",'04A_국토부원자료'!$A$4:$T$4,0)),"")))</f>
        <v/>
      </c>
      <c r="E1611" s="172">
        <f>IFERROR(VALUE(SUBSTITUTE(INDEX('04A_국토부원자료'!$A:$T,ROW()+1,MATCH("전용면적(㎡)",'04A_국토부원자료'!$A$4:$T$4,0)),",","")),"")</f>
        <v/>
      </c>
      <c r="F16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11" s="51">
        <f>IFERROR(VALUE(SUBSTITUTE(INDEX('04A_국토부원자료'!$A:$T,ROW()+1,MATCH("거래금액(만원)",'04A_국토부원자료'!$A$4:$T$4,0)),",","")),"")</f>
        <v/>
      </c>
      <c r="H1611" s="174">
        <f>IF(G1611="","",G1611*10000)</f>
        <v/>
      </c>
      <c r="I1611" s="174">
        <f>IFERROR(IF(AND(H1611&gt;0,E1611&gt;0),H1611/E1611,""),"")</f>
        <v/>
      </c>
      <c r="J1611" s="152">
        <f>IFERROR(VALUE(SUBSTITUTE(INDEX('04A_국토부원자료'!$A:$T,ROW()+1,MATCH("층",'04A_국토부원자료'!$A$4:$T$4,0)),",","")),"")</f>
        <v/>
      </c>
      <c r="K1611" s="152">
        <f>IFERROR(VALUE(SUBSTITUTE(INDEX('04A_국토부원자료'!$A:$T,ROW()+1,MATCH("건축년도",'04A_국토부원자료'!$A$4:$T$4,0)),",","")),"")</f>
        <v/>
      </c>
      <c r="L1611" s="176">
        <f>IFERROR(INDEX('04A_국토부원자료'!$A:$T,ROW()+1,MATCH("도로명",'04A_국토부원자료'!$A$4:$T$4,0)),"")</f>
        <v/>
      </c>
      <c r="M1611" s="48">
        <f>IFERROR(INDEX('04A_국토부원자료'!$A:$T,ROW()+1,MATCH("거래유형",'04A_국토부원자료'!$A$4:$T$4,0)),"")</f>
        <v/>
      </c>
      <c r="N1611" s="152">
        <f>IF(B1611="","",IF('02_대상물건입력'!B5="",1,IF(ISNUMBER(SEARCH('02_대상물건입력'!B5,B1611)),1,0)))</f>
        <v/>
      </c>
      <c r="O1611" s="152">
        <f>IF(B1611="","",IF('02_대상물건입력'!B6="",1,IF(ISNUMBER(SEARCH('02_대상물건입력'!B6,B1611)),1,0)))</f>
        <v/>
      </c>
      <c r="P1611" s="152">
        <f>IF(L1611="","",IF('02_대상물건입력'!B15="",0,IF(ISNUMBER(SEARCH('02_대상물건입력'!B15,L1611)),1,0)))</f>
        <v/>
      </c>
      <c r="Q1611" s="152">
        <f>IF(OR(C1611="",L1611=""),0,IF(AND(TRIM(C1611)=TRIM(RIGHT(SUBSTITUTE(TRIM('02_대상물건입력'!$B$7)," ",REPT(" ",99)),99)),IF('02_대상물건입력'!B15="",TRUE(),ISNUMBER(SEARCH('02_대상물건입력'!B15,L1611)))),1,0))</f>
        <v/>
      </c>
      <c r="R1611" s="175">
        <f>IFERROR(ABS(E1611-'02_대상물건입력'!B11)/'02_대상물건입력'!B11,"")</f>
        <v/>
      </c>
      <c r="S1611" s="152">
        <f>IFERROR(ABS(J1611-'02_대상물건입력'!B10),"")</f>
        <v/>
      </c>
      <c r="T1611" s="152">
        <f>IFERROR(ABS('01_설정'!B4-F1611),"")</f>
        <v/>
      </c>
      <c r="U1611" s="152">
        <f>IFERROR(ABS(K1611-YEAR('02_대상물건입력'!B14)),"")</f>
        <v/>
      </c>
      <c r="V1611" s="152">
        <f>IF(B1611="","",IF(AND(E1611&gt;0,F1611&gt;0,H1611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1611=1,TRUE()),R1611&lt;='01_설정'!B5,S1611&lt;='01_설정'!B6,T1611&lt;='01_설정'!B7,U1611&lt;='01_설정'!B8),"Y",""))</f>
        <v/>
      </c>
      <c r="W1611" s="172">
        <f>IF(V1611&lt;&gt;"Y","",MAX(0,(1-R1611/'01_설정'!B5))*'01_설정'!B14+MAX(0,(1-S1611/'01_설정'!B6))*'01_설정'!B15+MAX(0,(1-T1611/'01_설정'!B7))*'01_설정'!B16+MAX(0,(1-U1611/'01_설정'!B8))*'01_설정'!B17+O1611*'01_설정'!B11+Q1611*'01_설정'!B12+P1611*'01_설정'!B13+IF(Z1611="",0,Z1611))</f>
        <v/>
      </c>
      <c r="X1611" s="152">
        <f>IF(W1611="","",1+COUNTIFS($W$4:$W$3003,"&gt;"&amp;W1611)+COUNTIFS($W$4:W1611,W1611)-1)</f>
        <v/>
      </c>
      <c r="Y1611" s="175">
        <f>IF(OR(I1611="",'02_대상물건입력'!B19="",'02_대상물건입력'!B19&lt;=0),"",ABS(I1611-'02_대상물건입력'!B19)/'02_대상물건입력'!B19)</f>
        <v/>
      </c>
      <c r="Z1611" s="172">
        <f>IF(OR(Y1611="",'01_설정'!B31="",'01_설정'!B31&lt;=0,'01_설정'!B32="",'01_설정'!B32&lt;=0),"",MAX(0,(1-Y1611/'01_설정'!B32))*'01_설정'!B31)</f>
        <v/>
      </c>
    </row>
    <row r="1612" ht="17.25" customHeight="1">
      <c r="A1612" s="152">
        <f>IF(INDEX('04A_국토부원자료'!$A:$A,ROW()+1)="","",ROW()-3)</f>
        <v/>
      </c>
      <c r="B1612" s="48">
        <f>IFERROR(INDEX('04A_국토부원자료'!$A:$T,ROW()+1,MATCH("시군구",'04A_국토부원자료'!$A$4:$T$4,0)),"")</f>
        <v/>
      </c>
      <c r="C1612" s="48">
        <f>IF(B1612="","",IFERROR(INDEX('04A_국토부원자료'!$A:$T,ROW()+1,MATCH("번지",'04A_국토부원자료'!$A$4:$T$4,0)),""))</f>
        <v/>
      </c>
      <c r="D1612" s="48">
        <f>IF(B1612="","",IF(Q1612=1,'02_대상물건입력'!$B$8,IFERROR(INDEX('04A_국토부원자료'!$A:$T,ROW()+1,MATCH("단지명",'04A_국토부원자료'!$A$4:$T$4,0)),"")))</f>
        <v/>
      </c>
      <c r="E1612" s="172">
        <f>IFERROR(VALUE(SUBSTITUTE(INDEX('04A_국토부원자료'!$A:$T,ROW()+1,MATCH("전용면적(㎡)",'04A_국토부원자료'!$A$4:$T$4,0)),",","")),"")</f>
        <v/>
      </c>
      <c r="F16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12" s="51">
        <f>IFERROR(VALUE(SUBSTITUTE(INDEX('04A_국토부원자료'!$A:$T,ROW()+1,MATCH("거래금액(만원)",'04A_국토부원자료'!$A$4:$T$4,0)),",","")),"")</f>
        <v/>
      </c>
      <c r="H1612" s="174">
        <f>IF(G1612="","",G1612*10000)</f>
        <v/>
      </c>
      <c r="I1612" s="174">
        <f>IFERROR(IF(AND(H1612&gt;0,E1612&gt;0),H1612/E1612,""),"")</f>
        <v/>
      </c>
      <c r="J1612" s="152">
        <f>IFERROR(VALUE(SUBSTITUTE(INDEX('04A_국토부원자료'!$A:$T,ROW()+1,MATCH("층",'04A_국토부원자료'!$A$4:$T$4,0)),",","")),"")</f>
        <v/>
      </c>
      <c r="K1612" s="152">
        <f>IFERROR(VALUE(SUBSTITUTE(INDEX('04A_국토부원자료'!$A:$T,ROW()+1,MATCH("건축년도",'04A_국토부원자료'!$A$4:$T$4,0)),",","")),"")</f>
        <v/>
      </c>
      <c r="L1612" s="176">
        <f>IFERROR(INDEX('04A_국토부원자료'!$A:$T,ROW()+1,MATCH("도로명",'04A_국토부원자료'!$A$4:$T$4,0)),"")</f>
        <v/>
      </c>
      <c r="M1612" s="48">
        <f>IFERROR(INDEX('04A_국토부원자료'!$A:$T,ROW()+1,MATCH("거래유형",'04A_국토부원자료'!$A$4:$T$4,0)),"")</f>
        <v/>
      </c>
      <c r="N1612" s="152">
        <f>IF(B1612="","",IF('02_대상물건입력'!B5="",1,IF(ISNUMBER(SEARCH('02_대상물건입력'!B5,B1612)),1,0)))</f>
        <v/>
      </c>
      <c r="O1612" s="152">
        <f>IF(B1612="","",IF('02_대상물건입력'!B6="",1,IF(ISNUMBER(SEARCH('02_대상물건입력'!B6,B1612)),1,0)))</f>
        <v/>
      </c>
      <c r="P1612" s="152">
        <f>IF(L1612="","",IF('02_대상물건입력'!B15="",0,IF(ISNUMBER(SEARCH('02_대상물건입력'!B15,L1612)),1,0)))</f>
        <v/>
      </c>
      <c r="Q1612" s="152">
        <f>IF(OR(C1612="",L1612=""),0,IF(AND(TRIM(C1612)=TRIM(RIGHT(SUBSTITUTE(TRIM('02_대상물건입력'!$B$7)," ",REPT(" ",99)),99)),IF('02_대상물건입력'!B15="",TRUE(),ISNUMBER(SEARCH('02_대상물건입력'!B15,L1612)))),1,0))</f>
        <v/>
      </c>
      <c r="R1612" s="175">
        <f>IFERROR(ABS(E1612-'02_대상물건입력'!B11)/'02_대상물건입력'!B11,"")</f>
        <v/>
      </c>
      <c r="S1612" s="152">
        <f>IFERROR(ABS(J1612-'02_대상물건입력'!B10),"")</f>
        <v/>
      </c>
      <c r="T1612" s="152">
        <f>IFERROR(ABS('01_설정'!B4-F1612),"")</f>
        <v/>
      </c>
      <c r="U1612" s="152">
        <f>IFERROR(ABS(K1612-YEAR('02_대상물건입력'!B14)),"")</f>
        <v/>
      </c>
      <c r="V1612" s="152">
        <f>IF(B1612="","",IF(AND(E1612&gt;0,F1612&gt;0,H1612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1612=1,TRUE()),R1612&lt;='01_설정'!B5,S1612&lt;='01_설정'!B6,T1612&lt;='01_설정'!B7,U1612&lt;='01_설정'!B8),"Y",""))</f>
        <v/>
      </c>
      <c r="W1612" s="172">
        <f>IF(V1612&lt;&gt;"Y","",MAX(0,(1-R1612/'01_설정'!B5))*'01_설정'!B14+MAX(0,(1-S1612/'01_설정'!B6))*'01_설정'!B15+MAX(0,(1-T1612/'01_설정'!B7))*'01_설정'!B16+MAX(0,(1-U1612/'01_설정'!B8))*'01_설정'!B17+O1612*'01_설정'!B11+Q1612*'01_설정'!B12+P1612*'01_설정'!B13+IF(Z1612="",0,Z1612))</f>
        <v/>
      </c>
      <c r="X1612" s="152">
        <f>IF(W1612="","",1+COUNTIFS($W$4:$W$3003,"&gt;"&amp;W1612)+COUNTIFS($W$4:W1612,W1612)-1)</f>
        <v/>
      </c>
      <c r="Y1612" s="175">
        <f>IF(OR(I1612="",'02_대상물건입력'!B19="",'02_대상물건입력'!B19&lt;=0),"",ABS(I1612-'02_대상물건입력'!B19)/'02_대상물건입력'!B19)</f>
        <v/>
      </c>
      <c r="Z1612" s="172">
        <f>IF(OR(Y1612="",'01_설정'!B31="",'01_설정'!B31&lt;=0,'01_설정'!B32="",'01_설정'!B32&lt;=0),"",MAX(0,(1-Y1612/'01_설정'!B32))*'01_설정'!B31)</f>
        <v/>
      </c>
    </row>
    <row r="1613" ht="17.25" customHeight="1">
      <c r="A1613" s="152">
        <f>IF(INDEX('04A_국토부원자료'!$A:$A,ROW()+1)="","",ROW()-3)</f>
        <v/>
      </c>
      <c r="B1613" s="48">
        <f>IFERROR(INDEX('04A_국토부원자료'!$A:$T,ROW()+1,MATCH("시군구",'04A_국토부원자료'!$A$4:$T$4,0)),"")</f>
        <v/>
      </c>
      <c r="C1613" s="48">
        <f>IF(B1613="","",IFERROR(INDEX('04A_국토부원자료'!$A:$T,ROW()+1,MATCH("번지",'04A_국토부원자료'!$A$4:$T$4,0)),""))</f>
        <v/>
      </c>
      <c r="D1613" s="48">
        <f>IF(B1613="","",IF(Q1613=1,'02_대상물건입력'!$B$8,IFERROR(INDEX('04A_국토부원자료'!$A:$T,ROW()+1,MATCH("단지명",'04A_국토부원자료'!$A$4:$T$4,0)),"")))</f>
        <v/>
      </c>
      <c r="E1613" s="172">
        <f>IFERROR(VALUE(SUBSTITUTE(INDEX('04A_국토부원자료'!$A:$T,ROW()+1,MATCH("전용면적(㎡)",'04A_국토부원자료'!$A$4:$T$4,0)),",","")),"")</f>
        <v/>
      </c>
      <c r="F16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13" s="51">
        <f>IFERROR(VALUE(SUBSTITUTE(INDEX('04A_국토부원자료'!$A:$T,ROW()+1,MATCH("거래금액(만원)",'04A_국토부원자료'!$A$4:$T$4,0)),",","")),"")</f>
        <v/>
      </c>
      <c r="H1613" s="174">
        <f>IF(G1613="","",G1613*10000)</f>
        <v/>
      </c>
      <c r="I1613" s="174">
        <f>IFERROR(IF(AND(H1613&gt;0,E1613&gt;0),H1613/E1613,""),"")</f>
        <v/>
      </c>
      <c r="J1613" s="152">
        <f>IFERROR(VALUE(SUBSTITUTE(INDEX('04A_국토부원자료'!$A:$T,ROW()+1,MATCH("층",'04A_국토부원자료'!$A$4:$T$4,0)),",","")),"")</f>
        <v/>
      </c>
      <c r="K1613" s="152">
        <f>IFERROR(VALUE(SUBSTITUTE(INDEX('04A_국토부원자료'!$A:$T,ROW()+1,MATCH("건축년도",'04A_국토부원자료'!$A$4:$T$4,0)),",","")),"")</f>
        <v/>
      </c>
      <c r="L1613" s="176">
        <f>IFERROR(INDEX('04A_국토부원자료'!$A:$T,ROW()+1,MATCH("도로명",'04A_국토부원자료'!$A$4:$T$4,0)),"")</f>
        <v/>
      </c>
      <c r="M1613" s="48">
        <f>IFERROR(INDEX('04A_국토부원자료'!$A:$T,ROW()+1,MATCH("거래유형",'04A_국토부원자료'!$A$4:$T$4,0)),"")</f>
        <v/>
      </c>
      <c r="N1613" s="152">
        <f>IF(B1613="","",IF('02_대상물건입력'!B5="",1,IF(ISNUMBER(SEARCH('02_대상물건입력'!B5,B1613)),1,0)))</f>
        <v/>
      </c>
      <c r="O1613" s="152">
        <f>IF(B1613="","",IF('02_대상물건입력'!B6="",1,IF(ISNUMBER(SEARCH('02_대상물건입력'!B6,B1613)),1,0)))</f>
        <v/>
      </c>
      <c r="P1613" s="152">
        <f>IF(L1613="","",IF('02_대상물건입력'!B15="",0,IF(ISNUMBER(SEARCH('02_대상물건입력'!B15,L1613)),1,0)))</f>
        <v/>
      </c>
      <c r="Q1613" s="152">
        <f>IF(OR(C1613="",L1613=""),0,IF(AND(TRIM(C1613)=TRIM(RIGHT(SUBSTITUTE(TRIM('02_대상물건입력'!$B$7)," ",REPT(" ",99)),99)),IF('02_대상물건입력'!B15="",TRUE(),ISNUMBER(SEARCH('02_대상물건입력'!B15,L1613)))),1,0))</f>
        <v/>
      </c>
      <c r="R1613" s="175">
        <f>IFERROR(ABS(E1613-'02_대상물건입력'!B11)/'02_대상물건입력'!B11,"")</f>
        <v/>
      </c>
      <c r="S1613" s="152">
        <f>IFERROR(ABS(J1613-'02_대상물건입력'!B10),"")</f>
        <v/>
      </c>
      <c r="T1613" s="152">
        <f>IFERROR(ABS('01_설정'!B4-F1613),"")</f>
        <v/>
      </c>
      <c r="U1613" s="152">
        <f>IFERROR(ABS(K1613-YEAR('02_대상물건입력'!B14)),"")</f>
        <v/>
      </c>
      <c r="V1613" s="152">
        <f>IF(B1613="","",IF(AND(E1613&gt;0,F1613&gt;0,H1613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1613=1,TRUE()),R1613&lt;='01_설정'!B5,S1613&lt;='01_설정'!B6,T1613&lt;='01_설정'!B7,U1613&lt;='01_설정'!B8),"Y",""))</f>
        <v/>
      </c>
      <c r="W1613" s="172">
        <f>IF(V1613&lt;&gt;"Y","",MAX(0,(1-R1613/'01_설정'!B5))*'01_설정'!B14+MAX(0,(1-S1613/'01_설정'!B6))*'01_설정'!B15+MAX(0,(1-T1613/'01_설정'!B7))*'01_설정'!B16+MAX(0,(1-U1613/'01_설정'!B8))*'01_설정'!B17+O1613*'01_설정'!B11+Q1613*'01_설정'!B12+P1613*'01_설정'!B13+IF(Z1613="",0,Z1613))</f>
        <v/>
      </c>
      <c r="X1613" s="152">
        <f>IF(W1613="","",1+COUNTIFS($W$4:$W$3003,"&gt;"&amp;W1613)+COUNTIFS($W$4:W1613,W1613)-1)</f>
        <v/>
      </c>
      <c r="Y1613" s="175">
        <f>IF(OR(I1613="",'02_대상물건입력'!B19="",'02_대상물건입력'!B19&lt;=0),"",ABS(I1613-'02_대상물건입력'!B19)/'02_대상물건입력'!B19)</f>
        <v/>
      </c>
      <c r="Z1613" s="172">
        <f>IF(OR(Y1613="",'01_설정'!B31="",'01_설정'!B31&lt;=0,'01_설정'!B32="",'01_설정'!B32&lt;=0),"",MAX(0,(1-Y1613/'01_설정'!B32))*'01_설정'!B31)</f>
        <v/>
      </c>
    </row>
    <row r="1614" ht="17.25" customHeight="1">
      <c r="A1614" s="152">
        <f>IF(INDEX('04A_국토부원자료'!$A:$A,ROW()+1)="","",ROW()-3)</f>
        <v/>
      </c>
      <c r="B1614" s="48">
        <f>IFERROR(INDEX('04A_국토부원자료'!$A:$T,ROW()+1,MATCH("시군구",'04A_국토부원자료'!$A$4:$T$4,0)),"")</f>
        <v/>
      </c>
      <c r="C1614" s="48">
        <f>IF(B1614="","",IFERROR(INDEX('04A_국토부원자료'!$A:$T,ROW()+1,MATCH("번지",'04A_국토부원자료'!$A$4:$T$4,0)),""))</f>
        <v/>
      </c>
      <c r="D1614" s="48">
        <f>IF(B1614="","",IF(Q1614=1,'02_대상물건입력'!$B$8,IFERROR(INDEX('04A_국토부원자료'!$A:$T,ROW()+1,MATCH("단지명",'04A_국토부원자료'!$A$4:$T$4,0)),"")))</f>
        <v/>
      </c>
      <c r="E1614" s="172">
        <f>IFERROR(VALUE(SUBSTITUTE(INDEX('04A_국토부원자료'!$A:$T,ROW()+1,MATCH("전용면적(㎡)",'04A_국토부원자료'!$A$4:$T$4,0)),",","")),"")</f>
        <v/>
      </c>
      <c r="F16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14" s="51">
        <f>IFERROR(VALUE(SUBSTITUTE(INDEX('04A_국토부원자료'!$A:$T,ROW()+1,MATCH("거래금액(만원)",'04A_국토부원자료'!$A$4:$T$4,0)),",","")),"")</f>
        <v/>
      </c>
      <c r="H1614" s="174">
        <f>IF(G1614="","",G1614*10000)</f>
        <v/>
      </c>
      <c r="I1614" s="174">
        <f>IFERROR(IF(AND(H1614&gt;0,E1614&gt;0),H1614/E1614,""),"")</f>
        <v/>
      </c>
      <c r="J1614" s="152">
        <f>IFERROR(VALUE(SUBSTITUTE(INDEX('04A_국토부원자료'!$A:$T,ROW()+1,MATCH("층",'04A_국토부원자료'!$A$4:$T$4,0)),",","")),"")</f>
        <v/>
      </c>
      <c r="K1614" s="152">
        <f>IFERROR(VALUE(SUBSTITUTE(INDEX('04A_국토부원자료'!$A:$T,ROW()+1,MATCH("건축년도",'04A_국토부원자료'!$A$4:$T$4,0)),",","")),"")</f>
        <v/>
      </c>
      <c r="L1614" s="176">
        <f>IFERROR(INDEX('04A_국토부원자료'!$A:$T,ROW()+1,MATCH("도로명",'04A_국토부원자료'!$A$4:$T$4,0)),"")</f>
        <v/>
      </c>
      <c r="M1614" s="48">
        <f>IFERROR(INDEX('04A_국토부원자료'!$A:$T,ROW()+1,MATCH("거래유형",'04A_국토부원자료'!$A$4:$T$4,0)),"")</f>
        <v/>
      </c>
      <c r="N1614" s="152">
        <f>IF(B1614="","",IF('02_대상물건입력'!B5="",1,IF(ISNUMBER(SEARCH('02_대상물건입력'!B5,B1614)),1,0)))</f>
        <v/>
      </c>
      <c r="O1614" s="152">
        <f>IF(B1614="","",IF('02_대상물건입력'!B6="",1,IF(ISNUMBER(SEARCH('02_대상물건입력'!B6,B1614)),1,0)))</f>
        <v/>
      </c>
      <c r="P1614" s="152">
        <f>IF(L1614="","",IF('02_대상물건입력'!B15="",0,IF(ISNUMBER(SEARCH('02_대상물건입력'!B15,L1614)),1,0)))</f>
        <v/>
      </c>
      <c r="Q1614" s="152">
        <f>IF(OR(C1614="",L1614=""),0,IF(AND(TRIM(C1614)=TRIM(RIGHT(SUBSTITUTE(TRIM('02_대상물건입력'!$B$7)," ",REPT(" ",99)),99)),IF('02_대상물건입력'!B15="",TRUE(),ISNUMBER(SEARCH('02_대상물건입력'!B15,L1614)))),1,0))</f>
        <v/>
      </c>
      <c r="R1614" s="175">
        <f>IFERROR(ABS(E1614-'02_대상물건입력'!B11)/'02_대상물건입력'!B11,"")</f>
        <v/>
      </c>
      <c r="S1614" s="152">
        <f>IFERROR(ABS(J1614-'02_대상물건입력'!B10),"")</f>
        <v/>
      </c>
      <c r="T1614" s="152">
        <f>IFERROR(ABS('01_설정'!B4-F1614),"")</f>
        <v/>
      </c>
      <c r="U1614" s="152">
        <f>IFERROR(ABS(K1614-YEAR('02_대상물건입력'!B14)),"")</f>
        <v/>
      </c>
      <c r="V1614" s="152">
        <f>IF(B1614="","",IF(AND(E1614&gt;0,F1614&gt;0,H1614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1614=1,TRUE()),R1614&lt;='01_설정'!B5,S1614&lt;='01_설정'!B6,T1614&lt;='01_설정'!B7,U1614&lt;='01_설정'!B8),"Y",""))</f>
        <v/>
      </c>
      <c r="W1614" s="172">
        <f>IF(V1614&lt;&gt;"Y","",MAX(0,(1-R1614/'01_설정'!B5))*'01_설정'!B14+MAX(0,(1-S1614/'01_설정'!B6))*'01_설정'!B15+MAX(0,(1-T1614/'01_설정'!B7))*'01_설정'!B16+MAX(0,(1-U1614/'01_설정'!B8))*'01_설정'!B17+O1614*'01_설정'!B11+Q1614*'01_설정'!B12+P1614*'01_설정'!B13+IF(Z1614="",0,Z1614))</f>
        <v/>
      </c>
      <c r="X1614" s="152">
        <f>IF(W1614="","",1+COUNTIFS($W$4:$W$3003,"&gt;"&amp;W1614)+COUNTIFS($W$4:W1614,W1614)-1)</f>
        <v/>
      </c>
      <c r="Y1614" s="175">
        <f>IF(OR(I1614="",'02_대상물건입력'!B19="",'02_대상물건입력'!B19&lt;=0),"",ABS(I1614-'02_대상물건입력'!B19)/'02_대상물건입력'!B19)</f>
        <v/>
      </c>
      <c r="Z1614" s="172">
        <f>IF(OR(Y1614="",'01_설정'!B31="",'01_설정'!B31&lt;=0,'01_설정'!B32="",'01_설정'!B32&lt;=0),"",MAX(0,(1-Y1614/'01_설정'!B32))*'01_설정'!B31)</f>
        <v/>
      </c>
    </row>
    <row r="1615" ht="17.25" customHeight="1">
      <c r="A1615" s="152">
        <f>IF(INDEX('04A_국토부원자료'!$A:$A,ROW()+1)="","",ROW()-3)</f>
        <v/>
      </c>
      <c r="B1615" s="48">
        <f>IFERROR(INDEX('04A_국토부원자료'!$A:$T,ROW()+1,MATCH("시군구",'04A_국토부원자료'!$A$4:$T$4,0)),"")</f>
        <v/>
      </c>
      <c r="C1615" s="48">
        <f>IF(B1615="","",IFERROR(INDEX('04A_국토부원자료'!$A:$T,ROW()+1,MATCH("번지",'04A_국토부원자료'!$A$4:$T$4,0)),""))</f>
        <v/>
      </c>
      <c r="D1615" s="48">
        <f>IF(B1615="","",IF(Q1615=1,'02_대상물건입력'!$B$8,IFERROR(INDEX('04A_국토부원자료'!$A:$T,ROW()+1,MATCH("단지명",'04A_국토부원자료'!$A$4:$T$4,0)),"")))</f>
        <v/>
      </c>
      <c r="E1615" s="172">
        <f>IFERROR(VALUE(SUBSTITUTE(INDEX('04A_국토부원자료'!$A:$T,ROW()+1,MATCH("전용면적(㎡)",'04A_국토부원자료'!$A$4:$T$4,0)),",","")),"")</f>
        <v/>
      </c>
      <c r="F16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15" s="51">
        <f>IFERROR(VALUE(SUBSTITUTE(INDEX('04A_국토부원자료'!$A:$T,ROW()+1,MATCH("거래금액(만원)",'04A_국토부원자료'!$A$4:$T$4,0)),",","")),"")</f>
        <v/>
      </c>
      <c r="H1615" s="174">
        <f>IF(G1615="","",G1615*10000)</f>
        <v/>
      </c>
      <c r="I1615" s="174">
        <f>IFERROR(IF(AND(H1615&gt;0,E1615&gt;0),H1615/E1615,""),"")</f>
        <v/>
      </c>
      <c r="J1615" s="152">
        <f>IFERROR(VALUE(SUBSTITUTE(INDEX('04A_국토부원자료'!$A:$T,ROW()+1,MATCH("층",'04A_국토부원자료'!$A$4:$T$4,0)),",","")),"")</f>
        <v/>
      </c>
      <c r="K1615" s="152">
        <f>IFERROR(VALUE(SUBSTITUTE(INDEX('04A_국토부원자료'!$A:$T,ROW()+1,MATCH("건축년도",'04A_국토부원자료'!$A$4:$T$4,0)),",","")),"")</f>
        <v/>
      </c>
      <c r="L1615" s="176">
        <f>IFERROR(INDEX('04A_국토부원자료'!$A:$T,ROW()+1,MATCH("도로명",'04A_국토부원자료'!$A$4:$T$4,0)),"")</f>
        <v/>
      </c>
      <c r="M1615" s="48">
        <f>IFERROR(INDEX('04A_국토부원자료'!$A:$T,ROW()+1,MATCH("거래유형",'04A_국토부원자료'!$A$4:$T$4,0)),"")</f>
        <v/>
      </c>
      <c r="N1615" s="152">
        <f>IF(B1615="","",IF('02_대상물건입력'!B5="",1,IF(ISNUMBER(SEARCH('02_대상물건입력'!B5,B1615)),1,0)))</f>
        <v/>
      </c>
      <c r="O1615" s="152">
        <f>IF(B1615="","",IF('02_대상물건입력'!B6="",1,IF(ISNUMBER(SEARCH('02_대상물건입력'!B6,B1615)),1,0)))</f>
        <v/>
      </c>
      <c r="P1615" s="152">
        <f>IF(L1615="","",IF('02_대상물건입력'!B15="",0,IF(ISNUMBER(SEARCH('02_대상물건입력'!B15,L1615)),1,0)))</f>
        <v/>
      </c>
      <c r="Q1615" s="152">
        <f>IF(OR(C1615="",L1615=""),0,IF(AND(TRIM(C1615)=TRIM(RIGHT(SUBSTITUTE(TRIM('02_대상물건입력'!$B$7)," ",REPT(" ",99)),99)),IF('02_대상물건입력'!B15="",TRUE(),ISNUMBER(SEARCH('02_대상물건입력'!B15,L1615)))),1,0))</f>
        <v/>
      </c>
      <c r="R1615" s="175">
        <f>IFERROR(ABS(E1615-'02_대상물건입력'!B11)/'02_대상물건입력'!B11,"")</f>
        <v/>
      </c>
      <c r="S1615" s="152">
        <f>IFERROR(ABS(J1615-'02_대상물건입력'!B10),"")</f>
        <v/>
      </c>
      <c r="T1615" s="152">
        <f>IFERROR(ABS('01_설정'!B4-F1615),"")</f>
        <v/>
      </c>
      <c r="U1615" s="152">
        <f>IFERROR(ABS(K1615-YEAR('02_대상물건입력'!B14)),"")</f>
        <v/>
      </c>
      <c r="V1615" s="152">
        <f>IF(B1615="","",IF(AND(E1615&gt;0,F1615&gt;0,H1615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1615=1,TRUE()),R1615&lt;='01_설정'!B5,S1615&lt;='01_설정'!B6,T1615&lt;='01_설정'!B7,U1615&lt;='01_설정'!B8),"Y",""))</f>
        <v/>
      </c>
      <c r="W1615" s="172">
        <f>IF(V1615&lt;&gt;"Y","",MAX(0,(1-R1615/'01_설정'!B5))*'01_설정'!B14+MAX(0,(1-S1615/'01_설정'!B6))*'01_설정'!B15+MAX(0,(1-T1615/'01_설정'!B7))*'01_설정'!B16+MAX(0,(1-U1615/'01_설정'!B8))*'01_설정'!B17+O1615*'01_설정'!B11+Q1615*'01_설정'!B12+P1615*'01_설정'!B13+IF(Z1615="",0,Z1615))</f>
        <v/>
      </c>
      <c r="X1615" s="152">
        <f>IF(W1615="","",1+COUNTIFS($W$4:$W$3003,"&gt;"&amp;W1615)+COUNTIFS($W$4:W1615,W1615)-1)</f>
        <v/>
      </c>
      <c r="Y1615" s="175">
        <f>IF(OR(I1615="",'02_대상물건입력'!B19="",'02_대상물건입력'!B19&lt;=0),"",ABS(I1615-'02_대상물건입력'!B19)/'02_대상물건입력'!B19)</f>
        <v/>
      </c>
      <c r="Z1615" s="172">
        <f>IF(OR(Y1615="",'01_설정'!B31="",'01_설정'!B31&lt;=0,'01_설정'!B32="",'01_설정'!B32&lt;=0),"",MAX(0,(1-Y1615/'01_설정'!B32))*'01_설정'!B31)</f>
        <v/>
      </c>
    </row>
    <row r="1616" ht="17.25" customHeight="1">
      <c r="A1616" s="152">
        <f>IF(INDEX('04A_국토부원자료'!$A:$A,ROW()+1)="","",ROW()-3)</f>
        <v/>
      </c>
      <c r="B1616" s="48">
        <f>IFERROR(INDEX('04A_국토부원자료'!$A:$T,ROW()+1,MATCH("시군구",'04A_국토부원자료'!$A$4:$T$4,0)),"")</f>
        <v/>
      </c>
      <c r="C1616" s="48">
        <f>IF(B1616="","",IFERROR(INDEX('04A_국토부원자료'!$A:$T,ROW()+1,MATCH("번지",'04A_국토부원자료'!$A$4:$T$4,0)),""))</f>
        <v/>
      </c>
      <c r="D1616" s="48">
        <f>IF(B1616="","",IF(Q1616=1,'02_대상물건입력'!$B$8,IFERROR(INDEX('04A_국토부원자료'!$A:$T,ROW()+1,MATCH("단지명",'04A_국토부원자료'!$A$4:$T$4,0)),"")))</f>
        <v/>
      </c>
      <c r="E1616" s="172">
        <f>IFERROR(VALUE(SUBSTITUTE(INDEX('04A_국토부원자료'!$A:$T,ROW()+1,MATCH("전용면적(㎡)",'04A_국토부원자료'!$A$4:$T$4,0)),",","")),"")</f>
        <v/>
      </c>
      <c r="F16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16" s="51">
        <f>IFERROR(VALUE(SUBSTITUTE(INDEX('04A_국토부원자료'!$A:$T,ROW()+1,MATCH("거래금액(만원)",'04A_국토부원자료'!$A$4:$T$4,0)),",","")),"")</f>
        <v/>
      </c>
      <c r="H1616" s="174">
        <f>IF(G1616="","",G1616*10000)</f>
        <v/>
      </c>
      <c r="I1616" s="174">
        <f>IFERROR(IF(AND(H1616&gt;0,E1616&gt;0),H1616/E1616,""),"")</f>
        <v/>
      </c>
      <c r="J1616" s="152">
        <f>IFERROR(VALUE(SUBSTITUTE(INDEX('04A_국토부원자료'!$A:$T,ROW()+1,MATCH("층",'04A_국토부원자료'!$A$4:$T$4,0)),",","")),"")</f>
        <v/>
      </c>
      <c r="K1616" s="152">
        <f>IFERROR(VALUE(SUBSTITUTE(INDEX('04A_국토부원자료'!$A:$T,ROW()+1,MATCH("건축년도",'04A_국토부원자료'!$A$4:$T$4,0)),",","")),"")</f>
        <v/>
      </c>
      <c r="L1616" s="176">
        <f>IFERROR(INDEX('04A_국토부원자료'!$A:$T,ROW()+1,MATCH("도로명",'04A_국토부원자료'!$A$4:$T$4,0)),"")</f>
        <v/>
      </c>
      <c r="M1616" s="48">
        <f>IFERROR(INDEX('04A_국토부원자료'!$A:$T,ROW()+1,MATCH("거래유형",'04A_국토부원자료'!$A$4:$T$4,0)),"")</f>
        <v/>
      </c>
      <c r="N1616" s="152">
        <f>IF(B1616="","",IF('02_대상물건입력'!B5="",1,IF(ISNUMBER(SEARCH('02_대상물건입력'!B5,B1616)),1,0)))</f>
        <v/>
      </c>
      <c r="O1616" s="152">
        <f>IF(B1616="","",IF('02_대상물건입력'!B6="",1,IF(ISNUMBER(SEARCH('02_대상물건입력'!B6,B1616)),1,0)))</f>
        <v/>
      </c>
      <c r="P1616" s="152">
        <f>IF(L1616="","",IF('02_대상물건입력'!B15="",0,IF(ISNUMBER(SEARCH('02_대상물건입력'!B15,L1616)),1,0)))</f>
        <v/>
      </c>
      <c r="Q1616" s="152">
        <f>IF(OR(C1616="",L1616=""),0,IF(AND(TRIM(C1616)=TRIM(RIGHT(SUBSTITUTE(TRIM('02_대상물건입력'!$B$7)," ",REPT(" ",99)),99)),IF('02_대상물건입력'!B15="",TRUE(),ISNUMBER(SEARCH('02_대상물건입력'!B15,L1616)))),1,0))</f>
        <v/>
      </c>
      <c r="R1616" s="175">
        <f>IFERROR(ABS(E1616-'02_대상물건입력'!B11)/'02_대상물건입력'!B11,"")</f>
        <v/>
      </c>
      <c r="S1616" s="152">
        <f>IFERROR(ABS(J1616-'02_대상물건입력'!B10),"")</f>
        <v/>
      </c>
      <c r="T1616" s="152">
        <f>IFERROR(ABS('01_설정'!B4-F1616),"")</f>
        <v/>
      </c>
      <c r="U1616" s="152">
        <f>IFERROR(ABS(K1616-YEAR('02_대상물건입력'!B14)),"")</f>
        <v/>
      </c>
      <c r="V1616" s="152">
        <f>IF(B1616="","",IF(AND(E1616&gt;0,F1616&gt;0,H1616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1616=1,TRUE()),R1616&lt;='01_설정'!B5,S1616&lt;='01_설정'!B6,T1616&lt;='01_설정'!B7,U1616&lt;='01_설정'!B8),"Y",""))</f>
        <v/>
      </c>
      <c r="W1616" s="172">
        <f>IF(V1616&lt;&gt;"Y","",MAX(0,(1-R1616/'01_설정'!B5))*'01_설정'!B14+MAX(0,(1-S1616/'01_설정'!B6))*'01_설정'!B15+MAX(0,(1-T1616/'01_설정'!B7))*'01_설정'!B16+MAX(0,(1-U1616/'01_설정'!B8))*'01_설정'!B17+O1616*'01_설정'!B11+Q1616*'01_설정'!B12+P1616*'01_설정'!B13+IF(Z1616="",0,Z1616))</f>
        <v/>
      </c>
      <c r="X1616" s="152">
        <f>IF(W1616="","",1+COUNTIFS($W$4:$W$3003,"&gt;"&amp;W1616)+COUNTIFS($W$4:W1616,W1616)-1)</f>
        <v/>
      </c>
      <c r="Y1616" s="175">
        <f>IF(OR(I1616="",'02_대상물건입력'!B19="",'02_대상물건입력'!B19&lt;=0),"",ABS(I1616-'02_대상물건입력'!B19)/'02_대상물건입력'!B19)</f>
        <v/>
      </c>
      <c r="Z1616" s="172">
        <f>IF(OR(Y1616="",'01_설정'!B31="",'01_설정'!B31&lt;=0,'01_설정'!B32="",'01_설정'!B32&lt;=0),"",MAX(0,(1-Y1616/'01_설정'!B32))*'01_설정'!B31)</f>
        <v/>
      </c>
    </row>
    <row r="1617" ht="17.25" customHeight="1">
      <c r="A1617" s="152">
        <f>IF(INDEX('04A_국토부원자료'!$A:$A,ROW()+1)="","",ROW()-3)</f>
        <v/>
      </c>
      <c r="B1617" s="48">
        <f>IFERROR(INDEX('04A_국토부원자료'!$A:$T,ROW()+1,MATCH("시군구",'04A_국토부원자료'!$A$4:$T$4,0)),"")</f>
        <v/>
      </c>
      <c r="C1617" s="48">
        <f>IF(B1617="","",IFERROR(INDEX('04A_국토부원자료'!$A:$T,ROW()+1,MATCH("번지",'04A_국토부원자료'!$A$4:$T$4,0)),""))</f>
        <v/>
      </c>
      <c r="D1617" s="48">
        <f>IF(B1617="","",IF(Q1617=1,'02_대상물건입력'!$B$8,IFERROR(INDEX('04A_국토부원자료'!$A:$T,ROW()+1,MATCH("단지명",'04A_국토부원자료'!$A$4:$T$4,0)),"")))</f>
        <v/>
      </c>
      <c r="E1617" s="172">
        <f>IFERROR(VALUE(SUBSTITUTE(INDEX('04A_국토부원자료'!$A:$T,ROW()+1,MATCH("전용면적(㎡)",'04A_국토부원자료'!$A$4:$T$4,0)),",","")),"")</f>
        <v/>
      </c>
      <c r="F16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17" s="51">
        <f>IFERROR(VALUE(SUBSTITUTE(INDEX('04A_국토부원자료'!$A:$T,ROW()+1,MATCH("거래금액(만원)",'04A_국토부원자료'!$A$4:$T$4,0)),",","")),"")</f>
        <v/>
      </c>
      <c r="H1617" s="174">
        <f>IF(G1617="","",G1617*10000)</f>
        <v/>
      </c>
      <c r="I1617" s="174">
        <f>IFERROR(IF(AND(H1617&gt;0,E1617&gt;0),H1617/E1617,""),"")</f>
        <v/>
      </c>
      <c r="J1617" s="152">
        <f>IFERROR(VALUE(SUBSTITUTE(INDEX('04A_국토부원자료'!$A:$T,ROW()+1,MATCH("층",'04A_국토부원자료'!$A$4:$T$4,0)),",","")),"")</f>
        <v/>
      </c>
      <c r="K1617" s="152">
        <f>IFERROR(VALUE(SUBSTITUTE(INDEX('04A_국토부원자료'!$A:$T,ROW()+1,MATCH("건축년도",'04A_국토부원자료'!$A$4:$T$4,0)),",","")),"")</f>
        <v/>
      </c>
      <c r="L1617" s="176">
        <f>IFERROR(INDEX('04A_국토부원자료'!$A:$T,ROW()+1,MATCH("도로명",'04A_국토부원자료'!$A$4:$T$4,0)),"")</f>
        <v/>
      </c>
      <c r="M1617" s="48">
        <f>IFERROR(INDEX('04A_국토부원자료'!$A:$T,ROW()+1,MATCH("거래유형",'04A_국토부원자료'!$A$4:$T$4,0)),"")</f>
        <v/>
      </c>
      <c r="N1617" s="152">
        <f>IF(B1617="","",IF('02_대상물건입력'!B5="",1,IF(ISNUMBER(SEARCH('02_대상물건입력'!B5,B1617)),1,0)))</f>
        <v/>
      </c>
      <c r="O1617" s="152">
        <f>IF(B1617="","",IF('02_대상물건입력'!B6="",1,IF(ISNUMBER(SEARCH('02_대상물건입력'!B6,B1617)),1,0)))</f>
        <v/>
      </c>
      <c r="P1617" s="152">
        <f>IF(L1617="","",IF('02_대상물건입력'!B15="",0,IF(ISNUMBER(SEARCH('02_대상물건입력'!B15,L1617)),1,0)))</f>
        <v/>
      </c>
      <c r="Q1617" s="152">
        <f>IF(OR(C1617="",L1617=""),0,IF(AND(TRIM(C1617)=TRIM(RIGHT(SUBSTITUTE(TRIM('02_대상물건입력'!$B$7)," ",REPT(" ",99)),99)),IF('02_대상물건입력'!B15="",TRUE(),ISNUMBER(SEARCH('02_대상물건입력'!B15,L1617)))),1,0))</f>
        <v/>
      </c>
      <c r="R1617" s="175">
        <f>IFERROR(ABS(E1617-'02_대상물건입력'!B11)/'02_대상물건입력'!B11,"")</f>
        <v/>
      </c>
      <c r="S1617" s="152">
        <f>IFERROR(ABS(J1617-'02_대상물건입력'!B10),"")</f>
        <v/>
      </c>
      <c r="T1617" s="152">
        <f>IFERROR(ABS('01_설정'!B4-F1617),"")</f>
        <v/>
      </c>
      <c r="U1617" s="152">
        <f>IFERROR(ABS(K1617-YEAR('02_대상물건입력'!B14)),"")</f>
        <v/>
      </c>
      <c r="V1617" s="152">
        <f>IF(B1617="","",IF(AND(E1617&gt;0,F1617&gt;0,H1617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1617=1,TRUE()),R1617&lt;='01_설정'!B5,S1617&lt;='01_설정'!B6,T1617&lt;='01_설정'!B7,U1617&lt;='01_설정'!B8),"Y",""))</f>
        <v/>
      </c>
      <c r="W1617" s="172">
        <f>IF(V1617&lt;&gt;"Y","",MAX(0,(1-R1617/'01_설정'!B5))*'01_설정'!B14+MAX(0,(1-S1617/'01_설정'!B6))*'01_설정'!B15+MAX(0,(1-T1617/'01_설정'!B7))*'01_설정'!B16+MAX(0,(1-U1617/'01_설정'!B8))*'01_설정'!B17+O1617*'01_설정'!B11+Q1617*'01_설정'!B12+P1617*'01_설정'!B13+IF(Z1617="",0,Z1617))</f>
        <v/>
      </c>
      <c r="X1617" s="152">
        <f>IF(W1617="","",1+COUNTIFS($W$4:$W$3003,"&gt;"&amp;W1617)+COUNTIFS($W$4:W1617,W1617)-1)</f>
        <v/>
      </c>
      <c r="Y1617" s="175">
        <f>IF(OR(I1617="",'02_대상물건입력'!B19="",'02_대상물건입력'!B19&lt;=0),"",ABS(I1617-'02_대상물건입력'!B19)/'02_대상물건입력'!B19)</f>
        <v/>
      </c>
      <c r="Z1617" s="172">
        <f>IF(OR(Y1617="",'01_설정'!B31="",'01_설정'!B31&lt;=0,'01_설정'!B32="",'01_설정'!B32&lt;=0),"",MAX(0,(1-Y1617/'01_설정'!B32))*'01_설정'!B31)</f>
        <v/>
      </c>
    </row>
    <row r="1618" ht="17.25" customHeight="1">
      <c r="A1618" s="152">
        <f>IF(INDEX('04A_국토부원자료'!$A:$A,ROW()+1)="","",ROW()-3)</f>
        <v/>
      </c>
      <c r="B1618" s="48">
        <f>IFERROR(INDEX('04A_국토부원자료'!$A:$T,ROW()+1,MATCH("시군구",'04A_국토부원자료'!$A$4:$T$4,0)),"")</f>
        <v/>
      </c>
      <c r="C1618" s="48">
        <f>IF(B1618="","",IFERROR(INDEX('04A_국토부원자료'!$A:$T,ROW()+1,MATCH("번지",'04A_국토부원자료'!$A$4:$T$4,0)),""))</f>
        <v/>
      </c>
      <c r="D1618" s="48">
        <f>IF(B1618="","",IF(Q1618=1,'02_대상물건입력'!$B$8,IFERROR(INDEX('04A_국토부원자료'!$A:$T,ROW()+1,MATCH("단지명",'04A_국토부원자료'!$A$4:$T$4,0)),"")))</f>
        <v/>
      </c>
      <c r="E1618" s="172">
        <f>IFERROR(VALUE(SUBSTITUTE(INDEX('04A_국토부원자료'!$A:$T,ROW()+1,MATCH("전용면적(㎡)",'04A_국토부원자료'!$A$4:$T$4,0)),",","")),"")</f>
        <v/>
      </c>
      <c r="F16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18" s="51">
        <f>IFERROR(VALUE(SUBSTITUTE(INDEX('04A_국토부원자료'!$A:$T,ROW()+1,MATCH("거래금액(만원)",'04A_국토부원자료'!$A$4:$T$4,0)),",","")),"")</f>
        <v/>
      </c>
      <c r="H1618" s="174">
        <f>IF(G1618="","",G1618*10000)</f>
        <v/>
      </c>
      <c r="I1618" s="174">
        <f>IFERROR(IF(AND(H1618&gt;0,E1618&gt;0),H1618/E1618,""),"")</f>
        <v/>
      </c>
      <c r="J1618" s="152">
        <f>IFERROR(VALUE(SUBSTITUTE(INDEX('04A_국토부원자료'!$A:$T,ROW()+1,MATCH("층",'04A_국토부원자료'!$A$4:$T$4,0)),",","")),"")</f>
        <v/>
      </c>
      <c r="K1618" s="152">
        <f>IFERROR(VALUE(SUBSTITUTE(INDEX('04A_국토부원자료'!$A:$T,ROW()+1,MATCH("건축년도",'04A_국토부원자료'!$A$4:$T$4,0)),",","")),"")</f>
        <v/>
      </c>
      <c r="L1618" s="176">
        <f>IFERROR(INDEX('04A_국토부원자료'!$A:$T,ROW()+1,MATCH("도로명",'04A_국토부원자료'!$A$4:$T$4,0)),"")</f>
        <v/>
      </c>
      <c r="M1618" s="48">
        <f>IFERROR(INDEX('04A_국토부원자료'!$A:$T,ROW()+1,MATCH("거래유형",'04A_국토부원자료'!$A$4:$T$4,0)),"")</f>
        <v/>
      </c>
      <c r="N1618" s="152">
        <f>IF(B1618="","",IF('02_대상물건입력'!B5="",1,IF(ISNUMBER(SEARCH('02_대상물건입력'!B5,B1618)),1,0)))</f>
        <v/>
      </c>
      <c r="O1618" s="152">
        <f>IF(B1618="","",IF('02_대상물건입력'!B6="",1,IF(ISNUMBER(SEARCH('02_대상물건입력'!B6,B1618)),1,0)))</f>
        <v/>
      </c>
      <c r="P1618" s="152">
        <f>IF(L1618="","",IF('02_대상물건입력'!B15="",0,IF(ISNUMBER(SEARCH('02_대상물건입력'!B15,L1618)),1,0)))</f>
        <v/>
      </c>
      <c r="Q1618" s="152">
        <f>IF(OR(C1618="",L1618=""),0,IF(AND(TRIM(C1618)=TRIM(RIGHT(SUBSTITUTE(TRIM('02_대상물건입력'!$B$7)," ",REPT(" ",99)),99)),IF('02_대상물건입력'!B15="",TRUE(),ISNUMBER(SEARCH('02_대상물건입력'!B15,L1618)))),1,0))</f>
        <v/>
      </c>
      <c r="R1618" s="175">
        <f>IFERROR(ABS(E1618-'02_대상물건입력'!B11)/'02_대상물건입력'!B11,"")</f>
        <v/>
      </c>
      <c r="S1618" s="152">
        <f>IFERROR(ABS(J1618-'02_대상물건입력'!B10),"")</f>
        <v/>
      </c>
      <c r="T1618" s="152">
        <f>IFERROR(ABS('01_설정'!B4-F1618),"")</f>
        <v/>
      </c>
      <c r="U1618" s="152">
        <f>IFERROR(ABS(K1618-YEAR('02_대상물건입력'!B14)),"")</f>
        <v/>
      </c>
      <c r="V1618" s="152">
        <f>IF(B1618="","",IF(AND(E1618&gt;0,F1618&gt;0,H1618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1618=1,TRUE()),R1618&lt;='01_설정'!B5,S1618&lt;='01_설정'!B6,T1618&lt;='01_설정'!B7,U1618&lt;='01_설정'!B8),"Y",""))</f>
        <v/>
      </c>
      <c r="W1618" s="172">
        <f>IF(V1618&lt;&gt;"Y","",MAX(0,(1-R1618/'01_설정'!B5))*'01_설정'!B14+MAX(0,(1-S1618/'01_설정'!B6))*'01_설정'!B15+MAX(0,(1-T1618/'01_설정'!B7))*'01_설정'!B16+MAX(0,(1-U1618/'01_설정'!B8))*'01_설정'!B17+O1618*'01_설정'!B11+Q1618*'01_설정'!B12+P1618*'01_설정'!B13+IF(Z1618="",0,Z1618))</f>
        <v/>
      </c>
      <c r="X1618" s="152">
        <f>IF(W1618="","",1+COUNTIFS($W$4:$W$3003,"&gt;"&amp;W1618)+COUNTIFS($W$4:W1618,W1618)-1)</f>
        <v/>
      </c>
      <c r="Y1618" s="175">
        <f>IF(OR(I1618="",'02_대상물건입력'!B19="",'02_대상물건입력'!B19&lt;=0),"",ABS(I1618-'02_대상물건입력'!B19)/'02_대상물건입력'!B19)</f>
        <v/>
      </c>
      <c r="Z1618" s="172">
        <f>IF(OR(Y1618="",'01_설정'!B31="",'01_설정'!B31&lt;=0,'01_설정'!B32="",'01_설정'!B32&lt;=0),"",MAX(0,(1-Y1618/'01_설정'!B32))*'01_설정'!B31)</f>
        <v/>
      </c>
    </row>
    <row r="1619" ht="17.25" customHeight="1">
      <c r="A1619" s="152">
        <f>IF(INDEX('04A_국토부원자료'!$A:$A,ROW()+1)="","",ROW()-3)</f>
        <v/>
      </c>
      <c r="B1619" s="48">
        <f>IFERROR(INDEX('04A_국토부원자료'!$A:$T,ROW()+1,MATCH("시군구",'04A_국토부원자료'!$A$4:$T$4,0)),"")</f>
        <v/>
      </c>
      <c r="C1619" s="48">
        <f>IF(B1619="","",IFERROR(INDEX('04A_국토부원자료'!$A:$T,ROW()+1,MATCH("번지",'04A_국토부원자료'!$A$4:$T$4,0)),""))</f>
        <v/>
      </c>
      <c r="D1619" s="48">
        <f>IF(B1619="","",IF(Q1619=1,'02_대상물건입력'!$B$8,IFERROR(INDEX('04A_국토부원자료'!$A:$T,ROW()+1,MATCH("단지명",'04A_국토부원자료'!$A$4:$T$4,0)),"")))</f>
        <v/>
      </c>
      <c r="E1619" s="172">
        <f>IFERROR(VALUE(SUBSTITUTE(INDEX('04A_국토부원자료'!$A:$T,ROW()+1,MATCH("전용면적(㎡)",'04A_국토부원자료'!$A$4:$T$4,0)),",","")),"")</f>
        <v/>
      </c>
      <c r="F16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19" s="51">
        <f>IFERROR(VALUE(SUBSTITUTE(INDEX('04A_국토부원자료'!$A:$T,ROW()+1,MATCH("거래금액(만원)",'04A_국토부원자료'!$A$4:$T$4,0)),",","")),"")</f>
        <v/>
      </c>
      <c r="H1619" s="174">
        <f>IF(G1619="","",G1619*10000)</f>
        <v/>
      </c>
      <c r="I1619" s="174">
        <f>IFERROR(IF(AND(H1619&gt;0,E1619&gt;0),H1619/E1619,""),"")</f>
        <v/>
      </c>
      <c r="J1619" s="152">
        <f>IFERROR(VALUE(SUBSTITUTE(INDEX('04A_국토부원자료'!$A:$T,ROW()+1,MATCH("층",'04A_국토부원자료'!$A$4:$T$4,0)),",","")),"")</f>
        <v/>
      </c>
      <c r="K1619" s="152">
        <f>IFERROR(VALUE(SUBSTITUTE(INDEX('04A_국토부원자료'!$A:$T,ROW()+1,MATCH("건축년도",'04A_국토부원자료'!$A$4:$T$4,0)),",","")),"")</f>
        <v/>
      </c>
      <c r="L1619" s="176">
        <f>IFERROR(INDEX('04A_국토부원자료'!$A:$T,ROW()+1,MATCH("도로명",'04A_국토부원자료'!$A$4:$T$4,0)),"")</f>
        <v/>
      </c>
      <c r="M1619" s="48">
        <f>IFERROR(INDEX('04A_국토부원자료'!$A:$T,ROW()+1,MATCH("거래유형",'04A_국토부원자료'!$A$4:$T$4,0)),"")</f>
        <v/>
      </c>
      <c r="N1619" s="152">
        <f>IF(B1619="","",IF('02_대상물건입력'!B5="",1,IF(ISNUMBER(SEARCH('02_대상물건입력'!B5,B1619)),1,0)))</f>
        <v/>
      </c>
      <c r="O1619" s="152">
        <f>IF(B1619="","",IF('02_대상물건입력'!B6="",1,IF(ISNUMBER(SEARCH('02_대상물건입력'!B6,B1619)),1,0)))</f>
        <v/>
      </c>
      <c r="P1619" s="152">
        <f>IF(L1619="","",IF('02_대상물건입력'!B15="",0,IF(ISNUMBER(SEARCH('02_대상물건입력'!B15,L1619)),1,0)))</f>
        <v/>
      </c>
      <c r="Q1619" s="152">
        <f>IF(OR(C1619="",L1619=""),0,IF(AND(TRIM(C1619)=TRIM(RIGHT(SUBSTITUTE(TRIM('02_대상물건입력'!$B$7)," ",REPT(" ",99)),99)),IF('02_대상물건입력'!B15="",TRUE(),ISNUMBER(SEARCH('02_대상물건입력'!B15,L1619)))),1,0))</f>
        <v/>
      </c>
      <c r="R1619" s="175">
        <f>IFERROR(ABS(E1619-'02_대상물건입력'!B11)/'02_대상물건입력'!B11,"")</f>
        <v/>
      </c>
      <c r="S1619" s="152">
        <f>IFERROR(ABS(J1619-'02_대상물건입력'!B10),"")</f>
        <v/>
      </c>
      <c r="T1619" s="152">
        <f>IFERROR(ABS('01_설정'!B4-F1619),"")</f>
        <v/>
      </c>
      <c r="U1619" s="152">
        <f>IFERROR(ABS(K1619-YEAR('02_대상물건입력'!B14)),"")</f>
        <v/>
      </c>
      <c r="V1619" s="152">
        <f>IF(B1619="","",IF(AND(E1619&gt;0,F1619&gt;0,H1619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1619=1,TRUE()),R1619&lt;='01_설정'!B5,S1619&lt;='01_설정'!B6,T1619&lt;='01_설정'!B7,U1619&lt;='01_설정'!B8),"Y",""))</f>
        <v/>
      </c>
      <c r="W1619" s="172">
        <f>IF(V1619&lt;&gt;"Y","",MAX(0,(1-R1619/'01_설정'!B5))*'01_설정'!B14+MAX(0,(1-S1619/'01_설정'!B6))*'01_설정'!B15+MAX(0,(1-T1619/'01_설정'!B7))*'01_설정'!B16+MAX(0,(1-U1619/'01_설정'!B8))*'01_설정'!B17+O1619*'01_설정'!B11+Q1619*'01_설정'!B12+P1619*'01_설정'!B13+IF(Z1619="",0,Z1619))</f>
        <v/>
      </c>
      <c r="X1619" s="152">
        <f>IF(W1619="","",1+COUNTIFS($W$4:$W$3003,"&gt;"&amp;W1619)+COUNTIFS($W$4:W1619,W1619)-1)</f>
        <v/>
      </c>
      <c r="Y1619" s="175">
        <f>IF(OR(I1619="",'02_대상물건입력'!B19="",'02_대상물건입력'!B19&lt;=0),"",ABS(I1619-'02_대상물건입력'!B19)/'02_대상물건입력'!B19)</f>
        <v/>
      </c>
      <c r="Z1619" s="172">
        <f>IF(OR(Y1619="",'01_설정'!B31="",'01_설정'!B31&lt;=0,'01_설정'!B32="",'01_설정'!B32&lt;=0),"",MAX(0,(1-Y1619/'01_설정'!B32))*'01_설정'!B31)</f>
        <v/>
      </c>
    </row>
    <row r="1620" ht="17.25" customHeight="1">
      <c r="A1620" s="152">
        <f>IF(INDEX('04A_국토부원자료'!$A:$A,ROW()+1)="","",ROW()-3)</f>
        <v/>
      </c>
      <c r="B1620" s="48">
        <f>IFERROR(INDEX('04A_국토부원자료'!$A:$T,ROW()+1,MATCH("시군구",'04A_국토부원자료'!$A$4:$T$4,0)),"")</f>
        <v/>
      </c>
      <c r="C1620" s="48">
        <f>IF(B1620="","",IFERROR(INDEX('04A_국토부원자료'!$A:$T,ROW()+1,MATCH("번지",'04A_국토부원자료'!$A$4:$T$4,0)),""))</f>
        <v/>
      </c>
      <c r="D1620" s="48">
        <f>IF(B1620="","",IF(Q1620=1,'02_대상물건입력'!$B$8,IFERROR(INDEX('04A_국토부원자료'!$A:$T,ROW()+1,MATCH("단지명",'04A_국토부원자료'!$A$4:$T$4,0)),"")))</f>
        <v/>
      </c>
      <c r="E1620" s="172">
        <f>IFERROR(VALUE(SUBSTITUTE(INDEX('04A_국토부원자료'!$A:$T,ROW()+1,MATCH("전용면적(㎡)",'04A_국토부원자료'!$A$4:$T$4,0)),",","")),"")</f>
        <v/>
      </c>
      <c r="F16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20" s="51">
        <f>IFERROR(VALUE(SUBSTITUTE(INDEX('04A_국토부원자료'!$A:$T,ROW()+1,MATCH("거래금액(만원)",'04A_국토부원자료'!$A$4:$T$4,0)),",","")),"")</f>
        <v/>
      </c>
      <c r="H1620" s="174">
        <f>IF(G1620="","",G1620*10000)</f>
        <v/>
      </c>
      <c r="I1620" s="174">
        <f>IFERROR(IF(AND(H1620&gt;0,E1620&gt;0),H1620/E1620,""),"")</f>
        <v/>
      </c>
      <c r="J1620" s="152">
        <f>IFERROR(VALUE(SUBSTITUTE(INDEX('04A_국토부원자료'!$A:$T,ROW()+1,MATCH("층",'04A_국토부원자료'!$A$4:$T$4,0)),",","")),"")</f>
        <v/>
      </c>
      <c r="K1620" s="152">
        <f>IFERROR(VALUE(SUBSTITUTE(INDEX('04A_국토부원자료'!$A:$T,ROW()+1,MATCH("건축년도",'04A_국토부원자료'!$A$4:$T$4,0)),",","")),"")</f>
        <v/>
      </c>
      <c r="L1620" s="176">
        <f>IFERROR(INDEX('04A_국토부원자료'!$A:$T,ROW()+1,MATCH("도로명",'04A_국토부원자료'!$A$4:$T$4,0)),"")</f>
        <v/>
      </c>
      <c r="M1620" s="48">
        <f>IFERROR(INDEX('04A_국토부원자료'!$A:$T,ROW()+1,MATCH("거래유형",'04A_국토부원자료'!$A$4:$T$4,0)),"")</f>
        <v/>
      </c>
      <c r="N1620" s="152">
        <f>IF(B1620="","",IF('02_대상물건입력'!B5="",1,IF(ISNUMBER(SEARCH('02_대상물건입력'!B5,B1620)),1,0)))</f>
        <v/>
      </c>
      <c r="O1620" s="152">
        <f>IF(B1620="","",IF('02_대상물건입력'!B6="",1,IF(ISNUMBER(SEARCH('02_대상물건입력'!B6,B1620)),1,0)))</f>
        <v/>
      </c>
      <c r="P1620" s="152">
        <f>IF(L1620="","",IF('02_대상물건입력'!B15="",0,IF(ISNUMBER(SEARCH('02_대상물건입력'!B15,L1620)),1,0)))</f>
        <v/>
      </c>
      <c r="Q1620" s="152">
        <f>IF(OR(C1620="",L1620=""),0,IF(AND(TRIM(C1620)=TRIM(RIGHT(SUBSTITUTE(TRIM('02_대상물건입력'!$B$7)," ",REPT(" ",99)),99)),IF('02_대상물건입력'!B15="",TRUE(),ISNUMBER(SEARCH('02_대상물건입력'!B15,L1620)))),1,0))</f>
        <v/>
      </c>
      <c r="R1620" s="175">
        <f>IFERROR(ABS(E1620-'02_대상물건입력'!B11)/'02_대상물건입력'!B11,"")</f>
        <v/>
      </c>
      <c r="S1620" s="152">
        <f>IFERROR(ABS(J1620-'02_대상물건입력'!B10),"")</f>
        <v/>
      </c>
      <c r="T1620" s="152">
        <f>IFERROR(ABS('01_설정'!B4-F1620),"")</f>
        <v/>
      </c>
      <c r="U1620" s="152">
        <f>IFERROR(ABS(K1620-YEAR('02_대상물건입력'!B14)),"")</f>
        <v/>
      </c>
      <c r="V1620" s="152">
        <f>IF(B1620="","",IF(AND(E1620&gt;0,F1620&gt;0,H1620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1620=1,TRUE()),R1620&lt;='01_설정'!B5,S1620&lt;='01_설정'!B6,T1620&lt;='01_설정'!B7,U1620&lt;='01_설정'!B8),"Y",""))</f>
        <v/>
      </c>
      <c r="W1620" s="172">
        <f>IF(V1620&lt;&gt;"Y","",MAX(0,(1-R1620/'01_설정'!B5))*'01_설정'!B14+MAX(0,(1-S1620/'01_설정'!B6))*'01_설정'!B15+MAX(0,(1-T1620/'01_설정'!B7))*'01_설정'!B16+MAX(0,(1-U1620/'01_설정'!B8))*'01_설정'!B17+O1620*'01_설정'!B11+Q1620*'01_설정'!B12+P1620*'01_설정'!B13+IF(Z1620="",0,Z1620))</f>
        <v/>
      </c>
      <c r="X1620" s="152">
        <f>IF(W1620="","",1+COUNTIFS($W$4:$W$3003,"&gt;"&amp;W1620)+COUNTIFS($W$4:W1620,W1620)-1)</f>
        <v/>
      </c>
      <c r="Y1620" s="175">
        <f>IF(OR(I1620="",'02_대상물건입력'!B19="",'02_대상물건입력'!B19&lt;=0),"",ABS(I1620-'02_대상물건입력'!B19)/'02_대상물건입력'!B19)</f>
        <v/>
      </c>
      <c r="Z1620" s="172">
        <f>IF(OR(Y1620="",'01_설정'!B31="",'01_설정'!B31&lt;=0,'01_설정'!B32="",'01_설정'!B32&lt;=0),"",MAX(0,(1-Y1620/'01_설정'!B32))*'01_설정'!B31)</f>
        <v/>
      </c>
    </row>
    <row r="1621" ht="17.25" customHeight="1">
      <c r="A1621" s="152">
        <f>IF(INDEX('04A_국토부원자료'!$A:$A,ROW()+1)="","",ROW()-3)</f>
        <v/>
      </c>
      <c r="B1621" s="48">
        <f>IFERROR(INDEX('04A_국토부원자료'!$A:$T,ROW()+1,MATCH("시군구",'04A_국토부원자료'!$A$4:$T$4,0)),"")</f>
        <v/>
      </c>
      <c r="C1621" s="48">
        <f>IF(B1621="","",IFERROR(INDEX('04A_국토부원자료'!$A:$T,ROW()+1,MATCH("번지",'04A_국토부원자료'!$A$4:$T$4,0)),""))</f>
        <v/>
      </c>
      <c r="D1621" s="48">
        <f>IF(B1621="","",IF(Q1621=1,'02_대상물건입력'!$B$8,IFERROR(INDEX('04A_국토부원자료'!$A:$T,ROW()+1,MATCH("단지명",'04A_국토부원자료'!$A$4:$T$4,0)),"")))</f>
        <v/>
      </c>
      <c r="E1621" s="172">
        <f>IFERROR(VALUE(SUBSTITUTE(INDEX('04A_국토부원자료'!$A:$T,ROW()+1,MATCH("전용면적(㎡)",'04A_국토부원자료'!$A$4:$T$4,0)),",","")),"")</f>
        <v/>
      </c>
      <c r="F16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21" s="51">
        <f>IFERROR(VALUE(SUBSTITUTE(INDEX('04A_국토부원자료'!$A:$T,ROW()+1,MATCH("거래금액(만원)",'04A_국토부원자료'!$A$4:$T$4,0)),",","")),"")</f>
        <v/>
      </c>
      <c r="H1621" s="174">
        <f>IF(G1621="","",G1621*10000)</f>
        <v/>
      </c>
      <c r="I1621" s="174">
        <f>IFERROR(IF(AND(H1621&gt;0,E1621&gt;0),H1621/E1621,""),"")</f>
        <v/>
      </c>
      <c r="J1621" s="152">
        <f>IFERROR(VALUE(SUBSTITUTE(INDEX('04A_국토부원자료'!$A:$T,ROW()+1,MATCH("층",'04A_국토부원자료'!$A$4:$T$4,0)),",","")),"")</f>
        <v/>
      </c>
      <c r="K1621" s="152">
        <f>IFERROR(VALUE(SUBSTITUTE(INDEX('04A_국토부원자료'!$A:$T,ROW()+1,MATCH("건축년도",'04A_국토부원자료'!$A$4:$T$4,0)),",","")),"")</f>
        <v/>
      </c>
      <c r="L1621" s="176">
        <f>IFERROR(INDEX('04A_국토부원자료'!$A:$T,ROW()+1,MATCH("도로명",'04A_국토부원자료'!$A$4:$T$4,0)),"")</f>
        <v/>
      </c>
      <c r="M1621" s="48">
        <f>IFERROR(INDEX('04A_국토부원자료'!$A:$T,ROW()+1,MATCH("거래유형",'04A_국토부원자료'!$A$4:$T$4,0)),"")</f>
        <v/>
      </c>
      <c r="N1621" s="152">
        <f>IF(B1621="","",IF('02_대상물건입력'!B5="",1,IF(ISNUMBER(SEARCH('02_대상물건입력'!B5,B1621)),1,0)))</f>
        <v/>
      </c>
      <c r="O1621" s="152">
        <f>IF(B1621="","",IF('02_대상물건입력'!B6="",1,IF(ISNUMBER(SEARCH('02_대상물건입력'!B6,B1621)),1,0)))</f>
        <v/>
      </c>
      <c r="P1621" s="152">
        <f>IF(L1621="","",IF('02_대상물건입력'!B15="",0,IF(ISNUMBER(SEARCH('02_대상물건입력'!B15,L1621)),1,0)))</f>
        <v/>
      </c>
      <c r="Q1621" s="152">
        <f>IF(OR(C1621="",L1621=""),0,IF(AND(TRIM(C1621)=TRIM(RIGHT(SUBSTITUTE(TRIM('02_대상물건입력'!$B$7)," ",REPT(" ",99)),99)),IF('02_대상물건입력'!B15="",TRUE(),ISNUMBER(SEARCH('02_대상물건입력'!B15,L1621)))),1,0))</f>
        <v/>
      </c>
      <c r="R1621" s="175">
        <f>IFERROR(ABS(E1621-'02_대상물건입력'!B11)/'02_대상물건입력'!B11,"")</f>
        <v/>
      </c>
      <c r="S1621" s="152">
        <f>IFERROR(ABS(J1621-'02_대상물건입력'!B10),"")</f>
        <v/>
      </c>
      <c r="T1621" s="152">
        <f>IFERROR(ABS('01_설정'!B4-F1621),"")</f>
        <v/>
      </c>
      <c r="U1621" s="152">
        <f>IFERROR(ABS(K1621-YEAR('02_대상물건입력'!B14)),"")</f>
        <v/>
      </c>
      <c r="V1621" s="152">
        <f>IF(B1621="","",IF(AND(E1621&gt;0,F1621&gt;0,H1621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1621=1,TRUE()),R1621&lt;='01_설정'!B5,S1621&lt;='01_설정'!B6,T1621&lt;='01_설정'!B7,U1621&lt;='01_설정'!B8),"Y",""))</f>
        <v/>
      </c>
      <c r="W1621" s="172">
        <f>IF(V1621&lt;&gt;"Y","",MAX(0,(1-R1621/'01_설정'!B5))*'01_설정'!B14+MAX(0,(1-S1621/'01_설정'!B6))*'01_설정'!B15+MAX(0,(1-T1621/'01_설정'!B7))*'01_설정'!B16+MAX(0,(1-U1621/'01_설정'!B8))*'01_설정'!B17+O1621*'01_설정'!B11+Q1621*'01_설정'!B12+P1621*'01_설정'!B13+IF(Z1621="",0,Z1621))</f>
        <v/>
      </c>
      <c r="X1621" s="152">
        <f>IF(W1621="","",1+COUNTIFS($W$4:$W$3003,"&gt;"&amp;W1621)+COUNTIFS($W$4:W1621,W1621)-1)</f>
        <v/>
      </c>
      <c r="Y1621" s="175">
        <f>IF(OR(I1621="",'02_대상물건입력'!B19="",'02_대상물건입력'!B19&lt;=0),"",ABS(I1621-'02_대상물건입력'!B19)/'02_대상물건입력'!B19)</f>
        <v/>
      </c>
      <c r="Z1621" s="172">
        <f>IF(OR(Y1621="",'01_설정'!B31="",'01_설정'!B31&lt;=0,'01_설정'!B32="",'01_설정'!B32&lt;=0),"",MAX(0,(1-Y1621/'01_설정'!B32))*'01_설정'!B31)</f>
        <v/>
      </c>
    </row>
    <row r="1622" ht="17.25" customHeight="1">
      <c r="A1622" s="152">
        <f>IF(INDEX('04A_국토부원자료'!$A:$A,ROW()+1)="","",ROW()-3)</f>
        <v/>
      </c>
      <c r="B1622" s="48">
        <f>IFERROR(INDEX('04A_국토부원자료'!$A:$T,ROW()+1,MATCH("시군구",'04A_국토부원자료'!$A$4:$T$4,0)),"")</f>
        <v/>
      </c>
      <c r="C1622" s="48">
        <f>IF(B1622="","",IFERROR(INDEX('04A_국토부원자료'!$A:$T,ROW()+1,MATCH("번지",'04A_국토부원자료'!$A$4:$T$4,0)),""))</f>
        <v/>
      </c>
      <c r="D1622" s="48">
        <f>IF(B1622="","",IF(Q1622=1,'02_대상물건입력'!$B$8,IFERROR(INDEX('04A_국토부원자료'!$A:$T,ROW()+1,MATCH("단지명",'04A_국토부원자료'!$A$4:$T$4,0)),"")))</f>
        <v/>
      </c>
      <c r="E1622" s="172">
        <f>IFERROR(VALUE(SUBSTITUTE(INDEX('04A_국토부원자료'!$A:$T,ROW()+1,MATCH("전용면적(㎡)",'04A_국토부원자료'!$A$4:$T$4,0)),",","")),"")</f>
        <v/>
      </c>
      <c r="F16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22" s="51">
        <f>IFERROR(VALUE(SUBSTITUTE(INDEX('04A_국토부원자료'!$A:$T,ROW()+1,MATCH("거래금액(만원)",'04A_국토부원자료'!$A$4:$T$4,0)),",","")),"")</f>
        <v/>
      </c>
      <c r="H1622" s="174">
        <f>IF(G1622="","",G1622*10000)</f>
        <v/>
      </c>
      <c r="I1622" s="174">
        <f>IFERROR(IF(AND(H1622&gt;0,E1622&gt;0),H1622/E1622,""),"")</f>
        <v/>
      </c>
      <c r="J1622" s="152">
        <f>IFERROR(VALUE(SUBSTITUTE(INDEX('04A_국토부원자료'!$A:$T,ROW()+1,MATCH("층",'04A_국토부원자료'!$A$4:$T$4,0)),",","")),"")</f>
        <v/>
      </c>
      <c r="K1622" s="152">
        <f>IFERROR(VALUE(SUBSTITUTE(INDEX('04A_국토부원자료'!$A:$T,ROW()+1,MATCH("건축년도",'04A_국토부원자료'!$A$4:$T$4,0)),",","")),"")</f>
        <v/>
      </c>
      <c r="L1622" s="176">
        <f>IFERROR(INDEX('04A_국토부원자료'!$A:$T,ROW()+1,MATCH("도로명",'04A_국토부원자료'!$A$4:$T$4,0)),"")</f>
        <v/>
      </c>
      <c r="M1622" s="48">
        <f>IFERROR(INDEX('04A_국토부원자료'!$A:$T,ROW()+1,MATCH("거래유형",'04A_국토부원자료'!$A$4:$T$4,0)),"")</f>
        <v/>
      </c>
      <c r="N1622" s="152">
        <f>IF(B1622="","",IF('02_대상물건입력'!B5="",1,IF(ISNUMBER(SEARCH('02_대상물건입력'!B5,B1622)),1,0)))</f>
        <v/>
      </c>
      <c r="O1622" s="152">
        <f>IF(B1622="","",IF('02_대상물건입력'!B6="",1,IF(ISNUMBER(SEARCH('02_대상물건입력'!B6,B1622)),1,0)))</f>
        <v/>
      </c>
      <c r="P1622" s="152">
        <f>IF(L1622="","",IF('02_대상물건입력'!B15="",0,IF(ISNUMBER(SEARCH('02_대상물건입력'!B15,L1622)),1,0)))</f>
        <v/>
      </c>
      <c r="Q1622" s="152">
        <f>IF(OR(C1622="",L1622=""),0,IF(AND(TRIM(C1622)=TRIM(RIGHT(SUBSTITUTE(TRIM('02_대상물건입력'!$B$7)," ",REPT(" ",99)),99)),IF('02_대상물건입력'!B15="",TRUE(),ISNUMBER(SEARCH('02_대상물건입력'!B15,L1622)))),1,0))</f>
        <v/>
      </c>
      <c r="R1622" s="175">
        <f>IFERROR(ABS(E1622-'02_대상물건입력'!B11)/'02_대상물건입력'!B11,"")</f>
        <v/>
      </c>
      <c r="S1622" s="152">
        <f>IFERROR(ABS(J1622-'02_대상물건입력'!B10),"")</f>
        <v/>
      </c>
      <c r="T1622" s="152">
        <f>IFERROR(ABS('01_설정'!B4-F1622),"")</f>
        <v/>
      </c>
      <c r="U1622" s="152">
        <f>IFERROR(ABS(K1622-YEAR('02_대상물건입력'!B14)),"")</f>
        <v/>
      </c>
      <c r="V1622" s="152">
        <f>IF(B1622="","",IF(AND(E1622&gt;0,F1622&gt;0,H1622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1622=1,TRUE()),R1622&lt;='01_설정'!B5,S1622&lt;='01_설정'!B6,T1622&lt;='01_설정'!B7,U1622&lt;='01_설정'!B8),"Y",""))</f>
        <v/>
      </c>
      <c r="W1622" s="172">
        <f>IF(V1622&lt;&gt;"Y","",MAX(0,(1-R1622/'01_설정'!B5))*'01_설정'!B14+MAX(0,(1-S1622/'01_설정'!B6))*'01_설정'!B15+MAX(0,(1-T1622/'01_설정'!B7))*'01_설정'!B16+MAX(0,(1-U1622/'01_설정'!B8))*'01_설정'!B17+O1622*'01_설정'!B11+Q1622*'01_설정'!B12+P1622*'01_설정'!B13+IF(Z1622="",0,Z1622))</f>
        <v/>
      </c>
      <c r="X1622" s="152">
        <f>IF(W1622="","",1+COUNTIFS($W$4:$W$3003,"&gt;"&amp;W1622)+COUNTIFS($W$4:W1622,W1622)-1)</f>
        <v/>
      </c>
      <c r="Y1622" s="175">
        <f>IF(OR(I1622="",'02_대상물건입력'!B19="",'02_대상물건입력'!B19&lt;=0),"",ABS(I1622-'02_대상물건입력'!B19)/'02_대상물건입력'!B19)</f>
        <v/>
      </c>
      <c r="Z1622" s="172">
        <f>IF(OR(Y1622="",'01_설정'!B31="",'01_설정'!B31&lt;=0,'01_설정'!B32="",'01_설정'!B32&lt;=0),"",MAX(0,(1-Y1622/'01_설정'!B32))*'01_설정'!B31)</f>
        <v/>
      </c>
    </row>
    <row r="1623" ht="17.25" customHeight="1">
      <c r="A1623" s="152">
        <f>IF(INDEX('04A_국토부원자료'!$A:$A,ROW()+1)="","",ROW()-3)</f>
        <v/>
      </c>
      <c r="B1623" s="48">
        <f>IFERROR(INDEX('04A_국토부원자료'!$A:$T,ROW()+1,MATCH("시군구",'04A_국토부원자료'!$A$4:$T$4,0)),"")</f>
        <v/>
      </c>
      <c r="C1623" s="48">
        <f>IF(B1623="","",IFERROR(INDEX('04A_국토부원자료'!$A:$T,ROW()+1,MATCH("번지",'04A_국토부원자료'!$A$4:$T$4,0)),""))</f>
        <v/>
      </c>
      <c r="D1623" s="48">
        <f>IF(B1623="","",IF(Q1623=1,'02_대상물건입력'!$B$8,IFERROR(INDEX('04A_국토부원자료'!$A:$T,ROW()+1,MATCH("단지명",'04A_국토부원자료'!$A$4:$T$4,0)),"")))</f>
        <v/>
      </c>
      <c r="E1623" s="172">
        <f>IFERROR(VALUE(SUBSTITUTE(INDEX('04A_국토부원자료'!$A:$T,ROW()+1,MATCH("전용면적(㎡)",'04A_국토부원자료'!$A$4:$T$4,0)),",","")),"")</f>
        <v/>
      </c>
      <c r="F16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23" s="51">
        <f>IFERROR(VALUE(SUBSTITUTE(INDEX('04A_국토부원자료'!$A:$T,ROW()+1,MATCH("거래금액(만원)",'04A_국토부원자료'!$A$4:$T$4,0)),",","")),"")</f>
        <v/>
      </c>
      <c r="H1623" s="174">
        <f>IF(G1623="","",G1623*10000)</f>
        <v/>
      </c>
      <c r="I1623" s="174">
        <f>IFERROR(IF(AND(H1623&gt;0,E1623&gt;0),H1623/E1623,""),"")</f>
        <v/>
      </c>
      <c r="J1623" s="152">
        <f>IFERROR(VALUE(SUBSTITUTE(INDEX('04A_국토부원자료'!$A:$T,ROW()+1,MATCH("층",'04A_국토부원자료'!$A$4:$T$4,0)),",","")),"")</f>
        <v/>
      </c>
      <c r="K1623" s="152">
        <f>IFERROR(VALUE(SUBSTITUTE(INDEX('04A_국토부원자료'!$A:$T,ROW()+1,MATCH("건축년도",'04A_국토부원자료'!$A$4:$T$4,0)),",","")),"")</f>
        <v/>
      </c>
      <c r="L1623" s="176">
        <f>IFERROR(INDEX('04A_국토부원자료'!$A:$T,ROW()+1,MATCH("도로명",'04A_국토부원자료'!$A$4:$T$4,0)),"")</f>
        <v/>
      </c>
      <c r="M1623" s="48">
        <f>IFERROR(INDEX('04A_국토부원자료'!$A:$T,ROW()+1,MATCH("거래유형",'04A_국토부원자료'!$A$4:$T$4,0)),"")</f>
        <v/>
      </c>
      <c r="N1623" s="152">
        <f>IF(B1623="","",IF('02_대상물건입력'!B5="",1,IF(ISNUMBER(SEARCH('02_대상물건입력'!B5,B1623)),1,0)))</f>
        <v/>
      </c>
      <c r="O1623" s="152">
        <f>IF(B1623="","",IF('02_대상물건입력'!B6="",1,IF(ISNUMBER(SEARCH('02_대상물건입력'!B6,B1623)),1,0)))</f>
        <v/>
      </c>
      <c r="P1623" s="152">
        <f>IF(L1623="","",IF('02_대상물건입력'!B15="",0,IF(ISNUMBER(SEARCH('02_대상물건입력'!B15,L1623)),1,0)))</f>
        <v/>
      </c>
      <c r="Q1623" s="152">
        <f>IF(OR(C1623="",L1623=""),0,IF(AND(TRIM(C1623)=TRIM(RIGHT(SUBSTITUTE(TRIM('02_대상물건입력'!$B$7)," ",REPT(" ",99)),99)),IF('02_대상물건입력'!B15="",TRUE(),ISNUMBER(SEARCH('02_대상물건입력'!B15,L1623)))),1,0))</f>
        <v/>
      </c>
      <c r="R1623" s="175">
        <f>IFERROR(ABS(E1623-'02_대상물건입력'!B11)/'02_대상물건입력'!B11,"")</f>
        <v/>
      </c>
      <c r="S1623" s="152">
        <f>IFERROR(ABS(J1623-'02_대상물건입력'!B10),"")</f>
        <v/>
      </c>
      <c r="T1623" s="152">
        <f>IFERROR(ABS('01_설정'!B4-F1623),"")</f>
        <v/>
      </c>
      <c r="U1623" s="152">
        <f>IFERROR(ABS(K1623-YEAR('02_대상물건입력'!B14)),"")</f>
        <v/>
      </c>
      <c r="V1623" s="152">
        <f>IF(B1623="","",IF(AND(E1623&gt;0,F1623&gt;0,H1623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1623=1,TRUE()),R1623&lt;='01_설정'!B5,S1623&lt;='01_설정'!B6,T1623&lt;='01_설정'!B7,U1623&lt;='01_설정'!B8),"Y",""))</f>
        <v/>
      </c>
      <c r="W1623" s="172">
        <f>IF(V1623&lt;&gt;"Y","",MAX(0,(1-R1623/'01_설정'!B5))*'01_설정'!B14+MAX(0,(1-S1623/'01_설정'!B6))*'01_설정'!B15+MAX(0,(1-T1623/'01_설정'!B7))*'01_설정'!B16+MAX(0,(1-U1623/'01_설정'!B8))*'01_설정'!B17+O1623*'01_설정'!B11+Q1623*'01_설정'!B12+P1623*'01_설정'!B13+IF(Z1623="",0,Z1623))</f>
        <v/>
      </c>
      <c r="X1623" s="152">
        <f>IF(W1623="","",1+COUNTIFS($W$4:$W$3003,"&gt;"&amp;W1623)+COUNTIFS($W$4:W1623,W1623)-1)</f>
        <v/>
      </c>
      <c r="Y1623" s="175">
        <f>IF(OR(I1623="",'02_대상물건입력'!B19="",'02_대상물건입력'!B19&lt;=0),"",ABS(I1623-'02_대상물건입력'!B19)/'02_대상물건입력'!B19)</f>
        <v/>
      </c>
      <c r="Z1623" s="172">
        <f>IF(OR(Y1623="",'01_설정'!B31="",'01_설정'!B31&lt;=0,'01_설정'!B32="",'01_설정'!B32&lt;=0),"",MAX(0,(1-Y1623/'01_설정'!B32))*'01_설정'!B31)</f>
        <v/>
      </c>
    </row>
    <row r="1624" ht="17.25" customHeight="1">
      <c r="A1624" s="152">
        <f>IF(INDEX('04A_국토부원자료'!$A:$A,ROW()+1)="","",ROW()-3)</f>
        <v/>
      </c>
      <c r="B1624" s="48">
        <f>IFERROR(INDEX('04A_국토부원자료'!$A:$T,ROW()+1,MATCH("시군구",'04A_국토부원자료'!$A$4:$T$4,0)),"")</f>
        <v/>
      </c>
      <c r="C1624" s="48">
        <f>IF(B1624="","",IFERROR(INDEX('04A_국토부원자료'!$A:$T,ROW()+1,MATCH("번지",'04A_국토부원자료'!$A$4:$T$4,0)),""))</f>
        <v/>
      </c>
      <c r="D1624" s="48">
        <f>IF(B1624="","",IF(Q1624=1,'02_대상물건입력'!$B$8,IFERROR(INDEX('04A_국토부원자료'!$A:$T,ROW()+1,MATCH("단지명",'04A_국토부원자료'!$A$4:$T$4,0)),"")))</f>
        <v/>
      </c>
      <c r="E1624" s="172">
        <f>IFERROR(VALUE(SUBSTITUTE(INDEX('04A_국토부원자료'!$A:$T,ROW()+1,MATCH("전용면적(㎡)",'04A_국토부원자료'!$A$4:$T$4,0)),",","")),"")</f>
        <v/>
      </c>
      <c r="F16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24" s="51">
        <f>IFERROR(VALUE(SUBSTITUTE(INDEX('04A_국토부원자료'!$A:$T,ROW()+1,MATCH("거래금액(만원)",'04A_국토부원자료'!$A$4:$T$4,0)),",","")),"")</f>
        <v/>
      </c>
      <c r="H1624" s="174">
        <f>IF(G1624="","",G1624*10000)</f>
        <v/>
      </c>
      <c r="I1624" s="174">
        <f>IFERROR(IF(AND(H1624&gt;0,E1624&gt;0),H1624/E1624,""),"")</f>
        <v/>
      </c>
      <c r="J1624" s="152">
        <f>IFERROR(VALUE(SUBSTITUTE(INDEX('04A_국토부원자료'!$A:$T,ROW()+1,MATCH("층",'04A_국토부원자료'!$A$4:$T$4,0)),",","")),"")</f>
        <v/>
      </c>
      <c r="K1624" s="152">
        <f>IFERROR(VALUE(SUBSTITUTE(INDEX('04A_국토부원자료'!$A:$T,ROW()+1,MATCH("건축년도",'04A_국토부원자료'!$A$4:$T$4,0)),",","")),"")</f>
        <v/>
      </c>
      <c r="L1624" s="176">
        <f>IFERROR(INDEX('04A_국토부원자료'!$A:$T,ROW()+1,MATCH("도로명",'04A_국토부원자료'!$A$4:$T$4,0)),"")</f>
        <v/>
      </c>
      <c r="M1624" s="48">
        <f>IFERROR(INDEX('04A_국토부원자료'!$A:$T,ROW()+1,MATCH("거래유형",'04A_국토부원자료'!$A$4:$T$4,0)),"")</f>
        <v/>
      </c>
      <c r="N1624" s="152">
        <f>IF(B1624="","",IF('02_대상물건입력'!B5="",1,IF(ISNUMBER(SEARCH('02_대상물건입력'!B5,B1624)),1,0)))</f>
        <v/>
      </c>
      <c r="O1624" s="152">
        <f>IF(B1624="","",IF('02_대상물건입력'!B6="",1,IF(ISNUMBER(SEARCH('02_대상물건입력'!B6,B1624)),1,0)))</f>
        <v/>
      </c>
      <c r="P1624" s="152">
        <f>IF(L1624="","",IF('02_대상물건입력'!B15="",0,IF(ISNUMBER(SEARCH('02_대상물건입력'!B15,L1624)),1,0)))</f>
        <v/>
      </c>
      <c r="Q1624" s="152">
        <f>IF(OR(C1624="",L1624=""),0,IF(AND(TRIM(C1624)=TRIM(RIGHT(SUBSTITUTE(TRIM('02_대상물건입력'!$B$7)," ",REPT(" ",99)),99)),IF('02_대상물건입력'!B15="",TRUE(),ISNUMBER(SEARCH('02_대상물건입력'!B15,L1624)))),1,0))</f>
        <v/>
      </c>
      <c r="R1624" s="175">
        <f>IFERROR(ABS(E1624-'02_대상물건입력'!B11)/'02_대상물건입력'!B11,"")</f>
        <v/>
      </c>
      <c r="S1624" s="152">
        <f>IFERROR(ABS(J1624-'02_대상물건입력'!B10),"")</f>
        <v/>
      </c>
      <c r="T1624" s="152">
        <f>IFERROR(ABS('01_설정'!B4-F1624),"")</f>
        <v/>
      </c>
      <c r="U1624" s="152">
        <f>IFERROR(ABS(K1624-YEAR('02_대상물건입력'!B14)),"")</f>
        <v/>
      </c>
      <c r="V1624" s="152">
        <f>IF(B1624="","",IF(AND(E1624&gt;0,F1624&gt;0,H1624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1624=1,TRUE()),R1624&lt;='01_설정'!B5,S1624&lt;='01_설정'!B6,T1624&lt;='01_설정'!B7,U1624&lt;='01_설정'!B8),"Y",""))</f>
        <v/>
      </c>
      <c r="W1624" s="172">
        <f>IF(V1624&lt;&gt;"Y","",MAX(0,(1-R1624/'01_설정'!B5))*'01_설정'!B14+MAX(0,(1-S1624/'01_설정'!B6))*'01_설정'!B15+MAX(0,(1-T1624/'01_설정'!B7))*'01_설정'!B16+MAX(0,(1-U1624/'01_설정'!B8))*'01_설정'!B17+O1624*'01_설정'!B11+Q1624*'01_설정'!B12+P1624*'01_설정'!B13+IF(Z1624="",0,Z1624))</f>
        <v/>
      </c>
      <c r="X1624" s="152">
        <f>IF(W1624="","",1+COUNTIFS($W$4:$W$3003,"&gt;"&amp;W1624)+COUNTIFS($W$4:W1624,W1624)-1)</f>
        <v/>
      </c>
      <c r="Y1624" s="175">
        <f>IF(OR(I1624="",'02_대상물건입력'!B19="",'02_대상물건입력'!B19&lt;=0),"",ABS(I1624-'02_대상물건입력'!B19)/'02_대상물건입력'!B19)</f>
        <v/>
      </c>
      <c r="Z1624" s="172">
        <f>IF(OR(Y1624="",'01_설정'!B31="",'01_설정'!B31&lt;=0,'01_설정'!B32="",'01_설정'!B32&lt;=0),"",MAX(0,(1-Y1624/'01_설정'!B32))*'01_설정'!B31)</f>
        <v/>
      </c>
    </row>
    <row r="1625" ht="17.25" customHeight="1">
      <c r="A1625" s="152">
        <f>IF(INDEX('04A_국토부원자료'!$A:$A,ROW()+1)="","",ROW()-3)</f>
        <v/>
      </c>
      <c r="B1625" s="48">
        <f>IFERROR(INDEX('04A_국토부원자료'!$A:$T,ROW()+1,MATCH("시군구",'04A_국토부원자료'!$A$4:$T$4,0)),"")</f>
        <v/>
      </c>
      <c r="C1625" s="48">
        <f>IF(B1625="","",IFERROR(INDEX('04A_국토부원자료'!$A:$T,ROW()+1,MATCH("번지",'04A_국토부원자료'!$A$4:$T$4,0)),""))</f>
        <v/>
      </c>
      <c r="D1625" s="48">
        <f>IF(B1625="","",IF(Q1625=1,'02_대상물건입력'!$B$8,IFERROR(INDEX('04A_국토부원자료'!$A:$T,ROW()+1,MATCH("단지명",'04A_국토부원자료'!$A$4:$T$4,0)),"")))</f>
        <v/>
      </c>
      <c r="E1625" s="172">
        <f>IFERROR(VALUE(SUBSTITUTE(INDEX('04A_국토부원자료'!$A:$T,ROW()+1,MATCH("전용면적(㎡)",'04A_국토부원자료'!$A$4:$T$4,0)),",","")),"")</f>
        <v/>
      </c>
      <c r="F16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25" s="51">
        <f>IFERROR(VALUE(SUBSTITUTE(INDEX('04A_국토부원자료'!$A:$T,ROW()+1,MATCH("거래금액(만원)",'04A_국토부원자료'!$A$4:$T$4,0)),",","")),"")</f>
        <v/>
      </c>
      <c r="H1625" s="174">
        <f>IF(G1625="","",G1625*10000)</f>
        <v/>
      </c>
      <c r="I1625" s="174">
        <f>IFERROR(IF(AND(H1625&gt;0,E1625&gt;0),H1625/E1625,""),"")</f>
        <v/>
      </c>
      <c r="J1625" s="152">
        <f>IFERROR(VALUE(SUBSTITUTE(INDEX('04A_국토부원자료'!$A:$T,ROW()+1,MATCH("층",'04A_국토부원자료'!$A$4:$T$4,0)),",","")),"")</f>
        <v/>
      </c>
      <c r="K1625" s="152">
        <f>IFERROR(VALUE(SUBSTITUTE(INDEX('04A_국토부원자료'!$A:$T,ROW()+1,MATCH("건축년도",'04A_국토부원자료'!$A$4:$T$4,0)),",","")),"")</f>
        <v/>
      </c>
      <c r="L1625" s="176">
        <f>IFERROR(INDEX('04A_국토부원자료'!$A:$T,ROW()+1,MATCH("도로명",'04A_국토부원자료'!$A$4:$T$4,0)),"")</f>
        <v/>
      </c>
      <c r="M1625" s="48">
        <f>IFERROR(INDEX('04A_국토부원자료'!$A:$T,ROW()+1,MATCH("거래유형",'04A_국토부원자료'!$A$4:$T$4,0)),"")</f>
        <v/>
      </c>
      <c r="N1625" s="152">
        <f>IF(B1625="","",IF('02_대상물건입력'!B5="",1,IF(ISNUMBER(SEARCH('02_대상물건입력'!B5,B1625)),1,0)))</f>
        <v/>
      </c>
      <c r="O1625" s="152">
        <f>IF(B1625="","",IF('02_대상물건입력'!B6="",1,IF(ISNUMBER(SEARCH('02_대상물건입력'!B6,B1625)),1,0)))</f>
        <v/>
      </c>
      <c r="P1625" s="152">
        <f>IF(L1625="","",IF('02_대상물건입력'!B15="",0,IF(ISNUMBER(SEARCH('02_대상물건입력'!B15,L1625)),1,0)))</f>
        <v/>
      </c>
      <c r="Q1625" s="152">
        <f>IF(OR(C1625="",L1625=""),0,IF(AND(TRIM(C1625)=TRIM(RIGHT(SUBSTITUTE(TRIM('02_대상물건입력'!$B$7)," ",REPT(" ",99)),99)),IF('02_대상물건입력'!B15="",TRUE(),ISNUMBER(SEARCH('02_대상물건입력'!B15,L1625)))),1,0))</f>
        <v/>
      </c>
      <c r="R1625" s="175">
        <f>IFERROR(ABS(E1625-'02_대상물건입력'!B11)/'02_대상물건입력'!B11,"")</f>
        <v/>
      </c>
      <c r="S1625" s="152">
        <f>IFERROR(ABS(J1625-'02_대상물건입력'!B10),"")</f>
        <v/>
      </c>
      <c r="T1625" s="152">
        <f>IFERROR(ABS('01_설정'!B4-F1625),"")</f>
        <v/>
      </c>
      <c r="U1625" s="152">
        <f>IFERROR(ABS(K1625-YEAR('02_대상물건입력'!B14)),"")</f>
        <v/>
      </c>
      <c r="V1625" s="152">
        <f>IF(B1625="","",IF(AND(E1625&gt;0,F1625&gt;0,H1625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1625=1,TRUE()),R1625&lt;='01_설정'!B5,S1625&lt;='01_설정'!B6,T1625&lt;='01_설정'!B7,U1625&lt;='01_설정'!B8),"Y",""))</f>
        <v/>
      </c>
      <c r="W1625" s="172">
        <f>IF(V1625&lt;&gt;"Y","",MAX(0,(1-R1625/'01_설정'!B5))*'01_설정'!B14+MAX(0,(1-S1625/'01_설정'!B6))*'01_설정'!B15+MAX(0,(1-T1625/'01_설정'!B7))*'01_설정'!B16+MAX(0,(1-U1625/'01_설정'!B8))*'01_설정'!B17+O1625*'01_설정'!B11+Q1625*'01_설정'!B12+P1625*'01_설정'!B13+IF(Z1625="",0,Z1625))</f>
        <v/>
      </c>
      <c r="X1625" s="152">
        <f>IF(W1625="","",1+COUNTIFS($W$4:$W$3003,"&gt;"&amp;W1625)+COUNTIFS($W$4:W1625,W1625)-1)</f>
        <v/>
      </c>
      <c r="Y1625" s="175">
        <f>IF(OR(I1625="",'02_대상물건입력'!B19="",'02_대상물건입력'!B19&lt;=0),"",ABS(I1625-'02_대상물건입력'!B19)/'02_대상물건입력'!B19)</f>
        <v/>
      </c>
      <c r="Z1625" s="172">
        <f>IF(OR(Y1625="",'01_설정'!B31="",'01_설정'!B31&lt;=0,'01_설정'!B32="",'01_설정'!B32&lt;=0),"",MAX(0,(1-Y1625/'01_설정'!B32))*'01_설정'!B31)</f>
        <v/>
      </c>
    </row>
    <row r="1626" ht="17.25" customHeight="1">
      <c r="A1626" s="152">
        <f>IF(INDEX('04A_국토부원자료'!$A:$A,ROW()+1)="","",ROW()-3)</f>
        <v/>
      </c>
      <c r="B1626" s="48">
        <f>IFERROR(INDEX('04A_국토부원자료'!$A:$T,ROW()+1,MATCH("시군구",'04A_국토부원자료'!$A$4:$T$4,0)),"")</f>
        <v/>
      </c>
      <c r="C1626" s="48">
        <f>IF(B1626="","",IFERROR(INDEX('04A_국토부원자료'!$A:$T,ROW()+1,MATCH("번지",'04A_국토부원자료'!$A$4:$T$4,0)),""))</f>
        <v/>
      </c>
      <c r="D1626" s="48">
        <f>IF(B1626="","",IF(Q1626=1,'02_대상물건입력'!$B$8,IFERROR(INDEX('04A_국토부원자료'!$A:$T,ROW()+1,MATCH("단지명",'04A_국토부원자료'!$A$4:$T$4,0)),"")))</f>
        <v/>
      </c>
      <c r="E1626" s="172">
        <f>IFERROR(VALUE(SUBSTITUTE(INDEX('04A_국토부원자료'!$A:$T,ROW()+1,MATCH("전용면적(㎡)",'04A_국토부원자료'!$A$4:$T$4,0)),",","")),"")</f>
        <v/>
      </c>
      <c r="F16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26" s="51">
        <f>IFERROR(VALUE(SUBSTITUTE(INDEX('04A_국토부원자료'!$A:$T,ROW()+1,MATCH("거래금액(만원)",'04A_국토부원자료'!$A$4:$T$4,0)),",","")),"")</f>
        <v/>
      </c>
      <c r="H1626" s="174">
        <f>IF(G1626="","",G1626*10000)</f>
        <v/>
      </c>
      <c r="I1626" s="174">
        <f>IFERROR(IF(AND(H1626&gt;0,E1626&gt;0),H1626/E1626,""),"")</f>
        <v/>
      </c>
      <c r="J1626" s="152">
        <f>IFERROR(VALUE(SUBSTITUTE(INDEX('04A_국토부원자료'!$A:$T,ROW()+1,MATCH("층",'04A_국토부원자료'!$A$4:$T$4,0)),",","")),"")</f>
        <v/>
      </c>
      <c r="K1626" s="152">
        <f>IFERROR(VALUE(SUBSTITUTE(INDEX('04A_국토부원자료'!$A:$T,ROW()+1,MATCH("건축년도",'04A_국토부원자료'!$A$4:$T$4,0)),",","")),"")</f>
        <v/>
      </c>
      <c r="L1626" s="176">
        <f>IFERROR(INDEX('04A_국토부원자료'!$A:$T,ROW()+1,MATCH("도로명",'04A_국토부원자료'!$A$4:$T$4,0)),"")</f>
        <v/>
      </c>
      <c r="M1626" s="48">
        <f>IFERROR(INDEX('04A_국토부원자료'!$A:$T,ROW()+1,MATCH("거래유형",'04A_국토부원자료'!$A$4:$T$4,0)),"")</f>
        <v/>
      </c>
      <c r="N1626" s="152">
        <f>IF(B1626="","",IF('02_대상물건입력'!B5="",1,IF(ISNUMBER(SEARCH('02_대상물건입력'!B5,B1626)),1,0)))</f>
        <v/>
      </c>
      <c r="O1626" s="152">
        <f>IF(B1626="","",IF('02_대상물건입력'!B6="",1,IF(ISNUMBER(SEARCH('02_대상물건입력'!B6,B1626)),1,0)))</f>
        <v/>
      </c>
      <c r="P1626" s="152">
        <f>IF(L1626="","",IF('02_대상물건입력'!B15="",0,IF(ISNUMBER(SEARCH('02_대상물건입력'!B15,L1626)),1,0)))</f>
        <v/>
      </c>
      <c r="Q1626" s="152">
        <f>IF(OR(C1626="",L1626=""),0,IF(AND(TRIM(C1626)=TRIM(RIGHT(SUBSTITUTE(TRIM('02_대상물건입력'!$B$7)," ",REPT(" ",99)),99)),IF('02_대상물건입력'!B15="",TRUE(),ISNUMBER(SEARCH('02_대상물건입력'!B15,L1626)))),1,0))</f>
        <v/>
      </c>
      <c r="R1626" s="175">
        <f>IFERROR(ABS(E1626-'02_대상물건입력'!B11)/'02_대상물건입력'!B11,"")</f>
        <v/>
      </c>
      <c r="S1626" s="152">
        <f>IFERROR(ABS(J1626-'02_대상물건입력'!B10),"")</f>
        <v/>
      </c>
      <c r="T1626" s="152">
        <f>IFERROR(ABS('01_설정'!B4-F1626),"")</f>
        <v/>
      </c>
      <c r="U1626" s="152">
        <f>IFERROR(ABS(K1626-YEAR('02_대상물건입력'!B14)),"")</f>
        <v/>
      </c>
      <c r="V1626" s="152">
        <f>IF(B1626="","",IF(AND(E1626&gt;0,F1626&gt;0,H1626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1626=1,TRUE()),R1626&lt;='01_설정'!B5,S1626&lt;='01_설정'!B6,T1626&lt;='01_설정'!B7,U1626&lt;='01_설정'!B8),"Y",""))</f>
        <v/>
      </c>
      <c r="W1626" s="172">
        <f>IF(V1626&lt;&gt;"Y","",MAX(0,(1-R1626/'01_설정'!B5))*'01_설정'!B14+MAX(0,(1-S1626/'01_설정'!B6))*'01_설정'!B15+MAX(0,(1-T1626/'01_설정'!B7))*'01_설정'!B16+MAX(0,(1-U1626/'01_설정'!B8))*'01_설정'!B17+O1626*'01_설정'!B11+Q1626*'01_설정'!B12+P1626*'01_설정'!B13+IF(Z1626="",0,Z1626))</f>
        <v/>
      </c>
      <c r="X1626" s="152">
        <f>IF(W1626="","",1+COUNTIFS($W$4:$W$3003,"&gt;"&amp;W1626)+COUNTIFS($W$4:W1626,W1626)-1)</f>
        <v/>
      </c>
      <c r="Y1626" s="175">
        <f>IF(OR(I1626="",'02_대상물건입력'!B19="",'02_대상물건입력'!B19&lt;=0),"",ABS(I1626-'02_대상물건입력'!B19)/'02_대상물건입력'!B19)</f>
        <v/>
      </c>
      <c r="Z1626" s="172">
        <f>IF(OR(Y1626="",'01_설정'!B31="",'01_설정'!B31&lt;=0,'01_설정'!B32="",'01_설정'!B32&lt;=0),"",MAX(0,(1-Y1626/'01_설정'!B32))*'01_설정'!B31)</f>
        <v/>
      </c>
    </row>
    <row r="1627" ht="17.25" customHeight="1">
      <c r="A1627" s="152">
        <f>IF(INDEX('04A_국토부원자료'!$A:$A,ROW()+1)="","",ROW()-3)</f>
        <v/>
      </c>
      <c r="B1627" s="48">
        <f>IFERROR(INDEX('04A_국토부원자료'!$A:$T,ROW()+1,MATCH("시군구",'04A_국토부원자료'!$A$4:$T$4,0)),"")</f>
        <v/>
      </c>
      <c r="C1627" s="48">
        <f>IF(B1627="","",IFERROR(INDEX('04A_국토부원자료'!$A:$T,ROW()+1,MATCH("번지",'04A_국토부원자료'!$A$4:$T$4,0)),""))</f>
        <v/>
      </c>
      <c r="D1627" s="48">
        <f>IF(B1627="","",IF(Q1627=1,'02_대상물건입력'!$B$8,IFERROR(INDEX('04A_국토부원자료'!$A:$T,ROW()+1,MATCH("단지명",'04A_국토부원자료'!$A$4:$T$4,0)),"")))</f>
        <v/>
      </c>
      <c r="E1627" s="172">
        <f>IFERROR(VALUE(SUBSTITUTE(INDEX('04A_국토부원자료'!$A:$T,ROW()+1,MATCH("전용면적(㎡)",'04A_국토부원자료'!$A$4:$T$4,0)),",","")),"")</f>
        <v/>
      </c>
      <c r="F16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27" s="51">
        <f>IFERROR(VALUE(SUBSTITUTE(INDEX('04A_국토부원자료'!$A:$T,ROW()+1,MATCH("거래금액(만원)",'04A_국토부원자료'!$A$4:$T$4,0)),",","")),"")</f>
        <v/>
      </c>
      <c r="H1627" s="174">
        <f>IF(G1627="","",G1627*10000)</f>
        <v/>
      </c>
      <c r="I1627" s="174">
        <f>IFERROR(IF(AND(H1627&gt;0,E1627&gt;0),H1627/E1627,""),"")</f>
        <v/>
      </c>
      <c r="J1627" s="152">
        <f>IFERROR(VALUE(SUBSTITUTE(INDEX('04A_국토부원자료'!$A:$T,ROW()+1,MATCH("층",'04A_국토부원자료'!$A$4:$T$4,0)),",","")),"")</f>
        <v/>
      </c>
      <c r="K1627" s="152">
        <f>IFERROR(VALUE(SUBSTITUTE(INDEX('04A_국토부원자료'!$A:$T,ROW()+1,MATCH("건축년도",'04A_국토부원자료'!$A$4:$T$4,0)),",","")),"")</f>
        <v/>
      </c>
      <c r="L1627" s="176">
        <f>IFERROR(INDEX('04A_국토부원자료'!$A:$T,ROW()+1,MATCH("도로명",'04A_국토부원자료'!$A$4:$T$4,0)),"")</f>
        <v/>
      </c>
      <c r="M1627" s="48">
        <f>IFERROR(INDEX('04A_국토부원자료'!$A:$T,ROW()+1,MATCH("거래유형",'04A_국토부원자료'!$A$4:$T$4,0)),"")</f>
        <v/>
      </c>
      <c r="N1627" s="152">
        <f>IF(B1627="","",IF('02_대상물건입력'!B5="",1,IF(ISNUMBER(SEARCH('02_대상물건입력'!B5,B1627)),1,0)))</f>
        <v/>
      </c>
      <c r="O1627" s="152">
        <f>IF(B1627="","",IF('02_대상물건입력'!B6="",1,IF(ISNUMBER(SEARCH('02_대상물건입력'!B6,B1627)),1,0)))</f>
        <v/>
      </c>
      <c r="P1627" s="152">
        <f>IF(L1627="","",IF('02_대상물건입력'!B15="",0,IF(ISNUMBER(SEARCH('02_대상물건입력'!B15,L1627)),1,0)))</f>
        <v/>
      </c>
      <c r="Q1627" s="152">
        <f>IF(OR(C1627="",L1627=""),0,IF(AND(TRIM(C1627)=TRIM(RIGHT(SUBSTITUTE(TRIM('02_대상물건입력'!$B$7)," ",REPT(" ",99)),99)),IF('02_대상물건입력'!B15="",TRUE(),ISNUMBER(SEARCH('02_대상물건입력'!B15,L1627)))),1,0))</f>
        <v/>
      </c>
      <c r="R1627" s="175">
        <f>IFERROR(ABS(E1627-'02_대상물건입력'!B11)/'02_대상물건입력'!B11,"")</f>
        <v/>
      </c>
      <c r="S1627" s="152">
        <f>IFERROR(ABS(J1627-'02_대상물건입력'!B10),"")</f>
        <v/>
      </c>
      <c r="T1627" s="152">
        <f>IFERROR(ABS('01_설정'!B4-F1627),"")</f>
        <v/>
      </c>
      <c r="U1627" s="152">
        <f>IFERROR(ABS(K1627-YEAR('02_대상물건입력'!B14)),"")</f>
        <v/>
      </c>
      <c r="V1627" s="152">
        <f>IF(B1627="","",IF(AND(E1627&gt;0,F1627&gt;0,H1627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1627=1,TRUE()),R1627&lt;='01_설정'!B5,S1627&lt;='01_설정'!B6,T1627&lt;='01_설정'!B7,U1627&lt;='01_설정'!B8),"Y",""))</f>
        <v/>
      </c>
      <c r="W1627" s="172">
        <f>IF(V1627&lt;&gt;"Y","",MAX(0,(1-R1627/'01_설정'!B5))*'01_설정'!B14+MAX(0,(1-S1627/'01_설정'!B6))*'01_설정'!B15+MAX(0,(1-T1627/'01_설정'!B7))*'01_설정'!B16+MAX(0,(1-U1627/'01_설정'!B8))*'01_설정'!B17+O1627*'01_설정'!B11+Q1627*'01_설정'!B12+P1627*'01_설정'!B13+IF(Z1627="",0,Z1627))</f>
        <v/>
      </c>
      <c r="X1627" s="152">
        <f>IF(W1627="","",1+COUNTIFS($W$4:$W$3003,"&gt;"&amp;W1627)+COUNTIFS($W$4:W1627,W1627)-1)</f>
        <v/>
      </c>
      <c r="Y1627" s="175">
        <f>IF(OR(I1627="",'02_대상물건입력'!B19="",'02_대상물건입력'!B19&lt;=0),"",ABS(I1627-'02_대상물건입력'!B19)/'02_대상물건입력'!B19)</f>
        <v/>
      </c>
      <c r="Z1627" s="172">
        <f>IF(OR(Y1627="",'01_설정'!B31="",'01_설정'!B31&lt;=0,'01_설정'!B32="",'01_설정'!B32&lt;=0),"",MAX(0,(1-Y1627/'01_설정'!B32))*'01_설정'!B31)</f>
        <v/>
      </c>
    </row>
    <row r="1628" ht="17.25" customHeight="1">
      <c r="A1628" s="152">
        <f>IF(INDEX('04A_국토부원자료'!$A:$A,ROW()+1)="","",ROW()-3)</f>
        <v/>
      </c>
      <c r="B1628" s="48">
        <f>IFERROR(INDEX('04A_국토부원자료'!$A:$T,ROW()+1,MATCH("시군구",'04A_국토부원자료'!$A$4:$T$4,0)),"")</f>
        <v/>
      </c>
      <c r="C1628" s="48">
        <f>IF(B1628="","",IFERROR(INDEX('04A_국토부원자료'!$A:$T,ROW()+1,MATCH("번지",'04A_국토부원자료'!$A$4:$T$4,0)),""))</f>
        <v/>
      </c>
      <c r="D1628" s="48">
        <f>IF(B1628="","",IF(Q1628=1,'02_대상물건입력'!$B$8,IFERROR(INDEX('04A_국토부원자료'!$A:$T,ROW()+1,MATCH("단지명",'04A_국토부원자료'!$A$4:$T$4,0)),"")))</f>
        <v/>
      </c>
      <c r="E1628" s="172">
        <f>IFERROR(VALUE(SUBSTITUTE(INDEX('04A_국토부원자료'!$A:$T,ROW()+1,MATCH("전용면적(㎡)",'04A_국토부원자료'!$A$4:$T$4,0)),",","")),"")</f>
        <v/>
      </c>
      <c r="F16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28" s="51">
        <f>IFERROR(VALUE(SUBSTITUTE(INDEX('04A_국토부원자료'!$A:$T,ROW()+1,MATCH("거래금액(만원)",'04A_국토부원자료'!$A$4:$T$4,0)),",","")),"")</f>
        <v/>
      </c>
      <c r="H1628" s="174">
        <f>IF(G1628="","",G1628*10000)</f>
        <v/>
      </c>
      <c r="I1628" s="174">
        <f>IFERROR(IF(AND(H1628&gt;0,E1628&gt;0),H1628/E1628,""),"")</f>
        <v/>
      </c>
      <c r="J1628" s="152">
        <f>IFERROR(VALUE(SUBSTITUTE(INDEX('04A_국토부원자료'!$A:$T,ROW()+1,MATCH("층",'04A_국토부원자료'!$A$4:$T$4,0)),",","")),"")</f>
        <v/>
      </c>
      <c r="K1628" s="152">
        <f>IFERROR(VALUE(SUBSTITUTE(INDEX('04A_국토부원자료'!$A:$T,ROW()+1,MATCH("건축년도",'04A_국토부원자료'!$A$4:$T$4,0)),",","")),"")</f>
        <v/>
      </c>
      <c r="L1628" s="176">
        <f>IFERROR(INDEX('04A_국토부원자료'!$A:$T,ROW()+1,MATCH("도로명",'04A_국토부원자료'!$A$4:$T$4,0)),"")</f>
        <v/>
      </c>
      <c r="M1628" s="48">
        <f>IFERROR(INDEX('04A_국토부원자료'!$A:$T,ROW()+1,MATCH("거래유형",'04A_국토부원자료'!$A$4:$T$4,0)),"")</f>
        <v/>
      </c>
      <c r="N1628" s="152">
        <f>IF(B1628="","",IF('02_대상물건입력'!B5="",1,IF(ISNUMBER(SEARCH('02_대상물건입력'!B5,B1628)),1,0)))</f>
        <v/>
      </c>
      <c r="O1628" s="152">
        <f>IF(B1628="","",IF('02_대상물건입력'!B6="",1,IF(ISNUMBER(SEARCH('02_대상물건입력'!B6,B1628)),1,0)))</f>
        <v/>
      </c>
      <c r="P1628" s="152">
        <f>IF(L1628="","",IF('02_대상물건입력'!B15="",0,IF(ISNUMBER(SEARCH('02_대상물건입력'!B15,L1628)),1,0)))</f>
        <v/>
      </c>
      <c r="Q1628" s="152">
        <f>IF(OR(C1628="",L1628=""),0,IF(AND(TRIM(C1628)=TRIM(RIGHT(SUBSTITUTE(TRIM('02_대상물건입력'!$B$7)," ",REPT(" ",99)),99)),IF('02_대상물건입력'!B15="",TRUE(),ISNUMBER(SEARCH('02_대상물건입력'!B15,L1628)))),1,0))</f>
        <v/>
      </c>
      <c r="R1628" s="175">
        <f>IFERROR(ABS(E1628-'02_대상물건입력'!B11)/'02_대상물건입력'!B11,"")</f>
        <v/>
      </c>
      <c r="S1628" s="152">
        <f>IFERROR(ABS(J1628-'02_대상물건입력'!B10),"")</f>
        <v/>
      </c>
      <c r="T1628" s="152">
        <f>IFERROR(ABS('01_설정'!B4-F1628),"")</f>
        <v/>
      </c>
      <c r="U1628" s="152">
        <f>IFERROR(ABS(K1628-YEAR('02_대상물건입력'!B14)),"")</f>
        <v/>
      </c>
      <c r="V1628" s="152">
        <f>IF(B1628="","",IF(AND(E1628&gt;0,F1628&gt;0,H1628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1628=1,TRUE()),R1628&lt;='01_설정'!B5,S1628&lt;='01_설정'!B6,T1628&lt;='01_설정'!B7,U1628&lt;='01_설정'!B8),"Y",""))</f>
        <v/>
      </c>
      <c r="W1628" s="172">
        <f>IF(V1628&lt;&gt;"Y","",MAX(0,(1-R1628/'01_설정'!B5))*'01_설정'!B14+MAX(0,(1-S1628/'01_설정'!B6))*'01_설정'!B15+MAX(0,(1-T1628/'01_설정'!B7))*'01_설정'!B16+MAX(0,(1-U1628/'01_설정'!B8))*'01_설정'!B17+O1628*'01_설정'!B11+Q1628*'01_설정'!B12+P1628*'01_설정'!B13+IF(Z1628="",0,Z1628))</f>
        <v/>
      </c>
      <c r="X1628" s="152">
        <f>IF(W1628="","",1+COUNTIFS($W$4:$W$3003,"&gt;"&amp;W1628)+COUNTIFS($W$4:W1628,W1628)-1)</f>
        <v/>
      </c>
      <c r="Y1628" s="175">
        <f>IF(OR(I1628="",'02_대상물건입력'!B19="",'02_대상물건입력'!B19&lt;=0),"",ABS(I1628-'02_대상물건입력'!B19)/'02_대상물건입력'!B19)</f>
        <v/>
      </c>
      <c r="Z1628" s="172">
        <f>IF(OR(Y1628="",'01_설정'!B31="",'01_설정'!B31&lt;=0,'01_설정'!B32="",'01_설정'!B32&lt;=0),"",MAX(0,(1-Y1628/'01_설정'!B32))*'01_설정'!B31)</f>
        <v/>
      </c>
    </row>
    <row r="1629" ht="17.25" customHeight="1">
      <c r="A1629" s="152">
        <f>IF(INDEX('04A_국토부원자료'!$A:$A,ROW()+1)="","",ROW()-3)</f>
        <v/>
      </c>
      <c r="B1629" s="48">
        <f>IFERROR(INDEX('04A_국토부원자료'!$A:$T,ROW()+1,MATCH("시군구",'04A_국토부원자료'!$A$4:$T$4,0)),"")</f>
        <v/>
      </c>
      <c r="C1629" s="48">
        <f>IF(B1629="","",IFERROR(INDEX('04A_국토부원자료'!$A:$T,ROW()+1,MATCH("번지",'04A_국토부원자료'!$A$4:$T$4,0)),""))</f>
        <v/>
      </c>
      <c r="D1629" s="48">
        <f>IF(B1629="","",IF(Q1629=1,'02_대상물건입력'!$B$8,IFERROR(INDEX('04A_국토부원자료'!$A:$T,ROW()+1,MATCH("단지명",'04A_국토부원자료'!$A$4:$T$4,0)),"")))</f>
        <v/>
      </c>
      <c r="E1629" s="172">
        <f>IFERROR(VALUE(SUBSTITUTE(INDEX('04A_국토부원자료'!$A:$T,ROW()+1,MATCH("전용면적(㎡)",'04A_국토부원자료'!$A$4:$T$4,0)),",","")),"")</f>
        <v/>
      </c>
      <c r="F16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29" s="51">
        <f>IFERROR(VALUE(SUBSTITUTE(INDEX('04A_국토부원자료'!$A:$T,ROW()+1,MATCH("거래금액(만원)",'04A_국토부원자료'!$A$4:$T$4,0)),",","")),"")</f>
        <v/>
      </c>
      <c r="H1629" s="174">
        <f>IF(G1629="","",G1629*10000)</f>
        <v/>
      </c>
      <c r="I1629" s="174">
        <f>IFERROR(IF(AND(H1629&gt;0,E1629&gt;0),H1629/E1629,""),"")</f>
        <v/>
      </c>
      <c r="J1629" s="152">
        <f>IFERROR(VALUE(SUBSTITUTE(INDEX('04A_국토부원자료'!$A:$T,ROW()+1,MATCH("층",'04A_국토부원자료'!$A$4:$T$4,0)),",","")),"")</f>
        <v/>
      </c>
      <c r="K1629" s="152">
        <f>IFERROR(VALUE(SUBSTITUTE(INDEX('04A_국토부원자료'!$A:$T,ROW()+1,MATCH("건축년도",'04A_국토부원자료'!$A$4:$T$4,0)),",","")),"")</f>
        <v/>
      </c>
      <c r="L1629" s="176">
        <f>IFERROR(INDEX('04A_국토부원자료'!$A:$T,ROW()+1,MATCH("도로명",'04A_국토부원자료'!$A$4:$T$4,0)),"")</f>
        <v/>
      </c>
      <c r="M1629" s="48">
        <f>IFERROR(INDEX('04A_국토부원자료'!$A:$T,ROW()+1,MATCH("거래유형",'04A_국토부원자료'!$A$4:$T$4,0)),"")</f>
        <v/>
      </c>
      <c r="N1629" s="152">
        <f>IF(B1629="","",IF('02_대상물건입력'!B5="",1,IF(ISNUMBER(SEARCH('02_대상물건입력'!B5,B1629)),1,0)))</f>
        <v/>
      </c>
      <c r="O1629" s="152">
        <f>IF(B1629="","",IF('02_대상물건입력'!B6="",1,IF(ISNUMBER(SEARCH('02_대상물건입력'!B6,B1629)),1,0)))</f>
        <v/>
      </c>
      <c r="P1629" s="152">
        <f>IF(L1629="","",IF('02_대상물건입력'!B15="",0,IF(ISNUMBER(SEARCH('02_대상물건입력'!B15,L1629)),1,0)))</f>
        <v/>
      </c>
      <c r="Q1629" s="152">
        <f>IF(OR(C1629="",L1629=""),0,IF(AND(TRIM(C1629)=TRIM(RIGHT(SUBSTITUTE(TRIM('02_대상물건입력'!$B$7)," ",REPT(" ",99)),99)),IF('02_대상물건입력'!B15="",TRUE(),ISNUMBER(SEARCH('02_대상물건입력'!B15,L1629)))),1,0))</f>
        <v/>
      </c>
      <c r="R1629" s="175">
        <f>IFERROR(ABS(E1629-'02_대상물건입력'!B11)/'02_대상물건입력'!B11,"")</f>
        <v/>
      </c>
      <c r="S1629" s="152">
        <f>IFERROR(ABS(J1629-'02_대상물건입력'!B10),"")</f>
        <v/>
      </c>
      <c r="T1629" s="152">
        <f>IFERROR(ABS('01_설정'!B4-F1629),"")</f>
        <v/>
      </c>
      <c r="U1629" s="152">
        <f>IFERROR(ABS(K1629-YEAR('02_대상물건입력'!B14)),"")</f>
        <v/>
      </c>
      <c r="V1629" s="152">
        <f>IF(B1629="","",IF(AND(E1629&gt;0,F1629&gt;0,H1629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1629=1,TRUE()),R1629&lt;='01_설정'!B5,S1629&lt;='01_설정'!B6,T1629&lt;='01_설정'!B7,U1629&lt;='01_설정'!B8),"Y",""))</f>
        <v/>
      </c>
      <c r="W1629" s="172">
        <f>IF(V1629&lt;&gt;"Y","",MAX(0,(1-R1629/'01_설정'!B5))*'01_설정'!B14+MAX(0,(1-S1629/'01_설정'!B6))*'01_설정'!B15+MAX(0,(1-T1629/'01_설정'!B7))*'01_설정'!B16+MAX(0,(1-U1629/'01_설정'!B8))*'01_설정'!B17+O1629*'01_설정'!B11+Q1629*'01_설정'!B12+P1629*'01_설정'!B13+IF(Z1629="",0,Z1629))</f>
        <v/>
      </c>
      <c r="X1629" s="152">
        <f>IF(W1629="","",1+COUNTIFS($W$4:$W$3003,"&gt;"&amp;W1629)+COUNTIFS($W$4:W1629,W1629)-1)</f>
        <v/>
      </c>
      <c r="Y1629" s="175">
        <f>IF(OR(I1629="",'02_대상물건입력'!B19="",'02_대상물건입력'!B19&lt;=0),"",ABS(I1629-'02_대상물건입력'!B19)/'02_대상물건입력'!B19)</f>
        <v/>
      </c>
      <c r="Z1629" s="172">
        <f>IF(OR(Y1629="",'01_설정'!B31="",'01_설정'!B31&lt;=0,'01_설정'!B32="",'01_설정'!B32&lt;=0),"",MAX(0,(1-Y1629/'01_설정'!B32))*'01_설정'!B31)</f>
        <v/>
      </c>
    </row>
    <row r="1630" ht="17.25" customHeight="1">
      <c r="A1630" s="152">
        <f>IF(INDEX('04A_국토부원자료'!$A:$A,ROW()+1)="","",ROW()-3)</f>
        <v/>
      </c>
      <c r="B1630" s="48">
        <f>IFERROR(INDEX('04A_국토부원자료'!$A:$T,ROW()+1,MATCH("시군구",'04A_국토부원자료'!$A$4:$T$4,0)),"")</f>
        <v/>
      </c>
      <c r="C1630" s="48">
        <f>IF(B1630="","",IFERROR(INDEX('04A_국토부원자료'!$A:$T,ROW()+1,MATCH("번지",'04A_국토부원자료'!$A$4:$T$4,0)),""))</f>
        <v/>
      </c>
      <c r="D1630" s="48">
        <f>IF(B1630="","",IF(Q1630=1,'02_대상물건입력'!$B$8,IFERROR(INDEX('04A_국토부원자료'!$A:$T,ROW()+1,MATCH("단지명",'04A_국토부원자료'!$A$4:$T$4,0)),"")))</f>
        <v/>
      </c>
      <c r="E1630" s="172">
        <f>IFERROR(VALUE(SUBSTITUTE(INDEX('04A_국토부원자료'!$A:$T,ROW()+1,MATCH("전용면적(㎡)",'04A_국토부원자료'!$A$4:$T$4,0)),",","")),"")</f>
        <v/>
      </c>
      <c r="F16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30" s="51">
        <f>IFERROR(VALUE(SUBSTITUTE(INDEX('04A_국토부원자료'!$A:$T,ROW()+1,MATCH("거래금액(만원)",'04A_국토부원자료'!$A$4:$T$4,0)),",","")),"")</f>
        <v/>
      </c>
      <c r="H1630" s="174">
        <f>IF(G1630="","",G1630*10000)</f>
        <v/>
      </c>
      <c r="I1630" s="174">
        <f>IFERROR(IF(AND(H1630&gt;0,E1630&gt;0),H1630/E1630,""),"")</f>
        <v/>
      </c>
      <c r="J1630" s="152">
        <f>IFERROR(VALUE(SUBSTITUTE(INDEX('04A_국토부원자료'!$A:$T,ROW()+1,MATCH("층",'04A_국토부원자료'!$A$4:$T$4,0)),",","")),"")</f>
        <v/>
      </c>
      <c r="K1630" s="152">
        <f>IFERROR(VALUE(SUBSTITUTE(INDEX('04A_국토부원자료'!$A:$T,ROW()+1,MATCH("건축년도",'04A_국토부원자료'!$A$4:$T$4,0)),",","")),"")</f>
        <v/>
      </c>
      <c r="L1630" s="176">
        <f>IFERROR(INDEX('04A_국토부원자료'!$A:$T,ROW()+1,MATCH("도로명",'04A_국토부원자료'!$A$4:$T$4,0)),"")</f>
        <v/>
      </c>
      <c r="M1630" s="48">
        <f>IFERROR(INDEX('04A_국토부원자료'!$A:$T,ROW()+1,MATCH("거래유형",'04A_국토부원자료'!$A$4:$T$4,0)),"")</f>
        <v/>
      </c>
      <c r="N1630" s="152">
        <f>IF(B1630="","",IF('02_대상물건입력'!B5="",1,IF(ISNUMBER(SEARCH('02_대상물건입력'!B5,B1630)),1,0)))</f>
        <v/>
      </c>
      <c r="O1630" s="152">
        <f>IF(B1630="","",IF('02_대상물건입력'!B6="",1,IF(ISNUMBER(SEARCH('02_대상물건입력'!B6,B1630)),1,0)))</f>
        <v/>
      </c>
      <c r="P1630" s="152">
        <f>IF(L1630="","",IF('02_대상물건입력'!B15="",0,IF(ISNUMBER(SEARCH('02_대상물건입력'!B15,L1630)),1,0)))</f>
        <v/>
      </c>
      <c r="Q1630" s="152">
        <f>IF(OR(C1630="",L1630=""),0,IF(AND(TRIM(C1630)=TRIM(RIGHT(SUBSTITUTE(TRIM('02_대상물건입력'!$B$7)," ",REPT(" ",99)),99)),IF('02_대상물건입력'!B15="",TRUE(),ISNUMBER(SEARCH('02_대상물건입력'!B15,L1630)))),1,0))</f>
        <v/>
      </c>
      <c r="R1630" s="175">
        <f>IFERROR(ABS(E1630-'02_대상물건입력'!B11)/'02_대상물건입력'!B11,"")</f>
        <v/>
      </c>
      <c r="S1630" s="152">
        <f>IFERROR(ABS(J1630-'02_대상물건입력'!B10),"")</f>
        <v/>
      </c>
      <c r="T1630" s="152">
        <f>IFERROR(ABS('01_설정'!B4-F1630),"")</f>
        <v/>
      </c>
      <c r="U1630" s="152">
        <f>IFERROR(ABS(K1630-YEAR('02_대상물건입력'!B14)),"")</f>
        <v/>
      </c>
      <c r="V1630" s="152">
        <f>IF(B1630="","",IF(AND(E1630&gt;0,F1630&gt;0,H1630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1630=1,TRUE()),R1630&lt;='01_설정'!B5,S1630&lt;='01_설정'!B6,T1630&lt;='01_설정'!B7,U1630&lt;='01_설정'!B8),"Y",""))</f>
        <v/>
      </c>
      <c r="W1630" s="172">
        <f>IF(V1630&lt;&gt;"Y","",MAX(0,(1-R1630/'01_설정'!B5))*'01_설정'!B14+MAX(0,(1-S1630/'01_설정'!B6))*'01_설정'!B15+MAX(0,(1-T1630/'01_설정'!B7))*'01_설정'!B16+MAX(0,(1-U1630/'01_설정'!B8))*'01_설정'!B17+O1630*'01_설정'!B11+Q1630*'01_설정'!B12+P1630*'01_설정'!B13+IF(Z1630="",0,Z1630))</f>
        <v/>
      </c>
      <c r="X1630" s="152">
        <f>IF(W1630="","",1+COUNTIFS($W$4:$W$3003,"&gt;"&amp;W1630)+COUNTIFS($W$4:W1630,W1630)-1)</f>
        <v/>
      </c>
      <c r="Y1630" s="175">
        <f>IF(OR(I1630="",'02_대상물건입력'!B19="",'02_대상물건입력'!B19&lt;=0),"",ABS(I1630-'02_대상물건입력'!B19)/'02_대상물건입력'!B19)</f>
        <v/>
      </c>
      <c r="Z1630" s="172">
        <f>IF(OR(Y1630="",'01_설정'!B31="",'01_설정'!B31&lt;=0,'01_설정'!B32="",'01_설정'!B32&lt;=0),"",MAX(0,(1-Y1630/'01_설정'!B32))*'01_설정'!B31)</f>
        <v/>
      </c>
    </row>
    <row r="1631" ht="17.25" customHeight="1">
      <c r="A1631" s="152">
        <f>IF(INDEX('04A_국토부원자료'!$A:$A,ROW()+1)="","",ROW()-3)</f>
        <v/>
      </c>
      <c r="B1631" s="48">
        <f>IFERROR(INDEX('04A_국토부원자료'!$A:$T,ROW()+1,MATCH("시군구",'04A_국토부원자료'!$A$4:$T$4,0)),"")</f>
        <v/>
      </c>
      <c r="C1631" s="48">
        <f>IF(B1631="","",IFERROR(INDEX('04A_국토부원자료'!$A:$T,ROW()+1,MATCH("번지",'04A_국토부원자료'!$A$4:$T$4,0)),""))</f>
        <v/>
      </c>
      <c r="D1631" s="48">
        <f>IF(B1631="","",IF(Q1631=1,'02_대상물건입력'!$B$8,IFERROR(INDEX('04A_국토부원자료'!$A:$T,ROW()+1,MATCH("단지명",'04A_국토부원자료'!$A$4:$T$4,0)),"")))</f>
        <v/>
      </c>
      <c r="E1631" s="172">
        <f>IFERROR(VALUE(SUBSTITUTE(INDEX('04A_국토부원자료'!$A:$T,ROW()+1,MATCH("전용면적(㎡)",'04A_국토부원자료'!$A$4:$T$4,0)),",","")),"")</f>
        <v/>
      </c>
      <c r="F16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31" s="51">
        <f>IFERROR(VALUE(SUBSTITUTE(INDEX('04A_국토부원자료'!$A:$T,ROW()+1,MATCH("거래금액(만원)",'04A_국토부원자료'!$A$4:$T$4,0)),",","")),"")</f>
        <v/>
      </c>
      <c r="H1631" s="174">
        <f>IF(G1631="","",G1631*10000)</f>
        <v/>
      </c>
      <c r="I1631" s="174">
        <f>IFERROR(IF(AND(H1631&gt;0,E1631&gt;0),H1631/E1631,""),"")</f>
        <v/>
      </c>
      <c r="J1631" s="152">
        <f>IFERROR(VALUE(SUBSTITUTE(INDEX('04A_국토부원자료'!$A:$T,ROW()+1,MATCH("층",'04A_국토부원자료'!$A$4:$T$4,0)),",","")),"")</f>
        <v/>
      </c>
      <c r="K1631" s="152">
        <f>IFERROR(VALUE(SUBSTITUTE(INDEX('04A_국토부원자료'!$A:$T,ROW()+1,MATCH("건축년도",'04A_국토부원자료'!$A$4:$T$4,0)),",","")),"")</f>
        <v/>
      </c>
      <c r="L1631" s="176">
        <f>IFERROR(INDEX('04A_국토부원자료'!$A:$T,ROW()+1,MATCH("도로명",'04A_국토부원자료'!$A$4:$T$4,0)),"")</f>
        <v/>
      </c>
      <c r="M1631" s="48">
        <f>IFERROR(INDEX('04A_국토부원자료'!$A:$T,ROW()+1,MATCH("거래유형",'04A_국토부원자료'!$A$4:$T$4,0)),"")</f>
        <v/>
      </c>
      <c r="N1631" s="152">
        <f>IF(B1631="","",IF('02_대상물건입력'!B5="",1,IF(ISNUMBER(SEARCH('02_대상물건입력'!B5,B1631)),1,0)))</f>
        <v/>
      </c>
      <c r="O1631" s="152">
        <f>IF(B1631="","",IF('02_대상물건입력'!B6="",1,IF(ISNUMBER(SEARCH('02_대상물건입력'!B6,B1631)),1,0)))</f>
        <v/>
      </c>
      <c r="P1631" s="152">
        <f>IF(L1631="","",IF('02_대상물건입력'!B15="",0,IF(ISNUMBER(SEARCH('02_대상물건입력'!B15,L1631)),1,0)))</f>
        <v/>
      </c>
      <c r="Q1631" s="152">
        <f>IF(OR(C1631="",L1631=""),0,IF(AND(TRIM(C1631)=TRIM(RIGHT(SUBSTITUTE(TRIM('02_대상물건입력'!$B$7)," ",REPT(" ",99)),99)),IF('02_대상물건입력'!B15="",TRUE(),ISNUMBER(SEARCH('02_대상물건입력'!B15,L1631)))),1,0))</f>
        <v/>
      </c>
      <c r="R1631" s="175">
        <f>IFERROR(ABS(E1631-'02_대상물건입력'!B11)/'02_대상물건입력'!B11,"")</f>
        <v/>
      </c>
      <c r="S1631" s="152">
        <f>IFERROR(ABS(J1631-'02_대상물건입력'!B10),"")</f>
        <v/>
      </c>
      <c r="T1631" s="152">
        <f>IFERROR(ABS('01_설정'!B4-F1631),"")</f>
        <v/>
      </c>
      <c r="U1631" s="152">
        <f>IFERROR(ABS(K1631-YEAR('02_대상물건입력'!B14)),"")</f>
        <v/>
      </c>
      <c r="V1631" s="152">
        <f>IF(B1631="","",IF(AND(E1631&gt;0,F1631&gt;0,H1631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1631=1,TRUE()),R1631&lt;='01_설정'!B5,S1631&lt;='01_설정'!B6,T1631&lt;='01_설정'!B7,U1631&lt;='01_설정'!B8),"Y",""))</f>
        <v/>
      </c>
      <c r="W1631" s="172">
        <f>IF(V1631&lt;&gt;"Y","",MAX(0,(1-R1631/'01_설정'!B5))*'01_설정'!B14+MAX(0,(1-S1631/'01_설정'!B6))*'01_설정'!B15+MAX(0,(1-T1631/'01_설정'!B7))*'01_설정'!B16+MAX(0,(1-U1631/'01_설정'!B8))*'01_설정'!B17+O1631*'01_설정'!B11+Q1631*'01_설정'!B12+P1631*'01_설정'!B13+IF(Z1631="",0,Z1631))</f>
        <v/>
      </c>
      <c r="X1631" s="152">
        <f>IF(W1631="","",1+COUNTIFS($W$4:$W$3003,"&gt;"&amp;W1631)+COUNTIFS($W$4:W1631,W1631)-1)</f>
        <v/>
      </c>
      <c r="Y1631" s="175">
        <f>IF(OR(I1631="",'02_대상물건입력'!B19="",'02_대상물건입력'!B19&lt;=0),"",ABS(I1631-'02_대상물건입력'!B19)/'02_대상물건입력'!B19)</f>
        <v/>
      </c>
      <c r="Z1631" s="172">
        <f>IF(OR(Y1631="",'01_설정'!B31="",'01_설정'!B31&lt;=0,'01_설정'!B32="",'01_설정'!B32&lt;=0),"",MAX(0,(1-Y1631/'01_설정'!B32))*'01_설정'!B31)</f>
        <v/>
      </c>
    </row>
    <row r="1632" ht="17.25" customHeight="1">
      <c r="A1632" s="152">
        <f>IF(INDEX('04A_국토부원자료'!$A:$A,ROW()+1)="","",ROW()-3)</f>
        <v/>
      </c>
      <c r="B1632" s="48">
        <f>IFERROR(INDEX('04A_국토부원자료'!$A:$T,ROW()+1,MATCH("시군구",'04A_국토부원자료'!$A$4:$T$4,0)),"")</f>
        <v/>
      </c>
      <c r="C1632" s="48">
        <f>IF(B1632="","",IFERROR(INDEX('04A_국토부원자료'!$A:$T,ROW()+1,MATCH("번지",'04A_국토부원자료'!$A$4:$T$4,0)),""))</f>
        <v/>
      </c>
      <c r="D1632" s="48">
        <f>IF(B1632="","",IF(Q1632=1,'02_대상물건입력'!$B$8,IFERROR(INDEX('04A_국토부원자료'!$A:$T,ROW()+1,MATCH("단지명",'04A_국토부원자료'!$A$4:$T$4,0)),"")))</f>
        <v/>
      </c>
      <c r="E1632" s="172">
        <f>IFERROR(VALUE(SUBSTITUTE(INDEX('04A_국토부원자료'!$A:$T,ROW()+1,MATCH("전용면적(㎡)",'04A_국토부원자료'!$A$4:$T$4,0)),",","")),"")</f>
        <v/>
      </c>
      <c r="F16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32" s="51">
        <f>IFERROR(VALUE(SUBSTITUTE(INDEX('04A_국토부원자료'!$A:$T,ROW()+1,MATCH("거래금액(만원)",'04A_국토부원자료'!$A$4:$T$4,0)),",","")),"")</f>
        <v/>
      </c>
      <c r="H1632" s="174">
        <f>IF(G1632="","",G1632*10000)</f>
        <v/>
      </c>
      <c r="I1632" s="174">
        <f>IFERROR(IF(AND(H1632&gt;0,E1632&gt;0),H1632/E1632,""),"")</f>
        <v/>
      </c>
      <c r="J1632" s="152">
        <f>IFERROR(VALUE(SUBSTITUTE(INDEX('04A_국토부원자료'!$A:$T,ROW()+1,MATCH("층",'04A_국토부원자료'!$A$4:$T$4,0)),",","")),"")</f>
        <v/>
      </c>
      <c r="K1632" s="152">
        <f>IFERROR(VALUE(SUBSTITUTE(INDEX('04A_국토부원자료'!$A:$T,ROW()+1,MATCH("건축년도",'04A_국토부원자료'!$A$4:$T$4,0)),",","")),"")</f>
        <v/>
      </c>
      <c r="L1632" s="176">
        <f>IFERROR(INDEX('04A_국토부원자료'!$A:$T,ROW()+1,MATCH("도로명",'04A_국토부원자료'!$A$4:$T$4,0)),"")</f>
        <v/>
      </c>
      <c r="M1632" s="48">
        <f>IFERROR(INDEX('04A_국토부원자료'!$A:$T,ROW()+1,MATCH("거래유형",'04A_국토부원자료'!$A$4:$T$4,0)),"")</f>
        <v/>
      </c>
      <c r="N1632" s="152">
        <f>IF(B1632="","",IF('02_대상물건입력'!B5="",1,IF(ISNUMBER(SEARCH('02_대상물건입력'!B5,B1632)),1,0)))</f>
        <v/>
      </c>
      <c r="O1632" s="152">
        <f>IF(B1632="","",IF('02_대상물건입력'!B6="",1,IF(ISNUMBER(SEARCH('02_대상물건입력'!B6,B1632)),1,0)))</f>
        <v/>
      </c>
      <c r="P1632" s="152">
        <f>IF(L1632="","",IF('02_대상물건입력'!B15="",0,IF(ISNUMBER(SEARCH('02_대상물건입력'!B15,L1632)),1,0)))</f>
        <v/>
      </c>
      <c r="Q1632" s="152">
        <f>IF(OR(C1632="",L1632=""),0,IF(AND(TRIM(C1632)=TRIM(RIGHT(SUBSTITUTE(TRIM('02_대상물건입력'!$B$7)," ",REPT(" ",99)),99)),IF('02_대상물건입력'!B15="",TRUE(),ISNUMBER(SEARCH('02_대상물건입력'!B15,L1632)))),1,0))</f>
        <v/>
      </c>
      <c r="R1632" s="175">
        <f>IFERROR(ABS(E1632-'02_대상물건입력'!B11)/'02_대상물건입력'!B11,"")</f>
        <v/>
      </c>
      <c r="S1632" s="152">
        <f>IFERROR(ABS(J1632-'02_대상물건입력'!B10),"")</f>
        <v/>
      </c>
      <c r="T1632" s="152">
        <f>IFERROR(ABS('01_설정'!B4-F1632),"")</f>
        <v/>
      </c>
      <c r="U1632" s="152">
        <f>IFERROR(ABS(K1632-YEAR('02_대상물건입력'!B14)),"")</f>
        <v/>
      </c>
      <c r="V1632" s="152">
        <f>IF(B1632="","",IF(AND(E1632&gt;0,F1632&gt;0,H1632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1632=1,TRUE()),R1632&lt;='01_설정'!B5,S1632&lt;='01_설정'!B6,T1632&lt;='01_설정'!B7,U1632&lt;='01_설정'!B8),"Y",""))</f>
        <v/>
      </c>
      <c r="W1632" s="172">
        <f>IF(V1632&lt;&gt;"Y","",MAX(0,(1-R1632/'01_설정'!B5))*'01_설정'!B14+MAX(0,(1-S1632/'01_설정'!B6))*'01_설정'!B15+MAX(0,(1-T1632/'01_설정'!B7))*'01_설정'!B16+MAX(0,(1-U1632/'01_설정'!B8))*'01_설정'!B17+O1632*'01_설정'!B11+Q1632*'01_설정'!B12+P1632*'01_설정'!B13+IF(Z1632="",0,Z1632))</f>
        <v/>
      </c>
      <c r="X1632" s="152">
        <f>IF(W1632="","",1+COUNTIFS($W$4:$W$3003,"&gt;"&amp;W1632)+COUNTIFS($W$4:W1632,W1632)-1)</f>
        <v/>
      </c>
      <c r="Y1632" s="175">
        <f>IF(OR(I1632="",'02_대상물건입력'!B19="",'02_대상물건입력'!B19&lt;=0),"",ABS(I1632-'02_대상물건입력'!B19)/'02_대상물건입력'!B19)</f>
        <v/>
      </c>
      <c r="Z1632" s="172">
        <f>IF(OR(Y1632="",'01_설정'!B31="",'01_설정'!B31&lt;=0,'01_설정'!B32="",'01_설정'!B32&lt;=0),"",MAX(0,(1-Y1632/'01_설정'!B32))*'01_설정'!B31)</f>
        <v/>
      </c>
    </row>
    <row r="1633" ht="17.25" customHeight="1">
      <c r="A1633" s="152">
        <f>IF(INDEX('04A_국토부원자료'!$A:$A,ROW()+1)="","",ROW()-3)</f>
        <v/>
      </c>
      <c r="B1633" s="48">
        <f>IFERROR(INDEX('04A_국토부원자료'!$A:$T,ROW()+1,MATCH("시군구",'04A_국토부원자료'!$A$4:$T$4,0)),"")</f>
        <v/>
      </c>
      <c r="C1633" s="48">
        <f>IF(B1633="","",IFERROR(INDEX('04A_국토부원자료'!$A:$T,ROW()+1,MATCH("번지",'04A_국토부원자료'!$A$4:$T$4,0)),""))</f>
        <v/>
      </c>
      <c r="D1633" s="48">
        <f>IF(B1633="","",IF(Q1633=1,'02_대상물건입력'!$B$8,IFERROR(INDEX('04A_국토부원자료'!$A:$T,ROW()+1,MATCH("단지명",'04A_국토부원자료'!$A$4:$T$4,0)),"")))</f>
        <v/>
      </c>
      <c r="E1633" s="172">
        <f>IFERROR(VALUE(SUBSTITUTE(INDEX('04A_국토부원자료'!$A:$T,ROW()+1,MATCH("전용면적(㎡)",'04A_국토부원자료'!$A$4:$T$4,0)),",","")),"")</f>
        <v/>
      </c>
      <c r="F16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33" s="51">
        <f>IFERROR(VALUE(SUBSTITUTE(INDEX('04A_국토부원자료'!$A:$T,ROW()+1,MATCH("거래금액(만원)",'04A_국토부원자료'!$A$4:$T$4,0)),",","")),"")</f>
        <v/>
      </c>
      <c r="H1633" s="174">
        <f>IF(G1633="","",G1633*10000)</f>
        <v/>
      </c>
      <c r="I1633" s="174">
        <f>IFERROR(IF(AND(H1633&gt;0,E1633&gt;0),H1633/E1633,""),"")</f>
        <v/>
      </c>
      <c r="J1633" s="152">
        <f>IFERROR(VALUE(SUBSTITUTE(INDEX('04A_국토부원자료'!$A:$T,ROW()+1,MATCH("층",'04A_국토부원자료'!$A$4:$T$4,0)),",","")),"")</f>
        <v/>
      </c>
      <c r="K1633" s="152">
        <f>IFERROR(VALUE(SUBSTITUTE(INDEX('04A_국토부원자료'!$A:$T,ROW()+1,MATCH("건축년도",'04A_국토부원자료'!$A$4:$T$4,0)),",","")),"")</f>
        <v/>
      </c>
      <c r="L1633" s="176">
        <f>IFERROR(INDEX('04A_국토부원자료'!$A:$T,ROW()+1,MATCH("도로명",'04A_국토부원자료'!$A$4:$T$4,0)),"")</f>
        <v/>
      </c>
      <c r="M1633" s="48">
        <f>IFERROR(INDEX('04A_국토부원자료'!$A:$T,ROW()+1,MATCH("거래유형",'04A_국토부원자료'!$A$4:$T$4,0)),"")</f>
        <v/>
      </c>
      <c r="N1633" s="152">
        <f>IF(B1633="","",IF('02_대상물건입력'!B5="",1,IF(ISNUMBER(SEARCH('02_대상물건입력'!B5,B1633)),1,0)))</f>
        <v/>
      </c>
      <c r="O1633" s="152">
        <f>IF(B1633="","",IF('02_대상물건입력'!B6="",1,IF(ISNUMBER(SEARCH('02_대상물건입력'!B6,B1633)),1,0)))</f>
        <v/>
      </c>
      <c r="P1633" s="152">
        <f>IF(L1633="","",IF('02_대상물건입력'!B15="",0,IF(ISNUMBER(SEARCH('02_대상물건입력'!B15,L1633)),1,0)))</f>
        <v/>
      </c>
      <c r="Q1633" s="152">
        <f>IF(OR(C1633="",L1633=""),0,IF(AND(TRIM(C1633)=TRIM(RIGHT(SUBSTITUTE(TRIM('02_대상물건입력'!$B$7)," ",REPT(" ",99)),99)),IF('02_대상물건입력'!B15="",TRUE(),ISNUMBER(SEARCH('02_대상물건입력'!B15,L1633)))),1,0))</f>
        <v/>
      </c>
      <c r="R1633" s="175">
        <f>IFERROR(ABS(E1633-'02_대상물건입력'!B11)/'02_대상물건입력'!B11,"")</f>
        <v/>
      </c>
      <c r="S1633" s="152">
        <f>IFERROR(ABS(J1633-'02_대상물건입력'!B10),"")</f>
        <v/>
      </c>
      <c r="T1633" s="152">
        <f>IFERROR(ABS('01_설정'!B4-F1633),"")</f>
        <v/>
      </c>
      <c r="U1633" s="152">
        <f>IFERROR(ABS(K1633-YEAR('02_대상물건입력'!B14)),"")</f>
        <v/>
      </c>
      <c r="V1633" s="152">
        <f>IF(B1633="","",IF(AND(E1633&gt;0,F1633&gt;0,H1633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1633=1,TRUE()),R1633&lt;='01_설정'!B5,S1633&lt;='01_설정'!B6,T1633&lt;='01_설정'!B7,U1633&lt;='01_설정'!B8),"Y",""))</f>
        <v/>
      </c>
      <c r="W1633" s="172">
        <f>IF(V1633&lt;&gt;"Y","",MAX(0,(1-R1633/'01_설정'!B5))*'01_설정'!B14+MAX(0,(1-S1633/'01_설정'!B6))*'01_설정'!B15+MAX(0,(1-T1633/'01_설정'!B7))*'01_설정'!B16+MAX(0,(1-U1633/'01_설정'!B8))*'01_설정'!B17+O1633*'01_설정'!B11+Q1633*'01_설정'!B12+P1633*'01_설정'!B13+IF(Z1633="",0,Z1633))</f>
        <v/>
      </c>
      <c r="X1633" s="152">
        <f>IF(W1633="","",1+COUNTIFS($W$4:$W$3003,"&gt;"&amp;W1633)+COUNTIFS($W$4:W1633,W1633)-1)</f>
        <v/>
      </c>
      <c r="Y1633" s="175">
        <f>IF(OR(I1633="",'02_대상물건입력'!B19="",'02_대상물건입력'!B19&lt;=0),"",ABS(I1633-'02_대상물건입력'!B19)/'02_대상물건입력'!B19)</f>
        <v/>
      </c>
      <c r="Z1633" s="172">
        <f>IF(OR(Y1633="",'01_설정'!B31="",'01_설정'!B31&lt;=0,'01_설정'!B32="",'01_설정'!B32&lt;=0),"",MAX(0,(1-Y1633/'01_설정'!B32))*'01_설정'!B31)</f>
        <v/>
      </c>
    </row>
    <row r="1634" ht="17.25" customHeight="1">
      <c r="A1634" s="152">
        <f>IF(INDEX('04A_국토부원자료'!$A:$A,ROW()+1)="","",ROW()-3)</f>
        <v/>
      </c>
      <c r="B1634" s="48">
        <f>IFERROR(INDEX('04A_국토부원자료'!$A:$T,ROW()+1,MATCH("시군구",'04A_국토부원자료'!$A$4:$T$4,0)),"")</f>
        <v/>
      </c>
      <c r="C1634" s="48">
        <f>IF(B1634="","",IFERROR(INDEX('04A_국토부원자료'!$A:$T,ROW()+1,MATCH("번지",'04A_국토부원자료'!$A$4:$T$4,0)),""))</f>
        <v/>
      </c>
      <c r="D1634" s="48">
        <f>IF(B1634="","",IF(Q1634=1,'02_대상물건입력'!$B$8,IFERROR(INDEX('04A_국토부원자료'!$A:$T,ROW()+1,MATCH("단지명",'04A_국토부원자료'!$A$4:$T$4,0)),"")))</f>
        <v/>
      </c>
      <c r="E1634" s="172">
        <f>IFERROR(VALUE(SUBSTITUTE(INDEX('04A_국토부원자료'!$A:$T,ROW()+1,MATCH("전용면적(㎡)",'04A_국토부원자료'!$A$4:$T$4,0)),",","")),"")</f>
        <v/>
      </c>
      <c r="F16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34" s="51">
        <f>IFERROR(VALUE(SUBSTITUTE(INDEX('04A_국토부원자료'!$A:$T,ROW()+1,MATCH("거래금액(만원)",'04A_국토부원자료'!$A$4:$T$4,0)),",","")),"")</f>
        <v/>
      </c>
      <c r="H1634" s="174">
        <f>IF(G1634="","",G1634*10000)</f>
        <v/>
      </c>
      <c r="I1634" s="174">
        <f>IFERROR(IF(AND(H1634&gt;0,E1634&gt;0),H1634/E1634,""),"")</f>
        <v/>
      </c>
      <c r="J1634" s="152">
        <f>IFERROR(VALUE(SUBSTITUTE(INDEX('04A_국토부원자료'!$A:$T,ROW()+1,MATCH("층",'04A_국토부원자료'!$A$4:$T$4,0)),",","")),"")</f>
        <v/>
      </c>
      <c r="K1634" s="152">
        <f>IFERROR(VALUE(SUBSTITUTE(INDEX('04A_국토부원자료'!$A:$T,ROW()+1,MATCH("건축년도",'04A_국토부원자료'!$A$4:$T$4,0)),",","")),"")</f>
        <v/>
      </c>
      <c r="L1634" s="176">
        <f>IFERROR(INDEX('04A_국토부원자료'!$A:$T,ROW()+1,MATCH("도로명",'04A_국토부원자료'!$A$4:$T$4,0)),"")</f>
        <v/>
      </c>
      <c r="M1634" s="48">
        <f>IFERROR(INDEX('04A_국토부원자료'!$A:$T,ROW()+1,MATCH("거래유형",'04A_국토부원자료'!$A$4:$T$4,0)),"")</f>
        <v/>
      </c>
      <c r="N1634" s="152">
        <f>IF(B1634="","",IF('02_대상물건입력'!B5="",1,IF(ISNUMBER(SEARCH('02_대상물건입력'!B5,B1634)),1,0)))</f>
        <v/>
      </c>
      <c r="O1634" s="152">
        <f>IF(B1634="","",IF('02_대상물건입력'!B6="",1,IF(ISNUMBER(SEARCH('02_대상물건입력'!B6,B1634)),1,0)))</f>
        <v/>
      </c>
      <c r="P1634" s="152">
        <f>IF(L1634="","",IF('02_대상물건입력'!B15="",0,IF(ISNUMBER(SEARCH('02_대상물건입력'!B15,L1634)),1,0)))</f>
        <v/>
      </c>
      <c r="Q1634" s="152">
        <f>IF(OR(C1634="",L1634=""),0,IF(AND(TRIM(C1634)=TRIM(RIGHT(SUBSTITUTE(TRIM('02_대상물건입력'!$B$7)," ",REPT(" ",99)),99)),IF('02_대상물건입력'!B15="",TRUE(),ISNUMBER(SEARCH('02_대상물건입력'!B15,L1634)))),1,0))</f>
        <v/>
      </c>
      <c r="R1634" s="175">
        <f>IFERROR(ABS(E1634-'02_대상물건입력'!B11)/'02_대상물건입력'!B11,"")</f>
        <v/>
      </c>
      <c r="S1634" s="152">
        <f>IFERROR(ABS(J1634-'02_대상물건입력'!B10),"")</f>
        <v/>
      </c>
      <c r="T1634" s="152">
        <f>IFERROR(ABS('01_설정'!B4-F1634),"")</f>
        <v/>
      </c>
      <c r="U1634" s="152">
        <f>IFERROR(ABS(K1634-YEAR('02_대상물건입력'!B14)),"")</f>
        <v/>
      </c>
      <c r="V1634" s="152">
        <f>IF(B1634="","",IF(AND(E1634&gt;0,F1634&gt;0,H1634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1634=1,TRUE()),R1634&lt;='01_설정'!B5,S1634&lt;='01_설정'!B6,T1634&lt;='01_설정'!B7,U1634&lt;='01_설정'!B8),"Y",""))</f>
        <v/>
      </c>
      <c r="W1634" s="172">
        <f>IF(V1634&lt;&gt;"Y","",MAX(0,(1-R1634/'01_설정'!B5))*'01_설정'!B14+MAX(0,(1-S1634/'01_설정'!B6))*'01_설정'!B15+MAX(0,(1-T1634/'01_설정'!B7))*'01_설정'!B16+MAX(0,(1-U1634/'01_설정'!B8))*'01_설정'!B17+O1634*'01_설정'!B11+Q1634*'01_설정'!B12+P1634*'01_설정'!B13+IF(Z1634="",0,Z1634))</f>
        <v/>
      </c>
      <c r="X1634" s="152">
        <f>IF(W1634="","",1+COUNTIFS($W$4:$W$3003,"&gt;"&amp;W1634)+COUNTIFS($W$4:W1634,W1634)-1)</f>
        <v/>
      </c>
      <c r="Y1634" s="175">
        <f>IF(OR(I1634="",'02_대상물건입력'!B19="",'02_대상물건입력'!B19&lt;=0),"",ABS(I1634-'02_대상물건입력'!B19)/'02_대상물건입력'!B19)</f>
        <v/>
      </c>
      <c r="Z1634" s="172">
        <f>IF(OR(Y1634="",'01_설정'!B31="",'01_설정'!B31&lt;=0,'01_설정'!B32="",'01_설정'!B32&lt;=0),"",MAX(0,(1-Y1634/'01_설정'!B32))*'01_설정'!B31)</f>
        <v/>
      </c>
    </row>
    <row r="1635" ht="17.25" customHeight="1">
      <c r="A1635" s="152">
        <f>IF(INDEX('04A_국토부원자료'!$A:$A,ROW()+1)="","",ROW()-3)</f>
        <v/>
      </c>
      <c r="B1635" s="48">
        <f>IFERROR(INDEX('04A_국토부원자료'!$A:$T,ROW()+1,MATCH("시군구",'04A_국토부원자료'!$A$4:$T$4,0)),"")</f>
        <v/>
      </c>
      <c r="C1635" s="48">
        <f>IF(B1635="","",IFERROR(INDEX('04A_국토부원자료'!$A:$T,ROW()+1,MATCH("번지",'04A_국토부원자료'!$A$4:$T$4,0)),""))</f>
        <v/>
      </c>
      <c r="D1635" s="48">
        <f>IF(B1635="","",IF(Q1635=1,'02_대상물건입력'!$B$8,IFERROR(INDEX('04A_국토부원자료'!$A:$T,ROW()+1,MATCH("단지명",'04A_국토부원자료'!$A$4:$T$4,0)),"")))</f>
        <v/>
      </c>
      <c r="E1635" s="172">
        <f>IFERROR(VALUE(SUBSTITUTE(INDEX('04A_국토부원자료'!$A:$T,ROW()+1,MATCH("전용면적(㎡)",'04A_국토부원자료'!$A$4:$T$4,0)),",","")),"")</f>
        <v/>
      </c>
      <c r="F16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35" s="51">
        <f>IFERROR(VALUE(SUBSTITUTE(INDEX('04A_국토부원자료'!$A:$T,ROW()+1,MATCH("거래금액(만원)",'04A_국토부원자료'!$A$4:$T$4,0)),",","")),"")</f>
        <v/>
      </c>
      <c r="H1635" s="174">
        <f>IF(G1635="","",G1635*10000)</f>
        <v/>
      </c>
      <c r="I1635" s="174">
        <f>IFERROR(IF(AND(H1635&gt;0,E1635&gt;0),H1635/E1635,""),"")</f>
        <v/>
      </c>
      <c r="J1635" s="152">
        <f>IFERROR(VALUE(SUBSTITUTE(INDEX('04A_국토부원자료'!$A:$T,ROW()+1,MATCH("층",'04A_국토부원자료'!$A$4:$T$4,0)),",","")),"")</f>
        <v/>
      </c>
      <c r="K1635" s="152">
        <f>IFERROR(VALUE(SUBSTITUTE(INDEX('04A_국토부원자료'!$A:$T,ROW()+1,MATCH("건축년도",'04A_국토부원자료'!$A$4:$T$4,0)),",","")),"")</f>
        <v/>
      </c>
      <c r="L1635" s="176">
        <f>IFERROR(INDEX('04A_국토부원자료'!$A:$T,ROW()+1,MATCH("도로명",'04A_국토부원자료'!$A$4:$T$4,0)),"")</f>
        <v/>
      </c>
      <c r="M1635" s="48">
        <f>IFERROR(INDEX('04A_국토부원자료'!$A:$T,ROW()+1,MATCH("거래유형",'04A_국토부원자료'!$A$4:$T$4,0)),"")</f>
        <v/>
      </c>
      <c r="N1635" s="152">
        <f>IF(B1635="","",IF('02_대상물건입력'!B5="",1,IF(ISNUMBER(SEARCH('02_대상물건입력'!B5,B1635)),1,0)))</f>
        <v/>
      </c>
      <c r="O1635" s="152">
        <f>IF(B1635="","",IF('02_대상물건입력'!B6="",1,IF(ISNUMBER(SEARCH('02_대상물건입력'!B6,B1635)),1,0)))</f>
        <v/>
      </c>
      <c r="P1635" s="152">
        <f>IF(L1635="","",IF('02_대상물건입력'!B15="",0,IF(ISNUMBER(SEARCH('02_대상물건입력'!B15,L1635)),1,0)))</f>
        <v/>
      </c>
      <c r="Q1635" s="152">
        <f>IF(OR(C1635="",L1635=""),0,IF(AND(TRIM(C1635)=TRIM(RIGHT(SUBSTITUTE(TRIM('02_대상물건입력'!$B$7)," ",REPT(" ",99)),99)),IF('02_대상물건입력'!B15="",TRUE(),ISNUMBER(SEARCH('02_대상물건입력'!B15,L1635)))),1,0))</f>
        <v/>
      </c>
      <c r="R1635" s="175">
        <f>IFERROR(ABS(E1635-'02_대상물건입력'!B11)/'02_대상물건입력'!B11,"")</f>
        <v/>
      </c>
      <c r="S1635" s="152">
        <f>IFERROR(ABS(J1635-'02_대상물건입력'!B10),"")</f>
        <v/>
      </c>
      <c r="T1635" s="152">
        <f>IFERROR(ABS('01_설정'!B4-F1635),"")</f>
        <v/>
      </c>
      <c r="U1635" s="152">
        <f>IFERROR(ABS(K1635-YEAR('02_대상물건입력'!B14)),"")</f>
        <v/>
      </c>
      <c r="V1635" s="152">
        <f>IF(B1635="","",IF(AND(E1635&gt;0,F1635&gt;0,H1635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1635=1,TRUE()),R1635&lt;='01_설정'!B5,S1635&lt;='01_설정'!B6,T1635&lt;='01_설정'!B7,U1635&lt;='01_설정'!B8),"Y",""))</f>
        <v/>
      </c>
      <c r="W1635" s="172">
        <f>IF(V1635&lt;&gt;"Y","",MAX(0,(1-R1635/'01_설정'!B5))*'01_설정'!B14+MAX(0,(1-S1635/'01_설정'!B6))*'01_설정'!B15+MAX(0,(1-T1635/'01_설정'!B7))*'01_설정'!B16+MAX(0,(1-U1635/'01_설정'!B8))*'01_설정'!B17+O1635*'01_설정'!B11+Q1635*'01_설정'!B12+P1635*'01_설정'!B13+IF(Z1635="",0,Z1635))</f>
        <v/>
      </c>
      <c r="X1635" s="152">
        <f>IF(W1635="","",1+COUNTIFS($W$4:$W$3003,"&gt;"&amp;W1635)+COUNTIFS($W$4:W1635,W1635)-1)</f>
        <v/>
      </c>
      <c r="Y1635" s="175">
        <f>IF(OR(I1635="",'02_대상물건입력'!B19="",'02_대상물건입력'!B19&lt;=0),"",ABS(I1635-'02_대상물건입력'!B19)/'02_대상물건입력'!B19)</f>
        <v/>
      </c>
      <c r="Z1635" s="172">
        <f>IF(OR(Y1635="",'01_설정'!B31="",'01_설정'!B31&lt;=0,'01_설정'!B32="",'01_설정'!B32&lt;=0),"",MAX(0,(1-Y1635/'01_설정'!B32))*'01_설정'!B31)</f>
        <v/>
      </c>
    </row>
    <row r="1636" ht="17.25" customHeight="1">
      <c r="A1636" s="152">
        <f>IF(INDEX('04A_국토부원자료'!$A:$A,ROW()+1)="","",ROW()-3)</f>
        <v/>
      </c>
      <c r="B1636" s="48">
        <f>IFERROR(INDEX('04A_국토부원자료'!$A:$T,ROW()+1,MATCH("시군구",'04A_국토부원자료'!$A$4:$T$4,0)),"")</f>
        <v/>
      </c>
      <c r="C1636" s="48">
        <f>IF(B1636="","",IFERROR(INDEX('04A_국토부원자료'!$A:$T,ROW()+1,MATCH("번지",'04A_국토부원자료'!$A$4:$T$4,0)),""))</f>
        <v/>
      </c>
      <c r="D1636" s="48">
        <f>IF(B1636="","",IF(Q1636=1,'02_대상물건입력'!$B$8,IFERROR(INDEX('04A_국토부원자료'!$A:$T,ROW()+1,MATCH("단지명",'04A_국토부원자료'!$A$4:$T$4,0)),"")))</f>
        <v/>
      </c>
      <c r="E1636" s="172">
        <f>IFERROR(VALUE(SUBSTITUTE(INDEX('04A_국토부원자료'!$A:$T,ROW()+1,MATCH("전용면적(㎡)",'04A_국토부원자료'!$A$4:$T$4,0)),",","")),"")</f>
        <v/>
      </c>
      <c r="F16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36" s="51">
        <f>IFERROR(VALUE(SUBSTITUTE(INDEX('04A_국토부원자료'!$A:$T,ROW()+1,MATCH("거래금액(만원)",'04A_국토부원자료'!$A$4:$T$4,0)),",","")),"")</f>
        <v/>
      </c>
      <c r="H1636" s="174">
        <f>IF(G1636="","",G1636*10000)</f>
        <v/>
      </c>
      <c r="I1636" s="174">
        <f>IFERROR(IF(AND(H1636&gt;0,E1636&gt;0),H1636/E1636,""),"")</f>
        <v/>
      </c>
      <c r="J1636" s="152">
        <f>IFERROR(VALUE(SUBSTITUTE(INDEX('04A_국토부원자료'!$A:$T,ROW()+1,MATCH("층",'04A_국토부원자료'!$A$4:$T$4,0)),",","")),"")</f>
        <v/>
      </c>
      <c r="K1636" s="152">
        <f>IFERROR(VALUE(SUBSTITUTE(INDEX('04A_국토부원자료'!$A:$T,ROW()+1,MATCH("건축년도",'04A_국토부원자료'!$A$4:$T$4,0)),",","")),"")</f>
        <v/>
      </c>
      <c r="L1636" s="176">
        <f>IFERROR(INDEX('04A_국토부원자료'!$A:$T,ROW()+1,MATCH("도로명",'04A_국토부원자료'!$A$4:$T$4,0)),"")</f>
        <v/>
      </c>
      <c r="M1636" s="48">
        <f>IFERROR(INDEX('04A_국토부원자료'!$A:$T,ROW()+1,MATCH("거래유형",'04A_국토부원자료'!$A$4:$T$4,0)),"")</f>
        <v/>
      </c>
      <c r="N1636" s="152">
        <f>IF(B1636="","",IF('02_대상물건입력'!B5="",1,IF(ISNUMBER(SEARCH('02_대상물건입력'!B5,B1636)),1,0)))</f>
        <v/>
      </c>
      <c r="O1636" s="152">
        <f>IF(B1636="","",IF('02_대상물건입력'!B6="",1,IF(ISNUMBER(SEARCH('02_대상물건입력'!B6,B1636)),1,0)))</f>
        <v/>
      </c>
      <c r="P1636" s="152">
        <f>IF(L1636="","",IF('02_대상물건입력'!B15="",0,IF(ISNUMBER(SEARCH('02_대상물건입력'!B15,L1636)),1,0)))</f>
        <v/>
      </c>
      <c r="Q1636" s="152">
        <f>IF(OR(C1636="",L1636=""),0,IF(AND(TRIM(C1636)=TRIM(RIGHT(SUBSTITUTE(TRIM('02_대상물건입력'!$B$7)," ",REPT(" ",99)),99)),IF('02_대상물건입력'!B15="",TRUE(),ISNUMBER(SEARCH('02_대상물건입력'!B15,L1636)))),1,0))</f>
        <v/>
      </c>
      <c r="R1636" s="175">
        <f>IFERROR(ABS(E1636-'02_대상물건입력'!B11)/'02_대상물건입력'!B11,"")</f>
        <v/>
      </c>
      <c r="S1636" s="152">
        <f>IFERROR(ABS(J1636-'02_대상물건입력'!B10),"")</f>
        <v/>
      </c>
      <c r="T1636" s="152">
        <f>IFERROR(ABS('01_설정'!B4-F1636),"")</f>
        <v/>
      </c>
      <c r="U1636" s="152">
        <f>IFERROR(ABS(K1636-YEAR('02_대상물건입력'!B14)),"")</f>
        <v/>
      </c>
      <c r="V1636" s="152">
        <f>IF(B1636="","",IF(AND(E1636&gt;0,F1636&gt;0,H1636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1636=1,TRUE()),R1636&lt;='01_설정'!B5,S1636&lt;='01_설정'!B6,T1636&lt;='01_설정'!B7,U1636&lt;='01_설정'!B8),"Y",""))</f>
        <v/>
      </c>
      <c r="W1636" s="172">
        <f>IF(V1636&lt;&gt;"Y","",MAX(0,(1-R1636/'01_설정'!B5))*'01_설정'!B14+MAX(0,(1-S1636/'01_설정'!B6))*'01_설정'!B15+MAX(0,(1-T1636/'01_설정'!B7))*'01_설정'!B16+MAX(0,(1-U1636/'01_설정'!B8))*'01_설정'!B17+O1636*'01_설정'!B11+Q1636*'01_설정'!B12+P1636*'01_설정'!B13+IF(Z1636="",0,Z1636))</f>
        <v/>
      </c>
      <c r="X1636" s="152">
        <f>IF(W1636="","",1+COUNTIFS($W$4:$W$3003,"&gt;"&amp;W1636)+COUNTIFS($W$4:W1636,W1636)-1)</f>
        <v/>
      </c>
      <c r="Y1636" s="175">
        <f>IF(OR(I1636="",'02_대상물건입력'!B19="",'02_대상물건입력'!B19&lt;=0),"",ABS(I1636-'02_대상물건입력'!B19)/'02_대상물건입력'!B19)</f>
        <v/>
      </c>
      <c r="Z1636" s="172">
        <f>IF(OR(Y1636="",'01_설정'!B31="",'01_설정'!B31&lt;=0,'01_설정'!B32="",'01_설정'!B32&lt;=0),"",MAX(0,(1-Y1636/'01_설정'!B32))*'01_설정'!B31)</f>
        <v/>
      </c>
    </row>
    <row r="1637" ht="17.25" customHeight="1">
      <c r="A1637" s="152">
        <f>IF(INDEX('04A_국토부원자료'!$A:$A,ROW()+1)="","",ROW()-3)</f>
        <v/>
      </c>
      <c r="B1637" s="48">
        <f>IFERROR(INDEX('04A_국토부원자료'!$A:$T,ROW()+1,MATCH("시군구",'04A_국토부원자료'!$A$4:$T$4,0)),"")</f>
        <v/>
      </c>
      <c r="C1637" s="48">
        <f>IF(B1637="","",IFERROR(INDEX('04A_국토부원자료'!$A:$T,ROW()+1,MATCH("번지",'04A_국토부원자료'!$A$4:$T$4,0)),""))</f>
        <v/>
      </c>
      <c r="D1637" s="48">
        <f>IF(B1637="","",IF(Q1637=1,'02_대상물건입력'!$B$8,IFERROR(INDEX('04A_국토부원자료'!$A:$T,ROW()+1,MATCH("단지명",'04A_국토부원자료'!$A$4:$T$4,0)),"")))</f>
        <v/>
      </c>
      <c r="E1637" s="172">
        <f>IFERROR(VALUE(SUBSTITUTE(INDEX('04A_국토부원자료'!$A:$T,ROW()+1,MATCH("전용면적(㎡)",'04A_국토부원자료'!$A$4:$T$4,0)),",","")),"")</f>
        <v/>
      </c>
      <c r="F16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37" s="51">
        <f>IFERROR(VALUE(SUBSTITUTE(INDEX('04A_국토부원자료'!$A:$T,ROW()+1,MATCH("거래금액(만원)",'04A_국토부원자료'!$A$4:$T$4,0)),",","")),"")</f>
        <v/>
      </c>
      <c r="H1637" s="174">
        <f>IF(G1637="","",G1637*10000)</f>
        <v/>
      </c>
      <c r="I1637" s="174">
        <f>IFERROR(IF(AND(H1637&gt;0,E1637&gt;0),H1637/E1637,""),"")</f>
        <v/>
      </c>
      <c r="J1637" s="152">
        <f>IFERROR(VALUE(SUBSTITUTE(INDEX('04A_국토부원자료'!$A:$T,ROW()+1,MATCH("층",'04A_국토부원자료'!$A$4:$T$4,0)),",","")),"")</f>
        <v/>
      </c>
      <c r="K1637" s="152">
        <f>IFERROR(VALUE(SUBSTITUTE(INDEX('04A_국토부원자료'!$A:$T,ROW()+1,MATCH("건축년도",'04A_국토부원자료'!$A$4:$T$4,0)),",","")),"")</f>
        <v/>
      </c>
      <c r="L1637" s="176">
        <f>IFERROR(INDEX('04A_국토부원자료'!$A:$T,ROW()+1,MATCH("도로명",'04A_국토부원자료'!$A$4:$T$4,0)),"")</f>
        <v/>
      </c>
      <c r="M1637" s="48">
        <f>IFERROR(INDEX('04A_국토부원자료'!$A:$T,ROW()+1,MATCH("거래유형",'04A_국토부원자료'!$A$4:$T$4,0)),"")</f>
        <v/>
      </c>
      <c r="N1637" s="152">
        <f>IF(B1637="","",IF('02_대상물건입력'!B5="",1,IF(ISNUMBER(SEARCH('02_대상물건입력'!B5,B1637)),1,0)))</f>
        <v/>
      </c>
      <c r="O1637" s="152">
        <f>IF(B1637="","",IF('02_대상물건입력'!B6="",1,IF(ISNUMBER(SEARCH('02_대상물건입력'!B6,B1637)),1,0)))</f>
        <v/>
      </c>
      <c r="P1637" s="152">
        <f>IF(L1637="","",IF('02_대상물건입력'!B15="",0,IF(ISNUMBER(SEARCH('02_대상물건입력'!B15,L1637)),1,0)))</f>
        <v/>
      </c>
      <c r="Q1637" s="152">
        <f>IF(OR(C1637="",L1637=""),0,IF(AND(TRIM(C1637)=TRIM(RIGHT(SUBSTITUTE(TRIM('02_대상물건입력'!$B$7)," ",REPT(" ",99)),99)),IF('02_대상물건입력'!B15="",TRUE(),ISNUMBER(SEARCH('02_대상물건입력'!B15,L1637)))),1,0))</f>
        <v/>
      </c>
      <c r="R1637" s="175">
        <f>IFERROR(ABS(E1637-'02_대상물건입력'!B11)/'02_대상물건입력'!B11,"")</f>
        <v/>
      </c>
      <c r="S1637" s="152">
        <f>IFERROR(ABS(J1637-'02_대상물건입력'!B10),"")</f>
        <v/>
      </c>
      <c r="T1637" s="152">
        <f>IFERROR(ABS('01_설정'!B4-F1637),"")</f>
        <v/>
      </c>
      <c r="U1637" s="152">
        <f>IFERROR(ABS(K1637-YEAR('02_대상물건입력'!B14)),"")</f>
        <v/>
      </c>
      <c r="V1637" s="152">
        <f>IF(B1637="","",IF(AND(E1637&gt;0,F1637&gt;0,H1637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1637=1,TRUE()),R1637&lt;='01_설정'!B5,S1637&lt;='01_설정'!B6,T1637&lt;='01_설정'!B7,U1637&lt;='01_설정'!B8),"Y",""))</f>
        <v/>
      </c>
      <c r="W1637" s="172">
        <f>IF(V1637&lt;&gt;"Y","",MAX(0,(1-R1637/'01_설정'!B5))*'01_설정'!B14+MAX(0,(1-S1637/'01_설정'!B6))*'01_설정'!B15+MAX(0,(1-T1637/'01_설정'!B7))*'01_설정'!B16+MAX(0,(1-U1637/'01_설정'!B8))*'01_설정'!B17+O1637*'01_설정'!B11+Q1637*'01_설정'!B12+P1637*'01_설정'!B13+IF(Z1637="",0,Z1637))</f>
        <v/>
      </c>
      <c r="X1637" s="152">
        <f>IF(W1637="","",1+COUNTIFS($W$4:$W$3003,"&gt;"&amp;W1637)+COUNTIFS($W$4:W1637,W1637)-1)</f>
        <v/>
      </c>
      <c r="Y1637" s="175">
        <f>IF(OR(I1637="",'02_대상물건입력'!B19="",'02_대상물건입력'!B19&lt;=0),"",ABS(I1637-'02_대상물건입력'!B19)/'02_대상물건입력'!B19)</f>
        <v/>
      </c>
      <c r="Z1637" s="172">
        <f>IF(OR(Y1637="",'01_설정'!B31="",'01_설정'!B31&lt;=0,'01_설정'!B32="",'01_설정'!B32&lt;=0),"",MAX(0,(1-Y1637/'01_설정'!B32))*'01_설정'!B31)</f>
        <v/>
      </c>
    </row>
    <row r="1638" ht="17.25" customHeight="1">
      <c r="A1638" s="152">
        <f>IF(INDEX('04A_국토부원자료'!$A:$A,ROW()+1)="","",ROW()-3)</f>
        <v/>
      </c>
      <c r="B1638" s="48">
        <f>IFERROR(INDEX('04A_국토부원자료'!$A:$T,ROW()+1,MATCH("시군구",'04A_국토부원자료'!$A$4:$T$4,0)),"")</f>
        <v/>
      </c>
      <c r="C1638" s="48">
        <f>IF(B1638="","",IFERROR(INDEX('04A_국토부원자료'!$A:$T,ROW()+1,MATCH("번지",'04A_국토부원자료'!$A$4:$T$4,0)),""))</f>
        <v/>
      </c>
      <c r="D1638" s="48">
        <f>IF(B1638="","",IF(Q1638=1,'02_대상물건입력'!$B$8,IFERROR(INDEX('04A_국토부원자료'!$A:$T,ROW()+1,MATCH("단지명",'04A_국토부원자료'!$A$4:$T$4,0)),"")))</f>
        <v/>
      </c>
      <c r="E1638" s="172">
        <f>IFERROR(VALUE(SUBSTITUTE(INDEX('04A_국토부원자료'!$A:$T,ROW()+1,MATCH("전용면적(㎡)",'04A_국토부원자료'!$A$4:$T$4,0)),",","")),"")</f>
        <v/>
      </c>
      <c r="F16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38" s="51">
        <f>IFERROR(VALUE(SUBSTITUTE(INDEX('04A_국토부원자료'!$A:$T,ROW()+1,MATCH("거래금액(만원)",'04A_국토부원자료'!$A$4:$T$4,0)),",","")),"")</f>
        <v/>
      </c>
      <c r="H1638" s="174">
        <f>IF(G1638="","",G1638*10000)</f>
        <v/>
      </c>
      <c r="I1638" s="174">
        <f>IFERROR(IF(AND(H1638&gt;0,E1638&gt;0),H1638/E1638,""),"")</f>
        <v/>
      </c>
      <c r="J1638" s="152">
        <f>IFERROR(VALUE(SUBSTITUTE(INDEX('04A_국토부원자료'!$A:$T,ROW()+1,MATCH("층",'04A_국토부원자료'!$A$4:$T$4,0)),",","")),"")</f>
        <v/>
      </c>
      <c r="K1638" s="152">
        <f>IFERROR(VALUE(SUBSTITUTE(INDEX('04A_국토부원자료'!$A:$T,ROW()+1,MATCH("건축년도",'04A_국토부원자료'!$A$4:$T$4,0)),",","")),"")</f>
        <v/>
      </c>
      <c r="L1638" s="176">
        <f>IFERROR(INDEX('04A_국토부원자료'!$A:$T,ROW()+1,MATCH("도로명",'04A_국토부원자료'!$A$4:$T$4,0)),"")</f>
        <v/>
      </c>
      <c r="M1638" s="48">
        <f>IFERROR(INDEX('04A_국토부원자료'!$A:$T,ROW()+1,MATCH("거래유형",'04A_국토부원자료'!$A$4:$T$4,0)),"")</f>
        <v/>
      </c>
      <c r="N1638" s="152">
        <f>IF(B1638="","",IF('02_대상물건입력'!B5="",1,IF(ISNUMBER(SEARCH('02_대상물건입력'!B5,B1638)),1,0)))</f>
        <v/>
      </c>
      <c r="O1638" s="152">
        <f>IF(B1638="","",IF('02_대상물건입력'!B6="",1,IF(ISNUMBER(SEARCH('02_대상물건입력'!B6,B1638)),1,0)))</f>
        <v/>
      </c>
      <c r="P1638" s="152">
        <f>IF(L1638="","",IF('02_대상물건입력'!B15="",0,IF(ISNUMBER(SEARCH('02_대상물건입력'!B15,L1638)),1,0)))</f>
        <v/>
      </c>
      <c r="Q1638" s="152">
        <f>IF(OR(C1638="",L1638=""),0,IF(AND(TRIM(C1638)=TRIM(RIGHT(SUBSTITUTE(TRIM('02_대상물건입력'!$B$7)," ",REPT(" ",99)),99)),IF('02_대상물건입력'!B15="",TRUE(),ISNUMBER(SEARCH('02_대상물건입력'!B15,L1638)))),1,0))</f>
        <v/>
      </c>
      <c r="R1638" s="175">
        <f>IFERROR(ABS(E1638-'02_대상물건입력'!B11)/'02_대상물건입력'!B11,"")</f>
        <v/>
      </c>
      <c r="S1638" s="152">
        <f>IFERROR(ABS(J1638-'02_대상물건입력'!B10),"")</f>
        <v/>
      </c>
      <c r="T1638" s="152">
        <f>IFERROR(ABS('01_설정'!B4-F1638),"")</f>
        <v/>
      </c>
      <c r="U1638" s="152">
        <f>IFERROR(ABS(K1638-YEAR('02_대상물건입력'!B14)),"")</f>
        <v/>
      </c>
      <c r="V1638" s="152">
        <f>IF(B1638="","",IF(AND(E1638&gt;0,F1638&gt;0,H1638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1638=1,TRUE()),R1638&lt;='01_설정'!B5,S1638&lt;='01_설정'!B6,T1638&lt;='01_설정'!B7,U1638&lt;='01_설정'!B8),"Y",""))</f>
        <v/>
      </c>
      <c r="W1638" s="172">
        <f>IF(V1638&lt;&gt;"Y","",MAX(0,(1-R1638/'01_설정'!B5))*'01_설정'!B14+MAX(0,(1-S1638/'01_설정'!B6))*'01_설정'!B15+MAX(0,(1-T1638/'01_설정'!B7))*'01_설정'!B16+MAX(0,(1-U1638/'01_설정'!B8))*'01_설정'!B17+O1638*'01_설정'!B11+Q1638*'01_설정'!B12+P1638*'01_설정'!B13+IF(Z1638="",0,Z1638))</f>
        <v/>
      </c>
      <c r="X1638" s="152">
        <f>IF(W1638="","",1+COUNTIFS($W$4:$W$3003,"&gt;"&amp;W1638)+COUNTIFS($W$4:W1638,W1638)-1)</f>
        <v/>
      </c>
      <c r="Y1638" s="175">
        <f>IF(OR(I1638="",'02_대상물건입력'!B19="",'02_대상물건입력'!B19&lt;=0),"",ABS(I1638-'02_대상물건입력'!B19)/'02_대상물건입력'!B19)</f>
        <v/>
      </c>
      <c r="Z1638" s="172">
        <f>IF(OR(Y1638="",'01_설정'!B31="",'01_설정'!B31&lt;=0,'01_설정'!B32="",'01_설정'!B32&lt;=0),"",MAX(0,(1-Y1638/'01_설정'!B32))*'01_설정'!B31)</f>
        <v/>
      </c>
    </row>
    <row r="1639" ht="17.25" customHeight="1">
      <c r="A1639" s="152">
        <f>IF(INDEX('04A_국토부원자료'!$A:$A,ROW()+1)="","",ROW()-3)</f>
        <v/>
      </c>
      <c r="B1639" s="48">
        <f>IFERROR(INDEX('04A_국토부원자료'!$A:$T,ROW()+1,MATCH("시군구",'04A_국토부원자료'!$A$4:$T$4,0)),"")</f>
        <v/>
      </c>
      <c r="C1639" s="48">
        <f>IF(B1639="","",IFERROR(INDEX('04A_국토부원자료'!$A:$T,ROW()+1,MATCH("번지",'04A_국토부원자료'!$A$4:$T$4,0)),""))</f>
        <v/>
      </c>
      <c r="D1639" s="48">
        <f>IF(B1639="","",IF(Q1639=1,'02_대상물건입력'!$B$8,IFERROR(INDEX('04A_국토부원자료'!$A:$T,ROW()+1,MATCH("단지명",'04A_국토부원자료'!$A$4:$T$4,0)),"")))</f>
        <v/>
      </c>
      <c r="E1639" s="172">
        <f>IFERROR(VALUE(SUBSTITUTE(INDEX('04A_국토부원자료'!$A:$T,ROW()+1,MATCH("전용면적(㎡)",'04A_국토부원자료'!$A$4:$T$4,0)),",","")),"")</f>
        <v/>
      </c>
      <c r="F16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39" s="51">
        <f>IFERROR(VALUE(SUBSTITUTE(INDEX('04A_국토부원자료'!$A:$T,ROW()+1,MATCH("거래금액(만원)",'04A_국토부원자료'!$A$4:$T$4,0)),",","")),"")</f>
        <v/>
      </c>
      <c r="H1639" s="174">
        <f>IF(G1639="","",G1639*10000)</f>
        <v/>
      </c>
      <c r="I1639" s="174">
        <f>IFERROR(IF(AND(H1639&gt;0,E1639&gt;0),H1639/E1639,""),"")</f>
        <v/>
      </c>
      <c r="J1639" s="152">
        <f>IFERROR(VALUE(SUBSTITUTE(INDEX('04A_국토부원자료'!$A:$T,ROW()+1,MATCH("층",'04A_국토부원자료'!$A$4:$T$4,0)),",","")),"")</f>
        <v/>
      </c>
      <c r="K1639" s="152">
        <f>IFERROR(VALUE(SUBSTITUTE(INDEX('04A_국토부원자료'!$A:$T,ROW()+1,MATCH("건축년도",'04A_국토부원자료'!$A$4:$T$4,0)),",","")),"")</f>
        <v/>
      </c>
      <c r="L1639" s="176">
        <f>IFERROR(INDEX('04A_국토부원자료'!$A:$T,ROW()+1,MATCH("도로명",'04A_국토부원자료'!$A$4:$T$4,0)),"")</f>
        <v/>
      </c>
      <c r="M1639" s="48">
        <f>IFERROR(INDEX('04A_국토부원자료'!$A:$T,ROW()+1,MATCH("거래유형",'04A_국토부원자료'!$A$4:$T$4,0)),"")</f>
        <v/>
      </c>
      <c r="N1639" s="152">
        <f>IF(B1639="","",IF('02_대상물건입력'!B5="",1,IF(ISNUMBER(SEARCH('02_대상물건입력'!B5,B1639)),1,0)))</f>
        <v/>
      </c>
      <c r="O1639" s="152">
        <f>IF(B1639="","",IF('02_대상물건입력'!B6="",1,IF(ISNUMBER(SEARCH('02_대상물건입력'!B6,B1639)),1,0)))</f>
        <v/>
      </c>
      <c r="P1639" s="152">
        <f>IF(L1639="","",IF('02_대상물건입력'!B15="",0,IF(ISNUMBER(SEARCH('02_대상물건입력'!B15,L1639)),1,0)))</f>
        <v/>
      </c>
      <c r="Q1639" s="152">
        <f>IF(OR(C1639="",L1639=""),0,IF(AND(TRIM(C1639)=TRIM(RIGHT(SUBSTITUTE(TRIM('02_대상물건입력'!$B$7)," ",REPT(" ",99)),99)),IF('02_대상물건입력'!B15="",TRUE(),ISNUMBER(SEARCH('02_대상물건입력'!B15,L1639)))),1,0))</f>
        <v/>
      </c>
      <c r="R1639" s="175">
        <f>IFERROR(ABS(E1639-'02_대상물건입력'!B11)/'02_대상물건입력'!B11,"")</f>
        <v/>
      </c>
      <c r="S1639" s="152">
        <f>IFERROR(ABS(J1639-'02_대상물건입력'!B10),"")</f>
        <v/>
      </c>
      <c r="T1639" s="152">
        <f>IFERROR(ABS('01_설정'!B4-F1639),"")</f>
        <v/>
      </c>
      <c r="U1639" s="152">
        <f>IFERROR(ABS(K1639-YEAR('02_대상물건입력'!B14)),"")</f>
        <v/>
      </c>
      <c r="V1639" s="152">
        <f>IF(B1639="","",IF(AND(E1639&gt;0,F1639&gt;0,H1639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1639=1,TRUE()),R1639&lt;='01_설정'!B5,S1639&lt;='01_설정'!B6,T1639&lt;='01_설정'!B7,U1639&lt;='01_설정'!B8),"Y",""))</f>
        <v/>
      </c>
      <c r="W1639" s="172">
        <f>IF(V1639&lt;&gt;"Y","",MAX(0,(1-R1639/'01_설정'!B5))*'01_설정'!B14+MAX(0,(1-S1639/'01_설정'!B6))*'01_설정'!B15+MAX(0,(1-T1639/'01_설정'!B7))*'01_설정'!B16+MAX(0,(1-U1639/'01_설정'!B8))*'01_설정'!B17+O1639*'01_설정'!B11+Q1639*'01_설정'!B12+P1639*'01_설정'!B13+IF(Z1639="",0,Z1639))</f>
        <v/>
      </c>
      <c r="X1639" s="152">
        <f>IF(W1639="","",1+COUNTIFS($W$4:$W$3003,"&gt;"&amp;W1639)+COUNTIFS($W$4:W1639,W1639)-1)</f>
        <v/>
      </c>
      <c r="Y1639" s="175">
        <f>IF(OR(I1639="",'02_대상물건입력'!B19="",'02_대상물건입력'!B19&lt;=0),"",ABS(I1639-'02_대상물건입력'!B19)/'02_대상물건입력'!B19)</f>
        <v/>
      </c>
      <c r="Z1639" s="172">
        <f>IF(OR(Y1639="",'01_설정'!B31="",'01_설정'!B31&lt;=0,'01_설정'!B32="",'01_설정'!B32&lt;=0),"",MAX(0,(1-Y1639/'01_설정'!B32))*'01_설정'!B31)</f>
        <v/>
      </c>
    </row>
    <row r="1640" ht="17.25" customHeight="1">
      <c r="A1640" s="152">
        <f>IF(INDEX('04A_국토부원자료'!$A:$A,ROW()+1)="","",ROW()-3)</f>
        <v/>
      </c>
      <c r="B1640" s="48">
        <f>IFERROR(INDEX('04A_국토부원자료'!$A:$T,ROW()+1,MATCH("시군구",'04A_국토부원자료'!$A$4:$T$4,0)),"")</f>
        <v/>
      </c>
      <c r="C1640" s="48">
        <f>IF(B1640="","",IFERROR(INDEX('04A_국토부원자료'!$A:$T,ROW()+1,MATCH("번지",'04A_국토부원자료'!$A$4:$T$4,0)),""))</f>
        <v/>
      </c>
      <c r="D1640" s="48">
        <f>IF(B1640="","",IF(Q1640=1,'02_대상물건입력'!$B$8,IFERROR(INDEX('04A_국토부원자료'!$A:$T,ROW()+1,MATCH("단지명",'04A_국토부원자료'!$A$4:$T$4,0)),"")))</f>
        <v/>
      </c>
      <c r="E1640" s="172">
        <f>IFERROR(VALUE(SUBSTITUTE(INDEX('04A_국토부원자료'!$A:$T,ROW()+1,MATCH("전용면적(㎡)",'04A_국토부원자료'!$A$4:$T$4,0)),",","")),"")</f>
        <v/>
      </c>
      <c r="F16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40" s="51">
        <f>IFERROR(VALUE(SUBSTITUTE(INDEX('04A_국토부원자료'!$A:$T,ROW()+1,MATCH("거래금액(만원)",'04A_국토부원자료'!$A$4:$T$4,0)),",","")),"")</f>
        <v/>
      </c>
      <c r="H1640" s="174">
        <f>IF(G1640="","",G1640*10000)</f>
        <v/>
      </c>
      <c r="I1640" s="174">
        <f>IFERROR(IF(AND(H1640&gt;0,E1640&gt;0),H1640/E1640,""),"")</f>
        <v/>
      </c>
      <c r="J1640" s="152">
        <f>IFERROR(VALUE(SUBSTITUTE(INDEX('04A_국토부원자료'!$A:$T,ROW()+1,MATCH("층",'04A_국토부원자료'!$A$4:$T$4,0)),",","")),"")</f>
        <v/>
      </c>
      <c r="K1640" s="152">
        <f>IFERROR(VALUE(SUBSTITUTE(INDEX('04A_국토부원자료'!$A:$T,ROW()+1,MATCH("건축년도",'04A_국토부원자료'!$A$4:$T$4,0)),",","")),"")</f>
        <v/>
      </c>
      <c r="L1640" s="176">
        <f>IFERROR(INDEX('04A_국토부원자료'!$A:$T,ROW()+1,MATCH("도로명",'04A_국토부원자료'!$A$4:$T$4,0)),"")</f>
        <v/>
      </c>
      <c r="M1640" s="48">
        <f>IFERROR(INDEX('04A_국토부원자료'!$A:$T,ROW()+1,MATCH("거래유형",'04A_국토부원자료'!$A$4:$T$4,0)),"")</f>
        <v/>
      </c>
      <c r="N1640" s="152">
        <f>IF(B1640="","",IF('02_대상물건입력'!B5="",1,IF(ISNUMBER(SEARCH('02_대상물건입력'!B5,B1640)),1,0)))</f>
        <v/>
      </c>
      <c r="O1640" s="152">
        <f>IF(B1640="","",IF('02_대상물건입력'!B6="",1,IF(ISNUMBER(SEARCH('02_대상물건입력'!B6,B1640)),1,0)))</f>
        <v/>
      </c>
      <c r="P1640" s="152">
        <f>IF(L1640="","",IF('02_대상물건입력'!B15="",0,IF(ISNUMBER(SEARCH('02_대상물건입력'!B15,L1640)),1,0)))</f>
        <v/>
      </c>
      <c r="Q1640" s="152">
        <f>IF(OR(C1640="",L1640=""),0,IF(AND(TRIM(C1640)=TRIM(RIGHT(SUBSTITUTE(TRIM('02_대상물건입력'!$B$7)," ",REPT(" ",99)),99)),IF('02_대상물건입력'!B15="",TRUE(),ISNUMBER(SEARCH('02_대상물건입력'!B15,L1640)))),1,0))</f>
        <v/>
      </c>
      <c r="R1640" s="175">
        <f>IFERROR(ABS(E1640-'02_대상물건입력'!B11)/'02_대상물건입력'!B11,"")</f>
        <v/>
      </c>
      <c r="S1640" s="152">
        <f>IFERROR(ABS(J1640-'02_대상물건입력'!B10),"")</f>
        <v/>
      </c>
      <c r="T1640" s="152">
        <f>IFERROR(ABS('01_설정'!B4-F1640),"")</f>
        <v/>
      </c>
      <c r="U1640" s="152">
        <f>IFERROR(ABS(K1640-YEAR('02_대상물건입력'!B14)),"")</f>
        <v/>
      </c>
      <c r="V1640" s="152">
        <f>IF(B1640="","",IF(AND(E1640&gt;0,F1640&gt;0,H1640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1640=1,TRUE()),R1640&lt;='01_설정'!B5,S1640&lt;='01_설정'!B6,T1640&lt;='01_설정'!B7,U1640&lt;='01_설정'!B8),"Y",""))</f>
        <v/>
      </c>
      <c r="W1640" s="172">
        <f>IF(V1640&lt;&gt;"Y","",MAX(0,(1-R1640/'01_설정'!B5))*'01_설정'!B14+MAX(0,(1-S1640/'01_설정'!B6))*'01_설정'!B15+MAX(0,(1-T1640/'01_설정'!B7))*'01_설정'!B16+MAX(0,(1-U1640/'01_설정'!B8))*'01_설정'!B17+O1640*'01_설정'!B11+Q1640*'01_설정'!B12+P1640*'01_설정'!B13+IF(Z1640="",0,Z1640))</f>
        <v/>
      </c>
      <c r="X1640" s="152">
        <f>IF(W1640="","",1+COUNTIFS($W$4:$W$3003,"&gt;"&amp;W1640)+COUNTIFS($W$4:W1640,W1640)-1)</f>
        <v/>
      </c>
      <c r="Y1640" s="175">
        <f>IF(OR(I1640="",'02_대상물건입력'!B19="",'02_대상물건입력'!B19&lt;=0),"",ABS(I1640-'02_대상물건입력'!B19)/'02_대상물건입력'!B19)</f>
        <v/>
      </c>
      <c r="Z1640" s="172">
        <f>IF(OR(Y1640="",'01_설정'!B31="",'01_설정'!B31&lt;=0,'01_설정'!B32="",'01_설정'!B32&lt;=0),"",MAX(0,(1-Y1640/'01_설정'!B32))*'01_설정'!B31)</f>
        <v/>
      </c>
    </row>
    <row r="1641" ht="17.25" customHeight="1">
      <c r="A1641" s="152">
        <f>IF(INDEX('04A_국토부원자료'!$A:$A,ROW()+1)="","",ROW()-3)</f>
        <v/>
      </c>
      <c r="B1641" s="48">
        <f>IFERROR(INDEX('04A_국토부원자료'!$A:$T,ROW()+1,MATCH("시군구",'04A_국토부원자료'!$A$4:$T$4,0)),"")</f>
        <v/>
      </c>
      <c r="C1641" s="48">
        <f>IF(B1641="","",IFERROR(INDEX('04A_국토부원자료'!$A:$T,ROW()+1,MATCH("번지",'04A_국토부원자료'!$A$4:$T$4,0)),""))</f>
        <v/>
      </c>
      <c r="D1641" s="48">
        <f>IF(B1641="","",IF(Q1641=1,'02_대상물건입력'!$B$8,IFERROR(INDEX('04A_국토부원자료'!$A:$T,ROW()+1,MATCH("단지명",'04A_국토부원자료'!$A$4:$T$4,0)),"")))</f>
        <v/>
      </c>
      <c r="E1641" s="172">
        <f>IFERROR(VALUE(SUBSTITUTE(INDEX('04A_국토부원자료'!$A:$T,ROW()+1,MATCH("전용면적(㎡)",'04A_국토부원자료'!$A$4:$T$4,0)),",","")),"")</f>
        <v/>
      </c>
      <c r="F16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41" s="51">
        <f>IFERROR(VALUE(SUBSTITUTE(INDEX('04A_국토부원자료'!$A:$T,ROW()+1,MATCH("거래금액(만원)",'04A_국토부원자료'!$A$4:$T$4,0)),",","")),"")</f>
        <v/>
      </c>
      <c r="H1641" s="174">
        <f>IF(G1641="","",G1641*10000)</f>
        <v/>
      </c>
      <c r="I1641" s="174">
        <f>IFERROR(IF(AND(H1641&gt;0,E1641&gt;0),H1641/E1641,""),"")</f>
        <v/>
      </c>
      <c r="J1641" s="152">
        <f>IFERROR(VALUE(SUBSTITUTE(INDEX('04A_국토부원자료'!$A:$T,ROW()+1,MATCH("층",'04A_국토부원자료'!$A$4:$T$4,0)),",","")),"")</f>
        <v/>
      </c>
      <c r="K1641" s="152">
        <f>IFERROR(VALUE(SUBSTITUTE(INDEX('04A_국토부원자료'!$A:$T,ROW()+1,MATCH("건축년도",'04A_국토부원자료'!$A$4:$T$4,0)),",","")),"")</f>
        <v/>
      </c>
      <c r="L1641" s="176">
        <f>IFERROR(INDEX('04A_국토부원자료'!$A:$T,ROW()+1,MATCH("도로명",'04A_국토부원자료'!$A$4:$T$4,0)),"")</f>
        <v/>
      </c>
      <c r="M1641" s="48">
        <f>IFERROR(INDEX('04A_국토부원자료'!$A:$T,ROW()+1,MATCH("거래유형",'04A_국토부원자료'!$A$4:$T$4,0)),"")</f>
        <v/>
      </c>
      <c r="N1641" s="152">
        <f>IF(B1641="","",IF('02_대상물건입력'!B5="",1,IF(ISNUMBER(SEARCH('02_대상물건입력'!B5,B1641)),1,0)))</f>
        <v/>
      </c>
      <c r="O1641" s="152">
        <f>IF(B1641="","",IF('02_대상물건입력'!B6="",1,IF(ISNUMBER(SEARCH('02_대상물건입력'!B6,B1641)),1,0)))</f>
        <v/>
      </c>
      <c r="P1641" s="152">
        <f>IF(L1641="","",IF('02_대상물건입력'!B15="",0,IF(ISNUMBER(SEARCH('02_대상물건입력'!B15,L1641)),1,0)))</f>
        <v/>
      </c>
      <c r="Q1641" s="152">
        <f>IF(OR(C1641="",L1641=""),0,IF(AND(TRIM(C1641)=TRIM(RIGHT(SUBSTITUTE(TRIM('02_대상물건입력'!$B$7)," ",REPT(" ",99)),99)),IF('02_대상물건입력'!B15="",TRUE(),ISNUMBER(SEARCH('02_대상물건입력'!B15,L1641)))),1,0))</f>
        <v/>
      </c>
      <c r="R1641" s="175">
        <f>IFERROR(ABS(E1641-'02_대상물건입력'!B11)/'02_대상물건입력'!B11,"")</f>
        <v/>
      </c>
      <c r="S1641" s="152">
        <f>IFERROR(ABS(J1641-'02_대상물건입력'!B10),"")</f>
        <v/>
      </c>
      <c r="T1641" s="152">
        <f>IFERROR(ABS('01_설정'!B4-F1641),"")</f>
        <v/>
      </c>
      <c r="U1641" s="152">
        <f>IFERROR(ABS(K1641-YEAR('02_대상물건입력'!B14)),"")</f>
        <v/>
      </c>
      <c r="V1641" s="152">
        <f>IF(B1641="","",IF(AND(E1641&gt;0,F1641&gt;0,H1641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1641=1,TRUE()),R1641&lt;='01_설정'!B5,S1641&lt;='01_설정'!B6,T1641&lt;='01_설정'!B7,U1641&lt;='01_설정'!B8),"Y",""))</f>
        <v/>
      </c>
      <c r="W1641" s="172">
        <f>IF(V1641&lt;&gt;"Y","",MAX(0,(1-R1641/'01_설정'!B5))*'01_설정'!B14+MAX(0,(1-S1641/'01_설정'!B6))*'01_설정'!B15+MAX(0,(1-T1641/'01_설정'!B7))*'01_설정'!B16+MAX(0,(1-U1641/'01_설정'!B8))*'01_설정'!B17+O1641*'01_설정'!B11+Q1641*'01_설정'!B12+P1641*'01_설정'!B13+IF(Z1641="",0,Z1641))</f>
        <v/>
      </c>
      <c r="X1641" s="152">
        <f>IF(W1641="","",1+COUNTIFS($W$4:$W$3003,"&gt;"&amp;W1641)+COUNTIFS($W$4:W1641,W1641)-1)</f>
        <v/>
      </c>
      <c r="Y1641" s="175">
        <f>IF(OR(I1641="",'02_대상물건입력'!B19="",'02_대상물건입력'!B19&lt;=0),"",ABS(I1641-'02_대상물건입력'!B19)/'02_대상물건입력'!B19)</f>
        <v/>
      </c>
      <c r="Z1641" s="172">
        <f>IF(OR(Y1641="",'01_설정'!B31="",'01_설정'!B31&lt;=0,'01_설정'!B32="",'01_설정'!B32&lt;=0),"",MAX(0,(1-Y1641/'01_설정'!B32))*'01_설정'!B31)</f>
        <v/>
      </c>
    </row>
    <row r="1642" ht="17.25" customHeight="1">
      <c r="A1642" s="152">
        <f>IF(INDEX('04A_국토부원자료'!$A:$A,ROW()+1)="","",ROW()-3)</f>
        <v/>
      </c>
      <c r="B1642" s="48">
        <f>IFERROR(INDEX('04A_국토부원자료'!$A:$T,ROW()+1,MATCH("시군구",'04A_국토부원자료'!$A$4:$T$4,0)),"")</f>
        <v/>
      </c>
      <c r="C1642" s="48">
        <f>IF(B1642="","",IFERROR(INDEX('04A_국토부원자료'!$A:$T,ROW()+1,MATCH("번지",'04A_국토부원자료'!$A$4:$T$4,0)),""))</f>
        <v/>
      </c>
      <c r="D1642" s="48">
        <f>IF(B1642="","",IF(Q1642=1,'02_대상물건입력'!$B$8,IFERROR(INDEX('04A_국토부원자료'!$A:$T,ROW()+1,MATCH("단지명",'04A_국토부원자료'!$A$4:$T$4,0)),"")))</f>
        <v/>
      </c>
      <c r="E1642" s="172">
        <f>IFERROR(VALUE(SUBSTITUTE(INDEX('04A_국토부원자료'!$A:$T,ROW()+1,MATCH("전용면적(㎡)",'04A_국토부원자료'!$A$4:$T$4,0)),",","")),"")</f>
        <v/>
      </c>
      <c r="F16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42" s="51">
        <f>IFERROR(VALUE(SUBSTITUTE(INDEX('04A_국토부원자료'!$A:$T,ROW()+1,MATCH("거래금액(만원)",'04A_국토부원자료'!$A$4:$T$4,0)),",","")),"")</f>
        <v/>
      </c>
      <c r="H1642" s="174">
        <f>IF(G1642="","",G1642*10000)</f>
        <v/>
      </c>
      <c r="I1642" s="174">
        <f>IFERROR(IF(AND(H1642&gt;0,E1642&gt;0),H1642/E1642,""),"")</f>
        <v/>
      </c>
      <c r="J1642" s="152">
        <f>IFERROR(VALUE(SUBSTITUTE(INDEX('04A_국토부원자료'!$A:$T,ROW()+1,MATCH("층",'04A_국토부원자료'!$A$4:$T$4,0)),",","")),"")</f>
        <v/>
      </c>
      <c r="K1642" s="152">
        <f>IFERROR(VALUE(SUBSTITUTE(INDEX('04A_국토부원자료'!$A:$T,ROW()+1,MATCH("건축년도",'04A_국토부원자료'!$A$4:$T$4,0)),",","")),"")</f>
        <v/>
      </c>
      <c r="L1642" s="176">
        <f>IFERROR(INDEX('04A_국토부원자료'!$A:$T,ROW()+1,MATCH("도로명",'04A_국토부원자료'!$A$4:$T$4,0)),"")</f>
        <v/>
      </c>
      <c r="M1642" s="48">
        <f>IFERROR(INDEX('04A_국토부원자료'!$A:$T,ROW()+1,MATCH("거래유형",'04A_국토부원자료'!$A$4:$T$4,0)),"")</f>
        <v/>
      </c>
      <c r="N1642" s="152">
        <f>IF(B1642="","",IF('02_대상물건입력'!B5="",1,IF(ISNUMBER(SEARCH('02_대상물건입력'!B5,B1642)),1,0)))</f>
        <v/>
      </c>
      <c r="O1642" s="152">
        <f>IF(B1642="","",IF('02_대상물건입력'!B6="",1,IF(ISNUMBER(SEARCH('02_대상물건입력'!B6,B1642)),1,0)))</f>
        <v/>
      </c>
      <c r="P1642" s="152">
        <f>IF(L1642="","",IF('02_대상물건입력'!B15="",0,IF(ISNUMBER(SEARCH('02_대상물건입력'!B15,L1642)),1,0)))</f>
        <v/>
      </c>
      <c r="Q1642" s="152">
        <f>IF(OR(C1642="",L1642=""),0,IF(AND(TRIM(C1642)=TRIM(RIGHT(SUBSTITUTE(TRIM('02_대상물건입력'!$B$7)," ",REPT(" ",99)),99)),IF('02_대상물건입력'!B15="",TRUE(),ISNUMBER(SEARCH('02_대상물건입력'!B15,L1642)))),1,0))</f>
        <v/>
      </c>
      <c r="R1642" s="175">
        <f>IFERROR(ABS(E1642-'02_대상물건입력'!B11)/'02_대상물건입력'!B11,"")</f>
        <v/>
      </c>
      <c r="S1642" s="152">
        <f>IFERROR(ABS(J1642-'02_대상물건입력'!B10),"")</f>
        <v/>
      </c>
      <c r="T1642" s="152">
        <f>IFERROR(ABS('01_설정'!B4-F1642),"")</f>
        <v/>
      </c>
      <c r="U1642" s="152">
        <f>IFERROR(ABS(K1642-YEAR('02_대상물건입력'!B14)),"")</f>
        <v/>
      </c>
      <c r="V1642" s="152">
        <f>IF(B1642="","",IF(AND(E1642&gt;0,F1642&gt;0,H1642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1642=1,TRUE()),R1642&lt;='01_설정'!B5,S1642&lt;='01_설정'!B6,T1642&lt;='01_설정'!B7,U1642&lt;='01_설정'!B8),"Y",""))</f>
        <v/>
      </c>
      <c r="W1642" s="172">
        <f>IF(V1642&lt;&gt;"Y","",MAX(0,(1-R1642/'01_설정'!B5))*'01_설정'!B14+MAX(0,(1-S1642/'01_설정'!B6))*'01_설정'!B15+MAX(0,(1-T1642/'01_설정'!B7))*'01_설정'!B16+MAX(0,(1-U1642/'01_설정'!B8))*'01_설정'!B17+O1642*'01_설정'!B11+Q1642*'01_설정'!B12+P1642*'01_설정'!B13+IF(Z1642="",0,Z1642))</f>
        <v/>
      </c>
      <c r="X1642" s="152">
        <f>IF(W1642="","",1+COUNTIFS($W$4:$W$3003,"&gt;"&amp;W1642)+COUNTIFS($W$4:W1642,W1642)-1)</f>
        <v/>
      </c>
      <c r="Y1642" s="175">
        <f>IF(OR(I1642="",'02_대상물건입력'!B19="",'02_대상물건입력'!B19&lt;=0),"",ABS(I1642-'02_대상물건입력'!B19)/'02_대상물건입력'!B19)</f>
        <v/>
      </c>
      <c r="Z1642" s="172">
        <f>IF(OR(Y1642="",'01_설정'!B31="",'01_설정'!B31&lt;=0,'01_설정'!B32="",'01_설정'!B32&lt;=0),"",MAX(0,(1-Y1642/'01_설정'!B32))*'01_설정'!B31)</f>
        <v/>
      </c>
    </row>
    <row r="1643" ht="17.25" customHeight="1">
      <c r="A1643" s="152">
        <f>IF(INDEX('04A_국토부원자료'!$A:$A,ROW()+1)="","",ROW()-3)</f>
        <v/>
      </c>
      <c r="B1643" s="48">
        <f>IFERROR(INDEX('04A_국토부원자료'!$A:$T,ROW()+1,MATCH("시군구",'04A_국토부원자료'!$A$4:$T$4,0)),"")</f>
        <v/>
      </c>
      <c r="C1643" s="48">
        <f>IF(B1643="","",IFERROR(INDEX('04A_국토부원자료'!$A:$T,ROW()+1,MATCH("번지",'04A_국토부원자료'!$A$4:$T$4,0)),""))</f>
        <v/>
      </c>
      <c r="D1643" s="48">
        <f>IF(B1643="","",IF(Q1643=1,'02_대상물건입력'!$B$8,IFERROR(INDEX('04A_국토부원자료'!$A:$T,ROW()+1,MATCH("단지명",'04A_국토부원자료'!$A$4:$T$4,0)),"")))</f>
        <v/>
      </c>
      <c r="E1643" s="172">
        <f>IFERROR(VALUE(SUBSTITUTE(INDEX('04A_국토부원자료'!$A:$T,ROW()+1,MATCH("전용면적(㎡)",'04A_국토부원자료'!$A$4:$T$4,0)),",","")),"")</f>
        <v/>
      </c>
      <c r="F16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43" s="51">
        <f>IFERROR(VALUE(SUBSTITUTE(INDEX('04A_국토부원자료'!$A:$T,ROW()+1,MATCH("거래금액(만원)",'04A_국토부원자료'!$A$4:$T$4,0)),",","")),"")</f>
        <v/>
      </c>
      <c r="H1643" s="174">
        <f>IF(G1643="","",G1643*10000)</f>
        <v/>
      </c>
      <c r="I1643" s="174">
        <f>IFERROR(IF(AND(H1643&gt;0,E1643&gt;0),H1643/E1643,""),"")</f>
        <v/>
      </c>
      <c r="J1643" s="152">
        <f>IFERROR(VALUE(SUBSTITUTE(INDEX('04A_국토부원자료'!$A:$T,ROW()+1,MATCH("층",'04A_국토부원자료'!$A$4:$T$4,0)),",","")),"")</f>
        <v/>
      </c>
      <c r="K1643" s="152">
        <f>IFERROR(VALUE(SUBSTITUTE(INDEX('04A_국토부원자료'!$A:$T,ROW()+1,MATCH("건축년도",'04A_국토부원자료'!$A$4:$T$4,0)),",","")),"")</f>
        <v/>
      </c>
      <c r="L1643" s="176">
        <f>IFERROR(INDEX('04A_국토부원자료'!$A:$T,ROW()+1,MATCH("도로명",'04A_국토부원자료'!$A$4:$T$4,0)),"")</f>
        <v/>
      </c>
      <c r="M1643" s="48">
        <f>IFERROR(INDEX('04A_국토부원자료'!$A:$T,ROW()+1,MATCH("거래유형",'04A_국토부원자료'!$A$4:$T$4,0)),"")</f>
        <v/>
      </c>
      <c r="N1643" s="152">
        <f>IF(B1643="","",IF('02_대상물건입력'!B5="",1,IF(ISNUMBER(SEARCH('02_대상물건입력'!B5,B1643)),1,0)))</f>
        <v/>
      </c>
      <c r="O1643" s="152">
        <f>IF(B1643="","",IF('02_대상물건입력'!B6="",1,IF(ISNUMBER(SEARCH('02_대상물건입력'!B6,B1643)),1,0)))</f>
        <v/>
      </c>
      <c r="P1643" s="152">
        <f>IF(L1643="","",IF('02_대상물건입력'!B15="",0,IF(ISNUMBER(SEARCH('02_대상물건입력'!B15,L1643)),1,0)))</f>
        <v/>
      </c>
      <c r="Q1643" s="152">
        <f>IF(OR(C1643="",L1643=""),0,IF(AND(TRIM(C1643)=TRIM(RIGHT(SUBSTITUTE(TRIM('02_대상물건입력'!$B$7)," ",REPT(" ",99)),99)),IF('02_대상물건입력'!B15="",TRUE(),ISNUMBER(SEARCH('02_대상물건입력'!B15,L1643)))),1,0))</f>
        <v/>
      </c>
      <c r="R1643" s="175">
        <f>IFERROR(ABS(E1643-'02_대상물건입력'!B11)/'02_대상물건입력'!B11,"")</f>
        <v/>
      </c>
      <c r="S1643" s="152">
        <f>IFERROR(ABS(J1643-'02_대상물건입력'!B10),"")</f>
        <v/>
      </c>
      <c r="T1643" s="152">
        <f>IFERROR(ABS('01_설정'!B4-F1643),"")</f>
        <v/>
      </c>
      <c r="U1643" s="152">
        <f>IFERROR(ABS(K1643-YEAR('02_대상물건입력'!B14)),"")</f>
        <v/>
      </c>
      <c r="V1643" s="152">
        <f>IF(B1643="","",IF(AND(E1643&gt;0,F1643&gt;0,H1643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1643=1,TRUE()),R1643&lt;='01_설정'!B5,S1643&lt;='01_설정'!B6,T1643&lt;='01_설정'!B7,U1643&lt;='01_설정'!B8),"Y",""))</f>
        <v/>
      </c>
      <c r="W1643" s="172">
        <f>IF(V1643&lt;&gt;"Y","",MAX(0,(1-R1643/'01_설정'!B5))*'01_설정'!B14+MAX(0,(1-S1643/'01_설정'!B6))*'01_설정'!B15+MAX(0,(1-T1643/'01_설정'!B7))*'01_설정'!B16+MAX(0,(1-U1643/'01_설정'!B8))*'01_설정'!B17+O1643*'01_설정'!B11+Q1643*'01_설정'!B12+P1643*'01_설정'!B13+IF(Z1643="",0,Z1643))</f>
        <v/>
      </c>
      <c r="X1643" s="152">
        <f>IF(W1643="","",1+COUNTIFS($W$4:$W$3003,"&gt;"&amp;W1643)+COUNTIFS($W$4:W1643,W1643)-1)</f>
        <v/>
      </c>
      <c r="Y1643" s="175">
        <f>IF(OR(I1643="",'02_대상물건입력'!B19="",'02_대상물건입력'!B19&lt;=0),"",ABS(I1643-'02_대상물건입력'!B19)/'02_대상물건입력'!B19)</f>
        <v/>
      </c>
      <c r="Z1643" s="172">
        <f>IF(OR(Y1643="",'01_설정'!B31="",'01_설정'!B31&lt;=0,'01_설정'!B32="",'01_설정'!B32&lt;=0),"",MAX(0,(1-Y1643/'01_설정'!B32))*'01_설정'!B31)</f>
        <v/>
      </c>
    </row>
    <row r="1644" ht="17.25" customHeight="1">
      <c r="A1644" s="152">
        <f>IF(INDEX('04A_국토부원자료'!$A:$A,ROW()+1)="","",ROW()-3)</f>
        <v/>
      </c>
      <c r="B1644" s="48">
        <f>IFERROR(INDEX('04A_국토부원자료'!$A:$T,ROW()+1,MATCH("시군구",'04A_국토부원자료'!$A$4:$T$4,0)),"")</f>
        <v/>
      </c>
      <c r="C1644" s="48">
        <f>IF(B1644="","",IFERROR(INDEX('04A_국토부원자료'!$A:$T,ROW()+1,MATCH("번지",'04A_국토부원자료'!$A$4:$T$4,0)),""))</f>
        <v/>
      </c>
      <c r="D1644" s="48">
        <f>IF(B1644="","",IF(Q1644=1,'02_대상물건입력'!$B$8,IFERROR(INDEX('04A_국토부원자료'!$A:$T,ROW()+1,MATCH("단지명",'04A_국토부원자료'!$A$4:$T$4,0)),"")))</f>
        <v/>
      </c>
      <c r="E1644" s="172">
        <f>IFERROR(VALUE(SUBSTITUTE(INDEX('04A_국토부원자료'!$A:$T,ROW()+1,MATCH("전용면적(㎡)",'04A_국토부원자료'!$A$4:$T$4,0)),",","")),"")</f>
        <v/>
      </c>
      <c r="F16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44" s="51">
        <f>IFERROR(VALUE(SUBSTITUTE(INDEX('04A_국토부원자료'!$A:$T,ROW()+1,MATCH("거래금액(만원)",'04A_국토부원자료'!$A$4:$T$4,0)),",","")),"")</f>
        <v/>
      </c>
      <c r="H1644" s="174">
        <f>IF(G1644="","",G1644*10000)</f>
        <v/>
      </c>
      <c r="I1644" s="174">
        <f>IFERROR(IF(AND(H1644&gt;0,E1644&gt;0),H1644/E1644,""),"")</f>
        <v/>
      </c>
      <c r="J1644" s="152">
        <f>IFERROR(VALUE(SUBSTITUTE(INDEX('04A_국토부원자료'!$A:$T,ROW()+1,MATCH("층",'04A_국토부원자료'!$A$4:$T$4,0)),",","")),"")</f>
        <v/>
      </c>
      <c r="K1644" s="152">
        <f>IFERROR(VALUE(SUBSTITUTE(INDEX('04A_국토부원자료'!$A:$T,ROW()+1,MATCH("건축년도",'04A_국토부원자료'!$A$4:$T$4,0)),",","")),"")</f>
        <v/>
      </c>
      <c r="L1644" s="176">
        <f>IFERROR(INDEX('04A_국토부원자료'!$A:$T,ROW()+1,MATCH("도로명",'04A_국토부원자료'!$A$4:$T$4,0)),"")</f>
        <v/>
      </c>
      <c r="M1644" s="48">
        <f>IFERROR(INDEX('04A_국토부원자료'!$A:$T,ROW()+1,MATCH("거래유형",'04A_국토부원자료'!$A$4:$T$4,0)),"")</f>
        <v/>
      </c>
      <c r="N1644" s="152">
        <f>IF(B1644="","",IF('02_대상물건입력'!B5="",1,IF(ISNUMBER(SEARCH('02_대상물건입력'!B5,B1644)),1,0)))</f>
        <v/>
      </c>
      <c r="O1644" s="152">
        <f>IF(B1644="","",IF('02_대상물건입력'!B6="",1,IF(ISNUMBER(SEARCH('02_대상물건입력'!B6,B1644)),1,0)))</f>
        <v/>
      </c>
      <c r="P1644" s="152">
        <f>IF(L1644="","",IF('02_대상물건입력'!B15="",0,IF(ISNUMBER(SEARCH('02_대상물건입력'!B15,L1644)),1,0)))</f>
        <v/>
      </c>
      <c r="Q1644" s="152">
        <f>IF(OR(C1644="",L1644=""),0,IF(AND(TRIM(C1644)=TRIM(RIGHT(SUBSTITUTE(TRIM('02_대상물건입력'!$B$7)," ",REPT(" ",99)),99)),IF('02_대상물건입력'!B15="",TRUE(),ISNUMBER(SEARCH('02_대상물건입력'!B15,L1644)))),1,0))</f>
        <v/>
      </c>
      <c r="R1644" s="175">
        <f>IFERROR(ABS(E1644-'02_대상물건입력'!B11)/'02_대상물건입력'!B11,"")</f>
        <v/>
      </c>
      <c r="S1644" s="152">
        <f>IFERROR(ABS(J1644-'02_대상물건입력'!B10),"")</f>
        <v/>
      </c>
      <c r="T1644" s="152">
        <f>IFERROR(ABS('01_설정'!B4-F1644),"")</f>
        <v/>
      </c>
      <c r="U1644" s="152">
        <f>IFERROR(ABS(K1644-YEAR('02_대상물건입력'!B14)),"")</f>
        <v/>
      </c>
      <c r="V1644" s="152">
        <f>IF(B1644="","",IF(AND(E1644&gt;0,F1644&gt;0,H1644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1644=1,TRUE()),R1644&lt;='01_설정'!B5,S1644&lt;='01_설정'!B6,T1644&lt;='01_설정'!B7,U1644&lt;='01_설정'!B8),"Y",""))</f>
        <v/>
      </c>
      <c r="W1644" s="172">
        <f>IF(V1644&lt;&gt;"Y","",MAX(0,(1-R1644/'01_설정'!B5))*'01_설정'!B14+MAX(0,(1-S1644/'01_설정'!B6))*'01_설정'!B15+MAX(0,(1-T1644/'01_설정'!B7))*'01_설정'!B16+MAX(0,(1-U1644/'01_설정'!B8))*'01_설정'!B17+O1644*'01_설정'!B11+Q1644*'01_설정'!B12+P1644*'01_설정'!B13+IF(Z1644="",0,Z1644))</f>
        <v/>
      </c>
      <c r="X1644" s="152">
        <f>IF(W1644="","",1+COUNTIFS($W$4:$W$3003,"&gt;"&amp;W1644)+COUNTIFS($W$4:W1644,W1644)-1)</f>
        <v/>
      </c>
      <c r="Y1644" s="175">
        <f>IF(OR(I1644="",'02_대상물건입력'!B19="",'02_대상물건입력'!B19&lt;=0),"",ABS(I1644-'02_대상물건입력'!B19)/'02_대상물건입력'!B19)</f>
        <v/>
      </c>
      <c r="Z1644" s="172">
        <f>IF(OR(Y1644="",'01_설정'!B31="",'01_설정'!B31&lt;=0,'01_설정'!B32="",'01_설정'!B32&lt;=0),"",MAX(0,(1-Y1644/'01_설정'!B32))*'01_설정'!B31)</f>
        <v/>
      </c>
    </row>
    <row r="1645" ht="17.25" customHeight="1">
      <c r="A1645" s="152">
        <f>IF(INDEX('04A_국토부원자료'!$A:$A,ROW()+1)="","",ROW()-3)</f>
        <v/>
      </c>
      <c r="B1645" s="48">
        <f>IFERROR(INDEX('04A_국토부원자료'!$A:$T,ROW()+1,MATCH("시군구",'04A_국토부원자료'!$A$4:$T$4,0)),"")</f>
        <v/>
      </c>
      <c r="C1645" s="48">
        <f>IF(B1645="","",IFERROR(INDEX('04A_국토부원자료'!$A:$T,ROW()+1,MATCH("번지",'04A_국토부원자료'!$A$4:$T$4,0)),""))</f>
        <v/>
      </c>
      <c r="D1645" s="48">
        <f>IF(B1645="","",IF(Q1645=1,'02_대상물건입력'!$B$8,IFERROR(INDEX('04A_국토부원자료'!$A:$T,ROW()+1,MATCH("단지명",'04A_국토부원자료'!$A$4:$T$4,0)),"")))</f>
        <v/>
      </c>
      <c r="E1645" s="172">
        <f>IFERROR(VALUE(SUBSTITUTE(INDEX('04A_국토부원자료'!$A:$T,ROW()+1,MATCH("전용면적(㎡)",'04A_국토부원자료'!$A$4:$T$4,0)),",","")),"")</f>
        <v/>
      </c>
      <c r="F16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45" s="51">
        <f>IFERROR(VALUE(SUBSTITUTE(INDEX('04A_국토부원자료'!$A:$T,ROW()+1,MATCH("거래금액(만원)",'04A_국토부원자료'!$A$4:$T$4,0)),",","")),"")</f>
        <v/>
      </c>
      <c r="H1645" s="174">
        <f>IF(G1645="","",G1645*10000)</f>
        <v/>
      </c>
      <c r="I1645" s="174">
        <f>IFERROR(IF(AND(H1645&gt;0,E1645&gt;0),H1645/E1645,""),"")</f>
        <v/>
      </c>
      <c r="J1645" s="152">
        <f>IFERROR(VALUE(SUBSTITUTE(INDEX('04A_국토부원자료'!$A:$T,ROW()+1,MATCH("층",'04A_국토부원자료'!$A$4:$T$4,0)),",","")),"")</f>
        <v/>
      </c>
      <c r="K1645" s="152">
        <f>IFERROR(VALUE(SUBSTITUTE(INDEX('04A_국토부원자료'!$A:$T,ROW()+1,MATCH("건축년도",'04A_국토부원자료'!$A$4:$T$4,0)),",","")),"")</f>
        <v/>
      </c>
      <c r="L1645" s="176">
        <f>IFERROR(INDEX('04A_국토부원자료'!$A:$T,ROW()+1,MATCH("도로명",'04A_국토부원자료'!$A$4:$T$4,0)),"")</f>
        <v/>
      </c>
      <c r="M1645" s="48">
        <f>IFERROR(INDEX('04A_국토부원자료'!$A:$T,ROW()+1,MATCH("거래유형",'04A_국토부원자료'!$A$4:$T$4,0)),"")</f>
        <v/>
      </c>
      <c r="N1645" s="152">
        <f>IF(B1645="","",IF('02_대상물건입력'!B5="",1,IF(ISNUMBER(SEARCH('02_대상물건입력'!B5,B1645)),1,0)))</f>
        <v/>
      </c>
      <c r="O1645" s="152">
        <f>IF(B1645="","",IF('02_대상물건입력'!B6="",1,IF(ISNUMBER(SEARCH('02_대상물건입력'!B6,B1645)),1,0)))</f>
        <v/>
      </c>
      <c r="P1645" s="152">
        <f>IF(L1645="","",IF('02_대상물건입력'!B15="",0,IF(ISNUMBER(SEARCH('02_대상물건입력'!B15,L1645)),1,0)))</f>
        <v/>
      </c>
      <c r="Q1645" s="152">
        <f>IF(OR(C1645="",L1645=""),0,IF(AND(TRIM(C1645)=TRIM(RIGHT(SUBSTITUTE(TRIM('02_대상물건입력'!$B$7)," ",REPT(" ",99)),99)),IF('02_대상물건입력'!B15="",TRUE(),ISNUMBER(SEARCH('02_대상물건입력'!B15,L1645)))),1,0))</f>
        <v/>
      </c>
      <c r="R1645" s="175">
        <f>IFERROR(ABS(E1645-'02_대상물건입력'!B11)/'02_대상물건입력'!B11,"")</f>
        <v/>
      </c>
      <c r="S1645" s="152">
        <f>IFERROR(ABS(J1645-'02_대상물건입력'!B10),"")</f>
        <v/>
      </c>
      <c r="T1645" s="152">
        <f>IFERROR(ABS('01_설정'!B4-F1645),"")</f>
        <v/>
      </c>
      <c r="U1645" s="152">
        <f>IFERROR(ABS(K1645-YEAR('02_대상물건입력'!B14)),"")</f>
        <v/>
      </c>
      <c r="V1645" s="152">
        <f>IF(B1645="","",IF(AND(E1645&gt;0,F1645&gt;0,H1645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1645=1,TRUE()),R1645&lt;='01_설정'!B5,S1645&lt;='01_설정'!B6,T1645&lt;='01_설정'!B7,U1645&lt;='01_설정'!B8),"Y",""))</f>
        <v/>
      </c>
      <c r="W1645" s="172">
        <f>IF(V1645&lt;&gt;"Y","",MAX(0,(1-R1645/'01_설정'!B5))*'01_설정'!B14+MAX(0,(1-S1645/'01_설정'!B6))*'01_설정'!B15+MAX(0,(1-T1645/'01_설정'!B7))*'01_설정'!B16+MAX(0,(1-U1645/'01_설정'!B8))*'01_설정'!B17+O1645*'01_설정'!B11+Q1645*'01_설정'!B12+P1645*'01_설정'!B13+IF(Z1645="",0,Z1645))</f>
        <v/>
      </c>
      <c r="X1645" s="152">
        <f>IF(W1645="","",1+COUNTIFS($W$4:$W$3003,"&gt;"&amp;W1645)+COUNTIFS($W$4:W1645,W1645)-1)</f>
        <v/>
      </c>
      <c r="Y1645" s="175">
        <f>IF(OR(I1645="",'02_대상물건입력'!B19="",'02_대상물건입력'!B19&lt;=0),"",ABS(I1645-'02_대상물건입력'!B19)/'02_대상물건입력'!B19)</f>
        <v/>
      </c>
      <c r="Z1645" s="172">
        <f>IF(OR(Y1645="",'01_설정'!B31="",'01_설정'!B31&lt;=0,'01_설정'!B32="",'01_설정'!B32&lt;=0),"",MAX(0,(1-Y1645/'01_설정'!B32))*'01_설정'!B31)</f>
        <v/>
      </c>
    </row>
    <row r="1646" ht="17.25" customHeight="1">
      <c r="A1646" s="152">
        <f>IF(INDEX('04A_국토부원자료'!$A:$A,ROW()+1)="","",ROW()-3)</f>
        <v/>
      </c>
      <c r="B1646" s="48">
        <f>IFERROR(INDEX('04A_국토부원자료'!$A:$T,ROW()+1,MATCH("시군구",'04A_국토부원자료'!$A$4:$T$4,0)),"")</f>
        <v/>
      </c>
      <c r="C1646" s="48">
        <f>IF(B1646="","",IFERROR(INDEX('04A_국토부원자료'!$A:$T,ROW()+1,MATCH("번지",'04A_국토부원자료'!$A$4:$T$4,0)),""))</f>
        <v/>
      </c>
      <c r="D1646" s="48">
        <f>IF(B1646="","",IF(Q1646=1,'02_대상물건입력'!$B$8,IFERROR(INDEX('04A_국토부원자료'!$A:$T,ROW()+1,MATCH("단지명",'04A_국토부원자료'!$A$4:$T$4,0)),"")))</f>
        <v/>
      </c>
      <c r="E1646" s="172">
        <f>IFERROR(VALUE(SUBSTITUTE(INDEX('04A_국토부원자료'!$A:$T,ROW()+1,MATCH("전용면적(㎡)",'04A_국토부원자료'!$A$4:$T$4,0)),",","")),"")</f>
        <v/>
      </c>
      <c r="F16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46" s="51">
        <f>IFERROR(VALUE(SUBSTITUTE(INDEX('04A_국토부원자료'!$A:$T,ROW()+1,MATCH("거래금액(만원)",'04A_국토부원자료'!$A$4:$T$4,0)),",","")),"")</f>
        <v/>
      </c>
      <c r="H1646" s="174">
        <f>IF(G1646="","",G1646*10000)</f>
        <v/>
      </c>
      <c r="I1646" s="174">
        <f>IFERROR(IF(AND(H1646&gt;0,E1646&gt;0),H1646/E1646,""),"")</f>
        <v/>
      </c>
      <c r="J1646" s="152">
        <f>IFERROR(VALUE(SUBSTITUTE(INDEX('04A_국토부원자료'!$A:$T,ROW()+1,MATCH("층",'04A_국토부원자료'!$A$4:$T$4,0)),",","")),"")</f>
        <v/>
      </c>
      <c r="K1646" s="152">
        <f>IFERROR(VALUE(SUBSTITUTE(INDEX('04A_국토부원자료'!$A:$T,ROW()+1,MATCH("건축년도",'04A_국토부원자료'!$A$4:$T$4,0)),",","")),"")</f>
        <v/>
      </c>
      <c r="L1646" s="176">
        <f>IFERROR(INDEX('04A_국토부원자료'!$A:$T,ROW()+1,MATCH("도로명",'04A_국토부원자료'!$A$4:$T$4,0)),"")</f>
        <v/>
      </c>
      <c r="M1646" s="48">
        <f>IFERROR(INDEX('04A_국토부원자료'!$A:$T,ROW()+1,MATCH("거래유형",'04A_국토부원자료'!$A$4:$T$4,0)),"")</f>
        <v/>
      </c>
      <c r="N1646" s="152">
        <f>IF(B1646="","",IF('02_대상물건입력'!B5="",1,IF(ISNUMBER(SEARCH('02_대상물건입력'!B5,B1646)),1,0)))</f>
        <v/>
      </c>
      <c r="O1646" s="152">
        <f>IF(B1646="","",IF('02_대상물건입력'!B6="",1,IF(ISNUMBER(SEARCH('02_대상물건입력'!B6,B1646)),1,0)))</f>
        <v/>
      </c>
      <c r="P1646" s="152">
        <f>IF(L1646="","",IF('02_대상물건입력'!B15="",0,IF(ISNUMBER(SEARCH('02_대상물건입력'!B15,L1646)),1,0)))</f>
        <v/>
      </c>
      <c r="Q1646" s="152">
        <f>IF(OR(C1646="",L1646=""),0,IF(AND(TRIM(C1646)=TRIM(RIGHT(SUBSTITUTE(TRIM('02_대상물건입력'!$B$7)," ",REPT(" ",99)),99)),IF('02_대상물건입력'!B15="",TRUE(),ISNUMBER(SEARCH('02_대상물건입력'!B15,L1646)))),1,0))</f>
        <v/>
      </c>
      <c r="R1646" s="175">
        <f>IFERROR(ABS(E1646-'02_대상물건입력'!B11)/'02_대상물건입력'!B11,"")</f>
        <v/>
      </c>
      <c r="S1646" s="152">
        <f>IFERROR(ABS(J1646-'02_대상물건입력'!B10),"")</f>
        <v/>
      </c>
      <c r="T1646" s="152">
        <f>IFERROR(ABS('01_설정'!B4-F1646),"")</f>
        <v/>
      </c>
      <c r="U1646" s="152">
        <f>IFERROR(ABS(K1646-YEAR('02_대상물건입력'!B14)),"")</f>
        <v/>
      </c>
      <c r="V1646" s="152">
        <f>IF(B1646="","",IF(AND(E1646&gt;0,F1646&gt;0,H1646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1646=1,TRUE()),R1646&lt;='01_설정'!B5,S1646&lt;='01_설정'!B6,T1646&lt;='01_설정'!B7,U1646&lt;='01_설정'!B8),"Y",""))</f>
        <v/>
      </c>
      <c r="W1646" s="172">
        <f>IF(V1646&lt;&gt;"Y","",MAX(0,(1-R1646/'01_설정'!B5))*'01_설정'!B14+MAX(0,(1-S1646/'01_설정'!B6))*'01_설정'!B15+MAX(0,(1-T1646/'01_설정'!B7))*'01_설정'!B16+MAX(0,(1-U1646/'01_설정'!B8))*'01_설정'!B17+O1646*'01_설정'!B11+Q1646*'01_설정'!B12+P1646*'01_설정'!B13+IF(Z1646="",0,Z1646))</f>
        <v/>
      </c>
      <c r="X1646" s="152">
        <f>IF(W1646="","",1+COUNTIFS($W$4:$W$3003,"&gt;"&amp;W1646)+COUNTIFS($W$4:W1646,W1646)-1)</f>
        <v/>
      </c>
      <c r="Y1646" s="175">
        <f>IF(OR(I1646="",'02_대상물건입력'!B19="",'02_대상물건입력'!B19&lt;=0),"",ABS(I1646-'02_대상물건입력'!B19)/'02_대상물건입력'!B19)</f>
        <v/>
      </c>
      <c r="Z1646" s="172">
        <f>IF(OR(Y1646="",'01_설정'!B31="",'01_설정'!B31&lt;=0,'01_설정'!B32="",'01_설정'!B32&lt;=0),"",MAX(0,(1-Y1646/'01_설정'!B32))*'01_설정'!B31)</f>
        <v/>
      </c>
    </row>
    <row r="1647" ht="17.25" customHeight="1">
      <c r="A1647" s="152">
        <f>IF(INDEX('04A_국토부원자료'!$A:$A,ROW()+1)="","",ROW()-3)</f>
        <v/>
      </c>
      <c r="B1647" s="48">
        <f>IFERROR(INDEX('04A_국토부원자료'!$A:$T,ROW()+1,MATCH("시군구",'04A_국토부원자료'!$A$4:$T$4,0)),"")</f>
        <v/>
      </c>
      <c r="C1647" s="48">
        <f>IF(B1647="","",IFERROR(INDEX('04A_국토부원자료'!$A:$T,ROW()+1,MATCH("번지",'04A_국토부원자료'!$A$4:$T$4,0)),""))</f>
        <v/>
      </c>
      <c r="D1647" s="48">
        <f>IF(B1647="","",IF(Q1647=1,'02_대상물건입력'!$B$8,IFERROR(INDEX('04A_국토부원자료'!$A:$T,ROW()+1,MATCH("단지명",'04A_국토부원자료'!$A$4:$T$4,0)),"")))</f>
        <v/>
      </c>
      <c r="E1647" s="172">
        <f>IFERROR(VALUE(SUBSTITUTE(INDEX('04A_국토부원자료'!$A:$T,ROW()+1,MATCH("전용면적(㎡)",'04A_국토부원자료'!$A$4:$T$4,0)),",","")),"")</f>
        <v/>
      </c>
      <c r="F16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47" s="51">
        <f>IFERROR(VALUE(SUBSTITUTE(INDEX('04A_국토부원자료'!$A:$T,ROW()+1,MATCH("거래금액(만원)",'04A_국토부원자료'!$A$4:$T$4,0)),",","")),"")</f>
        <v/>
      </c>
      <c r="H1647" s="174">
        <f>IF(G1647="","",G1647*10000)</f>
        <v/>
      </c>
      <c r="I1647" s="174">
        <f>IFERROR(IF(AND(H1647&gt;0,E1647&gt;0),H1647/E1647,""),"")</f>
        <v/>
      </c>
      <c r="J1647" s="152">
        <f>IFERROR(VALUE(SUBSTITUTE(INDEX('04A_국토부원자료'!$A:$T,ROW()+1,MATCH("층",'04A_국토부원자료'!$A$4:$T$4,0)),",","")),"")</f>
        <v/>
      </c>
      <c r="K1647" s="152">
        <f>IFERROR(VALUE(SUBSTITUTE(INDEX('04A_국토부원자료'!$A:$T,ROW()+1,MATCH("건축년도",'04A_국토부원자료'!$A$4:$T$4,0)),",","")),"")</f>
        <v/>
      </c>
      <c r="L1647" s="176">
        <f>IFERROR(INDEX('04A_국토부원자료'!$A:$T,ROW()+1,MATCH("도로명",'04A_국토부원자료'!$A$4:$T$4,0)),"")</f>
        <v/>
      </c>
      <c r="M1647" s="48">
        <f>IFERROR(INDEX('04A_국토부원자료'!$A:$T,ROW()+1,MATCH("거래유형",'04A_국토부원자료'!$A$4:$T$4,0)),"")</f>
        <v/>
      </c>
      <c r="N1647" s="152">
        <f>IF(B1647="","",IF('02_대상물건입력'!B5="",1,IF(ISNUMBER(SEARCH('02_대상물건입력'!B5,B1647)),1,0)))</f>
        <v/>
      </c>
      <c r="O1647" s="152">
        <f>IF(B1647="","",IF('02_대상물건입력'!B6="",1,IF(ISNUMBER(SEARCH('02_대상물건입력'!B6,B1647)),1,0)))</f>
        <v/>
      </c>
      <c r="P1647" s="152">
        <f>IF(L1647="","",IF('02_대상물건입력'!B15="",0,IF(ISNUMBER(SEARCH('02_대상물건입력'!B15,L1647)),1,0)))</f>
        <v/>
      </c>
      <c r="Q1647" s="152">
        <f>IF(OR(C1647="",L1647=""),0,IF(AND(TRIM(C1647)=TRIM(RIGHT(SUBSTITUTE(TRIM('02_대상물건입력'!$B$7)," ",REPT(" ",99)),99)),IF('02_대상물건입력'!B15="",TRUE(),ISNUMBER(SEARCH('02_대상물건입력'!B15,L1647)))),1,0))</f>
        <v/>
      </c>
      <c r="R1647" s="175">
        <f>IFERROR(ABS(E1647-'02_대상물건입력'!B11)/'02_대상물건입력'!B11,"")</f>
        <v/>
      </c>
      <c r="S1647" s="152">
        <f>IFERROR(ABS(J1647-'02_대상물건입력'!B10),"")</f>
        <v/>
      </c>
      <c r="T1647" s="152">
        <f>IFERROR(ABS('01_설정'!B4-F1647),"")</f>
        <v/>
      </c>
      <c r="U1647" s="152">
        <f>IFERROR(ABS(K1647-YEAR('02_대상물건입력'!B14)),"")</f>
        <v/>
      </c>
      <c r="V1647" s="152">
        <f>IF(B1647="","",IF(AND(E1647&gt;0,F1647&gt;0,H1647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1647=1,TRUE()),R1647&lt;='01_설정'!B5,S1647&lt;='01_설정'!B6,T1647&lt;='01_설정'!B7,U1647&lt;='01_설정'!B8),"Y",""))</f>
        <v/>
      </c>
      <c r="W1647" s="172">
        <f>IF(V1647&lt;&gt;"Y","",MAX(0,(1-R1647/'01_설정'!B5))*'01_설정'!B14+MAX(0,(1-S1647/'01_설정'!B6))*'01_설정'!B15+MAX(0,(1-T1647/'01_설정'!B7))*'01_설정'!B16+MAX(0,(1-U1647/'01_설정'!B8))*'01_설정'!B17+O1647*'01_설정'!B11+Q1647*'01_설정'!B12+P1647*'01_설정'!B13+IF(Z1647="",0,Z1647))</f>
        <v/>
      </c>
      <c r="X1647" s="152">
        <f>IF(W1647="","",1+COUNTIFS($W$4:$W$3003,"&gt;"&amp;W1647)+COUNTIFS($W$4:W1647,W1647)-1)</f>
        <v/>
      </c>
      <c r="Y1647" s="175">
        <f>IF(OR(I1647="",'02_대상물건입력'!B19="",'02_대상물건입력'!B19&lt;=0),"",ABS(I1647-'02_대상물건입력'!B19)/'02_대상물건입력'!B19)</f>
        <v/>
      </c>
      <c r="Z1647" s="172">
        <f>IF(OR(Y1647="",'01_설정'!B31="",'01_설정'!B31&lt;=0,'01_설정'!B32="",'01_설정'!B32&lt;=0),"",MAX(0,(1-Y1647/'01_설정'!B32))*'01_설정'!B31)</f>
        <v/>
      </c>
    </row>
    <row r="1648" ht="17.25" customHeight="1">
      <c r="A1648" s="152">
        <f>IF(INDEX('04A_국토부원자료'!$A:$A,ROW()+1)="","",ROW()-3)</f>
        <v/>
      </c>
      <c r="B1648" s="48">
        <f>IFERROR(INDEX('04A_국토부원자료'!$A:$T,ROW()+1,MATCH("시군구",'04A_국토부원자료'!$A$4:$T$4,0)),"")</f>
        <v/>
      </c>
      <c r="C1648" s="48">
        <f>IF(B1648="","",IFERROR(INDEX('04A_국토부원자료'!$A:$T,ROW()+1,MATCH("번지",'04A_국토부원자료'!$A$4:$T$4,0)),""))</f>
        <v/>
      </c>
      <c r="D1648" s="48">
        <f>IF(B1648="","",IF(Q1648=1,'02_대상물건입력'!$B$8,IFERROR(INDEX('04A_국토부원자료'!$A:$T,ROW()+1,MATCH("단지명",'04A_국토부원자료'!$A$4:$T$4,0)),"")))</f>
        <v/>
      </c>
      <c r="E1648" s="172">
        <f>IFERROR(VALUE(SUBSTITUTE(INDEX('04A_국토부원자료'!$A:$T,ROW()+1,MATCH("전용면적(㎡)",'04A_국토부원자료'!$A$4:$T$4,0)),",","")),"")</f>
        <v/>
      </c>
      <c r="F16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48" s="51">
        <f>IFERROR(VALUE(SUBSTITUTE(INDEX('04A_국토부원자료'!$A:$T,ROW()+1,MATCH("거래금액(만원)",'04A_국토부원자료'!$A$4:$T$4,0)),",","")),"")</f>
        <v/>
      </c>
      <c r="H1648" s="174">
        <f>IF(G1648="","",G1648*10000)</f>
        <v/>
      </c>
      <c r="I1648" s="174">
        <f>IFERROR(IF(AND(H1648&gt;0,E1648&gt;0),H1648/E1648,""),"")</f>
        <v/>
      </c>
      <c r="J1648" s="152">
        <f>IFERROR(VALUE(SUBSTITUTE(INDEX('04A_국토부원자료'!$A:$T,ROW()+1,MATCH("층",'04A_국토부원자료'!$A$4:$T$4,0)),",","")),"")</f>
        <v/>
      </c>
      <c r="K1648" s="152">
        <f>IFERROR(VALUE(SUBSTITUTE(INDEX('04A_국토부원자료'!$A:$T,ROW()+1,MATCH("건축년도",'04A_국토부원자료'!$A$4:$T$4,0)),",","")),"")</f>
        <v/>
      </c>
      <c r="L1648" s="176">
        <f>IFERROR(INDEX('04A_국토부원자료'!$A:$T,ROW()+1,MATCH("도로명",'04A_국토부원자료'!$A$4:$T$4,0)),"")</f>
        <v/>
      </c>
      <c r="M1648" s="48">
        <f>IFERROR(INDEX('04A_국토부원자료'!$A:$T,ROW()+1,MATCH("거래유형",'04A_국토부원자료'!$A$4:$T$4,0)),"")</f>
        <v/>
      </c>
      <c r="N1648" s="152">
        <f>IF(B1648="","",IF('02_대상물건입력'!B5="",1,IF(ISNUMBER(SEARCH('02_대상물건입력'!B5,B1648)),1,0)))</f>
        <v/>
      </c>
      <c r="O1648" s="152">
        <f>IF(B1648="","",IF('02_대상물건입력'!B6="",1,IF(ISNUMBER(SEARCH('02_대상물건입력'!B6,B1648)),1,0)))</f>
        <v/>
      </c>
      <c r="P1648" s="152">
        <f>IF(L1648="","",IF('02_대상물건입력'!B15="",0,IF(ISNUMBER(SEARCH('02_대상물건입력'!B15,L1648)),1,0)))</f>
        <v/>
      </c>
      <c r="Q1648" s="152">
        <f>IF(OR(C1648="",L1648=""),0,IF(AND(TRIM(C1648)=TRIM(RIGHT(SUBSTITUTE(TRIM('02_대상물건입력'!$B$7)," ",REPT(" ",99)),99)),IF('02_대상물건입력'!B15="",TRUE(),ISNUMBER(SEARCH('02_대상물건입력'!B15,L1648)))),1,0))</f>
        <v/>
      </c>
      <c r="R1648" s="175">
        <f>IFERROR(ABS(E1648-'02_대상물건입력'!B11)/'02_대상물건입력'!B11,"")</f>
        <v/>
      </c>
      <c r="S1648" s="152">
        <f>IFERROR(ABS(J1648-'02_대상물건입력'!B10),"")</f>
        <v/>
      </c>
      <c r="T1648" s="152">
        <f>IFERROR(ABS('01_설정'!B4-F1648),"")</f>
        <v/>
      </c>
      <c r="U1648" s="152">
        <f>IFERROR(ABS(K1648-YEAR('02_대상물건입력'!B14)),"")</f>
        <v/>
      </c>
      <c r="V1648" s="152">
        <f>IF(B1648="","",IF(AND(E1648&gt;0,F1648&gt;0,H1648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1648=1,TRUE()),R1648&lt;='01_설정'!B5,S1648&lt;='01_설정'!B6,T1648&lt;='01_설정'!B7,U1648&lt;='01_설정'!B8),"Y",""))</f>
        <v/>
      </c>
      <c r="W1648" s="172">
        <f>IF(V1648&lt;&gt;"Y","",MAX(0,(1-R1648/'01_설정'!B5))*'01_설정'!B14+MAX(0,(1-S1648/'01_설정'!B6))*'01_설정'!B15+MAX(0,(1-T1648/'01_설정'!B7))*'01_설정'!B16+MAX(0,(1-U1648/'01_설정'!B8))*'01_설정'!B17+O1648*'01_설정'!B11+Q1648*'01_설정'!B12+P1648*'01_설정'!B13+IF(Z1648="",0,Z1648))</f>
        <v/>
      </c>
      <c r="X1648" s="152">
        <f>IF(W1648="","",1+COUNTIFS($W$4:$W$3003,"&gt;"&amp;W1648)+COUNTIFS($W$4:W1648,W1648)-1)</f>
        <v/>
      </c>
      <c r="Y1648" s="175">
        <f>IF(OR(I1648="",'02_대상물건입력'!B19="",'02_대상물건입력'!B19&lt;=0),"",ABS(I1648-'02_대상물건입력'!B19)/'02_대상물건입력'!B19)</f>
        <v/>
      </c>
      <c r="Z1648" s="172">
        <f>IF(OR(Y1648="",'01_설정'!B31="",'01_설정'!B31&lt;=0,'01_설정'!B32="",'01_설정'!B32&lt;=0),"",MAX(0,(1-Y1648/'01_설정'!B32))*'01_설정'!B31)</f>
        <v/>
      </c>
    </row>
    <row r="1649" ht="17.25" customHeight="1">
      <c r="A1649" s="152">
        <f>IF(INDEX('04A_국토부원자료'!$A:$A,ROW()+1)="","",ROW()-3)</f>
        <v/>
      </c>
      <c r="B1649" s="48">
        <f>IFERROR(INDEX('04A_국토부원자료'!$A:$T,ROW()+1,MATCH("시군구",'04A_국토부원자료'!$A$4:$T$4,0)),"")</f>
        <v/>
      </c>
      <c r="C1649" s="48">
        <f>IF(B1649="","",IFERROR(INDEX('04A_국토부원자료'!$A:$T,ROW()+1,MATCH("번지",'04A_국토부원자료'!$A$4:$T$4,0)),""))</f>
        <v/>
      </c>
      <c r="D1649" s="48">
        <f>IF(B1649="","",IF(Q1649=1,'02_대상물건입력'!$B$8,IFERROR(INDEX('04A_국토부원자료'!$A:$T,ROW()+1,MATCH("단지명",'04A_국토부원자료'!$A$4:$T$4,0)),"")))</f>
        <v/>
      </c>
      <c r="E1649" s="172">
        <f>IFERROR(VALUE(SUBSTITUTE(INDEX('04A_국토부원자료'!$A:$T,ROW()+1,MATCH("전용면적(㎡)",'04A_국토부원자료'!$A$4:$T$4,0)),",","")),"")</f>
        <v/>
      </c>
      <c r="F16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49" s="51">
        <f>IFERROR(VALUE(SUBSTITUTE(INDEX('04A_국토부원자료'!$A:$T,ROW()+1,MATCH("거래금액(만원)",'04A_국토부원자료'!$A$4:$T$4,0)),",","")),"")</f>
        <v/>
      </c>
      <c r="H1649" s="174">
        <f>IF(G1649="","",G1649*10000)</f>
        <v/>
      </c>
      <c r="I1649" s="174">
        <f>IFERROR(IF(AND(H1649&gt;0,E1649&gt;0),H1649/E1649,""),"")</f>
        <v/>
      </c>
      <c r="J1649" s="152">
        <f>IFERROR(VALUE(SUBSTITUTE(INDEX('04A_국토부원자료'!$A:$T,ROW()+1,MATCH("층",'04A_국토부원자료'!$A$4:$T$4,0)),",","")),"")</f>
        <v/>
      </c>
      <c r="K1649" s="152">
        <f>IFERROR(VALUE(SUBSTITUTE(INDEX('04A_국토부원자료'!$A:$T,ROW()+1,MATCH("건축년도",'04A_국토부원자료'!$A$4:$T$4,0)),",","")),"")</f>
        <v/>
      </c>
      <c r="L1649" s="176">
        <f>IFERROR(INDEX('04A_국토부원자료'!$A:$T,ROW()+1,MATCH("도로명",'04A_국토부원자료'!$A$4:$T$4,0)),"")</f>
        <v/>
      </c>
      <c r="M1649" s="48">
        <f>IFERROR(INDEX('04A_국토부원자료'!$A:$T,ROW()+1,MATCH("거래유형",'04A_국토부원자료'!$A$4:$T$4,0)),"")</f>
        <v/>
      </c>
      <c r="N1649" s="152">
        <f>IF(B1649="","",IF('02_대상물건입력'!B5="",1,IF(ISNUMBER(SEARCH('02_대상물건입력'!B5,B1649)),1,0)))</f>
        <v/>
      </c>
      <c r="O1649" s="152">
        <f>IF(B1649="","",IF('02_대상물건입력'!B6="",1,IF(ISNUMBER(SEARCH('02_대상물건입력'!B6,B1649)),1,0)))</f>
        <v/>
      </c>
      <c r="P1649" s="152">
        <f>IF(L1649="","",IF('02_대상물건입력'!B15="",0,IF(ISNUMBER(SEARCH('02_대상물건입력'!B15,L1649)),1,0)))</f>
        <v/>
      </c>
      <c r="Q1649" s="152">
        <f>IF(OR(C1649="",L1649=""),0,IF(AND(TRIM(C1649)=TRIM(RIGHT(SUBSTITUTE(TRIM('02_대상물건입력'!$B$7)," ",REPT(" ",99)),99)),IF('02_대상물건입력'!B15="",TRUE(),ISNUMBER(SEARCH('02_대상물건입력'!B15,L1649)))),1,0))</f>
        <v/>
      </c>
      <c r="R1649" s="175">
        <f>IFERROR(ABS(E1649-'02_대상물건입력'!B11)/'02_대상물건입력'!B11,"")</f>
        <v/>
      </c>
      <c r="S1649" s="152">
        <f>IFERROR(ABS(J1649-'02_대상물건입력'!B10),"")</f>
        <v/>
      </c>
      <c r="T1649" s="152">
        <f>IFERROR(ABS('01_설정'!B4-F1649),"")</f>
        <v/>
      </c>
      <c r="U1649" s="152">
        <f>IFERROR(ABS(K1649-YEAR('02_대상물건입력'!B14)),"")</f>
        <v/>
      </c>
      <c r="V1649" s="152">
        <f>IF(B1649="","",IF(AND(E1649&gt;0,F1649&gt;0,H1649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1649=1,TRUE()),R1649&lt;='01_설정'!B5,S1649&lt;='01_설정'!B6,T1649&lt;='01_설정'!B7,U1649&lt;='01_설정'!B8),"Y",""))</f>
        <v/>
      </c>
      <c r="W1649" s="172">
        <f>IF(V1649&lt;&gt;"Y","",MAX(0,(1-R1649/'01_설정'!B5))*'01_설정'!B14+MAX(0,(1-S1649/'01_설정'!B6))*'01_설정'!B15+MAX(0,(1-T1649/'01_설정'!B7))*'01_설정'!B16+MAX(0,(1-U1649/'01_설정'!B8))*'01_설정'!B17+O1649*'01_설정'!B11+Q1649*'01_설정'!B12+P1649*'01_설정'!B13+IF(Z1649="",0,Z1649))</f>
        <v/>
      </c>
      <c r="X1649" s="152">
        <f>IF(W1649="","",1+COUNTIFS($W$4:$W$3003,"&gt;"&amp;W1649)+COUNTIFS($W$4:W1649,W1649)-1)</f>
        <v/>
      </c>
      <c r="Y1649" s="175">
        <f>IF(OR(I1649="",'02_대상물건입력'!B19="",'02_대상물건입력'!B19&lt;=0),"",ABS(I1649-'02_대상물건입력'!B19)/'02_대상물건입력'!B19)</f>
        <v/>
      </c>
      <c r="Z1649" s="172">
        <f>IF(OR(Y1649="",'01_설정'!B31="",'01_설정'!B31&lt;=0,'01_설정'!B32="",'01_설정'!B32&lt;=0),"",MAX(0,(1-Y1649/'01_설정'!B32))*'01_설정'!B31)</f>
        <v/>
      </c>
    </row>
    <row r="1650" ht="17.25" customHeight="1">
      <c r="A1650" s="152">
        <f>IF(INDEX('04A_국토부원자료'!$A:$A,ROW()+1)="","",ROW()-3)</f>
        <v/>
      </c>
      <c r="B1650" s="48">
        <f>IFERROR(INDEX('04A_국토부원자료'!$A:$T,ROW()+1,MATCH("시군구",'04A_국토부원자료'!$A$4:$T$4,0)),"")</f>
        <v/>
      </c>
      <c r="C1650" s="48">
        <f>IF(B1650="","",IFERROR(INDEX('04A_국토부원자료'!$A:$T,ROW()+1,MATCH("번지",'04A_국토부원자료'!$A$4:$T$4,0)),""))</f>
        <v/>
      </c>
      <c r="D1650" s="48">
        <f>IF(B1650="","",IF(Q1650=1,'02_대상물건입력'!$B$8,IFERROR(INDEX('04A_국토부원자료'!$A:$T,ROW()+1,MATCH("단지명",'04A_국토부원자료'!$A$4:$T$4,0)),"")))</f>
        <v/>
      </c>
      <c r="E1650" s="172">
        <f>IFERROR(VALUE(SUBSTITUTE(INDEX('04A_국토부원자료'!$A:$T,ROW()+1,MATCH("전용면적(㎡)",'04A_국토부원자료'!$A$4:$T$4,0)),",","")),"")</f>
        <v/>
      </c>
      <c r="F16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50" s="51">
        <f>IFERROR(VALUE(SUBSTITUTE(INDEX('04A_국토부원자료'!$A:$T,ROW()+1,MATCH("거래금액(만원)",'04A_국토부원자료'!$A$4:$T$4,0)),",","")),"")</f>
        <v/>
      </c>
      <c r="H1650" s="174">
        <f>IF(G1650="","",G1650*10000)</f>
        <v/>
      </c>
      <c r="I1650" s="174">
        <f>IFERROR(IF(AND(H1650&gt;0,E1650&gt;0),H1650/E1650,""),"")</f>
        <v/>
      </c>
      <c r="J1650" s="152">
        <f>IFERROR(VALUE(SUBSTITUTE(INDEX('04A_국토부원자료'!$A:$T,ROW()+1,MATCH("층",'04A_국토부원자료'!$A$4:$T$4,0)),",","")),"")</f>
        <v/>
      </c>
      <c r="K1650" s="152">
        <f>IFERROR(VALUE(SUBSTITUTE(INDEX('04A_국토부원자료'!$A:$T,ROW()+1,MATCH("건축년도",'04A_국토부원자료'!$A$4:$T$4,0)),",","")),"")</f>
        <v/>
      </c>
      <c r="L1650" s="176">
        <f>IFERROR(INDEX('04A_국토부원자료'!$A:$T,ROW()+1,MATCH("도로명",'04A_국토부원자료'!$A$4:$T$4,0)),"")</f>
        <v/>
      </c>
      <c r="M1650" s="48">
        <f>IFERROR(INDEX('04A_국토부원자료'!$A:$T,ROW()+1,MATCH("거래유형",'04A_국토부원자료'!$A$4:$T$4,0)),"")</f>
        <v/>
      </c>
      <c r="N1650" s="152">
        <f>IF(B1650="","",IF('02_대상물건입력'!B5="",1,IF(ISNUMBER(SEARCH('02_대상물건입력'!B5,B1650)),1,0)))</f>
        <v/>
      </c>
      <c r="O1650" s="152">
        <f>IF(B1650="","",IF('02_대상물건입력'!B6="",1,IF(ISNUMBER(SEARCH('02_대상물건입력'!B6,B1650)),1,0)))</f>
        <v/>
      </c>
      <c r="P1650" s="152">
        <f>IF(L1650="","",IF('02_대상물건입력'!B15="",0,IF(ISNUMBER(SEARCH('02_대상물건입력'!B15,L1650)),1,0)))</f>
        <v/>
      </c>
      <c r="Q1650" s="152">
        <f>IF(OR(C1650="",L1650=""),0,IF(AND(TRIM(C1650)=TRIM(RIGHT(SUBSTITUTE(TRIM('02_대상물건입력'!$B$7)," ",REPT(" ",99)),99)),IF('02_대상물건입력'!B15="",TRUE(),ISNUMBER(SEARCH('02_대상물건입력'!B15,L1650)))),1,0))</f>
        <v/>
      </c>
      <c r="R1650" s="175">
        <f>IFERROR(ABS(E1650-'02_대상물건입력'!B11)/'02_대상물건입력'!B11,"")</f>
        <v/>
      </c>
      <c r="S1650" s="152">
        <f>IFERROR(ABS(J1650-'02_대상물건입력'!B10),"")</f>
        <v/>
      </c>
      <c r="T1650" s="152">
        <f>IFERROR(ABS('01_설정'!B4-F1650),"")</f>
        <v/>
      </c>
      <c r="U1650" s="152">
        <f>IFERROR(ABS(K1650-YEAR('02_대상물건입력'!B14)),"")</f>
        <v/>
      </c>
      <c r="V1650" s="152">
        <f>IF(B1650="","",IF(AND(E1650&gt;0,F1650&gt;0,H1650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1650=1,TRUE()),R1650&lt;='01_설정'!B5,S1650&lt;='01_설정'!B6,T1650&lt;='01_설정'!B7,U1650&lt;='01_설정'!B8),"Y",""))</f>
        <v/>
      </c>
      <c r="W1650" s="172">
        <f>IF(V1650&lt;&gt;"Y","",MAX(0,(1-R1650/'01_설정'!B5))*'01_설정'!B14+MAX(0,(1-S1650/'01_설정'!B6))*'01_설정'!B15+MAX(0,(1-T1650/'01_설정'!B7))*'01_설정'!B16+MAX(0,(1-U1650/'01_설정'!B8))*'01_설정'!B17+O1650*'01_설정'!B11+Q1650*'01_설정'!B12+P1650*'01_설정'!B13+IF(Z1650="",0,Z1650))</f>
        <v/>
      </c>
      <c r="X1650" s="152">
        <f>IF(W1650="","",1+COUNTIFS($W$4:$W$3003,"&gt;"&amp;W1650)+COUNTIFS($W$4:W1650,W1650)-1)</f>
        <v/>
      </c>
      <c r="Y1650" s="175">
        <f>IF(OR(I1650="",'02_대상물건입력'!B19="",'02_대상물건입력'!B19&lt;=0),"",ABS(I1650-'02_대상물건입력'!B19)/'02_대상물건입력'!B19)</f>
        <v/>
      </c>
      <c r="Z1650" s="172">
        <f>IF(OR(Y1650="",'01_설정'!B31="",'01_설정'!B31&lt;=0,'01_설정'!B32="",'01_설정'!B32&lt;=0),"",MAX(0,(1-Y1650/'01_설정'!B32))*'01_설정'!B31)</f>
        <v/>
      </c>
    </row>
    <row r="1651" ht="17.25" customHeight="1">
      <c r="A1651" s="152">
        <f>IF(INDEX('04A_국토부원자료'!$A:$A,ROW()+1)="","",ROW()-3)</f>
        <v/>
      </c>
      <c r="B1651" s="48">
        <f>IFERROR(INDEX('04A_국토부원자료'!$A:$T,ROW()+1,MATCH("시군구",'04A_국토부원자료'!$A$4:$T$4,0)),"")</f>
        <v/>
      </c>
      <c r="C1651" s="48">
        <f>IF(B1651="","",IFERROR(INDEX('04A_국토부원자료'!$A:$T,ROW()+1,MATCH("번지",'04A_국토부원자료'!$A$4:$T$4,0)),""))</f>
        <v/>
      </c>
      <c r="D1651" s="48">
        <f>IF(B1651="","",IF(Q1651=1,'02_대상물건입력'!$B$8,IFERROR(INDEX('04A_국토부원자료'!$A:$T,ROW()+1,MATCH("단지명",'04A_국토부원자료'!$A$4:$T$4,0)),"")))</f>
        <v/>
      </c>
      <c r="E1651" s="172">
        <f>IFERROR(VALUE(SUBSTITUTE(INDEX('04A_국토부원자료'!$A:$T,ROW()+1,MATCH("전용면적(㎡)",'04A_국토부원자료'!$A$4:$T$4,0)),",","")),"")</f>
        <v/>
      </c>
      <c r="F16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51" s="51">
        <f>IFERROR(VALUE(SUBSTITUTE(INDEX('04A_국토부원자료'!$A:$T,ROW()+1,MATCH("거래금액(만원)",'04A_국토부원자료'!$A$4:$T$4,0)),",","")),"")</f>
        <v/>
      </c>
      <c r="H1651" s="174">
        <f>IF(G1651="","",G1651*10000)</f>
        <v/>
      </c>
      <c r="I1651" s="174">
        <f>IFERROR(IF(AND(H1651&gt;0,E1651&gt;0),H1651/E1651,""),"")</f>
        <v/>
      </c>
      <c r="J1651" s="152">
        <f>IFERROR(VALUE(SUBSTITUTE(INDEX('04A_국토부원자료'!$A:$T,ROW()+1,MATCH("층",'04A_국토부원자료'!$A$4:$T$4,0)),",","")),"")</f>
        <v/>
      </c>
      <c r="K1651" s="152">
        <f>IFERROR(VALUE(SUBSTITUTE(INDEX('04A_국토부원자료'!$A:$T,ROW()+1,MATCH("건축년도",'04A_국토부원자료'!$A$4:$T$4,0)),",","")),"")</f>
        <v/>
      </c>
      <c r="L1651" s="176">
        <f>IFERROR(INDEX('04A_국토부원자료'!$A:$T,ROW()+1,MATCH("도로명",'04A_국토부원자료'!$A$4:$T$4,0)),"")</f>
        <v/>
      </c>
      <c r="M1651" s="48">
        <f>IFERROR(INDEX('04A_국토부원자료'!$A:$T,ROW()+1,MATCH("거래유형",'04A_국토부원자료'!$A$4:$T$4,0)),"")</f>
        <v/>
      </c>
      <c r="N1651" s="152">
        <f>IF(B1651="","",IF('02_대상물건입력'!B5="",1,IF(ISNUMBER(SEARCH('02_대상물건입력'!B5,B1651)),1,0)))</f>
        <v/>
      </c>
      <c r="O1651" s="152">
        <f>IF(B1651="","",IF('02_대상물건입력'!B6="",1,IF(ISNUMBER(SEARCH('02_대상물건입력'!B6,B1651)),1,0)))</f>
        <v/>
      </c>
      <c r="P1651" s="152">
        <f>IF(L1651="","",IF('02_대상물건입력'!B15="",0,IF(ISNUMBER(SEARCH('02_대상물건입력'!B15,L1651)),1,0)))</f>
        <v/>
      </c>
      <c r="Q1651" s="152">
        <f>IF(OR(C1651="",L1651=""),0,IF(AND(TRIM(C1651)=TRIM(RIGHT(SUBSTITUTE(TRIM('02_대상물건입력'!$B$7)," ",REPT(" ",99)),99)),IF('02_대상물건입력'!B15="",TRUE(),ISNUMBER(SEARCH('02_대상물건입력'!B15,L1651)))),1,0))</f>
        <v/>
      </c>
      <c r="R1651" s="175">
        <f>IFERROR(ABS(E1651-'02_대상물건입력'!B11)/'02_대상물건입력'!B11,"")</f>
        <v/>
      </c>
      <c r="S1651" s="152">
        <f>IFERROR(ABS(J1651-'02_대상물건입력'!B10),"")</f>
        <v/>
      </c>
      <c r="T1651" s="152">
        <f>IFERROR(ABS('01_설정'!B4-F1651),"")</f>
        <v/>
      </c>
      <c r="U1651" s="152">
        <f>IFERROR(ABS(K1651-YEAR('02_대상물건입력'!B14)),"")</f>
        <v/>
      </c>
      <c r="V1651" s="152">
        <f>IF(B1651="","",IF(AND(E1651&gt;0,F1651&gt;0,H1651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1651=1,TRUE()),R1651&lt;='01_설정'!B5,S1651&lt;='01_설정'!B6,T1651&lt;='01_설정'!B7,U1651&lt;='01_설정'!B8),"Y",""))</f>
        <v/>
      </c>
      <c r="W1651" s="172">
        <f>IF(V1651&lt;&gt;"Y","",MAX(0,(1-R1651/'01_설정'!B5))*'01_설정'!B14+MAX(0,(1-S1651/'01_설정'!B6))*'01_설정'!B15+MAX(0,(1-T1651/'01_설정'!B7))*'01_설정'!B16+MAX(0,(1-U1651/'01_설정'!B8))*'01_설정'!B17+O1651*'01_설정'!B11+Q1651*'01_설정'!B12+P1651*'01_설정'!B13+IF(Z1651="",0,Z1651))</f>
        <v/>
      </c>
      <c r="X1651" s="152">
        <f>IF(W1651="","",1+COUNTIFS($W$4:$W$3003,"&gt;"&amp;W1651)+COUNTIFS($W$4:W1651,W1651)-1)</f>
        <v/>
      </c>
      <c r="Y1651" s="175">
        <f>IF(OR(I1651="",'02_대상물건입력'!B19="",'02_대상물건입력'!B19&lt;=0),"",ABS(I1651-'02_대상물건입력'!B19)/'02_대상물건입력'!B19)</f>
        <v/>
      </c>
      <c r="Z1651" s="172">
        <f>IF(OR(Y1651="",'01_설정'!B31="",'01_설정'!B31&lt;=0,'01_설정'!B32="",'01_설정'!B32&lt;=0),"",MAX(0,(1-Y1651/'01_설정'!B32))*'01_설정'!B31)</f>
        <v/>
      </c>
    </row>
    <row r="1652" ht="17.25" customHeight="1">
      <c r="A1652" s="152">
        <f>IF(INDEX('04A_국토부원자료'!$A:$A,ROW()+1)="","",ROW()-3)</f>
        <v/>
      </c>
      <c r="B1652" s="48">
        <f>IFERROR(INDEX('04A_국토부원자료'!$A:$T,ROW()+1,MATCH("시군구",'04A_국토부원자료'!$A$4:$T$4,0)),"")</f>
        <v/>
      </c>
      <c r="C1652" s="48">
        <f>IF(B1652="","",IFERROR(INDEX('04A_국토부원자료'!$A:$T,ROW()+1,MATCH("번지",'04A_국토부원자료'!$A$4:$T$4,0)),""))</f>
        <v/>
      </c>
      <c r="D1652" s="48">
        <f>IF(B1652="","",IF(Q1652=1,'02_대상물건입력'!$B$8,IFERROR(INDEX('04A_국토부원자료'!$A:$T,ROW()+1,MATCH("단지명",'04A_국토부원자료'!$A$4:$T$4,0)),"")))</f>
        <v/>
      </c>
      <c r="E1652" s="172">
        <f>IFERROR(VALUE(SUBSTITUTE(INDEX('04A_국토부원자료'!$A:$T,ROW()+1,MATCH("전용면적(㎡)",'04A_국토부원자료'!$A$4:$T$4,0)),",","")),"")</f>
        <v/>
      </c>
      <c r="F16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52" s="51">
        <f>IFERROR(VALUE(SUBSTITUTE(INDEX('04A_국토부원자료'!$A:$T,ROW()+1,MATCH("거래금액(만원)",'04A_국토부원자료'!$A$4:$T$4,0)),",","")),"")</f>
        <v/>
      </c>
      <c r="H1652" s="174">
        <f>IF(G1652="","",G1652*10000)</f>
        <v/>
      </c>
      <c r="I1652" s="174">
        <f>IFERROR(IF(AND(H1652&gt;0,E1652&gt;0),H1652/E1652,""),"")</f>
        <v/>
      </c>
      <c r="J1652" s="152">
        <f>IFERROR(VALUE(SUBSTITUTE(INDEX('04A_국토부원자료'!$A:$T,ROW()+1,MATCH("층",'04A_국토부원자료'!$A$4:$T$4,0)),",","")),"")</f>
        <v/>
      </c>
      <c r="K1652" s="152">
        <f>IFERROR(VALUE(SUBSTITUTE(INDEX('04A_국토부원자료'!$A:$T,ROW()+1,MATCH("건축년도",'04A_국토부원자료'!$A$4:$T$4,0)),",","")),"")</f>
        <v/>
      </c>
      <c r="L1652" s="176">
        <f>IFERROR(INDEX('04A_국토부원자료'!$A:$T,ROW()+1,MATCH("도로명",'04A_국토부원자료'!$A$4:$T$4,0)),"")</f>
        <v/>
      </c>
      <c r="M1652" s="48">
        <f>IFERROR(INDEX('04A_국토부원자료'!$A:$T,ROW()+1,MATCH("거래유형",'04A_국토부원자료'!$A$4:$T$4,0)),"")</f>
        <v/>
      </c>
      <c r="N1652" s="152">
        <f>IF(B1652="","",IF('02_대상물건입력'!B5="",1,IF(ISNUMBER(SEARCH('02_대상물건입력'!B5,B1652)),1,0)))</f>
        <v/>
      </c>
      <c r="O1652" s="152">
        <f>IF(B1652="","",IF('02_대상물건입력'!B6="",1,IF(ISNUMBER(SEARCH('02_대상물건입력'!B6,B1652)),1,0)))</f>
        <v/>
      </c>
      <c r="P1652" s="152">
        <f>IF(L1652="","",IF('02_대상물건입력'!B15="",0,IF(ISNUMBER(SEARCH('02_대상물건입력'!B15,L1652)),1,0)))</f>
        <v/>
      </c>
      <c r="Q1652" s="152">
        <f>IF(OR(C1652="",L1652=""),0,IF(AND(TRIM(C1652)=TRIM(RIGHT(SUBSTITUTE(TRIM('02_대상물건입력'!$B$7)," ",REPT(" ",99)),99)),IF('02_대상물건입력'!B15="",TRUE(),ISNUMBER(SEARCH('02_대상물건입력'!B15,L1652)))),1,0))</f>
        <v/>
      </c>
      <c r="R1652" s="175">
        <f>IFERROR(ABS(E1652-'02_대상물건입력'!B11)/'02_대상물건입력'!B11,"")</f>
        <v/>
      </c>
      <c r="S1652" s="152">
        <f>IFERROR(ABS(J1652-'02_대상물건입력'!B10),"")</f>
        <v/>
      </c>
      <c r="T1652" s="152">
        <f>IFERROR(ABS('01_설정'!B4-F1652),"")</f>
        <v/>
      </c>
      <c r="U1652" s="152">
        <f>IFERROR(ABS(K1652-YEAR('02_대상물건입력'!B14)),"")</f>
        <v/>
      </c>
      <c r="V1652" s="152">
        <f>IF(B1652="","",IF(AND(E1652&gt;0,F1652&gt;0,H1652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1652=1,TRUE()),R1652&lt;='01_설정'!B5,S1652&lt;='01_설정'!B6,T1652&lt;='01_설정'!B7,U1652&lt;='01_설정'!B8),"Y",""))</f>
        <v/>
      </c>
      <c r="W1652" s="172">
        <f>IF(V1652&lt;&gt;"Y","",MAX(0,(1-R1652/'01_설정'!B5))*'01_설정'!B14+MAX(0,(1-S1652/'01_설정'!B6))*'01_설정'!B15+MAX(0,(1-T1652/'01_설정'!B7))*'01_설정'!B16+MAX(0,(1-U1652/'01_설정'!B8))*'01_설정'!B17+O1652*'01_설정'!B11+Q1652*'01_설정'!B12+P1652*'01_설정'!B13+IF(Z1652="",0,Z1652))</f>
        <v/>
      </c>
      <c r="X1652" s="152">
        <f>IF(W1652="","",1+COUNTIFS($W$4:$W$3003,"&gt;"&amp;W1652)+COUNTIFS($W$4:W1652,W1652)-1)</f>
        <v/>
      </c>
      <c r="Y1652" s="175">
        <f>IF(OR(I1652="",'02_대상물건입력'!B19="",'02_대상물건입력'!B19&lt;=0),"",ABS(I1652-'02_대상물건입력'!B19)/'02_대상물건입력'!B19)</f>
        <v/>
      </c>
      <c r="Z1652" s="172">
        <f>IF(OR(Y1652="",'01_설정'!B31="",'01_설정'!B31&lt;=0,'01_설정'!B32="",'01_설정'!B32&lt;=0),"",MAX(0,(1-Y1652/'01_설정'!B32))*'01_설정'!B31)</f>
        <v/>
      </c>
    </row>
    <row r="1653" ht="17.25" customHeight="1">
      <c r="A1653" s="152">
        <f>IF(INDEX('04A_국토부원자료'!$A:$A,ROW()+1)="","",ROW()-3)</f>
        <v/>
      </c>
      <c r="B1653" s="48">
        <f>IFERROR(INDEX('04A_국토부원자료'!$A:$T,ROW()+1,MATCH("시군구",'04A_국토부원자료'!$A$4:$T$4,0)),"")</f>
        <v/>
      </c>
      <c r="C1653" s="48">
        <f>IF(B1653="","",IFERROR(INDEX('04A_국토부원자료'!$A:$T,ROW()+1,MATCH("번지",'04A_국토부원자료'!$A$4:$T$4,0)),""))</f>
        <v/>
      </c>
      <c r="D1653" s="48">
        <f>IF(B1653="","",IF(Q1653=1,'02_대상물건입력'!$B$8,IFERROR(INDEX('04A_국토부원자료'!$A:$T,ROW()+1,MATCH("단지명",'04A_국토부원자료'!$A$4:$T$4,0)),"")))</f>
        <v/>
      </c>
      <c r="E1653" s="172">
        <f>IFERROR(VALUE(SUBSTITUTE(INDEX('04A_국토부원자료'!$A:$T,ROW()+1,MATCH("전용면적(㎡)",'04A_국토부원자료'!$A$4:$T$4,0)),",","")),"")</f>
        <v/>
      </c>
      <c r="F16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53" s="51">
        <f>IFERROR(VALUE(SUBSTITUTE(INDEX('04A_국토부원자료'!$A:$T,ROW()+1,MATCH("거래금액(만원)",'04A_국토부원자료'!$A$4:$T$4,0)),",","")),"")</f>
        <v/>
      </c>
      <c r="H1653" s="174">
        <f>IF(G1653="","",G1653*10000)</f>
        <v/>
      </c>
      <c r="I1653" s="174">
        <f>IFERROR(IF(AND(H1653&gt;0,E1653&gt;0),H1653/E1653,""),"")</f>
        <v/>
      </c>
      <c r="J1653" s="152">
        <f>IFERROR(VALUE(SUBSTITUTE(INDEX('04A_국토부원자료'!$A:$T,ROW()+1,MATCH("층",'04A_국토부원자료'!$A$4:$T$4,0)),",","")),"")</f>
        <v/>
      </c>
      <c r="K1653" s="152">
        <f>IFERROR(VALUE(SUBSTITUTE(INDEX('04A_국토부원자료'!$A:$T,ROW()+1,MATCH("건축년도",'04A_국토부원자료'!$A$4:$T$4,0)),",","")),"")</f>
        <v/>
      </c>
      <c r="L1653" s="176">
        <f>IFERROR(INDEX('04A_국토부원자료'!$A:$T,ROW()+1,MATCH("도로명",'04A_국토부원자료'!$A$4:$T$4,0)),"")</f>
        <v/>
      </c>
      <c r="M1653" s="48">
        <f>IFERROR(INDEX('04A_국토부원자료'!$A:$T,ROW()+1,MATCH("거래유형",'04A_국토부원자료'!$A$4:$T$4,0)),"")</f>
        <v/>
      </c>
      <c r="N1653" s="152">
        <f>IF(B1653="","",IF('02_대상물건입력'!B5="",1,IF(ISNUMBER(SEARCH('02_대상물건입력'!B5,B1653)),1,0)))</f>
        <v/>
      </c>
      <c r="O1653" s="152">
        <f>IF(B1653="","",IF('02_대상물건입력'!B6="",1,IF(ISNUMBER(SEARCH('02_대상물건입력'!B6,B1653)),1,0)))</f>
        <v/>
      </c>
      <c r="P1653" s="152">
        <f>IF(L1653="","",IF('02_대상물건입력'!B15="",0,IF(ISNUMBER(SEARCH('02_대상물건입력'!B15,L1653)),1,0)))</f>
        <v/>
      </c>
      <c r="Q1653" s="152">
        <f>IF(OR(C1653="",L1653=""),0,IF(AND(TRIM(C1653)=TRIM(RIGHT(SUBSTITUTE(TRIM('02_대상물건입력'!$B$7)," ",REPT(" ",99)),99)),IF('02_대상물건입력'!B15="",TRUE(),ISNUMBER(SEARCH('02_대상물건입력'!B15,L1653)))),1,0))</f>
        <v/>
      </c>
      <c r="R1653" s="175">
        <f>IFERROR(ABS(E1653-'02_대상물건입력'!B11)/'02_대상물건입력'!B11,"")</f>
        <v/>
      </c>
      <c r="S1653" s="152">
        <f>IFERROR(ABS(J1653-'02_대상물건입력'!B10),"")</f>
        <v/>
      </c>
      <c r="T1653" s="152">
        <f>IFERROR(ABS('01_설정'!B4-F1653),"")</f>
        <v/>
      </c>
      <c r="U1653" s="152">
        <f>IFERROR(ABS(K1653-YEAR('02_대상물건입력'!B14)),"")</f>
        <v/>
      </c>
      <c r="V1653" s="152">
        <f>IF(B1653="","",IF(AND(E1653&gt;0,F1653&gt;0,H1653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1653=1,TRUE()),R1653&lt;='01_설정'!B5,S1653&lt;='01_설정'!B6,T1653&lt;='01_설정'!B7,U1653&lt;='01_설정'!B8),"Y",""))</f>
        <v/>
      </c>
      <c r="W1653" s="172">
        <f>IF(V1653&lt;&gt;"Y","",MAX(0,(1-R1653/'01_설정'!B5))*'01_설정'!B14+MAX(0,(1-S1653/'01_설정'!B6))*'01_설정'!B15+MAX(0,(1-T1653/'01_설정'!B7))*'01_설정'!B16+MAX(0,(1-U1653/'01_설정'!B8))*'01_설정'!B17+O1653*'01_설정'!B11+Q1653*'01_설정'!B12+P1653*'01_설정'!B13+IF(Z1653="",0,Z1653))</f>
        <v/>
      </c>
      <c r="X1653" s="152">
        <f>IF(W1653="","",1+COUNTIFS($W$4:$W$3003,"&gt;"&amp;W1653)+COUNTIFS($W$4:W1653,W1653)-1)</f>
        <v/>
      </c>
      <c r="Y1653" s="175">
        <f>IF(OR(I1653="",'02_대상물건입력'!B19="",'02_대상물건입력'!B19&lt;=0),"",ABS(I1653-'02_대상물건입력'!B19)/'02_대상물건입력'!B19)</f>
        <v/>
      </c>
      <c r="Z1653" s="172">
        <f>IF(OR(Y1653="",'01_설정'!B31="",'01_설정'!B31&lt;=0,'01_설정'!B32="",'01_설정'!B32&lt;=0),"",MAX(0,(1-Y1653/'01_설정'!B32))*'01_설정'!B31)</f>
        <v/>
      </c>
    </row>
    <row r="1654" ht="17.25" customHeight="1">
      <c r="A1654" s="152">
        <f>IF(INDEX('04A_국토부원자료'!$A:$A,ROW()+1)="","",ROW()-3)</f>
        <v/>
      </c>
      <c r="B1654" s="48">
        <f>IFERROR(INDEX('04A_국토부원자료'!$A:$T,ROW()+1,MATCH("시군구",'04A_국토부원자료'!$A$4:$T$4,0)),"")</f>
        <v/>
      </c>
      <c r="C1654" s="48">
        <f>IF(B1654="","",IFERROR(INDEX('04A_국토부원자료'!$A:$T,ROW()+1,MATCH("번지",'04A_국토부원자료'!$A$4:$T$4,0)),""))</f>
        <v/>
      </c>
      <c r="D1654" s="48">
        <f>IF(B1654="","",IF(Q1654=1,'02_대상물건입력'!$B$8,IFERROR(INDEX('04A_국토부원자료'!$A:$T,ROW()+1,MATCH("단지명",'04A_국토부원자료'!$A$4:$T$4,0)),"")))</f>
        <v/>
      </c>
      <c r="E1654" s="172">
        <f>IFERROR(VALUE(SUBSTITUTE(INDEX('04A_국토부원자료'!$A:$T,ROW()+1,MATCH("전용면적(㎡)",'04A_국토부원자료'!$A$4:$T$4,0)),",","")),"")</f>
        <v/>
      </c>
      <c r="F16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54" s="51">
        <f>IFERROR(VALUE(SUBSTITUTE(INDEX('04A_국토부원자료'!$A:$T,ROW()+1,MATCH("거래금액(만원)",'04A_국토부원자료'!$A$4:$T$4,0)),",","")),"")</f>
        <v/>
      </c>
      <c r="H1654" s="174">
        <f>IF(G1654="","",G1654*10000)</f>
        <v/>
      </c>
      <c r="I1654" s="174">
        <f>IFERROR(IF(AND(H1654&gt;0,E1654&gt;0),H1654/E1654,""),"")</f>
        <v/>
      </c>
      <c r="J1654" s="152">
        <f>IFERROR(VALUE(SUBSTITUTE(INDEX('04A_국토부원자료'!$A:$T,ROW()+1,MATCH("층",'04A_국토부원자료'!$A$4:$T$4,0)),",","")),"")</f>
        <v/>
      </c>
      <c r="K1654" s="152">
        <f>IFERROR(VALUE(SUBSTITUTE(INDEX('04A_국토부원자료'!$A:$T,ROW()+1,MATCH("건축년도",'04A_국토부원자료'!$A$4:$T$4,0)),",","")),"")</f>
        <v/>
      </c>
      <c r="L1654" s="176">
        <f>IFERROR(INDEX('04A_국토부원자료'!$A:$T,ROW()+1,MATCH("도로명",'04A_국토부원자료'!$A$4:$T$4,0)),"")</f>
        <v/>
      </c>
      <c r="M1654" s="48">
        <f>IFERROR(INDEX('04A_국토부원자료'!$A:$T,ROW()+1,MATCH("거래유형",'04A_국토부원자료'!$A$4:$T$4,0)),"")</f>
        <v/>
      </c>
      <c r="N1654" s="152">
        <f>IF(B1654="","",IF('02_대상물건입력'!B5="",1,IF(ISNUMBER(SEARCH('02_대상물건입력'!B5,B1654)),1,0)))</f>
        <v/>
      </c>
      <c r="O1654" s="152">
        <f>IF(B1654="","",IF('02_대상물건입력'!B6="",1,IF(ISNUMBER(SEARCH('02_대상물건입력'!B6,B1654)),1,0)))</f>
        <v/>
      </c>
      <c r="P1654" s="152">
        <f>IF(L1654="","",IF('02_대상물건입력'!B15="",0,IF(ISNUMBER(SEARCH('02_대상물건입력'!B15,L1654)),1,0)))</f>
        <v/>
      </c>
      <c r="Q1654" s="152">
        <f>IF(OR(C1654="",L1654=""),0,IF(AND(TRIM(C1654)=TRIM(RIGHT(SUBSTITUTE(TRIM('02_대상물건입력'!$B$7)," ",REPT(" ",99)),99)),IF('02_대상물건입력'!B15="",TRUE(),ISNUMBER(SEARCH('02_대상물건입력'!B15,L1654)))),1,0))</f>
        <v/>
      </c>
      <c r="R1654" s="175">
        <f>IFERROR(ABS(E1654-'02_대상물건입력'!B11)/'02_대상물건입력'!B11,"")</f>
        <v/>
      </c>
      <c r="S1654" s="152">
        <f>IFERROR(ABS(J1654-'02_대상물건입력'!B10),"")</f>
        <v/>
      </c>
      <c r="T1654" s="152">
        <f>IFERROR(ABS('01_설정'!B4-F1654),"")</f>
        <v/>
      </c>
      <c r="U1654" s="152">
        <f>IFERROR(ABS(K1654-YEAR('02_대상물건입력'!B14)),"")</f>
        <v/>
      </c>
      <c r="V1654" s="152">
        <f>IF(B1654="","",IF(AND(E1654&gt;0,F1654&gt;0,H1654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1654=1,TRUE()),R1654&lt;='01_설정'!B5,S1654&lt;='01_설정'!B6,T1654&lt;='01_설정'!B7,U1654&lt;='01_설정'!B8),"Y",""))</f>
        <v/>
      </c>
      <c r="W1654" s="172">
        <f>IF(V1654&lt;&gt;"Y","",MAX(0,(1-R1654/'01_설정'!B5))*'01_설정'!B14+MAX(0,(1-S1654/'01_설정'!B6))*'01_설정'!B15+MAX(0,(1-T1654/'01_설정'!B7))*'01_설정'!B16+MAX(0,(1-U1654/'01_설정'!B8))*'01_설정'!B17+O1654*'01_설정'!B11+Q1654*'01_설정'!B12+P1654*'01_설정'!B13+IF(Z1654="",0,Z1654))</f>
        <v/>
      </c>
      <c r="X1654" s="152">
        <f>IF(W1654="","",1+COUNTIFS($W$4:$W$3003,"&gt;"&amp;W1654)+COUNTIFS($W$4:W1654,W1654)-1)</f>
        <v/>
      </c>
      <c r="Y1654" s="175">
        <f>IF(OR(I1654="",'02_대상물건입력'!B19="",'02_대상물건입력'!B19&lt;=0),"",ABS(I1654-'02_대상물건입력'!B19)/'02_대상물건입력'!B19)</f>
        <v/>
      </c>
      <c r="Z1654" s="172">
        <f>IF(OR(Y1654="",'01_설정'!B31="",'01_설정'!B31&lt;=0,'01_설정'!B32="",'01_설정'!B32&lt;=0),"",MAX(0,(1-Y1654/'01_설정'!B32))*'01_설정'!B31)</f>
        <v/>
      </c>
    </row>
    <row r="1655" ht="17.25" customHeight="1">
      <c r="A1655" s="152">
        <f>IF(INDEX('04A_국토부원자료'!$A:$A,ROW()+1)="","",ROW()-3)</f>
        <v/>
      </c>
      <c r="B1655" s="48">
        <f>IFERROR(INDEX('04A_국토부원자료'!$A:$T,ROW()+1,MATCH("시군구",'04A_국토부원자료'!$A$4:$T$4,0)),"")</f>
        <v/>
      </c>
      <c r="C1655" s="48">
        <f>IF(B1655="","",IFERROR(INDEX('04A_국토부원자료'!$A:$T,ROW()+1,MATCH("번지",'04A_국토부원자료'!$A$4:$T$4,0)),""))</f>
        <v/>
      </c>
      <c r="D1655" s="48">
        <f>IF(B1655="","",IF(Q1655=1,'02_대상물건입력'!$B$8,IFERROR(INDEX('04A_국토부원자료'!$A:$T,ROW()+1,MATCH("단지명",'04A_국토부원자료'!$A$4:$T$4,0)),"")))</f>
        <v/>
      </c>
      <c r="E1655" s="172">
        <f>IFERROR(VALUE(SUBSTITUTE(INDEX('04A_국토부원자료'!$A:$T,ROW()+1,MATCH("전용면적(㎡)",'04A_국토부원자료'!$A$4:$T$4,0)),",","")),"")</f>
        <v/>
      </c>
      <c r="F16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55" s="51">
        <f>IFERROR(VALUE(SUBSTITUTE(INDEX('04A_국토부원자료'!$A:$T,ROW()+1,MATCH("거래금액(만원)",'04A_국토부원자료'!$A$4:$T$4,0)),",","")),"")</f>
        <v/>
      </c>
      <c r="H1655" s="174">
        <f>IF(G1655="","",G1655*10000)</f>
        <v/>
      </c>
      <c r="I1655" s="174">
        <f>IFERROR(IF(AND(H1655&gt;0,E1655&gt;0),H1655/E1655,""),"")</f>
        <v/>
      </c>
      <c r="J1655" s="152">
        <f>IFERROR(VALUE(SUBSTITUTE(INDEX('04A_국토부원자료'!$A:$T,ROW()+1,MATCH("층",'04A_국토부원자료'!$A$4:$T$4,0)),",","")),"")</f>
        <v/>
      </c>
      <c r="K1655" s="152">
        <f>IFERROR(VALUE(SUBSTITUTE(INDEX('04A_국토부원자료'!$A:$T,ROW()+1,MATCH("건축년도",'04A_국토부원자료'!$A$4:$T$4,0)),",","")),"")</f>
        <v/>
      </c>
      <c r="L1655" s="176">
        <f>IFERROR(INDEX('04A_국토부원자료'!$A:$T,ROW()+1,MATCH("도로명",'04A_국토부원자료'!$A$4:$T$4,0)),"")</f>
        <v/>
      </c>
      <c r="M1655" s="48">
        <f>IFERROR(INDEX('04A_국토부원자료'!$A:$T,ROW()+1,MATCH("거래유형",'04A_국토부원자료'!$A$4:$T$4,0)),"")</f>
        <v/>
      </c>
      <c r="N1655" s="152">
        <f>IF(B1655="","",IF('02_대상물건입력'!B5="",1,IF(ISNUMBER(SEARCH('02_대상물건입력'!B5,B1655)),1,0)))</f>
        <v/>
      </c>
      <c r="O1655" s="152">
        <f>IF(B1655="","",IF('02_대상물건입력'!B6="",1,IF(ISNUMBER(SEARCH('02_대상물건입력'!B6,B1655)),1,0)))</f>
        <v/>
      </c>
      <c r="P1655" s="152">
        <f>IF(L1655="","",IF('02_대상물건입력'!B15="",0,IF(ISNUMBER(SEARCH('02_대상물건입력'!B15,L1655)),1,0)))</f>
        <v/>
      </c>
      <c r="Q1655" s="152">
        <f>IF(OR(C1655="",L1655=""),0,IF(AND(TRIM(C1655)=TRIM(RIGHT(SUBSTITUTE(TRIM('02_대상물건입력'!$B$7)," ",REPT(" ",99)),99)),IF('02_대상물건입력'!B15="",TRUE(),ISNUMBER(SEARCH('02_대상물건입력'!B15,L1655)))),1,0))</f>
        <v/>
      </c>
      <c r="R1655" s="175">
        <f>IFERROR(ABS(E1655-'02_대상물건입력'!B11)/'02_대상물건입력'!B11,"")</f>
        <v/>
      </c>
      <c r="S1655" s="152">
        <f>IFERROR(ABS(J1655-'02_대상물건입력'!B10),"")</f>
        <v/>
      </c>
      <c r="T1655" s="152">
        <f>IFERROR(ABS('01_설정'!B4-F1655),"")</f>
        <v/>
      </c>
      <c r="U1655" s="152">
        <f>IFERROR(ABS(K1655-YEAR('02_대상물건입력'!B14)),"")</f>
        <v/>
      </c>
      <c r="V1655" s="152">
        <f>IF(B1655="","",IF(AND(E1655&gt;0,F1655&gt;0,H1655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1655=1,TRUE()),R1655&lt;='01_설정'!B5,S1655&lt;='01_설정'!B6,T1655&lt;='01_설정'!B7,U1655&lt;='01_설정'!B8),"Y",""))</f>
        <v/>
      </c>
      <c r="W1655" s="172">
        <f>IF(V1655&lt;&gt;"Y","",MAX(0,(1-R1655/'01_설정'!B5))*'01_설정'!B14+MAX(0,(1-S1655/'01_설정'!B6))*'01_설정'!B15+MAX(0,(1-T1655/'01_설정'!B7))*'01_설정'!B16+MAX(0,(1-U1655/'01_설정'!B8))*'01_설정'!B17+O1655*'01_설정'!B11+Q1655*'01_설정'!B12+P1655*'01_설정'!B13+IF(Z1655="",0,Z1655))</f>
        <v/>
      </c>
      <c r="X1655" s="152">
        <f>IF(W1655="","",1+COUNTIFS($W$4:$W$3003,"&gt;"&amp;W1655)+COUNTIFS($W$4:W1655,W1655)-1)</f>
        <v/>
      </c>
      <c r="Y1655" s="175">
        <f>IF(OR(I1655="",'02_대상물건입력'!B19="",'02_대상물건입력'!B19&lt;=0),"",ABS(I1655-'02_대상물건입력'!B19)/'02_대상물건입력'!B19)</f>
        <v/>
      </c>
      <c r="Z1655" s="172">
        <f>IF(OR(Y1655="",'01_설정'!B31="",'01_설정'!B31&lt;=0,'01_설정'!B32="",'01_설정'!B32&lt;=0),"",MAX(0,(1-Y1655/'01_설정'!B32))*'01_설정'!B31)</f>
        <v/>
      </c>
    </row>
    <row r="1656" ht="17.25" customHeight="1">
      <c r="A1656" s="152">
        <f>IF(INDEX('04A_국토부원자료'!$A:$A,ROW()+1)="","",ROW()-3)</f>
        <v/>
      </c>
      <c r="B1656" s="48">
        <f>IFERROR(INDEX('04A_국토부원자료'!$A:$T,ROW()+1,MATCH("시군구",'04A_국토부원자료'!$A$4:$T$4,0)),"")</f>
        <v/>
      </c>
      <c r="C1656" s="48">
        <f>IF(B1656="","",IFERROR(INDEX('04A_국토부원자료'!$A:$T,ROW()+1,MATCH("번지",'04A_국토부원자료'!$A$4:$T$4,0)),""))</f>
        <v/>
      </c>
      <c r="D1656" s="48">
        <f>IF(B1656="","",IF(Q1656=1,'02_대상물건입력'!$B$8,IFERROR(INDEX('04A_국토부원자료'!$A:$T,ROW()+1,MATCH("단지명",'04A_국토부원자료'!$A$4:$T$4,0)),"")))</f>
        <v/>
      </c>
      <c r="E1656" s="172">
        <f>IFERROR(VALUE(SUBSTITUTE(INDEX('04A_국토부원자료'!$A:$T,ROW()+1,MATCH("전용면적(㎡)",'04A_국토부원자료'!$A$4:$T$4,0)),",","")),"")</f>
        <v/>
      </c>
      <c r="F16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56" s="51">
        <f>IFERROR(VALUE(SUBSTITUTE(INDEX('04A_국토부원자료'!$A:$T,ROW()+1,MATCH("거래금액(만원)",'04A_국토부원자료'!$A$4:$T$4,0)),",","")),"")</f>
        <v/>
      </c>
      <c r="H1656" s="174">
        <f>IF(G1656="","",G1656*10000)</f>
        <v/>
      </c>
      <c r="I1656" s="174">
        <f>IFERROR(IF(AND(H1656&gt;0,E1656&gt;0),H1656/E1656,""),"")</f>
        <v/>
      </c>
      <c r="J1656" s="152">
        <f>IFERROR(VALUE(SUBSTITUTE(INDEX('04A_국토부원자료'!$A:$T,ROW()+1,MATCH("층",'04A_국토부원자료'!$A$4:$T$4,0)),",","")),"")</f>
        <v/>
      </c>
      <c r="K1656" s="152">
        <f>IFERROR(VALUE(SUBSTITUTE(INDEX('04A_국토부원자료'!$A:$T,ROW()+1,MATCH("건축년도",'04A_국토부원자료'!$A$4:$T$4,0)),",","")),"")</f>
        <v/>
      </c>
      <c r="L1656" s="176">
        <f>IFERROR(INDEX('04A_국토부원자료'!$A:$T,ROW()+1,MATCH("도로명",'04A_국토부원자료'!$A$4:$T$4,0)),"")</f>
        <v/>
      </c>
      <c r="M1656" s="48">
        <f>IFERROR(INDEX('04A_국토부원자료'!$A:$T,ROW()+1,MATCH("거래유형",'04A_국토부원자료'!$A$4:$T$4,0)),"")</f>
        <v/>
      </c>
      <c r="N1656" s="152">
        <f>IF(B1656="","",IF('02_대상물건입력'!B5="",1,IF(ISNUMBER(SEARCH('02_대상물건입력'!B5,B1656)),1,0)))</f>
        <v/>
      </c>
      <c r="O1656" s="152">
        <f>IF(B1656="","",IF('02_대상물건입력'!B6="",1,IF(ISNUMBER(SEARCH('02_대상물건입력'!B6,B1656)),1,0)))</f>
        <v/>
      </c>
      <c r="P1656" s="152">
        <f>IF(L1656="","",IF('02_대상물건입력'!B15="",0,IF(ISNUMBER(SEARCH('02_대상물건입력'!B15,L1656)),1,0)))</f>
        <v/>
      </c>
      <c r="Q1656" s="152">
        <f>IF(OR(C1656="",L1656=""),0,IF(AND(TRIM(C1656)=TRIM(RIGHT(SUBSTITUTE(TRIM('02_대상물건입력'!$B$7)," ",REPT(" ",99)),99)),IF('02_대상물건입력'!B15="",TRUE(),ISNUMBER(SEARCH('02_대상물건입력'!B15,L1656)))),1,0))</f>
        <v/>
      </c>
      <c r="R1656" s="175">
        <f>IFERROR(ABS(E1656-'02_대상물건입력'!B11)/'02_대상물건입력'!B11,"")</f>
        <v/>
      </c>
      <c r="S1656" s="152">
        <f>IFERROR(ABS(J1656-'02_대상물건입력'!B10),"")</f>
        <v/>
      </c>
      <c r="T1656" s="152">
        <f>IFERROR(ABS('01_설정'!B4-F1656),"")</f>
        <v/>
      </c>
      <c r="U1656" s="152">
        <f>IFERROR(ABS(K1656-YEAR('02_대상물건입력'!B14)),"")</f>
        <v/>
      </c>
      <c r="V1656" s="152">
        <f>IF(B1656="","",IF(AND(E1656&gt;0,F1656&gt;0,H1656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1656=1,TRUE()),R1656&lt;='01_설정'!B5,S1656&lt;='01_설정'!B6,T1656&lt;='01_설정'!B7,U1656&lt;='01_설정'!B8),"Y",""))</f>
        <v/>
      </c>
      <c r="W1656" s="172">
        <f>IF(V1656&lt;&gt;"Y","",MAX(0,(1-R1656/'01_설정'!B5))*'01_설정'!B14+MAX(0,(1-S1656/'01_설정'!B6))*'01_설정'!B15+MAX(0,(1-T1656/'01_설정'!B7))*'01_설정'!B16+MAX(0,(1-U1656/'01_설정'!B8))*'01_설정'!B17+O1656*'01_설정'!B11+Q1656*'01_설정'!B12+P1656*'01_설정'!B13+IF(Z1656="",0,Z1656))</f>
        <v/>
      </c>
      <c r="X1656" s="152">
        <f>IF(W1656="","",1+COUNTIFS($W$4:$W$3003,"&gt;"&amp;W1656)+COUNTIFS($W$4:W1656,W1656)-1)</f>
        <v/>
      </c>
      <c r="Y1656" s="175">
        <f>IF(OR(I1656="",'02_대상물건입력'!B19="",'02_대상물건입력'!B19&lt;=0),"",ABS(I1656-'02_대상물건입력'!B19)/'02_대상물건입력'!B19)</f>
        <v/>
      </c>
      <c r="Z1656" s="172">
        <f>IF(OR(Y1656="",'01_설정'!B31="",'01_설정'!B31&lt;=0,'01_설정'!B32="",'01_설정'!B32&lt;=0),"",MAX(0,(1-Y1656/'01_설정'!B32))*'01_설정'!B31)</f>
        <v/>
      </c>
    </row>
    <row r="1657" ht="17.25" customHeight="1">
      <c r="A1657" s="152">
        <f>IF(INDEX('04A_국토부원자료'!$A:$A,ROW()+1)="","",ROW()-3)</f>
        <v/>
      </c>
      <c r="B1657" s="48">
        <f>IFERROR(INDEX('04A_국토부원자료'!$A:$T,ROW()+1,MATCH("시군구",'04A_국토부원자료'!$A$4:$T$4,0)),"")</f>
        <v/>
      </c>
      <c r="C1657" s="48">
        <f>IF(B1657="","",IFERROR(INDEX('04A_국토부원자료'!$A:$T,ROW()+1,MATCH("번지",'04A_국토부원자료'!$A$4:$T$4,0)),""))</f>
        <v/>
      </c>
      <c r="D1657" s="48">
        <f>IF(B1657="","",IF(Q1657=1,'02_대상물건입력'!$B$8,IFERROR(INDEX('04A_국토부원자료'!$A:$T,ROW()+1,MATCH("단지명",'04A_국토부원자료'!$A$4:$T$4,0)),"")))</f>
        <v/>
      </c>
      <c r="E1657" s="172">
        <f>IFERROR(VALUE(SUBSTITUTE(INDEX('04A_국토부원자료'!$A:$T,ROW()+1,MATCH("전용면적(㎡)",'04A_국토부원자료'!$A$4:$T$4,0)),",","")),"")</f>
        <v/>
      </c>
      <c r="F16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57" s="51">
        <f>IFERROR(VALUE(SUBSTITUTE(INDEX('04A_국토부원자료'!$A:$T,ROW()+1,MATCH("거래금액(만원)",'04A_국토부원자료'!$A$4:$T$4,0)),",","")),"")</f>
        <v/>
      </c>
      <c r="H1657" s="174">
        <f>IF(G1657="","",G1657*10000)</f>
        <v/>
      </c>
      <c r="I1657" s="174">
        <f>IFERROR(IF(AND(H1657&gt;0,E1657&gt;0),H1657/E1657,""),"")</f>
        <v/>
      </c>
      <c r="J1657" s="152">
        <f>IFERROR(VALUE(SUBSTITUTE(INDEX('04A_국토부원자료'!$A:$T,ROW()+1,MATCH("층",'04A_국토부원자료'!$A$4:$T$4,0)),",","")),"")</f>
        <v/>
      </c>
      <c r="K1657" s="152">
        <f>IFERROR(VALUE(SUBSTITUTE(INDEX('04A_국토부원자료'!$A:$T,ROW()+1,MATCH("건축년도",'04A_국토부원자료'!$A$4:$T$4,0)),",","")),"")</f>
        <v/>
      </c>
      <c r="L1657" s="176">
        <f>IFERROR(INDEX('04A_국토부원자료'!$A:$T,ROW()+1,MATCH("도로명",'04A_국토부원자료'!$A$4:$T$4,0)),"")</f>
        <v/>
      </c>
      <c r="M1657" s="48">
        <f>IFERROR(INDEX('04A_국토부원자료'!$A:$T,ROW()+1,MATCH("거래유형",'04A_국토부원자료'!$A$4:$T$4,0)),"")</f>
        <v/>
      </c>
      <c r="N1657" s="152">
        <f>IF(B1657="","",IF('02_대상물건입력'!B5="",1,IF(ISNUMBER(SEARCH('02_대상물건입력'!B5,B1657)),1,0)))</f>
        <v/>
      </c>
      <c r="O1657" s="152">
        <f>IF(B1657="","",IF('02_대상물건입력'!B6="",1,IF(ISNUMBER(SEARCH('02_대상물건입력'!B6,B1657)),1,0)))</f>
        <v/>
      </c>
      <c r="P1657" s="152">
        <f>IF(L1657="","",IF('02_대상물건입력'!B15="",0,IF(ISNUMBER(SEARCH('02_대상물건입력'!B15,L1657)),1,0)))</f>
        <v/>
      </c>
      <c r="Q1657" s="152">
        <f>IF(OR(C1657="",L1657=""),0,IF(AND(TRIM(C1657)=TRIM(RIGHT(SUBSTITUTE(TRIM('02_대상물건입력'!$B$7)," ",REPT(" ",99)),99)),IF('02_대상물건입력'!B15="",TRUE(),ISNUMBER(SEARCH('02_대상물건입력'!B15,L1657)))),1,0))</f>
        <v/>
      </c>
      <c r="R1657" s="175">
        <f>IFERROR(ABS(E1657-'02_대상물건입력'!B11)/'02_대상물건입력'!B11,"")</f>
        <v/>
      </c>
      <c r="S1657" s="152">
        <f>IFERROR(ABS(J1657-'02_대상물건입력'!B10),"")</f>
        <v/>
      </c>
      <c r="T1657" s="152">
        <f>IFERROR(ABS('01_설정'!B4-F1657),"")</f>
        <v/>
      </c>
      <c r="U1657" s="152">
        <f>IFERROR(ABS(K1657-YEAR('02_대상물건입력'!B14)),"")</f>
        <v/>
      </c>
      <c r="V1657" s="152">
        <f>IF(B1657="","",IF(AND(E1657&gt;0,F1657&gt;0,H1657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1657=1,TRUE()),R1657&lt;='01_설정'!B5,S1657&lt;='01_설정'!B6,T1657&lt;='01_설정'!B7,U1657&lt;='01_설정'!B8),"Y",""))</f>
        <v/>
      </c>
      <c r="W1657" s="172">
        <f>IF(V1657&lt;&gt;"Y","",MAX(0,(1-R1657/'01_설정'!B5))*'01_설정'!B14+MAX(0,(1-S1657/'01_설정'!B6))*'01_설정'!B15+MAX(0,(1-T1657/'01_설정'!B7))*'01_설정'!B16+MAX(0,(1-U1657/'01_설정'!B8))*'01_설정'!B17+O1657*'01_설정'!B11+Q1657*'01_설정'!B12+P1657*'01_설정'!B13+IF(Z1657="",0,Z1657))</f>
        <v/>
      </c>
      <c r="X1657" s="152">
        <f>IF(W1657="","",1+COUNTIFS($W$4:$W$3003,"&gt;"&amp;W1657)+COUNTIFS($W$4:W1657,W1657)-1)</f>
        <v/>
      </c>
      <c r="Y1657" s="175">
        <f>IF(OR(I1657="",'02_대상물건입력'!B19="",'02_대상물건입력'!B19&lt;=0),"",ABS(I1657-'02_대상물건입력'!B19)/'02_대상물건입력'!B19)</f>
        <v/>
      </c>
      <c r="Z1657" s="172">
        <f>IF(OR(Y1657="",'01_설정'!B31="",'01_설정'!B31&lt;=0,'01_설정'!B32="",'01_설정'!B32&lt;=0),"",MAX(0,(1-Y1657/'01_설정'!B32))*'01_설정'!B31)</f>
        <v/>
      </c>
    </row>
    <row r="1658" ht="17.25" customHeight="1">
      <c r="A1658" s="152">
        <f>IF(INDEX('04A_국토부원자료'!$A:$A,ROW()+1)="","",ROW()-3)</f>
        <v/>
      </c>
      <c r="B1658" s="48">
        <f>IFERROR(INDEX('04A_국토부원자료'!$A:$T,ROW()+1,MATCH("시군구",'04A_국토부원자료'!$A$4:$T$4,0)),"")</f>
        <v/>
      </c>
      <c r="C1658" s="48">
        <f>IF(B1658="","",IFERROR(INDEX('04A_국토부원자료'!$A:$T,ROW()+1,MATCH("번지",'04A_국토부원자료'!$A$4:$T$4,0)),""))</f>
        <v/>
      </c>
      <c r="D1658" s="48">
        <f>IF(B1658="","",IF(Q1658=1,'02_대상물건입력'!$B$8,IFERROR(INDEX('04A_국토부원자료'!$A:$T,ROW()+1,MATCH("단지명",'04A_국토부원자료'!$A$4:$T$4,0)),"")))</f>
        <v/>
      </c>
      <c r="E1658" s="172">
        <f>IFERROR(VALUE(SUBSTITUTE(INDEX('04A_국토부원자료'!$A:$T,ROW()+1,MATCH("전용면적(㎡)",'04A_국토부원자료'!$A$4:$T$4,0)),",","")),"")</f>
        <v/>
      </c>
      <c r="F16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58" s="51">
        <f>IFERROR(VALUE(SUBSTITUTE(INDEX('04A_국토부원자료'!$A:$T,ROW()+1,MATCH("거래금액(만원)",'04A_국토부원자료'!$A$4:$T$4,0)),",","")),"")</f>
        <v/>
      </c>
      <c r="H1658" s="174">
        <f>IF(G1658="","",G1658*10000)</f>
        <v/>
      </c>
      <c r="I1658" s="174">
        <f>IFERROR(IF(AND(H1658&gt;0,E1658&gt;0),H1658/E1658,""),"")</f>
        <v/>
      </c>
      <c r="J1658" s="152">
        <f>IFERROR(VALUE(SUBSTITUTE(INDEX('04A_국토부원자료'!$A:$T,ROW()+1,MATCH("층",'04A_국토부원자료'!$A$4:$T$4,0)),",","")),"")</f>
        <v/>
      </c>
      <c r="K1658" s="152">
        <f>IFERROR(VALUE(SUBSTITUTE(INDEX('04A_국토부원자료'!$A:$T,ROW()+1,MATCH("건축년도",'04A_국토부원자료'!$A$4:$T$4,0)),",","")),"")</f>
        <v/>
      </c>
      <c r="L1658" s="176">
        <f>IFERROR(INDEX('04A_국토부원자료'!$A:$T,ROW()+1,MATCH("도로명",'04A_국토부원자료'!$A$4:$T$4,0)),"")</f>
        <v/>
      </c>
      <c r="M1658" s="48">
        <f>IFERROR(INDEX('04A_국토부원자료'!$A:$T,ROW()+1,MATCH("거래유형",'04A_국토부원자료'!$A$4:$T$4,0)),"")</f>
        <v/>
      </c>
      <c r="N1658" s="152">
        <f>IF(B1658="","",IF('02_대상물건입력'!B5="",1,IF(ISNUMBER(SEARCH('02_대상물건입력'!B5,B1658)),1,0)))</f>
        <v/>
      </c>
      <c r="O1658" s="152">
        <f>IF(B1658="","",IF('02_대상물건입력'!B6="",1,IF(ISNUMBER(SEARCH('02_대상물건입력'!B6,B1658)),1,0)))</f>
        <v/>
      </c>
      <c r="P1658" s="152">
        <f>IF(L1658="","",IF('02_대상물건입력'!B15="",0,IF(ISNUMBER(SEARCH('02_대상물건입력'!B15,L1658)),1,0)))</f>
        <v/>
      </c>
      <c r="Q1658" s="152">
        <f>IF(OR(C1658="",L1658=""),0,IF(AND(TRIM(C1658)=TRIM(RIGHT(SUBSTITUTE(TRIM('02_대상물건입력'!$B$7)," ",REPT(" ",99)),99)),IF('02_대상물건입력'!B15="",TRUE(),ISNUMBER(SEARCH('02_대상물건입력'!B15,L1658)))),1,0))</f>
        <v/>
      </c>
      <c r="R1658" s="175">
        <f>IFERROR(ABS(E1658-'02_대상물건입력'!B11)/'02_대상물건입력'!B11,"")</f>
        <v/>
      </c>
      <c r="S1658" s="152">
        <f>IFERROR(ABS(J1658-'02_대상물건입력'!B10),"")</f>
        <v/>
      </c>
      <c r="T1658" s="152">
        <f>IFERROR(ABS('01_설정'!B4-F1658),"")</f>
        <v/>
      </c>
      <c r="U1658" s="152">
        <f>IFERROR(ABS(K1658-YEAR('02_대상물건입력'!B14)),"")</f>
        <v/>
      </c>
      <c r="V1658" s="152">
        <f>IF(B1658="","",IF(AND(E1658&gt;0,F1658&gt;0,H1658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1658=1,TRUE()),R1658&lt;='01_설정'!B5,S1658&lt;='01_설정'!B6,T1658&lt;='01_설정'!B7,U1658&lt;='01_설정'!B8),"Y",""))</f>
        <v/>
      </c>
      <c r="W1658" s="172">
        <f>IF(V1658&lt;&gt;"Y","",MAX(0,(1-R1658/'01_설정'!B5))*'01_설정'!B14+MAX(0,(1-S1658/'01_설정'!B6))*'01_설정'!B15+MAX(0,(1-T1658/'01_설정'!B7))*'01_설정'!B16+MAX(0,(1-U1658/'01_설정'!B8))*'01_설정'!B17+O1658*'01_설정'!B11+Q1658*'01_설정'!B12+P1658*'01_설정'!B13+IF(Z1658="",0,Z1658))</f>
        <v/>
      </c>
      <c r="X1658" s="152">
        <f>IF(W1658="","",1+COUNTIFS($W$4:$W$3003,"&gt;"&amp;W1658)+COUNTIFS($W$4:W1658,W1658)-1)</f>
        <v/>
      </c>
      <c r="Y1658" s="175">
        <f>IF(OR(I1658="",'02_대상물건입력'!B19="",'02_대상물건입력'!B19&lt;=0),"",ABS(I1658-'02_대상물건입력'!B19)/'02_대상물건입력'!B19)</f>
        <v/>
      </c>
      <c r="Z1658" s="172">
        <f>IF(OR(Y1658="",'01_설정'!B31="",'01_설정'!B31&lt;=0,'01_설정'!B32="",'01_설정'!B32&lt;=0),"",MAX(0,(1-Y1658/'01_설정'!B32))*'01_설정'!B31)</f>
        <v/>
      </c>
    </row>
    <row r="1659" ht="17.25" customHeight="1">
      <c r="A1659" s="152">
        <f>IF(INDEX('04A_국토부원자료'!$A:$A,ROW()+1)="","",ROW()-3)</f>
        <v/>
      </c>
      <c r="B1659" s="48">
        <f>IFERROR(INDEX('04A_국토부원자료'!$A:$T,ROW()+1,MATCH("시군구",'04A_국토부원자료'!$A$4:$T$4,0)),"")</f>
        <v/>
      </c>
      <c r="C1659" s="48">
        <f>IF(B1659="","",IFERROR(INDEX('04A_국토부원자료'!$A:$T,ROW()+1,MATCH("번지",'04A_국토부원자료'!$A$4:$T$4,0)),""))</f>
        <v/>
      </c>
      <c r="D1659" s="48">
        <f>IF(B1659="","",IF(Q1659=1,'02_대상물건입력'!$B$8,IFERROR(INDEX('04A_국토부원자료'!$A:$T,ROW()+1,MATCH("단지명",'04A_국토부원자료'!$A$4:$T$4,0)),"")))</f>
        <v/>
      </c>
      <c r="E1659" s="172">
        <f>IFERROR(VALUE(SUBSTITUTE(INDEX('04A_국토부원자료'!$A:$T,ROW()+1,MATCH("전용면적(㎡)",'04A_국토부원자료'!$A$4:$T$4,0)),",","")),"")</f>
        <v/>
      </c>
      <c r="F16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59" s="51">
        <f>IFERROR(VALUE(SUBSTITUTE(INDEX('04A_국토부원자료'!$A:$T,ROW()+1,MATCH("거래금액(만원)",'04A_국토부원자료'!$A$4:$T$4,0)),",","")),"")</f>
        <v/>
      </c>
      <c r="H1659" s="174">
        <f>IF(G1659="","",G1659*10000)</f>
        <v/>
      </c>
      <c r="I1659" s="174">
        <f>IFERROR(IF(AND(H1659&gt;0,E1659&gt;0),H1659/E1659,""),"")</f>
        <v/>
      </c>
      <c r="J1659" s="152">
        <f>IFERROR(VALUE(SUBSTITUTE(INDEX('04A_국토부원자료'!$A:$T,ROW()+1,MATCH("층",'04A_국토부원자료'!$A$4:$T$4,0)),",","")),"")</f>
        <v/>
      </c>
      <c r="K1659" s="152">
        <f>IFERROR(VALUE(SUBSTITUTE(INDEX('04A_국토부원자료'!$A:$T,ROW()+1,MATCH("건축년도",'04A_국토부원자료'!$A$4:$T$4,0)),",","")),"")</f>
        <v/>
      </c>
      <c r="L1659" s="176">
        <f>IFERROR(INDEX('04A_국토부원자료'!$A:$T,ROW()+1,MATCH("도로명",'04A_국토부원자료'!$A$4:$T$4,0)),"")</f>
        <v/>
      </c>
      <c r="M1659" s="48">
        <f>IFERROR(INDEX('04A_국토부원자료'!$A:$T,ROW()+1,MATCH("거래유형",'04A_국토부원자료'!$A$4:$T$4,0)),"")</f>
        <v/>
      </c>
      <c r="N1659" s="152">
        <f>IF(B1659="","",IF('02_대상물건입력'!B5="",1,IF(ISNUMBER(SEARCH('02_대상물건입력'!B5,B1659)),1,0)))</f>
        <v/>
      </c>
      <c r="O1659" s="152">
        <f>IF(B1659="","",IF('02_대상물건입력'!B6="",1,IF(ISNUMBER(SEARCH('02_대상물건입력'!B6,B1659)),1,0)))</f>
        <v/>
      </c>
      <c r="P1659" s="152">
        <f>IF(L1659="","",IF('02_대상물건입력'!B15="",0,IF(ISNUMBER(SEARCH('02_대상물건입력'!B15,L1659)),1,0)))</f>
        <v/>
      </c>
      <c r="Q1659" s="152">
        <f>IF(OR(C1659="",L1659=""),0,IF(AND(TRIM(C1659)=TRIM(RIGHT(SUBSTITUTE(TRIM('02_대상물건입력'!$B$7)," ",REPT(" ",99)),99)),IF('02_대상물건입력'!B15="",TRUE(),ISNUMBER(SEARCH('02_대상물건입력'!B15,L1659)))),1,0))</f>
        <v/>
      </c>
      <c r="R1659" s="175">
        <f>IFERROR(ABS(E1659-'02_대상물건입력'!B11)/'02_대상물건입력'!B11,"")</f>
        <v/>
      </c>
      <c r="S1659" s="152">
        <f>IFERROR(ABS(J1659-'02_대상물건입력'!B10),"")</f>
        <v/>
      </c>
      <c r="T1659" s="152">
        <f>IFERROR(ABS('01_설정'!B4-F1659),"")</f>
        <v/>
      </c>
      <c r="U1659" s="152">
        <f>IFERROR(ABS(K1659-YEAR('02_대상물건입력'!B14)),"")</f>
        <v/>
      </c>
      <c r="V1659" s="152">
        <f>IF(B1659="","",IF(AND(E1659&gt;0,F1659&gt;0,H1659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1659=1,TRUE()),R1659&lt;='01_설정'!B5,S1659&lt;='01_설정'!B6,T1659&lt;='01_설정'!B7,U1659&lt;='01_설정'!B8),"Y",""))</f>
        <v/>
      </c>
      <c r="W1659" s="172">
        <f>IF(V1659&lt;&gt;"Y","",MAX(0,(1-R1659/'01_설정'!B5))*'01_설정'!B14+MAX(0,(1-S1659/'01_설정'!B6))*'01_설정'!B15+MAX(0,(1-T1659/'01_설정'!B7))*'01_설정'!B16+MAX(0,(1-U1659/'01_설정'!B8))*'01_설정'!B17+O1659*'01_설정'!B11+Q1659*'01_설정'!B12+P1659*'01_설정'!B13+IF(Z1659="",0,Z1659))</f>
        <v/>
      </c>
      <c r="X1659" s="152">
        <f>IF(W1659="","",1+COUNTIFS($W$4:$W$3003,"&gt;"&amp;W1659)+COUNTIFS($W$4:W1659,W1659)-1)</f>
        <v/>
      </c>
      <c r="Y1659" s="175">
        <f>IF(OR(I1659="",'02_대상물건입력'!B19="",'02_대상물건입력'!B19&lt;=0),"",ABS(I1659-'02_대상물건입력'!B19)/'02_대상물건입력'!B19)</f>
        <v/>
      </c>
      <c r="Z1659" s="172">
        <f>IF(OR(Y1659="",'01_설정'!B31="",'01_설정'!B31&lt;=0,'01_설정'!B32="",'01_설정'!B32&lt;=0),"",MAX(0,(1-Y1659/'01_설정'!B32))*'01_설정'!B31)</f>
        <v/>
      </c>
    </row>
    <row r="1660" ht="17.25" customHeight="1">
      <c r="A1660" s="152">
        <f>IF(INDEX('04A_국토부원자료'!$A:$A,ROW()+1)="","",ROW()-3)</f>
        <v/>
      </c>
      <c r="B1660" s="48">
        <f>IFERROR(INDEX('04A_국토부원자료'!$A:$T,ROW()+1,MATCH("시군구",'04A_국토부원자료'!$A$4:$T$4,0)),"")</f>
        <v/>
      </c>
      <c r="C1660" s="48">
        <f>IF(B1660="","",IFERROR(INDEX('04A_국토부원자료'!$A:$T,ROW()+1,MATCH("번지",'04A_국토부원자료'!$A$4:$T$4,0)),""))</f>
        <v/>
      </c>
      <c r="D1660" s="48">
        <f>IF(B1660="","",IF(Q1660=1,'02_대상물건입력'!$B$8,IFERROR(INDEX('04A_국토부원자료'!$A:$T,ROW()+1,MATCH("단지명",'04A_국토부원자료'!$A$4:$T$4,0)),"")))</f>
        <v/>
      </c>
      <c r="E1660" s="172">
        <f>IFERROR(VALUE(SUBSTITUTE(INDEX('04A_국토부원자료'!$A:$T,ROW()+1,MATCH("전용면적(㎡)",'04A_국토부원자료'!$A$4:$T$4,0)),",","")),"")</f>
        <v/>
      </c>
      <c r="F16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60" s="51">
        <f>IFERROR(VALUE(SUBSTITUTE(INDEX('04A_국토부원자료'!$A:$T,ROW()+1,MATCH("거래금액(만원)",'04A_국토부원자료'!$A$4:$T$4,0)),",","")),"")</f>
        <v/>
      </c>
      <c r="H1660" s="174">
        <f>IF(G1660="","",G1660*10000)</f>
        <v/>
      </c>
      <c r="I1660" s="174">
        <f>IFERROR(IF(AND(H1660&gt;0,E1660&gt;0),H1660/E1660,""),"")</f>
        <v/>
      </c>
      <c r="J1660" s="152">
        <f>IFERROR(VALUE(SUBSTITUTE(INDEX('04A_국토부원자료'!$A:$T,ROW()+1,MATCH("층",'04A_국토부원자료'!$A$4:$T$4,0)),",","")),"")</f>
        <v/>
      </c>
      <c r="K1660" s="152">
        <f>IFERROR(VALUE(SUBSTITUTE(INDEX('04A_국토부원자료'!$A:$T,ROW()+1,MATCH("건축년도",'04A_국토부원자료'!$A$4:$T$4,0)),",","")),"")</f>
        <v/>
      </c>
      <c r="L1660" s="176">
        <f>IFERROR(INDEX('04A_국토부원자료'!$A:$T,ROW()+1,MATCH("도로명",'04A_국토부원자료'!$A$4:$T$4,0)),"")</f>
        <v/>
      </c>
      <c r="M1660" s="48">
        <f>IFERROR(INDEX('04A_국토부원자료'!$A:$T,ROW()+1,MATCH("거래유형",'04A_국토부원자료'!$A$4:$T$4,0)),"")</f>
        <v/>
      </c>
      <c r="N1660" s="152">
        <f>IF(B1660="","",IF('02_대상물건입력'!B5="",1,IF(ISNUMBER(SEARCH('02_대상물건입력'!B5,B1660)),1,0)))</f>
        <v/>
      </c>
      <c r="O1660" s="152">
        <f>IF(B1660="","",IF('02_대상물건입력'!B6="",1,IF(ISNUMBER(SEARCH('02_대상물건입력'!B6,B1660)),1,0)))</f>
        <v/>
      </c>
      <c r="P1660" s="152">
        <f>IF(L1660="","",IF('02_대상물건입력'!B15="",0,IF(ISNUMBER(SEARCH('02_대상물건입력'!B15,L1660)),1,0)))</f>
        <v/>
      </c>
      <c r="Q1660" s="152">
        <f>IF(OR(C1660="",L1660=""),0,IF(AND(TRIM(C1660)=TRIM(RIGHT(SUBSTITUTE(TRIM('02_대상물건입력'!$B$7)," ",REPT(" ",99)),99)),IF('02_대상물건입력'!B15="",TRUE(),ISNUMBER(SEARCH('02_대상물건입력'!B15,L1660)))),1,0))</f>
        <v/>
      </c>
      <c r="R1660" s="175">
        <f>IFERROR(ABS(E1660-'02_대상물건입력'!B11)/'02_대상물건입력'!B11,"")</f>
        <v/>
      </c>
      <c r="S1660" s="152">
        <f>IFERROR(ABS(J1660-'02_대상물건입력'!B10),"")</f>
        <v/>
      </c>
      <c r="T1660" s="152">
        <f>IFERROR(ABS('01_설정'!B4-F1660),"")</f>
        <v/>
      </c>
      <c r="U1660" s="152">
        <f>IFERROR(ABS(K1660-YEAR('02_대상물건입력'!B14)),"")</f>
        <v/>
      </c>
      <c r="V1660" s="152">
        <f>IF(B1660="","",IF(AND(E1660&gt;0,F1660&gt;0,H1660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1660=1,TRUE()),R1660&lt;='01_설정'!B5,S1660&lt;='01_설정'!B6,T1660&lt;='01_설정'!B7,U1660&lt;='01_설정'!B8),"Y",""))</f>
        <v/>
      </c>
      <c r="W1660" s="172">
        <f>IF(V1660&lt;&gt;"Y","",MAX(0,(1-R1660/'01_설정'!B5))*'01_설정'!B14+MAX(0,(1-S1660/'01_설정'!B6))*'01_설정'!B15+MAX(0,(1-T1660/'01_설정'!B7))*'01_설정'!B16+MAX(0,(1-U1660/'01_설정'!B8))*'01_설정'!B17+O1660*'01_설정'!B11+Q1660*'01_설정'!B12+P1660*'01_설정'!B13+IF(Z1660="",0,Z1660))</f>
        <v/>
      </c>
      <c r="X1660" s="152">
        <f>IF(W1660="","",1+COUNTIFS($W$4:$W$3003,"&gt;"&amp;W1660)+COUNTIFS($W$4:W1660,W1660)-1)</f>
        <v/>
      </c>
      <c r="Y1660" s="175">
        <f>IF(OR(I1660="",'02_대상물건입력'!B19="",'02_대상물건입력'!B19&lt;=0),"",ABS(I1660-'02_대상물건입력'!B19)/'02_대상물건입력'!B19)</f>
        <v/>
      </c>
      <c r="Z1660" s="172">
        <f>IF(OR(Y1660="",'01_설정'!B31="",'01_설정'!B31&lt;=0,'01_설정'!B32="",'01_설정'!B32&lt;=0),"",MAX(0,(1-Y1660/'01_설정'!B32))*'01_설정'!B31)</f>
        <v/>
      </c>
    </row>
    <row r="1661" ht="17.25" customHeight="1">
      <c r="A1661" s="152">
        <f>IF(INDEX('04A_국토부원자료'!$A:$A,ROW()+1)="","",ROW()-3)</f>
        <v/>
      </c>
      <c r="B1661" s="48">
        <f>IFERROR(INDEX('04A_국토부원자료'!$A:$T,ROW()+1,MATCH("시군구",'04A_국토부원자료'!$A$4:$T$4,0)),"")</f>
        <v/>
      </c>
      <c r="C1661" s="48">
        <f>IF(B1661="","",IFERROR(INDEX('04A_국토부원자료'!$A:$T,ROW()+1,MATCH("번지",'04A_국토부원자료'!$A$4:$T$4,0)),""))</f>
        <v/>
      </c>
      <c r="D1661" s="48">
        <f>IF(B1661="","",IF(Q1661=1,'02_대상물건입력'!$B$8,IFERROR(INDEX('04A_국토부원자료'!$A:$T,ROW()+1,MATCH("단지명",'04A_국토부원자료'!$A$4:$T$4,0)),"")))</f>
        <v/>
      </c>
      <c r="E1661" s="172">
        <f>IFERROR(VALUE(SUBSTITUTE(INDEX('04A_국토부원자료'!$A:$T,ROW()+1,MATCH("전용면적(㎡)",'04A_국토부원자료'!$A$4:$T$4,0)),",","")),"")</f>
        <v/>
      </c>
      <c r="F16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61" s="51">
        <f>IFERROR(VALUE(SUBSTITUTE(INDEX('04A_국토부원자료'!$A:$T,ROW()+1,MATCH("거래금액(만원)",'04A_국토부원자료'!$A$4:$T$4,0)),",","")),"")</f>
        <v/>
      </c>
      <c r="H1661" s="174">
        <f>IF(G1661="","",G1661*10000)</f>
        <v/>
      </c>
      <c r="I1661" s="174">
        <f>IFERROR(IF(AND(H1661&gt;0,E1661&gt;0),H1661/E1661,""),"")</f>
        <v/>
      </c>
      <c r="J1661" s="152">
        <f>IFERROR(VALUE(SUBSTITUTE(INDEX('04A_국토부원자료'!$A:$T,ROW()+1,MATCH("층",'04A_국토부원자료'!$A$4:$T$4,0)),",","")),"")</f>
        <v/>
      </c>
      <c r="K1661" s="152">
        <f>IFERROR(VALUE(SUBSTITUTE(INDEX('04A_국토부원자료'!$A:$T,ROW()+1,MATCH("건축년도",'04A_국토부원자료'!$A$4:$T$4,0)),",","")),"")</f>
        <v/>
      </c>
      <c r="L1661" s="176">
        <f>IFERROR(INDEX('04A_국토부원자료'!$A:$T,ROW()+1,MATCH("도로명",'04A_국토부원자료'!$A$4:$T$4,0)),"")</f>
        <v/>
      </c>
      <c r="M1661" s="48">
        <f>IFERROR(INDEX('04A_국토부원자료'!$A:$T,ROW()+1,MATCH("거래유형",'04A_국토부원자료'!$A$4:$T$4,0)),"")</f>
        <v/>
      </c>
      <c r="N1661" s="152">
        <f>IF(B1661="","",IF('02_대상물건입력'!B5="",1,IF(ISNUMBER(SEARCH('02_대상물건입력'!B5,B1661)),1,0)))</f>
        <v/>
      </c>
      <c r="O1661" s="152">
        <f>IF(B1661="","",IF('02_대상물건입력'!B6="",1,IF(ISNUMBER(SEARCH('02_대상물건입력'!B6,B1661)),1,0)))</f>
        <v/>
      </c>
      <c r="P1661" s="152">
        <f>IF(L1661="","",IF('02_대상물건입력'!B15="",0,IF(ISNUMBER(SEARCH('02_대상물건입력'!B15,L1661)),1,0)))</f>
        <v/>
      </c>
      <c r="Q1661" s="152">
        <f>IF(OR(C1661="",L1661=""),0,IF(AND(TRIM(C1661)=TRIM(RIGHT(SUBSTITUTE(TRIM('02_대상물건입력'!$B$7)," ",REPT(" ",99)),99)),IF('02_대상물건입력'!B15="",TRUE(),ISNUMBER(SEARCH('02_대상물건입력'!B15,L1661)))),1,0))</f>
        <v/>
      </c>
      <c r="R1661" s="175">
        <f>IFERROR(ABS(E1661-'02_대상물건입력'!B11)/'02_대상물건입력'!B11,"")</f>
        <v/>
      </c>
      <c r="S1661" s="152">
        <f>IFERROR(ABS(J1661-'02_대상물건입력'!B10),"")</f>
        <v/>
      </c>
      <c r="T1661" s="152">
        <f>IFERROR(ABS('01_설정'!B4-F1661),"")</f>
        <v/>
      </c>
      <c r="U1661" s="152">
        <f>IFERROR(ABS(K1661-YEAR('02_대상물건입력'!B14)),"")</f>
        <v/>
      </c>
      <c r="V1661" s="152">
        <f>IF(B1661="","",IF(AND(E1661&gt;0,F1661&gt;0,H1661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1661=1,TRUE()),R1661&lt;='01_설정'!B5,S1661&lt;='01_설정'!B6,T1661&lt;='01_설정'!B7,U1661&lt;='01_설정'!B8),"Y",""))</f>
        <v/>
      </c>
      <c r="W1661" s="172">
        <f>IF(V1661&lt;&gt;"Y","",MAX(0,(1-R1661/'01_설정'!B5))*'01_설정'!B14+MAX(0,(1-S1661/'01_설정'!B6))*'01_설정'!B15+MAX(0,(1-T1661/'01_설정'!B7))*'01_설정'!B16+MAX(0,(1-U1661/'01_설정'!B8))*'01_설정'!B17+O1661*'01_설정'!B11+Q1661*'01_설정'!B12+P1661*'01_설정'!B13+IF(Z1661="",0,Z1661))</f>
        <v/>
      </c>
      <c r="X1661" s="152">
        <f>IF(W1661="","",1+COUNTIFS($W$4:$W$3003,"&gt;"&amp;W1661)+COUNTIFS($W$4:W1661,W1661)-1)</f>
        <v/>
      </c>
      <c r="Y1661" s="175">
        <f>IF(OR(I1661="",'02_대상물건입력'!B19="",'02_대상물건입력'!B19&lt;=0),"",ABS(I1661-'02_대상물건입력'!B19)/'02_대상물건입력'!B19)</f>
        <v/>
      </c>
      <c r="Z1661" s="172">
        <f>IF(OR(Y1661="",'01_설정'!B31="",'01_설정'!B31&lt;=0,'01_설정'!B32="",'01_설정'!B32&lt;=0),"",MAX(0,(1-Y1661/'01_설정'!B32))*'01_설정'!B31)</f>
        <v/>
      </c>
    </row>
    <row r="1662" ht="17.25" customHeight="1">
      <c r="A1662" s="152">
        <f>IF(INDEX('04A_국토부원자료'!$A:$A,ROW()+1)="","",ROW()-3)</f>
        <v/>
      </c>
      <c r="B1662" s="48">
        <f>IFERROR(INDEX('04A_국토부원자료'!$A:$T,ROW()+1,MATCH("시군구",'04A_국토부원자료'!$A$4:$T$4,0)),"")</f>
        <v/>
      </c>
      <c r="C1662" s="48">
        <f>IF(B1662="","",IFERROR(INDEX('04A_국토부원자료'!$A:$T,ROW()+1,MATCH("번지",'04A_국토부원자료'!$A$4:$T$4,0)),""))</f>
        <v/>
      </c>
      <c r="D1662" s="48">
        <f>IF(B1662="","",IF(Q1662=1,'02_대상물건입력'!$B$8,IFERROR(INDEX('04A_국토부원자료'!$A:$T,ROW()+1,MATCH("단지명",'04A_국토부원자료'!$A$4:$T$4,0)),"")))</f>
        <v/>
      </c>
      <c r="E1662" s="172">
        <f>IFERROR(VALUE(SUBSTITUTE(INDEX('04A_국토부원자료'!$A:$T,ROW()+1,MATCH("전용면적(㎡)",'04A_국토부원자료'!$A$4:$T$4,0)),",","")),"")</f>
        <v/>
      </c>
      <c r="F16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62" s="51">
        <f>IFERROR(VALUE(SUBSTITUTE(INDEX('04A_국토부원자료'!$A:$T,ROW()+1,MATCH("거래금액(만원)",'04A_국토부원자료'!$A$4:$T$4,0)),",","")),"")</f>
        <v/>
      </c>
      <c r="H1662" s="174">
        <f>IF(G1662="","",G1662*10000)</f>
        <v/>
      </c>
      <c r="I1662" s="174">
        <f>IFERROR(IF(AND(H1662&gt;0,E1662&gt;0),H1662/E1662,""),"")</f>
        <v/>
      </c>
      <c r="J1662" s="152">
        <f>IFERROR(VALUE(SUBSTITUTE(INDEX('04A_국토부원자료'!$A:$T,ROW()+1,MATCH("층",'04A_국토부원자료'!$A$4:$T$4,0)),",","")),"")</f>
        <v/>
      </c>
      <c r="K1662" s="152">
        <f>IFERROR(VALUE(SUBSTITUTE(INDEX('04A_국토부원자료'!$A:$T,ROW()+1,MATCH("건축년도",'04A_국토부원자료'!$A$4:$T$4,0)),",","")),"")</f>
        <v/>
      </c>
      <c r="L1662" s="176">
        <f>IFERROR(INDEX('04A_국토부원자료'!$A:$T,ROW()+1,MATCH("도로명",'04A_국토부원자료'!$A$4:$T$4,0)),"")</f>
        <v/>
      </c>
      <c r="M1662" s="48">
        <f>IFERROR(INDEX('04A_국토부원자료'!$A:$T,ROW()+1,MATCH("거래유형",'04A_국토부원자료'!$A$4:$T$4,0)),"")</f>
        <v/>
      </c>
      <c r="N1662" s="152">
        <f>IF(B1662="","",IF('02_대상물건입력'!B5="",1,IF(ISNUMBER(SEARCH('02_대상물건입력'!B5,B1662)),1,0)))</f>
        <v/>
      </c>
      <c r="O1662" s="152">
        <f>IF(B1662="","",IF('02_대상물건입력'!B6="",1,IF(ISNUMBER(SEARCH('02_대상물건입력'!B6,B1662)),1,0)))</f>
        <v/>
      </c>
      <c r="P1662" s="152">
        <f>IF(L1662="","",IF('02_대상물건입력'!B15="",0,IF(ISNUMBER(SEARCH('02_대상물건입력'!B15,L1662)),1,0)))</f>
        <v/>
      </c>
      <c r="Q1662" s="152">
        <f>IF(OR(C1662="",L1662=""),0,IF(AND(TRIM(C1662)=TRIM(RIGHT(SUBSTITUTE(TRIM('02_대상물건입력'!$B$7)," ",REPT(" ",99)),99)),IF('02_대상물건입력'!B15="",TRUE(),ISNUMBER(SEARCH('02_대상물건입력'!B15,L1662)))),1,0))</f>
        <v/>
      </c>
      <c r="R1662" s="175">
        <f>IFERROR(ABS(E1662-'02_대상물건입력'!B11)/'02_대상물건입력'!B11,"")</f>
        <v/>
      </c>
      <c r="S1662" s="152">
        <f>IFERROR(ABS(J1662-'02_대상물건입력'!B10),"")</f>
        <v/>
      </c>
      <c r="T1662" s="152">
        <f>IFERROR(ABS('01_설정'!B4-F1662),"")</f>
        <v/>
      </c>
      <c r="U1662" s="152">
        <f>IFERROR(ABS(K1662-YEAR('02_대상물건입력'!B14)),"")</f>
        <v/>
      </c>
      <c r="V1662" s="152">
        <f>IF(B1662="","",IF(AND(E1662&gt;0,F1662&gt;0,H1662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1662=1,TRUE()),R1662&lt;='01_설정'!B5,S1662&lt;='01_설정'!B6,T1662&lt;='01_설정'!B7,U1662&lt;='01_설정'!B8),"Y",""))</f>
        <v/>
      </c>
      <c r="W1662" s="172">
        <f>IF(V1662&lt;&gt;"Y","",MAX(0,(1-R1662/'01_설정'!B5))*'01_설정'!B14+MAX(0,(1-S1662/'01_설정'!B6))*'01_설정'!B15+MAX(0,(1-T1662/'01_설정'!B7))*'01_설정'!B16+MAX(0,(1-U1662/'01_설정'!B8))*'01_설정'!B17+O1662*'01_설정'!B11+Q1662*'01_설정'!B12+P1662*'01_설정'!B13+IF(Z1662="",0,Z1662))</f>
        <v/>
      </c>
      <c r="X1662" s="152">
        <f>IF(W1662="","",1+COUNTIFS($W$4:$W$3003,"&gt;"&amp;W1662)+COUNTIFS($W$4:W1662,W1662)-1)</f>
        <v/>
      </c>
      <c r="Y1662" s="175">
        <f>IF(OR(I1662="",'02_대상물건입력'!B19="",'02_대상물건입력'!B19&lt;=0),"",ABS(I1662-'02_대상물건입력'!B19)/'02_대상물건입력'!B19)</f>
        <v/>
      </c>
      <c r="Z1662" s="172">
        <f>IF(OR(Y1662="",'01_설정'!B31="",'01_설정'!B31&lt;=0,'01_설정'!B32="",'01_설정'!B32&lt;=0),"",MAX(0,(1-Y1662/'01_설정'!B32))*'01_설정'!B31)</f>
        <v/>
      </c>
    </row>
    <row r="1663" ht="17.25" customHeight="1">
      <c r="A1663" s="152">
        <f>IF(INDEX('04A_국토부원자료'!$A:$A,ROW()+1)="","",ROW()-3)</f>
        <v/>
      </c>
      <c r="B1663" s="48">
        <f>IFERROR(INDEX('04A_국토부원자료'!$A:$T,ROW()+1,MATCH("시군구",'04A_국토부원자료'!$A$4:$T$4,0)),"")</f>
        <v/>
      </c>
      <c r="C1663" s="48">
        <f>IF(B1663="","",IFERROR(INDEX('04A_국토부원자료'!$A:$T,ROW()+1,MATCH("번지",'04A_국토부원자료'!$A$4:$T$4,0)),""))</f>
        <v/>
      </c>
      <c r="D1663" s="48">
        <f>IF(B1663="","",IF(Q1663=1,'02_대상물건입력'!$B$8,IFERROR(INDEX('04A_국토부원자료'!$A:$T,ROW()+1,MATCH("단지명",'04A_국토부원자료'!$A$4:$T$4,0)),"")))</f>
        <v/>
      </c>
      <c r="E1663" s="172">
        <f>IFERROR(VALUE(SUBSTITUTE(INDEX('04A_국토부원자료'!$A:$T,ROW()+1,MATCH("전용면적(㎡)",'04A_국토부원자료'!$A$4:$T$4,0)),",","")),"")</f>
        <v/>
      </c>
      <c r="F16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63" s="51">
        <f>IFERROR(VALUE(SUBSTITUTE(INDEX('04A_국토부원자료'!$A:$T,ROW()+1,MATCH("거래금액(만원)",'04A_국토부원자료'!$A$4:$T$4,0)),",","")),"")</f>
        <v/>
      </c>
      <c r="H1663" s="174">
        <f>IF(G1663="","",G1663*10000)</f>
        <v/>
      </c>
      <c r="I1663" s="174">
        <f>IFERROR(IF(AND(H1663&gt;0,E1663&gt;0),H1663/E1663,""),"")</f>
        <v/>
      </c>
      <c r="J1663" s="152">
        <f>IFERROR(VALUE(SUBSTITUTE(INDEX('04A_국토부원자료'!$A:$T,ROW()+1,MATCH("층",'04A_국토부원자료'!$A$4:$T$4,0)),",","")),"")</f>
        <v/>
      </c>
      <c r="K1663" s="152">
        <f>IFERROR(VALUE(SUBSTITUTE(INDEX('04A_국토부원자료'!$A:$T,ROW()+1,MATCH("건축년도",'04A_국토부원자료'!$A$4:$T$4,0)),",","")),"")</f>
        <v/>
      </c>
      <c r="L1663" s="176">
        <f>IFERROR(INDEX('04A_국토부원자료'!$A:$T,ROW()+1,MATCH("도로명",'04A_국토부원자료'!$A$4:$T$4,0)),"")</f>
        <v/>
      </c>
      <c r="M1663" s="48">
        <f>IFERROR(INDEX('04A_국토부원자료'!$A:$T,ROW()+1,MATCH("거래유형",'04A_국토부원자료'!$A$4:$T$4,0)),"")</f>
        <v/>
      </c>
      <c r="N1663" s="152">
        <f>IF(B1663="","",IF('02_대상물건입력'!B5="",1,IF(ISNUMBER(SEARCH('02_대상물건입력'!B5,B1663)),1,0)))</f>
        <v/>
      </c>
      <c r="O1663" s="152">
        <f>IF(B1663="","",IF('02_대상물건입력'!B6="",1,IF(ISNUMBER(SEARCH('02_대상물건입력'!B6,B1663)),1,0)))</f>
        <v/>
      </c>
      <c r="P1663" s="152">
        <f>IF(L1663="","",IF('02_대상물건입력'!B15="",0,IF(ISNUMBER(SEARCH('02_대상물건입력'!B15,L1663)),1,0)))</f>
        <v/>
      </c>
      <c r="Q1663" s="152">
        <f>IF(OR(C1663="",L1663=""),0,IF(AND(TRIM(C1663)=TRIM(RIGHT(SUBSTITUTE(TRIM('02_대상물건입력'!$B$7)," ",REPT(" ",99)),99)),IF('02_대상물건입력'!B15="",TRUE(),ISNUMBER(SEARCH('02_대상물건입력'!B15,L1663)))),1,0))</f>
        <v/>
      </c>
      <c r="R1663" s="175">
        <f>IFERROR(ABS(E1663-'02_대상물건입력'!B11)/'02_대상물건입력'!B11,"")</f>
        <v/>
      </c>
      <c r="S1663" s="152">
        <f>IFERROR(ABS(J1663-'02_대상물건입력'!B10),"")</f>
        <v/>
      </c>
      <c r="T1663" s="152">
        <f>IFERROR(ABS('01_설정'!B4-F1663),"")</f>
        <v/>
      </c>
      <c r="U1663" s="152">
        <f>IFERROR(ABS(K1663-YEAR('02_대상물건입력'!B14)),"")</f>
        <v/>
      </c>
      <c r="V1663" s="152">
        <f>IF(B1663="","",IF(AND(E1663&gt;0,F1663&gt;0,H1663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1663=1,TRUE()),R1663&lt;='01_설정'!B5,S1663&lt;='01_설정'!B6,T1663&lt;='01_설정'!B7,U1663&lt;='01_설정'!B8),"Y",""))</f>
        <v/>
      </c>
      <c r="W1663" s="172">
        <f>IF(V1663&lt;&gt;"Y","",MAX(0,(1-R1663/'01_설정'!B5))*'01_설정'!B14+MAX(0,(1-S1663/'01_설정'!B6))*'01_설정'!B15+MAX(0,(1-T1663/'01_설정'!B7))*'01_설정'!B16+MAX(0,(1-U1663/'01_설정'!B8))*'01_설정'!B17+O1663*'01_설정'!B11+Q1663*'01_설정'!B12+P1663*'01_설정'!B13+IF(Z1663="",0,Z1663))</f>
        <v/>
      </c>
      <c r="X1663" s="152">
        <f>IF(W1663="","",1+COUNTIFS($W$4:$W$3003,"&gt;"&amp;W1663)+COUNTIFS($W$4:W1663,W1663)-1)</f>
        <v/>
      </c>
      <c r="Y1663" s="175">
        <f>IF(OR(I1663="",'02_대상물건입력'!B19="",'02_대상물건입력'!B19&lt;=0),"",ABS(I1663-'02_대상물건입력'!B19)/'02_대상물건입력'!B19)</f>
        <v/>
      </c>
      <c r="Z1663" s="172">
        <f>IF(OR(Y1663="",'01_설정'!B31="",'01_설정'!B31&lt;=0,'01_설정'!B32="",'01_설정'!B32&lt;=0),"",MAX(0,(1-Y1663/'01_설정'!B32))*'01_설정'!B31)</f>
        <v/>
      </c>
    </row>
    <row r="1664" ht="17.25" customHeight="1">
      <c r="A1664" s="152">
        <f>IF(INDEX('04A_국토부원자료'!$A:$A,ROW()+1)="","",ROW()-3)</f>
        <v/>
      </c>
      <c r="B1664" s="48">
        <f>IFERROR(INDEX('04A_국토부원자료'!$A:$T,ROW()+1,MATCH("시군구",'04A_국토부원자료'!$A$4:$T$4,0)),"")</f>
        <v/>
      </c>
      <c r="C1664" s="48">
        <f>IF(B1664="","",IFERROR(INDEX('04A_국토부원자료'!$A:$T,ROW()+1,MATCH("번지",'04A_국토부원자료'!$A$4:$T$4,0)),""))</f>
        <v/>
      </c>
      <c r="D1664" s="48">
        <f>IF(B1664="","",IF(Q1664=1,'02_대상물건입력'!$B$8,IFERROR(INDEX('04A_국토부원자료'!$A:$T,ROW()+1,MATCH("단지명",'04A_국토부원자료'!$A$4:$T$4,0)),"")))</f>
        <v/>
      </c>
      <c r="E1664" s="172">
        <f>IFERROR(VALUE(SUBSTITUTE(INDEX('04A_국토부원자료'!$A:$T,ROW()+1,MATCH("전용면적(㎡)",'04A_국토부원자료'!$A$4:$T$4,0)),",","")),"")</f>
        <v/>
      </c>
      <c r="F16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64" s="51">
        <f>IFERROR(VALUE(SUBSTITUTE(INDEX('04A_국토부원자료'!$A:$T,ROW()+1,MATCH("거래금액(만원)",'04A_국토부원자료'!$A$4:$T$4,0)),",","")),"")</f>
        <v/>
      </c>
      <c r="H1664" s="174">
        <f>IF(G1664="","",G1664*10000)</f>
        <v/>
      </c>
      <c r="I1664" s="174">
        <f>IFERROR(IF(AND(H1664&gt;0,E1664&gt;0),H1664/E1664,""),"")</f>
        <v/>
      </c>
      <c r="J1664" s="152">
        <f>IFERROR(VALUE(SUBSTITUTE(INDEX('04A_국토부원자료'!$A:$T,ROW()+1,MATCH("층",'04A_국토부원자료'!$A$4:$T$4,0)),",","")),"")</f>
        <v/>
      </c>
      <c r="K1664" s="152">
        <f>IFERROR(VALUE(SUBSTITUTE(INDEX('04A_국토부원자료'!$A:$T,ROW()+1,MATCH("건축년도",'04A_국토부원자료'!$A$4:$T$4,0)),",","")),"")</f>
        <v/>
      </c>
      <c r="L1664" s="176">
        <f>IFERROR(INDEX('04A_국토부원자료'!$A:$T,ROW()+1,MATCH("도로명",'04A_국토부원자료'!$A$4:$T$4,0)),"")</f>
        <v/>
      </c>
      <c r="M1664" s="48">
        <f>IFERROR(INDEX('04A_국토부원자료'!$A:$T,ROW()+1,MATCH("거래유형",'04A_국토부원자료'!$A$4:$T$4,0)),"")</f>
        <v/>
      </c>
      <c r="N1664" s="152">
        <f>IF(B1664="","",IF('02_대상물건입력'!B5="",1,IF(ISNUMBER(SEARCH('02_대상물건입력'!B5,B1664)),1,0)))</f>
        <v/>
      </c>
      <c r="O1664" s="152">
        <f>IF(B1664="","",IF('02_대상물건입력'!B6="",1,IF(ISNUMBER(SEARCH('02_대상물건입력'!B6,B1664)),1,0)))</f>
        <v/>
      </c>
      <c r="P1664" s="152">
        <f>IF(L1664="","",IF('02_대상물건입력'!B15="",0,IF(ISNUMBER(SEARCH('02_대상물건입력'!B15,L1664)),1,0)))</f>
        <v/>
      </c>
      <c r="Q1664" s="152">
        <f>IF(OR(C1664="",L1664=""),0,IF(AND(TRIM(C1664)=TRIM(RIGHT(SUBSTITUTE(TRIM('02_대상물건입력'!$B$7)," ",REPT(" ",99)),99)),IF('02_대상물건입력'!B15="",TRUE(),ISNUMBER(SEARCH('02_대상물건입력'!B15,L1664)))),1,0))</f>
        <v/>
      </c>
      <c r="R1664" s="175">
        <f>IFERROR(ABS(E1664-'02_대상물건입력'!B11)/'02_대상물건입력'!B11,"")</f>
        <v/>
      </c>
      <c r="S1664" s="152">
        <f>IFERROR(ABS(J1664-'02_대상물건입력'!B10),"")</f>
        <v/>
      </c>
      <c r="T1664" s="152">
        <f>IFERROR(ABS('01_설정'!B4-F1664),"")</f>
        <v/>
      </c>
      <c r="U1664" s="152">
        <f>IFERROR(ABS(K1664-YEAR('02_대상물건입력'!B14)),"")</f>
        <v/>
      </c>
      <c r="V1664" s="152">
        <f>IF(B1664="","",IF(AND(E1664&gt;0,F1664&gt;0,H1664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1664=1,TRUE()),R1664&lt;='01_설정'!B5,S1664&lt;='01_설정'!B6,T1664&lt;='01_설정'!B7,U1664&lt;='01_설정'!B8),"Y",""))</f>
        <v/>
      </c>
      <c r="W1664" s="172">
        <f>IF(V1664&lt;&gt;"Y","",MAX(0,(1-R1664/'01_설정'!B5))*'01_설정'!B14+MAX(0,(1-S1664/'01_설정'!B6))*'01_설정'!B15+MAX(0,(1-T1664/'01_설정'!B7))*'01_설정'!B16+MAX(0,(1-U1664/'01_설정'!B8))*'01_설정'!B17+O1664*'01_설정'!B11+Q1664*'01_설정'!B12+P1664*'01_설정'!B13+IF(Z1664="",0,Z1664))</f>
        <v/>
      </c>
      <c r="X1664" s="152">
        <f>IF(W1664="","",1+COUNTIFS($W$4:$W$3003,"&gt;"&amp;W1664)+COUNTIFS($W$4:W1664,W1664)-1)</f>
        <v/>
      </c>
      <c r="Y1664" s="175">
        <f>IF(OR(I1664="",'02_대상물건입력'!B19="",'02_대상물건입력'!B19&lt;=0),"",ABS(I1664-'02_대상물건입력'!B19)/'02_대상물건입력'!B19)</f>
        <v/>
      </c>
      <c r="Z1664" s="172">
        <f>IF(OR(Y1664="",'01_설정'!B31="",'01_설정'!B31&lt;=0,'01_설정'!B32="",'01_설정'!B32&lt;=0),"",MAX(0,(1-Y1664/'01_설정'!B32))*'01_설정'!B31)</f>
        <v/>
      </c>
    </row>
    <row r="1665" ht="17.25" customHeight="1">
      <c r="A1665" s="152">
        <f>IF(INDEX('04A_국토부원자료'!$A:$A,ROW()+1)="","",ROW()-3)</f>
        <v/>
      </c>
      <c r="B1665" s="48">
        <f>IFERROR(INDEX('04A_국토부원자료'!$A:$T,ROW()+1,MATCH("시군구",'04A_국토부원자료'!$A$4:$T$4,0)),"")</f>
        <v/>
      </c>
      <c r="C1665" s="48">
        <f>IF(B1665="","",IFERROR(INDEX('04A_국토부원자료'!$A:$T,ROW()+1,MATCH("번지",'04A_국토부원자료'!$A$4:$T$4,0)),""))</f>
        <v/>
      </c>
      <c r="D1665" s="48">
        <f>IF(B1665="","",IF(Q1665=1,'02_대상물건입력'!$B$8,IFERROR(INDEX('04A_국토부원자료'!$A:$T,ROW()+1,MATCH("단지명",'04A_국토부원자료'!$A$4:$T$4,0)),"")))</f>
        <v/>
      </c>
      <c r="E1665" s="172">
        <f>IFERROR(VALUE(SUBSTITUTE(INDEX('04A_국토부원자료'!$A:$T,ROW()+1,MATCH("전용면적(㎡)",'04A_국토부원자료'!$A$4:$T$4,0)),",","")),"")</f>
        <v/>
      </c>
      <c r="F16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65" s="51">
        <f>IFERROR(VALUE(SUBSTITUTE(INDEX('04A_국토부원자료'!$A:$T,ROW()+1,MATCH("거래금액(만원)",'04A_국토부원자료'!$A$4:$T$4,0)),",","")),"")</f>
        <v/>
      </c>
      <c r="H1665" s="174">
        <f>IF(G1665="","",G1665*10000)</f>
        <v/>
      </c>
      <c r="I1665" s="174">
        <f>IFERROR(IF(AND(H1665&gt;0,E1665&gt;0),H1665/E1665,""),"")</f>
        <v/>
      </c>
      <c r="J1665" s="152">
        <f>IFERROR(VALUE(SUBSTITUTE(INDEX('04A_국토부원자료'!$A:$T,ROW()+1,MATCH("층",'04A_국토부원자료'!$A$4:$T$4,0)),",","")),"")</f>
        <v/>
      </c>
      <c r="K1665" s="152">
        <f>IFERROR(VALUE(SUBSTITUTE(INDEX('04A_국토부원자료'!$A:$T,ROW()+1,MATCH("건축년도",'04A_국토부원자료'!$A$4:$T$4,0)),",","")),"")</f>
        <v/>
      </c>
      <c r="L1665" s="176">
        <f>IFERROR(INDEX('04A_국토부원자료'!$A:$T,ROW()+1,MATCH("도로명",'04A_국토부원자료'!$A$4:$T$4,0)),"")</f>
        <v/>
      </c>
      <c r="M1665" s="48">
        <f>IFERROR(INDEX('04A_국토부원자료'!$A:$T,ROW()+1,MATCH("거래유형",'04A_국토부원자료'!$A$4:$T$4,0)),"")</f>
        <v/>
      </c>
      <c r="N1665" s="152">
        <f>IF(B1665="","",IF('02_대상물건입력'!B5="",1,IF(ISNUMBER(SEARCH('02_대상물건입력'!B5,B1665)),1,0)))</f>
        <v/>
      </c>
      <c r="O1665" s="152">
        <f>IF(B1665="","",IF('02_대상물건입력'!B6="",1,IF(ISNUMBER(SEARCH('02_대상물건입력'!B6,B1665)),1,0)))</f>
        <v/>
      </c>
      <c r="P1665" s="152">
        <f>IF(L1665="","",IF('02_대상물건입력'!B15="",0,IF(ISNUMBER(SEARCH('02_대상물건입력'!B15,L1665)),1,0)))</f>
        <v/>
      </c>
      <c r="Q1665" s="152">
        <f>IF(OR(C1665="",L1665=""),0,IF(AND(TRIM(C1665)=TRIM(RIGHT(SUBSTITUTE(TRIM('02_대상물건입력'!$B$7)," ",REPT(" ",99)),99)),IF('02_대상물건입력'!B15="",TRUE(),ISNUMBER(SEARCH('02_대상물건입력'!B15,L1665)))),1,0))</f>
        <v/>
      </c>
      <c r="R1665" s="175">
        <f>IFERROR(ABS(E1665-'02_대상물건입력'!B11)/'02_대상물건입력'!B11,"")</f>
        <v/>
      </c>
      <c r="S1665" s="152">
        <f>IFERROR(ABS(J1665-'02_대상물건입력'!B10),"")</f>
        <v/>
      </c>
      <c r="T1665" s="152">
        <f>IFERROR(ABS('01_설정'!B4-F1665),"")</f>
        <v/>
      </c>
      <c r="U1665" s="152">
        <f>IFERROR(ABS(K1665-YEAR('02_대상물건입력'!B14)),"")</f>
        <v/>
      </c>
      <c r="V1665" s="152">
        <f>IF(B1665="","",IF(AND(E1665&gt;0,F1665&gt;0,H1665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1665=1,TRUE()),R1665&lt;='01_설정'!B5,S1665&lt;='01_설정'!B6,T1665&lt;='01_설정'!B7,U1665&lt;='01_설정'!B8),"Y",""))</f>
        <v/>
      </c>
      <c r="W1665" s="172">
        <f>IF(V1665&lt;&gt;"Y","",MAX(0,(1-R1665/'01_설정'!B5))*'01_설정'!B14+MAX(0,(1-S1665/'01_설정'!B6))*'01_설정'!B15+MAX(0,(1-T1665/'01_설정'!B7))*'01_설정'!B16+MAX(0,(1-U1665/'01_설정'!B8))*'01_설정'!B17+O1665*'01_설정'!B11+Q1665*'01_설정'!B12+P1665*'01_설정'!B13+IF(Z1665="",0,Z1665))</f>
        <v/>
      </c>
      <c r="X1665" s="152">
        <f>IF(W1665="","",1+COUNTIFS($W$4:$W$3003,"&gt;"&amp;W1665)+COUNTIFS($W$4:W1665,W1665)-1)</f>
        <v/>
      </c>
      <c r="Y1665" s="175">
        <f>IF(OR(I1665="",'02_대상물건입력'!B19="",'02_대상물건입력'!B19&lt;=0),"",ABS(I1665-'02_대상물건입력'!B19)/'02_대상물건입력'!B19)</f>
        <v/>
      </c>
      <c r="Z1665" s="172">
        <f>IF(OR(Y1665="",'01_설정'!B31="",'01_설정'!B31&lt;=0,'01_설정'!B32="",'01_설정'!B32&lt;=0),"",MAX(0,(1-Y1665/'01_설정'!B32))*'01_설정'!B31)</f>
        <v/>
      </c>
    </row>
    <row r="1666" ht="17.25" customHeight="1">
      <c r="A1666" s="152">
        <f>IF(INDEX('04A_국토부원자료'!$A:$A,ROW()+1)="","",ROW()-3)</f>
        <v/>
      </c>
      <c r="B1666" s="48">
        <f>IFERROR(INDEX('04A_국토부원자료'!$A:$T,ROW()+1,MATCH("시군구",'04A_국토부원자료'!$A$4:$T$4,0)),"")</f>
        <v/>
      </c>
      <c r="C1666" s="48">
        <f>IF(B1666="","",IFERROR(INDEX('04A_국토부원자료'!$A:$T,ROW()+1,MATCH("번지",'04A_국토부원자료'!$A$4:$T$4,0)),""))</f>
        <v/>
      </c>
      <c r="D1666" s="48">
        <f>IF(B1666="","",IF(Q1666=1,'02_대상물건입력'!$B$8,IFERROR(INDEX('04A_국토부원자료'!$A:$T,ROW()+1,MATCH("단지명",'04A_국토부원자료'!$A$4:$T$4,0)),"")))</f>
        <v/>
      </c>
      <c r="E1666" s="172">
        <f>IFERROR(VALUE(SUBSTITUTE(INDEX('04A_국토부원자료'!$A:$T,ROW()+1,MATCH("전용면적(㎡)",'04A_국토부원자료'!$A$4:$T$4,0)),",","")),"")</f>
        <v/>
      </c>
      <c r="F16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66" s="51">
        <f>IFERROR(VALUE(SUBSTITUTE(INDEX('04A_국토부원자료'!$A:$T,ROW()+1,MATCH("거래금액(만원)",'04A_국토부원자료'!$A$4:$T$4,0)),",","")),"")</f>
        <v/>
      </c>
      <c r="H1666" s="174">
        <f>IF(G1666="","",G1666*10000)</f>
        <v/>
      </c>
      <c r="I1666" s="174">
        <f>IFERROR(IF(AND(H1666&gt;0,E1666&gt;0),H1666/E1666,""),"")</f>
        <v/>
      </c>
      <c r="J1666" s="152">
        <f>IFERROR(VALUE(SUBSTITUTE(INDEX('04A_국토부원자료'!$A:$T,ROW()+1,MATCH("층",'04A_국토부원자료'!$A$4:$T$4,0)),",","")),"")</f>
        <v/>
      </c>
      <c r="K1666" s="152">
        <f>IFERROR(VALUE(SUBSTITUTE(INDEX('04A_국토부원자료'!$A:$T,ROW()+1,MATCH("건축년도",'04A_국토부원자료'!$A$4:$T$4,0)),",","")),"")</f>
        <v/>
      </c>
      <c r="L1666" s="176">
        <f>IFERROR(INDEX('04A_국토부원자료'!$A:$T,ROW()+1,MATCH("도로명",'04A_국토부원자료'!$A$4:$T$4,0)),"")</f>
        <v/>
      </c>
      <c r="M1666" s="48">
        <f>IFERROR(INDEX('04A_국토부원자료'!$A:$T,ROW()+1,MATCH("거래유형",'04A_국토부원자료'!$A$4:$T$4,0)),"")</f>
        <v/>
      </c>
      <c r="N1666" s="152">
        <f>IF(B1666="","",IF('02_대상물건입력'!B5="",1,IF(ISNUMBER(SEARCH('02_대상물건입력'!B5,B1666)),1,0)))</f>
        <v/>
      </c>
      <c r="O1666" s="152">
        <f>IF(B1666="","",IF('02_대상물건입력'!B6="",1,IF(ISNUMBER(SEARCH('02_대상물건입력'!B6,B1666)),1,0)))</f>
        <v/>
      </c>
      <c r="P1666" s="152">
        <f>IF(L1666="","",IF('02_대상물건입력'!B15="",0,IF(ISNUMBER(SEARCH('02_대상물건입력'!B15,L1666)),1,0)))</f>
        <v/>
      </c>
      <c r="Q1666" s="152">
        <f>IF(OR(C1666="",L1666=""),0,IF(AND(TRIM(C1666)=TRIM(RIGHT(SUBSTITUTE(TRIM('02_대상물건입력'!$B$7)," ",REPT(" ",99)),99)),IF('02_대상물건입력'!B15="",TRUE(),ISNUMBER(SEARCH('02_대상물건입력'!B15,L1666)))),1,0))</f>
        <v/>
      </c>
      <c r="R1666" s="175">
        <f>IFERROR(ABS(E1666-'02_대상물건입력'!B11)/'02_대상물건입력'!B11,"")</f>
        <v/>
      </c>
      <c r="S1666" s="152">
        <f>IFERROR(ABS(J1666-'02_대상물건입력'!B10),"")</f>
        <v/>
      </c>
      <c r="T1666" s="152">
        <f>IFERROR(ABS('01_설정'!B4-F1666),"")</f>
        <v/>
      </c>
      <c r="U1666" s="152">
        <f>IFERROR(ABS(K1666-YEAR('02_대상물건입력'!B14)),"")</f>
        <v/>
      </c>
      <c r="V1666" s="152">
        <f>IF(B1666="","",IF(AND(E1666&gt;0,F1666&gt;0,H1666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1666=1,TRUE()),R1666&lt;='01_설정'!B5,S1666&lt;='01_설정'!B6,T1666&lt;='01_설정'!B7,U1666&lt;='01_설정'!B8),"Y",""))</f>
        <v/>
      </c>
      <c r="W1666" s="172">
        <f>IF(V1666&lt;&gt;"Y","",MAX(0,(1-R1666/'01_설정'!B5))*'01_설정'!B14+MAX(0,(1-S1666/'01_설정'!B6))*'01_설정'!B15+MAX(0,(1-T1666/'01_설정'!B7))*'01_설정'!B16+MAX(0,(1-U1666/'01_설정'!B8))*'01_설정'!B17+O1666*'01_설정'!B11+Q1666*'01_설정'!B12+P1666*'01_설정'!B13+IF(Z1666="",0,Z1666))</f>
        <v/>
      </c>
      <c r="X1666" s="152">
        <f>IF(W1666="","",1+COUNTIFS($W$4:$W$3003,"&gt;"&amp;W1666)+COUNTIFS($W$4:W1666,W1666)-1)</f>
        <v/>
      </c>
      <c r="Y1666" s="175">
        <f>IF(OR(I1666="",'02_대상물건입력'!B19="",'02_대상물건입력'!B19&lt;=0),"",ABS(I1666-'02_대상물건입력'!B19)/'02_대상물건입력'!B19)</f>
        <v/>
      </c>
      <c r="Z1666" s="172">
        <f>IF(OR(Y1666="",'01_설정'!B31="",'01_설정'!B31&lt;=0,'01_설정'!B32="",'01_설정'!B32&lt;=0),"",MAX(0,(1-Y1666/'01_설정'!B32))*'01_설정'!B31)</f>
        <v/>
      </c>
    </row>
    <row r="1667" ht="17.25" customHeight="1">
      <c r="A1667" s="152">
        <f>IF(INDEX('04A_국토부원자료'!$A:$A,ROW()+1)="","",ROW()-3)</f>
        <v/>
      </c>
      <c r="B1667" s="48">
        <f>IFERROR(INDEX('04A_국토부원자료'!$A:$T,ROW()+1,MATCH("시군구",'04A_국토부원자료'!$A$4:$T$4,0)),"")</f>
        <v/>
      </c>
      <c r="C1667" s="48">
        <f>IF(B1667="","",IFERROR(INDEX('04A_국토부원자료'!$A:$T,ROW()+1,MATCH("번지",'04A_국토부원자료'!$A$4:$T$4,0)),""))</f>
        <v/>
      </c>
      <c r="D1667" s="48">
        <f>IF(B1667="","",IF(Q1667=1,'02_대상물건입력'!$B$8,IFERROR(INDEX('04A_국토부원자료'!$A:$T,ROW()+1,MATCH("단지명",'04A_국토부원자료'!$A$4:$T$4,0)),"")))</f>
        <v/>
      </c>
      <c r="E1667" s="172">
        <f>IFERROR(VALUE(SUBSTITUTE(INDEX('04A_국토부원자료'!$A:$T,ROW()+1,MATCH("전용면적(㎡)",'04A_국토부원자료'!$A$4:$T$4,0)),",","")),"")</f>
        <v/>
      </c>
      <c r="F16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67" s="51">
        <f>IFERROR(VALUE(SUBSTITUTE(INDEX('04A_국토부원자료'!$A:$T,ROW()+1,MATCH("거래금액(만원)",'04A_국토부원자료'!$A$4:$T$4,0)),",","")),"")</f>
        <v/>
      </c>
      <c r="H1667" s="174">
        <f>IF(G1667="","",G1667*10000)</f>
        <v/>
      </c>
      <c r="I1667" s="174">
        <f>IFERROR(IF(AND(H1667&gt;0,E1667&gt;0),H1667/E1667,""),"")</f>
        <v/>
      </c>
      <c r="J1667" s="152">
        <f>IFERROR(VALUE(SUBSTITUTE(INDEX('04A_국토부원자료'!$A:$T,ROW()+1,MATCH("층",'04A_국토부원자료'!$A$4:$T$4,0)),",","")),"")</f>
        <v/>
      </c>
      <c r="K1667" s="152">
        <f>IFERROR(VALUE(SUBSTITUTE(INDEX('04A_국토부원자료'!$A:$T,ROW()+1,MATCH("건축년도",'04A_국토부원자료'!$A$4:$T$4,0)),",","")),"")</f>
        <v/>
      </c>
      <c r="L1667" s="176">
        <f>IFERROR(INDEX('04A_국토부원자료'!$A:$T,ROW()+1,MATCH("도로명",'04A_국토부원자료'!$A$4:$T$4,0)),"")</f>
        <v/>
      </c>
      <c r="M1667" s="48">
        <f>IFERROR(INDEX('04A_국토부원자료'!$A:$T,ROW()+1,MATCH("거래유형",'04A_국토부원자료'!$A$4:$T$4,0)),"")</f>
        <v/>
      </c>
      <c r="N1667" s="152">
        <f>IF(B1667="","",IF('02_대상물건입력'!B5="",1,IF(ISNUMBER(SEARCH('02_대상물건입력'!B5,B1667)),1,0)))</f>
        <v/>
      </c>
      <c r="O1667" s="152">
        <f>IF(B1667="","",IF('02_대상물건입력'!B6="",1,IF(ISNUMBER(SEARCH('02_대상물건입력'!B6,B1667)),1,0)))</f>
        <v/>
      </c>
      <c r="P1667" s="152">
        <f>IF(L1667="","",IF('02_대상물건입력'!B15="",0,IF(ISNUMBER(SEARCH('02_대상물건입력'!B15,L1667)),1,0)))</f>
        <v/>
      </c>
      <c r="Q1667" s="152">
        <f>IF(OR(C1667="",L1667=""),0,IF(AND(TRIM(C1667)=TRIM(RIGHT(SUBSTITUTE(TRIM('02_대상물건입력'!$B$7)," ",REPT(" ",99)),99)),IF('02_대상물건입력'!B15="",TRUE(),ISNUMBER(SEARCH('02_대상물건입력'!B15,L1667)))),1,0))</f>
        <v/>
      </c>
      <c r="R1667" s="175">
        <f>IFERROR(ABS(E1667-'02_대상물건입력'!B11)/'02_대상물건입력'!B11,"")</f>
        <v/>
      </c>
      <c r="S1667" s="152">
        <f>IFERROR(ABS(J1667-'02_대상물건입력'!B10),"")</f>
        <v/>
      </c>
      <c r="T1667" s="152">
        <f>IFERROR(ABS('01_설정'!B4-F1667),"")</f>
        <v/>
      </c>
      <c r="U1667" s="152">
        <f>IFERROR(ABS(K1667-YEAR('02_대상물건입력'!B14)),"")</f>
        <v/>
      </c>
      <c r="V1667" s="152">
        <f>IF(B1667="","",IF(AND(E1667&gt;0,F1667&gt;0,H1667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1667=1,TRUE()),R1667&lt;='01_설정'!B5,S1667&lt;='01_설정'!B6,T1667&lt;='01_설정'!B7,U1667&lt;='01_설정'!B8),"Y",""))</f>
        <v/>
      </c>
      <c r="W1667" s="172">
        <f>IF(V1667&lt;&gt;"Y","",MAX(0,(1-R1667/'01_설정'!B5))*'01_설정'!B14+MAX(0,(1-S1667/'01_설정'!B6))*'01_설정'!B15+MAX(0,(1-T1667/'01_설정'!B7))*'01_설정'!B16+MAX(0,(1-U1667/'01_설정'!B8))*'01_설정'!B17+O1667*'01_설정'!B11+Q1667*'01_설정'!B12+P1667*'01_설정'!B13+IF(Z1667="",0,Z1667))</f>
        <v/>
      </c>
      <c r="X1667" s="152">
        <f>IF(W1667="","",1+COUNTIFS($W$4:$W$3003,"&gt;"&amp;W1667)+COUNTIFS($W$4:W1667,W1667)-1)</f>
        <v/>
      </c>
      <c r="Y1667" s="175">
        <f>IF(OR(I1667="",'02_대상물건입력'!B19="",'02_대상물건입력'!B19&lt;=0),"",ABS(I1667-'02_대상물건입력'!B19)/'02_대상물건입력'!B19)</f>
        <v/>
      </c>
      <c r="Z1667" s="172">
        <f>IF(OR(Y1667="",'01_설정'!B31="",'01_설정'!B31&lt;=0,'01_설정'!B32="",'01_설정'!B32&lt;=0),"",MAX(0,(1-Y1667/'01_설정'!B32))*'01_설정'!B31)</f>
        <v/>
      </c>
    </row>
    <row r="1668" ht="17.25" customHeight="1">
      <c r="A1668" s="152">
        <f>IF(INDEX('04A_국토부원자료'!$A:$A,ROW()+1)="","",ROW()-3)</f>
        <v/>
      </c>
      <c r="B1668" s="48">
        <f>IFERROR(INDEX('04A_국토부원자료'!$A:$T,ROW()+1,MATCH("시군구",'04A_국토부원자료'!$A$4:$T$4,0)),"")</f>
        <v/>
      </c>
      <c r="C1668" s="48">
        <f>IF(B1668="","",IFERROR(INDEX('04A_국토부원자료'!$A:$T,ROW()+1,MATCH("번지",'04A_국토부원자료'!$A$4:$T$4,0)),""))</f>
        <v/>
      </c>
      <c r="D1668" s="48">
        <f>IF(B1668="","",IF(Q1668=1,'02_대상물건입력'!$B$8,IFERROR(INDEX('04A_국토부원자료'!$A:$T,ROW()+1,MATCH("단지명",'04A_국토부원자료'!$A$4:$T$4,0)),"")))</f>
        <v/>
      </c>
      <c r="E1668" s="172">
        <f>IFERROR(VALUE(SUBSTITUTE(INDEX('04A_국토부원자료'!$A:$T,ROW()+1,MATCH("전용면적(㎡)",'04A_국토부원자료'!$A$4:$T$4,0)),",","")),"")</f>
        <v/>
      </c>
      <c r="F16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68" s="51">
        <f>IFERROR(VALUE(SUBSTITUTE(INDEX('04A_국토부원자료'!$A:$T,ROW()+1,MATCH("거래금액(만원)",'04A_국토부원자료'!$A$4:$T$4,0)),",","")),"")</f>
        <v/>
      </c>
      <c r="H1668" s="174">
        <f>IF(G1668="","",G1668*10000)</f>
        <v/>
      </c>
      <c r="I1668" s="174">
        <f>IFERROR(IF(AND(H1668&gt;0,E1668&gt;0),H1668/E1668,""),"")</f>
        <v/>
      </c>
      <c r="J1668" s="152">
        <f>IFERROR(VALUE(SUBSTITUTE(INDEX('04A_국토부원자료'!$A:$T,ROW()+1,MATCH("층",'04A_국토부원자료'!$A$4:$T$4,0)),",","")),"")</f>
        <v/>
      </c>
      <c r="K1668" s="152">
        <f>IFERROR(VALUE(SUBSTITUTE(INDEX('04A_국토부원자료'!$A:$T,ROW()+1,MATCH("건축년도",'04A_국토부원자료'!$A$4:$T$4,0)),",","")),"")</f>
        <v/>
      </c>
      <c r="L1668" s="176">
        <f>IFERROR(INDEX('04A_국토부원자료'!$A:$T,ROW()+1,MATCH("도로명",'04A_국토부원자료'!$A$4:$T$4,0)),"")</f>
        <v/>
      </c>
      <c r="M1668" s="48">
        <f>IFERROR(INDEX('04A_국토부원자료'!$A:$T,ROW()+1,MATCH("거래유형",'04A_국토부원자료'!$A$4:$T$4,0)),"")</f>
        <v/>
      </c>
      <c r="N1668" s="152">
        <f>IF(B1668="","",IF('02_대상물건입력'!B5="",1,IF(ISNUMBER(SEARCH('02_대상물건입력'!B5,B1668)),1,0)))</f>
        <v/>
      </c>
      <c r="O1668" s="152">
        <f>IF(B1668="","",IF('02_대상물건입력'!B6="",1,IF(ISNUMBER(SEARCH('02_대상물건입력'!B6,B1668)),1,0)))</f>
        <v/>
      </c>
      <c r="P1668" s="152">
        <f>IF(L1668="","",IF('02_대상물건입력'!B15="",0,IF(ISNUMBER(SEARCH('02_대상물건입력'!B15,L1668)),1,0)))</f>
        <v/>
      </c>
      <c r="Q1668" s="152">
        <f>IF(OR(C1668="",L1668=""),0,IF(AND(TRIM(C1668)=TRIM(RIGHT(SUBSTITUTE(TRIM('02_대상물건입력'!$B$7)," ",REPT(" ",99)),99)),IF('02_대상물건입력'!B15="",TRUE(),ISNUMBER(SEARCH('02_대상물건입력'!B15,L1668)))),1,0))</f>
        <v/>
      </c>
      <c r="R1668" s="175">
        <f>IFERROR(ABS(E1668-'02_대상물건입력'!B11)/'02_대상물건입력'!B11,"")</f>
        <v/>
      </c>
      <c r="S1668" s="152">
        <f>IFERROR(ABS(J1668-'02_대상물건입력'!B10),"")</f>
        <v/>
      </c>
      <c r="T1668" s="152">
        <f>IFERROR(ABS('01_설정'!B4-F1668),"")</f>
        <v/>
      </c>
      <c r="U1668" s="152">
        <f>IFERROR(ABS(K1668-YEAR('02_대상물건입력'!B14)),"")</f>
        <v/>
      </c>
      <c r="V1668" s="152">
        <f>IF(B1668="","",IF(AND(E1668&gt;0,F1668&gt;0,H1668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1668=1,TRUE()),R1668&lt;='01_설정'!B5,S1668&lt;='01_설정'!B6,T1668&lt;='01_설정'!B7,U1668&lt;='01_설정'!B8),"Y",""))</f>
        <v/>
      </c>
      <c r="W1668" s="172">
        <f>IF(V1668&lt;&gt;"Y","",MAX(0,(1-R1668/'01_설정'!B5))*'01_설정'!B14+MAX(0,(1-S1668/'01_설정'!B6))*'01_설정'!B15+MAX(0,(1-T1668/'01_설정'!B7))*'01_설정'!B16+MAX(0,(1-U1668/'01_설정'!B8))*'01_설정'!B17+O1668*'01_설정'!B11+Q1668*'01_설정'!B12+P1668*'01_설정'!B13+IF(Z1668="",0,Z1668))</f>
        <v/>
      </c>
      <c r="X1668" s="152">
        <f>IF(W1668="","",1+COUNTIFS($W$4:$W$3003,"&gt;"&amp;W1668)+COUNTIFS($W$4:W1668,W1668)-1)</f>
        <v/>
      </c>
      <c r="Y1668" s="175">
        <f>IF(OR(I1668="",'02_대상물건입력'!B19="",'02_대상물건입력'!B19&lt;=0),"",ABS(I1668-'02_대상물건입력'!B19)/'02_대상물건입력'!B19)</f>
        <v/>
      </c>
      <c r="Z1668" s="172">
        <f>IF(OR(Y1668="",'01_설정'!B31="",'01_설정'!B31&lt;=0,'01_설정'!B32="",'01_설정'!B32&lt;=0),"",MAX(0,(1-Y1668/'01_설정'!B32))*'01_설정'!B31)</f>
        <v/>
      </c>
    </row>
    <row r="1669" ht="17.25" customHeight="1">
      <c r="A1669" s="152">
        <f>IF(INDEX('04A_국토부원자료'!$A:$A,ROW()+1)="","",ROW()-3)</f>
        <v/>
      </c>
      <c r="B1669" s="48">
        <f>IFERROR(INDEX('04A_국토부원자료'!$A:$T,ROW()+1,MATCH("시군구",'04A_국토부원자료'!$A$4:$T$4,0)),"")</f>
        <v/>
      </c>
      <c r="C1669" s="48">
        <f>IF(B1669="","",IFERROR(INDEX('04A_국토부원자료'!$A:$T,ROW()+1,MATCH("번지",'04A_국토부원자료'!$A$4:$T$4,0)),""))</f>
        <v/>
      </c>
      <c r="D1669" s="48">
        <f>IF(B1669="","",IF(Q1669=1,'02_대상물건입력'!$B$8,IFERROR(INDEX('04A_국토부원자료'!$A:$T,ROW()+1,MATCH("단지명",'04A_국토부원자료'!$A$4:$T$4,0)),"")))</f>
        <v/>
      </c>
      <c r="E1669" s="172">
        <f>IFERROR(VALUE(SUBSTITUTE(INDEX('04A_국토부원자료'!$A:$T,ROW()+1,MATCH("전용면적(㎡)",'04A_국토부원자료'!$A$4:$T$4,0)),",","")),"")</f>
        <v/>
      </c>
      <c r="F16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69" s="51">
        <f>IFERROR(VALUE(SUBSTITUTE(INDEX('04A_국토부원자료'!$A:$T,ROW()+1,MATCH("거래금액(만원)",'04A_국토부원자료'!$A$4:$T$4,0)),",","")),"")</f>
        <v/>
      </c>
      <c r="H1669" s="174">
        <f>IF(G1669="","",G1669*10000)</f>
        <v/>
      </c>
      <c r="I1669" s="174">
        <f>IFERROR(IF(AND(H1669&gt;0,E1669&gt;0),H1669/E1669,""),"")</f>
        <v/>
      </c>
      <c r="J1669" s="152">
        <f>IFERROR(VALUE(SUBSTITUTE(INDEX('04A_국토부원자료'!$A:$T,ROW()+1,MATCH("층",'04A_국토부원자료'!$A$4:$T$4,0)),",","")),"")</f>
        <v/>
      </c>
      <c r="K1669" s="152">
        <f>IFERROR(VALUE(SUBSTITUTE(INDEX('04A_국토부원자료'!$A:$T,ROW()+1,MATCH("건축년도",'04A_국토부원자료'!$A$4:$T$4,0)),",","")),"")</f>
        <v/>
      </c>
      <c r="L1669" s="176">
        <f>IFERROR(INDEX('04A_국토부원자료'!$A:$T,ROW()+1,MATCH("도로명",'04A_국토부원자료'!$A$4:$T$4,0)),"")</f>
        <v/>
      </c>
      <c r="M1669" s="48">
        <f>IFERROR(INDEX('04A_국토부원자료'!$A:$T,ROW()+1,MATCH("거래유형",'04A_국토부원자료'!$A$4:$T$4,0)),"")</f>
        <v/>
      </c>
      <c r="N1669" s="152">
        <f>IF(B1669="","",IF('02_대상물건입력'!B5="",1,IF(ISNUMBER(SEARCH('02_대상물건입력'!B5,B1669)),1,0)))</f>
        <v/>
      </c>
      <c r="O1669" s="152">
        <f>IF(B1669="","",IF('02_대상물건입력'!B6="",1,IF(ISNUMBER(SEARCH('02_대상물건입력'!B6,B1669)),1,0)))</f>
        <v/>
      </c>
      <c r="P1669" s="152">
        <f>IF(L1669="","",IF('02_대상물건입력'!B15="",0,IF(ISNUMBER(SEARCH('02_대상물건입력'!B15,L1669)),1,0)))</f>
        <v/>
      </c>
      <c r="Q1669" s="152">
        <f>IF(OR(C1669="",L1669=""),0,IF(AND(TRIM(C1669)=TRIM(RIGHT(SUBSTITUTE(TRIM('02_대상물건입력'!$B$7)," ",REPT(" ",99)),99)),IF('02_대상물건입력'!B15="",TRUE(),ISNUMBER(SEARCH('02_대상물건입력'!B15,L1669)))),1,0))</f>
        <v/>
      </c>
      <c r="R1669" s="175">
        <f>IFERROR(ABS(E1669-'02_대상물건입력'!B11)/'02_대상물건입력'!B11,"")</f>
        <v/>
      </c>
      <c r="S1669" s="152">
        <f>IFERROR(ABS(J1669-'02_대상물건입력'!B10),"")</f>
        <v/>
      </c>
      <c r="T1669" s="152">
        <f>IFERROR(ABS('01_설정'!B4-F1669),"")</f>
        <v/>
      </c>
      <c r="U1669" s="152">
        <f>IFERROR(ABS(K1669-YEAR('02_대상물건입력'!B14)),"")</f>
        <v/>
      </c>
      <c r="V1669" s="152">
        <f>IF(B1669="","",IF(AND(E1669&gt;0,F1669&gt;0,H1669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1669=1,TRUE()),R1669&lt;='01_설정'!B5,S1669&lt;='01_설정'!B6,T1669&lt;='01_설정'!B7,U1669&lt;='01_설정'!B8),"Y",""))</f>
        <v/>
      </c>
      <c r="W1669" s="172">
        <f>IF(V1669&lt;&gt;"Y","",MAX(0,(1-R1669/'01_설정'!B5))*'01_설정'!B14+MAX(0,(1-S1669/'01_설정'!B6))*'01_설정'!B15+MAX(0,(1-T1669/'01_설정'!B7))*'01_설정'!B16+MAX(0,(1-U1669/'01_설정'!B8))*'01_설정'!B17+O1669*'01_설정'!B11+Q1669*'01_설정'!B12+P1669*'01_설정'!B13+IF(Z1669="",0,Z1669))</f>
        <v/>
      </c>
      <c r="X1669" s="152">
        <f>IF(W1669="","",1+COUNTIFS($W$4:$W$3003,"&gt;"&amp;W1669)+COUNTIFS($W$4:W1669,W1669)-1)</f>
        <v/>
      </c>
      <c r="Y1669" s="175">
        <f>IF(OR(I1669="",'02_대상물건입력'!B19="",'02_대상물건입력'!B19&lt;=0),"",ABS(I1669-'02_대상물건입력'!B19)/'02_대상물건입력'!B19)</f>
        <v/>
      </c>
      <c r="Z1669" s="172">
        <f>IF(OR(Y1669="",'01_설정'!B31="",'01_설정'!B31&lt;=0,'01_설정'!B32="",'01_설정'!B32&lt;=0),"",MAX(0,(1-Y1669/'01_설정'!B32))*'01_설정'!B31)</f>
        <v/>
      </c>
    </row>
    <row r="1670" ht="17.25" customHeight="1">
      <c r="A1670" s="152">
        <f>IF(INDEX('04A_국토부원자료'!$A:$A,ROW()+1)="","",ROW()-3)</f>
        <v/>
      </c>
      <c r="B1670" s="48">
        <f>IFERROR(INDEX('04A_국토부원자료'!$A:$T,ROW()+1,MATCH("시군구",'04A_국토부원자료'!$A$4:$T$4,0)),"")</f>
        <v/>
      </c>
      <c r="C1670" s="48">
        <f>IF(B1670="","",IFERROR(INDEX('04A_국토부원자료'!$A:$T,ROW()+1,MATCH("번지",'04A_국토부원자료'!$A$4:$T$4,0)),""))</f>
        <v/>
      </c>
      <c r="D1670" s="48">
        <f>IF(B1670="","",IF(Q1670=1,'02_대상물건입력'!$B$8,IFERROR(INDEX('04A_국토부원자료'!$A:$T,ROW()+1,MATCH("단지명",'04A_국토부원자료'!$A$4:$T$4,0)),"")))</f>
        <v/>
      </c>
      <c r="E1670" s="172">
        <f>IFERROR(VALUE(SUBSTITUTE(INDEX('04A_국토부원자료'!$A:$T,ROW()+1,MATCH("전용면적(㎡)",'04A_국토부원자료'!$A$4:$T$4,0)),",","")),"")</f>
        <v/>
      </c>
      <c r="F16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70" s="51">
        <f>IFERROR(VALUE(SUBSTITUTE(INDEX('04A_국토부원자료'!$A:$T,ROW()+1,MATCH("거래금액(만원)",'04A_국토부원자료'!$A$4:$T$4,0)),",","")),"")</f>
        <v/>
      </c>
      <c r="H1670" s="174">
        <f>IF(G1670="","",G1670*10000)</f>
        <v/>
      </c>
      <c r="I1670" s="174">
        <f>IFERROR(IF(AND(H1670&gt;0,E1670&gt;0),H1670/E1670,""),"")</f>
        <v/>
      </c>
      <c r="J1670" s="152">
        <f>IFERROR(VALUE(SUBSTITUTE(INDEX('04A_국토부원자료'!$A:$T,ROW()+1,MATCH("층",'04A_국토부원자료'!$A$4:$T$4,0)),",","")),"")</f>
        <v/>
      </c>
      <c r="K1670" s="152">
        <f>IFERROR(VALUE(SUBSTITUTE(INDEX('04A_국토부원자료'!$A:$T,ROW()+1,MATCH("건축년도",'04A_국토부원자료'!$A$4:$T$4,0)),",","")),"")</f>
        <v/>
      </c>
      <c r="L1670" s="176">
        <f>IFERROR(INDEX('04A_국토부원자료'!$A:$T,ROW()+1,MATCH("도로명",'04A_국토부원자료'!$A$4:$T$4,0)),"")</f>
        <v/>
      </c>
      <c r="M1670" s="48">
        <f>IFERROR(INDEX('04A_국토부원자료'!$A:$T,ROW()+1,MATCH("거래유형",'04A_국토부원자료'!$A$4:$T$4,0)),"")</f>
        <v/>
      </c>
      <c r="N1670" s="152">
        <f>IF(B1670="","",IF('02_대상물건입력'!B5="",1,IF(ISNUMBER(SEARCH('02_대상물건입력'!B5,B1670)),1,0)))</f>
        <v/>
      </c>
      <c r="O1670" s="152">
        <f>IF(B1670="","",IF('02_대상물건입력'!B6="",1,IF(ISNUMBER(SEARCH('02_대상물건입력'!B6,B1670)),1,0)))</f>
        <v/>
      </c>
      <c r="P1670" s="152">
        <f>IF(L1670="","",IF('02_대상물건입력'!B15="",0,IF(ISNUMBER(SEARCH('02_대상물건입력'!B15,L1670)),1,0)))</f>
        <v/>
      </c>
      <c r="Q1670" s="152">
        <f>IF(OR(C1670="",L1670=""),0,IF(AND(TRIM(C1670)=TRIM(RIGHT(SUBSTITUTE(TRIM('02_대상물건입력'!$B$7)," ",REPT(" ",99)),99)),IF('02_대상물건입력'!B15="",TRUE(),ISNUMBER(SEARCH('02_대상물건입력'!B15,L1670)))),1,0))</f>
        <v/>
      </c>
      <c r="R1670" s="175">
        <f>IFERROR(ABS(E1670-'02_대상물건입력'!B11)/'02_대상물건입력'!B11,"")</f>
        <v/>
      </c>
      <c r="S1670" s="152">
        <f>IFERROR(ABS(J1670-'02_대상물건입력'!B10),"")</f>
        <v/>
      </c>
      <c r="T1670" s="152">
        <f>IFERROR(ABS('01_설정'!B4-F1670),"")</f>
        <v/>
      </c>
      <c r="U1670" s="152">
        <f>IFERROR(ABS(K1670-YEAR('02_대상물건입력'!B14)),"")</f>
        <v/>
      </c>
      <c r="V1670" s="152">
        <f>IF(B1670="","",IF(AND(E1670&gt;0,F1670&gt;0,H1670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1670=1,TRUE()),R1670&lt;='01_설정'!B5,S1670&lt;='01_설정'!B6,T1670&lt;='01_설정'!B7,U1670&lt;='01_설정'!B8),"Y",""))</f>
        <v/>
      </c>
      <c r="W1670" s="172">
        <f>IF(V1670&lt;&gt;"Y","",MAX(0,(1-R1670/'01_설정'!B5))*'01_설정'!B14+MAX(0,(1-S1670/'01_설정'!B6))*'01_설정'!B15+MAX(0,(1-T1670/'01_설정'!B7))*'01_설정'!B16+MAX(0,(1-U1670/'01_설정'!B8))*'01_설정'!B17+O1670*'01_설정'!B11+Q1670*'01_설정'!B12+P1670*'01_설정'!B13+IF(Z1670="",0,Z1670))</f>
        <v/>
      </c>
      <c r="X1670" s="152">
        <f>IF(W1670="","",1+COUNTIFS($W$4:$W$3003,"&gt;"&amp;W1670)+COUNTIFS($W$4:W1670,W1670)-1)</f>
        <v/>
      </c>
      <c r="Y1670" s="175">
        <f>IF(OR(I1670="",'02_대상물건입력'!B19="",'02_대상물건입력'!B19&lt;=0),"",ABS(I1670-'02_대상물건입력'!B19)/'02_대상물건입력'!B19)</f>
        <v/>
      </c>
      <c r="Z1670" s="172">
        <f>IF(OR(Y1670="",'01_설정'!B31="",'01_설정'!B31&lt;=0,'01_설정'!B32="",'01_설정'!B32&lt;=0),"",MAX(0,(1-Y1670/'01_설정'!B32))*'01_설정'!B31)</f>
        <v/>
      </c>
    </row>
    <row r="1671" ht="17.25" customHeight="1">
      <c r="A1671" s="152">
        <f>IF(INDEX('04A_국토부원자료'!$A:$A,ROW()+1)="","",ROW()-3)</f>
        <v/>
      </c>
      <c r="B1671" s="48">
        <f>IFERROR(INDEX('04A_국토부원자료'!$A:$T,ROW()+1,MATCH("시군구",'04A_국토부원자료'!$A$4:$T$4,0)),"")</f>
        <v/>
      </c>
      <c r="C1671" s="48">
        <f>IF(B1671="","",IFERROR(INDEX('04A_국토부원자료'!$A:$T,ROW()+1,MATCH("번지",'04A_국토부원자료'!$A$4:$T$4,0)),""))</f>
        <v/>
      </c>
      <c r="D1671" s="48">
        <f>IF(B1671="","",IF(Q1671=1,'02_대상물건입력'!$B$8,IFERROR(INDEX('04A_국토부원자료'!$A:$T,ROW()+1,MATCH("단지명",'04A_국토부원자료'!$A$4:$T$4,0)),"")))</f>
        <v/>
      </c>
      <c r="E1671" s="172">
        <f>IFERROR(VALUE(SUBSTITUTE(INDEX('04A_국토부원자료'!$A:$T,ROW()+1,MATCH("전용면적(㎡)",'04A_국토부원자료'!$A$4:$T$4,0)),",","")),"")</f>
        <v/>
      </c>
      <c r="F16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71" s="51">
        <f>IFERROR(VALUE(SUBSTITUTE(INDEX('04A_국토부원자료'!$A:$T,ROW()+1,MATCH("거래금액(만원)",'04A_국토부원자료'!$A$4:$T$4,0)),",","")),"")</f>
        <v/>
      </c>
      <c r="H1671" s="174">
        <f>IF(G1671="","",G1671*10000)</f>
        <v/>
      </c>
      <c r="I1671" s="174">
        <f>IFERROR(IF(AND(H1671&gt;0,E1671&gt;0),H1671/E1671,""),"")</f>
        <v/>
      </c>
      <c r="J1671" s="152">
        <f>IFERROR(VALUE(SUBSTITUTE(INDEX('04A_국토부원자료'!$A:$T,ROW()+1,MATCH("층",'04A_국토부원자료'!$A$4:$T$4,0)),",","")),"")</f>
        <v/>
      </c>
      <c r="K1671" s="152">
        <f>IFERROR(VALUE(SUBSTITUTE(INDEX('04A_국토부원자료'!$A:$T,ROW()+1,MATCH("건축년도",'04A_국토부원자료'!$A$4:$T$4,0)),",","")),"")</f>
        <v/>
      </c>
      <c r="L1671" s="176">
        <f>IFERROR(INDEX('04A_국토부원자료'!$A:$T,ROW()+1,MATCH("도로명",'04A_국토부원자료'!$A$4:$T$4,0)),"")</f>
        <v/>
      </c>
      <c r="M1671" s="48">
        <f>IFERROR(INDEX('04A_국토부원자료'!$A:$T,ROW()+1,MATCH("거래유형",'04A_국토부원자료'!$A$4:$T$4,0)),"")</f>
        <v/>
      </c>
      <c r="N1671" s="152">
        <f>IF(B1671="","",IF('02_대상물건입력'!B5="",1,IF(ISNUMBER(SEARCH('02_대상물건입력'!B5,B1671)),1,0)))</f>
        <v/>
      </c>
      <c r="O1671" s="152">
        <f>IF(B1671="","",IF('02_대상물건입력'!B6="",1,IF(ISNUMBER(SEARCH('02_대상물건입력'!B6,B1671)),1,0)))</f>
        <v/>
      </c>
      <c r="P1671" s="152">
        <f>IF(L1671="","",IF('02_대상물건입력'!B15="",0,IF(ISNUMBER(SEARCH('02_대상물건입력'!B15,L1671)),1,0)))</f>
        <v/>
      </c>
      <c r="Q1671" s="152">
        <f>IF(OR(C1671="",L1671=""),0,IF(AND(TRIM(C1671)=TRIM(RIGHT(SUBSTITUTE(TRIM('02_대상물건입력'!$B$7)," ",REPT(" ",99)),99)),IF('02_대상물건입력'!B15="",TRUE(),ISNUMBER(SEARCH('02_대상물건입력'!B15,L1671)))),1,0))</f>
        <v/>
      </c>
      <c r="R1671" s="175">
        <f>IFERROR(ABS(E1671-'02_대상물건입력'!B11)/'02_대상물건입력'!B11,"")</f>
        <v/>
      </c>
      <c r="S1671" s="152">
        <f>IFERROR(ABS(J1671-'02_대상물건입력'!B10),"")</f>
        <v/>
      </c>
      <c r="T1671" s="152">
        <f>IFERROR(ABS('01_설정'!B4-F1671),"")</f>
        <v/>
      </c>
      <c r="U1671" s="152">
        <f>IFERROR(ABS(K1671-YEAR('02_대상물건입력'!B14)),"")</f>
        <v/>
      </c>
      <c r="V1671" s="152">
        <f>IF(B1671="","",IF(AND(E1671&gt;0,F1671&gt;0,H1671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1671=1,TRUE()),R1671&lt;='01_설정'!B5,S1671&lt;='01_설정'!B6,T1671&lt;='01_설정'!B7,U1671&lt;='01_설정'!B8),"Y",""))</f>
        <v/>
      </c>
      <c r="W1671" s="172">
        <f>IF(V1671&lt;&gt;"Y","",MAX(0,(1-R1671/'01_설정'!B5))*'01_설정'!B14+MAX(0,(1-S1671/'01_설정'!B6))*'01_설정'!B15+MAX(0,(1-T1671/'01_설정'!B7))*'01_설정'!B16+MAX(0,(1-U1671/'01_설정'!B8))*'01_설정'!B17+O1671*'01_설정'!B11+Q1671*'01_설정'!B12+P1671*'01_설정'!B13+IF(Z1671="",0,Z1671))</f>
        <v/>
      </c>
      <c r="X1671" s="152">
        <f>IF(W1671="","",1+COUNTIFS($W$4:$W$3003,"&gt;"&amp;W1671)+COUNTIFS($W$4:W1671,W1671)-1)</f>
        <v/>
      </c>
      <c r="Y1671" s="175">
        <f>IF(OR(I1671="",'02_대상물건입력'!B19="",'02_대상물건입력'!B19&lt;=0),"",ABS(I1671-'02_대상물건입력'!B19)/'02_대상물건입력'!B19)</f>
        <v/>
      </c>
      <c r="Z1671" s="172">
        <f>IF(OR(Y1671="",'01_설정'!B31="",'01_설정'!B31&lt;=0,'01_설정'!B32="",'01_설정'!B32&lt;=0),"",MAX(0,(1-Y1671/'01_설정'!B32))*'01_설정'!B31)</f>
        <v/>
      </c>
    </row>
    <row r="1672" ht="17.25" customHeight="1">
      <c r="A1672" s="152">
        <f>IF(INDEX('04A_국토부원자료'!$A:$A,ROW()+1)="","",ROW()-3)</f>
        <v/>
      </c>
      <c r="B1672" s="48">
        <f>IFERROR(INDEX('04A_국토부원자료'!$A:$T,ROW()+1,MATCH("시군구",'04A_국토부원자료'!$A$4:$T$4,0)),"")</f>
        <v/>
      </c>
      <c r="C1672" s="48">
        <f>IF(B1672="","",IFERROR(INDEX('04A_국토부원자료'!$A:$T,ROW()+1,MATCH("번지",'04A_국토부원자료'!$A$4:$T$4,0)),""))</f>
        <v/>
      </c>
      <c r="D1672" s="48">
        <f>IF(B1672="","",IF(Q1672=1,'02_대상물건입력'!$B$8,IFERROR(INDEX('04A_국토부원자료'!$A:$T,ROW()+1,MATCH("단지명",'04A_국토부원자료'!$A$4:$T$4,0)),"")))</f>
        <v/>
      </c>
      <c r="E1672" s="172">
        <f>IFERROR(VALUE(SUBSTITUTE(INDEX('04A_국토부원자료'!$A:$T,ROW()+1,MATCH("전용면적(㎡)",'04A_국토부원자료'!$A$4:$T$4,0)),",","")),"")</f>
        <v/>
      </c>
      <c r="F16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72" s="51">
        <f>IFERROR(VALUE(SUBSTITUTE(INDEX('04A_국토부원자료'!$A:$T,ROW()+1,MATCH("거래금액(만원)",'04A_국토부원자료'!$A$4:$T$4,0)),",","")),"")</f>
        <v/>
      </c>
      <c r="H1672" s="174">
        <f>IF(G1672="","",G1672*10000)</f>
        <v/>
      </c>
      <c r="I1672" s="174">
        <f>IFERROR(IF(AND(H1672&gt;0,E1672&gt;0),H1672/E1672,""),"")</f>
        <v/>
      </c>
      <c r="J1672" s="152">
        <f>IFERROR(VALUE(SUBSTITUTE(INDEX('04A_국토부원자료'!$A:$T,ROW()+1,MATCH("층",'04A_국토부원자료'!$A$4:$T$4,0)),",","")),"")</f>
        <v/>
      </c>
      <c r="K1672" s="152">
        <f>IFERROR(VALUE(SUBSTITUTE(INDEX('04A_국토부원자료'!$A:$T,ROW()+1,MATCH("건축년도",'04A_국토부원자료'!$A$4:$T$4,0)),",","")),"")</f>
        <v/>
      </c>
      <c r="L1672" s="176">
        <f>IFERROR(INDEX('04A_국토부원자료'!$A:$T,ROW()+1,MATCH("도로명",'04A_국토부원자료'!$A$4:$T$4,0)),"")</f>
        <v/>
      </c>
      <c r="M1672" s="48">
        <f>IFERROR(INDEX('04A_국토부원자료'!$A:$T,ROW()+1,MATCH("거래유형",'04A_국토부원자료'!$A$4:$T$4,0)),"")</f>
        <v/>
      </c>
      <c r="N1672" s="152">
        <f>IF(B1672="","",IF('02_대상물건입력'!B5="",1,IF(ISNUMBER(SEARCH('02_대상물건입력'!B5,B1672)),1,0)))</f>
        <v/>
      </c>
      <c r="O1672" s="152">
        <f>IF(B1672="","",IF('02_대상물건입력'!B6="",1,IF(ISNUMBER(SEARCH('02_대상물건입력'!B6,B1672)),1,0)))</f>
        <v/>
      </c>
      <c r="P1672" s="152">
        <f>IF(L1672="","",IF('02_대상물건입력'!B15="",0,IF(ISNUMBER(SEARCH('02_대상물건입력'!B15,L1672)),1,0)))</f>
        <v/>
      </c>
      <c r="Q1672" s="152">
        <f>IF(OR(C1672="",L1672=""),0,IF(AND(TRIM(C1672)=TRIM(RIGHT(SUBSTITUTE(TRIM('02_대상물건입력'!$B$7)," ",REPT(" ",99)),99)),IF('02_대상물건입력'!B15="",TRUE(),ISNUMBER(SEARCH('02_대상물건입력'!B15,L1672)))),1,0))</f>
        <v/>
      </c>
      <c r="R1672" s="175">
        <f>IFERROR(ABS(E1672-'02_대상물건입력'!B11)/'02_대상물건입력'!B11,"")</f>
        <v/>
      </c>
      <c r="S1672" s="152">
        <f>IFERROR(ABS(J1672-'02_대상물건입력'!B10),"")</f>
        <v/>
      </c>
      <c r="T1672" s="152">
        <f>IFERROR(ABS('01_설정'!B4-F1672),"")</f>
        <v/>
      </c>
      <c r="U1672" s="152">
        <f>IFERROR(ABS(K1672-YEAR('02_대상물건입력'!B14)),"")</f>
        <v/>
      </c>
      <c r="V1672" s="152">
        <f>IF(B1672="","",IF(AND(E1672&gt;0,F1672&gt;0,H1672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1672=1,TRUE()),R1672&lt;='01_설정'!B5,S1672&lt;='01_설정'!B6,T1672&lt;='01_설정'!B7,U1672&lt;='01_설정'!B8),"Y",""))</f>
        <v/>
      </c>
      <c r="W1672" s="172">
        <f>IF(V1672&lt;&gt;"Y","",MAX(0,(1-R1672/'01_설정'!B5))*'01_설정'!B14+MAX(0,(1-S1672/'01_설정'!B6))*'01_설정'!B15+MAX(0,(1-T1672/'01_설정'!B7))*'01_설정'!B16+MAX(0,(1-U1672/'01_설정'!B8))*'01_설정'!B17+O1672*'01_설정'!B11+Q1672*'01_설정'!B12+P1672*'01_설정'!B13+IF(Z1672="",0,Z1672))</f>
        <v/>
      </c>
      <c r="X1672" s="152">
        <f>IF(W1672="","",1+COUNTIFS($W$4:$W$3003,"&gt;"&amp;W1672)+COUNTIFS($W$4:W1672,W1672)-1)</f>
        <v/>
      </c>
      <c r="Y1672" s="175">
        <f>IF(OR(I1672="",'02_대상물건입력'!B19="",'02_대상물건입력'!B19&lt;=0),"",ABS(I1672-'02_대상물건입력'!B19)/'02_대상물건입력'!B19)</f>
        <v/>
      </c>
      <c r="Z1672" s="172">
        <f>IF(OR(Y1672="",'01_설정'!B31="",'01_설정'!B31&lt;=0,'01_설정'!B32="",'01_설정'!B32&lt;=0),"",MAX(0,(1-Y1672/'01_설정'!B32))*'01_설정'!B31)</f>
        <v/>
      </c>
    </row>
    <row r="1673" ht="17.25" customHeight="1">
      <c r="A1673" s="152">
        <f>IF(INDEX('04A_국토부원자료'!$A:$A,ROW()+1)="","",ROW()-3)</f>
        <v/>
      </c>
      <c r="B1673" s="48">
        <f>IFERROR(INDEX('04A_국토부원자료'!$A:$T,ROW()+1,MATCH("시군구",'04A_국토부원자료'!$A$4:$T$4,0)),"")</f>
        <v/>
      </c>
      <c r="C1673" s="48">
        <f>IF(B1673="","",IFERROR(INDEX('04A_국토부원자료'!$A:$T,ROW()+1,MATCH("번지",'04A_국토부원자료'!$A$4:$T$4,0)),""))</f>
        <v/>
      </c>
      <c r="D1673" s="48">
        <f>IF(B1673="","",IF(Q1673=1,'02_대상물건입력'!$B$8,IFERROR(INDEX('04A_국토부원자료'!$A:$T,ROW()+1,MATCH("단지명",'04A_국토부원자료'!$A$4:$T$4,0)),"")))</f>
        <v/>
      </c>
      <c r="E1673" s="172">
        <f>IFERROR(VALUE(SUBSTITUTE(INDEX('04A_국토부원자료'!$A:$T,ROW()+1,MATCH("전용면적(㎡)",'04A_국토부원자료'!$A$4:$T$4,0)),",","")),"")</f>
        <v/>
      </c>
      <c r="F16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73" s="51">
        <f>IFERROR(VALUE(SUBSTITUTE(INDEX('04A_국토부원자료'!$A:$T,ROW()+1,MATCH("거래금액(만원)",'04A_국토부원자료'!$A$4:$T$4,0)),",","")),"")</f>
        <v/>
      </c>
      <c r="H1673" s="174">
        <f>IF(G1673="","",G1673*10000)</f>
        <v/>
      </c>
      <c r="I1673" s="174">
        <f>IFERROR(IF(AND(H1673&gt;0,E1673&gt;0),H1673/E1673,""),"")</f>
        <v/>
      </c>
      <c r="J1673" s="152">
        <f>IFERROR(VALUE(SUBSTITUTE(INDEX('04A_국토부원자료'!$A:$T,ROW()+1,MATCH("층",'04A_국토부원자료'!$A$4:$T$4,0)),",","")),"")</f>
        <v/>
      </c>
      <c r="K1673" s="152">
        <f>IFERROR(VALUE(SUBSTITUTE(INDEX('04A_국토부원자료'!$A:$T,ROW()+1,MATCH("건축년도",'04A_국토부원자료'!$A$4:$T$4,0)),",","")),"")</f>
        <v/>
      </c>
      <c r="L1673" s="176">
        <f>IFERROR(INDEX('04A_국토부원자료'!$A:$T,ROW()+1,MATCH("도로명",'04A_국토부원자료'!$A$4:$T$4,0)),"")</f>
        <v/>
      </c>
      <c r="M1673" s="48">
        <f>IFERROR(INDEX('04A_국토부원자료'!$A:$T,ROW()+1,MATCH("거래유형",'04A_국토부원자료'!$A$4:$T$4,0)),"")</f>
        <v/>
      </c>
      <c r="N1673" s="152">
        <f>IF(B1673="","",IF('02_대상물건입력'!B5="",1,IF(ISNUMBER(SEARCH('02_대상물건입력'!B5,B1673)),1,0)))</f>
        <v/>
      </c>
      <c r="O1673" s="152">
        <f>IF(B1673="","",IF('02_대상물건입력'!B6="",1,IF(ISNUMBER(SEARCH('02_대상물건입력'!B6,B1673)),1,0)))</f>
        <v/>
      </c>
      <c r="P1673" s="152">
        <f>IF(L1673="","",IF('02_대상물건입력'!B15="",0,IF(ISNUMBER(SEARCH('02_대상물건입력'!B15,L1673)),1,0)))</f>
        <v/>
      </c>
      <c r="Q1673" s="152">
        <f>IF(OR(C1673="",L1673=""),0,IF(AND(TRIM(C1673)=TRIM(RIGHT(SUBSTITUTE(TRIM('02_대상물건입력'!$B$7)," ",REPT(" ",99)),99)),IF('02_대상물건입력'!B15="",TRUE(),ISNUMBER(SEARCH('02_대상물건입력'!B15,L1673)))),1,0))</f>
        <v/>
      </c>
      <c r="R1673" s="175">
        <f>IFERROR(ABS(E1673-'02_대상물건입력'!B11)/'02_대상물건입력'!B11,"")</f>
        <v/>
      </c>
      <c r="S1673" s="152">
        <f>IFERROR(ABS(J1673-'02_대상물건입력'!B10),"")</f>
        <v/>
      </c>
      <c r="T1673" s="152">
        <f>IFERROR(ABS('01_설정'!B4-F1673),"")</f>
        <v/>
      </c>
      <c r="U1673" s="152">
        <f>IFERROR(ABS(K1673-YEAR('02_대상물건입력'!B14)),"")</f>
        <v/>
      </c>
      <c r="V1673" s="152">
        <f>IF(B1673="","",IF(AND(E1673&gt;0,F1673&gt;0,H1673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1673=1,TRUE()),R1673&lt;='01_설정'!B5,S1673&lt;='01_설정'!B6,T1673&lt;='01_설정'!B7,U1673&lt;='01_설정'!B8),"Y",""))</f>
        <v/>
      </c>
      <c r="W1673" s="172">
        <f>IF(V1673&lt;&gt;"Y","",MAX(0,(1-R1673/'01_설정'!B5))*'01_설정'!B14+MAX(0,(1-S1673/'01_설정'!B6))*'01_설정'!B15+MAX(0,(1-T1673/'01_설정'!B7))*'01_설정'!B16+MAX(0,(1-U1673/'01_설정'!B8))*'01_설정'!B17+O1673*'01_설정'!B11+Q1673*'01_설정'!B12+P1673*'01_설정'!B13+IF(Z1673="",0,Z1673))</f>
        <v/>
      </c>
      <c r="X1673" s="152">
        <f>IF(W1673="","",1+COUNTIFS($W$4:$W$3003,"&gt;"&amp;W1673)+COUNTIFS($W$4:W1673,W1673)-1)</f>
        <v/>
      </c>
      <c r="Y1673" s="175">
        <f>IF(OR(I1673="",'02_대상물건입력'!B19="",'02_대상물건입력'!B19&lt;=0),"",ABS(I1673-'02_대상물건입력'!B19)/'02_대상물건입력'!B19)</f>
        <v/>
      </c>
      <c r="Z1673" s="172">
        <f>IF(OR(Y1673="",'01_설정'!B31="",'01_설정'!B31&lt;=0,'01_설정'!B32="",'01_설정'!B32&lt;=0),"",MAX(0,(1-Y1673/'01_설정'!B32))*'01_설정'!B31)</f>
        <v/>
      </c>
    </row>
    <row r="1674" ht="17.25" customHeight="1">
      <c r="A1674" s="152">
        <f>IF(INDEX('04A_국토부원자료'!$A:$A,ROW()+1)="","",ROW()-3)</f>
        <v/>
      </c>
      <c r="B1674" s="48">
        <f>IFERROR(INDEX('04A_국토부원자료'!$A:$T,ROW()+1,MATCH("시군구",'04A_국토부원자료'!$A$4:$T$4,0)),"")</f>
        <v/>
      </c>
      <c r="C1674" s="48">
        <f>IF(B1674="","",IFERROR(INDEX('04A_국토부원자료'!$A:$T,ROW()+1,MATCH("번지",'04A_국토부원자료'!$A$4:$T$4,0)),""))</f>
        <v/>
      </c>
      <c r="D1674" s="48">
        <f>IF(B1674="","",IF(Q1674=1,'02_대상물건입력'!$B$8,IFERROR(INDEX('04A_국토부원자료'!$A:$T,ROW()+1,MATCH("단지명",'04A_국토부원자료'!$A$4:$T$4,0)),"")))</f>
        <v/>
      </c>
      <c r="E1674" s="172">
        <f>IFERROR(VALUE(SUBSTITUTE(INDEX('04A_국토부원자료'!$A:$T,ROW()+1,MATCH("전용면적(㎡)",'04A_국토부원자료'!$A$4:$T$4,0)),",","")),"")</f>
        <v/>
      </c>
      <c r="F16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74" s="51">
        <f>IFERROR(VALUE(SUBSTITUTE(INDEX('04A_국토부원자료'!$A:$T,ROW()+1,MATCH("거래금액(만원)",'04A_국토부원자료'!$A$4:$T$4,0)),",","")),"")</f>
        <v/>
      </c>
      <c r="H1674" s="174">
        <f>IF(G1674="","",G1674*10000)</f>
        <v/>
      </c>
      <c r="I1674" s="174">
        <f>IFERROR(IF(AND(H1674&gt;0,E1674&gt;0),H1674/E1674,""),"")</f>
        <v/>
      </c>
      <c r="J1674" s="152">
        <f>IFERROR(VALUE(SUBSTITUTE(INDEX('04A_국토부원자료'!$A:$T,ROW()+1,MATCH("층",'04A_국토부원자료'!$A$4:$T$4,0)),",","")),"")</f>
        <v/>
      </c>
      <c r="K1674" s="152">
        <f>IFERROR(VALUE(SUBSTITUTE(INDEX('04A_국토부원자료'!$A:$T,ROW()+1,MATCH("건축년도",'04A_국토부원자료'!$A$4:$T$4,0)),",","")),"")</f>
        <v/>
      </c>
      <c r="L1674" s="176">
        <f>IFERROR(INDEX('04A_국토부원자료'!$A:$T,ROW()+1,MATCH("도로명",'04A_국토부원자료'!$A$4:$T$4,0)),"")</f>
        <v/>
      </c>
      <c r="M1674" s="48">
        <f>IFERROR(INDEX('04A_국토부원자료'!$A:$T,ROW()+1,MATCH("거래유형",'04A_국토부원자료'!$A$4:$T$4,0)),"")</f>
        <v/>
      </c>
      <c r="N1674" s="152">
        <f>IF(B1674="","",IF('02_대상물건입력'!B5="",1,IF(ISNUMBER(SEARCH('02_대상물건입력'!B5,B1674)),1,0)))</f>
        <v/>
      </c>
      <c r="O1674" s="152">
        <f>IF(B1674="","",IF('02_대상물건입력'!B6="",1,IF(ISNUMBER(SEARCH('02_대상물건입력'!B6,B1674)),1,0)))</f>
        <v/>
      </c>
      <c r="P1674" s="152">
        <f>IF(L1674="","",IF('02_대상물건입력'!B15="",0,IF(ISNUMBER(SEARCH('02_대상물건입력'!B15,L1674)),1,0)))</f>
        <v/>
      </c>
      <c r="Q1674" s="152">
        <f>IF(OR(C1674="",L1674=""),0,IF(AND(TRIM(C1674)=TRIM(RIGHT(SUBSTITUTE(TRIM('02_대상물건입력'!$B$7)," ",REPT(" ",99)),99)),IF('02_대상물건입력'!B15="",TRUE(),ISNUMBER(SEARCH('02_대상물건입력'!B15,L1674)))),1,0))</f>
        <v/>
      </c>
      <c r="R1674" s="175">
        <f>IFERROR(ABS(E1674-'02_대상물건입력'!B11)/'02_대상물건입력'!B11,"")</f>
        <v/>
      </c>
      <c r="S1674" s="152">
        <f>IFERROR(ABS(J1674-'02_대상물건입력'!B10),"")</f>
        <v/>
      </c>
      <c r="T1674" s="152">
        <f>IFERROR(ABS('01_설정'!B4-F1674),"")</f>
        <v/>
      </c>
      <c r="U1674" s="152">
        <f>IFERROR(ABS(K1674-YEAR('02_대상물건입력'!B14)),"")</f>
        <v/>
      </c>
      <c r="V1674" s="152">
        <f>IF(B1674="","",IF(AND(E1674&gt;0,F1674&gt;0,H1674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1674=1,TRUE()),R1674&lt;='01_설정'!B5,S1674&lt;='01_설정'!B6,T1674&lt;='01_설정'!B7,U1674&lt;='01_설정'!B8),"Y",""))</f>
        <v/>
      </c>
      <c r="W1674" s="172">
        <f>IF(V1674&lt;&gt;"Y","",MAX(0,(1-R1674/'01_설정'!B5))*'01_설정'!B14+MAX(0,(1-S1674/'01_설정'!B6))*'01_설정'!B15+MAX(0,(1-T1674/'01_설정'!B7))*'01_설정'!B16+MAX(0,(1-U1674/'01_설정'!B8))*'01_설정'!B17+O1674*'01_설정'!B11+Q1674*'01_설정'!B12+P1674*'01_설정'!B13+IF(Z1674="",0,Z1674))</f>
        <v/>
      </c>
      <c r="X1674" s="152">
        <f>IF(W1674="","",1+COUNTIFS($W$4:$W$3003,"&gt;"&amp;W1674)+COUNTIFS($W$4:W1674,W1674)-1)</f>
        <v/>
      </c>
      <c r="Y1674" s="175">
        <f>IF(OR(I1674="",'02_대상물건입력'!B19="",'02_대상물건입력'!B19&lt;=0),"",ABS(I1674-'02_대상물건입력'!B19)/'02_대상물건입력'!B19)</f>
        <v/>
      </c>
      <c r="Z1674" s="172">
        <f>IF(OR(Y1674="",'01_설정'!B31="",'01_설정'!B31&lt;=0,'01_설정'!B32="",'01_설정'!B32&lt;=0),"",MAX(0,(1-Y1674/'01_설정'!B32))*'01_설정'!B31)</f>
        <v/>
      </c>
    </row>
    <row r="1675" ht="17.25" customHeight="1">
      <c r="A1675" s="152">
        <f>IF(INDEX('04A_국토부원자료'!$A:$A,ROW()+1)="","",ROW()-3)</f>
        <v/>
      </c>
      <c r="B1675" s="48">
        <f>IFERROR(INDEX('04A_국토부원자료'!$A:$T,ROW()+1,MATCH("시군구",'04A_국토부원자료'!$A$4:$T$4,0)),"")</f>
        <v/>
      </c>
      <c r="C1675" s="48">
        <f>IF(B1675="","",IFERROR(INDEX('04A_국토부원자료'!$A:$T,ROW()+1,MATCH("번지",'04A_국토부원자료'!$A$4:$T$4,0)),""))</f>
        <v/>
      </c>
      <c r="D1675" s="48">
        <f>IF(B1675="","",IF(Q1675=1,'02_대상물건입력'!$B$8,IFERROR(INDEX('04A_국토부원자료'!$A:$T,ROW()+1,MATCH("단지명",'04A_국토부원자료'!$A$4:$T$4,0)),"")))</f>
        <v/>
      </c>
      <c r="E1675" s="172">
        <f>IFERROR(VALUE(SUBSTITUTE(INDEX('04A_국토부원자료'!$A:$T,ROW()+1,MATCH("전용면적(㎡)",'04A_국토부원자료'!$A$4:$T$4,0)),",","")),"")</f>
        <v/>
      </c>
      <c r="F16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75" s="51">
        <f>IFERROR(VALUE(SUBSTITUTE(INDEX('04A_국토부원자료'!$A:$T,ROW()+1,MATCH("거래금액(만원)",'04A_국토부원자료'!$A$4:$T$4,0)),",","")),"")</f>
        <v/>
      </c>
      <c r="H1675" s="174">
        <f>IF(G1675="","",G1675*10000)</f>
        <v/>
      </c>
      <c r="I1675" s="174">
        <f>IFERROR(IF(AND(H1675&gt;0,E1675&gt;0),H1675/E1675,""),"")</f>
        <v/>
      </c>
      <c r="J1675" s="152">
        <f>IFERROR(VALUE(SUBSTITUTE(INDEX('04A_국토부원자료'!$A:$T,ROW()+1,MATCH("층",'04A_국토부원자료'!$A$4:$T$4,0)),",","")),"")</f>
        <v/>
      </c>
      <c r="K1675" s="152">
        <f>IFERROR(VALUE(SUBSTITUTE(INDEX('04A_국토부원자료'!$A:$T,ROW()+1,MATCH("건축년도",'04A_국토부원자료'!$A$4:$T$4,0)),",","")),"")</f>
        <v/>
      </c>
      <c r="L1675" s="176">
        <f>IFERROR(INDEX('04A_국토부원자료'!$A:$T,ROW()+1,MATCH("도로명",'04A_국토부원자료'!$A$4:$T$4,0)),"")</f>
        <v/>
      </c>
      <c r="M1675" s="48">
        <f>IFERROR(INDEX('04A_국토부원자료'!$A:$T,ROW()+1,MATCH("거래유형",'04A_국토부원자료'!$A$4:$T$4,0)),"")</f>
        <v/>
      </c>
      <c r="N1675" s="152">
        <f>IF(B1675="","",IF('02_대상물건입력'!B5="",1,IF(ISNUMBER(SEARCH('02_대상물건입력'!B5,B1675)),1,0)))</f>
        <v/>
      </c>
      <c r="O1675" s="152">
        <f>IF(B1675="","",IF('02_대상물건입력'!B6="",1,IF(ISNUMBER(SEARCH('02_대상물건입력'!B6,B1675)),1,0)))</f>
        <v/>
      </c>
      <c r="P1675" s="152">
        <f>IF(L1675="","",IF('02_대상물건입력'!B15="",0,IF(ISNUMBER(SEARCH('02_대상물건입력'!B15,L1675)),1,0)))</f>
        <v/>
      </c>
      <c r="Q1675" s="152">
        <f>IF(OR(C1675="",L1675=""),0,IF(AND(TRIM(C1675)=TRIM(RIGHT(SUBSTITUTE(TRIM('02_대상물건입력'!$B$7)," ",REPT(" ",99)),99)),IF('02_대상물건입력'!B15="",TRUE(),ISNUMBER(SEARCH('02_대상물건입력'!B15,L1675)))),1,0))</f>
        <v/>
      </c>
      <c r="R1675" s="175">
        <f>IFERROR(ABS(E1675-'02_대상물건입력'!B11)/'02_대상물건입력'!B11,"")</f>
        <v/>
      </c>
      <c r="S1675" s="152">
        <f>IFERROR(ABS(J1675-'02_대상물건입력'!B10),"")</f>
        <v/>
      </c>
      <c r="T1675" s="152">
        <f>IFERROR(ABS('01_설정'!B4-F1675),"")</f>
        <v/>
      </c>
      <c r="U1675" s="152">
        <f>IFERROR(ABS(K1675-YEAR('02_대상물건입력'!B14)),"")</f>
        <v/>
      </c>
      <c r="V1675" s="152">
        <f>IF(B1675="","",IF(AND(E1675&gt;0,F1675&gt;0,H1675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1675=1,TRUE()),R1675&lt;='01_설정'!B5,S1675&lt;='01_설정'!B6,T1675&lt;='01_설정'!B7,U1675&lt;='01_설정'!B8),"Y",""))</f>
        <v/>
      </c>
      <c r="W1675" s="172">
        <f>IF(V1675&lt;&gt;"Y","",MAX(0,(1-R1675/'01_설정'!B5))*'01_설정'!B14+MAX(0,(1-S1675/'01_설정'!B6))*'01_설정'!B15+MAX(0,(1-T1675/'01_설정'!B7))*'01_설정'!B16+MAX(0,(1-U1675/'01_설정'!B8))*'01_설정'!B17+O1675*'01_설정'!B11+Q1675*'01_설정'!B12+P1675*'01_설정'!B13+IF(Z1675="",0,Z1675))</f>
        <v/>
      </c>
      <c r="X1675" s="152">
        <f>IF(W1675="","",1+COUNTIFS($W$4:$W$3003,"&gt;"&amp;W1675)+COUNTIFS($W$4:W1675,W1675)-1)</f>
        <v/>
      </c>
      <c r="Y1675" s="175">
        <f>IF(OR(I1675="",'02_대상물건입력'!B19="",'02_대상물건입력'!B19&lt;=0),"",ABS(I1675-'02_대상물건입력'!B19)/'02_대상물건입력'!B19)</f>
        <v/>
      </c>
      <c r="Z1675" s="172">
        <f>IF(OR(Y1675="",'01_설정'!B31="",'01_설정'!B31&lt;=0,'01_설정'!B32="",'01_설정'!B32&lt;=0),"",MAX(0,(1-Y1675/'01_설정'!B32))*'01_설정'!B31)</f>
        <v/>
      </c>
    </row>
    <row r="1676" ht="17.25" customHeight="1">
      <c r="A1676" s="152">
        <f>IF(INDEX('04A_국토부원자료'!$A:$A,ROW()+1)="","",ROW()-3)</f>
        <v/>
      </c>
      <c r="B1676" s="48">
        <f>IFERROR(INDEX('04A_국토부원자료'!$A:$T,ROW()+1,MATCH("시군구",'04A_국토부원자료'!$A$4:$T$4,0)),"")</f>
        <v/>
      </c>
      <c r="C1676" s="48">
        <f>IF(B1676="","",IFERROR(INDEX('04A_국토부원자료'!$A:$T,ROW()+1,MATCH("번지",'04A_국토부원자료'!$A$4:$T$4,0)),""))</f>
        <v/>
      </c>
      <c r="D1676" s="48">
        <f>IF(B1676="","",IF(Q1676=1,'02_대상물건입력'!$B$8,IFERROR(INDEX('04A_국토부원자료'!$A:$T,ROW()+1,MATCH("단지명",'04A_국토부원자료'!$A$4:$T$4,0)),"")))</f>
        <v/>
      </c>
      <c r="E1676" s="172">
        <f>IFERROR(VALUE(SUBSTITUTE(INDEX('04A_국토부원자료'!$A:$T,ROW()+1,MATCH("전용면적(㎡)",'04A_국토부원자료'!$A$4:$T$4,0)),",","")),"")</f>
        <v/>
      </c>
      <c r="F16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76" s="51">
        <f>IFERROR(VALUE(SUBSTITUTE(INDEX('04A_국토부원자료'!$A:$T,ROW()+1,MATCH("거래금액(만원)",'04A_국토부원자료'!$A$4:$T$4,0)),",","")),"")</f>
        <v/>
      </c>
      <c r="H1676" s="174">
        <f>IF(G1676="","",G1676*10000)</f>
        <v/>
      </c>
      <c r="I1676" s="174">
        <f>IFERROR(IF(AND(H1676&gt;0,E1676&gt;0),H1676/E1676,""),"")</f>
        <v/>
      </c>
      <c r="J1676" s="152">
        <f>IFERROR(VALUE(SUBSTITUTE(INDEX('04A_국토부원자료'!$A:$T,ROW()+1,MATCH("층",'04A_국토부원자료'!$A$4:$T$4,0)),",","")),"")</f>
        <v/>
      </c>
      <c r="K1676" s="152">
        <f>IFERROR(VALUE(SUBSTITUTE(INDEX('04A_국토부원자료'!$A:$T,ROW()+1,MATCH("건축년도",'04A_국토부원자료'!$A$4:$T$4,0)),",","")),"")</f>
        <v/>
      </c>
      <c r="L1676" s="176">
        <f>IFERROR(INDEX('04A_국토부원자료'!$A:$T,ROW()+1,MATCH("도로명",'04A_국토부원자료'!$A$4:$T$4,0)),"")</f>
        <v/>
      </c>
      <c r="M1676" s="48">
        <f>IFERROR(INDEX('04A_국토부원자료'!$A:$T,ROW()+1,MATCH("거래유형",'04A_국토부원자료'!$A$4:$T$4,0)),"")</f>
        <v/>
      </c>
      <c r="N1676" s="152">
        <f>IF(B1676="","",IF('02_대상물건입력'!B5="",1,IF(ISNUMBER(SEARCH('02_대상물건입력'!B5,B1676)),1,0)))</f>
        <v/>
      </c>
      <c r="O1676" s="152">
        <f>IF(B1676="","",IF('02_대상물건입력'!B6="",1,IF(ISNUMBER(SEARCH('02_대상물건입력'!B6,B1676)),1,0)))</f>
        <v/>
      </c>
      <c r="P1676" s="152">
        <f>IF(L1676="","",IF('02_대상물건입력'!B15="",0,IF(ISNUMBER(SEARCH('02_대상물건입력'!B15,L1676)),1,0)))</f>
        <v/>
      </c>
      <c r="Q1676" s="152">
        <f>IF(OR(C1676="",L1676=""),0,IF(AND(TRIM(C1676)=TRIM(RIGHT(SUBSTITUTE(TRIM('02_대상물건입력'!$B$7)," ",REPT(" ",99)),99)),IF('02_대상물건입력'!B15="",TRUE(),ISNUMBER(SEARCH('02_대상물건입력'!B15,L1676)))),1,0))</f>
        <v/>
      </c>
      <c r="R1676" s="175">
        <f>IFERROR(ABS(E1676-'02_대상물건입력'!B11)/'02_대상물건입력'!B11,"")</f>
        <v/>
      </c>
      <c r="S1676" s="152">
        <f>IFERROR(ABS(J1676-'02_대상물건입력'!B10),"")</f>
        <v/>
      </c>
      <c r="T1676" s="152">
        <f>IFERROR(ABS('01_설정'!B4-F1676),"")</f>
        <v/>
      </c>
      <c r="U1676" s="152">
        <f>IFERROR(ABS(K1676-YEAR('02_대상물건입력'!B14)),"")</f>
        <v/>
      </c>
      <c r="V1676" s="152">
        <f>IF(B1676="","",IF(AND(E1676&gt;0,F1676&gt;0,H1676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1676=1,TRUE()),R1676&lt;='01_설정'!B5,S1676&lt;='01_설정'!B6,T1676&lt;='01_설정'!B7,U1676&lt;='01_설정'!B8),"Y",""))</f>
        <v/>
      </c>
      <c r="W1676" s="172">
        <f>IF(V1676&lt;&gt;"Y","",MAX(0,(1-R1676/'01_설정'!B5))*'01_설정'!B14+MAX(0,(1-S1676/'01_설정'!B6))*'01_설정'!B15+MAX(0,(1-T1676/'01_설정'!B7))*'01_설정'!B16+MAX(0,(1-U1676/'01_설정'!B8))*'01_설정'!B17+O1676*'01_설정'!B11+Q1676*'01_설정'!B12+P1676*'01_설정'!B13+IF(Z1676="",0,Z1676))</f>
        <v/>
      </c>
      <c r="X1676" s="152">
        <f>IF(W1676="","",1+COUNTIFS($W$4:$W$3003,"&gt;"&amp;W1676)+COUNTIFS($W$4:W1676,W1676)-1)</f>
        <v/>
      </c>
      <c r="Y1676" s="175">
        <f>IF(OR(I1676="",'02_대상물건입력'!B19="",'02_대상물건입력'!B19&lt;=0),"",ABS(I1676-'02_대상물건입력'!B19)/'02_대상물건입력'!B19)</f>
        <v/>
      </c>
      <c r="Z1676" s="172">
        <f>IF(OR(Y1676="",'01_설정'!B31="",'01_설정'!B31&lt;=0,'01_설정'!B32="",'01_설정'!B32&lt;=0),"",MAX(0,(1-Y1676/'01_설정'!B32))*'01_설정'!B31)</f>
        <v/>
      </c>
    </row>
    <row r="1677" ht="17.25" customHeight="1">
      <c r="A1677" s="152">
        <f>IF(INDEX('04A_국토부원자료'!$A:$A,ROW()+1)="","",ROW()-3)</f>
        <v/>
      </c>
      <c r="B1677" s="48">
        <f>IFERROR(INDEX('04A_국토부원자료'!$A:$T,ROW()+1,MATCH("시군구",'04A_국토부원자료'!$A$4:$T$4,0)),"")</f>
        <v/>
      </c>
      <c r="C1677" s="48">
        <f>IF(B1677="","",IFERROR(INDEX('04A_국토부원자료'!$A:$T,ROW()+1,MATCH("번지",'04A_국토부원자료'!$A$4:$T$4,0)),""))</f>
        <v/>
      </c>
      <c r="D1677" s="48">
        <f>IF(B1677="","",IF(Q1677=1,'02_대상물건입력'!$B$8,IFERROR(INDEX('04A_국토부원자료'!$A:$T,ROW()+1,MATCH("단지명",'04A_국토부원자료'!$A$4:$T$4,0)),"")))</f>
        <v/>
      </c>
      <c r="E1677" s="172">
        <f>IFERROR(VALUE(SUBSTITUTE(INDEX('04A_국토부원자료'!$A:$T,ROW()+1,MATCH("전용면적(㎡)",'04A_국토부원자료'!$A$4:$T$4,0)),",","")),"")</f>
        <v/>
      </c>
      <c r="F16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77" s="51">
        <f>IFERROR(VALUE(SUBSTITUTE(INDEX('04A_국토부원자료'!$A:$T,ROW()+1,MATCH("거래금액(만원)",'04A_국토부원자료'!$A$4:$T$4,0)),",","")),"")</f>
        <v/>
      </c>
      <c r="H1677" s="174">
        <f>IF(G1677="","",G1677*10000)</f>
        <v/>
      </c>
      <c r="I1677" s="174">
        <f>IFERROR(IF(AND(H1677&gt;0,E1677&gt;0),H1677/E1677,""),"")</f>
        <v/>
      </c>
      <c r="J1677" s="152">
        <f>IFERROR(VALUE(SUBSTITUTE(INDEX('04A_국토부원자료'!$A:$T,ROW()+1,MATCH("층",'04A_국토부원자료'!$A$4:$T$4,0)),",","")),"")</f>
        <v/>
      </c>
      <c r="K1677" s="152">
        <f>IFERROR(VALUE(SUBSTITUTE(INDEX('04A_국토부원자료'!$A:$T,ROW()+1,MATCH("건축년도",'04A_국토부원자료'!$A$4:$T$4,0)),",","")),"")</f>
        <v/>
      </c>
      <c r="L1677" s="176">
        <f>IFERROR(INDEX('04A_국토부원자료'!$A:$T,ROW()+1,MATCH("도로명",'04A_국토부원자료'!$A$4:$T$4,0)),"")</f>
        <v/>
      </c>
      <c r="M1677" s="48">
        <f>IFERROR(INDEX('04A_국토부원자료'!$A:$T,ROW()+1,MATCH("거래유형",'04A_국토부원자료'!$A$4:$T$4,0)),"")</f>
        <v/>
      </c>
      <c r="N1677" s="152">
        <f>IF(B1677="","",IF('02_대상물건입력'!B5="",1,IF(ISNUMBER(SEARCH('02_대상물건입력'!B5,B1677)),1,0)))</f>
        <v/>
      </c>
      <c r="O1677" s="152">
        <f>IF(B1677="","",IF('02_대상물건입력'!B6="",1,IF(ISNUMBER(SEARCH('02_대상물건입력'!B6,B1677)),1,0)))</f>
        <v/>
      </c>
      <c r="P1677" s="152">
        <f>IF(L1677="","",IF('02_대상물건입력'!B15="",0,IF(ISNUMBER(SEARCH('02_대상물건입력'!B15,L1677)),1,0)))</f>
        <v/>
      </c>
      <c r="Q1677" s="152">
        <f>IF(OR(C1677="",L1677=""),0,IF(AND(TRIM(C1677)=TRIM(RIGHT(SUBSTITUTE(TRIM('02_대상물건입력'!$B$7)," ",REPT(" ",99)),99)),IF('02_대상물건입력'!B15="",TRUE(),ISNUMBER(SEARCH('02_대상물건입력'!B15,L1677)))),1,0))</f>
        <v/>
      </c>
      <c r="R1677" s="175">
        <f>IFERROR(ABS(E1677-'02_대상물건입력'!B11)/'02_대상물건입력'!B11,"")</f>
        <v/>
      </c>
      <c r="S1677" s="152">
        <f>IFERROR(ABS(J1677-'02_대상물건입력'!B10),"")</f>
        <v/>
      </c>
      <c r="T1677" s="152">
        <f>IFERROR(ABS('01_설정'!B4-F1677),"")</f>
        <v/>
      </c>
      <c r="U1677" s="152">
        <f>IFERROR(ABS(K1677-YEAR('02_대상물건입력'!B14)),"")</f>
        <v/>
      </c>
      <c r="V1677" s="152">
        <f>IF(B1677="","",IF(AND(E1677&gt;0,F1677&gt;0,H1677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1677=1,TRUE()),R1677&lt;='01_설정'!B5,S1677&lt;='01_설정'!B6,T1677&lt;='01_설정'!B7,U1677&lt;='01_설정'!B8),"Y",""))</f>
        <v/>
      </c>
      <c r="W1677" s="172">
        <f>IF(V1677&lt;&gt;"Y","",MAX(0,(1-R1677/'01_설정'!B5))*'01_설정'!B14+MAX(0,(1-S1677/'01_설정'!B6))*'01_설정'!B15+MAX(0,(1-T1677/'01_설정'!B7))*'01_설정'!B16+MAX(0,(1-U1677/'01_설정'!B8))*'01_설정'!B17+O1677*'01_설정'!B11+Q1677*'01_설정'!B12+P1677*'01_설정'!B13+IF(Z1677="",0,Z1677))</f>
        <v/>
      </c>
      <c r="X1677" s="152">
        <f>IF(W1677="","",1+COUNTIFS($W$4:$W$3003,"&gt;"&amp;W1677)+COUNTIFS($W$4:W1677,W1677)-1)</f>
        <v/>
      </c>
      <c r="Y1677" s="175">
        <f>IF(OR(I1677="",'02_대상물건입력'!B19="",'02_대상물건입력'!B19&lt;=0),"",ABS(I1677-'02_대상물건입력'!B19)/'02_대상물건입력'!B19)</f>
        <v/>
      </c>
      <c r="Z1677" s="172">
        <f>IF(OR(Y1677="",'01_설정'!B31="",'01_설정'!B31&lt;=0,'01_설정'!B32="",'01_설정'!B32&lt;=0),"",MAX(0,(1-Y1677/'01_설정'!B32))*'01_설정'!B31)</f>
        <v/>
      </c>
    </row>
    <row r="1678" ht="17.25" customHeight="1">
      <c r="A1678" s="152">
        <f>IF(INDEX('04A_국토부원자료'!$A:$A,ROW()+1)="","",ROW()-3)</f>
        <v/>
      </c>
      <c r="B1678" s="48">
        <f>IFERROR(INDEX('04A_국토부원자료'!$A:$T,ROW()+1,MATCH("시군구",'04A_국토부원자료'!$A$4:$T$4,0)),"")</f>
        <v/>
      </c>
      <c r="C1678" s="48">
        <f>IF(B1678="","",IFERROR(INDEX('04A_국토부원자료'!$A:$T,ROW()+1,MATCH("번지",'04A_국토부원자료'!$A$4:$T$4,0)),""))</f>
        <v/>
      </c>
      <c r="D1678" s="48">
        <f>IF(B1678="","",IF(Q1678=1,'02_대상물건입력'!$B$8,IFERROR(INDEX('04A_국토부원자료'!$A:$T,ROW()+1,MATCH("단지명",'04A_국토부원자료'!$A$4:$T$4,0)),"")))</f>
        <v/>
      </c>
      <c r="E1678" s="172">
        <f>IFERROR(VALUE(SUBSTITUTE(INDEX('04A_국토부원자료'!$A:$T,ROW()+1,MATCH("전용면적(㎡)",'04A_국토부원자료'!$A$4:$T$4,0)),",","")),"")</f>
        <v/>
      </c>
      <c r="F16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78" s="51">
        <f>IFERROR(VALUE(SUBSTITUTE(INDEX('04A_국토부원자료'!$A:$T,ROW()+1,MATCH("거래금액(만원)",'04A_국토부원자료'!$A$4:$T$4,0)),",","")),"")</f>
        <v/>
      </c>
      <c r="H1678" s="174">
        <f>IF(G1678="","",G1678*10000)</f>
        <v/>
      </c>
      <c r="I1678" s="174">
        <f>IFERROR(IF(AND(H1678&gt;0,E1678&gt;0),H1678/E1678,""),"")</f>
        <v/>
      </c>
      <c r="J1678" s="152">
        <f>IFERROR(VALUE(SUBSTITUTE(INDEX('04A_국토부원자료'!$A:$T,ROW()+1,MATCH("층",'04A_국토부원자료'!$A$4:$T$4,0)),",","")),"")</f>
        <v/>
      </c>
      <c r="K1678" s="152">
        <f>IFERROR(VALUE(SUBSTITUTE(INDEX('04A_국토부원자료'!$A:$T,ROW()+1,MATCH("건축년도",'04A_국토부원자료'!$A$4:$T$4,0)),",","")),"")</f>
        <v/>
      </c>
      <c r="L1678" s="176">
        <f>IFERROR(INDEX('04A_국토부원자료'!$A:$T,ROW()+1,MATCH("도로명",'04A_국토부원자료'!$A$4:$T$4,0)),"")</f>
        <v/>
      </c>
      <c r="M1678" s="48">
        <f>IFERROR(INDEX('04A_국토부원자료'!$A:$T,ROW()+1,MATCH("거래유형",'04A_국토부원자료'!$A$4:$T$4,0)),"")</f>
        <v/>
      </c>
      <c r="N1678" s="152">
        <f>IF(B1678="","",IF('02_대상물건입력'!B5="",1,IF(ISNUMBER(SEARCH('02_대상물건입력'!B5,B1678)),1,0)))</f>
        <v/>
      </c>
      <c r="O1678" s="152">
        <f>IF(B1678="","",IF('02_대상물건입력'!B6="",1,IF(ISNUMBER(SEARCH('02_대상물건입력'!B6,B1678)),1,0)))</f>
        <v/>
      </c>
      <c r="P1678" s="152">
        <f>IF(L1678="","",IF('02_대상물건입력'!B15="",0,IF(ISNUMBER(SEARCH('02_대상물건입력'!B15,L1678)),1,0)))</f>
        <v/>
      </c>
      <c r="Q1678" s="152">
        <f>IF(OR(C1678="",L1678=""),0,IF(AND(TRIM(C1678)=TRIM(RIGHT(SUBSTITUTE(TRIM('02_대상물건입력'!$B$7)," ",REPT(" ",99)),99)),IF('02_대상물건입력'!B15="",TRUE(),ISNUMBER(SEARCH('02_대상물건입력'!B15,L1678)))),1,0))</f>
        <v/>
      </c>
      <c r="R1678" s="175">
        <f>IFERROR(ABS(E1678-'02_대상물건입력'!B11)/'02_대상물건입력'!B11,"")</f>
        <v/>
      </c>
      <c r="S1678" s="152">
        <f>IFERROR(ABS(J1678-'02_대상물건입력'!B10),"")</f>
        <v/>
      </c>
      <c r="T1678" s="152">
        <f>IFERROR(ABS('01_설정'!B4-F1678),"")</f>
        <v/>
      </c>
      <c r="U1678" s="152">
        <f>IFERROR(ABS(K1678-YEAR('02_대상물건입력'!B14)),"")</f>
        <v/>
      </c>
      <c r="V1678" s="152">
        <f>IF(B1678="","",IF(AND(E1678&gt;0,F1678&gt;0,H1678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1678=1,TRUE()),R1678&lt;='01_설정'!B5,S1678&lt;='01_설정'!B6,T1678&lt;='01_설정'!B7,U1678&lt;='01_설정'!B8),"Y",""))</f>
        <v/>
      </c>
      <c r="W1678" s="172">
        <f>IF(V1678&lt;&gt;"Y","",MAX(0,(1-R1678/'01_설정'!B5))*'01_설정'!B14+MAX(0,(1-S1678/'01_설정'!B6))*'01_설정'!B15+MAX(0,(1-T1678/'01_설정'!B7))*'01_설정'!B16+MAX(0,(1-U1678/'01_설정'!B8))*'01_설정'!B17+O1678*'01_설정'!B11+Q1678*'01_설정'!B12+P1678*'01_설정'!B13+IF(Z1678="",0,Z1678))</f>
        <v/>
      </c>
      <c r="X1678" s="152">
        <f>IF(W1678="","",1+COUNTIFS($W$4:$W$3003,"&gt;"&amp;W1678)+COUNTIFS($W$4:W1678,W1678)-1)</f>
        <v/>
      </c>
      <c r="Y1678" s="175">
        <f>IF(OR(I1678="",'02_대상물건입력'!B19="",'02_대상물건입력'!B19&lt;=0),"",ABS(I1678-'02_대상물건입력'!B19)/'02_대상물건입력'!B19)</f>
        <v/>
      </c>
      <c r="Z1678" s="172">
        <f>IF(OR(Y1678="",'01_설정'!B31="",'01_설정'!B31&lt;=0,'01_설정'!B32="",'01_설정'!B32&lt;=0),"",MAX(0,(1-Y1678/'01_설정'!B32))*'01_설정'!B31)</f>
        <v/>
      </c>
    </row>
    <row r="1679" ht="17.25" customHeight="1">
      <c r="A1679" s="152">
        <f>IF(INDEX('04A_국토부원자료'!$A:$A,ROW()+1)="","",ROW()-3)</f>
        <v/>
      </c>
      <c r="B1679" s="48">
        <f>IFERROR(INDEX('04A_국토부원자료'!$A:$T,ROW()+1,MATCH("시군구",'04A_국토부원자료'!$A$4:$T$4,0)),"")</f>
        <v/>
      </c>
      <c r="C1679" s="48">
        <f>IF(B1679="","",IFERROR(INDEX('04A_국토부원자료'!$A:$T,ROW()+1,MATCH("번지",'04A_국토부원자료'!$A$4:$T$4,0)),""))</f>
        <v/>
      </c>
      <c r="D1679" s="48">
        <f>IF(B1679="","",IF(Q1679=1,'02_대상물건입력'!$B$8,IFERROR(INDEX('04A_국토부원자료'!$A:$T,ROW()+1,MATCH("단지명",'04A_국토부원자료'!$A$4:$T$4,0)),"")))</f>
        <v/>
      </c>
      <c r="E1679" s="172">
        <f>IFERROR(VALUE(SUBSTITUTE(INDEX('04A_국토부원자료'!$A:$T,ROW()+1,MATCH("전용면적(㎡)",'04A_국토부원자료'!$A$4:$T$4,0)),",","")),"")</f>
        <v/>
      </c>
      <c r="F16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79" s="51">
        <f>IFERROR(VALUE(SUBSTITUTE(INDEX('04A_국토부원자료'!$A:$T,ROW()+1,MATCH("거래금액(만원)",'04A_국토부원자료'!$A$4:$T$4,0)),",","")),"")</f>
        <v/>
      </c>
      <c r="H1679" s="174">
        <f>IF(G1679="","",G1679*10000)</f>
        <v/>
      </c>
      <c r="I1679" s="174">
        <f>IFERROR(IF(AND(H1679&gt;0,E1679&gt;0),H1679/E1679,""),"")</f>
        <v/>
      </c>
      <c r="J1679" s="152">
        <f>IFERROR(VALUE(SUBSTITUTE(INDEX('04A_국토부원자료'!$A:$T,ROW()+1,MATCH("층",'04A_국토부원자료'!$A$4:$T$4,0)),",","")),"")</f>
        <v/>
      </c>
      <c r="K1679" s="152">
        <f>IFERROR(VALUE(SUBSTITUTE(INDEX('04A_국토부원자료'!$A:$T,ROW()+1,MATCH("건축년도",'04A_국토부원자료'!$A$4:$T$4,0)),",","")),"")</f>
        <v/>
      </c>
      <c r="L1679" s="176">
        <f>IFERROR(INDEX('04A_국토부원자료'!$A:$T,ROW()+1,MATCH("도로명",'04A_국토부원자료'!$A$4:$T$4,0)),"")</f>
        <v/>
      </c>
      <c r="M1679" s="48">
        <f>IFERROR(INDEX('04A_국토부원자료'!$A:$T,ROW()+1,MATCH("거래유형",'04A_국토부원자료'!$A$4:$T$4,0)),"")</f>
        <v/>
      </c>
      <c r="N1679" s="152">
        <f>IF(B1679="","",IF('02_대상물건입력'!B5="",1,IF(ISNUMBER(SEARCH('02_대상물건입력'!B5,B1679)),1,0)))</f>
        <v/>
      </c>
      <c r="O1679" s="152">
        <f>IF(B1679="","",IF('02_대상물건입력'!B6="",1,IF(ISNUMBER(SEARCH('02_대상물건입력'!B6,B1679)),1,0)))</f>
        <v/>
      </c>
      <c r="P1679" s="152">
        <f>IF(L1679="","",IF('02_대상물건입력'!B15="",0,IF(ISNUMBER(SEARCH('02_대상물건입력'!B15,L1679)),1,0)))</f>
        <v/>
      </c>
      <c r="Q1679" s="152">
        <f>IF(OR(C1679="",L1679=""),0,IF(AND(TRIM(C1679)=TRIM(RIGHT(SUBSTITUTE(TRIM('02_대상물건입력'!$B$7)," ",REPT(" ",99)),99)),IF('02_대상물건입력'!B15="",TRUE(),ISNUMBER(SEARCH('02_대상물건입력'!B15,L1679)))),1,0))</f>
        <v/>
      </c>
      <c r="R1679" s="175">
        <f>IFERROR(ABS(E1679-'02_대상물건입력'!B11)/'02_대상물건입력'!B11,"")</f>
        <v/>
      </c>
      <c r="S1679" s="152">
        <f>IFERROR(ABS(J1679-'02_대상물건입력'!B10),"")</f>
        <v/>
      </c>
      <c r="T1679" s="152">
        <f>IFERROR(ABS('01_설정'!B4-F1679),"")</f>
        <v/>
      </c>
      <c r="U1679" s="152">
        <f>IFERROR(ABS(K1679-YEAR('02_대상물건입력'!B14)),"")</f>
        <v/>
      </c>
      <c r="V1679" s="152">
        <f>IF(B1679="","",IF(AND(E1679&gt;0,F1679&gt;0,H1679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1679=1,TRUE()),R1679&lt;='01_설정'!B5,S1679&lt;='01_설정'!B6,T1679&lt;='01_설정'!B7,U1679&lt;='01_설정'!B8),"Y",""))</f>
        <v/>
      </c>
      <c r="W1679" s="172">
        <f>IF(V1679&lt;&gt;"Y","",MAX(0,(1-R1679/'01_설정'!B5))*'01_설정'!B14+MAX(0,(1-S1679/'01_설정'!B6))*'01_설정'!B15+MAX(0,(1-T1679/'01_설정'!B7))*'01_설정'!B16+MAX(0,(1-U1679/'01_설정'!B8))*'01_설정'!B17+O1679*'01_설정'!B11+Q1679*'01_설정'!B12+P1679*'01_설정'!B13+IF(Z1679="",0,Z1679))</f>
        <v/>
      </c>
      <c r="X1679" s="152">
        <f>IF(W1679="","",1+COUNTIFS($W$4:$W$3003,"&gt;"&amp;W1679)+COUNTIFS($W$4:W1679,W1679)-1)</f>
        <v/>
      </c>
      <c r="Y1679" s="175">
        <f>IF(OR(I1679="",'02_대상물건입력'!B19="",'02_대상물건입력'!B19&lt;=0),"",ABS(I1679-'02_대상물건입력'!B19)/'02_대상물건입력'!B19)</f>
        <v/>
      </c>
      <c r="Z1679" s="172">
        <f>IF(OR(Y1679="",'01_설정'!B31="",'01_설정'!B31&lt;=0,'01_설정'!B32="",'01_설정'!B32&lt;=0),"",MAX(0,(1-Y1679/'01_설정'!B32))*'01_설정'!B31)</f>
        <v/>
      </c>
    </row>
    <row r="1680" ht="17.25" customHeight="1">
      <c r="A1680" s="152">
        <f>IF(INDEX('04A_국토부원자료'!$A:$A,ROW()+1)="","",ROW()-3)</f>
        <v/>
      </c>
      <c r="B1680" s="48">
        <f>IFERROR(INDEX('04A_국토부원자료'!$A:$T,ROW()+1,MATCH("시군구",'04A_국토부원자료'!$A$4:$T$4,0)),"")</f>
        <v/>
      </c>
      <c r="C1680" s="48">
        <f>IF(B1680="","",IFERROR(INDEX('04A_국토부원자료'!$A:$T,ROW()+1,MATCH("번지",'04A_국토부원자료'!$A$4:$T$4,0)),""))</f>
        <v/>
      </c>
      <c r="D1680" s="48">
        <f>IF(B1680="","",IF(Q1680=1,'02_대상물건입력'!$B$8,IFERROR(INDEX('04A_국토부원자료'!$A:$T,ROW()+1,MATCH("단지명",'04A_국토부원자료'!$A$4:$T$4,0)),"")))</f>
        <v/>
      </c>
      <c r="E1680" s="172">
        <f>IFERROR(VALUE(SUBSTITUTE(INDEX('04A_국토부원자료'!$A:$T,ROW()+1,MATCH("전용면적(㎡)",'04A_국토부원자료'!$A$4:$T$4,0)),",","")),"")</f>
        <v/>
      </c>
      <c r="F16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80" s="51">
        <f>IFERROR(VALUE(SUBSTITUTE(INDEX('04A_국토부원자료'!$A:$T,ROW()+1,MATCH("거래금액(만원)",'04A_국토부원자료'!$A$4:$T$4,0)),",","")),"")</f>
        <v/>
      </c>
      <c r="H1680" s="174">
        <f>IF(G1680="","",G1680*10000)</f>
        <v/>
      </c>
      <c r="I1680" s="174">
        <f>IFERROR(IF(AND(H1680&gt;0,E1680&gt;0),H1680/E1680,""),"")</f>
        <v/>
      </c>
      <c r="J1680" s="152">
        <f>IFERROR(VALUE(SUBSTITUTE(INDEX('04A_국토부원자료'!$A:$T,ROW()+1,MATCH("층",'04A_국토부원자료'!$A$4:$T$4,0)),",","")),"")</f>
        <v/>
      </c>
      <c r="K1680" s="152">
        <f>IFERROR(VALUE(SUBSTITUTE(INDEX('04A_국토부원자료'!$A:$T,ROW()+1,MATCH("건축년도",'04A_국토부원자료'!$A$4:$T$4,0)),",","")),"")</f>
        <v/>
      </c>
      <c r="L1680" s="176">
        <f>IFERROR(INDEX('04A_국토부원자료'!$A:$T,ROW()+1,MATCH("도로명",'04A_국토부원자료'!$A$4:$T$4,0)),"")</f>
        <v/>
      </c>
      <c r="M1680" s="48">
        <f>IFERROR(INDEX('04A_국토부원자료'!$A:$T,ROW()+1,MATCH("거래유형",'04A_국토부원자료'!$A$4:$T$4,0)),"")</f>
        <v/>
      </c>
      <c r="N1680" s="152">
        <f>IF(B1680="","",IF('02_대상물건입력'!B5="",1,IF(ISNUMBER(SEARCH('02_대상물건입력'!B5,B1680)),1,0)))</f>
        <v/>
      </c>
      <c r="O1680" s="152">
        <f>IF(B1680="","",IF('02_대상물건입력'!B6="",1,IF(ISNUMBER(SEARCH('02_대상물건입력'!B6,B1680)),1,0)))</f>
        <v/>
      </c>
      <c r="P1680" s="152">
        <f>IF(L1680="","",IF('02_대상물건입력'!B15="",0,IF(ISNUMBER(SEARCH('02_대상물건입력'!B15,L1680)),1,0)))</f>
        <v/>
      </c>
      <c r="Q1680" s="152">
        <f>IF(OR(C1680="",L1680=""),0,IF(AND(TRIM(C1680)=TRIM(RIGHT(SUBSTITUTE(TRIM('02_대상물건입력'!$B$7)," ",REPT(" ",99)),99)),IF('02_대상물건입력'!B15="",TRUE(),ISNUMBER(SEARCH('02_대상물건입력'!B15,L1680)))),1,0))</f>
        <v/>
      </c>
      <c r="R1680" s="175">
        <f>IFERROR(ABS(E1680-'02_대상물건입력'!B11)/'02_대상물건입력'!B11,"")</f>
        <v/>
      </c>
      <c r="S1680" s="152">
        <f>IFERROR(ABS(J1680-'02_대상물건입력'!B10),"")</f>
        <v/>
      </c>
      <c r="T1680" s="152">
        <f>IFERROR(ABS('01_설정'!B4-F1680),"")</f>
        <v/>
      </c>
      <c r="U1680" s="152">
        <f>IFERROR(ABS(K1680-YEAR('02_대상물건입력'!B14)),"")</f>
        <v/>
      </c>
      <c r="V1680" s="152">
        <f>IF(B1680="","",IF(AND(E1680&gt;0,F1680&gt;0,H1680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1680=1,TRUE()),R1680&lt;='01_설정'!B5,S1680&lt;='01_설정'!B6,T1680&lt;='01_설정'!B7,U1680&lt;='01_설정'!B8),"Y",""))</f>
        <v/>
      </c>
      <c r="W1680" s="172">
        <f>IF(V1680&lt;&gt;"Y","",MAX(0,(1-R1680/'01_설정'!B5))*'01_설정'!B14+MAX(0,(1-S1680/'01_설정'!B6))*'01_설정'!B15+MAX(0,(1-T1680/'01_설정'!B7))*'01_설정'!B16+MAX(0,(1-U1680/'01_설정'!B8))*'01_설정'!B17+O1680*'01_설정'!B11+Q1680*'01_설정'!B12+P1680*'01_설정'!B13+IF(Z1680="",0,Z1680))</f>
        <v/>
      </c>
      <c r="X1680" s="152">
        <f>IF(W1680="","",1+COUNTIFS($W$4:$W$3003,"&gt;"&amp;W1680)+COUNTIFS($W$4:W1680,W1680)-1)</f>
        <v/>
      </c>
      <c r="Y1680" s="175">
        <f>IF(OR(I1680="",'02_대상물건입력'!B19="",'02_대상물건입력'!B19&lt;=0),"",ABS(I1680-'02_대상물건입력'!B19)/'02_대상물건입력'!B19)</f>
        <v/>
      </c>
      <c r="Z1680" s="172">
        <f>IF(OR(Y1680="",'01_설정'!B31="",'01_설정'!B31&lt;=0,'01_설정'!B32="",'01_설정'!B32&lt;=0),"",MAX(0,(1-Y1680/'01_설정'!B32))*'01_설정'!B31)</f>
        <v/>
      </c>
    </row>
    <row r="1681" ht="17.25" customHeight="1">
      <c r="A1681" s="152">
        <f>IF(INDEX('04A_국토부원자료'!$A:$A,ROW()+1)="","",ROW()-3)</f>
        <v/>
      </c>
      <c r="B1681" s="48">
        <f>IFERROR(INDEX('04A_국토부원자료'!$A:$T,ROW()+1,MATCH("시군구",'04A_국토부원자료'!$A$4:$T$4,0)),"")</f>
        <v/>
      </c>
      <c r="C1681" s="48">
        <f>IF(B1681="","",IFERROR(INDEX('04A_국토부원자료'!$A:$T,ROW()+1,MATCH("번지",'04A_국토부원자료'!$A$4:$T$4,0)),""))</f>
        <v/>
      </c>
      <c r="D1681" s="48">
        <f>IF(B1681="","",IF(Q1681=1,'02_대상물건입력'!$B$8,IFERROR(INDEX('04A_국토부원자료'!$A:$T,ROW()+1,MATCH("단지명",'04A_국토부원자료'!$A$4:$T$4,0)),"")))</f>
        <v/>
      </c>
      <c r="E1681" s="172">
        <f>IFERROR(VALUE(SUBSTITUTE(INDEX('04A_국토부원자료'!$A:$T,ROW()+1,MATCH("전용면적(㎡)",'04A_국토부원자료'!$A$4:$T$4,0)),",","")),"")</f>
        <v/>
      </c>
      <c r="F16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81" s="51">
        <f>IFERROR(VALUE(SUBSTITUTE(INDEX('04A_국토부원자료'!$A:$T,ROW()+1,MATCH("거래금액(만원)",'04A_국토부원자료'!$A$4:$T$4,0)),",","")),"")</f>
        <v/>
      </c>
      <c r="H1681" s="174">
        <f>IF(G1681="","",G1681*10000)</f>
        <v/>
      </c>
      <c r="I1681" s="174">
        <f>IFERROR(IF(AND(H1681&gt;0,E1681&gt;0),H1681/E1681,""),"")</f>
        <v/>
      </c>
      <c r="J1681" s="152">
        <f>IFERROR(VALUE(SUBSTITUTE(INDEX('04A_국토부원자료'!$A:$T,ROW()+1,MATCH("층",'04A_국토부원자료'!$A$4:$T$4,0)),",","")),"")</f>
        <v/>
      </c>
      <c r="K1681" s="152">
        <f>IFERROR(VALUE(SUBSTITUTE(INDEX('04A_국토부원자료'!$A:$T,ROW()+1,MATCH("건축년도",'04A_국토부원자료'!$A$4:$T$4,0)),",","")),"")</f>
        <v/>
      </c>
      <c r="L1681" s="176">
        <f>IFERROR(INDEX('04A_국토부원자료'!$A:$T,ROW()+1,MATCH("도로명",'04A_국토부원자료'!$A$4:$T$4,0)),"")</f>
        <v/>
      </c>
      <c r="M1681" s="48">
        <f>IFERROR(INDEX('04A_국토부원자료'!$A:$T,ROW()+1,MATCH("거래유형",'04A_국토부원자료'!$A$4:$T$4,0)),"")</f>
        <v/>
      </c>
      <c r="N1681" s="152">
        <f>IF(B1681="","",IF('02_대상물건입력'!B5="",1,IF(ISNUMBER(SEARCH('02_대상물건입력'!B5,B1681)),1,0)))</f>
        <v/>
      </c>
      <c r="O1681" s="152">
        <f>IF(B1681="","",IF('02_대상물건입력'!B6="",1,IF(ISNUMBER(SEARCH('02_대상물건입력'!B6,B1681)),1,0)))</f>
        <v/>
      </c>
      <c r="P1681" s="152">
        <f>IF(L1681="","",IF('02_대상물건입력'!B15="",0,IF(ISNUMBER(SEARCH('02_대상물건입력'!B15,L1681)),1,0)))</f>
        <v/>
      </c>
      <c r="Q1681" s="152">
        <f>IF(OR(C1681="",L1681=""),0,IF(AND(TRIM(C1681)=TRIM(RIGHT(SUBSTITUTE(TRIM('02_대상물건입력'!$B$7)," ",REPT(" ",99)),99)),IF('02_대상물건입력'!B15="",TRUE(),ISNUMBER(SEARCH('02_대상물건입력'!B15,L1681)))),1,0))</f>
        <v/>
      </c>
      <c r="R1681" s="175">
        <f>IFERROR(ABS(E1681-'02_대상물건입력'!B11)/'02_대상물건입력'!B11,"")</f>
        <v/>
      </c>
      <c r="S1681" s="152">
        <f>IFERROR(ABS(J1681-'02_대상물건입력'!B10),"")</f>
        <v/>
      </c>
      <c r="T1681" s="152">
        <f>IFERROR(ABS('01_설정'!B4-F1681),"")</f>
        <v/>
      </c>
      <c r="U1681" s="152">
        <f>IFERROR(ABS(K1681-YEAR('02_대상물건입력'!B14)),"")</f>
        <v/>
      </c>
      <c r="V1681" s="152">
        <f>IF(B1681="","",IF(AND(E1681&gt;0,F1681&gt;0,H1681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1681=1,TRUE()),R1681&lt;='01_설정'!B5,S1681&lt;='01_설정'!B6,T1681&lt;='01_설정'!B7,U1681&lt;='01_설정'!B8),"Y",""))</f>
        <v/>
      </c>
      <c r="W1681" s="172">
        <f>IF(V1681&lt;&gt;"Y","",MAX(0,(1-R1681/'01_설정'!B5))*'01_설정'!B14+MAX(0,(1-S1681/'01_설정'!B6))*'01_설정'!B15+MAX(0,(1-T1681/'01_설정'!B7))*'01_설정'!B16+MAX(0,(1-U1681/'01_설정'!B8))*'01_설정'!B17+O1681*'01_설정'!B11+Q1681*'01_설정'!B12+P1681*'01_설정'!B13+IF(Z1681="",0,Z1681))</f>
        <v/>
      </c>
      <c r="X1681" s="152">
        <f>IF(W1681="","",1+COUNTIFS($W$4:$W$3003,"&gt;"&amp;W1681)+COUNTIFS($W$4:W1681,W1681)-1)</f>
        <v/>
      </c>
      <c r="Y1681" s="175">
        <f>IF(OR(I1681="",'02_대상물건입력'!B19="",'02_대상물건입력'!B19&lt;=0),"",ABS(I1681-'02_대상물건입력'!B19)/'02_대상물건입력'!B19)</f>
        <v/>
      </c>
      <c r="Z1681" s="172">
        <f>IF(OR(Y1681="",'01_설정'!B31="",'01_설정'!B31&lt;=0,'01_설정'!B32="",'01_설정'!B32&lt;=0),"",MAX(0,(1-Y1681/'01_설정'!B32))*'01_설정'!B31)</f>
        <v/>
      </c>
    </row>
    <row r="1682" ht="17.25" customHeight="1">
      <c r="A1682" s="152">
        <f>IF(INDEX('04A_국토부원자료'!$A:$A,ROW()+1)="","",ROW()-3)</f>
        <v/>
      </c>
      <c r="B1682" s="48">
        <f>IFERROR(INDEX('04A_국토부원자료'!$A:$T,ROW()+1,MATCH("시군구",'04A_국토부원자료'!$A$4:$T$4,0)),"")</f>
        <v/>
      </c>
      <c r="C1682" s="48">
        <f>IF(B1682="","",IFERROR(INDEX('04A_국토부원자료'!$A:$T,ROW()+1,MATCH("번지",'04A_국토부원자료'!$A$4:$T$4,0)),""))</f>
        <v/>
      </c>
      <c r="D1682" s="48">
        <f>IF(B1682="","",IF(Q1682=1,'02_대상물건입력'!$B$8,IFERROR(INDEX('04A_국토부원자료'!$A:$T,ROW()+1,MATCH("단지명",'04A_국토부원자료'!$A$4:$T$4,0)),"")))</f>
        <v/>
      </c>
      <c r="E1682" s="172">
        <f>IFERROR(VALUE(SUBSTITUTE(INDEX('04A_국토부원자료'!$A:$T,ROW()+1,MATCH("전용면적(㎡)",'04A_국토부원자료'!$A$4:$T$4,0)),",","")),"")</f>
        <v/>
      </c>
      <c r="F16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82" s="51">
        <f>IFERROR(VALUE(SUBSTITUTE(INDEX('04A_국토부원자료'!$A:$T,ROW()+1,MATCH("거래금액(만원)",'04A_국토부원자료'!$A$4:$T$4,0)),",","")),"")</f>
        <v/>
      </c>
      <c r="H1682" s="174">
        <f>IF(G1682="","",G1682*10000)</f>
        <v/>
      </c>
      <c r="I1682" s="174">
        <f>IFERROR(IF(AND(H1682&gt;0,E1682&gt;0),H1682/E1682,""),"")</f>
        <v/>
      </c>
      <c r="J1682" s="152">
        <f>IFERROR(VALUE(SUBSTITUTE(INDEX('04A_국토부원자료'!$A:$T,ROW()+1,MATCH("층",'04A_국토부원자료'!$A$4:$T$4,0)),",","")),"")</f>
        <v/>
      </c>
      <c r="K1682" s="152">
        <f>IFERROR(VALUE(SUBSTITUTE(INDEX('04A_국토부원자료'!$A:$T,ROW()+1,MATCH("건축년도",'04A_국토부원자료'!$A$4:$T$4,0)),",","")),"")</f>
        <v/>
      </c>
      <c r="L1682" s="176">
        <f>IFERROR(INDEX('04A_국토부원자료'!$A:$T,ROW()+1,MATCH("도로명",'04A_국토부원자료'!$A$4:$T$4,0)),"")</f>
        <v/>
      </c>
      <c r="M1682" s="48">
        <f>IFERROR(INDEX('04A_국토부원자료'!$A:$T,ROW()+1,MATCH("거래유형",'04A_국토부원자료'!$A$4:$T$4,0)),"")</f>
        <v/>
      </c>
      <c r="N1682" s="152">
        <f>IF(B1682="","",IF('02_대상물건입력'!B5="",1,IF(ISNUMBER(SEARCH('02_대상물건입력'!B5,B1682)),1,0)))</f>
        <v/>
      </c>
      <c r="O1682" s="152">
        <f>IF(B1682="","",IF('02_대상물건입력'!B6="",1,IF(ISNUMBER(SEARCH('02_대상물건입력'!B6,B1682)),1,0)))</f>
        <v/>
      </c>
      <c r="P1682" s="152">
        <f>IF(L1682="","",IF('02_대상물건입력'!B15="",0,IF(ISNUMBER(SEARCH('02_대상물건입력'!B15,L1682)),1,0)))</f>
        <v/>
      </c>
      <c r="Q1682" s="152">
        <f>IF(OR(C1682="",L1682=""),0,IF(AND(TRIM(C1682)=TRIM(RIGHT(SUBSTITUTE(TRIM('02_대상물건입력'!$B$7)," ",REPT(" ",99)),99)),IF('02_대상물건입력'!B15="",TRUE(),ISNUMBER(SEARCH('02_대상물건입력'!B15,L1682)))),1,0))</f>
        <v/>
      </c>
      <c r="R1682" s="175">
        <f>IFERROR(ABS(E1682-'02_대상물건입력'!B11)/'02_대상물건입력'!B11,"")</f>
        <v/>
      </c>
      <c r="S1682" s="152">
        <f>IFERROR(ABS(J1682-'02_대상물건입력'!B10),"")</f>
        <v/>
      </c>
      <c r="T1682" s="152">
        <f>IFERROR(ABS('01_설정'!B4-F1682),"")</f>
        <v/>
      </c>
      <c r="U1682" s="152">
        <f>IFERROR(ABS(K1682-YEAR('02_대상물건입력'!B14)),"")</f>
        <v/>
      </c>
      <c r="V1682" s="152">
        <f>IF(B1682="","",IF(AND(E1682&gt;0,F1682&gt;0,H1682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1682=1,TRUE()),R1682&lt;='01_설정'!B5,S1682&lt;='01_설정'!B6,T1682&lt;='01_설정'!B7,U1682&lt;='01_설정'!B8),"Y",""))</f>
        <v/>
      </c>
      <c r="W1682" s="172">
        <f>IF(V1682&lt;&gt;"Y","",MAX(0,(1-R1682/'01_설정'!B5))*'01_설정'!B14+MAX(0,(1-S1682/'01_설정'!B6))*'01_설정'!B15+MAX(0,(1-T1682/'01_설정'!B7))*'01_설정'!B16+MAX(0,(1-U1682/'01_설정'!B8))*'01_설정'!B17+O1682*'01_설정'!B11+Q1682*'01_설정'!B12+P1682*'01_설정'!B13+IF(Z1682="",0,Z1682))</f>
        <v/>
      </c>
      <c r="X1682" s="152">
        <f>IF(W1682="","",1+COUNTIFS($W$4:$W$3003,"&gt;"&amp;W1682)+COUNTIFS($W$4:W1682,W1682)-1)</f>
        <v/>
      </c>
      <c r="Y1682" s="175">
        <f>IF(OR(I1682="",'02_대상물건입력'!B19="",'02_대상물건입력'!B19&lt;=0),"",ABS(I1682-'02_대상물건입력'!B19)/'02_대상물건입력'!B19)</f>
        <v/>
      </c>
      <c r="Z1682" s="172">
        <f>IF(OR(Y1682="",'01_설정'!B31="",'01_설정'!B31&lt;=0,'01_설정'!B32="",'01_설정'!B32&lt;=0),"",MAX(0,(1-Y1682/'01_설정'!B32))*'01_설정'!B31)</f>
        <v/>
      </c>
    </row>
    <row r="1683" ht="17.25" customHeight="1">
      <c r="A1683" s="152">
        <f>IF(INDEX('04A_국토부원자료'!$A:$A,ROW()+1)="","",ROW()-3)</f>
        <v/>
      </c>
      <c r="B1683" s="48">
        <f>IFERROR(INDEX('04A_국토부원자료'!$A:$T,ROW()+1,MATCH("시군구",'04A_국토부원자료'!$A$4:$T$4,0)),"")</f>
        <v/>
      </c>
      <c r="C1683" s="48">
        <f>IF(B1683="","",IFERROR(INDEX('04A_국토부원자료'!$A:$T,ROW()+1,MATCH("번지",'04A_국토부원자료'!$A$4:$T$4,0)),""))</f>
        <v/>
      </c>
      <c r="D1683" s="48">
        <f>IF(B1683="","",IF(Q1683=1,'02_대상물건입력'!$B$8,IFERROR(INDEX('04A_국토부원자료'!$A:$T,ROW()+1,MATCH("단지명",'04A_국토부원자료'!$A$4:$T$4,0)),"")))</f>
        <v/>
      </c>
      <c r="E1683" s="172">
        <f>IFERROR(VALUE(SUBSTITUTE(INDEX('04A_국토부원자료'!$A:$T,ROW()+1,MATCH("전용면적(㎡)",'04A_국토부원자료'!$A$4:$T$4,0)),",","")),"")</f>
        <v/>
      </c>
      <c r="F16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83" s="51">
        <f>IFERROR(VALUE(SUBSTITUTE(INDEX('04A_국토부원자료'!$A:$T,ROW()+1,MATCH("거래금액(만원)",'04A_국토부원자료'!$A$4:$T$4,0)),",","")),"")</f>
        <v/>
      </c>
      <c r="H1683" s="174">
        <f>IF(G1683="","",G1683*10000)</f>
        <v/>
      </c>
      <c r="I1683" s="174">
        <f>IFERROR(IF(AND(H1683&gt;0,E1683&gt;0),H1683/E1683,""),"")</f>
        <v/>
      </c>
      <c r="J1683" s="152">
        <f>IFERROR(VALUE(SUBSTITUTE(INDEX('04A_국토부원자료'!$A:$T,ROW()+1,MATCH("층",'04A_국토부원자료'!$A$4:$T$4,0)),",","")),"")</f>
        <v/>
      </c>
      <c r="K1683" s="152">
        <f>IFERROR(VALUE(SUBSTITUTE(INDEX('04A_국토부원자료'!$A:$T,ROW()+1,MATCH("건축년도",'04A_국토부원자료'!$A$4:$T$4,0)),",","")),"")</f>
        <v/>
      </c>
      <c r="L1683" s="176">
        <f>IFERROR(INDEX('04A_국토부원자료'!$A:$T,ROW()+1,MATCH("도로명",'04A_국토부원자료'!$A$4:$T$4,0)),"")</f>
        <v/>
      </c>
      <c r="M1683" s="48">
        <f>IFERROR(INDEX('04A_국토부원자료'!$A:$T,ROW()+1,MATCH("거래유형",'04A_국토부원자료'!$A$4:$T$4,0)),"")</f>
        <v/>
      </c>
      <c r="N1683" s="152">
        <f>IF(B1683="","",IF('02_대상물건입력'!B5="",1,IF(ISNUMBER(SEARCH('02_대상물건입력'!B5,B1683)),1,0)))</f>
        <v/>
      </c>
      <c r="O1683" s="152">
        <f>IF(B1683="","",IF('02_대상물건입력'!B6="",1,IF(ISNUMBER(SEARCH('02_대상물건입력'!B6,B1683)),1,0)))</f>
        <v/>
      </c>
      <c r="P1683" s="152">
        <f>IF(L1683="","",IF('02_대상물건입력'!B15="",0,IF(ISNUMBER(SEARCH('02_대상물건입력'!B15,L1683)),1,0)))</f>
        <v/>
      </c>
      <c r="Q1683" s="152">
        <f>IF(OR(C1683="",L1683=""),0,IF(AND(TRIM(C1683)=TRIM(RIGHT(SUBSTITUTE(TRIM('02_대상물건입력'!$B$7)," ",REPT(" ",99)),99)),IF('02_대상물건입력'!B15="",TRUE(),ISNUMBER(SEARCH('02_대상물건입력'!B15,L1683)))),1,0))</f>
        <v/>
      </c>
      <c r="R1683" s="175">
        <f>IFERROR(ABS(E1683-'02_대상물건입력'!B11)/'02_대상물건입력'!B11,"")</f>
        <v/>
      </c>
      <c r="S1683" s="152">
        <f>IFERROR(ABS(J1683-'02_대상물건입력'!B10),"")</f>
        <v/>
      </c>
      <c r="T1683" s="152">
        <f>IFERROR(ABS('01_설정'!B4-F1683),"")</f>
        <v/>
      </c>
      <c r="U1683" s="152">
        <f>IFERROR(ABS(K1683-YEAR('02_대상물건입력'!B14)),"")</f>
        <v/>
      </c>
      <c r="V1683" s="152">
        <f>IF(B1683="","",IF(AND(E1683&gt;0,F1683&gt;0,H1683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1683=1,TRUE()),R1683&lt;='01_설정'!B5,S1683&lt;='01_설정'!B6,T1683&lt;='01_설정'!B7,U1683&lt;='01_설정'!B8),"Y",""))</f>
        <v/>
      </c>
      <c r="W1683" s="172">
        <f>IF(V1683&lt;&gt;"Y","",MAX(0,(1-R1683/'01_설정'!B5))*'01_설정'!B14+MAX(0,(1-S1683/'01_설정'!B6))*'01_설정'!B15+MAX(0,(1-T1683/'01_설정'!B7))*'01_설정'!B16+MAX(0,(1-U1683/'01_설정'!B8))*'01_설정'!B17+O1683*'01_설정'!B11+Q1683*'01_설정'!B12+P1683*'01_설정'!B13+IF(Z1683="",0,Z1683))</f>
        <v/>
      </c>
      <c r="X1683" s="152">
        <f>IF(W1683="","",1+COUNTIFS($W$4:$W$3003,"&gt;"&amp;W1683)+COUNTIFS($W$4:W1683,W1683)-1)</f>
        <v/>
      </c>
      <c r="Y1683" s="175">
        <f>IF(OR(I1683="",'02_대상물건입력'!B19="",'02_대상물건입력'!B19&lt;=0),"",ABS(I1683-'02_대상물건입력'!B19)/'02_대상물건입력'!B19)</f>
        <v/>
      </c>
      <c r="Z1683" s="172">
        <f>IF(OR(Y1683="",'01_설정'!B31="",'01_설정'!B31&lt;=0,'01_설정'!B32="",'01_설정'!B32&lt;=0),"",MAX(0,(1-Y1683/'01_설정'!B32))*'01_설정'!B31)</f>
        <v/>
      </c>
    </row>
    <row r="1684" ht="17.25" customHeight="1">
      <c r="A1684" s="152">
        <f>IF(INDEX('04A_국토부원자료'!$A:$A,ROW()+1)="","",ROW()-3)</f>
        <v/>
      </c>
      <c r="B1684" s="48">
        <f>IFERROR(INDEX('04A_국토부원자료'!$A:$T,ROW()+1,MATCH("시군구",'04A_국토부원자료'!$A$4:$T$4,0)),"")</f>
        <v/>
      </c>
      <c r="C1684" s="48">
        <f>IF(B1684="","",IFERROR(INDEX('04A_국토부원자료'!$A:$T,ROW()+1,MATCH("번지",'04A_국토부원자료'!$A$4:$T$4,0)),""))</f>
        <v/>
      </c>
      <c r="D1684" s="48">
        <f>IF(B1684="","",IF(Q1684=1,'02_대상물건입력'!$B$8,IFERROR(INDEX('04A_국토부원자료'!$A:$T,ROW()+1,MATCH("단지명",'04A_국토부원자료'!$A$4:$T$4,0)),"")))</f>
        <v/>
      </c>
      <c r="E1684" s="172">
        <f>IFERROR(VALUE(SUBSTITUTE(INDEX('04A_국토부원자료'!$A:$T,ROW()+1,MATCH("전용면적(㎡)",'04A_국토부원자료'!$A$4:$T$4,0)),",","")),"")</f>
        <v/>
      </c>
      <c r="F16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84" s="51">
        <f>IFERROR(VALUE(SUBSTITUTE(INDEX('04A_국토부원자료'!$A:$T,ROW()+1,MATCH("거래금액(만원)",'04A_국토부원자료'!$A$4:$T$4,0)),",","")),"")</f>
        <v/>
      </c>
      <c r="H1684" s="174">
        <f>IF(G1684="","",G1684*10000)</f>
        <v/>
      </c>
      <c r="I1684" s="174">
        <f>IFERROR(IF(AND(H1684&gt;0,E1684&gt;0),H1684/E1684,""),"")</f>
        <v/>
      </c>
      <c r="J1684" s="152">
        <f>IFERROR(VALUE(SUBSTITUTE(INDEX('04A_국토부원자료'!$A:$T,ROW()+1,MATCH("층",'04A_국토부원자료'!$A$4:$T$4,0)),",","")),"")</f>
        <v/>
      </c>
      <c r="K1684" s="152">
        <f>IFERROR(VALUE(SUBSTITUTE(INDEX('04A_국토부원자료'!$A:$T,ROW()+1,MATCH("건축년도",'04A_국토부원자료'!$A$4:$T$4,0)),",","")),"")</f>
        <v/>
      </c>
      <c r="L1684" s="176">
        <f>IFERROR(INDEX('04A_국토부원자료'!$A:$T,ROW()+1,MATCH("도로명",'04A_국토부원자료'!$A$4:$T$4,0)),"")</f>
        <v/>
      </c>
      <c r="M1684" s="48">
        <f>IFERROR(INDEX('04A_국토부원자료'!$A:$T,ROW()+1,MATCH("거래유형",'04A_국토부원자료'!$A$4:$T$4,0)),"")</f>
        <v/>
      </c>
      <c r="N1684" s="152">
        <f>IF(B1684="","",IF('02_대상물건입력'!B5="",1,IF(ISNUMBER(SEARCH('02_대상물건입력'!B5,B1684)),1,0)))</f>
        <v/>
      </c>
      <c r="O1684" s="152">
        <f>IF(B1684="","",IF('02_대상물건입력'!B6="",1,IF(ISNUMBER(SEARCH('02_대상물건입력'!B6,B1684)),1,0)))</f>
        <v/>
      </c>
      <c r="P1684" s="152">
        <f>IF(L1684="","",IF('02_대상물건입력'!B15="",0,IF(ISNUMBER(SEARCH('02_대상물건입력'!B15,L1684)),1,0)))</f>
        <v/>
      </c>
      <c r="Q1684" s="152">
        <f>IF(OR(C1684="",L1684=""),0,IF(AND(TRIM(C1684)=TRIM(RIGHT(SUBSTITUTE(TRIM('02_대상물건입력'!$B$7)," ",REPT(" ",99)),99)),IF('02_대상물건입력'!B15="",TRUE(),ISNUMBER(SEARCH('02_대상물건입력'!B15,L1684)))),1,0))</f>
        <v/>
      </c>
      <c r="R1684" s="175">
        <f>IFERROR(ABS(E1684-'02_대상물건입력'!B11)/'02_대상물건입력'!B11,"")</f>
        <v/>
      </c>
      <c r="S1684" s="152">
        <f>IFERROR(ABS(J1684-'02_대상물건입력'!B10),"")</f>
        <v/>
      </c>
      <c r="T1684" s="152">
        <f>IFERROR(ABS('01_설정'!B4-F1684),"")</f>
        <v/>
      </c>
      <c r="U1684" s="152">
        <f>IFERROR(ABS(K1684-YEAR('02_대상물건입력'!B14)),"")</f>
        <v/>
      </c>
      <c r="V1684" s="152">
        <f>IF(B1684="","",IF(AND(E1684&gt;0,F1684&gt;0,H1684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1684=1,TRUE()),R1684&lt;='01_설정'!B5,S1684&lt;='01_설정'!B6,T1684&lt;='01_설정'!B7,U1684&lt;='01_설정'!B8),"Y",""))</f>
        <v/>
      </c>
      <c r="W1684" s="172">
        <f>IF(V1684&lt;&gt;"Y","",MAX(0,(1-R1684/'01_설정'!B5))*'01_설정'!B14+MAX(0,(1-S1684/'01_설정'!B6))*'01_설정'!B15+MAX(0,(1-T1684/'01_설정'!B7))*'01_설정'!B16+MAX(0,(1-U1684/'01_설정'!B8))*'01_설정'!B17+O1684*'01_설정'!B11+Q1684*'01_설정'!B12+P1684*'01_설정'!B13+IF(Z1684="",0,Z1684))</f>
        <v/>
      </c>
      <c r="X1684" s="152">
        <f>IF(W1684="","",1+COUNTIFS($W$4:$W$3003,"&gt;"&amp;W1684)+COUNTIFS($W$4:W1684,W1684)-1)</f>
        <v/>
      </c>
      <c r="Y1684" s="175">
        <f>IF(OR(I1684="",'02_대상물건입력'!B19="",'02_대상물건입력'!B19&lt;=0),"",ABS(I1684-'02_대상물건입력'!B19)/'02_대상물건입력'!B19)</f>
        <v/>
      </c>
      <c r="Z1684" s="172">
        <f>IF(OR(Y1684="",'01_설정'!B31="",'01_설정'!B31&lt;=0,'01_설정'!B32="",'01_설정'!B32&lt;=0),"",MAX(0,(1-Y1684/'01_설정'!B32))*'01_설정'!B31)</f>
        <v/>
      </c>
    </row>
    <row r="1685" ht="17.25" customHeight="1">
      <c r="A1685" s="152">
        <f>IF(INDEX('04A_국토부원자료'!$A:$A,ROW()+1)="","",ROW()-3)</f>
        <v/>
      </c>
      <c r="B1685" s="48">
        <f>IFERROR(INDEX('04A_국토부원자료'!$A:$T,ROW()+1,MATCH("시군구",'04A_국토부원자료'!$A$4:$T$4,0)),"")</f>
        <v/>
      </c>
      <c r="C1685" s="48">
        <f>IF(B1685="","",IFERROR(INDEX('04A_국토부원자료'!$A:$T,ROW()+1,MATCH("번지",'04A_국토부원자료'!$A$4:$T$4,0)),""))</f>
        <v/>
      </c>
      <c r="D1685" s="48">
        <f>IF(B1685="","",IF(Q1685=1,'02_대상물건입력'!$B$8,IFERROR(INDEX('04A_국토부원자료'!$A:$T,ROW()+1,MATCH("단지명",'04A_국토부원자료'!$A$4:$T$4,0)),"")))</f>
        <v/>
      </c>
      <c r="E1685" s="172">
        <f>IFERROR(VALUE(SUBSTITUTE(INDEX('04A_국토부원자료'!$A:$T,ROW()+1,MATCH("전용면적(㎡)",'04A_국토부원자료'!$A$4:$T$4,0)),",","")),"")</f>
        <v/>
      </c>
      <c r="F16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85" s="51">
        <f>IFERROR(VALUE(SUBSTITUTE(INDEX('04A_국토부원자료'!$A:$T,ROW()+1,MATCH("거래금액(만원)",'04A_국토부원자료'!$A$4:$T$4,0)),",","")),"")</f>
        <v/>
      </c>
      <c r="H1685" s="174">
        <f>IF(G1685="","",G1685*10000)</f>
        <v/>
      </c>
      <c r="I1685" s="174">
        <f>IFERROR(IF(AND(H1685&gt;0,E1685&gt;0),H1685/E1685,""),"")</f>
        <v/>
      </c>
      <c r="J1685" s="152">
        <f>IFERROR(VALUE(SUBSTITUTE(INDEX('04A_국토부원자료'!$A:$T,ROW()+1,MATCH("층",'04A_국토부원자료'!$A$4:$T$4,0)),",","")),"")</f>
        <v/>
      </c>
      <c r="K1685" s="152">
        <f>IFERROR(VALUE(SUBSTITUTE(INDEX('04A_국토부원자료'!$A:$T,ROW()+1,MATCH("건축년도",'04A_국토부원자료'!$A$4:$T$4,0)),",","")),"")</f>
        <v/>
      </c>
      <c r="L1685" s="176">
        <f>IFERROR(INDEX('04A_국토부원자료'!$A:$T,ROW()+1,MATCH("도로명",'04A_국토부원자료'!$A$4:$T$4,0)),"")</f>
        <v/>
      </c>
      <c r="M1685" s="48">
        <f>IFERROR(INDEX('04A_국토부원자료'!$A:$T,ROW()+1,MATCH("거래유형",'04A_국토부원자료'!$A$4:$T$4,0)),"")</f>
        <v/>
      </c>
      <c r="N1685" s="152">
        <f>IF(B1685="","",IF('02_대상물건입력'!B5="",1,IF(ISNUMBER(SEARCH('02_대상물건입력'!B5,B1685)),1,0)))</f>
        <v/>
      </c>
      <c r="O1685" s="152">
        <f>IF(B1685="","",IF('02_대상물건입력'!B6="",1,IF(ISNUMBER(SEARCH('02_대상물건입력'!B6,B1685)),1,0)))</f>
        <v/>
      </c>
      <c r="P1685" s="152">
        <f>IF(L1685="","",IF('02_대상물건입력'!B15="",0,IF(ISNUMBER(SEARCH('02_대상물건입력'!B15,L1685)),1,0)))</f>
        <v/>
      </c>
      <c r="Q1685" s="152">
        <f>IF(OR(C1685="",L1685=""),0,IF(AND(TRIM(C1685)=TRIM(RIGHT(SUBSTITUTE(TRIM('02_대상물건입력'!$B$7)," ",REPT(" ",99)),99)),IF('02_대상물건입력'!B15="",TRUE(),ISNUMBER(SEARCH('02_대상물건입력'!B15,L1685)))),1,0))</f>
        <v/>
      </c>
      <c r="R1685" s="175">
        <f>IFERROR(ABS(E1685-'02_대상물건입력'!B11)/'02_대상물건입력'!B11,"")</f>
        <v/>
      </c>
      <c r="S1685" s="152">
        <f>IFERROR(ABS(J1685-'02_대상물건입력'!B10),"")</f>
        <v/>
      </c>
      <c r="T1685" s="152">
        <f>IFERROR(ABS('01_설정'!B4-F1685),"")</f>
        <v/>
      </c>
      <c r="U1685" s="152">
        <f>IFERROR(ABS(K1685-YEAR('02_대상물건입력'!B14)),"")</f>
        <v/>
      </c>
      <c r="V1685" s="152">
        <f>IF(B1685="","",IF(AND(E1685&gt;0,F1685&gt;0,H1685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1685=1,TRUE()),R1685&lt;='01_설정'!B5,S1685&lt;='01_설정'!B6,T1685&lt;='01_설정'!B7,U1685&lt;='01_설정'!B8),"Y",""))</f>
        <v/>
      </c>
      <c r="W1685" s="172">
        <f>IF(V1685&lt;&gt;"Y","",MAX(0,(1-R1685/'01_설정'!B5))*'01_설정'!B14+MAX(0,(1-S1685/'01_설정'!B6))*'01_설정'!B15+MAX(0,(1-T1685/'01_설정'!B7))*'01_설정'!B16+MAX(0,(1-U1685/'01_설정'!B8))*'01_설정'!B17+O1685*'01_설정'!B11+Q1685*'01_설정'!B12+P1685*'01_설정'!B13+IF(Z1685="",0,Z1685))</f>
        <v/>
      </c>
      <c r="X1685" s="152">
        <f>IF(W1685="","",1+COUNTIFS($W$4:$W$3003,"&gt;"&amp;W1685)+COUNTIFS($W$4:W1685,W1685)-1)</f>
        <v/>
      </c>
      <c r="Y1685" s="175">
        <f>IF(OR(I1685="",'02_대상물건입력'!B19="",'02_대상물건입력'!B19&lt;=0),"",ABS(I1685-'02_대상물건입력'!B19)/'02_대상물건입력'!B19)</f>
        <v/>
      </c>
      <c r="Z1685" s="172">
        <f>IF(OR(Y1685="",'01_설정'!B31="",'01_설정'!B31&lt;=0,'01_설정'!B32="",'01_설정'!B32&lt;=0),"",MAX(0,(1-Y1685/'01_설정'!B32))*'01_설정'!B31)</f>
        <v/>
      </c>
    </row>
    <row r="1686" ht="17.25" customHeight="1">
      <c r="A1686" s="152">
        <f>IF(INDEX('04A_국토부원자료'!$A:$A,ROW()+1)="","",ROW()-3)</f>
        <v/>
      </c>
      <c r="B1686" s="48">
        <f>IFERROR(INDEX('04A_국토부원자료'!$A:$T,ROW()+1,MATCH("시군구",'04A_국토부원자료'!$A$4:$T$4,0)),"")</f>
        <v/>
      </c>
      <c r="C1686" s="48">
        <f>IF(B1686="","",IFERROR(INDEX('04A_국토부원자료'!$A:$T,ROW()+1,MATCH("번지",'04A_국토부원자료'!$A$4:$T$4,0)),""))</f>
        <v/>
      </c>
      <c r="D1686" s="48">
        <f>IF(B1686="","",IF(Q1686=1,'02_대상물건입력'!$B$8,IFERROR(INDEX('04A_국토부원자료'!$A:$T,ROW()+1,MATCH("단지명",'04A_국토부원자료'!$A$4:$T$4,0)),"")))</f>
        <v/>
      </c>
      <c r="E1686" s="172">
        <f>IFERROR(VALUE(SUBSTITUTE(INDEX('04A_국토부원자료'!$A:$T,ROW()+1,MATCH("전용면적(㎡)",'04A_국토부원자료'!$A$4:$T$4,0)),",","")),"")</f>
        <v/>
      </c>
      <c r="F16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86" s="51">
        <f>IFERROR(VALUE(SUBSTITUTE(INDEX('04A_국토부원자료'!$A:$T,ROW()+1,MATCH("거래금액(만원)",'04A_국토부원자료'!$A$4:$T$4,0)),",","")),"")</f>
        <v/>
      </c>
      <c r="H1686" s="174">
        <f>IF(G1686="","",G1686*10000)</f>
        <v/>
      </c>
      <c r="I1686" s="174">
        <f>IFERROR(IF(AND(H1686&gt;0,E1686&gt;0),H1686/E1686,""),"")</f>
        <v/>
      </c>
      <c r="J1686" s="152">
        <f>IFERROR(VALUE(SUBSTITUTE(INDEX('04A_국토부원자료'!$A:$T,ROW()+1,MATCH("층",'04A_국토부원자료'!$A$4:$T$4,0)),",","")),"")</f>
        <v/>
      </c>
      <c r="K1686" s="152">
        <f>IFERROR(VALUE(SUBSTITUTE(INDEX('04A_국토부원자료'!$A:$T,ROW()+1,MATCH("건축년도",'04A_국토부원자료'!$A$4:$T$4,0)),",","")),"")</f>
        <v/>
      </c>
      <c r="L1686" s="176">
        <f>IFERROR(INDEX('04A_국토부원자료'!$A:$T,ROW()+1,MATCH("도로명",'04A_국토부원자료'!$A$4:$T$4,0)),"")</f>
        <v/>
      </c>
      <c r="M1686" s="48">
        <f>IFERROR(INDEX('04A_국토부원자료'!$A:$T,ROW()+1,MATCH("거래유형",'04A_국토부원자료'!$A$4:$T$4,0)),"")</f>
        <v/>
      </c>
      <c r="N1686" s="152">
        <f>IF(B1686="","",IF('02_대상물건입력'!B5="",1,IF(ISNUMBER(SEARCH('02_대상물건입력'!B5,B1686)),1,0)))</f>
        <v/>
      </c>
      <c r="O1686" s="152">
        <f>IF(B1686="","",IF('02_대상물건입력'!B6="",1,IF(ISNUMBER(SEARCH('02_대상물건입력'!B6,B1686)),1,0)))</f>
        <v/>
      </c>
      <c r="P1686" s="152">
        <f>IF(L1686="","",IF('02_대상물건입력'!B15="",0,IF(ISNUMBER(SEARCH('02_대상물건입력'!B15,L1686)),1,0)))</f>
        <v/>
      </c>
      <c r="Q1686" s="152">
        <f>IF(OR(C1686="",L1686=""),0,IF(AND(TRIM(C1686)=TRIM(RIGHT(SUBSTITUTE(TRIM('02_대상물건입력'!$B$7)," ",REPT(" ",99)),99)),IF('02_대상물건입력'!B15="",TRUE(),ISNUMBER(SEARCH('02_대상물건입력'!B15,L1686)))),1,0))</f>
        <v/>
      </c>
      <c r="R1686" s="175">
        <f>IFERROR(ABS(E1686-'02_대상물건입력'!B11)/'02_대상물건입력'!B11,"")</f>
        <v/>
      </c>
      <c r="S1686" s="152">
        <f>IFERROR(ABS(J1686-'02_대상물건입력'!B10),"")</f>
        <v/>
      </c>
      <c r="T1686" s="152">
        <f>IFERROR(ABS('01_설정'!B4-F1686),"")</f>
        <v/>
      </c>
      <c r="U1686" s="152">
        <f>IFERROR(ABS(K1686-YEAR('02_대상물건입력'!B14)),"")</f>
        <v/>
      </c>
      <c r="V1686" s="152">
        <f>IF(B1686="","",IF(AND(E1686&gt;0,F1686&gt;0,H1686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1686=1,TRUE()),R1686&lt;='01_설정'!B5,S1686&lt;='01_설정'!B6,T1686&lt;='01_설정'!B7,U1686&lt;='01_설정'!B8),"Y",""))</f>
        <v/>
      </c>
      <c r="W1686" s="172">
        <f>IF(V1686&lt;&gt;"Y","",MAX(0,(1-R1686/'01_설정'!B5))*'01_설정'!B14+MAX(0,(1-S1686/'01_설정'!B6))*'01_설정'!B15+MAX(0,(1-T1686/'01_설정'!B7))*'01_설정'!B16+MAX(0,(1-U1686/'01_설정'!B8))*'01_설정'!B17+O1686*'01_설정'!B11+Q1686*'01_설정'!B12+P1686*'01_설정'!B13+IF(Z1686="",0,Z1686))</f>
        <v/>
      </c>
      <c r="X1686" s="152">
        <f>IF(W1686="","",1+COUNTIFS($W$4:$W$3003,"&gt;"&amp;W1686)+COUNTIFS($W$4:W1686,W1686)-1)</f>
        <v/>
      </c>
      <c r="Y1686" s="175">
        <f>IF(OR(I1686="",'02_대상물건입력'!B19="",'02_대상물건입력'!B19&lt;=0),"",ABS(I1686-'02_대상물건입력'!B19)/'02_대상물건입력'!B19)</f>
        <v/>
      </c>
      <c r="Z1686" s="172">
        <f>IF(OR(Y1686="",'01_설정'!B31="",'01_설정'!B31&lt;=0,'01_설정'!B32="",'01_설정'!B32&lt;=0),"",MAX(0,(1-Y1686/'01_설정'!B32))*'01_설정'!B31)</f>
        <v/>
      </c>
    </row>
    <row r="1687" ht="17.25" customHeight="1">
      <c r="A1687" s="152">
        <f>IF(INDEX('04A_국토부원자료'!$A:$A,ROW()+1)="","",ROW()-3)</f>
        <v/>
      </c>
      <c r="B1687" s="48">
        <f>IFERROR(INDEX('04A_국토부원자료'!$A:$T,ROW()+1,MATCH("시군구",'04A_국토부원자료'!$A$4:$T$4,0)),"")</f>
        <v/>
      </c>
      <c r="C1687" s="48">
        <f>IF(B1687="","",IFERROR(INDEX('04A_국토부원자료'!$A:$T,ROW()+1,MATCH("번지",'04A_국토부원자료'!$A$4:$T$4,0)),""))</f>
        <v/>
      </c>
      <c r="D1687" s="48">
        <f>IF(B1687="","",IF(Q1687=1,'02_대상물건입력'!$B$8,IFERROR(INDEX('04A_국토부원자료'!$A:$T,ROW()+1,MATCH("단지명",'04A_국토부원자료'!$A$4:$T$4,0)),"")))</f>
        <v/>
      </c>
      <c r="E1687" s="172">
        <f>IFERROR(VALUE(SUBSTITUTE(INDEX('04A_국토부원자료'!$A:$T,ROW()+1,MATCH("전용면적(㎡)",'04A_국토부원자료'!$A$4:$T$4,0)),",","")),"")</f>
        <v/>
      </c>
      <c r="F16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87" s="51">
        <f>IFERROR(VALUE(SUBSTITUTE(INDEX('04A_국토부원자료'!$A:$T,ROW()+1,MATCH("거래금액(만원)",'04A_국토부원자료'!$A$4:$T$4,0)),",","")),"")</f>
        <v/>
      </c>
      <c r="H1687" s="174">
        <f>IF(G1687="","",G1687*10000)</f>
        <v/>
      </c>
      <c r="I1687" s="174">
        <f>IFERROR(IF(AND(H1687&gt;0,E1687&gt;0),H1687/E1687,""),"")</f>
        <v/>
      </c>
      <c r="J1687" s="152">
        <f>IFERROR(VALUE(SUBSTITUTE(INDEX('04A_국토부원자료'!$A:$T,ROW()+1,MATCH("층",'04A_국토부원자료'!$A$4:$T$4,0)),",","")),"")</f>
        <v/>
      </c>
      <c r="K1687" s="152">
        <f>IFERROR(VALUE(SUBSTITUTE(INDEX('04A_국토부원자료'!$A:$T,ROW()+1,MATCH("건축년도",'04A_국토부원자료'!$A$4:$T$4,0)),",","")),"")</f>
        <v/>
      </c>
      <c r="L1687" s="176">
        <f>IFERROR(INDEX('04A_국토부원자료'!$A:$T,ROW()+1,MATCH("도로명",'04A_국토부원자료'!$A$4:$T$4,0)),"")</f>
        <v/>
      </c>
      <c r="M1687" s="48">
        <f>IFERROR(INDEX('04A_국토부원자료'!$A:$T,ROW()+1,MATCH("거래유형",'04A_국토부원자료'!$A$4:$T$4,0)),"")</f>
        <v/>
      </c>
      <c r="N1687" s="152">
        <f>IF(B1687="","",IF('02_대상물건입력'!B5="",1,IF(ISNUMBER(SEARCH('02_대상물건입력'!B5,B1687)),1,0)))</f>
        <v/>
      </c>
      <c r="O1687" s="152">
        <f>IF(B1687="","",IF('02_대상물건입력'!B6="",1,IF(ISNUMBER(SEARCH('02_대상물건입력'!B6,B1687)),1,0)))</f>
        <v/>
      </c>
      <c r="P1687" s="152">
        <f>IF(L1687="","",IF('02_대상물건입력'!B15="",0,IF(ISNUMBER(SEARCH('02_대상물건입력'!B15,L1687)),1,0)))</f>
        <v/>
      </c>
      <c r="Q1687" s="152">
        <f>IF(OR(C1687="",L1687=""),0,IF(AND(TRIM(C1687)=TRIM(RIGHT(SUBSTITUTE(TRIM('02_대상물건입력'!$B$7)," ",REPT(" ",99)),99)),IF('02_대상물건입력'!B15="",TRUE(),ISNUMBER(SEARCH('02_대상물건입력'!B15,L1687)))),1,0))</f>
        <v/>
      </c>
      <c r="R1687" s="175">
        <f>IFERROR(ABS(E1687-'02_대상물건입력'!B11)/'02_대상물건입력'!B11,"")</f>
        <v/>
      </c>
      <c r="S1687" s="152">
        <f>IFERROR(ABS(J1687-'02_대상물건입력'!B10),"")</f>
        <v/>
      </c>
      <c r="T1687" s="152">
        <f>IFERROR(ABS('01_설정'!B4-F1687),"")</f>
        <v/>
      </c>
      <c r="U1687" s="152">
        <f>IFERROR(ABS(K1687-YEAR('02_대상물건입력'!B14)),"")</f>
        <v/>
      </c>
      <c r="V1687" s="152">
        <f>IF(B1687="","",IF(AND(E1687&gt;0,F1687&gt;0,H1687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1687=1,TRUE()),R1687&lt;='01_설정'!B5,S1687&lt;='01_설정'!B6,T1687&lt;='01_설정'!B7,U1687&lt;='01_설정'!B8),"Y",""))</f>
        <v/>
      </c>
      <c r="W1687" s="172">
        <f>IF(V1687&lt;&gt;"Y","",MAX(0,(1-R1687/'01_설정'!B5))*'01_설정'!B14+MAX(0,(1-S1687/'01_설정'!B6))*'01_설정'!B15+MAX(0,(1-T1687/'01_설정'!B7))*'01_설정'!B16+MAX(0,(1-U1687/'01_설정'!B8))*'01_설정'!B17+O1687*'01_설정'!B11+Q1687*'01_설정'!B12+P1687*'01_설정'!B13+IF(Z1687="",0,Z1687))</f>
        <v/>
      </c>
      <c r="X1687" s="152">
        <f>IF(W1687="","",1+COUNTIFS($W$4:$W$3003,"&gt;"&amp;W1687)+COUNTIFS($W$4:W1687,W1687)-1)</f>
        <v/>
      </c>
      <c r="Y1687" s="175">
        <f>IF(OR(I1687="",'02_대상물건입력'!B19="",'02_대상물건입력'!B19&lt;=0),"",ABS(I1687-'02_대상물건입력'!B19)/'02_대상물건입력'!B19)</f>
        <v/>
      </c>
      <c r="Z1687" s="172">
        <f>IF(OR(Y1687="",'01_설정'!B31="",'01_설정'!B31&lt;=0,'01_설정'!B32="",'01_설정'!B32&lt;=0),"",MAX(0,(1-Y1687/'01_설정'!B32))*'01_설정'!B31)</f>
        <v/>
      </c>
    </row>
    <row r="1688" ht="17.25" customHeight="1">
      <c r="A1688" s="152">
        <f>IF(INDEX('04A_국토부원자료'!$A:$A,ROW()+1)="","",ROW()-3)</f>
        <v/>
      </c>
      <c r="B1688" s="48">
        <f>IFERROR(INDEX('04A_국토부원자료'!$A:$T,ROW()+1,MATCH("시군구",'04A_국토부원자료'!$A$4:$T$4,0)),"")</f>
        <v/>
      </c>
      <c r="C1688" s="48">
        <f>IF(B1688="","",IFERROR(INDEX('04A_국토부원자료'!$A:$T,ROW()+1,MATCH("번지",'04A_국토부원자료'!$A$4:$T$4,0)),""))</f>
        <v/>
      </c>
      <c r="D1688" s="48">
        <f>IF(B1688="","",IF(Q1688=1,'02_대상물건입력'!$B$8,IFERROR(INDEX('04A_국토부원자료'!$A:$T,ROW()+1,MATCH("단지명",'04A_국토부원자료'!$A$4:$T$4,0)),"")))</f>
        <v/>
      </c>
      <c r="E1688" s="172">
        <f>IFERROR(VALUE(SUBSTITUTE(INDEX('04A_국토부원자료'!$A:$T,ROW()+1,MATCH("전용면적(㎡)",'04A_국토부원자료'!$A$4:$T$4,0)),",","")),"")</f>
        <v/>
      </c>
      <c r="F16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88" s="51">
        <f>IFERROR(VALUE(SUBSTITUTE(INDEX('04A_국토부원자료'!$A:$T,ROW()+1,MATCH("거래금액(만원)",'04A_국토부원자료'!$A$4:$T$4,0)),",","")),"")</f>
        <v/>
      </c>
      <c r="H1688" s="174">
        <f>IF(G1688="","",G1688*10000)</f>
        <v/>
      </c>
      <c r="I1688" s="174">
        <f>IFERROR(IF(AND(H1688&gt;0,E1688&gt;0),H1688/E1688,""),"")</f>
        <v/>
      </c>
      <c r="J1688" s="152">
        <f>IFERROR(VALUE(SUBSTITUTE(INDEX('04A_국토부원자료'!$A:$T,ROW()+1,MATCH("층",'04A_국토부원자료'!$A$4:$T$4,0)),",","")),"")</f>
        <v/>
      </c>
      <c r="K1688" s="152">
        <f>IFERROR(VALUE(SUBSTITUTE(INDEX('04A_국토부원자료'!$A:$T,ROW()+1,MATCH("건축년도",'04A_국토부원자료'!$A$4:$T$4,0)),",","")),"")</f>
        <v/>
      </c>
      <c r="L1688" s="176">
        <f>IFERROR(INDEX('04A_국토부원자료'!$A:$T,ROW()+1,MATCH("도로명",'04A_국토부원자료'!$A$4:$T$4,0)),"")</f>
        <v/>
      </c>
      <c r="M1688" s="48">
        <f>IFERROR(INDEX('04A_국토부원자료'!$A:$T,ROW()+1,MATCH("거래유형",'04A_국토부원자료'!$A$4:$T$4,0)),"")</f>
        <v/>
      </c>
      <c r="N1688" s="152">
        <f>IF(B1688="","",IF('02_대상물건입력'!B5="",1,IF(ISNUMBER(SEARCH('02_대상물건입력'!B5,B1688)),1,0)))</f>
        <v/>
      </c>
      <c r="O1688" s="152">
        <f>IF(B1688="","",IF('02_대상물건입력'!B6="",1,IF(ISNUMBER(SEARCH('02_대상물건입력'!B6,B1688)),1,0)))</f>
        <v/>
      </c>
      <c r="P1688" s="152">
        <f>IF(L1688="","",IF('02_대상물건입력'!B15="",0,IF(ISNUMBER(SEARCH('02_대상물건입력'!B15,L1688)),1,0)))</f>
        <v/>
      </c>
      <c r="Q1688" s="152">
        <f>IF(OR(C1688="",L1688=""),0,IF(AND(TRIM(C1688)=TRIM(RIGHT(SUBSTITUTE(TRIM('02_대상물건입력'!$B$7)," ",REPT(" ",99)),99)),IF('02_대상물건입력'!B15="",TRUE(),ISNUMBER(SEARCH('02_대상물건입력'!B15,L1688)))),1,0))</f>
        <v/>
      </c>
      <c r="R1688" s="175">
        <f>IFERROR(ABS(E1688-'02_대상물건입력'!B11)/'02_대상물건입력'!B11,"")</f>
        <v/>
      </c>
      <c r="S1688" s="152">
        <f>IFERROR(ABS(J1688-'02_대상물건입력'!B10),"")</f>
        <v/>
      </c>
      <c r="T1688" s="152">
        <f>IFERROR(ABS('01_설정'!B4-F1688),"")</f>
        <v/>
      </c>
      <c r="U1688" s="152">
        <f>IFERROR(ABS(K1688-YEAR('02_대상물건입력'!B14)),"")</f>
        <v/>
      </c>
      <c r="V1688" s="152">
        <f>IF(B1688="","",IF(AND(E1688&gt;0,F1688&gt;0,H1688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1688=1,TRUE()),R1688&lt;='01_설정'!B5,S1688&lt;='01_설정'!B6,T1688&lt;='01_설정'!B7,U1688&lt;='01_설정'!B8),"Y",""))</f>
        <v/>
      </c>
      <c r="W1688" s="172">
        <f>IF(V1688&lt;&gt;"Y","",MAX(0,(1-R1688/'01_설정'!B5))*'01_설정'!B14+MAX(0,(1-S1688/'01_설정'!B6))*'01_설정'!B15+MAX(0,(1-T1688/'01_설정'!B7))*'01_설정'!B16+MAX(0,(1-U1688/'01_설정'!B8))*'01_설정'!B17+O1688*'01_설정'!B11+Q1688*'01_설정'!B12+P1688*'01_설정'!B13+IF(Z1688="",0,Z1688))</f>
        <v/>
      </c>
      <c r="X1688" s="152">
        <f>IF(W1688="","",1+COUNTIFS($W$4:$W$3003,"&gt;"&amp;W1688)+COUNTIFS($W$4:W1688,W1688)-1)</f>
        <v/>
      </c>
      <c r="Y1688" s="175">
        <f>IF(OR(I1688="",'02_대상물건입력'!B19="",'02_대상물건입력'!B19&lt;=0),"",ABS(I1688-'02_대상물건입력'!B19)/'02_대상물건입력'!B19)</f>
        <v/>
      </c>
      <c r="Z1688" s="172">
        <f>IF(OR(Y1688="",'01_설정'!B31="",'01_설정'!B31&lt;=0,'01_설정'!B32="",'01_설정'!B32&lt;=0),"",MAX(0,(1-Y1688/'01_설정'!B32))*'01_설정'!B31)</f>
        <v/>
      </c>
    </row>
    <row r="1689" ht="17.25" customHeight="1">
      <c r="A1689" s="152">
        <f>IF(INDEX('04A_국토부원자료'!$A:$A,ROW()+1)="","",ROW()-3)</f>
        <v/>
      </c>
      <c r="B1689" s="48">
        <f>IFERROR(INDEX('04A_국토부원자료'!$A:$T,ROW()+1,MATCH("시군구",'04A_국토부원자료'!$A$4:$T$4,0)),"")</f>
        <v/>
      </c>
      <c r="C1689" s="48">
        <f>IF(B1689="","",IFERROR(INDEX('04A_국토부원자료'!$A:$T,ROW()+1,MATCH("번지",'04A_국토부원자료'!$A$4:$T$4,0)),""))</f>
        <v/>
      </c>
      <c r="D1689" s="48">
        <f>IF(B1689="","",IF(Q1689=1,'02_대상물건입력'!$B$8,IFERROR(INDEX('04A_국토부원자료'!$A:$T,ROW()+1,MATCH("단지명",'04A_국토부원자료'!$A$4:$T$4,0)),"")))</f>
        <v/>
      </c>
      <c r="E1689" s="172">
        <f>IFERROR(VALUE(SUBSTITUTE(INDEX('04A_국토부원자료'!$A:$T,ROW()+1,MATCH("전용면적(㎡)",'04A_국토부원자료'!$A$4:$T$4,0)),",","")),"")</f>
        <v/>
      </c>
      <c r="F16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89" s="51">
        <f>IFERROR(VALUE(SUBSTITUTE(INDEX('04A_국토부원자료'!$A:$T,ROW()+1,MATCH("거래금액(만원)",'04A_국토부원자료'!$A$4:$T$4,0)),",","")),"")</f>
        <v/>
      </c>
      <c r="H1689" s="174">
        <f>IF(G1689="","",G1689*10000)</f>
        <v/>
      </c>
      <c r="I1689" s="174">
        <f>IFERROR(IF(AND(H1689&gt;0,E1689&gt;0),H1689/E1689,""),"")</f>
        <v/>
      </c>
      <c r="J1689" s="152">
        <f>IFERROR(VALUE(SUBSTITUTE(INDEX('04A_국토부원자료'!$A:$T,ROW()+1,MATCH("층",'04A_국토부원자료'!$A$4:$T$4,0)),",","")),"")</f>
        <v/>
      </c>
      <c r="K1689" s="152">
        <f>IFERROR(VALUE(SUBSTITUTE(INDEX('04A_국토부원자료'!$A:$T,ROW()+1,MATCH("건축년도",'04A_국토부원자료'!$A$4:$T$4,0)),",","")),"")</f>
        <v/>
      </c>
      <c r="L1689" s="176">
        <f>IFERROR(INDEX('04A_국토부원자료'!$A:$T,ROW()+1,MATCH("도로명",'04A_국토부원자료'!$A$4:$T$4,0)),"")</f>
        <v/>
      </c>
      <c r="M1689" s="48">
        <f>IFERROR(INDEX('04A_국토부원자료'!$A:$T,ROW()+1,MATCH("거래유형",'04A_국토부원자료'!$A$4:$T$4,0)),"")</f>
        <v/>
      </c>
      <c r="N1689" s="152">
        <f>IF(B1689="","",IF('02_대상물건입력'!B5="",1,IF(ISNUMBER(SEARCH('02_대상물건입력'!B5,B1689)),1,0)))</f>
        <v/>
      </c>
      <c r="O1689" s="152">
        <f>IF(B1689="","",IF('02_대상물건입력'!B6="",1,IF(ISNUMBER(SEARCH('02_대상물건입력'!B6,B1689)),1,0)))</f>
        <v/>
      </c>
      <c r="P1689" s="152">
        <f>IF(L1689="","",IF('02_대상물건입력'!B15="",0,IF(ISNUMBER(SEARCH('02_대상물건입력'!B15,L1689)),1,0)))</f>
        <v/>
      </c>
      <c r="Q1689" s="152">
        <f>IF(OR(C1689="",L1689=""),0,IF(AND(TRIM(C1689)=TRIM(RIGHT(SUBSTITUTE(TRIM('02_대상물건입력'!$B$7)," ",REPT(" ",99)),99)),IF('02_대상물건입력'!B15="",TRUE(),ISNUMBER(SEARCH('02_대상물건입력'!B15,L1689)))),1,0))</f>
        <v/>
      </c>
      <c r="R1689" s="175">
        <f>IFERROR(ABS(E1689-'02_대상물건입력'!B11)/'02_대상물건입력'!B11,"")</f>
        <v/>
      </c>
      <c r="S1689" s="152">
        <f>IFERROR(ABS(J1689-'02_대상물건입력'!B10),"")</f>
        <v/>
      </c>
      <c r="T1689" s="152">
        <f>IFERROR(ABS('01_설정'!B4-F1689),"")</f>
        <v/>
      </c>
      <c r="U1689" s="152">
        <f>IFERROR(ABS(K1689-YEAR('02_대상물건입력'!B14)),"")</f>
        <v/>
      </c>
      <c r="V1689" s="152">
        <f>IF(B1689="","",IF(AND(E1689&gt;0,F1689&gt;0,H1689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1689=1,TRUE()),R1689&lt;='01_설정'!B5,S1689&lt;='01_설정'!B6,T1689&lt;='01_설정'!B7,U1689&lt;='01_설정'!B8),"Y",""))</f>
        <v/>
      </c>
      <c r="W1689" s="172">
        <f>IF(V1689&lt;&gt;"Y","",MAX(0,(1-R1689/'01_설정'!B5))*'01_설정'!B14+MAX(0,(1-S1689/'01_설정'!B6))*'01_설정'!B15+MAX(0,(1-T1689/'01_설정'!B7))*'01_설정'!B16+MAX(0,(1-U1689/'01_설정'!B8))*'01_설정'!B17+O1689*'01_설정'!B11+Q1689*'01_설정'!B12+P1689*'01_설정'!B13+IF(Z1689="",0,Z1689))</f>
        <v/>
      </c>
      <c r="X1689" s="152">
        <f>IF(W1689="","",1+COUNTIFS($W$4:$W$3003,"&gt;"&amp;W1689)+COUNTIFS($W$4:W1689,W1689)-1)</f>
        <v/>
      </c>
      <c r="Y1689" s="175">
        <f>IF(OR(I1689="",'02_대상물건입력'!B19="",'02_대상물건입력'!B19&lt;=0),"",ABS(I1689-'02_대상물건입력'!B19)/'02_대상물건입력'!B19)</f>
        <v/>
      </c>
      <c r="Z1689" s="172">
        <f>IF(OR(Y1689="",'01_설정'!B31="",'01_설정'!B31&lt;=0,'01_설정'!B32="",'01_설정'!B32&lt;=0),"",MAX(0,(1-Y1689/'01_설정'!B32))*'01_설정'!B31)</f>
        <v/>
      </c>
    </row>
    <row r="1690" ht="17.25" customHeight="1">
      <c r="A1690" s="152">
        <f>IF(INDEX('04A_국토부원자료'!$A:$A,ROW()+1)="","",ROW()-3)</f>
        <v/>
      </c>
      <c r="B1690" s="48">
        <f>IFERROR(INDEX('04A_국토부원자료'!$A:$T,ROW()+1,MATCH("시군구",'04A_국토부원자료'!$A$4:$T$4,0)),"")</f>
        <v/>
      </c>
      <c r="C1690" s="48">
        <f>IF(B1690="","",IFERROR(INDEX('04A_국토부원자료'!$A:$T,ROW()+1,MATCH("번지",'04A_국토부원자료'!$A$4:$T$4,0)),""))</f>
        <v/>
      </c>
      <c r="D1690" s="48">
        <f>IF(B1690="","",IF(Q1690=1,'02_대상물건입력'!$B$8,IFERROR(INDEX('04A_국토부원자료'!$A:$T,ROW()+1,MATCH("단지명",'04A_국토부원자료'!$A$4:$T$4,0)),"")))</f>
        <v/>
      </c>
      <c r="E1690" s="172">
        <f>IFERROR(VALUE(SUBSTITUTE(INDEX('04A_국토부원자료'!$A:$T,ROW()+1,MATCH("전용면적(㎡)",'04A_국토부원자료'!$A$4:$T$4,0)),",","")),"")</f>
        <v/>
      </c>
      <c r="F16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90" s="51">
        <f>IFERROR(VALUE(SUBSTITUTE(INDEX('04A_국토부원자료'!$A:$T,ROW()+1,MATCH("거래금액(만원)",'04A_국토부원자료'!$A$4:$T$4,0)),",","")),"")</f>
        <v/>
      </c>
      <c r="H1690" s="174">
        <f>IF(G1690="","",G1690*10000)</f>
        <v/>
      </c>
      <c r="I1690" s="174">
        <f>IFERROR(IF(AND(H1690&gt;0,E1690&gt;0),H1690/E1690,""),"")</f>
        <v/>
      </c>
      <c r="J1690" s="152">
        <f>IFERROR(VALUE(SUBSTITUTE(INDEX('04A_국토부원자료'!$A:$T,ROW()+1,MATCH("층",'04A_국토부원자료'!$A$4:$T$4,0)),",","")),"")</f>
        <v/>
      </c>
      <c r="K1690" s="152">
        <f>IFERROR(VALUE(SUBSTITUTE(INDEX('04A_국토부원자료'!$A:$T,ROW()+1,MATCH("건축년도",'04A_국토부원자료'!$A$4:$T$4,0)),",","")),"")</f>
        <v/>
      </c>
      <c r="L1690" s="176">
        <f>IFERROR(INDEX('04A_국토부원자료'!$A:$T,ROW()+1,MATCH("도로명",'04A_국토부원자료'!$A$4:$T$4,0)),"")</f>
        <v/>
      </c>
      <c r="M1690" s="48">
        <f>IFERROR(INDEX('04A_국토부원자료'!$A:$T,ROW()+1,MATCH("거래유형",'04A_국토부원자료'!$A$4:$T$4,0)),"")</f>
        <v/>
      </c>
      <c r="N1690" s="152">
        <f>IF(B1690="","",IF('02_대상물건입력'!B5="",1,IF(ISNUMBER(SEARCH('02_대상물건입력'!B5,B1690)),1,0)))</f>
        <v/>
      </c>
      <c r="O1690" s="152">
        <f>IF(B1690="","",IF('02_대상물건입력'!B6="",1,IF(ISNUMBER(SEARCH('02_대상물건입력'!B6,B1690)),1,0)))</f>
        <v/>
      </c>
      <c r="P1690" s="152">
        <f>IF(L1690="","",IF('02_대상물건입력'!B15="",0,IF(ISNUMBER(SEARCH('02_대상물건입력'!B15,L1690)),1,0)))</f>
        <v/>
      </c>
      <c r="Q1690" s="152">
        <f>IF(OR(C1690="",L1690=""),0,IF(AND(TRIM(C1690)=TRIM(RIGHT(SUBSTITUTE(TRIM('02_대상물건입력'!$B$7)," ",REPT(" ",99)),99)),IF('02_대상물건입력'!B15="",TRUE(),ISNUMBER(SEARCH('02_대상물건입력'!B15,L1690)))),1,0))</f>
        <v/>
      </c>
      <c r="R1690" s="175">
        <f>IFERROR(ABS(E1690-'02_대상물건입력'!B11)/'02_대상물건입력'!B11,"")</f>
        <v/>
      </c>
      <c r="S1690" s="152">
        <f>IFERROR(ABS(J1690-'02_대상물건입력'!B10),"")</f>
        <v/>
      </c>
      <c r="T1690" s="152">
        <f>IFERROR(ABS('01_설정'!B4-F1690),"")</f>
        <v/>
      </c>
      <c r="U1690" s="152">
        <f>IFERROR(ABS(K1690-YEAR('02_대상물건입력'!B14)),"")</f>
        <v/>
      </c>
      <c r="V1690" s="152">
        <f>IF(B1690="","",IF(AND(E1690&gt;0,F1690&gt;0,H1690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1690=1,TRUE()),R1690&lt;='01_설정'!B5,S1690&lt;='01_설정'!B6,T1690&lt;='01_설정'!B7,U1690&lt;='01_설정'!B8),"Y",""))</f>
        <v/>
      </c>
      <c r="W1690" s="172">
        <f>IF(V1690&lt;&gt;"Y","",MAX(0,(1-R1690/'01_설정'!B5))*'01_설정'!B14+MAX(0,(1-S1690/'01_설정'!B6))*'01_설정'!B15+MAX(0,(1-T1690/'01_설정'!B7))*'01_설정'!B16+MAX(0,(1-U1690/'01_설정'!B8))*'01_설정'!B17+O1690*'01_설정'!B11+Q1690*'01_설정'!B12+P1690*'01_설정'!B13+IF(Z1690="",0,Z1690))</f>
        <v/>
      </c>
      <c r="X1690" s="152">
        <f>IF(W1690="","",1+COUNTIFS($W$4:$W$3003,"&gt;"&amp;W1690)+COUNTIFS($W$4:W1690,W1690)-1)</f>
        <v/>
      </c>
      <c r="Y1690" s="175">
        <f>IF(OR(I1690="",'02_대상물건입력'!B19="",'02_대상물건입력'!B19&lt;=0),"",ABS(I1690-'02_대상물건입력'!B19)/'02_대상물건입력'!B19)</f>
        <v/>
      </c>
      <c r="Z1690" s="172">
        <f>IF(OR(Y1690="",'01_설정'!B31="",'01_설정'!B31&lt;=0,'01_설정'!B32="",'01_설정'!B32&lt;=0),"",MAX(0,(1-Y1690/'01_설정'!B32))*'01_설정'!B31)</f>
        <v/>
      </c>
    </row>
    <row r="1691" ht="17.25" customHeight="1">
      <c r="A1691" s="152">
        <f>IF(INDEX('04A_국토부원자료'!$A:$A,ROW()+1)="","",ROW()-3)</f>
        <v/>
      </c>
      <c r="B1691" s="48">
        <f>IFERROR(INDEX('04A_국토부원자료'!$A:$T,ROW()+1,MATCH("시군구",'04A_국토부원자료'!$A$4:$T$4,0)),"")</f>
        <v/>
      </c>
      <c r="C1691" s="48">
        <f>IF(B1691="","",IFERROR(INDEX('04A_국토부원자료'!$A:$T,ROW()+1,MATCH("번지",'04A_국토부원자료'!$A$4:$T$4,0)),""))</f>
        <v/>
      </c>
      <c r="D1691" s="48">
        <f>IF(B1691="","",IF(Q1691=1,'02_대상물건입력'!$B$8,IFERROR(INDEX('04A_국토부원자료'!$A:$T,ROW()+1,MATCH("단지명",'04A_국토부원자료'!$A$4:$T$4,0)),"")))</f>
        <v/>
      </c>
      <c r="E1691" s="172">
        <f>IFERROR(VALUE(SUBSTITUTE(INDEX('04A_국토부원자료'!$A:$T,ROW()+1,MATCH("전용면적(㎡)",'04A_국토부원자료'!$A$4:$T$4,0)),",","")),"")</f>
        <v/>
      </c>
      <c r="F16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91" s="51">
        <f>IFERROR(VALUE(SUBSTITUTE(INDEX('04A_국토부원자료'!$A:$T,ROW()+1,MATCH("거래금액(만원)",'04A_국토부원자료'!$A$4:$T$4,0)),",","")),"")</f>
        <v/>
      </c>
      <c r="H1691" s="174">
        <f>IF(G1691="","",G1691*10000)</f>
        <v/>
      </c>
      <c r="I1691" s="174">
        <f>IFERROR(IF(AND(H1691&gt;0,E1691&gt;0),H1691/E1691,""),"")</f>
        <v/>
      </c>
      <c r="J1691" s="152">
        <f>IFERROR(VALUE(SUBSTITUTE(INDEX('04A_국토부원자료'!$A:$T,ROW()+1,MATCH("층",'04A_국토부원자료'!$A$4:$T$4,0)),",","")),"")</f>
        <v/>
      </c>
      <c r="K1691" s="152">
        <f>IFERROR(VALUE(SUBSTITUTE(INDEX('04A_국토부원자료'!$A:$T,ROW()+1,MATCH("건축년도",'04A_국토부원자료'!$A$4:$T$4,0)),",","")),"")</f>
        <v/>
      </c>
      <c r="L1691" s="176">
        <f>IFERROR(INDEX('04A_국토부원자료'!$A:$T,ROW()+1,MATCH("도로명",'04A_국토부원자료'!$A$4:$T$4,0)),"")</f>
        <v/>
      </c>
      <c r="M1691" s="48">
        <f>IFERROR(INDEX('04A_국토부원자료'!$A:$T,ROW()+1,MATCH("거래유형",'04A_국토부원자료'!$A$4:$T$4,0)),"")</f>
        <v/>
      </c>
      <c r="N1691" s="152">
        <f>IF(B1691="","",IF('02_대상물건입력'!B5="",1,IF(ISNUMBER(SEARCH('02_대상물건입력'!B5,B1691)),1,0)))</f>
        <v/>
      </c>
      <c r="O1691" s="152">
        <f>IF(B1691="","",IF('02_대상물건입력'!B6="",1,IF(ISNUMBER(SEARCH('02_대상물건입력'!B6,B1691)),1,0)))</f>
        <v/>
      </c>
      <c r="P1691" s="152">
        <f>IF(L1691="","",IF('02_대상물건입력'!B15="",0,IF(ISNUMBER(SEARCH('02_대상물건입력'!B15,L1691)),1,0)))</f>
        <v/>
      </c>
      <c r="Q1691" s="152">
        <f>IF(OR(C1691="",L1691=""),0,IF(AND(TRIM(C1691)=TRIM(RIGHT(SUBSTITUTE(TRIM('02_대상물건입력'!$B$7)," ",REPT(" ",99)),99)),IF('02_대상물건입력'!B15="",TRUE(),ISNUMBER(SEARCH('02_대상물건입력'!B15,L1691)))),1,0))</f>
        <v/>
      </c>
      <c r="R1691" s="175">
        <f>IFERROR(ABS(E1691-'02_대상물건입력'!B11)/'02_대상물건입력'!B11,"")</f>
        <v/>
      </c>
      <c r="S1691" s="152">
        <f>IFERROR(ABS(J1691-'02_대상물건입력'!B10),"")</f>
        <v/>
      </c>
      <c r="T1691" s="152">
        <f>IFERROR(ABS('01_설정'!B4-F1691),"")</f>
        <v/>
      </c>
      <c r="U1691" s="152">
        <f>IFERROR(ABS(K1691-YEAR('02_대상물건입력'!B14)),"")</f>
        <v/>
      </c>
      <c r="V1691" s="152">
        <f>IF(B1691="","",IF(AND(E1691&gt;0,F1691&gt;0,H1691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1691=1,TRUE()),R1691&lt;='01_설정'!B5,S1691&lt;='01_설정'!B6,T1691&lt;='01_설정'!B7,U1691&lt;='01_설정'!B8),"Y",""))</f>
        <v/>
      </c>
      <c r="W1691" s="172">
        <f>IF(V1691&lt;&gt;"Y","",MAX(0,(1-R1691/'01_설정'!B5))*'01_설정'!B14+MAX(0,(1-S1691/'01_설정'!B6))*'01_설정'!B15+MAX(0,(1-T1691/'01_설정'!B7))*'01_설정'!B16+MAX(0,(1-U1691/'01_설정'!B8))*'01_설정'!B17+O1691*'01_설정'!B11+Q1691*'01_설정'!B12+P1691*'01_설정'!B13+IF(Z1691="",0,Z1691))</f>
        <v/>
      </c>
      <c r="X1691" s="152">
        <f>IF(W1691="","",1+COUNTIFS($W$4:$W$3003,"&gt;"&amp;W1691)+COUNTIFS($W$4:W1691,W1691)-1)</f>
        <v/>
      </c>
      <c r="Y1691" s="175">
        <f>IF(OR(I1691="",'02_대상물건입력'!B19="",'02_대상물건입력'!B19&lt;=0),"",ABS(I1691-'02_대상물건입력'!B19)/'02_대상물건입력'!B19)</f>
        <v/>
      </c>
      <c r="Z1691" s="172">
        <f>IF(OR(Y1691="",'01_설정'!B31="",'01_설정'!B31&lt;=0,'01_설정'!B32="",'01_설정'!B32&lt;=0),"",MAX(0,(1-Y1691/'01_설정'!B32))*'01_설정'!B31)</f>
        <v/>
      </c>
    </row>
    <row r="1692" ht="17.25" customHeight="1">
      <c r="A1692" s="152">
        <f>IF(INDEX('04A_국토부원자료'!$A:$A,ROW()+1)="","",ROW()-3)</f>
        <v/>
      </c>
      <c r="B1692" s="48">
        <f>IFERROR(INDEX('04A_국토부원자료'!$A:$T,ROW()+1,MATCH("시군구",'04A_국토부원자료'!$A$4:$T$4,0)),"")</f>
        <v/>
      </c>
      <c r="C1692" s="48">
        <f>IF(B1692="","",IFERROR(INDEX('04A_국토부원자료'!$A:$T,ROW()+1,MATCH("번지",'04A_국토부원자료'!$A$4:$T$4,0)),""))</f>
        <v/>
      </c>
      <c r="D1692" s="48">
        <f>IF(B1692="","",IF(Q1692=1,'02_대상물건입력'!$B$8,IFERROR(INDEX('04A_국토부원자료'!$A:$T,ROW()+1,MATCH("단지명",'04A_국토부원자료'!$A$4:$T$4,0)),"")))</f>
        <v/>
      </c>
      <c r="E1692" s="172">
        <f>IFERROR(VALUE(SUBSTITUTE(INDEX('04A_국토부원자료'!$A:$T,ROW()+1,MATCH("전용면적(㎡)",'04A_국토부원자료'!$A$4:$T$4,0)),",","")),"")</f>
        <v/>
      </c>
      <c r="F16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92" s="51">
        <f>IFERROR(VALUE(SUBSTITUTE(INDEX('04A_국토부원자료'!$A:$T,ROW()+1,MATCH("거래금액(만원)",'04A_국토부원자료'!$A$4:$T$4,0)),",","")),"")</f>
        <v/>
      </c>
      <c r="H1692" s="174">
        <f>IF(G1692="","",G1692*10000)</f>
        <v/>
      </c>
      <c r="I1692" s="174">
        <f>IFERROR(IF(AND(H1692&gt;0,E1692&gt;0),H1692/E1692,""),"")</f>
        <v/>
      </c>
      <c r="J1692" s="152">
        <f>IFERROR(VALUE(SUBSTITUTE(INDEX('04A_국토부원자료'!$A:$T,ROW()+1,MATCH("층",'04A_국토부원자료'!$A$4:$T$4,0)),",","")),"")</f>
        <v/>
      </c>
      <c r="K1692" s="152">
        <f>IFERROR(VALUE(SUBSTITUTE(INDEX('04A_국토부원자료'!$A:$T,ROW()+1,MATCH("건축년도",'04A_국토부원자료'!$A$4:$T$4,0)),",","")),"")</f>
        <v/>
      </c>
      <c r="L1692" s="176">
        <f>IFERROR(INDEX('04A_국토부원자료'!$A:$T,ROW()+1,MATCH("도로명",'04A_국토부원자료'!$A$4:$T$4,0)),"")</f>
        <v/>
      </c>
      <c r="M1692" s="48">
        <f>IFERROR(INDEX('04A_국토부원자료'!$A:$T,ROW()+1,MATCH("거래유형",'04A_국토부원자료'!$A$4:$T$4,0)),"")</f>
        <v/>
      </c>
      <c r="N1692" s="152">
        <f>IF(B1692="","",IF('02_대상물건입력'!B5="",1,IF(ISNUMBER(SEARCH('02_대상물건입력'!B5,B1692)),1,0)))</f>
        <v/>
      </c>
      <c r="O1692" s="152">
        <f>IF(B1692="","",IF('02_대상물건입력'!B6="",1,IF(ISNUMBER(SEARCH('02_대상물건입력'!B6,B1692)),1,0)))</f>
        <v/>
      </c>
      <c r="P1692" s="152">
        <f>IF(L1692="","",IF('02_대상물건입력'!B15="",0,IF(ISNUMBER(SEARCH('02_대상물건입력'!B15,L1692)),1,0)))</f>
        <v/>
      </c>
      <c r="Q1692" s="152">
        <f>IF(OR(C1692="",L1692=""),0,IF(AND(TRIM(C1692)=TRIM(RIGHT(SUBSTITUTE(TRIM('02_대상물건입력'!$B$7)," ",REPT(" ",99)),99)),IF('02_대상물건입력'!B15="",TRUE(),ISNUMBER(SEARCH('02_대상물건입력'!B15,L1692)))),1,0))</f>
        <v/>
      </c>
      <c r="R1692" s="175">
        <f>IFERROR(ABS(E1692-'02_대상물건입력'!B11)/'02_대상물건입력'!B11,"")</f>
        <v/>
      </c>
      <c r="S1692" s="152">
        <f>IFERROR(ABS(J1692-'02_대상물건입력'!B10),"")</f>
        <v/>
      </c>
      <c r="T1692" s="152">
        <f>IFERROR(ABS('01_설정'!B4-F1692),"")</f>
        <v/>
      </c>
      <c r="U1692" s="152">
        <f>IFERROR(ABS(K1692-YEAR('02_대상물건입력'!B14)),"")</f>
        <v/>
      </c>
      <c r="V1692" s="152">
        <f>IF(B1692="","",IF(AND(E1692&gt;0,F1692&gt;0,H1692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1692=1,TRUE()),R1692&lt;='01_설정'!B5,S1692&lt;='01_설정'!B6,T1692&lt;='01_설정'!B7,U1692&lt;='01_설정'!B8),"Y",""))</f>
        <v/>
      </c>
      <c r="W1692" s="172">
        <f>IF(V1692&lt;&gt;"Y","",MAX(0,(1-R1692/'01_설정'!B5))*'01_설정'!B14+MAX(0,(1-S1692/'01_설정'!B6))*'01_설정'!B15+MAX(0,(1-T1692/'01_설정'!B7))*'01_설정'!B16+MAX(0,(1-U1692/'01_설정'!B8))*'01_설정'!B17+O1692*'01_설정'!B11+Q1692*'01_설정'!B12+P1692*'01_설정'!B13+IF(Z1692="",0,Z1692))</f>
        <v/>
      </c>
      <c r="X1692" s="152">
        <f>IF(W1692="","",1+COUNTIFS($W$4:$W$3003,"&gt;"&amp;W1692)+COUNTIFS($W$4:W1692,W1692)-1)</f>
        <v/>
      </c>
      <c r="Y1692" s="175">
        <f>IF(OR(I1692="",'02_대상물건입력'!B19="",'02_대상물건입력'!B19&lt;=0),"",ABS(I1692-'02_대상물건입력'!B19)/'02_대상물건입력'!B19)</f>
        <v/>
      </c>
      <c r="Z1692" s="172">
        <f>IF(OR(Y1692="",'01_설정'!B31="",'01_설정'!B31&lt;=0,'01_설정'!B32="",'01_설정'!B32&lt;=0),"",MAX(0,(1-Y1692/'01_설정'!B32))*'01_설정'!B31)</f>
        <v/>
      </c>
    </row>
    <row r="1693" ht="17.25" customHeight="1">
      <c r="A1693" s="152">
        <f>IF(INDEX('04A_국토부원자료'!$A:$A,ROW()+1)="","",ROW()-3)</f>
        <v/>
      </c>
      <c r="B1693" s="48">
        <f>IFERROR(INDEX('04A_국토부원자료'!$A:$T,ROW()+1,MATCH("시군구",'04A_국토부원자료'!$A$4:$T$4,0)),"")</f>
        <v/>
      </c>
      <c r="C1693" s="48">
        <f>IF(B1693="","",IFERROR(INDEX('04A_국토부원자료'!$A:$T,ROW()+1,MATCH("번지",'04A_국토부원자료'!$A$4:$T$4,0)),""))</f>
        <v/>
      </c>
      <c r="D1693" s="48">
        <f>IF(B1693="","",IF(Q1693=1,'02_대상물건입력'!$B$8,IFERROR(INDEX('04A_국토부원자료'!$A:$T,ROW()+1,MATCH("단지명",'04A_국토부원자료'!$A$4:$T$4,0)),"")))</f>
        <v/>
      </c>
      <c r="E1693" s="172">
        <f>IFERROR(VALUE(SUBSTITUTE(INDEX('04A_국토부원자료'!$A:$T,ROW()+1,MATCH("전용면적(㎡)",'04A_국토부원자료'!$A$4:$T$4,0)),",","")),"")</f>
        <v/>
      </c>
      <c r="F16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93" s="51">
        <f>IFERROR(VALUE(SUBSTITUTE(INDEX('04A_국토부원자료'!$A:$T,ROW()+1,MATCH("거래금액(만원)",'04A_국토부원자료'!$A$4:$T$4,0)),",","")),"")</f>
        <v/>
      </c>
      <c r="H1693" s="174">
        <f>IF(G1693="","",G1693*10000)</f>
        <v/>
      </c>
      <c r="I1693" s="174">
        <f>IFERROR(IF(AND(H1693&gt;0,E1693&gt;0),H1693/E1693,""),"")</f>
        <v/>
      </c>
      <c r="J1693" s="152">
        <f>IFERROR(VALUE(SUBSTITUTE(INDEX('04A_국토부원자료'!$A:$T,ROW()+1,MATCH("층",'04A_국토부원자료'!$A$4:$T$4,0)),",","")),"")</f>
        <v/>
      </c>
      <c r="K1693" s="152">
        <f>IFERROR(VALUE(SUBSTITUTE(INDEX('04A_국토부원자료'!$A:$T,ROW()+1,MATCH("건축년도",'04A_국토부원자료'!$A$4:$T$4,0)),",","")),"")</f>
        <v/>
      </c>
      <c r="L1693" s="176">
        <f>IFERROR(INDEX('04A_국토부원자료'!$A:$T,ROW()+1,MATCH("도로명",'04A_국토부원자료'!$A$4:$T$4,0)),"")</f>
        <v/>
      </c>
      <c r="M1693" s="48">
        <f>IFERROR(INDEX('04A_국토부원자료'!$A:$T,ROW()+1,MATCH("거래유형",'04A_국토부원자료'!$A$4:$T$4,0)),"")</f>
        <v/>
      </c>
      <c r="N1693" s="152">
        <f>IF(B1693="","",IF('02_대상물건입력'!B5="",1,IF(ISNUMBER(SEARCH('02_대상물건입력'!B5,B1693)),1,0)))</f>
        <v/>
      </c>
      <c r="O1693" s="152">
        <f>IF(B1693="","",IF('02_대상물건입력'!B6="",1,IF(ISNUMBER(SEARCH('02_대상물건입력'!B6,B1693)),1,0)))</f>
        <v/>
      </c>
      <c r="P1693" s="152">
        <f>IF(L1693="","",IF('02_대상물건입력'!B15="",0,IF(ISNUMBER(SEARCH('02_대상물건입력'!B15,L1693)),1,0)))</f>
        <v/>
      </c>
      <c r="Q1693" s="152">
        <f>IF(OR(C1693="",L1693=""),0,IF(AND(TRIM(C1693)=TRIM(RIGHT(SUBSTITUTE(TRIM('02_대상물건입력'!$B$7)," ",REPT(" ",99)),99)),IF('02_대상물건입력'!B15="",TRUE(),ISNUMBER(SEARCH('02_대상물건입력'!B15,L1693)))),1,0))</f>
        <v/>
      </c>
      <c r="R1693" s="175">
        <f>IFERROR(ABS(E1693-'02_대상물건입력'!B11)/'02_대상물건입력'!B11,"")</f>
        <v/>
      </c>
      <c r="S1693" s="152">
        <f>IFERROR(ABS(J1693-'02_대상물건입력'!B10),"")</f>
        <v/>
      </c>
      <c r="T1693" s="152">
        <f>IFERROR(ABS('01_설정'!B4-F1693),"")</f>
        <v/>
      </c>
      <c r="U1693" s="152">
        <f>IFERROR(ABS(K1693-YEAR('02_대상물건입력'!B14)),"")</f>
        <v/>
      </c>
      <c r="V1693" s="152">
        <f>IF(B1693="","",IF(AND(E1693&gt;0,F1693&gt;0,H1693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1693=1,TRUE()),R1693&lt;='01_설정'!B5,S1693&lt;='01_설정'!B6,T1693&lt;='01_설정'!B7,U1693&lt;='01_설정'!B8),"Y",""))</f>
        <v/>
      </c>
      <c r="W1693" s="172">
        <f>IF(V1693&lt;&gt;"Y","",MAX(0,(1-R1693/'01_설정'!B5))*'01_설정'!B14+MAX(0,(1-S1693/'01_설정'!B6))*'01_설정'!B15+MAX(0,(1-T1693/'01_설정'!B7))*'01_설정'!B16+MAX(0,(1-U1693/'01_설정'!B8))*'01_설정'!B17+O1693*'01_설정'!B11+Q1693*'01_설정'!B12+P1693*'01_설정'!B13+IF(Z1693="",0,Z1693))</f>
        <v/>
      </c>
      <c r="X1693" s="152">
        <f>IF(W1693="","",1+COUNTIFS($W$4:$W$3003,"&gt;"&amp;W1693)+COUNTIFS($W$4:W1693,W1693)-1)</f>
        <v/>
      </c>
      <c r="Y1693" s="175">
        <f>IF(OR(I1693="",'02_대상물건입력'!B19="",'02_대상물건입력'!B19&lt;=0),"",ABS(I1693-'02_대상물건입력'!B19)/'02_대상물건입력'!B19)</f>
        <v/>
      </c>
      <c r="Z1693" s="172">
        <f>IF(OR(Y1693="",'01_설정'!B31="",'01_설정'!B31&lt;=0,'01_설정'!B32="",'01_설정'!B32&lt;=0),"",MAX(0,(1-Y1693/'01_설정'!B32))*'01_설정'!B31)</f>
        <v/>
      </c>
    </row>
    <row r="1694" ht="17.25" customHeight="1">
      <c r="A1694" s="152">
        <f>IF(INDEX('04A_국토부원자료'!$A:$A,ROW()+1)="","",ROW()-3)</f>
        <v/>
      </c>
      <c r="B1694" s="48">
        <f>IFERROR(INDEX('04A_국토부원자료'!$A:$T,ROW()+1,MATCH("시군구",'04A_국토부원자료'!$A$4:$T$4,0)),"")</f>
        <v/>
      </c>
      <c r="C1694" s="48">
        <f>IF(B1694="","",IFERROR(INDEX('04A_국토부원자료'!$A:$T,ROW()+1,MATCH("번지",'04A_국토부원자료'!$A$4:$T$4,0)),""))</f>
        <v/>
      </c>
      <c r="D1694" s="48">
        <f>IF(B1694="","",IF(Q1694=1,'02_대상물건입력'!$B$8,IFERROR(INDEX('04A_국토부원자료'!$A:$T,ROW()+1,MATCH("단지명",'04A_국토부원자료'!$A$4:$T$4,0)),"")))</f>
        <v/>
      </c>
      <c r="E1694" s="172">
        <f>IFERROR(VALUE(SUBSTITUTE(INDEX('04A_국토부원자료'!$A:$T,ROW()+1,MATCH("전용면적(㎡)",'04A_국토부원자료'!$A$4:$T$4,0)),",","")),"")</f>
        <v/>
      </c>
      <c r="F16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94" s="51">
        <f>IFERROR(VALUE(SUBSTITUTE(INDEX('04A_국토부원자료'!$A:$T,ROW()+1,MATCH("거래금액(만원)",'04A_국토부원자료'!$A$4:$T$4,0)),",","")),"")</f>
        <v/>
      </c>
      <c r="H1694" s="174">
        <f>IF(G1694="","",G1694*10000)</f>
        <v/>
      </c>
      <c r="I1694" s="174">
        <f>IFERROR(IF(AND(H1694&gt;0,E1694&gt;0),H1694/E1694,""),"")</f>
        <v/>
      </c>
      <c r="J1694" s="152">
        <f>IFERROR(VALUE(SUBSTITUTE(INDEX('04A_국토부원자료'!$A:$T,ROW()+1,MATCH("층",'04A_국토부원자료'!$A$4:$T$4,0)),",","")),"")</f>
        <v/>
      </c>
      <c r="K1694" s="152">
        <f>IFERROR(VALUE(SUBSTITUTE(INDEX('04A_국토부원자료'!$A:$T,ROW()+1,MATCH("건축년도",'04A_국토부원자료'!$A$4:$T$4,0)),",","")),"")</f>
        <v/>
      </c>
      <c r="L1694" s="176">
        <f>IFERROR(INDEX('04A_국토부원자료'!$A:$T,ROW()+1,MATCH("도로명",'04A_국토부원자료'!$A$4:$T$4,0)),"")</f>
        <v/>
      </c>
      <c r="M1694" s="48">
        <f>IFERROR(INDEX('04A_국토부원자료'!$A:$T,ROW()+1,MATCH("거래유형",'04A_국토부원자료'!$A$4:$T$4,0)),"")</f>
        <v/>
      </c>
      <c r="N1694" s="152">
        <f>IF(B1694="","",IF('02_대상물건입력'!B5="",1,IF(ISNUMBER(SEARCH('02_대상물건입력'!B5,B1694)),1,0)))</f>
        <v/>
      </c>
      <c r="O1694" s="152">
        <f>IF(B1694="","",IF('02_대상물건입력'!B6="",1,IF(ISNUMBER(SEARCH('02_대상물건입력'!B6,B1694)),1,0)))</f>
        <v/>
      </c>
      <c r="P1694" s="152">
        <f>IF(L1694="","",IF('02_대상물건입력'!B15="",0,IF(ISNUMBER(SEARCH('02_대상물건입력'!B15,L1694)),1,0)))</f>
        <v/>
      </c>
      <c r="Q1694" s="152">
        <f>IF(OR(C1694="",L1694=""),0,IF(AND(TRIM(C1694)=TRIM(RIGHT(SUBSTITUTE(TRIM('02_대상물건입력'!$B$7)," ",REPT(" ",99)),99)),IF('02_대상물건입력'!B15="",TRUE(),ISNUMBER(SEARCH('02_대상물건입력'!B15,L1694)))),1,0))</f>
        <v/>
      </c>
      <c r="R1694" s="175">
        <f>IFERROR(ABS(E1694-'02_대상물건입력'!B11)/'02_대상물건입력'!B11,"")</f>
        <v/>
      </c>
      <c r="S1694" s="152">
        <f>IFERROR(ABS(J1694-'02_대상물건입력'!B10),"")</f>
        <v/>
      </c>
      <c r="T1694" s="152">
        <f>IFERROR(ABS('01_설정'!B4-F1694),"")</f>
        <v/>
      </c>
      <c r="U1694" s="152">
        <f>IFERROR(ABS(K1694-YEAR('02_대상물건입력'!B14)),"")</f>
        <v/>
      </c>
      <c r="V1694" s="152">
        <f>IF(B1694="","",IF(AND(E1694&gt;0,F1694&gt;0,H1694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1694=1,TRUE()),R1694&lt;='01_설정'!B5,S1694&lt;='01_설정'!B6,T1694&lt;='01_설정'!B7,U1694&lt;='01_설정'!B8),"Y",""))</f>
        <v/>
      </c>
      <c r="W1694" s="172">
        <f>IF(V1694&lt;&gt;"Y","",MAX(0,(1-R1694/'01_설정'!B5))*'01_설정'!B14+MAX(0,(1-S1694/'01_설정'!B6))*'01_설정'!B15+MAX(0,(1-T1694/'01_설정'!B7))*'01_설정'!B16+MAX(0,(1-U1694/'01_설정'!B8))*'01_설정'!B17+O1694*'01_설정'!B11+Q1694*'01_설정'!B12+P1694*'01_설정'!B13+IF(Z1694="",0,Z1694))</f>
        <v/>
      </c>
      <c r="X1694" s="152">
        <f>IF(W1694="","",1+COUNTIFS($W$4:$W$3003,"&gt;"&amp;W1694)+COUNTIFS($W$4:W1694,W1694)-1)</f>
        <v/>
      </c>
      <c r="Y1694" s="175">
        <f>IF(OR(I1694="",'02_대상물건입력'!B19="",'02_대상물건입력'!B19&lt;=0),"",ABS(I1694-'02_대상물건입력'!B19)/'02_대상물건입력'!B19)</f>
        <v/>
      </c>
      <c r="Z1694" s="172">
        <f>IF(OR(Y1694="",'01_설정'!B31="",'01_설정'!B31&lt;=0,'01_설정'!B32="",'01_설정'!B32&lt;=0),"",MAX(0,(1-Y1694/'01_설정'!B32))*'01_설정'!B31)</f>
        <v/>
      </c>
    </row>
    <row r="1695" ht="17.25" customHeight="1">
      <c r="A1695" s="152">
        <f>IF(INDEX('04A_국토부원자료'!$A:$A,ROW()+1)="","",ROW()-3)</f>
        <v/>
      </c>
      <c r="B1695" s="48">
        <f>IFERROR(INDEX('04A_국토부원자료'!$A:$T,ROW()+1,MATCH("시군구",'04A_국토부원자료'!$A$4:$T$4,0)),"")</f>
        <v/>
      </c>
      <c r="C1695" s="48">
        <f>IF(B1695="","",IFERROR(INDEX('04A_국토부원자료'!$A:$T,ROW()+1,MATCH("번지",'04A_국토부원자료'!$A$4:$T$4,0)),""))</f>
        <v/>
      </c>
      <c r="D1695" s="48">
        <f>IF(B1695="","",IF(Q1695=1,'02_대상물건입력'!$B$8,IFERROR(INDEX('04A_국토부원자료'!$A:$T,ROW()+1,MATCH("단지명",'04A_국토부원자료'!$A$4:$T$4,0)),"")))</f>
        <v/>
      </c>
      <c r="E1695" s="172">
        <f>IFERROR(VALUE(SUBSTITUTE(INDEX('04A_국토부원자료'!$A:$T,ROW()+1,MATCH("전용면적(㎡)",'04A_국토부원자료'!$A$4:$T$4,0)),",","")),"")</f>
        <v/>
      </c>
      <c r="F16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95" s="51">
        <f>IFERROR(VALUE(SUBSTITUTE(INDEX('04A_국토부원자료'!$A:$T,ROW()+1,MATCH("거래금액(만원)",'04A_국토부원자료'!$A$4:$T$4,0)),",","")),"")</f>
        <v/>
      </c>
      <c r="H1695" s="174">
        <f>IF(G1695="","",G1695*10000)</f>
        <v/>
      </c>
      <c r="I1695" s="174">
        <f>IFERROR(IF(AND(H1695&gt;0,E1695&gt;0),H1695/E1695,""),"")</f>
        <v/>
      </c>
      <c r="J1695" s="152">
        <f>IFERROR(VALUE(SUBSTITUTE(INDEX('04A_국토부원자료'!$A:$T,ROW()+1,MATCH("층",'04A_국토부원자료'!$A$4:$T$4,0)),",","")),"")</f>
        <v/>
      </c>
      <c r="K1695" s="152">
        <f>IFERROR(VALUE(SUBSTITUTE(INDEX('04A_국토부원자료'!$A:$T,ROW()+1,MATCH("건축년도",'04A_국토부원자료'!$A$4:$T$4,0)),",","")),"")</f>
        <v/>
      </c>
      <c r="L1695" s="176">
        <f>IFERROR(INDEX('04A_국토부원자료'!$A:$T,ROW()+1,MATCH("도로명",'04A_국토부원자료'!$A$4:$T$4,0)),"")</f>
        <v/>
      </c>
      <c r="M1695" s="48">
        <f>IFERROR(INDEX('04A_국토부원자료'!$A:$T,ROW()+1,MATCH("거래유형",'04A_국토부원자료'!$A$4:$T$4,0)),"")</f>
        <v/>
      </c>
      <c r="N1695" s="152">
        <f>IF(B1695="","",IF('02_대상물건입력'!B5="",1,IF(ISNUMBER(SEARCH('02_대상물건입력'!B5,B1695)),1,0)))</f>
        <v/>
      </c>
      <c r="O1695" s="152">
        <f>IF(B1695="","",IF('02_대상물건입력'!B6="",1,IF(ISNUMBER(SEARCH('02_대상물건입력'!B6,B1695)),1,0)))</f>
        <v/>
      </c>
      <c r="P1695" s="152">
        <f>IF(L1695="","",IF('02_대상물건입력'!B15="",0,IF(ISNUMBER(SEARCH('02_대상물건입력'!B15,L1695)),1,0)))</f>
        <v/>
      </c>
      <c r="Q1695" s="152">
        <f>IF(OR(C1695="",L1695=""),0,IF(AND(TRIM(C1695)=TRIM(RIGHT(SUBSTITUTE(TRIM('02_대상물건입력'!$B$7)," ",REPT(" ",99)),99)),IF('02_대상물건입력'!B15="",TRUE(),ISNUMBER(SEARCH('02_대상물건입력'!B15,L1695)))),1,0))</f>
        <v/>
      </c>
      <c r="R1695" s="175">
        <f>IFERROR(ABS(E1695-'02_대상물건입력'!B11)/'02_대상물건입력'!B11,"")</f>
        <v/>
      </c>
      <c r="S1695" s="152">
        <f>IFERROR(ABS(J1695-'02_대상물건입력'!B10),"")</f>
        <v/>
      </c>
      <c r="T1695" s="152">
        <f>IFERROR(ABS('01_설정'!B4-F1695),"")</f>
        <v/>
      </c>
      <c r="U1695" s="152">
        <f>IFERROR(ABS(K1695-YEAR('02_대상물건입력'!B14)),"")</f>
        <v/>
      </c>
      <c r="V1695" s="152">
        <f>IF(B1695="","",IF(AND(E1695&gt;0,F1695&gt;0,H1695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1695=1,TRUE()),R1695&lt;='01_설정'!B5,S1695&lt;='01_설정'!B6,T1695&lt;='01_설정'!B7,U1695&lt;='01_설정'!B8),"Y",""))</f>
        <v/>
      </c>
      <c r="W1695" s="172">
        <f>IF(V1695&lt;&gt;"Y","",MAX(0,(1-R1695/'01_설정'!B5))*'01_설정'!B14+MAX(0,(1-S1695/'01_설정'!B6))*'01_설정'!B15+MAX(0,(1-T1695/'01_설정'!B7))*'01_설정'!B16+MAX(0,(1-U1695/'01_설정'!B8))*'01_설정'!B17+O1695*'01_설정'!B11+Q1695*'01_설정'!B12+P1695*'01_설정'!B13+IF(Z1695="",0,Z1695))</f>
        <v/>
      </c>
      <c r="X1695" s="152">
        <f>IF(W1695="","",1+COUNTIFS($W$4:$W$3003,"&gt;"&amp;W1695)+COUNTIFS($W$4:W1695,W1695)-1)</f>
        <v/>
      </c>
      <c r="Y1695" s="175">
        <f>IF(OR(I1695="",'02_대상물건입력'!B19="",'02_대상물건입력'!B19&lt;=0),"",ABS(I1695-'02_대상물건입력'!B19)/'02_대상물건입력'!B19)</f>
        <v/>
      </c>
      <c r="Z1695" s="172">
        <f>IF(OR(Y1695="",'01_설정'!B31="",'01_설정'!B31&lt;=0,'01_설정'!B32="",'01_설정'!B32&lt;=0),"",MAX(0,(1-Y1695/'01_설정'!B32))*'01_설정'!B31)</f>
        <v/>
      </c>
    </row>
    <row r="1696" ht="17.25" customHeight="1">
      <c r="A1696" s="152">
        <f>IF(INDEX('04A_국토부원자료'!$A:$A,ROW()+1)="","",ROW()-3)</f>
        <v/>
      </c>
      <c r="B1696" s="48">
        <f>IFERROR(INDEX('04A_국토부원자료'!$A:$T,ROW()+1,MATCH("시군구",'04A_국토부원자료'!$A$4:$T$4,0)),"")</f>
        <v/>
      </c>
      <c r="C1696" s="48">
        <f>IF(B1696="","",IFERROR(INDEX('04A_국토부원자료'!$A:$T,ROW()+1,MATCH("번지",'04A_국토부원자료'!$A$4:$T$4,0)),""))</f>
        <v/>
      </c>
      <c r="D1696" s="48">
        <f>IF(B1696="","",IF(Q1696=1,'02_대상물건입력'!$B$8,IFERROR(INDEX('04A_국토부원자료'!$A:$T,ROW()+1,MATCH("단지명",'04A_국토부원자료'!$A$4:$T$4,0)),"")))</f>
        <v/>
      </c>
      <c r="E1696" s="172">
        <f>IFERROR(VALUE(SUBSTITUTE(INDEX('04A_국토부원자료'!$A:$T,ROW()+1,MATCH("전용면적(㎡)",'04A_국토부원자료'!$A$4:$T$4,0)),",","")),"")</f>
        <v/>
      </c>
      <c r="F16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96" s="51">
        <f>IFERROR(VALUE(SUBSTITUTE(INDEX('04A_국토부원자료'!$A:$T,ROW()+1,MATCH("거래금액(만원)",'04A_국토부원자료'!$A$4:$T$4,0)),",","")),"")</f>
        <v/>
      </c>
      <c r="H1696" s="174">
        <f>IF(G1696="","",G1696*10000)</f>
        <v/>
      </c>
      <c r="I1696" s="174">
        <f>IFERROR(IF(AND(H1696&gt;0,E1696&gt;0),H1696/E1696,""),"")</f>
        <v/>
      </c>
      <c r="J1696" s="152">
        <f>IFERROR(VALUE(SUBSTITUTE(INDEX('04A_국토부원자료'!$A:$T,ROW()+1,MATCH("층",'04A_국토부원자료'!$A$4:$T$4,0)),",","")),"")</f>
        <v/>
      </c>
      <c r="K1696" s="152">
        <f>IFERROR(VALUE(SUBSTITUTE(INDEX('04A_국토부원자료'!$A:$T,ROW()+1,MATCH("건축년도",'04A_국토부원자료'!$A$4:$T$4,0)),",","")),"")</f>
        <v/>
      </c>
      <c r="L1696" s="176">
        <f>IFERROR(INDEX('04A_국토부원자료'!$A:$T,ROW()+1,MATCH("도로명",'04A_국토부원자료'!$A$4:$T$4,0)),"")</f>
        <v/>
      </c>
      <c r="M1696" s="48">
        <f>IFERROR(INDEX('04A_국토부원자료'!$A:$T,ROW()+1,MATCH("거래유형",'04A_국토부원자료'!$A$4:$T$4,0)),"")</f>
        <v/>
      </c>
      <c r="N1696" s="152">
        <f>IF(B1696="","",IF('02_대상물건입력'!B5="",1,IF(ISNUMBER(SEARCH('02_대상물건입력'!B5,B1696)),1,0)))</f>
        <v/>
      </c>
      <c r="O1696" s="152">
        <f>IF(B1696="","",IF('02_대상물건입력'!B6="",1,IF(ISNUMBER(SEARCH('02_대상물건입력'!B6,B1696)),1,0)))</f>
        <v/>
      </c>
      <c r="P1696" s="152">
        <f>IF(L1696="","",IF('02_대상물건입력'!B15="",0,IF(ISNUMBER(SEARCH('02_대상물건입력'!B15,L1696)),1,0)))</f>
        <v/>
      </c>
      <c r="Q1696" s="152">
        <f>IF(OR(C1696="",L1696=""),0,IF(AND(TRIM(C1696)=TRIM(RIGHT(SUBSTITUTE(TRIM('02_대상물건입력'!$B$7)," ",REPT(" ",99)),99)),IF('02_대상물건입력'!B15="",TRUE(),ISNUMBER(SEARCH('02_대상물건입력'!B15,L1696)))),1,0))</f>
        <v/>
      </c>
      <c r="R1696" s="175">
        <f>IFERROR(ABS(E1696-'02_대상물건입력'!B11)/'02_대상물건입력'!B11,"")</f>
        <v/>
      </c>
      <c r="S1696" s="152">
        <f>IFERROR(ABS(J1696-'02_대상물건입력'!B10),"")</f>
        <v/>
      </c>
      <c r="T1696" s="152">
        <f>IFERROR(ABS('01_설정'!B4-F1696),"")</f>
        <v/>
      </c>
      <c r="U1696" s="152">
        <f>IFERROR(ABS(K1696-YEAR('02_대상물건입력'!B14)),"")</f>
        <v/>
      </c>
      <c r="V1696" s="152">
        <f>IF(B1696="","",IF(AND(E1696&gt;0,F1696&gt;0,H1696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1696=1,TRUE()),R1696&lt;='01_설정'!B5,S1696&lt;='01_설정'!B6,T1696&lt;='01_설정'!B7,U1696&lt;='01_설정'!B8),"Y",""))</f>
        <v/>
      </c>
      <c r="W1696" s="172">
        <f>IF(V1696&lt;&gt;"Y","",MAX(0,(1-R1696/'01_설정'!B5))*'01_설정'!B14+MAX(0,(1-S1696/'01_설정'!B6))*'01_설정'!B15+MAX(0,(1-T1696/'01_설정'!B7))*'01_설정'!B16+MAX(0,(1-U1696/'01_설정'!B8))*'01_설정'!B17+O1696*'01_설정'!B11+Q1696*'01_설정'!B12+P1696*'01_설정'!B13+IF(Z1696="",0,Z1696))</f>
        <v/>
      </c>
      <c r="X1696" s="152">
        <f>IF(W1696="","",1+COUNTIFS($W$4:$W$3003,"&gt;"&amp;W1696)+COUNTIFS($W$4:W1696,W1696)-1)</f>
        <v/>
      </c>
      <c r="Y1696" s="175">
        <f>IF(OR(I1696="",'02_대상물건입력'!B19="",'02_대상물건입력'!B19&lt;=0),"",ABS(I1696-'02_대상물건입력'!B19)/'02_대상물건입력'!B19)</f>
        <v/>
      </c>
      <c r="Z1696" s="172">
        <f>IF(OR(Y1696="",'01_설정'!B31="",'01_설정'!B31&lt;=0,'01_설정'!B32="",'01_설정'!B32&lt;=0),"",MAX(0,(1-Y1696/'01_설정'!B32))*'01_설정'!B31)</f>
        <v/>
      </c>
    </row>
    <row r="1697" ht="17.25" customHeight="1">
      <c r="A1697" s="152">
        <f>IF(INDEX('04A_국토부원자료'!$A:$A,ROW()+1)="","",ROW()-3)</f>
        <v/>
      </c>
      <c r="B1697" s="48">
        <f>IFERROR(INDEX('04A_국토부원자료'!$A:$T,ROW()+1,MATCH("시군구",'04A_국토부원자료'!$A$4:$T$4,0)),"")</f>
        <v/>
      </c>
      <c r="C1697" s="48">
        <f>IF(B1697="","",IFERROR(INDEX('04A_국토부원자료'!$A:$T,ROW()+1,MATCH("번지",'04A_국토부원자료'!$A$4:$T$4,0)),""))</f>
        <v/>
      </c>
      <c r="D1697" s="48">
        <f>IF(B1697="","",IF(Q1697=1,'02_대상물건입력'!$B$8,IFERROR(INDEX('04A_국토부원자료'!$A:$T,ROW()+1,MATCH("단지명",'04A_국토부원자료'!$A$4:$T$4,0)),"")))</f>
        <v/>
      </c>
      <c r="E1697" s="172">
        <f>IFERROR(VALUE(SUBSTITUTE(INDEX('04A_국토부원자료'!$A:$T,ROW()+1,MATCH("전용면적(㎡)",'04A_국토부원자료'!$A$4:$T$4,0)),",","")),"")</f>
        <v/>
      </c>
      <c r="F16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97" s="51">
        <f>IFERROR(VALUE(SUBSTITUTE(INDEX('04A_국토부원자료'!$A:$T,ROW()+1,MATCH("거래금액(만원)",'04A_국토부원자료'!$A$4:$T$4,0)),",","")),"")</f>
        <v/>
      </c>
      <c r="H1697" s="174">
        <f>IF(G1697="","",G1697*10000)</f>
        <v/>
      </c>
      <c r="I1697" s="174">
        <f>IFERROR(IF(AND(H1697&gt;0,E1697&gt;0),H1697/E1697,""),"")</f>
        <v/>
      </c>
      <c r="J1697" s="152">
        <f>IFERROR(VALUE(SUBSTITUTE(INDEX('04A_국토부원자료'!$A:$T,ROW()+1,MATCH("층",'04A_국토부원자료'!$A$4:$T$4,0)),",","")),"")</f>
        <v/>
      </c>
      <c r="K1697" s="152">
        <f>IFERROR(VALUE(SUBSTITUTE(INDEX('04A_국토부원자료'!$A:$T,ROW()+1,MATCH("건축년도",'04A_국토부원자료'!$A$4:$T$4,0)),",","")),"")</f>
        <v/>
      </c>
      <c r="L1697" s="176">
        <f>IFERROR(INDEX('04A_국토부원자료'!$A:$T,ROW()+1,MATCH("도로명",'04A_국토부원자료'!$A$4:$T$4,0)),"")</f>
        <v/>
      </c>
      <c r="M1697" s="48">
        <f>IFERROR(INDEX('04A_국토부원자료'!$A:$T,ROW()+1,MATCH("거래유형",'04A_국토부원자료'!$A$4:$T$4,0)),"")</f>
        <v/>
      </c>
      <c r="N1697" s="152">
        <f>IF(B1697="","",IF('02_대상물건입력'!B5="",1,IF(ISNUMBER(SEARCH('02_대상물건입력'!B5,B1697)),1,0)))</f>
        <v/>
      </c>
      <c r="O1697" s="152">
        <f>IF(B1697="","",IF('02_대상물건입력'!B6="",1,IF(ISNUMBER(SEARCH('02_대상물건입력'!B6,B1697)),1,0)))</f>
        <v/>
      </c>
      <c r="P1697" s="152">
        <f>IF(L1697="","",IF('02_대상물건입력'!B15="",0,IF(ISNUMBER(SEARCH('02_대상물건입력'!B15,L1697)),1,0)))</f>
        <v/>
      </c>
      <c r="Q1697" s="152">
        <f>IF(OR(C1697="",L1697=""),0,IF(AND(TRIM(C1697)=TRIM(RIGHT(SUBSTITUTE(TRIM('02_대상물건입력'!$B$7)," ",REPT(" ",99)),99)),IF('02_대상물건입력'!B15="",TRUE(),ISNUMBER(SEARCH('02_대상물건입력'!B15,L1697)))),1,0))</f>
        <v/>
      </c>
      <c r="R1697" s="175">
        <f>IFERROR(ABS(E1697-'02_대상물건입력'!B11)/'02_대상물건입력'!B11,"")</f>
        <v/>
      </c>
      <c r="S1697" s="152">
        <f>IFERROR(ABS(J1697-'02_대상물건입력'!B10),"")</f>
        <v/>
      </c>
      <c r="T1697" s="152">
        <f>IFERROR(ABS('01_설정'!B4-F1697),"")</f>
        <v/>
      </c>
      <c r="U1697" s="152">
        <f>IFERROR(ABS(K1697-YEAR('02_대상물건입력'!B14)),"")</f>
        <v/>
      </c>
      <c r="V1697" s="152">
        <f>IF(B1697="","",IF(AND(E1697&gt;0,F1697&gt;0,H1697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1697=1,TRUE()),R1697&lt;='01_설정'!B5,S1697&lt;='01_설정'!B6,T1697&lt;='01_설정'!B7,U1697&lt;='01_설정'!B8),"Y",""))</f>
        <v/>
      </c>
      <c r="W1697" s="172">
        <f>IF(V1697&lt;&gt;"Y","",MAX(0,(1-R1697/'01_설정'!B5))*'01_설정'!B14+MAX(0,(1-S1697/'01_설정'!B6))*'01_설정'!B15+MAX(0,(1-T1697/'01_설정'!B7))*'01_설정'!B16+MAX(0,(1-U1697/'01_설정'!B8))*'01_설정'!B17+O1697*'01_설정'!B11+Q1697*'01_설정'!B12+P1697*'01_설정'!B13+IF(Z1697="",0,Z1697))</f>
        <v/>
      </c>
      <c r="X1697" s="152">
        <f>IF(W1697="","",1+COUNTIFS($W$4:$W$3003,"&gt;"&amp;W1697)+COUNTIFS($W$4:W1697,W1697)-1)</f>
        <v/>
      </c>
      <c r="Y1697" s="175">
        <f>IF(OR(I1697="",'02_대상물건입력'!B19="",'02_대상물건입력'!B19&lt;=0),"",ABS(I1697-'02_대상물건입력'!B19)/'02_대상물건입력'!B19)</f>
        <v/>
      </c>
      <c r="Z1697" s="172">
        <f>IF(OR(Y1697="",'01_설정'!B31="",'01_설정'!B31&lt;=0,'01_설정'!B32="",'01_설정'!B32&lt;=0),"",MAX(0,(1-Y1697/'01_설정'!B32))*'01_설정'!B31)</f>
        <v/>
      </c>
    </row>
    <row r="1698" ht="17.25" customHeight="1">
      <c r="A1698" s="152">
        <f>IF(INDEX('04A_국토부원자료'!$A:$A,ROW()+1)="","",ROW()-3)</f>
        <v/>
      </c>
      <c r="B1698" s="48">
        <f>IFERROR(INDEX('04A_국토부원자료'!$A:$T,ROW()+1,MATCH("시군구",'04A_국토부원자료'!$A$4:$T$4,0)),"")</f>
        <v/>
      </c>
      <c r="C1698" s="48">
        <f>IF(B1698="","",IFERROR(INDEX('04A_국토부원자료'!$A:$T,ROW()+1,MATCH("번지",'04A_국토부원자료'!$A$4:$T$4,0)),""))</f>
        <v/>
      </c>
      <c r="D1698" s="48">
        <f>IF(B1698="","",IF(Q1698=1,'02_대상물건입력'!$B$8,IFERROR(INDEX('04A_국토부원자료'!$A:$T,ROW()+1,MATCH("단지명",'04A_국토부원자료'!$A$4:$T$4,0)),"")))</f>
        <v/>
      </c>
      <c r="E1698" s="172">
        <f>IFERROR(VALUE(SUBSTITUTE(INDEX('04A_국토부원자료'!$A:$T,ROW()+1,MATCH("전용면적(㎡)",'04A_국토부원자료'!$A$4:$T$4,0)),",","")),"")</f>
        <v/>
      </c>
      <c r="F16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98" s="51">
        <f>IFERROR(VALUE(SUBSTITUTE(INDEX('04A_국토부원자료'!$A:$T,ROW()+1,MATCH("거래금액(만원)",'04A_국토부원자료'!$A$4:$T$4,0)),",","")),"")</f>
        <v/>
      </c>
      <c r="H1698" s="174">
        <f>IF(G1698="","",G1698*10000)</f>
        <v/>
      </c>
      <c r="I1698" s="174">
        <f>IFERROR(IF(AND(H1698&gt;0,E1698&gt;0),H1698/E1698,""),"")</f>
        <v/>
      </c>
      <c r="J1698" s="152">
        <f>IFERROR(VALUE(SUBSTITUTE(INDEX('04A_국토부원자료'!$A:$T,ROW()+1,MATCH("층",'04A_국토부원자료'!$A$4:$T$4,0)),",","")),"")</f>
        <v/>
      </c>
      <c r="K1698" s="152">
        <f>IFERROR(VALUE(SUBSTITUTE(INDEX('04A_국토부원자료'!$A:$T,ROW()+1,MATCH("건축년도",'04A_국토부원자료'!$A$4:$T$4,0)),",","")),"")</f>
        <v/>
      </c>
      <c r="L1698" s="176">
        <f>IFERROR(INDEX('04A_국토부원자료'!$A:$T,ROW()+1,MATCH("도로명",'04A_국토부원자료'!$A$4:$T$4,0)),"")</f>
        <v/>
      </c>
      <c r="M1698" s="48">
        <f>IFERROR(INDEX('04A_국토부원자료'!$A:$T,ROW()+1,MATCH("거래유형",'04A_국토부원자료'!$A$4:$T$4,0)),"")</f>
        <v/>
      </c>
      <c r="N1698" s="152">
        <f>IF(B1698="","",IF('02_대상물건입력'!B5="",1,IF(ISNUMBER(SEARCH('02_대상물건입력'!B5,B1698)),1,0)))</f>
        <v/>
      </c>
      <c r="O1698" s="152">
        <f>IF(B1698="","",IF('02_대상물건입력'!B6="",1,IF(ISNUMBER(SEARCH('02_대상물건입력'!B6,B1698)),1,0)))</f>
        <v/>
      </c>
      <c r="P1698" s="152">
        <f>IF(L1698="","",IF('02_대상물건입력'!B15="",0,IF(ISNUMBER(SEARCH('02_대상물건입력'!B15,L1698)),1,0)))</f>
        <v/>
      </c>
      <c r="Q1698" s="152">
        <f>IF(OR(C1698="",L1698=""),0,IF(AND(TRIM(C1698)=TRIM(RIGHT(SUBSTITUTE(TRIM('02_대상물건입력'!$B$7)," ",REPT(" ",99)),99)),IF('02_대상물건입력'!B15="",TRUE(),ISNUMBER(SEARCH('02_대상물건입력'!B15,L1698)))),1,0))</f>
        <v/>
      </c>
      <c r="R1698" s="175">
        <f>IFERROR(ABS(E1698-'02_대상물건입력'!B11)/'02_대상물건입력'!B11,"")</f>
        <v/>
      </c>
      <c r="S1698" s="152">
        <f>IFERROR(ABS(J1698-'02_대상물건입력'!B10),"")</f>
        <v/>
      </c>
      <c r="T1698" s="152">
        <f>IFERROR(ABS('01_설정'!B4-F1698),"")</f>
        <v/>
      </c>
      <c r="U1698" s="152">
        <f>IFERROR(ABS(K1698-YEAR('02_대상물건입력'!B14)),"")</f>
        <v/>
      </c>
      <c r="V1698" s="152">
        <f>IF(B1698="","",IF(AND(E1698&gt;0,F1698&gt;0,H1698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1698=1,TRUE()),R1698&lt;='01_설정'!B5,S1698&lt;='01_설정'!B6,T1698&lt;='01_설정'!B7,U1698&lt;='01_설정'!B8),"Y",""))</f>
        <v/>
      </c>
      <c r="W1698" s="172">
        <f>IF(V1698&lt;&gt;"Y","",MAX(0,(1-R1698/'01_설정'!B5))*'01_설정'!B14+MAX(0,(1-S1698/'01_설정'!B6))*'01_설정'!B15+MAX(0,(1-T1698/'01_설정'!B7))*'01_설정'!B16+MAX(0,(1-U1698/'01_설정'!B8))*'01_설정'!B17+O1698*'01_설정'!B11+Q1698*'01_설정'!B12+P1698*'01_설정'!B13+IF(Z1698="",0,Z1698))</f>
        <v/>
      </c>
      <c r="X1698" s="152">
        <f>IF(W1698="","",1+COUNTIFS($W$4:$W$3003,"&gt;"&amp;W1698)+COUNTIFS($W$4:W1698,W1698)-1)</f>
        <v/>
      </c>
      <c r="Y1698" s="175">
        <f>IF(OR(I1698="",'02_대상물건입력'!B19="",'02_대상물건입력'!B19&lt;=0),"",ABS(I1698-'02_대상물건입력'!B19)/'02_대상물건입력'!B19)</f>
        <v/>
      </c>
      <c r="Z1698" s="172">
        <f>IF(OR(Y1698="",'01_설정'!B31="",'01_설정'!B31&lt;=0,'01_설정'!B32="",'01_설정'!B32&lt;=0),"",MAX(0,(1-Y1698/'01_설정'!B32))*'01_설정'!B31)</f>
        <v/>
      </c>
    </row>
    <row r="1699" ht="17.25" customHeight="1">
      <c r="A1699" s="152">
        <f>IF(INDEX('04A_국토부원자료'!$A:$A,ROW()+1)="","",ROW()-3)</f>
        <v/>
      </c>
      <c r="B1699" s="48">
        <f>IFERROR(INDEX('04A_국토부원자료'!$A:$T,ROW()+1,MATCH("시군구",'04A_국토부원자료'!$A$4:$T$4,0)),"")</f>
        <v/>
      </c>
      <c r="C1699" s="48">
        <f>IF(B1699="","",IFERROR(INDEX('04A_국토부원자료'!$A:$T,ROW()+1,MATCH("번지",'04A_국토부원자료'!$A$4:$T$4,0)),""))</f>
        <v/>
      </c>
      <c r="D1699" s="48">
        <f>IF(B1699="","",IF(Q1699=1,'02_대상물건입력'!$B$8,IFERROR(INDEX('04A_국토부원자료'!$A:$T,ROW()+1,MATCH("단지명",'04A_국토부원자료'!$A$4:$T$4,0)),"")))</f>
        <v/>
      </c>
      <c r="E1699" s="172">
        <f>IFERROR(VALUE(SUBSTITUTE(INDEX('04A_국토부원자료'!$A:$T,ROW()+1,MATCH("전용면적(㎡)",'04A_국토부원자료'!$A$4:$T$4,0)),",","")),"")</f>
        <v/>
      </c>
      <c r="F16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699" s="51">
        <f>IFERROR(VALUE(SUBSTITUTE(INDEX('04A_국토부원자료'!$A:$T,ROW()+1,MATCH("거래금액(만원)",'04A_국토부원자료'!$A$4:$T$4,0)),",","")),"")</f>
        <v/>
      </c>
      <c r="H1699" s="174">
        <f>IF(G1699="","",G1699*10000)</f>
        <v/>
      </c>
      <c r="I1699" s="174">
        <f>IFERROR(IF(AND(H1699&gt;0,E1699&gt;0),H1699/E1699,""),"")</f>
        <v/>
      </c>
      <c r="J1699" s="152">
        <f>IFERROR(VALUE(SUBSTITUTE(INDEX('04A_국토부원자료'!$A:$T,ROW()+1,MATCH("층",'04A_국토부원자료'!$A$4:$T$4,0)),",","")),"")</f>
        <v/>
      </c>
      <c r="K1699" s="152">
        <f>IFERROR(VALUE(SUBSTITUTE(INDEX('04A_국토부원자료'!$A:$T,ROW()+1,MATCH("건축년도",'04A_국토부원자료'!$A$4:$T$4,0)),",","")),"")</f>
        <v/>
      </c>
      <c r="L1699" s="176">
        <f>IFERROR(INDEX('04A_국토부원자료'!$A:$T,ROW()+1,MATCH("도로명",'04A_국토부원자료'!$A$4:$T$4,0)),"")</f>
        <v/>
      </c>
      <c r="M1699" s="48">
        <f>IFERROR(INDEX('04A_국토부원자료'!$A:$T,ROW()+1,MATCH("거래유형",'04A_국토부원자료'!$A$4:$T$4,0)),"")</f>
        <v/>
      </c>
      <c r="N1699" s="152">
        <f>IF(B1699="","",IF('02_대상물건입력'!B5="",1,IF(ISNUMBER(SEARCH('02_대상물건입력'!B5,B1699)),1,0)))</f>
        <v/>
      </c>
      <c r="O1699" s="152">
        <f>IF(B1699="","",IF('02_대상물건입력'!B6="",1,IF(ISNUMBER(SEARCH('02_대상물건입력'!B6,B1699)),1,0)))</f>
        <v/>
      </c>
      <c r="P1699" s="152">
        <f>IF(L1699="","",IF('02_대상물건입력'!B15="",0,IF(ISNUMBER(SEARCH('02_대상물건입력'!B15,L1699)),1,0)))</f>
        <v/>
      </c>
      <c r="Q1699" s="152">
        <f>IF(OR(C1699="",L1699=""),0,IF(AND(TRIM(C1699)=TRIM(RIGHT(SUBSTITUTE(TRIM('02_대상물건입력'!$B$7)," ",REPT(" ",99)),99)),IF('02_대상물건입력'!B15="",TRUE(),ISNUMBER(SEARCH('02_대상물건입력'!B15,L1699)))),1,0))</f>
        <v/>
      </c>
      <c r="R1699" s="175">
        <f>IFERROR(ABS(E1699-'02_대상물건입력'!B11)/'02_대상물건입력'!B11,"")</f>
        <v/>
      </c>
      <c r="S1699" s="152">
        <f>IFERROR(ABS(J1699-'02_대상물건입력'!B10),"")</f>
        <v/>
      </c>
      <c r="T1699" s="152">
        <f>IFERROR(ABS('01_설정'!B4-F1699),"")</f>
        <v/>
      </c>
      <c r="U1699" s="152">
        <f>IFERROR(ABS(K1699-YEAR('02_대상물건입력'!B14)),"")</f>
        <v/>
      </c>
      <c r="V1699" s="152">
        <f>IF(B1699="","",IF(AND(E1699&gt;0,F1699&gt;0,H1699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1699=1,TRUE()),R1699&lt;='01_설정'!B5,S1699&lt;='01_설정'!B6,T1699&lt;='01_설정'!B7,U1699&lt;='01_설정'!B8),"Y",""))</f>
        <v/>
      </c>
      <c r="W1699" s="172">
        <f>IF(V1699&lt;&gt;"Y","",MAX(0,(1-R1699/'01_설정'!B5))*'01_설정'!B14+MAX(0,(1-S1699/'01_설정'!B6))*'01_설정'!B15+MAX(0,(1-T1699/'01_설정'!B7))*'01_설정'!B16+MAX(0,(1-U1699/'01_설정'!B8))*'01_설정'!B17+O1699*'01_설정'!B11+Q1699*'01_설정'!B12+P1699*'01_설정'!B13+IF(Z1699="",0,Z1699))</f>
        <v/>
      </c>
      <c r="X1699" s="152">
        <f>IF(W1699="","",1+COUNTIFS($W$4:$W$3003,"&gt;"&amp;W1699)+COUNTIFS($W$4:W1699,W1699)-1)</f>
        <v/>
      </c>
      <c r="Y1699" s="175">
        <f>IF(OR(I1699="",'02_대상물건입력'!B19="",'02_대상물건입력'!B19&lt;=0),"",ABS(I1699-'02_대상물건입력'!B19)/'02_대상물건입력'!B19)</f>
        <v/>
      </c>
      <c r="Z1699" s="172">
        <f>IF(OR(Y1699="",'01_설정'!B31="",'01_설정'!B31&lt;=0,'01_설정'!B32="",'01_설정'!B32&lt;=0),"",MAX(0,(1-Y1699/'01_설정'!B32))*'01_설정'!B31)</f>
        <v/>
      </c>
    </row>
    <row r="1700" ht="17.25" customHeight="1">
      <c r="A1700" s="152">
        <f>IF(INDEX('04A_국토부원자료'!$A:$A,ROW()+1)="","",ROW()-3)</f>
        <v/>
      </c>
      <c r="B1700" s="48">
        <f>IFERROR(INDEX('04A_국토부원자료'!$A:$T,ROW()+1,MATCH("시군구",'04A_국토부원자료'!$A$4:$T$4,0)),"")</f>
        <v/>
      </c>
      <c r="C1700" s="48">
        <f>IF(B1700="","",IFERROR(INDEX('04A_국토부원자료'!$A:$T,ROW()+1,MATCH("번지",'04A_국토부원자료'!$A$4:$T$4,0)),""))</f>
        <v/>
      </c>
      <c r="D1700" s="48">
        <f>IF(B1700="","",IF(Q1700=1,'02_대상물건입력'!$B$8,IFERROR(INDEX('04A_국토부원자료'!$A:$T,ROW()+1,MATCH("단지명",'04A_국토부원자료'!$A$4:$T$4,0)),"")))</f>
        <v/>
      </c>
      <c r="E1700" s="172">
        <f>IFERROR(VALUE(SUBSTITUTE(INDEX('04A_국토부원자료'!$A:$T,ROW()+1,MATCH("전용면적(㎡)",'04A_국토부원자료'!$A$4:$T$4,0)),",","")),"")</f>
        <v/>
      </c>
      <c r="F17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00" s="51">
        <f>IFERROR(VALUE(SUBSTITUTE(INDEX('04A_국토부원자료'!$A:$T,ROW()+1,MATCH("거래금액(만원)",'04A_국토부원자료'!$A$4:$T$4,0)),",","")),"")</f>
        <v/>
      </c>
      <c r="H1700" s="174">
        <f>IF(G1700="","",G1700*10000)</f>
        <v/>
      </c>
      <c r="I1700" s="174">
        <f>IFERROR(IF(AND(H1700&gt;0,E1700&gt;0),H1700/E1700,""),"")</f>
        <v/>
      </c>
      <c r="J1700" s="152">
        <f>IFERROR(VALUE(SUBSTITUTE(INDEX('04A_국토부원자료'!$A:$T,ROW()+1,MATCH("층",'04A_국토부원자료'!$A$4:$T$4,0)),",","")),"")</f>
        <v/>
      </c>
      <c r="K1700" s="152">
        <f>IFERROR(VALUE(SUBSTITUTE(INDEX('04A_국토부원자료'!$A:$T,ROW()+1,MATCH("건축년도",'04A_국토부원자료'!$A$4:$T$4,0)),",","")),"")</f>
        <v/>
      </c>
      <c r="L1700" s="176">
        <f>IFERROR(INDEX('04A_국토부원자료'!$A:$T,ROW()+1,MATCH("도로명",'04A_국토부원자료'!$A$4:$T$4,0)),"")</f>
        <v/>
      </c>
      <c r="M1700" s="48">
        <f>IFERROR(INDEX('04A_국토부원자료'!$A:$T,ROW()+1,MATCH("거래유형",'04A_국토부원자료'!$A$4:$T$4,0)),"")</f>
        <v/>
      </c>
      <c r="N1700" s="152">
        <f>IF(B1700="","",IF('02_대상물건입력'!B5="",1,IF(ISNUMBER(SEARCH('02_대상물건입력'!B5,B1700)),1,0)))</f>
        <v/>
      </c>
      <c r="O1700" s="152">
        <f>IF(B1700="","",IF('02_대상물건입력'!B6="",1,IF(ISNUMBER(SEARCH('02_대상물건입력'!B6,B1700)),1,0)))</f>
        <v/>
      </c>
      <c r="P1700" s="152">
        <f>IF(L1700="","",IF('02_대상물건입력'!B15="",0,IF(ISNUMBER(SEARCH('02_대상물건입력'!B15,L1700)),1,0)))</f>
        <v/>
      </c>
      <c r="Q1700" s="152">
        <f>IF(OR(C1700="",L1700=""),0,IF(AND(TRIM(C1700)=TRIM(RIGHT(SUBSTITUTE(TRIM('02_대상물건입력'!$B$7)," ",REPT(" ",99)),99)),IF('02_대상물건입력'!B15="",TRUE(),ISNUMBER(SEARCH('02_대상물건입력'!B15,L1700)))),1,0))</f>
        <v/>
      </c>
      <c r="R1700" s="175">
        <f>IFERROR(ABS(E1700-'02_대상물건입력'!B11)/'02_대상물건입력'!B11,"")</f>
        <v/>
      </c>
      <c r="S1700" s="152">
        <f>IFERROR(ABS(J1700-'02_대상물건입력'!B10),"")</f>
        <v/>
      </c>
      <c r="T1700" s="152">
        <f>IFERROR(ABS('01_설정'!B4-F1700),"")</f>
        <v/>
      </c>
      <c r="U1700" s="152">
        <f>IFERROR(ABS(K1700-YEAR('02_대상물건입력'!B14)),"")</f>
        <v/>
      </c>
      <c r="V1700" s="152">
        <f>IF(B1700="","",IF(AND(E1700&gt;0,F1700&gt;0,H1700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1700=1,TRUE()),R1700&lt;='01_설정'!B5,S1700&lt;='01_설정'!B6,T1700&lt;='01_설정'!B7,U1700&lt;='01_설정'!B8),"Y",""))</f>
        <v/>
      </c>
      <c r="W1700" s="172">
        <f>IF(V1700&lt;&gt;"Y","",MAX(0,(1-R1700/'01_설정'!B5))*'01_설정'!B14+MAX(0,(1-S1700/'01_설정'!B6))*'01_설정'!B15+MAX(0,(1-T1700/'01_설정'!B7))*'01_설정'!B16+MAX(0,(1-U1700/'01_설정'!B8))*'01_설정'!B17+O1700*'01_설정'!B11+Q1700*'01_설정'!B12+P1700*'01_설정'!B13+IF(Z1700="",0,Z1700))</f>
        <v/>
      </c>
      <c r="X1700" s="152">
        <f>IF(W1700="","",1+COUNTIFS($W$4:$W$3003,"&gt;"&amp;W1700)+COUNTIFS($W$4:W1700,W1700)-1)</f>
        <v/>
      </c>
      <c r="Y1700" s="175">
        <f>IF(OR(I1700="",'02_대상물건입력'!B19="",'02_대상물건입력'!B19&lt;=0),"",ABS(I1700-'02_대상물건입력'!B19)/'02_대상물건입력'!B19)</f>
        <v/>
      </c>
      <c r="Z1700" s="172">
        <f>IF(OR(Y1700="",'01_설정'!B31="",'01_설정'!B31&lt;=0,'01_설정'!B32="",'01_설정'!B32&lt;=0),"",MAX(0,(1-Y1700/'01_설정'!B32))*'01_설정'!B31)</f>
        <v/>
      </c>
    </row>
    <row r="1701" ht="17.25" customHeight="1">
      <c r="A1701" s="152">
        <f>IF(INDEX('04A_국토부원자료'!$A:$A,ROW()+1)="","",ROW()-3)</f>
        <v/>
      </c>
      <c r="B1701" s="48">
        <f>IFERROR(INDEX('04A_국토부원자료'!$A:$T,ROW()+1,MATCH("시군구",'04A_국토부원자료'!$A$4:$T$4,0)),"")</f>
        <v/>
      </c>
      <c r="C1701" s="48">
        <f>IF(B1701="","",IFERROR(INDEX('04A_국토부원자료'!$A:$T,ROW()+1,MATCH("번지",'04A_국토부원자료'!$A$4:$T$4,0)),""))</f>
        <v/>
      </c>
      <c r="D1701" s="48">
        <f>IF(B1701="","",IF(Q1701=1,'02_대상물건입력'!$B$8,IFERROR(INDEX('04A_국토부원자료'!$A:$T,ROW()+1,MATCH("단지명",'04A_국토부원자료'!$A$4:$T$4,0)),"")))</f>
        <v/>
      </c>
      <c r="E1701" s="172">
        <f>IFERROR(VALUE(SUBSTITUTE(INDEX('04A_국토부원자료'!$A:$T,ROW()+1,MATCH("전용면적(㎡)",'04A_국토부원자료'!$A$4:$T$4,0)),",","")),"")</f>
        <v/>
      </c>
      <c r="F17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01" s="51">
        <f>IFERROR(VALUE(SUBSTITUTE(INDEX('04A_국토부원자료'!$A:$T,ROW()+1,MATCH("거래금액(만원)",'04A_국토부원자료'!$A$4:$T$4,0)),",","")),"")</f>
        <v/>
      </c>
      <c r="H1701" s="174">
        <f>IF(G1701="","",G1701*10000)</f>
        <v/>
      </c>
      <c r="I1701" s="174">
        <f>IFERROR(IF(AND(H1701&gt;0,E1701&gt;0),H1701/E1701,""),"")</f>
        <v/>
      </c>
      <c r="J1701" s="152">
        <f>IFERROR(VALUE(SUBSTITUTE(INDEX('04A_국토부원자료'!$A:$T,ROW()+1,MATCH("층",'04A_국토부원자료'!$A$4:$T$4,0)),",","")),"")</f>
        <v/>
      </c>
      <c r="K1701" s="152">
        <f>IFERROR(VALUE(SUBSTITUTE(INDEX('04A_국토부원자료'!$A:$T,ROW()+1,MATCH("건축년도",'04A_국토부원자료'!$A$4:$T$4,0)),",","")),"")</f>
        <v/>
      </c>
      <c r="L1701" s="176">
        <f>IFERROR(INDEX('04A_국토부원자료'!$A:$T,ROW()+1,MATCH("도로명",'04A_국토부원자료'!$A$4:$T$4,0)),"")</f>
        <v/>
      </c>
      <c r="M1701" s="48">
        <f>IFERROR(INDEX('04A_국토부원자료'!$A:$T,ROW()+1,MATCH("거래유형",'04A_국토부원자료'!$A$4:$T$4,0)),"")</f>
        <v/>
      </c>
      <c r="N1701" s="152">
        <f>IF(B1701="","",IF('02_대상물건입력'!B5="",1,IF(ISNUMBER(SEARCH('02_대상물건입력'!B5,B1701)),1,0)))</f>
        <v/>
      </c>
      <c r="O1701" s="152">
        <f>IF(B1701="","",IF('02_대상물건입력'!B6="",1,IF(ISNUMBER(SEARCH('02_대상물건입력'!B6,B1701)),1,0)))</f>
        <v/>
      </c>
      <c r="P1701" s="152">
        <f>IF(L1701="","",IF('02_대상물건입력'!B15="",0,IF(ISNUMBER(SEARCH('02_대상물건입력'!B15,L1701)),1,0)))</f>
        <v/>
      </c>
      <c r="Q1701" s="152">
        <f>IF(OR(C1701="",L1701=""),0,IF(AND(TRIM(C1701)=TRIM(RIGHT(SUBSTITUTE(TRIM('02_대상물건입력'!$B$7)," ",REPT(" ",99)),99)),IF('02_대상물건입력'!B15="",TRUE(),ISNUMBER(SEARCH('02_대상물건입력'!B15,L1701)))),1,0))</f>
        <v/>
      </c>
      <c r="R1701" s="175">
        <f>IFERROR(ABS(E1701-'02_대상물건입력'!B11)/'02_대상물건입력'!B11,"")</f>
        <v/>
      </c>
      <c r="S1701" s="152">
        <f>IFERROR(ABS(J1701-'02_대상물건입력'!B10),"")</f>
        <v/>
      </c>
      <c r="T1701" s="152">
        <f>IFERROR(ABS('01_설정'!B4-F1701),"")</f>
        <v/>
      </c>
      <c r="U1701" s="152">
        <f>IFERROR(ABS(K1701-YEAR('02_대상물건입력'!B14)),"")</f>
        <v/>
      </c>
      <c r="V1701" s="152">
        <f>IF(B1701="","",IF(AND(E1701&gt;0,F1701&gt;0,H1701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1701=1,TRUE()),R1701&lt;='01_설정'!B5,S1701&lt;='01_설정'!B6,T1701&lt;='01_설정'!B7,U1701&lt;='01_설정'!B8),"Y",""))</f>
        <v/>
      </c>
      <c r="W1701" s="172">
        <f>IF(V1701&lt;&gt;"Y","",MAX(0,(1-R1701/'01_설정'!B5))*'01_설정'!B14+MAX(0,(1-S1701/'01_설정'!B6))*'01_설정'!B15+MAX(0,(1-T1701/'01_설정'!B7))*'01_설정'!B16+MAX(0,(1-U1701/'01_설정'!B8))*'01_설정'!B17+O1701*'01_설정'!B11+Q1701*'01_설정'!B12+P1701*'01_설정'!B13+IF(Z1701="",0,Z1701))</f>
        <v/>
      </c>
      <c r="X1701" s="152">
        <f>IF(W1701="","",1+COUNTIFS($W$4:$W$3003,"&gt;"&amp;W1701)+COUNTIFS($W$4:W1701,W1701)-1)</f>
        <v/>
      </c>
      <c r="Y1701" s="175">
        <f>IF(OR(I1701="",'02_대상물건입력'!B19="",'02_대상물건입력'!B19&lt;=0),"",ABS(I1701-'02_대상물건입력'!B19)/'02_대상물건입력'!B19)</f>
        <v/>
      </c>
      <c r="Z1701" s="172">
        <f>IF(OR(Y1701="",'01_설정'!B31="",'01_설정'!B31&lt;=0,'01_설정'!B32="",'01_설정'!B32&lt;=0),"",MAX(0,(1-Y1701/'01_설정'!B32))*'01_설정'!B31)</f>
        <v/>
      </c>
    </row>
    <row r="1702" ht="17.25" customHeight="1">
      <c r="A1702" s="152">
        <f>IF(INDEX('04A_국토부원자료'!$A:$A,ROW()+1)="","",ROW()-3)</f>
        <v/>
      </c>
      <c r="B1702" s="48">
        <f>IFERROR(INDEX('04A_국토부원자료'!$A:$T,ROW()+1,MATCH("시군구",'04A_국토부원자료'!$A$4:$T$4,0)),"")</f>
        <v/>
      </c>
      <c r="C1702" s="48">
        <f>IF(B1702="","",IFERROR(INDEX('04A_국토부원자료'!$A:$T,ROW()+1,MATCH("번지",'04A_국토부원자료'!$A$4:$T$4,0)),""))</f>
        <v/>
      </c>
      <c r="D1702" s="48">
        <f>IF(B1702="","",IF(Q1702=1,'02_대상물건입력'!$B$8,IFERROR(INDEX('04A_국토부원자료'!$A:$T,ROW()+1,MATCH("단지명",'04A_국토부원자료'!$A$4:$T$4,0)),"")))</f>
        <v/>
      </c>
      <c r="E1702" s="172">
        <f>IFERROR(VALUE(SUBSTITUTE(INDEX('04A_국토부원자료'!$A:$T,ROW()+1,MATCH("전용면적(㎡)",'04A_국토부원자료'!$A$4:$T$4,0)),",","")),"")</f>
        <v/>
      </c>
      <c r="F17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02" s="51">
        <f>IFERROR(VALUE(SUBSTITUTE(INDEX('04A_국토부원자료'!$A:$T,ROW()+1,MATCH("거래금액(만원)",'04A_국토부원자료'!$A$4:$T$4,0)),",","")),"")</f>
        <v/>
      </c>
      <c r="H1702" s="174">
        <f>IF(G1702="","",G1702*10000)</f>
        <v/>
      </c>
      <c r="I1702" s="174">
        <f>IFERROR(IF(AND(H1702&gt;0,E1702&gt;0),H1702/E1702,""),"")</f>
        <v/>
      </c>
      <c r="J1702" s="152">
        <f>IFERROR(VALUE(SUBSTITUTE(INDEX('04A_국토부원자료'!$A:$T,ROW()+1,MATCH("층",'04A_국토부원자료'!$A$4:$T$4,0)),",","")),"")</f>
        <v/>
      </c>
      <c r="K1702" s="152">
        <f>IFERROR(VALUE(SUBSTITUTE(INDEX('04A_국토부원자료'!$A:$T,ROW()+1,MATCH("건축년도",'04A_국토부원자료'!$A$4:$T$4,0)),",","")),"")</f>
        <v/>
      </c>
      <c r="L1702" s="176">
        <f>IFERROR(INDEX('04A_국토부원자료'!$A:$T,ROW()+1,MATCH("도로명",'04A_국토부원자료'!$A$4:$T$4,0)),"")</f>
        <v/>
      </c>
      <c r="M1702" s="48">
        <f>IFERROR(INDEX('04A_국토부원자료'!$A:$T,ROW()+1,MATCH("거래유형",'04A_국토부원자료'!$A$4:$T$4,0)),"")</f>
        <v/>
      </c>
      <c r="N1702" s="152">
        <f>IF(B1702="","",IF('02_대상물건입력'!B5="",1,IF(ISNUMBER(SEARCH('02_대상물건입력'!B5,B1702)),1,0)))</f>
        <v/>
      </c>
      <c r="O1702" s="152">
        <f>IF(B1702="","",IF('02_대상물건입력'!B6="",1,IF(ISNUMBER(SEARCH('02_대상물건입력'!B6,B1702)),1,0)))</f>
        <v/>
      </c>
      <c r="P1702" s="152">
        <f>IF(L1702="","",IF('02_대상물건입력'!B15="",0,IF(ISNUMBER(SEARCH('02_대상물건입력'!B15,L1702)),1,0)))</f>
        <v/>
      </c>
      <c r="Q1702" s="152">
        <f>IF(OR(C1702="",L1702=""),0,IF(AND(TRIM(C1702)=TRIM(RIGHT(SUBSTITUTE(TRIM('02_대상물건입력'!$B$7)," ",REPT(" ",99)),99)),IF('02_대상물건입력'!B15="",TRUE(),ISNUMBER(SEARCH('02_대상물건입력'!B15,L1702)))),1,0))</f>
        <v/>
      </c>
      <c r="R1702" s="175">
        <f>IFERROR(ABS(E1702-'02_대상물건입력'!B11)/'02_대상물건입력'!B11,"")</f>
        <v/>
      </c>
      <c r="S1702" s="152">
        <f>IFERROR(ABS(J1702-'02_대상물건입력'!B10),"")</f>
        <v/>
      </c>
      <c r="T1702" s="152">
        <f>IFERROR(ABS('01_설정'!B4-F1702),"")</f>
        <v/>
      </c>
      <c r="U1702" s="152">
        <f>IFERROR(ABS(K1702-YEAR('02_대상물건입력'!B14)),"")</f>
        <v/>
      </c>
      <c r="V1702" s="152">
        <f>IF(B1702="","",IF(AND(E1702&gt;0,F1702&gt;0,H1702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1702=1,TRUE()),R1702&lt;='01_설정'!B5,S1702&lt;='01_설정'!B6,T1702&lt;='01_설정'!B7,U1702&lt;='01_설정'!B8),"Y",""))</f>
        <v/>
      </c>
      <c r="W1702" s="172">
        <f>IF(V1702&lt;&gt;"Y","",MAX(0,(1-R1702/'01_설정'!B5))*'01_설정'!B14+MAX(0,(1-S1702/'01_설정'!B6))*'01_설정'!B15+MAX(0,(1-T1702/'01_설정'!B7))*'01_설정'!B16+MAX(0,(1-U1702/'01_설정'!B8))*'01_설정'!B17+O1702*'01_설정'!B11+Q1702*'01_설정'!B12+P1702*'01_설정'!B13+IF(Z1702="",0,Z1702))</f>
        <v/>
      </c>
      <c r="X1702" s="152">
        <f>IF(W1702="","",1+COUNTIFS($W$4:$W$3003,"&gt;"&amp;W1702)+COUNTIFS($W$4:W1702,W1702)-1)</f>
        <v/>
      </c>
      <c r="Y1702" s="175">
        <f>IF(OR(I1702="",'02_대상물건입력'!B19="",'02_대상물건입력'!B19&lt;=0),"",ABS(I1702-'02_대상물건입력'!B19)/'02_대상물건입력'!B19)</f>
        <v/>
      </c>
      <c r="Z1702" s="172">
        <f>IF(OR(Y1702="",'01_설정'!B31="",'01_설정'!B31&lt;=0,'01_설정'!B32="",'01_설정'!B32&lt;=0),"",MAX(0,(1-Y1702/'01_설정'!B32))*'01_설정'!B31)</f>
        <v/>
      </c>
    </row>
    <row r="1703" ht="17.25" customHeight="1">
      <c r="A1703" s="152">
        <f>IF(INDEX('04A_국토부원자료'!$A:$A,ROW()+1)="","",ROW()-3)</f>
        <v/>
      </c>
      <c r="B1703" s="48">
        <f>IFERROR(INDEX('04A_국토부원자료'!$A:$T,ROW()+1,MATCH("시군구",'04A_국토부원자료'!$A$4:$T$4,0)),"")</f>
        <v/>
      </c>
      <c r="C1703" s="48">
        <f>IF(B1703="","",IFERROR(INDEX('04A_국토부원자료'!$A:$T,ROW()+1,MATCH("번지",'04A_국토부원자료'!$A$4:$T$4,0)),""))</f>
        <v/>
      </c>
      <c r="D1703" s="48">
        <f>IF(B1703="","",IF(Q1703=1,'02_대상물건입력'!$B$8,IFERROR(INDEX('04A_국토부원자료'!$A:$T,ROW()+1,MATCH("단지명",'04A_국토부원자료'!$A$4:$T$4,0)),"")))</f>
        <v/>
      </c>
      <c r="E1703" s="172">
        <f>IFERROR(VALUE(SUBSTITUTE(INDEX('04A_국토부원자료'!$A:$T,ROW()+1,MATCH("전용면적(㎡)",'04A_국토부원자료'!$A$4:$T$4,0)),",","")),"")</f>
        <v/>
      </c>
      <c r="F17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03" s="51">
        <f>IFERROR(VALUE(SUBSTITUTE(INDEX('04A_국토부원자료'!$A:$T,ROW()+1,MATCH("거래금액(만원)",'04A_국토부원자료'!$A$4:$T$4,0)),",","")),"")</f>
        <v/>
      </c>
      <c r="H1703" s="174">
        <f>IF(G1703="","",G1703*10000)</f>
        <v/>
      </c>
      <c r="I1703" s="174">
        <f>IFERROR(IF(AND(H1703&gt;0,E1703&gt;0),H1703/E1703,""),"")</f>
        <v/>
      </c>
      <c r="J1703" s="152">
        <f>IFERROR(VALUE(SUBSTITUTE(INDEX('04A_국토부원자료'!$A:$T,ROW()+1,MATCH("층",'04A_국토부원자료'!$A$4:$T$4,0)),",","")),"")</f>
        <v/>
      </c>
      <c r="K1703" s="152">
        <f>IFERROR(VALUE(SUBSTITUTE(INDEX('04A_국토부원자료'!$A:$T,ROW()+1,MATCH("건축년도",'04A_국토부원자료'!$A$4:$T$4,0)),",","")),"")</f>
        <v/>
      </c>
      <c r="L1703" s="176">
        <f>IFERROR(INDEX('04A_국토부원자료'!$A:$T,ROW()+1,MATCH("도로명",'04A_국토부원자료'!$A$4:$T$4,0)),"")</f>
        <v/>
      </c>
      <c r="M1703" s="48">
        <f>IFERROR(INDEX('04A_국토부원자료'!$A:$T,ROW()+1,MATCH("거래유형",'04A_국토부원자료'!$A$4:$T$4,0)),"")</f>
        <v/>
      </c>
      <c r="N1703" s="152">
        <f>IF(B1703="","",IF('02_대상물건입력'!B5="",1,IF(ISNUMBER(SEARCH('02_대상물건입력'!B5,B1703)),1,0)))</f>
        <v/>
      </c>
      <c r="O1703" s="152">
        <f>IF(B1703="","",IF('02_대상물건입력'!B6="",1,IF(ISNUMBER(SEARCH('02_대상물건입력'!B6,B1703)),1,0)))</f>
        <v/>
      </c>
      <c r="P1703" s="152">
        <f>IF(L1703="","",IF('02_대상물건입력'!B15="",0,IF(ISNUMBER(SEARCH('02_대상물건입력'!B15,L1703)),1,0)))</f>
        <v/>
      </c>
      <c r="Q1703" s="152">
        <f>IF(OR(C1703="",L1703=""),0,IF(AND(TRIM(C1703)=TRIM(RIGHT(SUBSTITUTE(TRIM('02_대상물건입력'!$B$7)," ",REPT(" ",99)),99)),IF('02_대상물건입력'!B15="",TRUE(),ISNUMBER(SEARCH('02_대상물건입력'!B15,L1703)))),1,0))</f>
        <v/>
      </c>
      <c r="R1703" s="175">
        <f>IFERROR(ABS(E1703-'02_대상물건입력'!B11)/'02_대상물건입력'!B11,"")</f>
        <v/>
      </c>
      <c r="S1703" s="152">
        <f>IFERROR(ABS(J1703-'02_대상물건입력'!B10),"")</f>
        <v/>
      </c>
      <c r="T1703" s="152">
        <f>IFERROR(ABS('01_설정'!B4-F1703),"")</f>
        <v/>
      </c>
      <c r="U1703" s="152">
        <f>IFERROR(ABS(K1703-YEAR('02_대상물건입력'!B14)),"")</f>
        <v/>
      </c>
      <c r="V1703" s="152">
        <f>IF(B1703="","",IF(AND(E1703&gt;0,F1703&gt;0,H1703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1703=1,TRUE()),R1703&lt;='01_설정'!B5,S1703&lt;='01_설정'!B6,T1703&lt;='01_설정'!B7,U1703&lt;='01_설정'!B8),"Y",""))</f>
        <v/>
      </c>
      <c r="W1703" s="172">
        <f>IF(V1703&lt;&gt;"Y","",MAX(0,(1-R1703/'01_설정'!B5))*'01_설정'!B14+MAX(0,(1-S1703/'01_설정'!B6))*'01_설정'!B15+MAX(0,(1-T1703/'01_설정'!B7))*'01_설정'!B16+MAX(0,(1-U1703/'01_설정'!B8))*'01_설정'!B17+O1703*'01_설정'!B11+Q1703*'01_설정'!B12+P1703*'01_설정'!B13+IF(Z1703="",0,Z1703))</f>
        <v/>
      </c>
      <c r="X1703" s="152">
        <f>IF(W1703="","",1+COUNTIFS($W$4:$W$3003,"&gt;"&amp;W1703)+COUNTIFS($W$4:W1703,W1703)-1)</f>
        <v/>
      </c>
      <c r="Y1703" s="175">
        <f>IF(OR(I1703="",'02_대상물건입력'!B19="",'02_대상물건입력'!B19&lt;=0),"",ABS(I1703-'02_대상물건입력'!B19)/'02_대상물건입력'!B19)</f>
        <v/>
      </c>
      <c r="Z1703" s="172">
        <f>IF(OR(Y1703="",'01_설정'!B31="",'01_설정'!B31&lt;=0,'01_설정'!B32="",'01_설정'!B32&lt;=0),"",MAX(0,(1-Y1703/'01_설정'!B32))*'01_설정'!B31)</f>
        <v/>
      </c>
    </row>
    <row r="1704" ht="17.25" customHeight="1">
      <c r="A1704" s="152">
        <f>IF(INDEX('04A_국토부원자료'!$A:$A,ROW()+1)="","",ROW()-3)</f>
        <v/>
      </c>
      <c r="B1704" s="48">
        <f>IFERROR(INDEX('04A_국토부원자료'!$A:$T,ROW()+1,MATCH("시군구",'04A_국토부원자료'!$A$4:$T$4,0)),"")</f>
        <v/>
      </c>
      <c r="C1704" s="48">
        <f>IF(B1704="","",IFERROR(INDEX('04A_국토부원자료'!$A:$T,ROW()+1,MATCH("번지",'04A_국토부원자료'!$A$4:$T$4,0)),""))</f>
        <v/>
      </c>
      <c r="D1704" s="48">
        <f>IF(B1704="","",IF(Q1704=1,'02_대상물건입력'!$B$8,IFERROR(INDEX('04A_국토부원자료'!$A:$T,ROW()+1,MATCH("단지명",'04A_국토부원자료'!$A$4:$T$4,0)),"")))</f>
        <v/>
      </c>
      <c r="E1704" s="172">
        <f>IFERROR(VALUE(SUBSTITUTE(INDEX('04A_국토부원자료'!$A:$T,ROW()+1,MATCH("전용면적(㎡)",'04A_국토부원자료'!$A$4:$T$4,0)),",","")),"")</f>
        <v/>
      </c>
      <c r="F17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04" s="51">
        <f>IFERROR(VALUE(SUBSTITUTE(INDEX('04A_국토부원자료'!$A:$T,ROW()+1,MATCH("거래금액(만원)",'04A_국토부원자료'!$A$4:$T$4,0)),",","")),"")</f>
        <v/>
      </c>
      <c r="H1704" s="174">
        <f>IF(G1704="","",G1704*10000)</f>
        <v/>
      </c>
      <c r="I1704" s="174">
        <f>IFERROR(IF(AND(H1704&gt;0,E1704&gt;0),H1704/E1704,""),"")</f>
        <v/>
      </c>
      <c r="J1704" s="152">
        <f>IFERROR(VALUE(SUBSTITUTE(INDEX('04A_국토부원자료'!$A:$T,ROW()+1,MATCH("층",'04A_국토부원자료'!$A$4:$T$4,0)),",","")),"")</f>
        <v/>
      </c>
      <c r="K1704" s="152">
        <f>IFERROR(VALUE(SUBSTITUTE(INDEX('04A_국토부원자료'!$A:$T,ROW()+1,MATCH("건축년도",'04A_국토부원자료'!$A$4:$T$4,0)),",","")),"")</f>
        <v/>
      </c>
      <c r="L1704" s="176">
        <f>IFERROR(INDEX('04A_국토부원자료'!$A:$T,ROW()+1,MATCH("도로명",'04A_국토부원자료'!$A$4:$T$4,0)),"")</f>
        <v/>
      </c>
      <c r="M1704" s="48">
        <f>IFERROR(INDEX('04A_국토부원자료'!$A:$T,ROW()+1,MATCH("거래유형",'04A_국토부원자료'!$A$4:$T$4,0)),"")</f>
        <v/>
      </c>
      <c r="N1704" s="152">
        <f>IF(B1704="","",IF('02_대상물건입력'!B5="",1,IF(ISNUMBER(SEARCH('02_대상물건입력'!B5,B1704)),1,0)))</f>
        <v/>
      </c>
      <c r="O1704" s="152">
        <f>IF(B1704="","",IF('02_대상물건입력'!B6="",1,IF(ISNUMBER(SEARCH('02_대상물건입력'!B6,B1704)),1,0)))</f>
        <v/>
      </c>
      <c r="P1704" s="152">
        <f>IF(L1704="","",IF('02_대상물건입력'!B15="",0,IF(ISNUMBER(SEARCH('02_대상물건입력'!B15,L1704)),1,0)))</f>
        <v/>
      </c>
      <c r="Q1704" s="152">
        <f>IF(OR(C1704="",L1704=""),0,IF(AND(TRIM(C1704)=TRIM(RIGHT(SUBSTITUTE(TRIM('02_대상물건입력'!$B$7)," ",REPT(" ",99)),99)),IF('02_대상물건입력'!B15="",TRUE(),ISNUMBER(SEARCH('02_대상물건입력'!B15,L1704)))),1,0))</f>
        <v/>
      </c>
      <c r="R1704" s="175">
        <f>IFERROR(ABS(E1704-'02_대상물건입력'!B11)/'02_대상물건입력'!B11,"")</f>
        <v/>
      </c>
      <c r="S1704" s="152">
        <f>IFERROR(ABS(J1704-'02_대상물건입력'!B10),"")</f>
        <v/>
      </c>
      <c r="T1704" s="152">
        <f>IFERROR(ABS('01_설정'!B4-F1704),"")</f>
        <v/>
      </c>
      <c r="U1704" s="152">
        <f>IFERROR(ABS(K1704-YEAR('02_대상물건입력'!B14)),"")</f>
        <v/>
      </c>
      <c r="V1704" s="152">
        <f>IF(B1704="","",IF(AND(E1704&gt;0,F1704&gt;0,H1704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1704=1,TRUE()),R1704&lt;='01_설정'!B5,S1704&lt;='01_설정'!B6,T1704&lt;='01_설정'!B7,U1704&lt;='01_설정'!B8),"Y",""))</f>
        <v/>
      </c>
      <c r="W1704" s="172">
        <f>IF(V1704&lt;&gt;"Y","",MAX(0,(1-R1704/'01_설정'!B5))*'01_설정'!B14+MAX(0,(1-S1704/'01_설정'!B6))*'01_설정'!B15+MAX(0,(1-T1704/'01_설정'!B7))*'01_설정'!B16+MAX(0,(1-U1704/'01_설정'!B8))*'01_설정'!B17+O1704*'01_설정'!B11+Q1704*'01_설정'!B12+P1704*'01_설정'!B13+IF(Z1704="",0,Z1704))</f>
        <v/>
      </c>
      <c r="X1704" s="152">
        <f>IF(W1704="","",1+COUNTIFS($W$4:$W$3003,"&gt;"&amp;W1704)+COUNTIFS($W$4:W1704,W1704)-1)</f>
        <v/>
      </c>
      <c r="Y1704" s="175">
        <f>IF(OR(I1704="",'02_대상물건입력'!B19="",'02_대상물건입력'!B19&lt;=0),"",ABS(I1704-'02_대상물건입력'!B19)/'02_대상물건입력'!B19)</f>
        <v/>
      </c>
      <c r="Z1704" s="172">
        <f>IF(OR(Y1704="",'01_설정'!B31="",'01_설정'!B31&lt;=0,'01_설정'!B32="",'01_설정'!B32&lt;=0),"",MAX(0,(1-Y1704/'01_설정'!B32))*'01_설정'!B31)</f>
        <v/>
      </c>
    </row>
    <row r="1705" ht="17.25" customHeight="1">
      <c r="A1705" s="152">
        <f>IF(INDEX('04A_국토부원자료'!$A:$A,ROW()+1)="","",ROW()-3)</f>
        <v/>
      </c>
      <c r="B1705" s="48">
        <f>IFERROR(INDEX('04A_국토부원자료'!$A:$T,ROW()+1,MATCH("시군구",'04A_국토부원자료'!$A$4:$T$4,0)),"")</f>
        <v/>
      </c>
      <c r="C1705" s="48">
        <f>IF(B1705="","",IFERROR(INDEX('04A_국토부원자료'!$A:$T,ROW()+1,MATCH("번지",'04A_국토부원자료'!$A$4:$T$4,0)),""))</f>
        <v/>
      </c>
      <c r="D1705" s="48">
        <f>IF(B1705="","",IF(Q1705=1,'02_대상물건입력'!$B$8,IFERROR(INDEX('04A_국토부원자료'!$A:$T,ROW()+1,MATCH("단지명",'04A_국토부원자료'!$A$4:$T$4,0)),"")))</f>
        <v/>
      </c>
      <c r="E1705" s="172">
        <f>IFERROR(VALUE(SUBSTITUTE(INDEX('04A_국토부원자료'!$A:$T,ROW()+1,MATCH("전용면적(㎡)",'04A_국토부원자료'!$A$4:$T$4,0)),",","")),"")</f>
        <v/>
      </c>
      <c r="F17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05" s="51">
        <f>IFERROR(VALUE(SUBSTITUTE(INDEX('04A_국토부원자료'!$A:$T,ROW()+1,MATCH("거래금액(만원)",'04A_국토부원자료'!$A$4:$T$4,0)),",","")),"")</f>
        <v/>
      </c>
      <c r="H1705" s="174">
        <f>IF(G1705="","",G1705*10000)</f>
        <v/>
      </c>
      <c r="I1705" s="174">
        <f>IFERROR(IF(AND(H1705&gt;0,E1705&gt;0),H1705/E1705,""),"")</f>
        <v/>
      </c>
      <c r="J1705" s="152">
        <f>IFERROR(VALUE(SUBSTITUTE(INDEX('04A_국토부원자료'!$A:$T,ROW()+1,MATCH("층",'04A_국토부원자료'!$A$4:$T$4,0)),",","")),"")</f>
        <v/>
      </c>
      <c r="K1705" s="152">
        <f>IFERROR(VALUE(SUBSTITUTE(INDEX('04A_국토부원자료'!$A:$T,ROW()+1,MATCH("건축년도",'04A_국토부원자료'!$A$4:$T$4,0)),",","")),"")</f>
        <v/>
      </c>
      <c r="L1705" s="176">
        <f>IFERROR(INDEX('04A_국토부원자료'!$A:$T,ROW()+1,MATCH("도로명",'04A_국토부원자료'!$A$4:$T$4,0)),"")</f>
        <v/>
      </c>
      <c r="M1705" s="48">
        <f>IFERROR(INDEX('04A_국토부원자료'!$A:$T,ROW()+1,MATCH("거래유형",'04A_국토부원자료'!$A$4:$T$4,0)),"")</f>
        <v/>
      </c>
      <c r="N1705" s="152">
        <f>IF(B1705="","",IF('02_대상물건입력'!B5="",1,IF(ISNUMBER(SEARCH('02_대상물건입력'!B5,B1705)),1,0)))</f>
        <v/>
      </c>
      <c r="O1705" s="152">
        <f>IF(B1705="","",IF('02_대상물건입력'!B6="",1,IF(ISNUMBER(SEARCH('02_대상물건입력'!B6,B1705)),1,0)))</f>
        <v/>
      </c>
      <c r="P1705" s="152">
        <f>IF(L1705="","",IF('02_대상물건입력'!B15="",0,IF(ISNUMBER(SEARCH('02_대상물건입력'!B15,L1705)),1,0)))</f>
        <v/>
      </c>
      <c r="Q1705" s="152">
        <f>IF(OR(C1705="",L1705=""),0,IF(AND(TRIM(C1705)=TRIM(RIGHT(SUBSTITUTE(TRIM('02_대상물건입력'!$B$7)," ",REPT(" ",99)),99)),IF('02_대상물건입력'!B15="",TRUE(),ISNUMBER(SEARCH('02_대상물건입력'!B15,L1705)))),1,0))</f>
        <v/>
      </c>
      <c r="R1705" s="175">
        <f>IFERROR(ABS(E1705-'02_대상물건입력'!B11)/'02_대상물건입력'!B11,"")</f>
        <v/>
      </c>
      <c r="S1705" s="152">
        <f>IFERROR(ABS(J1705-'02_대상물건입력'!B10),"")</f>
        <v/>
      </c>
      <c r="T1705" s="152">
        <f>IFERROR(ABS('01_설정'!B4-F1705),"")</f>
        <v/>
      </c>
      <c r="U1705" s="152">
        <f>IFERROR(ABS(K1705-YEAR('02_대상물건입력'!B14)),"")</f>
        <v/>
      </c>
      <c r="V1705" s="152">
        <f>IF(B1705="","",IF(AND(E1705&gt;0,F1705&gt;0,H1705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1705=1,TRUE()),R1705&lt;='01_설정'!B5,S1705&lt;='01_설정'!B6,T1705&lt;='01_설정'!B7,U1705&lt;='01_설정'!B8),"Y",""))</f>
        <v/>
      </c>
      <c r="W1705" s="172">
        <f>IF(V1705&lt;&gt;"Y","",MAX(0,(1-R1705/'01_설정'!B5))*'01_설정'!B14+MAX(0,(1-S1705/'01_설정'!B6))*'01_설정'!B15+MAX(0,(1-T1705/'01_설정'!B7))*'01_설정'!B16+MAX(0,(1-U1705/'01_설정'!B8))*'01_설정'!B17+O1705*'01_설정'!B11+Q1705*'01_설정'!B12+P1705*'01_설정'!B13+IF(Z1705="",0,Z1705))</f>
        <v/>
      </c>
      <c r="X1705" s="152">
        <f>IF(W1705="","",1+COUNTIFS($W$4:$W$3003,"&gt;"&amp;W1705)+COUNTIFS($W$4:W1705,W1705)-1)</f>
        <v/>
      </c>
      <c r="Y1705" s="175">
        <f>IF(OR(I1705="",'02_대상물건입력'!B19="",'02_대상물건입력'!B19&lt;=0),"",ABS(I1705-'02_대상물건입력'!B19)/'02_대상물건입력'!B19)</f>
        <v/>
      </c>
      <c r="Z1705" s="172">
        <f>IF(OR(Y1705="",'01_설정'!B31="",'01_설정'!B31&lt;=0,'01_설정'!B32="",'01_설정'!B32&lt;=0),"",MAX(0,(1-Y1705/'01_설정'!B32))*'01_설정'!B31)</f>
        <v/>
      </c>
    </row>
    <row r="1706" ht="17.25" customHeight="1">
      <c r="A1706" s="152">
        <f>IF(INDEX('04A_국토부원자료'!$A:$A,ROW()+1)="","",ROW()-3)</f>
        <v/>
      </c>
      <c r="B1706" s="48">
        <f>IFERROR(INDEX('04A_국토부원자료'!$A:$T,ROW()+1,MATCH("시군구",'04A_국토부원자료'!$A$4:$T$4,0)),"")</f>
        <v/>
      </c>
      <c r="C1706" s="48">
        <f>IF(B1706="","",IFERROR(INDEX('04A_국토부원자료'!$A:$T,ROW()+1,MATCH("번지",'04A_국토부원자료'!$A$4:$T$4,0)),""))</f>
        <v/>
      </c>
      <c r="D1706" s="48">
        <f>IF(B1706="","",IF(Q1706=1,'02_대상물건입력'!$B$8,IFERROR(INDEX('04A_국토부원자료'!$A:$T,ROW()+1,MATCH("단지명",'04A_국토부원자료'!$A$4:$T$4,0)),"")))</f>
        <v/>
      </c>
      <c r="E1706" s="172">
        <f>IFERROR(VALUE(SUBSTITUTE(INDEX('04A_국토부원자료'!$A:$T,ROW()+1,MATCH("전용면적(㎡)",'04A_국토부원자료'!$A$4:$T$4,0)),",","")),"")</f>
        <v/>
      </c>
      <c r="F17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06" s="51">
        <f>IFERROR(VALUE(SUBSTITUTE(INDEX('04A_국토부원자료'!$A:$T,ROW()+1,MATCH("거래금액(만원)",'04A_국토부원자료'!$A$4:$T$4,0)),",","")),"")</f>
        <v/>
      </c>
      <c r="H1706" s="174">
        <f>IF(G1706="","",G1706*10000)</f>
        <v/>
      </c>
      <c r="I1706" s="174">
        <f>IFERROR(IF(AND(H1706&gt;0,E1706&gt;0),H1706/E1706,""),"")</f>
        <v/>
      </c>
      <c r="J1706" s="152">
        <f>IFERROR(VALUE(SUBSTITUTE(INDEX('04A_국토부원자료'!$A:$T,ROW()+1,MATCH("층",'04A_국토부원자료'!$A$4:$T$4,0)),",","")),"")</f>
        <v/>
      </c>
      <c r="K1706" s="152">
        <f>IFERROR(VALUE(SUBSTITUTE(INDEX('04A_국토부원자료'!$A:$T,ROW()+1,MATCH("건축년도",'04A_국토부원자료'!$A$4:$T$4,0)),",","")),"")</f>
        <v/>
      </c>
      <c r="L1706" s="176">
        <f>IFERROR(INDEX('04A_국토부원자료'!$A:$T,ROW()+1,MATCH("도로명",'04A_국토부원자료'!$A$4:$T$4,0)),"")</f>
        <v/>
      </c>
      <c r="M1706" s="48">
        <f>IFERROR(INDEX('04A_국토부원자료'!$A:$T,ROW()+1,MATCH("거래유형",'04A_국토부원자료'!$A$4:$T$4,0)),"")</f>
        <v/>
      </c>
      <c r="N1706" s="152">
        <f>IF(B1706="","",IF('02_대상물건입력'!B5="",1,IF(ISNUMBER(SEARCH('02_대상물건입력'!B5,B1706)),1,0)))</f>
        <v/>
      </c>
      <c r="O1706" s="152">
        <f>IF(B1706="","",IF('02_대상물건입력'!B6="",1,IF(ISNUMBER(SEARCH('02_대상물건입력'!B6,B1706)),1,0)))</f>
        <v/>
      </c>
      <c r="P1706" s="152">
        <f>IF(L1706="","",IF('02_대상물건입력'!B15="",0,IF(ISNUMBER(SEARCH('02_대상물건입력'!B15,L1706)),1,0)))</f>
        <v/>
      </c>
      <c r="Q1706" s="152">
        <f>IF(OR(C1706="",L1706=""),0,IF(AND(TRIM(C1706)=TRIM(RIGHT(SUBSTITUTE(TRIM('02_대상물건입력'!$B$7)," ",REPT(" ",99)),99)),IF('02_대상물건입력'!B15="",TRUE(),ISNUMBER(SEARCH('02_대상물건입력'!B15,L1706)))),1,0))</f>
        <v/>
      </c>
      <c r="R1706" s="175">
        <f>IFERROR(ABS(E1706-'02_대상물건입력'!B11)/'02_대상물건입력'!B11,"")</f>
        <v/>
      </c>
      <c r="S1706" s="152">
        <f>IFERROR(ABS(J1706-'02_대상물건입력'!B10),"")</f>
        <v/>
      </c>
      <c r="T1706" s="152">
        <f>IFERROR(ABS('01_설정'!B4-F1706),"")</f>
        <v/>
      </c>
      <c r="U1706" s="152">
        <f>IFERROR(ABS(K1706-YEAR('02_대상물건입력'!B14)),"")</f>
        <v/>
      </c>
      <c r="V1706" s="152">
        <f>IF(B1706="","",IF(AND(E1706&gt;0,F1706&gt;0,H1706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1706=1,TRUE()),R1706&lt;='01_설정'!B5,S1706&lt;='01_설정'!B6,T1706&lt;='01_설정'!B7,U1706&lt;='01_설정'!B8),"Y",""))</f>
        <v/>
      </c>
      <c r="W1706" s="172">
        <f>IF(V1706&lt;&gt;"Y","",MAX(0,(1-R1706/'01_설정'!B5))*'01_설정'!B14+MAX(0,(1-S1706/'01_설정'!B6))*'01_설정'!B15+MAX(0,(1-T1706/'01_설정'!B7))*'01_설정'!B16+MAX(0,(1-U1706/'01_설정'!B8))*'01_설정'!B17+O1706*'01_설정'!B11+Q1706*'01_설정'!B12+P1706*'01_설정'!B13+IF(Z1706="",0,Z1706))</f>
        <v/>
      </c>
      <c r="X1706" s="152">
        <f>IF(W1706="","",1+COUNTIFS($W$4:$W$3003,"&gt;"&amp;W1706)+COUNTIFS($W$4:W1706,W1706)-1)</f>
        <v/>
      </c>
      <c r="Y1706" s="175">
        <f>IF(OR(I1706="",'02_대상물건입력'!B19="",'02_대상물건입력'!B19&lt;=0),"",ABS(I1706-'02_대상물건입력'!B19)/'02_대상물건입력'!B19)</f>
        <v/>
      </c>
      <c r="Z1706" s="172">
        <f>IF(OR(Y1706="",'01_설정'!B31="",'01_설정'!B31&lt;=0,'01_설정'!B32="",'01_설정'!B32&lt;=0),"",MAX(0,(1-Y1706/'01_설정'!B32))*'01_설정'!B31)</f>
        <v/>
      </c>
    </row>
    <row r="1707" ht="17.25" customHeight="1">
      <c r="A1707" s="152">
        <f>IF(INDEX('04A_국토부원자료'!$A:$A,ROW()+1)="","",ROW()-3)</f>
        <v/>
      </c>
      <c r="B1707" s="48">
        <f>IFERROR(INDEX('04A_국토부원자료'!$A:$T,ROW()+1,MATCH("시군구",'04A_국토부원자료'!$A$4:$T$4,0)),"")</f>
        <v/>
      </c>
      <c r="C1707" s="48">
        <f>IF(B1707="","",IFERROR(INDEX('04A_국토부원자료'!$A:$T,ROW()+1,MATCH("번지",'04A_국토부원자료'!$A$4:$T$4,0)),""))</f>
        <v/>
      </c>
      <c r="D1707" s="48">
        <f>IF(B1707="","",IF(Q1707=1,'02_대상물건입력'!$B$8,IFERROR(INDEX('04A_국토부원자료'!$A:$T,ROW()+1,MATCH("단지명",'04A_국토부원자료'!$A$4:$T$4,0)),"")))</f>
        <v/>
      </c>
      <c r="E1707" s="172">
        <f>IFERROR(VALUE(SUBSTITUTE(INDEX('04A_국토부원자료'!$A:$T,ROW()+1,MATCH("전용면적(㎡)",'04A_국토부원자료'!$A$4:$T$4,0)),",","")),"")</f>
        <v/>
      </c>
      <c r="F17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07" s="51">
        <f>IFERROR(VALUE(SUBSTITUTE(INDEX('04A_국토부원자료'!$A:$T,ROW()+1,MATCH("거래금액(만원)",'04A_국토부원자료'!$A$4:$T$4,0)),",","")),"")</f>
        <v/>
      </c>
      <c r="H1707" s="174">
        <f>IF(G1707="","",G1707*10000)</f>
        <v/>
      </c>
      <c r="I1707" s="174">
        <f>IFERROR(IF(AND(H1707&gt;0,E1707&gt;0),H1707/E1707,""),"")</f>
        <v/>
      </c>
      <c r="J1707" s="152">
        <f>IFERROR(VALUE(SUBSTITUTE(INDEX('04A_국토부원자료'!$A:$T,ROW()+1,MATCH("층",'04A_국토부원자료'!$A$4:$T$4,0)),",","")),"")</f>
        <v/>
      </c>
      <c r="K1707" s="152">
        <f>IFERROR(VALUE(SUBSTITUTE(INDEX('04A_국토부원자료'!$A:$T,ROW()+1,MATCH("건축년도",'04A_국토부원자료'!$A$4:$T$4,0)),",","")),"")</f>
        <v/>
      </c>
      <c r="L1707" s="176">
        <f>IFERROR(INDEX('04A_국토부원자료'!$A:$T,ROW()+1,MATCH("도로명",'04A_국토부원자료'!$A$4:$T$4,0)),"")</f>
        <v/>
      </c>
      <c r="M1707" s="48">
        <f>IFERROR(INDEX('04A_국토부원자료'!$A:$T,ROW()+1,MATCH("거래유형",'04A_국토부원자료'!$A$4:$T$4,0)),"")</f>
        <v/>
      </c>
      <c r="N1707" s="152">
        <f>IF(B1707="","",IF('02_대상물건입력'!B5="",1,IF(ISNUMBER(SEARCH('02_대상물건입력'!B5,B1707)),1,0)))</f>
        <v/>
      </c>
      <c r="O1707" s="152">
        <f>IF(B1707="","",IF('02_대상물건입력'!B6="",1,IF(ISNUMBER(SEARCH('02_대상물건입력'!B6,B1707)),1,0)))</f>
        <v/>
      </c>
      <c r="P1707" s="152">
        <f>IF(L1707="","",IF('02_대상물건입력'!B15="",0,IF(ISNUMBER(SEARCH('02_대상물건입력'!B15,L1707)),1,0)))</f>
        <v/>
      </c>
      <c r="Q1707" s="152">
        <f>IF(OR(C1707="",L1707=""),0,IF(AND(TRIM(C1707)=TRIM(RIGHT(SUBSTITUTE(TRIM('02_대상물건입력'!$B$7)," ",REPT(" ",99)),99)),IF('02_대상물건입력'!B15="",TRUE(),ISNUMBER(SEARCH('02_대상물건입력'!B15,L1707)))),1,0))</f>
        <v/>
      </c>
      <c r="R1707" s="175">
        <f>IFERROR(ABS(E1707-'02_대상물건입력'!B11)/'02_대상물건입력'!B11,"")</f>
        <v/>
      </c>
      <c r="S1707" s="152">
        <f>IFERROR(ABS(J1707-'02_대상물건입력'!B10),"")</f>
        <v/>
      </c>
      <c r="T1707" s="152">
        <f>IFERROR(ABS('01_설정'!B4-F1707),"")</f>
        <v/>
      </c>
      <c r="U1707" s="152">
        <f>IFERROR(ABS(K1707-YEAR('02_대상물건입력'!B14)),"")</f>
        <v/>
      </c>
      <c r="V1707" s="152">
        <f>IF(B1707="","",IF(AND(E1707&gt;0,F1707&gt;0,H1707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1707=1,TRUE()),R1707&lt;='01_설정'!B5,S1707&lt;='01_설정'!B6,T1707&lt;='01_설정'!B7,U1707&lt;='01_설정'!B8),"Y",""))</f>
        <v/>
      </c>
      <c r="W1707" s="172">
        <f>IF(V1707&lt;&gt;"Y","",MAX(0,(1-R1707/'01_설정'!B5))*'01_설정'!B14+MAX(0,(1-S1707/'01_설정'!B6))*'01_설정'!B15+MAX(0,(1-T1707/'01_설정'!B7))*'01_설정'!B16+MAX(0,(1-U1707/'01_설정'!B8))*'01_설정'!B17+O1707*'01_설정'!B11+Q1707*'01_설정'!B12+P1707*'01_설정'!B13+IF(Z1707="",0,Z1707))</f>
        <v/>
      </c>
      <c r="X1707" s="152">
        <f>IF(W1707="","",1+COUNTIFS($W$4:$W$3003,"&gt;"&amp;W1707)+COUNTIFS($W$4:W1707,W1707)-1)</f>
        <v/>
      </c>
      <c r="Y1707" s="175">
        <f>IF(OR(I1707="",'02_대상물건입력'!B19="",'02_대상물건입력'!B19&lt;=0),"",ABS(I1707-'02_대상물건입력'!B19)/'02_대상물건입력'!B19)</f>
        <v/>
      </c>
      <c r="Z1707" s="172">
        <f>IF(OR(Y1707="",'01_설정'!B31="",'01_설정'!B31&lt;=0,'01_설정'!B32="",'01_설정'!B32&lt;=0),"",MAX(0,(1-Y1707/'01_설정'!B32))*'01_설정'!B31)</f>
        <v/>
      </c>
    </row>
    <row r="1708" ht="17.25" customHeight="1">
      <c r="A1708" s="152">
        <f>IF(INDEX('04A_국토부원자료'!$A:$A,ROW()+1)="","",ROW()-3)</f>
        <v/>
      </c>
      <c r="B1708" s="48">
        <f>IFERROR(INDEX('04A_국토부원자료'!$A:$T,ROW()+1,MATCH("시군구",'04A_국토부원자료'!$A$4:$T$4,0)),"")</f>
        <v/>
      </c>
      <c r="C1708" s="48">
        <f>IF(B1708="","",IFERROR(INDEX('04A_국토부원자료'!$A:$T,ROW()+1,MATCH("번지",'04A_국토부원자료'!$A$4:$T$4,0)),""))</f>
        <v/>
      </c>
      <c r="D1708" s="48">
        <f>IF(B1708="","",IF(Q1708=1,'02_대상물건입력'!$B$8,IFERROR(INDEX('04A_국토부원자료'!$A:$T,ROW()+1,MATCH("단지명",'04A_국토부원자료'!$A$4:$T$4,0)),"")))</f>
        <v/>
      </c>
      <c r="E1708" s="172">
        <f>IFERROR(VALUE(SUBSTITUTE(INDEX('04A_국토부원자료'!$A:$T,ROW()+1,MATCH("전용면적(㎡)",'04A_국토부원자료'!$A$4:$T$4,0)),",","")),"")</f>
        <v/>
      </c>
      <c r="F17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08" s="51">
        <f>IFERROR(VALUE(SUBSTITUTE(INDEX('04A_국토부원자료'!$A:$T,ROW()+1,MATCH("거래금액(만원)",'04A_국토부원자료'!$A$4:$T$4,0)),",","")),"")</f>
        <v/>
      </c>
      <c r="H1708" s="174">
        <f>IF(G1708="","",G1708*10000)</f>
        <v/>
      </c>
      <c r="I1708" s="174">
        <f>IFERROR(IF(AND(H1708&gt;0,E1708&gt;0),H1708/E1708,""),"")</f>
        <v/>
      </c>
      <c r="J1708" s="152">
        <f>IFERROR(VALUE(SUBSTITUTE(INDEX('04A_국토부원자료'!$A:$T,ROW()+1,MATCH("층",'04A_국토부원자료'!$A$4:$T$4,0)),",","")),"")</f>
        <v/>
      </c>
      <c r="K1708" s="152">
        <f>IFERROR(VALUE(SUBSTITUTE(INDEX('04A_국토부원자료'!$A:$T,ROW()+1,MATCH("건축년도",'04A_국토부원자료'!$A$4:$T$4,0)),",","")),"")</f>
        <v/>
      </c>
      <c r="L1708" s="176">
        <f>IFERROR(INDEX('04A_국토부원자료'!$A:$T,ROW()+1,MATCH("도로명",'04A_국토부원자료'!$A$4:$T$4,0)),"")</f>
        <v/>
      </c>
      <c r="M1708" s="48">
        <f>IFERROR(INDEX('04A_국토부원자료'!$A:$T,ROW()+1,MATCH("거래유형",'04A_국토부원자료'!$A$4:$T$4,0)),"")</f>
        <v/>
      </c>
      <c r="N1708" s="152">
        <f>IF(B1708="","",IF('02_대상물건입력'!B5="",1,IF(ISNUMBER(SEARCH('02_대상물건입력'!B5,B1708)),1,0)))</f>
        <v/>
      </c>
      <c r="O1708" s="152">
        <f>IF(B1708="","",IF('02_대상물건입력'!B6="",1,IF(ISNUMBER(SEARCH('02_대상물건입력'!B6,B1708)),1,0)))</f>
        <v/>
      </c>
      <c r="P1708" s="152">
        <f>IF(L1708="","",IF('02_대상물건입력'!B15="",0,IF(ISNUMBER(SEARCH('02_대상물건입력'!B15,L1708)),1,0)))</f>
        <v/>
      </c>
      <c r="Q1708" s="152">
        <f>IF(OR(C1708="",L1708=""),0,IF(AND(TRIM(C1708)=TRIM(RIGHT(SUBSTITUTE(TRIM('02_대상물건입력'!$B$7)," ",REPT(" ",99)),99)),IF('02_대상물건입력'!B15="",TRUE(),ISNUMBER(SEARCH('02_대상물건입력'!B15,L1708)))),1,0))</f>
        <v/>
      </c>
      <c r="R1708" s="175">
        <f>IFERROR(ABS(E1708-'02_대상물건입력'!B11)/'02_대상물건입력'!B11,"")</f>
        <v/>
      </c>
      <c r="S1708" s="152">
        <f>IFERROR(ABS(J1708-'02_대상물건입력'!B10),"")</f>
        <v/>
      </c>
      <c r="T1708" s="152">
        <f>IFERROR(ABS('01_설정'!B4-F1708),"")</f>
        <v/>
      </c>
      <c r="U1708" s="152">
        <f>IFERROR(ABS(K1708-YEAR('02_대상물건입력'!B14)),"")</f>
        <v/>
      </c>
      <c r="V1708" s="152">
        <f>IF(B1708="","",IF(AND(E1708&gt;0,F1708&gt;0,H1708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1708=1,TRUE()),R1708&lt;='01_설정'!B5,S1708&lt;='01_설정'!B6,T1708&lt;='01_설정'!B7,U1708&lt;='01_설정'!B8),"Y",""))</f>
        <v/>
      </c>
      <c r="W1708" s="172">
        <f>IF(V1708&lt;&gt;"Y","",MAX(0,(1-R1708/'01_설정'!B5))*'01_설정'!B14+MAX(0,(1-S1708/'01_설정'!B6))*'01_설정'!B15+MAX(0,(1-T1708/'01_설정'!B7))*'01_설정'!B16+MAX(0,(1-U1708/'01_설정'!B8))*'01_설정'!B17+O1708*'01_설정'!B11+Q1708*'01_설정'!B12+P1708*'01_설정'!B13+IF(Z1708="",0,Z1708))</f>
        <v/>
      </c>
      <c r="X1708" s="152">
        <f>IF(W1708="","",1+COUNTIFS($W$4:$W$3003,"&gt;"&amp;W1708)+COUNTIFS($W$4:W1708,W1708)-1)</f>
        <v/>
      </c>
      <c r="Y1708" s="175">
        <f>IF(OR(I1708="",'02_대상물건입력'!B19="",'02_대상물건입력'!B19&lt;=0),"",ABS(I1708-'02_대상물건입력'!B19)/'02_대상물건입력'!B19)</f>
        <v/>
      </c>
      <c r="Z1708" s="172">
        <f>IF(OR(Y1708="",'01_설정'!B31="",'01_설정'!B31&lt;=0,'01_설정'!B32="",'01_설정'!B32&lt;=0),"",MAX(0,(1-Y1708/'01_설정'!B32))*'01_설정'!B31)</f>
        <v/>
      </c>
    </row>
    <row r="1709" ht="17.25" customHeight="1">
      <c r="A1709" s="152">
        <f>IF(INDEX('04A_국토부원자료'!$A:$A,ROW()+1)="","",ROW()-3)</f>
        <v/>
      </c>
      <c r="B1709" s="48">
        <f>IFERROR(INDEX('04A_국토부원자료'!$A:$T,ROW()+1,MATCH("시군구",'04A_국토부원자료'!$A$4:$T$4,0)),"")</f>
        <v/>
      </c>
      <c r="C1709" s="48">
        <f>IF(B1709="","",IFERROR(INDEX('04A_국토부원자료'!$A:$T,ROW()+1,MATCH("번지",'04A_국토부원자료'!$A$4:$T$4,0)),""))</f>
        <v/>
      </c>
      <c r="D1709" s="48">
        <f>IF(B1709="","",IF(Q1709=1,'02_대상물건입력'!$B$8,IFERROR(INDEX('04A_국토부원자료'!$A:$T,ROW()+1,MATCH("단지명",'04A_국토부원자료'!$A$4:$T$4,0)),"")))</f>
        <v/>
      </c>
      <c r="E1709" s="172">
        <f>IFERROR(VALUE(SUBSTITUTE(INDEX('04A_국토부원자료'!$A:$T,ROW()+1,MATCH("전용면적(㎡)",'04A_국토부원자료'!$A$4:$T$4,0)),",","")),"")</f>
        <v/>
      </c>
      <c r="F17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09" s="51">
        <f>IFERROR(VALUE(SUBSTITUTE(INDEX('04A_국토부원자료'!$A:$T,ROW()+1,MATCH("거래금액(만원)",'04A_국토부원자료'!$A$4:$T$4,0)),",","")),"")</f>
        <v/>
      </c>
      <c r="H1709" s="174">
        <f>IF(G1709="","",G1709*10000)</f>
        <v/>
      </c>
      <c r="I1709" s="174">
        <f>IFERROR(IF(AND(H1709&gt;0,E1709&gt;0),H1709/E1709,""),"")</f>
        <v/>
      </c>
      <c r="J1709" s="152">
        <f>IFERROR(VALUE(SUBSTITUTE(INDEX('04A_국토부원자료'!$A:$T,ROW()+1,MATCH("층",'04A_국토부원자료'!$A$4:$T$4,0)),",","")),"")</f>
        <v/>
      </c>
      <c r="K1709" s="152">
        <f>IFERROR(VALUE(SUBSTITUTE(INDEX('04A_국토부원자료'!$A:$T,ROW()+1,MATCH("건축년도",'04A_국토부원자료'!$A$4:$T$4,0)),",","")),"")</f>
        <v/>
      </c>
      <c r="L1709" s="176">
        <f>IFERROR(INDEX('04A_국토부원자료'!$A:$T,ROW()+1,MATCH("도로명",'04A_국토부원자료'!$A$4:$T$4,0)),"")</f>
        <v/>
      </c>
      <c r="M1709" s="48">
        <f>IFERROR(INDEX('04A_국토부원자료'!$A:$T,ROW()+1,MATCH("거래유형",'04A_국토부원자료'!$A$4:$T$4,0)),"")</f>
        <v/>
      </c>
      <c r="N1709" s="152">
        <f>IF(B1709="","",IF('02_대상물건입력'!B5="",1,IF(ISNUMBER(SEARCH('02_대상물건입력'!B5,B1709)),1,0)))</f>
        <v/>
      </c>
      <c r="O1709" s="152">
        <f>IF(B1709="","",IF('02_대상물건입력'!B6="",1,IF(ISNUMBER(SEARCH('02_대상물건입력'!B6,B1709)),1,0)))</f>
        <v/>
      </c>
      <c r="P1709" s="152">
        <f>IF(L1709="","",IF('02_대상물건입력'!B15="",0,IF(ISNUMBER(SEARCH('02_대상물건입력'!B15,L1709)),1,0)))</f>
        <v/>
      </c>
      <c r="Q1709" s="152">
        <f>IF(OR(C1709="",L1709=""),0,IF(AND(TRIM(C1709)=TRIM(RIGHT(SUBSTITUTE(TRIM('02_대상물건입력'!$B$7)," ",REPT(" ",99)),99)),IF('02_대상물건입력'!B15="",TRUE(),ISNUMBER(SEARCH('02_대상물건입력'!B15,L1709)))),1,0))</f>
        <v/>
      </c>
      <c r="R1709" s="175">
        <f>IFERROR(ABS(E1709-'02_대상물건입력'!B11)/'02_대상물건입력'!B11,"")</f>
        <v/>
      </c>
      <c r="S1709" s="152">
        <f>IFERROR(ABS(J1709-'02_대상물건입력'!B10),"")</f>
        <v/>
      </c>
      <c r="T1709" s="152">
        <f>IFERROR(ABS('01_설정'!B4-F1709),"")</f>
        <v/>
      </c>
      <c r="U1709" s="152">
        <f>IFERROR(ABS(K1709-YEAR('02_대상물건입력'!B14)),"")</f>
        <v/>
      </c>
      <c r="V1709" s="152">
        <f>IF(B1709="","",IF(AND(E1709&gt;0,F1709&gt;0,H1709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1709=1,TRUE()),R1709&lt;='01_설정'!B5,S1709&lt;='01_설정'!B6,T1709&lt;='01_설정'!B7,U1709&lt;='01_설정'!B8),"Y",""))</f>
        <v/>
      </c>
      <c r="W1709" s="172">
        <f>IF(V1709&lt;&gt;"Y","",MAX(0,(1-R1709/'01_설정'!B5))*'01_설정'!B14+MAX(0,(1-S1709/'01_설정'!B6))*'01_설정'!B15+MAX(0,(1-T1709/'01_설정'!B7))*'01_설정'!B16+MAX(0,(1-U1709/'01_설정'!B8))*'01_설정'!B17+O1709*'01_설정'!B11+Q1709*'01_설정'!B12+P1709*'01_설정'!B13+IF(Z1709="",0,Z1709))</f>
        <v/>
      </c>
      <c r="X1709" s="152">
        <f>IF(W1709="","",1+COUNTIFS($W$4:$W$3003,"&gt;"&amp;W1709)+COUNTIFS($W$4:W1709,W1709)-1)</f>
        <v/>
      </c>
      <c r="Y1709" s="175">
        <f>IF(OR(I1709="",'02_대상물건입력'!B19="",'02_대상물건입력'!B19&lt;=0),"",ABS(I1709-'02_대상물건입력'!B19)/'02_대상물건입력'!B19)</f>
        <v/>
      </c>
      <c r="Z1709" s="172">
        <f>IF(OR(Y1709="",'01_설정'!B31="",'01_설정'!B31&lt;=0,'01_설정'!B32="",'01_설정'!B32&lt;=0),"",MAX(0,(1-Y1709/'01_설정'!B32))*'01_설정'!B31)</f>
        <v/>
      </c>
    </row>
    <row r="1710" ht="17.25" customHeight="1">
      <c r="A1710" s="152">
        <f>IF(INDEX('04A_국토부원자료'!$A:$A,ROW()+1)="","",ROW()-3)</f>
        <v/>
      </c>
      <c r="B1710" s="48">
        <f>IFERROR(INDEX('04A_국토부원자료'!$A:$T,ROW()+1,MATCH("시군구",'04A_국토부원자료'!$A$4:$T$4,0)),"")</f>
        <v/>
      </c>
      <c r="C1710" s="48">
        <f>IF(B1710="","",IFERROR(INDEX('04A_국토부원자료'!$A:$T,ROW()+1,MATCH("번지",'04A_국토부원자료'!$A$4:$T$4,0)),""))</f>
        <v/>
      </c>
      <c r="D1710" s="48">
        <f>IF(B1710="","",IF(Q1710=1,'02_대상물건입력'!$B$8,IFERROR(INDEX('04A_국토부원자료'!$A:$T,ROW()+1,MATCH("단지명",'04A_국토부원자료'!$A$4:$T$4,0)),"")))</f>
        <v/>
      </c>
      <c r="E1710" s="172">
        <f>IFERROR(VALUE(SUBSTITUTE(INDEX('04A_국토부원자료'!$A:$T,ROW()+1,MATCH("전용면적(㎡)",'04A_국토부원자료'!$A$4:$T$4,0)),",","")),"")</f>
        <v/>
      </c>
      <c r="F17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10" s="51">
        <f>IFERROR(VALUE(SUBSTITUTE(INDEX('04A_국토부원자료'!$A:$T,ROW()+1,MATCH("거래금액(만원)",'04A_국토부원자료'!$A$4:$T$4,0)),",","")),"")</f>
        <v/>
      </c>
      <c r="H1710" s="174">
        <f>IF(G1710="","",G1710*10000)</f>
        <v/>
      </c>
      <c r="I1710" s="174">
        <f>IFERROR(IF(AND(H1710&gt;0,E1710&gt;0),H1710/E1710,""),"")</f>
        <v/>
      </c>
      <c r="J1710" s="152">
        <f>IFERROR(VALUE(SUBSTITUTE(INDEX('04A_국토부원자료'!$A:$T,ROW()+1,MATCH("층",'04A_국토부원자료'!$A$4:$T$4,0)),",","")),"")</f>
        <v/>
      </c>
      <c r="K1710" s="152">
        <f>IFERROR(VALUE(SUBSTITUTE(INDEX('04A_국토부원자료'!$A:$T,ROW()+1,MATCH("건축년도",'04A_국토부원자료'!$A$4:$T$4,0)),",","")),"")</f>
        <v/>
      </c>
      <c r="L1710" s="176">
        <f>IFERROR(INDEX('04A_국토부원자료'!$A:$T,ROW()+1,MATCH("도로명",'04A_국토부원자료'!$A$4:$T$4,0)),"")</f>
        <v/>
      </c>
      <c r="M1710" s="48">
        <f>IFERROR(INDEX('04A_국토부원자료'!$A:$T,ROW()+1,MATCH("거래유형",'04A_국토부원자료'!$A$4:$T$4,0)),"")</f>
        <v/>
      </c>
      <c r="N1710" s="152">
        <f>IF(B1710="","",IF('02_대상물건입력'!B5="",1,IF(ISNUMBER(SEARCH('02_대상물건입력'!B5,B1710)),1,0)))</f>
        <v/>
      </c>
      <c r="O1710" s="152">
        <f>IF(B1710="","",IF('02_대상물건입력'!B6="",1,IF(ISNUMBER(SEARCH('02_대상물건입력'!B6,B1710)),1,0)))</f>
        <v/>
      </c>
      <c r="P1710" s="152">
        <f>IF(L1710="","",IF('02_대상물건입력'!B15="",0,IF(ISNUMBER(SEARCH('02_대상물건입력'!B15,L1710)),1,0)))</f>
        <v/>
      </c>
      <c r="Q1710" s="152">
        <f>IF(OR(C1710="",L1710=""),0,IF(AND(TRIM(C1710)=TRIM(RIGHT(SUBSTITUTE(TRIM('02_대상물건입력'!$B$7)," ",REPT(" ",99)),99)),IF('02_대상물건입력'!B15="",TRUE(),ISNUMBER(SEARCH('02_대상물건입력'!B15,L1710)))),1,0))</f>
        <v/>
      </c>
      <c r="R1710" s="175">
        <f>IFERROR(ABS(E1710-'02_대상물건입력'!B11)/'02_대상물건입력'!B11,"")</f>
        <v/>
      </c>
      <c r="S1710" s="152">
        <f>IFERROR(ABS(J1710-'02_대상물건입력'!B10),"")</f>
        <v/>
      </c>
      <c r="T1710" s="152">
        <f>IFERROR(ABS('01_설정'!B4-F1710),"")</f>
        <v/>
      </c>
      <c r="U1710" s="152">
        <f>IFERROR(ABS(K1710-YEAR('02_대상물건입력'!B14)),"")</f>
        <v/>
      </c>
      <c r="V1710" s="152">
        <f>IF(B1710="","",IF(AND(E1710&gt;0,F1710&gt;0,H1710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1710=1,TRUE()),R1710&lt;='01_설정'!B5,S1710&lt;='01_설정'!B6,T1710&lt;='01_설정'!B7,U1710&lt;='01_설정'!B8),"Y",""))</f>
        <v/>
      </c>
      <c r="W1710" s="172">
        <f>IF(V1710&lt;&gt;"Y","",MAX(0,(1-R1710/'01_설정'!B5))*'01_설정'!B14+MAX(0,(1-S1710/'01_설정'!B6))*'01_설정'!B15+MAX(0,(1-T1710/'01_설정'!B7))*'01_설정'!B16+MAX(0,(1-U1710/'01_설정'!B8))*'01_설정'!B17+O1710*'01_설정'!B11+Q1710*'01_설정'!B12+P1710*'01_설정'!B13+IF(Z1710="",0,Z1710))</f>
        <v/>
      </c>
      <c r="X1710" s="152">
        <f>IF(W1710="","",1+COUNTIFS($W$4:$W$3003,"&gt;"&amp;W1710)+COUNTIFS($W$4:W1710,W1710)-1)</f>
        <v/>
      </c>
      <c r="Y1710" s="175">
        <f>IF(OR(I1710="",'02_대상물건입력'!B19="",'02_대상물건입력'!B19&lt;=0),"",ABS(I1710-'02_대상물건입력'!B19)/'02_대상물건입력'!B19)</f>
        <v/>
      </c>
      <c r="Z1710" s="172">
        <f>IF(OR(Y1710="",'01_설정'!B31="",'01_설정'!B31&lt;=0,'01_설정'!B32="",'01_설정'!B32&lt;=0),"",MAX(0,(1-Y1710/'01_설정'!B32))*'01_설정'!B31)</f>
        <v/>
      </c>
    </row>
    <row r="1711" ht="17.25" customHeight="1">
      <c r="A1711" s="152">
        <f>IF(INDEX('04A_국토부원자료'!$A:$A,ROW()+1)="","",ROW()-3)</f>
        <v/>
      </c>
      <c r="B1711" s="48">
        <f>IFERROR(INDEX('04A_국토부원자료'!$A:$T,ROW()+1,MATCH("시군구",'04A_국토부원자료'!$A$4:$T$4,0)),"")</f>
        <v/>
      </c>
      <c r="C1711" s="48">
        <f>IF(B1711="","",IFERROR(INDEX('04A_국토부원자료'!$A:$T,ROW()+1,MATCH("번지",'04A_국토부원자료'!$A$4:$T$4,0)),""))</f>
        <v/>
      </c>
      <c r="D1711" s="48">
        <f>IF(B1711="","",IF(Q1711=1,'02_대상물건입력'!$B$8,IFERROR(INDEX('04A_국토부원자료'!$A:$T,ROW()+1,MATCH("단지명",'04A_국토부원자료'!$A$4:$T$4,0)),"")))</f>
        <v/>
      </c>
      <c r="E1711" s="172">
        <f>IFERROR(VALUE(SUBSTITUTE(INDEX('04A_국토부원자료'!$A:$T,ROW()+1,MATCH("전용면적(㎡)",'04A_국토부원자료'!$A$4:$T$4,0)),",","")),"")</f>
        <v/>
      </c>
      <c r="F17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11" s="51">
        <f>IFERROR(VALUE(SUBSTITUTE(INDEX('04A_국토부원자료'!$A:$T,ROW()+1,MATCH("거래금액(만원)",'04A_국토부원자료'!$A$4:$T$4,0)),",","")),"")</f>
        <v/>
      </c>
      <c r="H1711" s="174">
        <f>IF(G1711="","",G1711*10000)</f>
        <v/>
      </c>
      <c r="I1711" s="174">
        <f>IFERROR(IF(AND(H1711&gt;0,E1711&gt;0),H1711/E1711,""),"")</f>
        <v/>
      </c>
      <c r="J1711" s="152">
        <f>IFERROR(VALUE(SUBSTITUTE(INDEX('04A_국토부원자료'!$A:$T,ROW()+1,MATCH("층",'04A_국토부원자료'!$A$4:$T$4,0)),",","")),"")</f>
        <v/>
      </c>
      <c r="K1711" s="152">
        <f>IFERROR(VALUE(SUBSTITUTE(INDEX('04A_국토부원자료'!$A:$T,ROW()+1,MATCH("건축년도",'04A_국토부원자료'!$A$4:$T$4,0)),",","")),"")</f>
        <v/>
      </c>
      <c r="L1711" s="176">
        <f>IFERROR(INDEX('04A_국토부원자료'!$A:$T,ROW()+1,MATCH("도로명",'04A_국토부원자료'!$A$4:$T$4,0)),"")</f>
        <v/>
      </c>
      <c r="M1711" s="48">
        <f>IFERROR(INDEX('04A_국토부원자료'!$A:$T,ROW()+1,MATCH("거래유형",'04A_국토부원자료'!$A$4:$T$4,0)),"")</f>
        <v/>
      </c>
      <c r="N1711" s="152">
        <f>IF(B1711="","",IF('02_대상물건입력'!B5="",1,IF(ISNUMBER(SEARCH('02_대상물건입력'!B5,B1711)),1,0)))</f>
        <v/>
      </c>
      <c r="O1711" s="152">
        <f>IF(B1711="","",IF('02_대상물건입력'!B6="",1,IF(ISNUMBER(SEARCH('02_대상물건입력'!B6,B1711)),1,0)))</f>
        <v/>
      </c>
      <c r="P1711" s="152">
        <f>IF(L1711="","",IF('02_대상물건입력'!B15="",0,IF(ISNUMBER(SEARCH('02_대상물건입력'!B15,L1711)),1,0)))</f>
        <v/>
      </c>
      <c r="Q1711" s="152">
        <f>IF(OR(C1711="",L1711=""),0,IF(AND(TRIM(C1711)=TRIM(RIGHT(SUBSTITUTE(TRIM('02_대상물건입력'!$B$7)," ",REPT(" ",99)),99)),IF('02_대상물건입력'!B15="",TRUE(),ISNUMBER(SEARCH('02_대상물건입력'!B15,L1711)))),1,0))</f>
        <v/>
      </c>
      <c r="R1711" s="175">
        <f>IFERROR(ABS(E1711-'02_대상물건입력'!B11)/'02_대상물건입력'!B11,"")</f>
        <v/>
      </c>
      <c r="S1711" s="152">
        <f>IFERROR(ABS(J1711-'02_대상물건입력'!B10),"")</f>
        <v/>
      </c>
      <c r="T1711" s="152">
        <f>IFERROR(ABS('01_설정'!B4-F1711),"")</f>
        <v/>
      </c>
      <c r="U1711" s="152">
        <f>IFERROR(ABS(K1711-YEAR('02_대상물건입력'!B14)),"")</f>
        <v/>
      </c>
      <c r="V1711" s="152">
        <f>IF(B1711="","",IF(AND(E1711&gt;0,F1711&gt;0,H1711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1711=1,TRUE()),R1711&lt;='01_설정'!B5,S1711&lt;='01_설정'!B6,T1711&lt;='01_설정'!B7,U1711&lt;='01_설정'!B8),"Y",""))</f>
        <v/>
      </c>
      <c r="W1711" s="172">
        <f>IF(V1711&lt;&gt;"Y","",MAX(0,(1-R1711/'01_설정'!B5))*'01_설정'!B14+MAX(0,(1-S1711/'01_설정'!B6))*'01_설정'!B15+MAX(0,(1-T1711/'01_설정'!B7))*'01_설정'!B16+MAX(0,(1-U1711/'01_설정'!B8))*'01_설정'!B17+O1711*'01_설정'!B11+Q1711*'01_설정'!B12+P1711*'01_설정'!B13+IF(Z1711="",0,Z1711))</f>
        <v/>
      </c>
      <c r="X1711" s="152">
        <f>IF(W1711="","",1+COUNTIFS($W$4:$W$3003,"&gt;"&amp;W1711)+COUNTIFS($W$4:W1711,W1711)-1)</f>
        <v/>
      </c>
      <c r="Y1711" s="175">
        <f>IF(OR(I1711="",'02_대상물건입력'!B19="",'02_대상물건입력'!B19&lt;=0),"",ABS(I1711-'02_대상물건입력'!B19)/'02_대상물건입력'!B19)</f>
        <v/>
      </c>
      <c r="Z1711" s="172">
        <f>IF(OR(Y1711="",'01_설정'!B31="",'01_설정'!B31&lt;=0,'01_설정'!B32="",'01_설정'!B32&lt;=0),"",MAX(0,(1-Y1711/'01_설정'!B32))*'01_설정'!B31)</f>
        <v/>
      </c>
    </row>
    <row r="1712" ht="17.25" customHeight="1">
      <c r="A1712" s="152">
        <f>IF(INDEX('04A_국토부원자료'!$A:$A,ROW()+1)="","",ROW()-3)</f>
        <v/>
      </c>
      <c r="B1712" s="48">
        <f>IFERROR(INDEX('04A_국토부원자료'!$A:$T,ROW()+1,MATCH("시군구",'04A_국토부원자료'!$A$4:$T$4,0)),"")</f>
        <v/>
      </c>
      <c r="C1712" s="48">
        <f>IF(B1712="","",IFERROR(INDEX('04A_국토부원자료'!$A:$T,ROW()+1,MATCH("번지",'04A_국토부원자료'!$A$4:$T$4,0)),""))</f>
        <v/>
      </c>
      <c r="D1712" s="48">
        <f>IF(B1712="","",IF(Q1712=1,'02_대상물건입력'!$B$8,IFERROR(INDEX('04A_국토부원자료'!$A:$T,ROW()+1,MATCH("단지명",'04A_국토부원자료'!$A$4:$T$4,0)),"")))</f>
        <v/>
      </c>
      <c r="E1712" s="172">
        <f>IFERROR(VALUE(SUBSTITUTE(INDEX('04A_국토부원자료'!$A:$T,ROW()+1,MATCH("전용면적(㎡)",'04A_국토부원자료'!$A$4:$T$4,0)),",","")),"")</f>
        <v/>
      </c>
      <c r="F17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12" s="51">
        <f>IFERROR(VALUE(SUBSTITUTE(INDEX('04A_국토부원자료'!$A:$T,ROW()+1,MATCH("거래금액(만원)",'04A_국토부원자료'!$A$4:$T$4,0)),",","")),"")</f>
        <v/>
      </c>
      <c r="H1712" s="174">
        <f>IF(G1712="","",G1712*10000)</f>
        <v/>
      </c>
      <c r="I1712" s="174">
        <f>IFERROR(IF(AND(H1712&gt;0,E1712&gt;0),H1712/E1712,""),"")</f>
        <v/>
      </c>
      <c r="J1712" s="152">
        <f>IFERROR(VALUE(SUBSTITUTE(INDEX('04A_국토부원자료'!$A:$T,ROW()+1,MATCH("층",'04A_국토부원자료'!$A$4:$T$4,0)),",","")),"")</f>
        <v/>
      </c>
      <c r="K1712" s="152">
        <f>IFERROR(VALUE(SUBSTITUTE(INDEX('04A_국토부원자료'!$A:$T,ROW()+1,MATCH("건축년도",'04A_국토부원자료'!$A$4:$T$4,0)),",","")),"")</f>
        <v/>
      </c>
      <c r="L1712" s="176">
        <f>IFERROR(INDEX('04A_국토부원자료'!$A:$T,ROW()+1,MATCH("도로명",'04A_국토부원자료'!$A$4:$T$4,0)),"")</f>
        <v/>
      </c>
      <c r="M1712" s="48">
        <f>IFERROR(INDEX('04A_국토부원자료'!$A:$T,ROW()+1,MATCH("거래유형",'04A_국토부원자료'!$A$4:$T$4,0)),"")</f>
        <v/>
      </c>
      <c r="N1712" s="152">
        <f>IF(B1712="","",IF('02_대상물건입력'!B5="",1,IF(ISNUMBER(SEARCH('02_대상물건입력'!B5,B1712)),1,0)))</f>
        <v/>
      </c>
      <c r="O1712" s="152">
        <f>IF(B1712="","",IF('02_대상물건입력'!B6="",1,IF(ISNUMBER(SEARCH('02_대상물건입력'!B6,B1712)),1,0)))</f>
        <v/>
      </c>
      <c r="P1712" s="152">
        <f>IF(L1712="","",IF('02_대상물건입력'!B15="",0,IF(ISNUMBER(SEARCH('02_대상물건입력'!B15,L1712)),1,0)))</f>
        <v/>
      </c>
      <c r="Q1712" s="152">
        <f>IF(OR(C1712="",L1712=""),0,IF(AND(TRIM(C1712)=TRIM(RIGHT(SUBSTITUTE(TRIM('02_대상물건입력'!$B$7)," ",REPT(" ",99)),99)),IF('02_대상물건입력'!B15="",TRUE(),ISNUMBER(SEARCH('02_대상물건입력'!B15,L1712)))),1,0))</f>
        <v/>
      </c>
      <c r="R1712" s="175">
        <f>IFERROR(ABS(E1712-'02_대상물건입력'!B11)/'02_대상물건입력'!B11,"")</f>
        <v/>
      </c>
      <c r="S1712" s="152">
        <f>IFERROR(ABS(J1712-'02_대상물건입력'!B10),"")</f>
        <v/>
      </c>
      <c r="T1712" s="152">
        <f>IFERROR(ABS('01_설정'!B4-F1712),"")</f>
        <v/>
      </c>
      <c r="U1712" s="152">
        <f>IFERROR(ABS(K1712-YEAR('02_대상물건입력'!B14)),"")</f>
        <v/>
      </c>
      <c r="V1712" s="152">
        <f>IF(B1712="","",IF(AND(E1712&gt;0,F1712&gt;0,H1712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1712=1,TRUE()),R1712&lt;='01_설정'!B5,S1712&lt;='01_설정'!B6,T1712&lt;='01_설정'!B7,U1712&lt;='01_설정'!B8),"Y",""))</f>
        <v/>
      </c>
      <c r="W1712" s="172">
        <f>IF(V1712&lt;&gt;"Y","",MAX(0,(1-R1712/'01_설정'!B5))*'01_설정'!B14+MAX(0,(1-S1712/'01_설정'!B6))*'01_설정'!B15+MAX(0,(1-T1712/'01_설정'!B7))*'01_설정'!B16+MAX(0,(1-U1712/'01_설정'!B8))*'01_설정'!B17+O1712*'01_설정'!B11+Q1712*'01_설정'!B12+P1712*'01_설정'!B13+IF(Z1712="",0,Z1712))</f>
        <v/>
      </c>
      <c r="X1712" s="152">
        <f>IF(W1712="","",1+COUNTIFS($W$4:$W$3003,"&gt;"&amp;W1712)+COUNTIFS($W$4:W1712,W1712)-1)</f>
        <v/>
      </c>
      <c r="Y1712" s="175">
        <f>IF(OR(I1712="",'02_대상물건입력'!B19="",'02_대상물건입력'!B19&lt;=0),"",ABS(I1712-'02_대상물건입력'!B19)/'02_대상물건입력'!B19)</f>
        <v/>
      </c>
      <c r="Z1712" s="172">
        <f>IF(OR(Y1712="",'01_설정'!B31="",'01_설정'!B31&lt;=0,'01_설정'!B32="",'01_설정'!B32&lt;=0),"",MAX(0,(1-Y1712/'01_설정'!B32))*'01_설정'!B31)</f>
        <v/>
      </c>
    </row>
    <row r="1713" ht="17.25" customHeight="1">
      <c r="A1713" s="152">
        <f>IF(INDEX('04A_국토부원자료'!$A:$A,ROW()+1)="","",ROW()-3)</f>
        <v/>
      </c>
      <c r="B1713" s="48">
        <f>IFERROR(INDEX('04A_국토부원자료'!$A:$T,ROW()+1,MATCH("시군구",'04A_국토부원자료'!$A$4:$T$4,0)),"")</f>
        <v/>
      </c>
      <c r="C1713" s="48">
        <f>IF(B1713="","",IFERROR(INDEX('04A_국토부원자료'!$A:$T,ROW()+1,MATCH("번지",'04A_국토부원자료'!$A$4:$T$4,0)),""))</f>
        <v/>
      </c>
      <c r="D1713" s="48">
        <f>IF(B1713="","",IF(Q1713=1,'02_대상물건입력'!$B$8,IFERROR(INDEX('04A_국토부원자료'!$A:$T,ROW()+1,MATCH("단지명",'04A_국토부원자료'!$A$4:$T$4,0)),"")))</f>
        <v/>
      </c>
      <c r="E1713" s="172">
        <f>IFERROR(VALUE(SUBSTITUTE(INDEX('04A_국토부원자료'!$A:$T,ROW()+1,MATCH("전용면적(㎡)",'04A_국토부원자료'!$A$4:$T$4,0)),",","")),"")</f>
        <v/>
      </c>
      <c r="F17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13" s="51">
        <f>IFERROR(VALUE(SUBSTITUTE(INDEX('04A_국토부원자료'!$A:$T,ROW()+1,MATCH("거래금액(만원)",'04A_국토부원자료'!$A$4:$T$4,0)),",","")),"")</f>
        <v/>
      </c>
      <c r="H1713" s="174">
        <f>IF(G1713="","",G1713*10000)</f>
        <v/>
      </c>
      <c r="I1713" s="174">
        <f>IFERROR(IF(AND(H1713&gt;0,E1713&gt;0),H1713/E1713,""),"")</f>
        <v/>
      </c>
      <c r="J1713" s="152">
        <f>IFERROR(VALUE(SUBSTITUTE(INDEX('04A_국토부원자료'!$A:$T,ROW()+1,MATCH("층",'04A_국토부원자료'!$A$4:$T$4,0)),",","")),"")</f>
        <v/>
      </c>
      <c r="K1713" s="152">
        <f>IFERROR(VALUE(SUBSTITUTE(INDEX('04A_국토부원자료'!$A:$T,ROW()+1,MATCH("건축년도",'04A_국토부원자료'!$A$4:$T$4,0)),",","")),"")</f>
        <v/>
      </c>
      <c r="L1713" s="176">
        <f>IFERROR(INDEX('04A_국토부원자료'!$A:$T,ROW()+1,MATCH("도로명",'04A_국토부원자료'!$A$4:$T$4,0)),"")</f>
        <v/>
      </c>
      <c r="M1713" s="48">
        <f>IFERROR(INDEX('04A_국토부원자료'!$A:$T,ROW()+1,MATCH("거래유형",'04A_국토부원자료'!$A$4:$T$4,0)),"")</f>
        <v/>
      </c>
      <c r="N1713" s="152">
        <f>IF(B1713="","",IF('02_대상물건입력'!B5="",1,IF(ISNUMBER(SEARCH('02_대상물건입력'!B5,B1713)),1,0)))</f>
        <v/>
      </c>
      <c r="O1713" s="152">
        <f>IF(B1713="","",IF('02_대상물건입력'!B6="",1,IF(ISNUMBER(SEARCH('02_대상물건입력'!B6,B1713)),1,0)))</f>
        <v/>
      </c>
      <c r="P1713" s="152">
        <f>IF(L1713="","",IF('02_대상물건입력'!B15="",0,IF(ISNUMBER(SEARCH('02_대상물건입력'!B15,L1713)),1,0)))</f>
        <v/>
      </c>
      <c r="Q1713" s="152">
        <f>IF(OR(C1713="",L1713=""),0,IF(AND(TRIM(C1713)=TRIM(RIGHT(SUBSTITUTE(TRIM('02_대상물건입력'!$B$7)," ",REPT(" ",99)),99)),IF('02_대상물건입력'!B15="",TRUE(),ISNUMBER(SEARCH('02_대상물건입력'!B15,L1713)))),1,0))</f>
        <v/>
      </c>
      <c r="R1713" s="175">
        <f>IFERROR(ABS(E1713-'02_대상물건입력'!B11)/'02_대상물건입력'!B11,"")</f>
        <v/>
      </c>
      <c r="S1713" s="152">
        <f>IFERROR(ABS(J1713-'02_대상물건입력'!B10),"")</f>
        <v/>
      </c>
      <c r="T1713" s="152">
        <f>IFERROR(ABS('01_설정'!B4-F1713),"")</f>
        <v/>
      </c>
      <c r="U1713" s="152">
        <f>IFERROR(ABS(K1713-YEAR('02_대상물건입력'!B14)),"")</f>
        <v/>
      </c>
      <c r="V1713" s="152">
        <f>IF(B1713="","",IF(AND(E1713&gt;0,F1713&gt;0,H1713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1713=1,TRUE()),R1713&lt;='01_설정'!B5,S1713&lt;='01_설정'!B6,T1713&lt;='01_설정'!B7,U1713&lt;='01_설정'!B8),"Y",""))</f>
        <v/>
      </c>
      <c r="W1713" s="172">
        <f>IF(V1713&lt;&gt;"Y","",MAX(0,(1-R1713/'01_설정'!B5))*'01_설정'!B14+MAX(0,(1-S1713/'01_설정'!B6))*'01_설정'!B15+MAX(0,(1-T1713/'01_설정'!B7))*'01_설정'!B16+MAX(0,(1-U1713/'01_설정'!B8))*'01_설정'!B17+O1713*'01_설정'!B11+Q1713*'01_설정'!B12+P1713*'01_설정'!B13+IF(Z1713="",0,Z1713))</f>
        <v/>
      </c>
      <c r="X1713" s="152">
        <f>IF(W1713="","",1+COUNTIFS($W$4:$W$3003,"&gt;"&amp;W1713)+COUNTIFS($W$4:W1713,W1713)-1)</f>
        <v/>
      </c>
      <c r="Y1713" s="175">
        <f>IF(OR(I1713="",'02_대상물건입력'!B19="",'02_대상물건입력'!B19&lt;=0),"",ABS(I1713-'02_대상물건입력'!B19)/'02_대상물건입력'!B19)</f>
        <v/>
      </c>
      <c r="Z1713" s="172">
        <f>IF(OR(Y1713="",'01_설정'!B31="",'01_설정'!B31&lt;=0,'01_설정'!B32="",'01_설정'!B32&lt;=0),"",MAX(0,(1-Y1713/'01_설정'!B32))*'01_설정'!B31)</f>
        <v/>
      </c>
    </row>
    <row r="1714" ht="17.25" customHeight="1">
      <c r="A1714" s="152">
        <f>IF(INDEX('04A_국토부원자료'!$A:$A,ROW()+1)="","",ROW()-3)</f>
        <v/>
      </c>
      <c r="B1714" s="48">
        <f>IFERROR(INDEX('04A_국토부원자료'!$A:$T,ROW()+1,MATCH("시군구",'04A_국토부원자료'!$A$4:$T$4,0)),"")</f>
        <v/>
      </c>
      <c r="C1714" s="48">
        <f>IF(B1714="","",IFERROR(INDEX('04A_국토부원자료'!$A:$T,ROW()+1,MATCH("번지",'04A_국토부원자료'!$A$4:$T$4,0)),""))</f>
        <v/>
      </c>
      <c r="D1714" s="48">
        <f>IF(B1714="","",IF(Q1714=1,'02_대상물건입력'!$B$8,IFERROR(INDEX('04A_국토부원자료'!$A:$T,ROW()+1,MATCH("단지명",'04A_국토부원자료'!$A$4:$T$4,0)),"")))</f>
        <v/>
      </c>
      <c r="E1714" s="172">
        <f>IFERROR(VALUE(SUBSTITUTE(INDEX('04A_국토부원자료'!$A:$T,ROW()+1,MATCH("전용면적(㎡)",'04A_국토부원자료'!$A$4:$T$4,0)),",","")),"")</f>
        <v/>
      </c>
      <c r="F17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14" s="51">
        <f>IFERROR(VALUE(SUBSTITUTE(INDEX('04A_국토부원자료'!$A:$T,ROW()+1,MATCH("거래금액(만원)",'04A_국토부원자료'!$A$4:$T$4,0)),",","")),"")</f>
        <v/>
      </c>
      <c r="H1714" s="174">
        <f>IF(G1714="","",G1714*10000)</f>
        <v/>
      </c>
      <c r="I1714" s="174">
        <f>IFERROR(IF(AND(H1714&gt;0,E1714&gt;0),H1714/E1714,""),"")</f>
        <v/>
      </c>
      <c r="J1714" s="152">
        <f>IFERROR(VALUE(SUBSTITUTE(INDEX('04A_국토부원자료'!$A:$T,ROW()+1,MATCH("층",'04A_국토부원자료'!$A$4:$T$4,0)),",","")),"")</f>
        <v/>
      </c>
      <c r="K1714" s="152">
        <f>IFERROR(VALUE(SUBSTITUTE(INDEX('04A_국토부원자료'!$A:$T,ROW()+1,MATCH("건축년도",'04A_국토부원자료'!$A$4:$T$4,0)),",","")),"")</f>
        <v/>
      </c>
      <c r="L1714" s="176">
        <f>IFERROR(INDEX('04A_국토부원자료'!$A:$T,ROW()+1,MATCH("도로명",'04A_국토부원자료'!$A$4:$T$4,0)),"")</f>
        <v/>
      </c>
      <c r="M1714" s="48">
        <f>IFERROR(INDEX('04A_국토부원자료'!$A:$T,ROW()+1,MATCH("거래유형",'04A_국토부원자료'!$A$4:$T$4,0)),"")</f>
        <v/>
      </c>
      <c r="N1714" s="152">
        <f>IF(B1714="","",IF('02_대상물건입력'!B5="",1,IF(ISNUMBER(SEARCH('02_대상물건입력'!B5,B1714)),1,0)))</f>
        <v/>
      </c>
      <c r="O1714" s="152">
        <f>IF(B1714="","",IF('02_대상물건입력'!B6="",1,IF(ISNUMBER(SEARCH('02_대상물건입력'!B6,B1714)),1,0)))</f>
        <v/>
      </c>
      <c r="P1714" s="152">
        <f>IF(L1714="","",IF('02_대상물건입력'!B15="",0,IF(ISNUMBER(SEARCH('02_대상물건입력'!B15,L1714)),1,0)))</f>
        <v/>
      </c>
      <c r="Q1714" s="152">
        <f>IF(OR(C1714="",L1714=""),0,IF(AND(TRIM(C1714)=TRIM(RIGHT(SUBSTITUTE(TRIM('02_대상물건입력'!$B$7)," ",REPT(" ",99)),99)),IF('02_대상물건입력'!B15="",TRUE(),ISNUMBER(SEARCH('02_대상물건입력'!B15,L1714)))),1,0))</f>
        <v/>
      </c>
      <c r="R1714" s="175">
        <f>IFERROR(ABS(E1714-'02_대상물건입력'!B11)/'02_대상물건입력'!B11,"")</f>
        <v/>
      </c>
      <c r="S1714" s="152">
        <f>IFERROR(ABS(J1714-'02_대상물건입력'!B10),"")</f>
        <v/>
      </c>
      <c r="T1714" s="152">
        <f>IFERROR(ABS('01_설정'!B4-F1714),"")</f>
        <v/>
      </c>
      <c r="U1714" s="152">
        <f>IFERROR(ABS(K1714-YEAR('02_대상물건입력'!B14)),"")</f>
        <v/>
      </c>
      <c r="V1714" s="152">
        <f>IF(B1714="","",IF(AND(E1714&gt;0,F1714&gt;0,H1714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1714=1,TRUE()),R1714&lt;='01_설정'!B5,S1714&lt;='01_설정'!B6,T1714&lt;='01_설정'!B7,U1714&lt;='01_설정'!B8),"Y",""))</f>
        <v/>
      </c>
      <c r="W1714" s="172">
        <f>IF(V1714&lt;&gt;"Y","",MAX(0,(1-R1714/'01_설정'!B5))*'01_설정'!B14+MAX(0,(1-S1714/'01_설정'!B6))*'01_설정'!B15+MAX(0,(1-T1714/'01_설정'!B7))*'01_설정'!B16+MAX(0,(1-U1714/'01_설정'!B8))*'01_설정'!B17+O1714*'01_설정'!B11+Q1714*'01_설정'!B12+P1714*'01_설정'!B13+IF(Z1714="",0,Z1714))</f>
        <v/>
      </c>
      <c r="X1714" s="152">
        <f>IF(W1714="","",1+COUNTIFS($W$4:$W$3003,"&gt;"&amp;W1714)+COUNTIFS($W$4:W1714,W1714)-1)</f>
        <v/>
      </c>
      <c r="Y1714" s="175">
        <f>IF(OR(I1714="",'02_대상물건입력'!B19="",'02_대상물건입력'!B19&lt;=0),"",ABS(I1714-'02_대상물건입력'!B19)/'02_대상물건입력'!B19)</f>
        <v/>
      </c>
      <c r="Z1714" s="172">
        <f>IF(OR(Y1714="",'01_설정'!B31="",'01_설정'!B31&lt;=0,'01_설정'!B32="",'01_설정'!B32&lt;=0),"",MAX(0,(1-Y1714/'01_설정'!B32))*'01_설정'!B31)</f>
        <v/>
      </c>
    </row>
    <row r="1715" ht="17.25" customHeight="1">
      <c r="A1715" s="152">
        <f>IF(INDEX('04A_국토부원자료'!$A:$A,ROW()+1)="","",ROW()-3)</f>
        <v/>
      </c>
      <c r="B1715" s="48">
        <f>IFERROR(INDEX('04A_국토부원자료'!$A:$T,ROW()+1,MATCH("시군구",'04A_국토부원자료'!$A$4:$T$4,0)),"")</f>
        <v/>
      </c>
      <c r="C1715" s="48">
        <f>IF(B1715="","",IFERROR(INDEX('04A_국토부원자료'!$A:$T,ROW()+1,MATCH("번지",'04A_국토부원자료'!$A$4:$T$4,0)),""))</f>
        <v/>
      </c>
      <c r="D1715" s="48">
        <f>IF(B1715="","",IF(Q1715=1,'02_대상물건입력'!$B$8,IFERROR(INDEX('04A_국토부원자료'!$A:$T,ROW()+1,MATCH("단지명",'04A_국토부원자료'!$A$4:$T$4,0)),"")))</f>
        <v/>
      </c>
      <c r="E1715" s="172">
        <f>IFERROR(VALUE(SUBSTITUTE(INDEX('04A_국토부원자료'!$A:$T,ROW()+1,MATCH("전용면적(㎡)",'04A_국토부원자료'!$A$4:$T$4,0)),",","")),"")</f>
        <v/>
      </c>
      <c r="F17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15" s="51">
        <f>IFERROR(VALUE(SUBSTITUTE(INDEX('04A_국토부원자료'!$A:$T,ROW()+1,MATCH("거래금액(만원)",'04A_국토부원자료'!$A$4:$T$4,0)),",","")),"")</f>
        <v/>
      </c>
      <c r="H1715" s="174">
        <f>IF(G1715="","",G1715*10000)</f>
        <v/>
      </c>
      <c r="I1715" s="174">
        <f>IFERROR(IF(AND(H1715&gt;0,E1715&gt;0),H1715/E1715,""),"")</f>
        <v/>
      </c>
      <c r="J1715" s="152">
        <f>IFERROR(VALUE(SUBSTITUTE(INDEX('04A_국토부원자료'!$A:$T,ROW()+1,MATCH("층",'04A_국토부원자료'!$A$4:$T$4,0)),",","")),"")</f>
        <v/>
      </c>
      <c r="K1715" s="152">
        <f>IFERROR(VALUE(SUBSTITUTE(INDEX('04A_국토부원자료'!$A:$T,ROW()+1,MATCH("건축년도",'04A_국토부원자료'!$A$4:$T$4,0)),",","")),"")</f>
        <v/>
      </c>
      <c r="L1715" s="176">
        <f>IFERROR(INDEX('04A_국토부원자료'!$A:$T,ROW()+1,MATCH("도로명",'04A_국토부원자료'!$A$4:$T$4,0)),"")</f>
        <v/>
      </c>
      <c r="M1715" s="48">
        <f>IFERROR(INDEX('04A_국토부원자료'!$A:$T,ROW()+1,MATCH("거래유형",'04A_국토부원자료'!$A$4:$T$4,0)),"")</f>
        <v/>
      </c>
      <c r="N1715" s="152">
        <f>IF(B1715="","",IF('02_대상물건입력'!B5="",1,IF(ISNUMBER(SEARCH('02_대상물건입력'!B5,B1715)),1,0)))</f>
        <v/>
      </c>
      <c r="O1715" s="152">
        <f>IF(B1715="","",IF('02_대상물건입력'!B6="",1,IF(ISNUMBER(SEARCH('02_대상물건입력'!B6,B1715)),1,0)))</f>
        <v/>
      </c>
      <c r="P1715" s="152">
        <f>IF(L1715="","",IF('02_대상물건입력'!B15="",0,IF(ISNUMBER(SEARCH('02_대상물건입력'!B15,L1715)),1,0)))</f>
        <v/>
      </c>
      <c r="Q1715" s="152">
        <f>IF(OR(C1715="",L1715=""),0,IF(AND(TRIM(C1715)=TRIM(RIGHT(SUBSTITUTE(TRIM('02_대상물건입력'!$B$7)," ",REPT(" ",99)),99)),IF('02_대상물건입력'!B15="",TRUE(),ISNUMBER(SEARCH('02_대상물건입력'!B15,L1715)))),1,0))</f>
        <v/>
      </c>
      <c r="R1715" s="175">
        <f>IFERROR(ABS(E1715-'02_대상물건입력'!B11)/'02_대상물건입력'!B11,"")</f>
        <v/>
      </c>
      <c r="S1715" s="152">
        <f>IFERROR(ABS(J1715-'02_대상물건입력'!B10),"")</f>
        <v/>
      </c>
      <c r="T1715" s="152">
        <f>IFERROR(ABS('01_설정'!B4-F1715),"")</f>
        <v/>
      </c>
      <c r="U1715" s="152">
        <f>IFERROR(ABS(K1715-YEAR('02_대상물건입력'!B14)),"")</f>
        <v/>
      </c>
      <c r="V1715" s="152">
        <f>IF(B1715="","",IF(AND(E1715&gt;0,F1715&gt;0,H1715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1715=1,TRUE()),R1715&lt;='01_설정'!B5,S1715&lt;='01_설정'!B6,T1715&lt;='01_설정'!B7,U1715&lt;='01_설정'!B8),"Y",""))</f>
        <v/>
      </c>
      <c r="W1715" s="172">
        <f>IF(V1715&lt;&gt;"Y","",MAX(0,(1-R1715/'01_설정'!B5))*'01_설정'!B14+MAX(0,(1-S1715/'01_설정'!B6))*'01_설정'!B15+MAX(0,(1-T1715/'01_설정'!B7))*'01_설정'!B16+MAX(0,(1-U1715/'01_설정'!B8))*'01_설정'!B17+O1715*'01_설정'!B11+Q1715*'01_설정'!B12+P1715*'01_설정'!B13+IF(Z1715="",0,Z1715))</f>
        <v/>
      </c>
      <c r="X1715" s="152">
        <f>IF(W1715="","",1+COUNTIFS($W$4:$W$3003,"&gt;"&amp;W1715)+COUNTIFS($W$4:W1715,W1715)-1)</f>
        <v/>
      </c>
      <c r="Y1715" s="175">
        <f>IF(OR(I1715="",'02_대상물건입력'!B19="",'02_대상물건입력'!B19&lt;=0),"",ABS(I1715-'02_대상물건입력'!B19)/'02_대상물건입력'!B19)</f>
        <v/>
      </c>
      <c r="Z1715" s="172">
        <f>IF(OR(Y1715="",'01_설정'!B31="",'01_설정'!B31&lt;=0,'01_설정'!B32="",'01_설정'!B32&lt;=0),"",MAX(0,(1-Y1715/'01_설정'!B32))*'01_설정'!B31)</f>
        <v/>
      </c>
    </row>
    <row r="1716" ht="17.25" customHeight="1">
      <c r="A1716" s="152">
        <f>IF(INDEX('04A_국토부원자료'!$A:$A,ROW()+1)="","",ROW()-3)</f>
        <v/>
      </c>
      <c r="B1716" s="48">
        <f>IFERROR(INDEX('04A_국토부원자료'!$A:$T,ROW()+1,MATCH("시군구",'04A_국토부원자료'!$A$4:$T$4,0)),"")</f>
        <v/>
      </c>
      <c r="C1716" s="48">
        <f>IF(B1716="","",IFERROR(INDEX('04A_국토부원자료'!$A:$T,ROW()+1,MATCH("번지",'04A_국토부원자료'!$A$4:$T$4,0)),""))</f>
        <v/>
      </c>
      <c r="D1716" s="48">
        <f>IF(B1716="","",IF(Q1716=1,'02_대상물건입력'!$B$8,IFERROR(INDEX('04A_국토부원자료'!$A:$T,ROW()+1,MATCH("단지명",'04A_국토부원자료'!$A$4:$T$4,0)),"")))</f>
        <v/>
      </c>
      <c r="E1716" s="172">
        <f>IFERROR(VALUE(SUBSTITUTE(INDEX('04A_국토부원자료'!$A:$T,ROW()+1,MATCH("전용면적(㎡)",'04A_국토부원자료'!$A$4:$T$4,0)),",","")),"")</f>
        <v/>
      </c>
      <c r="F17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16" s="51">
        <f>IFERROR(VALUE(SUBSTITUTE(INDEX('04A_국토부원자료'!$A:$T,ROW()+1,MATCH("거래금액(만원)",'04A_국토부원자료'!$A$4:$T$4,0)),",","")),"")</f>
        <v/>
      </c>
      <c r="H1716" s="174">
        <f>IF(G1716="","",G1716*10000)</f>
        <v/>
      </c>
      <c r="I1716" s="174">
        <f>IFERROR(IF(AND(H1716&gt;0,E1716&gt;0),H1716/E1716,""),"")</f>
        <v/>
      </c>
      <c r="J1716" s="152">
        <f>IFERROR(VALUE(SUBSTITUTE(INDEX('04A_국토부원자료'!$A:$T,ROW()+1,MATCH("층",'04A_국토부원자료'!$A$4:$T$4,0)),",","")),"")</f>
        <v/>
      </c>
      <c r="K1716" s="152">
        <f>IFERROR(VALUE(SUBSTITUTE(INDEX('04A_국토부원자료'!$A:$T,ROW()+1,MATCH("건축년도",'04A_국토부원자료'!$A$4:$T$4,0)),",","")),"")</f>
        <v/>
      </c>
      <c r="L1716" s="176">
        <f>IFERROR(INDEX('04A_국토부원자료'!$A:$T,ROW()+1,MATCH("도로명",'04A_국토부원자료'!$A$4:$T$4,0)),"")</f>
        <v/>
      </c>
      <c r="M1716" s="48">
        <f>IFERROR(INDEX('04A_국토부원자료'!$A:$T,ROW()+1,MATCH("거래유형",'04A_국토부원자료'!$A$4:$T$4,0)),"")</f>
        <v/>
      </c>
      <c r="N1716" s="152">
        <f>IF(B1716="","",IF('02_대상물건입력'!B5="",1,IF(ISNUMBER(SEARCH('02_대상물건입력'!B5,B1716)),1,0)))</f>
        <v/>
      </c>
      <c r="O1716" s="152">
        <f>IF(B1716="","",IF('02_대상물건입력'!B6="",1,IF(ISNUMBER(SEARCH('02_대상물건입력'!B6,B1716)),1,0)))</f>
        <v/>
      </c>
      <c r="P1716" s="152">
        <f>IF(L1716="","",IF('02_대상물건입력'!B15="",0,IF(ISNUMBER(SEARCH('02_대상물건입력'!B15,L1716)),1,0)))</f>
        <v/>
      </c>
      <c r="Q1716" s="152">
        <f>IF(OR(C1716="",L1716=""),0,IF(AND(TRIM(C1716)=TRIM(RIGHT(SUBSTITUTE(TRIM('02_대상물건입력'!$B$7)," ",REPT(" ",99)),99)),IF('02_대상물건입력'!B15="",TRUE(),ISNUMBER(SEARCH('02_대상물건입력'!B15,L1716)))),1,0))</f>
        <v/>
      </c>
      <c r="R1716" s="175">
        <f>IFERROR(ABS(E1716-'02_대상물건입력'!B11)/'02_대상물건입력'!B11,"")</f>
        <v/>
      </c>
      <c r="S1716" s="152">
        <f>IFERROR(ABS(J1716-'02_대상물건입력'!B10),"")</f>
        <v/>
      </c>
      <c r="T1716" s="152">
        <f>IFERROR(ABS('01_설정'!B4-F1716),"")</f>
        <v/>
      </c>
      <c r="U1716" s="152">
        <f>IFERROR(ABS(K1716-YEAR('02_대상물건입력'!B14)),"")</f>
        <v/>
      </c>
      <c r="V1716" s="152">
        <f>IF(B1716="","",IF(AND(E1716&gt;0,F1716&gt;0,H1716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1716=1,TRUE()),R1716&lt;='01_설정'!B5,S1716&lt;='01_설정'!B6,T1716&lt;='01_설정'!B7,U1716&lt;='01_설정'!B8),"Y",""))</f>
        <v/>
      </c>
      <c r="W1716" s="172">
        <f>IF(V1716&lt;&gt;"Y","",MAX(0,(1-R1716/'01_설정'!B5))*'01_설정'!B14+MAX(0,(1-S1716/'01_설정'!B6))*'01_설정'!B15+MAX(0,(1-T1716/'01_설정'!B7))*'01_설정'!B16+MAX(0,(1-U1716/'01_설정'!B8))*'01_설정'!B17+O1716*'01_설정'!B11+Q1716*'01_설정'!B12+P1716*'01_설정'!B13+IF(Z1716="",0,Z1716))</f>
        <v/>
      </c>
      <c r="X1716" s="152">
        <f>IF(W1716="","",1+COUNTIFS($W$4:$W$3003,"&gt;"&amp;W1716)+COUNTIFS($W$4:W1716,W1716)-1)</f>
        <v/>
      </c>
      <c r="Y1716" s="175">
        <f>IF(OR(I1716="",'02_대상물건입력'!B19="",'02_대상물건입력'!B19&lt;=0),"",ABS(I1716-'02_대상물건입력'!B19)/'02_대상물건입력'!B19)</f>
        <v/>
      </c>
      <c r="Z1716" s="172">
        <f>IF(OR(Y1716="",'01_설정'!B31="",'01_설정'!B31&lt;=0,'01_설정'!B32="",'01_설정'!B32&lt;=0),"",MAX(0,(1-Y1716/'01_설정'!B32))*'01_설정'!B31)</f>
        <v/>
      </c>
    </row>
    <row r="1717" ht="17.25" customHeight="1">
      <c r="A1717" s="152">
        <f>IF(INDEX('04A_국토부원자료'!$A:$A,ROW()+1)="","",ROW()-3)</f>
        <v/>
      </c>
      <c r="B1717" s="48">
        <f>IFERROR(INDEX('04A_국토부원자료'!$A:$T,ROW()+1,MATCH("시군구",'04A_국토부원자료'!$A$4:$T$4,0)),"")</f>
        <v/>
      </c>
      <c r="C1717" s="48">
        <f>IF(B1717="","",IFERROR(INDEX('04A_국토부원자료'!$A:$T,ROW()+1,MATCH("번지",'04A_국토부원자료'!$A$4:$T$4,0)),""))</f>
        <v/>
      </c>
      <c r="D1717" s="48">
        <f>IF(B1717="","",IF(Q1717=1,'02_대상물건입력'!$B$8,IFERROR(INDEX('04A_국토부원자료'!$A:$T,ROW()+1,MATCH("단지명",'04A_국토부원자료'!$A$4:$T$4,0)),"")))</f>
        <v/>
      </c>
      <c r="E1717" s="172">
        <f>IFERROR(VALUE(SUBSTITUTE(INDEX('04A_국토부원자료'!$A:$T,ROW()+1,MATCH("전용면적(㎡)",'04A_국토부원자료'!$A$4:$T$4,0)),",","")),"")</f>
        <v/>
      </c>
      <c r="F17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17" s="51">
        <f>IFERROR(VALUE(SUBSTITUTE(INDEX('04A_국토부원자료'!$A:$T,ROW()+1,MATCH("거래금액(만원)",'04A_국토부원자료'!$A$4:$T$4,0)),",","")),"")</f>
        <v/>
      </c>
      <c r="H1717" s="174">
        <f>IF(G1717="","",G1717*10000)</f>
        <v/>
      </c>
      <c r="I1717" s="174">
        <f>IFERROR(IF(AND(H1717&gt;0,E1717&gt;0),H1717/E1717,""),"")</f>
        <v/>
      </c>
      <c r="J1717" s="152">
        <f>IFERROR(VALUE(SUBSTITUTE(INDEX('04A_국토부원자료'!$A:$T,ROW()+1,MATCH("층",'04A_국토부원자료'!$A$4:$T$4,0)),",","")),"")</f>
        <v/>
      </c>
      <c r="K1717" s="152">
        <f>IFERROR(VALUE(SUBSTITUTE(INDEX('04A_국토부원자료'!$A:$T,ROW()+1,MATCH("건축년도",'04A_국토부원자료'!$A$4:$T$4,0)),",","")),"")</f>
        <v/>
      </c>
      <c r="L1717" s="176">
        <f>IFERROR(INDEX('04A_국토부원자료'!$A:$T,ROW()+1,MATCH("도로명",'04A_국토부원자료'!$A$4:$T$4,0)),"")</f>
        <v/>
      </c>
      <c r="M1717" s="48">
        <f>IFERROR(INDEX('04A_국토부원자료'!$A:$T,ROW()+1,MATCH("거래유형",'04A_국토부원자료'!$A$4:$T$4,0)),"")</f>
        <v/>
      </c>
      <c r="N1717" s="152">
        <f>IF(B1717="","",IF('02_대상물건입력'!B5="",1,IF(ISNUMBER(SEARCH('02_대상물건입력'!B5,B1717)),1,0)))</f>
        <v/>
      </c>
      <c r="O1717" s="152">
        <f>IF(B1717="","",IF('02_대상물건입력'!B6="",1,IF(ISNUMBER(SEARCH('02_대상물건입력'!B6,B1717)),1,0)))</f>
        <v/>
      </c>
      <c r="P1717" s="152">
        <f>IF(L1717="","",IF('02_대상물건입력'!B15="",0,IF(ISNUMBER(SEARCH('02_대상물건입력'!B15,L1717)),1,0)))</f>
        <v/>
      </c>
      <c r="Q1717" s="152">
        <f>IF(OR(C1717="",L1717=""),0,IF(AND(TRIM(C1717)=TRIM(RIGHT(SUBSTITUTE(TRIM('02_대상물건입력'!$B$7)," ",REPT(" ",99)),99)),IF('02_대상물건입력'!B15="",TRUE(),ISNUMBER(SEARCH('02_대상물건입력'!B15,L1717)))),1,0))</f>
        <v/>
      </c>
      <c r="R1717" s="175">
        <f>IFERROR(ABS(E1717-'02_대상물건입력'!B11)/'02_대상물건입력'!B11,"")</f>
        <v/>
      </c>
      <c r="S1717" s="152">
        <f>IFERROR(ABS(J1717-'02_대상물건입력'!B10),"")</f>
        <v/>
      </c>
      <c r="T1717" s="152">
        <f>IFERROR(ABS('01_설정'!B4-F1717),"")</f>
        <v/>
      </c>
      <c r="U1717" s="152">
        <f>IFERROR(ABS(K1717-YEAR('02_대상물건입력'!B14)),"")</f>
        <v/>
      </c>
      <c r="V1717" s="152">
        <f>IF(B1717="","",IF(AND(E1717&gt;0,F1717&gt;0,H1717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1717=1,TRUE()),R1717&lt;='01_설정'!B5,S1717&lt;='01_설정'!B6,T1717&lt;='01_설정'!B7,U1717&lt;='01_설정'!B8),"Y",""))</f>
        <v/>
      </c>
      <c r="W1717" s="172">
        <f>IF(V1717&lt;&gt;"Y","",MAX(0,(1-R1717/'01_설정'!B5))*'01_설정'!B14+MAX(0,(1-S1717/'01_설정'!B6))*'01_설정'!B15+MAX(0,(1-T1717/'01_설정'!B7))*'01_설정'!B16+MAX(0,(1-U1717/'01_설정'!B8))*'01_설정'!B17+O1717*'01_설정'!B11+Q1717*'01_설정'!B12+P1717*'01_설정'!B13+IF(Z1717="",0,Z1717))</f>
        <v/>
      </c>
      <c r="X1717" s="152">
        <f>IF(W1717="","",1+COUNTIFS($W$4:$W$3003,"&gt;"&amp;W1717)+COUNTIFS($W$4:W1717,W1717)-1)</f>
        <v/>
      </c>
      <c r="Y1717" s="175">
        <f>IF(OR(I1717="",'02_대상물건입력'!B19="",'02_대상물건입력'!B19&lt;=0),"",ABS(I1717-'02_대상물건입력'!B19)/'02_대상물건입력'!B19)</f>
        <v/>
      </c>
      <c r="Z1717" s="172">
        <f>IF(OR(Y1717="",'01_설정'!B31="",'01_설정'!B31&lt;=0,'01_설정'!B32="",'01_설정'!B32&lt;=0),"",MAX(0,(1-Y1717/'01_설정'!B32))*'01_설정'!B31)</f>
        <v/>
      </c>
    </row>
    <row r="1718" ht="17.25" customHeight="1">
      <c r="A1718" s="152">
        <f>IF(INDEX('04A_국토부원자료'!$A:$A,ROW()+1)="","",ROW()-3)</f>
        <v/>
      </c>
      <c r="B1718" s="48">
        <f>IFERROR(INDEX('04A_국토부원자료'!$A:$T,ROW()+1,MATCH("시군구",'04A_국토부원자료'!$A$4:$T$4,0)),"")</f>
        <v/>
      </c>
      <c r="C1718" s="48">
        <f>IF(B1718="","",IFERROR(INDEX('04A_국토부원자료'!$A:$T,ROW()+1,MATCH("번지",'04A_국토부원자료'!$A$4:$T$4,0)),""))</f>
        <v/>
      </c>
      <c r="D1718" s="48">
        <f>IF(B1718="","",IF(Q1718=1,'02_대상물건입력'!$B$8,IFERROR(INDEX('04A_국토부원자료'!$A:$T,ROW()+1,MATCH("단지명",'04A_국토부원자료'!$A$4:$T$4,0)),"")))</f>
        <v/>
      </c>
      <c r="E1718" s="172">
        <f>IFERROR(VALUE(SUBSTITUTE(INDEX('04A_국토부원자료'!$A:$T,ROW()+1,MATCH("전용면적(㎡)",'04A_국토부원자료'!$A$4:$T$4,0)),",","")),"")</f>
        <v/>
      </c>
      <c r="F17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18" s="51">
        <f>IFERROR(VALUE(SUBSTITUTE(INDEX('04A_국토부원자료'!$A:$T,ROW()+1,MATCH("거래금액(만원)",'04A_국토부원자료'!$A$4:$T$4,0)),",","")),"")</f>
        <v/>
      </c>
      <c r="H1718" s="174">
        <f>IF(G1718="","",G1718*10000)</f>
        <v/>
      </c>
      <c r="I1718" s="174">
        <f>IFERROR(IF(AND(H1718&gt;0,E1718&gt;0),H1718/E1718,""),"")</f>
        <v/>
      </c>
      <c r="J1718" s="152">
        <f>IFERROR(VALUE(SUBSTITUTE(INDEX('04A_국토부원자료'!$A:$T,ROW()+1,MATCH("층",'04A_국토부원자료'!$A$4:$T$4,0)),",","")),"")</f>
        <v/>
      </c>
      <c r="K1718" s="152">
        <f>IFERROR(VALUE(SUBSTITUTE(INDEX('04A_국토부원자료'!$A:$T,ROW()+1,MATCH("건축년도",'04A_국토부원자료'!$A$4:$T$4,0)),",","")),"")</f>
        <v/>
      </c>
      <c r="L1718" s="176">
        <f>IFERROR(INDEX('04A_국토부원자료'!$A:$T,ROW()+1,MATCH("도로명",'04A_국토부원자료'!$A$4:$T$4,0)),"")</f>
        <v/>
      </c>
      <c r="M1718" s="48">
        <f>IFERROR(INDEX('04A_국토부원자료'!$A:$T,ROW()+1,MATCH("거래유형",'04A_국토부원자료'!$A$4:$T$4,0)),"")</f>
        <v/>
      </c>
      <c r="N1718" s="152">
        <f>IF(B1718="","",IF('02_대상물건입력'!B5="",1,IF(ISNUMBER(SEARCH('02_대상물건입력'!B5,B1718)),1,0)))</f>
        <v/>
      </c>
      <c r="O1718" s="152">
        <f>IF(B1718="","",IF('02_대상물건입력'!B6="",1,IF(ISNUMBER(SEARCH('02_대상물건입력'!B6,B1718)),1,0)))</f>
        <v/>
      </c>
      <c r="P1718" s="152">
        <f>IF(L1718="","",IF('02_대상물건입력'!B15="",0,IF(ISNUMBER(SEARCH('02_대상물건입력'!B15,L1718)),1,0)))</f>
        <v/>
      </c>
      <c r="Q1718" s="152">
        <f>IF(OR(C1718="",L1718=""),0,IF(AND(TRIM(C1718)=TRIM(RIGHT(SUBSTITUTE(TRIM('02_대상물건입력'!$B$7)," ",REPT(" ",99)),99)),IF('02_대상물건입력'!B15="",TRUE(),ISNUMBER(SEARCH('02_대상물건입력'!B15,L1718)))),1,0))</f>
        <v/>
      </c>
      <c r="R1718" s="175">
        <f>IFERROR(ABS(E1718-'02_대상물건입력'!B11)/'02_대상물건입력'!B11,"")</f>
        <v/>
      </c>
      <c r="S1718" s="152">
        <f>IFERROR(ABS(J1718-'02_대상물건입력'!B10),"")</f>
        <v/>
      </c>
      <c r="T1718" s="152">
        <f>IFERROR(ABS('01_설정'!B4-F1718),"")</f>
        <v/>
      </c>
      <c r="U1718" s="152">
        <f>IFERROR(ABS(K1718-YEAR('02_대상물건입력'!B14)),"")</f>
        <v/>
      </c>
      <c r="V1718" s="152">
        <f>IF(B1718="","",IF(AND(E1718&gt;0,F1718&gt;0,H1718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1718=1,TRUE()),R1718&lt;='01_설정'!B5,S1718&lt;='01_설정'!B6,T1718&lt;='01_설정'!B7,U1718&lt;='01_설정'!B8),"Y",""))</f>
        <v/>
      </c>
      <c r="W1718" s="172">
        <f>IF(V1718&lt;&gt;"Y","",MAX(0,(1-R1718/'01_설정'!B5))*'01_설정'!B14+MAX(0,(1-S1718/'01_설정'!B6))*'01_설정'!B15+MAX(0,(1-T1718/'01_설정'!B7))*'01_설정'!B16+MAX(0,(1-U1718/'01_설정'!B8))*'01_설정'!B17+O1718*'01_설정'!B11+Q1718*'01_설정'!B12+P1718*'01_설정'!B13+IF(Z1718="",0,Z1718))</f>
        <v/>
      </c>
      <c r="X1718" s="152">
        <f>IF(W1718="","",1+COUNTIFS($W$4:$W$3003,"&gt;"&amp;W1718)+COUNTIFS($W$4:W1718,W1718)-1)</f>
        <v/>
      </c>
      <c r="Y1718" s="175">
        <f>IF(OR(I1718="",'02_대상물건입력'!B19="",'02_대상물건입력'!B19&lt;=0),"",ABS(I1718-'02_대상물건입력'!B19)/'02_대상물건입력'!B19)</f>
        <v/>
      </c>
      <c r="Z1718" s="172">
        <f>IF(OR(Y1718="",'01_설정'!B31="",'01_설정'!B31&lt;=0,'01_설정'!B32="",'01_설정'!B32&lt;=0),"",MAX(0,(1-Y1718/'01_설정'!B32))*'01_설정'!B31)</f>
        <v/>
      </c>
    </row>
    <row r="1719" ht="17.25" customHeight="1">
      <c r="A1719" s="152">
        <f>IF(INDEX('04A_국토부원자료'!$A:$A,ROW()+1)="","",ROW()-3)</f>
        <v/>
      </c>
      <c r="B1719" s="48">
        <f>IFERROR(INDEX('04A_국토부원자료'!$A:$T,ROW()+1,MATCH("시군구",'04A_국토부원자료'!$A$4:$T$4,0)),"")</f>
        <v/>
      </c>
      <c r="C1719" s="48">
        <f>IF(B1719="","",IFERROR(INDEX('04A_국토부원자료'!$A:$T,ROW()+1,MATCH("번지",'04A_국토부원자료'!$A$4:$T$4,0)),""))</f>
        <v/>
      </c>
      <c r="D1719" s="48">
        <f>IF(B1719="","",IF(Q1719=1,'02_대상물건입력'!$B$8,IFERROR(INDEX('04A_국토부원자료'!$A:$T,ROW()+1,MATCH("단지명",'04A_국토부원자료'!$A$4:$T$4,0)),"")))</f>
        <v/>
      </c>
      <c r="E1719" s="172">
        <f>IFERROR(VALUE(SUBSTITUTE(INDEX('04A_국토부원자료'!$A:$T,ROW()+1,MATCH("전용면적(㎡)",'04A_국토부원자료'!$A$4:$T$4,0)),",","")),"")</f>
        <v/>
      </c>
      <c r="F17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19" s="51">
        <f>IFERROR(VALUE(SUBSTITUTE(INDEX('04A_국토부원자료'!$A:$T,ROW()+1,MATCH("거래금액(만원)",'04A_국토부원자료'!$A$4:$T$4,0)),",","")),"")</f>
        <v/>
      </c>
      <c r="H1719" s="174">
        <f>IF(G1719="","",G1719*10000)</f>
        <v/>
      </c>
      <c r="I1719" s="174">
        <f>IFERROR(IF(AND(H1719&gt;0,E1719&gt;0),H1719/E1719,""),"")</f>
        <v/>
      </c>
      <c r="J1719" s="152">
        <f>IFERROR(VALUE(SUBSTITUTE(INDEX('04A_국토부원자료'!$A:$T,ROW()+1,MATCH("층",'04A_국토부원자료'!$A$4:$T$4,0)),",","")),"")</f>
        <v/>
      </c>
      <c r="K1719" s="152">
        <f>IFERROR(VALUE(SUBSTITUTE(INDEX('04A_국토부원자료'!$A:$T,ROW()+1,MATCH("건축년도",'04A_국토부원자료'!$A$4:$T$4,0)),",","")),"")</f>
        <v/>
      </c>
      <c r="L1719" s="176">
        <f>IFERROR(INDEX('04A_국토부원자료'!$A:$T,ROW()+1,MATCH("도로명",'04A_국토부원자료'!$A$4:$T$4,0)),"")</f>
        <v/>
      </c>
      <c r="M1719" s="48">
        <f>IFERROR(INDEX('04A_국토부원자료'!$A:$T,ROW()+1,MATCH("거래유형",'04A_국토부원자료'!$A$4:$T$4,0)),"")</f>
        <v/>
      </c>
      <c r="N1719" s="152">
        <f>IF(B1719="","",IF('02_대상물건입력'!B5="",1,IF(ISNUMBER(SEARCH('02_대상물건입력'!B5,B1719)),1,0)))</f>
        <v/>
      </c>
      <c r="O1719" s="152">
        <f>IF(B1719="","",IF('02_대상물건입력'!B6="",1,IF(ISNUMBER(SEARCH('02_대상물건입력'!B6,B1719)),1,0)))</f>
        <v/>
      </c>
      <c r="P1719" s="152">
        <f>IF(L1719="","",IF('02_대상물건입력'!B15="",0,IF(ISNUMBER(SEARCH('02_대상물건입력'!B15,L1719)),1,0)))</f>
        <v/>
      </c>
      <c r="Q1719" s="152">
        <f>IF(OR(C1719="",L1719=""),0,IF(AND(TRIM(C1719)=TRIM(RIGHT(SUBSTITUTE(TRIM('02_대상물건입력'!$B$7)," ",REPT(" ",99)),99)),IF('02_대상물건입력'!B15="",TRUE(),ISNUMBER(SEARCH('02_대상물건입력'!B15,L1719)))),1,0))</f>
        <v/>
      </c>
      <c r="R1719" s="175">
        <f>IFERROR(ABS(E1719-'02_대상물건입력'!B11)/'02_대상물건입력'!B11,"")</f>
        <v/>
      </c>
      <c r="S1719" s="152">
        <f>IFERROR(ABS(J1719-'02_대상물건입력'!B10),"")</f>
        <v/>
      </c>
      <c r="T1719" s="152">
        <f>IFERROR(ABS('01_설정'!B4-F1719),"")</f>
        <v/>
      </c>
      <c r="U1719" s="152">
        <f>IFERROR(ABS(K1719-YEAR('02_대상물건입력'!B14)),"")</f>
        <v/>
      </c>
      <c r="V1719" s="152">
        <f>IF(B1719="","",IF(AND(E1719&gt;0,F1719&gt;0,H1719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1719=1,TRUE()),R1719&lt;='01_설정'!B5,S1719&lt;='01_설정'!B6,T1719&lt;='01_설정'!B7,U1719&lt;='01_설정'!B8),"Y",""))</f>
        <v/>
      </c>
      <c r="W1719" s="172">
        <f>IF(V1719&lt;&gt;"Y","",MAX(0,(1-R1719/'01_설정'!B5))*'01_설정'!B14+MAX(0,(1-S1719/'01_설정'!B6))*'01_설정'!B15+MAX(0,(1-T1719/'01_설정'!B7))*'01_설정'!B16+MAX(0,(1-U1719/'01_설정'!B8))*'01_설정'!B17+O1719*'01_설정'!B11+Q1719*'01_설정'!B12+P1719*'01_설정'!B13+IF(Z1719="",0,Z1719))</f>
        <v/>
      </c>
      <c r="X1719" s="152">
        <f>IF(W1719="","",1+COUNTIFS($W$4:$W$3003,"&gt;"&amp;W1719)+COUNTIFS($W$4:W1719,W1719)-1)</f>
        <v/>
      </c>
      <c r="Y1719" s="175">
        <f>IF(OR(I1719="",'02_대상물건입력'!B19="",'02_대상물건입력'!B19&lt;=0),"",ABS(I1719-'02_대상물건입력'!B19)/'02_대상물건입력'!B19)</f>
        <v/>
      </c>
      <c r="Z1719" s="172">
        <f>IF(OR(Y1719="",'01_설정'!B31="",'01_설정'!B31&lt;=0,'01_설정'!B32="",'01_설정'!B32&lt;=0),"",MAX(0,(1-Y1719/'01_설정'!B32))*'01_설정'!B31)</f>
        <v/>
      </c>
    </row>
    <row r="1720" ht="17.25" customHeight="1">
      <c r="A1720" s="152">
        <f>IF(INDEX('04A_국토부원자료'!$A:$A,ROW()+1)="","",ROW()-3)</f>
        <v/>
      </c>
      <c r="B1720" s="48">
        <f>IFERROR(INDEX('04A_국토부원자료'!$A:$T,ROW()+1,MATCH("시군구",'04A_국토부원자료'!$A$4:$T$4,0)),"")</f>
        <v/>
      </c>
      <c r="C1720" s="48">
        <f>IF(B1720="","",IFERROR(INDEX('04A_국토부원자료'!$A:$T,ROW()+1,MATCH("번지",'04A_국토부원자료'!$A$4:$T$4,0)),""))</f>
        <v/>
      </c>
      <c r="D1720" s="48">
        <f>IF(B1720="","",IF(Q1720=1,'02_대상물건입력'!$B$8,IFERROR(INDEX('04A_국토부원자료'!$A:$T,ROW()+1,MATCH("단지명",'04A_국토부원자료'!$A$4:$T$4,0)),"")))</f>
        <v/>
      </c>
      <c r="E1720" s="172">
        <f>IFERROR(VALUE(SUBSTITUTE(INDEX('04A_국토부원자료'!$A:$T,ROW()+1,MATCH("전용면적(㎡)",'04A_국토부원자료'!$A$4:$T$4,0)),",","")),"")</f>
        <v/>
      </c>
      <c r="F17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20" s="51">
        <f>IFERROR(VALUE(SUBSTITUTE(INDEX('04A_국토부원자료'!$A:$T,ROW()+1,MATCH("거래금액(만원)",'04A_국토부원자료'!$A$4:$T$4,0)),",","")),"")</f>
        <v/>
      </c>
      <c r="H1720" s="174">
        <f>IF(G1720="","",G1720*10000)</f>
        <v/>
      </c>
      <c r="I1720" s="174">
        <f>IFERROR(IF(AND(H1720&gt;0,E1720&gt;0),H1720/E1720,""),"")</f>
        <v/>
      </c>
      <c r="J1720" s="152">
        <f>IFERROR(VALUE(SUBSTITUTE(INDEX('04A_국토부원자료'!$A:$T,ROW()+1,MATCH("층",'04A_국토부원자료'!$A$4:$T$4,0)),",","")),"")</f>
        <v/>
      </c>
      <c r="K1720" s="152">
        <f>IFERROR(VALUE(SUBSTITUTE(INDEX('04A_국토부원자료'!$A:$T,ROW()+1,MATCH("건축년도",'04A_국토부원자료'!$A$4:$T$4,0)),",","")),"")</f>
        <v/>
      </c>
      <c r="L1720" s="176">
        <f>IFERROR(INDEX('04A_국토부원자료'!$A:$T,ROW()+1,MATCH("도로명",'04A_국토부원자료'!$A$4:$T$4,0)),"")</f>
        <v/>
      </c>
      <c r="M1720" s="48">
        <f>IFERROR(INDEX('04A_국토부원자료'!$A:$T,ROW()+1,MATCH("거래유형",'04A_국토부원자료'!$A$4:$T$4,0)),"")</f>
        <v/>
      </c>
      <c r="N1720" s="152">
        <f>IF(B1720="","",IF('02_대상물건입력'!B5="",1,IF(ISNUMBER(SEARCH('02_대상물건입력'!B5,B1720)),1,0)))</f>
        <v/>
      </c>
      <c r="O1720" s="152">
        <f>IF(B1720="","",IF('02_대상물건입력'!B6="",1,IF(ISNUMBER(SEARCH('02_대상물건입력'!B6,B1720)),1,0)))</f>
        <v/>
      </c>
      <c r="P1720" s="152">
        <f>IF(L1720="","",IF('02_대상물건입력'!B15="",0,IF(ISNUMBER(SEARCH('02_대상물건입력'!B15,L1720)),1,0)))</f>
        <v/>
      </c>
      <c r="Q1720" s="152">
        <f>IF(OR(C1720="",L1720=""),0,IF(AND(TRIM(C1720)=TRIM(RIGHT(SUBSTITUTE(TRIM('02_대상물건입력'!$B$7)," ",REPT(" ",99)),99)),IF('02_대상물건입력'!B15="",TRUE(),ISNUMBER(SEARCH('02_대상물건입력'!B15,L1720)))),1,0))</f>
        <v/>
      </c>
      <c r="R1720" s="175">
        <f>IFERROR(ABS(E1720-'02_대상물건입력'!B11)/'02_대상물건입력'!B11,"")</f>
        <v/>
      </c>
      <c r="S1720" s="152">
        <f>IFERROR(ABS(J1720-'02_대상물건입력'!B10),"")</f>
        <v/>
      </c>
      <c r="T1720" s="152">
        <f>IFERROR(ABS('01_설정'!B4-F1720),"")</f>
        <v/>
      </c>
      <c r="U1720" s="152">
        <f>IFERROR(ABS(K1720-YEAR('02_대상물건입력'!B14)),"")</f>
        <v/>
      </c>
      <c r="V1720" s="152">
        <f>IF(B1720="","",IF(AND(E1720&gt;0,F1720&gt;0,H1720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1720=1,TRUE()),R1720&lt;='01_설정'!B5,S1720&lt;='01_설정'!B6,T1720&lt;='01_설정'!B7,U1720&lt;='01_설정'!B8),"Y",""))</f>
        <v/>
      </c>
      <c r="W1720" s="172">
        <f>IF(V1720&lt;&gt;"Y","",MAX(0,(1-R1720/'01_설정'!B5))*'01_설정'!B14+MAX(0,(1-S1720/'01_설정'!B6))*'01_설정'!B15+MAX(0,(1-T1720/'01_설정'!B7))*'01_설정'!B16+MAX(0,(1-U1720/'01_설정'!B8))*'01_설정'!B17+O1720*'01_설정'!B11+Q1720*'01_설정'!B12+P1720*'01_설정'!B13+IF(Z1720="",0,Z1720))</f>
        <v/>
      </c>
      <c r="X1720" s="152">
        <f>IF(W1720="","",1+COUNTIFS($W$4:$W$3003,"&gt;"&amp;W1720)+COUNTIFS($W$4:W1720,W1720)-1)</f>
        <v/>
      </c>
      <c r="Y1720" s="175">
        <f>IF(OR(I1720="",'02_대상물건입력'!B19="",'02_대상물건입력'!B19&lt;=0),"",ABS(I1720-'02_대상물건입력'!B19)/'02_대상물건입력'!B19)</f>
        <v/>
      </c>
      <c r="Z1720" s="172">
        <f>IF(OR(Y1720="",'01_설정'!B31="",'01_설정'!B31&lt;=0,'01_설정'!B32="",'01_설정'!B32&lt;=0),"",MAX(0,(1-Y1720/'01_설정'!B32))*'01_설정'!B31)</f>
        <v/>
      </c>
    </row>
    <row r="1721" ht="17.25" customHeight="1">
      <c r="A1721" s="152">
        <f>IF(INDEX('04A_국토부원자료'!$A:$A,ROW()+1)="","",ROW()-3)</f>
        <v/>
      </c>
      <c r="B1721" s="48">
        <f>IFERROR(INDEX('04A_국토부원자료'!$A:$T,ROW()+1,MATCH("시군구",'04A_국토부원자료'!$A$4:$T$4,0)),"")</f>
        <v/>
      </c>
      <c r="C1721" s="48">
        <f>IF(B1721="","",IFERROR(INDEX('04A_국토부원자료'!$A:$T,ROW()+1,MATCH("번지",'04A_국토부원자료'!$A$4:$T$4,0)),""))</f>
        <v/>
      </c>
      <c r="D1721" s="48">
        <f>IF(B1721="","",IF(Q1721=1,'02_대상물건입력'!$B$8,IFERROR(INDEX('04A_국토부원자료'!$A:$T,ROW()+1,MATCH("단지명",'04A_국토부원자료'!$A$4:$T$4,0)),"")))</f>
        <v/>
      </c>
      <c r="E1721" s="172">
        <f>IFERROR(VALUE(SUBSTITUTE(INDEX('04A_국토부원자료'!$A:$T,ROW()+1,MATCH("전용면적(㎡)",'04A_국토부원자료'!$A$4:$T$4,0)),",","")),"")</f>
        <v/>
      </c>
      <c r="F17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21" s="51">
        <f>IFERROR(VALUE(SUBSTITUTE(INDEX('04A_국토부원자료'!$A:$T,ROW()+1,MATCH("거래금액(만원)",'04A_국토부원자료'!$A$4:$T$4,0)),",","")),"")</f>
        <v/>
      </c>
      <c r="H1721" s="174">
        <f>IF(G1721="","",G1721*10000)</f>
        <v/>
      </c>
      <c r="I1721" s="174">
        <f>IFERROR(IF(AND(H1721&gt;0,E1721&gt;0),H1721/E1721,""),"")</f>
        <v/>
      </c>
      <c r="J1721" s="152">
        <f>IFERROR(VALUE(SUBSTITUTE(INDEX('04A_국토부원자료'!$A:$T,ROW()+1,MATCH("층",'04A_국토부원자료'!$A$4:$T$4,0)),",","")),"")</f>
        <v/>
      </c>
      <c r="K1721" s="152">
        <f>IFERROR(VALUE(SUBSTITUTE(INDEX('04A_국토부원자료'!$A:$T,ROW()+1,MATCH("건축년도",'04A_국토부원자료'!$A$4:$T$4,0)),",","")),"")</f>
        <v/>
      </c>
      <c r="L1721" s="176">
        <f>IFERROR(INDEX('04A_국토부원자료'!$A:$T,ROW()+1,MATCH("도로명",'04A_국토부원자료'!$A$4:$T$4,0)),"")</f>
        <v/>
      </c>
      <c r="M1721" s="48">
        <f>IFERROR(INDEX('04A_국토부원자료'!$A:$T,ROW()+1,MATCH("거래유형",'04A_국토부원자료'!$A$4:$T$4,0)),"")</f>
        <v/>
      </c>
      <c r="N1721" s="152">
        <f>IF(B1721="","",IF('02_대상물건입력'!B5="",1,IF(ISNUMBER(SEARCH('02_대상물건입력'!B5,B1721)),1,0)))</f>
        <v/>
      </c>
      <c r="O1721" s="152">
        <f>IF(B1721="","",IF('02_대상물건입력'!B6="",1,IF(ISNUMBER(SEARCH('02_대상물건입력'!B6,B1721)),1,0)))</f>
        <v/>
      </c>
      <c r="P1721" s="152">
        <f>IF(L1721="","",IF('02_대상물건입력'!B15="",0,IF(ISNUMBER(SEARCH('02_대상물건입력'!B15,L1721)),1,0)))</f>
        <v/>
      </c>
      <c r="Q1721" s="152">
        <f>IF(OR(C1721="",L1721=""),0,IF(AND(TRIM(C1721)=TRIM(RIGHT(SUBSTITUTE(TRIM('02_대상물건입력'!$B$7)," ",REPT(" ",99)),99)),IF('02_대상물건입력'!B15="",TRUE(),ISNUMBER(SEARCH('02_대상물건입력'!B15,L1721)))),1,0))</f>
        <v/>
      </c>
      <c r="R1721" s="175">
        <f>IFERROR(ABS(E1721-'02_대상물건입력'!B11)/'02_대상물건입력'!B11,"")</f>
        <v/>
      </c>
      <c r="S1721" s="152">
        <f>IFERROR(ABS(J1721-'02_대상물건입력'!B10),"")</f>
        <v/>
      </c>
      <c r="T1721" s="152">
        <f>IFERROR(ABS('01_설정'!B4-F1721),"")</f>
        <v/>
      </c>
      <c r="U1721" s="152">
        <f>IFERROR(ABS(K1721-YEAR('02_대상물건입력'!B14)),"")</f>
        <v/>
      </c>
      <c r="V1721" s="152">
        <f>IF(B1721="","",IF(AND(E1721&gt;0,F1721&gt;0,H1721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1721=1,TRUE()),R1721&lt;='01_설정'!B5,S1721&lt;='01_설정'!B6,T1721&lt;='01_설정'!B7,U1721&lt;='01_설정'!B8),"Y",""))</f>
        <v/>
      </c>
      <c r="W1721" s="172">
        <f>IF(V1721&lt;&gt;"Y","",MAX(0,(1-R1721/'01_설정'!B5))*'01_설정'!B14+MAX(0,(1-S1721/'01_설정'!B6))*'01_설정'!B15+MAX(0,(1-T1721/'01_설정'!B7))*'01_설정'!B16+MAX(0,(1-U1721/'01_설정'!B8))*'01_설정'!B17+O1721*'01_설정'!B11+Q1721*'01_설정'!B12+P1721*'01_설정'!B13+IF(Z1721="",0,Z1721))</f>
        <v/>
      </c>
      <c r="X1721" s="152">
        <f>IF(W1721="","",1+COUNTIFS($W$4:$W$3003,"&gt;"&amp;W1721)+COUNTIFS($W$4:W1721,W1721)-1)</f>
        <v/>
      </c>
      <c r="Y1721" s="175">
        <f>IF(OR(I1721="",'02_대상물건입력'!B19="",'02_대상물건입력'!B19&lt;=0),"",ABS(I1721-'02_대상물건입력'!B19)/'02_대상물건입력'!B19)</f>
        <v/>
      </c>
      <c r="Z1721" s="172">
        <f>IF(OR(Y1721="",'01_설정'!B31="",'01_설정'!B31&lt;=0,'01_설정'!B32="",'01_설정'!B32&lt;=0),"",MAX(0,(1-Y1721/'01_설정'!B32))*'01_설정'!B31)</f>
        <v/>
      </c>
    </row>
    <row r="1722" ht="17.25" customHeight="1">
      <c r="A1722" s="152">
        <f>IF(INDEX('04A_국토부원자료'!$A:$A,ROW()+1)="","",ROW()-3)</f>
        <v/>
      </c>
      <c r="B1722" s="48">
        <f>IFERROR(INDEX('04A_국토부원자료'!$A:$T,ROW()+1,MATCH("시군구",'04A_국토부원자료'!$A$4:$T$4,0)),"")</f>
        <v/>
      </c>
      <c r="C1722" s="48">
        <f>IF(B1722="","",IFERROR(INDEX('04A_국토부원자료'!$A:$T,ROW()+1,MATCH("번지",'04A_국토부원자료'!$A$4:$T$4,0)),""))</f>
        <v/>
      </c>
      <c r="D1722" s="48">
        <f>IF(B1722="","",IF(Q1722=1,'02_대상물건입력'!$B$8,IFERROR(INDEX('04A_국토부원자료'!$A:$T,ROW()+1,MATCH("단지명",'04A_국토부원자료'!$A$4:$T$4,0)),"")))</f>
        <v/>
      </c>
      <c r="E1722" s="172">
        <f>IFERROR(VALUE(SUBSTITUTE(INDEX('04A_국토부원자료'!$A:$T,ROW()+1,MATCH("전용면적(㎡)",'04A_국토부원자료'!$A$4:$T$4,0)),",","")),"")</f>
        <v/>
      </c>
      <c r="F17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22" s="51">
        <f>IFERROR(VALUE(SUBSTITUTE(INDEX('04A_국토부원자료'!$A:$T,ROW()+1,MATCH("거래금액(만원)",'04A_국토부원자료'!$A$4:$T$4,0)),",","")),"")</f>
        <v/>
      </c>
      <c r="H1722" s="174">
        <f>IF(G1722="","",G1722*10000)</f>
        <v/>
      </c>
      <c r="I1722" s="174">
        <f>IFERROR(IF(AND(H1722&gt;0,E1722&gt;0),H1722/E1722,""),"")</f>
        <v/>
      </c>
      <c r="J1722" s="152">
        <f>IFERROR(VALUE(SUBSTITUTE(INDEX('04A_국토부원자료'!$A:$T,ROW()+1,MATCH("층",'04A_국토부원자료'!$A$4:$T$4,0)),",","")),"")</f>
        <v/>
      </c>
      <c r="K1722" s="152">
        <f>IFERROR(VALUE(SUBSTITUTE(INDEX('04A_국토부원자료'!$A:$T,ROW()+1,MATCH("건축년도",'04A_국토부원자료'!$A$4:$T$4,0)),",","")),"")</f>
        <v/>
      </c>
      <c r="L1722" s="176">
        <f>IFERROR(INDEX('04A_국토부원자료'!$A:$T,ROW()+1,MATCH("도로명",'04A_국토부원자료'!$A$4:$T$4,0)),"")</f>
        <v/>
      </c>
      <c r="M1722" s="48">
        <f>IFERROR(INDEX('04A_국토부원자료'!$A:$T,ROW()+1,MATCH("거래유형",'04A_국토부원자료'!$A$4:$T$4,0)),"")</f>
        <v/>
      </c>
      <c r="N1722" s="152">
        <f>IF(B1722="","",IF('02_대상물건입력'!B5="",1,IF(ISNUMBER(SEARCH('02_대상물건입력'!B5,B1722)),1,0)))</f>
        <v/>
      </c>
      <c r="O1722" s="152">
        <f>IF(B1722="","",IF('02_대상물건입력'!B6="",1,IF(ISNUMBER(SEARCH('02_대상물건입력'!B6,B1722)),1,0)))</f>
        <v/>
      </c>
      <c r="P1722" s="152">
        <f>IF(L1722="","",IF('02_대상물건입력'!B15="",0,IF(ISNUMBER(SEARCH('02_대상물건입력'!B15,L1722)),1,0)))</f>
        <v/>
      </c>
      <c r="Q1722" s="152">
        <f>IF(OR(C1722="",L1722=""),0,IF(AND(TRIM(C1722)=TRIM(RIGHT(SUBSTITUTE(TRIM('02_대상물건입력'!$B$7)," ",REPT(" ",99)),99)),IF('02_대상물건입력'!B15="",TRUE(),ISNUMBER(SEARCH('02_대상물건입력'!B15,L1722)))),1,0))</f>
        <v/>
      </c>
      <c r="R1722" s="175">
        <f>IFERROR(ABS(E1722-'02_대상물건입력'!B11)/'02_대상물건입력'!B11,"")</f>
        <v/>
      </c>
      <c r="S1722" s="152">
        <f>IFERROR(ABS(J1722-'02_대상물건입력'!B10),"")</f>
        <v/>
      </c>
      <c r="T1722" s="152">
        <f>IFERROR(ABS('01_설정'!B4-F1722),"")</f>
        <v/>
      </c>
      <c r="U1722" s="152">
        <f>IFERROR(ABS(K1722-YEAR('02_대상물건입력'!B14)),"")</f>
        <v/>
      </c>
      <c r="V1722" s="152">
        <f>IF(B1722="","",IF(AND(E1722&gt;0,F1722&gt;0,H1722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1722=1,TRUE()),R1722&lt;='01_설정'!B5,S1722&lt;='01_설정'!B6,T1722&lt;='01_설정'!B7,U1722&lt;='01_설정'!B8),"Y",""))</f>
        <v/>
      </c>
      <c r="W1722" s="172">
        <f>IF(V1722&lt;&gt;"Y","",MAX(0,(1-R1722/'01_설정'!B5))*'01_설정'!B14+MAX(0,(1-S1722/'01_설정'!B6))*'01_설정'!B15+MAX(0,(1-T1722/'01_설정'!B7))*'01_설정'!B16+MAX(0,(1-U1722/'01_설정'!B8))*'01_설정'!B17+O1722*'01_설정'!B11+Q1722*'01_설정'!B12+P1722*'01_설정'!B13+IF(Z1722="",0,Z1722))</f>
        <v/>
      </c>
      <c r="X1722" s="152">
        <f>IF(W1722="","",1+COUNTIFS($W$4:$W$3003,"&gt;"&amp;W1722)+COUNTIFS($W$4:W1722,W1722)-1)</f>
        <v/>
      </c>
      <c r="Y1722" s="175">
        <f>IF(OR(I1722="",'02_대상물건입력'!B19="",'02_대상물건입력'!B19&lt;=0),"",ABS(I1722-'02_대상물건입력'!B19)/'02_대상물건입력'!B19)</f>
        <v/>
      </c>
      <c r="Z1722" s="172">
        <f>IF(OR(Y1722="",'01_설정'!B31="",'01_설정'!B31&lt;=0,'01_설정'!B32="",'01_설정'!B32&lt;=0),"",MAX(0,(1-Y1722/'01_설정'!B32))*'01_설정'!B31)</f>
        <v/>
      </c>
    </row>
    <row r="1723" ht="17.25" customHeight="1">
      <c r="A1723" s="152">
        <f>IF(INDEX('04A_국토부원자료'!$A:$A,ROW()+1)="","",ROW()-3)</f>
        <v/>
      </c>
      <c r="B1723" s="48">
        <f>IFERROR(INDEX('04A_국토부원자료'!$A:$T,ROW()+1,MATCH("시군구",'04A_국토부원자료'!$A$4:$T$4,0)),"")</f>
        <v/>
      </c>
      <c r="C1723" s="48">
        <f>IF(B1723="","",IFERROR(INDEX('04A_국토부원자료'!$A:$T,ROW()+1,MATCH("번지",'04A_국토부원자료'!$A$4:$T$4,0)),""))</f>
        <v/>
      </c>
      <c r="D1723" s="48">
        <f>IF(B1723="","",IF(Q1723=1,'02_대상물건입력'!$B$8,IFERROR(INDEX('04A_국토부원자료'!$A:$T,ROW()+1,MATCH("단지명",'04A_국토부원자료'!$A$4:$T$4,0)),"")))</f>
        <v/>
      </c>
      <c r="E1723" s="172">
        <f>IFERROR(VALUE(SUBSTITUTE(INDEX('04A_국토부원자료'!$A:$T,ROW()+1,MATCH("전용면적(㎡)",'04A_국토부원자료'!$A$4:$T$4,0)),",","")),"")</f>
        <v/>
      </c>
      <c r="F17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23" s="51">
        <f>IFERROR(VALUE(SUBSTITUTE(INDEX('04A_국토부원자료'!$A:$T,ROW()+1,MATCH("거래금액(만원)",'04A_국토부원자료'!$A$4:$T$4,0)),",","")),"")</f>
        <v/>
      </c>
      <c r="H1723" s="174">
        <f>IF(G1723="","",G1723*10000)</f>
        <v/>
      </c>
      <c r="I1723" s="174">
        <f>IFERROR(IF(AND(H1723&gt;0,E1723&gt;0),H1723/E1723,""),"")</f>
        <v/>
      </c>
      <c r="J1723" s="152">
        <f>IFERROR(VALUE(SUBSTITUTE(INDEX('04A_국토부원자료'!$A:$T,ROW()+1,MATCH("층",'04A_국토부원자료'!$A$4:$T$4,0)),",","")),"")</f>
        <v/>
      </c>
      <c r="K1723" s="152">
        <f>IFERROR(VALUE(SUBSTITUTE(INDEX('04A_국토부원자료'!$A:$T,ROW()+1,MATCH("건축년도",'04A_국토부원자료'!$A$4:$T$4,0)),",","")),"")</f>
        <v/>
      </c>
      <c r="L1723" s="176">
        <f>IFERROR(INDEX('04A_국토부원자료'!$A:$T,ROW()+1,MATCH("도로명",'04A_국토부원자료'!$A$4:$T$4,0)),"")</f>
        <v/>
      </c>
      <c r="M1723" s="48">
        <f>IFERROR(INDEX('04A_국토부원자료'!$A:$T,ROW()+1,MATCH("거래유형",'04A_국토부원자료'!$A$4:$T$4,0)),"")</f>
        <v/>
      </c>
      <c r="N1723" s="152">
        <f>IF(B1723="","",IF('02_대상물건입력'!B5="",1,IF(ISNUMBER(SEARCH('02_대상물건입력'!B5,B1723)),1,0)))</f>
        <v/>
      </c>
      <c r="O1723" s="152">
        <f>IF(B1723="","",IF('02_대상물건입력'!B6="",1,IF(ISNUMBER(SEARCH('02_대상물건입력'!B6,B1723)),1,0)))</f>
        <v/>
      </c>
      <c r="P1723" s="152">
        <f>IF(L1723="","",IF('02_대상물건입력'!B15="",0,IF(ISNUMBER(SEARCH('02_대상물건입력'!B15,L1723)),1,0)))</f>
        <v/>
      </c>
      <c r="Q1723" s="152">
        <f>IF(OR(C1723="",L1723=""),0,IF(AND(TRIM(C1723)=TRIM(RIGHT(SUBSTITUTE(TRIM('02_대상물건입력'!$B$7)," ",REPT(" ",99)),99)),IF('02_대상물건입력'!B15="",TRUE(),ISNUMBER(SEARCH('02_대상물건입력'!B15,L1723)))),1,0))</f>
        <v/>
      </c>
      <c r="R1723" s="175">
        <f>IFERROR(ABS(E1723-'02_대상물건입력'!B11)/'02_대상물건입력'!B11,"")</f>
        <v/>
      </c>
      <c r="S1723" s="152">
        <f>IFERROR(ABS(J1723-'02_대상물건입력'!B10),"")</f>
        <v/>
      </c>
      <c r="T1723" s="152">
        <f>IFERROR(ABS('01_설정'!B4-F1723),"")</f>
        <v/>
      </c>
      <c r="U1723" s="152">
        <f>IFERROR(ABS(K1723-YEAR('02_대상물건입력'!B14)),"")</f>
        <v/>
      </c>
      <c r="V1723" s="152">
        <f>IF(B1723="","",IF(AND(E1723&gt;0,F1723&gt;0,H1723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1723=1,TRUE()),R1723&lt;='01_설정'!B5,S1723&lt;='01_설정'!B6,T1723&lt;='01_설정'!B7,U1723&lt;='01_설정'!B8),"Y",""))</f>
        <v/>
      </c>
      <c r="W1723" s="172">
        <f>IF(V1723&lt;&gt;"Y","",MAX(0,(1-R1723/'01_설정'!B5))*'01_설정'!B14+MAX(0,(1-S1723/'01_설정'!B6))*'01_설정'!B15+MAX(0,(1-T1723/'01_설정'!B7))*'01_설정'!B16+MAX(0,(1-U1723/'01_설정'!B8))*'01_설정'!B17+O1723*'01_설정'!B11+Q1723*'01_설정'!B12+P1723*'01_설정'!B13+IF(Z1723="",0,Z1723))</f>
        <v/>
      </c>
      <c r="X1723" s="152">
        <f>IF(W1723="","",1+COUNTIFS($W$4:$W$3003,"&gt;"&amp;W1723)+COUNTIFS($W$4:W1723,W1723)-1)</f>
        <v/>
      </c>
      <c r="Y1723" s="175">
        <f>IF(OR(I1723="",'02_대상물건입력'!B19="",'02_대상물건입력'!B19&lt;=0),"",ABS(I1723-'02_대상물건입력'!B19)/'02_대상물건입력'!B19)</f>
        <v/>
      </c>
      <c r="Z1723" s="172">
        <f>IF(OR(Y1723="",'01_설정'!B31="",'01_설정'!B31&lt;=0,'01_설정'!B32="",'01_설정'!B32&lt;=0),"",MAX(0,(1-Y1723/'01_설정'!B32))*'01_설정'!B31)</f>
        <v/>
      </c>
    </row>
    <row r="1724" ht="17.25" customHeight="1">
      <c r="A1724" s="152">
        <f>IF(INDEX('04A_국토부원자료'!$A:$A,ROW()+1)="","",ROW()-3)</f>
        <v/>
      </c>
      <c r="B1724" s="48">
        <f>IFERROR(INDEX('04A_국토부원자료'!$A:$T,ROW()+1,MATCH("시군구",'04A_국토부원자료'!$A$4:$T$4,0)),"")</f>
        <v/>
      </c>
      <c r="C1724" s="48">
        <f>IF(B1724="","",IFERROR(INDEX('04A_국토부원자료'!$A:$T,ROW()+1,MATCH("번지",'04A_국토부원자료'!$A$4:$T$4,0)),""))</f>
        <v/>
      </c>
      <c r="D1724" s="48">
        <f>IF(B1724="","",IF(Q1724=1,'02_대상물건입력'!$B$8,IFERROR(INDEX('04A_국토부원자료'!$A:$T,ROW()+1,MATCH("단지명",'04A_국토부원자료'!$A$4:$T$4,0)),"")))</f>
        <v/>
      </c>
      <c r="E1724" s="172">
        <f>IFERROR(VALUE(SUBSTITUTE(INDEX('04A_국토부원자료'!$A:$T,ROW()+1,MATCH("전용면적(㎡)",'04A_국토부원자료'!$A$4:$T$4,0)),",","")),"")</f>
        <v/>
      </c>
      <c r="F17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24" s="51">
        <f>IFERROR(VALUE(SUBSTITUTE(INDEX('04A_국토부원자료'!$A:$T,ROW()+1,MATCH("거래금액(만원)",'04A_국토부원자료'!$A$4:$T$4,0)),",","")),"")</f>
        <v/>
      </c>
      <c r="H1724" s="174">
        <f>IF(G1724="","",G1724*10000)</f>
        <v/>
      </c>
      <c r="I1724" s="174">
        <f>IFERROR(IF(AND(H1724&gt;0,E1724&gt;0),H1724/E1724,""),"")</f>
        <v/>
      </c>
      <c r="J1724" s="152">
        <f>IFERROR(VALUE(SUBSTITUTE(INDEX('04A_국토부원자료'!$A:$T,ROW()+1,MATCH("층",'04A_국토부원자료'!$A$4:$T$4,0)),",","")),"")</f>
        <v/>
      </c>
      <c r="K1724" s="152">
        <f>IFERROR(VALUE(SUBSTITUTE(INDEX('04A_국토부원자료'!$A:$T,ROW()+1,MATCH("건축년도",'04A_국토부원자료'!$A$4:$T$4,0)),",","")),"")</f>
        <v/>
      </c>
      <c r="L1724" s="176">
        <f>IFERROR(INDEX('04A_국토부원자료'!$A:$T,ROW()+1,MATCH("도로명",'04A_국토부원자료'!$A$4:$T$4,0)),"")</f>
        <v/>
      </c>
      <c r="M1724" s="48">
        <f>IFERROR(INDEX('04A_국토부원자료'!$A:$T,ROW()+1,MATCH("거래유형",'04A_국토부원자료'!$A$4:$T$4,0)),"")</f>
        <v/>
      </c>
      <c r="N1724" s="152">
        <f>IF(B1724="","",IF('02_대상물건입력'!B5="",1,IF(ISNUMBER(SEARCH('02_대상물건입력'!B5,B1724)),1,0)))</f>
        <v/>
      </c>
      <c r="O1724" s="152">
        <f>IF(B1724="","",IF('02_대상물건입력'!B6="",1,IF(ISNUMBER(SEARCH('02_대상물건입력'!B6,B1724)),1,0)))</f>
        <v/>
      </c>
      <c r="P1724" s="152">
        <f>IF(L1724="","",IF('02_대상물건입력'!B15="",0,IF(ISNUMBER(SEARCH('02_대상물건입력'!B15,L1724)),1,0)))</f>
        <v/>
      </c>
      <c r="Q1724" s="152">
        <f>IF(OR(C1724="",L1724=""),0,IF(AND(TRIM(C1724)=TRIM(RIGHT(SUBSTITUTE(TRIM('02_대상물건입력'!$B$7)," ",REPT(" ",99)),99)),IF('02_대상물건입력'!B15="",TRUE(),ISNUMBER(SEARCH('02_대상물건입력'!B15,L1724)))),1,0))</f>
        <v/>
      </c>
      <c r="R1724" s="175">
        <f>IFERROR(ABS(E1724-'02_대상물건입력'!B11)/'02_대상물건입력'!B11,"")</f>
        <v/>
      </c>
      <c r="S1724" s="152">
        <f>IFERROR(ABS(J1724-'02_대상물건입력'!B10),"")</f>
        <v/>
      </c>
      <c r="T1724" s="152">
        <f>IFERROR(ABS('01_설정'!B4-F1724),"")</f>
        <v/>
      </c>
      <c r="U1724" s="152">
        <f>IFERROR(ABS(K1724-YEAR('02_대상물건입력'!B14)),"")</f>
        <v/>
      </c>
      <c r="V1724" s="152">
        <f>IF(B1724="","",IF(AND(E1724&gt;0,F1724&gt;0,H1724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1724=1,TRUE()),R1724&lt;='01_설정'!B5,S1724&lt;='01_설정'!B6,T1724&lt;='01_설정'!B7,U1724&lt;='01_설정'!B8),"Y",""))</f>
        <v/>
      </c>
      <c r="W1724" s="172">
        <f>IF(V1724&lt;&gt;"Y","",MAX(0,(1-R1724/'01_설정'!B5))*'01_설정'!B14+MAX(0,(1-S1724/'01_설정'!B6))*'01_설정'!B15+MAX(0,(1-T1724/'01_설정'!B7))*'01_설정'!B16+MAX(0,(1-U1724/'01_설정'!B8))*'01_설정'!B17+O1724*'01_설정'!B11+Q1724*'01_설정'!B12+P1724*'01_설정'!B13+IF(Z1724="",0,Z1724))</f>
        <v/>
      </c>
      <c r="X1724" s="152">
        <f>IF(W1724="","",1+COUNTIFS($W$4:$W$3003,"&gt;"&amp;W1724)+COUNTIFS($W$4:W1724,W1724)-1)</f>
        <v/>
      </c>
      <c r="Y1724" s="175">
        <f>IF(OR(I1724="",'02_대상물건입력'!B19="",'02_대상물건입력'!B19&lt;=0),"",ABS(I1724-'02_대상물건입력'!B19)/'02_대상물건입력'!B19)</f>
        <v/>
      </c>
      <c r="Z1724" s="172">
        <f>IF(OR(Y1724="",'01_설정'!B31="",'01_설정'!B31&lt;=0,'01_설정'!B32="",'01_설정'!B32&lt;=0),"",MAX(0,(1-Y1724/'01_설정'!B32))*'01_설정'!B31)</f>
        <v/>
      </c>
    </row>
    <row r="1725" ht="17.25" customHeight="1">
      <c r="A1725" s="152">
        <f>IF(INDEX('04A_국토부원자료'!$A:$A,ROW()+1)="","",ROW()-3)</f>
        <v/>
      </c>
      <c r="B1725" s="48">
        <f>IFERROR(INDEX('04A_국토부원자료'!$A:$T,ROW()+1,MATCH("시군구",'04A_국토부원자료'!$A$4:$T$4,0)),"")</f>
        <v/>
      </c>
      <c r="C1725" s="48">
        <f>IF(B1725="","",IFERROR(INDEX('04A_국토부원자료'!$A:$T,ROW()+1,MATCH("번지",'04A_국토부원자료'!$A$4:$T$4,0)),""))</f>
        <v/>
      </c>
      <c r="D1725" s="48">
        <f>IF(B1725="","",IF(Q1725=1,'02_대상물건입력'!$B$8,IFERROR(INDEX('04A_국토부원자료'!$A:$T,ROW()+1,MATCH("단지명",'04A_국토부원자료'!$A$4:$T$4,0)),"")))</f>
        <v/>
      </c>
      <c r="E1725" s="172">
        <f>IFERROR(VALUE(SUBSTITUTE(INDEX('04A_국토부원자료'!$A:$T,ROW()+1,MATCH("전용면적(㎡)",'04A_국토부원자료'!$A$4:$T$4,0)),",","")),"")</f>
        <v/>
      </c>
      <c r="F17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25" s="51">
        <f>IFERROR(VALUE(SUBSTITUTE(INDEX('04A_국토부원자료'!$A:$T,ROW()+1,MATCH("거래금액(만원)",'04A_국토부원자료'!$A$4:$T$4,0)),",","")),"")</f>
        <v/>
      </c>
      <c r="H1725" s="174">
        <f>IF(G1725="","",G1725*10000)</f>
        <v/>
      </c>
      <c r="I1725" s="174">
        <f>IFERROR(IF(AND(H1725&gt;0,E1725&gt;0),H1725/E1725,""),"")</f>
        <v/>
      </c>
      <c r="J1725" s="152">
        <f>IFERROR(VALUE(SUBSTITUTE(INDEX('04A_국토부원자료'!$A:$T,ROW()+1,MATCH("층",'04A_국토부원자료'!$A$4:$T$4,0)),",","")),"")</f>
        <v/>
      </c>
      <c r="K1725" s="152">
        <f>IFERROR(VALUE(SUBSTITUTE(INDEX('04A_국토부원자료'!$A:$T,ROW()+1,MATCH("건축년도",'04A_국토부원자료'!$A$4:$T$4,0)),",","")),"")</f>
        <v/>
      </c>
      <c r="L1725" s="176">
        <f>IFERROR(INDEX('04A_국토부원자료'!$A:$T,ROW()+1,MATCH("도로명",'04A_국토부원자료'!$A$4:$T$4,0)),"")</f>
        <v/>
      </c>
      <c r="M1725" s="48">
        <f>IFERROR(INDEX('04A_국토부원자료'!$A:$T,ROW()+1,MATCH("거래유형",'04A_국토부원자료'!$A$4:$T$4,0)),"")</f>
        <v/>
      </c>
      <c r="N1725" s="152">
        <f>IF(B1725="","",IF('02_대상물건입력'!B5="",1,IF(ISNUMBER(SEARCH('02_대상물건입력'!B5,B1725)),1,0)))</f>
        <v/>
      </c>
      <c r="O1725" s="152">
        <f>IF(B1725="","",IF('02_대상물건입력'!B6="",1,IF(ISNUMBER(SEARCH('02_대상물건입력'!B6,B1725)),1,0)))</f>
        <v/>
      </c>
      <c r="P1725" s="152">
        <f>IF(L1725="","",IF('02_대상물건입력'!B15="",0,IF(ISNUMBER(SEARCH('02_대상물건입력'!B15,L1725)),1,0)))</f>
        <v/>
      </c>
      <c r="Q1725" s="152">
        <f>IF(OR(C1725="",L1725=""),0,IF(AND(TRIM(C1725)=TRIM(RIGHT(SUBSTITUTE(TRIM('02_대상물건입력'!$B$7)," ",REPT(" ",99)),99)),IF('02_대상물건입력'!B15="",TRUE(),ISNUMBER(SEARCH('02_대상물건입력'!B15,L1725)))),1,0))</f>
        <v/>
      </c>
      <c r="R1725" s="175">
        <f>IFERROR(ABS(E1725-'02_대상물건입력'!B11)/'02_대상물건입력'!B11,"")</f>
        <v/>
      </c>
      <c r="S1725" s="152">
        <f>IFERROR(ABS(J1725-'02_대상물건입력'!B10),"")</f>
        <v/>
      </c>
      <c r="T1725" s="152">
        <f>IFERROR(ABS('01_설정'!B4-F1725),"")</f>
        <v/>
      </c>
      <c r="U1725" s="152">
        <f>IFERROR(ABS(K1725-YEAR('02_대상물건입력'!B14)),"")</f>
        <v/>
      </c>
      <c r="V1725" s="152">
        <f>IF(B1725="","",IF(AND(E1725&gt;0,F1725&gt;0,H1725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1725=1,TRUE()),R1725&lt;='01_설정'!B5,S1725&lt;='01_설정'!B6,T1725&lt;='01_설정'!B7,U1725&lt;='01_설정'!B8),"Y",""))</f>
        <v/>
      </c>
      <c r="W1725" s="172">
        <f>IF(V1725&lt;&gt;"Y","",MAX(0,(1-R1725/'01_설정'!B5))*'01_설정'!B14+MAX(0,(1-S1725/'01_설정'!B6))*'01_설정'!B15+MAX(0,(1-T1725/'01_설정'!B7))*'01_설정'!B16+MAX(0,(1-U1725/'01_설정'!B8))*'01_설정'!B17+O1725*'01_설정'!B11+Q1725*'01_설정'!B12+P1725*'01_설정'!B13+IF(Z1725="",0,Z1725))</f>
        <v/>
      </c>
      <c r="X1725" s="152">
        <f>IF(W1725="","",1+COUNTIFS($W$4:$W$3003,"&gt;"&amp;W1725)+COUNTIFS($W$4:W1725,W1725)-1)</f>
        <v/>
      </c>
      <c r="Y1725" s="175">
        <f>IF(OR(I1725="",'02_대상물건입력'!B19="",'02_대상물건입력'!B19&lt;=0),"",ABS(I1725-'02_대상물건입력'!B19)/'02_대상물건입력'!B19)</f>
        <v/>
      </c>
      <c r="Z1725" s="172">
        <f>IF(OR(Y1725="",'01_설정'!B31="",'01_설정'!B31&lt;=0,'01_설정'!B32="",'01_설정'!B32&lt;=0),"",MAX(0,(1-Y1725/'01_설정'!B32))*'01_설정'!B31)</f>
        <v/>
      </c>
    </row>
    <row r="1726" ht="17.25" customHeight="1">
      <c r="A1726" s="152">
        <f>IF(INDEX('04A_국토부원자료'!$A:$A,ROW()+1)="","",ROW()-3)</f>
        <v/>
      </c>
      <c r="B1726" s="48">
        <f>IFERROR(INDEX('04A_국토부원자료'!$A:$T,ROW()+1,MATCH("시군구",'04A_국토부원자료'!$A$4:$T$4,0)),"")</f>
        <v/>
      </c>
      <c r="C1726" s="48">
        <f>IF(B1726="","",IFERROR(INDEX('04A_국토부원자료'!$A:$T,ROW()+1,MATCH("번지",'04A_국토부원자료'!$A$4:$T$4,0)),""))</f>
        <v/>
      </c>
      <c r="D1726" s="48">
        <f>IF(B1726="","",IF(Q1726=1,'02_대상물건입력'!$B$8,IFERROR(INDEX('04A_국토부원자료'!$A:$T,ROW()+1,MATCH("단지명",'04A_국토부원자료'!$A$4:$T$4,0)),"")))</f>
        <v/>
      </c>
      <c r="E1726" s="172">
        <f>IFERROR(VALUE(SUBSTITUTE(INDEX('04A_국토부원자료'!$A:$T,ROW()+1,MATCH("전용면적(㎡)",'04A_국토부원자료'!$A$4:$T$4,0)),",","")),"")</f>
        <v/>
      </c>
      <c r="F17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26" s="51">
        <f>IFERROR(VALUE(SUBSTITUTE(INDEX('04A_국토부원자료'!$A:$T,ROW()+1,MATCH("거래금액(만원)",'04A_국토부원자료'!$A$4:$T$4,0)),",","")),"")</f>
        <v/>
      </c>
      <c r="H1726" s="174">
        <f>IF(G1726="","",G1726*10000)</f>
        <v/>
      </c>
      <c r="I1726" s="174">
        <f>IFERROR(IF(AND(H1726&gt;0,E1726&gt;0),H1726/E1726,""),"")</f>
        <v/>
      </c>
      <c r="J1726" s="152">
        <f>IFERROR(VALUE(SUBSTITUTE(INDEX('04A_국토부원자료'!$A:$T,ROW()+1,MATCH("층",'04A_국토부원자료'!$A$4:$T$4,0)),",","")),"")</f>
        <v/>
      </c>
      <c r="K1726" s="152">
        <f>IFERROR(VALUE(SUBSTITUTE(INDEX('04A_국토부원자료'!$A:$T,ROW()+1,MATCH("건축년도",'04A_국토부원자료'!$A$4:$T$4,0)),",","")),"")</f>
        <v/>
      </c>
      <c r="L1726" s="176">
        <f>IFERROR(INDEX('04A_국토부원자료'!$A:$T,ROW()+1,MATCH("도로명",'04A_국토부원자료'!$A$4:$T$4,0)),"")</f>
        <v/>
      </c>
      <c r="M1726" s="48">
        <f>IFERROR(INDEX('04A_국토부원자료'!$A:$T,ROW()+1,MATCH("거래유형",'04A_국토부원자료'!$A$4:$T$4,0)),"")</f>
        <v/>
      </c>
      <c r="N1726" s="152">
        <f>IF(B1726="","",IF('02_대상물건입력'!B5="",1,IF(ISNUMBER(SEARCH('02_대상물건입력'!B5,B1726)),1,0)))</f>
        <v/>
      </c>
      <c r="O1726" s="152">
        <f>IF(B1726="","",IF('02_대상물건입력'!B6="",1,IF(ISNUMBER(SEARCH('02_대상물건입력'!B6,B1726)),1,0)))</f>
        <v/>
      </c>
      <c r="P1726" s="152">
        <f>IF(L1726="","",IF('02_대상물건입력'!B15="",0,IF(ISNUMBER(SEARCH('02_대상물건입력'!B15,L1726)),1,0)))</f>
        <v/>
      </c>
      <c r="Q1726" s="152">
        <f>IF(OR(C1726="",L1726=""),0,IF(AND(TRIM(C1726)=TRIM(RIGHT(SUBSTITUTE(TRIM('02_대상물건입력'!$B$7)," ",REPT(" ",99)),99)),IF('02_대상물건입력'!B15="",TRUE(),ISNUMBER(SEARCH('02_대상물건입력'!B15,L1726)))),1,0))</f>
        <v/>
      </c>
      <c r="R1726" s="175">
        <f>IFERROR(ABS(E1726-'02_대상물건입력'!B11)/'02_대상물건입력'!B11,"")</f>
        <v/>
      </c>
      <c r="S1726" s="152">
        <f>IFERROR(ABS(J1726-'02_대상물건입력'!B10),"")</f>
        <v/>
      </c>
      <c r="T1726" s="152">
        <f>IFERROR(ABS('01_설정'!B4-F1726),"")</f>
        <v/>
      </c>
      <c r="U1726" s="152">
        <f>IFERROR(ABS(K1726-YEAR('02_대상물건입력'!B14)),"")</f>
        <v/>
      </c>
      <c r="V1726" s="152">
        <f>IF(B1726="","",IF(AND(E1726&gt;0,F1726&gt;0,H1726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1726=1,TRUE()),R1726&lt;='01_설정'!B5,S1726&lt;='01_설정'!B6,T1726&lt;='01_설정'!B7,U1726&lt;='01_설정'!B8),"Y",""))</f>
        <v/>
      </c>
      <c r="W1726" s="172">
        <f>IF(V1726&lt;&gt;"Y","",MAX(0,(1-R1726/'01_설정'!B5))*'01_설정'!B14+MAX(0,(1-S1726/'01_설정'!B6))*'01_설정'!B15+MAX(0,(1-T1726/'01_설정'!B7))*'01_설정'!B16+MAX(0,(1-U1726/'01_설정'!B8))*'01_설정'!B17+O1726*'01_설정'!B11+Q1726*'01_설정'!B12+P1726*'01_설정'!B13+IF(Z1726="",0,Z1726))</f>
        <v/>
      </c>
      <c r="X1726" s="152">
        <f>IF(W1726="","",1+COUNTIFS($W$4:$W$3003,"&gt;"&amp;W1726)+COUNTIFS($W$4:W1726,W1726)-1)</f>
        <v/>
      </c>
      <c r="Y1726" s="175">
        <f>IF(OR(I1726="",'02_대상물건입력'!B19="",'02_대상물건입력'!B19&lt;=0),"",ABS(I1726-'02_대상물건입력'!B19)/'02_대상물건입력'!B19)</f>
        <v/>
      </c>
      <c r="Z1726" s="172">
        <f>IF(OR(Y1726="",'01_설정'!B31="",'01_설정'!B31&lt;=0,'01_설정'!B32="",'01_설정'!B32&lt;=0),"",MAX(0,(1-Y1726/'01_설정'!B32))*'01_설정'!B31)</f>
        <v/>
      </c>
    </row>
    <row r="1727" ht="17.25" customHeight="1">
      <c r="A1727" s="152">
        <f>IF(INDEX('04A_국토부원자료'!$A:$A,ROW()+1)="","",ROW()-3)</f>
        <v/>
      </c>
      <c r="B1727" s="48">
        <f>IFERROR(INDEX('04A_국토부원자료'!$A:$T,ROW()+1,MATCH("시군구",'04A_국토부원자료'!$A$4:$T$4,0)),"")</f>
        <v/>
      </c>
      <c r="C1727" s="48">
        <f>IF(B1727="","",IFERROR(INDEX('04A_국토부원자료'!$A:$T,ROW()+1,MATCH("번지",'04A_국토부원자료'!$A$4:$T$4,0)),""))</f>
        <v/>
      </c>
      <c r="D1727" s="48">
        <f>IF(B1727="","",IF(Q1727=1,'02_대상물건입력'!$B$8,IFERROR(INDEX('04A_국토부원자료'!$A:$T,ROW()+1,MATCH("단지명",'04A_국토부원자료'!$A$4:$T$4,0)),"")))</f>
        <v/>
      </c>
      <c r="E1727" s="172">
        <f>IFERROR(VALUE(SUBSTITUTE(INDEX('04A_국토부원자료'!$A:$T,ROW()+1,MATCH("전용면적(㎡)",'04A_국토부원자료'!$A$4:$T$4,0)),",","")),"")</f>
        <v/>
      </c>
      <c r="F17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27" s="51">
        <f>IFERROR(VALUE(SUBSTITUTE(INDEX('04A_국토부원자료'!$A:$T,ROW()+1,MATCH("거래금액(만원)",'04A_국토부원자료'!$A$4:$T$4,0)),",","")),"")</f>
        <v/>
      </c>
      <c r="H1727" s="174">
        <f>IF(G1727="","",G1727*10000)</f>
        <v/>
      </c>
      <c r="I1727" s="174">
        <f>IFERROR(IF(AND(H1727&gt;0,E1727&gt;0),H1727/E1727,""),"")</f>
        <v/>
      </c>
      <c r="J1727" s="152">
        <f>IFERROR(VALUE(SUBSTITUTE(INDEX('04A_국토부원자료'!$A:$T,ROW()+1,MATCH("층",'04A_국토부원자료'!$A$4:$T$4,0)),",","")),"")</f>
        <v/>
      </c>
      <c r="K1727" s="152">
        <f>IFERROR(VALUE(SUBSTITUTE(INDEX('04A_국토부원자료'!$A:$T,ROW()+1,MATCH("건축년도",'04A_국토부원자료'!$A$4:$T$4,0)),",","")),"")</f>
        <v/>
      </c>
      <c r="L1727" s="176">
        <f>IFERROR(INDEX('04A_국토부원자료'!$A:$T,ROW()+1,MATCH("도로명",'04A_국토부원자료'!$A$4:$T$4,0)),"")</f>
        <v/>
      </c>
      <c r="M1727" s="48">
        <f>IFERROR(INDEX('04A_국토부원자료'!$A:$T,ROW()+1,MATCH("거래유형",'04A_국토부원자료'!$A$4:$T$4,0)),"")</f>
        <v/>
      </c>
      <c r="N1727" s="152">
        <f>IF(B1727="","",IF('02_대상물건입력'!B5="",1,IF(ISNUMBER(SEARCH('02_대상물건입력'!B5,B1727)),1,0)))</f>
        <v/>
      </c>
      <c r="O1727" s="152">
        <f>IF(B1727="","",IF('02_대상물건입력'!B6="",1,IF(ISNUMBER(SEARCH('02_대상물건입력'!B6,B1727)),1,0)))</f>
        <v/>
      </c>
      <c r="P1727" s="152">
        <f>IF(L1727="","",IF('02_대상물건입력'!B15="",0,IF(ISNUMBER(SEARCH('02_대상물건입력'!B15,L1727)),1,0)))</f>
        <v/>
      </c>
      <c r="Q1727" s="152">
        <f>IF(OR(C1727="",L1727=""),0,IF(AND(TRIM(C1727)=TRIM(RIGHT(SUBSTITUTE(TRIM('02_대상물건입력'!$B$7)," ",REPT(" ",99)),99)),IF('02_대상물건입력'!B15="",TRUE(),ISNUMBER(SEARCH('02_대상물건입력'!B15,L1727)))),1,0))</f>
        <v/>
      </c>
      <c r="R1727" s="175">
        <f>IFERROR(ABS(E1727-'02_대상물건입력'!B11)/'02_대상물건입력'!B11,"")</f>
        <v/>
      </c>
      <c r="S1727" s="152">
        <f>IFERROR(ABS(J1727-'02_대상물건입력'!B10),"")</f>
        <v/>
      </c>
      <c r="T1727" s="152">
        <f>IFERROR(ABS('01_설정'!B4-F1727),"")</f>
        <v/>
      </c>
      <c r="U1727" s="152">
        <f>IFERROR(ABS(K1727-YEAR('02_대상물건입력'!B14)),"")</f>
        <v/>
      </c>
      <c r="V1727" s="152">
        <f>IF(B1727="","",IF(AND(E1727&gt;0,F1727&gt;0,H1727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1727=1,TRUE()),R1727&lt;='01_설정'!B5,S1727&lt;='01_설정'!B6,T1727&lt;='01_설정'!B7,U1727&lt;='01_설정'!B8),"Y",""))</f>
        <v/>
      </c>
      <c r="W1727" s="172">
        <f>IF(V1727&lt;&gt;"Y","",MAX(0,(1-R1727/'01_설정'!B5))*'01_설정'!B14+MAX(0,(1-S1727/'01_설정'!B6))*'01_설정'!B15+MAX(0,(1-T1727/'01_설정'!B7))*'01_설정'!B16+MAX(0,(1-U1727/'01_설정'!B8))*'01_설정'!B17+O1727*'01_설정'!B11+Q1727*'01_설정'!B12+P1727*'01_설정'!B13+IF(Z1727="",0,Z1727))</f>
        <v/>
      </c>
      <c r="X1727" s="152">
        <f>IF(W1727="","",1+COUNTIFS($W$4:$W$3003,"&gt;"&amp;W1727)+COUNTIFS($W$4:W1727,W1727)-1)</f>
        <v/>
      </c>
      <c r="Y1727" s="175">
        <f>IF(OR(I1727="",'02_대상물건입력'!B19="",'02_대상물건입력'!B19&lt;=0),"",ABS(I1727-'02_대상물건입력'!B19)/'02_대상물건입력'!B19)</f>
        <v/>
      </c>
      <c r="Z1727" s="172">
        <f>IF(OR(Y1727="",'01_설정'!B31="",'01_설정'!B31&lt;=0,'01_설정'!B32="",'01_설정'!B32&lt;=0),"",MAX(0,(1-Y1727/'01_설정'!B32))*'01_설정'!B31)</f>
        <v/>
      </c>
    </row>
    <row r="1728" ht="17.25" customHeight="1">
      <c r="A1728" s="152">
        <f>IF(INDEX('04A_국토부원자료'!$A:$A,ROW()+1)="","",ROW()-3)</f>
        <v/>
      </c>
      <c r="B1728" s="48">
        <f>IFERROR(INDEX('04A_국토부원자료'!$A:$T,ROW()+1,MATCH("시군구",'04A_국토부원자료'!$A$4:$T$4,0)),"")</f>
        <v/>
      </c>
      <c r="C1728" s="48">
        <f>IF(B1728="","",IFERROR(INDEX('04A_국토부원자료'!$A:$T,ROW()+1,MATCH("번지",'04A_국토부원자료'!$A$4:$T$4,0)),""))</f>
        <v/>
      </c>
      <c r="D1728" s="48">
        <f>IF(B1728="","",IF(Q1728=1,'02_대상물건입력'!$B$8,IFERROR(INDEX('04A_국토부원자료'!$A:$T,ROW()+1,MATCH("단지명",'04A_국토부원자료'!$A$4:$T$4,0)),"")))</f>
        <v/>
      </c>
      <c r="E1728" s="172">
        <f>IFERROR(VALUE(SUBSTITUTE(INDEX('04A_국토부원자료'!$A:$T,ROW()+1,MATCH("전용면적(㎡)",'04A_국토부원자료'!$A$4:$T$4,0)),",","")),"")</f>
        <v/>
      </c>
      <c r="F17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28" s="51">
        <f>IFERROR(VALUE(SUBSTITUTE(INDEX('04A_국토부원자료'!$A:$T,ROW()+1,MATCH("거래금액(만원)",'04A_국토부원자료'!$A$4:$T$4,0)),",","")),"")</f>
        <v/>
      </c>
      <c r="H1728" s="174">
        <f>IF(G1728="","",G1728*10000)</f>
        <v/>
      </c>
      <c r="I1728" s="174">
        <f>IFERROR(IF(AND(H1728&gt;0,E1728&gt;0),H1728/E1728,""),"")</f>
        <v/>
      </c>
      <c r="J1728" s="152">
        <f>IFERROR(VALUE(SUBSTITUTE(INDEX('04A_국토부원자료'!$A:$T,ROW()+1,MATCH("층",'04A_국토부원자료'!$A$4:$T$4,0)),",","")),"")</f>
        <v/>
      </c>
      <c r="K1728" s="152">
        <f>IFERROR(VALUE(SUBSTITUTE(INDEX('04A_국토부원자료'!$A:$T,ROW()+1,MATCH("건축년도",'04A_국토부원자료'!$A$4:$T$4,0)),",","")),"")</f>
        <v/>
      </c>
      <c r="L1728" s="176">
        <f>IFERROR(INDEX('04A_국토부원자료'!$A:$T,ROW()+1,MATCH("도로명",'04A_국토부원자료'!$A$4:$T$4,0)),"")</f>
        <v/>
      </c>
      <c r="M1728" s="48">
        <f>IFERROR(INDEX('04A_국토부원자료'!$A:$T,ROW()+1,MATCH("거래유형",'04A_국토부원자료'!$A$4:$T$4,0)),"")</f>
        <v/>
      </c>
      <c r="N1728" s="152">
        <f>IF(B1728="","",IF('02_대상물건입력'!B5="",1,IF(ISNUMBER(SEARCH('02_대상물건입력'!B5,B1728)),1,0)))</f>
        <v/>
      </c>
      <c r="O1728" s="152">
        <f>IF(B1728="","",IF('02_대상물건입력'!B6="",1,IF(ISNUMBER(SEARCH('02_대상물건입력'!B6,B1728)),1,0)))</f>
        <v/>
      </c>
      <c r="P1728" s="152">
        <f>IF(L1728="","",IF('02_대상물건입력'!B15="",0,IF(ISNUMBER(SEARCH('02_대상물건입력'!B15,L1728)),1,0)))</f>
        <v/>
      </c>
      <c r="Q1728" s="152">
        <f>IF(OR(C1728="",L1728=""),0,IF(AND(TRIM(C1728)=TRIM(RIGHT(SUBSTITUTE(TRIM('02_대상물건입력'!$B$7)," ",REPT(" ",99)),99)),IF('02_대상물건입력'!B15="",TRUE(),ISNUMBER(SEARCH('02_대상물건입력'!B15,L1728)))),1,0))</f>
        <v/>
      </c>
      <c r="R1728" s="175">
        <f>IFERROR(ABS(E1728-'02_대상물건입력'!B11)/'02_대상물건입력'!B11,"")</f>
        <v/>
      </c>
      <c r="S1728" s="152">
        <f>IFERROR(ABS(J1728-'02_대상물건입력'!B10),"")</f>
        <v/>
      </c>
      <c r="T1728" s="152">
        <f>IFERROR(ABS('01_설정'!B4-F1728),"")</f>
        <v/>
      </c>
      <c r="U1728" s="152">
        <f>IFERROR(ABS(K1728-YEAR('02_대상물건입력'!B14)),"")</f>
        <v/>
      </c>
      <c r="V1728" s="152">
        <f>IF(B1728="","",IF(AND(E1728&gt;0,F1728&gt;0,H1728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1728=1,TRUE()),R1728&lt;='01_설정'!B5,S1728&lt;='01_설정'!B6,T1728&lt;='01_설정'!B7,U1728&lt;='01_설정'!B8),"Y",""))</f>
        <v/>
      </c>
      <c r="W1728" s="172">
        <f>IF(V1728&lt;&gt;"Y","",MAX(0,(1-R1728/'01_설정'!B5))*'01_설정'!B14+MAX(0,(1-S1728/'01_설정'!B6))*'01_설정'!B15+MAX(0,(1-T1728/'01_설정'!B7))*'01_설정'!B16+MAX(0,(1-U1728/'01_설정'!B8))*'01_설정'!B17+O1728*'01_설정'!B11+Q1728*'01_설정'!B12+P1728*'01_설정'!B13+IF(Z1728="",0,Z1728))</f>
        <v/>
      </c>
      <c r="X1728" s="152">
        <f>IF(W1728="","",1+COUNTIFS($W$4:$W$3003,"&gt;"&amp;W1728)+COUNTIFS($W$4:W1728,W1728)-1)</f>
        <v/>
      </c>
      <c r="Y1728" s="175">
        <f>IF(OR(I1728="",'02_대상물건입력'!B19="",'02_대상물건입력'!B19&lt;=0),"",ABS(I1728-'02_대상물건입력'!B19)/'02_대상물건입력'!B19)</f>
        <v/>
      </c>
      <c r="Z1728" s="172">
        <f>IF(OR(Y1728="",'01_설정'!B31="",'01_설정'!B31&lt;=0,'01_설정'!B32="",'01_설정'!B32&lt;=0),"",MAX(0,(1-Y1728/'01_설정'!B32))*'01_설정'!B31)</f>
        <v/>
      </c>
    </row>
    <row r="1729" ht="17.25" customHeight="1">
      <c r="A1729" s="152">
        <f>IF(INDEX('04A_국토부원자료'!$A:$A,ROW()+1)="","",ROW()-3)</f>
        <v/>
      </c>
      <c r="B1729" s="48">
        <f>IFERROR(INDEX('04A_국토부원자료'!$A:$T,ROW()+1,MATCH("시군구",'04A_국토부원자료'!$A$4:$T$4,0)),"")</f>
        <v/>
      </c>
      <c r="C1729" s="48">
        <f>IF(B1729="","",IFERROR(INDEX('04A_국토부원자료'!$A:$T,ROW()+1,MATCH("번지",'04A_국토부원자료'!$A$4:$T$4,0)),""))</f>
        <v/>
      </c>
      <c r="D1729" s="48">
        <f>IF(B1729="","",IF(Q1729=1,'02_대상물건입력'!$B$8,IFERROR(INDEX('04A_국토부원자료'!$A:$T,ROW()+1,MATCH("단지명",'04A_국토부원자료'!$A$4:$T$4,0)),"")))</f>
        <v/>
      </c>
      <c r="E1729" s="172">
        <f>IFERROR(VALUE(SUBSTITUTE(INDEX('04A_국토부원자료'!$A:$T,ROW()+1,MATCH("전용면적(㎡)",'04A_국토부원자료'!$A$4:$T$4,0)),",","")),"")</f>
        <v/>
      </c>
      <c r="F17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29" s="51">
        <f>IFERROR(VALUE(SUBSTITUTE(INDEX('04A_국토부원자료'!$A:$T,ROW()+1,MATCH("거래금액(만원)",'04A_국토부원자료'!$A$4:$T$4,0)),",","")),"")</f>
        <v/>
      </c>
      <c r="H1729" s="174">
        <f>IF(G1729="","",G1729*10000)</f>
        <v/>
      </c>
      <c r="I1729" s="174">
        <f>IFERROR(IF(AND(H1729&gt;0,E1729&gt;0),H1729/E1729,""),"")</f>
        <v/>
      </c>
      <c r="J1729" s="152">
        <f>IFERROR(VALUE(SUBSTITUTE(INDEX('04A_국토부원자료'!$A:$T,ROW()+1,MATCH("층",'04A_국토부원자료'!$A$4:$T$4,0)),",","")),"")</f>
        <v/>
      </c>
      <c r="K1729" s="152">
        <f>IFERROR(VALUE(SUBSTITUTE(INDEX('04A_국토부원자료'!$A:$T,ROW()+1,MATCH("건축년도",'04A_국토부원자료'!$A$4:$T$4,0)),",","")),"")</f>
        <v/>
      </c>
      <c r="L1729" s="176">
        <f>IFERROR(INDEX('04A_국토부원자료'!$A:$T,ROW()+1,MATCH("도로명",'04A_국토부원자료'!$A$4:$T$4,0)),"")</f>
        <v/>
      </c>
      <c r="M1729" s="48">
        <f>IFERROR(INDEX('04A_국토부원자료'!$A:$T,ROW()+1,MATCH("거래유형",'04A_국토부원자료'!$A$4:$T$4,0)),"")</f>
        <v/>
      </c>
      <c r="N1729" s="152">
        <f>IF(B1729="","",IF('02_대상물건입력'!B5="",1,IF(ISNUMBER(SEARCH('02_대상물건입력'!B5,B1729)),1,0)))</f>
        <v/>
      </c>
      <c r="O1729" s="152">
        <f>IF(B1729="","",IF('02_대상물건입력'!B6="",1,IF(ISNUMBER(SEARCH('02_대상물건입력'!B6,B1729)),1,0)))</f>
        <v/>
      </c>
      <c r="P1729" s="152">
        <f>IF(L1729="","",IF('02_대상물건입력'!B15="",0,IF(ISNUMBER(SEARCH('02_대상물건입력'!B15,L1729)),1,0)))</f>
        <v/>
      </c>
      <c r="Q1729" s="152">
        <f>IF(OR(C1729="",L1729=""),0,IF(AND(TRIM(C1729)=TRIM(RIGHT(SUBSTITUTE(TRIM('02_대상물건입력'!$B$7)," ",REPT(" ",99)),99)),IF('02_대상물건입력'!B15="",TRUE(),ISNUMBER(SEARCH('02_대상물건입력'!B15,L1729)))),1,0))</f>
        <v/>
      </c>
      <c r="R1729" s="175">
        <f>IFERROR(ABS(E1729-'02_대상물건입력'!B11)/'02_대상물건입력'!B11,"")</f>
        <v/>
      </c>
      <c r="S1729" s="152">
        <f>IFERROR(ABS(J1729-'02_대상물건입력'!B10),"")</f>
        <v/>
      </c>
      <c r="T1729" s="152">
        <f>IFERROR(ABS('01_설정'!B4-F1729),"")</f>
        <v/>
      </c>
      <c r="U1729" s="152">
        <f>IFERROR(ABS(K1729-YEAR('02_대상물건입력'!B14)),"")</f>
        <v/>
      </c>
      <c r="V1729" s="152">
        <f>IF(B1729="","",IF(AND(E1729&gt;0,F1729&gt;0,H1729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1729=1,TRUE()),R1729&lt;='01_설정'!B5,S1729&lt;='01_설정'!B6,T1729&lt;='01_설정'!B7,U1729&lt;='01_설정'!B8),"Y",""))</f>
        <v/>
      </c>
      <c r="W1729" s="172">
        <f>IF(V1729&lt;&gt;"Y","",MAX(0,(1-R1729/'01_설정'!B5))*'01_설정'!B14+MAX(0,(1-S1729/'01_설정'!B6))*'01_설정'!B15+MAX(0,(1-T1729/'01_설정'!B7))*'01_설정'!B16+MAX(0,(1-U1729/'01_설정'!B8))*'01_설정'!B17+O1729*'01_설정'!B11+Q1729*'01_설정'!B12+P1729*'01_설정'!B13+IF(Z1729="",0,Z1729))</f>
        <v/>
      </c>
      <c r="X1729" s="152">
        <f>IF(W1729="","",1+COUNTIFS($W$4:$W$3003,"&gt;"&amp;W1729)+COUNTIFS($W$4:W1729,W1729)-1)</f>
        <v/>
      </c>
      <c r="Y1729" s="175">
        <f>IF(OR(I1729="",'02_대상물건입력'!B19="",'02_대상물건입력'!B19&lt;=0),"",ABS(I1729-'02_대상물건입력'!B19)/'02_대상물건입력'!B19)</f>
        <v/>
      </c>
      <c r="Z1729" s="172">
        <f>IF(OR(Y1729="",'01_설정'!B31="",'01_설정'!B31&lt;=0,'01_설정'!B32="",'01_설정'!B32&lt;=0),"",MAX(0,(1-Y1729/'01_설정'!B32))*'01_설정'!B31)</f>
        <v/>
      </c>
    </row>
    <row r="1730" ht="17.25" customHeight="1">
      <c r="A1730" s="152">
        <f>IF(INDEX('04A_국토부원자료'!$A:$A,ROW()+1)="","",ROW()-3)</f>
        <v/>
      </c>
      <c r="B1730" s="48">
        <f>IFERROR(INDEX('04A_국토부원자료'!$A:$T,ROW()+1,MATCH("시군구",'04A_국토부원자료'!$A$4:$T$4,0)),"")</f>
        <v/>
      </c>
      <c r="C1730" s="48">
        <f>IF(B1730="","",IFERROR(INDEX('04A_국토부원자료'!$A:$T,ROW()+1,MATCH("번지",'04A_국토부원자료'!$A$4:$T$4,0)),""))</f>
        <v/>
      </c>
      <c r="D1730" s="48">
        <f>IF(B1730="","",IF(Q1730=1,'02_대상물건입력'!$B$8,IFERROR(INDEX('04A_국토부원자료'!$A:$T,ROW()+1,MATCH("단지명",'04A_국토부원자료'!$A$4:$T$4,0)),"")))</f>
        <v/>
      </c>
      <c r="E1730" s="172">
        <f>IFERROR(VALUE(SUBSTITUTE(INDEX('04A_국토부원자료'!$A:$T,ROW()+1,MATCH("전용면적(㎡)",'04A_국토부원자료'!$A$4:$T$4,0)),",","")),"")</f>
        <v/>
      </c>
      <c r="F17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30" s="51">
        <f>IFERROR(VALUE(SUBSTITUTE(INDEX('04A_국토부원자료'!$A:$T,ROW()+1,MATCH("거래금액(만원)",'04A_국토부원자료'!$A$4:$T$4,0)),",","")),"")</f>
        <v/>
      </c>
      <c r="H1730" s="174">
        <f>IF(G1730="","",G1730*10000)</f>
        <v/>
      </c>
      <c r="I1730" s="174">
        <f>IFERROR(IF(AND(H1730&gt;0,E1730&gt;0),H1730/E1730,""),"")</f>
        <v/>
      </c>
      <c r="J1730" s="152">
        <f>IFERROR(VALUE(SUBSTITUTE(INDEX('04A_국토부원자료'!$A:$T,ROW()+1,MATCH("층",'04A_국토부원자료'!$A$4:$T$4,0)),",","")),"")</f>
        <v/>
      </c>
      <c r="K1730" s="152">
        <f>IFERROR(VALUE(SUBSTITUTE(INDEX('04A_국토부원자료'!$A:$T,ROW()+1,MATCH("건축년도",'04A_국토부원자료'!$A$4:$T$4,0)),",","")),"")</f>
        <v/>
      </c>
      <c r="L1730" s="176">
        <f>IFERROR(INDEX('04A_국토부원자료'!$A:$T,ROW()+1,MATCH("도로명",'04A_국토부원자료'!$A$4:$T$4,0)),"")</f>
        <v/>
      </c>
      <c r="M1730" s="48">
        <f>IFERROR(INDEX('04A_국토부원자료'!$A:$T,ROW()+1,MATCH("거래유형",'04A_국토부원자료'!$A$4:$T$4,0)),"")</f>
        <v/>
      </c>
      <c r="N1730" s="152">
        <f>IF(B1730="","",IF('02_대상물건입력'!B5="",1,IF(ISNUMBER(SEARCH('02_대상물건입력'!B5,B1730)),1,0)))</f>
        <v/>
      </c>
      <c r="O1730" s="152">
        <f>IF(B1730="","",IF('02_대상물건입력'!B6="",1,IF(ISNUMBER(SEARCH('02_대상물건입력'!B6,B1730)),1,0)))</f>
        <v/>
      </c>
      <c r="P1730" s="152">
        <f>IF(L1730="","",IF('02_대상물건입력'!B15="",0,IF(ISNUMBER(SEARCH('02_대상물건입력'!B15,L1730)),1,0)))</f>
        <v/>
      </c>
      <c r="Q1730" s="152">
        <f>IF(OR(C1730="",L1730=""),0,IF(AND(TRIM(C1730)=TRIM(RIGHT(SUBSTITUTE(TRIM('02_대상물건입력'!$B$7)," ",REPT(" ",99)),99)),IF('02_대상물건입력'!B15="",TRUE(),ISNUMBER(SEARCH('02_대상물건입력'!B15,L1730)))),1,0))</f>
        <v/>
      </c>
      <c r="R1730" s="175">
        <f>IFERROR(ABS(E1730-'02_대상물건입력'!B11)/'02_대상물건입력'!B11,"")</f>
        <v/>
      </c>
      <c r="S1730" s="152">
        <f>IFERROR(ABS(J1730-'02_대상물건입력'!B10),"")</f>
        <v/>
      </c>
      <c r="T1730" s="152">
        <f>IFERROR(ABS('01_설정'!B4-F1730),"")</f>
        <v/>
      </c>
      <c r="U1730" s="152">
        <f>IFERROR(ABS(K1730-YEAR('02_대상물건입력'!B14)),"")</f>
        <v/>
      </c>
      <c r="V1730" s="152">
        <f>IF(B1730="","",IF(AND(E1730&gt;0,F1730&gt;0,H1730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1730=1,TRUE()),R1730&lt;='01_설정'!B5,S1730&lt;='01_설정'!B6,T1730&lt;='01_설정'!B7,U1730&lt;='01_설정'!B8),"Y",""))</f>
        <v/>
      </c>
      <c r="W1730" s="172">
        <f>IF(V1730&lt;&gt;"Y","",MAX(0,(1-R1730/'01_설정'!B5))*'01_설정'!B14+MAX(0,(1-S1730/'01_설정'!B6))*'01_설정'!B15+MAX(0,(1-T1730/'01_설정'!B7))*'01_설정'!B16+MAX(0,(1-U1730/'01_설정'!B8))*'01_설정'!B17+O1730*'01_설정'!B11+Q1730*'01_설정'!B12+P1730*'01_설정'!B13+IF(Z1730="",0,Z1730))</f>
        <v/>
      </c>
      <c r="X1730" s="152">
        <f>IF(W1730="","",1+COUNTIFS($W$4:$W$3003,"&gt;"&amp;W1730)+COUNTIFS($W$4:W1730,W1730)-1)</f>
        <v/>
      </c>
      <c r="Y1730" s="175">
        <f>IF(OR(I1730="",'02_대상물건입력'!B19="",'02_대상물건입력'!B19&lt;=0),"",ABS(I1730-'02_대상물건입력'!B19)/'02_대상물건입력'!B19)</f>
        <v/>
      </c>
      <c r="Z1730" s="172">
        <f>IF(OR(Y1730="",'01_설정'!B31="",'01_설정'!B31&lt;=0,'01_설정'!B32="",'01_설정'!B32&lt;=0),"",MAX(0,(1-Y1730/'01_설정'!B32))*'01_설정'!B31)</f>
        <v/>
      </c>
    </row>
    <row r="1731" ht="17.25" customHeight="1">
      <c r="A1731" s="152">
        <f>IF(INDEX('04A_국토부원자료'!$A:$A,ROW()+1)="","",ROW()-3)</f>
        <v/>
      </c>
      <c r="B1731" s="48">
        <f>IFERROR(INDEX('04A_국토부원자료'!$A:$T,ROW()+1,MATCH("시군구",'04A_국토부원자료'!$A$4:$T$4,0)),"")</f>
        <v/>
      </c>
      <c r="C1731" s="48">
        <f>IF(B1731="","",IFERROR(INDEX('04A_국토부원자료'!$A:$T,ROW()+1,MATCH("번지",'04A_국토부원자료'!$A$4:$T$4,0)),""))</f>
        <v/>
      </c>
      <c r="D1731" s="48">
        <f>IF(B1731="","",IF(Q1731=1,'02_대상물건입력'!$B$8,IFERROR(INDEX('04A_국토부원자료'!$A:$T,ROW()+1,MATCH("단지명",'04A_국토부원자료'!$A$4:$T$4,0)),"")))</f>
        <v/>
      </c>
      <c r="E1731" s="172">
        <f>IFERROR(VALUE(SUBSTITUTE(INDEX('04A_국토부원자료'!$A:$T,ROW()+1,MATCH("전용면적(㎡)",'04A_국토부원자료'!$A$4:$T$4,0)),",","")),"")</f>
        <v/>
      </c>
      <c r="F17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31" s="51">
        <f>IFERROR(VALUE(SUBSTITUTE(INDEX('04A_국토부원자료'!$A:$T,ROW()+1,MATCH("거래금액(만원)",'04A_국토부원자료'!$A$4:$T$4,0)),",","")),"")</f>
        <v/>
      </c>
      <c r="H1731" s="174">
        <f>IF(G1731="","",G1731*10000)</f>
        <v/>
      </c>
      <c r="I1731" s="174">
        <f>IFERROR(IF(AND(H1731&gt;0,E1731&gt;0),H1731/E1731,""),"")</f>
        <v/>
      </c>
      <c r="J1731" s="152">
        <f>IFERROR(VALUE(SUBSTITUTE(INDEX('04A_국토부원자료'!$A:$T,ROW()+1,MATCH("층",'04A_국토부원자료'!$A$4:$T$4,0)),",","")),"")</f>
        <v/>
      </c>
      <c r="K1731" s="152">
        <f>IFERROR(VALUE(SUBSTITUTE(INDEX('04A_국토부원자료'!$A:$T,ROW()+1,MATCH("건축년도",'04A_국토부원자료'!$A$4:$T$4,0)),",","")),"")</f>
        <v/>
      </c>
      <c r="L1731" s="176">
        <f>IFERROR(INDEX('04A_국토부원자료'!$A:$T,ROW()+1,MATCH("도로명",'04A_국토부원자료'!$A$4:$T$4,0)),"")</f>
        <v/>
      </c>
      <c r="M1731" s="48">
        <f>IFERROR(INDEX('04A_국토부원자료'!$A:$T,ROW()+1,MATCH("거래유형",'04A_국토부원자료'!$A$4:$T$4,0)),"")</f>
        <v/>
      </c>
      <c r="N1731" s="152">
        <f>IF(B1731="","",IF('02_대상물건입력'!B5="",1,IF(ISNUMBER(SEARCH('02_대상물건입력'!B5,B1731)),1,0)))</f>
        <v/>
      </c>
      <c r="O1731" s="152">
        <f>IF(B1731="","",IF('02_대상물건입력'!B6="",1,IF(ISNUMBER(SEARCH('02_대상물건입력'!B6,B1731)),1,0)))</f>
        <v/>
      </c>
      <c r="P1731" s="152">
        <f>IF(L1731="","",IF('02_대상물건입력'!B15="",0,IF(ISNUMBER(SEARCH('02_대상물건입력'!B15,L1731)),1,0)))</f>
        <v/>
      </c>
      <c r="Q1731" s="152">
        <f>IF(OR(C1731="",L1731=""),0,IF(AND(TRIM(C1731)=TRIM(RIGHT(SUBSTITUTE(TRIM('02_대상물건입력'!$B$7)," ",REPT(" ",99)),99)),IF('02_대상물건입력'!B15="",TRUE(),ISNUMBER(SEARCH('02_대상물건입력'!B15,L1731)))),1,0))</f>
        <v/>
      </c>
      <c r="R1731" s="175">
        <f>IFERROR(ABS(E1731-'02_대상물건입력'!B11)/'02_대상물건입력'!B11,"")</f>
        <v/>
      </c>
      <c r="S1731" s="152">
        <f>IFERROR(ABS(J1731-'02_대상물건입력'!B10),"")</f>
        <v/>
      </c>
      <c r="T1731" s="152">
        <f>IFERROR(ABS('01_설정'!B4-F1731),"")</f>
        <v/>
      </c>
      <c r="U1731" s="152">
        <f>IFERROR(ABS(K1731-YEAR('02_대상물건입력'!B14)),"")</f>
        <v/>
      </c>
      <c r="V1731" s="152">
        <f>IF(B1731="","",IF(AND(E1731&gt;0,F1731&gt;0,H1731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1731=1,TRUE()),R1731&lt;='01_설정'!B5,S1731&lt;='01_설정'!B6,T1731&lt;='01_설정'!B7,U1731&lt;='01_설정'!B8),"Y",""))</f>
        <v/>
      </c>
      <c r="W1731" s="172">
        <f>IF(V1731&lt;&gt;"Y","",MAX(0,(1-R1731/'01_설정'!B5))*'01_설정'!B14+MAX(0,(1-S1731/'01_설정'!B6))*'01_설정'!B15+MAX(0,(1-T1731/'01_설정'!B7))*'01_설정'!B16+MAX(0,(1-U1731/'01_설정'!B8))*'01_설정'!B17+O1731*'01_설정'!B11+Q1731*'01_설정'!B12+P1731*'01_설정'!B13+IF(Z1731="",0,Z1731))</f>
        <v/>
      </c>
      <c r="X1731" s="152">
        <f>IF(W1731="","",1+COUNTIFS($W$4:$W$3003,"&gt;"&amp;W1731)+COUNTIFS($W$4:W1731,W1731)-1)</f>
        <v/>
      </c>
      <c r="Y1731" s="175">
        <f>IF(OR(I1731="",'02_대상물건입력'!B19="",'02_대상물건입력'!B19&lt;=0),"",ABS(I1731-'02_대상물건입력'!B19)/'02_대상물건입력'!B19)</f>
        <v/>
      </c>
      <c r="Z1731" s="172">
        <f>IF(OR(Y1731="",'01_설정'!B31="",'01_설정'!B31&lt;=0,'01_설정'!B32="",'01_설정'!B32&lt;=0),"",MAX(0,(1-Y1731/'01_설정'!B32))*'01_설정'!B31)</f>
        <v/>
      </c>
    </row>
    <row r="1732" ht="17.25" customHeight="1">
      <c r="A1732" s="152">
        <f>IF(INDEX('04A_국토부원자료'!$A:$A,ROW()+1)="","",ROW()-3)</f>
        <v/>
      </c>
      <c r="B1732" s="48">
        <f>IFERROR(INDEX('04A_국토부원자료'!$A:$T,ROW()+1,MATCH("시군구",'04A_국토부원자료'!$A$4:$T$4,0)),"")</f>
        <v/>
      </c>
      <c r="C1732" s="48">
        <f>IF(B1732="","",IFERROR(INDEX('04A_국토부원자료'!$A:$T,ROW()+1,MATCH("번지",'04A_국토부원자료'!$A$4:$T$4,0)),""))</f>
        <v/>
      </c>
      <c r="D1732" s="48">
        <f>IF(B1732="","",IF(Q1732=1,'02_대상물건입력'!$B$8,IFERROR(INDEX('04A_국토부원자료'!$A:$T,ROW()+1,MATCH("단지명",'04A_국토부원자료'!$A$4:$T$4,0)),"")))</f>
        <v/>
      </c>
      <c r="E1732" s="172">
        <f>IFERROR(VALUE(SUBSTITUTE(INDEX('04A_국토부원자료'!$A:$T,ROW()+1,MATCH("전용면적(㎡)",'04A_국토부원자료'!$A$4:$T$4,0)),",","")),"")</f>
        <v/>
      </c>
      <c r="F17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32" s="51">
        <f>IFERROR(VALUE(SUBSTITUTE(INDEX('04A_국토부원자료'!$A:$T,ROW()+1,MATCH("거래금액(만원)",'04A_국토부원자료'!$A$4:$T$4,0)),",","")),"")</f>
        <v/>
      </c>
      <c r="H1732" s="174">
        <f>IF(G1732="","",G1732*10000)</f>
        <v/>
      </c>
      <c r="I1732" s="174">
        <f>IFERROR(IF(AND(H1732&gt;0,E1732&gt;0),H1732/E1732,""),"")</f>
        <v/>
      </c>
      <c r="J1732" s="152">
        <f>IFERROR(VALUE(SUBSTITUTE(INDEX('04A_국토부원자료'!$A:$T,ROW()+1,MATCH("층",'04A_국토부원자료'!$A$4:$T$4,0)),",","")),"")</f>
        <v/>
      </c>
      <c r="K1732" s="152">
        <f>IFERROR(VALUE(SUBSTITUTE(INDEX('04A_국토부원자료'!$A:$T,ROW()+1,MATCH("건축년도",'04A_국토부원자료'!$A$4:$T$4,0)),",","")),"")</f>
        <v/>
      </c>
      <c r="L1732" s="176">
        <f>IFERROR(INDEX('04A_국토부원자료'!$A:$T,ROW()+1,MATCH("도로명",'04A_국토부원자료'!$A$4:$T$4,0)),"")</f>
        <v/>
      </c>
      <c r="M1732" s="48">
        <f>IFERROR(INDEX('04A_국토부원자료'!$A:$T,ROW()+1,MATCH("거래유형",'04A_국토부원자료'!$A$4:$T$4,0)),"")</f>
        <v/>
      </c>
      <c r="N1732" s="152">
        <f>IF(B1732="","",IF('02_대상물건입력'!B5="",1,IF(ISNUMBER(SEARCH('02_대상물건입력'!B5,B1732)),1,0)))</f>
        <v/>
      </c>
      <c r="O1732" s="152">
        <f>IF(B1732="","",IF('02_대상물건입력'!B6="",1,IF(ISNUMBER(SEARCH('02_대상물건입력'!B6,B1732)),1,0)))</f>
        <v/>
      </c>
      <c r="P1732" s="152">
        <f>IF(L1732="","",IF('02_대상물건입력'!B15="",0,IF(ISNUMBER(SEARCH('02_대상물건입력'!B15,L1732)),1,0)))</f>
        <v/>
      </c>
      <c r="Q1732" s="152">
        <f>IF(OR(C1732="",L1732=""),0,IF(AND(TRIM(C1732)=TRIM(RIGHT(SUBSTITUTE(TRIM('02_대상물건입력'!$B$7)," ",REPT(" ",99)),99)),IF('02_대상물건입력'!B15="",TRUE(),ISNUMBER(SEARCH('02_대상물건입력'!B15,L1732)))),1,0))</f>
        <v/>
      </c>
      <c r="R1732" s="175">
        <f>IFERROR(ABS(E1732-'02_대상물건입력'!B11)/'02_대상물건입력'!B11,"")</f>
        <v/>
      </c>
      <c r="S1732" s="152">
        <f>IFERROR(ABS(J1732-'02_대상물건입력'!B10),"")</f>
        <v/>
      </c>
      <c r="T1732" s="152">
        <f>IFERROR(ABS('01_설정'!B4-F1732),"")</f>
        <v/>
      </c>
      <c r="U1732" s="152">
        <f>IFERROR(ABS(K1732-YEAR('02_대상물건입력'!B14)),"")</f>
        <v/>
      </c>
      <c r="V1732" s="152">
        <f>IF(B1732="","",IF(AND(E1732&gt;0,F1732&gt;0,H1732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1732=1,TRUE()),R1732&lt;='01_설정'!B5,S1732&lt;='01_설정'!B6,T1732&lt;='01_설정'!B7,U1732&lt;='01_설정'!B8),"Y",""))</f>
        <v/>
      </c>
      <c r="W1732" s="172">
        <f>IF(V1732&lt;&gt;"Y","",MAX(0,(1-R1732/'01_설정'!B5))*'01_설정'!B14+MAX(0,(1-S1732/'01_설정'!B6))*'01_설정'!B15+MAX(0,(1-T1732/'01_설정'!B7))*'01_설정'!B16+MAX(0,(1-U1732/'01_설정'!B8))*'01_설정'!B17+O1732*'01_설정'!B11+Q1732*'01_설정'!B12+P1732*'01_설정'!B13+IF(Z1732="",0,Z1732))</f>
        <v/>
      </c>
      <c r="X1732" s="152">
        <f>IF(W1732="","",1+COUNTIFS($W$4:$W$3003,"&gt;"&amp;W1732)+COUNTIFS($W$4:W1732,W1732)-1)</f>
        <v/>
      </c>
      <c r="Y1732" s="175">
        <f>IF(OR(I1732="",'02_대상물건입력'!B19="",'02_대상물건입력'!B19&lt;=0),"",ABS(I1732-'02_대상물건입력'!B19)/'02_대상물건입력'!B19)</f>
        <v/>
      </c>
      <c r="Z1732" s="172">
        <f>IF(OR(Y1732="",'01_설정'!B31="",'01_설정'!B31&lt;=0,'01_설정'!B32="",'01_설정'!B32&lt;=0),"",MAX(0,(1-Y1732/'01_설정'!B32))*'01_설정'!B31)</f>
        <v/>
      </c>
    </row>
    <row r="1733" ht="17.25" customHeight="1">
      <c r="A1733" s="152">
        <f>IF(INDEX('04A_국토부원자료'!$A:$A,ROW()+1)="","",ROW()-3)</f>
        <v/>
      </c>
      <c r="B1733" s="48">
        <f>IFERROR(INDEX('04A_국토부원자료'!$A:$T,ROW()+1,MATCH("시군구",'04A_국토부원자료'!$A$4:$T$4,0)),"")</f>
        <v/>
      </c>
      <c r="C1733" s="48">
        <f>IF(B1733="","",IFERROR(INDEX('04A_국토부원자료'!$A:$T,ROW()+1,MATCH("번지",'04A_국토부원자료'!$A$4:$T$4,0)),""))</f>
        <v/>
      </c>
      <c r="D1733" s="48">
        <f>IF(B1733="","",IF(Q1733=1,'02_대상물건입력'!$B$8,IFERROR(INDEX('04A_국토부원자료'!$A:$T,ROW()+1,MATCH("단지명",'04A_국토부원자료'!$A$4:$T$4,0)),"")))</f>
        <v/>
      </c>
      <c r="E1733" s="172">
        <f>IFERROR(VALUE(SUBSTITUTE(INDEX('04A_국토부원자료'!$A:$T,ROW()+1,MATCH("전용면적(㎡)",'04A_국토부원자료'!$A$4:$T$4,0)),",","")),"")</f>
        <v/>
      </c>
      <c r="F17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33" s="51">
        <f>IFERROR(VALUE(SUBSTITUTE(INDEX('04A_국토부원자료'!$A:$T,ROW()+1,MATCH("거래금액(만원)",'04A_국토부원자료'!$A$4:$T$4,0)),",","")),"")</f>
        <v/>
      </c>
      <c r="H1733" s="174">
        <f>IF(G1733="","",G1733*10000)</f>
        <v/>
      </c>
      <c r="I1733" s="174">
        <f>IFERROR(IF(AND(H1733&gt;0,E1733&gt;0),H1733/E1733,""),"")</f>
        <v/>
      </c>
      <c r="J1733" s="152">
        <f>IFERROR(VALUE(SUBSTITUTE(INDEX('04A_국토부원자료'!$A:$T,ROW()+1,MATCH("층",'04A_국토부원자료'!$A$4:$T$4,0)),",","")),"")</f>
        <v/>
      </c>
      <c r="K1733" s="152">
        <f>IFERROR(VALUE(SUBSTITUTE(INDEX('04A_국토부원자료'!$A:$T,ROW()+1,MATCH("건축년도",'04A_국토부원자료'!$A$4:$T$4,0)),",","")),"")</f>
        <v/>
      </c>
      <c r="L1733" s="176">
        <f>IFERROR(INDEX('04A_국토부원자료'!$A:$T,ROW()+1,MATCH("도로명",'04A_국토부원자료'!$A$4:$T$4,0)),"")</f>
        <v/>
      </c>
      <c r="M1733" s="48">
        <f>IFERROR(INDEX('04A_국토부원자료'!$A:$T,ROW()+1,MATCH("거래유형",'04A_국토부원자료'!$A$4:$T$4,0)),"")</f>
        <v/>
      </c>
      <c r="N1733" s="152">
        <f>IF(B1733="","",IF('02_대상물건입력'!B5="",1,IF(ISNUMBER(SEARCH('02_대상물건입력'!B5,B1733)),1,0)))</f>
        <v/>
      </c>
      <c r="O1733" s="152">
        <f>IF(B1733="","",IF('02_대상물건입력'!B6="",1,IF(ISNUMBER(SEARCH('02_대상물건입력'!B6,B1733)),1,0)))</f>
        <v/>
      </c>
      <c r="P1733" s="152">
        <f>IF(L1733="","",IF('02_대상물건입력'!B15="",0,IF(ISNUMBER(SEARCH('02_대상물건입력'!B15,L1733)),1,0)))</f>
        <v/>
      </c>
      <c r="Q1733" s="152">
        <f>IF(OR(C1733="",L1733=""),0,IF(AND(TRIM(C1733)=TRIM(RIGHT(SUBSTITUTE(TRIM('02_대상물건입력'!$B$7)," ",REPT(" ",99)),99)),IF('02_대상물건입력'!B15="",TRUE(),ISNUMBER(SEARCH('02_대상물건입력'!B15,L1733)))),1,0))</f>
        <v/>
      </c>
      <c r="R1733" s="175">
        <f>IFERROR(ABS(E1733-'02_대상물건입력'!B11)/'02_대상물건입력'!B11,"")</f>
        <v/>
      </c>
      <c r="S1733" s="152">
        <f>IFERROR(ABS(J1733-'02_대상물건입력'!B10),"")</f>
        <v/>
      </c>
      <c r="T1733" s="152">
        <f>IFERROR(ABS('01_설정'!B4-F1733),"")</f>
        <v/>
      </c>
      <c r="U1733" s="152">
        <f>IFERROR(ABS(K1733-YEAR('02_대상물건입력'!B14)),"")</f>
        <v/>
      </c>
      <c r="V1733" s="152">
        <f>IF(B1733="","",IF(AND(E1733&gt;0,F1733&gt;0,H1733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1733=1,TRUE()),R1733&lt;='01_설정'!B5,S1733&lt;='01_설정'!B6,T1733&lt;='01_설정'!B7,U1733&lt;='01_설정'!B8),"Y",""))</f>
        <v/>
      </c>
      <c r="W1733" s="172">
        <f>IF(V1733&lt;&gt;"Y","",MAX(0,(1-R1733/'01_설정'!B5))*'01_설정'!B14+MAX(0,(1-S1733/'01_설정'!B6))*'01_설정'!B15+MAX(0,(1-T1733/'01_설정'!B7))*'01_설정'!B16+MAX(0,(1-U1733/'01_설정'!B8))*'01_설정'!B17+O1733*'01_설정'!B11+Q1733*'01_설정'!B12+P1733*'01_설정'!B13+IF(Z1733="",0,Z1733))</f>
        <v/>
      </c>
      <c r="X1733" s="152">
        <f>IF(W1733="","",1+COUNTIFS($W$4:$W$3003,"&gt;"&amp;W1733)+COUNTIFS($W$4:W1733,W1733)-1)</f>
        <v/>
      </c>
      <c r="Y1733" s="175">
        <f>IF(OR(I1733="",'02_대상물건입력'!B19="",'02_대상물건입력'!B19&lt;=0),"",ABS(I1733-'02_대상물건입력'!B19)/'02_대상물건입력'!B19)</f>
        <v/>
      </c>
      <c r="Z1733" s="172">
        <f>IF(OR(Y1733="",'01_설정'!B31="",'01_설정'!B31&lt;=0,'01_설정'!B32="",'01_설정'!B32&lt;=0),"",MAX(0,(1-Y1733/'01_설정'!B32))*'01_설정'!B31)</f>
        <v/>
      </c>
    </row>
    <row r="1734" ht="17.25" customHeight="1">
      <c r="A1734" s="152">
        <f>IF(INDEX('04A_국토부원자료'!$A:$A,ROW()+1)="","",ROW()-3)</f>
        <v/>
      </c>
      <c r="B1734" s="48">
        <f>IFERROR(INDEX('04A_국토부원자료'!$A:$T,ROW()+1,MATCH("시군구",'04A_국토부원자료'!$A$4:$T$4,0)),"")</f>
        <v/>
      </c>
      <c r="C1734" s="48">
        <f>IF(B1734="","",IFERROR(INDEX('04A_국토부원자료'!$A:$T,ROW()+1,MATCH("번지",'04A_국토부원자료'!$A$4:$T$4,0)),""))</f>
        <v/>
      </c>
      <c r="D1734" s="48">
        <f>IF(B1734="","",IF(Q1734=1,'02_대상물건입력'!$B$8,IFERROR(INDEX('04A_국토부원자료'!$A:$T,ROW()+1,MATCH("단지명",'04A_국토부원자료'!$A$4:$T$4,0)),"")))</f>
        <v/>
      </c>
      <c r="E1734" s="172">
        <f>IFERROR(VALUE(SUBSTITUTE(INDEX('04A_국토부원자료'!$A:$T,ROW()+1,MATCH("전용면적(㎡)",'04A_국토부원자료'!$A$4:$T$4,0)),",","")),"")</f>
        <v/>
      </c>
      <c r="F17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34" s="51">
        <f>IFERROR(VALUE(SUBSTITUTE(INDEX('04A_국토부원자료'!$A:$T,ROW()+1,MATCH("거래금액(만원)",'04A_국토부원자료'!$A$4:$T$4,0)),",","")),"")</f>
        <v/>
      </c>
      <c r="H1734" s="174">
        <f>IF(G1734="","",G1734*10000)</f>
        <v/>
      </c>
      <c r="I1734" s="174">
        <f>IFERROR(IF(AND(H1734&gt;0,E1734&gt;0),H1734/E1734,""),"")</f>
        <v/>
      </c>
      <c r="J1734" s="152">
        <f>IFERROR(VALUE(SUBSTITUTE(INDEX('04A_국토부원자료'!$A:$T,ROW()+1,MATCH("층",'04A_국토부원자료'!$A$4:$T$4,0)),",","")),"")</f>
        <v/>
      </c>
      <c r="K1734" s="152">
        <f>IFERROR(VALUE(SUBSTITUTE(INDEX('04A_국토부원자료'!$A:$T,ROW()+1,MATCH("건축년도",'04A_국토부원자료'!$A$4:$T$4,0)),",","")),"")</f>
        <v/>
      </c>
      <c r="L1734" s="176">
        <f>IFERROR(INDEX('04A_국토부원자료'!$A:$T,ROW()+1,MATCH("도로명",'04A_국토부원자료'!$A$4:$T$4,0)),"")</f>
        <v/>
      </c>
      <c r="M1734" s="48">
        <f>IFERROR(INDEX('04A_국토부원자료'!$A:$T,ROW()+1,MATCH("거래유형",'04A_국토부원자료'!$A$4:$T$4,0)),"")</f>
        <v/>
      </c>
      <c r="N1734" s="152">
        <f>IF(B1734="","",IF('02_대상물건입력'!B5="",1,IF(ISNUMBER(SEARCH('02_대상물건입력'!B5,B1734)),1,0)))</f>
        <v/>
      </c>
      <c r="O1734" s="152">
        <f>IF(B1734="","",IF('02_대상물건입력'!B6="",1,IF(ISNUMBER(SEARCH('02_대상물건입력'!B6,B1734)),1,0)))</f>
        <v/>
      </c>
      <c r="P1734" s="152">
        <f>IF(L1734="","",IF('02_대상물건입력'!B15="",0,IF(ISNUMBER(SEARCH('02_대상물건입력'!B15,L1734)),1,0)))</f>
        <v/>
      </c>
      <c r="Q1734" s="152">
        <f>IF(OR(C1734="",L1734=""),0,IF(AND(TRIM(C1734)=TRIM(RIGHT(SUBSTITUTE(TRIM('02_대상물건입력'!$B$7)," ",REPT(" ",99)),99)),IF('02_대상물건입력'!B15="",TRUE(),ISNUMBER(SEARCH('02_대상물건입력'!B15,L1734)))),1,0))</f>
        <v/>
      </c>
      <c r="R1734" s="175">
        <f>IFERROR(ABS(E1734-'02_대상물건입력'!B11)/'02_대상물건입력'!B11,"")</f>
        <v/>
      </c>
      <c r="S1734" s="152">
        <f>IFERROR(ABS(J1734-'02_대상물건입력'!B10),"")</f>
        <v/>
      </c>
      <c r="T1734" s="152">
        <f>IFERROR(ABS('01_설정'!B4-F1734),"")</f>
        <v/>
      </c>
      <c r="U1734" s="152">
        <f>IFERROR(ABS(K1734-YEAR('02_대상물건입력'!B14)),"")</f>
        <v/>
      </c>
      <c r="V1734" s="152">
        <f>IF(B1734="","",IF(AND(E1734&gt;0,F1734&gt;0,H1734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1734=1,TRUE()),R1734&lt;='01_설정'!B5,S1734&lt;='01_설정'!B6,T1734&lt;='01_설정'!B7,U1734&lt;='01_설정'!B8),"Y",""))</f>
        <v/>
      </c>
      <c r="W1734" s="172">
        <f>IF(V1734&lt;&gt;"Y","",MAX(0,(1-R1734/'01_설정'!B5))*'01_설정'!B14+MAX(0,(1-S1734/'01_설정'!B6))*'01_설정'!B15+MAX(0,(1-T1734/'01_설정'!B7))*'01_설정'!B16+MAX(0,(1-U1734/'01_설정'!B8))*'01_설정'!B17+O1734*'01_설정'!B11+Q1734*'01_설정'!B12+P1734*'01_설정'!B13+IF(Z1734="",0,Z1734))</f>
        <v/>
      </c>
      <c r="X1734" s="152">
        <f>IF(W1734="","",1+COUNTIFS($W$4:$W$3003,"&gt;"&amp;W1734)+COUNTIFS($W$4:W1734,W1734)-1)</f>
        <v/>
      </c>
      <c r="Y1734" s="175">
        <f>IF(OR(I1734="",'02_대상물건입력'!B19="",'02_대상물건입력'!B19&lt;=0),"",ABS(I1734-'02_대상물건입력'!B19)/'02_대상물건입력'!B19)</f>
        <v/>
      </c>
      <c r="Z1734" s="172">
        <f>IF(OR(Y1734="",'01_설정'!B31="",'01_설정'!B31&lt;=0,'01_설정'!B32="",'01_설정'!B32&lt;=0),"",MAX(0,(1-Y1734/'01_설정'!B32))*'01_설정'!B31)</f>
        <v/>
      </c>
    </row>
    <row r="1735" ht="17.25" customHeight="1">
      <c r="A1735" s="152">
        <f>IF(INDEX('04A_국토부원자료'!$A:$A,ROW()+1)="","",ROW()-3)</f>
        <v/>
      </c>
      <c r="B1735" s="48">
        <f>IFERROR(INDEX('04A_국토부원자료'!$A:$T,ROW()+1,MATCH("시군구",'04A_국토부원자료'!$A$4:$T$4,0)),"")</f>
        <v/>
      </c>
      <c r="C1735" s="48">
        <f>IF(B1735="","",IFERROR(INDEX('04A_국토부원자료'!$A:$T,ROW()+1,MATCH("번지",'04A_국토부원자료'!$A$4:$T$4,0)),""))</f>
        <v/>
      </c>
      <c r="D1735" s="48">
        <f>IF(B1735="","",IF(Q1735=1,'02_대상물건입력'!$B$8,IFERROR(INDEX('04A_국토부원자료'!$A:$T,ROW()+1,MATCH("단지명",'04A_국토부원자료'!$A$4:$T$4,0)),"")))</f>
        <v/>
      </c>
      <c r="E1735" s="172">
        <f>IFERROR(VALUE(SUBSTITUTE(INDEX('04A_국토부원자료'!$A:$T,ROW()+1,MATCH("전용면적(㎡)",'04A_국토부원자료'!$A$4:$T$4,0)),",","")),"")</f>
        <v/>
      </c>
      <c r="F17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35" s="51">
        <f>IFERROR(VALUE(SUBSTITUTE(INDEX('04A_국토부원자료'!$A:$T,ROW()+1,MATCH("거래금액(만원)",'04A_국토부원자료'!$A$4:$T$4,0)),",","")),"")</f>
        <v/>
      </c>
      <c r="H1735" s="174">
        <f>IF(G1735="","",G1735*10000)</f>
        <v/>
      </c>
      <c r="I1735" s="174">
        <f>IFERROR(IF(AND(H1735&gt;0,E1735&gt;0),H1735/E1735,""),"")</f>
        <v/>
      </c>
      <c r="J1735" s="152">
        <f>IFERROR(VALUE(SUBSTITUTE(INDEX('04A_국토부원자료'!$A:$T,ROW()+1,MATCH("층",'04A_국토부원자료'!$A$4:$T$4,0)),",","")),"")</f>
        <v/>
      </c>
      <c r="K1735" s="152">
        <f>IFERROR(VALUE(SUBSTITUTE(INDEX('04A_국토부원자료'!$A:$T,ROW()+1,MATCH("건축년도",'04A_국토부원자료'!$A$4:$T$4,0)),",","")),"")</f>
        <v/>
      </c>
      <c r="L1735" s="176">
        <f>IFERROR(INDEX('04A_국토부원자료'!$A:$T,ROW()+1,MATCH("도로명",'04A_국토부원자료'!$A$4:$T$4,0)),"")</f>
        <v/>
      </c>
      <c r="M1735" s="48">
        <f>IFERROR(INDEX('04A_국토부원자료'!$A:$T,ROW()+1,MATCH("거래유형",'04A_국토부원자료'!$A$4:$T$4,0)),"")</f>
        <v/>
      </c>
      <c r="N1735" s="152">
        <f>IF(B1735="","",IF('02_대상물건입력'!B5="",1,IF(ISNUMBER(SEARCH('02_대상물건입력'!B5,B1735)),1,0)))</f>
        <v/>
      </c>
      <c r="O1735" s="152">
        <f>IF(B1735="","",IF('02_대상물건입력'!B6="",1,IF(ISNUMBER(SEARCH('02_대상물건입력'!B6,B1735)),1,0)))</f>
        <v/>
      </c>
      <c r="P1735" s="152">
        <f>IF(L1735="","",IF('02_대상물건입력'!B15="",0,IF(ISNUMBER(SEARCH('02_대상물건입력'!B15,L1735)),1,0)))</f>
        <v/>
      </c>
      <c r="Q1735" s="152">
        <f>IF(OR(C1735="",L1735=""),0,IF(AND(TRIM(C1735)=TRIM(RIGHT(SUBSTITUTE(TRIM('02_대상물건입력'!$B$7)," ",REPT(" ",99)),99)),IF('02_대상물건입력'!B15="",TRUE(),ISNUMBER(SEARCH('02_대상물건입력'!B15,L1735)))),1,0))</f>
        <v/>
      </c>
      <c r="R1735" s="175">
        <f>IFERROR(ABS(E1735-'02_대상물건입력'!B11)/'02_대상물건입력'!B11,"")</f>
        <v/>
      </c>
      <c r="S1735" s="152">
        <f>IFERROR(ABS(J1735-'02_대상물건입력'!B10),"")</f>
        <v/>
      </c>
      <c r="T1735" s="152">
        <f>IFERROR(ABS('01_설정'!B4-F1735),"")</f>
        <v/>
      </c>
      <c r="U1735" s="152">
        <f>IFERROR(ABS(K1735-YEAR('02_대상물건입력'!B14)),"")</f>
        <v/>
      </c>
      <c r="V1735" s="152">
        <f>IF(B1735="","",IF(AND(E1735&gt;0,F1735&gt;0,H1735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1735=1,TRUE()),R1735&lt;='01_설정'!B5,S1735&lt;='01_설정'!B6,T1735&lt;='01_설정'!B7,U1735&lt;='01_설정'!B8),"Y",""))</f>
        <v/>
      </c>
      <c r="W1735" s="172">
        <f>IF(V1735&lt;&gt;"Y","",MAX(0,(1-R1735/'01_설정'!B5))*'01_설정'!B14+MAX(0,(1-S1735/'01_설정'!B6))*'01_설정'!B15+MAX(0,(1-T1735/'01_설정'!B7))*'01_설정'!B16+MAX(0,(1-U1735/'01_설정'!B8))*'01_설정'!B17+O1735*'01_설정'!B11+Q1735*'01_설정'!B12+P1735*'01_설정'!B13+IF(Z1735="",0,Z1735))</f>
        <v/>
      </c>
      <c r="X1735" s="152">
        <f>IF(W1735="","",1+COUNTIFS($W$4:$W$3003,"&gt;"&amp;W1735)+COUNTIFS($W$4:W1735,W1735)-1)</f>
        <v/>
      </c>
      <c r="Y1735" s="175">
        <f>IF(OR(I1735="",'02_대상물건입력'!B19="",'02_대상물건입력'!B19&lt;=0),"",ABS(I1735-'02_대상물건입력'!B19)/'02_대상물건입력'!B19)</f>
        <v/>
      </c>
      <c r="Z1735" s="172">
        <f>IF(OR(Y1735="",'01_설정'!B31="",'01_설정'!B31&lt;=0,'01_설정'!B32="",'01_설정'!B32&lt;=0),"",MAX(0,(1-Y1735/'01_설정'!B32))*'01_설정'!B31)</f>
        <v/>
      </c>
    </row>
    <row r="1736" ht="17.25" customHeight="1">
      <c r="A1736" s="152">
        <f>IF(INDEX('04A_국토부원자료'!$A:$A,ROW()+1)="","",ROW()-3)</f>
        <v/>
      </c>
      <c r="B1736" s="48">
        <f>IFERROR(INDEX('04A_국토부원자료'!$A:$T,ROW()+1,MATCH("시군구",'04A_국토부원자료'!$A$4:$T$4,0)),"")</f>
        <v/>
      </c>
      <c r="C1736" s="48">
        <f>IF(B1736="","",IFERROR(INDEX('04A_국토부원자료'!$A:$T,ROW()+1,MATCH("번지",'04A_국토부원자료'!$A$4:$T$4,0)),""))</f>
        <v/>
      </c>
      <c r="D1736" s="48">
        <f>IF(B1736="","",IF(Q1736=1,'02_대상물건입력'!$B$8,IFERROR(INDEX('04A_국토부원자료'!$A:$T,ROW()+1,MATCH("단지명",'04A_국토부원자료'!$A$4:$T$4,0)),"")))</f>
        <v/>
      </c>
      <c r="E1736" s="172">
        <f>IFERROR(VALUE(SUBSTITUTE(INDEX('04A_국토부원자료'!$A:$T,ROW()+1,MATCH("전용면적(㎡)",'04A_국토부원자료'!$A$4:$T$4,0)),",","")),"")</f>
        <v/>
      </c>
      <c r="F17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36" s="51">
        <f>IFERROR(VALUE(SUBSTITUTE(INDEX('04A_국토부원자료'!$A:$T,ROW()+1,MATCH("거래금액(만원)",'04A_국토부원자료'!$A$4:$T$4,0)),",","")),"")</f>
        <v/>
      </c>
      <c r="H1736" s="174">
        <f>IF(G1736="","",G1736*10000)</f>
        <v/>
      </c>
      <c r="I1736" s="174">
        <f>IFERROR(IF(AND(H1736&gt;0,E1736&gt;0),H1736/E1736,""),"")</f>
        <v/>
      </c>
      <c r="J1736" s="152">
        <f>IFERROR(VALUE(SUBSTITUTE(INDEX('04A_국토부원자료'!$A:$T,ROW()+1,MATCH("층",'04A_국토부원자료'!$A$4:$T$4,0)),",","")),"")</f>
        <v/>
      </c>
      <c r="K1736" s="152">
        <f>IFERROR(VALUE(SUBSTITUTE(INDEX('04A_국토부원자료'!$A:$T,ROW()+1,MATCH("건축년도",'04A_국토부원자료'!$A$4:$T$4,0)),",","")),"")</f>
        <v/>
      </c>
      <c r="L1736" s="176">
        <f>IFERROR(INDEX('04A_국토부원자료'!$A:$T,ROW()+1,MATCH("도로명",'04A_국토부원자료'!$A$4:$T$4,0)),"")</f>
        <v/>
      </c>
      <c r="M1736" s="48">
        <f>IFERROR(INDEX('04A_국토부원자료'!$A:$T,ROW()+1,MATCH("거래유형",'04A_국토부원자료'!$A$4:$T$4,0)),"")</f>
        <v/>
      </c>
      <c r="N1736" s="152">
        <f>IF(B1736="","",IF('02_대상물건입력'!B5="",1,IF(ISNUMBER(SEARCH('02_대상물건입력'!B5,B1736)),1,0)))</f>
        <v/>
      </c>
      <c r="O1736" s="152">
        <f>IF(B1736="","",IF('02_대상물건입력'!B6="",1,IF(ISNUMBER(SEARCH('02_대상물건입력'!B6,B1736)),1,0)))</f>
        <v/>
      </c>
      <c r="P1736" s="152">
        <f>IF(L1736="","",IF('02_대상물건입력'!B15="",0,IF(ISNUMBER(SEARCH('02_대상물건입력'!B15,L1736)),1,0)))</f>
        <v/>
      </c>
      <c r="Q1736" s="152">
        <f>IF(OR(C1736="",L1736=""),0,IF(AND(TRIM(C1736)=TRIM(RIGHT(SUBSTITUTE(TRIM('02_대상물건입력'!$B$7)," ",REPT(" ",99)),99)),IF('02_대상물건입력'!B15="",TRUE(),ISNUMBER(SEARCH('02_대상물건입력'!B15,L1736)))),1,0))</f>
        <v/>
      </c>
      <c r="R1736" s="175">
        <f>IFERROR(ABS(E1736-'02_대상물건입력'!B11)/'02_대상물건입력'!B11,"")</f>
        <v/>
      </c>
      <c r="S1736" s="152">
        <f>IFERROR(ABS(J1736-'02_대상물건입력'!B10),"")</f>
        <v/>
      </c>
      <c r="T1736" s="152">
        <f>IFERROR(ABS('01_설정'!B4-F1736),"")</f>
        <v/>
      </c>
      <c r="U1736" s="152">
        <f>IFERROR(ABS(K1736-YEAR('02_대상물건입력'!B14)),"")</f>
        <v/>
      </c>
      <c r="V1736" s="152">
        <f>IF(B1736="","",IF(AND(E1736&gt;0,F1736&gt;0,H1736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1736=1,TRUE()),R1736&lt;='01_설정'!B5,S1736&lt;='01_설정'!B6,T1736&lt;='01_설정'!B7,U1736&lt;='01_설정'!B8),"Y",""))</f>
        <v/>
      </c>
      <c r="W1736" s="172">
        <f>IF(V1736&lt;&gt;"Y","",MAX(0,(1-R1736/'01_설정'!B5))*'01_설정'!B14+MAX(0,(1-S1736/'01_설정'!B6))*'01_설정'!B15+MAX(0,(1-T1736/'01_설정'!B7))*'01_설정'!B16+MAX(0,(1-U1736/'01_설정'!B8))*'01_설정'!B17+O1736*'01_설정'!B11+Q1736*'01_설정'!B12+P1736*'01_설정'!B13+IF(Z1736="",0,Z1736))</f>
        <v/>
      </c>
      <c r="X1736" s="152">
        <f>IF(W1736="","",1+COUNTIFS($W$4:$W$3003,"&gt;"&amp;W1736)+COUNTIFS($W$4:W1736,W1736)-1)</f>
        <v/>
      </c>
      <c r="Y1736" s="175">
        <f>IF(OR(I1736="",'02_대상물건입력'!B19="",'02_대상물건입력'!B19&lt;=0),"",ABS(I1736-'02_대상물건입력'!B19)/'02_대상물건입력'!B19)</f>
        <v/>
      </c>
      <c r="Z1736" s="172">
        <f>IF(OR(Y1736="",'01_설정'!B31="",'01_설정'!B31&lt;=0,'01_설정'!B32="",'01_설정'!B32&lt;=0),"",MAX(0,(1-Y1736/'01_설정'!B32))*'01_설정'!B31)</f>
        <v/>
      </c>
    </row>
    <row r="1737" ht="17.25" customHeight="1">
      <c r="A1737" s="152">
        <f>IF(INDEX('04A_국토부원자료'!$A:$A,ROW()+1)="","",ROW()-3)</f>
        <v/>
      </c>
      <c r="B1737" s="48">
        <f>IFERROR(INDEX('04A_국토부원자료'!$A:$T,ROW()+1,MATCH("시군구",'04A_국토부원자료'!$A$4:$T$4,0)),"")</f>
        <v/>
      </c>
      <c r="C1737" s="48">
        <f>IF(B1737="","",IFERROR(INDEX('04A_국토부원자료'!$A:$T,ROW()+1,MATCH("번지",'04A_국토부원자료'!$A$4:$T$4,0)),""))</f>
        <v/>
      </c>
      <c r="D1737" s="48">
        <f>IF(B1737="","",IF(Q1737=1,'02_대상물건입력'!$B$8,IFERROR(INDEX('04A_국토부원자료'!$A:$T,ROW()+1,MATCH("단지명",'04A_국토부원자료'!$A$4:$T$4,0)),"")))</f>
        <v/>
      </c>
      <c r="E1737" s="172">
        <f>IFERROR(VALUE(SUBSTITUTE(INDEX('04A_국토부원자료'!$A:$T,ROW()+1,MATCH("전용면적(㎡)",'04A_국토부원자료'!$A$4:$T$4,0)),",","")),"")</f>
        <v/>
      </c>
      <c r="F17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37" s="51">
        <f>IFERROR(VALUE(SUBSTITUTE(INDEX('04A_국토부원자료'!$A:$T,ROW()+1,MATCH("거래금액(만원)",'04A_국토부원자료'!$A$4:$T$4,0)),",","")),"")</f>
        <v/>
      </c>
      <c r="H1737" s="174">
        <f>IF(G1737="","",G1737*10000)</f>
        <v/>
      </c>
      <c r="I1737" s="174">
        <f>IFERROR(IF(AND(H1737&gt;0,E1737&gt;0),H1737/E1737,""),"")</f>
        <v/>
      </c>
      <c r="J1737" s="152">
        <f>IFERROR(VALUE(SUBSTITUTE(INDEX('04A_국토부원자료'!$A:$T,ROW()+1,MATCH("층",'04A_국토부원자료'!$A$4:$T$4,0)),",","")),"")</f>
        <v/>
      </c>
      <c r="K1737" s="152">
        <f>IFERROR(VALUE(SUBSTITUTE(INDEX('04A_국토부원자료'!$A:$T,ROW()+1,MATCH("건축년도",'04A_국토부원자료'!$A$4:$T$4,0)),",","")),"")</f>
        <v/>
      </c>
      <c r="L1737" s="176">
        <f>IFERROR(INDEX('04A_국토부원자료'!$A:$T,ROW()+1,MATCH("도로명",'04A_국토부원자료'!$A$4:$T$4,0)),"")</f>
        <v/>
      </c>
      <c r="M1737" s="48">
        <f>IFERROR(INDEX('04A_국토부원자료'!$A:$T,ROW()+1,MATCH("거래유형",'04A_국토부원자료'!$A$4:$T$4,0)),"")</f>
        <v/>
      </c>
      <c r="N1737" s="152">
        <f>IF(B1737="","",IF('02_대상물건입력'!B5="",1,IF(ISNUMBER(SEARCH('02_대상물건입력'!B5,B1737)),1,0)))</f>
        <v/>
      </c>
      <c r="O1737" s="152">
        <f>IF(B1737="","",IF('02_대상물건입력'!B6="",1,IF(ISNUMBER(SEARCH('02_대상물건입력'!B6,B1737)),1,0)))</f>
        <v/>
      </c>
      <c r="P1737" s="152">
        <f>IF(L1737="","",IF('02_대상물건입력'!B15="",0,IF(ISNUMBER(SEARCH('02_대상물건입력'!B15,L1737)),1,0)))</f>
        <v/>
      </c>
      <c r="Q1737" s="152">
        <f>IF(OR(C1737="",L1737=""),0,IF(AND(TRIM(C1737)=TRIM(RIGHT(SUBSTITUTE(TRIM('02_대상물건입력'!$B$7)," ",REPT(" ",99)),99)),IF('02_대상물건입력'!B15="",TRUE(),ISNUMBER(SEARCH('02_대상물건입력'!B15,L1737)))),1,0))</f>
        <v/>
      </c>
      <c r="R1737" s="175">
        <f>IFERROR(ABS(E1737-'02_대상물건입력'!B11)/'02_대상물건입력'!B11,"")</f>
        <v/>
      </c>
      <c r="S1737" s="152">
        <f>IFERROR(ABS(J1737-'02_대상물건입력'!B10),"")</f>
        <v/>
      </c>
      <c r="T1737" s="152">
        <f>IFERROR(ABS('01_설정'!B4-F1737),"")</f>
        <v/>
      </c>
      <c r="U1737" s="152">
        <f>IFERROR(ABS(K1737-YEAR('02_대상물건입력'!B14)),"")</f>
        <v/>
      </c>
      <c r="V1737" s="152">
        <f>IF(B1737="","",IF(AND(E1737&gt;0,F1737&gt;0,H1737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1737=1,TRUE()),R1737&lt;='01_설정'!B5,S1737&lt;='01_설정'!B6,T1737&lt;='01_설정'!B7,U1737&lt;='01_설정'!B8),"Y",""))</f>
        <v/>
      </c>
      <c r="W1737" s="172">
        <f>IF(V1737&lt;&gt;"Y","",MAX(0,(1-R1737/'01_설정'!B5))*'01_설정'!B14+MAX(0,(1-S1737/'01_설정'!B6))*'01_설정'!B15+MAX(0,(1-T1737/'01_설정'!B7))*'01_설정'!B16+MAX(0,(1-U1737/'01_설정'!B8))*'01_설정'!B17+O1737*'01_설정'!B11+Q1737*'01_설정'!B12+P1737*'01_설정'!B13+IF(Z1737="",0,Z1737))</f>
        <v/>
      </c>
      <c r="X1737" s="152">
        <f>IF(W1737="","",1+COUNTIFS($W$4:$W$3003,"&gt;"&amp;W1737)+COUNTIFS($W$4:W1737,W1737)-1)</f>
        <v/>
      </c>
      <c r="Y1737" s="175">
        <f>IF(OR(I1737="",'02_대상물건입력'!B19="",'02_대상물건입력'!B19&lt;=0),"",ABS(I1737-'02_대상물건입력'!B19)/'02_대상물건입력'!B19)</f>
        <v/>
      </c>
      <c r="Z1737" s="172">
        <f>IF(OR(Y1737="",'01_설정'!B31="",'01_설정'!B31&lt;=0,'01_설정'!B32="",'01_설정'!B32&lt;=0),"",MAX(0,(1-Y1737/'01_설정'!B32))*'01_설정'!B31)</f>
        <v/>
      </c>
    </row>
    <row r="1738" ht="17.25" customHeight="1">
      <c r="A1738" s="152">
        <f>IF(INDEX('04A_국토부원자료'!$A:$A,ROW()+1)="","",ROW()-3)</f>
        <v/>
      </c>
      <c r="B1738" s="48">
        <f>IFERROR(INDEX('04A_국토부원자료'!$A:$T,ROW()+1,MATCH("시군구",'04A_국토부원자료'!$A$4:$T$4,0)),"")</f>
        <v/>
      </c>
      <c r="C1738" s="48">
        <f>IF(B1738="","",IFERROR(INDEX('04A_국토부원자료'!$A:$T,ROW()+1,MATCH("번지",'04A_국토부원자료'!$A$4:$T$4,0)),""))</f>
        <v/>
      </c>
      <c r="D1738" s="48">
        <f>IF(B1738="","",IF(Q1738=1,'02_대상물건입력'!$B$8,IFERROR(INDEX('04A_국토부원자료'!$A:$T,ROW()+1,MATCH("단지명",'04A_국토부원자료'!$A$4:$T$4,0)),"")))</f>
        <v/>
      </c>
      <c r="E1738" s="172">
        <f>IFERROR(VALUE(SUBSTITUTE(INDEX('04A_국토부원자료'!$A:$T,ROW()+1,MATCH("전용면적(㎡)",'04A_국토부원자료'!$A$4:$T$4,0)),",","")),"")</f>
        <v/>
      </c>
      <c r="F17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38" s="51">
        <f>IFERROR(VALUE(SUBSTITUTE(INDEX('04A_국토부원자료'!$A:$T,ROW()+1,MATCH("거래금액(만원)",'04A_국토부원자료'!$A$4:$T$4,0)),",","")),"")</f>
        <v/>
      </c>
      <c r="H1738" s="174">
        <f>IF(G1738="","",G1738*10000)</f>
        <v/>
      </c>
      <c r="I1738" s="174">
        <f>IFERROR(IF(AND(H1738&gt;0,E1738&gt;0),H1738/E1738,""),"")</f>
        <v/>
      </c>
      <c r="J1738" s="152">
        <f>IFERROR(VALUE(SUBSTITUTE(INDEX('04A_국토부원자료'!$A:$T,ROW()+1,MATCH("층",'04A_국토부원자료'!$A$4:$T$4,0)),",","")),"")</f>
        <v/>
      </c>
      <c r="K1738" s="152">
        <f>IFERROR(VALUE(SUBSTITUTE(INDEX('04A_국토부원자료'!$A:$T,ROW()+1,MATCH("건축년도",'04A_국토부원자료'!$A$4:$T$4,0)),",","")),"")</f>
        <v/>
      </c>
      <c r="L1738" s="176">
        <f>IFERROR(INDEX('04A_국토부원자료'!$A:$T,ROW()+1,MATCH("도로명",'04A_국토부원자료'!$A$4:$T$4,0)),"")</f>
        <v/>
      </c>
      <c r="M1738" s="48">
        <f>IFERROR(INDEX('04A_국토부원자료'!$A:$T,ROW()+1,MATCH("거래유형",'04A_국토부원자료'!$A$4:$T$4,0)),"")</f>
        <v/>
      </c>
      <c r="N1738" s="152">
        <f>IF(B1738="","",IF('02_대상물건입력'!B5="",1,IF(ISNUMBER(SEARCH('02_대상물건입력'!B5,B1738)),1,0)))</f>
        <v/>
      </c>
      <c r="O1738" s="152">
        <f>IF(B1738="","",IF('02_대상물건입력'!B6="",1,IF(ISNUMBER(SEARCH('02_대상물건입력'!B6,B1738)),1,0)))</f>
        <v/>
      </c>
      <c r="P1738" s="152">
        <f>IF(L1738="","",IF('02_대상물건입력'!B15="",0,IF(ISNUMBER(SEARCH('02_대상물건입력'!B15,L1738)),1,0)))</f>
        <v/>
      </c>
      <c r="Q1738" s="152">
        <f>IF(OR(C1738="",L1738=""),0,IF(AND(TRIM(C1738)=TRIM(RIGHT(SUBSTITUTE(TRIM('02_대상물건입력'!$B$7)," ",REPT(" ",99)),99)),IF('02_대상물건입력'!B15="",TRUE(),ISNUMBER(SEARCH('02_대상물건입력'!B15,L1738)))),1,0))</f>
        <v/>
      </c>
      <c r="R1738" s="175">
        <f>IFERROR(ABS(E1738-'02_대상물건입력'!B11)/'02_대상물건입력'!B11,"")</f>
        <v/>
      </c>
      <c r="S1738" s="152">
        <f>IFERROR(ABS(J1738-'02_대상물건입력'!B10),"")</f>
        <v/>
      </c>
      <c r="T1738" s="152">
        <f>IFERROR(ABS('01_설정'!B4-F1738),"")</f>
        <v/>
      </c>
      <c r="U1738" s="152">
        <f>IFERROR(ABS(K1738-YEAR('02_대상물건입력'!B14)),"")</f>
        <v/>
      </c>
      <c r="V1738" s="152">
        <f>IF(B1738="","",IF(AND(E1738&gt;0,F1738&gt;0,H1738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1738=1,TRUE()),R1738&lt;='01_설정'!B5,S1738&lt;='01_설정'!B6,T1738&lt;='01_설정'!B7,U1738&lt;='01_설정'!B8),"Y",""))</f>
        <v/>
      </c>
      <c r="W1738" s="172">
        <f>IF(V1738&lt;&gt;"Y","",MAX(0,(1-R1738/'01_설정'!B5))*'01_설정'!B14+MAX(0,(1-S1738/'01_설정'!B6))*'01_설정'!B15+MAX(0,(1-T1738/'01_설정'!B7))*'01_설정'!B16+MAX(0,(1-U1738/'01_설정'!B8))*'01_설정'!B17+O1738*'01_설정'!B11+Q1738*'01_설정'!B12+P1738*'01_설정'!B13+IF(Z1738="",0,Z1738))</f>
        <v/>
      </c>
      <c r="X1738" s="152">
        <f>IF(W1738="","",1+COUNTIFS($W$4:$W$3003,"&gt;"&amp;W1738)+COUNTIFS($W$4:W1738,W1738)-1)</f>
        <v/>
      </c>
      <c r="Y1738" s="175">
        <f>IF(OR(I1738="",'02_대상물건입력'!B19="",'02_대상물건입력'!B19&lt;=0),"",ABS(I1738-'02_대상물건입력'!B19)/'02_대상물건입력'!B19)</f>
        <v/>
      </c>
      <c r="Z1738" s="172">
        <f>IF(OR(Y1738="",'01_설정'!B31="",'01_설정'!B31&lt;=0,'01_설정'!B32="",'01_설정'!B32&lt;=0),"",MAX(0,(1-Y1738/'01_설정'!B32))*'01_설정'!B31)</f>
        <v/>
      </c>
    </row>
    <row r="1739" ht="17.25" customHeight="1">
      <c r="A1739" s="152">
        <f>IF(INDEX('04A_국토부원자료'!$A:$A,ROW()+1)="","",ROW()-3)</f>
        <v/>
      </c>
      <c r="B1739" s="48">
        <f>IFERROR(INDEX('04A_국토부원자료'!$A:$T,ROW()+1,MATCH("시군구",'04A_국토부원자료'!$A$4:$T$4,0)),"")</f>
        <v/>
      </c>
      <c r="C1739" s="48">
        <f>IF(B1739="","",IFERROR(INDEX('04A_국토부원자료'!$A:$T,ROW()+1,MATCH("번지",'04A_국토부원자료'!$A$4:$T$4,0)),""))</f>
        <v/>
      </c>
      <c r="D1739" s="48">
        <f>IF(B1739="","",IF(Q1739=1,'02_대상물건입력'!$B$8,IFERROR(INDEX('04A_국토부원자료'!$A:$T,ROW()+1,MATCH("단지명",'04A_국토부원자료'!$A$4:$T$4,0)),"")))</f>
        <v/>
      </c>
      <c r="E1739" s="172">
        <f>IFERROR(VALUE(SUBSTITUTE(INDEX('04A_국토부원자료'!$A:$T,ROW()+1,MATCH("전용면적(㎡)",'04A_국토부원자료'!$A$4:$T$4,0)),",","")),"")</f>
        <v/>
      </c>
      <c r="F17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39" s="51">
        <f>IFERROR(VALUE(SUBSTITUTE(INDEX('04A_국토부원자료'!$A:$T,ROW()+1,MATCH("거래금액(만원)",'04A_국토부원자료'!$A$4:$T$4,0)),",","")),"")</f>
        <v/>
      </c>
      <c r="H1739" s="174">
        <f>IF(G1739="","",G1739*10000)</f>
        <v/>
      </c>
      <c r="I1739" s="174">
        <f>IFERROR(IF(AND(H1739&gt;0,E1739&gt;0),H1739/E1739,""),"")</f>
        <v/>
      </c>
      <c r="J1739" s="152">
        <f>IFERROR(VALUE(SUBSTITUTE(INDEX('04A_국토부원자료'!$A:$T,ROW()+1,MATCH("층",'04A_국토부원자료'!$A$4:$T$4,0)),",","")),"")</f>
        <v/>
      </c>
      <c r="K1739" s="152">
        <f>IFERROR(VALUE(SUBSTITUTE(INDEX('04A_국토부원자료'!$A:$T,ROW()+1,MATCH("건축년도",'04A_국토부원자료'!$A$4:$T$4,0)),",","")),"")</f>
        <v/>
      </c>
      <c r="L1739" s="176">
        <f>IFERROR(INDEX('04A_국토부원자료'!$A:$T,ROW()+1,MATCH("도로명",'04A_국토부원자료'!$A$4:$T$4,0)),"")</f>
        <v/>
      </c>
      <c r="M1739" s="48">
        <f>IFERROR(INDEX('04A_국토부원자료'!$A:$T,ROW()+1,MATCH("거래유형",'04A_국토부원자료'!$A$4:$T$4,0)),"")</f>
        <v/>
      </c>
      <c r="N1739" s="152">
        <f>IF(B1739="","",IF('02_대상물건입력'!B5="",1,IF(ISNUMBER(SEARCH('02_대상물건입력'!B5,B1739)),1,0)))</f>
        <v/>
      </c>
      <c r="O1739" s="152">
        <f>IF(B1739="","",IF('02_대상물건입력'!B6="",1,IF(ISNUMBER(SEARCH('02_대상물건입력'!B6,B1739)),1,0)))</f>
        <v/>
      </c>
      <c r="P1739" s="152">
        <f>IF(L1739="","",IF('02_대상물건입력'!B15="",0,IF(ISNUMBER(SEARCH('02_대상물건입력'!B15,L1739)),1,0)))</f>
        <v/>
      </c>
      <c r="Q1739" s="152">
        <f>IF(OR(C1739="",L1739=""),0,IF(AND(TRIM(C1739)=TRIM(RIGHT(SUBSTITUTE(TRIM('02_대상물건입력'!$B$7)," ",REPT(" ",99)),99)),IF('02_대상물건입력'!B15="",TRUE(),ISNUMBER(SEARCH('02_대상물건입력'!B15,L1739)))),1,0))</f>
        <v/>
      </c>
      <c r="R1739" s="175">
        <f>IFERROR(ABS(E1739-'02_대상물건입력'!B11)/'02_대상물건입력'!B11,"")</f>
        <v/>
      </c>
      <c r="S1739" s="152">
        <f>IFERROR(ABS(J1739-'02_대상물건입력'!B10),"")</f>
        <v/>
      </c>
      <c r="T1739" s="152">
        <f>IFERROR(ABS('01_설정'!B4-F1739),"")</f>
        <v/>
      </c>
      <c r="U1739" s="152">
        <f>IFERROR(ABS(K1739-YEAR('02_대상물건입력'!B14)),"")</f>
        <v/>
      </c>
      <c r="V1739" s="152">
        <f>IF(B1739="","",IF(AND(E1739&gt;0,F1739&gt;0,H1739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1739=1,TRUE()),R1739&lt;='01_설정'!B5,S1739&lt;='01_설정'!B6,T1739&lt;='01_설정'!B7,U1739&lt;='01_설정'!B8),"Y",""))</f>
        <v/>
      </c>
      <c r="W1739" s="172">
        <f>IF(V1739&lt;&gt;"Y","",MAX(0,(1-R1739/'01_설정'!B5))*'01_설정'!B14+MAX(0,(1-S1739/'01_설정'!B6))*'01_설정'!B15+MAX(0,(1-T1739/'01_설정'!B7))*'01_설정'!B16+MAX(0,(1-U1739/'01_설정'!B8))*'01_설정'!B17+O1739*'01_설정'!B11+Q1739*'01_설정'!B12+P1739*'01_설정'!B13+IF(Z1739="",0,Z1739))</f>
        <v/>
      </c>
      <c r="X1739" s="152">
        <f>IF(W1739="","",1+COUNTIFS($W$4:$W$3003,"&gt;"&amp;W1739)+COUNTIFS($W$4:W1739,W1739)-1)</f>
        <v/>
      </c>
      <c r="Y1739" s="175">
        <f>IF(OR(I1739="",'02_대상물건입력'!B19="",'02_대상물건입력'!B19&lt;=0),"",ABS(I1739-'02_대상물건입력'!B19)/'02_대상물건입력'!B19)</f>
        <v/>
      </c>
      <c r="Z1739" s="172">
        <f>IF(OR(Y1739="",'01_설정'!B31="",'01_설정'!B31&lt;=0,'01_설정'!B32="",'01_설정'!B32&lt;=0),"",MAX(0,(1-Y1739/'01_설정'!B32))*'01_설정'!B31)</f>
        <v/>
      </c>
    </row>
    <row r="1740" ht="17.25" customHeight="1">
      <c r="A1740" s="152">
        <f>IF(INDEX('04A_국토부원자료'!$A:$A,ROW()+1)="","",ROW()-3)</f>
        <v/>
      </c>
      <c r="B1740" s="48">
        <f>IFERROR(INDEX('04A_국토부원자료'!$A:$T,ROW()+1,MATCH("시군구",'04A_국토부원자료'!$A$4:$T$4,0)),"")</f>
        <v/>
      </c>
      <c r="C1740" s="48">
        <f>IF(B1740="","",IFERROR(INDEX('04A_국토부원자료'!$A:$T,ROW()+1,MATCH("번지",'04A_국토부원자료'!$A$4:$T$4,0)),""))</f>
        <v/>
      </c>
      <c r="D1740" s="48">
        <f>IF(B1740="","",IF(Q1740=1,'02_대상물건입력'!$B$8,IFERROR(INDEX('04A_국토부원자료'!$A:$T,ROW()+1,MATCH("단지명",'04A_국토부원자료'!$A$4:$T$4,0)),"")))</f>
        <v/>
      </c>
      <c r="E1740" s="172">
        <f>IFERROR(VALUE(SUBSTITUTE(INDEX('04A_국토부원자료'!$A:$T,ROW()+1,MATCH("전용면적(㎡)",'04A_국토부원자료'!$A$4:$T$4,0)),",","")),"")</f>
        <v/>
      </c>
      <c r="F17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40" s="51">
        <f>IFERROR(VALUE(SUBSTITUTE(INDEX('04A_국토부원자료'!$A:$T,ROW()+1,MATCH("거래금액(만원)",'04A_국토부원자료'!$A$4:$T$4,0)),",","")),"")</f>
        <v/>
      </c>
      <c r="H1740" s="174">
        <f>IF(G1740="","",G1740*10000)</f>
        <v/>
      </c>
      <c r="I1740" s="174">
        <f>IFERROR(IF(AND(H1740&gt;0,E1740&gt;0),H1740/E1740,""),"")</f>
        <v/>
      </c>
      <c r="J1740" s="152">
        <f>IFERROR(VALUE(SUBSTITUTE(INDEX('04A_국토부원자료'!$A:$T,ROW()+1,MATCH("층",'04A_국토부원자료'!$A$4:$T$4,0)),",","")),"")</f>
        <v/>
      </c>
      <c r="K1740" s="152">
        <f>IFERROR(VALUE(SUBSTITUTE(INDEX('04A_국토부원자료'!$A:$T,ROW()+1,MATCH("건축년도",'04A_국토부원자료'!$A$4:$T$4,0)),",","")),"")</f>
        <v/>
      </c>
      <c r="L1740" s="176">
        <f>IFERROR(INDEX('04A_국토부원자료'!$A:$T,ROW()+1,MATCH("도로명",'04A_국토부원자료'!$A$4:$T$4,0)),"")</f>
        <v/>
      </c>
      <c r="M1740" s="48">
        <f>IFERROR(INDEX('04A_국토부원자료'!$A:$T,ROW()+1,MATCH("거래유형",'04A_국토부원자료'!$A$4:$T$4,0)),"")</f>
        <v/>
      </c>
      <c r="N1740" s="152">
        <f>IF(B1740="","",IF('02_대상물건입력'!B5="",1,IF(ISNUMBER(SEARCH('02_대상물건입력'!B5,B1740)),1,0)))</f>
        <v/>
      </c>
      <c r="O1740" s="152">
        <f>IF(B1740="","",IF('02_대상물건입력'!B6="",1,IF(ISNUMBER(SEARCH('02_대상물건입력'!B6,B1740)),1,0)))</f>
        <v/>
      </c>
      <c r="P1740" s="152">
        <f>IF(L1740="","",IF('02_대상물건입력'!B15="",0,IF(ISNUMBER(SEARCH('02_대상물건입력'!B15,L1740)),1,0)))</f>
        <v/>
      </c>
      <c r="Q1740" s="152">
        <f>IF(OR(C1740="",L1740=""),0,IF(AND(TRIM(C1740)=TRIM(RIGHT(SUBSTITUTE(TRIM('02_대상물건입력'!$B$7)," ",REPT(" ",99)),99)),IF('02_대상물건입력'!B15="",TRUE(),ISNUMBER(SEARCH('02_대상물건입력'!B15,L1740)))),1,0))</f>
        <v/>
      </c>
      <c r="R1740" s="175">
        <f>IFERROR(ABS(E1740-'02_대상물건입력'!B11)/'02_대상물건입력'!B11,"")</f>
        <v/>
      </c>
      <c r="S1740" s="152">
        <f>IFERROR(ABS(J1740-'02_대상물건입력'!B10),"")</f>
        <v/>
      </c>
      <c r="T1740" s="152">
        <f>IFERROR(ABS('01_설정'!B4-F1740),"")</f>
        <v/>
      </c>
      <c r="U1740" s="152">
        <f>IFERROR(ABS(K1740-YEAR('02_대상물건입력'!B14)),"")</f>
        <v/>
      </c>
      <c r="V1740" s="152">
        <f>IF(B1740="","",IF(AND(E1740&gt;0,F1740&gt;0,H1740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1740=1,TRUE()),R1740&lt;='01_설정'!B5,S1740&lt;='01_설정'!B6,T1740&lt;='01_설정'!B7,U1740&lt;='01_설정'!B8),"Y",""))</f>
        <v/>
      </c>
      <c r="W1740" s="172">
        <f>IF(V1740&lt;&gt;"Y","",MAX(0,(1-R1740/'01_설정'!B5))*'01_설정'!B14+MAX(0,(1-S1740/'01_설정'!B6))*'01_설정'!B15+MAX(0,(1-T1740/'01_설정'!B7))*'01_설정'!B16+MAX(0,(1-U1740/'01_설정'!B8))*'01_설정'!B17+O1740*'01_설정'!B11+Q1740*'01_설정'!B12+P1740*'01_설정'!B13+IF(Z1740="",0,Z1740))</f>
        <v/>
      </c>
      <c r="X1740" s="152">
        <f>IF(W1740="","",1+COUNTIFS($W$4:$W$3003,"&gt;"&amp;W1740)+COUNTIFS($W$4:W1740,W1740)-1)</f>
        <v/>
      </c>
      <c r="Y1740" s="175">
        <f>IF(OR(I1740="",'02_대상물건입력'!B19="",'02_대상물건입력'!B19&lt;=0),"",ABS(I1740-'02_대상물건입력'!B19)/'02_대상물건입력'!B19)</f>
        <v/>
      </c>
      <c r="Z1740" s="172">
        <f>IF(OR(Y1740="",'01_설정'!B31="",'01_설정'!B31&lt;=0,'01_설정'!B32="",'01_설정'!B32&lt;=0),"",MAX(0,(1-Y1740/'01_설정'!B32))*'01_설정'!B31)</f>
        <v/>
      </c>
    </row>
    <row r="1741" ht="17.25" customHeight="1">
      <c r="A1741" s="152">
        <f>IF(INDEX('04A_국토부원자료'!$A:$A,ROW()+1)="","",ROW()-3)</f>
        <v/>
      </c>
      <c r="B1741" s="48">
        <f>IFERROR(INDEX('04A_국토부원자료'!$A:$T,ROW()+1,MATCH("시군구",'04A_국토부원자료'!$A$4:$T$4,0)),"")</f>
        <v/>
      </c>
      <c r="C1741" s="48">
        <f>IF(B1741="","",IFERROR(INDEX('04A_국토부원자료'!$A:$T,ROW()+1,MATCH("번지",'04A_국토부원자료'!$A$4:$T$4,0)),""))</f>
        <v/>
      </c>
      <c r="D1741" s="48">
        <f>IF(B1741="","",IF(Q1741=1,'02_대상물건입력'!$B$8,IFERROR(INDEX('04A_국토부원자료'!$A:$T,ROW()+1,MATCH("단지명",'04A_국토부원자료'!$A$4:$T$4,0)),"")))</f>
        <v/>
      </c>
      <c r="E1741" s="172">
        <f>IFERROR(VALUE(SUBSTITUTE(INDEX('04A_국토부원자료'!$A:$T,ROW()+1,MATCH("전용면적(㎡)",'04A_국토부원자료'!$A$4:$T$4,0)),",","")),"")</f>
        <v/>
      </c>
      <c r="F17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41" s="51">
        <f>IFERROR(VALUE(SUBSTITUTE(INDEX('04A_국토부원자료'!$A:$T,ROW()+1,MATCH("거래금액(만원)",'04A_국토부원자료'!$A$4:$T$4,0)),",","")),"")</f>
        <v/>
      </c>
      <c r="H1741" s="174">
        <f>IF(G1741="","",G1741*10000)</f>
        <v/>
      </c>
      <c r="I1741" s="174">
        <f>IFERROR(IF(AND(H1741&gt;0,E1741&gt;0),H1741/E1741,""),"")</f>
        <v/>
      </c>
      <c r="J1741" s="152">
        <f>IFERROR(VALUE(SUBSTITUTE(INDEX('04A_국토부원자료'!$A:$T,ROW()+1,MATCH("층",'04A_국토부원자료'!$A$4:$T$4,0)),",","")),"")</f>
        <v/>
      </c>
      <c r="K1741" s="152">
        <f>IFERROR(VALUE(SUBSTITUTE(INDEX('04A_국토부원자료'!$A:$T,ROW()+1,MATCH("건축년도",'04A_국토부원자료'!$A$4:$T$4,0)),",","")),"")</f>
        <v/>
      </c>
      <c r="L1741" s="176">
        <f>IFERROR(INDEX('04A_국토부원자료'!$A:$T,ROW()+1,MATCH("도로명",'04A_국토부원자료'!$A$4:$T$4,0)),"")</f>
        <v/>
      </c>
      <c r="M1741" s="48">
        <f>IFERROR(INDEX('04A_국토부원자료'!$A:$T,ROW()+1,MATCH("거래유형",'04A_국토부원자료'!$A$4:$T$4,0)),"")</f>
        <v/>
      </c>
      <c r="N1741" s="152">
        <f>IF(B1741="","",IF('02_대상물건입력'!B5="",1,IF(ISNUMBER(SEARCH('02_대상물건입력'!B5,B1741)),1,0)))</f>
        <v/>
      </c>
      <c r="O1741" s="152">
        <f>IF(B1741="","",IF('02_대상물건입력'!B6="",1,IF(ISNUMBER(SEARCH('02_대상물건입력'!B6,B1741)),1,0)))</f>
        <v/>
      </c>
      <c r="P1741" s="152">
        <f>IF(L1741="","",IF('02_대상물건입력'!B15="",0,IF(ISNUMBER(SEARCH('02_대상물건입력'!B15,L1741)),1,0)))</f>
        <v/>
      </c>
      <c r="Q1741" s="152">
        <f>IF(OR(C1741="",L1741=""),0,IF(AND(TRIM(C1741)=TRIM(RIGHT(SUBSTITUTE(TRIM('02_대상물건입력'!$B$7)," ",REPT(" ",99)),99)),IF('02_대상물건입력'!B15="",TRUE(),ISNUMBER(SEARCH('02_대상물건입력'!B15,L1741)))),1,0))</f>
        <v/>
      </c>
      <c r="R1741" s="175">
        <f>IFERROR(ABS(E1741-'02_대상물건입력'!B11)/'02_대상물건입력'!B11,"")</f>
        <v/>
      </c>
      <c r="S1741" s="152">
        <f>IFERROR(ABS(J1741-'02_대상물건입력'!B10),"")</f>
        <v/>
      </c>
      <c r="T1741" s="152">
        <f>IFERROR(ABS('01_설정'!B4-F1741),"")</f>
        <v/>
      </c>
      <c r="U1741" s="152">
        <f>IFERROR(ABS(K1741-YEAR('02_대상물건입력'!B14)),"")</f>
        <v/>
      </c>
      <c r="V1741" s="152">
        <f>IF(B1741="","",IF(AND(E1741&gt;0,F1741&gt;0,H1741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1741=1,TRUE()),R1741&lt;='01_설정'!B5,S1741&lt;='01_설정'!B6,T1741&lt;='01_설정'!B7,U1741&lt;='01_설정'!B8),"Y",""))</f>
        <v/>
      </c>
      <c r="W1741" s="172">
        <f>IF(V1741&lt;&gt;"Y","",MAX(0,(1-R1741/'01_설정'!B5))*'01_설정'!B14+MAX(0,(1-S1741/'01_설정'!B6))*'01_설정'!B15+MAX(0,(1-T1741/'01_설정'!B7))*'01_설정'!B16+MAX(0,(1-U1741/'01_설정'!B8))*'01_설정'!B17+O1741*'01_설정'!B11+Q1741*'01_설정'!B12+P1741*'01_설정'!B13+IF(Z1741="",0,Z1741))</f>
        <v/>
      </c>
      <c r="X1741" s="152">
        <f>IF(W1741="","",1+COUNTIFS($W$4:$W$3003,"&gt;"&amp;W1741)+COUNTIFS($W$4:W1741,W1741)-1)</f>
        <v/>
      </c>
      <c r="Y1741" s="175">
        <f>IF(OR(I1741="",'02_대상물건입력'!B19="",'02_대상물건입력'!B19&lt;=0),"",ABS(I1741-'02_대상물건입력'!B19)/'02_대상물건입력'!B19)</f>
        <v/>
      </c>
      <c r="Z1741" s="172">
        <f>IF(OR(Y1741="",'01_설정'!B31="",'01_설정'!B31&lt;=0,'01_설정'!B32="",'01_설정'!B32&lt;=0),"",MAX(0,(1-Y1741/'01_설정'!B32))*'01_설정'!B31)</f>
        <v/>
      </c>
    </row>
    <row r="1742" ht="17.25" customHeight="1">
      <c r="A1742" s="152">
        <f>IF(INDEX('04A_국토부원자료'!$A:$A,ROW()+1)="","",ROW()-3)</f>
        <v/>
      </c>
      <c r="B1742" s="48">
        <f>IFERROR(INDEX('04A_국토부원자료'!$A:$T,ROW()+1,MATCH("시군구",'04A_국토부원자료'!$A$4:$T$4,0)),"")</f>
        <v/>
      </c>
      <c r="C1742" s="48">
        <f>IF(B1742="","",IFERROR(INDEX('04A_국토부원자료'!$A:$T,ROW()+1,MATCH("번지",'04A_국토부원자료'!$A$4:$T$4,0)),""))</f>
        <v/>
      </c>
      <c r="D1742" s="48">
        <f>IF(B1742="","",IF(Q1742=1,'02_대상물건입력'!$B$8,IFERROR(INDEX('04A_국토부원자료'!$A:$T,ROW()+1,MATCH("단지명",'04A_국토부원자료'!$A$4:$T$4,0)),"")))</f>
        <v/>
      </c>
      <c r="E1742" s="172">
        <f>IFERROR(VALUE(SUBSTITUTE(INDEX('04A_국토부원자료'!$A:$T,ROW()+1,MATCH("전용면적(㎡)",'04A_국토부원자료'!$A$4:$T$4,0)),",","")),"")</f>
        <v/>
      </c>
      <c r="F17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42" s="51">
        <f>IFERROR(VALUE(SUBSTITUTE(INDEX('04A_국토부원자료'!$A:$T,ROW()+1,MATCH("거래금액(만원)",'04A_국토부원자료'!$A$4:$T$4,0)),",","")),"")</f>
        <v/>
      </c>
      <c r="H1742" s="174">
        <f>IF(G1742="","",G1742*10000)</f>
        <v/>
      </c>
      <c r="I1742" s="174">
        <f>IFERROR(IF(AND(H1742&gt;0,E1742&gt;0),H1742/E1742,""),"")</f>
        <v/>
      </c>
      <c r="J1742" s="152">
        <f>IFERROR(VALUE(SUBSTITUTE(INDEX('04A_국토부원자료'!$A:$T,ROW()+1,MATCH("층",'04A_국토부원자료'!$A$4:$T$4,0)),",","")),"")</f>
        <v/>
      </c>
      <c r="K1742" s="152">
        <f>IFERROR(VALUE(SUBSTITUTE(INDEX('04A_국토부원자료'!$A:$T,ROW()+1,MATCH("건축년도",'04A_국토부원자료'!$A$4:$T$4,0)),",","")),"")</f>
        <v/>
      </c>
      <c r="L1742" s="176">
        <f>IFERROR(INDEX('04A_국토부원자료'!$A:$T,ROW()+1,MATCH("도로명",'04A_국토부원자료'!$A$4:$T$4,0)),"")</f>
        <v/>
      </c>
      <c r="M1742" s="48">
        <f>IFERROR(INDEX('04A_국토부원자료'!$A:$T,ROW()+1,MATCH("거래유형",'04A_국토부원자료'!$A$4:$T$4,0)),"")</f>
        <v/>
      </c>
      <c r="N1742" s="152">
        <f>IF(B1742="","",IF('02_대상물건입력'!B5="",1,IF(ISNUMBER(SEARCH('02_대상물건입력'!B5,B1742)),1,0)))</f>
        <v/>
      </c>
      <c r="O1742" s="152">
        <f>IF(B1742="","",IF('02_대상물건입력'!B6="",1,IF(ISNUMBER(SEARCH('02_대상물건입력'!B6,B1742)),1,0)))</f>
        <v/>
      </c>
      <c r="P1742" s="152">
        <f>IF(L1742="","",IF('02_대상물건입력'!B15="",0,IF(ISNUMBER(SEARCH('02_대상물건입력'!B15,L1742)),1,0)))</f>
        <v/>
      </c>
      <c r="Q1742" s="152">
        <f>IF(OR(C1742="",L1742=""),0,IF(AND(TRIM(C1742)=TRIM(RIGHT(SUBSTITUTE(TRIM('02_대상물건입력'!$B$7)," ",REPT(" ",99)),99)),IF('02_대상물건입력'!B15="",TRUE(),ISNUMBER(SEARCH('02_대상물건입력'!B15,L1742)))),1,0))</f>
        <v/>
      </c>
      <c r="R1742" s="175">
        <f>IFERROR(ABS(E1742-'02_대상물건입력'!B11)/'02_대상물건입력'!B11,"")</f>
        <v/>
      </c>
      <c r="S1742" s="152">
        <f>IFERROR(ABS(J1742-'02_대상물건입력'!B10),"")</f>
        <v/>
      </c>
      <c r="T1742" s="152">
        <f>IFERROR(ABS('01_설정'!B4-F1742),"")</f>
        <v/>
      </c>
      <c r="U1742" s="152">
        <f>IFERROR(ABS(K1742-YEAR('02_대상물건입력'!B14)),"")</f>
        <v/>
      </c>
      <c r="V1742" s="152">
        <f>IF(B1742="","",IF(AND(E1742&gt;0,F1742&gt;0,H1742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1742=1,TRUE()),R1742&lt;='01_설정'!B5,S1742&lt;='01_설정'!B6,T1742&lt;='01_설정'!B7,U1742&lt;='01_설정'!B8),"Y",""))</f>
        <v/>
      </c>
      <c r="W1742" s="172">
        <f>IF(V1742&lt;&gt;"Y","",MAX(0,(1-R1742/'01_설정'!B5))*'01_설정'!B14+MAX(0,(1-S1742/'01_설정'!B6))*'01_설정'!B15+MAX(0,(1-T1742/'01_설정'!B7))*'01_설정'!B16+MAX(0,(1-U1742/'01_설정'!B8))*'01_설정'!B17+O1742*'01_설정'!B11+Q1742*'01_설정'!B12+P1742*'01_설정'!B13+IF(Z1742="",0,Z1742))</f>
        <v/>
      </c>
      <c r="X1742" s="152">
        <f>IF(W1742="","",1+COUNTIFS($W$4:$W$3003,"&gt;"&amp;W1742)+COUNTIFS($W$4:W1742,W1742)-1)</f>
        <v/>
      </c>
      <c r="Y1742" s="175">
        <f>IF(OR(I1742="",'02_대상물건입력'!B19="",'02_대상물건입력'!B19&lt;=0),"",ABS(I1742-'02_대상물건입력'!B19)/'02_대상물건입력'!B19)</f>
        <v/>
      </c>
      <c r="Z1742" s="172">
        <f>IF(OR(Y1742="",'01_설정'!B31="",'01_설정'!B31&lt;=0,'01_설정'!B32="",'01_설정'!B32&lt;=0),"",MAX(0,(1-Y1742/'01_설정'!B32))*'01_설정'!B31)</f>
        <v/>
      </c>
    </row>
    <row r="1743" ht="17.25" customHeight="1">
      <c r="A1743" s="152">
        <f>IF(INDEX('04A_국토부원자료'!$A:$A,ROW()+1)="","",ROW()-3)</f>
        <v/>
      </c>
      <c r="B1743" s="48">
        <f>IFERROR(INDEX('04A_국토부원자료'!$A:$T,ROW()+1,MATCH("시군구",'04A_국토부원자료'!$A$4:$T$4,0)),"")</f>
        <v/>
      </c>
      <c r="C1743" s="48">
        <f>IF(B1743="","",IFERROR(INDEX('04A_국토부원자료'!$A:$T,ROW()+1,MATCH("번지",'04A_국토부원자료'!$A$4:$T$4,0)),""))</f>
        <v/>
      </c>
      <c r="D1743" s="48">
        <f>IF(B1743="","",IF(Q1743=1,'02_대상물건입력'!$B$8,IFERROR(INDEX('04A_국토부원자료'!$A:$T,ROW()+1,MATCH("단지명",'04A_국토부원자료'!$A$4:$T$4,0)),"")))</f>
        <v/>
      </c>
      <c r="E1743" s="172">
        <f>IFERROR(VALUE(SUBSTITUTE(INDEX('04A_국토부원자료'!$A:$T,ROW()+1,MATCH("전용면적(㎡)",'04A_국토부원자료'!$A$4:$T$4,0)),",","")),"")</f>
        <v/>
      </c>
      <c r="F17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43" s="51">
        <f>IFERROR(VALUE(SUBSTITUTE(INDEX('04A_국토부원자료'!$A:$T,ROW()+1,MATCH("거래금액(만원)",'04A_국토부원자료'!$A$4:$T$4,0)),",","")),"")</f>
        <v/>
      </c>
      <c r="H1743" s="174">
        <f>IF(G1743="","",G1743*10000)</f>
        <v/>
      </c>
      <c r="I1743" s="174">
        <f>IFERROR(IF(AND(H1743&gt;0,E1743&gt;0),H1743/E1743,""),"")</f>
        <v/>
      </c>
      <c r="J1743" s="152">
        <f>IFERROR(VALUE(SUBSTITUTE(INDEX('04A_국토부원자료'!$A:$T,ROW()+1,MATCH("층",'04A_국토부원자료'!$A$4:$T$4,0)),",","")),"")</f>
        <v/>
      </c>
      <c r="K1743" s="152">
        <f>IFERROR(VALUE(SUBSTITUTE(INDEX('04A_국토부원자료'!$A:$T,ROW()+1,MATCH("건축년도",'04A_국토부원자료'!$A$4:$T$4,0)),",","")),"")</f>
        <v/>
      </c>
      <c r="L1743" s="176">
        <f>IFERROR(INDEX('04A_국토부원자료'!$A:$T,ROW()+1,MATCH("도로명",'04A_국토부원자료'!$A$4:$T$4,0)),"")</f>
        <v/>
      </c>
      <c r="M1743" s="48">
        <f>IFERROR(INDEX('04A_국토부원자료'!$A:$T,ROW()+1,MATCH("거래유형",'04A_국토부원자료'!$A$4:$T$4,0)),"")</f>
        <v/>
      </c>
      <c r="N1743" s="152">
        <f>IF(B1743="","",IF('02_대상물건입력'!B5="",1,IF(ISNUMBER(SEARCH('02_대상물건입력'!B5,B1743)),1,0)))</f>
        <v/>
      </c>
      <c r="O1743" s="152">
        <f>IF(B1743="","",IF('02_대상물건입력'!B6="",1,IF(ISNUMBER(SEARCH('02_대상물건입력'!B6,B1743)),1,0)))</f>
        <v/>
      </c>
      <c r="P1743" s="152">
        <f>IF(L1743="","",IF('02_대상물건입력'!B15="",0,IF(ISNUMBER(SEARCH('02_대상물건입력'!B15,L1743)),1,0)))</f>
        <v/>
      </c>
      <c r="Q1743" s="152">
        <f>IF(OR(C1743="",L1743=""),0,IF(AND(TRIM(C1743)=TRIM(RIGHT(SUBSTITUTE(TRIM('02_대상물건입력'!$B$7)," ",REPT(" ",99)),99)),IF('02_대상물건입력'!B15="",TRUE(),ISNUMBER(SEARCH('02_대상물건입력'!B15,L1743)))),1,0))</f>
        <v/>
      </c>
      <c r="R1743" s="175">
        <f>IFERROR(ABS(E1743-'02_대상물건입력'!B11)/'02_대상물건입력'!B11,"")</f>
        <v/>
      </c>
      <c r="S1743" s="152">
        <f>IFERROR(ABS(J1743-'02_대상물건입력'!B10),"")</f>
        <v/>
      </c>
      <c r="T1743" s="152">
        <f>IFERROR(ABS('01_설정'!B4-F1743),"")</f>
        <v/>
      </c>
      <c r="U1743" s="152">
        <f>IFERROR(ABS(K1743-YEAR('02_대상물건입력'!B14)),"")</f>
        <v/>
      </c>
      <c r="V1743" s="152">
        <f>IF(B1743="","",IF(AND(E1743&gt;0,F1743&gt;0,H1743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1743=1,TRUE()),R1743&lt;='01_설정'!B5,S1743&lt;='01_설정'!B6,T1743&lt;='01_설정'!B7,U1743&lt;='01_설정'!B8),"Y",""))</f>
        <v/>
      </c>
      <c r="W1743" s="172">
        <f>IF(V1743&lt;&gt;"Y","",MAX(0,(1-R1743/'01_설정'!B5))*'01_설정'!B14+MAX(0,(1-S1743/'01_설정'!B6))*'01_설정'!B15+MAX(0,(1-T1743/'01_설정'!B7))*'01_설정'!B16+MAX(0,(1-U1743/'01_설정'!B8))*'01_설정'!B17+O1743*'01_설정'!B11+Q1743*'01_설정'!B12+P1743*'01_설정'!B13+IF(Z1743="",0,Z1743))</f>
        <v/>
      </c>
      <c r="X1743" s="152">
        <f>IF(W1743="","",1+COUNTIFS($W$4:$W$3003,"&gt;"&amp;W1743)+COUNTIFS($W$4:W1743,W1743)-1)</f>
        <v/>
      </c>
      <c r="Y1743" s="175">
        <f>IF(OR(I1743="",'02_대상물건입력'!B19="",'02_대상물건입력'!B19&lt;=0),"",ABS(I1743-'02_대상물건입력'!B19)/'02_대상물건입력'!B19)</f>
        <v/>
      </c>
      <c r="Z1743" s="172">
        <f>IF(OR(Y1743="",'01_설정'!B31="",'01_설정'!B31&lt;=0,'01_설정'!B32="",'01_설정'!B32&lt;=0),"",MAX(0,(1-Y1743/'01_설정'!B32))*'01_설정'!B31)</f>
        <v/>
      </c>
    </row>
    <row r="1744" ht="17.25" customHeight="1">
      <c r="A1744" s="152">
        <f>IF(INDEX('04A_국토부원자료'!$A:$A,ROW()+1)="","",ROW()-3)</f>
        <v/>
      </c>
      <c r="B1744" s="48">
        <f>IFERROR(INDEX('04A_국토부원자료'!$A:$T,ROW()+1,MATCH("시군구",'04A_국토부원자료'!$A$4:$T$4,0)),"")</f>
        <v/>
      </c>
      <c r="C1744" s="48">
        <f>IF(B1744="","",IFERROR(INDEX('04A_국토부원자료'!$A:$T,ROW()+1,MATCH("번지",'04A_국토부원자료'!$A$4:$T$4,0)),""))</f>
        <v/>
      </c>
      <c r="D1744" s="48">
        <f>IF(B1744="","",IF(Q1744=1,'02_대상물건입력'!$B$8,IFERROR(INDEX('04A_국토부원자료'!$A:$T,ROW()+1,MATCH("단지명",'04A_국토부원자료'!$A$4:$T$4,0)),"")))</f>
        <v/>
      </c>
      <c r="E1744" s="172">
        <f>IFERROR(VALUE(SUBSTITUTE(INDEX('04A_국토부원자료'!$A:$T,ROW()+1,MATCH("전용면적(㎡)",'04A_국토부원자료'!$A$4:$T$4,0)),",","")),"")</f>
        <v/>
      </c>
      <c r="F17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44" s="51">
        <f>IFERROR(VALUE(SUBSTITUTE(INDEX('04A_국토부원자료'!$A:$T,ROW()+1,MATCH("거래금액(만원)",'04A_국토부원자료'!$A$4:$T$4,0)),",","")),"")</f>
        <v/>
      </c>
      <c r="H1744" s="174">
        <f>IF(G1744="","",G1744*10000)</f>
        <v/>
      </c>
      <c r="I1744" s="174">
        <f>IFERROR(IF(AND(H1744&gt;0,E1744&gt;0),H1744/E1744,""),"")</f>
        <v/>
      </c>
      <c r="J1744" s="152">
        <f>IFERROR(VALUE(SUBSTITUTE(INDEX('04A_국토부원자료'!$A:$T,ROW()+1,MATCH("층",'04A_국토부원자료'!$A$4:$T$4,0)),",","")),"")</f>
        <v/>
      </c>
      <c r="K1744" s="152">
        <f>IFERROR(VALUE(SUBSTITUTE(INDEX('04A_국토부원자료'!$A:$T,ROW()+1,MATCH("건축년도",'04A_국토부원자료'!$A$4:$T$4,0)),",","")),"")</f>
        <v/>
      </c>
      <c r="L1744" s="176">
        <f>IFERROR(INDEX('04A_국토부원자료'!$A:$T,ROW()+1,MATCH("도로명",'04A_국토부원자료'!$A$4:$T$4,0)),"")</f>
        <v/>
      </c>
      <c r="M1744" s="48">
        <f>IFERROR(INDEX('04A_국토부원자료'!$A:$T,ROW()+1,MATCH("거래유형",'04A_국토부원자료'!$A$4:$T$4,0)),"")</f>
        <v/>
      </c>
      <c r="N1744" s="152">
        <f>IF(B1744="","",IF('02_대상물건입력'!B5="",1,IF(ISNUMBER(SEARCH('02_대상물건입력'!B5,B1744)),1,0)))</f>
        <v/>
      </c>
      <c r="O1744" s="152">
        <f>IF(B1744="","",IF('02_대상물건입력'!B6="",1,IF(ISNUMBER(SEARCH('02_대상물건입력'!B6,B1744)),1,0)))</f>
        <v/>
      </c>
      <c r="P1744" s="152">
        <f>IF(L1744="","",IF('02_대상물건입력'!B15="",0,IF(ISNUMBER(SEARCH('02_대상물건입력'!B15,L1744)),1,0)))</f>
        <v/>
      </c>
      <c r="Q1744" s="152">
        <f>IF(OR(C1744="",L1744=""),0,IF(AND(TRIM(C1744)=TRIM(RIGHT(SUBSTITUTE(TRIM('02_대상물건입력'!$B$7)," ",REPT(" ",99)),99)),IF('02_대상물건입력'!B15="",TRUE(),ISNUMBER(SEARCH('02_대상물건입력'!B15,L1744)))),1,0))</f>
        <v/>
      </c>
      <c r="R1744" s="175">
        <f>IFERROR(ABS(E1744-'02_대상물건입력'!B11)/'02_대상물건입력'!B11,"")</f>
        <v/>
      </c>
      <c r="S1744" s="152">
        <f>IFERROR(ABS(J1744-'02_대상물건입력'!B10),"")</f>
        <v/>
      </c>
      <c r="T1744" s="152">
        <f>IFERROR(ABS('01_설정'!B4-F1744),"")</f>
        <v/>
      </c>
      <c r="U1744" s="152">
        <f>IFERROR(ABS(K1744-YEAR('02_대상물건입력'!B14)),"")</f>
        <v/>
      </c>
      <c r="V1744" s="152">
        <f>IF(B1744="","",IF(AND(E1744&gt;0,F1744&gt;0,H1744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1744=1,TRUE()),R1744&lt;='01_설정'!B5,S1744&lt;='01_설정'!B6,T1744&lt;='01_설정'!B7,U1744&lt;='01_설정'!B8),"Y",""))</f>
        <v/>
      </c>
      <c r="W1744" s="172">
        <f>IF(V1744&lt;&gt;"Y","",MAX(0,(1-R1744/'01_설정'!B5))*'01_설정'!B14+MAX(0,(1-S1744/'01_설정'!B6))*'01_설정'!B15+MAX(0,(1-T1744/'01_설정'!B7))*'01_설정'!B16+MAX(0,(1-U1744/'01_설정'!B8))*'01_설정'!B17+O1744*'01_설정'!B11+Q1744*'01_설정'!B12+P1744*'01_설정'!B13+IF(Z1744="",0,Z1744))</f>
        <v/>
      </c>
      <c r="X1744" s="152">
        <f>IF(W1744="","",1+COUNTIFS($W$4:$W$3003,"&gt;"&amp;W1744)+COUNTIFS($W$4:W1744,W1744)-1)</f>
        <v/>
      </c>
      <c r="Y1744" s="175">
        <f>IF(OR(I1744="",'02_대상물건입력'!B19="",'02_대상물건입력'!B19&lt;=0),"",ABS(I1744-'02_대상물건입력'!B19)/'02_대상물건입력'!B19)</f>
        <v/>
      </c>
      <c r="Z1744" s="172">
        <f>IF(OR(Y1744="",'01_설정'!B31="",'01_설정'!B31&lt;=0,'01_설정'!B32="",'01_설정'!B32&lt;=0),"",MAX(0,(1-Y1744/'01_설정'!B32))*'01_설정'!B31)</f>
        <v/>
      </c>
    </row>
    <row r="1745" ht="17.25" customHeight="1">
      <c r="A1745" s="152">
        <f>IF(INDEX('04A_국토부원자료'!$A:$A,ROW()+1)="","",ROW()-3)</f>
        <v/>
      </c>
      <c r="B1745" s="48">
        <f>IFERROR(INDEX('04A_국토부원자료'!$A:$T,ROW()+1,MATCH("시군구",'04A_국토부원자료'!$A$4:$T$4,0)),"")</f>
        <v/>
      </c>
      <c r="C1745" s="48">
        <f>IF(B1745="","",IFERROR(INDEX('04A_국토부원자료'!$A:$T,ROW()+1,MATCH("번지",'04A_국토부원자료'!$A$4:$T$4,0)),""))</f>
        <v/>
      </c>
      <c r="D1745" s="48">
        <f>IF(B1745="","",IF(Q1745=1,'02_대상물건입력'!$B$8,IFERROR(INDEX('04A_국토부원자료'!$A:$T,ROW()+1,MATCH("단지명",'04A_국토부원자료'!$A$4:$T$4,0)),"")))</f>
        <v/>
      </c>
      <c r="E1745" s="172">
        <f>IFERROR(VALUE(SUBSTITUTE(INDEX('04A_국토부원자료'!$A:$T,ROW()+1,MATCH("전용면적(㎡)",'04A_국토부원자료'!$A$4:$T$4,0)),",","")),"")</f>
        <v/>
      </c>
      <c r="F17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45" s="51">
        <f>IFERROR(VALUE(SUBSTITUTE(INDEX('04A_국토부원자료'!$A:$T,ROW()+1,MATCH("거래금액(만원)",'04A_국토부원자료'!$A$4:$T$4,0)),",","")),"")</f>
        <v/>
      </c>
      <c r="H1745" s="174">
        <f>IF(G1745="","",G1745*10000)</f>
        <v/>
      </c>
      <c r="I1745" s="174">
        <f>IFERROR(IF(AND(H1745&gt;0,E1745&gt;0),H1745/E1745,""),"")</f>
        <v/>
      </c>
      <c r="J1745" s="152">
        <f>IFERROR(VALUE(SUBSTITUTE(INDEX('04A_국토부원자료'!$A:$T,ROW()+1,MATCH("층",'04A_국토부원자료'!$A$4:$T$4,0)),",","")),"")</f>
        <v/>
      </c>
      <c r="K1745" s="152">
        <f>IFERROR(VALUE(SUBSTITUTE(INDEX('04A_국토부원자료'!$A:$T,ROW()+1,MATCH("건축년도",'04A_국토부원자료'!$A$4:$T$4,0)),",","")),"")</f>
        <v/>
      </c>
      <c r="L1745" s="176">
        <f>IFERROR(INDEX('04A_국토부원자료'!$A:$T,ROW()+1,MATCH("도로명",'04A_국토부원자료'!$A$4:$T$4,0)),"")</f>
        <v/>
      </c>
      <c r="M1745" s="48">
        <f>IFERROR(INDEX('04A_국토부원자료'!$A:$T,ROW()+1,MATCH("거래유형",'04A_국토부원자료'!$A$4:$T$4,0)),"")</f>
        <v/>
      </c>
      <c r="N1745" s="152">
        <f>IF(B1745="","",IF('02_대상물건입력'!B5="",1,IF(ISNUMBER(SEARCH('02_대상물건입력'!B5,B1745)),1,0)))</f>
        <v/>
      </c>
      <c r="O1745" s="152">
        <f>IF(B1745="","",IF('02_대상물건입력'!B6="",1,IF(ISNUMBER(SEARCH('02_대상물건입력'!B6,B1745)),1,0)))</f>
        <v/>
      </c>
      <c r="P1745" s="152">
        <f>IF(L1745="","",IF('02_대상물건입력'!B15="",0,IF(ISNUMBER(SEARCH('02_대상물건입력'!B15,L1745)),1,0)))</f>
        <v/>
      </c>
      <c r="Q1745" s="152">
        <f>IF(OR(C1745="",L1745=""),0,IF(AND(TRIM(C1745)=TRIM(RIGHT(SUBSTITUTE(TRIM('02_대상물건입력'!$B$7)," ",REPT(" ",99)),99)),IF('02_대상물건입력'!B15="",TRUE(),ISNUMBER(SEARCH('02_대상물건입력'!B15,L1745)))),1,0))</f>
        <v/>
      </c>
      <c r="R1745" s="175">
        <f>IFERROR(ABS(E1745-'02_대상물건입력'!B11)/'02_대상물건입력'!B11,"")</f>
        <v/>
      </c>
      <c r="S1745" s="152">
        <f>IFERROR(ABS(J1745-'02_대상물건입력'!B10),"")</f>
        <v/>
      </c>
      <c r="T1745" s="152">
        <f>IFERROR(ABS('01_설정'!B4-F1745),"")</f>
        <v/>
      </c>
      <c r="U1745" s="152">
        <f>IFERROR(ABS(K1745-YEAR('02_대상물건입력'!B14)),"")</f>
        <v/>
      </c>
      <c r="V1745" s="152">
        <f>IF(B1745="","",IF(AND(E1745&gt;0,F1745&gt;0,H1745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1745=1,TRUE()),R1745&lt;='01_설정'!B5,S1745&lt;='01_설정'!B6,T1745&lt;='01_설정'!B7,U1745&lt;='01_설정'!B8),"Y",""))</f>
        <v/>
      </c>
      <c r="W1745" s="172">
        <f>IF(V1745&lt;&gt;"Y","",MAX(0,(1-R1745/'01_설정'!B5))*'01_설정'!B14+MAX(0,(1-S1745/'01_설정'!B6))*'01_설정'!B15+MAX(0,(1-T1745/'01_설정'!B7))*'01_설정'!B16+MAX(0,(1-U1745/'01_설정'!B8))*'01_설정'!B17+O1745*'01_설정'!B11+Q1745*'01_설정'!B12+P1745*'01_설정'!B13+IF(Z1745="",0,Z1745))</f>
        <v/>
      </c>
      <c r="X1745" s="152">
        <f>IF(W1745="","",1+COUNTIFS($W$4:$W$3003,"&gt;"&amp;W1745)+COUNTIFS($W$4:W1745,W1745)-1)</f>
        <v/>
      </c>
      <c r="Y1745" s="175">
        <f>IF(OR(I1745="",'02_대상물건입력'!B19="",'02_대상물건입력'!B19&lt;=0),"",ABS(I1745-'02_대상물건입력'!B19)/'02_대상물건입력'!B19)</f>
        <v/>
      </c>
      <c r="Z1745" s="172">
        <f>IF(OR(Y1745="",'01_설정'!B31="",'01_설정'!B31&lt;=0,'01_설정'!B32="",'01_설정'!B32&lt;=0),"",MAX(0,(1-Y1745/'01_설정'!B32))*'01_설정'!B31)</f>
        <v/>
      </c>
    </row>
    <row r="1746" ht="17.25" customHeight="1">
      <c r="A1746" s="152">
        <f>IF(INDEX('04A_국토부원자료'!$A:$A,ROW()+1)="","",ROW()-3)</f>
        <v/>
      </c>
      <c r="B1746" s="48">
        <f>IFERROR(INDEX('04A_국토부원자료'!$A:$T,ROW()+1,MATCH("시군구",'04A_국토부원자료'!$A$4:$T$4,0)),"")</f>
        <v/>
      </c>
      <c r="C1746" s="48">
        <f>IF(B1746="","",IFERROR(INDEX('04A_국토부원자료'!$A:$T,ROW()+1,MATCH("번지",'04A_국토부원자료'!$A$4:$T$4,0)),""))</f>
        <v/>
      </c>
      <c r="D1746" s="48">
        <f>IF(B1746="","",IF(Q1746=1,'02_대상물건입력'!$B$8,IFERROR(INDEX('04A_국토부원자료'!$A:$T,ROW()+1,MATCH("단지명",'04A_국토부원자료'!$A$4:$T$4,0)),"")))</f>
        <v/>
      </c>
      <c r="E1746" s="172">
        <f>IFERROR(VALUE(SUBSTITUTE(INDEX('04A_국토부원자료'!$A:$T,ROW()+1,MATCH("전용면적(㎡)",'04A_국토부원자료'!$A$4:$T$4,0)),",","")),"")</f>
        <v/>
      </c>
      <c r="F17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46" s="51">
        <f>IFERROR(VALUE(SUBSTITUTE(INDEX('04A_국토부원자료'!$A:$T,ROW()+1,MATCH("거래금액(만원)",'04A_국토부원자료'!$A$4:$T$4,0)),",","")),"")</f>
        <v/>
      </c>
      <c r="H1746" s="174">
        <f>IF(G1746="","",G1746*10000)</f>
        <v/>
      </c>
      <c r="I1746" s="174">
        <f>IFERROR(IF(AND(H1746&gt;0,E1746&gt;0),H1746/E1746,""),"")</f>
        <v/>
      </c>
      <c r="J1746" s="152">
        <f>IFERROR(VALUE(SUBSTITUTE(INDEX('04A_국토부원자료'!$A:$T,ROW()+1,MATCH("층",'04A_국토부원자료'!$A$4:$T$4,0)),",","")),"")</f>
        <v/>
      </c>
      <c r="K1746" s="152">
        <f>IFERROR(VALUE(SUBSTITUTE(INDEX('04A_국토부원자료'!$A:$T,ROW()+1,MATCH("건축년도",'04A_국토부원자료'!$A$4:$T$4,0)),",","")),"")</f>
        <v/>
      </c>
      <c r="L1746" s="176">
        <f>IFERROR(INDEX('04A_국토부원자료'!$A:$T,ROW()+1,MATCH("도로명",'04A_국토부원자료'!$A$4:$T$4,0)),"")</f>
        <v/>
      </c>
      <c r="M1746" s="48">
        <f>IFERROR(INDEX('04A_국토부원자료'!$A:$T,ROW()+1,MATCH("거래유형",'04A_국토부원자료'!$A$4:$T$4,0)),"")</f>
        <v/>
      </c>
      <c r="N1746" s="152">
        <f>IF(B1746="","",IF('02_대상물건입력'!B5="",1,IF(ISNUMBER(SEARCH('02_대상물건입력'!B5,B1746)),1,0)))</f>
        <v/>
      </c>
      <c r="O1746" s="152">
        <f>IF(B1746="","",IF('02_대상물건입력'!B6="",1,IF(ISNUMBER(SEARCH('02_대상물건입력'!B6,B1746)),1,0)))</f>
        <v/>
      </c>
      <c r="P1746" s="152">
        <f>IF(L1746="","",IF('02_대상물건입력'!B15="",0,IF(ISNUMBER(SEARCH('02_대상물건입력'!B15,L1746)),1,0)))</f>
        <v/>
      </c>
      <c r="Q1746" s="152">
        <f>IF(OR(C1746="",L1746=""),0,IF(AND(TRIM(C1746)=TRIM(RIGHT(SUBSTITUTE(TRIM('02_대상물건입력'!$B$7)," ",REPT(" ",99)),99)),IF('02_대상물건입력'!B15="",TRUE(),ISNUMBER(SEARCH('02_대상물건입력'!B15,L1746)))),1,0))</f>
        <v/>
      </c>
      <c r="R1746" s="175">
        <f>IFERROR(ABS(E1746-'02_대상물건입력'!B11)/'02_대상물건입력'!B11,"")</f>
        <v/>
      </c>
      <c r="S1746" s="152">
        <f>IFERROR(ABS(J1746-'02_대상물건입력'!B10),"")</f>
        <v/>
      </c>
      <c r="T1746" s="152">
        <f>IFERROR(ABS('01_설정'!B4-F1746),"")</f>
        <v/>
      </c>
      <c r="U1746" s="152">
        <f>IFERROR(ABS(K1746-YEAR('02_대상물건입력'!B14)),"")</f>
        <v/>
      </c>
      <c r="V1746" s="152">
        <f>IF(B1746="","",IF(AND(E1746&gt;0,F1746&gt;0,H1746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1746=1,TRUE()),R1746&lt;='01_설정'!B5,S1746&lt;='01_설정'!B6,T1746&lt;='01_설정'!B7,U1746&lt;='01_설정'!B8),"Y",""))</f>
        <v/>
      </c>
      <c r="W1746" s="172">
        <f>IF(V1746&lt;&gt;"Y","",MAX(0,(1-R1746/'01_설정'!B5))*'01_설정'!B14+MAX(0,(1-S1746/'01_설정'!B6))*'01_설정'!B15+MAX(0,(1-T1746/'01_설정'!B7))*'01_설정'!B16+MAX(0,(1-U1746/'01_설정'!B8))*'01_설정'!B17+O1746*'01_설정'!B11+Q1746*'01_설정'!B12+P1746*'01_설정'!B13+IF(Z1746="",0,Z1746))</f>
        <v/>
      </c>
      <c r="X1746" s="152">
        <f>IF(W1746="","",1+COUNTIFS($W$4:$W$3003,"&gt;"&amp;W1746)+COUNTIFS($W$4:W1746,W1746)-1)</f>
        <v/>
      </c>
      <c r="Y1746" s="175">
        <f>IF(OR(I1746="",'02_대상물건입력'!B19="",'02_대상물건입력'!B19&lt;=0),"",ABS(I1746-'02_대상물건입력'!B19)/'02_대상물건입력'!B19)</f>
        <v/>
      </c>
      <c r="Z1746" s="172">
        <f>IF(OR(Y1746="",'01_설정'!B31="",'01_설정'!B31&lt;=0,'01_설정'!B32="",'01_설정'!B32&lt;=0),"",MAX(0,(1-Y1746/'01_설정'!B32))*'01_설정'!B31)</f>
        <v/>
      </c>
    </row>
    <row r="1747" ht="17.25" customHeight="1">
      <c r="A1747" s="152">
        <f>IF(INDEX('04A_국토부원자료'!$A:$A,ROW()+1)="","",ROW()-3)</f>
        <v/>
      </c>
      <c r="B1747" s="48">
        <f>IFERROR(INDEX('04A_국토부원자료'!$A:$T,ROW()+1,MATCH("시군구",'04A_국토부원자료'!$A$4:$T$4,0)),"")</f>
        <v/>
      </c>
      <c r="C1747" s="48">
        <f>IF(B1747="","",IFERROR(INDEX('04A_국토부원자료'!$A:$T,ROW()+1,MATCH("번지",'04A_국토부원자료'!$A$4:$T$4,0)),""))</f>
        <v/>
      </c>
      <c r="D1747" s="48">
        <f>IF(B1747="","",IF(Q1747=1,'02_대상물건입력'!$B$8,IFERROR(INDEX('04A_국토부원자료'!$A:$T,ROW()+1,MATCH("단지명",'04A_국토부원자료'!$A$4:$T$4,0)),"")))</f>
        <v/>
      </c>
      <c r="E1747" s="172">
        <f>IFERROR(VALUE(SUBSTITUTE(INDEX('04A_국토부원자료'!$A:$T,ROW()+1,MATCH("전용면적(㎡)",'04A_국토부원자료'!$A$4:$T$4,0)),",","")),"")</f>
        <v/>
      </c>
      <c r="F17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47" s="51">
        <f>IFERROR(VALUE(SUBSTITUTE(INDEX('04A_국토부원자료'!$A:$T,ROW()+1,MATCH("거래금액(만원)",'04A_국토부원자료'!$A$4:$T$4,0)),",","")),"")</f>
        <v/>
      </c>
      <c r="H1747" s="174">
        <f>IF(G1747="","",G1747*10000)</f>
        <v/>
      </c>
      <c r="I1747" s="174">
        <f>IFERROR(IF(AND(H1747&gt;0,E1747&gt;0),H1747/E1747,""),"")</f>
        <v/>
      </c>
      <c r="J1747" s="152">
        <f>IFERROR(VALUE(SUBSTITUTE(INDEX('04A_국토부원자료'!$A:$T,ROW()+1,MATCH("층",'04A_국토부원자료'!$A$4:$T$4,0)),",","")),"")</f>
        <v/>
      </c>
      <c r="K1747" s="152">
        <f>IFERROR(VALUE(SUBSTITUTE(INDEX('04A_국토부원자료'!$A:$T,ROW()+1,MATCH("건축년도",'04A_국토부원자료'!$A$4:$T$4,0)),",","")),"")</f>
        <v/>
      </c>
      <c r="L1747" s="176">
        <f>IFERROR(INDEX('04A_국토부원자료'!$A:$T,ROW()+1,MATCH("도로명",'04A_국토부원자료'!$A$4:$T$4,0)),"")</f>
        <v/>
      </c>
      <c r="M1747" s="48">
        <f>IFERROR(INDEX('04A_국토부원자료'!$A:$T,ROW()+1,MATCH("거래유형",'04A_국토부원자료'!$A$4:$T$4,0)),"")</f>
        <v/>
      </c>
      <c r="N1747" s="152">
        <f>IF(B1747="","",IF('02_대상물건입력'!B5="",1,IF(ISNUMBER(SEARCH('02_대상물건입력'!B5,B1747)),1,0)))</f>
        <v/>
      </c>
      <c r="O1747" s="152">
        <f>IF(B1747="","",IF('02_대상물건입력'!B6="",1,IF(ISNUMBER(SEARCH('02_대상물건입력'!B6,B1747)),1,0)))</f>
        <v/>
      </c>
      <c r="P1747" s="152">
        <f>IF(L1747="","",IF('02_대상물건입력'!B15="",0,IF(ISNUMBER(SEARCH('02_대상물건입력'!B15,L1747)),1,0)))</f>
        <v/>
      </c>
      <c r="Q1747" s="152">
        <f>IF(OR(C1747="",L1747=""),0,IF(AND(TRIM(C1747)=TRIM(RIGHT(SUBSTITUTE(TRIM('02_대상물건입력'!$B$7)," ",REPT(" ",99)),99)),IF('02_대상물건입력'!B15="",TRUE(),ISNUMBER(SEARCH('02_대상물건입력'!B15,L1747)))),1,0))</f>
        <v/>
      </c>
      <c r="R1747" s="175">
        <f>IFERROR(ABS(E1747-'02_대상물건입력'!B11)/'02_대상물건입력'!B11,"")</f>
        <v/>
      </c>
      <c r="S1747" s="152">
        <f>IFERROR(ABS(J1747-'02_대상물건입력'!B10),"")</f>
        <v/>
      </c>
      <c r="T1747" s="152">
        <f>IFERROR(ABS('01_설정'!B4-F1747),"")</f>
        <v/>
      </c>
      <c r="U1747" s="152">
        <f>IFERROR(ABS(K1747-YEAR('02_대상물건입력'!B14)),"")</f>
        <v/>
      </c>
      <c r="V1747" s="152">
        <f>IF(B1747="","",IF(AND(E1747&gt;0,F1747&gt;0,H1747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1747=1,TRUE()),R1747&lt;='01_설정'!B5,S1747&lt;='01_설정'!B6,T1747&lt;='01_설정'!B7,U1747&lt;='01_설정'!B8),"Y",""))</f>
        <v/>
      </c>
      <c r="W1747" s="172">
        <f>IF(V1747&lt;&gt;"Y","",MAX(0,(1-R1747/'01_설정'!B5))*'01_설정'!B14+MAX(0,(1-S1747/'01_설정'!B6))*'01_설정'!B15+MAX(0,(1-T1747/'01_설정'!B7))*'01_설정'!B16+MAX(0,(1-U1747/'01_설정'!B8))*'01_설정'!B17+O1747*'01_설정'!B11+Q1747*'01_설정'!B12+P1747*'01_설정'!B13+IF(Z1747="",0,Z1747))</f>
        <v/>
      </c>
      <c r="X1747" s="152">
        <f>IF(W1747="","",1+COUNTIFS($W$4:$W$3003,"&gt;"&amp;W1747)+COUNTIFS($W$4:W1747,W1747)-1)</f>
        <v/>
      </c>
      <c r="Y1747" s="175">
        <f>IF(OR(I1747="",'02_대상물건입력'!B19="",'02_대상물건입력'!B19&lt;=0),"",ABS(I1747-'02_대상물건입력'!B19)/'02_대상물건입력'!B19)</f>
        <v/>
      </c>
      <c r="Z1747" s="172">
        <f>IF(OR(Y1747="",'01_설정'!B31="",'01_설정'!B31&lt;=0,'01_설정'!B32="",'01_설정'!B32&lt;=0),"",MAX(0,(1-Y1747/'01_설정'!B32))*'01_설정'!B31)</f>
        <v/>
      </c>
    </row>
    <row r="1748" ht="17.25" customHeight="1">
      <c r="A1748" s="152">
        <f>IF(INDEX('04A_국토부원자료'!$A:$A,ROW()+1)="","",ROW()-3)</f>
        <v/>
      </c>
      <c r="B1748" s="48">
        <f>IFERROR(INDEX('04A_국토부원자료'!$A:$T,ROW()+1,MATCH("시군구",'04A_국토부원자료'!$A$4:$T$4,0)),"")</f>
        <v/>
      </c>
      <c r="C1748" s="48">
        <f>IF(B1748="","",IFERROR(INDEX('04A_국토부원자료'!$A:$T,ROW()+1,MATCH("번지",'04A_국토부원자료'!$A$4:$T$4,0)),""))</f>
        <v/>
      </c>
      <c r="D1748" s="48">
        <f>IF(B1748="","",IF(Q1748=1,'02_대상물건입력'!$B$8,IFERROR(INDEX('04A_국토부원자료'!$A:$T,ROW()+1,MATCH("단지명",'04A_국토부원자료'!$A$4:$T$4,0)),"")))</f>
        <v/>
      </c>
      <c r="E1748" s="172">
        <f>IFERROR(VALUE(SUBSTITUTE(INDEX('04A_국토부원자료'!$A:$T,ROW()+1,MATCH("전용면적(㎡)",'04A_국토부원자료'!$A$4:$T$4,0)),",","")),"")</f>
        <v/>
      </c>
      <c r="F17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48" s="51">
        <f>IFERROR(VALUE(SUBSTITUTE(INDEX('04A_국토부원자료'!$A:$T,ROW()+1,MATCH("거래금액(만원)",'04A_국토부원자료'!$A$4:$T$4,0)),",","")),"")</f>
        <v/>
      </c>
      <c r="H1748" s="174">
        <f>IF(G1748="","",G1748*10000)</f>
        <v/>
      </c>
      <c r="I1748" s="174">
        <f>IFERROR(IF(AND(H1748&gt;0,E1748&gt;0),H1748/E1748,""),"")</f>
        <v/>
      </c>
      <c r="J1748" s="152">
        <f>IFERROR(VALUE(SUBSTITUTE(INDEX('04A_국토부원자료'!$A:$T,ROW()+1,MATCH("층",'04A_국토부원자료'!$A$4:$T$4,0)),",","")),"")</f>
        <v/>
      </c>
      <c r="K1748" s="152">
        <f>IFERROR(VALUE(SUBSTITUTE(INDEX('04A_국토부원자료'!$A:$T,ROW()+1,MATCH("건축년도",'04A_국토부원자료'!$A$4:$T$4,0)),",","")),"")</f>
        <v/>
      </c>
      <c r="L1748" s="176">
        <f>IFERROR(INDEX('04A_국토부원자료'!$A:$T,ROW()+1,MATCH("도로명",'04A_국토부원자료'!$A$4:$T$4,0)),"")</f>
        <v/>
      </c>
      <c r="M1748" s="48">
        <f>IFERROR(INDEX('04A_국토부원자료'!$A:$T,ROW()+1,MATCH("거래유형",'04A_국토부원자료'!$A$4:$T$4,0)),"")</f>
        <v/>
      </c>
      <c r="N1748" s="152">
        <f>IF(B1748="","",IF('02_대상물건입력'!B5="",1,IF(ISNUMBER(SEARCH('02_대상물건입력'!B5,B1748)),1,0)))</f>
        <v/>
      </c>
      <c r="O1748" s="152">
        <f>IF(B1748="","",IF('02_대상물건입력'!B6="",1,IF(ISNUMBER(SEARCH('02_대상물건입력'!B6,B1748)),1,0)))</f>
        <v/>
      </c>
      <c r="P1748" s="152">
        <f>IF(L1748="","",IF('02_대상물건입력'!B15="",0,IF(ISNUMBER(SEARCH('02_대상물건입력'!B15,L1748)),1,0)))</f>
        <v/>
      </c>
      <c r="Q1748" s="152">
        <f>IF(OR(C1748="",L1748=""),0,IF(AND(TRIM(C1748)=TRIM(RIGHT(SUBSTITUTE(TRIM('02_대상물건입력'!$B$7)," ",REPT(" ",99)),99)),IF('02_대상물건입력'!B15="",TRUE(),ISNUMBER(SEARCH('02_대상물건입력'!B15,L1748)))),1,0))</f>
        <v/>
      </c>
      <c r="R1748" s="175">
        <f>IFERROR(ABS(E1748-'02_대상물건입력'!B11)/'02_대상물건입력'!B11,"")</f>
        <v/>
      </c>
      <c r="S1748" s="152">
        <f>IFERROR(ABS(J1748-'02_대상물건입력'!B10),"")</f>
        <v/>
      </c>
      <c r="T1748" s="152">
        <f>IFERROR(ABS('01_설정'!B4-F1748),"")</f>
        <v/>
      </c>
      <c r="U1748" s="152">
        <f>IFERROR(ABS(K1748-YEAR('02_대상물건입력'!B14)),"")</f>
        <v/>
      </c>
      <c r="V1748" s="152">
        <f>IF(B1748="","",IF(AND(E1748&gt;0,F1748&gt;0,H1748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1748=1,TRUE()),R1748&lt;='01_설정'!B5,S1748&lt;='01_설정'!B6,T1748&lt;='01_설정'!B7,U1748&lt;='01_설정'!B8),"Y",""))</f>
        <v/>
      </c>
      <c r="W1748" s="172">
        <f>IF(V1748&lt;&gt;"Y","",MAX(0,(1-R1748/'01_설정'!B5))*'01_설정'!B14+MAX(0,(1-S1748/'01_설정'!B6))*'01_설정'!B15+MAX(0,(1-T1748/'01_설정'!B7))*'01_설정'!B16+MAX(0,(1-U1748/'01_설정'!B8))*'01_설정'!B17+O1748*'01_설정'!B11+Q1748*'01_설정'!B12+P1748*'01_설정'!B13+IF(Z1748="",0,Z1748))</f>
        <v/>
      </c>
      <c r="X1748" s="152">
        <f>IF(W1748="","",1+COUNTIFS($W$4:$W$3003,"&gt;"&amp;W1748)+COUNTIFS($W$4:W1748,W1748)-1)</f>
        <v/>
      </c>
      <c r="Y1748" s="175">
        <f>IF(OR(I1748="",'02_대상물건입력'!B19="",'02_대상물건입력'!B19&lt;=0),"",ABS(I1748-'02_대상물건입력'!B19)/'02_대상물건입력'!B19)</f>
        <v/>
      </c>
      <c r="Z1748" s="172">
        <f>IF(OR(Y1748="",'01_설정'!B31="",'01_설정'!B31&lt;=0,'01_설정'!B32="",'01_설정'!B32&lt;=0),"",MAX(0,(1-Y1748/'01_설정'!B32))*'01_설정'!B31)</f>
        <v/>
      </c>
    </row>
    <row r="1749" ht="17.25" customHeight="1">
      <c r="A1749" s="152">
        <f>IF(INDEX('04A_국토부원자료'!$A:$A,ROW()+1)="","",ROW()-3)</f>
        <v/>
      </c>
      <c r="B1749" s="48">
        <f>IFERROR(INDEX('04A_국토부원자료'!$A:$T,ROW()+1,MATCH("시군구",'04A_국토부원자료'!$A$4:$T$4,0)),"")</f>
        <v/>
      </c>
      <c r="C1749" s="48">
        <f>IF(B1749="","",IFERROR(INDEX('04A_국토부원자료'!$A:$T,ROW()+1,MATCH("번지",'04A_국토부원자료'!$A$4:$T$4,0)),""))</f>
        <v/>
      </c>
      <c r="D1749" s="48">
        <f>IF(B1749="","",IF(Q1749=1,'02_대상물건입력'!$B$8,IFERROR(INDEX('04A_국토부원자료'!$A:$T,ROW()+1,MATCH("단지명",'04A_국토부원자료'!$A$4:$T$4,0)),"")))</f>
        <v/>
      </c>
      <c r="E1749" s="172">
        <f>IFERROR(VALUE(SUBSTITUTE(INDEX('04A_국토부원자료'!$A:$T,ROW()+1,MATCH("전용면적(㎡)",'04A_국토부원자료'!$A$4:$T$4,0)),",","")),"")</f>
        <v/>
      </c>
      <c r="F17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49" s="51">
        <f>IFERROR(VALUE(SUBSTITUTE(INDEX('04A_국토부원자료'!$A:$T,ROW()+1,MATCH("거래금액(만원)",'04A_국토부원자료'!$A$4:$T$4,0)),",","")),"")</f>
        <v/>
      </c>
      <c r="H1749" s="174">
        <f>IF(G1749="","",G1749*10000)</f>
        <v/>
      </c>
      <c r="I1749" s="174">
        <f>IFERROR(IF(AND(H1749&gt;0,E1749&gt;0),H1749/E1749,""),"")</f>
        <v/>
      </c>
      <c r="J1749" s="152">
        <f>IFERROR(VALUE(SUBSTITUTE(INDEX('04A_국토부원자료'!$A:$T,ROW()+1,MATCH("층",'04A_국토부원자료'!$A$4:$T$4,0)),",","")),"")</f>
        <v/>
      </c>
      <c r="K1749" s="152">
        <f>IFERROR(VALUE(SUBSTITUTE(INDEX('04A_국토부원자료'!$A:$T,ROW()+1,MATCH("건축년도",'04A_국토부원자료'!$A$4:$T$4,0)),",","")),"")</f>
        <v/>
      </c>
      <c r="L1749" s="176">
        <f>IFERROR(INDEX('04A_국토부원자료'!$A:$T,ROW()+1,MATCH("도로명",'04A_국토부원자료'!$A$4:$T$4,0)),"")</f>
        <v/>
      </c>
      <c r="M1749" s="48">
        <f>IFERROR(INDEX('04A_국토부원자료'!$A:$T,ROW()+1,MATCH("거래유형",'04A_국토부원자료'!$A$4:$T$4,0)),"")</f>
        <v/>
      </c>
      <c r="N1749" s="152">
        <f>IF(B1749="","",IF('02_대상물건입력'!B5="",1,IF(ISNUMBER(SEARCH('02_대상물건입력'!B5,B1749)),1,0)))</f>
        <v/>
      </c>
      <c r="O1749" s="152">
        <f>IF(B1749="","",IF('02_대상물건입력'!B6="",1,IF(ISNUMBER(SEARCH('02_대상물건입력'!B6,B1749)),1,0)))</f>
        <v/>
      </c>
      <c r="P1749" s="152">
        <f>IF(L1749="","",IF('02_대상물건입력'!B15="",0,IF(ISNUMBER(SEARCH('02_대상물건입력'!B15,L1749)),1,0)))</f>
        <v/>
      </c>
      <c r="Q1749" s="152">
        <f>IF(OR(C1749="",L1749=""),0,IF(AND(TRIM(C1749)=TRIM(RIGHT(SUBSTITUTE(TRIM('02_대상물건입력'!$B$7)," ",REPT(" ",99)),99)),IF('02_대상물건입력'!B15="",TRUE(),ISNUMBER(SEARCH('02_대상물건입력'!B15,L1749)))),1,0))</f>
        <v/>
      </c>
      <c r="R1749" s="175">
        <f>IFERROR(ABS(E1749-'02_대상물건입력'!B11)/'02_대상물건입력'!B11,"")</f>
        <v/>
      </c>
      <c r="S1749" s="152">
        <f>IFERROR(ABS(J1749-'02_대상물건입력'!B10),"")</f>
        <v/>
      </c>
      <c r="T1749" s="152">
        <f>IFERROR(ABS('01_설정'!B4-F1749),"")</f>
        <v/>
      </c>
      <c r="U1749" s="152">
        <f>IFERROR(ABS(K1749-YEAR('02_대상물건입력'!B14)),"")</f>
        <v/>
      </c>
      <c r="V1749" s="152">
        <f>IF(B1749="","",IF(AND(E1749&gt;0,F1749&gt;0,H1749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1749=1,TRUE()),R1749&lt;='01_설정'!B5,S1749&lt;='01_설정'!B6,T1749&lt;='01_설정'!B7,U1749&lt;='01_설정'!B8),"Y",""))</f>
        <v/>
      </c>
      <c r="W1749" s="172">
        <f>IF(V1749&lt;&gt;"Y","",MAX(0,(1-R1749/'01_설정'!B5))*'01_설정'!B14+MAX(0,(1-S1749/'01_설정'!B6))*'01_설정'!B15+MAX(0,(1-T1749/'01_설정'!B7))*'01_설정'!B16+MAX(0,(1-U1749/'01_설정'!B8))*'01_설정'!B17+O1749*'01_설정'!B11+Q1749*'01_설정'!B12+P1749*'01_설정'!B13+IF(Z1749="",0,Z1749))</f>
        <v/>
      </c>
      <c r="X1749" s="152">
        <f>IF(W1749="","",1+COUNTIFS($W$4:$W$3003,"&gt;"&amp;W1749)+COUNTIFS($W$4:W1749,W1749)-1)</f>
        <v/>
      </c>
      <c r="Y1749" s="175">
        <f>IF(OR(I1749="",'02_대상물건입력'!B19="",'02_대상물건입력'!B19&lt;=0),"",ABS(I1749-'02_대상물건입력'!B19)/'02_대상물건입력'!B19)</f>
        <v/>
      </c>
      <c r="Z1749" s="172">
        <f>IF(OR(Y1749="",'01_설정'!B31="",'01_설정'!B31&lt;=0,'01_설정'!B32="",'01_설정'!B32&lt;=0),"",MAX(0,(1-Y1749/'01_설정'!B32))*'01_설정'!B31)</f>
        <v/>
      </c>
    </row>
    <row r="1750" ht="17.25" customHeight="1">
      <c r="A1750" s="152">
        <f>IF(INDEX('04A_국토부원자료'!$A:$A,ROW()+1)="","",ROW()-3)</f>
        <v/>
      </c>
      <c r="B1750" s="48">
        <f>IFERROR(INDEX('04A_국토부원자료'!$A:$T,ROW()+1,MATCH("시군구",'04A_국토부원자료'!$A$4:$T$4,0)),"")</f>
        <v/>
      </c>
      <c r="C1750" s="48">
        <f>IF(B1750="","",IFERROR(INDEX('04A_국토부원자료'!$A:$T,ROW()+1,MATCH("번지",'04A_국토부원자료'!$A$4:$T$4,0)),""))</f>
        <v/>
      </c>
      <c r="D1750" s="48">
        <f>IF(B1750="","",IF(Q1750=1,'02_대상물건입력'!$B$8,IFERROR(INDEX('04A_국토부원자료'!$A:$T,ROW()+1,MATCH("단지명",'04A_국토부원자료'!$A$4:$T$4,0)),"")))</f>
        <v/>
      </c>
      <c r="E1750" s="172">
        <f>IFERROR(VALUE(SUBSTITUTE(INDEX('04A_국토부원자료'!$A:$T,ROW()+1,MATCH("전용면적(㎡)",'04A_국토부원자료'!$A$4:$T$4,0)),",","")),"")</f>
        <v/>
      </c>
      <c r="F17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50" s="51">
        <f>IFERROR(VALUE(SUBSTITUTE(INDEX('04A_국토부원자료'!$A:$T,ROW()+1,MATCH("거래금액(만원)",'04A_국토부원자료'!$A$4:$T$4,0)),",","")),"")</f>
        <v/>
      </c>
      <c r="H1750" s="174">
        <f>IF(G1750="","",G1750*10000)</f>
        <v/>
      </c>
      <c r="I1750" s="174">
        <f>IFERROR(IF(AND(H1750&gt;0,E1750&gt;0),H1750/E1750,""),"")</f>
        <v/>
      </c>
      <c r="J1750" s="152">
        <f>IFERROR(VALUE(SUBSTITUTE(INDEX('04A_국토부원자료'!$A:$T,ROW()+1,MATCH("층",'04A_국토부원자료'!$A$4:$T$4,0)),",","")),"")</f>
        <v/>
      </c>
      <c r="K1750" s="152">
        <f>IFERROR(VALUE(SUBSTITUTE(INDEX('04A_국토부원자료'!$A:$T,ROW()+1,MATCH("건축년도",'04A_국토부원자료'!$A$4:$T$4,0)),",","")),"")</f>
        <v/>
      </c>
      <c r="L1750" s="176">
        <f>IFERROR(INDEX('04A_국토부원자료'!$A:$T,ROW()+1,MATCH("도로명",'04A_국토부원자료'!$A$4:$T$4,0)),"")</f>
        <v/>
      </c>
      <c r="M1750" s="48">
        <f>IFERROR(INDEX('04A_국토부원자료'!$A:$T,ROW()+1,MATCH("거래유형",'04A_국토부원자료'!$A$4:$T$4,0)),"")</f>
        <v/>
      </c>
      <c r="N1750" s="152">
        <f>IF(B1750="","",IF('02_대상물건입력'!B5="",1,IF(ISNUMBER(SEARCH('02_대상물건입력'!B5,B1750)),1,0)))</f>
        <v/>
      </c>
      <c r="O1750" s="152">
        <f>IF(B1750="","",IF('02_대상물건입력'!B6="",1,IF(ISNUMBER(SEARCH('02_대상물건입력'!B6,B1750)),1,0)))</f>
        <v/>
      </c>
      <c r="P1750" s="152">
        <f>IF(L1750="","",IF('02_대상물건입력'!B15="",0,IF(ISNUMBER(SEARCH('02_대상물건입력'!B15,L1750)),1,0)))</f>
        <v/>
      </c>
      <c r="Q1750" s="152">
        <f>IF(OR(C1750="",L1750=""),0,IF(AND(TRIM(C1750)=TRIM(RIGHT(SUBSTITUTE(TRIM('02_대상물건입력'!$B$7)," ",REPT(" ",99)),99)),IF('02_대상물건입력'!B15="",TRUE(),ISNUMBER(SEARCH('02_대상물건입력'!B15,L1750)))),1,0))</f>
        <v/>
      </c>
      <c r="R1750" s="175">
        <f>IFERROR(ABS(E1750-'02_대상물건입력'!B11)/'02_대상물건입력'!B11,"")</f>
        <v/>
      </c>
      <c r="S1750" s="152">
        <f>IFERROR(ABS(J1750-'02_대상물건입력'!B10),"")</f>
        <v/>
      </c>
      <c r="T1750" s="152">
        <f>IFERROR(ABS('01_설정'!B4-F1750),"")</f>
        <v/>
      </c>
      <c r="U1750" s="152">
        <f>IFERROR(ABS(K1750-YEAR('02_대상물건입력'!B14)),"")</f>
        <v/>
      </c>
      <c r="V1750" s="152">
        <f>IF(B1750="","",IF(AND(E1750&gt;0,F1750&gt;0,H1750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1750=1,TRUE()),R1750&lt;='01_설정'!B5,S1750&lt;='01_설정'!B6,T1750&lt;='01_설정'!B7,U1750&lt;='01_설정'!B8),"Y",""))</f>
        <v/>
      </c>
      <c r="W1750" s="172">
        <f>IF(V1750&lt;&gt;"Y","",MAX(0,(1-R1750/'01_설정'!B5))*'01_설정'!B14+MAX(0,(1-S1750/'01_설정'!B6))*'01_설정'!B15+MAX(0,(1-T1750/'01_설정'!B7))*'01_설정'!B16+MAX(0,(1-U1750/'01_설정'!B8))*'01_설정'!B17+O1750*'01_설정'!B11+Q1750*'01_설정'!B12+P1750*'01_설정'!B13+IF(Z1750="",0,Z1750))</f>
        <v/>
      </c>
      <c r="X1750" s="152">
        <f>IF(W1750="","",1+COUNTIFS($W$4:$W$3003,"&gt;"&amp;W1750)+COUNTIFS($W$4:W1750,W1750)-1)</f>
        <v/>
      </c>
      <c r="Y1750" s="175">
        <f>IF(OR(I1750="",'02_대상물건입력'!B19="",'02_대상물건입력'!B19&lt;=0),"",ABS(I1750-'02_대상물건입력'!B19)/'02_대상물건입력'!B19)</f>
        <v/>
      </c>
      <c r="Z1750" s="172">
        <f>IF(OR(Y1750="",'01_설정'!B31="",'01_설정'!B31&lt;=0,'01_설정'!B32="",'01_설정'!B32&lt;=0),"",MAX(0,(1-Y1750/'01_설정'!B32))*'01_설정'!B31)</f>
        <v/>
      </c>
    </row>
    <row r="1751" ht="17.25" customHeight="1">
      <c r="A1751" s="152">
        <f>IF(INDEX('04A_국토부원자료'!$A:$A,ROW()+1)="","",ROW()-3)</f>
        <v/>
      </c>
      <c r="B1751" s="48">
        <f>IFERROR(INDEX('04A_국토부원자료'!$A:$T,ROW()+1,MATCH("시군구",'04A_국토부원자료'!$A$4:$T$4,0)),"")</f>
        <v/>
      </c>
      <c r="C1751" s="48">
        <f>IF(B1751="","",IFERROR(INDEX('04A_국토부원자료'!$A:$T,ROW()+1,MATCH("번지",'04A_국토부원자료'!$A$4:$T$4,0)),""))</f>
        <v/>
      </c>
      <c r="D1751" s="48">
        <f>IF(B1751="","",IF(Q1751=1,'02_대상물건입력'!$B$8,IFERROR(INDEX('04A_국토부원자료'!$A:$T,ROW()+1,MATCH("단지명",'04A_국토부원자료'!$A$4:$T$4,0)),"")))</f>
        <v/>
      </c>
      <c r="E1751" s="172">
        <f>IFERROR(VALUE(SUBSTITUTE(INDEX('04A_국토부원자료'!$A:$T,ROW()+1,MATCH("전용면적(㎡)",'04A_국토부원자료'!$A$4:$T$4,0)),",","")),"")</f>
        <v/>
      </c>
      <c r="F17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51" s="51">
        <f>IFERROR(VALUE(SUBSTITUTE(INDEX('04A_국토부원자료'!$A:$T,ROW()+1,MATCH("거래금액(만원)",'04A_국토부원자료'!$A$4:$T$4,0)),",","")),"")</f>
        <v/>
      </c>
      <c r="H1751" s="174">
        <f>IF(G1751="","",G1751*10000)</f>
        <v/>
      </c>
      <c r="I1751" s="174">
        <f>IFERROR(IF(AND(H1751&gt;0,E1751&gt;0),H1751/E1751,""),"")</f>
        <v/>
      </c>
      <c r="J1751" s="152">
        <f>IFERROR(VALUE(SUBSTITUTE(INDEX('04A_국토부원자료'!$A:$T,ROW()+1,MATCH("층",'04A_국토부원자료'!$A$4:$T$4,0)),",","")),"")</f>
        <v/>
      </c>
      <c r="K1751" s="152">
        <f>IFERROR(VALUE(SUBSTITUTE(INDEX('04A_국토부원자료'!$A:$T,ROW()+1,MATCH("건축년도",'04A_국토부원자료'!$A$4:$T$4,0)),",","")),"")</f>
        <v/>
      </c>
      <c r="L1751" s="176">
        <f>IFERROR(INDEX('04A_국토부원자료'!$A:$T,ROW()+1,MATCH("도로명",'04A_국토부원자료'!$A$4:$T$4,0)),"")</f>
        <v/>
      </c>
      <c r="M1751" s="48">
        <f>IFERROR(INDEX('04A_국토부원자료'!$A:$T,ROW()+1,MATCH("거래유형",'04A_국토부원자료'!$A$4:$T$4,0)),"")</f>
        <v/>
      </c>
      <c r="N1751" s="152">
        <f>IF(B1751="","",IF('02_대상물건입력'!B5="",1,IF(ISNUMBER(SEARCH('02_대상물건입력'!B5,B1751)),1,0)))</f>
        <v/>
      </c>
      <c r="O1751" s="152">
        <f>IF(B1751="","",IF('02_대상물건입력'!B6="",1,IF(ISNUMBER(SEARCH('02_대상물건입력'!B6,B1751)),1,0)))</f>
        <v/>
      </c>
      <c r="P1751" s="152">
        <f>IF(L1751="","",IF('02_대상물건입력'!B15="",0,IF(ISNUMBER(SEARCH('02_대상물건입력'!B15,L1751)),1,0)))</f>
        <v/>
      </c>
      <c r="Q1751" s="152">
        <f>IF(OR(C1751="",L1751=""),0,IF(AND(TRIM(C1751)=TRIM(RIGHT(SUBSTITUTE(TRIM('02_대상물건입력'!$B$7)," ",REPT(" ",99)),99)),IF('02_대상물건입력'!B15="",TRUE(),ISNUMBER(SEARCH('02_대상물건입력'!B15,L1751)))),1,0))</f>
        <v/>
      </c>
      <c r="R1751" s="175">
        <f>IFERROR(ABS(E1751-'02_대상물건입력'!B11)/'02_대상물건입력'!B11,"")</f>
        <v/>
      </c>
      <c r="S1751" s="152">
        <f>IFERROR(ABS(J1751-'02_대상물건입력'!B10),"")</f>
        <v/>
      </c>
      <c r="T1751" s="152">
        <f>IFERROR(ABS('01_설정'!B4-F1751),"")</f>
        <v/>
      </c>
      <c r="U1751" s="152">
        <f>IFERROR(ABS(K1751-YEAR('02_대상물건입력'!B14)),"")</f>
        <v/>
      </c>
      <c r="V1751" s="152">
        <f>IF(B1751="","",IF(AND(E1751&gt;0,F1751&gt;0,H1751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1751=1,TRUE()),R1751&lt;='01_설정'!B5,S1751&lt;='01_설정'!B6,T1751&lt;='01_설정'!B7,U1751&lt;='01_설정'!B8),"Y",""))</f>
        <v/>
      </c>
      <c r="W1751" s="172">
        <f>IF(V1751&lt;&gt;"Y","",MAX(0,(1-R1751/'01_설정'!B5))*'01_설정'!B14+MAX(0,(1-S1751/'01_설정'!B6))*'01_설정'!B15+MAX(0,(1-T1751/'01_설정'!B7))*'01_설정'!B16+MAX(0,(1-U1751/'01_설정'!B8))*'01_설정'!B17+O1751*'01_설정'!B11+Q1751*'01_설정'!B12+P1751*'01_설정'!B13+IF(Z1751="",0,Z1751))</f>
        <v/>
      </c>
      <c r="X1751" s="152">
        <f>IF(W1751="","",1+COUNTIFS($W$4:$W$3003,"&gt;"&amp;W1751)+COUNTIFS($W$4:W1751,W1751)-1)</f>
        <v/>
      </c>
      <c r="Y1751" s="175">
        <f>IF(OR(I1751="",'02_대상물건입력'!B19="",'02_대상물건입력'!B19&lt;=0),"",ABS(I1751-'02_대상물건입력'!B19)/'02_대상물건입력'!B19)</f>
        <v/>
      </c>
      <c r="Z1751" s="172">
        <f>IF(OR(Y1751="",'01_설정'!B31="",'01_설정'!B31&lt;=0,'01_설정'!B32="",'01_설정'!B32&lt;=0),"",MAX(0,(1-Y1751/'01_설정'!B32))*'01_설정'!B31)</f>
        <v/>
      </c>
    </row>
    <row r="1752" ht="17.25" customHeight="1">
      <c r="A1752" s="152">
        <f>IF(INDEX('04A_국토부원자료'!$A:$A,ROW()+1)="","",ROW()-3)</f>
        <v/>
      </c>
      <c r="B1752" s="48">
        <f>IFERROR(INDEX('04A_국토부원자료'!$A:$T,ROW()+1,MATCH("시군구",'04A_국토부원자료'!$A$4:$T$4,0)),"")</f>
        <v/>
      </c>
      <c r="C1752" s="48">
        <f>IF(B1752="","",IFERROR(INDEX('04A_국토부원자료'!$A:$T,ROW()+1,MATCH("번지",'04A_국토부원자료'!$A$4:$T$4,0)),""))</f>
        <v/>
      </c>
      <c r="D1752" s="48">
        <f>IF(B1752="","",IF(Q1752=1,'02_대상물건입력'!$B$8,IFERROR(INDEX('04A_국토부원자료'!$A:$T,ROW()+1,MATCH("단지명",'04A_국토부원자료'!$A$4:$T$4,0)),"")))</f>
        <v/>
      </c>
      <c r="E1752" s="172">
        <f>IFERROR(VALUE(SUBSTITUTE(INDEX('04A_국토부원자료'!$A:$T,ROW()+1,MATCH("전용면적(㎡)",'04A_국토부원자료'!$A$4:$T$4,0)),",","")),"")</f>
        <v/>
      </c>
      <c r="F17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52" s="51">
        <f>IFERROR(VALUE(SUBSTITUTE(INDEX('04A_국토부원자료'!$A:$T,ROW()+1,MATCH("거래금액(만원)",'04A_국토부원자료'!$A$4:$T$4,0)),",","")),"")</f>
        <v/>
      </c>
      <c r="H1752" s="174">
        <f>IF(G1752="","",G1752*10000)</f>
        <v/>
      </c>
      <c r="I1752" s="174">
        <f>IFERROR(IF(AND(H1752&gt;0,E1752&gt;0),H1752/E1752,""),"")</f>
        <v/>
      </c>
      <c r="J1752" s="152">
        <f>IFERROR(VALUE(SUBSTITUTE(INDEX('04A_국토부원자료'!$A:$T,ROW()+1,MATCH("층",'04A_국토부원자료'!$A$4:$T$4,0)),",","")),"")</f>
        <v/>
      </c>
      <c r="K1752" s="152">
        <f>IFERROR(VALUE(SUBSTITUTE(INDEX('04A_국토부원자료'!$A:$T,ROW()+1,MATCH("건축년도",'04A_국토부원자료'!$A$4:$T$4,0)),",","")),"")</f>
        <v/>
      </c>
      <c r="L1752" s="176">
        <f>IFERROR(INDEX('04A_국토부원자료'!$A:$T,ROW()+1,MATCH("도로명",'04A_국토부원자료'!$A$4:$T$4,0)),"")</f>
        <v/>
      </c>
      <c r="M1752" s="48">
        <f>IFERROR(INDEX('04A_국토부원자료'!$A:$T,ROW()+1,MATCH("거래유형",'04A_국토부원자료'!$A$4:$T$4,0)),"")</f>
        <v/>
      </c>
      <c r="N1752" s="152">
        <f>IF(B1752="","",IF('02_대상물건입력'!B5="",1,IF(ISNUMBER(SEARCH('02_대상물건입력'!B5,B1752)),1,0)))</f>
        <v/>
      </c>
      <c r="O1752" s="152">
        <f>IF(B1752="","",IF('02_대상물건입력'!B6="",1,IF(ISNUMBER(SEARCH('02_대상물건입력'!B6,B1752)),1,0)))</f>
        <v/>
      </c>
      <c r="P1752" s="152">
        <f>IF(L1752="","",IF('02_대상물건입력'!B15="",0,IF(ISNUMBER(SEARCH('02_대상물건입력'!B15,L1752)),1,0)))</f>
        <v/>
      </c>
      <c r="Q1752" s="152">
        <f>IF(OR(C1752="",L1752=""),0,IF(AND(TRIM(C1752)=TRIM(RIGHT(SUBSTITUTE(TRIM('02_대상물건입력'!$B$7)," ",REPT(" ",99)),99)),IF('02_대상물건입력'!B15="",TRUE(),ISNUMBER(SEARCH('02_대상물건입력'!B15,L1752)))),1,0))</f>
        <v/>
      </c>
      <c r="R1752" s="175">
        <f>IFERROR(ABS(E1752-'02_대상물건입력'!B11)/'02_대상물건입력'!B11,"")</f>
        <v/>
      </c>
      <c r="S1752" s="152">
        <f>IFERROR(ABS(J1752-'02_대상물건입력'!B10),"")</f>
        <v/>
      </c>
      <c r="T1752" s="152">
        <f>IFERROR(ABS('01_설정'!B4-F1752),"")</f>
        <v/>
      </c>
      <c r="U1752" s="152">
        <f>IFERROR(ABS(K1752-YEAR('02_대상물건입력'!B14)),"")</f>
        <v/>
      </c>
      <c r="V1752" s="152">
        <f>IF(B1752="","",IF(AND(E1752&gt;0,F1752&gt;0,H1752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1752=1,TRUE()),R1752&lt;='01_설정'!B5,S1752&lt;='01_설정'!B6,T1752&lt;='01_설정'!B7,U1752&lt;='01_설정'!B8),"Y",""))</f>
        <v/>
      </c>
      <c r="W1752" s="172">
        <f>IF(V1752&lt;&gt;"Y","",MAX(0,(1-R1752/'01_설정'!B5))*'01_설정'!B14+MAX(0,(1-S1752/'01_설정'!B6))*'01_설정'!B15+MAX(0,(1-T1752/'01_설정'!B7))*'01_설정'!B16+MAX(0,(1-U1752/'01_설정'!B8))*'01_설정'!B17+O1752*'01_설정'!B11+Q1752*'01_설정'!B12+P1752*'01_설정'!B13+IF(Z1752="",0,Z1752))</f>
        <v/>
      </c>
      <c r="X1752" s="152">
        <f>IF(W1752="","",1+COUNTIFS($W$4:$W$3003,"&gt;"&amp;W1752)+COUNTIFS($W$4:W1752,W1752)-1)</f>
        <v/>
      </c>
      <c r="Y1752" s="175">
        <f>IF(OR(I1752="",'02_대상물건입력'!B19="",'02_대상물건입력'!B19&lt;=0),"",ABS(I1752-'02_대상물건입력'!B19)/'02_대상물건입력'!B19)</f>
        <v/>
      </c>
      <c r="Z1752" s="172">
        <f>IF(OR(Y1752="",'01_설정'!B31="",'01_설정'!B31&lt;=0,'01_설정'!B32="",'01_설정'!B32&lt;=0),"",MAX(0,(1-Y1752/'01_설정'!B32))*'01_설정'!B31)</f>
        <v/>
      </c>
    </row>
    <row r="1753" ht="17.25" customHeight="1">
      <c r="A1753" s="152">
        <f>IF(INDEX('04A_국토부원자료'!$A:$A,ROW()+1)="","",ROW()-3)</f>
        <v/>
      </c>
      <c r="B1753" s="48">
        <f>IFERROR(INDEX('04A_국토부원자료'!$A:$T,ROW()+1,MATCH("시군구",'04A_국토부원자료'!$A$4:$T$4,0)),"")</f>
        <v/>
      </c>
      <c r="C1753" s="48">
        <f>IF(B1753="","",IFERROR(INDEX('04A_국토부원자료'!$A:$T,ROW()+1,MATCH("번지",'04A_국토부원자료'!$A$4:$T$4,0)),""))</f>
        <v/>
      </c>
      <c r="D1753" s="48">
        <f>IF(B1753="","",IF(Q1753=1,'02_대상물건입력'!$B$8,IFERROR(INDEX('04A_국토부원자료'!$A:$T,ROW()+1,MATCH("단지명",'04A_국토부원자료'!$A$4:$T$4,0)),"")))</f>
        <v/>
      </c>
      <c r="E1753" s="172">
        <f>IFERROR(VALUE(SUBSTITUTE(INDEX('04A_국토부원자료'!$A:$T,ROW()+1,MATCH("전용면적(㎡)",'04A_국토부원자료'!$A$4:$T$4,0)),",","")),"")</f>
        <v/>
      </c>
      <c r="F17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53" s="51">
        <f>IFERROR(VALUE(SUBSTITUTE(INDEX('04A_국토부원자료'!$A:$T,ROW()+1,MATCH("거래금액(만원)",'04A_국토부원자료'!$A$4:$T$4,0)),",","")),"")</f>
        <v/>
      </c>
      <c r="H1753" s="174">
        <f>IF(G1753="","",G1753*10000)</f>
        <v/>
      </c>
      <c r="I1753" s="174">
        <f>IFERROR(IF(AND(H1753&gt;0,E1753&gt;0),H1753/E1753,""),"")</f>
        <v/>
      </c>
      <c r="J1753" s="152">
        <f>IFERROR(VALUE(SUBSTITUTE(INDEX('04A_국토부원자료'!$A:$T,ROW()+1,MATCH("층",'04A_국토부원자료'!$A$4:$T$4,0)),",","")),"")</f>
        <v/>
      </c>
      <c r="K1753" s="152">
        <f>IFERROR(VALUE(SUBSTITUTE(INDEX('04A_국토부원자료'!$A:$T,ROW()+1,MATCH("건축년도",'04A_국토부원자료'!$A$4:$T$4,0)),",","")),"")</f>
        <v/>
      </c>
      <c r="L1753" s="176">
        <f>IFERROR(INDEX('04A_국토부원자료'!$A:$T,ROW()+1,MATCH("도로명",'04A_국토부원자료'!$A$4:$T$4,0)),"")</f>
        <v/>
      </c>
      <c r="M1753" s="48">
        <f>IFERROR(INDEX('04A_국토부원자료'!$A:$T,ROW()+1,MATCH("거래유형",'04A_국토부원자료'!$A$4:$T$4,0)),"")</f>
        <v/>
      </c>
      <c r="N1753" s="152">
        <f>IF(B1753="","",IF('02_대상물건입력'!B5="",1,IF(ISNUMBER(SEARCH('02_대상물건입력'!B5,B1753)),1,0)))</f>
        <v/>
      </c>
      <c r="O1753" s="152">
        <f>IF(B1753="","",IF('02_대상물건입력'!B6="",1,IF(ISNUMBER(SEARCH('02_대상물건입력'!B6,B1753)),1,0)))</f>
        <v/>
      </c>
      <c r="P1753" s="152">
        <f>IF(L1753="","",IF('02_대상물건입력'!B15="",0,IF(ISNUMBER(SEARCH('02_대상물건입력'!B15,L1753)),1,0)))</f>
        <v/>
      </c>
      <c r="Q1753" s="152">
        <f>IF(OR(C1753="",L1753=""),0,IF(AND(TRIM(C1753)=TRIM(RIGHT(SUBSTITUTE(TRIM('02_대상물건입력'!$B$7)," ",REPT(" ",99)),99)),IF('02_대상물건입력'!B15="",TRUE(),ISNUMBER(SEARCH('02_대상물건입력'!B15,L1753)))),1,0))</f>
        <v/>
      </c>
      <c r="R1753" s="175">
        <f>IFERROR(ABS(E1753-'02_대상물건입력'!B11)/'02_대상물건입력'!B11,"")</f>
        <v/>
      </c>
      <c r="S1753" s="152">
        <f>IFERROR(ABS(J1753-'02_대상물건입력'!B10),"")</f>
        <v/>
      </c>
      <c r="T1753" s="152">
        <f>IFERROR(ABS('01_설정'!B4-F1753),"")</f>
        <v/>
      </c>
      <c r="U1753" s="152">
        <f>IFERROR(ABS(K1753-YEAR('02_대상물건입력'!B14)),"")</f>
        <v/>
      </c>
      <c r="V1753" s="152">
        <f>IF(B1753="","",IF(AND(E1753&gt;0,F1753&gt;0,H1753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1753=1,TRUE()),R1753&lt;='01_설정'!B5,S1753&lt;='01_설정'!B6,T1753&lt;='01_설정'!B7,U1753&lt;='01_설정'!B8),"Y",""))</f>
        <v/>
      </c>
      <c r="W1753" s="172">
        <f>IF(V1753&lt;&gt;"Y","",MAX(0,(1-R1753/'01_설정'!B5))*'01_설정'!B14+MAX(0,(1-S1753/'01_설정'!B6))*'01_설정'!B15+MAX(0,(1-T1753/'01_설정'!B7))*'01_설정'!B16+MAX(0,(1-U1753/'01_설정'!B8))*'01_설정'!B17+O1753*'01_설정'!B11+Q1753*'01_설정'!B12+P1753*'01_설정'!B13+IF(Z1753="",0,Z1753))</f>
        <v/>
      </c>
      <c r="X1753" s="152">
        <f>IF(W1753="","",1+COUNTIFS($W$4:$W$3003,"&gt;"&amp;W1753)+COUNTIFS($W$4:W1753,W1753)-1)</f>
        <v/>
      </c>
      <c r="Y1753" s="175">
        <f>IF(OR(I1753="",'02_대상물건입력'!B19="",'02_대상물건입력'!B19&lt;=0),"",ABS(I1753-'02_대상물건입력'!B19)/'02_대상물건입력'!B19)</f>
        <v/>
      </c>
      <c r="Z1753" s="172">
        <f>IF(OR(Y1753="",'01_설정'!B31="",'01_설정'!B31&lt;=0,'01_설정'!B32="",'01_설정'!B32&lt;=0),"",MAX(0,(1-Y1753/'01_설정'!B32))*'01_설정'!B31)</f>
        <v/>
      </c>
    </row>
    <row r="1754" ht="17.25" customHeight="1">
      <c r="A1754" s="152">
        <f>IF(INDEX('04A_국토부원자료'!$A:$A,ROW()+1)="","",ROW()-3)</f>
        <v/>
      </c>
      <c r="B1754" s="48">
        <f>IFERROR(INDEX('04A_국토부원자료'!$A:$T,ROW()+1,MATCH("시군구",'04A_국토부원자료'!$A$4:$T$4,0)),"")</f>
        <v/>
      </c>
      <c r="C1754" s="48">
        <f>IF(B1754="","",IFERROR(INDEX('04A_국토부원자료'!$A:$T,ROW()+1,MATCH("번지",'04A_국토부원자료'!$A$4:$T$4,0)),""))</f>
        <v/>
      </c>
      <c r="D1754" s="48">
        <f>IF(B1754="","",IF(Q1754=1,'02_대상물건입력'!$B$8,IFERROR(INDEX('04A_국토부원자료'!$A:$T,ROW()+1,MATCH("단지명",'04A_국토부원자료'!$A$4:$T$4,0)),"")))</f>
        <v/>
      </c>
      <c r="E1754" s="172">
        <f>IFERROR(VALUE(SUBSTITUTE(INDEX('04A_국토부원자료'!$A:$T,ROW()+1,MATCH("전용면적(㎡)",'04A_국토부원자료'!$A$4:$T$4,0)),",","")),"")</f>
        <v/>
      </c>
      <c r="F17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54" s="51">
        <f>IFERROR(VALUE(SUBSTITUTE(INDEX('04A_국토부원자료'!$A:$T,ROW()+1,MATCH("거래금액(만원)",'04A_국토부원자료'!$A$4:$T$4,0)),",","")),"")</f>
        <v/>
      </c>
      <c r="H1754" s="174">
        <f>IF(G1754="","",G1754*10000)</f>
        <v/>
      </c>
      <c r="I1754" s="174">
        <f>IFERROR(IF(AND(H1754&gt;0,E1754&gt;0),H1754/E1754,""),"")</f>
        <v/>
      </c>
      <c r="J1754" s="152">
        <f>IFERROR(VALUE(SUBSTITUTE(INDEX('04A_국토부원자료'!$A:$T,ROW()+1,MATCH("층",'04A_국토부원자료'!$A$4:$T$4,0)),",","")),"")</f>
        <v/>
      </c>
      <c r="K1754" s="152">
        <f>IFERROR(VALUE(SUBSTITUTE(INDEX('04A_국토부원자료'!$A:$T,ROW()+1,MATCH("건축년도",'04A_국토부원자료'!$A$4:$T$4,0)),",","")),"")</f>
        <v/>
      </c>
      <c r="L1754" s="176">
        <f>IFERROR(INDEX('04A_국토부원자료'!$A:$T,ROW()+1,MATCH("도로명",'04A_국토부원자료'!$A$4:$T$4,0)),"")</f>
        <v/>
      </c>
      <c r="M1754" s="48">
        <f>IFERROR(INDEX('04A_국토부원자료'!$A:$T,ROW()+1,MATCH("거래유형",'04A_국토부원자료'!$A$4:$T$4,0)),"")</f>
        <v/>
      </c>
      <c r="N1754" s="152">
        <f>IF(B1754="","",IF('02_대상물건입력'!B5="",1,IF(ISNUMBER(SEARCH('02_대상물건입력'!B5,B1754)),1,0)))</f>
        <v/>
      </c>
      <c r="O1754" s="152">
        <f>IF(B1754="","",IF('02_대상물건입력'!B6="",1,IF(ISNUMBER(SEARCH('02_대상물건입력'!B6,B1754)),1,0)))</f>
        <v/>
      </c>
      <c r="P1754" s="152">
        <f>IF(L1754="","",IF('02_대상물건입력'!B15="",0,IF(ISNUMBER(SEARCH('02_대상물건입력'!B15,L1754)),1,0)))</f>
        <v/>
      </c>
      <c r="Q1754" s="152">
        <f>IF(OR(C1754="",L1754=""),0,IF(AND(TRIM(C1754)=TRIM(RIGHT(SUBSTITUTE(TRIM('02_대상물건입력'!$B$7)," ",REPT(" ",99)),99)),IF('02_대상물건입력'!B15="",TRUE(),ISNUMBER(SEARCH('02_대상물건입력'!B15,L1754)))),1,0))</f>
        <v/>
      </c>
      <c r="R1754" s="175">
        <f>IFERROR(ABS(E1754-'02_대상물건입력'!B11)/'02_대상물건입력'!B11,"")</f>
        <v/>
      </c>
      <c r="S1754" s="152">
        <f>IFERROR(ABS(J1754-'02_대상물건입력'!B10),"")</f>
        <v/>
      </c>
      <c r="T1754" s="152">
        <f>IFERROR(ABS('01_설정'!B4-F1754),"")</f>
        <v/>
      </c>
      <c r="U1754" s="152">
        <f>IFERROR(ABS(K1754-YEAR('02_대상물건입력'!B14)),"")</f>
        <v/>
      </c>
      <c r="V1754" s="152">
        <f>IF(B1754="","",IF(AND(E1754&gt;0,F1754&gt;0,H1754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1754=1,TRUE()),R1754&lt;='01_설정'!B5,S1754&lt;='01_설정'!B6,T1754&lt;='01_설정'!B7,U1754&lt;='01_설정'!B8),"Y",""))</f>
        <v/>
      </c>
      <c r="W1754" s="172">
        <f>IF(V1754&lt;&gt;"Y","",MAX(0,(1-R1754/'01_설정'!B5))*'01_설정'!B14+MAX(0,(1-S1754/'01_설정'!B6))*'01_설정'!B15+MAX(0,(1-T1754/'01_설정'!B7))*'01_설정'!B16+MAX(0,(1-U1754/'01_설정'!B8))*'01_설정'!B17+O1754*'01_설정'!B11+Q1754*'01_설정'!B12+P1754*'01_설정'!B13+IF(Z1754="",0,Z1754))</f>
        <v/>
      </c>
      <c r="X1754" s="152">
        <f>IF(W1754="","",1+COUNTIFS($W$4:$W$3003,"&gt;"&amp;W1754)+COUNTIFS($W$4:W1754,W1754)-1)</f>
        <v/>
      </c>
      <c r="Y1754" s="175">
        <f>IF(OR(I1754="",'02_대상물건입력'!B19="",'02_대상물건입력'!B19&lt;=0),"",ABS(I1754-'02_대상물건입력'!B19)/'02_대상물건입력'!B19)</f>
        <v/>
      </c>
      <c r="Z1754" s="172">
        <f>IF(OR(Y1754="",'01_설정'!B31="",'01_설정'!B31&lt;=0,'01_설정'!B32="",'01_설정'!B32&lt;=0),"",MAX(0,(1-Y1754/'01_설정'!B32))*'01_설정'!B31)</f>
        <v/>
      </c>
    </row>
    <row r="1755" ht="17.25" customHeight="1">
      <c r="A1755" s="152">
        <f>IF(INDEX('04A_국토부원자료'!$A:$A,ROW()+1)="","",ROW()-3)</f>
        <v/>
      </c>
      <c r="B1755" s="48">
        <f>IFERROR(INDEX('04A_국토부원자료'!$A:$T,ROW()+1,MATCH("시군구",'04A_국토부원자료'!$A$4:$T$4,0)),"")</f>
        <v/>
      </c>
      <c r="C1755" s="48">
        <f>IF(B1755="","",IFERROR(INDEX('04A_국토부원자료'!$A:$T,ROW()+1,MATCH("번지",'04A_국토부원자료'!$A$4:$T$4,0)),""))</f>
        <v/>
      </c>
      <c r="D1755" s="48">
        <f>IF(B1755="","",IF(Q1755=1,'02_대상물건입력'!$B$8,IFERROR(INDEX('04A_국토부원자료'!$A:$T,ROW()+1,MATCH("단지명",'04A_국토부원자료'!$A$4:$T$4,0)),"")))</f>
        <v/>
      </c>
      <c r="E1755" s="172">
        <f>IFERROR(VALUE(SUBSTITUTE(INDEX('04A_국토부원자료'!$A:$T,ROW()+1,MATCH("전용면적(㎡)",'04A_국토부원자료'!$A$4:$T$4,0)),",","")),"")</f>
        <v/>
      </c>
      <c r="F17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55" s="51">
        <f>IFERROR(VALUE(SUBSTITUTE(INDEX('04A_국토부원자료'!$A:$T,ROW()+1,MATCH("거래금액(만원)",'04A_국토부원자료'!$A$4:$T$4,0)),",","")),"")</f>
        <v/>
      </c>
      <c r="H1755" s="174">
        <f>IF(G1755="","",G1755*10000)</f>
        <v/>
      </c>
      <c r="I1755" s="174">
        <f>IFERROR(IF(AND(H1755&gt;0,E1755&gt;0),H1755/E1755,""),"")</f>
        <v/>
      </c>
      <c r="J1755" s="152">
        <f>IFERROR(VALUE(SUBSTITUTE(INDEX('04A_국토부원자료'!$A:$T,ROW()+1,MATCH("층",'04A_국토부원자료'!$A$4:$T$4,0)),",","")),"")</f>
        <v/>
      </c>
      <c r="K1755" s="152">
        <f>IFERROR(VALUE(SUBSTITUTE(INDEX('04A_국토부원자료'!$A:$T,ROW()+1,MATCH("건축년도",'04A_국토부원자료'!$A$4:$T$4,0)),",","")),"")</f>
        <v/>
      </c>
      <c r="L1755" s="176">
        <f>IFERROR(INDEX('04A_국토부원자료'!$A:$T,ROW()+1,MATCH("도로명",'04A_국토부원자료'!$A$4:$T$4,0)),"")</f>
        <v/>
      </c>
      <c r="M1755" s="48">
        <f>IFERROR(INDEX('04A_국토부원자료'!$A:$T,ROW()+1,MATCH("거래유형",'04A_국토부원자료'!$A$4:$T$4,0)),"")</f>
        <v/>
      </c>
      <c r="N1755" s="152">
        <f>IF(B1755="","",IF('02_대상물건입력'!B5="",1,IF(ISNUMBER(SEARCH('02_대상물건입력'!B5,B1755)),1,0)))</f>
        <v/>
      </c>
      <c r="O1755" s="152">
        <f>IF(B1755="","",IF('02_대상물건입력'!B6="",1,IF(ISNUMBER(SEARCH('02_대상물건입력'!B6,B1755)),1,0)))</f>
        <v/>
      </c>
      <c r="P1755" s="152">
        <f>IF(L1755="","",IF('02_대상물건입력'!B15="",0,IF(ISNUMBER(SEARCH('02_대상물건입력'!B15,L1755)),1,0)))</f>
        <v/>
      </c>
      <c r="Q1755" s="152">
        <f>IF(OR(C1755="",L1755=""),0,IF(AND(TRIM(C1755)=TRIM(RIGHT(SUBSTITUTE(TRIM('02_대상물건입력'!$B$7)," ",REPT(" ",99)),99)),IF('02_대상물건입력'!B15="",TRUE(),ISNUMBER(SEARCH('02_대상물건입력'!B15,L1755)))),1,0))</f>
        <v/>
      </c>
      <c r="R1755" s="175">
        <f>IFERROR(ABS(E1755-'02_대상물건입력'!B11)/'02_대상물건입력'!B11,"")</f>
        <v/>
      </c>
      <c r="S1755" s="152">
        <f>IFERROR(ABS(J1755-'02_대상물건입력'!B10),"")</f>
        <v/>
      </c>
      <c r="T1755" s="152">
        <f>IFERROR(ABS('01_설정'!B4-F1755),"")</f>
        <v/>
      </c>
      <c r="U1755" s="152">
        <f>IFERROR(ABS(K1755-YEAR('02_대상물건입력'!B14)),"")</f>
        <v/>
      </c>
      <c r="V1755" s="152">
        <f>IF(B1755="","",IF(AND(E1755&gt;0,F1755&gt;0,H1755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1755=1,TRUE()),R1755&lt;='01_설정'!B5,S1755&lt;='01_설정'!B6,T1755&lt;='01_설정'!B7,U1755&lt;='01_설정'!B8),"Y",""))</f>
        <v/>
      </c>
      <c r="W1755" s="172">
        <f>IF(V1755&lt;&gt;"Y","",MAX(0,(1-R1755/'01_설정'!B5))*'01_설정'!B14+MAX(0,(1-S1755/'01_설정'!B6))*'01_설정'!B15+MAX(0,(1-T1755/'01_설정'!B7))*'01_설정'!B16+MAX(0,(1-U1755/'01_설정'!B8))*'01_설정'!B17+O1755*'01_설정'!B11+Q1755*'01_설정'!B12+P1755*'01_설정'!B13+IF(Z1755="",0,Z1755))</f>
        <v/>
      </c>
      <c r="X1755" s="152">
        <f>IF(W1755="","",1+COUNTIFS($W$4:$W$3003,"&gt;"&amp;W1755)+COUNTIFS($W$4:W1755,W1755)-1)</f>
        <v/>
      </c>
      <c r="Y1755" s="175">
        <f>IF(OR(I1755="",'02_대상물건입력'!B19="",'02_대상물건입력'!B19&lt;=0),"",ABS(I1755-'02_대상물건입력'!B19)/'02_대상물건입력'!B19)</f>
        <v/>
      </c>
      <c r="Z1755" s="172">
        <f>IF(OR(Y1755="",'01_설정'!B31="",'01_설정'!B31&lt;=0,'01_설정'!B32="",'01_설정'!B32&lt;=0),"",MAX(0,(1-Y1755/'01_설정'!B32))*'01_설정'!B31)</f>
        <v/>
      </c>
    </row>
    <row r="1756" ht="17.25" customHeight="1">
      <c r="A1756" s="152">
        <f>IF(INDEX('04A_국토부원자료'!$A:$A,ROW()+1)="","",ROW()-3)</f>
        <v/>
      </c>
      <c r="B1756" s="48">
        <f>IFERROR(INDEX('04A_국토부원자료'!$A:$T,ROW()+1,MATCH("시군구",'04A_국토부원자료'!$A$4:$T$4,0)),"")</f>
        <v/>
      </c>
      <c r="C1756" s="48">
        <f>IF(B1756="","",IFERROR(INDEX('04A_국토부원자료'!$A:$T,ROW()+1,MATCH("번지",'04A_국토부원자료'!$A$4:$T$4,0)),""))</f>
        <v/>
      </c>
      <c r="D1756" s="48">
        <f>IF(B1756="","",IF(Q1756=1,'02_대상물건입력'!$B$8,IFERROR(INDEX('04A_국토부원자료'!$A:$T,ROW()+1,MATCH("단지명",'04A_국토부원자료'!$A$4:$T$4,0)),"")))</f>
        <v/>
      </c>
      <c r="E1756" s="172">
        <f>IFERROR(VALUE(SUBSTITUTE(INDEX('04A_국토부원자료'!$A:$T,ROW()+1,MATCH("전용면적(㎡)",'04A_국토부원자료'!$A$4:$T$4,0)),",","")),"")</f>
        <v/>
      </c>
      <c r="F17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56" s="51">
        <f>IFERROR(VALUE(SUBSTITUTE(INDEX('04A_국토부원자료'!$A:$T,ROW()+1,MATCH("거래금액(만원)",'04A_국토부원자료'!$A$4:$T$4,0)),",","")),"")</f>
        <v/>
      </c>
      <c r="H1756" s="174">
        <f>IF(G1756="","",G1756*10000)</f>
        <v/>
      </c>
      <c r="I1756" s="174">
        <f>IFERROR(IF(AND(H1756&gt;0,E1756&gt;0),H1756/E1756,""),"")</f>
        <v/>
      </c>
      <c r="J1756" s="152">
        <f>IFERROR(VALUE(SUBSTITUTE(INDEX('04A_국토부원자료'!$A:$T,ROW()+1,MATCH("층",'04A_국토부원자료'!$A$4:$T$4,0)),",","")),"")</f>
        <v/>
      </c>
      <c r="K1756" s="152">
        <f>IFERROR(VALUE(SUBSTITUTE(INDEX('04A_국토부원자료'!$A:$T,ROW()+1,MATCH("건축년도",'04A_국토부원자료'!$A$4:$T$4,0)),",","")),"")</f>
        <v/>
      </c>
      <c r="L1756" s="176">
        <f>IFERROR(INDEX('04A_국토부원자료'!$A:$T,ROW()+1,MATCH("도로명",'04A_국토부원자료'!$A$4:$T$4,0)),"")</f>
        <v/>
      </c>
      <c r="M1756" s="48">
        <f>IFERROR(INDEX('04A_국토부원자료'!$A:$T,ROW()+1,MATCH("거래유형",'04A_국토부원자료'!$A$4:$T$4,0)),"")</f>
        <v/>
      </c>
      <c r="N1756" s="152">
        <f>IF(B1756="","",IF('02_대상물건입력'!B5="",1,IF(ISNUMBER(SEARCH('02_대상물건입력'!B5,B1756)),1,0)))</f>
        <v/>
      </c>
      <c r="O1756" s="152">
        <f>IF(B1756="","",IF('02_대상물건입력'!B6="",1,IF(ISNUMBER(SEARCH('02_대상물건입력'!B6,B1756)),1,0)))</f>
        <v/>
      </c>
      <c r="P1756" s="152">
        <f>IF(L1756="","",IF('02_대상물건입력'!B15="",0,IF(ISNUMBER(SEARCH('02_대상물건입력'!B15,L1756)),1,0)))</f>
        <v/>
      </c>
      <c r="Q1756" s="152">
        <f>IF(OR(C1756="",L1756=""),0,IF(AND(TRIM(C1756)=TRIM(RIGHT(SUBSTITUTE(TRIM('02_대상물건입력'!$B$7)," ",REPT(" ",99)),99)),IF('02_대상물건입력'!B15="",TRUE(),ISNUMBER(SEARCH('02_대상물건입력'!B15,L1756)))),1,0))</f>
        <v/>
      </c>
      <c r="R1756" s="175">
        <f>IFERROR(ABS(E1756-'02_대상물건입력'!B11)/'02_대상물건입력'!B11,"")</f>
        <v/>
      </c>
      <c r="S1756" s="152">
        <f>IFERROR(ABS(J1756-'02_대상물건입력'!B10),"")</f>
        <v/>
      </c>
      <c r="T1756" s="152">
        <f>IFERROR(ABS('01_설정'!B4-F1756),"")</f>
        <v/>
      </c>
      <c r="U1756" s="152">
        <f>IFERROR(ABS(K1756-YEAR('02_대상물건입력'!B14)),"")</f>
        <v/>
      </c>
      <c r="V1756" s="152">
        <f>IF(B1756="","",IF(AND(E1756&gt;0,F1756&gt;0,H1756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1756=1,TRUE()),R1756&lt;='01_설정'!B5,S1756&lt;='01_설정'!B6,T1756&lt;='01_설정'!B7,U1756&lt;='01_설정'!B8),"Y",""))</f>
        <v/>
      </c>
      <c r="W1756" s="172">
        <f>IF(V1756&lt;&gt;"Y","",MAX(0,(1-R1756/'01_설정'!B5))*'01_설정'!B14+MAX(0,(1-S1756/'01_설정'!B6))*'01_설정'!B15+MAX(0,(1-T1756/'01_설정'!B7))*'01_설정'!B16+MAX(0,(1-U1756/'01_설정'!B8))*'01_설정'!B17+O1756*'01_설정'!B11+Q1756*'01_설정'!B12+P1756*'01_설정'!B13+IF(Z1756="",0,Z1756))</f>
        <v/>
      </c>
      <c r="X1756" s="152">
        <f>IF(W1756="","",1+COUNTIFS($W$4:$W$3003,"&gt;"&amp;W1756)+COUNTIFS($W$4:W1756,W1756)-1)</f>
        <v/>
      </c>
      <c r="Y1756" s="175">
        <f>IF(OR(I1756="",'02_대상물건입력'!B19="",'02_대상물건입력'!B19&lt;=0),"",ABS(I1756-'02_대상물건입력'!B19)/'02_대상물건입력'!B19)</f>
        <v/>
      </c>
      <c r="Z1756" s="172">
        <f>IF(OR(Y1756="",'01_설정'!B31="",'01_설정'!B31&lt;=0,'01_설정'!B32="",'01_설정'!B32&lt;=0),"",MAX(0,(1-Y1756/'01_설정'!B32))*'01_설정'!B31)</f>
        <v/>
      </c>
    </row>
    <row r="1757" ht="17.25" customHeight="1">
      <c r="A1757" s="152">
        <f>IF(INDEX('04A_국토부원자료'!$A:$A,ROW()+1)="","",ROW()-3)</f>
        <v/>
      </c>
      <c r="B1757" s="48">
        <f>IFERROR(INDEX('04A_국토부원자료'!$A:$T,ROW()+1,MATCH("시군구",'04A_국토부원자료'!$A$4:$T$4,0)),"")</f>
        <v/>
      </c>
      <c r="C1757" s="48">
        <f>IF(B1757="","",IFERROR(INDEX('04A_국토부원자료'!$A:$T,ROW()+1,MATCH("번지",'04A_국토부원자료'!$A$4:$T$4,0)),""))</f>
        <v/>
      </c>
      <c r="D1757" s="48">
        <f>IF(B1757="","",IF(Q1757=1,'02_대상물건입력'!$B$8,IFERROR(INDEX('04A_국토부원자료'!$A:$T,ROW()+1,MATCH("단지명",'04A_국토부원자료'!$A$4:$T$4,0)),"")))</f>
        <v/>
      </c>
      <c r="E1757" s="172">
        <f>IFERROR(VALUE(SUBSTITUTE(INDEX('04A_국토부원자료'!$A:$T,ROW()+1,MATCH("전용면적(㎡)",'04A_국토부원자료'!$A$4:$T$4,0)),",","")),"")</f>
        <v/>
      </c>
      <c r="F17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57" s="51">
        <f>IFERROR(VALUE(SUBSTITUTE(INDEX('04A_국토부원자료'!$A:$T,ROW()+1,MATCH("거래금액(만원)",'04A_국토부원자료'!$A$4:$T$4,0)),",","")),"")</f>
        <v/>
      </c>
      <c r="H1757" s="174">
        <f>IF(G1757="","",G1757*10000)</f>
        <v/>
      </c>
      <c r="I1757" s="174">
        <f>IFERROR(IF(AND(H1757&gt;0,E1757&gt;0),H1757/E1757,""),"")</f>
        <v/>
      </c>
      <c r="J1757" s="152">
        <f>IFERROR(VALUE(SUBSTITUTE(INDEX('04A_국토부원자료'!$A:$T,ROW()+1,MATCH("층",'04A_국토부원자료'!$A$4:$T$4,0)),",","")),"")</f>
        <v/>
      </c>
      <c r="K1757" s="152">
        <f>IFERROR(VALUE(SUBSTITUTE(INDEX('04A_국토부원자료'!$A:$T,ROW()+1,MATCH("건축년도",'04A_국토부원자료'!$A$4:$T$4,0)),",","")),"")</f>
        <v/>
      </c>
      <c r="L1757" s="176">
        <f>IFERROR(INDEX('04A_국토부원자료'!$A:$T,ROW()+1,MATCH("도로명",'04A_국토부원자료'!$A$4:$T$4,0)),"")</f>
        <v/>
      </c>
      <c r="M1757" s="48">
        <f>IFERROR(INDEX('04A_국토부원자료'!$A:$T,ROW()+1,MATCH("거래유형",'04A_국토부원자료'!$A$4:$T$4,0)),"")</f>
        <v/>
      </c>
      <c r="N1757" s="152">
        <f>IF(B1757="","",IF('02_대상물건입력'!B5="",1,IF(ISNUMBER(SEARCH('02_대상물건입력'!B5,B1757)),1,0)))</f>
        <v/>
      </c>
      <c r="O1757" s="152">
        <f>IF(B1757="","",IF('02_대상물건입력'!B6="",1,IF(ISNUMBER(SEARCH('02_대상물건입력'!B6,B1757)),1,0)))</f>
        <v/>
      </c>
      <c r="P1757" s="152">
        <f>IF(L1757="","",IF('02_대상물건입력'!B15="",0,IF(ISNUMBER(SEARCH('02_대상물건입력'!B15,L1757)),1,0)))</f>
        <v/>
      </c>
      <c r="Q1757" s="152">
        <f>IF(OR(C1757="",L1757=""),0,IF(AND(TRIM(C1757)=TRIM(RIGHT(SUBSTITUTE(TRIM('02_대상물건입력'!$B$7)," ",REPT(" ",99)),99)),IF('02_대상물건입력'!B15="",TRUE(),ISNUMBER(SEARCH('02_대상물건입력'!B15,L1757)))),1,0))</f>
        <v/>
      </c>
      <c r="R1757" s="175">
        <f>IFERROR(ABS(E1757-'02_대상물건입력'!B11)/'02_대상물건입력'!B11,"")</f>
        <v/>
      </c>
      <c r="S1757" s="152">
        <f>IFERROR(ABS(J1757-'02_대상물건입력'!B10),"")</f>
        <v/>
      </c>
      <c r="T1757" s="152">
        <f>IFERROR(ABS('01_설정'!B4-F1757),"")</f>
        <v/>
      </c>
      <c r="U1757" s="152">
        <f>IFERROR(ABS(K1757-YEAR('02_대상물건입력'!B14)),"")</f>
        <v/>
      </c>
      <c r="V1757" s="152">
        <f>IF(B1757="","",IF(AND(E1757&gt;0,F1757&gt;0,H1757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1757=1,TRUE()),R1757&lt;='01_설정'!B5,S1757&lt;='01_설정'!B6,T1757&lt;='01_설정'!B7,U1757&lt;='01_설정'!B8),"Y",""))</f>
        <v/>
      </c>
      <c r="W1757" s="172">
        <f>IF(V1757&lt;&gt;"Y","",MAX(0,(1-R1757/'01_설정'!B5))*'01_설정'!B14+MAX(0,(1-S1757/'01_설정'!B6))*'01_설정'!B15+MAX(0,(1-T1757/'01_설정'!B7))*'01_설정'!B16+MAX(0,(1-U1757/'01_설정'!B8))*'01_설정'!B17+O1757*'01_설정'!B11+Q1757*'01_설정'!B12+P1757*'01_설정'!B13+IF(Z1757="",0,Z1757))</f>
        <v/>
      </c>
      <c r="X1757" s="152">
        <f>IF(W1757="","",1+COUNTIFS($W$4:$W$3003,"&gt;"&amp;W1757)+COUNTIFS($W$4:W1757,W1757)-1)</f>
        <v/>
      </c>
      <c r="Y1757" s="175">
        <f>IF(OR(I1757="",'02_대상물건입력'!B19="",'02_대상물건입력'!B19&lt;=0),"",ABS(I1757-'02_대상물건입력'!B19)/'02_대상물건입력'!B19)</f>
        <v/>
      </c>
      <c r="Z1757" s="172">
        <f>IF(OR(Y1757="",'01_설정'!B31="",'01_설정'!B31&lt;=0,'01_설정'!B32="",'01_설정'!B32&lt;=0),"",MAX(0,(1-Y1757/'01_설정'!B32))*'01_설정'!B31)</f>
        <v/>
      </c>
    </row>
    <row r="1758" ht="17.25" customHeight="1">
      <c r="A1758" s="152">
        <f>IF(INDEX('04A_국토부원자료'!$A:$A,ROW()+1)="","",ROW()-3)</f>
        <v/>
      </c>
      <c r="B1758" s="48">
        <f>IFERROR(INDEX('04A_국토부원자료'!$A:$T,ROW()+1,MATCH("시군구",'04A_국토부원자료'!$A$4:$T$4,0)),"")</f>
        <v/>
      </c>
      <c r="C1758" s="48">
        <f>IF(B1758="","",IFERROR(INDEX('04A_국토부원자료'!$A:$T,ROW()+1,MATCH("번지",'04A_국토부원자료'!$A$4:$T$4,0)),""))</f>
        <v/>
      </c>
      <c r="D1758" s="48">
        <f>IF(B1758="","",IF(Q1758=1,'02_대상물건입력'!$B$8,IFERROR(INDEX('04A_국토부원자료'!$A:$T,ROW()+1,MATCH("단지명",'04A_국토부원자료'!$A$4:$T$4,0)),"")))</f>
        <v/>
      </c>
      <c r="E1758" s="172">
        <f>IFERROR(VALUE(SUBSTITUTE(INDEX('04A_국토부원자료'!$A:$T,ROW()+1,MATCH("전용면적(㎡)",'04A_국토부원자료'!$A$4:$T$4,0)),",","")),"")</f>
        <v/>
      </c>
      <c r="F17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58" s="51">
        <f>IFERROR(VALUE(SUBSTITUTE(INDEX('04A_국토부원자료'!$A:$T,ROW()+1,MATCH("거래금액(만원)",'04A_국토부원자료'!$A$4:$T$4,0)),",","")),"")</f>
        <v/>
      </c>
      <c r="H1758" s="174">
        <f>IF(G1758="","",G1758*10000)</f>
        <v/>
      </c>
      <c r="I1758" s="174">
        <f>IFERROR(IF(AND(H1758&gt;0,E1758&gt;0),H1758/E1758,""),"")</f>
        <v/>
      </c>
      <c r="J1758" s="152">
        <f>IFERROR(VALUE(SUBSTITUTE(INDEX('04A_국토부원자료'!$A:$T,ROW()+1,MATCH("층",'04A_국토부원자료'!$A$4:$T$4,0)),",","")),"")</f>
        <v/>
      </c>
      <c r="K1758" s="152">
        <f>IFERROR(VALUE(SUBSTITUTE(INDEX('04A_국토부원자료'!$A:$T,ROW()+1,MATCH("건축년도",'04A_국토부원자료'!$A$4:$T$4,0)),",","")),"")</f>
        <v/>
      </c>
      <c r="L1758" s="176">
        <f>IFERROR(INDEX('04A_국토부원자료'!$A:$T,ROW()+1,MATCH("도로명",'04A_국토부원자료'!$A$4:$T$4,0)),"")</f>
        <v/>
      </c>
      <c r="M1758" s="48">
        <f>IFERROR(INDEX('04A_국토부원자료'!$A:$T,ROW()+1,MATCH("거래유형",'04A_국토부원자료'!$A$4:$T$4,0)),"")</f>
        <v/>
      </c>
      <c r="N1758" s="152">
        <f>IF(B1758="","",IF('02_대상물건입력'!B5="",1,IF(ISNUMBER(SEARCH('02_대상물건입력'!B5,B1758)),1,0)))</f>
        <v/>
      </c>
      <c r="O1758" s="152">
        <f>IF(B1758="","",IF('02_대상물건입력'!B6="",1,IF(ISNUMBER(SEARCH('02_대상물건입력'!B6,B1758)),1,0)))</f>
        <v/>
      </c>
      <c r="P1758" s="152">
        <f>IF(L1758="","",IF('02_대상물건입력'!B15="",0,IF(ISNUMBER(SEARCH('02_대상물건입력'!B15,L1758)),1,0)))</f>
        <v/>
      </c>
      <c r="Q1758" s="152">
        <f>IF(OR(C1758="",L1758=""),0,IF(AND(TRIM(C1758)=TRIM(RIGHT(SUBSTITUTE(TRIM('02_대상물건입력'!$B$7)," ",REPT(" ",99)),99)),IF('02_대상물건입력'!B15="",TRUE(),ISNUMBER(SEARCH('02_대상물건입력'!B15,L1758)))),1,0))</f>
        <v/>
      </c>
      <c r="R1758" s="175">
        <f>IFERROR(ABS(E1758-'02_대상물건입력'!B11)/'02_대상물건입력'!B11,"")</f>
        <v/>
      </c>
      <c r="S1758" s="152">
        <f>IFERROR(ABS(J1758-'02_대상물건입력'!B10),"")</f>
        <v/>
      </c>
      <c r="T1758" s="152">
        <f>IFERROR(ABS('01_설정'!B4-F1758),"")</f>
        <v/>
      </c>
      <c r="U1758" s="152">
        <f>IFERROR(ABS(K1758-YEAR('02_대상물건입력'!B14)),"")</f>
        <v/>
      </c>
      <c r="V1758" s="152">
        <f>IF(B1758="","",IF(AND(E1758&gt;0,F1758&gt;0,H1758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1758=1,TRUE()),R1758&lt;='01_설정'!B5,S1758&lt;='01_설정'!B6,T1758&lt;='01_설정'!B7,U1758&lt;='01_설정'!B8),"Y",""))</f>
        <v/>
      </c>
      <c r="W1758" s="172">
        <f>IF(V1758&lt;&gt;"Y","",MAX(0,(1-R1758/'01_설정'!B5))*'01_설정'!B14+MAX(0,(1-S1758/'01_설정'!B6))*'01_설정'!B15+MAX(0,(1-T1758/'01_설정'!B7))*'01_설정'!B16+MAX(0,(1-U1758/'01_설정'!B8))*'01_설정'!B17+O1758*'01_설정'!B11+Q1758*'01_설정'!B12+P1758*'01_설정'!B13+IF(Z1758="",0,Z1758))</f>
        <v/>
      </c>
      <c r="X1758" s="152">
        <f>IF(W1758="","",1+COUNTIFS($W$4:$W$3003,"&gt;"&amp;W1758)+COUNTIFS($W$4:W1758,W1758)-1)</f>
        <v/>
      </c>
      <c r="Y1758" s="175">
        <f>IF(OR(I1758="",'02_대상물건입력'!B19="",'02_대상물건입력'!B19&lt;=0),"",ABS(I1758-'02_대상물건입력'!B19)/'02_대상물건입력'!B19)</f>
        <v/>
      </c>
      <c r="Z1758" s="172">
        <f>IF(OR(Y1758="",'01_설정'!B31="",'01_설정'!B31&lt;=0,'01_설정'!B32="",'01_설정'!B32&lt;=0),"",MAX(0,(1-Y1758/'01_설정'!B32))*'01_설정'!B31)</f>
        <v/>
      </c>
    </row>
    <row r="1759" ht="17.25" customHeight="1">
      <c r="A1759" s="152">
        <f>IF(INDEX('04A_국토부원자료'!$A:$A,ROW()+1)="","",ROW()-3)</f>
        <v/>
      </c>
      <c r="B1759" s="48">
        <f>IFERROR(INDEX('04A_국토부원자료'!$A:$T,ROW()+1,MATCH("시군구",'04A_국토부원자료'!$A$4:$T$4,0)),"")</f>
        <v/>
      </c>
      <c r="C1759" s="48">
        <f>IF(B1759="","",IFERROR(INDEX('04A_국토부원자료'!$A:$T,ROW()+1,MATCH("번지",'04A_국토부원자료'!$A$4:$T$4,0)),""))</f>
        <v/>
      </c>
      <c r="D1759" s="48">
        <f>IF(B1759="","",IF(Q1759=1,'02_대상물건입력'!$B$8,IFERROR(INDEX('04A_국토부원자료'!$A:$T,ROW()+1,MATCH("단지명",'04A_국토부원자료'!$A$4:$T$4,0)),"")))</f>
        <v/>
      </c>
      <c r="E1759" s="172">
        <f>IFERROR(VALUE(SUBSTITUTE(INDEX('04A_국토부원자료'!$A:$T,ROW()+1,MATCH("전용면적(㎡)",'04A_국토부원자료'!$A$4:$T$4,0)),",","")),"")</f>
        <v/>
      </c>
      <c r="F17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59" s="51">
        <f>IFERROR(VALUE(SUBSTITUTE(INDEX('04A_국토부원자료'!$A:$T,ROW()+1,MATCH("거래금액(만원)",'04A_국토부원자료'!$A$4:$T$4,0)),",","")),"")</f>
        <v/>
      </c>
      <c r="H1759" s="174">
        <f>IF(G1759="","",G1759*10000)</f>
        <v/>
      </c>
      <c r="I1759" s="174">
        <f>IFERROR(IF(AND(H1759&gt;0,E1759&gt;0),H1759/E1759,""),"")</f>
        <v/>
      </c>
      <c r="J1759" s="152">
        <f>IFERROR(VALUE(SUBSTITUTE(INDEX('04A_국토부원자료'!$A:$T,ROW()+1,MATCH("층",'04A_국토부원자료'!$A$4:$T$4,0)),",","")),"")</f>
        <v/>
      </c>
      <c r="K1759" s="152">
        <f>IFERROR(VALUE(SUBSTITUTE(INDEX('04A_국토부원자료'!$A:$T,ROW()+1,MATCH("건축년도",'04A_국토부원자료'!$A$4:$T$4,0)),",","")),"")</f>
        <v/>
      </c>
      <c r="L1759" s="176">
        <f>IFERROR(INDEX('04A_국토부원자료'!$A:$T,ROW()+1,MATCH("도로명",'04A_국토부원자료'!$A$4:$T$4,0)),"")</f>
        <v/>
      </c>
      <c r="M1759" s="48">
        <f>IFERROR(INDEX('04A_국토부원자료'!$A:$T,ROW()+1,MATCH("거래유형",'04A_국토부원자료'!$A$4:$T$4,0)),"")</f>
        <v/>
      </c>
      <c r="N1759" s="152">
        <f>IF(B1759="","",IF('02_대상물건입력'!B5="",1,IF(ISNUMBER(SEARCH('02_대상물건입력'!B5,B1759)),1,0)))</f>
        <v/>
      </c>
      <c r="O1759" s="152">
        <f>IF(B1759="","",IF('02_대상물건입력'!B6="",1,IF(ISNUMBER(SEARCH('02_대상물건입력'!B6,B1759)),1,0)))</f>
        <v/>
      </c>
      <c r="P1759" s="152">
        <f>IF(L1759="","",IF('02_대상물건입력'!B15="",0,IF(ISNUMBER(SEARCH('02_대상물건입력'!B15,L1759)),1,0)))</f>
        <v/>
      </c>
      <c r="Q1759" s="152">
        <f>IF(OR(C1759="",L1759=""),0,IF(AND(TRIM(C1759)=TRIM(RIGHT(SUBSTITUTE(TRIM('02_대상물건입력'!$B$7)," ",REPT(" ",99)),99)),IF('02_대상물건입력'!B15="",TRUE(),ISNUMBER(SEARCH('02_대상물건입력'!B15,L1759)))),1,0))</f>
        <v/>
      </c>
      <c r="R1759" s="175">
        <f>IFERROR(ABS(E1759-'02_대상물건입력'!B11)/'02_대상물건입력'!B11,"")</f>
        <v/>
      </c>
      <c r="S1759" s="152">
        <f>IFERROR(ABS(J1759-'02_대상물건입력'!B10),"")</f>
        <v/>
      </c>
      <c r="T1759" s="152">
        <f>IFERROR(ABS('01_설정'!B4-F1759),"")</f>
        <v/>
      </c>
      <c r="U1759" s="152">
        <f>IFERROR(ABS(K1759-YEAR('02_대상물건입력'!B14)),"")</f>
        <v/>
      </c>
      <c r="V1759" s="152">
        <f>IF(B1759="","",IF(AND(E1759&gt;0,F1759&gt;0,H1759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1759=1,TRUE()),R1759&lt;='01_설정'!B5,S1759&lt;='01_설정'!B6,T1759&lt;='01_설정'!B7,U1759&lt;='01_설정'!B8),"Y",""))</f>
        <v/>
      </c>
      <c r="W1759" s="172">
        <f>IF(V1759&lt;&gt;"Y","",MAX(0,(1-R1759/'01_설정'!B5))*'01_설정'!B14+MAX(0,(1-S1759/'01_설정'!B6))*'01_설정'!B15+MAX(0,(1-T1759/'01_설정'!B7))*'01_설정'!B16+MAX(0,(1-U1759/'01_설정'!B8))*'01_설정'!B17+O1759*'01_설정'!B11+Q1759*'01_설정'!B12+P1759*'01_설정'!B13+IF(Z1759="",0,Z1759))</f>
        <v/>
      </c>
      <c r="X1759" s="152">
        <f>IF(W1759="","",1+COUNTIFS($W$4:$W$3003,"&gt;"&amp;W1759)+COUNTIFS($W$4:W1759,W1759)-1)</f>
        <v/>
      </c>
      <c r="Y1759" s="175">
        <f>IF(OR(I1759="",'02_대상물건입력'!B19="",'02_대상물건입력'!B19&lt;=0),"",ABS(I1759-'02_대상물건입력'!B19)/'02_대상물건입력'!B19)</f>
        <v/>
      </c>
      <c r="Z1759" s="172">
        <f>IF(OR(Y1759="",'01_설정'!B31="",'01_설정'!B31&lt;=0,'01_설정'!B32="",'01_설정'!B32&lt;=0),"",MAX(0,(1-Y1759/'01_설정'!B32))*'01_설정'!B31)</f>
        <v/>
      </c>
    </row>
    <row r="1760" ht="17.25" customHeight="1">
      <c r="A1760" s="152">
        <f>IF(INDEX('04A_국토부원자료'!$A:$A,ROW()+1)="","",ROW()-3)</f>
        <v/>
      </c>
      <c r="B1760" s="48">
        <f>IFERROR(INDEX('04A_국토부원자료'!$A:$T,ROW()+1,MATCH("시군구",'04A_국토부원자료'!$A$4:$T$4,0)),"")</f>
        <v/>
      </c>
      <c r="C1760" s="48">
        <f>IF(B1760="","",IFERROR(INDEX('04A_국토부원자료'!$A:$T,ROW()+1,MATCH("번지",'04A_국토부원자료'!$A$4:$T$4,0)),""))</f>
        <v/>
      </c>
      <c r="D1760" s="48">
        <f>IF(B1760="","",IF(Q1760=1,'02_대상물건입력'!$B$8,IFERROR(INDEX('04A_국토부원자료'!$A:$T,ROW()+1,MATCH("단지명",'04A_국토부원자료'!$A$4:$T$4,0)),"")))</f>
        <v/>
      </c>
      <c r="E1760" s="172">
        <f>IFERROR(VALUE(SUBSTITUTE(INDEX('04A_국토부원자료'!$A:$T,ROW()+1,MATCH("전용면적(㎡)",'04A_국토부원자료'!$A$4:$T$4,0)),",","")),"")</f>
        <v/>
      </c>
      <c r="F17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60" s="51">
        <f>IFERROR(VALUE(SUBSTITUTE(INDEX('04A_국토부원자료'!$A:$T,ROW()+1,MATCH("거래금액(만원)",'04A_국토부원자료'!$A$4:$T$4,0)),",","")),"")</f>
        <v/>
      </c>
      <c r="H1760" s="174">
        <f>IF(G1760="","",G1760*10000)</f>
        <v/>
      </c>
      <c r="I1760" s="174">
        <f>IFERROR(IF(AND(H1760&gt;0,E1760&gt;0),H1760/E1760,""),"")</f>
        <v/>
      </c>
      <c r="J1760" s="152">
        <f>IFERROR(VALUE(SUBSTITUTE(INDEX('04A_국토부원자료'!$A:$T,ROW()+1,MATCH("층",'04A_국토부원자료'!$A$4:$T$4,0)),",","")),"")</f>
        <v/>
      </c>
      <c r="K1760" s="152">
        <f>IFERROR(VALUE(SUBSTITUTE(INDEX('04A_국토부원자료'!$A:$T,ROW()+1,MATCH("건축년도",'04A_국토부원자료'!$A$4:$T$4,0)),",","")),"")</f>
        <v/>
      </c>
      <c r="L1760" s="176">
        <f>IFERROR(INDEX('04A_국토부원자료'!$A:$T,ROW()+1,MATCH("도로명",'04A_국토부원자료'!$A$4:$T$4,0)),"")</f>
        <v/>
      </c>
      <c r="M1760" s="48">
        <f>IFERROR(INDEX('04A_국토부원자료'!$A:$T,ROW()+1,MATCH("거래유형",'04A_국토부원자료'!$A$4:$T$4,0)),"")</f>
        <v/>
      </c>
      <c r="N1760" s="152">
        <f>IF(B1760="","",IF('02_대상물건입력'!B5="",1,IF(ISNUMBER(SEARCH('02_대상물건입력'!B5,B1760)),1,0)))</f>
        <v/>
      </c>
      <c r="O1760" s="152">
        <f>IF(B1760="","",IF('02_대상물건입력'!B6="",1,IF(ISNUMBER(SEARCH('02_대상물건입력'!B6,B1760)),1,0)))</f>
        <v/>
      </c>
      <c r="P1760" s="152">
        <f>IF(L1760="","",IF('02_대상물건입력'!B15="",0,IF(ISNUMBER(SEARCH('02_대상물건입력'!B15,L1760)),1,0)))</f>
        <v/>
      </c>
      <c r="Q1760" s="152">
        <f>IF(OR(C1760="",L1760=""),0,IF(AND(TRIM(C1760)=TRIM(RIGHT(SUBSTITUTE(TRIM('02_대상물건입력'!$B$7)," ",REPT(" ",99)),99)),IF('02_대상물건입력'!B15="",TRUE(),ISNUMBER(SEARCH('02_대상물건입력'!B15,L1760)))),1,0))</f>
        <v/>
      </c>
      <c r="R1760" s="175">
        <f>IFERROR(ABS(E1760-'02_대상물건입력'!B11)/'02_대상물건입력'!B11,"")</f>
        <v/>
      </c>
      <c r="S1760" s="152">
        <f>IFERROR(ABS(J1760-'02_대상물건입력'!B10),"")</f>
        <v/>
      </c>
      <c r="T1760" s="152">
        <f>IFERROR(ABS('01_설정'!B4-F1760),"")</f>
        <v/>
      </c>
      <c r="U1760" s="152">
        <f>IFERROR(ABS(K1760-YEAR('02_대상물건입력'!B14)),"")</f>
        <v/>
      </c>
      <c r="V1760" s="152">
        <f>IF(B1760="","",IF(AND(E1760&gt;0,F1760&gt;0,H1760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1760=1,TRUE()),R1760&lt;='01_설정'!B5,S1760&lt;='01_설정'!B6,T1760&lt;='01_설정'!B7,U1760&lt;='01_설정'!B8),"Y",""))</f>
        <v/>
      </c>
      <c r="W1760" s="172">
        <f>IF(V1760&lt;&gt;"Y","",MAX(0,(1-R1760/'01_설정'!B5))*'01_설정'!B14+MAX(0,(1-S1760/'01_설정'!B6))*'01_설정'!B15+MAX(0,(1-T1760/'01_설정'!B7))*'01_설정'!B16+MAX(0,(1-U1760/'01_설정'!B8))*'01_설정'!B17+O1760*'01_설정'!B11+Q1760*'01_설정'!B12+P1760*'01_설정'!B13+IF(Z1760="",0,Z1760))</f>
        <v/>
      </c>
      <c r="X1760" s="152">
        <f>IF(W1760="","",1+COUNTIFS($W$4:$W$3003,"&gt;"&amp;W1760)+COUNTIFS($W$4:W1760,W1760)-1)</f>
        <v/>
      </c>
      <c r="Y1760" s="175">
        <f>IF(OR(I1760="",'02_대상물건입력'!B19="",'02_대상물건입력'!B19&lt;=0),"",ABS(I1760-'02_대상물건입력'!B19)/'02_대상물건입력'!B19)</f>
        <v/>
      </c>
      <c r="Z1760" s="172">
        <f>IF(OR(Y1760="",'01_설정'!B31="",'01_설정'!B31&lt;=0,'01_설정'!B32="",'01_설정'!B32&lt;=0),"",MAX(0,(1-Y1760/'01_설정'!B32))*'01_설정'!B31)</f>
        <v/>
      </c>
    </row>
    <row r="1761" ht="17.25" customHeight="1">
      <c r="A1761" s="152">
        <f>IF(INDEX('04A_국토부원자료'!$A:$A,ROW()+1)="","",ROW()-3)</f>
        <v/>
      </c>
      <c r="B1761" s="48">
        <f>IFERROR(INDEX('04A_국토부원자료'!$A:$T,ROW()+1,MATCH("시군구",'04A_국토부원자료'!$A$4:$T$4,0)),"")</f>
        <v/>
      </c>
      <c r="C1761" s="48">
        <f>IF(B1761="","",IFERROR(INDEX('04A_국토부원자료'!$A:$T,ROW()+1,MATCH("번지",'04A_국토부원자료'!$A$4:$T$4,0)),""))</f>
        <v/>
      </c>
      <c r="D1761" s="48">
        <f>IF(B1761="","",IF(Q1761=1,'02_대상물건입력'!$B$8,IFERROR(INDEX('04A_국토부원자료'!$A:$T,ROW()+1,MATCH("단지명",'04A_국토부원자료'!$A$4:$T$4,0)),"")))</f>
        <v/>
      </c>
      <c r="E1761" s="172">
        <f>IFERROR(VALUE(SUBSTITUTE(INDEX('04A_국토부원자료'!$A:$T,ROW()+1,MATCH("전용면적(㎡)",'04A_국토부원자료'!$A$4:$T$4,0)),",","")),"")</f>
        <v/>
      </c>
      <c r="F17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61" s="51">
        <f>IFERROR(VALUE(SUBSTITUTE(INDEX('04A_국토부원자료'!$A:$T,ROW()+1,MATCH("거래금액(만원)",'04A_국토부원자료'!$A$4:$T$4,0)),",","")),"")</f>
        <v/>
      </c>
      <c r="H1761" s="174">
        <f>IF(G1761="","",G1761*10000)</f>
        <v/>
      </c>
      <c r="I1761" s="174">
        <f>IFERROR(IF(AND(H1761&gt;0,E1761&gt;0),H1761/E1761,""),"")</f>
        <v/>
      </c>
      <c r="J1761" s="152">
        <f>IFERROR(VALUE(SUBSTITUTE(INDEX('04A_국토부원자료'!$A:$T,ROW()+1,MATCH("층",'04A_국토부원자료'!$A$4:$T$4,0)),",","")),"")</f>
        <v/>
      </c>
      <c r="K1761" s="152">
        <f>IFERROR(VALUE(SUBSTITUTE(INDEX('04A_국토부원자료'!$A:$T,ROW()+1,MATCH("건축년도",'04A_국토부원자료'!$A$4:$T$4,0)),",","")),"")</f>
        <v/>
      </c>
      <c r="L1761" s="176">
        <f>IFERROR(INDEX('04A_국토부원자료'!$A:$T,ROW()+1,MATCH("도로명",'04A_국토부원자료'!$A$4:$T$4,0)),"")</f>
        <v/>
      </c>
      <c r="M1761" s="48">
        <f>IFERROR(INDEX('04A_국토부원자료'!$A:$T,ROW()+1,MATCH("거래유형",'04A_국토부원자료'!$A$4:$T$4,0)),"")</f>
        <v/>
      </c>
      <c r="N1761" s="152">
        <f>IF(B1761="","",IF('02_대상물건입력'!B5="",1,IF(ISNUMBER(SEARCH('02_대상물건입력'!B5,B1761)),1,0)))</f>
        <v/>
      </c>
      <c r="O1761" s="152">
        <f>IF(B1761="","",IF('02_대상물건입력'!B6="",1,IF(ISNUMBER(SEARCH('02_대상물건입력'!B6,B1761)),1,0)))</f>
        <v/>
      </c>
      <c r="P1761" s="152">
        <f>IF(L1761="","",IF('02_대상물건입력'!B15="",0,IF(ISNUMBER(SEARCH('02_대상물건입력'!B15,L1761)),1,0)))</f>
        <v/>
      </c>
      <c r="Q1761" s="152">
        <f>IF(OR(C1761="",L1761=""),0,IF(AND(TRIM(C1761)=TRIM(RIGHT(SUBSTITUTE(TRIM('02_대상물건입력'!$B$7)," ",REPT(" ",99)),99)),IF('02_대상물건입력'!B15="",TRUE(),ISNUMBER(SEARCH('02_대상물건입력'!B15,L1761)))),1,0))</f>
        <v/>
      </c>
      <c r="R1761" s="175">
        <f>IFERROR(ABS(E1761-'02_대상물건입력'!B11)/'02_대상물건입력'!B11,"")</f>
        <v/>
      </c>
      <c r="S1761" s="152">
        <f>IFERROR(ABS(J1761-'02_대상물건입력'!B10),"")</f>
        <v/>
      </c>
      <c r="T1761" s="152">
        <f>IFERROR(ABS('01_설정'!B4-F1761),"")</f>
        <v/>
      </c>
      <c r="U1761" s="152">
        <f>IFERROR(ABS(K1761-YEAR('02_대상물건입력'!B14)),"")</f>
        <v/>
      </c>
      <c r="V1761" s="152">
        <f>IF(B1761="","",IF(AND(E1761&gt;0,F1761&gt;0,H1761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1761=1,TRUE()),R1761&lt;='01_설정'!B5,S1761&lt;='01_설정'!B6,T1761&lt;='01_설정'!B7,U1761&lt;='01_설정'!B8),"Y",""))</f>
        <v/>
      </c>
      <c r="W1761" s="172">
        <f>IF(V1761&lt;&gt;"Y","",MAX(0,(1-R1761/'01_설정'!B5))*'01_설정'!B14+MAX(0,(1-S1761/'01_설정'!B6))*'01_설정'!B15+MAX(0,(1-T1761/'01_설정'!B7))*'01_설정'!B16+MAX(0,(1-U1761/'01_설정'!B8))*'01_설정'!B17+O1761*'01_설정'!B11+Q1761*'01_설정'!B12+P1761*'01_설정'!B13+IF(Z1761="",0,Z1761))</f>
        <v/>
      </c>
      <c r="X1761" s="152">
        <f>IF(W1761="","",1+COUNTIFS($W$4:$W$3003,"&gt;"&amp;W1761)+COUNTIFS($W$4:W1761,W1761)-1)</f>
        <v/>
      </c>
      <c r="Y1761" s="175">
        <f>IF(OR(I1761="",'02_대상물건입력'!B19="",'02_대상물건입력'!B19&lt;=0),"",ABS(I1761-'02_대상물건입력'!B19)/'02_대상물건입력'!B19)</f>
        <v/>
      </c>
      <c r="Z1761" s="172">
        <f>IF(OR(Y1761="",'01_설정'!B31="",'01_설정'!B31&lt;=0,'01_설정'!B32="",'01_설정'!B32&lt;=0),"",MAX(0,(1-Y1761/'01_설정'!B32))*'01_설정'!B31)</f>
        <v/>
      </c>
    </row>
    <row r="1762" ht="17.25" customHeight="1">
      <c r="A1762" s="152">
        <f>IF(INDEX('04A_국토부원자료'!$A:$A,ROW()+1)="","",ROW()-3)</f>
        <v/>
      </c>
      <c r="B1762" s="48">
        <f>IFERROR(INDEX('04A_국토부원자료'!$A:$T,ROW()+1,MATCH("시군구",'04A_국토부원자료'!$A$4:$T$4,0)),"")</f>
        <v/>
      </c>
      <c r="C1762" s="48">
        <f>IF(B1762="","",IFERROR(INDEX('04A_국토부원자료'!$A:$T,ROW()+1,MATCH("번지",'04A_국토부원자료'!$A$4:$T$4,0)),""))</f>
        <v/>
      </c>
      <c r="D1762" s="48">
        <f>IF(B1762="","",IF(Q1762=1,'02_대상물건입력'!$B$8,IFERROR(INDEX('04A_국토부원자료'!$A:$T,ROW()+1,MATCH("단지명",'04A_국토부원자료'!$A$4:$T$4,0)),"")))</f>
        <v/>
      </c>
      <c r="E1762" s="172">
        <f>IFERROR(VALUE(SUBSTITUTE(INDEX('04A_국토부원자료'!$A:$T,ROW()+1,MATCH("전용면적(㎡)",'04A_국토부원자료'!$A$4:$T$4,0)),",","")),"")</f>
        <v/>
      </c>
      <c r="F17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62" s="51">
        <f>IFERROR(VALUE(SUBSTITUTE(INDEX('04A_국토부원자료'!$A:$T,ROW()+1,MATCH("거래금액(만원)",'04A_국토부원자료'!$A$4:$T$4,0)),",","")),"")</f>
        <v/>
      </c>
      <c r="H1762" s="174">
        <f>IF(G1762="","",G1762*10000)</f>
        <v/>
      </c>
      <c r="I1762" s="174">
        <f>IFERROR(IF(AND(H1762&gt;0,E1762&gt;0),H1762/E1762,""),"")</f>
        <v/>
      </c>
      <c r="J1762" s="152">
        <f>IFERROR(VALUE(SUBSTITUTE(INDEX('04A_국토부원자료'!$A:$T,ROW()+1,MATCH("층",'04A_국토부원자료'!$A$4:$T$4,0)),",","")),"")</f>
        <v/>
      </c>
      <c r="K1762" s="152">
        <f>IFERROR(VALUE(SUBSTITUTE(INDEX('04A_국토부원자료'!$A:$T,ROW()+1,MATCH("건축년도",'04A_국토부원자료'!$A$4:$T$4,0)),",","")),"")</f>
        <v/>
      </c>
      <c r="L1762" s="176">
        <f>IFERROR(INDEX('04A_국토부원자료'!$A:$T,ROW()+1,MATCH("도로명",'04A_국토부원자료'!$A$4:$T$4,0)),"")</f>
        <v/>
      </c>
      <c r="M1762" s="48">
        <f>IFERROR(INDEX('04A_국토부원자료'!$A:$T,ROW()+1,MATCH("거래유형",'04A_국토부원자료'!$A$4:$T$4,0)),"")</f>
        <v/>
      </c>
      <c r="N1762" s="152">
        <f>IF(B1762="","",IF('02_대상물건입력'!B5="",1,IF(ISNUMBER(SEARCH('02_대상물건입력'!B5,B1762)),1,0)))</f>
        <v/>
      </c>
      <c r="O1762" s="152">
        <f>IF(B1762="","",IF('02_대상물건입력'!B6="",1,IF(ISNUMBER(SEARCH('02_대상물건입력'!B6,B1762)),1,0)))</f>
        <v/>
      </c>
      <c r="P1762" s="152">
        <f>IF(L1762="","",IF('02_대상물건입력'!B15="",0,IF(ISNUMBER(SEARCH('02_대상물건입력'!B15,L1762)),1,0)))</f>
        <v/>
      </c>
      <c r="Q1762" s="152">
        <f>IF(OR(C1762="",L1762=""),0,IF(AND(TRIM(C1762)=TRIM(RIGHT(SUBSTITUTE(TRIM('02_대상물건입력'!$B$7)," ",REPT(" ",99)),99)),IF('02_대상물건입력'!B15="",TRUE(),ISNUMBER(SEARCH('02_대상물건입력'!B15,L1762)))),1,0))</f>
        <v/>
      </c>
      <c r="R1762" s="175">
        <f>IFERROR(ABS(E1762-'02_대상물건입력'!B11)/'02_대상물건입력'!B11,"")</f>
        <v/>
      </c>
      <c r="S1762" s="152">
        <f>IFERROR(ABS(J1762-'02_대상물건입력'!B10),"")</f>
        <v/>
      </c>
      <c r="T1762" s="152">
        <f>IFERROR(ABS('01_설정'!B4-F1762),"")</f>
        <v/>
      </c>
      <c r="U1762" s="152">
        <f>IFERROR(ABS(K1762-YEAR('02_대상물건입력'!B14)),"")</f>
        <v/>
      </c>
      <c r="V1762" s="152">
        <f>IF(B1762="","",IF(AND(E1762&gt;0,F1762&gt;0,H1762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1762=1,TRUE()),R1762&lt;='01_설정'!B5,S1762&lt;='01_설정'!B6,T1762&lt;='01_설정'!B7,U1762&lt;='01_설정'!B8),"Y",""))</f>
        <v/>
      </c>
      <c r="W1762" s="172">
        <f>IF(V1762&lt;&gt;"Y","",MAX(0,(1-R1762/'01_설정'!B5))*'01_설정'!B14+MAX(0,(1-S1762/'01_설정'!B6))*'01_설정'!B15+MAX(0,(1-T1762/'01_설정'!B7))*'01_설정'!B16+MAX(0,(1-U1762/'01_설정'!B8))*'01_설정'!B17+O1762*'01_설정'!B11+Q1762*'01_설정'!B12+P1762*'01_설정'!B13+IF(Z1762="",0,Z1762))</f>
        <v/>
      </c>
      <c r="X1762" s="152">
        <f>IF(W1762="","",1+COUNTIFS($W$4:$W$3003,"&gt;"&amp;W1762)+COUNTIFS($W$4:W1762,W1762)-1)</f>
        <v/>
      </c>
      <c r="Y1762" s="175">
        <f>IF(OR(I1762="",'02_대상물건입력'!B19="",'02_대상물건입력'!B19&lt;=0),"",ABS(I1762-'02_대상물건입력'!B19)/'02_대상물건입력'!B19)</f>
        <v/>
      </c>
      <c r="Z1762" s="172">
        <f>IF(OR(Y1762="",'01_설정'!B31="",'01_설정'!B31&lt;=0,'01_설정'!B32="",'01_설정'!B32&lt;=0),"",MAX(0,(1-Y1762/'01_설정'!B32))*'01_설정'!B31)</f>
        <v/>
      </c>
    </row>
    <row r="1763" ht="17.25" customHeight="1">
      <c r="A1763" s="152">
        <f>IF(INDEX('04A_국토부원자료'!$A:$A,ROW()+1)="","",ROW()-3)</f>
        <v/>
      </c>
      <c r="B1763" s="48">
        <f>IFERROR(INDEX('04A_국토부원자료'!$A:$T,ROW()+1,MATCH("시군구",'04A_국토부원자료'!$A$4:$T$4,0)),"")</f>
        <v/>
      </c>
      <c r="C1763" s="48">
        <f>IF(B1763="","",IFERROR(INDEX('04A_국토부원자료'!$A:$T,ROW()+1,MATCH("번지",'04A_국토부원자료'!$A$4:$T$4,0)),""))</f>
        <v/>
      </c>
      <c r="D1763" s="48">
        <f>IF(B1763="","",IF(Q1763=1,'02_대상물건입력'!$B$8,IFERROR(INDEX('04A_국토부원자료'!$A:$T,ROW()+1,MATCH("단지명",'04A_국토부원자료'!$A$4:$T$4,0)),"")))</f>
        <v/>
      </c>
      <c r="E1763" s="172">
        <f>IFERROR(VALUE(SUBSTITUTE(INDEX('04A_국토부원자료'!$A:$T,ROW()+1,MATCH("전용면적(㎡)",'04A_국토부원자료'!$A$4:$T$4,0)),",","")),"")</f>
        <v/>
      </c>
      <c r="F17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63" s="51">
        <f>IFERROR(VALUE(SUBSTITUTE(INDEX('04A_국토부원자료'!$A:$T,ROW()+1,MATCH("거래금액(만원)",'04A_국토부원자료'!$A$4:$T$4,0)),",","")),"")</f>
        <v/>
      </c>
      <c r="H1763" s="174">
        <f>IF(G1763="","",G1763*10000)</f>
        <v/>
      </c>
      <c r="I1763" s="174">
        <f>IFERROR(IF(AND(H1763&gt;0,E1763&gt;0),H1763/E1763,""),"")</f>
        <v/>
      </c>
      <c r="J1763" s="152">
        <f>IFERROR(VALUE(SUBSTITUTE(INDEX('04A_국토부원자료'!$A:$T,ROW()+1,MATCH("층",'04A_국토부원자료'!$A$4:$T$4,0)),",","")),"")</f>
        <v/>
      </c>
      <c r="K1763" s="152">
        <f>IFERROR(VALUE(SUBSTITUTE(INDEX('04A_국토부원자료'!$A:$T,ROW()+1,MATCH("건축년도",'04A_국토부원자료'!$A$4:$T$4,0)),",","")),"")</f>
        <v/>
      </c>
      <c r="L1763" s="176">
        <f>IFERROR(INDEX('04A_국토부원자료'!$A:$T,ROW()+1,MATCH("도로명",'04A_국토부원자료'!$A$4:$T$4,0)),"")</f>
        <v/>
      </c>
      <c r="M1763" s="48">
        <f>IFERROR(INDEX('04A_국토부원자료'!$A:$T,ROW()+1,MATCH("거래유형",'04A_국토부원자료'!$A$4:$T$4,0)),"")</f>
        <v/>
      </c>
      <c r="N1763" s="152">
        <f>IF(B1763="","",IF('02_대상물건입력'!B5="",1,IF(ISNUMBER(SEARCH('02_대상물건입력'!B5,B1763)),1,0)))</f>
        <v/>
      </c>
      <c r="O1763" s="152">
        <f>IF(B1763="","",IF('02_대상물건입력'!B6="",1,IF(ISNUMBER(SEARCH('02_대상물건입력'!B6,B1763)),1,0)))</f>
        <v/>
      </c>
      <c r="P1763" s="152">
        <f>IF(L1763="","",IF('02_대상물건입력'!B15="",0,IF(ISNUMBER(SEARCH('02_대상물건입력'!B15,L1763)),1,0)))</f>
        <v/>
      </c>
      <c r="Q1763" s="152">
        <f>IF(OR(C1763="",L1763=""),0,IF(AND(TRIM(C1763)=TRIM(RIGHT(SUBSTITUTE(TRIM('02_대상물건입력'!$B$7)," ",REPT(" ",99)),99)),IF('02_대상물건입력'!B15="",TRUE(),ISNUMBER(SEARCH('02_대상물건입력'!B15,L1763)))),1,0))</f>
        <v/>
      </c>
      <c r="R1763" s="175">
        <f>IFERROR(ABS(E1763-'02_대상물건입력'!B11)/'02_대상물건입력'!B11,"")</f>
        <v/>
      </c>
      <c r="S1763" s="152">
        <f>IFERROR(ABS(J1763-'02_대상물건입력'!B10),"")</f>
        <v/>
      </c>
      <c r="T1763" s="152">
        <f>IFERROR(ABS('01_설정'!B4-F1763),"")</f>
        <v/>
      </c>
      <c r="U1763" s="152">
        <f>IFERROR(ABS(K1763-YEAR('02_대상물건입력'!B14)),"")</f>
        <v/>
      </c>
      <c r="V1763" s="152">
        <f>IF(B1763="","",IF(AND(E1763&gt;0,F1763&gt;0,H1763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1763=1,TRUE()),R1763&lt;='01_설정'!B5,S1763&lt;='01_설정'!B6,T1763&lt;='01_설정'!B7,U1763&lt;='01_설정'!B8),"Y",""))</f>
        <v/>
      </c>
      <c r="W1763" s="172">
        <f>IF(V1763&lt;&gt;"Y","",MAX(0,(1-R1763/'01_설정'!B5))*'01_설정'!B14+MAX(0,(1-S1763/'01_설정'!B6))*'01_설정'!B15+MAX(0,(1-T1763/'01_설정'!B7))*'01_설정'!B16+MAX(0,(1-U1763/'01_설정'!B8))*'01_설정'!B17+O1763*'01_설정'!B11+Q1763*'01_설정'!B12+P1763*'01_설정'!B13+IF(Z1763="",0,Z1763))</f>
        <v/>
      </c>
      <c r="X1763" s="152">
        <f>IF(W1763="","",1+COUNTIFS($W$4:$W$3003,"&gt;"&amp;W1763)+COUNTIFS($W$4:W1763,W1763)-1)</f>
        <v/>
      </c>
      <c r="Y1763" s="175">
        <f>IF(OR(I1763="",'02_대상물건입력'!B19="",'02_대상물건입력'!B19&lt;=0),"",ABS(I1763-'02_대상물건입력'!B19)/'02_대상물건입력'!B19)</f>
        <v/>
      </c>
      <c r="Z1763" s="172">
        <f>IF(OR(Y1763="",'01_설정'!B31="",'01_설정'!B31&lt;=0,'01_설정'!B32="",'01_설정'!B32&lt;=0),"",MAX(0,(1-Y1763/'01_설정'!B32))*'01_설정'!B31)</f>
        <v/>
      </c>
    </row>
    <row r="1764" ht="17.25" customHeight="1">
      <c r="A1764" s="152">
        <f>IF(INDEX('04A_국토부원자료'!$A:$A,ROW()+1)="","",ROW()-3)</f>
        <v/>
      </c>
      <c r="B1764" s="48">
        <f>IFERROR(INDEX('04A_국토부원자료'!$A:$T,ROW()+1,MATCH("시군구",'04A_국토부원자료'!$A$4:$T$4,0)),"")</f>
        <v/>
      </c>
      <c r="C1764" s="48">
        <f>IF(B1764="","",IFERROR(INDEX('04A_국토부원자료'!$A:$T,ROW()+1,MATCH("번지",'04A_국토부원자료'!$A$4:$T$4,0)),""))</f>
        <v/>
      </c>
      <c r="D1764" s="48">
        <f>IF(B1764="","",IF(Q1764=1,'02_대상물건입력'!$B$8,IFERROR(INDEX('04A_국토부원자료'!$A:$T,ROW()+1,MATCH("단지명",'04A_국토부원자료'!$A$4:$T$4,0)),"")))</f>
        <v/>
      </c>
      <c r="E1764" s="172">
        <f>IFERROR(VALUE(SUBSTITUTE(INDEX('04A_국토부원자료'!$A:$T,ROW()+1,MATCH("전용면적(㎡)",'04A_국토부원자료'!$A$4:$T$4,0)),",","")),"")</f>
        <v/>
      </c>
      <c r="F17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64" s="51">
        <f>IFERROR(VALUE(SUBSTITUTE(INDEX('04A_국토부원자료'!$A:$T,ROW()+1,MATCH("거래금액(만원)",'04A_국토부원자료'!$A$4:$T$4,0)),",","")),"")</f>
        <v/>
      </c>
      <c r="H1764" s="174">
        <f>IF(G1764="","",G1764*10000)</f>
        <v/>
      </c>
      <c r="I1764" s="174">
        <f>IFERROR(IF(AND(H1764&gt;0,E1764&gt;0),H1764/E1764,""),"")</f>
        <v/>
      </c>
      <c r="J1764" s="152">
        <f>IFERROR(VALUE(SUBSTITUTE(INDEX('04A_국토부원자료'!$A:$T,ROW()+1,MATCH("층",'04A_국토부원자료'!$A$4:$T$4,0)),",","")),"")</f>
        <v/>
      </c>
      <c r="K1764" s="152">
        <f>IFERROR(VALUE(SUBSTITUTE(INDEX('04A_국토부원자료'!$A:$T,ROW()+1,MATCH("건축년도",'04A_국토부원자료'!$A$4:$T$4,0)),",","")),"")</f>
        <v/>
      </c>
      <c r="L1764" s="176">
        <f>IFERROR(INDEX('04A_국토부원자료'!$A:$T,ROW()+1,MATCH("도로명",'04A_국토부원자료'!$A$4:$T$4,0)),"")</f>
        <v/>
      </c>
      <c r="M1764" s="48">
        <f>IFERROR(INDEX('04A_국토부원자료'!$A:$T,ROW()+1,MATCH("거래유형",'04A_국토부원자료'!$A$4:$T$4,0)),"")</f>
        <v/>
      </c>
      <c r="N1764" s="152">
        <f>IF(B1764="","",IF('02_대상물건입력'!B5="",1,IF(ISNUMBER(SEARCH('02_대상물건입력'!B5,B1764)),1,0)))</f>
        <v/>
      </c>
      <c r="O1764" s="152">
        <f>IF(B1764="","",IF('02_대상물건입력'!B6="",1,IF(ISNUMBER(SEARCH('02_대상물건입력'!B6,B1764)),1,0)))</f>
        <v/>
      </c>
      <c r="P1764" s="152">
        <f>IF(L1764="","",IF('02_대상물건입력'!B15="",0,IF(ISNUMBER(SEARCH('02_대상물건입력'!B15,L1764)),1,0)))</f>
        <v/>
      </c>
      <c r="Q1764" s="152">
        <f>IF(OR(C1764="",L1764=""),0,IF(AND(TRIM(C1764)=TRIM(RIGHT(SUBSTITUTE(TRIM('02_대상물건입력'!$B$7)," ",REPT(" ",99)),99)),IF('02_대상물건입력'!B15="",TRUE(),ISNUMBER(SEARCH('02_대상물건입력'!B15,L1764)))),1,0))</f>
        <v/>
      </c>
      <c r="R1764" s="175">
        <f>IFERROR(ABS(E1764-'02_대상물건입력'!B11)/'02_대상물건입력'!B11,"")</f>
        <v/>
      </c>
      <c r="S1764" s="152">
        <f>IFERROR(ABS(J1764-'02_대상물건입력'!B10),"")</f>
        <v/>
      </c>
      <c r="T1764" s="152">
        <f>IFERROR(ABS('01_설정'!B4-F1764),"")</f>
        <v/>
      </c>
      <c r="U1764" s="152">
        <f>IFERROR(ABS(K1764-YEAR('02_대상물건입력'!B14)),"")</f>
        <v/>
      </c>
      <c r="V1764" s="152">
        <f>IF(B1764="","",IF(AND(E1764&gt;0,F1764&gt;0,H1764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1764=1,TRUE()),R1764&lt;='01_설정'!B5,S1764&lt;='01_설정'!B6,T1764&lt;='01_설정'!B7,U1764&lt;='01_설정'!B8),"Y",""))</f>
        <v/>
      </c>
      <c r="W1764" s="172">
        <f>IF(V1764&lt;&gt;"Y","",MAX(0,(1-R1764/'01_설정'!B5))*'01_설정'!B14+MAX(0,(1-S1764/'01_설정'!B6))*'01_설정'!B15+MAX(0,(1-T1764/'01_설정'!B7))*'01_설정'!B16+MAX(0,(1-U1764/'01_설정'!B8))*'01_설정'!B17+O1764*'01_설정'!B11+Q1764*'01_설정'!B12+P1764*'01_설정'!B13+IF(Z1764="",0,Z1764))</f>
        <v/>
      </c>
      <c r="X1764" s="152">
        <f>IF(W1764="","",1+COUNTIFS($W$4:$W$3003,"&gt;"&amp;W1764)+COUNTIFS($W$4:W1764,W1764)-1)</f>
        <v/>
      </c>
      <c r="Y1764" s="175">
        <f>IF(OR(I1764="",'02_대상물건입력'!B19="",'02_대상물건입력'!B19&lt;=0),"",ABS(I1764-'02_대상물건입력'!B19)/'02_대상물건입력'!B19)</f>
        <v/>
      </c>
      <c r="Z1764" s="172">
        <f>IF(OR(Y1764="",'01_설정'!B31="",'01_설정'!B31&lt;=0,'01_설정'!B32="",'01_설정'!B32&lt;=0),"",MAX(0,(1-Y1764/'01_설정'!B32))*'01_설정'!B31)</f>
        <v/>
      </c>
    </row>
    <row r="1765" ht="17.25" customHeight="1">
      <c r="A1765" s="152">
        <f>IF(INDEX('04A_국토부원자료'!$A:$A,ROW()+1)="","",ROW()-3)</f>
        <v/>
      </c>
      <c r="B1765" s="48">
        <f>IFERROR(INDEX('04A_국토부원자료'!$A:$T,ROW()+1,MATCH("시군구",'04A_국토부원자료'!$A$4:$T$4,0)),"")</f>
        <v/>
      </c>
      <c r="C1765" s="48">
        <f>IF(B1765="","",IFERROR(INDEX('04A_국토부원자료'!$A:$T,ROW()+1,MATCH("번지",'04A_국토부원자료'!$A$4:$T$4,0)),""))</f>
        <v/>
      </c>
      <c r="D1765" s="48">
        <f>IF(B1765="","",IF(Q1765=1,'02_대상물건입력'!$B$8,IFERROR(INDEX('04A_국토부원자료'!$A:$T,ROW()+1,MATCH("단지명",'04A_국토부원자료'!$A$4:$T$4,0)),"")))</f>
        <v/>
      </c>
      <c r="E1765" s="172">
        <f>IFERROR(VALUE(SUBSTITUTE(INDEX('04A_국토부원자료'!$A:$T,ROW()+1,MATCH("전용면적(㎡)",'04A_국토부원자료'!$A$4:$T$4,0)),",","")),"")</f>
        <v/>
      </c>
      <c r="F17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65" s="51">
        <f>IFERROR(VALUE(SUBSTITUTE(INDEX('04A_국토부원자료'!$A:$T,ROW()+1,MATCH("거래금액(만원)",'04A_국토부원자료'!$A$4:$T$4,0)),",","")),"")</f>
        <v/>
      </c>
      <c r="H1765" s="174">
        <f>IF(G1765="","",G1765*10000)</f>
        <v/>
      </c>
      <c r="I1765" s="174">
        <f>IFERROR(IF(AND(H1765&gt;0,E1765&gt;0),H1765/E1765,""),"")</f>
        <v/>
      </c>
      <c r="J1765" s="152">
        <f>IFERROR(VALUE(SUBSTITUTE(INDEX('04A_국토부원자료'!$A:$T,ROW()+1,MATCH("층",'04A_국토부원자료'!$A$4:$T$4,0)),",","")),"")</f>
        <v/>
      </c>
      <c r="K1765" s="152">
        <f>IFERROR(VALUE(SUBSTITUTE(INDEX('04A_국토부원자료'!$A:$T,ROW()+1,MATCH("건축년도",'04A_국토부원자료'!$A$4:$T$4,0)),",","")),"")</f>
        <v/>
      </c>
      <c r="L1765" s="176">
        <f>IFERROR(INDEX('04A_국토부원자료'!$A:$T,ROW()+1,MATCH("도로명",'04A_국토부원자료'!$A$4:$T$4,0)),"")</f>
        <v/>
      </c>
      <c r="M1765" s="48">
        <f>IFERROR(INDEX('04A_국토부원자료'!$A:$T,ROW()+1,MATCH("거래유형",'04A_국토부원자료'!$A$4:$T$4,0)),"")</f>
        <v/>
      </c>
      <c r="N1765" s="152">
        <f>IF(B1765="","",IF('02_대상물건입력'!B5="",1,IF(ISNUMBER(SEARCH('02_대상물건입력'!B5,B1765)),1,0)))</f>
        <v/>
      </c>
      <c r="O1765" s="152">
        <f>IF(B1765="","",IF('02_대상물건입력'!B6="",1,IF(ISNUMBER(SEARCH('02_대상물건입력'!B6,B1765)),1,0)))</f>
        <v/>
      </c>
      <c r="P1765" s="152">
        <f>IF(L1765="","",IF('02_대상물건입력'!B15="",0,IF(ISNUMBER(SEARCH('02_대상물건입력'!B15,L1765)),1,0)))</f>
        <v/>
      </c>
      <c r="Q1765" s="152">
        <f>IF(OR(C1765="",L1765=""),0,IF(AND(TRIM(C1765)=TRIM(RIGHT(SUBSTITUTE(TRIM('02_대상물건입력'!$B$7)," ",REPT(" ",99)),99)),IF('02_대상물건입력'!B15="",TRUE(),ISNUMBER(SEARCH('02_대상물건입력'!B15,L1765)))),1,0))</f>
        <v/>
      </c>
      <c r="R1765" s="175">
        <f>IFERROR(ABS(E1765-'02_대상물건입력'!B11)/'02_대상물건입력'!B11,"")</f>
        <v/>
      </c>
      <c r="S1765" s="152">
        <f>IFERROR(ABS(J1765-'02_대상물건입력'!B10),"")</f>
        <v/>
      </c>
      <c r="T1765" s="152">
        <f>IFERROR(ABS('01_설정'!B4-F1765),"")</f>
        <v/>
      </c>
      <c r="U1765" s="152">
        <f>IFERROR(ABS(K1765-YEAR('02_대상물건입력'!B14)),"")</f>
        <v/>
      </c>
      <c r="V1765" s="152">
        <f>IF(B1765="","",IF(AND(E1765&gt;0,F1765&gt;0,H1765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1765=1,TRUE()),R1765&lt;='01_설정'!B5,S1765&lt;='01_설정'!B6,T1765&lt;='01_설정'!B7,U1765&lt;='01_설정'!B8),"Y",""))</f>
        <v/>
      </c>
      <c r="W1765" s="172">
        <f>IF(V1765&lt;&gt;"Y","",MAX(0,(1-R1765/'01_설정'!B5))*'01_설정'!B14+MAX(0,(1-S1765/'01_설정'!B6))*'01_설정'!B15+MAX(0,(1-T1765/'01_설정'!B7))*'01_설정'!B16+MAX(0,(1-U1765/'01_설정'!B8))*'01_설정'!B17+O1765*'01_설정'!B11+Q1765*'01_설정'!B12+P1765*'01_설정'!B13+IF(Z1765="",0,Z1765))</f>
        <v/>
      </c>
      <c r="X1765" s="152">
        <f>IF(W1765="","",1+COUNTIFS($W$4:$W$3003,"&gt;"&amp;W1765)+COUNTIFS($W$4:W1765,W1765)-1)</f>
        <v/>
      </c>
      <c r="Y1765" s="175">
        <f>IF(OR(I1765="",'02_대상물건입력'!B19="",'02_대상물건입력'!B19&lt;=0),"",ABS(I1765-'02_대상물건입력'!B19)/'02_대상물건입력'!B19)</f>
        <v/>
      </c>
      <c r="Z1765" s="172">
        <f>IF(OR(Y1765="",'01_설정'!B31="",'01_설정'!B31&lt;=0,'01_설정'!B32="",'01_설정'!B32&lt;=0),"",MAX(0,(1-Y1765/'01_설정'!B32))*'01_설정'!B31)</f>
        <v/>
      </c>
    </row>
    <row r="1766" ht="17.25" customHeight="1">
      <c r="A1766" s="152">
        <f>IF(INDEX('04A_국토부원자료'!$A:$A,ROW()+1)="","",ROW()-3)</f>
        <v/>
      </c>
      <c r="B1766" s="48">
        <f>IFERROR(INDEX('04A_국토부원자료'!$A:$T,ROW()+1,MATCH("시군구",'04A_국토부원자료'!$A$4:$T$4,0)),"")</f>
        <v/>
      </c>
      <c r="C1766" s="48">
        <f>IF(B1766="","",IFERROR(INDEX('04A_국토부원자료'!$A:$T,ROW()+1,MATCH("번지",'04A_국토부원자료'!$A$4:$T$4,0)),""))</f>
        <v/>
      </c>
      <c r="D1766" s="48">
        <f>IF(B1766="","",IF(Q1766=1,'02_대상물건입력'!$B$8,IFERROR(INDEX('04A_국토부원자료'!$A:$T,ROW()+1,MATCH("단지명",'04A_국토부원자료'!$A$4:$T$4,0)),"")))</f>
        <v/>
      </c>
      <c r="E1766" s="172">
        <f>IFERROR(VALUE(SUBSTITUTE(INDEX('04A_국토부원자료'!$A:$T,ROW()+1,MATCH("전용면적(㎡)",'04A_국토부원자료'!$A$4:$T$4,0)),",","")),"")</f>
        <v/>
      </c>
      <c r="F17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66" s="51">
        <f>IFERROR(VALUE(SUBSTITUTE(INDEX('04A_국토부원자료'!$A:$T,ROW()+1,MATCH("거래금액(만원)",'04A_국토부원자료'!$A$4:$T$4,0)),",","")),"")</f>
        <v/>
      </c>
      <c r="H1766" s="174">
        <f>IF(G1766="","",G1766*10000)</f>
        <v/>
      </c>
      <c r="I1766" s="174">
        <f>IFERROR(IF(AND(H1766&gt;0,E1766&gt;0),H1766/E1766,""),"")</f>
        <v/>
      </c>
      <c r="J1766" s="152">
        <f>IFERROR(VALUE(SUBSTITUTE(INDEX('04A_국토부원자료'!$A:$T,ROW()+1,MATCH("층",'04A_국토부원자료'!$A$4:$T$4,0)),",","")),"")</f>
        <v/>
      </c>
      <c r="K1766" s="152">
        <f>IFERROR(VALUE(SUBSTITUTE(INDEX('04A_국토부원자료'!$A:$T,ROW()+1,MATCH("건축년도",'04A_국토부원자료'!$A$4:$T$4,0)),",","")),"")</f>
        <v/>
      </c>
      <c r="L1766" s="176">
        <f>IFERROR(INDEX('04A_국토부원자료'!$A:$T,ROW()+1,MATCH("도로명",'04A_국토부원자료'!$A$4:$T$4,0)),"")</f>
        <v/>
      </c>
      <c r="M1766" s="48">
        <f>IFERROR(INDEX('04A_국토부원자료'!$A:$T,ROW()+1,MATCH("거래유형",'04A_국토부원자료'!$A$4:$T$4,0)),"")</f>
        <v/>
      </c>
      <c r="N1766" s="152">
        <f>IF(B1766="","",IF('02_대상물건입력'!B5="",1,IF(ISNUMBER(SEARCH('02_대상물건입력'!B5,B1766)),1,0)))</f>
        <v/>
      </c>
      <c r="O1766" s="152">
        <f>IF(B1766="","",IF('02_대상물건입력'!B6="",1,IF(ISNUMBER(SEARCH('02_대상물건입력'!B6,B1766)),1,0)))</f>
        <v/>
      </c>
      <c r="P1766" s="152">
        <f>IF(L1766="","",IF('02_대상물건입력'!B15="",0,IF(ISNUMBER(SEARCH('02_대상물건입력'!B15,L1766)),1,0)))</f>
        <v/>
      </c>
      <c r="Q1766" s="152">
        <f>IF(OR(C1766="",L1766=""),0,IF(AND(TRIM(C1766)=TRIM(RIGHT(SUBSTITUTE(TRIM('02_대상물건입력'!$B$7)," ",REPT(" ",99)),99)),IF('02_대상물건입력'!B15="",TRUE(),ISNUMBER(SEARCH('02_대상물건입력'!B15,L1766)))),1,0))</f>
        <v/>
      </c>
      <c r="R1766" s="175">
        <f>IFERROR(ABS(E1766-'02_대상물건입력'!B11)/'02_대상물건입력'!B11,"")</f>
        <v/>
      </c>
      <c r="S1766" s="152">
        <f>IFERROR(ABS(J1766-'02_대상물건입력'!B10),"")</f>
        <v/>
      </c>
      <c r="T1766" s="152">
        <f>IFERROR(ABS('01_설정'!B4-F1766),"")</f>
        <v/>
      </c>
      <c r="U1766" s="152">
        <f>IFERROR(ABS(K1766-YEAR('02_대상물건입력'!B14)),"")</f>
        <v/>
      </c>
      <c r="V1766" s="152">
        <f>IF(B1766="","",IF(AND(E1766&gt;0,F1766&gt;0,H1766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1766=1,TRUE()),R1766&lt;='01_설정'!B5,S1766&lt;='01_설정'!B6,T1766&lt;='01_설정'!B7,U1766&lt;='01_설정'!B8),"Y",""))</f>
        <v/>
      </c>
      <c r="W1766" s="172">
        <f>IF(V1766&lt;&gt;"Y","",MAX(0,(1-R1766/'01_설정'!B5))*'01_설정'!B14+MAX(0,(1-S1766/'01_설정'!B6))*'01_설정'!B15+MAX(0,(1-T1766/'01_설정'!B7))*'01_설정'!B16+MAX(0,(1-U1766/'01_설정'!B8))*'01_설정'!B17+O1766*'01_설정'!B11+Q1766*'01_설정'!B12+P1766*'01_설정'!B13+IF(Z1766="",0,Z1766))</f>
        <v/>
      </c>
      <c r="X1766" s="152">
        <f>IF(W1766="","",1+COUNTIFS($W$4:$W$3003,"&gt;"&amp;W1766)+COUNTIFS($W$4:W1766,W1766)-1)</f>
        <v/>
      </c>
      <c r="Y1766" s="175">
        <f>IF(OR(I1766="",'02_대상물건입력'!B19="",'02_대상물건입력'!B19&lt;=0),"",ABS(I1766-'02_대상물건입력'!B19)/'02_대상물건입력'!B19)</f>
        <v/>
      </c>
      <c r="Z1766" s="172">
        <f>IF(OR(Y1766="",'01_설정'!B31="",'01_설정'!B31&lt;=0,'01_설정'!B32="",'01_설정'!B32&lt;=0),"",MAX(0,(1-Y1766/'01_설정'!B32))*'01_설정'!B31)</f>
        <v/>
      </c>
    </row>
    <row r="1767" ht="17.25" customHeight="1">
      <c r="A1767" s="152">
        <f>IF(INDEX('04A_국토부원자료'!$A:$A,ROW()+1)="","",ROW()-3)</f>
        <v/>
      </c>
      <c r="B1767" s="48">
        <f>IFERROR(INDEX('04A_국토부원자료'!$A:$T,ROW()+1,MATCH("시군구",'04A_국토부원자료'!$A$4:$T$4,0)),"")</f>
        <v/>
      </c>
      <c r="C1767" s="48">
        <f>IF(B1767="","",IFERROR(INDEX('04A_국토부원자료'!$A:$T,ROW()+1,MATCH("번지",'04A_국토부원자료'!$A$4:$T$4,0)),""))</f>
        <v/>
      </c>
      <c r="D1767" s="48">
        <f>IF(B1767="","",IF(Q1767=1,'02_대상물건입력'!$B$8,IFERROR(INDEX('04A_국토부원자료'!$A:$T,ROW()+1,MATCH("단지명",'04A_국토부원자료'!$A$4:$T$4,0)),"")))</f>
        <v/>
      </c>
      <c r="E1767" s="172">
        <f>IFERROR(VALUE(SUBSTITUTE(INDEX('04A_국토부원자료'!$A:$T,ROW()+1,MATCH("전용면적(㎡)",'04A_국토부원자료'!$A$4:$T$4,0)),",","")),"")</f>
        <v/>
      </c>
      <c r="F17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67" s="51">
        <f>IFERROR(VALUE(SUBSTITUTE(INDEX('04A_국토부원자료'!$A:$T,ROW()+1,MATCH("거래금액(만원)",'04A_국토부원자료'!$A$4:$T$4,0)),",","")),"")</f>
        <v/>
      </c>
      <c r="H1767" s="174">
        <f>IF(G1767="","",G1767*10000)</f>
        <v/>
      </c>
      <c r="I1767" s="174">
        <f>IFERROR(IF(AND(H1767&gt;0,E1767&gt;0),H1767/E1767,""),"")</f>
        <v/>
      </c>
      <c r="J1767" s="152">
        <f>IFERROR(VALUE(SUBSTITUTE(INDEX('04A_국토부원자료'!$A:$T,ROW()+1,MATCH("층",'04A_국토부원자료'!$A$4:$T$4,0)),",","")),"")</f>
        <v/>
      </c>
      <c r="K1767" s="152">
        <f>IFERROR(VALUE(SUBSTITUTE(INDEX('04A_국토부원자료'!$A:$T,ROW()+1,MATCH("건축년도",'04A_국토부원자료'!$A$4:$T$4,0)),",","")),"")</f>
        <v/>
      </c>
      <c r="L1767" s="176">
        <f>IFERROR(INDEX('04A_국토부원자료'!$A:$T,ROW()+1,MATCH("도로명",'04A_국토부원자료'!$A$4:$T$4,0)),"")</f>
        <v/>
      </c>
      <c r="M1767" s="48">
        <f>IFERROR(INDEX('04A_국토부원자료'!$A:$T,ROW()+1,MATCH("거래유형",'04A_국토부원자료'!$A$4:$T$4,0)),"")</f>
        <v/>
      </c>
      <c r="N1767" s="152">
        <f>IF(B1767="","",IF('02_대상물건입력'!B5="",1,IF(ISNUMBER(SEARCH('02_대상물건입력'!B5,B1767)),1,0)))</f>
        <v/>
      </c>
      <c r="O1767" s="152">
        <f>IF(B1767="","",IF('02_대상물건입력'!B6="",1,IF(ISNUMBER(SEARCH('02_대상물건입력'!B6,B1767)),1,0)))</f>
        <v/>
      </c>
      <c r="P1767" s="152">
        <f>IF(L1767="","",IF('02_대상물건입력'!B15="",0,IF(ISNUMBER(SEARCH('02_대상물건입력'!B15,L1767)),1,0)))</f>
        <v/>
      </c>
      <c r="Q1767" s="152">
        <f>IF(OR(C1767="",L1767=""),0,IF(AND(TRIM(C1767)=TRIM(RIGHT(SUBSTITUTE(TRIM('02_대상물건입력'!$B$7)," ",REPT(" ",99)),99)),IF('02_대상물건입력'!B15="",TRUE(),ISNUMBER(SEARCH('02_대상물건입력'!B15,L1767)))),1,0))</f>
        <v/>
      </c>
      <c r="R1767" s="175">
        <f>IFERROR(ABS(E1767-'02_대상물건입력'!B11)/'02_대상물건입력'!B11,"")</f>
        <v/>
      </c>
      <c r="S1767" s="152">
        <f>IFERROR(ABS(J1767-'02_대상물건입력'!B10),"")</f>
        <v/>
      </c>
      <c r="T1767" s="152">
        <f>IFERROR(ABS('01_설정'!B4-F1767),"")</f>
        <v/>
      </c>
      <c r="U1767" s="152">
        <f>IFERROR(ABS(K1767-YEAR('02_대상물건입력'!B14)),"")</f>
        <v/>
      </c>
      <c r="V1767" s="152">
        <f>IF(B1767="","",IF(AND(E1767&gt;0,F1767&gt;0,H1767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1767=1,TRUE()),R1767&lt;='01_설정'!B5,S1767&lt;='01_설정'!B6,T1767&lt;='01_설정'!B7,U1767&lt;='01_설정'!B8),"Y",""))</f>
        <v/>
      </c>
      <c r="W1767" s="172">
        <f>IF(V1767&lt;&gt;"Y","",MAX(0,(1-R1767/'01_설정'!B5))*'01_설정'!B14+MAX(0,(1-S1767/'01_설정'!B6))*'01_설정'!B15+MAX(0,(1-T1767/'01_설정'!B7))*'01_설정'!B16+MAX(0,(1-U1767/'01_설정'!B8))*'01_설정'!B17+O1767*'01_설정'!B11+Q1767*'01_설정'!B12+P1767*'01_설정'!B13+IF(Z1767="",0,Z1767))</f>
        <v/>
      </c>
      <c r="X1767" s="152">
        <f>IF(W1767="","",1+COUNTIFS($W$4:$W$3003,"&gt;"&amp;W1767)+COUNTIFS($W$4:W1767,W1767)-1)</f>
        <v/>
      </c>
      <c r="Y1767" s="175">
        <f>IF(OR(I1767="",'02_대상물건입력'!B19="",'02_대상물건입력'!B19&lt;=0),"",ABS(I1767-'02_대상물건입력'!B19)/'02_대상물건입력'!B19)</f>
        <v/>
      </c>
      <c r="Z1767" s="172">
        <f>IF(OR(Y1767="",'01_설정'!B31="",'01_설정'!B31&lt;=0,'01_설정'!B32="",'01_설정'!B32&lt;=0),"",MAX(0,(1-Y1767/'01_설정'!B32))*'01_설정'!B31)</f>
        <v/>
      </c>
    </row>
    <row r="1768" ht="17.25" customHeight="1">
      <c r="A1768" s="152">
        <f>IF(INDEX('04A_국토부원자료'!$A:$A,ROW()+1)="","",ROW()-3)</f>
        <v/>
      </c>
      <c r="B1768" s="48">
        <f>IFERROR(INDEX('04A_국토부원자료'!$A:$T,ROW()+1,MATCH("시군구",'04A_국토부원자료'!$A$4:$T$4,0)),"")</f>
        <v/>
      </c>
      <c r="C1768" s="48">
        <f>IF(B1768="","",IFERROR(INDEX('04A_국토부원자료'!$A:$T,ROW()+1,MATCH("번지",'04A_국토부원자료'!$A$4:$T$4,0)),""))</f>
        <v/>
      </c>
      <c r="D1768" s="48">
        <f>IF(B1768="","",IF(Q1768=1,'02_대상물건입력'!$B$8,IFERROR(INDEX('04A_국토부원자료'!$A:$T,ROW()+1,MATCH("단지명",'04A_국토부원자료'!$A$4:$T$4,0)),"")))</f>
        <v/>
      </c>
      <c r="E1768" s="172">
        <f>IFERROR(VALUE(SUBSTITUTE(INDEX('04A_국토부원자료'!$A:$T,ROW()+1,MATCH("전용면적(㎡)",'04A_국토부원자료'!$A$4:$T$4,0)),",","")),"")</f>
        <v/>
      </c>
      <c r="F17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68" s="51">
        <f>IFERROR(VALUE(SUBSTITUTE(INDEX('04A_국토부원자료'!$A:$T,ROW()+1,MATCH("거래금액(만원)",'04A_국토부원자료'!$A$4:$T$4,0)),",","")),"")</f>
        <v/>
      </c>
      <c r="H1768" s="174">
        <f>IF(G1768="","",G1768*10000)</f>
        <v/>
      </c>
      <c r="I1768" s="174">
        <f>IFERROR(IF(AND(H1768&gt;0,E1768&gt;0),H1768/E1768,""),"")</f>
        <v/>
      </c>
      <c r="J1768" s="152">
        <f>IFERROR(VALUE(SUBSTITUTE(INDEX('04A_국토부원자료'!$A:$T,ROW()+1,MATCH("층",'04A_국토부원자료'!$A$4:$T$4,0)),",","")),"")</f>
        <v/>
      </c>
      <c r="K1768" s="152">
        <f>IFERROR(VALUE(SUBSTITUTE(INDEX('04A_국토부원자료'!$A:$T,ROW()+1,MATCH("건축년도",'04A_국토부원자료'!$A$4:$T$4,0)),",","")),"")</f>
        <v/>
      </c>
      <c r="L1768" s="176">
        <f>IFERROR(INDEX('04A_국토부원자료'!$A:$T,ROW()+1,MATCH("도로명",'04A_국토부원자료'!$A$4:$T$4,0)),"")</f>
        <v/>
      </c>
      <c r="M1768" s="48">
        <f>IFERROR(INDEX('04A_국토부원자료'!$A:$T,ROW()+1,MATCH("거래유형",'04A_국토부원자료'!$A$4:$T$4,0)),"")</f>
        <v/>
      </c>
      <c r="N1768" s="152">
        <f>IF(B1768="","",IF('02_대상물건입력'!B5="",1,IF(ISNUMBER(SEARCH('02_대상물건입력'!B5,B1768)),1,0)))</f>
        <v/>
      </c>
      <c r="O1768" s="152">
        <f>IF(B1768="","",IF('02_대상물건입력'!B6="",1,IF(ISNUMBER(SEARCH('02_대상물건입력'!B6,B1768)),1,0)))</f>
        <v/>
      </c>
      <c r="P1768" s="152">
        <f>IF(L1768="","",IF('02_대상물건입력'!B15="",0,IF(ISNUMBER(SEARCH('02_대상물건입력'!B15,L1768)),1,0)))</f>
        <v/>
      </c>
      <c r="Q1768" s="152">
        <f>IF(OR(C1768="",L1768=""),0,IF(AND(TRIM(C1768)=TRIM(RIGHT(SUBSTITUTE(TRIM('02_대상물건입력'!$B$7)," ",REPT(" ",99)),99)),IF('02_대상물건입력'!B15="",TRUE(),ISNUMBER(SEARCH('02_대상물건입력'!B15,L1768)))),1,0))</f>
        <v/>
      </c>
      <c r="R1768" s="175">
        <f>IFERROR(ABS(E1768-'02_대상물건입력'!B11)/'02_대상물건입력'!B11,"")</f>
        <v/>
      </c>
      <c r="S1768" s="152">
        <f>IFERROR(ABS(J1768-'02_대상물건입력'!B10),"")</f>
        <v/>
      </c>
      <c r="T1768" s="152">
        <f>IFERROR(ABS('01_설정'!B4-F1768),"")</f>
        <v/>
      </c>
      <c r="U1768" s="152">
        <f>IFERROR(ABS(K1768-YEAR('02_대상물건입력'!B14)),"")</f>
        <v/>
      </c>
      <c r="V1768" s="152">
        <f>IF(B1768="","",IF(AND(E1768&gt;0,F1768&gt;0,H1768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1768=1,TRUE()),R1768&lt;='01_설정'!B5,S1768&lt;='01_설정'!B6,T1768&lt;='01_설정'!B7,U1768&lt;='01_설정'!B8),"Y",""))</f>
        <v/>
      </c>
      <c r="W1768" s="172">
        <f>IF(V1768&lt;&gt;"Y","",MAX(0,(1-R1768/'01_설정'!B5))*'01_설정'!B14+MAX(0,(1-S1768/'01_설정'!B6))*'01_설정'!B15+MAX(0,(1-T1768/'01_설정'!B7))*'01_설정'!B16+MAX(0,(1-U1768/'01_설정'!B8))*'01_설정'!B17+O1768*'01_설정'!B11+Q1768*'01_설정'!B12+P1768*'01_설정'!B13+IF(Z1768="",0,Z1768))</f>
        <v/>
      </c>
      <c r="X1768" s="152">
        <f>IF(W1768="","",1+COUNTIFS($W$4:$W$3003,"&gt;"&amp;W1768)+COUNTIFS($W$4:W1768,W1768)-1)</f>
        <v/>
      </c>
      <c r="Y1768" s="175">
        <f>IF(OR(I1768="",'02_대상물건입력'!B19="",'02_대상물건입력'!B19&lt;=0),"",ABS(I1768-'02_대상물건입력'!B19)/'02_대상물건입력'!B19)</f>
        <v/>
      </c>
      <c r="Z1768" s="172">
        <f>IF(OR(Y1768="",'01_설정'!B31="",'01_설정'!B31&lt;=0,'01_설정'!B32="",'01_설정'!B32&lt;=0),"",MAX(0,(1-Y1768/'01_설정'!B32))*'01_설정'!B31)</f>
        <v/>
      </c>
    </row>
    <row r="1769" ht="17.25" customHeight="1">
      <c r="A1769" s="152">
        <f>IF(INDEX('04A_국토부원자료'!$A:$A,ROW()+1)="","",ROW()-3)</f>
        <v/>
      </c>
      <c r="B1769" s="48">
        <f>IFERROR(INDEX('04A_국토부원자료'!$A:$T,ROW()+1,MATCH("시군구",'04A_국토부원자료'!$A$4:$T$4,0)),"")</f>
        <v/>
      </c>
      <c r="C1769" s="48">
        <f>IF(B1769="","",IFERROR(INDEX('04A_국토부원자료'!$A:$T,ROW()+1,MATCH("번지",'04A_국토부원자료'!$A$4:$T$4,0)),""))</f>
        <v/>
      </c>
      <c r="D1769" s="48">
        <f>IF(B1769="","",IF(Q1769=1,'02_대상물건입력'!$B$8,IFERROR(INDEX('04A_국토부원자료'!$A:$T,ROW()+1,MATCH("단지명",'04A_국토부원자료'!$A$4:$T$4,0)),"")))</f>
        <v/>
      </c>
      <c r="E1769" s="172">
        <f>IFERROR(VALUE(SUBSTITUTE(INDEX('04A_국토부원자료'!$A:$T,ROW()+1,MATCH("전용면적(㎡)",'04A_국토부원자료'!$A$4:$T$4,0)),",","")),"")</f>
        <v/>
      </c>
      <c r="F17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69" s="51">
        <f>IFERROR(VALUE(SUBSTITUTE(INDEX('04A_국토부원자료'!$A:$T,ROW()+1,MATCH("거래금액(만원)",'04A_국토부원자료'!$A$4:$T$4,0)),",","")),"")</f>
        <v/>
      </c>
      <c r="H1769" s="174">
        <f>IF(G1769="","",G1769*10000)</f>
        <v/>
      </c>
      <c r="I1769" s="174">
        <f>IFERROR(IF(AND(H1769&gt;0,E1769&gt;0),H1769/E1769,""),"")</f>
        <v/>
      </c>
      <c r="J1769" s="152">
        <f>IFERROR(VALUE(SUBSTITUTE(INDEX('04A_국토부원자료'!$A:$T,ROW()+1,MATCH("층",'04A_국토부원자료'!$A$4:$T$4,0)),",","")),"")</f>
        <v/>
      </c>
      <c r="K1769" s="152">
        <f>IFERROR(VALUE(SUBSTITUTE(INDEX('04A_국토부원자료'!$A:$T,ROW()+1,MATCH("건축년도",'04A_국토부원자료'!$A$4:$T$4,0)),",","")),"")</f>
        <v/>
      </c>
      <c r="L1769" s="176">
        <f>IFERROR(INDEX('04A_국토부원자료'!$A:$T,ROW()+1,MATCH("도로명",'04A_국토부원자료'!$A$4:$T$4,0)),"")</f>
        <v/>
      </c>
      <c r="M1769" s="48">
        <f>IFERROR(INDEX('04A_국토부원자료'!$A:$T,ROW()+1,MATCH("거래유형",'04A_국토부원자료'!$A$4:$T$4,0)),"")</f>
        <v/>
      </c>
      <c r="N1769" s="152">
        <f>IF(B1769="","",IF('02_대상물건입력'!B5="",1,IF(ISNUMBER(SEARCH('02_대상물건입력'!B5,B1769)),1,0)))</f>
        <v/>
      </c>
      <c r="O1769" s="152">
        <f>IF(B1769="","",IF('02_대상물건입력'!B6="",1,IF(ISNUMBER(SEARCH('02_대상물건입력'!B6,B1769)),1,0)))</f>
        <v/>
      </c>
      <c r="P1769" s="152">
        <f>IF(L1769="","",IF('02_대상물건입력'!B15="",0,IF(ISNUMBER(SEARCH('02_대상물건입력'!B15,L1769)),1,0)))</f>
        <v/>
      </c>
      <c r="Q1769" s="152">
        <f>IF(OR(C1769="",L1769=""),0,IF(AND(TRIM(C1769)=TRIM(RIGHT(SUBSTITUTE(TRIM('02_대상물건입력'!$B$7)," ",REPT(" ",99)),99)),IF('02_대상물건입력'!B15="",TRUE(),ISNUMBER(SEARCH('02_대상물건입력'!B15,L1769)))),1,0))</f>
        <v/>
      </c>
      <c r="R1769" s="175">
        <f>IFERROR(ABS(E1769-'02_대상물건입력'!B11)/'02_대상물건입력'!B11,"")</f>
        <v/>
      </c>
      <c r="S1769" s="152">
        <f>IFERROR(ABS(J1769-'02_대상물건입력'!B10),"")</f>
        <v/>
      </c>
      <c r="T1769" s="152">
        <f>IFERROR(ABS('01_설정'!B4-F1769),"")</f>
        <v/>
      </c>
      <c r="U1769" s="152">
        <f>IFERROR(ABS(K1769-YEAR('02_대상물건입력'!B14)),"")</f>
        <v/>
      </c>
      <c r="V1769" s="152">
        <f>IF(B1769="","",IF(AND(E1769&gt;0,F1769&gt;0,H1769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1769=1,TRUE()),R1769&lt;='01_설정'!B5,S1769&lt;='01_설정'!B6,T1769&lt;='01_설정'!B7,U1769&lt;='01_설정'!B8),"Y",""))</f>
        <v/>
      </c>
      <c r="W1769" s="172">
        <f>IF(V1769&lt;&gt;"Y","",MAX(0,(1-R1769/'01_설정'!B5))*'01_설정'!B14+MAX(0,(1-S1769/'01_설정'!B6))*'01_설정'!B15+MAX(0,(1-T1769/'01_설정'!B7))*'01_설정'!B16+MAX(0,(1-U1769/'01_설정'!B8))*'01_설정'!B17+O1769*'01_설정'!B11+Q1769*'01_설정'!B12+P1769*'01_설정'!B13+IF(Z1769="",0,Z1769))</f>
        <v/>
      </c>
      <c r="X1769" s="152">
        <f>IF(W1769="","",1+COUNTIFS($W$4:$W$3003,"&gt;"&amp;W1769)+COUNTIFS($W$4:W1769,W1769)-1)</f>
        <v/>
      </c>
      <c r="Y1769" s="175">
        <f>IF(OR(I1769="",'02_대상물건입력'!B19="",'02_대상물건입력'!B19&lt;=0),"",ABS(I1769-'02_대상물건입력'!B19)/'02_대상물건입력'!B19)</f>
        <v/>
      </c>
      <c r="Z1769" s="172">
        <f>IF(OR(Y1769="",'01_설정'!B31="",'01_설정'!B31&lt;=0,'01_설정'!B32="",'01_설정'!B32&lt;=0),"",MAX(0,(1-Y1769/'01_설정'!B32))*'01_설정'!B31)</f>
        <v/>
      </c>
    </row>
    <row r="1770" ht="17.25" customHeight="1">
      <c r="A1770" s="152">
        <f>IF(INDEX('04A_국토부원자료'!$A:$A,ROW()+1)="","",ROW()-3)</f>
        <v/>
      </c>
      <c r="B1770" s="48">
        <f>IFERROR(INDEX('04A_국토부원자료'!$A:$T,ROW()+1,MATCH("시군구",'04A_국토부원자료'!$A$4:$T$4,0)),"")</f>
        <v/>
      </c>
      <c r="C1770" s="48">
        <f>IF(B1770="","",IFERROR(INDEX('04A_국토부원자료'!$A:$T,ROW()+1,MATCH("번지",'04A_국토부원자료'!$A$4:$T$4,0)),""))</f>
        <v/>
      </c>
      <c r="D1770" s="48">
        <f>IF(B1770="","",IF(Q1770=1,'02_대상물건입력'!$B$8,IFERROR(INDEX('04A_국토부원자료'!$A:$T,ROW()+1,MATCH("단지명",'04A_국토부원자료'!$A$4:$T$4,0)),"")))</f>
        <v/>
      </c>
      <c r="E1770" s="172">
        <f>IFERROR(VALUE(SUBSTITUTE(INDEX('04A_국토부원자료'!$A:$T,ROW()+1,MATCH("전용면적(㎡)",'04A_국토부원자료'!$A$4:$T$4,0)),",","")),"")</f>
        <v/>
      </c>
      <c r="F17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70" s="51">
        <f>IFERROR(VALUE(SUBSTITUTE(INDEX('04A_국토부원자료'!$A:$T,ROW()+1,MATCH("거래금액(만원)",'04A_국토부원자료'!$A$4:$T$4,0)),",","")),"")</f>
        <v/>
      </c>
      <c r="H1770" s="174">
        <f>IF(G1770="","",G1770*10000)</f>
        <v/>
      </c>
      <c r="I1770" s="174">
        <f>IFERROR(IF(AND(H1770&gt;0,E1770&gt;0),H1770/E1770,""),"")</f>
        <v/>
      </c>
      <c r="J1770" s="152">
        <f>IFERROR(VALUE(SUBSTITUTE(INDEX('04A_국토부원자료'!$A:$T,ROW()+1,MATCH("층",'04A_국토부원자료'!$A$4:$T$4,0)),",","")),"")</f>
        <v/>
      </c>
      <c r="K1770" s="152">
        <f>IFERROR(VALUE(SUBSTITUTE(INDEX('04A_국토부원자료'!$A:$T,ROW()+1,MATCH("건축년도",'04A_국토부원자료'!$A$4:$T$4,0)),",","")),"")</f>
        <v/>
      </c>
      <c r="L1770" s="176">
        <f>IFERROR(INDEX('04A_국토부원자료'!$A:$T,ROW()+1,MATCH("도로명",'04A_국토부원자료'!$A$4:$T$4,0)),"")</f>
        <v/>
      </c>
      <c r="M1770" s="48">
        <f>IFERROR(INDEX('04A_국토부원자료'!$A:$T,ROW()+1,MATCH("거래유형",'04A_국토부원자료'!$A$4:$T$4,0)),"")</f>
        <v/>
      </c>
      <c r="N1770" s="152">
        <f>IF(B1770="","",IF('02_대상물건입력'!B5="",1,IF(ISNUMBER(SEARCH('02_대상물건입력'!B5,B1770)),1,0)))</f>
        <v/>
      </c>
      <c r="O1770" s="152">
        <f>IF(B1770="","",IF('02_대상물건입력'!B6="",1,IF(ISNUMBER(SEARCH('02_대상물건입력'!B6,B1770)),1,0)))</f>
        <v/>
      </c>
      <c r="P1770" s="152">
        <f>IF(L1770="","",IF('02_대상물건입력'!B15="",0,IF(ISNUMBER(SEARCH('02_대상물건입력'!B15,L1770)),1,0)))</f>
        <v/>
      </c>
      <c r="Q1770" s="152">
        <f>IF(OR(C1770="",L1770=""),0,IF(AND(TRIM(C1770)=TRIM(RIGHT(SUBSTITUTE(TRIM('02_대상물건입력'!$B$7)," ",REPT(" ",99)),99)),IF('02_대상물건입력'!B15="",TRUE(),ISNUMBER(SEARCH('02_대상물건입력'!B15,L1770)))),1,0))</f>
        <v/>
      </c>
      <c r="R1770" s="175">
        <f>IFERROR(ABS(E1770-'02_대상물건입력'!B11)/'02_대상물건입력'!B11,"")</f>
        <v/>
      </c>
      <c r="S1770" s="152">
        <f>IFERROR(ABS(J1770-'02_대상물건입력'!B10),"")</f>
        <v/>
      </c>
      <c r="T1770" s="152">
        <f>IFERROR(ABS('01_설정'!B4-F1770),"")</f>
        <v/>
      </c>
      <c r="U1770" s="152">
        <f>IFERROR(ABS(K1770-YEAR('02_대상물건입력'!B14)),"")</f>
        <v/>
      </c>
      <c r="V1770" s="152">
        <f>IF(B1770="","",IF(AND(E1770&gt;0,F1770&gt;0,H1770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1770=1,TRUE()),R1770&lt;='01_설정'!B5,S1770&lt;='01_설정'!B6,T1770&lt;='01_설정'!B7,U1770&lt;='01_설정'!B8),"Y",""))</f>
        <v/>
      </c>
      <c r="W1770" s="172">
        <f>IF(V1770&lt;&gt;"Y","",MAX(0,(1-R1770/'01_설정'!B5))*'01_설정'!B14+MAX(0,(1-S1770/'01_설정'!B6))*'01_설정'!B15+MAX(0,(1-T1770/'01_설정'!B7))*'01_설정'!B16+MAX(0,(1-U1770/'01_설정'!B8))*'01_설정'!B17+O1770*'01_설정'!B11+Q1770*'01_설정'!B12+P1770*'01_설정'!B13+IF(Z1770="",0,Z1770))</f>
        <v/>
      </c>
      <c r="X1770" s="152">
        <f>IF(W1770="","",1+COUNTIFS($W$4:$W$3003,"&gt;"&amp;W1770)+COUNTIFS($W$4:W1770,W1770)-1)</f>
        <v/>
      </c>
      <c r="Y1770" s="175">
        <f>IF(OR(I1770="",'02_대상물건입력'!B19="",'02_대상물건입력'!B19&lt;=0),"",ABS(I1770-'02_대상물건입력'!B19)/'02_대상물건입력'!B19)</f>
        <v/>
      </c>
      <c r="Z1770" s="172">
        <f>IF(OR(Y1770="",'01_설정'!B31="",'01_설정'!B31&lt;=0,'01_설정'!B32="",'01_설정'!B32&lt;=0),"",MAX(0,(1-Y1770/'01_설정'!B32))*'01_설정'!B31)</f>
        <v/>
      </c>
    </row>
    <row r="1771" ht="17.25" customHeight="1">
      <c r="A1771" s="152">
        <f>IF(INDEX('04A_국토부원자료'!$A:$A,ROW()+1)="","",ROW()-3)</f>
        <v/>
      </c>
      <c r="B1771" s="48">
        <f>IFERROR(INDEX('04A_국토부원자료'!$A:$T,ROW()+1,MATCH("시군구",'04A_국토부원자료'!$A$4:$T$4,0)),"")</f>
        <v/>
      </c>
      <c r="C1771" s="48">
        <f>IF(B1771="","",IFERROR(INDEX('04A_국토부원자료'!$A:$T,ROW()+1,MATCH("번지",'04A_국토부원자료'!$A$4:$T$4,0)),""))</f>
        <v/>
      </c>
      <c r="D1771" s="48">
        <f>IF(B1771="","",IF(Q1771=1,'02_대상물건입력'!$B$8,IFERROR(INDEX('04A_국토부원자료'!$A:$T,ROW()+1,MATCH("단지명",'04A_국토부원자료'!$A$4:$T$4,0)),"")))</f>
        <v/>
      </c>
      <c r="E1771" s="172">
        <f>IFERROR(VALUE(SUBSTITUTE(INDEX('04A_국토부원자료'!$A:$T,ROW()+1,MATCH("전용면적(㎡)",'04A_국토부원자료'!$A$4:$T$4,0)),",","")),"")</f>
        <v/>
      </c>
      <c r="F17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71" s="51">
        <f>IFERROR(VALUE(SUBSTITUTE(INDEX('04A_국토부원자료'!$A:$T,ROW()+1,MATCH("거래금액(만원)",'04A_국토부원자료'!$A$4:$T$4,0)),",","")),"")</f>
        <v/>
      </c>
      <c r="H1771" s="174">
        <f>IF(G1771="","",G1771*10000)</f>
        <v/>
      </c>
      <c r="I1771" s="174">
        <f>IFERROR(IF(AND(H1771&gt;0,E1771&gt;0),H1771/E1771,""),"")</f>
        <v/>
      </c>
      <c r="J1771" s="152">
        <f>IFERROR(VALUE(SUBSTITUTE(INDEX('04A_국토부원자료'!$A:$T,ROW()+1,MATCH("층",'04A_국토부원자료'!$A$4:$T$4,0)),",","")),"")</f>
        <v/>
      </c>
      <c r="K1771" s="152">
        <f>IFERROR(VALUE(SUBSTITUTE(INDEX('04A_국토부원자료'!$A:$T,ROW()+1,MATCH("건축년도",'04A_국토부원자료'!$A$4:$T$4,0)),",","")),"")</f>
        <v/>
      </c>
      <c r="L1771" s="176">
        <f>IFERROR(INDEX('04A_국토부원자료'!$A:$T,ROW()+1,MATCH("도로명",'04A_국토부원자료'!$A$4:$T$4,0)),"")</f>
        <v/>
      </c>
      <c r="M1771" s="48">
        <f>IFERROR(INDEX('04A_국토부원자료'!$A:$T,ROW()+1,MATCH("거래유형",'04A_국토부원자료'!$A$4:$T$4,0)),"")</f>
        <v/>
      </c>
      <c r="N1771" s="152">
        <f>IF(B1771="","",IF('02_대상물건입력'!B5="",1,IF(ISNUMBER(SEARCH('02_대상물건입력'!B5,B1771)),1,0)))</f>
        <v/>
      </c>
      <c r="O1771" s="152">
        <f>IF(B1771="","",IF('02_대상물건입력'!B6="",1,IF(ISNUMBER(SEARCH('02_대상물건입력'!B6,B1771)),1,0)))</f>
        <v/>
      </c>
      <c r="P1771" s="152">
        <f>IF(L1771="","",IF('02_대상물건입력'!B15="",0,IF(ISNUMBER(SEARCH('02_대상물건입력'!B15,L1771)),1,0)))</f>
        <v/>
      </c>
      <c r="Q1771" s="152">
        <f>IF(OR(C1771="",L1771=""),0,IF(AND(TRIM(C1771)=TRIM(RIGHT(SUBSTITUTE(TRIM('02_대상물건입력'!$B$7)," ",REPT(" ",99)),99)),IF('02_대상물건입력'!B15="",TRUE(),ISNUMBER(SEARCH('02_대상물건입력'!B15,L1771)))),1,0))</f>
        <v/>
      </c>
      <c r="R1771" s="175">
        <f>IFERROR(ABS(E1771-'02_대상물건입력'!B11)/'02_대상물건입력'!B11,"")</f>
        <v/>
      </c>
      <c r="S1771" s="152">
        <f>IFERROR(ABS(J1771-'02_대상물건입력'!B10),"")</f>
        <v/>
      </c>
      <c r="T1771" s="152">
        <f>IFERROR(ABS('01_설정'!B4-F1771),"")</f>
        <v/>
      </c>
      <c r="U1771" s="152">
        <f>IFERROR(ABS(K1771-YEAR('02_대상물건입력'!B14)),"")</f>
        <v/>
      </c>
      <c r="V1771" s="152">
        <f>IF(B1771="","",IF(AND(E1771&gt;0,F1771&gt;0,H1771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1771=1,TRUE()),R1771&lt;='01_설정'!B5,S1771&lt;='01_설정'!B6,T1771&lt;='01_설정'!B7,U1771&lt;='01_설정'!B8),"Y",""))</f>
        <v/>
      </c>
      <c r="W1771" s="172">
        <f>IF(V1771&lt;&gt;"Y","",MAX(0,(1-R1771/'01_설정'!B5))*'01_설정'!B14+MAX(0,(1-S1771/'01_설정'!B6))*'01_설정'!B15+MAX(0,(1-T1771/'01_설정'!B7))*'01_설정'!B16+MAX(0,(1-U1771/'01_설정'!B8))*'01_설정'!B17+O1771*'01_설정'!B11+Q1771*'01_설정'!B12+P1771*'01_설정'!B13+IF(Z1771="",0,Z1771))</f>
        <v/>
      </c>
      <c r="X1771" s="152">
        <f>IF(W1771="","",1+COUNTIFS($W$4:$W$3003,"&gt;"&amp;W1771)+COUNTIFS($W$4:W1771,W1771)-1)</f>
        <v/>
      </c>
      <c r="Y1771" s="175">
        <f>IF(OR(I1771="",'02_대상물건입력'!B19="",'02_대상물건입력'!B19&lt;=0),"",ABS(I1771-'02_대상물건입력'!B19)/'02_대상물건입력'!B19)</f>
        <v/>
      </c>
      <c r="Z1771" s="172">
        <f>IF(OR(Y1771="",'01_설정'!B31="",'01_설정'!B31&lt;=0,'01_설정'!B32="",'01_설정'!B32&lt;=0),"",MAX(0,(1-Y1771/'01_설정'!B32))*'01_설정'!B31)</f>
        <v/>
      </c>
    </row>
    <row r="1772" ht="17.25" customHeight="1">
      <c r="A1772" s="152">
        <f>IF(INDEX('04A_국토부원자료'!$A:$A,ROW()+1)="","",ROW()-3)</f>
        <v/>
      </c>
      <c r="B1772" s="48">
        <f>IFERROR(INDEX('04A_국토부원자료'!$A:$T,ROW()+1,MATCH("시군구",'04A_국토부원자료'!$A$4:$T$4,0)),"")</f>
        <v/>
      </c>
      <c r="C1772" s="48">
        <f>IF(B1772="","",IFERROR(INDEX('04A_국토부원자료'!$A:$T,ROW()+1,MATCH("번지",'04A_국토부원자료'!$A$4:$T$4,0)),""))</f>
        <v/>
      </c>
      <c r="D1772" s="48">
        <f>IF(B1772="","",IF(Q1772=1,'02_대상물건입력'!$B$8,IFERROR(INDEX('04A_국토부원자료'!$A:$T,ROW()+1,MATCH("단지명",'04A_국토부원자료'!$A$4:$T$4,0)),"")))</f>
        <v/>
      </c>
      <c r="E1772" s="172">
        <f>IFERROR(VALUE(SUBSTITUTE(INDEX('04A_국토부원자료'!$A:$T,ROW()+1,MATCH("전용면적(㎡)",'04A_국토부원자료'!$A$4:$T$4,0)),",","")),"")</f>
        <v/>
      </c>
      <c r="F17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72" s="51">
        <f>IFERROR(VALUE(SUBSTITUTE(INDEX('04A_국토부원자료'!$A:$T,ROW()+1,MATCH("거래금액(만원)",'04A_국토부원자료'!$A$4:$T$4,0)),",","")),"")</f>
        <v/>
      </c>
      <c r="H1772" s="174">
        <f>IF(G1772="","",G1772*10000)</f>
        <v/>
      </c>
      <c r="I1772" s="174">
        <f>IFERROR(IF(AND(H1772&gt;0,E1772&gt;0),H1772/E1772,""),"")</f>
        <v/>
      </c>
      <c r="J1772" s="152">
        <f>IFERROR(VALUE(SUBSTITUTE(INDEX('04A_국토부원자료'!$A:$T,ROW()+1,MATCH("층",'04A_국토부원자료'!$A$4:$T$4,0)),",","")),"")</f>
        <v/>
      </c>
      <c r="K1772" s="152">
        <f>IFERROR(VALUE(SUBSTITUTE(INDEX('04A_국토부원자료'!$A:$T,ROW()+1,MATCH("건축년도",'04A_국토부원자료'!$A$4:$T$4,0)),",","")),"")</f>
        <v/>
      </c>
      <c r="L1772" s="176">
        <f>IFERROR(INDEX('04A_국토부원자료'!$A:$T,ROW()+1,MATCH("도로명",'04A_국토부원자료'!$A$4:$T$4,0)),"")</f>
        <v/>
      </c>
      <c r="M1772" s="48">
        <f>IFERROR(INDEX('04A_국토부원자료'!$A:$T,ROW()+1,MATCH("거래유형",'04A_국토부원자료'!$A$4:$T$4,0)),"")</f>
        <v/>
      </c>
      <c r="N1772" s="152">
        <f>IF(B1772="","",IF('02_대상물건입력'!B5="",1,IF(ISNUMBER(SEARCH('02_대상물건입력'!B5,B1772)),1,0)))</f>
        <v/>
      </c>
      <c r="O1772" s="152">
        <f>IF(B1772="","",IF('02_대상물건입력'!B6="",1,IF(ISNUMBER(SEARCH('02_대상물건입력'!B6,B1772)),1,0)))</f>
        <v/>
      </c>
      <c r="P1772" s="152">
        <f>IF(L1772="","",IF('02_대상물건입력'!B15="",0,IF(ISNUMBER(SEARCH('02_대상물건입력'!B15,L1772)),1,0)))</f>
        <v/>
      </c>
      <c r="Q1772" s="152">
        <f>IF(OR(C1772="",L1772=""),0,IF(AND(TRIM(C1772)=TRIM(RIGHT(SUBSTITUTE(TRIM('02_대상물건입력'!$B$7)," ",REPT(" ",99)),99)),IF('02_대상물건입력'!B15="",TRUE(),ISNUMBER(SEARCH('02_대상물건입력'!B15,L1772)))),1,0))</f>
        <v/>
      </c>
      <c r="R1772" s="175">
        <f>IFERROR(ABS(E1772-'02_대상물건입력'!B11)/'02_대상물건입력'!B11,"")</f>
        <v/>
      </c>
      <c r="S1772" s="152">
        <f>IFERROR(ABS(J1772-'02_대상물건입력'!B10),"")</f>
        <v/>
      </c>
      <c r="T1772" s="152">
        <f>IFERROR(ABS('01_설정'!B4-F1772),"")</f>
        <v/>
      </c>
      <c r="U1772" s="152">
        <f>IFERROR(ABS(K1772-YEAR('02_대상물건입력'!B14)),"")</f>
        <v/>
      </c>
      <c r="V1772" s="152">
        <f>IF(B1772="","",IF(AND(E1772&gt;0,F1772&gt;0,H1772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1772=1,TRUE()),R1772&lt;='01_설정'!B5,S1772&lt;='01_설정'!B6,T1772&lt;='01_설정'!B7,U1772&lt;='01_설정'!B8),"Y",""))</f>
        <v/>
      </c>
      <c r="W1772" s="172">
        <f>IF(V1772&lt;&gt;"Y","",MAX(0,(1-R1772/'01_설정'!B5))*'01_설정'!B14+MAX(0,(1-S1772/'01_설정'!B6))*'01_설정'!B15+MAX(0,(1-T1772/'01_설정'!B7))*'01_설정'!B16+MAX(0,(1-U1772/'01_설정'!B8))*'01_설정'!B17+O1772*'01_설정'!B11+Q1772*'01_설정'!B12+P1772*'01_설정'!B13+IF(Z1772="",0,Z1772))</f>
        <v/>
      </c>
      <c r="X1772" s="152">
        <f>IF(W1772="","",1+COUNTIFS($W$4:$W$3003,"&gt;"&amp;W1772)+COUNTIFS($W$4:W1772,W1772)-1)</f>
        <v/>
      </c>
      <c r="Y1772" s="175">
        <f>IF(OR(I1772="",'02_대상물건입력'!B19="",'02_대상물건입력'!B19&lt;=0),"",ABS(I1772-'02_대상물건입력'!B19)/'02_대상물건입력'!B19)</f>
        <v/>
      </c>
      <c r="Z1772" s="172">
        <f>IF(OR(Y1772="",'01_설정'!B31="",'01_설정'!B31&lt;=0,'01_설정'!B32="",'01_설정'!B32&lt;=0),"",MAX(0,(1-Y1772/'01_설정'!B32))*'01_설정'!B31)</f>
        <v/>
      </c>
    </row>
    <row r="1773" ht="17.25" customHeight="1">
      <c r="A1773" s="152">
        <f>IF(INDEX('04A_국토부원자료'!$A:$A,ROW()+1)="","",ROW()-3)</f>
        <v/>
      </c>
      <c r="B1773" s="48">
        <f>IFERROR(INDEX('04A_국토부원자료'!$A:$T,ROW()+1,MATCH("시군구",'04A_국토부원자료'!$A$4:$T$4,0)),"")</f>
        <v/>
      </c>
      <c r="C1773" s="48">
        <f>IF(B1773="","",IFERROR(INDEX('04A_국토부원자료'!$A:$T,ROW()+1,MATCH("번지",'04A_국토부원자료'!$A$4:$T$4,0)),""))</f>
        <v/>
      </c>
      <c r="D1773" s="48">
        <f>IF(B1773="","",IF(Q1773=1,'02_대상물건입력'!$B$8,IFERROR(INDEX('04A_국토부원자료'!$A:$T,ROW()+1,MATCH("단지명",'04A_국토부원자료'!$A$4:$T$4,0)),"")))</f>
        <v/>
      </c>
      <c r="E1773" s="172">
        <f>IFERROR(VALUE(SUBSTITUTE(INDEX('04A_국토부원자료'!$A:$T,ROW()+1,MATCH("전용면적(㎡)",'04A_국토부원자료'!$A$4:$T$4,0)),",","")),"")</f>
        <v/>
      </c>
      <c r="F17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73" s="51">
        <f>IFERROR(VALUE(SUBSTITUTE(INDEX('04A_국토부원자료'!$A:$T,ROW()+1,MATCH("거래금액(만원)",'04A_국토부원자료'!$A$4:$T$4,0)),",","")),"")</f>
        <v/>
      </c>
      <c r="H1773" s="174">
        <f>IF(G1773="","",G1773*10000)</f>
        <v/>
      </c>
      <c r="I1773" s="174">
        <f>IFERROR(IF(AND(H1773&gt;0,E1773&gt;0),H1773/E1773,""),"")</f>
        <v/>
      </c>
      <c r="J1773" s="152">
        <f>IFERROR(VALUE(SUBSTITUTE(INDEX('04A_국토부원자료'!$A:$T,ROW()+1,MATCH("층",'04A_국토부원자료'!$A$4:$T$4,0)),",","")),"")</f>
        <v/>
      </c>
      <c r="K1773" s="152">
        <f>IFERROR(VALUE(SUBSTITUTE(INDEX('04A_국토부원자료'!$A:$T,ROW()+1,MATCH("건축년도",'04A_국토부원자료'!$A$4:$T$4,0)),",","")),"")</f>
        <v/>
      </c>
      <c r="L1773" s="176">
        <f>IFERROR(INDEX('04A_국토부원자료'!$A:$T,ROW()+1,MATCH("도로명",'04A_국토부원자료'!$A$4:$T$4,0)),"")</f>
        <v/>
      </c>
      <c r="M1773" s="48">
        <f>IFERROR(INDEX('04A_국토부원자료'!$A:$T,ROW()+1,MATCH("거래유형",'04A_국토부원자료'!$A$4:$T$4,0)),"")</f>
        <v/>
      </c>
      <c r="N1773" s="152">
        <f>IF(B1773="","",IF('02_대상물건입력'!B5="",1,IF(ISNUMBER(SEARCH('02_대상물건입력'!B5,B1773)),1,0)))</f>
        <v/>
      </c>
      <c r="O1773" s="152">
        <f>IF(B1773="","",IF('02_대상물건입력'!B6="",1,IF(ISNUMBER(SEARCH('02_대상물건입력'!B6,B1773)),1,0)))</f>
        <v/>
      </c>
      <c r="P1773" s="152">
        <f>IF(L1773="","",IF('02_대상물건입력'!B15="",0,IF(ISNUMBER(SEARCH('02_대상물건입력'!B15,L1773)),1,0)))</f>
        <v/>
      </c>
      <c r="Q1773" s="152">
        <f>IF(OR(C1773="",L1773=""),0,IF(AND(TRIM(C1773)=TRIM(RIGHT(SUBSTITUTE(TRIM('02_대상물건입력'!$B$7)," ",REPT(" ",99)),99)),IF('02_대상물건입력'!B15="",TRUE(),ISNUMBER(SEARCH('02_대상물건입력'!B15,L1773)))),1,0))</f>
        <v/>
      </c>
      <c r="R1773" s="175">
        <f>IFERROR(ABS(E1773-'02_대상물건입력'!B11)/'02_대상물건입력'!B11,"")</f>
        <v/>
      </c>
      <c r="S1773" s="152">
        <f>IFERROR(ABS(J1773-'02_대상물건입력'!B10),"")</f>
        <v/>
      </c>
      <c r="T1773" s="152">
        <f>IFERROR(ABS('01_설정'!B4-F1773),"")</f>
        <v/>
      </c>
      <c r="U1773" s="152">
        <f>IFERROR(ABS(K1773-YEAR('02_대상물건입력'!B14)),"")</f>
        <v/>
      </c>
      <c r="V1773" s="152">
        <f>IF(B1773="","",IF(AND(E1773&gt;0,F1773&gt;0,H1773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1773=1,TRUE()),R1773&lt;='01_설정'!B5,S1773&lt;='01_설정'!B6,T1773&lt;='01_설정'!B7,U1773&lt;='01_설정'!B8),"Y",""))</f>
        <v/>
      </c>
      <c r="W1773" s="172">
        <f>IF(V1773&lt;&gt;"Y","",MAX(0,(1-R1773/'01_설정'!B5))*'01_설정'!B14+MAX(0,(1-S1773/'01_설정'!B6))*'01_설정'!B15+MAX(0,(1-T1773/'01_설정'!B7))*'01_설정'!B16+MAX(0,(1-U1773/'01_설정'!B8))*'01_설정'!B17+O1773*'01_설정'!B11+Q1773*'01_설정'!B12+P1773*'01_설정'!B13+IF(Z1773="",0,Z1773))</f>
        <v/>
      </c>
      <c r="X1773" s="152">
        <f>IF(W1773="","",1+COUNTIFS($W$4:$W$3003,"&gt;"&amp;W1773)+COUNTIFS($W$4:W1773,W1773)-1)</f>
        <v/>
      </c>
      <c r="Y1773" s="175">
        <f>IF(OR(I1773="",'02_대상물건입력'!B19="",'02_대상물건입력'!B19&lt;=0),"",ABS(I1773-'02_대상물건입력'!B19)/'02_대상물건입력'!B19)</f>
        <v/>
      </c>
      <c r="Z1773" s="172">
        <f>IF(OR(Y1773="",'01_설정'!B31="",'01_설정'!B31&lt;=0,'01_설정'!B32="",'01_설정'!B32&lt;=0),"",MAX(0,(1-Y1773/'01_설정'!B32))*'01_설정'!B31)</f>
        <v/>
      </c>
    </row>
    <row r="1774" ht="17.25" customHeight="1">
      <c r="A1774" s="152">
        <f>IF(INDEX('04A_국토부원자료'!$A:$A,ROW()+1)="","",ROW()-3)</f>
        <v/>
      </c>
      <c r="B1774" s="48">
        <f>IFERROR(INDEX('04A_국토부원자료'!$A:$T,ROW()+1,MATCH("시군구",'04A_국토부원자료'!$A$4:$T$4,0)),"")</f>
        <v/>
      </c>
      <c r="C1774" s="48">
        <f>IF(B1774="","",IFERROR(INDEX('04A_국토부원자료'!$A:$T,ROW()+1,MATCH("번지",'04A_국토부원자료'!$A$4:$T$4,0)),""))</f>
        <v/>
      </c>
      <c r="D1774" s="48">
        <f>IF(B1774="","",IF(Q1774=1,'02_대상물건입력'!$B$8,IFERROR(INDEX('04A_국토부원자료'!$A:$T,ROW()+1,MATCH("단지명",'04A_국토부원자료'!$A$4:$T$4,0)),"")))</f>
        <v/>
      </c>
      <c r="E1774" s="172">
        <f>IFERROR(VALUE(SUBSTITUTE(INDEX('04A_국토부원자료'!$A:$T,ROW()+1,MATCH("전용면적(㎡)",'04A_국토부원자료'!$A$4:$T$4,0)),",","")),"")</f>
        <v/>
      </c>
      <c r="F17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74" s="51">
        <f>IFERROR(VALUE(SUBSTITUTE(INDEX('04A_국토부원자료'!$A:$T,ROW()+1,MATCH("거래금액(만원)",'04A_국토부원자료'!$A$4:$T$4,0)),",","")),"")</f>
        <v/>
      </c>
      <c r="H1774" s="174">
        <f>IF(G1774="","",G1774*10000)</f>
        <v/>
      </c>
      <c r="I1774" s="174">
        <f>IFERROR(IF(AND(H1774&gt;0,E1774&gt;0),H1774/E1774,""),"")</f>
        <v/>
      </c>
      <c r="J1774" s="152">
        <f>IFERROR(VALUE(SUBSTITUTE(INDEX('04A_국토부원자료'!$A:$T,ROW()+1,MATCH("층",'04A_국토부원자료'!$A$4:$T$4,0)),",","")),"")</f>
        <v/>
      </c>
      <c r="K1774" s="152">
        <f>IFERROR(VALUE(SUBSTITUTE(INDEX('04A_국토부원자료'!$A:$T,ROW()+1,MATCH("건축년도",'04A_국토부원자료'!$A$4:$T$4,0)),",","")),"")</f>
        <v/>
      </c>
      <c r="L1774" s="176">
        <f>IFERROR(INDEX('04A_국토부원자료'!$A:$T,ROW()+1,MATCH("도로명",'04A_국토부원자료'!$A$4:$T$4,0)),"")</f>
        <v/>
      </c>
      <c r="M1774" s="48">
        <f>IFERROR(INDEX('04A_국토부원자료'!$A:$T,ROW()+1,MATCH("거래유형",'04A_국토부원자료'!$A$4:$T$4,0)),"")</f>
        <v/>
      </c>
      <c r="N1774" s="152">
        <f>IF(B1774="","",IF('02_대상물건입력'!B5="",1,IF(ISNUMBER(SEARCH('02_대상물건입력'!B5,B1774)),1,0)))</f>
        <v/>
      </c>
      <c r="O1774" s="152">
        <f>IF(B1774="","",IF('02_대상물건입력'!B6="",1,IF(ISNUMBER(SEARCH('02_대상물건입력'!B6,B1774)),1,0)))</f>
        <v/>
      </c>
      <c r="P1774" s="152">
        <f>IF(L1774="","",IF('02_대상물건입력'!B15="",0,IF(ISNUMBER(SEARCH('02_대상물건입력'!B15,L1774)),1,0)))</f>
        <v/>
      </c>
      <c r="Q1774" s="152">
        <f>IF(OR(C1774="",L1774=""),0,IF(AND(TRIM(C1774)=TRIM(RIGHT(SUBSTITUTE(TRIM('02_대상물건입력'!$B$7)," ",REPT(" ",99)),99)),IF('02_대상물건입력'!B15="",TRUE(),ISNUMBER(SEARCH('02_대상물건입력'!B15,L1774)))),1,0))</f>
        <v/>
      </c>
      <c r="R1774" s="175">
        <f>IFERROR(ABS(E1774-'02_대상물건입력'!B11)/'02_대상물건입력'!B11,"")</f>
        <v/>
      </c>
      <c r="S1774" s="152">
        <f>IFERROR(ABS(J1774-'02_대상물건입력'!B10),"")</f>
        <v/>
      </c>
      <c r="T1774" s="152">
        <f>IFERROR(ABS('01_설정'!B4-F1774),"")</f>
        <v/>
      </c>
      <c r="U1774" s="152">
        <f>IFERROR(ABS(K1774-YEAR('02_대상물건입력'!B14)),"")</f>
        <v/>
      </c>
      <c r="V1774" s="152">
        <f>IF(B1774="","",IF(AND(E1774&gt;0,F1774&gt;0,H1774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1774=1,TRUE()),R1774&lt;='01_설정'!B5,S1774&lt;='01_설정'!B6,T1774&lt;='01_설정'!B7,U1774&lt;='01_설정'!B8),"Y",""))</f>
        <v/>
      </c>
      <c r="W1774" s="172">
        <f>IF(V1774&lt;&gt;"Y","",MAX(0,(1-R1774/'01_설정'!B5))*'01_설정'!B14+MAX(0,(1-S1774/'01_설정'!B6))*'01_설정'!B15+MAX(0,(1-T1774/'01_설정'!B7))*'01_설정'!B16+MAX(0,(1-U1774/'01_설정'!B8))*'01_설정'!B17+O1774*'01_설정'!B11+Q1774*'01_설정'!B12+P1774*'01_설정'!B13+IF(Z1774="",0,Z1774))</f>
        <v/>
      </c>
      <c r="X1774" s="152">
        <f>IF(W1774="","",1+COUNTIFS($W$4:$W$3003,"&gt;"&amp;W1774)+COUNTIFS($W$4:W1774,W1774)-1)</f>
        <v/>
      </c>
      <c r="Y1774" s="175">
        <f>IF(OR(I1774="",'02_대상물건입력'!B19="",'02_대상물건입력'!B19&lt;=0),"",ABS(I1774-'02_대상물건입력'!B19)/'02_대상물건입력'!B19)</f>
        <v/>
      </c>
      <c r="Z1774" s="172">
        <f>IF(OR(Y1774="",'01_설정'!B31="",'01_설정'!B31&lt;=0,'01_설정'!B32="",'01_설정'!B32&lt;=0),"",MAX(0,(1-Y1774/'01_설정'!B32))*'01_설정'!B31)</f>
        <v/>
      </c>
    </row>
    <row r="1775" ht="17.25" customHeight="1">
      <c r="A1775" s="152">
        <f>IF(INDEX('04A_국토부원자료'!$A:$A,ROW()+1)="","",ROW()-3)</f>
        <v/>
      </c>
      <c r="B1775" s="48">
        <f>IFERROR(INDEX('04A_국토부원자료'!$A:$T,ROW()+1,MATCH("시군구",'04A_국토부원자료'!$A$4:$T$4,0)),"")</f>
        <v/>
      </c>
      <c r="C1775" s="48">
        <f>IF(B1775="","",IFERROR(INDEX('04A_국토부원자료'!$A:$T,ROW()+1,MATCH("번지",'04A_국토부원자료'!$A$4:$T$4,0)),""))</f>
        <v/>
      </c>
      <c r="D1775" s="48">
        <f>IF(B1775="","",IF(Q1775=1,'02_대상물건입력'!$B$8,IFERROR(INDEX('04A_국토부원자료'!$A:$T,ROW()+1,MATCH("단지명",'04A_국토부원자료'!$A$4:$T$4,0)),"")))</f>
        <v/>
      </c>
      <c r="E1775" s="172">
        <f>IFERROR(VALUE(SUBSTITUTE(INDEX('04A_국토부원자료'!$A:$T,ROW()+1,MATCH("전용면적(㎡)",'04A_국토부원자료'!$A$4:$T$4,0)),",","")),"")</f>
        <v/>
      </c>
      <c r="F17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75" s="51">
        <f>IFERROR(VALUE(SUBSTITUTE(INDEX('04A_국토부원자료'!$A:$T,ROW()+1,MATCH("거래금액(만원)",'04A_국토부원자료'!$A$4:$T$4,0)),",","")),"")</f>
        <v/>
      </c>
      <c r="H1775" s="174">
        <f>IF(G1775="","",G1775*10000)</f>
        <v/>
      </c>
      <c r="I1775" s="174">
        <f>IFERROR(IF(AND(H1775&gt;0,E1775&gt;0),H1775/E1775,""),"")</f>
        <v/>
      </c>
      <c r="J1775" s="152">
        <f>IFERROR(VALUE(SUBSTITUTE(INDEX('04A_국토부원자료'!$A:$T,ROW()+1,MATCH("층",'04A_국토부원자료'!$A$4:$T$4,0)),",","")),"")</f>
        <v/>
      </c>
      <c r="K1775" s="152">
        <f>IFERROR(VALUE(SUBSTITUTE(INDEX('04A_국토부원자료'!$A:$T,ROW()+1,MATCH("건축년도",'04A_국토부원자료'!$A$4:$T$4,0)),",","")),"")</f>
        <v/>
      </c>
      <c r="L1775" s="176">
        <f>IFERROR(INDEX('04A_국토부원자료'!$A:$T,ROW()+1,MATCH("도로명",'04A_국토부원자료'!$A$4:$T$4,0)),"")</f>
        <v/>
      </c>
      <c r="M1775" s="48">
        <f>IFERROR(INDEX('04A_국토부원자료'!$A:$T,ROW()+1,MATCH("거래유형",'04A_국토부원자료'!$A$4:$T$4,0)),"")</f>
        <v/>
      </c>
      <c r="N1775" s="152">
        <f>IF(B1775="","",IF('02_대상물건입력'!B5="",1,IF(ISNUMBER(SEARCH('02_대상물건입력'!B5,B1775)),1,0)))</f>
        <v/>
      </c>
      <c r="O1775" s="152">
        <f>IF(B1775="","",IF('02_대상물건입력'!B6="",1,IF(ISNUMBER(SEARCH('02_대상물건입력'!B6,B1775)),1,0)))</f>
        <v/>
      </c>
      <c r="P1775" s="152">
        <f>IF(L1775="","",IF('02_대상물건입력'!B15="",0,IF(ISNUMBER(SEARCH('02_대상물건입력'!B15,L1775)),1,0)))</f>
        <v/>
      </c>
      <c r="Q1775" s="152">
        <f>IF(OR(C1775="",L1775=""),0,IF(AND(TRIM(C1775)=TRIM(RIGHT(SUBSTITUTE(TRIM('02_대상물건입력'!$B$7)," ",REPT(" ",99)),99)),IF('02_대상물건입력'!B15="",TRUE(),ISNUMBER(SEARCH('02_대상물건입력'!B15,L1775)))),1,0))</f>
        <v/>
      </c>
      <c r="R1775" s="175">
        <f>IFERROR(ABS(E1775-'02_대상물건입력'!B11)/'02_대상물건입력'!B11,"")</f>
        <v/>
      </c>
      <c r="S1775" s="152">
        <f>IFERROR(ABS(J1775-'02_대상물건입력'!B10),"")</f>
        <v/>
      </c>
      <c r="T1775" s="152">
        <f>IFERROR(ABS('01_설정'!B4-F1775),"")</f>
        <v/>
      </c>
      <c r="U1775" s="152">
        <f>IFERROR(ABS(K1775-YEAR('02_대상물건입력'!B14)),"")</f>
        <v/>
      </c>
      <c r="V1775" s="152">
        <f>IF(B1775="","",IF(AND(E1775&gt;0,F1775&gt;0,H1775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1775=1,TRUE()),R1775&lt;='01_설정'!B5,S1775&lt;='01_설정'!B6,T1775&lt;='01_설정'!B7,U1775&lt;='01_설정'!B8),"Y",""))</f>
        <v/>
      </c>
      <c r="W1775" s="172">
        <f>IF(V1775&lt;&gt;"Y","",MAX(0,(1-R1775/'01_설정'!B5))*'01_설정'!B14+MAX(0,(1-S1775/'01_설정'!B6))*'01_설정'!B15+MAX(0,(1-T1775/'01_설정'!B7))*'01_설정'!B16+MAX(0,(1-U1775/'01_설정'!B8))*'01_설정'!B17+O1775*'01_설정'!B11+Q1775*'01_설정'!B12+P1775*'01_설정'!B13+IF(Z1775="",0,Z1775))</f>
        <v/>
      </c>
      <c r="X1775" s="152">
        <f>IF(W1775="","",1+COUNTIFS($W$4:$W$3003,"&gt;"&amp;W1775)+COUNTIFS($W$4:W1775,W1775)-1)</f>
        <v/>
      </c>
      <c r="Y1775" s="175">
        <f>IF(OR(I1775="",'02_대상물건입력'!B19="",'02_대상물건입력'!B19&lt;=0),"",ABS(I1775-'02_대상물건입력'!B19)/'02_대상물건입력'!B19)</f>
        <v/>
      </c>
      <c r="Z1775" s="172">
        <f>IF(OR(Y1775="",'01_설정'!B31="",'01_설정'!B31&lt;=0,'01_설정'!B32="",'01_설정'!B32&lt;=0),"",MAX(0,(1-Y1775/'01_설정'!B32))*'01_설정'!B31)</f>
        <v/>
      </c>
    </row>
    <row r="1776" ht="17.25" customHeight="1">
      <c r="A1776" s="152">
        <f>IF(INDEX('04A_국토부원자료'!$A:$A,ROW()+1)="","",ROW()-3)</f>
        <v/>
      </c>
      <c r="B1776" s="48">
        <f>IFERROR(INDEX('04A_국토부원자료'!$A:$T,ROW()+1,MATCH("시군구",'04A_국토부원자료'!$A$4:$T$4,0)),"")</f>
        <v/>
      </c>
      <c r="C1776" s="48">
        <f>IF(B1776="","",IFERROR(INDEX('04A_국토부원자료'!$A:$T,ROW()+1,MATCH("번지",'04A_국토부원자료'!$A$4:$T$4,0)),""))</f>
        <v/>
      </c>
      <c r="D1776" s="48">
        <f>IF(B1776="","",IF(Q1776=1,'02_대상물건입력'!$B$8,IFERROR(INDEX('04A_국토부원자료'!$A:$T,ROW()+1,MATCH("단지명",'04A_국토부원자료'!$A$4:$T$4,0)),"")))</f>
        <v/>
      </c>
      <c r="E1776" s="172">
        <f>IFERROR(VALUE(SUBSTITUTE(INDEX('04A_국토부원자료'!$A:$T,ROW()+1,MATCH("전용면적(㎡)",'04A_국토부원자료'!$A$4:$T$4,0)),",","")),"")</f>
        <v/>
      </c>
      <c r="F17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76" s="51">
        <f>IFERROR(VALUE(SUBSTITUTE(INDEX('04A_국토부원자료'!$A:$T,ROW()+1,MATCH("거래금액(만원)",'04A_국토부원자료'!$A$4:$T$4,0)),",","")),"")</f>
        <v/>
      </c>
      <c r="H1776" s="174">
        <f>IF(G1776="","",G1776*10000)</f>
        <v/>
      </c>
      <c r="I1776" s="174">
        <f>IFERROR(IF(AND(H1776&gt;0,E1776&gt;0),H1776/E1776,""),"")</f>
        <v/>
      </c>
      <c r="J1776" s="152">
        <f>IFERROR(VALUE(SUBSTITUTE(INDEX('04A_국토부원자료'!$A:$T,ROW()+1,MATCH("층",'04A_국토부원자료'!$A$4:$T$4,0)),",","")),"")</f>
        <v/>
      </c>
      <c r="K1776" s="152">
        <f>IFERROR(VALUE(SUBSTITUTE(INDEX('04A_국토부원자료'!$A:$T,ROW()+1,MATCH("건축년도",'04A_국토부원자료'!$A$4:$T$4,0)),",","")),"")</f>
        <v/>
      </c>
      <c r="L1776" s="176">
        <f>IFERROR(INDEX('04A_국토부원자료'!$A:$T,ROW()+1,MATCH("도로명",'04A_국토부원자료'!$A$4:$T$4,0)),"")</f>
        <v/>
      </c>
      <c r="M1776" s="48">
        <f>IFERROR(INDEX('04A_국토부원자료'!$A:$T,ROW()+1,MATCH("거래유형",'04A_국토부원자료'!$A$4:$T$4,0)),"")</f>
        <v/>
      </c>
      <c r="N1776" s="152">
        <f>IF(B1776="","",IF('02_대상물건입력'!B5="",1,IF(ISNUMBER(SEARCH('02_대상물건입력'!B5,B1776)),1,0)))</f>
        <v/>
      </c>
      <c r="O1776" s="152">
        <f>IF(B1776="","",IF('02_대상물건입력'!B6="",1,IF(ISNUMBER(SEARCH('02_대상물건입력'!B6,B1776)),1,0)))</f>
        <v/>
      </c>
      <c r="P1776" s="152">
        <f>IF(L1776="","",IF('02_대상물건입력'!B15="",0,IF(ISNUMBER(SEARCH('02_대상물건입력'!B15,L1776)),1,0)))</f>
        <v/>
      </c>
      <c r="Q1776" s="152">
        <f>IF(OR(C1776="",L1776=""),0,IF(AND(TRIM(C1776)=TRIM(RIGHT(SUBSTITUTE(TRIM('02_대상물건입력'!$B$7)," ",REPT(" ",99)),99)),IF('02_대상물건입력'!B15="",TRUE(),ISNUMBER(SEARCH('02_대상물건입력'!B15,L1776)))),1,0))</f>
        <v/>
      </c>
      <c r="R1776" s="175">
        <f>IFERROR(ABS(E1776-'02_대상물건입력'!B11)/'02_대상물건입력'!B11,"")</f>
        <v/>
      </c>
      <c r="S1776" s="152">
        <f>IFERROR(ABS(J1776-'02_대상물건입력'!B10),"")</f>
        <v/>
      </c>
      <c r="T1776" s="152">
        <f>IFERROR(ABS('01_설정'!B4-F1776),"")</f>
        <v/>
      </c>
      <c r="U1776" s="152">
        <f>IFERROR(ABS(K1776-YEAR('02_대상물건입력'!B14)),"")</f>
        <v/>
      </c>
      <c r="V1776" s="152">
        <f>IF(B1776="","",IF(AND(E1776&gt;0,F1776&gt;0,H1776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1776=1,TRUE()),R1776&lt;='01_설정'!B5,S1776&lt;='01_설정'!B6,T1776&lt;='01_설정'!B7,U1776&lt;='01_설정'!B8),"Y",""))</f>
        <v/>
      </c>
      <c r="W1776" s="172">
        <f>IF(V1776&lt;&gt;"Y","",MAX(0,(1-R1776/'01_설정'!B5))*'01_설정'!B14+MAX(0,(1-S1776/'01_설정'!B6))*'01_설정'!B15+MAX(0,(1-T1776/'01_설정'!B7))*'01_설정'!B16+MAX(0,(1-U1776/'01_설정'!B8))*'01_설정'!B17+O1776*'01_설정'!B11+Q1776*'01_설정'!B12+P1776*'01_설정'!B13+IF(Z1776="",0,Z1776))</f>
        <v/>
      </c>
      <c r="X1776" s="152">
        <f>IF(W1776="","",1+COUNTIFS($W$4:$W$3003,"&gt;"&amp;W1776)+COUNTIFS($W$4:W1776,W1776)-1)</f>
        <v/>
      </c>
      <c r="Y1776" s="175">
        <f>IF(OR(I1776="",'02_대상물건입력'!B19="",'02_대상물건입력'!B19&lt;=0),"",ABS(I1776-'02_대상물건입력'!B19)/'02_대상물건입력'!B19)</f>
        <v/>
      </c>
      <c r="Z1776" s="172">
        <f>IF(OR(Y1776="",'01_설정'!B31="",'01_설정'!B31&lt;=0,'01_설정'!B32="",'01_설정'!B32&lt;=0),"",MAX(0,(1-Y1776/'01_설정'!B32))*'01_설정'!B31)</f>
        <v/>
      </c>
    </row>
    <row r="1777" ht="17.25" customHeight="1">
      <c r="A1777" s="152">
        <f>IF(INDEX('04A_국토부원자료'!$A:$A,ROW()+1)="","",ROW()-3)</f>
        <v/>
      </c>
      <c r="B1777" s="48">
        <f>IFERROR(INDEX('04A_국토부원자료'!$A:$T,ROW()+1,MATCH("시군구",'04A_국토부원자료'!$A$4:$T$4,0)),"")</f>
        <v/>
      </c>
      <c r="C1777" s="48">
        <f>IF(B1777="","",IFERROR(INDEX('04A_국토부원자료'!$A:$T,ROW()+1,MATCH("번지",'04A_국토부원자료'!$A$4:$T$4,0)),""))</f>
        <v/>
      </c>
      <c r="D1777" s="48">
        <f>IF(B1777="","",IF(Q1777=1,'02_대상물건입력'!$B$8,IFERROR(INDEX('04A_국토부원자료'!$A:$T,ROW()+1,MATCH("단지명",'04A_국토부원자료'!$A$4:$T$4,0)),"")))</f>
        <v/>
      </c>
      <c r="E1777" s="172">
        <f>IFERROR(VALUE(SUBSTITUTE(INDEX('04A_국토부원자료'!$A:$T,ROW()+1,MATCH("전용면적(㎡)",'04A_국토부원자료'!$A$4:$T$4,0)),",","")),"")</f>
        <v/>
      </c>
      <c r="F17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77" s="51">
        <f>IFERROR(VALUE(SUBSTITUTE(INDEX('04A_국토부원자료'!$A:$T,ROW()+1,MATCH("거래금액(만원)",'04A_국토부원자료'!$A$4:$T$4,0)),",","")),"")</f>
        <v/>
      </c>
      <c r="H1777" s="174">
        <f>IF(G1777="","",G1777*10000)</f>
        <v/>
      </c>
      <c r="I1777" s="174">
        <f>IFERROR(IF(AND(H1777&gt;0,E1777&gt;0),H1777/E1777,""),"")</f>
        <v/>
      </c>
      <c r="J1777" s="152">
        <f>IFERROR(VALUE(SUBSTITUTE(INDEX('04A_국토부원자료'!$A:$T,ROW()+1,MATCH("층",'04A_국토부원자료'!$A$4:$T$4,0)),",","")),"")</f>
        <v/>
      </c>
      <c r="K1777" s="152">
        <f>IFERROR(VALUE(SUBSTITUTE(INDEX('04A_국토부원자료'!$A:$T,ROW()+1,MATCH("건축년도",'04A_국토부원자료'!$A$4:$T$4,0)),",","")),"")</f>
        <v/>
      </c>
      <c r="L1777" s="176">
        <f>IFERROR(INDEX('04A_국토부원자료'!$A:$T,ROW()+1,MATCH("도로명",'04A_국토부원자료'!$A$4:$T$4,0)),"")</f>
        <v/>
      </c>
      <c r="M1777" s="48">
        <f>IFERROR(INDEX('04A_국토부원자료'!$A:$T,ROW()+1,MATCH("거래유형",'04A_국토부원자료'!$A$4:$T$4,0)),"")</f>
        <v/>
      </c>
      <c r="N1777" s="152">
        <f>IF(B1777="","",IF('02_대상물건입력'!B5="",1,IF(ISNUMBER(SEARCH('02_대상물건입력'!B5,B1777)),1,0)))</f>
        <v/>
      </c>
      <c r="O1777" s="152">
        <f>IF(B1777="","",IF('02_대상물건입력'!B6="",1,IF(ISNUMBER(SEARCH('02_대상물건입력'!B6,B1777)),1,0)))</f>
        <v/>
      </c>
      <c r="P1777" s="152">
        <f>IF(L1777="","",IF('02_대상물건입력'!B15="",0,IF(ISNUMBER(SEARCH('02_대상물건입력'!B15,L1777)),1,0)))</f>
        <v/>
      </c>
      <c r="Q1777" s="152">
        <f>IF(OR(C1777="",L1777=""),0,IF(AND(TRIM(C1777)=TRIM(RIGHT(SUBSTITUTE(TRIM('02_대상물건입력'!$B$7)," ",REPT(" ",99)),99)),IF('02_대상물건입력'!B15="",TRUE(),ISNUMBER(SEARCH('02_대상물건입력'!B15,L1777)))),1,0))</f>
        <v/>
      </c>
      <c r="R1777" s="175">
        <f>IFERROR(ABS(E1777-'02_대상물건입력'!B11)/'02_대상물건입력'!B11,"")</f>
        <v/>
      </c>
      <c r="S1777" s="152">
        <f>IFERROR(ABS(J1777-'02_대상물건입력'!B10),"")</f>
        <v/>
      </c>
      <c r="T1777" s="152">
        <f>IFERROR(ABS('01_설정'!B4-F1777),"")</f>
        <v/>
      </c>
      <c r="U1777" s="152">
        <f>IFERROR(ABS(K1777-YEAR('02_대상물건입력'!B14)),"")</f>
        <v/>
      </c>
      <c r="V1777" s="152">
        <f>IF(B1777="","",IF(AND(E1777&gt;0,F1777&gt;0,H1777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1777=1,TRUE()),R1777&lt;='01_설정'!B5,S1777&lt;='01_설정'!B6,T1777&lt;='01_설정'!B7,U1777&lt;='01_설정'!B8),"Y",""))</f>
        <v/>
      </c>
      <c r="W1777" s="172">
        <f>IF(V1777&lt;&gt;"Y","",MAX(0,(1-R1777/'01_설정'!B5))*'01_설정'!B14+MAX(0,(1-S1777/'01_설정'!B6))*'01_설정'!B15+MAX(0,(1-T1777/'01_설정'!B7))*'01_설정'!B16+MAX(0,(1-U1777/'01_설정'!B8))*'01_설정'!B17+O1777*'01_설정'!B11+Q1777*'01_설정'!B12+P1777*'01_설정'!B13+IF(Z1777="",0,Z1777))</f>
        <v/>
      </c>
      <c r="X1777" s="152">
        <f>IF(W1777="","",1+COUNTIFS($W$4:$W$3003,"&gt;"&amp;W1777)+COUNTIFS($W$4:W1777,W1777)-1)</f>
        <v/>
      </c>
      <c r="Y1777" s="175">
        <f>IF(OR(I1777="",'02_대상물건입력'!B19="",'02_대상물건입력'!B19&lt;=0),"",ABS(I1777-'02_대상물건입력'!B19)/'02_대상물건입력'!B19)</f>
        <v/>
      </c>
      <c r="Z1777" s="172">
        <f>IF(OR(Y1777="",'01_설정'!B31="",'01_설정'!B31&lt;=0,'01_설정'!B32="",'01_설정'!B32&lt;=0),"",MAX(0,(1-Y1777/'01_설정'!B32))*'01_설정'!B31)</f>
        <v/>
      </c>
    </row>
    <row r="1778" ht="17.25" customHeight="1">
      <c r="A1778" s="152">
        <f>IF(INDEX('04A_국토부원자료'!$A:$A,ROW()+1)="","",ROW()-3)</f>
        <v/>
      </c>
      <c r="B1778" s="48">
        <f>IFERROR(INDEX('04A_국토부원자료'!$A:$T,ROW()+1,MATCH("시군구",'04A_국토부원자료'!$A$4:$T$4,0)),"")</f>
        <v/>
      </c>
      <c r="C1778" s="48">
        <f>IF(B1778="","",IFERROR(INDEX('04A_국토부원자료'!$A:$T,ROW()+1,MATCH("번지",'04A_국토부원자료'!$A$4:$T$4,0)),""))</f>
        <v/>
      </c>
      <c r="D1778" s="48">
        <f>IF(B1778="","",IF(Q1778=1,'02_대상물건입력'!$B$8,IFERROR(INDEX('04A_국토부원자료'!$A:$T,ROW()+1,MATCH("단지명",'04A_국토부원자료'!$A$4:$T$4,0)),"")))</f>
        <v/>
      </c>
      <c r="E1778" s="172">
        <f>IFERROR(VALUE(SUBSTITUTE(INDEX('04A_국토부원자료'!$A:$T,ROW()+1,MATCH("전용면적(㎡)",'04A_국토부원자료'!$A$4:$T$4,0)),",","")),"")</f>
        <v/>
      </c>
      <c r="F17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78" s="51">
        <f>IFERROR(VALUE(SUBSTITUTE(INDEX('04A_국토부원자료'!$A:$T,ROW()+1,MATCH("거래금액(만원)",'04A_국토부원자료'!$A$4:$T$4,0)),",","")),"")</f>
        <v/>
      </c>
      <c r="H1778" s="174">
        <f>IF(G1778="","",G1778*10000)</f>
        <v/>
      </c>
      <c r="I1778" s="174">
        <f>IFERROR(IF(AND(H1778&gt;0,E1778&gt;0),H1778/E1778,""),"")</f>
        <v/>
      </c>
      <c r="J1778" s="152">
        <f>IFERROR(VALUE(SUBSTITUTE(INDEX('04A_국토부원자료'!$A:$T,ROW()+1,MATCH("층",'04A_국토부원자료'!$A$4:$T$4,0)),",","")),"")</f>
        <v/>
      </c>
      <c r="K1778" s="152">
        <f>IFERROR(VALUE(SUBSTITUTE(INDEX('04A_국토부원자료'!$A:$T,ROW()+1,MATCH("건축년도",'04A_국토부원자료'!$A$4:$T$4,0)),",","")),"")</f>
        <v/>
      </c>
      <c r="L1778" s="176">
        <f>IFERROR(INDEX('04A_국토부원자료'!$A:$T,ROW()+1,MATCH("도로명",'04A_국토부원자료'!$A$4:$T$4,0)),"")</f>
        <v/>
      </c>
      <c r="M1778" s="48">
        <f>IFERROR(INDEX('04A_국토부원자료'!$A:$T,ROW()+1,MATCH("거래유형",'04A_국토부원자료'!$A$4:$T$4,0)),"")</f>
        <v/>
      </c>
      <c r="N1778" s="152">
        <f>IF(B1778="","",IF('02_대상물건입력'!B5="",1,IF(ISNUMBER(SEARCH('02_대상물건입력'!B5,B1778)),1,0)))</f>
        <v/>
      </c>
      <c r="O1778" s="152">
        <f>IF(B1778="","",IF('02_대상물건입력'!B6="",1,IF(ISNUMBER(SEARCH('02_대상물건입력'!B6,B1778)),1,0)))</f>
        <v/>
      </c>
      <c r="P1778" s="152">
        <f>IF(L1778="","",IF('02_대상물건입력'!B15="",0,IF(ISNUMBER(SEARCH('02_대상물건입력'!B15,L1778)),1,0)))</f>
        <v/>
      </c>
      <c r="Q1778" s="152">
        <f>IF(OR(C1778="",L1778=""),0,IF(AND(TRIM(C1778)=TRIM(RIGHT(SUBSTITUTE(TRIM('02_대상물건입력'!$B$7)," ",REPT(" ",99)),99)),IF('02_대상물건입력'!B15="",TRUE(),ISNUMBER(SEARCH('02_대상물건입력'!B15,L1778)))),1,0))</f>
        <v/>
      </c>
      <c r="R1778" s="175">
        <f>IFERROR(ABS(E1778-'02_대상물건입력'!B11)/'02_대상물건입력'!B11,"")</f>
        <v/>
      </c>
      <c r="S1778" s="152">
        <f>IFERROR(ABS(J1778-'02_대상물건입력'!B10),"")</f>
        <v/>
      </c>
      <c r="T1778" s="152">
        <f>IFERROR(ABS('01_설정'!B4-F1778),"")</f>
        <v/>
      </c>
      <c r="U1778" s="152">
        <f>IFERROR(ABS(K1778-YEAR('02_대상물건입력'!B14)),"")</f>
        <v/>
      </c>
      <c r="V1778" s="152">
        <f>IF(B1778="","",IF(AND(E1778&gt;0,F1778&gt;0,H1778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1778=1,TRUE()),R1778&lt;='01_설정'!B5,S1778&lt;='01_설정'!B6,T1778&lt;='01_설정'!B7,U1778&lt;='01_설정'!B8),"Y",""))</f>
        <v/>
      </c>
      <c r="W1778" s="172">
        <f>IF(V1778&lt;&gt;"Y","",MAX(0,(1-R1778/'01_설정'!B5))*'01_설정'!B14+MAX(0,(1-S1778/'01_설정'!B6))*'01_설정'!B15+MAX(0,(1-T1778/'01_설정'!B7))*'01_설정'!B16+MAX(0,(1-U1778/'01_설정'!B8))*'01_설정'!B17+O1778*'01_설정'!B11+Q1778*'01_설정'!B12+P1778*'01_설정'!B13+IF(Z1778="",0,Z1778))</f>
        <v/>
      </c>
      <c r="X1778" s="152">
        <f>IF(W1778="","",1+COUNTIFS($W$4:$W$3003,"&gt;"&amp;W1778)+COUNTIFS($W$4:W1778,W1778)-1)</f>
        <v/>
      </c>
      <c r="Y1778" s="175">
        <f>IF(OR(I1778="",'02_대상물건입력'!B19="",'02_대상물건입력'!B19&lt;=0),"",ABS(I1778-'02_대상물건입력'!B19)/'02_대상물건입력'!B19)</f>
        <v/>
      </c>
      <c r="Z1778" s="172">
        <f>IF(OR(Y1778="",'01_설정'!B31="",'01_설정'!B31&lt;=0,'01_설정'!B32="",'01_설정'!B32&lt;=0),"",MAX(0,(1-Y1778/'01_설정'!B32))*'01_설정'!B31)</f>
        <v/>
      </c>
    </row>
    <row r="1779" ht="17.25" customHeight="1">
      <c r="A1779" s="152">
        <f>IF(INDEX('04A_국토부원자료'!$A:$A,ROW()+1)="","",ROW()-3)</f>
        <v/>
      </c>
      <c r="B1779" s="48">
        <f>IFERROR(INDEX('04A_국토부원자료'!$A:$T,ROW()+1,MATCH("시군구",'04A_국토부원자료'!$A$4:$T$4,0)),"")</f>
        <v/>
      </c>
      <c r="C1779" s="48">
        <f>IF(B1779="","",IFERROR(INDEX('04A_국토부원자료'!$A:$T,ROW()+1,MATCH("번지",'04A_국토부원자료'!$A$4:$T$4,0)),""))</f>
        <v/>
      </c>
      <c r="D1779" s="48">
        <f>IF(B1779="","",IF(Q1779=1,'02_대상물건입력'!$B$8,IFERROR(INDEX('04A_국토부원자료'!$A:$T,ROW()+1,MATCH("단지명",'04A_국토부원자료'!$A$4:$T$4,0)),"")))</f>
        <v/>
      </c>
      <c r="E1779" s="172">
        <f>IFERROR(VALUE(SUBSTITUTE(INDEX('04A_국토부원자료'!$A:$T,ROW()+1,MATCH("전용면적(㎡)",'04A_국토부원자료'!$A$4:$T$4,0)),",","")),"")</f>
        <v/>
      </c>
      <c r="F17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79" s="51">
        <f>IFERROR(VALUE(SUBSTITUTE(INDEX('04A_국토부원자료'!$A:$T,ROW()+1,MATCH("거래금액(만원)",'04A_국토부원자료'!$A$4:$T$4,0)),",","")),"")</f>
        <v/>
      </c>
      <c r="H1779" s="174">
        <f>IF(G1779="","",G1779*10000)</f>
        <v/>
      </c>
      <c r="I1779" s="174">
        <f>IFERROR(IF(AND(H1779&gt;0,E1779&gt;0),H1779/E1779,""),"")</f>
        <v/>
      </c>
      <c r="J1779" s="152">
        <f>IFERROR(VALUE(SUBSTITUTE(INDEX('04A_국토부원자료'!$A:$T,ROW()+1,MATCH("층",'04A_국토부원자료'!$A$4:$T$4,0)),",","")),"")</f>
        <v/>
      </c>
      <c r="K1779" s="152">
        <f>IFERROR(VALUE(SUBSTITUTE(INDEX('04A_국토부원자료'!$A:$T,ROW()+1,MATCH("건축년도",'04A_국토부원자료'!$A$4:$T$4,0)),",","")),"")</f>
        <v/>
      </c>
      <c r="L1779" s="176">
        <f>IFERROR(INDEX('04A_국토부원자료'!$A:$T,ROW()+1,MATCH("도로명",'04A_국토부원자료'!$A$4:$T$4,0)),"")</f>
        <v/>
      </c>
      <c r="M1779" s="48">
        <f>IFERROR(INDEX('04A_국토부원자료'!$A:$T,ROW()+1,MATCH("거래유형",'04A_국토부원자료'!$A$4:$T$4,0)),"")</f>
        <v/>
      </c>
      <c r="N1779" s="152">
        <f>IF(B1779="","",IF('02_대상물건입력'!B5="",1,IF(ISNUMBER(SEARCH('02_대상물건입력'!B5,B1779)),1,0)))</f>
        <v/>
      </c>
      <c r="O1779" s="152">
        <f>IF(B1779="","",IF('02_대상물건입력'!B6="",1,IF(ISNUMBER(SEARCH('02_대상물건입력'!B6,B1779)),1,0)))</f>
        <v/>
      </c>
      <c r="P1779" s="152">
        <f>IF(L1779="","",IF('02_대상물건입력'!B15="",0,IF(ISNUMBER(SEARCH('02_대상물건입력'!B15,L1779)),1,0)))</f>
        <v/>
      </c>
      <c r="Q1779" s="152">
        <f>IF(OR(C1779="",L1779=""),0,IF(AND(TRIM(C1779)=TRIM(RIGHT(SUBSTITUTE(TRIM('02_대상물건입력'!$B$7)," ",REPT(" ",99)),99)),IF('02_대상물건입력'!B15="",TRUE(),ISNUMBER(SEARCH('02_대상물건입력'!B15,L1779)))),1,0))</f>
        <v/>
      </c>
      <c r="R1779" s="175">
        <f>IFERROR(ABS(E1779-'02_대상물건입력'!B11)/'02_대상물건입력'!B11,"")</f>
        <v/>
      </c>
      <c r="S1779" s="152">
        <f>IFERROR(ABS(J1779-'02_대상물건입력'!B10),"")</f>
        <v/>
      </c>
      <c r="T1779" s="152">
        <f>IFERROR(ABS('01_설정'!B4-F1779),"")</f>
        <v/>
      </c>
      <c r="U1779" s="152">
        <f>IFERROR(ABS(K1779-YEAR('02_대상물건입력'!B14)),"")</f>
        <v/>
      </c>
      <c r="V1779" s="152">
        <f>IF(B1779="","",IF(AND(E1779&gt;0,F1779&gt;0,H1779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1779=1,TRUE()),R1779&lt;='01_설정'!B5,S1779&lt;='01_설정'!B6,T1779&lt;='01_설정'!B7,U1779&lt;='01_설정'!B8),"Y",""))</f>
        <v/>
      </c>
      <c r="W1779" s="172">
        <f>IF(V1779&lt;&gt;"Y","",MAX(0,(1-R1779/'01_설정'!B5))*'01_설정'!B14+MAX(0,(1-S1779/'01_설정'!B6))*'01_설정'!B15+MAX(0,(1-T1779/'01_설정'!B7))*'01_설정'!B16+MAX(0,(1-U1779/'01_설정'!B8))*'01_설정'!B17+O1779*'01_설정'!B11+Q1779*'01_설정'!B12+P1779*'01_설정'!B13+IF(Z1779="",0,Z1779))</f>
        <v/>
      </c>
      <c r="X1779" s="152">
        <f>IF(W1779="","",1+COUNTIFS($W$4:$W$3003,"&gt;"&amp;W1779)+COUNTIFS($W$4:W1779,W1779)-1)</f>
        <v/>
      </c>
      <c r="Y1779" s="175">
        <f>IF(OR(I1779="",'02_대상물건입력'!B19="",'02_대상물건입력'!B19&lt;=0),"",ABS(I1779-'02_대상물건입력'!B19)/'02_대상물건입력'!B19)</f>
        <v/>
      </c>
      <c r="Z1779" s="172">
        <f>IF(OR(Y1779="",'01_설정'!B31="",'01_설정'!B31&lt;=0,'01_설정'!B32="",'01_설정'!B32&lt;=0),"",MAX(0,(1-Y1779/'01_설정'!B32))*'01_설정'!B31)</f>
        <v/>
      </c>
    </row>
    <row r="1780" ht="17.25" customHeight="1">
      <c r="A1780" s="152">
        <f>IF(INDEX('04A_국토부원자료'!$A:$A,ROW()+1)="","",ROW()-3)</f>
        <v/>
      </c>
      <c r="B1780" s="48">
        <f>IFERROR(INDEX('04A_국토부원자료'!$A:$T,ROW()+1,MATCH("시군구",'04A_국토부원자료'!$A$4:$T$4,0)),"")</f>
        <v/>
      </c>
      <c r="C1780" s="48">
        <f>IF(B1780="","",IFERROR(INDEX('04A_국토부원자료'!$A:$T,ROW()+1,MATCH("번지",'04A_국토부원자료'!$A$4:$T$4,0)),""))</f>
        <v/>
      </c>
      <c r="D1780" s="48">
        <f>IF(B1780="","",IF(Q1780=1,'02_대상물건입력'!$B$8,IFERROR(INDEX('04A_국토부원자료'!$A:$T,ROW()+1,MATCH("단지명",'04A_국토부원자료'!$A$4:$T$4,0)),"")))</f>
        <v/>
      </c>
      <c r="E1780" s="172">
        <f>IFERROR(VALUE(SUBSTITUTE(INDEX('04A_국토부원자료'!$A:$T,ROW()+1,MATCH("전용면적(㎡)",'04A_국토부원자료'!$A$4:$T$4,0)),",","")),"")</f>
        <v/>
      </c>
      <c r="F17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80" s="51">
        <f>IFERROR(VALUE(SUBSTITUTE(INDEX('04A_국토부원자료'!$A:$T,ROW()+1,MATCH("거래금액(만원)",'04A_국토부원자료'!$A$4:$T$4,0)),",","")),"")</f>
        <v/>
      </c>
      <c r="H1780" s="174">
        <f>IF(G1780="","",G1780*10000)</f>
        <v/>
      </c>
      <c r="I1780" s="174">
        <f>IFERROR(IF(AND(H1780&gt;0,E1780&gt;0),H1780/E1780,""),"")</f>
        <v/>
      </c>
      <c r="J1780" s="152">
        <f>IFERROR(VALUE(SUBSTITUTE(INDEX('04A_국토부원자료'!$A:$T,ROW()+1,MATCH("층",'04A_국토부원자료'!$A$4:$T$4,0)),",","")),"")</f>
        <v/>
      </c>
      <c r="K1780" s="152">
        <f>IFERROR(VALUE(SUBSTITUTE(INDEX('04A_국토부원자료'!$A:$T,ROW()+1,MATCH("건축년도",'04A_국토부원자료'!$A$4:$T$4,0)),",","")),"")</f>
        <v/>
      </c>
      <c r="L1780" s="176">
        <f>IFERROR(INDEX('04A_국토부원자료'!$A:$T,ROW()+1,MATCH("도로명",'04A_국토부원자료'!$A$4:$T$4,0)),"")</f>
        <v/>
      </c>
      <c r="M1780" s="48">
        <f>IFERROR(INDEX('04A_국토부원자료'!$A:$T,ROW()+1,MATCH("거래유형",'04A_국토부원자료'!$A$4:$T$4,0)),"")</f>
        <v/>
      </c>
      <c r="N1780" s="152">
        <f>IF(B1780="","",IF('02_대상물건입력'!B5="",1,IF(ISNUMBER(SEARCH('02_대상물건입력'!B5,B1780)),1,0)))</f>
        <v/>
      </c>
      <c r="O1780" s="152">
        <f>IF(B1780="","",IF('02_대상물건입력'!B6="",1,IF(ISNUMBER(SEARCH('02_대상물건입력'!B6,B1780)),1,0)))</f>
        <v/>
      </c>
      <c r="P1780" s="152">
        <f>IF(L1780="","",IF('02_대상물건입력'!B15="",0,IF(ISNUMBER(SEARCH('02_대상물건입력'!B15,L1780)),1,0)))</f>
        <v/>
      </c>
      <c r="Q1780" s="152">
        <f>IF(OR(C1780="",L1780=""),0,IF(AND(TRIM(C1780)=TRIM(RIGHT(SUBSTITUTE(TRIM('02_대상물건입력'!$B$7)," ",REPT(" ",99)),99)),IF('02_대상물건입력'!B15="",TRUE(),ISNUMBER(SEARCH('02_대상물건입력'!B15,L1780)))),1,0))</f>
        <v/>
      </c>
      <c r="R1780" s="175">
        <f>IFERROR(ABS(E1780-'02_대상물건입력'!B11)/'02_대상물건입력'!B11,"")</f>
        <v/>
      </c>
      <c r="S1780" s="152">
        <f>IFERROR(ABS(J1780-'02_대상물건입력'!B10),"")</f>
        <v/>
      </c>
      <c r="T1780" s="152">
        <f>IFERROR(ABS('01_설정'!B4-F1780),"")</f>
        <v/>
      </c>
      <c r="U1780" s="152">
        <f>IFERROR(ABS(K1780-YEAR('02_대상물건입력'!B14)),"")</f>
        <v/>
      </c>
      <c r="V1780" s="152">
        <f>IF(B1780="","",IF(AND(E1780&gt;0,F1780&gt;0,H1780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1780=1,TRUE()),R1780&lt;='01_설정'!B5,S1780&lt;='01_설정'!B6,T1780&lt;='01_설정'!B7,U1780&lt;='01_설정'!B8),"Y",""))</f>
        <v/>
      </c>
      <c r="W1780" s="172">
        <f>IF(V1780&lt;&gt;"Y","",MAX(0,(1-R1780/'01_설정'!B5))*'01_설정'!B14+MAX(0,(1-S1780/'01_설정'!B6))*'01_설정'!B15+MAX(0,(1-T1780/'01_설정'!B7))*'01_설정'!B16+MAX(0,(1-U1780/'01_설정'!B8))*'01_설정'!B17+O1780*'01_설정'!B11+Q1780*'01_설정'!B12+P1780*'01_설정'!B13+IF(Z1780="",0,Z1780))</f>
        <v/>
      </c>
      <c r="X1780" s="152">
        <f>IF(W1780="","",1+COUNTIFS($W$4:$W$3003,"&gt;"&amp;W1780)+COUNTIFS($W$4:W1780,W1780)-1)</f>
        <v/>
      </c>
      <c r="Y1780" s="175">
        <f>IF(OR(I1780="",'02_대상물건입력'!B19="",'02_대상물건입력'!B19&lt;=0),"",ABS(I1780-'02_대상물건입력'!B19)/'02_대상물건입력'!B19)</f>
        <v/>
      </c>
      <c r="Z1780" s="172">
        <f>IF(OR(Y1780="",'01_설정'!B31="",'01_설정'!B31&lt;=0,'01_설정'!B32="",'01_설정'!B32&lt;=0),"",MAX(0,(1-Y1780/'01_설정'!B32))*'01_설정'!B31)</f>
        <v/>
      </c>
    </row>
    <row r="1781" ht="17.25" customHeight="1">
      <c r="A1781" s="152">
        <f>IF(INDEX('04A_국토부원자료'!$A:$A,ROW()+1)="","",ROW()-3)</f>
        <v/>
      </c>
      <c r="B1781" s="48">
        <f>IFERROR(INDEX('04A_국토부원자료'!$A:$T,ROW()+1,MATCH("시군구",'04A_국토부원자료'!$A$4:$T$4,0)),"")</f>
        <v/>
      </c>
      <c r="C1781" s="48">
        <f>IF(B1781="","",IFERROR(INDEX('04A_국토부원자료'!$A:$T,ROW()+1,MATCH("번지",'04A_국토부원자료'!$A$4:$T$4,0)),""))</f>
        <v/>
      </c>
      <c r="D1781" s="48">
        <f>IF(B1781="","",IF(Q1781=1,'02_대상물건입력'!$B$8,IFERROR(INDEX('04A_국토부원자료'!$A:$T,ROW()+1,MATCH("단지명",'04A_국토부원자료'!$A$4:$T$4,0)),"")))</f>
        <v/>
      </c>
      <c r="E1781" s="172">
        <f>IFERROR(VALUE(SUBSTITUTE(INDEX('04A_국토부원자료'!$A:$T,ROW()+1,MATCH("전용면적(㎡)",'04A_국토부원자료'!$A$4:$T$4,0)),",","")),"")</f>
        <v/>
      </c>
      <c r="F17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81" s="51">
        <f>IFERROR(VALUE(SUBSTITUTE(INDEX('04A_국토부원자료'!$A:$T,ROW()+1,MATCH("거래금액(만원)",'04A_국토부원자료'!$A$4:$T$4,0)),",","")),"")</f>
        <v/>
      </c>
      <c r="H1781" s="174">
        <f>IF(G1781="","",G1781*10000)</f>
        <v/>
      </c>
      <c r="I1781" s="174">
        <f>IFERROR(IF(AND(H1781&gt;0,E1781&gt;0),H1781/E1781,""),"")</f>
        <v/>
      </c>
      <c r="J1781" s="152">
        <f>IFERROR(VALUE(SUBSTITUTE(INDEX('04A_국토부원자료'!$A:$T,ROW()+1,MATCH("층",'04A_국토부원자료'!$A$4:$T$4,0)),",","")),"")</f>
        <v/>
      </c>
      <c r="K1781" s="152">
        <f>IFERROR(VALUE(SUBSTITUTE(INDEX('04A_국토부원자료'!$A:$T,ROW()+1,MATCH("건축년도",'04A_국토부원자료'!$A$4:$T$4,0)),",","")),"")</f>
        <v/>
      </c>
      <c r="L1781" s="176">
        <f>IFERROR(INDEX('04A_국토부원자료'!$A:$T,ROW()+1,MATCH("도로명",'04A_국토부원자료'!$A$4:$T$4,0)),"")</f>
        <v/>
      </c>
      <c r="M1781" s="48">
        <f>IFERROR(INDEX('04A_국토부원자료'!$A:$T,ROW()+1,MATCH("거래유형",'04A_국토부원자료'!$A$4:$T$4,0)),"")</f>
        <v/>
      </c>
      <c r="N1781" s="152">
        <f>IF(B1781="","",IF('02_대상물건입력'!B5="",1,IF(ISNUMBER(SEARCH('02_대상물건입력'!B5,B1781)),1,0)))</f>
        <v/>
      </c>
      <c r="O1781" s="152">
        <f>IF(B1781="","",IF('02_대상물건입력'!B6="",1,IF(ISNUMBER(SEARCH('02_대상물건입력'!B6,B1781)),1,0)))</f>
        <v/>
      </c>
      <c r="P1781" s="152">
        <f>IF(L1781="","",IF('02_대상물건입력'!B15="",0,IF(ISNUMBER(SEARCH('02_대상물건입력'!B15,L1781)),1,0)))</f>
        <v/>
      </c>
      <c r="Q1781" s="152">
        <f>IF(OR(C1781="",L1781=""),0,IF(AND(TRIM(C1781)=TRIM(RIGHT(SUBSTITUTE(TRIM('02_대상물건입력'!$B$7)," ",REPT(" ",99)),99)),IF('02_대상물건입력'!B15="",TRUE(),ISNUMBER(SEARCH('02_대상물건입력'!B15,L1781)))),1,0))</f>
        <v/>
      </c>
      <c r="R1781" s="175">
        <f>IFERROR(ABS(E1781-'02_대상물건입력'!B11)/'02_대상물건입력'!B11,"")</f>
        <v/>
      </c>
      <c r="S1781" s="152">
        <f>IFERROR(ABS(J1781-'02_대상물건입력'!B10),"")</f>
        <v/>
      </c>
      <c r="T1781" s="152">
        <f>IFERROR(ABS('01_설정'!B4-F1781),"")</f>
        <v/>
      </c>
      <c r="U1781" s="152">
        <f>IFERROR(ABS(K1781-YEAR('02_대상물건입력'!B14)),"")</f>
        <v/>
      </c>
      <c r="V1781" s="152">
        <f>IF(B1781="","",IF(AND(E1781&gt;0,F1781&gt;0,H1781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1781=1,TRUE()),R1781&lt;='01_설정'!B5,S1781&lt;='01_설정'!B6,T1781&lt;='01_설정'!B7,U1781&lt;='01_설정'!B8),"Y",""))</f>
        <v/>
      </c>
      <c r="W1781" s="172">
        <f>IF(V1781&lt;&gt;"Y","",MAX(0,(1-R1781/'01_설정'!B5))*'01_설정'!B14+MAX(0,(1-S1781/'01_설정'!B6))*'01_설정'!B15+MAX(0,(1-T1781/'01_설정'!B7))*'01_설정'!B16+MAX(0,(1-U1781/'01_설정'!B8))*'01_설정'!B17+O1781*'01_설정'!B11+Q1781*'01_설정'!B12+P1781*'01_설정'!B13+IF(Z1781="",0,Z1781))</f>
        <v/>
      </c>
      <c r="X1781" s="152">
        <f>IF(W1781="","",1+COUNTIFS($W$4:$W$3003,"&gt;"&amp;W1781)+COUNTIFS($W$4:W1781,W1781)-1)</f>
        <v/>
      </c>
      <c r="Y1781" s="175">
        <f>IF(OR(I1781="",'02_대상물건입력'!B19="",'02_대상물건입력'!B19&lt;=0),"",ABS(I1781-'02_대상물건입력'!B19)/'02_대상물건입력'!B19)</f>
        <v/>
      </c>
      <c r="Z1781" s="172">
        <f>IF(OR(Y1781="",'01_설정'!B31="",'01_설정'!B31&lt;=0,'01_설정'!B32="",'01_설정'!B32&lt;=0),"",MAX(0,(1-Y1781/'01_설정'!B32))*'01_설정'!B31)</f>
        <v/>
      </c>
    </row>
    <row r="1782" ht="17.25" customHeight="1">
      <c r="A1782" s="152">
        <f>IF(INDEX('04A_국토부원자료'!$A:$A,ROW()+1)="","",ROW()-3)</f>
        <v/>
      </c>
      <c r="B1782" s="48">
        <f>IFERROR(INDEX('04A_국토부원자료'!$A:$T,ROW()+1,MATCH("시군구",'04A_국토부원자료'!$A$4:$T$4,0)),"")</f>
        <v/>
      </c>
      <c r="C1782" s="48">
        <f>IF(B1782="","",IFERROR(INDEX('04A_국토부원자료'!$A:$T,ROW()+1,MATCH("번지",'04A_국토부원자료'!$A$4:$T$4,0)),""))</f>
        <v/>
      </c>
      <c r="D1782" s="48">
        <f>IF(B1782="","",IF(Q1782=1,'02_대상물건입력'!$B$8,IFERROR(INDEX('04A_국토부원자료'!$A:$T,ROW()+1,MATCH("단지명",'04A_국토부원자료'!$A$4:$T$4,0)),"")))</f>
        <v/>
      </c>
      <c r="E1782" s="172">
        <f>IFERROR(VALUE(SUBSTITUTE(INDEX('04A_국토부원자료'!$A:$T,ROW()+1,MATCH("전용면적(㎡)",'04A_국토부원자료'!$A$4:$T$4,0)),",","")),"")</f>
        <v/>
      </c>
      <c r="F17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82" s="51">
        <f>IFERROR(VALUE(SUBSTITUTE(INDEX('04A_국토부원자료'!$A:$T,ROW()+1,MATCH("거래금액(만원)",'04A_국토부원자료'!$A$4:$T$4,0)),",","")),"")</f>
        <v/>
      </c>
      <c r="H1782" s="174">
        <f>IF(G1782="","",G1782*10000)</f>
        <v/>
      </c>
      <c r="I1782" s="174">
        <f>IFERROR(IF(AND(H1782&gt;0,E1782&gt;0),H1782/E1782,""),"")</f>
        <v/>
      </c>
      <c r="J1782" s="152">
        <f>IFERROR(VALUE(SUBSTITUTE(INDEX('04A_국토부원자료'!$A:$T,ROW()+1,MATCH("층",'04A_국토부원자료'!$A$4:$T$4,0)),",","")),"")</f>
        <v/>
      </c>
      <c r="K1782" s="152">
        <f>IFERROR(VALUE(SUBSTITUTE(INDEX('04A_국토부원자료'!$A:$T,ROW()+1,MATCH("건축년도",'04A_국토부원자료'!$A$4:$T$4,0)),",","")),"")</f>
        <v/>
      </c>
      <c r="L1782" s="176">
        <f>IFERROR(INDEX('04A_국토부원자료'!$A:$T,ROW()+1,MATCH("도로명",'04A_국토부원자료'!$A$4:$T$4,0)),"")</f>
        <v/>
      </c>
      <c r="M1782" s="48">
        <f>IFERROR(INDEX('04A_국토부원자료'!$A:$T,ROW()+1,MATCH("거래유형",'04A_국토부원자료'!$A$4:$T$4,0)),"")</f>
        <v/>
      </c>
      <c r="N1782" s="152">
        <f>IF(B1782="","",IF('02_대상물건입력'!B5="",1,IF(ISNUMBER(SEARCH('02_대상물건입력'!B5,B1782)),1,0)))</f>
        <v/>
      </c>
      <c r="O1782" s="152">
        <f>IF(B1782="","",IF('02_대상물건입력'!B6="",1,IF(ISNUMBER(SEARCH('02_대상물건입력'!B6,B1782)),1,0)))</f>
        <v/>
      </c>
      <c r="P1782" s="152">
        <f>IF(L1782="","",IF('02_대상물건입력'!B15="",0,IF(ISNUMBER(SEARCH('02_대상물건입력'!B15,L1782)),1,0)))</f>
        <v/>
      </c>
      <c r="Q1782" s="152">
        <f>IF(OR(C1782="",L1782=""),0,IF(AND(TRIM(C1782)=TRIM(RIGHT(SUBSTITUTE(TRIM('02_대상물건입력'!$B$7)," ",REPT(" ",99)),99)),IF('02_대상물건입력'!B15="",TRUE(),ISNUMBER(SEARCH('02_대상물건입력'!B15,L1782)))),1,0))</f>
        <v/>
      </c>
      <c r="R1782" s="175">
        <f>IFERROR(ABS(E1782-'02_대상물건입력'!B11)/'02_대상물건입력'!B11,"")</f>
        <v/>
      </c>
      <c r="S1782" s="152">
        <f>IFERROR(ABS(J1782-'02_대상물건입력'!B10),"")</f>
        <v/>
      </c>
      <c r="T1782" s="152">
        <f>IFERROR(ABS('01_설정'!B4-F1782),"")</f>
        <v/>
      </c>
      <c r="U1782" s="152">
        <f>IFERROR(ABS(K1782-YEAR('02_대상물건입력'!B14)),"")</f>
        <v/>
      </c>
      <c r="V1782" s="152">
        <f>IF(B1782="","",IF(AND(E1782&gt;0,F1782&gt;0,H1782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1782=1,TRUE()),R1782&lt;='01_설정'!B5,S1782&lt;='01_설정'!B6,T1782&lt;='01_설정'!B7,U1782&lt;='01_설정'!B8),"Y",""))</f>
        <v/>
      </c>
      <c r="W1782" s="172">
        <f>IF(V1782&lt;&gt;"Y","",MAX(0,(1-R1782/'01_설정'!B5))*'01_설정'!B14+MAX(0,(1-S1782/'01_설정'!B6))*'01_설정'!B15+MAX(0,(1-T1782/'01_설정'!B7))*'01_설정'!B16+MAX(0,(1-U1782/'01_설정'!B8))*'01_설정'!B17+O1782*'01_설정'!B11+Q1782*'01_설정'!B12+P1782*'01_설정'!B13+IF(Z1782="",0,Z1782))</f>
        <v/>
      </c>
      <c r="X1782" s="152">
        <f>IF(W1782="","",1+COUNTIFS($W$4:$W$3003,"&gt;"&amp;W1782)+COUNTIFS($W$4:W1782,W1782)-1)</f>
        <v/>
      </c>
      <c r="Y1782" s="175">
        <f>IF(OR(I1782="",'02_대상물건입력'!B19="",'02_대상물건입력'!B19&lt;=0),"",ABS(I1782-'02_대상물건입력'!B19)/'02_대상물건입력'!B19)</f>
        <v/>
      </c>
      <c r="Z1782" s="172">
        <f>IF(OR(Y1782="",'01_설정'!B31="",'01_설정'!B31&lt;=0,'01_설정'!B32="",'01_설정'!B32&lt;=0),"",MAX(0,(1-Y1782/'01_설정'!B32))*'01_설정'!B31)</f>
        <v/>
      </c>
    </row>
    <row r="1783" ht="17.25" customHeight="1">
      <c r="A1783" s="152">
        <f>IF(INDEX('04A_국토부원자료'!$A:$A,ROW()+1)="","",ROW()-3)</f>
        <v/>
      </c>
      <c r="B1783" s="48">
        <f>IFERROR(INDEX('04A_국토부원자료'!$A:$T,ROW()+1,MATCH("시군구",'04A_국토부원자료'!$A$4:$T$4,0)),"")</f>
        <v/>
      </c>
      <c r="C1783" s="48">
        <f>IF(B1783="","",IFERROR(INDEX('04A_국토부원자료'!$A:$T,ROW()+1,MATCH("번지",'04A_국토부원자료'!$A$4:$T$4,0)),""))</f>
        <v/>
      </c>
      <c r="D1783" s="48">
        <f>IF(B1783="","",IF(Q1783=1,'02_대상물건입력'!$B$8,IFERROR(INDEX('04A_국토부원자료'!$A:$T,ROW()+1,MATCH("단지명",'04A_국토부원자료'!$A$4:$T$4,0)),"")))</f>
        <v/>
      </c>
      <c r="E1783" s="172">
        <f>IFERROR(VALUE(SUBSTITUTE(INDEX('04A_국토부원자료'!$A:$T,ROW()+1,MATCH("전용면적(㎡)",'04A_국토부원자료'!$A$4:$T$4,0)),",","")),"")</f>
        <v/>
      </c>
      <c r="F17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83" s="51">
        <f>IFERROR(VALUE(SUBSTITUTE(INDEX('04A_국토부원자료'!$A:$T,ROW()+1,MATCH("거래금액(만원)",'04A_국토부원자료'!$A$4:$T$4,0)),",","")),"")</f>
        <v/>
      </c>
      <c r="H1783" s="174">
        <f>IF(G1783="","",G1783*10000)</f>
        <v/>
      </c>
      <c r="I1783" s="174">
        <f>IFERROR(IF(AND(H1783&gt;0,E1783&gt;0),H1783/E1783,""),"")</f>
        <v/>
      </c>
      <c r="J1783" s="152">
        <f>IFERROR(VALUE(SUBSTITUTE(INDEX('04A_국토부원자료'!$A:$T,ROW()+1,MATCH("층",'04A_국토부원자료'!$A$4:$T$4,0)),",","")),"")</f>
        <v/>
      </c>
      <c r="K1783" s="152">
        <f>IFERROR(VALUE(SUBSTITUTE(INDEX('04A_국토부원자료'!$A:$T,ROW()+1,MATCH("건축년도",'04A_국토부원자료'!$A$4:$T$4,0)),",","")),"")</f>
        <v/>
      </c>
      <c r="L1783" s="176">
        <f>IFERROR(INDEX('04A_국토부원자료'!$A:$T,ROW()+1,MATCH("도로명",'04A_국토부원자료'!$A$4:$T$4,0)),"")</f>
        <v/>
      </c>
      <c r="M1783" s="48">
        <f>IFERROR(INDEX('04A_국토부원자료'!$A:$T,ROW()+1,MATCH("거래유형",'04A_국토부원자료'!$A$4:$T$4,0)),"")</f>
        <v/>
      </c>
      <c r="N1783" s="152">
        <f>IF(B1783="","",IF('02_대상물건입력'!B5="",1,IF(ISNUMBER(SEARCH('02_대상물건입력'!B5,B1783)),1,0)))</f>
        <v/>
      </c>
      <c r="O1783" s="152">
        <f>IF(B1783="","",IF('02_대상물건입력'!B6="",1,IF(ISNUMBER(SEARCH('02_대상물건입력'!B6,B1783)),1,0)))</f>
        <v/>
      </c>
      <c r="P1783" s="152">
        <f>IF(L1783="","",IF('02_대상물건입력'!B15="",0,IF(ISNUMBER(SEARCH('02_대상물건입력'!B15,L1783)),1,0)))</f>
        <v/>
      </c>
      <c r="Q1783" s="152">
        <f>IF(OR(C1783="",L1783=""),0,IF(AND(TRIM(C1783)=TRIM(RIGHT(SUBSTITUTE(TRIM('02_대상물건입력'!$B$7)," ",REPT(" ",99)),99)),IF('02_대상물건입력'!B15="",TRUE(),ISNUMBER(SEARCH('02_대상물건입력'!B15,L1783)))),1,0))</f>
        <v/>
      </c>
      <c r="R1783" s="175">
        <f>IFERROR(ABS(E1783-'02_대상물건입력'!B11)/'02_대상물건입력'!B11,"")</f>
        <v/>
      </c>
      <c r="S1783" s="152">
        <f>IFERROR(ABS(J1783-'02_대상물건입력'!B10),"")</f>
        <v/>
      </c>
      <c r="T1783" s="152">
        <f>IFERROR(ABS('01_설정'!B4-F1783),"")</f>
        <v/>
      </c>
      <c r="U1783" s="152">
        <f>IFERROR(ABS(K1783-YEAR('02_대상물건입력'!B14)),"")</f>
        <v/>
      </c>
      <c r="V1783" s="152">
        <f>IF(B1783="","",IF(AND(E1783&gt;0,F1783&gt;0,H1783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1783=1,TRUE()),R1783&lt;='01_설정'!B5,S1783&lt;='01_설정'!B6,T1783&lt;='01_설정'!B7,U1783&lt;='01_설정'!B8),"Y",""))</f>
        <v/>
      </c>
      <c r="W1783" s="172">
        <f>IF(V1783&lt;&gt;"Y","",MAX(0,(1-R1783/'01_설정'!B5))*'01_설정'!B14+MAX(0,(1-S1783/'01_설정'!B6))*'01_설정'!B15+MAX(0,(1-T1783/'01_설정'!B7))*'01_설정'!B16+MAX(0,(1-U1783/'01_설정'!B8))*'01_설정'!B17+O1783*'01_설정'!B11+Q1783*'01_설정'!B12+P1783*'01_설정'!B13+IF(Z1783="",0,Z1783))</f>
        <v/>
      </c>
      <c r="X1783" s="152">
        <f>IF(W1783="","",1+COUNTIFS($W$4:$W$3003,"&gt;"&amp;W1783)+COUNTIFS($W$4:W1783,W1783)-1)</f>
        <v/>
      </c>
      <c r="Y1783" s="175">
        <f>IF(OR(I1783="",'02_대상물건입력'!B19="",'02_대상물건입력'!B19&lt;=0),"",ABS(I1783-'02_대상물건입력'!B19)/'02_대상물건입력'!B19)</f>
        <v/>
      </c>
      <c r="Z1783" s="172">
        <f>IF(OR(Y1783="",'01_설정'!B31="",'01_설정'!B31&lt;=0,'01_설정'!B32="",'01_설정'!B32&lt;=0),"",MAX(0,(1-Y1783/'01_설정'!B32))*'01_설정'!B31)</f>
        <v/>
      </c>
    </row>
    <row r="1784" ht="17.25" customHeight="1">
      <c r="A1784" s="152">
        <f>IF(INDEX('04A_국토부원자료'!$A:$A,ROW()+1)="","",ROW()-3)</f>
        <v/>
      </c>
      <c r="B1784" s="48">
        <f>IFERROR(INDEX('04A_국토부원자료'!$A:$T,ROW()+1,MATCH("시군구",'04A_국토부원자료'!$A$4:$T$4,0)),"")</f>
        <v/>
      </c>
      <c r="C1784" s="48">
        <f>IF(B1784="","",IFERROR(INDEX('04A_국토부원자료'!$A:$T,ROW()+1,MATCH("번지",'04A_국토부원자료'!$A$4:$T$4,0)),""))</f>
        <v/>
      </c>
      <c r="D1784" s="48">
        <f>IF(B1784="","",IF(Q1784=1,'02_대상물건입력'!$B$8,IFERROR(INDEX('04A_국토부원자료'!$A:$T,ROW()+1,MATCH("단지명",'04A_국토부원자료'!$A$4:$T$4,0)),"")))</f>
        <v/>
      </c>
      <c r="E1784" s="172">
        <f>IFERROR(VALUE(SUBSTITUTE(INDEX('04A_국토부원자료'!$A:$T,ROW()+1,MATCH("전용면적(㎡)",'04A_국토부원자료'!$A$4:$T$4,0)),",","")),"")</f>
        <v/>
      </c>
      <c r="F17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84" s="51">
        <f>IFERROR(VALUE(SUBSTITUTE(INDEX('04A_국토부원자료'!$A:$T,ROW()+1,MATCH("거래금액(만원)",'04A_국토부원자료'!$A$4:$T$4,0)),",","")),"")</f>
        <v/>
      </c>
      <c r="H1784" s="174">
        <f>IF(G1784="","",G1784*10000)</f>
        <v/>
      </c>
      <c r="I1784" s="174">
        <f>IFERROR(IF(AND(H1784&gt;0,E1784&gt;0),H1784/E1784,""),"")</f>
        <v/>
      </c>
      <c r="J1784" s="152">
        <f>IFERROR(VALUE(SUBSTITUTE(INDEX('04A_국토부원자료'!$A:$T,ROW()+1,MATCH("층",'04A_국토부원자료'!$A$4:$T$4,0)),",","")),"")</f>
        <v/>
      </c>
      <c r="K1784" s="152">
        <f>IFERROR(VALUE(SUBSTITUTE(INDEX('04A_국토부원자료'!$A:$T,ROW()+1,MATCH("건축년도",'04A_국토부원자료'!$A$4:$T$4,0)),",","")),"")</f>
        <v/>
      </c>
      <c r="L1784" s="176">
        <f>IFERROR(INDEX('04A_국토부원자료'!$A:$T,ROW()+1,MATCH("도로명",'04A_국토부원자료'!$A$4:$T$4,0)),"")</f>
        <v/>
      </c>
      <c r="M1784" s="48">
        <f>IFERROR(INDEX('04A_국토부원자료'!$A:$T,ROW()+1,MATCH("거래유형",'04A_국토부원자료'!$A$4:$T$4,0)),"")</f>
        <v/>
      </c>
      <c r="N1784" s="152">
        <f>IF(B1784="","",IF('02_대상물건입력'!B5="",1,IF(ISNUMBER(SEARCH('02_대상물건입력'!B5,B1784)),1,0)))</f>
        <v/>
      </c>
      <c r="O1784" s="152">
        <f>IF(B1784="","",IF('02_대상물건입력'!B6="",1,IF(ISNUMBER(SEARCH('02_대상물건입력'!B6,B1784)),1,0)))</f>
        <v/>
      </c>
      <c r="P1784" s="152">
        <f>IF(L1784="","",IF('02_대상물건입력'!B15="",0,IF(ISNUMBER(SEARCH('02_대상물건입력'!B15,L1784)),1,0)))</f>
        <v/>
      </c>
      <c r="Q1784" s="152">
        <f>IF(OR(C1784="",L1784=""),0,IF(AND(TRIM(C1784)=TRIM(RIGHT(SUBSTITUTE(TRIM('02_대상물건입력'!$B$7)," ",REPT(" ",99)),99)),IF('02_대상물건입력'!B15="",TRUE(),ISNUMBER(SEARCH('02_대상물건입력'!B15,L1784)))),1,0))</f>
        <v/>
      </c>
      <c r="R1784" s="175">
        <f>IFERROR(ABS(E1784-'02_대상물건입력'!B11)/'02_대상물건입력'!B11,"")</f>
        <v/>
      </c>
      <c r="S1784" s="152">
        <f>IFERROR(ABS(J1784-'02_대상물건입력'!B10),"")</f>
        <v/>
      </c>
      <c r="T1784" s="152">
        <f>IFERROR(ABS('01_설정'!B4-F1784),"")</f>
        <v/>
      </c>
      <c r="U1784" s="152">
        <f>IFERROR(ABS(K1784-YEAR('02_대상물건입력'!B14)),"")</f>
        <v/>
      </c>
      <c r="V1784" s="152">
        <f>IF(B1784="","",IF(AND(E1784&gt;0,F1784&gt;0,H1784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1784=1,TRUE()),R1784&lt;='01_설정'!B5,S1784&lt;='01_설정'!B6,T1784&lt;='01_설정'!B7,U1784&lt;='01_설정'!B8),"Y",""))</f>
        <v/>
      </c>
      <c r="W1784" s="172">
        <f>IF(V1784&lt;&gt;"Y","",MAX(0,(1-R1784/'01_설정'!B5))*'01_설정'!B14+MAX(0,(1-S1784/'01_설정'!B6))*'01_설정'!B15+MAX(0,(1-T1784/'01_설정'!B7))*'01_설정'!B16+MAX(0,(1-U1784/'01_설정'!B8))*'01_설정'!B17+O1784*'01_설정'!B11+Q1784*'01_설정'!B12+P1784*'01_설정'!B13+IF(Z1784="",0,Z1784))</f>
        <v/>
      </c>
      <c r="X1784" s="152">
        <f>IF(W1784="","",1+COUNTIFS($W$4:$W$3003,"&gt;"&amp;W1784)+COUNTIFS($W$4:W1784,W1784)-1)</f>
        <v/>
      </c>
      <c r="Y1784" s="175">
        <f>IF(OR(I1784="",'02_대상물건입력'!B19="",'02_대상물건입력'!B19&lt;=0),"",ABS(I1784-'02_대상물건입력'!B19)/'02_대상물건입력'!B19)</f>
        <v/>
      </c>
      <c r="Z1784" s="172">
        <f>IF(OR(Y1784="",'01_설정'!B31="",'01_설정'!B31&lt;=0,'01_설정'!B32="",'01_설정'!B32&lt;=0),"",MAX(0,(1-Y1784/'01_설정'!B32))*'01_설정'!B31)</f>
        <v/>
      </c>
    </row>
    <row r="1785" ht="17.25" customHeight="1">
      <c r="A1785" s="152">
        <f>IF(INDEX('04A_국토부원자료'!$A:$A,ROW()+1)="","",ROW()-3)</f>
        <v/>
      </c>
      <c r="B1785" s="48">
        <f>IFERROR(INDEX('04A_국토부원자료'!$A:$T,ROW()+1,MATCH("시군구",'04A_국토부원자료'!$A$4:$T$4,0)),"")</f>
        <v/>
      </c>
      <c r="C1785" s="48">
        <f>IF(B1785="","",IFERROR(INDEX('04A_국토부원자료'!$A:$T,ROW()+1,MATCH("번지",'04A_국토부원자료'!$A$4:$T$4,0)),""))</f>
        <v/>
      </c>
      <c r="D1785" s="48">
        <f>IF(B1785="","",IF(Q1785=1,'02_대상물건입력'!$B$8,IFERROR(INDEX('04A_국토부원자료'!$A:$T,ROW()+1,MATCH("단지명",'04A_국토부원자료'!$A$4:$T$4,0)),"")))</f>
        <v/>
      </c>
      <c r="E1785" s="172">
        <f>IFERROR(VALUE(SUBSTITUTE(INDEX('04A_국토부원자료'!$A:$T,ROW()+1,MATCH("전용면적(㎡)",'04A_국토부원자료'!$A$4:$T$4,0)),",","")),"")</f>
        <v/>
      </c>
      <c r="F17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85" s="51">
        <f>IFERROR(VALUE(SUBSTITUTE(INDEX('04A_국토부원자료'!$A:$T,ROW()+1,MATCH("거래금액(만원)",'04A_국토부원자료'!$A$4:$T$4,0)),",","")),"")</f>
        <v/>
      </c>
      <c r="H1785" s="174">
        <f>IF(G1785="","",G1785*10000)</f>
        <v/>
      </c>
      <c r="I1785" s="174">
        <f>IFERROR(IF(AND(H1785&gt;0,E1785&gt;0),H1785/E1785,""),"")</f>
        <v/>
      </c>
      <c r="J1785" s="152">
        <f>IFERROR(VALUE(SUBSTITUTE(INDEX('04A_국토부원자료'!$A:$T,ROW()+1,MATCH("층",'04A_국토부원자료'!$A$4:$T$4,0)),",","")),"")</f>
        <v/>
      </c>
      <c r="K1785" s="152">
        <f>IFERROR(VALUE(SUBSTITUTE(INDEX('04A_국토부원자료'!$A:$T,ROW()+1,MATCH("건축년도",'04A_국토부원자료'!$A$4:$T$4,0)),",","")),"")</f>
        <v/>
      </c>
      <c r="L1785" s="176">
        <f>IFERROR(INDEX('04A_국토부원자료'!$A:$T,ROW()+1,MATCH("도로명",'04A_국토부원자료'!$A$4:$T$4,0)),"")</f>
        <v/>
      </c>
      <c r="M1785" s="48">
        <f>IFERROR(INDEX('04A_국토부원자료'!$A:$T,ROW()+1,MATCH("거래유형",'04A_국토부원자료'!$A$4:$T$4,0)),"")</f>
        <v/>
      </c>
      <c r="N1785" s="152">
        <f>IF(B1785="","",IF('02_대상물건입력'!B5="",1,IF(ISNUMBER(SEARCH('02_대상물건입력'!B5,B1785)),1,0)))</f>
        <v/>
      </c>
      <c r="O1785" s="152">
        <f>IF(B1785="","",IF('02_대상물건입력'!B6="",1,IF(ISNUMBER(SEARCH('02_대상물건입력'!B6,B1785)),1,0)))</f>
        <v/>
      </c>
      <c r="P1785" s="152">
        <f>IF(L1785="","",IF('02_대상물건입력'!B15="",0,IF(ISNUMBER(SEARCH('02_대상물건입력'!B15,L1785)),1,0)))</f>
        <v/>
      </c>
      <c r="Q1785" s="152">
        <f>IF(OR(C1785="",L1785=""),0,IF(AND(TRIM(C1785)=TRIM(RIGHT(SUBSTITUTE(TRIM('02_대상물건입력'!$B$7)," ",REPT(" ",99)),99)),IF('02_대상물건입력'!B15="",TRUE(),ISNUMBER(SEARCH('02_대상물건입력'!B15,L1785)))),1,0))</f>
        <v/>
      </c>
      <c r="R1785" s="175">
        <f>IFERROR(ABS(E1785-'02_대상물건입력'!B11)/'02_대상물건입력'!B11,"")</f>
        <v/>
      </c>
      <c r="S1785" s="152">
        <f>IFERROR(ABS(J1785-'02_대상물건입력'!B10),"")</f>
        <v/>
      </c>
      <c r="T1785" s="152">
        <f>IFERROR(ABS('01_설정'!B4-F1785),"")</f>
        <v/>
      </c>
      <c r="U1785" s="152">
        <f>IFERROR(ABS(K1785-YEAR('02_대상물건입력'!B14)),"")</f>
        <v/>
      </c>
      <c r="V1785" s="152">
        <f>IF(B1785="","",IF(AND(E1785&gt;0,F1785&gt;0,H1785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1785=1,TRUE()),R1785&lt;='01_설정'!B5,S1785&lt;='01_설정'!B6,T1785&lt;='01_설정'!B7,U1785&lt;='01_설정'!B8),"Y",""))</f>
        <v/>
      </c>
      <c r="W1785" s="172">
        <f>IF(V1785&lt;&gt;"Y","",MAX(0,(1-R1785/'01_설정'!B5))*'01_설정'!B14+MAX(0,(1-S1785/'01_설정'!B6))*'01_설정'!B15+MAX(0,(1-T1785/'01_설정'!B7))*'01_설정'!B16+MAX(0,(1-U1785/'01_설정'!B8))*'01_설정'!B17+O1785*'01_설정'!B11+Q1785*'01_설정'!B12+P1785*'01_설정'!B13+IF(Z1785="",0,Z1785))</f>
        <v/>
      </c>
      <c r="X1785" s="152">
        <f>IF(W1785="","",1+COUNTIFS($W$4:$W$3003,"&gt;"&amp;W1785)+COUNTIFS($W$4:W1785,W1785)-1)</f>
        <v/>
      </c>
      <c r="Y1785" s="175">
        <f>IF(OR(I1785="",'02_대상물건입력'!B19="",'02_대상물건입력'!B19&lt;=0),"",ABS(I1785-'02_대상물건입력'!B19)/'02_대상물건입력'!B19)</f>
        <v/>
      </c>
      <c r="Z1785" s="172">
        <f>IF(OR(Y1785="",'01_설정'!B31="",'01_설정'!B31&lt;=0,'01_설정'!B32="",'01_설정'!B32&lt;=0),"",MAX(0,(1-Y1785/'01_설정'!B32))*'01_설정'!B31)</f>
        <v/>
      </c>
    </row>
    <row r="1786" ht="17.25" customHeight="1">
      <c r="A1786" s="152">
        <f>IF(INDEX('04A_국토부원자료'!$A:$A,ROW()+1)="","",ROW()-3)</f>
        <v/>
      </c>
      <c r="B1786" s="48">
        <f>IFERROR(INDEX('04A_국토부원자료'!$A:$T,ROW()+1,MATCH("시군구",'04A_국토부원자료'!$A$4:$T$4,0)),"")</f>
        <v/>
      </c>
      <c r="C1786" s="48">
        <f>IF(B1786="","",IFERROR(INDEX('04A_국토부원자료'!$A:$T,ROW()+1,MATCH("번지",'04A_국토부원자료'!$A$4:$T$4,0)),""))</f>
        <v/>
      </c>
      <c r="D1786" s="48">
        <f>IF(B1786="","",IF(Q1786=1,'02_대상물건입력'!$B$8,IFERROR(INDEX('04A_국토부원자료'!$A:$T,ROW()+1,MATCH("단지명",'04A_국토부원자료'!$A$4:$T$4,0)),"")))</f>
        <v/>
      </c>
      <c r="E1786" s="172">
        <f>IFERROR(VALUE(SUBSTITUTE(INDEX('04A_국토부원자료'!$A:$T,ROW()+1,MATCH("전용면적(㎡)",'04A_국토부원자료'!$A$4:$T$4,0)),",","")),"")</f>
        <v/>
      </c>
      <c r="F17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86" s="51">
        <f>IFERROR(VALUE(SUBSTITUTE(INDEX('04A_국토부원자료'!$A:$T,ROW()+1,MATCH("거래금액(만원)",'04A_국토부원자료'!$A$4:$T$4,0)),",","")),"")</f>
        <v/>
      </c>
      <c r="H1786" s="174">
        <f>IF(G1786="","",G1786*10000)</f>
        <v/>
      </c>
      <c r="I1786" s="174">
        <f>IFERROR(IF(AND(H1786&gt;0,E1786&gt;0),H1786/E1786,""),"")</f>
        <v/>
      </c>
      <c r="J1786" s="152">
        <f>IFERROR(VALUE(SUBSTITUTE(INDEX('04A_국토부원자료'!$A:$T,ROW()+1,MATCH("층",'04A_국토부원자료'!$A$4:$T$4,0)),",","")),"")</f>
        <v/>
      </c>
      <c r="K1786" s="152">
        <f>IFERROR(VALUE(SUBSTITUTE(INDEX('04A_국토부원자료'!$A:$T,ROW()+1,MATCH("건축년도",'04A_국토부원자료'!$A$4:$T$4,0)),",","")),"")</f>
        <v/>
      </c>
      <c r="L1786" s="176">
        <f>IFERROR(INDEX('04A_국토부원자료'!$A:$T,ROW()+1,MATCH("도로명",'04A_국토부원자료'!$A$4:$T$4,0)),"")</f>
        <v/>
      </c>
      <c r="M1786" s="48">
        <f>IFERROR(INDEX('04A_국토부원자료'!$A:$T,ROW()+1,MATCH("거래유형",'04A_국토부원자료'!$A$4:$T$4,0)),"")</f>
        <v/>
      </c>
      <c r="N1786" s="152">
        <f>IF(B1786="","",IF('02_대상물건입력'!B5="",1,IF(ISNUMBER(SEARCH('02_대상물건입력'!B5,B1786)),1,0)))</f>
        <v/>
      </c>
      <c r="O1786" s="152">
        <f>IF(B1786="","",IF('02_대상물건입력'!B6="",1,IF(ISNUMBER(SEARCH('02_대상물건입력'!B6,B1786)),1,0)))</f>
        <v/>
      </c>
      <c r="P1786" s="152">
        <f>IF(L1786="","",IF('02_대상물건입력'!B15="",0,IF(ISNUMBER(SEARCH('02_대상물건입력'!B15,L1786)),1,0)))</f>
        <v/>
      </c>
      <c r="Q1786" s="152">
        <f>IF(OR(C1786="",L1786=""),0,IF(AND(TRIM(C1786)=TRIM(RIGHT(SUBSTITUTE(TRIM('02_대상물건입력'!$B$7)," ",REPT(" ",99)),99)),IF('02_대상물건입력'!B15="",TRUE(),ISNUMBER(SEARCH('02_대상물건입력'!B15,L1786)))),1,0))</f>
        <v/>
      </c>
      <c r="R1786" s="175">
        <f>IFERROR(ABS(E1786-'02_대상물건입력'!B11)/'02_대상물건입력'!B11,"")</f>
        <v/>
      </c>
      <c r="S1786" s="152">
        <f>IFERROR(ABS(J1786-'02_대상물건입력'!B10),"")</f>
        <v/>
      </c>
      <c r="T1786" s="152">
        <f>IFERROR(ABS('01_설정'!B4-F1786),"")</f>
        <v/>
      </c>
      <c r="U1786" s="152">
        <f>IFERROR(ABS(K1786-YEAR('02_대상물건입력'!B14)),"")</f>
        <v/>
      </c>
      <c r="V1786" s="152">
        <f>IF(B1786="","",IF(AND(E1786&gt;0,F1786&gt;0,H1786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1786=1,TRUE()),R1786&lt;='01_설정'!B5,S1786&lt;='01_설정'!B6,T1786&lt;='01_설정'!B7,U1786&lt;='01_설정'!B8),"Y",""))</f>
        <v/>
      </c>
      <c r="W1786" s="172">
        <f>IF(V1786&lt;&gt;"Y","",MAX(0,(1-R1786/'01_설정'!B5))*'01_설정'!B14+MAX(0,(1-S1786/'01_설정'!B6))*'01_설정'!B15+MAX(0,(1-T1786/'01_설정'!B7))*'01_설정'!B16+MAX(0,(1-U1786/'01_설정'!B8))*'01_설정'!B17+O1786*'01_설정'!B11+Q1786*'01_설정'!B12+P1786*'01_설정'!B13+IF(Z1786="",0,Z1786))</f>
        <v/>
      </c>
      <c r="X1786" s="152">
        <f>IF(W1786="","",1+COUNTIFS($W$4:$W$3003,"&gt;"&amp;W1786)+COUNTIFS($W$4:W1786,W1786)-1)</f>
        <v/>
      </c>
      <c r="Y1786" s="175">
        <f>IF(OR(I1786="",'02_대상물건입력'!B19="",'02_대상물건입력'!B19&lt;=0),"",ABS(I1786-'02_대상물건입력'!B19)/'02_대상물건입력'!B19)</f>
        <v/>
      </c>
      <c r="Z1786" s="172">
        <f>IF(OR(Y1786="",'01_설정'!B31="",'01_설정'!B31&lt;=0,'01_설정'!B32="",'01_설정'!B32&lt;=0),"",MAX(0,(1-Y1786/'01_설정'!B32))*'01_설정'!B31)</f>
        <v/>
      </c>
    </row>
    <row r="1787" ht="17.25" customHeight="1">
      <c r="A1787" s="152">
        <f>IF(INDEX('04A_국토부원자료'!$A:$A,ROW()+1)="","",ROW()-3)</f>
        <v/>
      </c>
      <c r="B1787" s="48">
        <f>IFERROR(INDEX('04A_국토부원자료'!$A:$T,ROW()+1,MATCH("시군구",'04A_국토부원자료'!$A$4:$T$4,0)),"")</f>
        <v/>
      </c>
      <c r="C1787" s="48">
        <f>IF(B1787="","",IFERROR(INDEX('04A_국토부원자료'!$A:$T,ROW()+1,MATCH("번지",'04A_국토부원자료'!$A$4:$T$4,0)),""))</f>
        <v/>
      </c>
      <c r="D1787" s="48">
        <f>IF(B1787="","",IF(Q1787=1,'02_대상물건입력'!$B$8,IFERROR(INDEX('04A_국토부원자료'!$A:$T,ROW()+1,MATCH("단지명",'04A_국토부원자료'!$A$4:$T$4,0)),"")))</f>
        <v/>
      </c>
      <c r="E1787" s="172">
        <f>IFERROR(VALUE(SUBSTITUTE(INDEX('04A_국토부원자료'!$A:$T,ROW()+1,MATCH("전용면적(㎡)",'04A_국토부원자료'!$A$4:$T$4,0)),",","")),"")</f>
        <v/>
      </c>
      <c r="F17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87" s="51">
        <f>IFERROR(VALUE(SUBSTITUTE(INDEX('04A_국토부원자료'!$A:$T,ROW()+1,MATCH("거래금액(만원)",'04A_국토부원자료'!$A$4:$T$4,0)),",","")),"")</f>
        <v/>
      </c>
      <c r="H1787" s="174">
        <f>IF(G1787="","",G1787*10000)</f>
        <v/>
      </c>
      <c r="I1787" s="174">
        <f>IFERROR(IF(AND(H1787&gt;0,E1787&gt;0),H1787/E1787,""),"")</f>
        <v/>
      </c>
      <c r="J1787" s="152">
        <f>IFERROR(VALUE(SUBSTITUTE(INDEX('04A_국토부원자료'!$A:$T,ROW()+1,MATCH("층",'04A_국토부원자료'!$A$4:$T$4,0)),",","")),"")</f>
        <v/>
      </c>
      <c r="K1787" s="152">
        <f>IFERROR(VALUE(SUBSTITUTE(INDEX('04A_국토부원자료'!$A:$T,ROW()+1,MATCH("건축년도",'04A_국토부원자료'!$A$4:$T$4,0)),",","")),"")</f>
        <v/>
      </c>
      <c r="L1787" s="176">
        <f>IFERROR(INDEX('04A_국토부원자료'!$A:$T,ROW()+1,MATCH("도로명",'04A_국토부원자료'!$A$4:$T$4,0)),"")</f>
        <v/>
      </c>
      <c r="M1787" s="48">
        <f>IFERROR(INDEX('04A_국토부원자료'!$A:$T,ROW()+1,MATCH("거래유형",'04A_국토부원자료'!$A$4:$T$4,0)),"")</f>
        <v/>
      </c>
      <c r="N1787" s="152">
        <f>IF(B1787="","",IF('02_대상물건입력'!B5="",1,IF(ISNUMBER(SEARCH('02_대상물건입력'!B5,B1787)),1,0)))</f>
        <v/>
      </c>
      <c r="O1787" s="152">
        <f>IF(B1787="","",IF('02_대상물건입력'!B6="",1,IF(ISNUMBER(SEARCH('02_대상물건입력'!B6,B1787)),1,0)))</f>
        <v/>
      </c>
      <c r="P1787" s="152">
        <f>IF(L1787="","",IF('02_대상물건입력'!B15="",0,IF(ISNUMBER(SEARCH('02_대상물건입력'!B15,L1787)),1,0)))</f>
        <v/>
      </c>
      <c r="Q1787" s="152">
        <f>IF(OR(C1787="",L1787=""),0,IF(AND(TRIM(C1787)=TRIM(RIGHT(SUBSTITUTE(TRIM('02_대상물건입력'!$B$7)," ",REPT(" ",99)),99)),IF('02_대상물건입력'!B15="",TRUE(),ISNUMBER(SEARCH('02_대상물건입력'!B15,L1787)))),1,0))</f>
        <v/>
      </c>
      <c r="R1787" s="175">
        <f>IFERROR(ABS(E1787-'02_대상물건입력'!B11)/'02_대상물건입력'!B11,"")</f>
        <v/>
      </c>
      <c r="S1787" s="152">
        <f>IFERROR(ABS(J1787-'02_대상물건입력'!B10),"")</f>
        <v/>
      </c>
      <c r="T1787" s="152">
        <f>IFERROR(ABS('01_설정'!B4-F1787),"")</f>
        <v/>
      </c>
      <c r="U1787" s="152">
        <f>IFERROR(ABS(K1787-YEAR('02_대상물건입력'!B14)),"")</f>
        <v/>
      </c>
      <c r="V1787" s="152">
        <f>IF(B1787="","",IF(AND(E1787&gt;0,F1787&gt;0,H1787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1787=1,TRUE()),R1787&lt;='01_설정'!B5,S1787&lt;='01_설정'!B6,T1787&lt;='01_설정'!B7,U1787&lt;='01_설정'!B8),"Y",""))</f>
        <v/>
      </c>
      <c r="W1787" s="172">
        <f>IF(V1787&lt;&gt;"Y","",MAX(0,(1-R1787/'01_설정'!B5))*'01_설정'!B14+MAX(0,(1-S1787/'01_설정'!B6))*'01_설정'!B15+MAX(0,(1-T1787/'01_설정'!B7))*'01_설정'!B16+MAX(0,(1-U1787/'01_설정'!B8))*'01_설정'!B17+O1787*'01_설정'!B11+Q1787*'01_설정'!B12+P1787*'01_설정'!B13+IF(Z1787="",0,Z1787))</f>
        <v/>
      </c>
      <c r="X1787" s="152">
        <f>IF(W1787="","",1+COUNTIFS($W$4:$W$3003,"&gt;"&amp;W1787)+COUNTIFS($W$4:W1787,W1787)-1)</f>
        <v/>
      </c>
      <c r="Y1787" s="175">
        <f>IF(OR(I1787="",'02_대상물건입력'!B19="",'02_대상물건입력'!B19&lt;=0),"",ABS(I1787-'02_대상물건입력'!B19)/'02_대상물건입력'!B19)</f>
        <v/>
      </c>
      <c r="Z1787" s="172">
        <f>IF(OR(Y1787="",'01_설정'!B31="",'01_설정'!B31&lt;=0,'01_설정'!B32="",'01_설정'!B32&lt;=0),"",MAX(0,(1-Y1787/'01_설정'!B32))*'01_설정'!B31)</f>
        <v/>
      </c>
    </row>
    <row r="1788" ht="17.25" customHeight="1">
      <c r="A1788" s="152">
        <f>IF(INDEX('04A_국토부원자료'!$A:$A,ROW()+1)="","",ROW()-3)</f>
        <v/>
      </c>
      <c r="B1788" s="48">
        <f>IFERROR(INDEX('04A_국토부원자료'!$A:$T,ROW()+1,MATCH("시군구",'04A_국토부원자료'!$A$4:$T$4,0)),"")</f>
        <v/>
      </c>
      <c r="C1788" s="48">
        <f>IF(B1788="","",IFERROR(INDEX('04A_국토부원자료'!$A:$T,ROW()+1,MATCH("번지",'04A_국토부원자료'!$A$4:$T$4,0)),""))</f>
        <v/>
      </c>
      <c r="D1788" s="48">
        <f>IF(B1788="","",IF(Q1788=1,'02_대상물건입력'!$B$8,IFERROR(INDEX('04A_국토부원자료'!$A:$T,ROW()+1,MATCH("단지명",'04A_국토부원자료'!$A$4:$T$4,0)),"")))</f>
        <v/>
      </c>
      <c r="E1788" s="172">
        <f>IFERROR(VALUE(SUBSTITUTE(INDEX('04A_국토부원자료'!$A:$T,ROW()+1,MATCH("전용면적(㎡)",'04A_국토부원자료'!$A$4:$T$4,0)),",","")),"")</f>
        <v/>
      </c>
      <c r="F17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88" s="51">
        <f>IFERROR(VALUE(SUBSTITUTE(INDEX('04A_국토부원자료'!$A:$T,ROW()+1,MATCH("거래금액(만원)",'04A_국토부원자료'!$A$4:$T$4,0)),",","")),"")</f>
        <v/>
      </c>
      <c r="H1788" s="174">
        <f>IF(G1788="","",G1788*10000)</f>
        <v/>
      </c>
      <c r="I1788" s="174">
        <f>IFERROR(IF(AND(H1788&gt;0,E1788&gt;0),H1788/E1788,""),"")</f>
        <v/>
      </c>
      <c r="J1788" s="152">
        <f>IFERROR(VALUE(SUBSTITUTE(INDEX('04A_국토부원자료'!$A:$T,ROW()+1,MATCH("층",'04A_국토부원자료'!$A$4:$T$4,0)),",","")),"")</f>
        <v/>
      </c>
      <c r="K1788" s="152">
        <f>IFERROR(VALUE(SUBSTITUTE(INDEX('04A_국토부원자료'!$A:$T,ROW()+1,MATCH("건축년도",'04A_국토부원자료'!$A$4:$T$4,0)),",","")),"")</f>
        <v/>
      </c>
      <c r="L1788" s="176">
        <f>IFERROR(INDEX('04A_국토부원자료'!$A:$T,ROW()+1,MATCH("도로명",'04A_국토부원자료'!$A$4:$T$4,0)),"")</f>
        <v/>
      </c>
      <c r="M1788" s="48">
        <f>IFERROR(INDEX('04A_국토부원자료'!$A:$T,ROW()+1,MATCH("거래유형",'04A_국토부원자료'!$A$4:$T$4,0)),"")</f>
        <v/>
      </c>
      <c r="N1788" s="152">
        <f>IF(B1788="","",IF('02_대상물건입력'!B5="",1,IF(ISNUMBER(SEARCH('02_대상물건입력'!B5,B1788)),1,0)))</f>
        <v/>
      </c>
      <c r="O1788" s="152">
        <f>IF(B1788="","",IF('02_대상물건입력'!B6="",1,IF(ISNUMBER(SEARCH('02_대상물건입력'!B6,B1788)),1,0)))</f>
        <v/>
      </c>
      <c r="P1788" s="152">
        <f>IF(L1788="","",IF('02_대상물건입력'!B15="",0,IF(ISNUMBER(SEARCH('02_대상물건입력'!B15,L1788)),1,0)))</f>
        <v/>
      </c>
      <c r="Q1788" s="152">
        <f>IF(OR(C1788="",L1788=""),0,IF(AND(TRIM(C1788)=TRIM(RIGHT(SUBSTITUTE(TRIM('02_대상물건입력'!$B$7)," ",REPT(" ",99)),99)),IF('02_대상물건입력'!B15="",TRUE(),ISNUMBER(SEARCH('02_대상물건입력'!B15,L1788)))),1,0))</f>
        <v/>
      </c>
      <c r="R1788" s="175">
        <f>IFERROR(ABS(E1788-'02_대상물건입력'!B11)/'02_대상물건입력'!B11,"")</f>
        <v/>
      </c>
      <c r="S1788" s="152">
        <f>IFERROR(ABS(J1788-'02_대상물건입력'!B10),"")</f>
        <v/>
      </c>
      <c r="T1788" s="152">
        <f>IFERROR(ABS('01_설정'!B4-F1788),"")</f>
        <v/>
      </c>
      <c r="U1788" s="152">
        <f>IFERROR(ABS(K1788-YEAR('02_대상물건입력'!B14)),"")</f>
        <v/>
      </c>
      <c r="V1788" s="152">
        <f>IF(B1788="","",IF(AND(E1788&gt;0,F1788&gt;0,H1788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1788=1,TRUE()),R1788&lt;='01_설정'!B5,S1788&lt;='01_설정'!B6,T1788&lt;='01_설정'!B7,U1788&lt;='01_설정'!B8),"Y",""))</f>
        <v/>
      </c>
      <c r="W1788" s="172">
        <f>IF(V1788&lt;&gt;"Y","",MAX(0,(1-R1788/'01_설정'!B5))*'01_설정'!B14+MAX(0,(1-S1788/'01_설정'!B6))*'01_설정'!B15+MAX(0,(1-T1788/'01_설정'!B7))*'01_설정'!B16+MAX(0,(1-U1788/'01_설정'!B8))*'01_설정'!B17+O1788*'01_설정'!B11+Q1788*'01_설정'!B12+P1788*'01_설정'!B13+IF(Z1788="",0,Z1788))</f>
        <v/>
      </c>
      <c r="X1788" s="152">
        <f>IF(W1788="","",1+COUNTIFS($W$4:$W$3003,"&gt;"&amp;W1788)+COUNTIFS($W$4:W1788,W1788)-1)</f>
        <v/>
      </c>
      <c r="Y1788" s="175">
        <f>IF(OR(I1788="",'02_대상물건입력'!B19="",'02_대상물건입력'!B19&lt;=0),"",ABS(I1788-'02_대상물건입력'!B19)/'02_대상물건입력'!B19)</f>
        <v/>
      </c>
      <c r="Z1788" s="172">
        <f>IF(OR(Y1788="",'01_설정'!B31="",'01_설정'!B31&lt;=0,'01_설정'!B32="",'01_설정'!B32&lt;=0),"",MAX(0,(1-Y1788/'01_설정'!B32))*'01_설정'!B31)</f>
        <v/>
      </c>
    </row>
    <row r="1789" ht="17.25" customHeight="1">
      <c r="A1789" s="152">
        <f>IF(INDEX('04A_국토부원자료'!$A:$A,ROW()+1)="","",ROW()-3)</f>
        <v/>
      </c>
      <c r="B1789" s="48">
        <f>IFERROR(INDEX('04A_국토부원자료'!$A:$T,ROW()+1,MATCH("시군구",'04A_국토부원자료'!$A$4:$T$4,0)),"")</f>
        <v/>
      </c>
      <c r="C1789" s="48">
        <f>IF(B1789="","",IFERROR(INDEX('04A_국토부원자료'!$A:$T,ROW()+1,MATCH("번지",'04A_국토부원자료'!$A$4:$T$4,0)),""))</f>
        <v/>
      </c>
      <c r="D1789" s="48">
        <f>IF(B1789="","",IF(Q1789=1,'02_대상물건입력'!$B$8,IFERROR(INDEX('04A_국토부원자료'!$A:$T,ROW()+1,MATCH("단지명",'04A_국토부원자료'!$A$4:$T$4,0)),"")))</f>
        <v/>
      </c>
      <c r="E1789" s="172">
        <f>IFERROR(VALUE(SUBSTITUTE(INDEX('04A_국토부원자료'!$A:$T,ROW()+1,MATCH("전용면적(㎡)",'04A_국토부원자료'!$A$4:$T$4,0)),",","")),"")</f>
        <v/>
      </c>
      <c r="F17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89" s="51">
        <f>IFERROR(VALUE(SUBSTITUTE(INDEX('04A_국토부원자료'!$A:$T,ROW()+1,MATCH("거래금액(만원)",'04A_국토부원자료'!$A$4:$T$4,0)),",","")),"")</f>
        <v/>
      </c>
      <c r="H1789" s="174">
        <f>IF(G1789="","",G1789*10000)</f>
        <v/>
      </c>
      <c r="I1789" s="174">
        <f>IFERROR(IF(AND(H1789&gt;0,E1789&gt;0),H1789/E1789,""),"")</f>
        <v/>
      </c>
      <c r="J1789" s="152">
        <f>IFERROR(VALUE(SUBSTITUTE(INDEX('04A_국토부원자료'!$A:$T,ROW()+1,MATCH("층",'04A_국토부원자료'!$A$4:$T$4,0)),",","")),"")</f>
        <v/>
      </c>
      <c r="K1789" s="152">
        <f>IFERROR(VALUE(SUBSTITUTE(INDEX('04A_국토부원자료'!$A:$T,ROW()+1,MATCH("건축년도",'04A_국토부원자료'!$A$4:$T$4,0)),",","")),"")</f>
        <v/>
      </c>
      <c r="L1789" s="176">
        <f>IFERROR(INDEX('04A_국토부원자료'!$A:$T,ROW()+1,MATCH("도로명",'04A_국토부원자료'!$A$4:$T$4,0)),"")</f>
        <v/>
      </c>
      <c r="M1789" s="48">
        <f>IFERROR(INDEX('04A_국토부원자료'!$A:$T,ROW()+1,MATCH("거래유형",'04A_국토부원자료'!$A$4:$T$4,0)),"")</f>
        <v/>
      </c>
      <c r="N1789" s="152">
        <f>IF(B1789="","",IF('02_대상물건입력'!B5="",1,IF(ISNUMBER(SEARCH('02_대상물건입력'!B5,B1789)),1,0)))</f>
        <v/>
      </c>
      <c r="O1789" s="152">
        <f>IF(B1789="","",IF('02_대상물건입력'!B6="",1,IF(ISNUMBER(SEARCH('02_대상물건입력'!B6,B1789)),1,0)))</f>
        <v/>
      </c>
      <c r="P1789" s="152">
        <f>IF(L1789="","",IF('02_대상물건입력'!B15="",0,IF(ISNUMBER(SEARCH('02_대상물건입력'!B15,L1789)),1,0)))</f>
        <v/>
      </c>
      <c r="Q1789" s="152">
        <f>IF(OR(C1789="",L1789=""),0,IF(AND(TRIM(C1789)=TRIM(RIGHT(SUBSTITUTE(TRIM('02_대상물건입력'!$B$7)," ",REPT(" ",99)),99)),IF('02_대상물건입력'!B15="",TRUE(),ISNUMBER(SEARCH('02_대상물건입력'!B15,L1789)))),1,0))</f>
        <v/>
      </c>
      <c r="R1789" s="175">
        <f>IFERROR(ABS(E1789-'02_대상물건입력'!B11)/'02_대상물건입력'!B11,"")</f>
        <v/>
      </c>
      <c r="S1789" s="152">
        <f>IFERROR(ABS(J1789-'02_대상물건입력'!B10),"")</f>
        <v/>
      </c>
      <c r="T1789" s="152">
        <f>IFERROR(ABS('01_설정'!B4-F1789),"")</f>
        <v/>
      </c>
      <c r="U1789" s="152">
        <f>IFERROR(ABS(K1789-YEAR('02_대상물건입력'!B14)),"")</f>
        <v/>
      </c>
      <c r="V1789" s="152">
        <f>IF(B1789="","",IF(AND(E1789&gt;0,F1789&gt;0,H1789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1789=1,TRUE()),R1789&lt;='01_설정'!B5,S1789&lt;='01_설정'!B6,T1789&lt;='01_설정'!B7,U1789&lt;='01_설정'!B8),"Y",""))</f>
        <v/>
      </c>
      <c r="W1789" s="172">
        <f>IF(V1789&lt;&gt;"Y","",MAX(0,(1-R1789/'01_설정'!B5))*'01_설정'!B14+MAX(0,(1-S1789/'01_설정'!B6))*'01_설정'!B15+MAX(0,(1-T1789/'01_설정'!B7))*'01_설정'!B16+MAX(0,(1-U1789/'01_설정'!B8))*'01_설정'!B17+O1789*'01_설정'!B11+Q1789*'01_설정'!B12+P1789*'01_설정'!B13+IF(Z1789="",0,Z1789))</f>
        <v/>
      </c>
      <c r="X1789" s="152">
        <f>IF(W1789="","",1+COUNTIFS($W$4:$W$3003,"&gt;"&amp;W1789)+COUNTIFS($W$4:W1789,W1789)-1)</f>
        <v/>
      </c>
      <c r="Y1789" s="175">
        <f>IF(OR(I1789="",'02_대상물건입력'!B19="",'02_대상물건입력'!B19&lt;=0),"",ABS(I1789-'02_대상물건입력'!B19)/'02_대상물건입력'!B19)</f>
        <v/>
      </c>
      <c r="Z1789" s="172">
        <f>IF(OR(Y1789="",'01_설정'!B31="",'01_설정'!B31&lt;=0,'01_설정'!B32="",'01_설정'!B32&lt;=0),"",MAX(0,(1-Y1789/'01_설정'!B32))*'01_설정'!B31)</f>
        <v/>
      </c>
    </row>
    <row r="1790" ht="17.25" customHeight="1">
      <c r="A1790" s="152">
        <f>IF(INDEX('04A_국토부원자료'!$A:$A,ROW()+1)="","",ROW()-3)</f>
        <v/>
      </c>
      <c r="B1790" s="48">
        <f>IFERROR(INDEX('04A_국토부원자료'!$A:$T,ROW()+1,MATCH("시군구",'04A_국토부원자료'!$A$4:$T$4,0)),"")</f>
        <v/>
      </c>
      <c r="C1790" s="48">
        <f>IF(B1790="","",IFERROR(INDEX('04A_국토부원자료'!$A:$T,ROW()+1,MATCH("번지",'04A_국토부원자료'!$A$4:$T$4,0)),""))</f>
        <v/>
      </c>
      <c r="D1790" s="48">
        <f>IF(B1790="","",IF(Q1790=1,'02_대상물건입력'!$B$8,IFERROR(INDEX('04A_국토부원자료'!$A:$T,ROW()+1,MATCH("단지명",'04A_국토부원자료'!$A$4:$T$4,0)),"")))</f>
        <v/>
      </c>
      <c r="E1790" s="172">
        <f>IFERROR(VALUE(SUBSTITUTE(INDEX('04A_국토부원자료'!$A:$T,ROW()+1,MATCH("전용면적(㎡)",'04A_국토부원자료'!$A$4:$T$4,0)),",","")),"")</f>
        <v/>
      </c>
      <c r="F17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90" s="51">
        <f>IFERROR(VALUE(SUBSTITUTE(INDEX('04A_국토부원자료'!$A:$T,ROW()+1,MATCH("거래금액(만원)",'04A_국토부원자료'!$A$4:$T$4,0)),",","")),"")</f>
        <v/>
      </c>
      <c r="H1790" s="174">
        <f>IF(G1790="","",G1790*10000)</f>
        <v/>
      </c>
      <c r="I1790" s="174">
        <f>IFERROR(IF(AND(H1790&gt;0,E1790&gt;0),H1790/E1790,""),"")</f>
        <v/>
      </c>
      <c r="J1790" s="152">
        <f>IFERROR(VALUE(SUBSTITUTE(INDEX('04A_국토부원자료'!$A:$T,ROW()+1,MATCH("층",'04A_국토부원자료'!$A$4:$T$4,0)),",","")),"")</f>
        <v/>
      </c>
      <c r="K1790" s="152">
        <f>IFERROR(VALUE(SUBSTITUTE(INDEX('04A_국토부원자료'!$A:$T,ROW()+1,MATCH("건축년도",'04A_국토부원자료'!$A$4:$T$4,0)),",","")),"")</f>
        <v/>
      </c>
      <c r="L1790" s="176">
        <f>IFERROR(INDEX('04A_국토부원자료'!$A:$T,ROW()+1,MATCH("도로명",'04A_국토부원자료'!$A$4:$T$4,0)),"")</f>
        <v/>
      </c>
      <c r="M1790" s="48">
        <f>IFERROR(INDEX('04A_국토부원자료'!$A:$T,ROW()+1,MATCH("거래유형",'04A_국토부원자료'!$A$4:$T$4,0)),"")</f>
        <v/>
      </c>
      <c r="N1790" s="152">
        <f>IF(B1790="","",IF('02_대상물건입력'!B5="",1,IF(ISNUMBER(SEARCH('02_대상물건입력'!B5,B1790)),1,0)))</f>
        <v/>
      </c>
      <c r="O1790" s="152">
        <f>IF(B1790="","",IF('02_대상물건입력'!B6="",1,IF(ISNUMBER(SEARCH('02_대상물건입력'!B6,B1790)),1,0)))</f>
        <v/>
      </c>
      <c r="P1790" s="152">
        <f>IF(L1790="","",IF('02_대상물건입력'!B15="",0,IF(ISNUMBER(SEARCH('02_대상물건입력'!B15,L1790)),1,0)))</f>
        <v/>
      </c>
      <c r="Q1790" s="152">
        <f>IF(OR(C1790="",L1790=""),0,IF(AND(TRIM(C1790)=TRIM(RIGHT(SUBSTITUTE(TRIM('02_대상물건입력'!$B$7)," ",REPT(" ",99)),99)),IF('02_대상물건입력'!B15="",TRUE(),ISNUMBER(SEARCH('02_대상물건입력'!B15,L1790)))),1,0))</f>
        <v/>
      </c>
      <c r="R1790" s="175">
        <f>IFERROR(ABS(E1790-'02_대상물건입력'!B11)/'02_대상물건입력'!B11,"")</f>
        <v/>
      </c>
      <c r="S1790" s="152">
        <f>IFERROR(ABS(J1790-'02_대상물건입력'!B10),"")</f>
        <v/>
      </c>
      <c r="T1790" s="152">
        <f>IFERROR(ABS('01_설정'!B4-F1790),"")</f>
        <v/>
      </c>
      <c r="U1790" s="152">
        <f>IFERROR(ABS(K1790-YEAR('02_대상물건입력'!B14)),"")</f>
        <v/>
      </c>
      <c r="V1790" s="152">
        <f>IF(B1790="","",IF(AND(E1790&gt;0,F1790&gt;0,H1790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1790=1,TRUE()),R1790&lt;='01_설정'!B5,S1790&lt;='01_설정'!B6,T1790&lt;='01_설정'!B7,U1790&lt;='01_설정'!B8),"Y",""))</f>
        <v/>
      </c>
      <c r="W1790" s="172">
        <f>IF(V1790&lt;&gt;"Y","",MAX(0,(1-R1790/'01_설정'!B5))*'01_설정'!B14+MAX(0,(1-S1790/'01_설정'!B6))*'01_설정'!B15+MAX(0,(1-T1790/'01_설정'!B7))*'01_설정'!B16+MAX(0,(1-U1790/'01_설정'!B8))*'01_설정'!B17+O1790*'01_설정'!B11+Q1790*'01_설정'!B12+P1790*'01_설정'!B13+IF(Z1790="",0,Z1790))</f>
        <v/>
      </c>
      <c r="X1790" s="152">
        <f>IF(W1790="","",1+COUNTIFS($W$4:$W$3003,"&gt;"&amp;W1790)+COUNTIFS($W$4:W1790,W1790)-1)</f>
        <v/>
      </c>
      <c r="Y1790" s="175">
        <f>IF(OR(I1790="",'02_대상물건입력'!B19="",'02_대상물건입력'!B19&lt;=0),"",ABS(I1790-'02_대상물건입력'!B19)/'02_대상물건입력'!B19)</f>
        <v/>
      </c>
      <c r="Z1790" s="172">
        <f>IF(OR(Y1790="",'01_설정'!B31="",'01_설정'!B31&lt;=0,'01_설정'!B32="",'01_설정'!B32&lt;=0),"",MAX(0,(1-Y1790/'01_설정'!B32))*'01_설정'!B31)</f>
        <v/>
      </c>
    </row>
    <row r="1791" ht="17.25" customHeight="1">
      <c r="A1791" s="152">
        <f>IF(INDEX('04A_국토부원자료'!$A:$A,ROW()+1)="","",ROW()-3)</f>
        <v/>
      </c>
      <c r="B1791" s="48">
        <f>IFERROR(INDEX('04A_국토부원자료'!$A:$T,ROW()+1,MATCH("시군구",'04A_국토부원자료'!$A$4:$T$4,0)),"")</f>
        <v/>
      </c>
      <c r="C1791" s="48">
        <f>IF(B1791="","",IFERROR(INDEX('04A_국토부원자료'!$A:$T,ROW()+1,MATCH("번지",'04A_국토부원자료'!$A$4:$T$4,0)),""))</f>
        <v/>
      </c>
      <c r="D1791" s="48">
        <f>IF(B1791="","",IF(Q1791=1,'02_대상물건입력'!$B$8,IFERROR(INDEX('04A_국토부원자료'!$A:$T,ROW()+1,MATCH("단지명",'04A_국토부원자료'!$A$4:$T$4,0)),"")))</f>
        <v/>
      </c>
      <c r="E1791" s="172">
        <f>IFERROR(VALUE(SUBSTITUTE(INDEX('04A_국토부원자료'!$A:$T,ROW()+1,MATCH("전용면적(㎡)",'04A_국토부원자료'!$A$4:$T$4,0)),",","")),"")</f>
        <v/>
      </c>
      <c r="F17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91" s="51">
        <f>IFERROR(VALUE(SUBSTITUTE(INDEX('04A_국토부원자료'!$A:$T,ROW()+1,MATCH("거래금액(만원)",'04A_국토부원자료'!$A$4:$T$4,0)),",","")),"")</f>
        <v/>
      </c>
      <c r="H1791" s="174">
        <f>IF(G1791="","",G1791*10000)</f>
        <v/>
      </c>
      <c r="I1791" s="174">
        <f>IFERROR(IF(AND(H1791&gt;0,E1791&gt;0),H1791/E1791,""),"")</f>
        <v/>
      </c>
      <c r="J1791" s="152">
        <f>IFERROR(VALUE(SUBSTITUTE(INDEX('04A_국토부원자료'!$A:$T,ROW()+1,MATCH("층",'04A_국토부원자료'!$A$4:$T$4,0)),",","")),"")</f>
        <v/>
      </c>
      <c r="K1791" s="152">
        <f>IFERROR(VALUE(SUBSTITUTE(INDEX('04A_국토부원자료'!$A:$T,ROW()+1,MATCH("건축년도",'04A_국토부원자료'!$A$4:$T$4,0)),",","")),"")</f>
        <v/>
      </c>
      <c r="L1791" s="176">
        <f>IFERROR(INDEX('04A_국토부원자료'!$A:$T,ROW()+1,MATCH("도로명",'04A_국토부원자료'!$A$4:$T$4,0)),"")</f>
        <v/>
      </c>
      <c r="M1791" s="48">
        <f>IFERROR(INDEX('04A_국토부원자료'!$A:$T,ROW()+1,MATCH("거래유형",'04A_국토부원자료'!$A$4:$T$4,0)),"")</f>
        <v/>
      </c>
      <c r="N1791" s="152">
        <f>IF(B1791="","",IF('02_대상물건입력'!B5="",1,IF(ISNUMBER(SEARCH('02_대상물건입력'!B5,B1791)),1,0)))</f>
        <v/>
      </c>
      <c r="O1791" s="152">
        <f>IF(B1791="","",IF('02_대상물건입력'!B6="",1,IF(ISNUMBER(SEARCH('02_대상물건입력'!B6,B1791)),1,0)))</f>
        <v/>
      </c>
      <c r="P1791" s="152">
        <f>IF(L1791="","",IF('02_대상물건입력'!B15="",0,IF(ISNUMBER(SEARCH('02_대상물건입력'!B15,L1791)),1,0)))</f>
        <v/>
      </c>
      <c r="Q1791" s="152">
        <f>IF(OR(C1791="",L1791=""),0,IF(AND(TRIM(C1791)=TRIM(RIGHT(SUBSTITUTE(TRIM('02_대상물건입력'!$B$7)," ",REPT(" ",99)),99)),IF('02_대상물건입력'!B15="",TRUE(),ISNUMBER(SEARCH('02_대상물건입력'!B15,L1791)))),1,0))</f>
        <v/>
      </c>
      <c r="R1791" s="175">
        <f>IFERROR(ABS(E1791-'02_대상물건입력'!B11)/'02_대상물건입력'!B11,"")</f>
        <v/>
      </c>
      <c r="S1791" s="152">
        <f>IFERROR(ABS(J1791-'02_대상물건입력'!B10),"")</f>
        <v/>
      </c>
      <c r="T1791" s="152">
        <f>IFERROR(ABS('01_설정'!B4-F1791),"")</f>
        <v/>
      </c>
      <c r="U1791" s="152">
        <f>IFERROR(ABS(K1791-YEAR('02_대상물건입력'!B14)),"")</f>
        <v/>
      </c>
      <c r="V1791" s="152">
        <f>IF(B1791="","",IF(AND(E1791&gt;0,F1791&gt;0,H1791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1791=1,TRUE()),R1791&lt;='01_설정'!B5,S1791&lt;='01_설정'!B6,T1791&lt;='01_설정'!B7,U1791&lt;='01_설정'!B8),"Y",""))</f>
        <v/>
      </c>
      <c r="W1791" s="172">
        <f>IF(V1791&lt;&gt;"Y","",MAX(0,(1-R1791/'01_설정'!B5))*'01_설정'!B14+MAX(0,(1-S1791/'01_설정'!B6))*'01_설정'!B15+MAX(0,(1-T1791/'01_설정'!B7))*'01_설정'!B16+MAX(0,(1-U1791/'01_설정'!B8))*'01_설정'!B17+O1791*'01_설정'!B11+Q1791*'01_설정'!B12+P1791*'01_설정'!B13+IF(Z1791="",0,Z1791))</f>
        <v/>
      </c>
      <c r="X1791" s="152">
        <f>IF(W1791="","",1+COUNTIFS($W$4:$W$3003,"&gt;"&amp;W1791)+COUNTIFS($W$4:W1791,W1791)-1)</f>
        <v/>
      </c>
      <c r="Y1791" s="175">
        <f>IF(OR(I1791="",'02_대상물건입력'!B19="",'02_대상물건입력'!B19&lt;=0),"",ABS(I1791-'02_대상물건입력'!B19)/'02_대상물건입력'!B19)</f>
        <v/>
      </c>
      <c r="Z1791" s="172">
        <f>IF(OR(Y1791="",'01_설정'!B31="",'01_설정'!B31&lt;=0,'01_설정'!B32="",'01_설정'!B32&lt;=0),"",MAX(0,(1-Y1791/'01_설정'!B32))*'01_설정'!B31)</f>
        <v/>
      </c>
    </row>
    <row r="1792" ht="17.25" customHeight="1">
      <c r="A1792" s="152">
        <f>IF(INDEX('04A_국토부원자료'!$A:$A,ROW()+1)="","",ROW()-3)</f>
        <v/>
      </c>
      <c r="B1792" s="48">
        <f>IFERROR(INDEX('04A_국토부원자료'!$A:$T,ROW()+1,MATCH("시군구",'04A_국토부원자료'!$A$4:$T$4,0)),"")</f>
        <v/>
      </c>
      <c r="C1792" s="48">
        <f>IF(B1792="","",IFERROR(INDEX('04A_국토부원자료'!$A:$T,ROW()+1,MATCH("번지",'04A_국토부원자료'!$A$4:$T$4,0)),""))</f>
        <v/>
      </c>
      <c r="D1792" s="48">
        <f>IF(B1792="","",IF(Q1792=1,'02_대상물건입력'!$B$8,IFERROR(INDEX('04A_국토부원자료'!$A:$T,ROW()+1,MATCH("단지명",'04A_국토부원자료'!$A$4:$T$4,0)),"")))</f>
        <v/>
      </c>
      <c r="E1792" s="172">
        <f>IFERROR(VALUE(SUBSTITUTE(INDEX('04A_국토부원자료'!$A:$T,ROW()+1,MATCH("전용면적(㎡)",'04A_국토부원자료'!$A$4:$T$4,0)),",","")),"")</f>
        <v/>
      </c>
      <c r="F17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92" s="51">
        <f>IFERROR(VALUE(SUBSTITUTE(INDEX('04A_국토부원자료'!$A:$T,ROW()+1,MATCH("거래금액(만원)",'04A_국토부원자료'!$A$4:$T$4,0)),",","")),"")</f>
        <v/>
      </c>
      <c r="H1792" s="174">
        <f>IF(G1792="","",G1792*10000)</f>
        <v/>
      </c>
      <c r="I1792" s="174">
        <f>IFERROR(IF(AND(H1792&gt;0,E1792&gt;0),H1792/E1792,""),"")</f>
        <v/>
      </c>
      <c r="J1792" s="152">
        <f>IFERROR(VALUE(SUBSTITUTE(INDEX('04A_국토부원자료'!$A:$T,ROW()+1,MATCH("층",'04A_국토부원자료'!$A$4:$T$4,0)),",","")),"")</f>
        <v/>
      </c>
      <c r="K1792" s="152">
        <f>IFERROR(VALUE(SUBSTITUTE(INDEX('04A_국토부원자료'!$A:$T,ROW()+1,MATCH("건축년도",'04A_국토부원자료'!$A$4:$T$4,0)),",","")),"")</f>
        <v/>
      </c>
      <c r="L1792" s="176">
        <f>IFERROR(INDEX('04A_국토부원자료'!$A:$T,ROW()+1,MATCH("도로명",'04A_국토부원자료'!$A$4:$T$4,0)),"")</f>
        <v/>
      </c>
      <c r="M1792" s="48">
        <f>IFERROR(INDEX('04A_국토부원자료'!$A:$T,ROW()+1,MATCH("거래유형",'04A_국토부원자료'!$A$4:$T$4,0)),"")</f>
        <v/>
      </c>
      <c r="N1792" s="152">
        <f>IF(B1792="","",IF('02_대상물건입력'!B5="",1,IF(ISNUMBER(SEARCH('02_대상물건입력'!B5,B1792)),1,0)))</f>
        <v/>
      </c>
      <c r="O1792" s="152">
        <f>IF(B1792="","",IF('02_대상물건입력'!B6="",1,IF(ISNUMBER(SEARCH('02_대상물건입력'!B6,B1792)),1,0)))</f>
        <v/>
      </c>
      <c r="P1792" s="152">
        <f>IF(L1792="","",IF('02_대상물건입력'!B15="",0,IF(ISNUMBER(SEARCH('02_대상물건입력'!B15,L1792)),1,0)))</f>
        <v/>
      </c>
      <c r="Q1792" s="152">
        <f>IF(OR(C1792="",L1792=""),0,IF(AND(TRIM(C1792)=TRIM(RIGHT(SUBSTITUTE(TRIM('02_대상물건입력'!$B$7)," ",REPT(" ",99)),99)),IF('02_대상물건입력'!B15="",TRUE(),ISNUMBER(SEARCH('02_대상물건입력'!B15,L1792)))),1,0))</f>
        <v/>
      </c>
      <c r="R1792" s="175">
        <f>IFERROR(ABS(E1792-'02_대상물건입력'!B11)/'02_대상물건입력'!B11,"")</f>
        <v/>
      </c>
      <c r="S1792" s="152">
        <f>IFERROR(ABS(J1792-'02_대상물건입력'!B10),"")</f>
        <v/>
      </c>
      <c r="T1792" s="152">
        <f>IFERROR(ABS('01_설정'!B4-F1792),"")</f>
        <v/>
      </c>
      <c r="U1792" s="152">
        <f>IFERROR(ABS(K1792-YEAR('02_대상물건입력'!B14)),"")</f>
        <v/>
      </c>
      <c r="V1792" s="152">
        <f>IF(B1792="","",IF(AND(E1792&gt;0,F1792&gt;0,H1792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1792=1,TRUE()),R1792&lt;='01_설정'!B5,S1792&lt;='01_설정'!B6,T1792&lt;='01_설정'!B7,U1792&lt;='01_설정'!B8),"Y",""))</f>
        <v/>
      </c>
      <c r="W1792" s="172">
        <f>IF(V1792&lt;&gt;"Y","",MAX(0,(1-R1792/'01_설정'!B5))*'01_설정'!B14+MAX(0,(1-S1792/'01_설정'!B6))*'01_설정'!B15+MAX(0,(1-T1792/'01_설정'!B7))*'01_설정'!B16+MAX(0,(1-U1792/'01_설정'!B8))*'01_설정'!B17+O1792*'01_설정'!B11+Q1792*'01_설정'!B12+P1792*'01_설정'!B13+IF(Z1792="",0,Z1792))</f>
        <v/>
      </c>
      <c r="X1792" s="152">
        <f>IF(W1792="","",1+COUNTIFS($W$4:$W$3003,"&gt;"&amp;W1792)+COUNTIFS($W$4:W1792,W1792)-1)</f>
        <v/>
      </c>
      <c r="Y1792" s="175">
        <f>IF(OR(I1792="",'02_대상물건입력'!B19="",'02_대상물건입력'!B19&lt;=0),"",ABS(I1792-'02_대상물건입력'!B19)/'02_대상물건입력'!B19)</f>
        <v/>
      </c>
      <c r="Z1792" s="172">
        <f>IF(OR(Y1792="",'01_설정'!B31="",'01_설정'!B31&lt;=0,'01_설정'!B32="",'01_설정'!B32&lt;=0),"",MAX(0,(1-Y1792/'01_설정'!B32))*'01_설정'!B31)</f>
        <v/>
      </c>
    </row>
    <row r="1793" ht="17.25" customHeight="1">
      <c r="A1793" s="152">
        <f>IF(INDEX('04A_국토부원자료'!$A:$A,ROW()+1)="","",ROW()-3)</f>
        <v/>
      </c>
      <c r="B1793" s="48">
        <f>IFERROR(INDEX('04A_국토부원자료'!$A:$T,ROW()+1,MATCH("시군구",'04A_국토부원자료'!$A$4:$T$4,0)),"")</f>
        <v/>
      </c>
      <c r="C1793" s="48">
        <f>IF(B1793="","",IFERROR(INDEX('04A_국토부원자료'!$A:$T,ROW()+1,MATCH("번지",'04A_국토부원자료'!$A$4:$T$4,0)),""))</f>
        <v/>
      </c>
      <c r="D1793" s="48">
        <f>IF(B1793="","",IF(Q1793=1,'02_대상물건입력'!$B$8,IFERROR(INDEX('04A_국토부원자료'!$A:$T,ROW()+1,MATCH("단지명",'04A_국토부원자료'!$A$4:$T$4,0)),"")))</f>
        <v/>
      </c>
      <c r="E1793" s="172">
        <f>IFERROR(VALUE(SUBSTITUTE(INDEX('04A_국토부원자료'!$A:$T,ROW()+1,MATCH("전용면적(㎡)",'04A_국토부원자료'!$A$4:$T$4,0)),",","")),"")</f>
        <v/>
      </c>
      <c r="F17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93" s="51">
        <f>IFERROR(VALUE(SUBSTITUTE(INDEX('04A_국토부원자료'!$A:$T,ROW()+1,MATCH("거래금액(만원)",'04A_국토부원자료'!$A$4:$T$4,0)),",","")),"")</f>
        <v/>
      </c>
      <c r="H1793" s="174">
        <f>IF(G1793="","",G1793*10000)</f>
        <v/>
      </c>
      <c r="I1793" s="174">
        <f>IFERROR(IF(AND(H1793&gt;0,E1793&gt;0),H1793/E1793,""),"")</f>
        <v/>
      </c>
      <c r="J1793" s="152">
        <f>IFERROR(VALUE(SUBSTITUTE(INDEX('04A_국토부원자료'!$A:$T,ROW()+1,MATCH("층",'04A_국토부원자료'!$A$4:$T$4,0)),",","")),"")</f>
        <v/>
      </c>
      <c r="K1793" s="152">
        <f>IFERROR(VALUE(SUBSTITUTE(INDEX('04A_국토부원자료'!$A:$T,ROW()+1,MATCH("건축년도",'04A_국토부원자료'!$A$4:$T$4,0)),",","")),"")</f>
        <v/>
      </c>
      <c r="L1793" s="176">
        <f>IFERROR(INDEX('04A_국토부원자료'!$A:$T,ROW()+1,MATCH("도로명",'04A_국토부원자료'!$A$4:$T$4,0)),"")</f>
        <v/>
      </c>
      <c r="M1793" s="48">
        <f>IFERROR(INDEX('04A_국토부원자료'!$A:$T,ROW()+1,MATCH("거래유형",'04A_국토부원자료'!$A$4:$T$4,0)),"")</f>
        <v/>
      </c>
      <c r="N1793" s="152">
        <f>IF(B1793="","",IF('02_대상물건입력'!B5="",1,IF(ISNUMBER(SEARCH('02_대상물건입력'!B5,B1793)),1,0)))</f>
        <v/>
      </c>
      <c r="O1793" s="152">
        <f>IF(B1793="","",IF('02_대상물건입력'!B6="",1,IF(ISNUMBER(SEARCH('02_대상물건입력'!B6,B1793)),1,0)))</f>
        <v/>
      </c>
      <c r="P1793" s="152">
        <f>IF(L1793="","",IF('02_대상물건입력'!B15="",0,IF(ISNUMBER(SEARCH('02_대상물건입력'!B15,L1793)),1,0)))</f>
        <v/>
      </c>
      <c r="Q1793" s="152">
        <f>IF(OR(C1793="",L1793=""),0,IF(AND(TRIM(C1793)=TRIM(RIGHT(SUBSTITUTE(TRIM('02_대상물건입력'!$B$7)," ",REPT(" ",99)),99)),IF('02_대상물건입력'!B15="",TRUE(),ISNUMBER(SEARCH('02_대상물건입력'!B15,L1793)))),1,0))</f>
        <v/>
      </c>
      <c r="R1793" s="175">
        <f>IFERROR(ABS(E1793-'02_대상물건입력'!B11)/'02_대상물건입력'!B11,"")</f>
        <v/>
      </c>
      <c r="S1793" s="152">
        <f>IFERROR(ABS(J1793-'02_대상물건입력'!B10),"")</f>
        <v/>
      </c>
      <c r="T1793" s="152">
        <f>IFERROR(ABS('01_설정'!B4-F1793),"")</f>
        <v/>
      </c>
      <c r="U1793" s="152">
        <f>IFERROR(ABS(K1793-YEAR('02_대상물건입력'!B14)),"")</f>
        <v/>
      </c>
      <c r="V1793" s="152">
        <f>IF(B1793="","",IF(AND(E1793&gt;0,F1793&gt;0,H1793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1793=1,TRUE()),R1793&lt;='01_설정'!B5,S1793&lt;='01_설정'!B6,T1793&lt;='01_설정'!B7,U1793&lt;='01_설정'!B8),"Y",""))</f>
        <v/>
      </c>
      <c r="W1793" s="172">
        <f>IF(V1793&lt;&gt;"Y","",MAX(0,(1-R1793/'01_설정'!B5))*'01_설정'!B14+MAX(0,(1-S1793/'01_설정'!B6))*'01_설정'!B15+MAX(0,(1-T1793/'01_설정'!B7))*'01_설정'!B16+MAX(0,(1-U1793/'01_설정'!B8))*'01_설정'!B17+O1793*'01_설정'!B11+Q1793*'01_설정'!B12+P1793*'01_설정'!B13+IF(Z1793="",0,Z1793))</f>
        <v/>
      </c>
      <c r="X1793" s="152">
        <f>IF(W1793="","",1+COUNTIFS($W$4:$W$3003,"&gt;"&amp;W1793)+COUNTIFS($W$4:W1793,W1793)-1)</f>
        <v/>
      </c>
      <c r="Y1793" s="175">
        <f>IF(OR(I1793="",'02_대상물건입력'!B19="",'02_대상물건입력'!B19&lt;=0),"",ABS(I1793-'02_대상물건입력'!B19)/'02_대상물건입력'!B19)</f>
        <v/>
      </c>
      <c r="Z1793" s="172">
        <f>IF(OR(Y1793="",'01_설정'!B31="",'01_설정'!B31&lt;=0,'01_설정'!B32="",'01_설정'!B32&lt;=0),"",MAX(0,(1-Y1793/'01_설정'!B32))*'01_설정'!B31)</f>
        <v/>
      </c>
    </row>
    <row r="1794" ht="17.25" customHeight="1">
      <c r="A1794" s="152">
        <f>IF(INDEX('04A_국토부원자료'!$A:$A,ROW()+1)="","",ROW()-3)</f>
        <v/>
      </c>
      <c r="B1794" s="48">
        <f>IFERROR(INDEX('04A_국토부원자료'!$A:$T,ROW()+1,MATCH("시군구",'04A_국토부원자료'!$A$4:$T$4,0)),"")</f>
        <v/>
      </c>
      <c r="C1794" s="48">
        <f>IF(B1794="","",IFERROR(INDEX('04A_국토부원자료'!$A:$T,ROW()+1,MATCH("번지",'04A_국토부원자료'!$A$4:$T$4,0)),""))</f>
        <v/>
      </c>
      <c r="D1794" s="48">
        <f>IF(B1794="","",IF(Q1794=1,'02_대상물건입력'!$B$8,IFERROR(INDEX('04A_국토부원자료'!$A:$T,ROW()+1,MATCH("단지명",'04A_국토부원자료'!$A$4:$T$4,0)),"")))</f>
        <v/>
      </c>
      <c r="E1794" s="172">
        <f>IFERROR(VALUE(SUBSTITUTE(INDEX('04A_국토부원자료'!$A:$T,ROW()+1,MATCH("전용면적(㎡)",'04A_국토부원자료'!$A$4:$T$4,0)),",","")),"")</f>
        <v/>
      </c>
      <c r="F17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94" s="51">
        <f>IFERROR(VALUE(SUBSTITUTE(INDEX('04A_국토부원자료'!$A:$T,ROW()+1,MATCH("거래금액(만원)",'04A_국토부원자료'!$A$4:$T$4,0)),",","")),"")</f>
        <v/>
      </c>
      <c r="H1794" s="174">
        <f>IF(G1794="","",G1794*10000)</f>
        <v/>
      </c>
      <c r="I1794" s="174">
        <f>IFERROR(IF(AND(H1794&gt;0,E1794&gt;0),H1794/E1794,""),"")</f>
        <v/>
      </c>
      <c r="J1794" s="152">
        <f>IFERROR(VALUE(SUBSTITUTE(INDEX('04A_국토부원자료'!$A:$T,ROW()+1,MATCH("층",'04A_국토부원자료'!$A$4:$T$4,0)),",","")),"")</f>
        <v/>
      </c>
      <c r="K1794" s="152">
        <f>IFERROR(VALUE(SUBSTITUTE(INDEX('04A_국토부원자료'!$A:$T,ROW()+1,MATCH("건축년도",'04A_국토부원자료'!$A$4:$T$4,0)),",","")),"")</f>
        <v/>
      </c>
      <c r="L1794" s="176">
        <f>IFERROR(INDEX('04A_국토부원자료'!$A:$T,ROW()+1,MATCH("도로명",'04A_국토부원자료'!$A$4:$T$4,0)),"")</f>
        <v/>
      </c>
      <c r="M1794" s="48">
        <f>IFERROR(INDEX('04A_국토부원자료'!$A:$T,ROW()+1,MATCH("거래유형",'04A_국토부원자료'!$A$4:$T$4,0)),"")</f>
        <v/>
      </c>
      <c r="N1794" s="152">
        <f>IF(B1794="","",IF('02_대상물건입력'!B5="",1,IF(ISNUMBER(SEARCH('02_대상물건입력'!B5,B1794)),1,0)))</f>
        <v/>
      </c>
      <c r="O1794" s="152">
        <f>IF(B1794="","",IF('02_대상물건입력'!B6="",1,IF(ISNUMBER(SEARCH('02_대상물건입력'!B6,B1794)),1,0)))</f>
        <v/>
      </c>
      <c r="P1794" s="152">
        <f>IF(L1794="","",IF('02_대상물건입력'!B15="",0,IF(ISNUMBER(SEARCH('02_대상물건입력'!B15,L1794)),1,0)))</f>
        <v/>
      </c>
      <c r="Q1794" s="152">
        <f>IF(OR(C1794="",L1794=""),0,IF(AND(TRIM(C1794)=TRIM(RIGHT(SUBSTITUTE(TRIM('02_대상물건입력'!$B$7)," ",REPT(" ",99)),99)),IF('02_대상물건입력'!B15="",TRUE(),ISNUMBER(SEARCH('02_대상물건입력'!B15,L1794)))),1,0))</f>
        <v/>
      </c>
      <c r="R1794" s="175">
        <f>IFERROR(ABS(E1794-'02_대상물건입력'!B11)/'02_대상물건입력'!B11,"")</f>
        <v/>
      </c>
      <c r="S1794" s="152">
        <f>IFERROR(ABS(J1794-'02_대상물건입력'!B10),"")</f>
        <v/>
      </c>
      <c r="T1794" s="152">
        <f>IFERROR(ABS('01_설정'!B4-F1794),"")</f>
        <v/>
      </c>
      <c r="U1794" s="152">
        <f>IFERROR(ABS(K1794-YEAR('02_대상물건입력'!B14)),"")</f>
        <v/>
      </c>
      <c r="V1794" s="152">
        <f>IF(B1794="","",IF(AND(E1794&gt;0,F1794&gt;0,H1794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1794=1,TRUE()),R1794&lt;='01_설정'!B5,S1794&lt;='01_설정'!B6,T1794&lt;='01_설정'!B7,U1794&lt;='01_설정'!B8),"Y",""))</f>
        <v/>
      </c>
      <c r="W1794" s="172">
        <f>IF(V1794&lt;&gt;"Y","",MAX(0,(1-R1794/'01_설정'!B5))*'01_설정'!B14+MAX(0,(1-S1794/'01_설정'!B6))*'01_설정'!B15+MAX(0,(1-T1794/'01_설정'!B7))*'01_설정'!B16+MAX(0,(1-U1794/'01_설정'!B8))*'01_설정'!B17+O1794*'01_설정'!B11+Q1794*'01_설정'!B12+P1794*'01_설정'!B13+IF(Z1794="",0,Z1794))</f>
        <v/>
      </c>
      <c r="X1794" s="152">
        <f>IF(W1794="","",1+COUNTIFS($W$4:$W$3003,"&gt;"&amp;W1794)+COUNTIFS($W$4:W1794,W1794)-1)</f>
        <v/>
      </c>
      <c r="Y1794" s="175">
        <f>IF(OR(I1794="",'02_대상물건입력'!B19="",'02_대상물건입력'!B19&lt;=0),"",ABS(I1794-'02_대상물건입력'!B19)/'02_대상물건입력'!B19)</f>
        <v/>
      </c>
      <c r="Z1794" s="172">
        <f>IF(OR(Y1794="",'01_설정'!B31="",'01_설정'!B31&lt;=0,'01_설정'!B32="",'01_설정'!B32&lt;=0),"",MAX(0,(1-Y1794/'01_설정'!B32))*'01_설정'!B31)</f>
        <v/>
      </c>
    </row>
    <row r="1795" ht="17.25" customHeight="1">
      <c r="A1795" s="152">
        <f>IF(INDEX('04A_국토부원자료'!$A:$A,ROW()+1)="","",ROW()-3)</f>
        <v/>
      </c>
      <c r="B1795" s="48">
        <f>IFERROR(INDEX('04A_국토부원자료'!$A:$T,ROW()+1,MATCH("시군구",'04A_국토부원자료'!$A$4:$T$4,0)),"")</f>
        <v/>
      </c>
      <c r="C1795" s="48">
        <f>IF(B1795="","",IFERROR(INDEX('04A_국토부원자료'!$A:$T,ROW()+1,MATCH("번지",'04A_국토부원자료'!$A$4:$T$4,0)),""))</f>
        <v/>
      </c>
      <c r="D1795" s="48">
        <f>IF(B1795="","",IF(Q1795=1,'02_대상물건입력'!$B$8,IFERROR(INDEX('04A_국토부원자료'!$A:$T,ROW()+1,MATCH("단지명",'04A_국토부원자료'!$A$4:$T$4,0)),"")))</f>
        <v/>
      </c>
      <c r="E1795" s="172">
        <f>IFERROR(VALUE(SUBSTITUTE(INDEX('04A_국토부원자료'!$A:$T,ROW()+1,MATCH("전용면적(㎡)",'04A_국토부원자료'!$A$4:$T$4,0)),",","")),"")</f>
        <v/>
      </c>
      <c r="F17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95" s="51">
        <f>IFERROR(VALUE(SUBSTITUTE(INDEX('04A_국토부원자료'!$A:$T,ROW()+1,MATCH("거래금액(만원)",'04A_국토부원자료'!$A$4:$T$4,0)),",","")),"")</f>
        <v/>
      </c>
      <c r="H1795" s="174">
        <f>IF(G1795="","",G1795*10000)</f>
        <v/>
      </c>
      <c r="I1795" s="174">
        <f>IFERROR(IF(AND(H1795&gt;0,E1795&gt;0),H1795/E1795,""),"")</f>
        <v/>
      </c>
      <c r="J1795" s="152">
        <f>IFERROR(VALUE(SUBSTITUTE(INDEX('04A_국토부원자료'!$A:$T,ROW()+1,MATCH("층",'04A_국토부원자료'!$A$4:$T$4,0)),",","")),"")</f>
        <v/>
      </c>
      <c r="K1795" s="152">
        <f>IFERROR(VALUE(SUBSTITUTE(INDEX('04A_국토부원자료'!$A:$T,ROW()+1,MATCH("건축년도",'04A_국토부원자료'!$A$4:$T$4,0)),",","")),"")</f>
        <v/>
      </c>
      <c r="L1795" s="176">
        <f>IFERROR(INDEX('04A_국토부원자료'!$A:$T,ROW()+1,MATCH("도로명",'04A_국토부원자료'!$A$4:$T$4,0)),"")</f>
        <v/>
      </c>
      <c r="M1795" s="48">
        <f>IFERROR(INDEX('04A_국토부원자료'!$A:$T,ROW()+1,MATCH("거래유형",'04A_국토부원자료'!$A$4:$T$4,0)),"")</f>
        <v/>
      </c>
      <c r="N1795" s="152">
        <f>IF(B1795="","",IF('02_대상물건입력'!B5="",1,IF(ISNUMBER(SEARCH('02_대상물건입력'!B5,B1795)),1,0)))</f>
        <v/>
      </c>
      <c r="O1795" s="152">
        <f>IF(B1795="","",IF('02_대상물건입력'!B6="",1,IF(ISNUMBER(SEARCH('02_대상물건입력'!B6,B1795)),1,0)))</f>
        <v/>
      </c>
      <c r="P1795" s="152">
        <f>IF(L1795="","",IF('02_대상물건입력'!B15="",0,IF(ISNUMBER(SEARCH('02_대상물건입력'!B15,L1795)),1,0)))</f>
        <v/>
      </c>
      <c r="Q1795" s="152">
        <f>IF(OR(C1795="",L1795=""),0,IF(AND(TRIM(C1795)=TRIM(RIGHT(SUBSTITUTE(TRIM('02_대상물건입력'!$B$7)," ",REPT(" ",99)),99)),IF('02_대상물건입력'!B15="",TRUE(),ISNUMBER(SEARCH('02_대상물건입력'!B15,L1795)))),1,0))</f>
        <v/>
      </c>
      <c r="R1795" s="175">
        <f>IFERROR(ABS(E1795-'02_대상물건입력'!B11)/'02_대상물건입력'!B11,"")</f>
        <v/>
      </c>
      <c r="S1795" s="152">
        <f>IFERROR(ABS(J1795-'02_대상물건입력'!B10),"")</f>
        <v/>
      </c>
      <c r="T1795" s="152">
        <f>IFERROR(ABS('01_설정'!B4-F1795),"")</f>
        <v/>
      </c>
      <c r="U1795" s="152">
        <f>IFERROR(ABS(K1795-YEAR('02_대상물건입력'!B14)),"")</f>
        <v/>
      </c>
      <c r="V1795" s="152">
        <f>IF(B1795="","",IF(AND(E1795&gt;0,F1795&gt;0,H1795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1795=1,TRUE()),R1795&lt;='01_설정'!B5,S1795&lt;='01_설정'!B6,T1795&lt;='01_설정'!B7,U1795&lt;='01_설정'!B8),"Y",""))</f>
        <v/>
      </c>
      <c r="W1795" s="172">
        <f>IF(V1795&lt;&gt;"Y","",MAX(0,(1-R1795/'01_설정'!B5))*'01_설정'!B14+MAX(0,(1-S1795/'01_설정'!B6))*'01_설정'!B15+MAX(0,(1-T1795/'01_설정'!B7))*'01_설정'!B16+MAX(0,(1-U1795/'01_설정'!B8))*'01_설정'!B17+O1795*'01_설정'!B11+Q1795*'01_설정'!B12+P1795*'01_설정'!B13+IF(Z1795="",0,Z1795))</f>
        <v/>
      </c>
      <c r="X1795" s="152">
        <f>IF(W1795="","",1+COUNTIFS($W$4:$W$3003,"&gt;"&amp;W1795)+COUNTIFS($W$4:W1795,W1795)-1)</f>
        <v/>
      </c>
      <c r="Y1795" s="175">
        <f>IF(OR(I1795="",'02_대상물건입력'!B19="",'02_대상물건입력'!B19&lt;=0),"",ABS(I1795-'02_대상물건입력'!B19)/'02_대상물건입력'!B19)</f>
        <v/>
      </c>
      <c r="Z1795" s="172">
        <f>IF(OR(Y1795="",'01_설정'!B31="",'01_설정'!B31&lt;=0,'01_설정'!B32="",'01_설정'!B32&lt;=0),"",MAX(0,(1-Y1795/'01_설정'!B32))*'01_설정'!B31)</f>
        <v/>
      </c>
    </row>
    <row r="1796" ht="17.25" customHeight="1">
      <c r="A1796" s="152">
        <f>IF(INDEX('04A_국토부원자료'!$A:$A,ROW()+1)="","",ROW()-3)</f>
        <v/>
      </c>
      <c r="B1796" s="48">
        <f>IFERROR(INDEX('04A_국토부원자료'!$A:$T,ROW()+1,MATCH("시군구",'04A_국토부원자료'!$A$4:$T$4,0)),"")</f>
        <v/>
      </c>
      <c r="C1796" s="48">
        <f>IF(B1796="","",IFERROR(INDEX('04A_국토부원자료'!$A:$T,ROW()+1,MATCH("번지",'04A_국토부원자료'!$A$4:$T$4,0)),""))</f>
        <v/>
      </c>
      <c r="D1796" s="48">
        <f>IF(B1796="","",IF(Q1796=1,'02_대상물건입력'!$B$8,IFERROR(INDEX('04A_국토부원자료'!$A:$T,ROW()+1,MATCH("단지명",'04A_국토부원자료'!$A$4:$T$4,0)),"")))</f>
        <v/>
      </c>
      <c r="E1796" s="172">
        <f>IFERROR(VALUE(SUBSTITUTE(INDEX('04A_국토부원자료'!$A:$T,ROW()+1,MATCH("전용면적(㎡)",'04A_국토부원자료'!$A$4:$T$4,0)),",","")),"")</f>
        <v/>
      </c>
      <c r="F17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96" s="51">
        <f>IFERROR(VALUE(SUBSTITUTE(INDEX('04A_국토부원자료'!$A:$T,ROW()+1,MATCH("거래금액(만원)",'04A_국토부원자료'!$A$4:$T$4,0)),",","")),"")</f>
        <v/>
      </c>
      <c r="H1796" s="174">
        <f>IF(G1796="","",G1796*10000)</f>
        <v/>
      </c>
      <c r="I1796" s="174">
        <f>IFERROR(IF(AND(H1796&gt;0,E1796&gt;0),H1796/E1796,""),"")</f>
        <v/>
      </c>
      <c r="J1796" s="152">
        <f>IFERROR(VALUE(SUBSTITUTE(INDEX('04A_국토부원자료'!$A:$T,ROW()+1,MATCH("층",'04A_국토부원자료'!$A$4:$T$4,0)),",","")),"")</f>
        <v/>
      </c>
      <c r="K1796" s="152">
        <f>IFERROR(VALUE(SUBSTITUTE(INDEX('04A_국토부원자료'!$A:$T,ROW()+1,MATCH("건축년도",'04A_국토부원자료'!$A$4:$T$4,0)),",","")),"")</f>
        <v/>
      </c>
      <c r="L1796" s="176">
        <f>IFERROR(INDEX('04A_국토부원자료'!$A:$T,ROW()+1,MATCH("도로명",'04A_국토부원자료'!$A$4:$T$4,0)),"")</f>
        <v/>
      </c>
      <c r="M1796" s="48">
        <f>IFERROR(INDEX('04A_국토부원자료'!$A:$T,ROW()+1,MATCH("거래유형",'04A_국토부원자료'!$A$4:$T$4,0)),"")</f>
        <v/>
      </c>
      <c r="N1796" s="152">
        <f>IF(B1796="","",IF('02_대상물건입력'!B5="",1,IF(ISNUMBER(SEARCH('02_대상물건입력'!B5,B1796)),1,0)))</f>
        <v/>
      </c>
      <c r="O1796" s="152">
        <f>IF(B1796="","",IF('02_대상물건입력'!B6="",1,IF(ISNUMBER(SEARCH('02_대상물건입력'!B6,B1796)),1,0)))</f>
        <v/>
      </c>
      <c r="P1796" s="152">
        <f>IF(L1796="","",IF('02_대상물건입력'!B15="",0,IF(ISNUMBER(SEARCH('02_대상물건입력'!B15,L1796)),1,0)))</f>
        <v/>
      </c>
      <c r="Q1796" s="152">
        <f>IF(OR(C1796="",L1796=""),0,IF(AND(TRIM(C1796)=TRIM(RIGHT(SUBSTITUTE(TRIM('02_대상물건입력'!$B$7)," ",REPT(" ",99)),99)),IF('02_대상물건입력'!B15="",TRUE(),ISNUMBER(SEARCH('02_대상물건입력'!B15,L1796)))),1,0))</f>
        <v/>
      </c>
      <c r="R1796" s="175">
        <f>IFERROR(ABS(E1796-'02_대상물건입력'!B11)/'02_대상물건입력'!B11,"")</f>
        <v/>
      </c>
      <c r="S1796" s="152">
        <f>IFERROR(ABS(J1796-'02_대상물건입력'!B10),"")</f>
        <v/>
      </c>
      <c r="T1796" s="152">
        <f>IFERROR(ABS('01_설정'!B4-F1796),"")</f>
        <v/>
      </c>
      <c r="U1796" s="152">
        <f>IFERROR(ABS(K1796-YEAR('02_대상물건입력'!B14)),"")</f>
        <v/>
      </c>
      <c r="V1796" s="152">
        <f>IF(B1796="","",IF(AND(E1796&gt;0,F1796&gt;0,H1796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1796=1,TRUE()),R1796&lt;='01_설정'!B5,S1796&lt;='01_설정'!B6,T1796&lt;='01_설정'!B7,U1796&lt;='01_설정'!B8),"Y",""))</f>
        <v/>
      </c>
      <c r="W1796" s="172">
        <f>IF(V1796&lt;&gt;"Y","",MAX(0,(1-R1796/'01_설정'!B5))*'01_설정'!B14+MAX(0,(1-S1796/'01_설정'!B6))*'01_설정'!B15+MAX(0,(1-T1796/'01_설정'!B7))*'01_설정'!B16+MAX(0,(1-U1796/'01_설정'!B8))*'01_설정'!B17+O1796*'01_설정'!B11+Q1796*'01_설정'!B12+P1796*'01_설정'!B13+IF(Z1796="",0,Z1796))</f>
        <v/>
      </c>
      <c r="X1796" s="152">
        <f>IF(W1796="","",1+COUNTIFS($W$4:$W$3003,"&gt;"&amp;W1796)+COUNTIFS($W$4:W1796,W1796)-1)</f>
        <v/>
      </c>
      <c r="Y1796" s="175">
        <f>IF(OR(I1796="",'02_대상물건입력'!B19="",'02_대상물건입력'!B19&lt;=0),"",ABS(I1796-'02_대상물건입력'!B19)/'02_대상물건입력'!B19)</f>
        <v/>
      </c>
      <c r="Z1796" s="172">
        <f>IF(OR(Y1796="",'01_설정'!B31="",'01_설정'!B31&lt;=0,'01_설정'!B32="",'01_설정'!B32&lt;=0),"",MAX(0,(1-Y1796/'01_설정'!B32))*'01_설정'!B31)</f>
        <v/>
      </c>
    </row>
    <row r="1797" ht="17.25" customHeight="1">
      <c r="A1797" s="152">
        <f>IF(INDEX('04A_국토부원자료'!$A:$A,ROW()+1)="","",ROW()-3)</f>
        <v/>
      </c>
      <c r="B1797" s="48">
        <f>IFERROR(INDEX('04A_국토부원자료'!$A:$T,ROW()+1,MATCH("시군구",'04A_국토부원자료'!$A$4:$T$4,0)),"")</f>
        <v/>
      </c>
      <c r="C1797" s="48">
        <f>IF(B1797="","",IFERROR(INDEX('04A_국토부원자료'!$A:$T,ROW()+1,MATCH("번지",'04A_국토부원자료'!$A$4:$T$4,0)),""))</f>
        <v/>
      </c>
      <c r="D1797" s="48">
        <f>IF(B1797="","",IF(Q1797=1,'02_대상물건입력'!$B$8,IFERROR(INDEX('04A_국토부원자료'!$A:$T,ROW()+1,MATCH("단지명",'04A_국토부원자료'!$A$4:$T$4,0)),"")))</f>
        <v/>
      </c>
      <c r="E1797" s="172">
        <f>IFERROR(VALUE(SUBSTITUTE(INDEX('04A_국토부원자료'!$A:$T,ROW()+1,MATCH("전용면적(㎡)",'04A_국토부원자료'!$A$4:$T$4,0)),",","")),"")</f>
        <v/>
      </c>
      <c r="F17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97" s="51">
        <f>IFERROR(VALUE(SUBSTITUTE(INDEX('04A_국토부원자료'!$A:$T,ROW()+1,MATCH("거래금액(만원)",'04A_국토부원자료'!$A$4:$T$4,0)),",","")),"")</f>
        <v/>
      </c>
      <c r="H1797" s="174">
        <f>IF(G1797="","",G1797*10000)</f>
        <v/>
      </c>
      <c r="I1797" s="174">
        <f>IFERROR(IF(AND(H1797&gt;0,E1797&gt;0),H1797/E1797,""),"")</f>
        <v/>
      </c>
      <c r="J1797" s="152">
        <f>IFERROR(VALUE(SUBSTITUTE(INDEX('04A_국토부원자료'!$A:$T,ROW()+1,MATCH("층",'04A_국토부원자료'!$A$4:$T$4,0)),",","")),"")</f>
        <v/>
      </c>
      <c r="K1797" s="152">
        <f>IFERROR(VALUE(SUBSTITUTE(INDEX('04A_국토부원자료'!$A:$T,ROW()+1,MATCH("건축년도",'04A_국토부원자료'!$A$4:$T$4,0)),",","")),"")</f>
        <v/>
      </c>
      <c r="L1797" s="176">
        <f>IFERROR(INDEX('04A_국토부원자료'!$A:$T,ROW()+1,MATCH("도로명",'04A_국토부원자료'!$A$4:$T$4,0)),"")</f>
        <v/>
      </c>
      <c r="M1797" s="48">
        <f>IFERROR(INDEX('04A_국토부원자료'!$A:$T,ROW()+1,MATCH("거래유형",'04A_국토부원자료'!$A$4:$T$4,0)),"")</f>
        <v/>
      </c>
      <c r="N1797" s="152">
        <f>IF(B1797="","",IF('02_대상물건입력'!B5="",1,IF(ISNUMBER(SEARCH('02_대상물건입력'!B5,B1797)),1,0)))</f>
        <v/>
      </c>
      <c r="O1797" s="152">
        <f>IF(B1797="","",IF('02_대상물건입력'!B6="",1,IF(ISNUMBER(SEARCH('02_대상물건입력'!B6,B1797)),1,0)))</f>
        <v/>
      </c>
      <c r="P1797" s="152">
        <f>IF(L1797="","",IF('02_대상물건입력'!B15="",0,IF(ISNUMBER(SEARCH('02_대상물건입력'!B15,L1797)),1,0)))</f>
        <v/>
      </c>
      <c r="Q1797" s="152">
        <f>IF(OR(C1797="",L1797=""),0,IF(AND(TRIM(C1797)=TRIM(RIGHT(SUBSTITUTE(TRIM('02_대상물건입력'!$B$7)," ",REPT(" ",99)),99)),IF('02_대상물건입력'!B15="",TRUE(),ISNUMBER(SEARCH('02_대상물건입력'!B15,L1797)))),1,0))</f>
        <v/>
      </c>
      <c r="R1797" s="175">
        <f>IFERROR(ABS(E1797-'02_대상물건입력'!B11)/'02_대상물건입력'!B11,"")</f>
        <v/>
      </c>
      <c r="S1797" s="152">
        <f>IFERROR(ABS(J1797-'02_대상물건입력'!B10),"")</f>
        <v/>
      </c>
      <c r="T1797" s="152">
        <f>IFERROR(ABS('01_설정'!B4-F1797),"")</f>
        <v/>
      </c>
      <c r="U1797" s="152">
        <f>IFERROR(ABS(K1797-YEAR('02_대상물건입력'!B14)),"")</f>
        <v/>
      </c>
      <c r="V1797" s="152">
        <f>IF(B1797="","",IF(AND(E1797&gt;0,F1797&gt;0,H1797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1797=1,TRUE()),R1797&lt;='01_설정'!B5,S1797&lt;='01_설정'!B6,T1797&lt;='01_설정'!B7,U1797&lt;='01_설정'!B8),"Y",""))</f>
        <v/>
      </c>
      <c r="W1797" s="172">
        <f>IF(V1797&lt;&gt;"Y","",MAX(0,(1-R1797/'01_설정'!B5))*'01_설정'!B14+MAX(0,(1-S1797/'01_설정'!B6))*'01_설정'!B15+MAX(0,(1-T1797/'01_설정'!B7))*'01_설정'!B16+MAX(0,(1-U1797/'01_설정'!B8))*'01_설정'!B17+O1797*'01_설정'!B11+Q1797*'01_설정'!B12+P1797*'01_설정'!B13+IF(Z1797="",0,Z1797))</f>
        <v/>
      </c>
      <c r="X1797" s="152">
        <f>IF(W1797="","",1+COUNTIFS($W$4:$W$3003,"&gt;"&amp;W1797)+COUNTIFS($W$4:W1797,W1797)-1)</f>
        <v/>
      </c>
      <c r="Y1797" s="175">
        <f>IF(OR(I1797="",'02_대상물건입력'!B19="",'02_대상물건입력'!B19&lt;=0),"",ABS(I1797-'02_대상물건입력'!B19)/'02_대상물건입력'!B19)</f>
        <v/>
      </c>
      <c r="Z1797" s="172">
        <f>IF(OR(Y1797="",'01_설정'!B31="",'01_설정'!B31&lt;=0,'01_설정'!B32="",'01_설정'!B32&lt;=0),"",MAX(0,(1-Y1797/'01_설정'!B32))*'01_설정'!B31)</f>
        <v/>
      </c>
    </row>
    <row r="1798" ht="17.25" customHeight="1">
      <c r="A1798" s="152">
        <f>IF(INDEX('04A_국토부원자료'!$A:$A,ROW()+1)="","",ROW()-3)</f>
        <v/>
      </c>
      <c r="B1798" s="48">
        <f>IFERROR(INDEX('04A_국토부원자료'!$A:$T,ROW()+1,MATCH("시군구",'04A_국토부원자료'!$A$4:$T$4,0)),"")</f>
        <v/>
      </c>
      <c r="C1798" s="48">
        <f>IF(B1798="","",IFERROR(INDEX('04A_국토부원자료'!$A:$T,ROW()+1,MATCH("번지",'04A_국토부원자료'!$A$4:$T$4,0)),""))</f>
        <v/>
      </c>
      <c r="D1798" s="48">
        <f>IF(B1798="","",IF(Q1798=1,'02_대상물건입력'!$B$8,IFERROR(INDEX('04A_국토부원자료'!$A:$T,ROW()+1,MATCH("단지명",'04A_국토부원자료'!$A$4:$T$4,0)),"")))</f>
        <v/>
      </c>
      <c r="E1798" s="172">
        <f>IFERROR(VALUE(SUBSTITUTE(INDEX('04A_국토부원자료'!$A:$T,ROW()+1,MATCH("전용면적(㎡)",'04A_국토부원자료'!$A$4:$T$4,0)),",","")),"")</f>
        <v/>
      </c>
      <c r="F17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98" s="51">
        <f>IFERROR(VALUE(SUBSTITUTE(INDEX('04A_국토부원자료'!$A:$T,ROW()+1,MATCH("거래금액(만원)",'04A_국토부원자료'!$A$4:$T$4,0)),",","")),"")</f>
        <v/>
      </c>
      <c r="H1798" s="174">
        <f>IF(G1798="","",G1798*10000)</f>
        <v/>
      </c>
      <c r="I1798" s="174">
        <f>IFERROR(IF(AND(H1798&gt;0,E1798&gt;0),H1798/E1798,""),"")</f>
        <v/>
      </c>
      <c r="J1798" s="152">
        <f>IFERROR(VALUE(SUBSTITUTE(INDEX('04A_국토부원자료'!$A:$T,ROW()+1,MATCH("층",'04A_국토부원자료'!$A$4:$T$4,0)),",","")),"")</f>
        <v/>
      </c>
      <c r="K1798" s="152">
        <f>IFERROR(VALUE(SUBSTITUTE(INDEX('04A_국토부원자료'!$A:$T,ROW()+1,MATCH("건축년도",'04A_국토부원자료'!$A$4:$T$4,0)),",","")),"")</f>
        <v/>
      </c>
      <c r="L1798" s="176">
        <f>IFERROR(INDEX('04A_국토부원자료'!$A:$T,ROW()+1,MATCH("도로명",'04A_국토부원자료'!$A$4:$T$4,0)),"")</f>
        <v/>
      </c>
      <c r="M1798" s="48">
        <f>IFERROR(INDEX('04A_국토부원자료'!$A:$T,ROW()+1,MATCH("거래유형",'04A_국토부원자료'!$A$4:$T$4,0)),"")</f>
        <v/>
      </c>
      <c r="N1798" s="152">
        <f>IF(B1798="","",IF('02_대상물건입력'!B5="",1,IF(ISNUMBER(SEARCH('02_대상물건입력'!B5,B1798)),1,0)))</f>
        <v/>
      </c>
      <c r="O1798" s="152">
        <f>IF(B1798="","",IF('02_대상물건입력'!B6="",1,IF(ISNUMBER(SEARCH('02_대상물건입력'!B6,B1798)),1,0)))</f>
        <v/>
      </c>
      <c r="P1798" s="152">
        <f>IF(L1798="","",IF('02_대상물건입력'!B15="",0,IF(ISNUMBER(SEARCH('02_대상물건입력'!B15,L1798)),1,0)))</f>
        <v/>
      </c>
      <c r="Q1798" s="152">
        <f>IF(OR(C1798="",L1798=""),0,IF(AND(TRIM(C1798)=TRIM(RIGHT(SUBSTITUTE(TRIM('02_대상물건입력'!$B$7)," ",REPT(" ",99)),99)),IF('02_대상물건입력'!B15="",TRUE(),ISNUMBER(SEARCH('02_대상물건입력'!B15,L1798)))),1,0))</f>
        <v/>
      </c>
      <c r="R1798" s="175">
        <f>IFERROR(ABS(E1798-'02_대상물건입력'!B11)/'02_대상물건입력'!B11,"")</f>
        <v/>
      </c>
      <c r="S1798" s="152">
        <f>IFERROR(ABS(J1798-'02_대상물건입력'!B10),"")</f>
        <v/>
      </c>
      <c r="T1798" s="152">
        <f>IFERROR(ABS('01_설정'!B4-F1798),"")</f>
        <v/>
      </c>
      <c r="U1798" s="152">
        <f>IFERROR(ABS(K1798-YEAR('02_대상물건입력'!B14)),"")</f>
        <v/>
      </c>
      <c r="V1798" s="152">
        <f>IF(B1798="","",IF(AND(E1798&gt;0,F1798&gt;0,H1798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1798=1,TRUE()),R1798&lt;='01_설정'!B5,S1798&lt;='01_설정'!B6,T1798&lt;='01_설정'!B7,U1798&lt;='01_설정'!B8),"Y",""))</f>
        <v/>
      </c>
      <c r="W1798" s="172">
        <f>IF(V1798&lt;&gt;"Y","",MAX(0,(1-R1798/'01_설정'!B5))*'01_설정'!B14+MAX(0,(1-S1798/'01_설정'!B6))*'01_설정'!B15+MAX(0,(1-T1798/'01_설정'!B7))*'01_설정'!B16+MAX(0,(1-U1798/'01_설정'!B8))*'01_설정'!B17+O1798*'01_설정'!B11+Q1798*'01_설정'!B12+P1798*'01_설정'!B13+IF(Z1798="",0,Z1798))</f>
        <v/>
      </c>
      <c r="X1798" s="152">
        <f>IF(W1798="","",1+COUNTIFS($W$4:$W$3003,"&gt;"&amp;W1798)+COUNTIFS($W$4:W1798,W1798)-1)</f>
        <v/>
      </c>
      <c r="Y1798" s="175">
        <f>IF(OR(I1798="",'02_대상물건입력'!B19="",'02_대상물건입력'!B19&lt;=0),"",ABS(I1798-'02_대상물건입력'!B19)/'02_대상물건입력'!B19)</f>
        <v/>
      </c>
      <c r="Z1798" s="172">
        <f>IF(OR(Y1798="",'01_설정'!B31="",'01_설정'!B31&lt;=0,'01_설정'!B32="",'01_설정'!B32&lt;=0),"",MAX(0,(1-Y1798/'01_설정'!B32))*'01_설정'!B31)</f>
        <v/>
      </c>
    </row>
    <row r="1799" ht="17.25" customHeight="1">
      <c r="A1799" s="152">
        <f>IF(INDEX('04A_국토부원자료'!$A:$A,ROW()+1)="","",ROW()-3)</f>
        <v/>
      </c>
      <c r="B1799" s="48">
        <f>IFERROR(INDEX('04A_국토부원자료'!$A:$T,ROW()+1,MATCH("시군구",'04A_국토부원자료'!$A$4:$T$4,0)),"")</f>
        <v/>
      </c>
      <c r="C1799" s="48">
        <f>IF(B1799="","",IFERROR(INDEX('04A_국토부원자료'!$A:$T,ROW()+1,MATCH("번지",'04A_국토부원자료'!$A$4:$T$4,0)),""))</f>
        <v/>
      </c>
      <c r="D1799" s="48">
        <f>IF(B1799="","",IF(Q1799=1,'02_대상물건입력'!$B$8,IFERROR(INDEX('04A_국토부원자료'!$A:$T,ROW()+1,MATCH("단지명",'04A_국토부원자료'!$A$4:$T$4,0)),"")))</f>
        <v/>
      </c>
      <c r="E1799" s="172">
        <f>IFERROR(VALUE(SUBSTITUTE(INDEX('04A_국토부원자료'!$A:$T,ROW()+1,MATCH("전용면적(㎡)",'04A_국토부원자료'!$A$4:$T$4,0)),",","")),"")</f>
        <v/>
      </c>
      <c r="F17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799" s="51">
        <f>IFERROR(VALUE(SUBSTITUTE(INDEX('04A_국토부원자료'!$A:$T,ROW()+1,MATCH("거래금액(만원)",'04A_국토부원자료'!$A$4:$T$4,0)),",","")),"")</f>
        <v/>
      </c>
      <c r="H1799" s="174">
        <f>IF(G1799="","",G1799*10000)</f>
        <v/>
      </c>
      <c r="I1799" s="174">
        <f>IFERROR(IF(AND(H1799&gt;0,E1799&gt;0),H1799/E1799,""),"")</f>
        <v/>
      </c>
      <c r="J1799" s="152">
        <f>IFERROR(VALUE(SUBSTITUTE(INDEX('04A_국토부원자료'!$A:$T,ROW()+1,MATCH("층",'04A_국토부원자료'!$A$4:$T$4,0)),",","")),"")</f>
        <v/>
      </c>
      <c r="K1799" s="152">
        <f>IFERROR(VALUE(SUBSTITUTE(INDEX('04A_국토부원자료'!$A:$T,ROW()+1,MATCH("건축년도",'04A_국토부원자료'!$A$4:$T$4,0)),",","")),"")</f>
        <v/>
      </c>
      <c r="L1799" s="176">
        <f>IFERROR(INDEX('04A_국토부원자료'!$A:$T,ROW()+1,MATCH("도로명",'04A_국토부원자료'!$A$4:$T$4,0)),"")</f>
        <v/>
      </c>
      <c r="M1799" s="48">
        <f>IFERROR(INDEX('04A_국토부원자료'!$A:$T,ROW()+1,MATCH("거래유형",'04A_국토부원자료'!$A$4:$T$4,0)),"")</f>
        <v/>
      </c>
      <c r="N1799" s="152">
        <f>IF(B1799="","",IF('02_대상물건입력'!B5="",1,IF(ISNUMBER(SEARCH('02_대상물건입력'!B5,B1799)),1,0)))</f>
        <v/>
      </c>
      <c r="O1799" s="152">
        <f>IF(B1799="","",IF('02_대상물건입력'!B6="",1,IF(ISNUMBER(SEARCH('02_대상물건입력'!B6,B1799)),1,0)))</f>
        <v/>
      </c>
      <c r="P1799" s="152">
        <f>IF(L1799="","",IF('02_대상물건입력'!B15="",0,IF(ISNUMBER(SEARCH('02_대상물건입력'!B15,L1799)),1,0)))</f>
        <v/>
      </c>
      <c r="Q1799" s="152">
        <f>IF(OR(C1799="",L1799=""),0,IF(AND(TRIM(C1799)=TRIM(RIGHT(SUBSTITUTE(TRIM('02_대상물건입력'!$B$7)," ",REPT(" ",99)),99)),IF('02_대상물건입력'!B15="",TRUE(),ISNUMBER(SEARCH('02_대상물건입력'!B15,L1799)))),1,0))</f>
        <v/>
      </c>
      <c r="R1799" s="175">
        <f>IFERROR(ABS(E1799-'02_대상물건입력'!B11)/'02_대상물건입력'!B11,"")</f>
        <v/>
      </c>
      <c r="S1799" s="152">
        <f>IFERROR(ABS(J1799-'02_대상물건입력'!B10),"")</f>
        <v/>
      </c>
      <c r="T1799" s="152">
        <f>IFERROR(ABS('01_설정'!B4-F1799),"")</f>
        <v/>
      </c>
      <c r="U1799" s="152">
        <f>IFERROR(ABS(K1799-YEAR('02_대상물건입력'!B14)),"")</f>
        <v/>
      </c>
      <c r="V1799" s="152">
        <f>IF(B1799="","",IF(AND(E1799&gt;0,F1799&gt;0,H1799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1799=1,TRUE()),R1799&lt;='01_설정'!B5,S1799&lt;='01_설정'!B6,T1799&lt;='01_설정'!B7,U1799&lt;='01_설정'!B8),"Y",""))</f>
        <v/>
      </c>
      <c r="W1799" s="172">
        <f>IF(V1799&lt;&gt;"Y","",MAX(0,(1-R1799/'01_설정'!B5))*'01_설정'!B14+MAX(0,(1-S1799/'01_설정'!B6))*'01_설정'!B15+MAX(0,(1-T1799/'01_설정'!B7))*'01_설정'!B16+MAX(0,(1-U1799/'01_설정'!B8))*'01_설정'!B17+O1799*'01_설정'!B11+Q1799*'01_설정'!B12+P1799*'01_설정'!B13+IF(Z1799="",0,Z1799))</f>
        <v/>
      </c>
      <c r="X1799" s="152">
        <f>IF(W1799="","",1+COUNTIFS($W$4:$W$3003,"&gt;"&amp;W1799)+COUNTIFS($W$4:W1799,W1799)-1)</f>
        <v/>
      </c>
      <c r="Y1799" s="175">
        <f>IF(OR(I1799="",'02_대상물건입력'!B19="",'02_대상물건입력'!B19&lt;=0),"",ABS(I1799-'02_대상물건입력'!B19)/'02_대상물건입력'!B19)</f>
        <v/>
      </c>
      <c r="Z1799" s="172">
        <f>IF(OR(Y1799="",'01_설정'!B31="",'01_설정'!B31&lt;=0,'01_설정'!B32="",'01_설정'!B32&lt;=0),"",MAX(0,(1-Y1799/'01_설정'!B32))*'01_설정'!B31)</f>
        <v/>
      </c>
    </row>
    <row r="1800" ht="17.25" customHeight="1">
      <c r="A1800" s="152">
        <f>IF(INDEX('04A_국토부원자료'!$A:$A,ROW()+1)="","",ROW()-3)</f>
        <v/>
      </c>
      <c r="B1800" s="48">
        <f>IFERROR(INDEX('04A_국토부원자료'!$A:$T,ROW()+1,MATCH("시군구",'04A_국토부원자료'!$A$4:$T$4,0)),"")</f>
        <v/>
      </c>
      <c r="C1800" s="48">
        <f>IF(B1800="","",IFERROR(INDEX('04A_국토부원자료'!$A:$T,ROW()+1,MATCH("번지",'04A_국토부원자료'!$A$4:$T$4,0)),""))</f>
        <v/>
      </c>
      <c r="D1800" s="48">
        <f>IF(B1800="","",IF(Q1800=1,'02_대상물건입력'!$B$8,IFERROR(INDEX('04A_국토부원자료'!$A:$T,ROW()+1,MATCH("단지명",'04A_국토부원자료'!$A$4:$T$4,0)),"")))</f>
        <v/>
      </c>
      <c r="E1800" s="172">
        <f>IFERROR(VALUE(SUBSTITUTE(INDEX('04A_국토부원자료'!$A:$T,ROW()+1,MATCH("전용면적(㎡)",'04A_국토부원자료'!$A$4:$T$4,0)),",","")),"")</f>
        <v/>
      </c>
      <c r="F18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00" s="51">
        <f>IFERROR(VALUE(SUBSTITUTE(INDEX('04A_국토부원자료'!$A:$T,ROW()+1,MATCH("거래금액(만원)",'04A_국토부원자료'!$A$4:$T$4,0)),",","")),"")</f>
        <v/>
      </c>
      <c r="H1800" s="174">
        <f>IF(G1800="","",G1800*10000)</f>
        <v/>
      </c>
      <c r="I1800" s="174">
        <f>IFERROR(IF(AND(H1800&gt;0,E1800&gt;0),H1800/E1800,""),"")</f>
        <v/>
      </c>
      <c r="J1800" s="152">
        <f>IFERROR(VALUE(SUBSTITUTE(INDEX('04A_국토부원자료'!$A:$T,ROW()+1,MATCH("층",'04A_국토부원자료'!$A$4:$T$4,0)),",","")),"")</f>
        <v/>
      </c>
      <c r="K1800" s="152">
        <f>IFERROR(VALUE(SUBSTITUTE(INDEX('04A_국토부원자료'!$A:$T,ROW()+1,MATCH("건축년도",'04A_국토부원자료'!$A$4:$T$4,0)),",","")),"")</f>
        <v/>
      </c>
      <c r="L1800" s="176">
        <f>IFERROR(INDEX('04A_국토부원자료'!$A:$T,ROW()+1,MATCH("도로명",'04A_국토부원자료'!$A$4:$T$4,0)),"")</f>
        <v/>
      </c>
      <c r="M1800" s="48">
        <f>IFERROR(INDEX('04A_국토부원자료'!$A:$T,ROW()+1,MATCH("거래유형",'04A_국토부원자료'!$A$4:$T$4,0)),"")</f>
        <v/>
      </c>
      <c r="N1800" s="152">
        <f>IF(B1800="","",IF('02_대상물건입력'!B5="",1,IF(ISNUMBER(SEARCH('02_대상물건입력'!B5,B1800)),1,0)))</f>
        <v/>
      </c>
      <c r="O1800" s="152">
        <f>IF(B1800="","",IF('02_대상물건입력'!B6="",1,IF(ISNUMBER(SEARCH('02_대상물건입력'!B6,B1800)),1,0)))</f>
        <v/>
      </c>
      <c r="P1800" s="152">
        <f>IF(L1800="","",IF('02_대상물건입력'!B15="",0,IF(ISNUMBER(SEARCH('02_대상물건입력'!B15,L1800)),1,0)))</f>
        <v/>
      </c>
      <c r="Q1800" s="152">
        <f>IF(OR(C1800="",L1800=""),0,IF(AND(TRIM(C1800)=TRIM(RIGHT(SUBSTITUTE(TRIM('02_대상물건입력'!$B$7)," ",REPT(" ",99)),99)),IF('02_대상물건입력'!B15="",TRUE(),ISNUMBER(SEARCH('02_대상물건입력'!B15,L1800)))),1,0))</f>
        <v/>
      </c>
      <c r="R1800" s="175">
        <f>IFERROR(ABS(E1800-'02_대상물건입력'!B11)/'02_대상물건입력'!B11,"")</f>
        <v/>
      </c>
      <c r="S1800" s="152">
        <f>IFERROR(ABS(J1800-'02_대상물건입력'!B10),"")</f>
        <v/>
      </c>
      <c r="T1800" s="152">
        <f>IFERROR(ABS('01_설정'!B4-F1800),"")</f>
        <v/>
      </c>
      <c r="U1800" s="152">
        <f>IFERROR(ABS(K1800-YEAR('02_대상물건입력'!B14)),"")</f>
        <v/>
      </c>
      <c r="V1800" s="152">
        <f>IF(B1800="","",IF(AND(E1800&gt;0,F1800&gt;0,H1800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1800=1,TRUE()),R1800&lt;='01_설정'!B5,S1800&lt;='01_설정'!B6,T1800&lt;='01_설정'!B7,U1800&lt;='01_설정'!B8),"Y",""))</f>
        <v/>
      </c>
      <c r="W1800" s="172">
        <f>IF(V1800&lt;&gt;"Y","",MAX(0,(1-R1800/'01_설정'!B5))*'01_설정'!B14+MAX(0,(1-S1800/'01_설정'!B6))*'01_설정'!B15+MAX(0,(1-T1800/'01_설정'!B7))*'01_설정'!B16+MAX(0,(1-U1800/'01_설정'!B8))*'01_설정'!B17+O1800*'01_설정'!B11+Q1800*'01_설정'!B12+P1800*'01_설정'!B13+IF(Z1800="",0,Z1800))</f>
        <v/>
      </c>
      <c r="X1800" s="152">
        <f>IF(W1800="","",1+COUNTIFS($W$4:$W$3003,"&gt;"&amp;W1800)+COUNTIFS($W$4:W1800,W1800)-1)</f>
        <v/>
      </c>
      <c r="Y1800" s="175">
        <f>IF(OR(I1800="",'02_대상물건입력'!B19="",'02_대상물건입력'!B19&lt;=0),"",ABS(I1800-'02_대상물건입력'!B19)/'02_대상물건입력'!B19)</f>
        <v/>
      </c>
      <c r="Z1800" s="172">
        <f>IF(OR(Y1800="",'01_설정'!B31="",'01_설정'!B31&lt;=0,'01_설정'!B32="",'01_설정'!B32&lt;=0),"",MAX(0,(1-Y1800/'01_설정'!B32))*'01_설정'!B31)</f>
        <v/>
      </c>
    </row>
    <row r="1801" ht="17.25" customHeight="1">
      <c r="A1801" s="152">
        <f>IF(INDEX('04A_국토부원자료'!$A:$A,ROW()+1)="","",ROW()-3)</f>
        <v/>
      </c>
      <c r="B1801" s="48">
        <f>IFERROR(INDEX('04A_국토부원자료'!$A:$T,ROW()+1,MATCH("시군구",'04A_국토부원자료'!$A$4:$T$4,0)),"")</f>
        <v/>
      </c>
      <c r="C1801" s="48">
        <f>IF(B1801="","",IFERROR(INDEX('04A_국토부원자료'!$A:$T,ROW()+1,MATCH("번지",'04A_국토부원자료'!$A$4:$T$4,0)),""))</f>
        <v/>
      </c>
      <c r="D1801" s="48">
        <f>IF(B1801="","",IF(Q1801=1,'02_대상물건입력'!$B$8,IFERROR(INDEX('04A_국토부원자료'!$A:$T,ROW()+1,MATCH("단지명",'04A_국토부원자료'!$A$4:$T$4,0)),"")))</f>
        <v/>
      </c>
      <c r="E1801" s="172">
        <f>IFERROR(VALUE(SUBSTITUTE(INDEX('04A_국토부원자료'!$A:$T,ROW()+1,MATCH("전용면적(㎡)",'04A_국토부원자료'!$A$4:$T$4,0)),",","")),"")</f>
        <v/>
      </c>
      <c r="F18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01" s="51">
        <f>IFERROR(VALUE(SUBSTITUTE(INDEX('04A_국토부원자료'!$A:$T,ROW()+1,MATCH("거래금액(만원)",'04A_국토부원자료'!$A$4:$T$4,0)),",","")),"")</f>
        <v/>
      </c>
      <c r="H1801" s="174">
        <f>IF(G1801="","",G1801*10000)</f>
        <v/>
      </c>
      <c r="I1801" s="174">
        <f>IFERROR(IF(AND(H1801&gt;0,E1801&gt;0),H1801/E1801,""),"")</f>
        <v/>
      </c>
      <c r="J1801" s="152">
        <f>IFERROR(VALUE(SUBSTITUTE(INDEX('04A_국토부원자료'!$A:$T,ROW()+1,MATCH("층",'04A_국토부원자료'!$A$4:$T$4,0)),",","")),"")</f>
        <v/>
      </c>
      <c r="K1801" s="152">
        <f>IFERROR(VALUE(SUBSTITUTE(INDEX('04A_국토부원자료'!$A:$T,ROW()+1,MATCH("건축년도",'04A_국토부원자료'!$A$4:$T$4,0)),",","")),"")</f>
        <v/>
      </c>
      <c r="L1801" s="176">
        <f>IFERROR(INDEX('04A_국토부원자료'!$A:$T,ROW()+1,MATCH("도로명",'04A_국토부원자료'!$A$4:$T$4,0)),"")</f>
        <v/>
      </c>
      <c r="M1801" s="48">
        <f>IFERROR(INDEX('04A_국토부원자료'!$A:$T,ROW()+1,MATCH("거래유형",'04A_국토부원자료'!$A$4:$T$4,0)),"")</f>
        <v/>
      </c>
      <c r="N1801" s="152">
        <f>IF(B1801="","",IF('02_대상물건입력'!B5="",1,IF(ISNUMBER(SEARCH('02_대상물건입력'!B5,B1801)),1,0)))</f>
        <v/>
      </c>
      <c r="O1801" s="152">
        <f>IF(B1801="","",IF('02_대상물건입력'!B6="",1,IF(ISNUMBER(SEARCH('02_대상물건입력'!B6,B1801)),1,0)))</f>
        <v/>
      </c>
      <c r="P1801" s="152">
        <f>IF(L1801="","",IF('02_대상물건입력'!B15="",0,IF(ISNUMBER(SEARCH('02_대상물건입력'!B15,L1801)),1,0)))</f>
        <v/>
      </c>
      <c r="Q1801" s="152">
        <f>IF(OR(C1801="",L1801=""),0,IF(AND(TRIM(C1801)=TRIM(RIGHT(SUBSTITUTE(TRIM('02_대상물건입력'!$B$7)," ",REPT(" ",99)),99)),IF('02_대상물건입력'!B15="",TRUE(),ISNUMBER(SEARCH('02_대상물건입력'!B15,L1801)))),1,0))</f>
        <v/>
      </c>
      <c r="R1801" s="175">
        <f>IFERROR(ABS(E1801-'02_대상물건입력'!B11)/'02_대상물건입력'!B11,"")</f>
        <v/>
      </c>
      <c r="S1801" s="152">
        <f>IFERROR(ABS(J1801-'02_대상물건입력'!B10),"")</f>
        <v/>
      </c>
      <c r="T1801" s="152">
        <f>IFERROR(ABS('01_설정'!B4-F1801),"")</f>
        <v/>
      </c>
      <c r="U1801" s="152">
        <f>IFERROR(ABS(K1801-YEAR('02_대상물건입력'!B14)),"")</f>
        <v/>
      </c>
      <c r="V1801" s="152">
        <f>IF(B1801="","",IF(AND(E1801&gt;0,F1801&gt;0,H1801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1801=1,TRUE()),R1801&lt;='01_설정'!B5,S1801&lt;='01_설정'!B6,T1801&lt;='01_설정'!B7,U1801&lt;='01_설정'!B8),"Y",""))</f>
        <v/>
      </c>
      <c r="W1801" s="172">
        <f>IF(V1801&lt;&gt;"Y","",MAX(0,(1-R1801/'01_설정'!B5))*'01_설정'!B14+MAX(0,(1-S1801/'01_설정'!B6))*'01_설정'!B15+MAX(0,(1-T1801/'01_설정'!B7))*'01_설정'!B16+MAX(0,(1-U1801/'01_설정'!B8))*'01_설정'!B17+O1801*'01_설정'!B11+Q1801*'01_설정'!B12+P1801*'01_설정'!B13+IF(Z1801="",0,Z1801))</f>
        <v/>
      </c>
      <c r="X1801" s="152">
        <f>IF(W1801="","",1+COUNTIFS($W$4:$W$3003,"&gt;"&amp;W1801)+COUNTIFS($W$4:W1801,W1801)-1)</f>
        <v/>
      </c>
      <c r="Y1801" s="175">
        <f>IF(OR(I1801="",'02_대상물건입력'!B19="",'02_대상물건입력'!B19&lt;=0),"",ABS(I1801-'02_대상물건입력'!B19)/'02_대상물건입력'!B19)</f>
        <v/>
      </c>
      <c r="Z1801" s="172">
        <f>IF(OR(Y1801="",'01_설정'!B31="",'01_설정'!B31&lt;=0,'01_설정'!B32="",'01_설정'!B32&lt;=0),"",MAX(0,(1-Y1801/'01_설정'!B32))*'01_설정'!B31)</f>
        <v/>
      </c>
    </row>
    <row r="1802" ht="17.25" customHeight="1">
      <c r="A1802" s="152">
        <f>IF(INDEX('04A_국토부원자료'!$A:$A,ROW()+1)="","",ROW()-3)</f>
        <v/>
      </c>
      <c r="B1802" s="48">
        <f>IFERROR(INDEX('04A_국토부원자료'!$A:$T,ROW()+1,MATCH("시군구",'04A_국토부원자료'!$A$4:$T$4,0)),"")</f>
        <v/>
      </c>
      <c r="C1802" s="48">
        <f>IF(B1802="","",IFERROR(INDEX('04A_국토부원자료'!$A:$T,ROW()+1,MATCH("번지",'04A_국토부원자료'!$A$4:$T$4,0)),""))</f>
        <v/>
      </c>
      <c r="D1802" s="48">
        <f>IF(B1802="","",IF(Q1802=1,'02_대상물건입력'!$B$8,IFERROR(INDEX('04A_국토부원자료'!$A:$T,ROW()+1,MATCH("단지명",'04A_국토부원자료'!$A$4:$T$4,0)),"")))</f>
        <v/>
      </c>
      <c r="E1802" s="172">
        <f>IFERROR(VALUE(SUBSTITUTE(INDEX('04A_국토부원자료'!$A:$T,ROW()+1,MATCH("전용면적(㎡)",'04A_국토부원자료'!$A$4:$T$4,0)),",","")),"")</f>
        <v/>
      </c>
      <c r="F18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02" s="51">
        <f>IFERROR(VALUE(SUBSTITUTE(INDEX('04A_국토부원자료'!$A:$T,ROW()+1,MATCH("거래금액(만원)",'04A_국토부원자료'!$A$4:$T$4,0)),",","")),"")</f>
        <v/>
      </c>
      <c r="H1802" s="174">
        <f>IF(G1802="","",G1802*10000)</f>
        <v/>
      </c>
      <c r="I1802" s="174">
        <f>IFERROR(IF(AND(H1802&gt;0,E1802&gt;0),H1802/E1802,""),"")</f>
        <v/>
      </c>
      <c r="J1802" s="152">
        <f>IFERROR(VALUE(SUBSTITUTE(INDEX('04A_국토부원자료'!$A:$T,ROW()+1,MATCH("층",'04A_국토부원자료'!$A$4:$T$4,0)),",","")),"")</f>
        <v/>
      </c>
      <c r="K1802" s="152">
        <f>IFERROR(VALUE(SUBSTITUTE(INDEX('04A_국토부원자료'!$A:$T,ROW()+1,MATCH("건축년도",'04A_국토부원자료'!$A$4:$T$4,0)),",","")),"")</f>
        <v/>
      </c>
      <c r="L1802" s="176">
        <f>IFERROR(INDEX('04A_국토부원자료'!$A:$T,ROW()+1,MATCH("도로명",'04A_국토부원자료'!$A$4:$T$4,0)),"")</f>
        <v/>
      </c>
      <c r="M1802" s="48">
        <f>IFERROR(INDEX('04A_국토부원자료'!$A:$T,ROW()+1,MATCH("거래유형",'04A_국토부원자료'!$A$4:$T$4,0)),"")</f>
        <v/>
      </c>
      <c r="N1802" s="152">
        <f>IF(B1802="","",IF('02_대상물건입력'!B5="",1,IF(ISNUMBER(SEARCH('02_대상물건입력'!B5,B1802)),1,0)))</f>
        <v/>
      </c>
      <c r="O1802" s="152">
        <f>IF(B1802="","",IF('02_대상물건입력'!B6="",1,IF(ISNUMBER(SEARCH('02_대상물건입력'!B6,B1802)),1,0)))</f>
        <v/>
      </c>
      <c r="P1802" s="152">
        <f>IF(L1802="","",IF('02_대상물건입력'!B15="",0,IF(ISNUMBER(SEARCH('02_대상물건입력'!B15,L1802)),1,0)))</f>
        <v/>
      </c>
      <c r="Q1802" s="152">
        <f>IF(OR(C1802="",L1802=""),0,IF(AND(TRIM(C1802)=TRIM(RIGHT(SUBSTITUTE(TRIM('02_대상물건입력'!$B$7)," ",REPT(" ",99)),99)),IF('02_대상물건입력'!B15="",TRUE(),ISNUMBER(SEARCH('02_대상물건입력'!B15,L1802)))),1,0))</f>
        <v/>
      </c>
      <c r="R1802" s="175">
        <f>IFERROR(ABS(E1802-'02_대상물건입력'!B11)/'02_대상물건입력'!B11,"")</f>
        <v/>
      </c>
      <c r="S1802" s="152">
        <f>IFERROR(ABS(J1802-'02_대상물건입력'!B10),"")</f>
        <v/>
      </c>
      <c r="T1802" s="152">
        <f>IFERROR(ABS('01_설정'!B4-F1802),"")</f>
        <v/>
      </c>
      <c r="U1802" s="152">
        <f>IFERROR(ABS(K1802-YEAR('02_대상물건입력'!B14)),"")</f>
        <v/>
      </c>
      <c r="V1802" s="152">
        <f>IF(B1802="","",IF(AND(E1802&gt;0,F1802&gt;0,H1802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1802=1,TRUE()),R1802&lt;='01_설정'!B5,S1802&lt;='01_설정'!B6,T1802&lt;='01_설정'!B7,U1802&lt;='01_설정'!B8),"Y",""))</f>
        <v/>
      </c>
      <c r="W1802" s="172">
        <f>IF(V1802&lt;&gt;"Y","",MAX(0,(1-R1802/'01_설정'!B5))*'01_설정'!B14+MAX(0,(1-S1802/'01_설정'!B6))*'01_설정'!B15+MAX(0,(1-T1802/'01_설정'!B7))*'01_설정'!B16+MAX(0,(1-U1802/'01_설정'!B8))*'01_설정'!B17+O1802*'01_설정'!B11+Q1802*'01_설정'!B12+P1802*'01_설정'!B13+IF(Z1802="",0,Z1802))</f>
        <v/>
      </c>
      <c r="X1802" s="152">
        <f>IF(W1802="","",1+COUNTIFS($W$4:$W$3003,"&gt;"&amp;W1802)+COUNTIFS($W$4:W1802,W1802)-1)</f>
        <v/>
      </c>
      <c r="Y1802" s="175">
        <f>IF(OR(I1802="",'02_대상물건입력'!B19="",'02_대상물건입력'!B19&lt;=0),"",ABS(I1802-'02_대상물건입력'!B19)/'02_대상물건입력'!B19)</f>
        <v/>
      </c>
      <c r="Z1802" s="172">
        <f>IF(OR(Y1802="",'01_설정'!B31="",'01_설정'!B31&lt;=0,'01_설정'!B32="",'01_설정'!B32&lt;=0),"",MAX(0,(1-Y1802/'01_설정'!B32))*'01_설정'!B31)</f>
        <v/>
      </c>
    </row>
    <row r="1803" ht="17.25" customHeight="1">
      <c r="A1803" s="152">
        <f>IF(INDEX('04A_국토부원자료'!$A:$A,ROW()+1)="","",ROW()-3)</f>
        <v/>
      </c>
      <c r="B1803" s="48">
        <f>IFERROR(INDEX('04A_국토부원자료'!$A:$T,ROW()+1,MATCH("시군구",'04A_국토부원자료'!$A$4:$T$4,0)),"")</f>
        <v/>
      </c>
      <c r="C1803" s="48">
        <f>IF(B1803="","",IFERROR(INDEX('04A_국토부원자료'!$A:$T,ROW()+1,MATCH("번지",'04A_국토부원자료'!$A$4:$T$4,0)),""))</f>
        <v/>
      </c>
      <c r="D1803" s="48">
        <f>IF(B1803="","",IF(Q1803=1,'02_대상물건입력'!$B$8,IFERROR(INDEX('04A_국토부원자료'!$A:$T,ROW()+1,MATCH("단지명",'04A_국토부원자료'!$A$4:$T$4,0)),"")))</f>
        <v/>
      </c>
      <c r="E1803" s="172">
        <f>IFERROR(VALUE(SUBSTITUTE(INDEX('04A_국토부원자료'!$A:$T,ROW()+1,MATCH("전용면적(㎡)",'04A_국토부원자료'!$A$4:$T$4,0)),",","")),"")</f>
        <v/>
      </c>
      <c r="F18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03" s="51">
        <f>IFERROR(VALUE(SUBSTITUTE(INDEX('04A_국토부원자료'!$A:$T,ROW()+1,MATCH("거래금액(만원)",'04A_국토부원자료'!$A$4:$T$4,0)),",","")),"")</f>
        <v/>
      </c>
      <c r="H1803" s="174">
        <f>IF(G1803="","",G1803*10000)</f>
        <v/>
      </c>
      <c r="I1803" s="174">
        <f>IFERROR(IF(AND(H1803&gt;0,E1803&gt;0),H1803/E1803,""),"")</f>
        <v/>
      </c>
      <c r="J1803" s="152">
        <f>IFERROR(VALUE(SUBSTITUTE(INDEX('04A_국토부원자료'!$A:$T,ROW()+1,MATCH("층",'04A_국토부원자료'!$A$4:$T$4,0)),",","")),"")</f>
        <v/>
      </c>
      <c r="K1803" s="152">
        <f>IFERROR(VALUE(SUBSTITUTE(INDEX('04A_국토부원자료'!$A:$T,ROW()+1,MATCH("건축년도",'04A_국토부원자료'!$A$4:$T$4,0)),",","")),"")</f>
        <v/>
      </c>
      <c r="L1803" s="176">
        <f>IFERROR(INDEX('04A_국토부원자료'!$A:$T,ROW()+1,MATCH("도로명",'04A_국토부원자료'!$A$4:$T$4,0)),"")</f>
        <v/>
      </c>
      <c r="M1803" s="48">
        <f>IFERROR(INDEX('04A_국토부원자료'!$A:$T,ROW()+1,MATCH("거래유형",'04A_국토부원자료'!$A$4:$T$4,0)),"")</f>
        <v/>
      </c>
      <c r="N1803" s="152">
        <f>IF(B1803="","",IF('02_대상물건입력'!B5="",1,IF(ISNUMBER(SEARCH('02_대상물건입력'!B5,B1803)),1,0)))</f>
        <v/>
      </c>
      <c r="O1803" s="152">
        <f>IF(B1803="","",IF('02_대상물건입력'!B6="",1,IF(ISNUMBER(SEARCH('02_대상물건입력'!B6,B1803)),1,0)))</f>
        <v/>
      </c>
      <c r="P1803" s="152">
        <f>IF(L1803="","",IF('02_대상물건입력'!B15="",0,IF(ISNUMBER(SEARCH('02_대상물건입력'!B15,L1803)),1,0)))</f>
        <v/>
      </c>
      <c r="Q1803" s="152">
        <f>IF(OR(C1803="",L1803=""),0,IF(AND(TRIM(C1803)=TRIM(RIGHT(SUBSTITUTE(TRIM('02_대상물건입력'!$B$7)," ",REPT(" ",99)),99)),IF('02_대상물건입력'!B15="",TRUE(),ISNUMBER(SEARCH('02_대상물건입력'!B15,L1803)))),1,0))</f>
        <v/>
      </c>
      <c r="R1803" s="175">
        <f>IFERROR(ABS(E1803-'02_대상물건입력'!B11)/'02_대상물건입력'!B11,"")</f>
        <v/>
      </c>
      <c r="S1803" s="152">
        <f>IFERROR(ABS(J1803-'02_대상물건입력'!B10),"")</f>
        <v/>
      </c>
      <c r="T1803" s="152">
        <f>IFERROR(ABS('01_설정'!B4-F1803),"")</f>
        <v/>
      </c>
      <c r="U1803" s="152">
        <f>IFERROR(ABS(K1803-YEAR('02_대상물건입력'!B14)),"")</f>
        <v/>
      </c>
      <c r="V1803" s="152">
        <f>IF(B1803="","",IF(AND(E1803&gt;0,F1803&gt;0,H1803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1803=1,TRUE()),R1803&lt;='01_설정'!B5,S1803&lt;='01_설정'!B6,T1803&lt;='01_설정'!B7,U1803&lt;='01_설정'!B8),"Y",""))</f>
        <v/>
      </c>
      <c r="W1803" s="172">
        <f>IF(V1803&lt;&gt;"Y","",MAX(0,(1-R1803/'01_설정'!B5))*'01_설정'!B14+MAX(0,(1-S1803/'01_설정'!B6))*'01_설정'!B15+MAX(0,(1-T1803/'01_설정'!B7))*'01_설정'!B16+MAX(0,(1-U1803/'01_설정'!B8))*'01_설정'!B17+O1803*'01_설정'!B11+Q1803*'01_설정'!B12+P1803*'01_설정'!B13+IF(Z1803="",0,Z1803))</f>
        <v/>
      </c>
      <c r="X1803" s="152">
        <f>IF(W1803="","",1+COUNTIFS($W$4:$W$3003,"&gt;"&amp;W1803)+COUNTIFS($W$4:W1803,W1803)-1)</f>
        <v/>
      </c>
      <c r="Y1803" s="175">
        <f>IF(OR(I1803="",'02_대상물건입력'!B19="",'02_대상물건입력'!B19&lt;=0),"",ABS(I1803-'02_대상물건입력'!B19)/'02_대상물건입력'!B19)</f>
        <v/>
      </c>
      <c r="Z1803" s="172">
        <f>IF(OR(Y1803="",'01_설정'!B31="",'01_설정'!B31&lt;=0,'01_설정'!B32="",'01_설정'!B32&lt;=0),"",MAX(0,(1-Y1803/'01_설정'!B32))*'01_설정'!B31)</f>
        <v/>
      </c>
    </row>
    <row r="1804" ht="17.25" customHeight="1">
      <c r="A1804" s="152">
        <f>IF(INDEX('04A_국토부원자료'!$A:$A,ROW()+1)="","",ROW()-3)</f>
        <v/>
      </c>
      <c r="B1804" s="48">
        <f>IFERROR(INDEX('04A_국토부원자료'!$A:$T,ROW()+1,MATCH("시군구",'04A_국토부원자료'!$A$4:$T$4,0)),"")</f>
        <v/>
      </c>
      <c r="C1804" s="48">
        <f>IF(B1804="","",IFERROR(INDEX('04A_국토부원자료'!$A:$T,ROW()+1,MATCH("번지",'04A_국토부원자료'!$A$4:$T$4,0)),""))</f>
        <v/>
      </c>
      <c r="D1804" s="48">
        <f>IF(B1804="","",IF(Q1804=1,'02_대상물건입력'!$B$8,IFERROR(INDEX('04A_국토부원자료'!$A:$T,ROW()+1,MATCH("단지명",'04A_국토부원자료'!$A$4:$T$4,0)),"")))</f>
        <v/>
      </c>
      <c r="E1804" s="172">
        <f>IFERROR(VALUE(SUBSTITUTE(INDEX('04A_국토부원자료'!$A:$T,ROW()+1,MATCH("전용면적(㎡)",'04A_국토부원자료'!$A$4:$T$4,0)),",","")),"")</f>
        <v/>
      </c>
      <c r="F18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04" s="51">
        <f>IFERROR(VALUE(SUBSTITUTE(INDEX('04A_국토부원자료'!$A:$T,ROW()+1,MATCH("거래금액(만원)",'04A_국토부원자료'!$A$4:$T$4,0)),",","")),"")</f>
        <v/>
      </c>
      <c r="H1804" s="174">
        <f>IF(G1804="","",G1804*10000)</f>
        <v/>
      </c>
      <c r="I1804" s="174">
        <f>IFERROR(IF(AND(H1804&gt;0,E1804&gt;0),H1804/E1804,""),"")</f>
        <v/>
      </c>
      <c r="J1804" s="152">
        <f>IFERROR(VALUE(SUBSTITUTE(INDEX('04A_국토부원자료'!$A:$T,ROW()+1,MATCH("층",'04A_국토부원자료'!$A$4:$T$4,0)),",","")),"")</f>
        <v/>
      </c>
      <c r="K1804" s="152">
        <f>IFERROR(VALUE(SUBSTITUTE(INDEX('04A_국토부원자료'!$A:$T,ROW()+1,MATCH("건축년도",'04A_국토부원자료'!$A$4:$T$4,0)),",","")),"")</f>
        <v/>
      </c>
      <c r="L1804" s="176">
        <f>IFERROR(INDEX('04A_국토부원자료'!$A:$T,ROW()+1,MATCH("도로명",'04A_국토부원자료'!$A$4:$T$4,0)),"")</f>
        <v/>
      </c>
      <c r="M1804" s="48">
        <f>IFERROR(INDEX('04A_국토부원자료'!$A:$T,ROW()+1,MATCH("거래유형",'04A_국토부원자료'!$A$4:$T$4,0)),"")</f>
        <v/>
      </c>
      <c r="N1804" s="152">
        <f>IF(B1804="","",IF('02_대상물건입력'!B5="",1,IF(ISNUMBER(SEARCH('02_대상물건입력'!B5,B1804)),1,0)))</f>
        <v/>
      </c>
      <c r="O1804" s="152">
        <f>IF(B1804="","",IF('02_대상물건입력'!B6="",1,IF(ISNUMBER(SEARCH('02_대상물건입력'!B6,B1804)),1,0)))</f>
        <v/>
      </c>
      <c r="P1804" s="152">
        <f>IF(L1804="","",IF('02_대상물건입력'!B15="",0,IF(ISNUMBER(SEARCH('02_대상물건입력'!B15,L1804)),1,0)))</f>
        <v/>
      </c>
      <c r="Q1804" s="152">
        <f>IF(OR(C1804="",L1804=""),0,IF(AND(TRIM(C1804)=TRIM(RIGHT(SUBSTITUTE(TRIM('02_대상물건입력'!$B$7)," ",REPT(" ",99)),99)),IF('02_대상물건입력'!B15="",TRUE(),ISNUMBER(SEARCH('02_대상물건입력'!B15,L1804)))),1,0))</f>
        <v/>
      </c>
      <c r="R1804" s="175">
        <f>IFERROR(ABS(E1804-'02_대상물건입력'!B11)/'02_대상물건입력'!B11,"")</f>
        <v/>
      </c>
      <c r="S1804" s="152">
        <f>IFERROR(ABS(J1804-'02_대상물건입력'!B10),"")</f>
        <v/>
      </c>
      <c r="T1804" s="152">
        <f>IFERROR(ABS('01_설정'!B4-F1804),"")</f>
        <v/>
      </c>
      <c r="U1804" s="152">
        <f>IFERROR(ABS(K1804-YEAR('02_대상물건입력'!B14)),"")</f>
        <v/>
      </c>
      <c r="V1804" s="152">
        <f>IF(B1804="","",IF(AND(E1804&gt;0,F1804&gt;0,H1804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1804=1,TRUE()),R1804&lt;='01_설정'!B5,S1804&lt;='01_설정'!B6,T1804&lt;='01_설정'!B7,U1804&lt;='01_설정'!B8),"Y",""))</f>
        <v/>
      </c>
      <c r="W1804" s="172">
        <f>IF(V1804&lt;&gt;"Y","",MAX(0,(1-R1804/'01_설정'!B5))*'01_설정'!B14+MAX(0,(1-S1804/'01_설정'!B6))*'01_설정'!B15+MAX(0,(1-T1804/'01_설정'!B7))*'01_설정'!B16+MAX(0,(1-U1804/'01_설정'!B8))*'01_설정'!B17+O1804*'01_설정'!B11+Q1804*'01_설정'!B12+P1804*'01_설정'!B13+IF(Z1804="",0,Z1804))</f>
        <v/>
      </c>
      <c r="X1804" s="152">
        <f>IF(W1804="","",1+COUNTIFS($W$4:$W$3003,"&gt;"&amp;W1804)+COUNTIFS($W$4:W1804,W1804)-1)</f>
        <v/>
      </c>
      <c r="Y1804" s="175">
        <f>IF(OR(I1804="",'02_대상물건입력'!B19="",'02_대상물건입력'!B19&lt;=0),"",ABS(I1804-'02_대상물건입력'!B19)/'02_대상물건입력'!B19)</f>
        <v/>
      </c>
      <c r="Z1804" s="172">
        <f>IF(OR(Y1804="",'01_설정'!B31="",'01_설정'!B31&lt;=0,'01_설정'!B32="",'01_설정'!B32&lt;=0),"",MAX(0,(1-Y1804/'01_설정'!B32))*'01_설정'!B31)</f>
        <v/>
      </c>
    </row>
    <row r="1805" ht="17.25" customHeight="1">
      <c r="A1805" s="152">
        <f>IF(INDEX('04A_국토부원자료'!$A:$A,ROW()+1)="","",ROW()-3)</f>
        <v/>
      </c>
      <c r="B1805" s="48">
        <f>IFERROR(INDEX('04A_국토부원자료'!$A:$T,ROW()+1,MATCH("시군구",'04A_국토부원자료'!$A$4:$T$4,0)),"")</f>
        <v/>
      </c>
      <c r="C1805" s="48">
        <f>IF(B1805="","",IFERROR(INDEX('04A_국토부원자료'!$A:$T,ROW()+1,MATCH("번지",'04A_국토부원자료'!$A$4:$T$4,0)),""))</f>
        <v/>
      </c>
      <c r="D1805" s="48">
        <f>IF(B1805="","",IF(Q1805=1,'02_대상물건입력'!$B$8,IFERROR(INDEX('04A_국토부원자료'!$A:$T,ROW()+1,MATCH("단지명",'04A_국토부원자료'!$A$4:$T$4,0)),"")))</f>
        <v/>
      </c>
      <c r="E1805" s="172">
        <f>IFERROR(VALUE(SUBSTITUTE(INDEX('04A_국토부원자료'!$A:$T,ROW()+1,MATCH("전용면적(㎡)",'04A_국토부원자료'!$A$4:$T$4,0)),",","")),"")</f>
        <v/>
      </c>
      <c r="F18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05" s="51">
        <f>IFERROR(VALUE(SUBSTITUTE(INDEX('04A_국토부원자료'!$A:$T,ROW()+1,MATCH("거래금액(만원)",'04A_국토부원자료'!$A$4:$T$4,0)),",","")),"")</f>
        <v/>
      </c>
      <c r="H1805" s="174">
        <f>IF(G1805="","",G1805*10000)</f>
        <v/>
      </c>
      <c r="I1805" s="174">
        <f>IFERROR(IF(AND(H1805&gt;0,E1805&gt;0),H1805/E1805,""),"")</f>
        <v/>
      </c>
      <c r="J1805" s="152">
        <f>IFERROR(VALUE(SUBSTITUTE(INDEX('04A_국토부원자료'!$A:$T,ROW()+1,MATCH("층",'04A_국토부원자료'!$A$4:$T$4,0)),",","")),"")</f>
        <v/>
      </c>
      <c r="K1805" s="152">
        <f>IFERROR(VALUE(SUBSTITUTE(INDEX('04A_국토부원자료'!$A:$T,ROW()+1,MATCH("건축년도",'04A_국토부원자료'!$A$4:$T$4,0)),",","")),"")</f>
        <v/>
      </c>
      <c r="L1805" s="176">
        <f>IFERROR(INDEX('04A_국토부원자료'!$A:$T,ROW()+1,MATCH("도로명",'04A_국토부원자료'!$A$4:$T$4,0)),"")</f>
        <v/>
      </c>
      <c r="M1805" s="48">
        <f>IFERROR(INDEX('04A_국토부원자료'!$A:$T,ROW()+1,MATCH("거래유형",'04A_국토부원자료'!$A$4:$T$4,0)),"")</f>
        <v/>
      </c>
      <c r="N1805" s="152">
        <f>IF(B1805="","",IF('02_대상물건입력'!B5="",1,IF(ISNUMBER(SEARCH('02_대상물건입력'!B5,B1805)),1,0)))</f>
        <v/>
      </c>
      <c r="O1805" s="152">
        <f>IF(B1805="","",IF('02_대상물건입력'!B6="",1,IF(ISNUMBER(SEARCH('02_대상물건입력'!B6,B1805)),1,0)))</f>
        <v/>
      </c>
      <c r="P1805" s="152">
        <f>IF(L1805="","",IF('02_대상물건입력'!B15="",0,IF(ISNUMBER(SEARCH('02_대상물건입력'!B15,L1805)),1,0)))</f>
        <v/>
      </c>
      <c r="Q1805" s="152">
        <f>IF(OR(C1805="",L1805=""),0,IF(AND(TRIM(C1805)=TRIM(RIGHT(SUBSTITUTE(TRIM('02_대상물건입력'!$B$7)," ",REPT(" ",99)),99)),IF('02_대상물건입력'!B15="",TRUE(),ISNUMBER(SEARCH('02_대상물건입력'!B15,L1805)))),1,0))</f>
        <v/>
      </c>
      <c r="R1805" s="175">
        <f>IFERROR(ABS(E1805-'02_대상물건입력'!B11)/'02_대상물건입력'!B11,"")</f>
        <v/>
      </c>
      <c r="S1805" s="152">
        <f>IFERROR(ABS(J1805-'02_대상물건입력'!B10),"")</f>
        <v/>
      </c>
      <c r="T1805" s="152">
        <f>IFERROR(ABS('01_설정'!B4-F1805),"")</f>
        <v/>
      </c>
      <c r="U1805" s="152">
        <f>IFERROR(ABS(K1805-YEAR('02_대상물건입력'!B14)),"")</f>
        <v/>
      </c>
      <c r="V1805" s="152">
        <f>IF(B1805="","",IF(AND(E1805&gt;0,F1805&gt;0,H1805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1805=1,TRUE()),R1805&lt;='01_설정'!B5,S1805&lt;='01_설정'!B6,T1805&lt;='01_설정'!B7,U1805&lt;='01_설정'!B8),"Y",""))</f>
        <v/>
      </c>
      <c r="W1805" s="172">
        <f>IF(V1805&lt;&gt;"Y","",MAX(0,(1-R1805/'01_설정'!B5))*'01_설정'!B14+MAX(0,(1-S1805/'01_설정'!B6))*'01_설정'!B15+MAX(0,(1-T1805/'01_설정'!B7))*'01_설정'!B16+MAX(0,(1-U1805/'01_설정'!B8))*'01_설정'!B17+O1805*'01_설정'!B11+Q1805*'01_설정'!B12+P1805*'01_설정'!B13+IF(Z1805="",0,Z1805))</f>
        <v/>
      </c>
      <c r="X1805" s="152">
        <f>IF(W1805="","",1+COUNTIFS($W$4:$W$3003,"&gt;"&amp;W1805)+COUNTIFS($W$4:W1805,W1805)-1)</f>
        <v/>
      </c>
      <c r="Y1805" s="175">
        <f>IF(OR(I1805="",'02_대상물건입력'!B19="",'02_대상물건입력'!B19&lt;=0),"",ABS(I1805-'02_대상물건입력'!B19)/'02_대상물건입력'!B19)</f>
        <v/>
      </c>
      <c r="Z1805" s="172">
        <f>IF(OR(Y1805="",'01_설정'!B31="",'01_설정'!B31&lt;=0,'01_설정'!B32="",'01_설정'!B32&lt;=0),"",MAX(0,(1-Y1805/'01_설정'!B32))*'01_설정'!B31)</f>
        <v/>
      </c>
    </row>
    <row r="1806" ht="17.25" customHeight="1">
      <c r="A1806" s="152">
        <f>IF(INDEX('04A_국토부원자료'!$A:$A,ROW()+1)="","",ROW()-3)</f>
        <v/>
      </c>
      <c r="B1806" s="48">
        <f>IFERROR(INDEX('04A_국토부원자료'!$A:$T,ROW()+1,MATCH("시군구",'04A_국토부원자료'!$A$4:$T$4,0)),"")</f>
        <v/>
      </c>
      <c r="C1806" s="48">
        <f>IF(B1806="","",IFERROR(INDEX('04A_국토부원자료'!$A:$T,ROW()+1,MATCH("번지",'04A_국토부원자료'!$A$4:$T$4,0)),""))</f>
        <v/>
      </c>
      <c r="D1806" s="48">
        <f>IF(B1806="","",IF(Q1806=1,'02_대상물건입력'!$B$8,IFERROR(INDEX('04A_국토부원자료'!$A:$T,ROW()+1,MATCH("단지명",'04A_국토부원자료'!$A$4:$T$4,0)),"")))</f>
        <v/>
      </c>
      <c r="E1806" s="172">
        <f>IFERROR(VALUE(SUBSTITUTE(INDEX('04A_국토부원자료'!$A:$T,ROW()+1,MATCH("전용면적(㎡)",'04A_국토부원자료'!$A$4:$T$4,0)),",","")),"")</f>
        <v/>
      </c>
      <c r="F18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06" s="51">
        <f>IFERROR(VALUE(SUBSTITUTE(INDEX('04A_국토부원자료'!$A:$T,ROW()+1,MATCH("거래금액(만원)",'04A_국토부원자료'!$A$4:$T$4,0)),",","")),"")</f>
        <v/>
      </c>
      <c r="H1806" s="174">
        <f>IF(G1806="","",G1806*10000)</f>
        <v/>
      </c>
      <c r="I1806" s="174">
        <f>IFERROR(IF(AND(H1806&gt;0,E1806&gt;0),H1806/E1806,""),"")</f>
        <v/>
      </c>
      <c r="J1806" s="152">
        <f>IFERROR(VALUE(SUBSTITUTE(INDEX('04A_국토부원자료'!$A:$T,ROW()+1,MATCH("층",'04A_국토부원자료'!$A$4:$T$4,0)),",","")),"")</f>
        <v/>
      </c>
      <c r="K1806" s="152">
        <f>IFERROR(VALUE(SUBSTITUTE(INDEX('04A_국토부원자료'!$A:$T,ROW()+1,MATCH("건축년도",'04A_국토부원자료'!$A$4:$T$4,0)),",","")),"")</f>
        <v/>
      </c>
      <c r="L1806" s="176">
        <f>IFERROR(INDEX('04A_국토부원자료'!$A:$T,ROW()+1,MATCH("도로명",'04A_국토부원자료'!$A$4:$T$4,0)),"")</f>
        <v/>
      </c>
      <c r="M1806" s="48">
        <f>IFERROR(INDEX('04A_국토부원자료'!$A:$T,ROW()+1,MATCH("거래유형",'04A_국토부원자료'!$A$4:$T$4,0)),"")</f>
        <v/>
      </c>
      <c r="N1806" s="152">
        <f>IF(B1806="","",IF('02_대상물건입력'!B5="",1,IF(ISNUMBER(SEARCH('02_대상물건입력'!B5,B1806)),1,0)))</f>
        <v/>
      </c>
      <c r="O1806" s="152">
        <f>IF(B1806="","",IF('02_대상물건입력'!B6="",1,IF(ISNUMBER(SEARCH('02_대상물건입력'!B6,B1806)),1,0)))</f>
        <v/>
      </c>
      <c r="P1806" s="152">
        <f>IF(L1806="","",IF('02_대상물건입력'!B15="",0,IF(ISNUMBER(SEARCH('02_대상물건입력'!B15,L1806)),1,0)))</f>
        <v/>
      </c>
      <c r="Q1806" s="152">
        <f>IF(OR(C1806="",L1806=""),0,IF(AND(TRIM(C1806)=TRIM(RIGHT(SUBSTITUTE(TRIM('02_대상물건입력'!$B$7)," ",REPT(" ",99)),99)),IF('02_대상물건입력'!B15="",TRUE(),ISNUMBER(SEARCH('02_대상물건입력'!B15,L1806)))),1,0))</f>
        <v/>
      </c>
      <c r="R1806" s="175">
        <f>IFERROR(ABS(E1806-'02_대상물건입력'!B11)/'02_대상물건입력'!B11,"")</f>
        <v/>
      </c>
      <c r="S1806" s="152">
        <f>IFERROR(ABS(J1806-'02_대상물건입력'!B10),"")</f>
        <v/>
      </c>
      <c r="T1806" s="152">
        <f>IFERROR(ABS('01_설정'!B4-F1806),"")</f>
        <v/>
      </c>
      <c r="U1806" s="152">
        <f>IFERROR(ABS(K1806-YEAR('02_대상물건입력'!B14)),"")</f>
        <v/>
      </c>
      <c r="V1806" s="152">
        <f>IF(B1806="","",IF(AND(E1806&gt;0,F1806&gt;0,H1806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1806=1,TRUE()),R1806&lt;='01_설정'!B5,S1806&lt;='01_설정'!B6,T1806&lt;='01_설정'!B7,U1806&lt;='01_설정'!B8),"Y",""))</f>
        <v/>
      </c>
      <c r="W1806" s="172">
        <f>IF(V1806&lt;&gt;"Y","",MAX(0,(1-R1806/'01_설정'!B5))*'01_설정'!B14+MAX(0,(1-S1806/'01_설정'!B6))*'01_설정'!B15+MAX(0,(1-T1806/'01_설정'!B7))*'01_설정'!B16+MAX(0,(1-U1806/'01_설정'!B8))*'01_설정'!B17+O1806*'01_설정'!B11+Q1806*'01_설정'!B12+P1806*'01_설정'!B13+IF(Z1806="",0,Z1806))</f>
        <v/>
      </c>
      <c r="X1806" s="152">
        <f>IF(W1806="","",1+COUNTIFS($W$4:$W$3003,"&gt;"&amp;W1806)+COUNTIFS($W$4:W1806,W1806)-1)</f>
        <v/>
      </c>
      <c r="Y1806" s="175">
        <f>IF(OR(I1806="",'02_대상물건입력'!B19="",'02_대상물건입력'!B19&lt;=0),"",ABS(I1806-'02_대상물건입력'!B19)/'02_대상물건입력'!B19)</f>
        <v/>
      </c>
      <c r="Z1806" s="172">
        <f>IF(OR(Y1806="",'01_설정'!B31="",'01_설정'!B31&lt;=0,'01_설정'!B32="",'01_설정'!B32&lt;=0),"",MAX(0,(1-Y1806/'01_설정'!B32))*'01_설정'!B31)</f>
        <v/>
      </c>
    </row>
    <row r="1807" ht="17.25" customHeight="1">
      <c r="A1807" s="152">
        <f>IF(INDEX('04A_국토부원자료'!$A:$A,ROW()+1)="","",ROW()-3)</f>
        <v/>
      </c>
      <c r="B1807" s="48">
        <f>IFERROR(INDEX('04A_국토부원자료'!$A:$T,ROW()+1,MATCH("시군구",'04A_국토부원자료'!$A$4:$T$4,0)),"")</f>
        <v/>
      </c>
      <c r="C1807" s="48">
        <f>IF(B1807="","",IFERROR(INDEX('04A_국토부원자료'!$A:$T,ROW()+1,MATCH("번지",'04A_국토부원자료'!$A$4:$T$4,0)),""))</f>
        <v/>
      </c>
      <c r="D1807" s="48">
        <f>IF(B1807="","",IF(Q1807=1,'02_대상물건입력'!$B$8,IFERROR(INDEX('04A_국토부원자료'!$A:$T,ROW()+1,MATCH("단지명",'04A_국토부원자료'!$A$4:$T$4,0)),"")))</f>
        <v/>
      </c>
      <c r="E1807" s="172">
        <f>IFERROR(VALUE(SUBSTITUTE(INDEX('04A_국토부원자료'!$A:$T,ROW()+1,MATCH("전용면적(㎡)",'04A_국토부원자료'!$A$4:$T$4,0)),",","")),"")</f>
        <v/>
      </c>
      <c r="F18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07" s="51">
        <f>IFERROR(VALUE(SUBSTITUTE(INDEX('04A_국토부원자료'!$A:$T,ROW()+1,MATCH("거래금액(만원)",'04A_국토부원자료'!$A$4:$T$4,0)),",","")),"")</f>
        <v/>
      </c>
      <c r="H1807" s="174">
        <f>IF(G1807="","",G1807*10000)</f>
        <v/>
      </c>
      <c r="I1807" s="174">
        <f>IFERROR(IF(AND(H1807&gt;0,E1807&gt;0),H1807/E1807,""),"")</f>
        <v/>
      </c>
      <c r="J1807" s="152">
        <f>IFERROR(VALUE(SUBSTITUTE(INDEX('04A_국토부원자료'!$A:$T,ROW()+1,MATCH("층",'04A_국토부원자료'!$A$4:$T$4,0)),",","")),"")</f>
        <v/>
      </c>
      <c r="K1807" s="152">
        <f>IFERROR(VALUE(SUBSTITUTE(INDEX('04A_국토부원자료'!$A:$T,ROW()+1,MATCH("건축년도",'04A_국토부원자료'!$A$4:$T$4,0)),",","")),"")</f>
        <v/>
      </c>
      <c r="L1807" s="176">
        <f>IFERROR(INDEX('04A_국토부원자료'!$A:$T,ROW()+1,MATCH("도로명",'04A_국토부원자료'!$A$4:$T$4,0)),"")</f>
        <v/>
      </c>
      <c r="M1807" s="48">
        <f>IFERROR(INDEX('04A_국토부원자료'!$A:$T,ROW()+1,MATCH("거래유형",'04A_국토부원자료'!$A$4:$T$4,0)),"")</f>
        <v/>
      </c>
      <c r="N1807" s="152">
        <f>IF(B1807="","",IF('02_대상물건입력'!B5="",1,IF(ISNUMBER(SEARCH('02_대상물건입력'!B5,B1807)),1,0)))</f>
        <v/>
      </c>
      <c r="O1807" s="152">
        <f>IF(B1807="","",IF('02_대상물건입력'!B6="",1,IF(ISNUMBER(SEARCH('02_대상물건입력'!B6,B1807)),1,0)))</f>
        <v/>
      </c>
      <c r="P1807" s="152">
        <f>IF(L1807="","",IF('02_대상물건입력'!B15="",0,IF(ISNUMBER(SEARCH('02_대상물건입력'!B15,L1807)),1,0)))</f>
        <v/>
      </c>
      <c r="Q1807" s="152">
        <f>IF(OR(C1807="",L1807=""),0,IF(AND(TRIM(C1807)=TRIM(RIGHT(SUBSTITUTE(TRIM('02_대상물건입력'!$B$7)," ",REPT(" ",99)),99)),IF('02_대상물건입력'!B15="",TRUE(),ISNUMBER(SEARCH('02_대상물건입력'!B15,L1807)))),1,0))</f>
        <v/>
      </c>
      <c r="R1807" s="175">
        <f>IFERROR(ABS(E1807-'02_대상물건입력'!B11)/'02_대상물건입력'!B11,"")</f>
        <v/>
      </c>
      <c r="S1807" s="152">
        <f>IFERROR(ABS(J1807-'02_대상물건입력'!B10),"")</f>
        <v/>
      </c>
      <c r="T1807" s="152">
        <f>IFERROR(ABS('01_설정'!B4-F1807),"")</f>
        <v/>
      </c>
      <c r="U1807" s="152">
        <f>IFERROR(ABS(K1807-YEAR('02_대상물건입력'!B14)),"")</f>
        <v/>
      </c>
      <c r="V1807" s="152">
        <f>IF(B1807="","",IF(AND(E1807&gt;0,F1807&gt;0,H1807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1807=1,TRUE()),R1807&lt;='01_설정'!B5,S1807&lt;='01_설정'!B6,T1807&lt;='01_설정'!B7,U1807&lt;='01_설정'!B8),"Y",""))</f>
        <v/>
      </c>
      <c r="W1807" s="172">
        <f>IF(V1807&lt;&gt;"Y","",MAX(0,(1-R1807/'01_설정'!B5))*'01_설정'!B14+MAX(0,(1-S1807/'01_설정'!B6))*'01_설정'!B15+MAX(0,(1-T1807/'01_설정'!B7))*'01_설정'!B16+MAX(0,(1-U1807/'01_설정'!B8))*'01_설정'!B17+O1807*'01_설정'!B11+Q1807*'01_설정'!B12+P1807*'01_설정'!B13+IF(Z1807="",0,Z1807))</f>
        <v/>
      </c>
      <c r="X1807" s="152">
        <f>IF(W1807="","",1+COUNTIFS($W$4:$W$3003,"&gt;"&amp;W1807)+COUNTIFS($W$4:W1807,W1807)-1)</f>
        <v/>
      </c>
      <c r="Y1807" s="175">
        <f>IF(OR(I1807="",'02_대상물건입력'!B19="",'02_대상물건입력'!B19&lt;=0),"",ABS(I1807-'02_대상물건입력'!B19)/'02_대상물건입력'!B19)</f>
        <v/>
      </c>
      <c r="Z1807" s="172">
        <f>IF(OR(Y1807="",'01_설정'!B31="",'01_설정'!B31&lt;=0,'01_설정'!B32="",'01_설정'!B32&lt;=0),"",MAX(0,(1-Y1807/'01_설정'!B32))*'01_설정'!B31)</f>
        <v/>
      </c>
    </row>
    <row r="1808" ht="17.25" customHeight="1">
      <c r="A1808" s="152">
        <f>IF(INDEX('04A_국토부원자료'!$A:$A,ROW()+1)="","",ROW()-3)</f>
        <v/>
      </c>
      <c r="B1808" s="48">
        <f>IFERROR(INDEX('04A_국토부원자료'!$A:$T,ROW()+1,MATCH("시군구",'04A_국토부원자료'!$A$4:$T$4,0)),"")</f>
        <v/>
      </c>
      <c r="C1808" s="48">
        <f>IF(B1808="","",IFERROR(INDEX('04A_국토부원자료'!$A:$T,ROW()+1,MATCH("번지",'04A_국토부원자료'!$A$4:$T$4,0)),""))</f>
        <v/>
      </c>
      <c r="D1808" s="48">
        <f>IF(B1808="","",IF(Q1808=1,'02_대상물건입력'!$B$8,IFERROR(INDEX('04A_국토부원자료'!$A:$T,ROW()+1,MATCH("단지명",'04A_국토부원자료'!$A$4:$T$4,0)),"")))</f>
        <v/>
      </c>
      <c r="E1808" s="172">
        <f>IFERROR(VALUE(SUBSTITUTE(INDEX('04A_국토부원자료'!$A:$T,ROW()+1,MATCH("전용면적(㎡)",'04A_국토부원자료'!$A$4:$T$4,0)),",","")),"")</f>
        <v/>
      </c>
      <c r="F18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08" s="51">
        <f>IFERROR(VALUE(SUBSTITUTE(INDEX('04A_국토부원자료'!$A:$T,ROW()+1,MATCH("거래금액(만원)",'04A_국토부원자료'!$A$4:$T$4,0)),",","")),"")</f>
        <v/>
      </c>
      <c r="H1808" s="174">
        <f>IF(G1808="","",G1808*10000)</f>
        <v/>
      </c>
      <c r="I1808" s="174">
        <f>IFERROR(IF(AND(H1808&gt;0,E1808&gt;0),H1808/E1808,""),"")</f>
        <v/>
      </c>
      <c r="J1808" s="152">
        <f>IFERROR(VALUE(SUBSTITUTE(INDEX('04A_국토부원자료'!$A:$T,ROW()+1,MATCH("층",'04A_국토부원자료'!$A$4:$T$4,0)),",","")),"")</f>
        <v/>
      </c>
      <c r="K1808" s="152">
        <f>IFERROR(VALUE(SUBSTITUTE(INDEX('04A_국토부원자료'!$A:$T,ROW()+1,MATCH("건축년도",'04A_국토부원자료'!$A$4:$T$4,0)),",","")),"")</f>
        <v/>
      </c>
      <c r="L1808" s="176">
        <f>IFERROR(INDEX('04A_국토부원자료'!$A:$T,ROW()+1,MATCH("도로명",'04A_국토부원자료'!$A$4:$T$4,0)),"")</f>
        <v/>
      </c>
      <c r="M1808" s="48">
        <f>IFERROR(INDEX('04A_국토부원자료'!$A:$T,ROW()+1,MATCH("거래유형",'04A_국토부원자료'!$A$4:$T$4,0)),"")</f>
        <v/>
      </c>
      <c r="N1808" s="152">
        <f>IF(B1808="","",IF('02_대상물건입력'!B5="",1,IF(ISNUMBER(SEARCH('02_대상물건입력'!B5,B1808)),1,0)))</f>
        <v/>
      </c>
      <c r="O1808" s="152">
        <f>IF(B1808="","",IF('02_대상물건입력'!B6="",1,IF(ISNUMBER(SEARCH('02_대상물건입력'!B6,B1808)),1,0)))</f>
        <v/>
      </c>
      <c r="P1808" s="152">
        <f>IF(L1808="","",IF('02_대상물건입력'!B15="",0,IF(ISNUMBER(SEARCH('02_대상물건입력'!B15,L1808)),1,0)))</f>
        <v/>
      </c>
      <c r="Q1808" s="152">
        <f>IF(OR(C1808="",L1808=""),0,IF(AND(TRIM(C1808)=TRIM(RIGHT(SUBSTITUTE(TRIM('02_대상물건입력'!$B$7)," ",REPT(" ",99)),99)),IF('02_대상물건입력'!B15="",TRUE(),ISNUMBER(SEARCH('02_대상물건입력'!B15,L1808)))),1,0))</f>
        <v/>
      </c>
      <c r="R1808" s="175">
        <f>IFERROR(ABS(E1808-'02_대상물건입력'!B11)/'02_대상물건입력'!B11,"")</f>
        <v/>
      </c>
      <c r="S1808" s="152">
        <f>IFERROR(ABS(J1808-'02_대상물건입력'!B10),"")</f>
        <v/>
      </c>
      <c r="T1808" s="152">
        <f>IFERROR(ABS('01_설정'!B4-F1808),"")</f>
        <v/>
      </c>
      <c r="U1808" s="152">
        <f>IFERROR(ABS(K1808-YEAR('02_대상물건입력'!B14)),"")</f>
        <v/>
      </c>
      <c r="V1808" s="152">
        <f>IF(B1808="","",IF(AND(E1808&gt;0,F1808&gt;0,H1808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1808=1,TRUE()),R1808&lt;='01_설정'!B5,S1808&lt;='01_설정'!B6,T1808&lt;='01_설정'!B7,U1808&lt;='01_설정'!B8),"Y",""))</f>
        <v/>
      </c>
      <c r="W1808" s="172">
        <f>IF(V1808&lt;&gt;"Y","",MAX(0,(1-R1808/'01_설정'!B5))*'01_설정'!B14+MAX(0,(1-S1808/'01_설정'!B6))*'01_설정'!B15+MAX(0,(1-T1808/'01_설정'!B7))*'01_설정'!B16+MAX(0,(1-U1808/'01_설정'!B8))*'01_설정'!B17+O1808*'01_설정'!B11+Q1808*'01_설정'!B12+P1808*'01_설정'!B13+IF(Z1808="",0,Z1808))</f>
        <v/>
      </c>
      <c r="X1808" s="152">
        <f>IF(W1808="","",1+COUNTIFS($W$4:$W$3003,"&gt;"&amp;W1808)+COUNTIFS($W$4:W1808,W1808)-1)</f>
        <v/>
      </c>
      <c r="Y1808" s="175">
        <f>IF(OR(I1808="",'02_대상물건입력'!B19="",'02_대상물건입력'!B19&lt;=0),"",ABS(I1808-'02_대상물건입력'!B19)/'02_대상물건입력'!B19)</f>
        <v/>
      </c>
      <c r="Z1808" s="172">
        <f>IF(OR(Y1808="",'01_설정'!B31="",'01_설정'!B31&lt;=0,'01_설정'!B32="",'01_설정'!B32&lt;=0),"",MAX(0,(1-Y1808/'01_설정'!B32))*'01_설정'!B31)</f>
        <v/>
      </c>
    </row>
    <row r="1809" ht="17.25" customHeight="1">
      <c r="A1809" s="152">
        <f>IF(INDEX('04A_국토부원자료'!$A:$A,ROW()+1)="","",ROW()-3)</f>
        <v/>
      </c>
      <c r="B1809" s="48">
        <f>IFERROR(INDEX('04A_국토부원자료'!$A:$T,ROW()+1,MATCH("시군구",'04A_국토부원자료'!$A$4:$T$4,0)),"")</f>
        <v/>
      </c>
      <c r="C1809" s="48">
        <f>IF(B1809="","",IFERROR(INDEX('04A_국토부원자료'!$A:$T,ROW()+1,MATCH("번지",'04A_국토부원자료'!$A$4:$T$4,0)),""))</f>
        <v/>
      </c>
      <c r="D1809" s="48">
        <f>IF(B1809="","",IF(Q1809=1,'02_대상물건입력'!$B$8,IFERROR(INDEX('04A_국토부원자료'!$A:$T,ROW()+1,MATCH("단지명",'04A_국토부원자료'!$A$4:$T$4,0)),"")))</f>
        <v/>
      </c>
      <c r="E1809" s="172">
        <f>IFERROR(VALUE(SUBSTITUTE(INDEX('04A_국토부원자료'!$A:$T,ROW()+1,MATCH("전용면적(㎡)",'04A_국토부원자료'!$A$4:$T$4,0)),",","")),"")</f>
        <v/>
      </c>
      <c r="F18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09" s="51">
        <f>IFERROR(VALUE(SUBSTITUTE(INDEX('04A_국토부원자료'!$A:$T,ROW()+1,MATCH("거래금액(만원)",'04A_국토부원자료'!$A$4:$T$4,0)),",","")),"")</f>
        <v/>
      </c>
      <c r="H1809" s="174">
        <f>IF(G1809="","",G1809*10000)</f>
        <v/>
      </c>
      <c r="I1809" s="174">
        <f>IFERROR(IF(AND(H1809&gt;0,E1809&gt;0),H1809/E1809,""),"")</f>
        <v/>
      </c>
      <c r="J1809" s="152">
        <f>IFERROR(VALUE(SUBSTITUTE(INDEX('04A_국토부원자료'!$A:$T,ROW()+1,MATCH("층",'04A_국토부원자료'!$A$4:$T$4,0)),",","")),"")</f>
        <v/>
      </c>
      <c r="K1809" s="152">
        <f>IFERROR(VALUE(SUBSTITUTE(INDEX('04A_국토부원자료'!$A:$T,ROW()+1,MATCH("건축년도",'04A_국토부원자료'!$A$4:$T$4,0)),",","")),"")</f>
        <v/>
      </c>
      <c r="L1809" s="176">
        <f>IFERROR(INDEX('04A_국토부원자료'!$A:$T,ROW()+1,MATCH("도로명",'04A_국토부원자료'!$A$4:$T$4,0)),"")</f>
        <v/>
      </c>
      <c r="M1809" s="48">
        <f>IFERROR(INDEX('04A_국토부원자료'!$A:$T,ROW()+1,MATCH("거래유형",'04A_국토부원자료'!$A$4:$T$4,0)),"")</f>
        <v/>
      </c>
      <c r="N1809" s="152">
        <f>IF(B1809="","",IF('02_대상물건입력'!B5="",1,IF(ISNUMBER(SEARCH('02_대상물건입력'!B5,B1809)),1,0)))</f>
        <v/>
      </c>
      <c r="O1809" s="152">
        <f>IF(B1809="","",IF('02_대상물건입력'!B6="",1,IF(ISNUMBER(SEARCH('02_대상물건입력'!B6,B1809)),1,0)))</f>
        <v/>
      </c>
      <c r="P1809" s="152">
        <f>IF(L1809="","",IF('02_대상물건입력'!B15="",0,IF(ISNUMBER(SEARCH('02_대상물건입력'!B15,L1809)),1,0)))</f>
        <v/>
      </c>
      <c r="Q1809" s="152">
        <f>IF(OR(C1809="",L1809=""),0,IF(AND(TRIM(C1809)=TRIM(RIGHT(SUBSTITUTE(TRIM('02_대상물건입력'!$B$7)," ",REPT(" ",99)),99)),IF('02_대상물건입력'!B15="",TRUE(),ISNUMBER(SEARCH('02_대상물건입력'!B15,L1809)))),1,0))</f>
        <v/>
      </c>
      <c r="R1809" s="175">
        <f>IFERROR(ABS(E1809-'02_대상물건입력'!B11)/'02_대상물건입력'!B11,"")</f>
        <v/>
      </c>
      <c r="S1809" s="152">
        <f>IFERROR(ABS(J1809-'02_대상물건입력'!B10),"")</f>
        <v/>
      </c>
      <c r="T1809" s="152">
        <f>IFERROR(ABS('01_설정'!B4-F1809),"")</f>
        <v/>
      </c>
      <c r="U1809" s="152">
        <f>IFERROR(ABS(K1809-YEAR('02_대상물건입력'!B14)),"")</f>
        <v/>
      </c>
      <c r="V1809" s="152">
        <f>IF(B1809="","",IF(AND(E1809&gt;0,F1809&gt;0,H1809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1809=1,TRUE()),R1809&lt;='01_설정'!B5,S1809&lt;='01_설정'!B6,T1809&lt;='01_설정'!B7,U1809&lt;='01_설정'!B8),"Y",""))</f>
        <v/>
      </c>
      <c r="W1809" s="172">
        <f>IF(V1809&lt;&gt;"Y","",MAX(0,(1-R1809/'01_설정'!B5))*'01_설정'!B14+MAX(0,(1-S1809/'01_설정'!B6))*'01_설정'!B15+MAX(0,(1-T1809/'01_설정'!B7))*'01_설정'!B16+MAX(0,(1-U1809/'01_설정'!B8))*'01_설정'!B17+O1809*'01_설정'!B11+Q1809*'01_설정'!B12+P1809*'01_설정'!B13+IF(Z1809="",0,Z1809))</f>
        <v/>
      </c>
      <c r="X1809" s="152">
        <f>IF(W1809="","",1+COUNTIFS($W$4:$W$3003,"&gt;"&amp;W1809)+COUNTIFS($W$4:W1809,W1809)-1)</f>
        <v/>
      </c>
      <c r="Y1809" s="175">
        <f>IF(OR(I1809="",'02_대상물건입력'!B19="",'02_대상물건입력'!B19&lt;=0),"",ABS(I1809-'02_대상물건입력'!B19)/'02_대상물건입력'!B19)</f>
        <v/>
      </c>
      <c r="Z1809" s="172">
        <f>IF(OR(Y1809="",'01_설정'!B31="",'01_설정'!B31&lt;=0,'01_설정'!B32="",'01_설정'!B32&lt;=0),"",MAX(0,(1-Y1809/'01_설정'!B32))*'01_설정'!B31)</f>
        <v/>
      </c>
    </row>
    <row r="1810" ht="17.25" customHeight="1">
      <c r="A1810" s="152">
        <f>IF(INDEX('04A_국토부원자료'!$A:$A,ROW()+1)="","",ROW()-3)</f>
        <v/>
      </c>
      <c r="B1810" s="48">
        <f>IFERROR(INDEX('04A_국토부원자료'!$A:$T,ROW()+1,MATCH("시군구",'04A_국토부원자료'!$A$4:$T$4,0)),"")</f>
        <v/>
      </c>
      <c r="C1810" s="48">
        <f>IF(B1810="","",IFERROR(INDEX('04A_국토부원자료'!$A:$T,ROW()+1,MATCH("번지",'04A_국토부원자료'!$A$4:$T$4,0)),""))</f>
        <v/>
      </c>
      <c r="D1810" s="48">
        <f>IF(B1810="","",IF(Q1810=1,'02_대상물건입력'!$B$8,IFERROR(INDEX('04A_국토부원자료'!$A:$T,ROW()+1,MATCH("단지명",'04A_국토부원자료'!$A$4:$T$4,0)),"")))</f>
        <v/>
      </c>
      <c r="E1810" s="172">
        <f>IFERROR(VALUE(SUBSTITUTE(INDEX('04A_국토부원자료'!$A:$T,ROW()+1,MATCH("전용면적(㎡)",'04A_국토부원자료'!$A$4:$T$4,0)),",","")),"")</f>
        <v/>
      </c>
      <c r="F18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10" s="51">
        <f>IFERROR(VALUE(SUBSTITUTE(INDEX('04A_국토부원자료'!$A:$T,ROW()+1,MATCH("거래금액(만원)",'04A_국토부원자료'!$A$4:$T$4,0)),",","")),"")</f>
        <v/>
      </c>
      <c r="H1810" s="174">
        <f>IF(G1810="","",G1810*10000)</f>
        <v/>
      </c>
      <c r="I1810" s="174">
        <f>IFERROR(IF(AND(H1810&gt;0,E1810&gt;0),H1810/E1810,""),"")</f>
        <v/>
      </c>
      <c r="J1810" s="152">
        <f>IFERROR(VALUE(SUBSTITUTE(INDEX('04A_국토부원자료'!$A:$T,ROW()+1,MATCH("층",'04A_국토부원자료'!$A$4:$T$4,0)),",","")),"")</f>
        <v/>
      </c>
      <c r="K1810" s="152">
        <f>IFERROR(VALUE(SUBSTITUTE(INDEX('04A_국토부원자료'!$A:$T,ROW()+1,MATCH("건축년도",'04A_국토부원자료'!$A$4:$T$4,0)),",","")),"")</f>
        <v/>
      </c>
      <c r="L1810" s="176">
        <f>IFERROR(INDEX('04A_국토부원자료'!$A:$T,ROW()+1,MATCH("도로명",'04A_국토부원자료'!$A$4:$T$4,0)),"")</f>
        <v/>
      </c>
      <c r="M1810" s="48">
        <f>IFERROR(INDEX('04A_국토부원자료'!$A:$T,ROW()+1,MATCH("거래유형",'04A_국토부원자료'!$A$4:$T$4,0)),"")</f>
        <v/>
      </c>
      <c r="N1810" s="152">
        <f>IF(B1810="","",IF('02_대상물건입력'!B5="",1,IF(ISNUMBER(SEARCH('02_대상물건입력'!B5,B1810)),1,0)))</f>
        <v/>
      </c>
      <c r="O1810" s="152">
        <f>IF(B1810="","",IF('02_대상물건입력'!B6="",1,IF(ISNUMBER(SEARCH('02_대상물건입력'!B6,B1810)),1,0)))</f>
        <v/>
      </c>
      <c r="P1810" s="152">
        <f>IF(L1810="","",IF('02_대상물건입력'!B15="",0,IF(ISNUMBER(SEARCH('02_대상물건입력'!B15,L1810)),1,0)))</f>
        <v/>
      </c>
      <c r="Q1810" s="152">
        <f>IF(OR(C1810="",L1810=""),0,IF(AND(TRIM(C1810)=TRIM(RIGHT(SUBSTITUTE(TRIM('02_대상물건입력'!$B$7)," ",REPT(" ",99)),99)),IF('02_대상물건입력'!B15="",TRUE(),ISNUMBER(SEARCH('02_대상물건입력'!B15,L1810)))),1,0))</f>
        <v/>
      </c>
      <c r="R1810" s="175">
        <f>IFERROR(ABS(E1810-'02_대상물건입력'!B11)/'02_대상물건입력'!B11,"")</f>
        <v/>
      </c>
      <c r="S1810" s="152">
        <f>IFERROR(ABS(J1810-'02_대상물건입력'!B10),"")</f>
        <v/>
      </c>
      <c r="T1810" s="152">
        <f>IFERROR(ABS('01_설정'!B4-F1810),"")</f>
        <v/>
      </c>
      <c r="U1810" s="152">
        <f>IFERROR(ABS(K1810-YEAR('02_대상물건입력'!B14)),"")</f>
        <v/>
      </c>
      <c r="V1810" s="152">
        <f>IF(B1810="","",IF(AND(E1810&gt;0,F1810&gt;0,H1810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1810=1,TRUE()),R1810&lt;='01_설정'!B5,S1810&lt;='01_설정'!B6,T1810&lt;='01_설정'!B7,U1810&lt;='01_설정'!B8),"Y",""))</f>
        <v/>
      </c>
      <c r="W1810" s="172">
        <f>IF(V1810&lt;&gt;"Y","",MAX(0,(1-R1810/'01_설정'!B5))*'01_설정'!B14+MAX(0,(1-S1810/'01_설정'!B6))*'01_설정'!B15+MAX(0,(1-T1810/'01_설정'!B7))*'01_설정'!B16+MAX(0,(1-U1810/'01_설정'!B8))*'01_설정'!B17+O1810*'01_설정'!B11+Q1810*'01_설정'!B12+P1810*'01_설정'!B13+IF(Z1810="",0,Z1810))</f>
        <v/>
      </c>
      <c r="X1810" s="152">
        <f>IF(W1810="","",1+COUNTIFS($W$4:$W$3003,"&gt;"&amp;W1810)+COUNTIFS($W$4:W1810,W1810)-1)</f>
        <v/>
      </c>
      <c r="Y1810" s="175">
        <f>IF(OR(I1810="",'02_대상물건입력'!B19="",'02_대상물건입력'!B19&lt;=0),"",ABS(I1810-'02_대상물건입력'!B19)/'02_대상물건입력'!B19)</f>
        <v/>
      </c>
      <c r="Z1810" s="172">
        <f>IF(OR(Y1810="",'01_설정'!B31="",'01_설정'!B31&lt;=0,'01_설정'!B32="",'01_설정'!B32&lt;=0),"",MAX(0,(1-Y1810/'01_설정'!B32))*'01_설정'!B31)</f>
        <v/>
      </c>
    </row>
    <row r="1811" ht="17.25" customHeight="1">
      <c r="A1811" s="152">
        <f>IF(INDEX('04A_국토부원자료'!$A:$A,ROW()+1)="","",ROW()-3)</f>
        <v/>
      </c>
      <c r="B1811" s="48">
        <f>IFERROR(INDEX('04A_국토부원자료'!$A:$T,ROW()+1,MATCH("시군구",'04A_국토부원자료'!$A$4:$T$4,0)),"")</f>
        <v/>
      </c>
      <c r="C1811" s="48">
        <f>IF(B1811="","",IFERROR(INDEX('04A_국토부원자료'!$A:$T,ROW()+1,MATCH("번지",'04A_국토부원자료'!$A$4:$T$4,0)),""))</f>
        <v/>
      </c>
      <c r="D1811" s="48">
        <f>IF(B1811="","",IF(Q1811=1,'02_대상물건입력'!$B$8,IFERROR(INDEX('04A_국토부원자료'!$A:$T,ROW()+1,MATCH("단지명",'04A_국토부원자료'!$A$4:$T$4,0)),"")))</f>
        <v/>
      </c>
      <c r="E1811" s="172">
        <f>IFERROR(VALUE(SUBSTITUTE(INDEX('04A_국토부원자료'!$A:$T,ROW()+1,MATCH("전용면적(㎡)",'04A_국토부원자료'!$A$4:$T$4,0)),",","")),"")</f>
        <v/>
      </c>
      <c r="F18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11" s="51">
        <f>IFERROR(VALUE(SUBSTITUTE(INDEX('04A_국토부원자료'!$A:$T,ROW()+1,MATCH("거래금액(만원)",'04A_국토부원자료'!$A$4:$T$4,0)),",","")),"")</f>
        <v/>
      </c>
      <c r="H1811" s="174">
        <f>IF(G1811="","",G1811*10000)</f>
        <v/>
      </c>
      <c r="I1811" s="174">
        <f>IFERROR(IF(AND(H1811&gt;0,E1811&gt;0),H1811/E1811,""),"")</f>
        <v/>
      </c>
      <c r="J1811" s="152">
        <f>IFERROR(VALUE(SUBSTITUTE(INDEX('04A_국토부원자료'!$A:$T,ROW()+1,MATCH("층",'04A_국토부원자료'!$A$4:$T$4,0)),",","")),"")</f>
        <v/>
      </c>
      <c r="K1811" s="152">
        <f>IFERROR(VALUE(SUBSTITUTE(INDEX('04A_국토부원자료'!$A:$T,ROW()+1,MATCH("건축년도",'04A_국토부원자료'!$A$4:$T$4,0)),",","")),"")</f>
        <v/>
      </c>
      <c r="L1811" s="176">
        <f>IFERROR(INDEX('04A_국토부원자료'!$A:$T,ROW()+1,MATCH("도로명",'04A_국토부원자료'!$A$4:$T$4,0)),"")</f>
        <v/>
      </c>
      <c r="M1811" s="48">
        <f>IFERROR(INDEX('04A_국토부원자료'!$A:$T,ROW()+1,MATCH("거래유형",'04A_국토부원자료'!$A$4:$T$4,0)),"")</f>
        <v/>
      </c>
      <c r="N1811" s="152">
        <f>IF(B1811="","",IF('02_대상물건입력'!B5="",1,IF(ISNUMBER(SEARCH('02_대상물건입력'!B5,B1811)),1,0)))</f>
        <v/>
      </c>
      <c r="O1811" s="152">
        <f>IF(B1811="","",IF('02_대상물건입력'!B6="",1,IF(ISNUMBER(SEARCH('02_대상물건입력'!B6,B1811)),1,0)))</f>
        <v/>
      </c>
      <c r="P1811" s="152">
        <f>IF(L1811="","",IF('02_대상물건입력'!B15="",0,IF(ISNUMBER(SEARCH('02_대상물건입력'!B15,L1811)),1,0)))</f>
        <v/>
      </c>
      <c r="Q1811" s="152">
        <f>IF(OR(C1811="",L1811=""),0,IF(AND(TRIM(C1811)=TRIM(RIGHT(SUBSTITUTE(TRIM('02_대상물건입력'!$B$7)," ",REPT(" ",99)),99)),IF('02_대상물건입력'!B15="",TRUE(),ISNUMBER(SEARCH('02_대상물건입력'!B15,L1811)))),1,0))</f>
        <v/>
      </c>
      <c r="R1811" s="175">
        <f>IFERROR(ABS(E1811-'02_대상물건입력'!B11)/'02_대상물건입력'!B11,"")</f>
        <v/>
      </c>
      <c r="S1811" s="152">
        <f>IFERROR(ABS(J1811-'02_대상물건입력'!B10),"")</f>
        <v/>
      </c>
      <c r="T1811" s="152">
        <f>IFERROR(ABS('01_설정'!B4-F1811),"")</f>
        <v/>
      </c>
      <c r="U1811" s="152">
        <f>IFERROR(ABS(K1811-YEAR('02_대상물건입력'!B14)),"")</f>
        <v/>
      </c>
      <c r="V1811" s="152">
        <f>IF(B1811="","",IF(AND(E1811&gt;0,F1811&gt;0,H1811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1811=1,TRUE()),R1811&lt;='01_설정'!B5,S1811&lt;='01_설정'!B6,T1811&lt;='01_설정'!B7,U1811&lt;='01_설정'!B8),"Y",""))</f>
        <v/>
      </c>
      <c r="W1811" s="172">
        <f>IF(V1811&lt;&gt;"Y","",MAX(0,(1-R1811/'01_설정'!B5))*'01_설정'!B14+MAX(0,(1-S1811/'01_설정'!B6))*'01_설정'!B15+MAX(0,(1-T1811/'01_설정'!B7))*'01_설정'!B16+MAX(0,(1-U1811/'01_설정'!B8))*'01_설정'!B17+O1811*'01_설정'!B11+Q1811*'01_설정'!B12+P1811*'01_설정'!B13+IF(Z1811="",0,Z1811))</f>
        <v/>
      </c>
      <c r="X1811" s="152">
        <f>IF(W1811="","",1+COUNTIFS($W$4:$W$3003,"&gt;"&amp;W1811)+COUNTIFS($W$4:W1811,W1811)-1)</f>
        <v/>
      </c>
      <c r="Y1811" s="175">
        <f>IF(OR(I1811="",'02_대상물건입력'!B19="",'02_대상물건입력'!B19&lt;=0),"",ABS(I1811-'02_대상물건입력'!B19)/'02_대상물건입력'!B19)</f>
        <v/>
      </c>
      <c r="Z1811" s="172">
        <f>IF(OR(Y1811="",'01_설정'!B31="",'01_설정'!B31&lt;=0,'01_설정'!B32="",'01_설정'!B32&lt;=0),"",MAX(0,(1-Y1811/'01_설정'!B32))*'01_설정'!B31)</f>
        <v/>
      </c>
    </row>
    <row r="1812" ht="17.25" customHeight="1">
      <c r="A1812" s="152">
        <f>IF(INDEX('04A_국토부원자료'!$A:$A,ROW()+1)="","",ROW()-3)</f>
        <v/>
      </c>
      <c r="B1812" s="48">
        <f>IFERROR(INDEX('04A_국토부원자료'!$A:$T,ROW()+1,MATCH("시군구",'04A_국토부원자료'!$A$4:$T$4,0)),"")</f>
        <v/>
      </c>
      <c r="C1812" s="48">
        <f>IF(B1812="","",IFERROR(INDEX('04A_국토부원자료'!$A:$T,ROW()+1,MATCH("번지",'04A_국토부원자료'!$A$4:$T$4,0)),""))</f>
        <v/>
      </c>
      <c r="D1812" s="48">
        <f>IF(B1812="","",IF(Q1812=1,'02_대상물건입력'!$B$8,IFERROR(INDEX('04A_국토부원자료'!$A:$T,ROW()+1,MATCH("단지명",'04A_국토부원자료'!$A$4:$T$4,0)),"")))</f>
        <v/>
      </c>
      <c r="E1812" s="172">
        <f>IFERROR(VALUE(SUBSTITUTE(INDEX('04A_국토부원자료'!$A:$T,ROW()+1,MATCH("전용면적(㎡)",'04A_국토부원자료'!$A$4:$T$4,0)),",","")),"")</f>
        <v/>
      </c>
      <c r="F18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12" s="51">
        <f>IFERROR(VALUE(SUBSTITUTE(INDEX('04A_국토부원자료'!$A:$T,ROW()+1,MATCH("거래금액(만원)",'04A_국토부원자료'!$A$4:$T$4,0)),",","")),"")</f>
        <v/>
      </c>
      <c r="H1812" s="174">
        <f>IF(G1812="","",G1812*10000)</f>
        <v/>
      </c>
      <c r="I1812" s="174">
        <f>IFERROR(IF(AND(H1812&gt;0,E1812&gt;0),H1812/E1812,""),"")</f>
        <v/>
      </c>
      <c r="J1812" s="152">
        <f>IFERROR(VALUE(SUBSTITUTE(INDEX('04A_국토부원자료'!$A:$T,ROW()+1,MATCH("층",'04A_국토부원자료'!$A$4:$T$4,0)),",","")),"")</f>
        <v/>
      </c>
      <c r="K1812" s="152">
        <f>IFERROR(VALUE(SUBSTITUTE(INDEX('04A_국토부원자료'!$A:$T,ROW()+1,MATCH("건축년도",'04A_국토부원자료'!$A$4:$T$4,0)),",","")),"")</f>
        <v/>
      </c>
      <c r="L1812" s="176">
        <f>IFERROR(INDEX('04A_국토부원자료'!$A:$T,ROW()+1,MATCH("도로명",'04A_국토부원자료'!$A$4:$T$4,0)),"")</f>
        <v/>
      </c>
      <c r="M1812" s="48">
        <f>IFERROR(INDEX('04A_국토부원자료'!$A:$T,ROW()+1,MATCH("거래유형",'04A_국토부원자료'!$A$4:$T$4,0)),"")</f>
        <v/>
      </c>
      <c r="N1812" s="152">
        <f>IF(B1812="","",IF('02_대상물건입력'!B5="",1,IF(ISNUMBER(SEARCH('02_대상물건입력'!B5,B1812)),1,0)))</f>
        <v/>
      </c>
      <c r="O1812" s="152">
        <f>IF(B1812="","",IF('02_대상물건입력'!B6="",1,IF(ISNUMBER(SEARCH('02_대상물건입력'!B6,B1812)),1,0)))</f>
        <v/>
      </c>
      <c r="P1812" s="152">
        <f>IF(L1812="","",IF('02_대상물건입력'!B15="",0,IF(ISNUMBER(SEARCH('02_대상물건입력'!B15,L1812)),1,0)))</f>
        <v/>
      </c>
      <c r="Q1812" s="152">
        <f>IF(OR(C1812="",L1812=""),0,IF(AND(TRIM(C1812)=TRIM(RIGHT(SUBSTITUTE(TRIM('02_대상물건입력'!$B$7)," ",REPT(" ",99)),99)),IF('02_대상물건입력'!B15="",TRUE(),ISNUMBER(SEARCH('02_대상물건입력'!B15,L1812)))),1,0))</f>
        <v/>
      </c>
      <c r="R1812" s="175">
        <f>IFERROR(ABS(E1812-'02_대상물건입력'!B11)/'02_대상물건입력'!B11,"")</f>
        <v/>
      </c>
      <c r="S1812" s="152">
        <f>IFERROR(ABS(J1812-'02_대상물건입력'!B10),"")</f>
        <v/>
      </c>
      <c r="T1812" s="152">
        <f>IFERROR(ABS('01_설정'!B4-F1812),"")</f>
        <v/>
      </c>
      <c r="U1812" s="152">
        <f>IFERROR(ABS(K1812-YEAR('02_대상물건입력'!B14)),"")</f>
        <v/>
      </c>
      <c r="V1812" s="152">
        <f>IF(B1812="","",IF(AND(E1812&gt;0,F1812&gt;0,H1812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1812=1,TRUE()),R1812&lt;='01_설정'!B5,S1812&lt;='01_설정'!B6,T1812&lt;='01_설정'!B7,U1812&lt;='01_설정'!B8),"Y",""))</f>
        <v/>
      </c>
      <c r="W1812" s="172">
        <f>IF(V1812&lt;&gt;"Y","",MAX(0,(1-R1812/'01_설정'!B5))*'01_설정'!B14+MAX(0,(1-S1812/'01_설정'!B6))*'01_설정'!B15+MAX(0,(1-T1812/'01_설정'!B7))*'01_설정'!B16+MAX(0,(1-U1812/'01_설정'!B8))*'01_설정'!B17+O1812*'01_설정'!B11+Q1812*'01_설정'!B12+P1812*'01_설정'!B13+IF(Z1812="",0,Z1812))</f>
        <v/>
      </c>
      <c r="X1812" s="152">
        <f>IF(W1812="","",1+COUNTIFS($W$4:$W$3003,"&gt;"&amp;W1812)+COUNTIFS($W$4:W1812,W1812)-1)</f>
        <v/>
      </c>
      <c r="Y1812" s="175">
        <f>IF(OR(I1812="",'02_대상물건입력'!B19="",'02_대상물건입력'!B19&lt;=0),"",ABS(I1812-'02_대상물건입력'!B19)/'02_대상물건입력'!B19)</f>
        <v/>
      </c>
      <c r="Z1812" s="172">
        <f>IF(OR(Y1812="",'01_설정'!B31="",'01_설정'!B31&lt;=0,'01_설정'!B32="",'01_설정'!B32&lt;=0),"",MAX(0,(1-Y1812/'01_설정'!B32))*'01_설정'!B31)</f>
        <v/>
      </c>
    </row>
    <row r="1813" ht="17.25" customHeight="1">
      <c r="A1813" s="152">
        <f>IF(INDEX('04A_국토부원자료'!$A:$A,ROW()+1)="","",ROW()-3)</f>
        <v/>
      </c>
      <c r="B1813" s="48">
        <f>IFERROR(INDEX('04A_국토부원자료'!$A:$T,ROW()+1,MATCH("시군구",'04A_국토부원자료'!$A$4:$T$4,0)),"")</f>
        <v/>
      </c>
      <c r="C1813" s="48">
        <f>IF(B1813="","",IFERROR(INDEX('04A_국토부원자료'!$A:$T,ROW()+1,MATCH("번지",'04A_국토부원자료'!$A$4:$T$4,0)),""))</f>
        <v/>
      </c>
      <c r="D1813" s="48">
        <f>IF(B1813="","",IF(Q1813=1,'02_대상물건입력'!$B$8,IFERROR(INDEX('04A_국토부원자료'!$A:$T,ROW()+1,MATCH("단지명",'04A_국토부원자료'!$A$4:$T$4,0)),"")))</f>
        <v/>
      </c>
      <c r="E1813" s="172">
        <f>IFERROR(VALUE(SUBSTITUTE(INDEX('04A_국토부원자료'!$A:$T,ROW()+1,MATCH("전용면적(㎡)",'04A_국토부원자료'!$A$4:$T$4,0)),",","")),"")</f>
        <v/>
      </c>
      <c r="F18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13" s="51">
        <f>IFERROR(VALUE(SUBSTITUTE(INDEX('04A_국토부원자료'!$A:$T,ROW()+1,MATCH("거래금액(만원)",'04A_국토부원자료'!$A$4:$T$4,0)),",","")),"")</f>
        <v/>
      </c>
      <c r="H1813" s="174">
        <f>IF(G1813="","",G1813*10000)</f>
        <v/>
      </c>
      <c r="I1813" s="174">
        <f>IFERROR(IF(AND(H1813&gt;0,E1813&gt;0),H1813/E1813,""),"")</f>
        <v/>
      </c>
      <c r="J1813" s="152">
        <f>IFERROR(VALUE(SUBSTITUTE(INDEX('04A_국토부원자료'!$A:$T,ROW()+1,MATCH("층",'04A_국토부원자료'!$A$4:$T$4,0)),",","")),"")</f>
        <v/>
      </c>
      <c r="K1813" s="152">
        <f>IFERROR(VALUE(SUBSTITUTE(INDEX('04A_국토부원자료'!$A:$T,ROW()+1,MATCH("건축년도",'04A_국토부원자료'!$A$4:$T$4,0)),",","")),"")</f>
        <v/>
      </c>
      <c r="L1813" s="176">
        <f>IFERROR(INDEX('04A_국토부원자료'!$A:$T,ROW()+1,MATCH("도로명",'04A_국토부원자료'!$A$4:$T$4,0)),"")</f>
        <v/>
      </c>
      <c r="M1813" s="48">
        <f>IFERROR(INDEX('04A_국토부원자료'!$A:$T,ROW()+1,MATCH("거래유형",'04A_국토부원자료'!$A$4:$T$4,0)),"")</f>
        <v/>
      </c>
      <c r="N1813" s="152">
        <f>IF(B1813="","",IF('02_대상물건입력'!B5="",1,IF(ISNUMBER(SEARCH('02_대상물건입력'!B5,B1813)),1,0)))</f>
        <v/>
      </c>
      <c r="O1813" s="152">
        <f>IF(B1813="","",IF('02_대상물건입력'!B6="",1,IF(ISNUMBER(SEARCH('02_대상물건입력'!B6,B1813)),1,0)))</f>
        <v/>
      </c>
      <c r="P1813" s="152">
        <f>IF(L1813="","",IF('02_대상물건입력'!B15="",0,IF(ISNUMBER(SEARCH('02_대상물건입력'!B15,L1813)),1,0)))</f>
        <v/>
      </c>
      <c r="Q1813" s="152">
        <f>IF(OR(C1813="",L1813=""),0,IF(AND(TRIM(C1813)=TRIM(RIGHT(SUBSTITUTE(TRIM('02_대상물건입력'!$B$7)," ",REPT(" ",99)),99)),IF('02_대상물건입력'!B15="",TRUE(),ISNUMBER(SEARCH('02_대상물건입력'!B15,L1813)))),1,0))</f>
        <v/>
      </c>
      <c r="R1813" s="175">
        <f>IFERROR(ABS(E1813-'02_대상물건입력'!B11)/'02_대상물건입력'!B11,"")</f>
        <v/>
      </c>
      <c r="S1813" s="152">
        <f>IFERROR(ABS(J1813-'02_대상물건입력'!B10),"")</f>
        <v/>
      </c>
      <c r="T1813" s="152">
        <f>IFERROR(ABS('01_설정'!B4-F1813),"")</f>
        <v/>
      </c>
      <c r="U1813" s="152">
        <f>IFERROR(ABS(K1813-YEAR('02_대상물건입력'!B14)),"")</f>
        <v/>
      </c>
      <c r="V1813" s="152">
        <f>IF(B1813="","",IF(AND(E1813&gt;0,F1813&gt;0,H1813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1813=1,TRUE()),R1813&lt;='01_설정'!B5,S1813&lt;='01_설정'!B6,T1813&lt;='01_설정'!B7,U1813&lt;='01_설정'!B8),"Y",""))</f>
        <v/>
      </c>
      <c r="W1813" s="172">
        <f>IF(V1813&lt;&gt;"Y","",MAX(0,(1-R1813/'01_설정'!B5))*'01_설정'!B14+MAX(0,(1-S1813/'01_설정'!B6))*'01_설정'!B15+MAX(0,(1-T1813/'01_설정'!B7))*'01_설정'!B16+MAX(0,(1-U1813/'01_설정'!B8))*'01_설정'!B17+O1813*'01_설정'!B11+Q1813*'01_설정'!B12+P1813*'01_설정'!B13+IF(Z1813="",0,Z1813))</f>
        <v/>
      </c>
      <c r="X1813" s="152">
        <f>IF(W1813="","",1+COUNTIFS($W$4:$W$3003,"&gt;"&amp;W1813)+COUNTIFS($W$4:W1813,W1813)-1)</f>
        <v/>
      </c>
      <c r="Y1813" s="175">
        <f>IF(OR(I1813="",'02_대상물건입력'!B19="",'02_대상물건입력'!B19&lt;=0),"",ABS(I1813-'02_대상물건입력'!B19)/'02_대상물건입력'!B19)</f>
        <v/>
      </c>
      <c r="Z1813" s="172">
        <f>IF(OR(Y1813="",'01_설정'!B31="",'01_설정'!B31&lt;=0,'01_설정'!B32="",'01_설정'!B32&lt;=0),"",MAX(0,(1-Y1813/'01_설정'!B32))*'01_설정'!B31)</f>
        <v/>
      </c>
    </row>
    <row r="1814" ht="17.25" customHeight="1">
      <c r="A1814" s="152">
        <f>IF(INDEX('04A_국토부원자료'!$A:$A,ROW()+1)="","",ROW()-3)</f>
        <v/>
      </c>
      <c r="B1814" s="48">
        <f>IFERROR(INDEX('04A_국토부원자료'!$A:$T,ROW()+1,MATCH("시군구",'04A_국토부원자료'!$A$4:$T$4,0)),"")</f>
        <v/>
      </c>
      <c r="C1814" s="48">
        <f>IF(B1814="","",IFERROR(INDEX('04A_국토부원자료'!$A:$T,ROW()+1,MATCH("번지",'04A_국토부원자료'!$A$4:$T$4,0)),""))</f>
        <v/>
      </c>
      <c r="D1814" s="48">
        <f>IF(B1814="","",IF(Q1814=1,'02_대상물건입력'!$B$8,IFERROR(INDEX('04A_국토부원자료'!$A:$T,ROW()+1,MATCH("단지명",'04A_국토부원자료'!$A$4:$T$4,0)),"")))</f>
        <v/>
      </c>
      <c r="E1814" s="172">
        <f>IFERROR(VALUE(SUBSTITUTE(INDEX('04A_국토부원자료'!$A:$T,ROW()+1,MATCH("전용면적(㎡)",'04A_국토부원자료'!$A$4:$T$4,0)),",","")),"")</f>
        <v/>
      </c>
      <c r="F18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14" s="51">
        <f>IFERROR(VALUE(SUBSTITUTE(INDEX('04A_국토부원자료'!$A:$T,ROW()+1,MATCH("거래금액(만원)",'04A_국토부원자료'!$A$4:$T$4,0)),",","")),"")</f>
        <v/>
      </c>
      <c r="H1814" s="174">
        <f>IF(G1814="","",G1814*10000)</f>
        <v/>
      </c>
      <c r="I1814" s="174">
        <f>IFERROR(IF(AND(H1814&gt;0,E1814&gt;0),H1814/E1814,""),"")</f>
        <v/>
      </c>
      <c r="J1814" s="152">
        <f>IFERROR(VALUE(SUBSTITUTE(INDEX('04A_국토부원자료'!$A:$T,ROW()+1,MATCH("층",'04A_국토부원자료'!$A$4:$T$4,0)),",","")),"")</f>
        <v/>
      </c>
      <c r="K1814" s="152">
        <f>IFERROR(VALUE(SUBSTITUTE(INDEX('04A_국토부원자료'!$A:$T,ROW()+1,MATCH("건축년도",'04A_국토부원자료'!$A$4:$T$4,0)),",","")),"")</f>
        <v/>
      </c>
      <c r="L1814" s="176">
        <f>IFERROR(INDEX('04A_국토부원자료'!$A:$T,ROW()+1,MATCH("도로명",'04A_국토부원자료'!$A$4:$T$4,0)),"")</f>
        <v/>
      </c>
      <c r="M1814" s="48">
        <f>IFERROR(INDEX('04A_국토부원자료'!$A:$T,ROW()+1,MATCH("거래유형",'04A_국토부원자료'!$A$4:$T$4,0)),"")</f>
        <v/>
      </c>
      <c r="N1814" s="152">
        <f>IF(B1814="","",IF('02_대상물건입력'!B5="",1,IF(ISNUMBER(SEARCH('02_대상물건입력'!B5,B1814)),1,0)))</f>
        <v/>
      </c>
      <c r="O1814" s="152">
        <f>IF(B1814="","",IF('02_대상물건입력'!B6="",1,IF(ISNUMBER(SEARCH('02_대상물건입력'!B6,B1814)),1,0)))</f>
        <v/>
      </c>
      <c r="P1814" s="152">
        <f>IF(L1814="","",IF('02_대상물건입력'!B15="",0,IF(ISNUMBER(SEARCH('02_대상물건입력'!B15,L1814)),1,0)))</f>
        <v/>
      </c>
      <c r="Q1814" s="152">
        <f>IF(OR(C1814="",L1814=""),0,IF(AND(TRIM(C1814)=TRIM(RIGHT(SUBSTITUTE(TRIM('02_대상물건입력'!$B$7)," ",REPT(" ",99)),99)),IF('02_대상물건입력'!B15="",TRUE(),ISNUMBER(SEARCH('02_대상물건입력'!B15,L1814)))),1,0))</f>
        <v/>
      </c>
      <c r="R1814" s="175">
        <f>IFERROR(ABS(E1814-'02_대상물건입력'!B11)/'02_대상물건입력'!B11,"")</f>
        <v/>
      </c>
      <c r="S1814" s="152">
        <f>IFERROR(ABS(J1814-'02_대상물건입력'!B10),"")</f>
        <v/>
      </c>
      <c r="T1814" s="152">
        <f>IFERROR(ABS('01_설정'!B4-F1814),"")</f>
        <v/>
      </c>
      <c r="U1814" s="152">
        <f>IFERROR(ABS(K1814-YEAR('02_대상물건입력'!B14)),"")</f>
        <v/>
      </c>
      <c r="V1814" s="152">
        <f>IF(B1814="","",IF(AND(E1814&gt;0,F1814&gt;0,H1814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1814=1,TRUE()),R1814&lt;='01_설정'!B5,S1814&lt;='01_설정'!B6,T1814&lt;='01_설정'!B7,U1814&lt;='01_설정'!B8),"Y",""))</f>
        <v/>
      </c>
      <c r="W1814" s="172">
        <f>IF(V1814&lt;&gt;"Y","",MAX(0,(1-R1814/'01_설정'!B5))*'01_설정'!B14+MAX(0,(1-S1814/'01_설정'!B6))*'01_설정'!B15+MAX(0,(1-T1814/'01_설정'!B7))*'01_설정'!B16+MAX(0,(1-U1814/'01_설정'!B8))*'01_설정'!B17+O1814*'01_설정'!B11+Q1814*'01_설정'!B12+P1814*'01_설정'!B13+IF(Z1814="",0,Z1814))</f>
        <v/>
      </c>
      <c r="X1814" s="152">
        <f>IF(W1814="","",1+COUNTIFS($W$4:$W$3003,"&gt;"&amp;W1814)+COUNTIFS($W$4:W1814,W1814)-1)</f>
        <v/>
      </c>
      <c r="Y1814" s="175">
        <f>IF(OR(I1814="",'02_대상물건입력'!B19="",'02_대상물건입력'!B19&lt;=0),"",ABS(I1814-'02_대상물건입력'!B19)/'02_대상물건입력'!B19)</f>
        <v/>
      </c>
      <c r="Z1814" s="172">
        <f>IF(OR(Y1814="",'01_설정'!B31="",'01_설정'!B31&lt;=0,'01_설정'!B32="",'01_설정'!B32&lt;=0),"",MAX(0,(1-Y1814/'01_설정'!B32))*'01_설정'!B31)</f>
        <v/>
      </c>
    </row>
    <row r="1815" ht="17.25" customHeight="1">
      <c r="A1815" s="152">
        <f>IF(INDEX('04A_국토부원자료'!$A:$A,ROW()+1)="","",ROW()-3)</f>
        <v/>
      </c>
      <c r="B1815" s="48">
        <f>IFERROR(INDEX('04A_국토부원자료'!$A:$T,ROW()+1,MATCH("시군구",'04A_국토부원자료'!$A$4:$T$4,0)),"")</f>
        <v/>
      </c>
      <c r="C1815" s="48">
        <f>IF(B1815="","",IFERROR(INDEX('04A_국토부원자료'!$A:$T,ROW()+1,MATCH("번지",'04A_국토부원자료'!$A$4:$T$4,0)),""))</f>
        <v/>
      </c>
      <c r="D1815" s="48">
        <f>IF(B1815="","",IF(Q1815=1,'02_대상물건입력'!$B$8,IFERROR(INDEX('04A_국토부원자료'!$A:$T,ROW()+1,MATCH("단지명",'04A_국토부원자료'!$A$4:$T$4,0)),"")))</f>
        <v/>
      </c>
      <c r="E1815" s="172">
        <f>IFERROR(VALUE(SUBSTITUTE(INDEX('04A_국토부원자료'!$A:$T,ROW()+1,MATCH("전용면적(㎡)",'04A_국토부원자료'!$A$4:$T$4,0)),",","")),"")</f>
        <v/>
      </c>
      <c r="F18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15" s="51">
        <f>IFERROR(VALUE(SUBSTITUTE(INDEX('04A_국토부원자료'!$A:$T,ROW()+1,MATCH("거래금액(만원)",'04A_국토부원자료'!$A$4:$T$4,0)),",","")),"")</f>
        <v/>
      </c>
      <c r="H1815" s="174">
        <f>IF(G1815="","",G1815*10000)</f>
        <v/>
      </c>
      <c r="I1815" s="174">
        <f>IFERROR(IF(AND(H1815&gt;0,E1815&gt;0),H1815/E1815,""),"")</f>
        <v/>
      </c>
      <c r="J1815" s="152">
        <f>IFERROR(VALUE(SUBSTITUTE(INDEX('04A_국토부원자료'!$A:$T,ROW()+1,MATCH("층",'04A_국토부원자료'!$A$4:$T$4,0)),",","")),"")</f>
        <v/>
      </c>
      <c r="K1815" s="152">
        <f>IFERROR(VALUE(SUBSTITUTE(INDEX('04A_국토부원자료'!$A:$T,ROW()+1,MATCH("건축년도",'04A_국토부원자료'!$A$4:$T$4,0)),",","")),"")</f>
        <v/>
      </c>
      <c r="L1815" s="176">
        <f>IFERROR(INDEX('04A_국토부원자료'!$A:$T,ROW()+1,MATCH("도로명",'04A_국토부원자료'!$A$4:$T$4,0)),"")</f>
        <v/>
      </c>
      <c r="M1815" s="48">
        <f>IFERROR(INDEX('04A_국토부원자료'!$A:$T,ROW()+1,MATCH("거래유형",'04A_국토부원자료'!$A$4:$T$4,0)),"")</f>
        <v/>
      </c>
      <c r="N1815" s="152">
        <f>IF(B1815="","",IF('02_대상물건입력'!B5="",1,IF(ISNUMBER(SEARCH('02_대상물건입력'!B5,B1815)),1,0)))</f>
        <v/>
      </c>
      <c r="O1815" s="152">
        <f>IF(B1815="","",IF('02_대상물건입력'!B6="",1,IF(ISNUMBER(SEARCH('02_대상물건입력'!B6,B1815)),1,0)))</f>
        <v/>
      </c>
      <c r="P1815" s="152">
        <f>IF(L1815="","",IF('02_대상물건입력'!B15="",0,IF(ISNUMBER(SEARCH('02_대상물건입력'!B15,L1815)),1,0)))</f>
        <v/>
      </c>
      <c r="Q1815" s="152">
        <f>IF(OR(C1815="",L1815=""),0,IF(AND(TRIM(C1815)=TRIM(RIGHT(SUBSTITUTE(TRIM('02_대상물건입력'!$B$7)," ",REPT(" ",99)),99)),IF('02_대상물건입력'!B15="",TRUE(),ISNUMBER(SEARCH('02_대상물건입력'!B15,L1815)))),1,0))</f>
        <v/>
      </c>
      <c r="R1815" s="175">
        <f>IFERROR(ABS(E1815-'02_대상물건입력'!B11)/'02_대상물건입력'!B11,"")</f>
        <v/>
      </c>
      <c r="S1815" s="152">
        <f>IFERROR(ABS(J1815-'02_대상물건입력'!B10),"")</f>
        <v/>
      </c>
      <c r="T1815" s="152">
        <f>IFERROR(ABS('01_설정'!B4-F1815),"")</f>
        <v/>
      </c>
      <c r="U1815" s="152">
        <f>IFERROR(ABS(K1815-YEAR('02_대상물건입력'!B14)),"")</f>
        <v/>
      </c>
      <c r="V1815" s="152">
        <f>IF(B1815="","",IF(AND(E1815&gt;0,F1815&gt;0,H1815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1815=1,TRUE()),R1815&lt;='01_설정'!B5,S1815&lt;='01_설정'!B6,T1815&lt;='01_설정'!B7,U1815&lt;='01_설정'!B8),"Y",""))</f>
        <v/>
      </c>
      <c r="W1815" s="172">
        <f>IF(V1815&lt;&gt;"Y","",MAX(0,(1-R1815/'01_설정'!B5))*'01_설정'!B14+MAX(0,(1-S1815/'01_설정'!B6))*'01_설정'!B15+MAX(0,(1-T1815/'01_설정'!B7))*'01_설정'!B16+MAX(0,(1-U1815/'01_설정'!B8))*'01_설정'!B17+O1815*'01_설정'!B11+Q1815*'01_설정'!B12+P1815*'01_설정'!B13+IF(Z1815="",0,Z1815))</f>
        <v/>
      </c>
      <c r="X1815" s="152">
        <f>IF(W1815="","",1+COUNTIFS($W$4:$W$3003,"&gt;"&amp;W1815)+COUNTIFS($W$4:W1815,W1815)-1)</f>
        <v/>
      </c>
      <c r="Y1815" s="175">
        <f>IF(OR(I1815="",'02_대상물건입력'!B19="",'02_대상물건입력'!B19&lt;=0),"",ABS(I1815-'02_대상물건입력'!B19)/'02_대상물건입력'!B19)</f>
        <v/>
      </c>
      <c r="Z1815" s="172">
        <f>IF(OR(Y1815="",'01_설정'!B31="",'01_설정'!B31&lt;=0,'01_설정'!B32="",'01_설정'!B32&lt;=0),"",MAX(0,(1-Y1815/'01_설정'!B32))*'01_설정'!B31)</f>
        <v/>
      </c>
    </row>
    <row r="1816" ht="17.25" customHeight="1">
      <c r="A1816" s="152">
        <f>IF(INDEX('04A_국토부원자료'!$A:$A,ROW()+1)="","",ROW()-3)</f>
        <v/>
      </c>
      <c r="B1816" s="48">
        <f>IFERROR(INDEX('04A_국토부원자료'!$A:$T,ROW()+1,MATCH("시군구",'04A_국토부원자료'!$A$4:$T$4,0)),"")</f>
        <v/>
      </c>
      <c r="C1816" s="48">
        <f>IF(B1816="","",IFERROR(INDEX('04A_국토부원자료'!$A:$T,ROW()+1,MATCH("번지",'04A_국토부원자료'!$A$4:$T$4,0)),""))</f>
        <v/>
      </c>
      <c r="D1816" s="48">
        <f>IF(B1816="","",IF(Q1816=1,'02_대상물건입력'!$B$8,IFERROR(INDEX('04A_국토부원자료'!$A:$T,ROW()+1,MATCH("단지명",'04A_국토부원자료'!$A$4:$T$4,0)),"")))</f>
        <v/>
      </c>
      <c r="E1816" s="172">
        <f>IFERROR(VALUE(SUBSTITUTE(INDEX('04A_국토부원자료'!$A:$T,ROW()+1,MATCH("전용면적(㎡)",'04A_국토부원자료'!$A$4:$T$4,0)),",","")),"")</f>
        <v/>
      </c>
      <c r="F18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16" s="51">
        <f>IFERROR(VALUE(SUBSTITUTE(INDEX('04A_국토부원자료'!$A:$T,ROW()+1,MATCH("거래금액(만원)",'04A_국토부원자료'!$A$4:$T$4,0)),",","")),"")</f>
        <v/>
      </c>
      <c r="H1816" s="174">
        <f>IF(G1816="","",G1816*10000)</f>
        <v/>
      </c>
      <c r="I1816" s="174">
        <f>IFERROR(IF(AND(H1816&gt;0,E1816&gt;0),H1816/E1816,""),"")</f>
        <v/>
      </c>
      <c r="J1816" s="152">
        <f>IFERROR(VALUE(SUBSTITUTE(INDEX('04A_국토부원자료'!$A:$T,ROW()+1,MATCH("층",'04A_국토부원자료'!$A$4:$T$4,0)),",","")),"")</f>
        <v/>
      </c>
      <c r="K1816" s="152">
        <f>IFERROR(VALUE(SUBSTITUTE(INDEX('04A_국토부원자료'!$A:$T,ROW()+1,MATCH("건축년도",'04A_국토부원자료'!$A$4:$T$4,0)),",","")),"")</f>
        <v/>
      </c>
      <c r="L1816" s="176">
        <f>IFERROR(INDEX('04A_국토부원자료'!$A:$T,ROW()+1,MATCH("도로명",'04A_국토부원자료'!$A$4:$T$4,0)),"")</f>
        <v/>
      </c>
      <c r="M1816" s="48">
        <f>IFERROR(INDEX('04A_국토부원자료'!$A:$T,ROW()+1,MATCH("거래유형",'04A_국토부원자료'!$A$4:$T$4,0)),"")</f>
        <v/>
      </c>
      <c r="N1816" s="152">
        <f>IF(B1816="","",IF('02_대상물건입력'!B5="",1,IF(ISNUMBER(SEARCH('02_대상물건입력'!B5,B1816)),1,0)))</f>
        <v/>
      </c>
      <c r="O1816" s="152">
        <f>IF(B1816="","",IF('02_대상물건입력'!B6="",1,IF(ISNUMBER(SEARCH('02_대상물건입력'!B6,B1816)),1,0)))</f>
        <v/>
      </c>
      <c r="P1816" s="152">
        <f>IF(L1816="","",IF('02_대상물건입력'!B15="",0,IF(ISNUMBER(SEARCH('02_대상물건입력'!B15,L1816)),1,0)))</f>
        <v/>
      </c>
      <c r="Q1816" s="152">
        <f>IF(OR(C1816="",L1816=""),0,IF(AND(TRIM(C1816)=TRIM(RIGHT(SUBSTITUTE(TRIM('02_대상물건입력'!$B$7)," ",REPT(" ",99)),99)),IF('02_대상물건입력'!B15="",TRUE(),ISNUMBER(SEARCH('02_대상물건입력'!B15,L1816)))),1,0))</f>
        <v/>
      </c>
      <c r="R1816" s="175">
        <f>IFERROR(ABS(E1816-'02_대상물건입력'!B11)/'02_대상물건입력'!B11,"")</f>
        <v/>
      </c>
      <c r="S1816" s="152">
        <f>IFERROR(ABS(J1816-'02_대상물건입력'!B10),"")</f>
        <v/>
      </c>
      <c r="T1816" s="152">
        <f>IFERROR(ABS('01_설정'!B4-F1816),"")</f>
        <v/>
      </c>
      <c r="U1816" s="152">
        <f>IFERROR(ABS(K1816-YEAR('02_대상물건입력'!B14)),"")</f>
        <v/>
      </c>
      <c r="V1816" s="152">
        <f>IF(B1816="","",IF(AND(E1816&gt;0,F1816&gt;0,H1816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1816=1,TRUE()),R1816&lt;='01_설정'!B5,S1816&lt;='01_설정'!B6,T1816&lt;='01_설정'!B7,U1816&lt;='01_설정'!B8),"Y",""))</f>
        <v/>
      </c>
      <c r="W1816" s="172">
        <f>IF(V1816&lt;&gt;"Y","",MAX(0,(1-R1816/'01_설정'!B5))*'01_설정'!B14+MAX(0,(1-S1816/'01_설정'!B6))*'01_설정'!B15+MAX(0,(1-T1816/'01_설정'!B7))*'01_설정'!B16+MAX(0,(1-U1816/'01_설정'!B8))*'01_설정'!B17+O1816*'01_설정'!B11+Q1816*'01_설정'!B12+P1816*'01_설정'!B13+IF(Z1816="",0,Z1816))</f>
        <v/>
      </c>
      <c r="X1816" s="152">
        <f>IF(W1816="","",1+COUNTIFS($W$4:$W$3003,"&gt;"&amp;W1816)+COUNTIFS($W$4:W1816,W1816)-1)</f>
        <v/>
      </c>
      <c r="Y1816" s="175">
        <f>IF(OR(I1816="",'02_대상물건입력'!B19="",'02_대상물건입력'!B19&lt;=0),"",ABS(I1816-'02_대상물건입력'!B19)/'02_대상물건입력'!B19)</f>
        <v/>
      </c>
      <c r="Z1816" s="172">
        <f>IF(OR(Y1816="",'01_설정'!B31="",'01_설정'!B31&lt;=0,'01_설정'!B32="",'01_설정'!B32&lt;=0),"",MAX(0,(1-Y1816/'01_설정'!B32))*'01_설정'!B31)</f>
        <v/>
      </c>
    </row>
    <row r="1817" ht="17.25" customHeight="1">
      <c r="A1817" s="152">
        <f>IF(INDEX('04A_국토부원자료'!$A:$A,ROW()+1)="","",ROW()-3)</f>
        <v/>
      </c>
      <c r="B1817" s="48">
        <f>IFERROR(INDEX('04A_국토부원자료'!$A:$T,ROW()+1,MATCH("시군구",'04A_국토부원자료'!$A$4:$T$4,0)),"")</f>
        <v/>
      </c>
      <c r="C1817" s="48">
        <f>IF(B1817="","",IFERROR(INDEX('04A_국토부원자료'!$A:$T,ROW()+1,MATCH("번지",'04A_국토부원자료'!$A$4:$T$4,0)),""))</f>
        <v/>
      </c>
      <c r="D1817" s="48">
        <f>IF(B1817="","",IF(Q1817=1,'02_대상물건입력'!$B$8,IFERROR(INDEX('04A_국토부원자료'!$A:$T,ROW()+1,MATCH("단지명",'04A_국토부원자료'!$A$4:$T$4,0)),"")))</f>
        <v/>
      </c>
      <c r="E1817" s="172">
        <f>IFERROR(VALUE(SUBSTITUTE(INDEX('04A_국토부원자료'!$A:$T,ROW()+1,MATCH("전용면적(㎡)",'04A_국토부원자료'!$A$4:$T$4,0)),",","")),"")</f>
        <v/>
      </c>
      <c r="F18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17" s="51">
        <f>IFERROR(VALUE(SUBSTITUTE(INDEX('04A_국토부원자료'!$A:$T,ROW()+1,MATCH("거래금액(만원)",'04A_국토부원자료'!$A$4:$T$4,0)),",","")),"")</f>
        <v/>
      </c>
      <c r="H1817" s="174">
        <f>IF(G1817="","",G1817*10000)</f>
        <v/>
      </c>
      <c r="I1817" s="174">
        <f>IFERROR(IF(AND(H1817&gt;0,E1817&gt;0),H1817/E1817,""),"")</f>
        <v/>
      </c>
      <c r="J1817" s="152">
        <f>IFERROR(VALUE(SUBSTITUTE(INDEX('04A_국토부원자료'!$A:$T,ROW()+1,MATCH("층",'04A_국토부원자료'!$A$4:$T$4,0)),",","")),"")</f>
        <v/>
      </c>
      <c r="K1817" s="152">
        <f>IFERROR(VALUE(SUBSTITUTE(INDEX('04A_국토부원자료'!$A:$T,ROW()+1,MATCH("건축년도",'04A_국토부원자료'!$A$4:$T$4,0)),",","")),"")</f>
        <v/>
      </c>
      <c r="L1817" s="176">
        <f>IFERROR(INDEX('04A_국토부원자료'!$A:$T,ROW()+1,MATCH("도로명",'04A_국토부원자료'!$A$4:$T$4,0)),"")</f>
        <v/>
      </c>
      <c r="M1817" s="48">
        <f>IFERROR(INDEX('04A_국토부원자료'!$A:$T,ROW()+1,MATCH("거래유형",'04A_국토부원자료'!$A$4:$T$4,0)),"")</f>
        <v/>
      </c>
      <c r="N1817" s="152">
        <f>IF(B1817="","",IF('02_대상물건입력'!B5="",1,IF(ISNUMBER(SEARCH('02_대상물건입력'!B5,B1817)),1,0)))</f>
        <v/>
      </c>
      <c r="O1817" s="152">
        <f>IF(B1817="","",IF('02_대상물건입력'!B6="",1,IF(ISNUMBER(SEARCH('02_대상물건입력'!B6,B1817)),1,0)))</f>
        <v/>
      </c>
      <c r="P1817" s="152">
        <f>IF(L1817="","",IF('02_대상물건입력'!B15="",0,IF(ISNUMBER(SEARCH('02_대상물건입력'!B15,L1817)),1,0)))</f>
        <v/>
      </c>
      <c r="Q1817" s="152">
        <f>IF(OR(C1817="",L1817=""),0,IF(AND(TRIM(C1817)=TRIM(RIGHT(SUBSTITUTE(TRIM('02_대상물건입력'!$B$7)," ",REPT(" ",99)),99)),IF('02_대상물건입력'!B15="",TRUE(),ISNUMBER(SEARCH('02_대상물건입력'!B15,L1817)))),1,0))</f>
        <v/>
      </c>
      <c r="R1817" s="175">
        <f>IFERROR(ABS(E1817-'02_대상물건입력'!B11)/'02_대상물건입력'!B11,"")</f>
        <v/>
      </c>
      <c r="S1817" s="152">
        <f>IFERROR(ABS(J1817-'02_대상물건입력'!B10),"")</f>
        <v/>
      </c>
      <c r="T1817" s="152">
        <f>IFERROR(ABS('01_설정'!B4-F1817),"")</f>
        <v/>
      </c>
      <c r="U1817" s="152">
        <f>IFERROR(ABS(K1817-YEAR('02_대상물건입력'!B14)),"")</f>
        <v/>
      </c>
      <c r="V1817" s="152">
        <f>IF(B1817="","",IF(AND(E1817&gt;0,F1817&gt;0,H1817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1817=1,TRUE()),R1817&lt;='01_설정'!B5,S1817&lt;='01_설정'!B6,T1817&lt;='01_설정'!B7,U1817&lt;='01_설정'!B8),"Y",""))</f>
        <v/>
      </c>
      <c r="W1817" s="172">
        <f>IF(V1817&lt;&gt;"Y","",MAX(0,(1-R1817/'01_설정'!B5))*'01_설정'!B14+MAX(0,(1-S1817/'01_설정'!B6))*'01_설정'!B15+MAX(0,(1-T1817/'01_설정'!B7))*'01_설정'!B16+MAX(0,(1-U1817/'01_설정'!B8))*'01_설정'!B17+O1817*'01_설정'!B11+Q1817*'01_설정'!B12+P1817*'01_설정'!B13+IF(Z1817="",0,Z1817))</f>
        <v/>
      </c>
      <c r="X1817" s="152">
        <f>IF(W1817="","",1+COUNTIFS($W$4:$W$3003,"&gt;"&amp;W1817)+COUNTIFS($W$4:W1817,W1817)-1)</f>
        <v/>
      </c>
      <c r="Y1817" s="175">
        <f>IF(OR(I1817="",'02_대상물건입력'!B19="",'02_대상물건입력'!B19&lt;=0),"",ABS(I1817-'02_대상물건입력'!B19)/'02_대상물건입력'!B19)</f>
        <v/>
      </c>
      <c r="Z1817" s="172">
        <f>IF(OR(Y1817="",'01_설정'!B31="",'01_설정'!B31&lt;=0,'01_설정'!B32="",'01_설정'!B32&lt;=0),"",MAX(0,(1-Y1817/'01_설정'!B32))*'01_설정'!B31)</f>
        <v/>
      </c>
    </row>
    <row r="1818" ht="17.25" customHeight="1">
      <c r="A1818" s="152">
        <f>IF(INDEX('04A_국토부원자료'!$A:$A,ROW()+1)="","",ROW()-3)</f>
        <v/>
      </c>
      <c r="B1818" s="48">
        <f>IFERROR(INDEX('04A_국토부원자료'!$A:$T,ROW()+1,MATCH("시군구",'04A_국토부원자료'!$A$4:$T$4,0)),"")</f>
        <v/>
      </c>
      <c r="C1818" s="48">
        <f>IF(B1818="","",IFERROR(INDEX('04A_국토부원자료'!$A:$T,ROW()+1,MATCH("번지",'04A_국토부원자료'!$A$4:$T$4,0)),""))</f>
        <v/>
      </c>
      <c r="D1818" s="48">
        <f>IF(B1818="","",IF(Q1818=1,'02_대상물건입력'!$B$8,IFERROR(INDEX('04A_국토부원자료'!$A:$T,ROW()+1,MATCH("단지명",'04A_국토부원자료'!$A$4:$T$4,0)),"")))</f>
        <v/>
      </c>
      <c r="E1818" s="172">
        <f>IFERROR(VALUE(SUBSTITUTE(INDEX('04A_국토부원자료'!$A:$T,ROW()+1,MATCH("전용면적(㎡)",'04A_국토부원자료'!$A$4:$T$4,0)),",","")),"")</f>
        <v/>
      </c>
      <c r="F18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18" s="51">
        <f>IFERROR(VALUE(SUBSTITUTE(INDEX('04A_국토부원자료'!$A:$T,ROW()+1,MATCH("거래금액(만원)",'04A_국토부원자료'!$A$4:$T$4,0)),",","")),"")</f>
        <v/>
      </c>
      <c r="H1818" s="174">
        <f>IF(G1818="","",G1818*10000)</f>
        <v/>
      </c>
      <c r="I1818" s="174">
        <f>IFERROR(IF(AND(H1818&gt;0,E1818&gt;0),H1818/E1818,""),"")</f>
        <v/>
      </c>
      <c r="J1818" s="152">
        <f>IFERROR(VALUE(SUBSTITUTE(INDEX('04A_국토부원자료'!$A:$T,ROW()+1,MATCH("층",'04A_국토부원자료'!$A$4:$T$4,0)),",","")),"")</f>
        <v/>
      </c>
      <c r="K1818" s="152">
        <f>IFERROR(VALUE(SUBSTITUTE(INDEX('04A_국토부원자료'!$A:$T,ROW()+1,MATCH("건축년도",'04A_국토부원자료'!$A$4:$T$4,0)),",","")),"")</f>
        <v/>
      </c>
      <c r="L1818" s="176">
        <f>IFERROR(INDEX('04A_국토부원자료'!$A:$T,ROW()+1,MATCH("도로명",'04A_국토부원자료'!$A$4:$T$4,0)),"")</f>
        <v/>
      </c>
      <c r="M1818" s="48">
        <f>IFERROR(INDEX('04A_국토부원자료'!$A:$T,ROW()+1,MATCH("거래유형",'04A_국토부원자료'!$A$4:$T$4,0)),"")</f>
        <v/>
      </c>
      <c r="N1818" s="152">
        <f>IF(B1818="","",IF('02_대상물건입력'!B5="",1,IF(ISNUMBER(SEARCH('02_대상물건입력'!B5,B1818)),1,0)))</f>
        <v/>
      </c>
      <c r="O1818" s="152">
        <f>IF(B1818="","",IF('02_대상물건입력'!B6="",1,IF(ISNUMBER(SEARCH('02_대상물건입력'!B6,B1818)),1,0)))</f>
        <v/>
      </c>
      <c r="P1818" s="152">
        <f>IF(L1818="","",IF('02_대상물건입력'!B15="",0,IF(ISNUMBER(SEARCH('02_대상물건입력'!B15,L1818)),1,0)))</f>
        <v/>
      </c>
      <c r="Q1818" s="152">
        <f>IF(OR(C1818="",L1818=""),0,IF(AND(TRIM(C1818)=TRIM(RIGHT(SUBSTITUTE(TRIM('02_대상물건입력'!$B$7)," ",REPT(" ",99)),99)),IF('02_대상물건입력'!B15="",TRUE(),ISNUMBER(SEARCH('02_대상물건입력'!B15,L1818)))),1,0))</f>
        <v/>
      </c>
      <c r="R1818" s="175">
        <f>IFERROR(ABS(E1818-'02_대상물건입력'!B11)/'02_대상물건입력'!B11,"")</f>
        <v/>
      </c>
      <c r="S1818" s="152">
        <f>IFERROR(ABS(J1818-'02_대상물건입력'!B10),"")</f>
        <v/>
      </c>
      <c r="T1818" s="152">
        <f>IFERROR(ABS('01_설정'!B4-F1818),"")</f>
        <v/>
      </c>
      <c r="U1818" s="152">
        <f>IFERROR(ABS(K1818-YEAR('02_대상물건입력'!B14)),"")</f>
        <v/>
      </c>
      <c r="V1818" s="152">
        <f>IF(B1818="","",IF(AND(E1818&gt;0,F1818&gt;0,H1818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1818=1,TRUE()),R1818&lt;='01_설정'!B5,S1818&lt;='01_설정'!B6,T1818&lt;='01_설정'!B7,U1818&lt;='01_설정'!B8),"Y",""))</f>
        <v/>
      </c>
      <c r="W1818" s="172">
        <f>IF(V1818&lt;&gt;"Y","",MAX(0,(1-R1818/'01_설정'!B5))*'01_설정'!B14+MAX(0,(1-S1818/'01_설정'!B6))*'01_설정'!B15+MAX(0,(1-T1818/'01_설정'!B7))*'01_설정'!B16+MAX(0,(1-U1818/'01_설정'!B8))*'01_설정'!B17+O1818*'01_설정'!B11+Q1818*'01_설정'!B12+P1818*'01_설정'!B13+IF(Z1818="",0,Z1818))</f>
        <v/>
      </c>
      <c r="X1818" s="152">
        <f>IF(W1818="","",1+COUNTIFS($W$4:$W$3003,"&gt;"&amp;W1818)+COUNTIFS($W$4:W1818,W1818)-1)</f>
        <v/>
      </c>
      <c r="Y1818" s="175">
        <f>IF(OR(I1818="",'02_대상물건입력'!B19="",'02_대상물건입력'!B19&lt;=0),"",ABS(I1818-'02_대상물건입력'!B19)/'02_대상물건입력'!B19)</f>
        <v/>
      </c>
      <c r="Z1818" s="172">
        <f>IF(OR(Y1818="",'01_설정'!B31="",'01_설정'!B31&lt;=0,'01_설정'!B32="",'01_설정'!B32&lt;=0),"",MAX(0,(1-Y1818/'01_설정'!B32))*'01_설정'!B31)</f>
        <v/>
      </c>
    </row>
    <row r="1819" ht="17.25" customHeight="1">
      <c r="A1819" s="152">
        <f>IF(INDEX('04A_국토부원자료'!$A:$A,ROW()+1)="","",ROW()-3)</f>
        <v/>
      </c>
      <c r="B1819" s="48">
        <f>IFERROR(INDEX('04A_국토부원자료'!$A:$T,ROW()+1,MATCH("시군구",'04A_국토부원자료'!$A$4:$T$4,0)),"")</f>
        <v/>
      </c>
      <c r="C1819" s="48">
        <f>IF(B1819="","",IFERROR(INDEX('04A_국토부원자료'!$A:$T,ROW()+1,MATCH("번지",'04A_국토부원자료'!$A$4:$T$4,0)),""))</f>
        <v/>
      </c>
      <c r="D1819" s="48">
        <f>IF(B1819="","",IF(Q1819=1,'02_대상물건입력'!$B$8,IFERROR(INDEX('04A_국토부원자료'!$A:$T,ROW()+1,MATCH("단지명",'04A_국토부원자료'!$A$4:$T$4,0)),"")))</f>
        <v/>
      </c>
      <c r="E1819" s="172">
        <f>IFERROR(VALUE(SUBSTITUTE(INDEX('04A_국토부원자료'!$A:$T,ROW()+1,MATCH("전용면적(㎡)",'04A_국토부원자료'!$A$4:$T$4,0)),",","")),"")</f>
        <v/>
      </c>
      <c r="F18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19" s="51">
        <f>IFERROR(VALUE(SUBSTITUTE(INDEX('04A_국토부원자료'!$A:$T,ROW()+1,MATCH("거래금액(만원)",'04A_국토부원자료'!$A$4:$T$4,0)),",","")),"")</f>
        <v/>
      </c>
      <c r="H1819" s="174">
        <f>IF(G1819="","",G1819*10000)</f>
        <v/>
      </c>
      <c r="I1819" s="174">
        <f>IFERROR(IF(AND(H1819&gt;0,E1819&gt;0),H1819/E1819,""),"")</f>
        <v/>
      </c>
      <c r="J1819" s="152">
        <f>IFERROR(VALUE(SUBSTITUTE(INDEX('04A_국토부원자료'!$A:$T,ROW()+1,MATCH("층",'04A_국토부원자료'!$A$4:$T$4,0)),",","")),"")</f>
        <v/>
      </c>
      <c r="K1819" s="152">
        <f>IFERROR(VALUE(SUBSTITUTE(INDEX('04A_국토부원자료'!$A:$T,ROW()+1,MATCH("건축년도",'04A_국토부원자료'!$A$4:$T$4,0)),",","")),"")</f>
        <v/>
      </c>
      <c r="L1819" s="176">
        <f>IFERROR(INDEX('04A_국토부원자료'!$A:$T,ROW()+1,MATCH("도로명",'04A_국토부원자료'!$A$4:$T$4,0)),"")</f>
        <v/>
      </c>
      <c r="M1819" s="48">
        <f>IFERROR(INDEX('04A_국토부원자료'!$A:$T,ROW()+1,MATCH("거래유형",'04A_국토부원자료'!$A$4:$T$4,0)),"")</f>
        <v/>
      </c>
      <c r="N1819" s="152">
        <f>IF(B1819="","",IF('02_대상물건입력'!B5="",1,IF(ISNUMBER(SEARCH('02_대상물건입력'!B5,B1819)),1,0)))</f>
        <v/>
      </c>
      <c r="O1819" s="152">
        <f>IF(B1819="","",IF('02_대상물건입력'!B6="",1,IF(ISNUMBER(SEARCH('02_대상물건입력'!B6,B1819)),1,0)))</f>
        <v/>
      </c>
      <c r="P1819" s="152">
        <f>IF(L1819="","",IF('02_대상물건입력'!B15="",0,IF(ISNUMBER(SEARCH('02_대상물건입력'!B15,L1819)),1,0)))</f>
        <v/>
      </c>
      <c r="Q1819" s="152">
        <f>IF(OR(C1819="",L1819=""),0,IF(AND(TRIM(C1819)=TRIM(RIGHT(SUBSTITUTE(TRIM('02_대상물건입력'!$B$7)," ",REPT(" ",99)),99)),IF('02_대상물건입력'!B15="",TRUE(),ISNUMBER(SEARCH('02_대상물건입력'!B15,L1819)))),1,0))</f>
        <v/>
      </c>
      <c r="R1819" s="175">
        <f>IFERROR(ABS(E1819-'02_대상물건입력'!B11)/'02_대상물건입력'!B11,"")</f>
        <v/>
      </c>
      <c r="S1819" s="152">
        <f>IFERROR(ABS(J1819-'02_대상물건입력'!B10),"")</f>
        <v/>
      </c>
      <c r="T1819" s="152">
        <f>IFERROR(ABS('01_설정'!B4-F1819),"")</f>
        <v/>
      </c>
      <c r="U1819" s="152">
        <f>IFERROR(ABS(K1819-YEAR('02_대상물건입력'!B14)),"")</f>
        <v/>
      </c>
      <c r="V1819" s="152">
        <f>IF(B1819="","",IF(AND(E1819&gt;0,F1819&gt;0,H1819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1819=1,TRUE()),R1819&lt;='01_설정'!B5,S1819&lt;='01_설정'!B6,T1819&lt;='01_설정'!B7,U1819&lt;='01_설정'!B8),"Y",""))</f>
        <v/>
      </c>
      <c r="W1819" s="172">
        <f>IF(V1819&lt;&gt;"Y","",MAX(0,(1-R1819/'01_설정'!B5))*'01_설정'!B14+MAX(0,(1-S1819/'01_설정'!B6))*'01_설정'!B15+MAX(0,(1-T1819/'01_설정'!B7))*'01_설정'!B16+MAX(0,(1-U1819/'01_설정'!B8))*'01_설정'!B17+O1819*'01_설정'!B11+Q1819*'01_설정'!B12+P1819*'01_설정'!B13+IF(Z1819="",0,Z1819))</f>
        <v/>
      </c>
      <c r="X1819" s="152">
        <f>IF(W1819="","",1+COUNTIFS($W$4:$W$3003,"&gt;"&amp;W1819)+COUNTIFS($W$4:W1819,W1819)-1)</f>
        <v/>
      </c>
      <c r="Y1819" s="175">
        <f>IF(OR(I1819="",'02_대상물건입력'!B19="",'02_대상물건입력'!B19&lt;=0),"",ABS(I1819-'02_대상물건입력'!B19)/'02_대상물건입력'!B19)</f>
        <v/>
      </c>
      <c r="Z1819" s="172">
        <f>IF(OR(Y1819="",'01_설정'!B31="",'01_설정'!B31&lt;=0,'01_설정'!B32="",'01_설정'!B32&lt;=0),"",MAX(0,(1-Y1819/'01_설정'!B32))*'01_설정'!B31)</f>
        <v/>
      </c>
    </row>
    <row r="1820" ht="17.25" customHeight="1">
      <c r="A1820" s="152">
        <f>IF(INDEX('04A_국토부원자료'!$A:$A,ROW()+1)="","",ROW()-3)</f>
        <v/>
      </c>
      <c r="B1820" s="48">
        <f>IFERROR(INDEX('04A_국토부원자료'!$A:$T,ROW()+1,MATCH("시군구",'04A_국토부원자료'!$A$4:$T$4,0)),"")</f>
        <v/>
      </c>
      <c r="C1820" s="48">
        <f>IF(B1820="","",IFERROR(INDEX('04A_국토부원자료'!$A:$T,ROW()+1,MATCH("번지",'04A_국토부원자료'!$A$4:$T$4,0)),""))</f>
        <v/>
      </c>
      <c r="D1820" s="48">
        <f>IF(B1820="","",IF(Q1820=1,'02_대상물건입력'!$B$8,IFERROR(INDEX('04A_국토부원자료'!$A:$T,ROW()+1,MATCH("단지명",'04A_국토부원자료'!$A$4:$T$4,0)),"")))</f>
        <v/>
      </c>
      <c r="E1820" s="172">
        <f>IFERROR(VALUE(SUBSTITUTE(INDEX('04A_국토부원자료'!$A:$T,ROW()+1,MATCH("전용면적(㎡)",'04A_국토부원자료'!$A$4:$T$4,0)),",","")),"")</f>
        <v/>
      </c>
      <c r="F18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20" s="51">
        <f>IFERROR(VALUE(SUBSTITUTE(INDEX('04A_국토부원자료'!$A:$T,ROW()+1,MATCH("거래금액(만원)",'04A_국토부원자료'!$A$4:$T$4,0)),",","")),"")</f>
        <v/>
      </c>
      <c r="H1820" s="174">
        <f>IF(G1820="","",G1820*10000)</f>
        <v/>
      </c>
      <c r="I1820" s="174">
        <f>IFERROR(IF(AND(H1820&gt;0,E1820&gt;0),H1820/E1820,""),"")</f>
        <v/>
      </c>
      <c r="J1820" s="152">
        <f>IFERROR(VALUE(SUBSTITUTE(INDEX('04A_국토부원자료'!$A:$T,ROW()+1,MATCH("층",'04A_국토부원자료'!$A$4:$T$4,0)),",","")),"")</f>
        <v/>
      </c>
      <c r="K1820" s="152">
        <f>IFERROR(VALUE(SUBSTITUTE(INDEX('04A_국토부원자료'!$A:$T,ROW()+1,MATCH("건축년도",'04A_국토부원자료'!$A$4:$T$4,0)),",","")),"")</f>
        <v/>
      </c>
      <c r="L1820" s="176">
        <f>IFERROR(INDEX('04A_국토부원자료'!$A:$T,ROW()+1,MATCH("도로명",'04A_국토부원자료'!$A$4:$T$4,0)),"")</f>
        <v/>
      </c>
      <c r="M1820" s="48">
        <f>IFERROR(INDEX('04A_국토부원자료'!$A:$T,ROW()+1,MATCH("거래유형",'04A_국토부원자료'!$A$4:$T$4,0)),"")</f>
        <v/>
      </c>
      <c r="N1820" s="152">
        <f>IF(B1820="","",IF('02_대상물건입력'!B5="",1,IF(ISNUMBER(SEARCH('02_대상물건입력'!B5,B1820)),1,0)))</f>
        <v/>
      </c>
      <c r="O1820" s="152">
        <f>IF(B1820="","",IF('02_대상물건입력'!B6="",1,IF(ISNUMBER(SEARCH('02_대상물건입력'!B6,B1820)),1,0)))</f>
        <v/>
      </c>
      <c r="P1820" s="152">
        <f>IF(L1820="","",IF('02_대상물건입력'!B15="",0,IF(ISNUMBER(SEARCH('02_대상물건입력'!B15,L1820)),1,0)))</f>
        <v/>
      </c>
      <c r="Q1820" s="152">
        <f>IF(OR(C1820="",L1820=""),0,IF(AND(TRIM(C1820)=TRIM(RIGHT(SUBSTITUTE(TRIM('02_대상물건입력'!$B$7)," ",REPT(" ",99)),99)),IF('02_대상물건입력'!B15="",TRUE(),ISNUMBER(SEARCH('02_대상물건입력'!B15,L1820)))),1,0))</f>
        <v/>
      </c>
      <c r="R1820" s="175">
        <f>IFERROR(ABS(E1820-'02_대상물건입력'!B11)/'02_대상물건입력'!B11,"")</f>
        <v/>
      </c>
      <c r="S1820" s="152">
        <f>IFERROR(ABS(J1820-'02_대상물건입력'!B10),"")</f>
        <v/>
      </c>
      <c r="T1820" s="152">
        <f>IFERROR(ABS('01_설정'!B4-F1820),"")</f>
        <v/>
      </c>
      <c r="U1820" s="152">
        <f>IFERROR(ABS(K1820-YEAR('02_대상물건입력'!B14)),"")</f>
        <v/>
      </c>
      <c r="V1820" s="152">
        <f>IF(B1820="","",IF(AND(E1820&gt;0,F1820&gt;0,H1820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1820=1,TRUE()),R1820&lt;='01_설정'!B5,S1820&lt;='01_설정'!B6,T1820&lt;='01_설정'!B7,U1820&lt;='01_설정'!B8),"Y",""))</f>
        <v/>
      </c>
      <c r="W1820" s="172">
        <f>IF(V1820&lt;&gt;"Y","",MAX(0,(1-R1820/'01_설정'!B5))*'01_설정'!B14+MAX(0,(1-S1820/'01_설정'!B6))*'01_설정'!B15+MAX(0,(1-T1820/'01_설정'!B7))*'01_설정'!B16+MAX(0,(1-U1820/'01_설정'!B8))*'01_설정'!B17+O1820*'01_설정'!B11+Q1820*'01_설정'!B12+P1820*'01_설정'!B13+IF(Z1820="",0,Z1820))</f>
        <v/>
      </c>
      <c r="X1820" s="152">
        <f>IF(W1820="","",1+COUNTIFS($W$4:$W$3003,"&gt;"&amp;W1820)+COUNTIFS($W$4:W1820,W1820)-1)</f>
        <v/>
      </c>
      <c r="Y1820" s="175">
        <f>IF(OR(I1820="",'02_대상물건입력'!B19="",'02_대상물건입력'!B19&lt;=0),"",ABS(I1820-'02_대상물건입력'!B19)/'02_대상물건입력'!B19)</f>
        <v/>
      </c>
      <c r="Z1820" s="172">
        <f>IF(OR(Y1820="",'01_설정'!B31="",'01_설정'!B31&lt;=0,'01_설정'!B32="",'01_설정'!B32&lt;=0),"",MAX(0,(1-Y1820/'01_설정'!B32))*'01_설정'!B31)</f>
        <v/>
      </c>
    </row>
    <row r="1821" ht="17.25" customHeight="1">
      <c r="A1821" s="152">
        <f>IF(INDEX('04A_국토부원자료'!$A:$A,ROW()+1)="","",ROW()-3)</f>
        <v/>
      </c>
      <c r="B1821" s="48">
        <f>IFERROR(INDEX('04A_국토부원자료'!$A:$T,ROW()+1,MATCH("시군구",'04A_국토부원자료'!$A$4:$T$4,0)),"")</f>
        <v/>
      </c>
      <c r="C1821" s="48">
        <f>IF(B1821="","",IFERROR(INDEX('04A_국토부원자료'!$A:$T,ROW()+1,MATCH("번지",'04A_국토부원자료'!$A$4:$T$4,0)),""))</f>
        <v/>
      </c>
      <c r="D1821" s="48">
        <f>IF(B1821="","",IF(Q1821=1,'02_대상물건입력'!$B$8,IFERROR(INDEX('04A_국토부원자료'!$A:$T,ROW()+1,MATCH("단지명",'04A_국토부원자료'!$A$4:$T$4,0)),"")))</f>
        <v/>
      </c>
      <c r="E1821" s="172">
        <f>IFERROR(VALUE(SUBSTITUTE(INDEX('04A_국토부원자료'!$A:$T,ROW()+1,MATCH("전용면적(㎡)",'04A_국토부원자료'!$A$4:$T$4,0)),",","")),"")</f>
        <v/>
      </c>
      <c r="F18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21" s="51">
        <f>IFERROR(VALUE(SUBSTITUTE(INDEX('04A_국토부원자료'!$A:$T,ROW()+1,MATCH("거래금액(만원)",'04A_국토부원자료'!$A$4:$T$4,0)),",","")),"")</f>
        <v/>
      </c>
      <c r="H1821" s="174">
        <f>IF(G1821="","",G1821*10000)</f>
        <v/>
      </c>
      <c r="I1821" s="174">
        <f>IFERROR(IF(AND(H1821&gt;0,E1821&gt;0),H1821/E1821,""),"")</f>
        <v/>
      </c>
      <c r="J1821" s="152">
        <f>IFERROR(VALUE(SUBSTITUTE(INDEX('04A_국토부원자료'!$A:$T,ROW()+1,MATCH("층",'04A_국토부원자료'!$A$4:$T$4,0)),",","")),"")</f>
        <v/>
      </c>
      <c r="K1821" s="152">
        <f>IFERROR(VALUE(SUBSTITUTE(INDEX('04A_국토부원자료'!$A:$T,ROW()+1,MATCH("건축년도",'04A_국토부원자료'!$A$4:$T$4,0)),",","")),"")</f>
        <v/>
      </c>
      <c r="L1821" s="176">
        <f>IFERROR(INDEX('04A_국토부원자료'!$A:$T,ROW()+1,MATCH("도로명",'04A_국토부원자료'!$A$4:$T$4,0)),"")</f>
        <v/>
      </c>
      <c r="M1821" s="48">
        <f>IFERROR(INDEX('04A_국토부원자료'!$A:$T,ROW()+1,MATCH("거래유형",'04A_국토부원자료'!$A$4:$T$4,0)),"")</f>
        <v/>
      </c>
      <c r="N1821" s="152">
        <f>IF(B1821="","",IF('02_대상물건입력'!B5="",1,IF(ISNUMBER(SEARCH('02_대상물건입력'!B5,B1821)),1,0)))</f>
        <v/>
      </c>
      <c r="O1821" s="152">
        <f>IF(B1821="","",IF('02_대상물건입력'!B6="",1,IF(ISNUMBER(SEARCH('02_대상물건입력'!B6,B1821)),1,0)))</f>
        <v/>
      </c>
      <c r="P1821" s="152">
        <f>IF(L1821="","",IF('02_대상물건입력'!B15="",0,IF(ISNUMBER(SEARCH('02_대상물건입력'!B15,L1821)),1,0)))</f>
        <v/>
      </c>
      <c r="Q1821" s="152">
        <f>IF(OR(C1821="",L1821=""),0,IF(AND(TRIM(C1821)=TRIM(RIGHT(SUBSTITUTE(TRIM('02_대상물건입력'!$B$7)," ",REPT(" ",99)),99)),IF('02_대상물건입력'!B15="",TRUE(),ISNUMBER(SEARCH('02_대상물건입력'!B15,L1821)))),1,0))</f>
        <v/>
      </c>
      <c r="R1821" s="175">
        <f>IFERROR(ABS(E1821-'02_대상물건입력'!B11)/'02_대상물건입력'!B11,"")</f>
        <v/>
      </c>
      <c r="S1821" s="152">
        <f>IFERROR(ABS(J1821-'02_대상물건입력'!B10),"")</f>
        <v/>
      </c>
      <c r="T1821" s="152">
        <f>IFERROR(ABS('01_설정'!B4-F1821),"")</f>
        <v/>
      </c>
      <c r="U1821" s="152">
        <f>IFERROR(ABS(K1821-YEAR('02_대상물건입력'!B14)),"")</f>
        <v/>
      </c>
      <c r="V1821" s="152">
        <f>IF(B1821="","",IF(AND(E1821&gt;0,F1821&gt;0,H1821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1821=1,TRUE()),R1821&lt;='01_설정'!B5,S1821&lt;='01_설정'!B6,T1821&lt;='01_설정'!B7,U1821&lt;='01_설정'!B8),"Y",""))</f>
        <v/>
      </c>
      <c r="W1821" s="172">
        <f>IF(V1821&lt;&gt;"Y","",MAX(0,(1-R1821/'01_설정'!B5))*'01_설정'!B14+MAX(0,(1-S1821/'01_설정'!B6))*'01_설정'!B15+MAX(0,(1-T1821/'01_설정'!B7))*'01_설정'!B16+MAX(0,(1-U1821/'01_설정'!B8))*'01_설정'!B17+O1821*'01_설정'!B11+Q1821*'01_설정'!B12+P1821*'01_설정'!B13+IF(Z1821="",0,Z1821))</f>
        <v/>
      </c>
      <c r="X1821" s="152">
        <f>IF(W1821="","",1+COUNTIFS($W$4:$W$3003,"&gt;"&amp;W1821)+COUNTIFS($W$4:W1821,W1821)-1)</f>
        <v/>
      </c>
      <c r="Y1821" s="175">
        <f>IF(OR(I1821="",'02_대상물건입력'!B19="",'02_대상물건입력'!B19&lt;=0),"",ABS(I1821-'02_대상물건입력'!B19)/'02_대상물건입력'!B19)</f>
        <v/>
      </c>
      <c r="Z1821" s="172">
        <f>IF(OR(Y1821="",'01_설정'!B31="",'01_설정'!B31&lt;=0,'01_설정'!B32="",'01_설정'!B32&lt;=0),"",MAX(0,(1-Y1821/'01_설정'!B32))*'01_설정'!B31)</f>
        <v/>
      </c>
    </row>
    <row r="1822" ht="17.25" customHeight="1">
      <c r="A1822" s="152">
        <f>IF(INDEX('04A_국토부원자료'!$A:$A,ROW()+1)="","",ROW()-3)</f>
        <v/>
      </c>
      <c r="B1822" s="48">
        <f>IFERROR(INDEX('04A_국토부원자료'!$A:$T,ROW()+1,MATCH("시군구",'04A_국토부원자료'!$A$4:$T$4,0)),"")</f>
        <v/>
      </c>
      <c r="C1822" s="48">
        <f>IF(B1822="","",IFERROR(INDEX('04A_국토부원자료'!$A:$T,ROW()+1,MATCH("번지",'04A_국토부원자료'!$A$4:$T$4,0)),""))</f>
        <v/>
      </c>
      <c r="D1822" s="48">
        <f>IF(B1822="","",IF(Q1822=1,'02_대상물건입력'!$B$8,IFERROR(INDEX('04A_국토부원자료'!$A:$T,ROW()+1,MATCH("단지명",'04A_국토부원자료'!$A$4:$T$4,0)),"")))</f>
        <v/>
      </c>
      <c r="E1822" s="172">
        <f>IFERROR(VALUE(SUBSTITUTE(INDEX('04A_국토부원자료'!$A:$T,ROW()+1,MATCH("전용면적(㎡)",'04A_국토부원자료'!$A$4:$T$4,0)),",","")),"")</f>
        <v/>
      </c>
      <c r="F18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22" s="51">
        <f>IFERROR(VALUE(SUBSTITUTE(INDEX('04A_국토부원자료'!$A:$T,ROW()+1,MATCH("거래금액(만원)",'04A_국토부원자료'!$A$4:$T$4,0)),",","")),"")</f>
        <v/>
      </c>
      <c r="H1822" s="174">
        <f>IF(G1822="","",G1822*10000)</f>
        <v/>
      </c>
      <c r="I1822" s="174">
        <f>IFERROR(IF(AND(H1822&gt;0,E1822&gt;0),H1822/E1822,""),"")</f>
        <v/>
      </c>
      <c r="J1822" s="152">
        <f>IFERROR(VALUE(SUBSTITUTE(INDEX('04A_국토부원자료'!$A:$T,ROW()+1,MATCH("층",'04A_국토부원자료'!$A$4:$T$4,0)),",","")),"")</f>
        <v/>
      </c>
      <c r="K1822" s="152">
        <f>IFERROR(VALUE(SUBSTITUTE(INDEX('04A_국토부원자료'!$A:$T,ROW()+1,MATCH("건축년도",'04A_국토부원자료'!$A$4:$T$4,0)),",","")),"")</f>
        <v/>
      </c>
      <c r="L1822" s="176">
        <f>IFERROR(INDEX('04A_국토부원자료'!$A:$T,ROW()+1,MATCH("도로명",'04A_국토부원자료'!$A$4:$T$4,0)),"")</f>
        <v/>
      </c>
      <c r="M1822" s="48">
        <f>IFERROR(INDEX('04A_국토부원자료'!$A:$T,ROW()+1,MATCH("거래유형",'04A_국토부원자료'!$A$4:$T$4,0)),"")</f>
        <v/>
      </c>
      <c r="N1822" s="152">
        <f>IF(B1822="","",IF('02_대상물건입력'!B5="",1,IF(ISNUMBER(SEARCH('02_대상물건입력'!B5,B1822)),1,0)))</f>
        <v/>
      </c>
      <c r="O1822" s="152">
        <f>IF(B1822="","",IF('02_대상물건입력'!B6="",1,IF(ISNUMBER(SEARCH('02_대상물건입력'!B6,B1822)),1,0)))</f>
        <v/>
      </c>
      <c r="P1822" s="152">
        <f>IF(L1822="","",IF('02_대상물건입력'!B15="",0,IF(ISNUMBER(SEARCH('02_대상물건입력'!B15,L1822)),1,0)))</f>
        <v/>
      </c>
      <c r="Q1822" s="152">
        <f>IF(OR(C1822="",L1822=""),0,IF(AND(TRIM(C1822)=TRIM(RIGHT(SUBSTITUTE(TRIM('02_대상물건입력'!$B$7)," ",REPT(" ",99)),99)),IF('02_대상물건입력'!B15="",TRUE(),ISNUMBER(SEARCH('02_대상물건입력'!B15,L1822)))),1,0))</f>
        <v/>
      </c>
      <c r="R1822" s="175">
        <f>IFERROR(ABS(E1822-'02_대상물건입력'!B11)/'02_대상물건입력'!B11,"")</f>
        <v/>
      </c>
      <c r="S1822" s="152">
        <f>IFERROR(ABS(J1822-'02_대상물건입력'!B10),"")</f>
        <v/>
      </c>
      <c r="T1822" s="152">
        <f>IFERROR(ABS('01_설정'!B4-F1822),"")</f>
        <v/>
      </c>
      <c r="U1822" s="152">
        <f>IFERROR(ABS(K1822-YEAR('02_대상물건입력'!B14)),"")</f>
        <v/>
      </c>
      <c r="V1822" s="152">
        <f>IF(B1822="","",IF(AND(E1822&gt;0,F1822&gt;0,H1822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1822=1,TRUE()),R1822&lt;='01_설정'!B5,S1822&lt;='01_설정'!B6,T1822&lt;='01_설정'!B7,U1822&lt;='01_설정'!B8),"Y",""))</f>
        <v/>
      </c>
      <c r="W1822" s="172">
        <f>IF(V1822&lt;&gt;"Y","",MAX(0,(1-R1822/'01_설정'!B5))*'01_설정'!B14+MAX(0,(1-S1822/'01_설정'!B6))*'01_설정'!B15+MAX(0,(1-T1822/'01_설정'!B7))*'01_설정'!B16+MAX(0,(1-U1822/'01_설정'!B8))*'01_설정'!B17+O1822*'01_설정'!B11+Q1822*'01_설정'!B12+P1822*'01_설정'!B13+IF(Z1822="",0,Z1822))</f>
        <v/>
      </c>
      <c r="X1822" s="152">
        <f>IF(W1822="","",1+COUNTIFS($W$4:$W$3003,"&gt;"&amp;W1822)+COUNTIFS($W$4:W1822,W1822)-1)</f>
        <v/>
      </c>
      <c r="Y1822" s="175">
        <f>IF(OR(I1822="",'02_대상물건입력'!B19="",'02_대상물건입력'!B19&lt;=0),"",ABS(I1822-'02_대상물건입력'!B19)/'02_대상물건입력'!B19)</f>
        <v/>
      </c>
      <c r="Z1822" s="172">
        <f>IF(OR(Y1822="",'01_설정'!B31="",'01_설정'!B31&lt;=0,'01_설정'!B32="",'01_설정'!B32&lt;=0),"",MAX(0,(1-Y1822/'01_설정'!B32))*'01_설정'!B31)</f>
        <v/>
      </c>
    </row>
    <row r="1823" ht="17.25" customHeight="1">
      <c r="A1823" s="152">
        <f>IF(INDEX('04A_국토부원자료'!$A:$A,ROW()+1)="","",ROW()-3)</f>
        <v/>
      </c>
      <c r="B1823" s="48">
        <f>IFERROR(INDEX('04A_국토부원자료'!$A:$T,ROW()+1,MATCH("시군구",'04A_국토부원자료'!$A$4:$T$4,0)),"")</f>
        <v/>
      </c>
      <c r="C1823" s="48">
        <f>IF(B1823="","",IFERROR(INDEX('04A_국토부원자료'!$A:$T,ROW()+1,MATCH("번지",'04A_국토부원자료'!$A$4:$T$4,0)),""))</f>
        <v/>
      </c>
      <c r="D1823" s="48">
        <f>IF(B1823="","",IF(Q1823=1,'02_대상물건입력'!$B$8,IFERROR(INDEX('04A_국토부원자료'!$A:$T,ROW()+1,MATCH("단지명",'04A_국토부원자료'!$A$4:$T$4,0)),"")))</f>
        <v/>
      </c>
      <c r="E1823" s="172">
        <f>IFERROR(VALUE(SUBSTITUTE(INDEX('04A_국토부원자료'!$A:$T,ROW()+1,MATCH("전용면적(㎡)",'04A_국토부원자료'!$A$4:$T$4,0)),",","")),"")</f>
        <v/>
      </c>
      <c r="F18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23" s="51">
        <f>IFERROR(VALUE(SUBSTITUTE(INDEX('04A_국토부원자료'!$A:$T,ROW()+1,MATCH("거래금액(만원)",'04A_국토부원자료'!$A$4:$T$4,0)),",","")),"")</f>
        <v/>
      </c>
      <c r="H1823" s="174">
        <f>IF(G1823="","",G1823*10000)</f>
        <v/>
      </c>
      <c r="I1823" s="174">
        <f>IFERROR(IF(AND(H1823&gt;0,E1823&gt;0),H1823/E1823,""),"")</f>
        <v/>
      </c>
      <c r="J1823" s="152">
        <f>IFERROR(VALUE(SUBSTITUTE(INDEX('04A_국토부원자료'!$A:$T,ROW()+1,MATCH("층",'04A_국토부원자료'!$A$4:$T$4,0)),",","")),"")</f>
        <v/>
      </c>
      <c r="K1823" s="152">
        <f>IFERROR(VALUE(SUBSTITUTE(INDEX('04A_국토부원자료'!$A:$T,ROW()+1,MATCH("건축년도",'04A_국토부원자료'!$A$4:$T$4,0)),",","")),"")</f>
        <v/>
      </c>
      <c r="L1823" s="176">
        <f>IFERROR(INDEX('04A_국토부원자료'!$A:$T,ROW()+1,MATCH("도로명",'04A_국토부원자료'!$A$4:$T$4,0)),"")</f>
        <v/>
      </c>
      <c r="M1823" s="48">
        <f>IFERROR(INDEX('04A_국토부원자료'!$A:$T,ROW()+1,MATCH("거래유형",'04A_국토부원자료'!$A$4:$T$4,0)),"")</f>
        <v/>
      </c>
      <c r="N1823" s="152">
        <f>IF(B1823="","",IF('02_대상물건입력'!B5="",1,IF(ISNUMBER(SEARCH('02_대상물건입력'!B5,B1823)),1,0)))</f>
        <v/>
      </c>
      <c r="O1823" s="152">
        <f>IF(B1823="","",IF('02_대상물건입력'!B6="",1,IF(ISNUMBER(SEARCH('02_대상물건입력'!B6,B1823)),1,0)))</f>
        <v/>
      </c>
      <c r="P1823" s="152">
        <f>IF(L1823="","",IF('02_대상물건입력'!B15="",0,IF(ISNUMBER(SEARCH('02_대상물건입력'!B15,L1823)),1,0)))</f>
        <v/>
      </c>
      <c r="Q1823" s="152">
        <f>IF(OR(C1823="",L1823=""),0,IF(AND(TRIM(C1823)=TRIM(RIGHT(SUBSTITUTE(TRIM('02_대상물건입력'!$B$7)," ",REPT(" ",99)),99)),IF('02_대상물건입력'!B15="",TRUE(),ISNUMBER(SEARCH('02_대상물건입력'!B15,L1823)))),1,0))</f>
        <v/>
      </c>
      <c r="R1823" s="175">
        <f>IFERROR(ABS(E1823-'02_대상물건입력'!B11)/'02_대상물건입력'!B11,"")</f>
        <v/>
      </c>
      <c r="S1823" s="152">
        <f>IFERROR(ABS(J1823-'02_대상물건입력'!B10),"")</f>
        <v/>
      </c>
      <c r="T1823" s="152">
        <f>IFERROR(ABS('01_설정'!B4-F1823),"")</f>
        <v/>
      </c>
      <c r="U1823" s="152">
        <f>IFERROR(ABS(K1823-YEAR('02_대상물건입력'!B14)),"")</f>
        <v/>
      </c>
      <c r="V1823" s="152">
        <f>IF(B1823="","",IF(AND(E1823&gt;0,F1823&gt;0,H1823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1823=1,TRUE()),R1823&lt;='01_설정'!B5,S1823&lt;='01_설정'!B6,T1823&lt;='01_설정'!B7,U1823&lt;='01_설정'!B8),"Y",""))</f>
        <v/>
      </c>
      <c r="W1823" s="172">
        <f>IF(V1823&lt;&gt;"Y","",MAX(0,(1-R1823/'01_설정'!B5))*'01_설정'!B14+MAX(0,(1-S1823/'01_설정'!B6))*'01_설정'!B15+MAX(0,(1-T1823/'01_설정'!B7))*'01_설정'!B16+MAX(0,(1-U1823/'01_설정'!B8))*'01_설정'!B17+O1823*'01_설정'!B11+Q1823*'01_설정'!B12+P1823*'01_설정'!B13+IF(Z1823="",0,Z1823))</f>
        <v/>
      </c>
      <c r="X1823" s="152">
        <f>IF(W1823="","",1+COUNTIFS($W$4:$W$3003,"&gt;"&amp;W1823)+COUNTIFS($W$4:W1823,W1823)-1)</f>
        <v/>
      </c>
      <c r="Y1823" s="175">
        <f>IF(OR(I1823="",'02_대상물건입력'!B19="",'02_대상물건입력'!B19&lt;=0),"",ABS(I1823-'02_대상물건입력'!B19)/'02_대상물건입력'!B19)</f>
        <v/>
      </c>
      <c r="Z1823" s="172">
        <f>IF(OR(Y1823="",'01_설정'!B31="",'01_설정'!B31&lt;=0,'01_설정'!B32="",'01_설정'!B32&lt;=0),"",MAX(0,(1-Y1823/'01_설정'!B32))*'01_설정'!B31)</f>
        <v/>
      </c>
    </row>
    <row r="1824" ht="17.25" customHeight="1">
      <c r="A1824" s="152">
        <f>IF(INDEX('04A_국토부원자료'!$A:$A,ROW()+1)="","",ROW()-3)</f>
        <v/>
      </c>
      <c r="B1824" s="48">
        <f>IFERROR(INDEX('04A_국토부원자료'!$A:$T,ROW()+1,MATCH("시군구",'04A_국토부원자료'!$A$4:$T$4,0)),"")</f>
        <v/>
      </c>
      <c r="C1824" s="48">
        <f>IF(B1824="","",IFERROR(INDEX('04A_국토부원자료'!$A:$T,ROW()+1,MATCH("번지",'04A_국토부원자료'!$A$4:$T$4,0)),""))</f>
        <v/>
      </c>
      <c r="D1824" s="48">
        <f>IF(B1824="","",IF(Q1824=1,'02_대상물건입력'!$B$8,IFERROR(INDEX('04A_국토부원자료'!$A:$T,ROW()+1,MATCH("단지명",'04A_국토부원자료'!$A$4:$T$4,0)),"")))</f>
        <v/>
      </c>
      <c r="E1824" s="172">
        <f>IFERROR(VALUE(SUBSTITUTE(INDEX('04A_국토부원자료'!$A:$T,ROW()+1,MATCH("전용면적(㎡)",'04A_국토부원자료'!$A$4:$T$4,0)),",","")),"")</f>
        <v/>
      </c>
      <c r="F18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24" s="51">
        <f>IFERROR(VALUE(SUBSTITUTE(INDEX('04A_국토부원자료'!$A:$T,ROW()+1,MATCH("거래금액(만원)",'04A_국토부원자료'!$A$4:$T$4,0)),",","")),"")</f>
        <v/>
      </c>
      <c r="H1824" s="174">
        <f>IF(G1824="","",G1824*10000)</f>
        <v/>
      </c>
      <c r="I1824" s="174">
        <f>IFERROR(IF(AND(H1824&gt;0,E1824&gt;0),H1824/E1824,""),"")</f>
        <v/>
      </c>
      <c r="J1824" s="152">
        <f>IFERROR(VALUE(SUBSTITUTE(INDEX('04A_국토부원자료'!$A:$T,ROW()+1,MATCH("층",'04A_국토부원자료'!$A$4:$T$4,0)),",","")),"")</f>
        <v/>
      </c>
      <c r="K1824" s="152">
        <f>IFERROR(VALUE(SUBSTITUTE(INDEX('04A_국토부원자료'!$A:$T,ROW()+1,MATCH("건축년도",'04A_국토부원자료'!$A$4:$T$4,0)),",","")),"")</f>
        <v/>
      </c>
      <c r="L1824" s="176">
        <f>IFERROR(INDEX('04A_국토부원자료'!$A:$T,ROW()+1,MATCH("도로명",'04A_국토부원자료'!$A$4:$T$4,0)),"")</f>
        <v/>
      </c>
      <c r="M1824" s="48">
        <f>IFERROR(INDEX('04A_국토부원자료'!$A:$T,ROW()+1,MATCH("거래유형",'04A_국토부원자료'!$A$4:$T$4,0)),"")</f>
        <v/>
      </c>
      <c r="N1824" s="152">
        <f>IF(B1824="","",IF('02_대상물건입력'!B5="",1,IF(ISNUMBER(SEARCH('02_대상물건입력'!B5,B1824)),1,0)))</f>
        <v/>
      </c>
      <c r="O1824" s="152">
        <f>IF(B1824="","",IF('02_대상물건입력'!B6="",1,IF(ISNUMBER(SEARCH('02_대상물건입력'!B6,B1824)),1,0)))</f>
        <v/>
      </c>
      <c r="P1824" s="152">
        <f>IF(L1824="","",IF('02_대상물건입력'!B15="",0,IF(ISNUMBER(SEARCH('02_대상물건입력'!B15,L1824)),1,0)))</f>
        <v/>
      </c>
      <c r="Q1824" s="152">
        <f>IF(OR(C1824="",L1824=""),0,IF(AND(TRIM(C1824)=TRIM(RIGHT(SUBSTITUTE(TRIM('02_대상물건입력'!$B$7)," ",REPT(" ",99)),99)),IF('02_대상물건입력'!B15="",TRUE(),ISNUMBER(SEARCH('02_대상물건입력'!B15,L1824)))),1,0))</f>
        <v/>
      </c>
      <c r="R1824" s="175">
        <f>IFERROR(ABS(E1824-'02_대상물건입력'!B11)/'02_대상물건입력'!B11,"")</f>
        <v/>
      </c>
      <c r="S1824" s="152">
        <f>IFERROR(ABS(J1824-'02_대상물건입력'!B10),"")</f>
        <v/>
      </c>
      <c r="T1824" s="152">
        <f>IFERROR(ABS('01_설정'!B4-F1824),"")</f>
        <v/>
      </c>
      <c r="U1824" s="152">
        <f>IFERROR(ABS(K1824-YEAR('02_대상물건입력'!B14)),"")</f>
        <v/>
      </c>
      <c r="V1824" s="152">
        <f>IF(B1824="","",IF(AND(E1824&gt;0,F1824&gt;0,H1824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1824=1,TRUE()),R1824&lt;='01_설정'!B5,S1824&lt;='01_설정'!B6,T1824&lt;='01_설정'!B7,U1824&lt;='01_설정'!B8),"Y",""))</f>
        <v/>
      </c>
      <c r="W1824" s="172">
        <f>IF(V1824&lt;&gt;"Y","",MAX(0,(1-R1824/'01_설정'!B5))*'01_설정'!B14+MAX(0,(1-S1824/'01_설정'!B6))*'01_설정'!B15+MAX(0,(1-T1824/'01_설정'!B7))*'01_설정'!B16+MAX(0,(1-U1824/'01_설정'!B8))*'01_설정'!B17+O1824*'01_설정'!B11+Q1824*'01_설정'!B12+P1824*'01_설정'!B13+IF(Z1824="",0,Z1824))</f>
        <v/>
      </c>
      <c r="X1824" s="152">
        <f>IF(W1824="","",1+COUNTIFS($W$4:$W$3003,"&gt;"&amp;W1824)+COUNTIFS($W$4:W1824,W1824)-1)</f>
        <v/>
      </c>
      <c r="Y1824" s="175">
        <f>IF(OR(I1824="",'02_대상물건입력'!B19="",'02_대상물건입력'!B19&lt;=0),"",ABS(I1824-'02_대상물건입력'!B19)/'02_대상물건입력'!B19)</f>
        <v/>
      </c>
      <c r="Z1824" s="172">
        <f>IF(OR(Y1824="",'01_설정'!B31="",'01_설정'!B31&lt;=0,'01_설정'!B32="",'01_설정'!B32&lt;=0),"",MAX(0,(1-Y1824/'01_설정'!B32))*'01_설정'!B31)</f>
        <v/>
      </c>
    </row>
    <row r="1825" ht="17.25" customHeight="1">
      <c r="A1825" s="152">
        <f>IF(INDEX('04A_국토부원자료'!$A:$A,ROW()+1)="","",ROW()-3)</f>
        <v/>
      </c>
      <c r="B1825" s="48">
        <f>IFERROR(INDEX('04A_국토부원자료'!$A:$T,ROW()+1,MATCH("시군구",'04A_국토부원자료'!$A$4:$T$4,0)),"")</f>
        <v/>
      </c>
      <c r="C1825" s="48">
        <f>IF(B1825="","",IFERROR(INDEX('04A_국토부원자료'!$A:$T,ROW()+1,MATCH("번지",'04A_국토부원자료'!$A$4:$T$4,0)),""))</f>
        <v/>
      </c>
      <c r="D1825" s="48">
        <f>IF(B1825="","",IF(Q1825=1,'02_대상물건입력'!$B$8,IFERROR(INDEX('04A_국토부원자료'!$A:$T,ROW()+1,MATCH("단지명",'04A_국토부원자료'!$A$4:$T$4,0)),"")))</f>
        <v/>
      </c>
      <c r="E1825" s="172">
        <f>IFERROR(VALUE(SUBSTITUTE(INDEX('04A_국토부원자료'!$A:$T,ROW()+1,MATCH("전용면적(㎡)",'04A_국토부원자료'!$A$4:$T$4,0)),",","")),"")</f>
        <v/>
      </c>
      <c r="F18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25" s="51">
        <f>IFERROR(VALUE(SUBSTITUTE(INDEX('04A_국토부원자료'!$A:$T,ROW()+1,MATCH("거래금액(만원)",'04A_국토부원자료'!$A$4:$T$4,0)),",","")),"")</f>
        <v/>
      </c>
      <c r="H1825" s="174">
        <f>IF(G1825="","",G1825*10000)</f>
        <v/>
      </c>
      <c r="I1825" s="174">
        <f>IFERROR(IF(AND(H1825&gt;0,E1825&gt;0),H1825/E1825,""),"")</f>
        <v/>
      </c>
      <c r="J1825" s="152">
        <f>IFERROR(VALUE(SUBSTITUTE(INDEX('04A_국토부원자료'!$A:$T,ROW()+1,MATCH("층",'04A_국토부원자료'!$A$4:$T$4,0)),",","")),"")</f>
        <v/>
      </c>
      <c r="K1825" s="152">
        <f>IFERROR(VALUE(SUBSTITUTE(INDEX('04A_국토부원자료'!$A:$T,ROW()+1,MATCH("건축년도",'04A_국토부원자료'!$A$4:$T$4,0)),",","")),"")</f>
        <v/>
      </c>
      <c r="L1825" s="176">
        <f>IFERROR(INDEX('04A_국토부원자료'!$A:$T,ROW()+1,MATCH("도로명",'04A_국토부원자료'!$A$4:$T$4,0)),"")</f>
        <v/>
      </c>
      <c r="M1825" s="48">
        <f>IFERROR(INDEX('04A_국토부원자료'!$A:$T,ROW()+1,MATCH("거래유형",'04A_국토부원자료'!$A$4:$T$4,0)),"")</f>
        <v/>
      </c>
      <c r="N1825" s="152">
        <f>IF(B1825="","",IF('02_대상물건입력'!B5="",1,IF(ISNUMBER(SEARCH('02_대상물건입력'!B5,B1825)),1,0)))</f>
        <v/>
      </c>
      <c r="O1825" s="152">
        <f>IF(B1825="","",IF('02_대상물건입력'!B6="",1,IF(ISNUMBER(SEARCH('02_대상물건입력'!B6,B1825)),1,0)))</f>
        <v/>
      </c>
      <c r="P1825" s="152">
        <f>IF(L1825="","",IF('02_대상물건입력'!B15="",0,IF(ISNUMBER(SEARCH('02_대상물건입력'!B15,L1825)),1,0)))</f>
        <v/>
      </c>
      <c r="Q1825" s="152">
        <f>IF(OR(C1825="",L1825=""),0,IF(AND(TRIM(C1825)=TRIM(RIGHT(SUBSTITUTE(TRIM('02_대상물건입력'!$B$7)," ",REPT(" ",99)),99)),IF('02_대상물건입력'!B15="",TRUE(),ISNUMBER(SEARCH('02_대상물건입력'!B15,L1825)))),1,0))</f>
        <v/>
      </c>
      <c r="R1825" s="175">
        <f>IFERROR(ABS(E1825-'02_대상물건입력'!B11)/'02_대상물건입력'!B11,"")</f>
        <v/>
      </c>
      <c r="S1825" s="152">
        <f>IFERROR(ABS(J1825-'02_대상물건입력'!B10),"")</f>
        <v/>
      </c>
      <c r="T1825" s="152">
        <f>IFERROR(ABS('01_설정'!B4-F1825),"")</f>
        <v/>
      </c>
      <c r="U1825" s="152">
        <f>IFERROR(ABS(K1825-YEAR('02_대상물건입력'!B14)),"")</f>
        <v/>
      </c>
      <c r="V1825" s="152">
        <f>IF(B1825="","",IF(AND(E1825&gt;0,F1825&gt;0,H1825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1825=1,TRUE()),R1825&lt;='01_설정'!B5,S1825&lt;='01_설정'!B6,T1825&lt;='01_설정'!B7,U1825&lt;='01_설정'!B8),"Y",""))</f>
        <v/>
      </c>
      <c r="W1825" s="172">
        <f>IF(V1825&lt;&gt;"Y","",MAX(0,(1-R1825/'01_설정'!B5))*'01_설정'!B14+MAX(0,(1-S1825/'01_설정'!B6))*'01_설정'!B15+MAX(0,(1-T1825/'01_설정'!B7))*'01_설정'!B16+MAX(0,(1-U1825/'01_설정'!B8))*'01_설정'!B17+O1825*'01_설정'!B11+Q1825*'01_설정'!B12+P1825*'01_설정'!B13+IF(Z1825="",0,Z1825))</f>
        <v/>
      </c>
      <c r="X1825" s="152">
        <f>IF(W1825="","",1+COUNTIFS($W$4:$W$3003,"&gt;"&amp;W1825)+COUNTIFS($W$4:W1825,W1825)-1)</f>
        <v/>
      </c>
      <c r="Y1825" s="175">
        <f>IF(OR(I1825="",'02_대상물건입력'!B19="",'02_대상물건입력'!B19&lt;=0),"",ABS(I1825-'02_대상물건입력'!B19)/'02_대상물건입력'!B19)</f>
        <v/>
      </c>
      <c r="Z1825" s="172">
        <f>IF(OR(Y1825="",'01_설정'!B31="",'01_설정'!B31&lt;=0,'01_설정'!B32="",'01_설정'!B32&lt;=0),"",MAX(0,(1-Y1825/'01_설정'!B32))*'01_설정'!B31)</f>
        <v/>
      </c>
    </row>
    <row r="1826" ht="17.25" customHeight="1">
      <c r="A1826" s="152">
        <f>IF(INDEX('04A_국토부원자료'!$A:$A,ROW()+1)="","",ROW()-3)</f>
        <v/>
      </c>
      <c r="B1826" s="48">
        <f>IFERROR(INDEX('04A_국토부원자료'!$A:$T,ROW()+1,MATCH("시군구",'04A_국토부원자료'!$A$4:$T$4,0)),"")</f>
        <v/>
      </c>
      <c r="C1826" s="48">
        <f>IF(B1826="","",IFERROR(INDEX('04A_국토부원자료'!$A:$T,ROW()+1,MATCH("번지",'04A_국토부원자료'!$A$4:$T$4,0)),""))</f>
        <v/>
      </c>
      <c r="D1826" s="48">
        <f>IF(B1826="","",IF(Q1826=1,'02_대상물건입력'!$B$8,IFERROR(INDEX('04A_국토부원자료'!$A:$T,ROW()+1,MATCH("단지명",'04A_국토부원자료'!$A$4:$T$4,0)),"")))</f>
        <v/>
      </c>
      <c r="E1826" s="172">
        <f>IFERROR(VALUE(SUBSTITUTE(INDEX('04A_국토부원자료'!$A:$T,ROW()+1,MATCH("전용면적(㎡)",'04A_국토부원자료'!$A$4:$T$4,0)),",","")),"")</f>
        <v/>
      </c>
      <c r="F18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26" s="51">
        <f>IFERROR(VALUE(SUBSTITUTE(INDEX('04A_국토부원자료'!$A:$T,ROW()+1,MATCH("거래금액(만원)",'04A_국토부원자료'!$A$4:$T$4,0)),",","")),"")</f>
        <v/>
      </c>
      <c r="H1826" s="174">
        <f>IF(G1826="","",G1826*10000)</f>
        <v/>
      </c>
      <c r="I1826" s="174">
        <f>IFERROR(IF(AND(H1826&gt;0,E1826&gt;0),H1826/E1826,""),"")</f>
        <v/>
      </c>
      <c r="J1826" s="152">
        <f>IFERROR(VALUE(SUBSTITUTE(INDEX('04A_국토부원자료'!$A:$T,ROW()+1,MATCH("층",'04A_국토부원자료'!$A$4:$T$4,0)),",","")),"")</f>
        <v/>
      </c>
      <c r="K1826" s="152">
        <f>IFERROR(VALUE(SUBSTITUTE(INDEX('04A_국토부원자료'!$A:$T,ROW()+1,MATCH("건축년도",'04A_국토부원자료'!$A$4:$T$4,0)),",","")),"")</f>
        <v/>
      </c>
      <c r="L1826" s="176">
        <f>IFERROR(INDEX('04A_국토부원자료'!$A:$T,ROW()+1,MATCH("도로명",'04A_국토부원자료'!$A$4:$T$4,0)),"")</f>
        <v/>
      </c>
      <c r="M1826" s="48">
        <f>IFERROR(INDEX('04A_국토부원자료'!$A:$T,ROW()+1,MATCH("거래유형",'04A_국토부원자료'!$A$4:$T$4,0)),"")</f>
        <v/>
      </c>
      <c r="N1826" s="152">
        <f>IF(B1826="","",IF('02_대상물건입력'!B5="",1,IF(ISNUMBER(SEARCH('02_대상물건입력'!B5,B1826)),1,0)))</f>
        <v/>
      </c>
      <c r="O1826" s="152">
        <f>IF(B1826="","",IF('02_대상물건입력'!B6="",1,IF(ISNUMBER(SEARCH('02_대상물건입력'!B6,B1826)),1,0)))</f>
        <v/>
      </c>
      <c r="P1826" s="152">
        <f>IF(L1826="","",IF('02_대상물건입력'!B15="",0,IF(ISNUMBER(SEARCH('02_대상물건입력'!B15,L1826)),1,0)))</f>
        <v/>
      </c>
      <c r="Q1826" s="152">
        <f>IF(OR(C1826="",L1826=""),0,IF(AND(TRIM(C1826)=TRIM(RIGHT(SUBSTITUTE(TRIM('02_대상물건입력'!$B$7)," ",REPT(" ",99)),99)),IF('02_대상물건입력'!B15="",TRUE(),ISNUMBER(SEARCH('02_대상물건입력'!B15,L1826)))),1,0))</f>
        <v/>
      </c>
      <c r="R1826" s="175">
        <f>IFERROR(ABS(E1826-'02_대상물건입력'!B11)/'02_대상물건입력'!B11,"")</f>
        <v/>
      </c>
      <c r="S1826" s="152">
        <f>IFERROR(ABS(J1826-'02_대상물건입력'!B10),"")</f>
        <v/>
      </c>
      <c r="T1826" s="152">
        <f>IFERROR(ABS('01_설정'!B4-F1826),"")</f>
        <v/>
      </c>
      <c r="U1826" s="152">
        <f>IFERROR(ABS(K1826-YEAR('02_대상물건입력'!B14)),"")</f>
        <v/>
      </c>
      <c r="V1826" s="152">
        <f>IF(B1826="","",IF(AND(E1826&gt;0,F1826&gt;0,H1826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1826=1,TRUE()),R1826&lt;='01_설정'!B5,S1826&lt;='01_설정'!B6,T1826&lt;='01_설정'!B7,U1826&lt;='01_설정'!B8),"Y",""))</f>
        <v/>
      </c>
      <c r="W1826" s="172">
        <f>IF(V1826&lt;&gt;"Y","",MAX(0,(1-R1826/'01_설정'!B5))*'01_설정'!B14+MAX(0,(1-S1826/'01_설정'!B6))*'01_설정'!B15+MAX(0,(1-T1826/'01_설정'!B7))*'01_설정'!B16+MAX(0,(1-U1826/'01_설정'!B8))*'01_설정'!B17+O1826*'01_설정'!B11+Q1826*'01_설정'!B12+P1826*'01_설정'!B13+IF(Z1826="",0,Z1826))</f>
        <v/>
      </c>
      <c r="X1826" s="152">
        <f>IF(W1826="","",1+COUNTIFS($W$4:$W$3003,"&gt;"&amp;W1826)+COUNTIFS($W$4:W1826,W1826)-1)</f>
        <v/>
      </c>
      <c r="Y1826" s="175">
        <f>IF(OR(I1826="",'02_대상물건입력'!B19="",'02_대상물건입력'!B19&lt;=0),"",ABS(I1826-'02_대상물건입력'!B19)/'02_대상물건입력'!B19)</f>
        <v/>
      </c>
      <c r="Z1826" s="172">
        <f>IF(OR(Y1826="",'01_설정'!B31="",'01_설정'!B31&lt;=0,'01_설정'!B32="",'01_설정'!B32&lt;=0),"",MAX(0,(1-Y1826/'01_설정'!B32))*'01_설정'!B31)</f>
        <v/>
      </c>
    </row>
    <row r="1827" ht="17.25" customHeight="1">
      <c r="A1827" s="152">
        <f>IF(INDEX('04A_국토부원자료'!$A:$A,ROW()+1)="","",ROW()-3)</f>
        <v/>
      </c>
      <c r="B1827" s="48">
        <f>IFERROR(INDEX('04A_국토부원자료'!$A:$T,ROW()+1,MATCH("시군구",'04A_국토부원자료'!$A$4:$T$4,0)),"")</f>
        <v/>
      </c>
      <c r="C1827" s="48">
        <f>IF(B1827="","",IFERROR(INDEX('04A_국토부원자료'!$A:$T,ROW()+1,MATCH("번지",'04A_국토부원자료'!$A$4:$T$4,0)),""))</f>
        <v/>
      </c>
      <c r="D1827" s="48">
        <f>IF(B1827="","",IF(Q1827=1,'02_대상물건입력'!$B$8,IFERROR(INDEX('04A_국토부원자료'!$A:$T,ROW()+1,MATCH("단지명",'04A_국토부원자료'!$A$4:$T$4,0)),"")))</f>
        <v/>
      </c>
      <c r="E1827" s="172">
        <f>IFERROR(VALUE(SUBSTITUTE(INDEX('04A_국토부원자료'!$A:$T,ROW()+1,MATCH("전용면적(㎡)",'04A_국토부원자료'!$A$4:$T$4,0)),",","")),"")</f>
        <v/>
      </c>
      <c r="F18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27" s="51">
        <f>IFERROR(VALUE(SUBSTITUTE(INDEX('04A_국토부원자료'!$A:$T,ROW()+1,MATCH("거래금액(만원)",'04A_국토부원자료'!$A$4:$T$4,0)),",","")),"")</f>
        <v/>
      </c>
      <c r="H1827" s="174">
        <f>IF(G1827="","",G1827*10000)</f>
        <v/>
      </c>
      <c r="I1827" s="174">
        <f>IFERROR(IF(AND(H1827&gt;0,E1827&gt;0),H1827/E1827,""),"")</f>
        <v/>
      </c>
      <c r="J1827" s="152">
        <f>IFERROR(VALUE(SUBSTITUTE(INDEX('04A_국토부원자료'!$A:$T,ROW()+1,MATCH("층",'04A_국토부원자료'!$A$4:$T$4,0)),",","")),"")</f>
        <v/>
      </c>
      <c r="K1827" s="152">
        <f>IFERROR(VALUE(SUBSTITUTE(INDEX('04A_국토부원자료'!$A:$T,ROW()+1,MATCH("건축년도",'04A_국토부원자료'!$A$4:$T$4,0)),",","")),"")</f>
        <v/>
      </c>
      <c r="L1827" s="176">
        <f>IFERROR(INDEX('04A_국토부원자료'!$A:$T,ROW()+1,MATCH("도로명",'04A_국토부원자료'!$A$4:$T$4,0)),"")</f>
        <v/>
      </c>
      <c r="M1827" s="48">
        <f>IFERROR(INDEX('04A_국토부원자료'!$A:$T,ROW()+1,MATCH("거래유형",'04A_국토부원자료'!$A$4:$T$4,0)),"")</f>
        <v/>
      </c>
      <c r="N1827" s="152">
        <f>IF(B1827="","",IF('02_대상물건입력'!B5="",1,IF(ISNUMBER(SEARCH('02_대상물건입력'!B5,B1827)),1,0)))</f>
        <v/>
      </c>
      <c r="O1827" s="152">
        <f>IF(B1827="","",IF('02_대상물건입력'!B6="",1,IF(ISNUMBER(SEARCH('02_대상물건입력'!B6,B1827)),1,0)))</f>
        <v/>
      </c>
      <c r="P1827" s="152">
        <f>IF(L1827="","",IF('02_대상물건입력'!B15="",0,IF(ISNUMBER(SEARCH('02_대상물건입력'!B15,L1827)),1,0)))</f>
        <v/>
      </c>
      <c r="Q1827" s="152">
        <f>IF(OR(C1827="",L1827=""),0,IF(AND(TRIM(C1827)=TRIM(RIGHT(SUBSTITUTE(TRIM('02_대상물건입력'!$B$7)," ",REPT(" ",99)),99)),IF('02_대상물건입력'!B15="",TRUE(),ISNUMBER(SEARCH('02_대상물건입력'!B15,L1827)))),1,0))</f>
        <v/>
      </c>
      <c r="R1827" s="175">
        <f>IFERROR(ABS(E1827-'02_대상물건입력'!B11)/'02_대상물건입력'!B11,"")</f>
        <v/>
      </c>
      <c r="S1827" s="152">
        <f>IFERROR(ABS(J1827-'02_대상물건입력'!B10),"")</f>
        <v/>
      </c>
      <c r="T1827" s="152">
        <f>IFERROR(ABS('01_설정'!B4-F1827),"")</f>
        <v/>
      </c>
      <c r="U1827" s="152">
        <f>IFERROR(ABS(K1827-YEAR('02_대상물건입력'!B14)),"")</f>
        <v/>
      </c>
      <c r="V1827" s="152">
        <f>IF(B1827="","",IF(AND(E1827&gt;0,F1827&gt;0,H1827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1827=1,TRUE()),R1827&lt;='01_설정'!B5,S1827&lt;='01_설정'!B6,T1827&lt;='01_설정'!B7,U1827&lt;='01_설정'!B8),"Y",""))</f>
        <v/>
      </c>
      <c r="W1827" s="172">
        <f>IF(V1827&lt;&gt;"Y","",MAX(0,(1-R1827/'01_설정'!B5))*'01_설정'!B14+MAX(0,(1-S1827/'01_설정'!B6))*'01_설정'!B15+MAX(0,(1-T1827/'01_설정'!B7))*'01_설정'!B16+MAX(0,(1-U1827/'01_설정'!B8))*'01_설정'!B17+O1827*'01_설정'!B11+Q1827*'01_설정'!B12+P1827*'01_설정'!B13+IF(Z1827="",0,Z1827))</f>
        <v/>
      </c>
      <c r="X1827" s="152">
        <f>IF(W1827="","",1+COUNTIFS($W$4:$W$3003,"&gt;"&amp;W1827)+COUNTIFS($W$4:W1827,W1827)-1)</f>
        <v/>
      </c>
      <c r="Y1827" s="175">
        <f>IF(OR(I1827="",'02_대상물건입력'!B19="",'02_대상물건입력'!B19&lt;=0),"",ABS(I1827-'02_대상물건입력'!B19)/'02_대상물건입력'!B19)</f>
        <v/>
      </c>
      <c r="Z1827" s="172">
        <f>IF(OR(Y1827="",'01_설정'!B31="",'01_설정'!B31&lt;=0,'01_설정'!B32="",'01_설정'!B32&lt;=0),"",MAX(0,(1-Y1827/'01_설정'!B32))*'01_설정'!B31)</f>
        <v/>
      </c>
    </row>
    <row r="1828" ht="17.25" customHeight="1">
      <c r="A1828" s="152">
        <f>IF(INDEX('04A_국토부원자료'!$A:$A,ROW()+1)="","",ROW()-3)</f>
        <v/>
      </c>
      <c r="B1828" s="48">
        <f>IFERROR(INDEX('04A_국토부원자료'!$A:$T,ROW()+1,MATCH("시군구",'04A_국토부원자료'!$A$4:$T$4,0)),"")</f>
        <v/>
      </c>
      <c r="C1828" s="48">
        <f>IF(B1828="","",IFERROR(INDEX('04A_국토부원자료'!$A:$T,ROW()+1,MATCH("번지",'04A_국토부원자료'!$A$4:$T$4,0)),""))</f>
        <v/>
      </c>
      <c r="D1828" s="48">
        <f>IF(B1828="","",IF(Q1828=1,'02_대상물건입력'!$B$8,IFERROR(INDEX('04A_국토부원자료'!$A:$T,ROW()+1,MATCH("단지명",'04A_국토부원자료'!$A$4:$T$4,0)),"")))</f>
        <v/>
      </c>
      <c r="E1828" s="172">
        <f>IFERROR(VALUE(SUBSTITUTE(INDEX('04A_국토부원자료'!$A:$T,ROW()+1,MATCH("전용면적(㎡)",'04A_국토부원자료'!$A$4:$T$4,0)),",","")),"")</f>
        <v/>
      </c>
      <c r="F18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28" s="51">
        <f>IFERROR(VALUE(SUBSTITUTE(INDEX('04A_국토부원자료'!$A:$T,ROW()+1,MATCH("거래금액(만원)",'04A_국토부원자료'!$A$4:$T$4,0)),",","")),"")</f>
        <v/>
      </c>
      <c r="H1828" s="174">
        <f>IF(G1828="","",G1828*10000)</f>
        <v/>
      </c>
      <c r="I1828" s="174">
        <f>IFERROR(IF(AND(H1828&gt;0,E1828&gt;0),H1828/E1828,""),"")</f>
        <v/>
      </c>
      <c r="J1828" s="152">
        <f>IFERROR(VALUE(SUBSTITUTE(INDEX('04A_국토부원자료'!$A:$T,ROW()+1,MATCH("층",'04A_국토부원자료'!$A$4:$T$4,0)),",","")),"")</f>
        <v/>
      </c>
      <c r="K1828" s="152">
        <f>IFERROR(VALUE(SUBSTITUTE(INDEX('04A_국토부원자료'!$A:$T,ROW()+1,MATCH("건축년도",'04A_국토부원자료'!$A$4:$T$4,0)),",","")),"")</f>
        <v/>
      </c>
      <c r="L1828" s="176">
        <f>IFERROR(INDEX('04A_국토부원자료'!$A:$T,ROW()+1,MATCH("도로명",'04A_국토부원자료'!$A$4:$T$4,0)),"")</f>
        <v/>
      </c>
      <c r="M1828" s="48">
        <f>IFERROR(INDEX('04A_국토부원자료'!$A:$T,ROW()+1,MATCH("거래유형",'04A_국토부원자료'!$A$4:$T$4,0)),"")</f>
        <v/>
      </c>
      <c r="N1828" s="152">
        <f>IF(B1828="","",IF('02_대상물건입력'!B5="",1,IF(ISNUMBER(SEARCH('02_대상물건입력'!B5,B1828)),1,0)))</f>
        <v/>
      </c>
      <c r="O1828" s="152">
        <f>IF(B1828="","",IF('02_대상물건입력'!B6="",1,IF(ISNUMBER(SEARCH('02_대상물건입력'!B6,B1828)),1,0)))</f>
        <v/>
      </c>
      <c r="P1828" s="152">
        <f>IF(L1828="","",IF('02_대상물건입력'!B15="",0,IF(ISNUMBER(SEARCH('02_대상물건입력'!B15,L1828)),1,0)))</f>
        <v/>
      </c>
      <c r="Q1828" s="152">
        <f>IF(OR(C1828="",L1828=""),0,IF(AND(TRIM(C1828)=TRIM(RIGHT(SUBSTITUTE(TRIM('02_대상물건입력'!$B$7)," ",REPT(" ",99)),99)),IF('02_대상물건입력'!B15="",TRUE(),ISNUMBER(SEARCH('02_대상물건입력'!B15,L1828)))),1,0))</f>
        <v/>
      </c>
      <c r="R1828" s="175">
        <f>IFERROR(ABS(E1828-'02_대상물건입력'!B11)/'02_대상물건입력'!B11,"")</f>
        <v/>
      </c>
      <c r="S1828" s="152">
        <f>IFERROR(ABS(J1828-'02_대상물건입력'!B10),"")</f>
        <v/>
      </c>
      <c r="T1828" s="152">
        <f>IFERROR(ABS('01_설정'!B4-F1828),"")</f>
        <v/>
      </c>
      <c r="U1828" s="152">
        <f>IFERROR(ABS(K1828-YEAR('02_대상물건입력'!B14)),"")</f>
        <v/>
      </c>
      <c r="V1828" s="152">
        <f>IF(B1828="","",IF(AND(E1828&gt;0,F1828&gt;0,H1828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1828=1,TRUE()),R1828&lt;='01_설정'!B5,S1828&lt;='01_설정'!B6,T1828&lt;='01_설정'!B7,U1828&lt;='01_설정'!B8),"Y",""))</f>
        <v/>
      </c>
      <c r="W1828" s="172">
        <f>IF(V1828&lt;&gt;"Y","",MAX(0,(1-R1828/'01_설정'!B5))*'01_설정'!B14+MAX(0,(1-S1828/'01_설정'!B6))*'01_설정'!B15+MAX(0,(1-T1828/'01_설정'!B7))*'01_설정'!B16+MAX(0,(1-U1828/'01_설정'!B8))*'01_설정'!B17+O1828*'01_설정'!B11+Q1828*'01_설정'!B12+P1828*'01_설정'!B13+IF(Z1828="",0,Z1828))</f>
        <v/>
      </c>
      <c r="X1828" s="152">
        <f>IF(W1828="","",1+COUNTIFS($W$4:$W$3003,"&gt;"&amp;W1828)+COUNTIFS($W$4:W1828,W1828)-1)</f>
        <v/>
      </c>
      <c r="Y1828" s="175">
        <f>IF(OR(I1828="",'02_대상물건입력'!B19="",'02_대상물건입력'!B19&lt;=0),"",ABS(I1828-'02_대상물건입력'!B19)/'02_대상물건입력'!B19)</f>
        <v/>
      </c>
      <c r="Z1828" s="172">
        <f>IF(OR(Y1828="",'01_설정'!B31="",'01_설정'!B31&lt;=0,'01_설정'!B32="",'01_설정'!B32&lt;=0),"",MAX(0,(1-Y1828/'01_설정'!B32))*'01_설정'!B31)</f>
        <v/>
      </c>
    </row>
    <row r="1829" ht="17.25" customHeight="1">
      <c r="A1829" s="152">
        <f>IF(INDEX('04A_국토부원자료'!$A:$A,ROW()+1)="","",ROW()-3)</f>
        <v/>
      </c>
      <c r="B1829" s="48">
        <f>IFERROR(INDEX('04A_국토부원자료'!$A:$T,ROW()+1,MATCH("시군구",'04A_국토부원자료'!$A$4:$T$4,0)),"")</f>
        <v/>
      </c>
      <c r="C1829" s="48">
        <f>IF(B1829="","",IFERROR(INDEX('04A_국토부원자료'!$A:$T,ROW()+1,MATCH("번지",'04A_국토부원자료'!$A$4:$T$4,0)),""))</f>
        <v/>
      </c>
      <c r="D1829" s="48">
        <f>IF(B1829="","",IF(Q1829=1,'02_대상물건입력'!$B$8,IFERROR(INDEX('04A_국토부원자료'!$A:$T,ROW()+1,MATCH("단지명",'04A_국토부원자료'!$A$4:$T$4,0)),"")))</f>
        <v/>
      </c>
      <c r="E1829" s="172">
        <f>IFERROR(VALUE(SUBSTITUTE(INDEX('04A_국토부원자료'!$A:$T,ROW()+1,MATCH("전용면적(㎡)",'04A_국토부원자료'!$A$4:$T$4,0)),",","")),"")</f>
        <v/>
      </c>
      <c r="F18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29" s="51">
        <f>IFERROR(VALUE(SUBSTITUTE(INDEX('04A_국토부원자료'!$A:$T,ROW()+1,MATCH("거래금액(만원)",'04A_국토부원자료'!$A$4:$T$4,0)),",","")),"")</f>
        <v/>
      </c>
      <c r="H1829" s="174">
        <f>IF(G1829="","",G1829*10000)</f>
        <v/>
      </c>
      <c r="I1829" s="174">
        <f>IFERROR(IF(AND(H1829&gt;0,E1829&gt;0),H1829/E1829,""),"")</f>
        <v/>
      </c>
      <c r="J1829" s="152">
        <f>IFERROR(VALUE(SUBSTITUTE(INDEX('04A_국토부원자료'!$A:$T,ROW()+1,MATCH("층",'04A_국토부원자료'!$A$4:$T$4,0)),",","")),"")</f>
        <v/>
      </c>
      <c r="K1829" s="152">
        <f>IFERROR(VALUE(SUBSTITUTE(INDEX('04A_국토부원자료'!$A:$T,ROW()+1,MATCH("건축년도",'04A_국토부원자료'!$A$4:$T$4,0)),",","")),"")</f>
        <v/>
      </c>
      <c r="L1829" s="176">
        <f>IFERROR(INDEX('04A_국토부원자료'!$A:$T,ROW()+1,MATCH("도로명",'04A_국토부원자료'!$A$4:$T$4,0)),"")</f>
        <v/>
      </c>
      <c r="M1829" s="48">
        <f>IFERROR(INDEX('04A_국토부원자료'!$A:$T,ROW()+1,MATCH("거래유형",'04A_국토부원자료'!$A$4:$T$4,0)),"")</f>
        <v/>
      </c>
      <c r="N1829" s="152">
        <f>IF(B1829="","",IF('02_대상물건입력'!B5="",1,IF(ISNUMBER(SEARCH('02_대상물건입력'!B5,B1829)),1,0)))</f>
        <v/>
      </c>
      <c r="O1829" s="152">
        <f>IF(B1829="","",IF('02_대상물건입력'!B6="",1,IF(ISNUMBER(SEARCH('02_대상물건입력'!B6,B1829)),1,0)))</f>
        <v/>
      </c>
      <c r="P1829" s="152">
        <f>IF(L1829="","",IF('02_대상물건입력'!B15="",0,IF(ISNUMBER(SEARCH('02_대상물건입력'!B15,L1829)),1,0)))</f>
        <v/>
      </c>
      <c r="Q1829" s="152">
        <f>IF(OR(C1829="",L1829=""),0,IF(AND(TRIM(C1829)=TRIM(RIGHT(SUBSTITUTE(TRIM('02_대상물건입력'!$B$7)," ",REPT(" ",99)),99)),IF('02_대상물건입력'!B15="",TRUE(),ISNUMBER(SEARCH('02_대상물건입력'!B15,L1829)))),1,0))</f>
        <v/>
      </c>
      <c r="R1829" s="175">
        <f>IFERROR(ABS(E1829-'02_대상물건입력'!B11)/'02_대상물건입력'!B11,"")</f>
        <v/>
      </c>
      <c r="S1829" s="152">
        <f>IFERROR(ABS(J1829-'02_대상물건입력'!B10),"")</f>
        <v/>
      </c>
      <c r="T1829" s="152">
        <f>IFERROR(ABS('01_설정'!B4-F1829),"")</f>
        <v/>
      </c>
      <c r="U1829" s="152">
        <f>IFERROR(ABS(K1829-YEAR('02_대상물건입력'!B14)),"")</f>
        <v/>
      </c>
      <c r="V1829" s="152">
        <f>IF(B1829="","",IF(AND(E1829&gt;0,F1829&gt;0,H1829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1829=1,TRUE()),R1829&lt;='01_설정'!B5,S1829&lt;='01_설정'!B6,T1829&lt;='01_설정'!B7,U1829&lt;='01_설정'!B8),"Y",""))</f>
        <v/>
      </c>
      <c r="W1829" s="172">
        <f>IF(V1829&lt;&gt;"Y","",MAX(0,(1-R1829/'01_설정'!B5))*'01_설정'!B14+MAX(0,(1-S1829/'01_설정'!B6))*'01_설정'!B15+MAX(0,(1-T1829/'01_설정'!B7))*'01_설정'!B16+MAX(0,(1-U1829/'01_설정'!B8))*'01_설정'!B17+O1829*'01_설정'!B11+Q1829*'01_설정'!B12+P1829*'01_설정'!B13+IF(Z1829="",0,Z1829))</f>
        <v/>
      </c>
      <c r="X1829" s="152">
        <f>IF(W1829="","",1+COUNTIFS($W$4:$W$3003,"&gt;"&amp;W1829)+COUNTIFS($W$4:W1829,W1829)-1)</f>
        <v/>
      </c>
      <c r="Y1829" s="175">
        <f>IF(OR(I1829="",'02_대상물건입력'!B19="",'02_대상물건입력'!B19&lt;=0),"",ABS(I1829-'02_대상물건입력'!B19)/'02_대상물건입력'!B19)</f>
        <v/>
      </c>
      <c r="Z1829" s="172">
        <f>IF(OR(Y1829="",'01_설정'!B31="",'01_설정'!B31&lt;=0,'01_설정'!B32="",'01_설정'!B32&lt;=0),"",MAX(0,(1-Y1829/'01_설정'!B32))*'01_설정'!B31)</f>
        <v/>
      </c>
    </row>
    <row r="1830" ht="17.25" customHeight="1">
      <c r="A1830" s="152">
        <f>IF(INDEX('04A_국토부원자료'!$A:$A,ROW()+1)="","",ROW()-3)</f>
        <v/>
      </c>
      <c r="B1830" s="48">
        <f>IFERROR(INDEX('04A_국토부원자료'!$A:$T,ROW()+1,MATCH("시군구",'04A_국토부원자료'!$A$4:$T$4,0)),"")</f>
        <v/>
      </c>
      <c r="C1830" s="48">
        <f>IF(B1830="","",IFERROR(INDEX('04A_국토부원자료'!$A:$T,ROW()+1,MATCH("번지",'04A_국토부원자료'!$A$4:$T$4,0)),""))</f>
        <v/>
      </c>
      <c r="D1830" s="48">
        <f>IF(B1830="","",IF(Q1830=1,'02_대상물건입력'!$B$8,IFERROR(INDEX('04A_국토부원자료'!$A:$T,ROW()+1,MATCH("단지명",'04A_국토부원자료'!$A$4:$T$4,0)),"")))</f>
        <v/>
      </c>
      <c r="E1830" s="172">
        <f>IFERROR(VALUE(SUBSTITUTE(INDEX('04A_국토부원자료'!$A:$T,ROW()+1,MATCH("전용면적(㎡)",'04A_국토부원자료'!$A$4:$T$4,0)),",","")),"")</f>
        <v/>
      </c>
      <c r="F18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30" s="51">
        <f>IFERROR(VALUE(SUBSTITUTE(INDEX('04A_국토부원자료'!$A:$T,ROW()+1,MATCH("거래금액(만원)",'04A_국토부원자료'!$A$4:$T$4,0)),",","")),"")</f>
        <v/>
      </c>
      <c r="H1830" s="174">
        <f>IF(G1830="","",G1830*10000)</f>
        <v/>
      </c>
      <c r="I1830" s="174">
        <f>IFERROR(IF(AND(H1830&gt;0,E1830&gt;0),H1830/E1830,""),"")</f>
        <v/>
      </c>
      <c r="J1830" s="152">
        <f>IFERROR(VALUE(SUBSTITUTE(INDEX('04A_국토부원자료'!$A:$T,ROW()+1,MATCH("층",'04A_국토부원자료'!$A$4:$T$4,0)),",","")),"")</f>
        <v/>
      </c>
      <c r="K1830" s="152">
        <f>IFERROR(VALUE(SUBSTITUTE(INDEX('04A_국토부원자료'!$A:$T,ROW()+1,MATCH("건축년도",'04A_국토부원자료'!$A$4:$T$4,0)),",","")),"")</f>
        <v/>
      </c>
      <c r="L1830" s="176">
        <f>IFERROR(INDEX('04A_국토부원자료'!$A:$T,ROW()+1,MATCH("도로명",'04A_국토부원자료'!$A$4:$T$4,0)),"")</f>
        <v/>
      </c>
      <c r="M1830" s="48">
        <f>IFERROR(INDEX('04A_국토부원자료'!$A:$T,ROW()+1,MATCH("거래유형",'04A_국토부원자료'!$A$4:$T$4,0)),"")</f>
        <v/>
      </c>
      <c r="N1830" s="152">
        <f>IF(B1830="","",IF('02_대상물건입력'!B5="",1,IF(ISNUMBER(SEARCH('02_대상물건입력'!B5,B1830)),1,0)))</f>
        <v/>
      </c>
      <c r="O1830" s="152">
        <f>IF(B1830="","",IF('02_대상물건입력'!B6="",1,IF(ISNUMBER(SEARCH('02_대상물건입력'!B6,B1830)),1,0)))</f>
        <v/>
      </c>
      <c r="P1830" s="152">
        <f>IF(L1830="","",IF('02_대상물건입력'!B15="",0,IF(ISNUMBER(SEARCH('02_대상물건입력'!B15,L1830)),1,0)))</f>
        <v/>
      </c>
      <c r="Q1830" s="152">
        <f>IF(OR(C1830="",L1830=""),0,IF(AND(TRIM(C1830)=TRIM(RIGHT(SUBSTITUTE(TRIM('02_대상물건입력'!$B$7)," ",REPT(" ",99)),99)),IF('02_대상물건입력'!B15="",TRUE(),ISNUMBER(SEARCH('02_대상물건입력'!B15,L1830)))),1,0))</f>
        <v/>
      </c>
      <c r="R1830" s="175">
        <f>IFERROR(ABS(E1830-'02_대상물건입력'!B11)/'02_대상물건입력'!B11,"")</f>
        <v/>
      </c>
      <c r="S1830" s="152">
        <f>IFERROR(ABS(J1830-'02_대상물건입력'!B10),"")</f>
        <v/>
      </c>
      <c r="T1830" s="152">
        <f>IFERROR(ABS('01_설정'!B4-F1830),"")</f>
        <v/>
      </c>
      <c r="U1830" s="152">
        <f>IFERROR(ABS(K1830-YEAR('02_대상물건입력'!B14)),"")</f>
        <v/>
      </c>
      <c r="V1830" s="152">
        <f>IF(B1830="","",IF(AND(E1830&gt;0,F1830&gt;0,H1830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1830=1,TRUE()),R1830&lt;='01_설정'!B5,S1830&lt;='01_설정'!B6,T1830&lt;='01_설정'!B7,U1830&lt;='01_설정'!B8),"Y",""))</f>
        <v/>
      </c>
      <c r="W1830" s="172">
        <f>IF(V1830&lt;&gt;"Y","",MAX(0,(1-R1830/'01_설정'!B5))*'01_설정'!B14+MAX(0,(1-S1830/'01_설정'!B6))*'01_설정'!B15+MAX(0,(1-T1830/'01_설정'!B7))*'01_설정'!B16+MAX(0,(1-U1830/'01_설정'!B8))*'01_설정'!B17+O1830*'01_설정'!B11+Q1830*'01_설정'!B12+P1830*'01_설정'!B13+IF(Z1830="",0,Z1830))</f>
        <v/>
      </c>
      <c r="X1830" s="152">
        <f>IF(W1830="","",1+COUNTIFS($W$4:$W$3003,"&gt;"&amp;W1830)+COUNTIFS($W$4:W1830,W1830)-1)</f>
        <v/>
      </c>
      <c r="Y1830" s="175">
        <f>IF(OR(I1830="",'02_대상물건입력'!B19="",'02_대상물건입력'!B19&lt;=0),"",ABS(I1830-'02_대상물건입력'!B19)/'02_대상물건입력'!B19)</f>
        <v/>
      </c>
      <c r="Z1830" s="172">
        <f>IF(OR(Y1830="",'01_설정'!B31="",'01_설정'!B31&lt;=0,'01_설정'!B32="",'01_설정'!B32&lt;=0),"",MAX(0,(1-Y1830/'01_설정'!B32))*'01_설정'!B31)</f>
        <v/>
      </c>
    </row>
    <row r="1831" ht="17.25" customHeight="1">
      <c r="A1831" s="152">
        <f>IF(INDEX('04A_국토부원자료'!$A:$A,ROW()+1)="","",ROW()-3)</f>
        <v/>
      </c>
      <c r="B1831" s="48">
        <f>IFERROR(INDEX('04A_국토부원자료'!$A:$T,ROW()+1,MATCH("시군구",'04A_국토부원자료'!$A$4:$T$4,0)),"")</f>
        <v/>
      </c>
      <c r="C1831" s="48">
        <f>IF(B1831="","",IFERROR(INDEX('04A_국토부원자료'!$A:$T,ROW()+1,MATCH("번지",'04A_국토부원자료'!$A$4:$T$4,0)),""))</f>
        <v/>
      </c>
      <c r="D1831" s="48">
        <f>IF(B1831="","",IF(Q1831=1,'02_대상물건입력'!$B$8,IFERROR(INDEX('04A_국토부원자료'!$A:$T,ROW()+1,MATCH("단지명",'04A_국토부원자료'!$A$4:$T$4,0)),"")))</f>
        <v/>
      </c>
      <c r="E1831" s="172">
        <f>IFERROR(VALUE(SUBSTITUTE(INDEX('04A_국토부원자료'!$A:$T,ROW()+1,MATCH("전용면적(㎡)",'04A_국토부원자료'!$A$4:$T$4,0)),",","")),"")</f>
        <v/>
      </c>
      <c r="F18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31" s="51">
        <f>IFERROR(VALUE(SUBSTITUTE(INDEX('04A_국토부원자료'!$A:$T,ROW()+1,MATCH("거래금액(만원)",'04A_국토부원자료'!$A$4:$T$4,0)),",","")),"")</f>
        <v/>
      </c>
      <c r="H1831" s="174">
        <f>IF(G1831="","",G1831*10000)</f>
        <v/>
      </c>
      <c r="I1831" s="174">
        <f>IFERROR(IF(AND(H1831&gt;0,E1831&gt;0),H1831/E1831,""),"")</f>
        <v/>
      </c>
      <c r="J1831" s="152">
        <f>IFERROR(VALUE(SUBSTITUTE(INDEX('04A_국토부원자료'!$A:$T,ROW()+1,MATCH("층",'04A_국토부원자료'!$A$4:$T$4,0)),",","")),"")</f>
        <v/>
      </c>
      <c r="K1831" s="152">
        <f>IFERROR(VALUE(SUBSTITUTE(INDEX('04A_국토부원자료'!$A:$T,ROW()+1,MATCH("건축년도",'04A_국토부원자료'!$A$4:$T$4,0)),",","")),"")</f>
        <v/>
      </c>
      <c r="L1831" s="176">
        <f>IFERROR(INDEX('04A_국토부원자료'!$A:$T,ROW()+1,MATCH("도로명",'04A_국토부원자료'!$A$4:$T$4,0)),"")</f>
        <v/>
      </c>
      <c r="M1831" s="48">
        <f>IFERROR(INDEX('04A_국토부원자료'!$A:$T,ROW()+1,MATCH("거래유형",'04A_국토부원자료'!$A$4:$T$4,0)),"")</f>
        <v/>
      </c>
      <c r="N1831" s="152">
        <f>IF(B1831="","",IF('02_대상물건입력'!B5="",1,IF(ISNUMBER(SEARCH('02_대상물건입력'!B5,B1831)),1,0)))</f>
        <v/>
      </c>
      <c r="O1831" s="152">
        <f>IF(B1831="","",IF('02_대상물건입력'!B6="",1,IF(ISNUMBER(SEARCH('02_대상물건입력'!B6,B1831)),1,0)))</f>
        <v/>
      </c>
      <c r="P1831" s="152">
        <f>IF(L1831="","",IF('02_대상물건입력'!B15="",0,IF(ISNUMBER(SEARCH('02_대상물건입력'!B15,L1831)),1,0)))</f>
        <v/>
      </c>
      <c r="Q1831" s="152">
        <f>IF(OR(C1831="",L1831=""),0,IF(AND(TRIM(C1831)=TRIM(RIGHT(SUBSTITUTE(TRIM('02_대상물건입력'!$B$7)," ",REPT(" ",99)),99)),IF('02_대상물건입력'!B15="",TRUE(),ISNUMBER(SEARCH('02_대상물건입력'!B15,L1831)))),1,0))</f>
        <v/>
      </c>
      <c r="R1831" s="175">
        <f>IFERROR(ABS(E1831-'02_대상물건입력'!B11)/'02_대상물건입력'!B11,"")</f>
        <v/>
      </c>
      <c r="S1831" s="152">
        <f>IFERROR(ABS(J1831-'02_대상물건입력'!B10),"")</f>
        <v/>
      </c>
      <c r="T1831" s="152">
        <f>IFERROR(ABS('01_설정'!B4-F1831),"")</f>
        <v/>
      </c>
      <c r="U1831" s="152">
        <f>IFERROR(ABS(K1831-YEAR('02_대상물건입력'!B14)),"")</f>
        <v/>
      </c>
      <c r="V1831" s="152">
        <f>IF(B1831="","",IF(AND(E1831&gt;0,F1831&gt;0,H1831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1831=1,TRUE()),R1831&lt;='01_설정'!B5,S1831&lt;='01_설정'!B6,T1831&lt;='01_설정'!B7,U1831&lt;='01_설정'!B8),"Y",""))</f>
        <v/>
      </c>
      <c r="W1831" s="172">
        <f>IF(V1831&lt;&gt;"Y","",MAX(0,(1-R1831/'01_설정'!B5))*'01_설정'!B14+MAX(0,(1-S1831/'01_설정'!B6))*'01_설정'!B15+MAX(0,(1-T1831/'01_설정'!B7))*'01_설정'!B16+MAX(0,(1-U1831/'01_설정'!B8))*'01_설정'!B17+O1831*'01_설정'!B11+Q1831*'01_설정'!B12+P1831*'01_설정'!B13+IF(Z1831="",0,Z1831))</f>
        <v/>
      </c>
      <c r="X1831" s="152">
        <f>IF(W1831="","",1+COUNTIFS($W$4:$W$3003,"&gt;"&amp;W1831)+COUNTIFS($W$4:W1831,W1831)-1)</f>
        <v/>
      </c>
      <c r="Y1831" s="175">
        <f>IF(OR(I1831="",'02_대상물건입력'!B19="",'02_대상물건입력'!B19&lt;=0),"",ABS(I1831-'02_대상물건입력'!B19)/'02_대상물건입력'!B19)</f>
        <v/>
      </c>
      <c r="Z1831" s="172">
        <f>IF(OR(Y1831="",'01_설정'!B31="",'01_설정'!B31&lt;=0,'01_설정'!B32="",'01_설정'!B32&lt;=0),"",MAX(0,(1-Y1831/'01_설정'!B32))*'01_설정'!B31)</f>
        <v/>
      </c>
    </row>
    <row r="1832" ht="17.25" customHeight="1">
      <c r="A1832" s="152">
        <f>IF(INDEX('04A_국토부원자료'!$A:$A,ROW()+1)="","",ROW()-3)</f>
        <v/>
      </c>
      <c r="B1832" s="48">
        <f>IFERROR(INDEX('04A_국토부원자료'!$A:$T,ROW()+1,MATCH("시군구",'04A_국토부원자료'!$A$4:$T$4,0)),"")</f>
        <v/>
      </c>
      <c r="C1832" s="48">
        <f>IF(B1832="","",IFERROR(INDEX('04A_국토부원자료'!$A:$T,ROW()+1,MATCH("번지",'04A_국토부원자료'!$A$4:$T$4,0)),""))</f>
        <v/>
      </c>
      <c r="D1832" s="48">
        <f>IF(B1832="","",IF(Q1832=1,'02_대상물건입력'!$B$8,IFERROR(INDEX('04A_국토부원자료'!$A:$T,ROW()+1,MATCH("단지명",'04A_국토부원자료'!$A$4:$T$4,0)),"")))</f>
        <v/>
      </c>
      <c r="E1832" s="172">
        <f>IFERROR(VALUE(SUBSTITUTE(INDEX('04A_국토부원자료'!$A:$T,ROW()+1,MATCH("전용면적(㎡)",'04A_국토부원자료'!$A$4:$T$4,0)),",","")),"")</f>
        <v/>
      </c>
      <c r="F18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32" s="51">
        <f>IFERROR(VALUE(SUBSTITUTE(INDEX('04A_국토부원자료'!$A:$T,ROW()+1,MATCH("거래금액(만원)",'04A_국토부원자료'!$A$4:$T$4,0)),",","")),"")</f>
        <v/>
      </c>
      <c r="H1832" s="174">
        <f>IF(G1832="","",G1832*10000)</f>
        <v/>
      </c>
      <c r="I1832" s="174">
        <f>IFERROR(IF(AND(H1832&gt;0,E1832&gt;0),H1832/E1832,""),"")</f>
        <v/>
      </c>
      <c r="J1832" s="152">
        <f>IFERROR(VALUE(SUBSTITUTE(INDEX('04A_국토부원자료'!$A:$T,ROW()+1,MATCH("층",'04A_국토부원자료'!$A$4:$T$4,0)),",","")),"")</f>
        <v/>
      </c>
      <c r="K1832" s="152">
        <f>IFERROR(VALUE(SUBSTITUTE(INDEX('04A_국토부원자료'!$A:$T,ROW()+1,MATCH("건축년도",'04A_국토부원자료'!$A$4:$T$4,0)),",","")),"")</f>
        <v/>
      </c>
      <c r="L1832" s="176">
        <f>IFERROR(INDEX('04A_국토부원자료'!$A:$T,ROW()+1,MATCH("도로명",'04A_국토부원자료'!$A$4:$T$4,0)),"")</f>
        <v/>
      </c>
      <c r="M1832" s="48">
        <f>IFERROR(INDEX('04A_국토부원자료'!$A:$T,ROW()+1,MATCH("거래유형",'04A_국토부원자료'!$A$4:$T$4,0)),"")</f>
        <v/>
      </c>
      <c r="N1832" s="152">
        <f>IF(B1832="","",IF('02_대상물건입력'!B5="",1,IF(ISNUMBER(SEARCH('02_대상물건입력'!B5,B1832)),1,0)))</f>
        <v/>
      </c>
      <c r="O1832" s="152">
        <f>IF(B1832="","",IF('02_대상물건입력'!B6="",1,IF(ISNUMBER(SEARCH('02_대상물건입력'!B6,B1832)),1,0)))</f>
        <v/>
      </c>
      <c r="P1832" s="152">
        <f>IF(L1832="","",IF('02_대상물건입력'!B15="",0,IF(ISNUMBER(SEARCH('02_대상물건입력'!B15,L1832)),1,0)))</f>
        <v/>
      </c>
      <c r="Q1832" s="152">
        <f>IF(OR(C1832="",L1832=""),0,IF(AND(TRIM(C1832)=TRIM(RIGHT(SUBSTITUTE(TRIM('02_대상물건입력'!$B$7)," ",REPT(" ",99)),99)),IF('02_대상물건입력'!B15="",TRUE(),ISNUMBER(SEARCH('02_대상물건입력'!B15,L1832)))),1,0))</f>
        <v/>
      </c>
      <c r="R1832" s="175">
        <f>IFERROR(ABS(E1832-'02_대상물건입력'!B11)/'02_대상물건입력'!B11,"")</f>
        <v/>
      </c>
      <c r="S1832" s="152">
        <f>IFERROR(ABS(J1832-'02_대상물건입력'!B10),"")</f>
        <v/>
      </c>
      <c r="T1832" s="152">
        <f>IFERROR(ABS('01_설정'!B4-F1832),"")</f>
        <v/>
      </c>
      <c r="U1832" s="152">
        <f>IFERROR(ABS(K1832-YEAR('02_대상물건입력'!B14)),"")</f>
        <v/>
      </c>
      <c r="V1832" s="152">
        <f>IF(B1832="","",IF(AND(E1832&gt;0,F1832&gt;0,H1832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1832=1,TRUE()),R1832&lt;='01_설정'!B5,S1832&lt;='01_설정'!B6,T1832&lt;='01_설정'!B7,U1832&lt;='01_설정'!B8),"Y",""))</f>
        <v/>
      </c>
      <c r="W1832" s="172">
        <f>IF(V1832&lt;&gt;"Y","",MAX(0,(1-R1832/'01_설정'!B5))*'01_설정'!B14+MAX(0,(1-S1832/'01_설정'!B6))*'01_설정'!B15+MAX(0,(1-T1832/'01_설정'!B7))*'01_설정'!B16+MAX(0,(1-U1832/'01_설정'!B8))*'01_설정'!B17+O1832*'01_설정'!B11+Q1832*'01_설정'!B12+P1832*'01_설정'!B13+IF(Z1832="",0,Z1832))</f>
        <v/>
      </c>
      <c r="X1832" s="152">
        <f>IF(W1832="","",1+COUNTIFS($W$4:$W$3003,"&gt;"&amp;W1832)+COUNTIFS($W$4:W1832,W1832)-1)</f>
        <v/>
      </c>
      <c r="Y1832" s="175">
        <f>IF(OR(I1832="",'02_대상물건입력'!B19="",'02_대상물건입력'!B19&lt;=0),"",ABS(I1832-'02_대상물건입력'!B19)/'02_대상물건입력'!B19)</f>
        <v/>
      </c>
      <c r="Z1832" s="172">
        <f>IF(OR(Y1832="",'01_설정'!B31="",'01_설정'!B31&lt;=0,'01_설정'!B32="",'01_설정'!B32&lt;=0),"",MAX(0,(1-Y1832/'01_설정'!B32))*'01_설정'!B31)</f>
        <v/>
      </c>
    </row>
    <row r="1833" ht="17.25" customHeight="1">
      <c r="A1833" s="152">
        <f>IF(INDEX('04A_국토부원자료'!$A:$A,ROW()+1)="","",ROW()-3)</f>
        <v/>
      </c>
      <c r="B1833" s="48">
        <f>IFERROR(INDEX('04A_국토부원자료'!$A:$T,ROW()+1,MATCH("시군구",'04A_국토부원자료'!$A$4:$T$4,0)),"")</f>
        <v/>
      </c>
      <c r="C1833" s="48">
        <f>IF(B1833="","",IFERROR(INDEX('04A_국토부원자료'!$A:$T,ROW()+1,MATCH("번지",'04A_국토부원자료'!$A$4:$T$4,0)),""))</f>
        <v/>
      </c>
      <c r="D1833" s="48">
        <f>IF(B1833="","",IF(Q1833=1,'02_대상물건입력'!$B$8,IFERROR(INDEX('04A_국토부원자료'!$A:$T,ROW()+1,MATCH("단지명",'04A_국토부원자료'!$A$4:$T$4,0)),"")))</f>
        <v/>
      </c>
      <c r="E1833" s="172">
        <f>IFERROR(VALUE(SUBSTITUTE(INDEX('04A_국토부원자료'!$A:$T,ROW()+1,MATCH("전용면적(㎡)",'04A_국토부원자료'!$A$4:$T$4,0)),",","")),"")</f>
        <v/>
      </c>
      <c r="F18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33" s="51">
        <f>IFERROR(VALUE(SUBSTITUTE(INDEX('04A_국토부원자료'!$A:$T,ROW()+1,MATCH("거래금액(만원)",'04A_국토부원자료'!$A$4:$T$4,0)),",","")),"")</f>
        <v/>
      </c>
      <c r="H1833" s="174">
        <f>IF(G1833="","",G1833*10000)</f>
        <v/>
      </c>
      <c r="I1833" s="174">
        <f>IFERROR(IF(AND(H1833&gt;0,E1833&gt;0),H1833/E1833,""),"")</f>
        <v/>
      </c>
      <c r="J1833" s="152">
        <f>IFERROR(VALUE(SUBSTITUTE(INDEX('04A_국토부원자료'!$A:$T,ROW()+1,MATCH("층",'04A_국토부원자료'!$A$4:$T$4,0)),",","")),"")</f>
        <v/>
      </c>
      <c r="K1833" s="152">
        <f>IFERROR(VALUE(SUBSTITUTE(INDEX('04A_국토부원자료'!$A:$T,ROW()+1,MATCH("건축년도",'04A_국토부원자료'!$A$4:$T$4,0)),",","")),"")</f>
        <v/>
      </c>
      <c r="L1833" s="176">
        <f>IFERROR(INDEX('04A_국토부원자료'!$A:$T,ROW()+1,MATCH("도로명",'04A_국토부원자료'!$A$4:$T$4,0)),"")</f>
        <v/>
      </c>
      <c r="M1833" s="48">
        <f>IFERROR(INDEX('04A_국토부원자료'!$A:$T,ROW()+1,MATCH("거래유형",'04A_국토부원자료'!$A$4:$T$4,0)),"")</f>
        <v/>
      </c>
      <c r="N1833" s="152">
        <f>IF(B1833="","",IF('02_대상물건입력'!B5="",1,IF(ISNUMBER(SEARCH('02_대상물건입력'!B5,B1833)),1,0)))</f>
        <v/>
      </c>
      <c r="O1833" s="152">
        <f>IF(B1833="","",IF('02_대상물건입력'!B6="",1,IF(ISNUMBER(SEARCH('02_대상물건입력'!B6,B1833)),1,0)))</f>
        <v/>
      </c>
      <c r="P1833" s="152">
        <f>IF(L1833="","",IF('02_대상물건입력'!B15="",0,IF(ISNUMBER(SEARCH('02_대상물건입력'!B15,L1833)),1,0)))</f>
        <v/>
      </c>
      <c r="Q1833" s="152">
        <f>IF(OR(C1833="",L1833=""),0,IF(AND(TRIM(C1833)=TRIM(RIGHT(SUBSTITUTE(TRIM('02_대상물건입력'!$B$7)," ",REPT(" ",99)),99)),IF('02_대상물건입력'!B15="",TRUE(),ISNUMBER(SEARCH('02_대상물건입력'!B15,L1833)))),1,0))</f>
        <v/>
      </c>
      <c r="R1833" s="175">
        <f>IFERROR(ABS(E1833-'02_대상물건입력'!B11)/'02_대상물건입력'!B11,"")</f>
        <v/>
      </c>
      <c r="S1833" s="152">
        <f>IFERROR(ABS(J1833-'02_대상물건입력'!B10),"")</f>
        <v/>
      </c>
      <c r="T1833" s="152">
        <f>IFERROR(ABS('01_설정'!B4-F1833),"")</f>
        <v/>
      </c>
      <c r="U1833" s="152">
        <f>IFERROR(ABS(K1833-YEAR('02_대상물건입력'!B14)),"")</f>
        <v/>
      </c>
      <c r="V1833" s="152">
        <f>IF(B1833="","",IF(AND(E1833&gt;0,F1833&gt;0,H1833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1833=1,TRUE()),R1833&lt;='01_설정'!B5,S1833&lt;='01_설정'!B6,T1833&lt;='01_설정'!B7,U1833&lt;='01_설정'!B8),"Y",""))</f>
        <v/>
      </c>
      <c r="W1833" s="172">
        <f>IF(V1833&lt;&gt;"Y","",MAX(0,(1-R1833/'01_설정'!B5))*'01_설정'!B14+MAX(0,(1-S1833/'01_설정'!B6))*'01_설정'!B15+MAX(0,(1-T1833/'01_설정'!B7))*'01_설정'!B16+MAX(0,(1-U1833/'01_설정'!B8))*'01_설정'!B17+O1833*'01_설정'!B11+Q1833*'01_설정'!B12+P1833*'01_설정'!B13+IF(Z1833="",0,Z1833))</f>
        <v/>
      </c>
      <c r="X1833" s="152">
        <f>IF(W1833="","",1+COUNTIFS($W$4:$W$3003,"&gt;"&amp;W1833)+COUNTIFS($W$4:W1833,W1833)-1)</f>
        <v/>
      </c>
      <c r="Y1833" s="175">
        <f>IF(OR(I1833="",'02_대상물건입력'!B19="",'02_대상물건입력'!B19&lt;=0),"",ABS(I1833-'02_대상물건입력'!B19)/'02_대상물건입력'!B19)</f>
        <v/>
      </c>
      <c r="Z1833" s="172">
        <f>IF(OR(Y1833="",'01_설정'!B31="",'01_설정'!B31&lt;=0,'01_설정'!B32="",'01_설정'!B32&lt;=0),"",MAX(0,(1-Y1833/'01_설정'!B32))*'01_설정'!B31)</f>
        <v/>
      </c>
    </row>
    <row r="1834" ht="17.25" customHeight="1">
      <c r="A1834" s="152">
        <f>IF(INDEX('04A_국토부원자료'!$A:$A,ROW()+1)="","",ROW()-3)</f>
        <v/>
      </c>
      <c r="B1834" s="48">
        <f>IFERROR(INDEX('04A_국토부원자료'!$A:$T,ROW()+1,MATCH("시군구",'04A_국토부원자료'!$A$4:$T$4,0)),"")</f>
        <v/>
      </c>
      <c r="C1834" s="48">
        <f>IF(B1834="","",IFERROR(INDEX('04A_국토부원자료'!$A:$T,ROW()+1,MATCH("번지",'04A_국토부원자료'!$A$4:$T$4,0)),""))</f>
        <v/>
      </c>
      <c r="D1834" s="48">
        <f>IF(B1834="","",IF(Q1834=1,'02_대상물건입력'!$B$8,IFERROR(INDEX('04A_국토부원자료'!$A:$T,ROW()+1,MATCH("단지명",'04A_국토부원자료'!$A$4:$T$4,0)),"")))</f>
        <v/>
      </c>
      <c r="E1834" s="172">
        <f>IFERROR(VALUE(SUBSTITUTE(INDEX('04A_국토부원자료'!$A:$T,ROW()+1,MATCH("전용면적(㎡)",'04A_국토부원자료'!$A$4:$T$4,0)),",","")),"")</f>
        <v/>
      </c>
      <c r="F18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34" s="51">
        <f>IFERROR(VALUE(SUBSTITUTE(INDEX('04A_국토부원자료'!$A:$T,ROW()+1,MATCH("거래금액(만원)",'04A_국토부원자료'!$A$4:$T$4,0)),",","")),"")</f>
        <v/>
      </c>
      <c r="H1834" s="174">
        <f>IF(G1834="","",G1834*10000)</f>
        <v/>
      </c>
      <c r="I1834" s="174">
        <f>IFERROR(IF(AND(H1834&gt;0,E1834&gt;0),H1834/E1834,""),"")</f>
        <v/>
      </c>
      <c r="J1834" s="152">
        <f>IFERROR(VALUE(SUBSTITUTE(INDEX('04A_국토부원자료'!$A:$T,ROW()+1,MATCH("층",'04A_국토부원자료'!$A$4:$T$4,0)),",","")),"")</f>
        <v/>
      </c>
      <c r="K1834" s="152">
        <f>IFERROR(VALUE(SUBSTITUTE(INDEX('04A_국토부원자료'!$A:$T,ROW()+1,MATCH("건축년도",'04A_국토부원자료'!$A$4:$T$4,0)),",","")),"")</f>
        <v/>
      </c>
      <c r="L1834" s="176">
        <f>IFERROR(INDEX('04A_국토부원자료'!$A:$T,ROW()+1,MATCH("도로명",'04A_국토부원자료'!$A$4:$T$4,0)),"")</f>
        <v/>
      </c>
      <c r="M1834" s="48">
        <f>IFERROR(INDEX('04A_국토부원자료'!$A:$T,ROW()+1,MATCH("거래유형",'04A_국토부원자료'!$A$4:$T$4,0)),"")</f>
        <v/>
      </c>
      <c r="N1834" s="152">
        <f>IF(B1834="","",IF('02_대상물건입력'!B5="",1,IF(ISNUMBER(SEARCH('02_대상물건입력'!B5,B1834)),1,0)))</f>
        <v/>
      </c>
      <c r="O1834" s="152">
        <f>IF(B1834="","",IF('02_대상물건입력'!B6="",1,IF(ISNUMBER(SEARCH('02_대상물건입력'!B6,B1834)),1,0)))</f>
        <v/>
      </c>
      <c r="P1834" s="152">
        <f>IF(L1834="","",IF('02_대상물건입력'!B15="",0,IF(ISNUMBER(SEARCH('02_대상물건입력'!B15,L1834)),1,0)))</f>
        <v/>
      </c>
      <c r="Q1834" s="152">
        <f>IF(OR(C1834="",L1834=""),0,IF(AND(TRIM(C1834)=TRIM(RIGHT(SUBSTITUTE(TRIM('02_대상물건입력'!$B$7)," ",REPT(" ",99)),99)),IF('02_대상물건입력'!B15="",TRUE(),ISNUMBER(SEARCH('02_대상물건입력'!B15,L1834)))),1,0))</f>
        <v/>
      </c>
      <c r="R1834" s="175">
        <f>IFERROR(ABS(E1834-'02_대상물건입력'!B11)/'02_대상물건입력'!B11,"")</f>
        <v/>
      </c>
      <c r="S1834" s="152">
        <f>IFERROR(ABS(J1834-'02_대상물건입력'!B10),"")</f>
        <v/>
      </c>
      <c r="T1834" s="152">
        <f>IFERROR(ABS('01_설정'!B4-F1834),"")</f>
        <v/>
      </c>
      <c r="U1834" s="152">
        <f>IFERROR(ABS(K1834-YEAR('02_대상물건입력'!B14)),"")</f>
        <v/>
      </c>
      <c r="V1834" s="152">
        <f>IF(B1834="","",IF(AND(E1834&gt;0,F1834&gt;0,H1834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1834=1,TRUE()),R1834&lt;='01_설정'!B5,S1834&lt;='01_설정'!B6,T1834&lt;='01_설정'!B7,U1834&lt;='01_설정'!B8),"Y",""))</f>
        <v/>
      </c>
      <c r="W1834" s="172">
        <f>IF(V1834&lt;&gt;"Y","",MAX(0,(1-R1834/'01_설정'!B5))*'01_설정'!B14+MAX(0,(1-S1834/'01_설정'!B6))*'01_설정'!B15+MAX(0,(1-T1834/'01_설정'!B7))*'01_설정'!B16+MAX(0,(1-U1834/'01_설정'!B8))*'01_설정'!B17+O1834*'01_설정'!B11+Q1834*'01_설정'!B12+P1834*'01_설정'!B13+IF(Z1834="",0,Z1834))</f>
        <v/>
      </c>
      <c r="X1834" s="152">
        <f>IF(W1834="","",1+COUNTIFS($W$4:$W$3003,"&gt;"&amp;W1834)+COUNTIFS($W$4:W1834,W1834)-1)</f>
        <v/>
      </c>
      <c r="Y1834" s="175">
        <f>IF(OR(I1834="",'02_대상물건입력'!B19="",'02_대상물건입력'!B19&lt;=0),"",ABS(I1834-'02_대상물건입력'!B19)/'02_대상물건입력'!B19)</f>
        <v/>
      </c>
      <c r="Z1834" s="172">
        <f>IF(OR(Y1834="",'01_설정'!B31="",'01_설정'!B31&lt;=0,'01_설정'!B32="",'01_설정'!B32&lt;=0),"",MAX(0,(1-Y1834/'01_설정'!B32))*'01_설정'!B31)</f>
        <v/>
      </c>
    </row>
    <row r="1835" ht="17.25" customHeight="1">
      <c r="A1835" s="152">
        <f>IF(INDEX('04A_국토부원자료'!$A:$A,ROW()+1)="","",ROW()-3)</f>
        <v/>
      </c>
      <c r="B1835" s="48">
        <f>IFERROR(INDEX('04A_국토부원자료'!$A:$T,ROW()+1,MATCH("시군구",'04A_국토부원자료'!$A$4:$T$4,0)),"")</f>
        <v/>
      </c>
      <c r="C1835" s="48">
        <f>IF(B1835="","",IFERROR(INDEX('04A_국토부원자료'!$A:$T,ROW()+1,MATCH("번지",'04A_국토부원자료'!$A$4:$T$4,0)),""))</f>
        <v/>
      </c>
      <c r="D1835" s="48">
        <f>IF(B1835="","",IF(Q1835=1,'02_대상물건입력'!$B$8,IFERROR(INDEX('04A_국토부원자료'!$A:$T,ROW()+1,MATCH("단지명",'04A_국토부원자료'!$A$4:$T$4,0)),"")))</f>
        <v/>
      </c>
      <c r="E1835" s="172">
        <f>IFERROR(VALUE(SUBSTITUTE(INDEX('04A_국토부원자료'!$A:$T,ROW()+1,MATCH("전용면적(㎡)",'04A_국토부원자료'!$A$4:$T$4,0)),",","")),"")</f>
        <v/>
      </c>
      <c r="F18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35" s="51">
        <f>IFERROR(VALUE(SUBSTITUTE(INDEX('04A_국토부원자료'!$A:$T,ROW()+1,MATCH("거래금액(만원)",'04A_국토부원자료'!$A$4:$T$4,0)),",","")),"")</f>
        <v/>
      </c>
      <c r="H1835" s="174">
        <f>IF(G1835="","",G1835*10000)</f>
        <v/>
      </c>
      <c r="I1835" s="174">
        <f>IFERROR(IF(AND(H1835&gt;0,E1835&gt;0),H1835/E1835,""),"")</f>
        <v/>
      </c>
      <c r="J1835" s="152">
        <f>IFERROR(VALUE(SUBSTITUTE(INDEX('04A_국토부원자료'!$A:$T,ROW()+1,MATCH("층",'04A_국토부원자료'!$A$4:$T$4,0)),",","")),"")</f>
        <v/>
      </c>
      <c r="K1835" s="152">
        <f>IFERROR(VALUE(SUBSTITUTE(INDEX('04A_국토부원자료'!$A:$T,ROW()+1,MATCH("건축년도",'04A_국토부원자료'!$A$4:$T$4,0)),",","")),"")</f>
        <v/>
      </c>
      <c r="L1835" s="176">
        <f>IFERROR(INDEX('04A_국토부원자료'!$A:$T,ROW()+1,MATCH("도로명",'04A_국토부원자료'!$A$4:$T$4,0)),"")</f>
        <v/>
      </c>
      <c r="M1835" s="48">
        <f>IFERROR(INDEX('04A_국토부원자료'!$A:$T,ROW()+1,MATCH("거래유형",'04A_국토부원자료'!$A$4:$T$4,0)),"")</f>
        <v/>
      </c>
      <c r="N1835" s="152">
        <f>IF(B1835="","",IF('02_대상물건입력'!B5="",1,IF(ISNUMBER(SEARCH('02_대상물건입력'!B5,B1835)),1,0)))</f>
        <v/>
      </c>
      <c r="O1835" s="152">
        <f>IF(B1835="","",IF('02_대상물건입력'!B6="",1,IF(ISNUMBER(SEARCH('02_대상물건입력'!B6,B1835)),1,0)))</f>
        <v/>
      </c>
      <c r="P1835" s="152">
        <f>IF(L1835="","",IF('02_대상물건입력'!B15="",0,IF(ISNUMBER(SEARCH('02_대상물건입력'!B15,L1835)),1,0)))</f>
        <v/>
      </c>
      <c r="Q1835" s="152">
        <f>IF(OR(C1835="",L1835=""),0,IF(AND(TRIM(C1835)=TRIM(RIGHT(SUBSTITUTE(TRIM('02_대상물건입력'!$B$7)," ",REPT(" ",99)),99)),IF('02_대상물건입력'!B15="",TRUE(),ISNUMBER(SEARCH('02_대상물건입력'!B15,L1835)))),1,0))</f>
        <v/>
      </c>
      <c r="R1835" s="175">
        <f>IFERROR(ABS(E1835-'02_대상물건입력'!B11)/'02_대상물건입력'!B11,"")</f>
        <v/>
      </c>
      <c r="S1835" s="152">
        <f>IFERROR(ABS(J1835-'02_대상물건입력'!B10),"")</f>
        <v/>
      </c>
      <c r="T1835" s="152">
        <f>IFERROR(ABS('01_설정'!B4-F1835),"")</f>
        <v/>
      </c>
      <c r="U1835" s="152">
        <f>IFERROR(ABS(K1835-YEAR('02_대상물건입력'!B14)),"")</f>
        <v/>
      </c>
      <c r="V1835" s="152">
        <f>IF(B1835="","",IF(AND(E1835&gt;0,F1835&gt;0,H1835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1835=1,TRUE()),R1835&lt;='01_설정'!B5,S1835&lt;='01_설정'!B6,T1835&lt;='01_설정'!B7,U1835&lt;='01_설정'!B8),"Y",""))</f>
        <v/>
      </c>
      <c r="W1835" s="172">
        <f>IF(V1835&lt;&gt;"Y","",MAX(0,(1-R1835/'01_설정'!B5))*'01_설정'!B14+MAX(0,(1-S1835/'01_설정'!B6))*'01_설정'!B15+MAX(0,(1-T1835/'01_설정'!B7))*'01_설정'!B16+MAX(0,(1-U1835/'01_설정'!B8))*'01_설정'!B17+O1835*'01_설정'!B11+Q1835*'01_설정'!B12+P1835*'01_설정'!B13+IF(Z1835="",0,Z1835))</f>
        <v/>
      </c>
      <c r="X1835" s="152">
        <f>IF(W1835="","",1+COUNTIFS($W$4:$W$3003,"&gt;"&amp;W1835)+COUNTIFS($W$4:W1835,W1835)-1)</f>
        <v/>
      </c>
      <c r="Y1835" s="175">
        <f>IF(OR(I1835="",'02_대상물건입력'!B19="",'02_대상물건입력'!B19&lt;=0),"",ABS(I1835-'02_대상물건입력'!B19)/'02_대상물건입력'!B19)</f>
        <v/>
      </c>
      <c r="Z1835" s="172">
        <f>IF(OR(Y1835="",'01_설정'!B31="",'01_설정'!B31&lt;=0,'01_설정'!B32="",'01_설정'!B32&lt;=0),"",MAX(0,(1-Y1835/'01_설정'!B32))*'01_설정'!B31)</f>
        <v/>
      </c>
    </row>
    <row r="1836" ht="17.25" customHeight="1">
      <c r="A1836" s="152">
        <f>IF(INDEX('04A_국토부원자료'!$A:$A,ROW()+1)="","",ROW()-3)</f>
        <v/>
      </c>
      <c r="B1836" s="48">
        <f>IFERROR(INDEX('04A_국토부원자료'!$A:$T,ROW()+1,MATCH("시군구",'04A_국토부원자료'!$A$4:$T$4,0)),"")</f>
        <v/>
      </c>
      <c r="C1836" s="48">
        <f>IF(B1836="","",IFERROR(INDEX('04A_국토부원자료'!$A:$T,ROW()+1,MATCH("번지",'04A_국토부원자료'!$A$4:$T$4,0)),""))</f>
        <v/>
      </c>
      <c r="D1836" s="48">
        <f>IF(B1836="","",IF(Q1836=1,'02_대상물건입력'!$B$8,IFERROR(INDEX('04A_국토부원자료'!$A:$T,ROW()+1,MATCH("단지명",'04A_국토부원자료'!$A$4:$T$4,0)),"")))</f>
        <v/>
      </c>
      <c r="E1836" s="172">
        <f>IFERROR(VALUE(SUBSTITUTE(INDEX('04A_국토부원자료'!$A:$T,ROW()+1,MATCH("전용면적(㎡)",'04A_국토부원자료'!$A$4:$T$4,0)),",","")),"")</f>
        <v/>
      </c>
      <c r="F18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36" s="51">
        <f>IFERROR(VALUE(SUBSTITUTE(INDEX('04A_국토부원자료'!$A:$T,ROW()+1,MATCH("거래금액(만원)",'04A_국토부원자료'!$A$4:$T$4,0)),",","")),"")</f>
        <v/>
      </c>
      <c r="H1836" s="174">
        <f>IF(G1836="","",G1836*10000)</f>
        <v/>
      </c>
      <c r="I1836" s="174">
        <f>IFERROR(IF(AND(H1836&gt;0,E1836&gt;0),H1836/E1836,""),"")</f>
        <v/>
      </c>
      <c r="J1836" s="152">
        <f>IFERROR(VALUE(SUBSTITUTE(INDEX('04A_국토부원자료'!$A:$T,ROW()+1,MATCH("층",'04A_국토부원자료'!$A$4:$T$4,0)),",","")),"")</f>
        <v/>
      </c>
      <c r="K1836" s="152">
        <f>IFERROR(VALUE(SUBSTITUTE(INDEX('04A_국토부원자료'!$A:$T,ROW()+1,MATCH("건축년도",'04A_국토부원자료'!$A$4:$T$4,0)),",","")),"")</f>
        <v/>
      </c>
      <c r="L1836" s="176">
        <f>IFERROR(INDEX('04A_국토부원자료'!$A:$T,ROW()+1,MATCH("도로명",'04A_국토부원자료'!$A$4:$T$4,0)),"")</f>
        <v/>
      </c>
      <c r="M1836" s="48">
        <f>IFERROR(INDEX('04A_국토부원자료'!$A:$T,ROW()+1,MATCH("거래유형",'04A_국토부원자료'!$A$4:$T$4,0)),"")</f>
        <v/>
      </c>
      <c r="N1836" s="152">
        <f>IF(B1836="","",IF('02_대상물건입력'!B5="",1,IF(ISNUMBER(SEARCH('02_대상물건입력'!B5,B1836)),1,0)))</f>
        <v/>
      </c>
      <c r="O1836" s="152">
        <f>IF(B1836="","",IF('02_대상물건입력'!B6="",1,IF(ISNUMBER(SEARCH('02_대상물건입력'!B6,B1836)),1,0)))</f>
        <v/>
      </c>
      <c r="P1836" s="152">
        <f>IF(L1836="","",IF('02_대상물건입력'!B15="",0,IF(ISNUMBER(SEARCH('02_대상물건입력'!B15,L1836)),1,0)))</f>
        <v/>
      </c>
      <c r="Q1836" s="152">
        <f>IF(OR(C1836="",L1836=""),0,IF(AND(TRIM(C1836)=TRIM(RIGHT(SUBSTITUTE(TRIM('02_대상물건입력'!$B$7)," ",REPT(" ",99)),99)),IF('02_대상물건입력'!B15="",TRUE(),ISNUMBER(SEARCH('02_대상물건입력'!B15,L1836)))),1,0))</f>
        <v/>
      </c>
      <c r="R1836" s="175">
        <f>IFERROR(ABS(E1836-'02_대상물건입력'!B11)/'02_대상물건입력'!B11,"")</f>
        <v/>
      </c>
      <c r="S1836" s="152">
        <f>IFERROR(ABS(J1836-'02_대상물건입력'!B10),"")</f>
        <v/>
      </c>
      <c r="T1836" s="152">
        <f>IFERROR(ABS('01_설정'!B4-F1836),"")</f>
        <v/>
      </c>
      <c r="U1836" s="152">
        <f>IFERROR(ABS(K1836-YEAR('02_대상물건입력'!B14)),"")</f>
        <v/>
      </c>
      <c r="V1836" s="152">
        <f>IF(B1836="","",IF(AND(E1836&gt;0,F1836&gt;0,H1836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1836=1,TRUE()),R1836&lt;='01_설정'!B5,S1836&lt;='01_설정'!B6,T1836&lt;='01_설정'!B7,U1836&lt;='01_설정'!B8),"Y",""))</f>
        <v/>
      </c>
      <c r="W1836" s="172">
        <f>IF(V1836&lt;&gt;"Y","",MAX(0,(1-R1836/'01_설정'!B5))*'01_설정'!B14+MAX(0,(1-S1836/'01_설정'!B6))*'01_설정'!B15+MAX(0,(1-T1836/'01_설정'!B7))*'01_설정'!B16+MAX(0,(1-U1836/'01_설정'!B8))*'01_설정'!B17+O1836*'01_설정'!B11+Q1836*'01_설정'!B12+P1836*'01_설정'!B13+IF(Z1836="",0,Z1836))</f>
        <v/>
      </c>
      <c r="X1836" s="152">
        <f>IF(W1836="","",1+COUNTIFS($W$4:$W$3003,"&gt;"&amp;W1836)+COUNTIFS($W$4:W1836,W1836)-1)</f>
        <v/>
      </c>
      <c r="Y1836" s="175">
        <f>IF(OR(I1836="",'02_대상물건입력'!B19="",'02_대상물건입력'!B19&lt;=0),"",ABS(I1836-'02_대상물건입력'!B19)/'02_대상물건입력'!B19)</f>
        <v/>
      </c>
      <c r="Z1836" s="172">
        <f>IF(OR(Y1836="",'01_설정'!B31="",'01_설정'!B31&lt;=0,'01_설정'!B32="",'01_설정'!B32&lt;=0),"",MAX(0,(1-Y1836/'01_설정'!B32))*'01_설정'!B31)</f>
        <v/>
      </c>
    </row>
    <row r="1837" ht="17.25" customHeight="1">
      <c r="A1837" s="152">
        <f>IF(INDEX('04A_국토부원자료'!$A:$A,ROW()+1)="","",ROW()-3)</f>
        <v/>
      </c>
      <c r="B1837" s="48">
        <f>IFERROR(INDEX('04A_국토부원자료'!$A:$T,ROW()+1,MATCH("시군구",'04A_국토부원자료'!$A$4:$T$4,0)),"")</f>
        <v/>
      </c>
      <c r="C1837" s="48">
        <f>IF(B1837="","",IFERROR(INDEX('04A_국토부원자료'!$A:$T,ROW()+1,MATCH("번지",'04A_국토부원자료'!$A$4:$T$4,0)),""))</f>
        <v/>
      </c>
      <c r="D1837" s="48">
        <f>IF(B1837="","",IF(Q1837=1,'02_대상물건입력'!$B$8,IFERROR(INDEX('04A_국토부원자료'!$A:$T,ROW()+1,MATCH("단지명",'04A_국토부원자료'!$A$4:$T$4,0)),"")))</f>
        <v/>
      </c>
      <c r="E1837" s="172">
        <f>IFERROR(VALUE(SUBSTITUTE(INDEX('04A_국토부원자료'!$A:$T,ROW()+1,MATCH("전용면적(㎡)",'04A_국토부원자료'!$A$4:$T$4,0)),",","")),"")</f>
        <v/>
      </c>
      <c r="F18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37" s="51">
        <f>IFERROR(VALUE(SUBSTITUTE(INDEX('04A_국토부원자료'!$A:$T,ROW()+1,MATCH("거래금액(만원)",'04A_국토부원자료'!$A$4:$T$4,0)),",","")),"")</f>
        <v/>
      </c>
      <c r="H1837" s="174">
        <f>IF(G1837="","",G1837*10000)</f>
        <v/>
      </c>
      <c r="I1837" s="174">
        <f>IFERROR(IF(AND(H1837&gt;0,E1837&gt;0),H1837/E1837,""),"")</f>
        <v/>
      </c>
      <c r="J1837" s="152">
        <f>IFERROR(VALUE(SUBSTITUTE(INDEX('04A_국토부원자료'!$A:$T,ROW()+1,MATCH("층",'04A_국토부원자료'!$A$4:$T$4,0)),",","")),"")</f>
        <v/>
      </c>
      <c r="K1837" s="152">
        <f>IFERROR(VALUE(SUBSTITUTE(INDEX('04A_국토부원자료'!$A:$T,ROW()+1,MATCH("건축년도",'04A_국토부원자료'!$A$4:$T$4,0)),",","")),"")</f>
        <v/>
      </c>
      <c r="L1837" s="176">
        <f>IFERROR(INDEX('04A_국토부원자료'!$A:$T,ROW()+1,MATCH("도로명",'04A_국토부원자료'!$A$4:$T$4,0)),"")</f>
        <v/>
      </c>
      <c r="M1837" s="48">
        <f>IFERROR(INDEX('04A_국토부원자료'!$A:$T,ROW()+1,MATCH("거래유형",'04A_국토부원자료'!$A$4:$T$4,0)),"")</f>
        <v/>
      </c>
      <c r="N1837" s="152">
        <f>IF(B1837="","",IF('02_대상물건입력'!B5="",1,IF(ISNUMBER(SEARCH('02_대상물건입력'!B5,B1837)),1,0)))</f>
        <v/>
      </c>
      <c r="O1837" s="152">
        <f>IF(B1837="","",IF('02_대상물건입력'!B6="",1,IF(ISNUMBER(SEARCH('02_대상물건입력'!B6,B1837)),1,0)))</f>
        <v/>
      </c>
      <c r="P1837" s="152">
        <f>IF(L1837="","",IF('02_대상물건입력'!B15="",0,IF(ISNUMBER(SEARCH('02_대상물건입력'!B15,L1837)),1,0)))</f>
        <v/>
      </c>
      <c r="Q1837" s="152">
        <f>IF(OR(C1837="",L1837=""),0,IF(AND(TRIM(C1837)=TRIM(RIGHT(SUBSTITUTE(TRIM('02_대상물건입력'!$B$7)," ",REPT(" ",99)),99)),IF('02_대상물건입력'!B15="",TRUE(),ISNUMBER(SEARCH('02_대상물건입력'!B15,L1837)))),1,0))</f>
        <v/>
      </c>
      <c r="R1837" s="175">
        <f>IFERROR(ABS(E1837-'02_대상물건입력'!B11)/'02_대상물건입력'!B11,"")</f>
        <v/>
      </c>
      <c r="S1837" s="152">
        <f>IFERROR(ABS(J1837-'02_대상물건입력'!B10),"")</f>
        <v/>
      </c>
      <c r="T1837" s="152">
        <f>IFERROR(ABS('01_설정'!B4-F1837),"")</f>
        <v/>
      </c>
      <c r="U1837" s="152">
        <f>IFERROR(ABS(K1837-YEAR('02_대상물건입력'!B14)),"")</f>
        <v/>
      </c>
      <c r="V1837" s="152">
        <f>IF(B1837="","",IF(AND(E1837&gt;0,F1837&gt;0,H1837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1837=1,TRUE()),R1837&lt;='01_설정'!B5,S1837&lt;='01_설정'!B6,T1837&lt;='01_설정'!B7,U1837&lt;='01_설정'!B8),"Y",""))</f>
        <v/>
      </c>
      <c r="W1837" s="172">
        <f>IF(V1837&lt;&gt;"Y","",MAX(0,(1-R1837/'01_설정'!B5))*'01_설정'!B14+MAX(0,(1-S1837/'01_설정'!B6))*'01_설정'!B15+MAX(0,(1-T1837/'01_설정'!B7))*'01_설정'!B16+MAX(0,(1-U1837/'01_설정'!B8))*'01_설정'!B17+O1837*'01_설정'!B11+Q1837*'01_설정'!B12+P1837*'01_설정'!B13+IF(Z1837="",0,Z1837))</f>
        <v/>
      </c>
      <c r="X1837" s="152">
        <f>IF(W1837="","",1+COUNTIFS($W$4:$W$3003,"&gt;"&amp;W1837)+COUNTIFS($W$4:W1837,W1837)-1)</f>
        <v/>
      </c>
      <c r="Y1837" s="175">
        <f>IF(OR(I1837="",'02_대상물건입력'!B19="",'02_대상물건입력'!B19&lt;=0),"",ABS(I1837-'02_대상물건입력'!B19)/'02_대상물건입력'!B19)</f>
        <v/>
      </c>
      <c r="Z1837" s="172">
        <f>IF(OR(Y1837="",'01_설정'!B31="",'01_설정'!B31&lt;=0,'01_설정'!B32="",'01_설정'!B32&lt;=0),"",MAX(0,(1-Y1837/'01_설정'!B32))*'01_설정'!B31)</f>
        <v/>
      </c>
    </row>
    <row r="1838" ht="17.25" customHeight="1">
      <c r="A1838" s="152">
        <f>IF(INDEX('04A_국토부원자료'!$A:$A,ROW()+1)="","",ROW()-3)</f>
        <v/>
      </c>
      <c r="B1838" s="48">
        <f>IFERROR(INDEX('04A_국토부원자료'!$A:$T,ROW()+1,MATCH("시군구",'04A_국토부원자료'!$A$4:$T$4,0)),"")</f>
        <v/>
      </c>
      <c r="C1838" s="48">
        <f>IF(B1838="","",IFERROR(INDEX('04A_국토부원자료'!$A:$T,ROW()+1,MATCH("번지",'04A_국토부원자료'!$A$4:$T$4,0)),""))</f>
        <v/>
      </c>
      <c r="D1838" s="48">
        <f>IF(B1838="","",IF(Q1838=1,'02_대상물건입력'!$B$8,IFERROR(INDEX('04A_국토부원자료'!$A:$T,ROW()+1,MATCH("단지명",'04A_국토부원자료'!$A$4:$T$4,0)),"")))</f>
        <v/>
      </c>
      <c r="E1838" s="172">
        <f>IFERROR(VALUE(SUBSTITUTE(INDEX('04A_국토부원자료'!$A:$T,ROW()+1,MATCH("전용면적(㎡)",'04A_국토부원자료'!$A$4:$T$4,0)),",","")),"")</f>
        <v/>
      </c>
      <c r="F18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38" s="51">
        <f>IFERROR(VALUE(SUBSTITUTE(INDEX('04A_국토부원자료'!$A:$T,ROW()+1,MATCH("거래금액(만원)",'04A_국토부원자료'!$A$4:$T$4,0)),",","")),"")</f>
        <v/>
      </c>
      <c r="H1838" s="174">
        <f>IF(G1838="","",G1838*10000)</f>
        <v/>
      </c>
      <c r="I1838" s="174">
        <f>IFERROR(IF(AND(H1838&gt;0,E1838&gt;0),H1838/E1838,""),"")</f>
        <v/>
      </c>
      <c r="J1838" s="152">
        <f>IFERROR(VALUE(SUBSTITUTE(INDEX('04A_국토부원자료'!$A:$T,ROW()+1,MATCH("층",'04A_국토부원자료'!$A$4:$T$4,0)),",","")),"")</f>
        <v/>
      </c>
      <c r="K1838" s="152">
        <f>IFERROR(VALUE(SUBSTITUTE(INDEX('04A_국토부원자료'!$A:$T,ROW()+1,MATCH("건축년도",'04A_국토부원자료'!$A$4:$T$4,0)),",","")),"")</f>
        <v/>
      </c>
      <c r="L1838" s="176">
        <f>IFERROR(INDEX('04A_국토부원자료'!$A:$T,ROW()+1,MATCH("도로명",'04A_국토부원자료'!$A$4:$T$4,0)),"")</f>
        <v/>
      </c>
      <c r="M1838" s="48">
        <f>IFERROR(INDEX('04A_국토부원자료'!$A:$T,ROW()+1,MATCH("거래유형",'04A_국토부원자료'!$A$4:$T$4,0)),"")</f>
        <v/>
      </c>
      <c r="N1838" s="152">
        <f>IF(B1838="","",IF('02_대상물건입력'!B5="",1,IF(ISNUMBER(SEARCH('02_대상물건입력'!B5,B1838)),1,0)))</f>
        <v/>
      </c>
      <c r="O1838" s="152">
        <f>IF(B1838="","",IF('02_대상물건입력'!B6="",1,IF(ISNUMBER(SEARCH('02_대상물건입력'!B6,B1838)),1,0)))</f>
        <v/>
      </c>
      <c r="P1838" s="152">
        <f>IF(L1838="","",IF('02_대상물건입력'!B15="",0,IF(ISNUMBER(SEARCH('02_대상물건입력'!B15,L1838)),1,0)))</f>
        <v/>
      </c>
      <c r="Q1838" s="152">
        <f>IF(OR(C1838="",L1838=""),0,IF(AND(TRIM(C1838)=TRIM(RIGHT(SUBSTITUTE(TRIM('02_대상물건입력'!$B$7)," ",REPT(" ",99)),99)),IF('02_대상물건입력'!B15="",TRUE(),ISNUMBER(SEARCH('02_대상물건입력'!B15,L1838)))),1,0))</f>
        <v/>
      </c>
      <c r="R1838" s="175">
        <f>IFERROR(ABS(E1838-'02_대상물건입력'!B11)/'02_대상물건입력'!B11,"")</f>
        <v/>
      </c>
      <c r="S1838" s="152">
        <f>IFERROR(ABS(J1838-'02_대상물건입력'!B10),"")</f>
        <v/>
      </c>
      <c r="T1838" s="152">
        <f>IFERROR(ABS('01_설정'!B4-F1838),"")</f>
        <v/>
      </c>
      <c r="U1838" s="152">
        <f>IFERROR(ABS(K1838-YEAR('02_대상물건입력'!B14)),"")</f>
        <v/>
      </c>
      <c r="V1838" s="152">
        <f>IF(B1838="","",IF(AND(E1838&gt;0,F1838&gt;0,H1838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1838=1,TRUE()),R1838&lt;='01_설정'!B5,S1838&lt;='01_설정'!B6,T1838&lt;='01_설정'!B7,U1838&lt;='01_설정'!B8),"Y",""))</f>
        <v/>
      </c>
      <c r="W1838" s="172">
        <f>IF(V1838&lt;&gt;"Y","",MAX(0,(1-R1838/'01_설정'!B5))*'01_설정'!B14+MAX(0,(1-S1838/'01_설정'!B6))*'01_설정'!B15+MAX(0,(1-T1838/'01_설정'!B7))*'01_설정'!B16+MAX(0,(1-U1838/'01_설정'!B8))*'01_설정'!B17+O1838*'01_설정'!B11+Q1838*'01_설정'!B12+P1838*'01_설정'!B13+IF(Z1838="",0,Z1838))</f>
        <v/>
      </c>
      <c r="X1838" s="152">
        <f>IF(W1838="","",1+COUNTIFS($W$4:$W$3003,"&gt;"&amp;W1838)+COUNTIFS($W$4:W1838,W1838)-1)</f>
        <v/>
      </c>
      <c r="Y1838" s="175">
        <f>IF(OR(I1838="",'02_대상물건입력'!B19="",'02_대상물건입력'!B19&lt;=0),"",ABS(I1838-'02_대상물건입력'!B19)/'02_대상물건입력'!B19)</f>
        <v/>
      </c>
      <c r="Z1838" s="172">
        <f>IF(OR(Y1838="",'01_설정'!B31="",'01_설정'!B31&lt;=0,'01_설정'!B32="",'01_설정'!B32&lt;=0),"",MAX(0,(1-Y1838/'01_설정'!B32))*'01_설정'!B31)</f>
        <v/>
      </c>
    </row>
    <row r="1839" ht="17.25" customHeight="1">
      <c r="A1839" s="152">
        <f>IF(INDEX('04A_국토부원자료'!$A:$A,ROW()+1)="","",ROW()-3)</f>
        <v/>
      </c>
      <c r="B1839" s="48">
        <f>IFERROR(INDEX('04A_국토부원자료'!$A:$T,ROW()+1,MATCH("시군구",'04A_국토부원자료'!$A$4:$T$4,0)),"")</f>
        <v/>
      </c>
      <c r="C1839" s="48">
        <f>IF(B1839="","",IFERROR(INDEX('04A_국토부원자료'!$A:$T,ROW()+1,MATCH("번지",'04A_국토부원자료'!$A$4:$T$4,0)),""))</f>
        <v/>
      </c>
      <c r="D1839" s="48">
        <f>IF(B1839="","",IF(Q1839=1,'02_대상물건입력'!$B$8,IFERROR(INDEX('04A_국토부원자료'!$A:$T,ROW()+1,MATCH("단지명",'04A_국토부원자료'!$A$4:$T$4,0)),"")))</f>
        <v/>
      </c>
      <c r="E1839" s="172">
        <f>IFERROR(VALUE(SUBSTITUTE(INDEX('04A_국토부원자료'!$A:$T,ROW()+1,MATCH("전용면적(㎡)",'04A_국토부원자료'!$A$4:$T$4,0)),",","")),"")</f>
        <v/>
      </c>
      <c r="F18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39" s="51">
        <f>IFERROR(VALUE(SUBSTITUTE(INDEX('04A_국토부원자료'!$A:$T,ROW()+1,MATCH("거래금액(만원)",'04A_국토부원자료'!$A$4:$T$4,0)),",","")),"")</f>
        <v/>
      </c>
      <c r="H1839" s="174">
        <f>IF(G1839="","",G1839*10000)</f>
        <v/>
      </c>
      <c r="I1839" s="174">
        <f>IFERROR(IF(AND(H1839&gt;0,E1839&gt;0),H1839/E1839,""),"")</f>
        <v/>
      </c>
      <c r="J1839" s="152">
        <f>IFERROR(VALUE(SUBSTITUTE(INDEX('04A_국토부원자료'!$A:$T,ROW()+1,MATCH("층",'04A_국토부원자료'!$A$4:$T$4,0)),",","")),"")</f>
        <v/>
      </c>
      <c r="K1839" s="152">
        <f>IFERROR(VALUE(SUBSTITUTE(INDEX('04A_국토부원자료'!$A:$T,ROW()+1,MATCH("건축년도",'04A_국토부원자료'!$A$4:$T$4,0)),",","")),"")</f>
        <v/>
      </c>
      <c r="L1839" s="176">
        <f>IFERROR(INDEX('04A_국토부원자료'!$A:$T,ROW()+1,MATCH("도로명",'04A_국토부원자료'!$A$4:$T$4,0)),"")</f>
        <v/>
      </c>
      <c r="M1839" s="48">
        <f>IFERROR(INDEX('04A_국토부원자료'!$A:$T,ROW()+1,MATCH("거래유형",'04A_국토부원자료'!$A$4:$T$4,0)),"")</f>
        <v/>
      </c>
      <c r="N1839" s="152">
        <f>IF(B1839="","",IF('02_대상물건입력'!B5="",1,IF(ISNUMBER(SEARCH('02_대상물건입력'!B5,B1839)),1,0)))</f>
        <v/>
      </c>
      <c r="O1839" s="152">
        <f>IF(B1839="","",IF('02_대상물건입력'!B6="",1,IF(ISNUMBER(SEARCH('02_대상물건입력'!B6,B1839)),1,0)))</f>
        <v/>
      </c>
      <c r="P1839" s="152">
        <f>IF(L1839="","",IF('02_대상물건입력'!B15="",0,IF(ISNUMBER(SEARCH('02_대상물건입력'!B15,L1839)),1,0)))</f>
        <v/>
      </c>
      <c r="Q1839" s="152">
        <f>IF(OR(C1839="",L1839=""),0,IF(AND(TRIM(C1839)=TRIM(RIGHT(SUBSTITUTE(TRIM('02_대상물건입력'!$B$7)," ",REPT(" ",99)),99)),IF('02_대상물건입력'!B15="",TRUE(),ISNUMBER(SEARCH('02_대상물건입력'!B15,L1839)))),1,0))</f>
        <v/>
      </c>
      <c r="R1839" s="175">
        <f>IFERROR(ABS(E1839-'02_대상물건입력'!B11)/'02_대상물건입력'!B11,"")</f>
        <v/>
      </c>
      <c r="S1839" s="152">
        <f>IFERROR(ABS(J1839-'02_대상물건입력'!B10),"")</f>
        <v/>
      </c>
      <c r="T1839" s="152">
        <f>IFERROR(ABS('01_설정'!B4-F1839),"")</f>
        <v/>
      </c>
      <c r="U1839" s="152">
        <f>IFERROR(ABS(K1839-YEAR('02_대상물건입력'!B14)),"")</f>
        <v/>
      </c>
      <c r="V1839" s="152">
        <f>IF(B1839="","",IF(AND(E1839&gt;0,F1839&gt;0,H1839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1839=1,TRUE()),R1839&lt;='01_설정'!B5,S1839&lt;='01_설정'!B6,T1839&lt;='01_설정'!B7,U1839&lt;='01_설정'!B8),"Y",""))</f>
        <v/>
      </c>
      <c r="W1839" s="172">
        <f>IF(V1839&lt;&gt;"Y","",MAX(0,(1-R1839/'01_설정'!B5))*'01_설정'!B14+MAX(0,(1-S1839/'01_설정'!B6))*'01_설정'!B15+MAX(0,(1-T1839/'01_설정'!B7))*'01_설정'!B16+MAX(0,(1-U1839/'01_설정'!B8))*'01_설정'!B17+O1839*'01_설정'!B11+Q1839*'01_설정'!B12+P1839*'01_설정'!B13+IF(Z1839="",0,Z1839))</f>
        <v/>
      </c>
      <c r="X1839" s="152">
        <f>IF(W1839="","",1+COUNTIFS($W$4:$W$3003,"&gt;"&amp;W1839)+COUNTIFS($W$4:W1839,W1839)-1)</f>
        <v/>
      </c>
      <c r="Y1839" s="175">
        <f>IF(OR(I1839="",'02_대상물건입력'!B19="",'02_대상물건입력'!B19&lt;=0),"",ABS(I1839-'02_대상물건입력'!B19)/'02_대상물건입력'!B19)</f>
        <v/>
      </c>
      <c r="Z1839" s="172">
        <f>IF(OR(Y1839="",'01_설정'!B31="",'01_설정'!B31&lt;=0,'01_설정'!B32="",'01_설정'!B32&lt;=0),"",MAX(0,(1-Y1839/'01_설정'!B32))*'01_설정'!B31)</f>
        <v/>
      </c>
    </row>
    <row r="1840" ht="17.25" customHeight="1">
      <c r="A1840" s="152">
        <f>IF(INDEX('04A_국토부원자료'!$A:$A,ROW()+1)="","",ROW()-3)</f>
        <v/>
      </c>
      <c r="B1840" s="48">
        <f>IFERROR(INDEX('04A_국토부원자료'!$A:$T,ROW()+1,MATCH("시군구",'04A_국토부원자료'!$A$4:$T$4,0)),"")</f>
        <v/>
      </c>
      <c r="C1840" s="48">
        <f>IF(B1840="","",IFERROR(INDEX('04A_국토부원자료'!$A:$T,ROW()+1,MATCH("번지",'04A_국토부원자료'!$A$4:$T$4,0)),""))</f>
        <v/>
      </c>
      <c r="D1840" s="48">
        <f>IF(B1840="","",IF(Q1840=1,'02_대상물건입력'!$B$8,IFERROR(INDEX('04A_국토부원자료'!$A:$T,ROW()+1,MATCH("단지명",'04A_국토부원자료'!$A$4:$T$4,0)),"")))</f>
        <v/>
      </c>
      <c r="E1840" s="172">
        <f>IFERROR(VALUE(SUBSTITUTE(INDEX('04A_국토부원자료'!$A:$T,ROW()+1,MATCH("전용면적(㎡)",'04A_국토부원자료'!$A$4:$T$4,0)),",","")),"")</f>
        <v/>
      </c>
      <c r="F18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40" s="51">
        <f>IFERROR(VALUE(SUBSTITUTE(INDEX('04A_국토부원자료'!$A:$T,ROW()+1,MATCH("거래금액(만원)",'04A_국토부원자료'!$A$4:$T$4,0)),",","")),"")</f>
        <v/>
      </c>
      <c r="H1840" s="174">
        <f>IF(G1840="","",G1840*10000)</f>
        <v/>
      </c>
      <c r="I1840" s="174">
        <f>IFERROR(IF(AND(H1840&gt;0,E1840&gt;0),H1840/E1840,""),"")</f>
        <v/>
      </c>
      <c r="J1840" s="152">
        <f>IFERROR(VALUE(SUBSTITUTE(INDEX('04A_국토부원자료'!$A:$T,ROW()+1,MATCH("층",'04A_국토부원자료'!$A$4:$T$4,0)),",","")),"")</f>
        <v/>
      </c>
      <c r="K1840" s="152">
        <f>IFERROR(VALUE(SUBSTITUTE(INDEX('04A_국토부원자료'!$A:$T,ROW()+1,MATCH("건축년도",'04A_국토부원자료'!$A$4:$T$4,0)),",","")),"")</f>
        <v/>
      </c>
      <c r="L1840" s="176">
        <f>IFERROR(INDEX('04A_국토부원자료'!$A:$T,ROW()+1,MATCH("도로명",'04A_국토부원자료'!$A$4:$T$4,0)),"")</f>
        <v/>
      </c>
      <c r="M1840" s="48">
        <f>IFERROR(INDEX('04A_국토부원자료'!$A:$T,ROW()+1,MATCH("거래유형",'04A_국토부원자료'!$A$4:$T$4,0)),"")</f>
        <v/>
      </c>
      <c r="N1840" s="152">
        <f>IF(B1840="","",IF('02_대상물건입력'!B5="",1,IF(ISNUMBER(SEARCH('02_대상물건입력'!B5,B1840)),1,0)))</f>
        <v/>
      </c>
      <c r="O1840" s="152">
        <f>IF(B1840="","",IF('02_대상물건입력'!B6="",1,IF(ISNUMBER(SEARCH('02_대상물건입력'!B6,B1840)),1,0)))</f>
        <v/>
      </c>
      <c r="P1840" s="152">
        <f>IF(L1840="","",IF('02_대상물건입력'!B15="",0,IF(ISNUMBER(SEARCH('02_대상물건입력'!B15,L1840)),1,0)))</f>
        <v/>
      </c>
      <c r="Q1840" s="152">
        <f>IF(OR(C1840="",L1840=""),0,IF(AND(TRIM(C1840)=TRIM(RIGHT(SUBSTITUTE(TRIM('02_대상물건입력'!$B$7)," ",REPT(" ",99)),99)),IF('02_대상물건입력'!B15="",TRUE(),ISNUMBER(SEARCH('02_대상물건입력'!B15,L1840)))),1,0))</f>
        <v/>
      </c>
      <c r="R1840" s="175">
        <f>IFERROR(ABS(E1840-'02_대상물건입력'!B11)/'02_대상물건입력'!B11,"")</f>
        <v/>
      </c>
      <c r="S1840" s="152">
        <f>IFERROR(ABS(J1840-'02_대상물건입력'!B10),"")</f>
        <v/>
      </c>
      <c r="T1840" s="152">
        <f>IFERROR(ABS('01_설정'!B4-F1840),"")</f>
        <v/>
      </c>
      <c r="U1840" s="152">
        <f>IFERROR(ABS(K1840-YEAR('02_대상물건입력'!B14)),"")</f>
        <v/>
      </c>
      <c r="V1840" s="152">
        <f>IF(B1840="","",IF(AND(E1840&gt;0,F1840&gt;0,H1840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1840=1,TRUE()),R1840&lt;='01_설정'!B5,S1840&lt;='01_설정'!B6,T1840&lt;='01_설정'!B7,U1840&lt;='01_설정'!B8),"Y",""))</f>
        <v/>
      </c>
      <c r="W1840" s="172">
        <f>IF(V1840&lt;&gt;"Y","",MAX(0,(1-R1840/'01_설정'!B5))*'01_설정'!B14+MAX(0,(1-S1840/'01_설정'!B6))*'01_설정'!B15+MAX(0,(1-T1840/'01_설정'!B7))*'01_설정'!B16+MAX(0,(1-U1840/'01_설정'!B8))*'01_설정'!B17+O1840*'01_설정'!B11+Q1840*'01_설정'!B12+P1840*'01_설정'!B13+IF(Z1840="",0,Z1840))</f>
        <v/>
      </c>
      <c r="X1840" s="152">
        <f>IF(W1840="","",1+COUNTIFS($W$4:$W$3003,"&gt;"&amp;W1840)+COUNTIFS($W$4:W1840,W1840)-1)</f>
        <v/>
      </c>
      <c r="Y1840" s="175">
        <f>IF(OR(I1840="",'02_대상물건입력'!B19="",'02_대상물건입력'!B19&lt;=0),"",ABS(I1840-'02_대상물건입력'!B19)/'02_대상물건입력'!B19)</f>
        <v/>
      </c>
      <c r="Z1840" s="172">
        <f>IF(OR(Y1840="",'01_설정'!B31="",'01_설정'!B31&lt;=0,'01_설정'!B32="",'01_설정'!B32&lt;=0),"",MAX(0,(1-Y1840/'01_설정'!B32))*'01_설정'!B31)</f>
        <v/>
      </c>
    </row>
    <row r="1841" ht="17.25" customHeight="1">
      <c r="A1841" s="152">
        <f>IF(INDEX('04A_국토부원자료'!$A:$A,ROW()+1)="","",ROW()-3)</f>
        <v/>
      </c>
      <c r="B1841" s="48">
        <f>IFERROR(INDEX('04A_국토부원자료'!$A:$T,ROW()+1,MATCH("시군구",'04A_국토부원자료'!$A$4:$T$4,0)),"")</f>
        <v/>
      </c>
      <c r="C1841" s="48">
        <f>IF(B1841="","",IFERROR(INDEX('04A_국토부원자료'!$A:$T,ROW()+1,MATCH("번지",'04A_국토부원자료'!$A$4:$T$4,0)),""))</f>
        <v/>
      </c>
      <c r="D1841" s="48">
        <f>IF(B1841="","",IF(Q1841=1,'02_대상물건입력'!$B$8,IFERROR(INDEX('04A_국토부원자료'!$A:$T,ROW()+1,MATCH("단지명",'04A_국토부원자료'!$A$4:$T$4,0)),"")))</f>
        <v/>
      </c>
      <c r="E1841" s="172">
        <f>IFERROR(VALUE(SUBSTITUTE(INDEX('04A_국토부원자료'!$A:$T,ROW()+1,MATCH("전용면적(㎡)",'04A_국토부원자료'!$A$4:$T$4,0)),",","")),"")</f>
        <v/>
      </c>
      <c r="F18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41" s="51">
        <f>IFERROR(VALUE(SUBSTITUTE(INDEX('04A_국토부원자료'!$A:$T,ROW()+1,MATCH("거래금액(만원)",'04A_국토부원자료'!$A$4:$T$4,0)),",","")),"")</f>
        <v/>
      </c>
      <c r="H1841" s="174">
        <f>IF(G1841="","",G1841*10000)</f>
        <v/>
      </c>
      <c r="I1841" s="174">
        <f>IFERROR(IF(AND(H1841&gt;0,E1841&gt;0),H1841/E1841,""),"")</f>
        <v/>
      </c>
      <c r="J1841" s="152">
        <f>IFERROR(VALUE(SUBSTITUTE(INDEX('04A_국토부원자료'!$A:$T,ROW()+1,MATCH("층",'04A_국토부원자료'!$A$4:$T$4,0)),",","")),"")</f>
        <v/>
      </c>
      <c r="K1841" s="152">
        <f>IFERROR(VALUE(SUBSTITUTE(INDEX('04A_국토부원자료'!$A:$T,ROW()+1,MATCH("건축년도",'04A_국토부원자료'!$A$4:$T$4,0)),",","")),"")</f>
        <v/>
      </c>
      <c r="L1841" s="176">
        <f>IFERROR(INDEX('04A_국토부원자료'!$A:$T,ROW()+1,MATCH("도로명",'04A_국토부원자료'!$A$4:$T$4,0)),"")</f>
        <v/>
      </c>
      <c r="M1841" s="48">
        <f>IFERROR(INDEX('04A_국토부원자료'!$A:$T,ROW()+1,MATCH("거래유형",'04A_국토부원자료'!$A$4:$T$4,0)),"")</f>
        <v/>
      </c>
      <c r="N1841" s="152">
        <f>IF(B1841="","",IF('02_대상물건입력'!B5="",1,IF(ISNUMBER(SEARCH('02_대상물건입력'!B5,B1841)),1,0)))</f>
        <v/>
      </c>
      <c r="O1841" s="152">
        <f>IF(B1841="","",IF('02_대상물건입력'!B6="",1,IF(ISNUMBER(SEARCH('02_대상물건입력'!B6,B1841)),1,0)))</f>
        <v/>
      </c>
      <c r="P1841" s="152">
        <f>IF(L1841="","",IF('02_대상물건입력'!B15="",0,IF(ISNUMBER(SEARCH('02_대상물건입력'!B15,L1841)),1,0)))</f>
        <v/>
      </c>
      <c r="Q1841" s="152">
        <f>IF(OR(C1841="",L1841=""),0,IF(AND(TRIM(C1841)=TRIM(RIGHT(SUBSTITUTE(TRIM('02_대상물건입력'!$B$7)," ",REPT(" ",99)),99)),IF('02_대상물건입력'!B15="",TRUE(),ISNUMBER(SEARCH('02_대상물건입력'!B15,L1841)))),1,0))</f>
        <v/>
      </c>
      <c r="R1841" s="175">
        <f>IFERROR(ABS(E1841-'02_대상물건입력'!B11)/'02_대상물건입력'!B11,"")</f>
        <v/>
      </c>
      <c r="S1841" s="152">
        <f>IFERROR(ABS(J1841-'02_대상물건입력'!B10),"")</f>
        <v/>
      </c>
      <c r="T1841" s="152">
        <f>IFERROR(ABS('01_설정'!B4-F1841),"")</f>
        <v/>
      </c>
      <c r="U1841" s="152">
        <f>IFERROR(ABS(K1841-YEAR('02_대상물건입력'!B14)),"")</f>
        <v/>
      </c>
      <c r="V1841" s="152">
        <f>IF(B1841="","",IF(AND(E1841&gt;0,F1841&gt;0,H1841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1841=1,TRUE()),R1841&lt;='01_설정'!B5,S1841&lt;='01_설정'!B6,T1841&lt;='01_설정'!B7,U1841&lt;='01_설정'!B8),"Y",""))</f>
        <v/>
      </c>
      <c r="W1841" s="172">
        <f>IF(V1841&lt;&gt;"Y","",MAX(0,(1-R1841/'01_설정'!B5))*'01_설정'!B14+MAX(0,(1-S1841/'01_설정'!B6))*'01_설정'!B15+MAX(0,(1-T1841/'01_설정'!B7))*'01_설정'!B16+MAX(0,(1-U1841/'01_설정'!B8))*'01_설정'!B17+O1841*'01_설정'!B11+Q1841*'01_설정'!B12+P1841*'01_설정'!B13+IF(Z1841="",0,Z1841))</f>
        <v/>
      </c>
      <c r="X1841" s="152">
        <f>IF(W1841="","",1+COUNTIFS($W$4:$W$3003,"&gt;"&amp;W1841)+COUNTIFS($W$4:W1841,W1841)-1)</f>
        <v/>
      </c>
      <c r="Y1841" s="175">
        <f>IF(OR(I1841="",'02_대상물건입력'!B19="",'02_대상물건입력'!B19&lt;=0),"",ABS(I1841-'02_대상물건입력'!B19)/'02_대상물건입력'!B19)</f>
        <v/>
      </c>
      <c r="Z1841" s="172">
        <f>IF(OR(Y1841="",'01_설정'!B31="",'01_설정'!B31&lt;=0,'01_설정'!B32="",'01_설정'!B32&lt;=0),"",MAX(0,(1-Y1841/'01_설정'!B32))*'01_설정'!B31)</f>
        <v/>
      </c>
    </row>
    <row r="1842" ht="17.25" customHeight="1">
      <c r="A1842" s="152">
        <f>IF(INDEX('04A_국토부원자료'!$A:$A,ROW()+1)="","",ROW()-3)</f>
        <v/>
      </c>
      <c r="B1842" s="48">
        <f>IFERROR(INDEX('04A_국토부원자료'!$A:$T,ROW()+1,MATCH("시군구",'04A_국토부원자료'!$A$4:$T$4,0)),"")</f>
        <v/>
      </c>
      <c r="C1842" s="48">
        <f>IF(B1842="","",IFERROR(INDEX('04A_국토부원자료'!$A:$T,ROW()+1,MATCH("번지",'04A_국토부원자료'!$A$4:$T$4,0)),""))</f>
        <v/>
      </c>
      <c r="D1842" s="48">
        <f>IF(B1842="","",IF(Q1842=1,'02_대상물건입력'!$B$8,IFERROR(INDEX('04A_국토부원자료'!$A:$T,ROW()+1,MATCH("단지명",'04A_국토부원자료'!$A$4:$T$4,0)),"")))</f>
        <v/>
      </c>
      <c r="E1842" s="172">
        <f>IFERROR(VALUE(SUBSTITUTE(INDEX('04A_국토부원자료'!$A:$T,ROW()+1,MATCH("전용면적(㎡)",'04A_국토부원자료'!$A$4:$T$4,0)),",","")),"")</f>
        <v/>
      </c>
      <c r="F18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42" s="51">
        <f>IFERROR(VALUE(SUBSTITUTE(INDEX('04A_국토부원자료'!$A:$T,ROW()+1,MATCH("거래금액(만원)",'04A_국토부원자료'!$A$4:$T$4,0)),",","")),"")</f>
        <v/>
      </c>
      <c r="H1842" s="174">
        <f>IF(G1842="","",G1842*10000)</f>
        <v/>
      </c>
      <c r="I1842" s="174">
        <f>IFERROR(IF(AND(H1842&gt;0,E1842&gt;0),H1842/E1842,""),"")</f>
        <v/>
      </c>
      <c r="J1842" s="152">
        <f>IFERROR(VALUE(SUBSTITUTE(INDEX('04A_국토부원자료'!$A:$T,ROW()+1,MATCH("층",'04A_국토부원자료'!$A$4:$T$4,0)),",","")),"")</f>
        <v/>
      </c>
      <c r="K1842" s="152">
        <f>IFERROR(VALUE(SUBSTITUTE(INDEX('04A_국토부원자료'!$A:$T,ROW()+1,MATCH("건축년도",'04A_국토부원자료'!$A$4:$T$4,0)),",","")),"")</f>
        <v/>
      </c>
      <c r="L1842" s="176">
        <f>IFERROR(INDEX('04A_국토부원자료'!$A:$T,ROW()+1,MATCH("도로명",'04A_국토부원자료'!$A$4:$T$4,0)),"")</f>
        <v/>
      </c>
      <c r="M1842" s="48">
        <f>IFERROR(INDEX('04A_국토부원자료'!$A:$T,ROW()+1,MATCH("거래유형",'04A_국토부원자료'!$A$4:$T$4,0)),"")</f>
        <v/>
      </c>
      <c r="N1842" s="152">
        <f>IF(B1842="","",IF('02_대상물건입력'!B5="",1,IF(ISNUMBER(SEARCH('02_대상물건입력'!B5,B1842)),1,0)))</f>
        <v/>
      </c>
      <c r="O1842" s="152">
        <f>IF(B1842="","",IF('02_대상물건입력'!B6="",1,IF(ISNUMBER(SEARCH('02_대상물건입력'!B6,B1842)),1,0)))</f>
        <v/>
      </c>
      <c r="P1842" s="152">
        <f>IF(L1842="","",IF('02_대상물건입력'!B15="",0,IF(ISNUMBER(SEARCH('02_대상물건입력'!B15,L1842)),1,0)))</f>
        <v/>
      </c>
      <c r="Q1842" s="152">
        <f>IF(OR(C1842="",L1842=""),0,IF(AND(TRIM(C1842)=TRIM(RIGHT(SUBSTITUTE(TRIM('02_대상물건입력'!$B$7)," ",REPT(" ",99)),99)),IF('02_대상물건입력'!B15="",TRUE(),ISNUMBER(SEARCH('02_대상물건입력'!B15,L1842)))),1,0))</f>
        <v/>
      </c>
      <c r="R1842" s="175">
        <f>IFERROR(ABS(E1842-'02_대상물건입력'!B11)/'02_대상물건입력'!B11,"")</f>
        <v/>
      </c>
      <c r="S1842" s="152">
        <f>IFERROR(ABS(J1842-'02_대상물건입력'!B10),"")</f>
        <v/>
      </c>
      <c r="T1842" s="152">
        <f>IFERROR(ABS('01_설정'!B4-F1842),"")</f>
        <v/>
      </c>
      <c r="U1842" s="152">
        <f>IFERROR(ABS(K1842-YEAR('02_대상물건입력'!B14)),"")</f>
        <v/>
      </c>
      <c r="V1842" s="152">
        <f>IF(B1842="","",IF(AND(E1842&gt;0,F1842&gt;0,H1842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1842=1,TRUE()),R1842&lt;='01_설정'!B5,S1842&lt;='01_설정'!B6,T1842&lt;='01_설정'!B7,U1842&lt;='01_설정'!B8),"Y",""))</f>
        <v/>
      </c>
      <c r="W1842" s="172">
        <f>IF(V1842&lt;&gt;"Y","",MAX(0,(1-R1842/'01_설정'!B5))*'01_설정'!B14+MAX(0,(1-S1842/'01_설정'!B6))*'01_설정'!B15+MAX(0,(1-T1842/'01_설정'!B7))*'01_설정'!B16+MAX(0,(1-U1842/'01_설정'!B8))*'01_설정'!B17+O1842*'01_설정'!B11+Q1842*'01_설정'!B12+P1842*'01_설정'!B13+IF(Z1842="",0,Z1842))</f>
        <v/>
      </c>
      <c r="X1842" s="152">
        <f>IF(W1842="","",1+COUNTIFS($W$4:$W$3003,"&gt;"&amp;W1842)+COUNTIFS($W$4:W1842,W1842)-1)</f>
        <v/>
      </c>
      <c r="Y1842" s="175">
        <f>IF(OR(I1842="",'02_대상물건입력'!B19="",'02_대상물건입력'!B19&lt;=0),"",ABS(I1842-'02_대상물건입력'!B19)/'02_대상물건입력'!B19)</f>
        <v/>
      </c>
      <c r="Z1842" s="172">
        <f>IF(OR(Y1842="",'01_설정'!B31="",'01_설정'!B31&lt;=0,'01_설정'!B32="",'01_설정'!B32&lt;=0),"",MAX(0,(1-Y1842/'01_설정'!B32))*'01_설정'!B31)</f>
        <v/>
      </c>
    </row>
    <row r="1843" ht="17.25" customHeight="1">
      <c r="A1843" s="152">
        <f>IF(INDEX('04A_국토부원자료'!$A:$A,ROW()+1)="","",ROW()-3)</f>
        <v/>
      </c>
      <c r="B1843" s="48">
        <f>IFERROR(INDEX('04A_국토부원자료'!$A:$T,ROW()+1,MATCH("시군구",'04A_국토부원자료'!$A$4:$T$4,0)),"")</f>
        <v/>
      </c>
      <c r="C1843" s="48">
        <f>IF(B1843="","",IFERROR(INDEX('04A_국토부원자료'!$A:$T,ROW()+1,MATCH("번지",'04A_국토부원자료'!$A$4:$T$4,0)),""))</f>
        <v/>
      </c>
      <c r="D1843" s="48">
        <f>IF(B1843="","",IF(Q1843=1,'02_대상물건입력'!$B$8,IFERROR(INDEX('04A_국토부원자료'!$A:$T,ROW()+1,MATCH("단지명",'04A_국토부원자료'!$A$4:$T$4,0)),"")))</f>
        <v/>
      </c>
      <c r="E1843" s="172">
        <f>IFERROR(VALUE(SUBSTITUTE(INDEX('04A_국토부원자료'!$A:$T,ROW()+1,MATCH("전용면적(㎡)",'04A_국토부원자료'!$A$4:$T$4,0)),",","")),"")</f>
        <v/>
      </c>
      <c r="F18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43" s="51">
        <f>IFERROR(VALUE(SUBSTITUTE(INDEX('04A_국토부원자료'!$A:$T,ROW()+1,MATCH("거래금액(만원)",'04A_국토부원자료'!$A$4:$T$4,0)),",","")),"")</f>
        <v/>
      </c>
      <c r="H1843" s="174">
        <f>IF(G1843="","",G1843*10000)</f>
        <v/>
      </c>
      <c r="I1843" s="174">
        <f>IFERROR(IF(AND(H1843&gt;0,E1843&gt;0),H1843/E1843,""),"")</f>
        <v/>
      </c>
      <c r="J1843" s="152">
        <f>IFERROR(VALUE(SUBSTITUTE(INDEX('04A_국토부원자료'!$A:$T,ROW()+1,MATCH("층",'04A_국토부원자료'!$A$4:$T$4,0)),",","")),"")</f>
        <v/>
      </c>
      <c r="K1843" s="152">
        <f>IFERROR(VALUE(SUBSTITUTE(INDEX('04A_국토부원자료'!$A:$T,ROW()+1,MATCH("건축년도",'04A_국토부원자료'!$A$4:$T$4,0)),",","")),"")</f>
        <v/>
      </c>
      <c r="L1843" s="176">
        <f>IFERROR(INDEX('04A_국토부원자료'!$A:$T,ROW()+1,MATCH("도로명",'04A_국토부원자료'!$A$4:$T$4,0)),"")</f>
        <v/>
      </c>
      <c r="M1843" s="48">
        <f>IFERROR(INDEX('04A_국토부원자료'!$A:$T,ROW()+1,MATCH("거래유형",'04A_국토부원자료'!$A$4:$T$4,0)),"")</f>
        <v/>
      </c>
      <c r="N1843" s="152">
        <f>IF(B1843="","",IF('02_대상물건입력'!B5="",1,IF(ISNUMBER(SEARCH('02_대상물건입력'!B5,B1843)),1,0)))</f>
        <v/>
      </c>
      <c r="O1843" s="152">
        <f>IF(B1843="","",IF('02_대상물건입력'!B6="",1,IF(ISNUMBER(SEARCH('02_대상물건입력'!B6,B1843)),1,0)))</f>
        <v/>
      </c>
      <c r="P1843" s="152">
        <f>IF(L1843="","",IF('02_대상물건입력'!B15="",0,IF(ISNUMBER(SEARCH('02_대상물건입력'!B15,L1843)),1,0)))</f>
        <v/>
      </c>
      <c r="Q1843" s="152">
        <f>IF(OR(C1843="",L1843=""),0,IF(AND(TRIM(C1843)=TRIM(RIGHT(SUBSTITUTE(TRIM('02_대상물건입력'!$B$7)," ",REPT(" ",99)),99)),IF('02_대상물건입력'!B15="",TRUE(),ISNUMBER(SEARCH('02_대상물건입력'!B15,L1843)))),1,0))</f>
        <v/>
      </c>
      <c r="R1843" s="175">
        <f>IFERROR(ABS(E1843-'02_대상물건입력'!B11)/'02_대상물건입력'!B11,"")</f>
        <v/>
      </c>
      <c r="S1843" s="152">
        <f>IFERROR(ABS(J1843-'02_대상물건입력'!B10),"")</f>
        <v/>
      </c>
      <c r="T1843" s="152">
        <f>IFERROR(ABS('01_설정'!B4-F1843),"")</f>
        <v/>
      </c>
      <c r="U1843" s="152">
        <f>IFERROR(ABS(K1843-YEAR('02_대상물건입력'!B14)),"")</f>
        <v/>
      </c>
      <c r="V1843" s="152">
        <f>IF(B1843="","",IF(AND(E1843&gt;0,F1843&gt;0,H1843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1843=1,TRUE()),R1843&lt;='01_설정'!B5,S1843&lt;='01_설정'!B6,T1843&lt;='01_설정'!B7,U1843&lt;='01_설정'!B8),"Y",""))</f>
        <v/>
      </c>
      <c r="W1843" s="172">
        <f>IF(V1843&lt;&gt;"Y","",MAX(0,(1-R1843/'01_설정'!B5))*'01_설정'!B14+MAX(0,(1-S1843/'01_설정'!B6))*'01_설정'!B15+MAX(0,(1-T1843/'01_설정'!B7))*'01_설정'!B16+MAX(0,(1-U1843/'01_설정'!B8))*'01_설정'!B17+O1843*'01_설정'!B11+Q1843*'01_설정'!B12+P1843*'01_설정'!B13+IF(Z1843="",0,Z1843))</f>
        <v/>
      </c>
      <c r="X1843" s="152">
        <f>IF(W1843="","",1+COUNTIFS($W$4:$W$3003,"&gt;"&amp;W1843)+COUNTIFS($W$4:W1843,W1843)-1)</f>
        <v/>
      </c>
      <c r="Y1843" s="175">
        <f>IF(OR(I1843="",'02_대상물건입력'!B19="",'02_대상물건입력'!B19&lt;=0),"",ABS(I1843-'02_대상물건입력'!B19)/'02_대상물건입력'!B19)</f>
        <v/>
      </c>
      <c r="Z1843" s="172">
        <f>IF(OR(Y1843="",'01_설정'!B31="",'01_설정'!B31&lt;=0,'01_설정'!B32="",'01_설정'!B32&lt;=0),"",MAX(0,(1-Y1843/'01_설정'!B32))*'01_설정'!B31)</f>
        <v/>
      </c>
    </row>
    <row r="1844" ht="17.25" customHeight="1">
      <c r="A1844" s="152">
        <f>IF(INDEX('04A_국토부원자료'!$A:$A,ROW()+1)="","",ROW()-3)</f>
        <v/>
      </c>
      <c r="B1844" s="48">
        <f>IFERROR(INDEX('04A_국토부원자료'!$A:$T,ROW()+1,MATCH("시군구",'04A_국토부원자료'!$A$4:$T$4,0)),"")</f>
        <v/>
      </c>
      <c r="C1844" s="48">
        <f>IF(B1844="","",IFERROR(INDEX('04A_국토부원자료'!$A:$T,ROW()+1,MATCH("번지",'04A_국토부원자료'!$A$4:$T$4,0)),""))</f>
        <v/>
      </c>
      <c r="D1844" s="48">
        <f>IF(B1844="","",IF(Q1844=1,'02_대상물건입력'!$B$8,IFERROR(INDEX('04A_국토부원자료'!$A:$T,ROW()+1,MATCH("단지명",'04A_국토부원자료'!$A$4:$T$4,0)),"")))</f>
        <v/>
      </c>
      <c r="E1844" s="172">
        <f>IFERROR(VALUE(SUBSTITUTE(INDEX('04A_국토부원자료'!$A:$T,ROW()+1,MATCH("전용면적(㎡)",'04A_국토부원자료'!$A$4:$T$4,0)),",","")),"")</f>
        <v/>
      </c>
      <c r="F18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44" s="51">
        <f>IFERROR(VALUE(SUBSTITUTE(INDEX('04A_국토부원자료'!$A:$T,ROW()+1,MATCH("거래금액(만원)",'04A_국토부원자료'!$A$4:$T$4,0)),",","")),"")</f>
        <v/>
      </c>
      <c r="H1844" s="174">
        <f>IF(G1844="","",G1844*10000)</f>
        <v/>
      </c>
      <c r="I1844" s="174">
        <f>IFERROR(IF(AND(H1844&gt;0,E1844&gt;0),H1844/E1844,""),"")</f>
        <v/>
      </c>
      <c r="J1844" s="152">
        <f>IFERROR(VALUE(SUBSTITUTE(INDEX('04A_국토부원자료'!$A:$T,ROW()+1,MATCH("층",'04A_국토부원자료'!$A$4:$T$4,0)),",","")),"")</f>
        <v/>
      </c>
      <c r="K1844" s="152">
        <f>IFERROR(VALUE(SUBSTITUTE(INDEX('04A_국토부원자료'!$A:$T,ROW()+1,MATCH("건축년도",'04A_국토부원자료'!$A$4:$T$4,0)),",","")),"")</f>
        <v/>
      </c>
      <c r="L1844" s="176">
        <f>IFERROR(INDEX('04A_국토부원자료'!$A:$T,ROW()+1,MATCH("도로명",'04A_국토부원자료'!$A$4:$T$4,0)),"")</f>
        <v/>
      </c>
      <c r="M1844" s="48">
        <f>IFERROR(INDEX('04A_국토부원자료'!$A:$T,ROW()+1,MATCH("거래유형",'04A_국토부원자료'!$A$4:$T$4,0)),"")</f>
        <v/>
      </c>
      <c r="N1844" s="152">
        <f>IF(B1844="","",IF('02_대상물건입력'!B5="",1,IF(ISNUMBER(SEARCH('02_대상물건입력'!B5,B1844)),1,0)))</f>
        <v/>
      </c>
      <c r="O1844" s="152">
        <f>IF(B1844="","",IF('02_대상물건입력'!B6="",1,IF(ISNUMBER(SEARCH('02_대상물건입력'!B6,B1844)),1,0)))</f>
        <v/>
      </c>
      <c r="P1844" s="152">
        <f>IF(L1844="","",IF('02_대상물건입력'!B15="",0,IF(ISNUMBER(SEARCH('02_대상물건입력'!B15,L1844)),1,0)))</f>
        <v/>
      </c>
      <c r="Q1844" s="152">
        <f>IF(OR(C1844="",L1844=""),0,IF(AND(TRIM(C1844)=TRIM(RIGHT(SUBSTITUTE(TRIM('02_대상물건입력'!$B$7)," ",REPT(" ",99)),99)),IF('02_대상물건입력'!B15="",TRUE(),ISNUMBER(SEARCH('02_대상물건입력'!B15,L1844)))),1,0))</f>
        <v/>
      </c>
      <c r="R1844" s="175">
        <f>IFERROR(ABS(E1844-'02_대상물건입력'!B11)/'02_대상물건입력'!B11,"")</f>
        <v/>
      </c>
      <c r="S1844" s="152">
        <f>IFERROR(ABS(J1844-'02_대상물건입력'!B10),"")</f>
        <v/>
      </c>
      <c r="T1844" s="152">
        <f>IFERROR(ABS('01_설정'!B4-F1844),"")</f>
        <v/>
      </c>
      <c r="U1844" s="152">
        <f>IFERROR(ABS(K1844-YEAR('02_대상물건입력'!B14)),"")</f>
        <v/>
      </c>
      <c r="V1844" s="152">
        <f>IF(B1844="","",IF(AND(E1844&gt;0,F1844&gt;0,H1844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1844=1,TRUE()),R1844&lt;='01_설정'!B5,S1844&lt;='01_설정'!B6,T1844&lt;='01_설정'!B7,U1844&lt;='01_설정'!B8),"Y",""))</f>
        <v/>
      </c>
      <c r="W1844" s="172">
        <f>IF(V1844&lt;&gt;"Y","",MAX(0,(1-R1844/'01_설정'!B5))*'01_설정'!B14+MAX(0,(1-S1844/'01_설정'!B6))*'01_설정'!B15+MAX(0,(1-T1844/'01_설정'!B7))*'01_설정'!B16+MAX(0,(1-U1844/'01_설정'!B8))*'01_설정'!B17+O1844*'01_설정'!B11+Q1844*'01_설정'!B12+P1844*'01_설정'!B13+IF(Z1844="",0,Z1844))</f>
        <v/>
      </c>
      <c r="X1844" s="152">
        <f>IF(W1844="","",1+COUNTIFS($W$4:$W$3003,"&gt;"&amp;W1844)+COUNTIFS($W$4:W1844,W1844)-1)</f>
        <v/>
      </c>
      <c r="Y1844" s="175">
        <f>IF(OR(I1844="",'02_대상물건입력'!B19="",'02_대상물건입력'!B19&lt;=0),"",ABS(I1844-'02_대상물건입력'!B19)/'02_대상물건입력'!B19)</f>
        <v/>
      </c>
      <c r="Z1844" s="172">
        <f>IF(OR(Y1844="",'01_설정'!B31="",'01_설정'!B31&lt;=0,'01_설정'!B32="",'01_설정'!B32&lt;=0),"",MAX(0,(1-Y1844/'01_설정'!B32))*'01_설정'!B31)</f>
        <v/>
      </c>
    </row>
    <row r="1845" ht="17.25" customHeight="1">
      <c r="A1845" s="152">
        <f>IF(INDEX('04A_국토부원자료'!$A:$A,ROW()+1)="","",ROW()-3)</f>
        <v/>
      </c>
      <c r="B1845" s="48">
        <f>IFERROR(INDEX('04A_국토부원자료'!$A:$T,ROW()+1,MATCH("시군구",'04A_국토부원자료'!$A$4:$T$4,0)),"")</f>
        <v/>
      </c>
      <c r="C1845" s="48">
        <f>IF(B1845="","",IFERROR(INDEX('04A_국토부원자료'!$A:$T,ROW()+1,MATCH("번지",'04A_국토부원자료'!$A$4:$T$4,0)),""))</f>
        <v/>
      </c>
      <c r="D1845" s="48">
        <f>IF(B1845="","",IF(Q1845=1,'02_대상물건입력'!$B$8,IFERROR(INDEX('04A_국토부원자료'!$A:$T,ROW()+1,MATCH("단지명",'04A_국토부원자료'!$A$4:$T$4,0)),"")))</f>
        <v/>
      </c>
      <c r="E1845" s="172">
        <f>IFERROR(VALUE(SUBSTITUTE(INDEX('04A_국토부원자료'!$A:$T,ROW()+1,MATCH("전용면적(㎡)",'04A_국토부원자료'!$A$4:$T$4,0)),",","")),"")</f>
        <v/>
      </c>
      <c r="F18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45" s="51">
        <f>IFERROR(VALUE(SUBSTITUTE(INDEX('04A_국토부원자료'!$A:$T,ROW()+1,MATCH("거래금액(만원)",'04A_국토부원자료'!$A$4:$T$4,0)),",","")),"")</f>
        <v/>
      </c>
      <c r="H1845" s="174">
        <f>IF(G1845="","",G1845*10000)</f>
        <v/>
      </c>
      <c r="I1845" s="174">
        <f>IFERROR(IF(AND(H1845&gt;0,E1845&gt;0),H1845/E1845,""),"")</f>
        <v/>
      </c>
      <c r="J1845" s="152">
        <f>IFERROR(VALUE(SUBSTITUTE(INDEX('04A_국토부원자료'!$A:$T,ROW()+1,MATCH("층",'04A_국토부원자료'!$A$4:$T$4,0)),",","")),"")</f>
        <v/>
      </c>
      <c r="K1845" s="152">
        <f>IFERROR(VALUE(SUBSTITUTE(INDEX('04A_국토부원자료'!$A:$T,ROW()+1,MATCH("건축년도",'04A_국토부원자료'!$A$4:$T$4,0)),",","")),"")</f>
        <v/>
      </c>
      <c r="L1845" s="176">
        <f>IFERROR(INDEX('04A_국토부원자료'!$A:$T,ROW()+1,MATCH("도로명",'04A_국토부원자료'!$A$4:$T$4,0)),"")</f>
        <v/>
      </c>
      <c r="M1845" s="48">
        <f>IFERROR(INDEX('04A_국토부원자료'!$A:$T,ROW()+1,MATCH("거래유형",'04A_국토부원자료'!$A$4:$T$4,0)),"")</f>
        <v/>
      </c>
      <c r="N1845" s="152">
        <f>IF(B1845="","",IF('02_대상물건입력'!B5="",1,IF(ISNUMBER(SEARCH('02_대상물건입력'!B5,B1845)),1,0)))</f>
        <v/>
      </c>
      <c r="O1845" s="152">
        <f>IF(B1845="","",IF('02_대상물건입력'!B6="",1,IF(ISNUMBER(SEARCH('02_대상물건입력'!B6,B1845)),1,0)))</f>
        <v/>
      </c>
      <c r="P1845" s="152">
        <f>IF(L1845="","",IF('02_대상물건입력'!B15="",0,IF(ISNUMBER(SEARCH('02_대상물건입력'!B15,L1845)),1,0)))</f>
        <v/>
      </c>
      <c r="Q1845" s="152">
        <f>IF(OR(C1845="",L1845=""),0,IF(AND(TRIM(C1845)=TRIM(RIGHT(SUBSTITUTE(TRIM('02_대상물건입력'!$B$7)," ",REPT(" ",99)),99)),IF('02_대상물건입력'!B15="",TRUE(),ISNUMBER(SEARCH('02_대상물건입력'!B15,L1845)))),1,0))</f>
        <v/>
      </c>
      <c r="R1845" s="175">
        <f>IFERROR(ABS(E1845-'02_대상물건입력'!B11)/'02_대상물건입력'!B11,"")</f>
        <v/>
      </c>
      <c r="S1845" s="152">
        <f>IFERROR(ABS(J1845-'02_대상물건입력'!B10),"")</f>
        <v/>
      </c>
      <c r="T1845" s="152">
        <f>IFERROR(ABS('01_설정'!B4-F1845),"")</f>
        <v/>
      </c>
      <c r="U1845" s="152">
        <f>IFERROR(ABS(K1845-YEAR('02_대상물건입력'!B14)),"")</f>
        <v/>
      </c>
      <c r="V1845" s="152">
        <f>IF(B1845="","",IF(AND(E1845&gt;0,F1845&gt;0,H1845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1845=1,TRUE()),R1845&lt;='01_설정'!B5,S1845&lt;='01_설정'!B6,T1845&lt;='01_설정'!B7,U1845&lt;='01_설정'!B8),"Y",""))</f>
        <v/>
      </c>
      <c r="W1845" s="172">
        <f>IF(V1845&lt;&gt;"Y","",MAX(0,(1-R1845/'01_설정'!B5))*'01_설정'!B14+MAX(0,(1-S1845/'01_설정'!B6))*'01_설정'!B15+MAX(0,(1-T1845/'01_설정'!B7))*'01_설정'!B16+MAX(0,(1-U1845/'01_설정'!B8))*'01_설정'!B17+O1845*'01_설정'!B11+Q1845*'01_설정'!B12+P1845*'01_설정'!B13+IF(Z1845="",0,Z1845))</f>
        <v/>
      </c>
      <c r="X1845" s="152">
        <f>IF(W1845="","",1+COUNTIFS($W$4:$W$3003,"&gt;"&amp;W1845)+COUNTIFS($W$4:W1845,W1845)-1)</f>
        <v/>
      </c>
      <c r="Y1845" s="175">
        <f>IF(OR(I1845="",'02_대상물건입력'!B19="",'02_대상물건입력'!B19&lt;=0),"",ABS(I1845-'02_대상물건입력'!B19)/'02_대상물건입력'!B19)</f>
        <v/>
      </c>
      <c r="Z1845" s="172">
        <f>IF(OR(Y1845="",'01_설정'!B31="",'01_설정'!B31&lt;=0,'01_설정'!B32="",'01_설정'!B32&lt;=0),"",MAX(0,(1-Y1845/'01_설정'!B32))*'01_설정'!B31)</f>
        <v/>
      </c>
    </row>
    <row r="1846" ht="17.25" customHeight="1">
      <c r="A1846" s="152">
        <f>IF(INDEX('04A_국토부원자료'!$A:$A,ROW()+1)="","",ROW()-3)</f>
        <v/>
      </c>
      <c r="B1846" s="48">
        <f>IFERROR(INDEX('04A_국토부원자료'!$A:$T,ROW()+1,MATCH("시군구",'04A_국토부원자료'!$A$4:$T$4,0)),"")</f>
        <v/>
      </c>
      <c r="C1846" s="48">
        <f>IF(B1846="","",IFERROR(INDEX('04A_국토부원자료'!$A:$T,ROW()+1,MATCH("번지",'04A_국토부원자료'!$A$4:$T$4,0)),""))</f>
        <v/>
      </c>
      <c r="D1846" s="48">
        <f>IF(B1846="","",IF(Q1846=1,'02_대상물건입력'!$B$8,IFERROR(INDEX('04A_국토부원자료'!$A:$T,ROW()+1,MATCH("단지명",'04A_국토부원자료'!$A$4:$T$4,0)),"")))</f>
        <v/>
      </c>
      <c r="E1846" s="172">
        <f>IFERROR(VALUE(SUBSTITUTE(INDEX('04A_국토부원자료'!$A:$T,ROW()+1,MATCH("전용면적(㎡)",'04A_국토부원자료'!$A$4:$T$4,0)),",","")),"")</f>
        <v/>
      </c>
      <c r="F18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46" s="51">
        <f>IFERROR(VALUE(SUBSTITUTE(INDEX('04A_국토부원자료'!$A:$T,ROW()+1,MATCH("거래금액(만원)",'04A_국토부원자료'!$A$4:$T$4,0)),",","")),"")</f>
        <v/>
      </c>
      <c r="H1846" s="174">
        <f>IF(G1846="","",G1846*10000)</f>
        <v/>
      </c>
      <c r="I1846" s="174">
        <f>IFERROR(IF(AND(H1846&gt;0,E1846&gt;0),H1846/E1846,""),"")</f>
        <v/>
      </c>
      <c r="J1846" s="152">
        <f>IFERROR(VALUE(SUBSTITUTE(INDEX('04A_국토부원자료'!$A:$T,ROW()+1,MATCH("층",'04A_국토부원자료'!$A$4:$T$4,0)),",","")),"")</f>
        <v/>
      </c>
      <c r="K1846" s="152">
        <f>IFERROR(VALUE(SUBSTITUTE(INDEX('04A_국토부원자료'!$A:$T,ROW()+1,MATCH("건축년도",'04A_국토부원자료'!$A$4:$T$4,0)),",","")),"")</f>
        <v/>
      </c>
      <c r="L1846" s="176">
        <f>IFERROR(INDEX('04A_국토부원자료'!$A:$T,ROW()+1,MATCH("도로명",'04A_국토부원자료'!$A$4:$T$4,0)),"")</f>
        <v/>
      </c>
      <c r="M1846" s="48">
        <f>IFERROR(INDEX('04A_국토부원자료'!$A:$T,ROW()+1,MATCH("거래유형",'04A_국토부원자료'!$A$4:$T$4,0)),"")</f>
        <v/>
      </c>
      <c r="N1846" s="152">
        <f>IF(B1846="","",IF('02_대상물건입력'!B5="",1,IF(ISNUMBER(SEARCH('02_대상물건입력'!B5,B1846)),1,0)))</f>
        <v/>
      </c>
      <c r="O1846" s="152">
        <f>IF(B1846="","",IF('02_대상물건입력'!B6="",1,IF(ISNUMBER(SEARCH('02_대상물건입력'!B6,B1846)),1,0)))</f>
        <v/>
      </c>
      <c r="P1846" s="152">
        <f>IF(L1846="","",IF('02_대상물건입력'!B15="",0,IF(ISNUMBER(SEARCH('02_대상물건입력'!B15,L1846)),1,0)))</f>
        <v/>
      </c>
      <c r="Q1846" s="152">
        <f>IF(OR(C1846="",L1846=""),0,IF(AND(TRIM(C1846)=TRIM(RIGHT(SUBSTITUTE(TRIM('02_대상물건입력'!$B$7)," ",REPT(" ",99)),99)),IF('02_대상물건입력'!B15="",TRUE(),ISNUMBER(SEARCH('02_대상물건입력'!B15,L1846)))),1,0))</f>
        <v/>
      </c>
      <c r="R1846" s="175">
        <f>IFERROR(ABS(E1846-'02_대상물건입력'!B11)/'02_대상물건입력'!B11,"")</f>
        <v/>
      </c>
      <c r="S1846" s="152">
        <f>IFERROR(ABS(J1846-'02_대상물건입력'!B10),"")</f>
        <v/>
      </c>
      <c r="T1846" s="152">
        <f>IFERROR(ABS('01_설정'!B4-F1846),"")</f>
        <v/>
      </c>
      <c r="U1846" s="152">
        <f>IFERROR(ABS(K1846-YEAR('02_대상물건입력'!B14)),"")</f>
        <v/>
      </c>
      <c r="V1846" s="152">
        <f>IF(B1846="","",IF(AND(E1846&gt;0,F1846&gt;0,H1846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1846=1,TRUE()),R1846&lt;='01_설정'!B5,S1846&lt;='01_설정'!B6,T1846&lt;='01_설정'!B7,U1846&lt;='01_설정'!B8),"Y",""))</f>
        <v/>
      </c>
      <c r="W1846" s="172">
        <f>IF(V1846&lt;&gt;"Y","",MAX(0,(1-R1846/'01_설정'!B5))*'01_설정'!B14+MAX(0,(1-S1846/'01_설정'!B6))*'01_설정'!B15+MAX(0,(1-T1846/'01_설정'!B7))*'01_설정'!B16+MAX(0,(1-U1846/'01_설정'!B8))*'01_설정'!B17+O1846*'01_설정'!B11+Q1846*'01_설정'!B12+P1846*'01_설정'!B13+IF(Z1846="",0,Z1846))</f>
        <v/>
      </c>
      <c r="X1846" s="152">
        <f>IF(W1846="","",1+COUNTIFS($W$4:$W$3003,"&gt;"&amp;W1846)+COUNTIFS($W$4:W1846,W1846)-1)</f>
        <v/>
      </c>
      <c r="Y1846" s="175">
        <f>IF(OR(I1846="",'02_대상물건입력'!B19="",'02_대상물건입력'!B19&lt;=0),"",ABS(I1846-'02_대상물건입력'!B19)/'02_대상물건입력'!B19)</f>
        <v/>
      </c>
      <c r="Z1846" s="172">
        <f>IF(OR(Y1846="",'01_설정'!B31="",'01_설정'!B31&lt;=0,'01_설정'!B32="",'01_설정'!B32&lt;=0),"",MAX(0,(1-Y1846/'01_설정'!B32))*'01_설정'!B31)</f>
        <v/>
      </c>
    </row>
    <row r="1847" ht="17.25" customHeight="1">
      <c r="A1847" s="152">
        <f>IF(INDEX('04A_국토부원자료'!$A:$A,ROW()+1)="","",ROW()-3)</f>
        <v/>
      </c>
      <c r="B1847" s="48">
        <f>IFERROR(INDEX('04A_국토부원자료'!$A:$T,ROW()+1,MATCH("시군구",'04A_국토부원자료'!$A$4:$T$4,0)),"")</f>
        <v/>
      </c>
      <c r="C1847" s="48">
        <f>IF(B1847="","",IFERROR(INDEX('04A_국토부원자료'!$A:$T,ROW()+1,MATCH("번지",'04A_국토부원자료'!$A$4:$T$4,0)),""))</f>
        <v/>
      </c>
      <c r="D1847" s="48">
        <f>IF(B1847="","",IF(Q1847=1,'02_대상물건입력'!$B$8,IFERROR(INDEX('04A_국토부원자료'!$A:$T,ROW()+1,MATCH("단지명",'04A_국토부원자료'!$A$4:$T$4,0)),"")))</f>
        <v/>
      </c>
      <c r="E1847" s="172">
        <f>IFERROR(VALUE(SUBSTITUTE(INDEX('04A_국토부원자료'!$A:$T,ROW()+1,MATCH("전용면적(㎡)",'04A_국토부원자료'!$A$4:$T$4,0)),",","")),"")</f>
        <v/>
      </c>
      <c r="F18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47" s="51">
        <f>IFERROR(VALUE(SUBSTITUTE(INDEX('04A_국토부원자료'!$A:$T,ROW()+1,MATCH("거래금액(만원)",'04A_국토부원자료'!$A$4:$T$4,0)),",","")),"")</f>
        <v/>
      </c>
      <c r="H1847" s="174">
        <f>IF(G1847="","",G1847*10000)</f>
        <v/>
      </c>
      <c r="I1847" s="174">
        <f>IFERROR(IF(AND(H1847&gt;0,E1847&gt;0),H1847/E1847,""),"")</f>
        <v/>
      </c>
      <c r="J1847" s="152">
        <f>IFERROR(VALUE(SUBSTITUTE(INDEX('04A_국토부원자료'!$A:$T,ROW()+1,MATCH("층",'04A_국토부원자료'!$A$4:$T$4,0)),",","")),"")</f>
        <v/>
      </c>
      <c r="K1847" s="152">
        <f>IFERROR(VALUE(SUBSTITUTE(INDEX('04A_국토부원자료'!$A:$T,ROW()+1,MATCH("건축년도",'04A_국토부원자료'!$A$4:$T$4,0)),",","")),"")</f>
        <v/>
      </c>
      <c r="L1847" s="176">
        <f>IFERROR(INDEX('04A_국토부원자료'!$A:$T,ROW()+1,MATCH("도로명",'04A_국토부원자료'!$A$4:$T$4,0)),"")</f>
        <v/>
      </c>
      <c r="M1847" s="48">
        <f>IFERROR(INDEX('04A_국토부원자료'!$A:$T,ROW()+1,MATCH("거래유형",'04A_국토부원자료'!$A$4:$T$4,0)),"")</f>
        <v/>
      </c>
      <c r="N1847" s="152">
        <f>IF(B1847="","",IF('02_대상물건입력'!B5="",1,IF(ISNUMBER(SEARCH('02_대상물건입력'!B5,B1847)),1,0)))</f>
        <v/>
      </c>
      <c r="O1847" s="152">
        <f>IF(B1847="","",IF('02_대상물건입력'!B6="",1,IF(ISNUMBER(SEARCH('02_대상물건입력'!B6,B1847)),1,0)))</f>
        <v/>
      </c>
      <c r="P1847" s="152">
        <f>IF(L1847="","",IF('02_대상물건입력'!B15="",0,IF(ISNUMBER(SEARCH('02_대상물건입력'!B15,L1847)),1,0)))</f>
        <v/>
      </c>
      <c r="Q1847" s="152">
        <f>IF(OR(C1847="",L1847=""),0,IF(AND(TRIM(C1847)=TRIM(RIGHT(SUBSTITUTE(TRIM('02_대상물건입력'!$B$7)," ",REPT(" ",99)),99)),IF('02_대상물건입력'!B15="",TRUE(),ISNUMBER(SEARCH('02_대상물건입력'!B15,L1847)))),1,0))</f>
        <v/>
      </c>
      <c r="R1847" s="175">
        <f>IFERROR(ABS(E1847-'02_대상물건입력'!B11)/'02_대상물건입력'!B11,"")</f>
        <v/>
      </c>
      <c r="S1847" s="152">
        <f>IFERROR(ABS(J1847-'02_대상물건입력'!B10),"")</f>
        <v/>
      </c>
      <c r="T1847" s="152">
        <f>IFERROR(ABS('01_설정'!B4-F1847),"")</f>
        <v/>
      </c>
      <c r="U1847" s="152">
        <f>IFERROR(ABS(K1847-YEAR('02_대상물건입력'!B14)),"")</f>
        <v/>
      </c>
      <c r="V1847" s="152">
        <f>IF(B1847="","",IF(AND(E1847&gt;0,F1847&gt;0,H1847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1847=1,TRUE()),R1847&lt;='01_설정'!B5,S1847&lt;='01_설정'!B6,T1847&lt;='01_설정'!B7,U1847&lt;='01_설정'!B8),"Y",""))</f>
        <v/>
      </c>
      <c r="W1847" s="172">
        <f>IF(V1847&lt;&gt;"Y","",MAX(0,(1-R1847/'01_설정'!B5))*'01_설정'!B14+MAX(0,(1-S1847/'01_설정'!B6))*'01_설정'!B15+MAX(0,(1-T1847/'01_설정'!B7))*'01_설정'!B16+MAX(0,(1-U1847/'01_설정'!B8))*'01_설정'!B17+O1847*'01_설정'!B11+Q1847*'01_설정'!B12+P1847*'01_설정'!B13+IF(Z1847="",0,Z1847))</f>
        <v/>
      </c>
      <c r="X1847" s="152">
        <f>IF(W1847="","",1+COUNTIFS($W$4:$W$3003,"&gt;"&amp;W1847)+COUNTIFS($W$4:W1847,W1847)-1)</f>
        <v/>
      </c>
      <c r="Y1847" s="175">
        <f>IF(OR(I1847="",'02_대상물건입력'!B19="",'02_대상물건입력'!B19&lt;=0),"",ABS(I1847-'02_대상물건입력'!B19)/'02_대상물건입력'!B19)</f>
        <v/>
      </c>
      <c r="Z1847" s="172">
        <f>IF(OR(Y1847="",'01_설정'!B31="",'01_설정'!B31&lt;=0,'01_설정'!B32="",'01_설정'!B32&lt;=0),"",MAX(0,(1-Y1847/'01_설정'!B32))*'01_설정'!B31)</f>
        <v/>
      </c>
    </row>
    <row r="1848" ht="17.25" customHeight="1">
      <c r="A1848" s="152">
        <f>IF(INDEX('04A_국토부원자료'!$A:$A,ROW()+1)="","",ROW()-3)</f>
        <v/>
      </c>
      <c r="B1848" s="48">
        <f>IFERROR(INDEX('04A_국토부원자료'!$A:$T,ROW()+1,MATCH("시군구",'04A_국토부원자료'!$A$4:$T$4,0)),"")</f>
        <v/>
      </c>
      <c r="C1848" s="48">
        <f>IF(B1848="","",IFERROR(INDEX('04A_국토부원자료'!$A:$T,ROW()+1,MATCH("번지",'04A_국토부원자료'!$A$4:$T$4,0)),""))</f>
        <v/>
      </c>
      <c r="D1848" s="48">
        <f>IF(B1848="","",IF(Q1848=1,'02_대상물건입력'!$B$8,IFERROR(INDEX('04A_국토부원자료'!$A:$T,ROW()+1,MATCH("단지명",'04A_국토부원자료'!$A$4:$T$4,0)),"")))</f>
        <v/>
      </c>
      <c r="E1848" s="172">
        <f>IFERROR(VALUE(SUBSTITUTE(INDEX('04A_국토부원자료'!$A:$T,ROW()+1,MATCH("전용면적(㎡)",'04A_국토부원자료'!$A$4:$T$4,0)),",","")),"")</f>
        <v/>
      </c>
      <c r="F18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48" s="51">
        <f>IFERROR(VALUE(SUBSTITUTE(INDEX('04A_국토부원자료'!$A:$T,ROW()+1,MATCH("거래금액(만원)",'04A_국토부원자료'!$A$4:$T$4,0)),",","")),"")</f>
        <v/>
      </c>
      <c r="H1848" s="174">
        <f>IF(G1848="","",G1848*10000)</f>
        <v/>
      </c>
      <c r="I1848" s="174">
        <f>IFERROR(IF(AND(H1848&gt;0,E1848&gt;0),H1848/E1848,""),"")</f>
        <v/>
      </c>
      <c r="J1848" s="152">
        <f>IFERROR(VALUE(SUBSTITUTE(INDEX('04A_국토부원자료'!$A:$T,ROW()+1,MATCH("층",'04A_국토부원자료'!$A$4:$T$4,0)),",","")),"")</f>
        <v/>
      </c>
      <c r="K1848" s="152">
        <f>IFERROR(VALUE(SUBSTITUTE(INDEX('04A_국토부원자료'!$A:$T,ROW()+1,MATCH("건축년도",'04A_국토부원자료'!$A$4:$T$4,0)),",","")),"")</f>
        <v/>
      </c>
      <c r="L1848" s="176">
        <f>IFERROR(INDEX('04A_국토부원자료'!$A:$T,ROW()+1,MATCH("도로명",'04A_국토부원자료'!$A$4:$T$4,0)),"")</f>
        <v/>
      </c>
      <c r="M1848" s="48">
        <f>IFERROR(INDEX('04A_국토부원자료'!$A:$T,ROW()+1,MATCH("거래유형",'04A_국토부원자료'!$A$4:$T$4,0)),"")</f>
        <v/>
      </c>
      <c r="N1848" s="152">
        <f>IF(B1848="","",IF('02_대상물건입력'!B5="",1,IF(ISNUMBER(SEARCH('02_대상물건입력'!B5,B1848)),1,0)))</f>
        <v/>
      </c>
      <c r="O1848" s="152">
        <f>IF(B1848="","",IF('02_대상물건입력'!B6="",1,IF(ISNUMBER(SEARCH('02_대상물건입력'!B6,B1848)),1,0)))</f>
        <v/>
      </c>
      <c r="P1848" s="152">
        <f>IF(L1848="","",IF('02_대상물건입력'!B15="",0,IF(ISNUMBER(SEARCH('02_대상물건입력'!B15,L1848)),1,0)))</f>
        <v/>
      </c>
      <c r="Q1848" s="152">
        <f>IF(OR(C1848="",L1848=""),0,IF(AND(TRIM(C1848)=TRIM(RIGHT(SUBSTITUTE(TRIM('02_대상물건입력'!$B$7)," ",REPT(" ",99)),99)),IF('02_대상물건입력'!B15="",TRUE(),ISNUMBER(SEARCH('02_대상물건입력'!B15,L1848)))),1,0))</f>
        <v/>
      </c>
      <c r="R1848" s="175">
        <f>IFERROR(ABS(E1848-'02_대상물건입력'!B11)/'02_대상물건입력'!B11,"")</f>
        <v/>
      </c>
      <c r="S1848" s="152">
        <f>IFERROR(ABS(J1848-'02_대상물건입력'!B10),"")</f>
        <v/>
      </c>
      <c r="T1848" s="152">
        <f>IFERROR(ABS('01_설정'!B4-F1848),"")</f>
        <v/>
      </c>
      <c r="U1848" s="152">
        <f>IFERROR(ABS(K1848-YEAR('02_대상물건입력'!B14)),"")</f>
        <v/>
      </c>
      <c r="V1848" s="152">
        <f>IF(B1848="","",IF(AND(E1848&gt;0,F1848&gt;0,H1848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1848=1,TRUE()),R1848&lt;='01_설정'!B5,S1848&lt;='01_설정'!B6,T1848&lt;='01_설정'!B7,U1848&lt;='01_설정'!B8),"Y",""))</f>
        <v/>
      </c>
      <c r="W1848" s="172">
        <f>IF(V1848&lt;&gt;"Y","",MAX(0,(1-R1848/'01_설정'!B5))*'01_설정'!B14+MAX(0,(1-S1848/'01_설정'!B6))*'01_설정'!B15+MAX(0,(1-T1848/'01_설정'!B7))*'01_설정'!B16+MAX(0,(1-U1848/'01_설정'!B8))*'01_설정'!B17+O1848*'01_설정'!B11+Q1848*'01_설정'!B12+P1848*'01_설정'!B13+IF(Z1848="",0,Z1848))</f>
        <v/>
      </c>
      <c r="X1848" s="152">
        <f>IF(W1848="","",1+COUNTIFS($W$4:$W$3003,"&gt;"&amp;W1848)+COUNTIFS($W$4:W1848,W1848)-1)</f>
        <v/>
      </c>
      <c r="Y1848" s="175">
        <f>IF(OR(I1848="",'02_대상물건입력'!B19="",'02_대상물건입력'!B19&lt;=0),"",ABS(I1848-'02_대상물건입력'!B19)/'02_대상물건입력'!B19)</f>
        <v/>
      </c>
      <c r="Z1848" s="172">
        <f>IF(OR(Y1848="",'01_설정'!B31="",'01_설정'!B31&lt;=0,'01_설정'!B32="",'01_설정'!B32&lt;=0),"",MAX(0,(1-Y1848/'01_설정'!B32))*'01_설정'!B31)</f>
        <v/>
      </c>
    </row>
    <row r="1849" ht="17.25" customHeight="1">
      <c r="A1849" s="152">
        <f>IF(INDEX('04A_국토부원자료'!$A:$A,ROW()+1)="","",ROW()-3)</f>
        <v/>
      </c>
      <c r="B1849" s="48">
        <f>IFERROR(INDEX('04A_국토부원자료'!$A:$T,ROW()+1,MATCH("시군구",'04A_국토부원자료'!$A$4:$T$4,0)),"")</f>
        <v/>
      </c>
      <c r="C1849" s="48">
        <f>IF(B1849="","",IFERROR(INDEX('04A_국토부원자료'!$A:$T,ROW()+1,MATCH("번지",'04A_국토부원자료'!$A$4:$T$4,0)),""))</f>
        <v/>
      </c>
      <c r="D1849" s="48">
        <f>IF(B1849="","",IF(Q1849=1,'02_대상물건입력'!$B$8,IFERROR(INDEX('04A_국토부원자료'!$A:$T,ROW()+1,MATCH("단지명",'04A_국토부원자료'!$A$4:$T$4,0)),"")))</f>
        <v/>
      </c>
      <c r="E1849" s="172">
        <f>IFERROR(VALUE(SUBSTITUTE(INDEX('04A_국토부원자료'!$A:$T,ROW()+1,MATCH("전용면적(㎡)",'04A_국토부원자료'!$A$4:$T$4,0)),",","")),"")</f>
        <v/>
      </c>
      <c r="F18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49" s="51">
        <f>IFERROR(VALUE(SUBSTITUTE(INDEX('04A_국토부원자료'!$A:$T,ROW()+1,MATCH("거래금액(만원)",'04A_국토부원자료'!$A$4:$T$4,0)),",","")),"")</f>
        <v/>
      </c>
      <c r="H1849" s="174">
        <f>IF(G1849="","",G1849*10000)</f>
        <v/>
      </c>
      <c r="I1849" s="174">
        <f>IFERROR(IF(AND(H1849&gt;0,E1849&gt;0),H1849/E1849,""),"")</f>
        <v/>
      </c>
      <c r="J1849" s="152">
        <f>IFERROR(VALUE(SUBSTITUTE(INDEX('04A_국토부원자료'!$A:$T,ROW()+1,MATCH("층",'04A_국토부원자료'!$A$4:$T$4,0)),",","")),"")</f>
        <v/>
      </c>
      <c r="K1849" s="152">
        <f>IFERROR(VALUE(SUBSTITUTE(INDEX('04A_국토부원자료'!$A:$T,ROW()+1,MATCH("건축년도",'04A_국토부원자료'!$A$4:$T$4,0)),",","")),"")</f>
        <v/>
      </c>
      <c r="L1849" s="176">
        <f>IFERROR(INDEX('04A_국토부원자료'!$A:$T,ROW()+1,MATCH("도로명",'04A_국토부원자료'!$A$4:$T$4,0)),"")</f>
        <v/>
      </c>
      <c r="M1849" s="48">
        <f>IFERROR(INDEX('04A_국토부원자료'!$A:$T,ROW()+1,MATCH("거래유형",'04A_국토부원자료'!$A$4:$T$4,0)),"")</f>
        <v/>
      </c>
      <c r="N1849" s="152">
        <f>IF(B1849="","",IF('02_대상물건입력'!B5="",1,IF(ISNUMBER(SEARCH('02_대상물건입력'!B5,B1849)),1,0)))</f>
        <v/>
      </c>
      <c r="O1849" s="152">
        <f>IF(B1849="","",IF('02_대상물건입력'!B6="",1,IF(ISNUMBER(SEARCH('02_대상물건입력'!B6,B1849)),1,0)))</f>
        <v/>
      </c>
      <c r="P1849" s="152">
        <f>IF(L1849="","",IF('02_대상물건입력'!B15="",0,IF(ISNUMBER(SEARCH('02_대상물건입력'!B15,L1849)),1,0)))</f>
        <v/>
      </c>
      <c r="Q1849" s="152">
        <f>IF(OR(C1849="",L1849=""),0,IF(AND(TRIM(C1849)=TRIM(RIGHT(SUBSTITUTE(TRIM('02_대상물건입력'!$B$7)," ",REPT(" ",99)),99)),IF('02_대상물건입력'!B15="",TRUE(),ISNUMBER(SEARCH('02_대상물건입력'!B15,L1849)))),1,0))</f>
        <v/>
      </c>
      <c r="R1849" s="175">
        <f>IFERROR(ABS(E1849-'02_대상물건입력'!B11)/'02_대상물건입력'!B11,"")</f>
        <v/>
      </c>
      <c r="S1849" s="152">
        <f>IFERROR(ABS(J1849-'02_대상물건입력'!B10),"")</f>
        <v/>
      </c>
      <c r="T1849" s="152">
        <f>IFERROR(ABS('01_설정'!B4-F1849),"")</f>
        <v/>
      </c>
      <c r="U1849" s="152">
        <f>IFERROR(ABS(K1849-YEAR('02_대상물건입력'!B14)),"")</f>
        <v/>
      </c>
      <c r="V1849" s="152">
        <f>IF(B1849="","",IF(AND(E1849&gt;0,F1849&gt;0,H1849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1849=1,TRUE()),R1849&lt;='01_설정'!B5,S1849&lt;='01_설정'!B6,T1849&lt;='01_설정'!B7,U1849&lt;='01_설정'!B8),"Y",""))</f>
        <v/>
      </c>
      <c r="W1849" s="172">
        <f>IF(V1849&lt;&gt;"Y","",MAX(0,(1-R1849/'01_설정'!B5))*'01_설정'!B14+MAX(0,(1-S1849/'01_설정'!B6))*'01_설정'!B15+MAX(0,(1-T1849/'01_설정'!B7))*'01_설정'!B16+MAX(0,(1-U1849/'01_설정'!B8))*'01_설정'!B17+O1849*'01_설정'!B11+Q1849*'01_설정'!B12+P1849*'01_설정'!B13+IF(Z1849="",0,Z1849))</f>
        <v/>
      </c>
      <c r="X1849" s="152">
        <f>IF(W1849="","",1+COUNTIFS($W$4:$W$3003,"&gt;"&amp;W1849)+COUNTIFS($W$4:W1849,W1849)-1)</f>
        <v/>
      </c>
      <c r="Y1849" s="175">
        <f>IF(OR(I1849="",'02_대상물건입력'!B19="",'02_대상물건입력'!B19&lt;=0),"",ABS(I1849-'02_대상물건입력'!B19)/'02_대상물건입력'!B19)</f>
        <v/>
      </c>
      <c r="Z1849" s="172">
        <f>IF(OR(Y1849="",'01_설정'!B31="",'01_설정'!B31&lt;=0,'01_설정'!B32="",'01_설정'!B32&lt;=0),"",MAX(0,(1-Y1849/'01_설정'!B32))*'01_설정'!B31)</f>
        <v/>
      </c>
    </row>
    <row r="1850" ht="17.25" customHeight="1">
      <c r="A1850" s="152">
        <f>IF(INDEX('04A_국토부원자료'!$A:$A,ROW()+1)="","",ROW()-3)</f>
        <v/>
      </c>
      <c r="B1850" s="48">
        <f>IFERROR(INDEX('04A_국토부원자료'!$A:$T,ROW()+1,MATCH("시군구",'04A_국토부원자료'!$A$4:$T$4,0)),"")</f>
        <v/>
      </c>
      <c r="C1850" s="48">
        <f>IF(B1850="","",IFERROR(INDEX('04A_국토부원자료'!$A:$T,ROW()+1,MATCH("번지",'04A_국토부원자료'!$A$4:$T$4,0)),""))</f>
        <v/>
      </c>
      <c r="D1850" s="48">
        <f>IF(B1850="","",IF(Q1850=1,'02_대상물건입력'!$B$8,IFERROR(INDEX('04A_국토부원자료'!$A:$T,ROW()+1,MATCH("단지명",'04A_국토부원자료'!$A$4:$T$4,0)),"")))</f>
        <v/>
      </c>
      <c r="E1850" s="172">
        <f>IFERROR(VALUE(SUBSTITUTE(INDEX('04A_국토부원자료'!$A:$T,ROW()+1,MATCH("전용면적(㎡)",'04A_국토부원자료'!$A$4:$T$4,0)),",","")),"")</f>
        <v/>
      </c>
      <c r="F18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50" s="51">
        <f>IFERROR(VALUE(SUBSTITUTE(INDEX('04A_국토부원자료'!$A:$T,ROW()+1,MATCH("거래금액(만원)",'04A_국토부원자료'!$A$4:$T$4,0)),",","")),"")</f>
        <v/>
      </c>
      <c r="H1850" s="174">
        <f>IF(G1850="","",G1850*10000)</f>
        <v/>
      </c>
      <c r="I1850" s="174">
        <f>IFERROR(IF(AND(H1850&gt;0,E1850&gt;0),H1850/E1850,""),"")</f>
        <v/>
      </c>
      <c r="J1850" s="152">
        <f>IFERROR(VALUE(SUBSTITUTE(INDEX('04A_국토부원자료'!$A:$T,ROW()+1,MATCH("층",'04A_국토부원자료'!$A$4:$T$4,0)),",","")),"")</f>
        <v/>
      </c>
      <c r="K1850" s="152">
        <f>IFERROR(VALUE(SUBSTITUTE(INDEX('04A_국토부원자료'!$A:$T,ROW()+1,MATCH("건축년도",'04A_국토부원자료'!$A$4:$T$4,0)),",","")),"")</f>
        <v/>
      </c>
      <c r="L1850" s="176">
        <f>IFERROR(INDEX('04A_국토부원자료'!$A:$T,ROW()+1,MATCH("도로명",'04A_국토부원자료'!$A$4:$T$4,0)),"")</f>
        <v/>
      </c>
      <c r="M1850" s="48">
        <f>IFERROR(INDEX('04A_국토부원자료'!$A:$T,ROW()+1,MATCH("거래유형",'04A_국토부원자료'!$A$4:$T$4,0)),"")</f>
        <v/>
      </c>
      <c r="N1850" s="152">
        <f>IF(B1850="","",IF('02_대상물건입력'!B5="",1,IF(ISNUMBER(SEARCH('02_대상물건입력'!B5,B1850)),1,0)))</f>
        <v/>
      </c>
      <c r="O1850" s="152">
        <f>IF(B1850="","",IF('02_대상물건입력'!B6="",1,IF(ISNUMBER(SEARCH('02_대상물건입력'!B6,B1850)),1,0)))</f>
        <v/>
      </c>
      <c r="P1850" s="152">
        <f>IF(L1850="","",IF('02_대상물건입력'!B15="",0,IF(ISNUMBER(SEARCH('02_대상물건입력'!B15,L1850)),1,0)))</f>
        <v/>
      </c>
      <c r="Q1850" s="152">
        <f>IF(OR(C1850="",L1850=""),0,IF(AND(TRIM(C1850)=TRIM(RIGHT(SUBSTITUTE(TRIM('02_대상물건입력'!$B$7)," ",REPT(" ",99)),99)),IF('02_대상물건입력'!B15="",TRUE(),ISNUMBER(SEARCH('02_대상물건입력'!B15,L1850)))),1,0))</f>
        <v/>
      </c>
      <c r="R1850" s="175">
        <f>IFERROR(ABS(E1850-'02_대상물건입력'!B11)/'02_대상물건입력'!B11,"")</f>
        <v/>
      </c>
      <c r="S1850" s="152">
        <f>IFERROR(ABS(J1850-'02_대상물건입력'!B10),"")</f>
        <v/>
      </c>
      <c r="T1850" s="152">
        <f>IFERROR(ABS('01_설정'!B4-F1850),"")</f>
        <v/>
      </c>
      <c r="U1850" s="152">
        <f>IFERROR(ABS(K1850-YEAR('02_대상물건입력'!B14)),"")</f>
        <v/>
      </c>
      <c r="V1850" s="152">
        <f>IF(B1850="","",IF(AND(E1850&gt;0,F1850&gt;0,H1850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1850=1,TRUE()),R1850&lt;='01_설정'!B5,S1850&lt;='01_설정'!B6,T1850&lt;='01_설정'!B7,U1850&lt;='01_설정'!B8),"Y",""))</f>
        <v/>
      </c>
      <c r="W1850" s="172">
        <f>IF(V1850&lt;&gt;"Y","",MAX(0,(1-R1850/'01_설정'!B5))*'01_설정'!B14+MAX(0,(1-S1850/'01_설정'!B6))*'01_설정'!B15+MAX(0,(1-T1850/'01_설정'!B7))*'01_설정'!B16+MAX(0,(1-U1850/'01_설정'!B8))*'01_설정'!B17+O1850*'01_설정'!B11+Q1850*'01_설정'!B12+P1850*'01_설정'!B13+IF(Z1850="",0,Z1850))</f>
        <v/>
      </c>
      <c r="X1850" s="152">
        <f>IF(W1850="","",1+COUNTIFS($W$4:$W$3003,"&gt;"&amp;W1850)+COUNTIFS($W$4:W1850,W1850)-1)</f>
        <v/>
      </c>
      <c r="Y1850" s="175">
        <f>IF(OR(I1850="",'02_대상물건입력'!B19="",'02_대상물건입력'!B19&lt;=0),"",ABS(I1850-'02_대상물건입력'!B19)/'02_대상물건입력'!B19)</f>
        <v/>
      </c>
      <c r="Z1850" s="172">
        <f>IF(OR(Y1850="",'01_설정'!B31="",'01_설정'!B31&lt;=0,'01_설정'!B32="",'01_설정'!B32&lt;=0),"",MAX(0,(1-Y1850/'01_설정'!B32))*'01_설정'!B31)</f>
        <v/>
      </c>
    </row>
    <row r="1851" ht="17.25" customHeight="1">
      <c r="A1851" s="152">
        <f>IF(INDEX('04A_국토부원자료'!$A:$A,ROW()+1)="","",ROW()-3)</f>
        <v/>
      </c>
      <c r="B1851" s="48">
        <f>IFERROR(INDEX('04A_국토부원자료'!$A:$T,ROW()+1,MATCH("시군구",'04A_국토부원자료'!$A$4:$T$4,0)),"")</f>
        <v/>
      </c>
      <c r="C1851" s="48">
        <f>IF(B1851="","",IFERROR(INDEX('04A_국토부원자료'!$A:$T,ROW()+1,MATCH("번지",'04A_국토부원자료'!$A$4:$T$4,0)),""))</f>
        <v/>
      </c>
      <c r="D1851" s="48">
        <f>IF(B1851="","",IF(Q1851=1,'02_대상물건입력'!$B$8,IFERROR(INDEX('04A_국토부원자료'!$A:$T,ROW()+1,MATCH("단지명",'04A_국토부원자료'!$A$4:$T$4,0)),"")))</f>
        <v/>
      </c>
      <c r="E1851" s="172">
        <f>IFERROR(VALUE(SUBSTITUTE(INDEX('04A_국토부원자료'!$A:$T,ROW()+1,MATCH("전용면적(㎡)",'04A_국토부원자료'!$A$4:$T$4,0)),",","")),"")</f>
        <v/>
      </c>
      <c r="F18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51" s="51">
        <f>IFERROR(VALUE(SUBSTITUTE(INDEX('04A_국토부원자료'!$A:$T,ROW()+1,MATCH("거래금액(만원)",'04A_국토부원자료'!$A$4:$T$4,0)),",","")),"")</f>
        <v/>
      </c>
      <c r="H1851" s="174">
        <f>IF(G1851="","",G1851*10000)</f>
        <v/>
      </c>
      <c r="I1851" s="174">
        <f>IFERROR(IF(AND(H1851&gt;0,E1851&gt;0),H1851/E1851,""),"")</f>
        <v/>
      </c>
      <c r="J1851" s="152">
        <f>IFERROR(VALUE(SUBSTITUTE(INDEX('04A_국토부원자료'!$A:$T,ROW()+1,MATCH("층",'04A_국토부원자료'!$A$4:$T$4,0)),",","")),"")</f>
        <v/>
      </c>
      <c r="K1851" s="152">
        <f>IFERROR(VALUE(SUBSTITUTE(INDEX('04A_국토부원자료'!$A:$T,ROW()+1,MATCH("건축년도",'04A_국토부원자료'!$A$4:$T$4,0)),",","")),"")</f>
        <v/>
      </c>
      <c r="L1851" s="176">
        <f>IFERROR(INDEX('04A_국토부원자료'!$A:$T,ROW()+1,MATCH("도로명",'04A_국토부원자료'!$A$4:$T$4,0)),"")</f>
        <v/>
      </c>
      <c r="M1851" s="48">
        <f>IFERROR(INDEX('04A_국토부원자료'!$A:$T,ROW()+1,MATCH("거래유형",'04A_국토부원자료'!$A$4:$T$4,0)),"")</f>
        <v/>
      </c>
      <c r="N1851" s="152">
        <f>IF(B1851="","",IF('02_대상물건입력'!B5="",1,IF(ISNUMBER(SEARCH('02_대상물건입력'!B5,B1851)),1,0)))</f>
        <v/>
      </c>
      <c r="O1851" s="152">
        <f>IF(B1851="","",IF('02_대상물건입력'!B6="",1,IF(ISNUMBER(SEARCH('02_대상물건입력'!B6,B1851)),1,0)))</f>
        <v/>
      </c>
      <c r="P1851" s="152">
        <f>IF(L1851="","",IF('02_대상물건입력'!B15="",0,IF(ISNUMBER(SEARCH('02_대상물건입력'!B15,L1851)),1,0)))</f>
        <v/>
      </c>
      <c r="Q1851" s="152">
        <f>IF(OR(C1851="",L1851=""),0,IF(AND(TRIM(C1851)=TRIM(RIGHT(SUBSTITUTE(TRIM('02_대상물건입력'!$B$7)," ",REPT(" ",99)),99)),IF('02_대상물건입력'!B15="",TRUE(),ISNUMBER(SEARCH('02_대상물건입력'!B15,L1851)))),1,0))</f>
        <v/>
      </c>
      <c r="R1851" s="175">
        <f>IFERROR(ABS(E1851-'02_대상물건입력'!B11)/'02_대상물건입력'!B11,"")</f>
        <v/>
      </c>
      <c r="S1851" s="152">
        <f>IFERROR(ABS(J1851-'02_대상물건입력'!B10),"")</f>
        <v/>
      </c>
      <c r="T1851" s="152">
        <f>IFERROR(ABS('01_설정'!B4-F1851),"")</f>
        <v/>
      </c>
      <c r="U1851" s="152">
        <f>IFERROR(ABS(K1851-YEAR('02_대상물건입력'!B14)),"")</f>
        <v/>
      </c>
      <c r="V1851" s="152">
        <f>IF(B1851="","",IF(AND(E1851&gt;0,F1851&gt;0,H1851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1851=1,TRUE()),R1851&lt;='01_설정'!B5,S1851&lt;='01_설정'!B6,T1851&lt;='01_설정'!B7,U1851&lt;='01_설정'!B8),"Y",""))</f>
        <v/>
      </c>
      <c r="W1851" s="172">
        <f>IF(V1851&lt;&gt;"Y","",MAX(0,(1-R1851/'01_설정'!B5))*'01_설정'!B14+MAX(0,(1-S1851/'01_설정'!B6))*'01_설정'!B15+MAX(0,(1-T1851/'01_설정'!B7))*'01_설정'!B16+MAX(0,(1-U1851/'01_설정'!B8))*'01_설정'!B17+O1851*'01_설정'!B11+Q1851*'01_설정'!B12+P1851*'01_설정'!B13+IF(Z1851="",0,Z1851))</f>
        <v/>
      </c>
      <c r="X1851" s="152">
        <f>IF(W1851="","",1+COUNTIFS($W$4:$W$3003,"&gt;"&amp;W1851)+COUNTIFS($W$4:W1851,W1851)-1)</f>
        <v/>
      </c>
      <c r="Y1851" s="175">
        <f>IF(OR(I1851="",'02_대상물건입력'!B19="",'02_대상물건입력'!B19&lt;=0),"",ABS(I1851-'02_대상물건입력'!B19)/'02_대상물건입력'!B19)</f>
        <v/>
      </c>
      <c r="Z1851" s="172">
        <f>IF(OR(Y1851="",'01_설정'!B31="",'01_설정'!B31&lt;=0,'01_설정'!B32="",'01_설정'!B32&lt;=0),"",MAX(0,(1-Y1851/'01_설정'!B32))*'01_설정'!B31)</f>
        <v/>
      </c>
    </row>
    <row r="1852" ht="17.25" customHeight="1">
      <c r="A1852" s="152">
        <f>IF(INDEX('04A_국토부원자료'!$A:$A,ROW()+1)="","",ROW()-3)</f>
        <v/>
      </c>
      <c r="B1852" s="48">
        <f>IFERROR(INDEX('04A_국토부원자료'!$A:$T,ROW()+1,MATCH("시군구",'04A_국토부원자료'!$A$4:$T$4,0)),"")</f>
        <v/>
      </c>
      <c r="C1852" s="48">
        <f>IF(B1852="","",IFERROR(INDEX('04A_국토부원자료'!$A:$T,ROW()+1,MATCH("번지",'04A_국토부원자료'!$A$4:$T$4,0)),""))</f>
        <v/>
      </c>
      <c r="D1852" s="48">
        <f>IF(B1852="","",IF(Q1852=1,'02_대상물건입력'!$B$8,IFERROR(INDEX('04A_국토부원자료'!$A:$T,ROW()+1,MATCH("단지명",'04A_국토부원자료'!$A$4:$T$4,0)),"")))</f>
        <v/>
      </c>
      <c r="E1852" s="172">
        <f>IFERROR(VALUE(SUBSTITUTE(INDEX('04A_국토부원자료'!$A:$T,ROW()+1,MATCH("전용면적(㎡)",'04A_국토부원자료'!$A$4:$T$4,0)),",","")),"")</f>
        <v/>
      </c>
      <c r="F18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52" s="51">
        <f>IFERROR(VALUE(SUBSTITUTE(INDEX('04A_국토부원자료'!$A:$T,ROW()+1,MATCH("거래금액(만원)",'04A_국토부원자료'!$A$4:$T$4,0)),",","")),"")</f>
        <v/>
      </c>
      <c r="H1852" s="174">
        <f>IF(G1852="","",G1852*10000)</f>
        <v/>
      </c>
      <c r="I1852" s="174">
        <f>IFERROR(IF(AND(H1852&gt;0,E1852&gt;0),H1852/E1852,""),"")</f>
        <v/>
      </c>
      <c r="J1852" s="152">
        <f>IFERROR(VALUE(SUBSTITUTE(INDEX('04A_국토부원자료'!$A:$T,ROW()+1,MATCH("층",'04A_국토부원자료'!$A$4:$T$4,0)),",","")),"")</f>
        <v/>
      </c>
      <c r="K1852" s="152">
        <f>IFERROR(VALUE(SUBSTITUTE(INDEX('04A_국토부원자료'!$A:$T,ROW()+1,MATCH("건축년도",'04A_국토부원자료'!$A$4:$T$4,0)),",","")),"")</f>
        <v/>
      </c>
      <c r="L1852" s="176">
        <f>IFERROR(INDEX('04A_국토부원자료'!$A:$T,ROW()+1,MATCH("도로명",'04A_국토부원자료'!$A$4:$T$4,0)),"")</f>
        <v/>
      </c>
      <c r="M1852" s="48">
        <f>IFERROR(INDEX('04A_국토부원자료'!$A:$T,ROW()+1,MATCH("거래유형",'04A_국토부원자료'!$A$4:$T$4,0)),"")</f>
        <v/>
      </c>
      <c r="N1852" s="152">
        <f>IF(B1852="","",IF('02_대상물건입력'!B5="",1,IF(ISNUMBER(SEARCH('02_대상물건입력'!B5,B1852)),1,0)))</f>
        <v/>
      </c>
      <c r="O1852" s="152">
        <f>IF(B1852="","",IF('02_대상물건입력'!B6="",1,IF(ISNUMBER(SEARCH('02_대상물건입력'!B6,B1852)),1,0)))</f>
        <v/>
      </c>
      <c r="P1852" s="152">
        <f>IF(L1852="","",IF('02_대상물건입력'!B15="",0,IF(ISNUMBER(SEARCH('02_대상물건입력'!B15,L1852)),1,0)))</f>
        <v/>
      </c>
      <c r="Q1852" s="152">
        <f>IF(OR(C1852="",L1852=""),0,IF(AND(TRIM(C1852)=TRIM(RIGHT(SUBSTITUTE(TRIM('02_대상물건입력'!$B$7)," ",REPT(" ",99)),99)),IF('02_대상물건입력'!B15="",TRUE(),ISNUMBER(SEARCH('02_대상물건입력'!B15,L1852)))),1,0))</f>
        <v/>
      </c>
      <c r="R1852" s="175">
        <f>IFERROR(ABS(E1852-'02_대상물건입력'!B11)/'02_대상물건입력'!B11,"")</f>
        <v/>
      </c>
      <c r="S1852" s="152">
        <f>IFERROR(ABS(J1852-'02_대상물건입력'!B10),"")</f>
        <v/>
      </c>
      <c r="T1852" s="152">
        <f>IFERROR(ABS('01_설정'!B4-F1852),"")</f>
        <v/>
      </c>
      <c r="U1852" s="152">
        <f>IFERROR(ABS(K1852-YEAR('02_대상물건입력'!B14)),"")</f>
        <v/>
      </c>
      <c r="V1852" s="152">
        <f>IF(B1852="","",IF(AND(E1852&gt;0,F1852&gt;0,H1852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1852=1,TRUE()),R1852&lt;='01_설정'!B5,S1852&lt;='01_설정'!B6,T1852&lt;='01_설정'!B7,U1852&lt;='01_설정'!B8),"Y",""))</f>
        <v/>
      </c>
      <c r="W1852" s="172">
        <f>IF(V1852&lt;&gt;"Y","",MAX(0,(1-R1852/'01_설정'!B5))*'01_설정'!B14+MAX(0,(1-S1852/'01_설정'!B6))*'01_설정'!B15+MAX(0,(1-T1852/'01_설정'!B7))*'01_설정'!B16+MAX(0,(1-U1852/'01_설정'!B8))*'01_설정'!B17+O1852*'01_설정'!B11+Q1852*'01_설정'!B12+P1852*'01_설정'!B13+IF(Z1852="",0,Z1852))</f>
        <v/>
      </c>
      <c r="X1852" s="152">
        <f>IF(W1852="","",1+COUNTIFS($W$4:$W$3003,"&gt;"&amp;W1852)+COUNTIFS($W$4:W1852,W1852)-1)</f>
        <v/>
      </c>
      <c r="Y1852" s="175">
        <f>IF(OR(I1852="",'02_대상물건입력'!B19="",'02_대상물건입력'!B19&lt;=0),"",ABS(I1852-'02_대상물건입력'!B19)/'02_대상물건입력'!B19)</f>
        <v/>
      </c>
      <c r="Z1852" s="172">
        <f>IF(OR(Y1852="",'01_설정'!B31="",'01_설정'!B31&lt;=0,'01_설정'!B32="",'01_설정'!B32&lt;=0),"",MAX(0,(1-Y1852/'01_설정'!B32))*'01_설정'!B31)</f>
        <v/>
      </c>
    </row>
    <row r="1853" ht="17.25" customHeight="1">
      <c r="A1853" s="152">
        <f>IF(INDEX('04A_국토부원자료'!$A:$A,ROW()+1)="","",ROW()-3)</f>
        <v/>
      </c>
      <c r="B1853" s="48">
        <f>IFERROR(INDEX('04A_국토부원자료'!$A:$T,ROW()+1,MATCH("시군구",'04A_국토부원자료'!$A$4:$T$4,0)),"")</f>
        <v/>
      </c>
      <c r="C1853" s="48">
        <f>IF(B1853="","",IFERROR(INDEX('04A_국토부원자료'!$A:$T,ROW()+1,MATCH("번지",'04A_국토부원자료'!$A$4:$T$4,0)),""))</f>
        <v/>
      </c>
      <c r="D1853" s="48">
        <f>IF(B1853="","",IF(Q1853=1,'02_대상물건입력'!$B$8,IFERROR(INDEX('04A_국토부원자료'!$A:$T,ROW()+1,MATCH("단지명",'04A_국토부원자료'!$A$4:$T$4,0)),"")))</f>
        <v/>
      </c>
      <c r="E1853" s="172">
        <f>IFERROR(VALUE(SUBSTITUTE(INDEX('04A_국토부원자료'!$A:$T,ROW()+1,MATCH("전용면적(㎡)",'04A_국토부원자료'!$A$4:$T$4,0)),",","")),"")</f>
        <v/>
      </c>
      <c r="F18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53" s="51">
        <f>IFERROR(VALUE(SUBSTITUTE(INDEX('04A_국토부원자료'!$A:$T,ROW()+1,MATCH("거래금액(만원)",'04A_국토부원자료'!$A$4:$T$4,0)),",","")),"")</f>
        <v/>
      </c>
      <c r="H1853" s="174">
        <f>IF(G1853="","",G1853*10000)</f>
        <v/>
      </c>
      <c r="I1853" s="174">
        <f>IFERROR(IF(AND(H1853&gt;0,E1853&gt;0),H1853/E1853,""),"")</f>
        <v/>
      </c>
      <c r="J1853" s="152">
        <f>IFERROR(VALUE(SUBSTITUTE(INDEX('04A_국토부원자료'!$A:$T,ROW()+1,MATCH("층",'04A_국토부원자료'!$A$4:$T$4,0)),",","")),"")</f>
        <v/>
      </c>
      <c r="K1853" s="152">
        <f>IFERROR(VALUE(SUBSTITUTE(INDEX('04A_국토부원자료'!$A:$T,ROW()+1,MATCH("건축년도",'04A_국토부원자료'!$A$4:$T$4,0)),",","")),"")</f>
        <v/>
      </c>
      <c r="L1853" s="176">
        <f>IFERROR(INDEX('04A_국토부원자료'!$A:$T,ROW()+1,MATCH("도로명",'04A_국토부원자료'!$A$4:$T$4,0)),"")</f>
        <v/>
      </c>
      <c r="M1853" s="48">
        <f>IFERROR(INDEX('04A_국토부원자료'!$A:$T,ROW()+1,MATCH("거래유형",'04A_국토부원자료'!$A$4:$T$4,0)),"")</f>
        <v/>
      </c>
      <c r="N1853" s="152">
        <f>IF(B1853="","",IF('02_대상물건입력'!B5="",1,IF(ISNUMBER(SEARCH('02_대상물건입력'!B5,B1853)),1,0)))</f>
        <v/>
      </c>
      <c r="O1853" s="152">
        <f>IF(B1853="","",IF('02_대상물건입력'!B6="",1,IF(ISNUMBER(SEARCH('02_대상물건입력'!B6,B1853)),1,0)))</f>
        <v/>
      </c>
      <c r="P1853" s="152">
        <f>IF(L1853="","",IF('02_대상물건입력'!B15="",0,IF(ISNUMBER(SEARCH('02_대상물건입력'!B15,L1853)),1,0)))</f>
        <v/>
      </c>
      <c r="Q1853" s="152">
        <f>IF(OR(C1853="",L1853=""),0,IF(AND(TRIM(C1853)=TRIM(RIGHT(SUBSTITUTE(TRIM('02_대상물건입력'!$B$7)," ",REPT(" ",99)),99)),IF('02_대상물건입력'!B15="",TRUE(),ISNUMBER(SEARCH('02_대상물건입력'!B15,L1853)))),1,0))</f>
        <v/>
      </c>
      <c r="R1853" s="175">
        <f>IFERROR(ABS(E1853-'02_대상물건입력'!B11)/'02_대상물건입력'!B11,"")</f>
        <v/>
      </c>
      <c r="S1853" s="152">
        <f>IFERROR(ABS(J1853-'02_대상물건입력'!B10),"")</f>
        <v/>
      </c>
      <c r="T1853" s="152">
        <f>IFERROR(ABS('01_설정'!B4-F1853),"")</f>
        <v/>
      </c>
      <c r="U1853" s="152">
        <f>IFERROR(ABS(K1853-YEAR('02_대상물건입력'!B14)),"")</f>
        <v/>
      </c>
      <c r="V1853" s="152">
        <f>IF(B1853="","",IF(AND(E1853&gt;0,F1853&gt;0,H1853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1853=1,TRUE()),R1853&lt;='01_설정'!B5,S1853&lt;='01_설정'!B6,T1853&lt;='01_설정'!B7,U1853&lt;='01_설정'!B8),"Y",""))</f>
        <v/>
      </c>
      <c r="W1853" s="172">
        <f>IF(V1853&lt;&gt;"Y","",MAX(0,(1-R1853/'01_설정'!B5))*'01_설정'!B14+MAX(0,(1-S1853/'01_설정'!B6))*'01_설정'!B15+MAX(0,(1-T1853/'01_설정'!B7))*'01_설정'!B16+MAX(0,(1-U1853/'01_설정'!B8))*'01_설정'!B17+O1853*'01_설정'!B11+Q1853*'01_설정'!B12+P1853*'01_설정'!B13+IF(Z1853="",0,Z1853))</f>
        <v/>
      </c>
      <c r="X1853" s="152">
        <f>IF(W1853="","",1+COUNTIFS($W$4:$W$3003,"&gt;"&amp;W1853)+COUNTIFS($W$4:W1853,W1853)-1)</f>
        <v/>
      </c>
      <c r="Y1853" s="175">
        <f>IF(OR(I1853="",'02_대상물건입력'!B19="",'02_대상물건입력'!B19&lt;=0),"",ABS(I1853-'02_대상물건입력'!B19)/'02_대상물건입력'!B19)</f>
        <v/>
      </c>
      <c r="Z1853" s="172">
        <f>IF(OR(Y1853="",'01_설정'!B31="",'01_설정'!B31&lt;=0,'01_설정'!B32="",'01_설정'!B32&lt;=0),"",MAX(0,(1-Y1853/'01_설정'!B32))*'01_설정'!B31)</f>
        <v/>
      </c>
    </row>
    <row r="1854" ht="17.25" customHeight="1">
      <c r="A1854" s="152">
        <f>IF(INDEX('04A_국토부원자료'!$A:$A,ROW()+1)="","",ROW()-3)</f>
        <v/>
      </c>
      <c r="B1854" s="48">
        <f>IFERROR(INDEX('04A_국토부원자료'!$A:$T,ROW()+1,MATCH("시군구",'04A_국토부원자료'!$A$4:$T$4,0)),"")</f>
        <v/>
      </c>
      <c r="C1854" s="48">
        <f>IF(B1854="","",IFERROR(INDEX('04A_국토부원자료'!$A:$T,ROW()+1,MATCH("번지",'04A_국토부원자료'!$A$4:$T$4,0)),""))</f>
        <v/>
      </c>
      <c r="D1854" s="48">
        <f>IF(B1854="","",IF(Q1854=1,'02_대상물건입력'!$B$8,IFERROR(INDEX('04A_국토부원자료'!$A:$T,ROW()+1,MATCH("단지명",'04A_국토부원자료'!$A$4:$T$4,0)),"")))</f>
        <v/>
      </c>
      <c r="E1854" s="172">
        <f>IFERROR(VALUE(SUBSTITUTE(INDEX('04A_국토부원자료'!$A:$T,ROW()+1,MATCH("전용면적(㎡)",'04A_국토부원자료'!$A$4:$T$4,0)),",","")),"")</f>
        <v/>
      </c>
      <c r="F18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54" s="51">
        <f>IFERROR(VALUE(SUBSTITUTE(INDEX('04A_국토부원자료'!$A:$T,ROW()+1,MATCH("거래금액(만원)",'04A_국토부원자료'!$A$4:$T$4,0)),",","")),"")</f>
        <v/>
      </c>
      <c r="H1854" s="174">
        <f>IF(G1854="","",G1854*10000)</f>
        <v/>
      </c>
      <c r="I1854" s="174">
        <f>IFERROR(IF(AND(H1854&gt;0,E1854&gt;0),H1854/E1854,""),"")</f>
        <v/>
      </c>
      <c r="J1854" s="152">
        <f>IFERROR(VALUE(SUBSTITUTE(INDEX('04A_국토부원자료'!$A:$T,ROW()+1,MATCH("층",'04A_국토부원자료'!$A$4:$T$4,0)),",","")),"")</f>
        <v/>
      </c>
      <c r="K1854" s="152">
        <f>IFERROR(VALUE(SUBSTITUTE(INDEX('04A_국토부원자료'!$A:$T,ROW()+1,MATCH("건축년도",'04A_국토부원자료'!$A$4:$T$4,0)),",","")),"")</f>
        <v/>
      </c>
      <c r="L1854" s="176">
        <f>IFERROR(INDEX('04A_국토부원자료'!$A:$T,ROW()+1,MATCH("도로명",'04A_국토부원자료'!$A$4:$T$4,0)),"")</f>
        <v/>
      </c>
      <c r="M1854" s="48">
        <f>IFERROR(INDEX('04A_국토부원자료'!$A:$T,ROW()+1,MATCH("거래유형",'04A_국토부원자료'!$A$4:$T$4,0)),"")</f>
        <v/>
      </c>
      <c r="N1854" s="152">
        <f>IF(B1854="","",IF('02_대상물건입력'!B5="",1,IF(ISNUMBER(SEARCH('02_대상물건입력'!B5,B1854)),1,0)))</f>
        <v/>
      </c>
      <c r="O1854" s="152">
        <f>IF(B1854="","",IF('02_대상물건입력'!B6="",1,IF(ISNUMBER(SEARCH('02_대상물건입력'!B6,B1854)),1,0)))</f>
        <v/>
      </c>
      <c r="P1854" s="152">
        <f>IF(L1854="","",IF('02_대상물건입력'!B15="",0,IF(ISNUMBER(SEARCH('02_대상물건입력'!B15,L1854)),1,0)))</f>
        <v/>
      </c>
      <c r="Q1854" s="152">
        <f>IF(OR(C1854="",L1854=""),0,IF(AND(TRIM(C1854)=TRIM(RIGHT(SUBSTITUTE(TRIM('02_대상물건입력'!$B$7)," ",REPT(" ",99)),99)),IF('02_대상물건입력'!B15="",TRUE(),ISNUMBER(SEARCH('02_대상물건입력'!B15,L1854)))),1,0))</f>
        <v/>
      </c>
      <c r="R1854" s="175">
        <f>IFERROR(ABS(E1854-'02_대상물건입력'!B11)/'02_대상물건입력'!B11,"")</f>
        <v/>
      </c>
      <c r="S1854" s="152">
        <f>IFERROR(ABS(J1854-'02_대상물건입력'!B10),"")</f>
        <v/>
      </c>
      <c r="T1854" s="152">
        <f>IFERROR(ABS('01_설정'!B4-F1854),"")</f>
        <v/>
      </c>
      <c r="U1854" s="152">
        <f>IFERROR(ABS(K1854-YEAR('02_대상물건입력'!B14)),"")</f>
        <v/>
      </c>
      <c r="V1854" s="152">
        <f>IF(B1854="","",IF(AND(E1854&gt;0,F1854&gt;0,H1854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1854=1,TRUE()),R1854&lt;='01_설정'!B5,S1854&lt;='01_설정'!B6,T1854&lt;='01_설정'!B7,U1854&lt;='01_설정'!B8),"Y",""))</f>
        <v/>
      </c>
      <c r="W1854" s="172">
        <f>IF(V1854&lt;&gt;"Y","",MAX(0,(1-R1854/'01_설정'!B5))*'01_설정'!B14+MAX(0,(1-S1854/'01_설정'!B6))*'01_설정'!B15+MAX(0,(1-T1854/'01_설정'!B7))*'01_설정'!B16+MAX(0,(1-U1854/'01_설정'!B8))*'01_설정'!B17+O1854*'01_설정'!B11+Q1854*'01_설정'!B12+P1854*'01_설정'!B13+IF(Z1854="",0,Z1854))</f>
        <v/>
      </c>
      <c r="X1854" s="152">
        <f>IF(W1854="","",1+COUNTIFS($W$4:$W$3003,"&gt;"&amp;W1854)+COUNTIFS($W$4:W1854,W1854)-1)</f>
        <v/>
      </c>
      <c r="Y1854" s="175">
        <f>IF(OR(I1854="",'02_대상물건입력'!B19="",'02_대상물건입력'!B19&lt;=0),"",ABS(I1854-'02_대상물건입력'!B19)/'02_대상물건입력'!B19)</f>
        <v/>
      </c>
      <c r="Z1854" s="172">
        <f>IF(OR(Y1854="",'01_설정'!B31="",'01_설정'!B31&lt;=0,'01_설정'!B32="",'01_설정'!B32&lt;=0),"",MAX(0,(1-Y1854/'01_설정'!B32))*'01_설정'!B31)</f>
        <v/>
      </c>
    </row>
    <row r="1855" ht="17.25" customHeight="1">
      <c r="A1855" s="152">
        <f>IF(INDEX('04A_국토부원자료'!$A:$A,ROW()+1)="","",ROW()-3)</f>
        <v/>
      </c>
      <c r="B1855" s="48">
        <f>IFERROR(INDEX('04A_국토부원자료'!$A:$T,ROW()+1,MATCH("시군구",'04A_국토부원자료'!$A$4:$T$4,0)),"")</f>
        <v/>
      </c>
      <c r="C1855" s="48">
        <f>IF(B1855="","",IFERROR(INDEX('04A_국토부원자료'!$A:$T,ROW()+1,MATCH("번지",'04A_국토부원자료'!$A$4:$T$4,0)),""))</f>
        <v/>
      </c>
      <c r="D1855" s="48">
        <f>IF(B1855="","",IF(Q1855=1,'02_대상물건입력'!$B$8,IFERROR(INDEX('04A_국토부원자료'!$A:$T,ROW()+1,MATCH("단지명",'04A_국토부원자료'!$A$4:$T$4,0)),"")))</f>
        <v/>
      </c>
      <c r="E1855" s="172">
        <f>IFERROR(VALUE(SUBSTITUTE(INDEX('04A_국토부원자료'!$A:$T,ROW()+1,MATCH("전용면적(㎡)",'04A_국토부원자료'!$A$4:$T$4,0)),",","")),"")</f>
        <v/>
      </c>
      <c r="F18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55" s="51">
        <f>IFERROR(VALUE(SUBSTITUTE(INDEX('04A_국토부원자료'!$A:$T,ROW()+1,MATCH("거래금액(만원)",'04A_국토부원자료'!$A$4:$T$4,0)),",","")),"")</f>
        <v/>
      </c>
      <c r="H1855" s="174">
        <f>IF(G1855="","",G1855*10000)</f>
        <v/>
      </c>
      <c r="I1855" s="174">
        <f>IFERROR(IF(AND(H1855&gt;0,E1855&gt;0),H1855/E1855,""),"")</f>
        <v/>
      </c>
      <c r="J1855" s="152">
        <f>IFERROR(VALUE(SUBSTITUTE(INDEX('04A_국토부원자료'!$A:$T,ROW()+1,MATCH("층",'04A_국토부원자료'!$A$4:$T$4,0)),",","")),"")</f>
        <v/>
      </c>
      <c r="K1855" s="152">
        <f>IFERROR(VALUE(SUBSTITUTE(INDEX('04A_국토부원자료'!$A:$T,ROW()+1,MATCH("건축년도",'04A_국토부원자료'!$A$4:$T$4,0)),",","")),"")</f>
        <v/>
      </c>
      <c r="L1855" s="176">
        <f>IFERROR(INDEX('04A_국토부원자료'!$A:$T,ROW()+1,MATCH("도로명",'04A_국토부원자료'!$A$4:$T$4,0)),"")</f>
        <v/>
      </c>
      <c r="M1855" s="48">
        <f>IFERROR(INDEX('04A_국토부원자료'!$A:$T,ROW()+1,MATCH("거래유형",'04A_국토부원자료'!$A$4:$T$4,0)),"")</f>
        <v/>
      </c>
      <c r="N1855" s="152">
        <f>IF(B1855="","",IF('02_대상물건입력'!B5="",1,IF(ISNUMBER(SEARCH('02_대상물건입력'!B5,B1855)),1,0)))</f>
        <v/>
      </c>
      <c r="O1855" s="152">
        <f>IF(B1855="","",IF('02_대상물건입력'!B6="",1,IF(ISNUMBER(SEARCH('02_대상물건입력'!B6,B1855)),1,0)))</f>
        <v/>
      </c>
      <c r="P1855" s="152">
        <f>IF(L1855="","",IF('02_대상물건입력'!B15="",0,IF(ISNUMBER(SEARCH('02_대상물건입력'!B15,L1855)),1,0)))</f>
        <v/>
      </c>
      <c r="Q1855" s="152">
        <f>IF(OR(C1855="",L1855=""),0,IF(AND(TRIM(C1855)=TRIM(RIGHT(SUBSTITUTE(TRIM('02_대상물건입력'!$B$7)," ",REPT(" ",99)),99)),IF('02_대상물건입력'!B15="",TRUE(),ISNUMBER(SEARCH('02_대상물건입력'!B15,L1855)))),1,0))</f>
        <v/>
      </c>
      <c r="R1855" s="175">
        <f>IFERROR(ABS(E1855-'02_대상물건입력'!B11)/'02_대상물건입력'!B11,"")</f>
        <v/>
      </c>
      <c r="S1855" s="152">
        <f>IFERROR(ABS(J1855-'02_대상물건입력'!B10),"")</f>
        <v/>
      </c>
      <c r="T1855" s="152">
        <f>IFERROR(ABS('01_설정'!B4-F1855),"")</f>
        <v/>
      </c>
      <c r="U1855" s="152">
        <f>IFERROR(ABS(K1855-YEAR('02_대상물건입력'!B14)),"")</f>
        <v/>
      </c>
      <c r="V1855" s="152">
        <f>IF(B1855="","",IF(AND(E1855&gt;0,F1855&gt;0,H1855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1855=1,TRUE()),R1855&lt;='01_설정'!B5,S1855&lt;='01_설정'!B6,T1855&lt;='01_설정'!B7,U1855&lt;='01_설정'!B8),"Y",""))</f>
        <v/>
      </c>
      <c r="W1855" s="172">
        <f>IF(V1855&lt;&gt;"Y","",MAX(0,(1-R1855/'01_설정'!B5))*'01_설정'!B14+MAX(0,(1-S1855/'01_설정'!B6))*'01_설정'!B15+MAX(0,(1-T1855/'01_설정'!B7))*'01_설정'!B16+MAX(0,(1-U1855/'01_설정'!B8))*'01_설정'!B17+O1855*'01_설정'!B11+Q1855*'01_설정'!B12+P1855*'01_설정'!B13+IF(Z1855="",0,Z1855))</f>
        <v/>
      </c>
      <c r="X1855" s="152">
        <f>IF(W1855="","",1+COUNTIFS($W$4:$W$3003,"&gt;"&amp;W1855)+COUNTIFS($W$4:W1855,W1855)-1)</f>
        <v/>
      </c>
      <c r="Y1855" s="175">
        <f>IF(OR(I1855="",'02_대상물건입력'!B19="",'02_대상물건입력'!B19&lt;=0),"",ABS(I1855-'02_대상물건입력'!B19)/'02_대상물건입력'!B19)</f>
        <v/>
      </c>
      <c r="Z1855" s="172">
        <f>IF(OR(Y1855="",'01_설정'!B31="",'01_설정'!B31&lt;=0,'01_설정'!B32="",'01_설정'!B32&lt;=0),"",MAX(0,(1-Y1855/'01_설정'!B32))*'01_설정'!B31)</f>
        <v/>
      </c>
    </row>
    <row r="1856" ht="17.25" customHeight="1">
      <c r="A1856" s="152">
        <f>IF(INDEX('04A_국토부원자료'!$A:$A,ROW()+1)="","",ROW()-3)</f>
        <v/>
      </c>
      <c r="B1856" s="48">
        <f>IFERROR(INDEX('04A_국토부원자료'!$A:$T,ROW()+1,MATCH("시군구",'04A_국토부원자료'!$A$4:$T$4,0)),"")</f>
        <v/>
      </c>
      <c r="C1856" s="48">
        <f>IF(B1856="","",IFERROR(INDEX('04A_국토부원자료'!$A:$T,ROW()+1,MATCH("번지",'04A_국토부원자료'!$A$4:$T$4,0)),""))</f>
        <v/>
      </c>
      <c r="D1856" s="48">
        <f>IF(B1856="","",IF(Q1856=1,'02_대상물건입력'!$B$8,IFERROR(INDEX('04A_국토부원자료'!$A:$T,ROW()+1,MATCH("단지명",'04A_국토부원자료'!$A$4:$T$4,0)),"")))</f>
        <v/>
      </c>
      <c r="E1856" s="172">
        <f>IFERROR(VALUE(SUBSTITUTE(INDEX('04A_국토부원자료'!$A:$T,ROW()+1,MATCH("전용면적(㎡)",'04A_국토부원자료'!$A$4:$T$4,0)),",","")),"")</f>
        <v/>
      </c>
      <c r="F18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56" s="51">
        <f>IFERROR(VALUE(SUBSTITUTE(INDEX('04A_국토부원자료'!$A:$T,ROW()+1,MATCH("거래금액(만원)",'04A_국토부원자료'!$A$4:$T$4,0)),",","")),"")</f>
        <v/>
      </c>
      <c r="H1856" s="174">
        <f>IF(G1856="","",G1856*10000)</f>
        <v/>
      </c>
      <c r="I1856" s="174">
        <f>IFERROR(IF(AND(H1856&gt;0,E1856&gt;0),H1856/E1856,""),"")</f>
        <v/>
      </c>
      <c r="J1856" s="152">
        <f>IFERROR(VALUE(SUBSTITUTE(INDEX('04A_국토부원자료'!$A:$T,ROW()+1,MATCH("층",'04A_국토부원자료'!$A$4:$T$4,0)),",","")),"")</f>
        <v/>
      </c>
      <c r="K1856" s="152">
        <f>IFERROR(VALUE(SUBSTITUTE(INDEX('04A_국토부원자료'!$A:$T,ROW()+1,MATCH("건축년도",'04A_국토부원자료'!$A$4:$T$4,0)),",","")),"")</f>
        <v/>
      </c>
      <c r="L1856" s="176">
        <f>IFERROR(INDEX('04A_국토부원자료'!$A:$T,ROW()+1,MATCH("도로명",'04A_국토부원자료'!$A$4:$T$4,0)),"")</f>
        <v/>
      </c>
      <c r="M1856" s="48">
        <f>IFERROR(INDEX('04A_국토부원자료'!$A:$T,ROW()+1,MATCH("거래유형",'04A_국토부원자료'!$A$4:$T$4,0)),"")</f>
        <v/>
      </c>
      <c r="N1856" s="152">
        <f>IF(B1856="","",IF('02_대상물건입력'!B5="",1,IF(ISNUMBER(SEARCH('02_대상물건입력'!B5,B1856)),1,0)))</f>
        <v/>
      </c>
      <c r="O1856" s="152">
        <f>IF(B1856="","",IF('02_대상물건입력'!B6="",1,IF(ISNUMBER(SEARCH('02_대상물건입력'!B6,B1856)),1,0)))</f>
        <v/>
      </c>
      <c r="P1856" s="152">
        <f>IF(L1856="","",IF('02_대상물건입력'!B15="",0,IF(ISNUMBER(SEARCH('02_대상물건입력'!B15,L1856)),1,0)))</f>
        <v/>
      </c>
      <c r="Q1856" s="152">
        <f>IF(OR(C1856="",L1856=""),0,IF(AND(TRIM(C1856)=TRIM(RIGHT(SUBSTITUTE(TRIM('02_대상물건입력'!$B$7)," ",REPT(" ",99)),99)),IF('02_대상물건입력'!B15="",TRUE(),ISNUMBER(SEARCH('02_대상물건입력'!B15,L1856)))),1,0))</f>
        <v/>
      </c>
      <c r="R1856" s="175">
        <f>IFERROR(ABS(E1856-'02_대상물건입력'!B11)/'02_대상물건입력'!B11,"")</f>
        <v/>
      </c>
      <c r="S1856" s="152">
        <f>IFERROR(ABS(J1856-'02_대상물건입력'!B10),"")</f>
        <v/>
      </c>
      <c r="T1856" s="152">
        <f>IFERROR(ABS('01_설정'!B4-F1856),"")</f>
        <v/>
      </c>
      <c r="U1856" s="152">
        <f>IFERROR(ABS(K1856-YEAR('02_대상물건입력'!B14)),"")</f>
        <v/>
      </c>
      <c r="V1856" s="152">
        <f>IF(B1856="","",IF(AND(E1856&gt;0,F1856&gt;0,H1856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1856=1,TRUE()),R1856&lt;='01_설정'!B5,S1856&lt;='01_설정'!B6,T1856&lt;='01_설정'!B7,U1856&lt;='01_설정'!B8),"Y",""))</f>
        <v/>
      </c>
      <c r="W1856" s="172">
        <f>IF(V1856&lt;&gt;"Y","",MAX(0,(1-R1856/'01_설정'!B5))*'01_설정'!B14+MAX(0,(1-S1856/'01_설정'!B6))*'01_설정'!B15+MAX(0,(1-T1856/'01_설정'!B7))*'01_설정'!B16+MAX(0,(1-U1856/'01_설정'!B8))*'01_설정'!B17+O1856*'01_설정'!B11+Q1856*'01_설정'!B12+P1856*'01_설정'!B13+IF(Z1856="",0,Z1856))</f>
        <v/>
      </c>
      <c r="X1856" s="152">
        <f>IF(W1856="","",1+COUNTIFS($W$4:$W$3003,"&gt;"&amp;W1856)+COUNTIFS($W$4:W1856,W1856)-1)</f>
        <v/>
      </c>
      <c r="Y1856" s="175">
        <f>IF(OR(I1856="",'02_대상물건입력'!B19="",'02_대상물건입력'!B19&lt;=0),"",ABS(I1856-'02_대상물건입력'!B19)/'02_대상물건입력'!B19)</f>
        <v/>
      </c>
      <c r="Z1856" s="172">
        <f>IF(OR(Y1856="",'01_설정'!B31="",'01_설정'!B31&lt;=0,'01_설정'!B32="",'01_설정'!B32&lt;=0),"",MAX(0,(1-Y1856/'01_설정'!B32))*'01_설정'!B31)</f>
        <v/>
      </c>
    </row>
    <row r="1857" ht="17.25" customHeight="1">
      <c r="A1857" s="152">
        <f>IF(INDEX('04A_국토부원자료'!$A:$A,ROW()+1)="","",ROW()-3)</f>
        <v/>
      </c>
      <c r="B1857" s="48">
        <f>IFERROR(INDEX('04A_국토부원자료'!$A:$T,ROW()+1,MATCH("시군구",'04A_국토부원자료'!$A$4:$T$4,0)),"")</f>
        <v/>
      </c>
      <c r="C1857" s="48">
        <f>IF(B1857="","",IFERROR(INDEX('04A_국토부원자료'!$A:$T,ROW()+1,MATCH("번지",'04A_국토부원자료'!$A$4:$T$4,0)),""))</f>
        <v/>
      </c>
      <c r="D1857" s="48">
        <f>IF(B1857="","",IF(Q1857=1,'02_대상물건입력'!$B$8,IFERROR(INDEX('04A_국토부원자료'!$A:$T,ROW()+1,MATCH("단지명",'04A_국토부원자료'!$A$4:$T$4,0)),"")))</f>
        <v/>
      </c>
      <c r="E1857" s="172">
        <f>IFERROR(VALUE(SUBSTITUTE(INDEX('04A_국토부원자료'!$A:$T,ROW()+1,MATCH("전용면적(㎡)",'04A_국토부원자료'!$A$4:$T$4,0)),",","")),"")</f>
        <v/>
      </c>
      <c r="F18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57" s="51">
        <f>IFERROR(VALUE(SUBSTITUTE(INDEX('04A_국토부원자료'!$A:$T,ROW()+1,MATCH("거래금액(만원)",'04A_국토부원자료'!$A$4:$T$4,0)),",","")),"")</f>
        <v/>
      </c>
      <c r="H1857" s="174">
        <f>IF(G1857="","",G1857*10000)</f>
        <v/>
      </c>
      <c r="I1857" s="174">
        <f>IFERROR(IF(AND(H1857&gt;0,E1857&gt;0),H1857/E1857,""),"")</f>
        <v/>
      </c>
      <c r="J1857" s="152">
        <f>IFERROR(VALUE(SUBSTITUTE(INDEX('04A_국토부원자료'!$A:$T,ROW()+1,MATCH("층",'04A_국토부원자료'!$A$4:$T$4,0)),",","")),"")</f>
        <v/>
      </c>
      <c r="K1857" s="152">
        <f>IFERROR(VALUE(SUBSTITUTE(INDEX('04A_국토부원자료'!$A:$T,ROW()+1,MATCH("건축년도",'04A_국토부원자료'!$A$4:$T$4,0)),",","")),"")</f>
        <v/>
      </c>
      <c r="L1857" s="176">
        <f>IFERROR(INDEX('04A_국토부원자료'!$A:$T,ROW()+1,MATCH("도로명",'04A_국토부원자료'!$A$4:$T$4,0)),"")</f>
        <v/>
      </c>
      <c r="M1857" s="48">
        <f>IFERROR(INDEX('04A_국토부원자료'!$A:$T,ROW()+1,MATCH("거래유형",'04A_국토부원자료'!$A$4:$T$4,0)),"")</f>
        <v/>
      </c>
      <c r="N1857" s="152">
        <f>IF(B1857="","",IF('02_대상물건입력'!B5="",1,IF(ISNUMBER(SEARCH('02_대상물건입력'!B5,B1857)),1,0)))</f>
        <v/>
      </c>
      <c r="O1857" s="152">
        <f>IF(B1857="","",IF('02_대상물건입력'!B6="",1,IF(ISNUMBER(SEARCH('02_대상물건입력'!B6,B1857)),1,0)))</f>
        <v/>
      </c>
      <c r="P1857" s="152">
        <f>IF(L1857="","",IF('02_대상물건입력'!B15="",0,IF(ISNUMBER(SEARCH('02_대상물건입력'!B15,L1857)),1,0)))</f>
        <v/>
      </c>
      <c r="Q1857" s="152">
        <f>IF(OR(C1857="",L1857=""),0,IF(AND(TRIM(C1857)=TRIM(RIGHT(SUBSTITUTE(TRIM('02_대상물건입력'!$B$7)," ",REPT(" ",99)),99)),IF('02_대상물건입력'!B15="",TRUE(),ISNUMBER(SEARCH('02_대상물건입력'!B15,L1857)))),1,0))</f>
        <v/>
      </c>
      <c r="R1857" s="175">
        <f>IFERROR(ABS(E1857-'02_대상물건입력'!B11)/'02_대상물건입력'!B11,"")</f>
        <v/>
      </c>
      <c r="S1857" s="152">
        <f>IFERROR(ABS(J1857-'02_대상물건입력'!B10),"")</f>
        <v/>
      </c>
      <c r="T1857" s="152">
        <f>IFERROR(ABS('01_설정'!B4-F1857),"")</f>
        <v/>
      </c>
      <c r="U1857" s="152">
        <f>IFERROR(ABS(K1857-YEAR('02_대상물건입력'!B14)),"")</f>
        <v/>
      </c>
      <c r="V1857" s="152">
        <f>IF(B1857="","",IF(AND(E1857&gt;0,F1857&gt;0,H1857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1857=1,TRUE()),R1857&lt;='01_설정'!B5,S1857&lt;='01_설정'!B6,T1857&lt;='01_설정'!B7,U1857&lt;='01_설정'!B8),"Y",""))</f>
        <v/>
      </c>
      <c r="W1857" s="172">
        <f>IF(V1857&lt;&gt;"Y","",MAX(0,(1-R1857/'01_설정'!B5))*'01_설정'!B14+MAX(0,(1-S1857/'01_설정'!B6))*'01_설정'!B15+MAX(0,(1-T1857/'01_설정'!B7))*'01_설정'!B16+MAX(0,(1-U1857/'01_설정'!B8))*'01_설정'!B17+O1857*'01_설정'!B11+Q1857*'01_설정'!B12+P1857*'01_설정'!B13+IF(Z1857="",0,Z1857))</f>
        <v/>
      </c>
      <c r="X1857" s="152">
        <f>IF(W1857="","",1+COUNTIFS($W$4:$W$3003,"&gt;"&amp;W1857)+COUNTIFS($W$4:W1857,W1857)-1)</f>
        <v/>
      </c>
      <c r="Y1857" s="175">
        <f>IF(OR(I1857="",'02_대상물건입력'!B19="",'02_대상물건입력'!B19&lt;=0),"",ABS(I1857-'02_대상물건입력'!B19)/'02_대상물건입력'!B19)</f>
        <v/>
      </c>
      <c r="Z1857" s="172">
        <f>IF(OR(Y1857="",'01_설정'!B31="",'01_설정'!B31&lt;=0,'01_설정'!B32="",'01_설정'!B32&lt;=0),"",MAX(0,(1-Y1857/'01_설정'!B32))*'01_설정'!B31)</f>
        <v/>
      </c>
    </row>
    <row r="1858" ht="17.25" customHeight="1">
      <c r="A1858" s="152">
        <f>IF(INDEX('04A_국토부원자료'!$A:$A,ROW()+1)="","",ROW()-3)</f>
        <v/>
      </c>
      <c r="B1858" s="48">
        <f>IFERROR(INDEX('04A_국토부원자료'!$A:$T,ROW()+1,MATCH("시군구",'04A_국토부원자료'!$A$4:$T$4,0)),"")</f>
        <v/>
      </c>
      <c r="C1858" s="48">
        <f>IF(B1858="","",IFERROR(INDEX('04A_국토부원자료'!$A:$T,ROW()+1,MATCH("번지",'04A_국토부원자료'!$A$4:$T$4,0)),""))</f>
        <v/>
      </c>
      <c r="D1858" s="48">
        <f>IF(B1858="","",IF(Q1858=1,'02_대상물건입력'!$B$8,IFERROR(INDEX('04A_국토부원자료'!$A:$T,ROW()+1,MATCH("단지명",'04A_국토부원자료'!$A$4:$T$4,0)),"")))</f>
        <v/>
      </c>
      <c r="E1858" s="172">
        <f>IFERROR(VALUE(SUBSTITUTE(INDEX('04A_국토부원자료'!$A:$T,ROW()+1,MATCH("전용면적(㎡)",'04A_국토부원자료'!$A$4:$T$4,0)),",","")),"")</f>
        <v/>
      </c>
      <c r="F18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58" s="51">
        <f>IFERROR(VALUE(SUBSTITUTE(INDEX('04A_국토부원자료'!$A:$T,ROW()+1,MATCH("거래금액(만원)",'04A_국토부원자료'!$A$4:$T$4,0)),",","")),"")</f>
        <v/>
      </c>
      <c r="H1858" s="174">
        <f>IF(G1858="","",G1858*10000)</f>
        <v/>
      </c>
      <c r="I1858" s="174">
        <f>IFERROR(IF(AND(H1858&gt;0,E1858&gt;0),H1858/E1858,""),"")</f>
        <v/>
      </c>
      <c r="J1858" s="152">
        <f>IFERROR(VALUE(SUBSTITUTE(INDEX('04A_국토부원자료'!$A:$T,ROW()+1,MATCH("층",'04A_국토부원자료'!$A$4:$T$4,0)),",","")),"")</f>
        <v/>
      </c>
      <c r="K1858" s="152">
        <f>IFERROR(VALUE(SUBSTITUTE(INDEX('04A_국토부원자료'!$A:$T,ROW()+1,MATCH("건축년도",'04A_국토부원자료'!$A$4:$T$4,0)),",","")),"")</f>
        <v/>
      </c>
      <c r="L1858" s="176">
        <f>IFERROR(INDEX('04A_국토부원자료'!$A:$T,ROW()+1,MATCH("도로명",'04A_국토부원자료'!$A$4:$T$4,0)),"")</f>
        <v/>
      </c>
      <c r="M1858" s="48">
        <f>IFERROR(INDEX('04A_국토부원자료'!$A:$T,ROW()+1,MATCH("거래유형",'04A_국토부원자료'!$A$4:$T$4,0)),"")</f>
        <v/>
      </c>
      <c r="N1858" s="152">
        <f>IF(B1858="","",IF('02_대상물건입력'!B5="",1,IF(ISNUMBER(SEARCH('02_대상물건입력'!B5,B1858)),1,0)))</f>
        <v/>
      </c>
      <c r="O1858" s="152">
        <f>IF(B1858="","",IF('02_대상물건입력'!B6="",1,IF(ISNUMBER(SEARCH('02_대상물건입력'!B6,B1858)),1,0)))</f>
        <v/>
      </c>
      <c r="P1858" s="152">
        <f>IF(L1858="","",IF('02_대상물건입력'!B15="",0,IF(ISNUMBER(SEARCH('02_대상물건입력'!B15,L1858)),1,0)))</f>
        <v/>
      </c>
      <c r="Q1858" s="152">
        <f>IF(OR(C1858="",L1858=""),0,IF(AND(TRIM(C1858)=TRIM(RIGHT(SUBSTITUTE(TRIM('02_대상물건입력'!$B$7)," ",REPT(" ",99)),99)),IF('02_대상물건입력'!B15="",TRUE(),ISNUMBER(SEARCH('02_대상물건입력'!B15,L1858)))),1,0))</f>
        <v/>
      </c>
      <c r="R1858" s="175">
        <f>IFERROR(ABS(E1858-'02_대상물건입력'!B11)/'02_대상물건입력'!B11,"")</f>
        <v/>
      </c>
      <c r="S1858" s="152">
        <f>IFERROR(ABS(J1858-'02_대상물건입력'!B10),"")</f>
        <v/>
      </c>
      <c r="T1858" s="152">
        <f>IFERROR(ABS('01_설정'!B4-F1858),"")</f>
        <v/>
      </c>
      <c r="U1858" s="152">
        <f>IFERROR(ABS(K1858-YEAR('02_대상물건입력'!B14)),"")</f>
        <v/>
      </c>
      <c r="V1858" s="152">
        <f>IF(B1858="","",IF(AND(E1858&gt;0,F1858&gt;0,H1858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1858=1,TRUE()),R1858&lt;='01_설정'!B5,S1858&lt;='01_설정'!B6,T1858&lt;='01_설정'!B7,U1858&lt;='01_설정'!B8),"Y",""))</f>
        <v/>
      </c>
      <c r="W1858" s="172">
        <f>IF(V1858&lt;&gt;"Y","",MAX(0,(1-R1858/'01_설정'!B5))*'01_설정'!B14+MAX(0,(1-S1858/'01_설정'!B6))*'01_설정'!B15+MAX(0,(1-T1858/'01_설정'!B7))*'01_설정'!B16+MAX(0,(1-U1858/'01_설정'!B8))*'01_설정'!B17+O1858*'01_설정'!B11+Q1858*'01_설정'!B12+P1858*'01_설정'!B13+IF(Z1858="",0,Z1858))</f>
        <v/>
      </c>
      <c r="X1858" s="152">
        <f>IF(W1858="","",1+COUNTIFS($W$4:$W$3003,"&gt;"&amp;W1858)+COUNTIFS($W$4:W1858,W1858)-1)</f>
        <v/>
      </c>
      <c r="Y1858" s="175">
        <f>IF(OR(I1858="",'02_대상물건입력'!B19="",'02_대상물건입력'!B19&lt;=0),"",ABS(I1858-'02_대상물건입력'!B19)/'02_대상물건입력'!B19)</f>
        <v/>
      </c>
      <c r="Z1858" s="172">
        <f>IF(OR(Y1858="",'01_설정'!B31="",'01_설정'!B31&lt;=0,'01_설정'!B32="",'01_설정'!B32&lt;=0),"",MAX(0,(1-Y1858/'01_설정'!B32))*'01_설정'!B31)</f>
        <v/>
      </c>
    </row>
    <row r="1859" ht="17.25" customHeight="1">
      <c r="A1859" s="152">
        <f>IF(INDEX('04A_국토부원자료'!$A:$A,ROW()+1)="","",ROW()-3)</f>
        <v/>
      </c>
      <c r="B1859" s="48">
        <f>IFERROR(INDEX('04A_국토부원자료'!$A:$T,ROW()+1,MATCH("시군구",'04A_국토부원자료'!$A$4:$T$4,0)),"")</f>
        <v/>
      </c>
      <c r="C1859" s="48">
        <f>IF(B1859="","",IFERROR(INDEX('04A_국토부원자료'!$A:$T,ROW()+1,MATCH("번지",'04A_국토부원자료'!$A$4:$T$4,0)),""))</f>
        <v/>
      </c>
      <c r="D1859" s="48">
        <f>IF(B1859="","",IF(Q1859=1,'02_대상물건입력'!$B$8,IFERROR(INDEX('04A_국토부원자료'!$A:$T,ROW()+1,MATCH("단지명",'04A_국토부원자료'!$A$4:$T$4,0)),"")))</f>
        <v/>
      </c>
      <c r="E1859" s="172">
        <f>IFERROR(VALUE(SUBSTITUTE(INDEX('04A_국토부원자료'!$A:$T,ROW()+1,MATCH("전용면적(㎡)",'04A_국토부원자료'!$A$4:$T$4,0)),",","")),"")</f>
        <v/>
      </c>
      <c r="F18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59" s="51">
        <f>IFERROR(VALUE(SUBSTITUTE(INDEX('04A_국토부원자료'!$A:$T,ROW()+1,MATCH("거래금액(만원)",'04A_국토부원자료'!$A$4:$T$4,0)),",","")),"")</f>
        <v/>
      </c>
      <c r="H1859" s="174">
        <f>IF(G1859="","",G1859*10000)</f>
        <v/>
      </c>
      <c r="I1859" s="174">
        <f>IFERROR(IF(AND(H1859&gt;0,E1859&gt;0),H1859/E1859,""),"")</f>
        <v/>
      </c>
      <c r="J1859" s="152">
        <f>IFERROR(VALUE(SUBSTITUTE(INDEX('04A_국토부원자료'!$A:$T,ROW()+1,MATCH("층",'04A_국토부원자료'!$A$4:$T$4,0)),",","")),"")</f>
        <v/>
      </c>
      <c r="K1859" s="152">
        <f>IFERROR(VALUE(SUBSTITUTE(INDEX('04A_국토부원자료'!$A:$T,ROW()+1,MATCH("건축년도",'04A_국토부원자료'!$A$4:$T$4,0)),",","")),"")</f>
        <v/>
      </c>
      <c r="L1859" s="176">
        <f>IFERROR(INDEX('04A_국토부원자료'!$A:$T,ROW()+1,MATCH("도로명",'04A_국토부원자료'!$A$4:$T$4,0)),"")</f>
        <v/>
      </c>
      <c r="M1859" s="48">
        <f>IFERROR(INDEX('04A_국토부원자료'!$A:$T,ROW()+1,MATCH("거래유형",'04A_국토부원자료'!$A$4:$T$4,0)),"")</f>
        <v/>
      </c>
      <c r="N1859" s="152">
        <f>IF(B1859="","",IF('02_대상물건입력'!B5="",1,IF(ISNUMBER(SEARCH('02_대상물건입력'!B5,B1859)),1,0)))</f>
        <v/>
      </c>
      <c r="O1859" s="152">
        <f>IF(B1859="","",IF('02_대상물건입력'!B6="",1,IF(ISNUMBER(SEARCH('02_대상물건입력'!B6,B1859)),1,0)))</f>
        <v/>
      </c>
      <c r="P1859" s="152">
        <f>IF(L1859="","",IF('02_대상물건입력'!B15="",0,IF(ISNUMBER(SEARCH('02_대상물건입력'!B15,L1859)),1,0)))</f>
        <v/>
      </c>
      <c r="Q1859" s="152">
        <f>IF(OR(C1859="",L1859=""),0,IF(AND(TRIM(C1859)=TRIM(RIGHT(SUBSTITUTE(TRIM('02_대상물건입력'!$B$7)," ",REPT(" ",99)),99)),IF('02_대상물건입력'!B15="",TRUE(),ISNUMBER(SEARCH('02_대상물건입력'!B15,L1859)))),1,0))</f>
        <v/>
      </c>
      <c r="R1859" s="175">
        <f>IFERROR(ABS(E1859-'02_대상물건입력'!B11)/'02_대상물건입력'!B11,"")</f>
        <v/>
      </c>
      <c r="S1859" s="152">
        <f>IFERROR(ABS(J1859-'02_대상물건입력'!B10),"")</f>
        <v/>
      </c>
      <c r="T1859" s="152">
        <f>IFERROR(ABS('01_설정'!B4-F1859),"")</f>
        <v/>
      </c>
      <c r="U1859" s="152">
        <f>IFERROR(ABS(K1859-YEAR('02_대상물건입력'!B14)),"")</f>
        <v/>
      </c>
      <c r="V1859" s="152">
        <f>IF(B1859="","",IF(AND(E1859&gt;0,F1859&gt;0,H1859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1859=1,TRUE()),R1859&lt;='01_설정'!B5,S1859&lt;='01_설정'!B6,T1859&lt;='01_설정'!B7,U1859&lt;='01_설정'!B8),"Y",""))</f>
        <v/>
      </c>
      <c r="W1859" s="172">
        <f>IF(V1859&lt;&gt;"Y","",MAX(0,(1-R1859/'01_설정'!B5))*'01_설정'!B14+MAX(0,(1-S1859/'01_설정'!B6))*'01_설정'!B15+MAX(0,(1-T1859/'01_설정'!B7))*'01_설정'!B16+MAX(0,(1-U1859/'01_설정'!B8))*'01_설정'!B17+O1859*'01_설정'!B11+Q1859*'01_설정'!B12+P1859*'01_설정'!B13+IF(Z1859="",0,Z1859))</f>
        <v/>
      </c>
      <c r="X1859" s="152">
        <f>IF(W1859="","",1+COUNTIFS($W$4:$W$3003,"&gt;"&amp;W1859)+COUNTIFS($W$4:W1859,W1859)-1)</f>
        <v/>
      </c>
      <c r="Y1859" s="175">
        <f>IF(OR(I1859="",'02_대상물건입력'!B19="",'02_대상물건입력'!B19&lt;=0),"",ABS(I1859-'02_대상물건입력'!B19)/'02_대상물건입력'!B19)</f>
        <v/>
      </c>
      <c r="Z1859" s="172">
        <f>IF(OR(Y1859="",'01_설정'!B31="",'01_설정'!B31&lt;=0,'01_설정'!B32="",'01_설정'!B32&lt;=0),"",MAX(0,(1-Y1859/'01_설정'!B32))*'01_설정'!B31)</f>
        <v/>
      </c>
    </row>
    <row r="1860" ht="17.25" customHeight="1">
      <c r="A1860" s="152">
        <f>IF(INDEX('04A_국토부원자료'!$A:$A,ROW()+1)="","",ROW()-3)</f>
        <v/>
      </c>
      <c r="B1860" s="48">
        <f>IFERROR(INDEX('04A_국토부원자료'!$A:$T,ROW()+1,MATCH("시군구",'04A_국토부원자료'!$A$4:$T$4,0)),"")</f>
        <v/>
      </c>
      <c r="C1860" s="48">
        <f>IF(B1860="","",IFERROR(INDEX('04A_국토부원자료'!$A:$T,ROW()+1,MATCH("번지",'04A_국토부원자료'!$A$4:$T$4,0)),""))</f>
        <v/>
      </c>
      <c r="D1860" s="48">
        <f>IF(B1860="","",IF(Q1860=1,'02_대상물건입력'!$B$8,IFERROR(INDEX('04A_국토부원자료'!$A:$T,ROW()+1,MATCH("단지명",'04A_국토부원자료'!$A$4:$T$4,0)),"")))</f>
        <v/>
      </c>
      <c r="E1860" s="172">
        <f>IFERROR(VALUE(SUBSTITUTE(INDEX('04A_국토부원자료'!$A:$T,ROW()+1,MATCH("전용면적(㎡)",'04A_국토부원자료'!$A$4:$T$4,0)),",","")),"")</f>
        <v/>
      </c>
      <c r="F18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60" s="51">
        <f>IFERROR(VALUE(SUBSTITUTE(INDEX('04A_국토부원자료'!$A:$T,ROW()+1,MATCH("거래금액(만원)",'04A_국토부원자료'!$A$4:$T$4,0)),",","")),"")</f>
        <v/>
      </c>
      <c r="H1860" s="174">
        <f>IF(G1860="","",G1860*10000)</f>
        <v/>
      </c>
      <c r="I1860" s="174">
        <f>IFERROR(IF(AND(H1860&gt;0,E1860&gt;0),H1860/E1860,""),"")</f>
        <v/>
      </c>
      <c r="J1860" s="152">
        <f>IFERROR(VALUE(SUBSTITUTE(INDEX('04A_국토부원자료'!$A:$T,ROW()+1,MATCH("층",'04A_국토부원자료'!$A$4:$T$4,0)),",","")),"")</f>
        <v/>
      </c>
      <c r="K1860" s="152">
        <f>IFERROR(VALUE(SUBSTITUTE(INDEX('04A_국토부원자료'!$A:$T,ROW()+1,MATCH("건축년도",'04A_국토부원자료'!$A$4:$T$4,0)),",","")),"")</f>
        <v/>
      </c>
      <c r="L1860" s="176">
        <f>IFERROR(INDEX('04A_국토부원자료'!$A:$T,ROW()+1,MATCH("도로명",'04A_국토부원자료'!$A$4:$T$4,0)),"")</f>
        <v/>
      </c>
      <c r="M1860" s="48">
        <f>IFERROR(INDEX('04A_국토부원자료'!$A:$T,ROW()+1,MATCH("거래유형",'04A_국토부원자료'!$A$4:$T$4,0)),"")</f>
        <v/>
      </c>
      <c r="N1860" s="152">
        <f>IF(B1860="","",IF('02_대상물건입력'!B5="",1,IF(ISNUMBER(SEARCH('02_대상물건입력'!B5,B1860)),1,0)))</f>
        <v/>
      </c>
      <c r="O1860" s="152">
        <f>IF(B1860="","",IF('02_대상물건입력'!B6="",1,IF(ISNUMBER(SEARCH('02_대상물건입력'!B6,B1860)),1,0)))</f>
        <v/>
      </c>
      <c r="P1860" s="152">
        <f>IF(L1860="","",IF('02_대상물건입력'!B15="",0,IF(ISNUMBER(SEARCH('02_대상물건입력'!B15,L1860)),1,0)))</f>
        <v/>
      </c>
      <c r="Q1860" s="152">
        <f>IF(OR(C1860="",L1860=""),0,IF(AND(TRIM(C1860)=TRIM(RIGHT(SUBSTITUTE(TRIM('02_대상물건입력'!$B$7)," ",REPT(" ",99)),99)),IF('02_대상물건입력'!B15="",TRUE(),ISNUMBER(SEARCH('02_대상물건입력'!B15,L1860)))),1,0))</f>
        <v/>
      </c>
      <c r="R1860" s="175">
        <f>IFERROR(ABS(E1860-'02_대상물건입력'!B11)/'02_대상물건입력'!B11,"")</f>
        <v/>
      </c>
      <c r="S1860" s="152">
        <f>IFERROR(ABS(J1860-'02_대상물건입력'!B10),"")</f>
        <v/>
      </c>
      <c r="T1860" s="152">
        <f>IFERROR(ABS('01_설정'!B4-F1860),"")</f>
        <v/>
      </c>
      <c r="U1860" s="152">
        <f>IFERROR(ABS(K1860-YEAR('02_대상물건입력'!B14)),"")</f>
        <v/>
      </c>
      <c r="V1860" s="152">
        <f>IF(B1860="","",IF(AND(E1860&gt;0,F1860&gt;0,H1860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1860=1,TRUE()),R1860&lt;='01_설정'!B5,S1860&lt;='01_설정'!B6,T1860&lt;='01_설정'!B7,U1860&lt;='01_설정'!B8),"Y",""))</f>
        <v/>
      </c>
      <c r="W1860" s="172">
        <f>IF(V1860&lt;&gt;"Y","",MAX(0,(1-R1860/'01_설정'!B5))*'01_설정'!B14+MAX(0,(1-S1860/'01_설정'!B6))*'01_설정'!B15+MAX(0,(1-T1860/'01_설정'!B7))*'01_설정'!B16+MAX(0,(1-U1860/'01_설정'!B8))*'01_설정'!B17+O1860*'01_설정'!B11+Q1860*'01_설정'!B12+P1860*'01_설정'!B13+IF(Z1860="",0,Z1860))</f>
        <v/>
      </c>
      <c r="X1860" s="152">
        <f>IF(W1860="","",1+COUNTIFS($W$4:$W$3003,"&gt;"&amp;W1860)+COUNTIFS($W$4:W1860,W1860)-1)</f>
        <v/>
      </c>
      <c r="Y1860" s="175">
        <f>IF(OR(I1860="",'02_대상물건입력'!B19="",'02_대상물건입력'!B19&lt;=0),"",ABS(I1860-'02_대상물건입력'!B19)/'02_대상물건입력'!B19)</f>
        <v/>
      </c>
      <c r="Z1860" s="172">
        <f>IF(OR(Y1860="",'01_설정'!B31="",'01_설정'!B31&lt;=0,'01_설정'!B32="",'01_설정'!B32&lt;=0),"",MAX(0,(1-Y1860/'01_설정'!B32))*'01_설정'!B31)</f>
        <v/>
      </c>
    </row>
    <row r="1861" ht="17.25" customHeight="1">
      <c r="A1861" s="152">
        <f>IF(INDEX('04A_국토부원자료'!$A:$A,ROW()+1)="","",ROW()-3)</f>
        <v/>
      </c>
      <c r="B1861" s="48">
        <f>IFERROR(INDEX('04A_국토부원자료'!$A:$T,ROW()+1,MATCH("시군구",'04A_국토부원자료'!$A$4:$T$4,0)),"")</f>
        <v/>
      </c>
      <c r="C1861" s="48">
        <f>IF(B1861="","",IFERROR(INDEX('04A_국토부원자료'!$A:$T,ROW()+1,MATCH("번지",'04A_국토부원자료'!$A$4:$T$4,0)),""))</f>
        <v/>
      </c>
      <c r="D1861" s="48">
        <f>IF(B1861="","",IF(Q1861=1,'02_대상물건입력'!$B$8,IFERROR(INDEX('04A_국토부원자료'!$A:$T,ROW()+1,MATCH("단지명",'04A_국토부원자료'!$A$4:$T$4,0)),"")))</f>
        <v/>
      </c>
      <c r="E1861" s="172">
        <f>IFERROR(VALUE(SUBSTITUTE(INDEX('04A_국토부원자료'!$A:$T,ROW()+1,MATCH("전용면적(㎡)",'04A_국토부원자료'!$A$4:$T$4,0)),",","")),"")</f>
        <v/>
      </c>
      <c r="F18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61" s="51">
        <f>IFERROR(VALUE(SUBSTITUTE(INDEX('04A_국토부원자료'!$A:$T,ROW()+1,MATCH("거래금액(만원)",'04A_국토부원자료'!$A$4:$T$4,0)),",","")),"")</f>
        <v/>
      </c>
      <c r="H1861" s="174">
        <f>IF(G1861="","",G1861*10000)</f>
        <v/>
      </c>
      <c r="I1861" s="174">
        <f>IFERROR(IF(AND(H1861&gt;0,E1861&gt;0),H1861/E1861,""),"")</f>
        <v/>
      </c>
      <c r="J1861" s="152">
        <f>IFERROR(VALUE(SUBSTITUTE(INDEX('04A_국토부원자료'!$A:$T,ROW()+1,MATCH("층",'04A_국토부원자료'!$A$4:$T$4,0)),",","")),"")</f>
        <v/>
      </c>
      <c r="K1861" s="152">
        <f>IFERROR(VALUE(SUBSTITUTE(INDEX('04A_국토부원자료'!$A:$T,ROW()+1,MATCH("건축년도",'04A_국토부원자료'!$A$4:$T$4,0)),",","")),"")</f>
        <v/>
      </c>
      <c r="L1861" s="176">
        <f>IFERROR(INDEX('04A_국토부원자료'!$A:$T,ROW()+1,MATCH("도로명",'04A_국토부원자료'!$A$4:$T$4,0)),"")</f>
        <v/>
      </c>
      <c r="M1861" s="48">
        <f>IFERROR(INDEX('04A_국토부원자료'!$A:$T,ROW()+1,MATCH("거래유형",'04A_국토부원자료'!$A$4:$T$4,0)),"")</f>
        <v/>
      </c>
      <c r="N1861" s="152">
        <f>IF(B1861="","",IF('02_대상물건입력'!B5="",1,IF(ISNUMBER(SEARCH('02_대상물건입력'!B5,B1861)),1,0)))</f>
        <v/>
      </c>
      <c r="O1861" s="152">
        <f>IF(B1861="","",IF('02_대상물건입력'!B6="",1,IF(ISNUMBER(SEARCH('02_대상물건입력'!B6,B1861)),1,0)))</f>
        <v/>
      </c>
      <c r="P1861" s="152">
        <f>IF(L1861="","",IF('02_대상물건입력'!B15="",0,IF(ISNUMBER(SEARCH('02_대상물건입력'!B15,L1861)),1,0)))</f>
        <v/>
      </c>
      <c r="Q1861" s="152">
        <f>IF(OR(C1861="",L1861=""),0,IF(AND(TRIM(C1861)=TRIM(RIGHT(SUBSTITUTE(TRIM('02_대상물건입력'!$B$7)," ",REPT(" ",99)),99)),IF('02_대상물건입력'!B15="",TRUE(),ISNUMBER(SEARCH('02_대상물건입력'!B15,L1861)))),1,0))</f>
        <v/>
      </c>
      <c r="R1861" s="175">
        <f>IFERROR(ABS(E1861-'02_대상물건입력'!B11)/'02_대상물건입력'!B11,"")</f>
        <v/>
      </c>
      <c r="S1861" s="152">
        <f>IFERROR(ABS(J1861-'02_대상물건입력'!B10),"")</f>
        <v/>
      </c>
      <c r="T1861" s="152">
        <f>IFERROR(ABS('01_설정'!B4-F1861),"")</f>
        <v/>
      </c>
      <c r="U1861" s="152">
        <f>IFERROR(ABS(K1861-YEAR('02_대상물건입력'!B14)),"")</f>
        <v/>
      </c>
      <c r="V1861" s="152">
        <f>IF(B1861="","",IF(AND(E1861&gt;0,F1861&gt;0,H1861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1861=1,TRUE()),R1861&lt;='01_설정'!B5,S1861&lt;='01_설정'!B6,T1861&lt;='01_설정'!B7,U1861&lt;='01_설정'!B8),"Y",""))</f>
        <v/>
      </c>
      <c r="W1861" s="172">
        <f>IF(V1861&lt;&gt;"Y","",MAX(0,(1-R1861/'01_설정'!B5))*'01_설정'!B14+MAX(0,(1-S1861/'01_설정'!B6))*'01_설정'!B15+MAX(0,(1-T1861/'01_설정'!B7))*'01_설정'!B16+MAX(0,(1-U1861/'01_설정'!B8))*'01_설정'!B17+O1861*'01_설정'!B11+Q1861*'01_설정'!B12+P1861*'01_설정'!B13+IF(Z1861="",0,Z1861))</f>
        <v/>
      </c>
      <c r="X1861" s="152">
        <f>IF(W1861="","",1+COUNTIFS($W$4:$W$3003,"&gt;"&amp;W1861)+COUNTIFS($W$4:W1861,W1861)-1)</f>
        <v/>
      </c>
      <c r="Y1861" s="175">
        <f>IF(OR(I1861="",'02_대상물건입력'!B19="",'02_대상물건입력'!B19&lt;=0),"",ABS(I1861-'02_대상물건입력'!B19)/'02_대상물건입력'!B19)</f>
        <v/>
      </c>
      <c r="Z1861" s="172">
        <f>IF(OR(Y1861="",'01_설정'!B31="",'01_설정'!B31&lt;=0,'01_설정'!B32="",'01_설정'!B32&lt;=0),"",MAX(0,(1-Y1861/'01_설정'!B32))*'01_설정'!B31)</f>
        <v/>
      </c>
    </row>
    <row r="1862" ht="17.25" customHeight="1">
      <c r="A1862" s="152">
        <f>IF(INDEX('04A_국토부원자료'!$A:$A,ROW()+1)="","",ROW()-3)</f>
        <v/>
      </c>
      <c r="B1862" s="48">
        <f>IFERROR(INDEX('04A_국토부원자료'!$A:$T,ROW()+1,MATCH("시군구",'04A_국토부원자료'!$A$4:$T$4,0)),"")</f>
        <v/>
      </c>
      <c r="C1862" s="48">
        <f>IF(B1862="","",IFERROR(INDEX('04A_국토부원자료'!$A:$T,ROW()+1,MATCH("번지",'04A_국토부원자료'!$A$4:$T$4,0)),""))</f>
        <v/>
      </c>
      <c r="D1862" s="48">
        <f>IF(B1862="","",IF(Q1862=1,'02_대상물건입력'!$B$8,IFERROR(INDEX('04A_국토부원자료'!$A:$T,ROW()+1,MATCH("단지명",'04A_국토부원자료'!$A$4:$T$4,0)),"")))</f>
        <v/>
      </c>
      <c r="E1862" s="172">
        <f>IFERROR(VALUE(SUBSTITUTE(INDEX('04A_국토부원자료'!$A:$T,ROW()+1,MATCH("전용면적(㎡)",'04A_국토부원자료'!$A$4:$T$4,0)),",","")),"")</f>
        <v/>
      </c>
      <c r="F18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62" s="51">
        <f>IFERROR(VALUE(SUBSTITUTE(INDEX('04A_국토부원자료'!$A:$T,ROW()+1,MATCH("거래금액(만원)",'04A_국토부원자료'!$A$4:$T$4,0)),",","")),"")</f>
        <v/>
      </c>
      <c r="H1862" s="174">
        <f>IF(G1862="","",G1862*10000)</f>
        <v/>
      </c>
      <c r="I1862" s="174">
        <f>IFERROR(IF(AND(H1862&gt;0,E1862&gt;0),H1862/E1862,""),"")</f>
        <v/>
      </c>
      <c r="J1862" s="152">
        <f>IFERROR(VALUE(SUBSTITUTE(INDEX('04A_국토부원자료'!$A:$T,ROW()+1,MATCH("층",'04A_국토부원자료'!$A$4:$T$4,0)),",","")),"")</f>
        <v/>
      </c>
      <c r="K1862" s="152">
        <f>IFERROR(VALUE(SUBSTITUTE(INDEX('04A_국토부원자료'!$A:$T,ROW()+1,MATCH("건축년도",'04A_국토부원자료'!$A$4:$T$4,0)),",","")),"")</f>
        <v/>
      </c>
      <c r="L1862" s="176">
        <f>IFERROR(INDEX('04A_국토부원자료'!$A:$T,ROW()+1,MATCH("도로명",'04A_국토부원자료'!$A$4:$T$4,0)),"")</f>
        <v/>
      </c>
      <c r="M1862" s="48">
        <f>IFERROR(INDEX('04A_국토부원자료'!$A:$T,ROW()+1,MATCH("거래유형",'04A_국토부원자료'!$A$4:$T$4,0)),"")</f>
        <v/>
      </c>
      <c r="N1862" s="152">
        <f>IF(B1862="","",IF('02_대상물건입력'!B5="",1,IF(ISNUMBER(SEARCH('02_대상물건입력'!B5,B1862)),1,0)))</f>
        <v/>
      </c>
      <c r="O1862" s="152">
        <f>IF(B1862="","",IF('02_대상물건입력'!B6="",1,IF(ISNUMBER(SEARCH('02_대상물건입력'!B6,B1862)),1,0)))</f>
        <v/>
      </c>
      <c r="P1862" s="152">
        <f>IF(L1862="","",IF('02_대상물건입력'!B15="",0,IF(ISNUMBER(SEARCH('02_대상물건입력'!B15,L1862)),1,0)))</f>
        <v/>
      </c>
      <c r="Q1862" s="152">
        <f>IF(OR(C1862="",L1862=""),0,IF(AND(TRIM(C1862)=TRIM(RIGHT(SUBSTITUTE(TRIM('02_대상물건입력'!$B$7)," ",REPT(" ",99)),99)),IF('02_대상물건입력'!B15="",TRUE(),ISNUMBER(SEARCH('02_대상물건입력'!B15,L1862)))),1,0))</f>
        <v/>
      </c>
      <c r="R1862" s="175">
        <f>IFERROR(ABS(E1862-'02_대상물건입력'!B11)/'02_대상물건입력'!B11,"")</f>
        <v/>
      </c>
      <c r="S1862" s="152">
        <f>IFERROR(ABS(J1862-'02_대상물건입력'!B10),"")</f>
        <v/>
      </c>
      <c r="T1862" s="152">
        <f>IFERROR(ABS('01_설정'!B4-F1862),"")</f>
        <v/>
      </c>
      <c r="U1862" s="152">
        <f>IFERROR(ABS(K1862-YEAR('02_대상물건입력'!B14)),"")</f>
        <v/>
      </c>
      <c r="V1862" s="152">
        <f>IF(B1862="","",IF(AND(E1862&gt;0,F1862&gt;0,H1862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1862=1,TRUE()),R1862&lt;='01_설정'!B5,S1862&lt;='01_설정'!B6,T1862&lt;='01_설정'!B7,U1862&lt;='01_설정'!B8),"Y",""))</f>
        <v/>
      </c>
      <c r="W1862" s="172">
        <f>IF(V1862&lt;&gt;"Y","",MAX(0,(1-R1862/'01_설정'!B5))*'01_설정'!B14+MAX(0,(1-S1862/'01_설정'!B6))*'01_설정'!B15+MAX(0,(1-T1862/'01_설정'!B7))*'01_설정'!B16+MAX(0,(1-U1862/'01_설정'!B8))*'01_설정'!B17+O1862*'01_설정'!B11+Q1862*'01_설정'!B12+P1862*'01_설정'!B13+IF(Z1862="",0,Z1862))</f>
        <v/>
      </c>
      <c r="X1862" s="152">
        <f>IF(W1862="","",1+COUNTIFS($W$4:$W$3003,"&gt;"&amp;W1862)+COUNTIFS($W$4:W1862,W1862)-1)</f>
        <v/>
      </c>
      <c r="Y1862" s="175">
        <f>IF(OR(I1862="",'02_대상물건입력'!B19="",'02_대상물건입력'!B19&lt;=0),"",ABS(I1862-'02_대상물건입력'!B19)/'02_대상물건입력'!B19)</f>
        <v/>
      </c>
      <c r="Z1862" s="172">
        <f>IF(OR(Y1862="",'01_설정'!B31="",'01_설정'!B31&lt;=0,'01_설정'!B32="",'01_설정'!B32&lt;=0),"",MAX(0,(1-Y1862/'01_설정'!B32))*'01_설정'!B31)</f>
        <v/>
      </c>
    </row>
    <row r="1863" ht="17.25" customHeight="1">
      <c r="A1863" s="152">
        <f>IF(INDEX('04A_국토부원자료'!$A:$A,ROW()+1)="","",ROW()-3)</f>
        <v/>
      </c>
      <c r="B1863" s="48">
        <f>IFERROR(INDEX('04A_국토부원자료'!$A:$T,ROW()+1,MATCH("시군구",'04A_국토부원자료'!$A$4:$T$4,0)),"")</f>
        <v/>
      </c>
      <c r="C1863" s="48">
        <f>IF(B1863="","",IFERROR(INDEX('04A_국토부원자료'!$A:$T,ROW()+1,MATCH("번지",'04A_국토부원자료'!$A$4:$T$4,0)),""))</f>
        <v/>
      </c>
      <c r="D1863" s="48">
        <f>IF(B1863="","",IF(Q1863=1,'02_대상물건입력'!$B$8,IFERROR(INDEX('04A_국토부원자료'!$A:$T,ROW()+1,MATCH("단지명",'04A_국토부원자료'!$A$4:$T$4,0)),"")))</f>
        <v/>
      </c>
      <c r="E1863" s="172">
        <f>IFERROR(VALUE(SUBSTITUTE(INDEX('04A_국토부원자료'!$A:$T,ROW()+1,MATCH("전용면적(㎡)",'04A_국토부원자료'!$A$4:$T$4,0)),",","")),"")</f>
        <v/>
      </c>
      <c r="F18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63" s="51">
        <f>IFERROR(VALUE(SUBSTITUTE(INDEX('04A_국토부원자료'!$A:$T,ROW()+1,MATCH("거래금액(만원)",'04A_국토부원자료'!$A$4:$T$4,0)),",","")),"")</f>
        <v/>
      </c>
      <c r="H1863" s="174">
        <f>IF(G1863="","",G1863*10000)</f>
        <v/>
      </c>
      <c r="I1863" s="174">
        <f>IFERROR(IF(AND(H1863&gt;0,E1863&gt;0),H1863/E1863,""),"")</f>
        <v/>
      </c>
      <c r="J1863" s="152">
        <f>IFERROR(VALUE(SUBSTITUTE(INDEX('04A_국토부원자료'!$A:$T,ROW()+1,MATCH("층",'04A_국토부원자료'!$A$4:$T$4,0)),",","")),"")</f>
        <v/>
      </c>
      <c r="K1863" s="152">
        <f>IFERROR(VALUE(SUBSTITUTE(INDEX('04A_국토부원자료'!$A:$T,ROW()+1,MATCH("건축년도",'04A_국토부원자료'!$A$4:$T$4,0)),",","")),"")</f>
        <v/>
      </c>
      <c r="L1863" s="176">
        <f>IFERROR(INDEX('04A_국토부원자료'!$A:$T,ROW()+1,MATCH("도로명",'04A_국토부원자료'!$A$4:$T$4,0)),"")</f>
        <v/>
      </c>
      <c r="M1863" s="48">
        <f>IFERROR(INDEX('04A_국토부원자료'!$A:$T,ROW()+1,MATCH("거래유형",'04A_국토부원자료'!$A$4:$T$4,0)),"")</f>
        <v/>
      </c>
      <c r="N1863" s="152">
        <f>IF(B1863="","",IF('02_대상물건입력'!B5="",1,IF(ISNUMBER(SEARCH('02_대상물건입력'!B5,B1863)),1,0)))</f>
        <v/>
      </c>
      <c r="O1863" s="152">
        <f>IF(B1863="","",IF('02_대상물건입력'!B6="",1,IF(ISNUMBER(SEARCH('02_대상물건입력'!B6,B1863)),1,0)))</f>
        <v/>
      </c>
      <c r="P1863" s="152">
        <f>IF(L1863="","",IF('02_대상물건입력'!B15="",0,IF(ISNUMBER(SEARCH('02_대상물건입력'!B15,L1863)),1,0)))</f>
        <v/>
      </c>
      <c r="Q1863" s="152">
        <f>IF(OR(C1863="",L1863=""),0,IF(AND(TRIM(C1863)=TRIM(RIGHT(SUBSTITUTE(TRIM('02_대상물건입력'!$B$7)," ",REPT(" ",99)),99)),IF('02_대상물건입력'!B15="",TRUE(),ISNUMBER(SEARCH('02_대상물건입력'!B15,L1863)))),1,0))</f>
        <v/>
      </c>
      <c r="R1863" s="175">
        <f>IFERROR(ABS(E1863-'02_대상물건입력'!B11)/'02_대상물건입력'!B11,"")</f>
        <v/>
      </c>
      <c r="S1863" s="152">
        <f>IFERROR(ABS(J1863-'02_대상물건입력'!B10),"")</f>
        <v/>
      </c>
      <c r="T1863" s="152">
        <f>IFERROR(ABS('01_설정'!B4-F1863),"")</f>
        <v/>
      </c>
      <c r="U1863" s="152">
        <f>IFERROR(ABS(K1863-YEAR('02_대상물건입력'!B14)),"")</f>
        <v/>
      </c>
      <c r="V1863" s="152">
        <f>IF(B1863="","",IF(AND(E1863&gt;0,F1863&gt;0,H1863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1863=1,TRUE()),R1863&lt;='01_설정'!B5,S1863&lt;='01_설정'!B6,T1863&lt;='01_설정'!B7,U1863&lt;='01_설정'!B8),"Y",""))</f>
        <v/>
      </c>
      <c r="W1863" s="172">
        <f>IF(V1863&lt;&gt;"Y","",MAX(0,(1-R1863/'01_설정'!B5))*'01_설정'!B14+MAX(0,(1-S1863/'01_설정'!B6))*'01_설정'!B15+MAX(0,(1-T1863/'01_설정'!B7))*'01_설정'!B16+MAX(0,(1-U1863/'01_설정'!B8))*'01_설정'!B17+O1863*'01_설정'!B11+Q1863*'01_설정'!B12+P1863*'01_설정'!B13+IF(Z1863="",0,Z1863))</f>
        <v/>
      </c>
      <c r="X1863" s="152">
        <f>IF(W1863="","",1+COUNTIFS($W$4:$W$3003,"&gt;"&amp;W1863)+COUNTIFS($W$4:W1863,W1863)-1)</f>
        <v/>
      </c>
      <c r="Y1863" s="175">
        <f>IF(OR(I1863="",'02_대상물건입력'!B19="",'02_대상물건입력'!B19&lt;=0),"",ABS(I1863-'02_대상물건입력'!B19)/'02_대상물건입력'!B19)</f>
        <v/>
      </c>
      <c r="Z1863" s="172">
        <f>IF(OR(Y1863="",'01_설정'!B31="",'01_설정'!B31&lt;=0,'01_설정'!B32="",'01_설정'!B32&lt;=0),"",MAX(0,(1-Y1863/'01_설정'!B32))*'01_설정'!B31)</f>
        <v/>
      </c>
    </row>
    <row r="1864" ht="17.25" customHeight="1">
      <c r="A1864" s="152">
        <f>IF(INDEX('04A_국토부원자료'!$A:$A,ROW()+1)="","",ROW()-3)</f>
        <v/>
      </c>
      <c r="B1864" s="48">
        <f>IFERROR(INDEX('04A_국토부원자료'!$A:$T,ROW()+1,MATCH("시군구",'04A_국토부원자료'!$A$4:$T$4,0)),"")</f>
        <v/>
      </c>
      <c r="C1864" s="48">
        <f>IF(B1864="","",IFERROR(INDEX('04A_국토부원자료'!$A:$T,ROW()+1,MATCH("번지",'04A_국토부원자료'!$A$4:$T$4,0)),""))</f>
        <v/>
      </c>
      <c r="D1864" s="48">
        <f>IF(B1864="","",IF(Q1864=1,'02_대상물건입력'!$B$8,IFERROR(INDEX('04A_국토부원자료'!$A:$T,ROW()+1,MATCH("단지명",'04A_국토부원자료'!$A$4:$T$4,0)),"")))</f>
        <v/>
      </c>
      <c r="E1864" s="172">
        <f>IFERROR(VALUE(SUBSTITUTE(INDEX('04A_국토부원자료'!$A:$T,ROW()+1,MATCH("전용면적(㎡)",'04A_국토부원자료'!$A$4:$T$4,0)),",","")),"")</f>
        <v/>
      </c>
      <c r="F18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64" s="51">
        <f>IFERROR(VALUE(SUBSTITUTE(INDEX('04A_국토부원자료'!$A:$T,ROW()+1,MATCH("거래금액(만원)",'04A_국토부원자료'!$A$4:$T$4,0)),",","")),"")</f>
        <v/>
      </c>
      <c r="H1864" s="174">
        <f>IF(G1864="","",G1864*10000)</f>
        <v/>
      </c>
      <c r="I1864" s="174">
        <f>IFERROR(IF(AND(H1864&gt;0,E1864&gt;0),H1864/E1864,""),"")</f>
        <v/>
      </c>
      <c r="J1864" s="152">
        <f>IFERROR(VALUE(SUBSTITUTE(INDEX('04A_국토부원자료'!$A:$T,ROW()+1,MATCH("층",'04A_국토부원자료'!$A$4:$T$4,0)),",","")),"")</f>
        <v/>
      </c>
      <c r="K1864" s="152">
        <f>IFERROR(VALUE(SUBSTITUTE(INDEX('04A_국토부원자료'!$A:$T,ROW()+1,MATCH("건축년도",'04A_국토부원자료'!$A$4:$T$4,0)),",","")),"")</f>
        <v/>
      </c>
      <c r="L1864" s="176">
        <f>IFERROR(INDEX('04A_국토부원자료'!$A:$T,ROW()+1,MATCH("도로명",'04A_국토부원자료'!$A$4:$T$4,0)),"")</f>
        <v/>
      </c>
      <c r="M1864" s="48">
        <f>IFERROR(INDEX('04A_국토부원자료'!$A:$T,ROW()+1,MATCH("거래유형",'04A_국토부원자료'!$A$4:$T$4,0)),"")</f>
        <v/>
      </c>
      <c r="N1864" s="152">
        <f>IF(B1864="","",IF('02_대상물건입력'!B5="",1,IF(ISNUMBER(SEARCH('02_대상물건입력'!B5,B1864)),1,0)))</f>
        <v/>
      </c>
      <c r="O1864" s="152">
        <f>IF(B1864="","",IF('02_대상물건입력'!B6="",1,IF(ISNUMBER(SEARCH('02_대상물건입력'!B6,B1864)),1,0)))</f>
        <v/>
      </c>
      <c r="P1864" s="152">
        <f>IF(L1864="","",IF('02_대상물건입력'!B15="",0,IF(ISNUMBER(SEARCH('02_대상물건입력'!B15,L1864)),1,0)))</f>
        <v/>
      </c>
      <c r="Q1864" s="152">
        <f>IF(OR(C1864="",L1864=""),0,IF(AND(TRIM(C1864)=TRIM(RIGHT(SUBSTITUTE(TRIM('02_대상물건입력'!$B$7)," ",REPT(" ",99)),99)),IF('02_대상물건입력'!B15="",TRUE(),ISNUMBER(SEARCH('02_대상물건입력'!B15,L1864)))),1,0))</f>
        <v/>
      </c>
      <c r="R1864" s="175">
        <f>IFERROR(ABS(E1864-'02_대상물건입력'!B11)/'02_대상물건입력'!B11,"")</f>
        <v/>
      </c>
      <c r="S1864" s="152">
        <f>IFERROR(ABS(J1864-'02_대상물건입력'!B10),"")</f>
        <v/>
      </c>
      <c r="T1864" s="152">
        <f>IFERROR(ABS('01_설정'!B4-F1864),"")</f>
        <v/>
      </c>
      <c r="U1864" s="152">
        <f>IFERROR(ABS(K1864-YEAR('02_대상물건입력'!B14)),"")</f>
        <v/>
      </c>
      <c r="V1864" s="152">
        <f>IF(B1864="","",IF(AND(E1864&gt;0,F1864&gt;0,H1864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1864=1,TRUE()),R1864&lt;='01_설정'!B5,S1864&lt;='01_설정'!B6,T1864&lt;='01_설정'!B7,U1864&lt;='01_설정'!B8),"Y",""))</f>
        <v/>
      </c>
      <c r="W1864" s="172">
        <f>IF(V1864&lt;&gt;"Y","",MAX(0,(1-R1864/'01_설정'!B5))*'01_설정'!B14+MAX(0,(1-S1864/'01_설정'!B6))*'01_설정'!B15+MAX(0,(1-T1864/'01_설정'!B7))*'01_설정'!B16+MAX(0,(1-U1864/'01_설정'!B8))*'01_설정'!B17+O1864*'01_설정'!B11+Q1864*'01_설정'!B12+P1864*'01_설정'!B13+IF(Z1864="",0,Z1864))</f>
        <v/>
      </c>
      <c r="X1864" s="152">
        <f>IF(W1864="","",1+COUNTIFS($W$4:$W$3003,"&gt;"&amp;W1864)+COUNTIFS($W$4:W1864,W1864)-1)</f>
        <v/>
      </c>
      <c r="Y1864" s="175">
        <f>IF(OR(I1864="",'02_대상물건입력'!B19="",'02_대상물건입력'!B19&lt;=0),"",ABS(I1864-'02_대상물건입력'!B19)/'02_대상물건입력'!B19)</f>
        <v/>
      </c>
      <c r="Z1864" s="172">
        <f>IF(OR(Y1864="",'01_설정'!B31="",'01_설정'!B31&lt;=0,'01_설정'!B32="",'01_설정'!B32&lt;=0),"",MAX(0,(1-Y1864/'01_설정'!B32))*'01_설정'!B31)</f>
        <v/>
      </c>
    </row>
    <row r="1865" ht="17.25" customHeight="1">
      <c r="A1865" s="152">
        <f>IF(INDEX('04A_국토부원자료'!$A:$A,ROW()+1)="","",ROW()-3)</f>
        <v/>
      </c>
      <c r="B1865" s="48">
        <f>IFERROR(INDEX('04A_국토부원자료'!$A:$T,ROW()+1,MATCH("시군구",'04A_국토부원자료'!$A$4:$T$4,0)),"")</f>
        <v/>
      </c>
      <c r="C1865" s="48">
        <f>IF(B1865="","",IFERROR(INDEX('04A_국토부원자료'!$A:$T,ROW()+1,MATCH("번지",'04A_국토부원자료'!$A$4:$T$4,0)),""))</f>
        <v/>
      </c>
      <c r="D1865" s="48">
        <f>IF(B1865="","",IF(Q1865=1,'02_대상물건입력'!$B$8,IFERROR(INDEX('04A_국토부원자료'!$A:$T,ROW()+1,MATCH("단지명",'04A_국토부원자료'!$A$4:$T$4,0)),"")))</f>
        <v/>
      </c>
      <c r="E1865" s="172">
        <f>IFERROR(VALUE(SUBSTITUTE(INDEX('04A_국토부원자료'!$A:$T,ROW()+1,MATCH("전용면적(㎡)",'04A_국토부원자료'!$A$4:$T$4,0)),",","")),"")</f>
        <v/>
      </c>
      <c r="F18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65" s="51">
        <f>IFERROR(VALUE(SUBSTITUTE(INDEX('04A_국토부원자료'!$A:$T,ROW()+1,MATCH("거래금액(만원)",'04A_국토부원자료'!$A$4:$T$4,0)),",","")),"")</f>
        <v/>
      </c>
      <c r="H1865" s="174">
        <f>IF(G1865="","",G1865*10000)</f>
        <v/>
      </c>
      <c r="I1865" s="174">
        <f>IFERROR(IF(AND(H1865&gt;0,E1865&gt;0),H1865/E1865,""),"")</f>
        <v/>
      </c>
      <c r="J1865" s="152">
        <f>IFERROR(VALUE(SUBSTITUTE(INDEX('04A_국토부원자료'!$A:$T,ROW()+1,MATCH("층",'04A_국토부원자료'!$A$4:$T$4,0)),",","")),"")</f>
        <v/>
      </c>
      <c r="K1865" s="152">
        <f>IFERROR(VALUE(SUBSTITUTE(INDEX('04A_국토부원자료'!$A:$T,ROW()+1,MATCH("건축년도",'04A_국토부원자료'!$A$4:$T$4,0)),",","")),"")</f>
        <v/>
      </c>
      <c r="L1865" s="176">
        <f>IFERROR(INDEX('04A_국토부원자료'!$A:$T,ROW()+1,MATCH("도로명",'04A_국토부원자료'!$A$4:$T$4,0)),"")</f>
        <v/>
      </c>
      <c r="M1865" s="48">
        <f>IFERROR(INDEX('04A_국토부원자료'!$A:$T,ROW()+1,MATCH("거래유형",'04A_국토부원자료'!$A$4:$T$4,0)),"")</f>
        <v/>
      </c>
      <c r="N1865" s="152">
        <f>IF(B1865="","",IF('02_대상물건입력'!B5="",1,IF(ISNUMBER(SEARCH('02_대상물건입력'!B5,B1865)),1,0)))</f>
        <v/>
      </c>
      <c r="O1865" s="152">
        <f>IF(B1865="","",IF('02_대상물건입력'!B6="",1,IF(ISNUMBER(SEARCH('02_대상물건입력'!B6,B1865)),1,0)))</f>
        <v/>
      </c>
      <c r="P1865" s="152">
        <f>IF(L1865="","",IF('02_대상물건입력'!B15="",0,IF(ISNUMBER(SEARCH('02_대상물건입력'!B15,L1865)),1,0)))</f>
        <v/>
      </c>
      <c r="Q1865" s="152">
        <f>IF(OR(C1865="",L1865=""),0,IF(AND(TRIM(C1865)=TRIM(RIGHT(SUBSTITUTE(TRIM('02_대상물건입력'!$B$7)," ",REPT(" ",99)),99)),IF('02_대상물건입력'!B15="",TRUE(),ISNUMBER(SEARCH('02_대상물건입력'!B15,L1865)))),1,0))</f>
        <v/>
      </c>
      <c r="R1865" s="175">
        <f>IFERROR(ABS(E1865-'02_대상물건입력'!B11)/'02_대상물건입력'!B11,"")</f>
        <v/>
      </c>
      <c r="S1865" s="152">
        <f>IFERROR(ABS(J1865-'02_대상물건입력'!B10),"")</f>
        <v/>
      </c>
      <c r="T1865" s="152">
        <f>IFERROR(ABS('01_설정'!B4-F1865),"")</f>
        <v/>
      </c>
      <c r="U1865" s="152">
        <f>IFERROR(ABS(K1865-YEAR('02_대상물건입력'!B14)),"")</f>
        <v/>
      </c>
      <c r="V1865" s="152">
        <f>IF(B1865="","",IF(AND(E1865&gt;0,F1865&gt;0,H1865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1865=1,TRUE()),R1865&lt;='01_설정'!B5,S1865&lt;='01_설정'!B6,T1865&lt;='01_설정'!B7,U1865&lt;='01_설정'!B8),"Y",""))</f>
        <v/>
      </c>
      <c r="W1865" s="172">
        <f>IF(V1865&lt;&gt;"Y","",MAX(0,(1-R1865/'01_설정'!B5))*'01_설정'!B14+MAX(0,(1-S1865/'01_설정'!B6))*'01_설정'!B15+MAX(0,(1-T1865/'01_설정'!B7))*'01_설정'!B16+MAX(0,(1-U1865/'01_설정'!B8))*'01_설정'!B17+O1865*'01_설정'!B11+Q1865*'01_설정'!B12+P1865*'01_설정'!B13+IF(Z1865="",0,Z1865))</f>
        <v/>
      </c>
      <c r="X1865" s="152">
        <f>IF(W1865="","",1+COUNTIFS($W$4:$W$3003,"&gt;"&amp;W1865)+COUNTIFS($W$4:W1865,W1865)-1)</f>
        <v/>
      </c>
      <c r="Y1865" s="175">
        <f>IF(OR(I1865="",'02_대상물건입력'!B19="",'02_대상물건입력'!B19&lt;=0),"",ABS(I1865-'02_대상물건입력'!B19)/'02_대상물건입력'!B19)</f>
        <v/>
      </c>
      <c r="Z1865" s="172">
        <f>IF(OR(Y1865="",'01_설정'!B31="",'01_설정'!B31&lt;=0,'01_설정'!B32="",'01_설정'!B32&lt;=0),"",MAX(0,(1-Y1865/'01_설정'!B32))*'01_설정'!B31)</f>
        <v/>
      </c>
    </row>
    <row r="1866" ht="17.25" customHeight="1">
      <c r="A1866" s="152">
        <f>IF(INDEX('04A_국토부원자료'!$A:$A,ROW()+1)="","",ROW()-3)</f>
        <v/>
      </c>
      <c r="B1866" s="48">
        <f>IFERROR(INDEX('04A_국토부원자료'!$A:$T,ROW()+1,MATCH("시군구",'04A_국토부원자료'!$A$4:$T$4,0)),"")</f>
        <v/>
      </c>
      <c r="C1866" s="48">
        <f>IF(B1866="","",IFERROR(INDEX('04A_국토부원자료'!$A:$T,ROW()+1,MATCH("번지",'04A_국토부원자료'!$A$4:$T$4,0)),""))</f>
        <v/>
      </c>
      <c r="D1866" s="48">
        <f>IF(B1866="","",IF(Q1866=1,'02_대상물건입력'!$B$8,IFERROR(INDEX('04A_국토부원자료'!$A:$T,ROW()+1,MATCH("단지명",'04A_국토부원자료'!$A$4:$T$4,0)),"")))</f>
        <v/>
      </c>
      <c r="E1866" s="172">
        <f>IFERROR(VALUE(SUBSTITUTE(INDEX('04A_국토부원자료'!$A:$T,ROW()+1,MATCH("전용면적(㎡)",'04A_국토부원자료'!$A$4:$T$4,0)),",","")),"")</f>
        <v/>
      </c>
      <c r="F18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66" s="51">
        <f>IFERROR(VALUE(SUBSTITUTE(INDEX('04A_국토부원자료'!$A:$T,ROW()+1,MATCH("거래금액(만원)",'04A_국토부원자료'!$A$4:$T$4,0)),",","")),"")</f>
        <v/>
      </c>
      <c r="H1866" s="174">
        <f>IF(G1866="","",G1866*10000)</f>
        <v/>
      </c>
      <c r="I1866" s="174">
        <f>IFERROR(IF(AND(H1866&gt;0,E1866&gt;0),H1866/E1866,""),"")</f>
        <v/>
      </c>
      <c r="J1866" s="152">
        <f>IFERROR(VALUE(SUBSTITUTE(INDEX('04A_국토부원자료'!$A:$T,ROW()+1,MATCH("층",'04A_국토부원자료'!$A$4:$T$4,0)),",","")),"")</f>
        <v/>
      </c>
      <c r="K1866" s="152">
        <f>IFERROR(VALUE(SUBSTITUTE(INDEX('04A_국토부원자료'!$A:$T,ROW()+1,MATCH("건축년도",'04A_국토부원자료'!$A$4:$T$4,0)),",","")),"")</f>
        <v/>
      </c>
      <c r="L1866" s="176">
        <f>IFERROR(INDEX('04A_국토부원자료'!$A:$T,ROW()+1,MATCH("도로명",'04A_국토부원자료'!$A$4:$T$4,0)),"")</f>
        <v/>
      </c>
      <c r="M1866" s="48">
        <f>IFERROR(INDEX('04A_국토부원자료'!$A:$T,ROW()+1,MATCH("거래유형",'04A_국토부원자료'!$A$4:$T$4,0)),"")</f>
        <v/>
      </c>
      <c r="N1866" s="152">
        <f>IF(B1866="","",IF('02_대상물건입력'!B5="",1,IF(ISNUMBER(SEARCH('02_대상물건입력'!B5,B1866)),1,0)))</f>
        <v/>
      </c>
      <c r="O1866" s="152">
        <f>IF(B1866="","",IF('02_대상물건입력'!B6="",1,IF(ISNUMBER(SEARCH('02_대상물건입력'!B6,B1866)),1,0)))</f>
        <v/>
      </c>
      <c r="P1866" s="152">
        <f>IF(L1866="","",IF('02_대상물건입력'!B15="",0,IF(ISNUMBER(SEARCH('02_대상물건입력'!B15,L1866)),1,0)))</f>
        <v/>
      </c>
      <c r="Q1866" s="152">
        <f>IF(OR(C1866="",L1866=""),0,IF(AND(TRIM(C1866)=TRIM(RIGHT(SUBSTITUTE(TRIM('02_대상물건입력'!$B$7)," ",REPT(" ",99)),99)),IF('02_대상물건입력'!B15="",TRUE(),ISNUMBER(SEARCH('02_대상물건입력'!B15,L1866)))),1,0))</f>
        <v/>
      </c>
      <c r="R1866" s="175">
        <f>IFERROR(ABS(E1866-'02_대상물건입력'!B11)/'02_대상물건입력'!B11,"")</f>
        <v/>
      </c>
      <c r="S1866" s="152">
        <f>IFERROR(ABS(J1866-'02_대상물건입력'!B10),"")</f>
        <v/>
      </c>
      <c r="T1866" s="152">
        <f>IFERROR(ABS('01_설정'!B4-F1866),"")</f>
        <v/>
      </c>
      <c r="U1866" s="152">
        <f>IFERROR(ABS(K1866-YEAR('02_대상물건입력'!B14)),"")</f>
        <v/>
      </c>
      <c r="V1866" s="152">
        <f>IF(B1866="","",IF(AND(E1866&gt;0,F1866&gt;0,H1866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1866=1,TRUE()),R1866&lt;='01_설정'!B5,S1866&lt;='01_설정'!B6,T1866&lt;='01_설정'!B7,U1866&lt;='01_설정'!B8),"Y",""))</f>
        <v/>
      </c>
      <c r="W1866" s="172">
        <f>IF(V1866&lt;&gt;"Y","",MAX(0,(1-R1866/'01_설정'!B5))*'01_설정'!B14+MAX(0,(1-S1866/'01_설정'!B6))*'01_설정'!B15+MAX(0,(1-T1866/'01_설정'!B7))*'01_설정'!B16+MAX(0,(1-U1866/'01_설정'!B8))*'01_설정'!B17+O1866*'01_설정'!B11+Q1866*'01_설정'!B12+P1866*'01_설정'!B13+IF(Z1866="",0,Z1866))</f>
        <v/>
      </c>
      <c r="X1866" s="152">
        <f>IF(W1866="","",1+COUNTIFS($W$4:$W$3003,"&gt;"&amp;W1866)+COUNTIFS($W$4:W1866,W1866)-1)</f>
        <v/>
      </c>
      <c r="Y1866" s="175">
        <f>IF(OR(I1866="",'02_대상물건입력'!B19="",'02_대상물건입력'!B19&lt;=0),"",ABS(I1866-'02_대상물건입력'!B19)/'02_대상물건입력'!B19)</f>
        <v/>
      </c>
      <c r="Z1866" s="172">
        <f>IF(OR(Y1866="",'01_설정'!B31="",'01_설정'!B31&lt;=0,'01_설정'!B32="",'01_설정'!B32&lt;=0),"",MAX(0,(1-Y1866/'01_설정'!B32))*'01_설정'!B31)</f>
        <v/>
      </c>
    </row>
    <row r="1867" ht="17.25" customHeight="1">
      <c r="A1867" s="152">
        <f>IF(INDEX('04A_국토부원자료'!$A:$A,ROW()+1)="","",ROW()-3)</f>
        <v/>
      </c>
      <c r="B1867" s="48">
        <f>IFERROR(INDEX('04A_국토부원자료'!$A:$T,ROW()+1,MATCH("시군구",'04A_국토부원자료'!$A$4:$T$4,0)),"")</f>
        <v/>
      </c>
      <c r="C1867" s="48">
        <f>IF(B1867="","",IFERROR(INDEX('04A_국토부원자료'!$A:$T,ROW()+1,MATCH("번지",'04A_국토부원자료'!$A$4:$T$4,0)),""))</f>
        <v/>
      </c>
      <c r="D1867" s="48">
        <f>IF(B1867="","",IF(Q1867=1,'02_대상물건입력'!$B$8,IFERROR(INDEX('04A_국토부원자료'!$A:$T,ROW()+1,MATCH("단지명",'04A_국토부원자료'!$A$4:$T$4,0)),"")))</f>
        <v/>
      </c>
      <c r="E1867" s="172">
        <f>IFERROR(VALUE(SUBSTITUTE(INDEX('04A_국토부원자료'!$A:$T,ROW()+1,MATCH("전용면적(㎡)",'04A_국토부원자료'!$A$4:$T$4,0)),",","")),"")</f>
        <v/>
      </c>
      <c r="F18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67" s="51">
        <f>IFERROR(VALUE(SUBSTITUTE(INDEX('04A_국토부원자료'!$A:$T,ROW()+1,MATCH("거래금액(만원)",'04A_국토부원자료'!$A$4:$T$4,0)),",","")),"")</f>
        <v/>
      </c>
      <c r="H1867" s="174">
        <f>IF(G1867="","",G1867*10000)</f>
        <v/>
      </c>
      <c r="I1867" s="174">
        <f>IFERROR(IF(AND(H1867&gt;0,E1867&gt;0),H1867/E1867,""),"")</f>
        <v/>
      </c>
      <c r="J1867" s="152">
        <f>IFERROR(VALUE(SUBSTITUTE(INDEX('04A_국토부원자료'!$A:$T,ROW()+1,MATCH("층",'04A_국토부원자료'!$A$4:$T$4,0)),",","")),"")</f>
        <v/>
      </c>
      <c r="K1867" s="152">
        <f>IFERROR(VALUE(SUBSTITUTE(INDEX('04A_국토부원자료'!$A:$T,ROW()+1,MATCH("건축년도",'04A_국토부원자료'!$A$4:$T$4,0)),",","")),"")</f>
        <v/>
      </c>
      <c r="L1867" s="176">
        <f>IFERROR(INDEX('04A_국토부원자료'!$A:$T,ROW()+1,MATCH("도로명",'04A_국토부원자료'!$A$4:$T$4,0)),"")</f>
        <v/>
      </c>
      <c r="M1867" s="48">
        <f>IFERROR(INDEX('04A_국토부원자료'!$A:$T,ROW()+1,MATCH("거래유형",'04A_국토부원자료'!$A$4:$T$4,0)),"")</f>
        <v/>
      </c>
      <c r="N1867" s="152">
        <f>IF(B1867="","",IF('02_대상물건입력'!B5="",1,IF(ISNUMBER(SEARCH('02_대상물건입력'!B5,B1867)),1,0)))</f>
        <v/>
      </c>
      <c r="O1867" s="152">
        <f>IF(B1867="","",IF('02_대상물건입력'!B6="",1,IF(ISNUMBER(SEARCH('02_대상물건입력'!B6,B1867)),1,0)))</f>
        <v/>
      </c>
      <c r="P1867" s="152">
        <f>IF(L1867="","",IF('02_대상물건입력'!B15="",0,IF(ISNUMBER(SEARCH('02_대상물건입력'!B15,L1867)),1,0)))</f>
        <v/>
      </c>
      <c r="Q1867" s="152">
        <f>IF(OR(C1867="",L1867=""),0,IF(AND(TRIM(C1867)=TRIM(RIGHT(SUBSTITUTE(TRIM('02_대상물건입력'!$B$7)," ",REPT(" ",99)),99)),IF('02_대상물건입력'!B15="",TRUE(),ISNUMBER(SEARCH('02_대상물건입력'!B15,L1867)))),1,0))</f>
        <v/>
      </c>
      <c r="R1867" s="175">
        <f>IFERROR(ABS(E1867-'02_대상물건입력'!B11)/'02_대상물건입력'!B11,"")</f>
        <v/>
      </c>
      <c r="S1867" s="152">
        <f>IFERROR(ABS(J1867-'02_대상물건입력'!B10),"")</f>
        <v/>
      </c>
      <c r="T1867" s="152">
        <f>IFERROR(ABS('01_설정'!B4-F1867),"")</f>
        <v/>
      </c>
      <c r="U1867" s="152">
        <f>IFERROR(ABS(K1867-YEAR('02_대상물건입력'!B14)),"")</f>
        <v/>
      </c>
      <c r="V1867" s="152">
        <f>IF(B1867="","",IF(AND(E1867&gt;0,F1867&gt;0,H1867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1867=1,TRUE()),R1867&lt;='01_설정'!B5,S1867&lt;='01_설정'!B6,T1867&lt;='01_설정'!B7,U1867&lt;='01_설정'!B8),"Y",""))</f>
        <v/>
      </c>
      <c r="W1867" s="172">
        <f>IF(V1867&lt;&gt;"Y","",MAX(0,(1-R1867/'01_설정'!B5))*'01_설정'!B14+MAX(0,(1-S1867/'01_설정'!B6))*'01_설정'!B15+MAX(0,(1-T1867/'01_설정'!B7))*'01_설정'!B16+MAX(0,(1-U1867/'01_설정'!B8))*'01_설정'!B17+O1867*'01_설정'!B11+Q1867*'01_설정'!B12+P1867*'01_설정'!B13+IF(Z1867="",0,Z1867))</f>
        <v/>
      </c>
      <c r="X1867" s="152">
        <f>IF(W1867="","",1+COUNTIFS($W$4:$W$3003,"&gt;"&amp;W1867)+COUNTIFS($W$4:W1867,W1867)-1)</f>
        <v/>
      </c>
      <c r="Y1867" s="175">
        <f>IF(OR(I1867="",'02_대상물건입력'!B19="",'02_대상물건입력'!B19&lt;=0),"",ABS(I1867-'02_대상물건입력'!B19)/'02_대상물건입력'!B19)</f>
        <v/>
      </c>
      <c r="Z1867" s="172">
        <f>IF(OR(Y1867="",'01_설정'!B31="",'01_설정'!B31&lt;=0,'01_설정'!B32="",'01_설정'!B32&lt;=0),"",MAX(0,(1-Y1867/'01_설정'!B32))*'01_설정'!B31)</f>
        <v/>
      </c>
    </row>
    <row r="1868" ht="17.25" customHeight="1">
      <c r="A1868" s="152">
        <f>IF(INDEX('04A_국토부원자료'!$A:$A,ROW()+1)="","",ROW()-3)</f>
        <v/>
      </c>
      <c r="B1868" s="48">
        <f>IFERROR(INDEX('04A_국토부원자료'!$A:$T,ROW()+1,MATCH("시군구",'04A_국토부원자료'!$A$4:$T$4,0)),"")</f>
        <v/>
      </c>
      <c r="C1868" s="48">
        <f>IF(B1868="","",IFERROR(INDEX('04A_국토부원자료'!$A:$T,ROW()+1,MATCH("번지",'04A_국토부원자료'!$A$4:$T$4,0)),""))</f>
        <v/>
      </c>
      <c r="D1868" s="48">
        <f>IF(B1868="","",IF(Q1868=1,'02_대상물건입력'!$B$8,IFERROR(INDEX('04A_국토부원자료'!$A:$T,ROW()+1,MATCH("단지명",'04A_국토부원자료'!$A$4:$T$4,0)),"")))</f>
        <v/>
      </c>
      <c r="E1868" s="172">
        <f>IFERROR(VALUE(SUBSTITUTE(INDEX('04A_국토부원자료'!$A:$T,ROW()+1,MATCH("전용면적(㎡)",'04A_국토부원자료'!$A$4:$T$4,0)),",","")),"")</f>
        <v/>
      </c>
      <c r="F18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68" s="51">
        <f>IFERROR(VALUE(SUBSTITUTE(INDEX('04A_국토부원자료'!$A:$T,ROW()+1,MATCH("거래금액(만원)",'04A_국토부원자료'!$A$4:$T$4,0)),",","")),"")</f>
        <v/>
      </c>
      <c r="H1868" s="174">
        <f>IF(G1868="","",G1868*10000)</f>
        <v/>
      </c>
      <c r="I1868" s="174">
        <f>IFERROR(IF(AND(H1868&gt;0,E1868&gt;0),H1868/E1868,""),"")</f>
        <v/>
      </c>
      <c r="J1868" s="152">
        <f>IFERROR(VALUE(SUBSTITUTE(INDEX('04A_국토부원자료'!$A:$T,ROW()+1,MATCH("층",'04A_국토부원자료'!$A$4:$T$4,0)),",","")),"")</f>
        <v/>
      </c>
      <c r="K1868" s="152">
        <f>IFERROR(VALUE(SUBSTITUTE(INDEX('04A_국토부원자료'!$A:$T,ROW()+1,MATCH("건축년도",'04A_국토부원자료'!$A$4:$T$4,0)),",","")),"")</f>
        <v/>
      </c>
      <c r="L1868" s="176">
        <f>IFERROR(INDEX('04A_국토부원자료'!$A:$T,ROW()+1,MATCH("도로명",'04A_국토부원자료'!$A$4:$T$4,0)),"")</f>
        <v/>
      </c>
      <c r="M1868" s="48">
        <f>IFERROR(INDEX('04A_국토부원자료'!$A:$T,ROW()+1,MATCH("거래유형",'04A_국토부원자료'!$A$4:$T$4,0)),"")</f>
        <v/>
      </c>
      <c r="N1868" s="152">
        <f>IF(B1868="","",IF('02_대상물건입력'!B5="",1,IF(ISNUMBER(SEARCH('02_대상물건입력'!B5,B1868)),1,0)))</f>
        <v/>
      </c>
      <c r="O1868" s="152">
        <f>IF(B1868="","",IF('02_대상물건입력'!B6="",1,IF(ISNUMBER(SEARCH('02_대상물건입력'!B6,B1868)),1,0)))</f>
        <v/>
      </c>
      <c r="P1868" s="152">
        <f>IF(L1868="","",IF('02_대상물건입력'!B15="",0,IF(ISNUMBER(SEARCH('02_대상물건입력'!B15,L1868)),1,0)))</f>
        <v/>
      </c>
      <c r="Q1868" s="152">
        <f>IF(OR(C1868="",L1868=""),0,IF(AND(TRIM(C1868)=TRIM(RIGHT(SUBSTITUTE(TRIM('02_대상물건입력'!$B$7)," ",REPT(" ",99)),99)),IF('02_대상물건입력'!B15="",TRUE(),ISNUMBER(SEARCH('02_대상물건입력'!B15,L1868)))),1,0))</f>
        <v/>
      </c>
      <c r="R1868" s="175">
        <f>IFERROR(ABS(E1868-'02_대상물건입력'!B11)/'02_대상물건입력'!B11,"")</f>
        <v/>
      </c>
      <c r="S1868" s="152">
        <f>IFERROR(ABS(J1868-'02_대상물건입력'!B10),"")</f>
        <v/>
      </c>
      <c r="T1868" s="152">
        <f>IFERROR(ABS('01_설정'!B4-F1868),"")</f>
        <v/>
      </c>
      <c r="U1868" s="152">
        <f>IFERROR(ABS(K1868-YEAR('02_대상물건입력'!B14)),"")</f>
        <v/>
      </c>
      <c r="V1868" s="152">
        <f>IF(B1868="","",IF(AND(E1868&gt;0,F1868&gt;0,H1868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1868=1,TRUE()),R1868&lt;='01_설정'!B5,S1868&lt;='01_설정'!B6,T1868&lt;='01_설정'!B7,U1868&lt;='01_설정'!B8),"Y",""))</f>
        <v/>
      </c>
      <c r="W1868" s="172">
        <f>IF(V1868&lt;&gt;"Y","",MAX(0,(1-R1868/'01_설정'!B5))*'01_설정'!B14+MAX(0,(1-S1868/'01_설정'!B6))*'01_설정'!B15+MAX(0,(1-T1868/'01_설정'!B7))*'01_설정'!B16+MAX(0,(1-U1868/'01_설정'!B8))*'01_설정'!B17+O1868*'01_설정'!B11+Q1868*'01_설정'!B12+P1868*'01_설정'!B13+IF(Z1868="",0,Z1868))</f>
        <v/>
      </c>
      <c r="X1868" s="152">
        <f>IF(W1868="","",1+COUNTIFS($W$4:$W$3003,"&gt;"&amp;W1868)+COUNTIFS($W$4:W1868,W1868)-1)</f>
        <v/>
      </c>
      <c r="Y1868" s="175">
        <f>IF(OR(I1868="",'02_대상물건입력'!B19="",'02_대상물건입력'!B19&lt;=0),"",ABS(I1868-'02_대상물건입력'!B19)/'02_대상물건입력'!B19)</f>
        <v/>
      </c>
      <c r="Z1868" s="172">
        <f>IF(OR(Y1868="",'01_설정'!B31="",'01_설정'!B31&lt;=0,'01_설정'!B32="",'01_설정'!B32&lt;=0),"",MAX(0,(1-Y1868/'01_설정'!B32))*'01_설정'!B31)</f>
        <v/>
      </c>
    </row>
    <row r="1869" ht="17.25" customHeight="1">
      <c r="A1869" s="152">
        <f>IF(INDEX('04A_국토부원자료'!$A:$A,ROW()+1)="","",ROW()-3)</f>
        <v/>
      </c>
      <c r="B1869" s="48">
        <f>IFERROR(INDEX('04A_국토부원자료'!$A:$T,ROW()+1,MATCH("시군구",'04A_국토부원자료'!$A$4:$T$4,0)),"")</f>
        <v/>
      </c>
      <c r="C1869" s="48">
        <f>IF(B1869="","",IFERROR(INDEX('04A_국토부원자료'!$A:$T,ROW()+1,MATCH("번지",'04A_국토부원자료'!$A$4:$T$4,0)),""))</f>
        <v/>
      </c>
      <c r="D1869" s="48">
        <f>IF(B1869="","",IF(Q1869=1,'02_대상물건입력'!$B$8,IFERROR(INDEX('04A_국토부원자료'!$A:$T,ROW()+1,MATCH("단지명",'04A_국토부원자료'!$A$4:$T$4,0)),"")))</f>
        <v/>
      </c>
      <c r="E1869" s="172">
        <f>IFERROR(VALUE(SUBSTITUTE(INDEX('04A_국토부원자료'!$A:$T,ROW()+1,MATCH("전용면적(㎡)",'04A_국토부원자료'!$A$4:$T$4,0)),",","")),"")</f>
        <v/>
      </c>
      <c r="F18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69" s="51">
        <f>IFERROR(VALUE(SUBSTITUTE(INDEX('04A_국토부원자료'!$A:$T,ROW()+1,MATCH("거래금액(만원)",'04A_국토부원자료'!$A$4:$T$4,0)),",","")),"")</f>
        <v/>
      </c>
      <c r="H1869" s="174">
        <f>IF(G1869="","",G1869*10000)</f>
        <v/>
      </c>
      <c r="I1869" s="174">
        <f>IFERROR(IF(AND(H1869&gt;0,E1869&gt;0),H1869/E1869,""),"")</f>
        <v/>
      </c>
      <c r="J1869" s="152">
        <f>IFERROR(VALUE(SUBSTITUTE(INDEX('04A_국토부원자료'!$A:$T,ROW()+1,MATCH("층",'04A_국토부원자료'!$A$4:$T$4,0)),",","")),"")</f>
        <v/>
      </c>
      <c r="K1869" s="152">
        <f>IFERROR(VALUE(SUBSTITUTE(INDEX('04A_국토부원자료'!$A:$T,ROW()+1,MATCH("건축년도",'04A_국토부원자료'!$A$4:$T$4,0)),",","")),"")</f>
        <v/>
      </c>
      <c r="L1869" s="176">
        <f>IFERROR(INDEX('04A_국토부원자료'!$A:$T,ROW()+1,MATCH("도로명",'04A_국토부원자료'!$A$4:$T$4,0)),"")</f>
        <v/>
      </c>
      <c r="M1869" s="48">
        <f>IFERROR(INDEX('04A_국토부원자료'!$A:$T,ROW()+1,MATCH("거래유형",'04A_국토부원자료'!$A$4:$T$4,0)),"")</f>
        <v/>
      </c>
      <c r="N1869" s="152">
        <f>IF(B1869="","",IF('02_대상물건입력'!B5="",1,IF(ISNUMBER(SEARCH('02_대상물건입력'!B5,B1869)),1,0)))</f>
        <v/>
      </c>
      <c r="O1869" s="152">
        <f>IF(B1869="","",IF('02_대상물건입력'!B6="",1,IF(ISNUMBER(SEARCH('02_대상물건입력'!B6,B1869)),1,0)))</f>
        <v/>
      </c>
      <c r="P1869" s="152">
        <f>IF(L1869="","",IF('02_대상물건입력'!B15="",0,IF(ISNUMBER(SEARCH('02_대상물건입력'!B15,L1869)),1,0)))</f>
        <v/>
      </c>
      <c r="Q1869" s="152">
        <f>IF(OR(C1869="",L1869=""),0,IF(AND(TRIM(C1869)=TRIM(RIGHT(SUBSTITUTE(TRIM('02_대상물건입력'!$B$7)," ",REPT(" ",99)),99)),IF('02_대상물건입력'!B15="",TRUE(),ISNUMBER(SEARCH('02_대상물건입력'!B15,L1869)))),1,0))</f>
        <v/>
      </c>
      <c r="R1869" s="175">
        <f>IFERROR(ABS(E1869-'02_대상물건입력'!B11)/'02_대상물건입력'!B11,"")</f>
        <v/>
      </c>
      <c r="S1869" s="152">
        <f>IFERROR(ABS(J1869-'02_대상물건입력'!B10),"")</f>
        <v/>
      </c>
      <c r="T1869" s="152">
        <f>IFERROR(ABS('01_설정'!B4-F1869),"")</f>
        <v/>
      </c>
      <c r="U1869" s="152">
        <f>IFERROR(ABS(K1869-YEAR('02_대상물건입력'!B14)),"")</f>
        <v/>
      </c>
      <c r="V1869" s="152">
        <f>IF(B1869="","",IF(AND(E1869&gt;0,F1869&gt;0,H1869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1869=1,TRUE()),R1869&lt;='01_설정'!B5,S1869&lt;='01_설정'!B6,T1869&lt;='01_설정'!B7,U1869&lt;='01_설정'!B8),"Y",""))</f>
        <v/>
      </c>
      <c r="W1869" s="172">
        <f>IF(V1869&lt;&gt;"Y","",MAX(0,(1-R1869/'01_설정'!B5))*'01_설정'!B14+MAX(0,(1-S1869/'01_설정'!B6))*'01_설정'!B15+MAX(0,(1-T1869/'01_설정'!B7))*'01_설정'!B16+MAX(0,(1-U1869/'01_설정'!B8))*'01_설정'!B17+O1869*'01_설정'!B11+Q1869*'01_설정'!B12+P1869*'01_설정'!B13+IF(Z1869="",0,Z1869))</f>
        <v/>
      </c>
      <c r="X1869" s="152">
        <f>IF(W1869="","",1+COUNTIFS($W$4:$W$3003,"&gt;"&amp;W1869)+COUNTIFS($W$4:W1869,W1869)-1)</f>
        <v/>
      </c>
      <c r="Y1869" s="175">
        <f>IF(OR(I1869="",'02_대상물건입력'!B19="",'02_대상물건입력'!B19&lt;=0),"",ABS(I1869-'02_대상물건입력'!B19)/'02_대상물건입력'!B19)</f>
        <v/>
      </c>
      <c r="Z1869" s="172">
        <f>IF(OR(Y1869="",'01_설정'!B31="",'01_설정'!B31&lt;=0,'01_설정'!B32="",'01_설정'!B32&lt;=0),"",MAX(0,(1-Y1869/'01_설정'!B32))*'01_설정'!B31)</f>
        <v/>
      </c>
    </row>
    <row r="1870" ht="17.25" customHeight="1">
      <c r="A1870" s="152">
        <f>IF(INDEX('04A_국토부원자료'!$A:$A,ROW()+1)="","",ROW()-3)</f>
        <v/>
      </c>
      <c r="B1870" s="48">
        <f>IFERROR(INDEX('04A_국토부원자료'!$A:$T,ROW()+1,MATCH("시군구",'04A_국토부원자료'!$A$4:$T$4,0)),"")</f>
        <v/>
      </c>
      <c r="C1870" s="48">
        <f>IF(B1870="","",IFERROR(INDEX('04A_국토부원자료'!$A:$T,ROW()+1,MATCH("번지",'04A_국토부원자료'!$A$4:$T$4,0)),""))</f>
        <v/>
      </c>
      <c r="D1870" s="48">
        <f>IF(B1870="","",IF(Q1870=1,'02_대상물건입력'!$B$8,IFERROR(INDEX('04A_국토부원자료'!$A:$T,ROW()+1,MATCH("단지명",'04A_국토부원자료'!$A$4:$T$4,0)),"")))</f>
        <v/>
      </c>
      <c r="E1870" s="172">
        <f>IFERROR(VALUE(SUBSTITUTE(INDEX('04A_국토부원자료'!$A:$T,ROW()+1,MATCH("전용면적(㎡)",'04A_국토부원자료'!$A$4:$T$4,0)),",","")),"")</f>
        <v/>
      </c>
      <c r="F18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70" s="51">
        <f>IFERROR(VALUE(SUBSTITUTE(INDEX('04A_국토부원자료'!$A:$T,ROW()+1,MATCH("거래금액(만원)",'04A_국토부원자료'!$A$4:$T$4,0)),",","")),"")</f>
        <v/>
      </c>
      <c r="H1870" s="174">
        <f>IF(G1870="","",G1870*10000)</f>
        <v/>
      </c>
      <c r="I1870" s="174">
        <f>IFERROR(IF(AND(H1870&gt;0,E1870&gt;0),H1870/E1870,""),"")</f>
        <v/>
      </c>
      <c r="J1870" s="152">
        <f>IFERROR(VALUE(SUBSTITUTE(INDEX('04A_국토부원자료'!$A:$T,ROW()+1,MATCH("층",'04A_국토부원자료'!$A$4:$T$4,0)),",","")),"")</f>
        <v/>
      </c>
      <c r="K1870" s="152">
        <f>IFERROR(VALUE(SUBSTITUTE(INDEX('04A_국토부원자료'!$A:$T,ROW()+1,MATCH("건축년도",'04A_국토부원자료'!$A$4:$T$4,0)),",","")),"")</f>
        <v/>
      </c>
      <c r="L1870" s="176">
        <f>IFERROR(INDEX('04A_국토부원자료'!$A:$T,ROW()+1,MATCH("도로명",'04A_국토부원자료'!$A$4:$T$4,0)),"")</f>
        <v/>
      </c>
      <c r="M1870" s="48">
        <f>IFERROR(INDEX('04A_국토부원자료'!$A:$T,ROW()+1,MATCH("거래유형",'04A_국토부원자료'!$A$4:$T$4,0)),"")</f>
        <v/>
      </c>
      <c r="N1870" s="152">
        <f>IF(B1870="","",IF('02_대상물건입력'!B5="",1,IF(ISNUMBER(SEARCH('02_대상물건입력'!B5,B1870)),1,0)))</f>
        <v/>
      </c>
      <c r="O1870" s="152">
        <f>IF(B1870="","",IF('02_대상물건입력'!B6="",1,IF(ISNUMBER(SEARCH('02_대상물건입력'!B6,B1870)),1,0)))</f>
        <v/>
      </c>
      <c r="P1870" s="152">
        <f>IF(L1870="","",IF('02_대상물건입력'!B15="",0,IF(ISNUMBER(SEARCH('02_대상물건입력'!B15,L1870)),1,0)))</f>
        <v/>
      </c>
      <c r="Q1870" s="152">
        <f>IF(OR(C1870="",L1870=""),0,IF(AND(TRIM(C1870)=TRIM(RIGHT(SUBSTITUTE(TRIM('02_대상물건입력'!$B$7)," ",REPT(" ",99)),99)),IF('02_대상물건입력'!B15="",TRUE(),ISNUMBER(SEARCH('02_대상물건입력'!B15,L1870)))),1,0))</f>
        <v/>
      </c>
      <c r="R1870" s="175">
        <f>IFERROR(ABS(E1870-'02_대상물건입력'!B11)/'02_대상물건입력'!B11,"")</f>
        <v/>
      </c>
      <c r="S1870" s="152">
        <f>IFERROR(ABS(J1870-'02_대상물건입력'!B10),"")</f>
        <v/>
      </c>
      <c r="T1870" s="152">
        <f>IFERROR(ABS('01_설정'!B4-F1870),"")</f>
        <v/>
      </c>
      <c r="U1870" s="152">
        <f>IFERROR(ABS(K1870-YEAR('02_대상물건입력'!B14)),"")</f>
        <v/>
      </c>
      <c r="V1870" s="152">
        <f>IF(B1870="","",IF(AND(E1870&gt;0,F1870&gt;0,H1870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1870=1,TRUE()),R1870&lt;='01_설정'!B5,S1870&lt;='01_설정'!B6,T1870&lt;='01_설정'!B7,U1870&lt;='01_설정'!B8),"Y",""))</f>
        <v/>
      </c>
      <c r="W1870" s="172">
        <f>IF(V1870&lt;&gt;"Y","",MAX(0,(1-R1870/'01_설정'!B5))*'01_설정'!B14+MAX(0,(1-S1870/'01_설정'!B6))*'01_설정'!B15+MAX(0,(1-T1870/'01_설정'!B7))*'01_설정'!B16+MAX(0,(1-U1870/'01_설정'!B8))*'01_설정'!B17+O1870*'01_설정'!B11+Q1870*'01_설정'!B12+P1870*'01_설정'!B13+IF(Z1870="",0,Z1870))</f>
        <v/>
      </c>
      <c r="X1870" s="152">
        <f>IF(W1870="","",1+COUNTIFS($W$4:$W$3003,"&gt;"&amp;W1870)+COUNTIFS($W$4:W1870,W1870)-1)</f>
        <v/>
      </c>
      <c r="Y1870" s="175">
        <f>IF(OR(I1870="",'02_대상물건입력'!B19="",'02_대상물건입력'!B19&lt;=0),"",ABS(I1870-'02_대상물건입력'!B19)/'02_대상물건입력'!B19)</f>
        <v/>
      </c>
      <c r="Z1870" s="172">
        <f>IF(OR(Y1870="",'01_설정'!B31="",'01_설정'!B31&lt;=0,'01_설정'!B32="",'01_설정'!B32&lt;=0),"",MAX(0,(1-Y1870/'01_설정'!B32))*'01_설정'!B31)</f>
        <v/>
      </c>
    </row>
    <row r="1871" ht="17.25" customHeight="1">
      <c r="A1871" s="152">
        <f>IF(INDEX('04A_국토부원자료'!$A:$A,ROW()+1)="","",ROW()-3)</f>
        <v/>
      </c>
      <c r="B1871" s="48">
        <f>IFERROR(INDEX('04A_국토부원자료'!$A:$T,ROW()+1,MATCH("시군구",'04A_국토부원자료'!$A$4:$T$4,0)),"")</f>
        <v/>
      </c>
      <c r="C1871" s="48">
        <f>IF(B1871="","",IFERROR(INDEX('04A_국토부원자료'!$A:$T,ROW()+1,MATCH("번지",'04A_국토부원자료'!$A$4:$T$4,0)),""))</f>
        <v/>
      </c>
      <c r="D1871" s="48">
        <f>IF(B1871="","",IF(Q1871=1,'02_대상물건입력'!$B$8,IFERROR(INDEX('04A_국토부원자료'!$A:$T,ROW()+1,MATCH("단지명",'04A_국토부원자료'!$A$4:$T$4,0)),"")))</f>
        <v/>
      </c>
      <c r="E1871" s="172">
        <f>IFERROR(VALUE(SUBSTITUTE(INDEX('04A_국토부원자료'!$A:$T,ROW()+1,MATCH("전용면적(㎡)",'04A_국토부원자료'!$A$4:$T$4,0)),",","")),"")</f>
        <v/>
      </c>
      <c r="F18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71" s="51">
        <f>IFERROR(VALUE(SUBSTITUTE(INDEX('04A_국토부원자료'!$A:$T,ROW()+1,MATCH("거래금액(만원)",'04A_국토부원자료'!$A$4:$T$4,0)),",","")),"")</f>
        <v/>
      </c>
      <c r="H1871" s="174">
        <f>IF(G1871="","",G1871*10000)</f>
        <v/>
      </c>
      <c r="I1871" s="174">
        <f>IFERROR(IF(AND(H1871&gt;0,E1871&gt;0),H1871/E1871,""),"")</f>
        <v/>
      </c>
      <c r="J1871" s="152">
        <f>IFERROR(VALUE(SUBSTITUTE(INDEX('04A_국토부원자료'!$A:$T,ROW()+1,MATCH("층",'04A_국토부원자료'!$A$4:$T$4,0)),",","")),"")</f>
        <v/>
      </c>
      <c r="K1871" s="152">
        <f>IFERROR(VALUE(SUBSTITUTE(INDEX('04A_국토부원자료'!$A:$T,ROW()+1,MATCH("건축년도",'04A_국토부원자료'!$A$4:$T$4,0)),",","")),"")</f>
        <v/>
      </c>
      <c r="L1871" s="176">
        <f>IFERROR(INDEX('04A_국토부원자료'!$A:$T,ROW()+1,MATCH("도로명",'04A_국토부원자료'!$A$4:$T$4,0)),"")</f>
        <v/>
      </c>
      <c r="M1871" s="48">
        <f>IFERROR(INDEX('04A_국토부원자료'!$A:$T,ROW()+1,MATCH("거래유형",'04A_국토부원자료'!$A$4:$T$4,0)),"")</f>
        <v/>
      </c>
      <c r="N1871" s="152">
        <f>IF(B1871="","",IF('02_대상물건입력'!B5="",1,IF(ISNUMBER(SEARCH('02_대상물건입력'!B5,B1871)),1,0)))</f>
        <v/>
      </c>
      <c r="O1871" s="152">
        <f>IF(B1871="","",IF('02_대상물건입력'!B6="",1,IF(ISNUMBER(SEARCH('02_대상물건입력'!B6,B1871)),1,0)))</f>
        <v/>
      </c>
      <c r="P1871" s="152">
        <f>IF(L1871="","",IF('02_대상물건입력'!B15="",0,IF(ISNUMBER(SEARCH('02_대상물건입력'!B15,L1871)),1,0)))</f>
        <v/>
      </c>
      <c r="Q1871" s="152">
        <f>IF(OR(C1871="",L1871=""),0,IF(AND(TRIM(C1871)=TRIM(RIGHT(SUBSTITUTE(TRIM('02_대상물건입력'!$B$7)," ",REPT(" ",99)),99)),IF('02_대상물건입력'!B15="",TRUE(),ISNUMBER(SEARCH('02_대상물건입력'!B15,L1871)))),1,0))</f>
        <v/>
      </c>
      <c r="R1871" s="175">
        <f>IFERROR(ABS(E1871-'02_대상물건입력'!B11)/'02_대상물건입력'!B11,"")</f>
        <v/>
      </c>
      <c r="S1871" s="152">
        <f>IFERROR(ABS(J1871-'02_대상물건입력'!B10),"")</f>
        <v/>
      </c>
      <c r="T1871" s="152">
        <f>IFERROR(ABS('01_설정'!B4-F1871),"")</f>
        <v/>
      </c>
      <c r="U1871" s="152">
        <f>IFERROR(ABS(K1871-YEAR('02_대상물건입력'!B14)),"")</f>
        <v/>
      </c>
      <c r="V1871" s="152">
        <f>IF(B1871="","",IF(AND(E1871&gt;0,F1871&gt;0,H1871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1871=1,TRUE()),R1871&lt;='01_설정'!B5,S1871&lt;='01_설정'!B6,T1871&lt;='01_설정'!B7,U1871&lt;='01_설정'!B8),"Y",""))</f>
        <v/>
      </c>
      <c r="W1871" s="172">
        <f>IF(V1871&lt;&gt;"Y","",MAX(0,(1-R1871/'01_설정'!B5))*'01_설정'!B14+MAX(0,(1-S1871/'01_설정'!B6))*'01_설정'!B15+MAX(0,(1-T1871/'01_설정'!B7))*'01_설정'!B16+MAX(0,(1-U1871/'01_설정'!B8))*'01_설정'!B17+O1871*'01_설정'!B11+Q1871*'01_설정'!B12+P1871*'01_설정'!B13+IF(Z1871="",0,Z1871))</f>
        <v/>
      </c>
      <c r="X1871" s="152">
        <f>IF(W1871="","",1+COUNTIFS($W$4:$W$3003,"&gt;"&amp;W1871)+COUNTIFS($W$4:W1871,W1871)-1)</f>
        <v/>
      </c>
      <c r="Y1871" s="175">
        <f>IF(OR(I1871="",'02_대상물건입력'!B19="",'02_대상물건입력'!B19&lt;=0),"",ABS(I1871-'02_대상물건입력'!B19)/'02_대상물건입력'!B19)</f>
        <v/>
      </c>
      <c r="Z1871" s="172">
        <f>IF(OR(Y1871="",'01_설정'!B31="",'01_설정'!B31&lt;=0,'01_설정'!B32="",'01_설정'!B32&lt;=0),"",MAX(0,(1-Y1871/'01_설정'!B32))*'01_설정'!B31)</f>
        <v/>
      </c>
    </row>
    <row r="1872" ht="17.25" customHeight="1">
      <c r="A1872" s="152">
        <f>IF(INDEX('04A_국토부원자료'!$A:$A,ROW()+1)="","",ROW()-3)</f>
        <v/>
      </c>
      <c r="B1872" s="48">
        <f>IFERROR(INDEX('04A_국토부원자료'!$A:$T,ROW()+1,MATCH("시군구",'04A_국토부원자료'!$A$4:$T$4,0)),"")</f>
        <v/>
      </c>
      <c r="C1872" s="48">
        <f>IF(B1872="","",IFERROR(INDEX('04A_국토부원자료'!$A:$T,ROW()+1,MATCH("번지",'04A_국토부원자료'!$A$4:$T$4,0)),""))</f>
        <v/>
      </c>
      <c r="D1872" s="48">
        <f>IF(B1872="","",IF(Q1872=1,'02_대상물건입력'!$B$8,IFERROR(INDEX('04A_국토부원자료'!$A:$T,ROW()+1,MATCH("단지명",'04A_국토부원자료'!$A$4:$T$4,0)),"")))</f>
        <v/>
      </c>
      <c r="E1872" s="172">
        <f>IFERROR(VALUE(SUBSTITUTE(INDEX('04A_국토부원자료'!$A:$T,ROW()+1,MATCH("전용면적(㎡)",'04A_국토부원자료'!$A$4:$T$4,0)),",","")),"")</f>
        <v/>
      </c>
      <c r="F18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72" s="51">
        <f>IFERROR(VALUE(SUBSTITUTE(INDEX('04A_국토부원자료'!$A:$T,ROW()+1,MATCH("거래금액(만원)",'04A_국토부원자료'!$A$4:$T$4,0)),",","")),"")</f>
        <v/>
      </c>
      <c r="H1872" s="174">
        <f>IF(G1872="","",G1872*10000)</f>
        <v/>
      </c>
      <c r="I1872" s="174">
        <f>IFERROR(IF(AND(H1872&gt;0,E1872&gt;0),H1872/E1872,""),"")</f>
        <v/>
      </c>
      <c r="J1872" s="152">
        <f>IFERROR(VALUE(SUBSTITUTE(INDEX('04A_국토부원자료'!$A:$T,ROW()+1,MATCH("층",'04A_국토부원자료'!$A$4:$T$4,0)),",","")),"")</f>
        <v/>
      </c>
      <c r="K1872" s="152">
        <f>IFERROR(VALUE(SUBSTITUTE(INDEX('04A_국토부원자료'!$A:$T,ROW()+1,MATCH("건축년도",'04A_국토부원자료'!$A$4:$T$4,0)),",","")),"")</f>
        <v/>
      </c>
      <c r="L1872" s="176">
        <f>IFERROR(INDEX('04A_국토부원자료'!$A:$T,ROW()+1,MATCH("도로명",'04A_국토부원자료'!$A$4:$T$4,0)),"")</f>
        <v/>
      </c>
      <c r="M1872" s="48">
        <f>IFERROR(INDEX('04A_국토부원자료'!$A:$T,ROW()+1,MATCH("거래유형",'04A_국토부원자료'!$A$4:$T$4,0)),"")</f>
        <v/>
      </c>
      <c r="N1872" s="152">
        <f>IF(B1872="","",IF('02_대상물건입력'!B5="",1,IF(ISNUMBER(SEARCH('02_대상물건입력'!B5,B1872)),1,0)))</f>
        <v/>
      </c>
      <c r="O1872" s="152">
        <f>IF(B1872="","",IF('02_대상물건입력'!B6="",1,IF(ISNUMBER(SEARCH('02_대상물건입력'!B6,B1872)),1,0)))</f>
        <v/>
      </c>
      <c r="P1872" s="152">
        <f>IF(L1872="","",IF('02_대상물건입력'!B15="",0,IF(ISNUMBER(SEARCH('02_대상물건입력'!B15,L1872)),1,0)))</f>
        <v/>
      </c>
      <c r="Q1872" s="152">
        <f>IF(OR(C1872="",L1872=""),0,IF(AND(TRIM(C1872)=TRIM(RIGHT(SUBSTITUTE(TRIM('02_대상물건입력'!$B$7)," ",REPT(" ",99)),99)),IF('02_대상물건입력'!B15="",TRUE(),ISNUMBER(SEARCH('02_대상물건입력'!B15,L1872)))),1,0))</f>
        <v/>
      </c>
      <c r="R1872" s="175">
        <f>IFERROR(ABS(E1872-'02_대상물건입력'!B11)/'02_대상물건입력'!B11,"")</f>
        <v/>
      </c>
      <c r="S1872" s="152">
        <f>IFERROR(ABS(J1872-'02_대상물건입력'!B10),"")</f>
        <v/>
      </c>
      <c r="T1872" s="152">
        <f>IFERROR(ABS('01_설정'!B4-F1872),"")</f>
        <v/>
      </c>
      <c r="U1872" s="152">
        <f>IFERROR(ABS(K1872-YEAR('02_대상물건입력'!B14)),"")</f>
        <v/>
      </c>
      <c r="V1872" s="152">
        <f>IF(B1872="","",IF(AND(E1872&gt;0,F1872&gt;0,H1872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1872=1,TRUE()),R1872&lt;='01_설정'!B5,S1872&lt;='01_설정'!B6,T1872&lt;='01_설정'!B7,U1872&lt;='01_설정'!B8),"Y",""))</f>
        <v/>
      </c>
      <c r="W1872" s="172">
        <f>IF(V1872&lt;&gt;"Y","",MAX(0,(1-R1872/'01_설정'!B5))*'01_설정'!B14+MAX(0,(1-S1872/'01_설정'!B6))*'01_설정'!B15+MAX(0,(1-T1872/'01_설정'!B7))*'01_설정'!B16+MAX(0,(1-U1872/'01_설정'!B8))*'01_설정'!B17+O1872*'01_설정'!B11+Q1872*'01_설정'!B12+P1872*'01_설정'!B13+IF(Z1872="",0,Z1872))</f>
        <v/>
      </c>
      <c r="X1872" s="152">
        <f>IF(W1872="","",1+COUNTIFS($W$4:$W$3003,"&gt;"&amp;W1872)+COUNTIFS($W$4:W1872,W1872)-1)</f>
        <v/>
      </c>
      <c r="Y1872" s="175">
        <f>IF(OR(I1872="",'02_대상물건입력'!B19="",'02_대상물건입력'!B19&lt;=0),"",ABS(I1872-'02_대상물건입력'!B19)/'02_대상물건입력'!B19)</f>
        <v/>
      </c>
      <c r="Z1872" s="172">
        <f>IF(OR(Y1872="",'01_설정'!B31="",'01_설정'!B31&lt;=0,'01_설정'!B32="",'01_설정'!B32&lt;=0),"",MAX(0,(1-Y1872/'01_설정'!B32))*'01_설정'!B31)</f>
        <v/>
      </c>
    </row>
    <row r="1873" ht="17.25" customHeight="1">
      <c r="A1873" s="152">
        <f>IF(INDEX('04A_국토부원자료'!$A:$A,ROW()+1)="","",ROW()-3)</f>
        <v/>
      </c>
      <c r="B1873" s="48">
        <f>IFERROR(INDEX('04A_국토부원자료'!$A:$T,ROW()+1,MATCH("시군구",'04A_국토부원자료'!$A$4:$T$4,0)),"")</f>
        <v/>
      </c>
      <c r="C1873" s="48">
        <f>IF(B1873="","",IFERROR(INDEX('04A_국토부원자료'!$A:$T,ROW()+1,MATCH("번지",'04A_국토부원자료'!$A$4:$T$4,0)),""))</f>
        <v/>
      </c>
      <c r="D1873" s="48">
        <f>IF(B1873="","",IF(Q1873=1,'02_대상물건입력'!$B$8,IFERROR(INDEX('04A_국토부원자료'!$A:$T,ROW()+1,MATCH("단지명",'04A_국토부원자료'!$A$4:$T$4,0)),"")))</f>
        <v/>
      </c>
      <c r="E1873" s="172">
        <f>IFERROR(VALUE(SUBSTITUTE(INDEX('04A_국토부원자료'!$A:$T,ROW()+1,MATCH("전용면적(㎡)",'04A_국토부원자료'!$A$4:$T$4,0)),",","")),"")</f>
        <v/>
      </c>
      <c r="F18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73" s="51">
        <f>IFERROR(VALUE(SUBSTITUTE(INDEX('04A_국토부원자료'!$A:$T,ROW()+1,MATCH("거래금액(만원)",'04A_국토부원자료'!$A$4:$T$4,0)),",","")),"")</f>
        <v/>
      </c>
      <c r="H1873" s="174">
        <f>IF(G1873="","",G1873*10000)</f>
        <v/>
      </c>
      <c r="I1873" s="174">
        <f>IFERROR(IF(AND(H1873&gt;0,E1873&gt;0),H1873/E1873,""),"")</f>
        <v/>
      </c>
      <c r="J1873" s="152">
        <f>IFERROR(VALUE(SUBSTITUTE(INDEX('04A_국토부원자료'!$A:$T,ROW()+1,MATCH("층",'04A_국토부원자료'!$A$4:$T$4,0)),",","")),"")</f>
        <v/>
      </c>
      <c r="K1873" s="152">
        <f>IFERROR(VALUE(SUBSTITUTE(INDEX('04A_국토부원자료'!$A:$T,ROW()+1,MATCH("건축년도",'04A_국토부원자료'!$A$4:$T$4,0)),",","")),"")</f>
        <v/>
      </c>
      <c r="L1873" s="176">
        <f>IFERROR(INDEX('04A_국토부원자료'!$A:$T,ROW()+1,MATCH("도로명",'04A_국토부원자료'!$A$4:$T$4,0)),"")</f>
        <v/>
      </c>
      <c r="M1873" s="48">
        <f>IFERROR(INDEX('04A_국토부원자료'!$A:$T,ROW()+1,MATCH("거래유형",'04A_국토부원자료'!$A$4:$T$4,0)),"")</f>
        <v/>
      </c>
      <c r="N1873" s="152">
        <f>IF(B1873="","",IF('02_대상물건입력'!B5="",1,IF(ISNUMBER(SEARCH('02_대상물건입력'!B5,B1873)),1,0)))</f>
        <v/>
      </c>
      <c r="O1873" s="152">
        <f>IF(B1873="","",IF('02_대상물건입력'!B6="",1,IF(ISNUMBER(SEARCH('02_대상물건입력'!B6,B1873)),1,0)))</f>
        <v/>
      </c>
      <c r="P1873" s="152">
        <f>IF(L1873="","",IF('02_대상물건입력'!B15="",0,IF(ISNUMBER(SEARCH('02_대상물건입력'!B15,L1873)),1,0)))</f>
        <v/>
      </c>
      <c r="Q1873" s="152">
        <f>IF(OR(C1873="",L1873=""),0,IF(AND(TRIM(C1873)=TRIM(RIGHT(SUBSTITUTE(TRIM('02_대상물건입력'!$B$7)," ",REPT(" ",99)),99)),IF('02_대상물건입력'!B15="",TRUE(),ISNUMBER(SEARCH('02_대상물건입력'!B15,L1873)))),1,0))</f>
        <v/>
      </c>
      <c r="R1873" s="175">
        <f>IFERROR(ABS(E1873-'02_대상물건입력'!B11)/'02_대상물건입력'!B11,"")</f>
        <v/>
      </c>
      <c r="S1873" s="152">
        <f>IFERROR(ABS(J1873-'02_대상물건입력'!B10),"")</f>
        <v/>
      </c>
      <c r="T1873" s="152">
        <f>IFERROR(ABS('01_설정'!B4-F1873),"")</f>
        <v/>
      </c>
      <c r="U1873" s="152">
        <f>IFERROR(ABS(K1873-YEAR('02_대상물건입력'!B14)),"")</f>
        <v/>
      </c>
      <c r="V1873" s="152">
        <f>IF(B1873="","",IF(AND(E1873&gt;0,F1873&gt;0,H1873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1873=1,TRUE()),R1873&lt;='01_설정'!B5,S1873&lt;='01_설정'!B6,T1873&lt;='01_설정'!B7,U1873&lt;='01_설정'!B8),"Y",""))</f>
        <v/>
      </c>
      <c r="W1873" s="172">
        <f>IF(V1873&lt;&gt;"Y","",MAX(0,(1-R1873/'01_설정'!B5))*'01_설정'!B14+MAX(0,(1-S1873/'01_설정'!B6))*'01_설정'!B15+MAX(0,(1-T1873/'01_설정'!B7))*'01_설정'!B16+MAX(0,(1-U1873/'01_설정'!B8))*'01_설정'!B17+O1873*'01_설정'!B11+Q1873*'01_설정'!B12+P1873*'01_설정'!B13+IF(Z1873="",0,Z1873))</f>
        <v/>
      </c>
      <c r="X1873" s="152">
        <f>IF(W1873="","",1+COUNTIFS($W$4:$W$3003,"&gt;"&amp;W1873)+COUNTIFS($W$4:W1873,W1873)-1)</f>
        <v/>
      </c>
      <c r="Y1873" s="175">
        <f>IF(OR(I1873="",'02_대상물건입력'!B19="",'02_대상물건입력'!B19&lt;=0),"",ABS(I1873-'02_대상물건입력'!B19)/'02_대상물건입력'!B19)</f>
        <v/>
      </c>
      <c r="Z1873" s="172">
        <f>IF(OR(Y1873="",'01_설정'!B31="",'01_설정'!B31&lt;=0,'01_설정'!B32="",'01_설정'!B32&lt;=0),"",MAX(0,(1-Y1873/'01_설정'!B32))*'01_설정'!B31)</f>
        <v/>
      </c>
    </row>
    <row r="1874" ht="17.25" customHeight="1">
      <c r="A1874" s="152">
        <f>IF(INDEX('04A_국토부원자료'!$A:$A,ROW()+1)="","",ROW()-3)</f>
        <v/>
      </c>
      <c r="B1874" s="48">
        <f>IFERROR(INDEX('04A_국토부원자료'!$A:$T,ROW()+1,MATCH("시군구",'04A_국토부원자료'!$A$4:$T$4,0)),"")</f>
        <v/>
      </c>
      <c r="C1874" s="48">
        <f>IF(B1874="","",IFERROR(INDEX('04A_국토부원자료'!$A:$T,ROW()+1,MATCH("번지",'04A_국토부원자료'!$A$4:$T$4,0)),""))</f>
        <v/>
      </c>
      <c r="D1874" s="48">
        <f>IF(B1874="","",IF(Q1874=1,'02_대상물건입력'!$B$8,IFERROR(INDEX('04A_국토부원자료'!$A:$T,ROW()+1,MATCH("단지명",'04A_국토부원자료'!$A$4:$T$4,0)),"")))</f>
        <v/>
      </c>
      <c r="E1874" s="172">
        <f>IFERROR(VALUE(SUBSTITUTE(INDEX('04A_국토부원자료'!$A:$T,ROW()+1,MATCH("전용면적(㎡)",'04A_국토부원자료'!$A$4:$T$4,0)),",","")),"")</f>
        <v/>
      </c>
      <c r="F18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74" s="51">
        <f>IFERROR(VALUE(SUBSTITUTE(INDEX('04A_국토부원자료'!$A:$T,ROW()+1,MATCH("거래금액(만원)",'04A_국토부원자료'!$A$4:$T$4,0)),",","")),"")</f>
        <v/>
      </c>
      <c r="H1874" s="174">
        <f>IF(G1874="","",G1874*10000)</f>
        <v/>
      </c>
      <c r="I1874" s="174">
        <f>IFERROR(IF(AND(H1874&gt;0,E1874&gt;0),H1874/E1874,""),"")</f>
        <v/>
      </c>
      <c r="J1874" s="152">
        <f>IFERROR(VALUE(SUBSTITUTE(INDEX('04A_국토부원자료'!$A:$T,ROW()+1,MATCH("층",'04A_국토부원자료'!$A$4:$T$4,0)),",","")),"")</f>
        <v/>
      </c>
      <c r="K1874" s="152">
        <f>IFERROR(VALUE(SUBSTITUTE(INDEX('04A_국토부원자료'!$A:$T,ROW()+1,MATCH("건축년도",'04A_국토부원자료'!$A$4:$T$4,0)),",","")),"")</f>
        <v/>
      </c>
      <c r="L1874" s="176">
        <f>IFERROR(INDEX('04A_국토부원자료'!$A:$T,ROW()+1,MATCH("도로명",'04A_국토부원자료'!$A$4:$T$4,0)),"")</f>
        <v/>
      </c>
      <c r="M1874" s="48">
        <f>IFERROR(INDEX('04A_국토부원자료'!$A:$T,ROW()+1,MATCH("거래유형",'04A_국토부원자료'!$A$4:$T$4,0)),"")</f>
        <v/>
      </c>
      <c r="N1874" s="152">
        <f>IF(B1874="","",IF('02_대상물건입력'!B5="",1,IF(ISNUMBER(SEARCH('02_대상물건입력'!B5,B1874)),1,0)))</f>
        <v/>
      </c>
      <c r="O1874" s="152">
        <f>IF(B1874="","",IF('02_대상물건입력'!B6="",1,IF(ISNUMBER(SEARCH('02_대상물건입력'!B6,B1874)),1,0)))</f>
        <v/>
      </c>
      <c r="P1874" s="152">
        <f>IF(L1874="","",IF('02_대상물건입력'!B15="",0,IF(ISNUMBER(SEARCH('02_대상물건입력'!B15,L1874)),1,0)))</f>
        <v/>
      </c>
      <c r="Q1874" s="152">
        <f>IF(OR(C1874="",L1874=""),0,IF(AND(TRIM(C1874)=TRIM(RIGHT(SUBSTITUTE(TRIM('02_대상물건입력'!$B$7)," ",REPT(" ",99)),99)),IF('02_대상물건입력'!B15="",TRUE(),ISNUMBER(SEARCH('02_대상물건입력'!B15,L1874)))),1,0))</f>
        <v/>
      </c>
      <c r="R1874" s="175">
        <f>IFERROR(ABS(E1874-'02_대상물건입력'!B11)/'02_대상물건입력'!B11,"")</f>
        <v/>
      </c>
      <c r="S1874" s="152">
        <f>IFERROR(ABS(J1874-'02_대상물건입력'!B10),"")</f>
        <v/>
      </c>
      <c r="T1874" s="152">
        <f>IFERROR(ABS('01_설정'!B4-F1874),"")</f>
        <v/>
      </c>
      <c r="U1874" s="152">
        <f>IFERROR(ABS(K1874-YEAR('02_대상물건입력'!B14)),"")</f>
        <v/>
      </c>
      <c r="V1874" s="152">
        <f>IF(B1874="","",IF(AND(E1874&gt;0,F1874&gt;0,H1874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1874=1,TRUE()),R1874&lt;='01_설정'!B5,S1874&lt;='01_설정'!B6,T1874&lt;='01_설정'!B7,U1874&lt;='01_설정'!B8),"Y",""))</f>
        <v/>
      </c>
      <c r="W1874" s="172">
        <f>IF(V1874&lt;&gt;"Y","",MAX(0,(1-R1874/'01_설정'!B5))*'01_설정'!B14+MAX(0,(1-S1874/'01_설정'!B6))*'01_설정'!B15+MAX(0,(1-T1874/'01_설정'!B7))*'01_설정'!B16+MAX(0,(1-U1874/'01_설정'!B8))*'01_설정'!B17+O1874*'01_설정'!B11+Q1874*'01_설정'!B12+P1874*'01_설정'!B13+IF(Z1874="",0,Z1874))</f>
        <v/>
      </c>
      <c r="X1874" s="152">
        <f>IF(W1874="","",1+COUNTIFS($W$4:$W$3003,"&gt;"&amp;W1874)+COUNTIFS($W$4:W1874,W1874)-1)</f>
        <v/>
      </c>
      <c r="Y1874" s="175">
        <f>IF(OR(I1874="",'02_대상물건입력'!B19="",'02_대상물건입력'!B19&lt;=0),"",ABS(I1874-'02_대상물건입력'!B19)/'02_대상물건입력'!B19)</f>
        <v/>
      </c>
      <c r="Z1874" s="172">
        <f>IF(OR(Y1874="",'01_설정'!B31="",'01_설정'!B31&lt;=0,'01_설정'!B32="",'01_설정'!B32&lt;=0),"",MAX(0,(1-Y1874/'01_설정'!B32))*'01_설정'!B31)</f>
        <v/>
      </c>
    </row>
    <row r="1875" ht="17.25" customHeight="1">
      <c r="A1875" s="152">
        <f>IF(INDEX('04A_국토부원자료'!$A:$A,ROW()+1)="","",ROW()-3)</f>
        <v/>
      </c>
      <c r="B1875" s="48">
        <f>IFERROR(INDEX('04A_국토부원자료'!$A:$T,ROW()+1,MATCH("시군구",'04A_국토부원자료'!$A$4:$T$4,0)),"")</f>
        <v/>
      </c>
      <c r="C1875" s="48">
        <f>IF(B1875="","",IFERROR(INDEX('04A_국토부원자료'!$A:$T,ROW()+1,MATCH("번지",'04A_국토부원자료'!$A$4:$T$4,0)),""))</f>
        <v/>
      </c>
      <c r="D1875" s="48">
        <f>IF(B1875="","",IF(Q1875=1,'02_대상물건입력'!$B$8,IFERROR(INDEX('04A_국토부원자료'!$A:$T,ROW()+1,MATCH("단지명",'04A_국토부원자료'!$A$4:$T$4,0)),"")))</f>
        <v/>
      </c>
      <c r="E1875" s="172">
        <f>IFERROR(VALUE(SUBSTITUTE(INDEX('04A_국토부원자료'!$A:$T,ROW()+1,MATCH("전용면적(㎡)",'04A_국토부원자료'!$A$4:$T$4,0)),",","")),"")</f>
        <v/>
      </c>
      <c r="F18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75" s="51">
        <f>IFERROR(VALUE(SUBSTITUTE(INDEX('04A_국토부원자료'!$A:$T,ROW()+1,MATCH("거래금액(만원)",'04A_국토부원자료'!$A$4:$T$4,0)),",","")),"")</f>
        <v/>
      </c>
      <c r="H1875" s="174">
        <f>IF(G1875="","",G1875*10000)</f>
        <v/>
      </c>
      <c r="I1875" s="174">
        <f>IFERROR(IF(AND(H1875&gt;0,E1875&gt;0),H1875/E1875,""),"")</f>
        <v/>
      </c>
      <c r="J1875" s="152">
        <f>IFERROR(VALUE(SUBSTITUTE(INDEX('04A_국토부원자료'!$A:$T,ROW()+1,MATCH("층",'04A_국토부원자료'!$A$4:$T$4,0)),",","")),"")</f>
        <v/>
      </c>
      <c r="K1875" s="152">
        <f>IFERROR(VALUE(SUBSTITUTE(INDEX('04A_국토부원자료'!$A:$T,ROW()+1,MATCH("건축년도",'04A_국토부원자료'!$A$4:$T$4,0)),",","")),"")</f>
        <v/>
      </c>
      <c r="L1875" s="176">
        <f>IFERROR(INDEX('04A_국토부원자료'!$A:$T,ROW()+1,MATCH("도로명",'04A_국토부원자료'!$A$4:$T$4,0)),"")</f>
        <v/>
      </c>
      <c r="M1875" s="48">
        <f>IFERROR(INDEX('04A_국토부원자료'!$A:$T,ROW()+1,MATCH("거래유형",'04A_국토부원자료'!$A$4:$T$4,0)),"")</f>
        <v/>
      </c>
      <c r="N1875" s="152">
        <f>IF(B1875="","",IF('02_대상물건입력'!B5="",1,IF(ISNUMBER(SEARCH('02_대상물건입력'!B5,B1875)),1,0)))</f>
        <v/>
      </c>
      <c r="O1875" s="152">
        <f>IF(B1875="","",IF('02_대상물건입력'!B6="",1,IF(ISNUMBER(SEARCH('02_대상물건입력'!B6,B1875)),1,0)))</f>
        <v/>
      </c>
      <c r="P1875" s="152">
        <f>IF(L1875="","",IF('02_대상물건입력'!B15="",0,IF(ISNUMBER(SEARCH('02_대상물건입력'!B15,L1875)),1,0)))</f>
        <v/>
      </c>
      <c r="Q1875" s="152">
        <f>IF(OR(C1875="",L1875=""),0,IF(AND(TRIM(C1875)=TRIM(RIGHT(SUBSTITUTE(TRIM('02_대상물건입력'!$B$7)," ",REPT(" ",99)),99)),IF('02_대상물건입력'!B15="",TRUE(),ISNUMBER(SEARCH('02_대상물건입력'!B15,L1875)))),1,0))</f>
        <v/>
      </c>
      <c r="R1875" s="175">
        <f>IFERROR(ABS(E1875-'02_대상물건입력'!B11)/'02_대상물건입력'!B11,"")</f>
        <v/>
      </c>
      <c r="S1875" s="152">
        <f>IFERROR(ABS(J1875-'02_대상물건입력'!B10),"")</f>
        <v/>
      </c>
      <c r="T1875" s="152">
        <f>IFERROR(ABS('01_설정'!B4-F1875),"")</f>
        <v/>
      </c>
      <c r="U1875" s="152">
        <f>IFERROR(ABS(K1875-YEAR('02_대상물건입력'!B14)),"")</f>
        <v/>
      </c>
      <c r="V1875" s="152">
        <f>IF(B1875="","",IF(AND(E1875&gt;0,F1875&gt;0,H1875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1875=1,TRUE()),R1875&lt;='01_설정'!B5,S1875&lt;='01_설정'!B6,T1875&lt;='01_설정'!B7,U1875&lt;='01_설정'!B8),"Y",""))</f>
        <v/>
      </c>
      <c r="W1875" s="172">
        <f>IF(V1875&lt;&gt;"Y","",MAX(0,(1-R1875/'01_설정'!B5))*'01_설정'!B14+MAX(0,(1-S1875/'01_설정'!B6))*'01_설정'!B15+MAX(0,(1-T1875/'01_설정'!B7))*'01_설정'!B16+MAX(0,(1-U1875/'01_설정'!B8))*'01_설정'!B17+O1875*'01_설정'!B11+Q1875*'01_설정'!B12+P1875*'01_설정'!B13+IF(Z1875="",0,Z1875))</f>
        <v/>
      </c>
      <c r="X1875" s="152">
        <f>IF(W1875="","",1+COUNTIFS($W$4:$W$3003,"&gt;"&amp;W1875)+COUNTIFS($W$4:W1875,W1875)-1)</f>
        <v/>
      </c>
      <c r="Y1875" s="175">
        <f>IF(OR(I1875="",'02_대상물건입력'!B19="",'02_대상물건입력'!B19&lt;=0),"",ABS(I1875-'02_대상물건입력'!B19)/'02_대상물건입력'!B19)</f>
        <v/>
      </c>
      <c r="Z1875" s="172">
        <f>IF(OR(Y1875="",'01_설정'!B31="",'01_설정'!B31&lt;=0,'01_설정'!B32="",'01_설정'!B32&lt;=0),"",MAX(0,(1-Y1875/'01_설정'!B32))*'01_설정'!B31)</f>
        <v/>
      </c>
    </row>
    <row r="1876" ht="17.25" customHeight="1">
      <c r="A1876" s="152">
        <f>IF(INDEX('04A_국토부원자료'!$A:$A,ROW()+1)="","",ROW()-3)</f>
        <v/>
      </c>
      <c r="B1876" s="48">
        <f>IFERROR(INDEX('04A_국토부원자료'!$A:$T,ROW()+1,MATCH("시군구",'04A_국토부원자료'!$A$4:$T$4,0)),"")</f>
        <v/>
      </c>
      <c r="C1876" s="48">
        <f>IF(B1876="","",IFERROR(INDEX('04A_국토부원자료'!$A:$T,ROW()+1,MATCH("번지",'04A_국토부원자료'!$A$4:$T$4,0)),""))</f>
        <v/>
      </c>
      <c r="D1876" s="48">
        <f>IF(B1876="","",IF(Q1876=1,'02_대상물건입력'!$B$8,IFERROR(INDEX('04A_국토부원자료'!$A:$T,ROW()+1,MATCH("단지명",'04A_국토부원자료'!$A$4:$T$4,0)),"")))</f>
        <v/>
      </c>
      <c r="E1876" s="172">
        <f>IFERROR(VALUE(SUBSTITUTE(INDEX('04A_국토부원자료'!$A:$T,ROW()+1,MATCH("전용면적(㎡)",'04A_국토부원자료'!$A$4:$T$4,0)),",","")),"")</f>
        <v/>
      </c>
      <c r="F18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76" s="51">
        <f>IFERROR(VALUE(SUBSTITUTE(INDEX('04A_국토부원자료'!$A:$T,ROW()+1,MATCH("거래금액(만원)",'04A_국토부원자료'!$A$4:$T$4,0)),",","")),"")</f>
        <v/>
      </c>
      <c r="H1876" s="174">
        <f>IF(G1876="","",G1876*10000)</f>
        <v/>
      </c>
      <c r="I1876" s="174">
        <f>IFERROR(IF(AND(H1876&gt;0,E1876&gt;0),H1876/E1876,""),"")</f>
        <v/>
      </c>
      <c r="J1876" s="152">
        <f>IFERROR(VALUE(SUBSTITUTE(INDEX('04A_국토부원자료'!$A:$T,ROW()+1,MATCH("층",'04A_국토부원자료'!$A$4:$T$4,0)),",","")),"")</f>
        <v/>
      </c>
      <c r="K1876" s="152">
        <f>IFERROR(VALUE(SUBSTITUTE(INDEX('04A_국토부원자료'!$A:$T,ROW()+1,MATCH("건축년도",'04A_국토부원자료'!$A$4:$T$4,0)),",","")),"")</f>
        <v/>
      </c>
      <c r="L1876" s="176">
        <f>IFERROR(INDEX('04A_국토부원자료'!$A:$T,ROW()+1,MATCH("도로명",'04A_국토부원자료'!$A$4:$T$4,0)),"")</f>
        <v/>
      </c>
      <c r="M1876" s="48">
        <f>IFERROR(INDEX('04A_국토부원자료'!$A:$T,ROW()+1,MATCH("거래유형",'04A_국토부원자료'!$A$4:$T$4,0)),"")</f>
        <v/>
      </c>
      <c r="N1876" s="152">
        <f>IF(B1876="","",IF('02_대상물건입력'!B5="",1,IF(ISNUMBER(SEARCH('02_대상물건입력'!B5,B1876)),1,0)))</f>
        <v/>
      </c>
      <c r="O1876" s="152">
        <f>IF(B1876="","",IF('02_대상물건입력'!B6="",1,IF(ISNUMBER(SEARCH('02_대상물건입력'!B6,B1876)),1,0)))</f>
        <v/>
      </c>
      <c r="P1876" s="152">
        <f>IF(L1876="","",IF('02_대상물건입력'!B15="",0,IF(ISNUMBER(SEARCH('02_대상물건입력'!B15,L1876)),1,0)))</f>
        <v/>
      </c>
      <c r="Q1876" s="152">
        <f>IF(OR(C1876="",L1876=""),0,IF(AND(TRIM(C1876)=TRIM(RIGHT(SUBSTITUTE(TRIM('02_대상물건입력'!$B$7)," ",REPT(" ",99)),99)),IF('02_대상물건입력'!B15="",TRUE(),ISNUMBER(SEARCH('02_대상물건입력'!B15,L1876)))),1,0))</f>
        <v/>
      </c>
      <c r="R1876" s="175">
        <f>IFERROR(ABS(E1876-'02_대상물건입력'!B11)/'02_대상물건입력'!B11,"")</f>
        <v/>
      </c>
      <c r="S1876" s="152">
        <f>IFERROR(ABS(J1876-'02_대상물건입력'!B10),"")</f>
        <v/>
      </c>
      <c r="T1876" s="152">
        <f>IFERROR(ABS('01_설정'!B4-F1876),"")</f>
        <v/>
      </c>
      <c r="U1876" s="152">
        <f>IFERROR(ABS(K1876-YEAR('02_대상물건입력'!B14)),"")</f>
        <v/>
      </c>
      <c r="V1876" s="152">
        <f>IF(B1876="","",IF(AND(E1876&gt;0,F1876&gt;0,H1876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1876=1,TRUE()),R1876&lt;='01_설정'!B5,S1876&lt;='01_설정'!B6,T1876&lt;='01_설정'!B7,U1876&lt;='01_설정'!B8),"Y",""))</f>
        <v/>
      </c>
      <c r="W1876" s="172">
        <f>IF(V1876&lt;&gt;"Y","",MAX(0,(1-R1876/'01_설정'!B5))*'01_설정'!B14+MAX(0,(1-S1876/'01_설정'!B6))*'01_설정'!B15+MAX(0,(1-T1876/'01_설정'!B7))*'01_설정'!B16+MAX(0,(1-U1876/'01_설정'!B8))*'01_설정'!B17+O1876*'01_설정'!B11+Q1876*'01_설정'!B12+P1876*'01_설정'!B13+IF(Z1876="",0,Z1876))</f>
        <v/>
      </c>
      <c r="X1876" s="152">
        <f>IF(W1876="","",1+COUNTIFS($W$4:$W$3003,"&gt;"&amp;W1876)+COUNTIFS($W$4:W1876,W1876)-1)</f>
        <v/>
      </c>
      <c r="Y1876" s="175">
        <f>IF(OR(I1876="",'02_대상물건입력'!B19="",'02_대상물건입력'!B19&lt;=0),"",ABS(I1876-'02_대상물건입력'!B19)/'02_대상물건입력'!B19)</f>
        <v/>
      </c>
      <c r="Z1876" s="172">
        <f>IF(OR(Y1876="",'01_설정'!B31="",'01_설정'!B31&lt;=0,'01_설정'!B32="",'01_설정'!B32&lt;=0),"",MAX(0,(1-Y1876/'01_설정'!B32))*'01_설정'!B31)</f>
        <v/>
      </c>
    </row>
    <row r="1877" ht="17.25" customHeight="1">
      <c r="A1877" s="152">
        <f>IF(INDEX('04A_국토부원자료'!$A:$A,ROW()+1)="","",ROW()-3)</f>
        <v/>
      </c>
      <c r="B1877" s="48">
        <f>IFERROR(INDEX('04A_국토부원자료'!$A:$T,ROW()+1,MATCH("시군구",'04A_국토부원자료'!$A$4:$T$4,0)),"")</f>
        <v/>
      </c>
      <c r="C1877" s="48">
        <f>IF(B1877="","",IFERROR(INDEX('04A_국토부원자료'!$A:$T,ROW()+1,MATCH("번지",'04A_국토부원자료'!$A$4:$T$4,0)),""))</f>
        <v/>
      </c>
      <c r="D1877" s="48">
        <f>IF(B1877="","",IF(Q1877=1,'02_대상물건입력'!$B$8,IFERROR(INDEX('04A_국토부원자료'!$A:$T,ROW()+1,MATCH("단지명",'04A_국토부원자료'!$A$4:$T$4,0)),"")))</f>
        <v/>
      </c>
      <c r="E1877" s="172">
        <f>IFERROR(VALUE(SUBSTITUTE(INDEX('04A_국토부원자료'!$A:$T,ROW()+1,MATCH("전용면적(㎡)",'04A_국토부원자료'!$A$4:$T$4,0)),",","")),"")</f>
        <v/>
      </c>
      <c r="F18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77" s="51">
        <f>IFERROR(VALUE(SUBSTITUTE(INDEX('04A_국토부원자료'!$A:$T,ROW()+1,MATCH("거래금액(만원)",'04A_국토부원자료'!$A$4:$T$4,0)),",","")),"")</f>
        <v/>
      </c>
      <c r="H1877" s="174">
        <f>IF(G1877="","",G1877*10000)</f>
        <v/>
      </c>
      <c r="I1877" s="174">
        <f>IFERROR(IF(AND(H1877&gt;0,E1877&gt;0),H1877/E1877,""),"")</f>
        <v/>
      </c>
      <c r="J1877" s="152">
        <f>IFERROR(VALUE(SUBSTITUTE(INDEX('04A_국토부원자료'!$A:$T,ROW()+1,MATCH("층",'04A_국토부원자료'!$A$4:$T$4,0)),",","")),"")</f>
        <v/>
      </c>
      <c r="K1877" s="152">
        <f>IFERROR(VALUE(SUBSTITUTE(INDEX('04A_국토부원자료'!$A:$T,ROW()+1,MATCH("건축년도",'04A_국토부원자료'!$A$4:$T$4,0)),",","")),"")</f>
        <v/>
      </c>
      <c r="L1877" s="176">
        <f>IFERROR(INDEX('04A_국토부원자료'!$A:$T,ROW()+1,MATCH("도로명",'04A_국토부원자료'!$A$4:$T$4,0)),"")</f>
        <v/>
      </c>
      <c r="M1877" s="48">
        <f>IFERROR(INDEX('04A_국토부원자료'!$A:$T,ROW()+1,MATCH("거래유형",'04A_국토부원자료'!$A$4:$T$4,0)),"")</f>
        <v/>
      </c>
      <c r="N1877" s="152">
        <f>IF(B1877="","",IF('02_대상물건입력'!B5="",1,IF(ISNUMBER(SEARCH('02_대상물건입력'!B5,B1877)),1,0)))</f>
        <v/>
      </c>
      <c r="O1877" s="152">
        <f>IF(B1877="","",IF('02_대상물건입력'!B6="",1,IF(ISNUMBER(SEARCH('02_대상물건입력'!B6,B1877)),1,0)))</f>
        <v/>
      </c>
      <c r="P1877" s="152">
        <f>IF(L1877="","",IF('02_대상물건입력'!B15="",0,IF(ISNUMBER(SEARCH('02_대상물건입력'!B15,L1877)),1,0)))</f>
        <v/>
      </c>
      <c r="Q1877" s="152">
        <f>IF(OR(C1877="",L1877=""),0,IF(AND(TRIM(C1877)=TRIM(RIGHT(SUBSTITUTE(TRIM('02_대상물건입력'!$B$7)," ",REPT(" ",99)),99)),IF('02_대상물건입력'!B15="",TRUE(),ISNUMBER(SEARCH('02_대상물건입력'!B15,L1877)))),1,0))</f>
        <v/>
      </c>
      <c r="R1877" s="175">
        <f>IFERROR(ABS(E1877-'02_대상물건입력'!B11)/'02_대상물건입력'!B11,"")</f>
        <v/>
      </c>
      <c r="S1877" s="152">
        <f>IFERROR(ABS(J1877-'02_대상물건입력'!B10),"")</f>
        <v/>
      </c>
      <c r="T1877" s="152">
        <f>IFERROR(ABS('01_설정'!B4-F1877),"")</f>
        <v/>
      </c>
      <c r="U1877" s="152">
        <f>IFERROR(ABS(K1877-YEAR('02_대상물건입력'!B14)),"")</f>
        <v/>
      </c>
      <c r="V1877" s="152">
        <f>IF(B1877="","",IF(AND(E1877&gt;0,F1877&gt;0,H1877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1877=1,TRUE()),R1877&lt;='01_설정'!B5,S1877&lt;='01_설정'!B6,T1877&lt;='01_설정'!B7,U1877&lt;='01_설정'!B8),"Y",""))</f>
        <v/>
      </c>
      <c r="W1877" s="172">
        <f>IF(V1877&lt;&gt;"Y","",MAX(0,(1-R1877/'01_설정'!B5))*'01_설정'!B14+MAX(0,(1-S1877/'01_설정'!B6))*'01_설정'!B15+MAX(0,(1-T1877/'01_설정'!B7))*'01_설정'!B16+MAX(0,(1-U1877/'01_설정'!B8))*'01_설정'!B17+O1877*'01_설정'!B11+Q1877*'01_설정'!B12+P1877*'01_설정'!B13+IF(Z1877="",0,Z1877))</f>
        <v/>
      </c>
      <c r="X1877" s="152">
        <f>IF(W1877="","",1+COUNTIFS($W$4:$W$3003,"&gt;"&amp;W1877)+COUNTIFS($W$4:W1877,W1877)-1)</f>
        <v/>
      </c>
      <c r="Y1877" s="175">
        <f>IF(OR(I1877="",'02_대상물건입력'!B19="",'02_대상물건입력'!B19&lt;=0),"",ABS(I1877-'02_대상물건입력'!B19)/'02_대상물건입력'!B19)</f>
        <v/>
      </c>
      <c r="Z1877" s="172">
        <f>IF(OR(Y1877="",'01_설정'!B31="",'01_설정'!B31&lt;=0,'01_설정'!B32="",'01_설정'!B32&lt;=0),"",MAX(0,(1-Y1877/'01_설정'!B32))*'01_설정'!B31)</f>
        <v/>
      </c>
    </row>
    <row r="1878" ht="17.25" customHeight="1">
      <c r="A1878" s="152">
        <f>IF(INDEX('04A_국토부원자료'!$A:$A,ROW()+1)="","",ROW()-3)</f>
        <v/>
      </c>
      <c r="B1878" s="48">
        <f>IFERROR(INDEX('04A_국토부원자료'!$A:$T,ROW()+1,MATCH("시군구",'04A_국토부원자료'!$A$4:$T$4,0)),"")</f>
        <v/>
      </c>
      <c r="C1878" s="48">
        <f>IF(B1878="","",IFERROR(INDEX('04A_국토부원자료'!$A:$T,ROW()+1,MATCH("번지",'04A_국토부원자료'!$A$4:$T$4,0)),""))</f>
        <v/>
      </c>
      <c r="D1878" s="48">
        <f>IF(B1878="","",IF(Q1878=1,'02_대상물건입력'!$B$8,IFERROR(INDEX('04A_국토부원자료'!$A:$T,ROW()+1,MATCH("단지명",'04A_국토부원자료'!$A$4:$T$4,0)),"")))</f>
        <v/>
      </c>
      <c r="E1878" s="172">
        <f>IFERROR(VALUE(SUBSTITUTE(INDEX('04A_국토부원자료'!$A:$T,ROW()+1,MATCH("전용면적(㎡)",'04A_국토부원자료'!$A$4:$T$4,0)),",","")),"")</f>
        <v/>
      </c>
      <c r="F18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78" s="51">
        <f>IFERROR(VALUE(SUBSTITUTE(INDEX('04A_국토부원자료'!$A:$T,ROW()+1,MATCH("거래금액(만원)",'04A_국토부원자료'!$A$4:$T$4,0)),",","")),"")</f>
        <v/>
      </c>
      <c r="H1878" s="174">
        <f>IF(G1878="","",G1878*10000)</f>
        <v/>
      </c>
      <c r="I1878" s="174">
        <f>IFERROR(IF(AND(H1878&gt;0,E1878&gt;0),H1878/E1878,""),"")</f>
        <v/>
      </c>
      <c r="J1878" s="152">
        <f>IFERROR(VALUE(SUBSTITUTE(INDEX('04A_국토부원자료'!$A:$T,ROW()+1,MATCH("층",'04A_국토부원자료'!$A$4:$T$4,0)),",","")),"")</f>
        <v/>
      </c>
      <c r="K1878" s="152">
        <f>IFERROR(VALUE(SUBSTITUTE(INDEX('04A_국토부원자료'!$A:$T,ROW()+1,MATCH("건축년도",'04A_국토부원자료'!$A$4:$T$4,0)),",","")),"")</f>
        <v/>
      </c>
      <c r="L1878" s="176">
        <f>IFERROR(INDEX('04A_국토부원자료'!$A:$T,ROW()+1,MATCH("도로명",'04A_국토부원자료'!$A$4:$T$4,0)),"")</f>
        <v/>
      </c>
      <c r="M1878" s="48">
        <f>IFERROR(INDEX('04A_국토부원자료'!$A:$T,ROW()+1,MATCH("거래유형",'04A_국토부원자료'!$A$4:$T$4,0)),"")</f>
        <v/>
      </c>
      <c r="N1878" s="152">
        <f>IF(B1878="","",IF('02_대상물건입력'!B5="",1,IF(ISNUMBER(SEARCH('02_대상물건입력'!B5,B1878)),1,0)))</f>
        <v/>
      </c>
      <c r="O1878" s="152">
        <f>IF(B1878="","",IF('02_대상물건입력'!B6="",1,IF(ISNUMBER(SEARCH('02_대상물건입력'!B6,B1878)),1,0)))</f>
        <v/>
      </c>
      <c r="P1878" s="152">
        <f>IF(L1878="","",IF('02_대상물건입력'!B15="",0,IF(ISNUMBER(SEARCH('02_대상물건입력'!B15,L1878)),1,0)))</f>
        <v/>
      </c>
      <c r="Q1878" s="152">
        <f>IF(OR(C1878="",L1878=""),0,IF(AND(TRIM(C1878)=TRIM(RIGHT(SUBSTITUTE(TRIM('02_대상물건입력'!$B$7)," ",REPT(" ",99)),99)),IF('02_대상물건입력'!B15="",TRUE(),ISNUMBER(SEARCH('02_대상물건입력'!B15,L1878)))),1,0))</f>
        <v/>
      </c>
      <c r="R1878" s="175">
        <f>IFERROR(ABS(E1878-'02_대상물건입력'!B11)/'02_대상물건입력'!B11,"")</f>
        <v/>
      </c>
      <c r="S1878" s="152">
        <f>IFERROR(ABS(J1878-'02_대상물건입력'!B10),"")</f>
        <v/>
      </c>
      <c r="T1878" s="152">
        <f>IFERROR(ABS('01_설정'!B4-F1878),"")</f>
        <v/>
      </c>
      <c r="U1878" s="152">
        <f>IFERROR(ABS(K1878-YEAR('02_대상물건입력'!B14)),"")</f>
        <v/>
      </c>
      <c r="V1878" s="152">
        <f>IF(B1878="","",IF(AND(E1878&gt;0,F1878&gt;0,H1878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1878=1,TRUE()),R1878&lt;='01_설정'!B5,S1878&lt;='01_설정'!B6,T1878&lt;='01_설정'!B7,U1878&lt;='01_설정'!B8),"Y",""))</f>
        <v/>
      </c>
      <c r="W1878" s="172">
        <f>IF(V1878&lt;&gt;"Y","",MAX(0,(1-R1878/'01_설정'!B5))*'01_설정'!B14+MAX(0,(1-S1878/'01_설정'!B6))*'01_설정'!B15+MAX(0,(1-T1878/'01_설정'!B7))*'01_설정'!B16+MAX(0,(1-U1878/'01_설정'!B8))*'01_설정'!B17+O1878*'01_설정'!B11+Q1878*'01_설정'!B12+P1878*'01_설정'!B13+IF(Z1878="",0,Z1878))</f>
        <v/>
      </c>
      <c r="X1878" s="152">
        <f>IF(W1878="","",1+COUNTIFS($W$4:$W$3003,"&gt;"&amp;W1878)+COUNTIFS($W$4:W1878,W1878)-1)</f>
        <v/>
      </c>
      <c r="Y1878" s="175">
        <f>IF(OR(I1878="",'02_대상물건입력'!B19="",'02_대상물건입력'!B19&lt;=0),"",ABS(I1878-'02_대상물건입력'!B19)/'02_대상물건입력'!B19)</f>
        <v/>
      </c>
      <c r="Z1878" s="172">
        <f>IF(OR(Y1878="",'01_설정'!B31="",'01_설정'!B31&lt;=0,'01_설정'!B32="",'01_설정'!B32&lt;=0),"",MAX(0,(1-Y1878/'01_설정'!B32))*'01_설정'!B31)</f>
        <v/>
      </c>
    </row>
    <row r="1879" ht="17.25" customHeight="1">
      <c r="A1879" s="152">
        <f>IF(INDEX('04A_국토부원자료'!$A:$A,ROW()+1)="","",ROW()-3)</f>
        <v/>
      </c>
      <c r="B1879" s="48">
        <f>IFERROR(INDEX('04A_국토부원자료'!$A:$T,ROW()+1,MATCH("시군구",'04A_국토부원자료'!$A$4:$T$4,0)),"")</f>
        <v/>
      </c>
      <c r="C1879" s="48">
        <f>IF(B1879="","",IFERROR(INDEX('04A_국토부원자료'!$A:$T,ROW()+1,MATCH("번지",'04A_국토부원자료'!$A$4:$T$4,0)),""))</f>
        <v/>
      </c>
      <c r="D1879" s="48">
        <f>IF(B1879="","",IF(Q1879=1,'02_대상물건입력'!$B$8,IFERROR(INDEX('04A_국토부원자료'!$A:$T,ROW()+1,MATCH("단지명",'04A_국토부원자료'!$A$4:$T$4,0)),"")))</f>
        <v/>
      </c>
      <c r="E1879" s="172">
        <f>IFERROR(VALUE(SUBSTITUTE(INDEX('04A_국토부원자료'!$A:$T,ROW()+1,MATCH("전용면적(㎡)",'04A_국토부원자료'!$A$4:$T$4,0)),",","")),"")</f>
        <v/>
      </c>
      <c r="F18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79" s="51">
        <f>IFERROR(VALUE(SUBSTITUTE(INDEX('04A_국토부원자료'!$A:$T,ROW()+1,MATCH("거래금액(만원)",'04A_국토부원자료'!$A$4:$T$4,0)),",","")),"")</f>
        <v/>
      </c>
      <c r="H1879" s="174">
        <f>IF(G1879="","",G1879*10000)</f>
        <v/>
      </c>
      <c r="I1879" s="174">
        <f>IFERROR(IF(AND(H1879&gt;0,E1879&gt;0),H1879/E1879,""),"")</f>
        <v/>
      </c>
      <c r="J1879" s="152">
        <f>IFERROR(VALUE(SUBSTITUTE(INDEX('04A_국토부원자료'!$A:$T,ROW()+1,MATCH("층",'04A_국토부원자료'!$A$4:$T$4,0)),",","")),"")</f>
        <v/>
      </c>
      <c r="K1879" s="152">
        <f>IFERROR(VALUE(SUBSTITUTE(INDEX('04A_국토부원자료'!$A:$T,ROW()+1,MATCH("건축년도",'04A_국토부원자료'!$A$4:$T$4,0)),",","")),"")</f>
        <v/>
      </c>
      <c r="L1879" s="176">
        <f>IFERROR(INDEX('04A_국토부원자료'!$A:$T,ROW()+1,MATCH("도로명",'04A_국토부원자료'!$A$4:$T$4,0)),"")</f>
        <v/>
      </c>
      <c r="M1879" s="48">
        <f>IFERROR(INDEX('04A_국토부원자료'!$A:$T,ROW()+1,MATCH("거래유형",'04A_국토부원자료'!$A$4:$T$4,0)),"")</f>
        <v/>
      </c>
      <c r="N1879" s="152">
        <f>IF(B1879="","",IF('02_대상물건입력'!B5="",1,IF(ISNUMBER(SEARCH('02_대상물건입력'!B5,B1879)),1,0)))</f>
        <v/>
      </c>
      <c r="O1879" s="152">
        <f>IF(B1879="","",IF('02_대상물건입력'!B6="",1,IF(ISNUMBER(SEARCH('02_대상물건입력'!B6,B1879)),1,0)))</f>
        <v/>
      </c>
      <c r="P1879" s="152">
        <f>IF(L1879="","",IF('02_대상물건입력'!B15="",0,IF(ISNUMBER(SEARCH('02_대상물건입력'!B15,L1879)),1,0)))</f>
        <v/>
      </c>
      <c r="Q1879" s="152">
        <f>IF(OR(C1879="",L1879=""),0,IF(AND(TRIM(C1879)=TRIM(RIGHT(SUBSTITUTE(TRIM('02_대상물건입력'!$B$7)," ",REPT(" ",99)),99)),IF('02_대상물건입력'!B15="",TRUE(),ISNUMBER(SEARCH('02_대상물건입력'!B15,L1879)))),1,0))</f>
        <v/>
      </c>
      <c r="R1879" s="175">
        <f>IFERROR(ABS(E1879-'02_대상물건입력'!B11)/'02_대상물건입력'!B11,"")</f>
        <v/>
      </c>
      <c r="S1879" s="152">
        <f>IFERROR(ABS(J1879-'02_대상물건입력'!B10),"")</f>
        <v/>
      </c>
      <c r="T1879" s="152">
        <f>IFERROR(ABS('01_설정'!B4-F1879),"")</f>
        <v/>
      </c>
      <c r="U1879" s="152">
        <f>IFERROR(ABS(K1879-YEAR('02_대상물건입력'!B14)),"")</f>
        <v/>
      </c>
      <c r="V1879" s="152">
        <f>IF(B1879="","",IF(AND(E1879&gt;0,F1879&gt;0,H1879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1879=1,TRUE()),R1879&lt;='01_설정'!B5,S1879&lt;='01_설정'!B6,T1879&lt;='01_설정'!B7,U1879&lt;='01_설정'!B8),"Y",""))</f>
        <v/>
      </c>
      <c r="W1879" s="172">
        <f>IF(V1879&lt;&gt;"Y","",MAX(0,(1-R1879/'01_설정'!B5))*'01_설정'!B14+MAX(0,(1-S1879/'01_설정'!B6))*'01_설정'!B15+MAX(0,(1-T1879/'01_설정'!B7))*'01_설정'!B16+MAX(0,(1-U1879/'01_설정'!B8))*'01_설정'!B17+O1879*'01_설정'!B11+Q1879*'01_설정'!B12+P1879*'01_설정'!B13+IF(Z1879="",0,Z1879))</f>
        <v/>
      </c>
      <c r="X1879" s="152">
        <f>IF(W1879="","",1+COUNTIFS($W$4:$W$3003,"&gt;"&amp;W1879)+COUNTIFS($W$4:W1879,W1879)-1)</f>
        <v/>
      </c>
      <c r="Y1879" s="175">
        <f>IF(OR(I1879="",'02_대상물건입력'!B19="",'02_대상물건입력'!B19&lt;=0),"",ABS(I1879-'02_대상물건입력'!B19)/'02_대상물건입력'!B19)</f>
        <v/>
      </c>
      <c r="Z1879" s="172">
        <f>IF(OR(Y1879="",'01_설정'!B31="",'01_설정'!B31&lt;=0,'01_설정'!B32="",'01_설정'!B32&lt;=0),"",MAX(0,(1-Y1879/'01_설정'!B32))*'01_설정'!B31)</f>
        <v/>
      </c>
    </row>
    <row r="1880" ht="17.25" customHeight="1">
      <c r="A1880" s="152">
        <f>IF(INDEX('04A_국토부원자료'!$A:$A,ROW()+1)="","",ROW()-3)</f>
        <v/>
      </c>
      <c r="B1880" s="48">
        <f>IFERROR(INDEX('04A_국토부원자료'!$A:$T,ROW()+1,MATCH("시군구",'04A_국토부원자료'!$A$4:$T$4,0)),"")</f>
        <v/>
      </c>
      <c r="C1880" s="48">
        <f>IF(B1880="","",IFERROR(INDEX('04A_국토부원자료'!$A:$T,ROW()+1,MATCH("번지",'04A_국토부원자료'!$A$4:$T$4,0)),""))</f>
        <v/>
      </c>
      <c r="D1880" s="48">
        <f>IF(B1880="","",IF(Q1880=1,'02_대상물건입력'!$B$8,IFERROR(INDEX('04A_국토부원자료'!$A:$T,ROW()+1,MATCH("단지명",'04A_국토부원자료'!$A$4:$T$4,0)),"")))</f>
        <v/>
      </c>
      <c r="E1880" s="172">
        <f>IFERROR(VALUE(SUBSTITUTE(INDEX('04A_국토부원자료'!$A:$T,ROW()+1,MATCH("전용면적(㎡)",'04A_국토부원자료'!$A$4:$T$4,0)),",","")),"")</f>
        <v/>
      </c>
      <c r="F18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80" s="51">
        <f>IFERROR(VALUE(SUBSTITUTE(INDEX('04A_국토부원자료'!$A:$T,ROW()+1,MATCH("거래금액(만원)",'04A_국토부원자료'!$A$4:$T$4,0)),",","")),"")</f>
        <v/>
      </c>
      <c r="H1880" s="174">
        <f>IF(G1880="","",G1880*10000)</f>
        <v/>
      </c>
      <c r="I1880" s="174">
        <f>IFERROR(IF(AND(H1880&gt;0,E1880&gt;0),H1880/E1880,""),"")</f>
        <v/>
      </c>
      <c r="J1880" s="152">
        <f>IFERROR(VALUE(SUBSTITUTE(INDEX('04A_국토부원자료'!$A:$T,ROW()+1,MATCH("층",'04A_국토부원자료'!$A$4:$T$4,0)),",","")),"")</f>
        <v/>
      </c>
      <c r="K1880" s="152">
        <f>IFERROR(VALUE(SUBSTITUTE(INDEX('04A_국토부원자료'!$A:$T,ROW()+1,MATCH("건축년도",'04A_국토부원자료'!$A$4:$T$4,0)),",","")),"")</f>
        <v/>
      </c>
      <c r="L1880" s="176">
        <f>IFERROR(INDEX('04A_국토부원자료'!$A:$T,ROW()+1,MATCH("도로명",'04A_국토부원자료'!$A$4:$T$4,0)),"")</f>
        <v/>
      </c>
      <c r="M1880" s="48">
        <f>IFERROR(INDEX('04A_국토부원자료'!$A:$T,ROW()+1,MATCH("거래유형",'04A_국토부원자료'!$A$4:$T$4,0)),"")</f>
        <v/>
      </c>
      <c r="N1880" s="152">
        <f>IF(B1880="","",IF('02_대상물건입력'!B5="",1,IF(ISNUMBER(SEARCH('02_대상물건입력'!B5,B1880)),1,0)))</f>
        <v/>
      </c>
      <c r="O1880" s="152">
        <f>IF(B1880="","",IF('02_대상물건입력'!B6="",1,IF(ISNUMBER(SEARCH('02_대상물건입력'!B6,B1880)),1,0)))</f>
        <v/>
      </c>
      <c r="P1880" s="152">
        <f>IF(L1880="","",IF('02_대상물건입력'!B15="",0,IF(ISNUMBER(SEARCH('02_대상물건입력'!B15,L1880)),1,0)))</f>
        <v/>
      </c>
      <c r="Q1880" s="152">
        <f>IF(OR(C1880="",L1880=""),0,IF(AND(TRIM(C1880)=TRIM(RIGHT(SUBSTITUTE(TRIM('02_대상물건입력'!$B$7)," ",REPT(" ",99)),99)),IF('02_대상물건입력'!B15="",TRUE(),ISNUMBER(SEARCH('02_대상물건입력'!B15,L1880)))),1,0))</f>
        <v/>
      </c>
      <c r="R1880" s="175">
        <f>IFERROR(ABS(E1880-'02_대상물건입력'!B11)/'02_대상물건입력'!B11,"")</f>
        <v/>
      </c>
      <c r="S1880" s="152">
        <f>IFERROR(ABS(J1880-'02_대상물건입력'!B10),"")</f>
        <v/>
      </c>
      <c r="T1880" s="152">
        <f>IFERROR(ABS('01_설정'!B4-F1880),"")</f>
        <v/>
      </c>
      <c r="U1880" s="152">
        <f>IFERROR(ABS(K1880-YEAR('02_대상물건입력'!B14)),"")</f>
        <v/>
      </c>
      <c r="V1880" s="152">
        <f>IF(B1880="","",IF(AND(E1880&gt;0,F1880&gt;0,H1880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1880=1,TRUE()),R1880&lt;='01_설정'!B5,S1880&lt;='01_설정'!B6,T1880&lt;='01_설정'!B7,U1880&lt;='01_설정'!B8),"Y",""))</f>
        <v/>
      </c>
      <c r="W1880" s="172">
        <f>IF(V1880&lt;&gt;"Y","",MAX(0,(1-R1880/'01_설정'!B5))*'01_설정'!B14+MAX(0,(1-S1880/'01_설정'!B6))*'01_설정'!B15+MAX(0,(1-T1880/'01_설정'!B7))*'01_설정'!B16+MAX(0,(1-U1880/'01_설정'!B8))*'01_설정'!B17+O1880*'01_설정'!B11+Q1880*'01_설정'!B12+P1880*'01_설정'!B13+IF(Z1880="",0,Z1880))</f>
        <v/>
      </c>
      <c r="X1880" s="152">
        <f>IF(W1880="","",1+COUNTIFS($W$4:$W$3003,"&gt;"&amp;W1880)+COUNTIFS($W$4:W1880,W1880)-1)</f>
        <v/>
      </c>
      <c r="Y1880" s="175">
        <f>IF(OR(I1880="",'02_대상물건입력'!B19="",'02_대상물건입력'!B19&lt;=0),"",ABS(I1880-'02_대상물건입력'!B19)/'02_대상물건입력'!B19)</f>
        <v/>
      </c>
      <c r="Z1880" s="172">
        <f>IF(OR(Y1880="",'01_설정'!B31="",'01_설정'!B31&lt;=0,'01_설정'!B32="",'01_설정'!B32&lt;=0),"",MAX(0,(1-Y1880/'01_설정'!B32))*'01_설정'!B31)</f>
        <v/>
      </c>
    </row>
    <row r="1881" ht="17.25" customHeight="1">
      <c r="A1881" s="152">
        <f>IF(INDEX('04A_국토부원자료'!$A:$A,ROW()+1)="","",ROW()-3)</f>
        <v/>
      </c>
      <c r="B1881" s="48">
        <f>IFERROR(INDEX('04A_국토부원자료'!$A:$T,ROW()+1,MATCH("시군구",'04A_국토부원자료'!$A$4:$T$4,0)),"")</f>
        <v/>
      </c>
      <c r="C1881" s="48">
        <f>IF(B1881="","",IFERROR(INDEX('04A_국토부원자료'!$A:$T,ROW()+1,MATCH("번지",'04A_국토부원자료'!$A$4:$T$4,0)),""))</f>
        <v/>
      </c>
      <c r="D1881" s="48">
        <f>IF(B1881="","",IF(Q1881=1,'02_대상물건입력'!$B$8,IFERROR(INDEX('04A_국토부원자료'!$A:$T,ROW()+1,MATCH("단지명",'04A_국토부원자료'!$A$4:$T$4,0)),"")))</f>
        <v/>
      </c>
      <c r="E1881" s="172">
        <f>IFERROR(VALUE(SUBSTITUTE(INDEX('04A_국토부원자료'!$A:$T,ROW()+1,MATCH("전용면적(㎡)",'04A_국토부원자료'!$A$4:$T$4,0)),",","")),"")</f>
        <v/>
      </c>
      <c r="F18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81" s="51">
        <f>IFERROR(VALUE(SUBSTITUTE(INDEX('04A_국토부원자료'!$A:$T,ROW()+1,MATCH("거래금액(만원)",'04A_국토부원자료'!$A$4:$T$4,0)),",","")),"")</f>
        <v/>
      </c>
      <c r="H1881" s="174">
        <f>IF(G1881="","",G1881*10000)</f>
        <v/>
      </c>
      <c r="I1881" s="174">
        <f>IFERROR(IF(AND(H1881&gt;0,E1881&gt;0),H1881/E1881,""),"")</f>
        <v/>
      </c>
      <c r="J1881" s="152">
        <f>IFERROR(VALUE(SUBSTITUTE(INDEX('04A_국토부원자료'!$A:$T,ROW()+1,MATCH("층",'04A_국토부원자료'!$A$4:$T$4,0)),",","")),"")</f>
        <v/>
      </c>
      <c r="K1881" s="152">
        <f>IFERROR(VALUE(SUBSTITUTE(INDEX('04A_국토부원자료'!$A:$T,ROW()+1,MATCH("건축년도",'04A_국토부원자료'!$A$4:$T$4,0)),",","")),"")</f>
        <v/>
      </c>
      <c r="L1881" s="176">
        <f>IFERROR(INDEX('04A_국토부원자료'!$A:$T,ROW()+1,MATCH("도로명",'04A_국토부원자료'!$A$4:$T$4,0)),"")</f>
        <v/>
      </c>
      <c r="M1881" s="48">
        <f>IFERROR(INDEX('04A_국토부원자료'!$A:$T,ROW()+1,MATCH("거래유형",'04A_국토부원자료'!$A$4:$T$4,0)),"")</f>
        <v/>
      </c>
      <c r="N1881" s="152">
        <f>IF(B1881="","",IF('02_대상물건입력'!B5="",1,IF(ISNUMBER(SEARCH('02_대상물건입력'!B5,B1881)),1,0)))</f>
        <v/>
      </c>
      <c r="O1881" s="152">
        <f>IF(B1881="","",IF('02_대상물건입력'!B6="",1,IF(ISNUMBER(SEARCH('02_대상물건입력'!B6,B1881)),1,0)))</f>
        <v/>
      </c>
      <c r="P1881" s="152">
        <f>IF(L1881="","",IF('02_대상물건입력'!B15="",0,IF(ISNUMBER(SEARCH('02_대상물건입력'!B15,L1881)),1,0)))</f>
        <v/>
      </c>
      <c r="Q1881" s="152">
        <f>IF(OR(C1881="",L1881=""),0,IF(AND(TRIM(C1881)=TRIM(RIGHT(SUBSTITUTE(TRIM('02_대상물건입력'!$B$7)," ",REPT(" ",99)),99)),IF('02_대상물건입력'!B15="",TRUE(),ISNUMBER(SEARCH('02_대상물건입력'!B15,L1881)))),1,0))</f>
        <v/>
      </c>
      <c r="R1881" s="175">
        <f>IFERROR(ABS(E1881-'02_대상물건입력'!B11)/'02_대상물건입력'!B11,"")</f>
        <v/>
      </c>
      <c r="S1881" s="152">
        <f>IFERROR(ABS(J1881-'02_대상물건입력'!B10),"")</f>
        <v/>
      </c>
      <c r="T1881" s="152">
        <f>IFERROR(ABS('01_설정'!B4-F1881),"")</f>
        <v/>
      </c>
      <c r="U1881" s="152">
        <f>IFERROR(ABS(K1881-YEAR('02_대상물건입력'!B14)),"")</f>
        <v/>
      </c>
      <c r="V1881" s="152">
        <f>IF(B1881="","",IF(AND(E1881&gt;0,F1881&gt;0,H1881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1881=1,TRUE()),R1881&lt;='01_설정'!B5,S1881&lt;='01_설정'!B6,T1881&lt;='01_설정'!B7,U1881&lt;='01_설정'!B8),"Y",""))</f>
        <v/>
      </c>
      <c r="W1881" s="172">
        <f>IF(V1881&lt;&gt;"Y","",MAX(0,(1-R1881/'01_설정'!B5))*'01_설정'!B14+MAX(0,(1-S1881/'01_설정'!B6))*'01_설정'!B15+MAX(0,(1-T1881/'01_설정'!B7))*'01_설정'!B16+MAX(0,(1-U1881/'01_설정'!B8))*'01_설정'!B17+O1881*'01_설정'!B11+Q1881*'01_설정'!B12+P1881*'01_설정'!B13+IF(Z1881="",0,Z1881))</f>
        <v/>
      </c>
      <c r="X1881" s="152">
        <f>IF(W1881="","",1+COUNTIFS($W$4:$W$3003,"&gt;"&amp;W1881)+COUNTIFS($W$4:W1881,W1881)-1)</f>
        <v/>
      </c>
      <c r="Y1881" s="175">
        <f>IF(OR(I1881="",'02_대상물건입력'!B19="",'02_대상물건입력'!B19&lt;=0),"",ABS(I1881-'02_대상물건입력'!B19)/'02_대상물건입력'!B19)</f>
        <v/>
      </c>
      <c r="Z1881" s="172">
        <f>IF(OR(Y1881="",'01_설정'!B31="",'01_설정'!B31&lt;=0,'01_설정'!B32="",'01_설정'!B32&lt;=0),"",MAX(0,(1-Y1881/'01_설정'!B32))*'01_설정'!B31)</f>
        <v/>
      </c>
    </row>
    <row r="1882" ht="17.25" customHeight="1">
      <c r="A1882" s="152">
        <f>IF(INDEX('04A_국토부원자료'!$A:$A,ROW()+1)="","",ROW()-3)</f>
        <v/>
      </c>
      <c r="B1882" s="48">
        <f>IFERROR(INDEX('04A_국토부원자료'!$A:$T,ROW()+1,MATCH("시군구",'04A_국토부원자료'!$A$4:$T$4,0)),"")</f>
        <v/>
      </c>
      <c r="C1882" s="48">
        <f>IF(B1882="","",IFERROR(INDEX('04A_국토부원자료'!$A:$T,ROW()+1,MATCH("번지",'04A_국토부원자료'!$A$4:$T$4,0)),""))</f>
        <v/>
      </c>
      <c r="D1882" s="48">
        <f>IF(B1882="","",IF(Q1882=1,'02_대상물건입력'!$B$8,IFERROR(INDEX('04A_국토부원자료'!$A:$T,ROW()+1,MATCH("단지명",'04A_국토부원자료'!$A$4:$T$4,0)),"")))</f>
        <v/>
      </c>
      <c r="E1882" s="172">
        <f>IFERROR(VALUE(SUBSTITUTE(INDEX('04A_국토부원자료'!$A:$T,ROW()+1,MATCH("전용면적(㎡)",'04A_국토부원자료'!$A$4:$T$4,0)),",","")),"")</f>
        <v/>
      </c>
      <c r="F18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82" s="51">
        <f>IFERROR(VALUE(SUBSTITUTE(INDEX('04A_국토부원자료'!$A:$T,ROW()+1,MATCH("거래금액(만원)",'04A_국토부원자료'!$A$4:$T$4,0)),",","")),"")</f>
        <v/>
      </c>
      <c r="H1882" s="174">
        <f>IF(G1882="","",G1882*10000)</f>
        <v/>
      </c>
      <c r="I1882" s="174">
        <f>IFERROR(IF(AND(H1882&gt;0,E1882&gt;0),H1882/E1882,""),"")</f>
        <v/>
      </c>
      <c r="J1882" s="152">
        <f>IFERROR(VALUE(SUBSTITUTE(INDEX('04A_국토부원자료'!$A:$T,ROW()+1,MATCH("층",'04A_국토부원자료'!$A$4:$T$4,0)),",","")),"")</f>
        <v/>
      </c>
      <c r="K1882" s="152">
        <f>IFERROR(VALUE(SUBSTITUTE(INDEX('04A_국토부원자료'!$A:$T,ROW()+1,MATCH("건축년도",'04A_국토부원자료'!$A$4:$T$4,0)),",","")),"")</f>
        <v/>
      </c>
      <c r="L1882" s="176">
        <f>IFERROR(INDEX('04A_국토부원자료'!$A:$T,ROW()+1,MATCH("도로명",'04A_국토부원자료'!$A$4:$T$4,0)),"")</f>
        <v/>
      </c>
      <c r="M1882" s="48">
        <f>IFERROR(INDEX('04A_국토부원자료'!$A:$T,ROW()+1,MATCH("거래유형",'04A_국토부원자료'!$A$4:$T$4,0)),"")</f>
        <v/>
      </c>
      <c r="N1882" s="152">
        <f>IF(B1882="","",IF('02_대상물건입력'!B5="",1,IF(ISNUMBER(SEARCH('02_대상물건입력'!B5,B1882)),1,0)))</f>
        <v/>
      </c>
      <c r="O1882" s="152">
        <f>IF(B1882="","",IF('02_대상물건입력'!B6="",1,IF(ISNUMBER(SEARCH('02_대상물건입력'!B6,B1882)),1,0)))</f>
        <v/>
      </c>
      <c r="P1882" s="152">
        <f>IF(L1882="","",IF('02_대상물건입력'!B15="",0,IF(ISNUMBER(SEARCH('02_대상물건입력'!B15,L1882)),1,0)))</f>
        <v/>
      </c>
      <c r="Q1882" s="152">
        <f>IF(OR(C1882="",L1882=""),0,IF(AND(TRIM(C1882)=TRIM(RIGHT(SUBSTITUTE(TRIM('02_대상물건입력'!$B$7)," ",REPT(" ",99)),99)),IF('02_대상물건입력'!B15="",TRUE(),ISNUMBER(SEARCH('02_대상물건입력'!B15,L1882)))),1,0))</f>
        <v/>
      </c>
      <c r="R1882" s="175">
        <f>IFERROR(ABS(E1882-'02_대상물건입력'!B11)/'02_대상물건입력'!B11,"")</f>
        <v/>
      </c>
      <c r="S1882" s="152">
        <f>IFERROR(ABS(J1882-'02_대상물건입력'!B10),"")</f>
        <v/>
      </c>
      <c r="T1882" s="152">
        <f>IFERROR(ABS('01_설정'!B4-F1882),"")</f>
        <v/>
      </c>
      <c r="U1882" s="152">
        <f>IFERROR(ABS(K1882-YEAR('02_대상물건입력'!B14)),"")</f>
        <v/>
      </c>
      <c r="V1882" s="152">
        <f>IF(B1882="","",IF(AND(E1882&gt;0,F1882&gt;0,H1882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1882=1,TRUE()),R1882&lt;='01_설정'!B5,S1882&lt;='01_설정'!B6,T1882&lt;='01_설정'!B7,U1882&lt;='01_설정'!B8),"Y",""))</f>
        <v/>
      </c>
      <c r="W1882" s="172">
        <f>IF(V1882&lt;&gt;"Y","",MAX(0,(1-R1882/'01_설정'!B5))*'01_설정'!B14+MAX(0,(1-S1882/'01_설정'!B6))*'01_설정'!B15+MAX(0,(1-T1882/'01_설정'!B7))*'01_설정'!B16+MAX(0,(1-U1882/'01_설정'!B8))*'01_설정'!B17+O1882*'01_설정'!B11+Q1882*'01_설정'!B12+P1882*'01_설정'!B13+IF(Z1882="",0,Z1882))</f>
        <v/>
      </c>
      <c r="X1882" s="152">
        <f>IF(W1882="","",1+COUNTIFS($W$4:$W$3003,"&gt;"&amp;W1882)+COUNTIFS($W$4:W1882,W1882)-1)</f>
        <v/>
      </c>
      <c r="Y1882" s="175">
        <f>IF(OR(I1882="",'02_대상물건입력'!B19="",'02_대상물건입력'!B19&lt;=0),"",ABS(I1882-'02_대상물건입력'!B19)/'02_대상물건입력'!B19)</f>
        <v/>
      </c>
      <c r="Z1882" s="172">
        <f>IF(OR(Y1882="",'01_설정'!B31="",'01_설정'!B31&lt;=0,'01_설정'!B32="",'01_설정'!B32&lt;=0),"",MAX(0,(1-Y1882/'01_설정'!B32))*'01_설정'!B31)</f>
        <v/>
      </c>
    </row>
    <row r="1883" ht="17.25" customHeight="1">
      <c r="A1883" s="152">
        <f>IF(INDEX('04A_국토부원자료'!$A:$A,ROW()+1)="","",ROW()-3)</f>
        <v/>
      </c>
      <c r="B1883" s="48">
        <f>IFERROR(INDEX('04A_국토부원자료'!$A:$T,ROW()+1,MATCH("시군구",'04A_국토부원자료'!$A$4:$T$4,0)),"")</f>
        <v/>
      </c>
      <c r="C1883" s="48">
        <f>IF(B1883="","",IFERROR(INDEX('04A_국토부원자료'!$A:$T,ROW()+1,MATCH("번지",'04A_국토부원자료'!$A$4:$T$4,0)),""))</f>
        <v/>
      </c>
      <c r="D1883" s="48">
        <f>IF(B1883="","",IF(Q1883=1,'02_대상물건입력'!$B$8,IFERROR(INDEX('04A_국토부원자료'!$A:$T,ROW()+1,MATCH("단지명",'04A_국토부원자료'!$A$4:$T$4,0)),"")))</f>
        <v/>
      </c>
      <c r="E1883" s="172">
        <f>IFERROR(VALUE(SUBSTITUTE(INDEX('04A_국토부원자료'!$A:$T,ROW()+1,MATCH("전용면적(㎡)",'04A_국토부원자료'!$A$4:$T$4,0)),",","")),"")</f>
        <v/>
      </c>
      <c r="F18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83" s="51">
        <f>IFERROR(VALUE(SUBSTITUTE(INDEX('04A_국토부원자료'!$A:$T,ROW()+1,MATCH("거래금액(만원)",'04A_국토부원자료'!$A$4:$T$4,0)),",","")),"")</f>
        <v/>
      </c>
      <c r="H1883" s="174">
        <f>IF(G1883="","",G1883*10000)</f>
        <v/>
      </c>
      <c r="I1883" s="174">
        <f>IFERROR(IF(AND(H1883&gt;0,E1883&gt;0),H1883/E1883,""),"")</f>
        <v/>
      </c>
      <c r="J1883" s="152">
        <f>IFERROR(VALUE(SUBSTITUTE(INDEX('04A_국토부원자료'!$A:$T,ROW()+1,MATCH("층",'04A_국토부원자료'!$A$4:$T$4,0)),",","")),"")</f>
        <v/>
      </c>
      <c r="K1883" s="152">
        <f>IFERROR(VALUE(SUBSTITUTE(INDEX('04A_국토부원자료'!$A:$T,ROW()+1,MATCH("건축년도",'04A_국토부원자료'!$A$4:$T$4,0)),",","")),"")</f>
        <v/>
      </c>
      <c r="L1883" s="176">
        <f>IFERROR(INDEX('04A_국토부원자료'!$A:$T,ROW()+1,MATCH("도로명",'04A_국토부원자료'!$A$4:$T$4,0)),"")</f>
        <v/>
      </c>
      <c r="M1883" s="48">
        <f>IFERROR(INDEX('04A_국토부원자료'!$A:$T,ROW()+1,MATCH("거래유형",'04A_국토부원자료'!$A$4:$T$4,0)),"")</f>
        <v/>
      </c>
      <c r="N1883" s="152">
        <f>IF(B1883="","",IF('02_대상물건입력'!B5="",1,IF(ISNUMBER(SEARCH('02_대상물건입력'!B5,B1883)),1,0)))</f>
        <v/>
      </c>
      <c r="O1883" s="152">
        <f>IF(B1883="","",IF('02_대상물건입력'!B6="",1,IF(ISNUMBER(SEARCH('02_대상물건입력'!B6,B1883)),1,0)))</f>
        <v/>
      </c>
      <c r="P1883" s="152">
        <f>IF(L1883="","",IF('02_대상물건입력'!B15="",0,IF(ISNUMBER(SEARCH('02_대상물건입력'!B15,L1883)),1,0)))</f>
        <v/>
      </c>
      <c r="Q1883" s="152">
        <f>IF(OR(C1883="",L1883=""),0,IF(AND(TRIM(C1883)=TRIM(RIGHT(SUBSTITUTE(TRIM('02_대상물건입력'!$B$7)," ",REPT(" ",99)),99)),IF('02_대상물건입력'!B15="",TRUE(),ISNUMBER(SEARCH('02_대상물건입력'!B15,L1883)))),1,0))</f>
        <v/>
      </c>
      <c r="R1883" s="175">
        <f>IFERROR(ABS(E1883-'02_대상물건입력'!B11)/'02_대상물건입력'!B11,"")</f>
        <v/>
      </c>
      <c r="S1883" s="152">
        <f>IFERROR(ABS(J1883-'02_대상물건입력'!B10),"")</f>
        <v/>
      </c>
      <c r="T1883" s="152">
        <f>IFERROR(ABS('01_설정'!B4-F1883),"")</f>
        <v/>
      </c>
      <c r="U1883" s="152">
        <f>IFERROR(ABS(K1883-YEAR('02_대상물건입력'!B14)),"")</f>
        <v/>
      </c>
      <c r="V1883" s="152">
        <f>IF(B1883="","",IF(AND(E1883&gt;0,F1883&gt;0,H1883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1883=1,TRUE()),R1883&lt;='01_설정'!B5,S1883&lt;='01_설정'!B6,T1883&lt;='01_설정'!B7,U1883&lt;='01_설정'!B8),"Y",""))</f>
        <v/>
      </c>
      <c r="W1883" s="172">
        <f>IF(V1883&lt;&gt;"Y","",MAX(0,(1-R1883/'01_설정'!B5))*'01_설정'!B14+MAX(0,(1-S1883/'01_설정'!B6))*'01_설정'!B15+MAX(0,(1-T1883/'01_설정'!B7))*'01_설정'!B16+MAX(0,(1-U1883/'01_설정'!B8))*'01_설정'!B17+O1883*'01_설정'!B11+Q1883*'01_설정'!B12+P1883*'01_설정'!B13+IF(Z1883="",0,Z1883))</f>
        <v/>
      </c>
      <c r="X1883" s="152">
        <f>IF(W1883="","",1+COUNTIFS($W$4:$W$3003,"&gt;"&amp;W1883)+COUNTIFS($W$4:W1883,W1883)-1)</f>
        <v/>
      </c>
      <c r="Y1883" s="175">
        <f>IF(OR(I1883="",'02_대상물건입력'!B19="",'02_대상물건입력'!B19&lt;=0),"",ABS(I1883-'02_대상물건입력'!B19)/'02_대상물건입력'!B19)</f>
        <v/>
      </c>
      <c r="Z1883" s="172">
        <f>IF(OR(Y1883="",'01_설정'!B31="",'01_설정'!B31&lt;=0,'01_설정'!B32="",'01_설정'!B32&lt;=0),"",MAX(0,(1-Y1883/'01_설정'!B32))*'01_설정'!B31)</f>
        <v/>
      </c>
    </row>
    <row r="1884" ht="17.25" customHeight="1">
      <c r="A1884" s="152">
        <f>IF(INDEX('04A_국토부원자료'!$A:$A,ROW()+1)="","",ROW()-3)</f>
        <v/>
      </c>
      <c r="B1884" s="48">
        <f>IFERROR(INDEX('04A_국토부원자료'!$A:$T,ROW()+1,MATCH("시군구",'04A_국토부원자료'!$A$4:$T$4,0)),"")</f>
        <v/>
      </c>
      <c r="C1884" s="48">
        <f>IF(B1884="","",IFERROR(INDEX('04A_국토부원자료'!$A:$T,ROW()+1,MATCH("번지",'04A_국토부원자료'!$A$4:$T$4,0)),""))</f>
        <v/>
      </c>
      <c r="D1884" s="48">
        <f>IF(B1884="","",IF(Q1884=1,'02_대상물건입력'!$B$8,IFERROR(INDEX('04A_국토부원자료'!$A:$T,ROW()+1,MATCH("단지명",'04A_국토부원자료'!$A$4:$T$4,0)),"")))</f>
        <v/>
      </c>
      <c r="E1884" s="172">
        <f>IFERROR(VALUE(SUBSTITUTE(INDEX('04A_국토부원자료'!$A:$T,ROW()+1,MATCH("전용면적(㎡)",'04A_국토부원자료'!$A$4:$T$4,0)),",","")),"")</f>
        <v/>
      </c>
      <c r="F18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84" s="51">
        <f>IFERROR(VALUE(SUBSTITUTE(INDEX('04A_국토부원자료'!$A:$T,ROW()+1,MATCH("거래금액(만원)",'04A_국토부원자료'!$A$4:$T$4,0)),",","")),"")</f>
        <v/>
      </c>
      <c r="H1884" s="174">
        <f>IF(G1884="","",G1884*10000)</f>
        <v/>
      </c>
      <c r="I1884" s="174">
        <f>IFERROR(IF(AND(H1884&gt;0,E1884&gt;0),H1884/E1884,""),"")</f>
        <v/>
      </c>
      <c r="J1884" s="152">
        <f>IFERROR(VALUE(SUBSTITUTE(INDEX('04A_국토부원자료'!$A:$T,ROW()+1,MATCH("층",'04A_국토부원자료'!$A$4:$T$4,0)),",","")),"")</f>
        <v/>
      </c>
      <c r="K1884" s="152">
        <f>IFERROR(VALUE(SUBSTITUTE(INDEX('04A_국토부원자료'!$A:$T,ROW()+1,MATCH("건축년도",'04A_국토부원자료'!$A$4:$T$4,0)),",","")),"")</f>
        <v/>
      </c>
      <c r="L1884" s="176">
        <f>IFERROR(INDEX('04A_국토부원자료'!$A:$T,ROW()+1,MATCH("도로명",'04A_국토부원자료'!$A$4:$T$4,0)),"")</f>
        <v/>
      </c>
      <c r="M1884" s="48">
        <f>IFERROR(INDEX('04A_국토부원자료'!$A:$T,ROW()+1,MATCH("거래유형",'04A_국토부원자료'!$A$4:$T$4,0)),"")</f>
        <v/>
      </c>
      <c r="N1884" s="152">
        <f>IF(B1884="","",IF('02_대상물건입력'!B5="",1,IF(ISNUMBER(SEARCH('02_대상물건입력'!B5,B1884)),1,0)))</f>
        <v/>
      </c>
      <c r="O1884" s="152">
        <f>IF(B1884="","",IF('02_대상물건입력'!B6="",1,IF(ISNUMBER(SEARCH('02_대상물건입력'!B6,B1884)),1,0)))</f>
        <v/>
      </c>
      <c r="P1884" s="152">
        <f>IF(L1884="","",IF('02_대상물건입력'!B15="",0,IF(ISNUMBER(SEARCH('02_대상물건입력'!B15,L1884)),1,0)))</f>
        <v/>
      </c>
      <c r="Q1884" s="152">
        <f>IF(OR(C1884="",L1884=""),0,IF(AND(TRIM(C1884)=TRIM(RIGHT(SUBSTITUTE(TRIM('02_대상물건입력'!$B$7)," ",REPT(" ",99)),99)),IF('02_대상물건입력'!B15="",TRUE(),ISNUMBER(SEARCH('02_대상물건입력'!B15,L1884)))),1,0))</f>
        <v/>
      </c>
      <c r="R1884" s="175">
        <f>IFERROR(ABS(E1884-'02_대상물건입력'!B11)/'02_대상물건입력'!B11,"")</f>
        <v/>
      </c>
      <c r="S1884" s="152">
        <f>IFERROR(ABS(J1884-'02_대상물건입력'!B10),"")</f>
        <v/>
      </c>
      <c r="T1884" s="152">
        <f>IFERROR(ABS('01_설정'!B4-F1884),"")</f>
        <v/>
      </c>
      <c r="U1884" s="152">
        <f>IFERROR(ABS(K1884-YEAR('02_대상물건입력'!B14)),"")</f>
        <v/>
      </c>
      <c r="V1884" s="152">
        <f>IF(B1884="","",IF(AND(E1884&gt;0,F1884&gt;0,H1884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1884=1,TRUE()),R1884&lt;='01_설정'!B5,S1884&lt;='01_설정'!B6,T1884&lt;='01_설정'!B7,U1884&lt;='01_설정'!B8),"Y",""))</f>
        <v/>
      </c>
      <c r="W1884" s="172">
        <f>IF(V1884&lt;&gt;"Y","",MAX(0,(1-R1884/'01_설정'!B5))*'01_설정'!B14+MAX(0,(1-S1884/'01_설정'!B6))*'01_설정'!B15+MAX(0,(1-T1884/'01_설정'!B7))*'01_설정'!B16+MAX(0,(1-U1884/'01_설정'!B8))*'01_설정'!B17+O1884*'01_설정'!B11+Q1884*'01_설정'!B12+P1884*'01_설정'!B13+IF(Z1884="",0,Z1884))</f>
        <v/>
      </c>
      <c r="X1884" s="152">
        <f>IF(W1884="","",1+COUNTIFS($W$4:$W$3003,"&gt;"&amp;W1884)+COUNTIFS($W$4:W1884,W1884)-1)</f>
        <v/>
      </c>
      <c r="Y1884" s="175">
        <f>IF(OR(I1884="",'02_대상물건입력'!B19="",'02_대상물건입력'!B19&lt;=0),"",ABS(I1884-'02_대상물건입력'!B19)/'02_대상물건입력'!B19)</f>
        <v/>
      </c>
      <c r="Z1884" s="172">
        <f>IF(OR(Y1884="",'01_설정'!B31="",'01_설정'!B31&lt;=0,'01_설정'!B32="",'01_설정'!B32&lt;=0),"",MAX(0,(1-Y1884/'01_설정'!B32))*'01_설정'!B31)</f>
        <v/>
      </c>
    </row>
    <row r="1885" ht="17.25" customHeight="1">
      <c r="A1885" s="152">
        <f>IF(INDEX('04A_국토부원자료'!$A:$A,ROW()+1)="","",ROW()-3)</f>
        <v/>
      </c>
      <c r="B1885" s="48">
        <f>IFERROR(INDEX('04A_국토부원자료'!$A:$T,ROW()+1,MATCH("시군구",'04A_국토부원자료'!$A$4:$T$4,0)),"")</f>
        <v/>
      </c>
      <c r="C1885" s="48">
        <f>IF(B1885="","",IFERROR(INDEX('04A_국토부원자료'!$A:$T,ROW()+1,MATCH("번지",'04A_국토부원자료'!$A$4:$T$4,0)),""))</f>
        <v/>
      </c>
      <c r="D1885" s="48">
        <f>IF(B1885="","",IF(Q1885=1,'02_대상물건입력'!$B$8,IFERROR(INDEX('04A_국토부원자료'!$A:$T,ROW()+1,MATCH("단지명",'04A_국토부원자료'!$A$4:$T$4,0)),"")))</f>
        <v/>
      </c>
      <c r="E1885" s="172">
        <f>IFERROR(VALUE(SUBSTITUTE(INDEX('04A_국토부원자료'!$A:$T,ROW()+1,MATCH("전용면적(㎡)",'04A_국토부원자료'!$A$4:$T$4,0)),",","")),"")</f>
        <v/>
      </c>
      <c r="F18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85" s="51">
        <f>IFERROR(VALUE(SUBSTITUTE(INDEX('04A_국토부원자료'!$A:$T,ROW()+1,MATCH("거래금액(만원)",'04A_국토부원자료'!$A$4:$T$4,0)),",","")),"")</f>
        <v/>
      </c>
      <c r="H1885" s="174">
        <f>IF(G1885="","",G1885*10000)</f>
        <v/>
      </c>
      <c r="I1885" s="174">
        <f>IFERROR(IF(AND(H1885&gt;0,E1885&gt;0),H1885/E1885,""),"")</f>
        <v/>
      </c>
      <c r="J1885" s="152">
        <f>IFERROR(VALUE(SUBSTITUTE(INDEX('04A_국토부원자료'!$A:$T,ROW()+1,MATCH("층",'04A_국토부원자료'!$A$4:$T$4,0)),",","")),"")</f>
        <v/>
      </c>
      <c r="K1885" s="152">
        <f>IFERROR(VALUE(SUBSTITUTE(INDEX('04A_국토부원자료'!$A:$T,ROW()+1,MATCH("건축년도",'04A_국토부원자료'!$A$4:$T$4,0)),",","")),"")</f>
        <v/>
      </c>
      <c r="L1885" s="176">
        <f>IFERROR(INDEX('04A_국토부원자료'!$A:$T,ROW()+1,MATCH("도로명",'04A_국토부원자료'!$A$4:$T$4,0)),"")</f>
        <v/>
      </c>
      <c r="M1885" s="48">
        <f>IFERROR(INDEX('04A_국토부원자료'!$A:$T,ROW()+1,MATCH("거래유형",'04A_국토부원자료'!$A$4:$T$4,0)),"")</f>
        <v/>
      </c>
      <c r="N1885" s="152">
        <f>IF(B1885="","",IF('02_대상물건입력'!B5="",1,IF(ISNUMBER(SEARCH('02_대상물건입력'!B5,B1885)),1,0)))</f>
        <v/>
      </c>
      <c r="O1885" s="152">
        <f>IF(B1885="","",IF('02_대상물건입력'!B6="",1,IF(ISNUMBER(SEARCH('02_대상물건입력'!B6,B1885)),1,0)))</f>
        <v/>
      </c>
      <c r="P1885" s="152">
        <f>IF(L1885="","",IF('02_대상물건입력'!B15="",0,IF(ISNUMBER(SEARCH('02_대상물건입력'!B15,L1885)),1,0)))</f>
        <v/>
      </c>
      <c r="Q1885" s="152">
        <f>IF(OR(C1885="",L1885=""),0,IF(AND(TRIM(C1885)=TRIM(RIGHT(SUBSTITUTE(TRIM('02_대상물건입력'!$B$7)," ",REPT(" ",99)),99)),IF('02_대상물건입력'!B15="",TRUE(),ISNUMBER(SEARCH('02_대상물건입력'!B15,L1885)))),1,0))</f>
        <v/>
      </c>
      <c r="R1885" s="175">
        <f>IFERROR(ABS(E1885-'02_대상물건입력'!B11)/'02_대상물건입력'!B11,"")</f>
        <v/>
      </c>
      <c r="S1885" s="152">
        <f>IFERROR(ABS(J1885-'02_대상물건입력'!B10),"")</f>
        <v/>
      </c>
      <c r="T1885" s="152">
        <f>IFERROR(ABS('01_설정'!B4-F1885),"")</f>
        <v/>
      </c>
      <c r="U1885" s="152">
        <f>IFERROR(ABS(K1885-YEAR('02_대상물건입력'!B14)),"")</f>
        <v/>
      </c>
      <c r="V1885" s="152">
        <f>IF(B1885="","",IF(AND(E1885&gt;0,F1885&gt;0,H1885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1885=1,TRUE()),R1885&lt;='01_설정'!B5,S1885&lt;='01_설정'!B6,T1885&lt;='01_설정'!B7,U1885&lt;='01_설정'!B8),"Y",""))</f>
        <v/>
      </c>
      <c r="W1885" s="172">
        <f>IF(V1885&lt;&gt;"Y","",MAX(0,(1-R1885/'01_설정'!B5))*'01_설정'!B14+MAX(0,(1-S1885/'01_설정'!B6))*'01_설정'!B15+MAX(0,(1-T1885/'01_설정'!B7))*'01_설정'!B16+MAX(0,(1-U1885/'01_설정'!B8))*'01_설정'!B17+O1885*'01_설정'!B11+Q1885*'01_설정'!B12+P1885*'01_설정'!B13+IF(Z1885="",0,Z1885))</f>
        <v/>
      </c>
      <c r="X1885" s="152">
        <f>IF(W1885="","",1+COUNTIFS($W$4:$W$3003,"&gt;"&amp;W1885)+COUNTIFS($W$4:W1885,W1885)-1)</f>
        <v/>
      </c>
      <c r="Y1885" s="175">
        <f>IF(OR(I1885="",'02_대상물건입력'!B19="",'02_대상물건입력'!B19&lt;=0),"",ABS(I1885-'02_대상물건입력'!B19)/'02_대상물건입력'!B19)</f>
        <v/>
      </c>
      <c r="Z1885" s="172">
        <f>IF(OR(Y1885="",'01_설정'!B31="",'01_설정'!B31&lt;=0,'01_설정'!B32="",'01_설정'!B32&lt;=0),"",MAX(0,(1-Y1885/'01_설정'!B32))*'01_설정'!B31)</f>
        <v/>
      </c>
    </row>
    <row r="1886" ht="17.25" customHeight="1">
      <c r="A1886" s="152">
        <f>IF(INDEX('04A_국토부원자료'!$A:$A,ROW()+1)="","",ROW()-3)</f>
        <v/>
      </c>
      <c r="B1886" s="48">
        <f>IFERROR(INDEX('04A_국토부원자료'!$A:$T,ROW()+1,MATCH("시군구",'04A_국토부원자료'!$A$4:$T$4,0)),"")</f>
        <v/>
      </c>
      <c r="C1886" s="48">
        <f>IF(B1886="","",IFERROR(INDEX('04A_국토부원자료'!$A:$T,ROW()+1,MATCH("번지",'04A_국토부원자료'!$A$4:$T$4,0)),""))</f>
        <v/>
      </c>
      <c r="D1886" s="48">
        <f>IF(B1886="","",IF(Q1886=1,'02_대상물건입력'!$B$8,IFERROR(INDEX('04A_국토부원자료'!$A:$T,ROW()+1,MATCH("단지명",'04A_국토부원자료'!$A$4:$T$4,0)),"")))</f>
        <v/>
      </c>
      <c r="E1886" s="172">
        <f>IFERROR(VALUE(SUBSTITUTE(INDEX('04A_국토부원자료'!$A:$T,ROW()+1,MATCH("전용면적(㎡)",'04A_국토부원자료'!$A$4:$T$4,0)),",","")),"")</f>
        <v/>
      </c>
      <c r="F18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86" s="51">
        <f>IFERROR(VALUE(SUBSTITUTE(INDEX('04A_국토부원자료'!$A:$T,ROW()+1,MATCH("거래금액(만원)",'04A_국토부원자료'!$A$4:$T$4,0)),",","")),"")</f>
        <v/>
      </c>
      <c r="H1886" s="174">
        <f>IF(G1886="","",G1886*10000)</f>
        <v/>
      </c>
      <c r="I1886" s="174">
        <f>IFERROR(IF(AND(H1886&gt;0,E1886&gt;0),H1886/E1886,""),"")</f>
        <v/>
      </c>
      <c r="J1886" s="152">
        <f>IFERROR(VALUE(SUBSTITUTE(INDEX('04A_국토부원자료'!$A:$T,ROW()+1,MATCH("층",'04A_국토부원자료'!$A$4:$T$4,0)),",","")),"")</f>
        <v/>
      </c>
      <c r="K1886" s="152">
        <f>IFERROR(VALUE(SUBSTITUTE(INDEX('04A_국토부원자료'!$A:$T,ROW()+1,MATCH("건축년도",'04A_국토부원자료'!$A$4:$T$4,0)),",","")),"")</f>
        <v/>
      </c>
      <c r="L1886" s="176">
        <f>IFERROR(INDEX('04A_국토부원자료'!$A:$T,ROW()+1,MATCH("도로명",'04A_국토부원자료'!$A$4:$T$4,0)),"")</f>
        <v/>
      </c>
      <c r="M1886" s="48">
        <f>IFERROR(INDEX('04A_국토부원자료'!$A:$T,ROW()+1,MATCH("거래유형",'04A_국토부원자료'!$A$4:$T$4,0)),"")</f>
        <v/>
      </c>
      <c r="N1886" s="152">
        <f>IF(B1886="","",IF('02_대상물건입력'!B5="",1,IF(ISNUMBER(SEARCH('02_대상물건입력'!B5,B1886)),1,0)))</f>
        <v/>
      </c>
      <c r="O1886" s="152">
        <f>IF(B1886="","",IF('02_대상물건입력'!B6="",1,IF(ISNUMBER(SEARCH('02_대상물건입력'!B6,B1886)),1,0)))</f>
        <v/>
      </c>
      <c r="P1886" s="152">
        <f>IF(L1886="","",IF('02_대상물건입력'!B15="",0,IF(ISNUMBER(SEARCH('02_대상물건입력'!B15,L1886)),1,0)))</f>
        <v/>
      </c>
      <c r="Q1886" s="152">
        <f>IF(OR(C1886="",L1886=""),0,IF(AND(TRIM(C1886)=TRIM(RIGHT(SUBSTITUTE(TRIM('02_대상물건입력'!$B$7)," ",REPT(" ",99)),99)),IF('02_대상물건입력'!B15="",TRUE(),ISNUMBER(SEARCH('02_대상물건입력'!B15,L1886)))),1,0))</f>
        <v/>
      </c>
      <c r="R1886" s="175">
        <f>IFERROR(ABS(E1886-'02_대상물건입력'!B11)/'02_대상물건입력'!B11,"")</f>
        <v/>
      </c>
      <c r="S1886" s="152">
        <f>IFERROR(ABS(J1886-'02_대상물건입력'!B10),"")</f>
        <v/>
      </c>
      <c r="T1886" s="152">
        <f>IFERROR(ABS('01_설정'!B4-F1886),"")</f>
        <v/>
      </c>
      <c r="U1886" s="152">
        <f>IFERROR(ABS(K1886-YEAR('02_대상물건입력'!B14)),"")</f>
        <v/>
      </c>
      <c r="V1886" s="152">
        <f>IF(B1886="","",IF(AND(E1886&gt;0,F1886&gt;0,H1886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1886=1,TRUE()),R1886&lt;='01_설정'!B5,S1886&lt;='01_설정'!B6,T1886&lt;='01_설정'!B7,U1886&lt;='01_설정'!B8),"Y",""))</f>
        <v/>
      </c>
      <c r="W1886" s="172">
        <f>IF(V1886&lt;&gt;"Y","",MAX(0,(1-R1886/'01_설정'!B5))*'01_설정'!B14+MAX(0,(1-S1886/'01_설정'!B6))*'01_설정'!B15+MAX(0,(1-T1886/'01_설정'!B7))*'01_설정'!B16+MAX(0,(1-U1886/'01_설정'!B8))*'01_설정'!B17+O1886*'01_설정'!B11+Q1886*'01_설정'!B12+P1886*'01_설정'!B13+IF(Z1886="",0,Z1886))</f>
        <v/>
      </c>
      <c r="X1886" s="152">
        <f>IF(W1886="","",1+COUNTIFS($W$4:$W$3003,"&gt;"&amp;W1886)+COUNTIFS($W$4:W1886,W1886)-1)</f>
        <v/>
      </c>
      <c r="Y1886" s="175">
        <f>IF(OR(I1886="",'02_대상물건입력'!B19="",'02_대상물건입력'!B19&lt;=0),"",ABS(I1886-'02_대상물건입력'!B19)/'02_대상물건입력'!B19)</f>
        <v/>
      </c>
      <c r="Z1886" s="172">
        <f>IF(OR(Y1886="",'01_설정'!B31="",'01_설정'!B31&lt;=0,'01_설정'!B32="",'01_설정'!B32&lt;=0),"",MAX(0,(1-Y1886/'01_설정'!B32))*'01_설정'!B31)</f>
        <v/>
      </c>
    </row>
    <row r="1887" ht="17.25" customHeight="1">
      <c r="A1887" s="152">
        <f>IF(INDEX('04A_국토부원자료'!$A:$A,ROW()+1)="","",ROW()-3)</f>
        <v/>
      </c>
      <c r="B1887" s="48">
        <f>IFERROR(INDEX('04A_국토부원자료'!$A:$T,ROW()+1,MATCH("시군구",'04A_국토부원자료'!$A$4:$T$4,0)),"")</f>
        <v/>
      </c>
      <c r="C1887" s="48">
        <f>IF(B1887="","",IFERROR(INDEX('04A_국토부원자료'!$A:$T,ROW()+1,MATCH("번지",'04A_국토부원자료'!$A$4:$T$4,0)),""))</f>
        <v/>
      </c>
      <c r="D1887" s="48">
        <f>IF(B1887="","",IF(Q1887=1,'02_대상물건입력'!$B$8,IFERROR(INDEX('04A_국토부원자료'!$A:$T,ROW()+1,MATCH("단지명",'04A_국토부원자료'!$A$4:$T$4,0)),"")))</f>
        <v/>
      </c>
      <c r="E1887" s="172">
        <f>IFERROR(VALUE(SUBSTITUTE(INDEX('04A_국토부원자료'!$A:$T,ROW()+1,MATCH("전용면적(㎡)",'04A_국토부원자료'!$A$4:$T$4,0)),",","")),"")</f>
        <v/>
      </c>
      <c r="F18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87" s="51">
        <f>IFERROR(VALUE(SUBSTITUTE(INDEX('04A_국토부원자료'!$A:$T,ROW()+1,MATCH("거래금액(만원)",'04A_국토부원자료'!$A$4:$T$4,0)),",","")),"")</f>
        <v/>
      </c>
      <c r="H1887" s="174">
        <f>IF(G1887="","",G1887*10000)</f>
        <v/>
      </c>
      <c r="I1887" s="174">
        <f>IFERROR(IF(AND(H1887&gt;0,E1887&gt;0),H1887/E1887,""),"")</f>
        <v/>
      </c>
      <c r="J1887" s="152">
        <f>IFERROR(VALUE(SUBSTITUTE(INDEX('04A_국토부원자료'!$A:$T,ROW()+1,MATCH("층",'04A_국토부원자료'!$A$4:$T$4,0)),",","")),"")</f>
        <v/>
      </c>
      <c r="K1887" s="152">
        <f>IFERROR(VALUE(SUBSTITUTE(INDEX('04A_국토부원자료'!$A:$T,ROW()+1,MATCH("건축년도",'04A_국토부원자료'!$A$4:$T$4,0)),",","")),"")</f>
        <v/>
      </c>
      <c r="L1887" s="176">
        <f>IFERROR(INDEX('04A_국토부원자료'!$A:$T,ROW()+1,MATCH("도로명",'04A_국토부원자료'!$A$4:$T$4,0)),"")</f>
        <v/>
      </c>
      <c r="M1887" s="48">
        <f>IFERROR(INDEX('04A_국토부원자료'!$A:$T,ROW()+1,MATCH("거래유형",'04A_국토부원자료'!$A$4:$T$4,0)),"")</f>
        <v/>
      </c>
      <c r="N1887" s="152">
        <f>IF(B1887="","",IF('02_대상물건입력'!B5="",1,IF(ISNUMBER(SEARCH('02_대상물건입력'!B5,B1887)),1,0)))</f>
        <v/>
      </c>
      <c r="O1887" s="152">
        <f>IF(B1887="","",IF('02_대상물건입력'!B6="",1,IF(ISNUMBER(SEARCH('02_대상물건입력'!B6,B1887)),1,0)))</f>
        <v/>
      </c>
      <c r="P1887" s="152">
        <f>IF(L1887="","",IF('02_대상물건입력'!B15="",0,IF(ISNUMBER(SEARCH('02_대상물건입력'!B15,L1887)),1,0)))</f>
        <v/>
      </c>
      <c r="Q1887" s="152">
        <f>IF(OR(C1887="",L1887=""),0,IF(AND(TRIM(C1887)=TRIM(RIGHT(SUBSTITUTE(TRIM('02_대상물건입력'!$B$7)," ",REPT(" ",99)),99)),IF('02_대상물건입력'!B15="",TRUE(),ISNUMBER(SEARCH('02_대상물건입력'!B15,L1887)))),1,0))</f>
        <v/>
      </c>
      <c r="R1887" s="175">
        <f>IFERROR(ABS(E1887-'02_대상물건입력'!B11)/'02_대상물건입력'!B11,"")</f>
        <v/>
      </c>
      <c r="S1887" s="152">
        <f>IFERROR(ABS(J1887-'02_대상물건입력'!B10),"")</f>
        <v/>
      </c>
      <c r="T1887" s="152">
        <f>IFERROR(ABS('01_설정'!B4-F1887),"")</f>
        <v/>
      </c>
      <c r="U1887" s="152">
        <f>IFERROR(ABS(K1887-YEAR('02_대상물건입력'!B14)),"")</f>
        <v/>
      </c>
      <c r="V1887" s="152">
        <f>IF(B1887="","",IF(AND(E1887&gt;0,F1887&gt;0,H1887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1887=1,TRUE()),R1887&lt;='01_설정'!B5,S1887&lt;='01_설정'!B6,T1887&lt;='01_설정'!B7,U1887&lt;='01_설정'!B8),"Y",""))</f>
        <v/>
      </c>
      <c r="W1887" s="172">
        <f>IF(V1887&lt;&gt;"Y","",MAX(0,(1-R1887/'01_설정'!B5))*'01_설정'!B14+MAX(0,(1-S1887/'01_설정'!B6))*'01_설정'!B15+MAX(0,(1-T1887/'01_설정'!B7))*'01_설정'!B16+MAX(0,(1-U1887/'01_설정'!B8))*'01_설정'!B17+O1887*'01_설정'!B11+Q1887*'01_설정'!B12+P1887*'01_설정'!B13+IF(Z1887="",0,Z1887))</f>
        <v/>
      </c>
      <c r="X1887" s="152">
        <f>IF(W1887="","",1+COUNTIFS($W$4:$W$3003,"&gt;"&amp;W1887)+COUNTIFS($W$4:W1887,W1887)-1)</f>
        <v/>
      </c>
      <c r="Y1887" s="175">
        <f>IF(OR(I1887="",'02_대상물건입력'!B19="",'02_대상물건입력'!B19&lt;=0),"",ABS(I1887-'02_대상물건입력'!B19)/'02_대상물건입력'!B19)</f>
        <v/>
      </c>
      <c r="Z1887" s="172">
        <f>IF(OR(Y1887="",'01_설정'!B31="",'01_설정'!B31&lt;=0,'01_설정'!B32="",'01_설정'!B32&lt;=0),"",MAX(0,(1-Y1887/'01_설정'!B32))*'01_설정'!B31)</f>
        <v/>
      </c>
    </row>
    <row r="1888" ht="17.25" customHeight="1">
      <c r="A1888" s="152">
        <f>IF(INDEX('04A_국토부원자료'!$A:$A,ROW()+1)="","",ROW()-3)</f>
        <v/>
      </c>
      <c r="B1888" s="48">
        <f>IFERROR(INDEX('04A_국토부원자료'!$A:$T,ROW()+1,MATCH("시군구",'04A_국토부원자료'!$A$4:$T$4,0)),"")</f>
        <v/>
      </c>
      <c r="C1888" s="48">
        <f>IF(B1888="","",IFERROR(INDEX('04A_국토부원자료'!$A:$T,ROW()+1,MATCH("번지",'04A_국토부원자료'!$A$4:$T$4,0)),""))</f>
        <v/>
      </c>
      <c r="D1888" s="48">
        <f>IF(B1888="","",IF(Q1888=1,'02_대상물건입력'!$B$8,IFERROR(INDEX('04A_국토부원자료'!$A:$T,ROW()+1,MATCH("단지명",'04A_국토부원자료'!$A$4:$T$4,0)),"")))</f>
        <v/>
      </c>
      <c r="E1888" s="172">
        <f>IFERROR(VALUE(SUBSTITUTE(INDEX('04A_국토부원자료'!$A:$T,ROW()+1,MATCH("전용면적(㎡)",'04A_국토부원자료'!$A$4:$T$4,0)),",","")),"")</f>
        <v/>
      </c>
      <c r="F18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88" s="51">
        <f>IFERROR(VALUE(SUBSTITUTE(INDEX('04A_국토부원자료'!$A:$T,ROW()+1,MATCH("거래금액(만원)",'04A_국토부원자료'!$A$4:$T$4,0)),",","")),"")</f>
        <v/>
      </c>
      <c r="H1888" s="174">
        <f>IF(G1888="","",G1888*10000)</f>
        <v/>
      </c>
      <c r="I1888" s="174">
        <f>IFERROR(IF(AND(H1888&gt;0,E1888&gt;0),H1888/E1888,""),"")</f>
        <v/>
      </c>
      <c r="J1888" s="152">
        <f>IFERROR(VALUE(SUBSTITUTE(INDEX('04A_국토부원자료'!$A:$T,ROW()+1,MATCH("층",'04A_국토부원자료'!$A$4:$T$4,0)),",","")),"")</f>
        <v/>
      </c>
      <c r="K1888" s="152">
        <f>IFERROR(VALUE(SUBSTITUTE(INDEX('04A_국토부원자료'!$A:$T,ROW()+1,MATCH("건축년도",'04A_국토부원자료'!$A$4:$T$4,0)),",","")),"")</f>
        <v/>
      </c>
      <c r="L1888" s="176">
        <f>IFERROR(INDEX('04A_국토부원자료'!$A:$T,ROW()+1,MATCH("도로명",'04A_국토부원자료'!$A$4:$T$4,0)),"")</f>
        <v/>
      </c>
      <c r="M1888" s="48">
        <f>IFERROR(INDEX('04A_국토부원자료'!$A:$T,ROW()+1,MATCH("거래유형",'04A_국토부원자료'!$A$4:$T$4,0)),"")</f>
        <v/>
      </c>
      <c r="N1888" s="152">
        <f>IF(B1888="","",IF('02_대상물건입력'!B5="",1,IF(ISNUMBER(SEARCH('02_대상물건입력'!B5,B1888)),1,0)))</f>
        <v/>
      </c>
      <c r="O1888" s="152">
        <f>IF(B1888="","",IF('02_대상물건입력'!B6="",1,IF(ISNUMBER(SEARCH('02_대상물건입력'!B6,B1888)),1,0)))</f>
        <v/>
      </c>
      <c r="P1888" s="152">
        <f>IF(L1888="","",IF('02_대상물건입력'!B15="",0,IF(ISNUMBER(SEARCH('02_대상물건입력'!B15,L1888)),1,0)))</f>
        <v/>
      </c>
      <c r="Q1888" s="152">
        <f>IF(OR(C1888="",L1888=""),0,IF(AND(TRIM(C1888)=TRIM(RIGHT(SUBSTITUTE(TRIM('02_대상물건입력'!$B$7)," ",REPT(" ",99)),99)),IF('02_대상물건입력'!B15="",TRUE(),ISNUMBER(SEARCH('02_대상물건입력'!B15,L1888)))),1,0))</f>
        <v/>
      </c>
      <c r="R1888" s="175">
        <f>IFERROR(ABS(E1888-'02_대상물건입력'!B11)/'02_대상물건입력'!B11,"")</f>
        <v/>
      </c>
      <c r="S1888" s="152">
        <f>IFERROR(ABS(J1888-'02_대상물건입력'!B10),"")</f>
        <v/>
      </c>
      <c r="T1888" s="152">
        <f>IFERROR(ABS('01_설정'!B4-F1888),"")</f>
        <v/>
      </c>
      <c r="U1888" s="152">
        <f>IFERROR(ABS(K1888-YEAR('02_대상물건입력'!B14)),"")</f>
        <v/>
      </c>
      <c r="V1888" s="152">
        <f>IF(B1888="","",IF(AND(E1888&gt;0,F1888&gt;0,H1888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1888=1,TRUE()),R1888&lt;='01_설정'!B5,S1888&lt;='01_설정'!B6,T1888&lt;='01_설정'!B7,U1888&lt;='01_설정'!B8),"Y",""))</f>
        <v/>
      </c>
      <c r="W1888" s="172">
        <f>IF(V1888&lt;&gt;"Y","",MAX(0,(1-R1888/'01_설정'!B5))*'01_설정'!B14+MAX(0,(1-S1888/'01_설정'!B6))*'01_설정'!B15+MAX(0,(1-T1888/'01_설정'!B7))*'01_설정'!B16+MAX(0,(1-U1888/'01_설정'!B8))*'01_설정'!B17+O1888*'01_설정'!B11+Q1888*'01_설정'!B12+P1888*'01_설정'!B13+IF(Z1888="",0,Z1888))</f>
        <v/>
      </c>
      <c r="X1888" s="152">
        <f>IF(W1888="","",1+COUNTIFS($W$4:$W$3003,"&gt;"&amp;W1888)+COUNTIFS($W$4:W1888,W1888)-1)</f>
        <v/>
      </c>
      <c r="Y1888" s="175">
        <f>IF(OR(I1888="",'02_대상물건입력'!B19="",'02_대상물건입력'!B19&lt;=0),"",ABS(I1888-'02_대상물건입력'!B19)/'02_대상물건입력'!B19)</f>
        <v/>
      </c>
      <c r="Z1888" s="172">
        <f>IF(OR(Y1888="",'01_설정'!B31="",'01_설정'!B31&lt;=0,'01_설정'!B32="",'01_설정'!B32&lt;=0),"",MAX(0,(1-Y1888/'01_설정'!B32))*'01_설정'!B31)</f>
        <v/>
      </c>
    </row>
    <row r="1889" ht="17.25" customHeight="1">
      <c r="A1889" s="152">
        <f>IF(INDEX('04A_국토부원자료'!$A:$A,ROW()+1)="","",ROW()-3)</f>
        <v/>
      </c>
      <c r="B1889" s="48">
        <f>IFERROR(INDEX('04A_국토부원자료'!$A:$T,ROW()+1,MATCH("시군구",'04A_국토부원자료'!$A$4:$T$4,0)),"")</f>
        <v/>
      </c>
      <c r="C1889" s="48">
        <f>IF(B1889="","",IFERROR(INDEX('04A_국토부원자료'!$A:$T,ROW()+1,MATCH("번지",'04A_국토부원자료'!$A$4:$T$4,0)),""))</f>
        <v/>
      </c>
      <c r="D1889" s="48">
        <f>IF(B1889="","",IF(Q1889=1,'02_대상물건입력'!$B$8,IFERROR(INDEX('04A_국토부원자료'!$A:$T,ROW()+1,MATCH("단지명",'04A_국토부원자료'!$A$4:$T$4,0)),"")))</f>
        <v/>
      </c>
      <c r="E1889" s="172">
        <f>IFERROR(VALUE(SUBSTITUTE(INDEX('04A_국토부원자료'!$A:$T,ROW()+1,MATCH("전용면적(㎡)",'04A_국토부원자료'!$A$4:$T$4,0)),",","")),"")</f>
        <v/>
      </c>
      <c r="F18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89" s="51">
        <f>IFERROR(VALUE(SUBSTITUTE(INDEX('04A_국토부원자료'!$A:$T,ROW()+1,MATCH("거래금액(만원)",'04A_국토부원자료'!$A$4:$T$4,0)),",","")),"")</f>
        <v/>
      </c>
      <c r="H1889" s="174">
        <f>IF(G1889="","",G1889*10000)</f>
        <v/>
      </c>
      <c r="I1889" s="174">
        <f>IFERROR(IF(AND(H1889&gt;0,E1889&gt;0),H1889/E1889,""),"")</f>
        <v/>
      </c>
      <c r="J1889" s="152">
        <f>IFERROR(VALUE(SUBSTITUTE(INDEX('04A_국토부원자료'!$A:$T,ROW()+1,MATCH("층",'04A_국토부원자료'!$A$4:$T$4,0)),",","")),"")</f>
        <v/>
      </c>
      <c r="K1889" s="152">
        <f>IFERROR(VALUE(SUBSTITUTE(INDEX('04A_국토부원자료'!$A:$T,ROW()+1,MATCH("건축년도",'04A_국토부원자료'!$A$4:$T$4,0)),",","")),"")</f>
        <v/>
      </c>
      <c r="L1889" s="176">
        <f>IFERROR(INDEX('04A_국토부원자료'!$A:$T,ROW()+1,MATCH("도로명",'04A_국토부원자료'!$A$4:$T$4,0)),"")</f>
        <v/>
      </c>
      <c r="M1889" s="48">
        <f>IFERROR(INDEX('04A_국토부원자료'!$A:$T,ROW()+1,MATCH("거래유형",'04A_국토부원자료'!$A$4:$T$4,0)),"")</f>
        <v/>
      </c>
      <c r="N1889" s="152">
        <f>IF(B1889="","",IF('02_대상물건입력'!B5="",1,IF(ISNUMBER(SEARCH('02_대상물건입력'!B5,B1889)),1,0)))</f>
        <v/>
      </c>
      <c r="O1889" s="152">
        <f>IF(B1889="","",IF('02_대상물건입력'!B6="",1,IF(ISNUMBER(SEARCH('02_대상물건입력'!B6,B1889)),1,0)))</f>
        <v/>
      </c>
      <c r="P1889" s="152">
        <f>IF(L1889="","",IF('02_대상물건입력'!B15="",0,IF(ISNUMBER(SEARCH('02_대상물건입력'!B15,L1889)),1,0)))</f>
        <v/>
      </c>
      <c r="Q1889" s="152">
        <f>IF(OR(C1889="",L1889=""),0,IF(AND(TRIM(C1889)=TRIM(RIGHT(SUBSTITUTE(TRIM('02_대상물건입력'!$B$7)," ",REPT(" ",99)),99)),IF('02_대상물건입력'!B15="",TRUE(),ISNUMBER(SEARCH('02_대상물건입력'!B15,L1889)))),1,0))</f>
        <v/>
      </c>
      <c r="R1889" s="175">
        <f>IFERROR(ABS(E1889-'02_대상물건입력'!B11)/'02_대상물건입력'!B11,"")</f>
        <v/>
      </c>
      <c r="S1889" s="152">
        <f>IFERROR(ABS(J1889-'02_대상물건입력'!B10),"")</f>
        <v/>
      </c>
      <c r="T1889" s="152">
        <f>IFERROR(ABS('01_설정'!B4-F1889),"")</f>
        <v/>
      </c>
      <c r="U1889" s="152">
        <f>IFERROR(ABS(K1889-YEAR('02_대상물건입력'!B14)),"")</f>
        <v/>
      </c>
      <c r="V1889" s="152">
        <f>IF(B1889="","",IF(AND(E1889&gt;0,F1889&gt;0,H1889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1889=1,TRUE()),R1889&lt;='01_설정'!B5,S1889&lt;='01_설정'!B6,T1889&lt;='01_설정'!B7,U1889&lt;='01_설정'!B8),"Y",""))</f>
        <v/>
      </c>
      <c r="W1889" s="172">
        <f>IF(V1889&lt;&gt;"Y","",MAX(0,(1-R1889/'01_설정'!B5))*'01_설정'!B14+MAX(0,(1-S1889/'01_설정'!B6))*'01_설정'!B15+MAX(0,(1-T1889/'01_설정'!B7))*'01_설정'!B16+MAX(0,(1-U1889/'01_설정'!B8))*'01_설정'!B17+O1889*'01_설정'!B11+Q1889*'01_설정'!B12+P1889*'01_설정'!B13+IF(Z1889="",0,Z1889))</f>
        <v/>
      </c>
      <c r="X1889" s="152">
        <f>IF(W1889="","",1+COUNTIFS($W$4:$W$3003,"&gt;"&amp;W1889)+COUNTIFS($W$4:W1889,W1889)-1)</f>
        <v/>
      </c>
      <c r="Y1889" s="175">
        <f>IF(OR(I1889="",'02_대상물건입력'!B19="",'02_대상물건입력'!B19&lt;=0),"",ABS(I1889-'02_대상물건입력'!B19)/'02_대상물건입력'!B19)</f>
        <v/>
      </c>
      <c r="Z1889" s="172">
        <f>IF(OR(Y1889="",'01_설정'!B31="",'01_설정'!B31&lt;=0,'01_설정'!B32="",'01_설정'!B32&lt;=0),"",MAX(0,(1-Y1889/'01_설정'!B32))*'01_설정'!B31)</f>
        <v/>
      </c>
    </row>
    <row r="1890" ht="17.25" customHeight="1">
      <c r="A1890" s="152">
        <f>IF(INDEX('04A_국토부원자료'!$A:$A,ROW()+1)="","",ROW()-3)</f>
        <v/>
      </c>
      <c r="B1890" s="48">
        <f>IFERROR(INDEX('04A_국토부원자료'!$A:$T,ROW()+1,MATCH("시군구",'04A_국토부원자료'!$A$4:$T$4,0)),"")</f>
        <v/>
      </c>
      <c r="C1890" s="48">
        <f>IF(B1890="","",IFERROR(INDEX('04A_국토부원자료'!$A:$T,ROW()+1,MATCH("번지",'04A_국토부원자료'!$A$4:$T$4,0)),""))</f>
        <v/>
      </c>
      <c r="D1890" s="48">
        <f>IF(B1890="","",IF(Q1890=1,'02_대상물건입력'!$B$8,IFERROR(INDEX('04A_국토부원자료'!$A:$T,ROW()+1,MATCH("단지명",'04A_국토부원자료'!$A$4:$T$4,0)),"")))</f>
        <v/>
      </c>
      <c r="E1890" s="172">
        <f>IFERROR(VALUE(SUBSTITUTE(INDEX('04A_국토부원자료'!$A:$T,ROW()+1,MATCH("전용면적(㎡)",'04A_국토부원자료'!$A$4:$T$4,0)),",","")),"")</f>
        <v/>
      </c>
      <c r="F18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90" s="51">
        <f>IFERROR(VALUE(SUBSTITUTE(INDEX('04A_국토부원자료'!$A:$T,ROW()+1,MATCH("거래금액(만원)",'04A_국토부원자료'!$A$4:$T$4,0)),",","")),"")</f>
        <v/>
      </c>
      <c r="H1890" s="174">
        <f>IF(G1890="","",G1890*10000)</f>
        <v/>
      </c>
      <c r="I1890" s="174">
        <f>IFERROR(IF(AND(H1890&gt;0,E1890&gt;0),H1890/E1890,""),"")</f>
        <v/>
      </c>
      <c r="J1890" s="152">
        <f>IFERROR(VALUE(SUBSTITUTE(INDEX('04A_국토부원자료'!$A:$T,ROW()+1,MATCH("층",'04A_국토부원자료'!$A$4:$T$4,0)),",","")),"")</f>
        <v/>
      </c>
      <c r="K1890" s="152">
        <f>IFERROR(VALUE(SUBSTITUTE(INDEX('04A_국토부원자료'!$A:$T,ROW()+1,MATCH("건축년도",'04A_국토부원자료'!$A$4:$T$4,0)),",","")),"")</f>
        <v/>
      </c>
      <c r="L1890" s="176">
        <f>IFERROR(INDEX('04A_국토부원자료'!$A:$T,ROW()+1,MATCH("도로명",'04A_국토부원자료'!$A$4:$T$4,0)),"")</f>
        <v/>
      </c>
      <c r="M1890" s="48">
        <f>IFERROR(INDEX('04A_국토부원자료'!$A:$T,ROW()+1,MATCH("거래유형",'04A_국토부원자료'!$A$4:$T$4,0)),"")</f>
        <v/>
      </c>
      <c r="N1890" s="152">
        <f>IF(B1890="","",IF('02_대상물건입력'!B5="",1,IF(ISNUMBER(SEARCH('02_대상물건입력'!B5,B1890)),1,0)))</f>
        <v/>
      </c>
      <c r="O1890" s="152">
        <f>IF(B1890="","",IF('02_대상물건입력'!B6="",1,IF(ISNUMBER(SEARCH('02_대상물건입력'!B6,B1890)),1,0)))</f>
        <v/>
      </c>
      <c r="P1890" s="152">
        <f>IF(L1890="","",IF('02_대상물건입력'!B15="",0,IF(ISNUMBER(SEARCH('02_대상물건입력'!B15,L1890)),1,0)))</f>
        <v/>
      </c>
      <c r="Q1890" s="152">
        <f>IF(OR(C1890="",L1890=""),0,IF(AND(TRIM(C1890)=TRIM(RIGHT(SUBSTITUTE(TRIM('02_대상물건입력'!$B$7)," ",REPT(" ",99)),99)),IF('02_대상물건입력'!B15="",TRUE(),ISNUMBER(SEARCH('02_대상물건입력'!B15,L1890)))),1,0))</f>
        <v/>
      </c>
      <c r="R1890" s="175">
        <f>IFERROR(ABS(E1890-'02_대상물건입력'!B11)/'02_대상물건입력'!B11,"")</f>
        <v/>
      </c>
      <c r="S1890" s="152">
        <f>IFERROR(ABS(J1890-'02_대상물건입력'!B10),"")</f>
        <v/>
      </c>
      <c r="T1890" s="152">
        <f>IFERROR(ABS('01_설정'!B4-F1890),"")</f>
        <v/>
      </c>
      <c r="U1890" s="152">
        <f>IFERROR(ABS(K1890-YEAR('02_대상물건입력'!B14)),"")</f>
        <v/>
      </c>
      <c r="V1890" s="152">
        <f>IF(B1890="","",IF(AND(E1890&gt;0,F1890&gt;0,H1890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1890=1,TRUE()),R1890&lt;='01_설정'!B5,S1890&lt;='01_설정'!B6,T1890&lt;='01_설정'!B7,U1890&lt;='01_설정'!B8),"Y",""))</f>
        <v/>
      </c>
      <c r="W1890" s="172">
        <f>IF(V1890&lt;&gt;"Y","",MAX(0,(1-R1890/'01_설정'!B5))*'01_설정'!B14+MAX(0,(1-S1890/'01_설정'!B6))*'01_설정'!B15+MAX(0,(1-T1890/'01_설정'!B7))*'01_설정'!B16+MAX(0,(1-U1890/'01_설정'!B8))*'01_설정'!B17+O1890*'01_설정'!B11+Q1890*'01_설정'!B12+P1890*'01_설정'!B13+IF(Z1890="",0,Z1890))</f>
        <v/>
      </c>
      <c r="X1890" s="152">
        <f>IF(W1890="","",1+COUNTIFS($W$4:$W$3003,"&gt;"&amp;W1890)+COUNTIFS($W$4:W1890,W1890)-1)</f>
        <v/>
      </c>
      <c r="Y1890" s="175">
        <f>IF(OR(I1890="",'02_대상물건입력'!B19="",'02_대상물건입력'!B19&lt;=0),"",ABS(I1890-'02_대상물건입력'!B19)/'02_대상물건입력'!B19)</f>
        <v/>
      </c>
      <c r="Z1890" s="172">
        <f>IF(OR(Y1890="",'01_설정'!B31="",'01_설정'!B31&lt;=0,'01_설정'!B32="",'01_설정'!B32&lt;=0),"",MAX(0,(1-Y1890/'01_설정'!B32))*'01_설정'!B31)</f>
        <v/>
      </c>
    </row>
    <row r="1891" ht="17.25" customHeight="1">
      <c r="A1891" s="152">
        <f>IF(INDEX('04A_국토부원자료'!$A:$A,ROW()+1)="","",ROW()-3)</f>
        <v/>
      </c>
      <c r="B1891" s="48">
        <f>IFERROR(INDEX('04A_국토부원자료'!$A:$T,ROW()+1,MATCH("시군구",'04A_국토부원자료'!$A$4:$T$4,0)),"")</f>
        <v/>
      </c>
      <c r="C1891" s="48">
        <f>IF(B1891="","",IFERROR(INDEX('04A_국토부원자료'!$A:$T,ROW()+1,MATCH("번지",'04A_국토부원자료'!$A$4:$T$4,0)),""))</f>
        <v/>
      </c>
      <c r="D1891" s="48">
        <f>IF(B1891="","",IF(Q1891=1,'02_대상물건입력'!$B$8,IFERROR(INDEX('04A_국토부원자료'!$A:$T,ROW()+1,MATCH("단지명",'04A_국토부원자료'!$A$4:$T$4,0)),"")))</f>
        <v/>
      </c>
      <c r="E1891" s="172">
        <f>IFERROR(VALUE(SUBSTITUTE(INDEX('04A_국토부원자료'!$A:$T,ROW()+1,MATCH("전용면적(㎡)",'04A_국토부원자료'!$A$4:$T$4,0)),",","")),"")</f>
        <v/>
      </c>
      <c r="F18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91" s="51">
        <f>IFERROR(VALUE(SUBSTITUTE(INDEX('04A_국토부원자료'!$A:$T,ROW()+1,MATCH("거래금액(만원)",'04A_국토부원자료'!$A$4:$T$4,0)),",","")),"")</f>
        <v/>
      </c>
      <c r="H1891" s="174">
        <f>IF(G1891="","",G1891*10000)</f>
        <v/>
      </c>
      <c r="I1891" s="174">
        <f>IFERROR(IF(AND(H1891&gt;0,E1891&gt;0),H1891/E1891,""),"")</f>
        <v/>
      </c>
      <c r="J1891" s="152">
        <f>IFERROR(VALUE(SUBSTITUTE(INDEX('04A_국토부원자료'!$A:$T,ROW()+1,MATCH("층",'04A_국토부원자료'!$A$4:$T$4,0)),",","")),"")</f>
        <v/>
      </c>
      <c r="K1891" s="152">
        <f>IFERROR(VALUE(SUBSTITUTE(INDEX('04A_국토부원자료'!$A:$T,ROW()+1,MATCH("건축년도",'04A_국토부원자료'!$A$4:$T$4,0)),",","")),"")</f>
        <v/>
      </c>
      <c r="L1891" s="176">
        <f>IFERROR(INDEX('04A_국토부원자료'!$A:$T,ROW()+1,MATCH("도로명",'04A_국토부원자료'!$A$4:$T$4,0)),"")</f>
        <v/>
      </c>
      <c r="M1891" s="48">
        <f>IFERROR(INDEX('04A_국토부원자료'!$A:$T,ROW()+1,MATCH("거래유형",'04A_국토부원자료'!$A$4:$T$4,0)),"")</f>
        <v/>
      </c>
      <c r="N1891" s="152">
        <f>IF(B1891="","",IF('02_대상물건입력'!B5="",1,IF(ISNUMBER(SEARCH('02_대상물건입력'!B5,B1891)),1,0)))</f>
        <v/>
      </c>
      <c r="O1891" s="152">
        <f>IF(B1891="","",IF('02_대상물건입력'!B6="",1,IF(ISNUMBER(SEARCH('02_대상물건입력'!B6,B1891)),1,0)))</f>
        <v/>
      </c>
      <c r="P1891" s="152">
        <f>IF(L1891="","",IF('02_대상물건입력'!B15="",0,IF(ISNUMBER(SEARCH('02_대상물건입력'!B15,L1891)),1,0)))</f>
        <v/>
      </c>
      <c r="Q1891" s="152">
        <f>IF(OR(C1891="",L1891=""),0,IF(AND(TRIM(C1891)=TRIM(RIGHT(SUBSTITUTE(TRIM('02_대상물건입력'!$B$7)," ",REPT(" ",99)),99)),IF('02_대상물건입력'!B15="",TRUE(),ISNUMBER(SEARCH('02_대상물건입력'!B15,L1891)))),1,0))</f>
        <v/>
      </c>
      <c r="R1891" s="175">
        <f>IFERROR(ABS(E1891-'02_대상물건입력'!B11)/'02_대상물건입력'!B11,"")</f>
        <v/>
      </c>
      <c r="S1891" s="152">
        <f>IFERROR(ABS(J1891-'02_대상물건입력'!B10),"")</f>
        <v/>
      </c>
      <c r="T1891" s="152">
        <f>IFERROR(ABS('01_설정'!B4-F1891),"")</f>
        <v/>
      </c>
      <c r="U1891" s="152">
        <f>IFERROR(ABS(K1891-YEAR('02_대상물건입력'!B14)),"")</f>
        <v/>
      </c>
      <c r="V1891" s="152">
        <f>IF(B1891="","",IF(AND(E1891&gt;0,F1891&gt;0,H1891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1891=1,TRUE()),R1891&lt;='01_설정'!B5,S1891&lt;='01_설정'!B6,T1891&lt;='01_설정'!B7,U1891&lt;='01_설정'!B8),"Y",""))</f>
        <v/>
      </c>
      <c r="W1891" s="172">
        <f>IF(V1891&lt;&gt;"Y","",MAX(0,(1-R1891/'01_설정'!B5))*'01_설정'!B14+MAX(0,(1-S1891/'01_설정'!B6))*'01_설정'!B15+MAX(0,(1-T1891/'01_설정'!B7))*'01_설정'!B16+MAX(0,(1-U1891/'01_설정'!B8))*'01_설정'!B17+O1891*'01_설정'!B11+Q1891*'01_설정'!B12+P1891*'01_설정'!B13+IF(Z1891="",0,Z1891))</f>
        <v/>
      </c>
      <c r="X1891" s="152">
        <f>IF(W1891="","",1+COUNTIFS($W$4:$W$3003,"&gt;"&amp;W1891)+COUNTIFS($W$4:W1891,W1891)-1)</f>
        <v/>
      </c>
      <c r="Y1891" s="175">
        <f>IF(OR(I1891="",'02_대상물건입력'!B19="",'02_대상물건입력'!B19&lt;=0),"",ABS(I1891-'02_대상물건입력'!B19)/'02_대상물건입력'!B19)</f>
        <v/>
      </c>
      <c r="Z1891" s="172">
        <f>IF(OR(Y1891="",'01_설정'!B31="",'01_설정'!B31&lt;=0,'01_설정'!B32="",'01_설정'!B32&lt;=0),"",MAX(0,(1-Y1891/'01_설정'!B32))*'01_설정'!B31)</f>
        <v/>
      </c>
    </row>
    <row r="1892" ht="17.25" customHeight="1">
      <c r="A1892" s="152">
        <f>IF(INDEX('04A_국토부원자료'!$A:$A,ROW()+1)="","",ROW()-3)</f>
        <v/>
      </c>
      <c r="B1892" s="48">
        <f>IFERROR(INDEX('04A_국토부원자료'!$A:$T,ROW()+1,MATCH("시군구",'04A_국토부원자료'!$A$4:$T$4,0)),"")</f>
        <v/>
      </c>
      <c r="C1892" s="48">
        <f>IF(B1892="","",IFERROR(INDEX('04A_국토부원자료'!$A:$T,ROW()+1,MATCH("번지",'04A_국토부원자료'!$A$4:$T$4,0)),""))</f>
        <v/>
      </c>
      <c r="D1892" s="48">
        <f>IF(B1892="","",IF(Q1892=1,'02_대상물건입력'!$B$8,IFERROR(INDEX('04A_국토부원자료'!$A:$T,ROW()+1,MATCH("단지명",'04A_국토부원자료'!$A$4:$T$4,0)),"")))</f>
        <v/>
      </c>
      <c r="E1892" s="172">
        <f>IFERROR(VALUE(SUBSTITUTE(INDEX('04A_국토부원자료'!$A:$T,ROW()+1,MATCH("전용면적(㎡)",'04A_국토부원자료'!$A$4:$T$4,0)),",","")),"")</f>
        <v/>
      </c>
      <c r="F18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92" s="51">
        <f>IFERROR(VALUE(SUBSTITUTE(INDEX('04A_국토부원자료'!$A:$T,ROW()+1,MATCH("거래금액(만원)",'04A_국토부원자료'!$A$4:$T$4,0)),",","")),"")</f>
        <v/>
      </c>
      <c r="H1892" s="174">
        <f>IF(G1892="","",G1892*10000)</f>
        <v/>
      </c>
      <c r="I1892" s="174">
        <f>IFERROR(IF(AND(H1892&gt;0,E1892&gt;0),H1892/E1892,""),"")</f>
        <v/>
      </c>
      <c r="J1892" s="152">
        <f>IFERROR(VALUE(SUBSTITUTE(INDEX('04A_국토부원자료'!$A:$T,ROW()+1,MATCH("층",'04A_국토부원자료'!$A$4:$T$4,0)),",","")),"")</f>
        <v/>
      </c>
      <c r="K1892" s="152">
        <f>IFERROR(VALUE(SUBSTITUTE(INDEX('04A_국토부원자료'!$A:$T,ROW()+1,MATCH("건축년도",'04A_국토부원자료'!$A$4:$T$4,0)),",","")),"")</f>
        <v/>
      </c>
      <c r="L1892" s="176">
        <f>IFERROR(INDEX('04A_국토부원자료'!$A:$T,ROW()+1,MATCH("도로명",'04A_국토부원자료'!$A$4:$T$4,0)),"")</f>
        <v/>
      </c>
      <c r="M1892" s="48">
        <f>IFERROR(INDEX('04A_국토부원자료'!$A:$T,ROW()+1,MATCH("거래유형",'04A_국토부원자료'!$A$4:$T$4,0)),"")</f>
        <v/>
      </c>
      <c r="N1892" s="152">
        <f>IF(B1892="","",IF('02_대상물건입력'!B5="",1,IF(ISNUMBER(SEARCH('02_대상물건입력'!B5,B1892)),1,0)))</f>
        <v/>
      </c>
      <c r="O1892" s="152">
        <f>IF(B1892="","",IF('02_대상물건입력'!B6="",1,IF(ISNUMBER(SEARCH('02_대상물건입력'!B6,B1892)),1,0)))</f>
        <v/>
      </c>
      <c r="P1892" s="152">
        <f>IF(L1892="","",IF('02_대상물건입력'!B15="",0,IF(ISNUMBER(SEARCH('02_대상물건입력'!B15,L1892)),1,0)))</f>
        <v/>
      </c>
      <c r="Q1892" s="152">
        <f>IF(OR(C1892="",L1892=""),0,IF(AND(TRIM(C1892)=TRIM(RIGHT(SUBSTITUTE(TRIM('02_대상물건입력'!$B$7)," ",REPT(" ",99)),99)),IF('02_대상물건입력'!B15="",TRUE(),ISNUMBER(SEARCH('02_대상물건입력'!B15,L1892)))),1,0))</f>
        <v/>
      </c>
      <c r="R1892" s="175">
        <f>IFERROR(ABS(E1892-'02_대상물건입력'!B11)/'02_대상물건입력'!B11,"")</f>
        <v/>
      </c>
      <c r="S1892" s="152">
        <f>IFERROR(ABS(J1892-'02_대상물건입력'!B10),"")</f>
        <v/>
      </c>
      <c r="T1892" s="152">
        <f>IFERROR(ABS('01_설정'!B4-F1892),"")</f>
        <v/>
      </c>
      <c r="U1892" s="152">
        <f>IFERROR(ABS(K1892-YEAR('02_대상물건입력'!B14)),"")</f>
        <v/>
      </c>
      <c r="V1892" s="152">
        <f>IF(B1892="","",IF(AND(E1892&gt;0,F1892&gt;0,H1892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1892=1,TRUE()),R1892&lt;='01_설정'!B5,S1892&lt;='01_설정'!B6,T1892&lt;='01_설정'!B7,U1892&lt;='01_설정'!B8),"Y",""))</f>
        <v/>
      </c>
      <c r="W1892" s="172">
        <f>IF(V1892&lt;&gt;"Y","",MAX(0,(1-R1892/'01_설정'!B5))*'01_설정'!B14+MAX(0,(1-S1892/'01_설정'!B6))*'01_설정'!B15+MAX(0,(1-T1892/'01_설정'!B7))*'01_설정'!B16+MAX(0,(1-U1892/'01_설정'!B8))*'01_설정'!B17+O1892*'01_설정'!B11+Q1892*'01_설정'!B12+P1892*'01_설정'!B13+IF(Z1892="",0,Z1892))</f>
        <v/>
      </c>
      <c r="X1892" s="152">
        <f>IF(W1892="","",1+COUNTIFS($W$4:$W$3003,"&gt;"&amp;W1892)+COUNTIFS($W$4:W1892,W1892)-1)</f>
        <v/>
      </c>
      <c r="Y1892" s="175">
        <f>IF(OR(I1892="",'02_대상물건입력'!B19="",'02_대상물건입력'!B19&lt;=0),"",ABS(I1892-'02_대상물건입력'!B19)/'02_대상물건입력'!B19)</f>
        <v/>
      </c>
      <c r="Z1892" s="172">
        <f>IF(OR(Y1892="",'01_설정'!B31="",'01_설정'!B31&lt;=0,'01_설정'!B32="",'01_설정'!B32&lt;=0),"",MAX(0,(1-Y1892/'01_설정'!B32))*'01_설정'!B31)</f>
        <v/>
      </c>
    </row>
    <row r="1893" ht="17.25" customHeight="1">
      <c r="A1893" s="152">
        <f>IF(INDEX('04A_국토부원자료'!$A:$A,ROW()+1)="","",ROW()-3)</f>
        <v/>
      </c>
      <c r="B1893" s="48">
        <f>IFERROR(INDEX('04A_국토부원자료'!$A:$T,ROW()+1,MATCH("시군구",'04A_국토부원자료'!$A$4:$T$4,0)),"")</f>
        <v/>
      </c>
      <c r="C1893" s="48">
        <f>IF(B1893="","",IFERROR(INDEX('04A_국토부원자료'!$A:$T,ROW()+1,MATCH("번지",'04A_국토부원자료'!$A$4:$T$4,0)),""))</f>
        <v/>
      </c>
      <c r="D1893" s="48">
        <f>IF(B1893="","",IF(Q1893=1,'02_대상물건입력'!$B$8,IFERROR(INDEX('04A_국토부원자료'!$A:$T,ROW()+1,MATCH("단지명",'04A_국토부원자료'!$A$4:$T$4,0)),"")))</f>
        <v/>
      </c>
      <c r="E1893" s="172">
        <f>IFERROR(VALUE(SUBSTITUTE(INDEX('04A_국토부원자료'!$A:$T,ROW()+1,MATCH("전용면적(㎡)",'04A_국토부원자료'!$A$4:$T$4,0)),",","")),"")</f>
        <v/>
      </c>
      <c r="F18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93" s="51">
        <f>IFERROR(VALUE(SUBSTITUTE(INDEX('04A_국토부원자료'!$A:$T,ROW()+1,MATCH("거래금액(만원)",'04A_국토부원자료'!$A$4:$T$4,0)),",","")),"")</f>
        <v/>
      </c>
      <c r="H1893" s="174">
        <f>IF(G1893="","",G1893*10000)</f>
        <v/>
      </c>
      <c r="I1893" s="174">
        <f>IFERROR(IF(AND(H1893&gt;0,E1893&gt;0),H1893/E1893,""),"")</f>
        <v/>
      </c>
      <c r="J1893" s="152">
        <f>IFERROR(VALUE(SUBSTITUTE(INDEX('04A_국토부원자료'!$A:$T,ROW()+1,MATCH("층",'04A_국토부원자료'!$A$4:$T$4,0)),",","")),"")</f>
        <v/>
      </c>
      <c r="K1893" s="152">
        <f>IFERROR(VALUE(SUBSTITUTE(INDEX('04A_국토부원자료'!$A:$T,ROW()+1,MATCH("건축년도",'04A_국토부원자료'!$A$4:$T$4,0)),",","")),"")</f>
        <v/>
      </c>
      <c r="L1893" s="176">
        <f>IFERROR(INDEX('04A_국토부원자료'!$A:$T,ROW()+1,MATCH("도로명",'04A_국토부원자료'!$A$4:$T$4,0)),"")</f>
        <v/>
      </c>
      <c r="M1893" s="48">
        <f>IFERROR(INDEX('04A_국토부원자료'!$A:$T,ROW()+1,MATCH("거래유형",'04A_국토부원자료'!$A$4:$T$4,0)),"")</f>
        <v/>
      </c>
      <c r="N1893" s="152">
        <f>IF(B1893="","",IF('02_대상물건입력'!B5="",1,IF(ISNUMBER(SEARCH('02_대상물건입력'!B5,B1893)),1,0)))</f>
        <v/>
      </c>
      <c r="O1893" s="152">
        <f>IF(B1893="","",IF('02_대상물건입력'!B6="",1,IF(ISNUMBER(SEARCH('02_대상물건입력'!B6,B1893)),1,0)))</f>
        <v/>
      </c>
      <c r="P1893" s="152">
        <f>IF(L1893="","",IF('02_대상물건입력'!B15="",0,IF(ISNUMBER(SEARCH('02_대상물건입력'!B15,L1893)),1,0)))</f>
        <v/>
      </c>
      <c r="Q1893" s="152">
        <f>IF(OR(C1893="",L1893=""),0,IF(AND(TRIM(C1893)=TRIM(RIGHT(SUBSTITUTE(TRIM('02_대상물건입력'!$B$7)," ",REPT(" ",99)),99)),IF('02_대상물건입력'!B15="",TRUE(),ISNUMBER(SEARCH('02_대상물건입력'!B15,L1893)))),1,0))</f>
        <v/>
      </c>
      <c r="R1893" s="175">
        <f>IFERROR(ABS(E1893-'02_대상물건입력'!B11)/'02_대상물건입력'!B11,"")</f>
        <v/>
      </c>
      <c r="S1893" s="152">
        <f>IFERROR(ABS(J1893-'02_대상물건입력'!B10),"")</f>
        <v/>
      </c>
      <c r="T1893" s="152">
        <f>IFERROR(ABS('01_설정'!B4-F1893),"")</f>
        <v/>
      </c>
      <c r="U1893" s="152">
        <f>IFERROR(ABS(K1893-YEAR('02_대상물건입력'!B14)),"")</f>
        <v/>
      </c>
      <c r="V1893" s="152">
        <f>IF(B1893="","",IF(AND(E1893&gt;0,F1893&gt;0,H1893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1893=1,TRUE()),R1893&lt;='01_설정'!B5,S1893&lt;='01_설정'!B6,T1893&lt;='01_설정'!B7,U1893&lt;='01_설정'!B8),"Y",""))</f>
        <v/>
      </c>
      <c r="W1893" s="172">
        <f>IF(V1893&lt;&gt;"Y","",MAX(0,(1-R1893/'01_설정'!B5))*'01_설정'!B14+MAX(0,(1-S1893/'01_설정'!B6))*'01_설정'!B15+MAX(0,(1-T1893/'01_설정'!B7))*'01_설정'!B16+MAX(0,(1-U1893/'01_설정'!B8))*'01_설정'!B17+O1893*'01_설정'!B11+Q1893*'01_설정'!B12+P1893*'01_설정'!B13+IF(Z1893="",0,Z1893))</f>
        <v/>
      </c>
      <c r="X1893" s="152">
        <f>IF(W1893="","",1+COUNTIFS($W$4:$W$3003,"&gt;"&amp;W1893)+COUNTIFS($W$4:W1893,W1893)-1)</f>
        <v/>
      </c>
      <c r="Y1893" s="175">
        <f>IF(OR(I1893="",'02_대상물건입력'!B19="",'02_대상물건입력'!B19&lt;=0),"",ABS(I1893-'02_대상물건입력'!B19)/'02_대상물건입력'!B19)</f>
        <v/>
      </c>
      <c r="Z1893" s="172">
        <f>IF(OR(Y1893="",'01_설정'!B31="",'01_설정'!B31&lt;=0,'01_설정'!B32="",'01_설정'!B32&lt;=0),"",MAX(0,(1-Y1893/'01_설정'!B32))*'01_설정'!B31)</f>
        <v/>
      </c>
    </row>
    <row r="1894" ht="17.25" customHeight="1">
      <c r="A1894" s="152">
        <f>IF(INDEX('04A_국토부원자료'!$A:$A,ROW()+1)="","",ROW()-3)</f>
        <v/>
      </c>
      <c r="B1894" s="48">
        <f>IFERROR(INDEX('04A_국토부원자료'!$A:$T,ROW()+1,MATCH("시군구",'04A_국토부원자료'!$A$4:$T$4,0)),"")</f>
        <v/>
      </c>
      <c r="C1894" s="48">
        <f>IF(B1894="","",IFERROR(INDEX('04A_국토부원자료'!$A:$T,ROW()+1,MATCH("번지",'04A_국토부원자료'!$A$4:$T$4,0)),""))</f>
        <v/>
      </c>
      <c r="D1894" s="48">
        <f>IF(B1894="","",IF(Q1894=1,'02_대상물건입력'!$B$8,IFERROR(INDEX('04A_국토부원자료'!$A:$T,ROW()+1,MATCH("단지명",'04A_국토부원자료'!$A$4:$T$4,0)),"")))</f>
        <v/>
      </c>
      <c r="E1894" s="172">
        <f>IFERROR(VALUE(SUBSTITUTE(INDEX('04A_국토부원자료'!$A:$T,ROW()+1,MATCH("전용면적(㎡)",'04A_국토부원자료'!$A$4:$T$4,0)),",","")),"")</f>
        <v/>
      </c>
      <c r="F18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94" s="51">
        <f>IFERROR(VALUE(SUBSTITUTE(INDEX('04A_국토부원자료'!$A:$T,ROW()+1,MATCH("거래금액(만원)",'04A_국토부원자료'!$A$4:$T$4,0)),",","")),"")</f>
        <v/>
      </c>
      <c r="H1894" s="174">
        <f>IF(G1894="","",G1894*10000)</f>
        <v/>
      </c>
      <c r="I1894" s="174">
        <f>IFERROR(IF(AND(H1894&gt;0,E1894&gt;0),H1894/E1894,""),"")</f>
        <v/>
      </c>
      <c r="J1894" s="152">
        <f>IFERROR(VALUE(SUBSTITUTE(INDEX('04A_국토부원자료'!$A:$T,ROW()+1,MATCH("층",'04A_국토부원자료'!$A$4:$T$4,0)),",","")),"")</f>
        <v/>
      </c>
      <c r="K1894" s="152">
        <f>IFERROR(VALUE(SUBSTITUTE(INDEX('04A_국토부원자료'!$A:$T,ROW()+1,MATCH("건축년도",'04A_국토부원자료'!$A$4:$T$4,0)),",","")),"")</f>
        <v/>
      </c>
      <c r="L1894" s="176">
        <f>IFERROR(INDEX('04A_국토부원자료'!$A:$T,ROW()+1,MATCH("도로명",'04A_국토부원자료'!$A$4:$T$4,0)),"")</f>
        <v/>
      </c>
      <c r="M1894" s="48">
        <f>IFERROR(INDEX('04A_국토부원자료'!$A:$T,ROW()+1,MATCH("거래유형",'04A_국토부원자료'!$A$4:$T$4,0)),"")</f>
        <v/>
      </c>
      <c r="N1894" s="152">
        <f>IF(B1894="","",IF('02_대상물건입력'!B5="",1,IF(ISNUMBER(SEARCH('02_대상물건입력'!B5,B1894)),1,0)))</f>
        <v/>
      </c>
      <c r="O1894" s="152">
        <f>IF(B1894="","",IF('02_대상물건입력'!B6="",1,IF(ISNUMBER(SEARCH('02_대상물건입력'!B6,B1894)),1,0)))</f>
        <v/>
      </c>
      <c r="P1894" s="152">
        <f>IF(L1894="","",IF('02_대상물건입력'!B15="",0,IF(ISNUMBER(SEARCH('02_대상물건입력'!B15,L1894)),1,0)))</f>
        <v/>
      </c>
      <c r="Q1894" s="152">
        <f>IF(OR(C1894="",L1894=""),0,IF(AND(TRIM(C1894)=TRIM(RIGHT(SUBSTITUTE(TRIM('02_대상물건입력'!$B$7)," ",REPT(" ",99)),99)),IF('02_대상물건입력'!B15="",TRUE(),ISNUMBER(SEARCH('02_대상물건입력'!B15,L1894)))),1,0))</f>
        <v/>
      </c>
      <c r="R1894" s="175">
        <f>IFERROR(ABS(E1894-'02_대상물건입력'!B11)/'02_대상물건입력'!B11,"")</f>
        <v/>
      </c>
      <c r="S1894" s="152">
        <f>IFERROR(ABS(J1894-'02_대상물건입력'!B10),"")</f>
        <v/>
      </c>
      <c r="T1894" s="152">
        <f>IFERROR(ABS('01_설정'!B4-F1894),"")</f>
        <v/>
      </c>
      <c r="U1894" s="152">
        <f>IFERROR(ABS(K1894-YEAR('02_대상물건입력'!B14)),"")</f>
        <v/>
      </c>
      <c r="V1894" s="152">
        <f>IF(B1894="","",IF(AND(E1894&gt;0,F1894&gt;0,H1894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1894=1,TRUE()),R1894&lt;='01_설정'!B5,S1894&lt;='01_설정'!B6,T1894&lt;='01_설정'!B7,U1894&lt;='01_설정'!B8),"Y",""))</f>
        <v/>
      </c>
      <c r="W1894" s="172">
        <f>IF(V1894&lt;&gt;"Y","",MAX(0,(1-R1894/'01_설정'!B5))*'01_설정'!B14+MAX(0,(1-S1894/'01_설정'!B6))*'01_설정'!B15+MAX(0,(1-T1894/'01_설정'!B7))*'01_설정'!B16+MAX(0,(1-U1894/'01_설정'!B8))*'01_설정'!B17+O1894*'01_설정'!B11+Q1894*'01_설정'!B12+P1894*'01_설정'!B13+IF(Z1894="",0,Z1894))</f>
        <v/>
      </c>
      <c r="X1894" s="152">
        <f>IF(W1894="","",1+COUNTIFS($W$4:$W$3003,"&gt;"&amp;W1894)+COUNTIFS($W$4:W1894,W1894)-1)</f>
        <v/>
      </c>
      <c r="Y1894" s="175">
        <f>IF(OR(I1894="",'02_대상물건입력'!B19="",'02_대상물건입력'!B19&lt;=0),"",ABS(I1894-'02_대상물건입력'!B19)/'02_대상물건입력'!B19)</f>
        <v/>
      </c>
      <c r="Z1894" s="172">
        <f>IF(OR(Y1894="",'01_설정'!B31="",'01_설정'!B31&lt;=0,'01_설정'!B32="",'01_설정'!B32&lt;=0),"",MAX(0,(1-Y1894/'01_설정'!B32))*'01_설정'!B31)</f>
        <v/>
      </c>
    </row>
    <row r="1895" ht="17.25" customHeight="1">
      <c r="A1895" s="152">
        <f>IF(INDEX('04A_국토부원자료'!$A:$A,ROW()+1)="","",ROW()-3)</f>
        <v/>
      </c>
      <c r="B1895" s="48">
        <f>IFERROR(INDEX('04A_국토부원자료'!$A:$T,ROW()+1,MATCH("시군구",'04A_국토부원자료'!$A$4:$T$4,0)),"")</f>
        <v/>
      </c>
      <c r="C1895" s="48">
        <f>IF(B1895="","",IFERROR(INDEX('04A_국토부원자료'!$A:$T,ROW()+1,MATCH("번지",'04A_국토부원자료'!$A$4:$T$4,0)),""))</f>
        <v/>
      </c>
      <c r="D1895" s="48">
        <f>IF(B1895="","",IF(Q1895=1,'02_대상물건입력'!$B$8,IFERROR(INDEX('04A_국토부원자료'!$A:$T,ROW()+1,MATCH("단지명",'04A_국토부원자료'!$A$4:$T$4,0)),"")))</f>
        <v/>
      </c>
      <c r="E1895" s="172">
        <f>IFERROR(VALUE(SUBSTITUTE(INDEX('04A_국토부원자료'!$A:$T,ROW()+1,MATCH("전용면적(㎡)",'04A_국토부원자료'!$A$4:$T$4,0)),",","")),"")</f>
        <v/>
      </c>
      <c r="F18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95" s="51">
        <f>IFERROR(VALUE(SUBSTITUTE(INDEX('04A_국토부원자료'!$A:$T,ROW()+1,MATCH("거래금액(만원)",'04A_국토부원자료'!$A$4:$T$4,0)),",","")),"")</f>
        <v/>
      </c>
      <c r="H1895" s="174">
        <f>IF(G1895="","",G1895*10000)</f>
        <v/>
      </c>
      <c r="I1895" s="174">
        <f>IFERROR(IF(AND(H1895&gt;0,E1895&gt;0),H1895/E1895,""),"")</f>
        <v/>
      </c>
      <c r="J1895" s="152">
        <f>IFERROR(VALUE(SUBSTITUTE(INDEX('04A_국토부원자료'!$A:$T,ROW()+1,MATCH("층",'04A_국토부원자료'!$A$4:$T$4,0)),",","")),"")</f>
        <v/>
      </c>
      <c r="K1895" s="152">
        <f>IFERROR(VALUE(SUBSTITUTE(INDEX('04A_국토부원자료'!$A:$T,ROW()+1,MATCH("건축년도",'04A_국토부원자료'!$A$4:$T$4,0)),",","")),"")</f>
        <v/>
      </c>
      <c r="L1895" s="176">
        <f>IFERROR(INDEX('04A_국토부원자료'!$A:$T,ROW()+1,MATCH("도로명",'04A_국토부원자료'!$A$4:$T$4,0)),"")</f>
        <v/>
      </c>
      <c r="M1895" s="48">
        <f>IFERROR(INDEX('04A_국토부원자료'!$A:$T,ROW()+1,MATCH("거래유형",'04A_국토부원자료'!$A$4:$T$4,0)),"")</f>
        <v/>
      </c>
      <c r="N1895" s="152">
        <f>IF(B1895="","",IF('02_대상물건입력'!B5="",1,IF(ISNUMBER(SEARCH('02_대상물건입력'!B5,B1895)),1,0)))</f>
        <v/>
      </c>
      <c r="O1895" s="152">
        <f>IF(B1895="","",IF('02_대상물건입력'!B6="",1,IF(ISNUMBER(SEARCH('02_대상물건입력'!B6,B1895)),1,0)))</f>
        <v/>
      </c>
      <c r="P1895" s="152">
        <f>IF(L1895="","",IF('02_대상물건입력'!B15="",0,IF(ISNUMBER(SEARCH('02_대상물건입력'!B15,L1895)),1,0)))</f>
        <v/>
      </c>
      <c r="Q1895" s="152">
        <f>IF(OR(C1895="",L1895=""),0,IF(AND(TRIM(C1895)=TRIM(RIGHT(SUBSTITUTE(TRIM('02_대상물건입력'!$B$7)," ",REPT(" ",99)),99)),IF('02_대상물건입력'!B15="",TRUE(),ISNUMBER(SEARCH('02_대상물건입력'!B15,L1895)))),1,0))</f>
        <v/>
      </c>
      <c r="R1895" s="175">
        <f>IFERROR(ABS(E1895-'02_대상물건입력'!B11)/'02_대상물건입력'!B11,"")</f>
        <v/>
      </c>
      <c r="S1895" s="152">
        <f>IFERROR(ABS(J1895-'02_대상물건입력'!B10),"")</f>
        <v/>
      </c>
      <c r="T1895" s="152">
        <f>IFERROR(ABS('01_설정'!B4-F1895),"")</f>
        <v/>
      </c>
      <c r="U1895" s="152">
        <f>IFERROR(ABS(K1895-YEAR('02_대상물건입력'!B14)),"")</f>
        <v/>
      </c>
      <c r="V1895" s="152">
        <f>IF(B1895="","",IF(AND(E1895&gt;0,F1895&gt;0,H1895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1895=1,TRUE()),R1895&lt;='01_설정'!B5,S1895&lt;='01_설정'!B6,T1895&lt;='01_설정'!B7,U1895&lt;='01_설정'!B8),"Y",""))</f>
        <v/>
      </c>
      <c r="W1895" s="172">
        <f>IF(V1895&lt;&gt;"Y","",MAX(0,(1-R1895/'01_설정'!B5))*'01_설정'!B14+MAX(0,(1-S1895/'01_설정'!B6))*'01_설정'!B15+MAX(0,(1-T1895/'01_설정'!B7))*'01_설정'!B16+MAX(0,(1-U1895/'01_설정'!B8))*'01_설정'!B17+O1895*'01_설정'!B11+Q1895*'01_설정'!B12+P1895*'01_설정'!B13+IF(Z1895="",0,Z1895))</f>
        <v/>
      </c>
      <c r="X1895" s="152">
        <f>IF(W1895="","",1+COUNTIFS($W$4:$W$3003,"&gt;"&amp;W1895)+COUNTIFS($W$4:W1895,W1895)-1)</f>
        <v/>
      </c>
      <c r="Y1895" s="175">
        <f>IF(OR(I1895="",'02_대상물건입력'!B19="",'02_대상물건입력'!B19&lt;=0),"",ABS(I1895-'02_대상물건입력'!B19)/'02_대상물건입력'!B19)</f>
        <v/>
      </c>
      <c r="Z1895" s="172">
        <f>IF(OR(Y1895="",'01_설정'!B31="",'01_설정'!B31&lt;=0,'01_설정'!B32="",'01_설정'!B32&lt;=0),"",MAX(0,(1-Y1895/'01_설정'!B32))*'01_설정'!B31)</f>
        <v/>
      </c>
    </row>
    <row r="1896" ht="17.25" customHeight="1">
      <c r="A1896" s="152">
        <f>IF(INDEX('04A_국토부원자료'!$A:$A,ROW()+1)="","",ROW()-3)</f>
        <v/>
      </c>
      <c r="B1896" s="48">
        <f>IFERROR(INDEX('04A_국토부원자료'!$A:$T,ROW()+1,MATCH("시군구",'04A_국토부원자료'!$A$4:$T$4,0)),"")</f>
        <v/>
      </c>
      <c r="C1896" s="48">
        <f>IF(B1896="","",IFERROR(INDEX('04A_국토부원자료'!$A:$T,ROW()+1,MATCH("번지",'04A_국토부원자료'!$A$4:$T$4,0)),""))</f>
        <v/>
      </c>
      <c r="D1896" s="48">
        <f>IF(B1896="","",IF(Q1896=1,'02_대상물건입력'!$B$8,IFERROR(INDEX('04A_국토부원자료'!$A:$T,ROW()+1,MATCH("단지명",'04A_국토부원자료'!$A$4:$T$4,0)),"")))</f>
        <v/>
      </c>
      <c r="E1896" s="172">
        <f>IFERROR(VALUE(SUBSTITUTE(INDEX('04A_국토부원자료'!$A:$T,ROW()+1,MATCH("전용면적(㎡)",'04A_국토부원자료'!$A$4:$T$4,0)),",","")),"")</f>
        <v/>
      </c>
      <c r="F18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96" s="51">
        <f>IFERROR(VALUE(SUBSTITUTE(INDEX('04A_국토부원자료'!$A:$T,ROW()+1,MATCH("거래금액(만원)",'04A_국토부원자료'!$A$4:$T$4,0)),",","")),"")</f>
        <v/>
      </c>
      <c r="H1896" s="174">
        <f>IF(G1896="","",G1896*10000)</f>
        <v/>
      </c>
      <c r="I1896" s="174">
        <f>IFERROR(IF(AND(H1896&gt;0,E1896&gt;0),H1896/E1896,""),"")</f>
        <v/>
      </c>
      <c r="J1896" s="152">
        <f>IFERROR(VALUE(SUBSTITUTE(INDEX('04A_국토부원자료'!$A:$T,ROW()+1,MATCH("층",'04A_국토부원자료'!$A$4:$T$4,0)),",","")),"")</f>
        <v/>
      </c>
      <c r="K1896" s="152">
        <f>IFERROR(VALUE(SUBSTITUTE(INDEX('04A_국토부원자료'!$A:$T,ROW()+1,MATCH("건축년도",'04A_국토부원자료'!$A$4:$T$4,0)),",","")),"")</f>
        <v/>
      </c>
      <c r="L1896" s="48">
        <f>IFERROR(INDEX('04A_국토부원자료'!$A:$T,ROW()+1,MATCH("도로명",'04A_국토부원자료'!$A$4:$T$4,0)),"")</f>
        <v/>
      </c>
      <c r="M1896" s="48">
        <f>IFERROR(INDEX('04A_국토부원자료'!$A:$T,ROW()+1,MATCH("거래유형",'04A_국토부원자료'!$A$4:$T$4,0)),"")</f>
        <v/>
      </c>
      <c r="N1896" s="152">
        <f>IF(B1896="","",IF('02_대상물건입력'!B5="",1,IF(ISNUMBER(SEARCH('02_대상물건입력'!B5,B1896)),1,0)))</f>
        <v/>
      </c>
      <c r="O1896" s="152">
        <f>IF(B1896="","",IF('02_대상물건입력'!B6="",1,IF(ISNUMBER(SEARCH('02_대상물건입력'!B6,B1896)),1,0)))</f>
        <v/>
      </c>
      <c r="P1896" s="152">
        <f>IF(L1896="","",IF('02_대상물건입력'!B15="",0,IF(ISNUMBER(SEARCH('02_대상물건입력'!B15,L1896)),1,0)))</f>
        <v/>
      </c>
      <c r="Q1896" s="152">
        <f>IF(OR(C1896="",L1896=""),0,IF(AND(TRIM(C1896)=TRIM(RIGHT(SUBSTITUTE(TRIM('02_대상물건입력'!$B$7)," ",REPT(" ",99)),99)),IF('02_대상물건입력'!B15="",TRUE(),ISNUMBER(SEARCH('02_대상물건입력'!B15,L1896)))),1,0))</f>
        <v/>
      </c>
      <c r="R1896" s="175">
        <f>IFERROR(ABS(E1896-'02_대상물건입력'!B11)/'02_대상물건입력'!B11,"")</f>
        <v/>
      </c>
      <c r="S1896" s="152">
        <f>IFERROR(ABS(J1896-'02_대상물건입력'!B10),"")</f>
        <v/>
      </c>
      <c r="T1896" s="152">
        <f>IFERROR(ABS('01_설정'!B4-F1896),"")</f>
        <v/>
      </c>
      <c r="U1896" s="152">
        <f>IFERROR(ABS(K1896-YEAR('02_대상물건입력'!B14)),"")</f>
        <v/>
      </c>
      <c r="V1896" s="152">
        <f>IF(B1896="","",IF(AND(E1896&gt;0,F1896&gt;0,H1896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1896=1,TRUE()),R1896&lt;='01_설정'!B5,S1896&lt;='01_설정'!B6,T1896&lt;='01_설정'!B7,U1896&lt;='01_설정'!B8),"Y",""))</f>
        <v/>
      </c>
      <c r="W1896" s="172">
        <f>IF(V1896&lt;&gt;"Y","",MAX(0,(1-R1896/'01_설정'!B5))*'01_설정'!B14+MAX(0,(1-S1896/'01_설정'!B6))*'01_설정'!B15+MAX(0,(1-T1896/'01_설정'!B7))*'01_설정'!B16+MAX(0,(1-U1896/'01_설정'!B8))*'01_설정'!B17+O1896*'01_설정'!B11+Q1896*'01_설정'!B12+P1896*'01_설정'!B13+IF(Z1896="",0,Z1896))</f>
        <v/>
      </c>
      <c r="X1896" s="152">
        <f>IF(W1896="","",1+COUNTIFS($W$4:$W$3003,"&gt;"&amp;W1896)+COUNTIFS($W$4:W1896,W1896)-1)</f>
        <v/>
      </c>
      <c r="Y1896" s="175">
        <f>IF(OR(I1896="",'02_대상물건입력'!B19="",'02_대상물건입력'!B19&lt;=0),"",ABS(I1896-'02_대상물건입력'!B19)/'02_대상물건입력'!B19)</f>
        <v/>
      </c>
      <c r="Z1896" s="172">
        <f>IF(OR(Y1896="",'01_설정'!B31="",'01_설정'!B31&lt;=0,'01_설정'!B32="",'01_설정'!B32&lt;=0),"",MAX(0,(1-Y1896/'01_설정'!B32))*'01_설정'!B31)</f>
        <v/>
      </c>
    </row>
    <row r="1897" ht="17.25" customHeight="1">
      <c r="A1897" s="152">
        <f>IF(INDEX('04A_국토부원자료'!$A:$A,ROW()+1)="","",ROW()-3)</f>
        <v/>
      </c>
      <c r="B1897" s="48">
        <f>IFERROR(INDEX('04A_국토부원자료'!$A:$T,ROW()+1,MATCH("시군구",'04A_국토부원자료'!$A$4:$T$4,0)),"")</f>
        <v/>
      </c>
      <c r="C1897" s="48">
        <f>IF(B1897="","",IFERROR(INDEX('04A_국토부원자료'!$A:$T,ROW()+1,MATCH("번지",'04A_국토부원자료'!$A$4:$T$4,0)),""))</f>
        <v/>
      </c>
      <c r="D1897" s="48">
        <f>IF(B1897="","",IF(Q1897=1,'02_대상물건입력'!$B$8,IFERROR(INDEX('04A_국토부원자료'!$A:$T,ROW()+1,MATCH("단지명",'04A_국토부원자료'!$A$4:$T$4,0)),"")))</f>
        <v/>
      </c>
      <c r="E1897" s="172">
        <f>IFERROR(VALUE(SUBSTITUTE(INDEX('04A_국토부원자료'!$A:$T,ROW()+1,MATCH("전용면적(㎡)",'04A_국토부원자료'!$A$4:$T$4,0)),",","")),"")</f>
        <v/>
      </c>
      <c r="F18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97" s="51">
        <f>IFERROR(VALUE(SUBSTITUTE(INDEX('04A_국토부원자료'!$A:$T,ROW()+1,MATCH("거래금액(만원)",'04A_국토부원자료'!$A$4:$T$4,0)),",","")),"")</f>
        <v/>
      </c>
      <c r="H1897" s="174">
        <f>IF(G1897="","",G1897*10000)</f>
        <v/>
      </c>
      <c r="I1897" s="174">
        <f>IFERROR(IF(AND(H1897&gt;0,E1897&gt;0),H1897/E1897,""),"")</f>
        <v/>
      </c>
      <c r="J1897" s="152">
        <f>IFERROR(VALUE(SUBSTITUTE(INDEX('04A_국토부원자료'!$A:$T,ROW()+1,MATCH("층",'04A_국토부원자료'!$A$4:$T$4,0)),",","")),"")</f>
        <v/>
      </c>
      <c r="K1897" s="152">
        <f>IFERROR(VALUE(SUBSTITUTE(INDEX('04A_국토부원자료'!$A:$T,ROW()+1,MATCH("건축년도",'04A_국토부원자료'!$A$4:$T$4,0)),",","")),"")</f>
        <v/>
      </c>
      <c r="L1897" s="48">
        <f>IFERROR(INDEX('04A_국토부원자료'!$A:$T,ROW()+1,MATCH("도로명",'04A_국토부원자료'!$A$4:$T$4,0)),"")</f>
        <v/>
      </c>
      <c r="M1897" s="48">
        <f>IFERROR(INDEX('04A_국토부원자료'!$A:$T,ROW()+1,MATCH("거래유형",'04A_국토부원자료'!$A$4:$T$4,0)),"")</f>
        <v/>
      </c>
      <c r="N1897" s="152">
        <f>IF(B1897="","",IF('02_대상물건입력'!B5="",1,IF(ISNUMBER(SEARCH('02_대상물건입력'!B5,B1897)),1,0)))</f>
        <v/>
      </c>
      <c r="O1897" s="152">
        <f>IF(B1897="","",IF('02_대상물건입력'!B6="",1,IF(ISNUMBER(SEARCH('02_대상물건입력'!B6,B1897)),1,0)))</f>
        <v/>
      </c>
      <c r="P1897" s="152">
        <f>IF(L1897="","",IF('02_대상물건입력'!B15="",0,IF(ISNUMBER(SEARCH('02_대상물건입력'!B15,L1897)),1,0)))</f>
        <v/>
      </c>
      <c r="Q1897" s="152">
        <f>IF(OR(C1897="",L1897=""),0,IF(AND(TRIM(C1897)=TRIM(RIGHT(SUBSTITUTE(TRIM('02_대상물건입력'!$B$7)," ",REPT(" ",99)),99)),IF('02_대상물건입력'!B15="",TRUE(),ISNUMBER(SEARCH('02_대상물건입력'!B15,L1897)))),1,0))</f>
        <v/>
      </c>
      <c r="R1897" s="175">
        <f>IFERROR(ABS(E1897-'02_대상물건입력'!B11)/'02_대상물건입력'!B11,"")</f>
        <v/>
      </c>
      <c r="S1897" s="152">
        <f>IFERROR(ABS(J1897-'02_대상물건입력'!B10),"")</f>
        <v/>
      </c>
      <c r="T1897" s="152">
        <f>IFERROR(ABS('01_설정'!B4-F1897),"")</f>
        <v/>
      </c>
      <c r="U1897" s="152">
        <f>IFERROR(ABS(K1897-YEAR('02_대상물건입력'!B14)),"")</f>
        <v/>
      </c>
      <c r="V1897" s="152">
        <f>IF(B1897="","",IF(AND(E1897&gt;0,F1897&gt;0,H1897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1897=1,TRUE()),R1897&lt;='01_설정'!B5,S1897&lt;='01_설정'!B6,T1897&lt;='01_설정'!B7,U1897&lt;='01_설정'!B8),"Y",""))</f>
        <v/>
      </c>
      <c r="W1897" s="172">
        <f>IF(V1897&lt;&gt;"Y","",MAX(0,(1-R1897/'01_설정'!B5))*'01_설정'!B14+MAX(0,(1-S1897/'01_설정'!B6))*'01_설정'!B15+MAX(0,(1-T1897/'01_설정'!B7))*'01_설정'!B16+MAX(0,(1-U1897/'01_설정'!B8))*'01_설정'!B17+O1897*'01_설정'!B11+Q1897*'01_설정'!B12+P1897*'01_설정'!B13+IF(Z1897="",0,Z1897))</f>
        <v/>
      </c>
      <c r="X1897" s="152">
        <f>IF(W1897="","",1+COUNTIFS($W$4:$W$3003,"&gt;"&amp;W1897)+COUNTIFS($W$4:W1897,W1897)-1)</f>
        <v/>
      </c>
      <c r="Y1897" s="175">
        <f>IF(OR(I1897="",'02_대상물건입력'!B19="",'02_대상물건입력'!B19&lt;=0),"",ABS(I1897-'02_대상물건입력'!B19)/'02_대상물건입력'!B19)</f>
        <v/>
      </c>
      <c r="Z1897" s="172">
        <f>IF(OR(Y1897="",'01_설정'!B31="",'01_설정'!B31&lt;=0,'01_설정'!B32="",'01_설정'!B32&lt;=0),"",MAX(0,(1-Y1897/'01_설정'!B32))*'01_설정'!B31)</f>
        <v/>
      </c>
    </row>
    <row r="1898" ht="17.25" customHeight="1">
      <c r="A1898" s="152">
        <f>IF(INDEX('04A_국토부원자료'!$A:$A,ROW()+1)="","",ROW()-3)</f>
        <v/>
      </c>
      <c r="B1898" s="48">
        <f>IFERROR(INDEX('04A_국토부원자료'!$A:$T,ROW()+1,MATCH("시군구",'04A_국토부원자료'!$A$4:$T$4,0)),"")</f>
        <v/>
      </c>
      <c r="C1898" s="48">
        <f>IF(B1898="","",IFERROR(INDEX('04A_국토부원자료'!$A:$T,ROW()+1,MATCH("번지",'04A_국토부원자료'!$A$4:$T$4,0)),""))</f>
        <v/>
      </c>
      <c r="D1898" s="48">
        <f>IF(B1898="","",IF(Q1898=1,'02_대상물건입력'!$B$8,IFERROR(INDEX('04A_국토부원자료'!$A:$T,ROW()+1,MATCH("단지명",'04A_국토부원자료'!$A$4:$T$4,0)),"")))</f>
        <v/>
      </c>
      <c r="E1898" s="172">
        <f>IFERROR(VALUE(SUBSTITUTE(INDEX('04A_국토부원자료'!$A:$T,ROW()+1,MATCH("전용면적(㎡)",'04A_국토부원자료'!$A$4:$T$4,0)),",","")),"")</f>
        <v/>
      </c>
      <c r="F18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98" s="51">
        <f>IFERROR(VALUE(SUBSTITUTE(INDEX('04A_국토부원자료'!$A:$T,ROW()+1,MATCH("거래금액(만원)",'04A_국토부원자료'!$A$4:$T$4,0)),",","")),"")</f>
        <v/>
      </c>
      <c r="H1898" s="174">
        <f>IF(G1898="","",G1898*10000)</f>
        <v/>
      </c>
      <c r="I1898" s="174">
        <f>IFERROR(IF(AND(H1898&gt;0,E1898&gt;0),H1898/E1898,""),"")</f>
        <v/>
      </c>
      <c r="J1898" s="152">
        <f>IFERROR(VALUE(SUBSTITUTE(INDEX('04A_국토부원자료'!$A:$T,ROW()+1,MATCH("층",'04A_국토부원자료'!$A$4:$T$4,0)),",","")),"")</f>
        <v/>
      </c>
      <c r="K1898" s="152">
        <f>IFERROR(VALUE(SUBSTITUTE(INDEX('04A_국토부원자료'!$A:$T,ROW()+1,MATCH("건축년도",'04A_국토부원자료'!$A$4:$T$4,0)),",","")),"")</f>
        <v/>
      </c>
      <c r="L1898" s="48">
        <f>IFERROR(INDEX('04A_국토부원자료'!$A:$T,ROW()+1,MATCH("도로명",'04A_국토부원자료'!$A$4:$T$4,0)),"")</f>
        <v/>
      </c>
      <c r="M1898" s="48">
        <f>IFERROR(INDEX('04A_국토부원자료'!$A:$T,ROW()+1,MATCH("거래유형",'04A_국토부원자료'!$A$4:$T$4,0)),"")</f>
        <v/>
      </c>
      <c r="N1898" s="152">
        <f>IF(B1898="","",IF('02_대상물건입력'!B5="",1,IF(ISNUMBER(SEARCH('02_대상물건입력'!B5,B1898)),1,0)))</f>
        <v/>
      </c>
      <c r="O1898" s="152">
        <f>IF(B1898="","",IF('02_대상물건입력'!B6="",1,IF(ISNUMBER(SEARCH('02_대상물건입력'!B6,B1898)),1,0)))</f>
        <v/>
      </c>
      <c r="P1898" s="152">
        <f>IF(L1898="","",IF('02_대상물건입력'!B15="",0,IF(ISNUMBER(SEARCH('02_대상물건입력'!B15,L1898)),1,0)))</f>
        <v/>
      </c>
      <c r="Q1898" s="152">
        <f>IF(OR(C1898="",L1898=""),0,IF(AND(TRIM(C1898)=TRIM(RIGHT(SUBSTITUTE(TRIM('02_대상물건입력'!$B$7)," ",REPT(" ",99)),99)),IF('02_대상물건입력'!B15="",TRUE(),ISNUMBER(SEARCH('02_대상물건입력'!B15,L1898)))),1,0))</f>
        <v/>
      </c>
      <c r="R1898" s="175">
        <f>IFERROR(ABS(E1898-'02_대상물건입력'!B11)/'02_대상물건입력'!B11,"")</f>
        <v/>
      </c>
      <c r="S1898" s="152">
        <f>IFERROR(ABS(J1898-'02_대상물건입력'!B10),"")</f>
        <v/>
      </c>
      <c r="T1898" s="152">
        <f>IFERROR(ABS('01_설정'!B4-F1898),"")</f>
        <v/>
      </c>
      <c r="U1898" s="152">
        <f>IFERROR(ABS(K1898-YEAR('02_대상물건입력'!B14)),"")</f>
        <v/>
      </c>
      <c r="V1898" s="152">
        <f>IF(B1898="","",IF(AND(E1898&gt;0,F1898&gt;0,H1898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1898=1,TRUE()),R1898&lt;='01_설정'!B5,S1898&lt;='01_설정'!B6,T1898&lt;='01_설정'!B7,U1898&lt;='01_설정'!B8),"Y",""))</f>
        <v/>
      </c>
      <c r="W1898" s="172">
        <f>IF(V1898&lt;&gt;"Y","",MAX(0,(1-R1898/'01_설정'!B5))*'01_설정'!B14+MAX(0,(1-S1898/'01_설정'!B6))*'01_설정'!B15+MAX(0,(1-T1898/'01_설정'!B7))*'01_설정'!B16+MAX(0,(1-U1898/'01_설정'!B8))*'01_설정'!B17+O1898*'01_설정'!B11+Q1898*'01_설정'!B12+P1898*'01_설정'!B13+IF(Z1898="",0,Z1898))</f>
        <v/>
      </c>
      <c r="X1898" s="152">
        <f>IF(W1898="","",1+COUNTIFS($W$4:$W$3003,"&gt;"&amp;W1898)+COUNTIFS($W$4:W1898,W1898)-1)</f>
        <v/>
      </c>
      <c r="Y1898" s="175">
        <f>IF(OR(I1898="",'02_대상물건입력'!B19="",'02_대상물건입력'!B19&lt;=0),"",ABS(I1898-'02_대상물건입력'!B19)/'02_대상물건입력'!B19)</f>
        <v/>
      </c>
      <c r="Z1898" s="172">
        <f>IF(OR(Y1898="",'01_설정'!B31="",'01_설정'!B31&lt;=0,'01_설정'!B32="",'01_설정'!B32&lt;=0),"",MAX(0,(1-Y1898/'01_설정'!B32))*'01_설정'!B31)</f>
        <v/>
      </c>
    </row>
    <row r="1899" ht="17.25" customHeight="1">
      <c r="A1899" s="152">
        <f>IF(INDEX('04A_국토부원자료'!$A:$A,ROW()+1)="","",ROW()-3)</f>
        <v/>
      </c>
      <c r="B1899" s="48">
        <f>IFERROR(INDEX('04A_국토부원자료'!$A:$T,ROW()+1,MATCH("시군구",'04A_국토부원자료'!$A$4:$T$4,0)),"")</f>
        <v/>
      </c>
      <c r="C1899" s="48">
        <f>IF(B1899="","",IFERROR(INDEX('04A_국토부원자료'!$A:$T,ROW()+1,MATCH("번지",'04A_국토부원자료'!$A$4:$T$4,0)),""))</f>
        <v/>
      </c>
      <c r="D1899" s="48">
        <f>IF(B1899="","",IF(Q1899=1,'02_대상물건입력'!$B$8,IFERROR(INDEX('04A_국토부원자료'!$A:$T,ROW()+1,MATCH("단지명",'04A_국토부원자료'!$A$4:$T$4,0)),"")))</f>
        <v/>
      </c>
      <c r="E1899" s="172">
        <f>IFERROR(VALUE(SUBSTITUTE(INDEX('04A_국토부원자료'!$A:$T,ROW()+1,MATCH("전용면적(㎡)",'04A_국토부원자료'!$A$4:$T$4,0)),",","")),"")</f>
        <v/>
      </c>
      <c r="F18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899" s="51">
        <f>IFERROR(VALUE(SUBSTITUTE(INDEX('04A_국토부원자료'!$A:$T,ROW()+1,MATCH("거래금액(만원)",'04A_국토부원자료'!$A$4:$T$4,0)),",","")),"")</f>
        <v/>
      </c>
      <c r="H1899" s="174">
        <f>IF(G1899="","",G1899*10000)</f>
        <v/>
      </c>
      <c r="I1899" s="174">
        <f>IFERROR(IF(AND(H1899&gt;0,E1899&gt;0),H1899/E1899,""),"")</f>
        <v/>
      </c>
      <c r="J1899" s="152">
        <f>IFERROR(VALUE(SUBSTITUTE(INDEX('04A_국토부원자료'!$A:$T,ROW()+1,MATCH("층",'04A_국토부원자료'!$A$4:$T$4,0)),",","")),"")</f>
        <v/>
      </c>
      <c r="K1899" s="152">
        <f>IFERROR(VALUE(SUBSTITUTE(INDEX('04A_국토부원자료'!$A:$T,ROW()+1,MATCH("건축년도",'04A_국토부원자료'!$A$4:$T$4,0)),",","")),"")</f>
        <v/>
      </c>
      <c r="L1899" s="48">
        <f>IFERROR(INDEX('04A_국토부원자료'!$A:$T,ROW()+1,MATCH("도로명",'04A_국토부원자료'!$A$4:$T$4,0)),"")</f>
        <v/>
      </c>
      <c r="M1899" s="48">
        <f>IFERROR(INDEX('04A_국토부원자료'!$A:$T,ROW()+1,MATCH("거래유형",'04A_국토부원자료'!$A$4:$T$4,0)),"")</f>
        <v/>
      </c>
      <c r="N1899" s="152">
        <f>IF(B1899="","",IF('02_대상물건입력'!B5="",1,IF(ISNUMBER(SEARCH('02_대상물건입력'!B5,B1899)),1,0)))</f>
        <v/>
      </c>
      <c r="O1899" s="152">
        <f>IF(B1899="","",IF('02_대상물건입력'!B6="",1,IF(ISNUMBER(SEARCH('02_대상물건입력'!B6,B1899)),1,0)))</f>
        <v/>
      </c>
      <c r="P1899" s="152">
        <f>IF(L1899="","",IF('02_대상물건입력'!B15="",0,IF(ISNUMBER(SEARCH('02_대상물건입력'!B15,L1899)),1,0)))</f>
        <v/>
      </c>
      <c r="Q1899" s="152">
        <f>IF(OR(C1899="",L1899=""),0,IF(AND(TRIM(C1899)=TRIM(RIGHT(SUBSTITUTE(TRIM('02_대상물건입력'!$B$7)," ",REPT(" ",99)),99)),IF('02_대상물건입력'!B15="",TRUE(),ISNUMBER(SEARCH('02_대상물건입력'!B15,L1899)))),1,0))</f>
        <v/>
      </c>
      <c r="R1899" s="175">
        <f>IFERROR(ABS(E1899-'02_대상물건입력'!B11)/'02_대상물건입력'!B11,"")</f>
        <v/>
      </c>
      <c r="S1899" s="152">
        <f>IFERROR(ABS(J1899-'02_대상물건입력'!B10),"")</f>
        <v/>
      </c>
      <c r="T1899" s="152">
        <f>IFERROR(ABS('01_설정'!B4-F1899),"")</f>
        <v/>
      </c>
      <c r="U1899" s="152">
        <f>IFERROR(ABS(K1899-YEAR('02_대상물건입력'!B14)),"")</f>
        <v/>
      </c>
      <c r="V1899" s="152">
        <f>IF(B1899="","",IF(AND(E1899&gt;0,F1899&gt;0,H1899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1899=1,TRUE()),R1899&lt;='01_설정'!B5,S1899&lt;='01_설정'!B6,T1899&lt;='01_설정'!B7,U1899&lt;='01_설정'!B8),"Y",""))</f>
        <v/>
      </c>
      <c r="W1899" s="172">
        <f>IF(V1899&lt;&gt;"Y","",MAX(0,(1-R1899/'01_설정'!B5))*'01_설정'!B14+MAX(0,(1-S1899/'01_설정'!B6))*'01_설정'!B15+MAX(0,(1-T1899/'01_설정'!B7))*'01_설정'!B16+MAX(0,(1-U1899/'01_설정'!B8))*'01_설정'!B17+O1899*'01_설정'!B11+Q1899*'01_설정'!B12+P1899*'01_설정'!B13+IF(Z1899="",0,Z1899))</f>
        <v/>
      </c>
      <c r="X1899" s="152">
        <f>IF(W1899="","",1+COUNTIFS($W$4:$W$3003,"&gt;"&amp;W1899)+COUNTIFS($W$4:W1899,W1899)-1)</f>
        <v/>
      </c>
      <c r="Y1899" s="175">
        <f>IF(OR(I1899="",'02_대상물건입력'!B19="",'02_대상물건입력'!B19&lt;=0),"",ABS(I1899-'02_대상물건입력'!B19)/'02_대상물건입력'!B19)</f>
        <v/>
      </c>
      <c r="Z1899" s="172">
        <f>IF(OR(Y1899="",'01_설정'!B31="",'01_설정'!B31&lt;=0,'01_설정'!B32="",'01_설정'!B32&lt;=0),"",MAX(0,(1-Y1899/'01_설정'!B32))*'01_설정'!B31)</f>
        <v/>
      </c>
    </row>
    <row r="1900" ht="17.25" customHeight="1">
      <c r="A1900" s="152">
        <f>IF(INDEX('04A_국토부원자료'!$A:$A,ROW()+1)="","",ROW()-3)</f>
        <v/>
      </c>
      <c r="B1900" s="48">
        <f>IFERROR(INDEX('04A_국토부원자료'!$A:$T,ROW()+1,MATCH("시군구",'04A_국토부원자료'!$A$4:$T$4,0)),"")</f>
        <v/>
      </c>
      <c r="C1900" s="48">
        <f>IF(B1900="","",IFERROR(INDEX('04A_국토부원자료'!$A:$T,ROW()+1,MATCH("번지",'04A_국토부원자료'!$A$4:$T$4,0)),""))</f>
        <v/>
      </c>
      <c r="D1900" s="48">
        <f>IF(B1900="","",IF(Q1900=1,'02_대상물건입력'!$B$8,IFERROR(INDEX('04A_국토부원자료'!$A:$T,ROW()+1,MATCH("단지명",'04A_국토부원자료'!$A$4:$T$4,0)),"")))</f>
        <v/>
      </c>
      <c r="E1900" s="172">
        <f>IFERROR(VALUE(SUBSTITUTE(INDEX('04A_국토부원자료'!$A:$T,ROW()+1,MATCH("전용면적(㎡)",'04A_국토부원자료'!$A$4:$T$4,0)),",","")),"")</f>
        <v/>
      </c>
      <c r="F19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00" s="51">
        <f>IFERROR(VALUE(SUBSTITUTE(INDEX('04A_국토부원자료'!$A:$T,ROW()+1,MATCH("거래금액(만원)",'04A_국토부원자료'!$A$4:$T$4,0)),",","")),"")</f>
        <v/>
      </c>
      <c r="H1900" s="174">
        <f>IF(G1900="","",G1900*10000)</f>
        <v/>
      </c>
      <c r="I1900" s="174">
        <f>IFERROR(IF(AND(H1900&gt;0,E1900&gt;0),H1900/E1900,""),"")</f>
        <v/>
      </c>
      <c r="J1900" s="152">
        <f>IFERROR(VALUE(SUBSTITUTE(INDEX('04A_국토부원자료'!$A:$T,ROW()+1,MATCH("층",'04A_국토부원자료'!$A$4:$T$4,0)),",","")),"")</f>
        <v/>
      </c>
      <c r="K1900" s="152">
        <f>IFERROR(VALUE(SUBSTITUTE(INDEX('04A_국토부원자료'!$A:$T,ROW()+1,MATCH("건축년도",'04A_국토부원자료'!$A$4:$T$4,0)),",","")),"")</f>
        <v/>
      </c>
      <c r="L1900" s="48">
        <f>IFERROR(INDEX('04A_국토부원자료'!$A:$T,ROW()+1,MATCH("도로명",'04A_국토부원자료'!$A$4:$T$4,0)),"")</f>
        <v/>
      </c>
      <c r="M1900" s="48">
        <f>IFERROR(INDEX('04A_국토부원자료'!$A:$T,ROW()+1,MATCH("거래유형",'04A_국토부원자료'!$A$4:$T$4,0)),"")</f>
        <v/>
      </c>
      <c r="N1900" s="152">
        <f>IF(B1900="","",IF('02_대상물건입력'!B5="",1,IF(ISNUMBER(SEARCH('02_대상물건입력'!B5,B1900)),1,0)))</f>
        <v/>
      </c>
      <c r="O1900" s="152">
        <f>IF(B1900="","",IF('02_대상물건입력'!B6="",1,IF(ISNUMBER(SEARCH('02_대상물건입력'!B6,B1900)),1,0)))</f>
        <v/>
      </c>
      <c r="P1900" s="152">
        <f>IF(L1900="","",IF('02_대상물건입력'!B15="",0,IF(ISNUMBER(SEARCH('02_대상물건입력'!B15,L1900)),1,0)))</f>
        <v/>
      </c>
      <c r="Q1900" s="152">
        <f>IF(OR(C1900="",L1900=""),0,IF(AND(TRIM(C1900)=TRIM(RIGHT(SUBSTITUTE(TRIM('02_대상물건입력'!$B$7)," ",REPT(" ",99)),99)),IF('02_대상물건입력'!B15="",TRUE(),ISNUMBER(SEARCH('02_대상물건입력'!B15,L1900)))),1,0))</f>
        <v/>
      </c>
      <c r="R1900" s="175">
        <f>IFERROR(ABS(E1900-'02_대상물건입력'!B11)/'02_대상물건입력'!B11,"")</f>
        <v/>
      </c>
      <c r="S1900" s="152">
        <f>IFERROR(ABS(J1900-'02_대상물건입력'!B10),"")</f>
        <v/>
      </c>
      <c r="T1900" s="152">
        <f>IFERROR(ABS('01_설정'!B4-F1900),"")</f>
        <v/>
      </c>
      <c r="U1900" s="152">
        <f>IFERROR(ABS(K1900-YEAR('02_대상물건입력'!B14)),"")</f>
        <v/>
      </c>
      <c r="V1900" s="152">
        <f>IF(B1900="","",IF(AND(E1900&gt;0,F1900&gt;0,H1900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1900=1,TRUE()),R1900&lt;='01_설정'!B5,S1900&lt;='01_설정'!B6,T1900&lt;='01_설정'!B7,U1900&lt;='01_설정'!B8),"Y",""))</f>
        <v/>
      </c>
      <c r="W1900" s="172">
        <f>IF(V1900&lt;&gt;"Y","",MAX(0,(1-R1900/'01_설정'!B5))*'01_설정'!B14+MAX(0,(1-S1900/'01_설정'!B6))*'01_설정'!B15+MAX(0,(1-T1900/'01_설정'!B7))*'01_설정'!B16+MAX(0,(1-U1900/'01_설정'!B8))*'01_설정'!B17+O1900*'01_설정'!B11+Q1900*'01_설정'!B12+P1900*'01_설정'!B13+IF(Z1900="",0,Z1900))</f>
        <v/>
      </c>
      <c r="X1900" s="152">
        <f>IF(W1900="","",1+COUNTIFS($W$4:$W$3003,"&gt;"&amp;W1900)+COUNTIFS($W$4:W1900,W1900)-1)</f>
        <v/>
      </c>
      <c r="Y1900" s="175">
        <f>IF(OR(I1900="",'02_대상물건입력'!B19="",'02_대상물건입력'!B19&lt;=0),"",ABS(I1900-'02_대상물건입력'!B19)/'02_대상물건입력'!B19)</f>
        <v/>
      </c>
      <c r="Z1900" s="172">
        <f>IF(OR(Y1900="",'01_설정'!B31="",'01_설정'!B31&lt;=0,'01_설정'!B32="",'01_설정'!B32&lt;=0),"",MAX(0,(1-Y1900/'01_설정'!B32))*'01_설정'!B31)</f>
        <v/>
      </c>
    </row>
    <row r="1901" ht="17.25" customHeight="1">
      <c r="A1901" s="152">
        <f>IF(INDEX('04A_국토부원자료'!$A:$A,ROW()+1)="","",ROW()-3)</f>
        <v/>
      </c>
      <c r="B1901" s="48">
        <f>IFERROR(INDEX('04A_국토부원자료'!$A:$T,ROW()+1,MATCH("시군구",'04A_국토부원자료'!$A$4:$T$4,0)),"")</f>
        <v/>
      </c>
      <c r="C1901" s="48">
        <f>IF(B1901="","",IFERROR(INDEX('04A_국토부원자료'!$A:$T,ROW()+1,MATCH("번지",'04A_국토부원자료'!$A$4:$T$4,0)),""))</f>
        <v/>
      </c>
      <c r="D1901" s="48">
        <f>IF(B1901="","",IF(Q1901=1,'02_대상물건입력'!$B$8,IFERROR(INDEX('04A_국토부원자료'!$A:$T,ROW()+1,MATCH("단지명",'04A_국토부원자료'!$A$4:$T$4,0)),"")))</f>
        <v/>
      </c>
      <c r="E1901" s="172">
        <f>IFERROR(VALUE(SUBSTITUTE(INDEX('04A_국토부원자료'!$A:$T,ROW()+1,MATCH("전용면적(㎡)",'04A_국토부원자료'!$A$4:$T$4,0)),",","")),"")</f>
        <v/>
      </c>
      <c r="F19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01" s="51">
        <f>IFERROR(VALUE(SUBSTITUTE(INDEX('04A_국토부원자료'!$A:$T,ROW()+1,MATCH("거래금액(만원)",'04A_국토부원자료'!$A$4:$T$4,0)),",","")),"")</f>
        <v/>
      </c>
      <c r="H1901" s="174">
        <f>IF(G1901="","",G1901*10000)</f>
        <v/>
      </c>
      <c r="I1901" s="174">
        <f>IFERROR(IF(AND(H1901&gt;0,E1901&gt;0),H1901/E1901,""),"")</f>
        <v/>
      </c>
      <c r="J1901" s="152">
        <f>IFERROR(VALUE(SUBSTITUTE(INDEX('04A_국토부원자료'!$A:$T,ROW()+1,MATCH("층",'04A_국토부원자료'!$A$4:$T$4,0)),",","")),"")</f>
        <v/>
      </c>
      <c r="K1901" s="152">
        <f>IFERROR(VALUE(SUBSTITUTE(INDEX('04A_국토부원자료'!$A:$T,ROW()+1,MATCH("건축년도",'04A_국토부원자료'!$A$4:$T$4,0)),",","")),"")</f>
        <v/>
      </c>
      <c r="L1901" s="48">
        <f>IFERROR(INDEX('04A_국토부원자료'!$A:$T,ROW()+1,MATCH("도로명",'04A_국토부원자료'!$A$4:$T$4,0)),"")</f>
        <v/>
      </c>
      <c r="M1901" s="48">
        <f>IFERROR(INDEX('04A_국토부원자료'!$A:$T,ROW()+1,MATCH("거래유형",'04A_국토부원자료'!$A$4:$T$4,0)),"")</f>
        <v/>
      </c>
      <c r="N1901" s="152">
        <f>IF(B1901="","",IF('02_대상물건입력'!B5="",1,IF(ISNUMBER(SEARCH('02_대상물건입력'!B5,B1901)),1,0)))</f>
        <v/>
      </c>
      <c r="O1901" s="152">
        <f>IF(B1901="","",IF('02_대상물건입력'!B6="",1,IF(ISNUMBER(SEARCH('02_대상물건입력'!B6,B1901)),1,0)))</f>
        <v/>
      </c>
      <c r="P1901" s="152">
        <f>IF(L1901="","",IF('02_대상물건입력'!B15="",0,IF(ISNUMBER(SEARCH('02_대상물건입력'!B15,L1901)),1,0)))</f>
        <v/>
      </c>
      <c r="Q1901" s="152">
        <f>IF(OR(C1901="",L1901=""),0,IF(AND(TRIM(C1901)=TRIM(RIGHT(SUBSTITUTE(TRIM('02_대상물건입력'!$B$7)," ",REPT(" ",99)),99)),IF('02_대상물건입력'!B15="",TRUE(),ISNUMBER(SEARCH('02_대상물건입력'!B15,L1901)))),1,0))</f>
        <v/>
      </c>
      <c r="R1901" s="175">
        <f>IFERROR(ABS(E1901-'02_대상물건입력'!B11)/'02_대상물건입력'!B11,"")</f>
        <v/>
      </c>
      <c r="S1901" s="152">
        <f>IFERROR(ABS(J1901-'02_대상물건입력'!B10),"")</f>
        <v/>
      </c>
      <c r="T1901" s="152">
        <f>IFERROR(ABS('01_설정'!B4-F1901),"")</f>
        <v/>
      </c>
      <c r="U1901" s="152">
        <f>IFERROR(ABS(K1901-YEAR('02_대상물건입력'!B14)),"")</f>
        <v/>
      </c>
      <c r="V1901" s="152">
        <f>IF(B1901="","",IF(AND(E1901&gt;0,F1901&gt;0,H1901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1901=1,TRUE()),R1901&lt;='01_설정'!B5,S1901&lt;='01_설정'!B6,T1901&lt;='01_설정'!B7,U1901&lt;='01_설정'!B8),"Y",""))</f>
        <v/>
      </c>
      <c r="W1901" s="172">
        <f>IF(V1901&lt;&gt;"Y","",MAX(0,(1-R1901/'01_설정'!B5))*'01_설정'!B14+MAX(0,(1-S1901/'01_설정'!B6))*'01_설정'!B15+MAX(0,(1-T1901/'01_설정'!B7))*'01_설정'!B16+MAX(0,(1-U1901/'01_설정'!B8))*'01_설정'!B17+O1901*'01_설정'!B11+Q1901*'01_설정'!B12+P1901*'01_설정'!B13+IF(Z1901="",0,Z1901))</f>
        <v/>
      </c>
      <c r="X1901" s="152">
        <f>IF(W1901="","",1+COUNTIFS($W$4:$W$3003,"&gt;"&amp;W1901)+COUNTIFS($W$4:W1901,W1901)-1)</f>
        <v/>
      </c>
      <c r="Y1901" s="175">
        <f>IF(OR(I1901="",'02_대상물건입력'!B19="",'02_대상물건입력'!B19&lt;=0),"",ABS(I1901-'02_대상물건입력'!B19)/'02_대상물건입력'!B19)</f>
        <v/>
      </c>
      <c r="Z1901" s="172">
        <f>IF(OR(Y1901="",'01_설정'!B31="",'01_설정'!B31&lt;=0,'01_설정'!B32="",'01_설정'!B32&lt;=0),"",MAX(0,(1-Y1901/'01_설정'!B32))*'01_설정'!B31)</f>
        <v/>
      </c>
    </row>
    <row r="1902" ht="17.25" customHeight="1">
      <c r="A1902" s="152">
        <f>IF(INDEX('04A_국토부원자료'!$A:$A,ROW()+1)="","",ROW()-3)</f>
        <v/>
      </c>
      <c r="B1902" s="48">
        <f>IFERROR(INDEX('04A_국토부원자료'!$A:$T,ROW()+1,MATCH("시군구",'04A_국토부원자료'!$A$4:$T$4,0)),"")</f>
        <v/>
      </c>
      <c r="C1902" s="48">
        <f>IF(B1902="","",IFERROR(INDEX('04A_국토부원자료'!$A:$T,ROW()+1,MATCH("번지",'04A_국토부원자료'!$A$4:$T$4,0)),""))</f>
        <v/>
      </c>
      <c r="D1902" s="48">
        <f>IF(B1902="","",IF(Q1902=1,'02_대상물건입력'!$B$8,IFERROR(INDEX('04A_국토부원자료'!$A:$T,ROW()+1,MATCH("단지명",'04A_국토부원자료'!$A$4:$T$4,0)),"")))</f>
        <v/>
      </c>
      <c r="E1902" s="172">
        <f>IFERROR(VALUE(SUBSTITUTE(INDEX('04A_국토부원자료'!$A:$T,ROW()+1,MATCH("전용면적(㎡)",'04A_국토부원자료'!$A$4:$T$4,0)),",","")),"")</f>
        <v/>
      </c>
      <c r="F19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02" s="51">
        <f>IFERROR(VALUE(SUBSTITUTE(INDEX('04A_국토부원자료'!$A:$T,ROW()+1,MATCH("거래금액(만원)",'04A_국토부원자료'!$A$4:$T$4,0)),",","")),"")</f>
        <v/>
      </c>
      <c r="H1902" s="174">
        <f>IF(G1902="","",G1902*10000)</f>
        <v/>
      </c>
      <c r="I1902" s="174">
        <f>IFERROR(IF(AND(H1902&gt;0,E1902&gt;0),H1902/E1902,""),"")</f>
        <v/>
      </c>
      <c r="J1902" s="152">
        <f>IFERROR(VALUE(SUBSTITUTE(INDEX('04A_국토부원자료'!$A:$T,ROW()+1,MATCH("층",'04A_국토부원자료'!$A$4:$T$4,0)),",","")),"")</f>
        <v/>
      </c>
      <c r="K1902" s="152">
        <f>IFERROR(VALUE(SUBSTITUTE(INDEX('04A_국토부원자료'!$A:$T,ROW()+1,MATCH("건축년도",'04A_국토부원자료'!$A$4:$T$4,0)),",","")),"")</f>
        <v/>
      </c>
      <c r="L1902" s="48">
        <f>IFERROR(INDEX('04A_국토부원자료'!$A:$T,ROW()+1,MATCH("도로명",'04A_국토부원자료'!$A$4:$T$4,0)),"")</f>
        <v/>
      </c>
      <c r="M1902" s="48">
        <f>IFERROR(INDEX('04A_국토부원자료'!$A:$T,ROW()+1,MATCH("거래유형",'04A_국토부원자료'!$A$4:$T$4,0)),"")</f>
        <v/>
      </c>
      <c r="N1902" s="152">
        <f>IF(B1902="","",IF('02_대상물건입력'!B5="",1,IF(ISNUMBER(SEARCH('02_대상물건입력'!B5,B1902)),1,0)))</f>
        <v/>
      </c>
      <c r="O1902" s="152">
        <f>IF(B1902="","",IF('02_대상물건입력'!B6="",1,IF(ISNUMBER(SEARCH('02_대상물건입력'!B6,B1902)),1,0)))</f>
        <v/>
      </c>
      <c r="P1902" s="152">
        <f>IF(L1902="","",IF('02_대상물건입력'!B15="",0,IF(ISNUMBER(SEARCH('02_대상물건입력'!B15,L1902)),1,0)))</f>
        <v/>
      </c>
      <c r="Q1902" s="152">
        <f>IF(OR(C1902="",L1902=""),0,IF(AND(TRIM(C1902)=TRIM(RIGHT(SUBSTITUTE(TRIM('02_대상물건입력'!$B$7)," ",REPT(" ",99)),99)),IF('02_대상물건입력'!B15="",TRUE(),ISNUMBER(SEARCH('02_대상물건입력'!B15,L1902)))),1,0))</f>
        <v/>
      </c>
      <c r="R1902" s="175">
        <f>IFERROR(ABS(E1902-'02_대상물건입력'!B11)/'02_대상물건입력'!B11,"")</f>
        <v/>
      </c>
      <c r="S1902" s="152">
        <f>IFERROR(ABS(J1902-'02_대상물건입력'!B10),"")</f>
        <v/>
      </c>
      <c r="T1902" s="152">
        <f>IFERROR(ABS('01_설정'!B4-F1902),"")</f>
        <v/>
      </c>
      <c r="U1902" s="152">
        <f>IFERROR(ABS(K1902-YEAR('02_대상물건입력'!B14)),"")</f>
        <v/>
      </c>
      <c r="V1902" s="152">
        <f>IF(B1902="","",IF(AND(E1902&gt;0,F1902&gt;0,H1902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1902=1,TRUE()),R1902&lt;='01_설정'!B5,S1902&lt;='01_설정'!B6,T1902&lt;='01_설정'!B7,U1902&lt;='01_설정'!B8),"Y",""))</f>
        <v/>
      </c>
      <c r="W1902" s="172">
        <f>IF(V1902&lt;&gt;"Y","",MAX(0,(1-R1902/'01_설정'!B5))*'01_설정'!B14+MAX(0,(1-S1902/'01_설정'!B6))*'01_설정'!B15+MAX(0,(1-T1902/'01_설정'!B7))*'01_설정'!B16+MAX(0,(1-U1902/'01_설정'!B8))*'01_설정'!B17+O1902*'01_설정'!B11+Q1902*'01_설정'!B12+P1902*'01_설정'!B13+IF(Z1902="",0,Z1902))</f>
        <v/>
      </c>
      <c r="X1902" s="152">
        <f>IF(W1902="","",1+COUNTIFS($W$4:$W$3003,"&gt;"&amp;W1902)+COUNTIFS($W$4:W1902,W1902)-1)</f>
        <v/>
      </c>
      <c r="Y1902" s="175">
        <f>IF(OR(I1902="",'02_대상물건입력'!B19="",'02_대상물건입력'!B19&lt;=0),"",ABS(I1902-'02_대상물건입력'!B19)/'02_대상물건입력'!B19)</f>
        <v/>
      </c>
      <c r="Z1902" s="172">
        <f>IF(OR(Y1902="",'01_설정'!B31="",'01_설정'!B31&lt;=0,'01_설정'!B32="",'01_설정'!B32&lt;=0),"",MAX(0,(1-Y1902/'01_설정'!B32))*'01_설정'!B31)</f>
        <v/>
      </c>
    </row>
    <row r="1903" ht="17.25" customHeight="1">
      <c r="A1903" s="152">
        <f>IF(INDEX('04A_국토부원자료'!$A:$A,ROW()+1)="","",ROW()-3)</f>
        <v/>
      </c>
      <c r="B1903" s="48">
        <f>IFERROR(INDEX('04A_국토부원자료'!$A:$T,ROW()+1,MATCH("시군구",'04A_국토부원자료'!$A$4:$T$4,0)),"")</f>
        <v/>
      </c>
      <c r="C1903" s="48">
        <f>IF(B1903="","",IFERROR(INDEX('04A_국토부원자료'!$A:$T,ROW()+1,MATCH("번지",'04A_국토부원자료'!$A$4:$T$4,0)),""))</f>
        <v/>
      </c>
      <c r="D1903" s="48">
        <f>IF(B1903="","",IF(Q1903=1,'02_대상물건입력'!$B$8,IFERROR(INDEX('04A_국토부원자료'!$A:$T,ROW()+1,MATCH("단지명",'04A_국토부원자료'!$A$4:$T$4,0)),"")))</f>
        <v/>
      </c>
      <c r="E1903" s="172">
        <f>IFERROR(VALUE(SUBSTITUTE(INDEX('04A_국토부원자료'!$A:$T,ROW()+1,MATCH("전용면적(㎡)",'04A_국토부원자료'!$A$4:$T$4,0)),",","")),"")</f>
        <v/>
      </c>
      <c r="F19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03" s="51">
        <f>IFERROR(VALUE(SUBSTITUTE(INDEX('04A_국토부원자료'!$A:$T,ROW()+1,MATCH("거래금액(만원)",'04A_국토부원자료'!$A$4:$T$4,0)),",","")),"")</f>
        <v/>
      </c>
      <c r="H1903" s="174">
        <f>IF(G1903="","",G1903*10000)</f>
        <v/>
      </c>
      <c r="I1903" s="174">
        <f>IFERROR(IF(AND(H1903&gt;0,E1903&gt;0),H1903/E1903,""),"")</f>
        <v/>
      </c>
      <c r="J1903" s="152">
        <f>IFERROR(VALUE(SUBSTITUTE(INDEX('04A_국토부원자료'!$A:$T,ROW()+1,MATCH("층",'04A_국토부원자료'!$A$4:$T$4,0)),",","")),"")</f>
        <v/>
      </c>
      <c r="K1903" s="152">
        <f>IFERROR(VALUE(SUBSTITUTE(INDEX('04A_국토부원자료'!$A:$T,ROW()+1,MATCH("건축년도",'04A_국토부원자료'!$A$4:$T$4,0)),",","")),"")</f>
        <v/>
      </c>
      <c r="L1903" s="48">
        <f>IFERROR(INDEX('04A_국토부원자료'!$A:$T,ROW()+1,MATCH("도로명",'04A_국토부원자료'!$A$4:$T$4,0)),"")</f>
        <v/>
      </c>
      <c r="M1903" s="48">
        <f>IFERROR(INDEX('04A_국토부원자료'!$A:$T,ROW()+1,MATCH("거래유형",'04A_국토부원자료'!$A$4:$T$4,0)),"")</f>
        <v/>
      </c>
      <c r="N1903" s="152">
        <f>IF(B1903="","",IF('02_대상물건입력'!B5="",1,IF(ISNUMBER(SEARCH('02_대상물건입력'!B5,B1903)),1,0)))</f>
        <v/>
      </c>
      <c r="O1903" s="152">
        <f>IF(B1903="","",IF('02_대상물건입력'!B6="",1,IF(ISNUMBER(SEARCH('02_대상물건입력'!B6,B1903)),1,0)))</f>
        <v/>
      </c>
      <c r="P1903" s="152">
        <f>IF(L1903="","",IF('02_대상물건입력'!B15="",0,IF(ISNUMBER(SEARCH('02_대상물건입력'!B15,L1903)),1,0)))</f>
        <v/>
      </c>
      <c r="Q1903" s="152">
        <f>IF(OR(C1903="",L1903=""),0,IF(AND(TRIM(C1903)=TRIM(RIGHT(SUBSTITUTE(TRIM('02_대상물건입력'!$B$7)," ",REPT(" ",99)),99)),IF('02_대상물건입력'!B15="",TRUE(),ISNUMBER(SEARCH('02_대상물건입력'!B15,L1903)))),1,0))</f>
        <v/>
      </c>
      <c r="R1903" s="175">
        <f>IFERROR(ABS(E1903-'02_대상물건입력'!B11)/'02_대상물건입력'!B11,"")</f>
        <v/>
      </c>
      <c r="S1903" s="152">
        <f>IFERROR(ABS(J1903-'02_대상물건입력'!B10),"")</f>
        <v/>
      </c>
      <c r="T1903" s="152">
        <f>IFERROR(ABS('01_설정'!B4-F1903),"")</f>
        <v/>
      </c>
      <c r="U1903" s="152">
        <f>IFERROR(ABS(K1903-YEAR('02_대상물건입력'!B14)),"")</f>
        <v/>
      </c>
      <c r="V1903" s="152">
        <f>IF(B1903="","",IF(AND(E1903&gt;0,F1903&gt;0,H1903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1903=1,TRUE()),R1903&lt;='01_설정'!B5,S1903&lt;='01_설정'!B6,T1903&lt;='01_설정'!B7,U1903&lt;='01_설정'!B8),"Y",""))</f>
        <v/>
      </c>
      <c r="W1903" s="172">
        <f>IF(V1903&lt;&gt;"Y","",MAX(0,(1-R1903/'01_설정'!B5))*'01_설정'!B14+MAX(0,(1-S1903/'01_설정'!B6))*'01_설정'!B15+MAX(0,(1-T1903/'01_설정'!B7))*'01_설정'!B16+MAX(0,(1-U1903/'01_설정'!B8))*'01_설정'!B17+O1903*'01_설정'!B11+Q1903*'01_설정'!B12+P1903*'01_설정'!B13+IF(Z1903="",0,Z1903))</f>
        <v/>
      </c>
      <c r="X1903" s="152">
        <f>IF(W1903="","",1+COUNTIFS($W$4:$W$3003,"&gt;"&amp;W1903)+COUNTIFS($W$4:W1903,W1903)-1)</f>
        <v/>
      </c>
      <c r="Y1903" s="175">
        <f>IF(OR(I1903="",'02_대상물건입력'!B19="",'02_대상물건입력'!B19&lt;=0),"",ABS(I1903-'02_대상물건입력'!B19)/'02_대상물건입력'!B19)</f>
        <v/>
      </c>
      <c r="Z1903" s="172">
        <f>IF(OR(Y1903="",'01_설정'!B31="",'01_설정'!B31&lt;=0,'01_설정'!B32="",'01_설정'!B32&lt;=0),"",MAX(0,(1-Y1903/'01_설정'!B32))*'01_설정'!B31)</f>
        <v/>
      </c>
    </row>
    <row r="1904" ht="17.25" customHeight="1">
      <c r="A1904" s="152">
        <f>IF(INDEX('04A_국토부원자료'!$A:$A,ROW()+1)="","",ROW()-3)</f>
        <v/>
      </c>
      <c r="B1904" s="48">
        <f>IFERROR(INDEX('04A_국토부원자료'!$A:$T,ROW()+1,MATCH("시군구",'04A_국토부원자료'!$A$4:$T$4,0)),"")</f>
        <v/>
      </c>
      <c r="C1904" s="48">
        <f>IF(B1904="","",IFERROR(INDEX('04A_국토부원자료'!$A:$T,ROW()+1,MATCH("번지",'04A_국토부원자료'!$A$4:$T$4,0)),""))</f>
        <v/>
      </c>
      <c r="D1904" s="48">
        <f>IF(B1904="","",IF(Q1904=1,'02_대상물건입력'!$B$8,IFERROR(INDEX('04A_국토부원자료'!$A:$T,ROW()+1,MATCH("단지명",'04A_국토부원자료'!$A$4:$T$4,0)),"")))</f>
        <v/>
      </c>
      <c r="E1904" s="172">
        <f>IFERROR(VALUE(SUBSTITUTE(INDEX('04A_국토부원자료'!$A:$T,ROW()+1,MATCH("전용면적(㎡)",'04A_국토부원자료'!$A$4:$T$4,0)),",","")),"")</f>
        <v/>
      </c>
      <c r="F19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04" s="51">
        <f>IFERROR(VALUE(SUBSTITUTE(INDEX('04A_국토부원자료'!$A:$T,ROW()+1,MATCH("거래금액(만원)",'04A_국토부원자료'!$A$4:$T$4,0)),",","")),"")</f>
        <v/>
      </c>
      <c r="H1904" s="174">
        <f>IF(G1904="","",G1904*10000)</f>
        <v/>
      </c>
      <c r="I1904" s="174">
        <f>IFERROR(IF(AND(H1904&gt;0,E1904&gt;0),H1904/E1904,""),"")</f>
        <v/>
      </c>
      <c r="J1904" s="152">
        <f>IFERROR(VALUE(SUBSTITUTE(INDEX('04A_국토부원자료'!$A:$T,ROW()+1,MATCH("층",'04A_국토부원자료'!$A$4:$T$4,0)),",","")),"")</f>
        <v/>
      </c>
      <c r="K1904" s="152">
        <f>IFERROR(VALUE(SUBSTITUTE(INDEX('04A_국토부원자료'!$A:$T,ROW()+1,MATCH("건축년도",'04A_국토부원자료'!$A$4:$T$4,0)),",","")),"")</f>
        <v/>
      </c>
      <c r="L1904" s="48">
        <f>IFERROR(INDEX('04A_국토부원자료'!$A:$T,ROW()+1,MATCH("도로명",'04A_국토부원자료'!$A$4:$T$4,0)),"")</f>
        <v/>
      </c>
      <c r="M1904" s="48">
        <f>IFERROR(INDEX('04A_국토부원자료'!$A:$T,ROW()+1,MATCH("거래유형",'04A_국토부원자료'!$A$4:$T$4,0)),"")</f>
        <v/>
      </c>
      <c r="N1904" s="152">
        <f>IF(B1904="","",IF('02_대상물건입력'!B5="",1,IF(ISNUMBER(SEARCH('02_대상물건입력'!B5,B1904)),1,0)))</f>
        <v/>
      </c>
      <c r="O1904" s="152">
        <f>IF(B1904="","",IF('02_대상물건입력'!B6="",1,IF(ISNUMBER(SEARCH('02_대상물건입력'!B6,B1904)),1,0)))</f>
        <v/>
      </c>
      <c r="P1904" s="152">
        <f>IF(L1904="","",IF('02_대상물건입력'!B15="",0,IF(ISNUMBER(SEARCH('02_대상물건입력'!B15,L1904)),1,0)))</f>
        <v/>
      </c>
      <c r="Q1904" s="152">
        <f>IF(OR(C1904="",L1904=""),0,IF(AND(TRIM(C1904)=TRIM(RIGHT(SUBSTITUTE(TRIM('02_대상물건입력'!$B$7)," ",REPT(" ",99)),99)),IF('02_대상물건입력'!B15="",TRUE(),ISNUMBER(SEARCH('02_대상물건입력'!B15,L1904)))),1,0))</f>
        <v/>
      </c>
      <c r="R1904" s="175">
        <f>IFERROR(ABS(E1904-'02_대상물건입력'!B11)/'02_대상물건입력'!B11,"")</f>
        <v/>
      </c>
      <c r="S1904" s="152">
        <f>IFERROR(ABS(J1904-'02_대상물건입력'!B10),"")</f>
        <v/>
      </c>
      <c r="T1904" s="152">
        <f>IFERROR(ABS('01_설정'!B4-F1904),"")</f>
        <v/>
      </c>
      <c r="U1904" s="152">
        <f>IFERROR(ABS(K1904-YEAR('02_대상물건입력'!B14)),"")</f>
        <v/>
      </c>
      <c r="V1904" s="152">
        <f>IF(B1904="","",IF(AND(E1904&gt;0,F1904&gt;0,H1904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1904=1,TRUE()),R1904&lt;='01_설정'!B5,S1904&lt;='01_설정'!B6,T1904&lt;='01_설정'!B7,U1904&lt;='01_설정'!B8),"Y",""))</f>
        <v/>
      </c>
      <c r="W1904" s="172">
        <f>IF(V1904&lt;&gt;"Y","",MAX(0,(1-R1904/'01_설정'!B5))*'01_설정'!B14+MAX(0,(1-S1904/'01_설정'!B6))*'01_설정'!B15+MAX(0,(1-T1904/'01_설정'!B7))*'01_설정'!B16+MAX(0,(1-U1904/'01_설정'!B8))*'01_설정'!B17+O1904*'01_설정'!B11+Q1904*'01_설정'!B12+P1904*'01_설정'!B13+IF(Z1904="",0,Z1904))</f>
        <v/>
      </c>
      <c r="X1904" s="152">
        <f>IF(W1904="","",1+COUNTIFS($W$4:$W$3003,"&gt;"&amp;W1904)+COUNTIFS($W$4:W1904,W1904)-1)</f>
        <v/>
      </c>
      <c r="Y1904" s="175">
        <f>IF(OR(I1904="",'02_대상물건입력'!B19="",'02_대상물건입력'!B19&lt;=0),"",ABS(I1904-'02_대상물건입력'!B19)/'02_대상물건입력'!B19)</f>
        <v/>
      </c>
      <c r="Z1904" s="172">
        <f>IF(OR(Y1904="",'01_설정'!B31="",'01_설정'!B31&lt;=0,'01_설정'!B32="",'01_설정'!B32&lt;=0),"",MAX(0,(1-Y1904/'01_설정'!B32))*'01_설정'!B31)</f>
        <v/>
      </c>
    </row>
    <row r="1905" ht="17.25" customHeight="1">
      <c r="A1905" s="152">
        <f>IF(INDEX('04A_국토부원자료'!$A:$A,ROW()+1)="","",ROW()-3)</f>
        <v/>
      </c>
      <c r="B1905" s="48">
        <f>IFERROR(INDEX('04A_국토부원자료'!$A:$T,ROW()+1,MATCH("시군구",'04A_국토부원자료'!$A$4:$T$4,0)),"")</f>
        <v/>
      </c>
      <c r="C1905" s="48">
        <f>IF(B1905="","",IFERROR(INDEX('04A_국토부원자료'!$A:$T,ROW()+1,MATCH("번지",'04A_국토부원자료'!$A$4:$T$4,0)),""))</f>
        <v/>
      </c>
      <c r="D1905" s="48">
        <f>IF(B1905="","",IF(Q1905=1,'02_대상물건입력'!$B$8,IFERROR(INDEX('04A_국토부원자료'!$A:$T,ROW()+1,MATCH("단지명",'04A_국토부원자료'!$A$4:$T$4,0)),"")))</f>
        <v/>
      </c>
      <c r="E1905" s="172">
        <f>IFERROR(VALUE(SUBSTITUTE(INDEX('04A_국토부원자료'!$A:$T,ROW()+1,MATCH("전용면적(㎡)",'04A_국토부원자료'!$A$4:$T$4,0)),",","")),"")</f>
        <v/>
      </c>
      <c r="F19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05" s="51">
        <f>IFERROR(VALUE(SUBSTITUTE(INDEX('04A_국토부원자료'!$A:$T,ROW()+1,MATCH("거래금액(만원)",'04A_국토부원자료'!$A$4:$T$4,0)),",","")),"")</f>
        <v/>
      </c>
      <c r="H1905" s="174">
        <f>IF(G1905="","",G1905*10000)</f>
        <v/>
      </c>
      <c r="I1905" s="174">
        <f>IFERROR(IF(AND(H1905&gt;0,E1905&gt;0),H1905/E1905,""),"")</f>
        <v/>
      </c>
      <c r="J1905" s="152">
        <f>IFERROR(VALUE(SUBSTITUTE(INDEX('04A_국토부원자료'!$A:$T,ROW()+1,MATCH("층",'04A_국토부원자료'!$A$4:$T$4,0)),",","")),"")</f>
        <v/>
      </c>
      <c r="K1905" s="152">
        <f>IFERROR(VALUE(SUBSTITUTE(INDEX('04A_국토부원자료'!$A:$T,ROW()+1,MATCH("건축년도",'04A_국토부원자료'!$A$4:$T$4,0)),",","")),"")</f>
        <v/>
      </c>
      <c r="L1905" s="48">
        <f>IFERROR(INDEX('04A_국토부원자료'!$A:$T,ROW()+1,MATCH("도로명",'04A_국토부원자료'!$A$4:$T$4,0)),"")</f>
        <v/>
      </c>
      <c r="M1905" s="48">
        <f>IFERROR(INDEX('04A_국토부원자료'!$A:$T,ROW()+1,MATCH("거래유형",'04A_국토부원자료'!$A$4:$T$4,0)),"")</f>
        <v/>
      </c>
      <c r="N1905" s="152">
        <f>IF(B1905="","",IF('02_대상물건입력'!B5="",1,IF(ISNUMBER(SEARCH('02_대상물건입력'!B5,B1905)),1,0)))</f>
        <v/>
      </c>
      <c r="O1905" s="152">
        <f>IF(B1905="","",IF('02_대상물건입력'!B6="",1,IF(ISNUMBER(SEARCH('02_대상물건입력'!B6,B1905)),1,0)))</f>
        <v/>
      </c>
      <c r="P1905" s="152">
        <f>IF(L1905="","",IF('02_대상물건입력'!B15="",0,IF(ISNUMBER(SEARCH('02_대상물건입력'!B15,L1905)),1,0)))</f>
        <v/>
      </c>
      <c r="Q1905" s="152">
        <f>IF(OR(C1905="",L1905=""),0,IF(AND(TRIM(C1905)=TRIM(RIGHT(SUBSTITUTE(TRIM('02_대상물건입력'!$B$7)," ",REPT(" ",99)),99)),IF('02_대상물건입력'!B15="",TRUE(),ISNUMBER(SEARCH('02_대상물건입력'!B15,L1905)))),1,0))</f>
        <v/>
      </c>
      <c r="R1905" s="175">
        <f>IFERROR(ABS(E1905-'02_대상물건입력'!B11)/'02_대상물건입력'!B11,"")</f>
        <v/>
      </c>
      <c r="S1905" s="152">
        <f>IFERROR(ABS(J1905-'02_대상물건입력'!B10),"")</f>
        <v/>
      </c>
      <c r="T1905" s="152">
        <f>IFERROR(ABS('01_설정'!B4-F1905),"")</f>
        <v/>
      </c>
      <c r="U1905" s="152">
        <f>IFERROR(ABS(K1905-YEAR('02_대상물건입력'!B14)),"")</f>
        <v/>
      </c>
      <c r="V1905" s="152">
        <f>IF(B1905="","",IF(AND(E1905&gt;0,F1905&gt;0,H1905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1905=1,TRUE()),R1905&lt;='01_설정'!B5,S1905&lt;='01_설정'!B6,T1905&lt;='01_설정'!B7,U1905&lt;='01_설정'!B8),"Y",""))</f>
        <v/>
      </c>
      <c r="W1905" s="172">
        <f>IF(V1905&lt;&gt;"Y","",MAX(0,(1-R1905/'01_설정'!B5))*'01_설정'!B14+MAX(0,(1-S1905/'01_설정'!B6))*'01_설정'!B15+MAX(0,(1-T1905/'01_설정'!B7))*'01_설정'!B16+MAX(0,(1-U1905/'01_설정'!B8))*'01_설정'!B17+O1905*'01_설정'!B11+Q1905*'01_설정'!B12+P1905*'01_설정'!B13+IF(Z1905="",0,Z1905))</f>
        <v/>
      </c>
      <c r="X1905" s="152">
        <f>IF(W1905="","",1+COUNTIFS($W$4:$W$3003,"&gt;"&amp;W1905)+COUNTIFS($W$4:W1905,W1905)-1)</f>
        <v/>
      </c>
      <c r="Y1905" s="175">
        <f>IF(OR(I1905="",'02_대상물건입력'!B19="",'02_대상물건입력'!B19&lt;=0),"",ABS(I1905-'02_대상물건입력'!B19)/'02_대상물건입력'!B19)</f>
        <v/>
      </c>
      <c r="Z1905" s="172">
        <f>IF(OR(Y1905="",'01_설정'!B31="",'01_설정'!B31&lt;=0,'01_설정'!B32="",'01_설정'!B32&lt;=0),"",MAX(0,(1-Y1905/'01_설정'!B32))*'01_설정'!B31)</f>
        <v/>
      </c>
    </row>
    <row r="1906" ht="17.25" customHeight="1">
      <c r="A1906" s="152">
        <f>IF(INDEX('04A_국토부원자료'!$A:$A,ROW()+1)="","",ROW()-3)</f>
        <v/>
      </c>
      <c r="B1906" s="48">
        <f>IFERROR(INDEX('04A_국토부원자료'!$A:$T,ROW()+1,MATCH("시군구",'04A_국토부원자료'!$A$4:$T$4,0)),"")</f>
        <v/>
      </c>
      <c r="C1906" s="48">
        <f>IF(B1906="","",IFERROR(INDEX('04A_국토부원자료'!$A:$T,ROW()+1,MATCH("번지",'04A_국토부원자료'!$A$4:$T$4,0)),""))</f>
        <v/>
      </c>
      <c r="D1906" s="48">
        <f>IF(B1906="","",IF(Q1906=1,'02_대상물건입력'!$B$8,IFERROR(INDEX('04A_국토부원자료'!$A:$T,ROW()+1,MATCH("단지명",'04A_국토부원자료'!$A$4:$T$4,0)),"")))</f>
        <v/>
      </c>
      <c r="E1906" s="172">
        <f>IFERROR(VALUE(SUBSTITUTE(INDEX('04A_국토부원자료'!$A:$T,ROW()+1,MATCH("전용면적(㎡)",'04A_국토부원자료'!$A$4:$T$4,0)),",","")),"")</f>
        <v/>
      </c>
      <c r="F19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06" s="51">
        <f>IFERROR(VALUE(SUBSTITUTE(INDEX('04A_국토부원자료'!$A:$T,ROW()+1,MATCH("거래금액(만원)",'04A_국토부원자료'!$A$4:$T$4,0)),",","")),"")</f>
        <v/>
      </c>
      <c r="H1906" s="174">
        <f>IF(G1906="","",G1906*10000)</f>
        <v/>
      </c>
      <c r="I1906" s="174">
        <f>IFERROR(IF(AND(H1906&gt;0,E1906&gt;0),H1906/E1906,""),"")</f>
        <v/>
      </c>
      <c r="J1906" s="152">
        <f>IFERROR(VALUE(SUBSTITUTE(INDEX('04A_국토부원자료'!$A:$T,ROW()+1,MATCH("층",'04A_국토부원자료'!$A$4:$T$4,0)),",","")),"")</f>
        <v/>
      </c>
      <c r="K1906" s="152">
        <f>IFERROR(VALUE(SUBSTITUTE(INDEX('04A_국토부원자료'!$A:$T,ROW()+1,MATCH("건축년도",'04A_국토부원자료'!$A$4:$T$4,0)),",","")),"")</f>
        <v/>
      </c>
      <c r="L1906" s="48">
        <f>IFERROR(INDEX('04A_국토부원자료'!$A:$T,ROW()+1,MATCH("도로명",'04A_국토부원자료'!$A$4:$T$4,0)),"")</f>
        <v/>
      </c>
      <c r="M1906" s="48">
        <f>IFERROR(INDEX('04A_국토부원자료'!$A:$T,ROW()+1,MATCH("거래유형",'04A_국토부원자료'!$A$4:$T$4,0)),"")</f>
        <v/>
      </c>
      <c r="N1906" s="152">
        <f>IF(B1906="","",IF('02_대상물건입력'!B5="",1,IF(ISNUMBER(SEARCH('02_대상물건입력'!B5,B1906)),1,0)))</f>
        <v/>
      </c>
      <c r="O1906" s="152">
        <f>IF(B1906="","",IF('02_대상물건입력'!B6="",1,IF(ISNUMBER(SEARCH('02_대상물건입력'!B6,B1906)),1,0)))</f>
        <v/>
      </c>
      <c r="P1906" s="152">
        <f>IF(L1906="","",IF('02_대상물건입력'!B15="",0,IF(ISNUMBER(SEARCH('02_대상물건입력'!B15,L1906)),1,0)))</f>
        <v/>
      </c>
      <c r="Q1906" s="152">
        <f>IF(OR(C1906="",L1906=""),0,IF(AND(TRIM(C1906)=TRIM(RIGHT(SUBSTITUTE(TRIM('02_대상물건입력'!$B$7)," ",REPT(" ",99)),99)),IF('02_대상물건입력'!B15="",TRUE(),ISNUMBER(SEARCH('02_대상물건입력'!B15,L1906)))),1,0))</f>
        <v/>
      </c>
      <c r="R1906" s="175">
        <f>IFERROR(ABS(E1906-'02_대상물건입력'!B11)/'02_대상물건입력'!B11,"")</f>
        <v/>
      </c>
      <c r="S1906" s="152">
        <f>IFERROR(ABS(J1906-'02_대상물건입력'!B10),"")</f>
        <v/>
      </c>
      <c r="T1906" s="152">
        <f>IFERROR(ABS('01_설정'!B4-F1906),"")</f>
        <v/>
      </c>
      <c r="U1906" s="152">
        <f>IFERROR(ABS(K1906-YEAR('02_대상물건입력'!B14)),"")</f>
        <v/>
      </c>
      <c r="V1906" s="152">
        <f>IF(B1906="","",IF(AND(E1906&gt;0,F1906&gt;0,H1906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1906=1,TRUE()),R1906&lt;='01_설정'!B5,S1906&lt;='01_설정'!B6,T1906&lt;='01_설정'!B7,U1906&lt;='01_설정'!B8),"Y",""))</f>
        <v/>
      </c>
      <c r="W1906" s="172">
        <f>IF(V1906&lt;&gt;"Y","",MAX(0,(1-R1906/'01_설정'!B5))*'01_설정'!B14+MAX(0,(1-S1906/'01_설정'!B6))*'01_설정'!B15+MAX(0,(1-T1906/'01_설정'!B7))*'01_설정'!B16+MAX(0,(1-U1906/'01_설정'!B8))*'01_설정'!B17+O1906*'01_설정'!B11+Q1906*'01_설정'!B12+P1906*'01_설정'!B13+IF(Z1906="",0,Z1906))</f>
        <v/>
      </c>
      <c r="X1906" s="152">
        <f>IF(W1906="","",1+COUNTIFS($W$4:$W$3003,"&gt;"&amp;W1906)+COUNTIFS($W$4:W1906,W1906)-1)</f>
        <v/>
      </c>
      <c r="Y1906" s="175">
        <f>IF(OR(I1906="",'02_대상물건입력'!B19="",'02_대상물건입력'!B19&lt;=0),"",ABS(I1906-'02_대상물건입력'!B19)/'02_대상물건입력'!B19)</f>
        <v/>
      </c>
      <c r="Z1906" s="172">
        <f>IF(OR(Y1906="",'01_설정'!B31="",'01_설정'!B31&lt;=0,'01_설정'!B32="",'01_설정'!B32&lt;=0),"",MAX(0,(1-Y1906/'01_설정'!B32))*'01_설정'!B31)</f>
        <v/>
      </c>
    </row>
    <row r="1907" ht="17.25" customHeight="1">
      <c r="A1907" s="152">
        <f>IF(INDEX('04A_국토부원자료'!$A:$A,ROW()+1)="","",ROW()-3)</f>
        <v/>
      </c>
      <c r="B1907" s="48">
        <f>IFERROR(INDEX('04A_국토부원자료'!$A:$T,ROW()+1,MATCH("시군구",'04A_국토부원자료'!$A$4:$T$4,0)),"")</f>
        <v/>
      </c>
      <c r="C1907" s="48">
        <f>IF(B1907="","",IFERROR(INDEX('04A_국토부원자료'!$A:$T,ROW()+1,MATCH("번지",'04A_국토부원자료'!$A$4:$T$4,0)),""))</f>
        <v/>
      </c>
      <c r="D1907" s="48">
        <f>IF(B1907="","",IF(Q1907=1,'02_대상물건입력'!$B$8,IFERROR(INDEX('04A_국토부원자료'!$A:$T,ROW()+1,MATCH("단지명",'04A_국토부원자료'!$A$4:$T$4,0)),"")))</f>
        <v/>
      </c>
      <c r="E1907" s="172">
        <f>IFERROR(VALUE(SUBSTITUTE(INDEX('04A_국토부원자료'!$A:$T,ROW()+1,MATCH("전용면적(㎡)",'04A_국토부원자료'!$A$4:$T$4,0)),",","")),"")</f>
        <v/>
      </c>
      <c r="F19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07" s="51">
        <f>IFERROR(VALUE(SUBSTITUTE(INDEX('04A_국토부원자료'!$A:$T,ROW()+1,MATCH("거래금액(만원)",'04A_국토부원자료'!$A$4:$T$4,0)),",","")),"")</f>
        <v/>
      </c>
      <c r="H1907" s="174">
        <f>IF(G1907="","",G1907*10000)</f>
        <v/>
      </c>
      <c r="I1907" s="174">
        <f>IFERROR(IF(AND(H1907&gt;0,E1907&gt;0),H1907/E1907,""),"")</f>
        <v/>
      </c>
      <c r="J1907" s="152">
        <f>IFERROR(VALUE(SUBSTITUTE(INDEX('04A_국토부원자료'!$A:$T,ROW()+1,MATCH("층",'04A_국토부원자료'!$A$4:$T$4,0)),",","")),"")</f>
        <v/>
      </c>
      <c r="K1907" s="152">
        <f>IFERROR(VALUE(SUBSTITUTE(INDEX('04A_국토부원자료'!$A:$T,ROW()+1,MATCH("건축년도",'04A_국토부원자료'!$A$4:$T$4,0)),",","")),"")</f>
        <v/>
      </c>
      <c r="L1907" s="48">
        <f>IFERROR(INDEX('04A_국토부원자료'!$A:$T,ROW()+1,MATCH("도로명",'04A_국토부원자료'!$A$4:$T$4,0)),"")</f>
        <v/>
      </c>
      <c r="M1907" s="48">
        <f>IFERROR(INDEX('04A_국토부원자료'!$A:$T,ROW()+1,MATCH("거래유형",'04A_국토부원자료'!$A$4:$T$4,0)),"")</f>
        <v/>
      </c>
      <c r="N1907" s="152">
        <f>IF(B1907="","",IF('02_대상물건입력'!B5="",1,IF(ISNUMBER(SEARCH('02_대상물건입력'!B5,B1907)),1,0)))</f>
        <v/>
      </c>
      <c r="O1907" s="152">
        <f>IF(B1907="","",IF('02_대상물건입력'!B6="",1,IF(ISNUMBER(SEARCH('02_대상물건입력'!B6,B1907)),1,0)))</f>
        <v/>
      </c>
      <c r="P1907" s="152">
        <f>IF(L1907="","",IF('02_대상물건입력'!B15="",0,IF(ISNUMBER(SEARCH('02_대상물건입력'!B15,L1907)),1,0)))</f>
        <v/>
      </c>
      <c r="Q1907" s="152">
        <f>IF(OR(C1907="",L1907=""),0,IF(AND(TRIM(C1907)=TRIM(RIGHT(SUBSTITUTE(TRIM('02_대상물건입력'!$B$7)," ",REPT(" ",99)),99)),IF('02_대상물건입력'!B15="",TRUE(),ISNUMBER(SEARCH('02_대상물건입력'!B15,L1907)))),1,0))</f>
        <v/>
      </c>
      <c r="R1907" s="175">
        <f>IFERROR(ABS(E1907-'02_대상물건입력'!B11)/'02_대상물건입력'!B11,"")</f>
        <v/>
      </c>
      <c r="S1907" s="152">
        <f>IFERROR(ABS(J1907-'02_대상물건입력'!B10),"")</f>
        <v/>
      </c>
      <c r="T1907" s="152">
        <f>IFERROR(ABS('01_설정'!B4-F1907),"")</f>
        <v/>
      </c>
      <c r="U1907" s="152">
        <f>IFERROR(ABS(K1907-YEAR('02_대상물건입력'!B14)),"")</f>
        <v/>
      </c>
      <c r="V1907" s="152">
        <f>IF(B1907="","",IF(AND(E1907&gt;0,F1907&gt;0,H1907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1907=1,TRUE()),R1907&lt;='01_설정'!B5,S1907&lt;='01_설정'!B6,T1907&lt;='01_설정'!B7,U1907&lt;='01_설정'!B8),"Y",""))</f>
        <v/>
      </c>
      <c r="W1907" s="172">
        <f>IF(V1907&lt;&gt;"Y","",MAX(0,(1-R1907/'01_설정'!B5))*'01_설정'!B14+MAX(0,(1-S1907/'01_설정'!B6))*'01_설정'!B15+MAX(0,(1-T1907/'01_설정'!B7))*'01_설정'!B16+MAX(0,(1-U1907/'01_설정'!B8))*'01_설정'!B17+O1907*'01_설정'!B11+Q1907*'01_설정'!B12+P1907*'01_설정'!B13+IF(Z1907="",0,Z1907))</f>
        <v/>
      </c>
      <c r="X1907" s="152">
        <f>IF(W1907="","",1+COUNTIFS($W$4:$W$3003,"&gt;"&amp;W1907)+COUNTIFS($W$4:W1907,W1907)-1)</f>
        <v/>
      </c>
      <c r="Y1907" s="175">
        <f>IF(OR(I1907="",'02_대상물건입력'!B19="",'02_대상물건입력'!B19&lt;=0),"",ABS(I1907-'02_대상물건입력'!B19)/'02_대상물건입력'!B19)</f>
        <v/>
      </c>
      <c r="Z1907" s="172">
        <f>IF(OR(Y1907="",'01_설정'!B31="",'01_설정'!B31&lt;=0,'01_설정'!B32="",'01_설정'!B32&lt;=0),"",MAX(0,(1-Y1907/'01_설정'!B32))*'01_설정'!B31)</f>
        <v/>
      </c>
    </row>
    <row r="1908" ht="17.25" customHeight="1">
      <c r="A1908" s="152">
        <f>IF(INDEX('04A_국토부원자료'!$A:$A,ROW()+1)="","",ROW()-3)</f>
        <v/>
      </c>
      <c r="B1908" s="48">
        <f>IFERROR(INDEX('04A_국토부원자료'!$A:$T,ROW()+1,MATCH("시군구",'04A_국토부원자료'!$A$4:$T$4,0)),"")</f>
        <v/>
      </c>
      <c r="C1908" s="48">
        <f>IF(B1908="","",IFERROR(INDEX('04A_국토부원자료'!$A:$T,ROW()+1,MATCH("번지",'04A_국토부원자료'!$A$4:$T$4,0)),""))</f>
        <v/>
      </c>
      <c r="D1908" s="48">
        <f>IF(B1908="","",IF(Q1908=1,'02_대상물건입력'!$B$8,IFERROR(INDEX('04A_국토부원자료'!$A:$T,ROW()+1,MATCH("단지명",'04A_국토부원자료'!$A$4:$T$4,0)),"")))</f>
        <v/>
      </c>
      <c r="E1908" s="172">
        <f>IFERROR(VALUE(SUBSTITUTE(INDEX('04A_국토부원자료'!$A:$T,ROW()+1,MATCH("전용면적(㎡)",'04A_국토부원자료'!$A$4:$T$4,0)),",","")),"")</f>
        <v/>
      </c>
      <c r="F19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08" s="51">
        <f>IFERROR(VALUE(SUBSTITUTE(INDEX('04A_국토부원자료'!$A:$T,ROW()+1,MATCH("거래금액(만원)",'04A_국토부원자료'!$A$4:$T$4,0)),",","")),"")</f>
        <v/>
      </c>
      <c r="H1908" s="174">
        <f>IF(G1908="","",G1908*10000)</f>
        <v/>
      </c>
      <c r="I1908" s="174">
        <f>IFERROR(IF(AND(H1908&gt;0,E1908&gt;0),H1908/E1908,""),"")</f>
        <v/>
      </c>
      <c r="J1908" s="152">
        <f>IFERROR(VALUE(SUBSTITUTE(INDEX('04A_국토부원자료'!$A:$T,ROW()+1,MATCH("층",'04A_국토부원자료'!$A$4:$T$4,0)),",","")),"")</f>
        <v/>
      </c>
      <c r="K1908" s="152">
        <f>IFERROR(VALUE(SUBSTITUTE(INDEX('04A_국토부원자료'!$A:$T,ROW()+1,MATCH("건축년도",'04A_국토부원자료'!$A$4:$T$4,0)),",","")),"")</f>
        <v/>
      </c>
      <c r="L1908" s="48">
        <f>IFERROR(INDEX('04A_국토부원자료'!$A:$T,ROW()+1,MATCH("도로명",'04A_국토부원자료'!$A$4:$T$4,0)),"")</f>
        <v/>
      </c>
      <c r="M1908" s="48">
        <f>IFERROR(INDEX('04A_국토부원자료'!$A:$T,ROW()+1,MATCH("거래유형",'04A_국토부원자료'!$A$4:$T$4,0)),"")</f>
        <v/>
      </c>
      <c r="N1908" s="152">
        <f>IF(B1908="","",IF('02_대상물건입력'!B5="",1,IF(ISNUMBER(SEARCH('02_대상물건입력'!B5,B1908)),1,0)))</f>
        <v/>
      </c>
      <c r="O1908" s="152">
        <f>IF(B1908="","",IF('02_대상물건입력'!B6="",1,IF(ISNUMBER(SEARCH('02_대상물건입력'!B6,B1908)),1,0)))</f>
        <v/>
      </c>
      <c r="P1908" s="152">
        <f>IF(L1908="","",IF('02_대상물건입력'!B15="",0,IF(ISNUMBER(SEARCH('02_대상물건입력'!B15,L1908)),1,0)))</f>
        <v/>
      </c>
      <c r="Q1908" s="152">
        <f>IF(OR(C1908="",L1908=""),0,IF(AND(TRIM(C1908)=TRIM(RIGHT(SUBSTITUTE(TRIM('02_대상물건입력'!$B$7)," ",REPT(" ",99)),99)),IF('02_대상물건입력'!B15="",TRUE(),ISNUMBER(SEARCH('02_대상물건입력'!B15,L1908)))),1,0))</f>
        <v/>
      </c>
      <c r="R1908" s="175">
        <f>IFERROR(ABS(E1908-'02_대상물건입력'!B11)/'02_대상물건입력'!B11,"")</f>
        <v/>
      </c>
      <c r="S1908" s="152">
        <f>IFERROR(ABS(J1908-'02_대상물건입력'!B10),"")</f>
        <v/>
      </c>
      <c r="T1908" s="152">
        <f>IFERROR(ABS('01_설정'!B4-F1908),"")</f>
        <v/>
      </c>
      <c r="U1908" s="152">
        <f>IFERROR(ABS(K1908-YEAR('02_대상물건입력'!B14)),"")</f>
        <v/>
      </c>
      <c r="V1908" s="152">
        <f>IF(B1908="","",IF(AND(E1908&gt;0,F1908&gt;0,H1908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1908=1,TRUE()),R1908&lt;='01_설정'!B5,S1908&lt;='01_설정'!B6,T1908&lt;='01_설정'!B7,U1908&lt;='01_설정'!B8),"Y",""))</f>
        <v/>
      </c>
      <c r="W1908" s="172">
        <f>IF(V1908&lt;&gt;"Y","",MAX(0,(1-R1908/'01_설정'!B5))*'01_설정'!B14+MAX(0,(1-S1908/'01_설정'!B6))*'01_설정'!B15+MAX(0,(1-T1908/'01_설정'!B7))*'01_설정'!B16+MAX(0,(1-U1908/'01_설정'!B8))*'01_설정'!B17+O1908*'01_설정'!B11+Q1908*'01_설정'!B12+P1908*'01_설정'!B13+IF(Z1908="",0,Z1908))</f>
        <v/>
      </c>
      <c r="X1908" s="152">
        <f>IF(W1908="","",1+COUNTIFS($W$4:$W$3003,"&gt;"&amp;W1908)+COUNTIFS($W$4:W1908,W1908)-1)</f>
        <v/>
      </c>
      <c r="Y1908" s="175">
        <f>IF(OR(I1908="",'02_대상물건입력'!B19="",'02_대상물건입력'!B19&lt;=0),"",ABS(I1908-'02_대상물건입력'!B19)/'02_대상물건입력'!B19)</f>
        <v/>
      </c>
      <c r="Z1908" s="172">
        <f>IF(OR(Y1908="",'01_설정'!B31="",'01_설정'!B31&lt;=0,'01_설정'!B32="",'01_설정'!B32&lt;=0),"",MAX(0,(1-Y1908/'01_설정'!B32))*'01_설정'!B31)</f>
        <v/>
      </c>
    </row>
    <row r="1909" ht="17.25" customHeight="1">
      <c r="A1909" s="152">
        <f>IF(INDEX('04A_국토부원자료'!$A:$A,ROW()+1)="","",ROW()-3)</f>
        <v/>
      </c>
      <c r="B1909" s="48">
        <f>IFERROR(INDEX('04A_국토부원자료'!$A:$T,ROW()+1,MATCH("시군구",'04A_국토부원자료'!$A$4:$T$4,0)),"")</f>
        <v/>
      </c>
      <c r="C1909" s="48">
        <f>IF(B1909="","",IFERROR(INDEX('04A_국토부원자료'!$A:$T,ROW()+1,MATCH("번지",'04A_국토부원자료'!$A$4:$T$4,0)),""))</f>
        <v/>
      </c>
      <c r="D1909" s="48">
        <f>IF(B1909="","",IF(Q1909=1,'02_대상물건입력'!$B$8,IFERROR(INDEX('04A_국토부원자료'!$A:$T,ROW()+1,MATCH("단지명",'04A_국토부원자료'!$A$4:$T$4,0)),"")))</f>
        <v/>
      </c>
      <c r="E1909" s="172">
        <f>IFERROR(VALUE(SUBSTITUTE(INDEX('04A_국토부원자료'!$A:$T,ROW()+1,MATCH("전용면적(㎡)",'04A_국토부원자료'!$A$4:$T$4,0)),",","")),"")</f>
        <v/>
      </c>
      <c r="F19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09" s="51">
        <f>IFERROR(VALUE(SUBSTITUTE(INDEX('04A_국토부원자료'!$A:$T,ROW()+1,MATCH("거래금액(만원)",'04A_국토부원자료'!$A$4:$T$4,0)),",","")),"")</f>
        <v/>
      </c>
      <c r="H1909" s="174">
        <f>IF(G1909="","",G1909*10000)</f>
        <v/>
      </c>
      <c r="I1909" s="174">
        <f>IFERROR(IF(AND(H1909&gt;0,E1909&gt;0),H1909/E1909,""),"")</f>
        <v/>
      </c>
      <c r="J1909" s="152">
        <f>IFERROR(VALUE(SUBSTITUTE(INDEX('04A_국토부원자료'!$A:$T,ROW()+1,MATCH("층",'04A_국토부원자료'!$A$4:$T$4,0)),",","")),"")</f>
        <v/>
      </c>
      <c r="K1909" s="152">
        <f>IFERROR(VALUE(SUBSTITUTE(INDEX('04A_국토부원자료'!$A:$T,ROW()+1,MATCH("건축년도",'04A_국토부원자료'!$A$4:$T$4,0)),",","")),"")</f>
        <v/>
      </c>
      <c r="L1909" s="48">
        <f>IFERROR(INDEX('04A_국토부원자료'!$A:$T,ROW()+1,MATCH("도로명",'04A_국토부원자료'!$A$4:$T$4,0)),"")</f>
        <v/>
      </c>
      <c r="M1909" s="48">
        <f>IFERROR(INDEX('04A_국토부원자료'!$A:$T,ROW()+1,MATCH("거래유형",'04A_국토부원자료'!$A$4:$T$4,0)),"")</f>
        <v/>
      </c>
      <c r="N1909" s="152">
        <f>IF(B1909="","",IF('02_대상물건입력'!B5="",1,IF(ISNUMBER(SEARCH('02_대상물건입력'!B5,B1909)),1,0)))</f>
        <v/>
      </c>
      <c r="O1909" s="152">
        <f>IF(B1909="","",IF('02_대상물건입력'!B6="",1,IF(ISNUMBER(SEARCH('02_대상물건입력'!B6,B1909)),1,0)))</f>
        <v/>
      </c>
      <c r="P1909" s="152">
        <f>IF(L1909="","",IF('02_대상물건입력'!B15="",0,IF(ISNUMBER(SEARCH('02_대상물건입력'!B15,L1909)),1,0)))</f>
        <v/>
      </c>
      <c r="Q1909" s="152">
        <f>IF(OR(C1909="",L1909=""),0,IF(AND(TRIM(C1909)=TRIM(RIGHT(SUBSTITUTE(TRIM('02_대상물건입력'!$B$7)," ",REPT(" ",99)),99)),IF('02_대상물건입력'!B15="",TRUE(),ISNUMBER(SEARCH('02_대상물건입력'!B15,L1909)))),1,0))</f>
        <v/>
      </c>
      <c r="R1909" s="175">
        <f>IFERROR(ABS(E1909-'02_대상물건입력'!B11)/'02_대상물건입력'!B11,"")</f>
        <v/>
      </c>
      <c r="S1909" s="152">
        <f>IFERROR(ABS(J1909-'02_대상물건입력'!B10),"")</f>
        <v/>
      </c>
      <c r="T1909" s="152">
        <f>IFERROR(ABS('01_설정'!B4-F1909),"")</f>
        <v/>
      </c>
      <c r="U1909" s="152">
        <f>IFERROR(ABS(K1909-YEAR('02_대상물건입력'!B14)),"")</f>
        <v/>
      </c>
      <c r="V1909" s="152">
        <f>IF(B1909="","",IF(AND(E1909&gt;0,F1909&gt;0,H1909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1909=1,TRUE()),R1909&lt;='01_설정'!B5,S1909&lt;='01_설정'!B6,T1909&lt;='01_설정'!B7,U1909&lt;='01_설정'!B8),"Y",""))</f>
        <v/>
      </c>
      <c r="W1909" s="172">
        <f>IF(V1909&lt;&gt;"Y","",MAX(0,(1-R1909/'01_설정'!B5))*'01_설정'!B14+MAX(0,(1-S1909/'01_설정'!B6))*'01_설정'!B15+MAX(0,(1-T1909/'01_설정'!B7))*'01_설정'!B16+MAX(0,(1-U1909/'01_설정'!B8))*'01_설정'!B17+O1909*'01_설정'!B11+Q1909*'01_설정'!B12+P1909*'01_설정'!B13+IF(Z1909="",0,Z1909))</f>
        <v/>
      </c>
      <c r="X1909" s="152">
        <f>IF(W1909="","",1+COUNTIFS($W$4:$W$3003,"&gt;"&amp;W1909)+COUNTIFS($W$4:W1909,W1909)-1)</f>
        <v/>
      </c>
      <c r="Y1909" s="175">
        <f>IF(OR(I1909="",'02_대상물건입력'!B19="",'02_대상물건입력'!B19&lt;=0),"",ABS(I1909-'02_대상물건입력'!B19)/'02_대상물건입력'!B19)</f>
        <v/>
      </c>
      <c r="Z1909" s="172">
        <f>IF(OR(Y1909="",'01_설정'!B31="",'01_설정'!B31&lt;=0,'01_설정'!B32="",'01_설정'!B32&lt;=0),"",MAX(0,(1-Y1909/'01_설정'!B32))*'01_설정'!B31)</f>
        <v/>
      </c>
    </row>
    <row r="1910" ht="17.25" customHeight="1">
      <c r="A1910" s="152">
        <f>IF(INDEX('04A_국토부원자료'!$A:$A,ROW()+1)="","",ROW()-3)</f>
        <v/>
      </c>
      <c r="B1910" s="48">
        <f>IFERROR(INDEX('04A_국토부원자료'!$A:$T,ROW()+1,MATCH("시군구",'04A_국토부원자료'!$A$4:$T$4,0)),"")</f>
        <v/>
      </c>
      <c r="C1910" s="48">
        <f>IF(B1910="","",IFERROR(INDEX('04A_국토부원자료'!$A:$T,ROW()+1,MATCH("번지",'04A_국토부원자료'!$A$4:$T$4,0)),""))</f>
        <v/>
      </c>
      <c r="D1910" s="48">
        <f>IF(B1910="","",IF(Q1910=1,'02_대상물건입력'!$B$8,IFERROR(INDEX('04A_국토부원자료'!$A:$T,ROW()+1,MATCH("단지명",'04A_국토부원자료'!$A$4:$T$4,0)),"")))</f>
        <v/>
      </c>
      <c r="E1910" s="172">
        <f>IFERROR(VALUE(SUBSTITUTE(INDEX('04A_국토부원자료'!$A:$T,ROW()+1,MATCH("전용면적(㎡)",'04A_국토부원자료'!$A$4:$T$4,0)),",","")),"")</f>
        <v/>
      </c>
      <c r="F19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10" s="51">
        <f>IFERROR(VALUE(SUBSTITUTE(INDEX('04A_국토부원자료'!$A:$T,ROW()+1,MATCH("거래금액(만원)",'04A_국토부원자료'!$A$4:$T$4,0)),",","")),"")</f>
        <v/>
      </c>
      <c r="H1910" s="174">
        <f>IF(G1910="","",G1910*10000)</f>
        <v/>
      </c>
      <c r="I1910" s="174">
        <f>IFERROR(IF(AND(H1910&gt;0,E1910&gt;0),H1910/E1910,""),"")</f>
        <v/>
      </c>
      <c r="J1910" s="152">
        <f>IFERROR(VALUE(SUBSTITUTE(INDEX('04A_국토부원자료'!$A:$T,ROW()+1,MATCH("층",'04A_국토부원자료'!$A$4:$T$4,0)),",","")),"")</f>
        <v/>
      </c>
      <c r="K1910" s="152">
        <f>IFERROR(VALUE(SUBSTITUTE(INDEX('04A_국토부원자료'!$A:$T,ROW()+1,MATCH("건축년도",'04A_국토부원자료'!$A$4:$T$4,0)),",","")),"")</f>
        <v/>
      </c>
      <c r="L1910" s="48">
        <f>IFERROR(INDEX('04A_국토부원자료'!$A:$T,ROW()+1,MATCH("도로명",'04A_국토부원자료'!$A$4:$T$4,0)),"")</f>
        <v/>
      </c>
      <c r="M1910" s="48">
        <f>IFERROR(INDEX('04A_국토부원자료'!$A:$T,ROW()+1,MATCH("거래유형",'04A_국토부원자료'!$A$4:$T$4,0)),"")</f>
        <v/>
      </c>
      <c r="N1910" s="152">
        <f>IF(B1910="","",IF('02_대상물건입력'!B5="",1,IF(ISNUMBER(SEARCH('02_대상물건입력'!B5,B1910)),1,0)))</f>
        <v/>
      </c>
      <c r="O1910" s="152">
        <f>IF(B1910="","",IF('02_대상물건입력'!B6="",1,IF(ISNUMBER(SEARCH('02_대상물건입력'!B6,B1910)),1,0)))</f>
        <v/>
      </c>
      <c r="P1910" s="152">
        <f>IF(L1910="","",IF('02_대상물건입력'!B15="",0,IF(ISNUMBER(SEARCH('02_대상물건입력'!B15,L1910)),1,0)))</f>
        <v/>
      </c>
      <c r="Q1910" s="152">
        <f>IF(OR(C1910="",L1910=""),0,IF(AND(TRIM(C1910)=TRIM(RIGHT(SUBSTITUTE(TRIM('02_대상물건입력'!$B$7)," ",REPT(" ",99)),99)),IF('02_대상물건입력'!B15="",TRUE(),ISNUMBER(SEARCH('02_대상물건입력'!B15,L1910)))),1,0))</f>
        <v/>
      </c>
      <c r="R1910" s="175">
        <f>IFERROR(ABS(E1910-'02_대상물건입력'!B11)/'02_대상물건입력'!B11,"")</f>
        <v/>
      </c>
      <c r="S1910" s="152">
        <f>IFERROR(ABS(J1910-'02_대상물건입력'!B10),"")</f>
        <v/>
      </c>
      <c r="T1910" s="152">
        <f>IFERROR(ABS('01_설정'!B4-F1910),"")</f>
        <v/>
      </c>
      <c r="U1910" s="152">
        <f>IFERROR(ABS(K1910-YEAR('02_대상물건입력'!B14)),"")</f>
        <v/>
      </c>
      <c r="V1910" s="152">
        <f>IF(B1910="","",IF(AND(E1910&gt;0,F1910&gt;0,H1910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1910=1,TRUE()),R1910&lt;='01_설정'!B5,S1910&lt;='01_설정'!B6,T1910&lt;='01_설정'!B7,U1910&lt;='01_설정'!B8),"Y",""))</f>
        <v/>
      </c>
      <c r="W1910" s="172">
        <f>IF(V1910&lt;&gt;"Y","",MAX(0,(1-R1910/'01_설정'!B5))*'01_설정'!B14+MAX(0,(1-S1910/'01_설정'!B6))*'01_설정'!B15+MAX(0,(1-T1910/'01_설정'!B7))*'01_설정'!B16+MAX(0,(1-U1910/'01_설정'!B8))*'01_설정'!B17+O1910*'01_설정'!B11+Q1910*'01_설정'!B12+P1910*'01_설정'!B13+IF(Z1910="",0,Z1910))</f>
        <v/>
      </c>
      <c r="X1910" s="152">
        <f>IF(W1910="","",1+COUNTIFS($W$4:$W$3003,"&gt;"&amp;W1910)+COUNTIFS($W$4:W1910,W1910)-1)</f>
        <v/>
      </c>
      <c r="Y1910" s="175">
        <f>IF(OR(I1910="",'02_대상물건입력'!B19="",'02_대상물건입력'!B19&lt;=0),"",ABS(I1910-'02_대상물건입력'!B19)/'02_대상물건입력'!B19)</f>
        <v/>
      </c>
      <c r="Z1910" s="172">
        <f>IF(OR(Y1910="",'01_설정'!B31="",'01_설정'!B31&lt;=0,'01_설정'!B32="",'01_설정'!B32&lt;=0),"",MAX(0,(1-Y1910/'01_설정'!B32))*'01_설정'!B31)</f>
        <v/>
      </c>
    </row>
    <row r="1911" ht="17.25" customHeight="1">
      <c r="A1911" s="152">
        <f>IF(INDEX('04A_국토부원자료'!$A:$A,ROW()+1)="","",ROW()-3)</f>
        <v/>
      </c>
      <c r="B1911" s="48">
        <f>IFERROR(INDEX('04A_국토부원자료'!$A:$T,ROW()+1,MATCH("시군구",'04A_국토부원자료'!$A$4:$T$4,0)),"")</f>
        <v/>
      </c>
      <c r="C1911" s="48">
        <f>IF(B1911="","",IFERROR(INDEX('04A_국토부원자료'!$A:$T,ROW()+1,MATCH("번지",'04A_국토부원자료'!$A$4:$T$4,0)),""))</f>
        <v/>
      </c>
      <c r="D1911" s="48">
        <f>IF(B1911="","",IF(Q1911=1,'02_대상물건입력'!$B$8,IFERROR(INDEX('04A_국토부원자료'!$A:$T,ROW()+1,MATCH("단지명",'04A_국토부원자료'!$A$4:$T$4,0)),"")))</f>
        <v/>
      </c>
      <c r="E1911" s="172">
        <f>IFERROR(VALUE(SUBSTITUTE(INDEX('04A_국토부원자료'!$A:$T,ROW()+1,MATCH("전용면적(㎡)",'04A_국토부원자료'!$A$4:$T$4,0)),",","")),"")</f>
        <v/>
      </c>
      <c r="F19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11" s="51">
        <f>IFERROR(VALUE(SUBSTITUTE(INDEX('04A_국토부원자료'!$A:$T,ROW()+1,MATCH("거래금액(만원)",'04A_국토부원자료'!$A$4:$T$4,0)),",","")),"")</f>
        <v/>
      </c>
      <c r="H1911" s="174">
        <f>IF(G1911="","",G1911*10000)</f>
        <v/>
      </c>
      <c r="I1911" s="174">
        <f>IFERROR(IF(AND(H1911&gt;0,E1911&gt;0),H1911/E1911,""),"")</f>
        <v/>
      </c>
      <c r="J1911" s="152">
        <f>IFERROR(VALUE(SUBSTITUTE(INDEX('04A_국토부원자료'!$A:$T,ROW()+1,MATCH("층",'04A_국토부원자료'!$A$4:$T$4,0)),",","")),"")</f>
        <v/>
      </c>
      <c r="K1911" s="152">
        <f>IFERROR(VALUE(SUBSTITUTE(INDEX('04A_국토부원자료'!$A:$T,ROW()+1,MATCH("건축년도",'04A_국토부원자료'!$A$4:$T$4,0)),",","")),"")</f>
        <v/>
      </c>
      <c r="L1911" s="48">
        <f>IFERROR(INDEX('04A_국토부원자료'!$A:$T,ROW()+1,MATCH("도로명",'04A_국토부원자료'!$A$4:$T$4,0)),"")</f>
        <v/>
      </c>
      <c r="M1911" s="48">
        <f>IFERROR(INDEX('04A_국토부원자료'!$A:$T,ROW()+1,MATCH("거래유형",'04A_국토부원자료'!$A$4:$T$4,0)),"")</f>
        <v/>
      </c>
      <c r="N1911" s="152">
        <f>IF(B1911="","",IF('02_대상물건입력'!B5="",1,IF(ISNUMBER(SEARCH('02_대상물건입력'!B5,B1911)),1,0)))</f>
        <v/>
      </c>
      <c r="O1911" s="152">
        <f>IF(B1911="","",IF('02_대상물건입력'!B6="",1,IF(ISNUMBER(SEARCH('02_대상물건입력'!B6,B1911)),1,0)))</f>
        <v/>
      </c>
      <c r="P1911" s="152">
        <f>IF(L1911="","",IF('02_대상물건입력'!B15="",0,IF(ISNUMBER(SEARCH('02_대상물건입력'!B15,L1911)),1,0)))</f>
        <v/>
      </c>
      <c r="Q1911" s="152">
        <f>IF(OR(C1911="",L1911=""),0,IF(AND(TRIM(C1911)=TRIM(RIGHT(SUBSTITUTE(TRIM('02_대상물건입력'!$B$7)," ",REPT(" ",99)),99)),IF('02_대상물건입력'!B15="",TRUE(),ISNUMBER(SEARCH('02_대상물건입력'!B15,L1911)))),1,0))</f>
        <v/>
      </c>
      <c r="R1911" s="175">
        <f>IFERROR(ABS(E1911-'02_대상물건입력'!B11)/'02_대상물건입력'!B11,"")</f>
        <v/>
      </c>
      <c r="S1911" s="152">
        <f>IFERROR(ABS(J1911-'02_대상물건입력'!B10),"")</f>
        <v/>
      </c>
      <c r="T1911" s="152">
        <f>IFERROR(ABS('01_설정'!B4-F1911),"")</f>
        <v/>
      </c>
      <c r="U1911" s="152">
        <f>IFERROR(ABS(K1911-YEAR('02_대상물건입력'!B14)),"")</f>
        <v/>
      </c>
      <c r="V1911" s="152">
        <f>IF(B1911="","",IF(AND(E1911&gt;0,F1911&gt;0,H1911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1911=1,TRUE()),R1911&lt;='01_설정'!B5,S1911&lt;='01_설정'!B6,T1911&lt;='01_설정'!B7,U1911&lt;='01_설정'!B8),"Y",""))</f>
        <v/>
      </c>
      <c r="W1911" s="172">
        <f>IF(V1911&lt;&gt;"Y","",MAX(0,(1-R1911/'01_설정'!B5))*'01_설정'!B14+MAX(0,(1-S1911/'01_설정'!B6))*'01_설정'!B15+MAX(0,(1-T1911/'01_설정'!B7))*'01_설정'!B16+MAX(0,(1-U1911/'01_설정'!B8))*'01_설정'!B17+O1911*'01_설정'!B11+Q1911*'01_설정'!B12+P1911*'01_설정'!B13+IF(Z1911="",0,Z1911))</f>
        <v/>
      </c>
      <c r="X1911" s="152">
        <f>IF(W1911="","",1+COUNTIFS($W$4:$W$3003,"&gt;"&amp;W1911)+COUNTIFS($W$4:W1911,W1911)-1)</f>
        <v/>
      </c>
      <c r="Y1911" s="175">
        <f>IF(OR(I1911="",'02_대상물건입력'!B19="",'02_대상물건입력'!B19&lt;=0),"",ABS(I1911-'02_대상물건입력'!B19)/'02_대상물건입력'!B19)</f>
        <v/>
      </c>
      <c r="Z1911" s="172">
        <f>IF(OR(Y1911="",'01_설정'!B31="",'01_설정'!B31&lt;=0,'01_설정'!B32="",'01_설정'!B32&lt;=0),"",MAX(0,(1-Y1911/'01_설정'!B32))*'01_설정'!B31)</f>
        <v/>
      </c>
    </row>
    <row r="1912" ht="17.25" customHeight="1">
      <c r="A1912" s="152">
        <f>IF(INDEX('04A_국토부원자료'!$A:$A,ROW()+1)="","",ROW()-3)</f>
        <v/>
      </c>
      <c r="B1912" s="48">
        <f>IFERROR(INDEX('04A_국토부원자료'!$A:$T,ROW()+1,MATCH("시군구",'04A_국토부원자료'!$A$4:$T$4,0)),"")</f>
        <v/>
      </c>
      <c r="C1912" s="48">
        <f>IF(B1912="","",IFERROR(INDEX('04A_국토부원자료'!$A:$T,ROW()+1,MATCH("번지",'04A_국토부원자료'!$A$4:$T$4,0)),""))</f>
        <v/>
      </c>
      <c r="D1912" s="48">
        <f>IF(B1912="","",IF(Q1912=1,'02_대상물건입력'!$B$8,IFERROR(INDEX('04A_국토부원자료'!$A:$T,ROW()+1,MATCH("단지명",'04A_국토부원자료'!$A$4:$T$4,0)),"")))</f>
        <v/>
      </c>
      <c r="E1912" s="172">
        <f>IFERROR(VALUE(SUBSTITUTE(INDEX('04A_국토부원자료'!$A:$T,ROW()+1,MATCH("전용면적(㎡)",'04A_국토부원자료'!$A$4:$T$4,0)),",","")),"")</f>
        <v/>
      </c>
      <c r="F19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12" s="51">
        <f>IFERROR(VALUE(SUBSTITUTE(INDEX('04A_국토부원자료'!$A:$T,ROW()+1,MATCH("거래금액(만원)",'04A_국토부원자료'!$A$4:$T$4,0)),",","")),"")</f>
        <v/>
      </c>
      <c r="H1912" s="174">
        <f>IF(G1912="","",G1912*10000)</f>
        <v/>
      </c>
      <c r="I1912" s="174">
        <f>IFERROR(IF(AND(H1912&gt;0,E1912&gt;0),H1912/E1912,""),"")</f>
        <v/>
      </c>
      <c r="J1912" s="152">
        <f>IFERROR(VALUE(SUBSTITUTE(INDEX('04A_국토부원자료'!$A:$T,ROW()+1,MATCH("층",'04A_국토부원자료'!$A$4:$T$4,0)),",","")),"")</f>
        <v/>
      </c>
      <c r="K1912" s="152">
        <f>IFERROR(VALUE(SUBSTITUTE(INDEX('04A_국토부원자료'!$A:$T,ROW()+1,MATCH("건축년도",'04A_국토부원자료'!$A$4:$T$4,0)),",","")),"")</f>
        <v/>
      </c>
      <c r="L1912" s="48">
        <f>IFERROR(INDEX('04A_국토부원자료'!$A:$T,ROW()+1,MATCH("도로명",'04A_국토부원자료'!$A$4:$T$4,0)),"")</f>
        <v/>
      </c>
      <c r="M1912" s="48">
        <f>IFERROR(INDEX('04A_국토부원자료'!$A:$T,ROW()+1,MATCH("거래유형",'04A_국토부원자료'!$A$4:$T$4,0)),"")</f>
        <v/>
      </c>
      <c r="N1912" s="152">
        <f>IF(B1912="","",IF('02_대상물건입력'!B5="",1,IF(ISNUMBER(SEARCH('02_대상물건입력'!B5,B1912)),1,0)))</f>
        <v/>
      </c>
      <c r="O1912" s="152">
        <f>IF(B1912="","",IF('02_대상물건입력'!B6="",1,IF(ISNUMBER(SEARCH('02_대상물건입력'!B6,B1912)),1,0)))</f>
        <v/>
      </c>
      <c r="P1912" s="152">
        <f>IF(L1912="","",IF('02_대상물건입력'!B15="",0,IF(ISNUMBER(SEARCH('02_대상물건입력'!B15,L1912)),1,0)))</f>
        <v/>
      </c>
      <c r="Q1912" s="152">
        <f>IF(OR(C1912="",L1912=""),0,IF(AND(TRIM(C1912)=TRIM(RIGHT(SUBSTITUTE(TRIM('02_대상물건입력'!$B$7)," ",REPT(" ",99)),99)),IF('02_대상물건입력'!B15="",TRUE(),ISNUMBER(SEARCH('02_대상물건입력'!B15,L1912)))),1,0))</f>
        <v/>
      </c>
      <c r="R1912" s="175">
        <f>IFERROR(ABS(E1912-'02_대상물건입력'!B11)/'02_대상물건입력'!B11,"")</f>
        <v/>
      </c>
      <c r="S1912" s="152">
        <f>IFERROR(ABS(J1912-'02_대상물건입력'!B10),"")</f>
        <v/>
      </c>
      <c r="T1912" s="152">
        <f>IFERROR(ABS('01_설정'!B4-F1912),"")</f>
        <v/>
      </c>
      <c r="U1912" s="152">
        <f>IFERROR(ABS(K1912-YEAR('02_대상물건입력'!B14)),"")</f>
        <v/>
      </c>
      <c r="V1912" s="152">
        <f>IF(B1912="","",IF(AND(E1912&gt;0,F1912&gt;0,H1912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1912=1,TRUE()),R1912&lt;='01_설정'!B5,S1912&lt;='01_설정'!B6,T1912&lt;='01_설정'!B7,U1912&lt;='01_설정'!B8),"Y",""))</f>
        <v/>
      </c>
      <c r="W1912" s="172">
        <f>IF(V1912&lt;&gt;"Y","",MAX(0,(1-R1912/'01_설정'!B5))*'01_설정'!B14+MAX(0,(1-S1912/'01_설정'!B6))*'01_설정'!B15+MAX(0,(1-T1912/'01_설정'!B7))*'01_설정'!B16+MAX(0,(1-U1912/'01_설정'!B8))*'01_설정'!B17+O1912*'01_설정'!B11+Q1912*'01_설정'!B12+P1912*'01_설정'!B13+IF(Z1912="",0,Z1912))</f>
        <v/>
      </c>
      <c r="X1912" s="152">
        <f>IF(W1912="","",1+COUNTIFS($W$4:$W$3003,"&gt;"&amp;W1912)+COUNTIFS($W$4:W1912,W1912)-1)</f>
        <v/>
      </c>
      <c r="Y1912" s="175">
        <f>IF(OR(I1912="",'02_대상물건입력'!B19="",'02_대상물건입력'!B19&lt;=0),"",ABS(I1912-'02_대상물건입력'!B19)/'02_대상물건입력'!B19)</f>
        <v/>
      </c>
      <c r="Z1912" s="172">
        <f>IF(OR(Y1912="",'01_설정'!B31="",'01_설정'!B31&lt;=0,'01_설정'!B32="",'01_설정'!B32&lt;=0),"",MAX(0,(1-Y1912/'01_설정'!B32))*'01_설정'!B31)</f>
        <v/>
      </c>
    </row>
    <row r="1913" ht="17.25" customHeight="1">
      <c r="A1913" s="152">
        <f>IF(INDEX('04A_국토부원자료'!$A:$A,ROW()+1)="","",ROW()-3)</f>
        <v/>
      </c>
      <c r="B1913" s="48">
        <f>IFERROR(INDEX('04A_국토부원자료'!$A:$T,ROW()+1,MATCH("시군구",'04A_국토부원자료'!$A$4:$T$4,0)),"")</f>
        <v/>
      </c>
      <c r="C1913" s="48">
        <f>IF(B1913="","",IFERROR(INDEX('04A_국토부원자료'!$A:$T,ROW()+1,MATCH("번지",'04A_국토부원자료'!$A$4:$T$4,0)),""))</f>
        <v/>
      </c>
      <c r="D1913" s="48">
        <f>IF(B1913="","",IF(Q1913=1,'02_대상물건입력'!$B$8,IFERROR(INDEX('04A_국토부원자료'!$A:$T,ROW()+1,MATCH("단지명",'04A_국토부원자료'!$A$4:$T$4,0)),"")))</f>
        <v/>
      </c>
      <c r="E1913" s="172">
        <f>IFERROR(VALUE(SUBSTITUTE(INDEX('04A_국토부원자료'!$A:$T,ROW()+1,MATCH("전용면적(㎡)",'04A_국토부원자료'!$A$4:$T$4,0)),",","")),"")</f>
        <v/>
      </c>
      <c r="F19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13" s="51">
        <f>IFERROR(VALUE(SUBSTITUTE(INDEX('04A_국토부원자료'!$A:$T,ROW()+1,MATCH("거래금액(만원)",'04A_국토부원자료'!$A$4:$T$4,0)),",","")),"")</f>
        <v/>
      </c>
      <c r="H1913" s="174">
        <f>IF(G1913="","",G1913*10000)</f>
        <v/>
      </c>
      <c r="I1913" s="174">
        <f>IFERROR(IF(AND(H1913&gt;0,E1913&gt;0),H1913/E1913,""),"")</f>
        <v/>
      </c>
      <c r="J1913" s="152">
        <f>IFERROR(VALUE(SUBSTITUTE(INDEX('04A_국토부원자료'!$A:$T,ROW()+1,MATCH("층",'04A_국토부원자료'!$A$4:$T$4,0)),",","")),"")</f>
        <v/>
      </c>
      <c r="K1913" s="152">
        <f>IFERROR(VALUE(SUBSTITUTE(INDEX('04A_국토부원자료'!$A:$T,ROW()+1,MATCH("건축년도",'04A_국토부원자료'!$A$4:$T$4,0)),",","")),"")</f>
        <v/>
      </c>
      <c r="L1913" s="48">
        <f>IFERROR(INDEX('04A_국토부원자료'!$A:$T,ROW()+1,MATCH("도로명",'04A_국토부원자료'!$A$4:$T$4,0)),"")</f>
        <v/>
      </c>
      <c r="M1913" s="48">
        <f>IFERROR(INDEX('04A_국토부원자료'!$A:$T,ROW()+1,MATCH("거래유형",'04A_국토부원자료'!$A$4:$T$4,0)),"")</f>
        <v/>
      </c>
      <c r="N1913" s="152">
        <f>IF(B1913="","",IF('02_대상물건입력'!B5="",1,IF(ISNUMBER(SEARCH('02_대상물건입력'!B5,B1913)),1,0)))</f>
        <v/>
      </c>
      <c r="O1913" s="152">
        <f>IF(B1913="","",IF('02_대상물건입력'!B6="",1,IF(ISNUMBER(SEARCH('02_대상물건입력'!B6,B1913)),1,0)))</f>
        <v/>
      </c>
      <c r="P1913" s="152">
        <f>IF(L1913="","",IF('02_대상물건입력'!B15="",0,IF(ISNUMBER(SEARCH('02_대상물건입력'!B15,L1913)),1,0)))</f>
        <v/>
      </c>
      <c r="Q1913" s="152">
        <f>IF(OR(C1913="",L1913=""),0,IF(AND(TRIM(C1913)=TRIM(RIGHT(SUBSTITUTE(TRIM('02_대상물건입력'!$B$7)," ",REPT(" ",99)),99)),IF('02_대상물건입력'!B15="",TRUE(),ISNUMBER(SEARCH('02_대상물건입력'!B15,L1913)))),1,0))</f>
        <v/>
      </c>
      <c r="R1913" s="175">
        <f>IFERROR(ABS(E1913-'02_대상물건입력'!B11)/'02_대상물건입력'!B11,"")</f>
        <v/>
      </c>
      <c r="S1913" s="152">
        <f>IFERROR(ABS(J1913-'02_대상물건입력'!B10),"")</f>
        <v/>
      </c>
      <c r="T1913" s="152">
        <f>IFERROR(ABS('01_설정'!B4-F1913),"")</f>
        <v/>
      </c>
      <c r="U1913" s="152">
        <f>IFERROR(ABS(K1913-YEAR('02_대상물건입력'!B14)),"")</f>
        <v/>
      </c>
      <c r="V1913" s="152">
        <f>IF(B1913="","",IF(AND(E1913&gt;0,F1913&gt;0,H1913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1913=1,TRUE()),R1913&lt;='01_설정'!B5,S1913&lt;='01_설정'!B6,T1913&lt;='01_설정'!B7,U1913&lt;='01_설정'!B8),"Y",""))</f>
        <v/>
      </c>
      <c r="W1913" s="172">
        <f>IF(V1913&lt;&gt;"Y","",MAX(0,(1-R1913/'01_설정'!B5))*'01_설정'!B14+MAX(0,(1-S1913/'01_설정'!B6))*'01_설정'!B15+MAX(0,(1-T1913/'01_설정'!B7))*'01_설정'!B16+MAX(0,(1-U1913/'01_설정'!B8))*'01_설정'!B17+O1913*'01_설정'!B11+Q1913*'01_설정'!B12+P1913*'01_설정'!B13+IF(Z1913="",0,Z1913))</f>
        <v/>
      </c>
      <c r="X1913" s="152">
        <f>IF(W1913="","",1+COUNTIFS($W$4:$W$3003,"&gt;"&amp;W1913)+COUNTIFS($W$4:W1913,W1913)-1)</f>
        <v/>
      </c>
      <c r="Y1913" s="175">
        <f>IF(OR(I1913="",'02_대상물건입력'!B19="",'02_대상물건입력'!B19&lt;=0),"",ABS(I1913-'02_대상물건입력'!B19)/'02_대상물건입력'!B19)</f>
        <v/>
      </c>
      <c r="Z1913" s="172">
        <f>IF(OR(Y1913="",'01_설정'!B31="",'01_설정'!B31&lt;=0,'01_설정'!B32="",'01_설정'!B32&lt;=0),"",MAX(0,(1-Y1913/'01_설정'!B32))*'01_설정'!B31)</f>
        <v/>
      </c>
    </row>
    <row r="1914" ht="17.25" customHeight="1">
      <c r="A1914" s="152">
        <f>IF(INDEX('04A_국토부원자료'!$A:$A,ROW()+1)="","",ROW()-3)</f>
        <v/>
      </c>
      <c r="B1914" s="48">
        <f>IFERROR(INDEX('04A_국토부원자료'!$A:$T,ROW()+1,MATCH("시군구",'04A_국토부원자료'!$A$4:$T$4,0)),"")</f>
        <v/>
      </c>
      <c r="C1914" s="48">
        <f>IF(B1914="","",IFERROR(INDEX('04A_국토부원자료'!$A:$T,ROW()+1,MATCH("번지",'04A_국토부원자료'!$A$4:$T$4,0)),""))</f>
        <v/>
      </c>
      <c r="D1914" s="48">
        <f>IF(B1914="","",IF(Q1914=1,'02_대상물건입력'!$B$8,IFERROR(INDEX('04A_국토부원자료'!$A:$T,ROW()+1,MATCH("단지명",'04A_국토부원자료'!$A$4:$T$4,0)),"")))</f>
        <v/>
      </c>
      <c r="E1914" s="172">
        <f>IFERROR(VALUE(SUBSTITUTE(INDEX('04A_국토부원자료'!$A:$T,ROW()+1,MATCH("전용면적(㎡)",'04A_국토부원자료'!$A$4:$T$4,0)),",","")),"")</f>
        <v/>
      </c>
      <c r="F19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14" s="51">
        <f>IFERROR(VALUE(SUBSTITUTE(INDEX('04A_국토부원자료'!$A:$T,ROW()+1,MATCH("거래금액(만원)",'04A_국토부원자료'!$A$4:$T$4,0)),",","")),"")</f>
        <v/>
      </c>
      <c r="H1914" s="174">
        <f>IF(G1914="","",G1914*10000)</f>
        <v/>
      </c>
      <c r="I1914" s="174">
        <f>IFERROR(IF(AND(H1914&gt;0,E1914&gt;0),H1914/E1914,""),"")</f>
        <v/>
      </c>
      <c r="J1914" s="152">
        <f>IFERROR(VALUE(SUBSTITUTE(INDEX('04A_국토부원자료'!$A:$T,ROW()+1,MATCH("층",'04A_국토부원자료'!$A$4:$T$4,0)),",","")),"")</f>
        <v/>
      </c>
      <c r="K1914" s="152">
        <f>IFERROR(VALUE(SUBSTITUTE(INDEX('04A_국토부원자료'!$A:$T,ROW()+1,MATCH("건축년도",'04A_국토부원자료'!$A$4:$T$4,0)),",","")),"")</f>
        <v/>
      </c>
      <c r="L1914" s="48">
        <f>IFERROR(INDEX('04A_국토부원자료'!$A:$T,ROW()+1,MATCH("도로명",'04A_국토부원자료'!$A$4:$T$4,0)),"")</f>
        <v/>
      </c>
      <c r="M1914" s="48">
        <f>IFERROR(INDEX('04A_국토부원자료'!$A:$T,ROW()+1,MATCH("거래유형",'04A_국토부원자료'!$A$4:$T$4,0)),"")</f>
        <v/>
      </c>
      <c r="N1914" s="152">
        <f>IF(B1914="","",IF('02_대상물건입력'!B5="",1,IF(ISNUMBER(SEARCH('02_대상물건입력'!B5,B1914)),1,0)))</f>
        <v/>
      </c>
      <c r="O1914" s="152">
        <f>IF(B1914="","",IF('02_대상물건입력'!B6="",1,IF(ISNUMBER(SEARCH('02_대상물건입력'!B6,B1914)),1,0)))</f>
        <v/>
      </c>
      <c r="P1914" s="152">
        <f>IF(L1914="","",IF('02_대상물건입력'!B15="",0,IF(ISNUMBER(SEARCH('02_대상물건입력'!B15,L1914)),1,0)))</f>
        <v/>
      </c>
      <c r="Q1914" s="152">
        <f>IF(OR(C1914="",L1914=""),0,IF(AND(TRIM(C1914)=TRIM(RIGHT(SUBSTITUTE(TRIM('02_대상물건입력'!$B$7)," ",REPT(" ",99)),99)),IF('02_대상물건입력'!B15="",TRUE(),ISNUMBER(SEARCH('02_대상물건입력'!B15,L1914)))),1,0))</f>
        <v/>
      </c>
      <c r="R1914" s="175">
        <f>IFERROR(ABS(E1914-'02_대상물건입력'!B11)/'02_대상물건입력'!B11,"")</f>
        <v/>
      </c>
      <c r="S1914" s="152">
        <f>IFERROR(ABS(J1914-'02_대상물건입력'!B10),"")</f>
        <v/>
      </c>
      <c r="T1914" s="152">
        <f>IFERROR(ABS('01_설정'!B4-F1914),"")</f>
        <v/>
      </c>
      <c r="U1914" s="152">
        <f>IFERROR(ABS(K1914-YEAR('02_대상물건입력'!B14)),"")</f>
        <v/>
      </c>
      <c r="V1914" s="152">
        <f>IF(B1914="","",IF(AND(E1914&gt;0,F1914&gt;0,H1914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1914=1,TRUE()),R1914&lt;='01_설정'!B5,S1914&lt;='01_설정'!B6,T1914&lt;='01_설정'!B7,U1914&lt;='01_설정'!B8),"Y",""))</f>
        <v/>
      </c>
      <c r="W1914" s="172">
        <f>IF(V1914&lt;&gt;"Y","",MAX(0,(1-R1914/'01_설정'!B5))*'01_설정'!B14+MAX(0,(1-S1914/'01_설정'!B6))*'01_설정'!B15+MAX(0,(1-T1914/'01_설정'!B7))*'01_설정'!B16+MAX(0,(1-U1914/'01_설정'!B8))*'01_설정'!B17+O1914*'01_설정'!B11+Q1914*'01_설정'!B12+P1914*'01_설정'!B13+IF(Z1914="",0,Z1914))</f>
        <v/>
      </c>
      <c r="X1914" s="152">
        <f>IF(W1914="","",1+COUNTIFS($W$4:$W$3003,"&gt;"&amp;W1914)+COUNTIFS($W$4:W1914,W1914)-1)</f>
        <v/>
      </c>
      <c r="Y1914" s="175">
        <f>IF(OR(I1914="",'02_대상물건입력'!B19="",'02_대상물건입력'!B19&lt;=0),"",ABS(I1914-'02_대상물건입력'!B19)/'02_대상물건입력'!B19)</f>
        <v/>
      </c>
      <c r="Z1914" s="172">
        <f>IF(OR(Y1914="",'01_설정'!B31="",'01_설정'!B31&lt;=0,'01_설정'!B32="",'01_설정'!B32&lt;=0),"",MAX(0,(1-Y1914/'01_설정'!B32))*'01_설정'!B31)</f>
        <v/>
      </c>
    </row>
    <row r="1915" ht="17.25" customHeight="1">
      <c r="A1915" s="152">
        <f>IF(INDEX('04A_국토부원자료'!$A:$A,ROW()+1)="","",ROW()-3)</f>
        <v/>
      </c>
      <c r="B1915" s="48">
        <f>IFERROR(INDEX('04A_국토부원자료'!$A:$T,ROW()+1,MATCH("시군구",'04A_국토부원자료'!$A$4:$T$4,0)),"")</f>
        <v/>
      </c>
      <c r="C1915" s="48">
        <f>IF(B1915="","",IFERROR(INDEX('04A_국토부원자료'!$A:$T,ROW()+1,MATCH("번지",'04A_국토부원자료'!$A$4:$T$4,0)),""))</f>
        <v/>
      </c>
      <c r="D1915" s="48">
        <f>IF(B1915="","",IF(Q1915=1,'02_대상물건입력'!$B$8,IFERROR(INDEX('04A_국토부원자료'!$A:$T,ROW()+1,MATCH("단지명",'04A_국토부원자료'!$A$4:$T$4,0)),"")))</f>
        <v/>
      </c>
      <c r="E1915" s="172">
        <f>IFERROR(VALUE(SUBSTITUTE(INDEX('04A_국토부원자료'!$A:$T,ROW()+1,MATCH("전용면적(㎡)",'04A_국토부원자료'!$A$4:$T$4,0)),",","")),"")</f>
        <v/>
      </c>
      <c r="F19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15" s="51">
        <f>IFERROR(VALUE(SUBSTITUTE(INDEX('04A_국토부원자료'!$A:$T,ROW()+1,MATCH("거래금액(만원)",'04A_국토부원자료'!$A$4:$T$4,0)),",","")),"")</f>
        <v/>
      </c>
      <c r="H1915" s="174">
        <f>IF(G1915="","",G1915*10000)</f>
        <v/>
      </c>
      <c r="I1915" s="174">
        <f>IFERROR(IF(AND(H1915&gt;0,E1915&gt;0),H1915/E1915,""),"")</f>
        <v/>
      </c>
      <c r="J1915" s="152">
        <f>IFERROR(VALUE(SUBSTITUTE(INDEX('04A_국토부원자료'!$A:$T,ROW()+1,MATCH("층",'04A_국토부원자료'!$A$4:$T$4,0)),",","")),"")</f>
        <v/>
      </c>
      <c r="K1915" s="152">
        <f>IFERROR(VALUE(SUBSTITUTE(INDEX('04A_국토부원자료'!$A:$T,ROW()+1,MATCH("건축년도",'04A_국토부원자료'!$A$4:$T$4,0)),",","")),"")</f>
        <v/>
      </c>
      <c r="L1915" s="48">
        <f>IFERROR(INDEX('04A_국토부원자료'!$A:$T,ROW()+1,MATCH("도로명",'04A_국토부원자료'!$A$4:$T$4,0)),"")</f>
        <v/>
      </c>
      <c r="M1915" s="48">
        <f>IFERROR(INDEX('04A_국토부원자료'!$A:$T,ROW()+1,MATCH("거래유형",'04A_국토부원자료'!$A$4:$T$4,0)),"")</f>
        <v/>
      </c>
      <c r="N1915" s="152">
        <f>IF(B1915="","",IF('02_대상물건입력'!B5="",1,IF(ISNUMBER(SEARCH('02_대상물건입력'!B5,B1915)),1,0)))</f>
        <v/>
      </c>
      <c r="O1915" s="152">
        <f>IF(B1915="","",IF('02_대상물건입력'!B6="",1,IF(ISNUMBER(SEARCH('02_대상물건입력'!B6,B1915)),1,0)))</f>
        <v/>
      </c>
      <c r="P1915" s="152">
        <f>IF(L1915="","",IF('02_대상물건입력'!B15="",0,IF(ISNUMBER(SEARCH('02_대상물건입력'!B15,L1915)),1,0)))</f>
        <v/>
      </c>
      <c r="Q1915" s="152">
        <f>IF(OR(C1915="",L1915=""),0,IF(AND(TRIM(C1915)=TRIM(RIGHT(SUBSTITUTE(TRIM('02_대상물건입력'!$B$7)," ",REPT(" ",99)),99)),IF('02_대상물건입력'!B15="",TRUE(),ISNUMBER(SEARCH('02_대상물건입력'!B15,L1915)))),1,0))</f>
        <v/>
      </c>
      <c r="R1915" s="175">
        <f>IFERROR(ABS(E1915-'02_대상물건입력'!B11)/'02_대상물건입력'!B11,"")</f>
        <v/>
      </c>
      <c r="S1915" s="152">
        <f>IFERROR(ABS(J1915-'02_대상물건입력'!B10),"")</f>
        <v/>
      </c>
      <c r="T1915" s="152">
        <f>IFERROR(ABS('01_설정'!B4-F1915),"")</f>
        <v/>
      </c>
      <c r="U1915" s="152">
        <f>IFERROR(ABS(K1915-YEAR('02_대상물건입력'!B14)),"")</f>
        <v/>
      </c>
      <c r="V1915" s="152">
        <f>IF(B1915="","",IF(AND(E1915&gt;0,F1915&gt;0,H1915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1915=1,TRUE()),R1915&lt;='01_설정'!B5,S1915&lt;='01_설정'!B6,T1915&lt;='01_설정'!B7,U1915&lt;='01_설정'!B8),"Y",""))</f>
        <v/>
      </c>
      <c r="W1915" s="172">
        <f>IF(V1915&lt;&gt;"Y","",MAX(0,(1-R1915/'01_설정'!B5))*'01_설정'!B14+MAX(0,(1-S1915/'01_설정'!B6))*'01_설정'!B15+MAX(0,(1-T1915/'01_설정'!B7))*'01_설정'!B16+MAX(0,(1-U1915/'01_설정'!B8))*'01_설정'!B17+O1915*'01_설정'!B11+Q1915*'01_설정'!B12+P1915*'01_설정'!B13+IF(Z1915="",0,Z1915))</f>
        <v/>
      </c>
      <c r="X1915" s="152">
        <f>IF(W1915="","",1+COUNTIFS($W$4:$W$3003,"&gt;"&amp;W1915)+COUNTIFS($W$4:W1915,W1915)-1)</f>
        <v/>
      </c>
      <c r="Y1915" s="175">
        <f>IF(OR(I1915="",'02_대상물건입력'!B19="",'02_대상물건입력'!B19&lt;=0),"",ABS(I1915-'02_대상물건입력'!B19)/'02_대상물건입력'!B19)</f>
        <v/>
      </c>
      <c r="Z1915" s="172">
        <f>IF(OR(Y1915="",'01_설정'!B31="",'01_설정'!B31&lt;=0,'01_설정'!B32="",'01_설정'!B32&lt;=0),"",MAX(0,(1-Y1915/'01_설정'!B32))*'01_설정'!B31)</f>
        <v/>
      </c>
    </row>
    <row r="1916" ht="17.25" customHeight="1">
      <c r="A1916" s="152">
        <f>IF(INDEX('04A_국토부원자료'!$A:$A,ROW()+1)="","",ROW()-3)</f>
        <v/>
      </c>
      <c r="B1916" s="48">
        <f>IFERROR(INDEX('04A_국토부원자료'!$A:$T,ROW()+1,MATCH("시군구",'04A_국토부원자료'!$A$4:$T$4,0)),"")</f>
        <v/>
      </c>
      <c r="C1916" s="48">
        <f>IF(B1916="","",IFERROR(INDEX('04A_국토부원자료'!$A:$T,ROW()+1,MATCH("번지",'04A_국토부원자료'!$A$4:$T$4,0)),""))</f>
        <v/>
      </c>
      <c r="D1916" s="48">
        <f>IF(B1916="","",IF(Q1916=1,'02_대상물건입력'!$B$8,IFERROR(INDEX('04A_국토부원자료'!$A:$T,ROW()+1,MATCH("단지명",'04A_국토부원자료'!$A$4:$T$4,0)),"")))</f>
        <v/>
      </c>
      <c r="E1916" s="172">
        <f>IFERROR(VALUE(SUBSTITUTE(INDEX('04A_국토부원자료'!$A:$T,ROW()+1,MATCH("전용면적(㎡)",'04A_국토부원자료'!$A$4:$T$4,0)),",","")),"")</f>
        <v/>
      </c>
      <c r="F19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16" s="51">
        <f>IFERROR(VALUE(SUBSTITUTE(INDEX('04A_국토부원자료'!$A:$T,ROW()+1,MATCH("거래금액(만원)",'04A_국토부원자료'!$A$4:$T$4,0)),",","")),"")</f>
        <v/>
      </c>
      <c r="H1916" s="174">
        <f>IF(G1916="","",G1916*10000)</f>
        <v/>
      </c>
      <c r="I1916" s="174">
        <f>IFERROR(IF(AND(H1916&gt;0,E1916&gt;0),H1916/E1916,""),"")</f>
        <v/>
      </c>
      <c r="J1916" s="152">
        <f>IFERROR(VALUE(SUBSTITUTE(INDEX('04A_국토부원자료'!$A:$T,ROW()+1,MATCH("층",'04A_국토부원자료'!$A$4:$T$4,0)),",","")),"")</f>
        <v/>
      </c>
      <c r="K1916" s="152">
        <f>IFERROR(VALUE(SUBSTITUTE(INDEX('04A_국토부원자료'!$A:$T,ROW()+1,MATCH("건축년도",'04A_국토부원자료'!$A$4:$T$4,0)),",","")),"")</f>
        <v/>
      </c>
      <c r="L1916" s="48">
        <f>IFERROR(INDEX('04A_국토부원자료'!$A:$T,ROW()+1,MATCH("도로명",'04A_국토부원자료'!$A$4:$T$4,0)),"")</f>
        <v/>
      </c>
      <c r="M1916" s="48">
        <f>IFERROR(INDEX('04A_국토부원자료'!$A:$T,ROW()+1,MATCH("거래유형",'04A_국토부원자료'!$A$4:$T$4,0)),"")</f>
        <v/>
      </c>
      <c r="N1916" s="152">
        <f>IF(B1916="","",IF('02_대상물건입력'!B5="",1,IF(ISNUMBER(SEARCH('02_대상물건입력'!B5,B1916)),1,0)))</f>
        <v/>
      </c>
      <c r="O1916" s="152">
        <f>IF(B1916="","",IF('02_대상물건입력'!B6="",1,IF(ISNUMBER(SEARCH('02_대상물건입력'!B6,B1916)),1,0)))</f>
        <v/>
      </c>
      <c r="P1916" s="152">
        <f>IF(L1916="","",IF('02_대상물건입력'!B15="",0,IF(ISNUMBER(SEARCH('02_대상물건입력'!B15,L1916)),1,0)))</f>
        <v/>
      </c>
      <c r="Q1916" s="152">
        <f>IF(OR(C1916="",L1916=""),0,IF(AND(TRIM(C1916)=TRIM(RIGHT(SUBSTITUTE(TRIM('02_대상물건입력'!$B$7)," ",REPT(" ",99)),99)),IF('02_대상물건입력'!B15="",TRUE(),ISNUMBER(SEARCH('02_대상물건입력'!B15,L1916)))),1,0))</f>
        <v/>
      </c>
      <c r="R1916" s="175">
        <f>IFERROR(ABS(E1916-'02_대상물건입력'!B11)/'02_대상물건입력'!B11,"")</f>
        <v/>
      </c>
      <c r="S1916" s="152">
        <f>IFERROR(ABS(J1916-'02_대상물건입력'!B10),"")</f>
        <v/>
      </c>
      <c r="T1916" s="152">
        <f>IFERROR(ABS('01_설정'!B4-F1916),"")</f>
        <v/>
      </c>
      <c r="U1916" s="152">
        <f>IFERROR(ABS(K1916-YEAR('02_대상물건입력'!B14)),"")</f>
        <v/>
      </c>
      <c r="V1916" s="152">
        <f>IF(B1916="","",IF(AND(E1916&gt;0,F1916&gt;0,H1916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1916=1,TRUE()),R1916&lt;='01_설정'!B5,S1916&lt;='01_설정'!B6,T1916&lt;='01_설정'!B7,U1916&lt;='01_설정'!B8),"Y",""))</f>
        <v/>
      </c>
      <c r="W1916" s="172">
        <f>IF(V1916&lt;&gt;"Y","",MAX(0,(1-R1916/'01_설정'!B5))*'01_설정'!B14+MAX(0,(1-S1916/'01_설정'!B6))*'01_설정'!B15+MAX(0,(1-T1916/'01_설정'!B7))*'01_설정'!B16+MAX(0,(1-U1916/'01_설정'!B8))*'01_설정'!B17+O1916*'01_설정'!B11+Q1916*'01_설정'!B12+P1916*'01_설정'!B13+IF(Z1916="",0,Z1916))</f>
        <v/>
      </c>
      <c r="X1916" s="152">
        <f>IF(W1916="","",1+COUNTIFS($W$4:$W$3003,"&gt;"&amp;W1916)+COUNTIFS($W$4:W1916,W1916)-1)</f>
        <v/>
      </c>
      <c r="Y1916" s="175">
        <f>IF(OR(I1916="",'02_대상물건입력'!B19="",'02_대상물건입력'!B19&lt;=0),"",ABS(I1916-'02_대상물건입력'!B19)/'02_대상물건입력'!B19)</f>
        <v/>
      </c>
      <c r="Z1916" s="172">
        <f>IF(OR(Y1916="",'01_설정'!B31="",'01_설정'!B31&lt;=0,'01_설정'!B32="",'01_설정'!B32&lt;=0),"",MAX(0,(1-Y1916/'01_설정'!B32))*'01_설정'!B31)</f>
        <v/>
      </c>
    </row>
    <row r="1917" ht="17.25" customHeight="1">
      <c r="A1917" s="152">
        <f>IF(INDEX('04A_국토부원자료'!$A:$A,ROW()+1)="","",ROW()-3)</f>
        <v/>
      </c>
      <c r="B1917" s="48">
        <f>IFERROR(INDEX('04A_국토부원자료'!$A:$T,ROW()+1,MATCH("시군구",'04A_국토부원자료'!$A$4:$T$4,0)),"")</f>
        <v/>
      </c>
      <c r="C1917" s="48">
        <f>IF(B1917="","",IFERROR(INDEX('04A_국토부원자료'!$A:$T,ROW()+1,MATCH("번지",'04A_국토부원자료'!$A$4:$T$4,0)),""))</f>
        <v/>
      </c>
      <c r="D1917" s="48">
        <f>IF(B1917="","",IF(Q1917=1,'02_대상물건입력'!$B$8,IFERROR(INDEX('04A_국토부원자료'!$A:$T,ROW()+1,MATCH("단지명",'04A_국토부원자료'!$A$4:$T$4,0)),"")))</f>
        <v/>
      </c>
      <c r="E1917" s="172">
        <f>IFERROR(VALUE(SUBSTITUTE(INDEX('04A_국토부원자료'!$A:$T,ROW()+1,MATCH("전용면적(㎡)",'04A_국토부원자료'!$A$4:$T$4,0)),",","")),"")</f>
        <v/>
      </c>
      <c r="F19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17" s="51">
        <f>IFERROR(VALUE(SUBSTITUTE(INDEX('04A_국토부원자료'!$A:$T,ROW()+1,MATCH("거래금액(만원)",'04A_국토부원자료'!$A$4:$T$4,0)),",","")),"")</f>
        <v/>
      </c>
      <c r="H1917" s="174">
        <f>IF(G1917="","",G1917*10000)</f>
        <v/>
      </c>
      <c r="I1917" s="174">
        <f>IFERROR(IF(AND(H1917&gt;0,E1917&gt;0),H1917/E1917,""),"")</f>
        <v/>
      </c>
      <c r="J1917" s="152">
        <f>IFERROR(VALUE(SUBSTITUTE(INDEX('04A_국토부원자료'!$A:$T,ROW()+1,MATCH("층",'04A_국토부원자료'!$A$4:$T$4,0)),",","")),"")</f>
        <v/>
      </c>
      <c r="K1917" s="152">
        <f>IFERROR(VALUE(SUBSTITUTE(INDEX('04A_국토부원자료'!$A:$T,ROW()+1,MATCH("건축년도",'04A_국토부원자료'!$A$4:$T$4,0)),",","")),"")</f>
        <v/>
      </c>
      <c r="L1917" s="48">
        <f>IFERROR(INDEX('04A_국토부원자료'!$A:$T,ROW()+1,MATCH("도로명",'04A_국토부원자료'!$A$4:$T$4,0)),"")</f>
        <v/>
      </c>
      <c r="M1917" s="48">
        <f>IFERROR(INDEX('04A_국토부원자료'!$A:$T,ROW()+1,MATCH("거래유형",'04A_국토부원자료'!$A$4:$T$4,0)),"")</f>
        <v/>
      </c>
      <c r="N1917" s="152">
        <f>IF(B1917="","",IF('02_대상물건입력'!B5="",1,IF(ISNUMBER(SEARCH('02_대상물건입력'!B5,B1917)),1,0)))</f>
        <v/>
      </c>
      <c r="O1917" s="152">
        <f>IF(B1917="","",IF('02_대상물건입력'!B6="",1,IF(ISNUMBER(SEARCH('02_대상물건입력'!B6,B1917)),1,0)))</f>
        <v/>
      </c>
      <c r="P1917" s="152">
        <f>IF(L1917="","",IF('02_대상물건입력'!B15="",0,IF(ISNUMBER(SEARCH('02_대상물건입력'!B15,L1917)),1,0)))</f>
        <v/>
      </c>
      <c r="Q1917" s="152">
        <f>IF(OR(C1917="",L1917=""),0,IF(AND(TRIM(C1917)=TRIM(RIGHT(SUBSTITUTE(TRIM('02_대상물건입력'!$B$7)," ",REPT(" ",99)),99)),IF('02_대상물건입력'!B15="",TRUE(),ISNUMBER(SEARCH('02_대상물건입력'!B15,L1917)))),1,0))</f>
        <v/>
      </c>
      <c r="R1917" s="175">
        <f>IFERROR(ABS(E1917-'02_대상물건입력'!B11)/'02_대상물건입력'!B11,"")</f>
        <v/>
      </c>
      <c r="S1917" s="152">
        <f>IFERROR(ABS(J1917-'02_대상물건입력'!B10),"")</f>
        <v/>
      </c>
      <c r="T1917" s="152">
        <f>IFERROR(ABS('01_설정'!B4-F1917),"")</f>
        <v/>
      </c>
      <c r="U1917" s="152">
        <f>IFERROR(ABS(K1917-YEAR('02_대상물건입력'!B14)),"")</f>
        <v/>
      </c>
      <c r="V1917" s="152">
        <f>IF(B1917="","",IF(AND(E1917&gt;0,F1917&gt;0,H1917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1917=1,TRUE()),R1917&lt;='01_설정'!B5,S1917&lt;='01_설정'!B6,T1917&lt;='01_설정'!B7,U1917&lt;='01_설정'!B8),"Y",""))</f>
        <v/>
      </c>
      <c r="W1917" s="172">
        <f>IF(V1917&lt;&gt;"Y","",MAX(0,(1-R1917/'01_설정'!B5))*'01_설정'!B14+MAX(0,(1-S1917/'01_설정'!B6))*'01_설정'!B15+MAX(0,(1-T1917/'01_설정'!B7))*'01_설정'!B16+MAX(0,(1-U1917/'01_설정'!B8))*'01_설정'!B17+O1917*'01_설정'!B11+Q1917*'01_설정'!B12+P1917*'01_설정'!B13+IF(Z1917="",0,Z1917))</f>
        <v/>
      </c>
      <c r="X1917" s="152">
        <f>IF(W1917="","",1+COUNTIFS($W$4:$W$3003,"&gt;"&amp;W1917)+COUNTIFS($W$4:W1917,W1917)-1)</f>
        <v/>
      </c>
      <c r="Y1917" s="175">
        <f>IF(OR(I1917="",'02_대상물건입력'!B19="",'02_대상물건입력'!B19&lt;=0),"",ABS(I1917-'02_대상물건입력'!B19)/'02_대상물건입력'!B19)</f>
        <v/>
      </c>
      <c r="Z1917" s="172">
        <f>IF(OR(Y1917="",'01_설정'!B31="",'01_설정'!B31&lt;=0,'01_설정'!B32="",'01_설정'!B32&lt;=0),"",MAX(0,(1-Y1917/'01_설정'!B32))*'01_설정'!B31)</f>
        <v/>
      </c>
    </row>
    <row r="1918" ht="17.25" customHeight="1">
      <c r="A1918" s="152">
        <f>IF(INDEX('04A_국토부원자료'!$A:$A,ROW()+1)="","",ROW()-3)</f>
        <v/>
      </c>
      <c r="B1918" s="48">
        <f>IFERROR(INDEX('04A_국토부원자료'!$A:$T,ROW()+1,MATCH("시군구",'04A_국토부원자료'!$A$4:$T$4,0)),"")</f>
        <v/>
      </c>
      <c r="C1918" s="48">
        <f>IF(B1918="","",IFERROR(INDEX('04A_국토부원자료'!$A:$T,ROW()+1,MATCH("번지",'04A_국토부원자료'!$A$4:$T$4,0)),""))</f>
        <v/>
      </c>
      <c r="D1918" s="48">
        <f>IF(B1918="","",IF(Q1918=1,'02_대상물건입력'!$B$8,IFERROR(INDEX('04A_국토부원자료'!$A:$T,ROW()+1,MATCH("단지명",'04A_국토부원자료'!$A$4:$T$4,0)),"")))</f>
        <v/>
      </c>
      <c r="E1918" s="172">
        <f>IFERROR(VALUE(SUBSTITUTE(INDEX('04A_국토부원자료'!$A:$T,ROW()+1,MATCH("전용면적(㎡)",'04A_국토부원자료'!$A$4:$T$4,0)),",","")),"")</f>
        <v/>
      </c>
      <c r="F19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18" s="51">
        <f>IFERROR(VALUE(SUBSTITUTE(INDEX('04A_국토부원자료'!$A:$T,ROW()+1,MATCH("거래금액(만원)",'04A_국토부원자료'!$A$4:$T$4,0)),",","")),"")</f>
        <v/>
      </c>
      <c r="H1918" s="174">
        <f>IF(G1918="","",G1918*10000)</f>
        <v/>
      </c>
      <c r="I1918" s="174">
        <f>IFERROR(IF(AND(H1918&gt;0,E1918&gt;0),H1918/E1918,""),"")</f>
        <v/>
      </c>
      <c r="J1918" s="152">
        <f>IFERROR(VALUE(SUBSTITUTE(INDEX('04A_국토부원자료'!$A:$T,ROW()+1,MATCH("층",'04A_국토부원자료'!$A$4:$T$4,0)),",","")),"")</f>
        <v/>
      </c>
      <c r="K1918" s="152">
        <f>IFERROR(VALUE(SUBSTITUTE(INDEX('04A_국토부원자료'!$A:$T,ROW()+1,MATCH("건축년도",'04A_국토부원자료'!$A$4:$T$4,0)),",","")),"")</f>
        <v/>
      </c>
      <c r="L1918" s="48">
        <f>IFERROR(INDEX('04A_국토부원자료'!$A:$T,ROW()+1,MATCH("도로명",'04A_국토부원자료'!$A$4:$T$4,0)),"")</f>
        <v/>
      </c>
      <c r="M1918" s="48">
        <f>IFERROR(INDEX('04A_국토부원자료'!$A:$T,ROW()+1,MATCH("거래유형",'04A_국토부원자료'!$A$4:$T$4,0)),"")</f>
        <v/>
      </c>
      <c r="N1918" s="152">
        <f>IF(B1918="","",IF('02_대상물건입력'!B5="",1,IF(ISNUMBER(SEARCH('02_대상물건입력'!B5,B1918)),1,0)))</f>
        <v/>
      </c>
      <c r="O1918" s="152">
        <f>IF(B1918="","",IF('02_대상물건입력'!B6="",1,IF(ISNUMBER(SEARCH('02_대상물건입력'!B6,B1918)),1,0)))</f>
        <v/>
      </c>
      <c r="P1918" s="152">
        <f>IF(L1918="","",IF('02_대상물건입력'!B15="",0,IF(ISNUMBER(SEARCH('02_대상물건입력'!B15,L1918)),1,0)))</f>
        <v/>
      </c>
      <c r="Q1918" s="152">
        <f>IF(OR(C1918="",L1918=""),0,IF(AND(TRIM(C1918)=TRIM(RIGHT(SUBSTITUTE(TRIM('02_대상물건입력'!$B$7)," ",REPT(" ",99)),99)),IF('02_대상물건입력'!B15="",TRUE(),ISNUMBER(SEARCH('02_대상물건입력'!B15,L1918)))),1,0))</f>
        <v/>
      </c>
      <c r="R1918" s="175">
        <f>IFERROR(ABS(E1918-'02_대상물건입력'!B11)/'02_대상물건입력'!B11,"")</f>
        <v/>
      </c>
      <c r="S1918" s="152">
        <f>IFERROR(ABS(J1918-'02_대상물건입력'!B10),"")</f>
        <v/>
      </c>
      <c r="T1918" s="152">
        <f>IFERROR(ABS('01_설정'!B4-F1918),"")</f>
        <v/>
      </c>
      <c r="U1918" s="152">
        <f>IFERROR(ABS(K1918-YEAR('02_대상물건입력'!B14)),"")</f>
        <v/>
      </c>
      <c r="V1918" s="152">
        <f>IF(B1918="","",IF(AND(E1918&gt;0,F1918&gt;0,H1918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1918=1,TRUE()),R1918&lt;='01_설정'!B5,S1918&lt;='01_설정'!B6,T1918&lt;='01_설정'!B7,U1918&lt;='01_설정'!B8),"Y",""))</f>
        <v/>
      </c>
      <c r="W1918" s="172">
        <f>IF(V1918&lt;&gt;"Y","",MAX(0,(1-R1918/'01_설정'!B5))*'01_설정'!B14+MAX(0,(1-S1918/'01_설정'!B6))*'01_설정'!B15+MAX(0,(1-T1918/'01_설정'!B7))*'01_설정'!B16+MAX(0,(1-U1918/'01_설정'!B8))*'01_설정'!B17+O1918*'01_설정'!B11+Q1918*'01_설정'!B12+P1918*'01_설정'!B13+IF(Z1918="",0,Z1918))</f>
        <v/>
      </c>
      <c r="X1918" s="152">
        <f>IF(W1918="","",1+COUNTIFS($W$4:$W$3003,"&gt;"&amp;W1918)+COUNTIFS($W$4:W1918,W1918)-1)</f>
        <v/>
      </c>
      <c r="Y1918" s="175">
        <f>IF(OR(I1918="",'02_대상물건입력'!B19="",'02_대상물건입력'!B19&lt;=0),"",ABS(I1918-'02_대상물건입력'!B19)/'02_대상물건입력'!B19)</f>
        <v/>
      </c>
      <c r="Z1918" s="172">
        <f>IF(OR(Y1918="",'01_설정'!B31="",'01_설정'!B31&lt;=0,'01_설정'!B32="",'01_설정'!B32&lt;=0),"",MAX(0,(1-Y1918/'01_설정'!B32))*'01_설정'!B31)</f>
        <v/>
      </c>
    </row>
    <row r="1919" ht="17.25" customHeight="1">
      <c r="A1919" s="152">
        <f>IF(INDEX('04A_국토부원자료'!$A:$A,ROW()+1)="","",ROW()-3)</f>
        <v/>
      </c>
      <c r="B1919" s="48">
        <f>IFERROR(INDEX('04A_국토부원자료'!$A:$T,ROW()+1,MATCH("시군구",'04A_국토부원자료'!$A$4:$T$4,0)),"")</f>
        <v/>
      </c>
      <c r="C1919" s="48">
        <f>IF(B1919="","",IFERROR(INDEX('04A_국토부원자료'!$A:$T,ROW()+1,MATCH("번지",'04A_국토부원자료'!$A$4:$T$4,0)),""))</f>
        <v/>
      </c>
      <c r="D1919" s="48">
        <f>IF(B1919="","",IF(Q1919=1,'02_대상물건입력'!$B$8,IFERROR(INDEX('04A_국토부원자료'!$A:$T,ROW()+1,MATCH("단지명",'04A_국토부원자료'!$A$4:$T$4,0)),"")))</f>
        <v/>
      </c>
      <c r="E1919" s="172">
        <f>IFERROR(VALUE(SUBSTITUTE(INDEX('04A_국토부원자료'!$A:$T,ROW()+1,MATCH("전용면적(㎡)",'04A_국토부원자료'!$A$4:$T$4,0)),",","")),"")</f>
        <v/>
      </c>
      <c r="F19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19" s="51">
        <f>IFERROR(VALUE(SUBSTITUTE(INDEX('04A_국토부원자료'!$A:$T,ROW()+1,MATCH("거래금액(만원)",'04A_국토부원자료'!$A$4:$T$4,0)),",","")),"")</f>
        <v/>
      </c>
      <c r="H1919" s="174">
        <f>IF(G1919="","",G1919*10000)</f>
        <v/>
      </c>
      <c r="I1919" s="174">
        <f>IFERROR(IF(AND(H1919&gt;0,E1919&gt;0),H1919/E1919,""),"")</f>
        <v/>
      </c>
      <c r="J1919" s="152">
        <f>IFERROR(VALUE(SUBSTITUTE(INDEX('04A_국토부원자료'!$A:$T,ROW()+1,MATCH("층",'04A_국토부원자료'!$A$4:$T$4,0)),",","")),"")</f>
        <v/>
      </c>
      <c r="K1919" s="152">
        <f>IFERROR(VALUE(SUBSTITUTE(INDEX('04A_국토부원자료'!$A:$T,ROW()+1,MATCH("건축년도",'04A_국토부원자료'!$A$4:$T$4,0)),",","")),"")</f>
        <v/>
      </c>
      <c r="L1919" s="48">
        <f>IFERROR(INDEX('04A_국토부원자료'!$A:$T,ROW()+1,MATCH("도로명",'04A_국토부원자료'!$A$4:$T$4,0)),"")</f>
        <v/>
      </c>
      <c r="M1919" s="48">
        <f>IFERROR(INDEX('04A_국토부원자료'!$A:$T,ROW()+1,MATCH("거래유형",'04A_국토부원자료'!$A$4:$T$4,0)),"")</f>
        <v/>
      </c>
      <c r="N1919" s="152">
        <f>IF(B1919="","",IF('02_대상물건입력'!B5="",1,IF(ISNUMBER(SEARCH('02_대상물건입력'!B5,B1919)),1,0)))</f>
        <v/>
      </c>
      <c r="O1919" s="152">
        <f>IF(B1919="","",IF('02_대상물건입력'!B6="",1,IF(ISNUMBER(SEARCH('02_대상물건입력'!B6,B1919)),1,0)))</f>
        <v/>
      </c>
      <c r="P1919" s="152">
        <f>IF(L1919="","",IF('02_대상물건입력'!B15="",0,IF(ISNUMBER(SEARCH('02_대상물건입력'!B15,L1919)),1,0)))</f>
        <v/>
      </c>
      <c r="Q1919" s="152">
        <f>IF(OR(C1919="",L1919=""),0,IF(AND(TRIM(C1919)=TRIM(RIGHT(SUBSTITUTE(TRIM('02_대상물건입력'!$B$7)," ",REPT(" ",99)),99)),IF('02_대상물건입력'!B15="",TRUE(),ISNUMBER(SEARCH('02_대상물건입력'!B15,L1919)))),1,0))</f>
        <v/>
      </c>
      <c r="R1919" s="175">
        <f>IFERROR(ABS(E1919-'02_대상물건입력'!B11)/'02_대상물건입력'!B11,"")</f>
        <v/>
      </c>
      <c r="S1919" s="152">
        <f>IFERROR(ABS(J1919-'02_대상물건입력'!B10),"")</f>
        <v/>
      </c>
      <c r="T1919" s="152">
        <f>IFERROR(ABS('01_설정'!B4-F1919),"")</f>
        <v/>
      </c>
      <c r="U1919" s="152">
        <f>IFERROR(ABS(K1919-YEAR('02_대상물건입력'!B14)),"")</f>
        <v/>
      </c>
      <c r="V1919" s="152">
        <f>IF(B1919="","",IF(AND(E1919&gt;0,F1919&gt;0,H1919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1919=1,TRUE()),R1919&lt;='01_설정'!B5,S1919&lt;='01_설정'!B6,T1919&lt;='01_설정'!B7,U1919&lt;='01_설정'!B8),"Y",""))</f>
        <v/>
      </c>
      <c r="W1919" s="172">
        <f>IF(V1919&lt;&gt;"Y","",MAX(0,(1-R1919/'01_설정'!B5))*'01_설정'!B14+MAX(0,(1-S1919/'01_설정'!B6))*'01_설정'!B15+MAX(0,(1-T1919/'01_설정'!B7))*'01_설정'!B16+MAX(0,(1-U1919/'01_설정'!B8))*'01_설정'!B17+O1919*'01_설정'!B11+Q1919*'01_설정'!B12+P1919*'01_설정'!B13+IF(Z1919="",0,Z1919))</f>
        <v/>
      </c>
      <c r="X1919" s="152">
        <f>IF(W1919="","",1+COUNTIFS($W$4:$W$3003,"&gt;"&amp;W1919)+COUNTIFS($W$4:W1919,W1919)-1)</f>
        <v/>
      </c>
      <c r="Y1919" s="175">
        <f>IF(OR(I1919="",'02_대상물건입력'!B19="",'02_대상물건입력'!B19&lt;=0),"",ABS(I1919-'02_대상물건입력'!B19)/'02_대상물건입력'!B19)</f>
        <v/>
      </c>
      <c r="Z1919" s="172">
        <f>IF(OR(Y1919="",'01_설정'!B31="",'01_설정'!B31&lt;=0,'01_설정'!B32="",'01_설정'!B32&lt;=0),"",MAX(0,(1-Y1919/'01_설정'!B32))*'01_설정'!B31)</f>
        <v/>
      </c>
    </row>
    <row r="1920" ht="17.25" customHeight="1">
      <c r="A1920" s="152">
        <f>IF(INDEX('04A_국토부원자료'!$A:$A,ROW()+1)="","",ROW()-3)</f>
        <v/>
      </c>
      <c r="B1920" s="48">
        <f>IFERROR(INDEX('04A_국토부원자료'!$A:$T,ROW()+1,MATCH("시군구",'04A_국토부원자료'!$A$4:$T$4,0)),"")</f>
        <v/>
      </c>
      <c r="C1920" s="48">
        <f>IF(B1920="","",IFERROR(INDEX('04A_국토부원자료'!$A:$T,ROW()+1,MATCH("번지",'04A_국토부원자료'!$A$4:$T$4,0)),""))</f>
        <v/>
      </c>
      <c r="D1920" s="48">
        <f>IF(B1920="","",IF(Q1920=1,'02_대상물건입력'!$B$8,IFERROR(INDEX('04A_국토부원자료'!$A:$T,ROW()+1,MATCH("단지명",'04A_국토부원자료'!$A$4:$T$4,0)),"")))</f>
        <v/>
      </c>
      <c r="E1920" s="172">
        <f>IFERROR(VALUE(SUBSTITUTE(INDEX('04A_국토부원자료'!$A:$T,ROW()+1,MATCH("전용면적(㎡)",'04A_국토부원자료'!$A$4:$T$4,0)),",","")),"")</f>
        <v/>
      </c>
      <c r="F19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20" s="51">
        <f>IFERROR(VALUE(SUBSTITUTE(INDEX('04A_국토부원자료'!$A:$T,ROW()+1,MATCH("거래금액(만원)",'04A_국토부원자료'!$A$4:$T$4,0)),",","")),"")</f>
        <v/>
      </c>
      <c r="H1920" s="174">
        <f>IF(G1920="","",G1920*10000)</f>
        <v/>
      </c>
      <c r="I1920" s="174">
        <f>IFERROR(IF(AND(H1920&gt;0,E1920&gt;0),H1920/E1920,""),"")</f>
        <v/>
      </c>
      <c r="J1920" s="152">
        <f>IFERROR(VALUE(SUBSTITUTE(INDEX('04A_국토부원자료'!$A:$T,ROW()+1,MATCH("층",'04A_국토부원자료'!$A$4:$T$4,0)),",","")),"")</f>
        <v/>
      </c>
      <c r="K1920" s="152">
        <f>IFERROR(VALUE(SUBSTITUTE(INDEX('04A_국토부원자료'!$A:$T,ROW()+1,MATCH("건축년도",'04A_국토부원자료'!$A$4:$T$4,0)),",","")),"")</f>
        <v/>
      </c>
      <c r="L1920" s="48">
        <f>IFERROR(INDEX('04A_국토부원자료'!$A:$T,ROW()+1,MATCH("도로명",'04A_국토부원자료'!$A$4:$T$4,0)),"")</f>
        <v/>
      </c>
      <c r="M1920" s="48">
        <f>IFERROR(INDEX('04A_국토부원자료'!$A:$T,ROW()+1,MATCH("거래유형",'04A_국토부원자료'!$A$4:$T$4,0)),"")</f>
        <v/>
      </c>
      <c r="N1920" s="152">
        <f>IF(B1920="","",IF('02_대상물건입력'!B5="",1,IF(ISNUMBER(SEARCH('02_대상물건입력'!B5,B1920)),1,0)))</f>
        <v/>
      </c>
      <c r="O1920" s="152">
        <f>IF(B1920="","",IF('02_대상물건입력'!B6="",1,IF(ISNUMBER(SEARCH('02_대상물건입력'!B6,B1920)),1,0)))</f>
        <v/>
      </c>
      <c r="P1920" s="152">
        <f>IF(L1920="","",IF('02_대상물건입력'!B15="",0,IF(ISNUMBER(SEARCH('02_대상물건입력'!B15,L1920)),1,0)))</f>
        <v/>
      </c>
      <c r="Q1920" s="152">
        <f>IF(OR(C1920="",L1920=""),0,IF(AND(TRIM(C1920)=TRIM(RIGHT(SUBSTITUTE(TRIM('02_대상물건입력'!$B$7)," ",REPT(" ",99)),99)),IF('02_대상물건입력'!B15="",TRUE(),ISNUMBER(SEARCH('02_대상물건입력'!B15,L1920)))),1,0))</f>
        <v/>
      </c>
      <c r="R1920" s="175">
        <f>IFERROR(ABS(E1920-'02_대상물건입력'!B11)/'02_대상물건입력'!B11,"")</f>
        <v/>
      </c>
      <c r="S1920" s="152">
        <f>IFERROR(ABS(J1920-'02_대상물건입력'!B10),"")</f>
        <v/>
      </c>
      <c r="T1920" s="152">
        <f>IFERROR(ABS('01_설정'!B4-F1920),"")</f>
        <v/>
      </c>
      <c r="U1920" s="152">
        <f>IFERROR(ABS(K1920-YEAR('02_대상물건입력'!B14)),"")</f>
        <v/>
      </c>
      <c r="V1920" s="152">
        <f>IF(B1920="","",IF(AND(E1920&gt;0,F1920&gt;0,H1920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1920=1,TRUE()),R1920&lt;='01_설정'!B5,S1920&lt;='01_설정'!B6,T1920&lt;='01_설정'!B7,U1920&lt;='01_설정'!B8),"Y",""))</f>
        <v/>
      </c>
      <c r="W1920" s="172">
        <f>IF(V1920&lt;&gt;"Y","",MAX(0,(1-R1920/'01_설정'!B5))*'01_설정'!B14+MAX(0,(1-S1920/'01_설정'!B6))*'01_설정'!B15+MAX(0,(1-T1920/'01_설정'!B7))*'01_설정'!B16+MAX(0,(1-U1920/'01_설정'!B8))*'01_설정'!B17+O1920*'01_설정'!B11+Q1920*'01_설정'!B12+P1920*'01_설정'!B13+IF(Z1920="",0,Z1920))</f>
        <v/>
      </c>
      <c r="X1920" s="152">
        <f>IF(W1920="","",1+COUNTIFS($W$4:$W$3003,"&gt;"&amp;W1920)+COUNTIFS($W$4:W1920,W1920)-1)</f>
        <v/>
      </c>
      <c r="Y1920" s="175">
        <f>IF(OR(I1920="",'02_대상물건입력'!B19="",'02_대상물건입력'!B19&lt;=0),"",ABS(I1920-'02_대상물건입력'!B19)/'02_대상물건입력'!B19)</f>
        <v/>
      </c>
      <c r="Z1920" s="172">
        <f>IF(OR(Y1920="",'01_설정'!B31="",'01_설정'!B31&lt;=0,'01_설정'!B32="",'01_설정'!B32&lt;=0),"",MAX(0,(1-Y1920/'01_설정'!B32))*'01_설정'!B31)</f>
        <v/>
      </c>
    </row>
    <row r="1921" ht="17.25" customHeight="1">
      <c r="A1921" s="152">
        <f>IF(INDEX('04A_국토부원자료'!$A:$A,ROW()+1)="","",ROW()-3)</f>
        <v/>
      </c>
      <c r="B1921" s="48">
        <f>IFERROR(INDEX('04A_국토부원자료'!$A:$T,ROW()+1,MATCH("시군구",'04A_국토부원자료'!$A$4:$T$4,0)),"")</f>
        <v/>
      </c>
      <c r="C1921" s="48">
        <f>IF(B1921="","",IFERROR(INDEX('04A_국토부원자료'!$A:$T,ROW()+1,MATCH("번지",'04A_국토부원자료'!$A$4:$T$4,0)),""))</f>
        <v/>
      </c>
      <c r="D1921" s="48">
        <f>IF(B1921="","",IF(Q1921=1,'02_대상물건입력'!$B$8,IFERROR(INDEX('04A_국토부원자료'!$A:$T,ROW()+1,MATCH("단지명",'04A_국토부원자료'!$A$4:$T$4,0)),"")))</f>
        <v/>
      </c>
      <c r="E1921" s="172">
        <f>IFERROR(VALUE(SUBSTITUTE(INDEX('04A_국토부원자료'!$A:$T,ROW()+1,MATCH("전용면적(㎡)",'04A_국토부원자료'!$A$4:$T$4,0)),",","")),"")</f>
        <v/>
      </c>
      <c r="F19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21" s="51">
        <f>IFERROR(VALUE(SUBSTITUTE(INDEX('04A_국토부원자료'!$A:$T,ROW()+1,MATCH("거래금액(만원)",'04A_국토부원자료'!$A$4:$T$4,0)),",","")),"")</f>
        <v/>
      </c>
      <c r="H1921" s="174">
        <f>IF(G1921="","",G1921*10000)</f>
        <v/>
      </c>
      <c r="I1921" s="174">
        <f>IFERROR(IF(AND(H1921&gt;0,E1921&gt;0),H1921/E1921,""),"")</f>
        <v/>
      </c>
      <c r="J1921" s="152">
        <f>IFERROR(VALUE(SUBSTITUTE(INDEX('04A_국토부원자료'!$A:$T,ROW()+1,MATCH("층",'04A_국토부원자료'!$A$4:$T$4,0)),",","")),"")</f>
        <v/>
      </c>
      <c r="K1921" s="152">
        <f>IFERROR(VALUE(SUBSTITUTE(INDEX('04A_국토부원자료'!$A:$T,ROW()+1,MATCH("건축년도",'04A_국토부원자료'!$A$4:$T$4,0)),",","")),"")</f>
        <v/>
      </c>
      <c r="L1921" s="48">
        <f>IFERROR(INDEX('04A_국토부원자료'!$A:$T,ROW()+1,MATCH("도로명",'04A_국토부원자료'!$A$4:$T$4,0)),"")</f>
        <v/>
      </c>
      <c r="M1921" s="48">
        <f>IFERROR(INDEX('04A_국토부원자료'!$A:$T,ROW()+1,MATCH("거래유형",'04A_국토부원자료'!$A$4:$T$4,0)),"")</f>
        <v/>
      </c>
      <c r="N1921" s="152">
        <f>IF(B1921="","",IF('02_대상물건입력'!B5="",1,IF(ISNUMBER(SEARCH('02_대상물건입력'!B5,B1921)),1,0)))</f>
        <v/>
      </c>
      <c r="O1921" s="152">
        <f>IF(B1921="","",IF('02_대상물건입력'!B6="",1,IF(ISNUMBER(SEARCH('02_대상물건입력'!B6,B1921)),1,0)))</f>
        <v/>
      </c>
      <c r="P1921" s="152">
        <f>IF(L1921="","",IF('02_대상물건입력'!B15="",0,IF(ISNUMBER(SEARCH('02_대상물건입력'!B15,L1921)),1,0)))</f>
        <v/>
      </c>
      <c r="Q1921" s="152">
        <f>IF(OR(C1921="",L1921=""),0,IF(AND(TRIM(C1921)=TRIM(RIGHT(SUBSTITUTE(TRIM('02_대상물건입력'!$B$7)," ",REPT(" ",99)),99)),IF('02_대상물건입력'!B15="",TRUE(),ISNUMBER(SEARCH('02_대상물건입력'!B15,L1921)))),1,0))</f>
        <v/>
      </c>
      <c r="R1921" s="175">
        <f>IFERROR(ABS(E1921-'02_대상물건입력'!B11)/'02_대상물건입력'!B11,"")</f>
        <v/>
      </c>
      <c r="S1921" s="152">
        <f>IFERROR(ABS(J1921-'02_대상물건입력'!B10),"")</f>
        <v/>
      </c>
      <c r="T1921" s="152">
        <f>IFERROR(ABS('01_설정'!B4-F1921),"")</f>
        <v/>
      </c>
      <c r="U1921" s="152">
        <f>IFERROR(ABS(K1921-YEAR('02_대상물건입력'!B14)),"")</f>
        <v/>
      </c>
      <c r="V1921" s="152">
        <f>IF(B1921="","",IF(AND(E1921&gt;0,F1921&gt;0,H1921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1921=1,TRUE()),R1921&lt;='01_설정'!B5,S1921&lt;='01_설정'!B6,T1921&lt;='01_설정'!B7,U1921&lt;='01_설정'!B8),"Y",""))</f>
        <v/>
      </c>
      <c r="W1921" s="172">
        <f>IF(V1921&lt;&gt;"Y","",MAX(0,(1-R1921/'01_설정'!B5))*'01_설정'!B14+MAX(0,(1-S1921/'01_설정'!B6))*'01_설정'!B15+MAX(0,(1-T1921/'01_설정'!B7))*'01_설정'!B16+MAX(0,(1-U1921/'01_설정'!B8))*'01_설정'!B17+O1921*'01_설정'!B11+Q1921*'01_설정'!B12+P1921*'01_설정'!B13+IF(Z1921="",0,Z1921))</f>
        <v/>
      </c>
      <c r="X1921" s="152">
        <f>IF(W1921="","",1+COUNTIFS($W$4:$W$3003,"&gt;"&amp;W1921)+COUNTIFS($W$4:W1921,W1921)-1)</f>
        <v/>
      </c>
      <c r="Y1921" s="175">
        <f>IF(OR(I1921="",'02_대상물건입력'!B19="",'02_대상물건입력'!B19&lt;=0),"",ABS(I1921-'02_대상물건입력'!B19)/'02_대상물건입력'!B19)</f>
        <v/>
      </c>
      <c r="Z1921" s="172">
        <f>IF(OR(Y1921="",'01_설정'!B31="",'01_설정'!B31&lt;=0,'01_설정'!B32="",'01_설정'!B32&lt;=0),"",MAX(0,(1-Y1921/'01_설정'!B32))*'01_설정'!B31)</f>
        <v/>
      </c>
    </row>
    <row r="1922" ht="17.25" customHeight="1">
      <c r="A1922" s="152">
        <f>IF(INDEX('04A_국토부원자료'!$A:$A,ROW()+1)="","",ROW()-3)</f>
        <v/>
      </c>
      <c r="B1922" s="48">
        <f>IFERROR(INDEX('04A_국토부원자료'!$A:$T,ROW()+1,MATCH("시군구",'04A_국토부원자료'!$A$4:$T$4,0)),"")</f>
        <v/>
      </c>
      <c r="C1922" s="48">
        <f>IF(B1922="","",IFERROR(INDEX('04A_국토부원자료'!$A:$T,ROW()+1,MATCH("번지",'04A_국토부원자료'!$A$4:$T$4,0)),""))</f>
        <v/>
      </c>
      <c r="D1922" s="48">
        <f>IF(B1922="","",IF(Q1922=1,'02_대상물건입력'!$B$8,IFERROR(INDEX('04A_국토부원자료'!$A:$T,ROW()+1,MATCH("단지명",'04A_국토부원자료'!$A$4:$T$4,0)),"")))</f>
        <v/>
      </c>
      <c r="E1922" s="172">
        <f>IFERROR(VALUE(SUBSTITUTE(INDEX('04A_국토부원자료'!$A:$T,ROW()+1,MATCH("전용면적(㎡)",'04A_국토부원자료'!$A$4:$T$4,0)),",","")),"")</f>
        <v/>
      </c>
      <c r="F19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22" s="51">
        <f>IFERROR(VALUE(SUBSTITUTE(INDEX('04A_국토부원자료'!$A:$T,ROW()+1,MATCH("거래금액(만원)",'04A_국토부원자료'!$A$4:$T$4,0)),",","")),"")</f>
        <v/>
      </c>
      <c r="H1922" s="174">
        <f>IF(G1922="","",G1922*10000)</f>
        <v/>
      </c>
      <c r="I1922" s="174">
        <f>IFERROR(IF(AND(H1922&gt;0,E1922&gt;0),H1922/E1922,""),"")</f>
        <v/>
      </c>
      <c r="J1922" s="152">
        <f>IFERROR(VALUE(SUBSTITUTE(INDEX('04A_국토부원자료'!$A:$T,ROW()+1,MATCH("층",'04A_국토부원자료'!$A$4:$T$4,0)),",","")),"")</f>
        <v/>
      </c>
      <c r="K1922" s="152">
        <f>IFERROR(VALUE(SUBSTITUTE(INDEX('04A_국토부원자료'!$A:$T,ROW()+1,MATCH("건축년도",'04A_국토부원자료'!$A$4:$T$4,0)),",","")),"")</f>
        <v/>
      </c>
      <c r="L1922" s="48">
        <f>IFERROR(INDEX('04A_국토부원자료'!$A:$T,ROW()+1,MATCH("도로명",'04A_국토부원자료'!$A$4:$T$4,0)),"")</f>
        <v/>
      </c>
      <c r="M1922" s="48">
        <f>IFERROR(INDEX('04A_국토부원자료'!$A:$T,ROW()+1,MATCH("거래유형",'04A_국토부원자료'!$A$4:$T$4,0)),"")</f>
        <v/>
      </c>
      <c r="N1922" s="152">
        <f>IF(B1922="","",IF('02_대상물건입력'!B5="",1,IF(ISNUMBER(SEARCH('02_대상물건입력'!B5,B1922)),1,0)))</f>
        <v/>
      </c>
      <c r="O1922" s="152">
        <f>IF(B1922="","",IF('02_대상물건입력'!B6="",1,IF(ISNUMBER(SEARCH('02_대상물건입력'!B6,B1922)),1,0)))</f>
        <v/>
      </c>
      <c r="P1922" s="152">
        <f>IF(L1922="","",IF('02_대상물건입력'!B15="",0,IF(ISNUMBER(SEARCH('02_대상물건입력'!B15,L1922)),1,0)))</f>
        <v/>
      </c>
      <c r="Q1922" s="152">
        <f>IF(OR(C1922="",L1922=""),0,IF(AND(TRIM(C1922)=TRIM(RIGHT(SUBSTITUTE(TRIM('02_대상물건입력'!$B$7)," ",REPT(" ",99)),99)),IF('02_대상물건입력'!B15="",TRUE(),ISNUMBER(SEARCH('02_대상물건입력'!B15,L1922)))),1,0))</f>
        <v/>
      </c>
      <c r="R1922" s="175">
        <f>IFERROR(ABS(E1922-'02_대상물건입력'!B11)/'02_대상물건입력'!B11,"")</f>
        <v/>
      </c>
      <c r="S1922" s="152">
        <f>IFERROR(ABS(J1922-'02_대상물건입력'!B10),"")</f>
        <v/>
      </c>
      <c r="T1922" s="152">
        <f>IFERROR(ABS('01_설정'!B4-F1922),"")</f>
        <v/>
      </c>
      <c r="U1922" s="152">
        <f>IFERROR(ABS(K1922-YEAR('02_대상물건입력'!B14)),"")</f>
        <v/>
      </c>
      <c r="V1922" s="152">
        <f>IF(B1922="","",IF(AND(E1922&gt;0,F1922&gt;0,H1922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1922=1,TRUE()),R1922&lt;='01_설정'!B5,S1922&lt;='01_설정'!B6,T1922&lt;='01_설정'!B7,U1922&lt;='01_설정'!B8),"Y",""))</f>
        <v/>
      </c>
      <c r="W1922" s="172">
        <f>IF(V1922&lt;&gt;"Y","",MAX(0,(1-R1922/'01_설정'!B5))*'01_설정'!B14+MAX(0,(1-S1922/'01_설정'!B6))*'01_설정'!B15+MAX(0,(1-T1922/'01_설정'!B7))*'01_설정'!B16+MAX(0,(1-U1922/'01_설정'!B8))*'01_설정'!B17+O1922*'01_설정'!B11+Q1922*'01_설정'!B12+P1922*'01_설정'!B13+IF(Z1922="",0,Z1922))</f>
        <v/>
      </c>
      <c r="X1922" s="152">
        <f>IF(W1922="","",1+COUNTIFS($W$4:$W$3003,"&gt;"&amp;W1922)+COUNTIFS($W$4:W1922,W1922)-1)</f>
        <v/>
      </c>
      <c r="Y1922" s="175">
        <f>IF(OR(I1922="",'02_대상물건입력'!B19="",'02_대상물건입력'!B19&lt;=0),"",ABS(I1922-'02_대상물건입력'!B19)/'02_대상물건입력'!B19)</f>
        <v/>
      </c>
      <c r="Z1922" s="172">
        <f>IF(OR(Y1922="",'01_설정'!B31="",'01_설정'!B31&lt;=0,'01_설정'!B32="",'01_설정'!B32&lt;=0),"",MAX(0,(1-Y1922/'01_설정'!B32))*'01_설정'!B31)</f>
        <v/>
      </c>
    </row>
    <row r="1923" ht="17.25" customHeight="1">
      <c r="A1923" s="152">
        <f>IF(INDEX('04A_국토부원자료'!$A:$A,ROW()+1)="","",ROW()-3)</f>
        <v/>
      </c>
      <c r="B1923" s="48">
        <f>IFERROR(INDEX('04A_국토부원자료'!$A:$T,ROW()+1,MATCH("시군구",'04A_국토부원자료'!$A$4:$T$4,0)),"")</f>
        <v/>
      </c>
      <c r="C1923" s="48">
        <f>IF(B1923="","",IFERROR(INDEX('04A_국토부원자료'!$A:$T,ROW()+1,MATCH("번지",'04A_국토부원자료'!$A$4:$T$4,0)),""))</f>
        <v/>
      </c>
      <c r="D1923" s="48">
        <f>IF(B1923="","",IF(Q1923=1,'02_대상물건입력'!$B$8,IFERROR(INDEX('04A_국토부원자료'!$A:$T,ROW()+1,MATCH("단지명",'04A_국토부원자료'!$A$4:$T$4,0)),"")))</f>
        <v/>
      </c>
      <c r="E1923" s="172">
        <f>IFERROR(VALUE(SUBSTITUTE(INDEX('04A_국토부원자료'!$A:$T,ROW()+1,MATCH("전용면적(㎡)",'04A_국토부원자료'!$A$4:$T$4,0)),",","")),"")</f>
        <v/>
      </c>
      <c r="F19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23" s="51">
        <f>IFERROR(VALUE(SUBSTITUTE(INDEX('04A_국토부원자료'!$A:$T,ROW()+1,MATCH("거래금액(만원)",'04A_국토부원자료'!$A$4:$T$4,0)),",","")),"")</f>
        <v/>
      </c>
      <c r="H1923" s="174">
        <f>IF(G1923="","",G1923*10000)</f>
        <v/>
      </c>
      <c r="I1923" s="174">
        <f>IFERROR(IF(AND(H1923&gt;0,E1923&gt;0),H1923/E1923,""),"")</f>
        <v/>
      </c>
      <c r="J1923" s="152">
        <f>IFERROR(VALUE(SUBSTITUTE(INDEX('04A_국토부원자료'!$A:$T,ROW()+1,MATCH("층",'04A_국토부원자료'!$A$4:$T$4,0)),",","")),"")</f>
        <v/>
      </c>
      <c r="K1923" s="152">
        <f>IFERROR(VALUE(SUBSTITUTE(INDEX('04A_국토부원자료'!$A:$T,ROW()+1,MATCH("건축년도",'04A_국토부원자료'!$A$4:$T$4,0)),",","")),"")</f>
        <v/>
      </c>
      <c r="L1923" s="48">
        <f>IFERROR(INDEX('04A_국토부원자료'!$A:$T,ROW()+1,MATCH("도로명",'04A_국토부원자료'!$A$4:$T$4,0)),"")</f>
        <v/>
      </c>
      <c r="M1923" s="48">
        <f>IFERROR(INDEX('04A_국토부원자료'!$A:$T,ROW()+1,MATCH("거래유형",'04A_국토부원자료'!$A$4:$T$4,0)),"")</f>
        <v/>
      </c>
      <c r="N1923" s="152">
        <f>IF(B1923="","",IF('02_대상물건입력'!B5="",1,IF(ISNUMBER(SEARCH('02_대상물건입력'!B5,B1923)),1,0)))</f>
        <v/>
      </c>
      <c r="O1923" s="152">
        <f>IF(B1923="","",IF('02_대상물건입력'!B6="",1,IF(ISNUMBER(SEARCH('02_대상물건입력'!B6,B1923)),1,0)))</f>
        <v/>
      </c>
      <c r="P1923" s="152">
        <f>IF(L1923="","",IF('02_대상물건입력'!B15="",0,IF(ISNUMBER(SEARCH('02_대상물건입력'!B15,L1923)),1,0)))</f>
        <v/>
      </c>
      <c r="Q1923" s="152">
        <f>IF(OR(C1923="",L1923=""),0,IF(AND(TRIM(C1923)=TRIM(RIGHT(SUBSTITUTE(TRIM('02_대상물건입력'!$B$7)," ",REPT(" ",99)),99)),IF('02_대상물건입력'!B15="",TRUE(),ISNUMBER(SEARCH('02_대상물건입력'!B15,L1923)))),1,0))</f>
        <v/>
      </c>
      <c r="R1923" s="175">
        <f>IFERROR(ABS(E1923-'02_대상물건입력'!B11)/'02_대상물건입력'!B11,"")</f>
        <v/>
      </c>
      <c r="S1923" s="152">
        <f>IFERROR(ABS(J1923-'02_대상물건입력'!B10),"")</f>
        <v/>
      </c>
      <c r="T1923" s="152">
        <f>IFERROR(ABS('01_설정'!B4-F1923),"")</f>
        <v/>
      </c>
      <c r="U1923" s="152">
        <f>IFERROR(ABS(K1923-YEAR('02_대상물건입력'!B14)),"")</f>
        <v/>
      </c>
      <c r="V1923" s="152">
        <f>IF(B1923="","",IF(AND(E1923&gt;0,F1923&gt;0,H1923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1923=1,TRUE()),R1923&lt;='01_설정'!B5,S1923&lt;='01_설정'!B6,T1923&lt;='01_설정'!B7,U1923&lt;='01_설정'!B8),"Y",""))</f>
        <v/>
      </c>
      <c r="W1923" s="172">
        <f>IF(V1923&lt;&gt;"Y","",MAX(0,(1-R1923/'01_설정'!B5))*'01_설정'!B14+MAX(0,(1-S1923/'01_설정'!B6))*'01_설정'!B15+MAX(0,(1-T1923/'01_설정'!B7))*'01_설정'!B16+MAX(0,(1-U1923/'01_설정'!B8))*'01_설정'!B17+O1923*'01_설정'!B11+Q1923*'01_설정'!B12+P1923*'01_설정'!B13+IF(Z1923="",0,Z1923))</f>
        <v/>
      </c>
      <c r="X1923" s="152">
        <f>IF(W1923="","",1+COUNTIFS($W$4:$W$3003,"&gt;"&amp;W1923)+COUNTIFS($W$4:W1923,W1923)-1)</f>
        <v/>
      </c>
      <c r="Y1923" s="175">
        <f>IF(OR(I1923="",'02_대상물건입력'!B19="",'02_대상물건입력'!B19&lt;=0),"",ABS(I1923-'02_대상물건입력'!B19)/'02_대상물건입력'!B19)</f>
        <v/>
      </c>
      <c r="Z1923" s="172">
        <f>IF(OR(Y1923="",'01_설정'!B31="",'01_설정'!B31&lt;=0,'01_설정'!B32="",'01_설정'!B32&lt;=0),"",MAX(0,(1-Y1923/'01_설정'!B32))*'01_설정'!B31)</f>
        <v/>
      </c>
    </row>
    <row r="1924" ht="17.25" customHeight="1">
      <c r="A1924" s="152">
        <f>IF(INDEX('04A_국토부원자료'!$A:$A,ROW()+1)="","",ROW()-3)</f>
        <v/>
      </c>
      <c r="B1924" s="48">
        <f>IFERROR(INDEX('04A_국토부원자료'!$A:$T,ROW()+1,MATCH("시군구",'04A_국토부원자료'!$A$4:$T$4,0)),"")</f>
        <v/>
      </c>
      <c r="C1924" s="48">
        <f>IF(B1924="","",IFERROR(INDEX('04A_국토부원자료'!$A:$T,ROW()+1,MATCH("번지",'04A_국토부원자료'!$A$4:$T$4,0)),""))</f>
        <v/>
      </c>
      <c r="D1924" s="48">
        <f>IF(B1924="","",IF(Q1924=1,'02_대상물건입력'!$B$8,IFERROR(INDEX('04A_국토부원자료'!$A:$T,ROW()+1,MATCH("단지명",'04A_국토부원자료'!$A$4:$T$4,0)),"")))</f>
        <v/>
      </c>
      <c r="E1924" s="172">
        <f>IFERROR(VALUE(SUBSTITUTE(INDEX('04A_국토부원자료'!$A:$T,ROW()+1,MATCH("전용면적(㎡)",'04A_국토부원자료'!$A$4:$T$4,0)),",","")),"")</f>
        <v/>
      </c>
      <c r="F19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24" s="51">
        <f>IFERROR(VALUE(SUBSTITUTE(INDEX('04A_국토부원자료'!$A:$T,ROW()+1,MATCH("거래금액(만원)",'04A_국토부원자료'!$A$4:$T$4,0)),",","")),"")</f>
        <v/>
      </c>
      <c r="H1924" s="174">
        <f>IF(G1924="","",G1924*10000)</f>
        <v/>
      </c>
      <c r="I1924" s="174">
        <f>IFERROR(IF(AND(H1924&gt;0,E1924&gt;0),H1924/E1924,""),"")</f>
        <v/>
      </c>
      <c r="J1924" s="152">
        <f>IFERROR(VALUE(SUBSTITUTE(INDEX('04A_국토부원자료'!$A:$T,ROW()+1,MATCH("층",'04A_국토부원자료'!$A$4:$T$4,0)),",","")),"")</f>
        <v/>
      </c>
      <c r="K1924" s="152">
        <f>IFERROR(VALUE(SUBSTITUTE(INDEX('04A_국토부원자료'!$A:$T,ROW()+1,MATCH("건축년도",'04A_국토부원자료'!$A$4:$T$4,0)),",","")),"")</f>
        <v/>
      </c>
      <c r="L1924" s="48">
        <f>IFERROR(INDEX('04A_국토부원자료'!$A:$T,ROW()+1,MATCH("도로명",'04A_국토부원자료'!$A$4:$T$4,0)),"")</f>
        <v/>
      </c>
      <c r="M1924" s="48">
        <f>IFERROR(INDEX('04A_국토부원자료'!$A:$T,ROW()+1,MATCH("거래유형",'04A_국토부원자료'!$A$4:$T$4,0)),"")</f>
        <v/>
      </c>
      <c r="N1924" s="152">
        <f>IF(B1924="","",IF('02_대상물건입력'!B5="",1,IF(ISNUMBER(SEARCH('02_대상물건입력'!B5,B1924)),1,0)))</f>
        <v/>
      </c>
      <c r="O1924" s="152">
        <f>IF(B1924="","",IF('02_대상물건입력'!B6="",1,IF(ISNUMBER(SEARCH('02_대상물건입력'!B6,B1924)),1,0)))</f>
        <v/>
      </c>
      <c r="P1924" s="152">
        <f>IF(L1924="","",IF('02_대상물건입력'!B15="",0,IF(ISNUMBER(SEARCH('02_대상물건입력'!B15,L1924)),1,0)))</f>
        <v/>
      </c>
      <c r="Q1924" s="152">
        <f>IF(OR(C1924="",L1924=""),0,IF(AND(TRIM(C1924)=TRIM(RIGHT(SUBSTITUTE(TRIM('02_대상물건입력'!$B$7)," ",REPT(" ",99)),99)),IF('02_대상물건입력'!B15="",TRUE(),ISNUMBER(SEARCH('02_대상물건입력'!B15,L1924)))),1,0))</f>
        <v/>
      </c>
      <c r="R1924" s="175">
        <f>IFERROR(ABS(E1924-'02_대상물건입력'!B11)/'02_대상물건입력'!B11,"")</f>
        <v/>
      </c>
      <c r="S1924" s="152">
        <f>IFERROR(ABS(J1924-'02_대상물건입력'!B10),"")</f>
        <v/>
      </c>
      <c r="T1924" s="152">
        <f>IFERROR(ABS('01_설정'!B4-F1924),"")</f>
        <v/>
      </c>
      <c r="U1924" s="152">
        <f>IFERROR(ABS(K1924-YEAR('02_대상물건입력'!B14)),"")</f>
        <v/>
      </c>
      <c r="V1924" s="152">
        <f>IF(B1924="","",IF(AND(E1924&gt;0,F1924&gt;0,H1924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1924=1,TRUE()),R1924&lt;='01_설정'!B5,S1924&lt;='01_설정'!B6,T1924&lt;='01_설정'!B7,U1924&lt;='01_설정'!B8),"Y",""))</f>
        <v/>
      </c>
      <c r="W1924" s="172">
        <f>IF(V1924&lt;&gt;"Y","",MAX(0,(1-R1924/'01_설정'!B5))*'01_설정'!B14+MAX(0,(1-S1924/'01_설정'!B6))*'01_설정'!B15+MAX(0,(1-T1924/'01_설정'!B7))*'01_설정'!B16+MAX(0,(1-U1924/'01_설정'!B8))*'01_설정'!B17+O1924*'01_설정'!B11+Q1924*'01_설정'!B12+P1924*'01_설정'!B13+IF(Z1924="",0,Z1924))</f>
        <v/>
      </c>
      <c r="X1924" s="152">
        <f>IF(W1924="","",1+COUNTIFS($W$4:$W$3003,"&gt;"&amp;W1924)+COUNTIFS($W$4:W1924,W1924)-1)</f>
        <v/>
      </c>
      <c r="Y1924" s="175">
        <f>IF(OR(I1924="",'02_대상물건입력'!B19="",'02_대상물건입력'!B19&lt;=0),"",ABS(I1924-'02_대상물건입력'!B19)/'02_대상물건입력'!B19)</f>
        <v/>
      </c>
      <c r="Z1924" s="172">
        <f>IF(OR(Y1924="",'01_설정'!B31="",'01_설정'!B31&lt;=0,'01_설정'!B32="",'01_설정'!B32&lt;=0),"",MAX(0,(1-Y1924/'01_설정'!B32))*'01_설정'!B31)</f>
        <v/>
      </c>
    </row>
    <row r="1925" ht="17.25" customHeight="1">
      <c r="A1925" s="152">
        <f>IF(INDEX('04A_국토부원자료'!$A:$A,ROW()+1)="","",ROW()-3)</f>
        <v/>
      </c>
      <c r="B1925" s="48">
        <f>IFERROR(INDEX('04A_국토부원자료'!$A:$T,ROW()+1,MATCH("시군구",'04A_국토부원자료'!$A$4:$T$4,0)),"")</f>
        <v/>
      </c>
      <c r="C1925" s="48">
        <f>IF(B1925="","",IFERROR(INDEX('04A_국토부원자료'!$A:$T,ROW()+1,MATCH("번지",'04A_국토부원자료'!$A$4:$T$4,0)),""))</f>
        <v/>
      </c>
      <c r="D1925" s="48">
        <f>IF(B1925="","",IF(Q1925=1,'02_대상물건입력'!$B$8,IFERROR(INDEX('04A_국토부원자료'!$A:$T,ROW()+1,MATCH("단지명",'04A_국토부원자료'!$A$4:$T$4,0)),"")))</f>
        <v/>
      </c>
      <c r="E1925" s="172">
        <f>IFERROR(VALUE(SUBSTITUTE(INDEX('04A_국토부원자료'!$A:$T,ROW()+1,MATCH("전용면적(㎡)",'04A_국토부원자료'!$A$4:$T$4,0)),",","")),"")</f>
        <v/>
      </c>
      <c r="F19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25" s="51">
        <f>IFERROR(VALUE(SUBSTITUTE(INDEX('04A_국토부원자료'!$A:$T,ROW()+1,MATCH("거래금액(만원)",'04A_국토부원자료'!$A$4:$T$4,0)),",","")),"")</f>
        <v/>
      </c>
      <c r="H1925" s="174">
        <f>IF(G1925="","",G1925*10000)</f>
        <v/>
      </c>
      <c r="I1925" s="174">
        <f>IFERROR(IF(AND(H1925&gt;0,E1925&gt;0),H1925/E1925,""),"")</f>
        <v/>
      </c>
      <c r="J1925" s="152">
        <f>IFERROR(VALUE(SUBSTITUTE(INDEX('04A_국토부원자료'!$A:$T,ROW()+1,MATCH("층",'04A_국토부원자료'!$A$4:$T$4,0)),",","")),"")</f>
        <v/>
      </c>
      <c r="K1925" s="152">
        <f>IFERROR(VALUE(SUBSTITUTE(INDEX('04A_국토부원자료'!$A:$T,ROW()+1,MATCH("건축년도",'04A_국토부원자료'!$A$4:$T$4,0)),",","")),"")</f>
        <v/>
      </c>
      <c r="L1925" s="48">
        <f>IFERROR(INDEX('04A_국토부원자료'!$A:$T,ROW()+1,MATCH("도로명",'04A_국토부원자료'!$A$4:$T$4,0)),"")</f>
        <v/>
      </c>
      <c r="M1925" s="48">
        <f>IFERROR(INDEX('04A_국토부원자료'!$A:$T,ROW()+1,MATCH("거래유형",'04A_국토부원자료'!$A$4:$T$4,0)),"")</f>
        <v/>
      </c>
      <c r="N1925" s="152">
        <f>IF(B1925="","",IF('02_대상물건입력'!B5="",1,IF(ISNUMBER(SEARCH('02_대상물건입력'!B5,B1925)),1,0)))</f>
        <v/>
      </c>
      <c r="O1925" s="152">
        <f>IF(B1925="","",IF('02_대상물건입력'!B6="",1,IF(ISNUMBER(SEARCH('02_대상물건입력'!B6,B1925)),1,0)))</f>
        <v/>
      </c>
      <c r="P1925" s="152">
        <f>IF(L1925="","",IF('02_대상물건입력'!B15="",0,IF(ISNUMBER(SEARCH('02_대상물건입력'!B15,L1925)),1,0)))</f>
        <v/>
      </c>
      <c r="Q1925" s="152">
        <f>IF(OR(C1925="",L1925=""),0,IF(AND(TRIM(C1925)=TRIM(RIGHT(SUBSTITUTE(TRIM('02_대상물건입력'!$B$7)," ",REPT(" ",99)),99)),IF('02_대상물건입력'!B15="",TRUE(),ISNUMBER(SEARCH('02_대상물건입력'!B15,L1925)))),1,0))</f>
        <v/>
      </c>
      <c r="R1925" s="175">
        <f>IFERROR(ABS(E1925-'02_대상물건입력'!B11)/'02_대상물건입력'!B11,"")</f>
        <v/>
      </c>
      <c r="S1925" s="152">
        <f>IFERROR(ABS(J1925-'02_대상물건입력'!B10),"")</f>
        <v/>
      </c>
      <c r="T1925" s="152">
        <f>IFERROR(ABS('01_설정'!B4-F1925),"")</f>
        <v/>
      </c>
      <c r="U1925" s="152">
        <f>IFERROR(ABS(K1925-YEAR('02_대상물건입력'!B14)),"")</f>
        <v/>
      </c>
      <c r="V1925" s="152">
        <f>IF(B1925="","",IF(AND(E1925&gt;0,F1925&gt;0,H1925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1925=1,TRUE()),R1925&lt;='01_설정'!B5,S1925&lt;='01_설정'!B6,T1925&lt;='01_설정'!B7,U1925&lt;='01_설정'!B8),"Y",""))</f>
        <v/>
      </c>
      <c r="W1925" s="172">
        <f>IF(V1925&lt;&gt;"Y","",MAX(0,(1-R1925/'01_설정'!B5))*'01_설정'!B14+MAX(0,(1-S1925/'01_설정'!B6))*'01_설정'!B15+MAX(0,(1-T1925/'01_설정'!B7))*'01_설정'!B16+MAX(0,(1-U1925/'01_설정'!B8))*'01_설정'!B17+O1925*'01_설정'!B11+Q1925*'01_설정'!B12+P1925*'01_설정'!B13+IF(Z1925="",0,Z1925))</f>
        <v/>
      </c>
      <c r="X1925" s="152">
        <f>IF(W1925="","",1+COUNTIFS($W$4:$W$3003,"&gt;"&amp;W1925)+COUNTIFS($W$4:W1925,W1925)-1)</f>
        <v/>
      </c>
      <c r="Y1925" s="175">
        <f>IF(OR(I1925="",'02_대상물건입력'!B19="",'02_대상물건입력'!B19&lt;=0),"",ABS(I1925-'02_대상물건입력'!B19)/'02_대상물건입력'!B19)</f>
        <v/>
      </c>
      <c r="Z1925" s="172">
        <f>IF(OR(Y1925="",'01_설정'!B31="",'01_설정'!B31&lt;=0,'01_설정'!B32="",'01_설정'!B32&lt;=0),"",MAX(0,(1-Y1925/'01_설정'!B32))*'01_설정'!B31)</f>
        <v/>
      </c>
    </row>
    <row r="1926" ht="17.25" customHeight="1">
      <c r="A1926" s="152">
        <f>IF(INDEX('04A_국토부원자료'!$A:$A,ROW()+1)="","",ROW()-3)</f>
        <v/>
      </c>
      <c r="B1926" s="48">
        <f>IFERROR(INDEX('04A_국토부원자료'!$A:$T,ROW()+1,MATCH("시군구",'04A_국토부원자료'!$A$4:$T$4,0)),"")</f>
        <v/>
      </c>
      <c r="C1926" s="48">
        <f>IF(B1926="","",IFERROR(INDEX('04A_국토부원자료'!$A:$T,ROW()+1,MATCH("번지",'04A_국토부원자료'!$A$4:$T$4,0)),""))</f>
        <v/>
      </c>
      <c r="D1926" s="48">
        <f>IF(B1926="","",IF(Q1926=1,'02_대상물건입력'!$B$8,IFERROR(INDEX('04A_국토부원자료'!$A:$T,ROW()+1,MATCH("단지명",'04A_국토부원자료'!$A$4:$T$4,0)),"")))</f>
        <v/>
      </c>
      <c r="E1926" s="172">
        <f>IFERROR(VALUE(SUBSTITUTE(INDEX('04A_국토부원자료'!$A:$T,ROW()+1,MATCH("전용면적(㎡)",'04A_국토부원자료'!$A$4:$T$4,0)),",","")),"")</f>
        <v/>
      </c>
      <c r="F19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26" s="51">
        <f>IFERROR(VALUE(SUBSTITUTE(INDEX('04A_국토부원자료'!$A:$T,ROW()+1,MATCH("거래금액(만원)",'04A_국토부원자료'!$A$4:$T$4,0)),",","")),"")</f>
        <v/>
      </c>
      <c r="H1926" s="174">
        <f>IF(G1926="","",G1926*10000)</f>
        <v/>
      </c>
      <c r="I1926" s="174">
        <f>IFERROR(IF(AND(H1926&gt;0,E1926&gt;0),H1926/E1926,""),"")</f>
        <v/>
      </c>
      <c r="J1926" s="152">
        <f>IFERROR(VALUE(SUBSTITUTE(INDEX('04A_국토부원자료'!$A:$T,ROW()+1,MATCH("층",'04A_국토부원자료'!$A$4:$T$4,0)),",","")),"")</f>
        <v/>
      </c>
      <c r="K1926" s="152">
        <f>IFERROR(VALUE(SUBSTITUTE(INDEX('04A_국토부원자료'!$A:$T,ROW()+1,MATCH("건축년도",'04A_국토부원자료'!$A$4:$T$4,0)),",","")),"")</f>
        <v/>
      </c>
      <c r="L1926" s="48">
        <f>IFERROR(INDEX('04A_국토부원자료'!$A:$T,ROW()+1,MATCH("도로명",'04A_국토부원자료'!$A$4:$T$4,0)),"")</f>
        <v/>
      </c>
      <c r="M1926" s="48">
        <f>IFERROR(INDEX('04A_국토부원자료'!$A:$T,ROW()+1,MATCH("거래유형",'04A_국토부원자료'!$A$4:$T$4,0)),"")</f>
        <v/>
      </c>
      <c r="N1926" s="152">
        <f>IF(B1926="","",IF('02_대상물건입력'!B5="",1,IF(ISNUMBER(SEARCH('02_대상물건입력'!B5,B1926)),1,0)))</f>
        <v/>
      </c>
      <c r="O1926" s="152">
        <f>IF(B1926="","",IF('02_대상물건입력'!B6="",1,IF(ISNUMBER(SEARCH('02_대상물건입력'!B6,B1926)),1,0)))</f>
        <v/>
      </c>
      <c r="P1926" s="152">
        <f>IF(L1926="","",IF('02_대상물건입력'!B15="",0,IF(ISNUMBER(SEARCH('02_대상물건입력'!B15,L1926)),1,0)))</f>
        <v/>
      </c>
      <c r="Q1926" s="152">
        <f>IF(OR(C1926="",L1926=""),0,IF(AND(TRIM(C1926)=TRIM(RIGHT(SUBSTITUTE(TRIM('02_대상물건입력'!$B$7)," ",REPT(" ",99)),99)),IF('02_대상물건입력'!B15="",TRUE(),ISNUMBER(SEARCH('02_대상물건입력'!B15,L1926)))),1,0))</f>
        <v/>
      </c>
      <c r="R1926" s="175">
        <f>IFERROR(ABS(E1926-'02_대상물건입력'!B11)/'02_대상물건입력'!B11,"")</f>
        <v/>
      </c>
      <c r="S1926" s="152">
        <f>IFERROR(ABS(J1926-'02_대상물건입력'!B10),"")</f>
        <v/>
      </c>
      <c r="T1926" s="152">
        <f>IFERROR(ABS('01_설정'!B4-F1926),"")</f>
        <v/>
      </c>
      <c r="U1926" s="152">
        <f>IFERROR(ABS(K1926-YEAR('02_대상물건입력'!B14)),"")</f>
        <v/>
      </c>
      <c r="V1926" s="152">
        <f>IF(B1926="","",IF(AND(E1926&gt;0,F1926&gt;0,H1926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1926=1,TRUE()),R1926&lt;='01_설정'!B5,S1926&lt;='01_설정'!B6,T1926&lt;='01_설정'!B7,U1926&lt;='01_설정'!B8),"Y",""))</f>
        <v/>
      </c>
      <c r="W1926" s="172">
        <f>IF(V1926&lt;&gt;"Y","",MAX(0,(1-R1926/'01_설정'!B5))*'01_설정'!B14+MAX(0,(1-S1926/'01_설정'!B6))*'01_설정'!B15+MAX(0,(1-T1926/'01_설정'!B7))*'01_설정'!B16+MAX(0,(1-U1926/'01_설정'!B8))*'01_설정'!B17+O1926*'01_설정'!B11+Q1926*'01_설정'!B12+P1926*'01_설정'!B13+IF(Z1926="",0,Z1926))</f>
        <v/>
      </c>
      <c r="X1926" s="152">
        <f>IF(W1926="","",1+COUNTIFS($W$4:$W$3003,"&gt;"&amp;W1926)+COUNTIFS($W$4:W1926,W1926)-1)</f>
        <v/>
      </c>
      <c r="Y1926" s="175">
        <f>IF(OR(I1926="",'02_대상물건입력'!B19="",'02_대상물건입력'!B19&lt;=0),"",ABS(I1926-'02_대상물건입력'!B19)/'02_대상물건입력'!B19)</f>
        <v/>
      </c>
      <c r="Z1926" s="172">
        <f>IF(OR(Y1926="",'01_설정'!B31="",'01_설정'!B31&lt;=0,'01_설정'!B32="",'01_설정'!B32&lt;=0),"",MAX(0,(1-Y1926/'01_설정'!B32))*'01_설정'!B31)</f>
        <v/>
      </c>
    </row>
    <row r="1927" ht="17.25" customHeight="1">
      <c r="A1927" s="152">
        <f>IF(INDEX('04A_국토부원자료'!$A:$A,ROW()+1)="","",ROW()-3)</f>
        <v/>
      </c>
      <c r="B1927" s="48">
        <f>IFERROR(INDEX('04A_국토부원자료'!$A:$T,ROW()+1,MATCH("시군구",'04A_국토부원자료'!$A$4:$T$4,0)),"")</f>
        <v/>
      </c>
      <c r="C1927" s="48">
        <f>IF(B1927="","",IFERROR(INDEX('04A_국토부원자료'!$A:$T,ROW()+1,MATCH("번지",'04A_국토부원자료'!$A$4:$T$4,0)),""))</f>
        <v/>
      </c>
      <c r="D1927" s="48">
        <f>IF(B1927="","",IF(Q1927=1,'02_대상물건입력'!$B$8,IFERROR(INDEX('04A_국토부원자료'!$A:$T,ROW()+1,MATCH("단지명",'04A_국토부원자료'!$A$4:$T$4,0)),"")))</f>
        <v/>
      </c>
      <c r="E1927" s="172">
        <f>IFERROR(VALUE(SUBSTITUTE(INDEX('04A_국토부원자료'!$A:$T,ROW()+1,MATCH("전용면적(㎡)",'04A_국토부원자료'!$A$4:$T$4,0)),",","")),"")</f>
        <v/>
      </c>
      <c r="F19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27" s="51">
        <f>IFERROR(VALUE(SUBSTITUTE(INDEX('04A_국토부원자료'!$A:$T,ROW()+1,MATCH("거래금액(만원)",'04A_국토부원자료'!$A$4:$T$4,0)),",","")),"")</f>
        <v/>
      </c>
      <c r="H1927" s="174">
        <f>IF(G1927="","",G1927*10000)</f>
        <v/>
      </c>
      <c r="I1927" s="174">
        <f>IFERROR(IF(AND(H1927&gt;0,E1927&gt;0),H1927/E1927,""),"")</f>
        <v/>
      </c>
      <c r="J1927" s="152">
        <f>IFERROR(VALUE(SUBSTITUTE(INDEX('04A_국토부원자료'!$A:$T,ROW()+1,MATCH("층",'04A_국토부원자료'!$A$4:$T$4,0)),",","")),"")</f>
        <v/>
      </c>
      <c r="K1927" s="152">
        <f>IFERROR(VALUE(SUBSTITUTE(INDEX('04A_국토부원자료'!$A:$T,ROW()+1,MATCH("건축년도",'04A_국토부원자료'!$A$4:$T$4,0)),",","")),"")</f>
        <v/>
      </c>
      <c r="L1927" s="48">
        <f>IFERROR(INDEX('04A_국토부원자료'!$A:$T,ROW()+1,MATCH("도로명",'04A_국토부원자료'!$A$4:$T$4,0)),"")</f>
        <v/>
      </c>
      <c r="M1927" s="48">
        <f>IFERROR(INDEX('04A_국토부원자료'!$A:$T,ROW()+1,MATCH("거래유형",'04A_국토부원자료'!$A$4:$T$4,0)),"")</f>
        <v/>
      </c>
      <c r="N1927" s="152">
        <f>IF(B1927="","",IF('02_대상물건입력'!B5="",1,IF(ISNUMBER(SEARCH('02_대상물건입력'!B5,B1927)),1,0)))</f>
        <v/>
      </c>
      <c r="O1927" s="152">
        <f>IF(B1927="","",IF('02_대상물건입력'!B6="",1,IF(ISNUMBER(SEARCH('02_대상물건입력'!B6,B1927)),1,0)))</f>
        <v/>
      </c>
      <c r="P1927" s="152">
        <f>IF(L1927="","",IF('02_대상물건입력'!B15="",0,IF(ISNUMBER(SEARCH('02_대상물건입력'!B15,L1927)),1,0)))</f>
        <v/>
      </c>
      <c r="Q1927" s="152">
        <f>IF(OR(C1927="",L1927=""),0,IF(AND(TRIM(C1927)=TRIM(RIGHT(SUBSTITUTE(TRIM('02_대상물건입력'!$B$7)," ",REPT(" ",99)),99)),IF('02_대상물건입력'!B15="",TRUE(),ISNUMBER(SEARCH('02_대상물건입력'!B15,L1927)))),1,0))</f>
        <v/>
      </c>
      <c r="R1927" s="175">
        <f>IFERROR(ABS(E1927-'02_대상물건입력'!B11)/'02_대상물건입력'!B11,"")</f>
        <v/>
      </c>
      <c r="S1927" s="152">
        <f>IFERROR(ABS(J1927-'02_대상물건입력'!B10),"")</f>
        <v/>
      </c>
      <c r="T1927" s="152">
        <f>IFERROR(ABS('01_설정'!B4-F1927),"")</f>
        <v/>
      </c>
      <c r="U1927" s="152">
        <f>IFERROR(ABS(K1927-YEAR('02_대상물건입력'!B14)),"")</f>
        <v/>
      </c>
      <c r="V1927" s="152">
        <f>IF(B1927="","",IF(AND(E1927&gt;0,F1927&gt;0,H1927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1927=1,TRUE()),R1927&lt;='01_설정'!B5,S1927&lt;='01_설정'!B6,T1927&lt;='01_설정'!B7,U1927&lt;='01_설정'!B8),"Y",""))</f>
        <v/>
      </c>
      <c r="W1927" s="172">
        <f>IF(V1927&lt;&gt;"Y","",MAX(0,(1-R1927/'01_설정'!B5))*'01_설정'!B14+MAX(0,(1-S1927/'01_설정'!B6))*'01_설정'!B15+MAX(0,(1-T1927/'01_설정'!B7))*'01_설정'!B16+MAX(0,(1-U1927/'01_설정'!B8))*'01_설정'!B17+O1927*'01_설정'!B11+Q1927*'01_설정'!B12+P1927*'01_설정'!B13+IF(Z1927="",0,Z1927))</f>
        <v/>
      </c>
      <c r="X1927" s="152">
        <f>IF(W1927="","",1+COUNTIFS($W$4:$W$3003,"&gt;"&amp;W1927)+COUNTIFS($W$4:W1927,W1927)-1)</f>
        <v/>
      </c>
      <c r="Y1927" s="175">
        <f>IF(OR(I1927="",'02_대상물건입력'!B19="",'02_대상물건입력'!B19&lt;=0),"",ABS(I1927-'02_대상물건입력'!B19)/'02_대상물건입력'!B19)</f>
        <v/>
      </c>
      <c r="Z1927" s="172">
        <f>IF(OR(Y1927="",'01_설정'!B31="",'01_설정'!B31&lt;=0,'01_설정'!B32="",'01_설정'!B32&lt;=0),"",MAX(0,(1-Y1927/'01_설정'!B32))*'01_설정'!B31)</f>
        <v/>
      </c>
    </row>
    <row r="1928" ht="17.25" customHeight="1">
      <c r="A1928" s="152">
        <f>IF(INDEX('04A_국토부원자료'!$A:$A,ROW()+1)="","",ROW()-3)</f>
        <v/>
      </c>
      <c r="B1928" s="48">
        <f>IFERROR(INDEX('04A_국토부원자료'!$A:$T,ROW()+1,MATCH("시군구",'04A_국토부원자료'!$A$4:$T$4,0)),"")</f>
        <v/>
      </c>
      <c r="C1928" s="48">
        <f>IF(B1928="","",IFERROR(INDEX('04A_국토부원자료'!$A:$T,ROW()+1,MATCH("번지",'04A_국토부원자료'!$A$4:$T$4,0)),""))</f>
        <v/>
      </c>
      <c r="D1928" s="48">
        <f>IF(B1928="","",IF(Q1928=1,'02_대상물건입력'!$B$8,IFERROR(INDEX('04A_국토부원자료'!$A:$T,ROW()+1,MATCH("단지명",'04A_국토부원자료'!$A$4:$T$4,0)),"")))</f>
        <v/>
      </c>
      <c r="E1928" s="172">
        <f>IFERROR(VALUE(SUBSTITUTE(INDEX('04A_국토부원자료'!$A:$T,ROW()+1,MATCH("전용면적(㎡)",'04A_국토부원자료'!$A$4:$T$4,0)),",","")),"")</f>
        <v/>
      </c>
      <c r="F19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28" s="51">
        <f>IFERROR(VALUE(SUBSTITUTE(INDEX('04A_국토부원자료'!$A:$T,ROW()+1,MATCH("거래금액(만원)",'04A_국토부원자료'!$A$4:$T$4,0)),",","")),"")</f>
        <v/>
      </c>
      <c r="H1928" s="174">
        <f>IF(G1928="","",G1928*10000)</f>
        <v/>
      </c>
      <c r="I1928" s="174">
        <f>IFERROR(IF(AND(H1928&gt;0,E1928&gt;0),H1928/E1928,""),"")</f>
        <v/>
      </c>
      <c r="J1928" s="152">
        <f>IFERROR(VALUE(SUBSTITUTE(INDEX('04A_국토부원자료'!$A:$T,ROW()+1,MATCH("층",'04A_국토부원자료'!$A$4:$T$4,0)),",","")),"")</f>
        <v/>
      </c>
      <c r="K1928" s="152">
        <f>IFERROR(VALUE(SUBSTITUTE(INDEX('04A_국토부원자료'!$A:$T,ROW()+1,MATCH("건축년도",'04A_국토부원자료'!$A$4:$T$4,0)),",","")),"")</f>
        <v/>
      </c>
      <c r="L1928" s="48">
        <f>IFERROR(INDEX('04A_국토부원자료'!$A:$T,ROW()+1,MATCH("도로명",'04A_국토부원자료'!$A$4:$T$4,0)),"")</f>
        <v/>
      </c>
      <c r="M1928" s="48">
        <f>IFERROR(INDEX('04A_국토부원자료'!$A:$T,ROW()+1,MATCH("거래유형",'04A_국토부원자료'!$A$4:$T$4,0)),"")</f>
        <v/>
      </c>
      <c r="N1928" s="152">
        <f>IF(B1928="","",IF('02_대상물건입력'!B5="",1,IF(ISNUMBER(SEARCH('02_대상물건입력'!B5,B1928)),1,0)))</f>
        <v/>
      </c>
      <c r="O1928" s="152">
        <f>IF(B1928="","",IF('02_대상물건입력'!B6="",1,IF(ISNUMBER(SEARCH('02_대상물건입력'!B6,B1928)),1,0)))</f>
        <v/>
      </c>
      <c r="P1928" s="152">
        <f>IF(L1928="","",IF('02_대상물건입력'!B15="",0,IF(ISNUMBER(SEARCH('02_대상물건입력'!B15,L1928)),1,0)))</f>
        <v/>
      </c>
      <c r="Q1928" s="152">
        <f>IF(OR(C1928="",L1928=""),0,IF(AND(TRIM(C1928)=TRIM(RIGHT(SUBSTITUTE(TRIM('02_대상물건입력'!$B$7)," ",REPT(" ",99)),99)),IF('02_대상물건입력'!B15="",TRUE(),ISNUMBER(SEARCH('02_대상물건입력'!B15,L1928)))),1,0))</f>
        <v/>
      </c>
      <c r="R1928" s="175">
        <f>IFERROR(ABS(E1928-'02_대상물건입력'!B11)/'02_대상물건입력'!B11,"")</f>
        <v/>
      </c>
      <c r="S1928" s="152">
        <f>IFERROR(ABS(J1928-'02_대상물건입력'!B10),"")</f>
        <v/>
      </c>
      <c r="T1928" s="152">
        <f>IFERROR(ABS('01_설정'!B4-F1928),"")</f>
        <v/>
      </c>
      <c r="U1928" s="152">
        <f>IFERROR(ABS(K1928-YEAR('02_대상물건입력'!B14)),"")</f>
        <v/>
      </c>
      <c r="V1928" s="152">
        <f>IF(B1928="","",IF(AND(E1928&gt;0,F1928&gt;0,H1928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1928=1,TRUE()),R1928&lt;='01_설정'!B5,S1928&lt;='01_설정'!B6,T1928&lt;='01_설정'!B7,U1928&lt;='01_설정'!B8),"Y",""))</f>
        <v/>
      </c>
      <c r="W1928" s="172">
        <f>IF(V1928&lt;&gt;"Y","",MAX(0,(1-R1928/'01_설정'!B5))*'01_설정'!B14+MAX(0,(1-S1928/'01_설정'!B6))*'01_설정'!B15+MAX(0,(1-T1928/'01_설정'!B7))*'01_설정'!B16+MAX(0,(1-U1928/'01_설정'!B8))*'01_설정'!B17+O1928*'01_설정'!B11+Q1928*'01_설정'!B12+P1928*'01_설정'!B13+IF(Z1928="",0,Z1928))</f>
        <v/>
      </c>
      <c r="X1928" s="152">
        <f>IF(W1928="","",1+COUNTIFS($W$4:$W$3003,"&gt;"&amp;W1928)+COUNTIFS($W$4:W1928,W1928)-1)</f>
        <v/>
      </c>
      <c r="Y1928" s="175">
        <f>IF(OR(I1928="",'02_대상물건입력'!B19="",'02_대상물건입력'!B19&lt;=0),"",ABS(I1928-'02_대상물건입력'!B19)/'02_대상물건입력'!B19)</f>
        <v/>
      </c>
      <c r="Z1928" s="172">
        <f>IF(OR(Y1928="",'01_설정'!B31="",'01_설정'!B31&lt;=0,'01_설정'!B32="",'01_설정'!B32&lt;=0),"",MAX(0,(1-Y1928/'01_설정'!B32))*'01_설정'!B31)</f>
        <v/>
      </c>
    </row>
    <row r="1929" ht="17.25" customHeight="1">
      <c r="A1929" s="152">
        <f>IF(INDEX('04A_국토부원자료'!$A:$A,ROW()+1)="","",ROW()-3)</f>
        <v/>
      </c>
      <c r="B1929" s="48">
        <f>IFERROR(INDEX('04A_국토부원자료'!$A:$T,ROW()+1,MATCH("시군구",'04A_국토부원자료'!$A$4:$T$4,0)),"")</f>
        <v/>
      </c>
      <c r="C1929" s="48">
        <f>IF(B1929="","",IFERROR(INDEX('04A_국토부원자료'!$A:$T,ROW()+1,MATCH("번지",'04A_국토부원자료'!$A$4:$T$4,0)),""))</f>
        <v/>
      </c>
      <c r="D1929" s="48">
        <f>IF(B1929="","",IF(Q1929=1,'02_대상물건입력'!$B$8,IFERROR(INDEX('04A_국토부원자료'!$A:$T,ROW()+1,MATCH("단지명",'04A_국토부원자료'!$A$4:$T$4,0)),"")))</f>
        <v/>
      </c>
      <c r="E1929" s="172">
        <f>IFERROR(VALUE(SUBSTITUTE(INDEX('04A_국토부원자료'!$A:$T,ROW()+1,MATCH("전용면적(㎡)",'04A_국토부원자료'!$A$4:$T$4,0)),",","")),"")</f>
        <v/>
      </c>
      <c r="F19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29" s="51">
        <f>IFERROR(VALUE(SUBSTITUTE(INDEX('04A_국토부원자료'!$A:$T,ROW()+1,MATCH("거래금액(만원)",'04A_국토부원자료'!$A$4:$T$4,0)),",","")),"")</f>
        <v/>
      </c>
      <c r="H1929" s="174">
        <f>IF(G1929="","",G1929*10000)</f>
        <v/>
      </c>
      <c r="I1929" s="174">
        <f>IFERROR(IF(AND(H1929&gt;0,E1929&gt;0),H1929/E1929,""),"")</f>
        <v/>
      </c>
      <c r="J1929" s="152">
        <f>IFERROR(VALUE(SUBSTITUTE(INDEX('04A_국토부원자료'!$A:$T,ROW()+1,MATCH("층",'04A_국토부원자료'!$A$4:$T$4,0)),",","")),"")</f>
        <v/>
      </c>
      <c r="K1929" s="152">
        <f>IFERROR(VALUE(SUBSTITUTE(INDEX('04A_국토부원자료'!$A:$T,ROW()+1,MATCH("건축년도",'04A_국토부원자료'!$A$4:$T$4,0)),",","")),"")</f>
        <v/>
      </c>
      <c r="L1929" s="48">
        <f>IFERROR(INDEX('04A_국토부원자료'!$A:$T,ROW()+1,MATCH("도로명",'04A_국토부원자료'!$A$4:$T$4,0)),"")</f>
        <v/>
      </c>
      <c r="M1929" s="48">
        <f>IFERROR(INDEX('04A_국토부원자료'!$A:$T,ROW()+1,MATCH("거래유형",'04A_국토부원자료'!$A$4:$T$4,0)),"")</f>
        <v/>
      </c>
      <c r="N1929" s="152">
        <f>IF(B1929="","",IF('02_대상물건입력'!B5="",1,IF(ISNUMBER(SEARCH('02_대상물건입력'!B5,B1929)),1,0)))</f>
        <v/>
      </c>
      <c r="O1929" s="152">
        <f>IF(B1929="","",IF('02_대상물건입력'!B6="",1,IF(ISNUMBER(SEARCH('02_대상물건입력'!B6,B1929)),1,0)))</f>
        <v/>
      </c>
      <c r="P1929" s="152">
        <f>IF(L1929="","",IF('02_대상물건입력'!B15="",0,IF(ISNUMBER(SEARCH('02_대상물건입력'!B15,L1929)),1,0)))</f>
        <v/>
      </c>
      <c r="Q1929" s="152">
        <f>IF(OR(C1929="",L1929=""),0,IF(AND(TRIM(C1929)=TRIM(RIGHT(SUBSTITUTE(TRIM('02_대상물건입력'!$B$7)," ",REPT(" ",99)),99)),IF('02_대상물건입력'!B15="",TRUE(),ISNUMBER(SEARCH('02_대상물건입력'!B15,L1929)))),1,0))</f>
        <v/>
      </c>
      <c r="R1929" s="175">
        <f>IFERROR(ABS(E1929-'02_대상물건입력'!B11)/'02_대상물건입력'!B11,"")</f>
        <v/>
      </c>
      <c r="S1929" s="152">
        <f>IFERROR(ABS(J1929-'02_대상물건입력'!B10),"")</f>
        <v/>
      </c>
      <c r="T1929" s="152">
        <f>IFERROR(ABS('01_설정'!B4-F1929),"")</f>
        <v/>
      </c>
      <c r="U1929" s="152">
        <f>IFERROR(ABS(K1929-YEAR('02_대상물건입력'!B14)),"")</f>
        <v/>
      </c>
      <c r="V1929" s="152">
        <f>IF(B1929="","",IF(AND(E1929&gt;0,F1929&gt;0,H1929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1929=1,TRUE()),R1929&lt;='01_설정'!B5,S1929&lt;='01_설정'!B6,T1929&lt;='01_설정'!B7,U1929&lt;='01_설정'!B8),"Y",""))</f>
        <v/>
      </c>
      <c r="W1929" s="172">
        <f>IF(V1929&lt;&gt;"Y","",MAX(0,(1-R1929/'01_설정'!B5))*'01_설정'!B14+MAX(0,(1-S1929/'01_설정'!B6))*'01_설정'!B15+MAX(0,(1-T1929/'01_설정'!B7))*'01_설정'!B16+MAX(0,(1-U1929/'01_설정'!B8))*'01_설정'!B17+O1929*'01_설정'!B11+Q1929*'01_설정'!B12+P1929*'01_설정'!B13+IF(Z1929="",0,Z1929))</f>
        <v/>
      </c>
      <c r="X1929" s="152">
        <f>IF(W1929="","",1+COUNTIFS($W$4:$W$3003,"&gt;"&amp;W1929)+COUNTIFS($W$4:W1929,W1929)-1)</f>
        <v/>
      </c>
      <c r="Y1929" s="175">
        <f>IF(OR(I1929="",'02_대상물건입력'!B19="",'02_대상물건입력'!B19&lt;=0),"",ABS(I1929-'02_대상물건입력'!B19)/'02_대상물건입력'!B19)</f>
        <v/>
      </c>
      <c r="Z1929" s="172">
        <f>IF(OR(Y1929="",'01_설정'!B31="",'01_설정'!B31&lt;=0,'01_설정'!B32="",'01_설정'!B32&lt;=0),"",MAX(0,(1-Y1929/'01_설정'!B32))*'01_설정'!B31)</f>
        <v/>
      </c>
    </row>
    <row r="1930" ht="17.25" customHeight="1">
      <c r="A1930" s="152">
        <f>IF(INDEX('04A_국토부원자료'!$A:$A,ROW()+1)="","",ROW()-3)</f>
        <v/>
      </c>
      <c r="B1930" s="48">
        <f>IFERROR(INDEX('04A_국토부원자료'!$A:$T,ROW()+1,MATCH("시군구",'04A_국토부원자료'!$A$4:$T$4,0)),"")</f>
        <v/>
      </c>
      <c r="C1930" s="48">
        <f>IF(B1930="","",IFERROR(INDEX('04A_국토부원자료'!$A:$T,ROW()+1,MATCH("번지",'04A_국토부원자료'!$A$4:$T$4,0)),""))</f>
        <v/>
      </c>
      <c r="D1930" s="48">
        <f>IF(B1930="","",IF(Q1930=1,'02_대상물건입력'!$B$8,IFERROR(INDEX('04A_국토부원자료'!$A:$T,ROW()+1,MATCH("단지명",'04A_국토부원자료'!$A$4:$T$4,0)),"")))</f>
        <v/>
      </c>
      <c r="E1930" s="172">
        <f>IFERROR(VALUE(SUBSTITUTE(INDEX('04A_국토부원자료'!$A:$T,ROW()+1,MATCH("전용면적(㎡)",'04A_국토부원자료'!$A$4:$T$4,0)),",","")),"")</f>
        <v/>
      </c>
      <c r="F19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30" s="51">
        <f>IFERROR(VALUE(SUBSTITUTE(INDEX('04A_국토부원자료'!$A:$T,ROW()+1,MATCH("거래금액(만원)",'04A_국토부원자료'!$A$4:$T$4,0)),",","")),"")</f>
        <v/>
      </c>
      <c r="H1930" s="174">
        <f>IF(G1930="","",G1930*10000)</f>
        <v/>
      </c>
      <c r="I1930" s="174">
        <f>IFERROR(IF(AND(H1930&gt;0,E1930&gt;0),H1930/E1930,""),"")</f>
        <v/>
      </c>
      <c r="J1930" s="152">
        <f>IFERROR(VALUE(SUBSTITUTE(INDEX('04A_국토부원자료'!$A:$T,ROW()+1,MATCH("층",'04A_국토부원자료'!$A$4:$T$4,0)),",","")),"")</f>
        <v/>
      </c>
      <c r="K1930" s="152">
        <f>IFERROR(VALUE(SUBSTITUTE(INDEX('04A_국토부원자료'!$A:$T,ROW()+1,MATCH("건축년도",'04A_국토부원자료'!$A$4:$T$4,0)),",","")),"")</f>
        <v/>
      </c>
      <c r="L1930" s="48">
        <f>IFERROR(INDEX('04A_국토부원자료'!$A:$T,ROW()+1,MATCH("도로명",'04A_국토부원자료'!$A$4:$T$4,0)),"")</f>
        <v/>
      </c>
      <c r="M1930" s="48">
        <f>IFERROR(INDEX('04A_국토부원자료'!$A:$T,ROW()+1,MATCH("거래유형",'04A_국토부원자료'!$A$4:$T$4,0)),"")</f>
        <v/>
      </c>
      <c r="N1930" s="152">
        <f>IF(B1930="","",IF('02_대상물건입력'!B5="",1,IF(ISNUMBER(SEARCH('02_대상물건입력'!B5,B1930)),1,0)))</f>
        <v/>
      </c>
      <c r="O1930" s="152">
        <f>IF(B1930="","",IF('02_대상물건입력'!B6="",1,IF(ISNUMBER(SEARCH('02_대상물건입력'!B6,B1930)),1,0)))</f>
        <v/>
      </c>
      <c r="P1930" s="152">
        <f>IF(L1930="","",IF('02_대상물건입력'!B15="",0,IF(ISNUMBER(SEARCH('02_대상물건입력'!B15,L1930)),1,0)))</f>
        <v/>
      </c>
      <c r="Q1930" s="152">
        <f>IF(OR(C1930="",L1930=""),0,IF(AND(TRIM(C1930)=TRIM(RIGHT(SUBSTITUTE(TRIM('02_대상물건입력'!$B$7)," ",REPT(" ",99)),99)),IF('02_대상물건입력'!B15="",TRUE(),ISNUMBER(SEARCH('02_대상물건입력'!B15,L1930)))),1,0))</f>
        <v/>
      </c>
      <c r="R1930" s="175">
        <f>IFERROR(ABS(E1930-'02_대상물건입력'!B11)/'02_대상물건입력'!B11,"")</f>
        <v/>
      </c>
      <c r="S1930" s="152">
        <f>IFERROR(ABS(J1930-'02_대상물건입력'!B10),"")</f>
        <v/>
      </c>
      <c r="T1930" s="152">
        <f>IFERROR(ABS('01_설정'!B4-F1930),"")</f>
        <v/>
      </c>
      <c r="U1930" s="152">
        <f>IFERROR(ABS(K1930-YEAR('02_대상물건입력'!B14)),"")</f>
        <v/>
      </c>
      <c r="V1930" s="152">
        <f>IF(B1930="","",IF(AND(E1930&gt;0,F1930&gt;0,H1930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1930=1,TRUE()),R1930&lt;='01_설정'!B5,S1930&lt;='01_설정'!B6,T1930&lt;='01_설정'!B7,U1930&lt;='01_설정'!B8),"Y",""))</f>
        <v/>
      </c>
      <c r="W1930" s="172">
        <f>IF(V1930&lt;&gt;"Y","",MAX(0,(1-R1930/'01_설정'!B5))*'01_설정'!B14+MAX(0,(1-S1930/'01_설정'!B6))*'01_설정'!B15+MAX(0,(1-T1930/'01_설정'!B7))*'01_설정'!B16+MAX(0,(1-U1930/'01_설정'!B8))*'01_설정'!B17+O1930*'01_설정'!B11+Q1930*'01_설정'!B12+P1930*'01_설정'!B13+IF(Z1930="",0,Z1930))</f>
        <v/>
      </c>
      <c r="X1930" s="152">
        <f>IF(W1930="","",1+COUNTIFS($W$4:$W$3003,"&gt;"&amp;W1930)+COUNTIFS($W$4:W1930,W1930)-1)</f>
        <v/>
      </c>
      <c r="Y1930" s="175">
        <f>IF(OR(I1930="",'02_대상물건입력'!B19="",'02_대상물건입력'!B19&lt;=0),"",ABS(I1930-'02_대상물건입력'!B19)/'02_대상물건입력'!B19)</f>
        <v/>
      </c>
      <c r="Z1930" s="172">
        <f>IF(OR(Y1930="",'01_설정'!B31="",'01_설정'!B31&lt;=0,'01_설정'!B32="",'01_설정'!B32&lt;=0),"",MAX(0,(1-Y1930/'01_설정'!B32))*'01_설정'!B31)</f>
        <v/>
      </c>
    </row>
    <row r="1931" ht="17.25" customHeight="1">
      <c r="A1931" s="152">
        <f>IF(INDEX('04A_국토부원자료'!$A:$A,ROW()+1)="","",ROW()-3)</f>
        <v/>
      </c>
      <c r="B1931" s="48">
        <f>IFERROR(INDEX('04A_국토부원자료'!$A:$T,ROW()+1,MATCH("시군구",'04A_국토부원자료'!$A$4:$T$4,0)),"")</f>
        <v/>
      </c>
      <c r="C1931" s="48">
        <f>IF(B1931="","",IFERROR(INDEX('04A_국토부원자료'!$A:$T,ROW()+1,MATCH("번지",'04A_국토부원자료'!$A$4:$T$4,0)),""))</f>
        <v/>
      </c>
      <c r="D1931" s="48">
        <f>IF(B1931="","",IF(Q1931=1,'02_대상물건입력'!$B$8,IFERROR(INDEX('04A_국토부원자료'!$A:$T,ROW()+1,MATCH("단지명",'04A_국토부원자료'!$A$4:$T$4,0)),"")))</f>
        <v/>
      </c>
      <c r="E1931" s="172">
        <f>IFERROR(VALUE(SUBSTITUTE(INDEX('04A_국토부원자료'!$A:$T,ROW()+1,MATCH("전용면적(㎡)",'04A_국토부원자료'!$A$4:$T$4,0)),",","")),"")</f>
        <v/>
      </c>
      <c r="F19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31" s="51">
        <f>IFERROR(VALUE(SUBSTITUTE(INDEX('04A_국토부원자료'!$A:$T,ROW()+1,MATCH("거래금액(만원)",'04A_국토부원자료'!$A$4:$T$4,0)),",","")),"")</f>
        <v/>
      </c>
      <c r="H1931" s="174">
        <f>IF(G1931="","",G1931*10000)</f>
        <v/>
      </c>
      <c r="I1931" s="174">
        <f>IFERROR(IF(AND(H1931&gt;0,E1931&gt;0),H1931/E1931,""),"")</f>
        <v/>
      </c>
      <c r="J1931" s="152">
        <f>IFERROR(VALUE(SUBSTITUTE(INDEX('04A_국토부원자료'!$A:$T,ROW()+1,MATCH("층",'04A_국토부원자료'!$A$4:$T$4,0)),",","")),"")</f>
        <v/>
      </c>
      <c r="K1931" s="152">
        <f>IFERROR(VALUE(SUBSTITUTE(INDEX('04A_국토부원자료'!$A:$T,ROW()+1,MATCH("건축년도",'04A_국토부원자료'!$A$4:$T$4,0)),",","")),"")</f>
        <v/>
      </c>
      <c r="L1931" s="48">
        <f>IFERROR(INDEX('04A_국토부원자료'!$A:$T,ROW()+1,MATCH("도로명",'04A_국토부원자료'!$A$4:$T$4,0)),"")</f>
        <v/>
      </c>
      <c r="M1931" s="48">
        <f>IFERROR(INDEX('04A_국토부원자료'!$A:$T,ROW()+1,MATCH("거래유형",'04A_국토부원자료'!$A$4:$T$4,0)),"")</f>
        <v/>
      </c>
      <c r="N1931" s="152">
        <f>IF(B1931="","",IF('02_대상물건입력'!B5="",1,IF(ISNUMBER(SEARCH('02_대상물건입력'!B5,B1931)),1,0)))</f>
        <v/>
      </c>
      <c r="O1931" s="152">
        <f>IF(B1931="","",IF('02_대상물건입력'!B6="",1,IF(ISNUMBER(SEARCH('02_대상물건입력'!B6,B1931)),1,0)))</f>
        <v/>
      </c>
      <c r="P1931" s="152">
        <f>IF(L1931="","",IF('02_대상물건입력'!B15="",0,IF(ISNUMBER(SEARCH('02_대상물건입력'!B15,L1931)),1,0)))</f>
        <v/>
      </c>
      <c r="Q1931" s="152">
        <f>IF(OR(C1931="",L1931=""),0,IF(AND(TRIM(C1931)=TRIM(RIGHT(SUBSTITUTE(TRIM('02_대상물건입력'!$B$7)," ",REPT(" ",99)),99)),IF('02_대상물건입력'!B15="",TRUE(),ISNUMBER(SEARCH('02_대상물건입력'!B15,L1931)))),1,0))</f>
        <v/>
      </c>
      <c r="R1931" s="175">
        <f>IFERROR(ABS(E1931-'02_대상물건입력'!B11)/'02_대상물건입력'!B11,"")</f>
        <v/>
      </c>
      <c r="S1931" s="152">
        <f>IFERROR(ABS(J1931-'02_대상물건입력'!B10),"")</f>
        <v/>
      </c>
      <c r="T1931" s="152">
        <f>IFERROR(ABS('01_설정'!B4-F1931),"")</f>
        <v/>
      </c>
      <c r="U1931" s="152">
        <f>IFERROR(ABS(K1931-YEAR('02_대상물건입력'!B14)),"")</f>
        <v/>
      </c>
      <c r="V1931" s="152">
        <f>IF(B1931="","",IF(AND(E1931&gt;0,F1931&gt;0,H1931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1931=1,TRUE()),R1931&lt;='01_설정'!B5,S1931&lt;='01_설정'!B6,T1931&lt;='01_설정'!B7,U1931&lt;='01_설정'!B8),"Y",""))</f>
        <v/>
      </c>
      <c r="W1931" s="172">
        <f>IF(V1931&lt;&gt;"Y","",MAX(0,(1-R1931/'01_설정'!B5))*'01_설정'!B14+MAX(0,(1-S1931/'01_설정'!B6))*'01_설정'!B15+MAX(0,(1-T1931/'01_설정'!B7))*'01_설정'!B16+MAX(0,(1-U1931/'01_설정'!B8))*'01_설정'!B17+O1931*'01_설정'!B11+Q1931*'01_설정'!B12+P1931*'01_설정'!B13+IF(Z1931="",0,Z1931))</f>
        <v/>
      </c>
      <c r="X1931" s="152">
        <f>IF(W1931="","",1+COUNTIFS($W$4:$W$3003,"&gt;"&amp;W1931)+COUNTIFS($W$4:W1931,W1931)-1)</f>
        <v/>
      </c>
      <c r="Y1931" s="175">
        <f>IF(OR(I1931="",'02_대상물건입력'!B19="",'02_대상물건입력'!B19&lt;=0),"",ABS(I1931-'02_대상물건입력'!B19)/'02_대상물건입력'!B19)</f>
        <v/>
      </c>
      <c r="Z1931" s="172">
        <f>IF(OR(Y1931="",'01_설정'!B31="",'01_설정'!B31&lt;=0,'01_설정'!B32="",'01_설정'!B32&lt;=0),"",MAX(0,(1-Y1931/'01_설정'!B32))*'01_설정'!B31)</f>
        <v/>
      </c>
    </row>
    <row r="1932" ht="17.25" customHeight="1">
      <c r="A1932" s="152">
        <f>IF(INDEX('04A_국토부원자료'!$A:$A,ROW()+1)="","",ROW()-3)</f>
        <v/>
      </c>
      <c r="B1932" s="48">
        <f>IFERROR(INDEX('04A_국토부원자료'!$A:$T,ROW()+1,MATCH("시군구",'04A_국토부원자료'!$A$4:$T$4,0)),"")</f>
        <v/>
      </c>
      <c r="C1932" s="48">
        <f>IF(B1932="","",IFERROR(INDEX('04A_국토부원자료'!$A:$T,ROW()+1,MATCH("번지",'04A_국토부원자료'!$A$4:$T$4,0)),""))</f>
        <v/>
      </c>
      <c r="D1932" s="48">
        <f>IF(B1932="","",IF(Q1932=1,'02_대상물건입력'!$B$8,IFERROR(INDEX('04A_국토부원자료'!$A:$T,ROW()+1,MATCH("단지명",'04A_국토부원자료'!$A$4:$T$4,0)),"")))</f>
        <v/>
      </c>
      <c r="E1932" s="172">
        <f>IFERROR(VALUE(SUBSTITUTE(INDEX('04A_국토부원자료'!$A:$T,ROW()+1,MATCH("전용면적(㎡)",'04A_국토부원자료'!$A$4:$T$4,0)),",","")),"")</f>
        <v/>
      </c>
      <c r="F19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32" s="51">
        <f>IFERROR(VALUE(SUBSTITUTE(INDEX('04A_국토부원자료'!$A:$T,ROW()+1,MATCH("거래금액(만원)",'04A_국토부원자료'!$A$4:$T$4,0)),",","")),"")</f>
        <v/>
      </c>
      <c r="H1932" s="174">
        <f>IF(G1932="","",G1932*10000)</f>
        <v/>
      </c>
      <c r="I1932" s="174">
        <f>IFERROR(IF(AND(H1932&gt;0,E1932&gt;0),H1932/E1932,""),"")</f>
        <v/>
      </c>
      <c r="J1932" s="152">
        <f>IFERROR(VALUE(SUBSTITUTE(INDEX('04A_국토부원자료'!$A:$T,ROW()+1,MATCH("층",'04A_국토부원자료'!$A$4:$T$4,0)),",","")),"")</f>
        <v/>
      </c>
      <c r="K1932" s="152">
        <f>IFERROR(VALUE(SUBSTITUTE(INDEX('04A_국토부원자료'!$A:$T,ROW()+1,MATCH("건축년도",'04A_국토부원자료'!$A$4:$T$4,0)),",","")),"")</f>
        <v/>
      </c>
      <c r="L1932" s="48">
        <f>IFERROR(INDEX('04A_국토부원자료'!$A:$T,ROW()+1,MATCH("도로명",'04A_국토부원자료'!$A$4:$T$4,0)),"")</f>
        <v/>
      </c>
      <c r="M1932" s="48">
        <f>IFERROR(INDEX('04A_국토부원자료'!$A:$T,ROW()+1,MATCH("거래유형",'04A_국토부원자료'!$A$4:$T$4,0)),"")</f>
        <v/>
      </c>
      <c r="N1932" s="152">
        <f>IF(B1932="","",IF('02_대상물건입력'!B5="",1,IF(ISNUMBER(SEARCH('02_대상물건입력'!B5,B1932)),1,0)))</f>
        <v/>
      </c>
      <c r="O1932" s="152">
        <f>IF(B1932="","",IF('02_대상물건입력'!B6="",1,IF(ISNUMBER(SEARCH('02_대상물건입력'!B6,B1932)),1,0)))</f>
        <v/>
      </c>
      <c r="P1932" s="152">
        <f>IF(L1932="","",IF('02_대상물건입력'!B15="",0,IF(ISNUMBER(SEARCH('02_대상물건입력'!B15,L1932)),1,0)))</f>
        <v/>
      </c>
      <c r="Q1932" s="152">
        <f>IF(OR(C1932="",L1932=""),0,IF(AND(TRIM(C1932)=TRIM(RIGHT(SUBSTITUTE(TRIM('02_대상물건입력'!$B$7)," ",REPT(" ",99)),99)),IF('02_대상물건입력'!B15="",TRUE(),ISNUMBER(SEARCH('02_대상물건입력'!B15,L1932)))),1,0))</f>
        <v/>
      </c>
      <c r="R1932" s="175">
        <f>IFERROR(ABS(E1932-'02_대상물건입력'!B11)/'02_대상물건입력'!B11,"")</f>
        <v/>
      </c>
      <c r="S1932" s="152">
        <f>IFERROR(ABS(J1932-'02_대상물건입력'!B10),"")</f>
        <v/>
      </c>
      <c r="T1932" s="152">
        <f>IFERROR(ABS('01_설정'!B4-F1932),"")</f>
        <v/>
      </c>
      <c r="U1932" s="152">
        <f>IFERROR(ABS(K1932-YEAR('02_대상물건입력'!B14)),"")</f>
        <v/>
      </c>
      <c r="V1932" s="152">
        <f>IF(B1932="","",IF(AND(E1932&gt;0,F1932&gt;0,H1932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1932=1,TRUE()),R1932&lt;='01_설정'!B5,S1932&lt;='01_설정'!B6,T1932&lt;='01_설정'!B7,U1932&lt;='01_설정'!B8),"Y",""))</f>
        <v/>
      </c>
      <c r="W1932" s="172">
        <f>IF(V1932&lt;&gt;"Y","",MAX(0,(1-R1932/'01_설정'!B5))*'01_설정'!B14+MAX(0,(1-S1932/'01_설정'!B6))*'01_설정'!B15+MAX(0,(1-T1932/'01_설정'!B7))*'01_설정'!B16+MAX(0,(1-U1932/'01_설정'!B8))*'01_설정'!B17+O1932*'01_설정'!B11+Q1932*'01_설정'!B12+P1932*'01_설정'!B13+IF(Z1932="",0,Z1932))</f>
        <v/>
      </c>
      <c r="X1932" s="152">
        <f>IF(W1932="","",1+COUNTIFS($W$4:$W$3003,"&gt;"&amp;W1932)+COUNTIFS($W$4:W1932,W1932)-1)</f>
        <v/>
      </c>
      <c r="Y1932" s="175">
        <f>IF(OR(I1932="",'02_대상물건입력'!B19="",'02_대상물건입력'!B19&lt;=0),"",ABS(I1932-'02_대상물건입력'!B19)/'02_대상물건입력'!B19)</f>
        <v/>
      </c>
      <c r="Z1932" s="172">
        <f>IF(OR(Y1932="",'01_설정'!B31="",'01_설정'!B31&lt;=0,'01_설정'!B32="",'01_설정'!B32&lt;=0),"",MAX(0,(1-Y1932/'01_설정'!B32))*'01_설정'!B31)</f>
        <v/>
      </c>
    </row>
    <row r="1933" ht="17.25" customHeight="1">
      <c r="A1933" s="152">
        <f>IF(INDEX('04A_국토부원자료'!$A:$A,ROW()+1)="","",ROW()-3)</f>
        <v/>
      </c>
      <c r="B1933" s="48">
        <f>IFERROR(INDEX('04A_국토부원자료'!$A:$T,ROW()+1,MATCH("시군구",'04A_국토부원자료'!$A$4:$T$4,0)),"")</f>
        <v/>
      </c>
      <c r="C1933" s="48">
        <f>IF(B1933="","",IFERROR(INDEX('04A_국토부원자료'!$A:$T,ROW()+1,MATCH("번지",'04A_국토부원자료'!$A$4:$T$4,0)),""))</f>
        <v/>
      </c>
      <c r="D1933" s="48">
        <f>IF(B1933="","",IF(Q1933=1,'02_대상물건입력'!$B$8,IFERROR(INDEX('04A_국토부원자료'!$A:$T,ROW()+1,MATCH("단지명",'04A_국토부원자료'!$A$4:$T$4,0)),"")))</f>
        <v/>
      </c>
      <c r="E1933" s="172">
        <f>IFERROR(VALUE(SUBSTITUTE(INDEX('04A_국토부원자료'!$A:$T,ROW()+1,MATCH("전용면적(㎡)",'04A_국토부원자료'!$A$4:$T$4,0)),",","")),"")</f>
        <v/>
      </c>
      <c r="F19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33" s="51">
        <f>IFERROR(VALUE(SUBSTITUTE(INDEX('04A_국토부원자료'!$A:$T,ROW()+1,MATCH("거래금액(만원)",'04A_국토부원자료'!$A$4:$T$4,0)),",","")),"")</f>
        <v/>
      </c>
      <c r="H1933" s="174">
        <f>IF(G1933="","",G1933*10000)</f>
        <v/>
      </c>
      <c r="I1933" s="174">
        <f>IFERROR(IF(AND(H1933&gt;0,E1933&gt;0),H1933/E1933,""),"")</f>
        <v/>
      </c>
      <c r="J1933" s="152">
        <f>IFERROR(VALUE(SUBSTITUTE(INDEX('04A_국토부원자료'!$A:$T,ROW()+1,MATCH("층",'04A_국토부원자료'!$A$4:$T$4,0)),",","")),"")</f>
        <v/>
      </c>
      <c r="K1933" s="152">
        <f>IFERROR(VALUE(SUBSTITUTE(INDEX('04A_국토부원자료'!$A:$T,ROW()+1,MATCH("건축년도",'04A_국토부원자료'!$A$4:$T$4,0)),",","")),"")</f>
        <v/>
      </c>
      <c r="L1933" s="48">
        <f>IFERROR(INDEX('04A_국토부원자료'!$A:$T,ROW()+1,MATCH("도로명",'04A_국토부원자료'!$A$4:$T$4,0)),"")</f>
        <v/>
      </c>
      <c r="M1933" s="48">
        <f>IFERROR(INDEX('04A_국토부원자료'!$A:$T,ROW()+1,MATCH("거래유형",'04A_국토부원자료'!$A$4:$T$4,0)),"")</f>
        <v/>
      </c>
      <c r="N1933" s="152">
        <f>IF(B1933="","",IF('02_대상물건입력'!B5="",1,IF(ISNUMBER(SEARCH('02_대상물건입력'!B5,B1933)),1,0)))</f>
        <v/>
      </c>
      <c r="O1933" s="152">
        <f>IF(B1933="","",IF('02_대상물건입력'!B6="",1,IF(ISNUMBER(SEARCH('02_대상물건입력'!B6,B1933)),1,0)))</f>
        <v/>
      </c>
      <c r="P1933" s="152">
        <f>IF(L1933="","",IF('02_대상물건입력'!B15="",0,IF(ISNUMBER(SEARCH('02_대상물건입력'!B15,L1933)),1,0)))</f>
        <v/>
      </c>
      <c r="Q1933" s="152">
        <f>IF(OR(C1933="",L1933=""),0,IF(AND(TRIM(C1933)=TRIM(RIGHT(SUBSTITUTE(TRIM('02_대상물건입력'!$B$7)," ",REPT(" ",99)),99)),IF('02_대상물건입력'!B15="",TRUE(),ISNUMBER(SEARCH('02_대상물건입력'!B15,L1933)))),1,0))</f>
        <v/>
      </c>
      <c r="R1933" s="175">
        <f>IFERROR(ABS(E1933-'02_대상물건입력'!B11)/'02_대상물건입력'!B11,"")</f>
        <v/>
      </c>
      <c r="S1933" s="152">
        <f>IFERROR(ABS(J1933-'02_대상물건입력'!B10),"")</f>
        <v/>
      </c>
      <c r="T1933" s="152">
        <f>IFERROR(ABS('01_설정'!B4-F1933),"")</f>
        <v/>
      </c>
      <c r="U1933" s="152">
        <f>IFERROR(ABS(K1933-YEAR('02_대상물건입력'!B14)),"")</f>
        <v/>
      </c>
      <c r="V1933" s="152">
        <f>IF(B1933="","",IF(AND(E1933&gt;0,F1933&gt;0,H1933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1933=1,TRUE()),R1933&lt;='01_설정'!B5,S1933&lt;='01_설정'!B6,T1933&lt;='01_설정'!B7,U1933&lt;='01_설정'!B8),"Y",""))</f>
        <v/>
      </c>
      <c r="W1933" s="172">
        <f>IF(V1933&lt;&gt;"Y","",MAX(0,(1-R1933/'01_설정'!B5))*'01_설정'!B14+MAX(0,(1-S1933/'01_설정'!B6))*'01_설정'!B15+MAX(0,(1-T1933/'01_설정'!B7))*'01_설정'!B16+MAX(0,(1-U1933/'01_설정'!B8))*'01_설정'!B17+O1933*'01_설정'!B11+Q1933*'01_설정'!B12+P1933*'01_설정'!B13+IF(Z1933="",0,Z1933))</f>
        <v/>
      </c>
      <c r="X1933" s="152">
        <f>IF(W1933="","",1+COUNTIFS($W$4:$W$3003,"&gt;"&amp;W1933)+COUNTIFS($W$4:W1933,W1933)-1)</f>
        <v/>
      </c>
      <c r="Y1933" s="175">
        <f>IF(OR(I1933="",'02_대상물건입력'!B19="",'02_대상물건입력'!B19&lt;=0),"",ABS(I1933-'02_대상물건입력'!B19)/'02_대상물건입력'!B19)</f>
        <v/>
      </c>
      <c r="Z1933" s="172">
        <f>IF(OR(Y1933="",'01_설정'!B31="",'01_설정'!B31&lt;=0,'01_설정'!B32="",'01_설정'!B32&lt;=0),"",MAX(0,(1-Y1933/'01_설정'!B32))*'01_설정'!B31)</f>
        <v/>
      </c>
    </row>
    <row r="1934" ht="17.25" customHeight="1">
      <c r="A1934" s="152">
        <f>IF(INDEX('04A_국토부원자료'!$A:$A,ROW()+1)="","",ROW()-3)</f>
        <v/>
      </c>
      <c r="B1934" s="48">
        <f>IFERROR(INDEX('04A_국토부원자료'!$A:$T,ROW()+1,MATCH("시군구",'04A_국토부원자료'!$A$4:$T$4,0)),"")</f>
        <v/>
      </c>
      <c r="C1934" s="48">
        <f>IF(B1934="","",IFERROR(INDEX('04A_국토부원자료'!$A:$T,ROW()+1,MATCH("번지",'04A_국토부원자료'!$A$4:$T$4,0)),""))</f>
        <v/>
      </c>
      <c r="D1934" s="48">
        <f>IF(B1934="","",IF(Q1934=1,'02_대상물건입력'!$B$8,IFERROR(INDEX('04A_국토부원자료'!$A:$T,ROW()+1,MATCH("단지명",'04A_국토부원자료'!$A$4:$T$4,0)),"")))</f>
        <v/>
      </c>
      <c r="E1934" s="172">
        <f>IFERROR(VALUE(SUBSTITUTE(INDEX('04A_국토부원자료'!$A:$T,ROW()+1,MATCH("전용면적(㎡)",'04A_국토부원자료'!$A$4:$T$4,0)),",","")),"")</f>
        <v/>
      </c>
      <c r="F19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34" s="51">
        <f>IFERROR(VALUE(SUBSTITUTE(INDEX('04A_국토부원자료'!$A:$T,ROW()+1,MATCH("거래금액(만원)",'04A_국토부원자료'!$A$4:$T$4,0)),",","")),"")</f>
        <v/>
      </c>
      <c r="H1934" s="174">
        <f>IF(G1934="","",G1934*10000)</f>
        <v/>
      </c>
      <c r="I1934" s="174">
        <f>IFERROR(IF(AND(H1934&gt;0,E1934&gt;0),H1934/E1934,""),"")</f>
        <v/>
      </c>
      <c r="J1934" s="152">
        <f>IFERROR(VALUE(SUBSTITUTE(INDEX('04A_국토부원자료'!$A:$T,ROW()+1,MATCH("층",'04A_국토부원자료'!$A$4:$T$4,0)),",","")),"")</f>
        <v/>
      </c>
      <c r="K1934" s="152">
        <f>IFERROR(VALUE(SUBSTITUTE(INDEX('04A_국토부원자료'!$A:$T,ROW()+1,MATCH("건축년도",'04A_국토부원자료'!$A$4:$T$4,0)),",","")),"")</f>
        <v/>
      </c>
      <c r="L1934" s="48">
        <f>IFERROR(INDEX('04A_국토부원자료'!$A:$T,ROW()+1,MATCH("도로명",'04A_국토부원자료'!$A$4:$T$4,0)),"")</f>
        <v/>
      </c>
      <c r="M1934" s="48">
        <f>IFERROR(INDEX('04A_국토부원자료'!$A:$T,ROW()+1,MATCH("거래유형",'04A_국토부원자료'!$A$4:$T$4,0)),"")</f>
        <v/>
      </c>
      <c r="N1934" s="152">
        <f>IF(B1934="","",IF('02_대상물건입력'!B5="",1,IF(ISNUMBER(SEARCH('02_대상물건입력'!B5,B1934)),1,0)))</f>
        <v/>
      </c>
      <c r="O1934" s="152">
        <f>IF(B1934="","",IF('02_대상물건입력'!B6="",1,IF(ISNUMBER(SEARCH('02_대상물건입력'!B6,B1934)),1,0)))</f>
        <v/>
      </c>
      <c r="P1934" s="152">
        <f>IF(L1934="","",IF('02_대상물건입력'!B15="",0,IF(ISNUMBER(SEARCH('02_대상물건입력'!B15,L1934)),1,0)))</f>
        <v/>
      </c>
      <c r="Q1934" s="152">
        <f>IF(OR(C1934="",L1934=""),0,IF(AND(TRIM(C1934)=TRIM(RIGHT(SUBSTITUTE(TRIM('02_대상물건입력'!$B$7)," ",REPT(" ",99)),99)),IF('02_대상물건입력'!B15="",TRUE(),ISNUMBER(SEARCH('02_대상물건입력'!B15,L1934)))),1,0))</f>
        <v/>
      </c>
      <c r="R1934" s="175">
        <f>IFERROR(ABS(E1934-'02_대상물건입력'!B11)/'02_대상물건입력'!B11,"")</f>
        <v/>
      </c>
      <c r="S1934" s="152">
        <f>IFERROR(ABS(J1934-'02_대상물건입력'!B10),"")</f>
        <v/>
      </c>
      <c r="T1934" s="152">
        <f>IFERROR(ABS('01_설정'!B4-F1934),"")</f>
        <v/>
      </c>
      <c r="U1934" s="152">
        <f>IFERROR(ABS(K1934-YEAR('02_대상물건입력'!B14)),"")</f>
        <v/>
      </c>
      <c r="V1934" s="152">
        <f>IF(B1934="","",IF(AND(E1934&gt;0,F1934&gt;0,H1934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1934=1,TRUE()),R1934&lt;='01_설정'!B5,S1934&lt;='01_설정'!B6,T1934&lt;='01_설정'!B7,U1934&lt;='01_설정'!B8),"Y",""))</f>
        <v/>
      </c>
      <c r="W1934" s="172">
        <f>IF(V1934&lt;&gt;"Y","",MAX(0,(1-R1934/'01_설정'!B5))*'01_설정'!B14+MAX(0,(1-S1934/'01_설정'!B6))*'01_설정'!B15+MAX(0,(1-T1934/'01_설정'!B7))*'01_설정'!B16+MAX(0,(1-U1934/'01_설정'!B8))*'01_설정'!B17+O1934*'01_설정'!B11+Q1934*'01_설정'!B12+P1934*'01_설정'!B13+IF(Z1934="",0,Z1934))</f>
        <v/>
      </c>
      <c r="X1934" s="152">
        <f>IF(W1934="","",1+COUNTIFS($W$4:$W$3003,"&gt;"&amp;W1934)+COUNTIFS($W$4:W1934,W1934)-1)</f>
        <v/>
      </c>
      <c r="Y1934" s="175">
        <f>IF(OR(I1934="",'02_대상물건입력'!B19="",'02_대상물건입력'!B19&lt;=0),"",ABS(I1934-'02_대상물건입력'!B19)/'02_대상물건입력'!B19)</f>
        <v/>
      </c>
      <c r="Z1934" s="172">
        <f>IF(OR(Y1934="",'01_설정'!B31="",'01_설정'!B31&lt;=0,'01_설정'!B32="",'01_설정'!B32&lt;=0),"",MAX(0,(1-Y1934/'01_설정'!B32))*'01_설정'!B31)</f>
        <v/>
      </c>
    </row>
    <row r="1935" ht="17.25" customHeight="1">
      <c r="A1935" s="152">
        <f>IF(INDEX('04A_국토부원자료'!$A:$A,ROW()+1)="","",ROW()-3)</f>
        <v/>
      </c>
      <c r="B1935" s="48">
        <f>IFERROR(INDEX('04A_국토부원자료'!$A:$T,ROW()+1,MATCH("시군구",'04A_국토부원자료'!$A$4:$T$4,0)),"")</f>
        <v/>
      </c>
      <c r="C1935" s="48">
        <f>IF(B1935="","",IFERROR(INDEX('04A_국토부원자료'!$A:$T,ROW()+1,MATCH("번지",'04A_국토부원자료'!$A$4:$T$4,0)),""))</f>
        <v/>
      </c>
      <c r="D1935" s="48">
        <f>IF(B1935="","",IF(Q1935=1,'02_대상물건입력'!$B$8,IFERROR(INDEX('04A_국토부원자료'!$A:$T,ROW()+1,MATCH("단지명",'04A_국토부원자료'!$A$4:$T$4,0)),"")))</f>
        <v/>
      </c>
      <c r="E1935" s="172">
        <f>IFERROR(VALUE(SUBSTITUTE(INDEX('04A_국토부원자료'!$A:$T,ROW()+1,MATCH("전용면적(㎡)",'04A_국토부원자료'!$A$4:$T$4,0)),",","")),"")</f>
        <v/>
      </c>
      <c r="F19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35" s="51">
        <f>IFERROR(VALUE(SUBSTITUTE(INDEX('04A_국토부원자료'!$A:$T,ROW()+1,MATCH("거래금액(만원)",'04A_국토부원자료'!$A$4:$T$4,0)),",","")),"")</f>
        <v/>
      </c>
      <c r="H1935" s="174">
        <f>IF(G1935="","",G1935*10000)</f>
        <v/>
      </c>
      <c r="I1935" s="174">
        <f>IFERROR(IF(AND(H1935&gt;0,E1935&gt;0),H1935/E1935,""),"")</f>
        <v/>
      </c>
      <c r="J1935" s="152">
        <f>IFERROR(VALUE(SUBSTITUTE(INDEX('04A_국토부원자료'!$A:$T,ROW()+1,MATCH("층",'04A_국토부원자료'!$A$4:$T$4,0)),",","")),"")</f>
        <v/>
      </c>
      <c r="K1935" s="152">
        <f>IFERROR(VALUE(SUBSTITUTE(INDEX('04A_국토부원자료'!$A:$T,ROW()+1,MATCH("건축년도",'04A_국토부원자료'!$A$4:$T$4,0)),",","")),"")</f>
        <v/>
      </c>
      <c r="L1935" s="48">
        <f>IFERROR(INDEX('04A_국토부원자료'!$A:$T,ROW()+1,MATCH("도로명",'04A_국토부원자료'!$A$4:$T$4,0)),"")</f>
        <v/>
      </c>
      <c r="M1935" s="48">
        <f>IFERROR(INDEX('04A_국토부원자료'!$A:$T,ROW()+1,MATCH("거래유형",'04A_국토부원자료'!$A$4:$T$4,0)),"")</f>
        <v/>
      </c>
      <c r="N1935" s="152">
        <f>IF(B1935="","",IF('02_대상물건입력'!B5="",1,IF(ISNUMBER(SEARCH('02_대상물건입력'!B5,B1935)),1,0)))</f>
        <v/>
      </c>
      <c r="O1935" s="152">
        <f>IF(B1935="","",IF('02_대상물건입력'!B6="",1,IF(ISNUMBER(SEARCH('02_대상물건입력'!B6,B1935)),1,0)))</f>
        <v/>
      </c>
      <c r="P1935" s="152">
        <f>IF(L1935="","",IF('02_대상물건입력'!B15="",0,IF(ISNUMBER(SEARCH('02_대상물건입력'!B15,L1935)),1,0)))</f>
        <v/>
      </c>
      <c r="Q1935" s="152">
        <f>IF(OR(C1935="",L1935=""),0,IF(AND(TRIM(C1935)=TRIM(RIGHT(SUBSTITUTE(TRIM('02_대상물건입력'!$B$7)," ",REPT(" ",99)),99)),IF('02_대상물건입력'!B15="",TRUE(),ISNUMBER(SEARCH('02_대상물건입력'!B15,L1935)))),1,0))</f>
        <v/>
      </c>
      <c r="R1935" s="175">
        <f>IFERROR(ABS(E1935-'02_대상물건입력'!B11)/'02_대상물건입력'!B11,"")</f>
        <v/>
      </c>
      <c r="S1935" s="152">
        <f>IFERROR(ABS(J1935-'02_대상물건입력'!B10),"")</f>
        <v/>
      </c>
      <c r="T1935" s="152">
        <f>IFERROR(ABS('01_설정'!B4-F1935),"")</f>
        <v/>
      </c>
      <c r="U1935" s="152">
        <f>IFERROR(ABS(K1935-YEAR('02_대상물건입력'!B14)),"")</f>
        <v/>
      </c>
      <c r="V1935" s="152">
        <f>IF(B1935="","",IF(AND(E1935&gt;0,F1935&gt;0,H1935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1935=1,TRUE()),R1935&lt;='01_설정'!B5,S1935&lt;='01_설정'!B6,T1935&lt;='01_설정'!B7,U1935&lt;='01_설정'!B8),"Y",""))</f>
        <v/>
      </c>
      <c r="W1935" s="172">
        <f>IF(V1935&lt;&gt;"Y","",MAX(0,(1-R1935/'01_설정'!B5))*'01_설정'!B14+MAX(0,(1-S1935/'01_설정'!B6))*'01_설정'!B15+MAX(0,(1-T1935/'01_설정'!B7))*'01_설정'!B16+MAX(0,(1-U1935/'01_설정'!B8))*'01_설정'!B17+O1935*'01_설정'!B11+Q1935*'01_설정'!B12+P1935*'01_설정'!B13+IF(Z1935="",0,Z1935))</f>
        <v/>
      </c>
      <c r="X1935" s="152">
        <f>IF(W1935="","",1+COUNTIFS($W$4:$W$3003,"&gt;"&amp;W1935)+COUNTIFS($W$4:W1935,W1935)-1)</f>
        <v/>
      </c>
      <c r="Y1935" s="175">
        <f>IF(OR(I1935="",'02_대상물건입력'!B19="",'02_대상물건입력'!B19&lt;=0),"",ABS(I1935-'02_대상물건입력'!B19)/'02_대상물건입력'!B19)</f>
        <v/>
      </c>
      <c r="Z1935" s="172">
        <f>IF(OR(Y1935="",'01_설정'!B31="",'01_설정'!B31&lt;=0,'01_설정'!B32="",'01_설정'!B32&lt;=0),"",MAX(0,(1-Y1935/'01_설정'!B32))*'01_설정'!B31)</f>
        <v/>
      </c>
    </row>
    <row r="1936" ht="17.25" customHeight="1">
      <c r="A1936" s="152">
        <f>IF(INDEX('04A_국토부원자료'!$A:$A,ROW()+1)="","",ROW()-3)</f>
        <v/>
      </c>
      <c r="B1936" s="48">
        <f>IFERROR(INDEX('04A_국토부원자료'!$A:$T,ROW()+1,MATCH("시군구",'04A_국토부원자료'!$A$4:$T$4,0)),"")</f>
        <v/>
      </c>
      <c r="C1936" s="48">
        <f>IF(B1936="","",IFERROR(INDEX('04A_국토부원자료'!$A:$T,ROW()+1,MATCH("번지",'04A_국토부원자료'!$A$4:$T$4,0)),""))</f>
        <v/>
      </c>
      <c r="D1936" s="48">
        <f>IF(B1936="","",IF(Q1936=1,'02_대상물건입력'!$B$8,IFERROR(INDEX('04A_국토부원자료'!$A:$T,ROW()+1,MATCH("단지명",'04A_국토부원자료'!$A$4:$T$4,0)),"")))</f>
        <v/>
      </c>
      <c r="E1936" s="172">
        <f>IFERROR(VALUE(SUBSTITUTE(INDEX('04A_국토부원자료'!$A:$T,ROW()+1,MATCH("전용면적(㎡)",'04A_국토부원자료'!$A$4:$T$4,0)),",","")),"")</f>
        <v/>
      </c>
      <c r="F19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36" s="51">
        <f>IFERROR(VALUE(SUBSTITUTE(INDEX('04A_국토부원자료'!$A:$T,ROW()+1,MATCH("거래금액(만원)",'04A_국토부원자료'!$A$4:$T$4,0)),",","")),"")</f>
        <v/>
      </c>
      <c r="H1936" s="174">
        <f>IF(G1936="","",G1936*10000)</f>
        <v/>
      </c>
      <c r="I1936" s="174">
        <f>IFERROR(IF(AND(H1936&gt;0,E1936&gt;0),H1936/E1936,""),"")</f>
        <v/>
      </c>
      <c r="J1936" s="152">
        <f>IFERROR(VALUE(SUBSTITUTE(INDEX('04A_국토부원자료'!$A:$T,ROW()+1,MATCH("층",'04A_국토부원자료'!$A$4:$T$4,0)),",","")),"")</f>
        <v/>
      </c>
      <c r="K1936" s="152">
        <f>IFERROR(VALUE(SUBSTITUTE(INDEX('04A_국토부원자료'!$A:$T,ROW()+1,MATCH("건축년도",'04A_국토부원자료'!$A$4:$T$4,0)),",","")),"")</f>
        <v/>
      </c>
      <c r="L1936" s="48">
        <f>IFERROR(INDEX('04A_국토부원자료'!$A:$T,ROW()+1,MATCH("도로명",'04A_국토부원자료'!$A$4:$T$4,0)),"")</f>
        <v/>
      </c>
      <c r="M1936" s="48">
        <f>IFERROR(INDEX('04A_국토부원자료'!$A:$T,ROW()+1,MATCH("거래유형",'04A_국토부원자료'!$A$4:$T$4,0)),"")</f>
        <v/>
      </c>
      <c r="N1936" s="152">
        <f>IF(B1936="","",IF('02_대상물건입력'!B5="",1,IF(ISNUMBER(SEARCH('02_대상물건입력'!B5,B1936)),1,0)))</f>
        <v/>
      </c>
      <c r="O1936" s="152">
        <f>IF(B1936="","",IF('02_대상물건입력'!B6="",1,IF(ISNUMBER(SEARCH('02_대상물건입력'!B6,B1936)),1,0)))</f>
        <v/>
      </c>
      <c r="P1936" s="152">
        <f>IF(L1936="","",IF('02_대상물건입력'!B15="",0,IF(ISNUMBER(SEARCH('02_대상물건입력'!B15,L1936)),1,0)))</f>
        <v/>
      </c>
      <c r="Q1936" s="152">
        <f>IF(OR(C1936="",L1936=""),0,IF(AND(TRIM(C1936)=TRIM(RIGHT(SUBSTITUTE(TRIM('02_대상물건입력'!$B$7)," ",REPT(" ",99)),99)),IF('02_대상물건입력'!B15="",TRUE(),ISNUMBER(SEARCH('02_대상물건입력'!B15,L1936)))),1,0))</f>
        <v/>
      </c>
      <c r="R1936" s="175">
        <f>IFERROR(ABS(E1936-'02_대상물건입력'!B11)/'02_대상물건입력'!B11,"")</f>
        <v/>
      </c>
      <c r="S1936" s="152">
        <f>IFERROR(ABS(J1936-'02_대상물건입력'!B10),"")</f>
        <v/>
      </c>
      <c r="T1936" s="152">
        <f>IFERROR(ABS('01_설정'!B4-F1936),"")</f>
        <v/>
      </c>
      <c r="U1936" s="152">
        <f>IFERROR(ABS(K1936-YEAR('02_대상물건입력'!B14)),"")</f>
        <v/>
      </c>
      <c r="V1936" s="152">
        <f>IF(B1936="","",IF(AND(E1936&gt;0,F1936&gt;0,H1936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1936=1,TRUE()),R1936&lt;='01_설정'!B5,S1936&lt;='01_설정'!B6,T1936&lt;='01_설정'!B7,U1936&lt;='01_설정'!B8),"Y",""))</f>
        <v/>
      </c>
      <c r="W1936" s="172">
        <f>IF(V1936&lt;&gt;"Y","",MAX(0,(1-R1936/'01_설정'!B5))*'01_설정'!B14+MAX(0,(1-S1936/'01_설정'!B6))*'01_설정'!B15+MAX(0,(1-T1936/'01_설정'!B7))*'01_설정'!B16+MAX(0,(1-U1936/'01_설정'!B8))*'01_설정'!B17+O1936*'01_설정'!B11+Q1936*'01_설정'!B12+P1936*'01_설정'!B13+IF(Z1936="",0,Z1936))</f>
        <v/>
      </c>
      <c r="X1936" s="152">
        <f>IF(W1936="","",1+COUNTIFS($W$4:$W$3003,"&gt;"&amp;W1936)+COUNTIFS($W$4:W1936,W1936)-1)</f>
        <v/>
      </c>
      <c r="Y1936" s="175">
        <f>IF(OR(I1936="",'02_대상물건입력'!B19="",'02_대상물건입력'!B19&lt;=0),"",ABS(I1936-'02_대상물건입력'!B19)/'02_대상물건입력'!B19)</f>
        <v/>
      </c>
      <c r="Z1936" s="172">
        <f>IF(OR(Y1936="",'01_설정'!B31="",'01_설정'!B31&lt;=0,'01_설정'!B32="",'01_설정'!B32&lt;=0),"",MAX(0,(1-Y1936/'01_설정'!B32))*'01_설정'!B31)</f>
        <v/>
      </c>
    </row>
    <row r="1937" ht="17.25" customHeight="1">
      <c r="A1937" s="152">
        <f>IF(INDEX('04A_국토부원자료'!$A:$A,ROW()+1)="","",ROW()-3)</f>
        <v/>
      </c>
      <c r="B1937" s="48">
        <f>IFERROR(INDEX('04A_국토부원자료'!$A:$T,ROW()+1,MATCH("시군구",'04A_국토부원자료'!$A$4:$T$4,0)),"")</f>
        <v/>
      </c>
      <c r="C1937" s="48">
        <f>IF(B1937="","",IFERROR(INDEX('04A_국토부원자료'!$A:$T,ROW()+1,MATCH("번지",'04A_국토부원자료'!$A$4:$T$4,0)),""))</f>
        <v/>
      </c>
      <c r="D1937" s="48">
        <f>IF(B1937="","",IF(Q1937=1,'02_대상물건입력'!$B$8,IFERROR(INDEX('04A_국토부원자료'!$A:$T,ROW()+1,MATCH("단지명",'04A_국토부원자료'!$A$4:$T$4,0)),"")))</f>
        <v/>
      </c>
      <c r="E1937" s="172">
        <f>IFERROR(VALUE(SUBSTITUTE(INDEX('04A_국토부원자료'!$A:$T,ROW()+1,MATCH("전용면적(㎡)",'04A_국토부원자료'!$A$4:$T$4,0)),",","")),"")</f>
        <v/>
      </c>
      <c r="F19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37" s="51">
        <f>IFERROR(VALUE(SUBSTITUTE(INDEX('04A_국토부원자료'!$A:$T,ROW()+1,MATCH("거래금액(만원)",'04A_국토부원자료'!$A$4:$T$4,0)),",","")),"")</f>
        <v/>
      </c>
      <c r="H1937" s="174">
        <f>IF(G1937="","",G1937*10000)</f>
        <v/>
      </c>
      <c r="I1937" s="174">
        <f>IFERROR(IF(AND(H1937&gt;0,E1937&gt;0),H1937/E1937,""),"")</f>
        <v/>
      </c>
      <c r="J1937" s="152">
        <f>IFERROR(VALUE(SUBSTITUTE(INDEX('04A_국토부원자료'!$A:$T,ROW()+1,MATCH("층",'04A_국토부원자료'!$A$4:$T$4,0)),",","")),"")</f>
        <v/>
      </c>
      <c r="K1937" s="152">
        <f>IFERROR(VALUE(SUBSTITUTE(INDEX('04A_국토부원자료'!$A:$T,ROW()+1,MATCH("건축년도",'04A_국토부원자료'!$A$4:$T$4,0)),",","")),"")</f>
        <v/>
      </c>
      <c r="L1937" s="48">
        <f>IFERROR(INDEX('04A_국토부원자료'!$A:$T,ROW()+1,MATCH("도로명",'04A_국토부원자료'!$A$4:$T$4,0)),"")</f>
        <v/>
      </c>
      <c r="M1937" s="48">
        <f>IFERROR(INDEX('04A_국토부원자료'!$A:$T,ROW()+1,MATCH("거래유형",'04A_국토부원자료'!$A$4:$T$4,0)),"")</f>
        <v/>
      </c>
      <c r="N1937" s="152">
        <f>IF(B1937="","",IF('02_대상물건입력'!B5="",1,IF(ISNUMBER(SEARCH('02_대상물건입력'!B5,B1937)),1,0)))</f>
        <v/>
      </c>
      <c r="O1937" s="152">
        <f>IF(B1937="","",IF('02_대상물건입력'!B6="",1,IF(ISNUMBER(SEARCH('02_대상물건입력'!B6,B1937)),1,0)))</f>
        <v/>
      </c>
      <c r="P1937" s="152">
        <f>IF(L1937="","",IF('02_대상물건입력'!B15="",0,IF(ISNUMBER(SEARCH('02_대상물건입력'!B15,L1937)),1,0)))</f>
        <v/>
      </c>
      <c r="Q1937" s="152">
        <f>IF(OR(C1937="",L1937=""),0,IF(AND(TRIM(C1937)=TRIM(RIGHT(SUBSTITUTE(TRIM('02_대상물건입력'!$B$7)," ",REPT(" ",99)),99)),IF('02_대상물건입력'!B15="",TRUE(),ISNUMBER(SEARCH('02_대상물건입력'!B15,L1937)))),1,0))</f>
        <v/>
      </c>
      <c r="R1937" s="175">
        <f>IFERROR(ABS(E1937-'02_대상물건입력'!B11)/'02_대상물건입력'!B11,"")</f>
        <v/>
      </c>
      <c r="S1937" s="152">
        <f>IFERROR(ABS(J1937-'02_대상물건입력'!B10),"")</f>
        <v/>
      </c>
      <c r="T1937" s="152">
        <f>IFERROR(ABS('01_설정'!B4-F1937),"")</f>
        <v/>
      </c>
      <c r="U1937" s="152">
        <f>IFERROR(ABS(K1937-YEAR('02_대상물건입력'!B14)),"")</f>
        <v/>
      </c>
      <c r="V1937" s="152">
        <f>IF(B1937="","",IF(AND(E1937&gt;0,F1937&gt;0,H1937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1937=1,TRUE()),R1937&lt;='01_설정'!B5,S1937&lt;='01_설정'!B6,T1937&lt;='01_설정'!B7,U1937&lt;='01_설정'!B8),"Y",""))</f>
        <v/>
      </c>
      <c r="W1937" s="172">
        <f>IF(V1937&lt;&gt;"Y","",MAX(0,(1-R1937/'01_설정'!B5))*'01_설정'!B14+MAX(0,(1-S1937/'01_설정'!B6))*'01_설정'!B15+MAX(0,(1-T1937/'01_설정'!B7))*'01_설정'!B16+MAX(0,(1-U1937/'01_설정'!B8))*'01_설정'!B17+O1937*'01_설정'!B11+Q1937*'01_설정'!B12+P1937*'01_설정'!B13+IF(Z1937="",0,Z1937))</f>
        <v/>
      </c>
      <c r="X1937" s="152">
        <f>IF(W1937="","",1+COUNTIFS($W$4:$W$3003,"&gt;"&amp;W1937)+COUNTIFS($W$4:W1937,W1937)-1)</f>
        <v/>
      </c>
      <c r="Y1937" s="175">
        <f>IF(OR(I1937="",'02_대상물건입력'!B19="",'02_대상물건입력'!B19&lt;=0),"",ABS(I1937-'02_대상물건입력'!B19)/'02_대상물건입력'!B19)</f>
        <v/>
      </c>
      <c r="Z1937" s="172">
        <f>IF(OR(Y1937="",'01_설정'!B31="",'01_설정'!B31&lt;=0,'01_설정'!B32="",'01_설정'!B32&lt;=0),"",MAX(0,(1-Y1937/'01_설정'!B32))*'01_설정'!B31)</f>
        <v/>
      </c>
    </row>
    <row r="1938" ht="17.25" customHeight="1">
      <c r="A1938" s="152">
        <f>IF(INDEX('04A_국토부원자료'!$A:$A,ROW()+1)="","",ROW()-3)</f>
        <v/>
      </c>
      <c r="B1938" s="48">
        <f>IFERROR(INDEX('04A_국토부원자료'!$A:$T,ROW()+1,MATCH("시군구",'04A_국토부원자료'!$A$4:$T$4,0)),"")</f>
        <v/>
      </c>
      <c r="C1938" s="48">
        <f>IF(B1938="","",IFERROR(INDEX('04A_국토부원자료'!$A:$T,ROW()+1,MATCH("번지",'04A_국토부원자료'!$A$4:$T$4,0)),""))</f>
        <v/>
      </c>
      <c r="D1938" s="48">
        <f>IF(B1938="","",IF(Q1938=1,'02_대상물건입력'!$B$8,IFERROR(INDEX('04A_국토부원자료'!$A:$T,ROW()+1,MATCH("단지명",'04A_국토부원자료'!$A$4:$T$4,0)),"")))</f>
        <v/>
      </c>
      <c r="E1938" s="172">
        <f>IFERROR(VALUE(SUBSTITUTE(INDEX('04A_국토부원자료'!$A:$T,ROW()+1,MATCH("전용면적(㎡)",'04A_국토부원자료'!$A$4:$T$4,0)),",","")),"")</f>
        <v/>
      </c>
      <c r="F19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38" s="51">
        <f>IFERROR(VALUE(SUBSTITUTE(INDEX('04A_국토부원자료'!$A:$T,ROW()+1,MATCH("거래금액(만원)",'04A_국토부원자료'!$A$4:$T$4,0)),",","")),"")</f>
        <v/>
      </c>
      <c r="H1938" s="174">
        <f>IF(G1938="","",G1938*10000)</f>
        <v/>
      </c>
      <c r="I1938" s="174">
        <f>IFERROR(IF(AND(H1938&gt;0,E1938&gt;0),H1938/E1938,""),"")</f>
        <v/>
      </c>
      <c r="J1938" s="152">
        <f>IFERROR(VALUE(SUBSTITUTE(INDEX('04A_국토부원자료'!$A:$T,ROW()+1,MATCH("층",'04A_국토부원자료'!$A$4:$T$4,0)),",","")),"")</f>
        <v/>
      </c>
      <c r="K1938" s="152">
        <f>IFERROR(VALUE(SUBSTITUTE(INDEX('04A_국토부원자료'!$A:$T,ROW()+1,MATCH("건축년도",'04A_국토부원자료'!$A$4:$T$4,0)),",","")),"")</f>
        <v/>
      </c>
      <c r="L1938" s="48">
        <f>IFERROR(INDEX('04A_국토부원자료'!$A:$T,ROW()+1,MATCH("도로명",'04A_국토부원자료'!$A$4:$T$4,0)),"")</f>
        <v/>
      </c>
      <c r="M1938" s="48">
        <f>IFERROR(INDEX('04A_국토부원자료'!$A:$T,ROW()+1,MATCH("거래유형",'04A_국토부원자료'!$A$4:$T$4,0)),"")</f>
        <v/>
      </c>
      <c r="N1938" s="152">
        <f>IF(B1938="","",IF('02_대상물건입력'!B5="",1,IF(ISNUMBER(SEARCH('02_대상물건입력'!B5,B1938)),1,0)))</f>
        <v/>
      </c>
      <c r="O1938" s="152">
        <f>IF(B1938="","",IF('02_대상물건입력'!B6="",1,IF(ISNUMBER(SEARCH('02_대상물건입력'!B6,B1938)),1,0)))</f>
        <v/>
      </c>
      <c r="P1938" s="152">
        <f>IF(L1938="","",IF('02_대상물건입력'!B15="",0,IF(ISNUMBER(SEARCH('02_대상물건입력'!B15,L1938)),1,0)))</f>
        <v/>
      </c>
      <c r="Q1938" s="152">
        <f>IF(OR(C1938="",L1938=""),0,IF(AND(TRIM(C1938)=TRIM(RIGHT(SUBSTITUTE(TRIM('02_대상물건입력'!$B$7)," ",REPT(" ",99)),99)),IF('02_대상물건입력'!B15="",TRUE(),ISNUMBER(SEARCH('02_대상물건입력'!B15,L1938)))),1,0))</f>
        <v/>
      </c>
      <c r="R1938" s="175">
        <f>IFERROR(ABS(E1938-'02_대상물건입력'!B11)/'02_대상물건입력'!B11,"")</f>
        <v/>
      </c>
      <c r="S1938" s="152">
        <f>IFERROR(ABS(J1938-'02_대상물건입력'!B10),"")</f>
        <v/>
      </c>
      <c r="T1938" s="152">
        <f>IFERROR(ABS('01_설정'!B4-F1938),"")</f>
        <v/>
      </c>
      <c r="U1938" s="152">
        <f>IFERROR(ABS(K1938-YEAR('02_대상물건입력'!B14)),"")</f>
        <v/>
      </c>
      <c r="V1938" s="152">
        <f>IF(B1938="","",IF(AND(E1938&gt;0,F1938&gt;0,H1938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1938=1,TRUE()),R1938&lt;='01_설정'!B5,S1938&lt;='01_설정'!B6,T1938&lt;='01_설정'!B7,U1938&lt;='01_설정'!B8),"Y",""))</f>
        <v/>
      </c>
      <c r="W1938" s="172">
        <f>IF(V1938&lt;&gt;"Y","",MAX(0,(1-R1938/'01_설정'!B5))*'01_설정'!B14+MAX(0,(1-S1938/'01_설정'!B6))*'01_설정'!B15+MAX(0,(1-T1938/'01_설정'!B7))*'01_설정'!B16+MAX(0,(1-U1938/'01_설정'!B8))*'01_설정'!B17+O1938*'01_설정'!B11+Q1938*'01_설정'!B12+P1938*'01_설정'!B13+IF(Z1938="",0,Z1938))</f>
        <v/>
      </c>
      <c r="X1938" s="152">
        <f>IF(W1938="","",1+COUNTIFS($W$4:$W$3003,"&gt;"&amp;W1938)+COUNTIFS($W$4:W1938,W1938)-1)</f>
        <v/>
      </c>
      <c r="Y1938" s="175">
        <f>IF(OR(I1938="",'02_대상물건입력'!B19="",'02_대상물건입력'!B19&lt;=0),"",ABS(I1938-'02_대상물건입력'!B19)/'02_대상물건입력'!B19)</f>
        <v/>
      </c>
      <c r="Z1938" s="172">
        <f>IF(OR(Y1938="",'01_설정'!B31="",'01_설정'!B31&lt;=0,'01_설정'!B32="",'01_설정'!B32&lt;=0),"",MAX(0,(1-Y1938/'01_설정'!B32))*'01_설정'!B31)</f>
        <v/>
      </c>
    </row>
    <row r="1939" ht="17.25" customHeight="1">
      <c r="A1939" s="152">
        <f>IF(INDEX('04A_국토부원자료'!$A:$A,ROW()+1)="","",ROW()-3)</f>
        <v/>
      </c>
      <c r="B1939" s="48">
        <f>IFERROR(INDEX('04A_국토부원자료'!$A:$T,ROW()+1,MATCH("시군구",'04A_국토부원자료'!$A$4:$T$4,0)),"")</f>
        <v/>
      </c>
      <c r="C1939" s="48">
        <f>IF(B1939="","",IFERROR(INDEX('04A_국토부원자료'!$A:$T,ROW()+1,MATCH("번지",'04A_국토부원자료'!$A$4:$T$4,0)),""))</f>
        <v/>
      </c>
      <c r="D1939" s="48">
        <f>IF(B1939="","",IF(Q1939=1,'02_대상물건입력'!$B$8,IFERROR(INDEX('04A_국토부원자료'!$A:$T,ROW()+1,MATCH("단지명",'04A_국토부원자료'!$A$4:$T$4,0)),"")))</f>
        <v/>
      </c>
      <c r="E1939" s="172">
        <f>IFERROR(VALUE(SUBSTITUTE(INDEX('04A_국토부원자료'!$A:$T,ROW()+1,MATCH("전용면적(㎡)",'04A_국토부원자료'!$A$4:$T$4,0)),",","")),"")</f>
        <v/>
      </c>
      <c r="F19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39" s="51">
        <f>IFERROR(VALUE(SUBSTITUTE(INDEX('04A_국토부원자료'!$A:$T,ROW()+1,MATCH("거래금액(만원)",'04A_국토부원자료'!$A$4:$T$4,0)),",","")),"")</f>
        <v/>
      </c>
      <c r="H1939" s="174">
        <f>IF(G1939="","",G1939*10000)</f>
        <v/>
      </c>
      <c r="I1939" s="174">
        <f>IFERROR(IF(AND(H1939&gt;0,E1939&gt;0),H1939/E1939,""),"")</f>
        <v/>
      </c>
      <c r="J1939" s="152">
        <f>IFERROR(VALUE(SUBSTITUTE(INDEX('04A_국토부원자료'!$A:$T,ROW()+1,MATCH("층",'04A_국토부원자료'!$A$4:$T$4,0)),",","")),"")</f>
        <v/>
      </c>
      <c r="K1939" s="152">
        <f>IFERROR(VALUE(SUBSTITUTE(INDEX('04A_국토부원자료'!$A:$T,ROW()+1,MATCH("건축년도",'04A_국토부원자료'!$A$4:$T$4,0)),",","")),"")</f>
        <v/>
      </c>
      <c r="L1939" s="48">
        <f>IFERROR(INDEX('04A_국토부원자료'!$A:$T,ROW()+1,MATCH("도로명",'04A_국토부원자료'!$A$4:$T$4,0)),"")</f>
        <v/>
      </c>
      <c r="M1939" s="48">
        <f>IFERROR(INDEX('04A_국토부원자료'!$A:$T,ROW()+1,MATCH("거래유형",'04A_국토부원자료'!$A$4:$T$4,0)),"")</f>
        <v/>
      </c>
      <c r="N1939" s="152">
        <f>IF(B1939="","",IF('02_대상물건입력'!B5="",1,IF(ISNUMBER(SEARCH('02_대상물건입력'!B5,B1939)),1,0)))</f>
        <v/>
      </c>
      <c r="O1939" s="152">
        <f>IF(B1939="","",IF('02_대상물건입력'!B6="",1,IF(ISNUMBER(SEARCH('02_대상물건입력'!B6,B1939)),1,0)))</f>
        <v/>
      </c>
      <c r="P1939" s="152">
        <f>IF(L1939="","",IF('02_대상물건입력'!B15="",0,IF(ISNUMBER(SEARCH('02_대상물건입력'!B15,L1939)),1,0)))</f>
        <v/>
      </c>
      <c r="Q1939" s="152">
        <f>IF(OR(C1939="",L1939=""),0,IF(AND(TRIM(C1939)=TRIM(RIGHT(SUBSTITUTE(TRIM('02_대상물건입력'!$B$7)," ",REPT(" ",99)),99)),IF('02_대상물건입력'!B15="",TRUE(),ISNUMBER(SEARCH('02_대상물건입력'!B15,L1939)))),1,0))</f>
        <v/>
      </c>
      <c r="R1939" s="175">
        <f>IFERROR(ABS(E1939-'02_대상물건입력'!B11)/'02_대상물건입력'!B11,"")</f>
        <v/>
      </c>
      <c r="S1939" s="152">
        <f>IFERROR(ABS(J1939-'02_대상물건입력'!B10),"")</f>
        <v/>
      </c>
      <c r="T1939" s="152">
        <f>IFERROR(ABS('01_설정'!B4-F1939),"")</f>
        <v/>
      </c>
      <c r="U1939" s="152">
        <f>IFERROR(ABS(K1939-YEAR('02_대상물건입력'!B14)),"")</f>
        <v/>
      </c>
      <c r="V1939" s="152">
        <f>IF(B1939="","",IF(AND(E1939&gt;0,F1939&gt;0,H1939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1939=1,TRUE()),R1939&lt;='01_설정'!B5,S1939&lt;='01_설정'!B6,T1939&lt;='01_설정'!B7,U1939&lt;='01_설정'!B8),"Y",""))</f>
        <v/>
      </c>
      <c r="W1939" s="172">
        <f>IF(V1939&lt;&gt;"Y","",MAX(0,(1-R1939/'01_설정'!B5))*'01_설정'!B14+MAX(0,(1-S1939/'01_설정'!B6))*'01_설정'!B15+MAX(0,(1-T1939/'01_설정'!B7))*'01_설정'!B16+MAX(0,(1-U1939/'01_설정'!B8))*'01_설정'!B17+O1939*'01_설정'!B11+Q1939*'01_설정'!B12+P1939*'01_설정'!B13+IF(Z1939="",0,Z1939))</f>
        <v/>
      </c>
      <c r="X1939" s="152">
        <f>IF(W1939="","",1+COUNTIFS($W$4:$W$3003,"&gt;"&amp;W1939)+COUNTIFS($W$4:W1939,W1939)-1)</f>
        <v/>
      </c>
      <c r="Y1939" s="175">
        <f>IF(OR(I1939="",'02_대상물건입력'!B19="",'02_대상물건입력'!B19&lt;=0),"",ABS(I1939-'02_대상물건입력'!B19)/'02_대상물건입력'!B19)</f>
        <v/>
      </c>
      <c r="Z1939" s="172">
        <f>IF(OR(Y1939="",'01_설정'!B31="",'01_설정'!B31&lt;=0,'01_설정'!B32="",'01_설정'!B32&lt;=0),"",MAX(0,(1-Y1939/'01_설정'!B32))*'01_설정'!B31)</f>
        <v/>
      </c>
    </row>
    <row r="1940" ht="17.25" customHeight="1">
      <c r="A1940" s="152">
        <f>IF(INDEX('04A_국토부원자료'!$A:$A,ROW()+1)="","",ROW()-3)</f>
        <v/>
      </c>
      <c r="B1940" s="48">
        <f>IFERROR(INDEX('04A_국토부원자료'!$A:$T,ROW()+1,MATCH("시군구",'04A_국토부원자료'!$A$4:$T$4,0)),"")</f>
        <v/>
      </c>
      <c r="C1940" s="48">
        <f>IF(B1940="","",IFERROR(INDEX('04A_국토부원자료'!$A:$T,ROW()+1,MATCH("번지",'04A_국토부원자료'!$A$4:$T$4,0)),""))</f>
        <v/>
      </c>
      <c r="D1940" s="48">
        <f>IF(B1940="","",IF(Q1940=1,'02_대상물건입력'!$B$8,IFERROR(INDEX('04A_국토부원자료'!$A:$T,ROW()+1,MATCH("단지명",'04A_국토부원자료'!$A$4:$T$4,0)),"")))</f>
        <v/>
      </c>
      <c r="E1940" s="172">
        <f>IFERROR(VALUE(SUBSTITUTE(INDEX('04A_국토부원자료'!$A:$T,ROW()+1,MATCH("전용면적(㎡)",'04A_국토부원자료'!$A$4:$T$4,0)),",","")),"")</f>
        <v/>
      </c>
      <c r="F19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40" s="51">
        <f>IFERROR(VALUE(SUBSTITUTE(INDEX('04A_국토부원자료'!$A:$T,ROW()+1,MATCH("거래금액(만원)",'04A_국토부원자료'!$A$4:$T$4,0)),",","")),"")</f>
        <v/>
      </c>
      <c r="H1940" s="174">
        <f>IF(G1940="","",G1940*10000)</f>
        <v/>
      </c>
      <c r="I1940" s="174">
        <f>IFERROR(IF(AND(H1940&gt;0,E1940&gt;0),H1940/E1940,""),"")</f>
        <v/>
      </c>
      <c r="J1940" s="152">
        <f>IFERROR(VALUE(SUBSTITUTE(INDEX('04A_국토부원자료'!$A:$T,ROW()+1,MATCH("층",'04A_국토부원자료'!$A$4:$T$4,0)),",","")),"")</f>
        <v/>
      </c>
      <c r="K1940" s="152">
        <f>IFERROR(VALUE(SUBSTITUTE(INDEX('04A_국토부원자료'!$A:$T,ROW()+1,MATCH("건축년도",'04A_국토부원자료'!$A$4:$T$4,0)),",","")),"")</f>
        <v/>
      </c>
      <c r="L1940" s="48">
        <f>IFERROR(INDEX('04A_국토부원자료'!$A:$T,ROW()+1,MATCH("도로명",'04A_국토부원자료'!$A$4:$T$4,0)),"")</f>
        <v/>
      </c>
      <c r="M1940" s="48">
        <f>IFERROR(INDEX('04A_국토부원자료'!$A:$T,ROW()+1,MATCH("거래유형",'04A_국토부원자료'!$A$4:$T$4,0)),"")</f>
        <v/>
      </c>
      <c r="N1940" s="152">
        <f>IF(B1940="","",IF('02_대상물건입력'!B5="",1,IF(ISNUMBER(SEARCH('02_대상물건입력'!B5,B1940)),1,0)))</f>
        <v/>
      </c>
      <c r="O1940" s="152">
        <f>IF(B1940="","",IF('02_대상물건입력'!B6="",1,IF(ISNUMBER(SEARCH('02_대상물건입력'!B6,B1940)),1,0)))</f>
        <v/>
      </c>
      <c r="P1940" s="152">
        <f>IF(L1940="","",IF('02_대상물건입력'!B15="",0,IF(ISNUMBER(SEARCH('02_대상물건입력'!B15,L1940)),1,0)))</f>
        <v/>
      </c>
      <c r="Q1940" s="152">
        <f>IF(OR(C1940="",L1940=""),0,IF(AND(TRIM(C1940)=TRIM(RIGHT(SUBSTITUTE(TRIM('02_대상물건입력'!$B$7)," ",REPT(" ",99)),99)),IF('02_대상물건입력'!B15="",TRUE(),ISNUMBER(SEARCH('02_대상물건입력'!B15,L1940)))),1,0))</f>
        <v/>
      </c>
      <c r="R1940" s="175">
        <f>IFERROR(ABS(E1940-'02_대상물건입력'!B11)/'02_대상물건입력'!B11,"")</f>
        <v/>
      </c>
      <c r="S1940" s="152">
        <f>IFERROR(ABS(J1940-'02_대상물건입력'!B10),"")</f>
        <v/>
      </c>
      <c r="T1940" s="152">
        <f>IFERROR(ABS('01_설정'!B4-F1940),"")</f>
        <v/>
      </c>
      <c r="U1940" s="152">
        <f>IFERROR(ABS(K1940-YEAR('02_대상물건입력'!B14)),"")</f>
        <v/>
      </c>
      <c r="V1940" s="152">
        <f>IF(B1940="","",IF(AND(E1940&gt;0,F1940&gt;0,H1940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1940=1,TRUE()),R1940&lt;='01_설정'!B5,S1940&lt;='01_설정'!B6,T1940&lt;='01_설정'!B7,U1940&lt;='01_설정'!B8),"Y",""))</f>
        <v/>
      </c>
      <c r="W1940" s="172">
        <f>IF(V1940&lt;&gt;"Y","",MAX(0,(1-R1940/'01_설정'!B5))*'01_설정'!B14+MAX(0,(1-S1940/'01_설정'!B6))*'01_설정'!B15+MAX(0,(1-T1940/'01_설정'!B7))*'01_설정'!B16+MAX(0,(1-U1940/'01_설정'!B8))*'01_설정'!B17+O1940*'01_설정'!B11+Q1940*'01_설정'!B12+P1940*'01_설정'!B13+IF(Z1940="",0,Z1940))</f>
        <v/>
      </c>
      <c r="X1940" s="152">
        <f>IF(W1940="","",1+COUNTIFS($W$4:$W$3003,"&gt;"&amp;W1940)+COUNTIFS($W$4:W1940,W1940)-1)</f>
        <v/>
      </c>
      <c r="Y1940" s="175">
        <f>IF(OR(I1940="",'02_대상물건입력'!B19="",'02_대상물건입력'!B19&lt;=0),"",ABS(I1940-'02_대상물건입력'!B19)/'02_대상물건입력'!B19)</f>
        <v/>
      </c>
      <c r="Z1940" s="172">
        <f>IF(OR(Y1940="",'01_설정'!B31="",'01_설정'!B31&lt;=0,'01_설정'!B32="",'01_설정'!B32&lt;=0),"",MAX(0,(1-Y1940/'01_설정'!B32))*'01_설정'!B31)</f>
        <v/>
      </c>
    </row>
    <row r="1941" ht="17.25" customHeight="1">
      <c r="A1941" s="152">
        <f>IF(INDEX('04A_국토부원자료'!$A:$A,ROW()+1)="","",ROW()-3)</f>
        <v/>
      </c>
      <c r="B1941" s="48">
        <f>IFERROR(INDEX('04A_국토부원자료'!$A:$T,ROW()+1,MATCH("시군구",'04A_국토부원자료'!$A$4:$T$4,0)),"")</f>
        <v/>
      </c>
      <c r="C1941" s="48">
        <f>IF(B1941="","",IFERROR(INDEX('04A_국토부원자료'!$A:$T,ROW()+1,MATCH("번지",'04A_국토부원자료'!$A$4:$T$4,0)),""))</f>
        <v/>
      </c>
      <c r="D1941" s="48">
        <f>IF(B1941="","",IF(Q1941=1,'02_대상물건입력'!$B$8,IFERROR(INDEX('04A_국토부원자료'!$A:$T,ROW()+1,MATCH("단지명",'04A_국토부원자료'!$A$4:$T$4,0)),"")))</f>
        <v/>
      </c>
      <c r="E1941" s="172">
        <f>IFERROR(VALUE(SUBSTITUTE(INDEX('04A_국토부원자료'!$A:$T,ROW()+1,MATCH("전용면적(㎡)",'04A_국토부원자료'!$A$4:$T$4,0)),",","")),"")</f>
        <v/>
      </c>
      <c r="F19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41" s="51">
        <f>IFERROR(VALUE(SUBSTITUTE(INDEX('04A_국토부원자료'!$A:$T,ROW()+1,MATCH("거래금액(만원)",'04A_국토부원자료'!$A$4:$T$4,0)),",","")),"")</f>
        <v/>
      </c>
      <c r="H1941" s="174">
        <f>IF(G1941="","",G1941*10000)</f>
        <v/>
      </c>
      <c r="I1941" s="174">
        <f>IFERROR(IF(AND(H1941&gt;0,E1941&gt;0),H1941/E1941,""),"")</f>
        <v/>
      </c>
      <c r="J1941" s="152">
        <f>IFERROR(VALUE(SUBSTITUTE(INDEX('04A_국토부원자료'!$A:$T,ROW()+1,MATCH("층",'04A_국토부원자료'!$A$4:$T$4,0)),",","")),"")</f>
        <v/>
      </c>
      <c r="K1941" s="152">
        <f>IFERROR(VALUE(SUBSTITUTE(INDEX('04A_국토부원자료'!$A:$T,ROW()+1,MATCH("건축년도",'04A_국토부원자료'!$A$4:$T$4,0)),",","")),"")</f>
        <v/>
      </c>
      <c r="L1941" s="48">
        <f>IFERROR(INDEX('04A_국토부원자료'!$A:$T,ROW()+1,MATCH("도로명",'04A_국토부원자료'!$A$4:$T$4,0)),"")</f>
        <v/>
      </c>
      <c r="M1941" s="48">
        <f>IFERROR(INDEX('04A_국토부원자료'!$A:$T,ROW()+1,MATCH("거래유형",'04A_국토부원자료'!$A$4:$T$4,0)),"")</f>
        <v/>
      </c>
      <c r="N1941" s="152">
        <f>IF(B1941="","",IF('02_대상물건입력'!B5="",1,IF(ISNUMBER(SEARCH('02_대상물건입력'!B5,B1941)),1,0)))</f>
        <v/>
      </c>
      <c r="O1941" s="152">
        <f>IF(B1941="","",IF('02_대상물건입력'!B6="",1,IF(ISNUMBER(SEARCH('02_대상물건입력'!B6,B1941)),1,0)))</f>
        <v/>
      </c>
      <c r="P1941" s="152">
        <f>IF(L1941="","",IF('02_대상물건입력'!B15="",0,IF(ISNUMBER(SEARCH('02_대상물건입력'!B15,L1941)),1,0)))</f>
        <v/>
      </c>
      <c r="Q1941" s="152">
        <f>IF(OR(C1941="",L1941=""),0,IF(AND(TRIM(C1941)=TRIM(RIGHT(SUBSTITUTE(TRIM('02_대상물건입력'!$B$7)," ",REPT(" ",99)),99)),IF('02_대상물건입력'!B15="",TRUE(),ISNUMBER(SEARCH('02_대상물건입력'!B15,L1941)))),1,0))</f>
        <v/>
      </c>
      <c r="R1941" s="175">
        <f>IFERROR(ABS(E1941-'02_대상물건입력'!B11)/'02_대상물건입력'!B11,"")</f>
        <v/>
      </c>
      <c r="S1941" s="152">
        <f>IFERROR(ABS(J1941-'02_대상물건입력'!B10),"")</f>
        <v/>
      </c>
      <c r="T1941" s="152">
        <f>IFERROR(ABS('01_설정'!B4-F1941),"")</f>
        <v/>
      </c>
      <c r="U1941" s="152">
        <f>IFERROR(ABS(K1941-YEAR('02_대상물건입력'!B14)),"")</f>
        <v/>
      </c>
      <c r="V1941" s="152">
        <f>IF(B1941="","",IF(AND(E1941&gt;0,F1941&gt;0,H1941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1941=1,TRUE()),R1941&lt;='01_설정'!B5,S1941&lt;='01_설정'!B6,T1941&lt;='01_설정'!B7,U1941&lt;='01_설정'!B8),"Y",""))</f>
        <v/>
      </c>
      <c r="W1941" s="172">
        <f>IF(V1941&lt;&gt;"Y","",MAX(0,(1-R1941/'01_설정'!B5))*'01_설정'!B14+MAX(0,(1-S1941/'01_설정'!B6))*'01_설정'!B15+MAX(0,(1-T1941/'01_설정'!B7))*'01_설정'!B16+MAX(0,(1-U1941/'01_설정'!B8))*'01_설정'!B17+O1941*'01_설정'!B11+Q1941*'01_설정'!B12+P1941*'01_설정'!B13+IF(Z1941="",0,Z1941))</f>
        <v/>
      </c>
      <c r="X1941" s="152">
        <f>IF(W1941="","",1+COUNTIFS($W$4:$W$3003,"&gt;"&amp;W1941)+COUNTIFS($W$4:W1941,W1941)-1)</f>
        <v/>
      </c>
      <c r="Y1941" s="175">
        <f>IF(OR(I1941="",'02_대상물건입력'!B19="",'02_대상물건입력'!B19&lt;=0),"",ABS(I1941-'02_대상물건입력'!B19)/'02_대상물건입력'!B19)</f>
        <v/>
      </c>
      <c r="Z1941" s="172">
        <f>IF(OR(Y1941="",'01_설정'!B31="",'01_설정'!B31&lt;=0,'01_설정'!B32="",'01_설정'!B32&lt;=0),"",MAX(0,(1-Y1941/'01_설정'!B32))*'01_설정'!B31)</f>
        <v/>
      </c>
    </row>
    <row r="1942" ht="17.25" customHeight="1">
      <c r="A1942" s="152">
        <f>IF(INDEX('04A_국토부원자료'!$A:$A,ROW()+1)="","",ROW()-3)</f>
        <v/>
      </c>
      <c r="B1942" s="48">
        <f>IFERROR(INDEX('04A_국토부원자료'!$A:$T,ROW()+1,MATCH("시군구",'04A_국토부원자료'!$A$4:$T$4,0)),"")</f>
        <v/>
      </c>
      <c r="C1942" s="48">
        <f>IF(B1942="","",IFERROR(INDEX('04A_국토부원자료'!$A:$T,ROW()+1,MATCH("번지",'04A_국토부원자료'!$A$4:$T$4,0)),""))</f>
        <v/>
      </c>
      <c r="D1942" s="48">
        <f>IF(B1942="","",IF(Q1942=1,'02_대상물건입력'!$B$8,IFERROR(INDEX('04A_국토부원자료'!$A:$T,ROW()+1,MATCH("단지명",'04A_국토부원자료'!$A$4:$T$4,0)),"")))</f>
        <v/>
      </c>
      <c r="E1942" s="172">
        <f>IFERROR(VALUE(SUBSTITUTE(INDEX('04A_국토부원자료'!$A:$T,ROW()+1,MATCH("전용면적(㎡)",'04A_국토부원자료'!$A$4:$T$4,0)),",","")),"")</f>
        <v/>
      </c>
      <c r="F19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42" s="51">
        <f>IFERROR(VALUE(SUBSTITUTE(INDEX('04A_국토부원자료'!$A:$T,ROW()+1,MATCH("거래금액(만원)",'04A_국토부원자료'!$A$4:$T$4,0)),",","")),"")</f>
        <v/>
      </c>
      <c r="H1942" s="174">
        <f>IF(G1942="","",G1942*10000)</f>
        <v/>
      </c>
      <c r="I1942" s="174">
        <f>IFERROR(IF(AND(H1942&gt;0,E1942&gt;0),H1942/E1942,""),"")</f>
        <v/>
      </c>
      <c r="J1942" s="152">
        <f>IFERROR(VALUE(SUBSTITUTE(INDEX('04A_국토부원자료'!$A:$T,ROW()+1,MATCH("층",'04A_국토부원자료'!$A$4:$T$4,0)),",","")),"")</f>
        <v/>
      </c>
      <c r="K1942" s="152">
        <f>IFERROR(VALUE(SUBSTITUTE(INDEX('04A_국토부원자료'!$A:$T,ROW()+1,MATCH("건축년도",'04A_국토부원자료'!$A$4:$T$4,0)),",","")),"")</f>
        <v/>
      </c>
      <c r="L1942" s="48">
        <f>IFERROR(INDEX('04A_국토부원자료'!$A:$T,ROW()+1,MATCH("도로명",'04A_국토부원자료'!$A$4:$T$4,0)),"")</f>
        <v/>
      </c>
      <c r="M1942" s="48">
        <f>IFERROR(INDEX('04A_국토부원자료'!$A:$T,ROW()+1,MATCH("거래유형",'04A_국토부원자료'!$A$4:$T$4,0)),"")</f>
        <v/>
      </c>
      <c r="N1942" s="152">
        <f>IF(B1942="","",IF('02_대상물건입력'!B5="",1,IF(ISNUMBER(SEARCH('02_대상물건입력'!B5,B1942)),1,0)))</f>
        <v/>
      </c>
      <c r="O1942" s="152">
        <f>IF(B1942="","",IF('02_대상물건입력'!B6="",1,IF(ISNUMBER(SEARCH('02_대상물건입력'!B6,B1942)),1,0)))</f>
        <v/>
      </c>
      <c r="P1942" s="152">
        <f>IF(L1942="","",IF('02_대상물건입력'!B15="",0,IF(ISNUMBER(SEARCH('02_대상물건입력'!B15,L1942)),1,0)))</f>
        <v/>
      </c>
      <c r="Q1942" s="152">
        <f>IF(OR(C1942="",L1942=""),0,IF(AND(TRIM(C1942)=TRIM(RIGHT(SUBSTITUTE(TRIM('02_대상물건입력'!$B$7)," ",REPT(" ",99)),99)),IF('02_대상물건입력'!B15="",TRUE(),ISNUMBER(SEARCH('02_대상물건입력'!B15,L1942)))),1,0))</f>
        <v/>
      </c>
      <c r="R1942" s="175">
        <f>IFERROR(ABS(E1942-'02_대상물건입력'!B11)/'02_대상물건입력'!B11,"")</f>
        <v/>
      </c>
      <c r="S1942" s="152">
        <f>IFERROR(ABS(J1942-'02_대상물건입력'!B10),"")</f>
        <v/>
      </c>
      <c r="T1942" s="152">
        <f>IFERROR(ABS('01_설정'!B4-F1942),"")</f>
        <v/>
      </c>
      <c r="U1942" s="152">
        <f>IFERROR(ABS(K1942-YEAR('02_대상물건입력'!B14)),"")</f>
        <v/>
      </c>
      <c r="V1942" s="152">
        <f>IF(B1942="","",IF(AND(E1942&gt;0,F1942&gt;0,H1942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1942=1,TRUE()),R1942&lt;='01_설정'!B5,S1942&lt;='01_설정'!B6,T1942&lt;='01_설정'!B7,U1942&lt;='01_설정'!B8),"Y",""))</f>
        <v/>
      </c>
      <c r="W1942" s="172">
        <f>IF(V1942&lt;&gt;"Y","",MAX(0,(1-R1942/'01_설정'!B5))*'01_설정'!B14+MAX(0,(1-S1942/'01_설정'!B6))*'01_설정'!B15+MAX(0,(1-T1942/'01_설정'!B7))*'01_설정'!B16+MAX(0,(1-U1942/'01_설정'!B8))*'01_설정'!B17+O1942*'01_설정'!B11+Q1942*'01_설정'!B12+P1942*'01_설정'!B13+IF(Z1942="",0,Z1942))</f>
        <v/>
      </c>
      <c r="X1942" s="152">
        <f>IF(W1942="","",1+COUNTIFS($W$4:$W$3003,"&gt;"&amp;W1942)+COUNTIFS($W$4:W1942,W1942)-1)</f>
        <v/>
      </c>
      <c r="Y1942" s="175">
        <f>IF(OR(I1942="",'02_대상물건입력'!B19="",'02_대상물건입력'!B19&lt;=0),"",ABS(I1942-'02_대상물건입력'!B19)/'02_대상물건입력'!B19)</f>
        <v/>
      </c>
      <c r="Z1942" s="172">
        <f>IF(OR(Y1942="",'01_설정'!B31="",'01_설정'!B31&lt;=0,'01_설정'!B32="",'01_설정'!B32&lt;=0),"",MAX(0,(1-Y1942/'01_설정'!B32))*'01_설정'!B31)</f>
        <v/>
      </c>
    </row>
    <row r="1943" ht="17.25" customHeight="1">
      <c r="A1943" s="152">
        <f>IF(INDEX('04A_국토부원자료'!$A:$A,ROW()+1)="","",ROW()-3)</f>
        <v/>
      </c>
      <c r="B1943" s="48">
        <f>IFERROR(INDEX('04A_국토부원자료'!$A:$T,ROW()+1,MATCH("시군구",'04A_국토부원자료'!$A$4:$T$4,0)),"")</f>
        <v/>
      </c>
      <c r="C1943" s="48">
        <f>IF(B1943="","",IFERROR(INDEX('04A_국토부원자료'!$A:$T,ROW()+1,MATCH("번지",'04A_국토부원자료'!$A$4:$T$4,0)),""))</f>
        <v/>
      </c>
      <c r="D1943" s="48">
        <f>IF(B1943="","",IF(Q1943=1,'02_대상물건입력'!$B$8,IFERROR(INDEX('04A_국토부원자료'!$A:$T,ROW()+1,MATCH("단지명",'04A_국토부원자료'!$A$4:$T$4,0)),"")))</f>
        <v/>
      </c>
      <c r="E1943" s="172">
        <f>IFERROR(VALUE(SUBSTITUTE(INDEX('04A_국토부원자료'!$A:$T,ROW()+1,MATCH("전용면적(㎡)",'04A_국토부원자료'!$A$4:$T$4,0)),",","")),"")</f>
        <v/>
      </c>
      <c r="F19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43" s="51">
        <f>IFERROR(VALUE(SUBSTITUTE(INDEX('04A_국토부원자료'!$A:$T,ROW()+1,MATCH("거래금액(만원)",'04A_국토부원자료'!$A$4:$T$4,0)),",","")),"")</f>
        <v/>
      </c>
      <c r="H1943" s="174">
        <f>IF(G1943="","",G1943*10000)</f>
        <v/>
      </c>
      <c r="I1943" s="174">
        <f>IFERROR(IF(AND(H1943&gt;0,E1943&gt;0),H1943/E1943,""),"")</f>
        <v/>
      </c>
      <c r="J1943" s="152">
        <f>IFERROR(VALUE(SUBSTITUTE(INDEX('04A_국토부원자료'!$A:$T,ROW()+1,MATCH("층",'04A_국토부원자료'!$A$4:$T$4,0)),",","")),"")</f>
        <v/>
      </c>
      <c r="K1943" s="152">
        <f>IFERROR(VALUE(SUBSTITUTE(INDEX('04A_국토부원자료'!$A:$T,ROW()+1,MATCH("건축년도",'04A_국토부원자료'!$A$4:$T$4,0)),",","")),"")</f>
        <v/>
      </c>
      <c r="L1943" s="48">
        <f>IFERROR(INDEX('04A_국토부원자료'!$A:$T,ROW()+1,MATCH("도로명",'04A_국토부원자료'!$A$4:$T$4,0)),"")</f>
        <v/>
      </c>
      <c r="M1943" s="48">
        <f>IFERROR(INDEX('04A_국토부원자료'!$A:$T,ROW()+1,MATCH("거래유형",'04A_국토부원자료'!$A$4:$T$4,0)),"")</f>
        <v/>
      </c>
      <c r="N1943" s="152">
        <f>IF(B1943="","",IF('02_대상물건입력'!B5="",1,IF(ISNUMBER(SEARCH('02_대상물건입력'!B5,B1943)),1,0)))</f>
        <v/>
      </c>
      <c r="O1943" s="152">
        <f>IF(B1943="","",IF('02_대상물건입력'!B6="",1,IF(ISNUMBER(SEARCH('02_대상물건입력'!B6,B1943)),1,0)))</f>
        <v/>
      </c>
      <c r="P1943" s="152">
        <f>IF(L1943="","",IF('02_대상물건입력'!B15="",0,IF(ISNUMBER(SEARCH('02_대상물건입력'!B15,L1943)),1,0)))</f>
        <v/>
      </c>
      <c r="Q1943" s="152">
        <f>IF(OR(C1943="",L1943=""),0,IF(AND(TRIM(C1943)=TRIM(RIGHT(SUBSTITUTE(TRIM('02_대상물건입력'!$B$7)," ",REPT(" ",99)),99)),IF('02_대상물건입력'!B15="",TRUE(),ISNUMBER(SEARCH('02_대상물건입력'!B15,L1943)))),1,0))</f>
        <v/>
      </c>
      <c r="R1943" s="175">
        <f>IFERROR(ABS(E1943-'02_대상물건입력'!B11)/'02_대상물건입력'!B11,"")</f>
        <v/>
      </c>
      <c r="S1943" s="152">
        <f>IFERROR(ABS(J1943-'02_대상물건입력'!B10),"")</f>
        <v/>
      </c>
      <c r="T1943" s="152">
        <f>IFERROR(ABS('01_설정'!B4-F1943),"")</f>
        <v/>
      </c>
      <c r="U1943" s="152">
        <f>IFERROR(ABS(K1943-YEAR('02_대상물건입력'!B14)),"")</f>
        <v/>
      </c>
      <c r="V1943" s="152">
        <f>IF(B1943="","",IF(AND(E1943&gt;0,F1943&gt;0,H1943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1943=1,TRUE()),R1943&lt;='01_설정'!B5,S1943&lt;='01_설정'!B6,T1943&lt;='01_설정'!B7,U1943&lt;='01_설정'!B8),"Y",""))</f>
        <v/>
      </c>
      <c r="W1943" s="172">
        <f>IF(V1943&lt;&gt;"Y","",MAX(0,(1-R1943/'01_설정'!B5))*'01_설정'!B14+MAX(0,(1-S1943/'01_설정'!B6))*'01_설정'!B15+MAX(0,(1-T1943/'01_설정'!B7))*'01_설정'!B16+MAX(0,(1-U1943/'01_설정'!B8))*'01_설정'!B17+O1943*'01_설정'!B11+Q1943*'01_설정'!B12+P1943*'01_설정'!B13+IF(Z1943="",0,Z1943))</f>
        <v/>
      </c>
      <c r="X1943" s="152">
        <f>IF(W1943="","",1+COUNTIFS($W$4:$W$3003,"&gt;"&amp;W1943)+COUNTIFS($W$4:W1943,W1943)-1)</f>
        <v/>
      </c>
      <c r="Y1943" s="175">
        <f>IF(OR(I1943="",'02_대상물건입력'!B19="",'02_대상물건입력'!B19&lt;=0),"",ABS(I1943-'02_대상물건입력'!B19)/'02_대상물건입력'!B19)</f>
        <v/>
      </c>
      <c r="Z1943" s="172">
        <f>IF(OR(Y1943="",'01_설정'!B31="",'01_설정'!B31&lt;=0,'01_설정'!B32="",'01_설정'!B32&lt;=0),"",MAX(0,(1-Y1943/'01_설정'!B32))*'01_설정'!B31)</f>
        <v/>
      </c>
    </row>
    <row r="1944" ht="17.25" customHeight="1">
      <c r="A1944" s="152">
        <f>IF(INDEX('04A_국토부원자료'!$A:$A,ROW()+1)="","",ROW()-3)</f>
        <v/>
      </c>
      <c r="B1944" s="48">
        <f>IFERROR(INDEX('04A_국토부원자료'!$A:$T,ROW()+1,MATCH("시군구",'04A_국토부원자료'!$A$4:$T$4,0)),"")</f>
        <v/>
      </c>
      <c r="C1944" s="48">
        <f>IF(B1944="","",IFERROR(INDEX('04A_국토부원자료'!$A:$T,ROW()+1,MATCH("번지",'04A_국토부원자료'!$A$4:$T$4,0)),""))</f>
        <v/>
      </c>
      <c r="D1944" s="48">
        <f>IF(B1944="","",IF(Q1944=1,'02_대상물건입력'!$B$8,IFERROR(INDEX('04A_국토부원자료'!$A:$T,ROW()+1,MATCH("단지명",'04A_국토부원자료'!$A$4:$T$4,0)),"")))</f>
        <v/>
      </c>
      <c r="E1944" s="172">
        <f>IFERROR(VALUE(SUBSTITUTE(INDEX('04A_국토부원자료'!$A:$T,ROW()+1,MATCH("전용면적(㎡)",'04A_국토부원자료'!$A$4:$T$4,0)),",","")),"")</f>
        <v/>
      </c>
      <c r="F19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44" s="51">
        <f>IFERROR(VALUE(SUBSTITUTE(INDEX('04A_국토부원자료'!$A:$T,ROW()+1,MATCH("거래금액(만원)",'04A_국토부원자료'!$A$4:$T$4,0)),",","")),"")</f>
        <v/>
      </c>
      <c r="H1944" s="174">
        <f>IF(G1944="","",G1944*10000)</f>
        <v/>
      </c>
      <c r="I1944" s="174">
        <f>IFERROR(IF(AND(H1944&gt;0,E1944&gt;0),H1944/E1944,""),"")</f>
        <v/>
      </c>
      <c r="J1944" s="152">
        <f>IFERROR(VALUE(SUBSTITUTE(INDEX('04A_국토부원자료'!$A:$T,ROW()+1,MATCH("층",'04A_국토부원자료'!$A$4:$T$4,0)),",","")),"")</f>
        <v/>
      </c>
      <c r="K1944" s="152">
        <f>IFERROR(VALUE(SUBSTITUTE(INDEX('04A_국토부원자료'!$A:$T,ROW()+1,MATCH("건축년도",'04A_국토부원자료'!$A$4:$T$4,0)),",","")),"")</f>
        <v/>
      </c>
      <c r="L1944" s="48">
        <f>IFERROR(INDEX('04A_국토부원자료'!$A:$T,ROW()+1,MATCH("도로명",'04A_국토부원자료'!$A$4:$T$4,0)),"")</f>
        <v/>
      </c>
      <c r="M1944" s="48">
        <f>IFERROR(INDEX('04A_국토부원자료'!$A:$T,ROW()+1,MATCH("거래유형",'04A_국토부원자료'!$A$4:$T$4,0)),"")</f>
        <v/>
      </c>
      <c r="N1944" s="152">
        <f>IF(B1944="","",IF('02_대상물건입력'!B5="",1,IF(ISNUMBER(SEARCH('02_대상물건입력'!B5,B1944)),1,0)))</f>
        <v/>
      </c>
      <c r="O1944" s="152">
        <f>IF(B1944="","",IF('02_대상물건입력'!B6="",1,IF(ISNUMBER(SEARCH('02_대상물건입력'!B6,B1944)),1,0)))</f>
        <v/>
      </c>
      <c r="P1944" s="152">
        <f>IF(L1944="","",IF('02_대상물건입력'!B15="",0,IF(ISNUMBER(SEARCH('02_대상물건입력'!B15,L1944)),1,0)))</f>
        <v/>
      </c>
      <c r="Q1944" s="152">
        <f>IF(OR(C1944="",L1944=""),0,IF(AND(TRIM(C1944)=TRIM(RIGHT(SUBSTITUTE(TRIM('02_대상물건입력'!$B$7)," ",REPT(" ",99)),99)),IF('02_대상물건입력'!B15="",TRUE(),ISNUMBER(SEARCH('02_대상물건입력'!B15,L1944)))),1,0))</f>
        <v/>
      </c>
      <c r="R1944" s="175">
        <f>IFERROR(ABS(E1944-'02_대상물건입력'!B11)/'02_대상물건입력'!B11,"")</f>
        <v/>
      </c>
      <c r="S1944" s="152">
        <f>IFERROR(ABS(J1944-'02_대상물건입력'!B10),"")</f>
        <v/>
      </c>
      <c r="T1944" s="152">
        <f>IFERROR(ABS('01_설정'!B4-F1944),"")</f>
        <v/>
      </c>
      <c r="U1944" s="152">
        <f>IFERROR(ABS(K1944-YEAR('02_대상물건입력'!B14)),"")</f>
        <v/>
      </c>
      <c r="V1944" s="152">
        <f>IF(B1944="","",IF(AND(E1944&gt;0,F1944&gt;0,H1944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1944=1,TRUE()),R1944&lt;='01_설정'!B5,S1944&lt;='01_설정'!B6,T1944&lt;='01_설정'!B7,U1944&lt;='01_설정'!B8),"Y",""))</f>
        <v/>
      </c>
      <c r="W1944" s="172">
        <f>IF(V1944&lt;&gt;"Y","",MAX(0,(1-R1944/'01_설정'!B5))*'01_설정'!B14+MAX(0,(1-S1944/'01_설정'!B6))*'01_설정'!B15+MAX(0,(1-T1944/'01_설정'!B7))*'01_설정'!B16+MAX(0,(1-U1944/'01_설정'!B8))*'01_설정'!B17+O1944*'01_설정'!B11+Q1944*'01_설정'!B12+P1944*'01_설정'!B13+IF(Z1944="",0,Z1944))</f>
        <v/>
      </c>
      <c r="X1944" s="152">
        <f>IF(W1944="","",1+COUNTIFS($W$4:$W$3003,"&gt;"&amp;W1944)+COUNTIFS($W$4:W1944,W1944)-1)</f>
        <v/>
      </c>
      <c r="Y1944" s="175">
        <f>IF(OR(I1944="",'02_대상물건입력'!B19="",'02_대상물건입력'!B19&lt;=0),"",ABS(I1944-'02_대상물건입력'!B19)/'02_대상물건입력'!B19)</f>
        <v/>
      </c>
      <c r="Z1944" s="172">
        <f>IF(OR(Y1944="",'01_설정'!B31="",'01_설정'!B31&lt;=0,'01_설정'!B32="",'01_설정'!B32&lt;=0),"",MAX(0,(1-Y1944/'01_설정'!B32))*'01_설정'!B31)</f>
        <v/>
      </c>
    </row>
    <row r="1945" ht="17.25" customHeight="1">
      <c r="A1945" s="152">
        <f>IF(INDEX('04A_국토부원자료'!$A:$A,ROW()+1)="","",ROW()-3)</f>
        <v/>
      </c>
      <c r="B1945" s="48">
        <f>IFERROR(INDEX('04A_국토부원자료'!$A:$T,ROW()+1,MATCH("시군구",'04A_국토부원자료'!$A$4:$T$4,0)),"")</f>
        <v/>
      </c>
      <c r="C1945" s="48">
        <f>IF(B1945="","",IFERROR(INDEX('04A_국토부원자료'!$A:$T,ROW()+1,MATCH("번지",'04A_국토부원자료'!$A$4:$T$4,0)),""))</f>
        <v/>
      </c>
      <c r="D1945" s="48">
        <f>IF(B1945="","",IF(Q1945=1,'02_대상물건입력'!$B$8,IFERROR(INDEX('04A_국토부원자료'!$A:$T,ROW()+1,MATCH("단지명",'04A_국토부원자료'!$A$4:$T$4,0)),"")))</f>
        <v/>
      </c>
      <c r="E1945" s="172">
        <f>IFERROR(VALUE(SUBSTITUTE(INDEX('04A_국토부원자료'!$A:$T,ROW()+1,MATCH("전용면적(㎡)",'04A_국토부원자료'!$A$4:$T$4,0)),",","")),"")</f>
        <v/>
      </c>
      <c r="F19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45" s="51">
        <f>IFERROR(VALUE(SUBSTITUTE(INDEX('04A_국토부원자료'!$A:$T,ROW()+1,MATCH("거래금액(만원)",'04A_국토부원자료'!$A$4:$T$4,0)),",","")),"")</f>
        <v/>
      </c>
      <c r="H1945" s="174">
        <f>IF(G1945="","",G1945*10000)</f>
        <v/>
      </c>
      <c r="I1945" s="174">
        <f>IFERROR(IF(AND(H1945&gt;0,E1945&gt;0),H1945/E1945,""),"")</f>
        <v/>
      </c>
      <c r="J1945" s="152">
        <f>IFERROR(VALUE(SUBSTITUTE(INDEX('04A_국토부원자료'!$A:$T,ROW()+1,MATCH("층",'04A_국토부원자료'!$A$4:$T$4,0)),",","")),"")</f>
        <v/>
      </c>
      <c r="K1945" s="152">
        <f>IFERROR(VALUE(SUBSTITUTE(INDEX('04A_국토부원자료'!$A:$T,ROW()+1,MATCH("건축년도",'04A_국토부원자료'!$A$4:$T$4,0)),",","")),"")</f>
        <v/>
      </c>
      <c r="L1945" s="48">
        <f>IFERROR(INDEX('04A_국토부원자료'!$A:$T,ROW()+1,MATCH("도로명",'04A_국토부원자료'!$A$4:$T$4,0)),"")</f>
        <v/>
      </c>
      <c r="M1945" s="48">
        <f>IFERROR(INDEX('04A_국토부원자료'!$A:$T,ROW()+1,MATCH("거래유형",'04A_국토부원자료'!$A$4:$T$4,0)),"")</f>
        <v/>
      </c>
      <c r="N1945" s="152">
        <f>IF(B1945="","",IF('02_대상물건입력'!B5="",1,IF(ISNUMBER(SEARCH('02_대상물건입력'!B5,B1945)),1,0)))</f>
        <v/>
      </c>
      <c r="O1945" s="152">
        <f>IF(B1945="","",IF('02_대상물건입력'!B6="",1,IF(ISNUMBER(SEARCH('02_대상물건입력'!B6,B1945)),1,0)))</f>
        <v/>
      </c>
      <c r="P1945" s="152">
        <f>IF(L1945="","",IF('02_대상물건입력'!B15="",0,IF(ISNUMBER(SEARCH('02_대상물건입력'!B15,L1945)),1,0)))</f>
        <v/>
      </c>
      <c r="Q1945" s="152">
        <f>IF(OR(C1945="",L1945=""),0,IF(AND(TRIM(C1945)=TRIM(RIGHT(SUBSTITUTE(TRIM('02_대상물건입력'!$B$7)," ",REPT(" ",99)),99)),IF('02_대상물건입력'!B15="",TRUE(),ISNUMBER(SEARCH('02_대상물건입력'!B15,L1945)))),1,0))</f>
        <v/>
      </c>
      <c r="R1945" s="175">
        <f>IFERROR(ABS(E1945-'02_대상물건입력'!B11)/'02_대상물건입력'!B11,"")</f>
        <v/>
      </c>
      <c r="S1945" s="152">
        <f>IFERROR(ABS(J1945-'02_대상물건입력'!B10),"")</f>
        <v/>
      </c>
      <c r="T1945" s="152">
        <f>IFERROR(ABS('01_설정'!B4-F1945),"")</f>
        <v/>
      </c>
      <c r="U1945" s="152">
        <f>IFERROR(ABS(K1945-YEAR('02_대상물건입력'!B14)),"")</f>
        <v/>
      </c>
      <c r="V1945" s="152">
        <f>IF(B1945="","",IF(AND(E1945&gt;0,F1945&gt;0,H1945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1945=1,TRUE()),R1945&lt;='01_설정'!B5,S1945&lt;='01_설정'!B6,T1945&lt;='01_설정'!B7,U1945&lt;='01_설정'!B8),"Y",""))</f>
        <v/>
      </c>
      <c r="W1945" s="172">
        <f>IF(V1945&lt;&gt;"Y","",MAX(0,(1-R1945/'01_설정'!B5))*'01_설정'!B14+MAX(0,(1-S1945/'01_설정'!B6))*'01_설정'!B15+MAX(0,(1-T1945/'01_설정'!B7))*'01_설정'!B16+MAX(0,(1-U1945/'01_설정'!B8))*'01_설정'!B17+O1945*'01_설정'!B11+Q1945*'01_설정'!B12+P1945*'01_설정'!B13+IF(Z1945="",0,Z1945))</f>
        <v/>
      </c>
      <c r="X1945" s="152">
        <f>IF(W1945="","",1+COUNTIFS($W$4:$W$3003,"&gt;"&amp;W1945)+COUNTIFS($W$4:W1945,W1945)-1)</f>
        <v/>
      </c>
      <c r="Y1945" s="175">
        <f>IF(OR(I1945="",'02_대상물건입력'!B19="",'02_대상물건입력'!B19&lt;=0),"",ABS(I1945-'02_대상물건입력'!B19)/'02_대상물건입력'!B19)</f>
        <v/>
      </c>
      <c r="Z1945" s="172">
        <f>IF(OR(Y1945="",'01_설정'!B31="",'01_설정'!B31&lt;=0,'01_설정'!B32="",'01_설정'!B32&lt;=0),"",MAX(0,(1-Y1945/'01_설정'!B32))*'01_설정'!B31)</f>
        <v/>
      </c>
    </row>
    <row r="1946" ht="17.25" customHeight="1">
      <c r="A1946" s="152">
        <f>IF(INDEX('04A_국토부원자료'!$A:$A,ROW()+1)="","",ROW()-3)</f>
        <v/>
      </c>
      <c r="B1946" s="48">
        <f>IFERROR(INDEX('04A_국토부원자료'!$A:$T,ROW()+1,MATCH("시군구",'04A_국토부원자료'!$A$4:$T$4,0)),"")</f>
        <v/>
      </c>
      <c r="C1946" s="48">
        <f>IF(B1946="","",IFERROR(INDEX('04A_국토부원자료'!$A:$T,ROW()+1,MATCH("번지",'04A_국토부원자료'!$A$4:$T$4,0)),""))</f>
        <v/>
      </c>
      <c r="D1946" s="48">
        <f>IF(B1946="","",IF(Q1946=1,'02_대상물건입력'!$B$8,IFERROR(INDEX('04A_국토부원자료'!$A:$T,ROW()+1,MATCH("단지명",'04A_국토부원자료'!$A$4:$T$4,0)),"")))</f>
        <v/>
      </c>
      <c r="E1946" s="172">
        <f>IFERROR(VALUE(SUBSTITUTE(INDEX('04A_국토부원자료'!$A:$T,ROW()+1,MATCH("전용면적(㎡)",'04A_국토부원자료'!$A$4:$T$4,0)),",","")),"")</f>
        <v/>
      </c>
      <c r="F19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46" s="51">
        <f>IFERROR(VALUE(SUBSTITUTE(INDEX('04A_국토부원자료'!$A:$T,ROW()+1,MATCH("거래금액(만원)",'04A_국토부원자료'!$A$4:$T$4,0)),",","")),"")</f>
        <v/>
      </c>
      <c r="H1946" s="174">
        <f>IF(G1946="","",G1946*10000)</f>
        <v/>
      </c>
      <c r="I1946" s="174">
        <f>IFERROR(IF(AND(H1946&gt;0,E1946&gt;0),H1946/E1946,""),"")</f>
        <v/>
      </c>
      <c r="J1946" s="152">
        <f>IFERROR(VALUE(SUBSTITUTE(INDEX('04A_국토부원자료'!$A:$T,ROW()+1,MATCH("층",'04A_국토부원자료'!$A$4:$T$4,0)),",","")),"")</f>
        <v/>
      </c>
      <c r="K1946" s="152">
        <f>IFERROR(VALUE(SUBSTITUTE(INDEX('04A_국토부원자료'!$A:$T,ROW()+1,MATCH("건축년도",'04A_국토부원자료'!$A$4:$T$4,0)),",","")),"")</f>
        <v/>
      </c>
      <c r="L1946" s="48">
        <f>IFERROR(INDEX('04A_국토부원자료'!$A:$T,ROW()+1,MATCH("도로명",'04A_국토부원자료'!$A$4:$T$4,0)),"")</f>
        <v/>
      </c>
      <c r="M1946" s="48">
        <f>IFERROR(INDEX('04A_국토부원자료'!$A:$T,ROW()+1,MATCH("거래유형",'04A_국토부원자료'!$A$4:$T$4,0)),"")</f>
        <v/>
      </c>
      <c r="N1946" s="152">
        <f>IF(B1946="","",IF('02_대상물건입력'!B5="",1,IF(ISNUMBER(SEARCH('02_대상물건입력'!B5,B1946)),1,0)))</f>
        <v/>
      </c>
      <c r="O1946" s="152">
        <f>IF(B1946="","",IF('02_대상물건입력'!B6="",1,IF(ISNUMBER(SEARCH('02_대상물건입력'!B6,B1946)),1,0)))</f>
        <v/>
      </c>
      <c r="P1946" s="152">
        <f>IF(L1946="","",IF('02_대상물건입력'!B15="",0,IF(ISNUMBER(SEARCH('02_대상물건입력'!B15,L1946)),1,0)))</f>
        <v/>
      </c>
      <c r="Q1946" s="152">
        <f>IF(OR(C1946="",L1946=""),0,IF(AND(TRIM(C1946)=TRIM(RIGHT(SUBSTITUTE(TRIM('02_대상물건입력'!$B$7)," ",REPT(" ",99)),99)),IF('02_대상물건입력'!B15="",TRUE(),ISNUMBER(SEARCH('02_대상물건입력'!B15,L1946)))),1,0))</f>
        <v/>
      </c>
      <c r="R1946" s="175">
        <f>IFERROR(ABS(E1946-'02_대상물건입력'!B11)/'02_대상물건입력'!B11,"")</f>
        <v/>
      </c>
      <c r="S1946" s="152">
        <f>IFERROR(ABS(J1946-'02_대상물건입력'!B10),"")</f>
        <v/>
      </c>
      <c r="T1946" s="152">
        <f>IFERROR(ABS('01_설정'!B4-F1946),"")</f>
        <v/>
      </c>
      <c r="U1946" s="152">
        <f>IFERROR(ABS(K1946-YEAR('02_대상물건입력'!B14)),"")</f>
        <v/>
      </c>
      <c r="V1946" s="152">
        <f>IF(B1946="","",IF(AND(E1946&gt;0,F1946&gt;0,H1946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1946=1,TRUE()),R1946&lt;='01_설정'!B5,S1946&lt;='01_설정'!B6,T1946&lt;='01_설정'!B7,U1946&lt;='01_설정'!B8),"Y",""))</f>
        <v/>
      </c>
      <c r="W1946" s="172">
        <f>IF(V1946&lt;&gt;"Y","",MAX(0,(1-R1946/'01_설정'!B5))*'01_설정'!B14+MAX(0,(1-S1946/'01_설정'!B6))*'01_설정'!B15+MAX(0,(1-T1946/'01_설정'!B7))*'01_설정'!B16+MAX(0,(1-U1946/'01_설정'!B8))*'01_설정'!B17+O1946*'01_설정'!B11+Q1946*'01_설정'!B12+P1946*'01_설정'!B13+IF(Z1946="",0,Z1946))</f>
        <v/>
      </c>
      <c r="X1946" s="152">
        <f>IF(W1946="","",1+COUNTIFS($W$4:$W$3003,"&gt;"&amp;W1946)+COUNTIFS($W$4:W1946,W1946)-1)</f>
        <v/>
      </c>
      <c r="Y1946" s="175">
        <f>IF(OR(I1946="",'02_대상물건입력'!B19="",'02_대상물건입력'!B19&lt;=0),"",ABS(I1946-'02_대상물건입력'!B19)/'02_대상물건입력'!B19)</f>
        <v/>
      </c>
      <c r="Z1946" s="172">
        <f>IF(OR(Y1946="",'01_설정'!B31="",'01_설정'!B31&lt;=0,'01_설정'!B32="",'01_설정'!B32&lt;=0),"",MAX(0,(1-Y1946/'01_설정'!B32))*'01_설정'!B31)</f>
        <v/>
      </c>
    </row>
    <row r="1947" ht="17.25" customHeight="1">
      <c r="A1947" s="152">
        <f>IF(INDEX('04A_국토부원자료'!$A:$A,ROW()+1)="","",ROW()-3)</f>
        <v/>
      </c>
      <c r="B1947" s="48">
        <f>IFERROR(INDEX('04A_국토부원자료'!$A:$T,ROW()+1,MATCH("시군구",'04A_국토부원자료'!$A$4:$T$4,0)),"")</f>
        <v/>
      </c>
      <c r="C1947" s="48">
        <f>IF(B1947="","",IFERROR(INDEX('04A_국토부원자료'!$A:$T,ROW()+1,MATCH("번지",'04A_국토부원자료'!$A$4:$T$4,0)),""))</f>
        <v/>
      </c>
      <c r="D1947" s="48">
        <f>IF(B1947="","",IF(Q1947=1,'02_대상물건입력'!$B$8,IFERROR(INDEX('04A_국토부원자료'!$A:$T,ROW()+1,MATCH("단지명",'04A_국토부원자료'!$A$4:$T$4,0)),"")))</f>
        <v/>
      </c>
      <c r="E1947" s="172">
        <f>IFERROR(VALUE(SUBSTITUTE(INDEX('04A_국토부원자료'!$A:$T,ROW()+1,MATCH("전용면적(㎡)",'04A_국토부원자료'!$A$4:$T$4,0)),",","")),"")</f>
        <v/>
      </c>
      <c r="F19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47" s="51">
        <f>IFERROR(VALUE(SUBSTITUTE(INDEX('04A_국토부원자료'!$A:$T,ROW()+1,MATCH("거래금액(만원)",'04A_국토부원자료'!$A$4:$T$4,0)),",","")),"")</f>
        <v/>
      </c>
      <c r="H1947" s="174">
        <f>IF(G1947="","",G1947*10000)</f>
        <v/>
      </c>
      <c r="I1947" s="174">
        <f>IFERROR(IF(AND(H1947&gt;0,E1947&gt;0),H1947/E1947,""),"")</f>
        <v/>
      </c>
      <c r="J1947" s="152">
        <f>IFERROR(VALUE(SUBSTITUTE(INDEX('04A_국토부원자료'!$A:$T,ROW()+1,MATCH("층",'04A_국토부원자료'!$A$4:$T$4,0)),",","")),"")</f>
        <v/>
      </c>
      <c r="K1947" s="152">
        <f>IFERROR(VALUE(SUBSTITUTE(INDEX('04A_국토부원자료'!$A:$T,ROW()+1,MATCH("건축년도",'04A_국토부원자료'!$A$4:$T$4,0)),",","")),"")</f>
        <v/>
      </c>
      <c r="L1947" s="48">
        <f>IFERROR(INDEX('04A_국토부원자료'!$A:$T,ROW()+1,MATCH("도로명",'04A_국토부원자료'!$A$4:$T$4,0)),"")</f>
        <v/>
      </c>
      <c r="M1947" s="48">
        <f>IFERROR(INDEX('04A_국토부원자료'!$A:$T,ROW()+1,MATCH("거래유형",'04A_국토부원자료'!$A$4:$T$4,0)),"")</f>
        <v/>
      </c>
      <c r="N1947" s="152">
        <f>IF(B1947="","",IF('02_대상물건입력'!B5="",1,IF(ISNUMBER(SEARCH('02_대상물건입력'!B5,B1947)),1,0)))</f>
        <v/>
      </c>
      <c r="O1947" s="152">
        <f>IF(B1947="","",IF('02_대상물건입력'!B6="",1,IF(ISNUMBER(SEARCH('02_대상물건입력'!B6,B1947)),1,0)))</f>
        <v/>
      </c>
      <c r="P1947" s="152">
        <f>IF(L1947="","",IF('02_대상물건입력'!B15="",0,IF(ISNUMBER(SEARCH('02_대상물건입력'!B15,L1947)),1,0)))</f>
        <v/>
      </c>
      <c r="Q1947" s="152">
        <f>IF(OR(C1947="",L1947=""),0,IF(AND(TRIM(C1947)=TRIM(RIGHT(SUBSTITUTE(TRIM('02_대상물건입력'!$B$7)," ",REPT(" ",99)),99)),IF('02_대상물건입력'!B15="",TRUE(),ISNUMBER(SEARCH('02_대상물건입력'!B15,L1947)))),1,0))</f>
        <v/>
      </c>
      <c r="R1947" s="175">
        <f>IFERROR(ABS(E1947-'02_대상물건입력'!B11)/'02_대상물건입력'!B11,"")</f>
        <v/>
      </c>
      <c r="S1947" s="152">
        <f>IFERROR(ABS(J1947-'02_대상물건입력'!B10),"")</f>
        <v/>
      </c>
      <c r="T1947" s="152">
        <f>IFERROR(ABS('01_설정'!B4-F1947),"")</f>
        <v/>
      </c>
      <c r="U1947" s="152">
        <f>IFERROR(ABS(K1947-YEAR('02_대상물건입력'!B14)),"")</f>
        <v/>
      </c>
      <c r="V1947" s="152">
        <f>IF(B1947="","",IF(AND(E1947&gt;0,F1947&gt;0,H1947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1947=1,TRUE()),R1947&lt;='01_설정'!B5,S1947&lt;='01_설정'!B6,T1947&lt;='01_설정'!B7,U1947&lt;='01_설정'!B8),"Y",""))</f>
        <v/>
      </c>
      <c r="W1947" s="172">
        <f>IF(V1947&lt;&gt;"Y","",MAX(0,(1-R1947/'01_설정'!B5))*'01_설정'!B14+MAX(0,(1-S1947/'01_설정'!B6))*'01_설정'!B15+MAX(0,(1-T1947/'01_설정'!B7))*'01_설정'!B16+MAX(0,(1-U1947/'01_설정'!B8))*'01_설정'!B17+O1947*'01_설정'!B11+Q1947*'01_설정'!B12+P1947*'01_설정'!B13+IF(Z1947="",0,Z1947))</f>
        <v/>
      </c>
      <c r="X1947" s="152">
        <f>IF(W1947="","",1+COUNTIFS($W$4:$W$3003,"&gt;"&amp;W1947)+COUNTIFS($W$4:W1947,W1947)-1)</f>
        <v/>
      </c>
      <c r="Y1947" s="175">
        <f>IF(OR(I1947="",'02_대상물건입력'!B19="",'02_대상물건입력'!B19&lt;=0),"",ABS(I1947-'02_대상물건입력'!B19)/'02_대상물건입력'!B19)</f>
        <v/>
      </c>
      <c r="Z1947" s="172">
        <f>IF(OR(Y1947="",'01_설정'!B31="",'01_설정'!B31&lt;=0,'01_설정'!B32="",'01_설정'!B32&lt;=0),"",MAX(0,(1-Y1947/'01_설정'!B32))*'01_설정'!B31)</f>
        <v/>
      </c>
    </row>
    <row r="1948" ht="17.25" customHeight="1">
      <c r="A1948" s="152">
        <f>IF(INDEX('04A_국토부원자료'!$A:$A,ROW()+1)="","",ROW()-3)</f>
        <v/>
      </c>
      <c r="B1948" s="48">
        <f>IFERROR(INDEX('04A_국토부원자료'!$A:$T,ROW()+1,MATCH("시군구",'04A_국토부원자료'!$A$4:$T$4,0)),"")</f>
        <v/>
      </c>
      <c r="C1948" s="48">
        <f>IF(B1948="","",IFERROR(INDEX('04A_국토부원자료'!$A:$T,ROW()+1,MATCH("번지",'04A_국토부원자료'!$A$4:$T$4,0)),""))</f>
        <v/>
      </c>
      <c r="D1948" s="48">
        <f>IF(B1948="","",IF(Q1948=1,'02_대상물건입력'!$B$8,IFERROR(INDEX('04A_국토부원자료'!$A:$T,ROW()+1,MATCH("단지명",'04A_국토부원자료'!$A$4:$T$4,0)),"")))</f>
        <v/>
      </c>
      <c r="E1948" s="172">
        <f>IFERROR(VALUE(SUBSTITUTE(INDEX('04A_국토부원자료'!$A:$T,ROW()+1,MATCH("전용면적(㎡)",'04A_국토부원자료'!$A$4:$T$4,0)),",","")),"")</f>
        <v/>
      </c>
      <c r="F19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48" s="51">
        <f>IFERROR(VALUE(SUBSTITUTE(INDEX('04A_국토부원자료'!$A:$T,ROW()+1,MATCH("거래금액(만원)",'04A_국토부원자료'!$A$4:$T$4,0)),",","")),"")</f>
        <v/>
      </c>
      <c r="H1948" s="174">
        <f>IF(G1948="","",G1948*10000)</f>
        <v/>
      </c>
      <c r="I1948" s="174">
        <f>IFERROR(IF(AND(H1948&gt;0,E1948&gt;0),H1948/E1948,""),"")</f>
        <v/>
      </c>
      <c r="J1948" s="152">
        <f>IFERROR(VALUE(SUBSTITUTE(INDEX('04A_국토부원자료'!$A:$T,ROW()+1,MATCH("층",'04A_국토부원자료'!$A$4:$T$4,0)),",","")),"")</f>
        <v/>
      </c>
      <c r="K1948" s="152">
        <f>IFERROR(VALUE(SUBSTITUTE(INDEX('04A_국토부원자료'!$A:$T,ROW()+1,MATCH("건축년도",'04A_국토부원자료'!$A$4:$T$4,0)),",","")),"")</f>
        <v/>
      </c>
      <c r="L1948" s="48">
        <f>IFERROR(INDEX('04A_국토부원자료'!$A:$T,ROW()+1,MATCH("도로명",'04A_국토부원자료'!$A$4:$T$4,0)),"")</f>
        <v/>
      </c>
      <c r="M1948" s="48">
        <f>IFERROR(INDEX('04A_국토부원자료'!$A:$T,ROW()+1,MATCH("거래유형",'04A_국토부원자료'!$A$4:$T$4,0)),"")</f>
        <v/>
      </c>
      <c r="N1948" s="152">
        <f>IF(B1948="","",IF('02_대상물건입력'!B5="",1,IF(ISNUMBER(SEARCH('02_대상물건입력'!B5,B1948)),1,0)))</f>
        <v/>
      </c>
      <c r="O1948" s="152">
        <f>IF(B1948="","",IF('02_대상물건입력'!B6="",1,IF(ISNUMBER(SEARCH('02_대상물건입력'!B6,B1948)),1,0)))</f>
        <v/>
      </c>
      <c r="P1948" s="152">
        <f>IF(L1948="","",IF('02_대상물건입력'!B15="",0,IF(ISNUMBER(SEARCH('02_대상물건입력'!B15,L1948)),1,0)))</f>
        <v/>
      </c>
      <c r="Q1948" s="152">
        <f>IF(OR(C1948="",L1948=""),0,IF(AND(TRIM(C1948)=TRIM(RIGHT(SUBSTITUTE(TRIM('02_대상물건입력'!$B$7)," ",REPT(" ",99)),99)),IF('02_대상물건입력'!B15="",TRUE(),ISNUMBER(SEARCH('02_대상물건입력'!B15,L1948)))),1,0))</f>
        <v/>
      </c>
      <c r="R1948" s="175">
        <f>IFERROR(ABS(E1948-'02_대상물건입력'!B11)/'02_대상물건입력'!B11,"")</f>
        <v/>
      </c>
      <c r="S1948" s="152">
        <f>IFERROR(ABS(J1948-'02_대상물건입력'!B10),"")</f>
        <v/>
      </c>
      <c r="T1948" s="152">
        <f>IFERROR(ABS('01_설정'!B4-F1948),"")</f>
        <v/>
      </c>
      <c r="U1948" s="152">
        <f>IFERROR(ABS(K1948-YEAR('02_대상물건입력'!B14)),"")</f>
        <v/>
      </c>
      <c r="V1948" s="152">
        <f>IF(B1948="","",IF(AND(E1948&gt;0,F1948&gt;0,H1948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1948=1,TRUE()),R1948&lt;='01_설정'!B5,S1948&lt;='01_설정'!B6,T1948&lt;='01_설정'!B7,U1948&lt;='01_설정'!B8),"Y",""))</f>
        <v/>
      </c>
      <c r="W1948" s="172">
        <f>IF(V1948&lt;&gt;"Y","",MAX(0,(1-R1948/'01_설정'!B5))*'01_설정'!B14+MAX(0,(1-S1948/'01_설정'!B6))*'01_설정'!B15+MAX(0,(1-T1948/'01_설정'!B7))*'01_설정'!B16+MAX(0,(1-U1948/'01_설정'!B8))*'01_설정'!B17+O1948*'01_설정'!B11+Q1948*'01_설정'!B12+P1948*'01_설정'!B13+IF(Z1948="",0,Z1948))</f>
        <v/>
      </c>
      <c r="X1948" s="152">
        <f>IF(W1948="","",1+COUNTIFS($W$4:$W$3003,"&gt;"&amp;W1948)+COUNTIFS($W$4:W1948,W1948)-1)</f>
        <v/>
      </c>
      <c r="Y1948" s="175">
        <f>IF(OR(I1948="",'02_대상물건입력'!B19="",'02_대상물건입력'!B19&lt;=0),"",ABS(I1948-'02_대상물건입력'!B19)/'02_대상물건입력'!B19)</f>
        <v/>
      </c>
      <c r="Z1948" s="172">
        <f>IF(OR(Y1948="",'01_설정'!B31="",'01_설정'!B31&lt;=0,'01_설정'!B32="",'01_설정'!B32&lt;=0),"",MAX(0,(1-Y1948/'01_설정'!B32))*'01_설정'!B31)</f>
        <v/>
      </c>
    </row>
    <row r="1949" ht="17.25" customHeight="1">
      <c r="A1949" s="152">
        <f>IF(INDEX('04A_국토부원자료'!$A:$A,ROW()+1)="","",ROW()-3)</f>
        <v/>
      </c>
      <c r="B1949" s="48">
        <f>IFERROR(INDEX('04A_국토부원자료'!$A:$T,ROW()+1,MATCH("시군구",'04A_국토부원자료'!$A$4:$T$4,0)),"")</f>
        <v/>
      </c>
      <c r="C1949" s="48">
        <f>IF(B1949="","",IFERROR(INDEX('04A_국토부원자료'!$A:$T,ROW()+1,MATCH("번지",'04A_국토부원자료'!$A$4:$T$4,0)),""))</f>
        <v/>
      </c>
      <c r="D1949" s="48">
        <f>IF(B1949="","",IF(Q1949=1,'02_대상물건입력'!$B$8,IFERROR(INDEX('04A_국토부원자료'!$A:$T,ROW()+1,MATCH("단지명",'04A_국토부원자료'!$A$4:$T$4,0)),"")))</f>
        <v/>
      </c>
      <c r="E1949" s="172">
        <f>IFERROR(VALUE(SUBSTITUTE(INDEX('04A_국토부원자료'!$A:$T,ROW()+1,MATCH("전용면적(㎡)",'04A_국토부원자료'!$A$4:$T$4,0)),",","")),"")</f>
        <v/>
      </c>
      <c r="F19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49" s="51">
        <f>IFERROR(VALUE(SUBSTITUTE(INDEX('04A_국토부원자료'!$A:$T,ROW()+1,MATCH("거래금액(만원)",'04A_국토부원자료'!$A$4:$T$4,0)),",","")),"")</f>
        <v/>
      </c>
      <c r="H1949" s="174">
        <f>IF(G1949="","",G1949*10000)</f>
        <v/>
      </c>
      <c r="I1949" s="174">
        <f>IFERROR(IF(AND(H1949&gt;0,E1949&gt;0),H1949/E1949,""),"")</f>
        <v/>
      </c>
      <c r="J1949" s="152">
        <f>IFERROR(VALUE(SUBSTITUTE(INDEX('04A_국토부원자료'!$A:$T,ROW()+1,MATCH("층",'04A_국토부원자료'!$A$4:$T$4,0)),",","")),"")</f>
        <v/>
      </c>
      <c r="K1949" s="152">
        <f>IFERROR(VALUE(SUBSTITUTE(INDEX('04A_국토부원자료'!$A:$T,ROW()+1,MATCH("건축년도",'04A_국토부원자료'!$A$4:$T$4,0)),",","")),"")</f>
        <v/>
      </c>
      <c r="L1949" s="48">
        <f>IFERROR(INDEX('04A_국토부원자료'!$A:$T,ROW()+1,MATCH("도로명",'04A_국토부원자료'!$A$4:$T$4,0)),"")</f>
        <v/>
      </c>
      <c r="M1949" s="48">
        <f>IFERROR(INDEX('04A_국토부원자료'!$A:$T,ROW()+1,MATCH("거래유형",'04A_국토부원자료'!$A$4:$T$4,0)),"")</f>
        <v/>
      </c>
      <c r="N1949" s="152">
        <f>IF(B1949="","",IF('02_대상물건입력'!B5="",1,IF(ISNUMBER(SEARCH('02_대상물건입력'!B5,B1949)),1,0)))</f>
        <v/>
      </c>
      <c r="O1949" s="152">
        <f>IF(B1949="","",IF('02_대상물건입력'!B6="",1,IF(ISNUMBER(SEARCH('02_대상물건입력'!B6,B1949)),1,0)))</f>
        <v/>
      </c>
      <c r="P1949" s="152">
        <f>IF(L1949="","",IF('02_대상물건입력'!B15="",0,IF(ISNUMBER(SEARCH('02_대상물건입력'!B15,L1949)),1,0)))</f>
        <v/>
      </c>
      <c r="Q1949" s="152">
        <f>IF(OR(C1949="",L1949=""),0,IF(AND(TRIM(C1949)=TRIM(RIGHT(SUBSTITUTE(TRIM('02_대상물건입력'!$B$7)," ",REPT(" ",99)),99)),IF('02_대상물건입력'!B15="",TRUE(),ISNUMBER(SEARCH('02_대상물건입력'!B15,L1949)))),1,0))</f>
        <v/>
      </c>
      <c r="R1949" s="175">
        <f>IFERROR(ABS(E1949-'02_대상물건입력'!B11)/'02_대상물건입력'!B11,"")</f>
        <v/>
      </c>
      <c r="S1949" s="152">
        <f>IFERROR(ABS(J1949-'02_대상물건입력'!B10),"")</f>
        <v/>
      </c>
      <c r="T1949" s="152">
        <f>IFERROR(ABS('01_설정'!B4-F1949),"")</f>
        <v/>
      </c>
      <c r="U1949" s="152">
        <f>IFERROR(ABS(K1949-YEAR('02_대상물건입력'!B14)),"")</f>
        <v/>
      </c>
      <c r="V1949" s="152">
        <f>IF(B1949="","",IF(AND(E1949&gt;0,F1949&gt;0,H1949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1949=1,TRUE()),R1949&lt;='01_설정'!B5,S1949&lt;='01_설정'!B6,T1949&lt;='01_설정'!B7,U1949&lt;='01_설정'!B8),"Y",""))</f>
        <v/>
      </c>
      <c r="W1949" s="172">
        <f>IF(V1949&lt;&gt;"Y","",MAX(0,(1-R1949/'01_설정'!B5))*'01_설정'!B14+MAX(0,(1-S1949/'01_설정'!B6))*'01_설정'!B15+MAX(0,(1-T1949/'01_설정'!B7))*'01_설정'!B16+MAX(0,(1-U1949/'01_설정'!B8))*'01_설정'!B17+O1949*'01_설정'!B11+Q1949*'01_설정'!B12+P1949*'01_설정'!B13+IF(Z1949="",0,Z1949))</f>
        <v/>
      </c>
      <c r="X1949" s="152">
        <f>IF(W1949="","",1+COUNTIFS($W$4:$W$3003,"&gt;"&amp;W1949)+COUNTIFS($W$4:W1949,W1949)-1)</f>
        <v/>
      </c>
      <c r="Y1949" s="175">
        <f>IF(OR(I1949="",'02_대상물건입력'!B19="",'02_대상물건입력'!B19&lt;=0),"",ABS(I1949-'02_대상물건입력'!B19)/'02_대상물건입력'!B19)</f>
        <v/>
      </c>
      <c r="Z1949" s="172">
        <f>IF(OR(Y1949="",'01_설정'!B31="",'01_설정'!B31&lt;=0,'01_설정'!B32="",'01_설정'!B32&lt;=0),"",MAX(0,(1-Y1949/'01_설정'!B32))*'01_설정'!B31)</f>
        <v/>
      </c>
    </row>
    <row r="1950" ht="17.25" customHeight="1">
      <c r="A1950" s="152">
        <f>IF(INDEX('04A_국토부원자료'!$A:$A,ROW()+1)="","",ROW()-3)</f>
        <v/>
      </c>
      <c r="B1950" s="48">
        <f>IFERROR(INDEX('04A_국토부원자료'!$A:$T,ROW()+1,MATCH("시군구",'04A_국토부원자료'!$A$4:$T$4,0)),"")</f>
        <v/>
      </c>
      <c r="C1950" s="48">
        <f>IF(B1950="","",IFERROR(INDEX('04A_국토부원자료'!$A:$T,ROW()+1,MATCH("번지",'04A_국토부원자료'!$A$4:$T$4,0)),""))</f>
        <v/>
      </c>
      <c r="D1950" s="48">
        <f>IF(B1950="","",IF(Q1950=1,'02_대상물건입력'!$B$8,IFERROR(INDEX('04A_국토부원자료'!$A:$T,ROW()+1,MATCH("단지명",'04A_국토부원자료'!$A$4:$T$4,0)),"")))</f>
        <v/>
      </c>
      <c r="E1950" s="172">
        <f>IFERROR(VALUE(SUBSTITUTE(INDEX('04A_국토부원자료'!$A:$T,ROW()+1,MATCH("전용면적(㎡)",'04A_국토부원자료'!$A$4:$T$4,0)),",","")),"")</f>
        <v/>
      </c>
      <c r="F19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50" s="51">
        <f>IFERROR(VALUE(SUBSTITUTE(INDEX('04A_국토부원자료'!$A:$T,ROW()+1,MATCH("거래금액(만원)",'04A_국토부원자료'!$A$4:$T$4,0)),",","")),"")</f>
        <v/>
      </c>
      <c r="H1950" s="174">
        <f>IF(G1950="","",G1950*10000)</f>
        <v/>
      </c>
      <c r="I1950" s="174">
        <f>IFERROR(IF(AND(H1950&gt;0,E1950&gt;0),H1950/E1950,""),"")</f>
        <v/>
      </c>
      <c r="J1950" s="152">
        <f>IFERROR(VALUE(SUBSTITUTE(INDEX('04A_국토부원자료'!$A:$T,ROW()+1,MATCH("층",'04A_국토부원자료'!$A$4:$T$4,0)),",","")),"")</f>
        <v/>
      </c>
      <c r="K1950" s="152">
        <f>IFERROR(VALUE(SUBSTITUTE(INDEX('04A_국토부원자료'!$A:$T,ROW()+1,MATCH("건축년도",'04A_국토부원자료'!$A$4:$T$4,0)),",","")),"")</f>
        <v/>
      </c>
      <c r="L1950" s="48">
        <f>IFERROR(INDEX('04A_국토부원자료'!$A:$T,ROW()+1,MATCH("도로명",'04A_국토부원자료'!$A$4:$T$4,0)),"")</f>
        <v/>
      </c>
      <c r="M1950" s="48">
        <f>IFERROR(INDEX('04A_국토부원자료'!$A:$T,ROW()+1,MATCH("거래유형",'04A_국토부원자료'!$A$4:$T$4,0)),"")</f>
        <v/>
      </c>
      <c r="N1950" s="152">
        <f>IF(B1950="","",IF('02_대상물건입력'!B5="",1,IF(ISNUMBER(SEARCH('02_대상물건입력'!B5,B1950)),1,0)))</f>
        <v/>
      </c>
      <c r="O1950" s="152">
        <f>IF(B1950="","",IF('02_대상물건입력'!B6="",1,IF(ISNUMBER(SEARCH('02_대상물건입력'!B6,B1950)),1,0)))</f>
        <v/>
      </c>
      <c r="P1950" s="152">
        <f>IF(L1950="","",IF('02_대상물건입력'!B15="",0,IF(ISNUMBER(SEARCH('02_대상물건입력'!B15,L1950)),1,0)))</f>
        <v/>
      </c>
      <c r="Q1950" s="152">
        <f>IF(OR(C1950="",L1950=""),0,IF(AND(TRIM(C1950)=TRIM(RIGHT(SUBSTITUTE(TRIM('02_대상물건입력'!$B$7)," ",REPT(" ",99)),99)),IF('02_대상물건입력'!B15="",TRUE(),ISNUMBER(SEARCH('02_대상물건입력'!B15,L1950)))),1,0))</f>
        <v/>
      </c>
      <c r="R1950" s="175">
        <f>IFERROR(ABS(E1950-'02_대상물건입력'!B11)/'02_대상물건입력'!B11,"")</f>
        <v/>
      </c>
      <c r="S1950" s="152">
        <f>IFERROR(ABS(J1950-'02_대상물건입력'!B10),"")</f>
        <v/>
      </c>
      <c r="T1950" s="152">
        <f>IFERROR(ABS('01_설정'!B4-F1950),"")</f>
        <v/>
      </c>
      <c r="U1950" s="152">
        <f>IFERROR(ABS(K1950-YEAR('02_대상물건입력'!B14)),"")</f>
        <v/>
      </c>
      <c r="V1950" s="152">
        <f>IF(B1950="","",IF(AND(E1950&gt;0,F1950&gt;0,H1950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1950=1,TRUE()),R1950&lt;='01_설정'!B5,S1950&lt;='01_설정'!B6,T1950&lt;='01_설정'!B7,U1950&lt;='01_설정'!B8),"Y",""))</f>
        <v/>
      </c>
      <c r="W1950" s="172">
        <f>IF(V1950&lt;&gt;"Y","",MAX(0,(1-R1950/'01_설정'!B5))*'01_설정'!B14+MAX(0,(1-S1950/'01_설정'!B6))*'01_설정'!B15+MAX(0,(1-T1950/'01_설정'!B7))*'01_설정'!B16+MAX(0,(1-U1950/'01_설정'!B8))*'01_설정'!B17+O1950*'01_설정'!B11+Q1950*'01_설정'!B12+P1950*'01_설정'!B13+IF(Z1950="",0,Z1950))</f>
        <v/>
      </c>
      <c r="X1950" s="152">
        <f>IF(W1950="","",1+COUNTIFS($W$4:$W$3003,"&gt;"&amp;W1950)+COUNTIFS($W$4:W1950,W1950)-1)</f>
        <v/>
      </c>
      <c r="Y1950" s="175">
        <f>IF(OR(I1950="",'02_대상물건입력'!B19="",'02_대상물건입력'!B19&lt;=0),"",ABS(I1950-'02_대상물건입력'!B19)/'02_대상물건입력'!B19)</f>
        <v/>
      </c>
      <c r="Z1950" s="172">
        <f>IF(OR(Y1950="",'01_설정'!B31="",'01_설정'!B31&lt;=0,'01_설정'!B32="",'01_설정'!B32&lt;=0),"",MAX(0,(1-Y1950/'01_설정'!B32))*'01_설정'!B31)</f>
        <v/>
      </c>
    </row>
    <row r="1951" ht="17.25" customHeight="1">
      <c r="A1951" s="152">
        <f>IF(INDEX('04A_국토부원자료'!$A:$A,ROW()+1)="","",ROW()-3)</f>
        <v/>
      </c>
      <c r="B1951" s="48">
        <f>IFERROR(INDEX('04A_국토부원자료'!$A:$T,ROW()+1,MATCH("시군구",'04A_국토부원자료'!$A$4:$T$4,0)),"")</f>
        <v/>
      </c>
      <c r="C1951" s="48">
        <f>IF(B1951="","",IFERROR(INDEX('04A_국토부원자료'!$A:$T,ROW()+1,MATCH("번지",'04A_국토부원자료'!$A$4:$T$4,0)),""))</f>
        <v/>
      </c>
      <c r="D1951" s="48">
        <f>IF(B1951="","",IF(Q1951=1,'02_대상물건입력'!$B$8,IFERROR(INDEX('04A_국토부원자료'!$A:$T,ROW()+1,MATCH("단지명",'04A_국토부원자료'!$A$4:$T$4,0)),"")))</f>
        <v/>
      </c>
      <c r="E1951" s="172">
        <f>IFERROR(VALUE(SUBSTITUTE(INDEX('04A_국토부원자료'!$A:$T,ROW()+1,MATCH("전용면적(㎡)",'04A_국토부원자료'!$A$4:$T$4,0)),",","")),"")</f>
        <v/>
      </c>
      <c r="F19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51" s="51">
        <f>IFERROR(VALUE(SUBSTITUTE(INDEX('04A_국토부원자료'!$A:$T,ROW()+1,MATCH("거래금액(만원)",'04A_국토부원자료'!$A$4:$T$4,0)),",","")),"")</f>
        <v/>
      </c>
      <c r="H1951" s="174">
        <f>IF(G1951="","",G1951*10000)</f>
        <v/>
      </c>
      <c r="I1951" s="174">
        <f>IFERROR(IF(AND(H1951&gt;0,E1951&gt;0),H1951/E1951,""),"")</f>
        <v/>
      </c>
      <c r="J1951" s="152">
        <f>IFERROR(VALUE(SUBSTITUTE(INDEX('04A_국토부원자료'!$A:$T,ROW()+1,MATCH("층",'04A_국토부원자료'!$A$4:$T$4,0)),",","")),"")</f>
        <v/>
      </c>
      <c r="K1951" s="152">
        <f>IFERROR(VALUE(SUBSTITUTE(INDEX('04A_국토부원자료'!$A:$T,ROW()+1,MATCH("건축년도",'04A_국토부원자료'!$A$4:$T$4,0)),",","")),"")</f>
        <v/>
      </c>
      <c r="L1951" s="48">
        <f>IFERROR(INDEX('04A_국토부원자료'!$A:$T,ROW()+1,MATCH("도로명",'04A_국토부원자료'!$A$4:$T$4,0)),"")</f>
        <v/>
      </c>
      <c r="M1951" s="48">
        <f>IFERROR(INDEX('04A_국토부원자료'!$A:$T,ROW()+1,MATCH("거래유형",'04A_국토부원자료'!$A$4:$T$4,0)),"")</f>
        <v/>
      </c>
      <c r="N1951" s="152">
        <f>IF(B1951="","",IF('02_대상물건입력'!B5="",1,IF(ISNUMBER(SEARCH('02_대상물건입력'!B5,B1951)),1,0)))</f>
        <v/>
      </c>
      <c r="O1951" s="152">
        <f>IF(B1951="","",IF('02_대상물건입력'!B6="",1,IF(ISNUMBER(SEARCH('02_대상물건입력'!B6,B1951)),1,0)))</f>
        <v/>
      </c>
      <c r="P1951" s="152">
        <f>IF(L1951="","",IF('02_대상물건입력'!B15="",0,IF(ISNUMBER(SEARCH('02_대상물건입력'!B15,L1951)),1,0)))</f>
        <v/>
      </c>
      <c r="Q1951" s="152">
        <f>IF(OR(C1951="",L1951=""),0,IF(AND(TRIM(C1951)=TRIM(RIGHT(SUBSTITUTE(TRIM('02_대상물건입력'!$B$7)," ",REPT(" ",99)),99)),IF('02_대상물건입력'!B15="",TRUE(),ISNUMBER(SEARCH('02_대상물건입력'!B15,L1951)))),1,0))</f>
        <v/>
      </c>
      <c r="R1951" s="175">
        <f>IFERROR(ABS(E1951-'02_대상물건입력'!B11)/'02_대상물건입력'!B11,"")</f>
        <v/>
      </c>
      <c r="S1951" s="152">
        <f>IFERROR(ABS(J1951-'02_대상물건입력'!B10),"")</f>
        <v/>
      </c>
      <c r="T1951" s="152">
        <f>IFERROR(ABS('01_설정'!B4-F1951),"")</f>
        <v/>
      </c>
      <c r="U1951" s="152">
        <f>IFERROR(ABS(K1951-YEAR('02_대상물건입력'!B14)),"")</f>
        <v/>
      </c>
      <c r="V1951" s="152">
        <f>IF(B1951="","",IF(AND(E1951&gt;0,F1951&gt;0,H1951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1951=1,TRUE()),R1951&lt;='01_설정'!B5,S1951&lt;='01_설정'!B6,T1951&lt;='01_설정'!B7,U1951&lt;='01_설정'!B8),"Y",""))</f>
        <v/>
      </c>
      <c r="W1951" s="172">
        <f>IF(V1951&lt;&gt;"Y","",MAX(0,(1-R1951/'01_설정'!B5))*'01_설정'!B14+MAX(0,(1-S1951/'01_설정'!B6))*'01_설정'!B15+MAX(0,(1-T1951/'01_설정'!B7))*'01_설정'!B16+MAX(0,(1-U1951/'01_설정'!B8))*'01_설정'!B17+O1951*'01_설정'!B11+Q1951*'01_설정'!B12+P1951*'01_설정'!B13+IF(Z1951="",0,Z1951))</f>
        <v/>
      </c>
      <c r="X1951" s="152">
        <f>IF(W1951="","",1+COUNTIFS($W$4:$W$3003,"&gt;"&amp;W1951)+COUNTIFS($W$4:W1951,W1951)-1)</f>
        <v/>
      </c>
      <c r="Y1951" s="175">
        <f>IF(OR(I1951="",'02_대상물건입력'!B19="",'02_대상물건입력'!B19&lt;=0),"",ABS(I1951-'02_대상물건입력'!B19)/'02_대상물건입력'!B19)</f>
        <v/>
      </c>
      <c r="Z1951" s="172">
        <f>IF(OR(Y1951="",'01_설정'!B31="",'01_설정'!B31&lt;=0,'01_설정'!B32="",'01_설정'!B32&lt;=0),"",MAX(0,(1-Y1951/'01_설정'!B32))*'01_설정'!B31)</f>
        <v/>
      </c>
    </row>
    <row r="1952" ht="17.25" customHeight="1">
      <c r="A1952" s="152">
        <f>IF(INDEX('04A_국토부원자료'!$A:$A,ROW()+1)="","",ROW()-3)</f>
        <v/>
      </c>
      <c r="B1952" s="48">
        <f>IFERROR(INDEX('04A_국토부원자료'!$A:$T,ROW()+1,MATCH("시군구",'04A_국토부원자료'!$A$4:$T$4,0)),"")</f>
        <v/>
      </c>
      <c r="C1952" s="48">
        <f>IF(B1952="","",IFERROR(INDEX('04A_국토부원자료'!$A:$T,ROW()+1,MATCH("번지",'04A_국토부원자료'!$A$4:$T$4,0)),""))</f>
        <v/>
      </c>
      <c r="D1952" s="48">
        <f>IF(B1952="","",IF(Q1952=1,'02_대상물건입력'!$B$8,IFERROR(INDEX('04A_국토부원자료'!$A:$T,ROW()+1,MATCH("단지명",'04A_국토부원자료'!$A$4:$T$4,0)),"")))</f>
        <v/>
      </c>
      <c r="E1952" s="172">
        <f>IFERROR(VALUE(SUBSTITUTE(INDEX('04A_국토부원자료'!$A:$T,ROW()+1,MATCH("전용면적(㎡)",'04A_국토부원자료'!$A$4:$T$4,0)),",","")),"")</f>
        <v/>
      </c>
      <c r="F19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52" s="51">
        <f>IFERROR(VALUE(SUBSTITUTE(INDEX('04A_국토부원자료'!$A:$T,ROW()+1,MATCH("거래금액(만원)",'04A_국토부원자료'!$A$4:$T$4,0)),",","")),"")</f>
        <v/>
      </c>
      <c r="H1952" s="174">
        <f>IF(G1952="","",G1952*10000)</f>
        <v/>
      </c>
      <c r="I1952" s="174">
        <f>IFERROR(IF(AND(H1952&gt;0,E1952&gt;0),H1952/E1952,""),"")</f>
        <v/>
      </c>
      <c r="J1952" s="152">
        <f>IFERROR(VALUE(SUBSTITUTE(INDEX('04A_국토부원자료'!$A:$T,ROW()+1,MATCH("층",'04A_국토부원자료'!$A$4:$T$4,0)),",","")),"")</f>
        <v/>
      </c>
      <c r="K1952" s="152">
        <f>IFERROR(VALUE(SUBSTITUTE(INDEX('04A_국토부원자료'!$A:$T,ROW()+1,MATCH("건축년도",'04A_국토부원자료'!$A$4:$T$4,0)),",","")),"")</f>
        <v/>
      </c>
      <c r="L1952" s="48">
        <f>IFERROR(INDEX('04A_국토부원자료'!$A:$T,ROW()+1,MATCH("도로명",'04A_국토부원자료'!$A$4:$T$4,0)),"")</f>
        <v/>
      </c>
      <c r="M1952" s="48">
        <f>IFERROR(INDEX('04A_국토부원자료'!$A:$T,ROW()+1,MATCH("거래유형",'04A_국토부원자료'!$A$4:$T$4,0)),"")</f>
        <v/>
      </c>
      <c r="N1952" s="152">
        <f>IF(B1952="","",IF('02_대상물건입력'!B5="",1,IF(ISNUMBER(SEARCH('02_대상물건입력'!B5,B1952)),1,0)))</f>
        <v/>
      </c>
      <c r="O1952" s="152">
        <f>IF(B1952="","",IF('02_대상물건입력'!B6="",1,IF(ISNUMBER(SEARCH('02_대상물건입력'!B6,B1952)),1,0)))</f>
        <v/>
      </c>
      <c r="P1952" s="152">
        <f>IF(L1952="","",IF('02_대상물건입력'!B15="",0,IF(ISNUMBER(SEARCH('02_대상물건입력'!B15,L1952)),1,0)))</f>
        <v/>
      </c>
      <c r="Q1952" s="152">
        <f>IF(OR(C1952="",L1952=""),0,IF(AND(TRIM(C1952)=TRIM(RIGHT(SUBSTITUTE(TRIM('02_대상물건입력'!$B$7)," ",REPT(" ",99)),99)),IF('02_대상물건입력'!B15="",TRUE(),ISNUMBER(SEARCH('02_대상물건입력'!B15,L1952)))),1,0))</f>
        <v/>
      </c>
      <c r="R1952" s="175">
        <f>IFERROR(ABS(E1952-'02_대상물건입력'!B11)/'02_대상물건입력'!B11,"")</f>
        <v/>
      </c>
      <c r="S1952" s="152">
        <f>IFERROR(ABS(J1952-'02_대상물건입력'!B10),"")</f>
        <v/>
      </c>
      <c r="T1952" s="152">
        <f>IFERROR(ABS('01_설정'!B4-F1952),"")</f>
        <v/>
      </c>
      <c r="U1952" s="152">
        <f>IFERROR(ABS(K1952-YEAR('02_대상물건입력'!B14)),"")</f>
        <v/>
      </c>
      <c r="V1952" s="152">
        <f>IF(B1952="","",IF(AND(E1952&gt;0,F1952&gt;0,H1952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1952=1,TRUE()),R1952&lt;='01_설정'!B5,S1952&lt;='01_설정'!B6,T1952&lt;='01_설정'!B7,U1952&lt;='01_설정'!B8),"Y",""))</f>
        <v/>
      </c>
      <c r="W1952" s="172">
        <f>IF(V1952&lt;&gt;"Y","",MAX(0,(1-R1952/'01_설정'!B5))*'01_설정'!B14+MAX(0,(1-S1952/'01_설정'!B6))*'01_설정'!B15+MAX(0,(1-T1952/'01_설정'!B7))*'01_설정'!B16+MAX(0,(1-U1952/'01_설정'!B8))*'01_설정'!B17+O1952*'01_설정'!B11+Q1952*'01_설정'!B12+P1952*'01_설정'!B13+IF(Z1952="",0,Z1952))</f>
        <v/>
      </c>
      <c r="X1952" s="152">
        <f>IF(W1952="","",1+COUNTIFS($W$4:$W$3003,"&gt;"&amp;W1952)+COUNTIFS($W$4:W1952,W1952)-1)</f>
        <v/>
      </c>
      <c r="Y1952" s="175">
        <f>IF(OR(I1952="",'02_대상물건입력'!B19="",'02_대상물건입력'!B19&lt;=0),"",ABS(I1952-'02_대상물건입력'!B19)/'02_대상물건입력'!B19)</f>
        <v/>
      </c>
      <c r="Z1952" s="172">
        <f>IF(OR(Y1952="",'01_설정'!B31="",'01_설정'!B31&lt;=0,'01_설정'!B32="",'01_설정'!B32&lt;=0),"",MAX(0,(1-Y1952/'01_설정'!B32))*'01_설정'!B31)</f>
        <v/>
      </c>
    </row>
    <row r="1953" ht="17.25" customHeight="1">
      <c r="A1953" s="152">
        <f>IF(INDEX('04A_국토부원자료'!$A:$A,ROW()+1)="","",ROW()-3)</f>
        <v/>
      </c>
      <c r="B1953" s="48">
        <f>IFERROR(INDEX('04A_국토부원자료'!$A:$T,ROW()+1,MATCH("시군구",'04A_국토부원자료'!$A$4:$T$4,0)),"")</f>
        <v/>
      </c>
      <c r="C1953" s="48">
        <f>IF(B1953="","",IFERROR(INDEX('04A_국토부원자료'!$A:$T,ROW()+1,MATCH("번지",'04A_국토부원자료'!$A$4:$T$4,0)),""))</f>
        <v/>
      </c>
      <c r="D1953" s="48">
        <f>IF(B1953="","",IF(Q1953=1,'02_대상물건입력'!$B$8,IFERROR(INDEX('04A_국토부원자료'!$A:$T,ROW()+1,MATCH("단지명",'04A_국토부원자료'!$A$4:$T$4,0)),"")))</f>
        <v/>
      </c>
      <c r="E1953" s="172">
        <f>IFERROR(VALUE(SUBSTITUTE(INDEX('04A_국토부원자료'!$A:$T,ROW()+1,MATCH("전용면적(㎡)",'04A_국토부원자료'!$A$4:$T$4,0)),",","")),"")</f>
        <v/>
      </c>
      <c r="F19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53" s="51">
        <f>IFERROR(VALUE(SUBSTITUTE(INDEX('04A_국토부원자료'!$A:$T,ROW()+1,MATCH("거래금액(만원)",'04A_국토부원자료'!$A$4:$T$4,0)),",","")),"")</f>
        <v/>
      </c>
      <c r="H1953" s="174">
        <f>IF(G1953="","",G1953*10000)</f>
        <v/>
      </c>
      <c r="I1953" s="174">
        <f>IFERROR(IF(AND(H1953&gt;0,E1953&gt;0),H1953/E1953,""),"")</f>
        <v/>
      </c>
      <c r="J1953" s="152">
        <f>IFERROR(VALUE(SUBSTITUTE(INDEX('04A_국토부원자료'!$A:$T,ROW()+1,MATCH("층",'04A_국토부원자료'!$A$4:$T$4,0)),",","")),"")</f>
        <v/>
      </c>
      <c r="K1953" s="152">
        <f>IFERROR(VALUE(SUBSTITUTE(INDEX('04A_국토부원자료'!$A:$T,ROW()+1,MATCH("건축년도",'04A_국토부원자료'!$A$4:$T$4,0)),",","")),"")</f>
        <v/>
      </c>
      <c r="L1953" s="48">
        <f>IFERROR(INDEX('04A_국토부원자료'!$A:$T,ROW()+1,MATCH("도로명",'04A_국토부원자료'!$A$4:$T$4,0)),"")</f>
        <v/>
      </c>
      <c r="M1953" s="48">
        <f>IFERROR(INDEX('04A_국토부원자료'!$A:$T,ROW()+1,MATCH("거래유형",'04A_국토부원자료'!$A$4:$T$4,0)),"")</f>
        <v/>
      </c>
      <c r="N1953" s="152">
        <f>IF(B1953="","",IF('02_대상물건입력'!B5="",1,IF(ISNUMBER(SEARCH('02_대상물건입력'!B5,B1953)),1,0)))</f>
        <v/>
      </c>
      <c r="O1953" s="152">
        <f>IF(B1953="","",IF('02_대상물건입력'!B6="",1,IF(ISNUMBER(SEARCH('02_대상물건입력'!B6,B1953)),1,0)))</f>
        <v/>
      </c>
      <c r="P1953" s="152">
        <f>IF(L1953="","",IF('02_대상물건입력'!B15="",0,IF(ISNUMBER(SEARCH('02_대상물건입력'!B15,L1953)),1,0)))</f>
        <v/>
      </c>
      <c r="Q1953" s="152">
        <f>IF(OR(C1953="",L1953=""),0,IF(AND(TRIM(C1953)=TRIM(RIGHT(SUBSTITUTE(TRIM('02_대상물건입력'!$B$7)," ",REPT(" ",99)),99)),IF('02_대상물건입력'!B15="",TRUE(),ISNUMBER(SEARCH('02_대상물건입력'!B15,L1953)))),1,0))</f>
        <v/>
      </c>
      <c r="R1953" s="175">
        <f>IFERROR(ABS(E1953-'02_대상물건입력'!B11)/'02_대상물건입력'!B11,"")</f>
        <v/>
      </c>
      <c r="S1953" s="152">
        <f>IFERROR(ABS(J1953-'02_대상물건입력'!B10),"")</f>
        <v/>
      </c>
      <c r="T1953" s="152">
        <f>IFERROR(ABS('01_설정'!B4-F1953),"")</f>
        <v/>
      </c>
      <c r="U1953" s="152">
        <f>IFERROR(ABS(K1953-YEAR('02_대상물건입력'!B14)),"")</f>
        <v/>
      </c>
      <c r="V1953" s="152">
        <f>IF(B1953="","",IF(AND(E1953&gt;0,F1953&gt;0,H1953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1953=1,TRUE()),R1953&lt;='01_설정'!B5,S1953&lt;='01_설정'!B6,T1953&lt;='01_설정'!B7,U1953&lt;='01_설정'!B8),"Y",""))</f>
        <v/>
      </c>
      <c r="W1953" s="172">
        <f>IF(V1953&lt;&gt;"Y","",MAX(0,(1-R1953/'01_설정'!B5))*'01_설정'!B14+MAX(0,(1-S1953/'01_설정'!B6))*'01_설정'!B15+MAX(0,(1-T1953/'01_설정'!B7))*'01_설정'!B16+MAX(0,(1-U1953/'01_설정'!B8))*'01_설정'!B17+O1953*'01_설정'!B11+Q1953*'01_설정'!B12+P1953*'01_설정'!B13+IF(Z1953="",0,Z1953))</f>
        <v/>
      </c>
      <c r="X1953" s="152">
        <f>IF(W1953="","",1+COUNTIFS($W$4:$W$3003,"&gt;"&amp;W1953)+COUNTIFS($W$4:W1953,W1953)-1)</f>
        <v/>
      </c>
      <c r="Y1953" s="175">
        <f>IF(OR(I1953="",'02_대상물건입력'!B19="",'02_대상물건입력'!B19&lt;=0),"",ABS(I1953-'02_대상물건입력'!B19)/'02_대상물건입력'!B19)</f>
        <v/>
      </c>
      <c r="Z1953" s="172">
        <f>IF(OR(Y1953="",'01_설정'!B31="",'01_설정'!B31&lt;=0,'01_설정'!B32="",'01_설정'!B32&lt;=0),"",MAX(0,(1-Y1953/'01_설정'!B32))*'01_설정'!B31)</f>
        <v/>
      </c>
    </row>
    <row r="1954" ht="17.25" customHeight="1">
      <c r="A1954" s="152">
        <f>IF(INDEX('04A_국토부원자료'!$A:$A,ROW()+1)="","",ROW()-3)</f>
        <v/>
      </c>
      <c r="B1954" s="48">
        <f>IFERROR(INDEX('04A_국토부원자료'!$A:$T,ROW()+1,MATCH("시군구",'04A_국토부원자료'!$A$4:$T$4,0)),"")</f>
        <v/>
      </c>
      <c r="C1954" s="48">
        <f>IF(B1954="","",IFERROR(INDEX('04A_국토부원자료'!$A:$T,ROW()+1,MATCH("번지",'04A_국토부원자료'!$A$4:$T$4,0)),""))</f>
        <v/>
      </c>
      <c r="D1954" s="48">
        <f>IF(B1954="","",IF(Q1954=1,'02_대상물건입력'!$B$8,IFERROR(INDEX('04A_국토부원자료'!$A:$T,ROW()+1,MATCH("단지명",'04A_국토부원자료'!$A$4:$T$4,0)),"")))</f>
        <v/>
      </c>
      <c r="E1954" s="172">
        <f>IFERROR(VALUE(SUBSTITUTE(INDEX('04A_국토부원자료'!$A:$T,ROW()+1,MATCH("전용면적(㎡)",'04A_국토부원자료'!$A$4:$T$4,0)),",","")),"")</f>
        <v/>
      </c>
      <c r="F19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54" s="51">
        <f>IFERROR(VALUE(SUBSTITUTE(INDEX('04A_국토부원자료'!$A:$T,ROW()+1,MATCH("거래금액(만원)",'04A_국토부원자료'!$A$4:$T$4,0)),",","")),"")</f>
        <v/>
      </c>
      <c r="H1954" s="174">
        <f>IF(G1954="","",G1954*10000)</f>
        <v/>
      </c>
      <c r="I1954" s="174">
        <f>IFERROR(IF(AND(H1954&gt;0,E1954&gt;0),H1954/E1954,""),"")</f>
        <v/>
      </c>
      <c r="J1954" s="152">
        <f>IFERROR(VALUE(SUBSTITUTE(INDEX('04A_국토부원자료'!$A:$T,ROW()+1,MATCH("층",'04A_국토부원자료'!$A$4:$T$4,0)),",","")),"")</f>
        <v/>
      </c>
      <c r="K1954" s="152">
        <f>IFERROR(VALUE(SUBSTITUTE(INDEX('04A_국토부원자료'!$A:$T,ROW()+1,MATCH("건축년도",'04A_국토부원자료'!$A$4:$T$4,0)),",","")),"")</f>
        <v/>
      </c>
      <c r="L1954" s="48">
        <f>IFERROR(INDEX('04A_국토부원자료'!$A:$T,ROW()+1,MATCH("도로명",'04A_국토부원자료'!$A$4:$T$4,0)),"")</f>
        <v/>
      </c>
      <c r="M1954" s="48">
        <f>IFERROR(INDEX('04A_국토부원자료'!$A:$T,ROW()+1,MATCH("거래유형",'04A_국토부원자료'!$A$4:$T$4,0)),"")</f>
        <v/>
      </c>
      <c r="N1954" s="152">
        <f>IF(B1954="","",IF('02_대상물건입력'!B5="",1,IF(ISNUMBER(SEARCH('02_대상물건입력'!B5,B1954)),1,0)))</f>
        <v/>
      </c>
      <c r="O1954" s="152">
        <f>IF(B1954="","",IF('02_대상물건입력'!B6="",1,IF(ISNUMBER(SEARCH('02_대상물건입력'!B6,B1954)),1,0)))</f>
        <v/>
      </c>
      <c r="P1954" s="152">
        <f>IF(L1954="","",IF('02_대상물건입력'!B15="",0,IF(ISNUMBER(SEARCH('02_대상물건입력'!B15,L1954)),1,0)))</f>
        <v/>
      </c>
      <c r="Q1954" s="152">
        <f>IF(OR(C1954="",L1954=""),0,IF(AND(TRIM(C1954)=TRIM(RIGHT(SUBSTITUTE(TRIM('02_대상물건입력'!$B$7)," ",REPT(" ",99)),99)),IF('02_대상물건입력'!B15="",TRUE(),ISNUMBER(SEARCH('02_대상물건입력'!B15,L1954)))),1,0))</f>
        <v/>
      </c>
      <c r="R1954" s="175">
        <f>IFERROR(ABS(E1954-'02_대상물건입력'!B11)/'02_대상물건입력'!B11,"")</f>
        <v/>
      </c>
      <c r="S1954" s="152">
        <f>IFERROR(ABS(J1954-'02_대상물건입력'!B10),"")</f>
        <v/>
      </c>
      <c r="T1954" s="152">
        <f>IFERROR(ABS('01_설정'!B4-F1954),"")</f>
        <v/>
      </c>
      <c r="U1954" s="152">
        <f>IFERROR(ABS(K1954-YEAR('02_대상물건입력'!B14)),"")</f>
        <v/>
      </c>
      <c r="V1954" s="152">
        <f>IF(B1954="","",IF(AND(E1954&gt;0,F1954&gt;0,H1954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1954=1,TRUE()),R1954&lt;='01_설정'!B5,S1954&lt;='01_설정'!B6,T1954&lt;='01_설정'!B7,U1954&lt;='01_설정'!B8),"Y",""))</f>
        <v/>
      </c>
      <c r="W1954" s="172">
        <f>IF(V1954&lt;&gt;"Y","",MAX(0,(1-R1954/'01_설정'!B5))*'01_설정'!B14+MAX(0,(1-S1954/'01_설정'!B6))*'01_설정'!B15+MAX(0,(1-T1954/'01_설정'!B7))*'01_설정'!B16+MAX(0,(1-U1954/'01_설정'!B8))*'01_설정'!B17+O1954*'01_설정'!B11+Q1954*'01_설정'!B12+P1954*'01_설정'!B13+IF(Z1954="",0,Z1954))</f>
        <v/>
      </c>
      <c r="X1954" s="152">
        <f>IF(W1954="","",1+COUNTIFS($W$4:$W$3003,"&gt;"&amp;W1954)+COUNTIFS($W$4:W1954,W1954)-1)</f>
        <v/>
      </c>
      <c r="Y1954" s="175">
        <f>IF(OR(I1954="",'02_대상물건입력'!B19="",'02_대상물건입력'!B19&lt;=0),"",ABS(I1954-'02_대상물건입력'!B19)/'02_대상물건입력'!B19)</f>
        <v/>
      </c>
      <c r="Z1954" s="172">
        <f>IF(OR(Y1954="",'01_설정'!B31="",'01_설정'!B31&lt;=0,'01_설정'!B32="",'01_설정'!B32&lt;=0),"",MAX(0,(1-Y1954/'01_설정'!B32))*'01_설정'!B31)</f>
        <v/>
      </c>
    </row>
    <row r="1955" ht="17.25" customHeight="1">
      <c r="A1955" s="152">
        <f>IF(INDEX('04A_국토부원자료'!$A:$A,ROW()+1)="","",ROW()-3)</f>
        <v/>
      </c>
      <c r="B1955" s="48">
        <f>IFERROR(INDEX('04A_국토부원자료'!$A:$T,ROW()+1,MATCH("시군구",'04A_국토부원자료'!$A$4:$T$4,0)),"")</f>
        <v/>
      </c>
      <c r="C1955" s="48">
        <f>IF(B1955="","",IFERROR(INDEX('04A_국토부원자료'!$A:$T,ROW()+1,MATCH("번지",'04A_국토부원자료'!$A$4:$T$4,0)),""))</f>
        <v/>
      </c>
      <c r="D1955" s="48">
        <f>IF(B1955="","",IF(Q1955=1,'02_대상물건입력'!$B$8,IFERROR(INDEX('04A_국토부원자료'!$A:$T,ROW()+1,MATCH("단지명",'04A_국토부원자료'!$A$4:$T$4,0)),"")))</f>
        <v/>
      </c>
      <c r="E1955" s="172">
        <f>IFERROR(VALUE(SUBSTITUTE(INDEX('04A_국토부원자료'!$A:$T,ROW()+1,MATCH("전용면적(㎡)",'04A_국토부원자료'!$A$4:$T$4,0)),",","")),"")</f>
        <v/>
      </c>
      <c r="F19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55" s="51">
        <f>IFERROR(VALUE(SUBSTITUTE(INDEX('04A_국토부원자료'!$A:$T,ROW()+1,MATCH("거래금액(만원)",'04A_국토부원자료'!$A$4:$T$4,0)),",","")),"")</f>
        <v/>
      </c>
      <c r="H1955" s="174">
        <f>IF(G1955="","",G1955*10000)</f>
        <v/>
      </c>
      <c r="I1955" s="174">
        <f>IFERROR(IF(AND(H1955&gt;0,E1955&gt;0),H1955/E1955,""),"")</f>
        <v/>
      </c>
      <c r="J1955" s="152">
        <f>IFERROR(VALUE(SUBSTITUTE(INDEX('04A_국토부원자료'!$A:$T,ROW()+1,MATCH("층",'04A_국토부원자료'!$A$4:$T$4,0)),",","")),"")</f>
        <v/>
      </c>
      <c r="K1955" s="152">
        <f>IFERROR(VALUE(SUBSTITUTE(INDEX('04A_국토부원자료'!$A:$T,ROW()+1,MATCH("건축년도",'04A_국토부원자료'!$A$4:$T$4,0)),",","")),"")</f>
        <v/>
      </c>
      <c r="L1955" s="48">
        <f>IFERROR(INDEX('04A_국토부원자료'!$A:$T,ROW()+1,MATCH("도로명",'04A_국토부원자료'!$A$4:$T$4,0)),"")</f>
        <v/>
      </c>
      <c r="M1955" s="48">
        <f>IFERROR(INDEX('04A_국토부원자료'!$A:$T,ROW()+1,MATCH("거래유형",'04A_국토부원자료'!$A$4:$T$4,0)),"")</f>
        <v/>
      </c>
      <c r="N1955" s="152">
        <f>IF(B1955="","",IF('02_대상물건입력'!B5="",1,IF(ISNUMBER(SEARCH('02_대상물건입력'!B5,B1955)),1,0)))</f>
        <v/>
      </c>
      <c r="O1955" s="152">
        <f>IF(B1955="","",IF('02_대상물건입력'!B6="",1,IF(ISNUMBER(SEARCH('02_대상물건입력'!B6,B1955)),1,0)))</f>
        <v/>
      </c>
      <c r="P1955" s="152">
        <f>IF(L1955="","",IF('02_대상물건입력'!B15="",0,IF(ISNUMBER(SEARCH('02_대상물건입력'!B15,L1955)),1,0)))</f>
        <v/>
      </c>
      <c r="Q1955" s="152">
        <f>IF(OR(C1955="",L1955=""),0,IF(AND(TRIM(C1955)=TRIM(RIGHT(SUBSTITUTE(TRIM('02_대상물건입력'!$B$7)," ",REPT(" ",99)),99)),IF('02_대상물건입력'!B15="",TRUE(),ISNUMBER(SEARCH('02_대상물건입력'!B15,L1955)))),1,0))</f>
        <v/>
      </c>
      <c r="R1955" s="175">
        <f>IFERROR(ABS(E1955-'02_대상물건입력'!B11)/'02_대상물건입력'!B11,"")</f>
        <v/>
      </c>
      <c r="S1955" s="152">
        <f>IFERROR(ABS(J1955-'02_대상물건입력'!B10),"")</f>
        <v/>
      </c>
      <c r="T1955" s="152">
        <f>IFERROR(ABS('01_설정'!B4-F1955),"")</f>
        <v/>
      </c>
      <c r="U1955" s="152">
        <f>IFERROR(ABS(K1955-YEAR('02_대상물건입력'!B14)),"")</f>
        <v/>
      </c>
      <c r="V1955" s="152">
        <f>IF(B1955="","",IF(AND(E1955&gt;0,F1955&gt;0,H1955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1955=1,TRUE()),R1955&lt;='01_설정'!B5,S1955&lt;='01_설정'!B6,T1955&lt;='01_설정'!B7,U1955&lt;='01_설정'!B8),"Y",""))</f>
        <v/>
      </c>
      <c r="W1955" s="172">
        <f>IF(V1955&lt;&gt;"Y","",MAX(0,(1-R1955/'01_설정'!B5))*'01_설정'!B14+MAX(0,(1-S1955/'01_설정'!B6))*'01_설정'!B15+MAX(0,(1-T1955/'01_설정'!B7))*'01_설정'!B16+MAX(0,(1-U1955/'01_설정'!B8))*'01_설정'!B17+O1955*'01_설정'!B11+Q1955*'01_설정'!B12+P1955*'01_설정'!B13+IF(Z1955="",0,Z1955))</f>
        <v/>
      </c>
      <c r="X1955" s="152">
        <f>IF(W1955="","",1+COUNTIFS($W$4:$W$3003,"&gt;"&amp;W1955)+COUNTIFS($W$4:W1955,W1955)-1)</f>
        <v/>
      </c>
      <c r="Y1955" s="175">
        <f>IF(OR(I1955="",'02_대상물건입력'!B19="",'02_대상물건입력'!B19&lt;=0),"",ABS(I1955-'02_대상물건입력'!B19)/'02_대상물건입력'!B19)</f>
        <v/>
      </c>
      <c r="Z1955" s="172">
        <f>IF(OR(Y1955="",'01_설정'!B31="",'01_설정'!B31&lt;=0,'01_설정'!B32="",'01_설정'!B32&lt;=0),"",MAX(0,(1-Y1955/'01_설정'!B32))*'01_설정'!B31)</f>
        <v/>
      </c>
    </row>
    <row r="1956" ht="17.25" customHeight="1">
      <c r="A1956" s="152">
        <f>IF(INDEX('04A_국토부원자료'!$A:$A,ROW()+1)="","",ROW()-3)</f>
        <v/>
      </c>
      <c r="B1956" s="48">
        <f>IFERROR(INDEX('04A_국토부원자료'!$A:$T,ROW()+1,MATCH("시군구",'04A_국토부원자료'!$A$4:$T$4,0)),"")</f>
        <v/>
      </c>
      <c r="C1956" s="48">
        <f>IF(B1956="","",IFERROR(INDEX('04A_국토부원자료'!$A:$T,ROW()+1,MATCH("번지",'04A_국토부원자료'!$A$4:$T$4,0)),""))</f>
        <v/>
      </c>
      <c r="D1956" s="48">
        <f>IF(B1956="","",IF(Q1956=1,'02_대상물건입력'!$B$8,IFERROR(INDEX('04A_국토부원자료'!$A:$T,ROW()+1,MATCH("단지명",'04A_국토부원자료'!$A$4:$T$4,0)),"")))</f>
        <v/>
      </c>
      <c r="E1956" s="172">
        <f>IFERROR(VALUE(SUBSTITUTE(INDEX('04A_국토부원자료'!$A:$T,ROW()+1,MATCH("전용면적(㎡)",'04A_국토부원자료'!$A$4:$T$4,0)),",","")),"")</f>
        <v/>
      </c>
      <c r="F19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56" s="51">
        <f>IFERROR(VALUE(SUBSTITUTE(INDEX('04A_국토부원자료'!$A:$T,ROW()+1,MATCH("거래금액(만원)",'04A_국토부원자료'!$A$4:$T$4,0)),",","")),"")</f>
        <v/>
      </c>
      <c r="H1956" s="174">
        <f>IF(G1956="","",G1956*10000)</f>
        <v/>
      </c>
      <c r="I1956" s="174">
        <f>IFERROR(IF(AND(H1956&gt;0,E1956&gt;0),H1956/E1956,""),"")</f>
        <v/>
      </c>
      <c r="J1956" s="152">
        <f>IFERROR(VALUE(SUBSTITUTE(INDEX('04A_국토부원자료'!$A:$T,ROW()+1,MATCH("층",'04A_국토부원자료'!$A$4:$T$4,0)),",","")),"")</f>
        <v/>
      </c>
      <c r="K1956" s="152">
        <f>IFERROR(VALUE(SUBSTITUTE(INDEX('04A_국토부원자료'!$A:$T,ROW()+1,MATCH("건축년도",'04A_국토부원자료'!$A$4:$T$4,0)),",","")),"")</f>
        <v/>
      </c>
      <c r="L1956" s="48">
        <f>IFERROR(INDEX('04A_국토부원자료'!$A:$T,ROW()+1,MATCH("도로명",'04A_국토부원자료'!$A$4:$T$4,0)),"")</f>
        <v/>
      </c>
      <c r="M1956" s="48">
        <f>IFERROR(INDEX('04A_국토부원자료'!$A:$T,ROW()+1,MATCH("거래유형",'04A_국토부원자료'!$A$4:$T$4,0)),"")</f>
        <v/>
      </c>
      <c r="N1956" s="152">
        <f>IF(B1956="","",IF('02_대상물건입력'!B5="",1,IF(ISNUMBER(SEARCH('02_대상물건입력'!B5,B1956)),1,0)))</f>
        <v/>
      </c>
      <c r="O1956" s="152">
        <f>IF(B1956="","",IF('02_대상물건입력'!B6="",1,IF(ISNUMBER(SEARCH('02_대상물건입력'!B6,B1956)),1,0)))</f>
        <v/>
      </c>
      <c r="P1956" s="152">
        <f>IF(L1956="","",IF('02_대상물건입력'!B15="",0,IF(ISNUMBER(SEARCH('02_대상물건입력'!B15,L1956)),1,0)))</f>
        <v/>
      </c>
      <c r="Q1956" s="152">
        <f>IF(OR(C1956="",L1956=""),0,IF(AND(TRIM(C1956)=TRIM(RIGHT(SUBSTITUTE(TRIM('02_대상물건입력'!$B$7)," ",REPT(" ",99)),99)),IF('02_대상물건입력'!B15="",TRUE(),ISNUMBER(SEARCH('02_대상물건입력'!B15,L1956)))),1,0))</f>
        <v/>
      </c>
      <c r="R1956" s="175">
        <f>IFERROR(ABS(E1956-'02_대상물건입력'!B11)/'02_대상물건입력'!B11,"")</f>
        <v/>
      </c>
      <c r="S1956" s="152">
        <f>IFERROR(ABS(J1956-'02_대상물건입력'!B10),"")</f>
        <v/>
      </c>
      <c r="T1956" s="152">
        <f>IFERROR(ABS('01_설정'!B4-F1956),"")</f>
        <v/>
      </c>
      <c r="U1956" s="152">
        <f>IFERROR(ABS(K1956-YEAR('02_대상물건입력'!B14)),"")</f>
        <v/>
      </c>
      <c r="V1956" s="152">
        <f>IF(B1956="","",IF(AND(E1956&gt;0,F1956&gt;0,H1956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1956=1,TRUE()),R1956&lt;='01_설정'!B5,S1956&lt;='01_설정'!B6,T1956&lt;='01_설정'!B7,U1956&lt;='01_설정'!B8),"Y",""))</f>
        <v/>
      </c>
      <c r="W1956" s="172">
        <f>IF(V1956&lt;&gt;"Y","",MAX(0,(1-R1956/'01_설정'!B5))*'01_설정'!B14+MAX(0,(1-S1956/'01_설정'!B6))*'01_설정'!B15+MAX(0,(1-T1956/'01_설정'!B7))*'01_설정'!B16+MAX(0,(1-U1956/'01_설정'!B8))*'01_설정'!B17+O1956*'01_설정'!B11+Q1956*'01_설정'!B12+P1956*'01_설정'!B13+IF(Z1956="",0,Z1956))</f>
        <v/>
      </c>
      <c r="X1956" s="152">
        <f>IF(W1956="","",1+COUNTIFS($W$4:$W$3003,"&gt;"&amp;W1956)+COUNTIFS($W$4:W1956,W1956)-1)</f>
        <v/>
      </c>
      <c r="Y1956" s="175">
        <f>IF(OR(I1956="",'02_대상물건입력'!B19="",'02_대상물건입력'!B19&lt;=0),"",ABS(I1956-'02_대상물건입력'!B19)/'02_대상물건입력'!B19)</f>
        <v/>
      </c>
      <c r="Z1956" s="172">
        <f>IF(OR(Y1956="",'01_설정'!B31="",'01_설정'!B31&lt;=0,'01_설정'!B32="",'01_설정'!B32&lt;=0),"",MAX(0,(1-Y1956/'01_설정'!B32))*'01_설정'!B31)</f>
        <v/>
      </c>
    </row>
    <row r="1957" ht="17.25" customHeight="1">
      <c r="A1957" s="152">
        <f>IF(INDEX('04A_국토부원자료'!$A:$A,ROW()+1)="","",ROW()-3)</f>
        <v/>
      </c>
      <c r="B1957" s="48">
        <f>IFERROR(INDEX('04A_국토부원자료'!$A:$T,ROW()+1,MATCH("시군구",'04A_국토부원자료'!$A$4:$T$4,0)),"")</f>
        <v/>
      </c>
      <c r="C1957" s="48">
        <f>IF(B1957="","",IFERROR(INDEX('04A_국토부원자료'!$A:$T,ROW()+1,MATCH("번지",'04A_국토부원자료'!$A$4:$T$4,0)),""))</f>
        <v/>
      </c>
      <c r="D1957" s="48">
        <f>IF(B1957="","",IF(Q1957=1,'02_대상물건입력'!$B$8,IFERROR(INDEX('04A_국토부원자료'!$A:$T,ROW()+1,MATCH("단지명",'04A_국토부원자료'!$A$4:$T$4,0)),"")))</f>
        <v/>
      </c>
      <c r="E1957" s="172">
        <f>IFERROR(VALUE(SUBSTITUTE(INDEX('04A_국토부원자료'!$A:$T,ROW()+1,MATCH("전용면적(㎡)",'04A_국토부원자료'!$A$4:$T$4,0)),",","")),"")</f>
        <v/>
      </c>
      <c r="F19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57" s="51">
        <f>IFERROR(VALUE(SUBSTITUTE(INDEX('04A_국토부원자료'!$A:$T,ROW()+1,MATCH("거래금액(만원)",'04A_국토부원자료'!$A$4:$T$4,0)),",","")),"")</f>
        <v/>
      </c>
      <c r="H1957" s="174">
        <f>IF(G1957="","",G1957*10000)</f>
        <v/>
      </c>
      <c r="I1957" s="174">
        <f>IFERROR(IF(AND(H1957&gt;0,E1957&gt;0),H1957/E1957,""),"")</f>
        <v/>
      </c>
      <c r="J1957" s="152">
        <f>IFERROR(VALUE(SUBSTITUTE(INDEX('04A_국토부원자료'!$A:$T,ROW()+1,MATCH("층",'04A_국토부원자료'!$A$4:$T$4,0)),",","")),"")</f>
        <v/>
      </c>
      <c r="K1957" s="152">
        <f>IFERROR(VALUE(SUBSTITUTE(INDEX('04A_국토부원자료'!$A:$T,ROW()+1,MATCH("건축년도",'04A_국토부원자료'!$A$4:$T$4,0)),",","")),"")</f>
        <v/>
      </c>
      <c r="L1957" s="48">
        <f>IFERROR(INDEX('04A_국토부원자료'!$A:$T,ROW()+1,MATCH("도로명",'04A_국토부원자료'!$A$4:$T$4,0)),"")</f>
        <v/>
      </c>
      <c r="M1957" s="48">
        <f>IFERROR(INDEX('04A_국토부원자료'!$A:$T,ROW()+1,MATCH("거래유형",'04A_국토부원자료'!$A$4:$T$4,0)),"")</f>
        <v/>
      </c>
      <c r="N1957" s="152">
        <f>IF(B1957="","",IF('02_대상물건입력'!B5="",1,IF(ISNUMBER(SEARCH('02_대상물건입력'!B5,B1957)),1,0)))</f>
        <v/>
      </c>
      <c r="O1957" s="152">
        <f>IF(B1957="","",IF('02_대상물건입력'!B6="",1,IF(ISNUMBER(SEARCH('02_대상물건입력'!B6,B1957)),1,0)))</f>
        <v/>
      </c>
      <c r="P1957" s="152">
        <f>IF(L1957="","",IF('02_대상물건입력'!B15="",0,IF(ISNUMBER(SEARCH('02_대상물건입력'!B15,L1957)),1,0)))</f>
        <v/>
      </c>
      <c r="Q1957" s="152">
        <f>IF(OR(C1957="",L1957=""),0,IF(AND(TRIM(C1957)=TRIM(RIGHT(SUBSTITUTE(TRIM('02_대상물건입력'!$B$7)," ",REPT(" ",99)),99)),IF('02_대상물건입력'!B15="",TRUE(),ISNUMBER(SEARCH('02_대상물건입력'!B15,L1957)))),1,0))</f>
        <v/>
      </c>
      <c r="R1957" s="175">
        <f>IFERROR(ABS(E1957-'02_대상물건입력'!B11)/'02_대상물건입력'!B11,"")</f>
        <v/>
      </c>
      <c r="S1957" s="152">
        <f>IFERROR(ABS(J1957-'02_대상물건입력'!B10),"")</f>
        <v/>
      </c>
      <c r="T1957" s="152">
        <f>IFERROR(ABS('01_설정'!B4-F1957),"")</f>
        <v/>
      </c>
      <c r="U1957" s="152">
        <f>IFERROR(ABS(K1957-YEAR('02_대상물건입력'!B14)),"")</f>
        <v/>
      </c>
      <c r="V1957" s="152">
        <f>IF(B1957="","",IF(AND(E1957&gt;0,F1957&gt;0,H1957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1957=1,TRUE()),R1957&lt;='01_설정'!B5,S1957&lt;='01_설정'!B6,T1957&lt;='01_설정'!B7,U1957&lt;='01_설정'!B8),"Y",""))</f>
        <v/>
      </c>
      <c r="W1957" s="172">
        <f>IF(V1957&lt;&gt;"Y","",MAX(0,(1-R1957/'01_설정'!B5))*'01_설정'!B14+MAX(0,(1-S1957/'01_설정'!B6))*'01_설정'!B15+MAX(0,(1-T1957/'01_설정'!B7))*'01_설정'!B16+MAX(0,(1-U1957/'01_설정'!B8))*'01_설정'!B17+O1957*'01_설정'!B11+Q1957*'01_설정'!B12+P1957*'01_설정'!B13+IF(Z1957="",0,Z1957))</f>
        <v/>
      </c>
      <c r="X1957" s="152">
        <f>IF(W1957="","",1+COUNTIFS($W$4:$W$3003,"&gt;"&amp;W1957)+COUNTIFS($W$4:W1957,W1957)-1)</f>
        <v/>
      </c>
      <c r="Y1957" s="175">
        <f>IF(OR(I1957="",'02_대상물건입력'!B19="",'02_대상물건입력'!B19&lt;=0),"",ABS(I1957-'02_대상물건입력'!B19)/'02_대상물건입력'!B19)</f>
        <v/>
      </c>
      <c r="Z1957" s="172">
        <f>IF(OR(Y1957="",'01_설정'!B31="",'01_설정'!B31&lt;=0,'01_설정'!B32="",'01_설정'!B32&lt;=0),"",MAX(0,(1-Y1957/'01_설정'!B32))*'01_설정'!B31)</f>
        <v/>
      </c>
    </row>
    <row r="1958" ht="17.25" customHeight="1">
      <c r="A1958" s="152">
        <f>IF(INDEX('04A_국토부원자료'!$A:$A,ROW()+1)="","",ROW()-3)</f>
        <v/>
      </c>
      <c r="B1958" s="48">
        <f>IFERROR(INDEX('04A_국토부원자료'!$A:$T,ROW()+1,MATCH("시군구",'04A_국토부원자료'!$A$4:$T$4,0)),"")</f>
        <v/>
      </c>
      <c r="C1958" s="48">
        <f>IF(B1958="","",IFERROR(INDEX('04A_국토부원자료'!$A:$T,ROW()+1,MATCH("번지",'04A_국토부원자료'!$A$4:$T$4,0)),""))</f>
        <v/>
      </c>
      <c r="D1958" s="48">
        <f>IF(B1958="","",IF(Q1958=1,'02_대상물건입력'!$B$8,IFERROR(INDEX('04A_국토부원자료'!$A:$T,ROW()+1,MATCH("단지명",'04A_국토부원자료'!$A$4:$T$4,0)),"")))</f>
        <v/>
      </c>
      <c r="E1958" s="172">
        <f>IFERROR(VALUE(SUBSTITUTE(INDEX('04A_국토부원자료'!$A:$T,ROW()+1,MATCH("전용면적(㎡)",'04A_국토부원자료'!$A$4:$T$4,0)),",","")),"")</f>
        <v/>
      </c>
      <c r="F19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58" s="51">
        <f>IFERROR(VALUE(SUBSTITUTE(INDEX('04A_국토부원자료'!$A:$T,ROW()+1,MATCH("거래금액(만원)",'04A_국토부원자료'!$A$4:$T$4,0)),",","")),"")</f>
        <v/>
      </c>
      <c r="H1958" s="174">
        <f>IF(G1958="","",G1958*10000)</f>
        <v/>
      </c>
      <c r="I1958" s="174">
        <f>IFERROR(IF(AND(H1958&gt;0,E1958&gt;0),H1958/E1958,""),"")</f>
        <v/>
      </c>
      <c r="J1958" s="152">
        <f>IFERROR(VALUE(SUBSTITUTE(INDEX('04A_국토부원자료'!$A:$T,ROW()+1,MATCH("층",'04A_국토부원자료'!$A$4:$T$4,0)),",","")),"")</f>
        <v/>
      </c>
      <c r="K1958" s="152">
        <f>IFERROR(VALUE(SUBSTITUTE(INDEX('04A_국토부원자료'!$A:$T,ROW()+1,MATCH("건축년도",'04A_국토부원자료'!$A$4:$T$4,0)),",","")),"")</f>
        <v/>
      </c>
      <c r="L1958" s="48">
        <f>IFERROR(INDEX('04A_국토부원자료'!$A:$T,ROW()+1,MATCH("도로명",'04A_국토부원자료'!$A$4:$T$4,0)),"")</f>
        <v/>
      </c>
      <c r="M1958" s="48">
        <f>IFERROR(INDEX('04A_국토부원자료'!$A:$T,ROW()+1,MATCH("거래유형",'04A_국토부원자료'!$A$4:$T$4,0)),"")</f>
        <v/>
      </c>
      <c r="N1958" s="152">
        <f>IF(B1958="","",IF('02_대상물건입력'!B5="",1,IF(ISNUMBER(SEARCH('02_대상물건입력'!B5,B1958)),1,0)))</f>
        <v/>
      </c>
      <c r="O1958" s="152">
        <f>IF(B1958="","",IF('02_대상물건입력'!B6="",1,IF(ISNUMBER(SEARCH('02_대상물건입력'!B6,B1958)),1,0)))</f>
        <v/>
      </c>
      <c r="P1958" s="152">
        <f>IF(L1958="","",IF('02_대상물건입력'!B15="",0,IF(ISNUMBER(SEARCH('02_대상물건입력'!B15,L1958)),1,0)))</f>
        <v/>
      </c>
      <c r="Q1958" s="152">
        <f>IF(OR(C1958="",L1958=""),0,IF(AND(TRIM(C1958)=TRIM(RIGHT(SUBSTITUTE(TRIM('02_대상물건입력'!$B$7)," ",REPT(" ",99)),99)),IF('02_대상물건입력'!B15="",TRUE(),ISNUMBER(SEARCH('02_대상물건입력'!B15,L1958)))),1,0))</f>
        <v/>
      </c>
      <c r="R1958" s="175">
        <f>IFERROR(ABS(E1958-'02_대상물건입력'!B11)/'02_대상물건입력'!B11,"")</f>
        <v/>
      </c>
      <c r="S1958" s="152">
        <f>IFERROR(ABS(J1958-'02_대상물건입력'!B10),"")</f>
        <v/>
      </c>
      <c r="T1958" s="152">
        <f>IFERROR(ABS('01_설정'!B4-F1958),"")</f>
        <v/>
      </c>
      <c r="U1958" s="152">
        <f>IFERROR(ABS(K1958-YEAR('02_대상물건입력'!B14)),"")</f>
        <v/>
      </c>
      <c r="V1958" s="152">
        <f>IF(B1958="","",IF(AND(E1958&gt;0,F1958&gt;0,H1958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1958=1,TRUE()),R1958&lt;='01_설정'!B5,S1958&lt;='01_설정'!B6,T1958&lt;='01_설정'!B7,U1958&lt;='01_설정'!B8),"Y",""))</f>
        <v/>
      </c>
      <c r="W1958" s="172">
        <f>IF(V1958&lt;&gt;"Y","",MAX(0,(1-R1958/'01_설정'!B5))*'01_설정'!B14+MAX(0,(1-S1958/'01_설정'!B6))*'01_설정'!B15+MAX(0,(1-T1958/'01_설정'!B7))*'01_설정'!B16+MAX(0,(1-U1958/'01_설정'!B8))*'01_설정'!B17+O1958*'01_설정'!B11+Q1958*'01_설정'!B12+P1958*'01_설정'!B13+IF(Z1958="",0,Z1958))</f>
        <v/>
      </c>
      <c r="X1958" s="152">
        <f>IF(W1958="","",1+COUNTIFS($W$4:$W$3003,"&gt;"&amp;W1958)+COUNTIFS($W$4:W1958,W1958)-1)</f>
        <v/>
      </c>
      <c r="Y1958" s="175">
        <f>IF(OR(I1958="",'02_대상물건입력'!B19="",'02_대상물건입력'!B19&lt;=0),"",ABS(I1958-'02_대상물건입력'!B19)/'02_대상물건입력'!B19)</f>
        <v/>
      </c>
      <c r="Z1958" s="172">
        <f>IF(OR(Y1958="",'01_설정'!B31="",'01_설정'!B31&lt;=0,'01_설정'!B32="",'01_설정'!B32&lt;=0),"",MAX(0,(1-Y1958/'01_설정'!B32))*'01_설정'!B31)</f>
        <v/>
      </c>
    </row>
    <row r="1959" ht="17.25" customHeight="1">
      <c r="A1959" s="152">
        <f>IF(INDEX('04A_국토부원자료'!$A:$A,ROW()+1)="","",ROW()-3)</f>
        <v/>
      </c>
      <c r="B1959" s="48">
        <f>IFERROR(INDEX('04A_국토부원자료'!$A:$T,ROW()+1,MATCH("시군구",'04A_국토부원자료'!$A$4:$T$4,0)),"")</f>
        <v/>
      </c>
      <c r="C1959" s="48">
        <f>IF(B1959="","",IFERROR(INDEX('04A_국토부원자료'!$A:$T,ROW()+1,MATCH("번지",'04A_국토부원자료'!$A$4:$T$4,0)),""))</f>
        <v/>
      </c>
      <c r="D1959" s="48">
        <f>IF(B1959="","",IF(Q1959=1,'02_대상물건입력'!$B$8,IFERROR(INDEX('04A_국토부원자료'!$A:$T,ROW()+1,MATCH("단지명",'04A_국토부원자료'!$A$4:$T$4,0)),"")))</f>
        <v/>
      </c>
      <c r="E1959" s="172">
        <f>IFERROR(VALUE(SUBSTITUTE(INDEX('04A_국토부원자료'!$A:$T,ROW()+1,MATCH("전용면적(㎡)",'04A_국토부원자료'!$A$4:$T$4,0)),",","")),"")</f>
        <v/>
      </c>
      <c r="F19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59" s="51">
        <f>IFERROR(VALUE(SUBSTITUTE(INDEX('04A_국토부원자료'!$A:$T,ROW()+1,MATCH("거래금액(만원)",'04A_국토부원자료'!$A$4:$T$4,0)),",","")),"")</f>
        <v/>
      </c>
      <c r="H1959" s="174">
        <f>IF(G1959="","",G1959*10000)</f>
        <v/>
      </c>
      <c r="I1959" s="174">
        <f>IFERROR(IF(AND(H1959&gt;0,E1959&gt;0),H1959/E1959,""),"")</f>
        <v/>
      </c>
      <c r="J1959" s="152">
        <f>IFERROR(VALUE(SUBSTITUTE(INDEX('04A_국토부원자료'!$A:$T,ROW()+1,MATCH("층",'04A_국토부원자료'!$A$4:$T$4,0)),",","")),"")</f>
        <v/>
      </c>
      <c r="K1959" s="152">
        <f>IFERROR(VALUE(SUBSTITUTE(INDEX('04A_국토부원자료'!$A:$T,ROW()+1,MATCH("건축년도",'04A_국토부원자료'!$A$4:$T$4,0)),",","")),"")</f>
        <v/>
      </c>
      <c r="L1959" s="48">
        <f>IFERROR(INDEX('04A_국토부원자료'!$A:$T,ROW()+1,MATCH("도로명",'04A_국토부원자료'!$A$4:$T$4,0)),"")</f>
        <v/>
      </c>
      <c r="M1959" s="48">
        <f>IFERROR(INDEX('04A_국토부원자료'!$A:$T,ROW()+1,MATCH("거래유형",'04A_국토부원자료'!$A$4:$T$4,0)),"")</f>
        <v/>
      </c>
      <c r="N1959" s="152">
        <f>IF(B1959="","",IF('02_대상물건입력'!B5="",1,IF(ISNUMBER(SEARCH('02_대상물건입력'!B5,B1959)),1,0)))</f>
        <v/>
      </c>
      <c r="O1959" s="152">
        <f>IF(B1959="","",IF('02_대상물건입력'!B6="",1,IF(ISNUMBER(SEARCH('02_대상물건입력'!B6,B1959)),1,0)))</f>
        <v/>
      </c>
      <c r="P1959" s="152">
        <f>IF(L1959="","",IF('02_대상물건입력'!B15="",0,IF(ISNUMBER(SEARCH('02_대상물건입력'!B15,L1959)),1,0)))</f>
        <v/>
      </c>
      <c r="Q1959" s="152">
        <f>IF(OR(C1959="",L1959=""),0,IF(AND(TRIM(C1959)=TRIM(RIGHT(SUBSTITUTE(TRIM('02_대상물건입력'!$B$7)," ",REPT(" ",99)),99)),IF('02_대상물건입력'!B15="",TRUE(),ISNUMBER(SEARCH('02_대상물건입력'!B15,L1959)))),1,0))</f>
        <v/>
      </c>
      <c r="R1959" s="175">
        <f>IFERROR(ABS(E1959-'02_대상물건입력'!B11)/'02_대상물건입력'!B11,"")</f>
        <v/>
      </c>
      <c r="S1959" s="152">
        <f>IFERROR(ABS(J1959-'02_대상물건입력'!B10),"")</f>
        <v/>
      </c>
      <c r="T1959" s="152">
        <f>IFERROR(ABS('01_설정'!B4-F1959),"")</f>
        <v/>
      </c>
      <c r="U1959" s="152">
        <f>IFERROR(ABS(K1959-YEAR('02_대상물건입력'!B14)),"")</f>
        <v/>
      </c>
      <c r="V1959" s="152">
        <f>IF(B1959="","",IF(AND(E1959&gt;0,F1959&gt;0,H1959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1959=1,TRUE()),R1959&lt;='01_설정'!B5,S1959&lt;='01_설정'!B6,T1959&lt;='01_설정'!B7,U1959&lt;='01_설정'!B8),"Y",""))</f>
        <v/>
      </c>
      <c r="W1959" s="172">
        <f>IF(V1959&lt;&gt;"Y","",MAX(0,(1-R1959/'01_설정'!B5))*'01_설정'!B14+MAX(0,(1-S1959/'01_설정'!B6))*'01_설정'!B15+MAX(0,(1-T1959/'01_설정'!B7))*'01_설정'!B16+MAX(0,(1-U1959/'01_설정'!B8))*'01_설정'!B17+O1959*'01_설정'!B11+Q1959*'01_설정'!B12+P1959*'01_설정'!B13+IF(Z1959="",0,Z1959))</f>
        <v/>
      </c>
      <c r="X1959" s="152">
        <f>IF(W1959="","",1+COUNTIFS($W$4:$W$3003,"&gt;"&amp;W1959)+COUNTIFS($W$4:W1959,W1959)-1)</f>
        <v/>
      </c>
      <c r="Y1959" s="175">
        <f>IF(OR(I1959="",'02_대상물건입력'!B19="",'02_대상물건입력'!B19&lt;=0),"",ABS(I1959-'02_대상물건입력'!B19)/'02_대상물건입력'!B19)</f>
        <v/>
      </c>
      <c r="Z1959" s="172">
        <f>IF(OR(Y1959="",'01_설정'!B31="",'01_설정'!B31&lt;=0,'01_설정'!B32="",'01_설정'!B32&lt;=0),"",MAX(0,(1-Y1959/'01_설정'!B32))*'01_설정'!B31)</f>
        <v/>
      </c>
    </row>
    <row r="1960" ht="17.25" customHeight="1">
      <c r="A1960" s="152">
        <f>IF(INDEX('04A_국토부원자료'!$A:$A,ROW()+1)="","",ROW()-3)</f>
        <v/>
      </c>
      <c r="B1960" s="48">
        <f>IFERROR(INDEX('04A_국토부원자료'!$A:$T,ROW()+1,MATCH("시군구",'04A_국토부원자료'!$A$4:$T$4,0)),"")</f>
        <v/>
      </c>
      <c r="C1960" s="48">
        <f>IF(B1960="","",IFERROR(INDEX('04A_국토부원자료'!$A:$T,ROW()+1,MATCH("번지",'04A_국토부원자료'!$A$4:$T$4,0)),""))</f>
        <v/>
      </c>
      <c r="D1960" s="48">
        <f>IF(B1960="","",IF(Q1960=1,'02_대상물건입력'!$B$8,IFERROR(INDEX('04A_국토부원자료'!$A:$T,ROW()+1,MATCH("단지명",'04A_국토부원자료'!$A$4:$T$4,0)),"")))</f>
        <v/>
      </c>
      <c r="E1960" s="172">
        <f>IFERROR(VALUE(SUBSTITUTE(INDEX('04A_국토부원자료'!$A:$T,ROW()+1,MATCH("전용면적(㎡)",'04A_국토부원자료'!$A$4:$T$4,0)),",","")),"")</f>
        <v/>
      </c>
      <c r="F19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60" s="51">
        <f>IFERROR(VALUE(SUBSTITUTE(INDEX('04A_국토부원자료'!$A:$T,ROW()+1,MATCH("거래금액(만원)",'04A_국토부원자료'!$A$4:$T$4,0)),",","")),"")</f>
        <v/>
      </c>
      <c r="H1960" s="174">
        <f>IF(G1960="","",G1960*10000)</f>
        <v/>
      </c>
      <c r="I1960" s="174">
        <f>IFERROR(IF(AND(H1960&gt;0,E1960&gt;0),H1960/E1960,""),"")</f>
        <v/>
      </c>
      <c r="J1960" s="152">
        <f>IFERROR(VALUE(SUBSTITUTE(INDEX('04A_국토부원자료'!$A:$T,ROW()+1,MATCH("층",'04A_국토부원자료'!$A$4:$T$4,0)),",","")),"")</f>
        <v/>
      </c>
      <c r="K1960" s="152">
        <f>IFERROR(VALUE(SUBSTITUTE(INDEX('04A_국토부원자료'!$A:$T,ROW()+1,MATCH("건축년도",'04A_국토부원자료'!$A$4:$T$4,0)),",","")),"")</f>
        <v/>
      </c>
      <c r="L1960" s="48">
        <f>IFERROR(INDEX('04A_국토부원자료'!$A:$T,ROW()+1,MATCH("도로명",'04A_국토부원자료'!$A$4:$T$4,0)),"")</f>
        <v/>
      </c>
      <c r="M1960" s="48">
        <f>IFERROR(INDEX('04A_국토부원자료'!$A:$T,ROW()+1,MATCH("거래유형",'04A_국토부원자료'!$A$4:$T$4,0)),"")</f>
        <v/>
      </c>
      <c r="N1960" s="152">
        <f>IF(B1960="","",IF('02_대상물건입력'!B5="",1,IF(ISNUMBER(SEARCH('02_대상물건입력'!B5,B1960)),1,0)))</f>
        <v/>
      </c>
      <c r="O1960" s="152">
        <f>IF(B1960="","",IF('02_대상물건입력'!B6="",1,IF(ISNUMBER(SEARCH('02_대상물건입력'!B6,B1960)),1,0)))</f>
        <v/>
      </c>
      <c r="P1960" s="152">
        <f>IF(L1960="","",IF('02_대상물건입력'!B15="",0,IF(ISNUMBER(SEARCH('02_대상물건입력'!B15,L1960)),1,0)))</f>
        <v/>
      </c>
      <c r="Q1960" s="152">
        <f>IF(OR(C1960="",L1960=""),0,IF(AND(TRIM(C1960)=TRIM(RIGHT(SUBSTITUTE(TRIM('02_대상물건입력'!$B$7)," ",REPT(" ",99)),99)),IF('02_대상물건입력'!B15="",TRUE(),ISNUMBER(SEARCH('02_대상물건입력'!B15,L1960)))),1,0))</f>
        <v/>
      </c>
      <c r="R1960" s="175">
        <f>IFERROR(ABS(E1960-'02_대상물건입력'!B11)/'02_대상물건입력'!B11,"")</f>
        <v/>
      </c>
      <c r="S1960" s="152">
        <f>IFERROR(ABS(J1960-'02_대상물건입력'!B10),"")</f>
        <v/>
      </c>
      <c r="T1960" s="152">
        <f>IFERROR(ABS('01_설정'!B4-F1960),"")</f>
        <v/>
      </c>
      <c r="U1960" s="152">
        <f>IFERROR(ABS(K1960-YEAR('02_대상물건입력'!B14)),"")</f>
        <v/>
      </c>
      <c r="V1960" s="152">
        <f>IF(B1960="","",IF(AND(E1960&gt;0,F1960&gt;0,H1960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1960=1,TRUE()),R1960&lt;='01_설정'!B5,S1960&lt;='01_설정'!B6,T1960&lt;='01_설정'!B7,U1960&lt;='01_설정'!B8),"Y",""))</f>
        <v/>
      </c>
      <c r="W1960" s="172">
        <f>IF(V1960&lt;&gt;"Y","",MAX(0,(1-R1960/'01_설정'!B5))*'01_설정'!B14+MAX(0,(1-S1960/'01_설정'!B6))*'01_설정'!B15+MAX(0,(1-T1960/'01_설정'!B7))*'01_설정'!B16+MAX(0,(1-U1960/'01_설정'!B8))*'01_설정'!B17+O1960*'01_설정'!B11+Q1960*'01_설정'!B12+P1960*'01_설정'!B13+IF(Z1960="",0,Z1960))</f>
        <v/>
      </c>
      <c r="X1960" s="152">
        <f>IF(W1960="","",1+COUNTIFS($W$4:$W$3003,"&gt;"&amp;W1960)+COUNTIFS($W$4:W1960,W1960)-1)</f>
        <v/>
      </c>
      <c r="Y1960" s="175">
        <f>IF(OR(I1960="",'02_대상물건입력'!B19="",'02_대상물건입력'!B19&lt;=0),"",ABS(I1960-'02_대상물건입력'!B19)/'02_대상물건입력'!B19)</f>
        <v/>
      </c>
      <c r="Z1960" s="172">
        <f>IF(OR(Y1960="",'01_설정'!B31="",'01_설정'!B31&lt;=0,'01_설정'!B32="",'01_설정'!B32&lt;=0),"",MAX(0,(1-Y1960/'01_설정'!B32))*'01_설정'!B31)</f>
        <v/>
      </c>
    </row>
    <row r="1961" ht="17.25" customHeight="1">
      <c r="A1961" s="152">
        <f>IF(INDEX('04A_국토부원자료'!$A:$A,ROW()+1)="","",ROW()-3)</f>
        <v/>
      </c>
      <c r="B1961" s="48">
        <f>IFERROR(INDEX('04A_국토부원자료'!$A:$T,ROW()+1,MATCH("시군구",'04A_국토부원자료'!$A$4:$T$4,0)),"")</f>
        <v/>
      </c>
      <c r="C1961" s="48">
        <f>IF(B1961="","",IFERROR(INDEX('04A_국토부원자료'!$A:$T,ROW()+1,MATCH("번지",'04A_국토부원자료'!$A$4:$T$4,0)),""))</f>
        <v/>
      </c>
      <c r="D1961" s="48">
        <f>IF(B1961="","",IF(Q1961=1,'02_대상물건입력'!$B$8,IFERROR(INDEX('04A_국토부원자료'!$A:$T,ROW()+1,MATCH("단지명",'04A_국토부원자료'!$A$4:$T$4,0)),"")))</f>
        <v/>
      </c>
      <c r="E1961" s="172">
        <f>IFERROR(VALUE(SUBSTITUTE(INDEX('04A_국토부원자료'!$A:$T,ROW()+1,MATCH("전용면적(㎡)",'04A_국토부원자료'!$A$4:$T$4,0)),",","")),"")</f>
        <v/>
      </c>
      <c r="F19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61" s="51">
        <f>IFERROR(VALUE(SUBSTITUTE(INDEX('04A_국토부원자료'!$A:$T,ROW()+1,MATCH("거래금액(만원)",'04A_국토부원자료'!$A$4:$T$4,0)),",","")),"")</f>
        <v/>
      </c>
      <c r="H1961" s="174">
        <f>IF(G1961="","",G1961*10000)</f>
        <v/>
      </c>
      <c r="I1961" s="174">
        <f>IFERROR(IF(AND(H1961&gt;0,E1961&gt;0),H1961/E1961,""),"")</f>
        <v/>
      </c>
      <c r="J1961" s="152">
        <f>IFERROR(VALUE(SUBSTITUTE(INDEX('04A_국토부원자료'!$A:$T,ROW()+1,MATCH("층",'04A_국토부원자료'!$A$4:$T$4,0)),",","")),"")</f>
        <v/>
      </c>
      <c r="K1961" s="152">
        <f>IFERROR(VALUE(SUBSTITUTE(INDEX('04A_국토부원자료'!$A:$T,ROW()+1,MATCH("건축년도",'04A_국토부원자료'!$A$4:$T$4,0)),",","")),"")</f>
        <v/>
      </c>
      <c r="L1961" s="48">
        <f>IFERROR(INDEX('04A_국토부원자료'!$A:$T,ROW()+1,MATCH("도로명",'04A_국토부원자료'!$A$4:$T$4,0)),"")</f>
        <v/>
      </c>
      <c r="M1961" s="48">
        <f>IFERROR(INDEX('04A_국토부원자료'!$A:$T,ROW()+1,MATCH("거래유형",'04A_국토부원자료'!$A$4:$T$4,0)),"")</f>
        <v/>
      </c>
      <c r="N1961" s="152">
        <f>IF(B1961="","",IF('02_대상물건입력'!B5="",1,IF(ISNUMBER(SEARCH('02_대상물건입력'!B5,B1961)),1,0)))</f>
        <v/>
      </c>
      <c r="O1961" s="152">
        <f>IF(B1961="","",IF('02_대상물건입력'!B6="",1,IF(ISNUMBER(SEARCH('02_대상물건입력'!B6,B1961)),1,0)))</f>
        <v/>
      </c>
      <c r="P1961" s="152">
        <f>IF(L1961="","",IF('02_대상물건입력'!B15="",0,IF(ISNUMBER(SEARCH('02_대상물건입력'!B15,L1961)),1,0)))</f>
        <v/>
      </c>
      <c r="Q1961" s="152">
        <f>IF(OR(C1961="",L1961=""),0,IF(AND(TRIM(C1961)=TRIM(RIGHT(SUBSTITUTE(TRIM('02_대상물건입력'!$B$7)," ",REPT(" ",99)),99)),IF('02_대상물건입력'!B15="",TRUE(),ISNUMBER(SEARCH('02_대상물건입력'!B15,L1961)))),1,0))</f>
        <v/>
      </c>
      <c r="R1961" s="175">
        <f>IFERROR(ABS(E1961-'02_대상물건입력'!B11)/'02_대상물건입력'!B11,"")</f>
        <v/>
      </c>
      <c r="S1961" s="152">
        <f>IFERROR(ABS(J1961-'02_대상물건입력'!B10),"")</f>
        <v/>
      </c>
      <c r="T1961" s="152">
        <f>IFERROR(ABS('01_설정'!B4-F1961),"")</f>
        <v/>
      </c>
      <c r="U1961" s="152">
        <f>IFERROR(ABS(K1961-YEAR('02_대상물건입력'!B14)),"")</f>
        <v/>
      </c>
      <c r="V1961" s="152">
        <f>IF(B1961="","",IF(AND(E1961&gt;0,F1961&gt;0,H1961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1961=1,TRUE()),R1961&lt;='01_설정'!B5,S1961&lt;='01_설정'!B6,T1961&lt;='01_설정'!B7,U1961&lt;='01_설정'!B8),"Y",""))</f>
        <v/>
      </c>
      <c r="W1961" s="172">
        <f>IF(V1961&lt;&gt;"Y","",MAX(0,(1-R1961/'01_설정'!B5))*'01_설정'!B14+MAX(0,(1-S1961/'01_설정'!B6))*'01_설정'!B15+MAX(0,(1-T1961/'01_설정'!B7))*'01_설정'!B16+MAX(0,(1-U1961/'01_설정'!B8))*'01_설정'!B17+O1961*'01_설정'!B11+Q1961*'01_설정'!B12+P1961*'01_설정'!B13+IF(Z1961="",0,Z1961))</f>
        <v/>
      </c>
      <c r="X1961" s="152">
        <f>IF(W1961="","",1+COUNTIFS($W$4:$W$3003,"&gt;"&amp;W1961)+COUNTIFS($W$4:W1961,W1961)-1)</f>
        <v/>
      </c>
      <c r="Y1961" s="175">
        <f>IF(OR(I1961="",'02_대상물건입력'!B19="",'02_대상물건입력'!B19&lt;=0),"",ABS(I1961-'02_대상물건입력'!B19)/'02_대상물건입력'!B19)</f>
        <v/>
      </c>
      <c r="Z1961" s="172">
        <f>IF(OR(Y1961="",'01_설정'!B31="",'01_설정'!B31&lt;=0,'01_설정'!B32="",'01_설정'!B32&lt;=0),"",MAX(0,(1-Y1961/'01_설정'!B32))*'01_설정'!B31)</f>
        <v/>
      </c>
    </row>
    <row r="1962" ht="17.25" customHeight="1">
      <c r="A1962" s="152">
        <f>IF(INDEX('04A_국토부원자료'!$A:$A,ROW()+1)="","",ROW()-3)</f>
        <v/>
      </c>
      <c r="B1962" s="48">
        <f>IFERROR(INDEX('04A_국토부원자료'!$A:$T,ROW()+1,MATCH("시군구",'04A_국토부원자료'!$A$4:$T$4,0)),"")</f>
        <v/>
      </c>
      <c r="C1962" s="48">
        <f>IF(B1962="","",IFERROR(INDEX('04A_국토부원자료'!$A:$T,ROW()+1,MATCH("번지",'04A_국토부원자료'!$A$4:$T$4,0)),""))</f>
        <v/>
      </c>
      <c r="D1962" s="48">
        <f>IF(B1962="","",IF(Q1962=1,'02_대상물건입력'!$B$8,IFERROR(INDEX('04A_국토부원자료'!$A:$T,ROW()+1,MATCH("단지명",'04A_국토부원자료'!$A$4:$T$4,0)),"")))</f>
        <v/>
      </c>
      <c r="E1962" s="172">
        <f>IFERROR(VALUE(SUBSTITUTE(INDEX('04A_국토부원자료'!$A:$T,ROW()+1,MATCH("전용면적(㎡)",'04A_국토부원자료'!$A$4:$T$4,0)),",","")),"")</f>
        <v/>
      </c>
      <c r="F19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62" s="51">
        <f>IFERROR(VALUE(SUBSTITUTE(INDEX('04A_국토부원자료'!$A:$T,ROW()+1,MATCH("거래금액(만원)",'04A_국토부원자료'!$A$4:$T$4,0)),",","")),"")</f>
        <v/>
      </c>
      <c r="H1962" s="174">
        <f>IF(G1962="","",G1962*10000)</f>
        <v/>
      </c>
      <c r="I1962" s="174">
        <f>IFERROR(IF(AND(H1962&gt;0,E1962&gt;0),H1962/E1962,""),"")</f>
        <v/>
      </c>
      <c r="J1962" s="152">
        <f>IFERROR(VALUE(SUBSTITUTE(INDEX('04A_국토부원자료'!$A:$T,ROW()+1,MATCH("층",'04A_국토부원자료'!$A$4:$T$4,0)),",","")),"")</f>
        <v/>
      </c>
      <c r="K1962" s="152">
        <f>IFERROR(VALUE(SUBSTITUTE(INDEX('04A_국토부원자료'!$A:$T,ROW()+1,MATCH("건축년도",'04A_국토부원자료'!$A$4:$T$4,0)),",","")),"")</f>
        <v/>
      </c>
      <c r="L1962" s="48">
        <f>IFERROR(INDEX('04A_국토부원자료'!$A:$T,ROW()+1,MATCH("도로명",'04A_국토부원자료'!$A$4:$T$4,0)),"")</f>
        <v/>
      </c>
      <c r="M1962" s="48">
        <f>IFERROR(INDEX('04A_국토부원자료'!$A:$T,ROW()+1,MATCH("거래유형",'04A_국토부원자료'!$A$4:$T$4,0)),"")</f>
        <v/>
      </c>
      <c r="N1962" s="152">
        <f>IF(B1962="","",IF('02_대상물건입력'!B5="",1,IF(ISNUMBER(SEARCH('02_대상물건입력'!B5,B1962)),1,0)))</f>
        <v/>
      </c>
      <c r="O1962" s="152">
        <f>IF(B1962="","",IF('02_대상물건입력'!B6="",1,IF(ISNUMBER(SEARCH('02_대상물건입력'!B6,B1962)),1,0)))</f>
        <v/>
      </c>
      <c r="P1962" s="152">
        <f>IF(L1962="","",IF('02_대상물건입력'!B15="",0,IF(ISNUMBER(SEARCH('02_대상물건입력'!B15,L1962)),1,0)))</f>
        <v/>
      </c>
      <c r="Q1962" s="152">
        <f>IF(OR(C1962="",L1962=""),0,IF(AND(TRIM(C1962)=TRIM(RIGHT(SUBSTITUTE(TRIM('02_대상물건입력'!$B$7)," ",REPT(" ",99)),99)),IF('02_대상물건입력'!B15="",TRUE(),ISNUMBER(SEARCH('02_대상물건입력'!B15,L1962)))),1,0))</f>
        <v/>
      </c>
      <c r="R1962" s="175">
        <f>IFERROR(ABS(E1962-'02_대상물건입력'!B11)/'02_대상물건입력'!B11,"")</f>
        <v/>
      </c>
      <c r="S1962" s="152">
        <f>IFERROR(ABS(J1962-'02_대상물건입력'!B10),"")</f>
        <v/>
      </c>
      <c r="T1962" s="152">
        <f>IFERROR(ABS('01_설정'!B4-F1962),"")</f>
        <v/>
      </c>
      <c r="U1962" s="152">
        <f>IFERROR(ABS(K1962-YEAR('02_대상물건입력'!B14)),"")</f>
        <v/>
      </c>
      <c r="V1962" s="152">
        <f>IF(B1962="","",IF(AND(E1962&gt;0,F1962&gt;0,H1962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1962=1,TRUE()),R1962&lt;='01_설정'!B5,S1962&lt;='01_설정'!B6,T1962&lt;='01_설정'!B7,U1962&lt;='01_설정'!B8),"Y",""))</f>
        <v/>
      </c>
      <c r="W1962" s="172">
        <f>IF(V1962&lt;&gt;"Y","",MAX(0,(1-R1962/'01_설정'!B5))*'01_설정'!B14+MAX(0,(1-S1962/'01_설정'!B6))*'01_설정'!B15+MAX(0,(1-T1962/'01_설정'!B7))*'01_설정'!B16+MAX(0,(1-U1962/'01_설정'!B8))*'01_설정'!B17+O1962*'01_설정'!B11+Q1962*'01_설정'!B12+P1962*'01_설정'!B13+IF(Z1962="",0,Z1962))</f>
        <v/>
      </c>
      <c r="X1962" s="152">
        <f>IF(W1962="","",1+COUNTIFS($W$4:$W$3003,"&gt;"&amp;W1962)+COUNTIFS($W$4:W1962,W1962)-1)</f>
        <v/>
      </c>
      <c r="Y1962" s="175">
        <f>IF(OR(I1962="",'02_대상물건입력'!B19="",'02_대상물건입력'!B19&lt;=0),"",ABS(I1962-'02_대상물건입력'!B19)/'02_대상물건입력'!B19)</f>
        <v/>
      </c>
      <c r="Z1962" s="172">
        <f>IF(OR(Y1962="",'01_설정'!B31="",'01_설정'!B31&lt;=0,'01_설정'!B32="",'01_설정'!B32&lt;=0),"",MAX(0,(1-Y1962/'01_설정'!B32))*'01_설정'!B31)</f>
        <v/>
      </c>
    </row>
    <row r="1963" ht="17.25" customHeight="1">
      <c r="A1963" s="152">
        <f>IF(INDEX('04A_국토부원자료'!$A:$A,ROW()+1)="","",ROW()-3)</f>
        <v/>
      </c>
      <c r="B1963" s="48">
        <f>IFERROR(INDEX('04A_국토부원자료'!$A:$T,ROW()+1,MATCH("시군구",'04A_국토부원자료'!$A$4:$T$4,0)),"")</f>
        <v/>
      </c>
      <c r="C1963" s="48">
        <f>IF(B1963="","",IFERROR(INDEX('04A_국토부원자료'!$A:$T,ROW()+1,MATCH("번지",'04A_국토부원자료'!$A$4:$T$4,0)),""))</f>
        <v/>
      </c>
      <c r="D1963" s="48">
        <f>IF(B1963="","",IF(Q1963=1,'02_대상물건입력'!$B$8,IFERROR(INDEX('04A_국토부원자료'!$A:$T,ROW()+1,MATCH("단지명",'04A_국토부원자료'!$A$4:$T$4,0)),"")))</f>
        <v/>
      </c>
      <c r="E1963" s="172">
        <f>IFERROR(VALUE(SUBSTITUTE(INDEX('04A_국토부원자료'!$A:$T,ROW()+1,MATCH("전용면적(㎡)",'04A_국토부원자료'!$A$4:$T$4,0)),",","")),"")</f>
        <v/>
      </c>
      <c r="F19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63" s="51">
        <f>IFERROR(VALUE(SUBSTITUTE(INDEX('04A_국토부원자료'!$A:$T,ROW()+1,MATCH("거래금액(만원)",'04A_국토부원자료'!$A$4:$T$4,0)),",","")),"")</f>
        <v/>
      </c>
      <c r="H1963" s="174">
        <f>IF(G1963="","",G1963*10000)</f>
        <v/>
      </c>
      <c r="I1963" s="174">
        <f>IFERROR(IF(AND(H1963&gt;0,E1963&gt;0),H1963/E1963,""),"")</f>
        <v/>
      </c>
      <c r="J1963" s="152">
        <f>IFERROR(VALUE(SUBSTITUTE(INDEX('04A_국토부원자료'!$A:$T,ROW()+1,MATCH("층",'04A_국토부원자료'!$A$4:$T$4,0)),",","")),"")</f>
        <v/>
      </c>
      <c r="K1963" s="152">
        <f>IFERROR(VALUE(SUBSTITUTE(INDEX('04A_국토부원자료'!$A:$T,ROW()+1,MATCH("건축년도",'04A_국토부원자료'!$A$4:$T$4,0)),",","")),"")</f>
        <v/>
      </c>
      <c r="L1963" s="48">
        <f>IFERROR(INDEX('04A_국토부원자료'!$A:$T,ROW()+1,MATCH("도로명",'04A_국토부원자료'!$A$4:$T$4,0)),"")</f>
        <v/>
      </c>
      <c r="M1963" s="48">
        <f>IFERROR(INDEX('04A_국토부원자료'!$A:$T,ROW()+1,MATCH("거래유형",'04A_국토부원자료'!$A$4:$T$4,0)),"")</f>
        <v/>
      </c>
      <c r="N1963" s="152">
        <f>IF(B1963="","",IF('02_대상물건입력'!B5="",1,IF(ISNUMBER(SEARCH('02_대상물건입력'!B5,B1963)),1,0)))</f>
        <v/>
      </c>
      <c r="O1963" s="152">
        <f>IF(B1963="","",IF('02_대상물건입력'!B6="",1,IF(ISNUMBER(SEARCH('02_대상물건입력'!B6,B1963)),1,0)))</f>
        <v/>
      </c>
      <c r="P1963" s="152">
        <f>IF(L1963="","",IF('02_대상물건입력'!B15="",0,IF(ISNUMBER(SEARCH('02_대상물건입력'!B15,L1963)),1,0)))</f>
        <v/>
      </c>
      <c r="Q1963" s="152">
        <f>IF(OR(C1963="",L1963=""),0,IF(AND(TRIM(C1963)=TRIM(RIGHT(SUBSTITUTE(TRIM('02_대상물건입력'!$B$7)," ",REPT(" ",99)),99)),IF('02_대상물건입력'!B15="",TRUE(),ISNUMBER(SEARCH('02_대상물건입력'!B15,L1963)))),1,0))</f>
        <v/>
      </c>
      <c r="R1963" s="175">
        <f>IFERROR(ABS(E1963-'02_대상물건입력'!B11)/'02_대상물건입력'!B11,"")</f>
        <v/>
      </c>
      <c r="S1963" s="152">
        <f>IFERROR(ABS(J1963-'02_대상물건입력'!B10),"")</f>
        <v/>
      </c>
      <c r="T1963" s="152">
        <f>IFERROR(ABS('01_설정'!B4-F1963),"")</f>
        <v/>
      </c>
      <c r="U1963" s="152">
        <f>IFERROR(ABS(K1963-YEAR('02_대상물건입력'!B14)),"")</f>
        <v/>
      </c>
      <c r="V1963" s="152">
        <f>IF(B1963="","",IF(AND(E1963&gt;0,F1963&gt;0,H1963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1963=1,TRUE()),R1963&lt;='01_설정'!B5,S1963&lt;='01_설정'!B6,T1963&lt;='01_설정'!B7,U1963&lt;='01_설정'!B8),"Y",""))</f>
        <v/>
      </c>
      <c r="W1963" s="172">
        <f>IF(V1963&lt;&gt;"Y","",MAX(0,(1-R1963/'01_설정'!B5))*'01_설정'!B14+MAX(0,(1-S1963/'01_설정'!B6))*'01_설정'!B15+MAX(0,(1-T1963/'01_설정'!B7))*'01_설정'!B16+MAX(0,(1-U1963/'01_설정'!B8))*'01_설정'!B17+O1963*'01_설정'!B11+Q1963*'01_설정'!B12+P1963*'01_설정'!B13+IF(Z1963="",0,Z1963))</f>
        <v/>
      </c>
      <c r="X1963" s="152">
        <f>IF(W1963="","",1+COUNTIFS($W$4:$W$3003,"&gt;"&amp;W1963)+COUNTIFS($W$4:W1963,W1963)-1)</f>
        <v/>
      </c>
      <c r="Y1963" s="175">
        <f>IF(OR(I1963="",'02_대상물건입력'!B19="",'02_대상물건입력'!B19&lt;=0),"",ABS(I1963-'02_대상물건입력'!B19)/'02_대상물건입력'!B19)</f>
        <v/>
      </c>
      <c r="Z1963" s="172">
        <f>IF(OR(Y1963="",'01_설정'!B31="",'01_설정'!B31&lt;=0,'01_설정'!B32="",'01_설정'!B32&lt;=0),"",MAX(0,(1-Y1963/'01_설정'!B32))*'01_설정'!B31)</f>
        <v/>
      </c>
    </row>
    <row r="1964" ht="17.25" customHeight="1">
      <c r="A1964" s="152">
        <f>IF(INDEX('04A_국토부원자료'!$A:$A,ROW()+1)="","",ROW()-3)</f>
        <v/>
      </c>
      <c r="B1964" s="48">
        <f>IFERROR(INDEX('04A_국토부원자료'!$A:$T,ROW()+1,MATCH("시군구",'04A_국토부원자료'!$A$4:$T$4,0)),"")</f>
        <v/>
      </c>
      <c r="C1964" s="48">
        <f>IF(B1964="","",IFERROR(INDEX('04A_국토부원자료'!$A:$T,ROW()+1,MATCH("번지",'04A_국토부원자료'!$A$4:$T$4,0)),""))</f>
        <v/>
      </c>
      <c r="D1964" s="48">
        <f>IF(B1964="","",IF(Q1964=1,'02_대상물건입력'!$B$8,IFERROR(INDEX('04A_국토부원자료'!$A:$T,ROW()+1,MATCH("단지명",'04A_국토부원자료'!$A$4:$T$4,0)),"")))</f>
        <v/>
      </c>
      <c r="E1964" s="172">
        <f>IFERROR(VALUE(SUBSTITUTE(INDEX('04A_국토부원자료'!$A:$T,ROW()+1,MATCH("전용면적(㎡)",'04A_국토부원자료'!$A$4:$T$4,0)),",","")),"")</f>
        <v/>
      </c>
      <c r="F19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64" s="51">
        <f>IFERROR(VALUE(SUBSTITUTE(INDEX('04A_국토부원자료'!$A:$T,ROW()+1,MATCH("거래금액(만원)",'04A_국토부원자료'!$A$4:$T$4,0)),",","")),"")</f>
        <v/>
      </c>
      <c r="H1964" s="174">
        <f>IF(G1964="","",G1964*10000)</f>
        <v/>
      </c>
      <c r="I1964" s="174">
        <f>IFERROR(IF(AND(H1964&gt;0,E1964&gt;0),H1964/E1964,""),"")</f>
        <v/>
      </c>
      <c r="J1964" s="152">
        <f>IFERROR(VALUE(SUBSTITUTE(INDEX('04A_국토부원자료'!$A:$T,ROW()+1,MATCH("층",'04A_국토부원자료'!$A$4:$T$4,0)),",","")),"")</f>
        <v/>
      </c>
      <c r="K1964" s="152">
        <f>IFERROR(VALUE(SUBSTITUTE(INDEX('04A_국토부원자료'!$A:$T,ROW()+1,MATCH("건축년도",'04A_국토부원자료'!$A$4:$T$4,0)),",","")),"")</f>
        <v/>
      </c>
      <c r="L1964" s="48">
        <f>IFERROR(INDEX('04A_국토부원자료'!$A:$T,ROW()+1,MATCH("도로명",'04A_국토부원자료'!$A$4:$T$4,0)),"")</f>
        <v/>
      </c>
      <c r="M1964" s="48">
        <f>IFERROR(INDEX('04A_국토부원자료'!$A:$T,ROW()+1,MATCH("거래유형",'04A_국토부원자료'!$A$4:$T$4,0)),"")</f>
        <v/>
      </c>
      <c r="N1964" s="152">
        <f>IF(B1964="","",IF('02_대상물건입력'!B5="",1,IF(ISNUMBER(SEARCH('02_대상물건입력'!B5,B1964)),1,0)))</f>
        <v/>
      </c>
      <c r="O1964" s="152">
        <f>IF(B1964="","",IF('02_대상물건입력'!B6="",1,IF(ISNUMBER(SEARCH('02_대상물건입력'!B6,B1964)),1,0)))</f>
        <v/>
      </c>
      <c r="P1964" s="152">
        <f>IF(L1964="","",IF('02_대상물건입력'!B15="",0,IF(ISNUMBER(SEARCH('02_대상물건입력'!B15,L1964)),1,0)))</f>
        <v/>
      </c>
      <c r="Q1964" s="152">
        <f>IF(OR(C1964="",L1964=""),0,IF(AND(TRIM(C1964)=TRIM(RIGHT(SUBSTITUTE(TRIM('02_대상물건입력'!$B$7)," ",REPT(" ",99)),99)),IF('02_대상물건입력'!B15="",TRUE(),ISNUMBER(SEARCH('02_대상물건입력'!B15,L1964)))),1,0))</f>
        <v/>
      </c>
      <c r="R1964" s="175">
        <f>IFERROR(ABS(E1964-'02_대상물건입력'!B11)/'02_대상물건입력'!B11,"")</f>
        <v/>
      </c>
      <c r="S1964" s="152">
        <f>IFERROR(ABS(J1964-'02_대상물건입력'!B10),"")</f>
        <v/>
      </c>
      <c r="T1964" s="152">
        <f>IFERROR(ABS('01_설정'!B4-F1964),"")</f>
        <v/>
      </c>
      <c r="U1964" s="152">
        <f>IFERROR(ABS(K1964-YEAR('02_대상물건입력'!B14)),"")</f>
        <v/>
      </c>
      <c r="V1964" s="152">
        <f>IF(B1964="","",IF(AND(E1964&gt;0,F1964&gt;0,H1964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1964=1,TRUE()),R1964&lt;='01_설정'!B5,S1964&lt;='01_설정'!B6,T1964&lt;='01_설정'!B7,U1964&lt;='01_설정'!B8),"Y",""))</f>
        <v/>
      </c>
      <c r="W1964" s="172">
        <f>IF(V1964&lt;&gt;"Y","",MAX(0,(1-R1964/'01_설정'!B5))*'01_설정'!B14+MAX(0,(1-S1964/'01_설정'!B6))*'01_설정'!B15+MAX(0,(1-T1964/'01_설정'!B7))*'01_설정'!B16+MAX(0,(1-U1964/'01_설정'!B8))*'01_설정'!B17+O1964*'01_설정'!B11+Q1964*'01_설정'!B12+P1964*'01_설정'!B13+IF(Z1964="",0,Z1964))</f>
        <v/>
      </c>
      <c r="X1964" s="152">
        <f>IF(W1964="","",1+COUNTIFS($W$4:$W$3003,"&gt;"&amp;W1964)+COUNTIFS($W$4:W1964,W1964)-1)</f>
        <v/>
      </c>
      <c r="Y1964" s="175">
        <f>IF(OR(I1964="",'02_대상물건입력'!B19="",'02_대상물건입력'!B19&lt;=0),"",ABS(I1964-'02_대상물건입력'!B19)/'02_대상물건입력'!B19)</f>
        <v/>
      </c>
      <c r="Z1964" s="172">
        <f>IF(OR(Y1964="",'01_설정'!B31="",'01_설정'!B31&lt;=0,'01_설정'!B32="",'01_설정'!B32&lt;=0),"",MAX(0,(1-Y1964/'01_설정'!B32))*'01_설정'!B31)</f>
        <v/>
      </c>
    </row>
    <row r="1965" ht="17.25" customHeight="1">
      <c r="A1965" s="152">
        <f>IF(INDEX('04A_국토부원자료'!$A:$A,ROW()+1)="","",ROW()-3)</f>
        <v/>
      </c>
      <c r="B1965" s="48">
        <f>IFERROR(INDEX('04A_국토부원자료'!$A:$T,ROW()+1,MATCH("시군구",'04A_국토부원자료'!$A$4:$T$4,0)),"")</f>
        <v/>
      </c>
      <c r="C1965" s="48">
        <f>IF(B1965="","",IFERROR(INDEX('04A_국토부원자료'!$A:$T,ROW()+1,MATCH("번지",'04A_국토부원자료'!$A$4:$T$4,0)),""))</f>
        <v/>
      </c>
      <c r="D1965" s="48">
        <f>IF(B1965="","",IF(Q1965=1,'02_대상물건입력'!$B$8,IFERROR(INDEX('04A_국토부원자료'!$A:$T,ROW()+1,MATCH("단지명",'04A_국토부원자료'!$A$4:$T$4,0)),"")))</f>
        <v/>
      </c>
      <c r="E1965" s="172">
        <f>IFERROR(VALUE(SUBSTITUTE(INDEX('04A_국토부원자료'!$A:$T,ROW()+1,MATCH("전용면적(㎡)",'04A_국토부원자료'!$A$4:$T$4,0)),",","")),"")</f>
        <v/>
      </c>
      <c r="F19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65" s="51">
        <f>IFERROR(VALUE(SUBSTITUTE(INDEX('04A_국토부원자료'!$A:$T,ROW()+1,MATCH("거래금액(만원)",'04A_국토부원자료'!$A$4:$T$4,0)),",","")),"")</f>
        <v/>
      </c>
      <c r="H1965" s="174">
        <f>IF(G1965="","",G1965*10000)</f>
        <v/>
      </c>
      <c r="I1965" s="174">
        <f>IFERROR(IF(AND(H1965&gt;0,E1965&gt;0),H1965/E1965,""),"")</f>
        <v/>
      </c>
      <c r="J1965" s="152">
        <f>IFERROR(VALUE(SUBSTITUTE(INDEX('04A_국토부원자료'!$A:$T,ROW()+1,MATCH("층",'04A_국토부원자료'!$A$4:$T$4,0)),",","")),"")</f>
        <v/>
      </c>
      <c r="K1965" s="152">
        <f>IFERROR(VALUE(SUBSTITUTE(INDEX('04A_국토부원자료'!$A:$T,ROW()+1,MATCH("건축년도",'04A_국토부원자료'!$A$4:$T$4,0)),",","")),"")</f>
        <v/>
      </c>
      <c r="L1965" s="48">
        <f>IFERROR(INDEX('04A_국토부원자료'!$A:$T,ROW()+1,MATCH("도로명",'04A_국토부원자료'!$A$4:$T$4,0)),"")</f>
        <v/>
      </c>
      <c r="M1965" s="48">
        <f>IFERROR(INDEX('04A_국토부원자료'!$A:$T,ROW()+1,MATCH("거래유형",'04A_국토부원자료'!$A$4:$T$4,0)),"")</f>
        <v/>
      </c>
      <c r="N1965" s="152">
        <f>IF(B1965="","",IF('02_대상물건입력'!B5="",1,IF(ISNUMBER(SEARCH('02_대상물건입력'!B5,B1965)),1,0)))</f>
        <v/>
      </c>
      <c r="O1965" s="152">
        <f>IF(B1965="","",IF('02_대상물건입력'!B6="",1,IF(ISNUMBER(SEARCH('02_대상물건입력'!B6,B1965)),1,0)))</f>
        <v/>
      </c>
      <c r="P1965" s="152">
        <f>IF(L1965="","",IF('02_대상물건입력'!B15="",0,IF(ISNUMBER(SEARCH('02_대상물건입력'!B15,L1965)),1,0)))</f>
        <v/>
      </c>
      <c r="Q1965" s="152">
        <f>IF(OR(C1965="",L1965=""),0,IF(AND(TRIM(C1965)=TRIM(RIGHT(SUBSTITUTE(TRIM('02_대상물건입력'!$B$7)," ",REPT(" ",99)),99)),IF('02_대상물건입력'!B15="",TRUE(),ISNUMBER(SEARCH('02_대상물건입력'!B15,L1965)))),1,0))</f>
        <v/>
      </c>
      <c r="R1965" s="175">
        <f>IFERROR(ABS(E1965-'02_대상물건입력'!B11)/'02_대상물건입력'!B11,"")</f>
        <v/>
      </c>
      <c r="S1965" s="152">
        <f>IFERROR(ABS(J1965-'02_대상물건입력'!B10),"")</f>
        <v/>
      </c>
      <c r="T1965" s="152">
        <f>IFERROR(ABS('01_설정'!B4-F1965),"")</f>
        <v/>
      </c>
      <c r="U1965" s="152">
        <f>IFERROR(ABS(K1965-YEAR('02_대상물건입력'!B14)),"")</f>
        <v/>
      </c>
      <c r="V1965" s="152">
        <f>IF(B1965="","",IF(AND(E1965&gt;0,F1965&gt;0,H1965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1965=1,TRUE()),R1965&lt;='01_설정'!B5,S1965&lt;='01_설정'!B6,T1965&lt;='01_설정'!B7,U1965&lt;='01_설정'!B8),"Y",""))</f>
        <v/>
      </c>
      <c r="W1965" s="172">
        <f>IF(V1965&lt;&gt;"Y","",MAX(0,(1-R1965/'01_설정'!B5))*'01_설정'!B14+MAX(0,(1-S1965/'01_설정'!B6))*'01_설정'!B15+MAX(0,(1-T1965/'01_설정'!B7))*'01_설정'!B16+MAX(0,(1-U1965/'01_설정'!B8))*'01_설정'!B17+O1965*'01_설정'!B11+Q1965*'01_설정'!B12+P1965*'01_설정'!B13+IF(Z1965="",0,Z1965))</f>
        <v/>
      </c>
      <c r="X1965" s="152">
        <f>IF(W1965="","",1+COUNTIFS($W$4:$W$3003,"&gt;"&amp;W1965)+COUNTIFS($W$4:W1965,W1965)-1)</f>
        <v/>
      </c>
      <c r="Y1965" s="175">
        <f>IF(OR(I1965="",'02_대상물건입력'!B19="",'02_대상물건입력'!B19&lt;=0),"",ABS(I1965-'02_대상물건입력'!B19)/'02_대상물건입력'!B19)</f>
        <v/>
      </c>
      <c r="Z1965" s="172">
        <f>IF(OR(Y1965="",'01_설정'!B31="",'01_설정'!B31&lt;=0,'01_설정'!B32="",'01_설정'!B32&lt;=0),"",MAX(0,(1-Y1965/'01_설정'!B32))*'01_설정'!B31)</f>
        <v/>
      </c>
    </row>
    <row r="1966" ht="17.25" customHeight="1">
      <c r="A1966" s="152">
        <f>IF(INDEX('04A_국토부원자료'!$A:$A,ROW()+1)="","",ROW()-3)</f>
        <v/>
      </c>
      <c r="B1966" s="48">
        <f>IFERROR(INDEX('04A_국토부원자료'!$A:$T,ROW()+1,MATCH("시군구",'04A_국토부원자료'!$A$4:$T$4,0)),"")</f>
        <v/>
      </c>
      <c r="C1966" s="48">
        <f>IF(B1966="","",IFERROR(INDEX('04A_국토부원자료'!$A:$T,ROW()+1,MATCH("번지",'04A_국토부원자료'!$A$4:$T$4,0)),""))</f>
        <v/>
      </c>
      <c r="D1966" s="48">
        <f>IF(B1966="","",IF(Q1966=1,'02_대상물건입력'!$B$8,IFERROR(INDEX('04A_국토부원자료'!$A:$T,ROW()+1,MATCH("단지명",'04A_국토부원자료'!$A$4:$T$4,0)),"")))</f>
        <v/>
      </c>
      <c r="E1966" s="172">
        <f>IFERROR(VALUE(SUBSTITUTE(INDEX('04A_국토부원자료'!$A:$T,ROW()+1,MATCH("전용면적(㎡)",'04A_국토부원자료'!$A$4:$T$4,0)),",","")),"")</f>
        <v/>
      </c>
      <c r="F19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66" s="51">
        <f>IFERROR(VALUE(SUBSTITUTE(INDEX('04A_국토부원자료'!$A:$T,ROW()+1,MATCH("거래금액(만원)",'04A_국토부원자료'!$A$4:$T$4,0)),",","")),"")</f>
        <v/>
      </c>
      <c r="H1966" s="174">
        <f>IF(G1966="","",G1966*10000)</f>
        <v/>
      </c>
      <c r="I1966" s="174">
        <f>IFERROR(IF(AND(H1966&gt;0,E1966&gt;0),H1966/E1966,""),"")</f>
        <v/>
      </c>
      <c r="J1966" s="152">
        <f>IFERROR(VALUE(SUBSTITUTE(INDEX('04A_국토부원자료'!$A:$T,ROW()+1,MATCH("층",'04A_국토부원자료'!$A$4:$T$4,0)),",","")),"")</f>
        <v/>
      </c>
      <c r="K1966" s="152">
        <f>IFERROR(VALUE(SUBSTITUTE(INDEX('04A_국토부원자료'!$A:$T,ROW()+1,MATCH("건축년도",'04A_국토부원자료'!$A$4:$T$4,0)),",","")),"")</f>
        <v/>
      </c>
      <c r="L1966" s="48">
        <f>IFERROR(INDEX('04A_국토부원자료'!$A:$T,ROW()+1,MATCH("도로명",'04A_국토부원자료'!$A$4:$T$4,0)),"")</f>
        <v/>
      </c>
      <c r="M1966" s="48">
        <f>IFERROR(INDEX('04A_국토부원자료'!$A:$T,ROW()+1,MATCH("거래유형",'04A_국토부원자료'!$A$4:$T$4,0)),"")</f>
        <v/>
      </c>
      <c r="N1966" s="152">
        <f>IF(B1966="","",IF('02_대상물건입력'!B5="",1,IF(ISNUMBER(SEARCH('02_대상물건입력'!B5,B1966)),1,0)))</f>
        <v/>
      </c>
      <c r="O1966" s="152">
        <f>IF(B1966="","",IF('02_대상물건입력'!B6="",1,IF(ISNUMBER(SEARCH('02_대상물건입력'!B6,B1966)),1,0)))</f>
        <v/>
      </c>
      <c r="P1966" s="152">
        <f>IF(L1966="","",IF('02_대상물건입력'!B15="",0,IF(ISNUMBER(SEARCH('02_대상물건입력'!B15,L1966)),1,0)))</f>
        <v/>
      </c>
      <c r="Q1966" s="152">
        <f>IF(OR(C1966="",L1966=""),0,IF(AND(TRIM(C1966)=TRIM(RIGHT(SUBSTITUTE(TRIM('02_대상물건입력'!$B$7)," ",REPT(" ",99)),99)),IF('02_대상물건입력'!B15="",TRUE(),ISNUMBER(SEARCH('02_대상물건입력'!B15,L1966)))),1,0))</f>
        <v/>
      </c>
      <c r="R1966" s="175">
        <f>IFERROR(ABS(E1966-'02_대상물건입력'!B11)/'02_대상물건입력'!B11,"")</f>
        <v/>
      </c>
      <c r="S1966" s="152">
        <f>IFERROR(ABS(J1966-'02_대상물건입력'!B10),"")</f>
        <v/>
      </c>
      <c r="T1966" s="152">
        <f>IFERROR(ABS('01_설정'!B4-F1966),"")</f>
        <v/>
      </c>
      <c r="U1966" s="152">
        <f>IFERROR(ABS(K1966-YEAR('02_대상물건입력'!B14)),"")</f>
        <v/>
      </c>
      <c r="V1966" s="152">
        <f>IF(B1966="","",IF(AND(E1966&gt;0,F1966&gt;0,H1966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1966=1,TRUE()),R1966&lt;='01_설정'!B5,S1966&lt;='01_설정'!B6,T1966&lt;='01_설정'!B7,U1966&lt;='01_설정'!B8),"Y",""))</f>
        <v/>
      </c>
      <c r="W1966" s="172">
        <f>IF(V1966&lt;&gt;"Y","",MAX(0,(1-R1966/'01_설정'!B5))*'01_설정'!B14+MAX(0,(1-S1966/'01_설정'!B6))*'01_설정'!B15+MAX(0,(1-T1966/'01_설정'!B7))*'01_설정'!B16+MAX(0,(1-U1966/'01_설정'!B8))*'01_설정'!B17+O1966*'01_설정'!B11+Q1966*'01_설정'!B12+P1966*'01_설정'!B13+IF(Z1966="",0,Z1966))</f>
        <v/>
      </c>
      <c r="X1966" s="152">
        <f>IF(W1966="","",1+COUNTIFS($W$4:$W$3003,"&gt;"&amp;W1966)+COUNTIFS($W$4:W1966,W1966)-1)</f>
        <v/>
      </c>
      <c r="Y1966" s="175">
        <f>IF(OR(I1966="",'02_대상물건입력'!B19="",'02_대상물건입력'!B19&lt;=0),"",ABS(I1966-'02_대상물건입력'!B19)/'02_대상물건입력'!B19)</f>
        <v/>
      </c>
      <c r="Z1966" s="172">
        <f>IF(OR(Y1966="",'01_설정'!B31="",'01_설정'!B31&lt;=0,'01_설정'!B32="",'01_설정'!B32&lt;=0),"",MAX(0,(1-Y1966/'01_설정'!B32))*'01_설정'!B31)</f>
        <v/>
      </c>
    </row>
    <row r="1967" ht="17.25" customHeight="1">
      <c r="A1967" s="152">
        <f>IF(INDEX('04A_국토부원자료'!$A:$A,ROW()+1)="","",ROW()-3)</f>
        <v/>
      </c>
      <c r="B1967" s="48">
        <f>IFERROR(INDEX('04A_국토부원자료'!$A:$T,ROW()+1,MATCH("시군구",'04A_국토부원자료'!$A$4:$T$4,0)),"")</f>
        <v/>
      </c>
      <c r="C1967" s="48">
        <f>IF(B1967="","",IFERROR(INDEX('04A_국토부원자료'!$A:$T,ROW()+1,MATCH("번지",'04A_국토부원자료'!$A$4:$T$4,0)),""))</f>
        <v/>
      </c>
      <c r="D1967" s="48">
        <f>IF(B1967="","",IF(Q1967=1,'02_대상물건입력'!$B$8,IFERROR(INDEX('04A_국토부원자료'!$A:$T,ROW()+1,MATCH("단지명",'04A_국토부원자료'!$A$4:$T$4,0)),"")))</f>
        <v/>
      </c>
      <c r="E1967" s="172">
        <f>IFERROR(VALUE(SUBSTITUTE(INDEX('04A_국토부원자료'!$A:$T,ROW()+1,MATCH("전용면적(㎡)",'04A_국토부원자료'!$A$4:$T$4,0)),",","")),"")</f>
        <v/>
      </c>
      <c r="F19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67" s="51">
        <f>IFERROR(VALUE(SUBSTITUTE(INDEX('04A_국토부원자료'!$A:$T,ROW()+1,MATCH("거래금액(만원)",'04A_국토부원자료'!$A$4:$T$4,0)),",","")),"")</f>
        <v/>
      </c>
      <c r="H1967" s="174">
        <f>IF(G1967="","",G1967*10000)</f>
        <v/>
      </c>
      <c r="I1967" s="174">
        <f>IFERROR(IF(AND(H1967&gt;0,E1967&gt;0),H1967/E1967,""),"")</f>
        <v/>
      </c>
      <c r="J1967" s="152">
        <f>IFERROR(VALUE(SUBSTITUTE(INDEX('04A_국토부원자료'!$A:$T,ROW()+1,MATCH("층",'04A_국토부원자료'!$A$4:$T$4,0)),",","")),"")</f>
        <v/>
      </c>
      <c r="K1967" s="152">
        <f>IFERROR(VALUE(SUBSTITUTE(INDEX('04A_국토부원자료'!$A:$T,ROW()+1,MATCH("건축년도",'04A_국토부원자료'!$A$4:$T$4,0)),",","")),"")</f>
        <v/>
      </c>
      <c r="L1967" s="48">
        <f>IFERROR(INDEX('04A_국토부원자료'!$A:$T,ROW()+1,MATCH("도로명",'04A_국토부원자료'!$A$4:$T$4,0)),"")</f>
        <v/>
      </c>
      <c r="M1967" s="48">
        <f>IFERROR(INDEX('04A_국토부원자료'!$A:$T,ROW()+1,MATCH("거래유형",'04A_국토부원자료'!$A$4:$T$4,0)),"")</f>
        <v/>
      </c>
      <c r="N1967" s="152">
        <f>IF(B1967="","",IF('02_대상물건입력'!B5="",1,IF(ISNUMBER(SEARCH('02_대상물건입력'!B5,B1967)),1,0)))</f>
        <v/>
      </c>
      <c r="O1967" s="152">
        <f>IF(B1967="","",IF('02_대상물건입력'!B6="",1,IF(ISNUMBER(SEARCH('02_대상물건입력'!B6,B1967)),1,0)))</f>
        <v/>
      </c>
      <c r="P1967" s="152">
        <f>IF(L1967="","",IF('02_대상물건입력'!B15="",0,IF(ISNUMBER(SEARCH('02_대상물건입력'!B15,L1967)),1,0)))</f>
        <v/>
      </c>
      <c r="Q1967" s="152">
        <f>IF(OR(C1967="",L1967=""),0,IF(AND(TRIM(C1967)=TRIM(RIGHT(SUBSTITUTE(TRIM('02_대상물건입력'!$B$7)," ",REPT(" ",99)),99)),IF('02_대상물건입력'!B15="",TRUE(),ISNUMBER(SEARCH('02_대상물건입력'!B15,L1967)))),1,0))</f>
        <v/>
      </c>
      <c r="R1967" s="175">
        <f>IFERROR(ABS(E1967-'02_대상물건입력'!B11)/'02_대상물건입력'!B11,"")</f>
        <v/>
      </c>
      <c r="S1967" s="152">
        <f>IFERROR(ABS(J1967-'02_대상물건입력'!B10),"")</f>
        <v/>
      </c>
      <c r="T1967" s="152">
        <f>IFERROR(ABS('01_설정'!B4-F1967),"")</f>
        <v/>
      </c>
      <c r="U1967" s="152">
        <f>IFERROR(ABS(K1967-YEAR('02_대상물건입력'!B14)),"")</f>
        <v/>
      </c>
      <c r="V1967" s="152">
        <f>IF(B1967="","",IF(AND(E1967&gt;0,F1967&gt;0,H1967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1967=1,TRUE()),R1967&lt;='01_설정'!B5,S1967&lt;='01_설정'!B6,T1967&lt;='01_설정'!B7,U1967&lt;='01_설정'!B8),"Y",""))</f>
        <v/>
      </c>
      <c r="W1967" s="172">
        <f>IF(V1967&lt;&gt;"Y","",MAX(0,(1-R1967/'01_설정'!B5))*'01_설정'!B14+MAX(0,(1-S1967/'01_설정'!B6))*'01_설정'!B15+MAX(0,(1-T1967/'01_설정'!B7))*'01_설정'!B16+MAX(0,(1-U1967/'01_설정'!B8))*'01_설정'!B17+O1967*'01_설정'!B11+Q1967*'01_설정'!B12+P1967*'01_설정'!B13+IF(Z1967="",0,Z1967))</f>
        <v/>
      </c>
      <c r="X1967" s="152">
        <f>IF(W1967="","",1+COUNTIFS($W$4:$W$3003,"&gt;"&amp;W1967)+COUNTIFS($W$4:W1967,W1967)-1)</f>
        <v/>
      </c>
      <c r="Y1967" s="175">
        <f>IF(OR(I1967="",'02_대상물건입력'!B19="",'02_대상물건입력'!B19&lt;=0),"",ABS(I1967-'02_대상물건입력'!B19)/'02_대상물건입력'!B19)</f>
        <v/>
      </c>
      <c r="Z1967" s="172">
        <f>IF(OR(Y1967="",'01_설정'!B31="",'01_설정'!B31&lt;=0,'01_설정'!B32="",'01_설정'!B32&lt;=0),"",MAX(0,(1-Y1967/'01_설정'!B32))*'01_설정'!B31)</f>
        <v/>
      </c>
    </row>
    <row r="1968" ht="17.25" customHeight="1">
      <c r="A1968" s="152">
        <f>IF(INDEX('04A_국토부원자료'!$A:$A,ROW()+1)="","",ROW()-3)</f>
        <v/>
      </c>
      <c r="B1968" s="48">
        <f>IFERROR(INDEX('04A_국토부원자료'!$A:$T,ROW()+1,MATCH("시군구",'04A_국토부원자료'!$A$4:$T$4,0)),"")</f>
        <v/>
      </c>
      <c r="C1968" s="48">
        <f>IF(B1968="","",IFERROR(INDEX('04A_국토부원자료'!$A:$T,ROW()+1,MATCH("번지",'04A_국토부원자료'!$A$4:$T$4,0)),""))</f>
        <v/>
      </c>
      <c r="D1968" s="48">
        <f>IF(B1968="","",IF(Q1968=1,'02_대상물건입력'!$B$8,IFERROR(INDEX('04A_국토부원자료'!$A:$T,ROW()+1,MATCH("단지명",'04A_국토부원자료'!$A$4:$T$4,0)),"")))</f>
        <v/>
      </c>
      <c r="E1968" s="172">
        <f>IFERROR(VALUE(SUBSTITUTE(INDEX('04A_국토부원자료'!$A:$T,ROW()+1,MATCH("전용면적(㎡)",'04A_국토부원자료'!$A$4:$T$4,0)),",","")),"")</f>
        <v/>
      </c>
      <c r="F19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68" s="51">
        <f>IFERROR(VALUE(SUBSTITUTE(INDEX('04A_국토부원자료'!$A:$T,ROW()+1,MATCH("거래금액(만원)",'04A_국토부원자료'!$A$4:$T$4,0)),",","")),"")</f>
        <v/>
      </c>
      <c r="H1968" s="174">
        <f>IF(G1968="","",G1968*10000)</f>
        <v/>
      </c>
      <c r="I1968" s="174">
        <f>IFERROR(IF(AND(H1968&gt;0,E1968&gt;0),H1968/E1968,""),"")</f>
        <v/>
      </c>
      <c r="J1968" s="152">
        <f>IFERROR(VALUE(SUBSTITUTE(INDEX('04A_국토부원자료'!$A:$T,ROW()+1,MATCH("층",'04A_국토부원자료'!$A$4:$T$4,0)),",","")),"")</f>
        <v/>
      </c>
      <c r="K1968" s="152">
        <f>IFERROR(VALUE(SUBSTITUTE(INDEX('04A_국토부원자료'!$A:$T,ROW()+1,MATCH("건축년도",'04A_국토부원자료'!$A$4:$T$4,0)),",","")),"")</f>
        <v/>
      </c>
      <c r="L1968" s="48">
        <f>IFERROR(INDEX('04A_국토부원자료'!$A:$T,ROW()+1,MATCH("도로명",'04A_국토부원자료'!$A$4:$T$4,0)),"")</f>
        <v/>
      </c>
      <c r="M1968" s="48">
        <f>IFERROR(INDEX('04A_국토부원자료'!$A:$T,ROW()+1,MATCH("거래유형",'04A_국토부원자료'!$A$4:$T$4,0)),"")</f>
        <v/>
      </c>
      <c r="N1968" s="152">
        <f>IF(B1968="","",IF('02_대상물건입력'!B5="",1,IF(ISNUMBER(SEARCH('02_대상물건입력'!B5,B1968)),1,0)))</f>
        <v/>
      </c>
      <c r="O1968" s="152">
        <f>IF(B1968="","",IF('02_대상물건입력'!B6="",1,IF(ISNUMBER(SEARCH('02_대상물건입력'!B6,B1968)),1,0)))</f>
        <v/>
      </c>
      <c r="P1968" s="152">
        <f>IF(L1968="","",IF('02_대상물건입력'!B15="",0,IF(ISNUMBER(SEARCH('02_대상물건입력'!B15,L1968)),1,0)))</f>
        <v/>
      </c>
      <c r="Q1968" s="152">
        <f>IF(OR(C1968="",L1968=""),0,IF(AND(TRIM(C1968)=TRIM(RIGHT(SUBSTITUTE(TRIM('02_대상물건입력'!$B$7)," ",REPT(" ",99)),99)),IF('02_대상물건입력'!B15="",TRUE(),ISNUMBER(SEARCH('02_대상물건입력'!B15,L1968)))),1,0))</f>
        <v/>
      </c>
      <c r="R1968" s="175">
        <f>IFERROR(ABS(E1968-'02_대상물건입력'!B11)/'02_대상물건입력'!B11,"")</f>
        <v/>
      </c>
      <c r="S1968" s="152">
        <f>IFERROR(ABS(J1968-'02_대상물건입력'!B10),"")</f>
        <v/>
      </c>
      <c r="T1968" s="152">
        <f>IFERROR(ABS('01_설정'!B4-F1968),"")</f>
        <v/>
      </c>
      <c r="U1968" s="152">
        <f>IFERROR(ABS(K1968-YEAR('02_대상물건입력'!B14)),"")</f>
        <v/>
      </c>
      <c r="V1968" s="152">
        <f>IF(B1968="","",IF(AND(E1968&gt;0,F1968&gt;0,H1968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1968=1,TRUE()),R1968&lt;='01_설정'!B5,S1968&lt;='01_설정'!B6,T1968&lt;='01_설정'!B7,U1968&lt;='01_설정'!B8),"Y",""))</f>
        <v/>
      </c>
      <c r="W1968" s="172">
        <f>IF(V1968&lt;&gt;"Y","",MAX(0,(1-R1968/'01_설정'!B5))*'01_설정'!B14+MAX(0,(1-S1968/'01_설정'!B6))*'01_설정'!B15+MAX(0,(1-T1968/'01_설정'!B7))*'01_설정'!B16+MAX(0,(1-U1968/'01_설정'!B8))*'01_설정'!B17+O1968*'01_설정'!B11+Q1968*'01_설정'!B12+P1968*'01_설정'!B13+IF(Z1968="",0,Z1968))</f>
        <v/>
      </c>
      <c r="X1968" s="152">
        <f>IF(W1968="","",1+COUNTIFS($W$4:$W$3003,"&gt;"&amp;W1968)+COUNTIFS($W$4:W1968,W1968)-1)</f>
        <v/>
      </c>
      <c r="Y1968" s="175">
        <f>IF(OR(I1968="",'02_대상물건입력'!B19="",'02_대상물건입력'!B19&lt;=0),"",ABS(I1968-'02_대상물건입력'!B19)/'02_대상물건입력'!B19)</f>
        <v/>
      </c>
      <c r="Z1968" s="172">
        <f>IF(OR(Y1968="",'01_설정'!B31="",'01_설정'!B31&lt;=0,'01_설정'!B32="",'01_설정'!B32&lt;=0),"",MAX(0,(1-Y1968/'01_설정'!B32))*'01_설정'!B31)</f>
        <v/>
      </c>
    </row>
    <row r="1969" ht="17.25" customHeight="1">
      <c r="A1969" s="152">
        <f>IF(INDEX('04A_국토부원자료'!$A:$A,ROW()+1)="","",ROW()-3)</f>
        <v/>
      </c>
      <c r="B1969" s="48">
        <f>IFERROR(INDEX('04A_국토부원자료'!$A:$T,ROW()+1,MATCH("시군구",'04A_국토부원자료'!$A$4:$T$4,0)),"")</f>
        <v/>
      </c>
      <c r="C1969" s="48">
        <f>IF(B1969="","",IFERROR(INDEX('04A_국토부원자료'!$A:$T,ROW()+1,MATCH("번지",'04A_국토부원자료'!$A$4:$T$4,0)),""))</f>
        <v/>
      </c>
      <c r="D1969" s="48">
        <f>IF(B1969="","",IF(Q1969=1,'02_대상물건입력'!$B$8,IFERROR(INDEX('04A_국토부원자료'!$A:$T,ROW()+1,MATCH("단지명",'04A_국토부원자료'!$A$4:$T$4,0)),"")))</f>
        <v/>
      </c>
      <c r="E1969" s="172">
        <f>IFERROR(VALUE(SUBSTITUTE(INDEX('04A_국토부원자료'!$A:$T,ROW()+1,MATCH("전용면적(㎡)",'04A_국토부원자료'!$A$4:$T$4,0)),",","")),"")</f>
        <v/>
      </c>
      <c r="F19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69" s="51">
        <f>IFERROR(VALUE(SUBSTITUTE(INDEX('04A_국토부원자료'!$A:$T,ROW()+1,MATCH("거래금액(만원)",'04A_국토부원자료'!$A$4:$T$4,0)),",","")),"")</f>
        <v/>
      </c>
      <c r="H1969" s="174">
        <f>IF(G1969="","",G1969*10000)</f>
        <v/>
      </c>
      <c r="I1969" s="174">
        <f>IFERROR(IF(AND(H1969&gt;0,E1969&gt;0),H1969/E1969,""),"")</f>
        <v/>
      </c>
      <c r="J1969" s="152">
        <f>IFERROR(VALUE(SUBSTITUTE(INDEX('04A_국토부원자료'!$A:$T,ROW()+1,MATCH("층",'04A_국토부원자료'!$A$4:$T$4,0)),",","")),"")</f>
        <v/>
      </c>
      <c r="K1969" s="152">
        <f>IFERROR(VALUE(SUBSTITUTE(INDEX('04A_국토부원자료'!$A:$T,ROW()+1,MATCH("건축년도",'04A_국토부원자료'!$A$4:$T$4,0)),",","")),"")</f>
        <v/>
      </c>
      <c r="L1969" s="48">
        <f>IFERROR(INDEX('04A_국토부원자료'!$A:$T,ROW()+1,MATCH("도로명",'04A_국토부원자료'!$A$4:$T$4,0)),"")</f>
        <v/>
      </c>
      <c r="M1969" s="48">
        <f>IFERROR(INDEX('04A_국토부원자료'!$A:$T,ROW()+1,MATCH("거래유형",'04A_국토부원자료'!$A$4:$T$4,0)),"")</f>
        <v/>
      </c>
      <c r="N1969" s="152">
        <f>IF(B1969="","",IF('02_대상물건입력'!B5="",1,IF(ISNUMBER(SEARCH('02_대상물건입력'!B5,B1969)),1,0)))</f>
        <v/>
      </c>
      <c r="O1969" s="152">
        <f>IF(B1969="","",IF('02_대상물건입력'!B6="",1,IF(ISNUMBER(SEARCH('02_대상물건입력'!B6,B1969)),1,0)))</f>
        <v/>
      </c>
      <c r="P1969" s="152">
        <f>IF(L1969="","",IF('02_대상물건입력'!B15="",0,IF(ISNUMBER(SEARCH('02_대상물건입력'!B15,L1969)),1,0)))</f>
        <v/>
      </c>
      <c r="Q1969" s="152">
        <f>IF(OR(C1969="",L1969=""),0,IF(AND(TRIM(C1969)=TRIM(RIGHT(SUBSTITUTE(TRIM('02_대상물건입력'!$B$7)," ",REPT(" ",99)),99)),IF('02_대상물건입력'!B15="",TRUE(),ISNUMBER(SEARCH('02_대상물건입력'!B15,L1969)))),1,0))</f>
        <v/>
      </c>
      <c r="R1969" s="175">
        <f>IFERROR(ABS(E1969-'02_대상물건입력'!B11)/'02_대상물건입력'!B11,"")</f>
        <v/>
      </c>
      <c r="S1969" s="152">
        <f>IFERROR(ABS(J1969-'02_대상물건입력'!B10),"")</f>
        <v/>
      </c>
      <c r="T1969" s="152">
        <f>IFERROR(ABS('01_설정'!B4-F1969),"")</f>
        <v/>
      </c>
      <c r="U1969" s="152">
        <f>IFERROR(ABS(K1969-YEAR('02_대상물건입력'!B14)),"")</f>
        <v/>
      </c>
      <c r="V1969" s="152">
        <f>IF(B1969="","",IF(AND(E1969&gt;0,F1969&gt;0,H1969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1969=1,TRUE()),R1969&lt;='01_설정'!B5,S1969&lt;='01_설정'!B6,T1969&lt;='01_설정'!B7,U1969&lt;='01_설정'!B8),"Y",""))</f>
        <v/>
      </c>
      <c r="W1969" s="172">
        <f>IF(V1969&lt;&gt;"Y","",MAX(0,(1-R1969/'01_설정'!B5))*'01_설정'!B14+MAX(0,(1-S1969/'01_설정'!B6))*'01_설정'!B15+MAX(0,(1-T1969/'01_설정'!B7))*'01_설정'!B16+MAX(0,(1-U1969/'01_설정'!B8))*'01_설정'!B17+O1969*'01_설정'!B11+Q1969*'01_설정'!B12+P1969*'01_설정'!B13+IF(Z1969="",0,Z1969))</f>
        <v/>
      </c>
      <c r="X1969" s="152">
        <f>IF(W1969="","",1+COUNTIFS($W$4:$W$3003,"&gt;"&amp;W1969)+COUNTIFS($W$4:W1969,W1969)-1)</f>
        <v/>
      </c>
      <c r="Y1969" s="175">
        <f>IF(OR(I1969="",'02_대상물건입력'!B19="",'02_대상물건입력'!B19&lt;=0),"",ABS(I1969-'02_대상물건입력'!B19)/'02_대상물건입력'!B19)</f>
        <v/>
      </c>
      <c r="Z1969" s="172">
        <f>IF(OR(Y1969="",'01_설정'!B31="",'01_설정'!B31&lt;=0,'01_설정'!B32="",'01_설정'!B32&lt;=0),"",MAX(0,(1-Y1969/'01_설정'!B32))*'01_설정'!B31)</f>
        <v/>
      </c>
    </row>
    <row r="1970" ht="17.25" customHeight="1">
      <c r="A1970" s="152">
        <f>IF(INDEX('04A_국토부원자료'!$A:$A,ROW()+1)="","",ROW()-3)</f>
        <v/>
      </c>
      <c r="B1970" s="48">
        <f>IFERROR(INDEX('04A_국토부원자료'!$A:$T,ROW()+1,MATCH("시군구",'04A_국토부원자료'!$A$4:$T$4,0)),"")</f>
        <v/>
      </c>
      <c r="C1970" s="48">
        <f>IF(B1970="","",IFERROR(INDEX('04A_국토부원자료'!$A:$T,ROW()+1,MATCH("번지",'04A_국토부원자료'!$A$4:$T$4,0)),""))</f>
        <v/>
      </c>
      <c r="D1970" s="48">
        <f>IF(B1970="","",IF(Q1970=1,'02_대상물건입력'!$B$8,IFERROR(INDEX('04A_국토부원자료'!$A:$T,ROW()+1,MATCH("단지명",'04A_국토부원자료'!$A$4:$T$4,0)),"")))</f>
        <v/>
      </c>
      <c r="E1970" s="172">
        <f>IFERROR(VALUE(SUBSTITUTE(INDEX('04A_국토부원자료'!$A:$T,ROW()+1,MATCH("전용면적(㎡)",'04A_국토부원자료'!$A$4:$T$4,0)),",","")),"")</f>
        <v/>
      </c>
      <c r="F19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70" s="51">
        <f>IFERROR(VALUE(SUBSTITUTE(INDEX('04A_국토부원자료'!$A:$T,ROW()+1,MATCH("거래금액(만원)",'04A_국토부원자료'!$A$4:$T$4,0)),",","")),"")</f>
        <v/>
      </c>
      <c r="H1970" s="174">
        <f>IF(G1970="","",G1970*10000)</f>
        <v/>
      </c>
      <c r="I1970" s="174">
        <f>IFERROR(IF(AND(H1970&gt;0,E1970&gt;0),H1970/E1970,""),"")</f>
        <v/>
      </c>
      <c r="J1970" s="152">
        <f>IFERROR(VALUE(SUBSTITUTE(INDEX('04A_국토부원자료'!$A:$T,ROW()+1,MATCH("층",'04A_국토부원자료'!$A$4:$T$4,0)),",","")),"")</f>
        <v/>
      </c>
      <c r="K1970" s="152">
        <f>IFERROR(VALUE(SUBSTITUTE(INDEX('04A_국토부원자료'!$A:$T,ROW()+1,MATCH("건축년도",'04A_국토부원자료'!$A$4:$T$4,0)),",","")),"")</f>
        <v/>
      </c>
      <c r="L1970" s="48">
        <f>IFERROR(INDEX('04A_국토부원자료'!$A:$T,ROW()+1,MATCH("도로명",'04A_국토부원자료'!$A$4:$T$4,0)),"")</f>
        <v/>
      </c>
      <c r="M1970" s="48">
        <f>IFERROR(INDEX('04A_국토부원자료'!$A:$T,ROW()+1,MATCH("거래유형",'04A_국토부원자료'!$A$4:$T$4,0)),"")</f>
        <v/>
      </c>
      <c r="N1970" s="152">
        <f>IF(B1970="","",IF('02_대상물건입력'!B5="",1,IF(ISNUMBER(SEARCH('02_대상물건입력'!B5,B1970)),1,0)))</f>
        <v/>
      </c>
      <c r="O1970" s="152">
        <f>IF(B1970="","",IF('02_대상물건입력'!B6="",1,IF(ISNUMBER(SEARCH('02_대상물건입력'!B6,B1970)),1,0)))</f>
        <v/>
      </c>
      <c r="P1970" s="152">
        <f>IF(L1970="","",IF('02_대상물건입력'!B15="",0,IF(ISNUMBER(SEARCH('02_대상물건입력'!B15,L1970)),1,0)))</f>
        <v/>
      </c>
      <c r="Q1970" s="152">
        <f>IF(OR(C1970="",L1970=""),0,IF(AND(TRIM(C1970)=TRIM(RIGHT(SUBSTITUTE(TRIM('02_대상물건입력'!$B$7)," ",REPT(" ",99)),99)),IF('02_대상물건입력'!B15="",TRUE(),ISNUMBER(SEARCH('02_대상물건입력'!B15,L1970)))),1,0))</f>
        <v/>
      </c>
      <c r="R1970" s="175">
        <f>IFERROR(ABS(E1970-'02_대상물건입력'!B11)/'02_대상물건입력'!B11,"")</f>
        <v/>
      </c>
      <c r="S1970" s="152">
        <f>IFERROR(ABS(J1970-'02_대상물건입력'!B10),"")</f>
        <v/>
      </c>
      <c r="T1970" s="152">
        <f>IFERROR(ABS('01_설정'!B4-F1970),"")</f>
        <v/>
      </c>
      <c r="U1970" s="152">
        <f>IFERROR(ABS(K1970-YEAR('02_대상물건입력'!B14)),"")</f>
        <v/>
      </c>
      <c r="V1970" s="152">
        <f>IF(B1970="","",IF(AND(E1970&gt;0,F1970&gt;0,H1970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1970=1,TRUE()),R1970&lt;='01_설정'!B5,S1970&lt;='01_설정'!B6,T1970&lt;='01_설정'!B7,U1970&lt;='01_설정'!B8),"Y",""))</f>
        <v/>
      </c>
      <c r="W1970" s="172">
        <f>IF(V1970&lt;&gt;"Y","",MAX(0,(1-R1970/'01_설정'!B5))*'01_설정'!B14+MAX(0,(1-S1970/'01_설정'!B6))*'01_설정'!B15+MAX(0,(1-T1970/'01_설정'!B7))*'01_설정'!B16+MAX(0,(1-U1970/'01_설정'!B8))*'01_설정'!B17+O1970*'01_설정'!B11+Q1970*'01_설정'!B12+P1970*'01_설정'!B13+IF(Z1970="",0,Z1970))</f>
        <v/>
      </c>
      <c r="X1970" s="152">
        <f>IF(W1970="","",1+COUNTIFS($W$4:$W$3003,"&gt;"&amp;W1970)+COUNTIFS($W$4:W1970,W1970)-1)</f>
        <v/>
      </c>
      <c r="Y1970" s="175">
        <f>IF(OR(I1970="",'02_대상물건입력'!B19="",'02_대상물건입력'!B19&lt;=0),"",ABS(I1970-'02_대상물건입력'!B19)/'02_대상물건입력'!B19)</f>
        <v/>
      </c>
      <c r="Z1970" s="172">
        <f>IF(OR(Y1970="",'01_설정'!B31="",'01_설정'!B31&lt;=0,'01_설정'!B32="",'01_설정'!B32&lt;=0),"",MAX(0,(1-Y1970/'01_설정'!B32))*'01_설정'!B31)</f>
        <v/>
      </c>
    </row>
    <row r="1971" ht="17.25" customHeight="1">
      <c r="A1971" s="152">
        <f>IF(INDEX('04A_국토부원자료'!$A:$A,ROW()+1)="","",ROW()-3)</f>
        <v/>
      </c>
      <c r="B1971" s="48">
        <f>IFERROR(INDEX('04A_국토부원자료'!$A:$T,ROW()+1,MATCH("시군구",'04A_국토부원자료'!$A$4:$T$4,0)),"")</f>
        <v/>
      </c>
      <c r="C1971" s="48">
        <f>IF(B1971="","",IFERROR(INDEX('04A_국토부원자료'!$A:$T,ROW()+1,MATCH("번지",'04A_국토부원자료'!$A$4:$T$4,0)),""))</f>
        <v/>
      </c>
      <c r="D1971" s="48">
        <f>IF(B1971="","",IF(Q1971=1,'02_대상물건입력'!$B$8,IFERROR(INDEX('04A_국토부원자료'!$A:$T,ROW()+1,MATCH("단지명",'04A_국토부원자료'!$A$4:$T$4,0)),"")))</f>
        <v/>
      </c>
      <c r="E1971" s="172">
        <f>IFERROR(VALUE(SUBSTITUTE(INDEX('04A_국토부원자료'!$A:$T,ROW()+1,MATCH("전용면적(㎡)",'04A_국토부원자료'!$A$4:$T$4,0)),",","")),"")</f>
        <v/>
      </c>
      <c r="F19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71" s="51">
        <f>IFERROR(VALUE(SUBSTITUTE(INDEX('04A_국토부원자료'!$A:$T,ROW()+1,MATCH("거래금액(만원)",'04A_국토부원자료'!$A$4:$T$4,0)),",","")),"")</f>
        <v/>
      </c>
      <c r="H1971" s="174">
        <f>IF(G1971="","",G1971*10000)</f>
        <v/>
      </c>
      <c r="I1971" s="174">
        <f>IFERROR(IF(AND(H1971&gt;0,E1971&gt;0),H1971/E1971,""),"")</f>
        <v/>
      </c>
      <c r="J1971" s="152">
        <f>IFERROR(VALUE(SUBSTITUTE(INDEX('04A_국토부원자료'!$A:$T,ROW()+1,MATCH("층",'04A_국토부원자료'!$A$4:$T$4,0)),",","")),"")</f>
        <v/>
      </c>
      <c r="K1971" s="152">
        <f>IFERROR(VALUE(SUBSTITUTE(INDEX('04A_국토부원자료'!$A:$T,ROW()+1,MATCH("건축년도",'04A_국토부원자료'!$A$4:$T$4,0)),",","")),"")</f>
        <v/>
      </c>
      <c r="L1971" s="48">
        <f>IFERROR(INDEX('04A_국토부원자료'!$A:$T,ROW()+1,MATCH("도로명",'04A_국토부원자료'!$A$4:$T$4,0)),"")</f>
        <v/>
      </c>
      <c r="M1971" s="48">
        <f>IFERROR(INDEX('04A_국토부원자료'!$A:$T,ROW()+1,MATCH("거래유형",'04A_국토부원자료'!$A$4:$T$4,0)),"")</f>
        <v/>
      </c>
      <c r="N1971" s="152">
        <f>IF(B1971="","",IF('02_대상물건입력'!B5="",1,IF(ISNUMBER(SEARCH('02_대상물건입력'!B5,B1971)),1,0)))</f>
        <v/>
      </c>
      <c r="O1971" s="152">
        <f>IF(B1971="","",IF('02_대상물건입력'!B6="",1,IF(ISNUMBER(SEARCH('02_대상물건입력'!B6,B1971)),1,0)))</f>
        <v/>
      </c>
      <c r="P1971" s="152">
        <f>IF(L1971="","",IF('02_대상물건입력'!B15="",0,IF(ISNUMBER(SEARCH('02_대상물건입력'!B15,L1971)),1,0)))</f>
        <v/>
      </c>
      <c r="Q1971" s="152">
        <f>IF(OR(C1971="",L1971=""),0,IF(AND(TRIM(C1971)=TRIM(RIGHT(SUBSTITUTE(TRIM('02_대상물건입력'!$B$7)," ",REPT(" ",99)),99)),IF('02_대상물건입력'!B15="",TRUE(),ISNUMBER(SEARCH('02_대상물건입력'!B15,L1971)))),1,0))</f>
        <v/>
      </c>
      <c r="R1971" s="175">
        <f>IFERROR(ABS(E1971-'02_대상물건입력'!B11)/'02_대상물건입력'!B11,"")</f>
        <v/>
      </c>
      <c r="S1971" s="152">
        <f>IFERROR(ABS(J1971-'02_대상물건입력'!B10),"")</f>
        <v/>
      </c>
      <c r="T1971" s="152">
        <f>IFERROR(ABS('01_설정'!B4-F1971),"")</f>
        <v/>
      </c>
      <c r="U1971" s="152">
        <f>IFERROR(ABS(K1971-YEAR('02_대상물건입력'!B14)),"")</f>
        <v/>
      </c>
      <c r="V1971" s="152">
        <f>IF(B1971="","",IF(AND(E1971&gt;0,F1971&gt;0,H1971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1971=1,TRUE()),R1971&lt;='01_설정'!B5,S1971&lt;='01_설정'!B6,T1971&lt;='01_설정'!B7,U1971&lt;='01_설정'!B8),"Y",""))</f>
        <v/>
      </c>
      <c r="W1971" s="172">
        <f>IF(V1971&lt;&gt;"Y","",MAX(0,(1-R1971/'01_설정'!B5))*'01_설정'!B14+MAX(0,(1-S1971/'01_설정'!B6))*'01_설정'!B15+MAX(0,(1-T1971/'01_설정'!B7))*'01_설정'!B16+MAX(0,(1-U1971/'01_설정'!B8))*'01_설정'!B17+O1971*'01_설정'!B11+Q1971*'01_설정'!B12+P1971*'01_설정'!B13+IF(Z1971="",0,Z1971))</f>
        <v/>
      </c>
      <c r="X1971" s="152">
        <f>IF(W1971="","",1+COUNTIFS($W$4:$W$3003,"&gt;"&amp;W1971)+COUNTIFS($W$4:W1971,W1971)-1)</f>
        <v/>
      </c>
      <c r="Y1971" s="175">
        <f>IF(OR(I1971="",'02_대상물건입력'!B19="",'02_대상물건입력'!B19&lt;=0),"",ABS(I1971-'02_대상물건입력'!B19)/'02_대상물건입력'!B19)</f>
        <v/>
      </c>
      <c r="Z1971" s="172">
        <f>IF(OR(Y1971="",'01_설정'!B31="",'01_설정'!B31&lt;=0,'01_설정'!B32="",'01_설정'!B32&lt;=0),"",MAX(0,(1-Y1971/'01_설정'!B32))*'01_설정'!B31)</f>
        <v/>
      </c>
    </row>
    <row r="1972" ht="17.25" customHeight="1">
      <c r="A1972" s="152">
        <f>IF(INDEX('04A_국토부원자료'!$A:$A,ROW()+1)="","",ROW()-3)</f>
        <v/>
      </c>
      <c r="B1972" s="48">
        <f>IFERROR(INDEX('04A_국토부원자료'!$A:$T,ROW()+1,MATCH("시군구",'04A_국토부원자료'!$A$4:$T$4,0)),"")</f>
        <v/>
      </c>
      <c r="C1972" s="48">
        <f>IF(B1972="","",IFERROR(INDEX('04A_국토부원자료'!$A:$T,ROW()+1,MATCH("번지",'04A_국토부원자료'!$A$4:$T$4,0)),""))</f>
        <v/>
      </c>
      <c r="D1972" s="48">
        <f>IF(B1972="","",IF(Q1972=1,'02_대상물건입력'!$B$8,IFERROR(INDEX('04A_국토부원자료'!$A:$T,ROW()+1,MATCH("단지명",'04A_국토부원자료'!$A$4:$T$4,0)),"")))</f>
        <v/>
      </c>
      <c r="E1972" s="172">
        <f>IFERROR(VALUE(SUBSTITUTE(INDEX('04A_국토부원자료'!$A:$T,ROW()+1,MATCH("전용면적(㎡)",'04A_국토부원자료'!$A$4:$T$4,0)),",","")),"")</f>
        <v/>
      </c>
      <c r="F19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72" s="51">
        <f>IFERROR(VALUE(SUBSTITUTE(INDEX('04A_국토부원자료'!$A:$T,ROW()+1,MATCH("거래금액(만원)",'04A_국토부원자료'!$A$4:$T$4,0)),",","")),"")</f>
        <v/>
      </c>
      <c r="H1972" s="174">
        <f>IF(G1972="","",G1972*10000)</f>
        <v/>
      </c>
      <c r="I1972" s="174">
        <f>IFERROR(IF(AND(H1972&gt;0,E1972&gt;0),H1972/E1972,""),"")</f>
        <v/>
      </c>
      <c r="J1972" s="152">
        <f>IFERROR(VALUE(SUBSTITUTE(INDEX('04A_국토부원자료'!$A:$T,ROW()+1,MATCH("층",'04A_국토부원자료'!$A$4:$T$4,0)),",","")),"")</f>
        <v/>
      </c>
      <c r="K1972" s="152">
        <f>IFERROR(VALUE(SUBSTITUTE(INDEX('04A_국토부원자료'!$A:$T,ROW()+1,MATCH("건축년도",'04A_국토부원자료'!$A$4:$T$4,0)),",","")),"")</f>
        <v/>
      </c>
      <c r="L1972" s="48">
        <f>IFERROR(INDEX('04A_국토부원자료'!$A:$T,ROW()+1,MATCH("도로명",'04A_국토부원자료'!$A$4:$T$4,0)),"")</f>
        <v/>
      </c>
      <c r="M1972" s="48">
        <f>IFERROR(INDEX('04A_국토부원자료'!$A:$T,ROW()+1,MATCH("거래유형",'04A_국토부원자료'!$A$4:$T$4,0)),"")</f>
        <v/>
      </c>
      <c r="N1972" s="152">
        <f>IF(B1972="","",IF('02_대상물건입력'!B5="",1,IF(ISNUMBER(SEARCH('02_대상물건입력'!B5,B1972)),1,0)))</f>
        <v/>
      </c>
      <c r="O1972" s="152">
        <f>IF(B1972="","",IF('02_대상물건입력'!B6="",1,IF(ISNUMBER(SEARCH('02_대상물건입력'!B6,B1972)),1,0)))</f>
        <v/>
      </c>
      <c r="P1972" s="152">
        <f>IF(L1972="","",IF('02_대상물건입력'!B15="",0,IF(ISNUMBER(SEARCH('02_대상물건입력'!B15,L1972)),1,0)))</f>
        <v/>
      </c>
      <c r="Q1972" s="152">
        <f>IF(OR(C1972="",L1972=""),0,IF(AND(TRIM(C1972)=TRIM(RIGHT(SUBSTITUTE(TRIM('02_대상물건입력'!$B$7)," ",REPT(" ",99)),99)),IF('02_대상물건입력'!B15="",TRUE(),ISNUMBER(SEARCH('02_대상물건입력'!B15,L1972)))),1,0))</f>
        <v/>
      </c>
      <c r="R1972" s="175">
        <f>IFERROR(ABS(E1972-'02_대상물건입력'!B11)/'02_대상물건입력'!B11,"")</f>
        <v/>
      </c>
      <c r="S1972" s="152">
        <f>IFERROR(ABS(J1972-'02_대상물건입력'!B10),"")</f>
        <v/>
      </c>
      <c r="T1972" s="152">
        <f>IFERROR(ABS('01_설정'!B4-F1972),"")</f>
        <v/>
      </c>
      <c r="U1972" s="152">
        <f>IFERROR(ABS(K1972-YEAR('02_대상물건입력'!B14)),"")</f>
        <v/>
      </c>
      <c r="V1972" s="152">
        <f>IF(B1972="","",IF(AND(E1972&gt;0,F1972&gt;0,H1972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1972=1,TRUE()),R1972&lt;='01_설정'!B5,S1972&lt;='01_설정'!B6,T1972&lt;='01_설정'!B7,U1972&lt;='01_설정'!B8),"Y",""))</f>
        <v/>
      </c>
      <c r="W1972" s="172">
        <f>IF(V1972&lt;&gt;"Y","",MAX(0,(1-R1972/'01_설정'!B5))*'01_설정'!B14+MAX(0,(1-S1972/'01_설정'!B6))*'01_설정'!B15+MAX(0,(1-T1972/'01_설정'!B7))*'01_설정'!B16+MAX(0,(1-U1972/'01_설정'!B8))*'01_설정'!B17+O1972*'01_설정'!B11+Q1972*'01_설정'!B12+P1972*'01_설정'!B13+IF(Z1972="",0,Z1972))</f>
        <v/>
      </c>
      <c r="X1972" s="152">
        <f>IF(W1972="","",1+COUNTIFS($W$4:$W$3003,"&gt;"&amp;W1972)+COUNTIFS($W$4:W1972,W1972)-1)</f>
        <v/>
      </c>
      <c r="Y1972" s="175">
        <f>IF(OR(I1972="",'02_대상물건입력'!B19="",'02_대상물건입력'!B19&lt;=0),"",ABS(I1972-'02_대상물건입력'!B19)/'02_대상물건입력'!B19)</f>
        <v/>
      </c>
      <c r="Z1972" s="172">
        <f>IF(OR(Y1972="",'01_설정'!B31="",'01_설정'!B31&lt;=0,'01_설정'!B32="",'01_설정'!B32&lt;=0),"",MAX(0,(1-Y1972/'01_설정'!B32))*'01_설정'!B31)</f>
        <v/>
      </c>
    </row>
    <row r="1973" ht="17.25" customHeight="1">
      <c r="A1973" s="152">
        <f>IF(INDEX('04A_국토부원자료'!$A:$A,ROW()+1)="","",ROW()-3)</f>
        <v/>
      </c>
      <c r="B1973" s="48">
        <f>IFERROR(INDEX('04A_국토부원자료'!$A:$T,ROW()+1,MATCH("시군구",'04A_국토부원자료'!$A$4:$T$4,0)),"")</f>
        <v/>
      </c>
      <c r="C1973" s="48">
        <f>IF(B1973="","",IFERROR(INDEX('04A_국토부원자료'!$A:$T,ROW()+1,MATCH("번지",'04A_국토부원자료'!$A$4:$T$4,0)),""))</f>
        <v/>
      </c>
      <c r="D1973" s="48">
        <f>IF(B1973="","",IF(Q1973=1,'02_대상물건입력'!$B$8,IFERROR(INDEX('04A_국토부원자료'!$A:$T,ROW()+1,MATCH("단지명",'04A_국토부원자료'!$A$4:$T$4,0)),"")))</f>
        <v/>
      </c>
      <c r="E1973" s="172">
        <f>IFERROR(VALUE(SUBSTITUTE(INDEX('04A_국토부원자료'!$A:$T,ROW()+1,MATCH("전용면적(㎡)",'04A_국토부원자료'!$A$4:$T$4,0)),",","")),"")</f>
        <v/>
      </c>
      <c r="F19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73" s="51">
        <f>IFERROR(VALUE(SUBSTITUTE(INDEX('04A_국토부원자료'!$A:$T,ROW()+1,MATCH("거래금액(만원)",'04A_국토부원자료'!$A$4:$T$4,0)),",","")),"")</f>
        <v/>
      </c>
      <c r="H1973" s="174">
        <f>IF(G1973="","",G1973*10000)</f>
        <v/>
      </c>
      <c r="I1973" s="174">
        <f>IFERROR(IF(AND(H1973&gt;0,E1973&gt;0),H1973/E1973,""),"")</f>
        <v/>
      </c>
      <c r="J1973" s="152">
        <f>IFERROR(VALUE(SUBSTITUTE(INDEX('04A_국토부원자료'!$A:$T,ROW()+1,MATCH("층",'04A_국토부원자료'!$A$4:$T$4,0)),",","")),"")</f>
        <v/>
      </c>
      <c r="K1973" s="152">
        <f>IFERROR(VALUE(SUBSTITUTE(INDEX('04A_국토부원자료'!$A:$T,ROW()+1,MATCH("건축년도",'04A_국토부원자료'!$A$4:$T$4,0)),",","")),"")</f>
        <v/>
      </c>
      <c r="L1973" s="48">
        <f>IFERROR(INDEX('04A_국토부원자료'!$A:$T,ROW()+1,MATCH("도로명",'04A_국토부원자료'!$A$4:$T$4,0)),"")</f>
        <v/>
      </c>
      <c r="M1973" s="48">
        <f>IFERROR(INDEX('04A_국토부원자료'!$A:$T,ROW()+1,MATCH("거래유형",'04A_국토부원자료'!$A$4:$T$4,0)),"")</f>
        <v/>
      </c>
      <c r="N1973" s="152">
        <f>IF(B1973="","",IF('02_대상물건입력'!B5="",1,IF(ISNUMBER(SEARCH('02_대상물건입력'!B5,B1973)),1,0)))</f>
        <v/>
      </c>
      <c r="O1973" s="152">
        <f>IF(B1973="","",IF('02_대상물건입력'!B6="",1,IF(ISNUMBER(SEARCH('02_대상물건입력'!B6,B1973)),1,0)))</f>
        <v/>
      </c>
      <c r="P1973" s="152">
        <f>IF(L1973="","",IF('02_대상물건입력'!B15="",0,IF(ISNUMBER(SEARCH('02_대상물건입력'!B15,L1973)),1,0)))</f>
        <v/>
      </c>
      <c r="Q1973" s="152">
        <f>IF(OR(C1973="",L1973=""),0,IF(AND(TRIM(C1973)=TRIM(RIGHT(SUBSTITUTE(TRIM('02_대상물건입력'!$B$7)," ",REPT(" ",99)),99)),IF('02_대상물건입력'!B15="",TRUE(),ISNUMBER(SEARCH('02_대상물건입력'!B15,L1973)))),1,0))</f>
        <v/>
      </c>
      <c r="R1973" s="175">
        <f>IFERROR(ABS(E1973-'02_대상물건입력'!B11)/'02_대상물건입력'!B11,"")</f>
        <v/>
      </c>
      <c r="S1973" s="152">
        <f>IFERROR(ABS(J1973-'02_대상물건입력'!B10),"")</f>
        <v/>
      </c>
      <c r="T1973" s="152">
        <f>IFERROR(ABS('01_설정'!B4-F1973),"")</f>
        <v/>
      </c>
      <c r="U1973" s="152">
        <f>IFERROR(ABS(K1973-YEAR('02_대상물건입력'!B14)),"")</f>
        <v/>
      </c>
      <c r="V1973" s="152">
        <f>IF(B1973="","",IF(AND(E1973&gt;0,F1973&gt;0,H1973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1973=1,TRUE()),R1973&lt;='01_설정'!B5,S1973&lt;='01_설정'!B6,T1973&lt;='01_설정'!B7,U1973&lt;='01_설정'!B8),"Y",""))</f>
        <v/>
      </c>
      <c r="W1973" s="172">
        <f>IF(V1973&lt;&gt;"Y","",MAX(0,(1-R1973/'01_설정'!B5))*'01_설정'!B14+MAX(0,(1-S1973/'01_설정'!B6))*'01_설정'!B15+MAX(0,(1-T1973/'01_설정'!B7))*'01_설정'!B16+MAX(0,(1-U1973/'01_설정'!B8))*'01_설정'!B17+O1973*'01_설정'!B11+Q1973*'01_설정'!B12+P1973*'01_설정'!B13+IF(Z1973="",0,Z1973))</f>
        <v/>
      </c>
      <c r="X1973" s="152">
        <f>IF(W1973="","",1+COUNTIFS($W$4:$W$3003,"&gt;"&amp;W1973)+COUNTIFS($W$4:W1973,W1973)-1)</f>
        <v/>
      </c>
      <c r="Y1973" s="175">
        <f>IF(OR(I1973="",'02_대상물건입력'!B19="",'02_대상물건입력'!B19&lt;=0),"",ABS(I1973-'02_대상물건입력'!B19)/'02_대상물건입력'!B19)</f>
        <v/>
      </c>
      <c r="Z1973" s="172">
        <f>IF(OR(Y1973="",'01_설정'!B31="",'01_설정'!B31&lt;=0,'01_설정'!B32="",'01_설정'!B32&lt;=0),"",MAX(0,(1-Y1973/'01_설정'!B32))*'01_설정'!B31)</f>
        <v/>
      </c>
    </row>
    <row r="1974" ht="17.25" customHeight="1">
      <c r="A1974" s="152">
        <f>IF(INDEX('04A_국토부원자료'!$A:$A,ROW()+1)="","",ROW()-3)</f>
        <v/>
      </c>
      <c r="B1974" s="48">
        <f>IFERROR(INDEX('04A_국토부원자료'!$A:$T,ROW()+1,MATCH("시군구",'04A_국토부원자료'!$A$4:$T$4,0)),"")</f>
        <v/>
      </c>
      <c r="C1974" s="48">
        <f>IF(B1974="","",IFERROR(INDEX('04A_국토부원자료'!$A:$T,ROW()+1,MATCH("번지",'04A_국토부원자료'!$A$4:$T$4,0)),""))</f>
        <v/>
      </c>
      <c r="D1974" s="48">
        <f>IF(B1974="","",IF(Q1974=1,'02_대상물건입력'!$B$8,IFERROR(INDEX('04A_국토부원자료'!$A:$T,ROW()+1,MATCH("단지명",'04A_국토부원자료'!$A$4:$T$4,0)),"")))</f>
        <v/>
      </c>
      <c r="E1974" s="172">
        <f>IFERROR(VALUE(SUBSTITUTE(INDEX('04A_국토부원자료'!$A:$T,ROW()+1,MATCH("전용면적(㎡)",'04A_국토부원자료'!$A$4:$T$4,0)),",","")),"")</f>
        <v/>
      </c>
      <c r="F19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74" s="51">
        <f>IFERROR(VALUE(SUBSTITUTE(INDEX('04A_국토부원자료'!$A:$T,ROW()+1,MATCH("거래금액(만원)",'04A_국토부원자료'!$A$4:$T$4,0)),",","")),"")</f>
        <v/>
      </c>
      <c r="H1974" s="174">
        <f>IF(G1974="","",G1974*10000)</f>
        <v/>
      </c>
      <c r="I1974" s="174">
        <f>IFERROR(IF(AND(H1974&gt;0,E1974&gt;0),H1974/E1974,""),"")</f>
        <v/>
      </c>
      <c r="J1974" s="152">
        <f>IFERROR(VALUE(SUBSTITUTE(INDEX('04A_국토부원자료'!$A:$T,ROW()+1,MATCH("층",'04A_국토부원자료'!$A$4:$T$4,0)),",","")),"")</f>
        <v/>
      </c>
      <c r="K1974" s="152">
        <f>IFERROR(VALUE(SUBSTITUTE(INDEX('04A_국토부원자료'!$A:$T,ROW()+1,MATCH("건축년도",'04A_국토부원자료'!$A$4:$T$4,0)),",","")),"")</f>
        <v/>
      </c>
      <c r="L1974" s="48">
        <f>IFERROR(INDEX('04A_국토부원자료'!$A:$T,ROW()+1,MATCH("도로명",'04A_국토부원자료'!$A$4:$T$4,0)),"")</f>
        <v/>
      </c>
      <c r="M1974" s="48">
        <f>IFERROR(INDEX('04A_국토부원자료'!$A:$T,ROW()+1,MATCH("거래유형",'04A_국토부원자료'!$A$4:$T$4,0)),"")</f>
        <v/>
      </c>
      <c r="N1974" s="152">
        <f>IF(B1974="","",IF('02_대상물건입력'!B5="",1,IF(ISNUMBER(SEARCH('02_대상물건입력'!B5,B1974)),1,0)))</f>
        <v/>
      </c>
      <c r="O1974" s="152">
        <f>IF(B1974="","",IF('02_대상물건입력'!B6="",1,IF(ISNUMBER(SEARCH('02_대상물건입력'!B6,B1974)),1,0)))</f>
        <v/>
      </c>
      <c r="P1974" s="152">
        <f>IF(L1974="","",IF('02_대상물건입력'!B15="",0,IF(ISNUMBER(SEARCH('02_대상물건입력'!B15,L1974)),1,0)))</f>
        <v/>
      </c>
      <c r="Q1974" s="152">
        <f>IF(OR(C1974="",L1974=""),0,IF(AND(TRIM(C1974)=TRIM(RIGHT(SUBSTITUTE(TRIM('02_대상물건입력'!$B$7)," ",REPT(" ",99)),99)),IF('02_대상물건입력'!B15="",TRUE(),ISNUMBER(SEARCH('02_대상물건입력'!B15,L1974)))),1,0))</f>
        <v/>
      </c>
      <c r="R1974" s="175">
        <f>IFERROR(ABS(E1974-'02_대상물건입력'!B11)/'02_대상물건입력'!B11,"")</f>
        <v/>
      </c>
      <c r="S1974" s="152">
        <f>IFERROR(ABS(J1974-'02_대상물건입력'!B10),"")</f>
        <v/>
      </c>
      <c r="T1974" s="152">
        <f>IFERROR(ABS('01_설정'!B4-F1974),"")</f>
        <v/>
      </c>
      <c r="U1974" s="152">
        <f>IFERROR(ABS(K1974-YEAR('02_대상물건입력'!B14)),"")</f>
        <v/>
      </c>
      <c r="V1974" s="152">
        <f>IF(B1974="","",IF(AND(E1974&gt;0,F1974&gt;0,H1974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1974=1,TRUE()),R1974&lt;='01_설정'!B5,S1974&lt;='01_설정'!B6,T1974&lt;='01_설정'!B7,U1974&lt;='01_설정'!B8),"Y",""))</f>
        <v/>
      </c>
      <c r="W1974" s="172">
        <f>IF(V1974&lt;&gt;"Y","",MAX(0,(1-R1974/'01_설정'!B5))*'01_설정'!B14+MAX(0,(1-S1974/'01_설정'!B6))*'01_설정'!B15+MAX(0,(1-T1974/'01_설정'!B7))*'01_설정'!B16+MAX(0,(1-U1974/'01_설정'!B8))*'01_설정'!B17+O1974*'01_설정'!B11+Q1974*'01_설정'!B12+P1974*'01_설정'!B13+IF(Z1974="",0,Z1974))</f>
        <v/>
      </c>
      <c r="X1974" s="152">
        <f>IF(W1974="","",1+COUNTIFS($W$4:$W$3003,"&gt;"&amp;W1974)+COUNTIFS($W$4:W1974,W1974)-1)</f>
        <v/>
      </c>
      <c r="Y1974" s="175">
        <f>IF(OR(I1974="",'02_대상물건입력'!B19="",'02_대상물건입력'!B19&lt;=0),"",ABS(I1974-'02_대상물건입력'!B19)/'02_대상물건입력'!B19)</f>
        <v/>
      </c>
      <c r="Z1974" s="172">
        <f>IF(OR(Y1974="",'01_설정'!B31="",'01_설정'!B31&lt;=0,'01_설정'!B32="",'01_설정'!B32&lt;=0),"",MAX(0,(1-Y1974/'01_설정'!B32))*'01_설정'!B31)</f>
        <v/>
      </c>
    </row>
    <row r="1975" ht="17.25" customHeight="1">
      <c r="A1975" s="152">
        <f>IF(INDEX('04A_국토부원자료'!$A:$A,ROW()+1)="","",ROW()-3)</f>
        <v/>
      </c>
      <c r="B1975" s="48">
        <f>IFERROR(INDEX('04A_국토부원자료'!$A:$T,ROW()+1,MATCH("시군구",'04A_국토부원자료'!$A$4:$T$4,0)),"")</f>
        <v/>
      </c>
      <c r="C1975" s="48">
        <f>IF(B1975="","",IFERROR(INDEX('04A_국토부원자료'!$A:$T,ROW()+1,MATCH("번지",'04A_국토부원자료'!$A$4:$T$4,0)),""))</f>
        <v/>
      </c>
      <c r="D1975" s="48">
        <f>IF(B1975="","",IF(Q1975=1,'02_대상물건입력'!$B$8,IFERROR(INDEX('04A_국토부원자료'!$A:$T,ROW()+1,MATCH("단지명",'04A_국토부원자료'!$A$4:$T$4,0)),"")))</f>
        <v/>
      </c>
      <c r="E1975" s="172">
        <f>IFERROR(VALUE(SUBSTITUTE(INDEX('04A_국토부원자료'!$A:$T,ROW()+1,MATCH("전용면적(㎡)",'04A_국토부원자료'!$A$4:$T$4,0)),",","")),"")</f>
        <v/>
      </c>
      <c r="F19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75" s="51">
        <f>IFERROR(VALUE(SUBSTITUTE(INDEX('04A_국토부원자료'!$A:$T,ROW()+1,MATCH("거래금액(만원)",'04A_국토부원자료'!$A$4:$T$4,0)),",","")),"")</f>
        <v/>
      </c>
      <c r="H1975" s="174">
        <f>IF(G1975="","",G1975*10000)</f>
        <v/>
      </c>
      <c r="I1975" s="174">
        <f>IFERROR(IF(AND(H1975&gt;0,E1975&gt;0),H1975/E1975,""),"")</f>
        <v/>
      </c>
      <c r="J1975" s="152">
        <f>IFERROR(VALUE(SUBSTITUTE(INDEX('04A_국토부원자료'!$A:$T,ROW()+1,MATCH("층",'04A_국토부원자료'!$A$4:$T$4,0)),",","")),"")</f>
        <v/>
      </c>
      <c r="K1975" s="152">
        <f>IFERROR(VALUE(SUBSTITUTE(INDEX('04A_국토부원자료'!$A:$T,ROW()+1,MATCH("건축년도",'04A_국토부원자료'!$A$4:$T$4,0)),",","")),"")</f>
        <v/>
      </c>
      <c r="L1975" s="48">
        <f>IFERROR(INDEX('04A_국토부원자료'!$A:$T,ROW()+1,MATCH("도로명",'04A_국토부원자료'!$A$4:$T$4,0)),"")</f>
        <v/>
      </c>
      <c r="M1975" s="48">
        <f>IFERROR(INDEX('04A_국토부원자료'!$A:$T,ROW()+1,MATCH("거래유형",'04A_국토부원자료'!$A$4:$T$4,0)),"")</f>
        <v/>
      </c>
      <c r="N1975" s="152">
        <f>IF(B1975="","",IF('02_대상물건입력'!B5="",1,IF(ISNUMBER(SEARCH('02_대상물건입력'!B5,B1975)),1,0)))</f>
        <v/>
      </c>
      <c r="O1975" s="152">
        <f>IF(B1975="","",IF('02_대상물건입력'!B6="",1,IF(ISNUMBER(SEARCH('02_대상물건입력'!B6,B1975)),1,0)))</f>
        <v/>
      </c>
      <c r="P1975" s="152">
        <f>IF(L1975="","",IF('02_대상물건입력'!B15="",0,IF(ISNUMBER(SEARCH('02_대상물건입력'!B15,L1975)),1,0)))</f>
        <v/>
      </c>
      <c r="Q1975" s="152">
        <f>IF(OR(C1975="",L1975=""),0,IF(AND(TRIM(C1975)=TRIM(RIGHT(SUBSTITUTE(TRIM('02_대상물건입력'!$B$7)," ",REPT(" ",99)),99)),IF('02_대상물건입력'!B15="",TRUE(),ISNUMBER(SEARCH('02_대상물건입력'!B15,L1975)))),1,0))</f>
        <v/>
      </c>
      <c r="R1975" s="175">
        <f>IFERROR(ABS(E1975-'02_대상물건입력'!B11)/'02_대상물건입력'!B11,"")</f>
        <v/>
      </c>
      <c r="S1975" s="152">
        <f>IFERROR(ABS(J1975-'02_대상물건입력'!B10),"")</f>
        <v/>
      </c>
      <c r="T1975" s="152">
        <f>IFERROR(ABS('01_설정'!B4-F1975),"")</f>
        <v/>
      </c>
      <c r="U1975" s="152">
        <f>IFERROR(ABS(K1975-YEAR('02_대상물건입력'!B14)),"")</f>
        <v/>
      </c>
      <c r="V1975" s="152">
        <f>IF(B1975="","",IF(AND(E1975&gt;0,F1975&gt;0,H1975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1975=1,TRUE()),R1975&lt;='01_설정'!B5,S1975&lt;='01_설정'!B6,T1975&lt;='01_설정'!B7,U1975&lt;='01_설정'!B8),"Y",""))</f>
        <v/>
      </c>
      <c r="W1975" s="172">
        <f>IF(V1975&lt;&gt;"Y","",MAX(0,(1-R1975/'01_설정'!B5))*'01_설정'!B14+MAX(0,(1-S1975/'01_설정'!B6))*'01_설정'!B15+MAX(0,(1-T1975/'01_설정'!B7))*'01_설정'!B16+MAX(0,(1-U1975/'01_설정'!B8))*'01_설정'!B17+O1975*'01_설정'!B11+Q1975*'01_설정'!B12+P1975*'01_설정'!B13+IF(Z1975="",0,Z1975))</f>
        <v/>
      </c>
      <c r="X1975" s="152">
        <f>IF(W1975="","",1+COUNTIFS($W$4:$W$3003,"&gt;"&amp;W1975)+COUNTIFS($W$4:W1975,W1975)-1)</f>
        <v/>
      </c>
      <c r="Y1975" s="175">
        <f>IF(OR(I1975="",'02_대상물건입력'!B19="",'02_대상물건입력'!B19&lt;=0),"",ABS(I1975-'02_대상물건입력'!B19)/'02_대상물건입력'!B19)</f>
        <v/>
      </c>
      <c r="Z1975" s="172">
        <f>IF(OR(Y1975="",'01_설정'!B31="",'01_설정'!B31&lt;=0,'01_설정'!B32="",'01_설정'!B32&lt;=0),"",MAX(0,(1-Y1975/'01_설정'!B32))*'01_설정'!B31)</f>
        <v/>
      </c>
    </row>
    <row r="1976" ht="17.25" customHeight="1">
      <c r="A1976" s="152">
        <f>IF(INDEX('04A_국토부원자료'!$A:$A,ROW()+1)="","",ROW()-3)</f>
        <v/>
      </c>
      <c r="B1976" s="48">
        <f>IFERROR(INDEX('04A_국토부원자료'!$A:$T,ROW()+1,MATCH("시군구",'04A_국토부원자료'!$A$4:$T$4,0)),"")</f>
        <v/>
      </c>
      <c r="C1976" s="48">
        <f>IF(B1976="","",IFERROR(INDEX('04A_국토부원자료'!$A:$T,ROW()+1,MATCH("번지",'04A_국토부원자료'!$A$4:$T$4,0)),""))</f>
        <v/>
      </c>
      <c r="D1976" s="48">
        <f>IF(B1976="","",IF(Q1976=1,'02_대상물건입력'!$B$8,IFERROR(INDEX('04A_국토부원자료'!$A:$T,ROW()+1,MATCH("단지명",'04A_국토부원자료'!$A$4:$T$4,0)),"")))</f>
        <v/>
      </c>
      <c r="E1976" s="172">
        <f>IFERROR(VALUE(SUBSTITUTE(INDEX('04A_국토부원자료'!$A:$T,ROW()+1,MATCH("전용면적(㎡)",'04A_국토부원자료'!$A$4:$T$4,0)),",","")),"")</f>
        <v/>
      </c>
      <c r="F19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76" s="51">
        <f>IFERROR(VALUE(SUBSTITUTE(INDEX('04A_국토부원자료'!$A:$T,ROW()+1,MATCH("거래금액(만원)",'04A_국토부원자료'!$A$4:$T$4,0)),",","")),"")</f>
        <v/>
      </c>
      <c r="H1976" s="174">
        <f>IF(G1976="","",G1976*10000)</f>
        <v/>
      </c>
      <c r="I1976" s="174">
        <f>IFERROR(IF(AND(H1976&gt;0,E1976&gt;0),H1976/E1976,""),"")</f>
        <v/>
      </c>
      <c r="J1976" s="152">
        <f>IFERROR(VALUE(SUBSTITUTE(INDEX('04A_국토부원자료'!$A:$T,ROW()+1,MATCH("층",'04A_국토부원자료'!$A$4:$T$4,0)),",","")),"")</f>
        <v/>
      </c>
      <c r="K1976" s="152">
        <f>IFERROR(VALUE(SUBSTITUTE(INDEX('04A_국토부원자료'!$A:$T,ROW()+1,MATCH("건축년도",'04A_국토부원자료'!$A$4:$T$4,0)),",","")),"")</f>
        <v/>
      </c>
      <c r="L1976" s="48">
        <f>IFERROR(INDEX('04A_국토부원자료'!$A:$T,ROW()+1,MATCH("도로명",'04A_국토부원자료'!$A$4:$T$4,0)),"")</f>
        <v/>
      </c>
      <c r="M1976" s="48">
        <f>IFERROR(INDEX('04A_국토부원자료'!$A:$T,ROW()+1,MATCH("거래유형",'04A_국토부원자료'!$A$4:$T$4,0)),"")</f>
        <v/>
      </c>
      <c r="N1976" s="152">
        <f>IF(B1976="","",IF('02_대상물건입력'!B5="",1,IF(ISNUMBER(SEARCH('02_대상물건입력'!B5,B1976)),1,0)))</f>
        <v/>
      </c>
      <c r="O1976" s="152">
        <f>IF(B1976="","",IF('02_대상물건입력'!B6="",1,IF(ISNUMBER(SEARCH('02_대상물건입력'!B6,B1976)),1,0)))</f>
        <v/>
      </c>
      <c r="P1976" s="152">
        <f>IF(L1976="","",IF('02_대상물건입력'!B15="",0,IF(ISNUMBER(SEARCH('02_대상물건입력'!B15,L1976)),1,0)))</f>
        <v/>
      </c>
      <c r="Q1976" s="152">
        <f>IF(OR(C1976="",L1976=""),0,IF(AND(TRIM(C1976)=TRIM(RIGHT(SUBSTITUTE(TRIM('02_대상물건입력'!$B$7)," ",REPT(" ",99)),99)),IF('02_대상물건입력'!B15="",TRUE(),ISNUMBER(SEARCH('02_대상물건입력'!B15,L1976)))),1,0))</f>
        <v/>
      </c>
      <c r="R1976" s="175">
        <f>IFERROR(ABS(E1976-'02_대상물건입력'!B11)/'02_대상물건입력'!B11,"")</f>
        <v/>
      </c>
      <c r="S1976" s="152">
        <f>IFERROR(ABS(J1976-'02_대상물건입력'!B10),"")</f>
        <v/>
      </c>
      <c r="T1976" s="152">
        <f>IFERROR(ABS('01_설정'!B4-F1976),"")</f>
        <v/>
      </c>
      <c r="U1976" s="152">
        <f>IFERROR(ABS(K1976-YEAR('02_대상물건입력'!B14)),"")</f>
        <v/>
      </c>
      <c r="V1976" s="152">
        <f>IF(B1976="","",IF(AND(E1976&gt;0,F1976&gt;0,H1976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1976=1,TRUE()),R1976&lt;='01_설정'!B5,S1976&lt;='01_설정'!B6,T1976&lt;='01_설정'!B7,U1976&lt;='01_설정'!B8),"Y",""))</f>
        <v/>
      </c>
      <c r="W1976" s="172">
        <f>IF(V1976&lt;&gt;"Y","",MAX(0,(1-R1976/'01_설정'!B5))*'01_설정'!B14+MAX(0,(1-S1976/'01_설정'!B6))*'01_설정'!B15+MAX(0,(1-T1976/'01_설정'!B7))*'01_설정'!B16+MAX(0,(1-U1976/'01_설정'!B8))*'01_설정'!B17+O1976*'01_설정'!B11+Q1976*'01_설정'!B12+P1976*'01_설정'!B13+IF(Z1976="",0,Z1976))</f>
        <v/>
      </c>
      <c r="X1976" s="152">
        <f>IF(W1976="","",1+COUNTIFS($W$4:$W$3003,"&gt;"&amp;W1976)+COUNTIFS($W$4:W1976,W1976)-1)</f>
        <v/>
      </c>
      <c r="Y1976" s="175">
        <f>IF(OR(I1976="",'02_대상물건입력'!B19="",'02_대상물건입력'!B19&lt;=0),"",ABS(I1976-'02_대상물건입력'!B19)/'02_대상물건입력'!B19)</f>
        <v/>
      </c>
      <c r="Z1976" s="172">
        <f>IF(OR(Y1976="",'01_설정'!B31="",'01_설정'!B31&lt;=0,'01_설정'!B32="",'01_설정'!B32&lt;=0),"",MAX(0,(1-Y1976/'01_설정'!B32))*'01_설정'!B31)</f>
        <v/>
      </c>
    </row>
    <row r="1977" ht="17.25" customHeight="1">
      <c r="A1977" s="152">
        <f>IF(INDEX('04A_국토부원자료'!$A:$A,ROW()+1)="","",ROW()-3)</f>
        <v/>
      </c>
      <c r="B1977" s="48">
        <f>IFERROR(INDEX('04A_국토부원자료'!$A:$T,ROW()+1,MATCH("시군구",'04A_국토부원자료'!$A$4:$T$4,0)),"")</f>
        <v/>
      </c>
      <c r="C1977" s="48">
        <f>IF(B1977="","",IFERROR(INDEX('04A_국토부원자료'!$A:$T,ROW()+1,MATCH("번지",'04A_국토부원자료'!$A$4:$T$4,0)),""))</f>
        <v/>
      </c>
      <c r="D1977" s="48">
        <f>IF(B1977="","",IF(Q1977=1,'02_대상물건입력'!$B$8,IFERROR(INDEX('04A_국토부원자료'!$A:$T,ROW()+1,MATCH("단지명",'04A_국토부원자료'!$A$4:$T$4,0)),"")))</f>
        <v/>
      </c>
      <c r="E1977" s="172">
        <f>IFERROR(VALUE(SUBSTITUTE(INDEX('04A_국토부원자료'!$A:$T,ROW()+1,MATCH("전용면적(㎡)",'04A_국토부원자료'!$A$4:$T$4,0)),",","")),"")</f>
        <v/>
      </c>
      <c r="F19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77" s="51">
        <f>IFERROR(VALUE(SUBSTITUTE(INDEX('04A_국토부원자료'!$A:$T,ROW()+1,MATCH("거래금액(만원)",'04A_국토부원자료'!$A$4:$T$4,0)),",","")),"")</f>
        <v/>
      </c>
      <c r="H1977" s="174">
        <f>IF(G1977="","",G1977*10000)</f>
        <v/>
      </c>
      <c r="I1977" s="174">
        <f>IFERROR(IF(AND(H1977&gt;0,E1977&gt;0),H1977/E1977,""),"")</f>
        <v/>
      </c>
      <c r="J1977" s="152">
        <f>IFERROR(VALUE(SUBSTITUTE(INDEX('04A_국토부원자료'!$A:$T,ROW()+1,MATCH("층",'04A_국토부원자료'!$A$4:$T$4,0)),",","")),"")</f>
        <v/>
      </c>
      <c r="K1977" s="152">
        <f>IFERROR(VALUE(SUBSTITUTE(INDEX('04A_국토부원자료'!$A:$T,ROW()+1,MATCH("건축년도",'04A_국토부원자료'!$A$4:$T$4,0)),",","")),"")</f>
        <v/>
      </c>
      <c r="L1977" s="48">
        <f>IFERROR(INDEX('04A_국토부원자료'!$A:$T,ROW()+1,MATCH("도로명",'04A_국토부원자료'!$A$4:$T$4,0)),"")</f>
        <v/>
      </c>
      <c r="M1977" s="48">
        <f>IFERROR(INDEX('04A_국토부원자료'!$A:$T,ROW()+1,MATCH("거래유형",'04A_국토부원자료'!$A$4:$T$4,0)),"")</f>
        <v/>
      </c>
      <c r="N1977" s="152">
        <f>IF(B1977="","",IF('02_대상물건입력'!B5="",1,IF(ISNUMBER(SEARCH('02_대상물건입력'!B5,B1977)),1,0)))</f>
        <v/>
      </c>
      <c r="O1977" s="152">
        <f>IF(B1977="","",IF('02_대상물건입력'!B6="",1,IF(ISNUMBER(SEARCH('02_대상물건입력'!B6,B1977)),1,0)))</f>
        <v/>
      </c>
      <c r="P1977" s="152">
        <f>IF(L1977="","",IF('02_대상물건입력'!B15="",0,IF(ISNUMBER(SEARCH('02_대상물건입력'!B15,L1977)),1,0)))</f>
        <v/>
      </c>
      <c r="Q1977" s="152">
        <f>IF(OR(C1977="",L1977=""),0,IF(AND(TRIM(C1977)=TRIM(RIGHT(SUBSTITUTE(TRIM('02_대상물건입력'!$B$7)," ",REPT(" ",99)),99)),IF('02_대상물건입력'!B15="",TRUE(),ISNUMBER(SEARCH('02_대상물건입력'!B15,L1977)))),1,0))</f>
        <v/>
      </c>
      <c r="R1977" s="175">
        <f>IFERROR(ABS(E1977-'02_대상물건입력'!B11)/'02_대상물건입력'!B11,"")</f>
        <v/>
      </c>
      <c r="S1977" s="152">
        <f>IFERROR(ABS(J1977-'02_대상물건입력'!B10),"")</f>
        <v/>
      </c>
      <c r="T1977" s="152">
        <f>IFERROR(ABS('01_설정'!B4-F1977),"")</f>
        <v/>
      </c>
      <c r="U1977" s="152">
        <f>IFERROR(ABS(K1977-YEAR('02_대상물건입력'!B14)),"")</f>
        <v/>
      </c>
      <c r="V1977" s="152">
        <f>IF(B1977="","",IF(AND(E1977&gt;0,F1977&gt;0,H1977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1977=1,TRUE()),R1977&lt;='01_설정'!B5,S1977&lt;='01_설정'!B6,T1977&lt;='01_설정'!B7,U1977&lt;='01_설정'!B8),"Y",""))</f>
        <v/>
      </c>
      <c r="W1977" s="172">
        <f>IF(V1977&lt;&gt;"Y","",MAX(0,(1-R1977/'01_설정'!B5))*'01_설정'!B14+MAX(0,(1-S1977/'01_설정'!B6))*'01_설정'!B15+MAX(0,(1-T1977/'01_설정'!B7))*'01_설정'!B16+MAX(0,(1-U1977/'01_설정'!B8))*'01_설정'!B17+O1977*'01_설정'!B11+Q1977*'01_설정'!B12+P1977*'01_설정'!B13+IF(Z1977="",0,Z1977))</f>
        <v/>
      </c>
      <c r="X1977" s="152">
        <f>IF(W1977="","",1+COUNTIFS($W$4:$W$3003,"&gt;"&amp;W1977)+COUNTIFS($W$4:W1977,W1977)-1)</f>
        <v/>
      </c>
      <c r="Y1977" s="175">
        <f>IF(OR(I1977="",'02_대상물건입력'!B19="",'02_대상물건입력'!B19&lt;=0),"",ABS(I1977-'02_대상물건입력'!B19)/'02_대상물건입력'!B19)</f>
        <v/>
      </c>
      <c r="Z1977" s="172">
        <f>IF(OR(Y1977="",'01_설정'!B31="",'01_설정'!B31&lt;=0,'01_설정'!B32="",'01_설정'!B32&lt;=0),"",MAX(0,(1-Y1977/'01_설정'!B32))*'01_설정'!B31)</f>
        <v/>
      </c>
    </row>
    <row r="1978" ht="17.25" customHeight="1">
      <c r="A1978" s="152">
        <f>IF(INDEX('04A_국토부원자료'!$A:$A,ROW()+1)="","",ROW()-3)</f>
        <v/>
      </c>
      <c r="B1978" s="48">
        <f>IFERROR(INDEX('04A_국토부원자료'!$A:$T,ROW()+1,MATCH("시군구",'04A_국토부원자료'!$A$4:$T$4,0)),"")</f>
        <v/>
      </c>
      <c r="C1978" s="48">
        <f>IF(B1978="","",IFERROR(INDEX('04A_국토부원자료'!$A:$T,ROW()+1,MATCH("번지",'04A_국토부원자료'!$A$4:$T$4,0)),""))</f>
        <v/>
      </c>
      <c r="D1978" s="48">
        <f>IF(B1978="","",IF(Q1978=1,'02_대상물건입력'!$B$8,IFERROR(INDEX('04A_국토부원자료'!$A:$T,ROW()+1,MATCH("단지명",'04A_국토부원자료'!$A$4:$T$4,0)),"")))</f>
        <v/>
      </c>
      <c r="E1978" s="172">
        <f>IFERROR(VALUE(SUBSTITUTE(INDEX('04A_국토부원자료'!$A:$T,ROW()+1,MATCH("전용면적(㎡)",'04A_국토부원자료'!$A$4:$T$4,0)),",","")),"")</f>
        <v/>
      </c>
      <c r="F19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78" s="51">
        <f>IFERROR(VALUE(SUBSTITUTE(INDEX('04A_국토부원자료'!$A:$T,ROW()+1,MATCH("거래금액(만원)",'04A_국토부원자료'!$A$4:$T$4,0)),",","")),"")</f>
        <v/>
      </c>
      <c r="H1978" s="174">
        <f>IF(G1978="","",G1978*10000)</f>
        <v/>
      </c>
      <c r="I1978" s="174">
        <f>IFERROR(IF(AND(H1978&gt;0,E1978&gt;0),H1978/E1978,""),"")</f>
        <v/>
      </c>
      <c r="J1978" s="152">
        <f>IFERROR(VALUE(SUBSTITUTE(INDEX('04A_국토부원자료'!$A:$T,ROW()+1,MATCH("층",'04A_국토부원자료'!$A$4:$T$4,0)),",","")),"")</f>
        <v/>
      </c>
      <c r="K1978" s="152">
        <f>IFERROR(VALUE(SUBSTITUTE(INDEX('04A_국토부원자료'!$A:$T,ROW()+1,MATCH("건축년도",'04A_국토부원자료'!$A$4:$T$4,0)),",","")),"")</f>
        <v/>
      </c>
      <c r="L1978" s="48">
        <f>IFERROR(INDEX('04A_국토부원자료'!$A:$T,ROW()+1,MATCH("도로명",'04A_국토부원자료'!$A$4:$T$4,0)),"")</f>
        <v/>
      </c>
      <c r="M1978" s="48">
        <f>IFERROR(INDEX('04A_국토부원자료'!$A:$T,ROW()+1,MATCH("거래유형",'04A_국토부원자료'!$A$4:$T$4,0)),"")</f>
        <v/>
      </c>
      <c r="N1978" s="152">
        <f>IF(B1978="","",IF('02_대상물건입력'!B5="",1,IF(ISNUMBER(SEARCH('02_대상물건입력'!B5,B1978)),1,0)))</f>
        <v/>
      </c>
      <c r="O1978" s="152">
        <f>IF(B1978="","",IF('02_대상물건입력'!B6="",1,IF(ISNUMBER(SEARCH('02_대상물건입력'!B6,B1978)),1,0)))</f>
        <v/>
      </c>
      <c r="P1978" s="152">
        <f>IF(L1978="","",IF('02_대상물건입력'!B15="",0,IF(ISNUMBER(SEARCH('02_대상물건입력'!B15,L1978)),1,0)))</f>
        <v/>
      </c>
      <c r="Q1978" s="152">
        <f>IF(OR(C1978="",L1978=""),0,IF(AND(TRIM(C1978)=TRIM(RIGHT(SUBSTITUTE(TRIM('02_대상물건입력'!$B$7)," ",REPT(" ",99)),99)),IF('02_대상물건입력'!B15="",TRUE(),ISNUMBER(SEARCH('02_대상물건입력'!B15,L1978)))),1,0))</f>
        <v/>
      </c>
      <c r="R1978" s="175">
        <f>IFERROR(ABS(E1978-'02_대상물건입력'!B11)/'02_대상물건입력'!B11,"")</f>
        <v/>
      </c>
      <c r="S1978" s="152">
        <f>IFERROR(ABS(J1978-'02_대상물건입력'!B10),"")</f>
        <v/>
      </c>
      <c r="T1978" s="152">
        <f>IFERROR(ABS('01_설정'!B4-F1978),"")</f>
        <v/>
      </c>
      <c r="U1978" s="152">
        <f>IFERROR(ABS(K1978-YEAR('02_대상물건입력'!B14)),"")</f>
        <v/>
      </c>
      <c r="V1978" s="152">
        <f>IF(B1978="","",IF(AND(E1978&gt;0,F1978&gt;0,H1978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1978=1,TRUE()),R1978&lt;='01_설정'!B5,S1978&lt;='01_설정'!B6,T1978&lt;='01_설정'!B7,U1978&lt;='01_설정'!B8),"Y",""))</f>
        <v/>
      </c>
      <c r="W1978" s="172">
        <f>IF(V1978&lt;&gt;"Y","",MAX(0,(1-R1978/'01_설정'!B5))*'01_설정'!B14+MAX(0,(1-S1978/'01_설정'!B6))*'01_설정'!B15+MAX(0,(1-T1978/'01_설정'!B7))*'01_설정'!B16+MAX(0,(1-U1978/'01_설정'!B8))*'01_설정'!B17+O1978*'01_설정'!B11+Q1978*'01_설정'!B12+P1978*'01_설정'!B13+IF(Z1978="",0,Z1978))</f>
        <v/>
      </c>
      <c r="X1978" s="152">
        <f>IF(W1978="","",1+COUNTIFS($W$4:$W$3003,"&gt;"&amp;W1978)+COUNTIFS($W$4:W1978,W1978)-1)</f>
        <v/>
      </c>
      <c r="Y1978" s="175">
        <f>IF(OR(I1978="",'02_대상물건입력'!B19="",'02_대상물건입력'!B19&lt;=0),"",ABS(I1978-'02_대상물건입력'!B19)/'02_대상물건입력'!B19)</f>
        <v/>
      </c>
      <c r="Z1978" s="172">
        <f>IF(OR(Y1978="",'01_설정'!B31="",'01_설정'!B31&lt;=0,'01_설정'!B32="",'01_설정'!B32&lt;=0),"",MAX(0,(1-Y1978/'01_설정'!B32))*'01_설정'!B31)</f>
        <v/>
      </c>
    </row>
    <row r="1979" ht="17.25" customHeight="1">
      <c r="A1979" s="152">
        <f>IF(INDEX('04A_국토부원자료'!$A:$A,ROW()+1)="","",ROW()-3)</f>
        <v/>
      </c>
      <c r="B1979" s="48">
        <f>IFERROR(INDEX('04A_국토부원자료'!$A:$T,ROW()+1,MATCH("시군구",'04A_국토부원자료'!$A$4:$T$4,0)),"")</f>
        <v/>
      </c>
      <c r="C1979" s="48">
        <f>IF(B1979="","",IFERROR(INDEX('04A_국토부원자료'!$A:$T,ROW()+1,MATCH("번지",'04A_국토부원자료'!$A$4:$T$4,0)),""))</f>
        <v/>
      </c>
      <c r="D1979" s="48">
        <f>IF(B1979="","",IF(Q1979=1,'02_대상물건입력'!$B$8,IFERROR(INDEX('04A_국토부원자료'!$A:$T,ROW()+1,MATCH("단지명",'04A_국토부원자료'!$A$4:$T$4,0)),"")))</f>
        <v/>
      </c>
      <c r="E1979" s="172">
        <f>IFERROR(VALUE(SUBSTITUTE(INDEX('04A_국토부원자료'!$A:$T,ROW()+1,MATCH("전용면적(㎡)",'04A_국토부원자료'!$A$4:$T$4,0)),",","")),"")</f>
        <v/>
      </c>
      <c r="F19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79" s="51">
        <f>IFERROR(VALUE(SUBSTITUTE(INDEX('04A_국토부원자료'!$A:$T,ROW()+1,MATCH("거래금액(만원)",'04A_국토부원자료'!$A$4:$T$4,0)),",","")),"")</f>
        <v/>
      </c>
      <c r="H1979" s="174">
        <f>IF(G1979="","",G1979*10000)</f>
        <v/>
      </c>
      <c r="I1979" s="174">
        <f>IFERROR(IF(AND(H1979&gt;0,E1979&gt;0),H1979/E1979,""),"")</f>
        <v/>
      </c>
      <c r="J1979" s="152">
        <f>IFERROR(VALUE(SUBSTITUTE(INDEX('04A_국토부원자료'!$A:$T,ROW()+1,MATCH("층",'04A_국토부원자료'!$A$4:$T$4,0)),",","")),"")</f>
        <v/>
      </c>
      <c r="K1979" s="152">
        <f>IFERROR(VALUE(SUBSTITUTE(INDEX('04A_국토부원자료'!$A:$T,ROW()+1,MATCH("건축년도",'04A_국토부원자료'!$A$4:$T$4,0)),",","")),"")</f>
        <v/>
      </c>
      <c r="L1979" s="48">
        <f>IFERROR(INDEX('04A_국토부원자료'!$A:$T,ROW()+1,MATCH("도로명",'04A_국토부원자료'!$A$4:$T$4,0)),"")</f>
        <v/>
      </c>
      <c r="M1979" s="48">
        <f>IFERROR(INDEX('04A_국토부원자료'!$A:$T,ROW()+1,MATCH("거래유형",'04A_국토부원자료'!$A$4:$T$4,0)),"")</f>
        <v/>
      </c>
      <c r="N1979" s="152">
        <f>IF(B1979="","",IF('02_대상물건입력'!B5="",1,IF(ISNUMBER(SEARCH('02_대상물건입력'!B5,B1979)),1,0)))</f>
        <v/>
      </c>
      <c r="O1979" s="152">
        <f>IF(B1979="","",IF('02_대상물건입력'!B6="",1,IF(ISNUMBER(SEARCH('02_대상물건입력'!B6,B1979)),1,0)))</f>
        <v/>
      </c>
      <c r="P1979" s="152">
        <f>IF(L1979="","",IF('02_대상물건입력'!B15="",0,IF(ISNUMBER(SEARCH('02_대상물건입력'!B15,L1979)),1,0)))</f>
        <v/>
      </c>
      <c r="Q1979" s="152">
        <f>IF(OR(C1979="",L1979=""),0,IF(AND(TRIM(C1979)=TRIM(RIGHT(SUBSTITUTE(TRIM('02_대상물건입력'!$B$7)," ",REPT(" ",99)),99)),IF('02_대상물건입력'!B15="",TRUE(),ISNUMBER(SEARCH('02_대상물건입력'!B15,L1979)))),1,0))</f>
        <v/>
      </c>
      <c r="R1979" s="175">
        <f>IFERROR(ABS(E1979-'02_대상물건입력'!B11)/'02_대상물건입력'!B11,"")</f>
        <v/>
      </c>
      <c r="S1979" s="152">
        <f>IFERROR(ABS(J1979-'02_대상물건입력'!B10),"")</f>
        <v/>
      </c>
      <c r="T1979" s="152">
        <f>IFERROR(ABS('01_설정'!B4-F1979),"")</f>
        <v/>
      </c>
      <c r="U1979" s="152">
        <f>IFERROR(ABS(K1979-YEAR('02_대상물건입력'!B14)),"")</f>
        <v/>
      </c>
      <c r="V1979" s="152">
        <f>IF(B1979="","",IF(AND(E1979&gt;0,F1979&gt;0,H1979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1979=1,TRUE()),R1979&lt;='01_설정'!B5,S1979&lt;='01_설정'!B6,T1979&lt;='01_설정'!B7,U1979&lt;='01_설정'!B8),"Y",""))</f>
        <v/>
      </c>
      <c r="W1979" s="172">
        <f>IF(V1979&lt;&gt;"Y","",MAX(0,(1-R1979/'01_설정'!B5))*'01_설정'!B14+MAX(0,(1-S1979/'01_설정'!B6))*'01_설정'!B15+MAX(0,(1-T1979/'01_설정'!B7))*'01_설정'!B16+MAX(0,(1-U1979/'01_설정'!B8))*'01_설정'!B17+O1979*'01_설정'!B11+Q1979*'01_설정'!B12+P1979*'01_설정'!B13+IF(Z1979="",0,Z1979))</f>
        <v/>
      </c>
      <c r="X1979" s="152">
        <f>IF(W1979="","",1+COUNTIFS($W$4:$W$3003,"&gt;"&amp;W1979)+COUNTIFS($W$4:W1979,W1979)-1)</f>
        <v/>
      </c>
      <c r="Y1979" s="175">
        <f>IF(OR(I1979="",'02_대상물건입력'!B19="",'02_대상물건입력'!B19&lt;=0),"",ABS(I1979-'02_대상물건입력'!B19)/'02_대상물건입력'!B19)</f>
        <v/>
      </c>
      <c r="Z1979" s="172">
        <f>IF(OR(Y1979="",'01_설정'!B31="",'01_설정'!B31&lt;=0,'01_설정'!B32="",'01_설정'!B32&lt;=0),"",MAX(0,(1-Y1979/'01_설정'!B32))*'01_설정'!B31)</f>
        <v/>
      </c>
    </row>
    <row r="1980" ht="17.25" customHeight="1">
      <c r="A1980" s="152">
        <f>IF(INDEX('04A_국토부원자료'!$A:$A,ROW()+1)="","",ROW()-3)</f>
        <v/>
      </c>
      <c r="B1980" s="48">
        <f>IFERROR(INDEX('04A_국토부원자료'!$A:$T,ROW()+1,MATCH("시군구",'04A_국토부원자료'!$A$4:$T$4,0)),"")</f>
        <v/>
      </c>
      <c r="C1980" s="48">
        <f>IF(B1980="","",IFERROR(INDEX('04A_국토부원자료'!$A:$T,ROW()+1,MATCH("번지",'04A_국토부원자료'!$A$4:$T$4,0)),""))</f>
        <v/>
      </c>
      <c r="D1980" s="48">
        <f>IF(B1980="","",IF(Q1980=1,'02_대상물건입력'!$B$8,IFERROR(INDEX('04A_국토부원자료'!$A:$T,ROW()+1,MATCH("단지명",'04A_국토부원자료'!$A$4:$T$4,0)),"")))</f>
        <v/>
      </c>
      <c r="E1980" s="172">
        <f>IFERROR(VALUE(SUBSTITUTE(INDEX('04A_국토부원자료'!$A:$T,ROW()+1,MATCH("전용면적(㎡)",'04A_국토부원자료'!$A$4:$T$4,0)),",","")),"")</f>
        <v/>
      </c>
      <c r="F19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80" s="51">
        <f>IFERROR(VALUE(SUBSTITUTE(INDEX('04A_국토부원자료'!$A:$T,ROW()+1,MATCH("거래금액(만원)",'04A_국토부원자료'!$A$4:$T$4,0)),",","")),"")</f>
        <v/>
      </c>
      <c r="H1980" s="174">
        <f>IF(G1980="","",G1980*10000)</f>
        <v/>
      </c>
      <c r="I1980" s="174">
        <f>IFERROR(IF(AND(H1980&gt;0,E1980&gt;0),H1980/E1980,""),"")</f>
        <v/>
      </c>
      <c r="J1980" s="152">
        <f>IFERROR(VALUE(SUBSTITUTE(INDEX('04A_국토부원자료'!$A:$T,ROW()+1,MATCH("층",'04A_국토부원자료'!$A$4:$T$4,0)),",","")),"")</f>
        <v/>
      </c>
      <c r="K1980" s="152">
        <f>IFERROR(VALUE(SUBSTITUTE(INDEX('04A_국토부원자료'!$A:$T,ROW()+1,MATCH("건축년도",'04A_국토부원자료'!$A$4:$T$4,0)),",","")),"")</f>
        <v/>
      </c>
      <c r="L1980" s="48">
        <f>IFERROR(INDEX('04A_국토부원자료'!$A:$T,ROW()+1,MATCH("도로명",'04A_국토부원자료'!$A$4:$T$4,0)),"")</f>
        <v/>
      </c>
      <c r="M1980" s="48">
        <f>IFERROR(INDEX('04A_국토부원자료'!$A:$T,ROW()+1,MATCH("거래유형",'04A_국토부원자료'!$A$4:$T$4,0)),"")</f>
        <v/>
      </c>
      <c r="N1980" s="152">
        <f>IF(B1980="","",IF('02_대상물건입력'!B5="",1,IF(ISNUMBER(SEARCH('02_대상물건입력'!B5,B1980)),1,0)))</f>
        <v/>
      </c>
      <c r="O1980" s="152">
        <f>IF(B1980="","",IF('02_대상물건입력'!B6="",1,IF(ISNUMBER(SEARCH('02_대상물건입력'!B6,B1980)),1,0)))</f>
        <v/>
      </c>
      <c r="P1980" s="152">
        <f>IF(L1980="","",IF('02_대상물건입력'!B15="",0,IF(ISNUMBER(SEARCH('02_대상물건입력'!B15,L1980)),1,0)))</f>
        <v/>
      </c>
      <c r="Q1980" s="152">
        <f>IF(OR(C1980="",L1980=""),0,IF(AND(TRIM(C1980)=TRIM(RIGHT(SUBSTITUTE(TRIM('02_대상물건입력'!$B$7)," ",REPT(" ",99)),99)),IF('02_대상물건입력'!B15="",TRUE(),ISNUMBER(SEARCH('02_대상물건입력'!B15,L1980)))),1,0))</f>
        <v/>
      </c>
      <c r="R1980" s="175">
        <f>IFERROR(ABS(E1980-'02_대상물건입력'!B11)/'02_대상물건입력'!B11,"")</f>
        <v/>
      </c>
      <c r="S1980" s="152">
        <f>IFERROR(ABS(J1980-'02_대상물건입력'!B10),"")</f>
        <v/>
      </c>
      <c r="T1980" s="152">
        <f>IFERROR(ABS('01_설정'!B4-F1980),"")</f>
        <v/>
      </c>
      <c r="U1980" s="152">
        <f>IFERROR(ABS(K1980-YEAR('02_대상물건입력'!B14)),"")</f>
        <v/>
      </c>
      <c r="V1980" s="152">
        <f>IF(B1980="","",IF(AND(E1980&gt;0,F1980&gt;0,H1980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1980=1,TRUE()),R1980&lt;='01_설정'!B5,S1980&lt;='01_설정'!B6,T1980&lt;='01_설정'!B7,U1980&lt;='01_설정'!B8),"Y",""))</f>
        <v/>
      </c>
      <c r="W1980" s="172">
        <f>IF(V1980&lt;&gt;"Y","",MAX(0,(1-R1980/'01_설정'!B5))*'01_설정'!B14+MAX(0,(1-S1980/'01_설정'!B6))*'01_설정'!B15+MAX(0,(1-T1980/'01_설정'!B7))*'01_설정'!B16+MAX(0,(1-U1980/'01_설정'!B8))*'01_설정'!B17+O1980*'01_설정'!B11+Q1980*'01_설정'!B12+P1980*'01_설정'!B13+IF(Z1980="",0,Z1980))</f>
        <v/>
      </c>
      <c r="X1980" s="152">
        <f>IF(W1980="","",1+COUNTIFS($W$4:$W$3003,"&gt;"&amp;W1980)+COUNTIFS($W$4:W1980,W1980)-1)</f>
        <v/>
      </c>
      <c r="Y1980" s="175">
        <f>IF(OR(I1980="",'02_대상물건입력'!B19="",'02_대상물건입력'!B19&lt;=0),"",ABS(I1980-'02_대상물건입력'!B19)/'02_대상물건입력'!B19)</f>
        <v/>
      </c>
      <c r="Z1980" s="172">
        <f>IF(OR(Y1980="",'01_설정'!B31="",'01_설정'!B31&lt;=0,'01_설정'!B32="",'01_설정'!B32&lt;=0),"",MAX(0,(1-Y1980/'01_설정'!B32))*'01_설정'!B31)</f>
        <v/>
      </c>
    </row>
    <row r="1981" ht="17.25" customHeight="1">
      <c r="A1981" s="152">
        <f>IF(INDEX('04A_국토부원자료'!$A:$A,ROW()+1)="","",ROW()-3)</f>
        <v/>
      </c>
      <c r="B1981" s="48">
        <f>IFERROR(INDEX('04A_국토부원자료'!$A:$T,ROW()+1,MATCH("시군구",'04A_국토부원자료'!$A$4:$T$4,0)),"")</f>
        <v/>
      </c>
      <c r="C1981" s="48">
        <f>IF(B1981="","",IFERROR(INDEX('04A_국토부원자료'!$A:$T,ROW()+1,MATCH("번지",'04A_국토부원자료'!$A$4:$T$4,0)),""))</f>
        <v/>
      </c>
      <c r="D1981" s="48">
        <f>IF(B1981="","",IF(Q1981=1,'02_대상물건입력'!$B$8,IFERROR(INDEX('04A_국토부원자료'!$A:$T,ROW()+1,MATCH("단지명",'04A_국토부원자료'!$A$4:$T$4,0)),"")))</f>
        <v/>
      </c>
      <c r="E1981" s="172">
        <f>IFERROR(VALUE(SUBSTITUTE(INDEX('04A_국토부원자료'!$A:$T,ROW()+1,MATCH("전용면적(㎡)",'04A_국토부원자료'!$A$4:$T$4,0)),",","")),"")</f>
        <v/>
      </c>
      <c r="F19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81" s="51">
        <f>IFERROR(VALUE(SUBSTITUTE(INDEX('04A_국토부원자료'!$A:$T,ROW()+1,MATCH("거래금액(만원)",'04A_국토부원자료'!$A$4:$T$4,0)),",","")),"")</f>
        <v/>
      </c>
      <c r="H1981" s="174">
        <f>IF(G1981="","",G1981*10000)</f>
        <v/>
      </c>
      <c r="I1981" s="174">
        <f>IFERROR(IF(AND(H1981&gt;0,E1981&gt;0),H1981/E1981,""),"")</f>
        <v/>
      </c>
      <c r="J1981" s="152">
        <f>IFERROR(VALUE(SUBSTITUTE(INDEX('04A_국토부원자료'!$A:$T,ROW()+1,MATCH("층",'04A_국토부원자료'!$A$4:$T$4,0)),",","")),"")</f>
        <v/>
      </c>
      <c r="K1981" s="152">
        <f>IFERROR(VALUE(SUBSTITUTE(INDEX('04A_국토부원자료'!$A:$T,ROW()+1,MATCH("건축년도",'04A_국토부원자료'!$A$4:$T$4,0)),",","")),"")</f>
        <v/>
      </c>
      <c r="L1981" s="48">
        <f>IFERROR(INDEX('04A_국토부원자료'!$A:$T,ROW()+1,MATCH("도로명",'04A_국토부원자료'!$A$4:$T$4,0)),"")</f>
        <v/>
      </c>
      <c r="M1981" s="48">
        <f>IFERROR(INDEX('04A_국토부원자료'!$A:$T,ROW()+1,MATCH("거래유형",'04A_국토부원자료'!$A$4:$T$4,0)),"")</f>
        <v/>
      </c>
      <c r="N1981" s="152">
        <f>IF(B1981="","",IF('02_대상물건입력'!B5="",1,IF(ISNUMBER(SEARCH('02_대상물건입력'!B5,B1981)),1,0)))</f>
        <v/>
      </c>
      <c r="O1981" s="152">
        <f>IF(B1981="","",IF('02_대상물건입력'!B6="",1,IF(ISNUMBER(SEARCH('02_대상물건입력'!B6,B1981)),1,0)))</f>
        <v/>
      </c>
      <c r="P1981" s="152">
        <f>IF(L1981="","",IF('02_대상물건입력'!B15="",0,IF(ISNUMBER(SEARCH('02_대상물건입력'!B15,L1981)),1,0)))</f>
        <v/>
      </c>
      <c r="Q1981" s="152">
        <f>IF(OR(C1981="",L1981=""),0,IF(AND(TRIM(C1981)=TRIM(RIGHT(SUBSTITUTE(TRIM('02_대상물건입력'!$B$7)," ",REPT(" ",99)),99)),IF('02_대상물건입력'!B15="",TRUE(),ISNUMBER(SEARCH('02_대상물건입력'!B15,L1981)))),1,0))</f>
        <v/>
      </c>
      <c r="R1981" s="175">
        <f>IFERROR(ABS(E1981-'02_대상물건입력'!B11)/'02_대상물건입력'!B11,"")</f>
        <v/>
      </c>
      <c r="S1981" s="152">
        <f>IFERROR(ABS(J1981-'02_대상물건입력'!B10),"")</f>
        <v/>
      </c>
      <c r="T1981" s="152">
        <f>IFERROR(ABS('01_설정'!B4-F1981),"")</f>
        <v/>
      </c>
      <c r="U1981" s="152">
        <f>IFERROR(ABS(K1981-YEAR('02_대상물건입력'!B14)),"")</f>
        <v/>
      </c>
      <c r="V1981" s="152">
        <f>IF(B1981="","",IF(AND(E1981&gt;0,F1981&gt;0,H1981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1981=1,TRUE()),R1981&lt;='01_설정'!B5,S1981&lt;='01_설정'!B6,T1981&lt;='01_설정'!B7,U1981&lt;='01_설정'!B8),"Y",""))</f>
        <v/>
      </c>
      <c r="W1981" s="172">
        <f>IF(V1981&lt;&gt;"Y","",MAX(0,(1-R1981/'01_설정'!B5))*'01_설정'!B14+MAX(0,(1-S1981/'01_설정'!B6))*'01_설정'!B15+MAX(0,(1-T1981/'01_설정'!B7))*'01_설정'!B16+MAX(0,(1-U1981/'01_설정'!B8))*'01_설정'!B17+O1981*'01_설정'!B11+Q1981*'01_설정'!B12+P1981*'01_설정'!B13+IF(Z1981="",0,Z1981))</f>
        <v/>
      </c>
      <c r="X1981" s="152">
        <f>IF(W1981="","",1+COUNTIFS($W$4:$W$3003,"&gt;"&amp;W1981)+COUNTIFS($W$4:W1981,W1981)-1)</f>
        <v/>
      </c>
      <c r="Y1981" s="175">
        <f>IF(OR(I1981="",'02_대상물건입력'!B19="",'02_대상물건입력'!B19&lt;=0),"",ABS(I1981-'02_대상물건입력'!B19)/'02_대상물건입력'!B19)</f>
        <v/>
      </c>
      <c r="Z1981" s="172">
        <f>IF(OR(Y1981="",'01_설정'!B31="",'01_설정'!B31&lt;=0,'01_설정'!B32="",'01_설정'!B32&lt;=0),"",MAX(0,(1-Y1981/'01_설정'!B32))*'01_설정'!B31)</f>
        <v/>
      </c>
    </row>
    <row r="1982" ht="17.25" customHeight="1">
      <c r="A1982" s="152">
        <f>IF(INDEX('04A_국토부원자료'!$A:$A,ROW()+1)="","",ROW()-3)</f>
        <v/>
      </c>
      <c r="B1982" s="48">
        <f>IFERROR(INDEX('04A_국토부원자료'!$A:$T,ROW()+1,MATCH("시군구",'04A_국토부원자료'!$A$4:$T$4,0)),"")</f>
        <v/>
      </c>
      <c r="C1982" s="48">
        <f>IF(B1982="","",IFERROR(INDEX('04A_국토부원자료'!$A:$T,ROW()+1,MATCH("번지",'04A_국토부원자료'!$A$4:$T$4,0)),""))</f>
        <v/>
      </c>
      <c r="D1982" s="48">
        <f>IF(B1982="","",IF(Q1982=1,'02_대상물건입력'!$B$8,IFERROR(INDEX('04A_국토부원자료'!$A:$T,ROW()+1,MATCH("단지명",'04A_국토부원자료'!$A$4:$T$4,0)),"")))</f>
        <v/>
      </c>
      <c r="E1982" s="172">
        <f>IFERROR(VALUE(SUBSTITUTE(INDEX('04A_국토부원자료'!$A:$T,ROW()+1,MATCH("전용면적(㎡)",'04A_국토부원자료'!$A$4:$T$4,0)),",","")),"")</f>
        <v/>
      </c>
      <c r="F19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82" s="51">
        <f>IFERROR(VALUE(SUBSTITUTE(INDEX('04A_국토부원자료'!$A:$T,ROW()+1,MATCH("거래금액(만원)",'04A_국토부원자료'!$A$4:$T$4,0)),",","")),"")</f>
        <v/>
      </c>
      <c r="H1982" s="174">
        <f>IF(G1982="","",G1982*10000)</f>
        <v/>
      </c>
      <c r="I1982" s="174">
        <f>IFERROR(IF(AND(H1982&gt;0,E1982&gt;0),H1982/E1982,""),"")</f>
        <v/>
      </c>
      <c r="J1982" s="152">
        <f>IFERROR(VALUE(SUBSTITUTE(INDEX('04A_국토부원자료'!$A:$T,ROW()+1,MATCH("층",'04A_국토부원자료'!$A$4:$T$4,0)),",","")),"")</f>
        <v/>
      </c>
      <c r="K1982" s="152">
        <f>IFERROR(VALUE(SUBSTITUTE(INDEX('04A_국토부원자료'!$A:$T,ROW()+1,MATCH("건축년도",'04A_국토부원자료'!$A$4:$T$4,0)),",","")),"")</f>
        <v/>
      </c>
      <c r="L1982" s="48">
        <f>IFERROR(INDEX('04A_국토부원자료'!$A:$T,ROW()+1,MATCH("도로명",'04A_국토부원자료'!$A$4:$T$4,0)),"")</f>
        <v/>
      </c>
      <c r="M1982" s="48">
        <f>IFERROR(INDEX('04A_국토부원자료'!$A:$T,ROW()+1,MATCH("거래유형",'04A_국토부원자료'!$A$4:$T$4,0)),"")</f>
        <v/>
      </c>
      <c r="N1982" s="152">
        <f>IF(B1982="","",IF('02_대상물건입력'!B5="",1,IF(ISNUMBER(SEARCH('02_대상물건입력'!B5,B1982)),1,0)))</f>
        <v/>
      </c>
      <c r="O1982" s="152">
        <f>IF(B1982="","",IF('02_대상물건입력'!B6="",1,IF(ISNUMBER(SEARCH('02_대상물건입력'!B6,B1982)),1,0)))</f>
        <v/>
      </c>
      <c r="P1982" s="152">
        <f>IF(L1982="","",IF('02_대상물건입력'!B15="",0,IF(ISNUMBER(SEARCH('02_대상물건입력'!B15,L1982)),1,0)))</f>
        <v/>
      </c>
      <c r="Q1982" s="152">
        <f>IF(OR(C1982="",L1982=""),0,IF(AND(TRIM(C1982)=TRIM(RIGHT(SUBSTITUTE(TRIM('02_대상물건입력'!$B$7)," ",REPT(" ",99)),99)),IF('02_대상물건입력'!B15="",TRUE(),ISNUMBER(SEARCH('02_대상물건입력'!B15,L1982)))),1,0))</f>
        <v/>
      </c>
      <c r="R1982" s="175">
        <f>IFERROR(ABS(E1982-'02_대상물건입력'!B11)/'02_대상물건입력'!B11,"")</f>
        <v/>
      </c>
      <c r="S1982" s="152">
        <f>IFERROR(ABS(J1982-'02_대상물건입력'!B10),"")</f>
        <v/>
      </c>
      <c r="T1982" s="152">
        <f>IFERROR(ABS('01_설정'!B4-F1982),"")</f>
        <v/>
      </c>
      <c r="U1982" s="152">
        <f>IFERROR(ABS(K1982-YEAR('02_대상물건입력'!B14)),"")</f>
        <v/>
      </c>
      <c r="V1982" s="152">
        <f>IF(B1982="","",IF(AND(E1982&gt;0,F1982&gt;0,H1982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1982=1,TRUE()),R1982&lt;='01_설정'!B5,S1982&lt;='01_설정'!B6,T1982&lt;='01_설정'!B7,U1982&lt;='01_설정'!B8),"Y",""))</f>
        <v/>
      </c>
      <c r="W1982" s="172">
        <f>IF(V1982&lt;&gt;"Y","",MAX(0,(1-R1982/'01_설정'!B5))*'01_설정'!B14+MAX(0,(1-S1982/'01_설정'!B6))*'01_설정'!B15+MAX(0,(1-T1982/'01_설정'!B7))*'01_설정'!B16+MAX(0,(1-U1982/'01_설정'!B8))*'01_설정'!B17+O1982*'01_설정'!B11+Q1982*'01_설정'!B12+P1982*'01_설정'!B13+IF(Z1982="",0,Z1982))</f>
        <v/>
      </c>
      <c r="X1982" s="152">
        <f>IF(W1982="","",1+COUNTIFS($W$4:$W$3003,"&gt;"&amp;W1982)+COUNTIFS($W$4:W1982,W1982)-1)</f>
        <v/>
      </c>
      <c r="Y1982" s="175">
        <f>IF(OR(I1982="",'02_대상물건입력'!B19="",'02_대상물건입력'!B19&lt;=0),"",ABS(I1982-'02_대상물건입력'!B19)/'02_대상물건입력'!B19)</f>
        <v/>
      </c>
      <c r="Z1982" s="172">
        <f>IF(OR(Y1982="",'01_설정'!B31="",'01_설정'!B31&lt;=0,'01_설정'!B32="",'01_설정'!B32&lt;=0),"",MAX(0,(1-Y1982/'01_설정'!B32))*'01_설정'!B31)</f>
        <v/>
      </c>
    </row>
    <row r="1983" ht="17.25" customHeight="1">
      <c r="A1983" s="152">
        <f>IF(INDEX('04A_국토부원자료'!$A:$A,ROW()+1)="","",ROW()-3)</f>
        <v/>
      </c>
      <c r="B1983" s="48">
        <f>IFERROR(INDEX('04A_국토부원자료'!$A:$T,ROW()+1,MATCH("시군구",'04A_국토부원자료'!$A$4:$T$4,0)),"")</f>
        <v/>
      </c>
      <c r="C1983" s="48">
        <f>IF(B1983="","",IFERROR(INDEX('04A_국토부원자료'!$A:$T,ROW()+1,MATCH("번지",'04A_국토부원자료'!$A$4:$T$4,0)),""))</f>
        <v/>
      </c>
      <c r="D1983" s="48">
        <f>IF(B1983="","",IF(Q1983=1,'02_대상물건입력'!$B$8,IFERROR(INDEX('04A_국토부원자료'!$A:$T,ROW()+1,MATCH("단지명",'04A_국토부원자료'!$A$4:$T$4,0)),"")))</f>
        <v/>
      </c>
      <c r="E1983" s="172">
        <f>IFERROR(VALUE(SUBSTITUTE(INDEX('04A_국토부원자료'!$A:$T,ROW()+1,MATCH("전용면적(㎡)",'04A_국토부원자료'!$A$4:$T$4,0)),",","")),"")</f>
        <v/>
      </c>
      <c r="F19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83" s="51">
        <f>IFERROR(VALUE(SUBSTITUTE(INDEX('04A_국토부원자료'!$A:$T,ROW()+1,MATCH("거래금액(만원)",'04A_국토부원자료'!$A$4:$T$4,0)),",","")),"")</f>
        <v/>
      </c>
      <c r="H1983" s="174">
        <f>IF(G1983="","",G1983*10000)</f>
        <v/>
      </c>
      <c r="I1983" s="174">
        <f>IFERROR(IF(AND(H1983&gt;0,E1983&gt;0),H1983/E1983,""),"")</f>
        <v/>
      </c>
      <c r="J1983" s="152">
        <f>IFERROR(VALUE(SUBSTITUTE(INDEX('04A_국토부원자료'!$A:$T,ROW()+1,MATCH("층",'04A_국토부원자료'!$A$4:$T$4,0)),",","")),"")</f>
        <v/>
      </c>
      <c r="K1983" s="152">
        <f>IFERROR(VALUE(SUBSTITUTE(INDEX('04A_국토부원자료'!$A:$T,ROW()+1,MATCH("건축년도",'04A_국토부원자료'!$A$4:$T$4,0)),",","")),"")</f>
        <v/>
      </c>
      <c r="L1983" s="48">
        <f>IFERROR(INDEX('04A_국토부원자료'!$A:$T,ROW()+1,MATCH("도로명",'04A_국토부원자료'!$A$4:$T$4,0)),"")</f>
        <v/>
      </c>
      <c r="M1983" s="48">
        <f>IFERROR(INDEX('04A_국토부원자료'!$A:$T,ROW()+1,MATCH("거래유형",'04A_국토부원자료'!$A$4:$T$4,0)),"")</f>
        <v/>
      </c>
      <c r="N1983" s="152">
        <f>IF(B1983="","",IF('02_대상물건입력'!B5="",1,IF(ISNUMBER(SEARCH('02_대상물건입력'!B5,B1983)),1,0)))</f>
        <v/>
      </c>
      <c r="O1983" s="152">
        <f>IF(B1983="","",IF('02_대상물건입력'!B6="",1,IF(ISNUMBER(SEARCH('02_대상물건입력'!B6,B1983)),1,0)))</f>
        <v/>
      </c>
      <c r="P1983" s="152">
        <f>IF(L1983="","",IF('02_대상물건입력'!B15="",0,IF(ISNUMBER(SEARCH('02_대상물건입력'!B15,L1983)),1,0)))</f>
        <v/>
      </c>
      <c r="Q1983" s="152">
        <f>IF(OR(C1983="",L1983=""),0,IF(AND(TRIM(C1983)=TRIM(RIGHT(SUBSTITUTE(TRIM('02_대상물건입력'!$B$7)," ",REPT(" ",99)),99)),IF('02_대상물건입력'!B15="",TRUE(),ISNUMBER(SEARCH('02_대상물건입력'!B15,L1983)))),1,0))</f>
        <v/>
      </c>
      <c r="R1983" s="175">
        <f>IFERROR(ABS(E1983-'02_대상물건입력'!B11)/'02_대상물건입력'!B11,"")</f>
        <v/>
      </c>
      <c r="S1983" s="152">
        <f>IFERROR(ABS(J1983-'02_대상물건입력'!B10),"")</f>
        <v/>
      </c>
      <c r="T1983" s="152">
        <f>IFERROR(ABS('01_설정'!B4-F1983),"")</f>
        <v/>
      </c>
      <c r="U1983" s="152">
        <f>IFERROR(ABS(K1983-YEAR('02_대상물건입력'!B14)),"")</f>
        <v/>
      </c>
      <c r="V1983" s="152">
        <f>IF(B1983="","",IF(AND(E1983&gt;0,F1983&gt;0,H1983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1983=1,TRUE()),R1983&lt;='01_설정'!B5,S1983&lt;='01_설정'!B6,T1983&lt;='01_설정'!B7,U1983&lt;='01_설정'!B8),"Y",""))</f>
        <v/>
      </c>
      <c r="W1983" s="172">
        <f>IF(V1983&lt;&gt;"Y","",MAX(0,(1-R1983/'01_설정'!B5))*'01_설정'!B14+MAX(0,(1-S1983/'01_설정'!B6))*'01_설정'!B15+MAX(0,(1-T1983/'01_설정'!B7))*'01_설정'!B16+MAX(0,(1-U1983/'01_설정'!B8))*'01_설정'!B17+O1983*'01_설정'!B11+Q1983*'01_설정'!B12+P1983*'01_설정'!B13+IF(Z1983="",0,Z1983))</f>
        <v/>
      </c>
      <c r="X1983" s="152">
        <f>IF(W1983="","",1+COUNTIFS($W$4:$W$3003,"&gt;"&amp;W1983)+COUNTIFS($W$4:W1983,W1983)-1)</f>
        <v/>
      </c>
      <c r="Y1983" s="175">
        <f>IF(OR(I1983="",'02_대상물건입력'!B19="",'02_대상물건입력'!B19&lt;=0),"",ABS(I1983-'02_대상물건입력'!B19)/'02_대상물건입력'!B19)</f>
        <v/>
      </c>
      <c r="Z1983" s="172">
        <f>IF(OR(Y1983="",'01_설정'!B31="",'01_설정'!B31&lt;=0,'01_설정'!B32="",'01_설정'!B32&lt;=0),"",MAX(0,(1-Y1983/'01_설정'!B32))*'01_설정'!B31)</f>
        <v/>
      </c>
    </row>
    <row r="1984" ht="17.25" customHeight="1">
      <c r="A1984" s="152">
        <f>IF(INDEX('04A_국토부원자료'!$A:$A,ROW()+1)="","",ROW()-3)</f>
        <v/>
      </c>
      <c r="B1984" s="48">
        <f>IFERROR(INDEX('04A_국토부원자료'!$A:$T,ROW()+1,MATCH("시군구",'04A_국토부원자료'!$A$4:$T$4,0)),"")</f>
        <v/>
      </c>
      <c r="C1984" s="48">
        <f>IF(B1984="","",IFERROR(INDEX('04A_국토부원자료'!$A:$T,ROW()+1,MATCH("번지",'04A_국토부원자료'!$A$4:$T$4,0)),""))</f>
        <v/>
      </c>
      <c r="D1984" s="48">
        <f>IF(B1984="","",IF(Q1984=1,'02_대상물건입력'!$B$8,IFERROR(INDEX('04A_국토부원자료'!$A:$T,ROW()+1,MATCH("단지명",'04A_국토부원자료'!$A$4:$T$4,0)),"")))</f>
        <v/>
      </c>
      <c r="E1984" s="172">
        <f>IFERROR(VALUE(SUBSTITUTE(INDEX('04A_국토부원자료'!$A:$T,ROW()+1,MATCH("전용면적(㎡)",'04A_국토부원자료'!$A$4:$T$4,0)),",","")),"")</f>
        <v/>
      </c>
      <c r="F19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84" s="51">
        <f>IFERROR(VALUE(SUBSTITUTE(INDEX('04A_국토부원자료'!$A:$T,ROW()+1,MATCH("거래금액(만원)",'04A_국토부원자료'!$A$4:$T$4,0)),",","")),"")</f>
        <v/>
      </c>
      <c r="H1984" s="174">
        <f>IF(G1984="","",G1984*10000)</f>
        <v/>
      </c>
      <c r="I1984" s="174">
        <f>IFERROR(IF(AND(H1984&gt;0,E1984&gt;0),H1984/E1984,""),"")</f>
        <v/>
      </c>
      <c r="J1984" s="152">
        <f>IFERROR(VALUE(SUBSTITUTE(INDEX('04A_국토부원자료'!$A:$T,ROW()+1,MATCH("층",'04A_국토부원자료'!$A$4:$T$4,0)),",","")),"")</f>
        <v/>
      </c>
      <c r="K1984" s="152">
        <f>IFERROR(VALUE(SUBSTITUTE(INDEX('04A_국토부원자료'!$A:$T,ROW()+1,MATCH("건축년도",'04A_국토부원자료'!$A$4:$T$4,0)),",","")),"")</f>
        <v/>
      </c>
      <c r="L1984" s="48">
        <f>IFERROR(INDEX('04A_국토부원자료'!$A:$T,ROW()+1,MATCH("도로명",'04A_국토부원자료'!$A$4:$T$4,0)),"")</f>
        <v/>
      </c>
      <c r="M1984" s="48">
        <f>IFERROR(INDEX('04A_국토부원자료'!$A:$T,ROW()+1,MATCH("거래유형",'04A_국토부원자료'!$A$4:$T$4,0)),"")</f>
        <v/>
      </c>
      <c r="N1984" s="152">
        <f>IF(B1984="","",IF('02_대상물건입력'!B5="",1,IF(ISNUMBER(SEARCH('02_대상물건입력'!B5,B1984)),1,0)))</f>
        <v/>
      </c>
      <c r="O1984" s="152">
        <f>IF(B1984="","",IF('02_대상물건입력'!B6="",1,IF(ISNUMBER(SEARCH('02_대상물건입력'!B6,B1984)),1,0)))</f>
        <v/>
      </c>
      <c r="P1984" s="152">
        <f>IF(L1984="","",IF('02_대상물건입력'!B15="",0,IF(ISNUMBER(SEARCH('02_대상물건입력'!B15,L1984)),1,0)))</f>
        <v/>
      </c>
      <c r="Q1984" s="152">
        <f>IF(OR(C1984="",L1984=""),0,IF(AND(TRIM(C1984)=TRIM(RIGHT(SUBSTITUTE(TRIM('02_대상물건입력'!$B$7)," ",REPT(" ",99)),99)),IF('02_대상물건입력'!B15="",TRUE(),ISNUMBER(SEARCH('02_대상물건입력'!B15,L1984)))),1,0))</f>
        <v/>
      </c>
      <c r="R1984" s="175">
        <f>IFERROR(ABS(E1984-'02_대상물건입력'!B11)/'02_대상물건입력'!B11,"")</f>
        <v/>
      </c>
      <c r="S1984" s="152">
        <f>IFERROR(ABS(J1984-'02_대상물건입력'!B10),"")</f>
        <v/>
      </c>
      <c r="T1984" s="152">
        <f>IFERROR(ABS('01_설정'!B4-F1984),"")</f>
        <v/>
      </c>
      <c r="U1984" s="152">
        <f>IFERROR(ABS(K1984-YEAR('02_대상물건입력'!B14)),"")</f>
        <v/>
      </c>
      <c r="V1984" s="152">
        <f>IF(B1984="","",IF(AND(E1984&gt;0,F1984&gt;0,H1984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1984=1,TRUE()),R1984&lt;='01_설정'!B5,S1984&lt;='01_설정'!B6,T1984&lt;='01_설정'!B7,U1984&lt;='01_설정'!B8),"Y",""))</f>
        <v/>
      </c>
      <c r="W1984" s="172">
        <f>IF(V1984&lt;&gt;"Y","",MAX(0,(1-R1984/'01_설정'!B5))*'01_설정'!B14+MAX(0,(1-S1984/'01_설정'!B6))*'01_설정'!B15+MAX(0,(1-T1984/'01_설정'!B7))*'01_설정'!B16+MAX(0,(1-U1984/'01_설정'!B8))*'01_설정'!B17+O1984*'01_설정'!B11+Q1984*'01_설정'!B12+P1984*'01_설정'!B13+IF(Z1984="",0,Z1984))</f>
        <v/>
      </c>
      <c r="X1984" s="152">
        <f>IF(W1984="","",1+COUNTIFS($W$4:$W$3003,"&gt;"&amp;W1984)+COUNTIFS($W$4:W1984,W1984)-1)</f>
        <v/>
      </c>
      <c r="Y1984" s="175">
        <f>IF(OR(I1984="",'02_대상물건입력'!B19="",'02_대상물건입력'!B19&lt;=0),"",ABS(I1984-'02_대상물건입력'!B19)/'02_대상물건입력'!B19)</f>
        <v/>
      </c>
      <c r="Z1984" s="172">
        <f>IF(OR(Y1984="",'01_설정'!B31="",'01_설정'!B31&lt;=0,'01_설정'!B32="",'01_설정'!B32&lt;=0),"",MAX(0,(1-Y1984/'01_설정'!B32))*'01_설정'!B31)</f>
        <v/>
      </c>
    </row>
    <row r="1985" ht="17.25" customHeight="1">
      <c r="A1985" s="152">
        <f>IF(INDEX('04A_국토부원자료'!$A:$A,ROW()+1)="","",ROW()-3)</f>
        <v/>
      </c>
      <c r="B1985" s="48">
        <f>IFERROR(INDEX('04A_국토부원자료'!$A:$T,ROW()+1,MATCH("시군구",'04A_국토부원자료'!$A$4:$T$4,0)),"")</f>
        <v/>
      </c>
      <c r="C1985" s="48">
        <f>IF(B1985="","",IFERROR(INDEX('04A_국토부원자료'!$A:$T,ROW()+1,MATCH("번지",'04A_국토부원자료'!$A$4:$T$4,0)),""))</f>
        <v/>
      </c>
      <c r="D1985" s="48">
        <f>IF(B1985="","",IF(Q1985=1,'02_대상물건입력'!$B$8,IFERROR(INDEX('04A_국토부원자료'!$A:$T,ROW()+1,MATCH("단지명",'04A_국토부원자료'!$A$4:$T$4,0)),"")))</f>
        <v/>
      </c>
      <c r="E1985" s="172">
        <f>IFERROR(VALUE(SUBSTITUTE(INDEX('04A_국토부원자료'!$A:$T,ROW()+1,MATCH("전용면적(㎡)",'04A_국토부원자료'!$A$4:$T$4,0)),",","")),"")</f>
        <v/>
      </c>
      <c r="F19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85" s="51">
        <f>IFERROR(VALUE(SUBSTITUTE(INDEX('04A_국토부원자료'!$A:$T,ROW()+1,MATCH("거래금액(만원)",'04A_국토부원자료'!$A$4:$T$4,0)),",","")),"")</f>
        <v/>
      </c>
      <c r="H1985" s="174">
        <f>IF(G1985="","",G1985*10000)</f>
        <v/>
      </c>
      <c r="I1985" s="174">
        <f>IFERROR(IF(AND(H1985&gt;0,E1985&gt;0),H1985/E1985,""),"")</f>
        <v/>
      </c>
      <c r="J1985" s="152">
        <f>IFERROR(VALUE(SUBSTITUTE(INDEX('04A_국토부원자료'!$A:$T,ROW()+1,MATCH("층",'04A_국토부원자료'!$A$4:$T$4,0)),",","")),"")</f>
        <v/>
      </c>
      <c r="K1985" s="152">
        <f>IFERROR(VALUE(SUBSTITUTE(INDEX('04A_국토부원자료'!$A:$T,ROW()+1,MATCH("건축년도",'04A_국토부원자료'!$A$4:$T$4,0)),",","")),"")</f>
        <v/>
      </c>
      <c r="L1985" s="48">
        <f>IFERROR(INDEX('04A_국토부원자료'!$A:$T,ROW()+1,MATCH("도로명",'04A_국토부원자료'!$A$4:$T$4,0)),"")</f>
        <v/>
      </c>
      <c r="M1985" s="48">
        <f>IFERROR(INDEX('04A_국토부원자료'!$A:$T,ROW()+1,MATCH("거래유형",'04A_국토부원자료'!$A$4:$T$4,0)),"")</f>
        <v/>
      </c>
      <c r="N1985" s="152">
        <f>IF(B1985="","",IF('02_대상물건입력'!B5="",1,IF(ISNUMBER(SEARCH('02_대상물건입력'!B5,B1985)),1,0)))</f>
        <v/>
      </c>
      <c r="O1985" s="152">
        <f>IF(B1985="","",IF('02_대상물건입력'!B6="",1,IF(ISNUMBER(SEARCH('02_대상물건입력'!B6,B1985)),1,0)))</f>
        <v/>
      </c>
      <c r="P1985" s="152">
        <f>IF(L1985="","",IF('02_대상물건입력'!B15="",0,IF(ISNUMBER(SEARCH('02_대상물건입력'!B15,L1985)),1,0)))</f>
        <v/>
      </c>
      <c r="Q1985" s="152">
        <f>IF(OR(C1985="",L1985=""),0,IF(AND(TRIM(C1985)=TRIM(RIGHT(SUBSTITUTE(TRIM('02_대상물건입력'!$B$7)," ",REPT(" ",99)),99)),IF('02_대상물건입력'!B15="",TRUE(),ISNUMBER(SEARCH('02_대상물건입력'!B15,L1985)))),1,0))</f>
        <v/>
      </c>
      <c r="R1985" s="175">
        <f>IFERROR(ABS(E1985-'02_대상물건입력'!B11)/'02_대상물건입력'!B11,"")</f>
        <v/>
      </c>
      <c r="S1985" s="152">
        <f>IFERROR(ABS(J1985-'02_대상물건입력'!B10),"")</f>
        <v/>
      </c>
      <c r="T1985" s="152">
        <f>IFERROR(ABS('01_설정'!B4-F1985),"")</f>
        <v/>
      </c>
      <c r="U1985" s="152">
        <f>IFERROR(ABS(K1985-YEAR('02_대상물건입력'!B14)),"")</f>
        <v/>
      </c>
      <c r="V1985" s="152">
        <f>IF(B1985="","",IF(AND(E1985&gt;0,F1985&gt;0,H1985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1985=1,TRUE()),R1985&lt;='01_설정'!B5,S1985&lt;='01_설정'!B6,T1985&lt;='01_설정'!B7,U1985&lt;='01_설정'!B8),"Y",""))</f>
        <v/>
      </c>
      <c r="W1985" s="172">
        <f>IF(V1985&lt;&gt;"Y","",MAX(0,(1-R1985/'01_설정'!B5))*'01_설정'!B14+MAX(0,(1-S1985/'01_설정'!B6))*'01_설정'!B15+MAX(0,(1-T1985/'01_설정'!B7))*'01_설정'!B16+MAX(0,(1-U1985/'01_설정'!B8))*'01_설정'!B17+O1985*'01_설정'!B11+Q1985*'01_설정'!B12+P1985*'01_설정'!B13+IF(Z1985="",0,Z1985))</f>
        <v/>
      </c>
      <c r="X1985" s="152">
        <f>IF(W1985="","",1+COUNTIFS($W$4:$W$3003,"&gt;"&amp;W1985)+COUNTIFS($W$4:W1985,W1985)-1)</f>
        <v/>
      </c>
      <c r="Y1985" s="175">
        <f>IF(OR(I1985="",'02_대상물건입력'!B19="",'02_대상물건입력'!B19&lt;=0),"",ABS(I1985-'02_대상물건입력'!B19)/'02_대상물건입력'!B19)</f>
        <v/>
      </c>
      <c r="Z1985" s="172">
        <f>IF(OR(Y1985="",'01_설정'!B31="",'01_설정'!B31&lt;=0,'01_설정'!B32="",'01_설정'!B32&lt;=0),"",MAX(0,(1-Y1985/'01_설정'!B32))*'01_설정'!B31)</f>
        <v/>
      </c>
    </row>
    <row r="1986" ht="17.25" customHeight="1">
      <c r="A1986" s="152">
        <f>IF(INDEX('04A_국토부원자료'!$A:$A,ROW()+1)="","",ROW()-3)</f>
        <v/>
      </c>
      <c r="B1986" s="48">
        <f>IFERROR(INDEX('04A_국토부원자료'!$A:$T,ROW()+1,MATCH("시군구",'04A_국토부원자료'!$A$4:$T$4,0)),"")</f>
        <v/>
      </c>
      <c r="C1986" s="48">
        <f>IF(B1986="","",IFERROR(INDEX('04A_국토부원자료'!$A:$T,ROW()+1,MATCH("번지",'04A_국토부원자료'!$A$4:$T$4,0)),""))</f>
        <v/>
      </c>
      <c r="D1986" s="48">
        <f>IF(B1986="","",IF(Q1986=1,'02_대상물건입력'!$B$8,IFERROR(INDEX('04A_국토부원자료'!$A:$T,ROW()+1,MATCH("단지명",'04A_국토부원자료'!$A$4:$T$4,0)),"")))</f>
        <v/>
      </c>
      <c r="E1986" s="172">
        <f>IFERROR(VALUE(SUBSTITUTE(INDEX('04A_국토부원자료'!$A:$T,ROW()+1,MATCH("전용면적(㎡)",'04A_국토부원자료'!$A$4:$T$4,0)),",","")),"")</f>
        <v/>
      </c>
      <c r="F19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86" s="51">
        <f>IFERROR(VALUE(SUBSTITUTE(INDEX('04A_국토부원자료'!$A:$T,ROW()+1,MATCH("거래금액(만원)",'04A_국토부원자료'!$A$4:$T$4,0)),",","")),"")</f>
        <v/>
      </c>
      <c r="H1986" s="174">
        <f>IF(G1986="","",G1986*10000)</f>
        <v/>
      </c>
      <c r="I1986" s="174">
        <f>IFERROR(IF(AND(H1986&gt;0,E1986&gt;0),H1986/E1986,""),"")</f>
        <v/>
      </c>
      <c r="J1986" s="152">
        <f>IFERROR(VALUE(SUBSTITUTE(INDEX('04A_국토부원자료'!$A:$T,ROW()+1,MATCH("층",'04A_국토부원자료'!$A$4:$T$4,0)),",","")),"")</f>
        <v/>
      </c>
      <c r="K1986" s="152">
        <f>IFERROR(VALUE(SUBSTITUTE(INDEX('04A_국토부원자료'!$A:$T,ROW()+1,MATCH("건축년도",'04A_국토부원자료'!$A$4:$T$4,0)),",","")),"")</f>
        <v/>
      </c>
      <c r="L1986" s="48">
        <f>IFERROR(INDEX('04A_국토부원자료'!$A:$T,ROW()+1,MATCH("도로명",'04A_국토부원자료'!$A$4:$T$4,0)),"")</f>
        <v/>
      </c>
      <c r="M1986" s="48">
        <f>IFERROR(INDEX('04A_국토부원자료'!$A:$T,ROW()+1,MATCH("거래유형",'04A_국토부원자료'!$A$4:$T$4,0)),"")</f>
        <v/>
      </c>
      <c r="N1986" s="152">
        <f>IF(B1986="","",IF('02_대상물건입력'!B5="",1,IF(ISNUMBER(SEARCH('02_대상물건입력'!B5,B1986)),1,0)))</f>
        <v/>
      </c>
      <c r="O1986" s="152">
        <f>IF(B1986="","",IF('02_대상물건입력'!B6="",1,IF(ISNUMBER(SEARCH('02_대상물건입력'!B6,B1986)),1,0)))</f>
        <v/>
      </c>
      <c r="P1986" s="152">
        <f>IF(L1986="","",IF('02_대상물건입력'!B15="",0,IF(ISNUMBER(SEARCH('02_대상물건입력'!B15,L1986)),1,0)))</f>
        <v/>
      </c>
      <c r="Q1986" s="152">
        <f>IF(OR(C1986="",L1986=""),0,IF(AND(TRIM(C1986)=TRIM(RIGHT(SUBSTITUTE(TRIM('02_대상물건입력'!$B$7)," ",REPT(" ",99)),99)),IF('02_대상물건입력'!B15="",TRUE(),ISNUMBER(SEARCH('02_대상물건입력'!B15,L1986)))),1,0))</f>
        <v/>
      </c>
      <c r="R1986" s="175">
        <f>IFERROR(ABS(E1986-'02_대상물건입력'!B11)/'02_대상물건입력'!B11,"")</f>
        <v/>
      </c>
      <c r="S1986" s="152">
        <f>IFERROR(ABS(J1986-'02_대상물건입력'!B10),"")</f>
        <v/>
      </c>
      <c r="T1986" s="152">
        <f>IFERROR(ABS('01_설정'!B4-F1986),"")</f>
        <v/>
      </c>
      <c r="U1986" s="152">
        <f>IFERROR(ABS(K1986-YEAR('02_대상물건입력'!B14)),"")</f>
        <v/>
      </c>
      <c r="V1986" s="152">
        <f>IF(B1986="","",IF(AND(E1986&gt;0,F1986&gt;0,H1986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1986=1,TRUE()),R1986&lt;='01_설정'!B5,S1986&lt;='01_설정'!B6,T1986&lt;='01_설정'!B7,U1986&lt;='01_설정'!B8),"Y",""))</f>
        <v/>
      </c>
      <c r="W1986" s="172">
        <f>IF(V1986&lt;&gt;"Y","",MAX(0,(1-R1986/'01_설정'!B5))*'01_설정'!B14+MAX(0,(1-S1986/'01_설정'!B6))*'01_설정'!B15+MAX(0,(1-T1986/'01_설정'!B7))*'01_설정'!B16+MAX(0,(1-U1986/'01_설정'!B8))*'01_설정'!B17+O1986*'01_설정'!B11+Q1986*'01_설정'!B12+P1986*'01_설정'!B13+IF(Z1986="",0,Z1986))</f>
        <v/>
      </c>
      <c r="X1986" s="152">
        <f>IF(W1986="","",1+COUNTIFS($W$4:$W$3003,"&gt;"&amp;W1986)+COUNTIFS($W$4:W1986,W1986)-1)</f>
        <v/>
      </c>
      <c r="Y1986" s="175">
        <f>IF(OR(I1986="",'02_대상물건입력'!B19="",'02_대상물건입력'!B19&lt;=0),"",ABS(I1986-'02_대상물건입력'!B19)/'02_대상물건입력'!B19)</f>
        <v/>
      </c>
      <c r="Z1986" s="172">
        <f>IF(OR(Y1986="",'01_설정'!B31="",'01_설정'!B31&lt;=0,'01_설정'!B32="",'01_설정'!B32&lt;=0),"",MAX(0,(1-Y1986/'01_설정'!B32))*'01_설정'!B31)</f>
        <v/>
      </c>
    </row>
    <row r="1987" ht="17.25" customHeight="1">
      <c r="A1987" s="152">
        <f>IF(INDEX('04A_국토부원자료'!$A:$A,ROW()+1)="","",ROW()-3)</f>
        <v/>
      </c>
      <c r="B1987" s="48">
        <f>IFERROR(INDEX('04A_국토부원자료'!$A:$T,ROW()+1,MATCH("시군구",'04A_국토부원자료'!$A$4:$T$4,0)),"")</f>
        <v/>
      </c>
      <c r="C1987" s="48">
        <f>IF(B1987="","",IFERROR(INDEX('04A_국토부원자료'!$A:$T,ROW()+1,MATCH("번지",'04A_국토부원자료'!$A$4:$T$4,0)),""))</f>
        <v/>
      </c>
      <c r="D1987" s="48">
        <f>IF(B1987="","",IF(Q1987=1,'02_대상물건입력'!$B$8,IFERROR(INDEX('04A_국토부원자료'!$A:$T,ROW()+1,MATCH("단지명",'04A_국토부원자료'!$A$4:$T$4,0)),"")))</f>
        <v/>
      </c>
      <c r="E1987" s="172">
        <f>IFERROR(VALUE(SUBSTITUTE(INDEX('04A_국토부원자료'!$A:$T,ROW()+1,MATCH("전용면적(㎡)",'04A_국토부원자료'!$A$4:$T$4,0)),",","")),"")</f>
        <v/>
      </c>
      <c r="F19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87" s="51">
        <f>IFERROR(VALUE(SUBSTITUTE(INDEX('04A_국토부원자료'!$A:$T,ROW()+1,MATCH("거래금액(만원)",'04A_국토부원자료'!$A$4:$T$4,0)),",","")),"")</f>
        <v/>
      </c>
      <c r="H1987" s="174">
        <f>IF(G1987="","",G1987*10000)</f>
        <v/>
      </c>
      <c r="I1987" s="174">
        <f>IFERROR(IF(AND(H1987&gt;0,E1987&gt;0),H1987/E1987,""),"")</f>
        <v/>
      </c>
      <c r="J1987" s="152">
        <f>IFERROR(VALUE(SUBSTITUTE(INDEX('04A_국토부원자료'!$A:$T,ROW()+1,MATCH("층",'04A_국토부원자료'!$A$4:$T$4,0)),",","")),"")</f>
        <v/>
      </c>
      <c r="K1987" s="152">
        <f>IFERROR(VALUE(SUBSTITUTE(INDEX('04A_국토부원자료'!$A:$T,ROW()+1,MATCH("건축년도",'04A_국토부원자료'!$A$4:$T$4,0)),",","")),"")</f>
        <v/>
      </c>
      <c r="L1987" s="48">
        <f>IFERROR(INDEX('04A_국토부원자료'!$A:$T,ROW()+1,MATCH("도로명",'04A_국토부원자료'!$A$4:$T$4,0)),"")</f>
        <v/>
      </c>
      <c r="M1987" s="48">
        <f>IFERROR(INDEX('04A_국토부원자료'!$A:$T,ROW()+1,MATCH("거래유형",'04A_국토부원자료'!$A$4:$T$4,0)),"")</f>
        <v/>
      </c>
      <c r="N1987" s="152">
        <f>IF(B1987="","",IF('02_대상물건입력'!B5="",1,IF(ISNUMBER(SEARCH('02_대상물건입력'!B5,B1987)),1,0)))</f>
        <v/>
      </c>
      <c r="O1987" s="152">
        <f>IF(B1987="","",IF('02_대상물건입력'!B6="",1,IF(ISNUMBER(SEARCH('02_대상물건입력'!B6,B1987)),1,0)))</f>
        <v/>
      </c>
      <c r="P1987" s="152">
        <f>IF(L1987="","",IF('02_대상물건입력'!B15="",0,IF(ISNUMBER(SEARCH('02_대상물건입력'!B15,L1987)),1,0)))</f>
        <v/>
      </c>
      <c r="Q1987" s="152">
        <f>IF(OR(C1987="",L1987=""),0,IF(AND(TRIM(C1987)=TRIM(RIGHT(SUBSTITUTE(TRIM('02_대상물건입력'!$B$7)," ",REPT(" ",99)),99)),IF('02_대상물건입력'!B15="",TRUE(),ISNUMBER(SEARCH('02_대상물건입력'!B15,L1987)))),1,0))</f>
        <v/>
      </c>
      <c r="R1987" s="175">
        <f>IFERROR(ABS(E1987-'02_대상물건입력'!B11)/'02_대상물건입력'!B11,"")</f>
        <v/>
      </c>
      <c r="S1987" s="152">
        <f>IFERROR(ABS(J1987-'02_대상물건입력'!B10),"")</f>
        <v/>
      </c>
      <c r="T1987" s="152">
        <f>IFERROR(ABS('01_설정'!B4-F1987),"")</f>
        <v/>
      </c>
      <c r="U1987" s="152">
        <f>IFERROR(ABS(K1987-YEAR('02_대상물건입력'!B14)),"")</f>
        <v/>
      </c>
      <c r="V1987" s="152">
        <f>IF(B1987="","",IF(AND(E1987&gt;0,F1987&gt;0,H1987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1987=1,TRUE()),R1987&lt;='01_설정'!B5,S1987&lt;='01_설정'!B6,T1987&lt;='01_설정'!B7,U1987&lt;='01_설정'!B8),"Y",""))</f>
        <v/>
      </c>
      <c r="W1987" s="172">
        <f>IF(V1987&lt;&gt;"Y","",MAX(0,(1-R1987/'01_설정'!B5))*'01_설정'!B14+MAX(0,(1-S1987/'01_설정'!B6))*'01_설정'!B15+MAX(0,(1-T1987/'01_설정'!B7))*'01_설정'!B16+MAX(0,(1-U1987/'01_설정'!B8))*'01_설정'!B17+O1987*'01_설정'!B11+Q1987*'01_설정'!B12+P1987*'01_설정'!B13+IF(Z1987="",0,Z1987))</f>
        <v/>
      </c>
      <c r="X1987" s="152">
        <f>IF(W1987="","",1+COUNTIFS($W$4:$W$3003,"&gt;"&amp;W1987)+COUNTIFS($W$4:W1987,W1987)-1)</f>
        <v/>
      </c>
      <c r="Y1987" s="175">
        <f>IF(OR(I1987="",'02_대상물건입력'!B19="",'02_대상물건입력'!B19&lt;=0),"",ABS(I1987-'02_대상물건입력'!B19)/'02_대상물건입력'!B19)</f>
        <v/>
      </c>
      <c r="Z1987" s="172">
        <f>IF(OR(Y1987="",'01_설정'!B31="",'01_설정'!B31&lt;=0,'01_설정'!B32="",'01_설정'!B32&lt;=0),"",MAX(0,(1-Y1987/'01_설정'!B32))*'01_설정'!B31)</f>
        <v/>
      </c>
    </row>
    <row r="1988" ht="17.25" customHeight="1">
      <c r="A1988" s="152">
        <f>IF(INDEX('04A_국토부원자료'!$A:$A,ROW()+1)="","",ROW()-3)</f>
        <v/>
      </c>
      <c r="B1988" s="48">
        <f>IFERROR(INDEX('04A_국토부원자료'!$A:$T,ROW()+1,MATCH("시군구",'04A_국토부원자료'!$A$4:$T$4,0)),"")</f>
        <v/>
      </c>
      <c r="C1988" s="48">
        <f>IF(B1988="","",IFERROR(INDEX('04A_국토부원자료'!$A:$T,ROW()+1,MATCH("번지",'04A_국토부원자료'!$A$4:$T$4,0)),""))</f>
        <v/>
      </c>
      <c r="D1988" s="48">
        <f>IF(B1988="","",IF(Q1988=1,'02_대상물건입력'!$B$8,IFERROR(INDEX('04A_국토부원자료'!$A:$T,ROW()+1,MATCH("단지명",'04A_국토부원자료'!$A$4:$T$4,0)),"")))</f>
        <v/>
      </c>
      <c r="E1988" s="172">
        <f>IFERROR(VALUE(SUBSTITUTE(INDEX('04A_국토부원자료'!$A:$T,ROW()+1,MATCH("전용면적(㎡)",'04A_국토부원자료'!$A$4:$T$4,0)),",","")),"")</f>
        <v/>
      </c>
      <c r="F19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88" s="51">
        <f>IFERROR(VALUE(SUBSTITUTE(INDEX('04A_국토부원자료'!$A:$T,ROW()+1,MATCH("거래금액(만원)",'04A_국토부원자료'!$A$4:$T$4,0)),",","")),"")</f>
        <v/>
      </c>
      <c r="H1988" s="174">
        <f>IF(G1988="","",G1988*10000)</f>
        <v/>
      </c>
      <c r="I1988" s="174">
        <f>IFERROR(IF(AND(H1988&gt;0,E1988&gt;0),H1988/E1988,""),"")</f>
        <v/>
      </c>
      <c r="J1988" s="152">
        <f>IFERROR(VALUE(SUBSTITUTE(INDEX('04A_국토부원자료'!$A:$T,ROW()+1,MATCH("층",'04A_국토부원자료'!$A$4:$T$4,0)),",","")),"")</f>
        <v/>
      </c>
      <c r="K1988" s="152">
        <f>IFERROR(VALUE(SUBSTITUTE(INDEX('04A_국토부원자료'!$A:$T,ROW()+1,MATCH("건축년도",'04A_국토부원자료'!$A$4:$T$4,0)),",","")),"")</f>
        <v/>
      </c>
      <c r="L1988" s="48">
        <f>IFERROR(INDEX('04A_국토부원자료'!$A:$T,ROW()+1,MATCH("도로명",'04A_국토부원자료'!$A$4:$T$4,0)),"")</f>
        <v/>
      </c>
      <c r="M1988" s="48">
        <f>IFERROR(INDEX('04A_국토부원자료'!$A:$T,ROW()+1,MATCH("거래유형",'04A_국토부원자료'!$A$4:$T$4,0)),"")</f>
        <v/>
      </c>
      <c r="N1988" s="152">
        <f>IF(B1988="","",IF('02_대상물건입력'!B5="",1,IF(ISNUMBER(SEARCH('02_대상물건입력'!B5,B1988)),1,0)))</f>
        <v/>
      </c>
      <c r="O1988" s="152">
        <f>IF(B1988="","",IF('02_대상물건입력'!B6="",1,IF(ISNUMBER(SEARCH('02_대상물건입력'!B6,B1988)),1,0)))</f>
        <v/>
      </c>
      <c r="P1988" s="152">
        <f>IF(L1988="","",IF('02_대상물건입력'!B15="",0,IF(ISNUMBER(SEARCH('02_대상물건입력'!B15,L1988)),1,0)))</f>
        <v/>
      </c>
      <c r="Q1988" s="152">
        <f>IF(OR(C1988="",L1988=""),0,IF(AND(TRIM(C1988)=TRIM(RIGHT(SUBSTITUTE(TRIM('02_대상물건입력'!$B$7)," ",REPT(" ",99)),99)),IF('02_대상물건입력'!B15="",TRUE(),ISNUMBER(SEARCH('02_대상물건입력'!B15,L1988)))),1,0))</f>
        <v/>
      </c>
      <c r="R1988" s="175">
        <f>IFERROR(ABS(E1988-'02_대상물건입력'!B11)/'02_대상물건입력'!B11,"")</f>
        <v/>
      </c>
      <c r="S1988" s="152">
        <f>IFERROR(ABS(J1988-'02_대상물건입력'!B10),"")</f>
        <v/>
      </c>
      <c r="T1988" s="152">
        <f>IFERROR(ABS('01_설정'!B4-F1988),"")</f>
        <v/>
      </c>
      <c r="U1988" s="152">
        <f>IFERROR(ABS(K1988-YEAR('02_대상물건입력'!B14)),"")</f>
        <v/>
      </c>
      <c r="V1988" s="152">
        <f>IF(B1988="","",IF(AND(E1988&gt;0,F1988&gt;0,H1988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1988=1,TRUE()),R1988&lt;='01_설정'!B5,S1988&lt;='01_설정'!B6,T1988&lt;='01_설정'!B7,U1988&lt;='01_설정'!B8),"Y",""))</f>
        <v/>
      </c>
      <c r="W1988" s="172">
        <f>IF(V1988&lt;&gt;"Y","",MAX(0,(1-R1988/'01_설정'!B5))*'01_설정'!B14+MAX(0,(1-S1988/'01_설정'!B6))*'01_설정'!B15+MAX(0,(1-T1988/'01_설정'!B7))*'01_설정'!B16+MAX(0,(1-U1988/'01_설정'!B8))*'01_설정'!B17+O1988*'01_설정'!B11+Q1988*'01_설정'!B12+P1988*'01_설정'!B13+IF(Z1988="",0,Z1988))</f>
        <v/>
      </c>
      <c r="X1988" s="152">
        <f>IF(W1988="","",1+COUNTIFS($W$4:$W$3003,"&gt;"&amp;W1988)+COUNTIFS($W$4:W1988,W1988)-1)</f>
        <v/>
      </c>
      <c r="Y1988" s="175">
        <f>IF(OR(I1988="",'02_대상물건입력'!B19="",'02_대상물건입력'!B19&lt;=0),"",ABS(I1988-'02_대상물건입력'!B19)/'02_대상물건입력'!B19)</f>
        <v/>
      </c>
      <c r="Z1988" s="172">
        <f>IF(OR(Y1988="",'01_설정'!B31="",'01_설정'!B31&lt;=0,'01_설정'!B32="",'01_설정'!B32&lt;=0),"",MAX(0,(1-Y1988/'01_설정'!B32))*'01_설정'!B31)</f>
        <v/>
      </c>
    </row>
    <row r="1989" ht="17.25" customHeight="1">
      <c r="A1989" s="152">
        <f>IF(INDEX('04A_국토부원자료'!$A:$A,ROW()+1)="","",ROW()-3)</f>
        <v/>
      </c>
      <c r="B1989" s="48">
        <f>IFERROR(INDEX('04A_국토부원자료'!$A:$T,ROW()+1,MATCH("시군구",'04A_국토부원자료'!$A$4:$T$4,0)),"")</f>
        <v/>
      </c>
      <c r="C1989" s="48">
        <f>IF(B1989="","",IFERROR(INDEX('04A_국토부원자료'!$A:$T,ROW()+1,MATCH("번지",'04A_국토부원자료'!$A$4:$T$4,0)),""))</f>
        <v/>
      </c>
      <c r="D1989" s="48">
        <f>IF(B1989="","",IF(Q1989=1,'02_대상물건입력'!$B$8,IFERROR(INDEX('04A_국토부원자료'!$A:$T,ROW()+1,MATCH("단지명",'04A_국토부원자료'!$A$4:$T$4,0)),"")))</f>
        <v/>
      </c>
      <c r="E1989" s="172">
        <f>IFERROR(VALUE(SUBSTITUTE(INDEX('04A_국토부원자료'!$A:$T,ROW()+1,MATCH("전용면적(㎡)",'04A_국토부원자료'!$A$4:$T$4,0)),",","")),"")</f>
        <v/>
      </c>
      <c r="F19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89" s="51">
        <f>IFERROR(VALUE(SUBSTITUTE(INDEX('04A_국토부원자료'!$A:$T,ROW()+1,MATCH("거래금액(만원)",'04A_국토부원자료'!$A$4:$T$4,0)),",","")),"")</f>
        <v/>
      </c>
      <c r="H1989" s="174">
        <f>IF(G1989="","",G1989*10000)</f>
        <v/>
      </c>
      <c r="I1989" s="174">
        <f>IFERROR(IF(AND(H1989&gt;0,E1989&gt;0),H1989/E1989,""),"")</f>
        <v/>
      </c>
      <c r="J1989" s="152">
        <f>IFERROR(VALUE(SUBSTITUTE(INDEX('04A_국토부원자료'!$A:$T,ROW()+1,MATCH("층",'04A_국토부원자료'!$A$4:$T$4,0)),",","")),"")</f>
        <v/>
      </c>
      <c r="K1989" s="152">
        <f>IFERROR(VALUE(SUBSTITUTE(INDEX('04A_국토부원자료'!$A:$T,ROW()+1,MATCH("건축년도",'04A_국토부원자료'!$A$4:$T$4,0)),",","")),"")</f>
        <v/>
      </c>
      <c r="L1989" s="48">
        <f>IFERROR(INDEX('04A_국토부원자료'!$A:$T,ROW()+1,MATCH("도로명",'04A_국토부원자료'!$A$4:$T$4,0)),"")</f>
        <v/>
      </c>
      <c r="M1989" s="48">
        <f>IFERROR(INDEX('04A_국토부원자료'!$A:$T,ROW()+1,MATCH("거래유형",'04A_국토부원자료'!$A$4:$T$4,0)),"")</f>
        <v/>
      </c>
      <c r="N1989" s="152">
        <f>IF(B1989="","",IF('02_대상물건입력'!B5="",1,IF(ISNUMBER(SEARCH('02_대상물건입력'!B5,B1989)),1,0)))</f>
        <v/>
      </c>
      <c r="O1989" s="152">
        <f>IF(B1989="","",IF('02_대상물건입력'!B6="",1,IF(ISNUMBER(SEARCH('02_대상물건입력'!B6,B1989)),1,0)))</f>
        <v/>
      </c>
      <c r="P1989" s="152">
        <f>IF(L1989="","",IF('02_대상물건입력'!B15="",0,IF(ISNUMBER(SEARCH('02_대상물건입력'!B15,L1989)),1,0)))</f>
        <v/>
      </c>
      <c r="Q1989" s="152">
        <f>IF(OR(C1989="",L1989=""),0,IF(AND(TRIM(C1989)=TRIM(RIGHT(SUBSTITUTE(TRIM('02_대상물건입력'!$B$7)," ",REPT(" ",99)),99)),IF('02_대상물건입력'!B15="",TRUE(),ISNUMBER(SEARCH('02_대상물건입력'!B15,L1989)))),1,0))</f>
        <v/>
      </c>
      <c r="R1989" s="175">
        <f>IFERROR(ABS(E1989-'02_대상물건입력'!B11)/'02_대상물건입력'!B11,"")</f>
        <v/>
      </c>
      <c r="S1989" s="152">
        <f>IFERROR(ABS(J1989-'02_대상물건입력'!B10),"")</f>
        <v/>
      </c>
      <c r="T1989" s="152">
        <f>IFERROR(ABS('01_설정'!B4-F1989),"")</f>
        <v/>
      </c>
      <c r="U1989" s="152">
        <f>IFERROR(ABS(K1989-YEAR('02_대상물건입력'!B14)),"")</f>
        <v/>
      </c>
      <c r="V1989" s="152">
        <f>IF(B1989="","",IF(AND(E1989&gt;0,F1989&gt;0,H1989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1989=1,TRUE()),R1989&lt;='01_설정'!B5,S1989&lt;='01_설정'!B6,T1989&lt;='01_설정'!B7,U1989&lt;='01_설정'!B8),"Y",""))</f>
        <v/>
      </c>
      <c r="W1989" s="172">
        <f>IF(V1989&lt;&gt;"Y","",MAX(0,(1-R1989/'01_설정'!B5))*'01_설정'!B14+MAX(0,(1-S1989/'01_설정'!B6))*'01_설정'!B15+MAX(0,(1-T1989/'01_설정'!B7))*'01_설정'!B16+MAX(0,(1-U1989/'01_설정'!B8))*'01_설정'!B17+O1989*'01_설정'!B11+Q1989*'01_설정'!B12+P1989*'01_설정'!B13+IF(Z1989="",0,Z1989))</f>
        <v/>
      </c>
      <c r="X1989" s="152">
        <f>IF(W1989="","",1+COUNTIFS($W$4:$W$3003,"&gt;"&amp;W1989)+COUNTIFS($W$4:W1989,W1989)-1)</f>
        <v/>
      </c>
      <c r="Y1989" s="175">
        <f>IF(OR(I1989="",'02_대상물건입력'!B19="",'02_대상물건입력'!B19&lt;=0),"",ABS(I1989-'02_대상물건입력'!B19)/'02_대상물건입력'!B19)</f>
        <v/>
      </c>
      <c r="Z1989" s="172">
        <f>IF(OR(Y1989="",'01_설정'!B31="",'01_설정'!B31&lt;=0,'01_설정'!B32="",'01_설정'!B32&lt;=0),"",MAX(0,(1-Y1989/'01_설정'!B32))*'01_설정'!B31)</f>
        <v/>
      </c>
    </row>
    <row r="1990" ht="17.25" customHeight="1">
      <c r="A1990" s="152">
        <f>IF(INDEX('04A_국토부원자료'!$A:$A,ROW()+1)="","",ROW()-3)</f>
        <v/>
      </c>
      <c r="B1990" s="48">
        <f>IFERROR(INDEX('04A_국토부원자료'!$A:$T,ROW()+1,MATCH("시군구",'04A_국토부원자료'!$A$4:$T$4,0)),"")</f>
        <v/>
      </c>
      <c r="C1990" s="48">
        <f>IF(B1990="","",IFERROR(INDEX('04A_국토부원자료'!$A:$T,ROW()+1,MATCH("번지",'04A_국토부원자료'!$A$4:$T$4,0)),""))</f>
        <v/>
      </c>
      <c r="D1990" s="48">
        <f>IF(B1990="","",IF(Q1990=1,'02_대상물건입력'!$B$8,IFERROR(INDEX('04A_국토부원자료'!$A:$T,ROW()+1,MATCH("단지명",'04A_국토부원자료'!$A$4:$T$4,0)),"")))</f>
        <v/>
      </c>
      <c r="E1990" s="172">
        <f>IFERROR(VALUE(SUBSTITUTE(INDEX('04A_국토부원자료'!$A:$T,ROW()+1,MATCH("전용면적(㎡)",'04A_국토부원자료'!$A$4:$T$4,0)),",","")),"")</f>
        <v/>
      </c>
      <c r="F19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90" s="51">
        <f>IFERROR(VALUE(SUBSTITUTE(INDEX('04A_국토부원자료'!$A:$T,ROW()+1,MATCH("거래금액(만원)",'04A_국토부원자료'!$A$4:$T$4,0)),",","")),"")</f>
        <v/>
      </c>
      <c r="H1990" s="174">
        <f>IF(G1990="","",G1990*10000)</f>
        <v/>
      </c>
      <c r="I1990" s="174">
        <f>IFERROR(IF(AND(H1990&gt;0,E1990&gt;0),H1990/E1990,""),"")</f>
        <v/>
      </c>
      <c r="J1990" s="152">
        <f>IFERROR(VALUE(SUBSTITUTE(INDEX('04A_국토부원자료'!$A:$T,ROW()+1,MATCH("층",'04A_국토부원자료'!$A$4:$T$4,0)),",","")),"")</f>
        <v/>
      </c>
      <c r="K1990" s="152">
        <f>IFERROR(VALUE(SUBSTITUTE(INDEX('04A_국토부원자료'!$A:$T,ROW()+1,MATCH("건축년도",'04A_국토부원자료'!$A$4:$T$4,0)),",","")),"")</f>
        <v/>
      </c>
      <c r="L1990" s="48">
        <f>IFERROR(INDEX('04A_국토부원자료'!$A:$T,ROW()+1,MATCH("도로명",'04A_국토부원자료'!$A$4:$T$4,0)),"")</f>
        <v/>
      </c>
      <c r="M1990" s="48">
        <f>IFERROR(INDEX('04A_국토부원자료'!$A:$T,ROW()+1,MATCH("거래유형",'04A_국토부원자료'!$A$4:$T$4,0)),"")</f>
        <v/>
      </c>
      <c r="N1990" s="152">
        <f>IF(B1990="","",IF('02_대상물건입력'!B5="",1,IF(ISNUMBER(SEARCH('02_대상물건입력'!B5,B1990)),1,0)))</f>
        <v/>
      </c>
      <c r="O1990" s="152">
        <f>IF(B1990="","",IF('02_대상물건입력'!B6="",1,IF(ISNUMBER(SEARCH('02_대상물건입력'!B6,B1990)),1,0)))</f>
        <v/>
      </c>
      <c r="P1990" s="152">
        <f>IF(L1990="","",IF('02_대상물건입력'!B15="",0,IF(ISNUMBER(SEARCH('02_대상물건입력'!B15,L1990)),1,0)))</f>
        <v/>
      </c>
      <c r="Q1990" s="152">
        <f>IF(OR(C1990="",L1990=""),0,IF(AND(TRIM(C1990)=TRIM(RIGHT(SUBSTITUTE(TRIM('02_대상물건입력'!$B$7)," ",REPT(" ",99)),99)),IF('02_대상물건입력'!B15="",TRUE(),ISNUMBER(SEARCH('02_대상물건입력'!B15,L1990)))),1,0))</f>
        <v/>
      </c>
      <c r="R1990" s="175">
        <f>IFERROR(ABS(E1990-'02_대상물건입력'!B11)/'02_대상물건입력'!B11,"")</f>
        <v/>
      </c>
      <c r="S1990" s="152">
        <f>IFERROR(ABS(J1990-'02_대상물건입력'!B10),"")</f>
        <v/>
      </c>
      <c r="T1990" s="152">
        <f>IFERROR(ABS('01_설정'!B4-F1990),"")</f>
        <v/>
      </c>
      <c r="U1990" s="152">
        <f>IFERROR(ABS(K1990-YEAR('02_대상물건입력'!B14)),"")</f>
        <v/>
      </c>
      <c r="V1990" s="152">
        <f>IF(B1990="","",IF(AND(E1990&gt;0,F1990&gt;0,H1990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1990=1,TRUE()),R1990&lt;='01_설정'!B5,S1990&lt;='01_설정'!B6,T1990&lt;='01_설정'!B7,U1990&lt;='01_설정'!B8),"Y",""))</f>
        <v/>
      </c>
      <c r="W1990" s="172">
        <f>IF(V1990&lt;&gt;"Y","",MAX(0,(1-R1990/'01_설정'!B5))*'01_설정'!B14+MAX(0,(1-S1990/'01_설정'!B6))*'01_설정'!B15+MAX(0,(1-T1990/'01_설정'!B7))*'01_설정'!B16+MAX(0,(1-U1990/'01_설정'!B8))*'01_설정'!B17+O1990*'01_설정'!B11+Q1990*'01_설정'!B12+P1990*'01_설정'!B13+IF(Z1990="",0,Z1990))</f>
        <v/>
      </c>
      <c r="X1990" s="152">
        <f>IF(W1990="","",1+COUNTIFS($W$4:$W$3003,"&gt;"&amp;W1990)+COUNTIFS($W$4:W1990,W1990)-1)</f>
        <v/>
      </c>
      <c r="Y1990" s="175">
        <f>IF(OR(I1990="",'02_대상물건입력'!B19="",'02_대상물건입력'!B19&lt;=0),"",ABS(I1990-'02_대상물건입력'!B19)/'02_대상물건입력'!B19)</f>
        <v/>
      </c>
      <c r="Z1990" s="172">
        <f>IF(OR(Y1990="",'01_설정'!B31="",'01_설정'!B31&lt;=0,'01_설정'!B32="",'01_설정'!B32&lt;=0),"",MAX(0,(1-Y1990/'01_설정'!B32))*'01_설정'!B31)</f>
        <v/>
      </c>
    </row>
    <row r="1991" ht="17.25" customHeight="1">
      <c r="A1991" s="152">
        <f>IF(INDEX('04A_국토부원자료'!$A:$A,ROW()+1)="","",ROW()-3)</f>
        <v/>
      </c>
      <c r="B1991" s="48">
        <f>IFERROR(INDEX('04A_국토부원자료'!$A:$T,ROW()+1,MATCH("시군구",'04A_국토부원자료'!$A$4:$T$4,0)),"")</f>
        <v/>
      </c>
      <c r="C1991" s="48">
        <f>IF(B1991="","",IFERROR(INDEX('04A_국토부원자료'!$A:$T,ROW()+1,MATCH("번지",'04A_국토부원자료'!$A$4:$T$4,0)),""))</f>
        <v/>
      </c>
      <c r="D1991" s="48">
        <f>IF(B1991="","",IF(Q1991=1,'02_대상물건입력'!$B$8,IFERROR(INDEX('04A_국토부원자료'!$A:$T,ROW()+1,MATCH("단지명",'04A_국토부원자료'!$A$4:$T$4,0)),"")))</f>
        <v/>
      </c>
      <c r="E1991" s="172">
        <f>IFERROR(VALUE(SUBSTITUTE(INDEX('04A_국토부원자료'!$A:$T,ROW()+1,MATCH("전용면적(㎡)",'04A_국토부원자료'!$A$4:$T$4,0)),",","")),"")</f>
        <v/>
      </c>
      <c r="F19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91" s="51">
        <f>IFERROR(VALUE(SUBSTITUTE(INDEX('04A_국토부원자료'!$A:$T,ROW()+1,MATCH("거래금액(만원)",'04A_국토부원자료'!$A$4:$T$4,0)),",","")),"")</f>
        <v/>
      </c>
      <c r="H1991" s="174">
        <f>IF(G1991="","",G1991*10000)</f>
        <v/>
      </c>
      <c r="I1991" s="174">
        <f>IFERROR(IF(AND(H1991&gt;0,E1991&gt;0),H1991/E1991,""),"")</f>
        <v/>
      </c>
      <c r="J1991" s="152">
        <f>IFERROR(VALUE(SUBSTITUTE(INDEX('04A_국토부원자료'!$A:$T,ROW()+1,MATCH("층",'04A_국토부원자료'!$A$4:$T$4,0)),",","")),"")</f>
        <v/>
      </c>
      <c r="K1991" s="152">
        <f>IFERROR(VALUE(SUBSTITUTE(INDEX('04A_국토부원자료'!$A:$T,ROW()+1,MATCH("건축년도",'04A_국토부원자료'!$A$4:$T$4,0)),",","")),"")</f>
        <v/>
      </c>
      <c r="L1991" s="48">
        <f>IFERROR(INDEX('04A_국토부원자료'!$A:$T,ROW()+1,MATCH("도로명",'04A_국토부원자료'!$A$4:$T$4,0)),"")</f>
        <v/>
      </c>
      <c r="M1991" s="48">
        <f>IFERROR(INDEX('04A_국토부원자료'!$A:$T,ROW()+1,MATCH("거래유형",'04A_국토부원자료'!$A$4:$T$4,0)),"")</f>
        <v/>
      </c>
      <c r="N1991" s="152">
        <f>IF(B1991="","",IF('02_대상물건입력'!B5="",1,IF(ISNUMBER(SEARCH('02_대상물건입력'!B5,B1991)),1,0)))</f>
        <v/>
      </c>
      <c r="O1991" s="152">
        <f>IF(B1991="","",IF('02_대상물건입력'!B6="",1,IF(ISNUMBER(SEARCH('02_대상물건입력'!B6,B1991)),1,0)))</f>
        <v/>
      </c>
      <c r="P1991" s="152">
        <f>IF(L1991="","",IF('02_대상물건입력'!B15="",0,IF(ISNUMBER(SEARCH('02_대상물건입력'!B15,L1991)),1,0)))</f>
        <v/>
      </c>
      <c r="Q1991" s="152">
        <f>IF(OR(C1991="",L1991=""),0,IF(AND(TRIM(C1991)=TRIM(RIGHT(SUBSTITUTE(TRIM('02_대상물건입력'!$B$7)," ",REPT(" ",99)),99)),IF('02_대상물건입력'!B15="",TRUE(),ISNUMBER(SEARCH('02_대상물건입력'!B15,L1991)))),1,0))</f>
        <v/>
      </c>
      <c r="R1991" s="175">
        <f>IFERROR(ABS(E1991-'02_대상물건입력'!B11)/'02_대상물건입력'!B11,"")</f>
        <v/>
      </c>
      <c r="S1991" s="152">
        <f>IFERROR(ABS(J1991-'02_대상물건입력'!B10),"")</f>
        <v/>
      </c>
      <c r="T1991" s="152">
        <f>IFERROR(ABS('01_설정'!B4-F1991),"")</f>
        <v/>
      </c>
      <c r="U1991" s="152">
        <f>IFERROR(ABS(K1991-YEAR('02_대상물건입력'!B14)),"")</f>
        <v/>
      </c>
      <c r="V1991" s="152">
        <f>IF(B1991="","",IF(AND(E1991&gt;0,F1991&gt;0,H1991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1991=1,TRUE()),R1991&lt;='01_설정'!B5,S1991&lt;='01_설정'!B6,T1991&lt;='01_설정'!B7,U1991&lt;='01_설정'!B8),"Y",""))</f>
        <v/>
      </c>
      <c r="W1991" s="172">
        <f>IF(V1991&lt;&gt;"Y","",MAX(0,(1-R1991/'01_설정'!B5))*'01_설정'!B14+MAX(0,(1-S1991/'01_설정'!B6))*'01_설정'!B15+MAX(0,(1-T1991/'01_설정'!B7))*'01_설정'!B16+MAX(0,(1-U1991/'01_설정'!B8))*'01_설정'!B17+O1991*'01_설정'!B11+Q1991*'01_설정'!B12+P1991*'01_설정'!B13+IF(Z1991="",0,Z1991))</f>
        <v/>
      </c>
      <c r="X1991" s="152">
        <f>IF(W1991="","",1+COUNTIFS($W$4:$W$3003,"&gt;"&amp;W1991)+COUNTIFS($W$4:W1991,W1991)-1)</f>
        <v/>
      </c>
      <c r="Y1991" s="175">
        <f>IF(OR(I1991="",'02_대상물건입력'!B19="",'02_대상물건입력'!B19&lt;=0),"",ABS(I1991-'02_대상물건입력'!B19)/'02_대상물건입력'!B19)</f>
        <v/>
      </c>
      <c r="Z1991" s="172">
        <f>IF(OR(Y1991="",'01_설정'!B31="",'01_설정'!B31&lt;=0,'01_설정'!B32="",'01_설정'!B32&lt;=0),"",MAX(0,(1-Y1991/'01_설정'!B32))*'01_설정'!B31)</f>
        <v/>
      </c>
    </row>
    <row r="1992" ht="17.25" customHeight="1">
      <c r="A1992" s="152">
        <f>IF(INDEX('04A_국토부원자료'!$A:$A,ROW()+1)="","",ROW()-3)</f>
        <v/>
      </c>
      <c r="B1992" s="48">
        <f>IFERROR(INDEX('04A_국토부원자료'!$A:$T,ROW()+1,MATCH("시군구",'04A_국토부원자료'!$A$4:$T$4,0)),"")</f>
        <v/>
      </c>
      <c r="C1992" s="48">
        <f>IF(B1992="","",IFERROR(INDEX('04A_국토부원자료'!$A:$T,ROW()+1,MATCH("번지",'04A_국토부원자료'!$A$4:$T$4,0)),""))</f>
        <v/>
      </c>
      <c r="D1992" s="48">
        <f>IF(B1992="","",IF(Q1992=1,'02_대상물건입력'!$B$8,IFERROR(INDEX('04A_국토부원자료'!$A:$T,ROW()+1,MATCH("단지명",'04A_국토부원자료'!$A$4:$T$4,0)),"")))</f>
        <v/>
      </c>
      <c r="E1992" s="172">
        <f>IFERROR(VALUE(SUBSTITUTE(INDEX('04A_국토부원자료'!$A:$T,ROW()+1,MATCH("전용면적(㎡)",'04A_국토부원자료'!$A$4:$T$4,0)),",","")),"")</f>
        <v/>
      </c>
      <c r="F19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92" s="51">
        <f>IFERROR(VALUE(SUBSTITUTE(INDEX('04A_국토부원자료'!$A:$T,ROW()+1,MATCH("거래금액(만원)",'04A_국토부원자료'!$A$4:$T$4,0)),",","")),"")</f>
        <v/>
      </c>
      <c r="H1992" s="174">
        <f>IF(G1992="","",G1992*10000)</f>
        <v/>
      </c>
      <c r="I1992" s="174">
        <f>IFERROR(IF(AND(H1992&gt;0,E1992&gt;0),H1992/E1992,""),"")</f>
        <v/>
      </c>
      <c r="J1992" s="152">
        <f>IFERROR(VALUE(SUBSTITUTE(INDEX('04A_국토부원자료'!$A:$T,ROW()+1,MATCH("층",'04A_국토부원자료'!$A$4:$T$4,0)),",","")),"")</f>
        <v/>
      </c>
      <c r="K1992" s="152">
        <f>IFERROR(VALUE(SUBSTITUTE(INDEX('04A_국토부원자료'!$A:$T,ROW()+1,MATCH("건축년도",'04A_국토부원자료'!$A$4:$T$4,0)),",","")),"")</f>
        <v/>
      </c>
      <c r="L1992" s="48">
        <f>IFERROR(INDEX('04A_국토부원자료'!$A:$T,ROW()+1,MATCH("도로명",'04A_국토부원자료'!$A$4:$T$4,0)),"")</f>
        <v/>
      </c>
      <c r="M1992" s="48">
        <f>IFERROR(INDEX('04A_국토부원자료'!$A:$T,ROW()+1,MATCH("거래유형",'04A_국토부원자료'!$A$4:$T$4,0)),"")</f>
        <v/>
      </c>
      <c r="N1992" s="152">
        <f>IF(B1992="","",IF('02_대상물건입력'!B5="",1,IF(ISNUMBER(SEARCH('02_대상물건입력'!B5,B1992)),1,0)))</f>
        <v/>
      </c>
      <c r="O1992" s="152">
        <f>IF(B1992="","",IF('02_대상물건입력'!B6="",1,IF(ISNUMBER(SEARCH('02_대상물건입력'!B6,B1992)),1,0)))</f>
        <v/>
      </c>
      <c r="P1992" s="152">
        <f>IF(L1992="","",IF('02_대상물건입력'!B15="",0,IF(ISNUMBER(SEARCH('02_대상물건입력'!B15,L1992)),1,0)))</f>
        <v/>
      </c>
      <c r="Q1992" s="152">
        <f>IF(OR(C1992="",L1992=""),0,IF(AND(TRIM(C1992)=TRIM(RIGHT(SUBSTITUTE(TRIM('02_대상물건입력'!$B$7)," ",REPT(" ",99)),99)),IF('02_대상물건입력'!B15="",TRUE(),ISNUMBER(SEARCH('02_대상물건입력'!B15,L1992)))),1,0))</f>
        <v/>
      </c>
      <c r="R1992" s="175">
        <f>IFERROR(ABS(E1992-'02_대상물건입력'!B11)/'02_대상물건입력'!B11,"")</f>
        <v/>
      </c>
      <c r="S1992" s="152">
        <f>IFERROR(ABS(J1992-'02_대상물건입력'!B10),"")</f>
        <v/>
      </c>
      <c r="T1992" s="152">
        <f>IFERROR(ABS('01_설정'!B4-F1992),"")</f>
        <v/>
      </c>
      <c r="U1992" s="152">
        <f>IFERROR(ABS(K1992-YEAR('02_대상물건입력'!B14)),"")</f>
        <v/>
      </c>
      <c r="V1992" s="152">
        <f>IF(B1992="","",IF(AND(E1992&gt;0,F1992&gt;0,H1992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1992=1,TRUE()),R1992&lt;='01_설정'!B5,S1992&lt;='01_설정'!B6,T1992&lt;='01_설정'!B7,U1992&lt;='01_설정'!B8),"Y",""))</f>
        <v/>
      </c>
      <c r="W1992" s="172">
        <f>IF(V1992&lt;&gt;"Y","",MAX(0,(1-R1992/'01_설정'!B5))*'01_설정'!B14+MAX(0,(1-S1992/'01_설정'!B6))*'01_설정'!B15+MAX(0,(1-T1992/'01_설정'!B7))*'01_설정'!B16+MAX(0,(1-U1992/'01_설정'!B8))*'01_설정'!B17+O1992*'01_설정'!B11+Q1992*'01_설정'!B12+P1992*'01_설정'!B13+IF(Z1992="",0,Z1992))</f>
        <v/>
      </c>
      <c r="X1992" s="152">
        <f>IF(W1992="","",1+COUNTIFS($W$4:$W$3003,"&gt;"&amp;W1992)+COUNTIFS($W$4:W1992,W1992)-1)</f>
        <v/>
      </c>
      <c r="Y1992" s="175">
        <f>IF(OR(I1992="",'02_대상물건입력'!B19="",'02_대상물건입력'!B19&lt;=0),"",ABS(I1992-'02_대상물건입력'!B19)/'02_대상물건입력'!B19)</f>
        <v/>
      </c>
      <c r="Z1992" s="172">
        <f>IF(OR(Y1992="",'01_설정'!B31="",'01_설정'!B31&lt;=0,'01_설정'!B32="",'01_설정'!B32&lt;=0),"",MAX(0,(1-Y1992/'01_설정'!B32))*'01_설정'!B31)</f>
        <v/>
      </c>
    </row>
    <row r="1993" ht="17.25" customHeight="1">
      <c r="A1993" s="152">
        <f>IF(INDEX('04A_국토부원자료'!$A:$A,ROW()+1)="","",ROW()-3)</f>
        <v/>
      </c>
      <c r="B1993" s="48">
        <f>IFERROR(INDEX('04A_국토부원자료'!$A:$T,ROW()+1,MATCH("시군구",'04A_국토부원자료'!$A$4:$T$4,0)),"")</f>
        <v/>
      </c>
      <c r="C1993" s="48">
        <f>IF(B1993="","",IFERROR(INDEX('04A_국토부원자료'!$A:$T,ROW()+1,MATCH("번지",'04A_국토부원자료'!$A$4:$T$4,0)),""))</f>
        <v/>
      </c>
      <c r="D1993" s="48">
        <f>IF(B1993="","",IF(Q1993=1,'02_대상물건입력'!$B$8,IFERROR(INDEX('04A_국토부원자료'!$A:$T,ROW()+1,MATCH("단지명",'04A_국토부원자료'!$A$4:$T$4,0)),"")))</f>
        <v/>
      </c>
      <c r="E1993" s="172">
        <f>IFERROR(VALUE(SUBSTITUTE(INDEX('04A_국토부원자료'!$A:$T,ROW()+1,MATCH("전용면적(㎡)",'04A_국토부원자료'!$A$4:$T$4,0)),",","")),"")</f>
        <v/>
      </c>
      <c r="F19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93" s="51">
        <f>IFERROR(VALUE(SUBSTITUTE(INDEX('04A_국토부원자료'!$A:$T,ROW()+1,MATCH("거래금액(만원)",'04A_국토부원자료'!$A$4:$T$4,0)),",","")),"")</f>
        <v/>
      </c>
      <c r="H1993" s="174">
        <f>IF(G1993="","",G1993*10000)</f>
        <v/>
      </c>
      <c r="I1993" s="174">
        <f>IFERROR(IF(AND(H1993&gt;0,E1993&gt;0),H1993/E1993,""),"")</f>
        <v/>
      </c>
      <c r="J1993" s="152">
        <f>IFERROR(VALUE(SUBSTITUTE(INDEX('04A_국토부원자료'!$A:$T,ROW()+1,MATCH("층",'04A_국토부원자료'!$A$4:$T$4,0)),",","")),"")</f>
        <v/>
      </c>
      <c r="K1993" s="152">
        <f>IFERROR(VALUE(SUBSTITUTE(INDEX('04A_국토부원자료'!$A:$T,ROW()+1,MATCH("건축년도",'04A_국토부원자료'!$A$4:$T$4,0)),",","")),"")</f>
        <v/>
      </c>
      <c r="L1993" s="48">
        <f>IFERROR(INDEX('04A_국토부원자료'!$A:$T,ROW()+1,MATCH("도로명",'04A_국토부원자료'!$A$4:$T$4,0)),"")</f>
        <v/>
      </c>
      <c r="M1993" s="48">
        <f>IFERROR(INDEX('04A_국토부원자료'!$A:$T,ROW()+1,MATCH("거래유형",'04A_국토부원자료'!$A$4:$T$4,0)),"")</f>
        <v/>
      </c>
      <c r="N1993" s="152">
        <f>IF(B1993="","",IF('02_대상물건입력'!B5="",1,IF(ISNUMBER(SEARCH('02_대상물건입력'!B5,B1993)),1,0)))</f>
        <v/>
      </c>
      <c r="O1993" s="152">
        <f>IF(B1993="","",IF('02_대상물건입력'!B6="",1,IF(ISNUMBER(SEARCH('02_대상물건입력'!B6,B1993)),1,0)))</f>
        <v/>
      </c>
      <c r="P1993" s="152">
        <f>IF(L1993="","",IF('02_대상물건입력'!B15="",0,IF(ISNUMBER(SEARCH('02_대상물건입력'!B15,L1993)),1,0)))</f>
        <v/>
      </c>
      <c r="Q1993" s="152">
        <f>IF(OR(C1993="",L1993=""),0,IF(AND(TRIM(C1993)=TRIM(RIGHT(SUBSTITUTE(TRIM('02_대상물건입력'!$B$7)," ",REPT(" ",99)),99)),IF('02_대상물건입력'!B15="",TRUE(),ISNUMBER(SEARCH('02_대상물건입력'!B15,L1993)))),1,0))</f>
        <v/>
      </c>
      <c r="R1993" s="175">
        <f>IFERROR(ABS(E1993-'02_대상물건입력'!B11)/'02_대상물건입력'!B11,"")</f>
        <v/>
      </c>
      <c r="S1993" s="152">
        <f>IFERROR(ABS(J1993-'02_대상물건입력'!B10),"")</f>
        <v/>
      </c>
      <c r="T1993" s="152">
        <f>IFERROR(ABS('01_설정'!B4-F1993),"")</f>
        <v/>
      </c>
      <c r="U1993" s="152">
        <f>IFERROR(ABS(K1993-YEAR('02_대상물건입력'!B14)),"")</f>
        <v/>
      </c>
      <c r="V1993" s="152">
        <f>IF(B1993="","",IF(AND(E1993&gt;0,F1993&gt;0,H1993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1993=1,TRUE()),R1993&lt;='01_설정'!B5,S1993&lt;='01_설정'!B6,T1993&lt;='01_설정'!B7,U1993&lt;='01_설정'!B8),"Y",""))</f>
        <v/>
      </c>
      <c r="W1993" s="172">
        <f>IF(V1993&lt;&gt;"Y","",MAX(0,(1-R1993/'01_설정'!B5))*'01_설정'!B14+MAX(0,(1-S1993/'01_설정'!B6))*'01_설정'!B15+MAX(0,(1-T1993/'01_설정'!B7))*'01_설정'!B16+MAX(0,(1-U1993/'01_설정'!B8))*'01_설정'!B17+O1993*'01_설정'!B11+Q1993*'01_설정'!B12+P1993*'01_설정'!B13+IF(Z1993="",0,Z1993))</f>
        <v/>
      </c>
      <c r="X1993" s="152">
        <f>IF(W1993="","",1+COUNTIFS($W$4:$W$3003,"&gt;"&amp;W1993)+COUNTIFS($W$4:W1993,W1993)-1)</f>
        <v/>
      </c>
      <c r="Y1993" s="175">
        <f>IF(OR(I1993="",'02_대상물건입력'!B19="",'02_대상물건입력'!B19&lt;=0),"",ABS(I1993-'02_대상물건입력'!B19)/'02_대상물건입력'!B19)</f>
        <v/>
      </c>
      <c r="Z1993" s="172">
        <f>IF(OR(Y1993="",'01_설정'!B31="",'01_설정'!B31&lt;=0,'01_설정'!B32="",'01_설정'!B32&lt;=0),"",MAX(0,(1-Y1993/'01_설정'!B32))*'01_설정'!B31)</f>
        <v/>
      </c>
    </row>
    <row r="1994" ht="17.25" customHeight="1">
      <c r="A1994" s="152">
        <f>IF(INDEX('04A_국토부원자료'!$A:$A,ROW()+1)="","",ROW()-3)</f>
        <v/>
      </c>
      <c r="B1994" s="48">
        <f>IFERROR(INDEX('04A_국토부원자료'!$A:$T,ROW()+1,MATCH("시군구",'04A_국토부원자료'!$A$4:$T$4,0)),"")</f>
        <v/>
      </c>
      <c r="C1994" s="48">
        <f>IF(B1994="","",IFERROR(INDEX('04A_국토부원자료'!$A:$T,ROW()+1,MATCH("번지",'04A_국토부원자료'!$A$4:$T$4,0)),""))</f>
        <v/>
      </c>
      <c r="D1994" s="48">
        <f>IF(B1994="","",IF(Q1994=1,'02_대상물건입력'!$B$8,IFERROR(INDEX('04A_국토부원자료'!$A:$T,ROW()+1,MATCH("단지명",'04A_국토부원자료'!$A$4:$T$4,0)),"")))</f>
        <v/>
      </c>
      <c r="E1994" s="172">
        <f>IFERROR(VALUE(SUBSTITUTE(INDEX('04A_국토부원자료'!$A:$T,ROW()+1,MATCH("전용면적(㎡)",'04A_국토부원자료'!$A$4:$T$4,0)),",","")),"")</f>
        <v/>
      </c>
      <c r="F19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94" s="51">
        <f>IFERROR(VALUE(SUBSTITUTE(INDEX('04A_국토부원자료'!$A:$T,ROW()+1,MATCH("거래금액(만원)",'04A_국토부원자료'!$A$4:$T$4,0)),",","")),"")</f>
        <v/>
      </c>
      <c r="H1994" s="174">
        <f>IF(G1994="","",G1994*10000)</f>
        <v/>
      </c>
      <c r="I1994" s="174">
        <f>IFERROR(IF(AND(H1994&gt;0,E1994&gt;0),H1994/E1994,""),"")</f>
        <v/>
      </c>
      <c r="J1994" s="152">
        <f>IFERROR(VALUE(SUBSTITUTE(INDEX('04A_국토부원자료'!$A:$T,ROW()+1,MATCH("층",'04A_국토부원자료'!$A$4:$T$4,0)),",","")),"")</f>
        <v/>
      </c>
      <c r="K1994" s="152">
        <f>IFERROR(VALUE(SUBSTITUTE(INDEX('04A_국토부원자료'!$A:$T,ROW()+1,MATCH("건축년도",'04A_국토부원자료'!$A$4:$T$4,0)),",","")),"")</f>
        <v/>
      </c>
      <c r="L1994" s="48">
        <f>IFERROR(INDEX('04A_국토부원자료'!$A:$T,ROW()+1,MATCH("도로명",'04A_국토부원자료'!$A$4:$T$4,0)),"")</f>
        <v/>
      </c>
      <c r="M1994" s="48">
        <f>IFERROR(INDEX('04A_국토부원자료'!$A:$T,ROW()+1,MATCH("거래유형",'04A_국토부원자료'!$A$4:$T$4,0)),"")</f>
        <v/>
      </c>
      <c r="N1994" s="152">
        <f>IF(B1994="","",IF('02_대상물건입력'!B5="",1,IF(ISNUMBER(SEARCH('02_대상물건입력'!B5,B1994)),1,0)))</f>
        <v/>
      </c>
      <c r="O1994" s="152">
        <f>IF(B1994="","",IF('02_대상물건입력'!B6="",1,IF(ISNUMBER(SEARCH('02_대상물건입력'!B6,B1994)),1,0)))</f>
        <v/>
      </c>
      <c r="P1994" s="152">
        <f>IF(L1994="","",IF('02_대상물건입력'!B15="",0,IF(ISNUMBER(SEARCH('02_대상물건입력'!B15,L1994)),1,0)))</f>
        <v/>
      </c>
      <c r="Q1994" s="152">
        <f>IF(OR(C1994="",L1994=""),0,IF(AND(TRIM(C1994)=TRIM(RIGHT(SUBSTITUTE(TRIM('02_대상물건입력'!$B$7)," ",REPT(" ",99)),99)),IF('02_대상물건입력'!B15="",TRUE(),ISNUMBER(SEARCH('02_대상물건입력'!B15,L1994)))),1,0))</f>
        <v/>
      </c>
      <c r="R1994" s="175">
        <f>IFERROR(ABS(E1994-'02_대상물건입력'!B11)/'02_대상물건입력'!B11,"")</f>
        <v/>
      </c>
      <c r="S1994" s="152">
        <f>IFERROR(ABS(J1994-'02_대상물건입력'!B10),"")</f>
        <v/>
      </c>
      <c r="T1994" s="152">
        <f>IFERROR(ABS('01_설정'!B4-F1994),"")</f>
        <v/>
      </c>
      <c r="U1994" s="152">
        <f>IFERROR(ABS(K1994-YEAR('02_대상물건입력'!B14)),"")</f>
        <v/>
      </c>
      <c r="V1994" s="152">
        <f>IF(B1994="","",IF(AND(E1994&gt;0,F1994&gt;0,H1994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1994=1,TRUE()),R1994&lt;='01_설정'!B5,S1994&lt;='01_설정'!B6,T1994&lt;='01_설정'!B7,U1994&lt;='01_설정'!B8),"Y",""))</f>
        <v/>
      </c>
      <c r="W1994" s="172">
        <f>IF(V1994&lt;&gt;"Y","",MAX(0,(1-R1994/'01_설정'!B5))*'01_설정'!B14+MAX(0,(1-S1994/'01_설정'!B6))*'01_설정'!B15+MAX(0,(1-T1994/'01_설정'!B7))*'01_설정'!B16+MAX(0,(1-U1994/'01_설정'!B8))*'01_설정'!B17+O1994*'01_설정'!B11+Q1994*'01_설정'!B12+P1994*'01_설정'!B13+IF(Z1994="",0,Z1994))</f>
        <v/>
      </c>
      <c r="X1994" s="152">
        <f>IF(W1994="","",1+COUNTIFS($W$4:$W$3003,"&gt;"&amp;W1994)+COUNTIFS($W$4:W1994,W1994)-1)</f>
        <v/>
      </c>
      <c r="Y1994" s="175">
        <f>IF(OR(I1994="",'02_대상물건입력'!B19="",'02_대상물건입력'!B19&lt;=0),"",ABS(I1994-'02_대상물건입력'!B19)/'02_대상물건입력'!B19)</f>
        <v/>
      </c>
      <c r="Z1994" s="172">
        <f>IF(OR(Y1994="",'01_설정'!B31="",'01_설정'!B31&lt;=0,'01_설정'!B32="",'01_설정'!B32&lt;=0),"",MAX(0,(1-Y1994/'01_설정'!B32))*'01_설정'!B31)</f>
        <v/>
      </c>
    </row>
    <row r="1995" ht="17.25" customHeight="1">
      <c r="A1995" s="152">
        <f>IF(INDEX('04A_국토부원자료'!$A:$A,ROW()+1)="","",ROW()-3)</f>
        <v/>
      </c>
      <c r="B1995" s="48">
        <f>IFERROR(INDEX('04A_국토부원자료'!$A:$T,ROW()+1,MATCH("시군구",'04A_국토부원자료'!$A$4:$T$4,0)),"")</f>
        <v/>
      </c>
      <c r="C1995" s="48">
        <f>IF(B1995="","",IFERROR(INDEX('04A_국토부원자료'!$A:$T,ROW()+1,MATCH("번지",'04A_국토부원자료'!$A$4:$T$4,0)),""))</f>
        <v/>
      </c>
      <c r="D1995" s="48">
        <f>IF(B1995="","",IF(Q1995=1,'02_대상물건입력'!$B$8,IFERROR(INDEX('04A_국토부원자료'!$A:$T,ROW()+1,MATCH("단지명",'04A_국토부원자료'!$A$4:$T$4,0)),"")))</f>
        <v/>
      </c>
      <c r="E1995" s="172">
        <f>IFERROR(VALUE(SUBSTITUTE(INDEX('04A_국토부원자료'!$A:$T,ROW()+1,MATCH("전용면적(㎡)",'04A_국토부원자료'!$A$4:$T$4,0)),",","")),"")</f>
        <v/>
      </c>
      <c r="F19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95" s="51">
        <f>IFERROR(VALUE(SUBSTITUTE(INDEX('04A_국토부원자료'!$A:$T,ROW()+1,MATCH("거래금액(만원)",'04A_국토부원자료'!$A$4:$T$4,0)),",","")),"")</f>
        <v/>
      </c>
      <c r="H1995" s="174">
        <f>IF(G1995="","",G1995*10000)</f>
        <v/>
      </c>
      <c r="I1995" s="174">
        <f>IFERROR(IF(AND(H1995&gt;0,E1995&gt;0),H1995/E1995,""),"")</f>
        <v/>
      </c>
      <c r="J1995" s="152">
        <f>IFERROR(VALUE(SUBSTITUTE(INDEX('04A_국토부원자료'!$A:$T,ROW()+1,MATCH("층",'04A_국토부원자료'!$A$4:$T$4,0)),",","")),"")</f>
        <v/>
      </c>
      <c r="K1995" s="152">
        <f>IFERROR(VALUE(SUBSTITUTE(INDEX('04A_국토부원자료'!$A:$T,ROW()+1,MATCH("건축년도",'04A_국토부원자료'!$A$4:$T$4,0)),",","")),"")</f>
        <v/>
      </c>
      <c r="L1995" s="48">
        <f>IFERROR(INDEX('04A_국토부원자료'!$A:$T,ROW()+1,MATCH("도로명",'04A_국토부원자료'!$A$4:$T$4,0)),"")</f>
        <v/>
      </c>
      <c r="M1995" s="48">
        <f>IFERROR(INDEX('04A_국토부원자료'!$A:$T,ROW()+1,MATCH("거래유형",'04A_국토부원자료'!$A$4:$T$4,0)),"")</f>
        <v/>
      </c>
      <c r="N1995" s="152">
        <f>IF(B1995="","",IF('02_대상물건입력'!B5="",1,IF(ISNUMBER(SEARCH('02_대상물건입력'!B5,B1995)),1,0)))</f>
        <v/>
      </c>
      <c r="O1995" s="152">
        <f>IF(B1995="","",IF('02_대상물건입력'!B6="",1,IF(ISNUMBER(SEARCH('02_대상물건입력'!B6,B1995)),1,0)))</f>
        <v/>
      </c>
      <c r="P1995" s="152">
        <f>IF(L1995="","",IF('02_대상물건입력'!B15="",0,IF(ISNUMBER(SEARCH('02_대상물건입력'!B15,L1995)),1,0)))</f>
        <v/>
      </c>
      <c r="Q1995" s="152">
        <f>IF(OR(C1995="",L1995=""),0,IF(AND(TRIM(C1995)=TRIM(RIGHT(SUBSTITUTE(TRIM('02_대상물건입력'!$B$7)," ",REPT(" ",99)),99)),IF('02_대상물건입력'!B15="",TRUE(),ISNUMBER(SEARCH('02_대상물건입력'!B15,L1995)))),1,0))</f>
        <v/>
      </c>
      <c r="R1995" s="175">
        <f>IFERROR(ABS(E1995-'02_대상물건입력'!B11)/'02_대상물건입력'!B11,"")</f>
        <v/>
      </c>
      <c r="S1995" s="152">
        <f>IFERROR(ABS(J1995-'02_대상물건입력'!B10),"")</f>
        <v/>
      </c>
      <c r="T1995" s="152">
        <f>IFERROR(ABS('01_설정'!B4-F1995),"")</f>
        <v/>
      </c>
      <c r="U1995" s="152">
        <f>IFERROR(ABS(K1995-YEAR('02_대상물건입력'!B14)),"")</f>
        <v/>
      </c>
      <c r="V1995" s="152">
        <f>IF(B1995="","",IF(AND(E1995&gt;0,F1995&gt;0,H1995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1995=1,TRUE()),R1995&lt;='01_설정'!B5,S1995&lt;='01_설정'!B6,T1995&lt;='01_설정'!B7,U1995&lt;='01_설정'!B8),"Y",""))</f>
        <v/>
      </c>
      <c r="W1995" s="172">
        <f>IF(V1995&lt;&gt;"Y","",MAX(0,(1-R1995/'01_설정'!B5))*'01_설정'!B14+MAX(0,(1-S1995/'01_설정'!B6))*'01_설정'!B15+MAX(0,(1-T1995/'01_설정'!B7))*'01_설정'!B16+MAX(0,(1-U1995/'01_설정'!B8))*'01_설정'!B17+O1995*'01_설정'!B11+Q1995*'01_설정'!B12+P1995*'01_설정'!B13+IF(Z1995="",0,Z1995))</f>
        <v/>
      </c>
      <c r="X1995" s="152">
        <f>IF(W1995="","",1+COUNTIFS($W$4:$W$3003,"&gt;"&amp;W1995)+COUNTIFS($W$4:W1995,W1995)-1)</f>
        <v/>
      </c>
      <c r="Y1995" s="175">
        <f>IF(OR(I1995="",'02_대상물건입력'!B19="",'02_대상물건입력'!B19&lt;=0),"",ABS(I1995-'02_대상물건입력'!B19)/'02_대상물건입력'!B19)</f>
        <v/>
      </c>
      <c r="Z1995" s="172">
        <f>IF(OR(Y1995="",'01_설정'!B31="",'01_설정'!B31&lt;=0,'01_설정'!B32="",'01_설정'!B32&lt;=0),"",MAX(0,(1-Y1995/'01_설정'!B32))*'01_설정'!B31)</f>
        <v/>
      </c>
    </row>
    <row r="1996" ht="17.25" customHeight="1">
      <c r="A1996" s="152">
        <f>IF(INDEX('04A_국토부원자료'!$A:$A,ROW()+1)="","",ROW()-3)</f>
        <v/>
      </c>
      <c r="B1996" s="48">
        <f>IFERROR(INDEX('04A_국토부원자료'!$A:$T,ROW()+1,MATCH("시군구",'04A_국토부원자료'!$A$4:$T$4,0)),"")</f>
        <v/>
      </c>
      <c r="C1996" s="48">
        <f>IF(B1996="","",IFERROR(INDEX('04A_국토부원자료'!$A:$T,ROW()+1,MATCH("번지",'04A_국토부원자료'!$A$4:$T$4,0)),""))</f>
        <v/>
      </c>
      <c r="D1996" s="48">
        <f>IF(B1996="","",IF(Q1996=1,'02_대상물건입력'!$B$8,IFERROR(INDEX('04A_국토부원자료'!$A:$T,ROW()+1,MATCH("단지명",'04A_국토부원자료'!$A$4:$T$4,0)),"")))</f>
        <v/>
      </c>
      <c r="E1996" s="172">
        <f>IFERROR(VALUE(SUBSTITUTE(INDEX('04A_국토부원자료'!$A:$T,ROW()+1,MATCH("전용면적(㎡)",'04A_국토부원자료'!$A$4:$T$4,0)),",","")),"")</f>
        <v/>
      </c>
      <c r="F19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96" s="51">
        <f>IFERROR(VALUE(SUBSTITUTE(INDEX('04A_국토부원자료'!$A:$T,ROW()+1,MATCH("거래금액(만원)",'04A_국토부원자료'!$A$4:$T$4,0)),",","")),"")</f>
        <v/>
      </c>
      <c r="H1996" s="174">
        <f>IF(G1996="","",G1996*10000)</f>
        <v/>
      </c>
      <c r="I1996" s="174">
        <f>IFERROR(IF(AND(H1996&gt;0,E1996&gt;0),H1996/E1996,""),"")</f>
        <v/>
      </c>
      <c r="J1996" s="152">
        <f>IFERROR(VALUE(SUBSTITUTE(INDEX('04A_국토부원자료'!$A:$T,ROW()+1,MATCH("층",'04A_국토부원자료'!$A$4:$T$4,0)),",","")),"")</f>
        <v/>
      </c>
      <c r="K1996" s="152">
        <f>IFERROR(VALUE(SUBSTITUTE(INDEX('04A_국토부원자료'!$A:$T,ROW()+1,MATCH("건축년도",'04A_국토부원자료'!$A$4:$T$4,0)),",","")),"")</f>
        <v/>
      </c>
      <c r="L1996" s="48">
        <f>IFERROR(INDEX('04A_국토부원자료'!$A:$T,ROW()+1,MATCH("도로명",'04A_국토부원자료'!$A$4:$T$4,0)),"")</f>
        <v/>
      </c>
      <c r="M1996" s="48">
        <f>IFERROR(INDEX('04A_국토부원자료'!$A:$T,ROW()+1,MATCH("거래유형",'04A_국토부원자료'!$A$4:$T$4,0)),"")</f>
        <v/>
      </c>
      <c r="N1996" s="152">
        <f>IF(B1996="","",IF('02_대상물건입력'!B5="",1,IF(ISNUMBER(SEARCH('02_대상물건입력'!B5,B1996)),1,0)))</f>
        <v/>
      </c>
      <c r="O1996" s="152">
        <f>IF(B1996="","",IF('02_대상물건입력'!B6="",1,IF(ISNUMBER(SEARCH('02_대상물건입력'!B6,B1996)),1,0)))</f>
        <v/>
      </c>
      <c r="P1996" s="152">
        <f>IF(L1996="","",IF('02_대상물건입력'!B15="",0,IF(ISNUMBER(SEARCH('02_대상물건입력'!B15,L1996)),1,0)))</f>
        <v/>
      </c>
      <c r="Q1996" s="152">
        <f>IF(OR(C1996="",L1996=""),0,IF(AND(TRIM(C1996)=TRIM(RIGHT(SUBSTITUTE(TRIM('02_대상물건입력'!$B$7)," ",REPT(" ",99)),99)),IF('02_대상물건입력'!B15="",TRUE(),ISNUMBER(SEARCH('02_대상물건입력'!B15,L1996)))),1,0))</f>
        <v/>
      </c>
      <c r="R1996" s="175">
        <f>IFERROR(ABS(E1996-'02_대상물건입력'!B11)/'02_대상물건입력'!B11,"")</f>
        <v/>
      </c>
      <c r="S1996" s="152">
        <f>IFERROR(ABS(J1996-'02_대상물건입력'!B10),"")</f>
        <v/>
      </c>
      <c r="T1996" s="152">
        <f>IFERROR(ABS('01_설정'!B4-F1996),"")</f>
        <v/>
      </c>
      <c r="U1996" s="152">
        <f>IFERROR(ABS(K1996-YEAR('02_대상물건입력'!B14)),"")</f>
        <v/>
      </c>
      <c r="V1996" s="152">
        <f>IF(B1996="","",IF(AND(E1996&gt;0,F1996&gt;0,H1996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1996=1,TRUE()),R1996&lt;='01_설정'!B5,S1996&lt;='01_설정'!B6,T1996&lt;='01_설정'!B7,U1996&lt;='01_설정'!B8),"Y",""))</f>
        <v/>
      </c>
      <c r="W1996" s="172">
        <f>IF(V1996&lt;&gt;"Y","",MAX(0,(1-R1996/'01_설정'!B5))*'01_설정'!B14+MAX(0,(1-S1996/'01_설정'!B6))*'01_설정'!B15+MAX(0,(1-T1996/'01_설정'!B7))*'01_설정'!B16+MAX(0,(1-U1996/'01_설정'!B8))*'01_설정'!B17+O1996*'01_설정'!B11+Q1996*'01_설정'!B12+P1996*'01_설정'!B13+IF(Z1996="",0,Z1996))</f>
        <v/>
      </c>
      <c r="X1996" s="152">
        <f>IF(W1996="","",1+COUNTIFS($W$4:$W$3003,"&gt;"&amp;W1996)+COUNTIFS($W$4:W1996,W1996)-1)</f>
        <v/>
      </c>
      <c r="Y1996" s="175">
        <f>IF(OR(I1996="",'02_대상물건입력'!B19="",'02_대상물건입력'!B19&lt;=0),"",ABS(I1996-'02_대상물건입력'!B19)/'02_대상물건입력'!B19)</f>
        <v/>
      </c>
      <c r="Z1996" s="172">
        <f>IF(OR(Y1996="",'01_설정'!B31="",'01_설정'!B31&lt;=0,'01_설정'!B32="",'01_설정'!B32&lt;=0),"",MAX(0,(1-Y1996/'01_설정'!B32))*'01_설정'!B31)</f>
        <v/>
      </c>
    </row>
    <row r="1997" ht="17.25" customHeight="1">
      <c r="A1997" s="152">
        <f>IF(INDEX('04A_국토부원자료'!$A:$A,ROW()+1)="","",ROW()-3)</f>
        <v/>
      </c>
      <c r="B1997" s="48">
        <f>IFERROR(INDEX('04A_국토부원자료'!$A:$T,ROW()+1,MATCH("시군구",'04A_국토부원자료'!$A$4:$T$4,0)),"")</f>
        <v/>
      </c>
      <c r="C1997" s="48">
        <f>IF(B1997="","",IFERROR(INDEX('04A_국토부원자료'!$A:$T,ROW()+1,MATCH("번지",'04A_국토부원자료'!$A$4:$T$4,0)),""))</f>
        <v/>
      </c>
      <c r="D1997" s="48">
        <f>IF(B1997="","",IF(Q1997=1,'02_대상물건입력'!$B$8,IFERROR(INDEX('04A_국토부원자료'!$A:$T,ROW()+1,MATCH("단지명",'04A_국토부원자료'!$A$4:$T$4,0)),"")))</f>
        <v/>
      </c>
      <c r="E1997" s="172">
        <f>IFERROR(VALUE(SUBSTITUTE(INDEX('04A_국토부원자료'!$A:$T,ROW()+1,MATCH("전용면적(㎡)",'04A_국토부원자료'!$A$4:$T$4,0)),",","")),"")</f>
        <v/>
      </c>
      <c r="F19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97" s="51">
        <f>IFERROR(VALUE(SUBSTITUTE(INDEX('04A_국토부원자료'!$A:$T,ROW()+1,MATCH("거래금액(만원)",'04A_국토부원자료'!$A$4:$T$4,0)),",","")),"")</f>
        <v/>
      </c>
      <c r="H1997" s="174">
        <f>IF(G1997="","",G1997*10000)</f>
        <v/>
      </c>
      <c r="I1997" s="174">
        <f>IFERROR(IF(AND(H1997&gt;0,E1997&gt;0),H1997/E1997,""),"")</f>
        <v/>
      </c>
      <c r="J1997" s="152">
        <f>IFERROR(VALUE(SUBSTITUTE(INDEX('04A_국토부원자료'!$A:$T,ROW()+1,MATCH("층",'04A_국토부원자료'!$A$4:$T$4,0)),",","")),"")</f>
        <v/>
      </c>
      <c r="K1997" s="152">
        <f>IFERROR(VALUE(SUBSTITUTE(INDEX('04A_국토부원자료'!$A:$T,ROW()+1,MATCH("건축년도",'04A_국토부원자료'!$A$4:$T$4,0)),",","")),"")</f>
        <v/>
      </c>
      <c r="L1997" s="48">
        <f>IFERROR(INDEX('04A_국토부원자료'!$A:$T,ROW()+1,MATCH("도로명",'04A_국토부원자료'!$A$4:$T$4,0)),"")</f>
        <v/>
      </c>
      <c r="M1997" s="48">
        <f>IFERROR(INDEX('04A_국토부원자료'!$A:$T,ROW()+1,MATCH("거래유형",'04A_국토부원자료'!$A$4:$T$4,0)),"")</f>
        <v/>
      </c>
      <c r="N1997" s="152">
        <f>IF(B1997="","",IF('02_대상물건입력'!B5="",1,IF(ISNUMBER(SEARCH('02_대상물건입력'!B5,B1997)),1,0)))</f>
        <v/>
      </c>
      <c r="O1997" s="152">
        <f>IF(B1997="","",IF('02_대상물건입력'!B6="",1,IF(ISNUMBER(SEARCH('02_대상물건입력'!B6,B1997)),1,0)))</f>
        <v/>
      </c>
      <c r="P1997" s="152">
        <f>IF(L1997="","",IF('02_대상물건입력'!B15="",0,IF(ISNUMBER(SEARCH('02_대상물건입력'!B15,L1997)),1,0)))</f>
        <v/>
      </c>
      <c r="Q1997" s="152">
        <f>IF(OR(C1997="",L1997=""),0,IF(AND(TRIM(C1997)=TRIM(RIGHT(SUBSTITUTE(TRIM('02_대상물건입력'!$B$7)," ",REPT(" ",99)),99)),IF('02_대상물건입력'!B15="",TRUE(),ISNUMBER(SEARCH('02_대상물건입력'!B15,L1997)))),1,0))</f>
        <v/>
      </c>
      <c r="R1997" s="175">
        <f>IFERROR(ABS(E1997-'02_대상물건입력'!B11)/'02_대상물건입력'!B11,"")</f>
        <v/>
      </c>
      <c r="S1997" s="152">
        <f>IFERROR(ABS(J1997-'02_대상물건입력'!B10),"")</f>
        <v/>
      </c>
      <c r="T1997" s="152">
        <f>IFERROR(ABS('01_설정'!B4-F1997),"")</f>
        <v/>
      </c>
      <c r="U1997" s="152">
        <f>IFERROR(ABS(K1997-YEAR('02_대상물건입력'!B14)),"")</f>
        <v/>
      </c>
      <c r="V1997" s="152">
        <f>IF(B1997="","",IF(AND(E1997&gt;0,F1997&gt;0,H1997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1997=1,TRUE()),R1997&lt;='01_설정'!B5,S1997&lt;='01_설정'!B6,T1997&lt;='01_설정'!B7,U1997&lt;='01_설정'!B8),"Y",""))</f>
        <v/>
      </c>
      <c r="W1997" s="172">
        <f>IF(V1997&lt;&gt;"Y","",MAX(0,(1-R1997/'01_설정'!B5))*'01_설정'!B14+MAX(0,(1-S1997/'01_설정'!B6))*'01_설정'!B15+MAX(0,(1-T1997/'01_설정'!B7))*'01_설정'!B16+MAX(0,(1-U1997/'01_설정'!B8))*'01_설정'!B17+O1997*'01_설정'!B11+Q1997*'01_설정'!B12+P1997*'01_설정'!B13+IF(Z1997="",0,Z1997))</f>
        <v/>
      </c>
      <c r="X1997" s="152">
        <f>IF(W1997="","",1+COUNTIFS($W$4:$W$3003,"&gt;"&amp;W1997)+COUNTIFS($W$4:W1997,W1997)-1)</f>
        <v/>
      </c>
      <c r="Y1997" s="175">
        <f>IF(OR(I1997="",'02_대상물건입력'!B19="",'02_대상물건입력'!B19&lt;=0),"",ABS(I1997-'02_대상물건입력'!B19)/'02_대상물건입력'!B19)</f>
        <v/>
      </c>
      <c r="Z1997" s="172">
        <f>IF(OR(Y1997="",'01_설정'!B31="",'01_설정'!B31&lt;=0,'01_설정'!B32="",'01_설정'!B32&lt;=0),"",MAX(0,(1-Y1997/'01_설정'!B32))*'01_설정'!B31)</f>
        <v/>
      </c>
    </row>
    <row r="1998" ht="17.25" customHeight="1">
      <c r="A1998" s="152">
        <f>IF(INDEX('04A_국토부원자료'!$A:$A,ROW()+1)="","",ROW()-3)</f>
        <v/>
      </c>
      <c r="B1998" s="48">
        <f>IFERROR(INDEX('04A_국토부원자료'!$A:$T,ROW()+1,MATCH("시군구",'04A_국토부원자료'!$A$4:$T$4,0)),"")</f>
        <v/>
      </c>
      <c r="C1998" s="48">
        <f>IF(B1998="","",IFERROR(INDEX('04A_국토부원자료'!$A:$T,ROW()+1,MATCH("번지",'04A_국토부원자료'!$A$4:$T$4,0)),""))</f>
        <v/>
      </c>
      <c r="D1998" s="48">
        <f>IF(B1998="","",IF(Q1998=1,'02_대상물건입력'!$B$8,IFERROR(INDEX('04A_국토부원자료'!$A:$T,ROW()+1,MATCH("단지명",'04A_국토부원자료'!$A$4:$T$4,0)),"")))</f>
        <v/>
      </c>
      <c r="E1998" s="172">
        <f>IFERROR(VALUE(SUBSTITUTE(INDEX('04A_국토부원자료'!$A:$T,ROW()+1,MATCH("전용면적(㎡)",'04A_국토부원자료'!$A$4:$T$4,0)),",","")),"")</f>
        <v/>
      </c>
      <c r="F19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98" s="51">
        <f>IFERROR(VALUE(SUBSTITUTE(INDEX('04A_국토부원자료'!$A:$T,ROW()+1,MATCH("거래금액(만원)",'04A_국토부원자료'!$A$4:$T$4,0)),",","")),"")</f>
        <v/>
      </c>
      <c r="H1998" s="174">
        <f>IF(G1998="","",G1998*10000)</f>
        <v/>
      </c>
      <c r="I1998" s="174">
        <f>IFERROR(IF(AND(H1998&gt;0,E1998&gt;0),H1998/E1998,""),"")</f>
        <v/>
      </c>
      <c r="J1998" s="152">
        <f>IFERROR(VALUE(SUBSTITUTE(INDEX('04A_국토부원자료'!$A:$T,ROW()+1,MATCH("층",'04A_국토부원자료'!$A$4:$T$4,0)),",","")),"")</f>
        <v/>
      </c>
      <c r="K1998" s="152">
        <f>IFERROR(VALUE(SUBSTITUTE(INDEX('04A_국토부원자료'!$A:$T,ROW()+1,MATCH("건축년도",'04A_국토부원자료'!$A$4:$T$4,0)),",","")),"")</f>
        <v/>
      </c>
      <c r="L1998" s="48">
        <f>IFERROR(INDEX('04A_국토부원자료'!$A:$T,ROW()+1,MATCH("도로명",'04A_국토부원자료'!$A$4:$T$4,0)),"")</f>
        <v/>
      </c>
      <c r="M1998" s="48">
        <f>IFERROR(INDEX('04A_국토부원자료'!$A:$T,ROW()+1,MATCH("거래유형",'04A_국토부원자료'!$A$4:$T$4,0)),"")</f>
        <v/>
      </c>
      <c r="N1998" s="152">
        <f>IF(B1998="","",IF('02_대상물건입력'!B5="",1,IF(ISNUMBER(SEARCH('02_대상물건입력'!B5,B1998)),1,0)))</f>
        <v/>
      </c>
      <c r="O1998" s="152">
        <f>IF(B1998="","",IF('02_대상물건입력'!B6="",1,IF(ISNUMBER(SEARCH('02_대상물건입력'!B6,B1998)),1,0)))</f>
        <v/>
      </c>
      <c r="P1998" s="152">
        <f>IF(L1998="","",IF('02_대상물건입력'!B15="",0,IF(ISNUMBER(SEARCH('02_대상물건입력'!B15,L1998)),1,0)))</f>
        <v/>
      </c>
      <c r="Q1998" s="152">
        <f>IF(OR(C1998="",L1998=""),0,IF(AND(TRIM(C1998)=TRIM(RIGHT(SUBSTITUTE(TRIM('02_대상물건입력'!$B$7)," ",REPT(" ",99)),99)),IF('02_대상물건입력'!B15="",TRUE(),ISNUMBER(SEARCH('02_대상물건입력'!B15,L1998)))),1,0))</f>
        <v/>
      </c>
      <c r="R1998" s="175">
        <f>IFERROR(ABS(E1998-'02_대상물건입력'!B11)/'02_대상물건입력'!B11,"")</f>
        <v/>
      </c>
      <c r="S1998" s="152">
        <f>IFERROR(ABS(J1998-'02_대상물건입력'!B10),"")</f>
        <v/>
      </c>
      <c r="T1998" s="152">
        <f>IFERROR(ABS('01_설정'!B4-F1998),"")</f>
        <v/>
      </c>
      <c r="U1998" s="152">
        <f>IFERROR(ABS(K1998-YEAR('02_대상물건입력'!B14)),"")</f>
        <v/>
      </c>
      <c r="V1998" s="152">
        <f>IF(B1998="","",IF(AND(E1998&gt;0,F1998&gt;0,H1998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1998=1,TRUE()),R1998&lt;='01_설정'!B5,S1998&lt;='01_설정'!B6,T1998&lt;='01_설정'!B7,U1998&lt;='01_설정'!B8),"Y",""))</f>
        <v/>
      </c>
      <c r="W1998" s="172">
        <f>IF(V1998&lt;&gt;"Y","",MAX(0,(1-R1998/'01_설정'!B5))*'01_설정'!B14+MAX(0,(1-S1998/'01_설정'!B6))*'01_설정'!B15+MAX(0,(1-T1998/'01_설정'!B7))*'01_설정'!B16+MAX(0,(1-U1998/'01_설정'!B8))*'01_설정'!B17+O1998*'01_설정'!B11+Q1998*'01_설정'!B12+P1998*'01_설정'!B13+IF(Z1998="",0,Z1998))</f>
        <v/>
      </c>
      <c r="X1998" s="152">
        <f>IF(W1998="","",1+COUNTIFS($W$4:$W$3003,"&gt;"&amp;W1998)+COUNTIFS($W$4:W1998,W1998)-1)</f>
        <v/>
      </c>
      <c r="Y1998" s="175">
        <f>IF(OR(I1998="",'02_대상물건입력'!B19="",'02_대상물건입력'!B19&lt;=0),"",ABS(I1998-'02_대상물건입력'!B19)/'02_대상물건입력'!B19)</f>
        <v/>
      </c>
      <c r="Z1998" s="172">
        <f>IF(OR(Y1998="",'01_설정'!B31="",'01_설정'!B31&lt;=0,'01_설정'!B32="",'01_설정'!B32&lt;=0),"",MAX(0,(1-Y1998/'01_설정'!B32))*'01_설정'!B31)</f>
        <v/>
      </c>
    </row>
    <row r="1999" ht="17.25" customHeight="1">
      <c r="A1999" s="152">
        <f>IF(INDEX('04A_국토부원자료'!$A:$A,ROW()+1)="","",ROW()-3)</f>
        <v/>
      </c>
      <c r="B1999" s="48">
        <f>IFERROR(INDEX('04A_국토부원자료'!$A:$T,ROW()+1,MATCH("시군구",'04A_국토부원자료'!$A$4:$T$4,0)),"")</f>
        <v/>
      </c>
      <c r="C1999" s="48">
        <f>IF(B1999="","",IFERROR(INDEX('04A_국토부원자료'!$A:$T,ROW()+1,MATCH("번지",'04A_국토부원자료'!$A$4:$T$4,0)),""))</f>
        <v/>
      </c>
      <c r="D1999" s="48">
        <f>IF(B1999="","",IF(Q1999=1,'02_대상물건입력'!$B$8,IFERROR(INDEX('04A_국토부원자료'!$A:$T,ROW()+1,MATCH("단지명",'04A_국토부원자료'!$A$4:$T$4,0)),"")))</f>
        <v/>
      </c>
      <c r="E1999" s="172">
        <f>IFERROR(VALUE(SUBSTITUTE(INDEX('04A_국토부원자료'!$A:$T,ROW()+1,MATCH("전용면적(㎡)",'04A_국토부원자료'!$A$4:$T$4,0)),",","")),"")</f>
        <v/>
      </c>
      <c r="F19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1999" s="51">
        <f>IFERROR(VALUE(SUBSTITUTE(INDEX('04A_국토부원자료'!$A:$T,ROW()+1,MATCH("거래금액(만원)",'04A_국토부원자료'!$A$4:$T$4,0)),",","")),"")</f>
        <v/>
      </c>
      <c r="H1999" s="174">
        <f>IF(G1999="","",G1999*10000)</f>
        <v/>
      </c>
      <c r="I1999" s="174">
        <f>IFERROR(IF(AND(H1999&gt;0,E1999&gt;0),H1999/E1999,""),"")</f>
        <v/>
      </c>
      <c r="J1999" s="152">
        <f>IFERROR(VALUE(SUBSTITUTE(INDEX('04A_국토부원자료'!$A:$T,ROW()+1,MATCH("층",'04A_국토부원자료'!$A$4:$T$4,0)),",","")),"")</f>
        <v/>
      </c>
      <c r="K1999" s="152">
        <f>IFERROR(VALUE(SUBSTITUTE(INDEX('04A_국토부원자료'!$A:$T,ROW()+1,MATCH("건축년도",'04A_국토부원자료'!$A$4:$T$4,0)),",","")),"")</f>
        <v/>
      </c>
      <c r="L1999" s="48">
        <f>IFERROR(INDEX('04A_국토부원자료'!$A:$T,ROW()+1,MATCH("도로명",'04A_국토부원자료'!$A$4:$T$4,0)),"")</f>
        <v/>
      </c>
      <c r="M1999" s="48">
        <f>IFERROR(INDEX('04A_국토부원자료'!$A:$T,ROW()+1,MATCH("거래유형",'04A_국토부원자료'!$A$4:$T$4,0)),"")</f>
        <v/>
      </c>
      <c r="N1999" s="152">
        <f>IF(B1999="","",IF('02_대상물건입력'!B5="",1,IF(ISNUMBER(SEARCH('02_대상물건입력'!B5,B1999)),1,0)))</f>
        <v/>
      </c>
      <c r="O1999" s="152">
        <f>IF(B1999="","",IF('02_대상물건입력'!B6="",1,IF(ISNUMBER(SEARCH('02_대상물건입력'!B6,B1999)),1,0)))</f>
        <v/>
      </c>
      <c r="P1999" s="152">
        <f>IF(L1999="","",IF('02_대상물건입력'!B15="",0,IF(ISNUMBER(SEARCH('02_대상물건입력'!B15,L1999)),1,0)))</f>
        <v/>
      </c>
      <c r="Q1999" s="152">
        <f>IF(OR(C1999="",L1999=""),0,IF(AND(TRIM(C1999)=TRIM(RIGHT(SUBSTITUTE(TRIM('02_대상물건입력'!$B$7)," ",REPT(" ",99)),99)),IF('02_대상물건입력'!B15="",TRUE(),ISNUMBER(SEARCH('02_대상물건입력'!B15,L1999)))),1,0))</f>
        <v/>
      </c>
      <c r="R1999" s="175">
        <f>IFERROR(ABS(E1999-'02_대상물건입력'!B11)/'02_대상물건입력'!B11,"")</f>
        <v/>
      </c>
      <c r="S1999" s="152">
        <f>IFERROR(ABS(J1999-'02_대상물건입력'!B10),"")</f>
        <v/>
      </c>
      <c r="T1999" s="152">
        <f>IFERROR(ABS('01_설정'!B4-F1999),"")</f>
        <v/>
      </c>
      <c r="U1999" s="152">
        <f>IFERROR(ABS(K1999-YEAR('02_대상물건입력'!B14)),"")</f>
        <v/>
      </c>
      <c r="V1999" s="152">
        <f>IF(B1999="","",IF(AND(E1999&gt;0,F1999&gt;0,H1999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1999=1,TRUE()),R1999&lt;='01_설정'!B5,S1999&lt;='01_설정'!B6,T1999&lt;='01_설정'!B7,U1999&lt;='01_설정'!B8),"Y",""))</f>
        <v/>
      </c>
      <c r="W1999" s="172">
        <f>IF(V1999&lt;&gt;"Y","",MAX(0,(1-R1999/'01_설정'!B5))*'01_설정'!B14+MAX(0,(1-S1999/'01_설정'!B6))*'01_설정'!B15+MAX(0,(1-T1999/'01_설정'!B7))*'01_설정'!B16+MAX(0,(1-U1999/'01_설정'!B8))*'01_설정'!B17+O1999*'01_설정'!B11+Q1999*'01_설정'!B12+P1999*'01_설정'!B13+IF(Z1999="",0,Z1999))</f>
        <v/>
      </c>
      <c r="X1999" s="152">
        <f>IF(W1999="","",1+COUNTIFS($W$4:$W$3003,"&gt;"&amp;W1999)+COUNTIFS($W$4:W1999,W1999)-1)</f>
        <v/>
      </c>
      <c r="Y1999" s="175">
        <f>IF(OR(I1999="",'02_대상물건입력'!B19="",'02_대상물건입력'!B19&lt;=0),"",ABS(I1999-'02_대상물건입력'!B19)/'02_대상물건입력'!B19)</f>
        <v/>
      </c>
      <c r="Z1999" s="172">
        <f>IF(OR(Y1999="",'01_설정'!B31="",'01_설정'!B31&lt;=0,'01_설정'!B32="",'01_설정'!B32&lt;=0),"",MAX(0,(1-Y1999/'01_설정'!B32))*'01_설정'!B31)</f>
        <v/>
      </c>
    </row>
    <row r="2000" ht="17.25" customHeight="1">
      <c r="A2000" s="152">
        <f>IF(INDEX('04A_국토부원자료'!$A:$A,ROW()+1)="","",ROW()-3)</f>
        <v/>
      </c>
      <c r="B2000" s="48">
        <f>IFERROR(INDEX('04A_국토부원자료'!$A:$T,ROW()+1,MATCH("시군구",'04A_국토부원자료'!$A$4:$T$4,0)),"")</f>
        <v/>
      </c>
      <c r="C2000" s="48">
        <f>IF(B2000="","",IFERROR(INDEX('04A_국토부원자료'!$A:$T,ROW()+1,MATCH("번지",'04A_국토부원자료'!$A$4:$T$4,0)),""))</f>
        <v/>
      </c>
      <c r="D2000" s="48">
        <f>IF(B2000="","",IF(Q2000=1,'02_대상물건입력'!$B$8,IFERROR(INDEX('04A_국토부원자료'!$A:$T,ROW()+1,MATCH("단지명",'04A_국토부원자료'!$A$4:$T$4,0)),"")))</f>
        <v/>
      </c>
      <c r="E2000" s="172">
        <f>IFERROR(VALUE(SUBSTITUTE(INDEX('04A_국토부원자료'!$A:$T,ROW()+1,MATCH("전용면적(㎡)",'04A_국토부원자료'!$A$4:$T$4,0)),",","")),"")</f>
        <v/>
      </c>
      <c r="F20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00" s="51">
        <f>IFERROR(VALUE(SUBSTITUTE(INDEX('04A_국토부원자료'!$A:$T,ROW()+1,MATCH("거래금액(만원)",'04A_국토부원자료'!$A$4:$T$4,0)),",","")),"")</f>
        <v/>
      </c>
      <c r="H2000" s="174">
        <f>IF(G2000="","",G2000*10000)</f>
        <v/>
      </c>
      <c r="I2000" s="174">
        <f>IFERROR(IF(AND(H2000&gt;0,E2000&gt;0),H2000/E2000,""),"")</f>
        <v/>
      </c>
      <c r="J2000" s="152">
        <f>IFERROR(VALUE(SUBSTITUTE(INDEX('04A_국토부원자료'!$A:$T,ROW()+1,MATCH("층",'04A_국토부원자료'!$A$4:$T$4,0)),",","")),"")</f>
        <v/>
      </c>
      <c r="K2000" s="152">
        <f>IFERROR(VALUE(SUBSTITUTE(INDEX('04A_국토부원자료'!$A:$T,ROW()+1,MATCH("건축년도",'04A_국토부원자료'!$A$4:$T$4,0)),",","")),"")</f>
        <v/>
      </c>
      <c r="L2000" s="48">
        <f>IFERROR(INDEX('04A_국토부원자료'!$A:$T,ROW()+1,MATCH("도로명",'04A_국토부원자료'!$A$4:$T$4,0)),"")</f>
        <v/>
      </c>
      <c r="M2000" s="48">
        <f>IFERROR(INDEX('04A_국토부원자료'!$A:$T,ROW()+1,MATCH("거래유형",'04A_국토부원자료'!$A$4:$T$4,0)),"")</f>
        <v/>
      </c>
      <c r="N2000" s="152">
        <f>IF(B2000="","",IF('02_대상물건입력'!B5="",1,IF(ISNUMBER(SEARCH('02_대상물건입력'!B5,B2000)),1,0)))</f>
        <v/>
      </c>
      <c r="O2000" s="152">
        <f>IF(B2000="","",IF('02_대상물건입력'!B6="",1,IF(ISNUMBER(SEARCH('02_대상물건입력'!B6,B2000)),1,0)))</f>
        <v/>
      </c>
      <c r="P2000" s="152">
        <f>IF(L2000="","",IF('02_대상물건입력'!B15="",0,IF(ISNUMBER(SEARCH('02_대상물건입력'!B15,L2000)),1,0)))</f>
        <v/>
      </c>
      <c r="Q2000" s="152">
        <f>IF(OR(C2000="",L2000=""),0,IF(AND(TRIM(C2000)=TRIM(RIGHT(SUBSTITUTE(TRIM('02_대상물건입력'!$B$7)," ",REPT(" ",99)),99)),IF('02_대상물건입력'!B15="",TRUE(),ISNUMBER(SEARCH('02_대상물건입력'!B15,L2000)))),1,0))</f>
        <v/>
      </c>
      <c r="R2000" s="175">
        <f>IFERROR(ABS(E2000-'02_대상물건입력'!B11)/'02_대상물건입력'!B11,"")</f>
        <v/>
      </c>
      <c r="S2000" s="152">
        <f>IFERROR(ABS(J2000-'02_대상물건입력'!B10),"")</f>
        <v/>
      </c>
      <c r="T2000" s="152">
        <f>IFERROR(ABS('01_설정'!B4-F2000),"")</f>
        <v/>
      </c>
      <c r="U2000" s="152">
        <f>IFERROR(ABS(K2000-YEAR('02_대상물건입력'!B14)),"")</f>
        <v/>
      </c>
      <c r="V2000" s="152">
        <f>IF(B2000="","",IF(AND(E2000&gt;0,F2000&gt;0,H2000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2000=1,TRUE()),R2000&lt;='01_설정'!B5,S2000&lt;='01_설정'!B6,T2000&lt;='01_설정'!B7,U2000&lt;='01_설정'!B8),"Y",""))</f>
        <v/>
      </c>
      <c r="W2000" s="172">
        <f>IF(V2000&lt;&gt;"Y","",MAX(0,(1-R2000/'01_설정'!B5))*'01_설정'!B14+MAX(0,(1-S2000/'01_설정'!B6))*'01_설정'!B15+MAX(0,(1-T2000/'01_설정'!B7))*'01_설정'!B16+MAX(0,(1-U2000/'01_설정'!B8))*'01_설정'!B17+O2000*'01_설정'!B11+Q2000*'01_설정'!B12+P2000*'01_설정'!B13+IF(Z2000="",0,Z2000))</f>
        <v/>
      </c>
      <c r="X2000" s="152">
        <f>IF(W2000="","",1+COUNTIFS($W$4:$W$3003,"&gt;"&amp;W2000)+COUNTIFS($W$4:W2000,W2000)-1)</f>
        <v/>
      </c>
      <c r="Y2000" s="175">
        <f>IF(OR(I2000="",'02_대상물건입력'!B19="",'02_대상물건입력'!B19&lt;=0),"",ABS(I2000-'02_대상물건입력'!B19)/'02_대상물건입력'!B19)</f>
        <v/>
      </c>
      <c r="Z2000" s="172">
        <f>IF(OR(Y2000="",'01_설정'!B31="",'01_설정'!B31&lt;=0,'01_설정'!B32="",'01_설정'!B32&lt;=0),"",MAX(0,(1-Y2000/'01_설정'!B32))*'01_설정'!B31)</f>
        <v/>
      </c>
    </row>
    <row r="2001" ht="17.25" customHeight="1">
      <c r="A2001" s="152">
        <f>IF(INDEX('04A_국토부원자료'!$A:$A,ROW()+1)="","",ROW()-3)</f>
        <v/>
      </c>
      <c r="B2001" s="48">
        <f>IFERROR(INDEX('04A_국토부원자료'!$A:$T,ROW()+1,MATCH("시군구",'04A_국토부원자료'!$A$4:$T$4,0)),"")</f>
        <v/>
      </c>
      <c r="C2001" s="48">
        <f>IF(B2001="","",IFERROR(INDEX('04A_국토부원자료'!$A:$T,ROW()+1,MATCH("번지",'04A_국토부원자료'!$A$4:$T$4,0)),""))</f>
        <v/>
      </c>
      <c r="D2001" s="48">
        <f>IF(B2001="","",IF(Q2001=1,'02_대상물건입력'!$B$8,IFERROR(INDEX('04A_국토부원자료'!$A:$T,ROW()+1,MATCH("단지명",'04A_국토부원자료'!$A$4:$T$4,0)),"")))</f>
        <v/>
      </c>
      <c r="E2001" s="172">
        <f>IFERROR(VALUE(SUBSTITUTE(INDEX('04A_국토부원자료'!$A:$T,ROW()+1,MATCH("전용면적(㎡)",'04A_국토부원자료'!$A$4:$T$4,0)),",","")),"")</f>
        <v/>
      </c>
      <c r="F20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01" s="51">
        <f>IFERROR(VALUE(SUBSTITUTE(INDEX('04A_국토부원자료'!$A:$T,ROW()+1,MATCH("거래금액(만원)",'04A_국토부원자료'!$A$4:$T$4,0)),",","")),"")</f>
        <v/>
      </c>
      <c r="H2001" s="174">
        <f>IF(G2001="","",G2001*10000)</f>
        <v/>
      </c>
      <c r="I2001" s="174">
        <f>IFERROR(IF(AND(H2001&gt;0,E2001&gt;0),H2001/E2001,""),"")</f>
        <v/>
      </c>
      <c r="J2001" s="152">
        <f>IFERROR(VALUE(SUBSTITUTE(INDEX('04A_국토부원자료'!$A:$T,ROW()+1,MATCH("층",'04A_국토부원자료'!$A$4:$T$4,0)),",","")),"")</f>
        <v/>
      </c>
      <c r="K2001" s="152">
        <f>IFERROR(VALUE(SUBSTITUTE(INDEX('04A_국토부원자료'!$A:$T,ROW()+1,MATCH("건축년도",'04A_국토부원자료'!$A$4:$T$4,0)),",","")),"")</f>
        <v/>
      </c>
      <c r="L2001" s="48">
        <f>IFERROR(INDEX('04A_국토부원자료'!$A:$T,ROW()+1,MATCH("도로명",'04A_국토부원자료'!$A$4:$T$4,0)),"")</f>
        <v/>
      </c>
      <c r="M2001" s="48">
        <f>IFERROR(INDEX('04A_국토부원자료'!$A:$T,ROW()+1,MATCH("거래유형",'04A_국토부원자료'!$A$4:$T$4,0)),"")</f>
        <v/>
      </c>
      <c r="N2001" s="152">
        <f>IF(B2001="","",IF('02_대상물건입력'!B5="",1,IF(ISNUMBER(SEARCH('02_대상물건입력'!B5,B2001)),1,0)))</f>
        <v/>
      </c>
      <c r="O2001" s="152">
        <f>IF(B2001="","",IF('02_대상물건입력'!B6="",1,IF(ISNUMBER(SEARCH('02_대상물건입력'!B6,B2001)),1,0)))</f>
        <v/>
      </c>
      <c r="P2001" s="152">
        <f>IF(L2001="","",IF('02_대상물건입력'!B15="",0,IF(ISNUMBER(SEARCH('02_대상물건입력'!B15,L2001)),1,0)))</f>
        <v/>
      </c>
      <c r="Q2001" s="152">
        <f>IF(OR(C2001="",L2001=""),0,IF(AND(TRIM(C2001)=TRIM(RIGHT(SUBSTITUTE(TRIM('02_대상물건입력'!$B$7)," ",REPT(" ",99)),99)),IF('02_대상물건입력'!B15="",TRUE(),ISNUMBER(SEARCH('02_대상물건입력'!B15,L2001)))),1,0))</f>
        <v/>
      </c>
      <c r="R2001" s="175">
        <f>IFERROR(ABS(E2001-'02_대상물건입력'!B11)/'02_대상물건입력'!B11,"")</f>
        <v/>
      </c>
      <c r="S2001" s="152">
        <f>IFERROR(ABS(J2001-'02_대상물건입력'!B10),"")</f>
        <v/>
      </c>
      <c r="T2001" s="152">
        <f>IFERROR(ABS('01_설정'!B4-F2001),"")</f>
        <v/>
      </c>
      <c r="U2001" s="152">
        <f>IFERROR(ABS(K2001-YEAR('02_대상물건입력'!B14)),"")</f>
        <v/>
      </c>
      <c r="V2001" s="152">
        <f>IF(B2001="","",IF(AND(E2001&gt;0,F2001&gt;0,H2001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2001=1,TRUE()),R2001&lt;='01_설정'!B5,S2001&lt;='01_설정'!B6,T2001&lt;='01_설정'!B7,U2001&lt;='01_설정'!B8),"Y",""))</f>
        <v/>
      </c>
      <c r="W2001" s="172">
        <f>IF(V2001&lt;&gt;"Y","",MAX(0,(1-R2001/'01_설정'!B5))*'01_설정'!B14+MAX(0,(1-S2001/'01_설정'!B6))*'01_설정'!B15+MAX(0,(1-T2001/'01_설정'!B7))*'01_설정'!B16+MAX(0,(1-U2001/'01_설정'!B8))*'01_설정'!B17+O2001*'01_설정'!B11+Q2001*'01_설정'!B12+P2001*'01_설정'!B13+IF(Z2001="",0,Z2001))</f>
        <v/>
      </c>
      <c r="X2001" s="152">
        <f>IF(W2001="","",1+COUNTIFS($W$4:$W$3003,"&gt;"&amp;W2001)+COUNTIFS($W$4:W2001,W2001)-1)</f>
        <v/>
      </c>
      <c r="Y2001" s="175">
        <f>IF(OR(I2001="",'02_대상물건입력'!B19="",'02_대상물건입력'!B19&lt;=0),"",ABS(I2001-'02_대상물건입력'!B19)/'02_대상물건입력'!B19)</f>
        <v/>
      </c>
      <c r="Z2001" s="172">
        <f>IF(OR(Y2001="",'01_설정'!B31="",'01_설정'!B31&lt;=0,'01_설정'!B32="",'01_설정'!B32&lt;=0),"",MAX(0,(1-Y2001/'01_설정'!B32))*'01_설정'!B31)</f>
        <v/>
      </c>
    </row>
    <row r="2002" ht="17.25" customHeight="1">
      <c r="A2002" s="152">
        <f>IF(INDEX('04A_국토부원자료'!$A:$A,ROW()+1)="","",ROW()-3)</f>
        <v/>
      </c>
      <c r="B2002" s="48">
        <f>IFERROR(INDEX('04A_국토부원자료'!$A:$T,ROW()+1,MATCH("시군구",'04A_국토부원자료'!$A$4:$T$4,0)),"")</f>
        <v/>
      </c>
      <c r="C2002" s="48">
        <f>IF(B2002="","",IFERROR(INDEX('04A_국토부원자료'!$A:$T,ROW()+1,MATCH("번지",'04A_국토부원자료'!$A$4:$T$4,0)),""))</f>
        <v/>
      </c>
      <c r="D2002" s="48">
        <f>IF(B2002="","",IF(Q2002=1,'02_대상물건입력'!$B$8,IFERROR(INDEX('04A_국토부원자료'!$A:$T,ROW()+1,MATCH("단지명",'04A_국토부원자료'!$A$4:$T$4,0)),"")))</f>
        <v/>
      </c>
      <c r="E2002" s="172">
        <f>IFERROR(VALUE(SUBSTITUTE(INDEX('04A_국토부원자료'!$A:$T,ROW()+1,MATCH("전용면적(㎡)",'04A_국토부원자료'!$A$4:$T$4,0)),",","")),"")</f>
        <v/>
      </c>
      <c r="F20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02" s="51">
        <f>IFERROR(VALUE(SUBSTITUTE(INDEX('04A_국토부원자료'!$A:$T,ROW()+1,MATCH("거래금액(만원)",'04A_국토부원자료'!$A$4:$T$4,0)),",","")),"")</f>
        <v/>
      </c>
      <c r="H2002" s="174">
        <f>IF(G2002="","",G2002*10000)</f>
        <v/>
      </c>
      <c r="I2002" s="174">
        <f>IFERROR(IF(AND(H2002&gt;0,E2002&gt;0),H2002/E2002,""),"")</f>
        <v/>
      </c>
      <c r="J2002" s="152">
        <f>IFERROR(VALUE(SUBSTITUTE(INDEX('04A_국토부원자료'!$A:$T,ROW()+1,MATCH("층",'04A_국토부원자료'!$A$4:$T$4,0)),",","")),"")</f>
        <v/>
      </c>
      <c r="K2002" s="152">
        <f>IFERROR(VALUE(SUBSTITUTE(INDEX('04A_국토부원자료'!$A:$T,ROW()+1,MATCH("건축년도",'04A_국토부원자료'!$A$4:$T$4,0)),",","")),"")</f>
        <v/>
      </c>
      <c r="L2002" s="48">
        <f>IFERROR(INDEX('04A_국토부원자료'!$A:$T,ROW()+1,MATCH("도로명",'04A_국토부원자료'!$A$4:$T$4,0)),"")</f>
        <v/>
      </c>
      <c r="M2002" s="48">
        <f>IFERROR(INDEX('04A_국토부원자료'!$A:$T,ROW()+1,MATCH("거래유형",'04A_국토부원자료'!$A$4:$T$4,0)),"")</f>
        <v/>
      </c>
      <c r="N2002" s="152">
        <f>IF(B2002="","",IF('02_대상물건입력'!B5="",1,IF(ISNUMBER(SEARCH('02_대상물건입력'!B5,B2002)),1,0)))</f>
        <v/>
      </c>
      <c r="O2002" s="152">
        <f>IF(B2002="","",IF('02_대상물건입력'!B6="",1,IF(ISNUMBER(SEARCH('02_대상물건입력'!B6,B2002)),1,0)))</f>
        <v/>
      </c>
      <c r="P2002" s="152">
        <f>IF(L2002="","",IF('02_대상물건입력'!B15="",0,IF(ISNUMBER(SEARCH('02_대상물건입력'!B15,L2002)),1,0)))</f>
        <v/>
      </c>
      <c r="Q2002" s="152">
        <f>IF(OR(C2002="",L2002=""),0,IF(AND(TRIM(C2002)=TRIM(RIGHT(SUBSTITUTE(TRIM('02_대상물건입력'!$B$7)," ",REPT(" ",99)),99)),IF('02_대상물건입력'!B15="",TRUE(),ISNUMBER(SEARCH('02_대상물건입력'!B15,L2002)))),1,0))</f>
        <v/>
      </c>
      <c r="R2002" s="175">
        <f>IFERROR(ABS(E2002-'02_대상물건입력'!B11)/'02_대상물건입력'!B11,"")</f>
        <v/>
      </c>
      <c r="S2002" s="152">
        <f>IFERROR(ABS(J2002-'02_대상물건입력'!B10),"")</f>
        <v/>
      </c>
      <c r="T2002" s="152">
        <f>IFERROR(ABS('01_설정'!B4-F2002),"")</f>
        <v/>
      </c>
      <c r="U2002" s="152">
        <f>IFERROR(ABS(K2002-YEAR('02_대상물건입력'!B14)),"")</f>
        <v/>
      </c>
      <c r="V2002" s="152">
        <f>IF(B2002="","",IF(AND(E2002&gt;0,F2002&gt;0,H2002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2002=1,TRUE()),R2002&lt;='01_설정'!B5,S2002&lt;='01_설정'!B6,T2002&lt;='01_설정'!B7,U2002&lt;='01_설정'!B8),"Y",""))</f>
        <v/>
      </c>
      <c r="W2002" s="172">
        <f>IF(V2002&lt;&gt;"Y","",MAX(0,(1-R2002/'01_설정'!B5))*'01_설정'!B14+MAX(0,(1-S2002/'01_설정'!B6))*'01_설정'!B15+MAX(0,(1-T2002/'01_설정'!B7))*'01_설정'!B16+MAX(0,(1-U2002/'01_설정'!B8))*'01_설정'!B17+O2002*'01_설정'!B11+Q2002*'01_설정'!B12+P2002*'01_설정'!B13+IF(Z2002="",0,Z2002))</f>
        <v/>
      </c>
      <c r="X2002" s="152">
        <f>IF(W2002="","",1+COUNTIFS($W$4:$W$3003,"&gt;"&amp;W2002)+COUNTIFS($W$4:W2002,W2002)-1)</f>
        <v/>
      </c>
      <c r="Y2002" s="175">
        <f>IF(OR(I2002="",'02_대상물건입력'!B19="",'02_대상물건입력'!B19&lt;=0),"",ABS(I2002-'02_대상물건입력'!B19)/'02_대상물건입력'!B19)</f>
        <v/>
      </c>
      <c r="Z2002" s="172">
        <f>IF(OR(Y2002="",'01_설정'!B31="",'01_설정'!B31&lt;=0,'01_설정'!B32="",'01_설정'!B32&lt;=0),"",MAX(0,(1-Y2002/'01_설정'!B32))*'01_설정'!B31)</f>
        <v/>
      </c>
    </row>
    <row r="2003" ht="17.25" customHeight="1">
      <c r="A2003" s="152">
        <f>IF(INDEX('04A_국토부원자료'!$A:$A,ROW()+1)="","",ROW()-3)</f>
        <v/>
      </c>
      <c r="B2003" s="48">
        <f>IFERROR(INDEX('04A_국토부원자료'!$A:$T,ROW()+1,MATCH("시군구",'04A_국토부원자료'!$A$4:$T$4,0)),"")</f>
        <v/>
      </c>
      <c r="C2003" s="48">
        <f>IF(B2003="","",IFERROR(INDEX('04A_국토부원자료'!$A:$T,ROW()+1,MATCH("번지",'04A_국토부원자료'!$A$4:$T$4,0)),""))</f>
        <v/>
      </c>
      <c r="D2003" s="48">
        <f>IF(B2003="","",IF(Q2003=1,'02_대상물건입력'!$B$8,IFERROR(INDEX('04A_국토부원자료'!$A:$T,ROW()+1,MATCH("단지명",'04A_국토부원자료'!$A$4:$T$4,0)),"")))</f>
        <v/>
      </c>
      <c r="E2003" s="172">
        <f>IFERROR(VALUE(SUBSTITUTE(INDEX('04A_국토부원자료'!$A:$T,ROW()+1,MATCH("전용면적(㎡)",'04A_국토부원자료'!$A$4:$T$4,0)),",","")),"")</f>
        <v/>
      </c>
      <c r="F20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03" s="51">
        <f>IFERROR(VALUE(SUBSTITUTE(INDEX('04A_국토부원자료'!$A:$T,ROW()+1,MATCH("거래금액(만원)",'04A_국토부원자료'!$A$4:$T$4,0)),",","")),"")</f>
        <v/>
      </c>
      <c r="H2003" s="174">
        <f>IF(G2003="","",G2003*10000)</f>
        <v/>
      </c>
      <c r="I2003" s="174">
        <f>IFERROR(IF(AND(H2003&gt;0,E2003&gt;0),H2003/E2003,""),"")</f>
        <v/>
      </c>
      <c r="J2003" s="152">
        <f>IFERROR(VALUE(SUBSTITUTE(INDEX('04A_국토부원자료'!$A:$T,ROW()+1,MATCH("층",'04A_국토부원자료'!$A$4:$T$4,0)),",","")),"")</f>
        <v/>
      </c>
      <c r="K2003" s="152">
        <f>IFERROR(VALUE(SUBSTITUTE(INDEX('04A_국토부원자료'!$A:$T,ROW()+1,MATCH("건축년도",'04A_국토부원자료'!$A$4:$T$4,0)),",","")),"")</f>
        <v/>
      </c>
      <c r="L2003" s="48">
        <f>IFERROR(INDEX('04A_국토부원자료'!$A:$T,ROW()+1,MATCH("도로명",'04A_국토부원자료'!$A$4:$T$4,0)),"")</f>
        <v/>
      </c>
      <c r="M2003" s="48">
        <f>IFERROR(INDEX('04A_국토부원자료'!$A:$T,ROW()+1,MATCH("거래유형",'04A_국토부원자료'!$A$4:$T$4,0)),"")</f>
        <v/>
      </c>
      <c r="N2003" s="152">
        <f>IF(B2003="","",IF('02_대상물건입력'!B5="",1,IF(ISNUMBER(SEARCH('02_대상물건입력'!B5,B2003)),1,0)))</f>
        <v/>
      </c>
      <c r="O2003" s="152">
        <f>IF(B2003="","",IF('02_대상물건입력'!B6="",1,IF(ISNUMBER(SEARCH('02_대상물건입력'!B6,B2003)),1,0)))</f>
        <v/>
      </c>
      <c r="P2003" s="152">
        <f>IF(L2003="","",IF('02_대상물건입력'!B15="",0,IF(ISNUMBER(SEARCH('02_대상물건입력'!B15,L2003)),1,0)))</f>
        <v/>
      </c>
      <c r="Q2003" s="152">
        <f>IF(OR(C2003="",L2003=""),0,IF(AND(TRIM(C2003)=TRIM(RIGHT(SUBSTITUTE(TRIM('02_대상물건입력'!$B$7)," ",REPT(" ",99)),99)),IF('02_대상물건입력'!B15="",TRUE(),ISNUMBER(SEARCH('02_대상물건입력'!B15,L2003)))),1,0))</f>
        <v/>
      </c>
      <c r="R2003" s="175">
        <f>IFERROR(ABS(E2003-'02_대상물건입력'!B11)/'02_대상물건입력'!B11,"")</f>
        <v/>
      </c>
      <c r="S2003" s="152">
        <f>IFERROR(ABS(J2003-'02_대상물건입력'!B10),"")</f>
        <v/>
      </c>
      <c r="T2003" s="152">
        <f>IFERROR(ABS('01_설정'!B4-F2003),"")</f>
        <v/>
      </c>
      <c r="U2003" s="152">
        <f>IFERROR(ABS(K2003-YEAR('02_대상물건입력'!B14)),"")</f>
        <v/>
      </c>
      <c r="V2003" s="152">
        <f>IF(B2003="","",IF(AND(E2003&gt;0,F2003&gt;0,H2003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2003=1,TRUE()),R2003&lt;='01_설정'!B5,S2003&lt;='01_설정'!B6,T2003&lt;='01_설정'!B7,U2003&lt;='01_설정'!B8),"Y",""))</f>
        <v/>
      </c>
      <c r="W2003" s="172">
        <f>IF(V2003&lt;&gt;"Y","",MAX(0,(1-R2003/'01_설정'!B5))*'01_설정'!B14+MAX(0,(1-S2003/'01_설정'!B6))*'01_설정'!B15+MAX(0,(1-T2003/'01_설정'!B7))*'01_설정'!B16+MAX(0,(1-U2003/'01_설정'!B8))*'01_설정'!B17+O2003*'01_설정'!B11+Q2003*'01_설정'!B12+P2003*'01_설정'!B13+IF(Z2003="",0,Z2003))</f>
        <v/>
      </c>
      <c r="X2003" s="152">
        <f>IF(W2003="","",1+COUNTIFS($W$4:$W$3003,"&gt;"&amp;W2003)+COUNTIFS($W$4:W2003,W2003)-1)</f>
        <v/>
      </c>
      <c r="Y2003" s="175">
        <f>IF(OR(I2003="",'02_대상물건입력'!B19="",'02_대상물건입력'!B19&lt;=0),"",ABS(I2003-'02_대상물건입력'!B19)/'02_대상물건입력'!B19)</f>
        <v/>
      </c>
      <c r="Z2003" s="172">
        <f>IF(OR(Y2003="",'01_설정'!B31="",'01_설정'!B31&lt;=0,'01_설정'!B32="",'01_설정'!B32&lt;=0),"",MAX(0,(1-Y2003/'01_설정'!B32))*'01_설정'!B31)</f>
        <v/>
      </c>
    </row>
    <row r="2004" ht="17.25" customHeight="1">
      <c r="A2004" s="152">
        <f>IF(INDEX('04A_국토부원자료'!$A:$A,ROW()+1)="","",ROW()-3)</f>
        <v/>
      </c>
      <c r="B2004" s="48">
        <f>IFERROR(INDEX('04A_국토부원자료'!$A:$T,ROW()+1,MATCH("시군구",'04A_국토부원자료'!$A$4:$T$4,0)),"")</f>
        <v/>
      </c>
      <c r="C2004" s="48">
        <f>IF(B2004="","",IFERROR(INDEX('04A_국토부원자료'!$A:$T,ROW()+1,MATCH("번지",'04A_국토부원자료'!$A$4:$T$4,0)),""))</f>
        <v/>
      </c>
      <c r="D2004" s="48">
        <f>IF(B2004="","",IF(Q2004=1,'02_대상물건입력'!$B$8,IFERROR(INDEX('04A_국토부원자료'!$A:$T,ROW()+1,MATCH("단지명",'04A_국토부원자료'!$A$4:$T$4,0)),"")))</f>
        <v/>
      </c>
      <c r="E2004" s="172">
        <f>IFERROR(VALUE(SUBSTITUTE(INDEX('04A_국토부원자료'!$A:$T,ROW()+1,MATCH("전용면적(㎡)",'04A_국토부원자료'!$A$4:$T$4,0)),",","")),"")</f>
        <v/>
      </c>
      <c r="F20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04" s="51">
        <f>IFERROR(VALUE(SUBSTITUTE(INDEX('04A_국토부원자료'!$A:$T,ROW()+1,MATCH("거래금액(만원)",'04A_국토부원자료'!$A$4:$T$4,0)),",","")),"")</f>
        <v/>
      </c>
      <c r="H2004" s="174">
        <f>IF(G2004="","",G2004*10000)</f>
        <v/>
      </c>
      <c r="I2004" s="174">
        <f>IFERROR(IF(AND(H2004&gt;0,E2004&gt;0),H2004/E2004,""),"")</f>
        <v/>
      </c>
      <c r="J2004" s="152">
        <f>IFERROR(VALUE(SUBSTITUTE(INDEX('04A_국토부원자료'!$A:$T,ROW()+1,MATCH("층",'04A_국토부원자료'!$A$4:$T$4,0)),",","")),"")</f>
        <v/>
      </c>
      <c r="K2004" s="152">
        <f>IFERROR(VALUE(SUBSTITUTE(INDEX('04A_국토부원자료'!$A:$T,ROW()+1,MATCH("건축년도",'04A_국토부원자료'!$A$4:$T$4,0)),",","")),"")</f>
        <v/>
      </c>
      <c r="L2004" s="48">
        <f>IFERROR(INDEX('04A_국토부원자료'!$A:$T,ROW()+1,MATCH("도로명",'04A_국토부원자료'!$A$4:$T$4,0)),"")</f>
        <v/>
      </c>
      <c r="M2004" s="48">
        <f>IFERROR(INDEX('04A_국토부원자료'!$A:$T,ROW()+1,MATCH("거래유형",'04A_국토부원자료'!$A$4:$T$4,0)),"")</f>
        <v/>
      </c>
      <c r="N2004" s="152">
        <f>IF(B2004="","",IF('02_대상물건입력'!B5="",1,IF(ISNUMBER(SEARCH('02_대상물건입력'!B5,B2004)),1,0)))</f>
        <v/>
      </c>
      <c r="O2004" s="152">
        <f>IF(B2004="","",IF('02_대상물건입력'!B6="",1,IF(ISNUMBER(SEARCH('02_대상물건입력'!B6,B2004)),1,0)))</f>
        <v/>
      </c>
      <c r="P2004" s="152">
        <f>IF(L2004="","",IF('02_대상물건입력'!B15="",0,IF(ISNUMBER(SEARCH('02_대상물건입력'!B15,L2004)),1,0)))</f>
        <v/>
      </c>
      <c r="Q2004" s="152">
        <f>IF(OR(C2004="",L2004=""),0,IF(AND(TRIM(C2004)=TRIM(RIGHT(SUBSTITUTE(TRIM('02_대상물건입력'!$B$7)," ",REPT(" ",99)),99)),IF('02_대상물건입력'!B15="",TRUE(),ISNUMBER(SEARCH('02_대상물건입력'!B15,L2004)))),1,0))</f>
        <v/>
      </c>
      <c r="R2004" s="175">
        <f>IFERROR(ABS(E2004-'02_대상물건입력'!B11)/'02_대상물건입력'!B11,"")</f>
        <v/>
      </c>
      <c r="S2004" s="152">
        <f>IFERROR(ABS(J2004-'02_대상물건입력'!B10),"")</f>
        <v/>
      </c>
      <c r="T2004" s="152">
        <f>IFERROR(ABS('01_설정'!B4-F2004),"")</f>
        <v/>
      </c>
      <c r="U2004" s="152">
        <f>IFERROR(ABS(K2004-YEAR('02_대상물건입력'!B14)),"")</f>
        <v/>
      </c>
      <c r="V2004" s="152">
        <f>IF(B2004="","",IF(AND(E2004&gt;0,F2004&gt;0,H2004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2004=1,TRUE()),R2004&lt;='01_설정'!B5,S2004&lt;='01_설정'!B6,T2004&lt;='01_설정'!B7,U2004&lt;='01_설정'!B8),"Y",""))</f>
        <v/>
      </c>
      <c r="W2004" s="172">
        <f>IF(V2004&lt;&gt;"Y","",MAX(0,(1-R2004/'01_설정'!B5))*'01_설정'!B14+MAX(0,(1-S2004/'01_설정'!B6))*'01_설정'!B15+MAX(0,(1-T2004/'01_설정'!B7))*'01_설정'!B16+MAX(0,(1-U2004/'01_설정'!B8))*'01_설정'!B17+O2004*'01_설정'!B11+Q2004*'01_설정'!B12+P2004*'01_설정'!B13+IF(Z2004="",0,Z2004))</f>
        <v/>
      </c>
      <c r="X2004" s="152">
        <f>IF(W2004="","",1+COUNTIFS($W$4:$W$3003,"&gt;"&amp;W2004)+COUNTIFS($W$4:W2004,W2004)-1)</f>
        <v/>
      </c>
      <c r="Y2004" s="175">
        <f>IF(OR(I2004="",'02_대상물건입력'!B19="",'02_대상물건입력'!B19&lt;=0),"",ABS(I2004-'02_대상물건입력'!B19)/'02_대상물건입력'!B19)</f>
        <v/>
      </c>
      <c r="Z2004" s="172">
        <f>IF(OR(Y2004="",'01_설정'!B31="",'01_설정'!B31&lt;=0,'01_설정'!B32="",'01_설정'!B32&lt;=0),"",MAX(0,(1-Y2004/'01_설정'!B32))*'01_설정'!B31)</f>
        <v/>
      </c>
    </row>
    <row r="2005" ht="17.25" customHeight="1">
      <c r="A2005" s="152">
        <f>IF(INDEX('04A_국토부원자료'!$A:$A,ROW()+1)="","",ROW()-3)</f>
        <v/>
      </c>
      <c r="B2005" s="48">
        <f>IFERROR(INDEX('04A_국토부원자료'!$A:$T,ROW()+1,MATCH("시군구",'04A_국토부원자료'!$A$4:$T$4,0)),"")</f>
        <v/>
      </c>
      <c r="C2005" s="48">
        <f>IF(B2005="","",IFERROR(INDEX('04A_국토부원자료'!$A:$T,ROW()+1,MATCH("번지",'04A_국토부원자료'!$A$4:$T$4,0)),""))</f>
        <v/>
      </c>
      <c r="D2005" s="48">
        <f>IF(B2005="","",IF(Q2005=1,'02_대상물건입력'!$B$8,IFERROR(INDEX('04A_국토부원자료'!$A:$T,ROW()+1,MATCH("단지명",'04A_국토부원자료'!$A$4:$T$4,0)),"")))</f>
        <v/>
      </c>
      <c r="E2005" s="172">
        <f>IFERROR(VALUE(SUBSTITUTE(INDEX('04A_국토부원자료'!$A:$T,ROW()+1,MATCH("전용면적(㎡)",'04A_국토부원자료'!$A$4:$T$4,0)),",","")),"")</f>
        <v/>
      </c>
      <c r="F20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05" s="51">
        <f>IFERROR(VALUE(SUBSTITUTE(INDEX('04A_국토부원자료'!$A:$T,ROW()+1,MATCH("거래금액(만원)",'04A_국토부원자료'!$A$4:$T$4,0)),",","")),"")</f>
        <v/>
      </c>
      <c r="H2005" s="174">
        <f>IF(G2005="","",G2005*10000)</f>
        <v/>
      </c>
      <c r="I2005" s="174">
        <f>IFERROR(IF(AND(H2005&gt;0,E2005&gt;0),H2005/E2005,""),"")</f>
        <v/>
      </c>
      <c r="J2005" s="152">
        <f>IFERROR(VALUE(SUBSTITUTE(INDEX('04A_국토부원자료'!$A:$T,ROW()+1,MATCH("층",'04A_국토부원자료'!$A$4:$T$4,0)),",","")),"")</f>
        <v/>
      </c>
      <c r="K2005" s="152">
        <f>IFERROR(VALUE(SUBSTITUTE(INDEX('04A_국토부원자료'!$A:$T,ROW()+1,MATCH("건축년도",'04A_국토부원자료'!$A$4:$T$4,0)),",","")),"")</f>
        <v/>
      </c>
      <c r="L2005" s="48">
        <f>IFERROR(INDEX('04A_국토부원자료'!$A:$T,ROW()+1,MATCH("도로명",'04A_국토부원자료'!$A$4:$T$4,0)),"")</f>
        <v/>
      </c>
      <c r="M2005" s="48">
        <f>IFERROR(INDEX('04A_국토부원자료'!$A:$T,ROW()+1,MATCH("거래유형",'04A_국토부원자료'!$A$4:$T$4,0)),"")</f>
        <v/>
      </c>
      <c r="N2005" s="152">
        <f>IF(B2005="","",IF('02_대상물건입력'!B5="",1,IF(ISNUMBER(SEARCH('02_대상물건입력'!B5,B2005)),1,0)))</f>
        <v/>
      </c>
      <c r="O2005" s="152">
        <f>IF(B2005="","",IF('02_대상물건입력'!B6="",1,IF(ISNUMBER(SEARCH('02_대상물건입력'!B6,B2005)),1,0)))</f>
        <v/>
      </c>
      <c r="P2005" s="152">
        <f>IF(L2005="","",IF('02_대상물건입력'!B15="",0,IF(ISNUMBER(SEARCH('02_대상물건입력'!B15,L2005)),1,0)))</f>
        <v/>
      </c>
      <c r="Q2005" s="152">
        <f>IF(OR(C2005="",L2005=""),0,IF(AND(TRIM(C2005)=TRIM(RIGHT(SUBSTITUTE(TRIM('02_대상물건입력'!$B$7)," ",REPT(" ",99)),99)),IF('02_대상물건입력'!B15="",TRUE(),ISNUMBER(SEARCH('02_대상물건입력'!B15,L2005)))),1,0))</f>
        <v/>
      </c>
      <c r="R2005" s="175">
        <f>IFERROR(ABS(E2005-'02_대상물건입력'!B11)/'02_대상물건입력'!B11,"")</f>
        <v/>
      </c>
      <c r="S2005" s="152">
        <f>IFERROR(ABS(J2005-'02_대상물건입력'!B10),"")</f>
        <v/>
      </c>
      <c r="T2005" s="152">
        <f>IFERROR(ABS('01_설정'!B4-F2005),"")</f>
        <v/>
      </c>
      <c r="U2005" s="152">
        <f>IFERROR(ABS(K2005-YEAR('02_대상물건입력'!B14)),"")</f>
        <v/>
      </c>
      <c r="V2005" s="152">
        <f>IF(B2005="","",IF(AND(E2005&gt;0,F2005&gt;0,H2005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2005=1,TRUE()),R2005&lt;='01_설정'!B5,S2005&lt;='01_설정'!B6,T2005&lt;='01_설정'!B7,U2005&lt;='01_설정'!B8),"Y",""))</f>
        <v/>
      </c>
      <c r="W2005" s="172">
        <f>IF(V2005&lt;&gt;"Y","",MAX(0,(1-R2005/'01_설정'!B5))*'01_설정'!B14+MAX(0,(1-S2005/'01_설정'!B6))*'01_설정'!B15+MAX(0,(1-T2005/'01_설정'!B7))*'01_설정'!B16+MAX(0,(1-U2005/'01_설정'!B8))*'01_설정'!B17+O2005*'01_설정'!B11+Q2005*'01_설정'!B12+P2005*'01_설정'!B13+IF(Z2005="",0,Z2005))</f>
        <v/>
      </c>
      <c r="X2005" s="152">
        <f>IF(W2005="","",1+COUNTIFS($W$4:$W$3003,"&gt;"&amp;W2005)+COUNTIFS($W$4:W2005,W2005)-1)</f>
        <v/>
      </c>
      <c r="Y2005" s="175">
        <f>IF(OR(I2005="",'02_대상물건입력'!B19="",'02_대상물건입력'!B19&lt;=0),"",ABS(I2005-'02_대상물건입력'!B19)/'02_대상물건입력'!B19)</f>
        <v/>
      </c>
      <c r="Z2005" s="172">
        <f>IF(OR(Y2005="",'01_설정'!B31="",'01_설정'!B31&lt;=0,'01_설정'!B32="",'01_설정'!B32&lt;=0),"",MAX(0,(1-Y2005/'01_설정'!B32))*'01_설정'!B31)</f>
        <v/>
      </c>
    </row>
    <row r="2006" ht="17.25" customHeight="1">
      <c r="A2006" s="152">
        <f>IF(INDEX('04A_국토부원자료'!$A:$A,ROW()+1)="","",ROW()-3)</f>
        <v/>
      </c>
      <c r="B2006" s="48">
        <f>IFERROR(INDEX('04A_국토부원자료'!$A:$T,ROW()+1,MATCH("시군구",'04A_국토부원자료'!$A$4:$T$4,0)),"")</f>
        <v/>
      </c>
      <c r="C2006" s="48">
        <f>IF(B2006="","",IFERROR(INDEX('04A_국토부원자료'!$A:$T,ROW()+1,MATCH("번지",'04A_국토부원자료'!$A$4:$T$4,0)),""))</f>
        <v/>
      </c>
      <c r="D2006" s="48">
        <f>IF(B2006="","",IF(Q2006=1,'02_대상물건입력'!$B$8,IFERROR(INDEX('04A_국토부원자료'!$A:$T,ROW()+1,MATCH("단지명",'04A_국토부원자료'!$A$4:$T$4,0)),"")))</f>
        <v/>
      </c>
      <c r="E2006" s="172">
        <f>IFERROR(VALUE(SUBSTITUTE(INDEX('04A_국토부원자료'!$A:$T,ROW()+1,MATCH("전용면적(㎡)",'04A_국토부원자료'!$A$4:$T$4,0)),",","")),"")</f>
        <v/>
      </c>
      <c r="F20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06" s="51">
        <f>IFERROR(VALUE(SUBSTITUTE(INDEX('04A_국토부원자료'!$A:$T,ROW()+1,MATCH("거래금액(만원)",'04A_국토부원자료'!$A$4:$T$4,0)),",","")),"")</f>
        <v/>
      </c>
      <c r="H2006" s="174">
        <f>IF(G2006="","",G2006*10000)</f>
        <v/>
      </c>
      <c r="I2006" s="174">
        <f>IFERROR(IF(AND(H2006&gt;0,E2006&gt;0),H2006/E2006,""),"")</f>
        <v/>
      </c>
      <c r="J2006" s="152">
        <f>IFERROR(VALUE(SUBSTITUTE(INDEX('04A_국토부원자료'!$A:$T,ROW()+1,MATCH("층",'04A_국토부원자료'!$A$4:$T$4,0)),",","")),"")</f>
        <v/>
      </c>
      <c r="K2006" s="152">
        <f>IFERROR(VALUE(SUBSTITUTE(INDEX('04A_국토부원자료'!$A:$T,ROW()+1,MATCH("건축년도",'04A_국토부원자료'!$A$4:$T$4,0)),",","")),"")</f>
        <v/>
      </c>
      <c r="L2006" s="48">
        <f>IFERROR(INDEX('04A_국토부원자료'!$A:$T,ROW()+1,MATCH("도로명",'04A_국토부원자료'!$A$4:$T$4,0)),"")</f>
        <v/>
      </c>
      <c r="M2006" s="48">
        <f>IFERROR(INDEX('04A_국토부원자료'!$A:$T,ROW()+1,MATCH("거래유형",'04A_국토부원자료'!$A$4:$T$4,0)),"")</f>
        <v/>
      </c>
      <c r="N2006" s="152">
        <f>IF(B2006="","",IF('02_대상물건입력'!B5="",1,IF(ISNUMBER(SEARCH('02_대상물건입력'!B5,B2006)),1,0)))</f>
        <v/>
      </c>
      <c r="O2006" s="152">
        <f>IF(B2006="","",IF('02_대상물건입력'!B6="",1,IF(ISNUMBER(SEARCH('02_대상물건입력'!B6,B2006)),1,0)))</f>
        <v/>
      </c>
      <c r="P2006" s="152">
        <f>IF(L2006="","",IF('02_대상물건입력'!B15="",0,IF(ISNUMBER(SEARCH('02_대상물건입력'!B15,L2006)),1,0)))</f>
        <v/>
      </c>
      <c r="Q2006" s="152">
        <f>IF(OR(C2006="",L2006=""),0,IF(AND(TRIM(C2006)=TRIM(RIGHT(SUBSTITUTE(TRIM('02_대상물건입력'!$B$7)," ",REPT(" ",99)),99)),IF('02_대상물건입력'!B15="",TRUE(),ISNUMBER(SEARCH('02_대상물건입력'!B15,L2006)))),1,0))</f>
        <v/>
      </c>
      <c r="R2006" s="175">
        <f>IFERROR(ABS(E2006-'02_대상물건입력'!B11)/'02_대상물건입력'!B11,"")</f>
        <v/>
      </c>
      <c r="S2006" s="152">
        <f>IFERROR(ABS(J2006-'02_대상물건입력'!B10),"")</f>
        <v/>
      </c>
      <c r="T2006" s="152">
        <f>IFERROR(ABS('01_설정'!B4-F2006),"")</f>
        <v/>
      </c>
      <c r="U2006" s="152">
        <f>IFERROR(ABS(K2006-YEAR('02_대상물건입력'!B14)),"")</f>
        <v/>
      </c>
      <c r="V2006" s="152">
        <f>IF(B2006="","",IF(AND(E2006&gt;0,F2006&gt;0,H2006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2006=1,TRUE()),R2006&lt;='01_설정'!B5,S2006&lt;='01_설정'!B6,T2006&lt;='01_설정'!B7,U2006&lt;='01_설정'!B8),"Y",""))</f>
        <v/>
      </c>
      <c r="W2006" s="172">
        <f>IF(V2006&lt;&gt;"Y","",MAX(0,(1-R2006/'01_설정'!B5))*'01_설정'!B14+MAX(0,(1-S2006/'01_설정'!B6))*'01_설정'!B15+MAX(0,(1-T2006/'01_설정'!B7))*'01_설정'!B16+MAX(0,(1-U2006/'01_설정'!B8))*'01_설정'!B17+O2006*'01_설정'!B11+Q2006*'01_설정'!B12+P2006*'01_설정'!B13+IF(Z2006="",0,Z2006))</f>
        <v/>
      </c>
      <c r="X2006" s="152">
        <f>IF(W2006="","",1+COUNTIFS($W$4:$W$3003,"&gt;"&amp;W2006)+COUNTIFS($W$4:W2006,W2006)-1)</f>
        <v/>
      </c>
      <c r="Y2006" s="175">
        <f>IF(OR(I2006="",'02_대상물건입력'!B19="",'02_대상물건입력'!B19&lt;=0),"",ABS(I2006-'02_대상물건입력'!B19)/'02_대상물건입력'!B19)</f>
        <v/>
      </c>
      <c r="Z2006" s="172">
        <f>IF(OR(Y2006="",'01_설정'!B31="",'01_설정'!B31&lt;=0,'01_설정'!B32="",'01_설정'!B32&lt;=0),"",MAX(0,(1-Y2006/'01_설정'!B32))*'01_설정'!B31)</f>
        <v/>
      </c>
    </row>
    <row r="2007" ht="17.25" customHeight="1">
      <c r="A2007" s="152">
        <f>IF(INDEX('04A_국토부원자료'!$A:$A,ROW()+1)="","",ROW()-3)</f>
        <v/>
      </c>
      <c r="B2007" s="48">
        <f>IFERROR(INDEX('04A_국토부원자료'!$A:$T,ROW()+1,MATCH("시군구",'04A_국토부원자료'!$A$4:$T$4,0)),"")</f>
        <v/>
      </c>
      <c r="C2007" s="48">
        <f>IF(B2007="","",IFERROR(INDEX('04A_국토부원자료'!$A:$T,ROW()+1,MATCH("번지",'04A_국토부원자료'!$A$4:$T$4,0)),""))</f>
        <v/>
      </c>
      <c r="D2007" s="48">
        <f>IF(B2007="","",IF(Q2007=1,'02_대상물건입력'!$B$8,IFERROR(INDEX('04A_국토부원자료'!$A:$T,ROW()+1,MATCH("단지명",'04A_국토부원자료'!$A$4:$T$4,0)),"")))</f>
        <v/>
      </c>
      <c r="E2007" s="172">
        <f>IFERROR(VALUE(SUBSTITUTE(INDEX('04A_국토부원자료'!$A:$T,ROW()+1,MATCH("전용면적(㎡)",'04A_국토부원자료'!$A$4:$T$4,0)),",","")),"")</f>
        <v/>
      </c>
      <c r="F20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07" s="51">
        <f>IFERROR(VALUE(SUBSTITUTE(INDEX('04A_국토부원자료'!$A:$T,ROW()+1,MATCH("거래금액(만원)",'04A_국토부원자료'!$A$4:$T$4,0)),",","")),"")</f>
        <v/>
      </c>
      <c r="H2007" s="174">
        <f>IF(G2007="","",G2007*10000)</f>
        <v/>
      </c>
      <c r="I2007" s="174">
        <f>IFERROR(IF(AND(H2007&gt;0,E2007&gt;0),H2007/E2007,""),"")</f>
        <v/>
      </c>
      <c r="J2007" s="152">
        <f>IFERROR(VALUE(SUBSTITUTE(INDEX('04A_국토부원자료'!$A:$T,ROW()+1,MATCH("층",'04A_국토부원자료'!$A$4:$T$4,0)),",","")),"")</f>
        <v/>
      </c>
      <c r="K2007" s="152">
        <f>IFERROR(VALUE(SUBSTITUTE(INDEX('04A_국토부원자료'!$A:$T,ROW()+1,MATCH("건축년도",'04A_국토부원자료'!$A$4:$T$4,0)),",","")),"")</f>
        <v/>
      </c>
      <c r="L2007" s="48">
        <f>IFERROR(INDEX('04A_국토부원자료'!$A:$T,ROW()+1,MATCH("도로명",'04A_국토부원자료'!$A$4:$T$4,0)),"")</f>
        <v/>
      </c>
      <c r="M2007" s="48">
        <f>IFERROR(INDEX('04A_국토부원자료'!$A:$T,ROW()+1,MATCH("거래유형",'04A_국토부원자료'!$A$4:$T$4,0)),"")</f>
        <v/>
      </c>
      <c r="N2007" s="152">
        <f>IF(B2007="","",IF('02_대상물건입력'!B5="",1,IF(ISNUMBER(SEARCH('02_대상물건입력'!B5,B2007)),1,0)))</f>
        <v/>
      </c>
      <c r="O2007" s="152">
        <f>IF(B2007="","",IF('02_대상물건입력'!B6="",1,IF(ISNUMBER(SEARCH('02_대상물건입력'!B6,B2007)),1,0)))</f>
        <v/>
      </c>
      <c r="P2007" s="152">
        <f>IF(L2007="","",IF('02_대상물건입력'!B15="",0,IF(ISNUMBER(SEARCH('02_대상물건입력'!B15,L2007)),1,0)))</f>
        <v/>
      </c>
      <c r="Q2007" s="152">
        <f>IF(OR(C2007="",L2007=""),0,IF(AND(TRIM(C2007)=TRIM(RIGHT(SUBSTITUTE(TRIM('02_대상물건입력'!$B$7)," ",REPT(" ",99)),99)),IF('02_대상물건입력'!B15="",TRUE(),ISNUMBER(SEARCH('02_대상물건입력'!B15,L2007)))),1,0))</f>
        <v/>
      </c>
      <c r="R2007" s="175">
        <f>IFERROR(ABS(E2007-'02_대상물건입력'!B11)/'02_대상물건입력'!B11,"")</f>
        <v/>
      </c>
      <c r="S2007" s="152">
        <f>IFERROR(ABS(J2007-'02_대상물건입력'!B10),"")</f>
        <v/>
      </c>
      <c r="T2007" s="152">
        <f>IFERROR(ABS('01_설정'!B4-F2007),"")</f>
        <v/>
      </c>
      <c r="U2007" s="152">
        <f>IFERROR(ABS(K2007-YEAR('02_대상물건입력'!B14)),"")</f>
        <v/>
      </c>
      <c r="V2007" s="152">
        <f>IF(B2007="","",IF(AND(E2007&gt;0,F2007&gt;0,H2007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2007=1,TRUE()),R2007&lt;='01_설정'!B5,S2007&lt;='01_설정'!B6,T2007&lt;='01_설정'!B7,U2007&lt;='01_설정'!B8),"Y",""))</f>
        <v/>
      </c>
      <c r="W2007" s="172">
        <f>IF(V2007&lt;&gt;"Y","",MAX(0,(1-R2007/'01_설정'!B5))*'01_설정'!B14+MAX(0,(1-S2007/'01_설정'!B6))*'01_설정'!B15+MAX(0,(1-T2007/'01_설정'!B7))*'01_설정'!B16+MAX(0,(1-U2007/'01_설정'!B8))*'01_설정'!B17+O2007*'01_설정'!B11+Q2007*'01_설정'!B12+P2007*'01_설정'!B13+IF(Z2007="",0,Z2007))</f>
        <v/>
      </c>
      <c r="X2007" s="152">
        <f>IF(W2007="","",1+COUNTIFS($W$4:$W$3003,"&gt;"&amp;W2007)+COUNTIFS($W$4:W2007,W2007)-1)</f>
        <v/>
      </c>
      <c r="Y2007" s="175">
        <f>IF(OR(I2007="",'02_대상물건입력'!B19="",'02_대상물건입력'!B19&lt;=0),"",ABS(I2007-'02_대상물건입력'!B19)/'02_대상물건입력'!B19)</f>
        <v/>
      </c>
      <c r="Z2007" s="172">
        <f>IF(OR(Y2007="",'01_설정'!B31="",'01_설정'!B31&lt;=0,'01_설정'!B32="",'01_설정'!B32&lt;=0),"",MAX(0,(1-Y2007/'01_설정'!B32))*'01_설정'!B31)</f>
        <v/>
      </c>
    </row>
    <row r="2008" ht="17.25" customHeight="1">
      <c r="A2008" s="152">
        <f>IF(INDEX('04A_국토부원자료'!$A:$A,ROW()+1)="","",ROW()-3)</f>
        <v/>
      </c>
      <c r="B2008" s="48">
        <f>IFERROR(INDEX('04A_국토부원자료'!$A:$T,ROW()+1,MATCH("시군구",'04A_국토부원자료'!$A$4:$T$4,0)),"")</f>
        <v/>
      </c>
      <c r="C2008" s="48">
        <f>IF(B2008="","",IFERROR(INDEX('04A_국토부원자료'!$A:$T,ROW()+1,MATCH("번지",'04A_국토부원자료'!$A$4:$T$4,0)),""))</f>
        <v/>
      </c>
      <c r="D2008" s="48">
        <f>IF(B2008="","",IF(Q2008=1,'02_대상물건입력'!$B$8,IFERROR(INDEX('04A_국토부원자료'!$A:$T,ROW()+1,MATCH("단지명",'04A_국토부원자료'!$A$4:$T$4,0)),"")))</f>
        <v/>
      </c>
      <c r="E2008" s="172">
        <f>IFERROR(VALUE(SUBSTITUTE(INDEX('04A_국토부원자료'!$A:$T,ROW()+1,MATCH("전용면적(㎡)",'04A_국토부원자료'!$A$4:$T$4,0)),",","")),"")</f>
        <v/>
      </c>
      <c r="F20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08" s="51">
        <f>IFERROR(VALUE(SUBSTITUTE(INDEX('04A_국토부원자료'!$A:$T,ROW()+1,MATCH("거래금액(만원)",'04A_국토부원자료'!$A$4:$T$4,0)),",","")),"")</f>
        <v/>
      </c>
      <c r="H2008" s="174">
        <f>IF(G2008="","",G2008*10000)</f>
        <v/>
      </c>
      <c r="I2008" s="174">
        <f>IFERROR(IF(AND(H2008&gt;0,E2008&gt;0),H2008/E2008,""),"")</f>
        <v/>
      </c>
      <c r="J2008" s="152">
        <f>IFERROR(VALUE(SUBSTITUTE(INDEX('04A_국토부원자료'!$A:$T,ROW()+1,MATCH("층",'04A_국토부원자료'!$A$4:$T$4,0)),",","")),"")</f>
        <v/>
      </c>
      <c r="K2008" s="152">
        <f>IFERROR(VALUE(SUBSTITUTE(INDEX('04A_국토부원자료'!$A:$T,ROW()+1,MATCH("건축년도",'04A_국토부원자료'!$A$4:$T$4,0)),",","")),"")</f>
        <v/>
      </c>
      <c r="L2008" s="48">
        <f>IFERROR(INDEX('04A_국토부원자료'!$A:$T,ROW()+1,MATCH("도로명",'04A_국토부원자료'!$A$4:$T$4,0)),"")</f>
        <v/>
      </c>
      <c r="M2008" s="48">
        <f>IFERROR(INDEX('04A_국토부원자료'!$A:$T,ROW()+1,MATCH("거래유형",'04A_국토부원자료'!$A$4:$T$4,0)),"")</f>
        <v/>
      </c>
      <c r="N2008" s="152">
        <f>IF(B2008="","",IF('02_대상물건입력'!B5="",1,IF(ISNUMBER(SEARCH('02_대상물건입력'!B5,B2008)),1,0)))</f>
        <v/>
      </c>
      <c r="O2008" s="152">
        <f>IF(B2008="","",IF('02_대상물건입력'!B6="",1,IF(ISNUMBER(SEARCH('02_대상물건입력'!B6,B2008)),1,0)))</f>
        <v/>
      </c>
      <c r="P2008" s="152">
        <f>IF(L2008="","",IF('02_대상물건입력'!B15="",0,IF(ISNUMBER(SEARCH('02_대상물건입력'!B15,L2008)),1,0)))</f>
        <v/>
      </c>
      <c r="Q2008" s="152">
        <f>IF(OR(C2008="",L2008=""),0,IF(AND(TRIM(C2008)=TRIM(RIGHT(SUBSTITUTE(TRIM('02_대상물건입력'!$B$7)," ",REPT(" ",99)),99)),IF('02_대상물건입력'!B15="",TRUE(),ISNUMBER(SEARCH('02_대상물건입력'!B15,L2008)))),1,0))</f>
        <v/>
      </c>
      <c r="R2008" s="175">
        <f>IFERROR(ABS(E2008-'02_대상물건입력'!B11)/'02_대상물건입력'!B11,"")</f>
        <v/>
      </c>
      <c r="S2008" s="152">
        <f>IFERROR(ABS(J2008-'02_대상물건입력'!B10),"")</f>
        <v/>
      </c>
      <c r="T2008" s="152">
        <f>IFERROR(ABS('01_설정'!B4-F2008),"")</f>
        <v/>
      </c>
      <c r="U2008" s="152">
        <f>IFERROR(ABS(K2008-YEAR('02_대상물건입력'!B14)),"")</f>
        <v/>
      </c>
      <c r="V2008" s="152">
        <f>IF(B2008="","",IF(AND(E2008&gt;0,F2008&gt;0,H2008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2008=1,TRUE()),R2008&lt;='01_설정'!B5,S2008&lt;='01_설정'!B6,T2008&lt;='01_설정'!B7,U2008&lt;='01_설정'!B8),"Y",""))</f>
        <v/>
      </c>
      <c r="W2008" s="172">
        <f>IF(V2008&lt;&gt;"Y","",MAX(0,(1-R2008/'01_설정'!B5))*'01_설정'!B14+MAX(0,(1-S2008/'01_설정'!B6))*'01_설정'!B15+MAX(0,(1-T2008/'01_설정'!B7))*'01_설정'!B16+MAX(0,(1-U2008/'01_설정'!B8))*'01_설정'!B17+O2008*'01_설정'!B11+Q2008*'01_설정'!B12+P2008*'01_설정'!B13+IF(Z2008="",0,Z2008))</f>
        <v/>
      </c>
      <c r="X2008" s="152">
        <f>IF(W2008="","",1+COUNTIFS($W$4:$W$3003,"&gt;"&amp;W2008)+COUNTIFS($W$4:W2008,W2008)-1)</f>
        <v/>
      </c>
      <c r="Y2008" s="175">
        <f>IF(OR(I2008="",'02_대상물건입력'!B19="",'02_대상물건입력'!B19&lt;=0),"",ABS(I2008-'02_대상물건입력'!B19)/'02_대상물건입력'!B19)</f>
        <v/>
      </c>
      <c r="Z2008" s="172">
        <f>IF(OR(Y2008="",'01_설정'!B31="",'01_설정'!B31&lt;=0,'01_설정'!B32="",'01_설정'!B32&lt;=0),"",MAX(0,(1-Y2008/'01_설정'!B32))*'01_설정'!B31)</f>
        <v/>
      </c>
    </row>
    <row r="2009" ht="17.25" customHeight="1">
      <c r="A2009" s="152">
        <f>IF(INDEX('04A_국토부원자료'!$A:$A,ROW()+1)="","",ROW()-3)</f>
        <v/>
      </c>
      <c r="B2009" s="48">
        <f>IFERROR(INDEX('04A_국토부원자료'!$A:$T,ROW()+1,MATCH("시군구",'04A_국토부원자료'!$A$4:$T$4,0)),"")</f>
        <v/>
      </c>
      <c r="C2009" s="48">
        <f>IF(B2009="","",IFERROR(INDEX('04A_국토부원자료'!$A:$T,ROW()+1,MATCH("번지",'04A_국토부원자료'!$A$4:$T$4,0)),""))</f>
        <v/>
      </c>
      <c r="D2009" s="48">
        <f>IF(B2009="","",IF(Q2009=1,'02_대상물건입력'!$B$8,IFERROR(INDEX('04A_국토부원자료'!$A:$T,ROW()+1,MATCH("단지명",'04A_국토부원자료'!$A$4:$T$4,0)),"")))</f>
        <v/>
      </c>
      <c r="E2009" s="172">
        <f>IFERROR(VALUE(SUBSTITUTE(INDEX('04A_국토부원자료'!$A:$T,ROW()+1,MATCH("전용면적(㎡)",'04A_국토부원자료'!$A$4:$T$4,0)),",","")),"")</f>
        <v/>
      </c>
      <c r="F20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09" s="51">
        <f>IFERROR(VALUE(SUBSTITUTE(INDEX('04A_국토부원자료'!$A:$T,ROW()+1,MATCH("거래금액(만원)",'04A_국토부원자료'!$A$4:$T$4,0)),",","")),"")</f>
        <v/>
      </c>
      <c r="H2009" s="174">
        <f>IF(G2009="","",G2009*10000)</f>
        <v/>
      </c>
      <c r="I2009" s="174">
        <f>IFERROR(IF(AND(H2009&gt;0,E2009&gt;0),H2009/E2009,""),"")</f>
        <v/>
      </c>
      <c r="J2009" s="152">
        <f>IFERROR(VALUE(SUBSTITUTE(INDEX('04A_국토부원자료'!$A:$T,ROW()+1,MATCH("층",'04A_국토부원자료'!$A$4:$T$4,0)),",","")),"")</f>
        <v/>
      </c>
      <c r="K2009" s="152">
        <f>IFERROR(VALUE(SUBSTITUTE(INDEX('04A_국토부원자료'!$A:$T,ROW()+1,MATCH("건축년도",'04A_국토부원자료'!$A$4:$T$4,0)),",","")),"")</f>
        <v/>
      </c>
      <c r="L2009" s="48">
        <f>IFERROR(INDEX('04A_국토부원자료'!$A:$T,ROW()+1,MATCH("도로명",'04A_국토부원자료'!$A$4:$T$4,0)),"")</f>
        <v/>
      </c>
      <c r="M2009" s="48">
        <f>IFERROR(INDEX('04A_국토부원자료'!$A:$T,ROW()+1,MATCH("거래유형",'04A_국토부원자료'!$A$4:$T$4,0)),"")</f>
        <v/>
      </c>
      <c r="N2009" s="152">
        <f>IF(B2009="","",IF('02_대상물건입력'!B5="",1,IF(ISNUMBER(SEARCH('02_대상물건입력'!B5,B2009)),1,0)))</f>
        <v/>
      </c>
      <c r="O2009" s="152">
        <f>IF(B2009="","",IF('02_대상물건입력'!B6="",1,IF(ISNUMBER(SEARCH('02_대상물건입력'!B6,B2009)),1,0)))</f>
        <v/>
      </c>
      <c r="P2009" s="152">
        <f>IF(L2009="","",IF('02_대상물건입력'!B15="",0,IF(ISNUMBER(SEARCH('02_대상물건입력'!B15,L2009)),1,0)))</f>
        <v/>
      </c>
      <c r="Q2009" s="152">
        <f>IF(OR(C2009="",L2009=""),0,IF(AND(TRIM(C2009)=TRIM(RIGHT(SUBSTITUTE(TRIM('02_대상물건입력'!$B$7)," ",REPT(" ",99)),99)),IF('02_대상물건입력'!B15="",TRUE(),ISNUMBER(SEARCH('02_대상물건입력'!B15,L2009)))),1,0))</f>
        <v/>
      </c>
      <c r="R2009" s="175">
        <f>IFERROR(ABS(E2009-'02_대상물건입력'!B11)/'02_대상물건입력'!B11,"")</f>
        <v/>
      </c>
      <c r="S2009" s="152">
        <f>IFERROR(ABS(J2009-'02_대상물건입력'!B10),"")</f>
        <v/>
      </c>
      <c r="T2009" s="152">
        <f>IFERROR(ABS('01_설정'!B4-F2009),"")</f>
        <v/>
      </c>
      <c r="U2009" s="152">
        <f>IFERROR(ABS(K2009-YEAR('02_대상물건입력'!B14)),"")</f>
        <v/>
      </c>
      <c r="V2009" s="152">
        <f>IF(B2009="","",IF(AND(E2009&gt;0,F2009&gt;0,H2009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2009=1,TRUE()),R2009&lt;='01_설정'!B5,S2009&lt;='01_설정'!B6,T2009&lt;='01_설정'!B7,U2009&lt;='01_설정'!B8),"Y",""))</f>
        <v/>
      </c>
      <c r="W2009" s="172">
        <f>IF(V2009&lt;&gt;"Y","",MAX(0,(1-R2009/'01_설정'!B5))*'01_설정'!B14+MAX(0,(1-S2009/'01_설정'!B6))*'01_설정'!B15+MAX(0,(1-T2009/'01_설정'!B7))*'01_설정'!B16+MAX(0,(1-U2009/'01_설정'!B8))*'01_설정'!B17+O2009*'01_설정'!B11+Q2009*'01_설정'!B12+P2009*'01_설정'!B13+IF(Z2009="",0,Z2009))</f>
        <v/>
      </c>
      <c r="X2009" s="152">
        <f>IF(W2009="","",1+COUNTIFS($W$4:$W$3003,"&gt;"&amp;W2009)+COUNTIFS($W$4:W2009,W2009)-1)</f>
        <v/>
      </c>
      <c r="Y2009" s="175">
        <f>IF(OR(I2009="",'02_대상물건입력'!B19="",'02_대상물건입력'!B19&lt;=0),"",ABS(I2009-'02_대상물건입력'!B19)/'02_대상물건입력'!B19)</f>
        <v/>
      </c>
      <c r="Z2009" s="172">
        <f>IF(OR(Y2009="",'01_설정'!B31="",'01_설정'!B31&lt;=0,'01_설정'!B32="",'01_설정'!B32&lt;=0),"",MAX(0,(1-Y2009/'01_설정'!B32))*'01_설정'!B31)</f>
        <v/>
      </c>
    </row>
    <row r="2010" ht="17.25" customHeight="1">
      <c r="A2010" s="152">
        <f>IF(INDEX('04A_국토부원자료'!$A:$A,ROW()+1)="","",ROW()-3)</f>
        <v/>
      </c>
      <c r="B2010" s="48">
        <f>IFERROR(INDEX('04A_국토부원자료'!$A:$T,ROW()+1,MATCH("시군구",'04A_국토부원자료'!$A$4:$T$4,0)),"")</f>
        <v/>
      </c>
      <c r="C2010" s="48">
        <f>IF(B2010="","",IFERROR(INDEX('04A_국토부원자료'!$A:$T,ROW()+1,MATCH("번지",'04A_국토부원자료'!$A$4:$T$4,0)),""))</f>
        <v/>
      </c>
      <c r="D2010" s="48">
        <f>IF(B2010="","",IF(Q2010=1,'02_대상물건입력'!$B$8,IFERROR(INDEX('04A_국토부원자료'!$A:$T,ROW()+1,MATCH("단지명",'04A_국토부원자료'!$A$4:$T$4,0)),"")))</f>
        <v/>
      </c>
      <c r="E2010" s="172">
        <f>IFERROR(VALUE(SUBSTITUTE(INDEX('04A_국토부원자료'!$A:$T,ROW()+1,MATCH("전용면적(㎡)",'04A_국토부원자료'!$A$4:$T$4,0)),",","")),"")</f>
        <v/>
      </c>
      <c r="F20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10" s="51">
        <f>IFERROR(VALUE(SUBSTITUTE(INDEX('04A_국토부원자료'!$A:$T,ROW()+1,MATCH("거래금액(만원)",'04A_국토부원자료'!$A$4:$T$4,0)),",","")),"")</f>
        <v/>
      </c>
      <c r="H2010" s="174">
        <f>IF(G2010="","",G2010*10000)</f>
        <v/>
      </c>
      <c r="I2010" s="174">
        <f>IFERROR(IF(AND(H2010&gt;0,E2010&gt;0),H2010/E2010,""),"")</f>
        <v/>
      </c>
      <c r="J2010" s="152">
        <f>IFERROR(VALUE(SUBSTITUTE(INDEX('04A_국토부원자료'!$A:$T,ROW()+1,MATCH("층",'04A_국토부원자료'!$A$4:$T$4,0)),",","")),"")</f>
        <v/>
      </c>
      <c r="K2010" s="152">
        <f>IFERROR(VALUE(SUBSTITUTE(INDEX('04A_국토부원자료'!$A:$T,ROW()+1,MATCH("건축년도",'04A_국토부원자료'!$A$4:$T$4,0)),",","")),"")</f>
        <v/>
      </c>
      <c r="L2010" s="48">
        <f>IFERROR(INDEX('04A_국토부원자료'!$A:$T,ROW()+1,MATCH("도로명",'04A_국토부원자료'!$A$4:$T$4,0)),"")</f>
        <v/>
      </c>
      <c r="M2010" s="48">
        <f>IFERROR(INDEX('04A_국토부원자료'!$A:$T,ROW()+1,MATCH("거래유형",'04A_국토부원자료'!$A$4:$T$4,0)),"")</f>
        <v/>
      </c>
      <c r="N2010" s="152">
        <f>IF(B2010="","",IF('02_대상물건입력'!B5="",1,IF(ISNUMBER(SEARCH('02_대상물건입력'!B5,B2010)),1,0)))</f>
        <v/>
      </c>
      <c r="O2010" s="152">
        <f>IF(B2010="","",IF('02_대상물건입력'!B6="",1,IF(ISNUMBER(SEARCH('02_대상물건입력'!B6,B2010)),1,0)))</f>
        <v/>
      </c>
      <c r="P2010" s="152">
        <f>IF(L2010="","",IF('02_대상물건입력'!B15="",0,IF(ISNUMBER(SEARCH('02_대상물건입력'!B15,L2010)),1,0)))</f>
        <v/>
      </c>
      <c r="Q2010" s="152">
        <f>IF(OR(C2010="",L2010=""),0,IF(AND(TRIM(C2010)=TRIM(RIGHT(SUBSTITUTE(TRIM('02_대상물건입력'!$B$7)," ",REPT(" ",99)),99)),IF('02_대상물건입력'!B15="",TRUE(),ISNUMBER(SEARCH('02_대상물건입력'!B15,L2010)))),1,0))</f>
        <v/>
      </c>
      <c r="R2010" s="175">
        <f>IFERROR(ABS(E2010-'02_대상물건입력'!B11)/'02_대상물건입력'!B11,"")</f>
        <v/>
      </c>
      <c r="S2010" s="152">
        <f>IFERROR(ABS(J2010-'02_대상물건입력'!B10),"")</f>
        <v/>
      </c>
      <c r="T2010" s="152">
        <f>IFERROR(ABS('01_설정'!B4-F2010),"")</f>
        <v/>
      </c>
      <c r="U2010" s="152">
        <f>IFERROR(ABS(K2010-YEAR('02_대상물건입력'!B14)),"")</f>
        <v/>
      </c>
      <c r="V2010" s="152">
        <f>IF(B2010="","",IF(AND(E2010&gt;0,F2010&gt;0,H2010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2010=1,TRUE()),R2010&lt;='01_설정'!B5,S2010&lt;='01_설정'!B6,T2010&lt;='01_설정'!B7,U2010&lt;='01_설정'!B8),"Y",""))</f>
        <v/>
      </c>
      <c r="W2010" s="172">
        <f>IF(V2010&lt;&gt;"Y","",MAX(0,(1-R2010/'01_설정'!B5))*'01_설정'!B14+MAX(0,(1-S2010/'01_설정'!B6))*'01_설정'!B15+MAX(0,(1-T2010/'01_설정'!B7))*'01_설정'!B16+MAX(0,(1-U2010/'01_설정'!B8))*'01_설정'!B17+O2010*'01_설정'!B11+Q2010*'01_설정'!B12+P2010*'01_설정'!B13+IF(Z2010="",0,Z2010))</f>
        <v/>
      </c>
      <c r="X2010" s="152">
        <f>IF(W2010="","",1+COUNTIFS($W$4:$W$3003,"&gt;"&amp;W2010)+COUNTIFS($W$4:W2010,W2010)-1)</f>
        <v/>
      </c>
      <c r="Y2010" s="175">
        <f>IF(OR(I2010="",'02_대상물건입력'!B19="",'02_대상물건입력'!B19&lt;=0),"",ABS(I2010-'02_대상물건입력'!B19)/'02_대상물건입력'!B19)</f>
        <v/>
      </c>
      <c r="Z2010" s="172">
        <f>IF(OR(Y2010="",'01_설정'!B31="",'01_설정'!B31&lt;=0,'01_설정'!B32="",'01_설정'!B32&lt;=0),"",MAX(0,(1-Y2010/'01_설정'!B32))*'01_설정'!B31)</f>
        <v/>
      </c>
    </row>
    <row r="2011" ht="17.25" customHeight="1">
      <c r="A2011" s="152">
        <f>IF(INDEX('04A_국토부원자료'!$A:$A,ROW()+1)="","",ROW()-3)</f>
        <v/>
      </c>
      <c r="B2011" s="48">
        <f>IFERROR(INDEX('04A_국토부원자료'!$A:$T,ROW()+1,MATCH("시군구",'04A_국토부원자료'!$A$4:$T$4,0)),"")</f>
        <v/>
      </c>
      <c r="C2011" s="48">
        <f>IF(B2011="","",IFERROR(INDEX('04A_국토부원자료'!$A:$T,ROW()+1,MATCH("번지",'04A_국토부원자료'!$A$4:$T$4,0)),""))</f>
        <v/>
      </c>
      <c r="D2011" s="48">
        <f>IF(B2011="","",IF(Q2011=1,'02_대상물건입력'!$B$8,IFERROR(INDEX('04A_국토부원자료'!$A:$T,ROW()+1,MATCH("단지명",'04A_국토부원자료'!$A$4:$T$4,0)),"")))</f>
        <v/>
      </c>
      <c r="E2011" s="172">
        <f>IFERROR(VALUE(SUBSTITUTE(INDEX('04A_국토부원자료'!$A:$T,ROW()+1,MATCH("전용면적(㎡)",'04A_국토부원자료'!$A$4:$T$4,0)),",","")),"")</f>
        <v/>
      </c>
      <c r="F20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11" s="51">
        <f>IFERROR(VALUE(SUBSTITUTE(INDEX('04A_국토부원자료'!$A:$T,ROW()+1,MATCH("거래금액(만원)",'04A_국토부원자료'!$A$4:$T$4,0)),",","")),"")</f>
        <v/>
      </c>
      <c r="H2011" s="174">
        <f>IF(G2011="","",G2011*10000)</f>
        <v/>
      </c>
      <c r="I2011" s="174">
        <f>IFERROR(IF(AND(H2011&gt;0,E2011&gt;0),H2011/E2011,""),"")</f>
        <v/>
      </c>
      <c r="J2011" s="152">
        <f>IFERROR(VALUE(SUBSTITUTE(INDEX('04A_국토부원자료'!$A:$T,ROW()+1,MATCH("층",'04A_국토부원자료'!$A$4:$T$4,0)),",","")),"")</f>
        <v/>
      </c>
      <c r="K2011" s="152">
        <f>IFERROR(VALUE(SUBSTITUTE(INDEX('04A_국토부원자료'!$A:$T,ROW()+1,MATCH("건축년도",'04A_국토부원자료'!$A$4:$T$4,0)),",","")),"")</f>
        <v/>
      </c>
      <c r="L2011" s="48">
        <f>IFERROR(INDEX('04A_국토부원자료'!$A:$T,ROW()+1,MATCH("도로명",'04A_국토부원자료'!$A$4:$T$4,0)),"")</f>
        <v/>
      </c>
      <c r="M2011" s="48">
        <f>IFERROR(INDEX('04A_국토부원자료'!$A:$T,ROW()+1,MATCH("거래유형",'04A_국토부원자료'!$A$4:$T$4,0)),"")</f>
        <v/>
      </c>
      <c r="N2011" s="152">
        <f>IF(B2011="","",IF('02_대상물건입력'!B5="",1,IF(ISNUMBER(SEARCH('02_대상물건입력'!B5,B2011)),1,0)))</f>
        <v/>
      </c>
      <c r="O2011" s="152">
        <f>IF(B2011="","",IF('02_대상물건입력'!B6="",1,IF(ISNUMBER(SEARCH('02_대상물건입력'!B6,B2011)),1,0)))</f>
        <v/>
      </c>
      <c r="P2011" s="152">
        <f>IF(L2011="","",IF('02_대상물건입력'!B15="",0,IF(ISNUMBER(SEARCH('02_대상물건입력'!B15,L2011)),1,0)))</f>
        <v/>
      </c>
      <c r="Q2011" s="152">
        <f>IF(OR(C2011="",L2011=""),0,IF(AND(TRIM(C2011)=TRIM(RIGHT(SUBSTITUTE(TRIM('02_대상물건입력'!$B$7)," ",REPT(" ",99)),99)),IF('02_대상물건입력'!B15="",TRUE(),ISNUMBER(SEARCH('02_대상물건입력'!B15,L2011)))),1,0))</f>
        <v/>
      </c>
      <c r="R2011" s="175">
        <f>IFERROR(ABS(E2011-'02_대상물건입력'!B11)/'02_대상물건입력'!B11,"")</f>
        <v/>
      </c>
      <c r="S2011" s="152">
        <f>IFERROR(ABS(J2011-'02_대상물건입력'!B10),"")</f>
        <v/>
      </c>
      <c r="T2011" s="152">
        <f>IFERROR(ABS('01_설정'!B4-F2011),"")</f>
        <v/>
      </c>
      <c r="U2011" s="152">
        <f>IFERROR(ABS(K2011-YEAR('02_대상물건입력'!B14)),"")</f>
        <v/>
      </c>
      <c r="V2011" s="152">
        <f>IF(B2011="","",IF(AND(E2011&gt;0,F2011&gt;0,H2011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2011=1,TRUE()),R2011&lt;='01_설정'!B5,S2011&lt;='01_설정'!B6,T2011&lt;='01_설정'!B7,U2011&lt;='01_설정'!B8),"Y",""))</f>
        <v/>
      </c>
      <c r="W2011" s="172">
        <f>IF(V2011&lt;&gt;"Y","",MAX(0,(1-R2011/'01_설정'!B5))*'01_설정'!B14+MAX(0,(1-S2011/'01_설정'!B6))*'01_설정'!B15+MAX(0,(1-T2011/'01_설정'!B7))*'01_설정'!B16+MAX(0,(1-U2011/'01_설정'!B8))*'01_설정'!B17+O2011*'01_설정'!B11+Q2011*'01_설정'!B12+P2011*'01_설정'!B13+IF(Z2011="",0,Z2011))</f>
        <v/>
      </c>
      <c r="X2011" s="152">
        <f>IF(W2011="","",1+COUNTIFS($W$4:$W$3003,"&gt;"&amp;W2011)+COUNTIFS($W$4:W2011,W2011)-1)</f>
        <v/>
      </c>
      <c r="Y2011" s="175">
        <f>IF(OR(I2011="",'02_대상물건입력'!B19="",'02_대상물건입력'!B19&lt;=0),"",ABS(I2011-'02_대상물건입력'!B19)/'02_대상물건입력'!B19)</f>
        <v/>
      </c>
      <c r="Z2011" s="172">
        <f>IF(OR(Y2011="",'01_설정'!B31="",'01_설정'!B31&lt;=0,'01_설정'!B32="",'01_설정'!B32&lt;=0),"",MAX(0,(1-Y2011/'01_설정'!B32))*'01_설정'!B31)</f>
        <v/>
      </c>
    </row>
    <row r="2012" ht="17.25" customHeight="1">
      <c r="A2012" s="152">
        <f>IF(INDEX('04A_국토부원자료'!$A:$A,ROW()+1)="","",ROW()-3)</f>
        <v/>
      </c>
      <c r="B2012" s="48">
        <f>IFERROR(INDEX('04A_국토부원자료'!$A:$T,ROW()+1,MATCH("시군구",'04A_국토부원자료'!$A$4:$T$4,0)),"")</f>
        <v/>
      </c>
      <c r="C2012" s="48">
        <f>IF(B2012="","",IFERROR(INDEX('04A_국토부원자료'!$A:$T,ROW()+1,MATCH("번지",'04A_국토부원자료'!$A$4:$T$4,0)),""))</f>
        <v/>
      </c>
      <c r="D2012" s="48">
        <f>IF(B2012="","",IF(Q2012=1,'02_대상물건입력'!$B$8,IFERROR(INDEX('04A_국토부원자료'!$A:$T,ROW()+1,MATCH("단지명",'04A_국토부원자료'!$A$4:$T$4,0)),"")))</f>
        <v/>
      </c>
      <c r="E2012" s="172">
        <f>IFERROR(VALUE(SUBSTITUTE(INDEX('04A_국토부원자료'!$A:$T,ROW()+1,MATCH("전용면적(㎡)",'04A_국토부원자료'!$A$4:$T$4,0)),",","")),"")</f>
        <v/>
      </c>
      <c r="F20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12" s="51">
        <f>IFERROR(VALUE(SUBSTITUTE(INDEX('04A_국토부원자료'!$A:$T,ROW()+1,MATCH("거래금액(만원)",'04A_국토부원자료'!$A$4:$T$4,0)),",","")),"")</f>
        <v/>
      </c>
      <c r="H2012" s="174">
        <f>IF(G2012="","",G2012*10000)</f>
        <v/>
      </c>
      <c r="I2012" s="174">
        <f>IFERROR(IF(AND(H2012&gt;0,E2012&gt;0),H2012/E2012,""),"")</f>
        <v/>
      </c>
      <c r="J2012" s="152">
        <f>IFERROR(VALUE(SUBSTITUTE(INDEX('04A_국토부원자료'!$A:$T,ROW()+1,MATCH("층",'04A_국토부원자료'!$A$4:$T$4,0)),",","")),"")</f>
        <v/>
      </c>
      <c r="K2012" s="152">
        <f>IFERROR(VALUE(SUBSTITUTE(INDEX('04A_국토부원자료'!$A:$T,ROW()+1,MATCH("건축년도",'04A_국토부원자료'!$A$4:$T$4,0)),",","")),"")</f>
        <v/>
      </c>
      <c r="L2012" s="48">
        <f>IFERROR(INDEX('04A_국토부원자료'!$A:$T,ROW()+1,MATCH("도로명",'04A_국토부원자료'!$A$4:$T$4,0)),"")</f>
        <v/>
      </c>
      <c r="M2012" s="48">
        <f>IFERROR(INDEX('04A_국토부원자료'!$A:$T,ROW()+1,MATCH("거래유형",'04A_국토부원자료'!$A$4:$T$4,0)),"")</f>
        <v/>
      </c>
      <c r="N2012" s="152">
        <f>IF(B2012="","",IF('02_대상물건입력'!B5="",1,IF(ISNUMBER(SEARCH('02_대상물건입력'!B5,B2012)),1,0)))</f>
        <v/>
      </c>
      <c r="O2012" s="152">
        <f>IF(B2012="","",IF('02_대상물건입력'!B6="",1,IF(ISNUMBER(SEARCH('02_대상물건입력'!B6,B2012)),1,0)))</f>
        <v/>
      </c>
      <c r="P2012" s="152">
        <f>IF(L2012="","",IF('02_대상물건입력'!B15="",0,IF(ISNUMBER(SEARCH('02_대상물건입력'!B15,L2012)),1,0)))</f>
        <v/>
      </c>
      <c r="Q2012" s="152">
        <f>IF(OR(C2012="",L2012=""),0,IF(AND(TRIM(C2012)=TRIM(RIGHT(SUBSTITUTE(TRIM('02_대상물건입력'!$B$7)," ",REPT(" ",99)),99)),IF('02_대상물건입력'!B15="",TRUE(),ISNUMBER(SEARCH('02_대상물건입력'!B15,L2012)))),1,0))</f>
        <v/>
      </c>
      <c r="R2012" s="175">
        <f>IFERROR(ABS(E2012-'02_대상물건입력'!B11)/'02_대상물건입력'!B11,"")</f>
        <v/>
      </c>
      <c r="S2012" s="152">
        <f>IFERROR(ABS(J2012-'02_대상물건입력'!B10),"")</f>
        <v/>
      </c>
      <c r="T2012" s="152">
        <f>IFERROR(ABS('01_설정'!B4-F2012),"")</f>
        <v/>
      </c>
      <c r="U2012" s="152">
        <f>IFERROR(ABS(K2012-YEAR('02_대상물건입력'!B14)),"")</f>
        <v/>
      </c>
      <c r="V2012" s="152">
        <f>IF(B2012="","",IF(AND(E2012&gt;0,F2012&gt;0,H2012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2012=1,TRUE()),R2012&lt;='01_설정'!B5,S2012&lt;='01_설정'!B6,T2012&lt;='01_설정'!B7,U2012&lt;='01_설정'!B8),"Y",""))</f>
        <v/>
      </c>
      <c r="W2012" s="172">
        <f>IF(V2012&lt;&gt;"Y","",MAX(0,(1-R2012/'01_설정'!B5))*'01_설정'!B14+MAX(0,(1-S2012/'01_설정'!B6))*'01_설정'!B15+MAX(0,(1-T2012/'01_설정'!B7))*'01_설정'!B16+MAX(0,(1-U2012/'01_설정'!B8))*'01_설정'!B17+O2012*'01_설정'!B11+Q2012*'01_설정'!B12+P2012*'01_설정'!B13+IF(Z2012="",0,Z2012))</f>
        <v/>
      </c>
      <c r="X2012" s="152">
        <f>IF(W2012="","",1+COUNTIFS($W$4:$W$3003,"&gt;"&amp;W2012)+COUNTIFS($W$4:W2012,W2012)-1)</f>
        <v/>
      </c>
      <c r="Y2012" s="175">
        <f>IF(OR(I2012="",'02_대상물건입력'!B19="",'02_대상물건입력'!B19&lt;=0),"",ABS(I2012-'02_대상물건입력'!B19)/'02_대상물건입력'!B19)</f>
        <v/>
      </c>
      <c r="Z2012" s="172">
        <f>IF(OR(Y2012="",'01_설정'!B31="",'01_설정'!B31&lt;=0,'01_설정'!B32="",'01_설정'!B32&lt;=0),"",MAX(0,(1-Y2012/'01_설정'!B32))*'01_설정'!B31)</f>
        <v/>
      </c>
    </row>
    <row r="2013" ht="17.25" customHeight="1">
      <c r="A2013" s="152">
        <f>IF(INDEX('04A_국토부원자료'!$A:$A,ROW()+1)="","",ROW()-3)</f>
        <v/>
      </c>
      <c r="B2013" s="48">
        <f>IFERROR(INDEX('04A_국토부원자료'!$A:$T,ROW()+1,MATCH("시군구",'04A_국토부원자료'!$A$4:$T$4,0)),"")</f>
        <v/>
      </c>
      <c r="C2013" s="48">
        <f>IF(B2013="","",IFERROR(INDEX('04A_국토부원자료'!$A:$T,ROW()+1,MATCH("번지",'04A_국토부원자료'!$A$4:$T$4,0)),""))</f>
        <v/>
      </c>
      <c r="D2013" s="48">
        <f>IF(B2013="","",IF(Q2013=1,'02_대상물건입력'!$B$8,IFERROR(INDEX('04A_국토부원자료'!$A:$T,ROW()+1,MATCH("단지명",'04A_국토부원자료'!$A$4:$T$4,0)),"")))</f>
        <v/>
      </c>
      <c r="E2013" s="172">
        <f>IFERROR(VALUE(SUBSTITUTE(INDEX('04A_국토부원자료'!$A:$T,ROW()+1,MATCH("전용면적(㎡)",'04A_국토부원자료'!$A$4:$T$4,0)),",","")),"")</f>
        <v/>
      </c>
      <c r="F20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13" s="51">
        <f>IFERROR(VALUE(SUBSTITUTE(INDEX('04A_국토부원자료'!$A:$T,ROW()+1,MATCH("거래금액(만원)",'04A_국토부원자료'!$A$4:$T$4,0)),",","")),"")</f>
        <v/>
      </c>
      <c r="H2013" s="174">
        <f>IF(G2013="","",G2013*10000)</f>
        <v/>
      </c>
      <c r="I2013" s="174">
        <f>IFERROR(IF(AND(H2013&gt;0,E2013&gt;0),H2013/E2013,""),"")</f>
        <v/>
      </c>
      <c r="J2013" s="152">
        <f>IFERROR(VALUE(SUBSTITUTE(INDEX('04A_국토부원자료'!$A:$T,ROW()+1,MATCH("층",'04A_국토부원자료'!$A$4:$T$4,0)),",","")),"")</f>
        <v/>
      </c>
      <c r="K2013" s="152">
        <f>IFERROR(VALUE(SUBSTITUTE(INDEX('04A_국토부원자료'!$A:$T,ROW()+1,MATCH("건축년도",'04A_국토부원자료'!$A$4:$T$4,0)),",","")),"")</f>
        <v/>
      </c>
      <c r="L2013" s="48">
        <f>IFERROR(INDEX('04A_국토부원자료'!$A:$T,ROW()+1,MATCH("도로명",'04A_국토부원자료'!$A$4:$T$4,0)),"")</f>
        <v/>
      </c>
      <c r="M2013" s="48">
        <f>IFERROR(INDEX('04A_국토부원자료'!$A:$T,ROW()+1,MATCH("거래유형",'04A_국토부원자료'!$A$4:$T$4,0)),"")</f>
        <v/>
      </c>
      <c r="N2013" s="152">
        <f>IF(B2013="","",IF('02_대상물건입력'!B5="",1,IF(ISNUMBER(SEARCH('02_대상물건입력'!B5,B2013)),1,0)))</f>
        <v/>
      </c>
      <c r="O2013" s="152">
        <f>IF(B2013="","",IF('02_대상물건입력'!B6="",1,IF(ISNUMBER(SEARCH('02_대상물건입력'!B6,B2013)),1,0)))</f>
        <v/>
      </c>
      <c r="P2013" s="152">
        <f>IF(L2013="","",IF('02_대상물건입력'!B15="",0,IF(ISNUMBER(SEARCH('02_대상물건입력'!B15,L2013)),1,0)))</f>
        <v/>
      </c>
      <c r="Q2013" s="152">
        <f>IF(OR(C2013="",L2013=""),0,IF(AND(TRIM(C2013)=TRIM(RIGHT(SUBSTITUTE(TRIM('02_대상물건입력'!$B$7)," ",REPT(" ",99)),99)),IF('02_대상물건입력'!B15="",TRUE(),ISNUMBER(SEARCH('02_대상물건입력'!B15,L2013)))),1,0))</f>
        <v/>
      </c>
      <c r="R2013" s="175">
        <f>IFERROR(ABS(E2013-'02_대상물건입력'!B11)/'02_대상물건입력'!B11,"")</f>
        <v/>
      </c>
      <c r="S2013" s="152">
        <f>IFERROR(ABS(J2013-'02_대상물건입력'!B10),"")</f>
        <v/>
      </c>
      <c r="T2013" s="152">
        <f>IFERROR(ABS('01_설정'!B4-F2013),"")</f>
        <v/>
      </c>
      <c r="U2013" s="152">
        <f>IFERROR(ABS(K2013-YEAR('02_대상물건입력'!B14)),"")</f>
        <v/>
      </c>
      <c r="V2013" s="152">
        <f>IF(B2013="","",IF(AND(E2013&gt;0,F2013&gt;0,H2013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2013=1,TRUE()),R2013&lt;='01_설정'!B5,S2013&lt;='01_설정'!B6,T2013&lt;='01_설정'!B7,U2013&lt;='01_설정'!B8),"Y",""))</f>
        <v/>
      </c>
      <c r="W2013" s="172">
        <f>IF(V2013&lt;&gt;"Y","",MAX(0,(1-R2013/'01_설정'!B5))*'01_설정'!B14+MAX(0,(1-S2013/'01_설정'!B6))*'01_설정'!B15+MAX(0,(1-T2013/'01_설정'!B7))*'01_설정'!B16+MAX(0,(1-U2013/'01_설정'!B8))*'01_설정'!B17+O2013*'01_설정'!B11+Q2013*'01_설정'!B12+P2013*'01_설정'!B13+IF(Z2013="",0,Z2013))</f>
        <v/>
      </c>
      <c r="X2013" s="152">
        <f>IF(W2013="","",1+COUNTIFS($W$4:$W$3003,"&gt;"&amp;W2013)+COUNTIFS($W$4:W2013,W2013)-1)</f>
        <v/>
      </c>
      <c r="Y2013" s="175">
        <f>IF(OR(I2013="",'02_대상물건입력'!B19="",'02_대상물건입력'!B19&lt;=0),"",ABS(I2013-'02_대상물건입력'!B19)/'02_대상물건입력'!B19)</f>
        <v/>
      </c>
      <c r="Z2013" s="172">
        <f>IF(OR(Y2013="",'01_설정'!B31="",'01_설정'!B31&lt;=0,'01_설정'!B32="",'01_설정'!B32&lt;=0),"",MAX(0,(1-Y2013/'01_설정'!B32))*'01_설정'!B31)</f>
        <v/>
      </c>
    </row>
    <row r="2014" ht="17.25" customHeight="1">
      <c r="A2014" s="152">
        <f>IF(INDEX('04A_국토부원자료'!$A:$A,ROW()+1)="","",ROW()-3)</f>
        <v/>
      </c>
      <c r="B2014" s="48">
        <f>IFERROR(INDEX('04A_국토부원자료'!$A:$T,ROW()+1,MATCH("시군구",'04A_국토부원자료'!$A$4:$T$4,0)),"")</f>
        <v/>
      </c>
      <c r="C2014" s="48">
        <f>IF(B2014="","",IFERROR(INDEX('04A_국토부원자료'!$A:$T,ROW()+1,MATCH("번지",'04A_국토부원자료'!$A$4:$T$4,0)),""))</f>
        <v/>
      </c>
      <c r="D2014" s="48">
        <f>IF(B2014="","",IF(Q2014=1,'02_대상물건입력'!$B$8,IFERROR(INDEX('04A_국토부원자료'!$A:$T,ROW()+1,MATCH("단지명",'04A_국토부원자료'!$A$4:$T$4,0)),"")))</f>
        <v/>
      </c>
      <c r="E2014" s="172">
        <f>IFERROR(VALUE(SUBSTITUTE(INDEX('04A_국토부원자료'!$A:$T,ROW()+1,MATCH("전용면적(㎡)",'04A_국토부원자료'!$A$4:$T$4,0)),",","")),"")</f>
        <v/>
      </c>
      <c r="F20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14" s="51">
        <f>IFERROR(VALUE(SUBSTITUTE(INDEX('04A_국토부원자료'!$A:$T,ROW()+1,MATCH("거래금액(만원)",'04A_국토부원자료'!$A$4:$T$4,0)),",","")),"")</f>
        <v/>
      </c>
      <c r="H2014" s="174">
        <f>IF(G2014="","",G2014*10000)</f>
        <v/>
      </c>
      <c r="I2014" s="174">
        <f>IFERROR(IF(AND(H2014&gt;0,E2014&gt;0),H2014/E2014,""),"")</f>
        <v/>
      </c>
      <c r="J2014" s="152">
        <f>IFERROR(VALUE(SUBSTITUTE(INDEX('04A_국토부원자료'!$A:$T,ROW()+1,MATCH("층",'04A_국토부원자료'!$A$4:$T$4,0)),",","")),"")</f>
        <v/>
      </c>
      <c r="K2014" s="152">
        <f>IFERROR(VALUE(SUBSTITUTE(INDEX('04A_국토부원자료'!$A:$T,ROW()+1,MATCH("건축년도",'04A_국토부원자료'!$A$4:$T$4,0)),",","")),"")</f>
        <v/>
      </c>
      <c r="L2014" s="48">
        <f>IFERROR(INDEX('04A_국토부원자료'!$A:$T,ROW()+1,MATCH("도로명",'04A_국토부원자료'!$A$4:$T$4,0)),"")</f>
        <v/>
      </c>
      <c r="M2014" s="48">
        <f>IFERROR(INDEX('04A_국토부원자료'!$A:$T,ROW()+1,MATCH("거래유형",'04A_국토부원자료'!$A$4:$T$4,0)),"")</f>
        <v/>
      </c>
      <c r="N2014" s="152">
        <f>IF(B2014="","",IF('02_대상물건입력'!B5="",1,IF(ISNUMBER(SEARCH('02_대상물건입력'!B5,B2014)),1,0)))</f>
        <v/>
      </c>
      <c r="O2014" s="152">
        <f>IF(B2014="","",IF('02_대상물건입력'!B6="",1,IF(ISNUMBER(SEARCH('02_대상물건입력'!B6,B2014)),1,0)))</f>
        <v/>
      </c>
      <c r="P2014" s="152">
        <f>IF(L2014="","",IF('02_대상물건입력'!B15="",0,IF(ISNUMBER(SEARCH('02_대상물건입력'!B15,L2014)),1,0)))</f>
        <v/>
      </c>
      <c r="Q2014" s="152">
        <f>IF(OR(C2014="",L2014=""),0,IF(AND(TRIM(C2014)=TRIM(RIGHT(SUBSTITUTE(TRIM('02_대상물건입력'!$B$7)," ",REPT(" ",99)),99)),IF('02_대상물건입력'!B15="",TRUE(),ISNUMBER(SEARCH('02_대상물건입력'!B15,L2014)))),1,0))</f>
        <v/>
      </c>
      <c r="R2014" s="175">
        <f>IFERROR(ABS(E2014-'02_대상물건입력'!B11)/'02_대상물건입력'!B11,"")</f>
        <v/>
      </c>
      <c r="S2014" s="152">
        <f>IFERROR(ABS(J2014-'02_대상물건입력'!B10),"")</f>
        <v/>
      </c>
      <c r="T2014" s="152">
        <f>IFERROR(ABS('01_설정'!B4-F2014),"")</f>
        <v/>
      </c>
      <c r="U2014" s="152">
        <f>IFERROR(ABS(K2014-YEAR('02_대상물건입력'!B14)),"")</f>
        <v/>
      </c>
      <c r="V2014" s="152">
        <f>IF(B2014="","",IF(AND(E2014&gt;0,F2014&gt;0,H2014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2014=1,TRUE()),R2014&lt;='01_설정'!B5,S2014&lt;='01_설정'!B6,T2014&lt;='01_설정'!B7,U2014&lt;='01_설정'!B8),"Y",""))</f>
        <v/>
      </c>
      <c r="W2014" s="172">
        <f>IF(V2014&lt;&gt;"Y","",MAX(0,(1-R2014/'01_설정'!B5))*'01_설정'!B14+MAX(0,(1-S2014/'01_설정'!B6))*'01_설정'!B15+MAX(0,(1-T2014/'01_설정'!B7))*'01_설정'!B16+MAX(0,(1-U2014/'01_설정'!B8))*'01_설정'!B17+O2014*'01_설정'!B11+Q2014*'01_설정'!B12+P2014*'01_설정'!B13+IF(Z2014="",0,Z2014))</f>
        <v/>
      </c>
      <c r="X2014" s="152">
        <f>IF(W2014="","",1+COUNTIFS($W$4:$W$3003,"&gt;"&amp;W2014)+COUNTIFS($W$4:W2014,W2014)-1)</f>
        <v/>
      </c>
      <c r="Y2014" s="175">
        <f>IF(OR(I2014="",'02_대상물건입력'!B19="",'02_대상물건입력'!B19&lt;=0),"",ABS(I2014-'02_대상물건입력'!B19)/'02_대상물건입력'!B19)</f>
        <v/>
      </c>
      <c r="Z2014" s="172">
        <f>IF(OR(Y2014="",'01_설정'!B31="",'01_설정'!B31&lt;=0,'01_설정'!B32="",'01_설정'!B32&lt;=0),"",MAX(0,(1-Y2014/'01_설정'!B32))*'01_설정'!B31)</f>
        <v/>
      </c>
    </row>
    <row r="2015" ht="17.25" customHeight="1">
      <c r="A2015" s="152">
        <f>IF(INDEX('04A_국토부원자료'!$A:$A,ROW()+1)="","",ROW()-3)</f>
        <v/>
      </c>
      <c r="B2015" s="48">
        <f>IFERROR(INDEX('04A_국토부원자료'!$A:$T,ROW()+1,MATCH("시군구",'04A_국토부원자료'!$A$4:$T$4,0)),"")</f>
        <v/>
      </c>
      <c r="C2015" s="48">
        <f>IF(B2015="","",IFERROR(INDEX('04A_국토부원자료'!$A:$T,ROW()+1,MATCH("번지",'04A_국토부원자료'!$A$4:$T$4,0)),""))</f>
        <v/>
      </c>
      <c r="D2015" s="48">
        <f>IF(B2015="","",IF(Q2015=1,'02_대상물건입력'!$B$8,IFERROR(INDEX('04A_국토부원자료'!$A:$T,ROW()+1,MATCH("단지명",'04A_국토부원자료'!$A$4:$T$4,0)),"")))</f>
        <v/>
      </c>
      <c r="E2015" s="172">
        <f>IFERROR(VALUE(SUBSTITUTE(INDEX('04A_국토부원자료'!$A:$T,ROW()+1,MATCH("전용면적(㎡)",'04A_국토부원자료'!$A$4:$T$4,0)),",","")),"")</f>
        <v/>
      </c>
      <c r="F20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15" s="51">
        <f>IFERROR(VALUE(SUBSTITUTE(INDEX('04A_국토부원자료'!$A:$T,ROW()+1,MATCH("거래금액(만원)",'04A_국토부원자료'!$A$4:$T$4,0)),",","")),"")</f>
        <v/>
      </c>
      <c r="H2015" s="174">
        <f>IF(G2015="","",G2015*10000)</f>
        <v/>
      </c>
      <c r="I2015" s="174">
        <f>IFERROR(IF(AND(H2015&gt;0,E2015&gt;0),H2015/E2015,""),"")</f>
        <v/>
      </c>
      <c r="J2015" s="152">
        <f>IFERROR(VALUE(SUBSTITUTE(INDEX('04A_국토부원자료'!$A:$T,ROW()+1,MATCH("층",'04A_국토부원자료'!$A$4:$T$4,0)),",","")),"")</f>
        <v/>
      </c>
      <c r="K2015" s="152">
        <f>IFERROR(VALUE(SUBSTITUTE(INDEX('04A_국토부원자료'!$A:$T,ROW()+1,MATCH("건축년도",'04A_국토부원자료'!$A$4:$T$4,0)),",","")),"")</f>
        <v/>
      </c>
      <c r="L2015" s="48">
        <f>IFERROR(INDEX('04A_국토부원자료'!$A:$T,ROW()+1,MATCH("도로명",'04A_국토부원자료'!$A$4:$T$4,0)),"")</f>
        <v/>
      </c>
      <c r="M2015" s="48">
        <f>IFERROR(INDEX('04A_국토부원자료'!$A:$T,ROW()+1,MATCH("거래유형",'04A_국토부원자료'!$A$4:$T$4,0)),"")</f>
        <v/>
      </c>
      <c r="N2015" s="152">
        <f>IF(B2015="","",IF('02_대상물건입력'!B5="",1,IF(ISNUMBER(SEARCH('02_대상물건입력'!B5,B2015)),1,0)))</f>
        <v/>
      </c>
      <c r="O2015" s="152">
        <f>IF(B2015="","",IF('02_대상물건입력'!B6="",1,IF(ISNUMBER(SEARCH('02_대상물건입력'!B6,B2015)),1,0)))</f>
        <v/>
      </c>
      <c r="P2015" s="152">
        <f>IF(L2015="","",IF('02_대상물건입력'!B15="",0,IF(ISNUMBER(SEARCH('02_대상물건입력'!B15,L2015)),1,0)))</f>
        <v/>
      </c>
      <c r="Q2015" s="152">
        <f>IF(OR(C2015="",L2015=""),0,IF(AND(TRIM(C2015)=TRIM(RIGHT(SUBSTITUTE(TRIM('02_대상물건입력'!$B$7)," ",REPT(" ",99)),99)),IF('02_대상물건입력'!B15="",TRUE(),ISNUMBER(SEARCH('02_대상물건입력'!B15,L2015)))),1,0))</f>
        <v/>
      </c>
      <c r="R2015" s="175">
        <f>IFERROR(ABS(E2015-'02_대상물건입력'!B11)/'02_대상물건입력'!B11,"")</f>
        <v/>
      </c>
      <c r="S2015" s="152">
        <f>IFERROR(ABS(J2015-'02_대상물건입력'!B10),"")</f>
        <v/>
      </c>
      <c r="T2015" s="152">
        <f>IFERROR(ABS('01_설정'!B4-F2015),"")</f>
        <v/>
      </c>
      <c r="U2015" s="152">
        <f>IFERROR(ABS(K2015-YEAR('02_대상물건입력'!B14)),"")</f>
        <v/>
      </c>
      <c r="V2015" s="152">
        <f>IF(B2015="","",IF(AND(E2015&gt;0,F2015&gt;0,H2015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2015=1,TRUE()),R2015&lt;='01_설정'!B5,S2015&lt;='01_설정'!B6,T2015&lt;='01_설정'!B7,U2015&lt;='01_설정'!B8),"Y",""))</f>
        <v/>
      </c>
      <c r="W2015" s="172">
        <f>IF(V2015&lt;&gt;"Y","",MAX(0,(1-R2015/'01_설정'!B5))*'01_설정'!B14+MAX(0,(1-S2015/'01_설정'!B6))*'01_설정'!B15+MAX(0,(1-T2015/'01_설정'!B7))*'01_설정'!B16+MAX(0,(1-U2015/'01_설정'!B8))*'01_설정'!B17+O2015*'01_설정'!B11+Q2015*'01_설정'!B12+P2015*'01_설정'!B13+IF(Z2015="",0,Z2015))</f>
        <v/>
      </c>
      <c r="X2015" s="152">
        <f>IF(W2015="","",1+COUNTIFS($W$4:$W$3003,"&gt;"&amp;W2015)+COUNTIFS($W$4:W2015,W2015)-1)</f>
        <v/>
      </c>
      <c r="Y2015" s="175">
        <f>IF(OR(I2015="",'02_대상물건입력'!B19="",'02_대상물건입력'!B19&lt;=0),"",ABS(I2015-'02_대상물건입력'!B19)/'02_대상물건입력'!B19)</f>
        <v/>
      </c>
      <c r="Z2015" s="172">
        <f>IF(OR(Y2015="",'01_설정'!B31="",'01_설정'!B31&lt;=0,'01_설정'!B32="",'01_설정'!B32&lt;=0),"",MAX(0,(1-Y2015/'01_설정'!B32))*'01_설정'!B31)</f>
        <v/>
      </c>
    </row>
    <row r="2016" ht="17.25" customHeight="1">
      <c r="A2016" s="152">
        <f>IF(INDEX('04A_국토부원자료'!$A:$A,ROW()+1)="","",ROW()-3)</f>
        <v/>
      </c>
      <c r="B2016" s="48">
        <f>IFERROR(INDEX('04A_국토부원자료'!$A:$T,ROW()+1,MATCH("시군구",'04A_국토부원자료'!$A$4:$T$4,0)),"")</f>
        <v/>
      </c>
      <c r="C2016" s="48">
        <f>IF(B2016="","",IFERROR(INDEX('04A_국토부원자료'!$A:$T,ROW()+1,MATCH("번지",'04A_국토부원자료'!$A$4:$T$4,0)),""))</f>
        <v/>
      </c>
      <c r="D2016" s="48">
        <f>IF(B2016="","",IF(Q2016=1,'02_대상물건입력'!$B$8,IFERROR(INDEX('04A_국토부원자료'!$A:$T,ROW()+1,MATCH("단지명",'04A_국토부원자료'!$A$4:$T$4,0)),"")))</f>
        <v/>
      </c>
      <c r="E2016" s="172">
        <f>IFERROR(VALUE(SUBSTITUTE(INDEX('04A_국토부원자료'!$A:$T,ROW()+1,MATCH("전용면적(㎡)",'04A_국토부원자료'!$A$4:$T$4,0)),",","")),"")</f>
        <v/>
      </c>
      <c r="F20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16" s="51">
        <f>IFERROR(VALUE(SUBSTITUTE(INDEX('04A_국토부원자료'!$A:$T,ROW()+1,MATCH("거래금액(만원)",'04A_국토부원자료'!$A$4:$T$4,0)),",","")),"")</f>
        <v/>
      </c>
      <c r="H2016" s="174">
        <f>IF(G2016="","",G2016*10000)</f>
        <v/>
      </c>
      <c r="I2016" s="174">
        <f>IFERROR(IF(AND(H2016&gt;0,E2016&gt;0),H2016/E2016,""),"")</f>
        <v/>
      </c>
      <c r="J2016" s="152">
        <f>IFERROR(VALUE(SUBSTITUTE(INDEX('04A_국토부원자료'!$A:$T,ROW()+1,MATCH("층",'04A_국토부원자료'!$A$4:$T$4,0)),",","")),"")</f>
        <v/>
      </c>
      <c r="K2016" s="152">
        <f>IFERROR(VALUE(SUBSTITUTE(INDEX('04A_국토부원자료'!$A:$T,ROW()+1,MATCH("건축년도",'04A_국토부원자료'!$A$4:$T$4,0)),",","")),"")</f>
        <v/>
      </c>
      <c r="L2016" s="48">
        <f>IFERROR(INDEX('04A_국토부원자료'!$A:$T,ROW()+1,MATCH("도로명",'04A_국토부원자료'!$A$4:$T$4,0)),"")</f>
        <v/>
      </c>
      <c r="M2016" s="48">
        <f>IFERROR(INDEX('04A_국토부원자료'!$A:$T,ROW()+1,MATCH("거래유형",'04A_국토부원자료'!$A$4:$T$4,0)),"")</f>
        <v/>
      </c>
      <c r="N2016" s="152">
        <f>IF(B2016="","",IF('02_대상물건입력'!B5="",1,IF(ISNUMBER(SEARCH('02_대상물건입력'!B5,B2016)),1,0)))</f>
        <v/>
      </c>
      <c r="O2016" s="152">
        <f>IF(B2016="","",IF('02_대상물건입력'!B6="",1,IF(ISNUMBER(SEARCH('02_대상물건입력'!B6,B2016)),1,0)))</f>
        <v/>
      </c>
      <c r="P2016" s="152">
        <f>IF(L2016="","",IF('02_대상물건입력'!B15="",0,IF(ISNUMBER(SEARCH('02_대상물건입력'!B15,L2016)),1,0)))</f>
        <v/>
      </c>
      <c r="Q2016" s="152">
        <f>IF(OR(C2016="",L2016=""),0,IF(AND(TRIM(C2016)=TRIM(RIGHT(SUBSTITUTE(TRIM('02_대상물건입력'!$B$7)," ",REPT(" ",99)),99)),IF('02_대상물건입력'!B15="",TRUE(),ISNUMBER(SEARCH('02_대상물건입력'!B15,L2016)))),1,0))</f>
        <v/>
      </c>
      <c r="R2016" s="175">
        <f>IFERROR(ABS(E2016-'02_대상물건입력'!B11)/'02_대상물건입력'!B11,"")</f>
        <v/>
      </c>
      <c r="S2016" s="152">
        <f>IFERROR(ABS(J2016-'02_대상물건입력'!B10),"")</f>
        <v/>
      </c>
      <c r="T2016" s="152">
        <f>IFERROR(ABS('01_설정'!B4-F2016),"")</f>
        <v/>
      </c>
      <c r="U2016" s="152">
        <f>IFERROR(ABS(K2016-YEAR('02_대상물건입력'!B14)),"")</f>
        <v/>
      </c>
      <c r="V2016" s="152">
        <f>IF(B2016="","",IF(AND(E2016&gt;0,F2016&gt;0,H2016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2016=1,TRUE()),R2016&lt;='01_설정'!B5,S2016&lt;='01_설정'!B6,T2016&lt;='01_설정'!B7,U2016&lt;='01_설정'!B8),"Y",""))</f>
        <v/>
      </c>
      <c r="W2016" s="172">
        <f>IF(V2016&lt;&gt;"Y","",MAX(0,(1-R2016/'01_설정'!B5))*'01_설정'!B14+MAX(0,(1-S2016/'01_설정'!B6))*'01_설정'!B15+MAX(0,(1-T2016/'01_설정'!B7))*'01_설정'!B16+MAX(0,(1-U2016/'01_설정'!B8))*'01_설정'!B17+O2016*'01_설정'!B11+Q2016*'01_설정'!B12+P2016*'01_설정'!B13+IF(Z2016="",0,Z2016))</f>
        <v/>
      </c>
      <c r="X2016" s="152">
        <f>IF(W2016="","",1+COUNTIFS($W$4:$W$3003,"&gt;"&amp;W2016)+COUNTIFS($W$4:W2016,W2016)-1)</f>
        <v/>
      </c>
      <c r="Y2016" s="175">
        <f>IF(OR(I2016="",'02_대상물건입력'!B19="",'02_대상물건입력'!B19&lt;=0),"",ABS(I2016-'02_대상물건입력'!B19)/'02_대상물건입력'!B19)</f>
        <v/>
      </c>
      <c r="Z2016" s="172">
        <f>IF(OR(Y2016="",'01_설정'!B31="",'01_설정'!B31&lt;=0,'01_설정'!B32="",'01_설정'!B32&lt;=0),"",MAX(0,(1-Y2016/'01_설정'!B32))*'01_설정'!B31)</f>
        <v/>
      </c>
    </row>
    <row r="2017" ht="17.25" customHeight="1">
      <c r="A2017" s="152">
        <f>IF(INDEX('04A_국토부원자료'!$A:$A,ROW()+1)="","",ROW()-3)</f>
        <v/>
      </c>
      <c r="B2017" s="48">
        <f>IFERROR(INDEX('04A_국토부원자료'!$A:$T,ROW()+1,MATCH("시군구",'04A_국토부원자료'!$A$4:$T$4,0)),"")</f>
        <v/>
      </c>
      <c r="C2017" s="48">
        <f>IF(B2017="","",IFERROR(INDEX('04A_국토부원자료'!$A:$T,ROW()+1,MATCH("번지",'04A_국토부원자료'!$A$4:$T$4,0)),""))</f>
        <v/>
      </c>
      <c r="D2017" s="48">
        <f>IF(B2017="","",IF(Q2017=1,'02_대상물건입력'!$B$8,IFERROR(INDEX('04A_국토부원자료'!$A:$T,ROW()+1,MATCH("단지명",'04A_국토부원자료'!$A$4:$T$4,0)),"")))</f>
        <v/>
      </c>
      <c r="E2017" s="172">
        <f>IFERROR(VALUE(SUBSTITUTE(INDEX('04A_국토부원자료'!$A:$T,ROW()+1,MATCH("전용면적(㎡)",'04A_국토부원자료'!$A$4:$T$4,0)),",","")),"")</f>
        <v/>
      </c>
      <c r="F20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17" s="51">
        <f>IFERROR(VALUE(SUBSTITUTE(INDEX('04A_국토부원자료'!$A:$T,ROW()+1,MATCH("거래금액(만원)",'04A_국토부원자료'!$A$4:$T$4,0)),",","")),"")</f>
        <v/>
      </c>
      <c r="H2017" s="174">
        <f>IF(G2017="","",G2017*10000)</f>
        <v/>
      </c>
      <c r="I2017" s="174">
        <f>IFERROR(IF(AND(H2017&gt;0,E2017&gt;0),H2017/E2017,""),"")</f>
        <v/>
      </c>
      <c r="J2017" s="152">
        <f>IFERROR(VALUE(SUBSTITUTE(INDEX('04A_국토부원자료'!$A:$T,ROW()+1,MATCH("층",'04A_국토부원자료'!$A$4:$T$4,0)),",","")),"")</f>
        <v/>
      </c>
      <c r="K2017" s="152">
        <f>IFERROR(VALUE(SUBSTITUTE(INDEX('04A_국토부원자료'!$A:$T,ROW()+1,MATCH("건축년도",'04A_국토부원자료'!$A$4:$T$4,0)),",","")),"")</f>
        <v/>
      </c>
      <c r="L2017" s="48">
        <f>IFERROR(INDEX('04A_국토부원자료'!$A:$T,ROW()+1,MATCH("도로명",'04A_국토부원자료'!$A$4:$T$4,0)),"")</f>
        <v/>
      </c>
      <c r="M2017" s="48">
        <f>IFERROR(INDEX('04A_국토부원자료'!$A:$T,ROW()+1,MATCH("거래유형",'04A_국토부원자료'!$A$4:$T$4,0)),"")</f>
        <v/>
      </c>
      <c r="N2017" s="152">
        <f>IF(B2017="","",IF('02_대상물건입력'!B5="",1,IF(ISNUMBER(SEARCH('02_대상물건입력'!B5,B2017)),1,0)))</f>
        <v/>
      </c>
      <c r="O2017" s="152">
        <f>IF(B2017="","",IF('02_대상물건입력'!B6="",1,IF(ISNUMBER(SEARCH('02_대상물건입력'!B6,B2017)),1,0)))</f>
        <v/>
      </c>
      <c r="P2017" s="152">
        <f>IF(L2017="","",IF('02_대상물건입력'!B15="",0,IF(ISNUMBER(SEARCH('02_대상물건입력'!B15,L2017)),1,0)))</f>
        <v/>
      </c>
      <c r="Q2017" s="152">
        <f>IF(OR(C2017="",L2017=""),0,IF(AND(TRIM(C2017)=TRIM(RIGHT(SUBSTITUTE(TRIM('02_대상물건입력'!$B$7)," ",REPT(" ",99)),99)),IF('02_대상물건입력'!B15="",TRUE(),ISNUMBER(SEARCH('02_대상물건입력'!B15,L2017)))),1,0))</f>
        <v/>
      </c>
      <c r="R2017" s="175">
        <f>IFERROR(ABS(E2017-'02_대상물건입력'!B11)/'02_대상물건입력'!B11,"")</f>
        <v/>
      </c>
      <c r="S2017" s="152">
        <f>IFERROR(ABS(J2017-'02_대상물건입력'!B10),"")</f>
        <v/>
      </c>
      <c r="T2017" s="152">
        <f>IFERROR(ABS('01_설정'!B4-F2017),"")</f>
        <v/>
      </c>
      <c r="U2017" s="152">
        <f>IFERROR(ABS(K2017-YEAR('02_대상물건입력'!B14)),"")</f>
        <v/>
      </c>
      <c r="V2017" s="152">
        <f>IF(B2017="","",IF(AND(E2017&gt;0,F2017&gt;0,H2017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2017=1,TRUE()),R2017&lt;='01_설정'!B5,S2017&lt;='01_설정'!B6,T2017&lt;='01_설정'!B7,U2017&lt;='01_설정'!B8),"Y",""))</f>
        <v/>
      </c>
      <c r="W2017" s="172">
        <f>IF(V2017&lt;&gt;"Y","",MAX(0,(1-R2017/'01_설정'!B5))*'01_설정'!B14+MAX(0,(1-S2017/'01_설정'!B6))*'01_설정'!B15+MAX(0,(1-T2017/'01_설정'!B7))*'01_설정'!B16+MAX(0,(1-U2017/'01_설정'!B8))*'01_설정'!B17+O2017*'01_설정'!B11+Q2017*'01_설정'!B12+P2017*'01_설정'!B13+IF(Z2017="",0,Z2017))</f>
        <v/>
      </c>
      <c r="X2017" s="152">
        <f>IF(W2017="","",1+COUNTIFS($W$4:$W$3003,"&gt;"&amp;W2017)+COUNTIFS($W$4:W2017,W2017)-1)</f>
        <v/>
      </c>
      <c r="Y2017" s="175">
        <f>IF(OR(I2017="",'02_대상물건입력'!B19="",'02_대상물건입력'!B19&lt;=0),"",ABS(I2017-'02_대상물건입력'!B19)/'02_대상물건입력'!B19)</f>
        <v/>
      </c>
      <c r="Z2017" s="172">
        <f>IF(OR(Y2017="",'01_설정'!B31="",'01_설정'!B31&lt;=0,'01_설정'!B32="",'01_설정'!B32&lt;=0),"",MAX(0,(1-Y2017/'01_설정'!B32))*'01_설정'!B31)</f>
        <v/>
      </c>
    </row>
    <row r="2018" ht="17.25" customHeight="1">
      <c r="A2018" s="152">
        <f>IF(INDEX('04A_국토부원자료'!$A:$A,ROW()+1)="","",ROW()-3)</f>
        <v/>
      </c>
      <c r="B2018" s="48">
        <f>IFERROR(INDEX('04A_국토부원자료'!$A:$T,ROW()+1,MATCH("시군구",'04A_국토부원자료'!$A$4:$T$4,0)),"")</f>
        <v/>
      </c>
      <c r="C2018" s="48">
        <f>IF(B2018="","",IFERROR(INDEX('04A_국토부원자료'!$A:$T,ROW()+1,MATCH("번지",'04A_국토부원자료'!$A$4:$T$4,0)),""))</f>
        <v/>
      </c>
      <c r="D2018" s="48">
        <f>IF(B2018="","",IF(Q2018=1,'02_대상물건입력'!$B$8,IFERROR(INDEX('04A_국토부원자료'!$A:$T,ROW()+1,MATCH("단지명",'04A_국토부원자료'!$A$4:$T$4,0)),"")))</f>
        <v/>
      </c>
      <c r="E2018" s="172">
        <f>IFERROR(VALUE(SUBSTITUTE(INDEX('04A_국토부원자료'!$A:$T,ROW()+1,MATCH("전용면적(㎡)",'04A_국토부원자료'!$A$4:$T$4,0)),",","")),"")</f>
        <v/>
      </c>
      <c r="F20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18" s="51">
        <f>IFERROR(VALUE(SUBSTITUTE(INDEX('04A_국토부원자료'!$A:$T,ROW()+1,MATCH("거래금액(만원)",'04A_국토부원자료'!$A$4:$T$4,0)),",","")),"")</f>
        <v/>
      </c>
      <c r="H2018" s="174">
        <f>IF(G2018="","",G2018*10000)</f>
        <v/>
      </c>
      <c r="I2018" s="174">
        <f>IFERROR(IF(AND(H2018&gt;0,E2018&gt;0),H2018/E2018,""),"")</f>
        <v/>
      </c>
      <c r="J2018" s="152">
        <f>IFERROR(VALUE(SUBSTITUTE(INDEX('04A_국토부원자료'!$A:$T,ROW()+1,MATCH("층",'04A_국토부원자료'!$A$4:$T$4,0)),",","")),"")</f>
        <v/>
      </c>
      <c r="K2018" s="152">
        <f>IFERROR(VALUE(SUBSTITUTE(INDEX('04A_국토부원자료'!$A:$T,ROW()+1,MATCH("건축년도",'04A_국토부원자료'!$A$4:$T$4,0)),",","")),"")</f>
        <v/>
      </c>
      <c r="L2018" s="48">
        <f>IFERROR(INDEX('04A_국토부원자료'!$A:$T,ROW()+1,MATCH("도로명",'04A_국토부원자료'!$A$4:$T$4,0)),"")</f>
        <v/>
      </c>
      <c r="M2018" s="48">
        <f>IFERROR(INDEX('04A_국토부원자료'!$A:$T,ROW()+1,MATCH("거래유형",'04A_국토부원자료'!$A$4:$T$4,0)),"")</f>
        <v/>
      </c>
      <c r="N2018" s="152">
        <f>IF(B2018="","",IF('02_대상물건입력'!B5="",1,IF(ISNUMBER(SEARCH('02_대상물건입력'!B5,B2018)),1,0)))</f>
        <v/>
      </c>
      <c r="O2018" s="152">
        <f>IF(B2018="","",IF('02_대상물건입력'!B6="",1,IF(ISNUMBER(SEARCH('02_대상물건입력'!B6,B2018)),1,0)))</f>
        <v/>
      </c>
      <c r="P2018" s="152">
        <f>IF(L2018="","",IF('02_대상물건입력'!B15="",0,IF(ISNUMBER(SEARCH('02_대상물건입력'!B15,L2018)),1,0)))</f>
        <v/>
      </c>
      <c r="Q2018" s="152">
        <f>IF(OR(C2018="",L2018=""),0,IF(AND(TRIM(C2018)=TRIM(RIGHT(SUBSTITUTE(TRIM('02_대상물건입력'!$B$7)," ",REPT(" ",99)),99)),IF('02_대상물건입력'!B15="",TRUE(),ISNUMBER(SEARCH('02_대상물건입력'!B15,L2018)))),1,0))</f>
        <v/>
      </c>
      <c r="R2018" s="175">
        <f>IFERROR(ABS(E2018-'02_대상물건입력'!B11)/'02_대상물건입력'!B11,"")</f>
        <v/>
      </c>
      <c r="S2018" s="152">
        <f>IFERROR(ABS(J2018-'02_대상물건입력'!B10),"")</f>
        <v/>
      </c>
      <c r="T2018" s="152">
        <f>IFERROR(ABS('01_설정'!B4-F2018),"")</f>
        <v/>
      </c>
      <c r="U2018" s="152">
        <f>IFERROR(ABS(K2018-YEAR('02_대상물건입력'!B14)),"")</f>
        <v/>
      </c>
      <c r="V2018" s="152">
        <f>IF(B2018="","",IF(AND(E2018&gt;0,F2018&gt;0,H2018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2018=1,TRUE()),R2018&lt;='01_설정'!B5,S2018&lt;='01_설정'!B6,T2018&lt;='01_설정'!B7,U2018&lt;='01_설정'!B8),"Y",""))</f>
        <v/>
      </c>
      <c r="W2018" s="172">
        <f>IF(V2018&lt;&gt;"Y","",MAX(0,(1-R2018/'01_설정'!B5))*'01_설정'!B14+MAX(0,(1-S2018/'01_설정'!B6))*'01_설정'!B15+MAX(0,(1-T2018/'01_설정'!B7))*'01_설정'!B16+MAX(0,(1-U2018/'01_설정'!B8))*'01_설정'!B17+O2018*'01_설정'!B11+Q2018*'01_설정'!B12+P2018*'01_설정'!B13+IF(Z2018="",0,Z2018))</f>
        <v/>
      </c>
      <c r="X2018" s="152">
        <f>IF(W2018="","",1+COUNTIFS($W$4:$W$3003,"&gt;"&amp;W2018)+COUNTIFS($W$4:W2018,W2018)-1)</f>
        <v/>
      </c>
      <c r="Y2018" s="175">
        <f>IF(OR(I2018="",'02_대상물건입력'!B19="",'02_대상물건입력'!B19&lt;=0),"",ABS(I2018-'02_대상물건입력'!B19)/'02_대상물건입력'!B19)</f>
        <v/>
      </c>
      <c r="Z2018" s="172">
        <f>IF(OR(Y2018="",'01_설정'!B31="",'01_설정'!B31&lt;=0,'01_설정'!B32="",'01_설정'!B32&lt;=0),"",MAX(0,(1-Y2018/'01_설정'!B32))*'01_설정'!B31)</f>
        <v/>
      </c>
    </row>
    <row r="2019" ht="17.25" customHeight="1">
      <c r="A2019" s="152">
        <f>IF(INDEX('04A_국토부원자료'!$A:$A,ROW()+1)="","",ROW()-3)</f>
        <v/>
      </c>
      <c r="B2019" s="48">
        <f>IFERROR(INDEX('04A_국토부원자료'!$A:$T,ROW()+1,MATCH("시군구",'04A_국토부원자료'!$A$4:$T$4,0)),"")</f>
        <v/>
      </c>
      <c r="C2019" s="48">
        <f>IF(B2019="","",IFERROR(INDEX('04A_국토부원자료'!$A:$T,ROW()+1,MATCH("번지",'04A_국토부원자료'!$A$4:$T$4,0)),""))</f>
        <v/>
      </c>
      <c r="D2019" s="48">
        <f>IF(B2019="","",IF(Q2019=1,'02_대상물건입력'!$B$8,IFERROR(INDEX('04A_국토부원자료'!$A:$T,ROW()+1,MATCH("단지명",'04A_국토부원자료'!$A$4:$T$4,0)),"")))</f>
        <v/>
      </c>
      <c r="E2019" s="172">
        <f>IFERROR(VALUE(SUBSTITUTE(INDEX('04A_국토부원자료'!$A:$T,ROW()+1,MATCH("전용면적(㎡)",'04A_국토부원자료'!$A$4:$T$4,0)),",","")),"")</f>
        <v/>
      </c>
      <c r="F20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19" s="51">
        <f>IFERROR(VALUE(SUBSTITUTE(INDEX('04A_국토부원자료'!$A:$T,ROW()+1,MATCH("거래금액(만원)",'04A_국토부원자료'!$A$4:$T$4,0)),",","")),"")</f>
        <v/>
      </c>
      <c r="H2019" s="174">
        <f>IF(G2019="","",G2019*10000)</f>
        <v/>
      </c>
      <c r="I2019" s="174">
        <f>IFERROR(IF(AND(H2019&gt;0,E2019&gt;0),H2019/E2019,""),"")</f>
        <v/>
      </c>
      <c r="J2019" s="152">
        <f>IFERROR(VALUE(SUBSTITUTE(INDEX('04A_국토부원자료'!$A:$T,ROW()+1,MATCH("층",'04A_국토부원자료'!$A$4:$T$4,0)),",","")),"")</f>
        <v/>
      </c>
      <c r="K2019" s="152">
        <f>IFERROR(VALUE(SUBSTITUTE(INDEX('04A_국토부원자료'!$A:$T,ROW()+1,MATCH("건축년도",'04A_국토부원자료'!$A$4:$T$4,0)),",","")),"")</f>
        <v/>
      </c>
      <c r="L2019" s="48">
        <f>IFERROR(INDEX('04A_국토부원자료'!$A:$T,ROW()+1,MATCH("도로명",'04A_국토부원자료'!$A$4:$T$4,0)),"")</f>
        <v/>
      </c>
      <c r="M2019" s="48">
        <f>IFERROR(INDEX('04A_국토부원자료'!$A:$T,ROW()+1,MATCH("거래유형",'04A_국토부원자료'!$A$4:$T$4,0)),"")</f>
        <v/>
      </c>
      <c r="N2019" s="152">
        <f>IF(B2019="","",IF('02_대상물건입력'!B5="",1,IF(ISNUMBER(SEARCH('02_대상물건입력'!B5,B2019)),1,0)))</f>
        <v/>
      </c>
      <c r="O2019" s="152">
        <f>IF(B2019="","",IF('02_대상물건입력'!B6="",1,IF(ISNUMBER(SEARCH('02_대상물건입력'!B6,B2019)),1,0)))</f>
        <v/>
      </c>
      <c r="P2019" s="152">
        <f>IF(L2019="","",IF('02_대상물건입력'!B15="",0,IF(ISNUMBER(SEARCH('02_대상물건입력'!B15,L2019)),1,0)))</f>
        <v/>
      </c>
      <c r="Q2019" s="152">
        <f>IF(OR(C2019="",L2019=""),0,IF(AND(TRIM(C2019)=TRIM(RIGHT(SUBSTITUTE(TRIM('02_대상물건입력'!$B$7)," ",REPT(" ",99)),99)),IF('02_대상물건입력'!B15="",TRUE(),ISNUMBER(SEARCH('02_대상물건입력'!B15,L2019)))),1,0))</f>
        <v/>
      </c>
      <c r="R2019" s="175">
        <f>IFERROR(ABS(E2019-'02_대상물건입력'!B11)/'02_대상물건입력'!B11,"")</f>
        <v/>
      </c>
      <c r="S2019" s="152">
        <f>IFERROR(ABS(J2019-'02_대상물건입력'!B10),"")</f>
        <v/>
      </c>
      <c r="T2019" s="152">
        <f>IFERROR(ABS('01_설정'!B4-F2019),"")</f>
        <v/>
      </c>
      <c r="U2019" s="152">
        <f>IFERROR(ABS(K2019-YEAR('02_대상물건입력'!B14)),"")</f>
        <v/>
      </c>
      <c r="V2019" s="152">
        <f>IF(B2019="","",IF(AND(E2019&gt;0,F2019&gt;0,H2019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2019=1,TRUE()),R2019&lt;='01_설정'!B5,S2019&lt;='01_설정'!B6,T2019&lt;='01_설정'!B7,U2019&lt;='01_설정'!B8),"Y",""))</f>
        <v/>
      </c>
      <c r="W2019" s="172">
        <f>IF(V2019&lt;&gt;"Y","",MAX(0,(1-R2019/'01_설정'!B5))*'01_설정'!B14+MAX(0,(1-S2019/'01_설정'!B6))*'01_설정'!B15+MAX(0,(1-T2019/'01_설정'!B7))*'01_설정'!B16+MAX(0,(1-U2019/'01_설정'!B8))*'01_설정'!B17+O2019*'01_설정'!B11+Q2019*'01_설정'!B12+P2019*'01_설정'!B13+IF(Z2019="",0,Z2019))</f>
        <v/>
      </c>
      <c r="X2019" s="152">
        <f>IF(W2019="","",1+COUNTIFS($W$4:$W$3003,"&gt;"&amp;W2019)+COUNTIFS($W$4:W2019,W2019)-1)</f>
        <v/>
      </c>
      <c r="Y2019" s="175">
        <f>IF(OR(I2019="",'02_대상물건입력'!B19="",'02_대상물건입력'!B19&lt;=0),"",ABS(I2019-'02_대상물건입력'!B19)/'02_대상물건입력'!B19)</f>
        <v/>
      </c>
      <c r="Z2019" s="172">
        <f>IF(OR(Y2019="",'01_설정'!B31="",'01_설정'!B31&lt;=0,'01_설정'!B32="",'01_설정'!B32&lt;=0),"",MAX(0,(1-Y2019/'01_설정'!B32))*'01_설정'!B31)</f>
        <v/>
      </c>
    </row>
    <row r="2020" ht="17.25" customHeight="1">
      <c r="A2020" s="152">
        <f>IF(INDEX('04A_국토부원자료'!$A:$A,ROW()+1)="","",ROW()-3)</f>
        <v/>
      </c>
      <c r="B2020" s="48">
        <f>IFERROR(INDEX('04A_국토부원자료'!$A:$T,ROW()+1,MATCH("시군구",'04A_국토부원자료'!$A$4:$T$4,0)),"")</f>
        <v/>
      </c>
      <c r="C2020" s="48">
        <f>IF(B2020="","",IFERROR(INDEX('04A_국토부원자료'!$A:$T,ROW()+1,MATCH("번지",'04A_국토부원자료'!$A$4:$T$4,0)),""))</f>
        <v/>
      </c>
      <c r="D2020" s="48">
        <f>IF(B2020="","",IF(Q2020=1,'02_대상물건입력'!$B$8,IFERROR(INDEX('04A_국토부원자료'!$A:$T,ROW()+1,MATCH("단지명",'04A_국토부원자료'!$A$4:$T$4,0)),"")))</f>
        <v/>
      </c>
      <c r="E2020" s="172">
        <f>IFERROR(VALUE(SUBSTITUTE(INDEX('04A_국토부원자료'!$A:$T,ROW()+1,MATCH("전용면적(㎡)",'04A_국토부원자료'!$A$4:$T$4,0)),",","")),"")</f>
        <v/>
      </c>
      <c r="F20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20" s="51">
        <f>IFERROR(VALUE(SUBSTITUTE(INDEX('04A_국토부원자료'!$A:$T,ROW()+1,MATCH("거래금액(만원)",'04A_국토부원자료'!$A$4:$T$4,0)),",","")),"")</f>
        <v/>
      </c>
      <c r="H2020" s="174">
        <f>IF(G2020="","",G2020*10000)</f>
        <v/>
      </c>
      <c r="I2020" s="174">
        <f>IFERROR(IF(AND(H2020&gt;0,E2020&gt;0),H2020/E2020,""),"")</f>
        <v/>
      </c>
      <c r="J2020" s="152">
        <f>IFERROR(VALUE(SUBSTITUTE(INDEX('04A_국토부원자료'!$A:$T,ROW()+1,MATCH("층",'04A_국토부원자료'!$A$4:$T$4,0)),",","")),"")</f>
        <v/>
      </c>
      <c r="K2020" s="152">
        <f>IFERROR(VALUE(SUBSTITUTE(INDEX('04A_국토부원자료'!$A:$T,ROW()+1,MATCH("건축년도",'04A_국토부원자료'!$A$4:$T$4,0)),",","")),"")</f>
        <v/>
      </c>
      <c r="L2020" s="48">
        <f>IFERROR(INDEX('04A_국토부원자료'!$A:$T,ROW()+1,MATCH("도로명",'04A_국토부원자료'!$A$4:$T$4,0)),"")</f>
        <v/>
      </c>
      <c r="M2020" s="48">
        <f>IFERROR(INDEX('04A_국토부원자료'!$A:$T,ROW()+1,MATCH("거래유형",'04A_국토부원자료'!$A$4:$T$4,0)),"")</f>
        <v/>
      </c>
      <c r="N2020" s="152">
        <f>IF(B2020="","",IF('02_대상물건입력'!B5="",1,IF(ISNUMBER(SEARCH('02_대상물건입력'!B5,B2020)),1,0)))</f>
        <v/>
      </c>
      <c r="O2020" s="152">
        <f>IF(B2020="","",IF('02_대상물건입력'!B6="",1,IF(ISNUMBER(SEARCH('02_대상물건입력'!B6,B2020)),1,0)))</f>
        <v/>
      </c>
      <c r="P2020" s="152">
        <f>IF(L2020="","",IF('02_대상물건입력'!B15="",0,IF(ISNUMBER(SEARCH('02_대상물건입력'!B15,L2020)),1,0)))</f>
        <v/>
      </c>
      <c r="Q2020" s="152">
        <f>IF(OR(C2020="",L2020=""),0,IF(AND(TRIM(C2020)=TRIM(RIGHT(SUBSTITUTE(TRIM('02_대상물건입력'!$B$7)," ",REPT(" ",99)),99)),IF('02_대상물건입력'!B15="",TRUE(),ISNUMBER(SEARCH('02_대상물건입력'!B15,L2020)))),1,0))</f>
        <v/>
      </c>
      <c r="R2020" s="175">
        <f>IFERROR(ABS(E2020-'02_대상물건입력'!B11)/'02_대상물건입력'!B11,"")</f>
        <v/>
      </c>
      <c r="S2020" s="152">
        <f>IFERROR(ABS(J2020-'02_대상물건입력'!B10),"")</f>
        <v/>
      </c>
      <c r="T2020" s="152">
        <f>IFERROR(ABS('01_설정'!B4-F2020),"")</f>
        <v/>
      </c>
      <c r="U2020" s="152">
        <f>IFERROR(ABS(K2020-YEAR('02_대상물건입력'!B14)),"")</f>
        <v/>
      </c>
      <c r="V2020" s="152">
        <f>IF(B2020="","",IF(AND(E2020&gt;0,F2020&gt;0,H2020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2020=1,TRUE()),R2020&lt;='01_설정'!B5,S2020&lt;='01_설정'!B6,T2020&lt;='01_설정'!B7,U2020&lt;='01_설정'!B8),"Y",""))</f>
        <v/>
      </c>
      <c r="W2020" s="172">
        <f>IF(V2020&lt;&gt;"Y","",MAX(0,(1-R2020/'01_설정'!B5))*'01_설정'!B14+MAX(0,(1-S2020/'01_설정'!B6))*'01_설정'!B15+MAX(0,(1-T2020/'01_설정'!B7))*'01_설정'!B16+MAX(0,(1-U2020/'01_설정'!B8))*'01_설정'!B17+O2020*'01_설정'!B11+Q2020*'01_설정'!B12+P2020*'01_설정'!B13+IF(Z2020="",0,Z2020))</f>
        <v/>
      </c>
      <c r="X2020" s="152">
        <f>IF(W2020="","",1+COUNTIFS($W$4:$W$3003,"&gt;"&amp;W2020)+COUNTIFS($W$4:W2020,W2020)-1)</f>
        <v/>
      </c>
      <c r="Y2020" s="175">
        <f>IF(OR(I2020="",'02_대상물건입력'!B19="",'02_대상물건입력'!B19&lt;=0),"",ABS(I2020-'02_대상물건입력'!B19)/'02_대상물건입력'!B19)</f>
        <v/>
      </c>
      <c r="Z2020" s="172">
        <f>IF(OR(Y2020="",'01_설정'!B31="",'01_설정'!B31&lt;=0,'01_설정'!B32="",'01_설정'!B32&lt;=0),"",MAX(0,(1-Y2020/'01_설정'!B32))*'01_설정'!B31)</f>
        <v/>
      </c>
    </row>
    <row r="2021" ht="17.25" customHeight="1">
      <c r="A2021" s="152">
        <f>IF(INDEX('04A_국토부원자료'!$A:$A,ROW()+1)="","",ROW()-3)</f>
        <v/>
      </c>
      <c r="B2021" s="48">
        <f>IFERROR(INDEX('04A_국토부원자료'!$A:$T,ROW()+1,MATCH("시군구",'04A_국토부원자료'!$A$4:$T$4,0)),"")</f>
        <v/>
      </c>
      <c r="C2021" s="48">
        <f>IF(B2021="","",IFERROR(INDEX('04A_국토부원자료'!$A:$T,ROW()+1,MATCH("번지",'04A_국토부원자료'!$A$4:$T$4,0)),""))</f>
        <v/>
      </c>
      <c r="D2021" s="48">
        <f>IF(B2021="","",IF(Q2021=1,'02_대상물건입력'!$B$8,IFERROR(INDEX('04A_국토부원자료'!$A:$T,ROW()+1,MATCH("단지명",'04A_국토부원자료'!$A$4:$T$4,0)),"")))</f>
        <v/>
      </c>
      <c r="E2021" s="172">
        <f>IFERROR(VALUE(SUBSTITUTE(INDEX('04A_국토부원자료'!$A:$T,ROW()+1,MATCH("전용면적(㎡)",'04A_국토부원자료'!$A$4:$T$4,0)),",","")),"")</f>
        <v/>
      </c>
      <c r="F20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21" s="51">
        <f>IFERROR(VALUE(SUBSTITUTE(INDEX('04A_국토부원자료'!$A:$T,ROW()+1,MATCH("거래금액(만원)",'04A_국토부원자료'!$A$4:$T$4,0)),",","")),"")</f>
        <v/>
      </c>
      <c r="H2021" s="174">
        <f>IF(G2021="","",G2021*10000)</f>
        <v/>
      </c>
      <c r="I2021" s="174">
        <f>IFERROR(IF(AND(H2021&gt;0,E2021&gt;0),H2021/E2021,""),"")</f>
        <v/>
      </c>
      <c r="J2021" s="152">
        <f>IFERROR(VALUE(SUBSTITUTE(INDEX('04A_국토부원자료'!$A:$T,ROW()+1,MATCH("층",'04A_국토부원자료'!$A$4:$T$4,0)),",","")),"")</f>
        <v/>
      </c>
      <c r="K2021" s="152">
        <f>IFERROR(VALUE(SUBSTITUTE(INDEX('04A_국토부원자료'!$A:$T,ROW()+1,MATCH("건축년도",'04A_국토부원자료'!$A$4:$T$4,0)),",","")),"")</f>
        <v/>
      </c>
      <c r="L2021" s="48">
        <f>IFERROR(INDEX('04A_국토부원자료'!$A:$T,ROW()+1,MATCH("도로명",'04A_국토부원자료'!$A$4:$T$4,0)),"")</f>
        <v/>
      </c>
      <c r="M2021" s="48">
        <f>IFERROR(INDEX('04A_국토부원자료'!$A:$T,ROW()+1,MATCH("거래유형",'04A_국토부원자료'!$A$4:$T$4,0)),"")</f>
        <v/>
      </c>
      <c r="N2021" s="152">
        <f>IF(B2021="","",IF('02_대상물건입력'!B5="",1,IF(ISNUMBER(SEARCH('02_대상물건입력'!B5,B2021)),1,0)))</f>
        <v/>
      </c>
      <c r="O2021" s="152">
        <f>IF(B2021="","",IF('02_대상물건입력'!B6="",1,IF(ISNUMBER(SEARCH('02_대상물건입력'!B6,B2021)),1,0)))</f>
        <v/>
      </c>
      <c r="P2021" s="152">
        <f>IF(L2021="","",IF('02_대상물건입력'!B15="",0,IF(ISNUMBER(SEARCH('02_대상물건입력'!B15,L2021)),1,0)))</f>
        <v/>
      </c>
      <c r="Q2021" s="152">
        <f>IF(OR(C2021="",L2021=""),0,IF(AND(TRIM(C2021)=TRIM(RIGHT(SUBSTITUTE(TRIM('02_대상물건입력'!$B$7)," ",REPT(" ",99)),99)),IF('02_대상물건입력'!B15="",TRUE(),ISNUMBER(SEARCH('02_대상물건입력'!B15,L2021)))),1,0))</f>
        <v/>
      </c>
      <c r="R2021" s="175">
        <f>IFERROR(ABS(E2021-'02_대상물건입력'!B11)/'02_대상물건입력'!B11,"")</f>
        <v/>
      </c>
      <c r="S2021" s="152">
        <f>IFERROR(ABS(J2021-'02_대상물건입력'!B10),"")</f>
        <v/>
      </c>
      <c r="T2021" s="152">
        <f>IFERROR(ABS('01_설정'!B4-F2021),"")</f>
        <v/>
      </c>
      <c r="U2021" s="152">
        <f>IFERROR(ABS(K2021-YEAR('02_대상물건입력'!B14)),"")</f>
        <v/>
      </c>
      <c r="V2021" s="152">
        <f>IF(B2021="","",IF(AND(E2021&gt;0,F2021&gt;0,H2021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2021=1,TRUE()),R2021&lt;='01_설정'!B5,S2021&lt;='01_설정'!B6,T2021&lt;='01_설정'!B7,U2021&lt;='01_설정'!B8),"Y",""))</f>
        <v/>
      </c>
      <c r="W2021" s="172">
        <f>IF(V2021&lt;&gt;"Y","",MAX(0,(1-R2021/'01_설정'!B5))*'01_설정'!B14+MAX(0,(1-S2021/'01_설정'!B6))*'01_설정'!B15+MAX(0,(1-T2021/'01_설정'!B7))*'01_설정'!B16+MAX(0,(1-U2021/'01_설정'!B8))*'01_설정'!B17+O2021*'01_설정'!B11+Q2021*'01_설정'!B12+P2021*'01_설정'!B13+IF(Z2021="",0,Z2021))</f>
        <v/>
      </c>
      <c r="X2021" s="152">
        <f>IF(W2021="","",1+COUNTIFS($W$4:$W$3003,"&gt;"&amp;W2021)+COUNTIFS($W$4:W2021,W2021)-1)</f>
        <v/>
      </c>
      <c r="Y2021" s="175">
        <f>IF(OR(I2021="",'02_대상물건입력'!B19="",'02_대상물건입력'!B19&lt;=0),"",ABS(I2021-'02_대상물건입력'!B19)/'02_대상물건입력'!B19)</f>
        <v/>
      </c>
      <c r="Z2021" s="172">
        <f>IF(OR(Y2021="",'01_설정'!B31="",'01_설정'!B31&lt;=0,'01_설정'!B32="",'01_설정'!B32&lt;=0),"",MAX(0,(1-Y2021/'01_설정'!B32))*'01_설정'!B31)</f>
        <v/>
      </c>
    </row>
    <row r="2022" ht="17.25" customHeight="1">
      <c r="A2022" s="152">
        <f>IF(INDEX('04A_국토부원자료'!$A:$A,ROW()+1)="","",ROW()-3)</f>
        <v/>
      </c>
      <c r="B2022" s="48">
        <f>IFERROR(INDEX('04A_국토부원자료'!$A:$T,ROW()+1,MATCH("시군구",'04A_국토부원자료'!$A$4:$T$4,0)),"")</f>
        <v/>
      </c>
      <c r="C2022" s="48">
        <f>IF(B2022="","",IFERROR(INDEX('04A_국토부원자료'!$A:$T,ROW()+1,MATCH("번지",'04A_국토부원자료'!$A$4:$T$4,0)),""))</f>
        <v/>
      </c>
      <c r="D2022" s="48">
        <f>IF(B2022="","",IF(Q2022=1,'02_대상물건입력'!$B$8,IFERROR(INDEX('04A_국토부원자료'!$A:$T,ROW()+1,MATCH("단지명",'04A_국토부원자료'!$A$4:$T$4,0)),"")))</f>
        <v/>
      </c>
      <c r="E2022" s="172">
        <f>IFERROR(VALUE(SUBSTITUTE(INDEX('04A_국토부원자료'!$A:$T,ROW()+1,MATCH("전용면적(㎡)",'04A_국토부원자료'!$A$4:$T$4,0)),",","")),"")</f>
        <v/>
      </c>
      <c r="F20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22" s="51">
        <f>IFERROR(VALUE(SUBSTITUTE(INDEX('04A_국토부원자료'!$A:$T,ROW()+1,MATCH("거래금액(만원)",'04A_국토부원자료'!$A$4:$T$4,0)),",","")),"")</f>
        <v/>
      </c>
      <c r="H2022" s="174">
        <f>IF(G2022="","",G2022*10000)</f>
        <v/>
      </c>
      <c r="I2022" s="174">
        <f>IFERROR(IF(AND(H2022&gt;0,E2022&gt;0),H2022/E2022,""),"")</f>
        <v/>
      </c>
      <c r="J2022" s="152">
        <f>IFERROR(VALUE(SUBSTITUTE(INDEX('04A_국토부원자료'!$A:$T,ROW()+1,MATCH("층",'04A_국토부원자료'!$A$4:$T$4,0)),",","")),"")</f>
        <v/>
      </c>
      <c r="K2022" s="152">
        <f>IFERROR(VALUE(SUBSTITUTE(INDEX('04A_국토부원자료'!$A:$T,ROW()+1,MATCH("건축년도",'04A_국토부원자료'!$A$4:$T$4,0)),",","")),"")</f>
        <v/>
      </c>
      <c r="L2022" s="48">
        <f>IFERROR(INDEX('04A_국토부원자료'!$A:$T,ROW()+1,MATCH("도로명",'04A_국토부원자료'!$A$4:$T$4,0)),"")</f>
        <v/>
      </c>
      <c r="M2022" s="48">
        <f>IFERROR(INDEX('04A_국토부원자료'!$A:$T,ROW()+1,MATCH("거래유형",'04A_국토부원자료'!$A$4:$T$4,0)),"")</f>
        <v/>
      </c>
      <c r="N2022" s="152">
        <f>IF(B2022="","",IF('02_대상물건입력'!B5="",1,IF(ISNUMBER(SEARCH('02_대상물건입력'!B5,B2022)),1,0)))</f>
        <v/>
      </c>
      <c r="O2022" s="152">
        <f>IF(B2022="","",IF('02_대상물건입력'!B6="",1,IF(ISNUMBER(SEARCH('02_대상물건입력'!B6,B2022)),1,0)))</f>
        <v/>
      </c>
      <c r="P2022" s="152">
        <f>IF(L2022="","",IF('02_대상물건입력'!B15="",0,IF(ISNUMBER(SEARCH('02_대상물건입력'!B15,L2022)),1,0)))</f>
        <v/>
      </c>
      <c r="Q2022" s="152">
        <f>IF(OR(C2022="",L2022=""),0,IF(AND(TRIM(C2022)=TRIM(RIGHT(SUBSTITUTE(TRIM('02_대상물건입력'!$B$7)," ",REPT(" ",99)),99)),IF('02_대상물건입력'!B15="",TRUE(),ISNUMBER(SEARCH('02_대상물건입력'!B15,L2022)))),1,0))</f>
        <v/>
      </c>
      <c r="R2022" s="175">
        <f>IFERROR(ABS(E2022-'02_대상물건입력'!B11)/'02_대상물건입력'!B11,"")</f>
        <v/>
      </c>
      <c r="S2022" s="152">
        <f>IFERROR(ABS(J2022-'02_대상물건입력'!B10),"")</f>
        <v/>
      </c>
      <c r="T2022" s="152">
        <f>IFERROR(ABS('01_설정'!B4-F2022),"")</f>
        <v/>
      </c>
      <c r="U2022" s="152">
        <f>IFERROR(ABS(K2022-YEAR('02_대상물건입력'!B14)),"")</f>
        <v/>
      </c>
      <c r="V2022" s="152">
        <f>IF(B2022="","",IF(AND(E2022&gt;0,F2022&gt;0,H2022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2022=1,TRUE()),R2022&lt;='01_설정'!B5,S2022&lt;='01_설정'!B6,T2022&lt;='01_설정'!B7,U2022&lt;='01_설정'!B8),"Y",""))</f>
        <v/>
      </c>
      <c r="W2022" s="172">
        <f>IF(V2022&lt;&gt;"Y","",MAX(0,(1-R2022/'01_설정'!B5))*'01_설정'!B14+MAX(0,(1-S2022/'01_설정'!B6))*'01_설정'!B15+MAX(0,(1-T2022/'01_설정'!B7))*'01_설정'!B16+MAX(0,(1-U2022/'01_설정'!B8))*'01_설정'!B17+O2022*'01_설정'!B11+Q2022*'01_설정'!B12+P2022*'01_설정'!B13+IF(Z2022="",0,Z2022))</f>
        <v/>
      </c>
      <c r="X2022" s="152">
        <f>IF(W2022="","",1+COUNTIFS($W$4:$W$3003,"&gt;"&amp;W2022)+COUNTIFS($W$4:W2022,W2022)-1)</f>
        <v/>
      </c>
      <c r="Y2022" s="175">
        <f>IF(OR(I2022="",'02_대상물건입력'!B19="",'02_대상물건입력'!B19&lt;=0),"",ABS(I2022-'02_대상물건입력'!B19)/'02_대상물건입력'!B19)</f>
        <v/>
      </c>
      <c r="Z2022" s="172">
        <f>IF(OR(Y2022="",'01_설정'!B31="",'01_설정'!B31&lt;=0,'01_설정'!B32="",'01_설정'!B32&lt;=0),"",MAX(0,(1-Y2022/'01_설정'!B32))*'01_설정'!B31)</f>
        <v/>
      </c>
    </row>
    <row r="2023" ht="17.25" customHeight="1">
      <c r="A2023" s="152">
        <f>IF(INDEX('04A_국토부원자료'!$A:$A,ROW()+1)="","",ROW()-3)</f>
        <v/>
      </c>
      <c r="B2023" s="48">
        <f>IFERROR(INDEX('04A_국토부원자료'!$A:$T,ROW()+1,MATCH("시군구",'04A_국토부원자료'!$A$4:$T$4,0)),"")</f>
        <v/>
      </c>
      <c r="C2023" s="48">
        <f>IF(B2023="","",IFERROR(INDEX('04A_국토부원자료'!$A:$T,ROW()+1,MATCH("번지",'04A_국토부원자료'!$A$4:$T$4,0)),""))</f>
        <v/>
      </c>
      <c r="D2023" s="48">
        <f>IF(B2023="","",IF(Q2023=1,'02_대상물건입력'!$B$8,IFERROR(INDEX('04A_국토부원자료'!$A:$T,ROW()+1,MATCH("단지명",'04A_국토부원자료'!$A$4:$T$4,0)),"")))</f>
        <v/>
      </c>
      <c r="E2023" s="172">
        <f>IFERROR(VALUE(SUBSTITUTE(INDEX('04A_국토부원자료'!$A:$T,ROW()+1,MATCH("전용면적(㎡)",'04A_국토부원자료'!$A$4:$T$4,0)),",","")),"")</f>
        <v/>
      </c>
      <c r="F20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23" s="51">
        <f>IFERROR(VALUE(SUBSTITUTE(INDEX('04A_국토부원자료'!$A:$T,ROW()+1,MATCH("거래금액(만원)",'04A_국토부원자료'!$A$4:$T$4,0)),",","")),"")</f>
        <v/>
      </c>
      <c r="H2023" s="174">
        <f>IF(G2023="","",G2023*10000)</f>
        <v/>
      </c>
      <c r="I2023" s="174">
        <f>IFERROR(IF(AND(H2023&gt;0,E2023&gt;0),H2023/E2023,""),"")</f>
        <v/>
      </c>
      <c r="J2023" s="152">
        <f>IFERROR(VALUE(SUBSTITUTE(INDEX('04A_국토부원자료'!$A:$T,ROW()+1,MATCH("층",'04A_국토부원자료'!$A$4:$T$4,0)),",","")),"")</f>
        <v/>
      </c>
      <c r="K2023" s="152">
        <f>IFERROR(VALUE(SUBSTITUTE(INDEX('04A_국토부원자료'!$A:$T,ROW()+1,MATCH("건축년도",'04A_국토부원자료'!$A$4:$T$4,0)),",","")),"")</f>
        <v/>
      </c>
      <c r="L2023" s="48">
        <f>IFERROR(INDEX('04A_국토부원자료'!$A:$T,ROW()+1,MATCH("도로명",'04A_국토부원자료'!$A$4:$T$4,0)),"")</f>
        <v/>
      </c>
      <c r="M2023" s="48">
        <f>IFERROR(INDEX('04A_국토부원자료'!$A:$T,ROW()+1,MATCH("거래유형",'04A_국토부원자료'!$A$4:$T$4,0)),"")</f>
        <v/>
      </c>
      <c r="N2023" s="152">
        <f>IF(B2023="","",IF('02_대상물건입력'!B5="",1,IF(ISNUMBER(SEARCH('02_대상물건입력'!B5,B2023)),1,0)))</f>
        <v/>
      </c>
      <c r="O2023" s="152">
        <f>IF(B2023="","",IF('02_대상물건입력'!B6="",1,IF(ISNUMBER(SEARCH('02_대상물건입력'!B6,B2023)),1,0)))</f>
        <v/>
      </c>
      <c r="P2023" s="152">
        <f>IF(L2023="","",IF('02_대상물건입력'!B15="",0,IF(ISNUMBER(SEARCH('02_대상물건입력'!B15,L2023)),1,0)))</f>
        <v/>
      </c>
      <c r="Q2023" s="152">
        <f>IF(OR(C2023="",L2023=""),0,IF(AND(TRIM(C2023)=TRIM(RIGHT(SUBSTITUTE(TRIM('02_대상물건입력'!$B$7)," ",REPT(" ",99)),99)),IF('02_대상물건입력'!B15="",TRUE(),ISNUMBER(SEARCH('02_대상물건입력'!B15,L2023)))),1,0))</f>
        <v/>
      </c>
      <c r="R2023" s="175">
        <f>IFERROR(ABS(E2023-'02_대상물건입력'!B11)/'02_대상물건입력'!B11,"")</f>
        <v/>
      </c>
      <c r="S2023" s="152">
        <f>IFERROR(ABS(J2023-'02_대상물건입력'!B10),"")</f>
        <v/>
      </c>
      <c r="T2023" s="152">
        <f>IFERROR(ABS('01_설정'!B4-F2023),"")</f>
        <v/>
      </c>
      <c r="U2023" s="152">
        <f>IFERROR(ABS(K2023-YEAR('02_대상물건입력'!B14)),"")</f>
        <v/>
      </c>
      <c r="V2023" s="152">
        <f>IF(B2023="","",IF(AND(E2023&gt;0,F2023&gt;0,H2023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2023=1,TRUE()),R2023&lt;='01_설정'!B5,S2023&lt;='01_설정'!B6,T2023&lt;='01_설정'!B7,U2023&lt;='01_설정'!B8),"Y",""))</f>
        <v/>
      </c>
      <c r="W2023" s="172">
        <f>IF(V2023&lt;&gt;"Y","",MAX(0,(1-R2023/'01_설정'!B5))*'01_설정'!B14+MAX(0,(1-S2023/'01_설정'!B6))*'01_설정'!B15+MAX(0,(1-T2023/'01_설정'!B7))*'01_설정'!B16+MAX(0,(1-U2023/'01_설정'!B8))*'01_설정'!B17+O2023*'01_설정'!B11+Q2023*'01_설정'!B12+P2023*'01_설정'!B13+IF(Z2023="",0,Z2023))</f>
        <v/>
      </c>
      <c r="X2023" s="152">
        <f>IF(W2023="","",1+COUNTIFS($W$4:$W$3003,"&gt;"&amp;W2023)+COUNTIFS($W$4:W2023,W2023)-1)</f>
        <v/>
      </c>
      <c r="Y2023" s="175">
        <f>IF(OR(I2023="",'02_대상물건입력'!B19="",'02_대상물건입력'!B19&lt;=0),"",ABS(I2023-'02_대상물건입력'!B19)/'02_대상물건입력'!B19)</f>
        <v/>
      </c>
      <c r="Z2023" s="172">
        <f>IF(OR(Y2023="",'01_설정'!B31="",'01_설정'!B31&lt;=0,'01_설정'!B32="",'01_설정'!B32&lt;=0),"",MAX(0,(1-Y2023/'01_설정'!B32))*'01_설정'!B31)</f>
        <v/>
      </c>
    </row>
    <row r="2024" ht="17.25" customHeight="1">
      <c r="A2024" s="152">
        <f>IF(INDEX('04A_국토부원자료'!$A:$A,ROW()+1)="","",ROW()-3)</f>
        <v/>
      </c>
      <c r="B2024" s="48">
        <f>IFERROR(INDEX('04A_국토부원자료'!$A:$T,ROW()+1,MATCH("시군구",'04A_국토부원자료'!$A$4:$T$4,0)),"")</f>
        <v/>
      </c>
      <c r="C2024" s="48">
        <f>IF(B2024="","",IFERROR(INDEX('04A_국토부원자료'!$A:$T,ROW()+1,MATCH("번지",'04A_국토부원자료'!$A$4:$T$4,0)),""))</f>
        <v/>
      </c>
      <c r="D2024" s="48">
        <f>IF(B2024="","",IF(Q2024=1,'02_대상물건입력'!$B$8,IFERROR(INDEX('04A_국토부원자료'!$A:$T,ROW()+1,MATCH("단지명",'04A_국토부원자료'!$A$4:$T$4,0)),"")))</f>
        <v/>
      </c>
      <c r="E2024" s="172">
        <f>IFERROR(VALUE(SUBSTITUTE(INDEX('04A_국토부원자료'!$A:$T,ROW()+1,MATCH("전용면적(㎡)",'04A_국토부원자료'!$A$4:$T$4,0)),",","")),"")</f>
        <v/>
      </c>
      <c r="F20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24" s="51">
        <f>IFERROR(VALUE(SUBSTITUTE(INDEX('04A_국토부원자료'!$A:$T,ROW()+1,MATCH("거래금액(만원)",'04A_국토부원자료'!$A$4:$T$4,0)),",","")),"")</f>
        <v/>
      </c>
      <c r="H2024" s="174">
        <f>IF(G2024="","",G2024*10000)</f>
        <v/>
      </c>
      <c r="I2024" s="174">
        <f>IFERROR(IF(AND(H2024&gt;0,E2024&gt;0),H2024/E2024,""),"")</f>
        <v/>
      </c>
      <c r="J2024" s="152">
        <f>IFERROR(VALUE(SUBSTITUTE(INDEX('04A_국토부원자료'!$A:$T,ROW()+1,MATCH("층",'04A_국토부원자료'!$A$4:$T$4,0)),",","")),"")</f>
        <v/>
      </c>
      <c r="K2024" s="152">
        <f>IFERROR(VALUE(SUBSTITUTE(INDEX('04A_국토부원자료'!$A:$T,ROW()+1,MATCH("건축년도",'04A_국토부원자료'!$A$4:$T$4,0)),",","")),"")</f>
        <v/>
      </c>
      <c r="L2024" s="48">
        <f>IFERROR(INDEX('04A_국토부원자료'!$A:$T,ROW()+1,MATCH("도로명",'04A_국토부원자료'!$A$4:$T$4,0)),"")</f>
        <v/>
      </c>
      <c r="M2024" s="48">
        <f>IFERROR(INDEX('04A_국토부원자료'!$A:$T,ROW()+1,MATCH("거래유형",'04A_국토부원자료'!$A$4:$T$4,0)),"")</f>
        <v/>
      </c>
      <c r="N2024" s="152">
        <f>IF(B2024="","",IF('02_대상물건입력'!B5="",1,IF(ISNUMBER(SEARCH('02_대상물건입력'!B5,B2024)),1,0)))</f>
        <v/>
      </c>
      <c r="O2024" s="152">
        <f>IF(B2024="","",IF('02_대상물건입력'!B6="",1,IF(ISNUMBER(SEARCH('02_대상물건입력'!B6,B2024)),1,0)))</f>
        <v/>
      </c>
      <c r="P2024" s="152">
        <f>IF(L2024="","",IF('02_대상물건입력'!B15="",0,IF(ISNUMBER(SEARCH('02_대상물건입력'!B15,L2024)),1,0)))</f>
        <v/>
      </c>
      <c r="Q2024" s="152">
        <f>IF(OR(C2024="",L2024=""),0,IF(AND(TRIM(C2024)=TRIM(RIGHT(SUBSTITUTE(TRIM('02_대상물건입력'!$B$7)," ",REPT(" ",99)),99)),IF('02_대상물건입력'!B15="",TRUE(),ISNUMBER(SEARCH('02_대상물건입력'!B15,L2024)))),1,0))</f>
        <v/>
      </c>
      <c r="R2024" s="175">
        <f>IFERROR(ABS(E2024-'02_대상물건입력'!B11)/'02_대상물건입력'!B11,"")</f>
        <v/>
      </c>
      <c r="S2024" s="152">
        <f>IFERROR(ABS(J2024-'02_대상물건입력'!B10),"")</f>
        <v/>
      </c>
      <c r="T2024" s="152">
        <f>IFERROR(ABS('01_설정'!B4-F2024),"")</f>
        <v/>
      </c>
      <c r="U2024" s="152">
        <f>IFERROR(ABS(K2024-YEAR('02_대상물건입력'!B14)),"")</f>
        <v/>
      </c>
      <c r="V2024" s="152">
        <f>IF(B2024="","",IF(AND(E2024&gt;0,F2024&gt;0,H2024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2024=1,TRUE()),R2024&lt;='01_설정'!B5,S2024&lt;='01_설정'!B6,T2024&lt;='01_설정'!B7,U2024&lt;='01_설정'!B8),"Y",""))</f>
        <v/>
      </c>
      <c r="W2024" s="172">
        <f>IF(V2024&lt;&gt;"Y","",MAX(0,(1-R2024/'01_설정'!B5))*'01_설정'!B14+MAX(0,(1-S2024/'01_설정'!B6))*'01_설정'!B15+MAX(0,(1-T2024/'01_설정'!B7))*'01_설정'!B16+MAX(0,(1-U2024/'01_설정'!B8))*'01_설정'!B17+O2024*'01_설정'!B11+Q2024*'01_설정'!B12+P2024*'01_설정'!B13+IF(Z2024="",0,Z2024))</f>
        <v/>
      </c>
      <c r="X2024" s="152">
        <f>IF(W2024="","",1+COUNTIFS($W$4:$W$3003,"&gt;"&amp;W2024)+COUNTIFS($W$4:W2024,W2024)-1)</f>
        <v/>
      </c>
      <c r="Y2024" s="175">
        <f>IF(OR(I2024="",'02_대상물건입력'!B19="",'02_대상물건입력'!B19&lt;=0),"",ABS(I2024-'02_대상물건입력'!B19)/'02_대상물건입력'!B19)</f>
        <v/>
      </c>
      <c r="Z2024" s="172">
        <f>IF(OR(Y2024="",'01_설정'!B31="",'01_설정'!B31&lt;=0,'01_설정'!B32="",'01_설정'!B32&lt;=0),"",MAX(0,(1-Y2024/'01_설정'!B32))*'01_설정'!B31)</f>
        <v/>
      </c>
    </row>
    <row r="2025" ht="17.25" customHeight="1">
      <c r="A2025" s="152">
        <f>IF(INDEX('04A_국토부원자료'!$A:$A,ROW()+1)="","",ROW()-3)</f>
        <v/>
      </c>
      <c r="B2025" s="48">
        <f>IFERROR(INDEX('04A_국토부원자료'!$A:$T,ROW()+1,MATCH("시군구",'04A_국토부원자료'!$A$4:$T$4,0)),"")</f>
        <v/>
      </c>
      <c r="C2025" s="48">
        <f>IF(B2025="","",IFERROR(INDEX('04A_국토부원자료'!$A:$T,ROW()+1,MATCH("번지",'04A_국토부원자료'!$A$4:$T$4,0)),""))</f>
        <v/>
      </c>
      <c r="D2025" s="48">
        <f>IF(B2025="","",IF(Q2025=1,'02_대상물건입력'!$B$8,IFERROR(INDEX('04A_국토부원자료'!$A:$T,ROW()+1,MATCH("단지명",'04A_국토부원자료'!$A$4:$T$4,0)),"")))</f>
        <v/>
      </c>
      <c r="E2025" s="172">
        <f>IFERROR(VALUE(SUBSTITUTE(INDEX('04A_국토부원자료'!$A:$T,ROW()+1,MATCH("전용면적(㎡)",'04A_국토부원자료'!$A$4:$T$4,0)),",","")),"")</f>
        <v/>
      </c>
      <c r="F20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25" s="51">
        <f>IFERROR(VALUE(SUBSTITUTE(INDEX('04A_국토부원자료'!$A:$T,ROW()+1,MATCH("거래금액(만원)",'04A_국토부원자료'!$A$4:$T$4,0)),",","")),"")</f>
        <v/>
      </c>
      <c r="H2025" s="174">
        <f>IF(G2025="","",G2025*10000)</f>
        <v/>
      </c>
      <c r="I2025" s="174">
        <f>IFERROR(IF(AND(H2025&gt;0,E2025&gt;0),H2025/E2025,""),"")</f>
        <v/>
      </c>
      <c r="J2025" s="152">
        <f>IFERROR(VALUE(SUBSTITUTE(INDEX('04A_국토부원자료'!$A:$T,ROW()+1,MATCH("층",'04A_국토부원자료'!$A$4:$T$4,0)),",","")),"")</f>
        <v/>
      </c>
      <c r="K2025" s="152">
        <f>IFERROR(VALUE(SUBSTITUTE(INDEX('04A_국토부원자료'!$A:$T,ROW()+1,MATCH("건축년도",'04A_국토부원자료'!$A$4:$T$4,0)),",","")),"")</f>
        <v/>
      </c>
      <c r="L2025" s="48">
        <f>IFERROR(INDEX('04A_국토부원자료'!$A:$T,ROW()+1,MATCH("도로명",'04A_국토부원자료'!$A$4:$T$4,0)),"")</f>
        <v/>
      </c>
      <c r="M2025" s="48">
        <f>IFERROR(INDEX('04A_국토부원자료'!$A:$T,ROW()+1,MATCH("거래유형",'04A_국토부원자료'!$A$4:$T$4,0)),"")</f>
        <v/>
      </c>
      <c r="N2025" s="152">
        <f>IF(B2025="","",IF('02_대상물건입력'!B5="",1,IF(ISNUMBER(SEARCH('02_대상물건입력'!B5,B2025)),1,0)))</f>
        <v/>
      </c>
      <c r="O2025" s="152">
        <f>IF(B2025="","",IF('02_대상물건입력'!B6="",1,IF(ISNUMBER(SEARCH('02_대상물건입력'!B6,B2025)),1,0)))</f>
        <v/>
      </c>
      <c r="P2025" s="152">
        <f>IF(L2025="","",IF('02_대상물건입력'!B15="",0,IF(ISNUMBER(SEARCH('02_대상물건입력'!B15,L2025)),1,0)))</f>
        <v/>
      </c>
      <c r="Q2025" s="152">
        <f>IF(OR(C2025="",L2025=""),0,IF(AND(TRIM(C2025)=TRIM(RIGHT(SUBSTITUTE(TRIM('02_대상물건입력'!$B$7)," ",REPT(" ",99)),99)),IF('02_대상물건입력'!B15="",TRUE(),ISNUMBER(SEARCH('02_대상물건입력'!B15,L2025)))),1,0))</f>
        <v/>
      </c>
      <c r="R2025" s="175">
        <f>IFERROR(ABS(E2025-'02_대상물건입력'!B11)/'02_대상물건입력'!B11,"")</f>
        <v/>
      </c>
      <c r="S2025" s="152">
        <f>IFERROR(ABS(J2025-'02_대상물건입력'!B10),"")</f>
        <v/>
      </c>
      <c r="T2025" s="152">
        <f>IFERROR(ABS('01_설정'!B4-F2025),"")</f>
        <v/>
      </c>
      <c r="U2025" s="152">
        <f>IFERROR(ABS(K2025-YEAR('02_대상물건입력'!B14)),"")</f>
        <v/>
      </c>
      <c r="V2025" s="152">
        <f>IF(B2025="","",IF(AND(E2025&gt;0,F2025&gt;0,H2025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2025=1,TRUE()),R2025&lt;='01_설정'!B5,S2025&lt;='01_설정'!B6,T2025&lt;='01_설정'!B7,U2025&lt;='01_설정'!B8),"Y",""))</f>
        <v/>
      </c>
      <c r="W2025" s="172">
        <f>IF(V2025&lt;&gt;"Y","",MAX(0,(1-R2025/'01_설정'!B5))*'01_설정'!B14+MAX(0,(1-S2025/'01_설정'!B6))*'01_설정'!B15+MAX(0,(1-T2025/'01_설정'!B7))*'01_설정'!B16+MAX(0,(1-U2025/'01_설정'!B8))*'01_설정'!B17+O2025*'01_설정'!B11+Q2025*'01_설정'!B12+P2025*'01_설정'!B13+IF(Z2025="",0,Z2025))</f>
        <v/>
      </c>
      <c r="X2025" s="152">
        <f>IF(W2025="","",1+COUNTIFS($W$4:$W$3003,"&gt;"&amp;W2025)+COUNTIFS($W$4:W2025,W2025)-1)</f>
        <v/>
      </c>
      <c r="Y2025" s="175">
        <f>IF(OR(I2025="",'02_대상물건입력'!B19="",'02_대상물건입력'!B19&lt;=0),"",ABS(I2025-'02_대상물건입력'!B19)/'02_대상물건입력'!B19)</f>
        <v/>
      </c>
      <c r="Z2025" s="172">
        <f>IF(OR(Y2025="",'01_설정'!B31="",'01_설정'!B31&lt;=0,'01_설정'!B32="",'01_설정'!B32&lt;=0),"",MAX(0,(1-Y2025/'01_설정'!B32))*'01_설정'!B31)</f>
        <v/>
      </c>
    </row>
    <row r="2026" ht="17.25" customHeight="1">
      <c r="A2026" s="152">
        <f>IF(INDEX('04A_국토부원자료'!$A:$A,ROW()+1)="","",ROW()-3)</f>
        <v/>
      </c>
      <c r="B2026" s="48">
        <f>IFERROR(INDEX('04A_국토부원자료'!$A:$T,ROW()+1,MATCH("시군구",'04A_국토부원자료'!$A$4:$T$4,0)),"")</f>
        <v/>
      </c>
      <c r="C2026" s="48">
        <f>IF(B2026="","",IFERROR(INDEX('04A_국토부원자료'!$A:$T,ROW()+1,MATCH("번지",'04A_국토부원자료'!$A$4:$T$4,0)),""))</f>
        <v/>
      </c>
      <c r="D2026" s="48">
        <f>IF(B2026="","",IF(Q2026=1,'02_대상물건입력'!$B$8,IFERROR(INDEX('04A_국토부원자료'!$A:$T,ROW()+1,MATCH("단지명",'04A_국토부원자료'!$A$4:$T$4,0)),"")))</f>
        <v/>
      </c>
      <c r="E2026" s="172">
        <f>IFERROR(VALUE(SUBSTITUTE(INDEX('04A_국토부원자료'!$A:$T,ROW()+1,MATCH("전용면적(㎡)",'04A_국토부원자료'!$A$4:$T$4,0)),",","")),"")</f>
        <v/>
      </c>
      <c r="F20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26" s="51">
        <f>IFERROR(VALUE(SUBSTITUTE(INDEX('04A_국토부원자료'!$A:$T,ROW()+1,MATCH("거래금액(만원)",'04A_국토부원자료'!$A$4:$T$4,0)),",","")),"")</f>
        <v/>
      </c>
      <c r="H2026" s="174">
        <f>IF(G2026="","",G2026*10000)</f>
        <v/>
      </c>
      <c r="I2026" s="174">
        <f>IFERROR(IF(AND(H2026&gt;0,E2026&gt;0),H2026/E2026,""),"")</f>
        <v/>
      </c>
      <c r="J2026" s="152">
        <f>IFERROR(VALUE(SUBSTITUTE(INDEX('04A_국토부원자료'!$A:$T,ROW()+1,MATCH("층",'04A_국토부원자료'!$A$4:$T$4,0)),",","")),"")</f>
        <v/>
      </c>
      <c r="K2026" s="152">
        <f>IFERROR(VALUE(SUBSTITUTE(INDEX('04A_국토부원자료'!$A:$T,ROW()+1,MATCH("건축년도",'04A_국토부원자료'!$A$4:$T$4,0)),",","")),"")</f>
        <v/>
      </c>
      <c r="L2026" s="48">
        <f>IFERROR(INDEX('04A_국토부원자료'!$A:$T,ROW()+1,MATCH("도로명",'04A_국토부원자료'!$A$4:$T$4,0)),"")</f>
        <v/>
      </c>
      <c r="M2026" s="48">
        <f>IFERROR(INDEX('04A_국토부원자료'!$A:$T,ROW()+1,MATCH("거래유형",'04A_국토부원자료'!$A$4:$T$4,0)),"")</f>
        <v/>
      </c>
      <c r="N2026" s="152">
        <f>IF(B2026="","",IF('02_대상물건입력'!B5="",1,IF(ISNUMBER(SEARCH('02_대상물건입력'!B5,B2026)),1,0)))</f>
        <v/>
      </c>
      <c r="O2026" s="152">
        <f>IF(B2026="","",IF('02_대상물건입력'!B6="",1,IF(ISNUMBER(SEARCH('02_대상물건입력'!B6,B2026)),1,0)))</f>
        <v/>
      </c>
      <c r="P2026" s="152">
        <f>IF(L2026="","",IF('02_대상물건입력'!B15="",0,IF(ISNUMBER(SEARCH('02_대상물건입력'!B15,L2026)),1,0)))</f>
        <v/>
      </c>
      <c r="Q2026" s="152">
        <f>IF(OR(C2026="",L2026=""),0,IF(AND(TRIM(C2026)=TRIM(RIGHT(SUBSTITUTE(TRIM('02_대상물건입력'!$B$7)," ",REPT(" ",99)),99)),IF('02_대상물건입력'!B15="",TRUE(),ISNUMBER(SEARCH('02_대상물건입력'!B15,L2026)))),1,0))</f>
        <v/>
      </c>
      <c r="R2026" s="175">
        <f>IFERROR(ABS(E2026-'02_대상물건입력'!B11)/'02_대상물건입력'!B11,"")</f>
        <v/>
      </c>
      <c r="S2026" s="152">
        <f>IFERROR(ABS(J2026-'02_대상물건입력'!B10),"")</f>
        <v/>
      </c>
      <c r="T2026" s="152">
        <f>IFERROR(ABS('01_설정'!B4-F2026),"")</f>
        <v/>
      </c>
      <c r="U2026" s="152">
        <f>IFERROR(ABS(K2026-YEAR('02_대상물건입력'!B14)),"")</f>
        <v/>
      </c>
      <c r="V2026" s="152">
        <f>IF(B2026="","",IF(AND(E2026&gt;0,F2026&gt;0,H2026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2026=1,TRUE()),R2026&lt;='01_설정'!B5,S2026&lt;='01_설정'!B6,T2026&lt;='01_설정'!B7,U2026&lt;='01_설정'!B8),"Y",""))</f>
        <v/>
      </c>
      <c r="W2026" s="172">
        <f>IF(V2026&lt;&gt;"Y","",MAX(0,(1-R2026/'01_설정'!B5))*'01_설정'!B14+MAX(0,(1-S2026/'01_설정'!B6))*'01_설정'!B15+MAX(0,(1-T2026/'01_설정'!B7))*'01_설정'!B16+MAX(0,(1-U2026/'01_설정'!B8))*'01_설정'!B17+O2026*'01_설정'!B11+Q2026*'01_설정'!B12+P2026*'01_설정'!B13+IF(Z2026="",0,Z2026))</f>
        <v/>
      </c>
      <c r="X2026" s="152">
        <f>IF(W2026="","",1+COUNTIFS($W$4:$W$3003,"&gt;"&amp;W2026)+COUNTIFS($W$4:W2026,W2026)-1)</f>
        <v/>
      </c>
      <c r="Y2026" s="175">
        <f>IF(OR(I2026="",'02_대상물건입력'!B19="",'02_대상물건입력'!B19&lt;=0),"",ABS(I2026-'02_대상물건입력'!B19)/'02_대상물건입력'!B19)</f>
        <v/>
      </c>
      <c r="Z2026" s="172">
        <f>IF(OR(Y2026="",'01_설정'!B31="",'01_설정'!B31&lt;=0,'01_설정'!B32="",'01_설정'!B32&lt;=0),"",MAX(0,(1-Y2026/'01_설정'!B32))*'01_설정'!B31)</f>
        <v/>
      </c>
    </row>
    <row r="2027" ht="17.25" customHeight="1">
      <c r="A2027" s="152">
        <f>IF(INDEX('04A_국토부원자료'!$A:$A,ROW()+1)="","",ROW()-3)</f>
        <v/>
      </c>
      <c r="B2027" s="48">
        <f>IFERROR(INDEX('04A_국토부원자료'!$A:$T,ROW()+1,MATCH("시군구",'04A_국토부원자료'!$A$4:$T$4,0)),"")</f>
        <v/>
      </c>
      <c r="C2027" s="48">
        <f>IF(B2027="","",IFERROR(INDEX('04A_국토부원자료'!$A:$T,ROW()+1,MATCH("번지",'04A_국토부원자료'!$A$4:$T$4,0)),""))</f>
        <v/>
      </c>
      <c r="D2027" s="48">
        <f>IF(B2027="","",IF(Q2027=1,'02_대상물건입력'!$B$8,IFERROR(INDEX('04A_국토부원자료'!$A:$T,ROW()+1,MATCH("단지명",'04A_국토부원자료'!$A$4:$T$4,0)),"")))</f>
        <v/>
      </c>
      <c r="E2027" s="172">
        <f>IFERROR(VALUE(SUBSTITUTE(INDEX('04A_국토부원자료'!$A:$T,ROW()+1,MATCH("전용면적(㎡)",'04A_국토부원자료'!$A$4:$T$4,0)),",","")),"")</f>
        <v/>
      </c>
      <c r="F20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27" s="51">
        <f>IFERROR(VALUE(SUBSTITUTE(INDEX('04A_국토부원자료'!$A:$T,ROW()+1,MATCH("거래금액(만원)",'04A_국토부원자료'!$A$4:$T$4,0)),",","")),"")</f>
        <v/>
      </c>
      <c r="H2027" s="174">
        <f>IF(G2027="","",G2027*10000)</f>
        <v/>
      </c>
      <c r="I2027" s="174">
        <f>IFERROR(IF(AND(H2027&gt;0,E2027&gt;0),H2027/E2027,""),"")</f>
        <v/>
      </c>
      <c r="J2027" s="152">
        <f>IFERROR(VALUE(SUBSTITUTE(INDEX('04A_국토부원자료'!$A:$T,ROW()+1,MATCH("층",'04A_국토부원자료'!$A$4:$T$4,0)),",","")),"")</f>
        <v/>
      </c>
      <c r="K2027" s="152">
        <f>IFERROR(VALUE(SUBSTITUTE(INDEX('04A_국토부원자료'!$A:$T,ROW()+1,MATCH("건축년도",'04A_국토부원자료'!$A$4:$T$4,0)),",","")),"")</f>
        <v/>
      </c>
      <c r="L2027" s="48">
        <f>IFERROR(INDEX('04A_국토부원자료'!$A:$T,ROW()+1,MATCH("도로명",'04A_국토부원자료'!$A$4:$T$4,0)),"")</f>
        <v/>
      </c>
      <c r="M2027" s="48">
        <f>IFERROR(INDEX('04A_국토부원자료'!$A:$T,ROW()+1,MATCH("거래유형",'04A_국토부원자료'!$A$4:$T$4,0)),"")</f>
        <v/>
      </c>
      <c r="N2027" s="152">
        <f>IF(B2027="","",IF('02_대상물건입력'!B5="",1,IF(ISNUMBER(SEARCH('02_대상물건입력'!B5,B2027)),1,0)))</f>
        <v/>
      </c>
      <c r="O2027" s="152">
        <f>IF(B2027="","",IF('02_대상물건입력'!B6="",1,IF(ISNUMBER(SEARCH('02_대상물건입력'!B6,B2027)),1,0)))</f>
        <v/>
      </c>
      <c r="P2027" s="152">
        <f>IF(L2027="","",IF('02_대상물건입력'!B15="",0,IF(ISNUMBER(SEARCH('02_대상물건입력'!B15,L2027)),1,0)))</f>
        <v/>
      </c>
      <c r="Q2027" s="152">
        <f>IF(OR(C2027="",L2027=""),0,IF(AND(TRIM(C2027)=TRIM(RIGHT(SUBSTITUTE(TRIM('02_대상물건입력'!$B$7)," ",REPT(" ",99)),99)),IF('02_대상물건입력'!B15="",TRUE(),ISNUMBER(SEARCH('02_대상물건입력'!B15,L2027)))),1,0))</f>
        <v/>
      </c>
      <c r="R2027" s="175">
        <f>IFERROR(ABS(E2027-'02_대상물건입력'!B11)/'02_대상물건입력'!B11,"")</f>
        <v/>
      </c>
      <c r="S2027" s="152">
        <f>IFERROR(ABS(J2027-'02_대상물건입력'!B10),"")</f>
        <v/>
      </c>
      <c r="T2027" s="152">
        <f>IFERROR(ABS('01_설정'!B4-F2027),"")</f>
        <v/>
      </c>
      <c r="U2027" s="152">
        <f>IFERROR(ABS(K2027-YEAR('02_대상물건입력'!B14)),"")</f>
        <v/>
      </c>
      <c r="V2027" s="152">
        <f>IF(B2027="","",IF(AND(E2027&gt;0,F2027&gt;0,H2027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2027=1,TRUE()),R2027&lt;='01_설정'!B5,S2027&lt;='01_설정'!B6,T2027&lt;='01_설정'!B7,U2027&lt;='01_설정'!B8),"Y",""))</f>
        <v/>
      </c>
      <c r="W2027" s="172">
        <f>IF(V2027&lt;&gt;"Y","",MAX(0,(1-R2027/'01_설정'!B5))*'01_설정'!B14+MAX(0,(1-S2027/'01_설정'!B6))*'01_설정'!B15+MAX(0,(1-T2027/'01_설정'!B7))*'01_설정'!B16+MAX(0,(1-U2027/'01_설정'!B8))*'01_설정'!B17+O2027*'01_설정'!B11+Q2027*'01_설정'!B12+P2027*'01_설정'!B13+IF(Z2027="",0,Z2027))</f>
        <v/>
      </c>
      <c r="X2027" s="152">
        <f>IF(W2027="","",1+COUNTIFS($W$4:$W$3003,"&gt;"&amp;W2027)+COUNTIFS($W$4:W2027,W2027)-1)</f>
        <v/>
      </c>
      <c r="Y2027" s="175">
        <f>IF(OR(I2027="",'02_대상물건입력'!B19="",'02_대상물건입력'!B19&lt;=0),"",ABS(I2027-'02_대상물건입력'!B19)/'02_대상물건입력'!B19)</f>
        <v/>
      </c>
      <c r="Z2027" s="172">
        <f>IF(OR(Y2027="",'01_설정'!B31="",'01_설정'!B31&lt;=0,'01_설정'!B32="",'01_설정'!B32&lt;=0),"",MAX(0,(1-Y2027/'01_설정'!B32))*'01_설정'!B31)</f>
        <v/>
      </c>
    </row>
    <row r="2028" ht="17.25" customHeight="1">
      <c r="A2028" s="152">
        <f>IF(INDEX('04A_국토부원자료'!$A:$A,ROW()+1)="","",ROW()-3)</f>
        <v/>
      </c>
      <c r="B2028" s="48">
        <f>IFERROR(INDEX('04A_국토부원자료'!$A:$T,ROW()+1,MATCH("시군구",'04A_국토부원자료'!$A$4:$T$4,0)),"")</f>
        <v/>
      </c>
      <c r="C2028" s="48">
        <f>IF(B2028="","",IFERROR(INDEX('04A_국토부원자료'!$A:$T,ROW()+1,MATCH("번지",'04A_국토부원자료'!$A$4:$T$4,0)),""))</f>
        <v/>
      </c>
      <c r="D2028" s="48">
        <f>IF(B2028="","",IF(Q2028=1,'02_대상물건입력'!$B$8,IFERROR(INDEX('04A_국토부원자료'!$A:$T,ROW()+1,MATCH("단지명",'04A_국토부원자료'!$A$4:$T$4,0)),"")))</f>
        <v/>
      </c>
      <c r="E2028" s="172">
        <f>IFERROR(VALUE(SUBSTITUTE(INDEX('04A_국토부원자료'!$A:$T,ROW()+1,MATCH("전용면적(㎡)",'04A_국토부원자료'!$A$4:$T$4,0)),",","")),"")</f>
        <v/>
      </c>
      <c r="F20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28" s="51">
        <f>IFERROR(VALUE(SUBSTITUTE(INDEX('04A_국토부원자료'!$A:$T,ROW()+1,MATCH("거래금액(만원)",'04A_국토부원자료'!$A$4:$T$4,0)),",","")),"")</f>
        <v/>
      </c>
      <c r="H2028" s="174">
        <f>IF(G2028="","",G2028*10000)</f>
        <v/>
      </c>
      <c r="I2028" s="174">
        <f>IFERROR(IF(AND(H2028&gt;0,E2028&gt;0),H2028/E2028,""),"")</f>
        <v/>
      </c>
      <c r="J2028" s="152">
        <f>IFERROR(VALUE(SUBSTITUTE(INDEX('04A_국토부원자료'!$A:$T,ROW()+1,MATCH("층",'04A_국토부원자료'!$A$4:$T$4,0)),",","")),"")</f>
        <v/>
      </c>
      <c r="K2028" s="152">
        <f>IFERROR(VALUE(SUBSTITUTE(INDEX('04A_국토부원자료'!$A:$T,ROW()+1,MATCH("건축년도",'04A_국토부원자료'!$A$4:$T$4,0)),",","")),"")</f>
        <v/>
      </c>
      <c r="L2028" s="48">
        <f>IFERROR(INDEX('04A_국토부원자료'!$A:$T,ROW()+1,MATCH("도로명",'04A_국토부원자료'!$A$4:$T$4,0)),"")</f>
        <v/>
      </c>
      <c r="M2028" s="48">
        <f>IFERROR(INDEX('04A_국토부원자료'!$A:$T,ROW()+1,MATCH("거래유형",'04A_국토부원자료'!$A$4:$T$4,0)),"")</f>
        <v/>
      </c>
      <c r="N2028" s="152">
        <f>IF(B2028="","",IF('02_대상물건입력'!B5="",1,IF(ISNUMBER(SEARCH('02_대상물건입력'!B5,B2028)),1,0)))</f>
        <v/>
      </c>
      <c r="O2028" s="152">
        <f>IF(B2028="","",IF('02_대상물건입력'!B6="",1,IF(ISNUMBER(SEARCH('02_대상물건입력'!B6,B2028)),1,0)))</f>
        <v/>
      </c>
      <c r="P2028" s="152">
        <f>IF(L2028="","",IF('02_대상물건입력'!B15="",0,IF(ISNUMBER(SEARCH('02_대상물건입력'!B15,L2028)),1,0)))</f>
        <v/>
      </c>
      <c r="Q2028" s="152">
        <f>IF(OR(C2028="",L2028=""),0,IF(AND(TRIM(C2028)=TRIM(RIGHT(SUBSTITUTE(TRIM('02_대상물건입력'!$B$7)," ",REPT(" ",99)),99)),IF('02_대상물건입력'!B15="",TRUE(),ISNUMBER(SEARCH('02_대상물건입력'!B15,L2028)))),1,0))</f>
        <v/>
      </c>
      <c r="R2028" s="175">
        <f>IFERROR(ABS(E2028-'02_대상물건입력'!B11)/'02_대상물건입력'!B11,"")</f>
        <v/>
      </c>
      <c r="S2028" s="152">
        <f>IFERROR(ABS(J2028-'02_대상물건입력'!B10),"")</f>
        <v/>
      </c>
      <c r="T2028" s="152">
        <f>IFERROR(ABS('01_설정'!B4-F2028),"")</f>
        <v/>
      </c>
      <c r="U2028" s="152">
        <f>IFERROR(ABS(K2028-YEAR('02_대상물건입력'!B14)),"")</f>
        <v/>
      </c>
      <c r="V2028" s="152">
        <f>IF(B2028="","",IF(AND(E2028&gt;0,F2028&gt;0,H2028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2028=1,TRUE()),R2028&lt;='01_설정'!B5,S2028&lt;='01_설정'!B6,T2028&lt;='01_설정'!B7,U2028&lt;='01_설정'!B8),"Y",""))</f>
        <v/>
      </c>
      <c r="W2028" s="172">
        <f>IF(V2028&lt;&gt;"Y","",MAX(0,(1-R2028/'01_설정'!B5))*'01_설정'!B14+MAX(0,(1-S2028/'01_설정'!B6))*'01_설정'!B15+MAX(0,(1-T2028/'01_설정'!B7))*'01_설정'!B16+MAX(0,(1-U2028/'01_설정'!B8))*'01_설정'!B17+O2028*'01_설정'!B11+Q2028*'01_설정'!B12+P2028*'01_설정'!B13+IF(Z2028="",0,Z2028))</f>
        <v/>
      </c>
      <c r="X2028" s="152">
        <f>IF(W2028="","",1+COUNTIFS($W$4:$W$3003,"&gt;"&amp;W2028)+COUNTIFS($W$4:W2028,W2028)-1)</f>
        <v/>
      </c>
      <c r="Y2028" s="175">
        <f>IF(OR(I2028="",'02_대상물건입력'!B19="",'02_대상물건입력'!B19&lt;=0),"",ABS(I2028-'02_대상물건입력'!B19)/'02_대상물건입력'!B19)</f>
        <v/>
      </c>
      <c r="Z2028" s="172">
        <f>IF(OR(Y2028="",'01_설정'!B31="",'01_설정'!B31&lt;=0,'01_설정'!B32="",'01_설정'!B32&lt;=0),"",MAX(0,(1-Y2028/'01_설정'!B32))*'01_설정'!B31)</f>
        <v/>
      </c>
    </row>
    <row r="2029" ht="17.25" customHeight="1">
      <c r="A2029" s="152">
        <f>IF(INDEX('04A_국토부원자료'!$A:$A,ROW()+1)="","",ROW()-3)</f>
        <v/>
      </c>
      <c r="B2029" s="48">
        <f>IFERROR(INDEX('04A_국토부원자료'!$A:$T,ROW()+1,MATCH("시군구",'04A_국토부원자료'!$A$4:$T$4,0)),"")</f>
        <v/>
      </c>
      <c r="C2029" s="48">
        <f>IF(B2029="","",IFERROR(INDEX('04A_국토부원자료'!$A:$T,ROW()+1,MATCH("번지",'04A_국토부원자료'!$A$4:$T$4,0)),""))</f>
        <v/>
      </c>
      <c r="D2029" s="48">
        <f>IF(B2029="","",IF(Q2029=1,'02_대상물건입력'!$B$8,IFERROR(INDEX('04A_국토부원자료'!$A:$T,ROW()+1,MATCH("단지명",'04A_국토부원자료'!$A$4:$T$4,0)),"")))</f>
        <v/>
      </c>
      <c r="E2029" s="172">
        <f>IFERROR(VALUE(SUBSTITUTE(INDEX('04A_국토부원자료'!$A:$T,ROW()+1,MATCH("전용면적(㎡)",'04A_국토부원자료'!$A$4:$T$4,0)),",","")),"")</f>
        <v/>
      </c>
      <c r="F20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29" s="51">
        <f>IFERROR(VALUE(SUBSTITUTE(INDEX('04A_국토부원자료'!$A:$T,ROW()+1,MATCH("거래금액(만원)",'04A_국토부원자료'!$A$4:$T$4,0)),",","")),"")</f>
        <v/>
      </c>
      <c r="H2029" s="174">
        <f>IF(G2029="","",G2029*10000)</f>
        <v/>
      </c>
      <c r="I2029" s="174">
        <f>IFERROR(IF(AND(H2029&gt;0,E2029&gt;0),H2029/E2029,""),"")</f>
        <v/>
      </c>
      <c r="J2029" s="152">
        <f>IFERROR(VALUE(SUBSTITUTE(INDEX('04A_국토부원자료'!$A:$T,ROW()+1,MATCH("층",'04A_국토부원자료'!$A$4:$T$4,0)),",","")),"")</f>
        <v/>
      </c>
      <c r="K2029" s="152">
        <f>IFERROR(VALUE(SUBSTITUTE(INDEX('04A_국토부원자료'!$A:$T,ROW()+1,MATCH("건축년도",'04A_국토부원자료'!$A$4:$T$4,0)),",","")),"")</f>
        <v/>
      </c>
      <c r="L2029" s="48">
        <f>IFERROR(INDEX('04A_국토부원자료'!$A:$T,ROW()+1,MATCH("도로명",'04A_국토부원자료'!$A$4:$T$4,0)),"")</f>
        <v/>
      </c>
      <c r="M2029" s="48">
        <f>IFERROR(INDEX('04A_국토부원자료'!$A:$T,ROW()+1,MATCH("거래유형",'04A_국토부원자료'!$A$4:$T$4,0)),"")</f>
        <v/>
      </c>
      <c r="N2029" s="152">
        <f>IF(B2029="","",IF('02_대상물건입력'!B5="",1,IF(ISNUMBER(SEARCH('02_대상물건입력'!B5,B2029)),1,0)))</f>
        <v/>
      </c>
      <c r="O2029" s="152">
        <f>IF(B2029="","",IF('02_대상물건입력'!B6="",1,IF(ISNUMBER(SEARCH('02_대상물건입력'!B6,B2029)),1,0)))</f>
        <v/>
      </c>
      <c r="P2029" s="152">
        <f>IF(L2029="","",IF('02_대상물건입력'!B15="",0,IF(ISNUMBER(SEARCH('02_대상물건입력'!B15,L2029)),1,0)))</f>
        <v/>
      </c>
      <c r="Q2029" s="152">
        <f>IF(OR(C2029="",L2029=""),0,IF(AND(TRIM(C2029)=TRIM(RIGHT(SUBSTITUTE(TRIM('02_대상물건입력'!$B$7)," ",REPT(" ",99)),99)),IF('02_대상물건입력'!B15="",TRUE(),ISNUMBER(SEARCH('02_대상물건입력'!B15,L2029)))),1,0))</f>
        <v/>
      </c>
      <c r="R2029" s="175">
        <f>IFERROR(ABS(E2029-'02_대상물건입력'!B11)/'02_대상물건입력'!B11,"")</f>
        <v/>
      </c>
      <c r="S2029" s="152">
        <f>IFERROR(ABS(J2029-'02_대상물건입력'!B10),"")</f>
        <v/>
      </c>
      <c r="T2029" s="152">
        <f>IFERROR(ABS('01_설정'!B4-F2029),"")</f>
        <v/>
      </c>
      <c r="U2029" s="152">
        <f>IFERROR(ABS(K2029-YEAR('02_대상물건입력'!B14)),"")</f>
        <v/>
      </c>
      <c r="V2029" s="152">
        <f>IF(B2029="","",IF(AND(E2029&gt;0,F2029&gt;0,H2029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2029=1,TRUE()),R2029&lt;='01_설정'!B5,S2029&lt;='01_설정'!B6,T2029&lt;='01_설정'!B7,U2029&lt;='01_설정'!B8),"Y",""))</f>
        <v/>
      </c>
      <c r="W2029" s="172">
        <f>IF(V2029&lt;&gt;"Y","",MAX(0,(1-R2029/'01_설정'!B5))*'01_설정'!B14+MAX(0,(1-S2029/'01_설정'!B6))*'01_설정'!B15+MAX(0,(1-T2029/'01_설정'!B7))*'01_설정'!B16+MAX(0,(1-U2029/'01_설정'!B8))*'01_설정'!B17+O2029*'01_설정'!B11+Q2029*'01_설정'!B12+P2029*'01_설정'!B13+IF(Z2029="",0,Z2029))</f>
        <v/>
      </c>
      <c r="X2029" s="152">
        <f>IF(W2029="","",1+COUNTIFS($W$4:$W$3003,"&gt;"&amp;W2029)+COUNTIFS($W$4:W2029,W2029)-1)</f>
        <v/>
      </c>
      <c r="Y2029" s="175">
        <f>IF(OR(I2029="",'02_대상물건입력'!B19="",'02_대상물건입력'!B19&lt;=0),"",ABS(I2029-'02_대상물건입력'!B19)/'02_대상물건입력'!B19)</f>
        <v/>
      </c>
      <c r="Z2029" s="172">
        <f>IF(OR(Y2029="",'01_설정'!B31="",'01_설정'!B31&lt;=0,'01_설정'!B32="",'01_설정'!B32&lt;=0),"",MAX(0,(1-Y2029/'01_설정'!B32))*'01_설정'!B31)</f>
        <v/>
      </c>
    </row>
    <row r="2030" ht="17.25" customHeight="1">
      <c r="A2030" s="152">
        <f>IF(INDEX('04A_국토부원자료'!$A:$A,ROW()+1)="","",ROW()-3)</f>
        <v/>
      </c>
      <c r="B2030" s="48">
        <f>IFERROR(INDEX('04A_국토부원자료'!$A:$T,ROW()+1,MATCH("시군구",'04A_국토부원자료'!$A$4:$T$4,0)),"")</f>
        <v/>
      </c>
      <c r="C2030" s="48">
        <f>IF(B2030="","",IFERROR(INDEX('04A_국토부원자료'!$A:$T,ROW()+1,MATCH("번지",'04A_국토부원자료'!$A$4:$T$4,0)),""))</f>
        <v/>
      </c>
      <c r="D2030" s="48">
        <f>IF(B2030="","",IF(Q2030=1,'02_대상물건입력'!$B$8,IFERROR(INDEX('04A_국토부원자료'!$A:$T,ROW()+1,MATCH("단지명",'04A_국토부원자료'!$A$4:$T$4,0)),"")))</f>
        <v/>
      </c>
      <c r="E2030" s="172">
        <f>IFERROR(VALUE(SUBSTITUTE(INDEX('04A_국토부원자료'!$A:$T,ROW()+1,MATCH("전용면적(㎡)",'04A_국토부원자료'!$A$4:$T$4,0)),",","")),"")</f>
        <v/>
      </c>
      <c r="F20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30" s="51">
        <f>IFERROR(VALUE(SUBSTITUTE(INDEX('04A_국토부원자료'!$A:$T,ROW()+1,MATCH("거래금액(만원)",'04A_국토부원자료'!$A$4:$T$4,0)),",","")),"")</f>
        <v/>
      </c>
      <c r="H2030" s="174">
        <f>IF(G2030="","",G2030*10000)</f>
        <v/>
      </c>
      <c r="I2030" s="174">
        <f>IFERROR(IF(AND(H2030&gt;0,E2030&gt;0),H2030/E2030,""),"")</f>
        <v/>
      </c>
      <c r="J2030" s="152">
        <f>IFERROR(VALUE(SUBSTITUTE(INDEX('04A_국토부원자료'!$A:$T,ROW()+1,MATCH("층",'04A_국토부원자료'!$A$4:$T$4,0)),",","")),"")</f>
        <v/>
      </c>
      <c r="K2030" s="152">
        <f>IFERROR(VALUE(SUBSTITUTE(INDEX('04A_국토부원자료'!$A:$T,ROW()+1,MATCH("건축년도",'04A_국토부원자료'!$A$4:$T$4,0)),",","")),"")</f>
        <v/>
      </c>
      <c r="L2030" s="48">
        <f>IFERROR(INDEX('04A_국토부원자료'!$A:$T,ROW()+1,MATCH("도로명",'04A_국토부원자료'!$A$4:$T$4,0)),"")</f>
        <v/>
      </c>
      <c r="M2030" s="48">
        <f>IFERROR(INDEX('04A_국토부원자료'!$A:$T,ROW()+1,MATCH("거래유형",'04A_국토부원자료'!$A$4:$T$4,0)),"")</f>
        <v/>
      </c>
      <c r="N2030" s="152">
        <f>IF(B2030="","",IF('02_대상물건입력'!B5="",1,IF(ISNUMBER(SEARCH('02_대상물건입력'!B5,B2030)),1,0)))</f>
        <v/>
      </c>
      <c r="O2030" s="152">
        <f>IF(B2030="","",IF('02_대상물건입력'!B6="",1,IF(ISNUMBER(SEARCH('02_대상물건입력'!B6,B2030)),1,0)))</f>
        <v/>
      </c>
      <c r="P2030" s="152">
        <f>IF(L2030="","",IF('02_대상물건입력'!B15="",0,IF(ISNUMBER(SEARCH('02_대상물건입력'!B15,L2030)),1,0)))</f>
        <v/>
      </c>
      <c r="Q2030" s="152">
        <f>IF(OR(C2030="",L2030=""),0,IF(AND(TRIM(C2030)=TRIM(RIGHT(SUBSTITUTE(TRIM('02_대상물건입력'!$B$7)," ",REPT(" ",99)),99)),IF('02_대상물건입력'!B15="",TRUE(),ISNUMBER(SEARCH('02_대상물건입력'!B15,L2030)))),1,0))</f>
        <v/>
      </c>
      <c r="R2030" s="175">
        <f>IFERROR(ABS(E2030-'02_대상물건입력'!B11)/'02_대상물건입력'!B11,"")</f>
        <v/>
      </c>
      <c r="S2030" s="152">
        <f>IFERROR(ABS(J2030-'02_대상물건입력'!B10),"")</f>
        <v/>
      </c>
      <c r="T2030" s="152">
        <f>IFERROR(ABS('01_설정'!B4-F2030),"")</f>
        <v/>
      </c>
      <c r="U2030" s="152">
        <f>IFERROR(ABS(K2030-YEAR('02_대상물건입력'!B14)),"")</f>
        <v/>
      </c>
      <c r="V2030" s="152">
        <f>IF(B2030="","",IF(AND(E2030&gt;0,F2030&gt;0,H2030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2030=1,TRUE()),R2030&lt;='01_설정'!B5,S2030&lt;='01_설정'!B6,T2030&lt;='01_설정'!B7,U2030&lt;='01_설정'!B8),"Y",""))</f>
        <v/>
      </c>
      <c r="W2030" s="172">
        <f>IF(V2030&lt;&gt;"Y","",MAX(0,(1-R2030/'01_설정'!B5))*'01_설정'!B14+MAX(0,(1-S2030/'01_설정'!B6))*'01_설정'!B15+MAX(0,(1-T2030/'01_설정'!B7))*'01_설정'!B16+MAX(0,(1-U2030/'01_설정'!B8))*'01_설정'!B17+O2030*'01_설정'!B11+Q2030*'01_설정'!B12+P2030*'01_설정'!B13+IF(Z2030="",0,Z2030))</f>
        <v/>
      </c>
      <c r="X2030" s="152">
        <f>IF(W2030="","",1+COUNTIFS($W$4:$W$3003,"&gt;"&amp;W2030)+COUNTIFS($W$4:W2030,W2030)-1)</f>
        <v/>
      </c>
      <c r="Y2030" s="175">
        <f>IF(OR(I2030="",'02_대상물건입력'!B19="",'02_대상물건입력'!B19&lt;=0),"",ABS(I2030-'02_대상물건입력'!B19)/'02_대상물건입력'!B19)</f>
        <v/>
      </c>
      <c r="Z2030" s="172">
        <f>IF(OR(Y2030="",'01_설정'!B31="",'01_설정'!B31&lt;=0,'01_설정'!B32="",'01_설정'!B32&lt;=0),"",MAX(0,(1-Y2030/'01_설정'!B32))*'01_설정'!B31)</f>
        <v/>
      </c>
    </row>
    <row r="2031" ht="17.25" customHeight="1">
      <c r="A2031" s="152">
        <f>IF(INDEX('04A_국토부원자료'!$A:$A,ROW()+1)="","",ROW()-3)</f>
        <v/>
      </c>
      <c r="B2031" s="48">
        <f>IFERROR(INDEX('04A_국토부원자료'!$A:$T,ROW()+1,MATCH("시군구",'04A_국토부원자료'!$A$4:$T$4,0)),"")</f>
        <v/>
      </c>
      <c r="C2031" s="48">
        <f>IF(B2031="","",IFERROR(INDEX('04A_국토부원자료'!$A:$T,ROW()+1,MATCH("번지",'04A_국토부원자료'!$A$4:$T$4,0)),""))</f>
        <v/>
      </c>
      <c r="D2031" s="48">
        <f>IF(B2031="","",IF(Q2031=1,'02_대상물건입력'!$B$8,IFERROR(INDEX('04A_국토부원자료'!$A:$T,ROW()+1,MATCH("단지명",'04A_국토부원자료'!$A$4:$T$4,0)),"")))</f>
        <v/>
      </c>
      <c r="E2031" s="172">
        <f>IFERROR(VALUE(SUBSTITUTE(INDEX('04A_국토부원자료'!$A:$T,ROW()+1,MATCH("전용면적(㎡)",'04A_국토부원자료'!$A$4:$T$4,0)),",","")),"")</f>
        <v/>
      </c>
      <c r="F20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31" s="51">
        <f>IFERROR(VALUE(SUBSTITUTE(INDEX('04A_국토부원자료'!$A:$T,ROW()+1,MATCH("거래금액(만원)",'04A_국토부원자료'!$A$4:$T$4,0)),",","")),"")</f>
        <v/>
      </c>
      <c r="H2031" s="174">
        <f>IF(G2031="","",G2031*10000)</f>
        <v/>
      </c>
      <c r="I2031" s="174">
        <f>IFERROR(IF(AND(H2031&gt;0,E2031&gt;0),H2031/E2031,""),"")</f>
        <v/>
      </c>
      <c r="J2031" s="152">
        <f>IFERROR(VALUE(SUBSTITUTE(INDEX('04A_국토부원자료'!$A:$T,ROW()+1,MATCH("층",'04A_국토부원자료'!$A$4:$T$4,0)),",","")),"")</f>
        <v/>
      </c>
      <c r="K2031" s="152">
        <f>IFERROR(VALUE(SUBSTITUTE(INDEX('04A_국토부원자료'!$A:$T,ROW()+1,MATCH("건축년도",'04A_국토부원자료'!$A$4:$T$4,0)),",","")),"")</f>
        <v/>
      </c>
      <c r="L2031" s="48">
        <f>IFERROR(INDEX('04A_국토부원자료'!$A:$T,ROW()+1,MATCH("도로명",'04A_국토부원자료'!$A$4:$T$4,0)),"")</f>
        <v/>
      </c>
      <c r="M2031" s="48">
        <f>IFERROR(INDEX('04A_국토부원자료'!$A:$T,ROW()+1,MATCH("거래유형",'04A_국토부원자료'!$A$4:$T$4,0)),"")</f>
        <v/>
      </c>
      <c r="N2031" s="152">
        <f>IF(B2031="","",IF('02_대상물건입력'!B5="",1,IF(ISNUMBER(SEARCH('02_대상물건입력'!B5,B2031)),1,0)))</f>
        <v/>
      </c>
      <c r="O2031" s="152">
        <f>IF(B2031="","",IF('02_대상물건입력'!B6="",1,IF(ISNUMBER(SEARCH('02_대상물건입력'!B6,B2031)),1,0)))</f>
        <v/>
      </c>
      <c r="P2031" s="152">
        <f>IF(L2031="","",IF('02_대상물건입력'!B15="",0,IF(ISNUMBER(SEARCH('02_대상물건입력'!B15,L2031)),1,0)))</f>
        <v/>
      </c>
      <c r="Q2031" s="152">
        <f>IF(OR(C2031="",L2031=""),0,IF(AND(TRIM(C2031)=TRIM(RIGHT(SUBSTITUTE(TRIM('02_대상물건입력'!$B$7)," ",REPT(" ",99)),99)),IF('02_대상물건입력'!B15="",TRUE(),ISNUMBER(SEARCH('02_대상물건입력'!B15,L2031)))),1,0))</f>
        <v/>
      </c>
      <c r="R2031" s="175">
        <f>IFERROR(ABS(E2031-'02_대상물건입력'!B11)/'02_대상물건입력'!B11,"")</f>
        <v/>
      </c>
      <c r="S2031" s="152">
        <f>IFERROR(ABS(J2031-'02_대상물건입력'!B10),"")</f>
        <v/>
      </c>
      <c r="T2031" s="152">
        <f>IFERROR(ABS('01_설정'!B4-F2031),"")</f>
        <v/>
      </c>
      <c r="U2031" s="152">
        <f>IFERROR(ABS(K2031-YEAR('02_대상물건입력'!B14)),"")</f>
        <v/>
      </c>
      <c r="V2031" s="152">
        <f>IF(B2031="","",IF(AND(E2031&gt;0,F2031&gt;0,H2031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2031=1,TRUE()),R2031&lt;='01_설정'!B5,S2031&lt;='01_설정'!B6,T2031&lt;='01_설정'!B7,U2031&lt;='01_설정'!B8),"Y",""))</f>
        <v/>
      </c>
      <c r="W2031" s="172">
        <f>IF(V2031&lt;&gt;"Y","",MAX(0,(1-R2031/'01_설정'!B5))*'01_설정'!B14+MAX(0,(1-S2031/'01_설정'!B6))*'01_설정'!B15+MAX(0,(1-T2031/'01_설정'!B7))*'01_설정'!B16+MAX(0,(1-U2031/'01_설정'!B8))*'01_설정'!B17+O2031*'01_설정'!B11+Q2031*'01_설정'!B12+P2031*'01_설정'!B13+IF(Z2031="",0,Z2031))</f>
        <v/>
      </c>
      <c r="X2031" s="152">
        <f>IF(W2031="","",1+COUNTIFS($W$4:$W$3003,"&gt;"&amp;W2031)+COUNTIFS($W$4:W2031,W2031)-1)</f>
        <v/>
      </c>
      <c r="Y2031" s="175">
        <f>IF(OR(I2031="",'02_대상물건입력'!B19="",'02_대상물건입력'!B19&lt;=0),"",ABS(I2031-'02_대상물건입력'!B19)/'02_대상물건입력'!B19)</f>
        <v/>
      </c>
      <c r="Z2031" s="172">
        <f>IF(OR(Y2031="",'01_설정'!B31="",'01_설정'!B31&lt;=0,'01_설정'!B32="",'01_설정'!B32&lt;=0),"",MAX(0,(1-Y2031/'01_설정'!B32))*'01_설정'!B31)</f>
        <v/>
      </c>
    </row>
    <row r="2032" ht="17.25" customHeight="1">
      <c r="A2032" s="152">
        <f>IF(INDEX('04A_국토부원자료'!$A:$A,ROW()+1)="","",ROW()-3)</f>
        <v/>
      </c>
      <c r="B2032" s="48">
        <f>IFERROR(INDEX('04A_국토부원자료'!$A:$T,ROW()+1,MATCH("시군구",'04A_국토부원자료'!$A$4:$T$4,0)),"")</f>
        <v/>
      </c>
      <c r="C2032" s="48">
        <f>IF(B2032="","",IFERROR(INDEX('04A_국토부원자료'!$A:$T,ROW()+1,MATCH("번지",'04A_국토부원자료'!$A$4:$T$4,0)),""))</f>
        <v/>
      </c>
      <c r="D2032" s="48">
        <f>IF(B2032="","",IF(Q2032=1,'02_대상물건입력'!$B$8,IFERROR(INDEX('04A_국토부원자료'!$A:$T,ROW()+1,MATCH("단지명",'04A_국토부원자료'!$A$4:$T$4,0)),"")))</f>
        <v/>
      </c>
      <c r="E2032" s="172">
        <f>IFERROR(VALUE(SUBSTITUTE(INDEX('04A_국토부원자료'!$A:$T,ROW()+1,MATCH("전용면적(㎡)",'04A_국토부원자료'!$A$4:$T$4,0)),",","")),"")</f>
        <v/>
      </c>
      <c r="F20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32" s="51">
        <f>IFERROR(VALUE(SUBSTITUTE(INDEX('04A_국토부원자료'!$A:$T,ROW()+1,MATCH("거래금액(만원)",'04A_국토부원자료'!$A$4:$T$4,0)),",","")),"")</f>
        <v/>
      </c>
      <c r="H2032" s="174">
        <f>IF(G2032="","",G2032*10000)</f>
        <v/>
      </c>
      <c r="I2032" s="174">
        <f>IFERROR(IF(AND(H2032&gt;0,E2032&gt;0),H2032/E2032,""),"")</f>
        <v/>
      </c>
      <c r="J2032" s="152">
        <f>IFERROR(VALUE(SUBSTITUTE(INDEX('04A_국토부원자료'!$A:$T,ROW()+1,MATCH("층",'04A_국토부원자료'!$A$4:$T$4,0)),",","")),"")</f>
        <v/>
      </c>
      <c r="K2032" s="152">
        <f>IFERROR(VALUE(SUBSTITUTE(INDEX('04A_국토부원자료'!$A:$T,ROW()+1,MATCH("건축년도",'04A_국토부원자료'!$A$4:$T$4,0)),",","")),"")</f>
        <v/>
      </c>
      <c r="L2032" s="48">
        <f>IFERROR(INDEX('04A_국토부원자료'!$A:$T,ROW()+1,MATCH("도로명",'04A_국토부원자료'!$A$4:$T$4,0)),"")</f>
        <v/>
      </c>
      <c r="M2032" s="48">
        <f>IFERROR(INDEX('04A_국토부원자료'!$A:$T,ROW()+1,MATCH("거래유형",'04A_국토부원자료'!$A$4:$T$4,0)),"")</f>
        <v/>
      </c>
      <c r="N2032" s="152">
        <f>IF(B2032="","",IF('02_대상물건입력'!B5="",1,IF(ISNUMBER(SEARCH('02_대상물건입력'!B5,B2032)),1,0)))</f>
        <v/>
      </c>
      <c r="O2032" s="152">
        <f>IF(B2032="","",IF('02_대상물건입력'!B6="",1,IF(ISNUMBER(SEARCH('02_대상물건입력'!B6,B2032)),1,0)))</f>
        <v/>
      </c>
      <c r="P2032" s="152">
        <f>IF(L2032="","",IF('02_대상물건입력'!B15="",0,IF(ISNUMBER(SEARCH('02_대상물건입력'!B15,L2032)),1,0)))</f>
        <v/>
      </c>
      <c r="Q2032" s="152">
        <f>IF(OR(C2032="",L2032=""),0,IF(AND(TRIM(C2032)=TRIM(RIGHT(SUBSTITUTE(TRIM('02_대상물건입력'!$B$7)," ",REPT(" ",99)),99)),IF('02_대상물건입력'!B15="",TRUE(),ISNUMBER(SEARCH('02_대상물건입력'!B15,L2032)))),1,0))</f>
        <v/>
      </c>
      <c r="R2032" s="175">
        <f>IFERROR(ABS(E2032-'02_대상물건입력'!B11)/'02_대상물건입력'!B11,"")</f>
        <v/>
      </c>
      <c r="S2032" s="152">
        <f>IFERROR(ABS(J2032-'02_대상물건입력'!B10),"")</f>
        <v/>
      </c>
      <c r="T2032" s="152">
        <f>IFERROR(ABS('01_설정'!B4-F2032),"")</f>
        <v/>
      </c>
      <c r="U2032" s="152">
        <f>IFERROR(ABS(K2032-YEAR('02_대상물건입력'!B14)),"")</f>
        <v/>
      </c>
      <c r="V2032" s="152">
        <f>IF(B2032="","",IF(AND(E2032&gt;0,F2032&gt;0,H2032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2032=1,TRUE()),R2032&lt;='01_설정'!B5,S2032&lt;='01_설정'!B6,T2032&lt;='01_설정'!B7,U2032&lt;='01_설정'!B8),"Y",""))</f>
        <v/>
      </c>
      <c r="W2032" s="172">
        <f>IF(V2032&lt;&gt;"Y","",MAX(0,(1-R2032/'01_설정'!B5))*'01_설정'!B14+MAX(0,(1-S2032/'01_설정'!B6))*'01_설정'!B15+MAX(0,(1-T2032/'01_설정'!B7))*'01_설정'!B16+MAX(0,(1-U2032/'01_설정'!B8))*'01_설정'!B17+O2032*'01_설정'!B11+Q2032*'01_설정'!B12+P2032*'01_설정'!B13+IF(Z2032="",0,Z2032))</f>
        <v/>
      </c>
      <c r="X2032" s="152">
        <f>IF(W2032="","",1+COUNTIFS($W$4:$W$3003,"&gt;"&amp;W2032)+COUNTIFS($W$4:W2032,W2032)-1)</f>
        <v/>
      </c>
      <c r="Y2032" s="175">
        <f>IF(OR(I2032="",'02_대상물건입력'!B19="",'02_대상물건입력'!B19&lt;=0),"",ABS(I2032-'02_대상물건입력'!B19)/'02_대상물건입력'!B19)</f>
        <v/>
      </c>
      <c r="Z2032" s="172">
        <f>IF(OR(Y2032="",'01_설정'!B31="",'01_설정'!B31&lt;=0,'01_설정'!B32="",'01_설정'!B32&lt;=0),"",MAX(0,(1-Y2032/'01_설정'!B32))*'01_설정'!B31)</f>
        <v/>
      </c>
    </row>
    <row r="2033" ht="17.25" customHeight="1">
      <c r="A2033" s="152">
        <f>IF(INDEX('04A_국토부원자료'!$A:$A,ROW()+1)="","",ROW()-3)</f>
        <v/>
      </c>
      <c r="B2033" s="48">
        <f>IFERROR(INDEX('04A_국토부원자료'!$A:$T,ROW()+1,MATCH("시군구",'04A_국토부원자료'!$A$4:$T$4,0)),"")</f>
        <v/>
      </c>
      <c r="C2033" s="48">
        <f>IF(B2033="","",IFERROR(INDEX('04A_국토부원자료'!$A:$T,ROW()+1,MATCH("번지",'04A_국토부원자료'!$A$4:$T$4,0)),""))</f>
        <v/>
      </c>
      <c r="D2033" s="48">
        <f>IF(B2033="","",IF(Q2033=1,'02_대상물건입력'!$B$8,IFERROR(INDEX('04A_국토부원자료'!$A:$T,ROW()+1,MATCH("단지명",'04A_국토부원자료'!$A$4:$T$4,0)),"")))</f>
        <v/>
      </c>
      <c r="E2033" s="172">
        <f>IFERROR(VALUE(SUBSTITUTE(INDEX('04A_국토부원자료'!$A:$T,ROW()+1,MATCH("전용면적(㎡)",'04A_국토부원자료'!$A$4:$T$4,0)),",","")),"")</f>
        <v/>
      </c>
      <c r="F20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33" s="51">
        <f>IFERROR(VALUE(SUBSTITUTE(INDEX('04A_국토부원자료'!$A:$T,ROW()+1,MATCH("거래금액(만원)",'04A_국토부원자료'!$A$4:$T$4,0)),",","")),"")</f>
        <v/>
      </c>
      <c r="H2033" s="174">
        <f>IF(G2033="","",G2033*10000)</f>
        <v/>
      </c>
      <c r="I2033" s="174">
        <f>IFERROR(IF(AND(H2033&gt;0,E2033&gt;0),H2033/E2033,""),"")</f>
        <v/>
      </c>
      <c r="J2033" s="152">
        <f>IFERROR(VALUE(SUBSTITUTE(INDEX('04A_국토부원자료'!$A:$T,ROW()+1,MATCH("층",'04A_국토부원자료'!$A$4:$T$4,0)),",","")),"")</f>
        <v/>
      </c>
      <c r="K2033" s="152">
        <f>IFERROR(VALUE(SUBSTITUTE(INDEX('04A_국토부원자료'!$A:$T,ROW()+1,MATCH("건축년도",'04A_국토부원자료'!$A$4:$T$4,0)),",","")),"")</f>
        <v/>
      </c>
      <c r="L2033" s="48">
        <f>IFERROR(INDEX('04A_국토부원자료'!$A:$T,ROW()+1,MATCH("도로명",'04A_국토부원자료'!$A$4:$T$4,0)),"")</f>
        <v/>
      </c>
      <c r="M2033" s="48">
        <f>IFERROR(INDEX('04A_국토부원자료'!$A:$T,ROW()+1,MATCH("거래유형",'04A_국토부원자료'!$A$4:$T$4,0)),"")</f>
        <v/>
      </c>
      <c r="N2033" s="152">
        <f>IF(B2033="","",IF('02_대상물건입력'!B5="",1,IF(ISNUMBER(SEARCH('02_대상물건입력'!B5,B2033)),1,0)))</f>
        <v/>
      </c>
      <c r="O2033" s="152">
        <f>IF(B2033="","",IF('02_대상물건입력'!B6="",1,IF(ISNUMBER(SEARCH('02_대상물건입력'!B6,B2033)),1,0)))</f>
        <v/>
      </c>
      <c r="P2033" s="152">
        <f>IF(L2033="","",IF('02_대상물건입력'!B15="",0,IF(ISNUMBER(SEARCH('02_대상물건입력'!B15,L2033)),1,0)))</f>
        <v/>
      </c>
      <c r="Q2033" s="152">
        <f>IF(OR(C2033="",L2033=""),0,IF(AND(TRIM(C2033)=TRIM(RIGHT(SUBSTITUTE(TRIM('02_대상물건입력'!$B$7)," ",REPT(" ",99)),99)),IF('02_대상물건입력'!B15="",TRUE(),ISNUMBER(SEARCH('02_대상물건입력'!B15,L2033)))),1,0))</f>
        <v/>
      </c>
      <c r="R2033" s="175">
        <f>IFERROR(ABS(E2033-'02_대상물건입력'!B11)/'02_대상물건입력'!B11,"")</f>
        <v/>
      </c>
      <c r="S2033" s="152">
        <f>IFERROR(ABS(J2033-'02_대상물건입력'!B10),"")</f>
        <v/>
      </c>
      <c r="T2033" s="152">
        <f>IFERROR(ABS('01_설정'!B4-F2033),"")</f>
        <v/>
      </c>
      <c r="U2033" s="152">
        <f>IFERROR(ABS(K2033-YEAR('02_대상물건입력'!B14)),"")</f>
        <v/>
      </c>
      <c r="V2033" s="152">
        <f>IF(B2033="","",IF(AND(E2033&gt;0,F2033&gt;0,H2033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2033=1,TRUE()),R2033&lt;='01_설정'!B5,S2033&lt;='01_설정'!B6,T2033&lt;='01_설정'!B7,U2033&lt;='01_설정'!B8),"Y",""))</f>
        <v/>
      </c>
      <c r="W2033" s="172">
        <f>IF(V2033&lt;&gt;"Y","",MAX(0,(1-R2033/'01_설정'!B5))*'01_설정'!B14+MAX(0,(1-S2033/'01_설정'!B6))*'01_설정'!B15+MAX(0,(1-T2033/'01_설정'!B7))*'01_설정'!B16+MAX(0,(1-U2033/'01_설정'!B8))*'01_설정'!B17+O2033*'01_설정'!B11+Q2033*'01_설정'!B12+P2033*'01_설정'!B13+IF(Z2033="",0,Z2033))</f>
        <v/>
      </c>
      <c r="X2033" s="152">
        <f>IF(W2033="","",1+COUNTIFS($W$4:$W$3003,"&gt;"&amp;W2033)+COUNTIFS($W$4:W2033,W2033)-1)</f>
        <v/>
      </c>
      <c r="Y2033" s="175">
        <f>IF(OR(I2033="",'02_대상물건입력'!B19="",'02_대상물건입력'!B19&lt;=0),"",ABS(I2033-'02_대상물건입력'!B19)/'02_대상물건입력'!B19)</f>
        <v/>
      </c>
      <c r="Z2033" s="172">
        <f>IF(OR(Y2033="",'01_설정'!B31="",'01_설정'!B31&lt;=0,'01_설정'!B32="",'01_설정'!B32&lt;=0),"",MAX(0,(1-Y2033/'01_설정'!B32))*'01_설정'!B31)</f>
        <v/>
      </c>
    </row>
    <row r="2034" ht="17.25" customHeight="1">
      <c r="A2034" s="152">
        <f>IF(INDEX('04A_국토부원자료'!$A:$A,ROW()+1)="","",ROW()-3)</f>
        <v/>
      </c>
      <c r="B2034" s="48">
        <f>IFERROR(INDEX('04A_국토부원자료'!$A:$T,ROW()+1,MATCH("시군구",'04A_국토부원자료'!$A$4:$T$4,0)),"")</f>
        <v/>
      </c>
      <c r="C2034" s="48">
        <f>IF(B2034="","",IFERROR(INDEX('04A_국토부원자료'!$A:$T,ROW()+1,MATCH("번지",'04A_국토부원자료'!$A$4:$T$4,0)),""))</f>
        <v/>
      </c>
      <c r="D2034" s="48">
        <f>IF(B2034="","",IF(Q2034=1,'02_대상물건입력'!$B$8,IFERROR(INDEX('04A_국토부원자료'!$A:$T,ROW()+1,MATCH("단지명",'04A_국토부원자료'!$A$4:$T$4,0)),"")))</f>
        <v/>
      </c>
      <c r="E2034" s="172">
        <f>IFERROR(VALUE(SUBSTITUTE(INDEX('04A_국토부원자료'!$A:$T,ROW()+1,MATCH("전용면적(㎡)",'04A_국토부원자료'!$A$4:$T$4,0)),",","")),"")</f>
        <v/>
      </c>
      <c r="F20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34" s="51">
        <f>IFERROR(VALUE(SUBSTITUTE(INDEX('04A_국토부원자료'!$A:$T,ROW()+1,MATCH("거래금액(만원)",'04A_국토부원자료'!$A$4:$T$4,0)),",","")),"")</f>
        <v/>
      </c>
      <c r="H2034" s="174">
        <f>IF(G2034="","",G2034*10000)</f>
        <v/>
      </c>
      <c r="I2034" s="174">
        <f>IFERROR(IF(AND(H2034&gt;0,E2034&gt;0),H2034/E2034,""),"")</f>
        <v/>
      </c>
      <c r="J2034" s="152">
        <f>IFERROR(VALUE(SUBSTITUTE(INDEX('04A_국토부원자료'!$A:$T,ROW()+1,MATCH("층",'04A_국토부원자료'!$A$4:$T$4,0)),",","")),"")</f>
        <v/>
      </c>
      <c r="K2034" s="152">
        <f>IFERROR(VALUE(SUBSTITUTE(INDEX('04A_국토부원자료'!$A:$T,ROW()+1,MATCH("건축년도",'04A_국토부원자료'!$A$4:$T$4,0)),",","")),"")</f>
        <v/>
      </c>
      <c r="L2034" s="48">
        <f>IFERROR(INDEX('04A_국토부원자료'!$A:$T,ROW()+1,MATCH("도로명",'04A_국토부원자료'!$A$4:$T$4,0)),"")</f>
        <v/>
      </c>
      <c r="M2034" s="48">
        <f>IFERROR(INDEX('04A_국토부원자료'!$A:$T,ROW()+1,MATCH("거래유형",'04A_국토부원자료'!$A$4:$T$4,0)),"")</f>
        <v/>
      </c>
      <c r="N2034" s="152">
        <f>IF(B2034="","",IF('02_대상물건입력'!B5="",1,IF(ISNUMBER(SEARCH('02_대상물건입력'!B5,B2034)),1,0)))</f>
        <v/>
      </c>
      <c r="O2034" s="152">
        <f>IF(B2034="","",IF('02_대상물건입력'!B6="",1,IF(ISNUMBER(SEARCH('02_대상물건입력'!B6,B2034)),1,0)))</f>
        <v/>
      </c>
      <c r="P2034" s="152">
        <f>IF(L2034="","",IF('02_대상물건입력'!B15="",0,IF(ISNUMBER(SEARCH('02_대상물건입력'!B15,L2034)),1,0)))</f>
        <v/>
      </c>
      <c r="Q2034" s="152">
        <f>IF(OR(C2034="",L2034=""),0,IF(AND(TRIM(C2034)=TRIM(RIGHT(SUBSTITUTE(TRIM('02_대상물건입력'!$B$7)," ",REPT(" ",99)),99)),IF('02_대상물건입력'!B15="",TRUE(),ISNUMBER(SEARCH('02_대상물건입력'!B15,L2034)))),1,0))</f>
        <v/>
      </c>
      <c r="R2034" s="175">
        <f>IFERROR(ABS(E2034-'02_대상물건입력'!B11)/'02_대상물건입력'!B11,"")</f>
        <v/>
      </c>
      <c r="S2034" s="152">
        <f>IFERROR(ABS(J2034-'02_대상물건입력'!B10),"")</f>
        <v/>
      </c>
      <c r="T2034" s="152">
        <f>IFERROR(ABS('01_설정'!B4-F2034),"")</f>
        <v/>
      </c>
      <c r="U2034" s="152">
        <f>IFERROR(ABS(K2034-YEAR('02_대상물건입력'!B14)),"")</f>
        <v/>
      </c>
      <c r="V2034" s="152">
        <f>IF(B2034="","",IF(AND(E2034&gt;0,F2034&gt;0,H2034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2034=1,TRUE()),R2034&lt;='01_설정'!B5,S2034&lt;='01_설정'!B6,T2034&lt;='01_설정'!B7,U2034&lt;='01_설정'!B8),"Y",""))</f>
        <v/>
      </c>
      <c r="W2034" s="172">
        <f>IF(V2034&lt;&gt;"Y","",MAX(0,(1-R2034/'01_설정'!B5))*'01_설정'!B14+MAX(0,(1-S2034/'01_설정'!B6))*'01_설정'!B15+MAX(0,(1-T2034/'01_설정'!B7))*'01_설정'!B16+MAX(0,(1-U2034/'01_설정'!B8))*'01_설정'!B17+O2034*'01_설정'!B11+Q2034*'01_설정'!B12+P2034*'01_설정'!B13+IF(Z2034="",0,Z2034))</f>
        <v/>
      </c>
      <c r="X2034" s="152">
        <f>IF(W2034="","",1+COUNTIFS($W$4:$W$3003,"&gt;"&amp;W2034)+COUNTIFS($W$4:W2034,W2034)-1)</f>
        <v/>
      </c>
      <c r="Y2034" s="175">
        <f>IF(OR(I2034="",'02_대상물건입력'!B19="",'02_대상물건입력'!B19&lt;=0),"",ABS(I2034-'02_대상물건입력'!B19)/'02_대상물건입력'!B19)</f>
        <v/>
      </c>
      <c r="Z2034" s="172">
        <f>IF(OR(Y2034="",'01_설정'!B31="",'01_설정'!B31&lt;=0,'01_설정'!B32="",'01_설정'!B32&lt;=0),"",MAX(0,(1-Y2034/'01_설정'!B32))*'01_설정'!B31)</f>
        <v/>
      </c>
    </row>
    <row r="2035" ht="17.25" customHeight="1">
      <c r="A2035" s="152">
        <f>IF(INDEX('04A_국토부원자료'!$A:$A,ROW()+1)="","",ROW()-3)</f>
        <v/>
      </c>
      <c r="B2035" s="48">
        <f>IFERROR(INDEX('04A_국토부원자료'!$A:$T,ROW()+1,MATCH("시군구",'04A_국토부원자료'!$A$4:$T$4,0)),"")</f>
        <v/>
      </c>
      <c r="C2035" s="48">
        <f>IF(B2035="","",IFERROR(INDEX('04A_국토부원자료'!$A:$T,ROW()+1,MATCH("번지",'04A_국토부원자료'!$A$4:$T$4,0)),""))</f>
        <v/>
      </c>
      <c r="D2035" s="48">
        <f>IF(B2035="","",IF(Q2035=1,'02_대상물건입력'!$B$8,IFERROR(INDEX('04A_국토부원자료'!$A:$T,ROW()+1,MATCH("단지명",'04A_국토부원자료'!$A$4:$T$4,0)),"")))</f>
        <v/>
      </c>
      <c r="E2035" s="172">
        <f>IFERROR(VALUE(SUBSTITUTE(INDEX('04A_국토부원자료'!$A:$T,ROW()+1,MATCH("전용면적(㎡)",'04A_국토부원자료'!$A$4:$T$4,0)),",","")),"")</f>
        <v/>
      </c>
      <c r="F20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35" s="51">
        <f>IFERROR(VALUE(SUBSTITUTE(INDEX('04A_국토부원자료'!$A:$T,ROW()+1,MATCH("거래금액(만원)",'04A_국토부원자료'!$A$4:$T$4,0)),",","")),"")</f>
        <v/>
      </c>
      <c r="H2035" s="174">
        <f>IF(G2035="","",G2035*10000)</f>
        <v/>
      </c>
      <c r="I2035" s="174">
        <f>IFERROR(IF(AND(H2035&gt;0,E2035&gt;0),H2035/E2035,""),"")</f>
        <v/>
      </c>
      <c r="J2035" s="152">
        <f>IFERROR(VALUE(SUBSTITUTE(INDEX('04A_국토부원자료'!$A:$T,ROW()+1,MATCH("층",'04A_국토부원자료'!$A$4:$T$4,0)),",","")),"")</f>
        <v/>
      </c>
      <c r="K2035" s="152">
        <f>IFERROR(VALUE(SUBSTITUTE(INDEX('04A_국토부원자료'!$A:$T,ROW()+1,MATCH("건축년도",'04A_국토부원자료'!$A$4:$T$4,0)),",","")),"")</f>
        <v/>
      </c>
      <c r="L2035" s="48">
        <f>IFERROR(INDEX('04A_국토부원자료'!$A:$T,ROW()+1,MATCH("도로명",'04A_국토부원자료'!$A$4:$T$4,0)),"")</f>
        <v/>
      </c>
      <c r="M2035" s="48">
        <f>IFERROR(INDEX('04A_국토부원자료'!$A:$T,ROW()+1,MATCH("거래유형",'04A_국토부원자료'!$A$4:$T$4,0)),"")</f>
        <v/>
      </c>
      <c r="N2035" s="152">
        <f>IF(B2035="","",IF('02_대상물건입력'!B5="",1,IF(ISNUMBER(SEARCH('02_대상물건입력'!B5,B2035)),1,0)))</f>
        <v/>
      </c>
      <c r="O2035" s="152">
        <f>IF(B2035="","",IF('02_대상물건입력'!B6="",1,IF(ISNUMBER(SEARCH('02_대상물건입력'!B6,B2035)),1,0)))</f>
        <v/>
      </c>
      <c r="P2035" s="152">
        <f>IF(L2035="","",IF('02_대상물건입력'!B15="",0,IF(ISNUMBER(SEARCH('02_대상물건입력'!B15,L2035)),1,0)))</f>
        <v/>
      </c>
      <c r="Q2035" s="152">
        <f>IF(OR(C2035="",L2035=""),0,IF(AND(TRIM(C2035)=TRIM(RIGHT(SUBSTITUTE(TRIM('02_대상물건입력'!$B$7)," ",REPT(" ",99)),99)),IF('02_대상물건입력'!B15="",TRUE(),ISNUMBER(SEARCH('02_대상물건입력'!B15,L2035)))),1,0))</f>
        <v/>
      </c>
      <c r="R2035" s="175">
        <f>IFERROR(ABS(E2035-'02_대상물건입력'!B11)/'02_대상물건입력'!B11,"")</f>
        <v/>
      </c>
      <c r="S2035" s="152">
        <f>IFERROR(ABS(J2035-'02_대상물건입력'!B10),"")</f>
        <v/>
      </c>
      <c r="T2035" s="152">
        <f>IFERROR(ABS('01_설정'!B4-F2035),"")</f>
        <v/>
      </c>
      <c r="U2035" s="152">
        <f>IFERROR(ABS(K2035-YEAR('02_대상물건입력'!B14)),"")</f>
        <v/>
      </c>
      <c r="V2035" s="152">
        <f>IF(B2035="","",IF(AND(E2035&gt;0,F2035&gt;0,H2035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2035=1,TRUE()),R2035&lt;='01_설정'!B5,S2035&lt;='01_설정'!B6,T2035&lt;='01_설정'!B7,U2035&lt;='01_설정'!B8),"Y",""))</f>
        <v/>
      </c>
      <c r="W2035" s="172">
        <f>IF(V2035&lt;&gt;"Y","",MAX(0,(1-R2035/'01_설정'!B5))*'01_설정'!B14+MAX(0,(1-S2035/'01_설정'!B6))*'01_설정'!B15+MAX(0,(1-T2035/'01_설정'!B7))*'01_설정'!B16+MAX(0,(1-U2035/'01_설정'!B8))*'01_설정'!B17+O2035*'01_설정'!B11+Q2035*'01_설정'!B12+P2035*'01_설정'!B13+IF(Z2035="",0,Z2035))</f>
        <v/>
      </c>
      <c r="X2035" s="152">
        <f>IF(W2035="","",1+COUNTIFS($W$4:$W$3003,"&gt;"&amp;W2035)+COUNTIFS($W$4:W2035,W2035)-1)</f>
        <v/>
      </c>
      <c r="Y2035" s="175">
        <f>IF(OR(I2035="",'02_대상물건입력'!B19="",'02_대상물건입력'!B19&lt;=0),"",ABS(I2035-'02_대상물건입력'!B19)/'02_대상물건입력'!B19)</f>
        <v/>
      </c>
      <c r="Z2035" s="172">
        <f>IF(OR(Y2035="",'01_설정'!B31="",'01_설정'!B31&lt;=0,'01_설정'!B32="",'01_설정'!B32&lt;=0),"",MAX(0,(1-Y2035/'01_설정'!B32))*'01_설정'!B31)</f>
        <v/>
      </c>
    </row>
    <row r="2036" ht="17.25" customHeight="1">
      <c r="A2036" s="152">
        <f>IF(INDEX('04A_국토부원자료'!$A:$A,ROW()+1)="","",ROW()-3)</f>
        <v/>
      </c>
      <c r="B2036" s="48">
        <f>IFERROR(INDEX('04A_국토부원자료'!$A:$T,ROW()+1,MATCH("시군구",'04A_국토부원자료'!$A$4:$T$4,0)),"")</f>
        <v/>
      </c>
      <c r="C2036" s="48">
        <f>IF(B2036="","",IFERROR(INDEX('04A_국토부원자료'!$A:$T,ROW()+1,MATCH("번지",'04A_국토부원자료'!$A$4:$T$4,0)),""))</f>
        <v/>
      </c>
      <c r="D2036" s="48">
        <f>IF(B2036="","",IF(Q2036=1,'02_대상물건입력'!$B$8,IFERROR(INDEX('04A_국토부원자료'!$A:$T,ROW()+1,MATCH("단지명",'04A_국토부원자료'!$A$4:$T$4,0)),"")))</f>
        <v/>
      </c>
      <c r="E2036" s="172">
        <f>IFERROR(VALUE(SUBSTITUTE(INDEX('04A_국토부원자료'!$A:$T,ROW()+1,MATCH("전용면적(㎡)",'04A_국토부원자료'!$A$4:$T$4,0)),",","")),"")</f>
        <v/>
      </c>
      <c r="F20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36" s="51">
        <f>IFERROR(VALUE(SUBSTITUTE(INDEX('04A_국토부원자료'!$A:$T,ROW()+1,MATCH("거래금액(만원)",'04A_국토부원자료'!$A$4:$T$4,0)),",","")),"")</f>
        <v/>
      </c>
      <c r="H2036" s="174">
        <f>IF(G2036="","",G2036*10000)</f>
        <v/>
      </c>
      <c r="I2036" s="174">
        <f>IFERROR(IF(AND(H2036&gt;0,E2036&gt;0),H2036/E2036,""),"")</f>
        <v/>
      </c>
      <c r="J2036" s="152">
        <f>IFERROR(VALUE(SUBSTITUTE(INDEX('04A_국토부원자료'!$A:$T,ROW()+1,MATCH("층",'04A_국토부원자료'!$A$4:$T$4,0)),",","")),"")</f>
        <v/>
      </c>
      <c r="K2036" s="152">
        <f>IFERROR(VALUE(SUBSTITUTE(INDEX('04A_국토부원자료'!$A:$T,ROW()+1,MATCH("건축년도",'04A_국토부원자료'!$A$4:$T$4,0)),",","")),"")</f>
        <v/>
      </c>
      <c r="L2036" s="48">
        <f>IFERROR(INDEX('04A_국토부원자료'!$A:$T,ROW()+1,MATCH("도로명",'04A_국토부원자료'!$A$4:$T$4,0)),"")</f>
        <v/>
      </c>
      <c r="M2036" s="48">
        <f>IFERROR(INDEX('04A_국토부원자료'!$A:$T,ROW()+1,MATCH("거래유형",'04A_국토부원자료'!$A$4:$T$4,0)),"")</f>
        <v/>
      </c>
      <c r="N2036" s="152">
        <f>IF(B2036="","",IF('02_대상물건입력'!B5="",1,IF(ISNUMBER(SEARCH('02_대상물건입력'!B5,B2036)),1,0)))</f>
        <v/>
      </c>
      <c r="O2036" s="152">
        <f>IF(B2036="","",IF('02_대상물건입력'!B6="",1,IF(ISNUMBER(SEARCH('02_대상물건입력'!B6,B2036)),1,0)))</f>
        <v/>
      </c>
      <c r="P2036" s="152">
        <f>IF(L2036="","",IF('02_대상물건입력'!B15="",0,IF(ISNUMBER(SEARCH('02_대상물건입력'!B15,L2036)),1,0)))</f>
        <v/>
      </c>
      <c r="Q2036" s="152">
        <f>IF(OR(C2036="",L2036=""),0,IF(AND(TRIM(C2036)=TRIM(RIGHT(SUBSTITUTE(TRIM('02_대상물건입력'!$B$7)," ",REPT(" ",99)),99)),IF('02_대상물건입력'!B15="",TRUE(),ISNUMBER(SEARCH('02_대상물건입력'!B15,L2036)))),1,0))</f>
        <v/>
      </c>
      <c r="R2036" s="175">
        <f>IFERROR(ABS(E2036-'02_대상물건입력'!B11)/'02_대상물건입력'!B11,"")</f>
        <v/>
      </c>
      <c r="S2036" s="152">
        <f>IFERROR(ABS(J2036-'02_대상물건입력'!B10),"")</f>
        <v/>
      </c>
      <c r="T2036" s="152">
        <f>IFERROR(ABS('01_설정'!B4-F2036),"")</f>
        <v/>
      </c>
      <c r="U2036" s="152">
        <f>IFERROR(ABS(K2036-YEAR('02_대상물건입력'!B14)),"")</f>
        <v/>
      </c>
      <c r="V2036" s="152">
        <f>IF(B2036="","",IF(AND(E2036&gt;0,F2036&gt;0,H2036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2036=1,TRUE()),R2036&lt;='01_설정'!B5,S2036&lt;='01_설정'!B6,T2036&lt;='01_설정'!B7,U2036&lt;='01_설정'!B8),"Y",""))</f>
        <v/>
      </c>
      <c r="W2036" s="172">
        <f>IF(V2036&lt;&gt;"Y","",MAX(0,(1-R2036/'01_설정'!B5))*'01_설정'!B14+MAX(0,(1-S2036/'01_설정'!B6))*'01_설정'!B15+MAX(0,(1-T2036/'01_설정'!B7))*'01_설정'!B16+MAX(0,(1-U2036/'01_설정'!B8))*'01_설정'!B17+O2036*'01_설정'!B11+Q2036*'01_설정'!B12+P2036*'01_설정'!B13+IF(Z2036="",0,Z2036))</f>
        <v/>
      </c>
      <c r="X2036" s="152">
        <f>IF(W2036="","",1+COUNTIFS($W$4:$W$3003,"&gt;"&amp;W2036)+COUNTIFS($W$4:W2036,W2036)-1)</f>
        <v/>
      </c>
      <c r="Y2036" s="175">
        <f>IF(OR(I2036="",'02_대상물건입력'!B19="",'02_대상물건입력'!B19&lt;=0),"",ABS(I2036-'02_대상물건입력'!B19)/'02_대상물건입력'!B19)</f>
        <v/>
      </c>
      <c r="Z2036" s="172">
        <f>IF(OR(Y2036="",'01_설정'!B31="",'01_설정'!B31&lt;=0,'01_설정'!B32="",'01_설정'!B32&lt;=0),"",MAX(0,(1-Y2036/'01_설정'!B32))*'01_설정'!B31)</f>
        <v/>
      </c>
    </row>
    <row r="2037" ht="17.25" customHeight="1">
      <c r="A2037" s="152">
        <f>IF(INDEX('04A_국토부원자료'!$A:$A,ROW()+1)="","",ROW()-3)</f>
        <v/>
      </c>
      <c r="B2037" s="48">
        <f>IFERROR(INDEX('04A_국토부원자료'!$A:$T,ROW()+1,MATCH("시군구",'04A_국토부원자료'!$A$4:$T$4,0)),"")</f>
        <v/>
      </c>
      <c r="C2037" s="48">
        <f>IF(B2037="","",IFERROR(INDEX('04A_국토부원자료'!$A:$T,ROW()+1,MATCH("번지",'04A_국토부원자료'!$A$4:$T$4,0)),""))</f>
        <v/>
      </c>
      <c r="D2037" s="48">
        <f>IF(B2037="","",IF(Q2037=1,'02_대상물건입력'!$B$8,IFERROR(INDEX('04A_국토부원자료'!$A:$T,ROW()+1,MATCH("단지명",'04A_국토부원자료'!$A$4:$T$4,0)),"")))</f>
        <v/>
      </c>
      <c r="E2037" s="172">
        <f>IFERROR(VALUE(SUBSTITUTE(INDEX('04A_국토부원자료'!$A:$T,ROW()+1,MATCH("전용면적(㎡)",'04A_국토부원자료'!$A$4:$T$4,0)),",","")),"")</f>
        <v/>
      </c>
      <c r="F20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37" s="51">
        <f>IFERROR(VALUE(SUBSTITUTE(INDEX('04A_국토부원자료'!$A:$T,ROW()+1,MATCH("거래금액(만원)",'04A_국토부원자료'!$A$4:$T$4,0)),",","")),"")</f>
        <v/>
      </c>
      <c r="H2037" s="174">
        <f>IF(G2037="","",G2037*10000)</f>
        <v/>
      </c>
      <c r="I2037" s="174">
        <f>IFERROR(IF(AND(H2037&gt;0,E2037&gt;0),H2037/E2037,""),"")</f>
        <v/>
      </c>
      <c r="J2037" s="152">
        <f>IFERROR(VALUE(SUBSTITUTE(INDEX('04A_국토부원자료'!$A:$T,ROW()+1,MATCH("층",'04A_국토부원자료'!$A$4:$T$4,0)),",","")),"")</f>
        <v/>
      </c>
      <c r="K2037" s="152">
        <f>IFERROR(VALUE(SUBSTITUTE(INDEX('04A_국토부원자료'!$A:$T,ROW()+1,MATCH("건축년도",'04A_국토부원자료'!$A$4:$T$4,0)),",","")),"")</f>
        <v/>
      </c>
      <c r="L2037" s="48">
        <f>IFERROR(INDEX('04A_국토부원자료'!$A:$T,ROW()+1,MATCH("도로명",'04A_국토부원자료'!$A$4:$T$4,0)),"")</f>
        <v/>
      </c>
      <c r="M2037" s="48">
        <f>IFERROR(INDEX('04A_국토부원자료'!$A:$T,ROW()+1,MATCH("거래유형",'04A_국토부원자료'!$A$4:$T$4,0)),"")</f>
        <v/>
      </c>
      <c r="N2037" s="152">
        <f>IF(B2037="","",IF('02_대상물건입력'!B5="",1,IF(ISNUMBER(SEARCH('02_대상물건입력'!B5,B2037)),1,0)))</f>
        <v/>
      </c>
      <c r="O2037" s="152">
        <f>IF(B2037="","",IF('02_대상물건입력'!B6="",1,IF(ISNUMBER(SEARCH('02_대상물건입력'!B6,B2037)),1,0)))</f>
        <v/>
      </c>
      <c r="P2037" s="152">
        <f>IF(L2037="","",IF('02_대상물건입력'!B15="",0,IF(ISNUMBER(SEARCH('02_대상물건입력'!B15,L2037)),1,0)))</f>
        <v/>
      </c>
      <c r="Q2037" s="152">
        <f>IF(OR(C2037="",L2037=""),0,IF(AND(TRIM(C2037)=TRIM(RIGHT(SUBSTITUTE(TRIM('02_대상물건입력'!$B$7)," ",REPT(" ",99)),99)),IF('02_대상물건입력'!B15="",TRUE(),ISNUMBER(SEARCH('02_대상물건입력'!B15,L2037)))),1,0))</f>
        <v/>
      </c>
      <c r="R2037" s="175">
        <f>IFERROR(ABS(E2037-'02_대상물건입력'!B11)/'02_대상물건입력'!B11,"")</f>
        <v/>
      </c>
      <c r="S2037" s="152">
        <f>IFERROR(ABS(J2037-'02_대상물건입력'!B10),"")</f>
        <v/>
      </c>
      <c r="T2037" s="152">
        <f>IFERROR(ABS('01_설정'!B4-F2037),"")</f>
        <v/>
      </c>
      <c r="U2037" s="152">
        <f>IFERROR(ABS(K2037-YEAR('02_대상물건입력'!B14)),"")</f>
        <v/>
      </c>
      <c r="V2037" s="152">
        <f>IF(B2037="","",IF(AND(E2037&gt;0,F2037&gt;0,H2037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2037=1,TRUE()),R2037&lt;='01_설정'!B5,S2037&lt;='01_설정'!B6,T2037&lt;='01_설정'!B7,U2037&lt;='01_설정'!B8),"Y",""))</f>
        <v/>
      </c>
      <c r="W2037" s="172">
        <f>IF(V2037&lt;&gt;"Y","",MAX(0,(1-R2037/'01_설정'!B5))*'01_설정'!B14+MAX(0,(1-S2037/'01_설정'!B6))*'01_설정'!B15+MAX(0,(1-T2037/'01_설정'!B7))*'01_설정'!B16+MAX(0,(1-U2037/'01_설정'!B8))*'01_설정'!B17+O2037*'01_설정'!B11+Q2037*'01_설정'!B12+P2037*'01_설정'!B13+IF(Z2037="",0,Z2037))</f>
        <v/>
      </c>
      <c r="X2037" s="152">
        <f>IF(W2037="","",1+COUNTIFS($W$4:$W$3003,"&gt;"&amp;W2037)+COUNTIFS($W$4:W2037,W2037)-1)</f>
        <v/>
      </c>
      <c r="Y2037" s="175">
        <f>IF(OR(I2037="",'02_대상물건입력'!B19="",'02_대상물건입력'!B19&lt;=0),"",ABS(I2037-'02_대상물건입력'!B19)/'02_대상물건입력'!B19)</f>
        <v/>
      </c>
      <c r="Z2037" s="172">
        <f>IF(OR(Y2037="",'01_설정'!B31="",'01_설정'!B31&lt;=0,'01_설정'!B32="",'01_설정'!B32&lt;=0),"",MAX(0,(1-Y2037/'01_설정'!B32))*'01_설정'!B31)</f>
        <v/>
      </c>
    </row>
    <row r="2038" ht="17.25" customHeight="1">
      <c r="A2038" s="152">
        <f>IF(INDEX('04A_국토부원자료'!$A:$A,ROW()+1)="","",ROW()-3)</f>
        <v/>
      </c>
      <c r="B2038" s="48">
        <f>IFERROR(INDEX('04A_국토부원자료'!$A:$T,ROW()+1,MATCH("시군구",'04A_국토부원자료'!$A$4:$T$4,0)),"")</f>
        <v/>
      </c>
      <c r="C2038" s="48">
        <f>IF(B2038="","",IFERROR(INDEX('04A_국토부원자료'!$A:$T,ROW()+1,MATCH("번지",'04A_국토부원자료'!$A$4:$T$4,0)),""))</f>
        <v/>
      </c>
      <c r="D2038" s="48">
        <f>IF(B2038="","",IF(Q2038=1,'02_대상물건입력'!$B$8,IFERROR(INDEX('04A_국토부원자료'!$A:$T,ROW()+1,MATCH("단지명",'04A_국토부원자료'!$A$4:$T$4,0)),"")))</f>
        <v/>
      </c>
      <c r="E2038" s="172">
        <f>IFERROR(VALUE(SUBSTITUTE(INDEX('04A_국토부원자료'!$A:$T,ROW()+1,MATCH("전용면적(㎡)",'04A_국토부원자료'!$A$4:$T$4,0)),",","")),"")</f>
        <v/>
      </c>
      <c r="F20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38" s="51">
        <f>IFERROR(VALUE(SUBSTITUTE(INDEX('04A_국토부원자료'!$A:$T,ROW()+1,MATCH("거래금액(만원)",'04A_국토부원자료'!$A$4:$T$4,0)),",","")),"")</f>
        <v/>
      </c>
      <c r="H2038" s="174">
        <f>IF(G2038="","",G2038*10000)</f>
        <v/>
      </c>
      <c r="I2038" s="174">
        <f>IFERROR(IF(AND(H2038&gt;0,E2038&gt;0),H2038/E2038,""),"")</f>
        <v/>
      </c>
      <c r="J2038" s="152">
        <f>IFERROR(VALUE(SUBSTITUTE(INDEX('04A_국토부원자료'!$A:$T,ROW()+1,MATCH("층",'04A_국토부원자료'!$A$4:$T$4,0)),",","")),"")</f>
        <v/>
      </c>
      <c r="K2038" s="152">
        <f>IFERROR(VALUE(SUBSTITUTE(INDEX('04A_국토부원자료'!$A:$T,ROW()+1,MATCH("건축년도",'04A_국토부원자료'!$A$4:$T$4,0)),",","")),"")</f>
        <v/>
      </c>
      <c r="L2038" s="48">
        <f>IFERROR(INDEX('04A_국토부원자료'!$A:$T,ROW()+1,MATCH("도로명",'04A_국토부원자료'!$A$4:$T$4,0)),"")</f>
        <v/>
      </c>
      <c r="M2038" s="48">
        <f>IFERROR(INDEX('04A_국토부원자료'!$A:$T,ROW()+1,MATCH("거래유형",'04A_국토부원자료'!$A$4:$T$4,0)),"")</f>
        <v/>
      </c>
      <c r="N2038" s="152">
        <f>IF(B2038="","",IF('02_대상물건입력'!B5="",1,IF(ISNUMBER(SEARCH('02_대상물건입력'!B5,B2038)),1,0)))</f>
        <v/>
      </c>
      <c r="O2038" s="152">
        <f>IF(B2038="","",IF('02_대상물건입력'!B6="",1,IF(ISNUMBER(SEARCH('02_대상물건입력'!B6,B2038)),1,0)))</f>
        <v/>
      </c>
      <c r="P2038" s="152">
        <f>IF(L2038="","",IF('02_대상물건입력'!B15="",0,IF(ISNUMBER(SEARCH('02_대상물건입력'!B15,L2038)),1,0)))</f>
        <v/>
      </c>
      <c r="Q2038" s="152">
        <f>IF(OR(C2038="",L2038=""),0,IF(AND(TRIM(C2038)=TRIM(RIGHT(SUBSTITUTE(TRIM('02_대상물건입력'!$B$7)," ",REPT(" ",99)),99)),IF('02_대상물건입력'!B15="",TRUE(),ISNUMBER(SEARCH('02_대상물건입력'!B15,L2038)))),1,0))</f>
        <v/>
      </c>
      <c r="R2038" s="175">
        <f>IFERROR(ABS(E2038-'02_대상물건입력'!B11)/'02_대상물건입력'!B11,"")</f>
        <v/>
      </c>
      <c r="S2038" s="152">
        <f>IFERROR(ABS(J2038-'02_대상물건입력'!B10),"")</f>
        <v/>
      </c>
      <c r="T2038" s="152">
        <f>IFERROR(ABS('01_설정'!B4-F2038),"")</f>
        <v/>
      </c>
      <c r="U2038" s="152">
        <f>IFERROR(ABS(K2038-YEAR('02_대상물건입력'!B14)),"")</f>
        <v/>
      </c>
      <c r="V2038" s="152">
        <f>IF(B2038="","",IF(AND(E2038&gt;0,F2038&gt;0,H2038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2038=1,TRUE()),R2038&lt;='01_설정'!B5,S2038&lt;='01_설정'!B6,T2038&lt;='01_설정'!B7,U2038&lt;='01_설정'!B8),"Y",""))</f>
        <v/>
      </c>
      <c r="W2038" s="172">
        <f>IF(V2038&lt;&gt;"Y","",MAX(0,(1-R2038/'01_설정'!B5))*'01_설정'!B14+MAX(0,(1-S2038/'01_설정'!B6))*'01_설정'!B15+MAX(0,(1-T2038/'01_설정'!B7))*'01_설정'!B16+MAX(0,(1-U2038/'01_설정'!B8))*'01_설정'!B17+O2038*'01_설정'!B11+Q2038*'01_설정'!B12+P2038*'01_설정'!B13+IF(Z2038="",0,Z2038))</f>
        <v/>
      </c>
      <c r="X2038" s="152">
        <f>IF(W2038="","",1+COUNTIFS($W$4:$W$3003,"&gt;"&amp;W2038)+COUNTIFS($W$4:W2038,W2038)-1)</f>
        <v/>
      </c>
      <c r="Y2038" s="175">
        <f>IF(OR(I2038="",'02_대상물건입력'!B19="",'02_대상물건입력'!B19&lt;=0),"",ABS(I2038-'02_대상물건입력'!B19)/'02_대상물건입력'!B19)</f>
        <v/>
      </c>
      <c r="Z2038" s="172">
        <f>IF(OR(Y2038="",'01_설정'!B31="",'01_설정'!B31&lt;=0,'01_설정'!B32="",'01_설정'!B32&lt;=0),"",MAX(0,(1-Y2038/'01_설정'!B32))*'01_설정'!B31)</f>
        <v/>
      </c>
    </row>
    <row r="2039" ht="17.25" customHeight="1">
      <c r="A2039" s="152">
        <f>IF(INDEX('04A_국토부원자료'!$A:$A,ROW()+1)="","",ROW()-3)</f>
        <v/>
      </c>
      <c r="B2039" s="48">
        <f>IFERROR(INDEX('04A_국토부원자료'!$A:$T,ROW()+1,MATCH("시군구",'04A_국토부원자료'!$A$4:$T$4,0)),"")</f>
        <v/>
      </c>
      <c r="C2039" s="48">
        <f>IF(B2039="","",IFERROR(INDEX('04A_국토부원자료'!$A:$T,ROW()+1,MATCH("번지",'04A_국토부원자료'!$A$4:$T$4,0)),""))</f>
        <v/>
      </c>
      <c r="D2039" s="48">
        <f>IF(B2039="","",IF(Q2039=1,'02_대상물건입력'!$B$8,IFERROR(INDEX('04A_국토부원자료'!$A:$T,ROW()+1,MATCH("단지명",'04A_국토부원자료'!$A$4:$T$4,0)),"")))</f>
        <v/>
      </c>
      <c r="E2039" s="172">
        <f>IFERROR(VALUE(SUBSTITUTE(INDEX('04A_국토부원자료'!$A:$T,ROW()+1,MATCH("전용면적(㎡)",'04A_국토부원자료'!$A$4:$T$4,0)),",","")),"")</f>
        <v/>
      </c>
      <c r="F20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39" s="51">
        <f>IFERROR(VALUE(SUBSTITUTE(INDEX('04A_국토부원자료'!$A:$T,ROW()+1,MATCH("거래금액(만원)",'04A_국토부원자료'!$A$4:$T$4,0)),",","")),"")</f>
        <v/>
      </c>
      <c r="H2039" s="174">
        <f>IF(G2039="","",G2039*10000)</f>
        <v/>
      </c>
      <c r="I2039" s="174">
        <f>IFERROR(IF(AND(H2039&gt;0,E2039&gt;0),H2039/E2039,""),"")</f>
        <v/>
      </c>
      <c r="J2039" s="152">
        <f>IFERROR(VALUE(SUBSTITUTE(INDEX('04A_국토부원자료'!$A:$T,ROW()+1,MATCH("층",'04A_국토부원자료'!$A$4:$T$4,0)),",","")),"")</f>
        <v/>
      </c>
      <c r="K2039" s="152">
        <f>IFERROR(VALUE(SUBSTITUTE(INDEX('04A_국토부원자료'!$A:$T,ROW()+1,MATCH("건축년도",'04A_국토부원자료'!$A$4:$T$4,0)),",","")),"")</f>
        <v/>
      </c>
      <c r="L2039" s="48">
        <f>IFERROR(INDEX('04A_국토부원자료'!$A:$T,ROW()+1,MATCH("도로명",'04A_국토부원자료'!$A$4:$T$4,0)),"")</f>
        <v/>
      </c>
      <c r="M2039" s="48">
        <f>IFERROR(INDEX('04A_국토부원자료'!$A:$T,ROW()+1,MATCH("거래유형",'04A_국토부원자료'!$A$4:$T$4,0)),"")</f>
        <v/>
      </c>
      <c r="N2039" s="152">
        <f>IF(B2039="","",IF('02_대상물건입력'!B5="",1,IF(ISNUMBER(SEARCH('02_대상물건입력'!B5,B2039)),1,0)))</f>
        <v/>
      </c>
      <c r="O2039" s="152">
        <f>IF(B2039="","",IF('02_대상물건입력'!B6="",1,IF(ISNUMBER(SEARCH('02_대상물건입력'!B6,B2039)),1,0)))</f>
        <v/>
      </c>
      <c r="P2039" s="152">
        <f>IF(L2039="","",IF('02_대상물건입력'!B15="",0,IF(ISNUMBER(SEARCH('02_대상물건입력'!B15,L2039)),1,0)))</f>
        <v/>
      </c>
      <c r="Q2039" s="152">
        <f>IF(OR(C2039="",L2039=""),0,IF(AND(TRIM(C2039)=TRIM(RIGHT(SUBSTITUTE(TRIM('02_대상물건입력'!$B$7)," ",REPT(" ",99)),99)),IF('02_대상물건입력'!B15="",TRUE(),ISNUMBER(SEARCH('02_대상물건입력'!B15,L2039)))),1,0))</f>
        <v/>
      </c>
      <c r="R2039" s="175">
        <f>IFERROR(ABS(E2039-'02_대상물건입력'!B11)/'02_대상물건입력'!B11,"")</f>
        <v/>
      </c>
      <c r="S2039" s="152">
        <f>IFERROR(ABS(J2039-'02_대상물건입력'!B10),"")</f>
        <v/>
      </c>
      <c r="T2039" s="152">
        <f>IFERROR(ABS('01_설정'!B4-F2039),"")</f>
        <v/>
      </c>
      <c r="U2039" s="152">
        <f>IFERROR(ABS(K2039-YEAR('02_대상물건입력'!B14)),"")</f>
        <v/>
      </c>
      <c r="V2039" s="152">
        <f>IF(B2039="","",IF(AND(E2039&gt;0,F2039&gt;0,H2039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2039=1,TRUE()),R2039&lt;='01_설정'!B5,S2039&lt;='01_설정'!B6,T2039&lt;='01_설정'!B7,U2039&lt;='01_설정'!B8),"Y",""))</f>
        <v/>
      </c>
      <c r="W2039" s="172">
        <f>IF(V2039&lt;&gt;"Y","",MAX(0,(1-R2039/'01_설정'!B5))*'01_설정'!B14+MAX(0,(1-S2039/'01_설정'!B6))*'01_설정'!B15+MAX(0,(1-T2039/'01_설정'!B7))*'01_설정'!B16+MAX(0,(1-U2039/'01_설정'!B8))*'01_설정'!B17+O2039*'01_설정'!B11+Q2039*'01_설정'!B12+P2039*'01_설정'!B13+IF(Z2039="",0,Z2039))</f>
        <v/>
      </c>
      <c r="X2039" s="152">
        <f>IF(W2039="","",1+COUNTIFS($W$4:$W$3003,"&gt;"&amp;W2039)+COUNTIFS($W$4:W2039,W2039)-1)</f>
        <v/>
      </c>
      <c r="Y2039" s="175">
        <f>IF(OR(I2039="",'02_대상물건입력'!B19="",'02_대상물건입력'!B19&lt;=0),"",ABS(I2039-'02_대상물건입력'!B19)/'02_대상물건입력'!B19)</f>
        <v/>
      </c>
      <c r="Z2039" s="172">
        <f>IF(OR(Y2039="",'01_설정'!B31="",'01_설정'!B31&lt;=0,'01_설정'!B32="",'01_설정'!B32&lt;=0),"",MAX(0,(1-Y2039/'01_설정'!B32))*'01_설정'!B31)</f>
        <v/>
      </c>
    </row>
    <row r="2040" ht="17.25" customHeight="1">
      <c r="A2040" s="152">
        <f>IF(INDEX('04A_국토부원자료'!$A:$A,ROW()+1)="","",ROW()-3)</f>
        <v/>
      </c>
      <c r="B2040" s="48">
        <f>IFERROR(INDEX('04A_국토부원자료'!$A:$T,ROW()+1,MATCH("시군구",'04A_국토부원자료'!$A$4:$T$4,0)),"")</f>
        <v/>
      </c>
      <c r="C2040" s="48">
        <f>IF(B2040="","",IFERROR(INDEX('04A_국토부원자료'!$A:$T,ROW()+1,MATCH("번지",'04A_국토부원자료'!$A$4:$T$4,0)),""))</f>
        <v/>
      </c>
      <c r="D2040" s="48">
        <f>IF(B2040="","",IF(Q2040=1,'02_대상물건입력'!$B$8,IFERROR(INDEX('04A_국토부원자료'!$A:$T,ROW()+1,MATCH("단지명",'04A_국토부원자료'!$A$4:$T$4,0)),"")))</f>
        <v/>
      </c>
      <c r="E2040" s="172">
        <f>IFERROR(VALUE(SUBSTITUTE(INDEX('04A_국토부원자료'!$A:$T,ROW()+1,MATCH("전용면적(㎡)",'04A_국토부원자료'!$A$4:$T$4,0)),",","")),"")</f>
        <v/>
      </c>
      <c r="F20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40" s="51">
        <f>IFERROR(VALUE(SUBSTITUTE(INDEX('04A_국토부원자료'!$A:$T,ROW()+1,MATCH("거래금액(만원)",'04A_국토부원자료'!$A$4:$T$4,0)),",","")),"")</f>
        <v/>
      </c>
      <c r="H2040" s="174">
        <f>IF(G2040="","",G2040*10000)</f>
        <v/>
      </c>
      <c r="I2040" s="174">
        <f>IFERROR(IF(AND(H2040&gt;0,E2040&gt;0),H2040/E2040,""),"")</f>
        <v/>
      </c>
      <c r="J2040" s="152">
        <f>IFERROR(VALUE(SUBSTITUTE(INDEX('04A_국토부원자료'!$A:$T,ROW()+1,MATCH("층",'04A_국토부원자료'!$A$4:$T$4,0)),",","")),"")</f>
        <v/>
      </c>
      <c r="K2040" s="152">
        <f>IFERROR(VALUE(SUBSTITUTE(INDEX('04A_국토부원자료'!$A:$T,ROW()+1,MATCH("건축년도",'04A_국토부원자료'!$A$4:$T$4,0)),",","")),"")</f>
        <v/>
      </c>
      <c r="L2040" s="48">
        <f>IFERROR(INDEX('04A_국토부원자료'!$A:$T,ROW()+1,MATCH("도로명",'04A_국토부원자료'!$A$4:$T$4,0)),"")</f>
        <v/>
      </c>
      <c r="M2040" s="48">
        <f>IFERROR(INDEX('04A_국토부원자료'!$A:$T,ROW()+1,MATCH("거래유형",'04A_국토부원자료'!$A$4:$T$4,0)),"")</f>
        <v/>
      </c>
      <c r="N2040" s="152">
        <f>IF(B2040="","",IF('02_대상물건입력'!B5="",1,IF(ISNUMBER(SEARCH('02_대상물건입력'!B5,B2040)),1,0)))</f>
        <v/>
      </c>
      <c r="O2040" s="152">
        <f>IF(B2040="","",IF('02_대상물건입력'!B6="",1,IF(ISNUMBER(SEARCH('02_대상물건입력'!B6,B2040)),1,0)))</f>
        <v/>
      </c>
      <c r="P2040" s="152">
        <f>IF(L2040="","",IF('02_대상물건입력'!B15="",0,IF(ISNUMBER(SEARCH('02_대상물건입력'!B15,L2040)),1,0)))</f>
        <v/>
      </c>
      <c r="Q2040" s="152">
        <f>IF(OR(C2040="",L2040=""),0,IF(AND(TRIM(C2040)=TRIM(RIGHT(SUBSTITUTE(TRIM('02_대상물건입력'!$B$7)," ",REPT(" ",99)),99)),IF('02_대상물건입력'!B15="",TRUE(),ISNUMBER(SEARCH('02_대상물건입력'!B15,L2040)))),1,0))</f>
        <v/>
      </c>
      <c r="R2040" s="175">
        <f>IFERROR(ABS(E2040-'02_대상물건입력'!B11)/'02_대상물건입력'!B11,"")</f>
        <v/>
      </c>
      <c r="S2040" s="152">
        <f>IFERROR(ABS(J2040-'02_대상물건입력'!B10),"")</f>
        <v/>
      </c>
      <c r="T2040" s="152">
        <f>IFERROR(ABS('01_설정'!B4-F2040),"")</f>
        <v/>
      </c>
      <c r="U2040" s="152">
        <f>IFERROR(ABS(K2040-YEAR('02_대상물건입력'!B14)),"")</f>
        <v/>
      </c>
      <c r="V2040" s="152">
        <f>IF(B2040="","",IF(AND(E2040&gt;0,F2040&gt;0,H2040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2040=1,TRUE()),R2040&lt;='01_설정'!B5,S2040&lt;='01_설정'!B6,T2040&lt;='01_설정'!B7,U2040&lt;='01_설정'!B8),"Y",""))</f>
        <v/>
      </c>
      <c r="W2040" s="172">
        <f>IF(V2040&lt;&gt;"Y","",MAX(0,(1-R2040/'01_설정'!B5))*'01_설정'!B14+MAX(0,(1-S2040/'01_설정'!B6))*'01_설정'!B15+MAX(0,(1-T2040/'01_설정'!B7))*'01_설정'!B16+MAX(0,(1-U2040/'01_설정'!B8))*'01_설정'!B17+O2040*'01_설정'!B11+Q2040*'01_설정'!B12+P2040*'01_설정'!B13+IF(Z2040="",0,Z2040))</f>
        <v/>
      </c>
      <c r="X2040" s="152">
        <f>IF(W2040="","",1+COUNTIFS($W$4:$W$3003,"&gt;"&amp;W2040)+COUNTIFS($W$4:W2040,W2040)-1)</f>
        <v/>
      </c>
      <c r="Y2040" s="175">
        <f>IF(OR(I2040="",'02_대상물건입력'!B19="",'02_대상물건입력'!B19&lt;=0),"",ABS(I2040-'02_대상물건입력'!B19)/'02_대상물건입력'!B19)</f>
        <v/>
      </c>
      <c r="Z2040" s="172">
        <f>IF(OR(Y2040="",'01_설정'!B31="",'01_설정'!B31&lt;=0,'01_설정'!B32="",'01_설정'!B32&lt;=0),"",MAX(0,(1-Y2040/'01_설정'!B32))*'01_설정'!B31)</f>
        <v/>
      </c>
    </row>
    <row r="2041" ht="17.25" customHeight="1">
      <c r="A2041" s="152">
        <f>IF(INDEX('04A_국토부원자료'!$A:$A,ROW()+1)="","",ROW()-3)</f>
        <v/>
      </c>
      <c r="B2041" s="48">
        <f>IFERROR(INDEX('04A_국토부원자료'!$A:$T,ROW()+1,MATCH("시군구",'04A_국토부원자료'!$A$4:$T$4,0)),"")</f>
        <v/>
      </c>
      <c r="C2041" s="48">
        <f>IF(B2041="","",IFERROR(INDEX('04A_국토부원자료'!$A:$T,ROW()+1,MATCH("번지",'04A_국토부원자료'!$A$4:$T$4,0)),""))</f>
        <v/>
      </c>
      <c r="D2041" s="48">
        <f>IF(B2041="","",IF(Q2041=1,'02_대상물건입력'!$B$8,IFERROR(INDEX('04A_국토부원자료'!$A:$T,ROW()+1,MATCH("단지명",'04A_국토부원자료'!$A$4:$T$4,0)),"")))</f>
        <v/>
      </c>
      <c r="E2041" s="172">
        <f>IFERROR(VALUE(SUBSTITUTE(INDEX('04A_국토부원자료'!$A:$T,ROW()+1,MATCH("전용면적(㎡)",'04A_국토부원자료'!$A$4:$T$4,0)),",","")),"")</f>
        <v/>
      </c>
      <c r="F20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41" s="51">
        <f>IFERROR(VALUE(SUBSTITUTE(INDEX('04A_국토부원자료'!$A:$T,ROW()+1,MATCH("거래금액(만원)",'04A_국토부원자료'!$A$4:$T$4,0)),",","")),"")</f>
        <v/>
      </c>
      <c r="H2041" s="174">
        <f>IF(G2041="","",G2041*10000)</f>
        <v/>
      </c>
      <c r="I2041" s="174">
        <f>IFERROR(IF(AND(H2041&gt;0,E2041&gt;0),H2041/E2041,""),"")</f>
        <v/>
      </c>
      <c r="J2041" s="152">
        <f>IFERROR(VALUE(SUBSTITUTE(INDEX('04A_국토부원자료'!$A:$T,ROW()+1,MATCH("층",'04A_국토부원자료'!$A$4:$T$4,0)),",","")),"")</f>
        <v/>
      </c>
      <c r="K2041" s="152">
        <f>IFERROR(VALUE(SUBSTITUTE(INDEX('04A_국토부원자료'!$A:$T,ROW()+1,MATCH("건축년도",'04A_국토부원자료'!$A$4:$T$4,0)),",","")),"")</f>
        <v/>
      </c>
      <c r="L2041" s="48">
        <f>IFERROR(INDEX('04A_국토부원자료'!$A:$T,ROW()+1,MATCH("도로명",'04A_국토부원자료'!$A$4:$T$4,0)),"")</f>
        <v/>
      </c>
      <c r="M2041" s="48">
        <f>IFERROR(INDEX('04A_국토부원자료'!$A:$T,ROW()+1,MATCH("거래유형",'04A_국토부원자료'!$A$4:$T$4,0)),"")</f>
        <v/>
      </c>
      <c r="N2041" s="152">
        <f>IF(B2041="","",IF('02_대상물건입력'!B5="",1,IF(ISNUMBER(SEARCH('02_대상물건입력'!B5,B2041)),1,0)))</f>
        <v/>
      </c>
      <c r="O2041" s="152">
        <f>IF(B2041="","",IF('02_대상물건입력'!B6="",1,IF(ISNUMBER(SEARCH('02_대상물건입력'!B6,B2041)),1,0)))</f>
        <v/>
      </c>
      <c r="P2041" s="152">
        <f>IF(L2041="","",IF('02_대상물건입력'!B15="",0,IF(ISNUMBER(SEARCH('02_대상물건입력'!B15,L2041)),1,0)))</f>
        <v/>
      </c>
      <c r="Q2041" s="152">
        <f>IF(OR(C2041="",L2041=""),0,IF(AND(TRIM(C2041)=TRIM(RIGHT(SUBSTITUTE(TRIM('02_대상물건입력'!$B$7)," ",REPT(" ",99)),99)),IF('02_대상물건입력'!B15="",TRUE(),ISNUMBER(SEARCH('02_대상물건입력'!B15,L2041)))),1,0))</f>
        <v/>
      </c>
      <c r="R2041" s="175">
        <f>IFERROR(ABS(E2041-'02_대상물건입력'!B11)/'02_대상물건입력'!B11,"")</f>
        <v/>
      </c>
      <c r="S2041" s="152">
        <f>IFERROR(ABS(J2041-'02_대상물건입력'!B10),"")</f>
        <v/>
      </c>
      <c r="T2041" s="152">
        <f>IFERROR(ABS('01_설정'!B4-F2041),"")</f>
        <v/>
      </c>
      <c r="U2041" s="152">
        <f>IFERROR(ABS(K2041-YEAR('02_대상물건입력'!B14)),"")</f>
        <v/>
      </c>
      <c r="V2041" s="152">
        <f>IF(B2041="","",IF(AND(E2041&gt;0,F2041&gt;0,H2041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2041=1,TRUE()),R2041&lt;='01_설정'!B5,S2041&lt;='01_설정'!B6,T2041&lt;='01_설정'!B7,U2041&lt;='01_설정'!B8),"Y",""))</f>
        <v/>
      </c>
      <c r="W2041" s="172">
        <f>IF(V2041&lt;&gt;"Y","",MAX(0,(1-R2041/'01_설정'!B5))*'01_설정'!B14+MAX(0,(1-S2041/'01_설정'!B6))*'01_설정'!B15+MAX(0,(1-T2041/'01_설정'!B7))*'01_설정'!B16+MAX(0,(1-U2041/'01_설정'!B8))*'01_설정'!B17+O2041*'01_설정'!B11+Q2041*'01_설정'!B12+P2041*'01_설정'!B13+IF(Z2041="",0,Z2041))</f>
        <v/>
      </c>
      <c r="X2041" s="152">
        <f>IF(W2041="","",1+COUNTIFS($W$4:$W$3003,"&gt;"&amp;W2041)+COUNTIFS($W$4:W2041,W2041)-1)</f>
        <v/>
      </c>
      <c r="Y2041" s="175">
        <f>IF(OR(I2041="",'02_대상물건입력'!B19="",'02_대상물건입력'!B19&lt;=0),"",ABS(I2041-'02_대상물건입력'!B19)/'02_대상물건입력'!B19)</f>
        <v/>
      </c>
      <c r="Z2041" s="172">
        <f>IF(OR(Y2041="",'01_설정'!B31="",'01_설정'!B31&lt;=0,'01_설정'!B32="",'01_설정'!B32&lt;=0),"",MAX(0,(1-Y2041/'01_설정'!B32))*'01_설정'!B31)</f>
        <v/>
      </c>
    </row>
    <row r="2042" ht="17.25" customHeight="1">
      <c r="A2042" s="152">
        <f>IF(INDEX('04A_국토부원자료'!$A:$A,ROW()+1)="","",ROW()-3)</f>
        <v/>
      </c>
      <c r="B2042" s="48">
        <f>IFERROR(INDEX('04A_국토부원자료'!$A:$T,ROW()+1,MATCH("시군구",'04A_국토부원자료'!$A$4:$T$4,0)),"")</f>
        <v/>
      </c>
      <c r="C2042" s="48">
        <f>IF(B2042="","",IFERROR(INDEX('04A_국토부원자료'!$A:$T,ROW()+1,MATCH("번지",'04A_국토부원자료'!$A$4:$T$4,0)),""))</f>
        <v/>
      </c>
      <c r="D2042" s="48">
        <f>IF(B2042="","",IF(Q2042=1,'02_대상물건입력'!$B$8,IFERROR(INDEX('04A_국토부원자료'!$A:$T,ROW()+1,MATCH("단지명",'04A_국토부원자료'!$A$4:$T$4,0)),"")))</f>
        <v/>
      </c>
      <c r="E2042" s="172">
        <f>IFERROR(VALUE(SUBSTITUTE(INDEX('04A_국토부원자료'!$A:$T,ROW()+1,MATCH("전용면적(㎡)",'04A_국토부원자료'!$A$4:$T$4,0)),",","")),"")</f>
        <v/>
      </c>
      <c r="F20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42" s="51">
        <f>IFERROR(VALUE(SUBSTITUTE(INDEX('04A_국토부원자료'!$A:$T,ROW()+1,MATCH("거래금액(만원)",'04A_국토부원자료'!$A$4:$T$4,0)),",","")),"")</f>
        <v/>
      </c>
      <c r="H2042" s="174">
        <f>IF(G2042="","",G2042*10000)</f>
        <v/>
      </c>
      <c r="I2042" s="174">
        <f>IFERROR(IF(AND(H2042&gt;0,E2042&gt;0),H2042/E2042,""),"")</f>
        <v/>
      </c>
      <c r="J2042" s="152">
        <f>IFERROR(VALUE(SUBSTITUTE(INDEX('04A_국토부원자료'!$A:$T,ROW()+1,MATCH("층",'04A_국토부원자료'!$A$4:$T$4,0)),",","")),"")</f>
        <v/>
      </c>
      <c r="K2042" s="152">
        <f>IFERROR(VALUE(SUBSTITUTE(INDEX('04A_국토부원자료'!$A:$T,ROW()+1,MATCH("건축년도",'04A_국토부원자료'!$A$4:$T$4,0)),",","")),"")</f>
        <v/>
      </c>
      <c r="L2042" s="48">
        <f>IFERROR(INDEX('04A_국토부원자료'!$A:$T,ROW()+1,MATCH("도로명",'04A_국토부원자료'!$A$4:$T$4,0)),"")</f>
        <v/>
      </c>
      <c r="M2042" s="48">
        <f>IFERROR(INDEX('04A_국토부원자료'!$A:$T,ROW()+1,MATCH("거래유형",'04A_국토부원자료'!$A$4:$T$4,0)),"")</f>
        <v/>
      </c>
      <c r="N2042" s="152">
        <f>IF(B2042="","",IF('02_대상물건입력'!B5="",1,IF(ISNUMBER(SEARCH('02_대상물건입력'!B5,B2042)),1,0)))</f>
        <v/>
      </c>
      <c r="O2042" s="152">
        <f>IF(B2042="","",IF('02_대상물건입력'!B6="",1,IF(ISNUMBER(SEARCH('02_대상물건입력'!B6,B2042)),1,0)))</f>
        <v/>
      </c>
      <c r="P2042" s="152">
        <f>IF(L2042="","",IF('02_대상물건입력'!B15="",0,IF(ISNUMBER(SEARCH('02_대상물건입력'!B15,L2042)),1,0)))</f>
        <v/>
      </c>
      <c r="Q2042" s="152">
        <f>IF(OR(C2042="",L2042=""),0,IF(AND(TRIM(C2042)=TRIM(RIGHT(SUBSTITUTE(TRIM('02_대상물건입력'!$B$7)," ",REPT(" ",99)),99)),IF('02_대상물건입력'!B15="",TRUE(),ISNUMBER(SEARCH('02_대상물건입력'!B15,L2042)))),1,0))</f>
        <v/>
      </c>
      <c r="R2042" s="175">
        <f>IFERROR(ABS(E2042-'02_대상물건입력'!B11)/'02_대상물건입력'!B11,"")</f>
        <v/>
      </c>
      <c r="S2042" s="152">
        <f>IFERROR(ABS(J2042-'02_대상물건입력'!B10),"")</f>
        <v/>
      </c>
      <c r="T2042" s="152">
        <f>IFERROR(ABS('01_설정'!B4-F2042),"")</f>
        <v/>
      </c>
      <c r="U2042" s="152">
        <f>IFERROR(ABS(K2042-YEAR('02_대상물건입력'!B14)),"")</f>
        <v/>
      </c>
      <c r="V2042" s="152">
        <f>IF(B2042="","",IF(AND(E2042&gt;0,F2042&gt;0,H2042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2042=1,TRUE()),R2042&lt;='01_설정'!B5,S2042&lt;='01_설정'!B6,T2042&lt;='01_설정'!B7,U2042&lt;='01_설정'!B8),"Y",""))</f>
        <v/>
      </c>
      <c r="W2042" s="172">
        <f>IF(V2042&lt;&gt;"Y","",MAX(0,(1-R2042/'01_설정'!B5))*'01_설정'!B14+MAX(0,(1-S2042/'01_설정'!B6))*'01_설정'!B15+MAX(0,(1-T2042/'01_설정'!B7))*'01_설정'!B16+MAX(0,(1-U2042/'01_설정'!B8))*'01_설정'!B17+O2042*'01_설정'!B11+Q2042*'01_설정'!B12+P2042*'01_설정'!B13+IF(Z2042="",0,Z2042))</f>
        <v/>
      </c>
      <c r="X2042" s="152">
        <f>IF(W2042="","",1+COUNTIFS($W$4:$W$3003,"&gt;"&amp;W2042)+COUNTIFS($W$4:W2042,W2042)-1)</f>
        <v/>
      </c>
      <c r="Y2042" s="175">
        <f>IF(OR(I2042="",'02_대상물건입력'!B19="",'02_대상물건입력'!B19&lt;=0),"",ABS(I2042-'02_대상물건입력'!B19)/'02_대상물건입력'!B19)</f>
        <v/>
      </c>
      <c r="Z2042" s="172">
        <f>IF(OR(Y2042="",'01_설정'!B31="",'01_설정'!B31&lt;=0,'01_설정'!B32="",'01_설정'!B32&lt;=0),"",MAX(0,(1-Y2042/'01_설정'!B32))*'01_설정'!B31)</f>
        <v/>
      </c>
    </row>
    <row r="2043" ht="17.25" customHeight="1">
      <c r="A2043" s="152">
        <f>IF(INDEX('04A_국토부원자료'!$A:$A,ROW()+1)="","",ROW()-3)</f>
        <v/>
      </c>
      <c r="B2043" s="48">
        <f>IFERROR(INDEX('04A_국토부원자료'!$A:$T,ROW()+1,MATCH("시군구",'04A_국토부원자료'!$A$4:$T$4,0)),"")</f>
        <v/>
      </c>
      <c r="C2043" s="48">
        <f>IF(B2043="","",IFERROR(INDEX('04A_국토부원자료'!$A:$T,ROW()+1,MATCH("번지",'04A_국토부원자료'!$A$4:$T$4,0)),""))</f>
        <v/>
      </c>
      <c r="D2043" s="48">
        <f>IF(B2043="","",IF(Q2043=1,'02_대상물건입력'!$B$8,IFERROR(INDEX('04A_국토부원자료'!$A:$T,ROW()+1,MATCH("단지명",'04A_국토부원자료'!$A$4:$T$4,0)),"")))</f>
        <v/>
      </c>
      <c r="E2043" s="172">
        <f>IFERROR(VALUE(SUBSTITUTE(INDEX('04A_국토부원자료'!$A:$T,ROW()+1,MATCH("전용면적(㎡)",'04A_국토부원자료'!$A$4:$T$4,0)),",","")),"")</f>
        <v/>
      </c>
      <c r="F20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43" s="51">
        <f>IFERROR(VALUE(SUBSTITUTE(INDEX('04A_국토부원자료'!$A:$T,ROW()+1,MATCH("거래금액(만원)",'04A_국토부원자료'!$A$4:$T$4,0)),",","")),"")</f>
        <v/>
      </c>
      <c r="H2043" s="174">
        <f>IF(G2043="","",G2043*10000)</f>
        <v/>
      </c>
      <c r="I2043" s="174">
        <f>IFERROR(IF(AND(H2043&gt;0,E2043&gt;0),H2043/E2043,""),"")</f>
        <v/>
      </c>
      <c r="J2043" s="152">
        <f>IFERROR(VALUE(SUBSTITUTE(INDEX('04A_국토부원자료'!$A:$T,ROW()+1,MATCH("층",'04A_국토부원자료'!$A$4:$T$4,0)),",","")),"")</f>
        <v/>
      </c>
      <c r="K2043" s="152">
        <f>IFERROR(VALUE(SUBSTITUTE(INDEX('04A_국토부원자료'!$A:$T,ROW()+1,MATCH("건축년도",'04A_국토부원자료'!$A$4:$T$4,0)),",","")),"")</f>
        <v/>
      </c>
      <c r="L2043" s="48">
        <f>IFERROR(INDEX('04A_국토부원자료'!$A:$T,ROW()+1,MATCH("도로명",'04A_국토부원자료'!$A$4:$T$4,0)),"")</f>
        <v/>
      </c>
      <c r="M2043" s="48">
        <f>IFERROR(INDEX('04A_국토부원자료'!$A:$T,ROW()+1,MATCH("거래유형",'04A_국토부원자료'!$A$4:$T$4,0)),"")</f>
        <v/>
      </c>
      <c r="N2043" s="152">
        <f>IF(B2043="","",IF('02_대상물건입력'!B5="",1,IF(ISNUMBER(SEARCH('02_대상물건입력'!B5,B2043)),1,0)))</f>
        <v/>
      </c>
      <c r="O2043" s="152">
        <f>IF(B2043="","",IF('02_대상물건입력'!B6="",1,IF(ISNUMBER(SEARCH('02_대상물건입력'!B6,B2043)),1,0)))</f>
        <v/>
      </c>
      <c r="P2043" s="152">
        <f>IF(L2043="","",IF('02_대상물건입력'!B15="",0,IF(ISNUMBER(SEARCH('02_대상물건입력'!B15,L2043)),1,0)))</f>
        <v/>
      </c>
      <c r="Q2043" s="152">
        <f>IF(OR(C2043="",L2043=""),0,IF(AND(TRIM(C2043)=TRIM(RIGHT(SUBSTITUTE(TRIM('02_대상물건입력'!$B$7)," ",REPT(" ",99)),99)),IF('02_대상물건입력'!B15="",TRUE(),ISNUMBER(SEARCH('02_대상물건입력'!B15,L2043)))),1,0))</f>
        <v/>
      </c>
      <c r="R2043" s="175">
        <f>IFERROR(ABS(E2043-'02_대상물건입력'!B11)/'02_대상물건입력'!B11,"")</f>
        <v/>
      </c>
      <c r="S2043" s="152">
        <f>IFERROR(ABS(J2043-'02_대상물건입력'!B10),"")</f>
        <v/>
      </c>
      <c r="T2043" s="152">
        <f>IFERROR(ABS('01_설정'!B4-F2043),"")</f>
        <v/>
      </c>
      <c r="U2043" s="152">
        <f>IFERROR(ABS(K2043-YEAR('02_대상물건입력'!B14)),"")</f>
        <v/>
      </c>
      <c r="V2043" s="152">
        <f>IF(B2043="","",IF(AND(E2043&gt;0,F2043&gt;0,H2043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2043=1,TRUE()),R2043&lt;='01_설정'!B5,S2043&lt;='01_설정'!B6,T2043&lt;='01_설정'!B7,U2043&lt;='01_설정'!B8),"Y",""))</f>
        <v/>
      </c>
      <c r="W2043" s="172">
        <f>IF(V2043&lt;&gt;"Y","",MAX(0,(1-R2043/'01_설정'!B5))*'01_설정'!B14+MAX(0,(1-S2043/'01_설정'!B6))*'01_설정'!B15+MAX(0,(1-T2043/'01_설정'!B7))*'01_설정'!B16+MAX(0,(1-U2043/'01_설정'!B8))*'01_설정'!B17+O2043*'01_설정'!B11+Q2043*'01_설정'!B12+P2043*'01_설정'!B13+IF(Z2043="",0,Z2043))</f>
        <v/>
      </c>
      <c r="X2043" s="152">
        <f>IF(W2043="","",1+COUNTIFS($W$4:$W$3003,"&gt;"&amp;W2043)+COUNTIFS($W$4:W2043,W2043)-1)</f>
        <v/>
      </c>
      <c r="Y2043" s="175">
        <f>IF(OR(I2043="",'02_대상물건입력'!B19="",'02_대상물건입력'!B19&lt;=0),"",ABS(I2043-'02_대상물건입력'!B19)/'02_대상물건입력'!B19)</f>
        <v/>
      </c>
      <c r="Z2043" s="172">
        <f>IF(OR(Y2043="",'01_설정'!B31="",'01_설정'!B31&lt;=0,'01_설정'!B32="",'01_설정'!B32&lt;=0),"",MAX(0,(1-Y2043/'01_설정'!B32))*'01_설정'!B31)</f>
        <v/>
      </c>
    </row>
    <row r="2044" ht="17.25" customHeight="1">
      <c r="A2044" s="152">
        <f>IF(INDEX('04A_국토부원자료'!$A:$A,ROW()+1)="","",ROW()-3)</f>
        <v/>
      </c>
      <c r="B2044" s="48">
        <f>IFERROR(INDEX('04A_국토부원자료'!$A:$T,ROW()+1,MATCH("시군구",'04A_국토부원자료'!$A$4:$T$4,0)),"")</f>
        <v/>
      </c>
      <c r="C2044" s="48">
        <f>IF(B2044="","",IFERROR(INDEX('04A_국토부원자료'!$A:$T,ROW()+1,MATCH("번지",'04A_국토부원자료'!$A$4:$T$4,0)),""))</f>
        <v/>
      </c>
      <c r="D2044" s="48">
        <f>IF(B2044="","",IF(Q2044=1,'02_대상물건입력'!$B$8,IFERROR(INDEX('04A_국토부원자료'!$A:$T,ROW()+1,MATCH("단지명",'04A_국토부원자료'!$A$4:$T$4,0)),"")))</f>
        <v/>
      </c>
      <c r="E2044" s="172">
        <f>IFERROR(VALUE(SUBSTITUTE(INDEX('04A_국토부원자료'!$A:$T,ROW()+1,MATCH("전용면적(㎡)",'04A_국토부원자료'!$A$4:$T$4,0)),",","")),"")</f>
        <v/>
      </c>
      <c r="F20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44" s="51">
        <f>IFERROR(VALUE(SUBSTITUTE(INDEX('04A_국토부원자료'!$A:$T,ROW()+1,MATCH("거래금액(만원)",'04A_국토부원자료'!$A$4:$T$4,0)),",","")),"")</f>
        <v/>
      </c>
      <c r="H2044" s="174">
        <f>IF(G2044="","",G2044*10000)</f>
        <v/>
      </c>
      <c r="I2044" s="174">
        <f>IFERROR(IF(AND(H2044&gt;0,E2044&gt;0),H2044/E2044,""),"")</f>
        <v/>
      </c>
      <c r="J2044" s="152">
        <f>IFERROR(VALUE(SUBSTITUTE(INDEX('04A_국토부원자료'!$A:$T,ROW()+1,MATCH("층",'04A_국토부원자료'!$A$4:$T$4,0)),",","")),"")</f>
        <v/>
      </c>
      <c r="K2044" s="152">
        <f>IFERROR(VALUE(SUBSTITUTE(INDEX('04A_국토부원자료'!$A:$T,ROW()+1,MATCH("건축년도",'04A_국토부원자료'!$A$4:$T$4,0)),",","")),"")</f>
        <v/>
      </c>
      <c r="L2044" s="48">
        <f>IFERROR(INDEX('04A_국토부원자료'!$A:$T,ROW()+1,MATCH("도로명",'04A_국토부원자료'!$A$4:$T$4,0)),"")</f>
        <v/>
      </c>
      <c r="M2044" s="48">
        <f>IFERROR(INDEX('04A_국토부원자료'!$A:$T,ROW()+1,MATCH("거래유형",'04A_국토부원자료'!$A$4:$T$4,0)),"")</f>
        <v/>
      </c>
      <c r="N2044" s="152">
        <f>IF(B2044="","",IF('02_대상물건입력'!B5="",1,IF(ISNUMBER(SEARCH('02_대상물건입력'!B5,B2044)),1,0)))</f>
        <v/>
      </c>
      <c r="O2044" s="152">
        <f>IF(B2044="","",IF('02_대상물건입력'!B6="",1,IF(ISNUMBER(SEARCH('02_대상물건입력'!B6,B2044)),1,0)))</f>
        <v/>
      </c>
      <c r="P2044" s="152">
        <f>IF(L2044="","",IF('02_대상물건입력'!B15="",0,IF(ISNUMBER(SEARCH('02_대상물건입력'!B15,L2044)),1,0)))</f>
        <v/>
      </c>
      <c r="Q2044" s="152">
        <f>IF(OR(C2044="",L2044=""),0,IF(AND(TRIM(C2044)=TRIM(RIGHT(SUBSTITUTE(TRIM('02_대상물건입력'!$B$7)," ",REPT(" ",99)),99)),IF('02_대상물건입력'!B15="",TRUE(),ISNUMBER(SEARCH('02_대상물건입력'!B15,L2044)))),1,0))</f>
        <v/>
      </c>
      <c r="R2044" s="175">
        <f>IFERROR(ABS(E2044-'02_대상물건입력'!B11)/'02_대상물건입력'!B11,"")</f>
        <v/>
      </c>
      <c r="S2044" s="152">
        <f>IFERROR(ABS(J2044-'02_대상물건입력'!B10),"")</f>
        <v/>
      </c>
      <c r="T2044" s="152">
        <f>IFERROR(ABS('01_설정'!B4-F2044),"")</f>
        <v/>
      </c>
      <c r="U2044" s="152">
        <f>IFERROR(ABS(K2044-YEAR('02_대상물건입력'!B14)),"")</f>
        <v/>
      </c>
      <c r="V2044" s="152">
        <f>IF(B2044="","",IF(AND(E2044&gt;0,F2044&gt;0,H2044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2044=1,TRUE()),R2044&lt;='01_설정'!B5,S2044&lt;='01_설정'!B6,T2044&lt;='01_설정'!B7,U2044&lt;='01_설정'!B8),"Y",""))</f>
        <v/>
      </c>
      <c r="W2044" s="172">
        <f>IF(V2044&lt;&gt;"Y","",MAX(0,(1-R2044/'01_설정'!B5))*'01_설정'!B14+MAX(0,(1-S2044/'01_설정'!B6))*'01_설정'!B15+MAX(0,(1-T2044/'01_설정'!B7))*'01_설정'!B16+MAX(0,(1-U2044/'01_설정'!B8))*'01_설정'!B17+O2044*'01_설정'!B11+Q2044*'01_설정'!B12+P2044*'01_설정'!B13+IF(Z2044="",0,Z2044))</f>
        <v/>
      </c>
      <c r="X2044" s="152">
        <f>IF(W2044="","",1+COUNTIFS($W$4:$W$3003,"&gt;"&amp;W2044)+COUNTIFS($W$4:W2044,W2044)-1)</f>
        <v/>
      </c>
      <c r="Y2044" s="175">
        <f>IF(OR(I2044="",'02_대상물건입력'!B19="",'02_대상물건입력'!B19&lt;=0),"",ABS(I2044-'02_대상물건입력'!B19)/'02_대상물건입력'!B19)</f>
        <v/>
      </c>
      <c r="Z2044" s="172">
        <f>IF(OR(Y2044="",'01_설정'!B31="",'01_설정'!B31&lt;=0,'01_설정'!B32="",'01_설정'!B32&lt;=0),"",MAX(0,(1-Y2044/'01_설정'!B32))*'01_설정'!B31)</f>
        <v/>
      </c>
    </row>
    <row r="2045" ht="17.25" customHeight="1">
      <c r="A2045" s="152">
        <f>IF(INDEX('04A_국토부원자료'!$A:$A,ROW()+1)="","",ROW()-3)</f>
        <v/>
      </c>
      <c r="B2045" s="48">
        <f>IFERROR(INDEX('04A_국토부원자료'!$A:$T,ROW()+1,MATCH("시군구",'04A_국토부원자료'!$A$4:$T$4,0)),"")</f>
        <v/>
      </c>
      <c r="C2045" s="48">
        <f>IF(B2045="","",IFERROR(INDEX('04A_국토부원자료'!$A:$T,ROW()+1,MATCH("번지",'04A_국토부원자료'!$A$4:$T$4,0)),""))</f>
        <v/>
      </c>
      <c r="D2045" s="48">
        <f>IF(B2045="","",IF(Q2045=1,'02_대상물건입력'!$B$8,IFERROR(INDEX('04A_국토부원자료'!$A:$T,ROW()+1,MATCH("단지명",'04A_국토부원자료'!$A$4:$T$4,0)),"")))</f>
        <v/>
      </c>
      <c r="E2045" s="172">
        <f>IFERROR(VALUE(SUBSTITUTE(INDEX('04A_국토부원자료'!$A:$T,ROW()+1,MATCH("전용면적(㎡)",'04A_국토부원자료'!$A$4:$T$4,0)),",","")),"")</f>
        <v/>
      </c>
      <c r="F20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45" s="51">
        <f>IFERROR(VALUE(SUBSTITUTE(INDEX('04A_국토부원자료'!$A:$T,ROW()+1,MATCH("거래금액(만원)",'04A_국토부원자료'!$A$4:$T$4,0)),",","")),"")</f>
        <v/>
      </c>
      <c r="H2045" s="174">
        <f>IF(G2045="","",G2045*10000)</f>
        <v/>
      </c>
      <c r="I2045" s="174">
        <f>IFERROR(IF(AND(H2045&gt;0,E2045&gt;0),H2045/E2045,""),"")</f>
        <v/>
      </c>
      <c r="J2045" s="152">
        <f>IFERROR(VALUE(SUBSTITUTE(INDEX('04A_국토부원자료'!$A:$T,ROW()+1,MATCH("층",'04A_국토부원자료'!$A$4:$T$4,0)),",","")),"")</f>
        <v/>
      </c>
      <c r="K2045" s="152">
        <f>IFERROR(VALUE(SUBSTITUTE(INDEX('04A_국토부원자료'!$A:$T,ROW()+1,MATCH("건축년도",'04A_국토부원자료'!$A$4:$T$4,0)),",","")),"")</f>
        <v/>
      </c>
      <c r="L2045" s="48">
        <f>IFERROR(INDEX('04A_국토부원자료'!$A:$T,ROW()+1,MATCH("도로명",'04A_국토부원자료'!$A$4:$T$4,0)),"")</f>
        <v/>
      </c>
      <c r="M2045" s="48">
        <f>IFERROR(INDEX('04A_국토부원자료'!$A:$T,ROW()+1,MATCH("거래유형",'04A_국토부원자료'!$A$4:$T$4,0)),"")</f>
        <v/>
      </c>
      <c r="N2045" s="152">
        <f>IF(B2045="","",IF('02_대상물건입력'!B5="",1,IF(ISNUMBER(SEARCH('02_대상물건입력'!B5,B2045)),1,0)))</f>
        <v/>
      </c>
      <c r="O2045" s="152">
        <f>IF(B2045="","",IF('02_대상물건입력'!B6="",1,IF(ISNUMBER(SEARCH('02_대상물건입력'!B6,B2045)),1,0)))</f>
        <v/>
      </c>
      <c r="P2045" s="152">
        <f>IF(L2045="","",IF('02_대상물건입력'!B15="",0,IF(ISNUMBER(SEARCH('02_대상물건입력'!B15,L2045)),1,0)))</f>
        <v/>
      </c>
      <c r="Q2045" s="152">
        <f>IF(OR(C2045="",L2045=""),0,IF(AND(TRIM(C2045)=TRIM(RIGHT(SUBSTITUTE(TRIM('02_대상물건입력'!$B$7)," ",REPT(" ",99)),99)),IF('02_대상물건입력'!B15="",TRUE(),ISNUMBER(SEARCH('02_대상물건입력'!B15,L2045)))),1,0))</f>
        <v/>
      </c>
      <c r="R2045" s="175">
        <f>IFERROR(ABS(E2045-'02_대상물건입력'!B11)/'02_대상물건입력'!B11,"")</f>
        <v/>
      </c>
      <c r="S2045" s="152">
        <f>IFERROR(ABS(J2045-'02_대상물건입력'!B10),"")</f>
        <v/>
      </c>
      <c r="T2045" s="152">
        <f>IFERROR(ABS('01_설정'!B4-F2045),"")</f>
        <v/>
      </c>
      <c r="U2045" s="152">
        <f>IFERROR(ABS(K2045-YEAR('02_대상물건입력'!B14)),"")</f>
        <v/>
      </c>
      <c r="V2045" s="152">
        <f>IF(B2045="","",IF(AND(E2045&gt;0,F2045&gt;0,H2045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2045=1,TRUE()),R2045&lt;='01_설정'!B5,S2045&lt;='01_설정'!B6,T2045&lt;='01_설정'!B7,U2045&lt;='01_설정'!B8),"Y",""))</f>
        <v/>
      </c>
      <c r="W2045" s="172">
        <f>IF(V2045&lt;&gt;"Y","",MAX(0,(1-R2045/'01_설정'!B5))*'01_설정'!B14+MAX(0,(1-S2045/'01_설정'!B6))*'01_설정'!B15+MAX(0,(1-T2045/'01_설정'!B7))*'01_설정'!B16+MAX(0,(1-U2045/'01_설정'!B8))*'01_설정'!B17+O2045*'01_설정'!B11+Q2045*'01_설정'!B12+P2045*'01_설정'!B13+IF(Z2045="",0,Z2045))</f>
        <v/>
      </c>
      <c r="X2045" s="152">
        <f>IF(W2045="","",1+COUNTIFS($W$4:$W$3003,"&gt;"&amp;W2045)+COUNTIFS($W$4:W2045,W2045)-1)</f>
        <v/>
      </c>
      <c r="Y2045" s="175">
        <f>IF(OR(I2045="",'02_대상물건입력'!B19="",'02_대상물건입력'!B19&lt;=0),"",ABS(I2045-'02_대상물건입력'!B19)/'02_대상물건입력'!B19)</f>
        <v/>
      </c>
      <c r="Z2045" s="172">
        <f>IF(OR(Y2045="",'01_설정'!B31="",'01_설정'!B31&lt;=0,'01_설정'!B32="",'01_설정'!B32&lt;=0),"",MAX(0,(1-Y2045/'01_설정'!B32))*'01_설정'!B31)</f>
        <v/>
      </c>
    </row>
    <row r="2046" ht="17.25" customHeight="1">
      <c r="A2046" s="152">
        <f>IF(INDEX('04A_국토부원자료'!$A:$A,ROW()+1)="","",ROW()-3)</f>
        <v/>
      </c>
      <c r="B2046" s="48">
        <f>IFERROR(INDEX('04A_국토부원자료'!$A:$T,ROW()+1,MATCH("시군구",'04A_국토부원자료'!$A$4:$T$4,0)),"")</f>
        <v/>
      </c>
      <c r="C2046" s="48">
        <f>IF(B2046="","",IFERROR(INDEX('04A_국토부원자료'!$A:$T,ROW()+1,MATCH("번지",'04A_국토부원자료'!$A$4:$T$4,0)),""))</f>
        <v/>
      </c>
      <c r="D2046" s="48">
        <f>IF(B2046="","",IF(Q2046=1,'02_대상물건입력'!$B$8,IFERROR(INDEX('04A_국토부원자료'!$A:$T,ROW()+1,MATCH("단지명",'04A_국토부원자료'!$A$4:$T$4,0)),"")))</f>
        <v/>
      </c>
      <c r="E2046" s="172">
        <f>IFERROR(VALUE(SUBSTITUTE(INDEX('04A_국토부원자료'!$A:$T,ROW()+1,MATCH("전용면적(㎡)",'04A_국토부원자료'!$A$4:$T$4,0)),",","")),"")</f>
        <v/>
      </c>
      <c r="F20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46" s="51">
        <f>IFERROR(VALUE(SUBSTITUTE(INDEX('04A_국토부원자료'!$A:$T,ROW()+1,MATCH("거래금액(만원)",'04A_국토부원자료'!$A$4:$T$4,0)),",","")),"")</f>
        <v/>
      </c>
      <c r="H2046" s="174">
        <f>IF(G2046="","",G2046*10000)</f>
        <v/>
      </c>
      <c r="I2046" s="174">
        <f>IFERROR(IF(AND(H2046&gt;0,E2046&gt;0),H2046/E2046,""),"")</f>
        <v/>
      </c>
      <c r="J2046" s="152">
        <f>IFERROR(VALUE(SUBSTITUTE(INDEX('04A_국토부원자료'!$A:$T,ROW()+1,MATCH("층",'04A_국토부원자료'!$A$4:$T$4,0)),",","")),"")</f>
        <v/>
      </c>
      <c r="K2046" s="152">
        <f>IFERROR(VALUE(SUBSTITUTE(INDEX('04A_국토부원자료'!$A:$T,ROW()+1,MATCH("건축년도",'04A_국토부원자료'!$A$4:$T$4,0)),",","")),"")</f>
        <v/>
      </c>
      <c r="L2046" s="48">
        <f>IFERROR(INDEX('04A_국토부원자료'!$A:$T,ROW()+1,MATCH("도로명",'04A_국토부원자료'!$A$4:$T$4,0)),"")</f>
        <v/>
      </c>
      <c r="M2046" s="48">
        <f>IFERROR(INDEX('04A_국토부원자료'!$A:$T,ROW()+1,MATCH("거래유형",'04A_국토부원자료'!$A$4:$T$4,0)),"")</f>
        <v/>
      </c>
      <c r="N2046" s="152">
        <f>IF(B2046="","",IF('02_대상물건입력'!B5="",1,IF(ISNUMBER(SEARCH('02_대상물건입력'!B5,B2046)),1,0)))</f>
        <v/>
      </c>
      <c r="O2046" s="152">
        <f>IF(B2046="","",IF('02_대상물건입력'!B6="",1,IF(ISNUMBER(SEARCH('02_대상물건입력'!B6,B2046)),1,0)))</f>
        <v/>
      </c>
      <c r="P2046" s="152">
        <f>IF(L2046="","",IF('02_대상물건입력'!B15="",0,IF(ISNUMBER(SEARCH('02_대상물건입력'!B15,L2046)),1,0)))</f>
        <v/>
      </c>
      <c r="Q2046" s="152">
        <f>IF(OR(C2046="",L2046=""),0,IF(AND(TRIM(C2046)=TRIM(RIGHT(SUBSTITUTE(TRIM('02_대상물건입력'!$B$7)," ",REPT(" ",99)),99)),IF('02_대상물건입력'!B15="",TRUE(),ISNUMBER(SEARCH('02_대상물건입력'!B15,L2046)))),1,0))</f>
        <v/>
      </c>
      <c r="R2046" s="175">
        <f>IFERROR(ABS(E2046-'02_대상물건입력'!B11)/'02_대상물건입력'!B11,"")</f>
        <v/>
      </c>
      <c r="S2046" s="152">
        <f>IFERROR(ABS(J2046-'02_대상물건입력'!B10),"")</f>
        <v/>
      </c>
      <c r="T2046" s="152">
        <f>IFERROR(ABS('01_설정'!B4-F2046),"")</f>
        <v/>
      </c>
      <c r="U2046" s="152">
        <f>IFERROR(ABS(K2046-YEAR('02_대상물건입력'!B14)),"")</f>
        <v/>
      </c>
      <c r="V2046" s="152">
        <f>IF(B2046="","",IF(AND(E2046&gt;0,F2046&gt;0,H2046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2046=1,TRUE()),R2046&lt;='01_설정'!B5,S2046&lt;='01_설정'!B6,T2046&lt;='01_설정'!B7,U2046&lt;='01_설정'!B8),"Y",""))</f>
        <v/>
      </c>
      <c r="W2046" s="172">
        <f>IF(V2046&lt;&gt;"Y","",MAX(0,(1-R2046/'01_설정'!B5))*'01_설정'!B14+MAX(0,(1-S2046/'01_설정'!B6))*'01_설정'!B15+MAX(0,(1-T2046/'01_설정'!B7))*'01_설정'!B16+MAX(0,(1-U2046/'01_설정'!B8))*'01_설정'!B17+O2046*'01_설정'!B11+Q2046*'01_설정'!B12+P2046*'01_설정'!B13+IF(Z2046="",0,Z2046))</f>
        <v/>
      </c>
      <c r="X2046" s="152">
        <f>IF(W2046="","",1+COUNTIFS($W$4:$W$3003,"&gt;"&amp;W2046)+COUNTIFS($W$4:W2046,W2046)-1)</f>
        <v/>
      </c>
      <c r="Y2046" s="175">
        <f>IF(OR(I2046="",'02_대상물건입력'!B19="",'02_대상물건입력'!B19&lt;=0),"",ABS(I2046-'02_대상물건입력'!B19)/'02_대상물건입력'!B19)</f>
        <v/>
      </c>
      <c r="Z2046" s="172">
        <f>IF(OR(Y2046="",'01_설정'!B31="",'01_설정'!B31&lt;=0,'01_설정'!B32="",'01_설정'!B32&lt;=0),"",MAX(0,(1-Y2046/'01_설정'!B32))*'01_설정'!B31)</f>
        <v/>
      </c>
    </row>
    <row r="2047" ht="17.25" customHeight="1">
      <c r="A2047" s="152">
        <f>IF(INDEX('04A_국토부원자료'!$A:$A,ROW()+1)="","",ROW()-3)</f>
        <v/>
      </c>
      <c r="B2047" s="48">
        <f>IFERROR(INDEX('04A_국토부원자료'!$A:$T,ROW()+1,MATCH("시군구",'04A_국토부원자료'!$A$4:$T$4,0)),"")</f>
        <v/>
      </c>
      <c r="C2047" s="48">
        <f>IF(B2047="","",IFERROR(INDEX('04A_국토부원자료'!$A:$T,ROW()+1,MATCH("번지",'04A_국토부원자료'!$A$4:$T$4,0)),""))</f>
        <v/>
      </c>
      <c r="D2047" s="48">
        <f>IF(B2047="","",IF(Q2047=1,'02_대상물건입력'!$B$8,IFERROR(INDEX('04A_국토부원자료'!$A:$T,ROW()+1,MATCH("단지명",'04A_국토부원자료'!$A$4:$T$4,0)),"")))</f>
        <v/>
      </c>
      <c r="E2047" s="172">
        <f>IFERROR(VALUE(SUBSTITUTE(INDEX('04A_국토부원자료'!$A:$T,ROW()+1,MATCH("전용면적(㎡)",'04A_국토부원자료'!$A$4:$T$4,0)),",","")),"")</f>
        <v/>
      </c>
      <c r="F20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47" s="51">
        <f>IFERROR(VALUE(SUBSTITUTE(INDEX('04A_국토부원자료'!$A:$T,ROW()+1,MATCH("거래금액(만원)",'04A_국토부원자료'!$A$4:$T$4,0)),",","")),"")</f>
        <v/>
      </c>
      <c r="H2047" s="174">
        <f>IF(G2047="","",G2047*10000)</f>
        <v/>
      </c>
      <c r="I2047" s="174">
        <f>IFERROR(IF(AND(H2047&gt;0,E2047&gt;0),H2047/E2047,""),"")</f>
        <v/>
      </c>
      <c r="J2047" s="152">
        <f>IFERROR(VALUE(SUBSTITUTE(INDEX('04A_국토부원자료'!$A:$T,ROW()+1,MATCH("층",'04A_국토부원자료'!$A$4:$T$4,0)),",","")),"")</f>
        <v/>
      </c>
      <c r="K2047" s="152">
        <f>IFERROR(VALUE(SUBSTITUTE(INDEX('04A_국토부원자료'!$A:$T,ROW()+1,MATCH("건축년도",'04A_국토부원자료'!$A$4:$T$4,0)),",","")),"")</f>
        <v/>
      </c>
      <c r="L2047" s="48">
        <f>IFERROR(INDEX('04A_국토부원자료'!$A:$T,ROW()+1,MATCH("도로명",'04A_국토부원자료'!$A$4:$T$4,0)),"")</f>
        <v/>
      </c>
      <c r="M2047" s="48">
        <f>IFERROR(INDEX('04A_국토부원자료'!$A:$T,ROW()+1,MATCH("거래유형",'04A_국토부원자료'!$A$4:$T$4,0)),"")</f>
        <v/>
      </c>
      <c r="N2047" s="152">
        <f>IF(B2047="","",IF('02_대상물건입력'!B5="",1,IF(ISNUMBER(SEARCH('02_대상물건입력'!B5,B2047)),1,0)))</f>
        <v/>
      </c>
      <c r="O2047" s="152">
        <f>IF(B2047="","",IF('02_대상물건입력'!B6="",1,IF(ISNUMBER(SEARCH('02_대상물건입력'!B6,B2047)),1,0)))</f>
        <v/>
      </c>
      <c r="P2047" s="152">
        <f>IF(L2047="","",IF('02_대상물건입력'!B15="",0,IF(ISNUMBER(SEARCH('02_대상물건입력'!B15,L2047)),1,0)))</f>
        <v/>
      </c>
      <c r="Q2047" s="152">
        <f>IF(OR(C2047="",L2047=""),0,IF(AND(TRIM(C2047)=TRIM(RIGHT(SUBSTITUTE(TRIM('02_대상물건입력'!$B$7)," ",REPT(" ",99)),99)),IF('02_대상물건입력'!B15="",TRUE(),ISNUMBER(SEARCH('02_대상물건입력'!B15,L2047)))),1,0))</f>
        <v/>
      </c>
      <c r="R2047" s="175">
        <f>IFERROR(ABS(E2047-'02_대상물건입력'!B11)/'02_대상물건입력'!B11,"")</f>
        <v/>
      </c>
      <c r="S2047" s="152">
        <f>IFERROR(ABS(J2047-'02_대상물건입력'!B10),"")</f>
        <v/>
      </c>
      <c r="T2047" s="152">
        <f>IFERROR(ABS('01_설정'!B4-F2047),"")</f>
        <v/>
      </c>
      <c r="U2047" s="152">
        <f>IFERROR(ABS(K2047-YEAR('02_대상물건입력'!B14)),"")</f>
        <v/>
      </c>
      <c r="V2047" s="152">
        <f>IF(B2047="","",IF(AND(E2047&gt;0,F2047&gt;0,H2047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2047=1,TRUE()),R2047&lt;='01_설정'!B5,S2047&lt;='01_설정'!B6,T2047&lt;='01_설정'!B7,U2047&lt;='01_설정'!B8),"Y",""))</f>
        <v/>
      </c>
      <c r="W2047" s="172">
        <f>IF(V2047&lt;&gt;"Y","",MAX(0,(1-R2047/'01_설정'!B5))*'01_설정'!B14+MAX(0,(1-S2047/'01_설정'!B6))*'01_설정'!B15+MAX(0,(1-T2047/'01_설정'!B7))*'01_설정'!B16+MAX(0,(1-U2047/'01_설정'!B8))*'01_설정'!B17+O2047*'01_설정'!B11+Q2047*'01_설정'!B12+P2047*'01_설정'!B13+IF(Z2047="",0,Z2047))</f>
        <v/>
      </c>
      <c r="X2047" s="152">
        <f>IF(W2047="","",1+COUNTIFS($W$4:$W$3003,"&gt;"&amp;W2047)+COUNTIFS($W$4:W2047,W2047)-1)</f>
        <v/>
      </c>
      <c r="Y2047" s="175">
        <f>IF(OR(I2047="",'02_대상물건입력'!B19="",'02_대상물건입력'!B19&lt;=0),"",ABS(I2047-'02_대상물건입력'!B19)/'02_대상물건입력'!B19)</f>
        <v/>
      </c>
      <c r="Z2047" s="172">
        <f>IF(OR(Y2047="",'01_설정'!B31="",'01_설정'!B31&lt;=0,'01_설정'!B32="",'01_설정'!B32&lt;=0),"",MAX(0,(1-Y2047/'01_설정'!B32))*'01_설정'!B31)</f>
        <v/>
      </c>
    </row>
    <row r="2048" ht="17.25" customHeight="1">
      <c r="A2048" s="152">
        <f>IF(INDEX('04A_국토부원자료'!$A:$A,ROW()+1)="","",ROW()-3)</f>
        <v/>
      </c>
      <c r="B2048" s="48">
        <f>IFERROR(INDEX('04A_국토부원자료'!$A:$T,ROW()+1,MATCH("시군구",'04A_국토부원자료'!$A$4:$T$4,0)),"")</f>
        <v/>
      </c>
      <c r="C2048" s="48">
        <f>IF(B2048="","",IFERROR(INDEX('04A_국토부원자료'!$A:$T,ROW()+1,MATCH("번지",'04A_국토부원자료'!$A$4:$T$4,0)),""))</f>
        <v/>
      </c>
      <c r="D2048" s="48">
        <f>IF(B2048="","",IF(Q2048=1,'02_대상물건입력'!$B$8,IFERROR(INDEX('04A_국토부원자료'!$A:$T,ROW()+1,MATCH("단지명",'04A_국토부원자료'!$A$4:$T$4,0)),"")))</f>
        <v/>
      </c>
      <c r="E2048" s="172">
        <f>IFERROR(VALUE(SUBSTITUTE(INDEX('04A_국토부원자료'!$A:$T,ROW()+1,MATCH("전용면적(㎡)",'04A_국토부원자료'!$A$4:$T$4,0)),",","")),"")</f>
        <v/>
      </c>
      <c r="F20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48" s="51">
        <f>IFERROR(VALUE(SUBSTITUTE(INDEX('04A_국토부원자료'!$A:$T,ROW()+1,MATCH("거래금액(만원)",'04A_국토부원자료'!$A$4:$T$4,0)),",","")),"")</f>
        <v/>
      </c>
      <c r="H2048" s="174">
        <f>IF(G2048="","",G2048*10000)</f>
        <v/>
      </c>
      <c r="I2048" s="174">
        <f>IFERROR(IF(AND(H2048&gt;0,E2048&gt;0),H2048/E2048,""),"")</f>
        <v/>
      </c>
      <c r="J2048" s="152">
        <f>IFERROR(VALUE(SUBSTITUTE(INDEX('04A_국토부원자료'!$A:$T,ROW()+1,MATCH("층",'04A_국토부원자료'!$A$4:$T$4,0)),",","")),"")</f>
        <v/>
      </c>
      <c r="K2048" s="152">
        <f>IFERROR(VALUE(SUBSTITUTE(INDEX('04A_국토부원자료'!$A:$T,ROW()+1,MATCH("건축년도",'04A_국토부원자료'!$A$4:$T$4,0)),",","")),"")</f>
        <v/>
      </c>
      <c r="L2048" s="48">
        <f>IFERROR(INDEX('04A_국토부원자료'!$A:$T,ROW()+1,MATCH("도로명",'04A_국토부원자료'!$A$4:$T$4,0)),"")</f>
        <v/>
      </c>
      <c r="M2048" s="48">
        <f>IFERROR(INDEX('04A_국토부원자료'!$A:$T,ROW()+1,MATCH("거래유형",'04A_국토부원자료'!$A$4:$T$4,0)),"")</f>
        <v/>
      </c>
      <c r="N2048" s="152">
        <f>IF(B2048="","",IF('02_대상물건입력'!B5="",1,IF(ISNUMBER(SEARCH('02_대상물건입력'!B5,B2048)),1,0)))</f>
        <v/>
      </c>
      <c r="O2048" s="152">
        <f>IF(B2048="","",IF('02_대상물건입력'!B6="",1,IF(ISNUMBER(SEARCH('02_대상물건입력'!B6,B2048)),1,0)))</f>
        <v/>
      </c>
      <c r="P2048" s="152">
        <f>IF(L2048="","",IF('02_대상물건입력'!B15="",0,IF(ISNUMBER(SEARCH('02_대상물건입력'!B15,L2048)),1,0)))</f>
        <v/>
      </c>
      <c r="Q2048" s="152">
        <f>IF(OR(C2048="",L2048=""),0,IF(AND(TRIM(C2048)=TRIM(RIGHT(SUBSTITUTE(TRIM('02_대상물건입력'!$B$7)," ",REPT(" ",99)),99)),IF('02_대상물건입력'!B15="",TRUE(),ISNUMBER(SEARCH('02_대상물건입력'!B15,L2048)))),1,0))</f>
        <v/>
      </c>
      <c r="R2048" s="175">
        <f>IFERROR(ABS(E2048-'02_대상물건입력'!B11)/'02_대상물건입력'!B11,"")</f>
        <v/>
      </c>
      <c r="S2048" s="152">
        <f>IFERROR(ABS(J2048-'02_대상물건입력'!B10),"")</f>
        <v/>
      </c>
      <c r="T2048" s="152">
        <f>IFERROR(ABS('01_설정'!B4-F2048),"")</f>
        <v/>
      </c>
      <c r="U2048" s="152">
        <f>IFERROR(ABS(K2048-YEAR('02_대상물건입력'!B14)),"")</f>
        <v/>
      </c>
      <c r="V2048" s="152">
        <f>IF(B2048="","",IF(AND(E2048&gt;0,F2048&gt;0,H2048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2048=1,TRUE()),R2048&lt;='01_설정'!B5,S2048&lt;='01_설정'!B6,T2048&lt;='01_설정'!B7,U2048&lt;='01_설정'!B8),"Y",""))</f>
        <v/>
      </c>
      <c r="W2048" s="172">
        <f>IF(V2048&lt;&gt;"Y","",MAX(0,(1-R2048/'01_설정'!B5))*'01_설정'!B14+MAX(0,(1-S2048/'01_설정'!B6))*'01_설정'!B15+MAX(0,(1-T2048/'01_설정'!B7))*'01_설정'!B16+MAX(0,(1-U2048/'01_설정'!B8))*'01_설정'!B17+O2048*'01_설정'!B11+Q2048*'01_설정'!B12+P2048*'01_설정'!B13+IF(Z2048="",0,Z2048))</f>
        <v/>
      </c>
      <c r="X2048" s="152">
        <f>IF(W2048="","",1+COUNTIFS($W$4:$W$3003,"&gt;"&amp;W2048)+COUNTIFS($W$4:W2048,W2048)-1)</f>
        <v/>
      </c>
      <c r="Y2048" s="175">
        <f>IF(OR(I2048="",'02_대상물건입력'!B19="",'02_대상물건입력'!B19&lt;=0),"",ABS(I2048-'02_대상물건입력'!B19)/'02_대상물건입력'!B19)</f>
        <v/>
      </c>
      <c r="Z2048" s="172">
        <f>IF(OR(Y2048="",'01_설정'!B31="",'01_설정'!B31&lt;=0,'01_설정'!B32="",'01_설정'!B32&lt;=0),"",MAX(0,(1-Y2048/'01_설정'!B32))*'01_설정'!B31)</f>
        <v/>
      </c>
    </row>
    <row r="2049" ht="17.25" customHeight="1">
      <c r="A2049" s="152">
        <f>IF(INDEX('04A_국토부원자료'!$A:$A,ROW()+1)="","",ROW()-3)</f>
        <v/>
      </c>
      <c r="B2049" s="48">
        <f>IFERROR(INDEX('04A_국토부원자료'!$A:$T,ROW()+1,MATCH("시군구",'04A_국토부원자료'!$A$4:$T$4,0)),"")</f>
        <v/>
      </c>
      <c r="C2049" s="48">
        <f>IF(B2049="","",IFERROR(INDEX('04A_국토부원자료'!$A:$T,ROW()+1,MATCH("번지",'04A_국토부원자료'!$A$4:$T$4,0)),""))</f>
        <v/>
      </c>
      <c r="D2049" s="48">
        <f>IF(B2049="","",IF(Q2049=1,'02_대상물건입력'!$B$8,IFERROR(INDEX('04A_국토부원자료'!$A:$T,ROW()+1,MATCH("단지명",'04A_국토부원자료'!$A$4:$T$4,0)),"")))</f>
        <v/>
      </c>
      <c r="E2049" s="172">
        <f>IFERROR(VALUE(SUBSTITUTE(INDEX('04A_국토부원자료'!$A:$T,ROW()+1,MATCH("전용면적(㎡)",'04A_국토부원자료'!$A$4:$T$4,0)),",","")),"")</f>
        <v/>
      </c>
      <c r="F20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49" s="51">
        <f>IFERROR(VALUE(SUBSTITUTE(INDEX('04A_국토부원자료'!$A:$T,ROW()+1,MATCH("거래금액(만원)",'04A_국토부원자료'!$A$4:$T$4,0)),",","")),"")</f>
        <v/>
      </c>
      <c r="H2049" s="174">
        <f>IF(G2049="","",G2049*10000)</f>
        <v/>
      </c>
      <c r="I2049" s="174">
        <f>IFERROR(IF(AND(H2049&gt;0,E2049&gt;0),H2049/E2049,""),"")</f>
        <v/>
      </c>
      <c r="J2049" s="152">
        <f>IFERROR(VALUE(SUBSTITUTE(INDEX('04A_국토부원자료'!$A:$T,ROW()+1,MATCH("층",'04A_국토부원자료'!$A$4:$T$4,0)),",","")),"")</f>
        <v/>
      </c>
      <c r="K2049" s="152">
        <f>IFERROR(VALUE(SUBSTITUTE(INDEX('04A_국토부원자료'!$A:$T,ROW()+1,MATCH("건축년도",'04A_국토부원자료'!$A$4:$T$4,0)),",","")),"")</f>
        <v/>
      </c>
      <c r="L2049" s="48">
        <f>IFERROR(INDEX('04A_국토부원자료'!$A:$T,ROW()+1,MATCH("도로명",'04A_국토부원자료'!$A$4:$T$4,0)),"")</f>
        <v/>
      </c>
      <c r="M2049" s="48">
        <f>IFERROR(INDEX('04A_국토부원자료'!$A:$T,ROW()+1,MATCH("거래유형",'04A_국토부원자료'!$A$4:$T$4,0)),"")</f>
        <v/>
      </c>
      <c r="N2049" s="152">
        <f>IF(B2049="","",IF('02_대상물건입력'!B5="",1,IF(ISNUMBER(SEARCH('02_대상물건입력'!B5,B2049)),1,0)))</f>
        <v/>
      </c>
      <c r="O2049" s="152">
        <f>IF(B2049="","",IF('02_대상물건입력'!B6="",1,IF(ISNUMBER(SEARCH('02_대상물건입력'!B6,B2049)),1,0)))</f>
        <v/>
      </c>
      <c r="P2049" s="152">
        <f>IF(L2049="","",IF('02_대상물건입력'!B15="",0,IF(ISNUMBER(SEARCH('02_대상물건입력'!B15,L2049)),1,0)))</f>
        <v/>
      </c>
      <c r="Q2049" s="152">
        <f>IF(OR(C2049="",L2049=""),0,IF(AND(TRIM(C2049)=TRIM(RIGHT(SUBSTITUTE(TRIM('02_대상물건입력'!$B$7)," ",REPT(" ",99)),99)),IF('02_대상물건입력'!B15="",TRUE(),ISNUMBER(SEARCH('02_대상물건입력'!B15,L2049)))),1,0))</f>
        <v/>
      </c>
      <c r="R2049" s="175">
        <f>IFERROR(ABS(E2049-'02_대상물건입력'!B11)/'02_대상물건입력'!B11,"")</f>
        <v/>
      </c>
      <c r="S2049" s="152">
        <f>IFERROR(ABS(J2049-'02_대상물건입력'!B10),"")</f>
        <v/>
      </c>
      <c r="T2049" s="152">
        <f>IFERROR(ABS('01_설정'!B4-F2049),"")</f>
        <v/>
      </c>
      <c r="U2049" s="152">
        <f>IFERROR(ABS(K2049-YEAR('02_대상물건입력'!B14)),"")</f>
        <v/>
      </c>
      <c r="V2049" s="152">
        <f>IF(B2049="","",IF(AND(E2049&gt;0,F2049&gt;0,H2049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2049=1,TRUE()),R2049&lt;='01_설정'!B5,S2049&lt;='01_설정'!B6,T2049&lt;='01_설정'!B7,U2049&lt;='01_설정'!B8),"Y",""))</f>
        <v/>
      </c>
      <c r="W2049" s="172">
        <f>IF(V2049&lt;&gt;"Y","",MAX(0,(1-R2049/'01_설정'!B5))*'01_설정'!B14+MAX(0,(1-S2049/'01_설정'!B6))*'01_설정'!B15+MAX(0,(1-T2049/'01_설정'!B7))*'01_설정'!B16+MAX(0,(1-U2049/'01_설정'!B8))*'01_설정'!B17+O2049*'01_설정'!B11+Q2049*'01_설정'!B12+P2049*'01_설정'!B13+IF(Z2049="",0,Z2049))</f>
        <v/>
      </c>
      <c r="X2049" s="152">
        <f>IF(W2049="","",1+COUNTIFS($W$4:$W$3003,"&gt;"&amp;W2049)+COUNTIFS($W$4:W2049,W2049)-1)</f>
        <v/>
      </c>
      <c r="Y2049" s="175">
        <f>IF(OR(I2049="",'02_대상물건입력'!B19="",'02_대상물건입력'!B19&lt;=0),"",ABS(I2049-'02_대상물건입력'!B19)/'02_대상물건입력'!B19)</f>
        <v/>
      </c>
      <c r="Z2049" s="172">
        <f>IF(OR(Y2049="",'01_설정'!B31="",'01_설정'!B31&lt;=0,'01_설정'!B32="",'01_설정'!B32&lt;=0),"",MAX(0,(1-Y2049/'01_설정'!B32))*'01_설정'!B31)</f>
        <v/>
      </c>
    </row>
    <row r="2050" ht="17.25" customHeight="1">
      <c r="A2050" s="152">
        <f>IF(INDEX('04A_국토부원자료'!$A:$A,ROW()+1)="","",ROW()-3)</f>
        <v/>
      </c>
      <c r="B2050" s="48">
        <f>IFERROR(INDEX('04A_국토부원자료'!$A:$T,ROW()+1,MATCH("시군구",'04A_국토부원자료'!$A$4:$T$4,0)),"")</f>
        <v/>
      </c>
      <c r="C2050" s="48">
        <f>IF(B2050="","",IFERROR(INDEX('04A_국토부원자료'!$A:$T,ROW()+1,MATCH("번지",'04A_국토부원자료'!$A$4:$T$4,0)),""))</f>
        <v/>
      </c>
      <c r="D2050" s="48">
        <f>IF(B2050="","",IF(Q2050=1,'02_대상물건입력'!$B$8,IFERROR(INDEX('04A_국토부원자료'!$A:$T,ROW()+1,MATCH("단지명",'04A_국토부원자료'!$A$4:$T$4,0)),"")))</f>
        <v/>
      </c>
      <c r="E2050" s="172">
        <f>IFERROR(VALUE(SUBSTITUTE(INDEX('04A_국토부원자료'!$A:$T,ROW()+1,MATCH("전용면적(㎡)",'04A_국토부원자료'!$A$4:$T$4,0)),",","")),"")</f>
        <v/>
      </c>
      <c r="F20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50" s="51">
        <f>IFERROR(VALUE(SUBSTITUTE(INDEX('04A_국토부원자료'!$A:$T,ROW()+1,MATCH("거래금액(만원)",'04A_국토부원자료'!$A$4:$T$4,0)),",","")),"")</f>
        <v/>
      </c>
      <c r="H2050" s="174">
        <f>IF(G2050="","",G2050*10000)</f>
        <v/>
      </c>
      <c r="I2050" s="174">
        <f>IFERROR(IF(AND(H2050&gt;0,E2050&gt;0),H2050/E2050,""),"")</f>
        <v/>
      </c>
      <c r="J2050" s="152">
        <f>IFERROR(VALUE(SUBSTITUTE(INDEX('04A_국토부원자료'!$A:$T,ROW()+1,MATCH("층",'04A_국토부원자료'!$A$4:$T$4,0)),",","")),"")</f>
        <v/>
      </c>
      <c r="K2050" s="152">
        <f>IFERROR(VALUE(SUBSTITUTE(INDEX('04A_국토부원자료'!$A:$T,ROW()+1,MATCH("건축년도",'04A_국토부원자료'!$A$4:$T$4,0)),",","")),"")</f>
        <v/>
      </c>
      <c r="L2050" s="48">
        <f>IFERROR(INDEX('04A_국토부원자료'!$A:$T,ROW()+1,MATCH("도로명",'04A_국토부원자료'!$A$4:$T$4,0)),"")</f>
        <v/>
      </c>
      <c r="M2050" s="48">
        <f>IFERROR(INDEX('04A_국토부원자료'!$A:$T,ROW()+1,MATCH("거래유형",'04A_국토부원자료'!$A$4:$T$4,0)),"")</f>
        <v/>
      </c>
      <c r="N2050" s="152">
        <f>IF(B2050="","",IF('02_대상물건입력'!B5="",1,IF(ISNUMBER(SEARCH('02_대상물건입력'!B5,B2050)),1,0)))</f>
        <v/>
      </c>
      <c r="O2050" s="152">
        <f>IF(B2050="","",IF('02_대상물건입력'!B6="",1,IF(ISNUMBER(SEARCH('02_대상물건입력'!B6,B2050)),1,0)))</f>
        <v/>
      </c>
      <c r="P2050" s="152">
        <f>IF(L2050="","",IF('02_대상물건입력'!B15="",0,IF(ISNUMBER(SEARCH('02_대상물건입력'!B15,L2050)),1,0)))</f>
        <v/>
      </c>
      <c r="Q2050" s="152">
        <f>IF(OR(C2050="",L2050=""),0,IF(AND(TRIM(C2050)=TRIM(RIGHT(SUBSTITUTE(TRIM('02_대상물건입력'!$B$7)," ",REPT(" ",99)),99)),IF('02_대상물건입력'!B15="",TRUE(),ISNUMBER(SEARCH('02_대상물건입력'!B15,L2050)))),1,0))</f>
        <v/>
      </c>
      <c r="R2050" s="175">
        <f>IFERROR(ABS(E2050-'02_대상물건입력'!B11)/'02_대상물건입력'!B11,"")</f>
        <v/>
      </c>
      <c r="S2050" s="152">
        <f>IFERROR(ABS(J2050-'02_대상물건입력'!B10),"")</f>
        <v/>
      </c>
      <c r="T2050" s="152">
        <f>IFERROR(ABS('01_설정'!B4-F2050),"")</f>
        <v/>
      </c>
      <c r="U2050" s="152">
        <f>IFERROR(ABS(K2050-YEAR('02_대상물건입력'!B14)),"")</f>
        <v/>
      </c>
      <c r="V2050" s="152">
        <f>IF(B2050="","",IF(AND(E2050&gt;0,F2050&gt;0,H2050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2050=1,TRUE()),R2050&lt;='01_설정'!B5,S2050&lt;='01_설정'!B6,T2050&lt;='01_설정'!B7,U2050&lt;='01_설정'!B8),"Y",""))</f>
        <v/>
      </c>
      <c r="W2050" s="172">
        <f>IF(V2050&lt;&gt;"Y","",MAX(0,(1-R2050/'01_설정'!B5))*'01_설정'!B14+MAX(0,(1-S2050/'01_설정'!B6))*'01_설정'!B15+MAX(0,(1-T2050/'01_설정'!B7))*'01_설정'!B16+MAX(0,(1-U2050/'01_설정'!B8))*'01_설정'!B17+O2050*'01_설정'!B11+Q2050*'01_설정'!B12+P2050*'01_설정'!B13+IF(Z2050="",0,Z2050))</f>
        <v/>
      </c>
      <c r="X2050" s="152">
        <f>IF(W2050="","",1+COUNTIFS($W$4:$W$3003,"&gt;"&amp;W2050)+COUNTIFS($W$4:W2050,W2050)-1)</f>
        <v/>
      </c>
      <c r="Y2050" s="175">
        <f>IF(OR(I2050="",'02_대상물건입력'!B19="",'02_대상물건입력'!B19&lt;=0),"",ABS(I2050-'02_대상물건입력'!B19)/'02_대상물건입력'!B19)</f>
        <v/>
      </c>
      <c r="Z2050" s="172">
        <f>IF(OR(Y2050="",'01_설정'!B31="",'01_설정'!B31&lt;=0,'01_설정'!B32="",'01_설정'!B32&lt;=0),"",MAX(0,(1-Y2050/'01_설정'!B32))*'01_설정'!B31)</f>
        <v/>
      </c>
    </row>
    <row r="2051" ht="17.25" customHeight="1">
      <c r="A2051" s="152">
        <f>IF(INDEX('04A_국토부원자료'!$A:$A,ROW()+1)="","",ROW()-3)</f>
        <v/>
      </c>
      <c r="B2051" s="48">
        <f>IFERROR(INDEX('04A_국토부원자료'!$A:$T,ROW()+1,MATCH("시군구",'04A_국토부원자료'!$A$4:$T$4,0)),"")</f>
        <v/>
      </c>
      <c r="C2051" s="48">
        <f>IF(B2051="","",IFERROR(INDEX('04A_국토부원자료'!$A:$T,ROW()+1,MATCH("번지",'04A_국토부원자료'!$A$4:$T$4,0)),""))</f>
        <v/>
      </c>
      <c r="D2051" s="48">
        <f>IF(B2051="","",IF(Q2051=1,'02_대상물건입력'!$B$8,IFERROR(INDEX('04A_국토부원자료'!$A:$T,ROW()+1,MATCH("단지명",'04A_국토부원자료'!$A$4:$T$4,0)),"")))</f>
        <v/>
      </c>
      <c r="E2051" s="172">
        <f>IFERROR(VALUE(SUBSTITUTE(INDEX('04A_국토부원자료'!$A:$T,ROW()+1,MATCH("전용면적(㎡)",'04A_국토부원자료'!$A$4:$T$4,0)),",","")),"")</f>
        <v/>
      </c>
      <c r="F20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51" s="51">
        <f>IFERROR(VALUE(SUBSTITUTE(INDEX('04A_국토부원자료'!$A:$T,ROW()+1,MATCH("거래금액(만원)",'04A_국토부원자료'!$A$4:$T$4,0)),",","")),"")</f>
        <v/>
      </c>
      <c r="H2051" s="174">
        <f>IF(G2051="","",G2051*10000)</f>
        <v/>
      </c>
      <c r="I2051" s="174">
        <f>IFERROR(IF(AND(H2051&gt;0,E2051&gt;0),H2051/E2051,""),"")</f>
        <v/>
      </c>
      <c r="J2051" s="152">
        <f>IFERROR(VALUE(SUBSTITUTE(INDEX('04A_국토부원자료'!$A:$T,ROW()+1,MATCH("층",'04A_국토부원자료'!$A$4:$T$4,0)),",","")),"")</f>
        <v/>
      </c>
      <c r="K2051" s="152">
        <f>IFERROR(VALUE(SUBSTITUTE(INDEX('04A_국토부원자료'!$A:$T,ROW()+1,MATCH("건축년도",'04A_국토부원자료'!$A$4:$T$4,0)),",","")),"")</f>
        <v/>
      </c>
      <c r="L2051" s="48">
        <f>IFERROR(INDEX('04A_국토부원자료'!$A:$T,ROW()+1,MATCH("도로명",'04A_국토부원자료'!$A$4:$T$4,0)),"")</f>
        <v/>
      </c>
      <c r="M2051" s="48">
        <f>IFERROR(INDEX('04A_국토부원자료'!$A:$T,ROW()+1,MATCH("거래유형",'04A_국토부원자료'!$A$4:$T$4,0)),"")</f>
        <v/>
      </c>
      <c r="N2051" s="152">
        <f>IF(B2051="","",IF('02_대상물건입력'!B5="",1,IF(ISNUMBER(SEARCH('02_대상물건입력'!B5,B2051)),1,0)))</f>
        <v/>
      </c>
      <c r="O2051" s="152">
        <f>IF(B2051="","",IF('02_대상물건입력'!B6="",1,IF(ISNUMBER(SEARCH('02_대상물건입력'!B6,B2051)),1,0)))</f>
        <v/>
      </c>
      <c r="P2051" s="152">
        <f>IF(L2051="","",IF('02_대상물건입력'!B15="",0,IF(ISNUMBER(SEARCH('02_대상물건입력'!B15,L2051)),1,0)))</f>
        <v/>
      </c>
      <c r="Q2051" s="152">
        <f>IF(OR(C2051="",L2051=""),0,IF(AND(TRIM(C2051)=TRIM(RIGHT(SUBSTITUTE(TRIM('02_대상물건입력'!$B$7)," ",REPT(" ",99)),99)),IF('02_대상물건입력'!B15="",TRUE(),ISNUMBER(SEARCH('02_대상물건입력'!B15,L2051)))),1,0))</f>
        <v/>
      </c>
      <c r="R2051" s="175">
        <f>IFERROR(ABS(E2051-'02_대상물건입력'!B11)/'02_대상물건입력'!B11,"")</f>
        <v/>
      </c>
      <c r="S2051" s="152">
        <f>IFERROR(ABS(J2051-'02_대상물건입력'!B10),"")</f>
        <v/>
      </c>
      <c r="T2051" s="152">
        <f>IFERROR(ABS('01_설정'!B4-F2051),"")</f>
        <v/>
      </c>
      <c r="U2051" s="152">
        <f>IFERROR(ABS(K2051-YEAR('02_대상물건입력'!B14)),"")</f>
        <v/>
      </c>
      <c r="V2051" s="152">
        <f>IF(B2051="","",IF(AND(E2051&gt;0,F2051&gt;0,H2051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2051=1,TRUE()),R2051&lt;='01_설정'!B5,S2051&lt;='01_설정'!B6,T2051&lt;='01_설정'!B7,U2051&lt;='01_설정'!B8),"Y",""))</f>
        <v/>
      </c>
      <c r="W2051" s="172">
        <f>IF(V2051&lt;&gt;"Y","",MAX(0,(1-R2051/'01_설정'!B5))*'01_설정'!B14+MAX(0,(1-S2051/'01_설정'!B6))*'01_설정'!B15+MAX(0,(1-T2051/'01_설정'!B7))*'01_설정'!B16+MAX(0,(1-U2051/'01_설정'!B8))*'01_설정'!B17+O2051*'01_설정'!B11+Q2051*'01_설정'!B12+P2051*'01_설정'!B13+IF(Z2051="",0,Z2051))</f>
        <v/>
      </c>
      <c r="X2051" s="152">
        <f>IF(W2051="","",1+COUNTIFS($W$4:$W$3003,"&gt;"&amp;W2051)+COUNTIFS($W$4:W2051,W2051)-1)</f>
        <v/>
      </c>
      <c r="Y2051" s="175">
        <f>IF(OR(I2051="",'02_대상물건입력'!B19="",'02_대상물건입력'!B19&lt;=0),"",ABS(I2051-'02_대상물건입력'!B19)/'02_대상물건입력'!B19)</f>
        <v/>
      </c>
      <c r="Z2051" s="172">
        <f>IF(OR(Y2051="",'01_설정'!B31="",'01_설정'!B31&lt;=0,'01_설정'!B32="",'01_설정'!B32&lt;=0),"",MAX(0,(1-Y2051/'01_설정'!B32))*'01_설정'!B31)</f>
        <v/>
      </c>
    </row>
    <row r="2052" ht="17.25" customHeight="1">
      <c r="A2052" s="152">
        <f>IF(INDEX('04A_국토부원자료'!$A:$A,ROW()+1)="","",ROW()-3)</f>
        <v/>
      </c>
      <c r="B2052" s="48">
        <f>IFERROR(INDEX('04A_국토부원자료'!$A:$T,ROW()+1,MATCH("시군구",'04A_국토부원자료'!$A$4:$T$4,0)),"")</f>
        <v/>
      </c>
      <c r="C2052" s="48">
        <f>IF(B2052="","",IFERROR(INDEX('04A_국토부원자료'!$A:$T,ROW()+1,MATCH("번지",'04A_국토부원자료'!$A$4:$T$4,0)),""))</f>
        <v/>
      </c>
      <c r="D2052" s="48">
        <f>IF(B2052="","",IF(Q2052=1,'02_대상물건입력'!$B$8,IFERROR(INDEX('04A_국토부원자료'!$A:$T,ROW()+1,MATCH("단지명",'04A_국토부원자료'!$A$4:$T$4,0)),"")))</f>
        <v/>
      </c>
      <c r="E2052" s="172">
        <f>IFERROR(VALUE(SUBSTITUTE(INDEX('04A_국토부원자료'!$A:$T,ROW()+1,MATCH("전용면적(㎡)",'04A_국토부원자료'!$A$4:$T$4,0)),",","")),"")</f>
        <v/>
      </c>
      <c r="F20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52" s="51">
        <f>IFERROR(VALUE(SUBSTITUTE(INDEX('04A_국토부원자료'!$A:$T,ROW()+1,MATCH("거래금액(만원)",'04A_국토부원자료'!$A$4:$T$4,0)),",","")),"")</f>
        <v/>
      </c>
      <c r="H2052" s="174">
        <f>IF(G2052="","",G2052*10000)</f>
        <v/>
      </c>
      <c r="I2052" s="174">
        <f>IFERROR(IF(AND(H2052&gt;0,E2052&gt;0),H2052/E2052,""),"")</f>
        <v/>
      </c>
      <c r="J2052" s="152">
        <f>IFERROR(VALUE(SUBSTITUTE(INDEX('04A_국토부원자료'!$A:$T,ROW()+1,MATCH("층",'04A_국토부원자료'!$A$4:$T$4,0)),",","")),"")</f>
        <v/>
      </c>
      <c r="K2052" s="152">
        <f>IFERROR(VALUE(SUBSTITUTE(INDEX('04A_국토부원자료'!$A:$T,ROW()+1,MATCH("건축년도",'04A_국토부원자료'!$A$4:$T$4,0)),",","")),"")</f>
        <v/>
      </c>
      <c r="L2052" s="48">
        <f>IFERROR(INDEX('04A_국토부원자료'!$A:$T,ROW()+1,MATCH("도로명",'04A_국토부원자료'!$A$4:$T$4,0)),"")</f>
        <v/>
      </c>
      <c r="M2052" s="48">
        <f>IFERROR(INDEX('04A_국토부원자료'!$A:$T,ROW()+1,MATCH("거래유형",'04A_국토부원자료'!$A$4:$T$4,0)),"")</f>
        <v/>
      </c>
      <c r="N2052" s="152">
        <f>IF(B2052="","",IF('02_대상물건입력'!B5="",1,IF(ISNUMBER(SEARCH('02_대상물건입력'!B5,B2052)),1,0)))</f>
        <v/>
      </c>
      <c r="O2052" s="152">
        <f>IF(B2052="","",IF('02_대상물건입력'!B6="",1,IF(ISNUMBER(SEARCH('02_대상물건입력'!B6,B2052)),1,0)))</f>
        <v/>
      </c>
      <c r="P2052" s="152">
        <f>IF(L2052="","",IF('02_대상물건입력'!B15="",0,IF(ISNUMBER(SEARCH('02_대상물건입력'!B15,L2052)),1,0)))</f>
        <v/>
      </c>
      <c r="Q2052" s="152">
        <f>IF(OR(C2052="",L2052=""),0,IF(AND(TRIM(C2052)=TRIM(RIGHT(SUBSTITUTE(TRIM('02_대상물건입력'!$B$7)," ",REPT(" ",99)),99)),IF('02_대상물건입력'!B15="",TRUE(),ISNUMBER(SEARCH('02_대상물건입력'!B15,L2052)))),1,0))</f>
        <v/>
      </c>
      <c r="R2052" s="175">
        <f>IFERROR(ABS(E2052-'02_대상물건입력'!B11)/'02_대상물건입력'!B11,"")</f>
        <v/>
      </c>
      <c r="S2052" s="152">
        <f>IFERROR(ABS(J2052-'02_대상물건입력'!B10),"")</f>
        <v/>
      </c>
      <c r="T2052" s="152">
        <f>IFERROR(ABS('01_설정'!B4-F2052),"")</f>
        <v/>
      </c>
      <c r="U2052" s="152">
        <f>IFERROR(ABS(K2052-YEAR('02_대상물건입력'!B14)),"")</f>
        <v/>
      </c>
      <c r="V2052" s="152">
        <f>IF(B2052="","",IF(AND(E2052&gt;0,F2052&gt;0,H2052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2052=1,TRUE()),R2052&lt;='01_설정'!B5,S2052&lt;='01_설정'!B6,T2052&lt;='01_설정'!B7,U2052&lt;='01_설정'!B8),"Y",""))</f>
        <v/>
      </c>
      <c r="W2052" s="172">
        <f>IF(V2052&lt;&gt;"Y","",MAX(0,(1-R2052/'01_설정'!B5))*'01_설정'!B14+MAX(0,(1-S2052/'01_설정'!B6))*'01_설정'!B15+MAX(0,(1-T2052/'01_설정'!B7))*'01_설정'!B16+MAX(0,(1-U2052/'01_설정'!B8))*'01_설정'!B17+O2052*'01_설정'!B11+Q2052*'01_설정'!B12+P2052*'01_설정'!B13+IF(Z2052="",0,Z2052))</f>
        <v/>
      </c>
      <c r="X2052" s="152">
        <f>IF(W2052="","",1+COUNTIFS($W$4:$W$3003,"&gt;"&amp;W2052)+COUNTIFS($W$4:W2052,W2052)-1)</f>
        <v/>
      </c>
      <c r="Y2052" s="175">
        <f>IF(OR(I2052="",'02_대상물건입력'!B19="",'02_대상물건입력'!B19&lt;=0),"",ABS(I2052-'02_대상물건입력'!B19)/'02_대상물건입력'!B19)</f>
        <v/>
      </c>
      <c r="Z2052" s="172">
        <f>IF(OR(Y2052="",'01_설정'!B31="",'01_설정'!B31&lt;=0,'01_설정'!B32="",'01_설정'!B32&lt;=0),"",MAX(0,(1-Y2052/'01_설정'!B32))*'01_설정'!B31)</f>
        <v/>
      </c>
    </row>
    <row r="2053" ht="17.25" customHeight="1">
      <c r="A2053" s="152">
        <f>IF(INDEX('04A_국토부원자료'!$A:$A,ROW()+1)="","",ROW()-3)</f>
        <v/>
      </c>
      <c r="B2053" s="48">
        <f>IFERROR(INDEX('04A_국토부원자료'!$A:$T,ROW()+1,MATCH("시군구",'04A_국토부원자료'!$A$4:$T$4,0)),"")</f>
        <v/>
      </c>
      <c r="C2053" s="48">
        <f>IF(B2053="","",IFERROR(INDEX('04A_국토부원자료'!$A:$T,ROW()+1,MATCH("번지",'04A_국토부원자료'!$A$4:$T$4,0)),""))</f>
        <v/>
      </c>
      <c r="D2053" s="48">
        <f>IF(B2053="","",IF(Q2053=1,'02_대상물건입력'!$B$8,IFERROR(INDEX('04A_국토부원자료'!$A:$T,ROW()+1,MATCH("단지명",'04A_국토부원자료'!$A$4:$T$4,0)),"")))</f>
        <v/>
      </c>
      <c r="E2053" s="172">
        <f>IFERROR(VALUE(SUBSTITUTE(INDEX('04A_국토부원자료'!$A:$T,ROW()+1,MATCH("전용면적(㎡)",'04A_국토부원자료'!$A$4:$T$4,0)),",","")),"")</f>
        <v/>
      </c>
      <c r="F20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53" s="51">
        <f>IFERROR(VALUE(SUBSTITUTE(INDEX('04A_국토부원자료'!$A:$T,ROW()+1,MATCH("거래금액(만원)",'04A_국토부원자료'!$A$4:$T$4,0)),",","")),"")</f>
        <v/>
      </c>
      <c r="H2053" s="174">
        <f>IF(G2053="","",G2053*10000)</f>
        <v/>
      </c>
      <c r="I2053" s="174">
        <f>IFERROR(IF(AND(H2053&gt;0,E2053&gt;0),H2053/E2053,""),"")</f>
        <v/>
      </c>
      <c r="J2053" s="152">
        <f>IFERROR(VALUE(SUBSTITUTE(INDEX('04A_국토부원자료'!$A:$T,ROW()+1,MATCH("층",'04A_국토부원자료'!$A$4:$T$4,0)),",","")),"")</f>
        <v/>
      </c>
      <c r="K2053" s="152">
        <f>IFERROR(VALUE(SUBSTITUTE(INDEX('04A_국토부원자료'!$A:$T,ROW()+1,MATCH("건축년도",'04A_국토부원자료'!$A$4:$T$4,0)),",","")),"")</f>
        <v/>
      </c>
      <c r="L2053" s="48">
        <f>IFERROR(INDEX('04A_국토부원자료'!$A:$T,ROW()+1,MATCH("도로명",'04A_국토부원자료'!$A$4:$T$4,0)),"")</f>
        <v/>
      </c>
      <c r="M2053" s="48">
        <f>IFERROR(INDEX('04A_국토부원자료'!$A:$T,ROW()+1,MATCH("거래유형",'04A_국토부원자료'!$A$4:$T$4,0)),"")</f>
        <v/>
      </c>
      <c r="N2053" s="152">
        <f>IF(B2053="","",IF('02_대상물건입력'!B5="",1,IF(ISNUMBER(SEARCH('02_대상물건입력'!B5,B2053)),1,0)))</f>
        <v/>
      </c>
      <c r="O2053" s="152">
        <f>IF(B2053="","",IF('02_대상물건입력'!B6="",1,IF(ISNUMBER(SEARCH('02_대상물건입력'!B6,B2053)),1,0)))</f>
        <v/>
      </c>
      <c r="P2053" s="152">
        <f>IF(L2053="","",IF('02_대상물건입력'!B15="",0,IF(ISNUMBER(SEARCH('02_대상물건입력'!B15,L2053)),1,0)))</f>
        <v/>
      </c>
      <c r="Q2053" s="152">
        <f>IF(OR(C2053="",L2053=""),0,IF(AND(TRIM(C2053)=TRIM(RIGHT(SUBSTITUTE(TRIM('02_대상물건입력'!$B$7)," ",REPT(" ",99)),99)),IF('02_대상물건입력'!B15="",TRUE(),ISNUMBER(SEARCH('02_대상물건입력'!B15,L2053)))),1,0))</f>
        <v/>
      </c>
      <c r="R2053" s="175">
        <f>IFERROR(ABS(E2053-'02_대상물건입력'!B11)/'02_대상물건입력'!B11,"")</f>
        <v/>
      </c>
      <c r="S2053" s="152">
        <f>IFERROR(ABS(J2053-'02_대상물건입력'!B10),"")</f>
        <v/>
      </c>
      <c r="T2053" s="152">
        <f>IFERROR(ABS('01_설정'!B4-F2053),"")</f>
        <v/>
      </c>
      <c r="U2053" s="152">
        <f>IFERROR(ABS(K2053-YEAR('02_대상물건입력'!B14)),"")</f>
        <v/>
      </c>
      <c r="V2053" s="152">
        <f>IF(B2053="","",IF(AND(E2053&gt;0,F2053&gt;0,H2053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2053=1,TRUE()),R2053&lt;='01_설정'!B5,S2053&lt;='01_설정'!B6,T2053&lt;='01_설정'!B7,U2053&lt;='01_설정'!B8),"Y",""))</f>
        <v/>
      </c>
      <c r="W2053" s="172">
        <f>IF(V2053&lt;&gt;"Y","",MAX(0,(1-R2053/'01_설정'!B5))*'01_설정'!B14+MAX(0,(1-S2053/'01_설정'!B6))*'01_설정'!B15+MAX(0,(1-T2053/'01_설정'!B7))*'01_설정'!B16+MAX(0,(1-U2053/'01_설정'!B8))*'01_설정'!B17+O2053*'01_설정'!B11+Q2053*'01_설정'!B12+P2053*'01_설정'!B13+IF(Z2053="",0,Z2053))</f>
        <v/>
      </c>
      <c r="X2053" s="152">
        <f>IF(W2053="","",1+COUNTIFS($W$4:$W$3003,"&gt;"&amp;W2053)+COUNTIFS($W$4:W2053,W2053)-1)</f>
        <v/>
      </c>
      <c r="Y2053" s="175">
        <f>IF(OR(I2053="",'02_대상물건입력'!B19="",'02_대상물건입력'!B19&lt;=0),"",ABS(I2053-'02_대상물건입력'!B19)/'02_대상물건입력'!B19)</f>
        <v/>
      </c>
      <c r="Z2053" s="172">
        <f>IF(OR(Y2053="",'01_설정'!B31="",'01_설정'!B31&lt;=0,'01_설정'!B32="",'01_설정'!B32&lt;=0),"",MAX(0,(1-Y2053/'01_설정'!B32))*'01_설정'!B31)</f>
        <v/>
      </c>
    </row>
    <row r="2054" ht="17.25" customHeight="1">
      <c r="A2054" s="152">
        <f>IF(INDEX('04A_국토부원자료'!$A:$A,ROW()+1)="","",ROW()-3)</f>
        <v/>
      </c>
      <c r="B2054" s="48">
        <f>IFERROR(INDEX('04A_국토부원자료'!$A:$T,ROW()+1,MATCH("시군구",'04A_국토부원자료'!$A$4:$T$4,0)),"")</f>
        <v/>
      </c>
      <c r="C2054" s="48">
        <f>IF(B2054="","",IFERROR(INDEX('04A_국토부원자료'!$A:$T,ROW()+1,MATCH("번지",'04A_국토부원자료'!$A$4:$T$4,0)),""))</f>
        <v/>
      </c>
      <c r="D2054" s="48">
        <f>IF(B2054="","",IF(Q2054=1,'02_대상물건입력'!$B$8,IFERROR(INDEX('04A_국토부원자료'!$A:$T,ROW()+1,MATCH("단지명",'04A_국토부원자료'!$A$4:$T$4,0)),"")))</f>
        <v/>
      </c>
      <c r="E2054" s="172">
        <f>IFERROR(VALUE(SUBSTITUTE(INDEX('04A_국토부원자료'!$A:$T,ROW()+1,MATCH("전용면적(㎡)",'04A_국토부원자료'!$A$4:$T$4,0)),",","")),"")</f>
        <v/>
      </c>
      <c r="F20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54" s="51">
        <f>IFERROR(VALUE(SUBSTITUTE(INDEX('04A_국토부원자료'!$A:$T,ROW()+1,MATCH("거래금액(만원)",'04A_국토부원자료'!$A$4:$T$4,0)),",","")),"")</f>
        <v/>
      </c>
      <c r="H2054" s="174">
        <f>IF(G2054="","",G2054*10000)</f>
        <v/>
      </c>
      <c r="I2054" s="174">
        <f>IFERROR(IF(AND(H2054&gt;0,E2054&gt;0),H2054/E2054,""),"")</f>
        <v/>
      </c>
      <c r="J2054" s="152">
        <f>IFERROR(VALUE(SUBSTITUTE(INDEX('04A_국토부원자료'!$A:$T,ROW()+1,MATCH("층",'04A_국토부원자료'!$A$4:$T$4,0)),",","")),"")</f>
        <v/>
      </c>
      <c r="K2054" s="152">
        <f>IFERROR(VALUE(SUBSTITUTE(INDEX('04A_국토부원자료'!$A:$T,ROW()+1,MATCH("건축년도",'04A_국토부원자료'!$A$4:$T$4,0)),",","")),"")</f>
        <v/>
      </c>
      <c r="L2054" s="48">
        <f>IFERROR(INDEX('04A_국토부원자료'!$A:$T,ROW()+1,MATCH("도로명",'04A_국토부원자료'!$A$4:$T$4,0)),"")</f>
        <v/>
      </c>
      <c r="M2054" s="48">
        <f>IFERROR(INDEX('04A_국토부원자료'!$A:$T,ROW()+1,MATCH("거래유형",'04A_국토부원자료'!$A$4:$T$4,0)),"")</f>
        <v/>
      </c>
      <c r="N2054" s="152">
        <f>IF(B2054="","",IF('02_대상물건입력'!B5="",1,IF(ISNUMBER(SEARCH('02_대상물건입력'!B5,B2054)),1,0)))</f>
        <v/>
      </c>
      <c r="O2054" s="152">
        <f>IF(B2054="","",IF('02_대상물건입력'!B6="",1,IF(ISNUMBER(SEARCH('02_대상물건입력'!B6,B2054)),1,0)))</f>
        <v/>
      </c>
      <c r="P2054" s="152">
        <f>IF(L2054="","",IF('02_대상물건입력'!B15="",0,IF(ISNUMBER(SEARCH('02_대상물건입력'!B15,L2054)),1,0)))</f>
        <v/>
      </c>
      <c r="Q2054" s="152">
        <f>IF(OR(C2054="",L2054=""),0,IF(AND(TRIM(C2054)=TRIM(RIGHT(SUBSTITUTE(TRIM('02_대상물건입력'!$B$7)," ",REPT(" ",99)),99)),IF('02_대상물건입력'!B15="",TRUE(),ISNUMBER(SEARCH('02_대상물건입력'!B15,L2054)))),1,0))</f>
        <v/>
      </c>
      <c r="R2054" s="175">
        <f>IFERROR(ABS(E2054-'02_대상물건입력'!B11)/'02_대상물건입력'!B11,"")</f>
        <v/>
      </c>
      <c r="S2054" s="152">
        <f>IFERROR(ABS(J2054-'02_대상물건입력'!B10),"")</f>
        <v/>
      </c>
      <c r="T2054" s="152">
        <f>IFERROR(ABS('01_설정'!B4-F2054),"")</f>
        <v/>
      </c>
      <c r="U2054" s="152">
        <f>IFERROR(ABS(K2054-YEAR('02_대상물건입력'!B14)),"")</f>
        <v/>
      </c>
      <c r="V2054" s="152">
        <f>IF(B2054="","",IF(AND(E2054&gt;0,F2054&gt;0,H2054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2054=1,TRUE()),R2054&lt;='01_설정'!B5,S2054&lt;='01_설정'!B6,T2054&lt;='01_설정'!B7,U2054&lt;='01_설정'!B8),"Y",""))</f>
        <v/>
      </c>
      <c r="W2054" s="172">
        <f>IF(V2054&lt;&gt;"Y","",MAX(0,(1-R2054/'01_설정'!B5))*'01_설정'!B14+MAX(0,(1-S2054/'01_설정'!B6))*'01_설정'!B15+MAX(0,(1-T2054/'01_설정'!B7))*'01_설정'!B16+MAX(0,(1-U2054/'01_설정'!B8))*'01_설정'!B17+O2054*'01_설정'!B11+Q2054*'01_설정'!B12+P2054*'01_설정'!B13+IF(Z2054="",0,Z2054))</f>
        <v/>
      </c>
      <c r="X2054" s="152">
        <f>IF(W2054="","",1+COUNTIFS($W$4:$W$3003,"&gt;"&amp;W2054)+COUNTIFS($W$4:W2054,W2054)-1)</f>
        <v/>
      </c>
      <c r="Y2054" s="175">
        <f>IF(OR(I2054="",'02_대상물건입력'!B19="",'02_대상물건입력'!B19&lt;=0),"",ABS(I2054-'02_대상물건입력'!B19)/'02_대상물건입력'!B19)</f>
        <v/>
      </c>
      <c r="Z2054" s="172">
        <f>IF(OR(Y2054="",'01_설정'!B31="",'01_설정'!B31&lt;=0,'01_설정'!B32="",'01_설정'!B32&lt;=0),"",MAX(0,(1-Y2054/'01_설정'!B32))*'01_설정'!B31)</f>
        <v/>
      </c>
    </row>
    <row r="2055" ht="17.25" customHeight="1">
      <c r="A2055" s="152">
        <f>IF(INDEX('04A_국토부원자료'!$A:$A,ROW()+1)="","",ROW()-3)</f>
        <v/>
      </c>
      <c r="B2055" s="48">
        <f>IFERROR(INDEX('04A_국토부원자료'!$A:$T,ROW()+1,MATCH("시군구",'04A_국토부원자료'!$A$4:$T$4,0)),"")</f>
        <v/>
      </c>
      <c r="C2055" s="48">
        <f>IF(B2055="","",IFERROR(INDEX('04A_국토부원자료'!$A:$T,ROW()+1,MATCH("번지",'04A_국토부원자료'!$A$4:$T$4,0)),""))</f>
        <v/>
      </c>
      <c r="D2055" s="48">
        <f>IF(B2055="","",IF(Q2055=1,'02_대상물건입력'!$B$8,IFERROR(INDEX('04A_국토부원자료'!$A:$T,ROW()+1,MATCH("단지명",'04A_국토부원자료'!$A$4:$T$4,0)),"")))</f>
        <v/>
      </c>
      <c r="E2055" s="172">
        <f>IFERROR(VALUE(SUBSTITUTE(INDEX('04A_국토부원자료'!$A:$T,ROW()+1,MATCH("전용면적(㎡)",'04A_국토부원자료'!$A$4:$T$4,0)),",","")),"")</f>
        <v/>
      </c>
      <c r="F20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55" s="51">
        <f>IFERROR(VALUE(SUBSTITUTE(INDEX('04A_국토부원자료'!$A:$T,ROW()+1,MATCH("거래금액(만원)",'04A_국토부원자료'!$A$4:$T$4,0)),",","")),"")</f>
        <v/>
      </c>
      <c r="H2055" s="174">
        <f>IF(G2055="","",G2055*10000)</f>
        <v/>
      </c>
      <c r="I2055" s="174">
        <f>IFERROR(IF(AND(H2055&gt;0,E2055&gt;0),H2055/E2055,""),"")</f>
        <v/>
      </c>
      <c r="J2055" s="152">
        <f>IFERROR(VALUE(SUBSTITUTE(INDEX('04A_국토부원자료'!$A:$T,ROW()+1,MATCH("층",'04A_국토부원자료'!$A$4:$T$4,0)),",","")),"")</f>
        <v/>
      </c>
      <c r="K2055" s="152">
        <f>IFERROR(VALUE(SUBSTITUTE(INDEX('04A_국토부원자료'!$A:$T,ROW()+1,MATCH("건축년도",'04A_국토부원자료'!$A$4:$T$4,0)),",","")),"")</f>
        <v/>
      </c>
      <c r="L2055" s="48">
        <f>IFERROR(INDEX('04A_국토부원자료'!$A:$T,ROW()+1,MATCH("도로명",'04A_국토부원자료'!$A$4:$T$4,0)),"")</f>
        <v/>
      </c>
      <c r="M2055" s="48">
        <f>IFERROR(INDEX('04A_국토부원자료'!$A:$T,ROW()+1,MATCH("거래유형",'04A_국토부원자료'!$A$4:$T$4,0)),"")</f>
        <v/>
      </c>
      <c r="N2055" s="152">
        <f>IF(B2055="","",IF('02_대상물건입력'!B5="",1,IF(ISNUMBER(SEARCH('02_대상물건입력'!B5,B2055)),1,0)))</f>
        <v/>
      </c>
      <c r="O2055" s="152">
        <f>IF(B2055="","",IF('02_대상물건입력'!B6="",1,IF(ISNUMBER(SEARCH('02_대상물건입력'!B6,B2055)),1,0)))</f>
        <v/>
      </c>
      <c r="P2055" s="152">
        <f>IF(L2055="","",IF('02_대상물건입력'!B15="",0,IF(ISNUMBER(SEARCH('02_대상물건입력'!B15,L2055)),1,0)))</f>
        <v/>
      </c>
      <c r="Q2055" s="152">
        <f>IF(OR(C2055="",L2055=""),0,IF(AND(TRIM(C2055)=TRIM(RIGHT(SUBSTITUTE(TRIM('02_대상물건입력'!$B$7)," ",REPT(" ",99)),99)),IF('02_대상물건입력'!B15="",TRUE(),ISNUMBER(SEARCH('02_대상물건입력'!B15,L2055)))),1,0))</f>
        <v/>
      </c>
      <c r="R2055" s="175">
        <f>IFERROR(ABS(E2055-'02_대상물건입력'!B11)/'02_대상물건입력'!B11,"")</f>
        <v/>
      </c>
      <c r="S2055" s="152">
        <f>IFERROR(ABS(J2055-'02_대상물건입력'!B10),"")</f>
        <v/>
      </c>
      <c r="T2055" s="152">
        <f>IFERROR(ABS('01_설정'!B4-F2055),"")</f>
        <v/>
      </c>
      <c r="U2055" s="152">
        <f>IFERROR(ABS(K2055-YEAR('02_대상물건입력'!B14)),"")</f>
        <v/>
      </c>
      <c r="V2055" s="152">
        <f>IF(B2055="","",IF(AND(E2055&gt;0,F2055&gt;0,H2055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2055=1,TRUE()),R2055&lt;='01_설정'!B5,S2055&lt;='01_설정'!B6,T2055&lt;='01_설정'!B7,U2055&lt;='01_설정'!B8),"Y",""))</f>
        <v/>
      </c>
      <c r="W2055" s="172">
        <f>IF(V2055&lt;&gt;"Y","",MAX(0,(1-R2055/'01_설정'!B5))*'01_설정'!B14+MAX(0,(1-S2055/'01_설정'!B6))*'01_설정'!B15+MAX(0,(1-T2055/'01_설정'!B7))*'01_설정'!B16+MAX(0,(1-U2055/'01_설정'!B8))*'01_설정'!B17+O2055*'01_설정'!B11+Q2055*'01_설정'!B12+P2055*'01_설정'!B13+IF(Z2055="",0,Z2055))</f>
        <v/>
      </c>
      <c r="X2055" s="152">
        <f>IF(W2055="","",1+COUNTIFS($W$4:$W$3003,"&gt;"&amp;W2055)+COUNTIFS($W$4:W2055,W2055)-1)</f>
        <v/>
      </c>
      <c r="Y2055" s="175">
        <f>IF(OR(I2055="",'02_대상물건입력'!B19="",'02_대상물건입력'!B19&lt;=0),"",ABS(I2055-'02_대상물건입력'!B19)/'02_대상물건입력'!B19)</f>
        <v/>
      </c>
      <c r="Z2055" s="172">
        <f>IF(OR(Y2055="",'01_설정'!B31="",'01_설정'!B31&lt;=0,'01_설정'!B32="",'01_설정'!B32&lt;=0),"",MAX(0,(1-Y2055/'01_설정'!B32))*'01_설정'!B31)</f>
        <v/>
      </c>
    </row>
    <row r="2056" ht="17.25" customHeight="1">
      <c r="A2056" s="152">
        <f>IF(INDEX('04A_국토부원자료'!$A:$A,ROW()+1)="","",ROW()-3)</f>
        <v/>
      </c>
      <c r="B2056" s="48">
        <f>IFERROR(INDEX('04A_국토부원자료'!$A:$T,ROW()+1,MATCH("시군구",'04A_국토부원자료'!$A$4:$T$4,0)),"")</f>
        <v/>
      </c>
      <c r="C2056" s="48">
        <f>IF(B2056="","",IFERROR(INDEX('04A_국토부원자료'!$A:$T,ROW()+1,MATCH("번지",'04A_국토부원자료'!$A$4:$T$4,0)),""))</f>
        <v/>
      </c>
      <c r="D2056" s="48">
        <f>IF(B2056="","",IF(Q2056=1,'02_대상물건입력'!$B$8,IFERROR(INDEX('04A_국토부원자료'!$A:$T,ROW()+1,MATCH("단지명",'04A_국토부원자료'!$A$4:$T$4,0)),"")))</f>
        <v/>
      </c>
      <c r="E2056" s="172">
        <f>IFERROR(VALUE(SUBSTITUTE(INDEX('04A_국토부원자료'!$A:$T,ROW()+1,MATCH("전용면적(㎡)",'04A_국토부원자료'!$A$4:$T$4,0)),",","")),"")</f>
        <v/>
      </c>
      <c r="F20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56" s="51">
        <f>IFERROR(VALUE(SUBSTITUTE(INDEX('04A_국토부원자료'!$A:$T,ROW()+1,MATCH("거래금액(만원)",'04A_국토부원자료'!$A$4:$T$4,0)),",","")),"")</f>
        <v/>
      </c>
      <c r="H2056" s="174">
        <f>IF(G2056="","",G2056*10000)</f>
        <v/>
      </c>
      <c r="I2056" s="174">
        <f>IFERROR(IF(AND(H2056&gt;0,E2056&gt;0),H2056/E2056,""),"")</f>
        <v/>
      </c>
      <c r="J2056" s="152">
        <f>IFERROR(VALUE(SUBSTITUTE(INDEX('04A_국토부원자료'!$A:$T,ROW()+1,MATCH("층",'04A_국토부원자료'!$A$4:$T$4,0)),",","")),"")</f>
        <v/>
      </c>
      <c r="K2056" s="152">
        <f>IFERROR(VALUE(SUBSTITUTE(INDEX('04A_국토부원자료'!$A:$T,ROW()+1,MATCH("건축년도",'04A_국토부원자료'!$A$4:$T$4,0)),",","")),"")</f>
        <v/>
      </c>
      <c r="L2056" s="48">
        <f>IFERROR(INDEX('04A_국토부원자료'!$A:$T,ROW()+1,MATCH("도로명",'04A_국토부원자료'!$A$4:$T$4,0)),"")</f>
        <v/>
      </c>
      <c r="M2056" s="48">
        <f>IFERROR(INDEX('04A_국토부원자료'!$A:$T,ROW()+1,MATCH("거래유형",'04A_국토부원자료'!$A$4:$T$4,0)),"")</f>
        <v/>
      </c>
      <c r="N2056" s="152">
        <f>IF(B2056="","",IF('02_대상물건입력'!B5="",1,IF(ISNUMBER(SEARCH('02_대상물건입력'!B5,B2056)),1,0)))</f>
        <v/>
      </c>
      <c r="O2056" s="152">
        <f>IF(B2056="","",IF('02_대상물건입력'!B6="",1,IF(ISNUMBER(SEARCH('02_대상물건입력'!B6,B2056)),1,0)))</f>
        <v/>
      </c>
      <c r="P2056" s="152">
        <f>IF(L2056="","",IF('02_대상물건입력'!B15="",0,IF(ISNUMBER(SEARCH('02_대상물건입력'!B15,L2056)),1,0)))</f>
        <v/>
      </c>
      <c r="Q2056" s="152">
        <f>IF(OR(C2056="",L2056=""),0,IF(AND(TRIM(C2056)=TRIM(RIGHT(SUBSTITUTE(TRIM('02_대상물건입력'!$B$7)," ",REPT(" ",99)),99)),IF('02_대상물건입력'!B15="",TRUE(),ISNUMBER(SEARCH('02_대상물건입력'!B15,L2056)))),1,0))</f>
        <v/>
      </c>
      <c r="R2056" s="175">
        <f>IFERROR(ABS(E2056-'02_대상물건입력'!B11)/'02_대상물건입력'!B11,"")</f>
        <v/>
      </c>
      <c r="S2056" s="152">
        <f>IFERROR(ABS(J2056-'02_대상물건입력'!B10),"")</f>
        <v/>
      </c>
      <c r="T2056" s="152">
        <f>IFERROR(ABS('01_설정'!B4-F2056),"")</f>
        <v/>
      </c>
      <c r="U2056" s="152">
        <f>IFERROR(ABS(K2056-YEAR('02_대상물건입력'!B14)),"")</f>
        <v/>
      </c>
      <c r="V2056" s="152">
        <f>IF(B2056="","",IF(AND(E2056&gt;0,F2056&gt;0,H2056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2056=1,TRUE()),R2056&lt;='01_설정'!B5,S2056&lt;='01_설정'!B6,T2056&lt;='01_설정'!B7,U2056&lt;='01_설정'!B8),"Y",""))</f>
        <v/>
      </c>
      <c r="W2056" s="172">
        <f>IF(V2056&lt;&gt;"Y","",MAX(0,(1-R2056/'01_설정'!B5))*'01_설정'!B14+MAX(0,(1-S2056/'01_설정'!B6))*'01_설정'!B15+MAX(0,(1-T2056/'01_설정'!B7))*'01_설정'!B16+MAX(0,(1-U2056/'01_설정'!B8))*'01_설정'!B17+O2056*'01_설정'!B11+Q2056*'01_설정'!B12+P2056*'01_설정'!B13+IF(Z2056="",0,Z2056))</f>
        <v/>
      </c>
      <c r="X2056" s="152">
        <f>IF(W2056="","",1+COUNTIFS($W$4:$W$3003,"&gt;"&amp;W2056)+COUNTIFS($W$4:W2056,W2056)-1)</f>
        <v/>
      </c>
      <c r="Y2056" s="175">
        <f>IF(OR(I2056="",'02_대상물건입력'!B19="",'02_대상물건입력'!B19&lt;=0),"",ABS(I2056-'02_대상물건입력'!B19)/'02_대상물건입력'!B19)</f>
        <v/>
      </c>
      <c r="Z2056" s="172">
        <f>IF(OR(Y2056="",'01_설정'!B31="",'01_설정'!B31&lt;=0,'01_설정'!B32="",'01_설정'!B32&lt;=0),"",MAX(0,(1-Y2056/'01_설정'!B32))*'01_설정'!B31)</f>
        <v/>
      </c>
    </row>
    <row r="2057" ht="17.25" customHeight="1">
      <c r="A2057" s="152">
        <f>IF(INDEX('04A_국토부원자료'!$A:$A,ROW()+1)="","",ROW()-3)</f>
        <v/>
      </c>
      <c r="B2057" s="48">
        <f>IFERROR(INDEX('04A_국토부원자료'!$A:$T,ROW()+1,MATCH("시군구",'04A_국토부원자료'!$A$4:$T$4,0)),"")</f>
        <v/>
      </c>
      <c r="C2057" s="48">
        <f>IF(B2057="","",IFERROR(INDEX('04A_국토부원자료'!$A:$T,ROW()+1,MATCH("번지",'04A_국토부원자료'!$A$4:$T$4,0)),""))</f>
        <v/>
      </c>
      <c r="D2057" s="48">
        <f>IF(B2057="","",IF(Q2057=1,'02_대상물건입력'!$B$8,IFERROR(INDEX('04A_국토부원자료'!$A:$T,ROW()+1,MATCH("단지명",'04A_국토부원자료'!$A$4:$T$4,0)),"")))</f>
        <v/>
      </c>
      <c r="E2057" s="172">
        <f>IFERROR(VALUE(SUBSTITUTE(INDEX('04A_국토부원자료'!$A:$T,ROW()+1,MATCH("전용면적(㎡)",'04A_국토부원자료'!$A$4:$T$4,0)),",","")),"")</f>
        <v/>
      </c>
      <c r="F20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57" s="51">
        <f>IFERROR(VALUE(SUBSTITUTE(INDEX('04A_국토부원자료'!$A:$T,ROW()+1,MATCH("거래금액(만원)",'04A_국토부원자료'!$A$4:$T$4,0)),",","")),"")</f>
        <v/>
      </c>
      <c r="H2057" s="174">
        <f>IF(G2057="","",G2057*10000)</f>
        <v/>
      </c>
      <c r="I2057" s="174">
        <f>IFERROR(IF(AND(H2057&gt;0,E2057&gt;0),H2057/E2057,""),"")</f>
        <v/>
      </c>
      <c r="J2057" s="152">
        <f>IFERROR(VALUE(SUBSTITUTE(INDEX('04A_국토부원자료'!$A:$T,ROW()+1,MATCH("층",'04A_국토부원자료'!$A$4:$T$4,0)),",","")),"")</f>
        <v/>
      </c>
      <c r="K2057" s="152">
        <f>IFERROR(VALUE(SUBSTITUTE(INDEX('04A_국토부원자료'!$A:$T,ROW()+1,MATCH("건축년도",'04A_국토부원자료'!$A$4:$T$4,0)),",","")),"")</f>
        <v/>
      </c>
      <c r="L2057" s="48">
        <f>IFERROR(INDEX('04A_국토부원자료'!$A:$T,ROW()+1,MATCH("도로명",'04A_국토부원자료'!$A$4:$T$4,0)),"")</f>
        <v/>
      </c>
      <c r="M2057" s="48">
        <f>IFERROR(INDEX('04A_국토부원자료'!$A:$T,ROW()+1,MATCH("거래유형",'04A_국토부원자료'!$A$4:$T$4,0)),"")</f>
        <v/>
      </c>
      <c r="N2057" s="152">
        <f>IF(B2057="","",IF('02_대상물건입력'!B5="",1,IF(ISNUMBER(SEARCH('02_대상물건입력'!B5,B2057)),1,0)))</f>
        <v/>
      </c>
      <c r="O2057" s="152">
        <f>IF(B2057="","",IF('02_대상물건입력'!B6="",1,IF(ISNUMBER(SEARCH('02_대상물건입력'!B6,B2057)),1,0)))</f>
        <v/>
      </c>
      <c r="P2057" s="152">
        <f>IF(L2057="","",IF('02_대상물건입력'!B15="",0,IF(ISNUMBER(SEARCH('02_대상물건입력'!B15,L2057)),1,0)))</f>
        <v/>
      </c>
      <c r="Q2057" s="152">
        <f>IF(OR(C2057="",L2057=""),0,IF(AND(TRIM(C2057)=TRIM(RIGHT(SUBSTITUTE(TRIM('02_대상물건입력'!$B$7)," ",REPT(" ",99)),99)),IF('02_대상물건입력'!B15="",TRUE(),ISNUMBER(SEARCH('02_대상물건입력'!B15,L2057)))),1,0))</f>
        <v/>
      </c>
      <c r="R2057" s="175">
        <f>IFERROR(ABS(E2057-'02_대상물건입력'!B11)/'02_대상물건입력'!B11,"")</f>
        <v/>
      </c>
      <c r="S2057" s="152">
        <f>IFERROR(ABS(J2057-'02_대상물건입력'!B10),"")</f>
        <v/>
      </c>
      <c r="T2057" s="152">
        <f>IFERROR(ABS('01_설정'!B4-F2057),"")</f>
        <v/>
      </c>
      <c r="U2057" s="152">
        <f>IFERROR(ABS(K2057-YEAR('02_대상물건입력'!B14)),"")</f>
        <v/>
      </c>
      <c r="V2057" s="152">
        <f>IF(B2057="","",IF(AND(E2057&gt;0,F2057&gt;0,H2057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2057=1,TRUE()),R2057&lt;='01_설정'!B5,S2057&lt;='01_설정'!B6,T2057&lt;='01_설정'!B7,U2057&lt;='01_설정'!B8),"Y",""))</f>
        <v/>
      </c>
      <c r="W2057" s="172">
        <f>IF(V2057&lt;&gt;"Y","",MAX(0,(1-R2057/'01_설정'!B5))*'01_설정'!B14+MAX(0,(1-S2057/'01_설정'!B6))*'01_설정'!B15+MAX(0,(1-T2057/'01_설정'!B7))*'01_설정'!B16+MAX(0,(1-U2057/'01_설정'!B8))*'01_설정'!B17+O2057*'01_설정'!B11+Q2057*'01_설정'!B12+P2057*'01_설정'!B13+IF(Z2057="",0,Z2057))</f>
        <v/>
      </c>
      <c r="X2057" s="152">
        <f>IF(W2057="","",1+COUNTIFS($W$4:$W$3003,"&gt;"&amp;W2057)+COUNTIFS($W$4:W2057,W2057)-1)</f>
        <v/>
      </c>
      <c r="Y2057" s="175">
        <f>IF(OR(I2057="",'02_대상물건입력'!B19="",'02_대상물건입력'!B19&lt;=0),"",ABS(I2057-'02_대상물건입력'!B19)/'02_대상물건입력'!B19)</f>
        <v/>
      </c>
      <c r="Z2057" s="172">
        <f>IF(OR(Y2057="",'01_설정'!B31="",'01_설정'!B31&lt;=0,'01_설정'!B32="",'01_설정'!B32&lt;=0),"",MAX(0,(1-Y2057/'01_설정'!B32))*'01_설정'!B31)</f>
        <v/>
      </c>
    </row>
    <row r="2058" ht="17.25" customHeight="1">
      <c r="A2058" s="152">
        <f>IF(INDEX('04A_국토부원자료'!$A:$A,ROW()+1)="","",ROW()-3)</f>
        <v/>
      </c>
      <c r="B2058" s="48">
        <f>IFERROR(INDEX('04A_국토부원자료'!$A:$T,ROW()+1,MATCH("시군구",'04A_국토부원자료'!$A$4:$T$4,0)),"")</f>
        <v/>
      </c>
      <c r="C2058" s="48">
        <f>IF(B2058="","",IFERROR(INDEX('04A_국토부원자료'!$A:$T,ROW()+1,MATCH("번지",'04A_국토부원자료'!$A$4:$T$4,0)),""))</f>
        <v/>
      </c>
      <c r="D2058" s="48">
        <f>IF(B2058="","",IF(Q2058=1,'02_대상물건입력'!$B$8,IFERROR(INDEX('04A_국토부원자료'!$A:$T,ROW()+1,MATCH("단지명",'04A_국토부원자료'!$A$4:$T$4,0)),"")))</f>
        <v/>
      </c>
      <c r="E2058" s="172">
        <f>IFERROR(VALUE(SUBSTITUTE(INDEX('04A_국토부원자료'!$A:$T,ROW()+1,MATCH("전용면적(㎡)",'04A_국토부원자료'!$A$4:$T$4,0)),",","")),"")</f>
        <v/>
      </c>
      <c r="F20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58" s="51">
        <f>IFERROR(VALUE(SUBSTITUTE(INDEX('04A_국토부원자료'!$A:$T,ROW()+1,MATCH("거래금액(만원)",'04A_국토부원자료'!$A$4:$T$4,0)),",","")),"")</f>
        <v/>
      </c>
      <c r="H2058" s="174">
        <f>IF(G2058="","",G2058*10000)</f>
        <v/>
      </c>
      <c r="I2058" s="174">
        <f>IFERROR(IF(AND(H2058&gt;0,E2058&gt;0),H2058/E2058,""),"")</f>
        <v/>
      </c>
      <c r="J2058" s="152">
        <f>IFERROR(VALUE(SUBSTITUTE(INDEX('04A_국토부원자료'!$A:$T,ROW()+1,MATCH("층",'04A_국토부원자료'!$A$4:$T$4,0)),",","")),"")</f>
        <v/>
      </c>
      <c r="K2058" s="152">
        <f>IFERROR(VALUE(SUBSTITUTE(INDEX('04A_국토부원자료'!$A:$T,ROW()+1,MATCH("건축년도",'04A_국토부원자료'!$A$4:$T$4,0)),",","")),"")</f>
        <v/>
      </c>
      <c r="L2058" s="48">
        <f>IFERROR(INDEX('04A_국토부원자료'!$A:$T,ROW()+1,MATCH("도로명",'04A_국토부원자료'!$A$4:$T$4,0)),"")</f>
        <v/>
      </c>
      <c r="M2058" s="48">
        <f>IFERROR(INDEX('04A_국토부원자료'!$A:$T,ROW()+1,MATCH("거래유형",'04A_국토부원자료'!$A$4:$T$4,0)),"")</f>
        <v/>
      </c>
      <c r="N2058" s="152">
        <f>IF(B2058="","",IF('02_대상물건입력'!B5="",1,IF(ISNUMBER(SEARCH('02_대상물건입력'!B5,B2058)),1,0)))</f>
        <v/>
      </c>
      <c r="O2058" s="152">
        <f>IF(B2058="","",IF('02_대상물건입력'!B6="",1,IF(ISNUMBER(SEARCH('02_대상물건입력'!B6,B2058)),1,0)))</f>
        <v/>
      </c>
      <c r="P2058" s="152">
        <f>IF(L2058="","",IF('02_대상물건입력'!B15="",0,IF(ISNUMBER(SEARCH('02_대상물건입력'!B15,L2058)),1,0)))</f>
        <v/>
      </c>
      <c r="Q2058" s="152">
        <f>IF(OR(C2058="",L2058=""),0,IF(AND(TRIM(C2058)=TRIM(RIGHT(SUBSTITUTE(TRIM('02_대상물건입력'!$B$7)," ",REPT(" ",99)),99)),IF('02_대상물건입력'!B15="",TRUE(),ISNUMBER(SEARCH('02_대상물건입력'!B15,L2058)))),1,0))</f>
        <v/>
      </c>
      <c r="R2058" s="175">
        <f>IFERROR(ABS(E2058-'02_대상물건입력'!B11)/'02_대상물건입력'!B11,"")</f>
        <v/>
      </c>
      <c r="S2058" s="152">
        <f>IFERROR(ABS(J2058-'02_대상물건입력'!B10),"")</f>
        <v/>
      </c>
      <c r="T2058" s="152">
        <f>IFERROR(ABS('01_설정'!B4-F2058),"")</f>
        <v/>
      </c>
      <c r="U2058" s="152">
        <f>IFERROR(ABS(K2058-YEAR('02_대상물건입력'!B14)),"")</f>
        <v/>
      </c>
      <c r="V2058" s="152">
        <f>IF(B2058="","",IF(AND(E2058&gt;0,F2058&gt;0,H2058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2058=1,TRUE()),R2058&lt;='01_설정'!B5,S2058&lt;='01_설정'!B6,T2058&lt;='01_설정'!B7,U2058&lt;='01_설정'!B8),"Y",""))</f>
        <v/>
      </c>
      <c r="W2058" s="172">
        <f>IF(V2058&lt;&gt;"Y","",MAX(0,(1-R2058/'01_설정'!B5))*'01_설정'!B14+MAX(0,(1-S2058/'01_설정'!B6))*'01_설정'!B15+MAX(0,(1-T2058/'01_설정'!B7))*'01_설정'!B16+MAX(0,(1-U2058/'01_설정'!B8))*'01_설정'!B17+O2058*'01_설정'!B11+Q2058*'01_설정'!B12+P2058*'01_설정'!B13+IF(Z2058="",0,Z2058))</f>
        <v/>
      </c>
      <c r="X2058" s="152">
        <f>IF(W2058="","",1+COUNTIFS($W$4:$W$3003,"&gt;"&amp;W2058)+COUNTIFS($W$4:W2058,W2058)-1)</f>
        <v/>
      </c>
      <c r="Y2058" s="175">
        <f>IF(OR(I2058="",'02_대상물건입력'!B19="",'02_대상물건입력'!B19&lt;=0),"",ABS(I2058-'02_대상물건입력'!B19)/'02_대상물건입력'!B19)</f>
        <v/>
      </c>
      <c r="Z2058" s="172">
        <f>IF(OR(Y2058="",'01_설정'!B31="",'01_설정'!B31&lt;=0,'01_설정'!B32="",'01_설정'!B32&lt;=0),"",MAX(0,(1-Y2058/'01_설정'!B32))*'01_설정'!B31)</f>
        <v/>
      </c>
    </row>
    <row r="2059" ht="17.25" customHeight="1">
      <c r="A2059" s="152">
        <f>IF(INDEX('04A_국토부원자료'!$A:$A,ROW()+1)="","",ROW()-3)</f>
        <v/>
      </c>
      <c r="B2059" s="48">
        <f>IFERROR(INDEX('04A_국토부원자료'!$A:$T,ROW()+1,MATCH("시군구",'04A_국토부원자료'!$A$4:$T$4,0)),"")</f>
        <v/>
      </c>
      <c r="C2059" s="48">
        <f>IF(B2059="","",IFERROR(INDEX('04A_국토부원자료'!$A:$T,ROW()+1,MATCH("번지",'04A_국토부원자료'!$A$4:$T$4,0)),""))</f>
        <v/>
      </c>
      <c r="D2059" s="48">
        <f>IF(B2059="","",IF(Q2059=1,'02_대상물건입력'!$B$8,IFERROR(INDEX('04A_국토부원자료'!$A:$T,ROW()+1,MATCH("단지명",'04A_국토부원자료'!$A$4:$T$4,0)),"")))</f>
        <v/>
      </c>
      <c r="E2059" s="172">
        <f>IFERROR(VALUE(SUBSTITUTE(INDEX('04A_국토부원자료'!$A:$T,ROW()+1,MATCH("전용면적(㎡)",'04A_국토부원자료'!$A$4:$T$4,0)),",","")),"")</f>
        <v/>
      </c>
      <c r="F20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59" s="51">
        <f>IFERROR(VALUE(SUBSTITUTE(INDEX('04A_국토부원자료'!$A:$T,ROW()+1,MATCH("거래금액(만원)",'04A_국토부원자료'!$A$4:$T$4,0)),",","")),"")</f>
        <v/>
      </c>
      <c r="H2059" s="174">
        <f>IF(G2059="","",G2059*10000)</f>
        <v/>
      </c>
      <c r="I2059" s="174">
        <f>IFERROR(IF(AND(H2059&gt;0,E2059&gt;0),H2059/E2059,""),"")</f>
        <v/>
      </c>
      <c r="J2059" s="152">
        <f>IFERROR(VALUE(SUBSTITUTE(INDEX('04A_국토부원자료'!$A:$T,ROW()+1,MATCH("층",'04A_국토부원자료'!$A$4:$T$4,0)),",","")),"")</f>
        <v/>
      </c>
      <c r="K2059" s="152">
        <f>IFERROR(VALUE(SUBSTITUTE(INDEX('04A_국토부원자료'!$A:$T,ROW()+1,MATCH("건축년도",'04A_국토부원자료'!$A$4:$T$4,0)),",","")),"")</f>
        <v/>
      </c>
      <c r="L2059" s="48">
        <f>IFERROR(INDEX('04A_국토부원자료'!$A:$T,ROW()+1,MATCH("도로명",'04A_국토부원자료'!$A$4:$T$4,0)),"")</f>
        <v/>
      </c>
      <c r="M2059" s="48">
        <f>IFERROR(INDEX('04A_국토부원자료'!$A:$T,ROW()+1,MATCH("거래유형",'04A_국토부원자료'!$A$4:$T$4,0)),"")</f>
        <v/>
      </c>
      <c r="N2059" s="152">
        <f>IF(B2059="","",IF('02_대상물건입력'!B5="",1,IF(ISNUMBER(SEARCH('02_대상물건입력'!B5,B2059)),1,0)))</f>
        <v/>
      </c>
      <c r="O2059" s="152">
        <f>IF(B2059="","",IF('02_대상물건입력'!B6="",1,IF(ISNUMBER(SEARCH('02_대상물건입력'!B6,B2059)),1,0)))</f>
        <v/>
      </c>
      <c r="P2059" s="152">
        <f>IF(L2059="","",IF('02_대상물건입력'!B15="",0,IF(ISNUMBER(SEARCH('02_대상물건입력'!B15,L2059)),1,0)))</f>
        <v/>
      </c>
      <c r="Q2059" s="152">
        <f>IF(OR(C2059="",L2059=""),0,IF(AND(TRIM(C2059)=TRIM(RIGHT(SUBSTITUTE(TRIM('02_대상물건입력'!$B$7)," ",REPT(" ",99)),99)),IF('02_대상물건입력'!B15="",TRUE(),ISNUMBER(SEARCH('02_대상물건입력'!B15,L2059)))),1,0))</f>
        <v/>
      </c>
      <c r="R2059" s="175">
        <f>IFERROR(ABS(E2059-'02_대상물건입력'!B11)/'02_대상물건입력'!B11,"")</f>
        <v/>
      </c>
      <c r="S2059" s="152">
        <f>IFERROR(ABS(J2059-'02_대상물건입력'!B10),"")</f>
        <v/>
      </c>
      <c r="T2059" s="152">
        <f>IFERROR(ABS('01_설정'!B4-F2059),"")</f>
        <v/>
      </c>
      <c r="U2059" s="152">
        <f>IFERROR(ABS(K2059-YEAR('02_대상물건입력'!B14)),"")</f>
        <v/>
      </c>
      <c r="V2059" s="152">
        <f>IF(B2059="","",IF(AND(E2059&gt;0,F2059&gt;0,H2059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2059=1,TRUE()),R2059&lt;='01_설정'!B5,S2059&lt;='01_설정'!B6,T2059&lt;='01_설정'!B7,U2059&lt;='01_설정'!B8),"Y",""))</f>
        <v/>
      </c>
      <c r="W2059" s="172">
        <f>IF(V2059&lt;&gt;"Y","",MAX(0,(1-R2059/'01_설정'!B5))*'01_설정'!B14+MAX(0,(1-S2059/'01_설정'!B6))*'01_설정'!B15+MAX(0,(1-T2059/'01_설정'!B7))*'01_설정'!B16+MAX(0,(1-U2059/'01_설정'!B8))*'01_설정'!B17+O2059*'01_설정'!B11+Q2059*'01_설정'!B12+P2059*'01_설정'!B13+IF(Z2059="",0,Z2059))</f>
        <v/>
      </c>
      <c r="X2059" s="152">
        <f>IF(W2059="","",1+COUNTIFS($W$4:$W$3003,"&gt;"&amp;W2059)+COUNTIFS($W$4:W2059,W2059)-1)</f>
        <v/>
      </c>
      <c r="Y2059" s="175">
        <f>IF(OR(I2059="",'02_대상물건입력'!B19="",'02_대상물건입력'!B19&lt;=0),"",ABS(I2059-'02_대상물건입력'!B19)/'02_대상물건입력'!B19)</f>
        <v/>
      </c>
      <c r="Z2059" s="172">
        <f>IF(OR(Y2059="",'01_설정'!B31="",'01_설정'!B31&lt;=0,'01_설정'!B32="",'01_설정'!B32&lt;=0),"",MAX(0,(1-Y2059/'01_설정'!B32))*'01_설정'!B31)</f>
        <v/>
      </c>
    </row>
    <row r="2060" ht="17.25" customHeight="1">
      <c r="A2060" s="152">
        <f>IF(INDEX('04A_국토부원자료'!$A:$A,ROW()+1)="","",ROW()-3)</f>
        <v/>
      </c>
      <c r="B2060" s="48">
        <f>IFERROR(INDEX('04A_국토부원자료'!$A:$T,ROW()+1,MATCH("시군구",'04A_국토부원자료'!$A$4:$T$4,0)),"")</f>
        <v/>
      </c>
      <c r="C2060" s="48">
        <f>IF(B2060="","",IFERROR(INDEX('04A_국토부원자료'!$A:$T,ROW()+1,MATCH("번지",'04A_국토부원자료'!$A$4:$T$4,0)),""))</f>
        <v/>
      </c>
      <c r="D2060" s="48">
        <f>IF(B2060="","",IF(Q2060=1,'02_대상물건입력'!$B$8,IFERROR(INDEX('04A_국토부원자료'!$A:$T,ROW()+1,MATCH("단지명",'04A_국토부원자료'!$A$4:$T$4,0)),"")))</f>
        <v/>
      </c>
      <c r="E2060" s="172">
        <f>IFERROR(VALUE(SUBSTITUTE(INDEX('04A_국토부원자료'!$A:$T,ROW()+1,MATCH("전용면적(㎡)",'04A_국토부원자료'!$A$4:$T$4,0)),",","")),"")</f>
        <v/>
      </c>
      <c r="F20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60" s="51">
        <f>IFERROR(VALUE(SUBSTITUTE(INDEX('04A_국토부원자료'!$A:$T,ROW()+1,MATCH("거래금액(만원)",'04A_국토부원자료'!$A$4:$T$4,0)),",","")),"")</f>
        <v/>
      </c>
      <c r="H2060" s="174">
        <f>IF(G2060="","",G2060*10000)</f>
        <v/>
      </c>
      <c r="I2060" s="174">
        <f>IFERROR(IF(AND(H2060&gt;0,E2060&gt;0),H2060/E2060,""),"")</f>
        <v/>
      </c>
      <c r="J2060" s="152">
        <f>IFERROR(VALUE(SUBSTITUTE(INDEX('04A_국토부원자료'!$A:$T,ROW()+1,MATCH("층",'04A_국토부원자료'!$A$4:$T$4,0)),",","")),"")</f>
        <v/>
      </c>
      <c r="K2060" s="152">
        <f>IFERROR(VALUE(SUBSTITUTE(INDEX('04A_국토부원자료'!$A:$T,ROW()+1,MATCH("건축년도",'04A_국토부원자료'!$A$4:$T$4,0)),",","")),"")</f>
        <v/>
      </c>
      <c r="L2060" s="48">
        <f>IFERROR(INDEX('04A_국토부원자료'!$A:$T,ROW()+1,MATCH("도로명",'04A_국토부원자료'!$A$4:$T$4,0)),"")</f>
        <v/>
      </c>
      <c r="M2060" s="48">
        <f>IFERROR(INDEX('04A_국토부원자료'!$A:$T,ROW()+1,MATCH("거래유형",'04A_국토부원자료'!$A$4:$T$4,0)),"")</f>
        <v/>
      </c>
      <c r="N2060" s="152">
        <f>IF(B2060="","",IF('02_대상물건입력'!B5="",1,IF(ISNUMBER(SEARCH('02_대상물건입력'!B5,B2060)),1,0)))</f>
        <v/>
      </c>
      <c r="O2060" s="152">
        <f>IF(B2060="","",IF('02_대상물건입력'!B6="",1,IF(ISNUMBER(SEARCH('02_대상물건입력'!B6,B2060)),1,0)))</f>
        <v/>
      </c>
      <c r="P2060" s="152">
        <f>IF(L2060="","",IF('02_대상물건입력'!B15="",0,IF(ISNUMBER(SEARCH('02_대상물건입력'!B15,L2060)),1,0)))</f>
        <v/>
      </c>
      <c r="Q2060" s="152">
        <f>IF(OR(C2060="",L2060=""),0,IF(AND(TRIM(C2060)=TRIM(RIGHT(SUBSTITUTE(TRIM('02_대상물건입력'!$B$7)," ",REPT(" ",99)),99)),IF('02_대상물건입력'!B15="",TRUE(),ISNUMBER(SEARCH('02_대상물건입력'!B15,L2060)))),1,0))</f>
        <v/>
      </c>
      <c r="R2060" s="175">
        <f>IFERROR(ABS(E2060-'02_대상물건입력'!B11)/'02_대상물건입력'!B11,"")</f>
        <v/>
      </c>
      <c r="S2060" s="152">
        <f>IFERROR(ABS(J2060-'02_대상물건입력'!B10),"")</f>
        <v/>
      </c>
      <c r="T2060" s="152">
        <f>IFERROR(ABS('01_설정'!B4-F2060),"")</f>
        <v/>
      </c>
      <c r="U2060" s="152">
        <f>IFERROR(ABS(K2060-YEAR('02_대상물건입력'!B14)),"")</f>
        <v/>
      </c>
      <c r="V2060" s="152">
        <f>IF(B2060="","",IF(AND(E2060&gt;0,F2060&gt;0,H2060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2060=1,TRUE()),R2060&lt;='01_설정'!B5,S2060&lt;='01_설정'!B6,T2060&lt;='01_설정'!B7,U2060&lt;='01_설정'!B8),"Y",""))</f>
        <v/>
      </c>
      <c r="W2060" s="172">
        <f>IF(V2060&lt;&gt;"Y","",MAX(0,(1-R2060/'01_설정'!B5))*'01_설정'!B14+MAX(0,(1-S2060/'01_설정'!B6))*'01_설정'!B15+MAX(0,(1-T2060/'01_설정'!B7))*'01_설정'!B16+MAX(0,(1-U2060/'01_설정'!B8))*'01_설정'!B17+O2060*'01_설정'!B11+Q2060*'01_설정'!B12+P2060*'01_설정'!B13+IF(Z2060="",0,Z2060))</f>
        <v/>
      </c>
      <c r="X2060" s="152">
        <f>IF(W2060="","",1+COUNTIFS($W$4:$W$3003,"&gt;"&amp;W2060)+COUNTIFS($W$4:W2060,W2060)-1)</f>
        <v/>
      </c>
      <c r="Y2060" s="175">
        <f>IF(OR(I2060="",'02_대상물건입력'!B19="",'02_대상물건입력'!B19&lt;=0),"",ABS(I2060-'02_대상물건입력'!B19)/'02_대상물건입력'!B19)</f>
        <v/>
      </c>
      <c r="Z2060" s="172">
        <f>IF(OR(Y2060="",'01_설정'!B31="",'01_설정'!B31&lt;=0,'01_설정'!B32="",'01_설정'!B32&lt;=0),"",MAX(0,(1-Y2060/'01_설정'!B32))*'01_설정'!B31)</f>
        <v/>
      </c>
    </row>
    <row r="2061" ht="17.25" customHeight="1">
      <c r="A2061" s="152">
        <f>IF(INDEX('04A_국토부원자료'!$A:$A,ROW()+1)="","",ROW()-3)</f>
        <v/>
      </c>
      <c r="B2061" s="48">
        <f>IFERROR(INDEX('04A_국토부원자료'!$A:$T,ROW()+1,MATCH("시군구",'04A_국토부원자료'!$A$4:$T$4,0)),"")</f>
        <v/>
      </c>
      <c r="C2061" s="48">
        <f>IF(B2061="","",IFERROR(INDEX('04A_국토부원자료'!$A:$T,ROW()+1,MATCH("번지",'04A_국토부원자료'!$A$4:$T$4,0)),""))</f>
        <v/>
      </c>
      <c r="D2061" s="48">
        <f>IF(B2061="","",IF(Q2061=1,'02_대상물건입력'!$B$8,IFERROR(INDEX('04A_국토부원자료'!$A:$T,ROW()+1,MATCH("단지명",'04A_국토부원자료'!$A$4:$T$4,0)),"")))</f>
        <v/>
      </c>
      <c r="E2061" s="172">
        <f>IFERROR(VALUE(SUBSTITUTE(INDEX('04A_국토부원자료'!$A:$T,ROW()+1,MATCH("전용면적(㎡)",'04A_국토부원자료'!$A$4:$T$4,0)),",","")),"")</f>
        <v/>
      </c>
      <c r="F20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61" s="51">
        <f>IFERROR(VALUE(SUBSTITUTE(INDEX('04A_국토부원자료'!$A:$T,ROW()+1,MATCH("거래금액(만원)",'04A_국토부원자료'!$A$4:$T$4,0)),",","")),"")</f>
        <v/>
      </c>
      <c r="H2061" s="174">
        <f>IF(G2061="","",G2061*10000)</f>
        <v/>
      </c>
      <c r="I2061" s="174">
        <f>IFERROR(IF(AND(H2061&gt;0,E2061&gt;0),H2061/E2061,""),"")</f>
        <v/>
      </c>
      <c r="J2061" s="152">
        <f>IFERROR(VALUE(SUBSTITUTE(INDEX('04A_국토부원자료'!$A:$T,ROW()+1,MATCH("층",'04A_국토부원자료'!$A$4:$T$4,0)),",","")),"")</f>
        <v/>
      </c>
      <c r="K2061" s="152">
        <f>IFERROR(VALUE(SUBSTITUTE(INDEX('04A_국토부원자료'!$A:$T,ROW()+1,MATCH("건축년도",'04A_국토부원자료'!$A$4:$T$4,0)),",","")),"")</f>
        <v/>
      </c>
      <c r="L2061" s="48">
        <f>IFERROR(INDEX('04A_국토부원자료'!$A:$T,ROW()+1,MATCH("도로명",'04A_국토부원자료'!$A$4:$T$4,0)),"")</f>
        <v/>
      </c>
      <c r="M2061" s="48">
        <f>IFERROR(INDEX('04A_국토부원자료'!$A:$T,ROW()+1,MATCH("거래유형",'04A_국토부원자료'!$A$4:$T$4,0)),"")</f>
        <v/>
      </c>
      <c r="N2061" s="152">
        <f>IF(B2061="","",IF('02_대상물건입력'!B5="",1,IF(ISNUMBER(SEARCH('02_대상물건입력'!B5,B2061)),1,0)))</f>
        <v/>
      </c>
      <c r="O2061" s="152">
        <f>IF(B2061="","",IF('02_대상물건입력'!B6="",1,IF(ISNUMBER(SEARCH('02_대상물건입력'!B6,B2061)),1,0)))</f>
        <v/>
      </c>
      <c r="P2061" s="152">
        <f>IF(L2061="","",IF('02_대상물건입력'!B15="",0,IF(ISNUMBER(SEARCH('02_대상물건입력'!B15,L2061)),1,0)))</f>
        <v/>
      </c>
      <c r="Q2061" s="152">
        <f>IF(OR(C2061="",L2061=""),0,IF(AND(TRIM(C2061)=TRIM(RIGHT(SUBSTITUTE(TRIM('02_대상물건입력'!$B$7)," ",REPT(" ",99)),99)),IF('02_대상물건입력'!B15="",TRUE(),ISNUMBER(SEARCH('02_대상물건입력'!B15,L2061)))),1,0))</f>
        <v/>
      </c>
      <c r="R2061" s="175">
        <f>IFERROR(ABS(E2061-'02_대상물건입력'!B11)/'02_대상물건입력'!B11,"")</f>
        <v/>
      </c>
      <c r="S2061" s="152">
        <f>IFERROR(ABS(J2061-'02_대상물건입력'!B10),"")</f>
        <v/>
      </c>
      <c r="T2061" s="152">
        <f>IFERROR(ABS('01_설정'!B4-F2061),"")</f>
        <v/>
      </c>
      <c r="U2061" s="152">
        <f>IFERROR(ABS(K2061-YEAR('02_대상물건입력'!B14)),"")</f>
        <v/>
      </c>
      <c r="V2061" s="152">
        <f>IF(B2061="","",IF(AND(E2061&gt;0,F2061&gt;0,H2061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2061=1,TRUE()),R2061&lt;='01_설정'!B5,S2061&lt;='01_설정'!B6,T2061&lt;='01_설정'!B7,U2061&lt;='01_설정'!B8),"Y",""))</f>
        <v/>
      </c>
      <c r="W2061" s="172">
        <f>IF(V2061&lt;&gt;"Y","",MAX(0,(1-R2061/'01_설정'!B5))*'01_설정'!B14+MAX(0,(1-S2061/'01_설정'!B6))*'01_설정'!B15+MAX(0,(1-T2061/'01_설정'!B7))*'01_설정'!B16+MAX(0,(1-U2061/'01_설정'!B8))*'01_설정'!B17+O2061*'01_설정'!B11+Q2061*'01_설정'!B12+P2061*'01_설정'!B13+IF(Z2061="",0,Z2061))</f>
        <v/>
      </c>
      <c r="X2061" s="152">
        <f>IF(W2061="","",1+COUNTIFS($W$4:$W$3003,"&gt;"&amp;W2061)+COUNTIFS($W$4:W2061,W2061)-1)</f>
        <v/>
      </c>
      <c r="Y2061" s="175">
        <f>IF(OR(I2061="",'02_대상물건입력'!B19="",'02_대상물건입력'!B19&lt;=0),"",ABS(I2061-'02_대상물건입력'!B19)/'02_대상물건입력'!B19)</f>
        <v/>
      </c>
      <c r="Z2061" s="172">
        <f>IF(OR(Y2061="",'01_설정'!B31="",'01_설정'!B31&lt;=0,'01_설정'!B32="",'01_설정'!B32&lt;=0),"",MAX(0,(1-Y2061/'01_설정'!B32))*'01_설정'!B31)</f>
        <v/>
      </c>
    </row>
    <row r="2062" ht="17.25" customHeight="1">
      <c r="A2062" s="152">
        <f>IF(INDEX('04A_국토부원자료'!$A:$A,ROW()+1)="","",ROW()-3)</f>
        <v/>
      </c>
      <c r="B2062" s="48">
        <f>IFERROR(INDEX('04A_국토부원자료'!$A:$T,ROW()+1,MATCH("시군구",'04A_국토부원자료'!$A$4:$T$4,0)),"")</f>
        <v/>
      </c>
      <c r="C2062" s="48">
        <f>IF(B2062="","",IFERROR(INDEX('04A_국토부원자료'!$A:$T,ROW()+1,MATCH("번지",'04A_국토부원자료'!$A$4:$T$4,0)),""))</f>
        <v/>
      </c>
      <c r="D2062" s="48">
        <f>IF(B2062="","",IF(Q2062=1,'02_대상물건입력'!$B$8,IFERROR(INDEX('04A_국토부원자료'!$A:$T,ROW()+1,MATCH("단지명",'04A_국토부원자료'!$A$4:$T$4,0)),"")))</f>
        <v/>
      </c>
      <c r="E2062" s="172">
        <f>IFERROR(VALUE(SUBSTITUTE(INDEX('04A_국토부원자료'!$A:$T,ROW()+1,MATCH("전용면적(㎡)",'04A_국토부원자료'!$A$4:$T$4,0)),",","")),"")</f>
        <v/>
      </c>
      <c r="F20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62" s="51">
        <f>IFERROR(VALUE(SUBSTITUTE(INDEX('04A_국토부원자료'!$A:$T,ROW()+1,MATCH("거래금액(만원)",'04A_국토부원자료'!$A$4:$T$4,0)),",","")),"")</f>
        <v/>
      </c>
      <c r="H2062" s="174">
        <f>IF(G2062="","",G2062*10000)</f>
        <v/>
      </c>
      <c r="I2062" s="174">
        <f>IFERROR(IF(AND(H2062&gt;0,E2062&gt;0),H2062/E2062,""),"")</f>
        <v/>
      </c>
      <c r="J2062" s="152">
        <f>IFERROR(VALUE(SUBSTITUTE(INDEX('04A_국토부원자료'!$A:$T,ROW()+1,MATCH("층",'04A_국토부원자료'!$A$4:$T$4,0)),",","")),"")</f>
        <v/>
      </c>
      <c r="K2062" s="152">
        <f>IFERROR(VALUE(SUBSTITUTE(INDEX('04A_국토부원자료'!$A:$T,ROW()+1,MATCH("건축년도",'04A_국토부원자료'!$A$4:$T$4,0)),",","")),"")</f>
        <v/>
      </c>
      <c r="L2062" s="48">
        <f>IFERROR(INDEX('04A_국토부원자료'!$A:$T,ROW()+1,MATCH("도로명",'04A_국토부원자료'!$A$4:$T$4,0)),"")</f>
        <v/>
      </c>
      <c r="M2062" s="48">
        <f>IFERROR(INDEX('04A_국토부원자료'!$A:$T,ROW()+1,MATCH("거래유형",'04A_국토부원자료'!$A$4:$T$4,0)),"")</f>
        <v/>
      </c>
      <c r="N2062" s="152">
        <f>IF(B2062="","",IF('02_대상물건입력'!B5="",1,IF(ISNUMBER(SEARCH('02_대상물건입력'!B5,B2062)),1,0)))</f>
        <v/>
      </c>
      <c r="O2062" s="152">
        <f>IF(B2062="","",IF('02_대상물건입력'!B6="",1,IF(ISNUMBER(SEARCH('02_대상물건입력'!B6,B2062)),1,0)))</f>
        <v/>
      </c>
      <c r="P2062" s="152">
        <f>IF(L2062="","",IF('02_대상물건입력'!B15="",0,IF(ISNUMBER(SEARCH('02_대상물건입력'!B15,L2062)),1,0)))</f>
        <v/>
      </c>
      <c r="Q2062" s="152">
        <f>IF(OR(C2062="",L2062=""),0,IF(AND(TRIM(C2062)=TRIM(RIGHT(SUBSTITUTE(TRIM('02_대상물건입력'!$B$7)," ",REPT(" ",99)),99)),IF('02_대상물건입력'!B15="",TRUE(),ISNUMBER(SEARCH('02_대상물건입력'!B15,L2062)))),1,0))</f>
        <v/>
      </c>
      <c r="R2062" s="175">
        <f>IFERROR(ABS(E2062-'02_대상물건입력'!B11)/'02_대상물건입력'!B11,"")</f>
        <v/>
      </c>
      <c r="S2062" s="152">
        <f>IFERROR(ABS(J2062-'02_대상물건입력'!B10),"")</f>
        <v/>
      </c>
      <c r="T2062" s="152">
        <f>IFERROR(ABS('01_설정'!B4-F2062),"")</f>
        <v/>
      </c>
      <c r="U2062" s="152">
        <f>IFERROR(ABS(K2062-YEAR('02_대상물건입력'!B14)),"")</f>
        <v/>
      </c>
      <c r="V2062" s="152">
        <f>IF(B2062="","",IF(AND(E2062&gt;0,F2062&gt;0,H2062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2062=1,TRUE()),R2062&lt;='01_설정'!B5,S2062&lt;='01_설정'!B6,T2062&lt;='01_설정'!B7,U2062&lt;='01_설정'!B8),"Y",""))</f>
        <v/>
      </c>
      <c r="W2062" s="172">
        <f>IF(V2062&lt;&gt;"Y","",MAX(0,(1-R2062/'01_설정'!B5))*'01_설정'!B14+MAX(0,(1-S2062/'01_설정'!B6))*'01_설정'!B15+MAX(0,(1-T2062/'01_설정'!B7))*'01_설정'!B16+MAX(0,(1-U2062/'01_설정'!B8))*'01_설정'!B17+O2062*'01_설정'!B11+Q2062*'01_설정'!B12+P2062*'01_설정'!B13+IF(Z2062="",0,Z2062))</f>
        <v/>
      </c>
      <c r="X2062" s="152">
        <f>IF(W2062="","",1+COUNTIFS($W$4:$W$3003,"&gt;"&amp;W2062)+COUNTIFS($W$4:W2062,W2062)-1)</f>
        <v/>
      </c>
      <c r="Y2062" s="175">
        <f>IF(OR(I2062="",'02_대상물건입력'!B19="",'02_대상물건입력'!B19&lt;=0),"",ABS(I2062-'02_대상물건입력'!B19)/'02_대상물건입력'!B19)</f>
        <v/>
      </c>
      <c r="Z2062" s="172">
        <f>IF(OR(Y2062="",'01_설정'!B31="",'01_설정'!B31&lt;=0,'01_설정'!B32="",'01_설정'!B32&lt;=0),"",MAX(0,(1-Y2062/'01_설정'!B32))*'01_설정'!B31)</f>
        <v/>
      </c>
    </row>
    <row r="2063" ht="17.25" customHeight="1">
      <c r="A2063" s="152">
        <f>IF(INDEX('04A_국토부원자료'!$A:$A,ROW()+1)="","",ROW()-3)</f>
        <v/>
      </c>
      <c r="B2063" s="48">
        <f>IFERROR(INDEX('04A_국토부원자료'!$A:$T,ROW()+1,MATCH("시군구",'04A_국토부원자료'!$A$4:$T$4,0)),"")</f>
        <v/>
      </c>
      <c r="C2063" s="48">
        <f>IF(B2063="","",IFERROR(INDEX('04A_국토부원자료'!$A:$T,ROW()+1,MATCH("번지",'04A_국토부원자료'!$A$4:$T$4,0)),""))</f>
        <v/>
      </c>
      <c r="D2063" s="48">
        <f>IF(B2063="","",IF(Q2063=1,'02_대상물건입력'!$B$8,IFERROR(INDEX('04A_국토부원자료'!$A:$T,ROW()+1,MATCH("단지명",'04A_국토부원자료'!$A$4:$T$4,0)),"")))</f>
        <v/>
      </c>
      <c r="E2063" s="172">
        <f>IFERROR(VALUE(SUBSTITUTE(INDEX('04A_국토부원자료'!$A:$T,ROW()+1,MATCH("전용면적(㎡)",'04A_국토부원자료'!$A$4:$T$4,0)),",","")),"")</f>
        <v/>
      </c>
      <c r="F20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63" s="51">
        <f>IFERROR(VALUE(SUBSTITUTE(INDEX('04A_국토부원자료'!$A:$T,ROW()+1,MATCH("거래금액(만원)",'04A_국토부원자료'!$A$4:$T$4,0)),",","")),"")</f>
        <v/>
      </c>
      <c r="H2063" s="174">
        <f>IF(G2063="","",G2063*10000)</f>
        <v/>
      </c>
      <c r="I2063" s="174">
        <f>IFERROR(IF(AND(H2063&gt;0,E2063&gt;0),H2063/E2063,""),"")</f>
        <v/>
      </c>
      <c r="J2063" s="152">
        <f>IFERROR(VALUE(SUBSTITUTE(INDEX('04A_국토부원자료'!$A:$T,ROW()+1,MATCH("층",'04A_국토부원자료'!$A$4:$T$4,0)),",","")),"")</f>
        <v/>
      </c>
      <c r="K2063" s="152">
        <f>IFERROR(VALUE(SUBSTITUTE(INDEX('04A_국토부원자료'!$A:$T,ROW()+1,MATCH("건축년도",'04A_국토부원자료'!$A$4:$T$4,0)),",","")),"")</f>
        <v/>
      </c>
      <c r="L2063" s="48">
        <f>IFERROR(INDEX('04A_국토부원자료'!$A:$T,ROW()+1,MATCH("도로명",'04A_국토부원자료'!$A$4:$T$4,0)),"")</f>
        <v/>
      </c>
      <c r="M2063" s="48">
        <f>IFERROR(INDEX('04A_국토부원자료'!$A:$T,ROW()+1,MATCH("거래유형",'04A_국토부원자료'!$A$4:$T$4,0)),"")</f>
        <v/>
      </c>
      <c r="N2063" s="152">
        <f>IF(B2063="","",IF('02_대상물건입력'!B5="",1,IF(ISNUMBER(SEARCH('02_대상물건입력'!B5,B2063)),1,0)))</f>
        <v/>
      </c>
      <c r="O2063" s="152">
        <f>IF(B2063="","",IF('02_대상물건입력'!B6="",1,IF(ISNUMBER(SEARCH('02_대상물건입력'!B6,B2063)),1,0)))</f>
        <v/>
      </c>
      <c r="P2063" s="152">
        <f>IF(L2063="","",IF('02_대상물건입력'!B15="",0,IF(ISNUMBER(SEARCH('02_대상물건입력'!B15,L2063)),1,0)))</f>
        <v/>
      </c>
      <c r="Q2063" s="152">
        <f>IF(OR(C2063="",L2063=""),0,IF(AND(TRIM(C2063)=TRIM(RIGHT(SUBSTITUTE(TRIM('02_대상물건입력'!$B$7)," ",REPT(" ",99)),99)),IF('02_대상물건입력'!B15="",TRUE(),ISNUMBER(SEARCH('02_대상물건입력'!B15,L2063)))),1,0))</f>
        <v/>
      </c>
      <c r="R2063" s="175">
        <f>IFERROR(ABS(E2063-'02_대상물건입력'!B11)/'02_대상물건입력'!B11,"")</f>
        <v/>
      </c>
      <c r="S2063" s="152">
        <f>IFERROR(ABS(J2063-'02_대상물건입력'!B10),"")</f>
        <v/>
      </c>
      <c r="T2063" s="152">
        <f>IFERROR(ABS('01_설정'!B4-F2063),"")</f>
        <v/>
      </c>
      <c r="U2063" s="152">
        <f>IFERROR(ABS(K2063-YEAR('02_대상물건입력'!B14)),"")</f>
        <v/>
      </c>
      <c r="V2063" s="152">
        <f>IF(B2063="","",IF(AND(E2063&gt;0,F2063&gt;0,H2063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2063=1,TRUE()),R2063&lt;='01_설정'!B5,S2063&lt;='01_설정'!B6,T2063&lt;='01_설정'!B7,U2063&lt;='01_설정'!B8),"Y",""))</f>
        <v/>
      </c>
      <c r="W2063" s="172">
        <f>IF(V2063&lt;&gt;"Y","",MAX(0,(1-R2063/'01_설정'!B5))*'01_설정'!B14+MAX(0,(1-S2063/'01_설정'!B6))*'01_설정'!B15+MAX(0,(1-T2063/'01_설정'!B7))*'01_설정'!B16+MAX(0,(1-U2063/'01_설정'!B8))*'01_설정'!B17+O2063*'01_설정'!B11+Q2063*'01_설정'!B12+P2063*'01_설정'!B13+IF(Z2063="",0,Z2063))</f>
        <v/>
      </c>
      <c r="X2063" s="152">
        <f>IF(W2063="","",1+COUNTIFS($W$4:$W$3003,"&gt;"&amp;W2063)+COUNTIFS($W$4:W2063,W2063)-1)</f>
        <v/>
      </c>
      <c r="Y2063" s="175">
        <f>IF(OR(I2063="",'02_대상물건입력'!B19="",'02_대상물건입력'!B19&lt;=0),"",ABS(I2063-'02_대상물건입력'!B19)/'02_대상물건입력'!B19)</f>
        <v/>
      </c>
      <c r="Z2063" s="172">
        <f>IF(OR(Y2063="",'01_설정'!B31="",'01_설정'!B31&lt;=0,'01_설정'!B32="",'01_설정'!B32&lt;=0),"",MAX(0,(1-Y2063/'01_설정'!B32))*'01_설정'!B31)</f>
        <v/>
      </c>
    </row>
    <row r="2064" ht="17.25" customHeight="1">
      <c r="A2064" s="152">
        <f>IF(INDEX('04A_국토부원자료'!$A:$A,ROW()+1)="","",ROW()-3)</f>
        <v/>
      </c>
      <c r="B2064" s="48">
        <f>IFERROR(INDEX('04A_국토부원자료'!$A:$T,ROW()+1,MATCH("시군구",'04A_국토부원자료'!$A$4:$T$4,0)),"")</f>
        <v/>
      </c>
      <c r="C2064" s="48">
        <f>IF(B2064="","",IFERROR(INDEX('04A_국토부원자료'!$A:$T,ROW()+1,MATCH("번지",'04A_국토부원자료'!$A$4:$T$4,0)),""))</f>
        <v/>
      </c>
      <c r="D2064" s="48">
        <f>IF(B2064="","",IF(Q2064=1,'02_대상물건입력'!$B$8,IFERROR(INDEX('04A_국토부원자료'!$A:$T,ROW()+1,MATCH("단지명",'04A_국토부원자료'!$A$4:$T$4,0)),"")))</f>
        <v/>
      </c>
      <c r="E2064" s="172">
        <f>IFERROR(VALUE(SUBSTITUTE(INDEX('04A_국토부원자료'!$A:$T,ROW()+1,MATCH("전용면적(㎡)",'04A_국토부원자료'!$A$4:$T$4,0)),",","")),"")</f>
        <v/>
      </c>
      <c r="F20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64" s="51">
        <f>IFERROR(VALUE(SUBSTITUTE(INDEX('04A_국토부원자료'!$A:$T,ROW()+1,MATCH("거래금액(만원)",'04A_국토부원자료'!$A$4:$T$4,0)),",","")),"")</f>
        <v/>
      </c>
      <c r="H2064" s="174">
        <f>IF(G2064="","",G2064*10000)</f>
        <v/>
      </c>
      <c r="I2064" s="174">
        <f>IFERROR(IF(AND(H2064&gt;0,E2064&gt;0),H2064/E2064,""),"")</f>
        <v/>
      </c>
      <c r="J2064" s="152">
        <f>IFERROR(VALUE(SUBSTITUTE(INDEX('04A_국토부원자료'!$A:$T,ROW()+1,MATCH("층",'04A_국토부원자료'!$A$4:$T$4,0)),",","")),"")</f>
        <v/>
      </c>
      <c r="K2064" s="152">
        <f>IFERROR(VALUE(SUBSTITUTE(INDEX('04A_국토부원자료'!$A:$T,ROW()+1,MATCH("건축년도",'04A_국토부원자료'!$A$4:$T$4,0)),",","")),"")</f>
        <v/>
      </c>
      <c r="L2064" s="48">
        <f>IFERROR(INDEX('04A_국토부원자료'!$A:$T,ROW()+1,MATCH("도로명",'04A_국토부원자료'!$A$4:$T$4,0)),"")</f>
        <v/>
      </c>
      <c r="M2064" s="48">
        <f>IFERROR(INDEX('04A_국토부원자료'!$A:$T,ROW()+1,MATCH("거래유형",'04A_국토부원자료'!$A$4:$T$4,0)),"")</f>
        <v/>
      </c>
      <c r="N2064" s="152">
        <f>IF(B2064="","",IF('02_대상물건입력'!B5="",1,IF(ISNUMBER(SEARCH('02_대상물건입력'!B5,B2064)),1,0)))</f>
        <v/>
      </c>
      <c r="O2064" s="152">
        <f>IF(B2064="","",IF('02_대상물건입력'!B6="",1,IF(ISNUMBER(SEARCH('02_대상물건입력'!B6,B2064)),1,0)))</f>
        <v/>
      </c>
      <c r="P2064" s="152">
        <f>IF(L2064="","",IF('02_대상물건입력'!B15="",0,IF(ISNUMBER(SEARCH('02_대상물건입력'!B15,L2064)),1,0)))</f>
        <v/>
      </c>
      <c r="Q2064" s="152">
        <f>IF(OR(C2064="",L2064=""),0,IF(AND(TRIM(C2064)=TRIM(RIGHT(SUBSTITUTE(TRIM('02_대상물건입력'!$B$7)," ",REPT(" ",99)),99)),IF('02_대상물건입력'!B15="",TRUE(),ISNUMBER(SEARCH('02_대상물건입력'!B15,L2064)))),1,0))</f>
        <v/>
      </c>
      <c r="R2064" s="175">
        <f>IFERROR(ABS(E2064-'02_대상물건입력'!B11)/'02_대상물건입력'!B11,"")</f>
        <v/>
      </c>
      <c r="S2064" s="152">
        <f>IFERROR(ABS(J2064-'02_대상물건입력'!B10),"")</f>
        <v/>
      </c>
      <c r="T2064" s="152">
        <f>IFERROR(ABS('01_설정'!B4-F2064),"")</f>
        <v/>
      </c>
      <c r="U2064" s="152">
        <f>IFERROR(ABS(K2064-YEAR('02_대상물건입력'!B14)),"")</f>
        <v/>
      </c>
      <c r="V2064" s="152">
        <f>IF(B2064="","",IF(AND(E2064&gt;0,F2064&gt;0,H2064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2064=1,TRUE()),R2064&lt;='01_설정'!B5,S2064&lt;='01_설정'!B6,T2064&lt;='01_설정'!B7,U2064&lt;='01_설정'!B8),"Y",""))</f>
        <v/>
      </c>
      <c r="W2064" s="172">
        <f>IF(V2064&lt;&gt;"Y","",MAX(0,(1-R2064/'01_설정'!B5))*'01_설정'!B14+MAX(0,(1-S2064/'01_설정'!B6))*'01_설정'!B15+MAX(0,(1-T2064/'01_설정'!B7))*'01_설정'!B16+MAX(0,(1-U2064/'01_설정'!B8))*'01_설정'!B17+O2064*'01_설정'!B11+Q2064*'01_설정'!B12+P2064*'01_설정'!B13+IF(Z2064="",0,Z2064))</f>
        <v/>
      </c>
      <c r="X2064" s="152">
        <f>IF(W2064="","",1+COUNTIFS($W$4:$W$3003,"&gt;"&amp;W2064)+COUNTIFS($W$4:W2064,W2064)-1)</f>
        <v/>
      </c>
      <c r="Y2064" s="175">
        <f>IF(OR(I2064="",'02_대상물건입력'!B19="",'02_대상물건입력'!B19&lt;=0),"",ABS(I2064-'02_대상물건입력'!B19)/'02_대상물건입력'!B19)</f>
        <v/>
      </c>
      <c r="Z2064" s="172">
        <f>IF(OR(Y2064="",'01_설정'!B31="",'01_설정'!B31&lt;=0,'01_설정'!B32="",'01_설정'!B32&lt;=0),"",MAX(0,(1-Y2064/'01_설정'!B32))*'01_설정'!B31)</f>
        <v/>
      </c>
    </row>
    <row r="2065" ht="17.25" customHeight="1">
      <c r="A2065" s="152">
        <f>IF(INDEX('04A_국토부원자료'!$A:$A,ROW()+1)="","",ROW()-3)</f>
        <v/>
      </c>
      <c r="B2065" s="48">
        <f>IFERROR(INDEX('04A_국토부원자료'!$A:$T,ROW()+1,MATCH("시군구",'04A_국토부원자료'!$A$4:$T$4,0)),"")</f>
        <v/>
      </c>
      <c r="C2065" s="48">
        <f>IF(B2065="","",IFERROR(INDEX('04A_국토부원자료'!$A:$T,ROW()+1,MATCH("번지",'04A_국토부원자료'!$A$4:$T$4,0)),""))</f>
        <v/>
      </c>
      <c r="D2065" s="48">
        <f>IF(B2065="","",IF(Q2065=1,'02_대상물건입력'!$B$8,IFERROR(INDEX('04A_국토부원자료'!$A:$T,ROW()+1,MATCH("단지명",'04A_국토부원자료'!$A$4:$T$4,0)),"")))</f>
        <v/>
      </c>
      <c r="E2065" s="172">
        <f>IFERROR(VALUE(SUBSTITUTE(INDEX('04A_국토부원자료'!$A:$T,ROW()+1,MATCH("전용면적(㎡)",'04A_국토부원자료'!$A$4:$T$4,0)),",","")),"")</f>
        <v/>
      </c>
      <c r="F20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65" s="51">
        <f>IFERROR(VALUE(SUBSTITUTE(INDEX('04A_국토부원자료'!$A:$T,ROW()+1,MATCH("거래금액(만원)",'04A_국토부원자료'!$A$4:$T$4,0)),",","")),"")</f>
        <v/>
      </c>
      <c r="H2065" s="174">
        <f>IF(G2065="","",G2065*10000)</f>
        <v/>
      </c>
      <c r="I2065" s="174">
        <f>IFERROR(IF(AND(H2065&gt;0,E2065&gt;0),H2065/E2065,""),"")</f>
        <v/>
      </c>
      <c r="J2065" s="152">
        <f>IFERROR(VALUE(SUBSTITUTE(INDEX('04A_국토부원자료'!$A:$T,ROW()+1,MATCH("층",'04A_국토부원자료'!$A$4:$T$4,0)),",","")),"")</f>
        <v/>
      </c>
      <c r="K2065" s="152">
        <f>IFERROR(VALUE(SUBSTITUTE(INDEX('04A_국토부원자료'!$A:$T,ROW()+1,MATCH("건축년도",'04A_국토부원자료'!$A$4:$T$4,0)),",","")),"")</f>
        <v/>
      </c>
      <c r="L2065" s="48">
        <f>IFERROR(INDEX('04A_국토부원자료'!$A:$T,ROW()+1,MATCH("도로명",'04A_국토부원자료'!$A$4:$T$4,0)),"")</f>
        <v/>
      </c>
      <c r="M2065" s="48">
        <f>IFERROR(INDEX('04A_국토부원자료'!$A:$T,ROW()+1,MATCH("거래유형",'04A_국토부원자료'!$A$4:$T$4,0)),"")</f>
        <v/>
      </c>
      <c r="N2065" s="152">
        <f>IF(B2065="","",IF('02_대상물건입력'!B5="",1,IF(ISNUMBER(SEARCH('02_대상물건입력'!B5,B2065)),1,0)))</f>
        <v/>
      </c>
      <c r="O2065" s="152">
        <f>IF(B2065="","",IF('02_대상물건입력'!B6="",1,IF(ISNUMBER(SEARCH('02_대상물건입력'!B6,B2065)),1,0)))</f>
        <v/>
      </c>
      <c r="P2065" s="152">
        <f>IF(L2065="","",IF('02_대상물건입력'!B15="",0,IF(ISNUMBER(SEARCH('02_대상물건입력'!B15,L2065)),1,0)))</f>
        <v/>
      </c>
      <c r="Q2065" s="152">
        <f>IF(OR(C2065="",L2065=""),0,IF(AND(TRIM(C2065)=TRIM(RIGHT(SUBSTITUTE(TRIM('02_대상물건입력'!$B$7)," ",REPT(" ",99)),99)),IF('02_대상물건입력'!B15="",TRUE(),ISNUMBER(SEARCH('02_대상물건입력'!B15,L2065)))),1,0))</f>
        <v/>
      </c>
      <c r="R2065" s="175">
        <f>IFERROR(ABS(E2065-'02_대상물건입력'!B11)/'02_대상물건입력'!B11,"")</f>
        <v/>
      </c>
      <c r="S2065" s="152">
        <f>IFERROR(ABS(J2065-'02_대상물건입력'!B10),"")</f>
        <v/>
      </c>
      <c r="T2065" s="152">
        <f>IFERROR(ABS('01_설정'!B4-F2065),"")</f>
        <v/>
      </c>
      <c r="U2065" s="152">
        <f>IFERROR(ABS(K2065-YEAR('02_대상물건입력'!B14)),"")</f>
        <v/>
      </c>
      <c r="V2065" s="152">
        <f>IF(B2065="","",IF(AND(E2065&gt;0,F2065&gt;0,H2065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2065=1,TRUE()),R2065&lt;='01_설정'!B5,S2065&lt;='01_설정'!B6,T2065&lt;='01_설정'!B7,U2065&lt;='01_설정'!B8),"Y",""))</f>
        <v/>
      </c>
      <c r="W2065" s="172">
        <f>IF(V2065&lt;&gt;"Y","",MAX(0,(1-R2065/'01_설정'!B5))*'01_설정'!B14+MAX(0,(1-S2065/'01_설정'!B6))*'01_설정'!B15+MAX(0,(1-T2065/'01_설정'!B7))*'01_설정'!B16+MAX(0,(1-U2065/'01_설정'!B8))*'01_설정'!B17+O2065*'01_설정'!B11+Q2065*'01_설정'!B12+P2065*'01_설정'!B13+IF(Z2065="",0,Z2065))</f>
        <v/>
      </c>
      <c r="X2065" s="152">
        <f>IF(W2065="","",1+COUNTIFS($W$4:$W$3003,"&gt;"&amp;W2065)+COUNTIFS($W$4:W2065,W2065)-1)</f>
        <v/>
      </c>
      <c r="Y2065" s="175">
        <f>IF(OR(I2065="",'02_대상물건입력'!B19="",'02_대상물건입력'!B19&lt;=0),"",ABS(I2065-'02_대상물건입력'!B19)/'02_대상물건입력'!B19)</f>
        <v/>
      </c>
      <c r="Z2065" s="172">
        <f>IF(OR(Y2065="",'01_설정'!B31="",'01_설정'!B31&lt;=0,'01_설정'!B32="",'01_설정'!B32&lt;=0),"",MAX(0,(1-Y2065/'01_설정'!B32))*'01_설정'!B31)</f>
        <v/>
      </c>
    </row>
    <row r="2066" ht="17.25" customHeight="1">
      <c r="A2066" s="152">
        <f>IF(INDEX('04A_국토부원자료'!$A:$A,ROW()+1)="","",ROW()-3)</f>
        <v/>
      </c>
      <c r="B2066" s="48">
        <f>IFERROR(INDEX('04A_국토부원자료'!$A:$T,ROW()+1,MATCH("시군구",'04A_국토부원자료'!$A$4:$T$4,0)),"")</f>
        <v/>
      </c>
      <c r="C2066" s="48">
        <f>IF(B2066="","",IFERROR(INDEX('04A_국토부원자료'!$A:$T,ROW()+1,MATCH("번지",'04A_국토부원자료'!$A$4:$T$4,0)),""))</f>
        <v/>
      </c>
      <c r="D2066" s="48">
        <f>IF(B2066="","",IF(Q2066=1,'02_대상물건입력'!$B$8,IFERROR(INDEX('04A_국토부원자료'!$A:$T,ROW()+1,MATCH("단지명",'04A_국토부원자료'!$A$4:$T$4,0)),"")))</f>
        <v/>
      </c>
      <c r="E2066" s="172">
        <f>IFERROR(VALUE(SUBSTITUTE(INDEX('04A_국토부원자료'!$A:$T,ROW()+1,MATCH("전용면적(㎡)",'04A_국토부원자료'!$A$4:$T$4,0)),",","")),"")</f>
        <v/>
      </c>
      <c r="F20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66" s="51">
        <f>IFERROR(VALUE(SUBSTITUTE(INDEX('04A_국토부원자료'!$A:$T,ROW()+1,MATCH("거래금액(만원)",'04A_국토부원자료'!$A$4:$T$4,0)),",","")),"")</f>
        <v/>
      </c>
      <c r="H2066" s="174">
        <f>IF(G2066="","",G2066*10000)</f>
        <v/>
      </c>
      <c r="I2066" s="174">
        <f>IFERROR(IF(AND(H2066&gt;0,E2066&gt;0),H2066/E2066,""),"")</f>
        <v/>
      </c>
      <c r="J2066" s="152">
        <f>IFERROR(VALUE(SUBSTITUTE(INDEX('04A_국토부원자료'!$A:$T,ROW()+1,MATCH("층",'04A_국토부원자료'!$A$4:$T$4,0)),",","")),"")</f>
        <v/>
      </c>
      <c r="K2066" s="152">
        <f>IFERROR(VALUE(SUBSTITUTE(INDEX('04A_국토부원자료'!$A:$T,ROW()+1,MATCH("건축년도",'04A_국토부원자료'!$A$4:$T$4,0)),",","")),"")</f>
        <v/>
      </c>
      <c r="L2066" s="48">
        <f>IFERROR(INDEX('04A_국토부원자료'!$A:$T,ROW()+1,MATCH("도로명",'04A_국토부원자료'!$A$4:$T$4,0)),"")</f>
        <v/>
      </c>
      <c r="M2066" s="48">
        <f>IFERROR(INDEX('04A_국토부원자료'!$A:$T,ROW()+1,MATCH("거래유형",'04A_국토부원자료'!$A$4:$T$4,0)),"")</f>
        <v/>
      </c>
      <c r="N2066" s="152">
        <f>IF(B2066="","",IF('02_대상물건입력'!B5="",1,IF(ISNUMBER(SEARCH('02_대상물건입력'!B5,B2066)),1,0)))</f>
        <v/>
      </c>
      <c r="O2066" s="152">
        <f>IF(B2066="","",IF('02_대상물건입력'!B6="",1,IF(ISNUMBER(SEARCH('02_대상물건입력'!B6,B2066)),1,0)))</f>
        <v/>
      </c>
      <c r="P2066" s="152">
        <f>IF(L2066="","",IF('02_대상물건입력'!B15="",0,IF(ISNUMBER(SEARCH('02_대상물건입력'!B15,L2066)),1,0)))</f>
        <v/>
      </c>
      <c r="Q2066" s="152">
        <f>IF(OR(C2066="",L2066=""),0,IF(AND(TRIM(C2066)=TRIM(RIGHT(SUBSTITUTE(TRIM('02_대상물건입력'!$B$7)," ",REPT(" ",99)),99)),IF('02_대상물건입력'!B15="",TRUE(),ISNUMBER(SEARCH('02_대상물건입력'!B15,L2066)))),1,0))</f>
        <v/>
      </c>
      <c r="R2066" s="175">
        <f>IFERROR(ABS(E2066-'02_대상물건입력'!B11)/'02_대상물건입력'!B11,"")</f>
        <v/>
      </c>
      <c r="S2066" s="152">
        <f>IFERROR(ABS(J2066-'02_대상물건입력'!B10),"")</f>
        <v/>
      </c>
      <c r="T2066" s="152">
        <f>IFERROR(ABS('01_설정'!B4-F2066),"")</f>
        <v/>
      </c>
      <c r="U2066" s="152">
        <f>IFERROR(ABS(K2066-YEAR('02_대상물건입력'!B14)),"")</f>
        <v/>
      </c>
      <c r="V2066" s="152">
        <f>IF(B2066="","",IF(AND(E2066&gt;0,F2066&gt;0,H2066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2066=1,TRUE()),R2066&lt;='01_설정'!B5,S2066&lt;='01_설정'!B6,T2066&lt;='01_설정'!B7,U2066&lt;='01_설정'!B8),"Y",""))</f>
        <v/>
      </c>
      <c r="W2066" s="172">
        <f>IF(V2066&lt;&gt;"Y","",MAX(0,(1-R2066/'01_설정'!B5))*'01_설정'!B14+MAX(0,(1-S2066/'01_설정'!B6))*'01_설정'!B15+MAX(0,(1-T2066/'01_설정'!B7))*'01_설정'!B16+MAX(0,(1-U2066/'01_설정'!B8))*'01_설정'!B17+O2066*'01_설정'!B11+Q2066*'01_설정'!B12+P2066*'01_설정'!B13+IF(Z2066="",0,Z2066))</f>
        <v/>
      </c>
      <c r="X2066" s="152">
        <f>IF(W2066="","",1+COUNTIFS($W$4:$W$3003,"&gt;"&amp;W2066)+COUNTIFS($W$4:W2066,W2066)-1)</f>
        <v/>
      </c>
      <c r="Y2066" s="175">
        <f>IF(OR(I2066="",'02_대상물건입력'!B19="",'02_대상물건입력'!B19&lt;=0),"",ABS(I2066-'02_대상물건입력'!B19)/'02_대상물건입력'!B19)</f>
        <v/>
      </c>
      <c r="Z2066" s="172">
        <f>IF(OR(Y2066="",'01_설정'!B31="",'01_설정'!B31&lt;=0,'01_설정'!B32="",'01_설정'!B32&lt;=0),"",MAX(0,(1-Y2066/'01_설정'!B32))*'01_설정'!B31)</f>
        <v/>
      </c>
    </row>
    <row r="2067" ht="17.25" customHeight="1">
      <c r="A2067" s="152">
        <f>IF(INDEX('04A_국토부원자료'!$A:$A,ROW()+1)="","",ROW()-3)</f>
        <v/>
      </c>
      <c r="B2067" s="48">
        <f>IFERROR(INDEX('04A_국토부원자료'!$A:$T,ROW()+1,MATCH("시군구",'04A_국토부원자료'!$A$4:$T$4,0)),"")</f>
        <v/>
      </c>
      <c r="C2067" s="48">
        <f>IF(B2067="","",IFERROR(INDEX('04A_국토부원자료'!$A:$T,ROW()+1,MATCH("번지",'04A_국토부원자료'!$A$4:$T$4,0)),""))</f>
        <v/>
      </c>
      <c r="D2067" s="48">
        <f>IF(B2067="","",IF(Q2067=1,'02_대상물건입력'!$B$8,IFERROR(INDEX('04A_국토부원자료'!$A:$T,ROW()+1,MATCH("단지명",'04A_국토부원자료'!$A$4:$T$4,0)),"")))</f>
        <v/>
      </c>
      <c r="E2067" s="172">
        <f>IFERROR(VALUE(SUBSTITUTE(INDEX('04A_국토부원자료'!$A:$T,ROW()+1,MATCH("전용면적(㎡)",'04A_국토부원자료'!$A$4:$T$4,0)),",","")),"")</f>
        <v/>
      </c>
      <c r="F20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67" s="51">
        <f>IFERROR(VALUE(SUBSTITUTE(INDEX('04A_국토부원자료'!$A:$T,ROW()+1,MATCH("거래금액(만원)",'04A_국토부원자료'!$A$4:$T$4,0)),",","")),"")</f>
        <v/>
      </c>
      <c r="H2067" s="174">
        <f>IF(G2067="","",G2067*10000)</f>
        <v/>
      </c>
      <c r="I2067" s="174">
        <f>IFERROR(IF(AND(H2067&gt;0,E2067&gt;0),H2067/E2067,""),"")</f>
        <v/>
      </c>
      <c r="J2067" s="152">
        <f>IFERROR(VALUE(SUBSTITUTE(INDEX('04A_국토부원자료'!$A:$T,ROW()+1,MATCH("층",'04A_국토부원자료'!$A$4:$T$4,0)),",","")),"")</f>
        <v/>
      </c>
      <c r="K2067" s="152">
        <f>IFERROR(VALUE(SUBSTITUTE(INDEX('04A_국토부원자료'!$A:$T,ROW()+1,MATCH("건축년도",'04A_국토부원자료'!$A$4:$T$4,0)),",","")),"")</f>
        <v/>
      </c>
      <c r="L2067" s="48">
        <f>IFERROR(INDEX('04A_국토부원자료'!$A:$T,ROW()+1,MATCH("도로명",'04A_국토부원자료'!$A$4:$T$4,0)),"")</f>
        <v/>
      </c>
      <c r="M2067" s="48">
        <f>IFERROR(INDEX('04A_국토부원자료'!$A:$T,ROW()+1,MATCH("거래유형",'04A_국토부원자료'!$A$4:$T$4,0)),"")</f>
        <v/>
      </c>
      <c r="N2067" s="152">
        <f>IF(B2067="","",IF('02_대상물건입력'!B5="",1,IF(ISNUMBER(SEARCH('02_대상물건입력'!B5,B2067)),1,0)))</f>
        <v/>
      </c>
      <c r="O2067" s="152">
        <f>IF(B2067="","",IF('02_대상물건입력'!B6="",1,IF(ISNUMBER(SEARCH('02_대상물건입력'!B6,B2067)),1,0)))</f>
        <v/>
      </c>
      <c r="P2067" s="152">
        <f>IF(L2067="","",IF('02_대상물건입력'!B15="",0,IF(ISNUMBER(SEARCH('02_대상물건입력'!B15,L2067)),1,0)))</f>
        <v/>
      </c>
      <c r="Q2067" s="152">
        <f>IF(OR(C2067="",L2067=""),0,IF(AND(TRIM(C2067)=TRIM(RIGHT(SUBSTITUTE(TRIM('02_대상물건입력'!$B$7)," ",REPT(" ",99)),99)),IF('02_대상물건입력'!B15="",TRUE(),ISNUMBER(SEARCH('02_대상물건입력'!B15,L2067)))),1,0))</f>
        <v/>
      </c>
      <c r="R2067" s="175">
        <f>IFERROR(ABS(E2067-'02_대상물건입력'!B11)/'02_대상물건입력'!B11,"")</f>
        <v/>
      </c>
      <c r="S2067" s="152">
        <f>IFERROR(ABS(J2067-'02_대상물건입력'!B10),"")</f>
        <v/>
      </c>
      <c r="T2067" s="152">
        <f>IFERROR(ABS('01_설정'!B4-F2067),"")</f>
        <v/>
      </c>
      <c r="U2067" s="152">
        <f>IFERROR(ABS(K2067-YEAR('02_대상물건입력'!B14)),"")</f>
        <v/>
      </c>
      <c r="V2067" s="152">
        <f>IF(B2067="","",IF(AND(E2067&gt;0,F2067&gt;0,H2067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2067=1,TRUE()),R2067&lt;='01_설정'!B5,S2067&lt;='01_설정'!B6,T2067&lt;='01_설정'!B7,U2067&lt;='01_설정'!B8),"Y",""))</f>
        <v/>
      </c>
      <c r="W2067" s="172">
        <f>IF(V2067&lt;&gt;"Y","",MAX(0,(1-R2067/'01_설정'!B5))*'01_설정'!B14+MAX(0,(1-S2067/'01_설정'!B6))*'01_설정'!B15+MAX(0,(1-T2067/'01_설정'!B7))*'01_설정'!B16+MAX(0,(1-U2067/'01_설정'!B8))*'01_설정'!B17+O2067*'01_설정'!B11+Q2067*'01_설정'!B12+P2067*'01_설정'!B13+IF(Z2067="",0,Z2067))</f>
        <v/>
      </c>
      <c r="X2067" s="152">
        <f>IF(W2067="","",1+COUNTIFS($W$4:$W$3003,"&gt;"&amp;W2067)+COUNTIFS($W$4:W2067,W2067)-1)</f>
        <v/>
      </c>
      <c r="Y2067" s="175">
        <f>IF(OR(I2067="",'02_대상물건입력'!B19="",'02_대상물건입력'!B19&lt;=0),"",ABS(I2067-'02_대상물건입력'!B19)/'02_대상물건입력'!B19)</f>
        <v/>
      </c>
      <c r="Z2067" s="172">
        <f>IF(OR(Y2067="",'01_설정'!B31="",'01_설정'!B31&lt;=0,'01_설정'!B32="",'01_설정'!B32&lt;=0),"",MAX(0,(1-Y2067/'01_설정'!B32))*'01_설정'!B31)</f>
        <v/>
      </c>
    </row>
    <row r="2068" ht="17.25" customHeight="1">
      <c r="A2068" s="152">
        <f>IF(INDEX('04A_국토부원자료'!$A:$A,ROW()+1)="","",ROW()-3)</f>
        <v/>
      </c>
      <c r="B2068" s="48">
        <f>IFERROR(INDEX('04A_국토부원자료'!$A:$T,ROW()+1,MATCH("시군구",'04A_국토부원자료'!$A$4:$T$4,0)),"")</f>
        <v/>
      </c>
      <c r="C2068" s="48">
        <f>IF(B2068="","",IFERROR(INDEX('04A_국토부원자료'!$A:$T,ROW()+1,MATCH("번지",'04A_국토부원자료'!$A$4:$T$4,0)),""))</f>
        <v/>
      </c>
      <c r="D2068" s="48">
        <f>IF(B2068="","",IF(Q2068=1,'02_대상물건입력'!$B$8,IFERROR(INDEX('04A_국토부원자료'!$A:$T,ROW()+1,MATCH("단지명",'04A_국토부원자료'!$A$4:$T$4,0)),"")))</f>
        <v/>
      </c>
      <c r="E2068" s="172">
        <f>IFERROR(VALUE(SUBSTITUTE(INDEX('04A_국토부원자료'!$A:$T,ROW()+1,MATCH("전용면적(㎡)",'04A_국토부원자료'!$A$4:$T$4,0)),",","")),"")</f>
        <v/>
      </c>
      <c r="F20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68" s="51">
        <f>IFERROR(VALUE(SUBSTITUTE(INDEX('04A_국토부원자료'!$A:$T,ROW()+1,MATCH("거래금액(만원)",'04A_국토부원자료'!$A$4:$T$4,0)),",","")),"")</f>
        <v/>
      </c>
      <c r="H2068" s="174">
        <f>IF(G2068="","",G2068*10000)</f>
        <v/>
      </c>
      <c r="I2068" s="174">
        <f>IFERROR(IF(AND(H2068&gt;0,E2068&gt;0),H2068/E2068,""),"")</f>
        <v/>
      </c>
      <c r="J2068" s="152">
        <f>IFERROR(VALUE(SUBSTITUTE(INDEX('04A_국토부원자료'!$A:$T,ROW()+1,MATCH("층",'04A_국토부원자료'!$A$4:$T$4,0)),",","")),"")</f>
        <v/>
      </c>
      <c r="K2068" s="152">
        <f>IFERROR(VALUE(SUBSTITUTE(INDEX('04A_국토부원자료'!$A:$T,ROW()+1,MATCH("건축년도",'04A_국토부원자료'!$A$4:$T$4,0)),",","")),"")</f>
        <v/>
      </c>
      <c r="L2068" s="48">
        <f>IFERROR(INDEX('04A_국토부원자료'!$A:$T,ROW()+1,MATCH("도로명",'04A_국토부원자료'!$A$4:$T$4,0)),"")</f>
        <v/>
      </c>
      <c r="M2068" s="48">
        <f>IFERROR(INDEX('04A_국토부원자료'!$A:$T,ROW()+1,MATCH("거래유형",'04A_국토부원자료'!$A$4:$T$4,0)),"")</f>
        <v/>
      </c>
      <c r="N2068" s="152">
        <f>IF(B2068="","",IF('02_대상물건입력'!B5="",1,IF(ISNUMBER(SEARCH('02_대상물건입력'!B5,B2068)),1,0)))</f>
        <v/>
      </c>
      <c r="O2068" s="152">
        <f>IF(B2068="","",IF('02_대상물건입력'!B6="",1,IF(ISNUMBER(SEARCH('02_대상물건입력'!B6,B2068)),1,0)))</f>
        <v/>
      </c>
      <c r="P2068" s="152">
        <f>IF(L2068="","",IF('02_대상물건입력'!B15="",0,IF(ISNUMBER(SEARCH('02_대상물건입력'!B15,L2068)),1,0)))</f>
        <v/>
      </c>
      <c r="Q2068" s="152">
        <f>IF(OR(C2068="",L2068=""),0,IF(AND(TRIM(C2068)=TRIM(RIGHT(SUBSTITUTE(TRIM('02_대상물건입력'!$B$7)," ",REPT(" ",99)),99)),IF('02_대상물건입력'!B15="",TRUE(),ISNUMBER(SEARCH('02_대상물건입력'!B15,L2068)))),1,0))</f>
        <v/>
      </c>
      <c r="R2068" s="175">
        <f>IFERROR(ABS(E2068-'02_대상물건입력'!B11)/'02_대상물건입력'!B11,"")</f>
        <v/>
      </c>
      <c r="S2068" s="152">
        <f>IFERROR(ABS(J2068-'02_대상물건입력'!B10),"")</f>
        <v/>
      </c>
      <c r="T2068" s="152">
        <f>IFERROR(ABS('01_설정'!B4-F2068),"")</f>
        <v/>
      </c>
      <c r="U2068" s="152">
        <f>IFERROR(ABS(K2068-YEAR('02_대상물건입력'!B14)),"")</f>
        <v/>
      </c>
      <c r="V2068" s="152">
        <f>IF(B2068="","",IF(AND(E2068&gt;0,F2068&gt;0,H2068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2068=1,TRUE()),R2068&lt;='01_설정'!B5,S2068&lt;='01_설정'!B6,T2068&lt;='01_설정'!B7,U2068&lt;='01_설정'!B8),"Y",""))</f>
        <v/>
      </c>
      <c r="W2068" s="172">
        <f>IF(V2068&lt;&gt;"Y","",MAX(0,(1-R2068/'01_설정'!B5))*'01_설정'!B14+MAX(0,(1-S2068/'01_설정'!B6))*'01_설정'!B15+MAX(0,(1-T2068/'01_설정'!B7))*'01_설정'!B16+MAX(0,(1-U2068/'01_설정'!B8))*'01_설정'!B17+O2068*'01_설정'!B11+Q2068*'01_설정'!B12+P2068*'01_설정'!B13+IF(Z2068="",0,Z2068))</f>
        <v/>
      </c>
      <c r="X2068" s="152">
        <f>IF(W2068="","",1+COUNTIFS($W$4:$W$3003,"&gt;"&amp;W2068)+COUNTIFS($W$4:W2068,W2068)-1)</f>
        <v/>
      </c>
      <c r="Y2068" s="175">
        <f>IF(OR(I2068="",'02_대상물건입력'!B19="",'02_대상물건입력'!B19&lt;=0),"",ABS(I2068-'02_대상물건입력'!B19)/'02_대상물건입력'!B19)</f>
        <v/>
      </c>
      <c r="Z2068" s="172">
        <f>IF(OR(Y2068="",'01_설정'!B31="",'01_설정'!B31&lt;=0,'01_설정'!B32="",'01_설정'!B32&lt;=0),"",MAX(0,(1-Y2068/'01_설정'!B32))*'01_설정'!B31)</f>
        <v/>
      </c>
    </row>
    <row r="2069" ht="17.25" customHeight="1">
      <c r="A2069" s="152">
        <f>IF(INDEX('04A_국토부원자료'!$A:$A,ROW()+1)="","",ROW()-3)</f>
        <v/>
      </c>
      <c r="B2069" s="48">
        <f>IFERROR(INDEX('04A_국토부원자료'!$A:$T,ROW()+1,MATCH("시군구",'04A_국토부원자료'!$A$4:$T$4,0)),"")</f>
        <v/>
      </c>
      <c r="C2069" s="48">
        <f>IF(B2069="","",IFERROR(INDEX('04A_국토부원자료'!$A:$T,ROW()+1,MATCH("번지",'04A_국토부원자료'!$A$4:$T$4,0)),""))</f>
        <v/>
      </c>
      <c r="D2069" s="48">
        <f>IF(B2069="","",IF(Q2069=1,'02_대상물건입력'!$B$8,IFERROR(INDEX('04A_국토부원자료'!$A:$T,ROW()+1,MATCH("단지명",'04A_국토부원자료'!$A$4:$T$4,0)),"")))</f>
        <v/>
      </c>
      <c r="E2069" s="172">
        <f>IFERROR(VALUE(SUBSTITUTE(INDEX('04A_국토부원자료'!$A:$T,ROW()+1,MATCH("전용면적(㎡)",'04A_국토부원자료'!$A$4:$T$4,0)),",","")),"")</f>
        <v/>
      </c>
      <c r="F20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69" s="51">
        <f>IFERROR(VALUE(SUBSTITUTE(INDEX('04A_국토부원자료'!$A:$T,ROW()+1,MATCH("거래금액(만원)",'04A_국토부원자료'!$A$4:$T$4,0)),",","")),"")</f>
        <v/>
      </c>
      <c r="H2069" s="174">
        <f>IF(G2069="","",G2069*10000)</f>
        <v/>
      </c>
      <c r="I2069" s="174">
        <f>IFERROR(IF(AND(H2069&gt;0,E2069&gt;0),H2069/E2069,""),"")</f>
        <v/>
      </c>
      <c r="J2069" s="152">
        <f>IFERROR(VALUE(SUBSTITUTE(INDEX('04A_국토부원자료'!$A:$T,ROW()+1,MATCH("층",'04A_국토부원자료'!$A$4:$T$4,0)),",","")),"")</f>
        <v/>
      </c>
      <c r="K2069" s="152">
        <f>IFERROR(VALUE(SUBSTITUTE(INDEX('04A_국토부원자료'!$A:$T,ROW()+1,MATCH("건축년도",'04A_국토부원자료'!$A$4:$T$4,0)),",","")),"")</f>
        <v/>
      </c>
      <c r="L2069" s="48">
        <f>IFERROR(INDEX('04A_국토부원자료'!$A:$T,ROW()+1,MATCH("도로명",'04A_국토부원자료'!$A$4:$T$4,0)),"")</f>
        <v/>
      </c>
      <c r="M2069" s="48">
        <f>IFERROR(INDEX('04A_국토부원자료'!$A:$T,ROW()+1,MATCH("거래유형",'04A_국토부원자료'!$A$4:$T$4,0)),"")</f>
        <v/>
      </c>
      <c r="N2069" s="152">
        <f>IF(B2069="","",IF('02_대상물건입력'!B5="",1,IF(ISNUMBER(SEARCH('02_대상물건입력'!B5,B2069)),1,0)))</f>
        <v/>
      </c>
      <c r="O2069" s="152">
        <f>IF(B2069="","",IF('02_대상물건입력'!B6="",1,IF(ISNUMBER(SEARCH('02_대상물건입력'!B6,B2069)),1,0)))</f>
        <v/>
      </c>
      <c r="P2069" s="152">
        <f>IF(L2069="","",IF('02_대상물건입력'!B15="",0,IF(ISNUMBER(SEARCH('02_대상물건입력'!B15,L2069)),1,0)))</f>
        <v/>
      </c>
      <c r="Q2069" s="152">
        <f>IF(OR(C2069="",L2069=""),0,IF(AND(TRIM(C2069)=TRIM(RIGHT(SUBSTITUTE(TRIM('02_대상물건입력'!$B$7)," ",REPT(" ",99)),99)),IF('02_대상물건입력'!B15="",TRUE(),ISNUMBER(SEARCH('02_대상물건입력'!B15,L2069)))),1,0))</f>
        <v/>
      </c>
      <c r="R2069" s="175">
        <f>IFERROR(ABS(E2069-'02_대상물건입력'!B11)/'02_대상물건입력'!B11,"")</f>
        <v/>
      </c>
      <c r="S2069" s="152">
        <f>IFERROR(ABS(J2069-'02_대상물건입력'!B10),"")</f>
        <v/>
      </c>
      <c r="T2069" s="152">
        <f>IFERROR(ABS('01_설정'!B4-F2069),"")</f>
        <v/>
      </c>
      <c r="U2069" s="152">
        <f>IFERROR(ABS(K2069-YEAR('02_대상물건입력'!B14)),"")</f>
        <v/>
      </c>
      <c r="V2069" s="152">
        <f>IF(B2069="","",IF(AND(E2069&gt;0,F2069&gt;0,H2069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2069=1,TRUE()),R2069&lt;='01_설정'!B5,S2069&lt;='01_설정'!B6,T2069&lt;='01_설정'!B7,U2069&lt;='01_설정'!B8),"Y",""))</f>
        <v/>
      </c>
      <c r="W2069" s="172">
        <f>IF(V2069&lt;&gt;"Y","",MAX(0,(1-R2069/'01_설정'!B5))*'01_설정'!B14+MAX(0,(1-S2069/'01_설정'!B6))*'01_설정'!B15+MAX(0,(1-T2069/'01_설정'!B7))*'01_설정'!B16+MAX(0,(1-U2069/'01_설정'!B8))*'01_설정'!B17+O2069*'01_설정'!B11+Q2069*'01_설정'!B12+P2069*'01_설정'!B13+IF(Z2069="",0,Z2069))</f>
        <v/>
      </c>
      <c r="X2069" s="152">
        <f>IF(W2069="","",1+COUNTIFS($W$4:$W$3003,"&gt;"&amp;W2069)+COUNTIFS($W$4:W2069,W2069)-1)</f>
        <v/>
      </c>
      <c r="Y2069" s="175">
        <f>IF(OR(I2069="",'02_대상물건입력'!B19="",'02_대상물건입력'!B19&lt;=0),"",ABS(I2069-'02_대상물건입력'!B19)/'02_대상물건입력'!B19)</f>
        <v/>
      </c>
      <c r="Z2069" s="172">
        <f>IF(OR(Y2069="",'01_설정'!B31="",'01_설정'!B31&lt;=0,'01_설정'!B32="",'01_설정'!B32&lt;=0),"",MAX(0,(1-Y2069/'01_설정'!B32))*'01_설정'!B31)</f>
        <v/>
      </c>
    </row>
    <row r="2070" ht="17.25" customHeight="1">
      <c r="A2070" s="152">
        <f>IF(INDEX('04A_국토부원자료'!$A:$A,ROW()+1)="","",ROW()-3)</f>
        <v/>
      </c>
      <c r="B2070" s="48">
        <f>IFERROR(INDEX('04A_국토부원자료'!$A:$T,ROW()+1,MATCH("시군구",'04A_국토부원자료'!$A$4:$T$4,0)),"")</f>
        <v/>
      </c>
      <c r="C2070" s="48">
        <f>IF(B2070="","",IFERROR(INDEX('04A_국토부원자료'!$A:$T,ROW()+1,MATCH("번지",'04A_국토부원자료'!$A$4:$T$4,0)),""))</f>
        <v/>
      </c>
      <c r="D2070" s="48">
        <f>IF(B2070="","",IF(Q2070=1,'02_대상물건입력'!$B$8,IFERROR(INDEX('04A_국토부원자료'!$A:$T,ROW()+1,MATCH("단지명",'04A_국토부원자료'!$A$4:$T$4,0)),"")))</f>
        <v/>
      </c>
      <c r="E2070" s="172">
        <f>IFERROR(VALUE(SUBSTITUTE(INDEX('04A_국토부원자료'!$A:$T,ROW()+1,MATCH("전용면적(㎡)",'04A_국토부원자료'!$A$4:$T$4,0)),",","")),"")</f>
        <v/>
      </c>
      <c r="F20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70" s="51">
        <f>IFERROR(VALUE(SUBSTITUTE(INDEX('04A_국토부원자료'!$A:$T,ROW()+1,MATCH("거래금액(만원)",'04A_국토부원자료'!$A$4:$T$4,0)),",","")),"")</f>
        <v/>
      </c>
      <c r="H2070" s="174">
        <f>IF(G2070="","",G2070*10000)</f>
        <v/>
      </c>
      <c r="I2070" s="174">
        <f>IFERROR(IF(AND(H2070&gt;0,E2070&gt;0),H2070/E2070,""),"")</f>
        <v/>
      </c>
      <c r="J2070" s="152">
        <f>IFERROR(VALUE(SUBSTITUTE(INDEX('04A_국토부원자료'!$A:$T,ROW()+1,MATCH("층",'04A_국토부원자료'!$A$4:$T$4,0)),",","")),"")</f>
        <v/>
      </c>
      <c r="K2070" s="152">
        <f>IFERROR(VALUE(SUBSTITUTE(INDEX('04A_국토부원자료'!$A:$T,ROW()+1,MATCH("건축년도",'04A_국토부원자료'!$A$4:$T$4,0)),",","")),"")</f>
        <v/>
      </c>
      <c r="L2070" s="48">
        <f>IFERROR(INDEX('04A_국토부원자료'!$A:$T,ROW()+1,MATCH("도로명",'04A_국토부원자료'!$A$4:$T$4,0)),"")</f>
        <v/>
      </c>
      <c r="M2070" s="48">
        <f>IFERROR(INDEX('04A_국토부원자료'!$A:$T,ROW()+1,MATCH("거래유형",'04A_국토부원자료'!$A$4:$T$4,0)),"")</f>
        <v/>
      </c>
      <c r="N2070" s="152">
        <f>IF(B2070="","",IF('02_대상물건입력'!B5="",1,IF(ISNUMBER(SEARCH('02_대상물건입력'!B5,B2070)),1,0)))</f>
        <v/>
      </c>
      <c r="O2070" s="152">
        <f>IF(B2070="","",IF('02_대상물건입력'!B6="",1,IF(ISNUMBER(SEARCH('02_대상물건입력'!B6,B2070)),1,0)))</f>
        <v/>
      </c>
      <c r="P2070" s="152">
        <f>IF(L2070="","",IF('02_대상물건입력'!B15="",0,IF(ISNUMBER(SEARCH('02_대상물건입력'!B15,L2070)),1,0)))</f>
        <v/>
      </c>
      <c r="Q2070" s="152">
        <f>IF(OR(C2070="",L2070=""),0,IF(AND(TRIM(C2070)=TRIM(RIGHT(SUBSTITUTE(TRIM('02_대상물건입력'!$B$7)," ",REPT(" ",99)),99)),IF('02_대상물건입력'!B15="",TRUE(),ISNUMBER(SEARCH('02_대상물건입력'!B15,L2070)))),1,0))</f>
        <v/>
      </c>
      <c r="R2070" s="175">
        <f>IFERROR(ABS(E2070-'02_대상물건입력'!B11)/'02_대상물건입력'!B11,"")</f>
        <v/>
      </c>
      <c r="S2070" s="152">
        <f>IFERROR(ABS(J2070-'02_대상물건입력'!B10),"")</f>
        <v/>
      </c>
      <c r="T2070" s="152">
        <f>IFERROR(ABS('01_설정'!B4-F2070),"")</f>
        <v/>
      </c>
      <c r="U2070" s="152">
        <f>IFERROR(ABS(K2070-YEAR('02_대상물건입력'!B14)),"")</f>
        <v/>
      </c>
      <c r="V2070" s="152">
        <f>IF(B2070="","",IF(AND(E2070&gt;0,F2070&gt;0,H2070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2070=1,TRUE()),R2070&lt;='01_설정'!B5,S2070&lt;='01_설정'!B6,T2070&lt;='01_설정'!B7,U2070&lt;='01_설정'!B8),"Y",""))</f>
        <v/>
      </c>
      <c r="W2070" s="172">
        <f>IF(V2070&lt;&gt;"Y","",MAX(0,(1-R2070/'01_설정'!B5))*'01_설정'!B14+MAX(0,(1-S2070/'01_설정'!B6))*'01_설정'!B15+MAX(0,(1-T2070/'01_설정'!B7))*'01_설정'!B16+MAX(0,(1-U2070/'01_설정'!B8))*'01_설정'!B17+O2070*'01_설정'!B11+Q2070*'01_설정'!B12+P2070*'01_설정'!B13+IF(Z2070="",0,Z2070))</f>
        <v/>
      </c>
      <c r="X2070" s="152">
        <f>IF(W2070="","",1+COUNTIFS($W$4:$W$3003,"&gt;"&amp;W2070)+COUNTIFS($W$4:W2070,W2070)-1)</f>
        <v/>
      </c>
      <c r="Y2070" s="175">
        <f>IF(OR(I2070="",'02_대상물건입력'!B19="",'02_대상물건입력'!B19&lt;=0),"",ABS(I2070-'02_대상물건입력'!B19)/'02_대상물건입력'!B19)</f>
        <v/>
      </c>
      <c r="Z2070" s="172">
        <f>IF(OR(Y2070="",'01_설정'!B31="",'01_설정'!B31&lt;=0,'01_설정'!B32="",'01_설정'!B32&lt;=0),"",MAX(0,(1-Y2070/'01_설정'!B32))*'01_설정'!B31)</f>
        <v/>
      </c>
    </row>
    <row r="2071" ht="17.25" customHeight="1">
      <c r="A2071" s="152">
        <f>IF(INDEX('04A_국토부원자료'!$A:$A,ROW()+1)="","",ROW()-3)</f>
        <v/>
      </c>
      <c r="B2071" s="48">
        <f>IFERROR(INDEX('04A_국토부원자료'!$A:$T,ROW()+1,MATCH("시군구",'04A_국토부원자료'!$A$4:$T$4,0)),"")</f>
        <v/>
      </c>
      <c r="C2071" s="48">
        <f>IF(B2071="","",IFERROR(INDEX('04A_국토부원자료'!$A:$T,ROW()+1,MATCH("번지",'04A_국토부원자료'!$A$4:$T$4,0)),""))</f>
        <v/>
      </c>
      <c r="D2071" s="48">
        <f>IF(B2071="","",IF(Q2071=1,'02_대상물건입력'!$B$8,IFERROR(INDEX('04A_국토부원자료'!$A:$T,ROW()+1,MATCH("단지명",'04A_국토부원자료'!$A$4:$T$4,0)),"")))</f>
        <v/>
      </c>
      <c r="E2071" s="172">
        <f>IFERROR(VALUE(SUBSTITUTE(INDEX('04A_국토부원자료'!$A:$T,ROW()+1,MATCH("전용면적(㎡)",'04A_국토부원자료'!$A$4:$T$4,0)),",","")),"")</f>
        <v/>
      </c>
      <c r="F20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71" s="51">
        <f>IFERROR(VALUE(SUBSTITUTE(INDEX('04A_국토부원자료'!$A:$T,ROW()+1,MATCH("거래금액(만원)",'04A_국토부원자료'!$A$4:$T$4,0)),",","")),"")</f>
        <v/>
      </c>
      <c r="H2071" s="174">
        <f>IF(G2071="","",G2071*10000)</f>
        <v/>
      </c>
      <c r="I2071" s="174">
        <f>IFERROR(IF(AND(H2071&gt;0,E2071&gt;0),H2071/E2071,""),"")</f>
        <v/>
      </c>
      <c r="J2071" s="152">
        <f>IFERROR(VALUE(SUBSTITUTE(INDEX('04A_국토부원자료'!$A:$T,ROW()+1,MATCH("층",'04A_국토부원자료'!$A$4:$T$4,0)),",","")),"")</f>
        <v/>
      </c>
      <c r="K2071" s="152">
        <f>IFERROR(VALUE(SUBSTITUTE(INDEX('04A_국토부원자료'!$A:$T,ROW()+1,MATCH("건축년도",'04A_국토부원자료'!$A$4:$T$4,0)),",","")),"")</f>
        <v/>
      </c>
      <c r="L2071" s="48">
        <f>IFERROR(INDEX('04A_국토부원자료'!$A:$T,ROW()+1,MATCH("도로명",'04A_국토부원자료'!$A$4:$T$4,0)),"")</f>
        <v/>
      </c>
      <c r="M2071" s="48">
        <f>IFERROR(INDEX('04A_국토부원자료'!$A:$T,ROW()+1,MATCH("거래유형",'04A_국토부원자료'!$A$4:$T$4,0)),"")</f>
        <v/>
      </c>
      <c r="N2071" s="152">
        <f>IF(B2071="","",IF('02_대상물건입력'!B5="",1,IF(ISNUMBER(SEARCH('02_대상물건입력'!B5,B2071)),1,0)))</f>
        <v/>
      </c>
      <c r="O2071" s="152">
        <f>IF(B2071="","",IF('02_대상물건입력'!B6="",1,IF(ISNUMBER(SEARCH('02_대상물건입력'!B6,B2071)),1,0)))</f>
        <v/>
      </c>
      <c r="P2071" s="152">
        <f>IF(L2071="","",IF('02_대상물건입력'!B15="",0,IF(ISNUMBER(SEARCH('02_대상물건입력'!B15,L2071)),1,0)))</f>
        <v/>
      </c>
      <c r="Q2071" s="152">
        <f>IF(OR(C2071="",L2071=""),0,IF(AND(TRIM(C2071)=TRIM(RIGHT(SUBSTITUTE(TRIM('02_대상물건입력'!$B$7)," ",REPT(" ",99)),99)),IF('02_대상물건입력'!B15="",TRUE(),ISNUMBER(SEARCH('02_대상물건입력'!B15,L2071)))),1,0))</f>
        <v/>
      </c>
      <c r="R2071" s="175">
        <f>IFERROR(ABS(E2071-'02_대상물건입력'!B11)/'02_대상물건입력'!B11,"")</f>
        <v/>
      </c>
      <c r="S2071" s="152">
        <f>IFERROR(ABS(J2071-'02_대상물건입력'!B10),"")</f>
        <v/>
      </c>
      <c r="T2071" s="152">
        <f>IFERROR(ABS('01_설정'!B4-F2071),"")</f>
        <v/>
      </c>
      <c r="U2071" s="152">
        <f>IFERROR(ABS(K2071-YEAR('02_대상물건입력'!B14)),"")</f>
        <v/>
      </c>
      <c r="V2071" s="152">
        <f>IF(B2071="","",IF(AND(E2071&gt;0,F2071&gt;0,H2071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2071=1,TRUE()),R2071&lt;='01_설정'!B5,S2071&lt;='01_설정'!B6,T2071&lt;='01_설정'!B7,U2071&lt;='01_설정'!B8),"Y",""))</f>
        <v/>
      </c>
      <c r="W2071" s="172">
        <f>IF(V2071&lt;&gt;"Y","",MAX(0,(1-R2071/'01_설정'!B5))*'01_설정'!B14+MAX(0,(1-S2071/'01_설정'!B6))*'01_설정'!B15+MAX(0,(1-T2071/'01_설정'!B7))*'01_설정'!B16+MAX(0,(1-U2071/'01_설정'!B8))*'01_설정'!B17+O2071*'01_설정'!B11+Q2071*'01_설정'!B12+P2071*'01_설정'!B13+IF(Z2071="",0,Z2071))</f>
        <v/>
      </c>
      <c r="X2071" s="152">
        <f>IF(W2071="","",1+COUNTIFS($W$4:$W$3003,"&gt;"&amp;W2071)+COUNTIFS($W$4:W2071,W2071)-1)</f>
        <v/>
      </c>
      <c r="Y2071" s="175">
        <f>IF(OR(I2071="",'02_대상물건입력'!B19="",'02_대상물건입력'!B19&lt;=0),"",ABS(I2071-'02_대상물건입력'!B19)/'02_대상물건입력'!B19)</f>
        <v/>
      </c>
      <c r="Z2071" s="172">
        <f>IF(OR(Y2071="",'01_설정'!B31="",'01_설정'!B31&lt;=0,'01_설정'!B32="",'01_설정'!B32&lt;=0),"",MAX(0,(1-Y2071/'01_설정'!B32))*'01_설정'!B31)</f>
        <v/>
      </c>
    </row>
    <row r="2072" ht="17.25" customHeight="1">
      <c r="A2072" s="152">
        <f>IF(INDEX('04A_국토부원자료'!$A:$A,ROW()+1)="","",ROW()-3)</f>
        <v/>
      </c>
      <c r="B2072" s="48">
        <f>IFERROR(INDEX('04A_국토부원자료'!$A:$T,ROW()+1,MATCH("시군구",'04A_국토부원자료'!$A$4:$T$4,0)),"")</f>
        <v/>
      </c>
      <c r="C2072" s="48">
        <f>IF(B2072="","",IFERROR(INDEX('04A_국토부원자료'!$A:$T,ROW()+1,MATCH("번지",'04A_국토부원자료'!$A$4:$T$4,0)),""))</f>
        <v/>
      </c>
      <c r="D2072" s="48">
        <f>IF(B2072="","",IF(Q2072=1,'02_대상물건입력'!$B$8,IFERROR(INDEX('04A_국토부원자료'!$A:$T,ROW()+1,MATCH("단지명",'04A_국토부원자료'!$A$4:$T$4,0)),"")))</f>
        <v/>
      </c>
      <c r="E2072" s="172">
        <f>IFERROR(VALUE(SUBSTITUTE(INDEX('04A_국토부원자료'!$A:$T,ROW()+1,MATCH("전용면적(㎡)",'04A_국토부원자료'!$A$4:$T$4,0)),",","")),"")</f>
        <v/>
      </c>
      <c r="F20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72" s="51">
        <f>IFERROR(VALUE(SUBSTITUTE(INDEX('04A_국토부원자료'!$A:$T,ROW()+1,MATCH("거래금액(만원)",'04A_국토부원자료'!$A$4:$T$4,0)),",","")),"")</f>
        <v/>
      </c>
      <c r="H2072" s="174">
        <f>IF(G2072="","",G2072*10000)</f>
        <v/>
      </c>
      <c r="I2072" s="174">
        <f>IFERROR(IF(AND(H2072&gt;0,E2072&gt;0),H2072/E2072,""),"")</f>
        <v/>
      </c>
      <c r="J2072" s="152">
        <f>IFERROR(VALUE(SUBSTITUTE(INDEX('04A_국토부원자료'!$A:$T,ROW()+1,MATCH("층",'04A_국토부원자료'!$A$4:$T$4,0)),",","")),"")</f>
        <v/>
      </c>
      <c r="K2072" s="152">
        <f>IFERROR(VALUE(SUBSTITUTE(INDEX('04A_국토부원자료'!$A:$T,ROW()+1,MATCH("건축년도",'04A_국토부원자료'!$A$4:$T$4,0)),",","")),"")</f>
        <v/>
      </c>
      <c r="L2072" s="48">
        <f>IFERROR(INDEX('04A_국토부원자료'!$A:$T,ROW()+1,MATCH("도로명",'04A_국토부원자료'!$A$4:$T$4,0)),"")</f>
        <v/>
      </c>
      <c r="M2072" s="48">
        <f>IFERROR(INDEX('04A_국토부원자료'!$A:$T,ROW()+1,MATCH("거래유형",'04A_국토부원자료'!$A$4:$T$4,0)),"")</f>
        <v/>
      </c>
      <c r="N2072" s="152">
        <f>IF(B2072="","",IF('02_대상물건입력'!B5="",1,IF(ISNUMBER(SEARCH('02_대상물건입력'!B5,B2072)),1,0)))</f>
        <v/>
      </c>
      <c r="O2072" s="152">
        <f>IF(B2072="","",IF('02_대상물건입력'!B6="",1,IF(ISNUMBER(SEARCH('02_대상물건입력'!B6,B2072)),1,0)))</f>
        <v/>
      </c>
      <c r="P2072" s="152">
        <f>IF(L2072="","",IF('02_대상물건입력'!B15="",0,IF(ISNUMBER(SEARCH('02_대상물건입력'!B15,L2072)),1,0)))</f>
        <v/>
      </c>
      <c r="Q2072" s="152">
        <f>IF(OR(C2072="",L2072=""),0,IF(AND(TRIM(C2072)=TRIM(RIGHT(SUBSTITUTE(TRIM('02_대상물건입력'!$B$7)," ",REPT(" ",99)),99)),IF('02_대상물건입력'!B15="",TRUE(),ISNUMBER(SEARCH('02_대상물건입력'!B15,L2072)))),1,0))</f>
        <v/>
      </c>
      <c r="R2072" s="175">
        <f>IFERROR(ABS(E2072-'02_대상물건입력'!B11)/'02_대상물건입력'!B11,"")</f>
        <v/>
      </c>
      <c r="S2072" s="152">
        <f>IFERROR(ABS(J2072-'02_대상물건입력'!B10),"")</f>
        <v/>
      </c>
      <c r="T2072" s="152">
        <f>IFERROR(ABS('01_설정'!B4-F2072),"")</f>
        <v/>
      </c>
      <c r="U2072" s="152">
        <f>IFERROR(ABS(K2072-YEAR('02_대상물건입력'!B14)),"")</f>
        <v/>
      </c>
      <c r="V2072" s="152">
        <f>IF(B2072="","",IF(AND(E2072&gt;0,F2072&gt;0,H2072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2072=1,TRUE()),R2072&lt;='01_설정'!B5,S2072&lt;='01_설정'!B6,T2072&lt;='01_설정'!B7,U2072&lt;='01_설정'!B8),"Y",""))</f>
        <v/>
      </c>
      <c r="W2072" s="172">
        <f>IF(V2072&lt;&gt;"Y","",MAX(0,(1-R2072/'01_설정'!B5))*'01_설정'!B14+MAX(0,(1-S2072/'01_설정'!B6))*'01_설정'!B15+MAX(0,(1-T2072/'01_설정'!B7))*'01_설정'!B16+MAX(0,(1-U2072/'01_설정'!B8))*'01_설정'!B17+O2072*'01_설정'!B11+Q2072*'01_설정'!B12+P2072*'01_설정'!B13+IF(Z2072="",0,Z2072))</f>
        <v/>
      </c>
      <c r="X2072" s="152">
        <f>IF(W2072="","",1+COUNTIFS($W$4:$W$3003,"&gt;"&amp;W2072)+COUNTIFS($W$4:W2072,W2072)-1)</f>
        <v/>
      </c>
      <c r="Y2072" s="175">
        <f>IF(OR(I2072="",'02_대상물건입력'!B19="",'02_대상물건입력'!B19&lt;=0),"",ABS(I2072-'02_대상물건입력'!B19)/'02_대상물건입력'!B19)</f>
        <v/>
      </c>
      <c r="Z2072" s="172">
        <f>IF(OR(Y2072="",'01_설정'!B31="",'01_설정'!B31&lt;=0,'01_설정'!B32="",'01_설정'!B32&lt;=0),"",MAX(0,(1-Y2072/'01_설정'!B32))*'01_설정'!B31)</f>
        <v/>
      </c>
    </row>
    <row r="2073" ht="17.25" customHeight="1">
      <c r="A2073" s="152">
        <f>IF(INDEX('04A_국토부원자료'!$A:$A,ROW()+1)="","",ROW()-3)</f>
        <v/>
      </c>
      <c r="B2073" s="48">
        <f>IFERROR(INDEX('04A_국토부원자료'!$A:$T,ROW()+1,MATCH("시군구",'04A_국토부원자료'!$A$4:$T$4,0)),"")</f>
        <v/>
      </c>
      <c r="C2073" s="48">
        <f>IF(B2073="","",IFERROR(INDEX('04A_국토부원자료'!$A:$T,ROW()+1,MATCH("번지",'04A_국토부원자료'!$A$4:$T$4,0)),""))</f>
        <v/>
      </c>
      <c r="D2073" s="48">
        <f>IF(B2073="","",IF(Q2073=1,'02_대상물건입력'!$B$8,IFERROR(INDEX('04A_국토부원자료'!$A:$T,ROW()+1,MATCH("단지명",'04A_국토부원자료'!$A$4:$T$4,0)),"")))</f>
        <v/>
      </c>
      <c r="E2073" s="172">
        <f>IFERROR(VALUE(SUBSTITUTE(INDEX('04A_국토부원자료'!$A:$T,ROW()+1,MATCH("전용면적(㎡)",'04A_국토부원자료'!$A$4:$T$4,0)),",","")),"")</f>
        <v/>
      </c>
      <c r="F20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73" s="51">
        <f>IFERROR(VALUE(SUBSTITUTE(INDEX('04A_국토부원자료'!$A:$T,ROW()+1,MATCH("거래금액(만원)",'04A_국토부원자료'!$A$4:$T$4,0)),",","")),"")</f>
        <v/>
      </c>
      <c r="H2073" s="174">
        <f>IF(G2073="","",G2073*10000)</f>
        <v/>
      </c>
      <c r="I2073" s="174">
        <f>IFERROR(IF(AND(H2073&gt;0,E2073&gt;0),H2073/E2073,""),"")</f>
        <v/>
      </c>
      <c r="J2073" s="152">
        <f>IFERROR(VALUE(SUBSTITUTE(INDEX('04A_국토부원자료'!$A:$T,ROW()+1,MATCH("층",'04A_국토부원자료'!$A$4:$T$4,0)),",","")),"")</f>
        <v/>
      </c>
      <c r="K2073" s="152">
        <f>IFERROR(VALUE(SUBSTITUTE(INDEX('04A_국토부원자료'!$A:$T,ROW()+1,MATCH("건축년도",'04A_국토부원자료'!$A$4:$T$4,0)),",","")),"")</f>
        <v/>
      </c>
      <c r="L2073" s="48">
        <f>IFERROR(INDEX('04A_국토부원자료'!$A:$T,ROW()+1,MATCH("도로명",'04A_국토부원자료'!$A$4:$T$4,0)),"")</f>
        <v/>
      </c>
      <c r="M2073" s="48">
        <f>IFERROR(INDEX('04A_국토부원자료'!$A:$T,ROW()+1,MATCH("거래유형",'04A_국토부원자료'!$A$4:$T$4,0)),"")</f>
        <v/>
      </c>
      <c r="N2073" s="152">
        <f>IF(B2073="","",IF('02_대상물건입력'!B5="",1,IF(ISNUMBER(SEARCH('02_대상물건입력'!B5,B2073)),1,0)))</f>
        <v/>
      </c>
      <c r="O2073" s="152">
        <f>IF(B2073="","",IF('02_대상물건입력'!B6="",1,IF(ISNUMBER(SEARCH('02_대상물건입력'!B6,B2073)),1,0)))</f>
        <v/>
      </c>
      <c r="P2073" s="152">
        <f>IF(L2073="","",IF('02_대상물건입력'!B15="",0,IF(ISNUMBER(SEARCH('02_대상물건입력'!B15,L2073)),1,0)))</f>
        <v/>
      </c>
      <c r="Q2073" s="152">
        <f>IF(OR(C2073="",L2073=""),0,IF(AND(TRIM(C2073)=TRIM(RIGHT(SUBSTITUTE(TRIM('02_대상물건입력'!$B$7)," ",REPT(" ",99)),99)),IF('02_대상물건입력'!B15="",TRUE(),ISNUMBER(SEARCH('02_대상물건입력'!B15,L2073)))),1,0))</f>
        <v/>
      </c>
      <c r="R2073" s="175">
        <f>IFERROR(ABS(E2073-'02_대상물건입력'!B11)/'02_대상물건입력'!B11,"")</f>
        <v/>
      </c>
      <c r="S2073" s="152">
        <f>IFERROR(ABS(J2073-'02_대상물건입력'!B10),"")</f>
        <v/>
      </c>
      <c r="T2073" s="152">
        <f>IFERROR(ABS('01_설정'!B4-F2073),"")</f>
        <v/>
      </c>
      <c r="U2073" s="152">
        <f>IFERROR(ABS(K2073-YEAR('02_대상물건입력'!B14)),"")</f>
        <v/>
      </c>
      <c r="V2073" s="152">
        <f>IF(B2073="","",IF(AND(E2073&gt;0,F2073&gt;0,H2073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2073=1,TRUE()),R2073&lt;='01_설정'!B5,S2073&lt;='01_설정'!B6,T2073&lt;='01_설정'!B7,U2073&lt;='01_설정'!B8),"Y",""))</f>
        <v/>
      </c>
      <c r="W2073" s="172">
        <f>IF(V2073&lt;&gt;"Y","",MAX(0,(1-R2073/'01_설정'!B5))*'01_설정'!B14+MAX(0,(1-S2073/'01_설정'!B6))*'01_설정'!B15+MAX(0,(1-T2073/'01_설정'!B7))*'01_설정'!B16+MAX(0,(1-U2073/'01_설정'!B8))*'01_설정'!B17+O2073*'01_설정'!B11+Q2073*'01_설정'!B12+P2073*'01_설정'!B13+IF(Z2073="",0,Z2073))</f>
        <v/>
      </c>
      <c r="X2073" s="152">
        <f>IF(W2073="","",1+COUNTIFS($W$4:$W$3003,"&gt;"&amp;W2073)+COUNTIFS($W$4:W2073,W2073)-1)</f>
        <v/>
      </c>
      <c r="Y2073" s="175">
        <f>IF(OR(I2073="",'02_대상물건입력'!B19="",'02_대상물건입력'!B19&lt;=0),"",ABS(I2073-'02_대상물건입력'!B19)/'02_대상물건입력'!B19)</f>
        <v/>
      </c>
      <c r="Z2073" s="172">
        <f>IF(OR(Y2073="",'01_설정'!B31="",'01_설정'!B31&lt;=0,'01_설정'!B32="",'01_설정'!B32&lt;=0),"",MAX(0,(1-Y2073/'01_설정'!B32))*'01_설정'!B31)</f>
        <v/>
      </c>
    </row>
    <row r="2074" ht="17.25" customHeight="1">
      <c r="A2074" s="152">
        <f>IF(INDEX('04A_국토부원자료'!$A:$A,ROW()+1)="","",ROW()-3)</f>
        <v/>
      </c>
      <c r="B2074" s="48">
        <f>IFERROR(INDEX('04A_국토부원자료'!$A:$T,ROW()+1,MATCH("시군구",'04A_국토부원자료'!$A$4:$T$4,0)),"")</f>
        <v/>
      </c>
      <c r="C2074" s="48">
        <f>IF(B2074="","",IFERROR(INDEX('04A_국토부원자료'!$A:$T,ROW()+1,MATCH("번지",'04A_국토부원자료'!$A$4:$T$4,0)),""))</f>
        <v/>
      </c>
      <c r="D2074" s="48">
        <f>IF(B2074="","",IF(Q2074=1,'02_대상물건입력'!$B$8,IFERROR(INDEX('04A_국토부원자료'!$A:$T,ROW()+1,MATCH("단지명",'04A_국토부원자료'!$A$4:$T$4,0)),"")))</f>
        <v/>
      </c>
      <c r="E2074" s="172">
        <f>IFERROR(VALUE(SUBSTITUTE(INDEX('04A_국토부원자료'!$A:$T,ROW()+1,MATCH("전용면적(㎡)",'04A_국토부원자료'!$A$4:$T$4,0)),",","")),"")</f>
        <v/>
      </c>
      <c r="F20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74" s="51">
        <f>IFERROR(VALUE(SUBSTITUTE(INDEX('04A_국토부원자료'!$A:$T,ROW()+1,MATCH("거래금액(만원)",'04A_국토부원자료'!$A$4:$T$4,0)),",","")),"")</f>
        <v/>
      </c>
      <c r="H2074" s="174">
        <f>IF(G2074="","",G2074*10000)</f>
        <v/>
      </c>
      <c r="I2074" s="174">
        <f>IFERROR(IF(AND(H2074&gt;0,E2074&gt;0),H2074/E2074,""),"")</f>
        <v/>
      </c>
      <c r="J2074" s="152">
        <f>IFERROR(VALUE(SUBSTITUTE(INDEX('04A_국토부원자료'!$A:$T,ROW()+1,MATCH("층",'04A_국토부원자료'!$A$4:$T$4,0)),",","")),"")</f>
        <v/>
      </c>
      <c r="K2074" s="152">
        <f>IFERROR(VALUE(SUBSTITUTE(INDEX('04A_국토부원자료'!$A:$T,ROW()+1,MATCH("건축년도",'04A_국토부원자료'!$A$4:$T$4,0)),",","")),"")</f>
        <v/>
      </c>
      <c r="L2074" s="48">
        <f>IFERROR(INDEX('04A_국토부원자료'!$A:$T,ROW()+1,MATCH("도로명",'04A_국토부원자료'!$A$4:$T$4,0)),"")</f>
        <v/>
      </c>
      <c r="M2074" s="48">
        <f>IFERROR(INDEX('04A_국토부원자료'!$A:$T,ROW()+1,MATCH("거래유형",'04A_국토부원자료'!$A$4:$T$4,0)),"")</f>
        <v/>
      </c>
      <c r="N2074" s="152">
        <f>IF(B2074="","",IF('02_대상물건입력'!B5="",1,IF(ISNUMBER(SEARCH('02_대상물건입력'!B5,B2074)),1,0)))</f>
        <v/>
      </c>
      <c r="O2074" s="152">
        <f>IF(B2074="","",IF('02_대상물건입력'!B6="",1,IF(ISNUMBER(SEARCH('02_대상물건입력'!B6,B2074)),1,0)))</f>
        <v/>
      </c>
      <c r="P2074" s="152">
        <f>IF(L2074="","",IF('02_대상물건입력'!B15="",0,IF(ISNUMBER(SEARCH('02_대상물건입력'!B15,L2074)),1,0)))</f>
        <v/>
      </c>
      <c r="Q2074" s="152">
        <f>IF(OR(C2074="",L2074=""),0,IF(AND(TRIM(C2074)=TRIM(RIGHT(SUBSTITUTE(TRIM('02_대상물건입력'!$B$7)," ",REPT(" ",99)),99)),IF('02_대상물건입력'!B15="",TRUE(),ISNUMBER(SEARCH('02_대상물건입력'!B15,L2074)))),1,0))</f>
        <v/>
      </c>
      <c r="R2074" s="175">
        <f>IFERROR(ABS(E2074-'02_대상물건입력'!B11)/'02_대상물건입력'!B11,"")</f>
        <v/>
      </c>
      <c r="S2074" s="152">
        <f>IFERROR(ABS(J2074-'02_대상물건입력'!B10),"")</f>
        <v/>
      </c>
      <c r="T2074" s="152">
        <f>IFERROR(ABS('01_설정'!B4-F2074),"")</f>
        <v/>
      </c>
      <c r="U2074" s="152">
        <f>IFERROR(ABS(K2074-YEAR('02_대상물건입력'!B14)),"")</f>
        <v/>
      </c>
      <c r="V2074" s="152">
        <f>IF(B2074="","",IF(AND(E2074&gt;0,F2074&gt;0,H2074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2074=1,TRUE()),R2074&lt;='01_설정'!B5,S2074&lt;='01_설정'!B6,T2074&lt;='01_설정'!B7,U2074&lt;='01_설정'!B8),"Y",""))</f>
        <v/>
      </c>
      <c r="W2074" s="172">
        <f>IF(V2074&lt;&gt;"Y","",MAX(0,(1-R2074/'01_설정'!B5))*'01_설정'!B14+MAX(0,(1-S2074/'01_설정'!B6))*'01_설정'!B15+MAX(0,(1-T2074/'01_설정'!B7))*'01_설정'!B16+MAX(0,(1-U2074/'01_설정'!B8))*'01_설정'!B17+O2074*'01_설정'!B11+Q2074*'01_설정'!B12+P2074*'01_설정'!B13+IF(Z2074="",0,Z2074))</f>
        <v/>
      </c>
      <c r="X2074" s="152">
        <f>IF(W2074="","",1+COUNTIFS($W$4:$W$3003,"&gt;"&amp;W2074)+COUNTIFS($W$4:W2074,W2074)-1)</f>
        <v/>
      </c>
      <c r="Y2074" s="175">
        <f>IF(OR(I2074="",'02_대상물건입력'!B19="",'02_대상물건입력'!B19&lt;=0),"",ABS(I2074-'02_대상물건입력'!B19)/'02_대상물건입력'!B19)</f>
        <v/>
      </c>
      <c r="Z2074" s="172">
        <f>IF(OR(Y2074="",'01_설정'!B31="",'01_설정'!B31&lt;=0,'01_설정'!B32="",'01_설정'!B32&lt;=0),"",MAX(0,(1-Y2074/'01_설정'!B32))*'01_설정'!B31)</f>
        <v/>
      </c>
    </row>
    <row r="2075" ht="17.25" customHeight="1">
      <c r="A2075" s="152">
        <f>IF(INDEX('04A_국토부원자료'!$A:$A,ROW()+1)="","",ROW()-3)</f>
        <v/>
      </c>
      <c r="B2075" s="48">
        <f>IFERROR(INDEX('04A_국토부원자료'!$A:$T,ROW()+1,MATCH("시군구",'04A_국토부원자료'!$A$4:$T$4,0)),"")</f>
        <v/>
      </c>
      <c r="C2075" s="48">
        <f>IF(B2075="","",IFERROR(INDEX('04A_국토부원자료'!$A:$T,ROW()+1,MATCH("번지",'04A_국토부원자료'!$A$4:$T$4,0)),""))</f>
        <v/>
      </c>
      <c r="D2075" s="48">
        <f>IF(B2075="","",IF(Q2075=1,'02_대상물건입력'!$B$8,IFERROR(INDEX('04A_국토부원자료'!$A:$T,ROW()+1,MATCH("단지명",'04A_국토부원자료'!$A$4:$T$4,0)),"")))</f>
        <v/>
      </c>
      <c r="E2075" s="172">
        <f>IFERROR(VALUE(SUBSTITUTE(INDEX('04A_국토부원자료'!$A:$T,ROW()+1,MATCH("전용면적(㎡)",'04A_국토부원자료'!$A$4:$T$4,0)),",","")),"")</f>
        <v/>
      </c>
      <c r="F20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75" s="51">
        <f>IFERROR(VALUE(SUBSTITUTE(INDEX('04A_국토부원자료'!$A:$T,ROW()+1,MATCH("거래금액(만원)",'04A_국토부원자료'!$A$4:$T$4,0)),",","")),"")</f>
        <v/>
      </c>
      <c r="H2075" s="174">
        <f>IF(G2075="","",G2075*10000)</f>
        <v/>
      </c>
      <c r="I2075" s="174">
        <f>IFERROR(IF(AND(H2075&gt;0,E2075&gt;0),H2075/E2075,""),"")</f>
        <v/>
      </c>
      <c r="J2075" s="152">
        <f>IFERROR(VALUE(SUBSTITUTE(INDEX('04A_국토부원자료'!$A:$T,ROW()+1,MATCH("층",'04A_국토부원자료'!$A$4:$T$4,0)),",","")),"")</f>
        <v/>
      </c>
      <c r="K2075" s="152">
        <f>IFERROR(VALUE(SUBSTITUTE(INDEX('04A_국토부원자료'!$A:$T,ROW()+1,MATCH("건축년도",'04A_국토부원자료'!$A$4:$T$4,0)),",","")),"")</f>
        <v/>
      </c>
      <c r="L2075" s="48">
        <f>IFERROR(INDEX('04A_국토부원자료'!$A:$T,ROW()+1,MATCH("도로명",'04A_국토부원자료'!$A$4:$T$4,0)),"")</f>
        <v/>
      </c>
      <c r="M2075" s="48">
        <f>IFERROR(INDEX('04A_국토부원자료'!$A:$T,ROW()+1,MATCH("거래유형",'04A_국토부원자료'!$A$4:$T$4,0)),"")</f>
        <v/>
      </c>
      <c r="N2075" s="152">
        <f>IF(B2075="","",IF('02_대상물건입력'!B5="",1,IF(ISNUMBER(SEARCH('02_대상물건입력'!B5,B2075)),1,0)))</f>
        <v/>
      </c>
      <c r="O2075" s="152">
        <f>IF(B2075="","",IF('02_대상물건입력'!B6="",1,IF(ISNUMBER(SEARCH('02_대상물건입력'!B6,B2075)),1,0)))</f>
        <v/>
      </c>
      <c r="P2075" s="152">
        <f>IF(L2075="","",IF('02_대상물건입력'!B15="",0,IF(ISNUMBER(SEARCH('02_대상물건입력'!B15,L2075)),1,0)))</f>
        <v/>
      </c>
      <c r="Q2075" s="152">
        <f>IF(OR(C2075="",L2075=""),0,IF(AND(TRIM(C2075)=TRIM(RIGHT(SUBSTITUTE(TRIM('02_대상물건입력'!$B$7)," ",REPT(" ",99)),99)),IF('02_대상물건입력'!B15="",TRUE(),ISNUMBER(SEARCH('02_대상물건입력'!B15,L2075)))),1,0))</f>
        <v/>
      </c>
      <c r="R2075" s="175">
        <f>IFERROR(ABS(E2075-'02_대상물건입력'!B11)/'02_대상물건입력'!B11,"")</f>
        <v/>
      </c>
      <c r="S2075" s="152">
        <f>IFERROR(ABS(J2075-'02_대상물건입력'!B10),"")</f>
        <v/>
      </c>
      <c r="T2075" s="152">
        <f>IFERROR(ABS('01_설정'!B4-F2075),"")</f>
        <v/>
      </c>
      <c r="U2075" s="152">
        <f>IFERROR(ABS(K2075-YEAR('02_대상물건입력'!B14)),"")</f>
        <v/>
      </c>
      <c r="V2075" s="152">
        <f>IF(B2075="","",IF(AND(E2075&gt;0,F2075&gt;0,H2075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2075=1,TRUE()),R2075&lt;='01_설정'!B5,S2075&lt;='01_설정'!B6,T2075&lt;='01_설정'!B7,U2075&lt;='01_설정'!B8),"Y",""))</f>
        <v/>
      </c>
      <c r="W2075" s="172">
        <f>IF(V2075&lt;&gt;"Y","",MAX(0,(1-R2075/'01_설정'!B5))*'01_설정'!B14+MAX(0,(1-S2075/'01_설정'!B6))*'01_설정'!B15+MAX(0,(1-T2075/'01_설정'!B7))*'01_설정'!B16+MAX(0,(1-U2075/'01_설정'!B8))*'01_설정'!B17+O2075*'01_설정'!B11+Q2075*'01_설정'!B12+P2075*'01_설정'!B13+IF(Z2075="",0,Z2075))</f>
        <v/>
      </c>
      <c r="X2075" s="152">
        <f>IF(W2075="","",1+COUNTIFS($W$4:$W$3003,"&gt;"&amp;W2075)+COUNTIFS($W$4:W2075,W2075)-1)</f>
        <v/>
      </c>
      <c r="Y2075" s="175">
        <f>IF(OR(I2075="",'02_대상물건입력'!B19="",'02_대상물건입력'!B19&lt;=0),"",ABS(I2075-'02_대상물건입력'!B19)/'02_대상물건입력'!B19)</f>
        <v/>
      </c>
      <c r="Z2075" s="172">
        <f>IF(OR(Y2075="",'01_설정'!B31="",'01_설정'!B31&lt;=0,'01_설정'!B32="",'01_설정'!B32&lt;=0),"",MAX(0,(1-Y2075/'01_설정'!B32))*'01_설정'!B31)</f>
        <v/>
      </c>
    </row>
    <row r="2076" ht="17.25" customHeight="1">
      <c r="A2076" s="152">
        <f>IF(INDEX('04A_국토부원자료'!$A:$A,ROW()+1)="","",ROW()-3)</f>
        <v/>
      </c>
      <c r="B2076" s="48">
        <f>IFERROR(INDEX('04A_국토부원자료'!$A:$T,ROW()+1,MATCH("시군구",'04A_국토부원자료'!$A$4:$T$4,0)),"")</f>
        <v/>
      </c>
      <c r="C2076" s="48">
        <f>IF(B2076="","",IFERROR(INDEX('04A_국토부원자료'!$A:$T,ROW()+1,MATCH("번지",'04A_국토부원자료'!$A$4:$T$4,0)),""))</f>
        <v/>
      </c>
      <c r="D2076" s="48">
        <f>IF(B2076="","",IF(Q2076=1,'02_대상물건입력'!$B$8,IFERROR(INDEX('04A_국토부원자료'!$A:$T,ROW()+1,MATCH("단지명",'04A_국토부원자료'!$A$4:$T$4,0)),"")))</f>
        <v/>
      </c>
      <c r="E2076" s="172">
        <f>IFERROR(VALUE(SUBSTITUTE(INDEX('04A_국토부원자료'!$A:$T,ROW()+1,MATCH("전용면적(㎡)",'04A_국토부원자료'!$A$4:$T$4,0)),",","")),"")</f>
        <v/>
      </c>
      <c r="F20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76" s="51">
        <f>IFERROR(VALUE(SUBSTITUTE(INDEX('04A_국토부원자료'!$A:$T,ROW()+1,MATCH("거래금액(만원)",'04A_국토부원자료'!$A$4:$T$4,0)),",","")),"")</f>
        <v/>
      </c>
      <c r="H2076" s="174">
        <f>IF(G2076="","",G2076*10000)</f>
        <v/>
      </c>
      <c r="I2076" s="174">
        <f>IFERROR(IF(AND(H2076&gt;0,E2076&gt;0),H2076/E2076,""),"")</f>
        <v/>
      </c>
      <c r="J2076" s="152">
        <f>IFERROR(VALUE(SUBSTITUTE(INDEX('04A_국토부원자료'!$A:$T,ROW()+1,MATCH("층",'04A_국토부원자료'!$A$4:$T$4,0)),",","")),"")</f>
        <v/>
      </c>
      <c r="K2076" s="152">
        <f>IFERROR(VALUE(SUBSTITUTE(INDEX('04A_국토부원자료'!$A:$T,ROW()+1,MATCH("건축년도",'04A_국토부원자료'!$A$4:$T$4,0)),",","")),"")</f>
        <v/>
      </c>
      <c r="L2076" s="48">
        <f>IFERROR(INDEX('04A_국토부원자료'!$A:$T,ROW()+1,MATCH("도로명",'04A_국토부원자료'!$A$4:$T$4,0)),"")</f>
        <v/>
      </c>
      <c r="M2076" s="48">
        <f>IFERROR(INDEX('04A_국토부원자료'!$A:$T,ROW()+1,MATCH("거래유형",'04A_국토부원자료'!$A$4:$T$4,0)),"")</f>
        <v/>
      </c>
      <c r="N2076" s="152">
        <f>IF(B2076="","",IF('02_대상물건입력'!B5="",1,IF(ISNUMBER(SEARCH('02_대상물건입력'!B5,B2076)),1,0)))</f>
        <v/>
      </c>
      <c r="O2076" s="152">
        <f>IF(B2076="","",IF('02_대상물건입력'!B6="",1,IF(ISNUMBER(SEARCH('02_대상물건입력'!B6,B2076)),1,0)))</f>
        <v/>
      </c>
      <c r="P2076" s="152">
        <f>IF(L2076="","",IF('02_대상물건입력'!B15="",0,IF(ISNUMBER(SEARCH('02_대상물건입력'!B15,L2076)),1,0)))</f>
        <v/>
      </c>
      <c r="Q2076" s="152">
        <f>IF(OR(C2076="",L2076=""),0,IF(AND(TRIM(C2076)=TRIM(RIGHT(SUBSTITUTE(TRIM('02_대상물건입력'!$B$7)," ",REPT(" ",99)),99)),IF('02_대상물건입력'!B15="",TRUE(),ISNUMBER(SEARCH('02_대상물건입력'!B15,L2076)))),1,0))</f>
        <v/>
      </c>
      <c r="R2076" s="175">
        <f>IFERROR(ABS(E2076-'02_대상물건입력'!B11)/'02_대상물건입력'!B11,"")</f>
        <v/>
      </c>
      <c r="S2076" s="152">
        <f>IFERROR(ABS(J2076-'02_대상물건입력'!B10),"")</f>
        <v/>
      </c>
      <c r="T2076" s="152">
        <f>IFERROR(ABS('01_설정'!B4-F2076),"")</f>
        <v/>
      </c>
      <c r="U2076" s="152">
        <f>IFERROR(ABS(K2076-YEAR('02_대상물건입력'!B14)),"")</f>
        <v/>
      </c>
      <c r="V2076" s="152">
        <f>IF(B2076="","",IF(AND(E2076&gt;0,F2076&gt;0,H2076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2076=1,TRUE()),R2076&lt;='01_설정'!B5,S2076&lt;='01_설정'!B6,T2076&lt;='01_설정'!B7,U2076&lt;='01_설정'!B8),"Y",""))</f>
        <v/>
      </c>
      <c r="W2076" s="172">
        <f>IF(V2076&lt;&gt;"Y","",MAX(0,(1-R2076/'01_설정'!B5))*'01_설정'!B14+MAX(0,(1-S2076/'01_설정'!B6))*'01_설정'!B15+MAX(0,(1-T2076/'01_설정'!B7))*'01_설정'!B16+MAX(0,(1-U2076/'01_설정'!B8))*'01_설정'!B17+O2076*'01_설정'!B11+Q2076*'01_설정'!B12+P2076*'01_설정'!B13+IF(Z2076="",0,Z2076))</f>
        <v/>
      </c>
      <c r="X2076" s="152">
        <f>IF(W2076="","",1+COUNTIFS($W$4:$W$3003,"&gt;"&amp;W2076)+COUNTIFS($W$4:W2076,W2076)-1)</f>
        <v/>
      </c>
      <c r="Y2076" s="175">
        <f>IF(OR(I2076="",'02_대상물건입력'!B19="",'02_대상물건입력'!B19&lt;=0),"",ABS(I2076-'02_대상물건입력'!B19)/'02_대상물건입력'!B19)</f>
        <v/>
      </c>
      <c r="Z2076" s="172">
        <f>IF(OR(Y2076="",'01_설정'!B31="",'01_설정'!B31&lt;=0,'01_설정'!B32="",'01_설정'!B32&lt;=0),"",MAX(0,(1-Y2076/'01_설정'!B32))*'01_설정'!B31)</f>
        <v/>
      </c>
    </row>
    <row r="2077" ht="17.25" customHeight="1">
      <c r="A2077" s="152">
        <f>IF(INDEX('04A_국토부원자료'!$A:$A,ROW()+1)="","",ROW()-3)</f>
        <v/>
      </c>
      <c r="B2077" s="48">
        <f>IFERROR(INDEX('04A_국토부원자료'!$A:$T,ROW()+1,MATCH("시군구",'04A_국토부원자료'!$A$4:$T$4,0)),"")</f>
        <v/>
      </c>
      <c r="C2077" s="48">
        <f>IF(B2077="","",IFERROR(INDEX('04A_국토부원자료'!$A:$T,ROW()+1,MATCH("번지",'04A_국토부원자료'!$A$4:$T$4,0)),""))</f>
        <v/>
      </c>
      <c r="D2077" s="48">
        <f>IF(B2077="","",IF(Q2077=1,'02_대상물건입력'!$B$8,IFERROR(INDEX('04A_국토부원자료'!$A:$T,ROW()+1,MATCH("단지명",'04A_국토부원자료'!$A$4:$T$4,0)),"")))</f>
        <v/>
      </c>
      <c r="E2077" s="172">
        <f>IFERROR(VALUE(SUBSTITUTE(INDEX('04A_국토부원자료'!$A:$T,ROW()+1,MATCH("전용면적(㎡)",'04A_국토부원자료'!$A$4:$T$4,0)),",","")),"")</f>
        <v/>
      </c>
      <c r="F20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77" s="51">
        <f>IFERROR(VALUE(SUBSTITUTE(INDEX('04A_국토부원자료'!$A:$T,ROW()+1,MATCH("거래금액(만원)",'04A_국토부원자료'!$A$4:$T$4,0)),",","")),"")</f>
        <v/>
      </c>
      <c r="H2077" s="174">
        <f>IF(G2077="","",G2077*10000)</f>
        <v/>
      </c>
      <c r="I2077" s="174">
        <f>IFERROR(IF(AND(H2077&gt;0,E2077&gt;0),H2077/E2077,""),"")</f>
        <v/>
      </c>
      <c r="J2077" s="152">
        <f>IFERROR(VALUE(SUBSTITUTE(INDEX('04A_국토부원자료'!$A:$T,ROW()+1,MATCH("층",'04A_국토부원자료'!$A$4:$T$4,0)),",","")),"")</f>
        <v/>
      </c>
      <c r="K2077" s="152">
        <f>IFERROR(VALUE(SUBSTITUTE(INDEX('04A_국토부원자료'!$A:$T,ROW()+1,MATCH("건축년도",'04A_국토부원자료'!$A$4:$T$4,0)),",","")),"")</f>
        <v/>
      </c>
      <c r="L2077" s="48">
        <f>IFERROR(INDEX('04A_국토부원자료'!$A:$T,ROW()+1,MATCH("도로명",'04A_국토부원자료'!$A$4:$T$4,0)),"")</f>
        <v/>
      </c>
      <c r="M2077" s="48">
        <f>IFERROR(INDEX('04A_국토부원자료'!$A:$T,ROW()+1,MATCH("거래유형",'04A_국토부원자료'!$A$4:$T$4,0)),"")</f>
        <v/>
      </c>
      <c r="N2077" s="152">
        <f>IF(B2077="","",IF('02_대상물건입력'!B5="",1,IF(ISNUMBER(SEARCH('02_대상물건입력'!B5,B2077)),1,0)))</f>
        <v/>
      </c>
      <c r="O2077" s="152">
        <f>IF(B2077="","",IF('02_대상물건입력'!B6="",1,IF(ISNUMBER(SEARCH('02_대상물건입력'!B6,B2077)),1,0)))</f>
        <v/>
      </c>
      <c r="P2077" s="152">
        <f>IF(L2077="","",IF('02_대상물건입력'!B15="",0,IF(ISNUMBER(SEARCH('02_대상물건입력'!B15,L2077)),1,0)))</f>
        <v/>
      </c>
      <c r="Q2077" s="152">
        <f>IF(OR(C2077="",L2077=""),0,IF(AND(TRIM(C2077)=TRIM(RIGHT(SUBSTITUTE(TRIM('02_대상물건입력'!$B$7)," ",REPT(" ",99)),99)),IF('02_대상물건입력'!B15="",TRUE(),ISNUMBER(SEARCH('02_대상물건입력'!B15,L2077)))),1,0))</f>
        <v/>
      </c>
      <c r="R2077" s="175">
        <f>IFERROR(ABS(E2077-'02_대상물건입력'!B11)/'02_대상물건입력'!B11,"")</f>
        <v/>
      </c>
      <c r="S2077" s="152">
        <f>IFERROR(ABS(J2077-'02_대상물건입력'!B10),"")</f>
        <v/>
      </c>
      <c r="T2077" s="152">
        <f>IFERROR(ABS('01_설정'!B4-F2077),"")</f>
        <v/>
      </c>
      <c r="U2077" s="152">
        <f>IFERROR(ABS(K2077-YEAR('02_대상물건입력'!B14)),"")</f>
        <v/>
      </c>
      <c r="V2077" s="152">
        <f>IF(B2077="","",IF(AND(E2077&gt;0,F2077&gt;0,H2077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2077=1,TRUE()),R2077&lt;='01_설정'!B5,S2077&lt;='01_설정'!B6,T2077&lt;='01_설정'!B7,U2077&lt;='01_설정'!B8),"Y",""))</f>
        <v/>
      </c>
      <c r="W2077" s="172">
        <f>IF(V2077&lt;&gt;"Y","",MAX(0,(1-R2077/'01_설정'!B5))*'01_설정'!B14+MAX(0,(1-S2077/'01_설정'!B6))*'01_설정'!B15+MAX(0,(1-T2077/'01_설정'!B7))*'01_설정'!B16+MAX(0,(1-U2077/'01_설정'!B8))*'01_설정'!B17+O2077*'01_설정'!B11+Q2077*'01_설정'!B12+P2077*'01_설정'!B13+IF(Z2077="",0,Z2077))</f>
        <v/>
      </c>
      <c r="X2077" s="152">
        <f>IF(W2077="","",1+COUNTIFS($W$4:$W$3003,"&gt;"&amp;W2077)+COUNTIFS($W$4:W2077,W2077)-1)</f>
        <v/>
      </c>
      <c r="Y2077" s="175">
        <f>IF(OR(I2077="",'02_대상물건입력'!B19="",'02_대상물건입력'!B19&lt;=0),"",ABS(I2077-'02_대상물건입력'!B19)/'02_대상물건입력'!B19)</f>
        <v/>
      </c>
      <c r="Z2077" s="172">
        <f>IF(OR(Y2077="",'01_설정'!B31="",'01_설정'!B31&lt;=0,'01_설정'!B32="",'01_설정'!B32&lt;=0),"",MAX(0,(1-Y2077/'01_설정'!B32))*'01_설정'!B31)</f>
        <v/>
      </c>
    </row>
    <row r="2078" ht="17.25" customHeight="1">
      <c r="A2078" s="152">
        <f>IF(INDEX('04A_국토부원자료'!$A:$A,ROW()+1)="","",ROW()-3)</f>
        <v/>
      </c>
      <c r="B2078" s="48">
        <f>IFERROR(INDEX('04A_국토부원자료'!$A:$T,ROW()+1,MATCH("시군구",'04A_국토부원자료'!$A$4:$T$4,0)),"")</f>
        <v/>
      </c>
      <c r="C2078" s="48">
        <f>IF(B2078="","",IFERROR(INDEX('04A_국토부원자료'!$A:$T,ROW()+1,MATCH("번지",'04A_국토부원자료'!$A$4:$T$4,0)),""))</f>
        <v/>
      </c>
      <c r="D2078" s="48">
        <f>IF(B2078="","",IF(Q2078=1,'02_대상물건입력'!$B$8,IFERROR(INDEX('04A_국토부원자료'!$A:$T,ROW()+1,MATCH("단지명",'04A_국토부원자료'!$A$4:$T$4,0)),"")))</f>
        <v/>
      </c>
      <c r="E2078" s="172">
        <f>IFERROR(VALUE(SUBSTITUTE(INDEX('04A_국토부원자료'!$A:$T,ROW()+1,MATCH("전용면적(㎡)",'04A_국토부원자료'!$A$4:$T$4,0)),",","")),"")</f>
        <v/>
      </c>
      <c r="F20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78" s="51">
        <f>IFERROR(VALUE(SUBSTITUTE(INDEX('04A_국토부원자료'!$A:$T,ROW()+1,MATCH("거래금액(만원)",'04A_국토부원자료'!$A$4:$T$4,0)),",","")),"")</f>
        <v/>
      </c>
      <c r="H2078" s="174">
        <f>IF(G2078="","",G2078*10000)</f>
        <v/>
      </c>
      <c r="I2078" s="174">
        <f>IFERROR(IF(AND(H2078&gt;0,E2078&gt;0),H2078/E2078,""),"")</f>
        <v/>
      </c>
      <c r="J2078" s="152">
        <f>IFERROR(VALUE(SUBSTITUTE(INDEX('04A_국토부원자료'!$A:$T,ROW()+1,MATCH("층",'04A_국토부원자료'!$A$4:$T$4,0)),",","")),"")</f>
        <v/>
      </c>
      <c r="K2078" s="152">
        <f>IFERROR(VALUE(SUBSTITUTE(INDEX('04A_국토부원자료'!$A:$T,ROW()+1,MATCH("건축년도",'04A_국토부원자료'!$A$4:$T$4,0)),",","")),"")</f>
        <v/>
      </c>
      <c r="L2078" s="48">
        <f>IFERROR(INDEX('04A_국토부원자료'!$A:$T,ROW()+1,MATCH("도로명",'04A_국토부원자료'!$A$4:$T$4,0)),"")</f>
        <v/>
      </c>
      <c r="M2078" s="48">
        <f>IFERROR(INDEX('04A_국토부원자료'!$A:$T,ROW()+1,MATCH("거래유형",'04A_국토부원자료'!$A$4:$T$4,0)),"")</f>
        <v/>
      </c>
      <c r="N2078" s="152">
        <f>IF(B2078="","",IF('02_대상물건입력'!B5="",1,IF(ISNUMBER(SEARCH('02_대상물건입력'!B5,B2078)),1,0)))</f>
        <v/>
      </c>
      <c r="O2078" s="152">
        <f>IF(B2078="","",IF('02_대상물건입력'!B6="",1,IF(ISNUMBER(SEARCH('02_대상물건입력'!B6,B2078)),1,0)))</f>
        <v/>
      </c>
      <c r="P2078" s="152">
        <f>IF(L2078="","",IF('02_대상물건입력'!B15="",0,IF(ISNUMBER(SEARCH('02_대상물건입력'!B15,L2078)),1,0)))</f>
        <v/>
      </c>
      <c r="Q2078" s="152">
        <f>IF(OR(C2078="",L2078=""),0,IF(AND(TRIM(C2078)=TRIM(RIGHT(SUBSTITUTE(TRIM('02_대상물건입력'!$B$7)," ",REPT(" ",99)),99)),IF('02_대상물건입력'!B15="",TRUE(),ISNUMBER(SEARCH('02_대상물건입력'!B15,L2078)))),1,0))</f>
        <v/>
      </c>
      <c r="R2078" s="175">
        <f>IFERROR(ABS(E2078-'02_대상물건입력'!B11)/'02_대상물건입력'!B11,"")</f>
        <v/>
      </c>
      <c r="S2078" s="152">
        <f>IFERROR(ABS(J2078-'02_대상물건입력'!B10),"")</f>
        <v/>
      </c>
      <c r="T2078" s="152">
        <f>IFERROR(ABS('01_설정'!B4-F2078),"")</f>
        <v/>
      </c>
      <c r="U2078" s="152">
        <f>IFERROR(ABS(K2078-YEAR('02_대상물건입력'!B14)),"")</f>
        <v/>
      </c>
      <c r="V2078" s="152">
        <f>IF(B2078="","",IF(AND(E2078&gt;0,F2078&gt;0,H2078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2078=1,TRUE()),R2078&lt;='01_설정'!B5,S2078&lt;='01_설정'!B6,T2078&lt;='01_설정'!B7,U2078&lt;='01_설정'!B8),"Y",""))</f>
        <v/>
      </c>
      <c r="W2078" s="172">
        <f>IF(V2078&lt;&gt;"Y","",MAX(0,(1-R2078/'01_설정'!B5))*'01_설정'!B14+MAX(0,(1-S2078/'01_설정'!B6))*'01_설정'!B15+MAX(0,(1-T2078/'01_설정'!B7))*'01_설정'!B16+MAX(0,(1-U2078/'01_설정'!B8))*'01_설정'!B17+O2078*'01_설정'!B11+Q2078*'01_설정'!B12+P2078*'01_설정'!B13+IF(Z2078="",0,Z2078))</f>
        <v/>
      </c>
      <c r="X2078" s="152">
        <f>IF(W2078="","",1+COUNTIFS($W$4:$W$3003,"&gt;"&amp;W2078)+COUNTIFS($W$4:W2078,W2078)-1)</f>
        <v/>
      </c>
      <c r="Y2078" s="175">
        <f>IF(OR(I2078="",'02_대상물건입력'!B19="",'02_대상물건입력'!B19&lt;=0),"",ABS(I2078-'02_대상물건입력'!B19)/'02_대상물건입력'!B19)</f>
        <v/>
      </c>
      <c r="Z2078" s="172">
        <f>IF(OR(Y2078="",'01_설정'!B31="",'01_설정'!B31&lt;=0,'01_설정'!B32="",'01_설정'!B32&lt;=0),"",MAX(0,(1-Y2078/'01_설정'!B32))*'01_설정'!B31)</f>
        <v/>
      </c>
    </row>
    <row r="2079" ht="17.25" customHeight="1">
      <c r="A2079" s="152">
        <f>IF(INDEX('04A_국토부원자료'!$A:$A,ROW()+1)="","",ROW()-3)</f>
        <v/>
      </c>
      <c r="B2079" s="48">
        <f>IFERROR(INDEX('04A_국토부원자료'!$A:$T,ROW()+1,MATCH("시군구",'04A_국토부원자료'!$A$4:$T$4,0)),"")</f>
        <v/>
      </c>
      <c r="C2079" s="48">
        <f>IF(B2079="","",IFERROR(INDEX('04A_국토부원자료'!$A:$T,ROW()+1,MATCH("번지",'04A_국토부원자료'!$A$4:$T$4,0)),""))</f>
        <v/>
      </c>
      <c r="D2079" s="48">
        <f>IF(B2079="","",IF(Q2079=1,'02_대상물건입력'!$B$8,IFERROR(INDEX('04A_국토부원자료'!$A:$T,ROW()+1,MATCH("단지명",'04A_국토부원자료'!$A$4:$T$4,0)),"")))</f>
        <v/>
      </c>
      <c r="E2079" s="172">
        <f>IFERROR(VALUE(SUBSTITUTE(INDEX('04A_국토부원자료'!$A:$T,ROW()+1,MATCH("전용면적(㎡)",'04A_국토부원자료'!$A$4:$T$4,0)),",","")),"")</f>
        <v/>
      </c>
      <c r="F20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79" s="51">
        <f>IFERROR(VALUE(SUBSTITUTE(INDEX('04A_국토부원자료'!$A:$T,ROW()+1,MATCH("거래금액(만원)",'04A_국토부원자료'!$A$4:$T$4,0)),",","")),"")</f>
        <v/>
      </c>
      <c r="H2079" s="174">
        <f>IF(G2079="","",G2079*10000)</f>
        <v/>
      </c>
      <c r="I2079" s="174">
        <f>IFERROR(IF(AND(H2079&gt;0,E2079&gt;0),H2079/E2079,""),"")</f>
        <v/>
      </c>
      <c r="J2079" s="152">
        <f>IFERROR(VALUE(SUBSTITUTE(INDEX('04A_국토부원자료'!$A:$T,ROW()+1,MATCH("층",'04A_국토부원자료'!$A$4:$T$4,0)),",","")),"")</f>
        <v/>
      </c>
      <c r="K2079" s="152">
        <f>IFERROR(VALUE(SUBSTITUTE(INDEX('04A_국토부원자료'!$A:$T,ROW()+1,MATCH("건축년도",'04A_국토부원자료'!$A$4:$T$4,0)),",","")),"")</f>
        <v/>
      </c>
      <c r="L2079" s="48">
        <f>IFERROR(INDEX('04A_국토부원자료'!$A:$T,ROW()+1,MATCH("도로명",'04A_국토부원자료'!$A$4:$T$4,0)),"")</f>
        <v/>
      </c>
      <c r="M2079" s="48">
        <f>IFERROR(INDEX('04A_국토부원자료'!$A:$T,ROW()+1,MATCH("거래유형",'04A_국토부원자료'!$A$4:$T$4,0)),"")</f>
        <v/>
      </c>
      <c r="N2079" s="152">
        <f>IF(B2079="","",IF('02_대상물건입력'!B5="",1,IF(ISNUMBER(SEARCH('02_대상물건입력'!B5,B2079)),1,0)))</f>
        <v/>
      </c>
      <c r="O2079" s="152">
        <f>IF(B2079="","",IF('02_대상물건입력'!B6="",1,IF(ISNUMBER(SEARCH('02_대상물건입력'!B6,B2079)),1,0)))</f>
        <v/>
      </c>
      <c r="P2079" s="152">
        <f>IF(L2079="","",IF('02_대상물건입력'!B15="",0,IF(ISNUMBER(SEARCH('02_대상물건입력'!B15,L2079)),1,0)))</f>
        <v/>
      </c>
      <c r="Q2079" s="152">
        <f>IF(OR(C2079="",L2079=""),0,IF(AND(TRIM(C2079)=TRIM(RIGHT(SUBSTITUTE(TRIM('02_대상물건입력'!$B$7)," ",REPT(" ",99)),99)),IF('02_대상물건입력'!B15="",TRUE(),ISNUMBER(SEARCH('02_대상물건입력'!B15,L2079)))),1,0))</f>
        <v/>
      </c>
      <c r="R2079" s="175">
        <f>IFERROR(ABS(E2079-'02_대상물건입력'!B11)/'02_대상물건입력'!B11,"")</f>
        <v/>
      </c>
      <c r="S2079" s="152">
        <f>IFERROR(ABS(J2079-'02_대상물건입력'!B10),"")</f>
        <v/>
      </c>
      <c r="T2079" s="152">
        <f>IFERROR(ABS('01_설정'!B4-F2079),"")</f>
        <v/>
      </c>
      <c r="U2079" s="152">
        <f>IFERROR(ABS(K2079-YEAR('02_대상물건입력'!B14)),"")</f>
        <v/>
      </c>
      <c r="V2079" s="152">
        <f>IF(B2079="","",IF(AND(E2079&gt;0,F2079&gt;0,H2079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2079=1,TRUE()),R2079&lt;='01_설정'!B5,S2079&lt;='01_설정'!B6,T2079&lt;='01_설정'!B7,U2079&lt;='01_설정'!B8),"Y",""))</f>
        <v/>
      </c>
      <c r="W2079" s="172">
        <f>IF(V2079&lt;&gt;"Y","",MAX(0,(1-R2079/'01_설정'!B5))*'01_설정'!B14+MAX(0,(1-S2079/'01_설정'!B6))*'01_설정'!B15+MAX(0,(1-T2079/'01_설정'!B7))*'01_설정'!B16+MAX(0,(1-U2079/'01_설정'!B8))*'01_설정'!B17+O2079*'01_설정'!B11+Q2079*'01_설정'!B12+P2079*'01_설정'!B13+IF(Z2079="",0,Z2079))</f>
        <v/>
      </c>
      <c r="X2079" s="152">
        <f>IF(W2079="","",1+COUNTIFS($W$4:$W$3003,"&gt;"&amp;W2079)+COUNTIFS($W$4:W2079,W2079)-1)</f>
        <v/>
      </c>
      <c r="Y2079" s="175">
        <f>IF(OR(I2079="",'02_대상물건입력'!B19="",'02_대상물건입력'!B19&lt;=0),"",ABS(I2079-'02_대상물건입력'!B19)/'02_대상물건입력'!B19)</f>
        <v/>
      </c>
      <c r="Z2079" s="172">
        <f>IF(OR(Y2079="",'01_설정'!B31="",'01_설정'!B31&lt;=0,'01_설정'!B32="",'01_설정'!B32&lt;=0),"",MAX(0,(1-Y2079/'01_설정'!B32))*'01_설정'!B31)</f>
        <v/>
      </c>
    </row>
    <row r="2080" ht="17.25" customHeight="1">
      <c r="A2080" s="152">
        <f>IF(INDEX('04A_국토부원자료'!$A:$A,ROW()+1)="","",ROW()-3)</f>
        <v/>
      </c>
      <c r="B2080" s="48">
        <f>IFERROR(INDEX('04A_국토부원자료'!$A:$T,ROW()+1,MATCH("시군구",'04A_국토부원자료'!$A$4:$T$4,0)),"")</f>
        <v/>
      </c>
      <c r="C2080" s="48">
        <f>IF(B2080="","",IFERROR(INDEX('04A_국토부원자료'!$A:$T,ROW()+1,MATCH("번지",'04A_국토부원자료'!$A$4:$T$4,0)),""))</f>
        <v/>
      </c>
      <c r="D2080" s="48">
        <f>IF(B2080="","",IF(Q2080=1,'02_대상물건입력'!$B$8,IFERROR(INDEX('04A_국토부원자료'!$A:$T,ROW()+1,MATCH("단지명",'04A_국토부원자료'!$A$4:$T$4,0)),"")))</f>
        <v/>
      </c>
      <c r="E2080" s="172">
        <f>IFERROR(VALUE(SUBSTITUTE(INDEX('04A_국토부원자료'!$A:$T,ROW()+1,MATCH("전용면적(㎡)",'04A_국토부원자료'!$A$4:$T$4,0)),",","")),"")</f>
        <v/>
      </c>
      <c r="F20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80" s="51">
        <f>IFERROR(VALUE(SUBSTITUTE(INDEX('04A_국토부원자료'!$A:$T,ROW()+1,MATCH("거래금액(만원)",'04A_국토부원자료'!$A$4:$T$4,0)),",","")),"")</f>
        <v/>
      </c>
      <c r="H2080" s="174">
        <f>IF(G2080="","",G2080*10000)</f>
        <v/>
      </c>
      <c r="I2080" s="174">
        <f>IFERROR(IF(AND(H2080&gt;0,E2080&gt;0),H2080/E2080,""),"")</f>
        <v/>
      </c>
      <c r="J2080" s="152">
        <f>IFERROR(VALUE(SUBSTITUTE(INDEX('04A_국토부원자료'!$A:$T,ROW()+1,MATCH("층",'04A_국토부원자료'!$A$4:$T$4,0)),",","")),"")</f>
        <v/>
      </c>
      <c r="K2080" s="152">
        <f>IFERROR(VALUE(SUBSTITUTE(INDEX('04A_국토부원자료'!$A:$T,ROW()+1,MATCH("건축년도",'04A_국토부원자료'!$A$4:$T$4,0)),",","")),"")</f>
        <v/>
      </c>
      <c r="L2080" s="48">
        <f>IFERROR(INDEX('04A_국토부원자료'!$A:$T,ROW()+1,MATCH("도로명",'04A_국토부원자료'!$A$4:$T$4,0)),"")</f>
        <v/>
      </c>
      <c r="M2080" s="48">
        <f>IFERROR(INDEX('04A_국토부원자료'!$A:$T,ROW()+1,MATCH("거래유형",'04A_국토부원자료'!$A$4:$T$4,0)),"")</f>
        <v/>
      </c>
      <c r="N2080" s="152">
        <f>IF(B2080="","",IF('02_대상물건입력'!B5="",1,IF(ISNUMBER(SEARCH('02_대상물건입력'!B5,B2080)),1,0)))</f>
        <v/>
      </c>
      <c r="O2080" s="152">
        <f>IF(B2080="","",IF('02_대상물건입력'!B6="",1,IF(ISNUMBER(SEARCH('02_대상물건입력'!B6,B2080)),1,0)))</f>
        <v/>
      </c>
      <c r="P2080" s="152">
        <f>IF(L2080="","",IF('02_대상물건입력'!B15="",0,IF(ISNUMBER(SEARCH('02_대상물건입력'!B15,L2080)),1,0)))</f>
        <v/>
      </c>
      <c r="Q2080" s="152">
        <f>IF(OR(C2080="",L2080=""),0,IF(AND(TRIM(C2080)=TRIM(RIGHT(SUBSTITUTE(TRIM('02_대상물건입력'!$B$7)," ",REPT(" ",99)),99)),IF('02_대상물건입력'!B15="",TRUE(),ISNUMBER(SEARCH('02_대상물건입력'!B15,L2080)))),1,0))</f>
        <v/>
      </c>
      <c r="R2080" s="175">
        <f>IFERROR(ABS(E2080-'02_대상물건입력'!B11)/'02_대상물건입력'!B11,"")</f>
        <v/>
      </c>
      <c r="S2080" s="152">
        <f>IFERROR(ABS(J2080-'02_대상물건입력'!B10),"")</f>
        <v/>
      </c>
      <c r="T2080" s="152">
        <f>IFERROR(ABS('01_설정'!B4-F2080),"")</f>
        <v/>
      </c>
      <c r="U2080" s="152">
        <f>IFERROR(ABS(K2080-YEAR('02_대상물건입력'!B14)),"")</f>
        <v/>
      </c>
      <c r="V2080" s="152">
        <f>IF(B2080="","",IF(AND(E2080&gt;0,F2080&gt;0,H2080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2080=1,TRUE()),R2080&lt;='01_설정'!B5,S2080&lt;='01_설정'!B6,T2080&lt;='01_설정'!B7,U2080&lt;='01_설정'!B8),"Y",""))</f>
        <v/>
      </c>
      <c r="W2080" s="172">
        <f>IF(V2080&lt;&gt;"Y","",MAX(0,(1-R2080/'01_설정'!B5))*'01_설정'!B14+MAX(0,(1-S2080/'01_설정'!B6))*'01_설정'!B15+MAX(0,(1-T2080/'01_설정'!B7))*'01_설정'!B16+MAX(0,(1-U2080/'01_설정'!B8))*'01_설정'!B17+O2080*'01_설정'!B11+Q2080*'01_설정'!B12+P2080*'01_설정'!B13+IF(Z2080="",0,Z2080))</f>
        <v/>
      </c>
      <c r="X2080" s="152">
        <f>IF(W2080="","",1+COUNTIFS($W$4:$W$3003,"&gt;"&amp;W2080)+COUNTIFS($W$4:W2080,W2080)-1)</f>
        <v/>
      </c>
      <c r="Y2080" s="175">
        <f>IF(OR(I2080="",'02_대상물건입력'!B19="",'02_대상물건입력'!B19&lt;=0),"",ABS(I2080-'02_대상물건입력'!B19)/'02_대상물건입력'!B19)</f>
        <v/>
      </c>
      <c r="Z2080" s="172">
        <f>IF(OR(Y2080="",'01_설정'!B31="",'01_설정'!B31&lt;=0,'01_설정'!B32="",'01_설정'!B32&lt;=0),"",MAX(0,(1-Y2080/'01_설정'!B32))*'01_설정'!B31)</f>
        <v/>
      </c>
    </row>
    <row r="2081" ht="17.25" customHeight="1">
      <c r="A2081" s="152">
        <f>IF(INDEX('04A_국토부원자료'!$A:$A,ROW()+1)="","",ROW()-3)</f>
        <v/>
      </c>
      <c r="B2081" s="48">
        <f>IFERROR(INDEX('04A_국토부원자료'!$A:$T,ROW()+1,MATCH("시군구",'04A_국토부원자료'!$A$4:$T$4,0)),"")</f>
        <v/>
      </c>
      <c r="C2081" s="48">
        <f>IF(B2081="","",IFERROR(INDEX('04A_국토부원자료'!$A:$T,ROW()+1,MATCH("번지",'04A_국토부원자료'!$A$4:$T$4,0)),""))</f>
        <v/>
      </c>
      <c r="D2081" s="48">
        <f>IF(B2081="","",IF(Q2081=1,'02_대상물건입력'!$B$8,IFERROR(INDEX('04A_국토부원자료'!$A:$T,ROW()+1,MATCH("단지명",'04A_국토부원자료'!$A$4:$T$4,0)),"")))</f>
        <v/>
      </c>
      <c r="E2081" s="172">
        <f>IFERROR(VALUE(SUBSTITUTE(INDEX('04A_국토부원자료'!$A:$T,ROW()+1,MATCH("전용면적(㎡)",'04A_국토부원자료'!$A$4:$T$4,0)),",","")),"")</f>
        <v/>
      </c>
      <c r="F20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81" s="51">
        <f>IFERROR(VALUE(SUBSTITUTE(INDEX('04A_국토부원자료'!$A:$T,ROW()+1,MATCH("거래금액(만원)",'04A_국토부원자료'!$A$4:$T$4,0)),",","")),"")</f>
        <v/>
      </c>
      <c r="H2081" s="174">
        <f>IF(G2081="","",G2081*10000)</f>
        <v/>
      </c>
      <c r="I2081" s="174">
        <f>IFERROR(IF(AND(H2081&gt;0,E2081&gt;0),H2081/E2081,""),"")</f>
        <v/>
      </c>
      <c r="J2081" s="152">
        <f>IFERROR(VALUE(SUBSTITUTE(INDEX('04A_국토부원자료'!$A:$T,ROW()+1,MATCH("층",'04A_국토부원자료'!$A$4:$T$4,0)),",","")),"")</f>
        <v/>
      </c>
      <c r="K2081" s="152">
        <f>IFERROR(VALUE(SUBSTITUTE(INDEX('04A_국토부원자료'!$A:$T,ROW()+1,MATCH("건축년도",'04A_국토부원자료'!$A$4:$T$4,0)),",","")),"")</f>
        <v/>
      </c>
      <c r="L2081" s="48">
        <f>IFERROR(INDEX('04A_국토부원자료'!$A:$T,ROW()+1,MATCH("도로명",'04A_국토부원자료'!$A$4:$T$4,0)),"")</f>
        <v/>
      </c>
      <c r="M2081" s="48">
        <f>IFERROR(INDEX('04A_국토부원자료'!$A:$T,ROW()+1,MATCH("거래유형",'04A_국토부원자료'!$A$4:$T$4,0)),"")</f>
        <v/>
      </c>
      <c r="N2081" s="152">
        <f>IF(B2081="","",IF('02_대상물건입력'!B5="",1,IF(ISNUMBER(SEARCH('02_대상물건입력'!B5,B2081)),1,0)))</f>
        <v/>
      </c>
      <c r="O2081" s="152">
        <f>IF(B2081="","",IF('02_대상물건입력'!B6="",1,IF(ISNUMBER(SEARCH('02_대상물건입력'!B6,B2081)),1,0)))</f>
        <v/>
      </c>
      <c r="P2081" s="152">
        <f>IF(L2081="","",IF('02_대상물건입력'!B15="",0,IF(ISNUMBER(SEARCH('02_대상물건입력'!B15,L2081)),1,0)))</f>
        <v/>
      </c>
      <c r="Q2081" s="152">
        <f>IF(OR(C2081="",L2081=""),0,IF(AND(TRIM(C2081)=TRIM(RIGHT(SUBSTITUTE(TRIM('02_대상물건입력'!$B$7)," ",REPT(" ",99)),99)),IF('02_대상물건입력'!B15="",TRUE(),ISNUMBER(SEARCH('02_대상물건입력'!B15,L2081)))),1,0))</f>
        <v/>
      </c>
      <c r="R2081" s="175">
        <f>IFERROR(ABS(E2081-'02_대상물건입력'!B11)/'02_대상물건입력'!B11,"")</f>
        <v/>
      </c>
      <c r="S2081" s="152">
        <f>IFERROR(ABS(J2081-'02_대상물건입력'!B10),"")</f>
        <v/>
      </c>
      <c r="T2081" s="152">
        <f>IFERROR(ABS('01_설정'!B4-F2081),"")</f>
        <v/>
      </c>
      <c r="U2081" s="152">
        <f>IFERROR(ABS(K2081-YEAR('02_대상물건입력'!B14)),"")</f>
        <v/>
      </c>
      <c r="V2081" s="152">
        <f>IF(B2081="","",IF(AND(E2081&gt;0,F2081&gt;0,H2081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2081=1,TRUE()),R2081&lt;='01_설정'!B5,S2081&lt;='01_설정'!B6,T2081&lt;='01_설정'!B7,U2081&lt;='01_설정'!B8),"Y",""))</f>
        <v/>
      </c>
      <c r="W2081" s="172">
        <f>IF(V2081&lt;&gt;"Y","",MAX(0,(1-R2081/'01_설정'!B5))*'01_설정'!B14+MAX(0,(1-S2081/'01_설정'!B6))*'01_설정'!B15+MAX(0,(1-T2081/'01_설정'!B7))*'01_설정'!B16+MAX(0,(1-U2081/'01_설정'!B8))*'01_설정'!B17+O2081*'01_설정'!B11+Q2081*'01_설정'!B12+P2081*'01_설정'!B13+IF(Z2081="",0,Z2081))</f>
        <v/>
      </c>
      <c r="X2081" s="152">
        <f>IF(W2081="","",1+COUNTIFS($W$4:$W$3003,"&gt;"&amp;W2081)+COUNTIFS($W$4:W2081,W2081)-1)</f>
        <v/>
      </c>
      <c r="Y2081" s="175">
        <f>IF(OR(I2081="",'02_대상물건입력'!B19="",'02_대상물건입력'!B19&lt;=0),"",ABS(I2081-'02_대상물건입력'!B19)/'02_대상물건입력'!B19)</f>
        <v/>
      </c>
      <c r="Z2081" s="172">
        <f>IF(OR(Y2081="",'01_설정'!B31="",'01_설정'!B31&lt;=0,'01_설정'!B32="",'01_설정'!B32&lt;=0),"",MAX(0,(1-Y2081/'01_설정'!B32))*'01_설정'!B31)</f>
        <v/>
      </c>
    </row>
    <row r="2082" ht="17.25" customHeight="1">
      <c r="A2082" s="152">
        <f>IF(INDEX('04A_국토부원자료'!$A:$A,ROW()+1)="","",ROW()-3)</f>
        <v/>
      </c>
      <c r="B2082" s="48">
        <f>IFERROR(INDEX('04A_국토부원자료'!$A:$T,ROW()+1,MATCH("시군구",'04A_국토부원자료'!$A$4:$T$4,0)),"")</f>
        <v/>
      </c>
      <c r="C2082" s="48">
        <f>IF(B2082="","",IFERROR(INDEX('04A_국토부원자료'!$A:$T,ROW()+1,MATCH("번지",'04A_국토부원자료'!$A$4:$T$4,0)),""))</f>
        <v/>
      </c>
      <c r="D2082" s="48">
        <f>IF(B2082="","",IF(Q2082=1,'02_대상물건입력'!$B$8,IFERROR(INDEX('04A_국토부원자료'!$A:$T,ROW()+1,MATCH("단지명",'04A_국토부원자료'!$A$4:$T$4,0)),"")))</f>
        <v/>
      </c>
      <c r="E2082" s="172">
        <f>IFERROR(VALUE(SUBSTITUTE(INDEX('04A_국토부원자료'!$A:$T,ROW()+1,MATCH("전용면적(㎡)",'04A_국토부원자료'!$A$4:$T$4,0)),",","")),"")</f>
        <v/>
      </c>
      <c r="F20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82" s="51">
        <f>IFERROR(VALUE(SUBSTITUTE(INDEX('04A_국토부원자료'!$A:$T,ROW()+1,MATCH("거래금액(만원)",'04A_국토부원자료'!$A$4:$T$4,0)),",","")),"")</f>
        <v/>
      </c>
      <c r="H2082" s="174">
        <f>IF(G2082="","",G2082*10000)</f>
        <v/>
      </c>
      <c r="I2082" s="174">
        <f>IFERROR(IF(AND(H2082&gt;0,E2082&gt;0),H2082/E2082,""),"")</f>
        <v/>
      </c>
      <c r="J2082" s="152">
        <f>IFERROR(VALUE(SUBSTITUTE(INDEX('04A_국토부원자료'!$A:$T,ROW()+1,MATCH("층",'04A_국토부원자료'!$A$4:$T$4,0)),",","")),"")</f>
        <v/>
      </c>
      <c r="K2082" s="152">
        <f>IFERROR(VALUE(SUBSTITUTE(INDEX('04A_국토부원자료'!$A:$T,ROW()+1,MATCH("건축년도",'04A_국토부원자료'!$A$4:$T$4,0)),",","")),"")</f>
        <v/>
      </c>
      <c r="L2082" s="48">
        <f>IFERROR(INDEX('04A_국토부원자료'!$A:$T,ROW()+1,MATCH("도로명",'04A_국토부원자료'!$A$4:$T$4,0)),"")</f>
        <v/>
      </c>
      <c r="M2082" s="48">
        <f>IFERROR(INDEX('04A_국토부원자료'!$A:$T,ROW()+1,MATCH("거래유형",'04A_국토부원자료'!$A$4:$T$4,0)),"")</f>
        <v/>
      </c>
      <c r="N2082" s="152">
        <f>IF(B2082="","",IF('02_대상물건입력'!B5="",1,IF(ISNUMBER(SEARCH('02_대상물건입력'!B5,B2082)),1,0)))</f>
        <v/>
      </c>
      <c r="O2082" s="152">
        <f>IF(B2082="","",IF('02_대상물건입력'!B6="",1,IF(ISNUMBER(SEARCH('02_대상물건입력'!B6,B2082)),1,0)))</f>
        <v/>
      </c>
      <c r="P2082" s="152">
        <f>IF(L2082="","",IF('02_대상물건입력'!B15="",0,IF(ISNUMBER(SEARCH('02_대상물건입력'!B15,L2082)),1,0)))</f>
        <v/>
      </c>
      <c r="Q2082" s="152">
        <f>IF(OR(C2082="",L2082=""),0,IF(AND(TRIM(C2082)=TRIM(RIGHT(SUBSTITUTE(TRIM('02_대상물건입력'!$B$7)," ",REPT(" ",99)),99)),IF('02_대상물건입력'!B15="",TRUE(),ISNUMBER(SEARCH('02_대상물건입력'!B15,L2082)))),1,0))</f>
        <v/>
      </c>
      <c r="R2082" s="175">
        <f>IFERROR(ABS(E2082-'02_대상물건입력'!B11)/'02_대상물건입력'!B11,"")</f>
        <v/>
      </c>
      <c r="S2082" s="152">
        <f>IFERROR(ABS(J2082-'02_대상물건입력'!B10),"")</f>
        <v/>
      </c>
      <c r="T2082" s="152">
        <f>IFERROR(ABS('01_설정'!B4-F2082),"")</f>
        <v/>
      </c>
      <c r="U2082" s="152">
        <f>IFERROR(ABS(K2082-YEAR('02_대상물건입력'!B14)),"")</f>
        <v/>
      </c>
      <c r="V2082" s="152">
        <f>IF(B2082="","",IF(AND(E2082&gt;0,F2082&gt;0,H2082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2082=1,TRUE()),R2082&lt;='01_설정'!B5,S2082&lt;='01_설정'!B6,T2082&lt;='01_설정'!B7,U2082&lt;='01_설정'!B8),"Y",""))</f>
        <v/>
      </c>
      <c r="W2082" s="172">
        <f>IF(V2082&lt;&gt;"Y","",MAX(0,(1-R2082/'01_설정'!B5))*'01_설정'!B14+MAX(0,(1-S2082/'01_설정'!B6))*'01_설정'!B15+MAX(0,(1-T2082/'01_설정'!B7))*'01_설정'!B16+MAX(0,(1-U2082/'01_설정'!B8))*'01_설정'!B17+O2082*'01_설정'!B11+Q2082*'01_설정'!B12+P2082*'01_설정'!B13+IF(Z2082="",0,Z2082))</f>
        <v/>
      </c>
      <c r="X2082" s="152">
        <f>IF(W2082="","",1+COUNTIFS($W$4:$W$3003,"&gt;"&amp;W2082)+COUNTIFS($W$4:W2082,W2082)-1)</f>
        <v/>
      </c>
      <c r="Y2082" s="175">
        <f>IF(OR(I2082="",'02_대상물건입력'!B19="",'02_대상물건입력'!B19&lt;=0),"",ABS(I2082-'02_대상물건입력'!B19)/'02_대상물건입력'!B19)</f>
        <v/>
      </c>
      <c r="Z2082" s="172">
        <f>IF(OR(Y2082="",'01_설정'!B31="",'01_설정'!B31&lt;=0,'01_설정'!B32="",'01_설정'!B32&lt;=0),"",MAX(0,(1-Y2082/'01_설정'!B32))*'01_설정'!B31)</f>
        <v/>
      </c>
    </row>
    <row r="2083" ht="17.25" customHeight="1">
      <c r="A2083" s="152">
        <f>IF(INDEX('04A_국토부원자료'!$A:$A,ROW()+1)="","",ROW()-3)</f>
        <v/>
      </c>
      <c r="B2083" s="48">
        <f>IFERROR(INDEX('04A_국토부원자료'!$A:$T,ROW()+1,MATCH("시군구",'04A_국토부원자료'!$A$4:$T$4,0)),"")</f>
        <v/>
      </c>
      <c r="C2083" s="48">
        <f>IF(B2083="","",IFERROR(INDEX('04A_국토부원자료'!$A:$T,ROW()+1,MATCH("번지",'04A_국토부원자료'!$A$4:$T$4,0)),""))</f>
        <v/>
      </c>
      <c r="D2083" s="48">
        <f>IF(B2083="","",IF(Q2083=1,'02_대상물건입력'!$B$8,IFERROR(INDEX('04A_국토부원자료'!$A:$T,ROW()+1,MATCH("단지명",'04A_국토부원자료'!$A$4:$T$4,0)),"")))</f>
        <v/>
      </c>
      <c r="E2083" s="172">
        <f>IFERROR(VALUE(SUBSTITUTE(INDEX('04A_국토부원자료'!$A:$T,ROW()+1,MATCH("전용면적(㎡)",'04A_국토부원자료'!$A$4:$T$4,0)),",","")),"")</f>
        <v/>
      </c>
      <c r="F20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83" s="51">
        <f>IFERROR(VALUE(SUBSTITUTE(INDEX('04A_국토부원자료'!$A:$T,ROW()+1,MATCH("거래금액(만원)",'04A_국토부원자료'!$A$4:$T$4,0)),",","")),"")</f>
        <v/>
      </c>
      <c r="H2083" s="174">
        <f>IF(G2083="","",G2083*10000)</f>
        <v/>
      </c>
      <c r="I2083" s="174">
        <f>IFERROR(IF(AND(H2083&gt;0,E2083&gt;0),H2083/E2083,""),"")</f>
        <v/>
      </c>
      <c r="J2083" s="152">
        <f>IFERROR(VALUE(SUBSTITUTE(INDEX('04A_국토부원자료'!$A:$T,ROW()+1,MATCH("층",'04A_국토부원자료'!$A$4:$T$4,0)),",","")),"")</f>
        <v/>
      </c>
      <c r="K2083" s="152">
        <f>IFERROR(VALUE(SUBSTITUTE(INDEX('04A_국토부원자료'!$A:$T,ROW()+1,MATCH("건축년도",'04A_국토부원자료'!$A$4:$T$4,0)),",","")),"")</f>
        <v/>
      </c>
      <c r="L2083" s="48">
        <f>IFERROR(INDEX('04A_국토부원자료'!$A:$T,ROW()+1,MATCH("도로명",'04A_국토부원자료'!$A$4:$T$4,0)),"")</f>
        <v/>
      </c>
      <c r="M2083" s="48">
        <f>IFERROR(INDEX('04A_국토부원자료'!$A:$T,ROW()+1,MATCH("거래유형",'04A_국토부원자료'!$A$4:$T$4,0)),"")</f>
        <v/>
      </c>
      <c r="N2083" s="152">
        <f>IF(B2083="","",IF('02_대상물건입력'!B5="",1,IF(ISNUMBER(SEARCH('02_대상물건입력'!B5,B2083)),1,0)))</f>
        <v/>
      </c>
      <c r="O2083" s="152">
        <f>IF(B2083="","",IF('02_대상물건입력'!B6="",1,IF(ISNUMBER(SEARCH('02_대상물건입력'!B6,B2083)),1,0)))</f>
        <v/>
      </c>
      <c r="P2083" s="152">
        <f>IF(L2083="","",IF('02_대상물건입력'!B15="",0,IF(ISNUMBER(SEARCH('02_대상물건입력'!B15,L2083)),1,0)))</f>
        <v/>
      </c>
      <c r="Q2083" s="152">
        <f>IF(OR(C2083="",L2083=""),0,IF(AND(TRIM(C2083)=TRIM(RIGHT(SUBSTITUTE(TRIM('02_대상물건입력'!$B$7)," ",REPT(" ",99)),99)),IF('02_대상물건입력'!B15="",TRUE(),ISNUMBER(SEARCH('02_대상물건입력'!B15,L2083)))),1,0))</f>
        <v/>
      </c>
      <c r="R2083" s="175">
        <f>IFERROR(ABS(E2083-'02_대상물건입력'!B11)/'02_대상물건입력'!B11,"")</f>
        <v/>
      </c>
      <c r="S2083" s="152">
        <f>IFERROR(ABS(J2083-'02_대상물건입력'!B10),"")</f>
        <v/>
      </c>
      <c r="T2083" s="152">
        <f>IFERROR(ABS('01_설정'!B4-F2083),"")</f>
        <v/>
      </c>
      <c r="U2083" s="152">
        <f>IFERROR(ABS(K2083-YEAR('02_대상물건입력'!B14)),"")</f>
        <v/>
      </c>
      <c r="V2083" s="152">
        <f>IF(B2083="","",IF(AND(E2083&gt;0,F2083&gt;0,H2083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2083=1,TRUE()),R2083&lt;='01_설정'!B5,S2083&lt;='01_설정'!B6,T2083&lt;='01_설정'!B7,U2083&lt;='01_설정'!B8),"Y",""))</f>
        <v/>
      </c>
      <c r="W2083" s="172">
        <f>IF(V2083&lt;&gt;"Y","",MAX(0,(1-R2083/'01_설정'!B5))*'01_설정'!B14+MAX(0,(1-S2083/'01_설정'!B6))*'01_설정'!B15+MAX(0,(1-T2083/'01_설정'!B7))*'01_설정'!B16+MAX(0,(1-U2083/'01_설정'!B8))*'01_설정'!B17+O2083*'01_설정'!B11+Q2083*'01_설정'!B12+P2083*'01_설정'!B13+IF(Z2083="",0,Z2083))</f>
        <v/>
      </c>
      <c r="X2083" s="152">
        <f>IF(W2083="","",1+COUNTIFS($W$4:$W$3003,"&gt;"&amp;W2083)+COUNTIFS($W$4:W2083,W2083)-1)</f>
        <v/>
      </c>
      <c r="Y2083" s="175">
        <f>IF(OR(I2083="",'02_대상물건입력'!B19="",'02_대상물건입력'!B19&lt;=0),"",ABS(I2083-'02_대상물건입력'!B19)/'02_대상물건입력'!B19)</f>
        <v/>
      </c>
      <c r="Z2083" s="172">
        <f>IF(OR(Y2083="",'01_설정'!B31="",'01_설정'!B31&lt;=0,'01_설정'!B32="",'01_설정'!B32&lt;=0),"",MAX(0,(1-Y2083/'01_설정'!B32))*'01_설정'!B31)</f>
        <v/>
      </c>
    </row>
    <row r="2084" ht="17.25" customHeight="1">
      <c r="A2084" s="152">
        <f>IF(INDEX('04A_국토부원자료'!$A:$A,ROW()+1)="","",ROW()-3)</f>
        <v/>
      </c>
      <c r="B2084" s="48">
        <f>IFERROR(INDEX('04A_국토부원자료'!$A:$T,ROW()+1,MATCH("시군구",'04A_국토부원자료'!$A$4:$T$4,0)),"")</f>
        <v/>
      </c>
      <c r="C2084" s="48">
        <f>IF(B2084="","",IFERROR(INDEX('04A_국토부원자료'!$A:$T,ROW()+1,MATCH("번지",'04A_국토부원자료'!$A$4:$T$4,0)),""))</f>
        <v/>
      </c>
      <c r="D2084" s="48">
        <f>IF(B2084="","",IF(Q2084=1,'02_대상물건입력'!$B$8,IFERROR(INDEX('04A_국토부원자료'!$A:$T,ROW()+1,MATCH("단지명",'04A_국토부원자료'!$A$4:$T$4,0)),"")))</f>
        <v/>
      </c>
      <c r="E2084" s="172">
        <f>IFERROR(VALUE(SUBSTITUTE(INDEX('04A_국토부원자료'!$A:$T,ROW()+1,MATCH("전용면적(㎡)",'04A_국토부원자료'!$A$4:$T$4,0)),",","")),"")</f>
        <v/>
      </c>
      <c r="F20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84" s="51">
        <f>IFERROR(VALUE(SUBSTITUTE(INDEX('04A_국토부원자료'!$A:$T,ROW()+1,MATCH("거래금액(만원)",'04A_국토부원자료'!$A$4:$T$4,0)),",","")),"")</f>
        <v/>
      </c>
      <c r="H2084" s="174">
        <f>IF(G2084="","",G2084*10000)</f>
        <v/>
      </c>
      <c r="I2084" s="174">
        <f>IFERROR(IF(AND(H2084&gt;0,E2084&gt;0),H2084/E2084,""),"")</f>
        <v/>
      </c>
      <c r="J2084" s="152">
        <f>IFERROR(VALUE(SUBSTITUTE(INDEX('04A_국토부원자료'!$A:$T,ROW()+1,MATCH("층",'04A_국토부원자료'!$A$4:$T$4,0)),",","")),"")</f>
        <v/>
      </c>
      <c r="K2084" s="152">
        <f>IFERROR(VALUE(SUBSTITUTE(INDEX('04A_국토부원자료'!$A:$T,ROW()+1,MATCH("건축년도",'04A_국토부원자료'!$A$4:$T$4,0)),",","")),"")</f>
        <v/>
      </c>
      <c r="L2084" s="48">
        <f>IFERROR(INDEX('04A_국토부원자료'!$A:$T,ROW()+1,MATCH("도로명",'04A_국토부원자료'!$A$4:$T$4,0)),"")</f>
        <v/>
      </c>
      <c r="M2084" s="48">
        <f>IFERROR(INDEX('04A_국토부원자료'!$A:$T,ROW()+1,MATCH("거래유형",'04A_국토부원자료'!$A$4:$T$4,0)),"")</f>
        <v/>
      </c>
      <c r="N2084" s="152">
        <f>IF(B2084="","",IF('02_대상물건입력'!B5="",1,IF(ISNUMBER(SEARCH('02_대상물건입력'!B5,B2084)),1,0)))</f>
        <v/>
      </c>
      <c r="O2084" s="152">
        <f>IF(B2084="","",IF('02_대상물건입력'!B6="",1,IF(ISNUMBER(SEARCH('02_대상물건입력'!B6,B2084)),1,0)))</f>
        <v/>
      </c>
      <c r="P2084" s="152">
        <f>IF(L2084="","",IF('02_대상물건입력'!B15="",0,IF(ISNUMBER(SEARCH('02_대상물건입력'!B15,L2084)),1,0)))</f>
        <v/>
      </c>
      <c r="Q2084" s="152">
        <f>IF(OR(C2084="",L2084=""),0,IF(AND(TRIM(C2084)=TRIM(RIGHT(SUBSTITUTE(TRIM('02_대상물건입력'!$B$7)," ",REPT(" ",99)),99)),IF('02_대상물건입력'!B15="",TRUE(),ISNUMBER(SEARCH('02_대상물건입력'!B15,L2084)))),1,0))</f>
        <v/>
      </c>
      <c r="R2084" s="175">
        <f>IFERROR(ABS(E2084-'02_대상물건입력'!B11)/'02_대상물건입력'!B11,"")</f>
        <v/>
      </c>
      <c r="S2084" s="152">
        <f>IFERROR(ABS(J2084-'02_대상물건입력'!B10),"")</f>
        <v/>
      </c>
      <c r="T2084" s="152">
        <f>IFERROR(ABS('01_설정'!B4-F2084),"")</f>
        <v/>
      </c>
      <c r="U2084" s="152">
        <f>IFERROR(ABS(K2084-YEAR('02_대상물건입력'!B14)),"")</f>
        <v/>
      </c>
      <c r="V2084" s="152">
        <f>IF(B2084="","",IF(AND(E2084&gt;0,F2084&gt;0,H2084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2084=1,TRUE()),R2084&lt;='01_설정'!B5,S2084&lt;='01_설정'!B6,T2084&lt;='01_설정'!B7,U2084&lt;='01_설정'!B8),"Y",""))</f>
        <v/>
      </c>
      <c r="W2084" s="172">
        <f>IF(V2084&lt;&gt;"Y","",MAX(0,(1-R2084/'01_설정'!B5))*'01_설정'!B14+MAX(0,(1-S2084/'01_설정'!B6))*'01_설정'!B15+MAX(0,(1-T2084/'01_설정'!B7))*'01_설정'!B16+MAX(0,(1-U2084/'01_설정'!B8))*'01_설정'!B17+O2084*'01_설정'!B11+Q2084*'01_설정'!B12+P2084*'01_설정'!B13+IF(Z2084="",0,Z2084))</f>
        <v/>
      </c>
      <c r="X2084" s="152">
        <f>IF(W2084="","",1+COUNTIFS($W$4:$W$3003,"&gt;"&amp;W2084)+COUNTIFS($W$4:W2084,W2084)-1)</f>
        <v/>
      </c>
      <c r="Y2084" s="175">
        <f>IF(OR(I2084="",'02_대상물건입력'!B19="",'02_대상물건입력'!B19&lt;=0),"",ABS(I2084-'02_대상물건입력'!B19)/'02_대상물건입력'!B19)</f>
        <v/>
      </c>
      <c r="Z2084" s="172">
        <f>IF(OR(Y2084="",'01_설정'!B31="",'01_설정'!B31&lt;=0,'01_설정'!B32="",'01_설정'!B32&lt;=0),"",MAX(0,(1-Y2084/'01_설정'!B32))*'01_설정'!B31)</f>
        <v/>
      </c>
    </row>
    <row r="2085" ht="17.25" customHeight="1">
      <c r="A2085" s="152">
        <f>IF(INDEX('04A_국토부원자료'!$A:$A,ROW()+1)="","",ROW()-3)</f>
        <v/>
      </c>
      <c r="B2085" s="48">
        <f>IFERROR(INDEX('04A_국토부원자료'!$A:$T,ROW()+1,MATCH("시군구",'04A_국토부원자료'!$A$4:$T$4,0)),"")</f>
        <v/>
      </c>
      <c r="C2085" s="48">
        <f>IF(B2085="","",IFERROR(INDEX('04A_국토부원자료'!$A:$T,ROW()+1,MATCH("번지",'04A_국토부원자료'!$A$4:$T$4,0)),""))</f>
        <v/>
      </c>
      <c r="D2085" s="48">
        <f>IF(B2085="","",IF(Q2085=1,'02_대상물건입력'!$B$8,IFERROR(INDEX('04A_국토부원자료'!$A:$T,ROW()+1,MATCH("단지명",'04A_국토부원자료'!$A$4:$T$4,0)),"")))</f>
        <v/>
      </c>
      <c r="E2085" s="172">
        <f>IFERROR(VALUE(SUBSTITUTE(INDEX('04A_국토부원자료'!$A:$T,ROW()+1,MATCH("전용면적(㎡)",'04A_국토부원자료'!$A$4:$T$4,0)),",","")),"")</f>
        <v/>
      </c>
      <c r="F20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85" s="51">
        <f>IFERROR(VALUE(SUBSTITUTE(INDEX('04A_국토부원자료'!$A:$T,ROW()+1,MATCH("거래금액(만원)",'04A_국토부원자료'!$A$4:$T$4,0)),",","")),"")</f>
        <v/>
      </c>
      <c r="H2085" s="174">
        <f>IF(G2085="","",G2085*10000)</f>
        <v/>
      </c>
      <c r="I2085" s="174">
        <f>IFERROR(IF(AND(H2085&gt;0,E2085&gt;0),H2085/E2085,""),"")</f>
        <v/>
      </c>
      <c r="J2085" s="152">
        <f>IFERROR(VALUE(SUBSTITUTE(INDEX('04A_국토부원자료'!$A:$T,ROW()+1,MATCH("층",'04A_국토부원자료'!$A$4:$T$4,0)),",","")),"")</f>
        <v/>
      </c>
      <c r="K2085" s="152">
        <f>IFERROR(VALUE(SUBSTITUTE(INDEX('04A_국토부원자료'!$A:$T,ROW()+1,MATCH("건축년도",'04A_국토부원자료'!$A$4:$T$4,0)),",","")),"")</f>
        <v/>
      </c>
      <c r="L2085" s="48">
        <f>IFERROR(INDEX('04A_국토부원자료'!$A:$T,ROW()+1,MATCH("도로명",'04A_국토부원자료'!$A$4:$T$4,0)),"")</f>
        <v/>
      </c>
      <c r="M2085" s="48">
        <f>IFERROR(INDEX('04A_국토부원자료'!$A:$T,ROW()+1,MATCH("거래유형",'04A_국토부원자료'!$A$4:$T$4,0)),"")</f>
        <v/>
      </c>
      <c r="N2085" s="152">
        <f>IF(B2085="","",IF('02_대상물건입력'!B5="",1,IF(ISNUMBER(SEARCH('02_대상물건입력'!B5,B2085)),1,0)))</f>
        <v/>
      </c>
      <c r="O2085" s="152">
        <f>IF(B2085="","",IF('02_대상물건입력'!B6="",1,IF(ISNUMBER(SEARCH('02_대상물건입력'!B6,B2085)),1,0)))</f>
        <v/>
      </c>
      <c r="P2085" s="152">
        <f>IF(L2085="","",IF('02_대상물건입력'!B15="",0,IF(ISNUMBER(SEARCH('02_대상물건입력'!B15,L2085)),1,0)))</f>
        <v/>
      </c>
      <c r="Q2085" s="152">
        <f>IF(OR(C2085="",L2085=""),0,IF(AND(TRIM(C2085)=TRIM(RIGHT(SUBSTITUTE(TRIM('02_대상물건입력'!$B$7)," ",REPT(" ",99)),99)),IF('02_대상물건입력'!B15="",TRUE(),ISNUMBER(SEARCH('02_대상물건입력'!B15,L2085)))),1,0))</f>
        <v/>
      </c>
      <c r="R2085" s="175">
        <f>IFERROR(ABS(E2085-'02_대상물건입력'!B11)/'02_대상물건입력'!B11,"")</f>
        <v/>
      </c>
      <c r="S2085" s="152">
        <f>IFERROR(ABS(J2085-'02_대상물건입력'!B10),"")</f>
        <v/>
      </c>
      <c r="T2085" s="152">
        <f>IFERROR(ABS('01_설정'!B4-F2085),"")</f>
        <v/>
      </c>
      <c r="U2085" s="152">
        <f>IFERROR(ABS(K2085-YEAR('02_대상물건입력'!B14)),"")</f>
        <v/>
      </c>
      <c r="V2085" s="152">
        <f>IF(B2085="","",IF(AND(E2085&gt;0,F2085&gt;0,H2085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2085=1,TRUE()),R2085&lt;='01_설정'!B5,S2085&lt;='01_설정'!B6,T2085&lt;='01_설정'!B7,U2085&lt;='01_설정'!B8),"Y",""))</f>
        <v/>
      </c>
      <c r="W2085" s="172">
        <f>IF(V2085&lt;&gt;"Y","",MAX(0,(1-R2085/'01_설정'!B5))*'01_설정'!B14+MAX(0,(1-S2085/'01_설정'!B6))*'01_설정'!B15+MAX(0,(1-T2085/'01_설정'!B7))*'01_설정'!B16+MAX(0,(1-U2085/'01_설정'!B8))*'01_설정'!B17+O2085*'01_설정'!B11+Q2085*'01_설정'!B12+P2085*'01_설정'!B13+IF(Z2085="",0,Z2085))</f>
        <v/>
      </c>
      <c r="X2085" s="152">
        <f>IF(W2085="","",1+COUNTIFS($W$4:$W$3003,"&gt;"&amp;W2085)+COUNTIFS($W$4:W2085,W2085)-1)</f>
        <v/>
      </c>
      <c r="Y2085" s="175">
        <f>IF(OR(I2085="",'02_대상물건입력'!B19="",'02_대상물건입력'!B19&lt;=0),"",ABS(I2085-'02_대상물건입력'!B19)/'02_대상물건입력'!B19)</f>
        <v/>
      </c>
      <c r="Z2085" s="172">
        <f>IF(OR(Y2085="",'01_설정'!B31="",'01_설정'!B31&lt;=0,'01_설정'!B32="",'01_설정'!B32&lt;=0),"",MAX(0,(1-Y2085/'01_설정'!B32))*'01_설정'!B31)</f>
        <v/>
      </c>
    </row>
    <row r="2086" ht="17.25" customHeight="1">
      <c r="A2086" s="152">
        <f>IF(INDEX('04A_국토부원자료'!$A:$A,ROW()+1)="","",ROW()-3)</f>
        <v/>
      </c>
      <c r="B2086" s="48">
        <f>IFERROR(INDEX('04A_국토부원자료'!$A:$T,ROW()+1,MATCH("시군구",'04A_국토부원자료'!$A$4:$T$4,0)),"")</f>
        <v/>
      </c>
      <c r="C2086" s="48">
        <f>IF(B2086="","",IFERROR(INDEX('04A_국토부원자료'!$A:$T,ROW()+1,MATCH("번지",'04A_국토부원자료'!$A$4:$T$4,0)),""))</f>
        <v/>
      </c>
      <c r="D2086" s="48">
        <f>IF(B2086="","",IF(Q2086=1,'02_대상물건입력'!$B$8,IFERROR(INDEX('04A_국토부원자료'!$A:$T,ROW()+1,MATCH("단지명",'04A_국토부원자료'!$A$4:$T$4,0)),"")))</f>
        <v/>
      </c>
      <c r="E2086" s="172">
        <f>IFERROR(VALUE(SUBSTITUTE(INDEX('04A_국토부원자료'!$A:$T,ROW()+1,MATCH("전용면적(㎡)",'04A_국토부원자료'!$A$4:$T$4,0)),",","")),"")</f>
        <v/>
      </c>
      <c r="F20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86" s="51">
        <f>IFERROR(VALUE(SUBSTITUTE(INDEX('04A_국토부원자료'!$A:$T,ROW()+1,MATCH("거래금액(만원)",'04A_국토부원자료'!$A$4:$T$4,0)),",","")),"")</f>
        <v/>
      </c>
      <c r="H2086" s="174">
        <f>IF(G2086="","",G2086*10000)</f>
        <v/>
      </c>
      <c r="I2086" s="174">
        <f>IFERROR(IF(AND(H2086&gt;0,E2086&gt;0),H2086/E2086,""),"")</f>
        <v/>
      </c>
      <c r="J2086" s="152">
        <f>IFERROR(VALUE(SUBSTITUTE(INDEX('04A_국토부원자료'!$A:$T,ROW()+1,MATCH("층",'04A_국토부원자료'!$A$4:$T$4,0)),",","")),"")</f>
        <v/>
      </c>
      <c r="K2086" s="152">
        <f>IFERROR(VALUE(SUBSTITUTE(INDEX('04A_국토부원자료'!$A:$T,ROW()+1,MATCH("건축년도",'04A_국토부원자료'!$A$4:$T$4,0)),",","")),"")</f>
        <v/>
      </c>
      <c r="L2086" s="48">
        <f>IFERROR(INDEX('04A_국토부원자료'!$A:$T,ROW()+1,MATCH("도로명",'04A_국토부원자료'!$A$4:$T$4,0)),"")</f>
        <v/>
      </c>
      <c r="M2086" s="48">
        <f>IFERROR(INDEX('04A_국토부원자료'!$A:$T,ROW()+1,MATCH("거래유형",'04A_국토부원자료'!$A$4:$T$4,0)),"")</f>
        <v/>
      </c>
      <c r="N2086" s="152">
        <f>IF(B2086="","",IF('02_대상물건입력'!B5="",1,IF(ISNUMBER(SEARCH('02_대상물건입력'!B5,B2086)),1,0)))</f>
        <v/>
      </c>
      <c r="O2086" s="152">
        <f>IF(B2086="","",IF('02_대상물건입력'!B6="",1,IF(ISNUMBER(SEARCH('02_대상물건입력'!B6,B2086)),1,0)))</f>
        <v/>
      </c>
      <c r="P2086" s="152">
        <f>IF(L2086="","",IF('02_대상물건입력'!B15="",0,IF(ISNUMBER(SEARCH('02_대상물건입력'!B15,L2086)),1,0)))</f>
        <v/>
      </c>
      <c r="Q2086" s="152">
        <f>IF(OR(C2086="",L2086=""),0,IF(AND(TRIM(C2086)=TRIM(RIGHT(SUBSTITUTE(TRIM('02_대상물건입력'!$B$7)," ",REPT(" ",99)),99)),IF('02_대상물건입력'!B15="",TRUE(),ISNUMBER(SEARCH('02_대상물건입력'!B15,L2086)))),1,0))</f>
        <v/>
      </c>
      <c r="R2086" s="175">
        <f>IFERROR(ABS(E2086-'02_대상물건입력'!B11)/'02_대상물건입력'!B11,"")</f>
        <v/>
      </c>
      <c r="S2086" s="152">
        <f>IFERROR(ABS(J2086-'02_대상물건입력'!B10),"")</f>
        <v/>
      </c>
      <c r="T2086" s="152">
        <f>IFERROR(ABS('01_설정'!B4-F2086),"")</f>
        <v/>
      </c>
      <c r="U2086" s="152">
        <f>IFERROR(ABS(K2086-YEAR('02_대상물건입력'!B14)),"")</f>
        <v/>
      </c>
      <c r="V2086" s="152">
        <f>IF(B2086="","",IF(AND(E2086&gt;0,F2086&gt;0,H2086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2086=1,TRUE()),R2086&lt;='01_설정'!B5,S2086&lt;='01_설정'!B6,T2086&lt;='01_설정'!B7,U2086&lt;='01_설정'!B8),"Y",""))</f>
        <v/>
      </c>
      <c r="W2086" s="172">
        <f>IF(V2086&lt;&gt;"Y","",MAX(0,(1-R2086/'01_설정'!B5))*'01_설정'!B14+MAX(0,(1-S2086/'01_설정'!B6))*'01_설정'!B15+MAX(0,(1-T2086/'01_설정'!B7))*'01_설정'!B16+MAX(0,(1-U2086/'01_설정'!B8))*'01_설정'!B17+O2086*'01_설정'!B11+Q2086*'01_설정'!B12+P2086*'01_설정'!B13+IF(Z2086="",0,Z2086))</f>
        <v/>
      </c>
      <c r="X2086" s="152">
        <f>IF(W2086="","",1+COUNTIFS($W$4:$W$3003,"&gt;"&amp;W2086)+COUNTIFS($W$4:W2086,W2086)-1)</f>
        <v/>
      </c>
      <c r="Y2086" s="175">
        <f>IF(OR(I2086="",'02_대상물건입력'!B19="",'02_대상물건입력'!B19&lt;=0),"",ABS(I2086-'02_대상물건입력'!B19)/'02_대상물건입력'!B19)</f>
        <v/>
      </c>
      <c r="Z2086" s="172">
        <f>IF(OR(Y2086="",'01_설정'!B31="",'01_설정'!B31&lt;=0,'01_설정'!B32="",'01_설정'!B32&lt;=0),"",MAX(0,(1-Y2086/'01_설정'!B32))*'01_설정'!B31)</f>
        <v/>
      </c>
    </row>
    <row r="2087" ht="17.25" customHeight="1">
      <c r="A2087" s="152">
        <f>IF(INDEX('04A_국토부원자료'!$A:$A,ROW()+1)="","",ROW()-3)</f>
        <v/>
      </c>
      <c r="B2087" s="48">
        <f>IFERROR(INDEX('04A_국토부원자료'!$A:$T,ROW()+1,MATCH("시군구",'04A_국토부원자료'!$A$4:$T$4,0)),"")</f>
        <v/>
      </c>
      <c r="C2087" s="48">
        <f>IF(B2087="","",IFERROR(INDEX('04A_국토부원자료'!$A:$T,ROW()+1,MATCH("번지",'04A_국토부원자료'!$A$4:$T$4,0)),""))</f>
        <v/>
      </c>
      <c r="D2087" s="48">
        <f>IF(B2087="","",IF(Q2087=1,'02_대상물건입력'!$B$8,IFERROR(INDEX('04A_국토부원자료'!$A:$T,ROW()+1,MATCH("단지명",'04A_국토부원자료'!$A$4:$T$4,0)),"")))</f>
        <v/>
      </c>
      <c r="E2087" s="172">
        <f>IFERROR(VALUE(SUBSTITUTE(INDEX('04A_국토부원자료'!$A:$T,ROW()+1,MATCH("전용면적(㎡)",'04A_국토부원자료'!$A$4:$T$4,0)),",","")),"")</f>
        <v/>
      </c>
      <c r="F20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87" s="51">
        <f>IFERROR(VALUE(SUBSTITUTE(INDEX('04A_국토부원자료'!$A:$T,ROW()+1,MATCH("거래금액(만원)",'04A_국토부원자료'!$A$4:$T$4,0)),",","")),"")</f>
        <v/>
      </c>
      <c r="H2087" s="174">
        <f>IF(G2087="","",G2087*10000)</f>
        <v/>
      </c>
      <c r="I2087" s="174">
        <f>IFERROR(IF(AND(H2087&gt;0,E2087&gt;0),H2087/E2087,""),"")</f>
        <v/>
      </c>
      <c r="J2087" s="152">
        <f>IFERROR(VALUE(SUBSTITUTE(INDEX('04A_국토부원자료'!$A:$T,ROW()+1,MATCH("층",'04A_국토부원자료'!$A$4:$T$4,0)),",","")),"")</f>
        <v/>
      </c>
      <c r="K2087" s="152">
        <f>IFERROR(VALUE(SUBSTITUTE(INDEX('04A_국토부원자료'!$A:$T,ROW()+1,MATCH("건축년도",'04A_국토부원자료'!$A$4:$T$4,0)),",","")),"")</f>
        <v/>
      </c>
      <c r="L2087" s="48">
        <f>IFERROR(INDEX('04A_국토부원자료'!$A:$T,ROW()+1,MATCH("도로명",'04A_국토부원자료'!$A$4:$T$4,0)),"")</f>
        <v/>
      </c>
      <c r="M2087" s="48">
        <f>IFERROR(INDEX('04A_국토부원자료'!$A:$T,ROW()+1,MATCH("거래유형",'04A_국토부원자료'!$A$4:$T$4,0)),"")</f>
        <v/>
      </c>
      <c r="N2087" s="152">
        <f>IF(B2087="","",IF('02_대상물건입력'!B5="",1,IF(ISNUMBER(SEARCH('02_대상물건입력'!B5,B2087)),1,0)))</f>
        <v/>
      </c>
      <c r="O2087" s="152">
        <f>IF(B2087="","",IF('02_대상물건입력'!B6="",1,IF(ISNUMBER(SEARCH('02_대상물건입력'!B6,B2087)),1,0)))</f>
        <v/>
      </c>
      <c r="P2087" s="152">
        <f>IF(L2087="","",IF('02_대상물건입력'!B15="",0,IF(ISNUMBER(SEARCH('02_대상물건입력'!B15,L2087)),1,0)))</f>
        <v/>
      </c>
      <c r="Q2087" s="152">
        <f>IF(OR(C2087="",L2087=""),0,IF(AND(TRIM(C2087)=TRIM(RIGHT(SUBSTITUTE(TRIM('02_대상물건입력'!$B$7)," ",REPT(" ",99)),99)),IF('02_대상물건입력'!B15="",TRUE(),ISNUMBER(SEARCH('02_대상물건입력'!B15,L2087)))),1,0))</f>
        <v/>
      </c>
      <c r="R2087" s="175">
        <f>IFERROR(ABS(E2087-'02_대상물건입력'!B11)/'02_대상물건입력'!B11,"")</f>
        <v/>
      </c>
      <c r="S2087" s="152">
        <f>IFERROR(ABS(J2087-'02_대상물건입력'!B10),"")</f>
        <v/>
      </c>
      <c r="T2087" s="152">
        <f>IFERROR(ABS('01_설정'!B4-F2087),"")</f>
        <v/>
      </c>
      <c r="U2087" s="152">
        <f>IFERROR(ABS(K2087-YEAR('02_대상물건입력'!B14)),"")</f>
        <v/>
      </c>
      <c r="V2087" s="152">
        <f>IF(B2087="","",IF(AND(E2087&gt;0,F2087&gt;0,H2087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2087=1,TRUE()),R2087&lt;='01_설정'!B5,S2087&lt;='01_설정'!B6,T2087&lt;='01_설정'!B7,U2087&lt;='01_설정'!B8),"Y",""))</f>
        <v/>
      </c>
      <c r="W2087" s="172">
        <f>IF(V2087&lt;&gt;"Y","",MAX(0,(1-R2087/'01_설정'!B5))*'01_설정'!B14+MAX(0,(1-S2087/'01_설정'!B6))*'01_설정'!B15+MAX(0,(1-T2087/'01_설정'!B7))*'01_설정'!B16+MAX(0,(1-U2087/'01_설정'!B8))*'01_설정'!B17+O2087*'01_설정'!B11+Q2087*'01_설정'!B12+P2087*'01_설정'!B13+IF(Z2087="",0,Z2087))</f>
        <v/>
      </c>
      <c r="X2087" s="152">
        <f>IF(W2087="","",1+COUNTIFS($W$4:$W$3003,"&gt;"&amp;W2087)+COUNTIFS($W$4:W2087,W2087)-1)</f>
        <v/>
      </c>
      <c r="Y2087" s="175">
        <f>IF(OR(I2087="",'02_대상물건입력'!B19="",'02_대상물건입력'!B19&lt;=0),"",ABS(I2087-'02_대상물건입력'!B19)/'02_대상물건입력'!B19)</f>
        <v/>
      </c>
      <c r="Z2087" s="172">
        <f>IF(OR(Y2087="",'01_설정'!B31="",'01_설정'!B31&lt;=0,'01_설정'!B32="",'01_설정'!B32&lt;=0),"",MAX(0,(1-Y2087/'01_설정'!B32))*'01_설정'!B31)</f>
        <v/>
      </c>
    </row>
    <row r="2088" ht="17.25" customHeight="1">
      <c r="A2088" s="152">
        <f>IF(INDEX('04A_국토부원자료'!$A:$A,ROW()+1)="","",ROW()-3)</f>
        <v/>
      </c>
      <c r="B2088" s="48">
        <f>IFERROR(INDEX('04A_국토부원자료'!$A:$T,ROW()+1,MATCH("시군구",'04A_국토부원자료'!$A$4:$T$4,0)),"")</f>
        <v/>
      </c>
      <c r="C2088" s="48">
        <f>IF(B2088="","",IFERROR(INDEX('04A_국토부원자료'!$A:$T,ROW()+1,MATCH("번지",'04A_국토부원자료'!$A$4:$T$4,0)),""))</f>
        <v/>
      </c>
      <c r="D2088" s="48">
        <f>IF(B2088="","",IF(Q2088=1,'02_대상물건입력'!$B$8,IFERROR(INDEX('04A_국토부원자료'!$A:$T,ROW()+1,MATCH("단지명",'04A_국토부원자료'!$A$4:$T$4,0)),"")))</f>
        <v/>
      </c>
      <c r="E2088" s="172">
        <f>IFERROR(VALUE(SUBSTITUTE(INDEX('04A_국토부원자료'!$A:$T,ROW()+1,MATCH("전용면적(㎡)",'04A_국토부원자료'!$A$4:$T$4,0)),",","")),"")</f>
        <v/>
      </c>
      <c r="F20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88" s="51">
        <f>IFERROR(VALUE(SUBSTITUTE(INDEX('04A_국토부원자료'!$A:$T,ROW()+1,MATCH("거래금액(만원)",'04A_국토부원자료'!$A$4:$T$4,0)),",","")),"")</f>
        <v/>
      </c>
      <c r="H2088" s="174">
        <f>IF(G2088="","",G2088*10000)</f>
        <v/>
      </c>
      <c r="I2088" s="174">
        <f>IFERROR(IF(AND(H2088&gt;0,E2088&gt;0),H2088/E2088,""),"")</f>
        <v/>
      </c>
      <c r="J2088" s="152">
        <f>IFERROR(VALUE(SUBSTITUTE(INDEX('04A_국토부원자료'!$A:$T,ROW()+1,MATCH("층",'04A_국토부원자료'!$A$4:$T$4,0)),",","")),"")</f>
        <v/>
      </c>
      <c r="K2088" s="152">
        <f>IFERROR(VALUE(SUBSTITUTE(INDEX('04A_국토부원자료'!$A:$T,ROW()+1,MATCH("건축년도",'04A_국토부원자료'!$A$4:$T$4,0)),",","")),"")</f>
        <v/>
      </c>
      <c r="L2088" s="48">
        <f>IFERROR(INDEX('04A_국토부원자료'!$A:$T,ROW()+1,MATCH("도로명",'04A_국토부원자료'!$A$4:$T$4,0)),"")</f>
        <v/>
      </c>
      <c r="M2088" s="48">
        <f>IFERROR(INDEX('04A_국토부원자료'!$A:$T,ROW()+1,MATCH("거래유형",'04A_국토부원자료'!$A$4:$T$4,0)),"")</f>
        <v/>
      </c>
      <c r="N2088" s="152">
        <f>IF(B2088="","",IF('02_대상물건입력'!B5="",1,IF(ISNUMBER(SEARCH('02_대상물건입력'!B5,B2088)),1,0)))</f>
        <v/>
      </c>
      <c r="O2088" s="152">
        <f>IF(B2088="","",IF('02_대상물건입력'!B6="",1,IF(ISNUMBER(SEARCH('02_대상물건입력'!B6,B2088)),1,0)))</f>
        <v/>
      </c>
      <c r="P2088" s="152">
        <f>IF(L2088="","",IF('02_대상물건입력'!B15="",0,IF(ISNUMBER(SEARCH('02_대상물건입력'!B15,L2088)),1,0)))</f>
        <v/>
      </c>
      <c r="Q2088" s="152">
        <f>IF(OR(C2088="",L2088=""),0,IF(AND(TRIM(C2088)=TRIM(RIGHT(SUBSTITUTE(TRIM('02_대상물건입력'!$B$7)," ",REPT(" ",99)),99)),IF('02_대상물건입력'!B15="",TRUE(),ISNUMBER(SEARCH('02_대상물건입력'!B15,L2088)))),1,0))</f>
        <v/>
      </c>
      <c r="R2088" s="175">
        <f>IFERROR(ABS(E2088-'02_대상물건입력'!B11)/'02_대상물건입력'!B11,"")</f>
        <v/>
      </c>
      <c r="S2088" s="152">
        <f>IFERROR(ABS(J2088-'02_대상물건입력'!B10),"")</f>
        <v/>
      </c>
      <c r="T2088" s="152">
        <f>IFERROR(ABS('01_설정'!B4-F2088),"")</f>
        <v/>
      </c>
      <c r="U2088" s="152">
        <f>IFERROR(ABS(K2088-YEAR('02_대상물건입력'!B14)),"")</f>
        <v/>
      </c>
      <c r="V2088" s="152">
        <f>IF(B2088="","",IF(AND(E2088&gt;0,F2088&gt;0,H2088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2088=1,TRUE()),R2088&lt;='01_설정'!B5,S2088&lt;='01_설정'!B6,T2088&lt;='01_설정'!B7,U2088&lt;='01_설정'!B8),"Y",""))</f>
        <v/>
      </c>
      <c r="W2088" s="172">
        <f>IF(V2088&lt;&gt;"Y","",MAX(0,(1-R2088/'01_설정'!B5))*'01_설정'!B14+MAX(0,(1-S2088/'01_설정'!B6))*'01_설정'!B15+MAX(0,(1-T2088/'01_설정'!B7))*'01_설정'!B16+MAX(0,(1-U2088/'01_설정'!B8))*'01_설정'!B17+O2088*'01_설정'!B11+Q2088*'01_설정'!B12+P2088*'01_설정'!B13+IF(Z2088="",0,Z2088))</f>
        <v/>
      </c>
      <c r="X2088" s="152">
        <f>IF(W2088="","",1+COUNTIFS($W$4:$W$3003,"&gt;"&amp;W2088)+COUNTIFS($W$4:W2088,W2088)-1)</f>
        <v/>
      </c>
      <c r="Y2088" s="175">
        <f>IF(OR(I2088="",'02_대상물건입력'!B19="",'02_대상물건입력'!B19&lt;=0),"",ABS(I2088-'02_대상물건입력'!B19)/'02_대상물건입력'!B19)</f>
        <v/>
      </c>
      <c r="Z2088" s="172">
        <f>IF(OR(Y2088="",'01_설정'!B31="",'01_설정'!B31&lt;=0,'01_설정'!B32="",'01_설정'!B32&lt;=0),"",MAX(0,(1-Y2088/'01_설정'!B32))*'01_설정'!B31)</f>
        <v/>
      </c>
    </row>
    <row r="2089" ht="17.25" customHeight="1">
      <c r="A2089" s="152">
        <f>IF(INDEX('04A_국토부원자료'!$A:$A,ROW()+1)="","",ROW()-3)</f>
        <v/>
      </c>
      <c r="B2089" s="48">
        <f>IFERROR(INDEX('04A_국토부원자료'!$A:$T,ROW()+1,MATCH("시군구",'04A_국토부원자료'!$A$4:$T$4,0)),"")</f>
        <v/>
      </c>
      <c r="C2089" s="48">
        <f>IF(B2089="","",IFERROR(INDEX('04A_국토부원자료'!$A:$T,ROW()+1,MATCH("번지",'04A_국토부원자료'!$A$4:$T$4,0)),""))</f>
        <v/>
      </c>
      <c r="D2089" s="48">
        <f>IF(B2089="","",IF(Q2089=1,'02_대상물건입력'!$B$8,IFERROR(INDEX('04A_국토부원자료'!$A:$T,ROW()+1,MATCH("단지명",'04A_국토부원자료'!$A$4:$T$4,0)),"")))</f>
        <v/>
      </c>
      <c r="E2089" s="172">
        <f>IFERROR(VALUE(SUBSTITUTE(INDEX('04A_국토부원자료'!$A:$T,ROW()+1,MATCH("전용면적(㎡)",'04A_국토부원자료'!$A$4:$T$4,0)),",","")),"")</f>
        <v/>
      </c>
      <c r="F20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89" s="51">
        <f>IFERROR(VALUE(SUBSTITUTE(INDEX('04A_국토부원자료'!$A:$T,ROW()+1,MATCH("거래금액(만원)",'04A_국토부원자료'!$A$4:$T$4,0)),",","")),"")</f>
        <v/>
      </c>
      <c r="H2089" s="174">
        <f>IF(G2089="","",G2089*10000)</f>
        <v/>
      </c>
      <c r="I2089" s="174">
        <f>IFERROR(IF(AND(H2089&gt;0,E2089&gt;0),H2089/E2089,""),"")</f>
        <v/>
      </c>
      <c r="J2089" s="152">
        <f>IFERROR(VALUE(SUBSTITUTE(INDEX('04A_국토부원자료'!$A:$T,ROW()+1,MATCH("층",'04A_국토부원자료'!$A$4:$T$4,0)),",","")),"")</f>
        <v/>
      </c>
      <c r="K2089" s="152">
        <f>IFERROR(VALUE(SUBSTITUTE(INDEX('04A_국토부원자료'!$A:$T,ROW()+1,MATCH("건축년도",'04A_국토부원자료'!$A$4:$T$4,0)),",","")),"")</f>
        <v/>
      </c>
      <c r="L2089" s="48">
        <f>IFERROR(INDEX('04A_국토부원자료'!$A:$T,ROW()+1,MATCH("도로명",'04A_국토부원자료'!$A$4:$T$4,0)),"")</f>
        <v/>
      </c>
      <c r="M2089" s="48">
        <f>IFERROR(INDEX('04A_국토부원자료'!$A:$T,ROW()+1,MATCH("거래유형",'04A_국토부원자료'!$A$4:$T$4,0)),"")</f>
        <v/>
      </c>
      <c r="N2089" s="152">
        <f>IF(B2089="","",IF('02_대상물건입력'!B5="",1,IF(ISNUMBER(SEARCH('02_대상물건입력'!B5,B2089)),1,0)))</f>
        <v/>
      </c>
      <c r="O2089" s="152">
        <f>IF(B2089="","",IF('02_대상물건입력'!B6="",1,IF(ISNUMBER(SEARCH('02_대상물건입력'!B6,B2089)),1,0)))</f>
        <v/>
      </c>
      <c r="P2089" s="152">
        <f>IF(L2089="","",IF('02_대상물건입력'!B15="",0,IF(ISNUMBER(SEARCH('02_대상물건입력'!B15,L2089)),1,0)))</f>
        <v/>
      </c>
      <c r="Q2089" s="152">
        <f>IF(OR(C2089="",L2089=""),0,IF(AND(TRIM(C2089)=TRIM(RIGHT(SUBSTITUTE(TRIM('02_대상물건입력'!$B$7)," ",REPT(" ",99)),99)),IF('02_대상물건입력'!B15="",TRUE(),ISNUMBER(SEARCH('02_대상물건입력'!B15,L2089)))),1,0))</f>
        <v/>
      </c>
      <c r="R2089" s="175">
        <f>IFERROR(ABS(E2089-'02_대상물건입력'!B11)/'02_대상물건입력'!B11,"")</f>
        <v/>
      </c>
      <c r="S2089" s="152">
        <f>IFERROR(ABS(J2089-'02_대상물건입력'!B10),"")</f>
        <v/>
      </c>
      <c r="T2089" s="152">
        <f>IFERROR(ABS('01_설정'!B4-F2089),"")</f>
        <v/>
      </c>
      <c r="U2089" s="152">
        <f>IFERROR(ABS(K2089-YEAR('02_대상물건입력'!B14)),"")</f>
        <v/>
      </c>
      <c r="V2089" s="152">
        <f>IF(B2089="","",IF(AND(E2089&gt;0,F2089&gt;0,H2089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2089=1,TRUE()),R2089&lt;='01_설정'!B5,S2089&lt;='01_설정'!B6,T2089&lt;='01_설정'!B7,U2089&lt;='01_설정'!B8),"Y",""))</f>
        <v/>
      </c>
      <c r="W2089" s="172">
        <f>IF(V2089&lt;&gt;"Y","",MAX(0,(1-R2089/'01_설정'!B5))*'01_설정'!B14+MAX(0,(1-S2089/'01_설정'!B6))*'01_설정'!B15+MAX(0,(1-T2089/'01_설정'!B7))*'01_설정'!B16+MAX(0,(1-U2089/'01_설정'!B8))*'01_설정'!B17+O2089*'01_설정'!B11+Q2089*'01_설정'!B12+P2089*'01_설정'!B13+IF(Z2089="",0,Z2089))</f>
        <v/>
      </c>
      <c r="X2089" s="152">
        <f>IF(W2089="","",1+COUNTIFS($W$4:$W$3003,"&gt;"&amp;W2089)+COUNTIFS($W$4:W2089,W2089)-1)</f>
        <v/>
      </c>
      <c r="Y2089" s="175">
        <f>IF(OR(I2089="",'02_대상물건입력'!B19="",'02_대상물건입력'!B19&lt;=0),"",ABS(I2089-'02_대상물건입력'!B19)/'02_대상물건입력'!B19)</f>
        <v/>
      </c>
      <c r="Z2089" s="172">
        <f>IF(OR(Y2089="",'01_설정'!B31="",'01_설정'!B31&lt;=0,'01_설정'!B32="",'01_설정'!B32&lt;=0),"",MAX(0,(1-Y2089/'01_설정'!B32))*'01_설정'!B31)</f>
        <v/>
      </c>
    </row>
    <row r="2090" ht="17.25" customHeight="1">
      <c r="A2090" s="152">
        <f>IF(INDEX('04A_국토부원자료'!$A:$A,ROW()+1)="","",ROW()-3)</f>
        <v/>
      </c>
      <c r="B2090" s="48">
        <f>IFERROR(INDEX('04A_국토부원자료'!$A:$T,ROW()+1,MATCH("시군구",'04A_국토부원자료'!$A$4:$T$4,0)),"")</f>
        <v/>
      </c>
      <c r="C2090" s="48">
        <f>IF(B2090="","",IFERROR(INDEX('04A_국토부원자료'!$A:$T,ROW()+1,MATCH("번지",'04A_국토부원자료'!$A$4:$T$4,0)),""))</f>
        <v/>
      </c>
      <c r="D2090" s="48">
        <f>IF(B2090="","",IF(Q2090=1,'02_대상물건입력'!$B$8,IFERROR(INDEX('04A_국토부원자료'!$A:$T,ROW()+1,MATCH("단지명",'04A_국토부원자료'!$A$4:$T$4,0)),"")))</f>
        <v/>
      </c>
      <c r="E2090" s="172">
        <f>IFERROR(VALUE(SUBSTITUTE(INDEX('04A_국토부원자료'!$A:$T,ROW()+1,MATCH("전용면적(㎡)",'04A_국토부원자료'!$A$4:$T$4,0)),",","")),"")</f>
        <v/>
      </c>
      <c r="F20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90" s="51">
        <f>IFERROR(VALUE(SUBSTITUTE(INDEX('04A_국토부원자료'!$A:$T,ROW()+1,MATCH("거래금액(만원)",'04A_국토부원자료'!$A$4:$T$4,0)),",","")),"")</f>
        <v/>
      </c>
      <c r="H2090" s="174">
        <f>IF(G2090="","",G2090*10000)</f>
        <v/>
      </c>
      <c r="I2090" s="174">
        <f>IFERROR(IF(AND(H2090&gt;0,E2090&gt;0),H2090/E2090,""),"")</f>
        <v/>
      </c>
      <c r="J2090" s="152">
        <f>IFERROR(VALUE(SUBSTITUTE(INDEX('04A_국토부원자료'!$A:$T,ROW()+1,MATCH("층",'04A_국토부원자료'!$A$4:$T$4,0)),",","")),"")</f>
        <v/>
      </c>
      <c r="K2090" s="152">
        <f>IFERROR(VALUE(SUBSTITUTE(INDEX('04A_국토부원자료'!$A:$T,ROW()+1,MATCH("건축년도",'04A_국토부원자료'!$A$4:$T$4,0)),",","")),"")</f>
        <v/>
      </c>
      <c r="L2090" s="48">
        <f>IFERROR(INDEX('04A_국토부원자료'!$A:$T,ROW()+1,MATCH("도로명",'04A_국토부원자료'!$A$4:$T$4,0)),"")</f>
        <v/>
      </c>
      <c r="M2090" s="48">
        <f>IFERROR(INDEX('04A_국토부원자료'!$A:$T,ROW()+1,MATCH("거래유형",'04A_국토부원자료'!$A$4:$T$4,0)),"")</f>
        <v/>
      </c>
      <c r="N2090" s="152">
        <f>IF(B2090="","",IF('02_대상물건입력'!B5="",1,IF(ISNUMBER(SEARCH('02_대상물건입력'!B5,B2090)),1,0)))</f>
        <v/>
      </c>
      <c r="O2090" s="152">
        <f>IF(B2090="","",IF('02_대상물건입력'!B6="",1,IF(ISNUMBER(SEARCH('02_대상물건입력'!B6,B2090)),1,0)))</f>
        <v/>
      </c>
      <c r="P2090" s="152">
        <f>IF(L2090="","",IF('02_대상물건입력'!B15="",0,IF(ISNUMBER(SEARCH('02_대상물건입력'!B15,L2090)),1,0)))</f>
        <v/>
      </c>
      <c r="Q2090" s="152">
        <f>IF(OR(C2090="",L2090=""),0,IF(AND(TRIM(C2090)=TRIM(RIGHT(SUBSTITUTE(TRIM('02_대상물건입력'!$B$7)," ",REPT(" ",99)),99)),IF('02_대상물건입력'!B15="",TRUE(),ISNUMBER(SEARCH('02_대상물건입력'!B15,L2090)))),1,0))</f>
        <v/>
      </c>
      <c r="R2090" s="175">
        <f>IFERROR(ABS(E2090-'02_대상물건입력'!B11)/'02_대상물건입력'!B11,"")</f>
        <v/>
      </c>
      <c r="S2090" s="152">
        <f>IFERROR(ABS(J2090-'02_대상물건입력'!B10),"")</f>
        <v/>
      </c>
      <c r="T2090" s="152">
        <f>IFERROR(ABS('01_설정'!B4-F2090),"")</f>
        <v/>
      </c>
      <c r="U2090" s="152">
        <f>IFERROR(ABS(K2090-YEAR('02_대상물건입력'!B14)),"")</f>
        <v/>
      </c>
      <c r="V2090" s="152">
        <f>IF(B2090="","",IF(AND(E2090&gt;0,F2090&gt;0,H2090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2090=1,TRUE()),R2090&lt;='01_설정'!B5,S2090&lt;='01_설정'!B6,T2090&lt;='01_설정'!B7,U2090&lt;='01_설정'!B8),"Y",""))</f>
        <v/>
      </c>
      <c r="W2090" s="172">
        <f>IF(V2090&lt;&gt;"Y","",MAX(0,(1-R2090/'01_설정'!B5))*'01_설정'!B14+MAX(0,(1-S2090/'01_설정'!B6))*'01_설정'!B15+MAX(0,(1-T2090/'01_설정'!B7))*'01_설정'!B16+MAX(0,(1-U2090/'01_설정'!B8))*'01_설정'!B17+O2090*'01_설정'!B11+Q2090*'01_설정'!B12+P2090*'01_설정'!B13+IF(Z2090="",0,Z2090))</f>
        <v/>
      </c>
      <c r="X2090" s="152">
        <f>IF(W2090="","",1+COUNTIFS($W$4:$W$3003,"&gt;"&amp;W2090)+COUNTIFS($W$4:W2090,W2090)-1)</f>
        <v/>
      </c>
      <c r="Y2090" s="175">
        <f>IF(OR(I2090="",'02_대상물건입력'!B19="",'02_대상물건입력'!B19&lt;=0),"",ABS(I2090-'02_대상물건입력'!B19)/'02_대상물건입력'!B19)</f>
        <v/>
      </c>
      <c r="Z2090" s="172">
        <f>IF(OR(Y2090="",'01_설정'!B31="",'01_설정'!B31&lt;=0,'01_설정'!B32="",'01_설정'!B32&lt;=0),"",MAX(0,(1-Y2090/'01_설정'!B32))*'01_설정'!B31)</f>
        <v/>
      </c>
    </row>
    <row r="2091" ht="17.25" customHeight="1">
      <c r="A2091" s="152">
        <f>IF(INDEX('04A_국토부원자료'!$A:$A,ROW()+1)="","",ROW()-3)</f>
        <v/>
      </c>
      <c r="B2091" s="48">
        <f>IFERROR(INDEX('04A_국토부원자료'!$A:$T,ROW()+1,MATCH("시군구",'04A_국토부원자료'!$A$4:$T$4,0)),"")</f>
        <v/>
      </c>
      <c r="C2091" s="48">
        <f>IF(B2091="","",IFERROR(INDEX('04A_국토부원자료'!$A:$T,ROW()+1,MATCH("번지",'04A_국토부원자료'!$A$4:$T$4,0)),""))</f>
        <v/>
      </c>
      <c r="D2091" s="48">
        <f>IF(B2091="","",IF(Q2091=1,'02_대상물건입력'!$B$8,IFERROR(INDEX('04A_국토부원자료'!$A:$T,ROW()+1,MATCH("단지명",'04A_국토부원자료'!$A$4:$T$4,0)),"")))</f>
        <v/>
      </c>
      <c r="E2091" s="172">
        <f>IFERROR(VALUE(SUBSTITUTE(INDEX('04A_국토부원자료'!$A:$T,ROW()+1,MATCH("전용면적(㎡)",'04A_국토부원자료'!$A$4:$T$4,0)),",","")),"")</f>
        <v/>
      </c>
      <c r="F20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91" s="51">
        <f>IFERROR(VALUE(SUBSTITUTE(INDEX('04A_국토부원자료'!$A:$T,ROW()+1,MATCH("거래금액(만원)",'04A_국토부원자료'!$A$4:$T$4,0)),",","")),"")</f>
        <v/>
      </c>
      <c r="H2091" s="174">
        <f>IF(G2091="","",G2091*10000)</f>
        <v/>
      </c>
      <c r="I2091" s="174">
        <f>IFERROR(IF(AND(H2091&gt;0,E2091&gt;0),H2091/E2091,""),"")</f>
        <v/>
      </c>
      <c r="J2091" s="152">
        <f>IFERROR(VALUE(SUBSTITUTE(INDEX('04A_국토부원자료'!$A:$T,ROW()+1,MATCH("층",'04A_국토부원자료'!$A$4:$T$4,0)),",","")),"")</f>
        <v/>
      </c>
      <c r="K2091" s="152">
        <f>IFERROR(VALUE(SUBSTITUTE(INDEX('04A_국토부원자료'!$A:$T,ROW()+1,MATCH("건축년도",'04A_국토부원자료'!$A$4:$T$4,0)),",","")),"")</f>
        <v/>
      </c>
      <c r="L2091" s="48">
        <f>IFERROR(INDEX('04A_국토부원자료'!$A:$T,ROW()+1,MATCH("도로명",'04A_국토부원자료'!$A$4:$T$4,0)),"")</f>
        <v/>
      </c>
      <c r="M2091" s="48">
        <f>IFERROR(INDEX('04A_국토부원자료'!$A:$T,ROW()+1,MATCH("거래유형",'04A_국토부원자료'!$A$4:$T$4,0)),"")</f>
        <v/>
      </c>
      <c r="N2091" s="152">
        <f>IF(B2091="","",IF('02_대상물건입력'!B5="",1,IF(ISNUMBER(SEARCH('02_대상물건입력'!B5,B2091)),1,0)))</f>
        <v/>
      </c>
      <c r="O2091" s="152">
        <f>IF(B2091="","",IF('02_대상물건입력'!B6="",1,IF(ISNUMBER(SEARCH('02_대상물건입력'!B6,B2091)),1,0)))</f>
        <v/>
      </c>
      <c r="P2091" s="152">
        <f>IF(L2091="","",IF('02_대상물건입력'!B15="",0,IF(ISNUMBER(SEARCH('02_대상물건입력'!B15,L2091)),1,0)))</f>
        <v/>
      </c>
      <c r="Q2091" s="152">
        <f>IF(OR(C2091="",L2091=""),0,IF(AND(TRIM(C2091)=TRIM(RIGHT(SUBSTITUTE(TRIM('02_대상물건입력'!$B$7)," ",REPT(" ",99)),99)),IF('02_대상물건입력'!B15="",TRUE(),ISNUMBER(SEARCH('02_대상물건입력'!B15,L2091)))),1,0))</f>
        <v/>
      </c>
      <c r="R2091" s="175">
        <f>IFERROR(ABS(E2091-'02_대상물건입력'!B11)/'02_대상물건입력'!B11,"")</f>
        <v/>
      </c>
      <c r="S2091" s="152">
        <f>IFERROR(ABS(J2091-'02_대상물건입력'!B10),"")</f>
        <v/>
      </c>
      <c r="T2091" s="152">
        <f>IFERROR(ABS('01_설정'!B4-F2091),"")</f>
        <v/>
      </c>
      <c r="U2091" s="152">
        <f>IFERROR(ABS(K2091-YEAR('02_대상물건입력'!B14)),"")</f>
        <v/>
      </c>
      <c r="V2091" s="152">
        <f>IF(B2091="","",IF(AND(E2091&gt;0,F2091&gt;0,H2091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2091=1,TRUE()),R2091&lt;='01_설정'!B5,S2091&lt;='01_설정'!B6,T2091&lt;='01_설정'!B7,U2091&lt;='01_설정'!B8),"Y",""))</f>
        <v/>
      </c>
      <c r="W2091" s="172">
        <f>IF(V2091&lt;&gt;"Y","",MAX(0,(1-R2091/'01_설정'!B5))*'01_설정'!B14+MAX(0,(1-S2091/'01_설정'!B6))*'01_설정'!B15+MAX(0,(1-T2091/'01_설정'!B7))*'01_설정'!B16+MAX(0,(1-U2091/'01_설정'!B8))*'01_설정'!B17+O2091*'01_설정'!B11+Q2091*'01_설정'!B12+P2091*'01_설정'!B13+IF(Z2091="",0,Z2091))</f>
        <v/>
      </c>
      <c r="X2091" s="152">
        <f>IF(W2091="","",1+COUNTIFS($W$4:$W$3003,"&gt;"&amp;W2091)+COUNTIFS($W$4:W2091,W2091)-1)</f>
        <v/>
      </c>
      <c r="Y2091" s="175">
        <f>IF(OR(I2091="",'02_대상물건입력'!B19="",'02_대상물건입력'!B19&lt;=0),"",ABS(I2091-'02_대상물건입력'!B19)/'02_대상물건입력'!B19)</f>
        <v/>
      </c>
      <c r="Z2091" s="172">
        <f>IF(OR(Y2091="",'01_설정'!B31="",'01_설정'!B31&lt;=0,'01_설정'!B32="",'01_설정'!B32&lt;=0),"",MAX(0,(1-Y2091/'01_설정'!B32))*'01_설정'!B31)</f>
        <v/>
      </c>
    </row>
    <row r="2092" ht="17.25" customHeight="1">
      <c r="A2092" s="152">
        <f>IF(INDEX('04A_국토부원자료'!$A:$A,ROW()+1)="","",ROW()-3)</f>
        <v/>
      </c>
      <c r="B2092" s="48">
        <f>IFERROR(INDEX('04A_국토부원자료'!$A:$T,ROW()+1,MATCH("시군구",'04A_국토부원자료'!$A$4:$T$4,0)),"")</f>
        <v/>
      </c>
      <c r="C2092" s="48">
        <f>IF(B2092="","",IFERROR(INDEX('04A_국토부원자료'!$A:$T,ROW()+1,MATCH("번지",'04A_국토부원자료'!$A$4:$T$4,0)),""))</f>
        <v/>
      </c>
      <c r="D2092" s="48">
        <f>IF(B2092="","",IF(Q2092=1,'02_대상물건입력'!$B$8,IFERROR(INDEX('04A_국토부원자료'!$A:$T,ROW()+1,MATCH("단지명",'04A_국토부원자료'!$A$4:$T$4,0)),"")))</f>
        <v/>
      </c>
      <c r="E2092" s="172">
        <f>IFERROR(VALUE(SUBSTITUTE(INDEX('04A_국토부원자료'!$A:$T,ROW()+1,MATCH("전용면적(㎡)",'04A_국토부원자료'!$A$4:$T$4,0)),",","")),"")</f>
        <v/>
      </c>
      <c r="F20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92" s="51">
        <f>IFERROR(VALUE(SUBSTITUTE(INDEX('04A_국토부원자료'!$A:$T,ROW()+1,MATCH("거래금액(만원)",'04A_국토부원자료'!$A$4:$T$4,0)),",","")),"")</f>
        <v/>
      </c>
      <c r="H2092" s="174">
        <f>IF(G2092="","",G2092*10000)</f>
        <v/>
      </c>
      <c r="I2092" s="174">
        <f>IFERROR(IF(AND(H2092&gt;0,E2092&gt;0),H2092/E2092,""),"")</f>
        <v/>
      </c>
      <c r="J2092" s="152">
        <f>IFERROR(VALUE(SUBSTITUTE(INDEX('04A_국토부원자료'!$A:$T,ROW()+1,MATCH("층",'04A_국토부원자료'!$A$4:$T$4,0)),",","")),"")</f>
        <v/>
      </c>
      <c r="K2092" s="152">
        <f>IFERROR(VALUE(SUBSTITUTE(INDEX('04A_국토부원자료'!$A:$T,ROW()+1,MATCH("건축년도",'04A_국토부원자료'!$A$4:$T$4,0)),",","")),"")</f>
        <v/>
      </c>
      <c r="L2092" s="48">
        <f>IFERROR(INDEX('04A_국토부원자료'!$A:$T,ROW()+1,MATCH("도로명",'04A_국토부원자료'!$A$4:$T$4,0)),"")</f>
        <v/>
      </c>
      <c r="M2092" s="48">
        <f>IFERROR(INDEX('04A_국토부원자료'!$A:$T,ROW()+1,MATCH("거래유형",'04A_국토부원자료'!$A$4:$T$4,0)),"")</f>
        <v/>
      </c>
      <c r="N2092" s="152">
        <f>IF(B2092="","",IF('02_대상물건입력'!B5="",1,IF(ISNUMBER(SEARCH('02_대상물건입력'!B5,B2092)),1,0)))</f>
        <v/>
      </c>
      <c r="O2092" s="152">
        <f>IF(B2092="","",IF('02_대상물건입력'!B6="",1,IF(ISNUMBER(SEARCH('02_대상물건입력'!B6,B2092)),1,0)))</f>
        <v/>
      </c>
      <c r="P2092" s="152">
        <f>IF(L2092="","",IF('02_대상물건입력'!B15="",0,IF(ISNUMBER(SEARCH('02_대상물건입력'!B15,L2092)),1,0)))</f>
        <v/>
      </c>
      <c r="Q2092" s="152">
        <f>IF(OR(C2092="",L2092=""),0,IF(AND(TRIM(C2092)=TRIM(RIGHT(SUBSTITUTE(TRIM('02_대상물건입력'!$B$7)," ",REPT(" ",99)),99)),IF('02_대상물건입력'!B15="",TRUE(),ISNUMBER(SEARCH('02_대상물건입력'!B15,L2092)))),1,0))</f>
        <v/>
      </c>
      <c r="R2092" s="175">
        <f>IFERROR(ABS(E2092-'02_대상물건입력'!B11)/'02_대상물건입력'!B11,"")</f>
        <v/>
      </c>
      <c r="S2092" s="152">
        <f>IFERROR(ABS(J2092-'02_대상물건입력'!B10),"")</f>
        <v/>
      </c>
      <c r="T2092" s="152">
        <f>IFERROR(ABS('01_설정'!B4-F2092),"")</f>
        <v/>
      </c>
      <c r="U2092" s="152">
        <f>IFERROR(ABS(K2092-YEAR('02_대상물건입력'!B14)),"")</f>
        <v/>
      </c>
      <c r="V2092" s="152">
        <f>IF(B2092="","",IF(AND(E2092&gt;0,F2092&gt;0,H2092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2092=1,TRUE()),R2092&lt;='01_설정'!B5,S2092&lt;='01_설정'!B6,T2092&lt;='01_설정'!B7,U2092&lt;='01_설정'!B8),"Y",""))</f>
        <v/>
      </c>
      <c r="W2092" s="172">
        <f>IF(V2092&lt;&gt;"Y","",MAX(0,(1-R2092/'01_설정'!B5))*'01_설정'!B14+MAX(0,(1-S2092/'01_설정'!B6))*'01_설정'!B15+MAX(0,(1-T2092/'01_설정'!B7))*'01_설정'!B16+MAX(0,(1-U2092/'01_설정'!B8))*'01_설정'!B17+O2092*'01_설정'!B11+Q2092*'01_설정'!B12+P2092*'01_설정'!B13+IF(Z2092="",0,Z2092))</f>
        <v/>
      </c>
      <c r="X2092" s="152">
        <f>IF(W2092="","",1+COUNTIFS($W$4:$W$3003,"&gt;"&amp;W2092)+COUNTIFS($W$4:W2092,W2092)-1)</f>
        <v/>
      </c>
      <c r="Y2092" s="175">
        <f>IF(OR(I2092="",'02_대상물건입력'!B19="",'02_대상물건입력'!B19&lt;=0),"",ABS(I2092-'02_대상물건입력'!B19)/'02_대상물건입력'!B19)</f>
        <v/>
      </c>
      <c r="Z2092" s="172">
        <f>IF(OR(Y2092="",'01_설정'!B31="",'01_설정'!B31&lt;=0,'01_설정'!B32="",'01_설정'!B32&lt;=0),"",MAX(0,(1-Y2092/'01_설정'!B32))*'01_설정'!B31)</f>
        <v/>
      </c>
    </row>
    <row r="2093" ht="17.25" customHeight="1">
      <c r="A2093" s="152">
        <f>IF(INDEX('04A_국토부원자료'!$A:$A,ROW()+1)="","",ROW()-3)</f>
        <v/>
      </c>
      <c r="B2093" s="48">
        <f>IFERROR(INDEX('04A_국토부원자료'!$A:$T,ROW()+1,MATCH("시군구",'04A_국토부원자료'!$A$4:$T$4,0)),"")</f>
        <v/>
      </c>
      <c r="C2093" s="48">
        <f>IF(B2093="","",IFERROR(INDEX('04A_국토부원자료'!$A:$T,ROW()+1,MATCH("번지",'04A_국토부원자료'!$A$4:$T$4,0)),""))</f>
        <v/>
      </c>
      <c r="D2093" s="48">
        <f>IF(B2093="","",IF(Q2093=1,'02_대상물건입력'!$B$8,IFERROR(INDEX('04A_국토부원자료'!$A:$T,ROW()+1,MATCH("단지명",'04A_국토부원자료'!$A$4:$T$4,0)),"")))</f>
        <v/>
      </c>
      <c r="E2093" s="172">
        <f>IFERROR(VALUE(SUBSTITUTE(INDEX('04A_국토부원자료'!$A:$T,ROW()+1,MATCH("전용면적(㎡)",'04A_국토부원자료'!$A$4:$T$4,0)),",","")),"")</f>
        <v/>
      </c>
      <c r="F20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93" s="51">
        <f>IFERROR(VALUE(SUBSTITUTE(INDEX('04A_국토부원자료'!$A:$T,ROW()+1,MATCH("거래금액(만원)",'04A_국토부원자료'!$A$4:$T$4,0)),",","")),"")</f>
        <v/>
      </c>
      <c r="H2093" s="174">
        <f>IF(G2093="","",G2093*10000)</f>
        <v/>
      </c>
      <c r="I2093" s="174">
        <f>IFERROR(IF(AND(H2093&gt;0,E2093&gt;0),H2093/E2093,""),"")</f>
        <v/>
      </c>
      <c r="J2093" s="152">
        <f>IFERROR(VALUE(SUBSTITUTE(INDEX('04A_국토부원자료'!$A:$T,ROW()+1,MATCH("층",'04A_국토부원자료'!$A$4:$T$4,0)),",","")),"")</f>
        <v/>
      </c>
      <c r="K2093" s="152">
        <f>IFERROR(VALUE(SUBSTITUTE(INDEX('04A_국토부원자료'!$A:$T,ROW()+1,MATCH("건축년도",'04A_국토부원자료'!$A$4:$T$4,0)),",","")),"")</f>
        <v/>
      </c>
      <c r="L2093" s="48">
        <f>IFERROR(INDEX('04A_국토부원자료'!$A:$T,ROW()+1,MATCH("도로명",'04A_국토부원자료'!$A$4:$T$4,0)),"")</f>
        <v/>
      </c>
      <c r="M2093" s="48">
        <f>IFERROR(INDEX('04A_국토부원자료'!$A:$T,ROW()+1,MATCH("거래유형",'04A_국토부원자료'!$A$4:$T$4,0)),"")</f>
        <v/>
      </c>
      <c r="N2093" s="152">
        <f>IF(B2093="","",IF('02_대상물건입력'!B5="",1,IF(ISNUMBER(SEARCH('02_대상물건입력'!B5,B2093)),1,0)))</f>
        <v/>
      </c>
      <c r="O2093" s="152">
        <f>IF(B2093="","",IF('02_대상물건입력'!B6="",1,IF(ISNUMBER(SEARCH('02_대상물건입력'!B6,B2093)),1,0)))</f>
        <v/>
      </c>
      <c r="P2093" s="152">
        <f>IF(L2093="","",IF('02_대상물건입력'!B15="",0,IF(ISNUMBER(SEARCH('02_대상물건입력'!B15,L2093)),1,0)))</f>
        <v/>
      </c>
      <c r="Q2093" s="152">
        <f>IF(OR(C2093="",L2093=""),0,IF(AND(TRIM(C2093)=TRIM(RIGHT(SUBSTITUTE(TRIM('02_대상물건입력'!$B$7)," ",REPT(" ",99)),99)),IF('02_대상물건입력'!B15="",TRUE(),ISNUMBER(SEARCH('02_대상물건입력'!B15,L2093)))),1,0))</f>
        <v/>
      </c>
      <c r="R2093" s="175">
        <f>IFERROR(ABS(E2093-'02_대상물건입력'!B11)/'02_대상물건입력'!B11,"")</f>
        <v/>
      </c>
      <c r="S2093" s="152">
        <f>IFERROR(ABS(J2093-'02_대상물건입력'!B10),"")</f>
        <v/>
      </c>
      <c r="T2093" s="152">
        <f>IFERROR(ABS('01_설정'!B4-F2093),"")</f>
        <v/>
      </c>
      <c r="U2093" s="152">
        <f>IFERROR(ABS(K2093-YEAR('02_대상물건입력'!B14)),"")</f>
        <v/>
      </c>
      <c r="V2093" s="152">
        <f>IF(B2093="","",IF(AND(E2093&gt;0,F2093&gt;0,H2093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2093=1,TRUE()),R2093&lt;='01_설정'!B5,S2093&lt;='01_설정'!B6,T2093&lt;='01_설정'!B7,U2093&lt;='01_설정'!B8),"Y",""))</f>
        <v/>
      </c>
      <c r="W2093" s="172">
        <f>IF(V2093&lt;&gt;"Y","",MAX(0,(1-R2093/'01_설정'!B5))*'01_설정'!B14+MAX(0,(1-S2093/'01_설정'!B6))*'01_설정'!B15+MAX(0,(1-T2093/'01_설정'!B7))*'01_설정'!B16+MAX(0,(1-U2093/'01_설정'!B8))*'01_설정'!B17+O2093*'01_설정'!B11+Q2093*'01_설정'!B12+P2093*'01_설정'!B13+IF(Z2093="",0,Z2093))</f>
        <v/>
      </c>
      <c r="X2093" s="152">
        <f>IF(W2093="","",1+COUNTIFS($W$4:$W$3003,"&gt;"&amp;W2093)+COUNTIFS($W$4:W2093,W2093)-1)</f>
        <v/>
      </c>
      <c r="Y2093" s="175">
        <f>IF(OR(I2093="",'02_대상물건입력'!B19="",'02_대상물건입력'!B19&lt;=0),"",ABS(I2093-'02_대상물건입력'!B19)/'02_대상물건입력'!B19)</f>
        <v/>
      </c>
      <c r="Z2093" s="172">
        <f>IF(OR(Y2093="",'01_설정'!B31="",'01_설정'!B31&lt;=0,'01_설정'!B32="",'01_설정'!B32&lt;=0),"",MAX(0,(1-Y2093/'01_설정'!B32))*'01_설정'!B31)</f>
        <v/>
      </c>
    </row>
    <row r="2094" ht="17.25" customHeight="1">
      <c r="A2094" s="152">
        <f>IF(INDEX('04A_국토부원자료'!$A:$A,ROW()+1)="","",ROW()-3)</f>
        <v/>
      </c>
      <c r="B2094" s="48">
        <f>IFERROR(INDEX('04A_국토부원자료'!$A:$T,ROW()+1,MATCH("시군구",'04A_국토부원자료'!$A$4:$T$4,0)),"")</f>
        <v/>
      </c>
      <c r="C2094" s="48">
        <f>IF(B2094="","",IFERROR(INDEX('04A_국토부원자료'!$A:$T,ROW()+1,MATCH("번지",'04A_국토부원자료'!$A$4:$T$4,0)),""))</f>
        <v/>
      </c>
      <c r="D2094" s="48">
        <f>IF(B2094="","",IF(Q2094=1,'02_대상물건입력'!$B$8,IFERROR(INDEX('04A_국토부원자료'!$A:$T,ROW()+1,MATCH("단지명",'04A_국토부원자료'!$A$4:$T$4,0)),"")))</f>
        <v/>
      </c>
      <c r="E2094" s="172">
        <f>IFERROR(VALUE(SUBSTITUTE(INDEX('04A_국토부원자료'!$A:$T,ROW()+1,MATCH("전용면적(㎡)",'04A_국토부원자료'!$A$4:$T$4,0)),",","")),"")</f>
        <v/>
      </c>
      <c r="F20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94" s="51">
        <f>IFERROR(VALUE(SUBSTITUTE(INDEX('04A_국토부원자료'!$A:$T,ROW()+1,MATCH("거래금액(만원)",'04A_국토부원자료'!$A$4:$T$4,0)),",","")),"")</f>
        <v/>
      </c>
      <c r="H2094" s="174">
        <f>IF(G2094="","",G2094*10000)</f>
        <v/>
      </c>
      <c r="I2094" s="174">
        <f>IFERROR(IF(AND(H2094&gt;0,E2094&gt;0),H2094/E2094,""),"")</f>
        <v/>
      </c>
      <c r="J2094" s="152">
        <f>IFERROR(VALUE(SUBSTITUTE(INDEX('04A_국토부원자료'!$A:$T,ROW()+1,MATCH("층",'04A_국토부원자료'!$A$4:$T$4,0)),",","")),"")</f>
        <v/>
      </c>
      <c r="K2094" s="152">
        <f>IFERROR(VALUE(SUBSTITUTE(INDEX('04A_국토부원자료'!$A:$T,ROW()+1,MATCH("건축년도",'04A_국토부원자료'!$A$4:$T$4,0)),",","")),"")</f>
        <v/>
      </c>
      <c r="L2094" s="48">
        <f>IFERROR(INDEX('04A_국토부원자료'!$A:$T,ROW()+1,MATCH("도로명",'04A_국토부원자료'!$A$4:$T$4,0)),"")</f>
        <v/>
      </c>
      <c r="M2094" s="48">
        <f>IFERROR(INDEX('04A_국토부원자료'!$A:$T,ROW()+1,MATCH("거래유형",'04A_국토부원자료'!$A$4:$T$4,0)),"")</f>
        <v/>
      </c>
      <c r="N2094" s="152">
        <f>IF(B2094="","",IF('02_대상물건입력'!B5="",1,IF(ISNUMBER(SEARCH('02_대상물건입력'!B5,B2094)),1,0)))</f>
        <v/>
      </c>
      <c r="O2094" s="152">
        <f>IF(B2094="","",IF('02_대상물건입력'!B6="",1,IF(ISNUMBER(SEARCH('02_대상물건입력'!B6,B2094)),1,0)))</f>
        <v/>
      </c>
      <c r="P2094" s="152">
        <f>IF(L2094="","",IF('02_대상물건입력'!B15="",0,IF(ISNUMBER(SEARCH('02_대상물건입력'!B15,L2094)),1,0)))</f>
        <v/>
      </c>
      <c r="Q2094" s="152">
        <f>IF(OR(C2094="",L2094=""),0,IF(AND(TRIM(C2094)=TRIM(RIGHT(SUBSTITUTE(TRIM('02_대상물건입력'!$B$7)," ",REPT(" ",99)),99)),IF('02_대상물건입력'!B15="",TRUE(),ISNUMBER(SEARCH('02_대상물건입력'!B15,L2094)))),1,0))</f>
        <v/>
      </c>
      <c r="R2094" s="175">
        <f>IFERROR(ABS(E2094-'02_대상물건입력'!B11)/'02_대상물건입력'!B11,"")</f>
        <v/>
      </c>
      <c r="S2094" s="152">
        <f>IFERROR(ABS(J2094-'02_대상물건입력'!B10),"")</f>
        <v/>
      </c>
      <c r="T2094" s="152">
        <f>IFERROR(ABS('01_설정'!B4-F2094),"")</f>
        <v/>
      </c>
      <c r="U2094" s="152">
        <f>IFERROR(ABS(K2094-YEAR('02_대상물건입력'!B14)),"")</f>
        <v/>
      </c>
      <c r="V2094" s="152">
        <f>IF(B2094="","",IF(AND(E2094&gt;0,F2094&gt;0,H2094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2094=1,TRUE()),R2094&lt;='01_설정'!B5,S2094&lt;='01_설정'!B6,T2094&lt;='01_설정'!B7,U2094&lt;='01_설정'!B8),"Y",""))</f>
        <v/>
      </c>
      <c r="W2094" s="172">
        <f>IF(V2094&lt;&gt;"Y","",MAX(0,(1-R2094/'01_설정'!B5))*'01_설정'!B14+MAX(0,(1-S2094/'01_설정'!B6))*'01_설정'!B15+MAX(0,(1-T2094/'01_설정'!B7))*'01_설정'!B16+MAX(0,(1-U2094/'01_설정'!B8))*'01_설정'!B17+O2094*'01_설정'!B11+Q2094*'01_설정'!B12+P2094*'01_설정'!B13+IF(Z2094="",0,Z2094))</f>
        <v/>
      </c>
      <c r="X2094" s="152">
        <f>IF(W2094="","",1+COUNTIFS($W$4:$W$3003,"&gt;"&amp;W2094)+COUNTIFS($W$4:W2094,W2094)-1)</f>
        <v/>
      </c>
      <c r="Y2094" s="175">
        <f>IF(OR(I2094="",'02_대상물건입력'!B19="",'02_대상물건입력'!B19&lt;=0),"",ABS(I2094-'02_대상물건입력'!B19)/'02_대상물건입력'!B19)</f>
        <v/>
      </c>
      <c r="Z2094" s="172">
        <f>IF(OR(Y2094="",'01_설정'!B31="",'01_설정'!B31&lt;=0,'01_설정'!B32="",'01_설정'!B32&lt;=0),"",MAX(0,(1-Y2094/'01_설정'!B32))*'01_설정'!B31)</f>
        <v/>
      </c>
    </row>
    <row r="2095" ht="17.25" customHeight="1">
      <c r="A2095" s="152">
        <f>IF(INDEX('04A_국토부원자료'!$A:$A,ROW()+1)="","",ROW()-3)</f>
        <v/>
      </c>
      <c r="B2095" s="48">
        <f>IFERROR(INDEX('04A_국토부원자료'!$A:$T,ROW()+1,MATCH("시군구",'04A_국토부원자료'!$A$4:$T$4,0)),"")</f>
        <v/>
      </c>
      <c r="C2095" s="48">
        <f>IF(B2095="","",IFERROR(INDEX('04A_국토부원자료'!$A:$T,ROW()+1,MATCH("번지",'04A_국토부원자료'!$A$4:$T$4,0)),""))</f>
        <v/>
      </c>
      <c r="D2095" s="48">
        <f>IF(B2095="","",IF(Q2095=1,'02_대상물건입력'!$B$8,IFERROR(INDEX('04A_국토부원자료'!$A:$T,ROW()+1,MATCH("단지명",'04A_국토부원자료'!$A$4:$T$4,0)),"")))</f>
        <v/>
      </c>
      <c r="E2095" s="172">
        <f>IFERROR(VALUE(SUBSTITUTE(INDEX('04A_국토부원자료'!$A:$T,ROW()+1,MATCH("전용면적(㎡)",'04A_국토부원자료'!$A$4:$T$4,0)),",","")),"")</f>
        <v/>
      </c>
      <c r="F20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95" s="51">
        <f>IFERROR(VALUE(SUBSTITUTE(INDEX('04A_국토부원자료'!$A:$T,ROW()+1,MATCH("거래금액(만원)",'04A_국토부원자료'!$A$4:$T$4,0)),",","")),"")</f>
        <v/>
      </c>
      <c r="H2095" s="174">
        <f>IF(G2095="","",G2095*10000)</f>
        <v/>
      </c>
      <c r="I2095" s="174">
        <f>IFERROR(IF(AND(H2095&gt;0,E2095&gt;0),H2095/E2095,""),"")</f>
        <v/>
      </c>
      <c r="J2095" s="152">
        <f>IFERROR(VALUE(SUBSTITUTE(INDEX('04A_국토부원자료'!$A:$T,ROW()+1,MATCH("층",'04A_국토부원자료'!$A$4:$T$4,0)),",","")),"")</f>
        <v/>
      </c>
      <c r="K2095" s="152">
        <f>IFERROR(VALUE(SUBSTITUTE(INDEX('04A_국토부원자료'!$A:$T,ROW()+1,MATCH("건축년도",'04A_국토부원자료'!$A$4:$T$4,0)),",","")),"")</f>
        <v/>
      </c>
      <c r="L2095" s="48">
        <f>IFERROR(INDEX('04A_국토부원자료'!$A:$T,ROW()+1,MATCH("도로명",'04A_국토부원자료'!$A$4:$T$4,0)),"")</f>
        <v/>
      </c>
      <c r="M2095" s="48">
        <f>IFERROR(INDEX('04A_국토부원자료'!$A:$T,ROW()+1,MATCH("거래유형",'04A_국토부원자료'!$A$4:$T$4,0)),"")</f>
        <v/>
      </c>
      <c r="N2095" s="152">
        <f>IF(B2095="","",IF('02_대상물건입력'!B5="",1,IF(ISNUMBER(SEARCH('02_대상물건입력'!B5,B2095)),1,0)))</f>
        <v/>
      </c>
      <c r="O2095" s="152">
        <f>IF(B2095="","",IF('02_대상물건입력'!B6="",1,IF(ISNUMBER(SEARCH('02_대상물건입력'!B6,B2095)),1,0)))</f>
        <v/>
      </c>
      <c r="P2095" s="152">
        <f>IF(L2095="","",IF('02_대상물건입력'!B15="",0,IF(ISNUMBER(SEARCH('02_대상물건입력'!B15,L2095)),1,0)))</f>
        <v/>
      </c>
      <c r="Q2095" s="152">
        <f>IF(OR(C2095="",L2095=""),0,IF(AND(TRIM(C2095)=TRIM(RIGHT(SUBSTITUTE(TRIM('02_대상물건입력'!$B$7)," ",REPT(" ",99)),99)),IF('02_대상물건입력'!B15="",TRUE(),ISNUMBER(SEARCH('02_대상물건입력'!B15,L2095)))),1,0))</f>
        <v/>
      </c>
      <c r="R2095" s="175">
        <f>IFERROR(ABS(E2095-'02_대상물건입력'!B11)/'02_대상물건입력'!B11,"")</f>
        <v/>
      </c>
      <c r="S2095" s="152">
        <f>IFERROR(ABS(J2095-'02_대상물건입력'!B10),"")</f>
        <v/>
      </c>
      <c r="T2095" s="152">
        <f>IFERROR(ABS('01_설정'!B4-F2095),"")</f>
        <v/>
      </c>
      <c r="U2095" s="152">
        <f>IFERROR(ABS(K2095-YEAR('02_대상물건입력'!B14)),"")</f>
        <v/>
      </c>
      <c r="V2095" s="152">
        <f>IF(B2095="","",IF(AND(E2095&gt;0,F2095&gt;0,H2095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2095=1,TRUE()),R2095&lt;='01_설정'!B5,S2095&lt;='01_설정'!B6,T2095&lt;='01_설정'!B7,U2095&lt;='01_설정'!B8),"Y",""))</f>
        <v/>
      </c>
      <c r="W2095" s="172">
        <f>IF(V2095&lt;&gt;"Y","",MAX(0,(1-R2095/'01_설정'!B5))*'01_설정'!B14+MAX(0,(1-S2095/'01_설정'!B6))*'01_설정'!B15+MAX(0,(1-T2095/'01_설정'!B7))*'01_설정'!B16+MAX(0,(1-U2095/'01_설정'!B8))*'01_설정'!B17+O2095*'01_설정'!B11+Q2095*'01_설정'!B12+P2095*'01_설정'!B13+IF(Z2095="",0,Z2095))</f>
        <v/>
      </c>
      <c r="X2095" s="152">
        <f>IF(W2095="","",1+COUNTIFS($W$4:$W$3003,"&gt;"&amp;W2095)+COUNTIFS($W$4:W2095,W2095)-1)</f>
        <v/>
      </c>
      <c r="Y2095" s="175">
        <f>IF(OR(I2095="",'02_대상물건입력'!B19="",'02_대상물건입력'!B19&lt;=0),"",ABS(I2095-'02_대상물건입력'!B19)/'02_대상물건입력'!B19)</f>
        <v/>
      </c>
      <c r="Z2095" s="172">
        <f>IF(OR(Y2095="",'01_설정'!B31="",'01_설정'!B31&lt;=0,'01_설정'!B32="",'01_설정'!B32&lt;=0),"",MAX(0,(1-Y2095/'01_설정'!B32))*'01_설정'!B31)</f>
        <v/>
      </c>
    </row>
    <row r="2096" ht="17.25" customHeight="1">
      <c r="A2096" s="152">
        <f>IF(INDEX('04A_국토부원자료'!$A:$A,ROW()+1)="","",ROW()-3)</f>
        <v/>
      </c>
      <c r="B2096" s="48">
        <f>IFERROR(INDEX('04A_국토부원자료'!$A:$T,ROW()+1,MATCH("시군구",'04A_국토부원자료'!$A$4:$T$4,0)),"")</f>
        <v/>
      </c>
      <c r="C2096" s="48">
        <f>IF(B2096="","",IFERROR(INDEX('04A_국토부원자료'!$A:$T,ROW()+1,MATCH("번지",'04A_국토부원자료'!$A$4:$T$4,0)),""))</f>
        <v/>
      </c>
      <c r="D2096" s="48">
        <f>IF(B2096="","",IF(Q2096=1,'02_대상물건입력'!$B$8,IFERROR(INDEX('04A_국토부원자료'!$A:$T,ROW()+1,MATCH("단지명",'04A_국토부원자료'!$A$4:$T$4,0)),"")))</f>
        <v/>
      </c>
      <c r="E2096" s="172">
        <f>IFERROR(VALUE(SUBSTITUTE(INDEX('04A_국토부원자료'!$A:$T,ROW()+1,MATCH("전용면적(㎡)",'04A_국토부원자료'!$A$4:$T$4,0)),",","")),"")</f>
        <v/>
      </c>
      <c r="F20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96" s="51">
        <f>IFERROR(VALUE(SUBSTITUTE(INDEX('04A_국토부원자료'!$A:$T,ROW()+1,MATCH("거래금액(만원)",'04A_국토부원자료'!$A$4:$T$4,0)),",","")),"")</f>
        <v/>
      </c>
      <c r="H2096" s="174">
        <f>IF(G2096="","",G2096*10000)</f>
        <v/>
      </c>
      <c r="I2096" s="174">
        <f>IFERROR(IF(AND(H2096&gt;0,E2096&gt;0),H2096/E2096,""),"")</f>
        <v/>
      </c>
      <c r="J2096" s="152">
        <f>IFERROR(VALUE(SUBSTITUTE(INDEX('04A_국토부원자료'!$A:$T,ROW()+1,MATCH("층",'04A_국토부원자료'!$A$4:$T$4,0)),",","")),"")</f>
        <v/>
      </c>
      <c r="K2096" s="152">
        <f>IFERROR(VALUE(SUBSTITUTE(INDEX('04A_국토부원자료'!$A:$T,ROW()+1,MATCH("건축년도",'04A_국토부원자료'!$A$4:$T$4,0)),",","")),"")</f>
        <v/>
      </c>
      <c r="L2096" s="48">
        <f>IFERROR(INDEX('04A_국토부원자료'!$A:$T,ROW()+1,MATCH("도로명",'04A_국토부원자료'!$A$4:$T$4,0)),"")</f>
        <v/>
      </c>
      <c r="M2096" s="48">
        <f>IFERROR(INDEX('04A_국토부원자료'!$A:$T,ROW()+1,MATCH("거래유형",'04A_국토부원자료'!$A$4:$T$4,0)),"")</f>
        <v/>
      </c>
      <c r="N2096" s="152">
        <f>IF(B2096="","",IF('02_대상물건입력'!B5="",1,IF(ISNUMBER(SEARCH('02_대상물건입력'!B5,B2096)),1,0)))</f>
        <v/>
      </c>
      <c r="O2096" s="152">
        <f>IF(B2096="","",IF('02_대상물건입력'!B6="",1,IF(ISNUMBER(SEARCH('02_대상물건입력'!B6,B2096)),1,0)))</f>
        <v/>
      </c>
      <c r="P2096" s="152">
        <f>IF(L2096="","",IF('02_대상물건입력'!B15="",0,IF(ISNUMBER(SEARCH('02_대상물건입력'!B15,L2096)),1,0)))</f>
        <v/>
      </c>
      <c r="Q2096" s="152">
        <f>IF(OR(C2096="",L2096=""),0,IF(AND(TRIM(C2096)=TRIM(RIGHT(SUBSTITUTE(TRIM('02_대상물건입력'!$B$7)," ",REPT(" ",99)),99)),IF('02_대상물건입력'!B15="",TRUE(),ISNUMBER(SEARCH('02_대상물건입력'!B15,L2096)))),1,0))</f>
        <v/>
      </c>
      <c r="R2096" s="175">
        <f>IFERROR(ABS(E2096-'02_대상물건입력'!B11)/'02_대상물건입력'!B11,"")</f>
        <v/>
      </c>
      <c r="S2096" s="152">
        <f>IFERROR(ABS(J2096-'02_대상물건입력'!B10),"")</f>
        <v/>
      </c>
      <c r="T2096" s="152">
        <f>IFERROR(ABS('01_설정'!B4-F2096),"")</f>
        <v/>
      </c>
      <c r="U2096" s="152">
        <f>IFERROR(ABS(K2096-YEAR('02_대상물건입력'!B14)),"")</f>
        <v/>
      </c>
      <c r="V2096" s="152">
        <f>IF(B2096="","",IF(AND(E2096&gt;0,F2096&gt;0,H2096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2096=1,TRUE()),R2096&lt;='01_설정'!B5,S2096&lt;='01_설정'!B6,T2096&lt;='01_설정'!B7,U2096&lt;='01_설정'!B8),"Y",""))</f>
        <v/>
      </c>
      <c r="W2096" s="172">
        <f>IF(V2096&lt;&gt;"Y","",MAX(0,(1-R2096/'01_설정'!B5))*'01_설정'!B14+MAX(0,(1-S2096/'01_설정'!B6))*'01_설정'!B15+MAX(0,(1-T2096/'01_설정'!B7))*'01_설정'!B16+MAX(0,(1-U2096/'01_설정'!B8))*'01_설정'!B17+O2096*'01_설정'!B11+Q2096*'01_설정'!B12+P2096*'01_설정'!B13+IF(Z2096="",0,Z2096))</f>
        <v/>
      </c>
      <c r="X2096" s="152">
        <f>IF(W2096="","",1+COUNTIFS($W$4:$W$3003,"&gt;"&amp;W2096)+COUNTIFS($W$4:W2096,W2096)-1)</f>
        <v/>
      </c>
      <c r="Y2096" s="175">
        <f>IF(OR(I2096="",'02_대상물건입력'!B19="",'02_대상물건입력'!B19&lt;=0),"",ABS(I2096-'02_대상물건입력'!B19)/'02_대상물건입력'!B19)</f>
        <v/>
      </c>
      <c r="Z2096" s="172">
        <f>IF(OR(Y2096="",'01_설정'!B31="",'01_설정'!B31&lt;=0,'01_설정'!B32="",'01_설정'!B32&lt;=0),"",MAX(0,(1-Y2096/'01_설정'!B32))*'01_설정'!B31)</f>
        <v/>
      </c>
    </row>
    <row r="2097" ht="17.25" customHeight="1">
      <c r="A2097" s="152">
        <f>IF(INDEX('04A_국토부원자료'!$A:$A,ROW()+1)="","",ROW()-3)</f>
        <v/>
      </c>
      <c r="B2097" s="48">
        <f>IFERROR(INDEX('04A_국토부원자료'!$A:$T,ROW()+1,MATCH("시군구",'04A_국토부원자료'!$A$4:$T$4,0)),"")</f>
        <v/>
      </c>
      <c r="C2097" s="48">
        <f>IF(B2097="","",IFERROR(INDEX('04A_국토부원자료'!$A:$T,ROW()+1,MATCH("번지",'04A_국토부원자료'!$A$4:$T$4,0)),""))</f>
        <v/>
      </c>
      <c r="D2097" s="48">
        <f>IF(B2097="","",IF(Q2097=1,'02_대상물건입력'!$B$8,IFERROR(INDEX('04A_국토부원자료'!$A:$T,ROW()+1,MATCH("단지명",'04A_국토부원자료'!$A$4:$T$4,0)),"")))</f>
        <v/>
      </c>
      <c r="E2097" s="172">
        <f>IFERROR(VALUE(SUBSTITUTE(INDEX('04A_국토부원자료'!$A:$T,ROW()+1,MATCH("전용면적(㎡)",'04A_국토부원자료'!$A$4:$T$4,0)),",","")),"")</f>
        <v/>
      </c>
      <c r="F20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97" s="51">
        <f>IFERROR(VALUE(SUBSTITUTE(INDEX('04A_국토부원자료'!$A:$T,ROW()+1,MATCH("거래금액(만원)",'04A_국토부원자료'!$A$4:$T$4,0)),",","")),"")</f>
        <v/>
      </c>
      <c r="H2097" s="174">
        <f>IF(G2097="","",G2097*10000)</f>
        <v/>
      </c>
      <c r="I2097" s="174">
        <f>IFERROR(IF(AND(H2097&gt;0,E2097&gt;0),H2097/E2097,""),"")</f>
        <v/>
      </c>
      <c r="J2097" s="152">
        <f>IFERROR(VALUE(SUBSTITUTE(INDEX('04A_국토부원자료'!$A:$T,ROW()+1,MATCH("층",'04A_국토부원자료'!$A$4:$T$4,0)),",","")),"")</f>
        <v/>
      </c>
      <c r="K2097" s="152">
        <f>IFERROR(VALUE(SUBSTITUTE(INDEX('04A_국토부원자료'!$A:$T,ROW()+1,MATCH("건축년도",'04A_국토부원자료'!$A$4:$T$4,0)),",","")),"")</f>
        <v/>
      </c>
      <c r="L2097" s="48">
        <f>IFERROR(INDEX('04A_국토부원자료'!$A:$T,ROW()+1,MATCH("도로명",'04A_국토부원자료'!$A$4:$T$4,0)),"")</f>
        <v/>
      </c>
      <c r="M2097" s="48">
        <f>IFERROR(INDEX('04A_국토부원자료'!$A:$T,ROW()+1,MATCH("거래유형",'04A_국토부원자료'!$A$4:$T$4,0)),"")</f>
        <v/>
      </c>
      <c r="N2097" s="152">
        <f>IF(B2097="","",IF('02_대상물건입력'!B5="",1,IF(ISNUMBER(SEARCH('02_대상물건입력'!B5,B2097)),1,0)))</f>
        <v/>
      </c>
      <c r="O2097" s="152">
        <f>IF(B2097="","",IF('02_대상물건입력'!B6="",1,IF(ISNUMBER(SEARCH('02_대상물건입력'!B6,B2097)),1,0)))</f>
        <v/>
      </c>
      <c r="P2097" s="152">
        <f>IF(L2097="","",IF('02_대상물건입력'!B15="",0,IF(ISNUMBER(SEARCH('02_대상물건입력'!B15,L2097)),1,0)))</f>
        <v/>
      </c>
      <c r="Q2097" s="152">
        <f>IF(OR(C2097="",L2097=""),0,IF(AND(TRIM(C2097)=TRIM(RIGHT(SUBSTITUTE(TRIM('02_대상물건입력'!$B$7)," ",REPT(" ",99)),99)),IF('02_대상물건입력'!B15="",TRUE(),ISNUMBER(SEARCH('02_대상물건입력'!B15,L2097)))),1,0))</f>
        <v/>
      </c>
      <c r="R2097" s="175">
        <f>IFERROR(ABS(E2097-'02_대상물건입력'!B11)/'02_대상물건입력'!B11,"")</f>
        <v/>
      </c>
      <c r="S2097" s="152">
        <f>IFERROR(ABS(J2097-'02_대상물건입력'!B10),"")</f>
        <v/>
      </c>
      <c r="T2097" s="152">
        <f>IFERROR(ABS('01_설정'!B4-F2097),"")</f>
        <v/>
      </c>
      <c r="U2097" s="152">
        <f>IFERROR(ABS(K2097-YEAR('02_대상물건입력'!B14)),"")</f>
        <v/>
      </c>
      <c r="V2097" s="152">
        <f>IF(B2097="","",IF(AND(E2097&gt;0,F2097&gt;0,H2097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2097=1,TRUE()),R2097&lt;='01_설정'!B5,S2097&lt;='01_설정'!B6,T2097&lt;='01_설정'!B7,U2097&lt;='01_설정'!B8),"Y",""))</f>
        <v/>
      </c>
      <c r="W2097" s="172">
        <f>IF(V2097&lt;&gt;"Y","",MAX(0,(1-R2097/'01_설정'!B5))*'01_설정'!B14+MAX(0,(1-S2097/'01_설정'!B6))*'01_설정'!B15+MAX(0,(1-T2097/'01_설정'!B7))*'01_설정'!B16+MAX(0,(1-U2097/'01_설정'!B8))*'01_설정'!B17+O2097*'01_설정'!B11+Q2097*'01_설정'!B12+P2097*'01_설정'!B13+IF(Z2097="",0,Z2097))</f>
        <v/>
      </c>
      <c r="X2097" s="152">
        <f>IF(W2097="","",1+COUNTIFS($W$4:$W$3003,"&gt;"&amp;W2097)+COUNTIFS($W$4:W2097,W2097)-1)</f>
        <v/>
      </c>
      <c r="Y2097" s="175">
        <f>IF(OR(I2097="",'02_대상물건입력'!B19="",'02_대상물건입력'!B19&lt;=0),"",ABS(I2097-'02_대상물건입력'!B19)/'02_대상물건입력'!B19)</f>
        <v/>
      </c>
      <c r="Z2097" s="172">
        <f>IF(OR(Y2097="",'01_설정'!B31="",'01_설정'!B31&lt;=0,'01_설정'!B32="",'01_설정'!B32&lt;=0),"",MAX(0,(1-Y2097/'01_설정'!B32))*'01_설정'!B31)</f>
        <v/>
      </c>
    </row>
    <row r="2098" ht="17.25" customHeight="1">
      <c r="A2098" s="152">
        <f>IF(INDEX('04A_국토부원자료'!$A:$A,ROW()+1)="","",ROW()-3)</f>
        <v/>
      </c>
      <c r="B2098" s="48">
        <f>IFERROR(INDEX('04A_국토부원자료'!$A:$T,ROW()+1,MATCH("시군구",'04A_국토부원자료'!$A$4:$T$4,0)),"")</f>
        <v/>
      </c>
      <c r="C2098" s="48">
        <f>IF(B2098="","",IFERROR(INDEX('04A_국토부원자료'!$A:$T,ROW()+1,MATCH("번지",'04A_국토부원자료'!$A$4:$T$4,0)),""))</f>
        <v/>
      </c>
      <c r="D2098" s="48">
        <f>IF(B2098="","",IF(Q2098=1,'02_대상물건입력'!$B$8,IFERROR(INDEX('04A_국토부원자료'!$A:$T,ROW()+1,MATCH("단지명",'04A_국토부원자료'!$A$4:$T$4,0)),"")))</f>
        <v/>
      </c>
      <c r="E2098" s="172">
        <f>IFERROR(VALUE(SUBSTITUTE(INDEX('04A_국토부원자료'!$A:$T,ROW()+1,MATCH("전용면적(㎡)",'04A_국토부원자료'!$A$4:$T$4,0)),",","")),"")</f>
        <v/>
      </c>
      <c r="F20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98" s="51">
        <f>IFERROR(VALUE(SUBSTITUTE(INDEX('04A_국토부원자료'!$A:$T,ROW()+1,MATCH("거래금액(만원)",'04A_국토부원자료'!$A$4:$T$4,0)),",","")),"")</f>
        <v/>
      </c>
      <c r="H2098" s="174">
        <f>IF(G2098="","",G2098*10000)</f>
        <v/>
      </c>
      <c r="I2098" s="174">
        <f>IFERROR(IF(AND(H2098&gt;0,E2098&gt;0),H2098/E2098,""),"")</f>
        <v/>
      </c>
      <c r="J2098" s="152">
        <f>IFERROR(VALUE(SUBSTITUTE(INDEX('04A_국토부원자료'!$A:$T,ROW()+1,MATCH("층",'04A_국토부원자료'!$A$4:$T$4,0)),",","")),"")</f>
        <v/>
      </c>
      <c r="K2098" s="152">
        <f>IFERROR(VALUE(SUBSTITUTE(INDEX('04A_국토부원자료'!$A:$T,ROW()+1,MATCH("건축년도",'04A_국토부원자료'!$A$4:$T$4,0)),",","")),"")</f>
        <v/>
      </c>
      <c r="L2098" s="48">
        <f>IFERROR(INDEX('04A_국토부원자료'!$A:$T,ROW()+1,MATCH("도로명",'04A_국토부원자료'!$A$4:$T$4,0)),"")</f>
        <v/>
      </c>
      <c r="M2098" s="48">
        <f>IFERROR(INDEX('04A_국토부원자료'!$A:$T,ROW()+1,MATCH("거래유형",'04A_국토부원자료'!$A$4:$T$4,0)),"")</f>
        <v/>
      </c>
      <c r="N2098" s="152">
        <f>IF(B2098="","",IF('02_대상물건입력'!B5="",1,IF(ISNUMBER(SEARCH('02_대상물건입력'!B5,B2098)),1,0)))</f>
        <v/>
      </c>
      <c r="O2098" s="152">
        <f>IF(B2098="","",IF('02_대상물건입력'!B6="",1,IF(ISNUMBER(SEARCH('02_대상물건입력'!B6,B2098)),1,0)))</f>
        <v/>
      </c>
      <c r="P2098" s="152">
        <f>IF(L2098="","",IF('02_대상물건입력'!B15="",0,IF(ISNUMBER(SEARCH('02_대상물건입력'!B15,L2098)),1,0)))</f>
        <v/>
      </c>
      <c r="Q2098" s="152">
        <f>IF(OR(C2098="",L2098=""),0,IF(AND(TRIM(C2098)=TRIM(RIGHT(SUBSTITUTE(TRIM('02_대상물건입력'!$B$7)," ",REPT(" ",99)),99)),IF('02_대상물건입력'!B15="",TRUE(),ISNUMBER(SEARCH('02_대상물건입력'!B15,L2098)))),1,0))</f>
        <v/>
      </c>
      <c r="R2098" s="175">
        <f>IFERROR(ABS(E2098-'02_대상물건입력'!B11)/'02_대상물건입력'!B11,"")</f>
        <v/>
      </c>
      <c r="S2098" s="152">
        <f>IFERROR(ABS(J2098-'02_대상물건입력'!B10),"")</f>
        <v/>
      </c>
      <c r="T2098" s="152">
        <f>IFERROR(ABS('01_설정'!B4-F2098),"")</f>
        <v/>
      </c>
      <c r="U2098" s="152">
        <f>IFERROR(ABS(K2098-YEAR('02_대상물건입력'!B14)),"")</f>
        <v/>
      </c>
      <c r="V2098" s="152">
        <f>IF(B2098="","",IF(AND(E2098&gt;0,F2098&gt;0,H2098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2098=1,TRUE()),R2098&lt;='01_설정'!B5,S2098&lt;='01_설정'!B6,T2098&lt;='01_설정'!B7,U2098&lt;='01_설정'!B8),"Y",""))</f>
        <v/>
      </c>
      <c r="W2098" s="172">
        <f>IF(V2098&lt;&gt;"Y","",MAX(0,(1-R2098/'01_설정'!B5))*'01_설정'!B14+MAX(0,(1-S2098/'01_설정'!B6))*'01_설정'!B15+MAX(0,(1-T2098/'01_설정'!B7))*'01_설정'!B16+MAX(0,(1-U2098/'01_설정'!B8))*'01_설정'!B17+O2098*'01_설정'!B11+Q2098*'01_설정'!B12+P2098*'01_설정'!B13+IF(Z2098="",0,Z2098))</f>
        <v/>
      </c>
      <c r="X2098" s="152">
        <f>IF(W2098="","",1+COUNTIFS($W$4:$W$3003,"&gt;"&amp;W2098)+COUNTIFS($W$4:W2098,W2098)-1)</f>
        <v/>
      </c>
      <c r="Y2098" s="175">
        <f>IF(OR(I2098="",'02_대상물건입력'!B19="",'02_대상물건입력'!B19&lt;=0),"",ABS(I2098-'02_대상물건입력'!B19)/'02_대상물건입력'!B19)</f>
        <v/>
      </c>
      <c r="Z2098" s="172">
        <f>IF(OR(Y2098="",'01_설정'!B31="",'01_설정'!B31&lt;=0,'01_설정'!B32="",'01_설정'!B32&lt;=0),"",MAX(0,(1-Y2098/'01_설정'!B32))*'01_설정'!B31)</f>
        <v/>
      </c>
    </row>
    <row r="2099" ht="17.25" customHeight="1">
      <c r="A2099" s="152">
        <f>IF(INDEX('04A_국토부원자료'!$A:$A,ROW()+1)="","",ROW()-3)</f>
        <v/>
      </c>
      <c r="B2099" s="48">
        <f>IFERROR(INDEX('04A_국토부원자료'!$A:$T,ROW()+1,MATCH("시군구",'04A_국토부원자료'!$A$4:$T$4,0)),"")</f>
        <v/>
      </c>
      <c r="C2099" s="48">
        <f>IF(B2099="","",IFERROR(INDEX('04A_국토부원자료'!$A:$T,ROW()+1,MATCH("번지",'04A_국토부원자료'!$A$4:$T$4,0)),""))</f>
        <v/>
      </c>
      <c r="D2099" s="48">
        <f>IF(B2099="","",IF(Q2099=1,'02_대상물건입력'!$B$8,IFERROR(INDEX('04A_국토부원자료'!$A:$T,ROW()+1,MATCH("단지명",'04A_국토부원자료'!$A$4:$T$4,0)),"")))</f>
        <v/>
      </c>
      <c r="E2099" s="172">
        <f>IFERROR(VALUE(SUBSTITUTE(INDEX('04A_국토부원자료'!$A:$T,ROW()+1,MATCH("전용면적(㎡)",'04A_국토부원자료'!$A$4:$T$4,0)),",","")),"")</f>
        <v/>
      </c>
      <c r="F20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099" s="51">
        <f>IFERROR(VALUE(SUBSTITUTE(INDEX('04A_국토부원자료'!$A:$T,ROW()+1,MATCH("거래금액(만원)",'04A_국토부원자료'!$A$4:$T$4,0)),",","")),"")</f>
        <v/>
      </c>
      <c r="H2099" s="174">
        <f>IF(G2099="","",G2099*10000)</f>
        <v/>
      </c>
      <c r="I2099" s="174">
        <f>IFERROR(IF(AND(H2099&gt;0,E2099&gt;0),H2099/E2099,""),"")</f>
        <v/>
      </c>
      <c r="J2099" s="152">
        <f>IFERROR(VALUE(SUBSTITUTE(INDEX('04A_국토부원자료'!$A:$T,ROW()+1,MATCH("층",'04A_국토부원자료'!$A$4:$T$4,0)),",","")),"")</f>
        <v/>
      </c>
      <c r="K2099" s="152">
        <f>IFERROR(VALUE(SUBSTITUTE(INDEX('04A_국토부원자료'!$A:$T,ROW()+1,MATCH("건축년도",'04A_국토부원자료'!$A$4:$T$4,0)),",","")),"")</f>
        <v/>
      </c>
      <c r="L2099" s="48">
        <f>IFERROR(INDEX('04A_국토부원자료'!$A:$T,ROW()+1,MATCH("도로명",'04A_국토부원자료'!$A$4:$T$4,0)),"")</f>
        <v/>
      </c>
      <c r="M2099" s="48">
        <f>IFERROR(INDEX('04A_국토부원자료'!$A:$T,ROW()+1,MATCH("거래유형",'04A_국토부원자료'!$A$4:$T$4,0)),"")</f>
        <v/>
      </c>
      <c r="N2099" s="152">
        <f>IF(B2099="","",IF('02_대상물건입력'!B5="",1,IF(ISNUMBER(SEARCH('02_대상물건입력'!B5,B2099)),1,0)))</f>
        <v/>
      </c>
      <c r="O2099" s="152">
        <f>IF(B2099="","",IF('02_대상물건입력'!B6="",1,IF(ISNUMBER(SEARCH('02_대상물건입력'!B6,B2099)),1,0)))</f>
        <v/>
      </c>
      <c r="P2099" s="152">
        <f>IF(L2099="","",IF('02_대상물건입력'!B15="",0,IF(ISNUMBER(SEARCH('02_대상물건입력'!B15,L2099)),1,0)))</f>
        <v/>
      </c>
      <c r="Q2099" s="152">
        <f>IF(OR(C2099="",L2099=""),0,IF(AND(TRIM(C2099)=TRIM(RIGHT(SUBSTITUTE(TRIM('02_대상물건입력'!$B$7)," ",REPT(" ",99)),99)),IF('02_대상물건입력'!B15="",TRUE(),ISNUMBER(SEARCH('02_대상물건입력'!B15,L2099)))),1,0))</f>
        <v/>
      </c>
      <c r="R2099" s="175">
        <f>IFERROR(ABS(E2099-'02_대상물건입력'!B11)/'02_대상물건입력'!B11,"")</f>
        <v/>
      </c>
      <c r="S2099" s="152">
        <f>IFERROR(ABS(J2099-'02_대상물건입력'!B10),"")</f>
        <v/>
      </c>
      <c r="T2099" s="152">
        <f>IFERROR(ABS('01_설정'!B4-F2099),"")</f>
        <v/>
      </c>
      <c r="U2099" s="152">
        <f>IFERROR(ABS(K2099-YEAR('02_대상물건입력'!B14)),"")</f>
        <v/>
      </c>
      <c r="V2099" s="152">
        <f>IF(B2099="","",IF(AND(E2099&gt;0,F2099&gt;0,H2099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2099=1,TRUE()),R2099&lt;='01_설정'!B5,S2099&lt;='01_설정'!B6,T2099&lt;='01_설정'!B7,U2099&lt;='01_설정'!B8),"Y",""))</f>
        <v/>
      </c>
      <c r="W2099" s="172">
        <f>IF(V2099&lt;&gt;"Y","",MAX(0,(1-R2099/'01_설정'!B5))*'01_설정'!B14+MAX(0,(1-S2099/'01_설정'!B6))*'01_설정'!B15+MAX(0,(1-T2099/'01_설정'!B7))*'01_설정'!B16+MAX(0,(1-U2099/'01_설정'!B8))*'01_설정'!B17+O2099*'01_설정'!B11+Q2099*'01_설정'!B12+P2099*'01_설정'!B13+IF(Z2099="",0,Z2099))</f>
        <v/>
      </c>
      <c r="X2099" s="152">
        <f>IF(W2099="","",1+COUNTIFS($W$4:$W$3003,"&gt;"&amp;W2099)+COUNTIFS($W$4:W2099,W2099)-1)</f>
        <v/>
      </c>
      <c r="Y2099" s="175">
        <f>IF(OR(I2099="",'02_대상물건입력'!B19="",'02_대상물건입력'!B19&lt;=0),"",ABS(I2099-'02_대상물건입력'!B19)/'02_대상물건입력'!B19)</f>
        <v/>
      </c>
      <c r="Z2099" s="172">
        <f>IF(OR(Y2099="",'01_설정'!B31="",'01_설정'!B31&lt;=0,'01_설정'!B32="",'01_설정'!B32&lt;=0),"",MAX(0,(1-Y2099/'01_설정'!B32))*'01_설정'!B31)</f>
        <v/>
      </c>
    </row>
    <row r="2100" ht="17.25" customHeight="1">
      <c r="A2100" s="152">
        <f>IF(INDEX('04A_국토부원자료'!$A:$A,ROW()+1)="","",ROW()-3)</f>
        <v/>
      </c>
      <c r="B2100" s="48">
        <f>IFERROR(INDEX('04A_국토부원자료'!$A:$T,ROW()+1,MATCH("시군구",'04A_국토부원자료'!$A$4:$T$4,0)),"")</f>
        <v/>
      </c>
      <c r="C2100" s="48">
        <f>IF(B2100="","",IFERROR(INDEX('04A_국토부원자료'!$A:$T,ROW()+1,MATCH("번지",'04A_국토부원자료'!$A$4:$T$4,0)),""))</f>
        <v/>
      </c>
      <c r="D2100" s="48">
        <f>IF(B2100="","",IF(Q2100=1,'02_대상물건입력'!$B$8,IFERROR(INDEX('04A_국토부원자료'!$A:$T,ROW()+1,MATCH("단지명",'04A_국토부원자료'!$A$4:$T$4,0)),"")))</f>
        <v/>
      </c>
      <c r="E2100" s="172">
        <f>IFERROR(VALUE(SUBSTITUTE(INDEX('04A_국토부원자료'!$A:$T,ROW()+1,MATCH("전용면적(㎡)",'04A_국토부원자료'!$A$4:$T$4,0)),",","")),"")</f>
        <v/>
      </c>
      <c r="F21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00" s="51">
        <f>IFERROR(VALUE(SUBSTITUTE(INDEX('04A_국토부원자료'!$A:$T,ROW()+1,MATCH("거래금액(만원)",'04A_국토부원자료'!$A$4:$T$4,0)),",","")),"")</f>
        <v/>
      </c>
      <c r="H2100" s="174">
        <f>IF(G2100="","",G2100*10000)</f>
        <v/>
      </c>
      <c r="I2100" s="174">
        <f>IFERROR(IF(AND(H2100&gt;0,E2100&gt;0),H2100/E2100,""),"")</f>
        <v/>
      </c>
      <c r="J2100" s="152">
        <f>IFERROR(VALUE(SUBSTITUTE(INDEX('04A_국토부원자료'!$A:$T,ROW()+1,MATCH("층",'04A_국토부원자료'!$A$4:$T$4,0)),",","")),"")</f>
        <v/>
      </c>
      <c r="K2100" s="152">
        <f>IFERROR(VALUE(SUBSTITUTE(INDEX('04A_국토부원자료'!$A:$T,ROW()+1,MATCH("건축년도",'04A_국토부원자료'!$A$4:$T$4,0)),",","")),"")</f>
        <v/>
      </c>
      <c r="L2100" s="48">
        <f>IFERROR(INDEX('04A_국토부원자료'!$A:$T,ROW()+1,MATCH("도로명",'04A_국토부원자료'!$A$4:$T$4,0)),"")</f>
        <v/>
      </c>
      <c r="M2100" s="48">
        <f>IFERROR(INDEX('04A_국토부원자료'!$A:$T,ROW()+1,MATCH("거래유형",'04A_국토부원자료'!$A$4:$T$4,0)),"")</f>
        <v/>
      </c>
      <c r="N2100" s="152">
        <f>IF(B2100="","",IF('02_대상물건입력'!B5="",1,IF(ISNUMBER(SEARCH('02_대상물건입력'!B5,B2100)),1,0)))</f>
        <v/>
      </c>
      <c r="O2100" s="152">
        <f>IF(B2100="","",IF('02_대상물건입력'!B6="",1,IF(ISNUMBER(SEARCH('02_대상물건입력'!B6,B2100)),1,0)))</f>
        <v/>
      </c>
      <c r="P2100" s="152">
        <f>IF(L2100="","",IF('02_대상물건입력'!B15="",0,IF(ISNUMBER(SEARCH('02_대상물건입력'!B15,L2100)),1,0)))</f>
        <v/>
      </c>
      <c r="Q2100" s="152">
        <f>IF(OR(C2100="",L2100=""),0,IF(AND(TRIM(C2100)=TRIM(RIGHT(SUBSTITUTE(TRIM('02_대상물건입력'!$B$7)," ",REPT(" ",99)),99)),IF('02_대상물건입력'!B15="",TRUE(),ISNUMBER(SEARCH('02_대상물건입력'!B15,L2100)))),1,0))</f>
        <v/>
      </c>
      <c r="R2100" s="175">
        <f>IFERROR(ABS(E2100-'02_대상물건입력'!B11)/'02_대상물건입력'!B11,"")</f>
        <v/>
      </c>
      <c r="S2100" s="152">
        <f>IFERROR(ABS(J2100-'02_대상물건입력'!B10),"")</f>
        <v/>
      </c>
      <c r="T2100" s="152">
        <f>IFERROR(ABS('01_설정'!B4-F2100),"")</f>
        <v/>
      </c>
      <c r="U2100" s="152">
        <f>IFERROR(ABS(K2100-YEAR('02_대상물건입력'!B14)),"")</f>
        <v/>
      </c>
      <c r="V2100" s="152">
        <f>IF(B2100="","",IF(AND(E2100&gt;0,F2100&gt;0,H2100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2100=1,TRUE()),R2100&lt;='01_설정'!B5,S2100&lt;='01_설정'!B6,T2100&lt;='01_설정'!B7,U2100&lt;='01_설정'!B8),"Y",""))</f>
        <v/>
      </c>
      <c r="W2100" s="172">
        <f>IF(V2100&lt;&gt;"Y","",MAX(0,(1-R2100/'01_설정'!B5))*'01_설정'!B14+MAX(0,(1-S2100/'01_설정'!B6))*'01_설정'!B15+MAX(0,(1-T2100/'01_설정'!B7))*'01_설정'!B16+MAX(0,(1-U2100/'01_설정'!B8))*'01_설정'!B17+O2100*'01_설정'!B11+Q2100*'01_설정'!B12+P2100*'01_설정'!B13+IF(Z2100="",0,Z2100))</f>
        <v/>
      </c>
      <c r="X2100" s="152">
        <f>IF(W2100="","",1+COUNTIFS($W$4:$W$3003,"&gt;"&amp;W2100)+COUNTIFS($W$4:W2100,W2100)-1)</f>
        <v/>
      </c>
      <c r="Y2100" s="175">
        <f>IF(OR(I2100="",'02_대상물건입력'!B19="",'02_대상물건입력'!B19&lt;=0),"",ABS(I2100-'02_대상물건입력'!B19)/'02_대상물건입력'!B19)</f>
        <v/>
      </c>
      <c r="Z2100" s="172">
        <f>IF(OR(Y2100="",'01_설정'!B31="",'01_설정'!B31&lt;=0,'01_설정'!B32="",'01_설정'!B32&lt;=0),"",MAX(0,(1-Y2100/'01_설정'!B32))*'01_설정'!B31)</f>
        <v/>
      </c>
    </row>
    <row r="2101" ht="17.25" customHeight="1">
      <c r="A2101" s="152">
        <f>IF(INDEX('04A_국토부원자료'!$A:$A,ROW()+1)="","",ROW()-3)</f>
        <v/>
      </c>
      <c r="B2101" s="48">
        <f>IFERROR(INDEX('04A_국토부원자료'!$A:$T,ROW()+1,MATCH("시군구",'04A_국토부원자료'!$A$4:$T$4,0)),"")</f>
        <v/>
      </c>
      <c r="C2101" s="48">
        <f>IF(B2101="","",IFERROR(INDEX('04A_국토부원자료'!$A:$T,ROW()+1,MATCH("번지",'04A_국토부원자료'!$A$4:$T$4,0)),""))</f>
        <v/>
      </c>
      <c r="D2101" s="48">
        <f>IF(B2101="","",IF(Q2101=1,'02_대상물건입력'!$B$8,IFERROR(INDEX('04A_국토부원자료'!$A:$T,ROW()+1,MATCH("단지명",'04A_국토부원자료'!$A$4:$T$4,0)),"")))</f>
        <v/>
      </c>
      <c r="E2101" s="172">
        <f>IFERROR(VALUE(SUBSTITUTE(INDEX('04A_국토부원자료'!$A:$T,ROW()+1,MATCH("전용면적(㎡)",'04A_국토부원자료'!$A$4:$T$4,0)),",","")),"")</f>
        <v/>
      </c>
      <c r="F21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01" s="51">
        <f>IFERROR(VALUE(SUBSTITUTE(INDEX('04A_국토부원자료'!$A:$T,ROW()+1,MATCH("거래금액(만원)",'04A_국토부원자료'!$A$4:$T$4,0)),",","")),"")</f>
        <v/>
      </c>
      <c r="H2101" s="174">
        <f>IF(G2101="","",G2101*10000)</f>
        <v/>
      </c>
      <c r="I2101" s="174">
        <f>IFERROR(IF(AND(H2101&gt;0,E2101&gt;0),H2101/E2101,""),"")</f>
        <v/>
      </c>
      <c r="J2101" s="152">
        <f>IFERROR(VALUE(SUBSTITUTE(INDEX('04A_국토부원자료'!$A:$T,ROW()+1,MATCH("층",'04A_국토부원자료'!$A$4:$T$4,0)),",","")),"")</f>
        <v/>
      </c>
      <c r="K2101" s="152">
        <f>IFERROR(VALUE(SUBSTITUTE(INDEX('04A_국토부원자료'!$A:$T,ROW()+1,MATCH("건축년도",'04A_국토부원자료'!$A$4:$T$4,0)),",","")),"")</f>
        <v/>
      </c>
      <c r="L2101" s="48">
        <f>IFERROR(INDEX('04A_국토부원자료'!$A:$T,ROW()+1,MATCH("도로명",'04A_국토부원자료'!$A$4:$T$4,0)),"")</f>
        <v/>
      </c>
      <c r="M2101" s="48">
        <f>IFERROR(INDEX('04A_국토부원자료'!$A:$T,ROW()+1,MATCH("거래유형",'04A_국토부원자료'!$A$4:$T$4,0)),"")</f>
        <v/>
      </c>
      <c r="N2101" s="152">
        <f>IF(B2101="","",IF('02_대상물건입력'!B5="",1,IF(ISNUMBER(SEARCH('02_대상물건입력'!B5,B2101)),1,0)))</f>
        <v/>
      </c>
      <c r="O2101" s="152">
        <f>IF(B2101="","",IF('02_대상물건입력'!B6="",1,IF(ISNUMBER(SEARCH('02_대상물건입력'!B6,B2101)),1,0)))</f>
        <v/>
      </c>
      <c r="P2101" s="152">
        <f>IF(L2101="","",IF('02_대상물건입력'!B15="",0,IF(ISNUMBER(SEARCH('02_대상물건입력'!B15,L2101)),1,0)))</f>
        <v/>
      </c>
      <c r="Q2101" s="152">
        <f>IF(OR(C2101="",L2101=""),0,IF(AND(TRIM(C2101)=TRIM(RIGHT(SUBSTITUTE(TRIM('02_대상물건입력'!$B$7)," ",REPT(" ",99)),99)),IF('02_대상물건입력'!B15="",TRUE(),ISNUMBER(SEARCH('02_대상물건입력'!B15,L2101)))),1,0))</f>
        <v/>
      </c>
      <c r="R2101" s="175">
        <f>IFERROR(ABS(E2101-'02_대상물건입력'!B11)/'02_대상물건입력'!B11,"")</f>
        <v/>
      </c>
      <c r="S2101" s="152">
        <f>IFERROR(ABS(J2101-'02_대상물건입력'!B10),"")</f>
        <v/>
      </c>
      <c r="T2101" s="152">
        <f>IFERROR(ABS('01_설정'!B4-F2101),"")</f>
        <v/>
      </c>
      <c r="U2101" s="152">
        <f>IFERROR(ABS(K2101-YEAR('02_대상물건입력'!B14)),"")</f>
        <v/>
      </c>
      <c r="V2101" s="152">
        <f>IF(B2101="","",IF(AND(E2101&gt;0,F2101&gt;0,H2101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2101=1,TRUE()),R2101&lt;='01_설정'!B5,S2101&lt;='01_설정'!B6,T2101&lt;='01_설정'!B7,U2101&lt;='01_설정'!B8),"Y",""))</f>
        <v/>
      </c>
      <c r="W2101" s="172">
        <f>IF(V2101&lt;&gt;"Y","",MAX(0,(1-R2101/'01_설정'!B5))*'01_설정'!B14+MAX(0,(1-S2101/'01_설정'!B6))*'01_설정'!B15+MAX(0,(1-T2101/'01_설정'!B7))*'01_설정'!B16+MAX(0,(1-U2101/'01_설정'!B8))*'01_설정'!B17+O2101*'01_설정'!B11+Q2101*'01_설정'!B12+P2101*'01_설정'!B13+IF(Z2101="",0,Z2101))</f>
        <v/>
      </c>
      <c r="X2101" s="152">
        <f>IF(W2101="","",1+COUNTIFS($W$4:$W$3003,"&gt;"&amp;W2101)+COUNTIFS($W$4:W2101,W2101)-1)</f>
        <v/>
      </c>
      <c r="Y2101" s="175">
        <f>IF(OR(I2101="",'02_대상물건입력'!B19="",'02_대상물건입력'!B19&lt;=0),"",ABS(I2101-'02_대상물건입력'!B19)/'02_대상물건입력'!B19)</f>
        <v/>
      </c>
      <c r="Z2101" s="172">
        <f>IF(OR(Y2101="",'01_설정'!B31="",'01_설정'!B31&lt;=0,'01_설정'!B32="",'01_설정'!B32&lt;=0),"",MAX(0,(1-Y2101/'01_설정'!B32))*'01_설정'!B31)</f>
        <v/>
      </c>
    </row>
    <row r="2102" ht="17.25" customHeight="1">
      <c r="A2102" s="152">
        <f>IF(INDEX('04A_국토부원자료'!$A:$A,ROW()+1)="","",ROW()-3)</f>
        <v/>
      </c>
      <c r="B2102" s="48">
        <f>IFERROR(INDEX('04A_국토부원자료'!$A:$T,ROW()+1,MATCH("시군구",'04A_국토부원자료'!$A$4:$T$4,0)),"")</f>
        <v/>
      </c>
      <c r="C2102" s="48">
        <f>IF(B2102="","",IFERROR(INDEX('04A_국토부원자료'!$A:$T,ROW()+1,MATCH("번지",'04A_국토부원자료'!$A$4:$T$4,0)),""))</f>
        <v/>
      </c>
      <c r="D2102" s="48">
        <f>IF(B2102="","",IF(Q2102=1,'02_대상물건입력'!$B$8,IFERROR(INDEX('04A_국토부원자료'!$A:$T,ROW()+1,MATCH("단지명",'04A_국토부원자료'!$A$4:$T$4,0)),"")))</f>
        <v/>
      </c>
      <c r="E2102" s="172">
        <f>IFERROR(VALUE(SUBSTITUTE(INDEX('04A_국토부원자료'!$A:$T,ROW()+1,MATCH("전용면적(㎡)",'04A_국토부원자료'!$A$4:$T$4,0)),",","")),"")</f>
        <v/>
      </c>
      <c r="F21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02" s="51">
        <f>IFERROR(VALUE(SUBSTITUTE(INDEX('04A_국토부원자료'!$A:$T,ROW()+1,MATCH("거래금액(만원)",'04A_국토부원자료'!$A$4:$T$4,0)),",","")),"")</f>
        <v/>
      </c>
      <c r="H2102" s="174">
        <f>IF(G2102="","",G2102*10000)</f>
        <v/>
      </c>
      <c r="I2102" s="174">
        <f>IFERROR(IF(AND(H2102&gt;0,E2102&gt;0),H2102/E2102,""),"")</f>
        <v/>
      </c>
      <c r="J2102" s="152">
        <f>IFERROR(VALUE(SUBSTITUTE(INDEX('04A_국토부원자료'!$A:$T,ROW()+1,MATCH("층",'04A_국토부원자료'!$A$4:$T$4,0)),",","")),"")</f>
        <v/>
      </c>
      <c r="K2102" s="152">
        <f>IFERROR(VALUE(SUBSTITUTE(INDEX('04A_국토부원자료'!$A:$T,ROW()+1,MATCH("건축년도",'04A_국토부원자료'!$A$4:$T$4,0)),",","")),"")</f>
        <v/>
      </c>
      <c r="L2102" s="48">
        <f>IFERROR(INDEX('04A_국토부원자료'!$A:$T,ROW()+1,MATCH("도로명",'04A_국토부원자료'!$A$4:$T$4,0)),"")</f>
        <v/>
      </c>
      <c r="M2102" s="48">
        <f>IFERROR(INDEX('04A_국토부원자료'!$A:$T,ROW()+1,MATCH("거래유형",'04A_국토부원자료'!$A$4:$T$4,0)),"")</f>
        <v/>
      </c>
      <c r="N2102" s="152">
        <f>IF(B2102="","",IF('02_대상물건입력'!B5="",1,IF(ISNUMBER(SEARCH('02_대상물건입력'!B5,B2102)),1,0)))</f>
        <v/>
      </c>
      <c r="O2102" s="152">
        <f>IF(B2102="","",IF('02_대상물건입력'!B6="",1,IF(ISNUMBER(SEARCH('02_대상물건입력'!B6,B2102)),1,0)))</f>
        <v/>
      </c>
      <c r="P2102" s="152">
        <f>IF(L2102="","",IF('02_대상물건입력'!B15="",0,IF(ISNUMBER(SEARCH('02_대상물건입력'!B15,L2102)),1,0)))</f>
        <v/>
      </c>
      <c r="Q2102" s="152">
        <f>IF(OR(C2102="",L2102=""),0,IF(AND(TRIM(C2102)=TRIM(RIGHT(SUBSTITUTE(TRIM('02_대상물건입력'!$B$7)," ",REPT(" ",99)),99)),IF('02_대상물건입력'!B15="",TRUE(),ISNUMBER(SEARCH('02_대상물건입력'!B15,L2102)))),1,0))</f>
        <v/>
      </c>
      <c r="R2102" s="175">
        <f>IFERROR(ABS(E2102-'02_대상물건입력'!B11)/'02_대상물건입력'!B11,"")</f>
        <v/>
      </c>
      <c r="S2102" s="152">
        <f>IFERROR(ABS(J2102-'02_대상물건입력'!B10),"")</f>
        <v/>
      </c>
      <c r="T2102" s="152">
        <f>IFERROR(ABS('01_설정'!B4-F2102),"")</f>
        <v/>
      </c>
      <c r="U2102" s="152">
        <f>IFERROR(ABS(K2102-YEAR('02_대상물건입력'!B14)),"")</f>
        <v/>
      </c>
      <c r="V2102" s="152">
        <f>IF(B2102="","",IF(AND(E2102&gt;0,F2102&gt;0,H2102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2102=1,TRUE()),R2102&lt;='01_설정'!B5,S2102&lt;='01_설정'!B6,T2102&lt;='01_설정'!B7,U2102&lt;='01_설정'!B8),"Y",""))</f>
        <v/>
      </c>
      <c r="W2102" s="172">
        <f>IF(V2102&lt;&gt;"Y","",MAX(0,(1-R2102/'01_설정'!B5))*'01_설정'!B14+MAX(0,(1-S2102/'01_설정'!B6))*'01_설정'!B15+MAX(0,(1-T2102/'01_설정'!B7))*'01_설정'!B16+MAX(0,(1-U2102/'01_설정'!B8))*'01_설정'!B17+O2102*'01_설정'!B11+Q2102*'01_설정'!B12+P2102*'01_설정'!B13+IF(Z2102="",0,Z2102))</f>
        <v/>
      </c>
      <c r="X2102" s="152">
        <f>IF(W2102="","",1+COUNTIFS($W$4:$W$3003,"&gt;"&amp;W2102)+COUNTIFS($W$4:W2102,W2102)-1)</f>
        <v/>
      </c>
      <c r="Y2102" s="175">
        <f>IF(OR(I2102="",'02_대상물건입력'!B19="",'02_대상물건입력'!B19&lt;=0),"",ABS(I2102-'02_대상물건입력'!B19)/'02_대상물건입력'!B19)</f>
        <v/>
      </c>
      <c r="Z2102" s="172">
        <f>IF(OR(Y2102="",'01_설정'!B31="",'01_설정'!B31&lt;=0,'01_설정'!B32="",'01_설정'!B32&lt;=0),"",MAX(0,(1-Y2102/'01_설정'!B32))*'01_설정'!B31)</f>
        <v/>
      </c>
    </row>
    <row r="2103" ht="17.25" customHeight="1">
      <c r="A2103" s="152">
        <f>IF(INDEX('04A_국토부원자료'!$A:$A,ROW()+1)="","",ROW()-3)</f>
        <v/>
      </c>
      <c r="B2103" s="48">
        <f>IFERROR(INDEX('04A_국토부원자료'!$A:$T,ROW()+1,MATCH("시군구",'04A_국토부원자료'!$A$4:$T$4,0)),"")</f>
        <v/>
      </c>
      <c r="C2103" s="48">
        <f>IF(B2103="","",IFERROR(INDEX('04A_국토부원자료'!$A:$T,ROW()+1,MATCH("번지",'04A_국토부원자료'!$A$4:$T$4,0)),""))</f>
        <v/>
      </c>
      <c r="D2103" s="48">
        <f>IF(B2103="","",IF(Q2103=1,'02_대상물건입력'!$B$8,IFERROR(INDEX('04A_국토부원자료'!$A:$T,ROW()+1,MATCH("단지명",'04A_국토부원자료'!$A$4:$T$4,0)),"")))</f>
        <v/>
      </c>
      <c r="E2103" s="172">
        <f>IFERROR(VALUE(SUBSTITUTE(INDEX('04A_국토부원자료'!$A:$T,ROW()+1,MATCH("전용면적(㎡)",'04A_국토부원자료'!$A$4:$T$4,0)),",","")),"")</f>
        <v/>
      </c>
      <c r="F21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03" s="51">
        <f>IFERROR(VALUE(SUBSTITUTE(INDEX('04A_국토부원자료'!$A:$T,ROW()+1,MATCH("거래금액(만원)",'04A_국토부원자료'!$A$4:$T$4,0)),",","")),"")</f>
        <v/>
      </c>
      <c r="H2103" s="174">
        <f>IF(G2103="","",G2103*10000)</f>
        <v/>
      </c>
      <c r="I2103" s="174">
        <f>IFERROR(IF(AND(H2103&gt;0,E2103&gt;0),H2103/E2103,""),"")</f>
        <v/>
      </c>
      <c r="J2103" s="152">
        <f>IFERROR(VALUE(SUBSTITUTE(INDEX('04A_국토부원자료'!$A:$T,ROW()+1,MATCH("층",'04A_국토부원자료'!$A$4:$T$4,0)),",","")),"")</f>
        <v/>
      </c>
      <c r="K2103" s="152">
        <f>IFERROR(VALUE(SUBSTITUTE(INDEX('04A_국토부원자료'!$A:$T,ROW()+1,MATCH("건축년도",'04A_국토부원자료'!$A$4:$T$4,0)),",","")),"")</f>
        <v/>
      </c>
      <c r="L2103" s="48">
        <f>IFERROR(INDEX('04A_국토부원자료'!$A:$T,ROW()+1,MATCH("도로명",'04A_국토부원자료'!$A$4:$T$4,0)),"")</f>
        <v/>
      </c>
      <c r="M2103" s="48">
        <f>IFERROR(INDEX('04A_국토부원자료'!$A:$T,ROW()+1,MATCH("거래유형",'04A_국토부원자료'!$A$4:$T$4,0)),"")</f>
        <v/>
      </c>
      <c r="N2103" s="152">
        <f>IF(B2103="","",IF('02_대상물건입력'!B5="",1,IF(ISNUMBER(SEARCH('02_대상물건입력'!B5,B2103)),1,0)))</f>
        <v/>
      </c>
      <c r="O2103" s="152">
        <f>IF(B2103="","",IF('02_대상물건입력'!B6="",1,IF(ISNUMBER(SEARCH('02_대상물건입력'!B6,B2103)),1,0)))</f>
        <v/>
      </c>
      <c r="P2103" s="152">
        <f>IF(L2103="","",IF('02_대상물건입력'!B15="",0,IF(ISNUMBER(SEARCH('02_대상물건입력'!B15,L2103)),1,0)))</f>
        <v/>
      </c>
      <c r="Q2103" s="152">
        <f>IF(OR(C2103="",L2103=""),0,IF(AND(TRIM(C2103)=TRIM(RIGHT(SUBSTITUTE(TRIM('02_대상물건입력'!$B$7)," ",REPT(" ",99)),99)),IF('02_대상물건입력'!B15="",TRUE(),ISNUMBER(SEARCH('02_대상물건입력'!B15,L2103)))),1,0))</f>
        <v/>
      </c>
      <c r="R2103" s="175">
        <f>IFERROR(ABS(E2103-'02_대상물건입력'!B11)/'02_대상물건입력'!B11,"")</f>
        <v/>
      </c>
      <c r="S2103" s="152">
        <f>IFERROR(ABS(J2103-'02_대상물건입력'!B10),"")</f>
        <v/>
      </c>
      <c r="T2103" s="152">
        <f>IFERROR(ABS('01_설정'!B4-F2103),"")</f>
        <v/>
      </c>
      <c r="U2103" s="152">
        <f>IFERROR(ABS(K2103-YEAR('02_대상물건입력'!B14)),"")</f>
        <v/>
      </c>
      <c r="V2103" s="152">
        <f>IF(B2103="","",IF(AND(E2103&gt;0,F2103&gt;0,H2103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2103=1,TRUE()),R2103&lt;='01_설정'!B5,S2103&lt;='01_설정'!B6,T2103&lt;='01_설정'!B7,U2103&lt;='01_설정'!B8),"Y",""))</f>
        <v/>
      </c>
      <c r="W2103" s="172">
        <f>IF(V2103&lt;&gt;"Y","",MAX(0,(1-R2103/'01_설정'!B5))*'01_설정'!B14+MAX(0,(1-S2103/'01_설정'!B6))*'01_설정'!B15+MAX(0,(1-T2103/'01_설정'!B7))*'01_설정'!B16+MAX(0,(1-U2103/'01_설정'!B8))*'01_설정'!B17+O2103*'01_설정'!B11+Q2103*'01_설정'!B12+P2103*'01_설정'!B13+IF(Z2103="",0,Z2103))</f>
        <v/>
      </c>
      <c r="X2103" s="152">
        <f>IF(W2103="","",1+COUNTIFS($W$4:$W$3003,"&gt;"&amp;W2103)+COUNTIFS($W$4:W2103,W2103)-1)</f>
        <v/>
      </c>
      <c r="Y2103" s="175">
        <f>IF(OR(I2103="",'02_대상물건입력'!B19="",'02_대상물건입력'!B19&lt;=0),"",ABS(I2103-'02_대상물건입력'!B19)/'02_대상물건입력'!B19)</f>
        <v/>
      </c>
      <c r="Z2103" s="172">
        <f>IF(OR(Y2103="",'01_설정'!B31="",'01_설정'!B31&lt;=0,'01_설정'!B32="",'01_설정'!B32&lt;=0),"",MAX(0,(1-Y2103/'01_설정'!B32))*'01_설정'!B31)</f>
        <v/>
      </c>
    </row>
    <row r="2104" ht="17.25" customHeight="1">
      <c r="A2104" s="152">
        <f>IF(INDEX('04A_국토부원자료'!$A:$A,ROW()+1)="","",ROW()-3)</f>
        <v/>
      </c>
      <c r="B2104" s="48">
        <f>IFERROR(INDEX('04A_국토부원자료'!$A:$T,ROW()+1,MATCH("시군구",'04A_국토부원자료'!$A$4:$T$4,0)),"")</f>
        <v/>
      </c>
      <c r="C2104" s="48">
        <f>IF(B2104="","",IFERROR(INDEX('04A_국토부원자료'!$A:$T,ROW()+1,MATCH("번지",'04A_국토부원자료'!$A$4:$T$4,0)),""))</f>
        <v/>
      </c>
      <c r="D2104" s="48">
        <f>IF(B2104="","",IF(Q2104=1,'02_대상물건입력'!$B$8,IFERROR(INDEX('04A_국토부원자료'!$A:$T,ROW()+1,MATCH("단지명",'04A_국토부원자료'!$A$4:$T$4,0)),"")))</f>
        <v/>
      </c>
      <c r="E2104" s="172">
        <f>IFERROR(VALUE(SUBSTITUTE(INDEX('04A_국토부원자료'!$A:$T,ROW()+1,MATCH("전용면적(㎡)",'04A_국토부원자료'!$A$4:$T$4,0)),",","")),"")</f>
        <v/>
      </c>
      <c r="F21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04" s="51">
        <f>IFERROR(VALUE(SUBSTITUTE(INDEX('04A_국토부원자료'!$A:$T,ROW()+1,MATCH("거래금액(만원)",'04A_국토부원자료'!$A$4:$T$4,0)),",","")),"")</f>
        <v/>
      </c>
      <c r="H2104" s="174">
        <f>IF(G2104="","",G2104*10000)</f>
        <v/>
      </c>
      <c r="I2104" s="174">
        <f>IFERROR(IF(AND(H2104&gt;0,E2104&gt;0),H2104/E2104,""),"")</f>
        <v/>
      </c>
      <c r="J2104" s="152">
        <f>IFERROR(VALUE(SUBSTITUTE(INDEX('04A_국토부원자료'!$A:$T,ROW()+1,MATCH("층",'04A_국토부원자료'!$A$4:$T$4,0)),",","")),"")</f>
        <v/>
      </c>
      <c r="K2104" s="152">
        <f>IFERROR(VALUE(SUBSTITUTE(INDEX('04A_국토부원자료'!$A:$T,ROW()+1,MATCH("건축년도",'04A_국토부원자료'!$A$4:$T$4,0)),",","")),"")</f>
        <v/>
      </c>
      <c r="L2104" s="48">
        <f>IFERROR(INDEX('04A_국토부원자료'!$A:$T,ROW()+1,MATCH("도로명",'04A_국토부원자료'!$A$4:$T$4,0)),"")</f>
        <v/>
      </c>
      <c r="M2104" s="48">
        <f>IFERROR(INDEX('04A_국토부원자료'!$A:$T,ROW()+1,MATCH("거래유형",'04A_국토부원자료'!$A$4:$T$4,0)),"")</f>
        <v/>
      </c>
      <c r="N2104" s="152">
        <f>IF(B2104="","",IF('02_대상물건입력'!B5="",1,IF(ISNUMBER(SEARCH('02_대상물건입력'!B5,B2104)),1,0)))</f>
        <v/>
      </c>
      <c r="O2104" s="152">
        <f>IF(B2104="","",IF('02_대상물건입력'!B6="",1,IF(ISNUMBER(SEARCH('02_대상물건입력'!B6,B2104)),1,0)))</f>
        <v/>
      </c>
      <c r="P2104" s="152">
        <f>IF(L2104="","",IF('02_대상물건입력'!B15="",0,IF(ISNUMBER(SEARCH('02_대상물건입력'!B15,L2104)),1,0)))</f>
        <v/>
      </c>
      <c r="Q2104" s="152">
        <f>IF(OR(C2104="",L2104=""),0,IF(AND(TRIM(C2104)=TRIM(RIGHT(SUBSTITUTE(TRIM('02_대상물건입력'!$B$7)," ",REPT(" ",99)),99)),IF('02_대상물건입력'!B15="",TRUE(),ISNUMBER(SEARCH('02_대상물건입력'!B15,L2104)))),1,0))</f>
        <v/>
      </c>
      <c r="R2104" s="175">
        <f>IFERROR(ABS(E2104-'02_대상물건입력'!B11)/'02_대상물건입력'!B11,"")</f>
        <v/>
      </c>
      <c r="S2104" s="152">
        <f>IFERROR(ABS(J2104-'02_대상물건입력'!B10),"")</f>
        <v/>
      </c>
      <c r="T2104" s="152">
        <f>IFERROR(ABS('01_설정'!B4-F2104),"")</f>
        <v/>
      </c>
      <c r="U2104" s="152">
        <f>IFERROR(ABS(K2104-YEAR('02_대상물건입력'!B14)),"")</f>
        <v/>
      </c>
      <c r="V2104" s="152">
        <f>IF(B2104="","",IF(AND(E2104&gt;0,F2104&gt;0,H2104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2104=1,TRUE()),R2104&lt;='01_설정'!B5,S2104&lt;='01_설정'!B6,T2104&lt;='01_설정'!B7,U2104&lt;='01_설정'!B8),"Y",""))</f>
        <v/>
      </c>
      <c r="W2104" s="172">
        <f>IF(V2104&lt;&gt;"Y","",MAX(0,(1-R2104/'01_설정'!B5))*'01_설정'!B14+MAX(0,(1-S2104/'01_설정'!B6))*'01_설정'!B15+MAX(0,(1-T2104/'01_설정'!B7))*'01_설정'!B16+MAX(0,(1-U2104/'01_설정'!B8))*'01_설정'!B17+O2104*'01_설정'!B11+Q2104*'01_설정'!B12+P2104*'01_설정'!B13+IF(Z2104="",0,Z2104))</f>
        <v/>
      </c>
      <c r="X2104" s="152">
        <f>IF(W2104="","",1+COUNTIFS($W$4:$W$3003,"&gt;"&amp;W2104)+COUNTIFS($W$4:W2104,W2104)-1)</f>
        <v/>
      </c>
      <c r="Y2104" s="175">
        <f>IF(OR(I2104="",'02_대상물건입력'!B19="",'02_대상물건입력'!B19&lt;=0),"",ABS(I2104-'02_대상물건입력'!B19)/'02_대상물건입력'!B19)</f>
        <v/>
      </c>
      <c r="Z2104" s="172">
        <f>IF(OR(Y2104="",'01_설정'!B31="",'01_설정'!B31&lt;=0,'01_설정'!B32="",'01_설정'!B32&lt;=0),"",MAX(0,(1-Y2104/'01_설정'!B32))*'01_설정'!B31)</f>
        <v/>
      </c>
    </row>
    <row r="2105" ht="17.25" customHeight="1">
      <c r="A2105" s="152">
        <f>IF(INDEX('04A_국토부원자료'!$A:$A,ROW()+1)="","",ROW()-3)</f>
        <v/>
      </c>
      <c r="B2105" s="48">
        <f>IFERROR(INDEX('04A_국토부원자료'!$A:$T,ROW()+1,MATCH("시군구",'04A_국토부원자료'!$A$4:$T$4,0)),"")</f>
        <v/>
      </c>
      <c r="C2105" s="48">
        <f>IF(B2105="","",IFERROR(INDEX('04A_국토부원자료'!$A:$T,ROW()+1,MATCH("번지",'04A_국토부원자료'!$A$4:$T$4,0)),""))</f>
        <v/>
      </c>
      <c r="D2105" s="48">
        <f>IF(B2105="","",IF(Q2105=1,'02_대상물건입력'!$B$8,IFERROR(INDEX('04A_국토부원자료'!$A:$T,ROW()+1,MATCH("단지명",'04A_국토부원자료'!$A$4:$T$4,0)),"")))</f>
        <v/>
      </c>
      <c r="E2105" s="172">
        <f>IFERROR(VALUE(SUBSTITUTE(INDEX('04A_국토부원자료'!$A:$T,ROW()+1,MATCH("전용면적(㎡)",'04A_국토부원자료'!$A$4:$T$4,0)),",","")),"")</f>
        <v/>
      </c>
      <c r="F21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05" s="51">
        <f>IFERROR(VALUE(SUBSTITUTE(INDEX('04A_국토부원자료'!$A:$T,ROW()+1,MATCH("거래금액(만원)",'04A_국토부원자료'!$A$4:$T$4,0)),",","")),"")</f>
        <v/>
      </c>
      <c r="H2105" s="174">
        <f>IF(G2105="","",G2105*10000)</f>
        <v/>
      </c>
      <c r="I2105" s="174">
        <f>IFERROR(IF(AND(H2105&gt;0,E2105&gt;0),H2105/E2105,""),"")</f>
        <v/>
      </c>
      <c r="J2105" s="152">
        <f>IFERROR(VALUE(SUBSTITUTE(INDEX('04A_국토부원자료'!$A:$T,ROW()+1,MATCH("층",'04A_국토부원자료'!$A$4:$T$4,0)),",","")),"")</f>
        <v/>
      </c>
      <c r="K2105" s="152">
        <f>IFERROR(VALUE(SUBSTITUTE(INDEX('04A_국토부원자료'!$A:$T,ROW()+1,MATCH("건축년도",'04A_국토부원자료'!$A$4:$T$4,0)),",","")),"")</f>
        <v/>
      </c>
      <c r="L2105" s="48">
        <f>IFERROR(INDEX('04A_국토부원자료'!$A:$T,ROW()+1,MATCH("도로명",'04A_국토부원자료'!$A$4:$T$4,0)),"")</f>
        <v/>
      </c>
      <c r="M2105" s="48">
        <f>IFERROR(INDEX('04A_국토부원자료'!$A:$T,ROW()+1,MATCH("거래유형",'04A_국토부원자료'!$A$4:$T$4,0)),"")</f>
        <v/>
      </c>
      <c r="N2105" s="152">
        <f>IF(B2105="","",IF('02_대상물건입력'!B5="",1,IF(ISNUMBER(SEARCH('02_대상물건입력'!B5,B2105)),1,0)))</f>
        <v/>
      </c>
      <c r="O2105" s="152">
        <f>IF(B2105="","",IF('02_대상물건입력'!B6="",1,IF(ISNUMBER(SEARCH('02_대상물건입력'!B6,B2105)),1,0)))</f>
        <v/>
      </c>
      <c r="P2105" s="152">
        <f>IF(L2105="","",IF('02_대상물건입력'!B15="",0,IF(ISNUMBER(SEARCH('02_대상물건입력'!B15,L2105)),1,0)))</f>
        <v/>
      </c>
      <c r="Q2105" s="152">
        <f>IF(OR(C2105="",L2105=""),0,IF(AND(TRIM(C2105)=TRIM(RIGHT(SUBSTITUTE(TRIM('02_대상물건입력'!$B$7)," ",REPT(" ",99)),99)),IF('02_대상물건입력'!B15="",TRUE(),ISNUMBER(SEARCH('02_대상물건입력'!B15,L2105)))),1,0))</f>
        <v/>
      </c>
      <c r="R2105" s="175">
        <f>IFERROR(ABS(E2105-'02_대상물건입력'!B11)/'02_대상물건입력'!B11,"")</f>
        <v/>
      </c>
      <c r="S2105" s="152">
        <f>IFERROR(ABS(J2105-'02_대상물건입력'!B10),"")</f>
        <v/>
      </c>
      <c r="T2105" s="152">
        <f>IFERROR(ABS('01_설정'!B4-F2105),"")</f>
        <v/>
      </c>
      <c r="U2105" s="152">
        <f>IFERROR(ABS(K2105-YEAR('02_대상물건입력'!B14)),"")</f>
        <v/>
      </c>
      <c r="V2105" s="152">
        <f>IF(B2105="","",IF(AND(E2105&gt;0,F2105&gt;0,H2105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2105=1,TRUE()),R2105&lt;='01_설정'!B5,S2105&lt;='01_설정'!B6,T2105&lt;='01_설정'!B7,U2105&lt;='01_설정'!B8),"Y",""))</f>
        <v/>
      </c>
      <c r="W2105" s="172">
        <f>IF(V2105&lt;&gt;"Y","",MAX(0,(1-R2105/'01_설정'!B5))*'01_설정'!B14+MAX(0,(1-S2105/'01_설정'!B6))*'01_설정'!B15+MAX(0,(1-T2105/'01_설정'!B7))*'01_설정'!B16+MAX(0,(1-U2105/'01_설정'!B8))*'01_설정'!B17+O2105*'01_설정'!B11+Q2105*'01_설정'!B12+P2105*'01_설정'!B13+IF(Z2105="",0,Z2105))</f>
        <v/>
      </c>
      <c r="X2105" s="152">
        <f>IF(W2105="","",1+COUNTIFS($W$4:$W$3003,"&gt;"&amp;W2105)+COUNTIFS($W$4:W2105,W2105)-1)</f>
        <v/>
      </c>
      <c r="Y2105" s="175">
        <f>IF(OR(I2105="",'02_대상물건입력'!B19="",'02_대상물건입력'!B19&lt;=0),"",ABS(I2105-'02_대상물건입력'!B19)/'02_대상물건입력'!B19)</f>
        <v/>
      </c>
      <c r="Z2105" s="172">
        <f>IF(OR(Y2105="",'01_설정'!B31="",'01_설정'!B31&lt;=0,'01_설정'!B32="",'01_설정'!B32&lt;=0),"",MAX(0,(1-Y2105/'01_설정'!B32))*'01_설정'!B31)</f>
        <v/>
      </c>
    </row>
    <row r="2106" ht="17.25" customHeight="1">
      <c r="A2106" s="152">
        <f>IF(INDEX('04A_국토부원자료'!$A:$A,ROW()+1)="","",ROW()-3)</f>
        <v/>
      </c>
      <c r="B2106" s="48">
        <f>IFERROR(INDEX('04A_국토부원자료'!$A:$T,ROW()+1,MATCH("시군구",'04A_국토부원자료'!$A$4:$T$4,0)),"")</f>
        <v/>
      </c>
      <c r="C2106" s="48">
        <f>IF(B2106="","",IFERROR(INDEX('04A_국토부원자료'!$A:$T,ROW()+1,MATCH("번지",'04A_국토부원자료'!$A$4:$T$4,0)),""))</f>
        <v/>
      </c>
      <c r="D2106" s="48">
        <f>IF(B2106="","",IF(Q2106=1,'02_대상물건입력'!$B$8,IFERROR(INDEX('04A_국토부원자료'!$A:$T,ROW()+1,MATCH("단지명",'04A_국토부원자료'!$A$4:$T$4,0)),"")))</f>
        <v/>
      </c>
      <c r="E2106" s="172">
        <f>IFERROR(VALUE(SUBSTITUTE(INDEX('04A_국토부원자료'!$A:$T,ROW()+1,MATCH("전용면적(㎡)",'04A_국토부원자료'!$A$4:$T$4,0)),",","")),"")</f>
        <v/>
      </c>
      <c r="F21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06" s="51">
        <f>IFERROR(VALUE(SUBSTITUTE(INDEX('04A_국토부원자료'!$A:$T,ROW()+1,MATCH("거래금액(만원)",'04A_국토부원자료'!$A$4:$T$4,0)),",","")),"")</f>
        <v/>
      </c>
      <c r="H2106" s="174">
        <f>IF(G2106="","",G2106*10000)</f>
        <v/>
      </c>
      <c r="I2106" s="174">
        <f>IFERROR(IF(AND(H2106&gt;0,E2106&gt;0),H2106/E2106,""),"")</f>
        <v/>
      </c>
      <c r="J2106" s="152">
        <f>IFERROR(VALUE(SUBSTITUTE(INDEX('04A_국토부원자료'!$A:$T,ROW()+1,MATCH("층",'04A_국토부원자료'!$A$4:$T$4,0)),",","")),"")</f>
        <v/>
      </c>
      <c r="K2106" s="152">
        <f>IFERROR(VALUE(SUBSTITUTE(INDEX('04A_국토부원자료'!$A:$T,ROW()+1,MATCH("건축년도",'04A_국토부원자료'!$A$4:$T$4,0)),",","")),"")</f>
        <v/>
      </c>
      <c r="L2106" s="48">
        <f>IFERROR(INDEX('04A_국토부원자료'!$A:$T,ROW()+1,MATCH("도로명",'04A_국토부원자료'!$A$4:$T$4,0)),"")</f>
        <v/>
      </c>
      <c r="M2106" s="48">
        <f>IFERROR(INDEX('04A_국토부원자료'!$A:$T,ROW()+1,MATCH("거래유형",'04A_국토부원자료'!$A$4:$T$4,0)),"")</f>
        <v/>
      </c>
      <c r="N2106" s="152">
        <f>IF(B2106="","",IF('02_대상물건입력'!B5="",1,IF(ISNUMBER(SEARCH('02_대상물건입력'!B5,B2106)),1,0)))</f>
        <v/>
      </c>
      <c r="O2106" s="152">
        <f>IF(B2106="","",IF('02_대상물건입력'!B6="",1,IF(ISNUMBER(SEARCH('02_대상물건입력'!B6,B2106)),1,0)))</f>
        <v/>
      </c>
      <c r="P2106" s="152">
        <f>IF(L2106="","",IF('02_대상물건입력'!B15="",0,IF(ISNUMBER(SEARCH('02_대상물건입력'!B15,L2106)),1,0)))</f>
        <v/>
      </c>
      <c r="Q2106" s="152">
        <f>IF(OR(C2106="",L2106=""),0,IF(AND(TRIM(C2106)=TRIM(RIGHT(SUBSTITUTE(TRIM('02_대상물건입력'!$B$7)," ",REPT(" ",99)),99)),IF('02_대상물건입력'!B15="",TRUE(),ISNUMBER(SEARCH('02_대상물건입력'!B15,L2106)))),1,0))</f>
        <v/>
      </c>
      <c r="R2106" s="175">
        <f>IFERROR(ABS(E2106-'02_대상물건입력'!B11)/'02_대상물건입력'!B11,"")</f>
        <v/>
      </c>
      <c r="S2106" s="152">
        <f>IFERROR(ABS(J2106-'02_대상물건입력'!B10),"")</f>
        <v/>
      </c>
      <c r="T2106" s="152">
        <f>IFERROR(ABS('01_설정'!B4-F2106),"")</f>
        <v/>
      </c>
      <c r="U2106" s="152">
        <f>IFERROR(ABS(K2106-YEAR('02_대상물건입력'!B14)),"")</f>
        <v/>
      </c>
      <c r="V2106" s="152">
        <f>IF(B2106="","",IF(AND(E2106&gt;0,F2106&gt;0,H2106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2106=1,TRUE()),R2106&lt;='01_설정'!B5,S2106&lt;='01_설정'!B6,T2106&lt;='01_설정'!B7,U2106&lt;='01_설정'!B8),"Y",""))</f>
        <v/>
      </c>
      <c r="W2106" s="172">
        <f>IF(V2106&lt;&gt;"Y","",MAX(0,(1-R2106/'01_설정'!B5))*'01_설정'!B14+MAX(0,(1-S2106/'01_설정'!B6))*'01_설정'!B15+MAX(0,(1-T2106/'01_설정'!B7))*'01_설정'!B16+MAX(0,(1-U2106/'01_설정'!B8))*'01_설정'!B17+O2106*'01_설정'!B11+Q2106*'01_설정'!B12+P2106*'01_설정'!B13+IF(Z2106="",0,Z2106))</f>
        <v/>
      </c>
      <c r="X2106" s="152">
        <f>IF(W2106="","",1+COUNTIFS($W$4:$W$3003,"&gt;"&amp;W2106)+COUNTIFS($W$4:W2106,W2106)-1)</f>
        <v/>
      </c>
      <c r="Y2106" s="175">
        <f>IF(OR(I2106="",'02_대상물건입력'!B19="",'02_대상물건입력'!B19&lt;=0),"",ABS(I2106-'02_대상물건입력'!B19)/'02_대상물건입력'!B19)</f>
        <v/>
      </c>
      <c r="Z2106" s="172">
        <f>IF(OR(Y2106="",'01_설정'!B31="",'01_설정'!B31&lt;=0,'01_설정'!B32="",'01_설정'!B32&lt;=0),"",MAX(0,(1-Y2106/'01_설정'!B32))*'01_설정'!B31)</f>
        <v/>
      </c>
    </row>
    <row r="2107" ht="17.25" customHeight="1">
      <c r="A2107" s="152">
        <f>IF(INDEX('04A_국토부원자료'!$A:$A,ROW()+1)="","",ROW()-3)</f>
        <v/>
      </c>
      <c r="B2107" s="48">
        <f>IFERROR(INDEX('04A_국토부원자료'!$A:$T,ROW()+1,MATCH("시군구",'04A_국토부원자료'!$A$4:$T$4,0)),"")</f>
        <v/>
      </c>
      <c r="C2107" s="48">
        <f>IF(B2107="","",IFERROR(INDEX('04A_국토부원자료'!$A:$T,ROW()+1,MATCH("번지",'04A_국토부원자료'!$A$4:$T$4,0)),""))</f>
        <v/>
      </c>
      <c r="D2107" s="48">
        <f>IF(B2107="","",IF(Q2107=1,'02_대상물건입력'!$B$8,IFERROR(INDEX('04A_국토부원자료'!$A:$T,ROW()+1,MATCH("단지명",'04A_국토부원자료'!$A$4:$T$4,0)),"")))</f>
        <v/>
      </c>
      <c r="E2107" s="172">
        <f>IFERROR(VALUE(SUBSTITUTE(INDEX('04A_국토부원자료'!$A:$T,ROW()+1,MATCH("전용면적(㎡)",'04A_국토부원자료'!$A$4:$T$4,0)),",","")),"")</f>
        <v/>
      </c>
      <c r="F21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07" s="51">
        <f>IFERROR(VALUE(SUBSTITUTE(INDEX('04A_국토부원자료'!$A:$T,ROW()+1,MATCH("거래금액(만원)",'04A_국토부원자료'!$A$4:$T$4,0)),",","")),"")</f>
        <v/>
      </c>
      <c r="H2107" s="174">
        <f>IF(G2107="","",G2107*10000)</f>
        <v/>
      </c>
      <c r="I2107" s="174">
        <f>IFERROR(IF(AND(H2107&gt;0,E2107&gt;0),H2107/E2107,""),"")</f>
        <v/>
      </c>
      <c r="J2107" s="152">
        <f>IFERROR(VALUE(SUBSTITUTE(INDEX('04A_국토부원자료'!$A:$T,ROW()+1,MATCH("층",'04A_국토부원자료'!$A$4:$T$4,0)),",","")),"")</f>
        <v/>
      </c>
      <c r="K2107" s="152">
        <f>IFERROR(VALUE(SUBSTITUTE(INDEX('04A_국토부원자료'!$A:$T,ROW()+1,MATCH("건축년도",'04A_국토부원자료'!$A$4:$T$4,0)),",","")),"")</f>
        <v/>
      </c>
      <c r="L2107" s="48">
        <f>IFERROR(INDEX('04A_국토부원자료'!$A:$T,ROW()+1,MATCH("도로명",'04A_국토부원자료'!$A$4:$T$4,0)),"")</f>
        <v/>
      </c>
      <c r="M2107" s="48">
        <f>IFERROR(INDEX('04A_국토부원자료'!$A:$T,ROW()+1,MATCH("거래유형",'04A_국토부원자료'!$A$4:$T$4,0)),"")</f>
        <v/>
      </c>
      <c r="N2107" s="152">
        <f>IF(B2107="","",IF('02_대상물건입력'!B5="",1,IF(ISNUMBER(SEARCH('02_대상물건입력'!B5,B2107)),1,0)))</f>
        <v/>
      </c>
      <c r="O2107" s="152">
        <f>IF(B2107="","",IF('02_대상물건입력'!B6="",1,IF(ISNUMBER(SEARCH('02_대상물건입력'!B6,B2107)),1,0)))</f>
        <v/>
      </c>
      <c r="P2107" s="152">
        <f>IF(L2107="","",IF('02_대상물건입력'!B15="",0,IF(ISNUMBER(SEARCH('02_대상물건입력'!B15,L2107)),1,0)))</f>
        <v/>
      </c>
      <c r="Q2107" s="152">
        <f>IF(OR(C2107="",L2107=""),0,IF(AND(TRIM(C2107)=TRIM(RIGHT(SUBSTITUTE(TRIM('02_대상물건입력'!$B$7)," ",REPT(" ",99)),99)),IF('02_대상물건입력'!B15="",TRUE(),ISNUMBER(SEARCH('02_대상물건입력'!B15,L2107)))),1,0))</f>
        <v/>
      </c>
      <c r="R2107" s="175">
        <f>IFERROR(ABS(E2107-'02_대상물건입력'!B11)/'02_대상물건입력'!B11,"")</f>
        <v/>
      </c>
      <c r="S2107" s="152">
        <f>IFERROR(ABS(J2107-'02_대상물건입력'!B10),"")</f>
        <v/>
      </c>
      <c r="T2107" s="152">
        <f>IFERROR(ABS('01_설정'!B4-F2107),"")</f>
        <v/>
      </c>
      <c r="U2107" s="152">
        <f>IFERROR(ABS(K2107-YEAR('02_대상물건입력'!B14)),"")</f>
        <v/>
      </c>
      <c r="V2107" s="152">
        <f>IF(B2107="","",IF(AND(E2107&gt;0,F2107&gt;0,H2107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2107=1,TRUE()),R2107&lt;='01_설정'!B5,S2107&lt;='01_설정'!B6,T2107&lt;='01_설정'!B7,U2107&lt;='01_설정'!B8),"Y",""))</f>
        <v/>
      </c>
      <c r="W2107" s="172">
        <f>IF(V2107&lt;&gt;"Y","",MAX(0,(1-R2107/'01_설정'!B5))*'01_설정'!B14+MAX(0,(1-S2107/'01_설정'!B6))*'01_설정'!B15+MAX(0,(1-T2107/'01_설정'!B7))*'01_설정'!B16+MAX(0,(1-U2107/'01_설정'!B8))*'01_설정'!B17+O2107*'01_설정'!B11+Q2107*'01_설정'!B12+P2107*'01_설정'!B13+IF(Z2107="",0,Z2107))</f>
        <v/>
      </c>
      <c r="X2107" s="152">
        <f>IF(W2107="","",1+COUNTIFS($W$4:$W$3003,"&gt;"&amp;W2107)+COUNTIFS($W$4:W2107,W2107)-1)</f>
        <v/>
      </c>
      <c r="Y2107" s="175">
        <f>IF(OR(I2107="",'02_대상물건입력'!B19="",'02_대상물건입력'!B19&lt;=0),"",ABS(I2107-'02_대상물건입력'!B19)/'02_대상물건입력'!B19)</f>
        <v/>
      </c>
      <c r="Z2107" s="172">
        <f>IF(OR(Y2107="",'01_설정'!B31="",'01_설정'!B31&lt;=0,'01_설정'!B32="",'01_설정'!B32&lt;=0),"",MAX(0,(1-Y2107/'01_설정'!B32))*'01_설정'!B31)</f>
        <v/>
      </c>
    </row>
    <row r="2108" ht="17.25" customHeight="1">
      <c r="A2108" s="152">
        <f>IF(INDEX('04A_국토부원자료'!$A:$A,ROW()+1)="","",ROW()-3)</f>
        <v/>
      </c>
      <c r="B2108" s="48">
        <f>IFERROR(INDEX('04A_국토부원자료'!$A:$T,ROW()+1,MATCH("시군구",'04A_국토부원자료'!$A$4:$T$4,0)),"")</f>
        <v/>
      </c>
      <c r="C2108" s="48">
        <f>IF(B2108="","",IFERROR(INDEX('04A_국토부원자료'!$A:$T,ROW()+1,MATCH("번지",'04A_국토부원자료'!$A$4:$T$4,0)),""))</f>
        <v/>
      </c>
      <c r="D2108" s="48">
        <f>IF(B2108="","",IF(Q2108=1,'02_대상물건입력'!$B$8,IFERROR(INDEX('04A_국토부원자료'!$A:$T,ROW()+1,MATCH("단지명",'04A_국토부원자료'!$A$4:$T$4,0)),"")))</f>
        <v/>
      </c>
      <c r="E2108" s="172">
        <f>IFERROR(VALUE(SUBSTITUTE(INDEX('04A_국토부원자료'!$A:$T,ROW()+1,MATCH("전용면적(㎡)",'04A_국토부원자료'!$A$4:$T$4,0)),",","")),"")</f>
        <v/>
      </c>
      <c r="F21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08" s="51">
        <f>IFERROR(VALUE(SUBSTITUTE(INDEX('04A_국토부원자료'!$A:$T,ROW()+1,MATCH("거래금액(만원)",'04A_국토부원자료'!$A$4:$T$4,0)),",","")),"")</f>
        <v/>
      </c>
      <c r="H2108" s="174">
        <f>IF(G2108="","",G2108*10000)</f>
        <v/>
      </c>
      <c r="I2108" s="174">
        <f>IFERROR(IF(AND(H2108&gt;0,E2108&gt;0),H2108/E2108,""),"")</f>
        <v/>
      </c>
      <c r="J2108" s="152">
        <f>IFERROR(VALUE(SUBSTITUTE(INDEX('04A_국토부원자료'!$A:$T,ROW()+1,MATCH("층",'04A_국토부원자료'!$A$4:$T$4,0)),",","")),"")</f>
        <v/>
      </c>
      <c r="K2108" s="152">
        <f>IFERROR(VALUE(SUBSTITUTE(INDEX('04A_국토부원자료'!$A:$T,ROW()+1,MATCH("건축년도",'04A_국토부원자료'!$A$4:$T$4,0)),",","")),"")</f>
        <v/>
      </c>
      <c r="L2108" s="48">
        <f>IFERROR(INDEX('04A_국토부원자료'!$A:$T,ROW()+1,MATCH("도로명",'04A_국토부원자료'!$A$4:$T$4,0)),"")</f>
        <v/>
      </c>
      <c r="M2108" s="48">
        <f>IFERROR(INDEX('04A_국토부원자료'!$A:$T,ROW()+1,MATCH("거래유형",'04A_국토부원자료'!$A$4:$T$4,0)),"")</f>
        <v/>
      </c>
      <c r="N2108" s="152">
        <f>IF(B2108="","",IF('02_대상물건입력'!B5="",1,IF(ISNUMBER(SEARCH('02_대상물건입력'!B5,B2108)),1,0)))</f>
        <v/>
      </c>
      <c r="O2108" s="152">
        <f>IF(B2108="","",IF('02_대상물건입력'!B6="",1,IF(ISNUMBER(SEARCH('02_대상물건입력'!B6,B2108)),1,0)))</f>
        <v/>
      </c>
      <c r="P2108" s="152">
        <f>IF(L2108="","",IF('02_대상물건입력'!B15="",0,IF(ISNUMBER(SEARCH('02_대상물건입력'!B15,L2108)),1,0)))</f>
        <v/>
      </c>
      <c r="Q2108" s="152">
        <f>IF(OR(C2108="",L2108=""),0,IF(AND(TRIM(C2108)=TRIM(RIGHT(SUBSTITUTE(TRIM('02_대상물건입력'!$B$7)," ",REPT(" ",99)),99)),IF('02_대상물건입력'!B15="",TRUE(),ISNUMBER(SEARCH('02_대상물건입력'!B15,L2108)))),1,0))</f>
        <v/>
      </c>
      <c r="R2108" s="175">
        <f>IFERROR(ABS(E2108-'02_대상물건입력'!B11)/'02_대상물건입력'!B11,"")</f>
        <v/>
      </c>
      <c r="S2108" s="152">
        <f>IFERROR(ABS(J2108-'02_대상물건입력'!B10),"")</f>
        <v/>
      </c>
      <c r="T2108" s="152">
        <f>IFERROR(ABS('01_설정'!B4-F2108),"")</f>
        <v/>
      </c>
      <c r="U2108" s="152">
        <f>IFERROR(ABS(K2108-YEAR('02_대상물건입력'!B14)),"")</f>
        <v/>
      </c>
      <c r="V2108" s="152">
        <f>IF(B2108="","",IF(AND(E2108&gt;0,F2108&gt;0,H2108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2108=1,TRUE()),R2108&lt;='01_설정'!B5,S2108&lt;='01_설정'!B6,T2108&lt;='01_설정'!B7,U2108&lt;='01_설정'!B8),"Y",""))</f>
        <v/>
      </c>
      <c r="W2108" s="172">
        <f>IF(V2108&lt;&gt;"Y","",MAX(0,(1-R2108/'01_설정'!B5))*'01_설정'!B14+MAX(0,(1-S2108/'01_설정'!B6))*'01_설정'!B15+MAX(0,(1-T2108/'01_설정'!B7))*'01_설정'!B16+MAX(0,(1-U2108/'01_설정'!B8))*'01_설정'!B17+O2108*'01_설정'!B11+Q2108*'01_설정'!B12+P2108*'01_설정'!B13+IF(Z2108="",0,Z2108))</f>
        <v/>
      </c>
      <c r="X2108" s="152">
        <f>IF(W2108="","",1+COUNTIFS($W$4:$W$3003,"&gt;"&amp;W2108)+COUNTIFS($W$4:W2108,W2108)-1)</f>
        <v/>
      </c>
      <c r="Y2108" s="175">
        <f>IF(OR(I2108="",'02_대상물건입력'!B19="",'02_대상물건입력'!B19&lt;=0),"",ABS(I2108-'02_대상물건입력'!B19)/'02_대상물건입력'!B19)</f>
        <v/>
      </c>
      <c r="Z2108" s="172">
        <f>IF(OR(Y2108="",'01_설정'!B31="",'01_설정'!B31&lt;=0,'01_설정'!B32="",'01_설정'!B32&lt;=0),"",MAX(0,(1-Y2108/'01_설정'!B32))*'01_설정'!B31)</f>
        <v/>
      </c>
    </row>
    <row r="2109" ht="17.25" customHeight="1">
      <c r="A2109" s="152">
        <f>IF(INDEX('04A_국토부원자료'!$A:$A,ROW()+1)="","",ROW()-3)</f>
        <v/>
      </c>
      <c r="B2109" s="48">
        <f>IFERROR(INDEX('04A_국토부원자료'!$A:$T,ROW()+1,MATCH("시군구",'04A_국토부원자료'!$A$4:$T$4,0)),"")</f>
        <v/>
      </c>
      <c r="C2109" s="48">
        <f>IF(B2109="","",IFERROR(INDEX('04A_국토부원자료'!$A:$T,ROW()+1,MATCH("번지",'04A_국토부원자료'!$A$4:$T$4,0)),""))</f>
        <v/>
      </c>
      <c r="D2109" s="48">
        <f>IF(B2109="","",IF(Q2109=1,'02_대상물건입력'!$B$8,IFERROR(INDEX('04A_국토부원자료'!$A:$T,ROW()+1,MATCH("단지명",'04A_국토부원자료'!$A$4:$T$4,0)),"")))</f>
        <v/>
      </c>
      <c r="E2109" s="172">
        <f>IFERROR(VALUE(SUBSTITUTE(INDEX('04A_국토부원자료'!$A:$T,ROW()+1,MATCH("전용면적(㎡)",'04A_국토부원자료'!$A$4:$T$4,0)),",","")),"")</f>
        <v/>
      </c>
      <c r="F21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09" s="51">
        <f>IFERROR(VALUE(SUBSTITUTE(INDEX('04A_국토부원자료'!$A:$T,ROW()+1,MATCH("거래금액(만원)",'04A_국토부원자료'!$A$4:$T$4,0)),",","")),"")</f>
        <v/>
      </c>
      <c r="H2109" s="174">
        <f>IF(G2109="","",G2109*10000)</f>
        <v/>
      </c>
      <c r="I2109" s="174">
        <f>IFERROR(IF(AND(H2109&gt;0,E2109&gt;0),H2109/E2109,""),"")</f>
        <v/>
      </c>
      <c r="J2109" s="152">
        <f>IFERROR(VALUE(SUBSTITUTE(INDEX('04A_국토부원자료'!$A:$T,ROW()+1,MATCH("층",'04A_국토부원자료'!$A$4:$T$4,0)),",","")),"")</f>
        <v/>
      </c>
      <c r="K2109" s="152">
        <f>IFERROR(VALUE(SUBSTITUTE(INDEX('04A_국토부원자료'!$A:$T,ROW()+1,MATCH("건축년도",'04A_국토부원자료'!$A$4:$T$4,0)),",","")),"")</f>
        <v/>
      </c>
      <c r="L2109" s="48">
        <f>IFERROR(INDEX('04A_국토부원자료'!$A:$T,ROW()+1,MATCH("도로명",'04A_국토부원자료'!$A$4:$T$4,0)),"")</f>
        <v/>
      </c>
      <c r="M2109" s="48">
        <f>IFERROR(INDEX('04A_국토부원자료'!$A:$T,ROW()+1,MATCH("거래유형",'04A_국토부원자료'!$A$4:$T$4,0)),"")</f>
        <v/>
      </c>
      <c r="N2109" s="152">
        <f>IF(B2109="","",IF('02_대상물건입력'!B5="",1,IF(ISNUMBER(SEARCH('02_대상물건입력'!B5,B2109)),1,0)))</f>
        <v/>
      </c>
      <c r="O2109" s="152">
        <f>IF(B2109="","",IF('02_대상물건입력'!B6="",1,IF(ISNUMBER(SEARCH('02_대상물건입력'!B6,B2109)),1,0)))</f>
        <v/>
      </c>
      <c r="P2109" s="152">
        <f>IF(L2109="","",IF('02_대상물건입력'!B15="",0,IF(ISNUMBER(SEARCH('02_대상물건입력'!B15,L2109)),1,0)))</f>
        <v/>
      </c>
      <c r="Q2109" s="152">
        <f>IF(OR(C2109="",L2109=""),0,IF(AND(TRIM(C2109)=TRIM(RIGHT(SUBSTITUTE(TRIM('02_대상물건입력'!$B$7)," ",REPT(" ",99)),99)),IF('02_대상물건입력'!B15="",TRUE(),ISNUMBER(SEARCH('02_대상물건입력'!B15,L2109)))),1,0))</f>
        <v/>
      </c>
      <c r="R2109" s="175">
        <f>IFERROR(ABS(E2109-'02_대상물건입력'!B11)/'02_대상물건입력'!B11,"")</f>
        <v/>
      </c>
      <c r="S2109" s="152">
        <f>IFERROR(ABS(J2109-'02_대상물건입력'!B10),"")</f>
        <v/>
      </c>
      <c r="T2109" s="152">
        <f>IFERROR(ABS('01_설정'!B4-F2109),"")</f>
        <v/>
      </c>
      <c r="U2109" s="152">
        <f>IFERROR(ABS(K2109-YEAR('02_대상물건입력'!B14)),"")</f>
        <v/>
      </c>
      <c r="V2109" s="152">
        <f>IF(B2109="","",IF(AND(E2109&gt;0,F2109&gt;0,H2109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2109=1,TRUE()),R2109&lt;='01_설정'!B5,S2109&lt;='01_설정'!B6,T2109&lt;='01_설정'!B7,U2109&lt;='01_설정'!B8),"Y",""))</f>
        <v/>
      </c>
      <c r="W2109" s="172">
        <f>IF(V2109&lt;&gt;"Y","",MAX(0,(1-R2109/'01_설정'!B5))*'01_설정'!B14+MAX(0,(1-S2109/'01_설정'!B6))*'01_설정'!B15+MAX(0,(1-T2109/'01_설정'!B7))*'01_설정'!B16+MAX(0,(1-U2109/'01_설정'!B8))*'01_설정'!B17+O2109*'01_설정'!B11+Q2109*'01_설정'!B12+P2109*'01_설정'!B13+IF(Z2109="",0,Z2109))</f>
        <v/>
      </c>
      <c r="X2109" s="152">
        <f>IF(W2109="","",1+COUNTIFS($W$4:$W$3003,"&gt;"&amp;W2109)+COUNTIFS($W$4:W2109,W2109)-1)</f>
        <v/>
      </c>
      <c r="Y2109" s="175">
        <f>IF(OR(I2109="",'02_대상물건입력'!B19="",'02_대상물건입력'!B19&lt;=0),"",ABS(I2109-'02_대상물건입력'!B19)/'02_대상물건입력'!B19)</f>
        <v/>
      </c>
      <c r="Z2109" s="172">
        <f>IF(OR(Y2109="",'01_설정'!B31="",'01_설정'!B31&lt;=0,'01_설정'!B32="",'01_설정'!B32&lt;=0),"",MAX(0,(1-Y2109/'01_설정'!B32))*'01_설정'!B31)</f>
        <v/>
      </c>
    </row>
    <row r="2110" ht="17.25" customHeight="1">
      <c r="A2110" s="152">
        <f>IF(INDEX('04A_국토부원자료'!$A:$A,ROW()+1)="","",ROW()-3)</f>
        <v/>
      </c>
      <c r="B2110" s="48">
        <f>IFERROR(INDEX('04A_국토부원자료'!$A:$T,ROW()+1,MATCH("시군구",'04A_국토부원자료'!$A$4:$T$4,0)),"")</f>
        <v/>
      </c>
      <c r="C2110" s="48">
        <f>IF(B2110="","",IFERROR(INDEX('04A_국토부원자료'!$A:$T,ROW()+1,MATCH("번지",'04A_국토부원자료'!$A$4:$T$4,0)),""))</f>
        <v/>
      </c>
      <c r="D2110" s="48">
        <f>IF(B2110="","",IF(Q2110=1,'02_대상물건입력'!$B$8,IFERROR(INDEX('04A_국토부원자료'!$A:$T,ROW()+1,MATCH("단지명",'04A_국토부원자료'!$A$4:$T$4,0)),"")))</f>
        <v/>
      </c>
      <c r="E2110" s="172">
        <f>IFERROR(VALUE(SUBSTITUTE(INDEX('04A_국토부원자료'!$A:$T,ROW()+1,MATCH("전용면적(㎡)",'04A_국토부원자료'!$A$4:$T$4,0)),",","")),"")</f>
        <v/>
      </c>
      <c r="F21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10" s="51">
        <f>IFERROR(VALUE(SUBSTITUTE(INDEX('04A_국토부원자료'!$A:$T,ROW()+1,MATCH("거래금액(만원)",'04A_국토부원자료'!$A$4:$T$4,0)),",","")),"")</f>
        <v/>
      </c>
      <c r="H2110" s="174">
        <f>IF(G2110="","",G2110*10000)</f>
        <v/>
      </c>
      <c r="I2110" s="174">
        <f>IFERROR(IF(AND(H2110&gt;0,E2110&gt;0),H2110/E2110,""),"")</f>
        <v/>
      </c>
      <c r="J2110" s="152">
        <f>IFERROR(VALUE(SUBSTITUTE(INDEX('04A_국토부원자료'!$A:$T,ROW()+1,MATCH("층",'04A_국토부원자료'!$A$4:$T$4,0)),",","")),"")</f>
        <v/>
      </c>
      <c r="K2110" s="152">
        <f>IFERROR(VALUE(SUBSTITUTE(INDEX('04A_국토부원자료'!$A:$T,ROW()+1,MATCH("건축년도",'04A_국토부원자료'!$A$4:$T$4,0)),",","")),"")</f>
        <v/>
      </c>
      <c r="L2110" s="48">
        <f>IFERROR(INDEX('04A_국토부원자료'!$A:$T,ROW()+1,MATCH("도로명",'04A_국토부원자료'!$A$4:$T$4,0)),"")</f>
        <v/>
      </c>
      <c r="M2110" s="48">
        <f>IFERROR(INDEX('04A_국토부원자료'!$A:$T,ROW()+1,MATCH("거래유형",'04A_국토부원자료'!$A$4:$T$4,0)),"")</f>
        <v/>
      </c>
      <c r="N2110" s="152">
        <f>IF(B2110="","",IF('02_대상물건입력'!B5="",1,IF(ISNUMBER(SEARCH('02_대상물건입력'!B5,B2110)),1,0)))</f>
        <v/>
      </c>
      <c r="O2110" s="152">
        <f>IF(B2110="","",IF('02_대상물건입력'!B6="",1,IF(ISNUMBER(SEARCH('02_대상물건입력'!B6,B2110)),1,0)))</f>
        <v/>
      </c>
      <c r="P2110" s="152">
        <f>IF(L2110="","",IF('02_대상물건입력'!B15="",0,IF(ISNUMBER(SEARCH('02_대상물건입력'!B15,L2110)),1,0)))</f>
        <v/>
      </c>
      <c r="Q2110" s="152">
        <f>IF(OR(C2110="",L2110=""),0,IF(AND(TRIM(C2110)=TRIM(RIGHT(SUBSTITUTE(TRIM('02_대상물건입력'!$B$7)," ",REPT(" ",99)),99)),IF('02_대상물건입력'!B15="",TRUE(),ISNUMBER(SEARCH('02_대상물건입력'!B15,L2110)))),1,0))</f>
        <v/>
      </c>
      <c r="R2110" s="175">
        <f>IFERROR(ABS(E2110-'02_대상물건입력'!B11)/'02_대상물건입력'!B11,"")</f>
        <v/>
      </c>
      <c r="S2110" s="152">
        <f>IFERROR(ABS(J2110-'02_대상물건입력'!B10),"")</f>
        <v/>
      </c>
      <c r="T2110" s="152">
        <f>IFERROR(ABS('01_설정'!B4-F2110),"")</f>
        <v/>
      </c>
      <c r="U2110" s="152">
        <f>IFERROR(ABS(K2110-YEAR('02_대상물건입력'!B14)),"")</f>
        <v/>
      </c>
      <c r="V2110" s="152">
        <f>IF(B2110="","",IF(AND(E2110&gt;0,F2110&gt;0,H2110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2110=1,TRUE()),R2110&lt;='01_설정'!B5,S2110&lt;='01_설정'!B6,T2110&lt;='01_설정'!B7,U2110&lt;='01_설정'!B8),"Y",""))</f>
        <v/>
      </c>
      <c r="W2110" s="172">
        <f>IF(V2110&lt;&gt;"Y","",MAX(0,(1-R2110/'01_설정'!B5))*'01_설정'!B14+MAX(0,(1-S2110/'01_설정'!B6))*'01_설정'!B15+MAX(0,(1-T2110/'01_설정'!B7))*'01_설정'!B16+MAX(0,(1-U2110/'01_설정'!B8))*'01_설정'!B17+O2110*'01_설정'!B11+Q2110*'01_설정'!B12+P2110*'01_설정'!B13+IF(Z2110="",0,Z2110))</f>
        <v/>
      </c>
      <c r="X2110" s="152">
        <f>IF(W2110="","",1+COUNTIFS($W$4:$W$3003,"&gt;"&amp;W2110)+COUNTIFS($W$4:W2110,W2110)-1)</f>
        <v/>
      </c>
      <c r="Y2110" s="175">
        <f>IF(OR(I2110="",'02_대상물건입력'!B19="",'02_대상물건입력'!B19&lt;=0),"",ABS(I2110-'02_대상물건입력'!B19)/'02_대상물건입력'!B19)</f>
        <v/>
      </c>
      <c r="Z2110" s="172">
        <f>IF(OR(Y2110="",'01_설정'!B31="",'01_설정'!B31&lt;=0,'01_설정'!B32="",'01_설정'!B32&lt;=0),"",MAX(0,(1-Y2110/'01_설정'!B32))*'01_설정'!B31)</f>
        <v/>
      </c>
    </row>
    <row r="2111" ht="17.25" customHeight="1">
      <c r="A2111" s="152">
        <f>IF(INDEX('04A_국토부원자료'!$A:$A,ROW()+1)="","",ROW()-3)</f>
        <v/>
      </c>
      <c r="B2111" s="48">
        <f>IFERROR(INDEX('04A_국토부원자료'!$A:$T,ROW()+1,MATCH("시군구",'04A_국토부원자료'!$A$4:$T$4,0)),"")</f>
        <v/>
      </c>
      <c r="C2111" s="48">
        <f>IF(B2111="","",IFERROR(INDEX('04A_국토부원자료'!$A:$T,ROW()+1,MATCH("번지",'04A_국토부원자료'!$A$4:$T$4,0)),""))</f>
        <v/>
      </c>
      <c r="D2111" s="48">
        <f>IF(B2111="","",IF(Q2111=1,'02_대상물건입력'!$B$8,IFERROR(INDEX('04A_국토부원자료'!$A:$T,ROW()+1,MATCH("단지명",'04A_국토부원자료'!$A$4:$T$4,0)),"")))</f>
        <v/>
      </c>
      <c r="E2111" s="172">
        <f>IFERROR(VALUE(SUBSTITUTE(INDEX('04A_국토부원자료'!$A:$T,ROW()+1,MATCH("전용면적(㎡)",'04A_국토부원자료'!$A$4:$T$4,0)),",","")),"")</f>
        <v/>
      </c>
      <c r="F21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11" s="51">
        <f>IFERROR(VALUE(SUBSTITUTE(INDEX('04A_국토부원자료'!$A:$T,ROW()+1,MATCH("거래금액(만원)",'04A_국토부원자료'!$A$4:$T$4,0)),",","")),"")</f>
        <v/>
      </c>
      <c r="H2111" s="174">
        <f>IF(G2111="","",G2111*10000)</f>
        <v/>
      </c>
      <c r="I2111" s="174">
        <f>IFERROR(IF(AND(H2111&gt;0,E2111&gt;0),H2111/E2111,""),"")</f>
        <v/>
      </c>
      <c r="J2111" s="152">
        <f>IFERROR(VALUE(SUBSTITUTE(INDEX('04A_국토부원자료'!$A:$T,ROW()+1,MATCH("층",'04A_국토부원자료'!$A$4:$T$4,0)),",","")),"")</f>
        <v/>
      </c>
      <c r="K2111" s="152">
        <f>IFERROR(VALUE(SUBSTITUTE(INDEX('04A_국토부원자료'!$A:$T,ROW()+1,MATCH("건축년도",'04A_국토부원자료'!$A$4:$T$4,0)),",","")),"")</f>
        <v/>
      </c>
      <c r="L2111" s="48">
        <f>IFERROR(INDEX('04A_국토부원자료'!$A:$T,ROW()+1,MATCH("도로명",'04A_국토부원자료'!$A$4:$T$4,0)),"")</f>
        <v/>
      </c>
      <c r="M2111" s="48">
        <f>IFERROR(INDEX('04A_국토부원자료'!$A:$T,ROW()+1,MATCH("거래유형",'04A_국토부원자료'!$A$4:$T$4,0)),"")</f>
        <v/>
      </c>
      <c r="N2111" s="152">
        <f>IF(B2111="","",IF('02_대상물건입력'!B5="",1,IF(ISNUMBER(SEARCH('02_대상물건입력'!B5,B2111)),1,0)))</f>
        <v/>
      </c>
      <c r="O2111" s="152">
        <f>IF(B2111="","",IF('02_대상물건입력'!B6="",1,IF(ISNUMBER(SEARCH('02_대상물건입력'!B6,B2111)),1,0)))</f>
        <v/>
      </c>
      <c r="P2111" s="152">
        <f>IF(L2111="","",IF('02_대상물건입력'!B15="",0,IF(ISNUMBER(SEARCH('02_대상물건입력'!B15,L2111)),1,0)))</f>
        <v/>
      </c>
      <c r="Q2111" s="152">
        <f>IF(OR(C2111="",L2111=""),0,IF(AND(TRIM(C2111)=TRIM(RIGHT(SUBSTITUTE(TRIM('02_대상물건입력'!$B$7)," ",REPT(" ",99)),99)),IF('02_대상물건입력'!B15="",TRUE(),ISNUMBER(SEARCH('02_대상물건입력'!B15,L2111)))),1,0))</f>
        <v/>
      </c>
      <c r="R2111" s="175">
        <f>IFERROR(ABS(E2111-'02_대상물건입력'!B11)/'02_대상물건입력'!B11,"")</f>
        <v/>
      </c>
      <c r="S2111" s="152">
        <f>IFERROR(ABS(J2111-'02_대상물건입력'!B10),"")</f>
        <v/>
      </c>
      <c r="T2111" s="152">
        <f>IFERROR(ABS('01_설정'!B4-F2111),"")</f>
        <v/>
      </c>
      <c r="U2111" s="152">
        <f>IFERROR(ABS(K2111-YEAR('02_대상물건입력'!B14)),"")</f>
        <v/>
      </c>
      <c r="V2111" s="152">
        <f>IF(B2111="","",IF(AND(E2111&gt;0,F2111&gt;0,H2111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2111=1,TRUE()),R2111&lt;='01_설정'!B5,S2111&lt;='01_설정'!B6,T2111&lt;='01_설정'!B7,U2111&lt;='01_설정'!B8),"Y",""))</f>
        <v/>
      </c>
      <c r="W2111" s="172">
        <f>IF(V2111&lt;&gt;"Y","",MAX(0,(1-R2111/'01_설정'!B5))*'01_설정'!B14+MAX(0,(1-S2111/'01_설정'!B6))*'01_설정'!B15+MAX(0,(1-T2111/'01_설정'!B7))*'01_설정'!B16+MAX(0,(1-U2111/'01_설정'!B8))*'01_설정'!B17+O2111*'01_설정'!B11+Q2111*'01_설정'!B12+P2111*'01_설정'!B13+IF(Z2111="",0,Z2111))</f>
        <v/>
      </c>
      <c r="X2111" s="152">
        <f>IF(W2111="","",1+COUNTIFS($W$4:$W$3003,"&gt;"&amp;W2111)+COUNTIFS($W$4:W2111,W2111)-1)</f>
        <v/>
      </c>
      <c r="Y2111" s="175">
        <f>IF(OR(I2111="",'02_대상물건입력'!B19="",'02_대상물건입력'!B19&lt;=0),"",ABS(I2111-'02_대상물건입력'!B19)/'02_대상물건입력'!B19)</f>
        <v/>
      </c>
      <c r="Z2111" s="172">
        <f>IF(OR(Y2111="",'01_설정'!B31="",'01_설정'!B31&lt;=0,'01_설정'!B32="",'01_설정'!B32&lt;=0),"",MAX(0,(1-Y2111/'01_설정'!B32))*'01_설정'!B31)</f>
        <v/>
      </c>
    </row>
    <row r="2112" ht="17.25" customHeight="1">
      <c r="A2112" s="152">
        <f>IF(INDEX('04A_국토부원자료'!$A:$A,ROW()+1)="","",ROW()-3)</f>
        <v/>
      </c>
      <c r="B2112" s="48">
        <f>IFERROR(INDEX('04A_국토부원자료'!$A:$T,ROW()+1,MATCH("시군구",'04A_국토부원자료'!$A$4:$T$4,0)),"")</f>
        <v/>
      </c>
      <c r="C2112" s="48">
        <f>IF(B2112="","",IFERROR(INDEX('04A_국토부원자료'!$A:$T,ROW()+1,MATCH("번지",'04A_국토부원자료'!$A$4:$T$4,0)),""))</f>
        <v/>
      </c>
      <c r="D2112" s="48">
        <f>IF(B2112="","",IF(Q2112=1,'02_대상물건입력'!$B$8,IFERROR(INDEX('04A_국토부원자료'!$A:$T,ROW()+1,MATCH("단지명",'04A_국토부원자료'!$A$4:$T$4,0)),"")))</f>
        <v/>
      </c>
      <c r="E2112" s="172">
        <f>IFERROR(VALUE(SUBSTITUTE(INDEX('04A_국토부원자료'!$A:$T,ROW()+1,MATCH("전용면적(㎡)",'04A_국토부원자료'!$A$4:$T$4,0)),",","")),"")</f>
        <v/>
      </c>
      <c r="F21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12" s="51">
        <f>IFERROR(VALUE(SUBSTITUTE(INDEX('04A_국토부원자료'!$A:$T,ROW()+1,MATCH("거래금액(만원)",'04A_국토부원자료'!$A$4:$T$4,0)),",","")),"")</f>
        <v/>
      </c>
      <c r="H2112" s="174">
        <f>IF(G2112="","",G2112*10000)</f>
        <v/>
      </c>
      <c r="I2112" s="174">
        <f>IFERROR(IF(AND(H2112&gt;0,E2112&gt;0),H2112/E2112,""),"")</f>
        <v/>
      </c>
      <c r="J2112" s="152">
        <f>IFERROR(VALUE(SUBSTITUTE(INDEX('04A_국토부원자료'!$A:$T,ROW()+1,MATCH("층",'04A_국토부원자료'!$A$4:$T$4,0)),",","")),"")</f>
        <v/>
      </c>
      <c r="K2112" s="152">
        <f>IFERROR(VALUE(SUBSTITUTE(INDEX('04A_국토부원자료'!$A:$T,ROW()+1,MATCH("건축년도",'04A_국토부원자료'!$A$4:$T$4,0)),",","")),"")</f>
        <v/>
      </c>
      <c r="L2112" s="48">
        <f>IFERROR(INDEX('04A_국토부원자료'!$A:$T,ROW()+1,MATCH("도로명",'04A_국토부원자료'!$A$4:$T$4,0)),"")</f>
        <v/>
      </c>
      <c r="M2112" s="48">
        <f>IFERROR(INDEX('04A_국토부원자료'!$A:$T,ROW()+1,MATCH("거래유형",'04A_국토부원자료'!$A$4:$T$4,0)),"")</f>
        <v/>
      </c>
      <c r="N2112" s="152">
        <f>IF(B2112="","",IF('02_대상물건입력'!B5="",1,IF(ISNUMBER(SEARCH('02_대상물건입력'!B5,B2112)),1,0)))</f>
        <v/>
      </c>
      <c r="O2112" s="152">
        <f>IF(B2112="","",IF('02_대상물건입력'!B6="",1,IF(ISNUMBER(SEARCH('02_대상물건입력'!B6,B2112)),1,0)))</f>
        <v/>
      </c>
      <c r="P2112" s="152">
        <f>IF(L2112="","",IF('02_대상물건입력'!B15="",0,IF(ISNUMBER(SEARCH('02_대상물건입력'!B15,L2112)),1,0)))</f>
        <v/>
      </c>
      <c r="Q2112" s="152">
        <f>IF(OR(C2112="",L2112=""),0,IF(AND(TRIM(C2112)=TRIM(RIGHT(SUBSTITUTE(TRIM('02_대상물건입력'!$B$7)," ",REPT(" ",99)),99)),IF('02_대상물건입력'!B15="",TRUE(),ISNUMBER(SEARCH('02_대상물건입력'!B15,L2112)))),1,0))</f>
        <v/>
      </c>
      <c r="R2112" s="175">
        <f>IFERROR(ABS(E2112-'02_대상물건입력'!B11)/'02_대상물건입력'!B11,"")</f>
        <v/>
      </c>
      <c r="S2112" s="152">
        <f>IFERROR(ABS(J2112-'02_대상물건입력'!B10),"")</f>
        <v/>
      </c>
      <c r="T2112" s="152">
        <f>IFERROR(ABS('01_설정'!B4-F2112),"")</f>
        <v/>
      </c>
      <c r="U2112" s="152">
        <f>IFERROR(ABS(K2112-YEAR('02_대상물건입력'!B14)),"")</f>
        <v/>
      </c>
      <c r="V2112" s="152">
        <f>IF(B2112="","",IF(AND(E2112&gt;0,F2112&gt;0,H2112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2112=1,TRUE()),R2112&lt;='01_설정'!B5,S2112&lt;='01_설정'!B6,T2112&lt;='01_설정'!B7,U2112&lt;='01_설정'!B8),"Y",""))</f>
        <v/>
      </c>
      <c r="W2112" s="172">
        <f>IF(V2112&lt;&gt;"Y","",MAX(0,(1-R2112/'01_설정'!B5))*'01_설정'!B14+MAX(0,(1-S2112/'01_설정'!B6))*'01_설정'!B15+MAX(0,(1-T2112/'01_설정'!B7))*'01_설정'!B16+MAX(0,(1-U2112/'01_설정'!B8))*'01_설정'!B17+O2112*'01_설정'!B11+Q2112*'01_설정'!B12+P2112*'01_설정'!B13+IF(Z2112="",0,Z2112))</f>
        <v/>
      </c>
      <c r="X2112" s="152">
        <f>IF(W2112="","",1+COUNTIFS($W$4:$W$3003,"&gt;"&amp;W2112)+COUNTIFS($W$4:W2112,W2112)-1)</f>
        <v/>
      </c>
      <c r="Y2112" s="175">
        <f>IF(OR(I2112="",'02_대상물건입력'!B19="",'02_대상물건입력'!B19&lt;=0),"",ABS(I2112-'02_대상물건입력'!B19)/'02_대상물건입력'!B19)</f>
        <v/>
      </c>
      <c r="Z2112" s="172">
        <f>IF(OR(Y2112="",'01_설정'!B31="",'01_설정'!B31&lt;=0,'01_설정'!B32="",'01_설정'!B32&lt;=0),"",MAX(0,(1-Y2112/'01_설정'!B32))*'01_설정'!B31)</f>
        <v/>
      </c>
    </row>
    <row r="2113" ht="17.25" customHeight="1">
      <c r="A2113" s="152">
        <f>IF(INDEX('04A_국토부원자료'!$A:$A,ROW()+1)="","",ROW()-3)</f>
        <v/>
      </c>
      <c r="B2113" s="48">
        <f>IFERROR(INDEX('04A_국토부원자료'!$A:$T,ROW()+1,MATCH("시군구",'04A_국토부원자료'!$A$4:$T$4,0)),"")</f>
        <v/>
      </c>
      <c r="C2113" s="48">
        <f>IF(B2113="","",IFERROR(INDEX('04A_국토부원자료'!$A:$T,ROW()+1,MATCH("번지",'04A_국토부원자료'!$A$4:$T$4,0)),""))</f>
        <v/>
      </c>
      <c r="D2113" s="48">
        <f>IF(B2113="","",IF(Q2113=1,'02_대상물건입력'!$B$8,IFERROR(INDEX('04A_국토부원자료'!$A:$T,ROW()+1,MATCH("단지명",'04A_국토부원자료'!$A$4:$T$4,0)),"")))</f>
        <v/>
      </c>
      <c r="E2113" s="172">
        <f>IFERROR(VALUE(SUBSTITUTE(INDEX('04A_국토부원자료'!$A:$T,ROW()+1,MATCH("전용면적(㎡)",'04A_국토부원자료'!$A$4:$T$4,0)),",","")),"")</f>
        <v/>
      </c>
      <c r="F21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13" s="51">
        <f>IFERROR(VALUE(SUBSTITUTE(INDEX('04A_국토부원자료'!$A:$T,ROW()+1,MATCH("거래금액(만원)",'04A_국토부원자료'!$A$4:$T$4,0)),",","")),"")</f>
        <v/>
      </c>
      <c r="H2113" s="174">
        <f>IF(G2113="","",G2113*10000)</f>
        <v/>
      </c>
      <c r="I2113" s="174">
        <f>IFERROR(IF(AND(H2113&gt;0,E2113&gt;0),H2113/E2113,""),"")</f>
        <v/>
      </c>
      <c r="J2113" s="152">
        <f>IFERROR(VALUE(SUBSTITUTE(INDEX('04A_국토부원자료'!$A:$T,ROW()+1,MATCH("층",'04A_국토부원자료'!$A$4:$T$4,0)),",","")),"")</f>
        <v/>
      </c>
      <c r="K2113" s="152">
        <f>IFERROR(VALUE(SUBSTITUTE(INDEX('04A_국토부원자료'!$A:$T,ROW()+1,MATCH("건축년도",'04A_국토부원자료'!$A$4:$T$4,0)),",","")),"")</f>
        <v/>
      </c>
      <c r="L2113" s="48">
        <f>IFERROR(INDEX('04A_국토부원자료'!$A:$T,ROW()+1,MATCH("도로명",'04A_국토부원자료'!$A$4:$T$4,0)),"")</f>
        <v/>
      </c>
      <c r="M2113" s="48">
        <f>IFERROR(INDEX('04A_국토부원자료'!$A:$T,ROW()+1,MATCH("거래유형",'04A_국토부원자료'!$A$4:$T$4,0)),"")</f>
        <v/>
      </c>
      <c r="N2113" s="152">
        <f>IF(B2113="","",IF('02_대상물건입력'!B5="",1,IF(ISNUMBER(SEARCH('02_대상물건입력'!B5,B2113)),1,0)))</f>
        <v/>
      </c>
      <c r="O2113" s="152">
        <f>IF(B2113="","",IF('02_대상물건입력'!B6="",1,IF(ISNUMBER(SEARCH('02_대상물건입력'!B6,B2113)),1,0)))</f>
        <v/>
      </c>
      <c r="P2113" s="152">
        <f>IF(L2113="","",IF('02_대상물건입력'!B15="",0,IF(ISNUMBER(SEARCH('02_대상물건입력'!B15,L2113)),1,0)))</f>
        <v/>
      </c>
      <c r="Q2113" s="152">
        <f>IF(OR(C2113="",L2113=""),0,IF(AND(TRIM(C2113)=TRIM(RIGHT(SUBSTITUTE(TRIM('02_대상물건입력'!$B$7)," ",REPT(" ",99)),99)),IF('02_대상물건입력'!B15="",TRUE(),ISNUMBER(SEARCH('02_대상물건입력'!B15,L2113)))),1,0))</f>
        <v/>
      </c>
      <c r="R2113" s="175">
        <f>IFERROR(ABS(E2113-'02_대상물건입력'!B11)/'02_대상물건입력'!B11,"")</f>
        <v/>
      </c>
      <c r="S2113" s="152">
        <f>IFERROR(ABS(J2113-'02_대상물건입력'!B10),"")</f>
        <v/>
      </c>
      <c r="T2113" s="152">
        <f>IFERROR(ABS('01_설정'!B4-F2113),"")</f>
        <v/>
      </c>
      <c r="U2113" s="152">
        <f>IFERROR(ABS(K2113-YEAR('02_대상물건입력'!B14)),"")</f>
        <v/>
      </c>
      <c r="V2113" s="152">
        <f>IF(B2113="","",IF(AND(E2113&gt;0,F2113&gt;0,H2113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2113=1,TRUE()),R2113&lt;='01_설정'!B5,S2113&lt;='01_설정'!B6,T2113&lt;='01_설정'!B7,U2113&lt;='01_설정'!B8),"Y",""))</f>
        <v/>
      </c>
      <c r="W2113" s="172">
        <f>IF(V2113&lt;&gt;"Y","",MAX(0,(1-R2113/'01_설정'!B5))*'01_설정'!B14+MAX(0,(1-S2113/'01_설정'!B6))*'01_설정'!B15+MAX(0,(1-T2113/'01_설정'!B7))*'01_설정'!B16+MAX(0,(1-U2113/'01_설정'!B8))*'01_설정'!B17+O2113*'01_설정'!B11+Q2113*'01_설정'!B12+P2113*'01_설정'!B13+IF(Z2113="",0,Z2113))</f>
        <v/>
      </c>
      <c r="X2113" s="152">
        <f>IF(W2113="","",1+COUNTIFS($W$4:$W$3003,"&gt;"&amp;W2113)+COUNTIFS($W$4:W2113,W2113)-1)</f>
        <v/>
      </c>
      <c r="Y2113" s="175">
        <f>IF(OR(I2113="",'02_대상물건입력'!B19="",'02_대상물건입력'!B19&lt;=0),"",ABS(I2113-'02_대상물건입력'!B19)/'02_대상물건입력'!B19)</f>
        <v/>
      </c>
      <c r="Z2113" s="172">
        <f>IF(OR(Y2113="",'01_설정'!B31="",'01_설정'!B31&lt;=0,'01_설정'!B32="",'01_설정'!B32&lt;=0),"",MAX(0,(1-Y2113/'01_설정'!B32))*'01_설정'!B31)</f>
        <v/>
      </c>
    </row>
    <row r="2114" ht="17.25" customHeight="1">
      <c r="A2114" s="152">
        <f>IF(INDEX('04A_국토부원자료'!$A:$A,ROW()+1)="","",ROW()-3)</f>
        <v/>
      </c>
      <c r="B2114" s="48">
        <f>IFERROR(INDEX('04A_국토부원자료'!$A:$T,ROW()+1,MATCH("시군구",'04A_국토부원자료'!$A$4:$T$4,0)),"")</f>
        <v/>
      </c>
      <c r="C2114" s="48">
        <f>IF(B2114="","",IFERROR(INDEX('04A_국토부원자료'!$A:$T,ROW()+1,MATCH("번지",'04A_국토부원자료'!$A$4:$T$4,0)),""))</f>
        <v/>
      </c>
      <c r="D2114" s="48">
        <f>IF(B2114="","",IF(Q2114=1,'02_대상물건입력'!$B$8,IFERROR(INDEX('04A_국토부원자료'!$A:$T,ROW()+1,MATCH("단지명",'04A_국토부원자료'!$A$4:$T$4,0)),"")))</f>
        <v/>
      </c>
      <c r="E2114" s="172">
        <f>IFERROR(VALUE(SUBSTITUTE(INDEX('04A_국토부원자료'!$A:$T,ROW()+1,MATCH("전용면적(㎡)",'04A_국토부원자료'!$A$4:$T$4,0)),",","")),"")</f>
        <v/>
      </c>
      <c r="F21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14" s="51">
        <f>IFERROR(VALUE(SUBSTITUTE(INDEX('04A_국토부원자료'!$A:$T,ROW()+1,MATCH("거래금액(만원)",'04A_국토부원자료'!$A$4:$T$4,0)),",","")),"")</f>
        <v/>
      </c>
      <c r="H2114" s="174">
        <f>IF(G2114="","",G2114*10000)</f>
        <v/>
      </c>
      <c r="I2114" s="174">
        <f>IFERROR(IF(AND(H2114&gt;0,E2114&gt;0),H2114/E2114,""),"")</f>
        <v/>
      </c>
      <c r="J2114" s="152">
        <f>IFERROR(VALUE(SUBSTITUTE(INDEX('04A_국토부원자료'!$A:$T,ROW()+1,MATCH("층",'04A_국토부원자료'!$A$4:$T$4,0)),",","")),"")</f>
        <v/>
      </c>
      <c r="K2114" s="152">
        <f>IFERROR(VALUE(SUBSTITUTE(INDEX('04A_국토부원자료'!$A:$T,ROW()+1,MATCH("건축년도",'04A_국토부원자료'!$A$4:$T$4,0)),",","")),"")</f>
        <v/>
      </c>
      <c r="L2114" s="48">
        <f>IFERROR(INDEX('04A_국토부원자료'!$A:$T,ROW()+1,MATCH("도로명",'04A_국토부원자료'!$A$4:$T$4,0)),"")</f>
        <v/>
      </c>
      <c r="M2114" s="48">
        <f>IFERROR(INDEX('04A_국토부원자료'!$A:$T,ROW()+1,MATCH("거래유형",'04A_국토부원자료'!$A$4:$T$4,0)),"")</f>
        <v/>
      </c>
      <c r="N2114" s="152">
        <f>IF(B2114="","",IF('02_대상물건입력'!B5="",1,IF(ISNUMBER(SEARCH('02_대상물건입력'!B5,B2114)),1,0)))</f>
        <v/>
      </c>
      <c r="O2114" s="152">
        <f>IF(B2114="","",IF('02_대상물건입력'!B6="",1,IF(ISNUMBER(SEARCH('02_대상물건입력'!B6,B2114)),1,0)))</f>
        <v/>
      </c>
      <c r="P2114" s="152">
        <f>IF(L2114="","",IF('02_대상물건입력'!B15="",0,IF(ISNUMBER(SEARCH('02_대상물건입력'!B15,L2114)),1,0)))</f>
        <v/>
      </c>
      <c r="Q2114" s="152">
        <f>IF(OR(C2114="",L2114=""),0,IF(AND(TRIM(C2114)=TRIM(RIGHT(SUBSTITUTE(TRIM('02_대상물건입력'!$B$7)," ",REPT(" ",99)),99)),IF('02_대상물건입력'!B15="",TRUE(),ISNUMBER(SEARCH('02_대상물건입력'!B15,L2114)))),1,0))</f>
        <v/>
      </c>
      <c r="R2114" s="175">
        <f>IFERROR(ABS(E2114-'02_대상물건입력'!B11)/'02_대상물건입력'!B11,"")</f>
        <v/>
      </c>
      <c r="S2114" s="152">
        <f>IFERROR(ABS(J2114-'02_대상물건입력'!B10),"")</f>
        <v/>
      </c>
      <c r="T2114" s="152">
        <f>IFERROR(ABS('01_설정'!B4-F2114),"")</f>
        <v/>
      </c>
      <c r="U2114" s="152">
        <f>IFERROR(ABS(K2114-YEAR('02_대상물건입력'!B14)),"")</f>
        <v/>
      </c>
      <c r="V2114" s="152">
        <f>IF(B2114="","",IF(AND(E2114&gt;0,F2114&gt;0,H2114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2114=1,TRUE()),R2114&lt;='01_설정'!B5,S2114&lt;='01_설정'!B6,T2114&lt;='01_설정'!B7,U2114&lt;='01_설정'!B8),"Y",""))</f>
        <v/>
      </c>
      <c r="W2114" s="172">
        <f>IF(V2114&lt;&gt;"Y","",MAX(0,(1-R2114/'01_설정'!B5))*'01_설정'!B14+MAX(0,(1-S2114/'01_설정'!B6))*'01_설정'!B15+MAX(0,(1-T2114/'01_설정'!B7))*'01_설정'!B16+MAX(0,(1-U2114/'01_설정'!B8))*'01_설정'!B17+O2114*'01_설정'!B11+Q2114*'01_설정'!B12+P2114*'01_설정'!B13+IF(Z2114="",0,Z2114))</f>
        <v/>
      </c>
      <c r="X2114" s="152">
        <f>IF(W2114="","",1+COUNTIFS($W$4:$W$3003,"&gt;"&amp;W2114)+COUNTIFS($W$4:W2114,W2114)-1)</f>
        <v/>
      </c>
      <c r="Y2114" s="175">
        <f>IF(OR(I2114="",'02_대상물건입력'!B19="",'02_대상물건입력'!B19&lt;=0),"",ABS(I2114-'02_대상물건입력'!B19)/'02_대상물건입력'!B19)</f>
        <v/>
      </c>
      <c r="Z2114" s="172">
        <f>IF(OR(Y2114="",'01_설정'!B31="",'01_설정'!B31&lt;=0,'01_설정'!B32="",'01_설정'!B32&lt;=0),"",MAX(0,(1-Y2114/'01_설정'!B32))*'01_설정'!B31)</f>
        <v/>
      </c>
    </row>
    <row r="2115" ht="17.25" customHeight="1">
      <c r="A2115" s="152">
        <f>IF(INDEX('04A_국토부원자료'!$A:$A,ROW()+1)="","",ROW()-3)</f>
        <v/>
      </c>
      <c r="B2115" s="48">
        <f>IFERROR(INDEX('04A_국토부원자료'!$A:$T,ROW()+1,MATCH("시군구",'04A_국토부원자료'!$A$4:$T$4,0)),"")</f>
        <v/>
      </c>
      <c r="C2115" s="48">
        <f>IF(B2115="","",IFERROR(INDEX('04A_국토부원자료'!$A:$T,ROW()+1,MATCH("번지",'04A_국토부원자료'!$A$4:$T$4,0)),""))</f>
        <v/>
      </c>
      <c r="D2115" s="48">
        <f>IF(B2115="","",IF(Q2115=1,'02_대상물건입력'!$B$8,IFERROR(INDEX('04A_국토부원자료'!$A:$T,ROW()+1,MATCH("단지명",'04A_국토부원자료'!$A$4:$T$4,0)),"")))</f>
        <v/>
      </c>
      <c r="E2115" s="172">
        <f>IFERROR(VALUE(SUBSTITUTE(INDEX('04A_국토부원자료'!$A:$T,ROW()+1,MATCH("전용면적(㎡)",'04A_국토부원자료'!$A$4:$T$4,0)),",","")),"")</f>
        <v/>
      </c>
      <c r="F21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15" s="51">
        <f>IFERROR(VALUE(SUBSTITUTE(INDEX('04A_국토부원자료'!$A:$T,ROW()+1,MATCH("거래금액(만원)",'04A_국토부원자료'!$A$4:$T$4,0)),",","")),"")</f>
        <v/>
      </c>
      <c r="H2115" s="174">
        <f>IF(G2115="","",G2115*10000)</f>
        <v/>
      </c>
      <c r="I2115" s="174">
        <f>IFERROR(IF(AND(H2115&gt;0,E2115&gt;0),H2115/E2115,""),"")</f>
        <v/>
      </c>
      <c r="J2115" s="152">
        <f>IFERROR(VALUE(SUBSTITUTE(INDEX('04A_국토부원자료'!$A:$T,ROW()+1,MATCH("층",'04A_국토부원자료'!$A$4:$T$4,0)),",","")),"")</f>
        <v/>
      </c>
      <c r="K2115" s="152">
        <f>IFERROR(VALUE(SUBSTITUTE(INDEX('04A_국토부원자료'!$A:$T,ROW()+1,MATCH("건축년도",'04A_국토부원자료'!$A$4:$T$4,0)),",","")),"")</f>
        <v/>
      </c>
      <c r="L2115" s="48">
        <f>IFERROR(INDEX('04A_국토부원자료'!$A:$T,ROW()+1,MATCH("도로명",'04A_국토부원자료'!$A$4:$T$4,0)),"")</f>
        <v/>
      </c>
      <c r="M2115" s="48">
        <f>IFERROR(INDEX('04A_국토부원자료'!$A:$T,ROW()+1,MATCH("거래유형",'04A_국토부원자료'!$A$4:$T$4,0)),"")</f>
        <v/>
      </c>
      <c r="N2115" s="152">
        <f>IF(B2115="","",IF('02_대상물건입력'!B5="",1,IF(ISNUMBER(SEARCH('02_대상물건입력'!B5,B2115)),1,0)))</f>
        <v/>
      </c>
      <c r="O2115" s="152">
        <f>IF(B2115="","",IF('02_대상물건입력'!B6="",1,IF(ISNUMBER(SEARCH('02_대상물건입력'!B6,B2115)),1,0)))</f>
        <v/>
      </c>
      <c r="P2115" s="152">
        <f>IF(L2115="","",IF('02_대상물건입력'!B15="",0,IF(ISNUMBER(SEARCH('02_대상물건입력'!B15,L2115)),1,0)))</f>
        <v/>
      </c>
      <c r="Q2115" s="152">
        <f>IF(OR(C2115="",L2115=""),0,IF(AND(TRIM(C2115)=TRIM(RIGHT(SUBSTITUTE(TRIM('02_대상물건입력'!$B$7)," ",REPT(" ",99)),99)),IF('02_대상물건입력'!B15="",TRUE(),ISNUMBER(SEARCH('02_대상물건입력'!B15,L2115)))),1,0))</f>
        <v/>
      </c>
      <c r="R2115" s="175">
        <f>IFERROR(ABS(E2115-'02_대상물건입력'!B11)/'02_대상물건입력'!B11,"")</f>
        <v/>
      </c>
      <c r="S2115" s="152">
        <f>IFERROR(ABS(J2115-'02_대상물건입력'!B10),"")</f>
        <v/>
      </c>
      <c r="T2115" s="152">
        <f>IFERROR(ABS('01_설정'!B4-F2115),"")</f>
        <v/>
      </c>
      <c r="U2115" s="152">
        <f>IFERROR(ABS(K2115-YEAR('02_대상물건입력'!B14)),"")</f>
        <v/>
      </c>
      <c r="V2115" s="152">
        <f>IF(B2115="","",IF(AND(E2115&gt;0,F2115&gt;0,H2115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2115=1,TRUE()),R2115&lt;='01_설정'!B5,S2115&lt;='01_설정'!B6,T2115&lt;='01_설정'!B7,U2115&lt;='01_설정'!B8),"Y",""))</f>
        <v/>
      </c>
      <c r="W2115" s="172">
        <f>IF(V2115&lt;&gt;"Y","",MAX(0,(1-R2115/'01_설정'!B5))*'01_설정'!B14+MAX(0,(1-S2115/'01_설정'!B6))*'01_설정'!B15+MAX(0,(1-T2115/'01_설정'!B7))*'01_설정'!B16+MAX(0,(1-U2115/'01_설정'!B8))*'01_설정'!B17+O2115*'01_설정'!B11+Q2115*'01_설정'!B12+P2115*'01_설정'!B13+IF(Z2115="",0,Z2115))</f>
        <v/>
      </c>
      <c r="X2115" s="152">
        <f>IF(W2115="","",1+COUNTIFS($W$4:$W$3003,"&gt;"&amp;W2115)+COUNTIFS($W$4:W2115,W2115)-1)</f>
        <v/>
      </c>
      <c r="Y2115" s="175">
        <f>IF(OR(I2115="",'02_대상물건입력'!B19="",'02_대상물건입력'!B19&lt;=0),"",ABS(I2115-'02_대상물건입력'!B19)/'02_대상물건입력'!B19)</f>
        <v/>
      </c>
      <c r="Z2115" s="172">
        <f>IF(OR(Y2115="",'01_설정'!B31="",'01_설정'!B31&lt;=0,'01_설정'!B32="",'01_설정'!B32&lt;=0),"",MAX(0,(1-Y2115/'01_설정'!B32))*'01_설정'!B31)</f>
        <v/>
      </c>
    </row>
    <row r="2116" ht="17.25" customHeight="1">
      <c r="A2116" s="152">
        <f>IF(INDEX('04A_국토부원자료'!$A:$A,ROW()+1)="","",ROW()-3)</f>
        <v/>
      </c>
      <c r="B2116" s="48">
        <f>IFERROR(INDEX('04A_국토부원자료'!$A:$T,ROW()+1,MATCH("시군구",'04A_국토부원자료'!$A$4:$T$4,0)),"")</f>
        <v/>
      </c>
      <c r="C2116" s="48">
        <f>IF(B2116="","",IFERROR(INDEX('04A_국토부원자료'!$A:$T,ROW()+1,MATCH("번지",'04A_국토부원자료'!$A$4:$T$4,0)),""))</f>
        <v/>
      </c>
      <c r="D2116" s="48">
        <f>IF(B2116="","",IF(Q2116=1,'02_대상물건입력'!$B$8,IFERROR(INDEX('04A_국토부원자료'!$A:$T,ROW()+1,MATCH("단지명",'04A_국토부원자료'!$A$4:$T$4,0)),"")))</f>
        <v/>
      </c>
      <c r="E2116" s="172">
        <f>IFERROR(VALUE(SUBSTITUTE(INDEX('04A_국토부원자료'!$A:$T,ROW()+1,MATCH("전용면적(㎡)",'04A_국토부원자료'!$A$4:$T$4,0)),",","")),"")</f>
        <v/>
      </c>
      <c r="F21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16" s="51">
        <f>IFERROR(VALUE(SUBSTITUTE(INDEX('04A_국토부원자료'!$A:$T,ROW()+1,MATCH("거래금액(만원)",'04A_국토부원자료'!$A$4:$T$4,0)),",","")),"")</f>
        <v/>
      </c>
      <c r="H2116" s="174">
        <f>IF(G2116="","",G2116*10000)</f>
        <v/>
      </c>
      <c r="I2116" s="174">
        <f>IFERROR(IF(AND(H2116&gt;0,E2116&gt;0),H2116/E2116,""),"")</f>
        <v/>
      </c>
      <c r="J2116" s="152">
        <f>IFERROR(VALUE(SUBSTITUTE(INDEX('04A_국토부원자료'!$A:$T,ROW()+1,MATCH("층",'04A_국토부원자료'!$A$4:$T$4,0)),",","")),"")</f>
        <v/>
      </c>
      <c r="K2116" s="152">
        <f>IFERROR(VALUE(SUBSTITUTE(INDEX('04A_국토부원자료'!$A:$T,ROW()+1,MATCH("건축년도",'04A_국토부원자료'!$A$4:$T$4,0)),",","")),"")</f>
        <v/>
      </c>
      <c r="L2116" s="48">
        <f>IFERROR(INDEX('04A_국토부원자료'!$A:$T,ROW()+1,MATCH("도로명",'04A_국토부원자료'!$A$4:$T$4,0)),"")</f>
        <v/>
      </c>
      <c r="M2116" s="48">
        <f>IFERROR(INDEX('04A_국토부원자료'!$A:$T,ROW()+1,MATCH("거래유형",'04A_국토부원자료'!$A$4:$T$4,0)),"")</f>
        <v/>
      </c>
      <c r="N2116" s="152">
        <f>IF(B2116="","",IF('02_대상물건입력'!B5="",1,IF(ISNUMBER(SEARCH('02_대상물건입력'!B5,B2116)),1,0)))</f>
        <v/>
      </c>
      <c r="O2116" s="152">
        <f>IF(B2116="","",IF('02_대상물건입력'!B6="",1,IF(ISNUMBER(SEARCH('02_대상물건입력'!B6,B2116)),1,0)))</f>
        <v/>
      </c>
      <c r="P2116" s="152">
        <f>IF(L2116="","",IF('02_대상물건입력'!B15="",0,IF(ISNUMBER(SEARCH('02_대상물건입력'!B15,L2116)),1,0)))</f>
        <v/>
      </c>
      <c r="Q2116" s="152">
        <f>IF(OR(C2116="",L2116=""),0,IF(AND(TRIM(C2116)=TRIM(RIGHT(SUBSTITUTE(TRIM('02_대상물건입력'!$B$7)," ",REPT(" ",99)),99)),IF('02_대상물건입력'!B15="",TRUE(),ISNUMBER(SEARCH('02_대상물건입력'!B15,L2116)))),1,0))</f>
        <v/>
      </c>
      <c r="R2116" s="175">
        <f>IFERROR(ABS(E2116-'02_대상물건입력'!B11)/'02_대상물건입력'!B11,"")</f>
        <v/>
      </c>
      <c r="S2116" s="152">
        <f>IFERROR(ABS(J2116-'02_대상물건입력'!B10),"")</f>
        <v/>
      </c>
      <c r="T2116" s="152">
        <f>IFERROR(ABS('01_설정'!B4-F2116),"")</f>
        <v/>
      </c>
      <c r="U2116" s="152">
        <f>IFERROR(ABS(K2116-YEAR('02_대상물건입력'!B14)),"")</f>
        <v/>
      </c>
      <c r="V2116" s="152">
        <f>IF(B2116="","",IF(AND(E2116&gt;0,F2116&gt;0,H2116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2116=1,TRUE()),R2116&lt;='01_설정'!B5,S2116&lt;='01_설정'!B6,T2116&lt;='01_설정'!B7,U2116&lt;='01_설정'!B8),"Y",""))</f>
        <v/>
      </c>
      <c r="W2116" s="172">
        <f>IF(V2116&lt;&gt;"Y","",MAX(0,(1-R2116/'01_설정'!B5))*'01_설정'!B14+MAX(0,(1-S2116/'01_설정'!B6))*'01_설정'!B15+MAX(0,(1-T2116/'01_설정'!B7))*'01_설정'!B16+MAX(0,(1-U2116/'01_설정'!B8))*'01_설정'!B17+O2116*'01_설정'!B11+Q2116*'01_설정'!B12+P2116*'01_설정'!B13+IF(Z2116="",0,Z2116))</f>
        <v/>
      </c>
      <c r="X2116" s="152">
        <f>IF(W2116="","",1+COUNTIFS($W$4:$W$3003,"&gt;"&amp;W2116)+COUNTIFS($W$4:W2116,W2116)-1)</f>
        <v/>
      </c>
      <c r="Y2116" s="175">
        <f>IF(OR(I2116="",'02_대상물건입력'!B19="",'02_대상물건입력'!B19&lt;=0),"",ABS(I2116-'02_대상물건입력'!B19)/'02_대상물건입력'!B19)</f>
        <v/>
      </c>
      <c r="Z2116" s="172">
        <f>IF(OR(Y2116="",'01_설정'!B31="",'01_설정'!B31&lt;=0,'01_설정'!B32="",'01_설정'!B32&lt;=0),"",MAX(0,(1-Y2116/'01_설정'!B32))*'01_설정'!B31)</f>
        <v/>
      </c>
    </row>
    <row r="2117" ht="17.25" customHeight="1">
      <c r="A2117" s="152">
        <f>IF(INDEX('04A_국토부원자료'!$A:$A,ROW()+1)="","",ROW()-3)</f>
        <v/>
      </c>
      <c r="B2117" s="48">
        <f>IFERROR(INDEX('04A_국토부원자료'!$A:$T,ROW()+1,MATCH("시군구",'04A_국토부원자료'!$A$4:$T$4,0)),"")</f>
        <v/>
      </c>
      <c r="C2117" s="48">
        <f>IF(B2117="","",IFERROR(INDEX('04A_국토부원자료'!$A:$T,ROW()+1,MATCH("번지",'04A_국토부원자료'!$A$4:$T$4,0)),""))</f>
        <v/>
      </c>
      <c r="D2117" s="48">
        <f>IF(B2117="","",IF(Q2117=1,'02_대상물건입력'!$B$8,IFERROR(INDEX('04A_국토부원자료'!$A:$T,ROW()+1,MATCH("단지명",'04A_국토부원자료'!$A$4:$T$4,0)),"")))</f>
        <v/>
      </c>
      <c r="E2117" s="172">
        <f>IFERROR(VALUE(SUBSTITUTE(INDEX('04A_국토부원자료'!$A:$T,ROW()+1,MATCH("전용면적(㎡)",'04A_국토부원자료'!$A$4:$T$4,0)),",","")),"")</f>
        <v/>
      </c>
      <c r="F21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17" s="51">
        <f>IFERROR(VALUE(SUBSTITUTE(INDEX('04A_국토부원자료'!$A:$T,ROW()+1,MATCH("거래금액(만원)",'04A_국토부원자료'!$A$4:$T$4,0)),",","")),"")</f>
        <v/>
      </c>
      <c r="H2117" s="174">
        <f>IF(G2117="","",G2117*10000)</f>
        <v/>
      </c>
      <c r="I2117" s="174">
        <f>IFERROR(IF(AND(H2117&gt;0,E2117&gt;0),H2117/E2117,""),"")</f>
        <v/>
      </c>
      <c r="J2117" s="152">
        <f>IFERROR(VALUE(SUBSTITUTE(INDEX('04A_국토부원자료'!$A:$T,ROW()+1,MATCH("층",'04A_국토부원자료'!$A$4:$T$4,0)),",","")),"")</f>
        <v/>
      </c>
      <c r="K2117" s="152">
        <f>IFERROR(VALUE(SUBSTITUTE(INDEX('04A_국토부원자료'!$A:$T,ROW()+1,MATCH("건축년도",'04A_국토부원자료'!$A$4:$T$4,0)),",","")),"")</f>
        <v/>
      </c>
      <c r="L2117" s="48">
        <f>IFERROR(INDEX('04A_국토부원자료'!$A:$T,ROW()+1,MATCH("도로명",'04A_국토부원자료'!$A$4:$T$4,0)),"")</f>
        <v/>
      </c>
      <c r="M2117" s="48">
        <f>IFERROR(INDEX('04A_국토부원자료'!$A:$T,ROW()+1,MATCH("거래유형",'04A_국토부원자료'!$A$4:$T$4,0)),"")</f>
        <v/>
      </c>
      <c r="N2117" s="152">
        <f>IF(B2117="","",IF('02_대상물건입력'!B5="",1,IF(ISNUMBER(SEARCH('02_대상물건입력'!B5,B2117)),1,0)))</f>
        <v/>
      </c>
      <c r="O2117" s="152">
        <f>IF(B2117="","",IF('02_대상물건입력'!B6="",1,IF(ISNUMBER(SEARCH('02_대상물건입력'!B6,B2117)),1,0)))</f>
        <v/>
      </c>
      <c r="P2117" s="152">
        <f>IF(L2117="","",IF('02_대상물건입력'!B15="",0,IF(ISNUMBER(SEARCH('02_대상물건입력'!B15,L2117)),1,0)))</f>
        <v/>
      </c>
      <c r="Q2117" s="152">
        <f>IF(OR(C2117="",L2117=""),0,IF(AND(TRIM(C2117)=TRIM(RIGHT(SUBSTITUTE(TRIM('02_대상물건입력'!$B$7)," ",REPT(" ",99)),99)),IF('02_대상물건입력'!B15="",TRUE(),ISNUMBER(SEARCH('02_대상물건입력'!B15,L2117)))),1,0))</f>
        <v/>
      </c>
      <c r="R2117" s="175">
        <f>IFERROR(ABS(E2117-'02_대상물건입력'!B11)/'02_대상물건입력'!B11,"")</f>
        <v/>
      </c>
      <c r="S2117" s="152">
        <f>IFERROR(ABS(J2117-'02_대상물건입력'!B10),"")</f>
        <v/>
      </c>
      <c r="T2117" s="152">
        <f>IFERROR(ABS('01_설정'!B4-F2117),"")</f>
        <v/>
      </c>
      <c r="U2117" s="152">
        <f>IFERROR(ABS(K2117-YEAR('02_대상물건입력'!B14)),"")</f>
        <v/>
      </c>
      <c r="V2117" s="152">
        <f>IF(B2117="","",IF(AND(E2117&gt;0,F2117&gt;0,H2117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2117=1,TRUE()),R2117&lt;='01_설정'!B5,S2117&lt;='01_설정'!B6,T2117&lt;='01_설정'!B7,U2117&lt;='01_설정'!B8),"Y",""))</f>
        <v/>
      </c>
      <c r="W2117" s="172">
        <f>IF(V2117&lt;&gt;"Y","",MAX(0,(1-R2117/'01_설정'!B5))*'01_설정'!B14+MAX(0,(1-S2117/'01_설정'!B6))*'01_설정'!B15+MAX(0,(1-T2117/'01_설정'!B7))*'01_설정'!B16+MAX(0,(1-U2117/'01_설정'!B8))*'01_설정'!B17+O2117*'01_설정'!B11+Q2117*'01_설정'!B12+P2117*'01_설정'!B13+IF(Z2117="",0,Z2117))</f>
        <v/>
      </c>
      <c r="X2117" s="152">
        <f>IF(W2117="","",1+COUNTIFS($W$4:$W$3003,"&gt;"&amp;W2117)+COUNTIFS($W$4:W2117,W2117)-1)</f>
        <v/>
      </c>
      <c r="Y2117" s="175">
        <f>IF(OR(I2117="",'02_대상물건입력'!B19="",'02_대상물건입력'!B19&lt;=0),"",ABS(I2117-'02_대상물건입력'!B19)/'02_대상물건입력'!B19)</f>
        <v/>
      </c>
      <c r="Z2117" s="172">
        <f>IF(OR(Y2117="",'01_설정'!B31="",'01_설정'!B31&lt;=0,'01_설정'!B32="",'01_설정'!B32&lt;=0),"",MAX(0,(1-Y2117/'01_설정'!B32))*'01_설정'!B31)</f>
        <v/>
      </c>
    </row>
    <row r="2118" ht="17.25" customHeight="1">
      <c r="A2118" s="152">
        <f>IF(INDEX('04A_국토부원자료'!$A:$A,ROW()+1)="","",ROW()-3)</f>
        <v/>
      </c>
      <c r="B2118" s="48">
        <f>IFERROR(INDEX('04A_국토부원자료'!$A:$T,ROW()+1,MATCH("시군구",'04A_국토부원자료'!$A$4:$T$4,0)),"")</f>
        <v/>
      </c>
      <c r="C2118" s="48">
        <f>IF(B2118="","",IFERROR(INDEX('04A_국토부원자료'!$A:$T,ROW()+1,MATCH("번지",'04A_국토부원자료'!$A$4:$T$4,0)),""))</f>
        <v/>
      </c>
      <c r="D2118" s="48">
        <f>IF(B2118="","",IF(Q2118=1,'02_대상물건입력'!$B$8,IFERROR(INDEX('04A_국토부원자료'!$A:$T,ROW()+1,MATCH("단지명",'04A_국토부원자료'!$A$4:$T$4,0)),"")))</f>
        <v/>
      </c>
      <c r="E2118" s="172">
        <f>IFERROR(VALUE(SUBSTITUTE(INDEX('04A_국토부원자료'!$A:$T,ROW()+1,MATCH("전용면적(㎡)",'04A_국토부원자료'!$A$4:$T$4,0)),",","")),"")</f>
        <v/>
      </c>
      <c r="F21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18" s="51">
        <f>IFERROR(VALUE(SUBSTITUTE(INDEX('04A_국토부원자료'!$A:$T,ROW()+1,MATCH("거래금액(만원)",'04A_국토부원자료'!$A$4:$T$4,0)),",","")),"")</f>
        <v/>
      </c>
      <c r="H2118" s="174">
        <f>IF(G2118="","",G2118*10000)</f>
        <v/>
      </c>
      <c r="I2118" s="174">
        <f>IFERROR(IF(AND(H2118&gt;0,E2118&gt;0),H2118/E2118,""),"")</f>
        <v/>
      </c>
      <c r="J2118" s="152">
        <f>IFERROR(VALUE(SUBSTITUTE(INDEX('04A_국토부원자료'!$A:$T,ROW()+1,MATCH("층",'04A_국토부원자료'!$A$4:$T$4,0)),",","")),"")</f>
        <v/>
      </c>
      <c r="K2118" s="152">
        <f>IFERROR(VALUE(SUBSTITUTE(INDEX('04A_국토부원자료'!$A:$T,ROW()+1,MATCH("건축년도",'04A_국토부원자료'!$A$4:$T$4,0)),",","")),"")</f>
        <v/>
      </c>
      <c r="L2118" s="48">
        <f>IFERROR(INDEX('04A_국토부원자료'!$A:$T,ROW()+1,MATCH("도로명",'04A_국토부원자료'!$A$4:$T$4,0)),"")</f>
        <v/>
      </c>
      <c r="M2118" s="48">
        <f>IFERROR(INDEX('04A_국토부원자료'!$A:$T,ROW()+1,MATCH("거래유형",'04A_국토부원자료'!$A$4:$T$4,0)),"")</f>
        <v/>
      </c>
      <c r="N2118" s="152">
        <f>IF(B2118="","",IF('02_대상물건입력'!B5="",1,IF(ISNUMBER(SEARCH('02_대상물건입력'!B5,B2118)),1,0)))</f>
        <v/>
      </c>
      <c r="O2118" s="152">
        <f>IF(B2118="","",IF('02_대상물건입력'!B6="",1,IF(ISNUMBER(SEARCH('02_대상물건입력'!B6,B2118)),1,0)))</f>
        <v/>
      </c>
      <c r="P2118" s="152">
        <f>IF(L2118="","",IF('02_대상물건입력'!B15="",0,IF(ISNUMBER(SEARCH('02_대상물건입력'!B15,L2118)),1,0)))</f>
        <v/>
      </c>
      <c r="Q2118" s="152">
        <f>IF(OR(C2118="",L2118=""),0,IF(AND(TRIM(C2118)=TRIM(RIGHT(SUBSTITUTE(TRIM('02_대상물건입력'!$B$7)," ",REPT(" ",99)),99)),IF('02_대상물건입력'!B15="",TRUE(),ISNUMBER(SEARCH('02_대상물건입력'!B15,L2118)))),1,0))</f>
        <v/>
      </c>
      <c r="R2118" s="175">
        <f>IFERROR(ABS(E2118-'02_대상물건입력'!B11)/'02_대상물건입력'!B11,"")</f>
        <v/>
      </c>
      <c r="S2118" s="152">
        <f>IFERROR(ABS(J2118-'02_대상물건입력'!B10),"")</f>
        <v/>
      </c>
      <c r="T2118" s="152">
        <f>IFERROR(ABS('01_설정'!B4-F2118),"")</f>
        <v/>
      </c>
      <c r="U2118" s="152">
        <f>IFERROR(ABS(K2118-YEAR('02_대상물건입력'!B14)),"")</f>
        <v/>
      </c>
      <c r="V2118" s="152">
        <f>IF(B2118="","",IF(AND(E2118&gt;0,F2118&gt;0,H2118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2118=1,TRUE()),R2118&lt;='01_설정'!B5,S2118&lt;='01_설정'!B6,T2118&lt;='01_설정'!B7,U2118&lt;='01_설정'!B8),"Y",""))</f>
        <v/>
      </c>
      <c r="W2118" s="172">
        <f>IF(V2118&lt;&gt;"Y","",MAX(0,(1-R2118/'01_설정'!B5))*'01_설정'!B14+MAX(0,(1-S2118/'01_설정'!B6))*'01_설정'!B15+MAX(0,(1-T2118/'01_설정'!B7))*'01_설정'!B16+MAX(0,(1-U2118/'01_설정'!B8))*'01_설정'!B17+O2118*'01_설정'!B11+Q2118*'01_설정'!B12+P2118*'01_설정'!B13+IF(Z2118="",0,Z2118))</f>
        <v/>
      </c>
      <c r="X2118" s="152">
        <f>IF(W2118="","",1+COUNTIFS($W$4:$W$3003,"&gt;"&amp;W2118)+COUNTIFS($W$4:W2118,W2118)-1)</f>
        <v/>
      </c>
      <c r="Y2118" s="175">
        <f>IF(OR(I2118="",'02_대상물건입력'!B19="",'02_대상물건입력'!B19&lt;=0),"",ABS(I2118-'02_대상물건입력'!B19)/'02_대상물건입력'!B19)</f>
        <v/>
      </c>
      <c r="Z2118" s="172">
        <f>IF(OR(Y2118="",'01_설정'!B31="",'01_설정'!B31&lt;=0,'01_설정'!B32="",'01_설정'!B32&lt;=0),"",MAX(0,(1-Y2118/'01_설정'!B32))*'01_설정'!B31)</f>
        <v/>
      </c>
    </row>
    <row r="2119" ht="17.25" customHeight="1">
      <c r="A2119" s="152">
        <f>IF(INDEX('04A_국토부원자료'!$A:$A,ROW()+1)="","",ROW()-3)</f>
        <v/>
      </c>
      <c r="B2119" s="48">
        <f>IFERROR(INDEX('04A_국토부원자료'!$A:$T,ROW()+1,MATCH("시군구",'04A_국토부원자료'!$A$4:$T$4,0)),"")</f>
        <v/>
      </c>
      <c r="C2119" s="48">
        <f>IF(B2119="","",IFERROR(INDEX('04A_국토부원자료'!$A:$T,ROW()+1,MATCH("번지",'04A_국토부원자료'!$A$4:$T$4,0)),""))</f>
        <v/>
      </c>
      <c r="D2119" s="48">
        <f>IF(B2119="","",IF(Q2119=1,'02_대상물건입력'!$B$8,IFERROR(INDEX('04A_국토부원자료'!$A:$T,ROW()+1,MATCH("단지명",'04A_국토부원자료'!$A$4:$T$4,0)),"")))</f>
        <v/>
      </c>
      <c r="E2119" s="172">
        <f>IFERROR(VALUE(SUBSTITUTE(INDEX('04A_국토부원자료'!$A:$T,ROW()+1,MATCH("전용면적(㎡)",'04A_국토부원자료'!$A$4:$T$4,0)),",","")),"")</f>
        <v/>
      </c>
      <c r="F21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19" s="51">
        <f>IFERROR(VALUE(SUBSTITUTE(INDEX('04A_국토부원자료'!$A:$T,ROW()+1,MATCH("거래금액(만원)",'04A_국토부원자료'!$A$4:$T$4,0)),",","")),"")</f>
        <v/>
      </c>
      <c r="H2119" s="174">
        <f>IF(G2119="","",G2119*10000)</f>
        <v/>
      </c>
      <c r="I2119" s="174">
        <f>IFERROR(IF(AND(H2119&gt;0,E2119&gt;0),H2119/E2119,""),"")</f>
        <v/>
      </c>
      <c r="J2119" s="152">
        <f>IFERROR(VALUE(SUBSTITUTE(INDEX('04A_국토부원자료'!$A:$T,ROW()+1,MATCH("층",'04A_국토부원자료'!$A$4:$T$4,0)),",","")),"")</f>
        <v/>
      </c>
      <c r="K2119" s="152">
        <f>IFERROR(VALUE(SUBSTITUTE(INDEX('04A_국토부원자료'!$A:$T,ROW()+1,MATCH("건축년도",'04A_국토부원자료'!$A$4:$T$4,0)),",","")),"")</f>
        <v/>
      </c>
      <c r="L2119" s="48">
        <f>IFERROR(INDEX('04A_국토부원자료'!$A:$T,ROW()+1,MATCH("도로명",'04A_국토부원자료'!$A$4:$T$4,0)),"")</f>
        <v/>
      </c>
      <c r="M2119" s="48">
        <f>IFERROR(INDEX('04A_국토부원자료'!$A:$T,ROW()+1,MATCH("거래유형",'04A_국토부원자료'!$A$4:$T$4,0)),"")</f>
        <v/>
      </c>
      <c r="N2119" s="152">
        <f>IF(B2119="","",IF('02_대상물건입력'!B5="",1,IF(ISNUMBER(SEARCH('02_대상물건입력'!B5,B2119)),1,0)))</f>
        <v/>
      </c>
      <c r="O2119" s="152">
        <f>IF(B2119="","",IF('02_대상물건입력'!B6="",1,IF(ISNUMBER(SEARCH('02_대상물건입력'!B6,B2119)),1,0)))</f>
        <v/>
      </c>
      <c r="P2119" s="152">
        <f>IF(L2119="","",IF('02_대상물건입력'!B15="",0,IF(ISNUMBER(SEARCH('02_대상물건입력'!B15,L2119)),1,0)))</f>
        <v/>
      </c>
      <c r="Q2119" s="152">
        <f>IF(OR(C2119="",L2119=""),0,IF(AND(TRIM(C2119)=TRIM(RIGHT(SUBSTITUTE(TRIM('02_대상물건입력'!$B$7)," ",REPT(" ",99)),99)),IF('02_대상물건입력'!B15="",TRUE(),ISNUMBER(SEARCH('02_대상물건입력'!B15,L2119)))),1,0))</f>
        <v/>
      </c>
      <c r="R2119" s="175">
        <f>IFERROR(ABS(E2119-'02_대상물건입력'!B11)/'02_대상물건입력'!B11,"")</f>
        <v/>
      </c>
      <c r="S2119" s="152">
        <f>IFERROR(ABS(J2119-'02_대상물건입력'!B10),"")</f>
        <v/>
      </c>
      <c r="T2119" s="152">
        <f>IFERROR(ABS('01_설정'!B4-F2119),"")</f>
        <v/>
      </c>
      <c r="U2119" s="152">
        <f>IFERROR(ABS(K2119-YEAR('02_대상물건입력'!B14)),"")</f>
        <v/>
      </c>
      <c r="V2119" s="152">
        <f>IF(B2119="","",IF(AND(E2119&gt;0,F2119&gt;0,H2119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2119=1,TRUE()),R2119&lt;='01_설정'!B5,S2119&lt;='01_설정'!B6,T2119&lt;='01_설정'!B7,U2119&lt;='01_설정'!B8),"Y",""))</f>
        <v/>
      </c>
      <c r="W2119" s="172">
        <f>IF(V2119&lt;&gt;"Y","",MAX(0,(1-R2119/'01_설정'!B5))*'01_설정'!B14+MAX(0,(1-S2119/'01_설정'!B6))*'01_설정'!B15+MAX(0,(1-T2119/'01_설정'!B7))*'01_설정'!B16+MAX(0,(1-U2119/'01_설정'!B8))*'01_설정'!B17+O2119*'01_설정'!B11+Q2119*'01_설정'!B12+P2119*'01_설정'!B13+IF(Z2119="",0,Z2119))</f>
        <v/>
      </c>
      <c r="X2119" s="152">
        <f>IF(W2119="","",1+COUNTIFS($W$4:$W$3003,"&gt;"&amp;W2119)+COUNTIFS($W$4:W2119,W2119)-1)</f>
        <v/>
      </c>
      <c r="Y2119" s="175">
        <f>IF(OR(I2119="",'02_대상물건입력'!B19="",'02_대상물건입력'!B19&lt;=0),"",ABS(I2119-'02_대상물건입력'!B19)/'02_대상물건입력'!B19)</f>
        <v/>
      </c>
      <c r="Z2119" s="172">
        <f>IF(OR(Y2119="",'01_설정'!B31="",'01_설정'!B31&lt;=0,'01_설정'!B32="",'01_설정'!B32&lt;=0),"",MAX(0,(1-Y2119/'01_설정'!B32))*'01_설정'!B31)</f>
        <v/>
      </c>
    </row>
    <row r="2120" ht="17.25" customHeight="1">
      <c r="A2120" s="152">
        <f>IF(INDEX('04A_국토부원자료'!$A:$A,ROW()+1)="","",ROW()-3)</f>
        <v/>
      </c>
      <c r="B2120" s="48">
        <f>IFERROR(INDEX('04A_국토부원자료'!$A:$T,ROW()+1,MATCH("시군구",'04A_국토부원자료'!$A$4:$T$4,0)),"")</f>
        <v/>
      </c>
      <c r="C2120" s="48">
        <f>IF(B2120="","",IFERROR(INDEX('04A_국토부원자료'!$A:$T,ROW()+1,MATCH("번지",'04A_국토부원자료'!$A$4:$T$4,0)),""))</f>
        <v/>
      </c>
      <c r="D2120" s="48">
        <f>IF(B2120="","",IF(Q2120=1,'02_대상물건입력'!$B$8,IFERROR(INDEX('04A_국토부원자료'!$A:$T,ROW()+1,MATCH("단지명",'04A_국토부원자료'!$A$4:$T$4,0)),"")))</f>
        <v/>
      </c>
      <c r="E2120" s="172">
        <f>IFERROR(VALUE(SUBSTITUTE(INDEX('04A_국토부원자료'!$A:$T,ROW()+1,MATCH("전용면적(㎡)",'04A_국토부원자료'!$A$4:$T$4,0)),",","")),"")</f>
        <v/>
      </c>
      <c r="F21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20" s="51">
        <f>IFERROR(VALUE(SUBSTITUTE(INDEX('04A_국토부원자료'!$A:$T,ROW()+1,MATCH("거래금액(만원)",'04A_국토부원자료'!$A$4:$T$4,0)),",","")),"")</f>
        <v/>
      </c>
      <c r="H2120" s="174">
        <f>IF(G2120="","",G2120*10000)</f>
        <v/>
      </c>
      <c r="I2120" s="174">
        <f>IFERROR(IF(AND(H2120&gt;0,E2120&gt;0),H2120/E2120,""),"")</f>
        <v/>
      </c>
      <c r="J2120" s="152">
        <f>IFERROR(VALUE(SUBSTITUTE(INDEX('04A_국토부원자료'!$A:$T,ROW()+1,MATCH("층",'04A_국토부원자료'!$A$4:$T$4,0)),",","")),"")</f>
        <v/>
      </c>
      <c r="K2120" s="152">
        <f>IFERROR(VALUE(SUBSTITUTE(INDEX('04A_국토부원자료'!$A:$T,ROW()+1,MATCH("건축년도",'04A_국토부원자료'!$A$4:$T$4,0)),",","")),"")</f>
        <v/>
      </c>
      <c r="L2120" s="48">
        <f>IFERROR(INDEX('04A_국토부원자료'!$A:$T,ROW()+1,MATCH("도로명",'04A_국토부원자료'!$A$4:$T$4,0)),"")</f>
        <v/>
      </c>
      <c r="M2120" s="48">
        <f>IFERROR(INDEX('04A_국토부원자료'!$A:$T,ROW()+1,MATCH("거래유형",'04A_국토부원자료'!$A$4:$T$4,0)),"")</f>
        <v/>
      </c>
      <c r="N2120" s="152">
        <f>IF(B2120="","",IF('02_대상물건입력'!B5="",1,IF(ISNUMBER(SEARCH('02_대상물건입력'!B5,B2120)),1,0)))</f>
        <v/>
      </c>
      <c r="O2120" s="152">
        <f>IF(B2120="","",IF('02_대상물건입력'!B6="",1,IF(ISNUMBER(SEARCH('02_대상물건입력'!B6,B2120)),1,0)))</f>
        <v/>
      </c>
      <c r="P2120" s="152">
        <f>IF(L2120="","",IF('02_대상물건입력'!B15="",0,IF(ISNUMBER(SEARCH('02_대상물건입력'!B15,L2120)),1,0)))</f>
        <v/>
      </c>
      <c r="Q2120" s="152">
        <f>IF(OR(C2120="",L2120=""),0,IF(AND(TRIM(C2120)=TRIM(RIGHT(SUBSTITUTE(TRIM('02_대상물건입력'!$B$7)," ",REPT(" ",99)),99)),IF('02_대상물건입력'!B15="",TRUE(),ISNUMBER(SEARCH('02_대상물건입력'!B15,L2120)))),1,0))</f>
        <v/>
      </c>
      <c r="R2120" s="175">
        <f>IFERROR(ABS(E2120-'02_대상물건입력'!B11)/'02_대상물건입력'!B11,"")</f>
        <v/>
      </c>
      <c r="S2120" s="152">
        <f>IFERROR(ABS(J2120-'02_대상물건입력'!B10),"")</f>
        <v/>
      </c>
      <c r="T2120" s="152">
        <f>IFERROR(ABS('01_설정'!B4-F2120),"")</f>
        <v/>
      </c>
      <c r="U2120" s="152">
        <f>IFERROR(ABS(K2120-YEAR('02_대상물건입력'!B14)),"")</f>
        <v/>
      </c>
      <c r="V2120" s="152">
        <f>IF(B2120="","",IF(AND(E2120&gt;0,F2120&gt;0,H2120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2120=1,TRUE()),R2120&lt;='01_설정'!B5,S2120&lt;='01_설정'!B6,T2120&lt;='01_설정'!B7,U2120&lt;='01_설정'!B8),"Y",""))</f>
        <v/>
      </c>
      <c r="W2120" s="172">
        <f>IF(V2120&lt;&gt;"Y","",MAX(0,(1-R2120/'01_설정'!B5))*'01_설정'!B14+MAX(0,(1-S2120/'01_설정'!B6))*'01_설정'!B15+MAX(0,(1-T2120/'01_설정'!B7))*'01_설정'!B16+MAX(0,(1-U2120/'01_설정'!B8))*'01_설정'!B17+O2120*'01_설정'!B11+Q2120*'01_설정'!B12+P2120*'01_설정'!B13+IF(Z2120="",0,Z2120))</f>
        <v/>
      </c>
      <c r="X2120" s="152">
        <f>IF(W2120="","",1+COUNTIFS($W$4:$W$3003,"&gt;"&amp;W2120)+COUNTIFS($W$4:W2120,W2120)-1)</f>
        <v/>
      </c>
      <c r="Y2120" s="175">
        <f>IF(OR(I2120="",'02_대상물건입력'!B19="",'02_대상물건입력'!B19&lt;=0),"",ABS(I2120-'02_대상물건입력'!B19)/'02_대상물건입력'!B19)</f>
        <v/>
      </c>
      <c r="Z2120" s="172">
        <f>IF(OR(Y2120="",'01_설정'!B31="",'01_설정'!B31&lt;=0,'01_설정'!B32="",'01_설정'!B32&lt;=0),"",MAX(0,(1-Y2120/'01_설정'!B32))*'01_설정'!B31)</f>
        <v/>
      </c>
    </row>
    <row r="2121" ht="17.25" customHeight="1">
      <c r="A2121" s="152">
        <f>IF(INDEX('04A_국토부원자료'!$A:$A,ROW()+1)="","",ROW()-3)</f>
        <v/>
      </c>
      <c r="B2121" s="48">
        <f>IFERROR(INDEX('04A_국토부원자료'!$A:$T,ROW()+1,MATCH("시군구",'04A_국토부원자료'!$A$4:$T$4,0)),"")</f>
        <v/>
      </c>
      <c r="C2121" s="48">
        <f>IF(B2121="","",IFERROR(INDEX('04A_국토부원자료'!$A:$T,ROW()+1,MATCH("번지",'04A_국토부원자료'!$A$4:$T$4,0)),""))</f>
        <v/>
      </c>
      <c r="D2121" s="48">
        <f>IF(B2121="","",IF(Q2121=1,'02_대상물건입력'!$B$8,IFERROR(INDEX('04A_국토부원자료'!$A:$T,ROW()+1,MATCH("단지명",'04A_국토부원자료'!$A$4:$T$4,0)),"")))</f>
        <v/>
      </c>
      <c r="E2121" s="172">
        <f>IFERROR(VALUE(SUBSTITUTE(INDEX('04A_국토부원자료'!$A:$T,ROW()+1,MATCH("전용면적(㎡)",'04A_국토부원자료'!$A$4:$T$4,0)),",","")),"")</f>
        <v/>
      </c>
      <c r="F21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21" s="51">
        <f>IFERROR(VALUE(SUBSTITUTE(INDEX('04A_국토부원자료'!$A:$T,ROW()+1,MATCH("거래금액(만원)",'04A_국토부원자료'!$A$4:$T$4,0)),",","")),"")</f>
        <v/>
      </c>
      <c r="H2121" s="174">
        <f>IF(G2121="","",G2121*10000)</f>
        <v/>
      </c>
      <c r="I2121" s="174">
        <f>IFERROR(IF(AND(H2121&gt;0,E2121&gt;0),H2121/E2121,""),"")</f>
        <v/>
      </c>
      <c r="J2121" s="152">
        <f>IFERROR(VALUE(SUBSTITUTE(INDEX('04A_국토부원자료'!$A:$T,ROW()+1,MATCH("층",'04A_국토부원자료'!$A$4:$T$4,0)),",","")),"")</f>
        <v/>
      </c>
      <c r="K2121" s="152">
        <f>IFERROR(VALUE(SUBSTITUTE(INDEX('04A_국토부원자료'!$A:$T,ROW()+1,MATCH("건축년도",'04A_국토부원자료'!$A$4:$T$4,0)),",","")),"")</f>
        <v/>
      </c>
      <c r="L2121" s="48">
        <f>IFERROR(INDEX('04A_국토부원자료'!$A:$T,ROW()+1,MATCH("도로명",'04A_국토부원자료'!$A$4:$T$4,0)),"")</f>
        <v/>
      </c>
      <c r="M2121" s="48">
        <f>IFERROR(INDEX('04A_국토부원자료'!$A:$T,ROW()+1,MATCH("거래유형",'04A_국토부원자료'!$A$4:$T$4,0)),"")</f>
        <v/>
      </c>
      <c r="N2121" s="152">
        <f>IF(B2121="","",IF('02_대상물건입력'!B5="",1,IF(ISNUMBER(SEARCH('02_대상물건입력'!B5,B2121)),1,0)))</f>
        <v/>
      </c>
      <c r="O2121" s="152">
        <f>IF(B2121="","",IF('02_대상물건입력'!B6="",1,IF(ISNUMBER(SEARCH('02_대상물건입력'!B6,B2121)),1,0)))</f>
        <v/>
      </c>
      <c r="P2121" s="152">
        <f>IF(L2121="","",IF('02_대상물건입력'!B15="",0,IF(ISNUMBER(SEARCH('02_대상물건입력'!B15,L2121)),1,0)))</f>
        <v/>
      </c>
      <c r="Q2121" s="152">
        <f>IF(OR(C2121="",L2121=""),0,IF(AND(TRIM(C2121)=TRIM(RIGHT(SUBSTITUTE(TRIM('02_대상물건입력'!$B$7)," ",REPT(" ",99)),99)),IF('02_대상물건입력'!B15="",TRUE(),ISNUMBER(SEARCH('02_대상물건입력'!B15,L2121)))),1,0))</f>
        <v/>
      </c>
      <c r="R2121" s="175">
        <f>IFERROR(ABS(E2121-'02_대상물건입력'!B11)/'02_대상물건입력'!B11,"")</f>
        <v/>
      </c>
      <c r="S2121" s="152">
        <f>IFERROR(ABS(J2121-'02_대상물건입력'!B10),"")</f>
        <v/>
      </c>
      <c r="T2121" s="152">
        <f>IFERROR(ABS('01_설정'!B4-F2121),"")</f>
        <v/>
      </c>
      <c r="U2121" s="152">
        <f>IFERROR(ABS(K2121-YEAR('02_대상물건입력'!B14)),"")</f>
        <v/>
      </c>
      <c r="V2121" s="152">
        <f>IF(B2121="","",IF(AND(E2121&gt;0,F2121&gt;0,H2121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2121=1,TRUE()),R2121&lt;='01_설정'!B5,S2121&lt;='01_설정'!B6,T2121&lt;='01_설정'!B7,U2121&lt;='01_설정'!B8),"Y",""))</f>
        <v/>
      </c>
      <c r="W2121" s="172">
        <f>IF(V2121&lt;&gt;"Y","",MAX(0,(1-R2121/'01_설정'!B5))*'01_설정'!B14+MAX(0,(1-S2121/'01_설정'!B6))*'01_설정'!B15+MAX(0,(1-T2121/'01_설정'!B7))*'01_설정'!B16+MAX(0,(1-U2121/'01_설정'!B8))*'01_설정'!B17+O2121*'01_설정'!B11+Q2121*'01_설정'!B12+P2121*'01_설정'!B13+IF(Z2121="",0,Z2121))</f>
        <v/>
      </c>
      <c r="X2121" s="152">
        <f>IF(W2121="","",1+COUNTIFS($W$4:$W$3003,"&gt;"&amp;W2121)+COUNTIFS($W$4:W2121,W2121)-1)</f>
        <v/>
      </c>
      <c r="Y2121" s="175">
        <f>IF(OR(I2121="",'02_대상물건입력'!B19="",'02_대상물건입력'!B19&lt;=0),"",ABS(I2121-'02_대상물건입력'!B19)/'02_대상물건입력'!B19)</f>
        <v/>
      </c>
      <c r="Z2121" s="172">
        <f>IF(OR(Y2121="",'01_설정'!B31="",'01_설정'!B31&lt;=0,'01_설정'!B32="",'01_설정'!B32&lt;=0),"",MAX(0,(1-Y2121/'01_설정'!B32))*'01_설정'!B31)</f>
        <v/>
      </c>
    </row>
    <row r="2122" ht="17.25" customHeight="1">
      <c r="A2122" s="152">
        <f>IF(INDEX('04A_국토부원자료'!$A:$A,ROW()+1)="","",ROW()-3)</f>
        <v/>
      </c>
      <c r="B2122" s="48">
        <f>IFERROR(INDEX('04A_국토부원자료'!$A:$T,ROW()+1,MATCH("시군구",'04A_국토부원자료'!$A$4:$T$4,0)),"")</f>
        <v/>
      </c>
      <c r="C2122" s="48">
        <f>IF(B2122="","",IFERROR(INDEX('04A_국토부원자료'!$A:$T,ROW()+1,MATCH("번지",'04A_국토부원자료'!$A$4:$T$4,0)),""))</f>
        <v/>
      </c>
      <c r="D2122" s="48">
        <f>IF(B2122="","",IF(Q2122=1,'02_대상물건입력'!$B$8,IFERROR(INDEX('04A_국토부원자료'!$A:$T,ROW()+1,MATCH("단지명",'04A_국토부원자료'!$A$4:$T$4,0)),"")))</f>
        <v/>
      </c>
      <c r="E2122" s="172">
        <f>IFERROR(VALUE(SUBSTITUTE(INDEX('04A_국토부원자료'!$A:$T,ROW()+1,MATCH("전용면적(㎡)",'04A_국토부원자료'!$A$4:$T$4,0)),",","")),"")</f>
        <v/>
      </c>
      <c r="F21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22" s="51">
        <f>IFERROR(VALUE(SUBSTITUTE(INDEX('04A_국토부원자료'!$A:$T,ROW()+1,MATCH("거래금액(만원)",'04A_국토부원자료'!$A$4:$T$4,0)),",","")),"")</f>
        <v/>
      </c>
      <c r="H2122" s="174">
        <f>IF(G2122="","",G2122*10000)</f>
        <v/>
      </c>
      <c r="I2122" s="174">
        <f>IFERROR(IF(AND(H2122&gt;0,E2122&gt;0),H2122/E2122,""),"")</f>
        <v/>
      </c>
      <c r="J2122" s="152">
        <f>IFERROR(VALUE(SUBSTITUTE(INDEX('04A_국토부원자료'!$A:$T,ROW()+1,MATCH("층",'04A_국토부원자료'!$A$4:$T$4,0)),",","")),"")</f>
        <v/>
      </c>
      <c r="K2122" s="152">
        <f>IFERROR(VALUE(SUBSTITUTE(INDEX('04A_국토부원자료'!$A:$T,ROW()+1,MATCH("건축년도",'04A_국토부원자료'!$A$4:$T$4,0)),",","")),"")</f>
        <v/>
      </c>
      <c r="L2122" s="48">
        <f>IFERROR(INDEX('04A_국토부원자료'!$A:$T,ROW()+1,MATCH("도로명",'04A_국토부원자료'!$A$4:$T$4,0)),"")</f>
        <v/>
      </c>
      <c r="M2122" s="48">
        <f>IFERROR(INDEX('04A_국토부원자료'!$A:$T,ROW()+1,MATCH("거래유형",'04A_국토부원자료'!$A$4:$T$4,0)),"")</f>
        <v/>
      </c>
      <c r="N2122" s="152">
        <f>IF(B2122="","",IF('02_대상물건입력'!B5="",1,IF(ISNUMBER(SEARCH('02_대상물건입력'!B5,B2122)),1,0)))</f>
        <v/>
      </c>
      <c r="O2122" s="152">
        <f>IF(B2122="","",IF('02_대상물건입력'!B6="",1,IF(ISNUMBER(SEARCH('02_대상물건입력'!B6,B2122)),1,0)))</f>
        <v/>
      </c>
      <c r="P2122" s="152">
        <f>IF(L2122="","",IF('02_대상물건입력'!B15="",0,IF(ISNUMBER(SEARCH('02_대상물건입력'!B15,L2122)),1,0)))</f>
        <v/>
      </c>
      <c r="Q2122" s="152">
        <f>IF(OR(C2122="",L2122=""),0,IF(AND(TRIM(C2122)=TRIM(RIGHT(SUBSTITUTE(TRIM('02_대상물건입력'!$B$7)," ",REPT(" ",99)),99)),IF('02_대상물건입력'!B15="",TRUE(),ISNUMBER(SEARCH('02_대상물건입력'!B15,L2122)))),1,0))</f>
        <v/>
      </c>
      <c r="R2122" s="175">
        <f>IFERROR(ABS(E2122-'02_대상물건입력'!B11)/'02_대상물건입력'!B11,"")</f>
        <v/>
      </c>
      <c r="S2122" s="152">
        <f>IFERROR(ABS(J2122-'02_대상물건입력'!B10),"")</f>
        <v/>
      </c>
      <c r="T2122" s="152">
        <f>IFERROR(ABS('01_설정'!B4-F2122),"")</f>
        <v/>
      </c>
      <c r="U2122" s="152">
        <f>IFERROR(ABS(K2122-YEAR('02_대상물건입력'!B14)),"")</f>
        <v/>
      </c>
      <c r="V2122" s="152">
        <f>IF(B2122="","",IF(AND(E2122&gt;0,F2122&gt;0,H2122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2122=1,TRUE()),R2122&lt;='01_설정'!B5,S2122&lt;='01_설정'!B6,T2122&lt;='01_설정'!B7,U2122&lt;='01_설정'!B8),"Y",""))</f>
        <v/>
      </c>
      <c r="W2122" s="172">
        <f>IF(V2122&lt;&gt;"Y","",MAX(0,(1-R2122/'01_설정'!B5))*'01_설정'!B14+MAX(0,(1-S2122/'01_설정'!B6))*'01_설정'!B15+MAX(0,(1-T2122/'01_설정'!B7))*'01_설정'!B16+MAX(0,(1-U2122/'01_설정'!B8))*'01_설정'!B17+O2122*'01_설정'!B11+Q2122*'01_설정'!B12+P2122*'01_설정'!B13+IF(Z2122="",0,Z2122))</f>
        <v/>
      </c>
      <c r="X2122" s="152">
        <f>IF(W2122="","",1+COUNTIFS($W$4:$W$3003,"&gt;"&amp;W2122)+COUNTIFS($W$4:W2122,W2122)-1)</f>
        <v/>
      </c>
      <c r="Y2122" s="175">
        <f>IF(OR(I2122="",'02_대상물건입력'!B19="",'02_대상물건입력'!B19&lt;=0),"",ABS(I2122-'02_대상물건입력'!B19)/'02_대상물건입력'!B19)</f>
        <v/>
      </c>
      <c r="Z2122" s="172">
        <f>IF(OR(Y2122="",'01_설정'!B31="",'01_설정'!B31&lt;=0,'01_설정'!B32="",'01_설정'!B32&lt;=0),"",MAX(0,(1-Y2122/'01_설정'!B32))*'01_설정'!B31)</f>
        <v/>
      </c>
    </row>
    <row r="2123" ht="17.25" customHeight="1">
      <c r="A2123" s="152">
        <f>IF(INDEX('04A_국토부원자료'!$A:$A,ROW()+1)="","",ROW()-3)</f>
        <v/>
      </c>
      <c r="B2123" s="48">
        <f>IFERROR(INDEX('04A_국토부원자료'!$A:$T,ROW()+1,MATCH("시군구",'04A_국토부원자료'!$A$4:$T$4,0)),"")</f>
        <v/>
      </c>
      <c r="C2123" s="48">
        <f>IF(B2123="","",IFERROR(INDEX('04A_국토부원자료'!$A:$T,ROW()+1,MATCH("번지",'04A_국토부원자료'!$A$4:$T$4,0)),""))</f>
        <v/>
      </c>
      <c r="D2123" s="48">
        <f>IF(B2123="","",IF(Q2123=1,'02_대상물건입력'!$B$8,IFERROR(INDEX('04A_국토부원자료'!$A:$T,ROW()+1,MATCH("단지명",'04A_국토부원자료'!$A$4:$T$4,0)),"")))</f>
        <v/>
      </c>
      <c r="E2123" s="172">
        <f>IFERROR(VALUE(SUBSTITUTE(INDEX('04A_국토부원자료'!$A:$T,ROW()+1,MATCH("전용면적(㎡)",'04A_국토부원자료'!$A$4:$T$4,0)),",","")),"")</f>
        <v/>
      </c>
      <c r="F21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23" s="51">
        <f>IFERROR(VALUE(SUBSTITUTE(INDEX('04A_국토부원자료'!$A:$T,ROW()+1,MATCH("거래금액(만원)",'04A_국토부원자료'!$A$4:$T$4,0)),",","")),"")</f>
        <v/>
      </c>
      <c r="H2123" s="174">
        <f>IF(G2123="","",G2123*10000)</f>
        <v/>
      </c>
      <c r="I2123" s="174">
        <f>IFERROR(IF(AND(H2123&gt;0,E2123&gt;0),H2123/E2123,""),"")</f>
        <v/>
      </c>
      <c r="J2123" s="152">
        <f>IFERROR(VALUE(SUBSTITUTE(INDEX('04A_국토부원자료'!$A:$T,ROW()+1,MATCH("층",'04A_국토부원자료'!$A$4:$T$4,0)),",","")),"")</f>
        <v/>
      </c>
      <c r="K2123" s="152">
        <f>IFERROR(VALUE(SUBSTITUTE(INDEX('04A_국토부원자료'!$A:$T,ROW()+1,MATCH("건축년도",'04A_국토부원자료'!$A$4:$T$4,0)),",","")),"")</f>
        <v/>
      </c>
      <c r="L2123" s="48">
        <f>IFERROR(INDEX('04A_국토부원자료'!$A:$T,ROW()+1,MATCH("도로명",'04A_국토부원자료'!$A$4:$T$4,0)),"")</f>
        <v/>
      </c>
      <c r="M2123" s="48">
        <f>IFERROR(INDEX('04A_국토부원자료'!$A:$T,ROW()+1,MATCH("거래유형",'04A_국토부원자료'!$A$4:$T$4,0)),"")</f>
        <v/>
      </c>
      <c r="N2123" s="152">
        <f>IF(B2123="","",IF('02_대상물건입력'!B5="",1,IF(ISNUMBER(SEARCH('02_대상물건입력'!B5,B2123)),1,0)))</f>
        <v/>
      </c>
      <c r="O2123" s="152">
        <f>IF(B2123="","",IF('02_대상물건입력'!B6="",1,IF(ISNUMBER(SEARCH('02_대상물건입력'!B6,B2123)),1,0)))</f>
        <v/>
      </c>
      <c r="P2123" s="152">
        <f>IF(L2123="","",IF('02_대상물건입력'!B15="",0,IF(ISNUMBER(SEARCH('02_대상물건입력'!B15,L2123)),1,0)))</f>
        <v/>
      </c>
      <c r="Q2123" s="152">
        <f>IF(OR(C2123="",L2123=""),0,IF(AND(TRIM(C2123)=TRIM(RIGHT(SUBSTITUTE(TRIM('02_대상물건입력'!$B$7)," ",REPT(" ",99)),99)),IF('02_대상물건입력'!B15="",TRUE(),ISNUMBER(SEARCH('02_대상물건입력'!B15,L2123)))),1,0))</f>
        <v/>
      </c>
      <c r="R2123" s="175">
        <f>IFERROR(ABS(E2123-'02_대상물건입력'!B11)/'02_대상물건입력'!B11,"")</f>
        <v/>
      </c>
      <c r="S2123" s="152">
        <f>IFERROR(ABS(J2123-'02_대상물건입력'!B10),"")</f>
        <v/>
      </c>
      <c r="T2123" s="152">
        <f>IFERROR(ABS('01_설정'!B4-F2123),"")</f>
        <v/>
      </c>
      <c r="U2123" s="152">
        <f>IFERROR(ABS(K2123-YEAR('02_대상물건입력'!B14)),"")</f>
        <v/>
      </c>
      <c r="V2123" s="152">
        <f>IF(B2123="","",IF(AND(E2123&gt;0,F2123&gt;0,H2123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2123=1,TRUE()),R2123&lt;='01_설정'!B5,S2123&lt;='01_설정'!B6,T2123&lt;='01_설정'!B7,U2123&lt;='01_설정'!B8),"Y",""))</f>
        <v/>
      </c>
      <c r="W2123" s="172">
        <f>IF(V2123&lt;&gt;"Y","",MAX(0,(1-R2123/'01_설정'!B5))*'01_설정'!B14+MAX(0,(1-S2123/'01_설정'!B6))*'01_설정'!B15+MAX(0,(1-T2123/'01_설정'!B7))*'01_설정'!B16+MAX(0,(1-U2123/'01_설정'!B8))*'01_설정'!B17+O2123*'01_설정'!B11+Q2123*'01_설정'!B12+P2123*'01_설정'!B13+IF(Z2123="",0,Z2123))</f>
        <v/>
      </c>
      <c r="X2123" s="152">
        <f>IF(W2123="","",1+COUNTIFS($W$4:$W$3003,"&gt;"&amp;W2123)+COUNTIFS($W$4:W2123,W2123)-1)</f>
        <v/>
      </c>
      <c r="Y2123" s="175">
        <f>IF(OR(I2123="",'02_대상물건입력'!B19="",'02_대상물건입력'!B19&lt;=0),"",ABS(I2123-'02_대상물건입력'!B19)/'02_대상물건입력'!B19)</f>
        <v/>
      </c>
      <c r="Z2123" s="172">
        <f>IF(OR(Y2123="",'01_설정'!B31="",'01_설정'!B31&lt;=0,'01_설정'!B32="",'01_설정'!B32&lt;=0),"",MAX(0,(1-Y2123/'01_설정'!B32))*'01_설정'!B31)</f>
        <v/>
      </c>
    </row>
    <row r="2124" ht="17.25" customHeight="1">
      <c r="A2124" s="152">
        <f>IF(INDEX('04A_국토부원자료'!$A:$A,ROW()+1)="","",ROW()-3)</f>
        <v/>
      </c>
      <c r="B2124" s="48">
        <f>IFERROR(INDEX('04A_국토부원자료'!$A:$T,ROW()+1,MATCH("시군구",'04A_국토부원자료'!$A$4:$T$4,0)),"")</f>
        <v/>
      </c>
      <c r="C2124" s="48">
        <f>IF(B2124="","",IFERROR(INDEX('04A_국토부원자료'!$A:$T,ROW()+1,MATCH("번지",'04A_국토부원자료'!$A$4:$T$4,0)),""))</f>
        <v/>
      </c>
      <c r="D2124" s="48">
        <f>IF(B2124="","",IF(Q2124=1,'02_대상물건입력'!$B$8,IFERROR(INDEX('04A_국토부원자료'!$A:$T,ROW()+1,MATCH("단지명",'04A_국토부원자료'!$A$4:$T$4,0)),"")))</f>
        <v/>
      </c>
      <c r="E2124" s="172">
        <f>IFERROR(VALUE(SUBSTITUTE(INDEX('04A_국토부원자료'!$A:$T,ROW()+1,MATCH("전용면적(㎡)",'04A_국토부원자료'!$A$4:$T$4,0)),",","")),"")</f>
        <v/>
      </c>
      <c r="F21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24" s="51">
        <f>IFERROR(VALUE(SUBSTITUTE(INDEX('04A_국토부원자료'!$A:$T,ROW()+1,MATCH("거래금액(만원)",'04A_국토부원자료'!$A$4:$T$4,0)),",","")),"")</f>
        <v/>
      </c>
      <c r="H2124" s="174">
        <f>IF(G2124="","",G2124*10000)</f>
        <v/>
      </c>
      <c r="I2124" s="174">
        <f>IFERROR(IF(AND(H2124&gt;0,E2124&gt;0),H2124/E2124,""),"")</f>
        <v/>
      </c>
      <c r="J2124" s="152">
        <f>IFERROR(VALUE(SUBSTITUTE(INDEX('04A_국토부원자료'!$A:$T,ROW()+1,MATCH("층",'04A_국토부원자료'!$A$4:$T$4,0)),",","")),"")</f>
        <v/>
      </c>
      <c r="K2124" s="152">
        <f>IFERROR(VALUE(SUBSTITUTE(INDEX('04A_국토부원자료'!$A:$T,ROW()+1,MATCH("건축년도",'04A_국토부원자료'!$A$4:$T$4,0)),",","")),"")</f>
        <v/>
      </c>
      <c r="L2124" s="48">
        <f>IFERROR(INDEX('04A_국토부원자료'!$A:$T,ROW()+1,MATCH("도로명",'04A_국토부원자료'!$A$4:$T$4,0)),"")</f>
        <v/>
      </c>
      <c r="M2124" s="48">
        <f>IFERROR(INDEX('04A_국토부원자료'!$A:$T,ROW()+1,MATCH("거래유형",'04A_국토부원자료'!$A$4:$T$4,0)),"")</f>
        <v/>
      </c>
      <c r="N2124" s="152">
        <f>IF(B2124="","",IF('02_대상물건입력'!B5="",1,IF(ISNUMBER(SEARCH('02_대상물건입력'!B5,B2124)),1,0)))</f>
        <v/>
      </c>
      <c r="O2124" s="152">
        <f>IF(B2124="","",IF('02_대상물건입력'!B6="",1,IF(ISNUMBER(SEARCH('02_대상물건입력'!B6,B2124)),1,0)))</f>
        <v/>
      </c>
      <c r="P2124" s="152">
        <f>IF(L2124="","",IF('02_대상물건입력'!B15="",0,IF(ISNUMBER(SEARCH('02_대상물건입력'!B15,L2124)),1,0)))</f>
        <v/>
      </c>
      <c r="Q2124" s="152">
        <f>IF(OR(C2124="",L2124=""),0,IF(AND(TRIM(C2124)=TRIM(RIGHT(SUBSTITUTE(TRIM('02_대상물건입력'!$B$7)," ",REPT(" ",99)),99)),IF('02_대상물건입력'!B15="",TRUE(),ISNUMBER(SEARCH('02_대상물건입력'!B15,L2124)))),1,0))</f>
        <v/>
      </c>
      <c r="R2124" s="175">
        <f>IFERROR(ABS(E2124-'02_대상물건입력'!B11)/'02_대상물건입력'!B11,"")</f>
        <v/>
      </c>
      <c r="S2124" s="152">
        <f>IFERROR(ABS(J2124-'02_대상물건입력'!B10),"")</f>
        <v/>
      </c>
      <c r="T2124" s="152">
        <f>IFERROR(ABS('01_설정'!B4-F2124),"")</f>
        <v/>
      </c>
      <c r="U2124" s="152">
        <f>IFERROR(ABS(K2124-YEAR('02_대상물건입력'!B14)),"")</f>
        <v/>
      </c>
      <c r="V2124" s="152">
        <f>IF(B2124="","",IF(AND(E2124&gt;0,F2124&gt;0,H2124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2124=1,TRUE()),R2124&lt;='01_설정'!B5,S2124&lt;='01_설정'!B6,T2124&lt;='01_설정'!B7,U2124&lt;='01_설정'!B8),"Y",""))</f>
        <v/>
      </c>
      <c r="W2124" s="172">
        <f>IF(V2124&lt;&gt;"Y","",MAX(0,(1-R2124/'01_설정'!B5))*'01_설정'!B14+MAX(0,(1-S2124/'01_설정'!B6))*'01_설정'!B15+MAX(0,(1-T2124/'01_설정'!B7))*'01_설정'!B16+MAX(0,(1-U2124/'01_설정'!B8))*'01_설정'!B17+O2124*'01_설정'!B11+Q2124*'01_설정'!B12+P2124*'01_설정'!B13+IF(Z2124="",0,Z2124))</f>
        <v/>
      </c>
      <c r="X2124" s="152">
        <f>IF(W2124="","",1+COUNTIFS($W$4:$W$3003,"&gt;"&amp;W2124)+COUNTIFS($W$4:W2124,W2124)-1)</f>
        <v/>
      </c>
      <c r="Y2124" s="175">
        <f>IF(OR(I2124="",'02_대상물건입력'!B19="",'02_대상물건입력'!B19&lt;=0),"",ABS(I2124-'02_대상물건입력'!B19)/'02_대상물건입력'!B19)</f>
        <v/>
      </c>
      <c r="Z2124" s="172">
        <f>IF(OR(Y2124="",'01_설정'!B31="",'01_설정'!B31&lt;=0,'01_설정'!B32="",'01_설정'!B32&lt;=0),"",MAX(0,(1-Y2124/'01_설정'!B32))*'01_설정'!B31)</f>
        <v/>
      </c>
    </row>
    <row r="2125" ht="17.25" customHeight="1">
      <c r="A2125" s="152">
        <f>IF(INDEX('04A_국토부원자료'!$A:$A,ROW()+1)="","",ROW()-3)</f>
        <v/>
      </c>
      <c r="B2125" s="48">
        <f>IFERROR(INDEX('04A_국토부원자료'!$A:$T,ROW()+1,MATCH("시군구",'04A_국토부원자료'!$A$4:$T$4,0)),"")</f>
        <v/>
      </c>
      <c r="C2125" s="48">
        <f>IF(B2125="","",IFERROR(INDEX('04A_국토부원자료'!$A:$T,ROW()+1,MATCH("번지",'04A_국토부원자료'!$A$4:$T$4,0)),""))</f>
        <v/>
      </c>
      <c r="D2125" s="48">
        <f>IF(B2125="","",IF(Q2125=1,'02_대상물건입력'!$B$8,IFERROR(INDEX('04A_국토부원자료'!$A:$T,ROW()+1,MATCH("단지명",'04A_국토부원자료'!$A$4:$T$4,0)),"")))</f>
        <v/>
      </c>
      <c r="E2125" s="172">
        <f>IFERROR(VALUE(SUBSTITUTE(INDEX('04A_국토부원자료'!$A:$T,ROW()+1,MATCH("전용면적(㎡)",'04A_국토부원자료'!$A$4:$T$4,0)),",","")),"")</f>
        <v/>
      </c>
      <c r="F21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25" s="51">
        <f>IFERROR(VALUE(SUBSTITUTE(INDEX('04A_국토부원자료'!$A:$T,ROW()+1,MATCH("거래금액(만원)",'04A_국토부원자료'!$A$4:$T$4,0)),",","")),"")</f>
        <v/>
      </c>
      <c r="H2125" s="174">
        <f>IF(G2125="","",G2125*10000)</f>
        <v/>
      </c>
      <c r="I2125" s="174">
        <f>IFERROR(IF(AND(H2125&gt;0,E2125&gt;0),H2125/E2125,""),"")</f>
        <v/>
      </c>
      <c r="J2125" s="152">
        <f>IFERROR(VALUE(SUBSTITUTE(INDEX('04A_국토부원자료'!$A:$T,ROW()+1,MATCH("층",'04A_국토부원자료'!$A$4:$T$4,0)),",","")),"")</f>
        <v/>
      </c>
      <c r="K2125" s="152">
        <f>IFERROR(VALUE(SUBSTITUTE(INDEX('04A_국토부원자료'!$A:$T,ROW()+1,MATCH("건축년도",'04A_국토부원자료'!$A$4:$T$4,0)),",","")),"")</f>
        <v/>
      </c>
      <c r="L2125" s="48">
        <f>IFERROR(INDEX('04A_국토부원자료'!$A:$T,ROW()+1,MATCH("도로명",'04A_국토부원자료'!$A$4:$T$4,0)),"")</f>
        <v/>
      </c>
      <c r="M2125" s="48">
        <f>IFERROR(INDEX('04A_국토부원자료'!$A:$T,ROW()+1,MATCH("거래유형",'04A_국토부원자료'!$A$4:$T$4,0)),"")</f>
        <v/>
      </c>
      <c r="N2125" s="152">
        <f>IF(B2125="","",IF('02_대상물건입력'!B5="",1,IF(ISNUMBER(SEARCH('02_대상물건입력'!B5,B2125)),1,0)))</f>
        <v/>
      </c>
      <c r="O2125" s="152">
        <f>IF(B2125="","",IF('02_대상물건입력'!B6="",1,IF(ISNUMBER(SEARCH('02_대상물건입력'!B6,B2125)),1,0)))</f>
        <v/>
      </c>
      <c r="P2125" s="152">
        <f>IF(L2125="","",IF('02_대상물건입력'!B15="",0,IF(ISNUMBER(SEARCH('02_대상물건입력'!B15,L2125)),1,0)))</f>
        <v/>
      </c>
      <c r="Q2125" s="152">
        <f>IF(OR(C2125="",L2125=""),0,IF(AND(TRIM(C2125)=TRIM(RIGHT(SUBSTITUTE(TRIM('02_대상물건입력'!$B$7)," ",REPT(" ",99)),99)),IF('02_대상물건입력'!B15="",TRUE(),ISNUMBER(SEARCH('02_대상물건입력'!B15,L2125)))),1,0))</f>
        <v/>
      </c>
      <c r="R2125" s="175">
        <f>IFERROR(ABS(E2125-'02_대상물건입력'!B11)/'02_대상물건입력'!B11,"")</f>
        <v/>
      </c>
      <c r="S2125" s="152">
        <f>IFERROR(ABS(J2125-'02_대상물건입력'!B10),"")</f>
        <v/>
      </c>
      <c r="T2125" s="152">
        <f>IFERROR(ABS('01_설정'!B4-F2125),"")</f>
        <v/>
      </c>
      <c r="U2125" s="152">
        <f>IFERROR(ABS(K2125-YEAR('02_대상물건입력'!B14)),"")</f>
        <v/>
      </c>
      <c r="V2125" s="152">
        <f>IF(B2125="","",IF(AND(E2125&gt;0,F2125&gt;0,H2125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2125=1,TRUE()),R2125&lt;='01_설정'!B5,S2125&lt;='01_설정'!B6,T2125&lt;='01_설정'!B7,U2125&lt;='01_설정'!B8),"Y",""))</f>
        <v/>
      </c>
      <c r="W2125" s="172">
        <f>IF(V2125&lt;&gt;"Y","",MAX(0,(1-R2125/'01_설정'!B5))*'01_설정'!B14+MAX(0,(1-S2125/'01_설정'!B6))*'01_설정'!B15+MAX(0,(1-T2125/'01_설정'!B7))*'01_설정'!B16+MAX(0,(1-U2125/'01_설정'!B8))*'01_설정'!B17+O2125*'01_설정'!B11+Q2125*'01_설정'!B12+P2125*'01_설정'!B13+IF(Z2125="",0,Z2125))</f>
        <v/>
      </c>
      <c r="X2125" s="152">
        <f>IF(W2125="","",1+COUNTIFS($W$4:$W$3003,"&gt;"&amp;W2125)+COUNTIFS($W$4:W2125,W2125)-1)</f>
        <v/>
      </c>
      <c r="Y2125" s="175">
        <f>IF(OR(I2125="",'02_대상물건입력'!B19="",'02_대상물건입력'!B19&lt;=0),"",ABS(I2125-'02_대상물건입력'!B19)/'02_대상물건입력'!B19)</f>
        <v/>
      </c>
      <c r="Z2125" s="172">
        <f>IF(OR(Y2125="",'01_설정'!B31="",'01_설정'!B31&lt;=0,'01_설정'!B32="",'01_설정'!B32&lt;=0),"",MAX(0,(1-Y2125/'01_설정'!B32))*'01_설정'!B31)</f>
        <v/>
      </c>
    </row>
    <row r="2126" ht="17.25" customHeight="1">
      <c r="A2126" s="152">
        <f>IF(INDEX('04A_국토부원자료'!$A:$A,ROW()+1)="","",ROW()-3)</f>
        <v/>
      </c>
      <c r="B2126" s="48">
        <f>IFERROR(INDEX('04A_국토부원자료'!$A:$T,ROW()+1,MATCH("시군구",'04A_국토부원자료'!$A$4:$T$4,0)),"")</f>
        <v/>
      </c>
      <c r="C2126" s="48">
        <f>IF(B2126="","",IFERROR(INDEX('04A_국토부원자료'!$A:$T,ROW()+1,MATCH("번지",'04A_국토부원자료'!$A$4:$T$4,0)),""))</f>
        <v/>
      </c>
      <c r="D2126" s="48">
        <f>IF(B2126="","",IF(Q2126=1,'02_대상물건입력'!$B$8,IFERROR(INDEX('04A_국토부원자료'!$A:$T,ROW()+1,MATCH("단지명",'04A_국토부원자료'!$A$4:$T$4,0)),"")))</f>
        <v/>
      </c>
      <c r="E2126" s="172">
        <f>IFERROR(VALUE(SUBSTITUTE(INDEX('04A_국토부원자료'!$A:$T,ROW()+1,MATCH("전용면적(㎡)",'04A_국토부원자료'!$A$4:$T$4,0)),",","")),"")</f>
        <v/>
      </c>
      <c r="F21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26" s="51">
        <f>IFERROR(VALUE(SUBSTITUTE(INDEX('04A_국토부원자료'!$A:$T,ROW()+1,MATCH("거래금액(만원)",'04A_국토부원자료'!$A$4:$T$4,0)),",","")),"")</f>
        <v/>
      </c>
      <c r="H2126" s="174">
        <f>IF(G2126="","",G2126*10000)</f>
        <v/>
      </c>
      <c r="I2126" s="174">
        <f>IFERROR(IF(AND(H2126&gt;0,E2126&gt;0),H2126/E2126,""),"")</f>
        <v/>
      </c>
      <c r="J2126" s="152">
        <f>IFERROR(VALUE(SUBSTITUTE(INDEX('04A_국토부원자료'!$A:$T,ROW()+1,MATCH("층",'04A_국토부원자료'!$A$4:$T$4,0)),",","")),"")</f>
        <v/>
      </c>
      <c r="K2126" s="152">
        <f>IFERROR(VALUE(SUBSTITUTE(INDEX('04A_국토부원자료'!$A:$T,ROW()+1,MATCH("건축년도",'04A_국토부원자료'!$A$4:$T$4,0)),",","")),"")</f>
        <v/>
      </c>
      <c r="L2126" s="48">
        <f>IFERROR(INDEX('04A_국토부원자료'!$A:$T,ROW()+1,MATCH("도로명",'04A_국토부원자료'!$A$4:$T$4,0)),"")</f>
        <v/>
      </c>
      <c r="M2126" s="48">
        <f>IFERROR(INDEX('04A_국토부원자료'!$A:$T,ROW()+1,MATCH("거래유형",'04A_국토부원자료'!$A$4:$T$4,0)),"")</f>
        <v/>
      </c>
      <c r="N2126" s="152">
        <f>IF(B2126="","",IF('02_대상물건입력'!B5="",1,IF(ISNUMBER(SEARCH('02_대상물건입력'!B5,B2126)),1,0)))</f>
        <v/>
      </c>
      <c r="O2126" s="152">
        <f>IF(B2126="","",IF('02_대상물건입력'!B6="",1,IF(ISNUMBER(SEARCH('02_대상물건입력'!B6,B2126)),1,0)))</f>
        <v/>
      </c>
      <c r="P2126" s="152">
        <f>IF(L2126="","",IF('02_대상물건입력'!B15="",0,IF(ISNUMBER(SEARCH('02_대상물건입력'!B15,L2126)),1,0)))</f>
        <v/>
      </c>
      <c r="Q2126" s="152">
        <f>IF(OR(C2126="",L2126=""),0,IF(AND(TRIM(C2126)=TRIM(RIGHT(SUBSTITUTE(TRIM('02_대상물건입력'!$B$7)," ",REPT(" ",99)),99)),IF('02_대상물건입력'!B15="",TRUE(),ISNUMBER(SEARCH('02_대상물건입력'!B15,L2126)))),1,0))</f>
        <v/>
      </c>
      <c r="R2126" s="175">
        <f>IFERROR(ABS(E2126-'02_대상물건입력'!B11)/'02_대상물건입력'!B11,"")</f>
        <v/>
      </c>
      <c r="S2126" s="152">
        <f>IFERROR(ABS(J2126-'02_대상물건입력'!B10),"")</f>
        <v/>
      </c>
      <c r="T2126" s="152">
        <f>IFERROR(ABS('01_설정'!B4-F2126),"")</f>
        <v/>
      </c>
      <c r="U2126" s="152">
        <f>IFERROR(ABS(K2126-YEAR('02_대상물건입력'!B14)),"")</f>
        <v/>
      </c>
      <c r="V2126" s="152">
        <f>IF(B2126="","",IF(AND(E2126&gt;0,F2126&gt;0,H2126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2126=1,TRUE()),R2126&lt;='01_설정'!B5,S2126&lt;='01_설정'!B6,T2126&lt;='01_설정'!B7,U2126&lt;='01_설정'!B8),"Y",""))</f>
        <v/>
      </c>
      <c r="W2126" s="172">
        <f>IF(V2126&lt;&gt;"Y","",MAX(0,(1-R2126/'01_설정'!B5))*'01_설정'!B14+MAX(0,(1-S2126/'01_설정'!B6))*'01_설정'!B15+MAX(0,(1-T2126/'01_설정'!B7))*'01_설정'!B16+MAX(0,(1-U2126/'01_설정'!B8))*'01_설정'!B17+O2126*'01_설정'!B11+Q2126*'01_설정'!B12+P2126*'01_설정'!B13+IF(Z2126="",0,Z2126))</f>
        <v/>
      </c>
      <c r="X2126" s="152">
        <f>IF(W2126="","",1+COUNTIFS($W$4:$W$3003,"&gt;"&amp;W2126)+COUNTIFS($W$4:W2126,W2126)-1)</f>
        <v/>
      </c>
      <c r="Y2126" s="175">
        <f>IF(OR(I2126="",'02_대상물건입력'!B19="",'02_대상물건입력'!B19&lt;=0),"",ABS(I2126-'02_대상물건입력'!B19)/'02_대상물건입력'!B19)</f>
        <v/>
      </c>
      <c r="Z2126" s="172">
        <f>IF(OR(Y2126="",'01_설정'!B31="",'01_설정'!B31&lt;=0,'01_설정'!B32="",'01_설정'!B32&lt;=0),"",MAX(0,(1-Y2126/'01_설정'!B32))*'01_설정'!B31)</f>
        <v/>
      </c>
    </row>
    <row r="2127" ht="17.25" customHeight="1">
      <c r="A2127" s="152">
        <f>IF(INDEX('04A_국토부원자료'!$A:$A,ROW()+1)="","",ROW()-3)</f>
        <v/>
      </c>
      <c r="B2127" s="48">
        <f>IFERROR(INDEX('04A_국토부원자료'!$A:$T,ROW()+1,MATCH("시군구",'04A_국토부원자료'!$A$4:$T$4,0)),"")</f>
        <v/>
      </c>
      <c r="C2127" s="48">
        <f>IF(B2127="","",IFERROR(INDEX('04A_국토부원자료'!$A:$T,ROW()+1,MATCH("번지",'04A_국토부원자료'!$A$4:$T$4,0)),""))</f>
        <v/>
      </c>
      <c r="D2127" s="48">
        <f>IF(B2127="","",IF(Q2127=1,'02_대상물건입력'!$B$8,IFERROR(INDEX('04A_국토부원자료'!$A:$T,ROW()+1,MATCH("단지명",'04A_국토부원자료'!$A$4:$T$4,0)),"")))</f>
        <v/>
      </c>
      <c r="E2127" s="172">
        <f>IFERROR(VALUE(SUBSTITUTE(INDEX('04A_국토부원자료'!$A:$T,ROW()+1,MATCH("전용면적(㎡)",'04A_국토부원자료'!$A$4:$T$4,0)),",","")),"")</f>
        <v/>
      </c>
      <c r="F21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27" s="51">
        <f>IFERROR(VALUE(SUBSTITUTE(INDEX('04A_국토부원자료'!$A:$T,ROW()+1,MATCH("거래금액(만원)",'04A_국토부원자료'!$A$4:$T$4,0)),",","")),"")</f>
        <v/>
      </c>
      <c r="H2127" s="174">
        <f>IF(G2127="","",G2127*10000)</f>
        <v/>
      </c>
      <c r="I2127" s="174">
        <f>IFERROR(IF(AND(H2127&gt;0,E2127&gt;0),H2127/E2127,""),"")</f>
        <v/>
      </c>
      <c r="J2127" s="152">
        <f>IFERROR(VALUE(SUBSTITUTE(INDEX('04A_국토부원자료'!$A:$T,ROW()+1,MATCH("층",'04A_국토부원자료'!$A$4:$T$4,0)),",","")),"")</f>
        <v/>
      </c>
      <c r="K2127" s="152">
        <f>IFERROR(VALUE(SUBSTITUTE(INDEX('04A_국토부원자료'!$A:$T,ROW()+1,MATCH("건축년도",'04A_국토부원자료'!$A$4:$T$4,0)),",","")),"")</f>
        <v/>
      </c>
      <c r="L2127" s="48">
        <f>IFERROR(INDEX('04A_국토부원자료'!$A:$T,ROW()+1,MATCH("도로명",'04A_국토부원자료'!$A$4:$T$4,0)),"")</f>
        <v/>
      </c>
      <c r="M2127" s="48">
        <f>IFERROR(INDEX('04A_국토부원자료'!$A:$T,ROW()+1,MATCH("거래유형",'04A_국토부원자료'!$A$4:$T$4,0)),"")</f>
        <v/>
      </c>
      <c r="N2127" s="152">
        <f>IF(B2127="","",IF('02_대상물건입력'!B5="",1,IF(ISNUMBER(SEARCH('02_대상물건입력'!B5,B2127)),1,0)))</f>
        <v/>
      </c>
      <c r="O2127" s="152">
        <f>IF(B2127="","",IF('02_대상물건입력'!B6="",1,IF(ISNUMBER(SEARCH('02_대상물건입력'!B6,B2127)),1,0)))</f>
        <v/>
      </c>
      <c r="P2127" s="152">
        <f>IF(L2127="","",IF('02_대상물건입력'!B15="",0,IF(ISNUMBER(SEARCH('02_대상물건입력'!B15,L2127)),1,0)))</f>
        <v/>
      </c>
      <c r="Q2127" s="152">
        <f>IF(OR(C2127="",L2127=""),0,IF(AND(TRIM(C2127)=TRIM(RIGHT(SUBSTITUTE(TRIM('02_대상물건입력'!$B$7)," ",REPT(" ",99)),99)),IF('02_대상물건입력'!B15="",TRUE(),ISNUMBER(SEARCH('02_대상물건입력'!B15,L2127)))),1,0))</f>
        <v/>
      </c>
      <c r="R2127" s="175">
        <f>IFERROR(ABS(E2127-'02_대상물건입력'!B11)/'02_대상물건입력'!B11,"")</f>
        <v/>
      </c>
      <c r="S2127" s="152">
        <f>IFERROR(ABS(J2127-'02_대상물건입력'!B10),"")</f>
        <v/>
      </c>
      <c r="T2127" s="152">
        <f>IFERROR(ABS('01_설정'!B4-F2127),"")</f>
        <v/>
      </c>
      <c r="U2127" s="152">
        <f>IFERROR(ABS(K2127-YEAR('02_대상물건입력'!B14)),"")</f>
        <v/>
      </c>
      <c r="V2127" s="152">
        <f>IF(B2127="","",IF(AND(E2127&gt;0,F2127&gt;0,H2127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2127=1,TRUE()),R2127&lt;='01_설정'!B5,S2127&lt;='01_설정'!B6,T2127&lt;='01_설정'!B7,U2127&lt;='01_설정'!B8),"Y",""))</f>
        <v/>
      </c>
      <c r="W2127" s="172">
        <f>IF(V2127&lt;&gt;"Y","",MAX(0,(1-R2127/'01_설정'!B5))*'01_설정'!B14+MAX(0,(1-S2127/'01_설정'!B6))*'01_설정'!B15+MAX(0,(1-T2127/'01_설정'!B7))*'01_설정'!B16+MAX(0,(1-U2127/'01_설정'!B8))*'01_설정'!B17+O2127*'01_설정'!B11+Q2127*'01_설정'!B12+P2127*'01_설정'!B13+IF(Z2127="",0,Z2127))</f>
        <v/>
      </c>
      <c r="X2127" s="152">
        <f>IF(W2127="","",1+COUNTIFS($W$4:$W$3003,"&gt;"&amp;W2127)+COUNTIFS($W$4:W2127,W2127)-1)</f>
        <v/>
      </c>
      <c r="Y2127" s="175">
        <f>IF(OR(I2127="",'02_대상물건입력'!B19="",'02_대상물건입력'!B19&lt;=0),"",ABS(I2127-'02_대상물건입력'!B19)/'02_대상물건입력'!B19)</f>
        <v/>
      </c>
      <c r="Z2127" s="172">
        <f>IF(OR(Y2127="",'01_설정'!B31="",'01_설정'!B31&lt;=0,'01_설정'!B32="",'01_설정'!B32&lt;=0),"",MAX(0,(1-Y2127/'01_설정'!B32))*'01_설정'!B31)</f>
        <v/>
      </c>
    </row>
    <row r="2128" ht="17.25" customHeight="1">
      <c r="A2128" s="152">
        <f>IF(INDEX('04A_국토부원자료'!$A:$A,ROW()+1)="","",ROW()-3)</f>
        <v/>
      </c>
      <c r="B2128" s="48">
        <f>IFERROR(INDEX('04A_국토부원자료'!$A:$T,ROW()+1,MATCH("시군구",'04A_국토부원자료'!$A$4:$T$4,0)),"")</f>
        <v/>
      </c>
      <c r="C2128" s="48">
        <f>IF(B2128="","",IFERROR(INDEX('04A_국토부원자료'!$A:$T,ROW()+1,MATCH("번지",'04A_국토부원자료'!$A$4:$T$4,0)),""))</f>
        <v/>
      </c>
      <c r="D2128" s="48">
        <f>IF(B2128="","",IF(Q2128=1,'02_대상물건입력'!$B$8,IFERROR(INDEX('04A_국토부원자료'!$A:$T,ROW()+1,MATCH("단지명",'04A_국토부원자료'!$A$4:$T$4,0)),"")))</f>
        <v/>
      </c>
      <c r="E2128" s="172">
        <f>IFERROR(VALUE(SUBSTITUTE(INDEX('04A_국토부원자료'!$A:$T,ROW()+1,MATCH("전용면적(㎡)",'04A_국토부원자료'!$A$4:$T$4,0)),",","")),"")</f>
        <v/>
      </c>
      <c r="F21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28" s="51">
        <f>IFERROR(VALUE(SUBSTITUTE(INDEX('04A_국토부원자료'!$A:$T,ROW()+1,MATCH("거래금액(만원)",'04A_국토부원자료'!$A$4:$T$4,0)),",","")),"")</f>
        <v/>
      </c>
      <c r="H2128" s="174">
        <f>IF(G2128="","",G2128*10000)</f>
        <v/>
      </c>
      <c r="I2128" s="174">
        <f>IFERROR(IF(AND(H2128&gt;0,E2128&gt;0),H2128/E2128,""),"")</f>
        <v/>
      </c>
      <c r="J2128" s="152">
        <f>IFERROR(VALUE(SUBSTITUTE(INDEX('04A_국토부원자료'!$A:$T,ROW()+1,MATCH("층",'04A_국토부원자료'!$A$4:$T$4,0)),",","")),"")</f>
        <v/>
      </c>
      <c r="K2128" s="152">
        <f>IFERROR(VALUE(SUBSTITUTE(INDEX('04A_국토부원자료'!$A:$T,ROW()+1,MATCH("건축년도",'04A_국토부원자료'!$A$4:$T$4,0)),",","")),"")</f>
        <v/>
      </c>
      <c r="L2128" s="48">
        <f>IFERROR(INDEX('04A_국토부원자료'!$A:$T,ROW()+1,MATCH("도로명",'04A_국토부원자료'!$A$4:$T$4,0)),"")</f>
        <v/>
      </c>
      <c r="M2128" s="48">
        <f>IFERROR(INDEX('04A_국토부원자료'!$A:$T,ROW()+1,MATCH("거래유형",'04A_국토부원자료'!$A$4:$T$4,0)),"")</f>
        <v/>
      </c>
      <c r="N2128" s="152">
        <f>IF(B2128="","",IF('02_대상물건입력'!B5="",1,IF(ISNUMBER(SEARCH('02_대상물건입력'!B5,B2128)),1,0)))</f>
        <v/>
      </c>
      <c r="O2128" s="152">
        <f>IF(B2128="","",IF('02_대상물건입력'!B6="",1,IF(ISNUMBER(SEARCH('02_대상물건입력'!B6,B2128)),1,0)))</f>
        <v/>
      </c>
      <c r="P2128" s="152">
        <f>IF(L2128="","",IF('02_대상물건입력'!B15="",0,IF(ISNUMBER(SEARCH('02_대상물건입력'!B15,L2128)),1,0)))</f>
        <v/>
      </c>
      <c r="Q2128" s="152">
        <f>IF(OR(C2128="",L2128=""),0,IF(AND(TRIM(C2128)=TRIM(RIGHT(SUBSTITUTE(TRIM('02_대상물건입력'!$B$7)," ",REPT(" ",99)),99)),IF('02_대상물건입력'!B15="",TRUE(),ISNUMBER(SEARCH('02_대상물건입력'!B15,L2128)))),1,0))</f>
        <v/>
      </c>
      <c r="R2128" s="175">
        <f>IFERROR(ABS(E2128-'02_대상물건입력'!B11)/'02_대상물건입력'!B11,"")</f>
        <v/>
      </c>
      <c r="S2128" s="152">
        <f>IFERROR(ABS(J2128-'02_대상물건입력'!B10),"")</f>
        <v/>
      </c>
      <c r="T2128" s="152">
        <f>IFERROR(ABS('01_설정'!B4-F2128),"")</f>
        <v/>
      </c>
      <c r="U2128" s="152">
        <f>IFERROR(ABS(K2128-YEAR('02_대상물건입력'!B14)),"")</f>
        <v/>
      </c>
      <c r="V2128" s="152">
        <f>IF(B2128="","",IF(AND(E2128&gt;0,F2128&gt;0,H2128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2128=1,TRUE()),R2128&lt;='01_설정'!B5,S2128&lt;='01_설정'!B6,T2128&lt;='01_설정'!B7,U2128&lt;='01_설정'!B8),"Y",""))</f>
        <v/>
      </c>
      <c r="W2128" s="172">
        <f>IF(V2128&lt;&gt;"Y","",MAX(0,(1-R2128/'01_설정'!B5))*'01_설정'!B14+MAX(0,(1-S2128/'01_설정'!B6))*'01_설정'!B15+MAX(0,(1-T2128/'01_설정'!B7))*'01_설정'!B16+MAX(0,(1-U2128/'01_설정'!B8))*'01_설정'!B17+O2128*'01_설정'!B11+Q2128*'01_설정'!B12+P2128*'01_설정'!B13+IF(Z2128="",0,Z2128))</f>
        <v/>
      </c>
      <c r="X2128" s="152">
        <f>IF(W2128="","",1+COUNTIFS($W$4:$W$3003,"&gt;"&amp;W2128)+COUNTIFS($W$4:W2128,W2128)-1)</f>
        <v/>
      </c>
      <c r="Y2128" s="175">
        <f>IF(OR(I2128="",'02_대상물건입력'!B19="",'02_대상물건입력'!B19&lt;=0),"",ABS(I2128-'02_대상물건입력'!B19)/'02_대상물건입력'!B19)</f>
        <v/>
      </c>
      <c r="Z2128" s="172">
        <f>IF(OR(Y2128="",'01_설정'!B31="",'01_설정'!B31&lt;=0,'01_설정'!B32="",'01_설정'!B32&lt;=0),"",MAX(0,(1-Y2128/'01_설정'!B32))*'01_설정'!B31)</f>
        <v/>
      </c>
    </row>
    <row r="2129" ht="17.25" customHeight="1">
      <c r="A2129" s="152">
        <f>IF(INDEX('04A_국토부원자료'!$A:$A,ROW()+1)="","",ROW()-3)</f>
        <v/>
      </c>
      <c r="B2129" s="48">
        <f>IFERROR(INDEX('04A_국토부원자료'!$A:$T,ROW()+1,MATCH("시군구",'04A_국토부원자료'!$A$4:$T$4,0)),"")</f>
        <v/>
      </c>
      <c r="C2129" s="48">
        <f>IF(B2129="","",IFERROR(INDEX('04A_국토부원자료'!$A:$T,ROW()+1,MATCH("번지",'04A_국토부원자료'!$A$4:$T$4,0)),""))</f>
        <v/>
      </c>
      <c r="D2129" s="48">
        <f>IF(B2129="","",IF(Q2129=1,'02_대상물건입력'!$B$8,IFERROR(INDEX('04A_국토부원자료'!$A:$T,ROW()+1,MATCH("단지명",'04A_국토부원자료'!$A$4:$T$4,0)),"")))</f>
        <v/>
      </c>
      <c r="E2129" s="172">
        <f>IFERROR(VALUE(SUBSTITUTE(INDEX('04A_국토부원자료'!$A:$T,ROW()+1,MATCH("전용면적(㎡)",'04A_국토부원자료'!$A$4:$T$4,0)),",","")),"")</f>
        <v/>
      </c>
      <c r="F21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29" s="51">
        <f>IFERROR(VALUE(SUBSTITUTE(INDEX('04A_국토부원자료'!$A:$T,ROW()+1,MATCH("거래금액(만원)",'04A_국토부원자료'!$A$4:$T$4,0)),",","")),"")</f>
        <v/>
      </c>
      <c r="H2129" s="174">
        <f>IF(G2129="","",G2129*10000)</f>
        <v/>
      </c>
      <c r="I2129" s="174">
        <f>IFERROR(IF(AND(H2129&gt;0,E2129&gt;0),H2129/E2129,""),"")</f>
        <v/>
      </c>
      <c r="J2129" s="152">
        <f>IFERROR(VALUE(SUBSTITUTE(INDEX('04A_국토부원자료'!$A:$T,ROW()+1,MATCH("층",'04A_국토부원자료'!$A$4:$T$4,0)),",","")),"")</f>
        <v/>
      </c>
      <c r="K2129" s="152">
        <f>IFERROR(VALUE(SUBSTITUTE(INDEX('04A_국토부원자료'!$A:$T,ROW()+1,MATCH("건축년도",'04A_국토부원자료'!$A$4:$T$4,0)),",","")),"")</f>
        <v/>
      </c>
      <c r="L2129" s="48">
        <f>IFERROR(INDEX('04A_국토부원자료'!$A:$T,ROW()+1,MATCH("도로명",'04A_국토부원자료'!$A$4:$T$4,0)),"")</f>
        <v/>
      </c>
      <c r="M2129" s="48">
        <f>IFERROR(INDEX('04A_국토부원자료'!$A:$T,ROW()+1,MATCH("거래유형",'04A_국토부원자료'!$A$4:$T$4,0)),"")</f>
        <v/>
      </c>
      <c r="N2129" s="152">
        <f>IF(B2129="","",IF('02_대상물건입력'!B5="",1,IF(ISNUMBER(SEARCH('02_대상물건입력'!B5,B2129)),1,0)))</f>
        <v/>
      </c>
      <c r="O2129" s="152">
        <f>IF(B2129="","",IF('02_대상물건입력'!B6="",1,IF(ISNUMBER(SEARCH('02_대상물건입력'!B6,B2129)),1,0)))</f>
        <v/>
      </c>
      <c r="P2129" s="152">
        <f>IF(L2129="","",IF('02_대상물건입력'!B15="",0,IF(ISNUMBER(SEARCH('02_대상물건입력'!B15,L2129)),1,0)))</f>
        <v/>
      </c>
      <c r="Q2129" s="152">
        <f>IF(OR(C2129="",L2129=""),0,IF(AND(TRIM(C2129)=TRIM(RIGHT(SUBSTITUTE(TRIM('02_대상물건입력'!$B$7)," ",REPT(" ",99)),99)),IF('02_대상물건입력'!B15="",TRUE(),ISNUMBER(SEARCH('02_대상물건입력'!B15,L2129)))),1,0))</f>
        <v/>
      </c>
      <c r="R2129" s="175">
        <f>IFERROR(ABS(E2129-'02_대상물건입력'!B11)/'02_대상물건입력'!B11,"")</f>
        <v/>
      </c>
      <c r="S2129" s="152">
        <f>IFERROR(ABS(J2129-'02_대상물건입력'!B10),"")</f>
        <v/>
      </c>
      <c r="T2129" s="152">
        <f>IFERROR(ABS('01_설정'!B4-F2129),"")</f>
        <v/>
      </c>
      <c r="U2129" s="152">
        <f>IFERROR(ABS(K2129-YEAR('02_대상물건입력'!B14)),"")</f>
        <v/>
      </c>
      <c r="V2129" s="152">
        <f>IF(B2129="","",IF(AND(E2129&gt;0,F2129&gt;0,H2129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2129=1,TRUE()),R2129&lt;='01_설정'!B5,S2129&lt;='01_설정'!B6,T2129&lt;='01_설정'!B7,U2129&lt;='01_설정'!B8),"Y",""))</f>
        <v/>
      </c>
      <c r="W2129" s="172">
        <f>IF(V2129&lt;&gt;"Y","",MAX(0,(1-R2129/'01_설정'!B5))*'01_설정'!B14+MAX(0,(1-S2129/'01_설정'!B6))*'01_설정'!B15+MAX(0,(1-T2129/'01_설정'!B7))*'01_설정'!B16+MAX(0,(1-U2129/'01_설정'!B8))*'01_설정'!B17+O2129*'01_설정'!B11+Q2129*'01_설정'!B12+P2129*'01_설정'!B13+IF(Z2129="",0,Z2129))</f>
        <v/>
      </c>
      <c r="X2129" s="152">
        <f>IF(W2129="","",1+COUNTIFS($W$4:$W$3003,"&gt;"&amp;W2129)+COUNTIFS($W$4:W2129,W2129)-1)</f>
        <v/>
      </c>
      <c r="Y2129" s="175">
        <f>IF(OR(I2129="",'02_대상물건입력'!B19="",'02_대상물건입력'!B19&lt;=0),"",ABS(I2129-'02_대상물건입력'!B19)/'02_대상물건입력'!B19)</f>
        <v/>
      </c>
      <c r="Z2129" s="172">
        <f>IF(OR(Y2129="",'01_설정'!B31="",'01_설정'!B31&lt;=0,'01_설정'!B32="",'01_설정'!B32&lt;=0),"",MAX(0,(1-Y2129/'01_설정'!B32))*'01_설정'!B31)</f>
        <v/>
      </c>
    </row>
    <row r="2130" ht="17.25" customHeight="1">
      <c r="A2130" s="152">
        <f>IF(INDEX('04A_국토부원자료'!$A:$A,ROW()+1)="","",ROW()-3)</f>
        <v/>
      </c>
      <c r="B2130" s="48">
        <f>IFERROR(INDEX('04A_국토부원자료'!$A:$T,ROW()+1,MATCH("시군구",'04A_국토부원자료'!$A$4:$T$4,0)),"")</f>
        <v/>
      </c>
      <c r="C2130" s="48">
        <f>IF(B2130="","",IFERROR(INDEX('04A_국토부원자료'!$A:$T,ROW()+1,MATCH("번지",'04A_국토부원자료'!$A$4:$T$4,0)),""))</f>
        <v/>
      </c>
      <c r="D2130" s="48">
        <f>IF(B2130="","",IF(Q2130=1,'02_대상물건입력'!$B$8,IFERROR(INDEX('04A_국토부원자료'!$A:$T,ROW()+1,MATCH("단지명",'04A_국토부원자료'!$A$4:$T$4,0)),"")))</f>
        <v/>
      </c>
      <c r="E2130" s="172">
        <f>IFERROR(VALUE(SUBSTITUTE(INDEX('04A_국토부원자료'!$A:$T,ROW()+1,MATCH("전용면적(㎡)",'04A_국토부원자료'!$A$4:$T$4,0)),",","")),"")</f>
        <v/>
      </c>
      <c r="F21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30" s="51">
        <f>IFERROR(VALUE(SUBSTITUTE(INDEX('04A_국토부원자료'!$A:$T,ROW()+1,MATCH("거래금액(만원)",'04A_국토부원자료'!$A$4:$T$4,0)),",","")),"")</f>
        <v/>
      </c>
      <c r="H2130" s="174">
        <f>IF(G2130="","",G2130*10000)</f>
        <v/>
      </c>
      <c r="I2130" s="174">
        <f>IFERROR(IF(AND(H2130&gt;0,E2130&gt;0),H2130/E2130,""),"")</f>
        <v/>
      </c>
      <c r="J2130" s="152">
        <f>IFERROR(VALUE(SUBSTITUTE(INDEX('04A_국토부원자료'!$A:$T,ROW()+1,MATCH("층",'04A_국토부원자료'!$A$4:$T$4,0)),",","")),"")</f>
        <v/>
      </c>
      <c r="K2130" s="152">
        <f>IFERROR(VALUE(SUBSTITUTE(INDEX('04A_국토부원자료'!$A:$T,ROW()+1,MATCH("건축년도",'04A_국토부원자료'!$A$4:$T$4,0)),",","")),"")</f>
        <v/>
      </c>
      <c r="L2130" s="48">
        <f>IFERROR(INDEX('04A_국토부원자료'!$A:$T,ROW()+1,MATCH("도로명",'04A_국토부원자료'!$A$4:$T$4,0)),"")</f>
        <v/>
      </c>
      <c r="M2130" s="48">
        <f>IFERROR(INDEX('04A_국토부원자료'!$A:$T,ROW()+1,MATCH("거래유형",'04A_국토부원자료'!$A$4:$T$4,0)),"")</f>
        <v/>
      </c>
      <c r="N2130" s="152">
        <f>IF(B2130="","",IF('02_대상물건입력'!B5="",1,IF(ISNUMBER(SEARCH('02_대상물건입력'!B5,B2130)),1,0)))</f>
        <v/>
      </c>
      <c r="O2130" s="152">
        <f>IF(B2130="","",IF('02_대상물건입력'!B6="",1,IF(ISNUMBER(SEARCH('02_대상물건입력'!B6,B2130)),1,0)))</f>
        <v/>
      </c>
      <c r="P2130" s="152">
        <f>IF(L2130="","",IF('02_대상물건입력'!B15="",0,IF(ISNUMBER(SEARCH('02_대상물건입력'!B15,L2130)),1,0)))</f>
        <v/>
      </c>
      <c r="Q2130" s="152">
        <f>IF(OR(C2130="",L2130=""),0,IF(AND(TRIM(C2130)=TRIM(RIGHT(SUBSTITUTE(TRIM('02_대상물건입력'!$B$7)," ",REPT(" ",99)),99)),IF('02_대상물건입력'!B15="",TRUE(),ISNUMBER(SEARCH('02_대상물건입력'!B15,L2130)))),1,0))</f>
        <v/>
      </c>
      <c r="R2130" s="175">
        <f>IFERROR(ABS(E2130-'02_대상물건입력'!B11)/'02_대상물건입력'!B11,"")</f>
        <v/>
      </c>
      <c r="S2130" s="152">
        <f>IFERROR(ABS(J2130-'02_대상물건입력'!B10),"")</f>
        <v/>
      </c>
      <c r="T2130" s="152">
        <f>IFERROR(ABS('01_설정'!B4-F2130),"")</f>
        <v/>
      </c>
      <c r="U2130" s="152">
        <f>IFERROR(ABS(K2130-YEAR('02_대상물건입력'!B14)),"")</f>
        <v/>
      </c>
      <c r="V2130" s="152">
        <f>IF(B2130="","",IF(AND(E2130&gt;0,F2130&gt;0,H2130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2130=1,TRUE()),R2130&lt;='01_설정'!B5,S2130&lt;='01_설정'!B6,T2130&lt;='01_설정'!B7,U2130&lt;='01_설정'!B8),"Y",""))</f>
        <v/>
      </c>
      <c r="W2130" s="172">
        <f>IF(V2130&lt;&gt;"Y","",MAX(0,(1-R2130/'01_설정'!B5))*'01_설정'!B14+MAX(0,(1-S2130/'01_설정'!B6))*'01_설정'!B15+MAX(0,(1-T2130/'01_설정'!B7))*'01_설정'!B16+MAX(0,(1-U2130/'01_설정'!B8))*'01_설정'!B17+O2130*'01_설정'!B11+Q2130*'01_설정'!B12+P2130*'01_설정'!B13+IF(Z2130="",0,Z2130))</f>
        <v/>
      </c>
      <c r="X2130" s="152">
        <f>IF(W2130="","",1+COUNTIFS($W$4:$W$3003,"&gt;"&amp;W2130)+COUNTIFS($W$4:W2130,W2130)-1)</f>
        <v/>
      </c>
      <c r="Y2130" s="175">
        <f>IF(OR(I2130="",'02_대상물건입력'!B19="",'02_대상물건입력'!B19&lt;=0),"",ABS(I2130-'02_대상물건입력'!B19)/'02_대상물건입력'!B19)</f>
        <v/>
      </c>
      <c r="Z2130" s="172">
        <f>IF(OR(Y2130="",'01_설정'!B31="",'01_설정'!B31&lt;=0,'01_설정'!B32="",'01_설정'!B32&lt;=0),"",MAX(0,(1-Y2130/'01_설정'!B32))*'01_설정'!B31)</f>
        <v/>
      </c>
    </row>
    <row r="2131" ht="17.25" customHeight="1">
      <c r="A2131" s="152">
        <f>IF(INDEX('04A_국토부원자료'!$A:$A,ROW()+1)="","",ROW()-3)</f>
        <v/>
      </c>
      <c r="B2131" s="48">
        <f>IFERROR(INDEX('04A_국토부원자료'!$A:$T,ROW()+1,MATCH("시군구",'04A_국토부원자료'!$A$4:$T$4,0)),"")</f>
        <v/>
      </c>
      <c r="C2131" s="48">
        <f>IF(B2131="","",IFERROR(INDEX('04A_국토부원자료'!$A:$T,ROW()+1,MATCH("번지",'04A_국토부원자료'!$A$4:$T$4,0)),""))</f>
        <v/>
      </c>
      <c r="D2131" s="48">
        <f>IF(B2131="","",IF(Q2131=1,'02_대상물건입력'!$B$8,IFERROR(INDEX('04A_국토부원자료'!$A:$T,ROW()+1,MATCH("단지명",'04A_국토부원자료'!$A$4:$T$4,0)),"")))</f>
        <v/>
      </c>
      <c r="E2131" s="172">
        <f>IFERROR(VALUE(SUBSTITUTE(INDEX('04A_국토부원자료'!$A:$T,ROW()+1,MATCH("전용면적(㎡)",'04A_국토부원자료'!$A$4:$T$4,0)),",","")),"")</f>
        <v/>
      </c>
      <c r="F21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31" s="51">
        <f>IFERROR(VALUE(SUBSTITUTE(INDEX('04A_국토부원자료'!$A:$T,ROW()+1,MATCH("거래금액(만원)",'04A_국토부원자료'!$A$4:$T$4,0)),",","")),"")</f>
        <v/>
      </c>
      <c r="H2131" s="174">
        <f>IF(G2131="","",G2131*10000)</f>
        <v/>
      </c>
      <c r="I2131" s="174">
        <f>IFERROR(IF(AND(H2131&gt;0,E2131&gt;0),H2131/E2131,""),"")</f>
        <v/>
      </c>
      <c r="J2131" s="152">
        <f>IFERROR(VALUE(SUBSTITUTE(INDEX('04A_국토부원자료'!$A:$T,ROW()+1,MATCH("층",'04A_국토부원자료'!$A$4:$T$4,0)),",","")),"")</f>
        <v/>
      </c>
      <c r="K2131" s="152">
        <f>IFERROR(VALUE(SUBSTITUTE(INDEX('04A_국토부원자료'!$A:$T,ROW()+1,MATCH("건축년도",'04A_국토부원자료'!$A$4:$T$4,0)),",","")),"")</f>
        <v/>
      </c>
      <c r="L2131" s="48">
        <f>IFERROR(INDEX('04A_국토부원자료'!$A:$T,ROW()+1,MATCH("도로명",'04A_국토부원자료'!$A$4:$T$4,0)),"")</f>
        <v/>
      </c>
      <c r="M2131" s="48">
        <f>IFERROR(INDEX('04A_국토부원자료'!$A:$T,ROW()+1,MATCH("거래유형",'04A_국토부원자료'!$A$4:$T$4,0)),"")</f>
        <v/>
      </c>
      <c r="N2131" s="152">
        <f>IF(B2131="","",IF('02_대상물건입력'!B5="",1,IF(ISNUMBER(SEARCH('02_대상물건입력'!B5,B2131)),1,0)))</f>
        <v/>
      </c>
      <c r="O2131" s="152">
        <f>IF(B2131="","",IF('02_대상물건입력'!B6="",1,IF(ISNUMBER(SEARCH('02_대상물건입력'!B6,B2131)),1,0)))</f>
        <v/>
      </c>
      <c r="P2131" s="152">
        <f>IF(L2131="","",IF('02_대상물건입력'!B15="",0,IF(ISNUMBER(SEARCH('02_대상물건입력'!B15,L2131)),1,0)))</f>
        <v/>
      </c>
      <c r="Q2131" s="152">
        <f>IF(OR(C2131="",L2131=""),0,IF(AND(TRIM(C2131)=TRIM(RIGHT(SUBSTITUTE(TRIM('02_대상물건입력'!$B$7)," ",REPT(" ",99)),99)),IF('02_대상물건입력'!B15="",TRUE(),ISNUMBER(SEARCH('02_대상물건입력'!B15,L2131)))),1,0))</f>
        <v/>
      </c>
      <c r="R2131" s="175">
        <f>IFERROR(ABS(E2131-'02_대상물건입력'!B11)/'02_대상물건입력'!B11,"")</f>
        <v/>
      </c>
      <c r="S2131" s="152">
        <f>IFERROR(ABS(J2131-'02_대상물건입력'!B10),"")</f>
        <v/>
      </c>
      <c r="T2131" s="152">
        <f>IFERROR(ABS('01_설정'!B4-F2131),"")</f>
        <v/>
      </c>
      <c r="U2131" s="152">
        <f>IFERROR(ABS(K2131-YEAR('02_대상물건입력'!B14)),"")</f>
        <v/>
      </c>
      <c r="V2131" s="152">
        <f>IF(B2131="","",IF(AND(E2131&gt;0,F2131&gt;0,H2131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2131=1,TRUE()),R2131&lt;='01_설정'!B5,S2131&lt;='01_설정'!B6,T2131&lt;='01_설정'!B7,U2131&lt;='01_설정'!B8),"Y",""))</f>
        <v/>
      </c>
      <c r="W2131" s="172">
        <f>IF(V2131&lt;&gt;"Y","",MAX(0,(1-R2131/'01_설정'!B5))*'01_설정'!B14+MAX(0,(1-S2131/'01_설정'!B6))*'01_설정'!B15+MAX(0,(1-T2131/'01_설정'!B7))*'01_설정'!B16+MAX(0,(1-U2131/'01_설정'!B8))*'01_설정'!B17+O2131*'01_설정'!B11+Q2131*'01_설정'!B12+P2131*'01_설정'!B13+IF(Z2131="",0,Z2131))</f>
        <v/>
      </c>
      <c r="X2131" s="152">
        <f>IF(W2131="","",1+COUNTIFS($W$4:$W$3003,"&gt;"&amp;W2131)+COUNTIFS($W$4:W2131,W2131)-1)</f>
        <v/>
      </c>
      <c r="Y2131" s="175">
        <f>IF(OR(I2131="",'02_대상물건입력'!B19="",'02_대상물건입력'!B19&lt;=0),"",ABS(I2131-'02_대상물건입력'!B19)/'02_대상물건입력'!B19)</f>
        <v/>
      </c>
      <c r="Z2131" s="172">
        <f>IF(OR(Y2131="",'01_설정'!B31="",'01_설정'!B31&lt;=0,'01_설정'!B32="",'01_설정'!B32&lt;=0),"",MAX(0,(1-Y2131/'01_설정'!B32))*'01_설정'!B31)</f>
        <v/>
      </c>
    </row>
    <row r="2132" ht="17.25" customHeight="1">
      <c r="A2132" s="152">
        <f>IF(INDEX('04A_국토부원자료'!$A:$A,ROW()+1)="","",ROW()-3)</f>
        <v/>
      </c>
      <c r="B2132" s="48">
        <f>IFERROR(INDEX('04A_국토부원자료'!$A:$T,ROW()+1,MATCH("시군구",'04A_국토부원자료'!$A$4:$T$4,0)),"")</f>
        <v/>
      </c>
      <c r="C2132" s="48">
        <f>IF(B2132="","",IFERROR(INDEX('04A_국토부원자료'!$A:$T,ROW()+1,MATCH("번지",'04A_국토부원자료'!$A$4:$T$4,0)),""))</f>
        <v/>
      </c>
      <c r="D2132" s="48">
        <f>IF(B2132="","",IF(Q2132=1,'02_대상물건입력'!$B$8,IFERROR(INDEX('04A_국토부원자료'!$A:$T,ROW()+1,MATCH("단지명",'04A_국토부원자료'!$A$4:$T$4,0)),"")))</f>
        <v/>
      </c>
      <c r="E2132" s="172">
        <f>IFERROR(VALUE(SUBSTITUTE(INDEX('04A_국토부원자료'!$A:$T,ROW()+1,MATCH("전용면적(㎡)",'04A_국토부원자료'!$A$4:$T$4,0)),",","")),"")</f>
        <v/>
      </c>
      <c r="F21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32" s="51">
        <f>IFERROR(VALUE(SUBSTITUTE(INDEX('04A_국토부원자료'!$A:$T,ROW()+1,MATCH("거래금액(만원)",'04A_국토부원자료'!$A$4:$T$4,0)),",","")),"")</f>
        <v/>
      </c>
      <c r="H2132" s="174">
        <f>IF(G2132="","",G2132*10000)</f>
        <v/>
      </c>
      <c r="I2132" s="174">
        <f>IFERROR(IF(AND(H2132&gt;0,E2132&gt;0),H2132/E2132,""),"")</f>
        <v/>
      </c>
      <c r="J2132" s="152">
        <f>IFERROR(VALUE(SUBSTITUTE(INDEX('04A_국토부원자료'!$A:$T,ROW()+1,MATCH("층",'04A_국토부원자료'!$A$4:$T$4,0)),",","")),"")</f>
        <v/>
      </c>
      <c r="K2132" s="152">
        <f>IFERROR(VALUE(SUBSTITUTE(INDEX('04A_국토부원자료'!$A:$T,ROW()+1,MATCH("건축년도",'04A_국토부원자료'!$A$4:$T$4,0)),",","")),"")</f>
        <v/>
      </c>
      <c r="L2132" s="48">
        <f>IFERROR(INDEX('04A_국토부원자료'!$A:$T,ROW()+1,MATCH("도로명",'04A_국토부원자료'!$A$4:$T$4,0)),"")</f>
        <v/>
      </c>
      <c r="M2132" s="48">
        <f>IFERROR(INDEX('04A_국토부원자료'!$A:$T,ROW()+1,MATCH("거래유형",'04A_국토부원자료'!$A$4:$T$4,0)),"")</f>
        <v/>
      </c>
      <c r="N2132" s="152">
        <f>IF(B2132="","",IF('02_대상물건입력'!B5="",1,IF(ISNUMBER(SEARCH('02_대상물건입력'!B5,B2132)),1,0)))</f>
        <v/>
      </c>
      <c r="O2132" s="152">
        <f>IF(B2132="","",IF('02_대상물건입력'!B6="",1,IF(ISNUMBER(SEARCH('02_대상물건입력'!B6,B2132)),1,0)))</f>
        <v/>
      </c>
      <c r="P2132" s="152">
        <f>IF(L2132="","",IF('02_대상물건입력'!B15="",0,IF(ISNUMBER(SEARCH('02_대상물건입력'!B15,L2132)),1,0)))</f>
        <v/>
      </c>
      <c r="Q2132" s="152">
        <f>IF(OR(C2132="",L2132=""),0,IF(AND(TRIM(C2132)=TRIM(RIGHT(SUBSTITUTE(TRIM('02_대상물건입력'!$B$7)," ",REPT(" ",99)),99)),IF('02_대상물건입력'!B15="",TRUE(),ISNUMBER(SEARCH('02_대상물건입력'!B15,L2132)))),1,0))</f>
        <v/>
      </c>
      <c r="R2132" s="175">
        <f>IFERROR(ABS(E2132-'02_대상물건입력'!B11)/'02_대상물건입력'!B11,"")</f>
        <v/>
      </c>
      <c r="S2132" s="152">
        <f>IFERROR(ABS(J2132-'02_대상물건입력'!B10),"")</f>
        <v/>
      </c>
      <c r="T2132" s="152">
        <f>IFERROR(ABS('01_설정'!B4-F2132),"")</f>
        <v/>
      </c>
      <c r="U2132" s="152">
        <f>IFERROR(ABS(K2132-YEAR('02_대상물건입력'!B14)),"")</f>
        <v/>
      </c>
      <c r="V2132" s="152">
        <f>IF(B2132="","",IF(AND(E2132&gt;0,F2132&gt;0,H2132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2132=1,TRUE()),R2132&lt;='01_설정'!B5,S2132&lt;='01_설정'!B6,T2132&lt;='01_설정'!B7,U2132&lt;='01_설정'!B8),"Y",""))</f>
        <v/>
      </c>
      <c r="W2132" s="172">
        <f>IF(V2132&lt;&gt;"Y","",MAX(0,(1-R2132/'01_설정'!B5))*'01_설정'!B14+MAX(0,(1-S2132/'01_설정'!B6))*'01_설정'!B15+MAX(0,(1-T2132/'01_설정'!B7))*'01_설정'!B16+MAX(0,(1-U2132/'01_설정'!B8))*'01_설정'!B17+O2132*'01_설정'!B11+Q2132*'01_설정'!B12+P2132*'01_설정'!B13+IF(Z2132="",0,Z2132))</f>
        <v/>
      </c>
      <c r="X2132" s="152">
        <f>IF(W2132="","",1+COUNTIFS($W$4:$W$3003,"&gt;"&amp;W2132)+COUNTIFS($W$4:W2132,W2132)-1)</f>
        <v/>
      </c>
      <c r="Y2132" s="175">
        <f>IF(OR(I2132="",'02_대상물건입력'!B19="",'02_대상물건입력'!B19&lt;=0),"",ABS(I2132-'02_대상물건입력'!B19)/'02_대상물건입력'!B19)</f>
        <v/>
      </c>
      <c r="Z2132" s="172">
        <f>IF(OR(Y2132="",'01_설정'!B31="",'01_설정'!B31&lt;=0,'01_설정'!B32="",'01_설정'!B32&lt;=0),"",MAX(0,(1-Y2132/'01_설정'!B32))*'01_설정'!B31)</f>
        <v/>
      </c>
    </row>
    <row r="2133" ht="17.25" customHeight="1">
      <c r="A2133" s="152">
        <f>IF(INDEX('04A_국토부원자료'!$A:$A,ROW()+1)="","",ROW()-3)</f>
        <v/>
      </c>
      <c r="B2133" s="48">
        <f>IFERROR(INDEX('04A_국토부원자료'!$A:$T,ROW()+1,MATCH("시군구",'04A_국토부원자료'!$A$4:$T$4,0)),"")</f>
        <v/>
      </c>
      <c r="C2133" s="48">
        <f>IF(B2133="","",IFERROR(INDEX('04A_국토부원자료'!$A:$T,ROW()+1,MATCH("번지",'04A_국토부원자료'!$A$4:$T$4,0)),""))</f>
        <v/>
      </c>
      <c r="D2133" s="48">
        <f>IF(B2133="","",IF(Q2133=1,'02_대상물건입력'!$B$8,IFERROR(INDEX('04A_국토부원자료'!$A:$T,ROW()+1,MATCH("단지명",'04A_국토부원자료'!$A$4:$T$4,0)),"")))</f>
        <v/>
      </c>
      <c r="E2133" s="172">
        <f>IFERROR(VALUE(SUBSTITUTE(INDEX('04A_국토부원자료'!$A:$T,ROW()+1,MATCH("전용면적(㎡)",'04A_국토부원자료'!$A$4:$T$4,0)),",","")),"")</f>
        <v/>
      </c>
      <c r="F21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33" s="51">
        <f>IFERROR(VALUE(SUBSTITUTE(INDEX('04A_국토부원자료'!$A:$T,ROW()+1,MATCH("거래금액(만원)",'04A_국토부원자료'!$A$4:$T$4,0)),",","")),"")</f>
        <v/>
      </c>
      <c r="H2133" s="174">
        <f>IF(G2133="","",G2133*10000)</f>
        <v/>
      </c>
      <c r="I2133" s="174">
        <f>IFERROR(IF(AND(H2133&gt;0,E2133&gt;0),H2133/E2133,""),"")</f>
        <v/>
      </c>
      <c r="J2133" s="152">
        <f>IFERROR(VALUE(SUBSTITUTE(INDEX('04A_국토부원자료'!$A:$T,ROW()+1,MATCH("층",'04A_국토부원자료'!$A$4:$T$4,0)),",","")),"")</f>
        <v/>
      </c>
      <c r="K2133" s="152">
        <f>IFERROR(VALUE(SUBSTITUTE(INDEX('04A_국토부원자료'!$A:$T,ROW()+1,MATCH("건축년도",'04A_국토부원자료'!$A$4:$T$4,0)),",","")),"")</f>
        <v/>
      </c>
      <c r="L2133" s="48">
        <f>IFERROR(INDEX('04A_국토부원자료'!$A:$T,ROW()+1,MATCH("도로명",'04A_국토부원자료'!$A$4:$T$4,0)),"")</f>
        <v/>
      </c>
      <c r="M2133" s="48">
        <f>IFERROR(INDEX('04A_국토부원자료'!$A:$T,ROW()+1,MATCH("거래유형",'04A_국토부원자료'!$A$4:$T$4,0)),"")</f>
        <v/>
      </c>
      <c r="N2133" s="152">
        <f>IF(B2133="","",IF('02_대상물건입력'!B5="",1,IF(ISNUMBER(SEARCH('02_대상물건입력'!B5,B2133)),1,0)))</f>
        <v/>
      </c>
      <c r="O2133" s="152">
        <f>IF(B2133="","",IF('02_대상물건입력'!B6="",1,IF(ISNUMBER(SEARCH('02_대상물건입력'!B6,B2133)),1,0)))</f>
        <v/>
      </c>
      <c r="P2133" s="152">
        <f>IF(L2133="","",IF('02_대상물건입력'!B15="",0,IF(ISNUMBER(SEARCH('02_대상물건입력'!B15,L2133)),1,0)))</f>
        <v/>
      </c>
      <c r="Q2133" s="152">
        <f>IF(OR(C2133="",L2133=""),0,IF(AND(TRIM(C2133)=TRIM(RIGHT(SUBSTITUTE(TRIM('02_대상물건입력'!$B$7)," ",REPT(" ",99)),99)),IF('02_대상물건입력'!B15="",TRUE(),ISNUMBER(SEARCH('02_대상물건입력'!B15,L2133)))),1,0))</f>
        <v/>
      </c>
      <c r="R2133" s="175">
        <f>IFERROR(ABS(E2133-'02_대상물건입력'!B11)/'02_대상물건입력'!B11,"")</f>
        <v/>
      </c>
      <c r="S2133" s="152">
        <f>IFERROR(ABS(J2133-'02_대상물건입력'!B10),"")</f>
        <v/>
      </c>
      <c r="T2133" s="152">
        <f>IFERROR(ABS('01_설정'!B4-F2133),"")</f>
        <v/>
      </c>
      <c r="U2133" s="152">
        <f>IFERROR(ABS(K2133-YEAR('02_대상물건입력'!B14)),"")</f>
        <v/>
      </c>
      <c r="V2133" s="152">
        <f>IF(B2133="","",IF(AND(E2133&gt;0,F2133&gt;0,H2133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2133=1,TRUE()),R2133&lt;='01_설정'!B5,S2133&lt;='01_설정'!B6,T2133&lt;='01_설정'!B7,U2133&lt;='01_설정'!B8),"Y",""))</f>
        <v/>
      </c>
      <c r="W2133" s="172">
        <f>IF(V2133&lt;&gt;"Y","",MAX(0,(1-R2133/'01_설정'!B5))*'01_설정'!B14+MAX(0,(1-S2133/'01_설정'!B6))*'01_설정'!B15+MAX(0,(1-T2133/'01_설정'!B7))*'01_설정'!B16+MAX(0,(1-U2133/'01_설정'!B8))*'01_설정'!B17+O2133*'01_설정'!B11+Q2133*'01_설정'!B12+P2133*'01_설정'!B13+IF(Z2133="",0,Z2133))</f>
        <v/>
      </c>
      <c r="X2133" s="152">
        <f>IF(W2133="","",1+COUNTIFS($W$4:$W$3003,"&gt;"&amp;W2133)+COUNTIFS($W$4:W2133,W2133)-1)</f>
        <v/>
      </c>
      <c r="Y2133" s="175">
        <f>IF(OR(I2133="",'02_대상물건입력'!B19="",'02_대상물건입력'!B19&lt;=0),"",ABS(I2133-'02_대상물건입력'!B19)/'02_대상물건입력'!B19)</f>
        <v/>
      </c>
      <c r="Z2133" s="172">
        <f>IF(OR(Y2133="",'01_설정'!B31="",'01_설정'!B31&lt;=0,'01_설정'!B32="",'01_설정'!B32&lt;=0),"",MAX(0,(1-Y2133/'01_설정'!B32))*'01_설정'!B31)</f>
        <v/>
      </c>
    </row>
    <row r="2134" ht="17.25" customHeight="1">
      <c r="A2134" s="152">
        <f>IF(INDEX('04A_국토부원자료'!$A:$A,ROW()+1)="","",ROW()-3)</f>
        <v/>
      </c>
      <c r="B2134" s="48">
        <f>IFERROR(INDEX('04A_국토부원자료'!$A:$T,ROW()+1,MATCH("시군구",'04A_국토부원자료'!$A$4:$T$4,0)),"")</f>
        <v/>
      </c>
      <c r="C2134" s="48">
        <f>IF(B2134="","",IFERROR(INDEX('04A_국토부원자료'!$A:$T,ROW()+1,MATCH("번지",'04A_국토부원자료'!$A$4:$T$4,0)),""))</f>
        <v/>
      </c>
      <c r="D2134" s="48">
        <f>IF(B2134="","",IF(Q2134=1,'02_대상물건입력'!$B$8,IFERROR(INDEX('04A_국토부원자료'!$A:$T,ROW()+1,MATCH("단지명",'04A_국토부원자료'!$A$4:$T$4,0)),"")))</f>
        <v/>
      </c>
      <c r="E2134" s="172">
        <f>IFERROR(VALUE(SUBSTITUTE(INDEX('04A_국토부원자료'!$A:$T,ROW()+1,MATCH("전용면적(㎡)",'04A_국토부원자료'!$A$4:$T$4,0)),",","")),"")</f>
        <v/>
      </c>
      <c r="F21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34" s="51">
        <f>IFERROR(VALUE(SUBSTITUTE(INDEX('04A_국토부원자료'!$A:$T,ROW()+1,MATCH("거래금액(만원)",'04A_국토부원자료'!$A$4:$T$4,0)),",","")),"")</f>
        <v/>
      </c>
      <c r="H2134" s="174">
        <f>IF(G2134="","",G2134*10000)</f>
        <v/>
      </c>
      <c r="I2134" s="174">
        <f>IFERROR(IF(AND(H2134&gt;0,E2134&gt;0),H2134/E2134,""),"")</f>
        <v/>
      </c>
      <c r="J2134" s="152">
        <f>IFERROR(VALUE(SUBSTITUTE(INDEX('04A_국토부원자료'!$A:$T,ROW()+1,MATCH("층",'04A_국토부원자료'!$A$4:$T$4,0)),",","")),"")</f>
        <v/>
      </c>
      <c r="K2134" s="152">
        <f>IFERROR(VALUE(SUBSTITUTE(INDEX('04A_국토부원자료'!$A:$T,ROW()+1,MATCH("건축년도",'04A_국토부원자료'!$A$4:$T$4,0)),",","")),"")</f>
        <v/>
      </c>
      <c r="L2134" s="48">
        <f>IFERROR(INDEX('04A_국토부원자료'!$A:$T,ROW()+1,MATCH("도로명",'04A_국토부원자료'!$A$4:$T$4,0)),"")</f>
        <v/>
      </c>
      <c r="M2134" s="48">
        <f>IFERROR(INDEX('04A_국토부원자료'!$A:$T,ROW()+1,MATCH("거래유형",'04A_국토부원자료'!$A$4:$T$4,0)),"")</f>
        <v/>
      </c>
      <c r="N2134" s="152">
        <f>IF(B2134="","",IF('02_대상물건입력'!B5="",1,IF(ISNUMBER(SEARCH('02_대상물건입력'!B5,B2134)),1,0)))</f>
        <v/>
      </c>
      <c r="O2134" s="152">
        <f>IF(B2134="","",IF('02_대상물건입력'!B6="",1,IF(ISNUMBER(SEARCH('02_대상물건입력'!B6,B2134)),1,0)))</f>
        <v/>
      </c>
      <c r="P2134" s="152">
        <f>IF(L2134="","",IF('02_대상물건입력'!B15="",0,IF(ISNUMBER(SEARCH('02_대상물건입력'!B15,L2134)),1,0)))</f>
        <v/>
      </c>
      <c r="Q2134" s="152">
        <f>IF(OR(C2134="",L2134=""),0,IF(AND(TRIM(C2134)=TRIM(RIGHT(SUBSTITUTE(TRIM('02_대상물건입력'!$B$7)," ",REPT(" ",99)),99)),IF('02_대상물건입력'!B15="",TRUE(),ISNUMBER(SEARCH('02_대상물건입력'!B15,L2134)))),1,0))</f>
        <v/>
      </c>
      <c r="R2134" s="175">
        <f>IFERROR(ABS(E2134-'02_대상물건입력'!B11)/'02_대상물건입력'!B11,"")</f>
        <v/>
      </c>
      <c r="S2134" s="152">
        <f>IFERROR(ABS(J2134-'02_대상물건입력'!B10),"")</f>
        <v/>
      </c>
      <c r="T2134" s="152">
        <f>IFERROR(ABS('01_설정'!B4-F2134),"")</f>
        <v/>
      </c>
      <c r="U2134" s="152">
        <f>IFERROR(ABS(K2134-YEAR('02_대상물건입력'!B14)),"")</f>
        <v/>
      </c>
      <c r="V2134" s="152">
        <f>IF(B2134="","",IF(AND(E2134&gt;0,F2134&gt;0,H2134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2134=1,TRUE()),R2134&lt;='01_설정'!B5,S2134&lt;='01_설정'!B6,T2134&lt;='01_설정'!B7,U2134&lt;='01_설정'!B8),"Y",""))</f>
        <v/>
      </c>
      <c r="W2134" s="172">
        <f>IF(V2134&lt;&gt;"Y","",MAX(0,(1-R2134/'01_설정'!B5))*'01_설정'!B14+MAX(0,(1-S2134/'01_설정'!B6))*'01_설정'!B15+MAX(0,(1-T2134/'01_설정'!B7))*'01_설정'!B16+MAX(0,(1-U2134/'01_설정'!B8))*'01_설정'!B17+O2134*'01_설정'!B11+Q2134*'01_설정'!B12+P2134*'01_설정'!B13+IF(Z2134="",0,Z2134))</f>
        <v/>
      </c>
      <c r="X2134" s="152">
        <f>IF(W2134="","",1+COUNTIFS($W$4:$W$3003,"&gt;"&amp;W2134)+COUNTIFS($W$4:W2134,W2134)-1)</f>
        <v/>
      </c>
      <c r="Y2134" s="175">
        <f>IF(OR(I2134="",'02_대상물건입력'!B19="",'02_대상물건입력'!B19&lt;=0),"",ABS(I2134-'02_대상물건입력'!B19)/'02_대상물건입력'!B19)</f>
        <v/>
      </c>
      <c r="Z2134" s="172">
        <f>IF(OR(Y2134="",'01_설정'!B31="",'01_설정'!B31&lt;=0,'01_설정'!B32="",'01_설정'!B32&lt;=0),"",MAX(0,(1-Y2134/'01_설정'!B32))*'01_설정'!B31)</f>
        <v/>
      </c>
    </row>
    <row r="2135" ht="17.25" customHeight="1">
      <c r="A2135" s="152">
        <f>IF(INDEX('04A_국토부원자료'!$A:$A,ROW()+1)="","",ROW()-3)</f>
        <v/>
      </c>
      <c r="B2135" s="48">
        <f>IFERROR(INDEX('04A_국토부원자료'!$A:$T,ROW()+1,MATCH("시군구",'04A_국토부원자료'!$A$4:$T$4,0)),"")</f>
        <v/>
      </c>
      <c r="C2135" s="48">
        <f>IF(B2135="","",IFERROR(INDEX('04A_국토부원자료'!$A:$T,ROW()+1,MATCH("번지",'04A_국토부원자료'!$A$4:$T$4,0)),""))</f>
        <v/>
      </c>
      <c r="D2135" s="48">
        <f>IF(B2135="","",IF(Q2135=1,'02_대상물건입력'!$B$8,IFERROR(INDEX('04A_국토부원자료'!$A:$T,ROW()+1,MATCH("단지명",'04A_국토부원자료'!$A$4:$T$4,0)),"")))</f>
        <v/>
      </c>
      <c r="E2135" s="172">
        <f>IFERROR(VALUE(SUBSTITUTE(INDEX('04A_국토부원자료'!$A:$T,ROW()+1,MATCH("전용면적(㎡)",'04A_국토부원자료'!$A$4:$T$4,0)),",","")),"")</f>
        <v/>
      </c>
      <c r="F21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35" s="51">
        <f>IFERROR(VALUE(SUBSTITUTE(INDEX('04A_국토부원자료'!$A:$T,ROW()+1,MATCH("거래금액(만원)",'04A_국토부원자료'!$A$4:$T$4,0)),",","")),"")</f>
        <v/>
      </c>
      <c r="H2135" s="174">
        <f>IF(G2135="","",G2135*10000)</f>
        <v/>
      </c>
      <c r="I2135" s="174">
        <f>IFERROR(IF(AND(H2135&gt;0,E2135&gt;0),H2135/E2135,""),"")</f>
        <v/>
      </c>
      <c r="J2135" s="152">
        <f>IFERROR(VALUE(SUBSTITUTE(INDEX('04A_국토부원자료'!$A:$T,ROW()+1,MATCH("층",'04A_국토부원자료'!$A$4:$T$4,0)),",","")),"")</f>
        <v/>
      </c>
      <c r="K2135" s="152">
        <f>IFERROR(VALUE(SUBSTITUTE(INDEX('04A_국토부원자료'!$A:$T,ROW()+1,MATCH("건축년도",'04A_국토부원자료'!$A$4:$T$4,0)),",","")),"")</f>
        <v/>
      </c>
      <c r="L2135" s="48">
        <f>IFERROR(INDEX('04A_국토부원자료'!$A:$T,ROW()+1,MATCH("도로명",'04A_국토부원자료'!$A$4:$T$4,0)),"")</f>
        <v/>
      </c>
      <c r="M2135" s="48">
        <f>IFERROR(INDEX('04A_국토부원자료'!$A:$T,ROW()+1,MATCH("거래유형",'04A_국토부원자료'!$A$4:$T$4,0)),"")</f>
        <v/>
      </c>
      <c r="N2135" s="152">
        <f>IF(B2135="","",IF('02_대상물건입력'!B5="",1,IF(ISNUMBER(SEARCH('02_대상물건입력'!B5,B2135)),1,0)))</f>
        <v/>
      </c>
      <c r="O2135" s="152">
        <f>IF(B2135="","",IF('02_대상물건입력'!B6="",1,IF(ISNUMBER(SEARCH('02_대상물건입력'!B6,B2135)),1,0)))</f>
        <v/>
      </c>
      <c r="P2135" s="152">
        <f>IF(L2135="","",IF('02_대상물건입력'!B15="",0,IF(ISNUMBER(SEARCH('02_대상물건입력'!B15,L2135)),1,0)))</f>
        <v/>
      </c>
      <c r="Q2135" s="152">
        <f>IF(OR(C2135="",L2135=""),0,IF(AND(TRIM(C2135)=TRIM(RIGHT(SUBSTITUTE(TRIM('02_대상물건입력'!$B$7)," ",REPT(" ",99)),99)),IF('02_대상물건입력'!B15="",TRUE(),ISNUMBER(SEARCH('02_대상물건입력'!B15,L2135)))),1,0))</f>
        <v/>
      </c>
      <c r="R2135" s="175">
        <f>IFERROR(ABS(E2135-'02_대상물건입력'!B11)/'02_대상물건입력'!B11,"")</f>
        <v/>
      </c>
      <c r="S2135" s="152">
        <f>IFERROR(ABS(J2135-'02_대상물건입력'!B10),"")</f>
        <v/>
      </c>
      <c r="T2135" s="152">
        <f>IFERROR(ABS('01_설정'!B4-F2135),"")</f>
        <v/>
      </c>
      <c r="U2135" s="152">
        <f>IFERROR(ABS(K2135-YEAR('02_대상물건입력'!B14)),"")</f>
        <v/>
      </c>
      <c r="V2135" s="152">
        <f>IF(B2135="","",IF(AND(E2135&gt;0,F2135&gt;0,H2135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2135=1,TRUE()),R2135&lt;='01_설정'!B5,S2135&lt;='01_설정'!B6,T2135&lt;='01_설정'!B7,U2135&lt;='01_설정'!B8),"Y",""))</f>
        <v/>
      </c>
      <c r="W2135" s="172">
        <f>IF(V2135&lt;&gt;"Y","",MAX(0,(1-R2135/'01_설정'!B5))*'01_설정'!B14+MAX(0,(1-S2135/'01_설정'!B6))*'01_설정'!B15+MAX(0,(1-T2135/'01_설정'!B7))*'01_설정'!B16+MAX(0,(1-U2135/'01_설정'!B8))*'01_설정'!B17+O2135*'01_설정'!B11+Q2135*'01_설정'!B12+P2135*'01_설정'!B13+IF(Z2135="",0,Z2135))</f>
        <v/>
      </c>
      <c r="X2135" s="152">
        <f>IF(W2135="","",1+COUNTIFS($W$4:$W$3003,"&gt;"&amp;W2135)+COUNTIFS($W$4:W2135,W2135)-1)</f>
        <v/>
      </c>
      <c r="Y2135" s="175">
        <f>IF(OR(I2135="",'02_대상물건입력'!B19="",'02_대상물건입력'!B19&lt;=0),"",ABS(I2135-'02_대상물건입력'!B19)/'02_대상물건입력'!B19)</f>
        <v/>
      </c>
      <c r="Z2135" s="172">
        <f>IF(OR(Y2135="",'01_설정'!B31="",'01_설정'!B31&lt;=0,'01_설정'!B32="",'01_설정'!B32&lt;=0),"",MAX(0,(1-Y2135/'01_설정'!B32))*'01_설정'!B31)</f>
        <v/>
      </c>
    </row>
    <row r="2136" ht="17.25" customHeight="1">
      <c r="A2136" s="152">
        <f>IF(INDEX('04A_국토부원자료'!$A:$A,ROW()+1)="","",ROW()-3)</f>
        <v/>
      </c>
      <c r="B2136" s="48">
        <f>IFERROR(INDEX('04A_국토부원자료'!$A:$T,ROW()+1,MATCH("시군구",'04A_국토부원자료'!$A$4:$T$4,0)),"")</f>
        <v/>
      </c>
      <c r="C2136" s="48">
        <f>IF(B2136="","",IFERROR(INDEX('04A_국토부원자료'!$A:$T,ROW()+1,MATCH("번지",'04A_국토부원자료'!$A$4:$T$4,0)),""))</f>
        <v/>
      </c>
      <c r="D2136" s="48">
        <f>IF(B2136="","",IF(Q2136=1,'02_대상물건입력'!$B$8,IFERROR(INDEX('04A_국토부원자료'!$A:$T,ROW()+1,MATCH("단지명",'04A_국토부원자료'!$A$4:$T$4,0)),"")))</f>
        <v/>
      </c>
      <c r="E2136" s="172">
        <f>IFERROR(VALUE(SUBSTITUTE(INDEX('04A_국토부원자료'!$A:$T,ROW()+1,MATCH("전용면적(㎡)",'04A_국토부원자료'!$A$4:$T$4,0)),",","")),"")</f>
        <v/>
      </c>
      <c r="F21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36" s="51">
        <f>IFERROR(VALUE(SUBSTITUTE(INDEX('04A_국토부원자료'!$A:$T,ROW()+1,MATCH("거래금액(만원)",'04A_국토부원자료'!$A$4:$T$4,0)),",","")),"")</f>
        <v/>
      </c>
      <c r="H2136" s="174">
        <f>IF(G2136="","",G2136*10000)</f>
        <v/>
      </c>
      <c r="I2136" s="174">
        <f>IFERROR(IF(AND(H2136&gt;0,E2136&gt;0),H2136/E2136,""),"")</f>
        <v/>
      </c>
      <c r="J2136" s="152">
        <f>IFERROR(VALUE(SUBSTITUTE(INDEX('04A_국토부원자료'!$A:$T,ROW()+1,MATCH("층",'04A_국토부원자료'!$A$4:$T$4,0)),",","")),"")</f>
        <v/>
      </c>
      <c r="K2136" s="152">
        <f>IFERROR(VALUE(SUBSTITUTE(INDEX('04A_국토부원자료'!$A:$T,ROW()+1,MATCH("건축년도",'04A_국토부원자료'!$A$4:$T$4,0)),",","")),"")</f>
        <v/>
      </c>
      <c r="L2136" s="48">
        <f>IFERROR(INDEX('04A_국토부원자료'!$A:$T,ROW()+1,MATCH("도로명",'04A_국토부원자료'!$A$4:$T$4,0)),"")</f>
        <v/>
      </c>
      <c r="M2136" s="48">
        <f>IFERROR(INDEX('04A_국토부원자료'!$A:$T,ROW()+1,MATCH("거래유형",'04A_국토부원자료'!$A$4:$T$4,0)),"")</f>
        <v/>
      </c>
      <c r="N2136" s="152">
        <f>IF(B2136="","",IF('02_대상물건입력'!B5="",1,IF(ISNUMBER(SEARCH('02_대상물건입력'!B5,B2136)),1,0)))</f>
        <v/>
      </c>
      <c r="O2136" s="152">
        <f>IF(B2136="","",IF('02_대상물건입력'!B6="",1,IF(ISNUMBER(SEARCH('02_대상물건입력'!B6,B2136)),1,0)))</f>
        <v/>
      </c>
      <c r="P2136" s="152">
        <f>IF(L2136="","",IF('02_대상물건입력'!B15="",0,IF(ISNUMBER(SEARCH('02_대상물건입력'!B15,L2136)),1,0)))</f>
        <v/>
      </c>
      <c r="Q2136" s="152">
        <f>IF(OR(C2136="",L2136=""),0,IF(AND(TRIM(C2136)=TRIM(RIGHT(SUBSTITUTE(TRIM('02_대상물건입력'!$B$7)," ",REPT(" ",99)),99)),IF('02_대상물건입력'!B15="",TRUE(),ISNUMBER(SEARCH('02_대상물건입력'!B15,L2136)))),1,0))</f>
        <v/>
      </c>
      <c r="R2136" s="175">
        <f>IFERROR(ABS(E2136-'02_대상물건입력'!B11)/'02_대상물건입력'!B11,"")</f>
        <v/>
      </c>
      <c r="S2136" s="152">
        <f>IFERROR(ABS(J2136-'02_대상물건입력'!B10),"")</f>
        <v/>
      </c>
      <c r="T2136" s="152">
        <f>IFERROR(ABS('01_설정'!B4-F2136),"")</f>
        <v/>
      </c>
      <c r="U2136" s="152">
        <f>IFERROR(ABS(K2136-YEAR('02_대상물건입력'!B14)),"")</f>
        <v/>
      </c>
      <c r="V2136" s="152">
        <f>IF(B2136="","",IF(AND(E2136&gt;0,F2136&gt;0,H2136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2136=1,TRUE()),R2136&lt;='01_설정'!B5,S2136&lt;='01_설정'!B6,T2136&lt;='01_설정'!B7,U2136&lt;='01_설정'!B8),"Y",""))</f>
        <v/>
      </c>
      <c r="W2136" s="172">
        <f>IF(V2136&lt;&gt;"Y","",MAX(0,(1-R2136/'01_설정'!B5))*'01_설정'!B14+MAX(0,(1-S2136/'01_설정'!B6))*'01_설정'!B15+MAX(0,(1-T2136/'01_설정'!B7))*'01_설정'!B16+MAX(0,(1-U2136/'01_설정'!B8))*'01_설정'!B17+O2136*'01_설정'!B11+Q2136*'01_설정'!B12+P2136*'01_설정'!B13+IF(Z2136="",0,Z2136))</f>
        <v/>
      </c>
      <c r="X2136" s="152">
        <f>IF(W2136="","",1+COUNTIFS($W$4:$W$3003,"&gt;"&amp;W2136)+COUNTIFS($W$4:W2136,W2136)-1)</f>
        <v/>
      </c>
      <c r="Y2136" s="175">
        <f>IF(OR(I2136="",'02_대상물건입력'!B19="",'02_대상물건입력'!B19&lt;=0),"",ABS(I2136-'02_대상물건입력'!B19)/'02_대상물건입력'!B19)</f>
        <v/>
      </c>
      <c r="Z2136" s="172">
        <f>IF(OR(Y2136="",'01_설정'!B31="",'01_설정'!B31&lt;=0,'01_설정'!B32="",'01_설정'!B32&lt;=0),"",MAX(0,(1-Y2136/'01_설정'!B32))*'01_설정'!B31)</f>
        <v/>
      </c>
    </row>
    <row r="2137" ht="17.25" customHeight="1">
      <c r="A2137" s="152">
        <f>IF(INDEX('04A_국토부원자료'!$A:$A,ROW()+1)="","",ROW()-3)</f>
        <v/>
      </c>
      <c r="B2137" s="48">
        <f>IFERROR(INDEX('04A_국토부원자료'!$A:$T,ROW()+1,MATCH("시군구",'04A_국토부원자료'!$A$4:$T$4,0)),"")</f>
        <v/>
      </c>
      <c r="C2137" s="48">
        <f>IF(B2137="","",IFERROR(INDEX('04A_국토부원자료'!$A:$T,ROW()+1,MATCH("번지",'04A_국토부원자료'!$A$4:$T$4,0)),""))</f>
        <v/>
      </c>
      <c r="D2137" s="48">
        <f>IF(B2137="","",IF(Q2137=1,'02_대상물건입력'!$B$8,IFERROR(INDEX('04A_국토부원자료'!$A:$T,ROW()+1,MATCH("단지명",'04A_국토부원자료'!$A$4:$T$4,0)),"")))</f>
        <v/>
      </c>
      <c r="E2137" s="172">
        <f>IFERROR(VALUE(SUBSTITUTE(INDEX('04A_국토부원자료'!$A:$T,ROW()+1,MATCH("전용면적(㎡)",'04A_국토부원자료'!$A$4:$T$4,0)),",","")),"")</f>
        <v/>
      </c>
      <c r="F21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37" s="51">
        <f>IFERROR(VALUE(SUBSTITUTE(INDEX('04A_국토부원자료'!$A:$T,ROW()+1,MATCH("거래금액(만원)",'04A_국토부원자료'!$A$4:$T$4,0)),",","")),"")</f>
        <v/>
      </c>
      <c r="H2137" s="174">
        <f>IF(G2137="","",G2137*10000)</f>
        <v/>
      </c>
      <c r="I2137" s="174">
        <f>IFERROR(IF(AND(H2137&gt;0,E2137&gt;0),H2137/E2137,""),"")</f>
        <v/>
      </c>
      <c r="J2137" s="152">
        <f>IFERROR(VALUE(SUBSTITUTE(INDEX('04A_국토부원자료'!$A:$T,ROW()+1,MATCH("층",'04A_국토부원자료'!$A$4:$T$4,0)),",","")),"")</f>
        <v/>
      </c>
      <c r="K2137" s="152">
        <f>IFERROR(VALUE(SUBSTITUTE(INDEX('04A_국토부원자료'!$A:$T,ROW()+1,MATCH("건축년도",'04A_국토부원자료'!$A$4:$T$4,0)),",","")),"")</f>
        <v/>
      </c>
      <c r="L2137" s="48">
        <f>IFERROR(INDEX('04A_국토부원자료'!$A:$T,ROW()+1,MATCH("도로명",'04A_국토부원자료'!$A$4:$T$4,0)),"")</f>
        <v/>
      </c>
      <c r="M2137" s="48">
        <f>IFERROR(INDEX('04A_국토부원자료'!$A:$T,ROW()+1,MATCH("거래유형",'04A_국토부원자료'!$A$4:$T$4,0)),"")</f>
        <v/>
      </c>
      <c r="N2137" s="152">
        <f>IF(B2137="","",IF('02_대상물건입력'!B5="",1,IF(ISNUMBER(SEARCH('02_대상물건입력'!B5,B2137)),1,0)))</f>
        <v/>
      </c>
      <c r="O2137" s="152">
        <f>IF(B2137="","",IF('02_대상물건입력'!B6="",1,IF(ISNUMBER(SEARCH('02_대상물건입력'!B6,B2137)),1,0)))</f>
        <v/>
      </c>
      <c r="P2137" s="152">
        <f>IF(L2137="","",IF('02_대상물건입력'!B15="",0,IF(ISNUMBER(SEARCH('02_대상물건입력'!B15,L2137)),1,0)))</f>
        <v/>
      </c>
      <c r="Q2137" s="152">
        <f>IF(OR(C2137="",L2137=""),0,IF(AND(TRIM(C2137)=TRIM(RIGHT(SUBSTITUTE(TRIM('02_대상물건입력'!$B$7)," ",REPT(" ",99)),99)),IF('02_대상물건입력'!B15="",TRUE(),ISNUMBER(SEARCH('02_대상물건입력'!B15,L2137)))),1,0))</f>
        <v/>
      </c>
      <c r="R2137" s="175">
        <f>IFERROR(ABS(E2137-'02_대상물건입력'!B11)/'02_대상물건입력'!B11,"")</f>
        <v/>
      </c>
      <c r="S2137" s="152">
        <f>IFERROR(ABS(J2137-'02_대상물건입력'!B10),"")</f>
        <v/>
      </c>
      <c r="T2137" s="152">
        <f>IFERROR(ABS('01_설정'!B4-F2137),"")</f>
        <v/>
      </c>
      <c r="U2137" s="152">
        <f>IFERROR(ABS(K2137-YEAR('02_대상물건입력'!B14)),"")</f>
        <v/>
      </c>
      <c r="V2137" s="152">
        <f>IF(B2137="","",IF(AND(E2137&gt;0,F2137&gt;0,H2137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2137=1,TRUE()),R2137&lt;='01_설정'!B5,S2137&lt;='01_설정'!B6,T2137&lt;='01_설정'!B7,U2137&lt;='01_설정'!B8),"Y",""))</f>
        <v/>
      </c>
      <c r="W2137" s="172">
        <f>IF(V2137&lt;&gt;"Y","",MAX(0,(1-R2137/'01_설정'!B5))*'01_설정'!B14+MAX(0,(1-S2137/'01_설정'!B6))*'01_설정'!B15+MAX(0,(1-T2137/'01_설정'!B7))*'01_설정'!B16+MAX(0,(1-U2137/'01_설정'!B8))*'01_설정'!B17+O2137*'01_설정'!B11+Q2137*'01_설정'!B12+P2137*'01_설정'!B13+IF(Z2137="",0,Z2137))</f>
        <v/>
      </c>
      <c r="X2137" s="152">
        <f>IF(W2137="","",1+COUNTIFS($W$4:$W$3003,"&gt;"&amp;W2137)+COUNTIFS($W$4:W2137,W2137)-1)</f>
        <v/>
      </c>
      <c r="Y2137" s="175">
        <f>IF(OR(I2137="",'02_대상물건입력'!B19="",'02_대상물건입력'!B19&lt;=0),"",ABS(I2137-'02_대상물건입력'!B19)/'02_대상물건입력'!B19)</f>
        <v/>
      </c>
      <c r="Z2137" s="172">
        <f>IF(OR(Y2137="",'01_설정'!B31="",'01_설정'!B31&lt;=0,'01_설정'!B32="",'01_설정'!B32&lt;=0),"",MAX(0,(1-Y2137/'01_설정'!B32))*'01_설정'!B31)</f>
        <v/>
      </c>
    </row>
    <row r="2138" ht="17.25" customHeight="1">
      <c r="A2138" s="152">
        <f>IF(INDEX('04A_국토부원자료'!$A:$A,ROW()+1)="","",ROW()-3)</f>
        <v/>
      </c>
      <c r="B2138" s="48">
        <f>IFERROR(INDEX('04A_국토부원자료'!$A:$T,ROW()+1,MATCH("시군구",'04A_국토부원자료'!$A$4:$T$4,0)),"")</f>
        <v/>
      </c>
      <c r="C2138" s="48">
        <f>IF(B2138="","",IFERROR(INDEX('04A_국토부원자료'!$A:$T,ROW()+1,MATCH("번지",'04A_국토부원자료'!$A$4:$T$4,0)),""))</f>
        <v/>
      </c>
      <c r="D2138" s="48">
        <f>IF(B2138="","",IF(Q2138=1,'02_대상물건입력'!$B$8,IFERROR(INDEX('04A_국토부원자료'!$A:$T,ROW()+1,MATCH("단지명",'04A_국토부원자료'!$A$4:$T$4,0)),"")))</f>
        <v/>
      </c>
      <c r="E2138" s="172">
        <f>IFERROR(VALUE(SUBSTITUTE(INDEX('04A_국토부원자료'!$A:$T,ROW()+1,MATCH("전용면적(㎡)",'04A_국토부원자료'!$A$4:$T$4,0)),",","")),"")</f>
        <v/>
      </c>
      <c r="F21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38" s="51">
        <f>IFERROR(VALUE(SUBSTITUTE(INDEX('04A_국토부원자료'!$A:$T,ROW()+1,MATCH("거래금액(만원)",'04A_국토부원자료'!$A$4:$T$4,0)),",","")),"")</f>
        <v/>
      </c>
      <c r="H2138" s="174">
        <f>IF(G2138="","",G2138*10000)</f>
        <v/>
      </c>
      <c r="I2138" s="174">
        <f>IFERROR(IF(AND(H2138&gt;0,E2138&gt;0),H2138/E2138,""),"")</f>
        <v/>
      </c>
      <c r="J2138" s="152">
        <f>IFERROR(VALUE(SUBSTITUTE(INDEX('04A_국토부원자료'!$A:$T,ROW()+1,MATCH("층",'04A_국토부원자료'!$A$4:$T$4,0)),",","")),"")</f>
        <v/>
      </c>
      <c r="K2138" s="152">
        <f>IFERROR(VALUE(SUBSTITUTE(INDEX('04A_국토부원자료'!$A:$T,ROW()+1,MATCH("건축년도",'04A_국토부원자료'!$A$4:$T$4,0)),",","")),"")</f>
        <v/>
      </c>
      <c r="L2138" s="48">
        <f>IFERROR(INDEX('04A_국토부원자료'!$A:$T,ROW()+1,MATCH("도로명",'04A_국토부원자료'!$A$4:$T$4,0)),"")</f>
        <v/>
      </c>
      <c r="M2138" s="48">
        <f>IFERROR(INDEX('04A_국토부원자료'!$A:$T,ROW()+1,MATCH("거래유형",'04A_국토부원자료'!$A$4:$T$4,0)),"")</f>
        <v/>
      </c>
      <c r="N2138" s="152">
        <f>IF(B2138="","",IF('02_대상물건입력'!B5="",1,IF(ISNUMBER(SEARCH('02_대상물건입력'!B5,B2138)),1,0)))</f>
        <v/>
      </c>
      <c r="O2138" s="152">
        <f>IF(B2138="","",IF('02_대상물건입력'!B6="",1,IF(ISNUMBER(SEARCH('02_대상물건입력'!B6,B2138)),1,0)))</f>
        <v/>
      </c>
      <c r="P2138" s="152">
        <f>IF(L2138="","",IF('02_대상물건입력'!B15="",0,IF(ISNUMBER(SEARCH('02_대상물건입력'!B15,L2138)),1,0)))</f>
        <v/>
      </c>
      <c r="Q2138" s="152">
        <f>IF(OR(C2138="",L2138=""),0,IF(AND(TRIM(C2138)=TRIM(RIGHT(SUBSTITUTE(TRIM('02_대상물건입력'!$B$7)," ",REPT(" ",99)),99)),IF('02_대상물건입력'!B15="",TRUE(),ISNUMBER(SEARCH('02_대상물건입력'!B15,L2138)))),1,0))</f>
        <v/>
      </c>
      <c r="R2138" s="175">
        <f>IFERROR(ABS(E2138-'02_대상물건입력'!B11)/'02_대상물건입력'!B11,"")</f>
        <v/>
      </c>
      <c r="S2138" s="152">
        <f>IFERROR(ABS(J2138-'02_대상물건입력'!B10),"")</f>
        <v/>
      </c>
      <c r="T2138" s="152">
        <f>IFERROR(ABS('01_설정'!B4-F2138),"")</f>
        <v/>
      </c>
      <c r="U2138" s="152">
        <f>IFERROR(ABS(K2138-YEAR('02_대상물건입력'!B14)),"")</f>
        <v/>
      </c>
      <c r="V2138" s="152">
        <f>IF(B2138="","",IF(AND(E2138&gt;0,F2138&gt;0,H2138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2138=1,TRUE()),R2138&lt;='01_설정'!B5,S2138&lt;='01_설정'!B6,T2138&lt;='01_설정'!B7,U2138&lt;='01_설정'!B8),"Y",""))</f>
        <v/>
      </c>
      <c r="W2138" s="172">
        <f>IF(V2138&lt;&gt;"Y","",MAX(0,(1-R2138/'01_설정'!B5))*'01_설정'!B14+MAX(0,(1-S2138/'01_설정'!B6))*'01_설정'!B15+MAX(0,(1-T2138/'01_설정'!B7))*'01_설정'!B16+MAX(0,(1-U2138/'01_설정'!B8))*'01_설정'!B17+O2138*'01_설정'!B11+Q2138*'01_설정'!B12+P2138*'01_설정'!B13+IF(Z2138="",0,Z2138))</f>
        <v/>
      </c>
      <c r="X2138" s="152">
        <f>IF(W2138="","",1+COUNTIFS($W$4:$W$3003,"&gt;"&amp;W2138)+COUNTIFS($W$4:W2138,W2138)-1)</f>
        <v/>
      </c>
      <c r="Y2138" s="175">
        <f>IF(OR(I2138="",'02_대상물건입력'!B19="",'02_대상물건입력'!B19&lt;=0),"",ABS(I2138-'02_대상물건입력'!B19)/'02_대상물건입력'!B19)</f>
        <v/>
      </c>
      <c r="Z2138" s="172">
        <f>IF(OR(Y2138="",'01_설정'!B31="",'01_설정'!B31&lt;=0,'01_설정'!B32="",'01_설정'!B32&lt;=0),"",MAX(0,(1-Y2138/'01_설정'!B32))*'01_설정'!B31)</f>
        <v/>
      </c>
    </row>
    <row r="2139" ht="17.25" customHeight="1">
      <c r="A2139" s="152">
        <f>IF(INDEX('04A_국토부원자료'!$A:$A,ROW()+1)="","",ROW()-3)</f>
        <v/>
      </c>
      <c r="B2139" s="48">
        <f>IFERROR(INDEX('04A_국토부원자료'!$A:$T,ROW()+1,MATCH("시군구",'04A_국토부원자료'!$A$4:$T$4,0)),"")</f>
        <v/>
      </c>
      <c r="C2139" s="48">
        <f>IF(B2139="","",IFERROR(INDEX('04A_국토부원자료'!$A:$T,ROW()+1,MATCH("번지",'04A_국토부원자료'!$A$4:$T$4,0)),""))</f>
        <v/>
      </c>
      <c r="D2139" s="48">
        <f>IF(B2139="","",IF(Q2139=1,'02_대상물건입력'!$B$8,IFERROR(INDEX('04A_국토부원자료'!$A:$T,ROW()+1,MATCH("단지명",'04A_국토부원자료'!$A$4:$T$4,0)),"")))</f>
        <v/>
      </c>
      <c r="E2139" s="172">
        <f>IFERROR(VALUE(SUBSTITUTE(INDEX('04A_국토부원자료'!$A:$T,ROW()+1,MATCH("전용면적(㎡)",'04A_국토부원자료'!$A$4:$T$4,0)),",","")),"")</f>
        <v/>
      </c>
      <c r="F21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39" s="51">
        <f>IFERROR(VALUE(SUBSTITUTE(INDEX('04A_국토부원자료'!$A:$T,ROW()+1,MATCH("거래금액(만원)",'04A_국토부원자료'!$A$4:$T$4,0)),",","")),"")</f>
        <v/>
      </c>
      <c r="H2139" s="174">
        <f>IF(G2139="","",G2139*10000)</f>
        <v/>
      </c>
      <c r="I2139" s="174">
        <f>IFERROR(IF(AND(H2139&gt;0,E2139&gt;0),H2139/E2139,""),"")</f>
        <v/>
      </c>
      <c r="J2139" s="152">
        <f>IFERROR(VALUE(SUBSTITUTE(INDEX('04A_국토부원자료'!$A:$T,ROW()+1,MATCH("층",'04A_국토부원자료'!$A$4:$T$4,0)),",","")),"")</f>
        <v/>
      </c>
      <c r="K2139" s="152">
        <f>IFERROR(VALUE(SUBSTITUTE(INDEX('04A_국토부원자료'!$A:$T,ROW()+1,MATCH("건축년도",'04A_국토부원자료'!$A$4:$T$4,0)),",","")),"")</f>
        <v/>
      </c>
      <c r="L2139" s="48">
        <f>IFERROR(INDEX('04A_국토부원자료'!$A:$T,ROW()+1,MATCH("도로명",'04A_국토부원자료'!$A$4:$T$4,0)),"")</f>
        <v/>
      </c>
      <c r="M2139" s="48">
        <f>IFERROR(INDEX('04A_국토부원자료'!$A:$T,ROW()+1,MATCH("거래유형",'04A_국토부원자료'!$A$4:$T$4,0)),"")</f>
        <v/>
      </c>
      <c r="N2139" s="152">
        <f>IF(B2139="","",IF('02_대상물건입력'!B5="",1,IF(ISNUMBER(SEARCH('02_대상물건입력'!B5,B2139)),1,0)))</f>
        <v/>
      </c>
      <c r="O2139" s="152">
        <f>IF(B2139="","",IF('02_대상물건입력'!B6="",1,IF(ISNUMBER(SEARCH('02_대상물건입력'!B6,B2139)),1,0)))</f>
        <v/>
      </c>
      <c r="P2139" s="152">
        <f>IF(L2139="","",IF('02_대상물건입력'!B15="",0,IF(ISNUMBER(SEARCH('02_대상물건입력'!B15,L2139)),1,0)))</f>
        <v/>
      </c>
      <c r="Q2139" s="152">
        <f>IF(OR(C2139="",L2139=""),0,IF(AND(TRIM(C2139)=TRIM(RIGHT(SUBSTITUTE(TRIM('02_대상물건입력'!$B$7)," ",REPT(" ",99)),99)),IF('02_대상물건입력'!B15="",TRUE(),ISNUMBER(SEARCH('02_대상물건입력'!B15,L2139)))),1,0))</f>
        <v/>
      </c>
      <c r="R2139" s="175">
        <f>IFERROR(ABS(E2139-'02_대상물건입력'!B11)/'02_대상물건입력'!B11,"")</f>
        <v/>
      </c>
      <c r="S2139" s="152">
        <f>IFERROR(ABS(J2139-'02_대상물건입력'!B10),"")</f>
        <v/>
      </c>
      <c r="T2139" s="152">
        <f>IFERROR(ABS('01_설정'!B4-F2139),"")</f>
        <v/>
      </c>
      <c r="U2139" s="152">
        <f>IFERROR(ABS(K2139-YEAR('02_대상물건입력'!B14)),"")</f>
        <v/>
      </c>
      <c r="V2139" s="152">
        <f>IF(B2139="","",IF(AND(E2139&gt;0,F2139&gt;0,H2139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2139=1,TRUE()),R2139&lt;='01_설정'!B5,S2139&lt;='01_설정'!B6,T2139&lt;='01_설정'!B7,U2139&lt;='01_설정'!B8),"Y",""))</f>
        <v/>
      </c>
      <c r="W2139" s="172">
        <f>IF(V2139&lt;&gt;"Y","",MAX(0,(1-R2139/'01_설정'!B5))*'01_설정'!B14+MAX(0,(1-S2139/'01_설정'!B6))*'01_설정'!B15+MAX(0,(1-T2139/'01_설정'!B7))*'01_설정'!B16+MAX(0,(1-U2139/'01_설정'!B8))*'01_설정'!B17+O2139*'01_설정'!B11+Q2139*'01_설정'!B12+P2139*'01_설정'!B13+IF(Z2139="",0,Z2139))</f>
        <v/>
      </c>
      <c r="X2139" s="152">
        <f>IF(W2139="","",1+COUNTIFS($W$4:$W$3003,"&gt;"&amp;W2139)+COUNTIFS($W$4:W2139,W2139)-1)</f>
        <v/>
      </c>
      <c r="Y2139" s="175">
        <f>IF(OR(I2139="",'02_대상물건입력'!B19="",'02_대상물건입력'!B19&lt;=0),"",ABS(I2139-'02_대상물건입력'!B19)/'02_대상물건입력'!B19)</f>
        <v/>
      </c>
      <c r="Z2139" s="172">
        <f>IF(OR(Y2139="",'01_설정'!B31="",'01_설정'!B31&lt;=0,'01_설정'!B32="",'01_설정'!B32&lt;=0),"",MAX(0,(1-Y2139/'01_설정'!B32))*'01_설정'!B31)</f>
        <v/>
      </c>
    </row>
    <row r="2140" ht="17.25" customHeight="1">
      <c r="A2140" s="152">
        <f>IF(INDEX('04A_국토부원자료'!$A:$A,ROW()+1)="","",ROW()-3)</f>
        <v/>
      </c>
      <c r="B2140" s="48">
        <f>IFERROR(INDEX('04A_국토부원자료'!$A:$T,ROW()+1,MATCH("시군구",'04A_국토부원자료'!$A$4:$T$4,0)),"")</f>
        <v/>
      </c>
      <c r="C2140" s="48">
        <f>IF(B2140="","",IFERROR(INDEX('04A_국토부원자료'!$A:$T,ROW()+1,MATCH("번지",'04A_국토부원자료'!$A$4:$T$4,0)),""))</f>
        <v/>
      </c>
      <c r="D2140" s="48">
        <f>IF(B2140="","",IF(Q2140=1,'02_대상물건입력'!$B$8,IFERROR(INDEX('04A_국토부원자료'!$A:$T,ROW()+1,MATCH("단지명",'04A_국토부원자료'!$A$4:$T$4,0)),"")))</f>
        <v/>
      </c>
      <c r="E2140" s="172">
        <f>IFERROR(VALUE(SUBSTITUTE(INDEX('04A_국토부원자료'!$A:$T,ROW()+1,MATCH("전용면적(㎡)",'04A_국토부원자료'!$A$4:$T$4,0)),",","")),"")</f>
        <v/>
      </c>
      <c r="F21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40" s="51">
        <f>IFERROR(VALUE(SUBSTITUTE(INDEX('04A_국토부원자료'!$A:$T,ROW()+1,MATCH("거래금액(만원)",'04A_국토부원자료'!$A$4:$T$4,0)),",","")),"")</f>
        <v/>
      </c>
      <c r="H2140" s="174">
        <f>IF(G2140="","",G2140*10000)</f>
        <v/>
      </c>
      <c r="I2140" s="174">
        <f>IFERROR(IF(AND(H2140&gt;0,E2140&gt;0),H2140/E2140,""),"")</f>
        <v/>
      </c>
      <c r="J2140" s="152">
        <f>IFERROR(VALUE(SUBSTITUTE(INDEX('04A_국토부원자료'!$A:$T,ROW()+1,MATCH("층",'04A_국토부원자료'!$A$4:$T$4,0)),",","")),"")</f>
        <v/>
      </c>
      <c r="K2140" s="152">
        <f>IFERROR(VALUE(SUBSTITUTE(INDEX('04A_국토부원자료'!$A:$T,ROW()+1,MATCH("건축년도",'04A_국토부원자료'!$A$4:$T$4,0)),",","")),"")</f>
        <v/>
      </c>
      <c r="L2140" s="48">
        <f>IFERROR(INDEX('04A_국토부원자료'!$A:$T,ROW()+1,MATCH("도로명",'04A_국토부원자료'!$A$4:$T$4,0)),"")</f>
        <v/>
      </c>
      <c r="M2140" s="48">
        <f>IFERROR(INDEX('04A_국토부원자료'!$A:$T,ROW()+1,MATCH("거래유형",'04A_국토부원자료'!$A$4:$T$4,0)),"")</f>
        <v/>
      </c>
      <c r="N2140" s="152">
        <f>IF(B2140="","",IF('02_대상물건입력'!B5="",1,IF(ISNUMBER(SEARCH('02_대상물건입력'!B5,B2140)),1,0)))</f>
        <v/>
      </c>
      <c r="O2140" s="152">
        <f>IF(B2140="","",IF('02_대상물건입력'!B6="",1,IF(ISNUMBER(SEARCH('02_대상물건입력'!B6,B2140)),1,0)))</f>
        <v/>
      </c>
      <c r="P2140" s="152">
        <f>IF(L2140="","",IF('02_대상물건입력'!B15="",0,IF(ISNUMBER(SEARCH('02_대상물건입력'!B15,L2140)),1,0)))</f>
        <v/>
      </c>
      <c r="Q2140" s="152">
        <f>IF(OR(C2140="",L2140=""),0,IF(AND(TRIM(C2140)=TRIM(RIGHT(SUBSTITUTE(TRIM('02_대상물건입력'!$B$7)," ",REPT(" ",99)),99)),IF('02_대상물건입력'!B15="",TRUE(),ISNUMBER(SEARCH('02_대상물건입력'!B15,L2140)))),1,0))</f>
        <v/>
      </c>
      <c r="R2140" s="175">
        <f>IFERROR(ABS(E2140-'02_대상물건입력'!B11)/'02_대상물건입력'!B11,"")</f>
        <v/>
      </c>
      <c r="S2140" s="152">
        <f>IFERROR(ABS(J2140-'02_대상물건입력'!B10),"")</f>
        <v/>
      </c>
      <c r="T2140" s="152">
        <f>IFERROR(ABS('01_설정'!B4-F2140),"")</f>
        <v/>
      </c>
      <c r="U2140" s="152">
        <f>IFERROR(ABS(K2140-YEAR('02_대상물건입력'!B14)),"")</f>
        <v/>
      </c>
      <c r="V2140" s="152">
        <f>IF(B2140="","",IF(AND(E2140&gt;0,F2140&gt;0,H2140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2140=1,TRUE()),R2140&lt;='01_설정'!B5,S2140&lt;='01_설정'!B6,T2140&lt;='01_설정'!B7,U2140&lt;='01_설정'!B8),"Y",""))</f>
        <v/>
      </c>
      <c r="W2140" s="172">
        <f>IF(V2140&lt;&gt;"Y","",MAX(0,(1-R2140/'01_설정'!B5))*'01_설정'!B14+MAX(0,(1-S2140/'01_설정'!B6))*'01_설정'!B15+MAX(0,(1-T2140/'01_설정'!B7))*'01_설정'!B16+MAX(0,(1-U2140/'01_설정'!B8))*'01_설정'!B17+O2140*'01_설정'!B11+Q2140*'01_설정'!B12+P2140*'01_설정'!B13+IF(Z2140="",0,Z2140))</f>
        <v/>
      </c>
      <c r="X2140" s="152">
        <f>IF(W2140="","",1+COUNTIFS($W$4:$W$3003,"&gt;"&amp;W2140)+COUNTIFS($W$4:W2140,W2140)-1)</f>
        <v/>
      </c>
      <c r="Y2140" s="175">
        <f>IF(OR(I2140="",'02_대상물건입력'!B19="",'02_대상물건입력'!B19&lt;=0),"",ABS(I2140-'02_대상물건입력'!B19)/'02_대상물건입력'!B19)</f>
        <v/>
      </c>
      <c r="Z2140" s="172">
        <f>IF(OR(Y2140="",'01_설정'!B31="",'01_설정'!B31&lt;=0,'01_설정'!B32="",'01_설정'!B32&lt;=0),"",MAX(0,(1-Y2140/'01_설정'!B32))*'01_설정'!B31)</f>
        <v/>
      </c>
    </row>
    <row r="2141" ht="17.25" customHeight="1">
      <c r="A2141" s="152">
        <f>IF(INDEX('04A_국토부원자료'!$A:$A,ROW()+1)="","",ROW()-3)</f>
        <v/>
      </c>
      <c r="B2141" s="48">
        <f>IFERROR(INDEX('04A_국토부원자료'!$A:$T,ROW()+1,MATCH("시군구",'04A_국토부원자료'!$A$4:$T$4,0)),"")</f>
        <v/>
      </c>
      <c r="C2141" s="48">
        <f>IF(B2141="","",IFERROR(INDEX('04A_국토부원자료'!$A:$T,ROW()+1,MATCH("번지",'04A_국토부원자료'!$A$4:$T$4,0)),""))</f>
        <v/>
      </c>
      <c r="D2141" s="48">
        <f>IF(B2141="","",IF(Q2141=1,'02_대상물건입력'!$B$8,IFERROR(INDEX('04A_국토부원자료'!$A:$T,ROW()+1,MATCH("단지명",'04A_국토부원자료'!$A$4:$T$4,0)),"")))</f>
        <v/>
      </c>
      <c r="E2141" s="172">
        <f>IFERROR(VALUE(SUBSTITUTE(INDEX('04A_국토부원자료'!$A:$T,ROW()+1,MATCH("전용면적(㎡)",'04A_국토부원자료'!$A$4:$T$4,0)),",","")),"")</f>
        <v/>
      </c>
      <c r="F21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41" s="51">
        <f>IFERROR(VALUE(SUBSTITUTE(INDEX('04A_국토부원자료'!$A:$T,ROW()+1,MATCH("거래금액(만원)",'04A_국토부원자료'!$A$4:$T$4,0)),",","")),"")</f>
        <v/>
      </c>
      <c r="H2141" s="174">
        <f>IF(G2141="","",G2141*10000)</f>
        <v/>
      </c>
      <c r="I2141" s="174">
        <f>IFERROR(IF(AND(H2141&gt;0,E2141&gt;0),H2141/E2141,""),"")</f>
        <v/>
      </c>
      <c r="J2141" s="152">
        <f>IFERROR(VALUE(SUBSTITUTE(INDEX('04A_국토부원자료'!$A:$T,ROW()+1,MATCH("층",'04A_국토부원자료'!$A$4:$T$4,0)),",","")),"")</f>
        <v/>
      </c>
      <c r="K2141" s="152">
        <f>IFERROR(VALUE(SUBSTITUTE(INDEX('04A_국토부원자료'!$A:$T,ROW()+1,MATCH("건축년도",'04A_국토부원자료'!$A$4:$T$4,0)),",","")),"")</f>
        <v/>
      </c>
      <c r="L2141" s="48">
        <f>IFERROR(INDEX('04A_국토부원자료'!$A:$T,ROW()+1,MATCH("도로명",'04A_국토부원자료'!$A$4:$T$4,0)),"")</f>
        <v/>
      </c>
      <c r="M2141" s="48">
        <f>IFERROR(INDEX('04A_국토부원자료'!$A:$T,ROW()+1,MATCH("거래유형",'04A_국토부원자료'!$A$4:$T$4,0)),"")</f>
        <v/>
      </c>
      <c r="N2141" s="152">
        <f>IF(B2141="","",IF('02_대상물건입력'!B5="",1,IF(ISNUMBER(SEARCH('02_대상물건입력'!B5,B2141)),1,0)))</f>
        <v/>
      </c>
      <c r="O2141" s="152">
        <f>IF(B2141="","",IF('02_대상물건입력'!B6="",1,IF(ISNUMBER(SEARCH('02_대상물건입력'!B6,B2141)),1,0)))</f>
        <v/>
      </c>
      <c r="P2141" s="152">
        <f>IF(L2141="","",IF('02_대상물건입력'!B15="",0,IF(ISNUMBER(SEARCH('02_대상물건입력'!B15,L2141)),1,0)))</f>
        <v/>
      </c>
      <c r="Q2141" s="152">
        <f>IF(OR(C2141="",L2141=""),0,IF(AND(TRIM(C2141)=TRIM(RIGHT(SUBSTITUTE(TRIM('02_대상물건입력'!$B$7)," ",REPT(" ",99)),99)),IF('02_대상물건입력'!B15="",TRUE(),ISNUMBER(SEARCH('02_대상물건입력'!B15,L2141)))),1,0))</f>
        <v/>
      </c>
      <c r="R2141" s="175">
        <f>IFERROR(ABS(E2141-'02_대상물건입력'!B11)/'02_대상물건입력'!B11,"")</f>
        <v/>
      </c>
      <c r="S2141" s="152">
        <f>IFERROR(ABS(J2141-'02_대상물건입력'!B10),"")</f>
        <v/>
      </c>
      <c r="T2141" s="152">
        <f>IFERROR(ABS('01_설정'!B4-F2141),"")</f>
        <v/>
      </c>
      <c r="U2141" s="152">
        <f>IFERROR(ABS(K2141-YEAR('02_대상물건입력'!B14)),"")</f>
        <v/>
      </c>
      <c r="V2141" s="152">
        <f>IF(B2141="","",IF(AND(E2141&gt;0,F2141&gt;0,H2141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2141=1,TRUE()),R2141&lt;='01_설정'!B5,S2141&lt;='01_설정'!B6,T2141&lt;='01_설정'!B7,U2141&lt;='01_설정'!B8),"Y",""))</f>
        <v/>
      </c>
      <c r="W2141" s="172">
        <f>IF(V2141&lt;&gt;"Y","",MAX(0,(1-R2141/'01_설정'!B5))*'01_설정'!B14+MAX(0,(1-S2141/'01_설정'!B6))*'01_설정'!B15+MAX(0,(1-T2141/'01_설정'!B7))*'01_설정'!B16+MAX(0,(1-U2141/'01_설정'!B8))*'01_설정'!B17+O2141*'01_설정'!B11+Q2141*'01_설정'!B12+P2141*'01_설정'!B13+IF(Z2141="",0,Z2141))</f>
        <v/>
      </c>
      <c r="X2141" s="152">
        <f>IF(W2141="","",1+COUNTIFS($W$4:$W$3003,"&gt;"&amp;W2141)+COUNTIFS($W$4:W2141,W2141)-1)</f>
        <v/>
      </c>
      <c r="Y2141" s="175">
        <f>IF(OR(I2141="",'02_대상물건입력'!B19="",'02_대상물건입력'!B19&lt;=0),"",ABS(I2141-'02_대상물건입력'!B19)/'02_대상물건입력'!B19)</f>
        <v/>
      </c>
      <c r="Z2141" s="172">
        <f>IF(OR(Y2141="",'01_설정'!B31="",'01_설정'!B31&lt;=0,'01_설정'!B32="",'01_설정'!B32&lt;=0),"",MAX(0,(1-Y2141/'01_설정'!B32))*'01_설정'!B31)</f>
        <v/>
      </c>
    </row>
    <row r="2142" ht="17.25" customHeight="1">
      <c r="A2142" s="152">
        <f>IF(INDEX('04A_국토부원자료'!$A:$A,ROW()+1)="","",ROW()-3)</f>
        <v/>
      </c>
      <c r="B2142" s="48">
        <f>IFERROR(INDEX('04A_국토부원자료'!$A:$T,ROW()+1,MATCH("시군구",'04A_국토부원자료'!$A$4:$T$4,0)),"")</f>
        <v/>
      </c>
      <c r="C2142" s="48">
        <f>IF(B2142="","",IFERROR(INDEX('04A_국토부원자료'!$A:$T,ROW()+1,MATCH("번지",'04A_국토부원자료'!$A$4:$T$4,0)),""))</f>
        <v/>
      </c>
      <c r="D2142" s="48">
        <f>IF(B2142="","",IF(Q2142=1,'02_대상물건입력'!$B$8,IFERROR(INDEX('04A_국토부원자료'!$A:$T,ROW()+1,MATCH("단지명",'04A_국토부원자료'!$A$4:$T$4,0)),"")))</f>
        <v/>
      </c>
      <c r="E2142" s="172">
        <f>IFERROR(VALUE(SUBSTITUTE(INDEX('04A_국토부원자료'!$A:$T,ROW()+1,MATCH("전용면적(㎡)",'04A_국토부원자료'!$A$4:$T$4,0)),",","")),"")</f>
        <v/>
      </c>
      <c r="F21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42" s="51">
        <f>IFERROR(VALUE(SUBSTITUTE(INDEX('04A_국토부원자료'!$A:$T,ROW()+1,MATCH("거래금액(만원)",'04A_국토부원자료'!$A$4:$T$4,0)),",","")),"")</f>
        <v/>
      </c>
      <c r="H2142" s="174">
        <f>IF(G2142="","",G2142*10000)</f>
        <v/>
      </c>
      <c r="I2142" s="174">
        <f>IFERROR(IF(AND(H2142&gt;0,E2142&gt;0),H2142/E2142,""),"")</f>
        <v/>
      </c>
      <c r="J2142" s="152">
        <f>IFERROR(VALUE(SUBSTITUTE(INDEX('04A_국토부원자료'!$A:$T,ROW()+1,MATCH("층",'04A_국토부원자료'!$A$4:$T$4,0)),",","")),"")</f>
        <v/>
      </c>
      <c r="K2142" s="152">
        <f>IFERROR(VALUE(SUBSTITUTE(INDEX('04A_국토부원자료'!$A:$T,ROW()+1,MATCH("건축년도",'04A_국토부원자료'!$A$4:$T$4,0)),",","")),"")</f>
        <v/>
      </c>
      <c r="L2142" s="48">
        <f>IFERROR(INDEX('04A_국토부원자료'!$A:$T,ROW()+1,MATCH("도로명",'04A_국토부원자료'!$A$4:$T$4,0)),"")</f>
        <v/>
      </c>
      <c r="M2142" s="48">
        <f>IFERROR(INDEX('04A_국토부원자료'!$A:$T,ROW()+1,MATCH("거래유형",'04A_국토부원자료'!$A$4:$T$4,0)),"")</f>
        <v/>
      </c>
      <c r="N2142" s="152">
        <f>IF(B2142="","",IF('02_대상물건입력'!B5="",1,IF(ISNUMBER(SEARCH('02_대상물건입력'!B5,B2142)),1,0)))</f>
        <v/>
      </c>
      <c r="O2142" s="152">
        <f>IF(B2142="","",IF('02_대상물건입력'!B6="",1,IF(ISNUMBER(SEARCH('02_대상물건입력'!B6,B2142)),1,0)))</f>
        <v/>
      </c>
      <c r="P2142" s="152">
        <f>IF(L2142="","",IF('02_대상물건입력'!B15="",0,IF(ISNUMBER(SEARCH('02_대상물건입력'!B15,L2142)),1,0)))</f>
        <v/>
      </c>
      <c r="Q2142" s="152">
        <f>IF(OR(C2142="",L2142=""),0,IF(AND(TRIM(C2142)=TRIM(RIGHT(SUBSTITUTE(TRIM('02_대상물건입력'!$B$7)," ",REPT(" ",99)),99)),IF('02_대상물건입력'!B15="",TRUE(),ISNUMBER(SEARCH('02_대상물건입력'!B15,L2142)))),1,0))</f>
        <v/>
      </c>
      <c r="R2142" s="175">
        <f>IFERROR(ABS(E2142-'02_대상물건입력'!B11)/'02_대상물건입력'!B11,"")</f>
        <v/>
      </c>
      <c r="S2142" s="152">
        <f>IFERROR(ABS(J2142-'02_대상물건입력'!B10),"")</f>
        <v/>
      </c>
      <c r="T2142" s="152">
        <f>IFERROR(ABS('01_설정'!B4-F2142),"")</f>
        <v/>
      </c>
      <c r="U2142" s="152">
        <f>IFERROR(ABS(K2142-YEAR('02_대상물건입력'!B14)),"")</f>
        <v/>
      </c>
      <c r="V2142" s="152">
        <f>IF(B2142="","",IF(AND(E2142&gt;0,F2142&gt;0,H2142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2142=1,TRUE()),R2142&lt;='01_설정'!B5,S2142&lt;='01_설정'!B6,T2142&lt;='01_설정'!B7,U2142&lt;='01_설정'!B8),"Y",""))</f>
        <v/>
      </c>
      <c r="W2142" s="172">
        <f>IF(V2142&lt;&gt;"Y","",MAX(0,(1-R2142/'01_설정'!B5))*'01_설정'!B14+MAX(0,(1-S2142/'01_설정'!B6))*'01_설정'!B15+MAX(0,(1-T2142/'01_설정'!B7))*'01_설정'!B16+MAX(0,(1-U2142/'01_설정'!B8))*'01_설정'!B17+O2142*'01_설정'!B11+Q2142*'01_설정'!B12+P2142*'01_설정'!B13+IF(Z2142="",0,Z2142))</f>
        <v/>
      </c>
      <c r="X2142" s="152">
        <f>IF(W2142="","",1+COUNTIFS($W$4:$W$3003,"&gt;"&amp;W2142)+COUNTIFS($W$4:W2142,W2142)-1)</f>
        <v/>
      </c>
      <c r="Y2142" s="175">
        <f>IF(OR(I2142="",'02_대상물건입력'!B19="",'02_대상물건입력'!B19&lt;=0),"",ABS(I2142-'02_대상물건입력'!B19)/'02_대상물건입력'!B19)</f>
        <v/>
      </c>
      <c r="Z2142" s="172">
        <f>IF(OR(Y2142="",'01_설정'!B31="",'01_설정'!B31&lt;=0,'01_설정'!B32="",'01_설정'!B32&lt;=0),"",MAX(0,(1-Y2142/'01_설정'!B32))*'01_설정'!B31)</f>
        <v/>
      </c>
    </row>
    <row r="2143" ht="17.25" customHeight="1">
      <c r="A2143" s="152">
        <f>IF(INDEX('04A_국토부원자료'!$A:$A,ROW()+1)="","",ROW()-3)</f>
        <v/>
      </c>
      <c r="B2143" s="48">
        <f>IFERROR(INDEX('04A_국토부원자료'!$A:$T,ROW()+1,MATCH("시군구",'04A_국토부원자료'!$A$4:$T$4,0)),"")</f>
        <v/>
      </c>
      <c r="C2143" s="48">
        <f>IF(B2143="","",IFERROR(INDEX('04A_국토부원자료'!$A:$T,ROW()+1,MATCH("번지",'04A_국토부원자료'!$A$4:$T$4,0)),""))</f>
        <v/>
      </c>
      <c r="D2143" s="48">
        <f>IF(B2143="","",IF(Q2143=1,'02_대상물건입력'!$B$8,IFERROR(INDEX('04A_국토부원자료'!$A:$T,ROW()+1,MATCH("단지명",'04A_국토부원자료'!$A$4:$T$4,0)),"")))</f>
        <v/>
      </c>
      <c r="E2143" s="172">
        <f>IFERROR(VALUE(SUBSTITUTE(INDEX('04A_국토부원자료'!$A:$T,ROW()+1,MATCH("전용면적(㎡)",'04A_국토부원자료'!$A$4:$T$4,0)),",","")),"")</f>
        <v/>
      </c>
      <c r="F21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43" s="51">
        <f>IFERROR(VALUE(SUBSTITUTE(INDEX('04A_국토부원자료'!$A:$T,ROW()+1,MATCH("거래금액(만원)",'04A_국토부원자료'!$A$4:$T$4,0)),",","")),"")</f>
        <v/>
      </c>
      <c r="H2143" s="174">
        <f>IF(G2143="","",G2143*10000)</f>
        <v/>
      </c>
      <c r="I2143" s="174">
        <f>IFERROR(IF(AND(H2143&gt;0,E2143&gt;0),H2143/E2143,""),"")</f>
        <v/>
      </c>
      <c r="J2143" s="152">
        <f>IFERROR(VALUE(SUBSTITUTE(INDEX('04A_국토부원자료'!$A:$T,ROW()+1,MATCH("층",'04A_국토부원자료'!$A$4:$T$4,0)),",","")),"")</f>
        <v/>
      </c>
      <c r="K2143" s="152">
        <f>IFERROR(VALUE(SUBSTITUTE(INDEX('04A_국토부원자료'!$A:$T,ROW()+1,MATCH("건축년도",'04A_국토부원자료'!$A$4:$T$4,0)),",","")),"")</f>
        <v/>
      </c>
      <c r="L2143" s="48">
        <f>IFERROR(INDEX('04A_국토부원자료'!$A:$T,ROW()+1,MATCH("도로명",'04A_국토부원자료'!$A$4:$T$4,0)),"")</f>
        <v/>
      </c>
      <c r="M2143" s="48">
        <f>IFERROR(INDEX('04A_국토부원자료'!$A:$T,ROW()+1,MATCH("거래유형",'04A_국토부원자료'!$A$4:$T$4,0)),"")</f>
        <v/>
      </c>
      <c r="N2143" s="152">
        <f>IF(B2143="","",IF('02_대상물건입력'!B5="",1,IF(ISNUMBER(SEARCH('02_대상물건입력'!B5,B2143)),1,0)))</f>
        <v/>
      </c>
      <c r="O2143" s="152">
        <f>IF(B2143="","",IF('02_대상물건입력'!B6="",1,IF(ISNUMBER(SEARCH('02_대상물건입력'!B6,B2143)),1,0)))</f>
        <v/>
      </c>
      <c r="P2143" s="152">
        <f>IF(L2143="","",IF('02_대상물건입력'!B15="",0,IF(ISNUMBER(SEARCH('02_대상물건입력'!B15,L2143)),1,0)))</f>
        <v/>
      </c>
      <c r="Q2143" s="152">
        <f>IF(OR(C2143="",L2143=""),0,IF(AND(TRIM(C2143)=TRIM(RIGHT(SUBSTITUTE(TRIM('02_대상물건입력'!$B$7)," ",REPT(" ",99)),99)),IF('02_대상물건입력'!B15="",TRUE(),ISNUMBER(SEARCH('02_대상물건입력'!B15,L2143)))),1,0))</f>
        <v/>
      </c>
      <c r="R2143" s="175">
        <f>IFERROR(ABS(E2143-'02_대상물건입력'!B11)/'02_대상물건입력'!B11,"")</f>
        <v/>
      </c>
      <c r="S2143" s="152">
        <f>IFERROR(ABS(J2143-'02_대상물건입력'!B10),"")</f>
        <v/>
      </c>
      <c r="T2143" s="152">
        <f>IFERROR(ABS('01_설정'!B4-F2143),"")</f>
        <v/>
      </c>
      <c r="U2143" s="152">
        <f>IFERROR(ABS(K2143-YEAR('02_대상물건입력'!B14)),"")</f>
        <v/>
      </c>
      <c r="V2143" s="152">
        <f>IF(B2143="","",IF(AND(E2143&gt;0,F2143&gt;0,H2143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2143=1,TRUE()),R2143&lt;='01_설정'!B5,S2143&lt;='01_설정'!B6,T2143&lt;='01_설정'!B7,U2143&lt;='01_설정'!B8),"Y",""))</f>
        <v/>
      </c>
      <c r="W2143" s="172">
        <f>IF(V2143&lt;&gt;"Y","",MAX(0,(1-R2143/'01_설정'!B5))*'01_설정'!B14+MAX(0,(1-S2143/'01_설정'!B6))*'01_설정'!B15+MAX(0,(1-T2143/'01_설정'!B7))*'01_설정'!B16+MAX(0,(1-U2143/'01_설정'!B8))*'01_설정'!B17+O2143*'01_설정'!B11+Q2143*'01_설정'!B12+P2143*'01_설정'!B13+IF(Z2143="",0,Z2143))</f>
        <v/>
      </c>
      <c r="X2143" s="152">
        <f>IF(W2143="","",1+COUNTIFS($W$4:$W$3003,"&gt;"&amp;W2143)+COUNTIFS($W$4:W2143,W2143)-1)</f>
        <v/>
      </c>
      <c r="Y2143" s="175">
        <f>IF(OR(I2143="",'02_대상물건입력'!B19="",'02_대상물건입력'!B19&lt;=0),"",ABS(I2143-'02_대상물건입력'!B19)/'02_대상물건입력'!B19)</f>
        <v/>
      </c>
      <c r="Z2143" s="172">
        <f>IF(OR(Y2143="",'01_설정'!B31="",'01_설정'!B31&lt;=0,'01_설정'!B32="",'01_설정'!B32&lt;=0),"",MAX(0,(1-Y2143/'01_설정'!B32))*'01_설정'!B31)</f>
        <v/>
      </c>
    </row>
    <row r="2144" ht="17.25" customHeight="1">
      <c r="A2144" s="152">
        <f>IF(INDEX('04A_국토부원자료'!$A:$A,ROW()+1)="","",ROW()-3)</f>
        <v/>
      </c>
      <c r="B2144" s="48">
        <f>IFERROR(INDEX('04A_국토부원자료'!$A:$T,ROW()+1,MATCH("시군구",'04A_국토부원자료'!$A$4:$T$4,0)),"")</f>
        <v/>
      </c>
      <c r="C2144" s="48">
        <f>IF(B2144="","",IFERROR(INDEX('04A_국토부원자료'!$A:$T,ROW()+1,MATCH("번지",'04A_국토부원자료'!$A$4:$T$4,0)),""))</f>
        <v/>
      </c>
      <c r="D2144" s="48">
        <f>IF(B2144="","",IF(Q2144=1,'02_대상물건입력'!$B$8,IFERROR(INDEX('04A_국토부원자료'!$A:$T,ROW()+1,MATCH("단지명",'04A_국토부원자료'!$A$4:$T$4,0)),"")))</f>
        <v/>
      </c>
      <c r="E2144" s="172">
        <f>IFERROR(VALUE(SUBSTITUTE(INDEX('04A_국토부원자료'!$A:$T,ROW()+1,MATCH("전용면적(㎡)",'04A_국토부원자료'!$A$4:$T$4,0)),",","")),"")</f>
        <v/>
      </c>
      <c r="F21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44" s="51">
        <f>IFERROR(VALUE(SUBSTITUTE(INDEX('04A_국토부원자료'!$A:$T,ROW()+1,MATCH("거래금액(만원)",'04A_국토부원자료'!$A$4:$T$4,0)),",","")),"")</f>
        <v/>
      </c>
      <c r="H2144" s="174">
        <f>IF(G2144="","",G2144*10000)</f>
        <v/>
      </c>
      <c r="I2144" s="174">
        <f>IFERROR(IF(AND(H2144&gt;0,E2144&gt;0),H2144/E2144,""),"")</f>
        <v/>
      </c>
      <c r="J2144" s="152">
        <f>IFERROR(VALUE(SUBSTITUTE(INDEX('04A_국토부원자료'!$A:$T,ROW()+1,MATCH("층",'04A_국토부원자료'!$A$4:$T$4,0)),",","")),"")</f>
        <v/>
      </c>
      <c r="K2144" s="152">
        <f>IFERROR(VALUE(SUBSTITUTE(INDEX('04A_국토부원자료'!$A:$T,ROW()+1,MATCH("건축년도",'04A_국토부원자료'!$A$4:$T$4,0)),",","")),"")</f>
        <v/>
      </c>
      <c r="L2144" s="48">
        <f>IFERROR(INDEX('04A_국토부원자료'!$A:$T,ROW()+1,MATCH("도로명",'04A_국토부원자료'!$A$4:$T$4,0)),"")</f>
        <v/>
      </c>
      <c r="M2144" s="48">
        <f>IFERROR(INDEX('04A_국토부원자료'!$A:$T,ROW()+1,MATCH("거래유형",'04A_국토부원자료'!$A$4:$T$4,0)),"")</f>
        <v/>
      </c>
      <c r="N2144" s="152">
        <f>IF(B2144="","",IF('02_대상물건입력'!B5="",1,IF(ISNUMBER(SEARCH('02_대상물건입력'!B5,B2144)),1,0)))</f>
        <v/>
      </c>
      <c r="O2144" s="152">
        <f>IF(B2144="","",IF('02_대상물건입력'!B6="",1,IF(ISNUMBER(SEARCH('02_대상물건입력'!B6,B2144)),1,0)))</f>
        <v/>
      </c>
      <c r="P2144" s="152">
        <f>IF(L2144="","",IF('02_대상물건입력'!B15="",0,IF(ISNUMBER(SEARCH('02_대상물건입력'!B15,L2144)),1,0)))</f>
        <v/>
      </c>
      <c r="Q2144" s="152">
        <f>IF(OR(C2144="",L2144=""),0,IF(AND(TRIM(C2144)=TRIM(RIGHT(SUBSTITUTE(TRIM('02_대상물건입력'!$B$7)," ",REPT(" ",99)),99)),IF('02_대상물건입력'!B15="",TRUE(),ISNUMBER(SEARCH('02_대상물건입력'!B15,L2144)))),1,0))</f>
        <v/>
      </c>
      <c r="R2144" s="175">
        <f>IFERROR(ABS(E2144-'02_대상물건입력'!B11)/'02_대상물건입력'!B11,"")</f>
        <v/>
      </c>
      <c r="S2144" s="152">
        <f>IFERROR(ABS(J2144-'02_대상물건입력'!B10),"")</f>
        <v/>
      </c>
      <c r="T2144" s="152">
        <f>IFERROR(ABS('01_설정'!B4-F2144),"")</f>
        <v/>
      </c>
      <c r="U2144" s="152">
        <f>IFERROR(ABS(K2144-YEAR('02_대상물건입력'!B14)),"")</f>
        <v/>
      </c>
      <c r="V2144" s="152">
        <f>IF(B2144="","",IF(AND(E2144&gt;0,F2144&gt;0,H2144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2144=1,TRUE()),R2144&lt;='01_설정'!B5,S2144&lt;='01_설정'!B6,T2144&lt;='01_설정'!B7,U2144&lt;='01_설정'!B8),"Y",""))</f>
        <v/>
      </c>
      <c r="W2144" s="172">
        <f>IF(V2144&lt;&gt;"Y","",MAX(0,(1-R2144/'01_설정'!B5))*'01_설정'!B14+MAX(0,(1-S2144/'01_설정'!B6))*'01_설정'!B15+MAX(0,(1-T2144/'01_설정'!B7))*'01_설정'!B16+MAX(0,(1-U2144/'01_설정'!B8))*'01_설정'!B17+O2144*'01_설정'!B11+Q2144*'01_설정'!B12+P2144*'01_설정'!B13+IF(Z2144="",0,Z2144))</f>
        <v/>
      </c>
      <c r="X2144" s="152">
        <f>IF(W2144="","",1+COUNTIFS($W$4:$W$3003,"&gt;"&amp;W2144)+COUNTIFS($W$4:W2144,W2144)-1)</f>
        <v/>
      </c>
      <c r="Y2144" s="175">
        <f>IF(OR(I2144="",'02_대상물건입력'!B19="",'02_대상물건입력'!B19&lt;=0),"",ABS(I2144-'02_대상물건입력'!B19)/'02_대상물건입력'!B19)</f>
        <v/>
      </c>
      <c r="Z2144" s="172">
        <f>IF(OR(Y2144="",'01_설정'!B31="",'01_설정'!B31&lt;=0,'01_설정'!B32="",'01_설정'!B32&lt;=0),"",MAX(0,(1-Y2144/'01_설정'!B32))*'01_설정'!B31)</f>
        <v/>
      </c>
    </row>
    <row r="2145" ht="17.25" customHeight="1">
      <c r="A2145" s="152">
        <f>IF(INDEX('04A_국토부원자료'!$A:$A,ROW()+1)="","",ROW()-3)</f>
        <v/>
      </c>
      <c r="B2145" s="48">
        <f>IFERROR(INDEX('04A_국토부원자료'!$A:$T,ROW()+1,MATCH("시군구",'04A_국토부원자료'!$A$4:$T$4,0)),"")</f>
        <v/>
      </c>
      <c r="C2145" s="48">
        <f>IF(B2145="","",IFERROR(INDEX('04A_국토부원자료'!$A:$T,ROW()+1,MATCH("번지",'04A_국토부원자료'!$A$4:$T$4,0)),""))</f>
        <v/>
      </c>
      <c r="D2145" s="48">
        <f>IF(B2145="","",IF(Q2145=1,'02_대상물건입력'!$B$8,IFERROR(INDEX('04A_국토부원자료'!$A:$T,ROW()+1,MATCH("단지명",'04A_국토부원자료'!$A$4:$T$4,0)),"")))</f>
        <v/>
      </c>
      <c r="E2145" s="172">
        <f>IFERROR(VALUE(SUBSTITUTE(INDEX('04A_국토부원자료'!$A:$T,ROW()+1,MATCH("전용면적(㎡)",'04A_국토부원자료'!$A$4:$T$4,0)),",","")),"")</f>
        <v/>
      </c>
      <c r="F21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45" s="51">
        <f>IFERROR(VALUE(SUBSTITUTE(INDEX('04A_국토부원자료'!$A:$T,ROW()+1,MATCH("거래금액(만원)",'04A_국토부원자료'!$A$4:$T$4,0)),",","")),"")</f>
        <v/>
      </c>
      <c r="H2145" s="174">
        <f>IF(G2145="","",G2145*10000)</f>
        <v/>
      </c>
      <c r="I2145" s="174">
        <f>IFERROR(IF(AND(H2145&gt;0,E2145&gt;0),H2145/E2145,""),"")</f>
        <v/>
      </c>
      <c r="J2145" s="152">
        <f>IFERROR(VALUE(SUBSTITUTE(INDEX('04A_국토부원자료'!$A:$T,ROW()+1,MATCH("층",'04A_국토부원자료'!$A$4:$T$4,0)),",","")),"")</f>
        <v/>
      </c>
      <c r="K2145" s="152">
        <f>IFERROR(VALUE(SUBSTITUTE(INDEX('04A_국토부원자료'!$A:$T,ROW()+1,MATCH("건축년도",'04A_국토부원자료'!$A$4:$T$4,0)),",","")),"")</f>
        <v/>
      </c>
      <c r="L2145" s="48">
        <f>IFERROR(INDEX('04A_국토부원자료'!$A:$T,ROW()+1,MATCH("도로명",'04A_국토부원자료'!$A$4:$T$4,0)),"")</f>
        <v/>
      </c>
      <c r="M2145" s="48">
        <f>IFERROR(INDEX('04A_국토부원자료'!$A:$T,ROW()+1,MATCH("거래유형",'04A_국토부원자료'!$A$4:$T$4,0)),"")</f>
        <v/>
      </c>
      <c r="N2145" s="152">
        <f>IF(B2145="","",IF('02_대상물건입력'!B5="",1,IF(ISNUMBER(SEARCH('02_대상물건입력'!B5,B2145)),1,0)))</f>
        <v/>
      </c>
      <c r="O2145" s="152">
        <f>IF(B2145="","",IF('02_대상물건입력'!B6="",1,IF(ISNUMBER(SEARCH('02_대상물건입력'!B6,B2145)),1,0)))</f>
        <v/>
      </c>
      <c r="P2145" s="152">
        <f>IF(L2145="","",IF('02_대상물건입력'!B15="",0,IF(ISNUMBER(SEARCH('02_대상물건입력'!B15,L2145)),1,0)))</f>
        <v/>
      </c>
      <c r="Q2145" s="152">
        <f>IF(OR(C2145="",L2145=""),0,IF(AND(TRIM(C2145)=TRIM(RIGHT(SUBSTITUTE(TRIM('02_대상물건입력'!$B$7)," ",REPT(" ",99)),99)),IF('02_대상물건입력'!B15="",TRUE(),ISNUMBER(SEARCH('02_대상물건입력'!B15,L2145)))),1,0))</f>
        <v/>
      </c>
      <c r="R2145" s="175">
        <f>IFERROR(ABS(E2145-'02_대상물건입력'!B11)/'02_대상물건입력'!B11,"")</f>
        <v/>
      </c>
      <c r="S2145" s="152">
        <f>IFERROR(ABS(J2145-'02_대상물건입력'!B10),"")</f>
        <v/>
      </c>
      <c r="T2145" s="152">
        <f>IFERROR(ABS('01_설정'!B4-F2145),"")</f>
        <v/>
      </c>
      <c r="U2145" s="152">
        <f>IFERROR(ABS(K2145-YEAR('02_대상물건입력'!B14)),"")</f>
        <v/>
      </c>
      <c r="V2145" s="152">
        <f>IF(B2145="","",IF(AND(E2145&gt;0,F2145&gt;0,H2145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2145=1,TRUE()),R2145&lt;='01_설정'!B5,S2145&lt;='01_설정'!B6,T2145&lt;='01_설정'!B7,U2145&lt;='01_설정'!B8),"Y",""))</f>
        <v/>
      </c>
      <c r="W2145" s="172">
        <f>IF(V2145&lt;&gt;"Y","",MAX(0,(1-R2145/'01_설정'!B5))*'01_설정'!B14+MAX(0,(1-S2145/'01_설정'!B6))*'01_설정'!B15+MAX(0,(1-T2145/'01_설정'!B7))*'01_설정'!B16+MAX(0,(1-U2145/'01_설정'!B8))*'01_설정'!B17+O2145*'01_설정'!B11+Q2145*'01_설정'!B12+P2145*'01_설정'!B13+IF(Z2145="",0,Z2145))</f>
        <v/>
      </c>
      <c r="X2145" s="152">
        <f>IF(W2145="","",1+COUNTIFS($W$4:$W$3003,"&gt;"&amp;W2145)+COUNTIFS($W$4:W2145,W2145)-1)</f>
        <v/>
      </c>
      <c r="Y2145" s="175">
        <f>IF(OR(I2145="",'02_대상물건입력'!B19="",'02_대상물건입력'!B19&lt;=0),"",ABS(I2145-'02_대상물건입력'!B19)/'02_대상물건입력'!B19)</f>
        <v/>
      </c>
      <c r="Z2145" s="172">
        <f>IF(OR(Y2145="",'01_설정'!B31="",'01_설정'!B31&lt;=0,'01_설정'!B32="",'01_설정'!B32&lt;=0),"",MAX(0,(1-Y2145/'01_설정'!B32))*'01_설정'!B31)</f>
        <v/>
      </c>
    </row>
    <row r="2146" ht="17.25" customHeight="1">
      <c r="A2146" s="152">
        <f>IF(INDEX('04A_국토부원자료'!$A:$A,ROW()+1)="","",ROW()-3)</f>
        <v/>
      </c>
      <c r="B2146" s="48">
        <f>IFERROR(INDEX('04A_국토부원자료'!$A:$T,ROW()+1,MATCH("시군구",'04A_국토부원자료'!$A$4:$T$4,0)),"")</f>
        <v/>
      </c>
      <c r="C2146" s="48">
        <f>IF(B2146="","",IFERROR(INDEX('04A_국토부원자료'!$A:$T,ROW()+1,MATCH("번지",'04A_국토부원자료'!$A$4:$T$4,0)),""))</f>
        <v/>
      </c>
      <c r="D2146" s="48">
        <f>IF(B2146="","",IF(Q2146=1,'02_대상물건입력'!$B$8,IFERROR(INDEX('04A_국토부원자료'!$A:$T,ROW()+1,MATCH("단지명",'04A_국토부원자료'!$A$4:$T$4,0)),"")))</f>
        <v/>
      </c>
      <c r="E2146" s="172">
        <f>IFERROR(VALUE(SUBSTITUTE(INDEX('04A_국토부원자료'!$A:$T,ROW()+1,MATCH("전용면적(㎡)",'04A_국토부원자료'!$A$4:$T$4,0)),",","")),"")</f>
        <v/>
      </c>
      <c r="F21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46" s="51">
        <f>IFERROR(VALUE(SUBSTITUTE(INDEX('04A_국토부원자료'!$A:$T,ROW()+1,MATCH("거래금액(만원)",'04A_국토부원자료'!$A$4:$T$4,0)),",","")),"")</f>
        <v/>
      </c>
      <c r="H2146" s="174">
        <f>IF(G2146="","",G2146*10000)</f>
        <v/>
      </c>
      <c r="I2146" s="174">
        <f>IFERROR(IF(AND(H2146&gt;0,E2146&gt;0),H2146/E2146,""),"")</f>
        <v/>
      </c>
      <c r="J2146" s="152">
        <f>IFERROR(VALUE(SUBSTITUTE(INDEX('04A_국토부원자료'!$A:$T,ROW()+1,MATCH("층",'04A_국토부원자료'!$A$4:$T$4,0)),",","")),"")</f>
        <v/>
      </c>
      <c r="K2146" s="152">
        <f>IFERROR(VALUE(SUBSTITUTE(INDEX('04A_국토부원자료'!$A:$T,ROW()+1,MATCH("건축년도",'04A_국토부원자료'!$A$4:$T$4,0)),",","")),"")</f>
        <v/>
      </c>
      <c r="L2146" s="48">
        <f>IFERROR(INDEX('04A_국토부원자료'!$A:$T,ROW()+1,MATCH("도로명",'04A_국토부원자료'!$A$4:$T$4,0)),"")</f>
        <v/>
      </c>
      <c r="M2146" s="48">
        <f>IFERROR(INDEX('04A_국토부원자료'!$A:$T,ROW()+1,MATCH("거래유형",'04A_국토부원자료'!$A$4:$T$4,0)),"")</f>
        <v/>
      </c>
      <c r="N2146" s="152">
        <f>IF(B2146="","",IF('02_대상물건입력'!B5="",1,IF(ISNUMBER(SEARCH('02_대상물건입력'!B5,B2146)),1,0)))</f>
        <v/>
      </c>
      <c r="O2146" s="152">
        <f>IF(B2146="","",IF('02_대상물건입력'!B6="",1,IF(ISNUMBER(SEARCH('02_대상물건입력'!B6,B2146)),1,0)))</f>
        <v/>
      </c>
      <c r="P2146" s="152">
        <f>IF(L2146="","",IF('02_대상물건입력'!B15="",0,IF(ISNUMBER(SEARCH('02_대상물건입력'!B15,L2146)),1,0)))</f>
        <v/>
      </c>
      <c r="Q2146" s="152">
        <f>IF(OR(C2146="",L2146=""),0,IF(AND(TRIM(C2146)=TRIM(RIGHT(SUBSTITUTE(TRIM('02_대상물건입력'!$B$7)," ",REPT(" ",99)),99)),IF('02_대상물건입력'!B15="",TRUE(),ISNUMBER(SEARCH('02_대상물건입력'!B15,L2146)))),1,0))</f>
        <v/>
      </c>
      <c r="R2146" s="175">
        <f>IFERROR(ABS(E2146-'02_대상물건입력'!B11)/'02_대상물건입력'!B11,"")</f>
        <v/>
      </c>
      <c r="S2146" s="152">
        <f>IFERROR(ABS(J2146-'02_대상물건입력'!B10),"")</f>
        <v/>
      </c>
      <c r="T2146" s="152">
        <f>IFERROR(ABS('01_설정'!B4-F2146),"")</f>
        <v/>
      </c>
      <c r="U2146" s="152">
        <f>IFERROR(ABS(K2146-YEAR('02_대상물건입력'!B14)),"")</f>
        <v/>
      </c>
      <c r="V2146" s="152">
        <f>IF(B2146="","",IF(AND(E2146&gt;0,F2146&gt;0,H2146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2146=1,TRUE()),R2146&lt;='01_설정'!B5,S2146&lt;='01_설정'!B6,T2146&lt;='01_설정'!B7,U2146&lt;='01_설정'!B8),"Y",""))</f>
        <v/>
      </c>
      <c r="W2146" s="172">
        <f>IF(V2146&lt;&gt;"Y","",MAX(0,(1-R2146/'01_설정'!B5))*'01_설정'!B14+MAX(0,(1-S2146/'01_설정'!B6))*'01_설정'!B15+MAX(0,(1-T2146/'01_설정'!B7))*'01_설정'!B16+MAX(0,(1-U2146/'01_설정'!B8))*'01_설정'!B17+O2146*'01_설정'!B11+Q2146*'01_설정'!B12+P2146*'01_설정'!B13+IF(Z2146="",0,Z2146))</f>
        <v/>
      </c>
      <c r="X2146" s="152">
        <f>IF(W2146="","",1+COUNTIFS($W$4:$W$3003,"&gt;"&amp;W2146)+COUNTIFS($W$4:W2146,W2146)-1)</f>
        <v/>
      </c>
      <c r="Y2146" s="175">
        <f>IF(OR(I2146="",'02_대상물건입력'!B19="",'02_대상물건입력'!B19&lt;=0),"",ABS(I2146-'02_대상물건입력'!B19)/'02_대상물건입력'!B19)</f>
        <v/>
      </c>
      <c r="Z2146" s="172">
        <f>IF(OR(Y2146="",'01_설정'!B31="",'01_설정'!B31&lt;=0,'01_설정'!B32="",'01_설정'!B32&lt;=0),"",MAX(0,(1-Y2146/'01_설정'!B32))*'01_설정'!B31)</f>
        <v/>
      </c>
    </row>
    <row r="2147" ht="17.25" customHeight="1">
      <c r="A2147" s="152">
        <f>IF(INDEX('04A_국토부원자료'!$A:$A,ROW()+1)="","",ROW()-3)</f>
        <v/>
      </c>
      <c r="B2147" s="48">
        <f>IFERROR(INDEX('04A_국토부원자료'!$A:$T,ROW()+1,MATCH("시군구",'04A_국토부원자료'!$A$4:$T$4,0)),"")</f>
        <v/>
      </c>
      <c r="C2147" s="48">
        <f>IF(B2147="","",IFERROR(INDEX('04A_국토부원자료'!$A:$T,ROW()+1,MATCH("번지",'04A_국토부원자료'!$A$4:$T$4,0)),""))</f>
        <v/>
      </c>
      <c r="D2147" s="48">
        <f>IF(B2147="","",IF(Q2147=1,'02_대상물건입력'!$B$8,IFERROR(INDEX('04A_국토부원자료'!$A:$T,ROW()+1,MATCH("단지명",'04A_국토부원자료'!$A$4:$T$4,0)),"")))</f>
        <v/>
      </c>
      <c r="E2147" s="172">
        <f>IFERROR(VALUE(SUBSTITUTE(INDEX('04A_국토부원자료'!$A:$T,ROW()+1,MATCH("전용면적(㎡)",'04A_국토부원자료'!$A$4:$T$4,0)),",","")),"")</f>
        <v/>
      </c>
      <c r="F21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47" s="51">
        <f>IFERROR(VALUE(SUBSTITUTE(INDEX('04A_국토부원자료'!$A:$T,ROW()+1,MATCH("거래금액(만원)",'04A_국토부원자료'!$A$4:$T$4,0)),",","")),"")</f>
        <v/>
      </c>
      <c r="H2147" s="174">
        <f>IF(G2147="","",G2147*10000)</f>
        <v/>
      </c>
      <c r="I2147" s="174">
        <f>IFERROR(IF(AND(H2147&gt;0,E2147&gt;0),H2147/E2147,""),"")</f>
        <v/>
      </c>
      <c r="J2147" s="152">
        <f>IFERROR(VALUE(SUBSTITUTE(INDEX('04A_국토부원자료'!$A:$T,ROW()+1,MATCH("층",'04A_국토부원자료'!$A$4:$T$4,0)),",","")),"")</f>
        <v/>
      </c>
      <c r="K2147" s="152">
        <f>IFERROR(VALUE(SUBSTITUTE(INDEX('04A_국토부원자료'!$A:$T,ROW()+1,MATCH("건축년도",'04A_국토부원자료'!$A$4:$T$4,0)),",","")),"")</f>
        <v/>
      </c>
      <c r="L2147" s="48">
        <f>IFERROR(INDEX('04A_국토부원자료'!$A:$T,ROW()+1,MATCH("도로명",'04A_국토부원자료'!$A$4:$T$4,0)),"")</f>
        <v/>
      </c>
      <c r="M2147" s="48">
        <f>IFERROR(INDEX('04A_국토부원자료'!$A:$T,ROW()+1,MATCH("거래유형",'04A_국토부원자료'!$A$4:$T$4,0)),"")</f>
        <v/>
      </c>
      <c r="N2147" s="152">
        <f>IF(B2147="","",IF('02_대상물건입력'!B5="",1,IF(ISNUMBER(SEARCH('02_대상물건입력'!B5,B2147)),1,0)))</f>
        <v/>
      </c>
      <c r="O2147" s="152">
        <f>IF(B2147="","",IF('02_대상물건입력'!B6="",1,IF(ISNUMBER(SEARCH('02_대상물건입력'!B6,B2147)),1,0)))</f>
        <v/>
      </c>
      <c r="P2147" s="152">
        <f>IF(L2147="","",IF('02_대상물건입력'!B15="",0,IF(ISNUMBER(SEARCH('02_대상물건입력'!B15,L2147)),1,0)))</f>
        <v/>
      </c>
      <c r="Q2147" s="152">
        <f>IF(OR(C2147="",L2147=""),0,IF(AND(TRIM(C2147)=TRIM(RIGHT(SUBSTITUTE(TRIM('02_대상물건입력'!$B$7)," ",REPT(" ",99)),99)),IF('02_대상물건입력'!B15="",TRUE(),ISNUMBER(SEARCH('02_대상물건입력'!B15,L2147)))),1,0))</f>
        <v/>
      </c>
      <c r="R2147" s="175">
        <f>IFERROR(ABS(E2147-'02_대상물건입력'!B11)/'02_대상물건입력'!B11,"")</f>
        <v/>
      </c>
      <c r="S2147" s="152">
        <f>IFERROR(ABS(J2147-'02_대상물건입력'!B10),"")</f>
        <v/>
      </c>
      <c r="T2147" s="152">
        <f>IFERROR(ABS('01_설정'!B4-F2147),"")</f>
        <v/>
      </c>
      <c r="U2147" s="152">
        <f>IFERROR(ABS(K2147-YEAR('02_대상물건입력'!B14)),"")</f>
        <v/>
      </c>
      <c r="V2147" s="152">
        <f>IF(B2147="","",IF(AND(E2147&gt;0,F2147&gt;0,H2147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2147=1,TRUE()),R2147&lt;='01_설정'!B5,S2147&lt;='01_설정'!B6,T2147&lt;='01_설정'!B7,U2147&lt;='01_설정'!B8),"Y",""))</f>
        <v/>
      </c>
      <c r="W2147" s="172">
        <f>IF(V2147&lt;&gt;"Y","",MAX(0,(1-R2147/'01_설정'!B5))*'01_설정'!B14+MAX(0,(1-S2147/'01_설정'!B6))*'01_설정'!B15+MAX(0,(1-T2147/'01_설정'!B7))*'01_설정'!B16+MAX(0,(1-U2147/'01_설정'!B8))*'01_설정'!B17+O2147*'01_설정'!B11+Q2147*'01_설정'!B12+P2147*'01_설정'!B13+IF(Z2147="",0,Z2147))</f>
        <v/>
      </c>
      <c r="X2147" s="152">
        <f>IF(W2147="","",1+COUNTIFS($W$4:$W$3003,"&gt;"&amp;W2147)+COUNTIFS($W$4:W2147,W2147)-1)</f>
        <v/>
      </c>
      <c r="Y2147" s="175">
        <f>IF(OR(I2147="",'02_대상물건입력'!B19="",'02_대상물건입력'!B19&lt;=0),"",ABS(I2147-'02_대상물건입력'!B19)/'02_대상물건입력'!B19)</f>
        <v/>
      </c>
      <c r="Z2147" s="172">
        <f>IF(OR(Y2147="",'01_설정'!B31="",'01_설정'!B31&lt;=0,'01_설정'!B32="",'01_설정'!B32&lt;=0),"",MAX(0,(1-Y2147/'01_설정'!B32))*'01_설정'!B31)</f>
        <v/>
      </c>
    </row>
    <row r="2148" ht="17.25" customHeight="1">
      <c r="A2148" s="152">
        <f>IF(INDEX('04A_국토부원자료'!$A:$A,ROW()+1)="","",ROW()-3)</f>
        <v/>
      </c>
      <c r="B2148" s="48">
        <f>IFERROR(INDEX('04A_국토부원자료'!$A:$T,ROW()+1,MATCH("시군구",'04A_국토부원자료'!$A$4:$T$4,0)),"")</f>
        <v/>
      </c>
      <c r="C2148" s="48">
        <f>IF(B2148="","",IFERROR(INDEX('04A_국토부원자료'!$A:$T,ROW()+1,MATCH("번지",'04A_국토부원자료'!$A$4:$T$4,0)),""))</f>
        <v/>
      </c>
      <c r="D2148" s="48">
        <f>IF(B2148="","",IF(Q2148=1,'02_대상물건입력'!$B$8,IFERROR(INDEX('04A_국토부원자료'!$A:$T,ROW()+1,MATCH("단지명",'04A_국토부원자료'!$A$4:$T$4,0)),"")))</f>
        <v/>
      </c>
      <c r="E2148" s="172">
        <f>IFERROR(VALUE(SUBSTITUTE(INDEX('04A_국토부원자료'!$A:$T,ROW()+1,MATCH("전용면적(㎡)",'04A_국토부원자료'!$A$4:$T$4,0)),",","")),"")</f>
        <v/>
      </c>
      <c r="F21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48" s="51">
        <f>IFERROR(VALUE(SUBSTITUTE(INDEX('04A_국토부원자료'!$A:$T,ROW()+1,MATCH("거래금액(만원)",'04A_국토부원자료'!$A$4:$T$4,0)),",","")),"")</f>
        <v/>
      </c>
      <c r="H2148" s="174">
        <f>IF(G2148="","",G2148*10000)</f>
        <v/>
      </c>
      <c r="I2148" s="174">
        <f>IFERROR(IF(AND(H2148&gt;0,E2148&gt;0),H2148/E2148,""),"")</f>
        <v/>
      </c>
      <c r="J2148" s="152">
        <f>IFERROR(VALUE(SUBSTITUTE(INDEX('04A_국토부원자료'!$A:$T,ROW()+1,MATCH("층",'04A_국토부원자료'!$A$4:$T$4,0)),",","")),"")</f>
        <v/>
      </c>
      <c r="K2148" s="152">
        <f>IFERROR(VALUE(SUBSTITUTE(INDEX('04A_국토부원자료'!$A:$T,ROW()+1,MATCH("건축년도",'04A_국토부원자료'!$A$4:$T$4,0)),",","")),"")</f>
        <v/>
      </c>
      <c r="L2148" s="48">
        <f>IFERROR(INDEX('04A_국토부원자료'!$A:$T,ROW()+1,MATCH("도로명",'04A_국토부원자료'!$A$4:$T$4,0)),"")</f>
        <v/>
      </c>
      <c r="M2148" s="48">
        <f>IFERROR(INDEX('04A_국토부원자료'!$A:$T,ROW()+1,MATCH("거래유형",'04A_국토부원자료'!$A$4:$T$4,0)),"")</f>
        <v/>
      </c>
      <c r="N2148" s="152">
        <f>IF(B2148="","",IF('02_대상물건입력'!B5="",1,IF(ISNUMBER(SEARCH('02_대상물건입력'!B5,B2148)),1,0)))</f>
        <v/>
      </c>
      <c r="O2148" s="152">
        <f>IF(B2148="","",IF('02_대상물건입력'!B6="",1,IF(ISNUMBER(SEARCH('02_대상물건입력'!B6,B2148)),1,0)))</f>
        <v/>
      </c>
      <c r="P2148" s="152">
        <f>IF(L2148="","",IF('02_대상물건입력'!B15="",0,IF(ISNUMBER(SEARCH('02_대상물건입력'!B15,L2148)),1,0)))</f>
        <v/>
      </c>
      <c r="Q2148" s="152">
        <f>IF(OR(C2148="",L2148=""),0,IF(AND(TRIM(C2148)=TRIM(RIGHT(SUBSTITUTE(TRIM('02_대상물건입력'!$B$7)," ",REPT(" ",99)),99)),IF('02_대상물건입력'!B15="",TRUE(),ISNUMBER(SEARCH('02_대상물건입력'!B15,L2148)))),1,0))</f>
        <v/>
      </c>
      <c r="R2148" s="175">
        <f>IFERROR(ABS(E2148-'02_대상물건입력'!B11)/'02_대상물건입력'!B11,"")</f>
        <v/>
      </c>
      <c r="S2148" s="152">
        <f>IFERROR(ABS(J2148-'02_대상물건입력'!B10),"")</f>
        <v/>
      </c>
      <c r="T2148" s="152">
        <f>IFERROR(ABS('01_설정'!B4-F2148),"")</f>
        <v/>
      </c>
      <c r="U2148" s="152">
        <f>IFERROR(ABS(K2148-YEAR('02_대상물건입력'!B14)),"")</f>
        <v/>
      </c>
      <c r="V2148" s="152">
        <f>IF(B2148="","",IF(AND(E2148&gt;0,F2148&gt;0,H2148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2148=1,TRUE()),R2148&lt;='01_설정'!B5,S2148&lt;='01_설정'!B6,T2148&lt;='01_설정'!B7,U2148&lt;='01_설정'!B8),"Y",""))</f>
        <v/>
      </c>
      <c r="W2148" s="172">
        <f>IF(V2148&lt;&gt;"Y","",MAX(0,(1-R2148/'01_설정'!B5))*'01_설정'!B14+MAX(0,(1-S2148/'01_설정'!B6))*'01_설정'!B15+MAX(0,(1-T2148/'01_설정'!B7))*'01_설정'!B16+MAX(0,(1-U2148/'01_설정'!B8))*'01_설정'!B17+O2148*'01_설정'!B11+Q2148*'01_설정'!B12+P2148*'01_설정'!B13+IF(Z2148="",0,Z2148))</f>
        <v/>
      </c>
      <c r="X2148" s="152">
        <f>IF(W2148="","",1+COUNTIFS($W$4:$W$3003,"&gt;"&amp;W2148)+COUNTIFS($W$4:W2148,W2148)-1)</f>
        <v/>
      </c>
      <c r="Y2148" s="175">
        <f>IF(OR(I2148="",'02_대상물건입력'!B19="",'02_대상물건입력'!B19&lt;=0),"",ABS(I2148-'02_대상물건입력'!B19)/'02_대상물건입력'!B19)</f>
        <v/>
      </c>
      <c r="Z2148" s="172">
        <f>IF(OR(Y2148="",'01_설정'!B31="",'01_설정'!B31&lt;=0,'01_설정'!B32="",'01_설정'!B32&lt;=0),"",MAX(0,(1-Y2148/'01_설정'!B32))*'01_설정'!B31)</f>
        <v/>
      </c>
    </row>
    <row r="2149" ht="17.25" customHeight="1">
      <c r="A2149" s="152">
        <f>IF(INDEX('04A_국토부원자료'!$A:$A,ROW()+1)="","",ROW()-3)</f>
        <v/>
      </c>
      <c r="B2149" s="48">
        <f>IFERROR(INDEX('04A_국토부원자료'!$A:$T,ROW()+1,MATCH("시군구",'04A_국토부원자료'!$A$4:$T$4,0)),"")</f>
        <v/>
      </c>
      <c r="C2149" s="48">
        <f>IF(B2149="","",IFERROR(INDEX('04A_국토부원자료'!$A:$T,ROW()+1,MATCH("번지",'04A_국토부원자료'!$A$4:$T$4,0)),""))</f>
        <v/>
      </c>
      <c r="D2149" s="48">
        <f>IF(B2149="","",IF(Q2149=1,'02_대상물건입력'!$B$8,IFERROR(INDEX('04A_국토부원자료'!$A:$T,ROW()+1,MATCH("단지명",'04A_국토부원자료'!$A$4:$T$4,0)),"")))</f>
        <v/>
      </c>
      <c r="E2149" s="172">
        <f>IFERROR(VALUE(SUBSTITUTE(INDEX('04A_국토부원자료'!$A:$T,ROW()+1,MATCH("전용면적(㎡)",'04A_국토부원자료'!$A$4:$T$4,0)),",","")),"")</f>
        <v/>
      </c>
      <c r="F21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49" s="51">
        <f>IFERROR(VALUE(SUBSTITUTE(INDEX('04A_국토부원자료'!$A:$T,ROW()+1,MATCH("거래금액(만원)",'04A_국토부원자료'!$A$4:$T$4,0)),",","")),"")</f>
        <v/>
      </c>
      <c r="H2149" s="174">
        <f>IF(G2149="","",G2149*10000)</f>
        <v/>
      </c>
      <c r="I2149" s="174">
        <f>IFERROR(IF(AND(H2149&gt;0,E2149&gt;0),H2149/E2149,""),"")</f>
        <v/>
      </c>
      <c r="J2149" s="152">
        <f>IFERROR(VALUE(SUBSTITUTE(INDEX('04A_국토부원자료'!$A:$T,ROW()+1,MATCH("층",'04A_국토부원자료'!$A$4:$T$4,0)),",","")),"")</f>
        <v/>
      </c>
      <c r="K2149" s="152">
        <f>IFERROR(VALUE(SUBSTITUTE(INDEX('04A_국토부원자료'!$A:$T,ROW()+1,MATCH("건축년도",'04A_국토부원자료'!$A$4:$T$4,0)),",","")),"")</f>
        <v/>
      </c>
      <c r="L2149" s="48">
        <f>IFERROR(INDEX('04A_국토부원자료'!$A:$T,ROW()+1,MATCH("도로명",'04A_국토부원자료'!$A$4:$T$4,0)),"")</f>
        <v/>
      </c>
      <c r="M2149" s="48">
        <f>IFERROR(INDEX('04A_국토부원자료'!$A:$T,ROW()+1,MATCH("거래유형",'04A_국토부원자료'!$A$4:$T$4,0)),"")</f>
        <v/>
      </c>
      <c r="N2149" s="152">
        <f>IF(B2149="","",IF('02_대상물건입력'!B5="",1,IF(ISNUMBER(SEARCH('02_대상물건입력'!B5,B2149)),1,0)))</f>
        <v/>
      </c>
      <c r="O2149" s="152">
        <f>IF(B2149="","",IF('02_대상물건입력'!B6="",1,IF(ISNUMBER(SEARCH('02_대상물건입력'!B6,B2149)),1,0)))</f>
        <v/>
      </c>
      <c r="P2149" s="152">
        <f>IF(L2149="","",IF('02_대상물건입력'!B15="",0,IF(ISNUMBER(SEARCH('02_대상물건입력'!B15,L2149)),1,0)))</f>
        <v/>
      </c>
      <c r="Q2149" s="152">
        <f>IF(OR(C2149="",L2149=""),0,IF(AND(TRIM(C2149)=TRIM(RIGHT(SUBSTITUTE(TRIM('02_대상물건입력'!$B$7)," ",REPT(" ",99)),99)),IF('02_대상물건입력'!B15="",TRUE(),ISNUMBER(SEARCH('02_대상물건입력'!B15,L2149)))),1,0))</f>
        <v/>
      </c>
      <c r="R2149" s="175">
        <f>IFERROR(ABS(E2149-'02_대상물건입력'!B11)/'02_대상물건입력'!B11,"")</f>
        <v/>
      </c>
      <c r="S2149" s="152">
        <f>IFERROR(ABS(J2149-'02_대상물건입력'!B10),"")</f>
        <v/>
      </c>
      <c r="T2149" s="152">
        <f>IFERROR(ABS('01_설정'!B4-F2149),"")</f>
        <v/>
      </c>
      <c r="U2149" s="152">
        <f>IFERROR(ABS(K2149-YEAR('02_대상물건입력'!B14)),"")</f>
        <v/>
      </c>
      <c r="V2149" s="152">
        <f>IF(B2149="","",IF(AND(E2149&gt;0,F2149&gt;0,H2149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2149=1,TRUE()),R2149&lt;='01_설정'!B5,S2149&lt;='01_설정'!B6,T2149&lt;='01_설정'!B7,U2149&lt;='01_설정'!B8),"Y",""))</f>
        <v/>
      </c>
      <c r="W2149" s="172">
        <f>IF(V2149&lt;&gt;"Y","",MAX(0,(1-R2149/'01_설정'!B5))*'01_설정'!B14+MAX(0,(1-S2149/'01_설정'!B6))*'01_설정'!B15+MAX(0,(1-T2149/'01_설정'!B7))*'01_설정'!B16+MAX(0,(1-U2149/'01_설정'!B8))*'01_설정'!B17+O2149*'01_설정'!B11+Q2149*'01_설정'!B12+P2149*'01_설정'!B13+IF(Z2149="",0,Z2149))</f>
        <v/>
      </c>
      <c r="X2149" s="152">
        <f>IF(W2149="","",1+COUNTIFS($W$4:$W$3003,"&gt;"&amp;W2149)+COUNTIFS($W$4:W2149,W2149)-1)</f>
        <v/>
      </c>
      <c r="Y2149" s="175">
        <f>IF(OR(I2149="",'02_대상물건입력'!B19="",'02_대상물건입력'!B19&lt;=0),"",ABS(I2149-'02_대상물건입력'!B19)/'02_대상물건입력'!B19)</f>
        <v/>
      </c>
      <c r="Z2149" s="172">
        <f>IF(OR(Y2149="",'01_설정'!B31="",'01_설정'!B31&lt;=0,'01_설정'!B32="",'01_설정'!B32&lt;=0),"",MAX(0,(1-Y2149/'01_설정'!B32))*'01_설정'!B31)</f>
        <v/>
      </c>
    </row>
    <row r="2150" ht="17.25" customHeight="1">
      <c r="A2150" s="152">
        <f>IF(INDEX('04A_국토부원자료'!$A:$A,ROW()+1)="","",ROW()-3)</f>
        <v/>
      </c>
      <c r="B2150" s="48">
        <f>IFERROR(INDEX('04A_국토부원자료'!$A:$T,ROW()+1,MATCH("시군구",'04A_국토부원자료'!$A$4:$T$4,0)),"")</f>
        <v/>
      </c>
      <c r="C2150" s="48">
        <f>IF(B2150="","",IFERROR(INDEX('04A_국토부원자료'!$A:$T,ROW()+1,MATCH("번지",'04A_국토부원자료'!$A$4:$T$4,0)),""))</f>
        <v/>
      </c>
      <c r="D2150" s="48">
        <f>IF(B2150="","",IF(Q2150=1,'02_대상물건입력'!$B$8,IFERROR(INDEX('04A_국토부원자료'!$A:$T,ROW()+1,MATCH("단지명",'04A_국토부원자료'!$A$4:$T$4,0)),"")))</f>
        <v/>
      </c>
      <c r="E2150" s="172">
        <f>IFERROR(VALUE(SUBSTITUTE(INDEX('04A_국토부원자료'!$A:$T,ROW()+1,MATCH("전용면적(㎡)",'04A_국토부원자료'!$A$4:$T$4,0)),",","")),"")</f>
        <v/>
      </c>
      <c r="F21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50" s="51">
        <f>IFERROR(VALUE(SUBSTITUTE(INDEX('04A_국토부원자료'!$A:$T,ROW()+1,MATCH("거래금액(만원)",'04A_국토부원자료'!$A$4:$T$4,0)),",","")),"")</f>
        <v/>
      </c>
      <c r="H2150" s="174">
        <f>IF(G2150="","",G2150*10000)</f>
        <v/>
      </c>
      <c r="I2150" s="174">
        <f>IFERROR(IF(AND(H2150&gt;0,E2150&gt;0),H2150/E2150,""),"")</f>
        <v/>
      </c>
      <c r="J2150" s="152">
        <f>IFERROR(VALUE(SUBSTITUTE(INDEX('04A_국토부원자료'!$A:$T,ROW()+1,MATCH("층",'04A_국토부원자료'!$A$4:$T$4,0)),",","")),"")</f>
        <v/>
      </c>
      <c r="K2150" s="152">
        <f>IFERROR(VALUE(SUBSTITUTE(INDEX('04A_국토부원자료'!$A:$T,ROW()+1,MATCH("건축년도",'04A_국토부원자료'!$A$4:$T$4,0)),",","")),"")</f>
        <v/>
      </c>
      <c r="L2150" s="48">
        <f>IFERROR(INDEX('04A_국토부원자료'!$A:$T,ROW()+1,MATCH("도로명",'04A_국토부원자료'!$A$4:$T$4,0)),"")</f>
        <v/>
      </c>
      <c r="M2150" s="48">
        <f>IFERROR(INDEX('04A_국토부원자료'!$A:$T,ROW()+1,MATCH("거래유형",'04A_국토부원자료'!$A$4:$T$4,0)),"")</f>
        <v/>
      </c>
      <c r="N2150" s="152">
        <f>IF(B2150="","",IF('02_대상물건입력'!B5="",1,IF(ISNUMBER(SEARCH('02_대상물건입력'!B5,B2150)),1,0)))</f>
        <v/>
      </c>
      <c r="O2150" s="152">
        <f>IF(B2150="","",IF('02_대상물건입력'!B6="",1,IF(ISNUMBER(SEARCH('02_대상물건입력'!B6,B2150)),1,0)))</f>
        <v/>
      </c>
      <c r="P2150" s="152">
        <f>IF(L2150="","",IF('02_대상물건입력'!B15="",0,IF(ISNUMBER(SEARCH('02_대상물건입력'!B15,L2150)),1,0)))</f>
        <v/>
      </c>
      <c r="Q2150" s="152">
        <f>IF(OR(C2150="",L2150=""),0,IF(AND(TRIM(C2150)=TRIM(RIGHT(SUBSTITUTE(TRIM('02_대상물건입력'!$B$7)," ",REPT(" ",99)),99)),IF('02_대상물건입력'!B15="",TRUE(),ISNUMBER(SEARCH('02_대상물건입력'!B15,L2150)))),1,0))</f>
        <v/>
      </c>
      <c r="R2150" s="175">
        <f>IFERROR(ABS(E2150-'02_대상물건입력'!B11)/'02_대상물건입력'!B11,"")</f>
        <v/>
      </c>
      <c r="S2150" s="152">
        <f>IFERROR(ABS(J2150-'02_대상물건입력'!B10),"")</f>
        <v/>
      </c>
      <c r="T2150" s="152">
        <f>IFERROR(ABS('01_설정'!B4-F2150),"")</f>
        <v/>
      </c>
      <c r="U2150" s="152">
        <f>IFERROR(ABS(K2150-YEAR('02_대상물건입력'!B14)),"")</f>
        <v/>
      </c>
      <c r="V2150" s="152">
        <f>IF(B2150="","",IF(AND(E2150&gt;0,F2150&gt;0,H2150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2150=1,TRUE()),R2150&lt;='01_설정'!B5,S2150&lt;='01_설정'!B6,T2150&lt;='01_설정'!B7,U2150&lt;='01_설정'!B8),"Y",""))</f>
        <v/>
      </c>
      <c r="W2150" s="172">
        <f>IF(V2150&lt;&gt;"Y","",MAX(0,(1-R2150/'01_설정'!B5))*'01_설정'!B14+MAX(0,(1-S2150/'01_설정'!B6))*'01_설정'!B15+MAX(0,(1-T2150/'01_설정'!B7))*'01_설정'!B16+MAX(0,(1-U2150/'01_설정'!B8))*'01_설정'!B17+O2150*'01_설정'!B11+Q2150*'01_설정'!B12+P2150*'01_설정'!B13+IF(Z2150="",0,Z2150))</f>
        <v/>
      </c>
      <c r="X2150" s="152">
        <f>IF(W2150="","",1+COUNTIFS($W$4:$W$3003,"&gt;"&amp;W2150)+COUNTIFS($W$4:W2150,W2150)-1)</f>
        <v/>
      </c>
      <c r="Y2150" s="175">
        <f>IF(OR(I2150="",'02_대상물건입력'!B19="",'02_대상물건입력'!B19&lt;=0),"",ABS(I2150-'02_대상물건입력'!B19)/'02_대상물건입력'!B19)</f>
        <v/>
      </c>
      <c r="Z2150" s="172">
        <f>IF(OR(Y2150="",'01_설정'!B31="",'01_설정'!B31&lt;=0,'01_설정'!B32="",'01_설정'!B32&lt;=0),"",MAX(0,(1-Y2150/'01_설정'!B32))*'01_설정'!B31)</f>
        <v/>
      </c>
    </row>
    <row r="2151" ht="17.25" customHeight="1">
      <c r="A2151" s="152">
        <f>IF(INDEX('04A_국토부원자료'!$A:$A,ROW()+1)="","",ROW()-3)</f>
        <v/>
      </c>
      <c r="B2151" s="48">
        <f>IFERROR(INDEX('04A_국토부원자료'!$A:$T,ROW()+1,MATCH("시군구",'04A_국토부원자료'!$A$4:$T$4,0)),"")</f>
        <v/>
      </c>
      <c r="C2151" s="48">
        <f>IF(B2151="","",IFERROR(INDEX('04A_국토부원자료'!$A:$T,ROW()+1,MATCH("번지",'04A_국토부원자료'!$A$4:$T$4,0)),""))</f>
        <v/>
      </c>
      <c r="D2151" s="48">
        <f>IF(B2151="","",IF(Q2151=1,'02_대상물건입력'!$B$8,IFERROR(INDEX('04A_국토부원자료'!$A:$T,ROW()+1,MATCH("단지명",'04A_국토부원자료'!$A$4:$T$4,0)),"")))</f>
        <v/>
      </c>
      <c r="E2151" s="172">
        <f>IFERROR(VALUE(SUBSTITUTE(INDEX('04A_국토부원자료'!$A:$T,ROW()+1,MATCH("전용면적(㎡)",'04A_국토부원자료'!$A$4:$T$4,0)),",","")),"")</f>
        <v/>
      </c>
      <c r="F21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51" s="51">
        <f>IFERROR(VALUE(SUBSTITUTE(INDEX('04A_국토부원자료'!$A:$T,ROW()+1,MATCH("거래금액(만원)",'04A_국토부원자료'!$A$4:$T$4,0)),",","")),"")</f>
        <v/>
      </c>
      <c r="H2151" s="174">
        <f>IF(G2151="","",G2151*10000)</f>
        <v/>
      </c>
      <c r="I2151" s="174">
        <f>IFERROR(IF(AND(H2151&gt;0,E2151&gt;0),H2151/E2151,""),"")</f>
        <v/>
      </c>
      <c r="J2151" s="152">
        <f>IFERROR(VALUE(SUBSTITUTE(INDEX('04A_국토부원자료'!$A:$T,ROW()+1,MATCH("층",'04A_국토부원자료'!$A$4:$T$4,0)),",","")),"")</f>
        <v/>
      </c>
      <c r="K2151" s="152">
        <f>IFERROR(VALUE(SUBSTITUTE(INDEX('04A_국토부원자료'!$A:$T,ROW()+1,MATCH("건축년도",'04A_국토부원자료'!$A$4:$T$4,0)),",","")),"")</f>
        <v/>
      </c>
      <c r="L2151" s="48">
        <f>IFERROR(INDEX('04A_국토부원자료'!$A:$T,ROW()+1,MATCH("도로명",'04A_국토부원자료'!$A$4:$T$4,0)),"")</f>
        <v/>
      </c>
      <c r="M2151" s="48">
        <f>IFERROR(INDEX('04A_국토부원자료'!$A:$T,ROW()+1,MATCH("거래유형",'04A_국토부원자료'!$A$4:$T$4,0)),"")</f>
        <v/>
      </c>
      <c r="N2151" s="152">
        <f>IF(B2151="","",IF('02_대상물건입력'!B5="",1,IF(ISNUMBER(SEARCH('02_대상물건입력'!B5,B2151)),1,0)))</f>
        <v/>
      </c>
      <c r="O2151" s="152">
        <f>IF(B2151="","",IF('02_대상물건입력'!B6="",1,IF(ISNUMBER(SEARCH('02_대상물건입력'!B6,B2151)),1,0)))</f>
        <v/>
      </c>
      <c r="P2151" s="152">
        <f>IF(L2151="","",IF('02_대상물건입력'!B15="",0,IF(ISNUMBER(SEARCH('02_대상물건입력'!B15,L2151)),1,0)))</f>
        <v/>
      </c>
      <c r="Q2151" s="152">
        <f>IF(OR(C2151="",L2151=""),0,IF(AND(TRIM(C2151)=TRIM(RIGHT(SUBSTITUTE(TRIM('02_대상물건입력'!$B$7)," ",REPT(" ",99)),99)),IF('02_대상물건입력'!B15="",TRUE(),ISNUMBER(SEARCH('02_대상물건입력'!B15,L2151)))),1,0))</f>
        <v/>
      </c>
      <c r="R2151" s="175">
        <f>IFERROR(ABS(E2151-'02_대상물건입력'!B11)/'02_대상물건입력'!B11,"")</f>
        <v/>
      </c>
      <c r="S2151" s="152">
        <f>IFERROR(ABS(J2151-'02_대상물건입력'!B10),"")</f>
        <v/>
      </c>
      <c r="T2151" s="152">
        <f>IFERROR(ABS('01_설정'!B4-F2151),"")</f>
        <v/>
      </c>
      <c r="U2151" s="152">
        <f>IFERROR(ABS(K2151-YEAR('02_대상물건입력'!B14)),"")</f>
        <v/>
      </c>
      <c r="V2151" s="152">
        <f>IF(B2151="","",IF(AND(E2151&gt;0,F2151&gt;0,H2151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2151=1,TRUE()),R2151&lt;='01_설정'!B5,S2151&lt;='01_설정'!B6,T2151&lt;='01_설정'!B7,U2151&lt;='01_설정'!B8),"Y",""))</f>
        <v/>
      </c>
      <c r="W2151" s="172">
        <f>IF(V2151&lt;&gt;"Y","",MAX(0,(1-R2151/'01_설정'!B5))*'01_설정'!B14+MAX(0,(1-S2151/'01_설정'!B6))*'01_설정'!B15+MAX(0,(1-T2151/'01_설정'!B7))*'01_설정'!B16+MAX(0,(1-U2151/'01_설정'!B8))*'01_설정'!B17+O2151*'01_설정'!B11+Q2151*'01_설정'!B12+P2151*'01_설정'!B13+IF(Z2151="",0,Z2151))</f>
        <v/>
      </c>
      <c r="X2151" s="152">
        <f>IF(W2151="","",1+COUNTIFS($W$4:$W$3003,"&gt;"&amp;W2151)+COUNTIFS($W$4:W2151,W2151)-1)</f>
        <v/>
      </c>
      <c r="Y2151" s="175">
        <f>IF(OR(I2151="",'02_대상물건입력'!B19="",'02_대상물건입력'!B19&lt;=0),"",ABS(I2151-'02_대상물건입력'!B19)/'02_대상물건입력'!B19)</f>
        <v/>
      </c>
      <c r="Z2151" s="172">
        <f>IF(OR(Y2151="",'01_설정'!B31="",'01_설정'!B31&lt;=0,'01_설정'!B32="",'01_설정'!B32&lt;=0),"",MAX(0,(1-Y2151/'01_설정'!B32))*'01_설정'!B31)</f>
        <v/>
      </c>
    </row>
    <row r="2152" ht="17.25" customHeight="1">
      <c r="A2152" s="152">
        <f>IF(INDEX('04A_국토부원자료'!$A:$A,ROW()+1)="","",ROW()-3)</f>
        <v/>
      </c>
      <c r="B2152" s="48">
        <f>IFERROR(INDEX('04A_국토부원자료'!$A:$T,ROW()+1,MATCH("시군구",'04A_국토부원자료'!$A$4:$T$4,0)),"")</f>
        <v/>
      </c>
      <c r="C2152" s="48">
        <f>IF(B2152="","",IFERROR(INDEX('04A_국토부원자료'!$A:$T,ROW()+1,MATCH("번지",'04A_국토부원자료'!$A$4:$T$4,0)),""))</f>
        <v/>
      </c>
      <c r="D2152" s="48">
        <f>IF(B2152="","",IF(Q2152=1,'02_대상물건입력'!$B$8,IFERROR(INDEX('04A_국토부원자료'!$A:$T,ROW()+1,MATCH("단지명",'04A_국토부원자료'!$A$4:$T$4,0)),"")))</f>
        <v/>
      </c>
      <c r="E2152" s="172">
        <f>IFERROR(VALUE(SUBSTITUTE(INDEX('04A_국토부원자료'!$A:$T,ROW()+1,MATCH("전용면적(㎡)",'04A_국토부원자료'!$A$4:$T$4,0)),",","")),"")</f>
        <v/>
      </c>
      <c r="F21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52" s="51">
        <f>IFERROR(VALUE(SUBSTITUTE(INDEX('04A_국토부원자료'!$A:$T,ROW()+1,MATCH("거래금액(만원)",'04A_국토부원자료'!$A$4:$T$4,0)),",","")),"")</f>
        <v/>
      </c>
      <c r="H2152" s="174">
        <f>IF(G2152="","",G2152*10000)</f>
        <v/>
      </c>
      <c r="I2152" s="174">
        <f>IFERROR(IF(AND(H2152&gt;0,E2152&gt;0),H2152/E2152,""),"")</f>
        <v/>
      </c>
      <c r="J2152" s="152">
        <f>IFERROR(VALUE(SUBSTITUTE(INDEX('04A_국토부원자료'!$A:$T,ROW()+1,MATCH("층",'04A_국토부원자료'!$A$4:$T$4,0)),",","")),"")</f>
        <v/>
      </c>
      <c r="K2152" s="152">
        <f>IFERROR(VALUE(SUBSTITUTE(INDEX('04A_국토부원자료'!$A:$T,ROW()+1,MATCH("건축년도",'04A_국토부원자료'!$A$4:$T$4,0)),",","")),"")</f>
        <v/>
      </c>
      <c r="L2152" s="48">
        <f>IFERROR(INDEX('04A_국토부원자료'!$A:$T,ROW()+1,MATCH("도로명",'04A_국토부원자료'!$A$4:$T$4,0)),"")</f>
        <v/>
      </c>
      <c r="M2152" s="48">
        <f>IFERROR(INDEX('04A_국토부원자료'!$A:$T,ROW()+1,MATCH("거래유형",'04A_국토부원자료'!$A$4:$T$4,0)),"")</f>
        <v/>
      </c>
      <c r="N2152" s="152">
        <f>IF(B2152="","",IF('02_대상물건입력'!B5="",1,IF(ISNUMBER(SEARCH('02_대상물건입력'!B5,B2152)),1,0)))</f>
        <v/>
      </c>
      <c r="O2152" s="152">
        <f>IF(B2152="","",IF('02_대상물건입력'!B6="",1,IF(ISNUMBER(SEARCH('02_대상물건입력'!B6,B2152)),1,0)))</f>
        <v/>
      </c>
      <c r="P2152" s="152">
        <f>IF(L2152="","",IF('02_대상물건입력'!B15="",0,IF(ISNUMBER(SEARCH('02_대상물건입력'!B15,L2152)),1,0)))</f>
        <v/>
      </c>
      <c r="Q2152" s="152">
        <f>IF(OR(C2152="",L2152=""),0,IF(AND(TRIM(C2152)=TRIM(RIGHT(SUBSTITUTE(TRIM('02_대상물건입력'!$B$7)," ",REPT(" ",99)),99)),IF('02_대상물건입력'!B15="",TRUE(),ISNUMBER(SEARCH('02_대상물건입력'!B15,L2152)))),1,0))</f>
        <v/>
      </c>
      <c r="R2152" s="175">
        <f>IFERROR(ABS(E2152-'02_대상물건입력'!B11)/'02_대상물건입력'!B11,"")</f>
        <v/>
      </c>
      <c r="S2152" s="152">
        <f>IFERROR(ABS(J2152-'02_대상물건입력'!B10),"")</f>
        <v/>
      </c>
      <c r="T2152" s="152">
        <f>IFERROR(ABS('01_설정'!B4-F2152),"")</f>
        <v/>
      </c>
      <c r="U2152" s="152">
        <f>IFERROR(ABS(K2152-YEAR('02_대상물건입력'!B14)),"")</f>
        <v/>
      </c>
      <c r="V2152" s="152">
        <f>IF(B2152="","",IF(AND(E2152&gt;0,F2152&gt;0,H2152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2152=1,TRUE()),R2152&lt;='01_설정'!B5,S2152&lt;='01_설정'!B6,T2152&lt;='01_설정'!B7,U2152&lt;='01_설정'!B8),"Y",""))</f>
        <v/>
      </c>
      <c r="W2152" s="172">
        <f>IF(V2152&lt;&gt;"Y","",MAX(0,(1-R2152/'01_설정'!B5))*'01_설정'!B14+MAX(0,(1-S2152/'01_설정'!B6))*'01_설정'!B15+MAX(0,(1-T2152/'01_설정'!B7))*'01_설정'!B16+MAX(0,(1-U2152/'01_설정'!B8))*'01_설정'!B17+O2152*'01_설정'!B11+Q2152*'01_설정'!B12+P2152*'01_설정'!B13+IF(Z2152="",0,Z2152))</f>
        <v/>
      </c>
      <c r="X2152" s="152">
        <f>IF(W2152="","",1+COUNTIFS($W$4:$W$3003,"&gt;"&amp;W2152)+COUNTIFS($W$4:W2152,W2152)-1)</f>
        <v/>
      </c>
      <c r="Y2152" s="175">
        <f>IF(OR(I2152="",'02_대상물건입력'!B19="",'02_대상물건입력'!B19&lt;=0),"",ABS(I2152-'02_대상물건입력'!B19)/'02_대상물건입력'!B19)</f>
        <v/>
      </c>
      <c r="Z2152" s="172">
        <f>IF(OR(Y2152="",'01_설정'!B31="",'01_설정'!B31&lt;=0,'01_설정'!B32="",'01_설정'!B32&lt;=0),"",MAX(0,(1-Y2152/'01_설정'!B32))*'01_설정'!B31)</f>
        <v/>
      </c>
    </row>
    <row r="2153" ht="17.25" customHeight="1">
      <c r="A2153" s="152">
        <f>IF(INDEX('04A_국토부원자료'!$A:$A,ROW()+1)="","",ROW()-3)</f>
        <v/>
      </c>
      <c r="B2153" s="48">
        <f>IFERROR(INDEX('04A_국토부원자료'!$A:$T,ROW()+1,MATCH("시군구",'04A_국토부원자료'!$A$4:$T$4,0)),"")</f>
        <v/>
      </c>
      <c r="C2153" s="48">
        <f>IF(B2153="","",IFERROR(INDEX('04A_국토부원자료'!$A:$T,ROW()+1,MATCH("번지",'04A_국토부원자료'!$A$4:$T$4,0)),""))</f>
        <v/>
      </c>
      <c r="D2153" s="48">
        <f>IF(B2153="","",IF(Q2153=1,'02_대상물건입력'!$B$8,IFERROR(INDEX('04A_국토부원자료'!$A:$T,ROW()+1,MATCH("단지명",'04A_국토부원자료'!$A$4:$T$4,0)),"")))</f>
        <v/>
      </c>
      <c r="E2153" s="172">
        <f>IFERROR(VALUE(SUBSTITUTE(INDEX('04A_국토부원자료'!$A:$T,ROW()+1,MATCH("전용면적(㎡)",'04A_국토부원자료'!$A$4:$T$4,0)),",","")),"")</f>
        <v/>
      </c>
      <c r="F21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53" s="51">
        <f>IFERROR(VALUE(SUBSTITUTE(INDEX('04A_국토부원자료'!$A:$T,ROW()+1,MATCH("거래금액(만원)",'04A_국토부원자료'!$A$4:$T$4,0)),",","")),"")</f>
        <v/>
      </c>
      <c r="H2153" s="174">
        <f>IF(G2153="","",G2153*10000)</f>
        <v/>
      </c>
      <c r="I2153" s="174">
        <f>IFERROR(IF(AND(H2153&gt;0,E2153&gt;0),H2153/E2153,""),"")</f>
        <v/>
      </c>
      <c r="J2153" s="152">
        <f>IFERROR(VALUE(SUBSTITUTE(INDEX('04A_국토부원자료'!$A:$T,ROW()+1,MATCH("층",'04A_국토부원자료'!$A$4:$T$4,0)),",","")),"")</f>
        <v/>
      </c>
      <c r="K2153" s="152">
        <f>IFERROR(VALUE(SUBSTITUTE(INDEX('04A_국토부원자료'!$A:$T,ROW()+1,MATCH("건축년도",'04A_국토부원자료'!$A$4:$T$4,0)),",","")),"")</f>
        <v/>
      </c>
      <c r="L2153" s="48">
        <f>IFERROR(INDEX('04A_국토부원자료'!$A:$T,ROW()+1,MATCH("도로명",'04A_국토부원자료'!$A$4:$T$4,0)),"")</f>
        <v/>
      </c>
      <c r="M2153" s="48">
        <f>IFERROR(INDEX('04A_국토부원자료'!$A:$T,ROW()+1,MATCH("거래유형",'04A_국토부원자료'!$A$4:$T$4,0)),"")</f>
        <v/>
      </c>
      <c r="N2153" s="152">
        <f>IF(B2153="","",IF('02_대상물건입력'!B5="",1,IF(ISNUMBER(SEARCH('02_대상물건입력'!B5,B2153)),1,0)))</f>
        <v/>
      </c>
      <c r="O2153" s="152">
        <f>IF(B2153="","",IF('02_대상물건입력'!B6="",1,IF(ISNUMBER(SEARCH('02_대상물건입력'!B6,B2153)),1,0)))</f>
        <v/>
      </c>
      <c r="P2153" s="152">
        <f>IF(L2153="","",IF('02_대상물건입력'!B15="",0,IF(ISNUMBER(SEARCH('02_대상물건입력'!B15,L2153)),1,0)))</f>
        <v/>
      </c>
      <c r="Q2153" s="152">
        <f>IF(OR(C2153="",L2153=""),0,IF(AND(TRIM(C2153)=TRIM(RIGHT(SUBSTITUTE(TRIM('02_대상물건입력'!$B$7)," ",REPT(" ",99)),99)),IF('02_대상물건입력'!B15="",TRUE(),ISNUMBER(SEARCH('02_대상물건입력'!B15,L2153)))),1,0))</f>
        <v/>
      </c>
      <c r="R2153" s="175">
        <f>IFERROR(ABS(E2153-'02_대상물건입력'!B11)/'02_대상물건입력'!B11,"")</f>
        <v/>
      </c>
      <c r="S2153" s="152">
        <f>IFERROR(ABS(J2153-'02_대상물건입력'!B10),"")</f>
        <v/>
      </c>
      <c r="T2153" s="152">
        <f>IFERROR(ABS('01_설정'!B4-F2153),"")</f>
        <v/>
      </c>
      <c r="U2153" s="152">
        <f>IFERROR(ABS(K2153-YEAR('02_대상물건입력'!B14)),"")</f>
        <v/>
      </c>
      <c r="V2153" s="152">
        <f>IF(B2153="","",IF(AND(E2153&gt;0,F2153&gt;0,H2153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2153=1,TRUE()),R2153&lt;='01_설정'!B5,S2153&lt;='01_설정'!B6,T2153&lt;='01_설정'!B7,U2153&lt;='01_설정'!B8),"Y",""))</f>
        <v/>
      </c>
      <c r="W2153" s="172">
        <f>IF(V2153&lt;&gt;"Y","",MAX(0,(1-R2153/'01_설정'!B5))*'01_설정'!B14+MAX(0,(1-S2153/'01_설정'!B6))*'01_설정'!B15+MAX(0,(1-T2153/'01_설정'!B7))*'01_설정'!B16+MAX(0,(1-U2153/'01_설정'!B8))*'01_설정'!B17+O2153*'01_설정'!B11+Q2153*'01_설정'!B12+P2153*'01_설정'!B13+IF(Z2153="",0,Z2153))</f>
        <v/>
      </c>
      <c r="X2153" s="152">
        <f>IF(W2153="","",1+COUNTIFS($W$4:$W$3003,"&gt;"&amp;W2153)+COUNTIFS($W$4:W2153,W2153)-1)</f>
        <v/>
      </c>
      <c r="Y2153" s="175">
        <f>IF(OR(I2153="",'02_대상물건입력'!B19="",'02_대상물건입력'!B19&lt;=0),"",ABS(I2153-'02_대상물건입력'!B19)/'02_대상물건입력'!B19)</f>
        <v/>
      </c>
      <c r="Z2153" s="172">
        <f>IF(OR(Y2153="",'01_설정'!B31="",'01_설정'!B31&lt;=0,'01_설정'!B32="",'01_설정'!B32&lt;=0),"",MAX(0,(1-Y2153/'01_설정'!B32))*'01_설정'!B31)</f>
        <v/>
      </c>
    </row>
    <row r="2154" ht="17.25" customHeight="1">
      <c r="A2154" s="152">
        <f>IF(INDEX('04A_국토부원자료'!$A:$A,ROW()+1)="","",ROW()-3)</f>
        <v/>
      </c>
      <c r="B2154" s="48">
        <f>IFERROR(INDEX('04A_국토부원자료'!$A:$T,ROW()+1,MATCH("시군구",'04A_국토부원자료'!$A$4:$T$4,0)),"")</f>
        <v/>
      </c>
      <c r="C2154" s="48">
        <f>IF(B2154="","",IFERROR(INDEX('04A_국토부원자료'!$A:$T,ROW()+1,MATCH("번지",'04A_국토부원자료'!$A$4:$T$4,0)),""))</f>
        <v/>
      </c>
      <c r="D2154" s="48">
        <f>IF(B2154="","",IF(Q2154=1,'02_대상물건입력'!$B$8,IFERROR(INDEX('04A_국토부원자료'!$A:$T,ROW()+1,MATCH("단지명",'04A_국토부원자료'!$A$4:$T$4,0)),"")))</f>
        <v/>
      </c>
      <c r="E2154" s="172">
        <f>IFERROR(VALUE(SUBSTITUTE(INDEX('04A_국토부원자료'!$A:$T,ROW()+1,MATCH("전용면적(㎡)",'04A_국토부원자료'!$A$4:$T$4,0)),",","")),"")</f>
        <v/>
      </c>
      <c r="F21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54" s="51">
        <f>IFERROR(VALUE(SUBSTITUTE(INDEX('04A_국토부원자료'!$A:$T,ROW()+1,MATCH("거래금액(만원)",'04A_국토부원자료'!$A$4:$T$4,0)),",","")),"")</f>
        <v/>
      </c>
      <c r="H2154" s="174">
        <f>IF(G2154="","",G2154*10000)</f>
        <v/>
      </c>
      <c r="I2154" s="174">
        <f>IFERROR(IF(AND(H2154&gt;0,E2154&gt;0),H2154/E2154,""),"")</f>
        <v/>
      </c>
      <c r="J2154" s="152">
        <f>IFERROR(VALUE(SUBSTITUTE(INDEX('04A_국토부원자료'!$A:$T,ROW()+1,MATCH("층",'04A_국토부원자료'!$A$4:$T$4,0)),",","")),"")</f>
        <v/>
      </c>
      <c r="K2154" s="152">
        <f>IFERROR(VALUE(SUBSTITUTE(INDEX('04A_국토부원자료'!$A:$T,ROW()+1,MATCH("건축년도",'04A_국토부원자료'!$A$4:$T$4,0)),",","")),"")</f>
        <v/>
      </c>
      <c r="L2154" s="48">
        <f>IFERROR(INDEX('04A_국토부원자료'!$A:$T,ROW()+1,MATCH("도로명",'04A_국토부원자료'!$A$4:$T$4,0)),"")</f>
        <v/>
      </c>
      <c r="M2154" s="48">
        <f>IFERROR(INDEX('04A_국토부원자료'!$A:$T,ROW()+1,MATCH("거래유형",'04A_국토부원자료'!$A$4:$T$4,0)),"")</f>
        <v/>
      </c>
      <c r="N2154" s="152">
        <f>IF(B2154="","",IF('02_대상물건입력'!B5="",1,IF(ISNUMBER(SEARCH('02_대상물건입력'!B5,B2154)),1,0)))</f>
        <v/>
      </c>
      <c r="O2154" s="152">
        <f>IF(B2154="","",IF('02_대상물건입력'!B6="",1,IF(ISNUMBER(SEARCH('02_대상물건입력'!B6,B2154)),1,0)))</f>
        <v/>
      </c>
      <c r="P2154" s="152">
        <f>IF(L2154="","",IF('02_대상물건입력'!B15="",0,IF(ISNUMBER(SEARCH('02_대상물건입력'!B15,L2154)),1,0)))</f>
        <v/>
      </c>
      <c r="Q2154" s="152">
        <f>IF(OR(C2154="",L2154=""),0,IF(AND(TRIM(C2154)=TRIM(RIGHT(SUBSTITUTE(TRIM('02_대상물건입력'!$B$7)," ",REPT(" ",99)),99)),IF('02_대상물건입력'!B15="",TRUE(),ISNUMBER(SEARCH('02_대상물건입력'!B15,L2154)))),1,0))</f>
        <v/>
      </c>
      <c r="R2154" s="175">
        <f>IFERROR(ABS(E2154-'02_대상물건입력'!B11)/'02_대상물건입력'!B11,"")</f>
        <v/>
      </c>
      <c r="S2154" s="152">
        <f>IFERROR(ABS(J2154-'02_대상물건입력'!B10),"")</f>
        <v/>
      </c>
      <c r="T2154" s="152">
        <f>IFERROR(ABS('01_설정'!B4-F2154),"")</f>
        <v/>
      </c>
      <c r="U2154" s="152">
        <f>IFERROR(ABS(K2154-YEAR('02_대상물건입력'!B14)),"")</f>
        <v/>
      </c>
      <c r="V2154" s="152">
        <f>IF(B2154="","",IF(AND(E2154&gt;0,F2154&gt;0,H2154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2154=1,TRUE()),R2154&lt;='01_설정'!B5,S2154&lt;='01_설정'!B6,T2154&lt;='01_설정'!B7,U2154&lt;='01_설정'!B8),"Y",""))</f>
        <v/>
      </c>
      <c r="W2154" s="172">
        <f>IF(V2154&lt;&gt;"Y","",MAX(0,(1-R2154/'01_설정'!B5))*'01_설정'!B14+MAX(0,(1-S2154/'01_설정'!B6))*'01_설정'!B15+MAX(0,(1-T2154/'01_설정'!B7))*'01_설정'!B16+MAX(0,(1-U2154/'01_설정'!B8))*'01_설정'!B17+O2154*'01_설정'!B11+Q2154*'01_설정'!B12+P2154*'01_설정'!B13+IF(Z2154="",0,Z2154))</f>
        <v/>
      </c>
      <c r="X2154" s="152">
        <f>IF(W2154="","",1+COUNTIFS($W$4:$W$3003,"&gt;"&amp;W2154)+COUNTIFS($W$4:W2154,W2154)-1)</f>
        <v/>
      </c>
      <c r="Y2154" s="175">
        <f>IF(OR(I2154="",'02_대상물건입력'!B19="",'02_대상물건입력'!B19&lt;=0),"",ABS(I2154-'02_대상물건입력'!B19)/'02_대상물건입력'!B19)</f>
        <v/>
      </c>
      <c r="Z2154" s="172">
        <f>IF(OR(Y2154="",'01_설정'!B31="",'01_설정'!B31&lt;=0,'01_설정'!B32="",'01_설정'!B32&lt;=0),"",MAX(0,(1-Y2154/'01_설정'!B32))*'01_설정'!B31)</f>
        <v/>
      </c>
    </row>
    <row r="2155" ht="17.25" customHeight="1">
      <c r="A2155" s="152">
        <f>IF(INDEX('04A_국토부원자료'!$A:$A,ROW()+1)="","",ROW()-3)</f>
        <v/>
      </c>
      <c r="B2155" s="48">
        <f>IFERROR(INDEX('04A_국토부원자료'!$A:$T,ROW()+1,MATCH("시군구",'04A_국토부원자료'!$A$4:$T$4,0)),"")</f>
        <v/>
      </c>
      <c r="C2155" s="48">
        <f>IF(B2155="","",IFERROR(INDEX('04A_국토부원자료'!$A:$T,ROW()+1,MATCH("번지",'04A_국토부원자료'!$A$4:$T$4,0)),""))</f>
        <v/>
      </c>
      <c r="D2155" s="48">
        <f>IF(B2155="","",IF(Q2155=1,'02_대상물건입력'!$B$8,IFERROR(INDEX('04A_국토부원자료'!$A:$T,ROW()+1,MATCH("단지명",'04A_국토부원자료'!$A$4:$T$4,0)),"")))</f>
        <v/>
      </c>
      <c r="E2155" s="172">
        <f>IFERROR(VALUE(SUBSTITUTE(INDEX('04A_국토부원자료'!$A:$T,ROW()+1,MATCH("전용면적(㎡)",'04A_국토부원자료'!$A$4:$T$4,0)),",","")),"")</f>
        <v/>
      </c>
      <c r="F21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55" s="51">
        <f>IFERROR(VALUE(SUBSTITUTE(INDEX('04A_국토부원자료'!$A:$T,ROW()+1,MATCH("거래금액(만원)",'04A_국토부원자료'!$A$4:$T$4,0)),",","")),"")</f>
        <v/>
      </c>
      <c r="H2155" s="174">
        <f>IF(G2155="","",G2155*10000)</f>
        <v/>
      </c>
      <c r="I2155" s="174">
        <f>IFERROR(IF(AND(H2155&gt;0,E2155&gt;0),H2155/E2155,""),"")</f>
        <v/>
      </c>
      <c r="J2155" s="152">
        <f>IFERROR(VALUE(SUBSTITUTE(INDEX('04A_국토부원자료'!$A:$T,ROW()+1,MATCH("층",'04A_국토부원자료'!$A$4:$T$4,0)),",","")),"")</f>
        <v/>
      </c>
      <c r="K2155" s="152">
        <f>IFERROR(VALUE(SUBSTITUTE(INDEX('04A_국토부원자료'!$A:$T,ROW()+1,MATCH("건축년도",'04A_국토부원자료'!$A$4:$T$4,0)),",","")),"")</f>
        <v/>
      </c>
      <c r="L2155" s="48">
        <f>IFERROR(INDEX('04A_국토부원자료'!$A:$T,ROW()+1,MATCH("도로명",'04A_국토부원자료'!$A$4:$T$4,0)),"")</f>
        <v/>
      </c>
      <c r="M2155" s="48">
        <f>IFERROR(INDEX('04A_국토부원자료'!$A:$T,ROW()+1,MATCH("거래유형",'04A_국토부원자료'!$A$4:$T$4,0)),"")</f>
        <v/>
      </c>
      <c r="N2155" s="152">
        <f>IF(B2155="","",IF('02_대상물건입력'!B5="",1,IF(ISNUMBER(SEARCH('02_대상물건입력'!B5,B2155)),1,0)))</f>
        <v/>
      </c>
      <c r="O2155" s="152">
        <f>IF(B2155="","",IF('02_대상물건입력'!B6="",1,IF(ISNUMBER(SEARCH('02_대상물건입력'!B6,B2155)),1,0)))</f>
        <v/>
      </c>
      <c r="P2155" s="152">
        <f>IF(L2155="","",IF('02_대상물건입력'!B15="",0,IF(ISNUMBER(SEARCH('02_대상물건입력'!B15,L2155)),1,0)))</f>
        <v/>
      </c>
      <c r="Q2155" s="152">
        <f>IF(OR(C2155="",L2155=""),0,IF(AND(TRIM(C2155)=TRIM(RIGHT(SUBSTITUTE(TRIM('02_대상물건입력'!$B$7)," ",REPT(" ",99)),99)),IF('02_대상물건입력'!B15="",TRUE(),ISNUMBER(SEARCH('02_대상물건입력'!B15,L2155)))),1,0))</f>
        <v/>
      </c>
      <c r="R2155" s="175">
        <f>IFERROR(ABS(E2155-'02_대상물건입력'!B11)/'02_대상물건입력'!B11,"")</f>
        <v/>
      </c>
      <c r="S2155" s="152">
        <f>IFERROR(ABS(J2155-'02_대상물건입력'!B10),"")</f>
        <v/>
      </c>
      <c r="T2155" s="152">
        <f>IFERROR(ABS('01_설정'!B4-F2155),"")</f>
        <v/>
      </c>
      <c r="U2155" s="152">
        <f>IFERROR(ABS(K2155-YEAR('02_대상물건입력'!B14)),"")</f>
        <v/>
      </c>
      <c r="V2155" s="152">
        <f>IF(B2155="","",IF(AND(E2155&gt;0,F2155&gt;0,H2155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2155=1,TRUE()),R2155&lt;='01_설정'!B5,S2155&lt;='01_설정'!B6,T2155&lt;='01_설정'!B7,U2155&lt;='01_설정'!B8),"Y",""))</f>
        <v/>
      </c>
      <c r="W2155" s="172">
        <f>IF(V2155&lt;&gt;"Y","",MAX(0,(1-R2155/'01_설정'!B5))*'01_설정'!B14+MAX(0,(1-S2155/'01_설정'!B6))*'01_설정'!B15+MAX(0,(1-T2155/'01_설정'!B7))*'01_설정'!B16+MAX(0,(1-U2155/'01_설정'!B8))*'01_설정'!B17+O2155*'01_설정'!B11+Q2155*'01_설정'!B12+P2155*'01_설정'!B13+IF(Z2155="",0,Z2155))</f>
        <v/>
      </c>
      <c r="X2155" s="152">
        <f>IF(W2155="","",1+COUNTIFS($W$4:$W$3003,"&gt;"&amp;W2155)+COUNTIFS($W$4:W2155,W2155)-1)</f>
        <v/>
      </c>
      <c r="Y2155" s="175">
        <f>IF(OR(I2155="",'02_대상물건입력'!B19="",'02_대상물건입력'!B19&lt;=0),"",ABS(I2155-'02_대상물건입력'!B19)/'02_대상물건입력'!B19)</f>
        <v/>
      </c>
      <c r="Z2155" s="172">
        <f>IF(OR(Y2155="",'01_설정'!B31="",'01_설정'!B31&lt;=0,'01_설정'!B32="",'01_설정'!B32&lt;=0),"",MAX(0,(1-Y2155/'01_설정'!B32))*'01_설정'!B31)</f>
        <v/>
      </c>
    </row>
    <row r="2156" ht="17.25" customHeight="1">
      <c r="A2156" s="152">
        <f>IF(INDEX('04A_국토부원자료'!$A:$A,ROW()+1)="","",ROW()-3)</f>
        <v/>
      </c>
      <c r="B2156" s="48">
        <f>IFERROR(INDEX('04A_국토부원자료'!$A:$T,ROW()+1,MATCH("시군구",'04A_국토부원자료'!$A$4:$T$4,0)),"")</f>
        <v/>
      </c>
      <c r="C2156" s="48">
        <f>IF(B2156="","",IFERROR(INDEX('04A_국토부원자료'!$A:$T,ROW()+1,MATCH("번지",'04A_국토부원자료'!$A$4:$T$4,0)),""))</f>
        <v/>
      </c>
      <c r="D2156" s="48">
        <f>IF(B2156="","",IF(Q2156=1,'02_대상물건입력'!$B$8,IFERROR(INDEX('04A_국토부원자료'!$A:$T,ROW()+1,MATCH("단지명",'04A_국토부원자료'!$A$4:$T$4,0)),"")))</f>
        <v/>
      </c>
      <c r="E2156" s="172">
        <f>IFERROR(VALUE(SUBSTITUTE(INDEX('04A_국토부원자료'!$A:$T,ROW()+1,MATCH("전용면적(㎡)",'04A_국토부원자료'!$A$4:$T$4,0)),",","")),"")</f>
        <v/>
      </c>
      <c r="F21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56" s="51">
        <f>IFERROR(VALUE(SUBSTITUTE(INDEX('04A_국토부원자료'!$A:$T,ROW()+1,MATCH("거래금액(만원)",'04A_국토부원자료'!$A$4:$T$4,0)),",","")),"")</f>
        <v/>
      </c>
      <c r="H2156" s="174">
        <f>IF(G2156="","",G2156*10000)</f>
        <v/>
      </c>
      <c r="I2156" s="174">
        <f>IFERROR(IF(AND(H2156&gt;0,E2156&gt;0),H2156/E2156,""),"")</f>
        <v/>
      </c>
      <c r="J2156" s="152">
        <f>IFERROR(VALUE(SUBSTITUTE(INDEX('04A_국토부원자료'!$A:$T,ROW()+1,MATCH("층",'04A_국토부원자료'!$A$4:$T$4,0)),",","")),"")</f>
        <v/>
      </c>
      <c r="K2156" s="152">
        <f>IFERROR(VALUE(SUBSTITUTE(INDEX('04A_국토부원자료'!$A:$T,ROW()+1,MATCH("건축년도",'04A_국토부원자료'!$A$4:$T$4,0)),",","")),"")</f>
        <v/>
      </c>
      <c r="L2156" s="48">
        <f>IFERROR(INDEX('04A_국토부원자료'!$A:$T,ROW()+1,MATCH("도로명",'04A_국토부원자료'!$A$4:$T$4,0)),"")</f>
        <v/>
      </c>
      <c r="M2156" s="48">
        <f>IFERROR(INDEX('04A_국토부원자료'!$A:$T,ROW()+1,MATCH("거래유형",'04A_국토부원자료'!$A$4:$T$4,0)),"")</f>
        <v/>
      </c>
      <c r="N2156" s="152">
        <f>IF(B2156="","",IF('02_대상물건입력'!B5="",1,IF(ISNUMBER(SEARCH('02_대상물건입력'!B5,B2156)),1,0)))</f>
        <v/>
      </c>
      <c r="O2156" s="152">
        <f>IF(B2156="","",IF('02_대상물건입력'!B6="",1,IF(ISNUMBER(SEARCH('02_대상물건입력'!B6,B2156)),1,0)))</f>
        <v/>
      </c>
      <c r="P2156" s="152">
        <f>IF(L2156="","",IF('02_대상물건입력'!B15="",0,IF(ISNUMBER(SEARCH('02_대상물건입력'!B15,L2156)),1,0)))</f>
        <v/>
      </c>
      <c r="Q2156" s="152">
        <f>IF(OR(C2156="",L2156=""),0,IF(AND(TRIM(C2156)=TRIM(RIGHT(SUBSTITUTE(TRIM('02_대상물건입력'!$B$7)," ",REPT(" ",99)),99)),IF('02_대상물건입력'!B15="",TRUE(),ISNUMBER(SEARCH('02_대상물건입력'!B15,L2156)))),1,0))</f>
        <v/>
      </c>
      <c r="R2156" s="175">
        <f>IFERROR(ABS(E2156-'02_대상물건입력'!B11)/'02_대상물건입력'!B11,"")</f>
        <v/>
      </c>
      <c r="S2156" s="152">
        <f>IFERROR(ABS(J2156-'02_대상물건입력'!B10),"")</f>
        <v/>
      </c>
      <c r="T2156" s="152">
        <f>IFERROR(ABS('01_설정'!B4-F2156),"")</f>
        <v/>
      </c>
      <c r="U2156" s="152">
        <f>IFERROR(ABS(K2156-YEAR('02_대상물건입력'!B14)),"")</f>
        <v/>
      </c>
      <c r="V2156" s="152">
        <f>IF(B2156="","",IF(AND(E2156&gt;0,F2156&gt;0,H2156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2156=1,TRUE()),R2156&lt;='01_설정'!B5,S2156&lt;='01_설정'!B6,T2156&lt;='01_설정'!B7,U2156&lt;='01_설정'!B8),"Y",""))</f>
        <v/>
      </c>
      <c r="W2156" s="172">
        <f>IF(V2156&lt;&gt;"Y","",MAX(0,(1-R2156/'01_설정'!B5))*'01_설정'!B14+MAX(0,(1-S2156/'01_설정'!B6))*'01_설정'!B15+MAX(0,(1-T2156/'01_설정'!B7))*'01_설정'!B16+MAX(0,(1-U2156/'01_설정'!B8))*'01_설정'!B17+O2156*'01_설정'!B11+Q2156*'01_설정'!B12+P2156*'01_설정'!B13+IF(Z2156="",0,Z2156))</f>
        <v/>
      </c>
      <c r="X2156" s="152">
        <f>IF(W2156="","",1+COUNTIFS($W$4:$W$3003,"&gt;"&amp;W2156)+COUNTIFS($W$4:W2156,W2156)-1)</f>
        <v/>
      </c>
      <c r="Y2156" s="175">
        <f>IF(OR(I2156="",'02_대상물건입력'!B19="",'02_대상물건입력'!B19&lt;=0),"",ABS(I2156-'02_대상물건입력'!B19)/'02_대상물건입력'!B19)</f>
        <v/>
      </c>
      <c r="Z2156" s="172">
        <f>IF(OR(Y2156="",'01_설정'!B31="",'01_설정'!B31&lt;=0,'01_설정'!B32="",'01_설정'!B32&lt;=0),"",MAX(0,(1-Y2156/'01_설정'!B32))*'01_설정'!B31)</f>
        <v/>
      </c>
    </row>
    <row r="2157" ht="17.25" customHeight="1">
      <c r="A2157" s="152">
        <f>IF(INDEX('04A_국토부원자료'!$A:$A,ROW()+1)="","",ROW()-3)</f>
        <v/>
      </c>
      <c r="B2157" s="48">
        <f>IFERROR(INDEX('04A_국토부원자료'!$A:$T,ROW()+1,MATCH("시군구",'04A_국토부원자료'!$A$4:$T$4,0)),"")</f>
        <v/>
      </c>
      <c r="C2157" s="48">
        <f>IF(B2157="","",IFERROR(INDEX('04A_국토부원자료'!$A:$T,ROW()+1,MATCH("번지",'04A_국토부원자료'!$A$4:$T$4,0)),""))</f>
        <v/>
      </c>
      <c r="D2157" s="48">
        <f>IF(B2157="","",IF(Q2157=1,'02_대상물건입력'!$B$8,IFERROR(INDEX('04A_국토부원자료'!$A:$T,ROW()+1,MATCH("단지명",'04A_국토부원자료'!$A$4:$T$4,0)),"")))</f>
        <v/>
      </c>
      <c r="E2157" s="172">
        <f>IFERROR(VALUE(SUBSTITUTE(INDEX('04A_국토부원자료'!$A:$T,ROW()+1,MATCH("전용면적(㎡)",'04A_국토부원자료'!$A$4:$T$4,0)),",","")),"")</f>
        <v/>
      </c>
      <c r="F21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57" s="51">
        <f>IFERROR(VALUE(SUBSTITUTE(INDEX('04A_국토부원자료'!$A:$T,ROW()+1,MATCH("거래금액(만원)",'04A_국토부원자료'!$A$4:$T$4,0)),",","")),"")</f>
        <v/>
      </c>
      <c r="H2157" s="174">
        <f>IF(G2157="","",G2157*10000)</f>
        <v/>
      </c>
      <c r="I2157" s="174">
        <f>IFERROR(IF(AND(H2157&gt;0,E2157&gt;0),H2157/E2157,""),"")</f>
        <v/>
      </c>
      <c r="J2157" s="152">
        <f>IFERROR(VALUE(SUBSTITUTE(INDEX('04A_국토부원자료'!$A:$T,ROW()+1,MATCH("층",'04A_국토부원자료'!$A$4:$T$4,0)),",","")),"")</f>
        <v/>
      </c>
      <c r="K2157" s="152">
        <f>IFERROR(VALUE(SUBSTITUTE(INDEX('04A_국토부원자료'!$A:$T,ROW()+1,MATCH("건축년도",'04A_국토부원자료'!$A$4:$T$4,0)),",","")),"")</f>
        <v/>
      </c>
      <c r="L2157" s="48">
        <f>IFERROR(INDEX('04A_국토부원자료'!$A:$T,ROW()+1,MATCH("도로명",'04A_국토부원자료'!$A$4:$T$4,0)),"")</f>
        <v/>
      </c>
      <c r="M2157" s="48">
        <f>IFERROR(INDEX('04A_국토부원자료'!$A:$T,ROW()+1,MATCH("거래유형",'04A_국토부원자료'!$A$4:$T$4,0)),"")</f>
        <v/>
      </c>
      <c r="N2157" s="152">
        <f>IF(B2157="","",IF('02_대상물건입력'!B5="",1,IF(ISNUMBER(SEARCH('02_대상물건입력'!B5,B2157)),1,0)))</f>
        <v/>
      </c>
      <c r="O2157" s="152">
        <f>IF(B2157="","",IF('02_대상물건입력'!B6="",1,IF(ISNUMBER(SEARCH('02_대상물건입력'!B6,B2157)),1,0)))</f>
        <v/>
      </c>
      <c r="P2157" s="152">
        <f>IF(L2157="","",IF('02_대상물건입력'!B15="",0,IF(ISNUMBER(SEARCH('02_대상물건입력'!B15,L2157)),1,0)))</f>
        <v/>
      </c>
      <c r="Q2157" s="152">
        <f>IF(OR(C2157="",L2157=""),0,IF(AND(TRIM(C2157)=TRIM(RIGHT(SUBSTITUTE(TRIM('02_대상물건입력'!$B$7)," ",REPT(" ",99)),99)),IF('02_대상물건입력'!B15="",TRUE(),ISNUMBER(SEARCH('02_대상물건입력'!B15,L2157)))),1,0))</f>
        <v/>
      </c>
      <c r="R2157" s="175">
        <f>IFERROR(ABS(E2157-'02_대상물건입력'!B11)/'02_대상물건입력'!B11,"")</f>
        <v/>
      </c>
      <c r="S2157" s="152">
        <f>IFERROR(ABS(J2157-'02_대상물건입력'!B10),"")</f>
        <v/>
      </c>
      <c r="T2157" s="152">
        <f>IFERROR(ABS('01_설정'!B4-F2157),"")</f>
        <v/>
      </c>
      <c r="U2157" s="152">
        <f>IFERROR(ABS(K2157-YEAR('02_대상물건입력'!B14)),"")</f>
        <v/>
      </c>
      <c r="V2157" s="152">
        <f>IF(B2157="","",IF(AND(E2157&gt;0,F2157&gt;0,H2157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2157=1,TRUE()),R2157&lt;='01_설정'!B5,S2157&lt;='01_설정'!B6,T2157&lt;='01_설정'!B7,U2157&lt;='01_설정'!B8),"Y",""))</f>
        <v/>
      </c>
      <c r="W2157" s="172">
        <f>IF(V2157&lt;&gt;"Y","",MAX(0,(1-R2157/'01_설정'!B5))*'01_설정'!B14+MAX(0,(1-S2157/'01_설정'!B6))*'01_설정'!B15+MAX(0,(1-T2157/'01_설정'!B7))*'01_설정'!B16+MAX(0,(1-U2157/'01_설정'!B8))*'01_설정'!B17+O2157*'01_설정'!B11+Q2157*'01_설정'!B12+P2157*'01_설정'!B13+IF(Z2157="",0,Z2157))</f>
        <v/>
      </c>
      <c r="X2157" s="152">
        <f>IF(W2157="","",1+COUNTIFS($W$4:$W$3003,"&gt;"&amp;W2157)+COUNTIFS($W$4:W2157,W2157)-1)</f>
        <v/>
      </c>
      <c r="Y2157" s="175">
        <f>IF(OR(I2157="",'02_대상물건입력'!B19="",'02_대상물건입력'!B19&lt;=0),"",ABS(I2157-'02_대상물건입력'!B19)/'02_대상물건입력'!B19)</f>
        <v/>
      </c>
      <c r="Z2157" s="172">
        <f>IF(OR(Y2157="",'01_설정'!B31="",'01_설정'!B31&lt;=0,'01_설정'!B32="",'01_설정'!B32&lt;=0),"",MAX(0,(1-Y2157/'01_설정'!B32))*'01_설정'!B31)</f>
        <v/>
      </c>
    </row>
    <row r="2158" ht="17.25" customHeight="1">
      <c r="A2158" s="152">
        <f>IF(INDEX('04A_국토부원자료'!$A:$A,ROW()+1)="","",ROW()-3)</f>
        <v/>
      </c>
      <c r="B2158" s="48">
        <f>IFERROR(INDEX('04A_국토부원자료'!$A:$T,ROW()+1,MATCH("시군구",'04A_국토부원자료'!$A$4:$T$4,0)),"")</f>
        <v/>
      </c>
      <c r="C2158" s="48">
        <f>IF(B2158="","",IFERROR(INDEX('04A_국토부원자료'!$A:$T,ROW()+1,MATCH("번지",'04A_국토부원자료'!$A$4:$T$4,0)),""))</f>
        <v/>
      </c>
      <c r="D2158" s="48">
        <f>IF(B2158="","",IF(Q2158=1,'02_대상물건입력'!$B$8,IFERROR(INDEX('04A_국토부원자료'!$A:$T,ROW()+1,MATCH("단지명",'04A_국토부원자료'!$A$4:$T$4,0)),"")))</f>
        <v/>
      </c>
      <c r="E2158" s="172">
        <f>IFERROR(VALUE(SUBSTITUTE(INDEX('04A_국토부원자료'!$A:$T,ROW()+1,MATCH("전용면적(㎡)",'04A_국토부원자료'!$A$4:$T$4,0)),",","")),"")</f>
        <v/>
      </c>
      <c r="F21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58" s="51">
        <f>IFERROR(VALUE(SUBSTITUTE(INDEX('04A_국토부원자료'!$A:$T,ROW()+1,MATCH("거래금액(만원)",'04A_국토부원자료'!$A$4:$T$4,0)),",","")),"")</f>
        <v/>
      </c>
      <c r="H2158" s="174">
        <f>IF(G2158="","",G2158*10000)</f>
        <v/>
      </c>
      <c r="I2158" s="174">
        <f>IFERROR(IF(AND(H2158&gt;0,E2158&gt;0),H2158/E2158,""),"")</f>
        <v/>
      </c>
      <c r="J2158" s="152">
        <f>IFERROR(VALUE(SUBSTITUTE(INDEX('04A_국토부원자료'!$A:$T,ROW()+1,MATCH("층",'04A_국토부원자료'!$A$4:$T$4,0)),",","")),"")</f>
        <v/>
      </c>
      <c r="K2158" s="152">
        <f>IFERROR(VALUE(SUBSTITUTE(INDEX('04A_국토부원자료'!$A:$T,ROW()+1,MATCH("건축년도",'04A_국토부원자료'!$A$4:$T$4,0)),",","")),"")</f>
        <v/>
      </c>
      <c r="L2158" s="48">
        <f>IFERROR(INDEX('04A_국토부원자료'!$A:$T,ROW()+1,MATCH("도로명",'04A_국토부원자료'!$A$4:$T$4,0)),"")</f>
        <v/>
      </c>
      <c r="M2158" s="48">
        <f>IFERROR(INDEX('04A_국토부원자료'!$A:$T,ROW()+1,MATCH("거래유형",'04A_국토부원자료'!$A$4:$T$4,0)),"")</f>
        <v/>
      </c>
      <c r="N2158" s="152">
        <f>IF(B2158="","",IF('02_대상물건입력'!B5="",1,IF(ISNUMBER(SEARCH('02_대상물건입력'!B5,B2158)),1,0)))</f>
        <v/>
      </c>
      <c r="O2158" s="152">
        <f>IF(B2158="","",IF('02_대상물건입력'!B6="",1,IF(ISNUMBER(SEARCH('02_대상물건입력'!B6,B2158)),1,0)))</f>
        <v/>
      </c>
      <c r="P2158" s="152">
        <f>IF(L2158="","",IF('02_대상물건입력'!B15="",0,IF(ISNUMBER(SEARCH('02_대상물건입력'!B15,L2158)),1,0)))</f>
        <v/>
      </c>
      <c r="Q2158" s="152">
        <f>IF(OR(C2158="",L2158=""),0,IF(AND(TRIM(C2158)=TRIM(RIGHT(SUBSTITUTE(TRIM('02_대상물건입력'!$B$7)," ",REPT(" ",99)),99)),IF('02_대상물건입력'!B15="",TRUE(),ISNUMBER(SEARCH('02_대상물건입력'!B15,L2158)))),1,0))</f>
        <v/>
      </c>
      <c r="R2158" s="175">
        <f>IFERROR(ABS(E2158-'02_대상물건입력'!B11)/'02_대상물건입력'!B11,"")</f>
        <v/>
      </c>
      <c r="S2158" s="152">
        <f>IFERROR(ABS(J2158-'02_대상물건입력'!B10),"")</f>
        <v/>
      </c>
      <c r="T2158" s="152">
        <f>IFERROR(ABS('01_설정'!B4-F2158),"")</f>
        <v/>
      </c>
      <c r="U2158" s="152">
        <f>IFERROR(ABS(K2158-YEAR('02_대상물건입력'!B14)),"")</f>
        <v/>
      </c>
      <c r="V2158" s="152">
        <f>IF(B2158="","",IF(AND(E2158&gt;0,F2158&gt;0,H2158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2158=1,TRUE()),R2158&lt;='01_설정'!B5,S2158&lt;='01_설정'!B6,T2158&lt;='01_설정'!B7,U2158&lt;='01_설정'!B8),"Y",""))</f>
        <v/>
      </c>
      <c r="W2158" s="172">
        <f>IF(V2158&lt;&gt;"Y","",MAX(0,(1-R2158/'01_설정'!B5))*'01_설정'!B14+MAX(0,(1-S2158/'01_설정'!B6))*'01_설정'!B15+MAX(0,(1-T2158/'01_설정'!B7))*'01_설정'!B16+MAX(0,(1-U2158/'01_설정'!B8))*'01_설정'!B17+O2158*'01_설정'!B11+Q2158*'01_설정'!B12+P2158*'01_설정'!B13+IF(Z2158="",0,Z2158))</f>
        <v/>
      </c>
      <c r="X2158" s="152">
        <f>IF(W2158="","",1+COUNTIFS($W$4:$W$3003,"&gt;"&amp;W2158)+COUNTIFS($W$4:W2158,W2158)-1)</f>
        <v/>
      </c>
      <c r="Y2158" s="175">
        <f>IF(OR(I2158="",'02_대상물건입력'!B19="",'02_대상물건입력'!B19&lt;=0),"",ABS(I2158-'02_대상물건입력'!B19)/'02_대상물건입력'!B19)</f>
        <v/>
      </c>
      <c r="Z2158" s="172">
        <f>IF(OR(Y2158="",'01_설정'!B31="",'01_설정'!B31&lt;=0,'01_설정'!B32="",'01_설정'!B32&lt;=0),"",MAX(0,(1-Y2158/'01_설정'!B32))*'01_설정'!B31)</f>
        <v/>
      </c>
    </row>
    <row r="2159" ht="17.25" customHeight="1">
      <c r="A2159" s="152">
        <f>IF(INDEX('04A_국토부원자료'!$A:$A,ROW()+1)="","",ROW()-3)</f>
        <v/>
      </c>
      <c r="B2159" s="48">
        <f>IFERROR(INDEX('04A_국토부원자료'!$A:$T,ROW()+1,MATCH("시군구",'04A_국토부원자료'!$A$4:$T$4,0)),"")</f>
        <v/>
      </c>
      <c r="C2159" s="48">
        <f>IF(B2159="","",IFERROR(INDEX('04A_국토부원자료'!$A:$T,ROW()+1,MATCH("번지",'04A_국토부원자료'!$A$4:$T$4,0)),""))</f>
        <v/>
      </c>
      <c r="D2159" s="48">
        <f>IF(B2159="","",IF(Q2159=1,'02_대상물건입력'!$B$8,IFERROR(INDEX('04A_국토부원자료'!$A:$T,ROW()+1,MATCH("단지명",'04A_국토부원자료'!$A$4:$T$4,0)),"")))</f>
        <v/>
      </c>
      <c r="E2159" s="172">
        <f>IFERROR(VALUE(SUBSTITUTE(INDEX('04A_국토부원자료'!$A:$T,ROW()+1,MATCH("전용면적(㎡)",'04A_국토부원자료'!$A$4:$T$4,0)),",","")),"")</f>
        <v/>
      </c>
      <c r="F21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59" s="51">
        <f>IFERROR(VALUE(SUBSTITUTE(INDEX('04A_국토부원자료'!$A:$T,ROW()+1,MATCH("거래금액(만원)",'04A_국토부원자료'!$A$4:$T$4,0)),",","")),"")</f>
        <v/>
      </c>
      <c r="H2159" s="174">
        <f>IF(G2159="","",G2159*10000)</f>
        <v/>
      </c>
      <c r="I2159" s="174">
        <f>IFERROR(IF(AND(H2159&gt;0,E2159&gt;0),H2159/E2159,""),"")</f>
        <v/>
      </c>
      <c r="J2159" s="152">
        <f>IFERROR(VALUE(SUBSTITUTE(INDEX('04A_국토부원자료'!$A:$T,ROW()+1,MATCH("층",'04A_국토부원자료'!$A$4:$T$4,0)),",","")),"")</f>
        <v/>
      </c>
      <c r="K2159" s="152">
        <f>IFERROR(VALUE(SUBSTITUTE(INDEX('04A_국토부원자료'!$A:$T,ROW()+1,MATCH("건축년도",'04A_국토부원자료'!$A$4:$T$4,0)),",","")),"")</f>
        <v/>
      </c>
      <c r="L2159" s="48">
        <f>IFERROR(INDEX('04A_국토부원자료'!$A:$T,ROW()+1,MATCH("도로명",'04A_국토부원자료'!$A$4:$T$4,0)),"")</f>
        <v/>
      </c>
      <c r="M2159" s="48">
        <f>IFERROR(INDEX('04A_국토부원자료'!$A:$T,ROW()+1,MATCH("거래유형",'04A_국토부원자료'!$A$4:$T$4,0)),"")</f>
        <v/>
      </c>
      <c r="N2159" s="152">
        <f>IF(B2159="","",IF('02_대상물건입력'!B5="",1,IF(ISNUMBER(SEARCH('02_대상물건입력'!B5,B2159)),1,0)))</f>
        <v/>
      </c>
      <c r="O2159" s="152">
        <f>IF(B2159="","",IF('02_대상물건입력'!B6="",1,IF(ISNUMBER(SEARCH('02_대상물건입력'!B6,B2159)),1,0)))</f>
        <v/>
      </c>
      <c r="P2159" s="152">
        <f>IF(L2159="","",IF('02_대상물건입력'!B15="",0,IF(ISNUMBER(SEARCH('02_대상물건입력'!B15,L2159)),1,0)))</f>
        <v/>
      </c>
      <c r="Q2159" s="152">
        <f>IF(OR(C2159="",L2159=""),0,IF(AND(TRIM(C2159)=TRIM(RIGHT(SUBSTITUTE(TRIM('02_대상물건입력'!$B$7)," ",REPT(" ",99)),99)),IF('02_대상물건입력'!B15="",TRUE(),ISNUMBER(SEARCH('02_대상물건입력'!B15,L2159)))),1,0))</f>
        <v/>
      </c>
      <c r="R2159" s="175">
        <f>IFERROR(ABS(E2159-'02_대상물건입력'!B11)/'02_대상물건입력'!B11,"")</f>
        <v/>
      </c>
      <c r="S2159" s="152">
        <f>IFERROR(ABS(J2159-'02_대상물건입력'!B10),"")</f>
        <v/>
      </c>
      <c r="T2159" s="152">
        <f>IFERROR(ABS('01_설정'!B4-F2159),"")</f>
        <v/>
      </c>
      <c r="U2159" s="152">
        <f>IFERROR(ABS(K2159-YEAR('02_대상물건입력'!B14)),"")</f>
        <v/>
      </c>
      <c r="V2159" s="152">
        <f>IF(B2159="","",IF(AND(E2159&gt;0,F2159&gt;0,H2159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2159=1,TRUE()),R2159&lt;='01_설정'!B5,S2159&lt;='01_설정'!B6,T2159&lt;='01_설정'!B7,U2159&lt;='01_설정'!B8),"Y",""))</f>
        <v/>
      </c>
      <c r="W2159" s="172">
        <f>IF(V2159&lt;&gt;"Y","",MAX(0,(1-R2159/'01_설정'!B5))*'01_설정'!B14+MAX(0,(1-S2159/'01_설정'!B6))*'01_설정'!B15+MAX(0,(1-T2159/'01_설정'!B7))*'01_설정'!B16+MAX(0,(1-U2159/'01_설정'!B8))*'01_설정'!B17+O2159*'01_설정'!B11+Q2159*'01_설정'!B12+P2159*'01_설정'!B13+IF(Z2159="",0,Z2159))</f>
        <v/>
      </c>
      <c r="X2159" s="152">
        <f>IF(W2159="","",1+COUNTIFS($W$4:$W$3003,"&gt;"&amp;W2159)+COUNTIFS($W$4:W2159,W2159)-1)</f>
        <v/>
      </c>
      <c r="Y2159" s="175">
        <f>IF(OR(I2159="",'02_대상물건입력'!B19="",'02_대상물건입력'!B19&lt;=0),"",ABS(I2159-'02_대상물건입력'!B19)/'02_대상물건입력'!B19)</f>
        <v/>
      </c>
      <c r="Z2159" s="172">
        <f>IF(OR(Y2159="",'01_설정'!B31="",'01_설정'!B31&lt;=0,'01_설정'!B32="",'01_설정'!B32&lt;=0),"",MAX(0,(1-Y2159/'01_설정'!B32))*'01_설정'!B31)</f>
        <v/>
      </c>
    </row>
    <row r="2160" ht="17.25" customHeight="1">
      <c r="A2160" s="152">
        <f>IF(INDEX('04A_국토부원자료'!$A:$A,ROW()+1)="","",ROW()-3)</f>
        <v/>
      </c>
      <c r="B2160" s="48">
        <f>IFERROR(INDEX('04A_국토부원자료'!$A:$T,ROW()+1,MATCH("시군구",'04A_국토부원자료'!$A$4:$T$4,0)),"")</f>
        <v/>
      </c>
      <c r="C2160" s="48">
        <f>IF(B2160="","",IFERROR(INDEX('04A_국토부원자료'!$A:$T,ROW()+1,MATCH("번지",'04A_국토부원자료'!$A$4:$T$4,0)),""))</f>
        <v/>
      </c>
      <c r="D2160" s="48">
        <f>IF(B2160="","",IF(Q2160=1,'02_대상물건입력'!$B$8,IFERROR(INDEX('04A_국토부원자료'!$A:$T,ROW()+1,MATCH("단지명",'04A_국토부원자료'!$A$4:$T$4,0)),"")))</f>
        <v/>
      </c>
      <c r="E2160" s="172">
        <f>IFERROR(VALUE(SUBSTITUTE(INDEX('04A_국토부원자료'!$A:$T,ROW()+1,MATCH("전용면적(㎡)",'04A_국토부원자료'!$A$4:$T$4,0)),",","")),"")</f>
        <v/>
      </c>
      <c r="F21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60" s="51">
        <f>IFERROR(VALUE(SUBSTITUTE(INDEX('04A_국토부원자료'!$A:$T,ROW()+1,MATCH("거래금액(만원)",'04A_국토부원자료'!$A$4:$T$4,0)),",","")),"")</f>
        <v/>
      </c>
      <c r="H2160" s="174">
        <f>IF(G2160="","",G2160*10000)</f>
        <v/>
      </c>
      <c r="I2160" s="174">
        <f>IFERROR(IF(AND(H2160&gt;0,E2160&gt;0),H2160/E2160,""),"")</f>
        <v/>
      </c>
      <c r="J2160" s="152">
        <f>IFERROR(VALUE(SUBSTITUTE(INDEX('04A_국토부원자료'!$A:$T,ROW()+1,MATCH("층",'04A_국토부원자료'!$A$4:$T$4,0)),",","")),"")</f>
        <v/>
      </c>
      <c r="K2160" s="152">
        <f>IFERROR(VALUE(SUBSTITUTE(INDEX('04A_국토부원자료'!$A:$T,ROW()+1,MATCH("건축년도",'04A_국토부원자료'!$A$4:$T$4,0)),",","")),"")</f>
        <v/>
      </c>
      <c r="L2160" s="48">
        <f>IFERROR(INDEX('04A_국토부원자료'!$A:$T,ROW()+1,MATCH("도로명",'04A_국토부원자료'!$A$4:$T$4,0)),"")</f>
        <v/>
      </c>
      <c r="M2160" s="48">
        <f>IFERROR(INDEX('04A_국토부원자료'!$A:$T,ROW()+1,MATCH("거래유형",'04A_국토부원자료'!$A$4:$T$4,0)),"")</f>
        <v/>
      </c>
      <c r="N2160" s="152">
        <f>IF(B2160="","",IF('02_대상물건입력'!B5="",1,IF(ISNUMBER(SEARCH('02_대상물건입력'!B5,B2160)),1,0)))</f>
        <v/>
      </c>
      <c r="O2160" s="152">
        <f>IF(B2160="","",IF('02_대상물건입력'!B6="",1,IF(ISNUMBER(SEARCH('02_대상물건입력'!B6,B2160)),1,0)))</f>
        <v/>
      </c>
      <c r="P2160" s="152">
        <f>IF(L2160="","",IF('02_대상물건입력'!B15="",0,IF(ISNUMBER(SEARCH('02_대상물건입력'!B15,L2160)),1,0)))</f>
        <v/>
      </c>
      <c r="Q2160" s="152">
        <f>IF(OR(C2160="",L2160=""),0,IF(AND(TRIM(C2160)=TRIM(RIGHT(SUBSTITUTE(TRIM('02_대상물건입력'!$B$7)," ",REPT(" ",99)),99)),IF('02_대상물건입력'!B15="",TRUE(),ISNUMBER(SEARCH('02_대상물건입력'!B15,L2160)))),1,0))</f>
        <v/>
      </c>
      <c r="R2160" s="175">
        <f>IFERROR(ABS(E2160-'02_대상물건입력'!B11)/'02_대상물건입력'!B11,"")</f>
        <v/>
      </c>
      <c r="S2160" s="152">
        <f>IFERROR(ABS(J2160-'02_대상물건입력'!B10),"")</f>
        <v/>
      </c>
      <c r="T2160" s="152">
        <f>IFERROR(ABS('01_설정'!B4-F2160),"")</f>
        <v/>
      </c>
      <c r="U2160" s="152">
        <f>IFERROR(ABS(K2160-YEAR('02_대상물건입력'!B14)),"")</f>
        <v/>
      </c>
      <c r="V2160" s="152">
        <f>IF(B2160="","",IF(AND(E2160&gt;0,F2160&gt;0,H2160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2160=1,TRUE()),R2160&lt;='01_설정'!B5,S2160&lt;='01_설정'!B6,T2160&lt;='01_설정'!B7,U2160&lt;='01_설정'!B8),"Y",""))</f>
        <v/>
      </c>
      <c r="W2160" s="172">
        <f>IF(V2160&lt;&gt;"Y","",MAX(0,(1-R2160/'01_설정'!B5))*'01_설정'!B14+MAX(0,(1-S2160/'01_설정'!B6))*'01_설정'!B15+MAX(0,(1-T2160/'01_설정'!B7))*'01_설정'!B16+MAX(0,(1-U2160/'01_설정'!B8))*'01_설정'!B17+O2160*'01_설정'!B11+Q2160*'01_설정'!B12+P2160*'01_설정'!B13+IF(Z2160="",0,Z2160))</f>
        <v/>
      </c>
      <c r="X2160" s="152">
        <f>IF(W2160="","",1+COUNTIFS($W$4:$W$3003,"&gt;"&amp;W2160)+COUNTIFS($W$4:W2160,W2160)-1)</f>
        <v/>
      </c>
      <c r="Y2160" s="175">
        <f>IF(OR(I2160="",'02_대상물건입력'!B19="",'02_대상물건입력'!B19&lt;=0),"",ABS(I2160-'02_대상물건입력'!B19)/'02_대상물건입력'!B19)</f>
        <v/>
      </c>
      <c r="Z2160" s="172">
        <f>IF(OR(Y2160="",'01_설정'!B31="",'01_설정'!B31&lt;=0,'01_설정'!B32="",'01_설정'!B32&lt;=0),"",MAX(0,(1-Y2160/'01_설정'!B32))*'01_설정'!B31)</f>
        <v/>
      </c>
    </row>
    <row r="2161" ht="17.25" customHeight="1">
      <c r="A2161" s="152">
        <f>IF(INDEX('04A_국토부원자료'!$A:$A,ROW()+1)="","",ROW()-3)</f>
        <v/>
      </c>
      <c r="B2161" s="48">
        <f>IFERROR(INDEX('04A_국토부원자료'!$A:$T,ROW()+1,MATCH("시군구",'04A_국토부원자료'!$A$4:$T$4,0)),"")</f>
        <v/>
      </c>
      <c r="C2161" s="48">
        <f>IF(B2161="","",IFERROR(INDEX('04A_국토부원자료'!$A:$T,ROW()+1,MATCH("번지",'04A_국토부원자료'!$A$4:$T$4,0)),""))</f>
        <v/>
      </c>
      <c r="D2161" s="48">
        <f>IF(B2161="","",IF(Q2161=1,'02_대상물건입력'!$B$8,IFERROR(INDEX('04A_국토부원자료'!$A:$T,ROW()+1,MATCH("단지명",'04A_국토부원자료'!$A$4:$T$4,0)),"")))</f>
        <v/>
      </c>
      <c r="E2161" s="172">
        <f>IFERROR(VALUE(SUBSTITUTE(INDEX('04A_국토부원자료'!$A:$T,ROW()+1,MATCH("전용면적(㎡)",'04A_국토부원자료'!$A$4:$T$4,0)),",","")),"")</f>
        <v/>
      </c>
      <c r="F21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61" s="51">
        <f>IFERROR(VALUE(SUBSTITUTE(INDEX('04A_국토부원자료'!$A:$T,ROW()+1,MATCH("거래금액(만원)",'04A_국토부원자료'!$A$4:$T$4,0)),",","")),"")</f>
        <v/>
      </c>
      <c r="H2161" s="174">
        <f>IF(G2161="","",G2161*10000)</f>
        <v/>
      </c>
      <c r="I2161" s="174">
        <f>IFERROR(IF(AND(H2161&gt;0,E2161&gt;0),H2161/E2161,""),"")</f>
        <v/>
      </c>
      <c r="J2161" s="152">
        <f>IFERROR(VALUE(SUBSTITUTE(INDEX('04A_국토부원자료'!$A:$T,ROW()+1,MATCH("층",'04A_국토부원자료'!$A$4:$T$4,0)),",","")),"")</f>
        <v/>
      </c>
      <c r="K2161" s="152">
        <f>IFERROR(VALUE(SUBSTITUTE(INDEX('04A_국토부원자료'!$A:$T,ROW()+1,MATCH("건축년도",'04A_국토부원자료'!$A$4:$T$4,0)),",","")),"")</f>
        <v/>
      </c>
      <c r="L2161" s="48">
        <f>IFERROR(INDEX('04A_국토부원자료'!$A:$T,ROW()+1,MATCH("도로명",'04A_국토부원자료'!$A$4:$T$4,0)),"")</f>
        <v/>
      </c>
      <c r="M2161" s="48">
        <f>IFERROR(INDEX('04A_국토부원자료'!$A:$T,ROW()+1,MATCH("거래유형",'04A_국토부원자료'!$A$4:$T$4,0)),"")</f>
        <v/>
      </c>
      <c r="N2161" s="152">
        <f>IF(B2161="","",IF('02_대상물건입력'!B5="",1,IF(ISNUMBER(SEARCH('02_대상물건입력'!B5,B2161)),1,0)))</f>
        <v/>
      </c>
      <c r="O2161" s="152">
        <f>IF(B2161="","",IF('02_대상물건입력'!B6="",1,IF(ISNUMBER(SEARCH('02_대상물건입력'!B6,B2161)),1,0)))</f>
        <v/>
      </c>
      <c r="P2161" s="152">
        <f>IF(L2161="","",IF('02_대상물건입력'!B15="",0,IF(ISNUMBER(SEARCH('02_대상물건입력'!B15,L2161)),1,0)))</f>
        <v/>
      </c>
      <c r="Q2161" s="152">
        <f>IF(OR(C2161="",L2161=""),0,IF(AND(TRIM(C2161)=TRIM(RIGHT(SUBSTITUTE(TRIM('02_대상물건입력'!$B$7)," ",REPT(" ",99)),99)),IF('02_대상물건입력'!B15="",TRUE(),ISNUMBER(SEARCH('02_대상물건입력'!B15,L2161)))),1,0))</f>
        <v/>
      </c>
      <c r="R2161" s="175">
        <f>IFERROR(ABS(E2161-'02_대상물건입력'!B11)/'02_대상물건입력'!B11,"")</f>
        <v/>
      </c>
      <c r="S2161" s="152">
        <f>IFERROR(ABS(J2161-'02_대상물건입력'!B10),"")</f>
        <v/>
      </c>
      <c r="T2161" s="152">
        <f>IFERROR(ABS('01_설정'!B4-F2161),"")</f>
        <v/>
      </c>
      <c r="U2161" s="152">
        <f>IFERROR(ABS(K2161-YEAR('02_대상물건입력'!B14)),"")</f>
        <v/>
      </c>
      <c r="V2161" s="152">
        <f>IF(B2161="","",IF(AND(E2161&gt;0,F2161&gt;0,H2161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2161=1,TRUE()),R2161&lt;='01_설정'!B5,S2161&lt;='01_설정'!B6,T2161&lt;='01_설정'!B7,U2161&lt;='01_설정'!B8),"Y",""))</f>
        <v/>
      </c>
      <c r="W2161" s="172">
        <f>IF(V2161&lt;&gt;"Y","",MAX(0,(1-R2161/'01_설정'!B5))*'01_설정'!B14+MAX(0,(1-S2161/'01_설정'!B6))*'01_설정'!B15+MAX(0,(1-T2161/'01_설정'!B7))*'01_설정'!B16+MAX(0,(1-U2161/'01_설정'!B8))*'01_설정'!B17+O2161*'01_설정'!B11+Q2161*'01_설정'!B12+P2161*'01_설정'!B13+IF(Z2161="",0,Z2161))</f>
        <v/>
      </c>
      <c r="X2161" s="152">
        <f>IF(W2161="","",1+COUNTIFS($W$4:$W$3003,"&gt;"&amp;W2161)+COUNTIFS($W$4:W2161,W2161)-1)</f>
        <v/>
      </c>
      <c r="Y2161" s="175">
        <f>IF(OR(I2161="",'02_대상물건입력'!B19="",'02_대상물건입력'!B19&lt;=0),"",ABS(I2161-'02_대상물건입력'!B19)/'02_대상물건입력'!B19)</f>
        <v/>
      </c>
      <c r="Z2161" s="172">
        <f>IF(OR(Y2161="",'01_설정'!B31="",'01_설정'!B31&lt;=0,'01_설정'!B32="",'01_설정'!B32&lt;=0),"",MAX(0,(1-Y2161/'01_설정'!B32))*'01_설정'!B31)</f>
        <v/>
      </c>
    </row>
    <row r="2162" ht="17.25" customHeight="1">
      <c r="A2162" s="152">
        <f>IF(INDEX('04A_국토부원자료'!$A:$A,ROW()+1)="","",ROW()-3)</f>
        <v/>
      </c>
      <c r="B2162" s="48">
        <f>IFERROR(INDEX('04A_국토부원자료'!$A:$T,ROW()+1,MATCH("시군구",'04A_국토부원자료'!$A$4:$T$4,0)),"")</f>
        <v/>
      </c>
      <c r="C2162" s="48">
        <f>IF(B2162="","",IFERROR(INDEX('04A_국토부원자료'!$A:$T,ROW()+1,MATCH("번지",'04A_국토부원자료'!$A$4:$T$4,0)),""))</f>
        <v/>
      </c>
      <c r="D2162" s="48">
        <f>IF(B2162="","",IF(Q2162=1,'02_대상물건입력'!$B$8,IFERROR(INDEX('04A_국토부원자료'!$A:$T,ROW()+1,MATCH("단지명",'04A_국토부원자료'!$A$4:$T$4,0)),"")))</f>
        <v/>
      </c>
      <c r="E2162" s="172">
        <f>IFERROR(VALUE(SUBSTITUTE(INDEX('04A_국토부원자료'!$A:$T,ROW()+1,MATCH("전용면적(㎡)",'04A_국토부원자료'!$A$4:$T$4,0)),",","")),"")</f>
        <v/>
      </c>
      <c r="F21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62" s="51">
        <f>IFERROR(VALUE(SUBSTITUTE(INDEX('04A_국토부원자료'!$A:$T,ROW()+1,MATCH("거래금액(만원)",'04A_국토부원자료'!$A$4:$T$4,0)),",","")),"")</f>
        <v/>
      </c>
      <c r="H2162" s="174">
        <f>IF(G2162="","",G2162*10000)</f>
        <v/>
      </c>
      <c r="I2162" s="174">
        <f>IFERROR(IF(AND(H2162&gt;0,E2162&gt;0),H2162/E2162,""),"")</f>
        <v/>
      </c>
      <c r="J2162" s="152">
        <f>IFERROR(VALUE(SUBSTITUTE(INDEX('04A_국토부원자료'!$A:$T,ROW()+1,MATCH("층",'04A_국토부원자료'!$A$4:$T$4,0)),",","")),"")</f>
        <v/>
      </c>
      <c r="K2162" s="152">
        <f>IFERROR(VALUE(SUBSTITUTE(INDEX('04A_국토부원자료'!$A:$T,ROW()+1,MATCH("건축년도",'04A_국토부원자료'!$A$4:$T$4,0)),",","")),"")</f>
        <v/>
      </c>
      <c r="L2162" s="48">
        <f>IFERROR(INDEX('04A_국토부원자료'!$A:$T,ROW()+1,MATCH("도로명",'04A_국토부원자료'!$A$4:$T$4,0)),"")</f>
        <v/>
      </c>
      <c r="M2162" s="48">
        <f>IFERROR(INDEX('04A_국토부원자료'!$A:$T,ROW()+1,MATCH("거래유형",'04A_국토부원자료'!$A$4:$T$4,0)),"")</f>
        <v/>
      </c>
      <c r="N2162" s="152">
        <f>IF(B2162="","",IF('02_대상물건입력'!B5="",1,IF(ISNUMBER(SEARCH('02_대상물건입력'!B5,B2162)),1,0)))</f>
        <v/>
      </c>
      <c r="O2162" s="152">
        <f>IF(B2162="","",IF('02_대상물건입력'!B6="",1,IF(ISNUMBER(SEARCH('02_대상물건입력'!B6,B2162)),1,0)))</f>
        <v/>
      </c>
      <c r="P2162" s="152">
        <f>IF(L2162="","",IF('02_대상물건입력'!B15="",0,IF(ISNUMBER(SEARCH('02_대상물건입력'!B15,L2162)),1,0)))</f>
        <v/>
      </c>
      <c r="Q2162" s="152">
        <f>IF(OR(C2162="",L2162=""),0,IF(AND(TRIM(C2162)=TRIM(RIGHT(SUBSTITUTE(TRIM('02_대상물건입력'!$B$7)," ",REPT(" ",99)),99)),IF('02_대상물건입력'!B15="",TRUE(),ISNUMBER(SEARCH('02_대상물건입력'!B15,L2162)))),1,0))</f>
        <v/>
      </c>
      <c r="R2162" s="175">
        <f>IFERROR(ABS(E2162-'02_대상물건입력'!B11)/'02_대상물건입력'!B11,"")</f>
        <v/>
      </c>
      <c r="S2162" s="152">
        <f>IFERROR(ABS(J2162-'02_대상물건입력'!B10),"")</f>
        <v/>
      </c>
      <c r="T2162" s="152">
        <f>IFERROR(ABS('01_설정'!B4-F2162),"")</f>
        <v/>
      </c>
      <c r="U2162" s="152">
        <f>IFERROR(ABS(K2162-YEAR('02_대상물건입력'!B14)),"")</f>
        <v/>
      </c>
      <c r="V2162" s="152">
        <f>IF(B2162="","",IF(AND(E2162&gt;0,F2162&gt;0,H2162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2162=1,TRUE()),R2162&lt;='01_설정'!B5,S2162&lt;='01_설정'!B6,T2162&lt;='01_설정'!B7,U2162&lt;='01_설정'!B8),"Y",""))</f>
        <v/>
      </c>
      <c r="W2162" s="172">
        <f>IF(V2162&lt;&gt;"Y","",MAX(0,(1-R2162/'01_설정'!B5))*'01_설정'!B14+MAX(0,(1-S2162/'01_설정'!B6))*'01_설정'!B15+MAX(0,(1-T2162/'01_설정'!B7))*'01_설정'!B16+MAX(0,(1-U2162/'01_설정'!B8))*'01_설정'!B17+O2162*'01_설정'!B11+Q2162*'01_설정'!B12+P2162*'01_설정'!B13+IF(Z2162="",0,Z2162))</f>
        <v/>
      </c>
      <c r="X2162" s="152">
        <f>IF(W2162="","",1+COUNTIFS($W$4:$W$3003,"&gt;"&amp;W2162)+COUNTIFS($W$4:W2162,W2162)-1)</f>
        <v/>
      </c>
      <c r="Y2162" s="175">
        <f>IF(OR(I2162="",'02_대상물건입력'!B19="",'02_대상물건입력'!B19&lt;=0),"",ABS(I2162-'02_대상물건입력'!B19)/'02_대상물건입력'!B19)</f>
        <v/>
      </c>
      <c r="Z2162" s="172">
        <f>IF(OR(Y2162="",'01_설정'!B31="",'01_설정'!B31&lt;=0,'01_설정'!B32="",'01_설정'!B32&lt;=0),"",MAX(0,(1-Y2162/'01_설정'!B32))*'01_설정'!B31)</f>
        <v/>
      </c>
    </row>
    <row r="2163" ht="17.25" customHeight="1">
      <c r="A2163" s="152">
        <f>IF(INDEX('04A_국토부원자료'!$A:$A,ROW()+1)="","",ROW()-3)</f>
        <v/>
      </c>
      <c r="B2163" s="48">
        <f>IFERROR(INDEX('04A_국토부원자료'!$A:$T,ROW()+1,MATCH("시군구",'04A_국토부원자료'!$A$4:$T$4,0)),"")</f>
        <v/>
      </c>
      <c r="C2163" s="48">
        <f>IF(B2163="","",IFERROR(INDEX('04A_국토부원자료'!$A:$T,ROW()+1,MATCH("번지",'04A_국토부원자료'!$A$4:$T$4,0)),""))</f>
        <v/>
      </c>
      <c r="D2163" s="48">
        <f>IF(B2163="","",IF(Q2163=1,'02_대상물건입력'!$B$8,IFERROR(INDEX('04A_국토부원자료'!$A:$T,ROW()+1,MATCH("단지명",'04A_국토부원자료'!$A$4:$T$4,0)),"")))</f>
        <v/>
      </c>
      <c r="E2163" s="172">
        <f>IFERROR(VALUE(SUBSTITUTE(INDEX('04A_국토부원자료'!$A:$T,ROW()+1,MATCH("전용면적(㎡)",'04A_국토부원자료'!$A$4:$T$4,0)),",","")),"")</f>
        <v/>
      </c>
      <c r="F21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63" s="51">
        <f>IFERROR(VALUE(SUBSTITUTE(INDEX('04A_국토부원자료'!$A:$T,ROW()+1,MATCH("거래금액(만원)",'04A_국토부원자료'!$A$4:$T$4,0)),",","")),"")</f>
        <v/>
      </c>
      <c r="H2163" s="174">
        <f>IF(G2163="","",G2163*10000)</f>
        <v/>
      </c>
      <c r="I2163" s="174">
        <f>IFERROR(IF(AND(H2163&gt;0,E2163&gt;0),H2163/E2163,""),"")</f>
        <v/>
      </c>
      <c r="J2163" s="152">
        <f>IFERROR(VALUE(SUBSTITUTE(INDEX('04A_국토부원자료'!$A:$T,ROW()+1,MATCH("층",'04A_국토부원자료'!$A$4:$T$4,0)),",","")),"")</f>
        <v/>
      </c>
      <c r="K2163" s="152">
        <f>IFERROR(VALUE(SUBSTITUTE(INDEX('04A_국토부원자료'!$A:$T,ROW()+1,MATCH("건축년도",'04A_국토부원자료'!$A$4:$T$4,0)),",","")),"")</f>
        <v/>
      </c>
      <c r="L2163" s="48">
        <f>IFERROR(INDEX('04A_국토부원자료'!$A:$T,ROW()+1,MATCH("도로명",'04A_국토부원자료'!$A$4:$T$4,0)),"")</f>
        <v/>
      </c>
      <c r="M2163" s="48">
        <f>IFERROR(INDEX('04A_국토부원자료'!$A:$T,ROW()+1,MATCH("거래유형",'04A_국토부원자료'!$A$4:$T$4,0)),"")</f>
        <v/>
      </c>
      <c r="N2163" s="152">
        <f>IF(B2163="","",IF('02_대상물건입력'!B5="",1,IF(ISNUMBER(SEARCH('02_대상물건입력'!B5,B2163)),1,0)))</f>
        <v/>
      </c>
      <c r="O2163" s="152">
        <f>IF(B2163="","",IF('02_대상물건입력'!B6="",1,IF(ISNUMBER(SEARCH('02_대상물건입력'!B6,B2163)),1,0)))</f>
        <v/>
      </c>
      <c r="P2163" s="152">
        <f>IF(L2163="","",IF('02_대상물건입력'!B15="",0,IF(ISNUMBER(SEARCH('02_대상물건입력'!B15,L2163)),1,0)))</f>
        <v/>
      </c>
      <c r="Q2163" s="152">
        <f>IF(OR(C2163="",L2163=""),0,IF(AND(TRIM(C2163)=TRIM(RIGHT(SUBSTITUTE(TRIM('02_대상물건입력'!$B$7)," ",REPT(" ",99)),99)),IF('02_대상물건입력'!B15="",TRUE(),ISNUMBER(SEARCH('02_대상물건입력'!B15,L2163)))),1,0))</f>
        <v/>
      </c>
      <c r="R2163" s="175">
        <f>IFERROR(ABS(E2163-'02_대상물건입력'!B11)/'02_대상물건입력'!B11,"")</f>
        <v/>
      </c>
      <c r="S2163" s="152">
        <f>IFERROR(ABS(J2163-'02_대상물건입력'!B10),"")</f>
        <v/>
      </c>
      <c r="T2163" s="152">
        <f>IFERROR(ABS('01_설정'!B4-F2163),"")</f>
        <v/>
      </c>
      <c r="U2163" s="152">
        <f>IFERROR(ABS(K2163-YEAR('02_대상물건입력'!B14)),"")</f>
        <v/>
      </c>
      <c r="V2163" s="152">
        <f>IF(B2163="","",IF(AND(E2163&gt;0,F2163&gt;0,H2163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2163=1,TRUE()),R2163&lt;='01_설정'!B5,S2163&lt;='01_설정'!B6,T2163&lt;='01_설정'!B7,U2163&lt;='01_설정'!B8),"Y",""))</f>
        <v/>
      </c>
      <c r="W2163" s="172">
        <f>IF(V2163&lt;&gt;"Y","",MAX(0,(1-R2163/'01_설정'!B5))*'01_설정'!B14+MAX(0,(1-S2163/'01_설정'!B6))*'01_설정'!B15+MAX(0,(1-T2163/'01_설정'!B7))*'01_설정'!B16+MAX(0,(1-U2163/'01_설정'!B8))*'01_설정'!B17+O2163*'01_설정'!B11+Q2163*'01_설정'!B12+P2163*'01_설정'!B13+IF(Z2163="",0,Z2163))</f>
        <v/>
      </c>
      <c r="X2163" s="152">
        <f>IF(W2163="","",1+COUNTIFS($W$4:$W$3003,"&gt;"&amp;W2163)+COUNTIFS($W$4:W2163,W2163)-1)</f>
        <v/>
      </c>
      <c r="Y2163" s="175">
        <f>IF(OR(I2163="",'02_대상물건입력'!B19="",'02_대상물건입력'!B19&lt;=0),"",ABS(I2163-'02_대상물건입력'!B19)/'02_대상물건입력'!B19)</f>
        <v/>
      </c>
      <c r="Z2163" s="172">
        <f>IF(OR(Y2163="",'01_설정'!B31="",'01_설정'!B31&lt;=0,'01_설정'!B32="",'01_설정'!B32&lt;=0),"",MAX(0,(1-Y2163/'01_설정'!B32))*'01_설정'!B31)</f>
        <v/>
      </c>
    </row>
    <row r="2164" ht="17.25" customHeight="1">
      <c r="A2164" s="152">
        <f>IF(INDEX('04A_국토부원자료'!$A:$A,ROW()+1)="","",ROW()-3)</f>
        <v/>
      </c>
      <c r="B2164" s="48">
        <f>IFERROR(INDEX('04A_국토부원자료'!$A:$T,ROW()+1,MATCH("시군구",'04A_국토부원자료'!$A$4:$T$4,0)),"")</f>
        <v/>
      </c>
      <c r="C2164" s="48">
        <f>IF(B2164="","",IFERROR(INDEX('04A_국토부원자료'!$A:$T,ROW()+1,MATCH("번지",'04A_국토부원자료'!$A$4:$T$4,0)),""))</f>
        <v/>
      </c>
      <c r="D2164" s="48">
        <f>IF(B2164="","",IF(Q2164=1,'02_대상물건입력'!$B$8,IFERROR(INDEX('04A_국토부원자료'!$A:$T,ROW()+1,MATCH("단지명",'04A_국토부원자료'!$A$4:$T$4,0)),"")))</f>
        <v/>
      </c>
      <c r="E2164" s="172">
        <f>IFERROR(VALUE(SUBSTITUTE(INDEX('04A_국토부원자료'!$A:$T,ROW()+1,MATCH("전용면적(㎡)",'04A_국토부원자료'!$A$4:$T$4,0)),",","")),"")</f>
        <v/>
      </c>
      <c r="F21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64" s="51">
        <f>IFERROR(VALUE(SUBSTITUTE(INDEX('04A_국토부원자료'!$A:$T,ROW()+1,MATCH("거래금액(만원)",'04A_국토부원자료'!$A$4:$T$4,0)),",","")),"")</f>
        <v/>
      </c>
      <c r="H2164" s="174">
        <f>IF(G2164="","",G2164*10000)</f>
        <v/>
      </c>
      <c r="I2164" s="174">
        <f>IFERROR(IF(AND(H2164&gt;0,E2164&gt;0),H2164/E2164,""),"")</f>
        <v/>
      </c>
      <c r="J2164" s="152">
        <f>IFERROR(VALUE(SUBSTITUTE(INDEX('04A_국토부원자료'!$A:$T,ROW()+1,MATCH("층",'04A_국토부원자료'!$A$4:$T$4,0)),",","")),"")</f>
        <v/>
      </c>
      <c r="K2164" s="152">
        <f>IFERROR(VALUE(SUBSTITUTE(INDEX('04A_국토부원자료'!$A:$T,ROW()+1,MATCH("건축년도",'04A_국토부원자료'!$A$4:$T$4,0)),",","")),"")</f>
        <v/>
      </c>
      <c r="L2164" s="48">
        <f>IFERROR(INDEX('04A_국토부원자료'!$A:$T,ROW()+1,MATCH("도로명",'04A_국토부원자료'!$A$4:$T$4,0)),"")</f>
        <v/>
      </c>
      <c r="M2164" s="48">
        <f>IFERROR(INDEX('04A_국토부원자료'!$A:$T,ROW()+1,MATCH("거래유형",'04A_국토부원자료'!$A$4:$T$4,0)),"")</f>
        <v/>
      </c>
      <c r="N2164" s="152">
        <f>IF(B2164="","",IF('02_대상물건입력'!B5="",1,IF(ISNUMBER(SEARCH('02_대상물건입력'!B5,B2164)),1,0)))</f>
        <v/>
      </c>
      <c r="O2164" s="152">
        <f>IF(B2164="","",IF('02_대상물건입력'!B6="",1,IF(ISNUMBER(SEARCH('02_대상물건입력'!B6,B2164)),1,0)))</f>
        <v/>
      </c>
      <c r="P2164" s="152">
        <f>IF(L2164="","",IF('02_대상물건입력'!B15="",0,IF(ISNUMBER(SEARCH('02_대상물건입력'!B15,L2164)),1,0)))</f>
        <v/>
      </c>
      <c r="Q2164" s="152">
        <f>IF(OR(C2164="",L2164=""),0,IF(AND(TRIM(C2164)=TRIM(RIGHT(SUBSTITUTE(TRIM('02_대상물건입력'!$B$7)," ",REPT(" ",99)),99)),IF('02_대상물건입력'!B15="",TRUE(),ISNUMBER(SEARCH('02_대상물건입력'!B15,L2164)))),1,0))</f>
        <v/>
      </c>
      <c r="R2164" s="175">
        <f>IFERROR(ABS(E2164-'02_대상물건입력'!B11)/'02_대상물건입력'!B11,"")</f>
        <v/>
      </c>
      <c r="S2164" s="152">
        <f>IFERROR(ABS(J2164-'02_대상물건입력'!B10),"")</f>
        <v/>
      </c>
      <c r="T2164" s="152">
        <f>IFERROR(ABS('01_설정'!B4-F2164),"")</f>
        <v/>
      </c>
      <c r="U2164" s="152">
        <f>IFERROR(ABS(K2164-YEAR('02_대상물건입력'!B14)),"")</f>
        <v/>
      </c>
      <c r="V2164" s="152">
        <f>IF(B2164="","",IF(AND(E2164&gt;0,F2164&gt;0,H2164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2164=1,TRUE()),R2164&lt;='01_설정'!B5,S2164&lt;='01_설정'!B6,T2164&lt;='01_설정'!B7,U2164&lt;='01_설정'!B8),"Y",""))</f>
        <v/>
      </c>
      <c r="W2164" s="172">
        <f>IF(V2164&lt;&gt;"Y","",MAX(0,(1-R2164/'01_설정'!B5))*'01_설정'!B14+MAX(0,(1-S2164/'01_설정'!B6))*'01_설정'!B15+MAX(0,(1-T2164/'01_설정'!B7))*'01_설정'!B16+MAX(0,(1-U2164/'01_설정'!B8))*'01_설정'!B17+O2164*'01_설정'!B11+Q2164*'01_설정'!B12+P2164*'01_설정'!B13+IF(Z2164="",0,Z2164))</f>
        <v/>
      </c>
      <c r="X2164" s="152">
        <f>IF(W2164="","",1+COUNTIFS($W$4:$W$3003,"&gt;"&amp;W2164)+COUNTIFS($W$4:W2164,W2164)-1)</f>
        <v/>
      </c>
      <c r="Y2164" s="175">
        <f>IF(OR(I2164="",'02_대상물건입력'!B19="",'02_대상물건입력'!B19&lt;=0),"",ABS(I2164-'02_대상물건입력'!B19)/'02_대상물건입력'!B19)</f>
        <v/>
      </c>
      <c r="Z2164" s="172">
        <f>IF(OR(Y2164="",'01_설정'!B31="",'01_설정'!B31&lt;=0,'01_설정'!B32="",'01_설정'!B32&lt;=0),"",MAX(0,(1-Y2164/'01_설정'!B32))*'01_설정'!B31)</f>
        <v/>
      </c>
    </row>
    <row r="2165" ht="17.25" customHeight="1">
      <c r="A2165" s="152">
        <f>IF(INDEX('04A_국토부원자료'!$A:$A,ROW()+1)="","",ROW()-3)</f>
        <v/>
      </c>
      <c r="B2165" s="48">
        <f>IFERROR(INDEX('04A_국토부원자료'!$A:$T,ROW()+1,MATCH("시군구",'04A_국토부원자료'!$A$4:$T$4,0)),"")</f>
        <v/>
      </c>
      <c r="C2165" s="48">
        <f>IF(B2165="","",IFERROR(INDEX('04A_국토부원자료'!$A:$T,ROW()+1,MATCH("번지",'04A_국토부원자료'!$A$4:$T$4,0)),""))</f>
        <v/>
      </c>
      <c r="D2165" s="48">
        <f>IF(B2165="","",IF(Q2165=1,'02_대상물건입력'!$B$8,IFERROR(INDEX('04A_국토부원자료'!$A:$T,ROW()+1,MATCH("단지명",'04A_국토부원자료'!$A$4:$T$4,0)),"")))</f>
        <v/>
      </c>
      <c r="E2165" s="172">
        <f>IFERROR(VALUE(SUBSTITUTE(INDEX('04A_국토부원자료'!$A:$T,ROW()+1,MATCH("전용면적(㎡)",'04A_국토부원자료'!$A$4:$T$4,0)),",","")),"")</f>
        <v/>
      </c>
      <c r="F21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65" s="51">
        <f>IFERROR(VALUE(SUBSTITUTE(INDEX('04A_국토부원자료'!$A:$T,ROW()+1,MATCH("거래금액(만원)",'04A_국토부원자료'!$A$4:$T$4,0)),",","")),"")</f>
        <v/>
      </c>
      <c r="H2165" s="174">
        <f>IF(G2165="","",G2165*10000)</f>
        <v/>
      </c>
      <c r="I2165" s="174">
        <f>IFERROR(IF(AND(H2165&gt;0,E2165&gt;0),H2165/E2165,""),"")</f>
        <v/>
      </c>
      <c r="J2165" s="152">
        <f>IFERROR(VALUE(SUBSTITUTE(INDEX('04A_국토부원자료'!$A:$T,ROW()+1,MATCH("층",'04A_국토부원자료'!$A$4:$T$4,0)),",","")),"")</f>
        <v/>
      </c>
      <c r="K2165" s="152">
        <f>IFERROR(VALUE(SUBSTITUTE(INDEX('04A_국토부원자료'!$A:$T,ROW()+1,MATCH("건축년도",'04A_국토부원자료'!$A$4:$T$4,0)),",","")),"")</f>
        <v/>
      </c>
      <c r="L2165" s="48">
        <f>IFERROR(INDEX('04A_국토부원자료'!$A:$T,ROW()+1,MATCH("도로명",'04A_국토부원자료'!$A$4:$T$4,0)),"")</f>
        <v/>
      </c>
      <c r="M2165" s="48">
        <f>IFERROR(INDEX('04A_국토부원자료'!$A:$T,ROW()+1,MATCH("거래유형",'04A_국토부원자료'!$A$4:$T$4,0)),"")</f>
        <v/>
      </c>
      <c r="N2165" s="152">
        <f>IF(B2165="","",IF('02_대상물건입력'!B5="",1,IF(ISNUMBER(SEARCH('02_대상물건입력'!B5,B2165)),1,0)))</f>
        <v/>
      </c>
      <c r="O2165" s="152">
        <f>IF(B2165="","",IF('02_대상물건입력'!B6="",1,IF(ISNUMBER(SEARCH('02_대상물건입력'!B6,B2165)),1,0)))</f>
        <v/>
      </c>
      <c r="P2165" s="152">
        <f>IF(L2165="","",IF('02_대상물건입력'!B15="",0,IF(ISNUMBER(SEARCH('02_대상물건입력'!B15,L2165)),1,0)))</f>
        <v/>
      </c>
      <c r="Q2165" s="152">
        <f>IF(OR(C2165="",L2165=""),0,IF(AND(TRIM(C2165)=TRIM(RIGHT(SUBSTITUTE(TRIM('02_대상물건입력'!$B$7)," ",REPT(" ",99)),99)),IF('02_대상물건입력'!B15="",TRUE(),ISNUMBER(SEARCH('02_대상물건입력'!B15,L2165)))),1,0))</f>
        <v/>
      </c>
      <c r="R2165" s="175">
        <f>IFERROR(ABS(E2165-'02_대상물건입력'!B11)/'02_대상물건입력'!B11,"")</f>
        <v/>
      </c>
      <c r="S2165" s="152">
        <f>IFERROR(ABS(J2165-'02_대상물건입력'!B10),"")</f>
        <v/>
      </c>
      <c r="T2165" s="152">
        <f>IFERROR(ABS('01_설정'!B4-F2165),"")</f>
        <v/>
      </c>
      <c r="U2165" s="152">
        <f>IFERROR(ABS(K2165-YEAR('02_대상물건입력'!B14)),"")</f>
        <v/>
      </c>
      <c r="V2165" s="152">
        <f>IF(B2165="","",IF(AND(E2165&gt;0,F2165&gt;0,H2165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2165=1,TRUE()),R2165&lt;='01_설정'!B5,S2165&lt;='01_설정'!B6,T2165&lt;='01_설정'!B7,U2165&lt;='01_설정'!B8),"Y",""))</f>
        <v/>
      </c>
      <c r="W2165" s="172">
        <f>IF(V2165&lt;&gt;"Y","",MAX(0,(1-R2165/'01_설정'!B5))*'01_설정'!B14+MAX(0,(1-S2165/'01_설정'!B6))*'01_설정'!B15+MAX(0,(1-T2165/'01_설정'!B7))*'01_설정'!B16+MAX(0,(1-U2165/'01_설정'!B8))*'01_설정'!B17+O2165*'01_설정'!B11+Q2165*'01_설정'!B12+P2165*'01_설정'!B13+IF(Z2165="",0,Z2165))</f>
        <v/>
      </c>
      <c r="X2165" s="152">
        <f>IF(W2165="","",1+COUNTIFS($W$4:$W$3003,"&gt;"&amp;W2165)+COUNTIFS($W$4:W2165,W2165)-1)</f>
        <v/>
      </c>
      <c r="Y2165" s="175">
        <f>IF(OR(I2165="",'02_대상물건입력'!B19="",'02_대상물건입력'!B19&lt;=0),"",ABS(I2165-'02_대상물건입력'!B19)/'02_대상물건입력'!B19)</f>
        <v/>
      </c>
      <c r="Z2165" s="172">
        <f>IF(OR(Y2165="",'01_설정'!B31="",'01_설정'!B31&lt;=0,'01_설정'!B32="",'01_설정'!B32&lt;=0),"",MAX(0,(1-Y2165/'01_설정'!B32))*'01_설정'!B31)</f>
        <v/>
      </c>
    </row>
    <row r="2166" ht="17.25" customHeight="1">
      <c r="A2166" s="152">
        <f>IF(INDEX('04A_국토부원자료'!$A:$A,ROW()+1)="","",ROW()-3)</f>
        <v/>
      </c>
      <c r="B2166" s="48">
        <f>IFERROR(INDEX('04A_국토부원자료'!$A:$T,ROW()+1,MATCH("시군구",'04A_국토부원자료'!$A$4:$T$4,0)),"")</f>
        <v/>
      </c>
      <c r="C2166" s="48">
        <f>IF(B2166="","",IFERROR(INDEX('04A_국토부원자료'!$A:$T,ROW()+1,MATCH("번지",'04A_국토부원자료'!$A$4:$T$4,0)),""))</f>
        <v/>
      </c>
      <c r="D2166" s="48">
        <f>IF(B2166="","",IF(Q2166=1,'02_대상물건입력'!$B$8,IFERROR(INDEX('04A_국토부원자료'!$A:$T,ROW()+1,MATCH("단지명",'04A_국토부원자료'!$A$4:$T$4,0)),"")))</f>
        <v/>
      </c>
      <c r="E2166" s="172">
        <f>IFERROR(VALUE(SUBSTITUTE(INDEX('04A_국토부원자료'!$A:$T,ROW()+1,MATCH("전용면적(㎡)",'04A_국토부원자료'!$A$4:$T$4,0)),",","")),"")</f>
        <v/>
      </c>
      <c r="F21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66" s="51">
        <f>IFERROR(VALUE(SUBSTITUTE(INDEX('04A_국토부원자료'!$A:$T,ROW()+1,MATCH("거래금액(만원)",'04A_국토부원자료'!$A$4:$T$4,0)),",","")),"")</f>
        <v/>
      </c>
      <c r="H2166" s="174">
        <f>IF(G2166="","",G2166*10000)</f>
        <v/>
      </c>
      <c r="I2166" s="174">
        <f>IFERROR(IF(AND(H2166&gt;0,E2166&gt;0),H2166/E2166,""),"")</f>
        <v/>
      </c>
      <c r="J2166" s="152">
        <f>IFERROR(VALUE(SUBSTITUTE(INDEX('04A_국토부원자료'!$A:$T,ROW()+1,MATCH("층",'04A_국토부원자료'!$A$4:$T$4,0)),",","")),"")</f>
        <v/>
      </c>
      <c r="K2166" s="152">
        <f>IFERROR(VALUE(SUBSTITUTE(INDEX('04A_국토부원자료'!$A:$T,ROW()+1,MATCH("건축년도",'04A_국토부원자료'!$A$4:$T$4,0)),",","")),"")</f>
        <v/>
      </c>
      <c r="L2166" s="48">
        <f>IFERROR(INDEX('04A_국토부원자료'!$A:$T,ROW()+1,MATCH("도로명",'04A_국토부원자료'!$A$4:$T$4,0)),"")</f>
        <v/>
      </c>
      <c r="M2166" s="48">
        <f>IFERROR(INDEX('04A_국토부원자료'!$A:$T,ROW()+1,MATCH("거래유형",'04A_국토부원자료'!$A$4:$T$4,0)),"")</f>
        <v/>
      </c>
      <c r="N2166" s="152">
        <f>IF(B2166="","",IF('02_대상물건입력'!B5="",1,IF(ISNUMBER(SEARCH('02_대상물건입력'!B5,B2166)),1,0)))</f>
        <v/>
      </c>
      <c r="O2166" s="152">
        <f>IF(B2166="","",IF('02_대상물건입력'!B6="",1,IF(ISNUMBER(SEARCH('02_대상물건입력'!B6,B2166)),1,0)))</f>
        <v/>
      </c>
      <c r="P2166" s="152">
        <f>IF(L2166="","",IF('02_대상물건입력'!B15="",0,IF(ISNUMBER(SEARCH('02_대상물건입력'!B15,L2166)),1,0)))</f>
        <v/>
      </c>
      <c r="Q2166" s="152">
        <f>IF(OR(C2166="",L2166=""),0,IF(AND(TRIM(C2166)=TRIM(RIGHT(SUBSTITUTE(TRIM('02_대상물건입력'!$B$7)," ",REPT(" ",99)),99)),IF('02_대상물건입력'!B15="",TRUE(),ISNUMBER(SEARCH('02_대상물건입력'!B15,L2166)))),1,0))</f>
        <v/>
      </c>
      <c r="R2166" s="175">
        <f>IFERROR(ABS(E2166-'02_대상물건입력'!B11)/'02_대상물건입력'!B11,"")</f>
        <v/>
      </c>
      <c r="S2166" s="152">
        <f>IFERROR(ABS(J2166-'02_대상물건입력'!B10),"")</f>
        <v/>
      </c>
      <c r="T2166" s="152">
        <f>IFERROR(ABS('01_설정'!B4-F2166),"")</f>
        <v/>
      </c>
      <c r="U2166" s="152">
        <f>IFERROR(ABS(K2166-YEAR('02_대상물건입력'!B14)),"")</f>
        <v/>
      </c>
      <c r="V2166" s="152">
        <f>IF(B2166="","",IF(AND(E2166&gt;0,F2166&gt;0,H2166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2166=1,TRUE()),R2166&lt;='01_설정'!B5,S2166&lt;='01_설정'!B6,T2166&lt;='01_설정'!B7,U2166&lt;='01_설정'!B8),"Y",""))</f>
        <v/>
      </c>
      <c r="W2166" s="172">
        <f>IF(V2166&lt;&gt;"Y","",MAX(0,(1-R2166/'01_설정'!B5))*'01_설정'!B14+MAX(0,(1-S2166/'01_설정'!B6))*'01_설정'!B15+MAX(0,(1-T2166/'01_설정'!B7))*'01_설정'!B16+MAX(0,(1-U2166/'01_설정'!B8))*'01_설정'!B17+O2166*'01_설정'!B11+Q2166*'01_설정'!B12+P2166*'01_설정'!B13+IF(Z2166="",0,Z2166))</f>
        <v/>
      </c>
      <c r="X2166" s="152">
        <f>IF(W2166="","",1+COUNTIFS($W$4:$W$3003,"&gt;"&amp;W2166)+COUNTIFS($W$4:W2166,W2166)-1)</f>
        <v/>
      </c>
      <c r="Y2166" s="175">
        <f>IF(OR(I2166="",'02_대상물건입력'!B19="",'02_대상물건입력'!B19&lt;=0),"",ABS(I2166-'02_대상물건입력'!B19)/'02_대상물건입력'!B19)</f>
        <v/>
      </c>
      <c r="Z2166" s="172">
        <f>IF(OR(Y2166="",'01_설정'!B31="",'01_설정'!B31&lt;=0,'01_설정'!B32="",'01_설정'!B32&lt;=0),"",MAX(0,(1-Y2166/'01_설정'!B32))*'01_설정'!B31)</f>
        <v/>
      </c>
    </row>
    <row r="2167" ht="17.25" customHeight="1">
      <c r="A2167" s="152">
        <f>IF(INDEX('04A_국토부원자료'!$A:$A,ROW()+1)="","",ROW()-3)</f>
        <v/>
      </c>
      <c r="B2167" s="48">
        <f>IFERROR(INDEX('04A_국토부원자료'!$A:$T,ROW()+1,MATCH("시군구",'04A_국토부원자료'!$A$4:$T$4,0)),"")</f>
        <v/>
      </c>
      <c r="C2167" s="48">
        <f>IF(B2167="","",IFERROR(INDEX('04A_국토부원자료'!$A:$T,ROW()+1,MATCH("번지",'04A_국토부원자료'!$A$4:$T$4,0)),""))</f>
        <v/>
      </c>
      <c r="D2167" s="48">
        <f>IF(B2167="","",IF(Q2167=1,'02_대상물건입력'!$B$8,IFERROR(INDEX('04A_국토부원자료'!$A:$T,ROW()+1,MATCH("단지명",'04A_국토부원자료'!$A$4:$T$4,0)),"")))</f>
        <v/>
      </c>
      <c r="E2167" s="172">
        <f>IFERROR(VALUE(SUBSTITUTE(INDEX('04A_국토부원자료'!$A:$T,ROW()+1,MATCH("전용면적(㎡)",'04A_국토부원자료'!$A$4:$T$4,0)),",","")),"")</f>
        <v/>
      </c>
      <c r="F21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67" s="51">
        <f>IFERROR(VALUE(SUBSTITUTE(INDEX('04A_국토부원자료'!$A:$T,ROW()+1,MATCH("거래금액(만원)",'04A_국토부원자료'!$A$4:$T$4,0)),",","")),"")</f>
        <v/>
      </c>
      <c r="H2167" s="174">
        <f>IF(G2167="","",G2167*10000)</f>
        <v/>
      </c>
      <c r="I2167" s="174">
        <f>IFERROR(IF(AND(H2167&gt;0,E2167&gt;0),H2167/E2167,""),"")</f>
        <v/>
      </c>
      <c r="J2167" s="152">
        <f>IFERROR(VALUE(SUBSTITUTE(INDEX('04A_국토부원자료'!$A:$T,ROW()+1,MATCH("층",'04A_국토부원자료'!$A$4:$T$4,0)),",","")),"")</f>
        <v/>
      </c>
      <c r="K2167" s="152">
        <f>IFERROR(VALUE(SUBSTITUTE(INDEX('04A_국토부원자료'!$A:$T,ROW()+1,MATCH("건축년도",'04A_국토부원자료'!$A$4:$T$4,0)),",","")),"")</f>
        <v/>
      </c>
      <c r="L2167" s="48">
        <f>IFERROR(INDEX('04A_국토부원자료'!$A:$T,ROW()+1,MATCH("도로명",'04A_국토부원자료'!$A$4:$T$4,0)),"")</f>
        <v/>
      </c>
      <c r="M2167" s="48">
        <f>IFERROR(INDEX('04A_국토부원자료'!$A:$T,ROW()+1,MATCH("거래유형",'04A_국토부원자료'!$A$4:$T$4,0)),"")</f>
        <v/>
      </c>
      <c r="N2167" s="152">
        <f>IF(B2167="","",IF('02_대상물건입력'!B5="",1,IF(ISNUMBER(SEARCH('02_대상물건입력'!B5,B2167)),1,0)))</f>
        <v/>
      </c>
      <c r="O2167" s="152">
        <f>IF(B2167="","",IF('02_대상물건입력'!B6="",1,IF(ISNUMBER(SEARCH('02_대상물건입력'!B6,B2167)),1,0)))</f>
        <v/>
      </c>
      <c r="P2167" s="152">
        <f>IF(L2167="","",IF('02_대상물건입력'!B15="",0,IF(ISNUMBER(SEARCH('02_대상물건입력'!B15,L2167)),1,0)))</f>
        <v/>
      </c>
      <c r="Q2167" s="152">
        <f>IF(OR(C2167="",L2167=""),0,IF(AND(TRIM(C2167)=TRIM(RIGHT(SUBSTITUTE(TRIM('02_대상물건입력'!$B$7)," ",REPT(" ",99)),99)),IF('02_대상물건입력'!B15="",TRUE(),ISNUMBER(SEARCH('02_대상물건입력'!B15,L2167)))),1,0))</f>
        <v/>
      </c>
      <c r="R2167" s="175">
        <f>IFERROR(ABS(E2167-'02_대상물건입력'!B11)/'02_대상물건입력'!B11,"")</f>
        <v/>
      </c>
      <c r="S2167" s="152">
        <f>IFERROR(ABS(J2167-'02_대상물건입력'!B10),"")</f>
        <v/>
      </c>
      <c r="T2167" s="152">
        <f>IFERROR(ABS('01_설정'!B4-F2167),"")</f>
        <v/>
      </c>
      <c r="U2167" s="152">
        <f>IFERROR(ABS(K2167-YEAR('02_대상물건입력'!B14)),"")</f>
        <v/>
      </c>
      <c r="V2167" s="152">
        <f>IF(B2167="","",IF(AND(E2167&gt;0,F2167&gt;0,H2167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2167=1,TRUE()),R2167&lt;='01_설정'!B5,S2167&lt;='01_설정'!B6,T2167&lt;='01_설정'!B7,U2167&lt;='01_설정'!B8),"Y",""))</f>
        <v/>
      </c>
      <c r="W2167" s="172">
        <f>IF(V2167&lt;&gt;"Y","",MAX(0,(1-R2167/'01_설정'!B5))*'01_설정'!B14+MAX(0,(1-S2167/'01_설정'!B6))*'01_설정'!B15+MAX(0,(1-T2167/'01_설정'!B7))*'01_설정'!B16+MAX(0,(1-U2167/'01_설정'!B8))*'01_설정'!B17+O2167*'01_설정'!B11+Q2167*'01_설정'!B12+P2167*'01_설정'!B13+IF(Z2167="",0,Z2167))</f>
        <v/>
      </c>
      <c r="X2167" s="152">
        <f>IF(W2167="","",1+COUNTIFS($W$4:$W$3003,"&gt;"&amp;W2167)+COUNTIFS($W$4:W2167,W2167)-1)</f>
        <v/>
      </c>
      <c r="Y2167" s="175">
        <f>IF(OR(I2167="",'02_대상물건입력'!B19="",'02_대상물건입력'!B19&lt;=0),"",ABS(I2167-'02_대상물건입력'!B19)/'02_대상물건입력'!B19)</f>
        <v/>
      </c>
      <c r="Z2167" s="172">
        <f>IF(OR(Y2167="",'01_설정'!B31="",'01_설정'!B31&lt;=0,'01_설정'!B32="",'01_설정'!B32&lt;=0),"",MAX(0,(1-Y2167/'01_설정'!B32))*'01_설정'!B31)</f>
        <v/>
      </c>
    </row>
    <row r="2168" ht="17.25" customHeight="1">
      <c r="A2168" s="152">
        <f>IF(INDEX('04A_국토부원자료'!$A:$A,ROW()+1)="","",ROW()-3)</f>
        <v/>
      </c>
      <c r="B2168" s="48">
        <f>IFERROR(INDEX('04A_국토부원자료'!$A:$T,ROW()+1,MATCH("시군구",'04A_국토부원자료'!$A$4:$T$4,0)),"")</f>
        <v/>
      </c>
      <c r="C2168" s="48">
        <f>IF(B2168="","",IFERROR(INDEX('04A_국토부원자료'!$A:$T,ROW()+1,MATCH("번지",'04A_국토부원자료'!$A$4:$T$4,0)),""))</f>
        <v/>
      </c>
      <c r="D2168" s="48">
        <f>IF(B2168="","",IF(Q2168=1,'02_대상물건입력'!$B$8,IFERROR(INDEX('04A_국토부원자료'!$A:$T,ROW()+1,MATCH("단지명",'04A_국토부원자료'!$A$4:$T$4,0)),"")))</f>
        <v/>
      </c>
      <c r="E2168" s="172">
        <f>IFERROR(VALUE(SUBSTITUTE(INDEX('04A_국토부원자료'!$A:$T,ROW()+1,MATCH("전용면적(㎡)",'04A_국토부원자료'!$A$4:$T$4,0)),",","")),"")</f>
        <v/>
      </c>
      <c r="F21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68" s="51">
        <f>IFERROR(VALUE(SUBSTITUTE(INDEX('04A_국토부원자료'!$A:$T,ROW()+1,MATCH("거래금액(만원)",'04A_국토부원자료'!$A$4:$T$4,0)),",","")),"")</f>
        <v/>
      </c>
      <c r="H2168" s="174">
        <f>IF(G2168="","",G2168*10000)</f>
        <v/>
      </c>
      <c r="I2168" s="174">
        <f>IFERROR(IF(AND(H2168&gt;0,E2168&gt;0),H2168/E2168,""),"")</f>
        <v/>
      </c>
      <c r="J2168" s="152">
        <f>IFERROR(VALUE(SUBSTITUTE(INDEX('04A_국토부원자료'!$A:$T,ROW()+1,MATCH("층",'04A_국토부원자료'!$A$4:$T$4,0)),",","")),"")</f>
        <v/>
      </c>
      <c r="K2168" s="152">
        <f>IFERROR(VALUE(SUBSTITUTE(INDEX('04A_국토부원자료'!$A:$T,ROW()+1,MATCH("건축년도",'04A_국토부원자료'!$A$4:$T$4,0)),",","")),"")</f>
        <v/>
      </c>
      <c r="L2168" s="48">
        <f>IFERROR(INDEX('04A_국토부원자료'!$A:$T,ROW()+1,MATCH("도로명",'04A_국토부원자료'!$A$4:$T$4,0)),"")</f>
        <v/>
      </c>
      <c r="M2168" s="48">
        <f>IFERROR(INDEX('04A_국토부원자료'!$A:$T,ROW()+1,MATCH("거래유형",'04A_국토부원자료'!$A$4:$T$4,0)),"")</f>
        <v/>
      </c>
      <c r="N2168" s="152">
        <f>IF(B2168="","",IF('02_대상물건입력'!B5="",1,IF(ISNUMBER(SEARCH('02_대상물건입력'!B5,B2168)),1,0)))</f>
        <v/>
      </c>
      <c r="O2168" s="152">
        <f>IF(B2168="","",IF('02_대상물건입력'!B6="",1,IF(ISNUMBER(SEARCH('02_대상물건입력'!B6,B2168)),1,0)))</f>
        <v/>
      </c>
      <c r="P2168" s="152">
        <f>IF(L2168="","",IF('02_대상물건입력'!B15="",0,IF(ISNUMBER(SEARCH('02_대상물건입력'!B15,L2168)),1,0)))</f>
        <v/>
      </c>
      <c r="Q2168" s="152">
        <f>IF(OR(C2168="",L2168=""),0,IF(AND(TRIM(C2168)=TRIM(RIGHT(SUBSTITUTE(TRIM('02_대상물건입력'!$B$7)," ",REPT(" ",99)),99)),IF('02_대상물건입력'!B15="",TRUE(),ISNUMBER(SEARCH('02_대상물건입력'!B15,L2168)))),1,0))</f>
        <v/>
      </c>
      <c r="R2168" s="175">
        <f>IFERROR(ABS(E2168-'02_대상물건입력'!B11)/'02_대상물건입력'!B11,"")</f>
        <v/>
      </c>
      <c r="S2168" s="152">
        <f>IFERROR(ABS(J2168-'02_대상물건입력'!B10),"")</f>
        <v/>
      </c>
      <c r="T2168" s="152">
        <f>IFERROR(ABS('01_설정'!B4-F2168),"")</f>
        <v/>
      </c>
      <c r="U2168" s="152">
        <f>IFERROR(ABS(K2168-YEAR('02_대상물건입력'!B14)),"")</f>
        <v/>
      </c>
      <c r="V2168" s="152">
        <f>IF(B2168="","",IF(AND(E2168&gt;0,F2168&gt;0,H2168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2168=1,TRUE()),R2168&lt;='01_설정'!B5,S2168&lt;='01_설정'!B6,T2168&lt;='01_설정'!B7,U2168&lt;='01_설정'!B8),"Y",""))</f>
        <v/>
      </c>
      <c r="W2168" s="172">
        <f>IF(V2168&lt;&gt;"Y","",MAX(0,(1-R2168/'01_설정'!B5))*'01_설정'!B14+MAX(0,(1-S2168/'01_설정'!B6))*'01_설정'!B15+MAX(0,(1-T2168/'01_설정'!B7))*'01_설정'!B16+MAX(0,(1-U2168/'01_설정'!B8))*'01_설정'!B17+O2168*'01_설정'!B11+Q2168*'01_설정'!B12+P2168*'01_설정'!B13+IF(Z2168="",0,Z2168))</f>
        <v/>
      </c>
      <c r="X2168" s="152">
        <f>IF(W2168="","",1+COUNTIFS($W$4:$W$3003,"&gt;"&amp;W2168)+COUNTIFS($W$4:W2168,W2168)-1)</f>
        <v/>
      </c>
      <c r="Y2168" s="175">
        <f>IF(OR(I2168="",'02_대상물건입력'!B19="",'02_대상물건입력'!B19&lt;=0),"",ABS(I2168-'02_대상물건입력'!B19)/'02_대상물건입력'!B19)</f>
        <v/>
      </c>
      <c r="Z2168" s="172">
        <f>IF(OR(Y2168="",'01_설정'!B31="",'01_설정'!B31&lt;=0,'01_설정'!B32="",'01_설정'!B32&lt;=0),"",MAX(0,(1-Y2168/'01_설정'!B32))*'01_설정'!B31)</f>
        <v/>
      </c>
    </row>
    <row r="2169" ht="17.25" customHeight="1">
      <c r="A2169" s="152">
        <f>IF(INDEX('04A_국토부원자료'!$A:$A,ROW()+1)="","",ROW()-3)</f>
        <v/>
      </c>
      <c r="B2169" s="48">
        <f>IFERROR(INDEX('04A_국토부원자료'!$A:$T,ROW()+1,MATCH("시군구",'04A_국토부원자료'!$A$4:$T$4,0)),"")</f>
        <v/>
      </c>
      <c r="C2169" s="48">
        <f>IF(B2169="","",IFERROR(INDEX('04A_국토부원자료'!$A:$T,ROW()+1,MATCH("번지",'04A_국토부원자료'!$A$4:$T$4,0)),""))</f>
        <v/>
      </c>
      <c r="D2169" s="48">
        <f>IF(B2169="","",IF(Q2169=1,'02_대상물건입력'!$B$8,IFERROR(INDEX('04A_국토부원자료'!$A:$T,ROW()+1,MATCH("단지명",'04A_국토부원자료'!$A$4:$T$4,0)),"")))</f>
        <v/>
      </c>
      <c r="E2169" s="172">
        <f>IFERROR(VALUE(SUBSTITUTE(INDEX('04A_국토부원자료'!$A:$T,ROW()+1,MATCH("전용면적(㎡)",'04A_국토부원자료'!$A$4:$T$4,0)),",","")),"")</f>
        <v/>
      </c>
      <c r="F21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69" s="51">
        <f>IFERROR(VALUE(SUBSTITUTE(INDEX('04A_국토부원자료'!$A:$T,ROW()+1,MATCH("거래금액(만원)",'04A_국토부원자료'!$A$4:$T$4,0)),",","")),"")</f>
        <v/>
      </c>
      <c r="H2169" s="174">
        <f>IF(G2169="","",G2169*10000)</f>
        <v/>
      </c>
      <c r="I2169" s="174">
        <f>IFERROR(IF(AND(H2169&gt;0,E2169&gt;0),H2169/E2169,""),"")</f>
        <v/>
      </c>
      <c r="J2169" s="152">
        <f>IFERROR(VALUE(SUBSTITUTE(INDEX('04A_국토부원자료'!$A:$T,ROW()+1,MATCH("층",'04A_국토부원자료'!$A$4:$T$4,0)),",","")),"")</f>
        <v/>
      </c>
      <c r="K2169" s="152">
        <f>IFERROR(VALUE(SUBSTITUTE(INDEX('04A_국토부원자료'!$A:$T,ROW()+1,MATCH("건축년도",'04A_국토부원자료'!$A$4:$T$4,0)),",","")),"")</f>
        <v/>
      </c>
      <c r="L2169" s="48">
        <f>IFERROR(INDEX('04A_국토부원자료'!$A:$T,ROW()+1,MATCH("도로명",'04A_국토부원자료'!$A$4:$T$4,0)),"")</f>
        <v/>
      </c>
      <c r="M2169" s="48">
        <f>IFERROR(INDEX('04A_국토부원자료'!$A:$T,ROW()+1,MATCH("거래유형",'04A_국토부원자료'!$A$4:$T$4,0)),"")</f>
        <v/>
      </c>
      <c r="N2169" s="152">
        <f>IF(B2169="","",IF('02_대상물건입력'!B5="",1,IF(ISNUMBER(SEARCH('02_대상물건입력'!B5,B2169)),1,0)))</f>
        <v/>
      </c>
      <c r="O2169" s="152">
        <f>IF(B2169="","",IF('02_대상물건입력'!B6="",1,IF(ISNUMBER(SEARCH('02_대상물건입력'!B6,B2169)),1,0)))</f>
        <v/>
      </c>
      <c r="P2169" s="152">
        <f>IF(L2169="","",IF('02_대상물건입력'!B15="",0,IF(ISNUMBER(SEARCH('02_대상물건입력'!B15,L2169)),1,0)))</f>
        <v/>
      </c>
      <c r="Q2169" s="152">
        <f>IF(OR(C2169="",L2169=""),0,IF(AND(TRIM(C2169)=TRIM(RIGHT(SUBSTITUTE(TRIM('02_대상물건입력'!$B$7)," ",REPT(" ",99)),99)),IF('02_대상물건입력'!B15="",TRUE(),ISNUMBER(SEARCH('02_대상물건입력'!B15,L2169)))),1,0))</f>
        <v/>
      </c>
      <c r="R2169" s="175">
        <f>IFERROR(ABS(E2169-'02_대상물건입력'!B11)/'02_대상물건입력'!B11,"")</f>
        <v/>
      </c>
      <c r="S2169" s="152">
        <f>IFERROR(ABS(J2169-'02_대상물건입력'!B10),"")</f>
        <v/>
      </c>
      <c r="T2169" s="152">
        <f>IFERROR(ABS('01_설정'!B4-F2169),"")</f>
        <v/>
      </c>
      <c r="U2169" s="152">
        <f>IFERROR(ABS(K2169-YEAR('02_대상물건입력'!B14)),"")</f>
        <v/>
      </c>
      <c r="V2169" s="152">
        <f>IF(B2169="","",IF(AND(E2169&gt;0,F2169&gt;0,H2169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2169=1,TRUE()),R2169&lt;='01_설정'!B5,S2169&lt;='01_설정'!B6,T2169&lt;='01_설정'!B7,U2169&lt;='01_설정'!B8),"Y",""))</f>
        <v/>
      </c>
      <c r="W2169" s="172">
        <f>IF(V2169&lt;&gt;"Y","",MAX(0,(1-R2169/'01_설정'!B5))*'01_설정'!B14+MAX(0,(1-S2169/'01_설정'!B6))*'01_설정'!B15+MAX(0,(1-T2169/'01_설정'!B7))*'01_설정'!B16+MAX(0,(1-U2169/'01_설정'!B8))*'01_설정'!B17+O2169*'01_설정'!B11+Q2169*'01_설정'!B12+P2169*'01_설정'!B13+IF(Z2169="",0,Z2169))</f>
        <v/>
      </c>
      <c r="X2169" s="152">
        <f>IF(W2169="","",1+COUNTIFS($W$4:$W$3003,"&gt;"&amp;W2169)+COUNTIFS($W$4:W2169,W2169)-1)</f>
        <v/>
      </c>
      <c r="Y2169" s="175">
        <f>IF(OR(I2169="",'02_대상물건입력'!B19="",'02_대상물건입력'!B19&lt;=0),"",ABS(I2169-'02_대상물건입력'!B19)/'02_대상물건입력'!B19)</f>
        <v/>
      </c>
      <c r="Z2169" s="172">
        <f>IF(OR(Y2169="",'01_설정'!B31="",'01_설정'!B31&lt;=0,'01_설정'!B32="",'01_설정'!B32&lt;=0),"",MAX(0,(1-Y2169/'01_설정'!B32))*'01_설정'!B31)</f>
        <v/>
      </c>
    </row>
    <row r="2170" ht="17.25" customHeight="1">
      <c r="A2170" s="152">
        <f>IF(INDEX('04A_국토부원자료'!$A:$A,ROW()+1)="","",ROW()-3)</f>
        <v/>
      </c>
      <c r="B2170" s="48">
        <f>IFERROR(INDEX('04A_국토부원자료'!$A:$T,ROW()+1,MATCH("시군구",'04A_국토부원자료'!$A$4:$T$4,0)),"")</f>
        <v/>
      </c>
      <c r="C2170" s="48">
        <f>IF(B2170="","",IFERROR(INDEX('04A_국토부원자료'!$A:$T,ROW()+1,MATCH("번지",'04A_국토부원자료'!$A$4:$T$4,0)),""))</f>
        <v/>
      </c>
      <c r="D2170" s="48">
        <f>IF(B2170="","",IF(Q2170=1,'02_대상물건입력'!$B$8,IFERROR(INDEX('04A_국토부원자료'!$A:$T,ROW()+1,MATCH("단지명",'04A_국토부원자료'!$A$4:$T$4,0)),"")))</f>
        <v/>
      </c>
      <c r="E2170" s="172">
        <f>IFERROR(VALUE(SUBSTITUTE(INDEX('04A_국토부원자료'!$A:$T,ROW()+1,MATCH("전용면적(㎡)",'04A_국토부원자료'!$A$4:$T$4,0)),",","")),"")</f>
        <v/>
      </c>
      <c r="F21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70" s="51">
        <f>IFERROR(VALUE(SUBSTITUTE(INDEX('04A_국토부원자료'!$A:$T,ROW()+1,MATCH("거래금액(만원)",'04A_국토부원자료'!$A$4:$T$4,0)),",","")),"")</f>
        <v/>
      </c>
      <c r="H2170" s="174">
        <f>IF(G2170="","",G2170*10000)</f>
        <v/>
      </c>
      <c r="I2170" s="174">
        <f>IFERROR(IF(AND(H2170&gt;0,E2170&gt;0),H2170/E2170,""),"")</f>
        <v/>
      </c>
      <c r="J2170" s="152">
        <f>IFERROR(VALUE(SUBSTITUTE(INDEX('04A_국토부원자료'!$A:$T,ROW()+1,MATCH("층",'04A_국토부원자료'!$A$4:$T$4,0)),",","")),"")</f>
        <v/>
      </c>
      <c r="K2170" s="152">
        <f>IFERROR(VALUE(SUBSTITUTE(INDEX('04A_국토부원자료'!$A:$T,ROW()+1,MATCH("건축년도",'04A_국토부원자료'!$A$4:$T$4,0)),",","")),"")</f>
        <v/>
      </c>
      <c r="L2170" s="48">
        <f>IFERROR(INDEX('04A_국토부원자료'!$A:$T,ROW()+1,MATCH("도로명",'04A_국토부원자료'!$A$4:$T$4,0)),"")</f>
        <v/>
      </c>
      <c r="M2170" s="48">
        <f>IFERROR(INDEX('04A_국토부원자료'!$A:$T,ROW()+1,MATCH("거래유형",'04A_국토부원자료'!$A$4:$T$4,0)),"")</f>
        <v/>
      </c>
      <c r="N2170" s="152">
        <f>IF(B2170="","",IF('02_대상물건입력'!B5="",1,IF(ISNUMBER(SEARCH('02_대상물건입력'!B5,B2170)),1,0)))</f>
        <v/>
      </c>
      <c r="O2170" s="152">
        <f>IF(B2170="","",IF('02_대상물건입력'!B6="",1,IF(ISNUMBER(SEARCH('02_대상물건입력'!B6,B2170)),1,0)))</f>
        <v/>
      </c>
      <c r="P2170" s="152">
        <f>IF(L2170="","",IF('02_대상물건입력'!B15="",0,IF(ISNUMBER(SEARCH('02_대상물건입력'!B15,L2170)),1,0)))</f>
        <v/>
      </c>
      <c r="Q2170" s="152">
        <f>IF(OR(C2170="",L2170=""),0,IF(AND(TRIM(C2170)=TRIM(RIGHT(SUBSTITUTE(TRIM('02_대상물건입력'!$B$7)," ",REPT(" ",99)),99)),IF('02_대상물건입력'!B15="",TRUE(),ISNUMBER(SEARCH('02_대상물건입력'!B15,L2170)))),1,0))</f>
        <v/>
      </c>
      <c r="R2170" s="175">
        <f>IFERROR(ABS(E2170-'02_대상물건입력'!B11)/'02_대상물건입력'!B11,"")</f>
        <v/>
      </c>
      <c r="S2170" s="152">
        <f>IFERROR(ABS(J2170-'02_대상물건입력'!B10),"")</f>
        <v/>
      </c>
      <c r="T2170" s="152">
        <f>IFERROR(ABS('01_설정'!B4-F2170),"")</f>
        <v/>
      </c>
      <c r="U2170" s="152">
        <f>IFERROR(ABS(K2170-YEAR('02_대상물건입력'!B14)),"")</f>
        <v/>
      </c>
      <c r="V2170" s="152">
        <f>IF(B2170="","",IF(AND(E2170&gt;0,F2170&gt;0,H2170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2170=1,TRUE()),R2170&lt;='01_설정'!B5,S2170&lt;='01_설정'!B6,T2170&lt;='01_설정'!B7,U2170&lt;='01_설정'!B8),"Y",""))</f>
        <v/>
      </c>
      <c r="W2170" s="172">
        <f>IF(V2170&lt;&gt;"Y","",MAX(0,(1-R2170/'01_설정'!B5))*'01_설정'!B14+MAX(0,(1-S2170/'01_설정'!B6))*'01_설정'!B15+MAX(0,(1-T2170/'01_설정'!B7))*'01_설정'!B16+MAX(0,(1-U2170/'01_설정'!B8))*'01_설정'!B17+O2170*'01_설정'!B11+Q2170*'01_설정'!B12+P2170*'01_설정'!B13+IF(Z2170="",0,Z2170))</f>
        <v/>
      </c>
      <c r="X2170" s="152">
        <f>IF(W2170="","",1+COUNTIFS($W$4:$W$3003,"&gt;"&amp;W2170)+COUNTIFS($W$4:W2170,W2170)-1)</f>
        <v/>
      </c>
      <c r="Y2170" s="175">
        <f>IF(OR(I2170="",'02_대상물건입력'!B19="",'02_대상물건입력'!B19&lt;=0),"",ABS(I2170-'02_대상물건입력'!B19)/'02_대상물건입력'!B19)</f>
        <v/>
      </c>
      <c r="Z2170" s="172">
        <f>IF(OR(Y2170="",'01_설정'!B31="",'01_설정'!B31&lt;=0,'01_설정'!B32="",'01_설정'!B32&lt;=0),"",MAX(0,(1-Y2170/'01_설정'!B32))*'01_설정'!B31)</f>
        <v/>
      </c>
    </row>
    <row r="2171" ht="17.25" customHeight="1">
      <c r="A2171" s="152">
        <f>IF(INDEX('04A_국토부원자료'!$A:$A,ROW()+1)="","",ROW()-3)</f>
        <v/>
      </c>
      <c r="B2171" s="48">
        <f>IFERROR(INDEX('04A_국토부원자료'!$A:$T,ROW()+1,MATCH("시군구",'04A_국토부원자료'!$A$4:$T$4,0)),"")</f>
        <v/>
      </c>
      <c r="C2171" s="48">
        <f>IF(B2171="","",IFERROR(INDEX('04A_국토부원자료'!$A:$T,ROW()+1,MATCH("번지",'04A_국토부원자료'!$A$4:$T$4,0)),""))</f>
        <v/>
      </c>
      <c r="D2171" s="48">
        <f>IF(B2171="","",IF(Q2171=1,'02_대상물건입력'!$B$8,IFERROR(INDEX('04A_국토부원자료'!$A:$T,ROW()+1,MATCH("단지명",'04A_국토부원자료'!$A$4:$T$4,0)),"")))</f>
        <v/>
      </c>
      <c r="E2171" s="172">
        <f>IFERROR(VALUE(SUBSTITUTE(INDEX('04A_국토부원자료'!$A:$T,ROW()+1,MATCH("전용면적(㎡)",'04A_국토부원자료'!$A$4:$T$4,0)),",","")),"")</f>
        <v/>
      </c>
      <c r="F21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71" s="51">
        <f>IFERROR(VALUE(SUBSTITUTE(INDEX('04A_국토부원자료'!$A:$T,ROW()+1,MATCH("거래금액(만원)",'04A_국토부원자료'!$A$4:$T$4,0)),",","")),"")</f>
        <v/>
      </c>
      <c r="H2171" s="174">
        <f>IF(G2171="","",G2171*10000)</f>
        <v/>
      </c>
      <c r="I2171" s="174">
        <f>IFERROR(IF(AND(H2171&gt;0,E2171&gt;0),H2171/E2171,""),"")</f>
        <v/>
      </c>
      <c r="J2171" s="152">
        <f>IFERROR(VALUE(SUBSTITUTE(INDEX('04A_국토부원자료'!$A:$T,ROW()+1,MATCH("층",'04A_국토부원자료'!$A$4:$T$4,0)),",","")),"")</f>
        <v/>
      </c>
      <c r="K2171" s="152">
        <f>IFERROR(VALUE(SUBSTITUTE(INDEX('04A_국토부원자료'!$A:$T,ROW()+1,MATCH("건축년도",'04A_국토부원자료'!$A$4:$T$4,0)),",","")),"")</f>
        <v/>
      </c>
      <c r="L2171" s="48">
        <f>IFERROR(INDEX('04A_국토부원자료'!$A:$T,ROW()+1,MATCH("도로명",'04A_국토부원자료'!$A$4:$T$4,0)),"")</f>
        <v/>
      </c>
      <c r="M2171" s="48">
        <f>IFERROR(INDEX('04A_국토부원자료'!$A:$T,ROW()+1,MATCH("거래유형",'04A_국토부원자료'!$A$4:$T$4,0)),"")</f>
        <v/>
      </c>
      <c r="N2171" s="152">
        <f>IF(B2171="","",IF('02_대상물건입력'!B5="",1,IF(ISNUMBER(SEARCH('02_대상물건입력'!B5,B2171)),1,0)))</f>
        <v/>
      </c>
      <c r="O2171" s="152">
        <f>IF(B2171="","",IF('02_대상물건입력'!B6="",1,IF(ISNUMBER(SEARCH('02_대상물건입력'!B6,B2171)),1,0)))</f>
        <v/>
      </c>
      <c r="P2171" s="152">
        <f>IF(L2171="","",IF('02_대상물건입력'!B15="",0,IF(ISNUMBER(SEARCH('02_대상물건입력'!B15,L2171)),1,0)))</f>
        <v/>
      </c>
      <c r="Q2171" s="152">
        <f>IF(OR(C2171="",L2171=""),0,IF(AND(TRIM(C2171)=TRIM(RIGHT(SUBSTITUTE(TRIM('02_대상물건입력'!$B$7)," ",REPT(" ",99)),99)),IF('02_대상물건입력'!B15="",TRUE(),ISNUMBER(SEARCH('02_대상물건입력'!B15,L2171)))),1,0))</f>
        <v/>
      </c>
      <c r="R2171" s="175">
        <f>IFERROR(ABS(E2171-'02_대상물건입력'!B11)/'02_대상물건입력'!B11,"")</f>
        <v/>
      </c>
      <c r="S2171" s="152">
        <f>IFERROR(ABS(J2171-'02_대상물건입력'!B10),"")</f>
        <v/>
      </c>
      <c r="T2171" s="152">
        <f>IFERROR(ABS('01_설정'!B4-F2171),"")</f>
        <v/>
      </c>
      <c r="U2171" s="152">
        <f>IFERROR(ABS(K2171-YEAR('02_대상물건입력'!B14)),"")</f>
        <v/>
      </c>
      <c r="V2171" s="152">
        <f>IF(B2171="","",IF(AND(E2171&gt;0,F2171&gt;0,H2171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2171=1,TRUE()),R2171&lt;='01_설정'!B5,S2171&lt;='01_설정'!B6,T2171&lt;='01_설정'!B7,U2171&lt;='01_설정'!B8),"Y",""))</f>
        <v/>
      </c>
      <c r="W2171" s="172">
        <f>IF(V2171&lt;&gt;"Y","",MAX(0,(1-R2171/'01_설정'!B5))*'01_설정'!B14+MAX(0,(1-S2171/'01_설정'!B6))*'01_설정'!B15+MAX(0,(1-T2171/'01_설정'!B7))*'01_설정'!B16+MAX(0,(1-U2171/'01_설정'!B8))*'01_설정'!B17+O2171*'01_설정'!B11+Q2171*'01_설정'!B12+P2171*'01_설정'!B13+IF(Z2171="",0,Z2171))</f>
        <v/>
      </c>
      <c r="X2171" s="152">
        <f>IF(W2171="","",1+COUNTIFS($W$4:$W$3003,"&gt;"&amp;W2171)+COUNTIFS($W$4:W2171,W2171)-1)</f>
        <v/>
      </c>
      <c r="Y2171" s="175">
        <f>IF(OR(I2171="",'02_대상물건입력'!B19="",'02_대상물건입력'!B19&lt;=0),"",ABS(I2171-'02_대상물건입력'!B19)/'02_대상물건입력'!B19)</f>
        <v/>
      </c>
      <c r="Z2171" s="172">
        <f>IF(OR(Y2171="",'01_설정'!B31="",'01_설정'!B31&lt;=0,'01_설정'!B32="",'01_설정'!B32&lt;=0),"",MAX(0,(1-Y2171/'01_설정'!B32))*'01_설정'!B31)</f>
        <v/>
      </c>
    </row>
    <row r="2172" ht="17.25" customHeight="1">
      <c r="A2172" s="152">
        <f>IF(INDEX('04A_국토부원자료'!$A:$A,ROW()+1)="","",ROW()-3)</f>
        <v/>
      </c>
      <c r="B2172" s="48">
        <f>IFERROR(INDEX('04A_국토부원자료'!$A:$T,ROW()+1,MATCH("시군구",'04A_국토부원자료'!$A$4:$T$4,0)),"")</f>
        <v/>
      </c>
      <c r="C2172" s="48">
        <f>IF(B2172="","",IFERROR(INDEX('04A_국토부원자료'!$A:$T,ROW()+1,MATCH("번지",'04A_국토부원자료'!$A$4:$T$4,0)),""))</f>
        <v/>
      </c>
      <c r="D2172" s="48">
        <f>IF(B2172="","",IF(Q2172=1,'02_대상물건입력'!$B$8,IFERROR(INDEX('04A_국토부원자료'!$A:$T,ROW()+1,MATCH("단지명",'04A_국토부원자료'!$A$4:$T$4,0)),"")))</f>
        <v/>
      </c>
      <c r="E2172" s="172">
        <f>IFERROR(VALUE(SUBSTITUTE(INDEX('04A_국토부원자료'!$A:$T,ROW()+1,MATCH("전용면적(㎡)",'04A_국토부원자료'!$A$4:$T$4,0)),",","")),"")</f>
        <v/>
      </c>
      <c r="F21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72" s="51">
        <f>IFERROR(VALUE(SUBSTITUTE(INDEX('04A_국토부원자료'!$A:$T,ROW()+1,MATCH("거래금액(만원)",'04A_국토부원자료'!$A$4:$T$4,0)),",","")),"")</f>
        <v/>
      </c>
      <c r="H2172" s="174">
        <f>IF(G2172="","",G2172*10000)</f>
        <v/>
      </c>
      <c r="I2172" s="174">
        <f>IFERROR(IF(AND(H2172&gt;0,E2172&gt;0),H2172/E2172,""),"")</f>
        <v/>
      </c>
      <c r="J2172" s="152">
        <f>IFERROR(VALUE(SUBSTITUTE(INDEX('04A_국토부원자료'!$A:$T,ROW()+1,MATCH("층",'04A_국토부원자료'!$A$4:$T$4,0)),",","")),"")</f>
        <v/>
      </c>
      <c r="K2172" s="152">
        <f>IFERROR(VALUE(SUBSTITUTE(INDEX('04A_국토부원자료'!$A:$T,ROW()+1,MATCH("건축년도",'04A_국토부원자료'!$A$4:$T$4,0)),",","")),"")</f>
        <v/>
      </c>
      <c r="L2172" s="48">
        <f>IFERROR(INDEX('04A_국토부원자료'!$A:$T,ROW()+1,MATCH("도로명",'04A_국토부원자료'!$A$4:$T$4,0)),"")</f>
        <v/>
      </c>
      <c r="M2172" s="48">
        <f>IFERROR(INDEX('04A_국토부원자료'!$A:$T,ROW()+1,MATCH("거래유형",'04A_국토부원자료'!$A$4:$T$4,0)),"")</f>
        <v/>
      </c>
      <c r="N2172" s="152">
        <f>IF(B2172="","",IF('02_대상물건입력'!B5="",1,IF(ISNUMBER(SEARCH('02_대상물건입력'!B5,B2172)),1,0)))</f>
        <v/>
      </c>
      <c r="O2172" s="152">
        <f>IF(B2172="","",IF('02_대상물건입력'!B6="",1,IF(ISNUMBER(SEARCH('02_대상물건입력'!B6,B2172)),1,0)))</f>
        <v/>
      </c>
      <c r="P2172" s="152">
        <f>IF(L2172="","",IF('02_대상물건입력'!B15="",0,IF(ISNUMBER(SEARCH('02_대상물건입력'!B15,L2172)),1,0)))</f>
        <v/>
      </c>
      <c r="Q2172" s="152">
        <f>IF(OR(C2172="",L2172=""),0,IF(AND(TRIM(C2172)=TRIM(RIGHT(SUBSTITUTE(TRIM('02_대상물건입력'!$B$7)," ",REPT(" ",99)),99)),IF('02_대상물건입력'!B15="",TRUE(),ISNUMBER(SEARCH('02_대상물건입력'!B15,L2172)))),1,0))</f>
        <v/>
      </c>
      <c r="R2172" s="175">
        <f>IFERROR(ABS(E2172-'02_대상물건입력'!B11)/'02_대상물건입력'!B11,"")</f>
        <v/>
      </c>
      <c r="S2172" s="152">
        <f>IFERROR(ABS(J2172-'02_대상물건입력'!B10),"")</f>
        <v/>
      </c>
      <c r="T2172" s="152">
        <f>IFERROR(ABS('01_설정'!B4-F2172),"")</f>
        <v/>
      </c>
      <c r="U2172" s="152">
        <f>IFERROR(ABS(K2172-YEAR('02_대상물건입력'!B14)),"")</f>
        <v/>
      </c>
      <c r="V2172" s="152">
        <f>IF(B2172="","",IF(AND(E2172&gt;0,F2172&gt;0,H2172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2172=1,TRUE()),R2172&lt;='01_설정'!B5,S2172&lt;='01_설정'!B6,T2172&lt;='01_설정'!B7,U2172&lt;='01_설정'!B8),"Y",""))</f>
        <v/>
      </c>
      <c r="W2172" s="172">
        <f>IF(V2172&lt;&gt;"Y","",MAX(0,(1-R2172/'01_설정'!B5))*'01_설정'!B14+MAX(0,(1-S2172/'01_설정'!B6))*'01_설정'!B15+MAX(0,(1-T2172/'01_설정'!B7))*'01_설정'!B16+MAX(0,(1-U2172/'01_설정'!B8))*'01_설정'!B17+O2172*'01_설정'!B11+Q2172*'01_설정'!B12+P2172*'01_설정'!B13+IF(Z2172="",0,Z2172))</f>
        <v/>
      </c>
      <c r="X2172" s="152">
        <f>IF(W2172="","",1+COUNTIFS($W$4:$W$3003,"&gt;"&amp;W2172)+COUNTIFS($W$4:W2172,W2172)-1)</f>
        <v/>
      </c>
      <c r="Y2172" s="175">
        <f>IF(OR(I2172="",'02_대상물건입력'!B19="",'02_대상물건입력'!B19&lt;=0),"",ABS(I2172-'02_대상물건입력'!B19)/'02_대상물건입력'!B19)</f>
        <v/>
      </c>
      <c r="Z2172" s="172">
        <f>IF(OR(Y2172="",'01_설정'!B31="",'01_설정'!B31&lt;=0,'01_설정'!B32="",'01_설정'!B32&lt;=0),"",MAX(0,(1-Y2172/'01_설정'!B32))*'01_설정'!B31)</f>
        <v/>
      </c>
    </row>
    <row r="2173" ht="17.25" customHeight="1">
      <c r="A2173" s="152">
        <f>IF(INDEX('04A_국토부원자료'!$A:$A,ROW()+1)="","",ROW()-3)</f>
        <v/>
      </c>
      <c r="B2173" s="48">
        <f>IFERROR(INDEX('04A_국토부원자료'!$A:$T,ROW()+1,MATCH("시군구",'04A_국토부원자료'!$A$4:$T$4,0)),"")</f>
        <v/>
      </c>
      <c r="C2173" s="48">
        <f>IF(B2173="","",IFERROR(INDEX('04A_국토부원자료'!$A:$T,ROW()+1,MATCH("번지",'04A_국토부원자료'!$A$4:$T$4,0)),""))</f>
        <v/>
      </c>
      <c r="D2173" s="48">
        <f>IF(B2173="","",IF(Q2173=1,'02_대상물건입력'!$B$8,IFERROR(INDEX('04A_국토부원자료'!$A:$T,ROW()+1,MATCH("단지명",'04A_국토부원자료'!$A$4:$T$4,0)),"")))</f>
        <v/>
      </c>
      <c r="E2173" s="172">
        <f>IFERROR(VALUE(SUBSTITUTE(INDEX('04A_국토부원자료'!$A:$T,ROW()+1,MATCH("전용면적(㎡)",'04A_국토부원자료'!$A$4:$T$4,0)),",","")),"")</f>
        <v/>
      </c>
      <c r="F21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73" s="51">
        <f>IFERROR(VALUE(SUBSTITUTE(INDEX('04A_국토부원자료'!$A:$T,ROW()+1,MATCH("거래금액(만원)",'04A_국토부원자료'!$A$4:$T$4,0)),",","")),"")</f>
        <v/>
      </c>
      <c r="H2173" s="174">
        <f>IF(G2173="","",G2173*10000)</f>
        <v/>
      </c>
      <c r="I2173" s="174">
        <f>IFERROR(IF(AND(H2173&gt;0,E2173&gt;0),H2173/E2173,""),"")</f>
        <v/>
      </c>
      <c r="J2173" s="152">
        <f>IFERROR(VALUE(SUBSTITUTE(INDEX('04A_국토부원자료'!$A:$T,ROW()+1,MATCH("층",'04A_국토부원자료'!$A$4:$T$4,0)),",","")),"")</f>
        <v/>
      </c>
      <c r="K2173" s="152">
        <f>IFERROR(VALUE(SUBSTITUTE(INDEX('04A_국토부원자료'!$A:$T,ROW()+1,MATCH("건축년도",'04A_국토부원자료'!$A$4:$T$4,0)),",","")),"")</f>
        <v/>
      </c>
      <c r="L2173" s="48">
        <f>IFERROR(INDEX('04A_국토부원자료'!$A:$T,ROW()+1,MATCH("도로명",'04A_국토부원자료'!$A$4:$T$4,0)),"")</f>
        <v/>
      </c>
      <c r="M2173" s="48">
        <f>IFERROR(INDEX('04A_국토부원자료'!$A:$T,ROW()+1,MATCH("거래유형",'04A_국토부원자료'!$A$4:$T$4,0)),"")</f>
        <v/>
      </c>
      <c r="N2173" s="152">
        <f>IF(B2173="","",IF('02_대상물건입력'!B5="",1,IF(ISNUMBER(SEARCH('02_대상물건입력'!B5,B2173)),1,0)))</f>
        <v/>
      </c>
      <c r="O2173" s="152">
        <f>IF(B2173="","",IF('02_대상물건입력'!B6="",1,IF(ISNUMBER(SEARCH('02_대상물건입력'!B6,B2173)),1,0)))</f>
        <v/>
      </c>
      <c r="P2173" s="152">
        <f>IF(L2173="","",IF('02_대상물건입력'!B15="",0,IF(ISNUMBER(SEARCH('02_대상물건입력'!B15,L2173)),1,0)))</f>
        <v/>
      </c>
      <c r="Q2173" s="152">
        <f>IF(OR(C2173="",L2173=""),0,IF(AND(TRIM(C2173)=TRIM(RIGHT(SUBSTITUTE(TRIM('02_대상물건입력'!$B$7)," ",REPT(" ",99)),99)),IF('02_대상물건입력'!B15="",TRUE(),ISNUMBER(SEARCH('02_대상물건입력'!B15,L2173)))),1,0))</f>
        <v/>
      </c>
      <c r="R2173" s="175">
        <f>IFERROR(ABS(E2173-'02_대상물건입력'!B11)/'02_대상물건입력'!B11,"")</f>
        <v/>
      </c>
      <c r="S2173" s="152">
        <f>IFERROR(ABS(J2173-'02_대상물건입력'!B10),"")</f>
        <v/>
      </c>
      <c r="T2173" s="152">
        <f>IFERROR(ABS('01_설정'!B4-F2173),"")</f>
        <v/>
      </c>
      <c r="U2173" s="152">
        <f>IFERROR(ABS(K2173-YEAR('02_대상물건입력'!B14)),"")</f>
        <v/>
      </c>
      <c r="V2173" s="152">
        <f>IF(B2173="","",IF(AND(E2173&gt;0,F2173&gt;0,H2173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2173=1,TRUE()),R2173&lt;='01_설정'!B5,S2173&lt;='01_설정'!B6,T2173&lt;='01_설정'!B7,U2173&lt;='01_설정'!B8),"Y",""))</f>
        <v/>
      </c>
      <c r="W2173" s="172">
        <f>IF(V2173&lt;&gt;"Y","",MAX(0,(1-R2173/'01_설정'!B5))*'01_설정'!B14+MAX(0,(1-S2173/'01_설정'!B6))*'01_설정'!B15+MAX(0,(1-T2173/'01_설정'!B7))*'01_설정'!B16+MAX(0,(1-U2173/'01_설정'!B8))*'01_설정'!B17+O2173*'01_설정'!B11+Q2173*'01_설정'!B12+P2173*'01_설정'!B13+IF(Z2173="",0,Z2173))</f>
        <v/>
      </c>
      <c r="X2173" s="152">
        <f>IF(W2173="","",1+COUNTIFS($W$4:$W$3003,"&gt;"&amp;W2173)+COUNTIFS($W$4:W2173,W2173)-1)</f>
        <v/>
      </c>
      <c r="Y2173" s="175">
        <f>IF(OR(I2173="",'02_대상물건입력'!B19="",'02_대상물건입력'!B19&lt;=0),"",ABS(I2173-'02_대상물건입력'!B19)/'02_대상물건입력'!B19)</f>
        <v/>
      </c>
      <c r="Z2173" s="172">
        <f>IF(OR(Y2173="",'01_설정'!B31="",'01_설정'!B31&lt;=0,'01_설정'!B32="",'01_설정'!B32&lt;=0),"",MAX(0,(1-Y2173/'01_설정'!B32))*'01_설정'!B31)</f>
        <v/>
      </c>
    </row>
    <row r="2174" ht="17.25" customHeight="1">
      <c r="A2174" s="152">
        <f>IF(INDEX('04A_국토부원자료'!$A:$A,ROW()+1)="","",ROW()-3)</f>
        <v/>
      </c>
      <c r="B2174" s="48">
        <f>IFERROR(INDEX('04A_국토부원자료'!$A:$T,ROW()+1,MATCH("시군구",'04A_국토부원자료'!$A$4:$T$4,0)),"")</f>
        <v/>
      </c>
      <c r="C2174" s="48">
        <f>IF(B2174="","",IFERROR(INDEX('04A_국토부원자료'!$A:$T,ROW()+1,MATCH("번지",'04A_국토부원자료'!$A$4:$T$4,0)),""))</f>
        <v/>
      </c>
      <c r="D2174" s="48">
        <f>IF(B2174="","",IF(Q2174=1,'02_대상물건입력'!$B$8,IFERROR(INDEX('04A_국토부원자료'!$A:$T,ROW()+1,MATCH("단지명",'04A_국토부원자료'!$A$4:$T$4,0)),"")))</f>
        <v/>
      </c>
      <c r="E2174" s="172">
        <f>IFERROR(VALUE(SUBSTITUTE(INDEX('04A_국토부원자료'!$A:$T,ROW()+1,MATCH("전용면적(㎡)",'04A_국토부원자료'!$A$4:$T$4,0)),",","")),"")</f>
        <v/>
      </c>
      <c r="F21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74" s="51">
        <f>IFERROR(VALUE(SUBSTITUTE(INDEX('04A_국토부원자료'!$A:$T,ROW()+1,MATCH("거래금액(만원)",'04A_국토부원자료'!$A$4:$T$4,0)),",","")),"")</f>
        <v/>
      </c>
      <c r="H2174" s="174">
        <f>IF(G2174="","",G2174*10000)</f>
        <v/>
      </c>
      <c r="I2174" s="174">
        <f>IFERROR(IF(AND(H2174&gt;0,E2174&gt;0),H2174/E2174,""),"")</f>
        <v/>
      </c>
      <c r="J2174" s="152">
        <f>IFERROR(VALUE(SUBSTITUTE(INDEX('04A_국토부원자료'!$A:$T,ROW()+1,MATCH("층",'04A_국토부원자료'!$A$4:$T$4,0)),",","")),"")</f>
        <v/>
      </c>
      <c r="K2174" s="152">
        <f>IFERROR(VALUE(SUBSTITUTE(INDEX('04A_국토부원자료'!$A:$T,ROW()+1,MATCH("건축년도",'04A_국토부원자료'!$A$4:$T$4,0)),",","")),"")</f>
        <v/>
      </c>
      <c r="L2174" s="48">
        <f>IFERROR(INDEX('04A_국토부원자료'!$A:$T,ROW()+1,MATCH("도로명",'04A_국토부원자료'!$A$4:$T$4,0)),"")</f>
        <v/>
      </c>
      <c r="M2174" s="48">
        <f>IFERROR(INDEX('04A_국토부원자료'!$A:$T,ROW()+1,MATCH("거래유형",'04A_국토부원자료'!$A$4:$T$4,0)),"")</f>
        <v/>
      </c>
      <c r="N2174" s="152">
        <f>IF(B2174="","",IF('02_대상물건입력'!B5="",1,IF(ISNUMBER(SEARCH('02_대상물건입력'!B5,B2174)),1,0)))</f>
        <v/>
      </c>
      <c r="O2174" s="152">
        <f>IF(B2174="","",IF('02_대상물건입력'!B6="",1,IF(ISNUMBER(SEARCH('02_대상물건입력'!B6,B2174)),1,0)))</f>
        <v/>
      </c>
      <c r="P2174" s="152">
        <f>IF(L2174="","",IF('02_대상물건입력'!B15="",0,IF(ISNUMBER(SEARCH('02_대상물건입력'!B15,L2174)),1,0)))</f>
        <v/>
      </c>
      <c r="Q2174" s="152">
        <f>IF(OR(C2174="",L2174=""),0,IF(AND(TRIM(C2174)=TRIM(RIGHT(SUBSTITUTE(TRIM('02_대상물건입력'!$B$7)," ",REPT(" ",99)),99)),IF('02_대상물건입력'!B15="",TRUE(),ISNUMBER(SEARCH('02_대상물건입력'!B15,L2174)))),1,0))</f>
        <v/>
      </c>
      <c r="R2174" s="175">
        <f>IFERROR(ABS(E2174-'02_대상물건입력'!B11)/'02_대상물건입력'!B11,"")</f>
        <v/>
      </c>
      <c r="S2174" s="152">
        <f>IFERROR(ABS(J2174-'02_대상물건입력'!B10),"")</f>
        <v/>
      </c>
      <c r="T2174" s="152">
        <f>IFERROR(ABS('01_설정'!B4-F2174),"")</f>
        <v/>
      </c>
      <c r="U2174" s="152">
        <f>IFERROR(ABS(K2174-YEAR('02_대상물건입력'!B14)),"")</f>
        <v/>
      </c>
      <c r="V2174" s="152">
        <f>IF(B2174="","",IF(AND(E2174&gt;0,F2174&gt;0,H2174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2174=1,TRUE()),R2174&lt;='01_설정'!B5,S2174&lt;='01_설정'!B6,T2174&lt;='01_설정'!B7,U2174&lt;='01_설정'!B8),"Y",""))</f>
        <v/>
      </c>
      <c r="W2174" s="172">
        <f>IF(V2174&lt;&gt;"Y","",MAX(0,(1-R2174/'01_설정'!B5))*'01_설정'!B14+MAX(0,(1-S2174/'01_설정'!B6))*'01_설정'!B15+MAX(0,(1-T2174/'01_설정'!B7))*'01_설정'!B16+MAX(0,(1-U2174/'01_설정'!B8))*'01_설정'!B17+O2174*'01_설정'!B11+Q2174*'01_설정'!B12+P2174*'01_설정'!B13+IF(Z2174="",0,Z2174))</f>
        <v/>
      </c>
      <c r="X2174" s="152">
        <f>IF(W2174="","",1+COUNTIFS($W$4:$W$3003,"&gt;"&amp;W2174)+COUNTIFS($W$4:W2174,W2174)-1)</f>
        <v/>
      </c>
      <c r="Y2174" s="175">
        <f>IF(OR(I2174="",'02_대상물건입력'!B19="",'02_대상물건입력'!B19&lt;=0),"",ABS(I2174-'02_대상물건입력'!B19)/'02_대상물건입력'!B19)</f>
        <v/>
      </c>
      <c r="Z2174" s="172">
        <f>IF(OR(Y2174="",'01_설정'!B31="",'01_설정'!B31&lt;=0,'01_설정'!B32="",'01_설정'!B32&lt;=0),"",MAX(0,(1-Y2174/'01_설정'!B32))*'01_설정'!B31)</f>
        <v/>
      </c>
    </row>
    <row r="2175" ht="17.25" customHeight="1">
      <c r="A2175" s="152">
        <f>IF(INDEX('04A_국토부원자료'!$A:$A,ROW()+1)="","",ROW()-3)</f>
        <v/>
      </c>
      <c r="B2175" s="48">
        <f>IFERROR(INDEX('04A_국토부원자료'!$A:$T,ROW()+1,MATCH("시군구",'04A_국토부원자료'!$A$4:$T$4,0)),"")</f>
        <v/>
      </c>
      <c r="C2175" s="48">
        <f>IF(B2175="","",IFERROR(INDEX('04A_국토부원자료'!$A:$T,ROW()+1,MATCH("번지",'04A_국토부원자료'!$A$4:$T$4,0)),""))</f>
        <v/>
      </c>
      <c r="D2175" s="48">
        <f>IF(B2175="","",IF(Q2175=1,'02_대상물건입력'!$B$8,IFERROR(INDEX('04A_국토부원자료'!$A:$T,ROW()+1,MATCH("단지명",'04A_국토부원자료'!$A$4:$T$4,0)),"")))</f>
        <v/>
      </c>
      <c r="E2175" s="172">
        <f>IFERROR(VALUE(SUBSTITUTE(INDEX('04A_국토부원자료'!$A:$T,ROW()+1,MATCH("전용면적(㎡)",'04A_국토부원자료'!$A$4:$T$4,0)),",","")),"")</f>
        <v/>
      </c>
      <c r="F21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75" s="51">
        <f>IFERROR(VALUE(SUBSTITUTE(INDEX('04A_국토부원자료'!$A:$T,ROW()+1,MATCH("거래금액(만원)",'04A_국토부원자료'!$A$4:$T$4,0)),",","")),"")</f>
        <v/>
      </c>
      <c r="H2175" s="174">
        <f>IF(G2175="","",G2175*10000)</f>
        <v/>
      </c>
      <c r="I2175" s="174">
        <f>IFERROR(IF(AND(H2175&gt;0,E2175&gt;0),H2175/E2175,""),"")</f>
        <v/>
      </c>
      <c r="J2175" s="152">
        <f>IFERROR(VALUE(SUBSTITUTE(INDEX('04A_국토부원자료'!$A:$T,ROW()+1,MATCH("층",'04A_국토부원자료'!$A$4:$T$4,0)),",","")),"")</f>
        <v/>
      </c>
      <c r="K2175" s="152">
        <f>IFERROR(VALUE(SUBSTITUTE(INDEX('04A_국토부원자료'!$A:$T,ROW()+1,MATCH("건축년도",'04A_국토부원자료'!$A$4:$T$4,0)),",","")),"")</f>
        <v/>
      </c>
      <c r="L2175" s="48">
        <f>IFERROR(INDEX('04A_국토부원자료'!$A:$T,ROW()+1,MATCH("도로명",'04A_국토부원자료'!$A$4:$T$4,0)),"")</f>
        <v/>
      </c>
      <c r="M2175" s="48">
        <f>IFERROR(INDEX('04A_국토부원자료'!$A:$T,ROW()+1,MATCH("거래유형",'04A_국토부원자료'!$A$4:$T$4,0)),"")</f>
        <v/>
      </c>
      <c r="N2175" s="152">
        <f>IF(B2175="","",IF('02_대상물건입력'!B5="",1,IF(ISNUMBER(SEARCH('02_대상물건입력'!B5,B2175)),1,0)))</f>
        <v/>
      </c>
      <c r="O2175" s="152">
        <f>IF(B2175="","",IF('02_대상물건입력'!B6="",1,IF(ISNUMBER(SEARCH('02_대상물건입력'!B6,B2175)),1,0)))</f>
        <v/>
      </c>
      <c r="P2175" s="152">
        <f>IF(L2175="","",IF('02_대상물건입력'!B15="",0,IF(ISNUMBER(SEARCH('02_대상물건입력'!B15,L2175)),1,0)))</f>
        <v/>
      </c>
      <c r="Q2175" s="152">
        <f>IF(OR(C2175="",L2175=""),0,IF(AND(TRIM(C2175)=TRIM(RIGHT(SUBSTITUTE(TRIM('02_대상물건입력'!$B$7)," ",REPT(" ",99)),99)),IF('02_대상물건입력'!B15="",TRUE(),ISNUMBER(SEARCH('02_대상물건입력'!B15,L2175)))),1,0))</f>
        <v/>
      </c>
      <c r="R2175" s="175">
        <f>IFERROR(ABS(E2175-'02_대상물건입력'!B11)/'02_대상물건입력'!B11,"")</f>
        <v/>
      </c>
      <c r="S2175" s="152">
        <f>IFERROR(ABS(J2175-'02_대상물건입력'!B10),"")</f>
        <v/>
      </c>
      <c r="T2175" s="152">
        <f>IFERROR(ABS('01_설정'!B4-F2175),"")</f>
        <v/>
      </c>
      <c r="U2175" s="152">
        <f>IFERROR(ABS(K2175-YEAR('02_대상물건입력'!B14)),"")</f>
        <v/>
      </c>
      <c r="V2175" s="152">
        <f>IF(B2175="","",IF(AND(E2175&gt;0,F2175&gt;0,H2175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2175=1,TRUE()),R2175&lt;='01_설정'!B5,S2175&lt;='01_설정'!B6,T2175&lt;='01_설정'!B7,U2175&lt;='01_설정'!B8),"Y",""))</f>
        <v/>
      </c>
      <c r="W2175" s="172">
        <f>IF(V2175&lt;&gt;"Y","",MAX(0,(1-R2175/'01_설정'!B5))*'01_설정'!B14+MAX(0,(1-S2175/'01_설정'!B6))*'01_설정'!B15+MAX(0,(1-T2175/'01_설정'!B7))*'01_설정'!B16+MAX(0,(1-U2175/'01_설정'!B8))*'01_설정'!B17+O2175*'01_설정'!B11+Q2175*'01_설정'!B12+P2175*'01_설정'!B13+IF(Z2175="",0,Z2175))</f>
        <v/>
      </c>
      <c r="X2175" s="152">
        <f>IF(W2175="","",1+COUNTIFS($W$4:$W$3003,"&gt;"&amp;W2175)+COUNTIFS($W$4:W2175,W2175)-1)</f>
        <v/>
      </c>
      <c r="Y2175" s="175">
        <f>IF(OR(I2175="",'02_대상물건입력'!B19="",'02_대상물건입력'!B19&lt;=0),"",ABS(I2175-'02_대상물건입력'!B19)/'02_대상물건입력'!B19)</f>
        <v/>
      </c>
      <c r="Z2175" s="172">
        <f>IF(OR(Y2175="",'01_설정'!B31="",'01_설정'!B31&lt;=0,'01_설정'!B32="",'01_설정'!B32&lt;=0),"",MAX(0,(1-Y2175/'01_설정'!B32))*'01_설정'!B31)</f>
        <v/>
      </c>
    </row>
    <row r="2176" ht="17.25" customHeight="1">
      <c r="A2176" s="152">
        <f>IF(INDEX('04A_국토부원자료'!$A:$A,ROW()+1)="","",ROW()-3)</f>
        <v/>
      </c>
      <c r="B2176" s="48">
        <f>IFERROR(INDEX('04A_국토부원자료'!$A:$T,ROW()+1,MATCH("시군구",'04A_국토부원자료'!$A$4:$T$4,0)),"")</f>
        <v/>
      </c>
      <c r="C2176" s="48">
        <f>IF(B2176="","",IFERROR(INDEX('04A_국토부원자료'!$A:$T,ROW()+1,MATCH("번지",'04A_국토부원자료'!$A$4:$T$4,0)),""))</f>
        <v/>
      </c>
      <c r="D2176" s="48">
        <f>IF(B2176="","",IF(Q2176=1,'02_대상물건입력'!$B$8,IFERROR(INDEX('04A_국토부원자료'!$A:$T,ROW()+1,MATCH("단지명",'04A_국토부원자료'!$A$4:$T$4,0)),"")))</f>
        <v/>
      </c>
      <c r="E2176" s="172">
        <f>IFERROR(VALUE(SUBSTITUTE(INDEX('04A_국토부원자료'!$A:$T,ROW()+1,MATCH("전용면적(㎡)",'04A_국토부원자료'!$A$4:$T$4,0)),",","")),"")</f>
        <v/>
      </c>
      <c r="F21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76" s="51">
        <f>IFERROR(VALUE(SUBSTITUTE(INDEX('04A_국토부원자료'!$A:$T,ROW()+1,MATCH("거래금액(만원)",'04A_국토부원자료'!$A$4:$T$4,0)),",","")),"")</f>
        <v/>
      </c>
      <c r="H2176" s="174">
        <f>IF(G2176="","",G2176*10000)</f>
        <v/>
      </c>
      <c r="I2176" s="174">
        <f>IFERROR(IF(AND(H2176&gt;0,E2176&gt;0),H2176/E2176,""),"")</f>
        <v/>
      </c>
      <c r="J2176" s="152">
        <f>IFERROR(VALUE(SUBSTITUTE(INDEX('04A_국토부원자료'!$A:$T,ROW()+1,MATCH("층",'04A_국토부원자료'!$A$4:$T$4,0)),",","")),"")</f>
        <v/>
      </c>
      <c r="K2176" s="152">
        <f>IFERROR(VALUE(SUBSTITUTE(INDEX('04A_국토부원자료'!$A:$T,ROW()+1,MATCH("건축년도",'04A_국토부원자료'!$A$4:$T$4,0)),",","")),"")</f>
        <v/>
      </c>
      <c r="L2176" s="48">
        <f>IFERROR(INDEX('04A_국토부원자료'!$A:$T,ROW()+1,MATCH("도로명",'04A_국토부원자료'!$A$4:$T$4,0)),"")</f>
        <v/>
      </c>
      <c r="M2176" s="48">
        <f>IFERROR(INDEX('04A_국토부원자료'!$A:$T,ROW()+1,MATCH("거래유형",'04A_국토부원자료'!$A$4:$T$4,0)),"")</f>
        <v/>
      </c>
      <c r="N2176" s="152">
        <f>IF(B2176="","",IF('02_대상물건입력'!B5="",1,IF(ISNUMBER(SEARCH('02_대상물건입력'!B5,B2176)),1,0)))</f>
        <v/>
      </c>
      <c r="O2176" s="152">
        <f>IF(B2176="","",IF('02_대상물건입력'!B6="",1,IF(ISNUMBER(SEARCH('02_대상물건입력'!B6,B2176)),1,0)))</f>
        <v/>
      </c>
      <c r="P2176" s="152">
        <f>IF(L2176="","",IF('02_대상물건입력'!B15="",0,IF(ISNUMBER(SEARCH('02_대상물건입력'!B15,L2176)),1,0)))</f>
        <v/>
      </c>
      <c r="Q2176" s="152">
        <f>IF(OR(C2176="",L2176=""),0,IF(AND(TRIM(C2176)=TRIM(RIGHT(SUBSTITUTE(TRIM('02_대상물건입력'!$B$7)," ",REPT(" ",99)),99)),IF('02_대상물건입력'!B15="",TRUE(),ISNUMBER(SEARCH('02_대상물건입력'!B15,L2176)))),1,0))</f>
        <v/>
      </c>
      <c r="R2176" s="175">
        <f>IFERROR(ABS(E2176-'02_대상물건입력'!B11)/'02_대상물건입력'!B11,"")</f>
        <v/>
      </c>
      <c r="S2176" s="152">
        <f>IFERROR(ABS(J2176-'02_대상물건입력'!B10),"")</f>
        <v/>
      </c>
      <c r="T2176" s="152">
        <f>IFERROR(ABS('01_설정'!B4-F2176),"")</f>
        <v/>
      </c>
      <c r="U2176" s="152">
        <f>IFERROR(ABS(K2176-YEAR('02_대상물건입력'!B14)),"")</f>
        <v/>
      </c>
      <c r="V2176" s="152">
        <f>IF(B2176="","",IF(AND(E2176&gt;0,F2176&gt;0,H2176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2176=1,TRUE()),R2176&lt;='01_설정'!B5,S2176&lt;='01_설정'!B6,T2176&lt;='01_설정'!B7,U2176&lt;='01_설정'!B8),"Y",""))</f>
        <v/>
      </c>
      <c r="W2176" s="172">
        <f>IF(V2176&lt;&gt;"Y","",MAX(0,(1-R2176/'01_설정'!B5))*'01_설정'!B14+MAX(0,(1-S2176/'01_설정'!B6))*'01_설정'!B15+MAX(0,(1-T2176/'01_설정'!B7))*'01_설정'!B16+MAX(0,(1-U2176/'01_설정'!B8))*'01_설정'!B17+O2176*'01_설정'!B11+Q2176*'01_설정'!B12+P2176*'01_설정'!B13+IF(Z2176="",0,Z2176))</f>
        <v/>
      </c>
      <c r="X2176" s="152">
        <f>IF(W2176="","",1+COUNTIFS($W$4:$W$3003,"&gt;"&amp;W2176)+COUNTIFS($W$4:W2176,W2176)-1)</f>
        <v/>
      </c>
      <c r="Y2176" s="175">
        <f>IF(OR(I2176="",'02_대상물건입력'!B19="",'02_대상물건입력'!B19&lt;=0),"",ABS(I2176-'02_대상물건입력'!B19)/'02_대상물건입력'!B19)</f>
        <v/>
      </c>
      <c r="Z2176" s="172">
        <f>IF(OR(Y2176="",'01_설정'!B31="",'01_설정'!B31&lt;=0,'01_설정'!B32="",'01_설정'!B32&lt;=0),"",MAX(0,(1-Y2176/'01_설정'!B32))*'01_설정'!B31)</f>
        <v/>
      </c>
    </row>
    <row r="2177" ht="17.25" customHeight="1">
      <c r="A2177" s="152">
        <f>IF(INDEX('04A_국토부원자료'!$A:$A,ROW()+1)="","",ROW()-3)</f>
        <v/>
      </c>
      <c r="B2177" s="48">
        <f>IFERROR(INDEX('04A_국토부원자료'!$A:$T,ROW()+1,MATCH("시군구",'04A_국토부원자료'!$A$4:$T$4,0)),"")</f>
        <v/>
      </c>
      <c r="C2177" s="48">
        <f>IF(B2177="","",IFERROR(INDEX('04A_국토부원자료'!$A:$T,ROW()+1,MATCH("번지",'04A_국토부원자료'!$A$4:$T$4,0)),""))</f>
        <v/>
      </c>
      <c r="D2177" s="48">
        <f>IF(B2177="","",IF(Q2177=1,'02_대상물건입력'!$B$8,IFERROR(INDEX('04A_국토부원자료'!$A:$T,ROW()+1,MATCH("단지명",'04A_국토부원자료'!$A$4:$T$4,0)),"")))</f>
        <v/>
      </c>
      <c r="E2177" s="172">
        <f>IFERROR(VALUE(SUBSTITUTE(INDEX('04A_국토부원자료'!$A:$T,ROW()+1,MATCH("전용면적(㎡)",'04A_국토부원자료'!$A$4:$T$4,0)),",","")),"")</f>
        <v/>
      </c>
      <c r="F21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77" s="51">
        <f>IFERROR(VALUE(SUBSTITUTE(INDEX('04A_국토부원자료'!$A:$T,ROW()+1,MATCH("거래금액(만원)",'04A_국토부원자료'!$A$4:$T$4,0)),",","")),"")</f>
        <v/>
      </c>
      <c r="H2177" s="174">
        <f>IF(G2177="","",G2177*10000)</f>
        <v/>
      </c>
      <c r="I2177" s="174">
        <f>IFERROR(IF(AND(H2177&gt;0,E2177&gt;0),H2177/E2177,""),"")</f>
        <v/>
      </c>
      <c r="J2177" s="152">
        <f>IFERROR(VALUE(SUBSTITUTE(INDEX('04A_국토부원자료'!$A:$T,ROW()+1,MATCH("층",'04A_국토부원자료'!$A$4:$T$4,0)),",","")),"")</f>
        <v/>
      </c>
      <c r="K2177" s="152">
        <f>IFERROR(VALUE(SUBSTITUTE(INDEX('04A_국토부원자료'!$A:$T,ROW()+1,MATCH("건축년도",'04A_국토부원자료'!$A$4:$T$4,0)),",","")),"")</f>
        <v/>
      </c>
      <c r="L2177" s="48">
        <f>IFERROR(INDEX('04A_국토부원자료'!$A:$T,ROW()+1,MATCH("도로명",'04A_국토부원자료'!$A$4:$T$4,0)),"")</f>
        <v/>
      </c>
      <c r="M2177" s="48">
        <f>IFERROR(INDEX('04A_국토부원자료'!$A:$T,ROW()+1,MATCH("거래유형",'04A_국토부원자료'!$A$4:$T$4,0)),"")</f>
        <v/>
      </c>
      <c r="N2177" s="152">
        <f>IF(B2177="","",IF('02_대상물건입력'!B5="",1,IF(ISNUMBER(SEARCH('02_대상물건입력'!B5,B2177)),1,0)))</f>
        <v/>
      </c>
      <c r="O2177" s="152">
        <f>IF(B2177="","",IF('02_대상물건입력'!B6="",1,IF(ISNUMBER(SEARCH('02_대상물건입력'!B6,B2177)),1,0)))</f>
        <v/>
      </c>
      <c r="P2177" s="152">
        <f>IF(L2177="","",IF('02_대상물건입력'!B15="",0,IF(ISNUMBER(SEARCH('02_대상물건입력'!B15,L2177)),1,0)))</f>
        <v/>
      </c>
      <c r="Q2177" s="152">
        <f>IF(OR(C2177="",L2177=""),0,IF(AND(TRIM(C2177)=TRIM(RIGHT(SUBSTITUTE(TRIM('02_대상물건입력'!$B$7)," ",REPT(" ",99)),99)),IF('02_대상물건입력'!B15="",TRUE(),ISNUMBER(SEARCH('02_대상물건입력'!B15,L2177)))),1,0))</f>
        <v/>
      </c>
      <c r="R2177" s="175">
        <f>IFERROR(ABS(E2177-'02_대상물건입력'!B11)/'02_대상물건입력'!B11,"")</f>
        <v/>
      </c>
      <c r="S2177" s="152">
        <f>IFERROR(ABS(J2177-'02_대상물건입력'!B10),"")</f>
        <v/>
      </c>
      <c r="T2177" s="152">
        <f>IFERROR(ABS('01_설정'!B4-F2177),"")</f>
        <v/>
      </c>
      <c r="U2177" s="152">
        <f>IFERROR(ABS(K2177-YEAR('02_대상물건입력'!B14)),"")</f>
        <v/>
      </c>
      <c r="V2177" s="152">
        <f>IF(B2177="","",IF(AND(E2177&gt;0,F2177&gt;0,H2177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2177=1,TRUE()),R2177&lt;='01_설정'!B5,S2177&lt;='01_설정'!B6,T2177&lt;='01_설정'!B7,U2177&lt;='01_설정'!B8),"Y",""))</f>
        <v/>
      </c>
      <c r="W2177" s="172">
        <f>IF(V2177&lt;&gt;"Y","",MAX(0,(1-R2177/'01_설정'!B5))*'01_설정'!B14+MAX(0,(1-S2177/'01_설정'!B6))*'01_설정'!B15+MAX(0,(1-T2177/'01_설정'!B7))*'01_설정'!B16+MAX(0,(1-U2177/'01_설정'!B8))*'01_설정'!B17+O2177*'01_설정'!B11+Q2177*'01_설정'!B12+P2177*'01_설정'!B13+IF(Z2177="",0,Z2177))</f>
        <v/>
      </c>
      <c r="X2177" s="152">
        <f>IF(W2177="","",1+COUNTIFS($W$4:$W$3003,"&gt;"&amp;W2177)+COUNTIFS($W$4:W2177,W2177)-1)</f>
        <v/>
      </c>
      <c r="Y2177" s="175">
        <f>IF(OR(I2177="",'02_대상물건입력'!B19="",'02_대상물건입력'!B19&lt;=0),"",ABS(I2177-'02_대상물건입력'!B19)/'02_대상물건입력'!B19)</f>
        <v/>
      </c>
      <c r="Z2177" s="172">
        <f>IF(OR(Y2177="",'01_설정'!B31="",'01_설정'!B31&lt;=0,'01_설정'!B32="",'01_설정'!B32&lt;=0),"",MAX(0,(1-Y2177/'01_설정'!B32))*'01_설정'!B31)</f>
        <v/>
      </c>
    </row>
    <row r="2178" ht="17.25" customHeight="1">
      <c r="A2178" s="152">
        <f>IF(INDEX('04A_국토부원자료'!$A:$A,ROW()+1)="","",ROW()-3)</f>
        <v/>
      </c>
      <c r="B2178" s="48">
        <f>IFERROR(INDEX('04A_국토부원자료'!$A:$T,ROW()+1,MATCH("시군구",'04A_국토부원자료'!$A$4:$T$4,0)),"")</f>
        <v/>
      </c>
      <c r="C2178" s="48">
        <f>IF(B2178="","",IFERROR(INDEX('04A_국토부원자료'!$A:$T,ROW()+1,MATCH("번지",'04A_국토부원자료'!$A$4:$T$4,0)),""))</f>
        <v/>
      </c>
      <c r="D2178" s="48">
        <f>IF(B2178="","",IF(Q2178=1,'02_대상물건입력'!$B$8,IFERROR(INDEX('04A_국토부원자료'!$A:$T,ROW()+1,MATCH("단지명",'04A_국토부원자료'!$A$4:$T$4,0)),"")))</f>
        <v/>
      </c>
      <c r="E2178" s="172">
        <f>IFERROR(VALUE(SUBSTITUTE(INDEX('04A_국토부원자료'!$A:$T,ROW()+1,MATCH("전용면적(㎡)",'04A_국토부원자료'!$A$4:$T$4,0)),",","")),"")</f>
        <v/>
      </c>
      <c r="F21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78" s="51">
        <f>IFERROR(VALUE(SUBSTITUTE(INDEX('04A_국토부원자료'!$A:$T,ROW()+1,MATCH("거래금액(만원)",'04A_국토부원자료'!$A$4:$T$4,0)),",","")),"")</f>
        <v/>
      </c>
      <c r="H2178" s="174">
        <f>IF(G2178="","",G2178*10000)</f>
        <v/>
      </c>
      <c r="I2178" s="174">
        <f>IFERROR(IF(AND(H2178&gt;0,E2178&gt;0),H2178/E2178,""),"")</f>
        <v/>
      </c>
      <c r="J2178" s="152">
        <f>IFERROR(VALUE(SUBSTITUTE(INDEX('04A_국토부원자료'!$A:$T,ROW()+1,MATCH("층",'04A_국토부원자료'!$A$4:$T$4,0)),",","")),"")</f>
        <v/>
      </c>
      <c r="K2178" s="152">
        <f>IFERROR(VALUE(SUBSTITUTE(INDEX('04A_국토부원자료'!$A:$T,ROW()+1,MATCH("건축년도",'04A_국토부원자료'!$A$4:$T$4,0)),",","")),"")</f>
        <v/>
      </c>
      <c r="L2178" s="48">
        <f>IFERROR(INDEX('04A_국토부원자료'!$A:$T,ROW()+1,MATCH("도로명",'04A_국토부원자료'!$A$4:$T$4,0)),"")</f>
        <v/>
      </c>
      <c r="M2178" s="48">
        <f>IFERROR(INDEX('04A_국토부원자료'!$A:$T,ROW()+1,MATCH("거래유형",'04A_국토부원자료'!$A$4:$T$4,0)),"")</f>
        <v/>
      </c>
      <c r="N2178" s="152">
        <f>IF(B2178="","",IF('02_대상물건입력'!B5="",1,IF(ISNUMBER(SEARCH('02_대상물건입력'!B5,B2178)),1,0)))</f>
        <v/>
      </c>
      <c r="O2178" s="152">
        <f>IF(B2178="","",IF('02_대상물건입력'!B6="",1,IF(ISNUMBER(SEARCH('02_대상물건입력'!B6,B2178)),1,0)))</f>
        <v/>
      </c>
      <c r="P2178" s="152">
        <f>IF(L2178="","",IF('02_대상물건입력'!B15="",0,IF(ISNUMBER(SEARCH('02_대상물건입력'!B15,L2178)),1,0)))</f>
        <v/>
      </c>
      <c r="Q2178" s="152">
        <f>IF(OR(C2178="",L2178=""),0,IF(AND(TRIM(C2178)=TRIM(RIGHT(SUBSTITUTE(TRIM('02_대상물건입력'!$B$7)," ",REPT(" ",99)),99)),IF('02_대상물건입력'!B15="",TRUE(),ISNUMBER(SEARCH('02_대상물건입력'!B15,L2178)))),1,0))</f>
        <v/>
      </c>
      <c r="R2178" s="175">
        <f>IFERROR(ABS(E2178-'02_대상물건입력'!B11)/'02_대상물건입력'!B11,"")</f>
        <v/>
      </c>
      <c r="S2178" s="152">
        <f>IFERROR(ABS(J2178-'02_대상물건입력'!B10),"")</f>
        <v/>
      </c>
      <c r="T2178" s="152">
        <f>IFERROR(ABS('01_설정'!B4-F2178),"")</f>
        <v/>
      </c>
      <c r="U2178" s="152">
        <f>IFERROR(ABS(K2178-YEAR('02_대상물건입력'!B14)),"")</f>
        <v/>
      </c>
      <c r="V2178" s="152">
        <f>IF(B2178="","",IF(AND(E2178&gt;0,F2178&gt;0,H2178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2178=1,TRUE()),R2178&lt;='01_설정'!B5,S2178&lt;='01_설정'!B6,T2178&lt;='01_설정'!B7,U2178&lt;='01_설정'!B8),"Y",""))</f>
        <v/>
      </c>
      <c r="W2178" s="172">
        <f>IF(V2178&lt;&gt;"Y","",MAX(0,(1-R2178/'01_설정'!B5))*'01_설정'!B14+MAX(0,(1-S2178/'01_설정'!B6))*'01_설정'!B15+MAX(0,(1-T2178/'01_설정'!B7))*'01_설정'!B16+MAX(0,(1-U2178/'01_설정'!B8))*'01_설정'!B17+O2178*'01_설정'!B11+Q2178*'01_설정'!B12+P2178*'01_설정'!B13+IF(Z2178="",0,Z2178))</f>
        <v/>
      </c>
      <c r="X2178" s="152">
        <f>IF(W2178="","",1+COUNTIFS($W$4:$W$3003,"&gt;"&amp;W2178)+COUNTIFS($W$4:W2178,W2178)-1)</f>
        <v/>
      </c>
      <c r="Y2178" s="175">
        <f>IF(OR(I2178="",'02_대상물건입력'!B19="",'02_대상물건입력'!B19&lt;=0),"",ABS(I2178-'02_대상물건입력'!B19)/'02_대상물건입력'!B19)</f>
        <v/>
      </c>
      <c r="Z2178" s="172">
        <f>IF(OR(Y2178="",'01_설정'!B31="",'01_설정'!B31&lt;=0,'01_설정'!B32="",'01_설정'!B32&lt;=0),"",MAX(0,(1-Y2178/'01_설정'!B32))*'01_설정'!B31)</f>
        <v/>
      </c>
    </row>
    <row r="2179" ht="17.25" customHeight="1">
      <c r="A2179" s="152">
        <f>IF(INDEX('04A_국토부원자료'!$A:$A,ROW()+1)="","",ROW()-3)</f>
        <v/>
      </c>
      <c r="B2179" s="48">
        <f>IFERROR(INDEX('04A_국토부원자료'!$A:$T,ROW()+1,MATCH("시군구",'04A_국토부원자료'!$A$4:$T$4,0)),"")</f>
        <v/>
      </c>
      <c r="C2179" s="48">
        <f>IF(B2179="","",IFERROR(INDEX('04A_국토부원자료'!$A:$T,ROW()+1,MATCH("번지",'04A_국토부원자료'!$A$4:$T$4,0)),""))</f>
        <v/>
      </c>
      <c r="D2179" s="48">
        <f>IF(B2179="","",IF(Q2179=1,'02_대상물건입력'!$B$8,IFERROR(INDEX('04A_국토부원자료'!$A:$T,ROW()+1,MATCH("단지명",'04A_국토부원자료'!$A$4:$T$4,0)),"")))</f>
        <v/>
      </c>
      <c r="E2179" s="172">
        <f>IFERROR(VALUE(SUBSTITUTE(INDEX('04A_국토부원자료'!$A:$T,ROW()+1,MATCH("전용면적(㎡)",'04A_국토부원자료'!$A$4:$T$4,0)),",","")),"")</f>
        <v/>
      </c>
      <c r="F21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79" s="51">
        <f>IFERROR(VALUE(SUBSTITUTE(INDEX('04A_국토부원자료'!$A:$T,ROW()+1,MATCH("거래금액(만원)",'04A_국토부원자료'!$A$4:$T$4,0)),",","")),"")</f>
        <v/>
      </c>
      <c r="H2179" s="174">
        <f>IF(G2179="","",G2179*10000)</f>
        <v/>
      </c>
      <c r="I2179" s="174">
        <f>IFERROR(IF(AND(H2179&gt;0,E2179&gt;0),H2179/E2179,""),"")</f>
        <v/>
      </c>
      <c r="J2179" s="152">
        <f>IFERROR(VALUE(SUBSTITUTE(INDEX('04A_국토부원자료'!$A:$T,ROW()+1,MATCH("층",'04A_국토부원자료'!$A$4:$T$4,0)),",","")),"")</f>
        <v/>
      </c>
      <c r="K2179" s="152">
        <f>IFERROR(VALUE(SUBSTITUTE(INDEX('04A_국토부원자료'!$A:$T,ROW()+1,MATCH("건축년도",'04A_국토부원자료'!$A$4:$T$4,0)),",","")),"")</f>
        <v/>
      </c>
      <c r="L2179" s="48">
        <f>IFERROR(INDEX('04A_국토부원자료'!$A:$T,ROW()+1,MATCH("도로명",'04A_국토부원자료'!$A$4:$T$4,0)),"")</f>
        <v/>
      </c>
      <c r="M2179" s="48">
        <f>IFERROR(INDEX('04A_국토부원자료'!$A:$T,ROW()+1,MATCH("거래유형",'04A_국토부원자료'!$A$4:$T$4,0)),"")</f>
        <v/>
      </c>
      <c r="N2179" s="152">
        <f>IF(B2179="","",IF('02_대상물건입력'!B5="",1,IF(ISNUMBER(SEARCH('02_대상물건입력'!B5,B2179)),1,0)))</f>
        <v/>
      </c>
      <c r="O2179" s="152">
        <f>IF(B2179="","",IF('02_대상물건입력'!B6="",1,IF(ISNUMBER(SEARCH('02_대상물건입력'!B6,B2179)),1,0)))</f>
        <v/>
      </c>
      <c r="P2179" s="152">
        <f>IF(L2179="","",IF('02_대상물건입력'!B15="",0,IF(ISNUMBER(SEARCH('02_대상물건입력'!B15,L2179)),1,0)))</f>
        <v/>
      </c>
      <c r="Q2179" s="152">
        <f>IF(OR(C2179="",L2179=""),0,IF(AND(TRIM(C2179)=TRIM(RIGHT(SUBSTITUTE(TRIM('02_대상물건입력'!$B$7)," ",REPT(" ",99)),99)),IF('02_대상물건입력'!B15="",TRUE(),ISNUMBER(SEARCH('02_대상물건입력'!B15,L2179)))),1,0))</f>
        <v/>
      </c>
      <c r="R2179" s="175">
        <f>IFERROR(ABS(E2179-'02_대상물건입력'!B11)/'02_대상물건입력'!B11,"")</f>
        <v/>
      </c>
      <c r="S2179" s="152">
        <f>IFERROR(ABS(J2179-'02_대상물건입력'!B10),"")</f>
        <v/>
      </c>
      <c r="T2179" s="152">
        <f>IFERROR(ABS('01_설정'!B4-F2179),"")</f>
        <v/>
      </c>
      <c r="U2179" s="152">
        <f>IFERROR(ABS(K2179-YEAR('02_대상물건입력'!B14)),"")</f>
        <v/>
      </c>
      <c r="V2179" s="152">
        <f>IF(B2179="","",IF(AND(E2179&gt;0,F2179&gt;0,H2179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2179=1,TRUE()),R2179&lt;='01_설정'!B5,S2179&lt;='01_설정'!B6,T2179&lt;='01_설정'!B7,U2179&lt;='01_설정'!B8),"Y",""))</f>
        <v/>
      </c>
      <c r="W2179" s="172">
        <f>IF(V2179&lt;&gt;"Y","",MAX(0,(1-R2179/'01_설정'!B5))*'01_설정'!B14+MAX(0,(1-S2179/'01_설정'!B6))*'01_설정'!B15+MAX(0,(1-T2179/'01_설정'!B7))*'01_설정'!B16+MAX(0,(1-U2179/'01_설정'!B8))*'01_설정'!B17+O2179*'01_설정'!B11+Q2179*'01_설정'!B12+P2179*'01_설정'!B13+IF(Z2179="",0,Z2179))</f>
        <v/>
      </c>
      <c r="X2179" s="152">
        <f>IF(W2179="","",1+COUNTIFS($W$4:$W$3003,"&gt;"&amp;W2179)+COUNTIFS($W$4:W2179,W2179)-1)</f>
        <v/>
      </c>
      <c r="Y2179" s="175">
        <f>IF(OR(I2179="",'02_대상물건입력'!B19="",'02_대상물건입력'!B19&lt;=0),"",ABS(I2179-'02_대상물건입력'!B19)/'02_대상물건입력'!B19)</f>
        <v/>
      </c>
      <c r="Z2179" s="172">
        <f>IF(OR(Y2179="",'01_설정'!B31="",'01_설정'!B31&lt;=0,'01_설정'!B32="",'01_설정'!B32&lt;=0),"",MAX(0,(1-Y2179/'01_설정'!B32))*'01_설정'!B31)</f>
        <v/>
      </c>
    </row>
    <row r="2180" ht="17.25" customHeight="1">
      <c r="A2180" s="152">
        <f>IF(INDEX('04A_국토부원자료'!$A:$A,ROW()+1)="","",ROW()-3)</f>
        <v/>
      </c>
      <c r="B2180" s="48">
        <f>IFERROR(INDEX('04A_국토부원자료'!$A:$T,ROW()+1,MATCH("시군구",'04A_국토부원자료'!$A$4:$T$4,0)),"")</f>
        <v/>
      </c>
      <c r="C2180" s="48">
        <f>IF(B2180="","",IFERROR(INDEX('04A_국토부원자료'!$A:$T,ROW()+1,MATCH("번지",'04A_국토부원자료'!$A$4:$T$4,0)),""))</f>
        <v/>
      </c>
      <c r="D2180" s="48">
        <f>IF(B2180="","",IF(Q2180=1,'02_대상물건입력'!$B$8,IFERROR(INDEX('04A_국토부원자료'!$A:$T,ROW()+1,MATCH("단지명",'04A_국토부원자료'!$A$4:$T$4,0)),"")))</f>
        <v/>
      </c>
      <c r="E2180" s="172">
        <f>IFERROR(VALUE(SUBSTITUTE(INDEX('04A_국토부원자료'!$A:$T,ROW()+1,MATCH("전용면적(㎡)",'04A_국토부원자료'!$A$4:$T$4,0)),",","")),"")</f>
        <v/>
      </c>
      <c r="F21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80" s="51">
        <f>IFERROR(VALUE(SUBSTITUTE(INDEX('04A_국토부원자료'!$A:$T,ROW()+1,MATCH("거래금액(만원)",'04A_국토부원자료'!$A$4:$T$4,0)),",","")),"")</f>
        <v/>
      </c>
      <c r="H2180" s="174">
        <f>IF(G2180="","",G2180*10000)</f>
        <v/>
      </c>
      <c r="I2180" s="174">
        <f>IFERROR(IF(AND(H2180&gt;0,E2180&gt;0),H2180/E2180,""),"")</f>
        <v/>
      </c>
      <c r="J2180" s="152">
        <f>IFERROR(VALUE(SUBSTITUTE(INDEX('04A_국토부원자료'!$A:$T,ROW()+1,MATCH("층",'04A_국토부원자료'!$A$4:$T$4,0)),",","")),"")</f>
        <v/>
      </c>
      <c r="K2180" s="152">
        <f>IFERROR(VALUE(SUBSTITUTE(INDEX('04A_국토부원자료'!$A:$T,ROW()+1,MATCH("건축년도",'04A_국토부원자료'!$A$4:$T$4,0)),",","")),"")</f>
        <v/>
      </c>
      <c r="L2180" s="48">
        <f>IFERROR(INDEX('04A_국토부원자료'!$A:$T,ROW()+1,MATCH("도로명",'04A_국토부원자료'!$A$4:$T$4,0)),"")</f>
        <v/>
      </c>
      <c r="M2180" s="48">
        <f>IFERROR(INDEX('04A_국토부원자료'!$A:$T,ROW()+1,MATCH("거래유형",'04A_국토부원자료'!$A$4:$T$4,0)),"")</f>
        <v/>
      </c>
      <c r="N2180" s="152">
        <f>IF(B2180="","",IF('02_대상물건입력'!B5="",1,IF(ISNUMBER(SEARCH('02_대상물건입력'!B5,B2180)),1,0)))</f>
        <v/>
      </c>
      <c r="O2180" s="152">
        <f>IF(B2180="","",IF('02_대상물건입력'!B6="",1,IF(ISNUMBER(SEARCH('02_대상물건입력'!B6,B2180)),1,0)))</f>
        <v/>
      </c>
      <c r="P2180" s="152">
        <f>IF(L2180="","",IF('02_대상물건입력'!B15="",0,IF(ISNUMBER(SEARCH('02_대상물건입력'!B15,L2180)),1,0)))</f>
        <v/>
      </c>
      <c r="Q2180" s="152">
        <f>IF(OR(C2180="",L2180=""),0,IF(AND(TRIM(C2180)=TRIM(RIGHT(SUBSTITUTE(TRIM('02_대상물건입력'!$B$7)," ",REPT(" ",99)),99)),IF('02_대상물건입력'!B15="",TRUE(),ISNUMBER(SEARCH('02_대상물건입력'!B15,L2180)))),1,0))</f>
        <v/>
      </c>
      <c r="R2180" s="175">
        <f>IFERROR(ABS(E2180-'02_대상물건입력'!B11)/'02_대상물건입력'!B11,"")</f>
        <v/>
      </c>
      <c r="S2180" s="152">
        <f>IFERROR(ABS(J2180-'02_대상물건입력'!B10),"")</f>
        <v/>
      </c>
      <c r="T2180" s="152">
        <f>IFERROR(ABS('01_설정'!B4-F2180),"")</f>
        <v/>
      </c>
      <c r="U2180" s="152">
        <f>IFERROR(ABS(K2180-YEAR('02_대상물건입력'!B14)),"")</f>
        <v/>
      </c>
      <c r="V2180" s="152">
        <f>IF(B2180="","",IF(AND(E2180&gt;0,F2180&gt;0,H2180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2180=1,TRUE()),R2180&lt;='01_설정'!B5,S2180&lt;='01_설정'!B6,T2180&lt;='01_설정'!B7,U2180&lt;='01_설정'!B8),"Y",""))</f>
        <v/>
      </c>
      <c r="W2180" s="172">
        <f>IF(V2180&lt;&gt;"Y","",MAX(0,(1-R2180/'01_설정'!B5))*'01_설정'!B14+MAX(0,(1-S2180/'01_설정'!B6))*'01_설정'!B15+MAX(0,(1-T2180/'01_설정'!B7))*'01_설정'!B16+MAX(0,(1-U2180/'01_설정'!B8))*'01_설정'!B17+O2180*'01_설정'!B11+Q2180*'01_설정'!B12+P2180*'01_설정'!B13+IF(Z2180="",0,Z2180))</f>
        <v/>
      </c>
      <c r="X2180" s="152">
        <f>IF(W2180="","",1+COUNTIFS($W$4:$W$3003,"&gt;"&amp;W2180)+COUNTIFS($W$4:W2180,W2180)-1)</f>
        <v/>
      </c>
      <c r="Y2180" s="175">
        <f>IF(OR(I2180="",'02_대상물건입력'!B19="",'02_대상물건입력'!B19&lt;=0),"",ABS(I2180-'02_대상물건입력'!B19)/'02_대상물건입력'!B19)</f>
        <v/>
      </c>
      <c r="Z2180" s="172">
        <f>IF(OR(Y2180="",'01_설정'!B31="",'01_설정'!B31&lt;=0,'01_설정'!B32="",'01_설정'!B32&lt;=0),"",MAX(0,(1-Y2180/'01_설정'!B32))*'01_설정'!B31)</f>
        <v/>
      </c>
    </row>
    <row r="2181" ht="17.25" customHeight="1">
      <c r="A2181" s="152">
        <f>IF(INDEX('04A_국토부원자료'!$A:$A,ROW()+1)="","",ROW()-3)</f>
        <v/>
      </c>
      <c r="B2181" s="48">
        <f>IFERROR(INDEX('04A_국토부원자료'!$A:$T,ROW()+1,MATCH("시군구",'04A_국토부원자료'!$A$4:$T$4,0)),"")</f>
        <v/>
      </c>
      <c r="C2181" s="48">
        <f>IF(B2181="","",IFERROR(INDEX('04A_국토부원자료'!$A:$T,ROW()+1,MATCH("번지",'04A_국토부원자료'!$A$4:$T$4,0)),""))</f>
        <v/>
      </c>
      <c r="D2181" s="48">
        <f>IF(B2181="","",IF(Q2181=1,'02_대상물건입력'!$B$8,IFERROR(INDEX('04A_국토부원자료'!$A:$T,ROW()+1,MATCH("단지명",'04A_국토부원자료'!$A$4:$T$4,0)),"")))</f>
        <v/>
      </c>
      <c r="E2181" s="172">
        <f>IFERROR(VALUE(SUBSTITUTE(INDEX('04A_국토부원자료'!$A:$T,ROW()+1,MATCH("전용면적(㎡)",'04A_국토부원자료'!$A$4:$T$4,0)),",","")),"")</f>
        <v/>
      </c>
      <c r="F21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81" s="51">
        <f>IFERROR(VALUE(SUBSTITUTE(INDEX('04A_국토부원자료'!$A:$T,ROW()+1,MATCH("거래금액(만원)",'04A_국토부원자료'!$A$4:$T$4,0)),",","")),"")</f>
        <v/>
      </c>
      <c r="H2181" s="174">
        <f>IF(G2181="","",G2181*10000)</f>
        <v/>
      </c>
      <c r="I2181" s="174">
        <f>IFERROR(IF(AND(H2181&gt;0,E2181&gt;0),H2181/E2181,""),"")</f>
        <v/>
      </c>
      <c r="J2181" s="152">
        <f>IFERROR(VALUE(SUBSTITUTE(INDEX('04A_국토부원자료'!$A:$T,ROW()+1,MATCH("층",'04A_국토부원자료'!$A$4:$T$4,0)),",","")),"")</f>
        <v/>
      </c>
      <c r="K2181" s="152">
        <f>IFERROR(VALUE(SUBSTITUTE(INDEX('04A_국토부원자료'!$A:$T,ROW()+1,MATCH("건축년도",'04A_국토부원자료'!$A$4:$T$4,0)),",","")),"")</f>
        <v/>
      </c>
      <c r="L2181" s="48">
        <f>IFERROR(INDEX('04A_국토부원자료'!$A:$T,ROW()+1,MATCH("도로명",'04A_국토부원자료'!$A$4:$T$4,0)),"")</f>
        <v/>
      </c>
      <c r="M2181" s="48">
        <f>IFERROR(INDEX('04A_국토부원자료'!$A:$T,ROW()+1,MATCH("거래유형",'04A_국토부원자료'!$A$4:$T$4,0)),"")</f>
        <v/>
      </c>
      <c r="N2181" s="152">
        <f>IF(B2181="","",IF('02_대상물건입력'!B5="",1,IF(ISNUMBER(SEARCH('02_대상물건입력'!B5,B2181)),1,0)))</f>
        <v/>
      </c>
      <c r="O2181" s="152">
        <f>IF(B2181="","",IF('02_대상물건입력'!B6="",1,IF(ISNUMBER(SEARCH('02_대상물건입력'!B6,B2181)),1,0)))</f>
        <v/>
      </c>
      <c r="P2181" s="152">
        <f>IF(L2181="","",IF('02_대상물건입력'!B15="",0,IF(ISNUMBER(SEARCH('02_대상물건입력'!B15,L2181)),1,0)))</f>
        <v/>
      </c>
      <c r="Q2181" s="152">
        <f>IF(OR(C2181="",L2181=""),0,IF(AND(TRIM(C2181)=TRIM(RIGHT(SUBSTITUTE(TRIM('02_대상물건입력'!$B$7)," ",REPT(" ",99)),99)),IF('02_대상물건입력'!B15="",TRUE(),ISNUMBER(SEARCH('02_대상물건입력'!B15,L2181)))),1,0))</f>
        <v/>
      </c>
      <c r="R2181" s="175">
        <f>IFERROR(ABS(E2181-'02_대상물건입력'!B11)/'02_대상물건입력'!B11,"")</f>
        <v/>
      </c>
      <c r="S2181" s="152">
        <f>IFERROR(ABS(J2181-'02_대상물건입력'!B10),"")</f>
        <v/>
      </c>
      <c r="T2181" s="152">
        <f>IFERROR(ABS('01_설정'!B4-F2181),"")</f>
        <v/>
      </c>
      <c r="U2181" s="152">
        <f>IFERROR(ABS(K2181-YEAR('02_대상물건입력'!B14)),"")</f>
        <v/>
      </c>
      <c r="V2181" s="152">
        <f>IF(B2181="","",IF(AND(E2181&gt;0,F2181&gt;0,H2181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2181=1,TRUE()),R2181&lt;='01_설정'!B5,S2181&lt;='01_설정'!B6,T2181&lt;='01_설정'!B7,U2181&lt;='01_설정'!B8),"Y",""))</f>
        <v/>
      </c>
      <c r="W2181" s="172">
        <f>IF(V2181&lt;&gt;"Y","",MAX(0,(1-R2181/'01_설정'!B5))*'01_설정'!B14+MAX(0,(1-S2181/'01_설정'!B6))*'01_설정'!B15+MAX(0,(1-T2181/'01_설정'!B7))*'01_설정'!B16+MAX(0,(1-U2181/'01_설정'!B8))*'01_설정'!B17+O2181*'01_설정'!B11+Q2181*'01_설정'!B12+P2181*'01_설정'!B13+IF(Z2181="",0,Z2181))</f>
        <v/>
      </c>
      <c r="X2181" s="152">
        <f>IF(W2181="","",1+COUNTIFS($W$4:$W$3003,"&gt;"&amp;W2181)+COUNTIFS($W$4:W2181,W2181)-1)</f>
        <v/>
      </c>
      <c r="Y2181" s="175">
        <f>IF(OR(I2181="",'02_대상물건입력'!B19="",'02_대상물건입력'!B19&lt;=0),"",ABS(I2181-'02_대상물건입력'!B19)/'02_대상물건입력'!B19)</f>
        <v/>
      </c>
      <c r="Z2181" s="172">
        <f>IF(OR(Y2181="",'01_설정'!B31="",'01_설정'!B31&lt;=0,'01_설정'!B32="",'01_설정'!B32&lt;=0),"",MAX(0,(1-Y2181/'01_설정'!B32))*'01_설정'!B31)</f>
        <v/>
      </c>
    </row>
    <row r="2182" ht="17.25" customHeight="1">
      <c r="A2182" s="152">
        <f>IF(INDEX('04A_국토부원자료'!$A:$A,ROW()+1)="","",ROW()-3)</f>
        <v/>
      </c>
      <c r="B2182" s="48">
        <f>IFERROR(INDEX('04A_국토부원자료'!$A:$T,ROW()+1,MATCH("시군구",'04A_국토부원자료'!$A$4:$T$4,0)),"")</f>
        <v/>
      </c>
      <c r="C2182" s="48">
        <f>IF(B2182="","",IFERROR(INDEX('04A_국토부원자료'!$A:$T,ROW()+1,MATCH("번지",'04A_국토부원자료'!$A$4:$T$4,0)),""))</f>
        <v/>
      </c>
      <c r="D2182" s="48">
        <f>IF(B2182="","",IF(Q2182=1,'02_대상물건입력'!$B$8,IFERROR(INDEX('04A_국토부원자료'!$A:$T,ROW()+1,MATCH("단지명",'04A_국토부원자료'!$A$4:$T$4,0)),"")))</f>
        <v/>
      </c>
      <c r="E2182" s="172">
        <f>IFERROR(VALUE(SUBSTITUTE(INDEX('04A_국토부원자료'!$A:$T,ROW()+1,MATCH("전용면적(㎡)",'04A_국토부원자료'!$A$4:$T$4,0)),",","")),"")</f>
        <v/>
      </c>
      <c r="F21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82" s="51">
        <f>IFERROR(VALUE(SUBSTITUTE(INDEX('04A_국토부원자료'!$A:$T,ROW()+1,MATCH("거래금액(만원)",'04A_국토부원자료'!$A$4:$T$4,0)),",","")),"")</f>
        <v/>
      </c>
      <c r="H2182" s="174">
        <f>IF(G2182="","",G2182*10000)</f>
        <v/>
      </c>
      <c r="I2182" s="174">
        <f>IFERROR(IF(AND(H2182&gt;0,E2182&gt;0),H2182/E2182,""),"")</f>
        <v/>
      </c>
      <c r="J2182" s="152">
        <f>IFERROR(VALUE(SUBSTITUTE(INDEX('04A_국토부원자료'!$A:$T,ROW()+1,MATCH("층",'04A_국토부원자료'!$A$4:$T$4,0)),",","")),"")</f>
        <v/>
      </c>
      <c r="K2182" s="152">
        <f>IFERROR(VALUE(SUBSTITUTE(INDEX('04A_국토부원자료'!$A:$T,ROW()+1,MATCH("건축년도",'04A_국토부원자료'!$A$4:$T$4,0)),",","")),"")</f>
        <v/>
      </c>
      <c r="L2182" s="48">
        <f>IFERROR(INDEX('04A_국토부원자료'!$A:$T,ROW()+1,MATCH("도로명",'04A_국토부원자료'!$A$4:$T$4,0)),"")</f>
        <v/>
      </c>
      <c r="M2182" s="48">
        <f>IFERROR(INDEX('04A_국토부원자료'!$A:$T,ROW()+1,MATCH("거래유형",'04A_국토부원자료'!$A$4:$T$4,0)),"")</f>
        <v/>
      </c>
      <c r="N2182" s="152">
        <f>IF(B2182="","",IF('02_대상물건입력'!B5="",1,IF(ISNUMBER(SEARCH('02_대상물건입력'!B5,B2182)),1,0)))</f>
        <v/>
      </c>
      <c r="O2182" s="152">
        <f>IF(B2182="","",IF('02_대상물건입력'!B6="",1,IF(ISNUMBER(SEARCH('02_대상물건입력'!B6,B2182)),1,0)))</f>
        <v/>
      </c>
      <c r="P2182" s="152">
        <f>IF(L2182="","",IF('02_대상물건입력'!B15="",0,IF(ISNUMBER(SEARCH('02_대상물건입력'!B15,L2182)),1,0)))</f>
        <v/>
      </c>
      <c r="Q2182" s="152">
        <f>IF(OR(C2182="",L2182=""),0,IF(AND(TRIM(C2182)=TRIM(RIGHT(SUBSTITUTE(TRIM('02_대상물건입력'!$B$7)," ",REPT(" ",99)),99)),IF('02_대상물건입력'!B15="",TRUE(),ISNUMBER(SEARCH('02_대상물건입력'!B15,L2182)))),1,0))</f>
        <v/>
      </c>
      <c r="R2182" s="175">
        <f>IFERROR(ABS(E2182-'02_대상물건입력'!B11)/'02_대상물건입력'!B11,"")</f>
        <v/>
      </c>
      <c r="S2182" s="152">
        <f>IFERROR(ABS(J2182-'02_대상물건입력'!B10),"")</f>
        <v/>
      </c>
      <c r="T2182" s="152">
        <f>IFERROR(ABS('01_설정'!B4-F2182),"")</f>
        <v/>
      </c>
      <c r="U2182" s="152">
        <f>IFERROR(ABS(K2182-YEAR('02_대상물건입력'!B14)),"")</f>
        <v/>
      </c>
      <c r="V2182" s="152">
        <f>IF(B2182="","",IF(AND(E2182&gt;0,F2182&gt;0,H2182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2182=1,TRUE()),R2182&lt;='01_설정'!B5,S2182&lt;='01_설정'!B6,T2182&lt;='01_설정'!B7,U2182&lt;='01_설정'!B8),"Y",""))</f>
        <v/>
      </c>
      <c r="W2182" s="172">
        <f>IF(V2182&lt;&gt;"Y","",MAX(0,(1-R2182/'01_설정'!B5))*'01_설정'!B14+MAX(0,(1-S2182/'01_설정'!B6))*'01_설정'!B15+MAX(0,(1-T2182/'01_설정'!B7))*'01_설정'!B16+MAX(0,(1-U2182/'01_설정'!B8))*'01_설정'!B17+O2182*'01_설정'!B11+Q2182*'01_설정'!B12+P2182*'01_설정'!B13+IF(Z2182="",0,Z2182))</f>
        <v/>
      </c>
      <c r="X2182" s="152">
        <f>IF(W2182="","",1+COUNTIFS($W$4:$W$3003,"&gt;"&amp;W2182)+COUNTIFS($W$4:W2182,W2182)-1)</f>
        <v/>
      </c>
      <c r="Y2182" s="175">
        <f>IF(OR(I2182="",'02_대상물건입력'!B19="",'02_대상물건입력'!B19&lt;=0),"",ABS(I2182-'02_대상물건입력'!B19)/'02_대상물건입력'!B19)</f>
        <v/>
      </c>
      <c r="Z2182" s="172">
        <f>IF(OR(Y2182="",'01_설정'!B31="",'01_설정'!B31&lt;=0,'01_설정'!B32="",'01_설정'!B32&lt;=0),"",MAX(0,(1-Y2182/'01_설정'!B32))*'01_설정'!B31)</f>
        <v/>
      </c>
    </row>
    <row r="2183" ht="17.25" customHeight="1">
      <c r="A2183" s="152">
        <f>IF(INDEX('04A_국토부원자료'!$A:$A,ROW()+1)="","",ROW()-3)</f>
        <v/>
      </c>
      <c r="B2183" s="48">
        <f>IFERROR(INDEX('04A_국토부원자료'!$A:$T,ROW()+1,MATCH("시군구",'04A_국토부원자료'!$A$4:$T$4,0)),"")</f>
        <v/>
      </c>
      <c r="C2183" s="48">
        <f>IF(B2183="","",IFERROR(INDEX('04A_국토부원자료'!$A:$T,ROW()+1,MATCH("번지",'04A_국토부원자료'!$A$4:$T$4,0)),""))</f>
        <v/>
      </c>
      <c r="D2183" s="48">
        <f>IF(B2183="","",IF(Q2183=1,'02_대상물건입력'!$B$8,IFERROR(INDEX('04A_국토부원자료'!$A:$T,ROW()+1,MATCH("단지명",'04A_국토부원자료'!$A$4:$T$4,0)),"")))</f>
        <v/>
      </c>
      <c r="E2183" s="172">
        <f>IFERROR(VALUE(SUBSTITUTE(INDEX('04A_국토부원자료'!$A:$T,ROW()+1,MATCH("전용면적(㎡)",'04A_국토부원자료'!$A$4:$T$4,0)),",","")),"")</f>
        <v/>
      </c>
      <c r="F21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83" s="51">
        <f>IFERROR(VALUE(SUBSTITUTE(INDEX('04A_국토부원자료'!$A:$T,ROW()+1,MATCH("거래금액(만원)",'04A_국토부원자료'!$A$4:$T$4,0)),",","")),"")</f>
        <v/>
      </c>
      <c r="H2183" s="174">
        <f>IF(G2183="","",G2183*10000)</f>
        <v/>
      </c>
      <c r="I2183" s="174">
        <f>IFERROR(IF(AND(H2183&gt;0,E2183&gt;0),H2183/E2183,""),"")</f>
        <v/>
      </c>
      <c r="J2183" s="152">
        <f>IFERROR(VALUE(SUBSTITUTE(INDEX('04A_국토부원자료'!$A:$T,ROW()+1,MATCH("층",'04A_국토부원자료'!$A$4:$T$4,0)),",","")),"")</f>
        <v/>
      </c>
      <c r="K2183" s="152">
        <f>IFERROR(VALUE(SUBSTITUTE(INDEX('04A_국토부원자료'!$A:$T,ROW()+1,MATCH("건축년도",'04A_국토부원자료'!$A$4:$T$4,0)),",","")),"")</f>
        <v/>
      </c>
      <c r="L2183" s="48">
        <f>IFERROR(INDEX('04A_국토부원자료'!$A:$T,ROW()+1,MATCH("도로명",'04A_국토부원자료'!$A$4:$T$4,0)),"")</f>
        <v/>
      </c>
      <c r="M2183" s="48">
        <f>IFERROR(INDEX('04A_국토부원자료'!$A:$T,ROW()+1,MATCH("거래유형",'04A_국토부원자료'!$A$4:$T$4,0)),"")</f>
        <v/>
      </c>
      <c r="N2183" s="152">
        <f>IF(B2183="","",IF('02_대상물건입력'!B5="",1,IF(ISNUMBER(SEARCH('02_대상물건입력'!B5,B2183)),1,0)))</f>
        <v/>
      </c>
      <c r="O2183" s="152">
        <f>IF(B2183="","",IF('02_대상물건입력'!B6="",1,IF(ISNUMBER(SEARCH('02_대상물건입력'!B6,B2183)),1,0)))</f>
        <v/>
      </c>
      <c r="P2183" s="152">
        <f>IF(L2183="","",IF('02_대상물건입력'!B15="",0,IF(ISNUMBER(SEARCH('02_대상물건입력'!B15,L2183)),1,0)))</f>
        <v/>
      </c>
      <c r="Q2183" s="152">
        <f>IF(OR(C2183="",L2183=""),0,IF(AND(TRIM(C2183)=TRIM(RIGHT(SUBSTITUTE(TRIM('02_대상물건입력'!$B$7)," ",REPT(" ",99)),99)),IF('02_대상물건입력'!B15="",TRUE(),ISNUMBER(SEARCH('02_대상물건입력'!B15,L2183)))),1,0))</f>
        <v/>
      </c>
      <c r="R2183" s="175">
        <f>IFERROR(ABS(E2183-'02_대상물건입력'!B11)/'02_대상물건입력'!B11,"")</f>
        <v/>
      </c>
      <c r="S2183" s="152">
        <f>IFERROR(ABS(J2183-'02_대상물건입력'!B10),"")</f>
        <v/>
      </c>
      <c r="T2183" s="152">
        <f>IFERROR(ABS('01_설정'!B4-F2183),"")</f>
        <v/>
      </c>
      <c r="U2183" s="152">
        <f>IFERROR(ABS(K2183-YEAR('02_대상물건입력'!B14)),"")</f>
        <v/>
      </c>
      <c r="V2183" s="152">
        <f>IF(B2183="","",IF(AND(E2183&gt;0,F2183&gt;0,H2183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2183=1,TRUE()),R2183&lt;='01_설정'!B5,S2183&lt;='01_설정'!B6,T2183&lt;='01_설정'!B7,U2183&lt;='01_설정'!B8),"Y",""))</f>
        <v/>
      </c>
      <c r="W2183" s="172">
        <f>IF(V2183&lt;&gt;"Y","",MAX(0,(1-R2183/'01_설정'!B5))*'01_설정'!B14+MAX(0,(1-S2183/'01_설정'!B6))*'01_설정'!B15+MAX(0,(1-T2183/'01_설정'!B7))*'01_설정'!B16+MAX(0,(1-U2183/'01_설정'!B8))*'01_설정'!B17+O2183*'01_설정'!B11+Q2183*'01_설정'!B12+P2183*'01_설정'!B13+IF(Z2183="",0,Z2183))</f>
        <v/>
      </c>
      <c r="X2183" s="152">
        <f>IF(W2183="","",1+COUNTIFS($W$4:$W$3003,"&gt;"&amp;W2183)+COUNTIFS($W$4:W2183,W2183)-1)</f>
        <v/>
      </c>
      <c r="Y2183" s="175">
        <f>IF(OR(I2183="",'02_대상물건입력'!B19="",'02_대상물건입력'!B19&lt;=0),"",ABS(I2183-'02_대상물건입력'!B19)/'02_대상물건입력'!B19)</f>
        <v/>
      </c>
      <c r="Z2183" s="172">
        <f>IF(OR(Y2183="",'01_설정'!B31="",'01_설정'!B31&lt;=0,'01_설정'!B32="",'01_설정'!B32&lt;=0),"",MAX(0,(1-Y2183/'01_설정'!B32))*'01_설정'!B31)</f>
        <v/>
      </c>
    </row>
    <row r="2184" ht="17.25" customHeight="1">
      <c r="A2184" s="152">
        <f>IF(INDEX('04A_국토부원자료'!$A:$A,ROW()+1)="","",ROW()-3)</f>
        <v/>
      </c>
      <c r="B2184" s="48">
        <f>IFERROR(INDEX('04A_국토부원자료'!$A:$T,ROW()+1,MATCH("시군구",'04A_국토부원자료'!$A$4:$T$4,0)),"")</f>
        <v/>
      </c>
      <c r="C2184" s="48">
        <f>IF(B2184="","",IFERROR(INDEX('04A_국토부원자료'!$A:$T,ROW()+1,MATCH("번지",'04A_국토부원자료'!$A$4:$T$4,0)),""))</f>
        <v/>
      </c>
      <c r="D2184" s="48">
        <f>IF(B2184="","",IF(Q2184=1,'02_대상물건입력'!$B$8,IFERROR(INDEX('04A_국토부원자료'!$A:$T,ROW()+1,MATCH("단지명",'04A_국토부원자료'!$A$4:$T$4,0)),"")))</f>
        <v/>
      </c>
      <c r="E2184" s="172">
        <f>IFERROR(VALUE(SUBSTITUTE(INDEX('04A_국토부원자료'!$A:$T,ROW()+1,MATCH("전용면적(㎡)",'04A_국토부원자료'!$A$4:$T$4,0)),",","")),"")</f>
        <v/>
      </c>
      <c r="F21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84" s="51">
        <f>IFERROR(VALUE(SUBSTITUTE(INDEX('04A_국토부원자료'!$A:$T,ROW()+1,MATCH("거래금액(만원)",'04A_국토부원자료'!$A$4:$T$4,0)),",","")),"")</f>
        <v/>
      </c>
      <c r="H2184" s="174">
        <f>IF(G2184="","",G2184*10000)</f>
        <v/>
      </c>
      <c r="I2184" s="174">
        <f>IFERROR(IF(AND(H2184&gt;0,E2184&gt;0),H2184/E2184,""),"")</f>
        <v/>
      </c>
      <c r="J2184" s="152">
        <f>IFERROR(VALUE(SUBSTITUTE(INDEX('04A_국토부원자료'!$A:$T,ROW()+1,MATCH("층",'04A_국토부원자료'!$A$4:$T$4,0)),",","")),"")</f>
        <v/>
      </c>
      <c r="K2184" s="152">
        <f>IFERROR(VALUE(SUBSTITUTE(INDEX('04A_국토부원자료'!$A:$T,ROW()+1,MATCH("건축년도",'04A_국토부원자료'!$A$4:$T$4,0)),",","")),"")</f>
        <v/>
      </c>
      <c r="L2184" s="48">
        <f>IFERROR(INDEX('04A_국토부원자료'!$A:$T,ROW()+1,MATCH("도로명",'04A_국토부원자료'!$A$4:$T$4,0)),"")</f>
        <v/>
      </c>
      <c r="M2184" s="48">
        <f>IFERROR(INDEX('04A_국토부원자료'!$A:$T,ROW()+1,MATCH("거래유형",'04A_국토부원자료'!$A$4:$T$4,0)),"")</f>
        <v/>
      </c>
      <c r="N2184" s="152">
        <f>IF(B2184="","",IF('02_대상물건입력'!B5="",1,IF(ISNUMBER(SEARCH('02_대상물건입력'!B5,B2184)),1,0)))</f>
        <v/>
      </c>
      <c r="O2184" s="152">
        <f>IF(B2184="","",IF('02_대상물건입력'!B6="",1,IF(ISNUMBER(SEARCH('02_대상물건입력'!B6,B2184)),1,0)))</f>
        <v/>
      </c>
      <c r="P2184" s="152">
        <f>IF(L2184="","",IF('02_대상물건입력'!B15="",0,IF(ISNUMBER(SEARCH('02_대상물건입력'!B15,L2184)),1,0)))</f>
        <v/>
      </c>
      <c r="Q2184" s="152">
        <f>IF(OR(C2184="",L2184=""),0,IF(AND(TRIM(C2184)=TRIM(RIGHT(SUBSTITUTE(TRIM('02_대상물건입력'!$B$7)," ",REPT(" ",99)),99)),IF('02_대상물건입력'!B15="",TRUE(),ISNUMBER(SEARCH('02_대상물건입력'!B15,L2184)))),1,0))</f>
        <v/>
      </c>
      <c r="R2184" s="175">
        <f>IFERROR(ABS(E2184-'02_대상물건입력'!B11)/'02_대상물건입력'!B11,"")</f>
        <v/>
      </c>
      <c r="S2184" s="152">
        <f>IFERROR(ABS(J2184-'02_대상물건입력'!B10),"")</f>
        <v/>
      </c>
      <c r="T2184" s="152">
        <f>IFERROR(ABS('01_설정'!B4-F2184),"")</f>
        <v/>
      </c>
      <c r="U2184" s="152">
        <f>IFERROR(ABS(K2184-YEAR('02_대상물건입력'!B14)),"")</f>
        <v/>
      </c>
      <c r="V2184" s="152">
        <f>IF(B2184="","",IF(AND(E2184&gt;0,F2184&gt;0,H2184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2184=1,TRUE()),R2184&lt;='01_설정'!B5,S2184&lt;='01_설정'!B6,T2184&lt;='01_설정'!B7,U2184&lt;='01_설정'!B8),"Y",""))</f>
        <v/>
      </c>
      <c r="W2184" s="172">
        <f>IF(V2184&lt;&gt;"Y","",MAX(0,(1-R2184/'01_설정'!B5))*'01_설정'!B14+MAX(0,(1-S2184/'01_설정'!B6))*'01_설정'!B15+MAX(0,(1-T2184/'01_설정'!B7))*'01_설정'!B16+MAX(0,(1-U2184/'01_설정'!B8))*'01_설정'!B17+O2184*'01_설정'!B11+Q2184*'01_설정'!B12+P2184*'01_설정'!B13+IF(Z2184="",0,Z2184))</f>
        <v/>
      </c>
      <c r="X2184" s="152">
        <f>IF(W2184="","",1+COUNTIFS($W$4:$W$3003,"&gt;"&amp;W2184)+COUNTIFS($W$4:W2184,W2184)-1)</f>
        <v/>
      </c>
      <c r="Y2184" s="175">
        <f>IF(OR(I2184="",'02_대상물건입력'!B19="",'02_대상물건입력'!B19&lt;=0),"",ABS(I2184-'02_대상물건입력'!B19)/'02_대상물건입력'!B19)</f>
        <v/>
      </c>
      <c r="Z2184" s="172">
        <f>IF(OR(Y2184="",'01_설정'!B31="",'01_설정'!B31&lt;=0,'01_설정'!B32="",'01_설정'!B32&lt;=0),"",MAX(0,(1-Y2184/'01_설정'!B32))*'01_설정'!B31)</f>
        <v/>
      </c>
    </row>
    <row r="2185" ht="17.25" customHeight="1">
      <c r="A2185" s="152">
        <f>IF(INDEX('04A_국토부원자료'!$A:$A,ROW()+1)="","",ROW()-3)</f>
        <v/>
      </c>
      <c r="B2185" s="48">
        <f>IFERROR(INDEX('04A_국토부원자료'!$A:$T,ROW()+1,MATCH("시군구",'04A_국토부원자료'!$A$4:$T$4,0)),"")</f>
        <v/>
      </c>
      <c r="C2185" s="48">
        <f>IF(B2185="","",IFERROR(INDEX('04A_국토부원자료'!$A:$T,ROW()+1,MATCH("번지",'04A_국토부원자료'!$A$4:$T$4,0)),""))</f>
        <v/>
      </c>
      <c r="D2185" s="48">
        <f>IF(B2185="","",IF(Q2185=1,'02_대상물건입력'!$B$8,IFERROR(INDEX('04A_국토부원자료'!$A:$T,ROW()+1,MATCH("단지명",'04A_국토부원자료'!$A$4:$T$4,0)),"")))</f>
        <v/>
      </c>
      <c r="E2185" s="172">
        <f>IFERROR(VALUE(SUBSTITUTE(INDEX('04A_국토부원자료'!$A:$T,ROW()+1,MATCH("전용면적(㎡)",'04A_국토부원자료'!$A$4:$T$4,0)),",","")),"")</f>
        <v/>
      </c>
      <c r="F21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85" s="51">
        <f>IFERROR(VALUE(SUBSTITUTE(INDEX('04A_국토부원자료'!$A:$T,ROW()+1,MATCH("거래금액(만원)",'04A_국토부원자료'!$A$4:$T$4,0)),",","")),"")</f>
        <v/>
      </c>
      <c r="H2185" s="174">
        <f>IF(G2185="","",G2185*10000)</f>
        <v/>
      </c>
      <c r="I2185" s="174">
        <f>IFERROR(IF(AND(H2185&gt;0,E2185&gt;0),H2185/E2185,""),"")</f>
        <v/>
      </c>
      <c r="J2185" s="152">
        <f>IFERROR(VALUE(SUBSTITUTE(INDEX('04A_국토부원자료'!$A:$T,ROW()+1,MATCH("층",'04A_국토부원자료'!$A$4:$T$4,0)),",","")),"")</f>
        <v/>
      </c>
      <c r="K2185" s="152">
        <f>IFERROR(VALUE(SUBSTITUTE(INDEX('04A_국토부원자료'!$A:$T,ROW()+1,MATCH("건축년도",'04A_국토부원자료'!$A$4:$T$4,0)),",","")),"")</f>
        <v/>
      </c>
      <c r="L2185" s="48">
        <f>IFERROR(INDEX('04A_국토부원자료'!$A:$T,ROW()+1,MATCH("도로명",'04A_국토부원자료'!$A$4:$T$4,0)),"")</f>
        <v/>
      </c>
      <c r="M2185" s="48">
        <f>IFERROR(INDEX('04A_국토부원자료'!$A:$T,ROW()+1,MATCH("거래유형",'04A_국토부원자료'!$A$4:$T$4,0)),"")</f>
        <v/>
      </c>
      <c r="N2185" s="152">
        <f>IF(B2185="","",IF('02_대상물건입력'!B5="",1,IF(ISNUMBER(SEARCH('02_대상물건입력'!B5,B2185)),1,0)))</f>
        <v/>
      </c>
      <c r="O2185" s="152">
        <f>IF(B2185="","",IF('02_대상물건입력'!B6="",1,IF(ISNUMBER(SEARCH('02_대상물건입력'!B6,B2185)),1,0)))</f>
        <v/>
      </c>
      <c r="P2185" s="152">
        <f>IF(L2185="","",IF('02_대상물건입력'!B15="",0,IF(ISNUMBER(SEARCH('02_대상물건입력'!B15,L2185)),1,0)))</f>
        <v/>
      </c>
      <c r="Q2185" s="152">
        <f>IF(OR(C2185="",L2185=""),0,IF(AND(TRIM(C2185)=TRIM(RIGHT(SUBSTITUTE(TRIM('02_대상물건입력'!$B$7)," ",REPT(" ",99)),99)),IF('02_대상물건입력'!B15="",TRUE(),ISNUMBER(SEARCH('02_대상물건입력'!B15,L2185)))),1,0))</f>
        <v/>
      </c>
      <c r="R2185" s="175">
        <f>IFERROR(ABS(E2185-'02_대상물건입력'!B11)/'02_대상물건입력'!B11,"")</f>
        <v/>
      </c>
      <c r="S2185" s="152">
        <f>IFERROR(ABS(J2185-'02_대상물건입력'!B10),"")</f>
        <v/>
      </c>
      <c r="T2185" s="152">
        <f>IFERROR(ABS('01_설정'!B4-F2185),"")</f>
        <v/>
      </c>
      <c r="U2185" s="152">
        <f>IFERROR(ABS(K2185-YEAR('02_대상물건입력'!B14)),"")</f>
        <v/>
      </c>
      <c r="V2185" s="152">
        <f>IF(B2185="","",IF(AND(E2185&gt;0,F2185&gt;0,H2185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2185=1,TRUE()),R2185&lt;='01_설정'!B5,S2185&lt;='01_설정'!B6,T2185&lt;='01_설정'!B7,U2185&lt;='01_설정'!B8),"Y",""))</f>
        <v/>
      </c>
      <c r="W2185" s="172">
        <f>IF(V2185&lt;&gt;"Y","",MAX(0,(1-R2185/'01_설정'!B5))*'01_설정'!B14+MAX(0,(1-S2185/'01_설정'!B6))*'01_설정'!B15+MAX(0,(1-T2185/'01_설정'!B7))*'01_설정'!B16+MAX(0,(1-U2185/'01_설정'!B8))*'01_설정'!B17+O2185*'01_설정'!B11+Q2185*'01_설정'!B12+P2185*'01_설정'!B13+IF(Z2185="",0,Z2185))</f>
        <v/>
      </c>
      <c r="X2185" s="152">
        <f>IF(W2185="","",1+COUNTIFS($W$4:$W$3003,"&gt;"&amp;W2185)+COUNTIFS($W$4:W2185,W2185)-1)</f>
        <v/>
      </c>
      <c r="Y2185" s="175">
        <f>IF(OR(I2185="",'02_대상물건입력'!B19="",'02_대상물건입력'!B19&lt;=0),"",ABS(I2185-'02_대상물건입력'!B19)/'02_대상물건입력'!B19)</f>
        <v/>
      </c>
      <c r="Z2185" s="172">
        <f>IF(OR(Y2185="",'01_설정'!B31="",'01_설정'!B31&lt;=0,'01_설정'!B32="",'01_설정'!B32&lt;=0),"",MAX(0,(1-Y2185/'01_설정'!B32))*'01_설정'!B31)</f>
        <v/>
      </c>
    </row>
    <row r="2186" ht="17.25" customHeight="1">
      <c r="A2186" s="152">
        <f>IF(INDEX('04A_국토부원자료'!$A:$A,ROW()+1)="","",ROW()-3)</f>
        <v/>
      </c>
      <c r="B2186" s="48">
        <f>IFERROR(INDEX('04A_국토부원자료'!$A:$T,ROW()+1,MATCH("시군구",'04A_국토부원자료'!$A$4:$T$4,0)),"")</f>
        <v/>
      </c>
      <c r="C2186" s="48">
        <f>IF(B2186="","",IFERROR(INDEX('04A_국토부원자료'!$A:$T,ROW()+1,MATCH("번지",'04A_국토부원자료'!$A$4:$T$4,0)),""))</f>
        <v/>
      </c>
      <c r="D2186" s="48">
        <f>IF(B2186="","",IF(Q2186=1,'02_대상물건입력'!$B$8,IFERROR(INDEX('04A_국토부원자료'!$A:$T,ROW()+1,MATCH("단지명",'04A_국토부원자료'!$A$4:$T$4,0)),"")))</f>
        <v/>
      </c>
      <c r="E2186" s="172">
        <f>IFERROR(VALUE(SUBSTITUTE(INDEX('04A_국토부원자료'!$A:$T,ROW()+1,MATCH("전용면적(㎡)",'04A_국토부원자료'!$A$4:$T$4,0)),",","")),"")</f>
        <v/>
      </c>
      <c r="F21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86" s="51">
        <f>IFERROR(VALUE(SUBSTITUTE(INDEX('04A_국토부원자료'!$A:$T,ROW()+1,MATCH("거래금액(만원)",'04A_국토부원자료'!$A$4:$T$4,0)),",","")),"")</f>
        <v/>
      </c>
      <c r="H2186" s="174">
        <f>IF(G2186="","",G2186*10000)</f>
        <v/>
      </c>
      <c r="I2186" s="174">
        <f>IFERROR(IF(AND(H2186&gt;0,E2186&gt;0),H2186/E2186,""),"")</f>
        <v/>
      </c>
      <c r="J2186" s="152">
        <f>IFERROR(VALUE(SUBSTITUTE(INDEX('04A_국토부원자료'!$A:$T,ROW()+1,MATCH("층",'04A_국토부원자료'!$A$4:$T$4,0)),",","")),"")</f>
        <v/>
      </c>
      <c r="K2186" s="152">
        <f>IFERROR(VALUE(SUBSTITUTE(INDEX('04A_국토부원자료'!$A:$T,ROW()+1,MATCH("건축년도",'04A_국토부원자료'!$A$4:$T$4,0)),",","")),"")</f>
        <v/>
      </c>
      <c r="L2186" s="48">
        <f>IFERROR(INDEX('04A_국토부원자료'!$A:$T,ROW()+1,MATCH("도로명",'04A_국토부원자료'!$A$4:$T$4,0)),"")</f>
        <v/>
      </c>
      <c r="M2186" s="48">
        <f>IFERROR(INDEX('04A_국토부원자료'!$A:$T,ROW()+1,MATCH("거래유형",'04A_국토부원자료'!$A$4:$T$4,0)),"")</f>
        <v/>
      </c>
      <c r="N2186" s="152">
        <f>IF(B2186="","",IF('02_대상물건입력'!B5="",1,IF(ISNUMBER(SEARCH('02_대상물건입력'!B5,B2186)),1,0)))</f>
        <v/>
      </c>
      <c r="O2186" s="152">
        <f>IF(B2186="","",IF('02_대상물건입력'!B6="",1,IF(ISNUMBER(SEARCH('02_대상물건입력'!B6,B2186)),1,0)))</f>
        <v/>
      </c>
      <c r="P2186" s="152">
        <f>IF(L2186="","",IF('02_대상물건입력'!B15="",0,IF(ISNUMBER(SEARCH('02_대상물건입력'!B15,L2186)),1,0)))</f>
        <v/>
      </c>
      <c r="Q2186" s="152">
        <f>IF(OR(C2186="",L2186=""),0,IF(AND(TRIM(C2186)=TRIM(RIGHT(SUBSTITUTE(TRIM('02_대상물건입력'!$B$7)," ",REPT(" ",99)),99)),IF('02_대상물건입력'!B15="",TRUE(),ISNUMBER(SEARCH('02_대상물건입력'!B15,L2186)))),1,0))</f>
        <v/>
      </c>
      <c r="R2186" s="175">
        <f>IFERROR(ABS(E2186-'02_대상물건입력'!B11)/'02_대상물건입력'!B11,"")</f>
        <v/>
      </c>
      <c r="S2186" s="152">
        <f>IFERROR(ABS(J2186-'02_대상물건입력'!B10),"")</f>
        <v/>
      </c>
      <c r="T2186" s="152">
        <f>IFERROR(ABS('01_설정'!B4-F2186),"")</f>
        <v/>
      </c>
      <c r="U2186" s="152">
        <f>IFERROR(ABS(K2186-YEAR('02_대상물건입력'!B14)),"")</f>
        <v/>
      </c>
      <c r="V2186" s="152">
        <f>IF(B2186="","",IF(AND(E2186&gt;0,F2186&gt;0,H2186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2186=1,TRUE()),R2186&lt;='01_설정'!B5,S2186&lt;='01_설정'!B6,T2186&lt;='01_설정'!B7,U2186&lt;='01_설정'!B8),"Y",""))</f>
        <v/>
      </c>
      <c r="W2186" s="172">
        <f>IF(V2186&lt;&gt;"Y","",MAX(0,(1-R2186/'01_설정'!B5))*'01_설정'!B14+MAX(0,(1-S2186/'01_설정'!B6))*'01_설정'!B15+MAX(0,(1-T2186/'01_설정'!B7))*'01_설정'!B16+MAX(0,(1-U2186/'01_설정'!B8))*'01_설정'!B17+O2186*'01_설정'!B11+Q2186*'01_설정'!B12+P2186*'01_설정'!B13+IF(Z2186="",0,Z2186))</f>
        <v/>
      </c>
      <c r="X2186" s="152">
        <f>IF(W2186="","",1+COUNTIFS($W$4:$W$3003,"&gt;"&amp;W2186)+COUNTIFS($W$4:W2186,W2186)-1)</f>
        <v/>
      </c>
      <c r="Y2186" s="175">
        <f>IF(OR(I2186="",'02_대상물건입력'!B19="",'02_대상물건입력'!B19&lt;=0),"",ABS(I2186-'02_대상물건입력'!B19)/'02_대상물건입력'!B19)</f>
        <v/>
      </c>
      <c r="Z2186" s="172">
        <f>IF(OR(Y2186="",'01_설정'!B31="",'01_설정'!B31&lt;=0,'01_설정'!B32="",'01_설정'!B32&lt;=0),"",MAX(0,(1-Y2186/'01_설정'!B32))*'01_설정'!B31)</f>
        <v/>
      </c>
    </row>
    <row r="2187" ht="17.25" customHeight="1">
      <c r="A2187" s="152">
        <f>IF(INDEX('04A_국토부원자료'!$A:$A,ROW()+1)="","",ROW()-3)</f>
        <v/>
      </c>
      <c r="B2187" s="48">
        <f>IFERROR(INDEX('04A_국토부원자료'!$A:$T,ROW()+1,MATCH("시군구",'04A_국토부원자료'!$A$4:$T$4,0)),"")</f>
        <v/>
      </c>
      <c r="C2187" s="48">
        <f>IF(B2187="","",IFERROR(INDEX('04A_국토부원자료'!$A:$T,ROW()+1,MATCH("번지",'04A_국토부원자료'!$A$4:$T$4,0)),""))</f>
        <v/>
      </c>
      <c r="D2187" s="48">
        <f>IF(B2187="","",IF(Q2187=1,'02_대상물건입력'!$B$8,IFERROR(INDEX('04A_국토부원자료'!$A:$T,ROW()+1,MATCH("단지명",'04A_국토부원자료'!$A$4:$T$4,0)),"")))</f>
        <v/>
      </c>
      <c r="E2187" s="172">
        <f>IFERROR(VALUE(SUBSTITUTE(INDEX('04A_국토부원자료'!$A:$T,ROW()+1,MATCH("전용면적(㎡)",'04A_국토부원자료'!$A$4:$T$4,0)),",","")),"")</f>
        <v/>
      </c>
      <c r="F21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87" s="51">
        <f>IFERROR(VALUE(SUBSTITUTE(INDEX('04A_국토부원자료'!$A:$T,ROW()+1,MATCH("거래금액(만원)",'04A_국토부원자료'!$A$4:$T$4,0)),",","")),"")</f>
        <v/>
      </c>
      <c r="H2187" s="174">
        <f>IF(G2187="","",G2187*10000)</f>
        <v/>
      </c>
      <c r="I2187" s="174">
        <f>IFERROR(IF(AND(H2187&gt;0,E2187&gt;0),H2187/E2187,""),"")</f>
        <v/>
      </c>
      <c r="J2187" s="152">
        <f>IFERROR(VALUE(SUBSTITUTE(INDEX('04A_국토부원자료'!$A:$T,ROW()+1,MATCH("층",'04A_국토부원자료'!$A$4:$T$4,0)),",","")),"")</f>
        <v/>
      </c>
      <c r="K2187" s="152">
        <f>IFERROR(VALUE(SUBSTITUTE(INDEX('04A_국토부원자료'!$A:$T,ROW()+1,MATCH("건축년도",'04A_국토부원자료'!$A$4:$T$4,0)),",","")),"")</f>
        <v/>
      </c>
      <c r="L2187" s="48">
        <f>IFERROR(INDEX('04A_국토부원자료'!$A:$T,ROW()+1,MATCH("도로명",'04A_국토부원자료'!$A$4:$T$4,0)),"")</f>
        <v/>
      </c>
      <c r="M2187" s="48">
        <f>IFERROR(INDEX('04A_국토부원자료'!$A:$T,ROW()+1,MATCH("거래유형",'04A_국토부원자료'!$A$4:$T$4,0)),"")</f>
        <v/>
      </c>
      <c r="N2187" s="152">
        <f>IF(B2187="","",IF('02_대상물건입력'!B5="",1,IF(ISNUMBER(SEARCH('02_대상물건입력'!B5,B2187)),1,0)))</f>
        <v/>
      </c>
      <c r="O2187" s="152">
        <f>IF(B2187="","",IF('02_대상물건입력'!B6="",1,IF(ISNUMBER(SEARCH('02_대상물건입력'!B6,B2187)),1,0)))</f>
        <v/>
      </c>
      <c r="P2187" s="152">
        <f>IF(L2187="","",IF('02_대상물건입력'!B15="",0,IF(ISNUMBER(SEARCH('02_대상물건입력'!B15,L2187)),1,0)))</f>
        <v/>
      </c>
      <c r="Q2187" s="152">
        <f>IF(OR(C2187="",L2187=""),0,IF(AND(TRIM(C2187)=TRIM(RIGHT(SUBSTITUTE(TRIM('02_대상물건입력'!$B$7)," ",REPT(" ",99)),99)),IF('02_대상물건입력'!B15="",TRUE(),ISNUMBER(SEARCH('02_대상물건입력'!B15,L2187)))),1,0))</f>
        <v/>
      </c>
      <c r="R2187" s="175">
        <f>IFERROR(ABS(E2187-'02_대상물건입력'!B11)/'02_대상물건입력'!B11,"")</f>
        <v/>
      </c>
      <c r="S2187" s="152">
        <f>IFERROR(ABS(J2187-'02_대상물건입력'!B10),"")</f>
        <v/>
      </c>
      <c r="T2187" s="152">
        <f>IFERROR(ABS('01_설정'!B4-F2187),"")</f>
        <v/>
      </c>
      <c r="U2187" s="152">
        <f>IFERROR(ABS(K2187-YEAR('02_대상물건입력'!B14)),"")</f>
        <v/>
      </c>
      <c r="V2187" s="152">
        <f>IF(B2187="","",IF(AND(E2187&gt;0,F2187&gt;0,H2187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2187=1,TRUE()),R2187&lt;='01_설정'!B5,S2187&lt;='01_설정'!B6,T2187&lt;='01_설정'!B7,U2187&lt;='01_설정'!B8),"Y",""))</f>
        <v/>
      </c>
      <c r="W2187" s="172">
        <f>IF(V2187&lt;&gt;"Y","",MAX(0,(1-R2187/'01_설정'!B5))*'01_설정'!B14+MAX(0,(1-S2187/'01_설정'!B6))*'01_설정'!B15+MAX(0,(1-T2187/'01_설정'!B7))*'01_설정'!B16+MAX(0,(1-U2187/'01_설정'!B8))*'01_설정'!B17+O2187*'01_설정'!B11+Q2187*'01_설정'!B12+P2187*'01_설정'!B13+IF(Z2187="",0,Z2187))</f>
        <v/>
      </c>
      <c r="X2187" s="152">
        <f>IF(W2187="","",1+COUNTIFS($W$4:$W$3003,"&gt;"&amp;W2187)+COUNTIFS($W$4:W2187,W2187)-1)</f>
        <v/>
      </c>
      <c r="Y2187" s="175">
        <f>IF(OR(I2187="",'02_대상물건입력'!B19="",'02_대상물건입력'!B19&lt;=0),"",ABS(I2187-'02_대상물건입력'!B19)/'02_대상물건입력'!B19)</f>
        <v/>
      </c>
      <c r="Z2187" s="172">
        <f>IF(OR(Y2187="",'01_설정'!B31="",'01_설정'!B31&lt;=0,'01_설정'!B32="",'01_설정'!B32&lt;=0),"",MAX(0,(1-Y2187/'01_설정'!B32))*'01_설정'!B31)</f>
        <v/>
      </c>
    </row>
    <row r="2188" ht="17.25" customHeight="1">
      <c r="A2188" s="152">
        <f>IF(INDEX('04A_국토부원자료'!$A:$A,ROW()+1)="","",ROW()-3)</f>
        <v/>
      </c>
      <c r="B2188" s="48">
        <f>IFERROR(INDEX('04A_국토부원자료'!$A:$T,ROW()+1,MATCH("시군구",'04A_국토부원자료'!$A$4:$T$4,0)),"")</f>
        <v/>
      </c>
      <c r="C2188" s="48">
        <f>IF(B2188="","",IFERROR(INDEX('04A_국토부원자료'!$A:$T,ROW()+1,MATCH("번지",'04A_국토부원자료'!$A$4:$T$4,0)),""))</f>
        <v/>
      </c>
      <c r="D2188" s="48">
        <f>IF(B2188="","",IF(Q2188=1,'02_대상물건입력'!$B$8,IFERROR(INDEX('04A_국토부원자료'!$A:$T,ROW()+1,MATCH("단지명",'04A_국토부원자료'!$A$4:$T$4,0)),"")))</f>
        <v/>
      </c>
      <c r="E2188" s="172">
        <f>IFERROR(VALUE(SUBSTITUTE(INDEX('04A_국토부원자료'!$A:$T,ROW()+1,MATCH("전용면적(㎡)",'04A_국토부원자료'!$A$4:$T$4,0)),",","")),"")</f>
        <v/>
      </c>
      <c r="F21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88" s="51">
        <f>IFERROR(VALUE(SUBSTITUTE(INDEX('04A_국토부원자료'!$A:$T,ROW()+1,MATCH("거래금액(만원)",'04A_국토부원자료'!$A$4:$T$4,0)),",","")),"")</f>
        <v/>
      </c>
      <c r="H2188" s="174">
        <f>IF(G2188="","",G2188*10000)</f>
        <v/>
      </c>
      <c r="I2188" s="174">
        <f>IFERROR(IF(AND(H2188&gt;0,E2188&gt;0),H2188/E2188,""),"")</f>
        <v/>
      </c>
      <c r="J2188" s="152">
        <f>IFERROR(VALUE(SUBSTITUTE(INDEX('04A_국토부원자료'!$A:$T,ROW()+1,MATCH("층",'04A_국토부원자료'!$A$4:$T$4,0)),",","")),"")</f>
        <v/>
      </c>
      <c r="K2188" s="152">
        <f>IFERROR(VALUE(SUBSTITUTE(INDEX('04A_국토부원자료'!$A:$T,ROW()+1,MATCH("건축년도",'04A_국토부원자료'!$A$4:$T$4,0)),",","")),"")</f>
        <v/>
      </c>
      <c r="L2188" s="48">
        <f>IFERROR(INDEX('04A_국토부원자료'!$A:$T,ROW()+1,MATCH("도로명",'04A_국토부원자료'!$A$4:$T$4,0)),"")</f>
        <v/>
      </c>
      <c r="M2188" s="48">
        <f>IFERROR(INDEX('04A_국토부원자료'!$A:$T,ROW()+1,MATCH("거래유형",'04A_국토부원자료'!$A$4:$T$4,0)),"")</f>
        <v/>
      </c>
      <c r="N2188" s="152">
        <f>IF(B2188="","",IF('02_대상물건입력'!B5="",1,IF(ISNUMBER(SEARCH('02_대상물건입력'!B5,B2188)),1,0)))</f>
        <v/>
      </c>
      <c r="O2188" s="152">
        <f>IF(B2188="","",IF('02_대상물건입력'!B6="",1,IF(ISNUMBER(SEARCH('02_대상물건입력'!B6,B2188)),1,0)))</f>
        <v/>
      </c>
      <c r="P2188" s="152">
        <f>IF(L2188="","",IF('02_대상물건입력'!B15="",0,IF(ISNUMBER(SEARCH('02_대상물건입력'!B15,L2188)),1,0)))</f>
        <v/>
      </c>
      <c r="Q2188" s="152">
        <f>IF(OR(C2188="",L2188=""),0,IF(AND(TRIM(C2188)=TRIM(RIGHT(SUBSTITUTE(TRIM('02_대상물건입력'!$B$7)," ",REPT(" ",99)),99)),IF('02_대상물건입력'!B15="",TRUE(),ISNUMBER(SEARCH('02_대상물건입력'!B15,L2188)))),1,0))</f>
        <v/>
      </c>
      <c r="R2188" s="175">
        <f>IFERROR(ABS(E2188-'02_대상물건입력'!B11)/'02_대상물건입력'!B11,"")</f>
        <v/>
      </c>
      <c r="S2188" s="152">
        <f>IFERROR(ABS(J2188-'02_대상물건입력'!B10),"")</f>
        <v/>
      </c>
      <c r="T2188" s="152">
        <f>IFERROR(ABS('01_설정'!B4-F2188),"")</f>
        <v/>
      </c>
      <c r="U2188" s="152">
        <f>IFERROR(ABS(K2188-YEAR('02_대상물건입력'!B14)),"")</f>
        <v/>
      </c>
      <c r="V2188" s="152">
        <f>IF(B2188="","",IF(AND(E2188&gt;0,F2188&gt;0,H2188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2188=1,TRUE()),R2188&lt;='01_설정'!B5,S2188&lt;='01_설정'!B6,T2188&lt;='01_설정'!B7,U2188&lt;='01_설정'!B8),"Y",""))</f>
        <v/>
      </c>
      <c r="W2188" s="172">
        <f>IF(V2188&lt;&gt;"Y","",MAX(0,(1-R2188/'01_설정'!B5))*'01_설정'!B14+MAX(0,(1-S2188/'01_설정'!B6))*'01_설정'!B15+MAX(0,(1-T2188/'01_설정'!B7))*'01_설정'!B16+MAX(0,(1-U2188/'01_설정'!B8))*'01_설정'!B17+O2188*'01_설정'!B11+Q2188*'01_설정'!B12+P2188*'01_설정'!B13+IF(Z2188="",0,Z2188))</f>
        <v/>
      </c>
      <c r="X2188" s="152">
        <f>IF(W2188="","",1+COUNTIFS($W$4:$W$3003,"&gt;"&amp;W2188)+COUNTIFS($W$4:W2188,W2188)-1)</f>
        <v/>
      </c>
      <c r="Y2188" s="175">
        <f>IF(OR(I2188="",'02_대상물건입력'!B19="",'02_대상물건입력'!B19&lt;=0),"",ABS(I2188-'02_대상물건입력'!B19)/'02_대상물건입력'!B19)</f>
        <v/>
      </c>
      <c r="Z2188" s="172">
        <f>IF(OR(Y2188="",'01_설정'!B31="",'01_설정'!B31&lt;=0,'01_설정'!B32="",'01_설정'!B32&lt;=0),"",MAX(0,(1-Y2188/'01_설정'!B32))*'01_설정'!B31)</f>
        <v/>
      </c>
    </row>
    <row r="2189" ht="17.25" customHeight="1">
      <c r="A2189" s="152">
        <f>IF(INDEX('04A_국토부원자료'!$A:$A,ROW()+1)="","",ROW()-3)</f>
        <v/>
      </c>
      <c r="B2189" s="48">
        <f>IFERROR(INDEX('04A_국토부원자료'!$A:$T,ROW()+1,MATCH("시군구",'04A_국토부원자료'!$A$4:$T$4,0)),"")</f>
        <v/>
      </c>
      <c r="C2189" s="48">
        <f>IF(B2189="","",IFERROR(INDEX('04A_국토부원자료'!$A:$T,ROW()+1,MATCH("번지",'04A_국토부원자료'!$A$4:$T$4,0)),""))</f>
        <v/>
      </c>
      <c r="D2189" s="48">
        <f>IF(B2189="","",IF(Q2189=1,'02_대상물건입력'!$B$8,IFERROR(INDEX('04A_국토부원자료'!$A:$T,ROW()+1,MATCH("단지명",'04A_국토부원자료'!$A$4:$T$4,0)),"")))</f>
        <v/>
      </c>
      <c r="E2189" s="172">
        <f>IFERROR(VALUE(SUBSTITUTE(INDEX('04A_국토부원자료'!$A:$T,ROW()+1,MATCH("전용면적(㎡)",'04A_국토부원자료'!$A$4:$T$4,0)),",","")),"")</f>
        <v/>
      </c>
      <c r="F21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89" s="51">
        <f>IFERROR(VALUE(SUBSTITUTE(INDEX('04A_국토부원자료'!$A:$T,ROW()+1,MATCH("거래금액(만원)",'04A_국토부원자료'!$A$4:$T$4,0)),",","")),"")</f>
        <v/>
      </c>
      <c r="H2189" s="174">
        <f>IF(G2189="","",G2189*10000)</f>
        <v/>
      </c>
      <c r="I2189" s="174">
        <f>IFERROR(IF(AND(H2189&gt;0,E2189&gt;0),H2189/E2189,""),"")</f>
        <v/>
      </c>
      <c r="J2189" s="152">
        <f>IFERROR(VALUE(SUBSTITUTE(INDEX('04A_국토부원자료'!$A:$T,ROW()+1,MATCH("층",'04A_국토부원자료'!$A$4:$T$4,0)),",","")),"")</f>
        <v/>
      </c>
      <c r="K2189" s="152">
        <f>IFERROR(VALUE(SUBSTITUTE(INDEX('04A_국토부원자료'!$A:$T,ROW()+1,MATCH("건축년도",'04A_국토부원자료'!$A$4:$T$4,0)),",","")),"")</f>
        <v/>
      </c>
      <c r="L2189" s="48">
        <f>IFERROR(INDEX('04A_국토부원자료'!$A:$T,ROW()+1,MATCH("도로명",'04A_국토부원자료'!$A$4:$T$4,0)),"")</f>
        <v/>
      </c>
      <c r="M2189" s="48">
        <f>IFERROR(INDEX('04A_국토부원자료'!$A:$T,ROW()+1,MATCH("거래유형",'04A_국토부원자료'!$A$4:$T$4,0)),"")</f>
        <v/>
      </c>
      <c r="N2189" s="152">
        <f>IF(B2189="","",IF('02_대상물건입력'!B5="",1,IF(ISNUMBER(SEARCH('02_대상물건입력'!B5,B2189)),1,0)))</f>
        <v/>
      </c>
      <c r="O2189" s="152">
        <f>IF(B2189="","",IF('02_대상물건입력'!B6="",1,IF(ISNUMBER(SEARCH('02_대상물건입력'!B6,B2189)),1,0)))</f>
        <v/>
      </c>
      <c r="P2189" s="152">
        <f>IF(L2189="","",IF('02_대상물건입력'!B15="",0,IF(ISNUMBER(SEARCH('02_대상물건입력'!B15,L2189)),1,0)))</f>
        <v/>
      </c>
      <c r="Q2189" s="152">
        <f>IF(OR(C2189="",L2189=""),0,IF(AND(TRIM(C2189)=TRIM(RIGHT(SUBSTITUTE(TRIM('02_대상물건입력'!$B$7)," ",REPT(" ",99)),99)),IF('02_대상물건입력'!B15="",TRUE(),ISNUMBER(SEARCH('02_대상물건입력'!B15,L2189)))),1,0))</f>
        <v/>
      </c>
      <c r="R2189" s="175">
        <f>IFERROR(ABS(E2189-'02_대상물건입력'!B11)/'02_대상물건입력'!B11,"")</f>
        <v/>
      </c>
      <c r="S2189" s="152">
        <f>IFERROR(ABS(J2189-'02_대상물건입력'!B10),"")</f>
        <v/>
      </c>
      <c r="T2189" s="152">
        <f>IFERROR(ABS('01_설정'!B4-F2189),"")</f>
        <v/>
      </c>
      <c r="U2189" s="152">
        <f>IFERROR(ABS(K2189-YEAR('02_대상물건입력'!B14)),"")</f>
        <v/>
      </c>
      <c r="V2189" s="152">
        <f>IF(B2189="","",IF(AND(E2189&gt;0,F2189&gt;0,H2189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2189=1,TRUE()),R2189&lt;='01_설정'!B5,S2189&lt;='01_설정'!B6,T2189&lt;='01_설정'!B7,U2189&lt;='01_설정'!B8),"Y",""))</f>
        <v/>
      </c>
      <c r="W2189" s="172">
        <f>IF(V2189&lt;&gt;"Y","",MAX(0,(1-R2189/'01_설정'!B5))*'01_설정'!B14+MAX(0,(1-S2189/'01_설정'!B6))*'01_설정'!B15+MAX(0,(1-T2189/'01_설정'!B7))*'01_설정'!B16+MAX(0,(1-U2189/'01_설정'!B8))*'01_설정'!B17+O2189*'01_설정'!B11+Q2189*'01_설정'!B12+P2189*'01_설정'!B13+IF(Z2189="",0,Z2189))</f>
        <v/>
      </c>
      <c r="X2189" s="152">
        <f>IF(W2189="","",1+COUNTIFS($W$4:$W$3003,"&gt;"&amp;W2189)+COUNTIFS($W$4:W2189,W2189)-1)</f>
        <v/>
      </c>
      <c r="Y2189" s="175">
        <f>IF(OR(I2189="",'02_대상물건입력'!B19="",'02_대상물건입력'!B19&lt;=0),"",ABS(I2189-'02_대상물건입력'!B19)/'02_대상물건입력'!B19)</f>
        <v/>
      </c>
      <c r="Z2189" s="172">
        <f>IF(OR(Y2189="",'01_설정'!B31="",'01_설정'!B31&lt;=0,'01_설정'!B32="",'01_설정'!B32&lt;=0),"",MAX(0,(1-Y2189/'01_설정'!B32))*'01_설정'!B31)</f>
        <v/>
      </c>
    </row>
    <row r="2190" ht="17.25" customHeight="1">
      <c r="A2190" s="152">
        <f>IF(INDEX('04A_국토부원자료'!$A:$A,ROW()+1)="","",ROW()-3)</f>
        <v/>
      </c>
      <c r="B2190" s="48">
        <f>IFERROR(INDEX('04A_국토부원자료'!$A:$T,ROW()+1,MATCH("시군구",'04A_국토부원자료'!$A$4:$T$4,0)),"")</f>
        <v/>
      </c>
      <c r="C2190" s="48">
        <f>IF(B2190="","",IFERROR(INDEX('04A_국토부원자료'!$A:$T,ROW()+1,MATCH("번지",'04A_국토부원자료'!$A$4:$T$4,0)),""))</f>
        <v/>
      </c>
      <c r="D2190" s="48">
        <f>IF(B2190="","",IF(Q2190=1,'02_대상물건입력'!$B$8,IFERROR(INDEX('04A_국토부원자료'!$A:$T,ROW()+1,MATCH("단지명",'04A_국토부원자료'!$A$4:$T$4,0)),"")))</f>
        <v/>
      </c>
      <c r="E2190" s="172">
        <f>IFERROR(VALUE(SUBSTITUTE(INDEX('04A_국토부원자료'!$A:$T,ROW()+1,MATCH("전용면적(㎡)",'04A_국토부원자료'!$A$4:$T$4,0)),",","")),"")</f>
        <v/>
      </c>
      <c r="F21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90" s="51">
        <f>IFERROR(VALUE(SUBSTITUTE(INDEX('04A_국토부원자료'!$A:$T,ROW()+1,MATCH("거래금액(만원)",'04A_국토부원자료'!$A$4:$T$4,0)),",","")),"")</f>
        <v/>
      </c>
      <c r="H2190" s="174">
        <f>IF(G2190="","",G2190*10000)</f>
        <v/>
      </c>
      <c r="I2190" s="174">
        <f>IFERROR(IF(AND(H2190&gt;0,E2190&gt;0),H2190/E2190,""),"")</f>
        <v/>
      </c>
      <c r="J2190" s="152">
        <f>IFERROR(VALUE(SUBSTITUTE(INDEX('04A_국토부원자료'!$A:$T,ROW()+1,MATCH("층",'04A_국토부원자료'!$A$4:$T$4,0)),",","")),"")</f>
        <v/>
      </c>
      <c r="K2190" s="152">
        <f>IFERROR(VALUE(SUBSTITUTE(INDEX('04A_국토부원자료'!$A:$T,ROW()+1,MATCH("건축년도",'04A_국토부원자료'!$A$4:$T$4,0)),",","")),"")</f>
        <v/>
      </c>
      <c r="L2190" s="48">
        <f>IFERROR(INDEX('04A_국토부원자료'!$A:$T,ROW()+1,MATCH("도로명",'04A_국토부원자료'!$A$4:$T$4,0)),"")</f>
        <v/>
      </c>
      <c r="M2190" s="48">
        <f>IFERROR(INDEX('04A_국토부원자료'!$A:$T,ROW()+1,MATCH("거래유형",'04A_국토부원자료'!$A$4:$T$4,0)),"")</f>
        <v/>
      </c>
      <c r="N2190" s="152">
        <f>IF(B2190="","",IF('02_대상물건입력'!B5="",1,IF(ISNUMBER(SEARCH('02_대상물건입력'!B5,B2190)),1,0)))</f>
        <v/>
      </c>
      <c r="O2190" s="152">
        <f>IF(B2190="","",IF('02_대상물건입력'!B6="",1,IF(ISNUMBER(SEARCH('02_대상물건입력'!B6,B2190)),1,0)))</f>
        <v/>
      </c>
      <c r="P2190" s="152">
        <f>IF(L2190="","",IF('02_대상물건입력'!B15="",0,IF(ISNUMBER(SEARCH('02_대상물건입력'!B15,L2190)),1,0)))</f>
        <v/>
      </c>
      <c r="Q2190" s="152">
        <f>IF(OR(C2190="",L2190=""),0,IF(AND(TRIM(C2190)=TRIM(RIGHT(SUBSTITUTE(TRIM('02_대상물건입력'!$B$7)," ",REPT(" ",99)),99)),IF('02_대상물건입력'!B15="",TRUE(),ISNUMBER(SEARCH('02_대상물건입력'!B15,L2190)))),1,0))</f>
        <v/>
      </c>
      <c r="R2190" s="175">
        <f>IFERROR(ABS(E2190-'02_대상물건입력'!B11)/'02_대상물건입력'!B11,"")</f>
        <v/>
      </c>
      <c r="S2190" s="152">
        <f>IFERROR(ABS(J2190-'02_대상물건입력'!B10),"")</f>
        <v/>
      </c>
      <c r="T2190" s="152">
        <f>IFERROR(ABS('01_설정'!B4-F2190),"")</f>
        <v/>
      </c>
      <c r="U2190" s="152">
        <f>IFERROR(ABS(K2190-YEAR('02_대상물건입력'!B14)),"")</f>
        <v/>
      </c>
      <c r="V2190" s="152">
        <f>IF(B2190="","",IF(AND(E2190&gt;0,F2190&gt;0,H2190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2190=1,TRUE()),R2190&lt;='01_설정'!B5,S2190&lt;='01_설정'!B6,T2190&lt;='01_설정'!B7,U2190&lt;='01_설정'!B8),"Y",""))</f>
        <v/>
      </c>
      <c r="W2190" s="172">
        <f>IF(V2190&lt;&gt;"Y","",MAX(0,(1-R2190/'01_설정'!B5))*'01_설정'!B14+MAX(0,(1-S2190/'01_설정'!B6))*'01_설정'!B15+MAX(0,(1-T2190/'01_설정'!B7))*'01_설정'!B16+MAX(0,(1-U2190/'01_설정'!B8))*'01_설정'!B17+O2190*'01_설정'!B11+Q2190*'01_설정'!B12+P2190*'01_설정'!B13+IF(Z2190="",0,Z2190))</f>
        <v/>
      </c>
      <c r="X2190" s="152">
        <f>IF(W2190="","",1+COUNTIFS($W$4:$W$3003,"&gt;"&amp;W2190)+COUNTIFS($W$4:W2190,W2190)-1)</f>
        <v/>
      </c>
      <c r="Y2190" s="175">
        <f>IF(OR(I2190="",'02_대상물건입력'!B19="",'02_대상물건입력'!B19&lt;=0),"",ABS(I2190-'02_대상물건입력'!B19)/'02_대상물건입력'!B19)</f>
        <v/>
      </c>
      <c r="Z2190" s="172">
        <f>IF(OR(Y2190="",'01_설정'!B31="",'01_설정'!B31&lt;=0,'01_설정'!B32="",'01_설정'!B32&lt;=0),"",MAX(0,(1-Y2190/'01_설정'!B32))*'01_설정'!B31)</f>
        <v/>
      </c>
    </row>
    <row r="2191" ht="17.25" customHeight="1">
      <c r="A2191" s="152">
        <f>IF(INDEX('04A_국토부원자료'!$A:$A,ROW()+1)="","",ROW()-3)</f>
        <v/>
      </c>
      <c r="B2191" s="48">
        <f>IFERROR(INDEX('04A_국토부원자료'!$A:$T,ROW()+1,MATCH("시군구",'04A_국토부원자료'!$A$4:$T$4,0)),"")</f>
        <v/>
      </c>
      <c r="C2191" s="48">
        <f>IF(B2191="","",IFERROR(INDEX('04A_국토부원자료'!$A:$T,ROW()+1,MATCH("번지",'04A_국토부원자료'!$A$4:$T$4,0)),""))</f>
        <v/>
      </c>
      <c r="D2191" s="48">
        <f>IF(B2191="","",IF(Q2191=1,'02_대상물건입력'!$B$8,IFERROR(INDEX('04A_국토부원자료'!$A:$T,ROW()+1,MATCH("단지명",'04A_국토부원자료'!$A$4:$T$4,0)),"")))</f>
        <v/>
      </c>
      <c r="E2191" s="172">
        <f>IFERROR(VALUE(SUBSTITUTE(INDEX('04A_국토부원자료'!$A:$T,ROW()+1,MATCH("전용면적(㎡)",'04A_국토부원자료'!$A$4:$T$4,0)),",","")),"")</f>
        <v/>
      </c>
      <c r="F21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91" s="51">
        <f>IFERROR(VALUE(SUBSTITUTE(INDEX('04A_국토부원자료'!$A:$T,ROW()+1,MATCH("거래금액(만원)",'04A_국토부원자료'!$A$4:$T$4,0)),",","")),"")</f>
        <v/>
      </c>
      <c r="H2191" s="174">
        <f>IF(G2191="","",G2191*10000)</f>
        <v/>
      </c>
      <c r="I2191" s="174">
        <f>IFERROR(IF(AND(H2191&gt;0,E2191&gt;0),H2191/E2191,""),"")</f>
        <v/>
      </c>
      <c r="J2191" s="152">
        <f>IFERROR(VALUE(SUBSTITUTE(INDEX('04A_국토부원자료'!$A:$T,ROW()+1,MATCH("층",'04A_국토부원자료'!$A$4:$T$4,0)),",","")),"")</f>
        <v/>
      </c>
      <c r="K2191" s="152">
        <f>IFERROR(VALUE(SUBSTITUTE(INDEX('04A_국토부원자료'!$A:$T,ROW()+1,MATCH("건축년도",'04A_국토부원자료'!$A$4:$T$4,0)),",","")),"")</f>
        <v/>
      </c>
      <c r="L2191" s="48">
        <f>IFERROR(INDEX('04A_국토부원자료'!$A:$T,ROW()+1,MATCH("도로명",'04A_국토부원자료'!$A$4:$T$4,0)),"")</f>
        <v/>
      </c>
      <c r="M2191" s="48">
        <f>IFERROR(INDEX('04A_국토부원자료'!$A:$T,ROW()+1,MATCH("거래유형",'04A_국토부원자료'!$A$4:$T$4,0)),"")</f>
        <v/>
      </c>
      <c r="N2191" s="152">
        <f>IF(B2191="","",IF('02_대상물건입력'!B5="",1,IF(ISNUMBER(SEARCH('02_대상물건입력'!B5,B2191)),1,0)))</f>
        <v/>
      </c>
      <c r="O2191" s="152">
        <f>IF(B2191="","",IF('02_대상물건입력'!B6="",1,IF(ISNUMBER(SEARCH('02_대상물건입력'!B6,B2191)),1,0)))</f>
        <v/>
      </c>
      <c r="P2191" s="152">
        <f>IF(L2191="","",IF('02_대상물건입력'!B15="",0,IF(ISNUMBER(SEARCH('02_대상물건입력'!B15,L2191)),1,0)))</f>
        <v/>
      </c>
      <c r="Q2191" s="152">
        <f>IF(OR(C2191="",L2191=""),0,IF(AND(TRIM(C2191)=TRIM(RIGHT(SUBSTITUTE(TRIM('02_대상물건입력'!$B$7)," ",REPT(" ",99)),99)),IF('02_대상물건입력'!B15="",TRUE(),ISNUMBER(SEARCH('02_대상물건입력'!B15,L2191)))),1,0))</f>
        <v/>
      </c>
      <c r="R2191" s="175">
        <f>IFERROR(ABS(E2191-'02_대상물건입력'!B11)/'02_대상물건입력'!B11,"")</f>
        <v/>
      </c>
      <c r="S2191" s="152">
        <f>IFERROR(ABS(J2191-'02_대상물건입력'!B10),"")</f>
        <v/>
      </c>
      <c r="T2191" s="152">
        <f>IFERROR(ABS('01_설정'!B4-F2191),"")</f>
        <v/>
      </c>
      <c r="U2191" s="152">
        <f>IFERROR(ABS(K2191-YEAR('02_대상물건입력'!B14)),"")</f>
        <v/>
      </c>
      <c r="V2191" s="152">
        <f>IF(B2191="","",IF(AND(E2191&gt;0,F2191&gt;0,H2191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2191=1,TRUE()),R2191&lt;='01_설정'!B5,S2191&lt;='01_설정'!B6,T2191&lt;='01_설정'!B7,U2191&lt;='01_설정'!B8),"Y",""))</f>
        <v/>
      </c>
      <c r="W2191" s="172">
        <f>IF(V2191&lt;&gt;"Y","",MAX(0,(1-R2191/'01_설정'!B5))*'01_설정'!B14+MAX(0,(1-S2191/'01_설정'!B6))*'01_설정'!B15+MAX(0,(1-T2191/'01_설정'!B7))*'01_설정'!B16+MAX(0,(1-U2191/'01_설정'!B8))*'01_설정'!B17+O2191*'01_설정'!B11+Q2191*'01_설정'!B12+P2191*'01_설정'!B13+IF(Z2191="",0,Z2191))</f>
        <v/>
      </c>
      <c r="X2191" s="152">
        <f>IF(W2191="","",1+COUNTIFS($W$4:$W$3003,"&gt;"&amp;W2191)+COUNTIFS($W$4:W2191,W2191)-1)</f>
        <v/>
      </c>
      <c r="Y2191" s="175">
        <f>IF(OR(I2191="",'02_대상물건입력'!B19="",'02_대상물건입력'!B19&lt;=0),"",ABS(I2191-'02_대상물건입력'!B19)/'02_대상물건입력'!B19)</f>
        <v/>
      </c>
      <c r="Z2191" s="172">
        <f>IF(OR(Y2191="",'01_설정'!B31="",'01_설정'!B31&lt;=0,'01_설정'!B32="",'01_설정'!B32&lt;=0),"",MAX(0,(1-Y2191/'01_설정'!B32))*'01_설정'!B31)</f>
        <v/>
      </c>
    </row>
    <row r="2192" ht="17.25" customHeight="1">
      <c r="A2192" s="152">
        <f>IF(INDEX('04A_국토부원자료'!$A:$A,ROW()+1)="","",ROW()-3)</f>
        <v/>
      </c>
      <c r="B2192" s="48">
        <f>IFERROR(INDEX('04A_국토부원자료'!$A:$T,ROW()+1,MATCH("시군구",'04A_국토부원자료'!$A$4:$T$4,0)),"")</f>
        <v/>
      </c>
      <c r="C2192" s="48">
        <f>IF(B2192="","",IFERROR(INDEX('04A_국토부원자료'!$A:$T,ROW()+1,MATCH("번지",'04A_국토부원자료'!$A$4:$T$4,0)),""))</f>
        <v/>
      </c>
      <c r="D2192" s="48">
        <f>IF(B2192="","",IF(Q2192=1,'02_대상물건입력'!$B$8,IFERROR(INDEX('04A_국토부원자료'!$A:$T,ROW()+1,MATCH("단지명",'04A_국토부원자료'!$A$4:$T$4,0)),"")))</f>
        <v/>
      </c>
      <c r="E2192" s="172">
        <f>IFERROR(VALUE(SUBSTITUTE(INDEX('04A_국토부원자료'!$A:$T,ROW()+1,MATCH("전용면적(㎡)",'04A_국토부원자료'!$A$4:$T$4,0)),",","")),"")</f>
        <v/>
      </c>
      <c r="F21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92" s="51">
        <f>IFERROR(VALUE(SUBSTITUTE(INDEX('04A_국토부원자료'!$A:$T,ROW()+1,MATCH("거래금액(만원)",'04A_국토부원자료'!$A$4:$T$4,0)),",","")),"")</f>
        <v/>
      </c>
      <c r="H2192" s="174">
        <f>IF(G2192="","",G2192*10000)</f>
        <v/>
      </c>
      <c r="I2192" s="174">
        <f>IFERROR(IF(AND(H2192&gt;0,E2192&gt;0),H2192/E2192,""),"")</f>
        <v/>
      </c>
      <c r="J2192" s="152">
        <f>IFERROR(VALUE(SUBSTITUTE(INDEX('04A_국토부원자료'!$A:$T,ROW()+1,MATCH("층",'04A_국토부원자료'!$A$4:$T$4,0)),",","")),"")</f>
        <v/>
      </c>
      <c r="K2192" s="152">
        <f>IFERROR(VALUE(SUBSTITUTE(INDEX('04A_국토부원자료'!$A:$T,ROW()+1,MATCH("건축년도",'04A_국토부원자료'!$A$4:$T$4,0)),",","")),"")</f>
        <v/>
      </c>
      <c r="L2192" s="48">
        <f>IFERROR(INDEX('04A_국토부원자료'!$A:$T,ROW()+1,MATCH("도로명",'04A_국토부원자료'!$A$4:$T$4,0)),"")</f>
        <v/>
      </c>
      <c r="M2192" s="48">
        <f>IFERROR(INDEX('04A_국토부원자료'!$A:$T,ROW()+1,MATCH("거래유형",'04A_국토부원자료'!$A$4:$T$4,0)),"")</f>
        <v/>
      </c>
      <c r="N2192" s="152">
        <f>IF(B2192="","",IF('02_대상물건입력'!B5="",1,IF(ISNUMBER(SEARCH('02_대상물건입력'!B5,B2192)),1,0)))</f>
        <v/>
      </c>
      <c r="O2192" s="152">
        <f>IF(B2192="","",IF('02_대상물건입력'!B6="",1,IF(ISNUMBER(SEARCH('02_대상물건입력'!B6,B2192)),1,0)))</f>
        <v/>
      </c>
      <c r="P2192" s="152">
        <f>IF(L2192="","",IF('02_대상물건입력'!B15="",0,IF(ISNUMBER(SEARCH('02_대상물건입력'!B15,L2192)),1,0)))</f>
        <v/>
      </c>
      <c r="Q2192" s="152">
        <f>IF(OR(C2192="",L2192=""),0,IF(AND(TRIM(C2192)=TRIM(RIGHT(SUBSTITUTE(TRIM('02_대상물건입력'!$B$7)," ",REPT(" ",99)),99)),IF('02_대상물건입력'!B15="",TRUE(),ISNUMBER(SEARCH('02_대상물건입력'!B15,L2192)))),1,0))</f>
        <v/>
      </c>
      <c r="R2192" s="175">
        <f>IFERROR(ABS(E2192-'02_대상물건입력'!B11)/'02_대상물건입력'!B11,"")</f>
        <v/>
      </c>
      <c r="S2192" s="152">
        <f>IFERROR(ABS(J2192-'02_대상물건입력'!B10),"")</f>
        <v/>
      </c>
      <c r="T2192" s="152">
        <f>IFERROR(ABS('01_설정'!B4-F2192),"")</f>
        <v/>
      </c>
      <c r="U2192" s="152">
        <f>IFERROR(ABS(K2192-YEAR('02_대상물건입력'!B14)),"")</f>
        <v/>
      </c>
      <c r="V2192" s="152">
        <f>IF(B2192="","",IF(AND(E2192&gt;0,F2192&gt;0,H2192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2192=1,TRUE()),R2192&lt;='01_설정'!B5,S2192&lt;='01_설정'!B6,T2192&lt;='01_설정'!B7,U2192&lt;='01_설정'!B8),"Y",""))</f>
        <v/>
      </c>
      <c r="W2192" s="172">
        <f>IF(V2192&lt;&gt;"Y","",MAX(0,(1-R2192/'01_설정'!B5))*'01_설정'!B14+MAX(0,(1-S2192/'01_설정'!B6))*'01_설정'!B15+MAX(0,(1-T2192/'01_설정'!B7))*'01_설정'!B16+MAX(0,(1-U2192/'01_설정'!B8))*'01_설정'!B17+O2192*'01_설정'!B11+Q2192*'01_설정'!B12+P2192*'01_설정'!B13+IF(Z2192="",0,Z2192))</f>
        <v/>
      </c>
      <c r="X2192" s="152">
        <f>IF(W2192="","",1+COUNTIFS($W$4:$W$3003,"&gt;"&amp;W2192)+COUNTIFS($W$4:W2192,W2192)-1)</f>
        <v/>
      </c>
      <c r="Y2192" s="175">
        <f>IF(OR(I2192="",'02_대상물건입력'!B19="",'02_대상물건입력'!B19&lt;=0),"",ABS(I2192-'02_대상물건입력'!B19)/'02_대상물건입력'!B19)</f>
        <v/>
      </c>
      <c r="Z2192" s="172">
        <f>IF(OR(Y2192="",'01_설정'!B31="",'01_설정'!B31&lt;=0,'01_설정'!B32="",'01_설정'!B32&lt;=0),"",MAX(0,(1-Y2192/'01_설정'!B32))*'01_설정'!B31)</f>
        <v/>
      </c>
    </row>
    <row r="2193" ht="17.25" customHeight="1">
      <c r="A2193" s="152">
        <f>IF(INDEX('04A_국토부원자료'!$A:$A,ROW()+1)="","",ROW()-3)</f>
        <v/>
      </c>
      <c r="B2193" s="48">
        <f>IFERROR(INDEX('04A_국토부원자료'!$A:$T,ROW()+1,MATCH("시군구",'04A_국토부원자료'!$A$4:$T$4,0)),"")</f>
        <v/>
      </c>
      <c r="C2193" s="48">
        <f>IF(B2193="","",IFERROR(INDEX('04A_국토부원자료'!$A:$T,ROW()+1,MATCH("번지",'04A_국토부원자료'!$A$4:$T$4,0)),""))</f>
        <v/>
      </c>
      <c r="D2193" s="48">
        <f>IF(B2193="","",IF(Q2193=1,'02_대상물건입력'!$B$8,IFERROR(INDEX('04A_국토부원자료'!$A:$T,ROW()+1,MATCH("단지명",'04A_국토부원자료'!$A$4:$T$4,0)),"")))</f>
        <v/>
      </c>
      <c r="E2193" s="172">
        <f>IFERROR(VALUE(SUBSTITUTE(INDEX('04A_국토부원자료'!$A:$T,ROW()+1,MATCH("전용면적(㎡)",'04A_국토부원자료'!$A$4:$T$4,0)),",","")),"")</f>
        <v/>
      </c>
      <c r="F21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93" s="51">
        <f>IFERROR(VALUE(SUBSTITUTE(INDEX('04A_국토부원자료'!$A:$T,ROW()+1,MATCH("거래금액(만원)",'04A_국토부원자료'!$A$4:$T$4,0)),",","")),"")</f>
        <v/>
      </c>
      <c r="H2193" s="174">
        <f>IF(G2193="","",G2193*10000)</f>
        <v/>
      </c>
      <c r="I2193" s="174">
        <f>IFERROR(IF(AND(H2193&gt;0,E2193&gt;0),H2193/E2193,""),"")</f>
        <v/>
      </c>
      <c r="J2193" s="152">
        <f>IFERROR(VALUE(SUBSTITUTE(INDEX('04A_국토부원자료'!$A:$T,ROW()+1,MATCH("층",'04A_국토부원자료'!$A$4:$T$4,0)),",","")),"")</f>
        <v/>
      </c>
      <c r="K2193" s="152">
        <f>IFERROR(VALUE(SUBSTITUTE(INDEX('04A_국토부원자료'!$A:$T,ROW()+1,MATCH("건축년도",'04A_국토부원자료'!$A$4:$T$4,0)),",","")),"")</f>
        <v/>
      </c>
      <c r="L2193" s="48">
        <f>IFERROR(INDEX('04A_국토부원자료'!$A:$T,ROW()+1,MATCH("도로명",'04A_국토부원자료'!$A$4:$T$4,0)),"")</f>
        <v/>
      </c>
      <c r="M2193" s="48">
        <f>IFERROR(INDEX('04A_국토부원자료'!$A:$T,ROW()+1,MATCH("거래유형",'04A_국토부원자료'!$A$4:$T$4,0)),"")</f>
        <v/>
      </c>
      <c r="N2193" s="152">
        <f>IF(B2193="","",IF('02_대상물건입력'!B5="",1,IF(ISNUMBER(SEARCH('02_대상물건입력'!B5,B2193)),1,0)))</f>
        <v/>
      </c>
      <c r="O2193" s="152">
        <f>IF(B2193="","",IF('02_대상물건입력'!B6="",1,IF(ISNUMBER(SEARCH('02_대상물건입력'!B6,B2193)),1,0)))</f>
        <v/>
      </c>
      <c r="P2193" s="152">
        <f>IF(L2193="","",IF('02_대상물건입력'!B15="",0,IF(ISNUMBER(SEARCH('02_대상물건입력'!B15,L2193)),1,0)))</f>
        <v/>
      </c>
      <c r="Q2193" s="152">
        <f>IF(OR(C2193="",L2193=""),0,IF(AND(TRIM(C2193)=TRIM(RIGHT(SUBSTITUTE(TRIM('02_대상물건입력'!$B$7)," ",REPT(" ",99)),99)),IF('02_대상물건입력'!B15="",TRUE(),ISNUMBER(SEARCH('02_대상물건입력'!B15,L2193)))),1,0))</f>
        <v/>
      </c>
      <c r="R2193" s="175">
        <f>IFERROR(ABS(E2193-'02_대상물건입력'!B11)/'02_대상물건입력'!B11,"")</f>
        <v/>
      </c>
      <c r="S2193" s="152">
        <f>IFERROR(ABS(J2193-'02_대상물건입력'!B10),"")</f>
        <v/>
      </c>
      <c r="T2193" s="152">
        <f>IFERROR(ABS('01_설정'!B4-F2193),"")</f>
        <v/>
      </c>
      <c r="U2193" s="152">
        <f>IFERROR(ABS(K2193-YEAR('02_대상물건입력'!B14)),"")</f>
        <v/>
      </c>
      <c r="V2193" s="152">
        <f>IF(B2193="","",IF(AND(E2193&gt;0,F2193&gt;0,H2193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2193=1,TRUE()),R2193&lt;='01_설정'!B5,S2193&lt;='01_설정'!B6,T2193&lt;='01_설정'!B7,U2193&lt;='01_설정'!B8),"Y",""))</f>
        <v/>
      </c>
      <c r="W2193" s="172">
        <f>IF(V2193&lt;&gt;"Y","",MAX(0,(1-R2193/'01_설정'!B5))*'01_설정'!B14+MAX(0,(1-S2193/'01_설정'!B6))*'01_설정'!B15+MAX(0,(1-T2193/'01_설정'!B7))*'01_설정'!B16+MAX(0,(1-U2193/'01_설정'!B8))*'01_설정'!B17+O2193*'01_설정'!B11+Q2193*'01_설정'!B12+P2193*'01_설정'!B13+IF(Z2193="",0,Z2193))</f>
        <v/>
      </c>
      <c r="X2193" s="152">
        <f>IF(W2193="","",1+COUNTIFS($W$4:$W$3003,"&gt;"&amp;W2193)+COUNTIFS($W$4:W2193,W2193)-1)</f>
        <v/>
      </c>
      <c r="Y2193" s="175">
        <f>IF(OR(I2193="",'02_대상물건입력'!B19="",'02_대상물건입력'!B19&lt;=0),"",ABS(I2193-'02_대상물건입력'!B19)/'02_대상물건입력'!B19)</f>
        <v/>
      </c>
      <c r="Z2193" s="172">
        <f>IF(OR(Y2193="",'01_설정'!B31="",'01_설정'!B31&lt;=0,'01_설정'!B32="",'01_설정'!B32&lt;=0),"",MAX(0,(1-Y2193/'01_설정'!B32))*'01_설정'!B31)</f>
        <v/>
      </c>
    </row>
    <row r="2194" ht="17.25" customHeight="1">
      <c r="A2194" s="152">
        <f>IF(INDEX('04A_국토부원자료'!$A:$A,ROW()+1)="","",ROW()-3)</f>
        <v/>
      </c>
      <c r="B2194" s="48">
        <f>IFERROR(INDEX('04A_국토부원자료'!$A:$T,ROW()+1,MATCH("시군구",'04A_국토부원자료'!$A$4:$T$4,0)),"")</f>
        <v/>
      </c>
      <c r="C2194" s="48">
        <f>IF(B2194="","",IFERROR(INDEX('04A_국토부원자료'!$A:$T,ROW()+1,MATCH("번지",'04A_국토부원자료'!$A$4:$T$4,0)),""))</f>
        <v/>
      </c>
      <c r="D2194" s="48">
        <f>IF(B2194="","",IF(Q2194=1,'02_대상물건입력'!$B$8,IFERROR(INDEX('04A_국토부원자료'!$A:$T,ROW()+1,MATCH("단지명",'04A_국토부원자료'!$A$4:$T$4,0)),"")))</f>
        <v/>
      </c>
      <c r="E2194" s="172">
        <f>IFERROR(VALUE(SUBSTITUTE(INDEX('04A_국토부원자료'!$A:$T,ROW()+1,MATCH("전용면적(㎡)",'04A_국토부원자료'!$A$4:$T$4,0)),",","")),"")</f>
        <v/>
      </c>
      <c r="F21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94" s="51">
        <f>IFERROR(VALUE(SUBSTITUTE(INDEX('04A_국토부원자료'!$A:$T,ROW()+1,MATCH("거래금액(만원)",'04A_국토부원자료'!$A$4:$T$4,0)),",","")),"")</f>
        <v/>
      </c>
      <c r="H2194" s="174">
        <f>IF(G2194="","",G2194*10000)</f>
        <v/>
      </c>
      <c r="I2194" s="174">
        <f>IFERROR(IF(AND(H2194&gt;0,E2194&gt;0),H2194/E2194,""),"")</f>
        <v/>
      </c>
      <c r="J2194" s="152">
        <f>IFERROR(VALUE(SUBSTITUTE(INDEX('04A_국토부원자료'!$A:$T,ROW()+1,MATCH("층",'04A_국토부원자료'!$A$4:$T$4,0)),",","")),"")</f>
        <v/>
      </c>
      <c r="K2194" s="152">
        <f>IFERROR(VALUE(SUBSTITUTE(INDEX('04A_국토부원자료'!$A:$T,ROW()+1,MATCH("건축년도",'04A_국토부원자료'!$A$4:$T$4,0)),",","")),"")</f>
        <v/>
      </c>
      <c r="L2194" s="48">
        <f>IFERROR(INDEX('04A_국토부원자료'!$A:$T,ROW()+1,MATCH("도로명",'04A_국토부원자료'!$A$4:$T$4,0)),"")</f>
        <v/>
      </c>
      <c r="M2194" s="48">
        <f>IFERROR(INDEX('04A_국토부원자료'!$A:$T,ROW()+1,MATCH("거래유형",'04A_국토부원자료'!$A$4:$T$4,0)),"")</f>
        <v/>
      </c>
      <c r="N2194" s="152">
        <f>IF(B2194="","",IF('02_대상물건입력'!B5="",1,IF(ISNUMBER(SEARCH('02_대상물건입력'!B5,B2194)),1,0)))</f>
        <v/>
      </c>
      <c r="O2194" s="152">
        <f>IF(B2194="","",IF('02_대상물건입력'!B6="",1,IF(ISNUMBER(SEARCH('02_대상물건입력'!B6,B2194)),1,0)))</f>
        <v/>
      </c>
      <c r="P2194" s="152">
        <f>IF(L2194="","",IF('02_대상물건입력'!B15="",0,IF(ISNUMBER(SEARCH('02_대상물건입력'!B15,L2194)),1,0)))</f>
        <v/>
      </c>
      <c r="Q2194" s="152">
        <f>IF(OR(C2194="",L2194=""),0,IF(AND(TRIM(C2194)=TRIM(RIGHT(SUBSTITUTE(TRIM('02_대상물건입력'!$B$7)," ",REPT(" ",99)),99)),IF('02_대상물건입력'!B15="",TRUE(),ISNUMBER(SEARCH('02_대상물건입력'!B15,L2194)))),1,0))</f>
        <v/>
      </c>
      <c r="R2194" s="175">
        <f>IFERROR(ABS(E2194-'02_대상물건입력'!B11)/'02_대상물건입력'!B11,"")</f>
        <v/>
      </c>
      <c r="S2194" s="152">
        <f>IFERROR(ABS(J2194-'02_대상물건입력'!B10),"")</f>
        <v/>
      </c>
      <c r="T2194" s="152">
        <f>IFERROR(ABS('01_설정'!B4-F2194),"")</f>
        <v/>
      </c>
      <c r="U2194" s="152">
        <f>IFERROR(ABS(K2194-YEAR('02_대상물건입력'!B14)),"")</f>
        <v/>
      </c>
      <c r="V2194" s="152">
        <f>IF(B2194="","",IF(AND(E2194&gt;0,F2194&gt;0,H2194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2194=1,TRUE()),R2194&lt;='01_설정'!B5,S2194&lt;='01_설정'!B6,T2194&lt;='01_설정'!B7,U2194&lt;='01_설정'!B8),"Y",""))</f>
        <v/>
      </c>
      <c r="W2194" s="172">
        <f>IF(V2194&lt;&gt;"Y","",MAX(0,(1-R2194/'01_설정'!B5))*'01_설정'!B14+MAX(0,(1-S2194/'01_설정'!B6))*'01_설정'!B15+MAX(0,(1-T2194/'01_설정'!B7))*'01_설정'!B16+MAX(0,(1-U2194/'01_설정'!B8))*'01_설정'!B17+O2194*'01_설정'!B11+Q2194*'01_설정'!B12+P2194*'01_설정'!B13+IF(Z2194="",0,Z2194))</f>
        <v/>
      </c>
      <c r="X2194" s="152">
        <f>IF(W2194="","",1+COUNTIFS($W$4:$W$3003,"&gt;"&amp;W2194)+COUNTIFS($W$4:W2194,W2194)-1)</f>
        <v/>
      </c>
      <c r="Y2194" s="175">
        <f>IF(OR(I2194="",'02_대상물건입력'!B19="",'02_대상물건입력'!B19&lt;=0),"",ABS(I2194-'02_대상물건입력'!B19)/'02_대상물건입력'!B19)</f>
        <v/>
      </c>
      <c r="Z2194" s="172">
        <f>IF(OR(Y2194="",'01_설정'!B31="",'01_설정'!B31&lt;=0,'01_설정'!B32="",'01_설정'!B32&lt;=0),"",MAX(0,(1-Y2194/'01_설정'!B32))*'01_설정'!B31)</f>
        <v/>
      </c>
    </row>
    <row r="2195" ht="17.25" customHeight="1">
      <c r="A2195" s="152">
        <f>IF(INDEX('04A_국토부원자료'!$A:$A,ROW()+1)="","",ROW()-3)</f>
        <v/>
      </c>
      <c r="B2195" s="48">
        <f>IFERROR(INDEX('04A_국토부원자료'!$A:$T,ROW()+1,MATCH("시군구",'04A_국토부원자료'!$A$4:$T$4,0)),"")</f>
        <v/>
      </c>
      <c r="C2195" s="48">
        <f>IF(B2195="","",IFERROR(INDEX('04A_국토부원자료'!$A:$T,ROW()+1,MATCH("번지",'04A_국토부원자료'!$A$4:$T$4,0)),""))</f>
        <v/>
      </c>
      <c r="D2195" s="48">
        <f>IF(B2195="","",IF(Q2195=1,'02_대상물건입력'!$B$8,IFERROR(INDEX('04A_국토부원자료'!$A:$T,ROW()+1,MATCH("단지명",'04A_국토부원자료'!$A$4:$T$4,0)),"")))</f>
        <v/>
      </c>
      <c r="E2195" s="172">
        <f>IFERROR(VALUE(SUBSTITUTE(INDEX('04A_국토부원자료'!$A:$T,ROW()+1,MATCH("전용면적(㎡)",'04A_국토부원자료'!$A$4:$T$4,0)),",","")),"")</f>
        <v/>
      </c>
      <c r="F21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95" s="51">
        <f>IFERROR(VALUE(SUBSTITUTE(INDEX('04A_국토부원자료'!$A:$T,ROW()+1,MATCH("거래금액(만원)",'04A_국토부원자료'!$A$4:$T$4,0)),",","")),"")</f>
        <v/>
      </c>
      <c r="H2195" s="174">
        <f>IF(G2195="","",G2195*10000)</f>
        <v/>
      </c>
      <c r="I2195" s="174">
        <f>IFERROR(IF(AND(H2195&gt;0,E2195&gt;0),H2195/E2195,""),"")</f>
        <v/>
      </c>
      <c r="J2195" s="152">
        <f>IFERROR(VALUE(SUBSTITUTE(INDEX('04A_국토부원자료'!$A:$T,ROW()+1,MATCH("층",'04A_국토부원자료'!$A$4:$T$4,0)),",","")),"")</f>
        <v/>
      </c>
      <c r="K2195" s="152">
        <f>IFERROR(VALUE(SUBSTITUTE(INDEX('04A_국토부원자료'!$A:$T,ROW()+1,MATCH("건축년도",'04A_국토부원자료'!$A$4:$T$4,0)),",","")),"")</f>
        <v/>
      </c>
      <c r="L2195" s="48">
        <f>IFERROR(INDEX('04A_국토부원자료'!$A:$T,ROW()+1,MATCH("도로명",'04A_국토부원자료'!$A$4:$T$4,0)),"")</f>
        <v/>
      </c>
      <c r="M2195" s="48">
        <f>IFERROR(INDEX('04A_국토부원자료'!$A:$T,ROW()+1,MATCH("거래유형",'04A_국토부원자료'!$A$4:$T$4,0)),"")</f>
        <v/>
      </c>
      <c r="N2195" s="152">
        <f>IF(B2195="","",IF('02_대상물건입력'!B5="",1,IF(ISNUMBER(SEARCH('02_대상물건입력'!B5,B2195)),1,0)))</f>
        <v/>
      </c>
      <c r="O2195" s="152">
        <f>IF(B2195="","",IF('02_대상물건입력'!B6="",1,IF(ISNUMBER(SEARCH('02_대상물건입력'!B6,B2195)),1,0)))</f>
        <v/>
      </c>
      <c r="P2195" s="152">
        <f>IF(L2195="","",IF('02_대상물건입력'!B15="",0,IF(ISNUMBER(SEARCH('02_대상물건입력'!B15,L2195)),1,0)))</f>
        <v/>
      </c>
      <c r="Q2195" s="152">
        <f>IF(OR(C2195="",L2195=""),0,IF(AND(TRIM(C2195)=TRIM(RIGHT(SUBSTITUTE(TRIM('02_대상물건입력'!$B$7)," ",REPT(" ",99)),99)),IF('02_대상물건입력'!B15="",TRUE(),ISNUMBER(SEARCH('02_대상물건입력'!B15,L2195)))),1,0))</f>
        <v/>
      </c>
      <c r="R2195" s="175">
        <f>IFERROR(ABS(E2195-'02_대상물건입력'!B11)/'02_대상물건입력'!B11,"")</f>
        <v/>
      </c>
      <c r="S2195" s="152">
        <f>IFERROR(ABS(J2195-'02_대상물건입력'!B10),"")</f>
        <v/>
      </c>
      <c r="T2195" s="152">
        <f>IFERROR(ABS('01_설정'!B4-F2195),"")</f>
        <v/>
      </c>
      <c r="U2195" s="152">
        <f>IFERROR(ABS(K2195-YEAR('02_대상물건입력'!B14)),"")</f>
        <v/>
      </c>
      <c r="V2195" s="152">
        <f>IF(B2195="","",IF(AND(E2195&gt;0,F2195&gt;0,H2195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2195=1,TRUE()),R2195&lt;='01_설정'!B5,S2195&lt;='01_설정'!B6,T2195&lt;='01_설정'!B7,U2195&lt;='01_설정'!B8),"Y",""))</f>
        <v/>
      </c>
      <c r="W2195" s="172">
        <f>IF(V2195&lt;&gt;"Y","",MAX(0,(1-R2195/'01_설정'!B5))*'01_설정'!B14+MAX(0,(1-S2195/'01_설정'!B6))*'01_설정'!B15+MAX(0,(1-T2195/'01_설정'!B7))*'01_설정'!B16+MAX(0,(1-U2195/'01_설정'!B8))*'01_설정'!B17+O2195*'01_설정'!B11+Q2195*'01_설정'!B12+P2195*'01_설정'!B13+IF(Z2195="",0,Z2195))</f>
        <v/>
      </c>
      <c r="X2195" s="152">
        <f>IF(W2195="","",1+COUNTIFS($W$4:$W$3003,"&gt;"&amp;W2195)+COUNTIFS($W$4:W2195,W2195)-1)</f>
        <v/>
      </c>
      <c r="Y2195" s="175">
        <f>IF(OR(I2195="",'02_대상물건입력'!B19="",'02_대상물건입력'!B19&lt;=0),"",ABS(I2195-'02_대상물건입력'!B19)/'02_대상물건입력'!B19)</f>
        <v/>
      </c>
      <c r="Z2195" s="172">
        <f>IF(OR(Y2195="",'01_설정'!B31="",'01_설정'!B31&lt;=0,'01_설정'!B32="",'01_설정'!B32&lt;=0),"",MAX(0,(1-Y2195/'01_설정'!B32))*'01_설정'!B31)</f>
        <v/>
      </c>
    </row>
    <row r="2196" ht="17.25" customHeight="1">
      <c r="A2196" s="152">
        <f>IF(INDEX('04A_국토부원자료'!$A:$A,ROW()+1)="","",ROW()-3)</f>
        <v/>
      </c>
      <c r="B2196" s="48">
        <f>IFERROR(INDEX('04A_국토부원자료'!$A:$T,ROW()+1,MATCH("시군구",'04A_국토부원자료'!$A$4:$T$4,0)),"")</f>
        <v/>
      </c>
      <c r="C2196" s="48">
        <f>IF(B2196="","",IFERROR(INDEX('04A_국토부원자료'!$A:$T,ROW()+1,MATCH("번지",'04A_국토부원자료'!$A$4:$T$4,0)),""))</f>
        <v/>
      </c>
      <c r="D2196" s="48">
        <f>IF(B2196="","",IF(Q2196=1,'02_대상물건입력'!$B$8,IFERROR(INDEX('04A_국토부원자료'!$A:$T,ROW()+1,MATCH("단지명",'04A_국토부원자료'!$A$4:$T$4,0)),"")))</f>
        <v/>
      </c>
      <c r="E2196" s="172">
        <f>IFERROR(VALUE(SUBSTITUTE(INDEX('04A_국토부원자료'!$A:$T,ROW()+1,MATCH("전용면적(㎡)",'04A_국토부원자료'!$A$4:$T$4,0)),",","")),"")</f>
        <v/>
      </c>
      <c r="F21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96" s="51">
        <f>IFERROR(VALUE(SUBSTITUTE(INDEX('04A_국토부원자료'!$A:$T,ROW()+1,MATCH("거래금액(만원)",'04A_국토부원자료'!$A$4:$T$4,0)),",","")),"")</f>
        <v/>
      </c>
      <c r="H2196" s="174">
        <f>IF(G2196="","",G2196*10000)</f>
        <v/>
      </c>
      <c r="I2196" s="174">
        <f>IFERROR(IF(AND(H2196&gt;0,E2196&gt;0),H2196/E2196,""),"")</f>
        <v/>
      </c>
      <c r="J2196" s="152">
        <f>IFERROR(VALUE(SUBSTITUTE(INDEX('04A_국토부원자료'!$A:$T,ROW()+1,MATCH("층",'04A_국토부원자료'!$A$4:$T$4,0)),",","")),"")</f>
        <v/>
      </c>
      <c r="K2196" s="152">
        <f>IFERROR(VALUE(SUBSTITUTE(INDEX('04A_국토부원자료'!$A:$T,ROW()+1,MATCH("건축년도",'04A_국토부원자료'!$A$4:$T$4,0)),",","")),"")</f>
        <v/>
      </c>
      <c r="L2196" s="48">
        <f>IFERROR(INDEX('04A_국토부원자료'!$A:$T,ROW()+1,MATCH("도로명",'04A_국토부원자료'!$A$4:$T$4,0)),"")</f>
        <v/>
      </c>
      <c r="M2196" s="48">
        <f>IFERROR(INDEX('04A_국토부원자료'!$A:$T,ROW()+1,MATCH("거래유형",'04A_국토부원자료'!$A$4:$T$4,0)),"")</f>
        <v/>
      </c>
      <c r="N2196" s="152">
        <f>IF(B2196="","",IF('02_대상물건입력'!B5="",1,IF(ISNUMBER(SEARCH('02_대상물건입력'!B5,B2196)),1,0)))</f>
        <v/>
      </c>
      <c r="O2196" s="152">
        <f>IF(B2196="","",IF('02_대상물건입력'!B6="",1,IF(ISNUMBER(SEARCH('02_대상물건입력'!B6,B2196)),1,0)))</f>
        <v/>
      </c>
      <c r="P2196" s="152">
        <f>IF(L2196="","",IF('02_대상물건입력'!B15="",0,IF(ISNUMBER(SEARCH('02_대상물건입력'!B15,L2196)),1,0)))</f>
        <v/>
      </c>
      <c r="Q2196" s="152">
        <f>IF(OR(C2196="",L2196=""),0,IF(AND(TRIM(C2196)=TRIM(RIGHT(SUBSTITUTE(TRIM('02_대상물건입력'!$B$7)," ",REPT(" ",99)),99)),IF('02_대상물건입력'!B15="",TRUE(),ISNUMBER(SEARCH('02_대상물건입력'!B15,L2196)))),1,0))</f>
        <v/>
      </c>
      <c r="R2196" s="175">
        <f>IFERROR(ABS(E2196-'02_대상물건입력'!B11)/'02_대상물건입력'!B11,"")</f>
        <v/>
      </c>
      <c r="S2196" s="152">
        <f>IFERROR(ABS(J2196-'02_대상물건입력'!B10),"")</f>
        <v/>
      </c>
      <c r="T2196" s="152">
        <f>IFERROR(ABS('01_설정'!B4-F2196),"")</f>
        <v/>
      </c>
      <c r="U2196" s="152">
        <f>IFERROR(ABS(K2196-YEAR('02_대상물건입력'!B14)),"")</f>
        <v/>
      </c>
      <c r="V2196" s="152">
        <f>IF(B2196="","",IF(AND(E2196&gt;0,F2196&gt;0,H2196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2196=1,TRUE()),R2196&lt;='01_설정'!B5,S2196&lt;='01_설정'!B6,T2196&lt;='01_설정'!B7,U2196&lt;='01_설정'!B8),"Y",""))</f>
        <v/>
      </c>
      <c r="W2196" s="172">
        <f>IF(V2196&lt;&gt;"Y","",MAX(0,(1-R2196/'01_설정'!B5))*'01_설정'!B14+MAX(0,(1-S2196/'01_설정'!B6))*'01_설정'!B15+MAX(0,(1-T2196/'01_설정'!B7))*'01_설정'!B16+MAX(0,(1-U2196/'01_설정'!B8))*'01_설정'!B17+O2196*'01_설정'!B11+Q2196*'01_설정'!B12+P2196*'01_설정'!B13+IF(Z2196="",0,Z2196))</f>
        <v/>
      </c>
      <c r="X2196" s="152">
        <f>IF(W2196="","",1+COUNTIFS($W$4:$W$3003,"&gt;"&amp;W2196)+COUNTIFS($W$4:W2196,W2196)-1)</f>
        <v/>
      </c>
      <c r="Y2196" s="175">
        <f>IF(OR(I2196="",'02_대상물건입력'!B19="",'02_대상물건입력'!B19&lt;=0),"",ABS(I2196-'02_대상물건입력'!B19)/'02_대상물건입력'!B19)</f>
        <v/>
      </c>
      <c r="Z2196" s="172">
        <f>IF(OR(Y2196="",'01_설정'!B31="",'01_설정'!B31&lt;=0,'01_설정'!B32="",'01_설정'!B32&lt;=0),"",MAX(0,(1-Y2196/'01_설정'!B32))*'01_설정'!B31)</f>
        <v/>
      </c>
    </row>
    <row r="2197" ht="17.25" customHeight="1">
      <c r="A2197" s="152">
        <f>IF(INDEX('04A_국토부원자료'!$A:$A,ROW()+1)="","",ROW()-3)</f>
        <v/>
      </c>
      <c r="B2197" s="48">
        <f>IFERROR(INDEX('04A_국토부원자료'!$A:$T,ROW()+1,MATCH("시군구",'04A_국토부원자료'!$A$4:$T$4,0)),"")</f>
        <v/>
      </c>
      <c r="C2197" s="48">
        <f>IF(B2197="","",IFERROR(INDEX('04A_국토부원자료'!$A:$T,ROW()+1,MATCH("번지",'04A_국토부원자료'!$A$4:$T$4,0)),""))</f>
        <v/>
      </c>
      <c r="D2197" s="48">
        <f>IF(B2197="","",IF(Q2197=1,'02_대상물건입력'!$B$8,IFERROR(INDEX('04A_국토부원자료'!$A:$T,ROW()+1,MATCH("단지명",'04A_국토부원자료'!$A$4:$T$4,0)),"")))</f>
        <v/>
      </c>
      <c r="E2197" s="172">
        <f>IFERROR(VALUE(SUBSTITUTE(INDEX('04A_국토부원자료'!$A:$T,ROW()+1,MATCH("전용면적(㎡)",'04A_국토부원자료'!$A$4:$T$4,0)),",","")),"")</f>
        <v/>
      </c>
      <c r="F21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97" s="51">
        <f>IFERROR(VALUE(SUBSTITUTE(INDEX('04A_국토부원자료'!$A:$T,ROW()+1,MATCH("거래금액(만원)",'04A_국토부원자료'!$A$4:$T$4,0)),",","")),"")</f>
        <v/>
      </c>
      <c r="H2197" s="174">
        <f>IF(G2197="","",G2197*10000)</f>
        <v/>
      </c>
      <c r="I2197" s="174">
        <f>IFERROR(IF(AND(H2197&gt;0,E2197&gt;0),H2197/E2197,""),"")</f>
        <v/>
      </c>
      <c r="J2197" s="152">
        <f>IFERROR(VALUE(SUBSTITUTE(INDEX('04A_국토부원자료'!$A:$T,ROW()+1,MATCH("층",'04A_국토부원자료'!$A$4:$T$4,0)),",","")),"")</f>
        <v/>
      </c>
      <c r="K2197" s="152">
        <f>IFERROR(VALUE(SUBSTITUTE(INDEX('04A_국토부원자료'!$A:$T,ROW()+1,MATCH("건축년도",'04A_국토부원자료'!$A$4:$T$4,0)),",","")),"")</f>
        <v/>
      </c>
      <c r="L2197" s="48">
        <f>IFERROR(INDEX('04A_국토부원자료'!$A:$T,ROW()+1,MATCH("도로명",'04A_국토부원자료'!$A$4:$T$4,0)),"")</f>
        <v/>
      </c>
      <c r="M2197" s="48">
        <f>IFERROR(INDEX('04A_국토부원자료'!$A:$T,ROW()+1,MATCH("거래유형",'04A_국토부원자료'!$A$4:$T$4,0)),"")</f>
        <v/>
      </c>
      <c r="N2197" s="152">
        <f>IF(B2197="","",IF('02_대상물건입력'!B5="",1,IF(ISNUMBER(SEARCH('02_대상물건입력'!B5,B2197)),1,0)))</f>
        <v/>
      </c>
      <c r="O2197" s="152">
        <f>IF(B2197="","",IF('02_대상물건입력'!B6="",1,IF(ISNUMBER(SEARCH('02_대상물건입력'!B6,B2197)),1,0)))</f>
        <v/>
      </c>
      <c r="P2197" s="152">
        <f>IF(L2197="","",IF('02_대상물건입력'!B15="",0,IF(ISNUMBER(SEARCH('02_대상물건입력'!B15,L2197)),1,0)))</f>
        <v/>
      </c>
      <c r="Q2197" s="152">
        <f>IF(OR(C2197="",L2197=""),0,IF(AND(TRIM(C2197)=TRIM(RIGHT(SUBSTITUTE(TRIM('02_대상물건입력'!$B$7)," ",REPT(" ",99)),99)),IF('02_대상물건입력'!B15="",TRUE(),ISNUMBER(SEARCH('02_대상물건입력'!B15,L2197)))),1,0))</f>
        <v/>
      </c>
      <c r="R2197" s="175">
        <f>IFERROR(ABS(E2197-'02_대상물건입력'!B11)/'02_대상물건입력'!B11,"")</f>
        <v/>
      </c>
      <c r="S2197" s="152">
        <f>IFERROR(ABS(J2197-'02_대상물건입력'!B10),"")</f>
        <v/>
      </c>
      <c r="T2197" s="152">
        <f>IFERROR(ABS('01_설정'!B4-F2197),"")</f>
        <v/>
      </c>
      <c r="U2197" s="152">
        <f>IFERROR(ABS(K2197-YEAR('02_대상물건입력'!B14)),"")</f>
        <v/>
      </c>
      <c r="V2197" s="152">
        <f>IF(B2197="","",IF(AND(E2197&gt;0,F2197&gt;0,H2197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2197=1,TRUE()),R2197&lt;='01_설정'!B5,S2197&lt;='01_설정'!B6,T2197&lt;='01_설정'!B7,U2197&lt;='01_설정'!B8),"Y",""))</f>
        <v/>
      </c>
      <c r="W2197" s="172">
        <f>IF(V2197&lt;&gt;"Y","",MAX(0,(1-R2197/'01_설정'!B5))*'01_설정'!B14+MAX(0,(1-S2197/'01_설정'!B6))*'01_설정'!B15+MAX(0,(1-T2197/'01_설정'!B7))*'01_설정'!B16+MAX(0,(1-U2197/'01_설정'!B8))*'01_설정'!B17+O2197*'01_설정'!B11+Q2197*'01_설정'!B12+P2197*'01_설정'!B13+IF(Z2197="",0,Z2197))</f>
        <v/>
      </c>
      <c r="X2197" s="152">
        <f>IF(W2197="","",1+COUNTIFS($W$4:$W$3003,"&gt;"&amp;W2197)+COUNTIFS($W$4:W2197,W2197)-1)</f>
        <v/>
      </c>
      <c r="Y2197" s="175">
        <f>IF(OR(I2197="",'02_대상물건입력'!B19="",'02_대상물건입력'!B19&lt;=0),"",ABS(I2197-'02_대상물건입력'!B19)/'02_대상물건입력'!B19)</f>
        <v/>
      </c>
      <c r="Z2197" s="172">
        <f>IF(OR(Y2197="",'01_설정'!B31="",'01_설정'!B31&lt;=0,'01_설정'!B32="",'01_설정'!B32&lt;=0),"",MAX(0,(1-Y2197/'01_설정'!B32))*'01_설정'!B31)</f>
        <v/>
      </c>
    </row>
    <row r="2198" ht="17.25" customHeight="1">
      <c r="A2198" s="152">
        <f>IF(INDEX('04A_국토부원자료'!$A:$A,ROW()+1)="","",ROW()-3)</f>
        <v/>
      </c>
      <c r="B2198" s="48">
        <f>IFERROR(INDEX('04A_국토부원자료'!$A:$T,ROW()+1,MATCH("시군구",'04A_국토부원자료'!$A$4:$T$4,0)),"")</f>
        <v/>
      </c>
      <c r="C2198" s="48">
        <f>IF(B2198="","",IFERROR(INDEX('04A_국토부원자료'!$A:$T,ROW()+1,MATCH("번지",'04A_국토부원자료'!$A$4:$T$4,0)),""))</f>
        <v/>
      </c>
      <c r="D2198" s="48">
        <f>IF(B2198="","",IF(Q2198=1,'02_대상물건입력'!$B$8,IFERROR(INDEX('04A_국토부원자료'!$A:$T,ROW()+1,MATCH("단지명",'04A_국토부원자료'!$A$4:$T$4,0)),"")))</f>
        <v/>
      </c>
      <c r="E2198" s="172">
        <f>IFERROR(VALUE(SUBSTITUTE(INDEX('04A_국토부원자료'!$A:$T,ROW()+1,MATCH("전용면적(㎡)",'04A_국토부원자료'!$A$4:$T$4,0)),",","")),"")</f>
        <v/>
      </c>
      <c r="F21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98" s="51">
        <f>IFERROR(VALUE(SUBSTITUTE(INDEX('04A_국토부원자료'!$A:$T,ROW()+1,MATCH("거래금액(만원)",'04A_국토부원자료'!$A$4:$T$4,0)),",","")),"")</f>
        <v/>
      </c>
      <c r="H2198" s="174">
        <f>IF(G2198="","",G2198*10000)</f>
        <v/>
      </c>
      <c r="I2198" s="174">
        <f>IFERROR(IF(AND(H2198&gt;0,E2198&gt;0),H2198/E2198,""),"")</f>
        <v/>
      </c>
      <c r="J2198" s="152">
        <f>IFERROR(VALUE(SUBSTITUTE(INDEX('04A_국토부원자료'!$A:$T,ROW()+1,MATCH("층",'04A_국토부원자료'!$A$4:$T$4,0)),",","")),"")</f>
        <v/>
      </c>
      <c r="K2198" s="152">
        <f>IFERROR(VALUE(SUBSTITUTE(INDEX('04A_국토부원자료'!$A:$T,ROW()+1,MATCH("건축년도",'04A_국토부원자료'!$A$4:$T$4,0)),",","")),"")</f>
        <v/>
      </c>
      <c r="L2198" s="48">
        <f>IFERROR(INDEX('04A_국토부원자료'!$A:$T,ROW()+1,MATCH("도로명",'04A_국토부원자료'!$A$4:$T$4,0)),"")</f>
        <v/>
      </c>
      <c r="M2198" s="48">
        <f>IFERROR(INDEX('04A_국토부원자료'!$A:$T,ROW()+1,MATCH("거래유형",'04A_국토부원자료'!$A$4:$T$4,0)),"")</f>
        <v/>
      </c>
      <c r="N2198" s="152">
        <f>IF(B2198="","",IF('02_대상물건입력'!B5="",1,IF(ISNUMBER(SEARCH('02_대상물건입력'!B5,B2198)),1,0)))</f>
        <v/>
      </c>
      <c r="O2198" s="152">
        <f>IF(B2198="","",IF('02_대상물건입력'!B6="",1,IF(ISNUMBER(SEARCH('02_대상물건입력'!B6,B2198)),1,0)))</f>
        <v/>
      </c>
      <c r="P2198" s="152">
        <f>IF(L2198="","",IF('02_대상물건입력'!B15="",0,IF(ISNUMBER(SEARCH('02_대상물건입력'!B15,L2198)),1,0)))</f>
        <v/>
      </c>
      <c r="Q2198" s="152">
        <f>IF(OR(C2198="",L2198=""),0,IF(AND(TRIM(C2198)=TRIM(RIGHT(SUBSTITUTE(TRIM('02_대상물건입력'!$B$7)," ",REPT(" ",99)),99)),IF('02_대상물건입력'!B15="",TRUE(),ISNUMBER(SEARCH('02_대상물건입력'!B15,L2198)))),1,0))</f>
        <v/>
      </c>
      <c r="R2198" s="175">
        <f>IFERROR(ABS(E2198-'02_대상물건입력'!B11)/'02_대상물건입력'!B11,"")</f>
        <v/>
      </c>
      <c r="S2198" s="152">
        <f>IFERROR(ABS(J2198-'02_대상물건입력'!B10),"")</f>
        <v/>
      </c>
      <c r="T2198" s="152">
        <f>IFERROR(ABS('01_설정'!B4-F2198),"")</f>
        <v/>
      </c>
      <c r="U2198" s="152">
        <f>IFERROR(ABS(K2198-YEAR('02_대상물건입력'!B14)),"")</f>
        <v/>
      </c>
      <c r="V2198" s="152">
        <f>IF(B2198="","",IF(AND(E2198&gt;0,F2198&gt;0,H2198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2198=1,TRUE()),R2198&lt;='01_설정'!B5,S2198&lt;='01_설정'!B6,T2198&lt;='01_설정'!B7,U2198&lt;='01_설정'!B8),"Y",""))</f>
        <v/>
      </c>
      <c r="W2198" s="172">
        <f>IF(V2198&lt;&gt;"Y","",MAX(0,(1-R2198/'01_설정'!B5))*'01_설정'!B14+MAX(0,(1-S2198/'01_설정'!B6))*'01_설정'!B15+MAX(0,(1-T2198/'01_설정'!B7))*'01_설정'!B16+MAX(0,(1-U2198/'01_설정'!B8))*'01_설정'!B17+O2198*'01_설정'!B11+Q2198*'01_설정'!B12+P2198*'01_설정'!B13+IF(Z2198="",0,Z2198))</f>
        <v/>
      </c>
      <c r="X2198" s="152">
        <f>IF(W2198="","",1+COUNTIFS($W$4:$W$3003,"&gt;"&amp;W2198)+COUNTIFS($W$4:W2198,W2198)-1)</f>
        <v/>
      </c>
      <c r="Y2198" s="175">
        <f>IF(OR(I2198="",'02_대상물건입력'!B19="",'02_대상물건입력'!B19&lt;=0),"",ABS(I2198-'02_대상물건입력'!B19)/'02_대상물건입력'!B19)</f>
        <v/>
      </c>
      <c r="Z2198" s="172">
        <f>IF(OR(Y2198="",'01_설정'!B31="",'01_설정'!B31&lt;=0,'01_설정'!B32="",'01_설정'!B32&lt;=0),"",MAX(0,(1-Y2198/'01_설정'!B32))*'01_설정'!B31)</f>
        <v/>
      </c>
    </row>
    <row r="2199" ht="17.25" customHeight="1">
      <c r="A2199" s="152">
        <f>IF(INDEX('04A_국토부원자료'!$A:$A,ROW()+1)="","",ROW()-3)</f>
        <v/>
      </c>
      <c r="B2199" s="48">
        <f>IFERROR(INDEX('04A_국토부원자료'!$A:$T,ROW()+1,MATCH("시군구",'04A_국토부원자료'!$A$4:$T$4,0)),"")</f>
        <v/>
      </c>
      <c r="C2199" s="48">
        <f>IF(B2199="","",IFERROR(INDEX('04A_국토부원자료'!$A:$T,ROW()+1,MATCH("번지",'04A_국토부원자료'!$A$4:$T$4,0)),""))</f>
        <v/>
      </c>
      <c r="D2199" s="48">
        <f>IF(B2199="","",IF(Q2199=1,'02_대상물건입력'!$B$8,IFERROR(INDEX('04A_국토부원자료'!$A:$T,ROW()+1,MATCH("단지명",'04A_국토부원자료'!$A$4:$T$4,0)),"")))</f>
        <v/>
      </c>
      <c r="E2199" s="172">
        <f>IFERROR(VALUE(SUBSTITUTE(INDEX('04A_국토부원자료'!$A:$T,ROW()+1,MATCH("전용면적(㎡)",'04A_국토부원자료'!$A$4:$T$4,0)),",","")),"")</f>
        <v/>
      </c>
      <c r="F21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199" s="51">
        <f>IFERROR(VALUE(SUBSTITUTE(INDEX('04A_국토부원자료'!$A:$T,ROW()+1,MATCH("거래금액(만원)",'04A_국토부원자료'!$A$4:$T$4,0)),",","")),"")</f>
        <v/>
      </c>
      <c r="H2199" s="174">
        <f>IF(G2199="","",G2199*10000)</f>
        <v/>
      </c>
      <c r="I2199" s="174">
        <f>IFERROR(IF(AND(H2199&gt;0,E2199&gt;0),H2199/E2199,""),"")</f>
        <v/>
      </c>
      <c r="J2199" s="152">
        <f>IFERROR(VALUE(SUBSTITUTE(INDEX('04A_국토부원자료'!$A:$T,ROW()+1,MATCH("층",'04A_국토부원자료'!$A$4:$T$4,0)),",","")),"")</f>
        <v/>
      </c>
      <c r="K2199" s="152">
        <f>IFERROR(VALUE(SUBSTITUTE(INDEX('04A_국토부원자료'!$A:$T,ROW()+1,MATCH("건축년도",'04A_국토부원자료'!$A$4:$T$4,0)),",","")),"")</f>
        <v/>
      </c>
      <c r="L2199" s="48">
        <f>IFERROR(INDEX('04A_국토부원자료'!$A:$T,ROW()+1,MATCH("도로명",'04A_국토부원자료'!$A$4:$T$4,0)),"")</f>
        <v/>
      </c>
      <c r="M2199" s="48">
        <f>IFERROR(INDEX('04A_국토부원자료'!$A:$T,ROW()+1,MATCH("거래유형",'04A_국토부원자료'!$A$4:$T$4,0)),"")</f>
        <v/>
      </c>
      <c r="N2199" s="152">
        <f>IF(B2199="","",IF('02_대상물건입력'!B5="",1,IF(ISNUMBER(SEARCH('02_대상물건입력'!B5,B2199)),1,0)))</f>
        <v/>
      </c>
      <c r="O2199" s="152">
        <f>IF(B2199="","",IF('02_대상물건입력'!B6="",1,IF(ISNUMBER(SEARCH('02_대상물건입력'!B6,B2199)),1,0)))</f>
        <v/>
      </c>
      <c r="P2199" s="152">
        <f>IF(L2199="","",IF('02_대상물건입력'!B15="",0,IF(ISNUMBER(SEARCH('02_대상물건입력'!B15,L2199)),1,0)))</f>
        <v/>
      </c>
      <c r="Q2199" s="152">
        <f>IF(OR(C2199="",L2199=""),0,IF(AND(TRIM(C2199)=TRIM(RIGHT(SUBSTITUTE(TRIM('02_대상물건입력'!$B$7)," ",REPT(" ",99)),99)),IF('02_대상물건입력'!B15="",TRUE(),ISNUMBER(SEARCH('02_대상물건입력'!B15,L2199)))),1,0))</f>
        <v/>
      </c>
      <c r="R2199" s="175">
        <f>IFERROR(ABS(E2199-'02_대상물건입력'!B11)/'02_대상물건입력'!B11,"")</f>
        <v/>
      </c>
      <c r="S2199" s="152">
        <f>IFERROR(ABS(J2199-'02_대상물건입력'!B10),"")</f>
        <v/>
      </c>
      <c r="T2199" s="152">
        <f>IFERROR(ABS('01_설정'!B4-F2199),"")</f>
        <v/>
      </c>
      <c r="U2199" s="152">
        <f>IFERROR(ABS(K2199-YEAR('02_대상물건입력'!B14)),"")</f>
        <v/>
      </c>
      <c r="V2199" s="152">
        <f>IF(B2199="","",IF(AND(E2199&gt;0,F2199&gt;0,H2199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2199=1,TRUE()),R2199&lt;='01_설정'!B5,S2199&lt;='01_설정'!B6,T2199&lt;='01_설정'!B7,U2199&lt;='01_설정'!B8),"Y",""))</f>
        <v/>
      </c>
      <c r="W2199" s="172">
        <f>IF(V2199&lt;&gt;"Y","",MAX(0,(1-R2199/'01_설정'!B5))*'01_설정'!B14+MAX(0,(1-S2199/'01_설정'!B6))*'01_설정'!B15+MAX(0,(1-T2199/'01_설정'!B7))*'01_설정'!B16+MAX(0,(1-U2199/'01_설정'!B8))*'01_설정'!B17+O2199*'01_설정'!B11+Q2199*'01_설정'!B12+P2199*'01_설정'!B13+IF(Z2199="",0,Z2199))</f>
        <v/>
      </c>
      <c r="X2199" s="152">
        <f>IF(W2199="","",1+COUNTIFS($W$4:$W$3003,"&gt;"&amp;W2199)+COUNTIFS($W$4:W2199,W2199)-1)</f>
        <v/>
      </c>
      <c r="Y2199" s="175">
        <f>IF(OR(I2199="",'02_대상물건입력'!B19="",'02_대상물건입력'!B19&lt;=0),"",ABS(I2199-'02_대상물건입력'!B19)/'02_대상물건입력'!B19)</f>
        <v/>
      </c>
      <c r="Z2199" s="172">
        <f>IF(OR(Y2199="",'01_설정'!B31="",'01_설정'!B31&lt;=0,'01_설정'!B32="",'01_설정'!B32&lt;=0),"",MAX(0,(1-Y2199/'01_설정'!B32))*'01_설정'!B31)</f>
        <v/>
      </c>
    </row>
    <row r="2200" ht="17.25" customHeight="1">
      <c r="A2200" s="152">
        <f>IF(INDEX('04A_국토부원자료'!$A:$A,ROW()+1)="","",ROW()-3)</f>
        <v/>
      </c>
      <c r="B2200" s="48">
        <f>IFERROR(INDEX('04A_국토부원자료'!$A:$T,ROW()+1,MATCH("시군구",'04A_국토부원자료'!$A$4:$T$4,0)),"")</f>
        <v/>
      </c>
      <c r="C2200" s="48">
        <f>IF(B2200="","",IFERROR(INDEX('04A_국토부원자료'!$A:$T,ROW()+1,MATCH("번지",'04A_국토부원자료'!$A$4:$T$4,0)),""))</f>
        <v/>
      </c>
      <c r="D2200" s="48">
        <f>IF(B2200="","",IF(Q2200=1,'02_대상물건입력'!$B$8,IFERROR(INDEX('04A_국토부원자료'!$A:$T,ROW()+1,MATCH("단지명",'04A_국토부원자료'!$A$4:$T$4,0)),"")))</f>
        <v/>
      </c>
      <c r="E2200" s="172">
        <f>IFERROR(VALUE(SUBSTITUTE(INDEX('04A_국토부원자료'!$A:$T,ROW()+1,MATCH("전용면적(㎡)",'04A_국토부원자료'!$A$4:$T$4,0)),",","")),"")</f>
        <v/>
      </c>
      <c r="F22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00" s="51">
        <f>IFERROR(VALUE(SUBSTITUTE(INDEX('04A_국토부원자료'!$A:$T,ROW()+1,MATCH("거래금액(만원)",'04A_국토부원자료'!$A$4:$T$4,0)),",","")),"")</f>
        <v/>
      </c>
      <c r="H2200" s="174">
        <f>IF(G2200="","",G2200*10000)</f>
        <v/>
      </c>
      <c r="I2200" s="174">
        <f>IFERROR(IF(AND(H2200&gt;0,E2200&gt;0),H2200/E2200,""),"")</f>
        <v/>
      </c>
      <c r="J2200" s="152">
        <f>IFERROR(VALUE(SUBSTITUTE(INDEX('04A_국토부원자료'!$A:$T,ROW()+1,MATCH("층",'04A_국토부원자료'!$A$4:$T$4,0)),",","")),"")</f>
        <v/>
      </c>
      <c r="K2200" s="152">
        <f>IFERROR(VALUE(SUBSTITUTE(INDEX('04A_국토부원자료'!$A:$T,ROW()+1,MATCH("건축년도",'04A_국토부원자료'!$A$4:$T$4,0)),",","")),"")</f>
        <v/>
      </c>
      <c r="L2200" s="48">
        <f>IFERROR(INDEX('04A_국토부원자료'!$A:$T,ROW()+1,MATCH("도로명",'04A_국토부원자료'!$A$4:$T$4,0)),"")</f>
        <v/>
      </c>
      <c r="M2200" s="48">
        <f>IFERROR(INDEX('04A_국토부원자료'!$A:$T,ROW()+1,MATCH("거래유형",'04A_국토부원자료'!$A$4:$T$4,0)),"")</f>
        <v/>
      </c>
      <c r="N2200" s="152">
        <f>IF(B2200="","",IF('02_대상물건입력'!B5="",1,IF(ISNUMBER(SEARCH('02_대상물건입력'!B5,B2200)),1,0)))</f>
        <v/>
      </c>
      <c r="O2200" s="152">
        <f>IF(B2200="","",IF('02_대상물건입력'!B6="",1,IF(ISNUMBER(SEARCH('02_대상물건입력'!B6,B2200)),1,0)))</f>
        <v/>
      </c>
      <c r="P2200" s="152">
        <f>IF(L2200="","",IF('02_대상물건입력'!B15="",0,IF(ISNUMBER(SEARCH('02_대상물건입력'!B15,L2200)),1,0)))</f>
        <v/>
      </c>
      <c r="Q2200" s="152">
        <f>IF(OR(C2200="",L2200=""),0,IF(AND(TRIM(C2200)=TRIM(RIGHT(SUBSTITUTE(TRIM('02_대상물건입력'!$B$7)," ",REPT(" ",99)),99)),IF('02_대상물건입력'!B15="",TRUE(),ISNUMBER(SEARCH('02_대상물건입력'!B15,L2200)))),1,0))</f>
        <v/>
      </c>
      <c r="R2200" s="175">
        <f>IFERROR(ABS(E2200-'02_대상물건입력'!B11)/'02_대상물건입력'!B11,"")</f>
        <v/>
      </c>
      <c r="S2200" s="152">
        <f>IFERROR(ABS(J2200-'02_대상물건입력'!B10),"")</f>
        <v/>
      </c>
      <c r="T2200" s="152">
        <f>IFERROR(ABS('01_설정'!B4-F2200),"")</f>
        <v/>
      </c>
      <c r="U2200" s="152">
        <f>IFERROR(ABS(K2200-YEAR('02_대상물건입력'!B14)),"")</f>
        <v/>
      </c>
      <c r="V2200" s="152">
        <f>IF(B2200="","",IF(AND(E2200&gt;0,F2200&gt;0,H2200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2200=1,TRUE()),R2200&lt;='01_설정'!B5,S2200&lt;='01_설정'!B6,T2200&lt;='01_설정'!B7,U2200&lt;='01_설정'!B8),"Y",""))</f>
        <v/>
      </c>
      <c r="W2200" s="172">
        <f>IF(V2200&lt;&gt;"Y","",MAX(0,(1-R2200/'01_설정'!B5))*'01_설정'!B14+MAX(0,(1-S2200/'01_설정'!B6))*'01_설정'!B15+MAX(0,(1-T2200/'01_설정'!B7))*'01_설정'!B16+MAX(0,(1-U2200/'01_설정'!B8))*'01_설정'!B17+O2200*'01_설정'!B11+Q2200*'01_설정'!B12+P2200*'01_설정'!B13+IF(Z2200="",0,Z2200))</f>
        <v/>
      </c>
      <c r="X2200" s="152">
        <f>IF(W2200="","",1+COUNTIFS($W$4:$W$3003,"&gt;"&amp;W2200)+COUNTIFS($W$4:W2200,W2200)-1)</f>
        <v/>
      </c>
      <c r="Y2200" s="175">
        <f>IF(OR(I2200="",'02_대상물건입력'!B19="",'02_대상물건입력'!B19&lt;=0),"",ABS(I2200-'02_대상물건입력'!B19)/'02_대상물건입력'!B19)</f>
        <v/>
      </c>
      <c r="Z2200" s="172">
        <f>IF(OR(Y2200="",'01_설정'!B31="",'01_설정'!B31&lt;=0,'01_설정'!B32="",'01_설정'!B32&lt;=0),"",MAX(0,(1-Y2200/'01_설정'!B32))*'01_설정'!B31)</f>
        <v/>
      </c>
    </row>
    <row r="2201" ht="17.25" customHeight="1">
      <c r="A2201" s="152">
        <f>IF(INDEX('04A_국토부원자료'!$A:$A,ROW()+1)="","",ROW()-3)</f>
        <v/>
      </c>
      <c r="B2201" s="48">
        <f>IFERROR(INDEX('04A_국토부원자료'!$A:$T,ROW()+1,MATCH("시군구",'04A_국토부원자료'!$A$4:$T$4,0)),"")</f>
        <v/>
      </c>
      <c r="C2201" s="48">
        <f>IF(B2201="","",IFERROR(INDEX('04A_국토부원자료'!$A:$T,ROW()+1,MATCH("번지",'04A_국토부원자료'!$A$4:$T$4,0)),""))</f>
        <v/>
      </c>
      <c r="D2201" s="48">
        <f>IF(B2201="","",IF(Q2201=1,'02_대상물건입력'!$B$8,IFERROR(INDEX('04A_국토부원자료'!$A:$T,ROW()+1,MATCH("단지명",'04A_국토부원자료'!$A$4:$T$4,0)),"")))</f>
        <v/>
      </c>
      <c r="E2201" s="172">
        <f>IFERROR(VALUE(SUBSTITUTE(INDEX('04A_국토부원자료'!$A:$T,ROW()+1,MATCH("전용면적(㎡)",'04A_국토부원자료'!$A$4:$T$4,0)),",","")),"")</f>
        <v/>
      </c>
      <c r="F22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01" s="51">
        <f>IFERROR(VALUE(SUBSTITUTE(INDEX('04A_국토부원자료'!$A:$T,ROW()+1,MATCH("거래금액(만원)",'04A_국토부원자료'!$A$4:$T$4,0)),",","")),"")</f>
        <v/>
      </c>
      <c r="H2201" s="174">
        <f>IF(G2201="","",G2201*10000)</f>
        <v/>
      </c>
      <c r="I2201" s="174">
        <f>IFERROR(IF(AND(H2201&gt;0,E2201&gt;0),H2201/E2201,""),"")</f>
        <v/>
      </c>
      <c r="J2201" s="152">
        <f>IFERROR(VALUE(SUBSTITUTE(INDEX('04A_국토부원자료'!$A:$T,ROW()+1,MATCH("층",'04A_국토부원자료'!$A$4:$T$4,0)),",","")),"")</f>
        <v/>
      </c>
      <c r="K2201" s="152">
        <f>IFERROR(VALUE(SUBSTITUTE(INDEX('04A_국토부원자료'!$A:$T,ROW()+1,MATCH("건축년도",'04A_국토부원자료'!$A$4:$T$4,0)),",","")),"")</f>
        <v/>
      </c>
      <c r="L2201" s="48">
        <f>IFERROR(INDEX('04A_국토부원자료'!$A:$T,ROW()+1,MATCH("도로명",'04A_국토부원자료'!$A$4:$T$4,0)),"")</f>
        <v/>
      </c>
      <c r="M2201" s="48">
        <f>IFERROR(INDEX('04A_국토부원자료'!$A:$T,ROW()+1,MATCH("거래유형",'04A_국토부원자료'!$A$4:$T$4,0)),"")</f>
        <v/>
      </c>
      <c r="N2201" s="152">
        <f>IF(B2201="","",IF('02_대상물건입력'!B5="",1,IF(ISNUMBER(SEARCH('02_대상물건입력'!B5,B2201)),1,0)))</f>
        <v/>
      </c>
      <c r="O2201" s="152">
        <f>IF(B2201="","",IF('02_대상물건입력'!B6="",1,IF(ISNUMBER(SEARCH('02_대상물건입력'!B6,B2201)),1,0)))</f>
        <v/>
      </c>
      <c r="P2201" s="152">
        <f>IF(L2201="","",IF('02_대상물건입력'!B15="",0,IF(ISNUMBER(SEARCH('02_대상물건입력'!B15,L2201)),1,0)))</f>
        <v/>
      </c>
      <c r="Q2201" s="152">
        <f>IF(OR(C2201="",L2201=""),0,IF(AND(TRIM(C2201)=TRIM(RIGHT(SUBSTITUTE(TRIM('02_대상물건입력'!$B$7)," ",REPT(" ",99)),99)),IF('02_대상물건입력'!B15="",TRUE(),ISNUMBER(SEARCH('02_대상물건입력'!B15,L2201)))),1,0))</f>
        <v/>
      </c>
      <c r="R2201" s="175">
        <f>IFERROR(ABS(E2201-'02_대상물건입력'!B11)/'02_대상물건입력'!B11,"")</f>
        <v/>
      </c>
      <c r="S2201" s="152">
        <f>IFERROR(ABS(J2201-'02_대상물건입력'!B10),"")</f>
        <v/>
      </c>
      <c r="T2201" s="152">
        <f>IFERROR(ABS('01_설정'!B4-F2201),"")</f>
        <v/>
      </c>
      <c r="U2201" s="152">
        <f>IFERROR(ABS(K2201-YEAR('02_대상물건입력'!B14)),"")</f>
        <v/>
      </c>
      <c r="V2201" s="152">
        <f>IF(B2201="","",IF(AND(E2201&gt;0,F2201&gt;0,H2201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2201=1,TRUE()),R2201&lt;='01_설정'!B5,S2201&lt;='01_설정'!B6,T2201&lt;='01_설정'!B7,U2201&lt;='01_설정'!B8),"Y",""))</f>
        <v/>
      </c>
      <c r="W2201" s="172">
        <f>IF(V2201&lt;&gt;"Y","",MAX(0,(1-R2201/'01_설정'!B5))*'01_설정'!B14+MAX(0,(1-S2201/'01_설정'!B6))*'01_설정'!B15+MAX(0,(1-T2201/'01_설정'!B7))*'01_설정'!B16+MAX(0,(1-U2201/'01_설정'!B8))*'01_설정'!B17+O2201*'01_설정'!B11+Q2201*'01_설정'!B12+P2201*'01_설정'!B13+IF(Z2201="",0,Z2201))</f>
        <v/>
      </c>
      <c r="X2201" s="152">
        <f>IF(W2201="","",1+COUNTIFS($W$4:$W$3003,"&gt;"&amp;W2201)+COUNTIFS($W$4:W2201,W2201)-1)</f>
        <v/>
      </c>
      <c r="Y2201" s="175">
        <f>IF(OR(I2201="",'02_대상물건입력'!B19="",'02_대상물건입력'!B19&lt;=0),"",ABS(I2201-'02_대상물건입력'!B19)/'02_대상물건입력'!B19)</f>
        <v/>
      </c>
      <c r="Z2201" s="172">
        <f>IF(OR(Y2201="",'01_설정'!B31="",'01_설정'!B31&lt;=0,'01_설정'!B32="",'01_설정'!B32&lt;=0),"",MAX(0,(1-Y2201/'01_설정'!B32))*'01_설정'!B31)</f>
        <v/>
      </c>
    </row>
    <row r="2202" ht="17.25" customHeight="1">
      <c r="A2202" s="152">
        <f>IF(INDEX('04A_국토부원자료'!$A:$A,ROW()+1)="","",ROW()-3)</f>
        <v/>
      </c>
      <c r="B2202" s="48">
        <f>IFERROR(INDEX('04A_국토부원자료'!$A:$T,ROW()+1,MATCH("시군구",'04A_국토부원자료'!$A$4:$T$4,0)),"")</f>
        <v/>
      </c>
      <c r="C2202" s="48">
        <f>IF(B2202="","",IFERROR(INDEX('04A_국토부원자료'!$A:$T,ROW()+1,MATCH("번지",'04A_국토부원자료'!$A$4:$T$4,0)),""))</f>
        <v/>
      </c>
      <c r="D2202" s="48">
        <f>IF(B2202="","",IF(Q2202=1,'02_대상물건입력'!$B$8,IFERROR(INDEX('04A_국토부원자료'!$A:$T,ROW()+1,MATCH("단지명",'04A_국토부원자료'!$A$4:$T$4,0)),"")))</f>
        <v/>
      </c>
      <c r="E2202" s="172">
        <f>IFERROR(VALUE(SUBSTITUTE(INDEX('04A_국토부원자료'!$A:$T,ROW()+1,MATCH("전용면적(㎡)",'04A_국토부원자료'!$A$4:$T$4,0)),",","")),"")</f>
        <v/>
      </c>
      <c r="F22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02" s="51">
        <f>IFERROR(VALUE(SUBSTITUTE(INDEX('04A_국토부원자료'!$A:$T,ROW()+1,MATCH("거래금액(만원)",'04A_국토부원자료'!$A$4:$T$4,0)),",","")),"")</f>
        <v/>
      </c>
      <c r="H2202" s="174">
        <f>IF(G2202="","",G2202*10000)</f>
        <v/>
      </c>
      <c r="I2202" s="174">
        <f>IFERROR(IF(AND(H2202&gt;0,E2202&gt;0),H2202/E2202,""),"")</f>
        <v/>
      </c>
      <c r="J2202" s="152">
        <f>IFERROR(VALUE(SUBSTITUTE(INDEX('04A_국토부원자료'!$A:$T,ROW()+1,MATCH("층",'04A_국토부원자료'!$A$4:$T$4,0)),",","")),"")</f>
        <v/>
      </c>
      <c r="K2202" s="152">
        <f>IFERROR(VALUE(SUBSTITUTE(INDEX('04A_국토부원자료'!$A:$T,ROW()+1,MATCH("건축년도",'04A_국토부원자료'!$A$4:$T$4,0)),",","")),"")</f>
        <v/>
      </c>
      <c r="L2202" s="48">
        <f>IFERROR(INDEX('04A_국토부원자료'!$A:$T,ROW()+1,MATCH("도로명",'04A_국토부원자료'!$A$4:$T$4,0)),"")</f>
        <v/>
      </c>
      <c r="M2202" s="48">
        <f>IFERROR(INDEX('04A_국토부원자료'!$A:$T,ROW()+1,MATCH("거래유형",'04A_국토부원자료'!$A$4:$T$4,0)),"")</f>
        <v/>
      </c>
      <c r="N2202" s="152">
        <f>IF(B2202="","",IF('02_대상물건입력'!B5="",1,IF(ISNUMBER(SEARCH('02_대상물건입력'!B5,B2202)),1,0)))</f>
        <v/>
      </c>
      <c r="O2202" s="152">
        <f>IF(B2202="","",IF('02_대상물건입력'!B6="",1,IF(ISNUMBER(SEARCH('02_대상물건입력'!B6,B2202)),1,0)))</f>
        <v/>
      </c>
      <c r="P2202" s="152">
        <f>IF(L2202="","",IF('02_대상물건입력'!B15="",0,IF(ISNUMBER(SEARCH('02_대상물건입력'!B15,L2202)),1,0)))</f>
        <v/>
      </c>
      <c r="Q2202" s="152">
        <f>IF(OR(C2202="",L2202=""),0,IF(AND(TRIM(C2202)=TRIM(RIGHT(SUBSTITUTE(TRIM('02_대상물건입력'!$B$7)," ",REPT(" ",99)),99)),IF('02_대상물건입력'!B15="",TRUE(),ISNUMBER(SEARCH('02_대상물건입력'!B15,L2202)))),1,0))</f>
        <v/>
      </c>
      <c r="R2202" s="175">
        <f>IFERROR(ABS(E2202-'02_대상물건입력'!B11)/'02_대상물건입력'!B11,"")</f>
        <v/>
      </c>
      <c r="S2202" s="152">
        <f>IFERROR(ABS(J2202-'02_대상물건입력'!B10),"")</f>
        <v/>
      </c>
      <c r="T2202" s="152">
        <f>IFERROR(ABS('01_설정'!B4-F2202),"")</f>
        <v/>
      </c>
      <c r="U2202" s="152">
        <f>IFERROR(ABS(K2202-YEAR('02_대상물건입력'!B14)),"")</f>
        <v/>
      </c>
      <c r="V2202" s="152">
        <f>IF(B2202="","",IF(AND(E2202&gt;0,F2202&gt;0,H2202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2202=1,TRUE()),R2202&lt;='01_설정'!B5,S2202&lt;='01_설정'!B6,T2202&lt;='01_설정'!B7,U2202&lt;='01_설정'!B8),"Y",""))</f>
        <v/>
      </c>
      <c r="W2202" s="172">
        <f>IF(V2202&lt;&gt;"Y","",MAX(0,(1-R2202/'01_설정'!B5))*'01_설정'!B14+MAX(0,(1-S2202/'01_설정'!B6))*'01_설정'!B15+MAX(0,(1-T2202/'01_설정'!B7))*'01_설정'!B16+MAX(0,(1-U2202/'01_설정'!B8))*'01_설정'!B17+O2202*'01_설정'!B11+Q2202*'01_설정'!B12+P2202*'01_설정'!B13+IF(Z2202="",0,Z2202))</f>
        <v/>
      </c>
      <c r="X2202" s="152">
        <f>IF(W2202="","",1+COUNTIFS($W$4:$W$3003,"&gt;"&amp;W2202)+COUNTIFS($W$4:W2202,W2202)-1)</f>
        <v/>
      </c>
      <c r="Y2202" s="175">
        <f>IF(OR(I2202="",'02_대상물건입력'!B19="",'02_대상물건입력'!B19&lt;=0),"",ABS(I2202-'02_대상물건입력'!B19)/'02_대상물건입력'!B19)</f>
        <v/>
      </c>
      <c r="Z2202" s="172">
        <f>IF(OR(Y2202="",'01_설정'!B31="",'01_설정'!B31&lt;=0,'01_설정'!B32="",'01_설정'!B32&lt;=0),"",MAX(0,(1-Y2202/'01_설정'!B32))*'01_설정'!B31)</f>
        <v/>
      </c>
    </row>
    <row r="2203" ht="17.25" customHeight="1">
      <c r="A2203" s="152">
        <f>IF(INDEX('04A_국토부원자료'!$A:$A,ROW()+1)="","",ROW()-3)</f>
        <v/>
      </c>
      <c r="B2203" s="48">
        <f>IFERROR(INDEX('04A_국토부원자료'!$A:$T,ROW()+1,MATCH("시군구",'04A_국토부원자료'!$A$4:$T$4,0)),"")</f>
        <v/>
      </c>
      <c r="C2203" s="48">
        <f>IF(B2203="","",IFERROR(INDEX('04A_국토부원자료'!$A:$T,ROW()+1,MATCH("번지",'04A_국토부원자료'!$A$4:$T$4,0)),""))</f>
        <v/>
      </c>
      <c r="D2203" s="48">
        <f>IF(B2203="","",IF(Q2203=1,'02_대상물건입력'!$B$8,IFERROR(INDEX('04A_국토부원자료'!$A:$T,ROW()+1,MATCH("단지명",'04A_국토부원자료'!$A$4:$T$4,0)),"")))</f>
        <v/>
      </c>
      <c r="E2203" s="172">
        <f>IFERROR(VALUE(SUBSTITUTE(INDEX('04A_국토부원자료'!$A:$T,ROW()+1,MATCH("전용면적(㎡)",'04A_국토부원자료'!$A$4:$T$4,0)),",","")),"")</f>
        <v/>
      </c>
      <c r="F22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03" s="51">
        <f>IFERROR(VALUE(SUBSTITUTE(INDEX('04A_국토부원자료'!$A:$T,ROW()+1,MATCH("거래금액(만원)",'04A_국토부원자료'!$A$4:$T$4,0)),",","")),"")</f>
        <v/>
      </c>
      <c r="H2203" s="174">
        <f>IF(G2203="","",G2203*10000)</f>
        <v/>
      </c>
      <c r="I2203" s="174">
        <f>IFERROR(IF(AND(H2203&gt;0,E2203&gt;0),H2203/E2203,""),"")</f>
        <v/>
      </c>
      <c r="J2203" s="152">
        <f>IFERROR(VALUE(SUBSTITUTE(INDEX('04A_국토부원자료'!$A:$T,ROW()+1,MATCH("층",'04A_국토부원자료'!$A$4:$T$4,0)),",","")),"")</f>
        <v/>
      </c>
      <c r="K2203" s="152">
        <f>IFERROR(VALUE(SUBSTITUTE(INDEX('04A_국토부원자료'!$A:$T,ROW()+1,MATCH("건축년도",'04A_국토부원자료'!$A$4:$T$4,0)),",","")),"")</f>
        <v/>
      </c>
      <c r="L2203" s="48">
        <f>IFERROR(INDEX('04A_국토부원자료'!$A:$T,ROW()+1,MATCH("도로명",'04A_국토부원자료'!$A$4:$T$4,0)),"")</f>
        <v/>
      </c>
      <c r="M2203" s="48">
        <f>IFERROR(INDEX('04A_국토부원자료'!$A:$T,ROW()+1,MATCH("거래유형",'04A_국토부원자료'!$A$4:$T$4,0)),"")</f>
        <v/>
      </c>
      <c r="N2203" s="152">
        <f>IF(B2203="","",IF('02_대상물건입력'!B5="",1,IF(ISNUMBER(SEARCH('02_대상물건입력'!B5,B2203)),1,0)))</f>
        <v/>
      </c>
      <c r="O2203" s="152">
        <f>IF(B2203="","",IF('02_대상물건입력'!B6="",1,IF(ISNUMBER(SEARCH('02_대상물건입력'!B6,B2203)),1,0)))</f>
        <v/>
      </c>
      <c r="P2203" s="152">
        <f>IF(L2203="","",IF('02_대상물건입력'!B15="",0,IF(ISNUMBER(SEARCH('02_대상물건입력'!B15,L2203)),1,0)))</f>
        <v/>
      </c>
      <c r="Q2203" s="152">
        <f>IF(OR(C2203="",L2203=""),0,IF(AND(TRIM(C2203)=TRIM(RIGHT(SUBSTITUTE(TRIM('02_대상물건입력'!$B$7)," ",REPT(" ",99)),99)),IF('02_대상물건입력'!B15="",TRUE(),ISNUMBER(SEARCH('02_대상물건입력'!B15,L2203)))),1,0))</f>
        <v/>
      </c>
      <c r="R2203" s="175">
        <f>IFERROR(ABS(E2203-'02_대상물건입력'!B11)/'02_대상물건입력'!B11,"")</f>
        <v/>
      </c>
      <c r="S2203" s="152">
        <f>IFERROR(ABS(J2203-'02_대상물건입력'!B10),"")</f>
        <v/>
      </c>
      <c r="T2203" s="152">
        <f>IFERROR(ABS('01_설정'!B4-F2203),"")</f>
        <v/>
      </c>
      <c r="U2203" s="152">
        <f>IFERROR(ABS(K2203-YEAR('02_대상물건입력'!B14)),"")</f>
        <v/>
      </c>
      <c r="V2203" s="152">
        <f>IF(B2203="","",IF(AND(E2203&gt;0,F2203&gt;0,H2203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2203=1,TRUE()),R2203&lt;='01_설정'!B5,S2203&lt;='01_설정'!B6,T2203&lt;='01_설정'!B7,U2203&lt;='01_설정'!B8),"Y",""))</f>
        <v/>
      </c>
      <c r="W2203" s="172">
        <f>IF(V2203&lt;&gt;"Y","",MAX(0,(1-R2203/'01_설정'!B5))*'01_설정'!B14+MAX(0,(1-S2203/'01_설정'!B6))*'01_설정'!B15+MAX(0,(1-T2203/'01_설정'!B7))*'01_설정'!B16+MAX(0,(1-U2203/'01_설정'!B8))*'01_설정'!B17+O2203*'01_설정'!B11+Q2203*'01_설정'!B12+P2203*'01_설정'!B13+IF(Z2203="",0,Z2203))</f>
        <v/>
      </c>
      <c r="X2203" s="152">
        <f>IF(W2203="","",1+COUNTIFS($W$4:$W$3003,"&gt;"&amp;W2203)+COUNTIFS($W$4:W2203,W2203)-1)</f>
        <v/>
      </c>
      <c r="Y2203" s="175">
        <f>IF(OR(I2203="",'02_대상물건입력'!B19="",'02_대상물건입력'!B19&lt;=0),"",ABS(I2203-'02_대상물건입력'!B19)/'02_대상물건입력'!B19)</f>
        <v/>
      </c>
      <c r="Z2203" s="172">
        <f>IF(OR(Y2203="",'01_설정'!B31="",'01_설정'!B31&lt;=0,'01_설정'!B32="",'01_설정'!B32&lt;=0),"",MAX(0,(1-Y2203/'01_설정'!B32))*'01_설정'!B31)</f>
        <v/>
      </c>
    </row>
    <row r="2204" ht="17.25" customHeight="1">
      <c r="A2204" s="152">
        <f>IF(INDEX('04A_국토부원자료'!$A:$A,ROW()+1)="","",ROW()-3)</f>
        <v/>
      </c>
      <c r="B2204" s="48">
        <f>IFERROR(INDEX('04A_국토부원자료'!$A:$T,ROW()+1,MATCH("시군구",'04A_국토부원자료'!$A$4:$T$4,0)),"")</f>
        <v/>
      </c>
      <c r="C2204" s="48">
        <f>IF(B2204="","",IFERROR(INDEX('04A_국토부원자료'!$A:$T,ROW()+1,MATCH("번지",'04A_국토부원자료'!$A$4:$T$4,0)),""))</f>
        <v/>
      </c>
      <c r="D2204" s="48">
        <f>IF(B2204="","",IF(Q2204=1,'02_대상물건입력'!$B$8,IFERROR(INDEX('04A_국토부원자료'!$A:$T,ROW()+1,MATCH("단지명",'04A_국토부원자료'!$A$4:$T$4,0)),"")))</f>
        <v/>
      </c>
      <c r="E2204" s="172">
        <f>IFERROR(VALUE(SUBSTITUTE(INDEX('04A_국토부원자료'!$A:$T,ROW()+1,MATCH("전용면적(㎡)",'04A_국토부원자료'!$A$4:$T$4,0)),",","")),"")</f>
        <v/>
      </c>
      <c r="F22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04" s="51">
        <f>IFERROR(VALUE(SUBSTITUTE(INDEX('04A_국토부원자료'!$A:$T,ROW()+1,MATCH("거래금액(만원)",'04A_국토부원자료'!$A$4:$T$4,0)),",","")),"")</f>
        <v/>
      </c>
      <c r="H2204" s="174">
        <f>IF(G2204="","",G2204*10000)</f>
        <v/>
      </c>
      <c r="I2204" s="174">
        <f>IFERROR(IF(AND(H2204&gt;0,E2204&gt;0),H2204/E2204,""),"")</f>
        <v/>
      </c>
      <c r="J2204" s="152">
        <f>IFERROR(VALUE(SUBSTITUTE(INDEX('04A_국토부원자료'!$A:$T,ROW()+1,MATCH("층",'04A_국토부원자료'!$A$4:$T$4,0)),",","")),"")</f>
        <v/>
      </c>
      <c r="K2204" s="152">
        <f>IFERROR(VALUE(SUBSTITUTE(INDEX('04A_국토부원자료'!$A:$T,ROW()+1,MATCH("건축년도",'04A_국토부원자료'!$A$4:$T$4,0)),",","")),"")</f>
        <v/>
      </c>
      <c r="L2204" s="48">
        <f>IFERROR(INDEX('04A_국토부원자료'!$A:$T,ROW()+1,MATCH("도로명",'04A_국토부원자료'!$A$4:$T$4,0)),"")</f>
        <v/>
      </c>
      <c r="M2204" s="48">
        <f>IFERROR(INDEX('04A_국토부원자료'!$A:$T,ROW()+1,MATCH("거래유형",'04A_국토부원자료'!$A$4:$T$4,0)),"")</f>
        <v/>
      </c>
      <c r="N2204" s="152">
        <f>IF(B2204="","",IF('02_대상물건입력'!B5="",1,IF(ISNUMBER(SEARCH('02_대상물건입력'!B5,B2204)),1,0)))</f>
        <v/>
      </c>
      <c r="O2204" s="152">
        <f>IF(B2204="","",IF('02_대상물건입력'!B6="",1,IF(ISNUMBER(SEARCH('02_대상물건입력'!B6,B2204)),1,0)))</f>
        <v/>
      </c>
      <c r="P2204" s="152">
        <f>IF(L2204="","",IF('02_대상물건입력'!B15="",0,IF(ISNUMBER(SEARCH('02_대상물건입력'!B15,L2204)),1,0)))</f>
        <v/>
      </c>
      <c r="Q2204" s="152">
        <f>IF(OR(C2204="",L2204=""),0,IF(AND(TRIM(C2204)=TRIM(RIGHT(SUBSTITUTE(TRIM('02_대상물건입력'!$B$7)," ",REPT(" ",99)),99)),IF('02_대상물건입력'!B15="",TRUE(),ISNUMBER(SEARCH('02_대상물건입력'!B15,L2204)))),1,0))</f>
        <v/>
      </c>
      <c r="R2204" s="175">
        <f>IFERROR(ABS(E2204-'02_대상물건입력'!B11)/'02_대상물건입력'!B11,"")</f>
        <v/>
      </c>
      <c r="S2204" s="152">
        <f>IFERROR(ABS(J2204-'02_대상물건입력'!B10),"")</f>
        <v/>
      </c>
      <c r="T2204" s="152">
        <f>IFERROR(ABS('01_설정'!B4-F2204),"")</f>
        <v/>
      </c>
      <c r="U2204" s="152">
        <f>IFERROR(ABS(K2204-YEAR('02_대상물건입력'!B14)),"")</f>
        <v/>
      </c>
      <c r="V2204" s="152">
        <f>IF(B2204="","",IF(AND(E2204&gt;0,F2204&gt;0,H2204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2204=1,TRUE()),R2204&lt;='01_설정'!B5,S2204&lt;='01_설정'!B6,T2204&lt;='01_설정'!B7,U2204&lt;='01_설정'!B8),"Y",""))</f>
        <v/>
      </c>
      <c r="W2204" s="172">
        <f>IF(V2204&lt;&gt;"Y","",MAX(0,(1-R2204/'01_설정'!B5))*'01_설정'!B14+MAX(0,(1-S2204/'01_설정'!B6))*'01_설정'!B15+MAX(0,(1-T2204/'01_설정'!B7))*'01_설정'!B16+MAX(0,(1-U2204/'01_설정'!B8))*'01_설정'!B17+O2204*'01_설정'!B11+Q2204*'01_설정'!B12+P2204*'01_설정'!B13+IF(Z2204="",0,Z2204))</f>
        <v/>
      </c>
      <c r="X2204" s="152">
        <f>IF(W2204="","",1+COUNTIFS($W$4:$W$3003,"&gt;"&amp;W2204)+COUNTIFS($W$4:W2204,W2204)-1)</f>
        <v/>
      </c>
      <c r="Y2204" s="175">
        <f>IF(OR(I2204="",'02_대상물건입력'!B19="",'02_대상물건입력'!B19&lt;=0),"",ABS(I2204-'02_대상물건입력'!B19)/'02_대상물건입력'!B19)</f>
        <v/>
      </c>
      <c r="Z2204" s="172">
        <f>IF(OR(Y2204="",'01_설정'!B31="",'01_설정'!B31&lt;=0,'01_설정'!B32="",'01_설정'!B32&lt;=0),"",MAX(0,(1-Y2204/'01_설정'!B32))*'01_설정'!B31)</f>
        <v/>
      </c>
    </row>
    <row r="2205" ht="17.25" customHeight="1">
      <c r="A2205" s="152">
        <f>IF(INDEX('04A_국토부원자료'!$A:$A,ROW()+1)="","",ROW()-3)</f>
        <v/>
      </c>
      <c r="B2205" s="48">
        <f>IFERROR(INDEX('04A_국토부원자료'!$A:$T,ROW()+1,MATCH("시군구",'04A_국토부원자료'!$A$4:$T$4,0)),"")</f>
        <v/>
      </c>
      <c r="C2205" s="48">
        <f>IF(B2205="","",IFERROR(INDEX('04A_국토부원자료'!$A:$T,ROW()+1,MATCH("번지",'04A_국토부원자료'!$A$4:$T$4,0)),""))</f>
        <v/>
      </c>
      <c r="D2205" s="48">
        <f>IF(B2205="","",IF(Q2205=1,'02_대상물건입력'!$B$8,IFERROR(INDEX('04A_국토부원자료'!$A:$T,ROW()+1,MATCH("단지명",'04A_국토부원자료'!$A$4:$T$4,0)),"")))</f>
        <v/>
      </c>
      <c r="E2205" s="172">
        <f>IFERROR(VALUE(SUBSTITUTE(INDEX('04A_국토부원자료'!$A:$T,ROW()+1,MATCH("전용면적(㎡)",'04A_국토부원자료'!$A$4:$T$4,0)),",","")),"")</f>
        <v/>
      </c>
      <c r="F22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05" s="51">
        <f>IFERROR(VALUE(SUBSTITUTE(INDEX('04A_국토부원자료'!$A:$T,ROW()+1,MATCH("거래금액(만원)",'04A_국토부원자료'!$A$4:$T$4,0)),",","")),"")</f>
        <v/>
      </c>
      <c r="H2205" s="174">
        <f>IF(G2205="","",G2205*10000)</f>
        <v/>
      </c>
      <c r="I2205" s="174">
        <f>IFERROR(IF(AND(H2205&gt;0,E2205&gt;0),H2205/E2205,""),"")</f>
        <v/>
      </c>
      <c r="J2205" s="152">
        <f>IFERROR(VALUE(SUBSTITUTE(INDEX('04A_국토부원자료'!$A:$T,ROW()+1,MATCH("층",'04A_국토부원자료'!$A$4:$T$4,0)),",","")),"")</f>
        <v/>
      </c>
      <c r="K2205" s="152">
        <f>IFERROR(VALUE(SUBSTITUTE(INDEX('04A_국토부원자료'!$A:$T,ROW()+1,MATCH("건축년도",'04A_국토부원자료'!$A$4:$T$4,0)),",","")),"")</f>
        <v/>
      </c>
      <c r="L2205" s="48">
        <f>IFERROR(INDEX('04A_국토부원자료'!$A:$T,ROW()+1,MATCH("도로명",'04A_국토부원자료'!$A$4:$T$4,0)),"")</f>
        <v/>
      </c>
      <c r="M2205" s="48">
        <f>IFERROR(INDEX('04A_국토부원자료'!$A:$T,ROW()+1,MATCH("거래유형",'04A_국토부원자료'!$A$4:$T$4,0)),"")</f>
        <v/>
      </c>
      <c r="N2205" s="152">
        <f>IF(B2205="","",IF('02_대상물건입력'!B5="",1,IF(ISNUMBER(SEARCH('02_대상물건입력'!B5,B2205)),1,0)))</f>
        <v/>
      </c>
      <c r="O2205" s="152">
        <f>IF(B2205="","",IF('02_대상물건입력'!B6="",1,IF(ISNUMBER(SEARCH('02_대상물건입력'!B6,B2205)),1,0)))</f>
        <v/>
      </c>
      <c r="P2205" s="152">
        <f>IF(L2205="","",IF('02_대상물건입력'!B15="",0,IF(ISNUMBER(SEARCH('02_대상물건입력'!B15,L2205)),1,0)))</f>
        <v/>
      </c>
      <c r="Q2205" s="152">
        <f>IF(OR(C2205="",L2205=""),0,IF(AND(TRIM(C2205)=TRIM(RIGHT(SUBSTITUTE(TRIM('02_대상물건입력'!$B$7)," ",REPT(" ",99)),99)),IF('02_대상물건입력'!B15="",TRUE(),ISNUMBER(SEARCH('02_대상물건입력'!B15,L2205)))),1,0))</f>
        <v/>
      </c>
      <c r="R2205" s="175">
        <f>IFERROR(ABS(E2205-'02_대상물건입력'!B11)/'02_대상물건입력'!B11,"")</f>
        <v/>
      </c>
      <c r="S2205" s="152">
        <f>IFERROR(ABS(J2205-'02_대상물건입력'!B10),"")</f>
        <v/>
      </c>
      <c r="T2205" s="152">
        <f>IFERROR(ABS('01_설정'!B4-F2205),"")</f>
        <v/>
      </c>
      <c r="U2205" s="152">
        <f>IFERROR(ABS(K2205-YEAR('02_대상물건입력'!B14)),"")</f>
        <v/>
      </c>
      <c r="V2205" s="152">
        <f>IF(B2205="","",IF(AND(E2205&gt;0,F2205&gt;0,H2205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2205=1,TRUE()),R2205&lt;='01_설정'!B5,S2205&lt;='01_설정'!B6,T2205&lt;='01_설정'!B7,U2205&lt;='01_설정'!B8),"Y",""))</f>
        <v/>
      </c>
      <c r="W2205" s="172">
        <f>IF(V2205&lt;&gt;"Y","",MAX(0,(1-R2205/'01_설정'!B5))*'01_설정'!B14+MAX(0,(1-S2205/'01_설정'!B6))*'01_설정'!B15+MAX(0,(1-T2205/'01_설정'!B7))*'01_설정'!B16+MAX(0,(1-U2205/'01_설정'!B8))*'01_설정'!B17+O2205*'01_설정'!B11+Q2205*'01_설정'!B12+P2205*'01_설정'!B13+IF(Z2205="",0,Z2205))</f>
        <v/>
      </c>
      <c r="X2205" s="152">
        <f>IF(W2205="","",1+COUNTIFS($W$4:$W$3003,"&gt;"&amp;W2205)+COUNTIFS($W$4:W2205,W2205)-1)</f>
        <v/>
      </c>
      <c r="Y2205" s="175">
        <f>IF(OR(I2205="",'02_대상물건입력'!B19="",'02_대상물건입력'!B19&lt;=0),"",ABS(I2205-'02_대상물건입력'!B19)/'02_대상물건입력'!B19)</f>
        <v/>
      </c>
      <c r="Z2205" s="172">
        <f>IF(OR(Y2205="",'01_설정'!B31="",'01_설정'!B31&lt;=0,'01_설정'!B32="",'01_설정'!B32&lt;=0),"",MAX(0,(1-Y2205/'01_설정'!B32))*'01_설정'!B31)</f>
        <v/>
      </c>
    </row>
    <row r="2206" ht="17.25" customHeight="1">
      <c r="A2206" s="152">
        <f>IF(INDEX('04A_국토부원자료'!$A:$A,ROW()+1)="","",ROW()-3)</f>
        <v/>
      </c>
      <c r="B2206" s="48">
        <f>IFERROR(INDEX('04A_국토부원자료'!$A:$T,ROW()+1,MATCH("시군구",'04A_국토부원자료'!$A$4:$T$4,0)),"")</f>
        <v/>
      </c>
      <c r="C2206" s="48">
        <f>IF(B2206="","",IFERROR(INDEX('04A_국토부원자료'!$A:$T,ROW()+1,MATCH("번지",'04A_국토부원자료'!$A$4:$T$4,0)),""))</f>
        <v/>
      </c>
      <c r="D2206" s="48">
        <f>IF(B2206="","",IF(Q2206=1,'02_대상물건입력'!$B$8,IFERROR(INDEX('04A_국토부원자료'!$A:$T,ROW()+1,MATCH("단지명",'04A_국토부원자료'!$A$4:$T$4,0)),"")))</f>
        <v/>
      </c>
      <c r="E2206" s="172">
        <f>IFERROR(VALUE(SUBSTITUTE(INDEX('04A_국토부원자료'!$A:$T,ROW()+1,MATCH("전용면적(㎡)",'04A_국토부원자료'!$A$4:$T$4,0)),",","")),"")</f>
        <v/>
      </c>
      <c r="F22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06" s="51">
        <f>IFERROR(VALUE(SUBSTITUTE(INDEX('04A_국토부원자료'!$A:$T,ROW()+1,MATCH("거래금액(만원)",'04A_국토부원자료'!$A$4:$T$4,0)),",","")),"")</f>
        <v/>
      </c>
      <c r="H2206" s="174">
        <f>IF(G2206="","",G2206*10000)</f>
        <v/>
      </c>
      <c r="I2206" s="174">
        <f>IFERROR(IF(AND(H2206&gt;0,E2206&gt;0),H2206/E2206,""),"")</f>
        <v/>
      </c>
      <c r="J2206" s="152">
        <f>IFERROR(VALUE(SUBSTITUTE(INDEX('04A_국토부원자료'!$A:$T,ROW()+1,MATCH("층",'04A_국토부원자료'!$A$4:$T$4,0)),",","")),"")</f>
        <v/>
      </c>
      <c r="K2206" s="152">
        <f>IFERROR(VALUE(SUBSTITUTE(INDEX('04A_국토부원자료'!$A:$T,ROW()+1,MATCH("건축년도",'04A_국토부원자료'!$A$4:$T$4,0)),",","")),"")</f>
        <v/>
      </c>
      <c r="L2206" s="48">
        <f>IFERROR(INDEX('04A_국토부원자료'!$A:$T,ROW()+1,MATCH("도로명",'04A_국토부원자료'!$A$4:$T$4,0)),"")</f>
        <v/>
      </c>
      <c r="M2206" s="48">
        <f>IFERROR(INDEX('04A_국토부원자료'!$A:$T,ROW()+1,MATCH("거래유형",'04A_국토부원자료'!$A$4:$T$4,0)),"")</f>
        <v/>
      </c>
      <c r="N2206" s="152">
        <f>IF(B2206="","",IF('02_대상물건입력'!B5="",1,IF(ISNUMBER(SEARCH('02_대상물건입력'!B5,B2206)),1,0)))</f>
        <v/>
      </c>
      <c r="O2206" s="152">
        <f>IF(B2206="","",IF('02_대상물건입력'!B6="",1,IF(ISNUMBER(SEARCH('02_대상물건입력'!B6,B2206)),1,0)))</f>
        <v/>
      </c>
      <c r="P2206" s="152">
        <f>IF(L2206="","",IF('02_대상물건입력'!B15="",0,IF(ISNUMBER(SEARCH('02_대상물건입력'!B15,L2206)),1,0)))</f>
        <v/>
      </c>
      <c r="Q2206" s="152">
        <f>IF(OR(C2206="",L2206=""),0,IF(AND(TRIM(C2206)=TRIM(RIGHT(SUBSTITUTE(TRIM('02_대상물건입력'!$B$7)," ",REPT(" ",99)),99)),IF('02_대상물건입력'!B15="",TRUE(),ISNUMBER(SEARCH('02_대상물건입력'!B15,L2206)))),1,0))</f>
        <v/>
      </c>
      <c r="R2206" s="175">
        <f>IFERROR(ABS(E2206-'02_대상물건입력'!B11)/'02_대상물건입력'!B11,"")</f>
        <v/>
      </c>
      <c r="S2206" s="152">
        <f>IFERROR(ABS(J2206-'02_대상물건입력'!B10),"")</f>
        <v/>
      </c>
      <c r="T2206" s="152">
        <f>IFERROR(ABS('01_설정'!B4-F2206),"")</f>
        <v/>
      </c>
      <c r="U2206" s="152">
        <f>IFERROR(ABS(K2206-YEAR('02_대상물건입력'!B14)),"")</f>
        <v/>
      </c>
      <c r="V2206" s="152">
        <f>IF(B2206="","",IF(AND(E2206&gt;0,F2206&gt;0,H2206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2206=1,TRUE()),R2206&lt;='01_설정'!B5,S2206&lt;='01_설정'!B6,T2206&lt;='01_설정'!B7,U2206&lt;='01_설정'!B8),"Y",""))</f>
        <v/>
      </c>
      <c r="W2206" s="172">
        <f>IF(V2206&lt;&gt;"Y","",MAX(0,(1-R2206/'01_설정'!B5))*'01_설정'!B14+MAX(0,(1-S2206/'01_설정'!B6))*'01_설정'!B15+MAX(0,(1-T2206/'01_설정'!B7))*'01_설정'!B16+MAX(0,(1-U2206/'01_설정'!B8))*'01_설정'!B17+O2206*'01_설정'!B11+Q2206*'01_설정'!B12+P2206*'01_설정'!B13+IF(Z2206="",0,Z2206))</f>
        <v/>
      </c>
      <c r="X2206" s="152">
        <f>IF(W2206="","",1+COUNTIFS($W$4:$W$3003,"&gt;"&amp;W2206)+COUNTIFS($W$4:W2206,W2206)-1)</f>
        <v/>
      </c>
      <c r="Y2206" s="175">
        <f>IF(OR(I2206="",'02_대상물건입력'!B19="",'02_대상물건입력'!B19&lt;=0),"",ABS(I2206-'02_대상물건입력'!B19)/'02_대상물건입력'!B19)</f>
        <v/>
      </c>
      <c r="Z2206" s="172">
        <f>IF(OR(Y2206="",'01_설정'!B31="",'01_설정'!B31&lt;=0,'01_설정'!B32="",'01_설정'!B32&lt;=0),"",MAX(0,(1-Y2206/'01_설정'!B32))*'01_설정'!B31)</f>
        <v/>
      </c>
    </row>
    <row r="2207" ht="17.25" customHeight="1">
      <c r="A2207" s="152">
        <f>IF(INDEX('04A_국토부원자료'!$A:$A,ROW()+1)="","",ROW()-3)</f>
        <v/>
      </c>
      <c r="B2207" s="48">
        <f>IFERROR(INDEX('04A_국토부원자료'!$A:$T,ROW()+1,MATCH("시군구",'04A_국토부원자료'!$A$4:$T$4,0)),"")</f>
        <v/>
      </c>
      <c r="C2207" s="48">
        <f>IF(B2207="","",IFERROR(INDEX('04A_국토부원자료'!$A:$T,ROW()+1,MATCH("번지",'04A_국토부원자료'!$A$4:$T$4,0)),""))</f>
        <v/>
      </c>
      <c r="D2207" s="48">
        <f>IF(B2207="","",IF(Q2207=1,'02_대상물건입력'!$B$8,IFERROR(INDEX('04A_국토부원자료'!$A:$T,ROW()+1,MATCH("단지명",'04A_국토부원자료'!$A$4:$T$4,0)),"")))</f>
        <v/>
      </c>
      <c r="E2207" s="172">
        <f>IFERROR(VALUE(SUBSTITUTE(INDEX('04A_국토부원자료'!$A:$T,ROW()+1,MATCH("전용면적(㎡)",'04A_국토부원자료'!$A$4:$T$4,0)),",","")),"")</f>
        <v/>
      </c>
      <c r="F22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07" s="51">
        <f>IFERROR(VALUE(SUBSTITUTE(INDEX('04A_국토부원자료'!$A:$T,ROW()+1,MATCH("거래금액(만원)",'04A_국토부원자료'!$A$4:$T$4,0)),",","")),"")</f>
        <v/>
      </c>
      <c r="H2207" s="174">
        <f>IF(G2207="","",G2207*10000)</f>
        <v/>
      </c>
      <c r="I2207" s="174">
        <f>IFERROR(IF(AND(H2207&gt;0,E2207&gt;0),H2207/E2207,""),"")</f>
        <v/>
      </c>
      <c r="J2207" s="152">
        <f>IFERROR(VALUE(SUBSTITUTE(INDEX('04A_국토부원자료'!$A:$T,ROW()+1,MATCH("층",'04A_국토부원자료'!$A$4:$T$4,0)),",","")),"")</f>
        <v/>
      </c>
      <c r="K2207" s="152">
        <f>IFERROR(VALUE(SUBSTITUTE(INDEX('04A_국토부원자료'!$A:$T,ROW()+1,MATCH("건축년도",'04A_국토부원자료'!$A$4:$T$4,0)),",","")),"")</f>
        <v/>
      </c>
      <c r="L2207" s="48">
        <f>IFERROR(INDEX('04A_국토부원자료'!$A:$T,ROW()+1,MATCH("도로명",'04A_국토부원자료'!$A$4:$T$4,0)),"")</f>
        <v/>
      </c>
      <c r="M2207" s="48">
        <f>IFERROR(INDEX('04A_국토부원자료'!$A:$T,ROW()+1,MATCH("거래유형",'04A_국토부원자료'!$A$4:$T$4,0)),"")</f>
        <v/>
      </c>
      <c r="N2207" s="152">
        <f>IF(B2207="","",IF('02_대상물건입력'!B5="",1,IF(ISNUMBER(SEARCH('02_대상물건입력'!B5,B2207)),1,0)))</f>
        <v/>
      </c>
      <c r="O2207" s="152">
        <f>IF(B2207="","",IF('02_대상물건입력'!B6="",1,IF(ISNUMBER(SEARCH('02_대상물건입력'!B6,B2207)),1,0)))</f>
        <v/>
      </c>
      <c r="P2207" s="152">
        <f>IF(L2207="","",IF('02_대상물건입력'!B15="",0,IF(ISNUMBER(SEARCH('02_대상물건입력'!B15,L2207)),1,0)))</f>
        <v/>
      </c>
      <c r="Q2207" s="152">
        <f>IF(OR(C2207="",L2207=""),0,IF(AND(TRIM(C2207)=TRIM(RIGHT(SUBSTITUTE(TRIM('02_대상물건입력'!$B$7)," ",REPT(" ",99)),99)),IF('02_대상물건입력'!B15="",TRUE(),ISNUMBER(SEARCH('02_대상물건입력'!B15,L2207)))),1,0))</f>
        <v/>
      </c>
      <c r="R2207" s="175">
        <f>IFERROR(ABS(E2207-'02_대상물건입력'!B11)/'02_대상물건입력'!B11,"")</f>
        <v/>
      </c>
      <c r="S2207" s="152">
        <f>IFERROR(ABS(J2207-'02_대상물건입력'!B10),"")</f>
        <v/>
      </c>
      <c r="T2207" s="152">
        <f>IFERROR(ABS('01_설정'!B4-F2207),"")</f>
        <v/>
      </c>
      <c r="U2207" s="152">
        <f>IFERROR(ABS(K2207-YEAR('02_대상물건입력'!B14)),"")</f>
        <v/>
      </c>
      <c r="V2207" s="152">
        <f>IF(B2207="","",IF(AND(E2207&gt;0,F2207&gt;0,H2207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2207=1,TRUE()),R2207&lt;='01_설정'!B5,S2207&lt;='01_설정'!B6,T2207&lt;='01_설정'!B7,U2207&lt;='01_설정'!B8),"Y",""))</f>
        <v/>
      </c>
      <c r="W2207" s="172">
        <f>IF(V2207&lt;&gt;"Y","",MAX(0,(1-R2207/'01_설정'!B5))*'01_설정'!B14+MAX(0,(1-S2207/'01_설정'!B6))*'01_설정'!B15+MAX(0,(1-T2207/'01_설정'!B7))*'01_설정'!B16+MAX(0,(1-U2207/'01_설정'!B8))*'01_설정'!B17+O2207*'01_설정'!B11+Q2207*'01_설정'!B12+P2207*'01_설정'!B13+IF(Z2207="",0,Z2207))</f>
        <v/>
      </c>
      <c r="X2207" s="152">
        <f>IF(W2207="","",1+COUNTIFS($W$4:$W$3003,"&gt;"&amp;W2207)+COUNTIFS($W$4:W2207,W2207)-1)</f>
        <v/>
      </c>
      <c r="Y2207" s="175">
        <f>IF(OR(I2207="",'02_대상물건입력'!B19="",'02_대상물건입력'!B19&lt;=0),"",ABS(I2207-'02_대상물건입력'!B19)/'02_대상물건입력'!B19)</f>
        <v/>
      </c>
      <c r="Z2207" s="172">
        <f>IF(OR(Y2207="",'01_설정'!B31="",'01_설정'!B31&lt;=0,'01_설정'!B32="",'01_설정'!B32&lt;=0),"",MAX(0,(1-Y2207/'01_설정'!B32))*'01_설정'!B31)</f>
        <v/>
      </c>
    </row>
    <row r="2208" ht="17.25" customHeight="1">
      <c r="A2208" s="152">
        <f>IF(INDEX('04A_국토부원자료'!$A:$A,ROW()+1)="","",ROW()-3)</f>
        <v/>
      </c>
      <c r="B2208" s="48">
        <f>IFERROR(INDEX('04A_국토부원자료'!$A:$T,ROW()+1,MATCH("시군구",'04A_국토부원자료'!$A$4:$T$4,0)),"")</f>
        <v/>
      </c>
      <c r="C2208" s="48">
        <f>IF(B2208="","",IFERROR(INDEX('04A_국토부원자료'!$A:$T,ROW()+1,MATCH("번지",'04A_국토부원자료'!$A$4:$T$4,0)),""))</f>
        <v/>
      </c>
      <c r="D2208" s="48">
        <f>IF(B2208="","",IF(Q2208=1,'02_대상물건입력'!$B$8,IFERROR(INDEX('04A_국토부원자료'!$A:$T,ROW()+1,MATCH("단지명",'04A_국토부원자료'!$A$4:$T$4,0)),"")))</f>
        <v/>
      </c>
      <c r="E2208" s="172">
        <f>IFERROR(VALUE(SUBSTITUTE(INDEX('04A_국토부원자료'!$A:$T,ROW()+1,MATCH("전용면적(㎡)",'04A_국토부원자료'!$A$4:$T$4,0)),",","")),"")</f>
        <v/>
      </c>
      <c r="F22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08" s="51">
        <f>IFERROR(VALUE(SUBSTITUTE(INDEX('04A_국토부원자료'!$A:$T,ROW()+1,MATCH("거래금액(만원)",'04A_국토부원자료'!$A$4:$T$4,0)),",","")),"")</f>
        <v/>
      </c>
      <c r="H2208" s="174">
        <f>IF(G2208="","",G2208*10000)</f>
        <v/>
      </c>
      <c r="I2208" s="174">
        <f>IFERROR(IF(AND(H2208&gt;0,E2208&gt;0),H2208/E2208,""),"")</f>
        <v/>
      </c>
      <c r="J2208" s="152">
        <f>IFERROR(VALUE(SUBSTITUTE(INDEX('04A_국토부원자료'!$A:$T,ROW()+1,MATCH("층",'04A_국토부원자료'!$A$4:$T$4,0)),",","")),"")</f>
        <v/>
      </c>
      <c r="K2208" s="152">
        <f>IFERROR(VALUE(SUBSTITUTE(INDEX('04A_국토부원자료'!$A:$T,ROW()+1,MATCH("건축년도",'04A_국토부원자료'!$A$4:$T$4,0)),",","")),"")</f>
        <v/>
      </c>
      <c r="L2208" s="48">
        <f>IFERROR(INDEX('04A_국토부원자료'!$A:$T,ROW()+1,MATCH("도로명",'04A_국토부원자료'!$A$4:$T$4,0)),"")</f>
        <v/>
      </c>
      <c r="M2208" s="48">
        <f>IFERROR(INDEX('04A_국토부원자료'!$A:$T,ROW()+1,MATCH("거래유형",'04A_국토부원자료'!$A$4:$T$4,0)),"")</f>
        <v/>
      </c>
      <c r="N2208" s="152">
        <f>IF(B2208="","",IF('02_대상물건입력'!B5="",1,IF(ISNUMBER(SEARCH('02_대상물건입력'!B5,B2208)),1,0)))</f>
        <v/>
      </c>
      <c r="O2208" s="152">
        <f>IF(B2208="","",IF('02_대상물건입력'!B6="",1,IF(ISNUMBER(SEARCH('02_대상물건입력'!B6,B2208)),1,0)))</f>
        <v/>
      </c>
      <c r="P2208" s="152">
        <f>IF(L2208="","",IF('02_대상물건입력'!B15="",0,IF(ISNUMBER(SEARCH('02_대상물건입력'!B15,L2208)),1,0)))</f>
        <v/>
      </c>
      <c r="Q2208" s="152">
        <f>IF(OR(C2208="",L2208=""),0,IF(AND(TRIM(C2208)=TRIM(RIGHT(SUBSTITUTE(TRIM('02_대상물건입력'!$B$7)," ",REPT(" ",99)),99)),IF('02_대상물건입력'!B15="",TRUE(),ISNUMBER(SEARCH('02_대상물건입력'!B15,L2208)))),1,0))</f>
        <v/>
      </c>
      <c r="R2208" s="175">
        <f>IFERROR(ABS(E2208-'02_대상물건입력'!B11)/'02_대상물건입력'!B11,"")</f>
        <v/>
      </c>
      <c r="S2208" s="152">
        <f>IFERROR(ABS(J2208-'02_대상물건입력'!B10),"")</f>
        <v/>
      </c>
      <c r="T2208" s="152">
        <f>IFERROR(ABS('01_설정'!B4-F2208),"")</f>
        <v/>
      </c>
      <c r="U2208" s="152">
        <f>IFERROR(ABS(K2208-YEAR('02_대상물건입력'!B14)),"")</f>
        <v/>
      </c>
      <c r="V2208" s="152">
        <f>IF(B2208="","",IF(AND(E2208&gt;0,F2208&gt;0,H2208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2208=1,TRUE()),R2208&lt;='01_설정'!B5,S2208&lt;='01_설정'!B6,T2208&lt;='01_설정'!B7,U2208&lt;='01_설정'!B8),"Y",""))</f>
        <v/>
      </c>
      <c r="W2208" s="172">
        <f>IF(V2208&lt;&gt;"Y","",MAX(0,(1-R2208/'01_설정'!B5))*'01_설정'!B14+MAX(0,(1-S2208/'01_설정'!B6))*'01_설정'!B15+MAX(0,(1-T2208/'01_설정'!B7))*'01_설정'!B16+MAX(0,(1-U2208/'01_설정'!B8))*'01_설정'!B17+O2208*'01_설정'!B11+Q2208*'01_설정'!B12+P2208*'01_설정'!B13+IF(Z2208="",0,Z2208))</f>
        <v/>
      </c>
      <c r="X2208" s="152">
        <f>IF(W2208="","",1+COUNTIFS($W$4:$W$3003,"&gt;"&amp;W2208)+COUNTIFS($W$4:W2208,W2208)-1)</f>
        <v/>
      </c>
      <c r="Y2208" s="175">
        <f>IF(OR(I2208="",'02_대상물건입력'!B19="",'02_대상물건입력'!B19&lt;=0),"",ABS(I2208-'02_대상물건입력'!B19)/'02_대상물건입력'!B19)</f>
        <v/>
      </c>
      <c r="Z2208" s="172">
        <f>IF(OR(Y2208="",'01_설정'!B31="",'01_설정'!B31&lt;=0,'01_설정'!B32="",'01_설정'!B32&lt;=0),"",MAX(0,(1-Y2208/'01_설정'!B32))*'01_설정'!B31)</f>
        <v/>
      </c>
    </row>
    <row r="2209" ht="17.25" customHeight="1">
      <c r="A2209" s="152">
        <f>IF(INDEX('04A_국토부원자료'!$A:$A,ROW()+1)="","",ROW()-3)</f>
        <v/>
      </c>
      <c r="B2209" s="48">
        <f>IFERROR(INDEX('04A_국토부원자료'!$A:$T,ROW()+1,MATCH("시군구",'04A_국토부원자료'!$A$4:$T$4,0)),"")</f>
        <v/>
      </c>
      <c r="C2209" s="48">
        <f>IF(B2209="","",IFERROR(INDEX('04A_국토부원자료'!$A:$T,ROW()+1,MATCH("번지",'04A_국토부원자료'!$A$4:$T$4,0)),""))</f>
        <v/>
      </c>
      <c r="D2209" s="48">
        <f>IF(B2209="","",IF(Q2209=1,'02_대상물건입력'!$B$8,IFERROR(INDEX('04A_국토부원자료'!$A:$T,ROW()+1,MATCH("단지명",'04A_국토부원자료'!$A$4:$T$4,0)),"")))</f>
        <v/>
      </c>
      <c r="E2209" s="172">
        <f>IFERROR(VALUE(SUBSTITUTE(INDEX('04A_국토부원자료'!$A:$T,ROW()+1,MATCH("전용면적(㎡)",'04A_국토부원자료'!$A$4:$T$4,0)),",","")),"")</f>
        <v/>
      </c>
      <c r="F22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09" s="51">
        <f>IFERROR(VALUE(SUBSTITUTE(INDEX('04A_국토부원자료'!$A:$T,ROW()+1,MATCH("거래금액(만원)",'04A_국토부원자료'!$A$4:$T$4,0)),",","")),"")</f>
        <v/>
      </c>
      <c r="H2209" s="174">
        <f>IF(G2209="","",G2209*10000)</f>
        <v/>
      </c>
      <c r="I2209" s="174">
        <f>IFERROR(IF(AND(H2209&gt;0,E2209&gt;0),H2209/E2209,""),"")</f>
        <v/>
      </c>
      <c r="J2209" s="152">
        <f>IFERROR(VALUE(SUBSTITUTE(INDEX('04A_국토부원자료'!$A:$T,ROW()+1,MATCH("층",'04A_국토부원자료'!$A$4:$T$4,0)),",","")),"")</f>
        <v/>
      </c>
      <c r="K2209" s="152">
        <f>IFERROR(VALUE(SUBSTITUTE(INDEX('04A_국토부원자료'!$A:$T,ROW()+1,MATCH("건축년도",'04A_국토부원자료'!$A$4:$T$4,0)),",","")),"")</f>
        <v/>
      </c>
      <c r="L2209" s="48">
        <f>IFERROR(INDEX('04A_국토부원자료'!$A:$T,ROW()+1,MATCH("도로명",'04A_국토부원자료'!$A$4:$T$4,0)),"")</f>
        <v/>
      </c>
      <c r="M2209" s="48">
        <f>IFERROR(INDEX('04A_국토부원자료'!$A:$T,ROW()+1,MATCH("거래유형",'04A_국토부원자료'!$A$4:$T$4,0)),"")</f>
        <v/>
      </c>
      <c r="N2209" s="152">
        <f>IF(B2209="","",IF('02_대상물건입력'!B5="",1,IF(ISNUMBER(SEARCH('02_대상물건입력'!B5,B2209)),1,0)))</f>
        <v/>
      </c>
      <c r="O2209" s="152">
        <f>IF(B2209="","",IF('02_대상물건입력'!B6="",1,IF(ISNUMBER(SEARCH('02_대상물건입력'!B6,B2209)),1,0)))</f>
        <v/>
      </c>
      <c r="P2209" s="152">
        <f>IF(L2209="","",IF('02_대상물건입력'!B15="",0,IF(ISNUMBER(SEARCH('02_대상물건입력'!B15,L2209)),1,0)))</f>
        <v/>
      </c>
      <c r="Q2209" s="152">
        <f>IF(OR(C2209="",L2209=""),0,IF(AND(TRIM(C2209)=TRIM(RIGHT(SUBSTITUTE(TRIM('02_대상물건입력'!$B$7)," ",REPT(" ",99)),99)),IF('02_대상물건입력'!B15="",TRUE(),ISNUMBER(SEARCH('02_대상물건입력'!B15,L2209)))),1,0))</f>
        <v/>
      </c>
      <c r="R2209" s="175">
        <f>IFERROR(ABS(E2209-'02_대상물건입력'!B11)/'02_대상물건입력'!B11,"")</f>
        <v/>
      </c>
      <c r="S2209" s="152">
        <f>IFERROR(ABS(J2209-'02_대상물건입력'!B10),"")</f>
        <v/>
      </c>
      <c r="T2209" s="152">
        <f>IFERROR(ABS('01_설정'!B4-F2209),"")</f>
        <v/>
      </c>
      <c r="U2209" s="152">
        <f>IFERROR(ABS(K2209-YEAR('02_대상물건입력'!B14)),"")</f>
        <v/>
      </c>
      <c r="V2209" s="152">
        <f>IF(B2209="","",IF(AND(E2209&gt;0,F2209&gt;0,H2209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2209=1,TRUE()),R2209&lt;='01_설정'!B5,S2209&lt;='01_설정'!B6,T2209&lt;='01_설정'!B7,U2209&lt;='01_설정'!B8),"Y",""))</f>
        <v/>
      </c>
      <c r="W2209" s="172">
        <f>IF(V2209&lt;&gt;"Y","",MAX(0,(1-R2209/'01_설정'!B5))*'01_설정'!B14+MAX(0,(1-S2209/'01_설정'!B6))*'01_설정'!B15+MAX(0,(1-T2209/'01_설정'!B7))*'01_설정'!B16+MAX(0,(1-U2209/'01_설정'!B8))*'01_설정'!B17+O2209*'01_설정'!B11+Q2209*'01_설정'!B12+P2209*'01_설정'!B13+IF(Z2209="",0,Z2209))</f>
        <v/>
      </c>
      <c r="X2209" s="152">
        <f>IF(W2209="","",1+COUNTIFS($W$4:$W$3003,"&gt;"&amp;W2209)+COUNTIFS($W$4:W2209,W2209)-1)</f>
        <v/>
      </c>
      <c r="Y2209" s="175">
        <f>IF(OR(I2209="",'02_대상물건입력'!B19="",'02_대상물건입력'!B19&lt;=0),"",ABS(I2209-'02_대상물건입력'!B19)/'02_대상물건입력'!B19)</f>
        <v/>
      </c>
      <c r="Z2209" s="172">
        <f>IF(OR(Y2209="",'01_설정'!B31="",'01_설정'!B31&lt;=0,'01_설정'!B32="",'01_설정'!B32&lt;=0),"",MAX(0,(1-Y2209/'01_설정'!B32))*'01_설정'!B31)</f>
        <v/>
      </c>
    </row>
    <row r="2210" ht="17.25" customHeight="1">
      <c r="A2210" s="152">
        <f>IF(INDEX('04A_국토부원자료'!$A:$A,ROW()+1)="","",ROW()-3)</f>
        <v/>
      </c>
      <c r="B2210" s="48">
        <f>IFERROR(INDEX('04A_국토부원자료'!$A:$T,ROW()+1,MATCH("시군구",'04A_국토부원자료'!$A$4:$T$4,0)),"")</f>
        <v/>
      </c>
      <c r="C2210" s="48">
        <f>IF(B2210="","",IFERROR(INDEX('04A_국토부원자료'!$A:$T,ROW()+1,MATCH("번지",'04A_국토부원자료'!$A$4:$T$4,0)),""))</f>
        <v/>
      </c>
      <c r="D2210" s="48">
        <f>IF(B2210="","",IF(Q2210=1,'02_대상물건입력'!$B$8,IFERROR(INDEX('04A_국토부원자료'!$A:$T,ROW()+1,MATCH("단지명",'04A_국토부원자료'!$A$4:$T$4,0)),"")))</f>
        <v/>
      </c>
      <c r="E2210" s="172">
        <f>IFERROR(VALUE(SUBSTITUTE(INDEX('04A_국토부원자료'!$A:$T,ROW()+1,MATCH("전용면적(㎡)",'04A_국토부원자료'!$A$4:$T$4,0)),",","")),"")</f>
        <v/>
      </c>
      <c r="F22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10" s="51">
        <f>IFERROR(VALUE(SUBSTITUTE(INDEX('04A_국토부원자료'!$A:$T,ROW()+1,MATCH("거래금액(만원)",'04A_국토부원자료'!$A$4:$T$4,0)),",","")),"")</f>
        <v/>
      </c>
      <c r="H2210" s="174">
        <f>IF(G2210="","",G2210*10000)</f>
        <v/>
      </c>
      <c r="I2210" s="174">
        <f>IFERROR(IF(AND(H2210&gt;0,E2210&gt;0),H2210/E2210,""),"")</f>
        <v/>
      </c>
      <c r="J2210" s="152">
        <f>IFERROR(VALUE(SUBSTITUTE(INDEX('04A_국토부원자료'!$A:$T,ROW()+1,MATCH("층",'04A_국토부원자료'!$A$4:$T$4,0)),",","")),"")</f>
        <v/>
      </c>
      <c r="K2210" s="152">
        <f>IFERROR(VALUE(SUBSTITUTE(INDEX('04A_국토부원자료'!$A:$T,ROW()+1,MATCH("건축년도",'04A_국토부원자료'!$A$4:$T$4,0)),",","")),"")</f>
        <v/>
      </c>
      <c r="L2210" s="48">
        <f>IFERROR(INDEX('04A_국토부원자료'!$A:$T,ROW()+1,MATCH("도로명",'04A_국토부원자료'!$A$4:$T$4,0)),"")</f>
        <v/>
      </c>
      <c r="M2210" s="48">
        <f>IFERROR(INDEX('04A_국토부원자료'!$A:$T,ROW()+1,MATCH("거래유형",'04A_국토부원자료'!$A$4:$T$4,0)),"")</f>
        <v/>
      </c>
      <c r="N2210" s="152">
        <f>IF(B2210="","",IF('02_대상물건입력'!B5="",1,IF(ISNUMBER(SEARCH('02_대상물건입력'!B5,B2210)),1,0)))</f>
        <v/>
      </c>
      <c r="O2210" s="152">
        <f>IF(B2210="","",IF('02_대상물건입력'!B6="",1,IF(ISNUMBER(SEARCH('02_대상물건입력'!B6,B2210)),1,0)))</f>
        <v/>
      </c>
      <c r="P2210" s="152">
        <f>IF(L2210="","",IF('02_대상물건입력'!B15="",0,IF(ISNUMBER(SEARCH('02_대상물건입력'!B15,L2210)),1,0)))</f>
        <v/>
      </c>
      <c r="Q2210" s="152">
        <f>IF(OR(C2210="",L2210=""),0,IF(AND(TRIM(C2210)=TRIM(RIGHT(SUBSTITUTE(TRIM('02_대상물건입력'!$B$7)," ",REPT(" ",99)),99)),IF('02_대상물건입력'!B15="",TRUE(),ISNUMBER(SEARCH('02_대상물건입력'!B15,L2210)))),1,0))</f>
        <v/>
      </c>
      <c r="R2210" s="175">
        <f>IFERROR(ABS(E2210-'02_대상물건입력'!B11)/'02_대상물건입력'!B11,"")</f>
        <v/>
      </c>
      <c r="S2210" s="152">
        <f>IFERROR(ABS(J2210-'02_대상물건입력'!B10),"")</f>
        <v/>
      </c>
      <c r="T2210" s="152">
        <f>IFERROR(ABS('01_설정'!B4-F2210),"")</f>
        <v/>
      </c>
      <c r="U2210" s="152">
        <f>IFERROR(ABS(K2210-YEAR('02_대상물건입력'!B14)),"")</f>
        <v/>
      </c>
      <c r="V2210" s="152">
        <f>IF(B2210="","",IF(AND(E2210&gt;0,F2210&gt;0,H2210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2210=1,TRUE()),R2210&lt;='01_설정'!B5,S2210&lt;='01_설정'!B6,T2210&lt;='01_설정'!B7,U2210&lt;='01_설정'!B8),"Y",""))</f>
        <v/>
      </c>
      <c r="W2210" s="172">
        <f>IF(V2210&lt;&gt;"Y","",MAX(0,(1-R2210/'01_설정'!B5))*'01_설정'!B14+MAX(0,(1-S2210/'01_설정'!B6))*'01_설정'!B15+MAX(0,(1-T2210/'01_설정'!B7))*'01_설정'!B16+MAX(0,(1-U2210/'01_설정'!B8))*'01_설정'!B17+O2210*'01_설정'!B11+Q2210*'01_설정'!B12+P2210*'01_설정'!B13+IF(Z2210="",0,Z2210))</f>
        <v/>
      </c>
      <c r="X2210" s="152">
        <f>IF(W2210="","",1+COUNTIFS($W$4:$W$3003,"&gt;"&amp;W2210)+COUNTIFS($W$4:W2210,W2210)-1)</f>
        <v/>
      </c>
      <c r="Y2210" s="175">
        <f>IF(OR(I2210="",'02_대상물건입력'!B19="",'02_대상물건입력'!B19&lt;=0),"",ABS(I2210-'02_대상물건입력'!B19)/'02_대상물건입력'!B19)</f>
        <v/>
      </c>
      <c r="Z2210" s="172">
        <f>IF(OR(Y2210="",'01_설정'!B31="",'01_설정'!B31&lt;=0,'01_설정'!B32="",'01_설정'!B32&lt;=0),"",MAX(0,(1-Y2210/'01_설정'!B32))*'01_설정'!B31)</f>
        <v/>
      </c>
    </row>
    <row r="2211" ht="17.25" customHeight="1">
      <c r="A2211" s="152">
        <f>IF(INDEX('04A_국토부원자료'!$A:$A,ROW()+1)="","",ROW()-3)</f>
        <v/>
      </c>
      <c r="B2211" s="48">
        <f>IFERROR(INDEX('04A_국토부원자료'!$A:$T,ROW()+1,MATCH("시군구",'04A_국토부원자료'!$A$4:$T$4,0)),"")</f>
        <v/>
      </c>
      <c r="C2211" s="48">
        <f>IF(B2211="","",IFERROR(INDEX('04A_국토부원자료'!$A:$T,ROW()+1,MATCH("번지",'04A_국토부원자료'!$A$4:$T$4,0)),""))</f>
        <v/>
      </c>
      <c r="D2211" s="48">
        <f>IF(B2211="","",IF(Q2211=1,'02_대상물건입력'!$B$8,IFERROR(INDEX('04A_국토부원자료'!$A:$T,ROW()+1,MATCH("단지명",'04A_국토부원자료'!$A$4:$T$4,0)),"")))</f>
        <v/>
      </c>
      <c r="E2211" s="172">
        <f>IFERROR(VALUE(SUBSTITUTE(INDEX('04A_국토부원자료'!$A:$T,ROW()+1,MATCH("전용면적(㎡)",'04A_국토부원자료'!$A$4:$T$4,0)),",","")),"")</f>
        <v/>
      </c>
      <c r="F22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11" s="51">
        <f>IFERROR(VALUE(SUBSTITUTE(INDEX('04A_국토부원자료'!$A:$T,ROW()+1,MATCH("거래금액(만원)",'04A_국토부원자료'!$A$4:$T$4,0)),",","")),"")</f>
        <v/>
      </c>
      <c r="H2211" s="174">
        <f>IF(G2211="","",G2211*10000)</f>
        <v/>
      </c>
      <c r="I2211" s="174">
        <f>IFERROR(IF(AND(H2211&gt;0,E2211&gt;0),H2211/E2211,""),"")</f>
        <v/>
      </c>
      <c r="J2211" s="152">
        <f>IFERROR(VALUE(SUBSTITUTE(INDEX('04A_국토부원자료'!$A:$T,ROW()+1,MATCH("층",'04A_국토부원자료'!$A$4:$T$4,0)),",","")),"")</f>
        <v/>
      </c>
      <c r="K2211" s="152">
        <f>IFERROR(VALUE(SUBSTITUTE(INDEX('04A_국토부원자료'!$A:$T,ROW()+1,MATCH("건축년도",'04A_국토부원자료'!$A$4:$T$4,0)),",","")),"")</f>
        <v/>
      </c>
      <c r="L2211" s="48">
        <f>IFERROR(INDEX('04A_국토부원자료'!$A:$T,ROW()+1,MATCH("도로명",'04A_국토부원자료'!$A$4:$T$4,0)),"")</f>
        <v/>
      </c>
      <c r="M2211" s="48">
        <f>IFERROR(INDEX('04A_국토부원자료'!$A:$T,ROW()+1,MATCH("거래유형",'04A_국토부원자료'!$A$4:$T$4,0)),"")</f>
        <v/>
      </c>
      <c r="N2211" s="152">
        <f>IF(B2211="","",IF('02_대상물건입력'!B5="",1,IF(ISNUMBER(SEARCH('02_대상물건입력'!B5,B2211)),1,0)))</f>
        <v/>
      </c>
      <c r="O2211" s="152">
        <f>IF(B2211="","",IF('02_대상물건입력'!B6="",1,IF(ISNUMBER(SEARCH('02_대상물건입력'!B6,B2211)),1,0)))</f>
        <v/>
      </c>
      <c r="P2211" s="152">
        <f>IF(L2211="","",IF('02_대상물건입력'!B15="",0,IF(ISNUMBER(SEARCH('02_대상물건입력'!B15,L2211)),1,0)))</f>
        <v/>
      </c>
      <c r="Q2211" s="152">
        <f>IF(OR(C2211="",L2211=""),0,IF(AND(TRIM(C2211)=TRIM(RIGHT(SUBSTITUTE(TRIM('02_대상물건입력'!$B$7)," ",REPT(" ",99)),99)),IF('02_대상물건입력'!B15="",TRUE(),ISNUMBER(SEARCH('02_대상물건입력'!B15,L2211)))),1,0))</f>
        <v/>
      </c>
      <c r="R2211" s="175">
        <f>IFERROR(ABS(E2211-'02_대상물건입력'!B11)/'02_대상물건입력'!B11,"")</f>
        <v/>
      </c>
      <c r="S2211" s="152">
        <f>IFERROR(ABS(J2211-'02_대상물건입력'!B10),"")</f>
        <v/>
      </c>
      <c r="T2211" s="152">
        <f>IFERROR(ABS('01_설정'!B4-F2211),"")</f>
        <v/>
      </c>
      <c r="U2211" s="152">
        <f>IFERROR(ABS(K2211-YEAR('02_대상물건입력'!B14)),"")</f>
        <v/>
      </c>
      <c r="V2211" s="152">
        <f>IF(B2211="","",IF(AND(E2211&gt;0,F2211&gt;0,H2211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2211=1,TRUE()),R2211&lt;='01_설정'!B5,S2211&lt;='01_설정'!B6,T2211&lt;='01_설정'!B7,U2211&lt;='01_설정'!B8),"Y",""))</f>
        <v/>
      </c>
      <c r="W2211" s="172">
        <f>IF(V2211&lt;&gt;"Y","",MAX(0,(1-R2211/'01_설정'!B5))*'01_설정'!B14+MAX(0,(1-S2211/'01_설정'!B6))*'01_설정'!B15+MAX(0,(1-T2211/'01_설정'!B7))*'01_설정'!B16+MAX(0,(1-U2211/'01_설정'!B8))*'01_설정'!B17+O2211*'01_설정'!B11+Q2211*'01_설정'!B12+P2211*'01_설정'!B13+IF(Z2211="",0,Z2211))</f>
        <v/>
      </c>
      <c r="X2211" s="152">
        <f>IF(W2211="","",1+COUNTIFS($W$4:$W$3003,"&gt;"&amp;W2211)+COUNTIFS($W$4:W2211,W2211)-1)</f>
        <v/>
      </c>
      <c r="Y2211" s="175">
        <f>IF(OR(I2211="",'02_대상물건입력'!B19="",'02_대상물건입력'!B19&lt;=0),"",ABS(I2211-'02_대상물건입력'!B19)/'02_대상물건입력'!B19)</f>
        <v/>
      </c>
      <c r="Z2211" s="172">
        <f>IF(OR(Y2211="",'01_설정'!B31="",'01_설정'!B31&lt;=0,'01_설정'!B32="",'01_설정'!B32&lt;=0),"",MAX(0,(1-Y2211/'01_설정'!B32))*'01_설정'!B31)</f>
        <v/>
      </c>
    </row>
    <row r="2212" ht="17.25" customHeight="1">
      <c r="A2212" s="152">
        <f>IF(INDEX('04A_국토부원자료'!$A:$A,ROW()+1)="","",ROW()-3)</f>
        <v/>
      </c>
      <c r="B2212" s="48">
        <f>IFERROR(INDEX('04A_국토부원자료'!$A:$T,ROW()+1,MATCH("시군구",'04A_국토부원자료'!$A$4:$T$4,0)),"")</f>
        <v/>
      </c>
      <c r="C2212" s="48">
        <f>IF(B2212="","",IFERROR(INDEX('04A_국토부원자료'!$A:$T,ROW()+1,MATCH("번지",'04A_국토부원자료'!$A$4:$T$4,0)),""))</f>
        <v/>
      </c>
      <c r="D2212" s="48">
        <f>IF(B2212="","",IF(Q2212=1,'02_대상물건입력'!$B$8,IFERROR(INDEX('04A_국토부원자료'!$A:$T,ROW()+1,MATCH("단지명",'04A_국토부원자료'!$A$4:$T$4,0)),"")))</f>
        <v/>
      </c>
      <c r="E2212" s="172">
        <f>IFERROR(VALUE(SUBSTITUTE(INDEX('04A_국토부원자료'!$A:$T,ROW()+1,MATCH("전용면적(㎡)",'04A_국토부원자료'!$A$4:$T$4,0)),",","")),"")</f>
        <v/>
      </c>
      <c r="F22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12" s="51">
        <f>IFERROR(VALUE(SUBSTITUTE(INDEX('04A_국토부원자료'!$A:$T,ROW()+1,MATCH("거래금액(만원)",'04A_국토부원자료'!$A$4:$T$4,0)),",","")),"")</f>
        <v/>
      </c>
      <c r="H2212" s="174">
        <f>IF(G2212="","",G2212*10000)</f>
        <v/>
      </c>
      <c r="I2212" s="174">
        <f>IFERROR(IF(AND(H2212&gt;0,E2212&gt;0),H2212/E2212,""),"")</f>
        <v/>
      </c>
      <c r="J2212" s="152">
        <f>IFERROR(VALUE(SUBSTITUTE(INDEX('04A_국토부원자료'!$A:$T,ROW()+1,MATCH("층",'04A_국토부원자료'!$A$4:$T$4,0)),",","")),"")</f>
        <v/>
      </c>
      <c r="K2212" s="152">
        <f>IFERROR(VALUE(SUBSTITUTE(INDEX('04A_국토부원자료'!$A:$T,ROW()+1,MATCH("건축년도",'04A_국토부원자료'!$A$4:$T$4,0)),",","")),"")</f>
        <v/>
      </c>
      <c r="L2212" s="48">
        <f>IFERROR(INDEX('04A_국토부원자료'!$A:$T,ROW()+1,MATCH("도로명",'04A_국토부원자료'!$A$4:$T$4,0)),"")</f>
        <v/>
      </c>
      <c r="M2212" s="48">
        <f>IFERROR(INDEX('04A_국토부원자료'!$A:$T,ROW()+1,MATCH("거래유형",'04A_국토부원자료'!$A$4:$T$4,0)),"")</f>
        <v/>
      </c>
      <c r="N2212" s="152">
        <f>IF(B2212="","",IF('02_대상물건입력'!B5="",1,IF(ISNUMBER(SEARCH('02_대상물건입력'!B5,B2212)),1,0)))</f>
        <v/>
      </c>
      <c r="O2212" s="152">
        <f>IF(B2212="","",IF('02_대상물건입력'!B6="",1,IF(ISNUMBER(SEARCH('02_대상물건입력'!B6,B2212)),1,0)))</f>
        <v/>
      </c>
      <c r="P2212" s="152">
        <f>IF(L2212="","",IF('02_대상물건입력'!B15="",0,IF(ISNUMBER(SEARCH('02_대상물건입력'!B15,L2212)),1,0)))</f>
        <v/>
      </c>
      <c r="Q2212" s="152">
        <f>IF(OR(C2212="",L2212=""),0,IF(AND(TRIM(C2212)=TRIM(RIGHT(SUBSTITUTE(TRIM('02_대상물건입력'!$B$7)," ",REPT(" ",99)),99)),IF('02_대상물건입력'!B15="",TRUE(),ISNUMBER(SEARCH('02_대상물건입력'!B15,L2212)))),1,0))</f>
        <v/>
      </c>
      <c r="R2212" s="175">
        <f>IFERROR(ABS(E2212-'02_대상물건입력'!B11)/'02_대상물건입력'!B11,"")</f>
        <v/>
      </c>
      <c r="S2212" s="152">
        <f>IFERROR(ABS(J2212-'02_대상물건입력'!B10),"")</f>
        <v/>
      </c>
      <c r="T2212" s="152">
        <f>IFERROR(ABS('01_설정'!B4-F2212),"")</f>
        <v/>
      </c>
      <c r="U2212" s="152">
        <f>IFERROR(ABS(K2212-YEAR('02_대상물건입력'!B14)),"")</f>
        <v/>
      </c>
      <c r="V2212" s="152">
        <f>IF(B2212="","",IF(AND(E2212&gt;0,F2212&gt;0,H2212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2212=1,TRUE()),R2212&lt;='01_설정'!B5,S2212&lt;='01_설정'!B6,T2212&lt;='01_설정'!B7,U2212&lt;='01_설정'!B8),"Y",""))</f>
        <v/>
      </c>
      <c r="W2212" s="172">
        <f>IF(V2212&lt;&gt;"Y","",MAX(0,(1-R2212/'01_설정'!B5))*'01_설정'!B14+MAX(0,(1-S2212/'01_설정'!B6))*'01_설정'!B15+MAX(0,(1-T2212/'01_설정'!B7))*'01_설정'!B16+MAX(0,(1-U2212/'01_설정'!B8))*'01_설정'!B17+O2212*'01_설정'!B11+Q2212*'01_설정'!B12+P2212*'01_설정'!B13+IF(Z2212="",0,Z2212))</f>
        <v/>
      </c>
      <c r="X2212" s="152">
        <f>IF(W2212="","",1+COUNTIFS($W$4:$W$3003,"&gt;"&amp;W2212)+COUNTIFS($W$4:W2212,W2212)-1)</f>
        <v/>
      </c>
      <c r="Y2212" s="175">
        <f>IF(OR(I2212="",'02_대상물건입력'!B19="",'02_대상물건입력'!B19&lt;=0),"",ABS(I2212-'02_대상물건입력'!B19)/'02_대상물건입력'!B19)</f>
        <v/>
      </c>
      <c r="Z2212" s="172">
        <f>IF(OR(Y2212="",'01_설정'!B31="",'01_설정'!B31&lt;=0,'01_설정'!B32="",'01_설정'!B32&lt;=0),"",MAX(0,(1-Y2212/'01_설정'!B32))*'01_설정'!B31)</f>
        <v/>
      </c>
    </row>
    <row r="2213" ht="17.25" customHeight="1">
      <c r="A2213" s="152">
        <f>IF(INDEX('04A_국토부원자료'!$A:$A,ROW()+1)="","",ROW()-3)</f>
        <v/>
      </c>
      <c r="B2213" s="48">
        <f>IFERROR(INDEX('04A_국토부원자료'!$A:$T,ROW()+1,MATCH("시군구",'04A_국토부원자료'!$A$4:$T$4,0)),"")</f>
        <v/>
      </c>
      <c r="C2213" s="48">
        <f>IF(B2213="","",IFERROR(INDEX('04A_국토부원자료'!$A:$T,ROW()+1,MATCH("번지",'04A_국토부원자료'!$A$4:$T$4,0)),""))</f>
        <v/>
      </c>
      <c r="D2213" s="48">
        <f>IF(B2213="","",IF(Q2213=1,'02_대상물건입력'!$B$8,IFERROR(INDEX('04A_국토부원자료'!$A:$T,ROW()+1,MATCH("단지명",'04A_국토부원자료'!$A$4:$T$4,0)),"")))</f>
        <v/>
      </c>
      <c r="E2213" s="172">
        <f>IFERROR(VALUE(SUBSTITUTE(INDEX('04A_국토부원자료'!$A:$T,ROW()+1,MATCH("전용면적(㎡)",'04A_국토부원자료'!$A$4:$T$4,0)),",","")),"")</f>
        <v/>
      </c>
      <c r="F22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13" s="51">
        <f>IFERROR(VALUE(SUBSTITUTE(INDEX('04A_국토부원자료'!$A:$T,ROW()+1,MATCH("거래금액(만원)",'04A_국토부원자료'!$A$4:$T$4,0)),",","")),"")</f>
        <v/>
      </c>
      <c r="H2213" s="174">
        <f>IF(G2213="","",G2213*10000)</f>
        <v/>
      </c>
      <c r="I2213" s="174">
        <f>IFERROR(IF(AND(H2213&gt;0,E2213&gt;0),H2213/E2213,""),"")</f>
        <v/>
      </c>
      <c r="J2213" s="152">
        <f>IFERROR(VALUE(SUBSTITUTE(INDEX('04A_국토부원자료'!$A:$T,ROW()+1,MATCH("층",'04A_국토부원자료'!$A$4:$T$4,0)),",","")),"")</f>
        <v/>
      </c>
      <c r="K2213" s="152">
        <f>IFERROR(VALUE(SUBSTITUTE(INDEX('04A_국토부원자료'!$A:$T,ROW()+1,MATCH("건축년도",'04A_국토부원자료'!$A$4:$T$4,0)),",","")),"")</f>
        <v/>
      </c>
      <c r="L2213" s="48">
        <f>IFERROR(INDEX('04A_국토부원자료'!$A:$T,ROW()+1,MATCH("도로명",'04A_국토부원자료'!$A$4:$T$4,0)),"")</f>
        <v/>
      </c>
      <c r="M2213" s="48">
        <f>IFERROR(INDEX('04A_국토부원자료'!$A:$T,ROW()+1,MATCH("거래유형",'04A_국토부원자료'!$A$4:$T$4,0)),"")</f>
        <v/>
      </c>
      <c r="N2213" s="152">
        <f>IF(B2213="","",IF('02_대상물건입력'!B5="",1,IF(ISNUMBER(SEARCH('02_대상물건입력'!B5,B2213)),1,0)))</f>
        <v/>
      </c>
      <c r="O2213" s="152">
        <f>IF(B2213="","",IF('02_대상물건입력'!B6="",1,IF(ISNUMBER(SEARCH('02_대상물건입력'!B6,B2213)),1,0)))</f>
        <v/>
      </c>
      <c r="P2213" s="152">
        <f>IF(L2213="","",IF('02_대상물건입력'!B15="",0,IF(ISNUMBER(SEARCH('02_대상물건입력'!B15,L2213)),1,0)))</f>
        <v/>
      </c>
      <c r="Q2213" s="152">
        <f>IF(OR(C2213="",L2213=""),0,IF(AND(TRIM(C2213)=TRIM(RIGHT(SUBSTITUTE(TRIM('02_대상물건입력'!$B$7)," ",REPT(" ",99)),99)),IF('02_대상물건입력'!B15="",TRUE(),ISNUMBER(SEARCH('02_대상물건입력'!B15,L2213)))),1,0))</f>
        <v/>
      </c>
      <c r="R2213" s="175">
        <f>IFERROR(ABS(E2213-'02_대상물건입력'!B11)/'02_대상물건입력'!B11,"")</f>
        <v/>
      </c>
      <c r="S2213" s="152">
        <f>IFERROR(ABS(J2213-'02_대상물건입력'!B10),"")</f>
        <v/>
      </c>
      <c r="T2213" s="152">
        <f>IFERROR(ABS('01_설정'!B4-F2213),"")</f>
        <v/>
      </c>
      <c r="U2213" s="152">
        <f>IFERROR(ABS(K2213-YEAR('02_대상물건입력'!B14)),"")</f>
        <v/>
      </c>
      <c r="V2213" s="152">
        <f>IF(B2213="","",IF(AND(E2213&gt;0,F2213&gt;0,H2213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2213=1,TRUE()),R2213&lt;='01_설정'!B5,S2213&lt;='01_설정'!B6,T2213&lt;='01_설정'!B7,U2213&lt;='01_설정'!B8),"Y",""))</f>
        <v/>
      </c>
      <c r="W2213" s="172">
        <f>IF(V2213&lt;&gt;"Y","",MAX(0,(1-R2213/'01_설정'!B5))*'01_설정'!B14+MAX(0,(1-S2213/'01_설정'!B6))*'01_설정'!B15+MAX(0,(1-T2213/'01_설정'!B7))*'01_설정'!B16+MAX(0,(1-U2213/'01_설정'!B8))*'01_설정'!B17+O2213*'01_설정'!B11+Q2213*'01_설정'!B12+P2213*'01_설정'!B13+IF(Z2213="",0,Z2213))</f>
        <v/>
      </c>
      <c r="X2213" s="152">
        <f>IF(W2213="","",1+COUNTIFS($W$4:$W$3003,"&gt;"&amp;W2213)+COUNTIFS($W$4:W2213,W2213)-1)</f>
        <v/>
      </c>
      <c r="Y2213" s="175">
        <f>IF(OR(I2213="",'02_대상물건입력'!B19="",'02_대상물건입력'!B19&lt;=0),"",ABS(I2213-'02_대상물건입력'!B19)/'02_대상물건입력'!B19)</f>
        <v/>
      </c>
      <c r="Z2213" s="172">
        <f>IF(OR(Y2213="",'01_설정'!B31="",'01_설정'!B31&lt;=0,'01_설정'!B32="",'01_설정'!B32&lt;=0),"",MAX(0,(1-Y2213/'01_설정'!B32))*'01_설정'!B31)</f>
        <v/>
      </c>
    </row>
    <row r="2214" ht="17.25" customHeight="1">
      <c r="A2214" s="152">
        <f>IF(INDEX('04A_국토부원자료'!$A:$A,ROW()+1)="","",ROW()-3)</f>
        <v/>
      </c>
      <c r="B2214" s="48">
        <f>IFERROR(INDEX('04A_국토부원자료'!$A:$T,ROW()+1,MATCH("시군구",'04A_국토부원자료'!$A$4:$T$4,0)),"")</f>
        <v/>
      </c>
      <c r="C2214" s="48">
        <f>IF(B2214="","",IFERROR(INDEX('04A_국토부원자료'!$A:$T,ROW()+1,MATCH("번지",'04A_국토부원자료'!$A$4:$T$4,0)),""))</f>
        <v/>
      </c>
      <c r="D2214" s="48">
        <f>IF(B2214="","",IF(Q2214=1,'02_대상물건입력'!$B$8,IFERROR(INDEX('04A_국토부원자료'!$A:$T,ROW()+1,MATCH("단지명",'04A_국토부원자료'!$A$4:$T$4,0)),"")))</f>
        <v/>
      </c>
      <c r="E2214" s="172">
        <f>IFERROR(VALUE(SUBSTITUTE(INDEX('04A_국토부원자료'!$A:$T,ROW()+1,MATCH("전용면적(㎡)",'04A_국토부원자료'!$A$4:$T$4,0)),",","")),"")</f>
        <v/>
      </c>
      <c r="F22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14" s="51">
        <f>IFERROR(VALUE(SUBSTITUTE(INDEX('04A_국토부원자료'!$A:$T,ROW()+1,MATCH("거래금액(만원)",'04A_국토부원자료'!$A$4:$T$4,0)),",","")),"")</f>
        <v/>
      </c>
      <c r="H2214" s="174">
        <f>IF(G2214="","",G2214*10000)</f>
        <v/>
      </c>
      <c r="I2214" s="174">
        <f>IFERROR(IF(AND(H2214&gt;0,E2214&gt;0),H2214/E2214,""),"")</f>
        <v/>
      </c>
      <c r="J2214" s="152">
        <f>IFERROR(VALUE(SUBSTITUTE(INDEX('04A_국토부원자료'!$A:$T,ROW()+1,MATCH("층",'04A_국토부원자료'!$A$4:$T$4,0)),",","")),"")</f>
        <v/>
      </c>
      <c r="K2214" s="152">
        <f>IFERROR(VALUE(SUBSTITUTE(INDEX('04A_국토부원자료'!$A:$T,ROW()+1,MATCH("건축년도",'04A_국토부원자료'!$A$4:$T$4,0)),",","")),"")</f>
        <v/>
      </c>
      <c r="L2214" s="48">
        <f>IFERROR(INDEX('04A_국토부원자료'!$A:$T,ROW()+1,MATCH("도로명",'04A_국토부원자료'!$A$4:$T$4,0)),"")</f>
        <v/>
      </c>
      <c r="M2214" s="48">
        <f>IFERROR(INDEX('04A_국토부원자료'!$A:$T,ROW()+1,MATCH("거래유형",'04A_국토부원자료'!$A$4:$T$4,0)),"")</f>
        <v/>
      </c>
      <c r="N2214" s="152">
        <f>IF(B2214="","",IF('02_대상물건입력'!B5="",1,IF(ISNUMBER(SEARCH('02_대상물건입력'!B5,B2214)),1,0)))</f>
        <v/>
      </c>
      <c r="O2214" s="152">
        <f>IF(B2214="","",IF('02_대상물건입력'!B6="",1,IF(ISNUMBER(SEARCH('02_대상물건입력'!B6,B2214)),1,0)))</f>
        <v/>
      </c>
      <c r="P2214" s="152">
        <f>IF(L2214="","",IF('02_대상물건입력'!B15="",0,IF(ISNUMBER(SEARCH('02_대상물건입력'!B15,L2214)),1,0)))</f>
        <v/>
      </c>
      <c r="Q2214" s="152">
        <f>IF(OR(C2214="",L2214=""),0,IF(AND(TRIM(C2214)=TRIM(RIGHT(SUBSTITUTE(TRIM('02_대상물건입력'!$B$7)," ",REPT(" ",99)),99)),IF('02_대상물건입력'!B15="",TRUE(),ISNUMBER(SEARCH('02_대상물건입력'!B15,L2214)))),1,0))</f>
        <v/>
      </c>
      <c r="R2214" s="175">
        <f>IFERROR(ABS(E2214-'02_대상물건입력'!B11)/'02_대상물건입력'!B11,"")</f>
        <v/>
      </c>
      <c r="S2214" s="152">
        <f>IFERROR(ABS(J2214-'02_대상물건입력'!B10),"")</f>
        <v/>
      </c>
      <c r="T2214" s="152">
        <f>IFERROR(ABS('01_설정'!B4-F2214),"")</f>
        <v/>
      </c>
      <c r="U2214" s="152">
        <f>IFERROR(ABS(K2214-YEAR('02_대상물건입력'!B14)),"")</f>
        <v/>
      </c>
      <c r="V2214" s="152">
        <f>IF(B2214="","",IF(AND(E2214&gt;0,F2214&gt;0,H2214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2214=1,TRUE()),R2214&lt;='01_설정'!B5,S2214&lt;='01_설정'!B6,T2214&lt;='01_설정'!B7,U2214&lt;='01_설정'!B8),"Y",""))</f>
        <v/>
      </c>
      <c r="W2214" s="172">
        <f>IF(V2214&lt;&gt;"Y","",MAX(0,(1-R2214/'01_설정'!B5))*'01_설정'!B14+MAX(0,(1-S2214/'01_설정'!B6))*'01_설정'!B15+MAX(0,(1-T2214/'01_설정'!B7))*'01_설정'!B16+MAX(0,(1-U2214/'01_설정'!B8))*'01_설정'!B17+O2214*'01_설정'!B11+Q2214*'01_설정'!B12+P2214*'01_설정'!B13+IF(Z2214="",0,Z2214))</f>
        <v/>
      </c>
      <c r="X2214" s="152">
        <f>IF(W2214="","",1+COUNTIFS($W$4:$W$3003,"&gt;"&amp;W2214)+COUNTIFS($W$4:W2214,W2214)-1)</f>
        <v/>
      </c>
      <c r="Y2214" s="175">
        <f>IF(OR(I2214="",'02_대상물건입력'!B19="",'02_대상물건입력'!B19&lt;=0),"",ABS(I2214-'02_대상물건입력'!B19)/'02_대상물건입력'!B19)</f>
        <v/>
      </c>
      <c r="Z2214" s="172">
        <f>IF(OR(Y2214="",'01_설정'!B31="",'01_설정'!B31&lt;=0,'01_설정'!B32="",'01_설정'!B32&lt;=0),"",MAX(0,(1-Y2214/'01_설정'!B32))*'01_설정'!B31)</f>
        <v/>
      </c>
    </row>
    <row r="2215" ht="17.25" customHeight="1">
      <c r="A2215" s="152">
        <f>IF(INDEX('04A_국토부원자료'!$A:$A,ROW()+1)="","",ROW()-3)</f>
        <v/>
      </c>
      <c r="B2215" s="48">
        <f>IFERROR(INDEX('04A_국토부원자료'!$A:$T,ROW()+1,MATCH("시군구",'04A_국토부원자료'!$A$4:$T$4,0)),"")</f>
        <v/>
      </c>
      <c r="C2215" s="48">
        <f>IF(B2215="","",IFERROR(INDEX('04A_국토부원자료'!$A:$T,ROW()+1,MATCH("번지",'04A_국토부원자료'!$A$4:$T$4,0)),""))</f>
        <v/>
      </c>
      <c r="D2215" s="48">
        <f>IF(B2215="","",IF(Q2215=1,'02_대상물건입력'!$B$8,IFERROR(INDEX('04A_국토부원자료'!$A:$T,ROW()+1,MATCH("단지명",'04A_국토부원자료'!$A$4:$T$4,0)),"")))</f>
        <v/>
      </c>
      <c r="E2215" s="172">
        <f>IFERROR(VALUE(SUBSTITUTE(INDEX('04A_국토부원자료'!$A:$T,ROW()+1,MATCH("전용면적(㎡)",'04A_국토부원자료'!$A$4:$T$4,0)),",","")),"")</f>
        <v/>
      </c>
      <c r="F22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15" s="51">
        <f>IFERROR(VALUE(SUBSTITUTE(INDEX('04A_국토부원자료'!$A:$T,ROW()+1,MATCH("거래금액(만원)",'04A_국토부원자료'!$A$4:$T$4,0)),",","")),"")</f>
        <v/>
      </c>
      <c r="H2215" s="174">
        <f>IF(G2215="","",G2215*10000)</f>
        <v/>
      </c>
      <c r="I2215" s="174">
        <f>IFERROR(IF(AND(H2215&gt;0,E2215&gt;0),H2215/E2215,""),"")</f>
        <v/>
      </c>
      <c r="J2215" s="152">
        <f>IFERROR(VALUE(SUBSTITUTE(INDEX('04A_국토부원자료'!$A:$T,ROW()+1,MATCH("층",'04A_국토부원자료'!$A$4:$T$4,0)),",","")),"")</f>
        <v/>
      </c>
      <c r="K2215" s="152">
        <f>IFERROR(VALUE(SUBSTITUTE(INDEX('04A_국토부원자료'!$A:$T,ROW()+1,MATCH("건축년도",'04A_국토부원자료'!$A$4:$T$4,0)),",","")),"")</f>
        <v/>
      </c>
      <c r="L2215" s="48">
        <f>IFERROR(INDEX('04A_국토부원자료'!$A:$T,ROW()+1,MATCH("도로명",'04A_국토부원자료'!$A$4:$T$4,0)),"")</f>
        <v/>
      </c>
      <c r="M2215" s="48">
        <f>IFERROR(INDEX('04A_국토부원자료'!$A:$T,ROW()+1,MATCH("거래유형",'04A_국토부원자료'!$A$4:$T$4,0)),"")</f>
        <v/>
      </c>
      <c r="N2215" s="152">
        <f>IF(B2215="","",IF('02_대상물건입력'!B5="",1,IF(ISNUMBER(SEARCH('02_대상물건입력'!B5,B2215)),1,0)))</f>
        <v/>
      </c>
      <c r="O2215" s="152">
        <f>IF(B2215="","",IF('02_대상물건입력'!B6="",1,IF(ISNUMBER(SEARCH('02_대상물건입력'!B6,B2215)),1,0)))</f>
        <v/>
      </c>
      <c r="P2215" s="152">
        <f>IF(L2215="","",IF('02_대상물건입력'!B15="",0,IF(ISNUMBER(SEARCH('02_대상물건입력'!B15,L2215)),1,0)))</f>
        <v/>
      </c>
      <c r="Q2215" s="152">
        <f>IF(OR(C2215="",L2215=""),0,IF(AND(TRIM(C2215)=TRIM(RIGHT(SUBSTITUTE(TRIM('02_대상물건입력'!$B$7)," ",REPT(" ",99)),99)),IF('02_대상물건입력'!B15="",TRUE(),ISNUMBER(SEARCH('02_대상물건입력'!B15,L2215)))),1,0))</f>
        <v/>
      </c>
      <c r="R2215" s="175">
        <f>IFERROR(ABS(E2215-'02_대상물건입력'!B11)/'02_대상물건입력'!B11,"")</f>
        <v/>
      </c>
      <c r="S2215" s="152">
        <f>IFERROR(ABS(J2215-'02_대상물건입력'!B10),"")</f>
        <v/>
      </c>
      <c r="T2215" s="152">
        <f>IFERROR(ABS('01_설정'!B4-F2215),"")</f>
        <v/>
      </c>
      <c r="U2215" s="152">
        <f>IFERROR(ABS(K2215-YEAR('02_대상물건입력'!B14)),"")</f>
        <v/>
      </c>
      <c r="V2215" s="152">
        <f>IF(B2215="","",IF(AND(E2215&gt;0,F2215&gt;0,H2215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2215=1,TRUE()),R2215&lt;='01_설정'!B5,S2215&lt;='01_설정'!B6,T2215&lt;='01_설정'!B7,U2215&lt;='01_설정'!B8),"Y",""))</f>
        <v/>
      </c>
      <c r="W2215" s="172">
        <f>IF(V2215&lt;&gt;"Y","",MAX(0,(1-R2215/'01_설정'!B5))*'01_설정'!B14+MAX(0,(1-S2215/'01_설정'!B6))*'01_설정'!B15+MAX(0,(1-T2215/'01_설정'!B7))*'01_설정'!B16+MAX(0,(1-U2215/'01_설정'!B8))*'01_설정'!B17+O2215*'01_설정'!B11+Q2215*'01_설정'!B12+P2215*'01_설정'!B13+IF(Z2215="",0,Z2215))</f>
        <v/>
      </c>
      <c r="X2215" s="152">
        <f>IF(W2215="","",1+COUNTIFS($W$4:$W$3003,"&gt;"&amp;W2215)+COUNTIFS($W$4:W2215,W2215)-1)</f>
        <v/>
      </c>
      <c r="Y2215" s="175">
        <f>IF(OR(I2215="",'02_대상물건입력'!B19="",'02_대상물건입력'!B19&lt;=0),"",ABS(I2215-'02_대상물건입력'!B19)/'02_대상물건입력'!B19)</f>
        <v/>
      </c>
      <c r="Z2215" s="172">
        <f>IF(OR(Y2215="",'01_설정'!B31="",'01_설정'!B31&lt;=0,'01_설정'!B32="",'01_설정'!B32&lt;=0),"",MAX(0,(1-Y2215/'01_설정'!B32))*'01_설정'!B31)</f>
        <v/>
      </c>
    </row>
    <row r="2216" ht="17.25" customHeight="1">
      <c r="A2216" s="152">
        <f>IF(INDEX('04A_국토부원자료'!$A:$A,ROW()+1)="","",ROW()-3)</f>
        <v/>
      </c>
      <c r="B2216" s="48">
        <f>IFERROR(INDEX('04A_국토부원자료'!$A:$T,ROW()+1,MATCH("시군구",'04A_국토부원자료'!$A$4:$T$4,0)),"")</f>
        <v/>
      </c>
      <c r="C2216" s="48">
        <f>IF(B2216="","",IFERROR(INDEX('04A_국토부원자료'!$A:$T,ROW()+1,MATCH("번지",'04A_국토부원자료'!$A$4:$T$4,0)),""))</f>
        <v/>
      </c>
      <c r="D2216" s="48">
        <f>IF(B2216="","",IF(Q2216=1,'02_대상물건입력'!$B$8,IFERROR(INDEX('04A_국토부원자료'!$A:$T,ROW()+1,MATCH("단지명",'04A_국토부원자료'!$A$4:$T$4,0)),"")))</f>
        <v/>
      </c>
      <c r="E2216" s="172">
        <f>IFERROR(VALUE(SUBSTITUTE(INDEX('04A_국토부원자료'!$A:$T,ROW()+1,MATCH("전용면적(㎡)",'04A_국토부원자료'!$A$4:$T$4,0)),",","")),"")</f>
        <v/>
      </c>
      <c r="F22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16" s="51">
        <f>IFERROR(VALUE(SUBSTITUTE(INDEX('04A_국토부원자료'!$A:$T,ROW()+1,MATCH("거래금액(만원)",'04A_국토부원자료'!$A$4:$T$4,0)),",","")),"")</f>
        <v/>
      </c>
      <c r="H2216" s="174">
        <f>IF(G2216="","",G2216*10000)</f>
        <v/>
      </c>
      <c r="I2216" s="174">
        <f>IFERROR(IF(AND(H2216&gt;0,E2216&gt;0),H2216/E2216,""),"")</f>
        <v/>
      </c>
      <c r="J2216" s="152">
        <f>IFERROR(VALUE(SUBSTITUTE(INDEX('04A_국토부원자료'!$A:$T,ROW()+1,MATCH("층",'04A_국토부원자료'!$A$4:$T$4,0)),",","")),"")</f>
        <v/>
      </c>
      <c r="K2216" s="152">
        <f>IFERROR(VALUE(SUBSTITUTE(INDEX('04A_국토부원자료'!$A:$T,ROW()+1,MATCH("건축년도",'04A_국토부원자료'!$A$4:$T$4,0)),",","")),"")</f>
        <v/>
      </c>
      <c r="L2216" s="48">
        <f>IFERROR(INDEX('04A_국토부원자료'!$A:$T,ROW()+1,MATCH("도로명",'04A_국토부원자료'!$A$4:$T$4,0)),"")</f>
        <v/>
      </c>
      <c r="M2216" s="48">
        <f>IFERROR(INDEX('04A_국토부원자료'!$A:$T,ROW()+1,MATCH("거래유형",'04A_국토부원자료'!$A$4:$T$4,0)),"")</f>
        <v/>
      </c>
      <c r="N2216" s="152">
        <f>IF(B2216="","",IF('02_대상물건입력'!B5="",1,IF(ISNUMBER(SEARCH('02_대상물건입력'!B5,B2216)),1,0)))</f>
        <v/>
      </c>
      <c r="O2216" s="152">
        <f>IF(B2216="","",IF('02_대상물건입력'!B6="",1,IF(ISNUMBER(SEARCH('02_대상물건입력'!B6,B2216)),1,0)))</f>
        <v/>
      </c>
      <c r="P2216" s="152">
        <f>IF(L2216="","",IF('02_대상물건입력'!B15="",0,IF(ISNUMBER(SEARCH('02_대상물건입력'!B15,L2216)),1,0)))</f>
        <v/>
      </c>
      <c r="Q2216" s="152">
        <f>IF(OR(C2216="",L2216=""),0,IF(AND(TRIM(C2216)=TRIM(RIGHT(SUBSTITUTE(TRIM('02_대상물건입력'!$B$7)," ",REPT(" ",99)),99)),IF('02_대상물건입력'!B15="",TRUE(),ISNUMBER(SEARCH('02_대상물건입력'!B15,L2216)))),1,0))</f>
        <v/>
      </c>
      <c r="R2216" s="175">
        <f>IFERROR(ABS(E2216-'02_대상물건입력'!B11)/'02_대상물건입력'!B11,"")</f>
        <v/>
      </c>
      <c r="S2216" s="152">
        <f>IFERROR(ABS(J2216-'02_대상물건입력'!B10),"")</f>
        <v/>
      </c>
      <c r="T2216" s="152">
        <f>IFERROR(ABS('01_설정'!B4-F2216),"")</f>
        <v/>
      </c>
      <c r="U2216" s="152">
        <f>IFERROR(ABS(K2216-YEAR('02_대상물건입력'!B14)),"")</f>
        <v/>
      </c>
      <c r="V2216" s="152">
        <f>IF(B2216="","",IF(AND(E2216&gt;0,F2216&gt;0,H2216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2216=1,TRUE()),R2216&lt;='01_설정'!B5,S2216&lt;='01_설정'!B6,T2216&lt;='01_설정'!B7,U2216&lt;='01_설정'!B8),"Y",""))</f>
        <v/>
      </c>
      <c r="W2216" s="172">
        <f>IF(V2216&lt;&gt;"Y","",MAX(0,(1-R2216/'01_설정'!B5))*'01_설정'!B14+MAX(0,(1-S2216/'01_설정'!B6))*'01_설정'!B15+MAX(0,(1-T2216/'01_설정'!B7))*'01_설정'!B16+MAX(0,(1-U2216/'01_설정'!B8))*'01_설정'!B17+O2216*'01_설정'!B11+Q2216*'01_설정'!B12+P2216*'01_설정'!B13+IF(Z2216="",0,Z2216))</f>
        <v/>
      </c>
      <c r="X2216" s="152">
        <f>IF(W2216="","",1+COUNTIFS($W$4:$W$3003,"&gt;"&amp;W2216)+COUNTIFS($W$4:W2216,W2216)-1)</f>
        <v/>
      </c>
      <c r="Y2216" s="175">
        <f>IF(OR(I2216="",'02_대상물건입력'!B19="",'02_대상물건입력'!B19&lt;=0),"",ABS(I2216-'02_대상물건입력'!B19)/'02_대상물건입력'!B19)</f>
        <v/>
      </c>
      <c r="Z2216" s="172">
        <f>IF(OR(Y2216="",'01_설정'!B31="",'01_설정'!B31&lt;=0,'01_설정'!B32="",'01_설정'!B32&lt;=0),"",MAX(0,(1-Y2216/'01_설정'!B32))*'01_설정'!B31)</f>
        <v/>
      </c>
    </row>
    <row r="2217" ht="17.25" customHeight="1">
      <c r="A2217" s="152">
        <f>IF(INDEX('04A_국토부원자료'!$A:$A,ROW()+1)="","",ROW()-3)</f>
        <v/>
      </c>
      <c r="B2217" s="48">
        <f>IFERROR(INDEX('04A_국토부원자료'!$A:$T,ROW()+1,MATCH("시군구",'04A_국토부원자료'!$A$4:$T$4,0)),"")</f>
        <v/>
      </c>
      <c r="C2217" s="48">
        <f>IF(B2217="","",IFERROR(INDEX('04A_국토부원자료'!$A:$T,ROW()+1,MATCH("번지",'04A_국토부원자료'!$A$4:$T$4,0)),""))</f>
        <v/>
      </c>
      <c r="D2217" s="48">
        <f>IF(B2217="","",IF(Q2217=1,'02_대상물건입력'!$B$8,IFERROR(INDEX('04A_국토부원자료'!$A:$T,ROW()+1,MATCH("단지명",'04A_국토부원자료'!$A$4:$T$4,0)),"")))</f>
        <v/>
      </c>
      <c r="E2217" s="172">
        <f>IFERROR(VALUE(SUBSTITUTE(INDEX('04A_국토부원자료'!$A:$T,ROW()+1,MATCH("전용면적(㎡)",'04A_국토부원자료'!$A$4:$T$4,0)),",","")),"")</f>
        <v/>
      </c>
      <c r="F22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17" s="51">
        <f>IFERROR(VALUE(SUBSTITUTE(INDEX('04A_국토부원자료'!$A:$T,ROW()+1,MATCH("거래금액(만원)",'04A_국토부원자료'!$A$4:$T$4,0)),",","")),"")</f>
        <v/>
      </c>
      <c r="H2217" s="174">
        <f>IF(G2217="","",G2217*10000)</f>
        <v/>
      </c>
      <c r="I2217" s="174">
        <f>IFERROR(IF(AND(H2217&gt;0,E2217&gt;0),H2217/E2217,""),"")</f>
        <v/>
      </c>
      <c r="J2217" s="152">
        <f>IFERROR(VALUE(SUBSTITUTE(INDEX('04A_국토부원자료'!$A:$T,ROW()+1,MATCH("층",'04A_국토부원자료'!$A$4:$T$4,0)),",","")),"")</f>
        <v/>
      </c>
      <c r="K2217" s="152">
        <f>IFERROR(VALUE(SUBSTITUTE(INDEX('04A_국토부원자료'!$A:$T,ROW()+1,MATCH("건축년도",'04A_국토부원자료'!$A$4:$T$4,0)),",","")),"")</f>
        <v/>
      </c>
      <c r="L2217" s="48">
        <f>IFERROR(INDEX('04A_국토부원자료'!$A:$T,ROW()+1,MATCH("도로명",'04A_국토부원자료'!$A$4:$T$4,0)),"")</f>
        <v/>
      </c>
      <c r="M2217" s="48">
        <f>IFERROR(INDEX('04A_국토부원자료'!$A:$T,ROW()+1,MATCH("거래유형",'04A_국토부원자료'!$A$4:$T$4,0)),"")</f>
        <v/>
      </c>
      <c r="N2217" s="152">
        <f>IF(B2217="","",IF('02_대상물건입력'!B5="",1,IF(ISNUMBER(SEARCH('02_대상물건입력'!B5,B2217)),1,0)))</f>
        <v/>
      </c>
      <c r="O2217" s="152">
        <f>IF(B2217="","",IF('02_대상물건입력'!B6="",1,IF(ISNUMBER(SEARCH('02_대상물건입력'!B6,B2217)),1,0)))</f>
        <v/>
      </c>
      <c r="P2217" s="152">
        <f>IF(L2217="","",IF('02_대상물건입력'!B15="",0,IF(ISNUMBER(SEARCH('02_대상물건입력'!B15,L2217)),1,0)))</f>
        <v/>
      </c>
      <c r="Q2217" s="152">
        <f>IF(OR(C2217="",L2217=""),0,IF(AND(TRIM(C2217)=TRIM(RIGHT(SUBSTITUTE(TRIM('02_대상물건입력'!$B$7)," ",REPT(" ",99)),99)),IF('02_대상물건입력'!B15="",TRUE(),ISNUMBER(SEARCH('02_대상물건입력'!B15,L2217)))),1,0))</f>
        <v/>
      </c>
      <c r="R2217" s="175">
        <f>IFERROR(ABS(E2217-'02_대상물건입력'!B11)/'02_대상물건입력'!B11,"")</f>
        <v/>
      </c>
      <c r="S2217" s="152">
        <f>IFERROR(ABS(J2217-'02_대상물건입력'!B10),"")</f>
        <v/>
      </c>
      <c r="T2217" s="152">
        <f>IFERROR(ABS('01_설정'!B4-F2217),"")</f>
        <v/>
      </c>
      <c r="U2217" s="152">
        <f>IFERROR(ABS(K2217-YEAR('02_대상물건입력'!B14)),"")</f>
        <v/>
      </c>
      <c r="V2217" s="152">
        <f>IF(B2217="","",IF(AND(E2217&gt;0,F2217&gt;0,H2217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2217=1,TRUE()),R2217&lt;='01_설정'!B5,S2217&lt;='01_설정'!B6,T2217&lt;='01_설정'!B7,U2217&lt;='01_설정'!B8),"Y",""))</f>
        <v/>
      </c>
      <c r="W2217" s="172">
        <f>IF(V2217&lt;&gt;"Y","",MAX(0,(1-R2217/'01_설정'!B5))*'01_설정'!B14+MAX(0,(1-S2217/'01_설정'!B6))*'01_설정'!B15+MAX(0,(1-T2217/'01_설정'!B7))*'01_설정'!B16+MAX(0,(1-U2217/'01_설정'!B8))*'01_설정'!B17+O2217*'01_설정'!B11+Q2217*'01_설정'!B12+P2217*'01_설정'!B13+IF(Z2217="",0,Z2217))</f>
        <v/>
      </c>
      <c r="X2217" s="152">
        <f>IF(W2217="","",1+COUNTIFS($W$4:$W$3003,"&gt;"&amp;W2217)+COUNTIFS($W$4:W2217,W2217)-1)</f>
        <v/>
      </c>
      <c r="Y2217" s="175">
        <f>IF(OR(I2217="",'02_대상물건입력'!B19="",'02_대상물건입력'!B19&lt;=0),"",ABS(I2217-'02_대상물건입력'!B19)/'02_대상물건입력'!B19)</f>
        <v/>
      </c>
      <c r="Z2217" s="172">
        <f>IF(OR(Y2217="",'01_설정'!B31="",'01_설정'!B31&lt;=0,'01_설정'!B32="",'01_설정'!B32&lt;=0),"",MAX(0,(1-Y2217/'01_설정'!B32))*'01_설정'!B31)</f>
        <v/>
      </c>
    </row>
    <row r="2218" ht="17.25" customHeight="1">
      <c r="A2218" s="152">
        <f>IF(INDEX('04A_국토부원자료'!$A:$A,ROW()+1)="","",ROW()-3)</f>
        <v/>
      </c>
      <c r="B2218" s="48">
        <f>IFERROR(INDEX('04A_국토부원자료'!$A:$T,ROW()+1,MATCH("시군구",'04A_국토부원자료'!$A$4:$T$4,0)),"")</f>
        <v/>
      </c>
      <c r="C2218" s="48">
        <f>IF(B2218="","",IFERROR(INDEX('04A_국토부원자료'!$A:$T,ROW()+1,MATCH("번지",'04A_국토부원자료'!$A$4:$T$4,0)),""))</f>
        <v/>
      </c>
      <c r="D2218" s="48">
        <f>IF(B2218="","",IF(Q2218=1,'02_대상물건입력'!$B$8,IFERROR(INDEX('04A_국토부원자료'!$A:$T,ROW()+1,MATCH("단지명",'04A_국토부원자료'!$A$4:$T$4,0)),"")))</f>
        <v/>
      </c>
      <c r="E2218" s="172">
        <f>IFERROR(VALUE(SUBSTITUTE(INDEX('04A_국토부원자료'!$A:$T,ROW()+1,MATCH("전용면적(㎡)",'04A_국토부원자료'!$A$4:$T$4,0)),",","")),"")</f>
        <v/>
      </c>
      <c r="F22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18" s="51">
        <f>IFERROR(VALUE(SUBSTITUTE(INDEX('04A_국토부원자료'!$A:$T,ROW()+1,MATCH("거래금액(만원)",'04A_국토부원자료'!$A$4:$T$4,0)),",","")),"")</f>
        <v/>
      </c>
      <c r="H2218" s="174">
        <f>IF(G2218="","",G2218*10000)</f>
        <v/>
      </c>
      <c r="I2218" s="174">
        <f>IFERROR(IF(AND(H2218&gt;0,E2218&gt;0),H2218/E2218,""),"")</f>
        <v/>
      </c>
      <c r="J2218" s="152">
        <f>IFERROR(VALUE(SUBSTITUTE(INDEX('04A_국토부원자료'!$A:$T,ROW()+1,MATCH("층",'04A_국토부원자료'!$A$4:$T$4,0)),",","")),"")</f>
        <v/>
      </c>
      <c r="K2218" s="152">
        <f>IFERROR(VALUE(SUBSTITUTE(INDEX('04A_국토부원자료'!$A:$T,ROW()+1,MATCH("건축년도",'04A_국토부원자료'!$A$4:$T$4,0)),",","")),"")</f>
        <v/>
      </c>
      <c r="L2218" s="48">
        <f>IFERROR(INDEX('04A_국토부원자료'!$A:$T,ROW()+1,MATCH("도로명",'04A_국토부원자료'!$A$4:$T$4,0)),"")</f>
        <v/>
      </c>
      <c r="M2218" s="48">
        <f>IFERROR(INDEX('04A_국토부원자료'!$A:$T,ROW()+1,MATCH("거래유형",'04A_국토부원자료'!$A$4:$T$4,0)),"")</f>
        <v/>
      </c>
      <c r="N2218" s="152">
        <f>IF(B2218="","",IF('02_대상물건입력'!B5="",1,IF(ISNUMBER(SEARCH('02_대상물건입력'!B5,B2218)),1,0)))</f>
        <v/>
      </c>
      <c r="O2218" s="152">
        <f>IF(B2218="","",IF('02_대상물건입력'!B6="",1,IF(ISNUMBER(SEARCH('02_대상물건입력'!B6,B2218)),1,0)))</f>
        <v/>
      </c>
      <c r="P2218" s="152">
        <f>IF(L2218="","",IF('02_대상물건입력'!B15="",0,IF(ISNUMBER(SEARCH('02_대상물건입력'!B15,L2218)),1,0)))</f>
        <v/>
      </c>
      <c r="Q2218" s="152">
        <f>IF(OR(C2218="",L2218=""),0,IF(AND(TRIM(C2218)=TRIM(RIGHT(SUBSTITUTE(TRIM('02_대상물건입력'!$B$7)," ",REPT(" ",99)),99)),IF('02_대상물건입력'!B15="",TRUE(),ISNUMBER(SEARCH('02_대상물건입력'!B15,L2218)))),1,0))</f>
        <v/>
      </c>
      <c r="R2218" s="175">
        <f>IFERROR(ABS(E2218-'02_대상물건입력'!B11)/'02_대상물건입력'!B11,"")</f>
        <v/>
      </c>
      <c r="S2218" s="152">
        <f>IFERROR(ABS(J2218-'02_대상물건입력'!B10),"")</f>
        <v/>
      </c>
      <c r="T2218" s="152">
        <f>IFERROR(ABS('01_설정'!B4-F2218),"")</f>
        <v/>
      </c>
      <c r="U2218" s="152">
        <f>IFERROR(ABS(K2218-YEAR('02_대상물건입력'!B14)),"")</f>
        <v/>
      </c>
      <c r="V2218" s="152">
        <f>IF(B2218="","",IF(AND(E2218&gt;0,F2218&gt;0,H2218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2218=1,TRUE()),R2218&lt;='01_설정'!B5,S2218&lt;='01_설정'!B6,T2218&lt;='01_설정'!B7,U2218&lt;='01_설정'!B8),"Y",""))</f>
        <v/>
      </c>
      <c r="W2218" s="172">
        <f>IF(V2218&lt;&gt;"Y","",MAX(0,(1-R2218/'01_설정'!B5))*'01_설정'!B14+MAX(0,(1-S2218/'01_설정'!B6))*'01_설정'!B15+MAX(0,(1-T2218/'01_설정'!B7))*'01_설정'!B16+MAX(0,(1-U2218/'01_설정'!B8))*'01_설정'!B17+O2218*'01_설정'!B11+Q2218*'01_설정'!B12+P2218*'01_설정'!B13+IF(Z2218="",0,Z2218))</f>
        <v/>
      </c>
      <c r="X2218" s="152">
        <f>IF(W2218="","",1+COUNTIFS($W$4:$W$3003,"&gt;"&amp;W2218)+COUNTIFS($W$4:W2218,W2218)-1)</f>
        <v/>
      </c>
      <c r="Y2218" s="175">
        <f>IF(OR(I2218="",'02_대상물건입력'!B19="",'02_대상물건입력'!B19&lt;=0),"",ABS(I2218-'02_대상물건입력'!B19)/'02_대상물건입력'!B19)</f>
        <v/>
      </c>
      <c r="Z2218" s="172">
        <f>IF(OR(Y2218="",'01_설정'!B31="",'01_설정'!B31&lt;=0,'01_설정'!B32="",'01_설정'!B32&lt;=0),"",MAX(0,(1-Y2218/'01_설정'!B32))*'01_설정'!B31)</f>
        <v/>
      </c>
    </row>
    <row r="2219" ht="17.25" customHeight="1">
      <c r="A2219" s="152">
        <f>IF(INDEX('04A_국토부원자료'!$A:$A,ROW()+1)="","",ROW()-3)</f>
        <v/>
      </c>
      <c r="B2219" s="48">
        <f>IFERROR(INDEX('04A_국토부원자료'!$A:$T,ROW()+1,MATCH("시군구",'04A_국토부원자료'!$A$4:$T$4,0)),"")</f>
        <v/>
      </c>
      <c r="C2219" s="48">
        <f>IF(B2219="","",IFERROR(INDEX('04A_국토부원자료'!$A:$T,ROW()+1,MATCH("번지",'04A_국토부원자료'!$A$4:$T$4,0)),""))</f>
        <v/>
      </c>
      <c r="D2219" s="48">
        <f>IF(B2219="","",IF(Q2219=1,'02_대상물건입력'!$B$8,IFERROR(INDEX('04A_국토부원자료'!$A:$T,ROW()+1,MATCH("단지명",'04A_국토부원자료'!$A$4:$T$4,0)),"")))</f>
        <v/>
      </c>
      <c r="E2219" s="172">
        <f>IFERROR(VALUE(SUBSTITUTE(INDEX('04A_국토부원자료'!$A:$T,ROW()+1,MATCH("전용면적(㎡)",'04A_국토부원자료'!$A$4:$T$4,0)),",","")),"")</f>
        <v/>
      </c>
      <c r="F22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19" s="51">
        <f>IFERROR(VALUE(SUBSTITUTE(INDEX('04A_국토부원자료'!$A:$T,ROW()+1,MATCH("거래금액(만원)",'04A_국토부원자료'!$A$4:$T$4,0)),",","")),"")</f>
        <v/>
      </c>
      <c r="H2219" s="174">
        <f>IF(G2219="","",G2219*10000)</f>
        <v/>
      </c>
      <c r="I2219" s="174">
        <f>IFERROR(IF(AND(H2219&gt;0,E2219&gt;0),H2219/E2219,""),"")</f>
        <v/>
      </c>
      <c r="J2219" s="152">
        <f>IFERROR(VALUE(SUBSTITUTE(INDEX('04A_국토부원자료'!$A:$T,ROW()+1,MATCH("층",'04A_국토부원자료'!$A$4:$T$4,0)),",","")),"")</f>
        <v/>
      </c>
      <c r="K2219" s="152">
        <f>IFERROR(VALUE(SUBSTITUTE(INDEX('04A_국토부원자료'!$A:$T,ROW()+1,MATCH("건축년도",'04A_국토부원자료'!$A$4:$T$4,0)),",","")),"")</f>
        <v/>
      </c>
      <c r="L2219" s="48">
        <f>IFERROR(INDEX('04A_국토부원자료'!$A:$T,ROW()+1,MATCH("도로명",'04A_국토부원자료'!$A$4:$T$4,0)),"")</f>
        <v/>
      </c>
      <c r="M2219" s="48">
        <f>IFERROR(INDEX('04A_국토부원자료'!$A:$T,ROW()+1,MATCH("거래유형",'04A_국토부원자료'!$A$4:$T$4,0)),"")</f>
        <v/>
      </c>
      <c r="N2219" s="152">
        <f>IF(B2219="","",IF('02_대상물건입력'!B5="",1,IF(ISNUMBER(SEARCH('02_대상물건입력'!B5,B2219)),1,0)))</f>
        <v/>
      </c>
      <c r="O2219" s="152">
        <f>IF(B2219="","",IF('02_대상물건입력'!B6="",1,IF(ISNUMBER(SEARCH('02_대상물건입력'!B6,B2219)),1,0)))</f>
        <v/>
      </c>
      <c r="P2219" s="152">
        <f>IF(L2219="","",IF('02_대상물건입력'!B15="",0,IF(ISNUMBER(SEARCH('02_대상물건입력'!B15,L2219)),1,0)))</f>
        <v/>
      </c>
      <c r="Q2219" s="152">
        <f>IF(OR(C2219="",L2219=""),0,IF(AND(TRIM(C2219)=TRIM(RIGHT(SUBSTITUTE(TRIM('02_대상물건입력'!$B$7)," ",REPT(" ",99)),99)),IF('02_대상물건입력'!B15="",TRUE(),ISNUMBER(SEARCH('02_대상물건입력'!B15,L2219)))),1,0))</f>
        <v/>
      </c>
      <c r="R2219" s="175">
        <f>IFERROR(ABS(E2219-'02_대상물건입력'!B11)/'02_대상물건입력'!B11,"")</f>
        <v/>
      </c>
      <c r="S2219" s="152">
        <f>IFERROR(ABS(J2219-'02_대상물건입력'!B10),"")</f>
        <v/>
      </c>
      <c r="T2219" s="152">
        <f>IFERROR(ABS('01_설정'!B4-F2219),"")</f>
        <v/>
      </c>
      <c r="U2219" s="152">
        <f>IFERROR(ABS(K2219-YEAR('02_대상물건입력'!B14)),"")</f>
        <v/>
      </c>
      <c r="V2219" s="152">
        <f>IF(B2219="","",IF(AND(E2219&gt;0,F2219&gt;0,H2219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2219=1,TRUE()),R2219&lt;='01_설정'!B5,S2219&lt;='01_설정'!B6,T2219&lt;='01_설정'!B7,U2219&lt;='01_설정'!B8),"Y",""))</f>
        <v/>
      </c>
      <c r="W2219" s="172">
        <f>IF(V2219&lt;&gt;"Y","",MAX(0,(1-R2219/'01_설정'!B5))*'01_설정'!B14+MAX(0,(1-S2219/'01_설정'!B6))*'01_설정'!B15+MAX(0,(1-T2219/'01_설정'!B7))*'01_설정'!B16+MAX(0,(1-U2219/'01_설정'!B8))*'01_설정'!B17+O2219*'01_설정'!B11+Q2219*'01_설정'!B12+P2219*'01_설정'!B13+IF(Z2219="",0,Z2219))</f>
        <v/>
      </c>
      <c r="X2219" s="152">
        <f>IF(W2219="","",1+COUNTIFS($W$4:$W$3003,"&gt;"&amp;W2219)+COUNTIFS($W$4:W2219,W2219)-1)</f>
        <v/>
      </c>
      <c r="Y2219" s="175">
        <f>IF(OR(I2219="",'02_대상물건입력'!B19="",'02_대상물건입력'!B19&lt;=0),"",ABS(I2219-'02_대상물건입력'!B19)/'02_대상물건입력'!B19)</f>
        <v/>
      </c>
      <c r="Z2219" s="172">
        <f>IF(OR(Y2219="",'01_설정'!B31="",'01_설정'!B31&lt;=0,'01_설정'!B32="",'01_설정'!B32&lt;=0),"",MAX(0,(1-Y2219/'01_설정'!B32))*'01_설정'!B31)</f>
        <v/>
      </c>
    </row>
    <row r="2220" ht="17.25" customHeight="1">
      <c r="A2220" s="152">
        <f>IF(INDEX('04A_국토부원자료'!$A:$A,ROW()+1)="","",ROW()-3)</f>
        <v/>
      </c>
      <c r="B2220" s="48">
        <f>IFERROR(INDEX('04A_국토부원자료'!$A:$T,ROW()+1,MATCH("시군구",'04A_국토부원자료'!$A$4:$T$4,0)),"")</f>
        <v/>
      </c>
      <c r="C2220" s="48">
        <f>IF(B2220="","",IFERROR(INDEX('04A_국토부원자료'!$A:$T,ROW()+1,MATCH("번지",'04A_국토부원자료'!$A$4:$T$4,0)),""))</f>
        <v/>
      </c>
      <c r="D2220" s="48">
        <f>IF(B2220="","",IF(Q2220=1,'02_대상물건입력'!$B$8,IFERROR(INDEX('04A_국토부원자료'!$A:$T,ROW()+1,MATCH("단지명",'04A_국토부원자료'!$A$4:$T$4,0)),"")))</f>
        <v/>
      </c>
      <c r="E2220" s="172">
        <f>IFERROR(VALUE(SUBSTITUTE(INDEX('04A_국토부원자료'!$A:$T,ROW()+1,MATCH("전용면적(㎡)",'04A_국토부원자료'!$A$4:$T$4,0)),",","")),"")</f>
        <v/>
      </c>
      <c r="F22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20" s="51">
        <f>IFERROR(VALUE(SUBSTITUTE(INDEX('04A_국토부원자료'!$A:$T,ROW()+1,MATCH("거래금액(만원)",'04A_국토부원자료'!$A$4:$T$4,0)),",","")),"")</f>
        <v/>
      </c>
      <c r="H2220" s="174">
        <f>IF(G2220="","",G2220*10000)</f>
        <v/>
      </c>
      <c r="I2220" s="174">
        <f>IFERROR(IF(AND(H2220&gt;0,E2220&gt;0),H2220/E2220,""),"")</f>
        <v/>
      </c>
      <c r="J2220" s="152">
        <f>IFERROR(VALUE(SUBSTITUTE(INDEX('04A_국토부원자료'!$A:$T,ROW()+1,MATCH("층",'04A_국토부원자료'!$A$4:$T$4,0)),",","")),"")</f>
        <v/>
      </c>
      <c r="K2220" s="152">
        <f>IFERROR(VALUE(SUBSTITUTE(INDEX('04A_국토부원자료'!$A:$T,ROW()+1,MATCH("건축년도",'04A_국토부원자료'!$A$4:$T$4,0)),",","")),"")</f>
        <v/>
      </c>
      <c r="L2220" s="48">
        <f>IFERROR(INDEX('04A_국토부원자료'!$A:$T,ROW()+1,MATCH("도로명",'04A_국토부원자료'!$A$4:$T$4,0)),"")</f>
        <v/>
      </c>
      <c r="M2220" s="48">
        <f>IFERROR(INDEX('04A_국토부원자료'!$A:$T,ROW()+1,MATCH("거래유형",'04A_국토부원자료'!$A$4:$T$4,0)),"")</f>
        <v/>
      </c>
      <c r="N2220" s="152">
        <f>IF(B2220="","",IF('02_대상물건입력'!B5="",1,IF(ISNUMBER(SEARCH('02_대상물건입력'!B5,B2220)),1,0)))</f>
        <v/>
      </c>
      <c r="O2220" s="152">
        <f>IF(B2220="","",IF('02_대상물건입력'!B6="",1,IF(ISNUMBER(SEARCH('02_대상물건입력'!B6,B2220)),1,0)))</f>
        <v/>
      </c>
      <c r="P2220" s="152">
        <f>IF(L2220="","",IF('02_대상물건입력'!B15="",0,IF(ISNUMBER(SEARCH('02_대상물건입력'!B15,L2220)),1,0)))</f>
        <v/>
      </c>
      <c r="Q2220" s="152">
        <f>IF(OR(C2220="",L2220=""),0,IF(AND(TRIM(C2220)=TRIM(RIGHT(SUBSTITUTE(TRIM('02_대상물건입력'!$B$7)," ",REPT(" ",99)),99)),IF('02_대상물건입력'!B15="",TRUE(),ISNUMBER(SEARCH('02_대상물건입력'!B15,L2220)))),1,0))</f>
        <v/>
      </c>
      <c r="R2220" s="175">
        <f>IFERROR(ABS(E2220-'02_대상물건입력'!B11)/'02_대상물건입력'!B11,"")</f>
        <v/>
      </c>
      <c r="S2220" s="152">
        <f>IFERROR(ABS(J2220-'02_대상물건입력'!B10),"")</f>
        <v/>
      </c>
      <c r="T2220" s="152">
        <f>IFERROR(ABS('01_설정'!B4-F2220),"")</f>
        <v/>
      </c>
      <c r="U2220" s="152">
        <f>IFERROR(ABS(K2220-YEAR('02_대상물건입력'!B14)),"")</f>
        <v/>
      </c>
      <c r="V2220" s="152">
        <f>IF(B2220="","",IF(AND(E2220&gt;0,F2220&gt;0,H2220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2220=1,TRUE()),R2220&lt;='01_설정'!B5,S2220&lt;='01_설정'!B6,T2220&lt;='01_설정'!B7,U2220&lt;='01_설정'!B8),"Y",""))</f>
        <v/>
      </c>
      <c r="W2220" s="172">
        <f>IF(V2220&lt;&gt;"Y","",MAX(0,(1-R2220/'01_설정'!B5))*'01_설정'!B14+MAX(0,(1-S2220/'01_설정'!B6))*'01_설정'!B15+MAX(0,(1-T2220/'01_설정'!B7))*'01_설정'!B16+MAX(0,(1-U2220/'01_설정'!B8))*'01_설정'!B17+O2220*'01_설정'!B11+Q2220*'01_설정'!B12+P2220*'01_설정'!B13+IF(Z2220="",0,Z2220))</f>
        <v/>
      </c>
      <c r="X2220" s="152">
        <f>IF(W2220="","",1+COUNTIFS($W$4:$W$3003,"&gt;"&amp;W2220)+COUNTIFS($W$4:W2220,W2220)-1)</f>
        <v/>
      </c>
      <c r="Y2220" s="175">
        <f>IF(OR(I2220="",'02_대상물건입력'!B19="",'02_대상물건입력'!B19&lt;=0),"",ABS(I2220-'02_대상물건입력'!B19)/'02_대상물건입력'!B19)</f>
        <v/>
      </c>
      <c r="Z2220" s="172">
        <f>IF(OR(Y2220="",'01_설정'!B31="",'01_설정'!B31&lt;=0,'01_설정'!B32="",'01_설정'!B32&lt;=0),"",MAX(0,(1-Y2220/'01_설정'!B32))*'01_설정'!B31)</f>
        <v/>
      </c>
    </row>
    <row r="2221" ht="17.25" customHeight="1">
      <c r="A2221" s="152">
        <f>IF(INDEX('04A_국토부원자료'!$A:$A,ROW()+1)="","",ROW()-3)</f>
        <v/>
      </c>
      <c r="B2221" s="48">
        <f>IFERROR(INDEX('04A_국토부원자료'!$A:$T,ROW()+1,MATCH("시군구",'04A_국토부원자료'!$A$4:$T$4,0)),"")</f>
        <v/>
      </c>
      <c r="C2221" s="48">
        <f>IF(B2221="","",IFERROR(INDEX('04A_국토부원자료'!$A:$T,ROW()+1,MATCH("번지",'04A_국토부원자료'!$A$4:$T$4,0)),""))</f>
        <v/>
      </c>
      <c r="D2221" s="48">
        <f>IF(B2221="","",IF(Q2221=1,'02_대상물건입력'!$B$8,IFERROR(INDEX('04A_국토부원자료'!$A:$T,ROW()+1,MATCH("단지명",'04A_국토부원자료'!$A$4:$T$4,0)),"")))</f>
        <v/>
      </c>
      <c r="E2221" s="172">
        <f>IFERROR(VALUE(SUBSTITUTE(INDEX('04A_국토부원자료'!$A:$T,ROW()+1,MATCH("전용면적(㎡)",'04A_국토부원자료'!$A$4:$T$4,0)),",","")),"")</f>
        <v/>
      </c>
      <c r="F22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21" s="51">
        <f>IFERROR(VALUE(SUBSTITUTE(INDEX('04A_국토부원자료'!$A:$T,ROW()+1,MATCH("거래금액(만원)",'04A_국토부원자료'!$A$4:$T$4,0)),",","")),"")</f>
        <v/>
      </c>
      <c r="H2221" s="174">
        <f>IF(G2221="","",G2221*10000)</f>
        <v/>
      </c>
      <c r="I2221" s="174">
        <f>IFERROR(IF(AND(H2221&gt;0,E2221&gt;0),H2221/E2221,""),"")</f>
        <v/>
      </c>
      <c r="J2221" s="152">
        <f>IFERROR(VALUE(SUBSTITUTE(INDEX('04A_국토부원자료'!$A:$T,ROW()+1,MATCH("층",'04A_국토부원자료'!$A$4:$T$4,0)),",","")),"")</f>
        <v/>
      </c>
      <c r="K2221" s="152">
        <f>IFERROR(VALUE(SUBSTITUTE(INDEX('04A_국토부원자료'!$A:$T,ROW()+1,MATCH("건축년도",'04A_국토부원자료'!$A$4:$T$4,0)),",","")),"")</f>
        <v/>
      </c>
      <c r="L2221" s="48">
        <f>IFERROR(INDEX('04A_국토부원자료'!$A:$T,ROW()+1,MATCH("도로명",'04A_국토부원자료'!$A$4:$T$4,0)),"")</f>
        <v/>
      </c>
      <c r="M2221" s="48">
        <f>IFERROR(INDEX('04A_국토부원자료'!$A:$T,ROW()+1,MATCH("거래유형",'04A_국토부원자료'!$A$4:$T$4,0)),"")</f>
        <v/>
      </c>
      <c r="N2221" s="152">
        <f>IF(B2221="","",IF('02_대상물건입력'!B5="",1,IF(ISNUMBER(SEARCH('02_대상물건입력'!B5,B2221)),1,0)))</f>
        <v/>
      </c>
      <c r="O2221" s="152">
        <f>IF(B2221="","",IF('02_대상물건입력'!B6="",1,IF(ISNUMBER(SEARCH('02_대상물건입력'!B6,B2221)),1,0)))</f>
        <v/>
      </c>
      <c r="P2221" s="152">
        <f>IF(L2221="","",IF('02_대상물건입력'!B15="",0,IF(ISNUMBER(SEARCH('02_대상물건입력'!B15,L2221)),1,0)))</f>
        <v/>
      </c>
      <c r="Q2221" s="152">
        <f>IF(OR(C2221="",L2221=""),0,IF(AND(TRIM(C2221)=TRIM(RIGHT(SUBSTITUTE(TRIM('02_대상물건입력'!$B$7)," ",REPT(" ",99)),99)),IF('02_대상물건입력'!B15="",TRUE(),ISNUMBER(SEARCH('02_대상물건입력'!B15,L2221)))),1,0))</f>
        <v/>
      </c>
      <c r="R2221" s="175">
        <f>IFERROR(ABS(E2221-'02_대상물건입력'!B11)/'02_대상물건입력'!B11,"")</f>
        <v/>
      </c>
      <c r="S2221" s="152">
        <f>IFERROR(ABS(J2221-'02_대상물건입력'!B10),"")</f>
        <v/>
      </c>
      <c r="T2221" s="152">
        <f>IFERROR(ABS('01_설정'!B4-F2221),"")</f>
        <v/>
      </c>
      <c r="U2221" s="152">
        <f>IFERROR(ABS(K2221-YEAR('02_대상물건입력'!B14)),"")</f>
        <v/>
      </c>
      <c r="V2221" s="152">
        <f>IF(B2221="","",IF(AND(E2221&gt;0,F2221&gt;0,H2221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2221=1,TRUE()),R2221&lt;='01_설정'!B5,S2221&lt;='01_설정'!B6,T2221&lt;='01_설정'!B7,U2221&lt;='01_설정'!B8),"Y",""))</f>
        <v/>
      </c>
      <c r="W2221" s="172">
        <f>IF(V2221&lt;&gt;"Y","",MAX(0,(1-R2221/'01_설정'!B5))*'01_설정'!B14+MAX(0,(1-S2221/'01_설정'!B6))*'01_설정'!B15+MAX(0,(1-T2221/'01_설정'!B7))*'01_설정'!B16+MAX(0,(1-U2221/'01_설정'!B8))*'01_설정'!B17+O2221*'01_설정'!B11+Q2221*'01_설정'!B12+P2221*'01_설정'!B13+IF(Z2221="",0,Z2221))</f>
        <v/>
      </c>
      <c r="X2221" s="152">
        <f>IF(W2221="","",1+COUNTIFS($W$4:$W$3003,"&gt;"&amp;W2221)+COUNTIFS($W$4:W2221,W2221)-1)</f>
        <v/>
      </c>
      <c r="Y2221" s="175">
        <f>IF(OR(I2221="",'02_대상물건입력'!B19="",'02_대상물건입력'!B19&lt;=0),"",ABS(I2221-'02_대상물건입력'!B19)/'02_대상물건입력'!B19)</f>
        <v/>
      </c>
      <c r="Z2221" s="172">
        <f>IF(OR(Y2221="",'01_설정'!B31="",'01_설정'!B31&lt;=0,'01_설정'!B32="",'01_설정'!B32&lt;=0),"",MAX(0,(1-Y2221/'01_설정'!B32))*'01_설정'!B31)</f>
        <v/>
      </c>
    </row>
    <row r="2222" ht="17.25" customHeight="1">
      <c r="A2222" s="152">
        <f>IF(INDEX('04A_국토부원자료'!$A:$A,ROW()+1)="","",ROW()-3)</f>
        <v/>
      </c>
      <c r="B2222" s="48">
        <f>IFERROR(INDEX('04A_국토부원자료'!$A:$T,ROW()+1,MATCH("시군구",'04A_국토부원자료'!$A$4:$T$4,0)),"")</f>
        <v/>
      </c>
      <c r="C2222" s="48">
        <f>IF(B2222="","",IFERROR(INDEX('04A_국토부원자료'!$A:$T,ROW()+1,MATCH("번지",'04A_국토부원자료'!$A$4:$T$4,0)),""))</f>
        <v/>
      </c>
      <c r="D2222" s="48">
        <f>IF(B2222="","",IF(Q2222=1,'02_대상물건입력'!$B$8,IFERROR(INDEX('04A_국토부원자료'!$A:$T,ROW()+1,MATCH("단지명",'04A_국토부원자료'!$A$4:$T$4,0)),"")))</f>
        <v/>
      </c>
      <c r="E2222" s="172">
        <f>IFERROR(VALUE(SUBSTITUTE(INDEX('04A_국토부원자료'!$A:$T,ROW()+1,MATCH("전용면적(㎡)",'04A_국토부원자료'!$A$4:$T$4,0)),",","")),"")</f>
        <v/>
      </c>
      <c r="F22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22" s="51">
        <f>IFERROR(VALUE(SUBSTITUTE(INDEX('04A_국토부원자료'!$A:$T,ROW()+1,MATCH("거래금액(만원)",'04A_국토부원자료'!$A$4:$T$4,0)),",","")),"")</f>
        <v/>
      </c>
      <c r="H2222" s="174">
        <f>IF(G2222="","",G2222*10000)</f>
        <v/>
      </c>
      <c r="I2222" s="174">
        <f>IFERROR(IF(AND(H2222&gt;0,E2222&gt;0),H2222/E2222,""),"")</f>
        <v/>
      </c>
      <c r="J2222" s="152">
        <f>IFERROR(VALUE(SUBSTITUTE(INDEX('04A_국토부원자료'!$A:$T,ROW()+1,MATCH("층",'04A_국토부원자료'!$A$4:$T$4,0)),",","")),"")</f>
        <v/>
      </c>
      <c r="K2222" s="152">
        <f>IFERROR(VALUE(SUBSTITUTE(INDEX('04A_국토부원자료'!$A:$T,ROW()+1,MATCH("건축년도",'04A_국토부원자료'!$A$4:$T$4,0)),",","")),"")</f>
        <v/>
      </c>
      <c r="L2222" s="48">
        <f>IFERROR(INDEX('04A_국토부원자료'!$A:$T,ROW()+1,MATCH("도로명",'04A_국토부원자료'!$A$4:$T$4,0)),"")</f>
        <v/>
      </c>
      <c r="M2222" s="48">
        <f>IFERROR(INDEX('04A_국토부원자료'!$A:$T,ROW()+1,MATCH("거래유형",'04A_국토부원자료'!$A$4:$T$4,0)),"")</f>
        <v/>
      </c>
      <c r="N2222" s="152">
        <f>IF(B2222="","",IF('02_대상물건입력'!B5="",1,IF(ISNUMBER(SEARCH('02_대상물건입력'!B5,B2222)),1,0)))</f>
        <v/>
      </c>
      <c r="O2222" s="152">
        <f>IF(B2222="","",IF('02_대상물건입력'!B6="",1,IF(ISNUMBER(SEARCH('02_대상물건입력'!B6,B2222)),1,0)))</f>
        <v/>
      </c>
      <c r="P2222" s="152">
        <f>IF(L2222="","",IF('02_대상물건입력'!B15="",0,IF(ISNUMBER(SEARCH('02_대상물건입력'!B15,L2222)),1,0)))</f>
        <v/>
      </c>
      <c r="Q2222" s="152">
        <f>IF(OR(C2222="",L2222=""),0,IF(AND(TRIM(C2222)=TRIM(RIGHT(SUBSTITUTE(TRIM('02_대상물건입력'!$B$7)," ",REPT(" ",99)),99)),IF('02_대상물건입력'!B15="",TRUE(),ISNUMBER(SEARCH('02_대상물건입력'!B15,L2222)))),1,0))</f>
        <v/>
      </c>
      <c r="R2222" s="175">
        <f>IFERROR(ABS(E2222-'02_대상물건입력'!B11)/'02_대상물건입력'!B11,"")</f>
        <v/>
      </c>
      <c r="S2222" s="152">
        <f>IFERROR(ABS(J2222-'02_대상물건입력'!B10),"")</f>
        <v/>
      </c>
      <c r="T2222" s="152">
        <f>IFERROR(ABS('01_설정'!B4-F2222),"")</f>
        <v/>
      </c>
      <c r="U2222" s="152">
        <f>IFERROR(ABS(K2222-YEAR('02_대상물건입력'!B14)),"")</f>
        <v/>
      </c>
      <c r="V2222" s="152">
        <f>IF(B2222="","",IF(AND(E2222&gt;0,F2222&gt;0,H2222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2222=1,TRUE()),R2222&lt;='01_설정'!B5,S2222&lt;='01_설정'!B6,T2222&lt;='01_설정'!B7,U2222&lt;='01_설정'!B8),"Y",""))</f>
        <v/>
      </c>
      <c r="W2222" s="172">
        <f>IF(V2222&lt;&gt;"Y","",MAX(0,(1-R2222/'01_설정'!B5))*'01_설정'!B14+MAX(0,(1-S2222/'01_설정'!B6))*'01_설정'!B15+MAX(0,(1-T2222/'01_설정'!B7))*'01_설정'!B16+MAX(0,(1-U2222/'01_설정'!B8))*'01_설정'!B17+O2222*'01_설정'!B11+Q2222*'01_설정'!B12+P2222*'01_설정'!B13+IF(Z2222="",0,Z2222))</f>
        <v/>
      </c>
      <c r="X2222" s="152">
        <f>IF(W2222="","",1+COUNTIFS($W$4:$W$3003,"&gt;"&amp;W2222)+COUNTIFS($W$4:W2222,W2222)-1)</f>
        <v/>
      </c>
      <c r="Y2222" s="175">
        <f>IF(OR(I2222="",'02_대상물건입력'!B19="",'02_대상물건입력'!B19&lt;=0),"",ABS(I2222-'02_대상물건입력'!B19)/'02_대상물건입력'!B19)</f>
        <v/>
      </c>
      <c r="Z2222" s="172">
        <f>IF(OR(Y2222="",'01_설정'!B31="",'01_설정'!B31&lt;=0,'01_설정'!B32="",'01_설정'!B32&lt;=0),"",MAX(0,(1-Y2222/'01_설정'!B32))*'01_설정'!B31)</f>
        <v/>
      </c>
    </row>
    <row r="2223" ht="17.25" customHeight="1">
      <c r="A2223" s="152">
        <f>IF(INDEX('04A_국토부원자료'!$A:$A,ROW()+1)="","",ROW()-3)</f>
        <v/>
      </c>
      <c r="B2223" s="48">
        <f>IFERROR(INDEX('04A_국토부원자료'!$A:$T,ROW()+1,MATCH("시군구",'04A_국토부원자료'!$A$4:$T$4,0)),"")</f>
        <v/>
      </c>
      <c r="C2223" s="48">
        <f>IF(B2223="","",IFERROR(INDEX('04A_국토부원자료'!$A:$T,ROW()+1,MATCH("번지",'04A_국토부원자료'!$A$4:$T$4,0)),""))</f>
        <v/>
      </c>
      <c r="D2223" s="48">
        <f>IF(B2223="","",IF(Q2223=1,'02_대상물건입력'!$B$8,IFERROR(INDEX('04A_국토부원자료'!$A:$T,ROW()+1,MATCH("단지명",'04A_국토부원자료'!$A$4:$T$4,0)),"")))</f>
        <v/>
      </c>
      <c r="E2223" s="172">
        <f>IFERROR(VALUE(SUBSTITUTE(INDEX('04A_국토부원자료'!$A:$T,ROW()+1,MATCH("전용면적(㎡)",'04A_국토부원자료'!$A$4:$T$4,0)),",","")),"")</f>
        <v/>
      </c>
      <c r="F22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23" s="51">
        <f>IFERROR(VALUE(SUBSTITUTE(INDEX('04A_국토부원자료'!$A:$T,ROW()+1,MATCH("거래금액(만원)",'04A_국토부원자료'!$A$4:$T$4,0)),",","")),"")</f>
        <v/>
      </c>
      <c r="H2223" s="174">
        <f>IF(G2223="","",G2223*10000)</f>
        <v/>
      </c>
      <c r="I2223" s="174">
        <f>IFERROR(IF(AND(H2223&gt;0,E2223&gt;0),H2223/E2223,""),"")</f>
        <v/>
      </c>
      <c r="J2223" s="152">
        <f>IFERROR(VALUE(SUBSTITUTE(INDEX('04A_국토부원자료'!$A:$T,ROW()+1,MATCH("층",'04A_국토부원자료'!$A$4:$T$4,0)),",","")),"")</f>
        <v/>
      </c>
      <c r="K2223" s="152">
        <f>IFERROR(VALUE(SUBSTITUTE(INDEX('04A_국토부원자료'!$A:$T,ROW()+1,MATCH("건축년도",'04A_국토부원자료'!$A$4:$T$4,0)),",","")),"")</f>
        <v/>
      </c>
      <c r="L2223" s="48">
        <f>IFERROR(INDEX('04A_국토부원자료'!$A:$T,ROW()+1,MATCH("도로명",'04A_국토부원자료'!$A$4:$T$4,0)),"")</f>
        <v/>
      </c>
      <c r="M2223" s="48">
        <f>IFERROR(INDEX('04A_국토부원자료'!$A:$T,ROW()+1,MATCH("거래유형",'04A_국토부원자료'!$A$4:$T$4,0)),"")</f>
        <v/>
      </c>
      <c r="N2223" s="152">
        <f>IF(B2223="","",IF('02_대상물건입력'!B5="",1,IF(ISNUMBER(SEARCH('02_대상물건입력'!B5,B2223)),1,0)))</f>
        <v/>
      </c>
      <c r="O2223" s="152">
        <f>IF(B2223="","",IF('02_대상물건입력'!B6="",1,IF(ISNUMBER(SEARCH('02_대상물건입력'!B6,B2223)),1,0)))</f>
        <v/>
      </c>
      <c r="P2223" s="152">
        <f>IF(L2223="","",IF('02_대상물건입력'!B15="",0,IF(ISNUMBER(SEARCH('02_대상물건입력'!B15,L2223)),1,0)))</f>
        <v/>
      </c>
      <c r="Q2223" s="152">
        <f>IF(OR(C2223="",L2223=""),0,IF(AND(TRIM(C2223)=TRIM(RIGHT(SUBSTITUTE(TRIM('02_대상물건입력'!$B$7)," ",REPT(" ",99)),99)),IF('02_대상물건입력'!B15="",TRUE(),ISNUMBER(SEARCH('02_대상물건입력'!B15,L2223)))),1,0))</f>
        <v/>
      </c>
      <c r="R2223" s="175">
        <f>IFERROR(ABS(E2223-'02_대상물건입력'!B11)/'02_대상물건입력'!B11,"")</f>
        <v/>
      </c>
      <c r="S2223" s="152">
        <f>IFERROR(ABS(J2223-'02_대상물건입력'!B10),"")</f>
        <v/>
      </c>
      <c r="T2223" s="152">
        <f>IFERROR(ABS('01_설정'!B4-F2223),"")</f>
        <v/>
      </c>
      <c r="U2223" s="152">
        <f>IFERROR(ABS(K2223-YEAR('02_대상물건입력'!B14)),"")</f>
        <v/>
      </c>
      <c r="V2223" s="152">
        <f>IF(B2223="","",IF(AND(E2223&gt;0,F2223&gt;0,H2223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2223=1,TRUE()),R2223&lt;='01_설정'!B5,S2223&lt;='01_설정'!B6,T2223&lt;='01_설정'!B7,U2223&lt;='01_설정'!B8),"Y",""))</f>
        <v/>
      </c>
      <c r="W2223" s="172">
        <f>IF(V2223&lt;&gt;"Y","",MAX(0,(1-R2223/'01_설정'!B5))*'01_설정'!B14+MAX(0,(1-S2223/'01_설정'!B6))*'01_설정'!B15+MAX(0,(1-T2223/'01_설정'!B7))*'01_설정'!B16+MAX(0,(1-U2223/'01_설정'!B8))*'01_설정'!B17+O2223*'01_설정'!B11+Q2223*'01_설정'!B12+P2223*'01_설정'!B13+IF(Z2223="",0,Z2223))</f>
        <v/>
      </c>
      <c r="X2223" s="152">
        <f>IF(W2223="","",1+COUNTIFS($W$4:$W$3003,"&gt;"&amp;W2223)+COUNTIFS($W$4:W2223,W2223)-1)</f>
        <v/>
      </c>
      <c r="Y2223" s="175">
        <f>IF(OR(I2223="",'02_대상물건입력'!B19="",'02_대상물건입력'!B19&lt;=0),"",ABS(I2223-'02_대상물건입력'!B19)/'02_대상물건입력'!B19)</f>
        <v/>
      </c>
      <c r="Z2223" s="172">
        <f>IF(OR(Y2223="",'01_설정'!B31="",'01_설정'!B31&lt;=0,'01_설정'!B32="",'01_설정'!B32&lt;=0),"",MAX(0,(1-Y2223/'01_설정'!B32))*'01_설정'!B31)</f>
        <v/>
      </c>
    </row>
    <row r="2224" ht="17.25" customHeight="1">
      <c r="A2224" s="152">
        <f>IF(INDEX('04A_국토부원자료'!$A:$A,ROW()+1)="","",ROW()-3)</f>
        <v/>
      </c>
      <c r="B2224" s="48">
        <f>IFERROR(INDEX('04A_국토부원자료'!$A:$T,ROW()+1,MATCH("시군구",'04A_국토부원자료'!$A$4:$T$4,0)),"")</f>
        <v/>
      </c>
      <c r="C2224" s="48">
        <f>IF(B2224="","",IFERROR(INDEX('04A_국토부원자료'!$A:$T,ROW()+1,MATCH("번지",'04A_국토부원자료'!$A$4:$T$4,0)),""))</f>
        <v/>
      </c>
      <c r="D2224" s="48">
        <f>IF(B2224="","",IF(Q2224=1,'02_대상물건입력'!$B$8,IFERROR(INDEX('04A_국토부원자료'!$A:$T,ROW()+1,MATCH("단지명",'04A_국토부원자료'!$A$4:$T$4,0)),"")))</f>
        <v/>
      </c>
      <c r="E2224" s="172">
        <f>IFERROR(VALUE(SUBSTITUTE(INDEX('04A_국토부원자료'!$A:$T,ROW()+1,MATCH("전용면적(㎡)",'04A_국토부원자료'!$A$4:$T$4,0)),",","")),"")</f>
        <v/>
      </c>
      <c r="F22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24" s="51">
        <f>IFERROR(VALUE(SUBSTITUTE(INDEX('04A_국토부원자료'!$A:$T,ROW()+1,MATCH("거래금액(만원)",'04A_국토부원자료'!$A$4:$T$4,0)),",","")),"")</f>
        <v/>
      </c>
      <c r="H2224" s="174">
        <f>IF(G2224="","",G2224*10000)</f>
        <v/>
      </c>
      <c r="I2224" s="174">
        <f>IFERROR(IF(AND(H2224&gt;0,E2224&gt;0),H2224/E2224,""),"")</f>
        <v/>
      </c>
      <c r="J2224" s="152">
        <f>IFERROR(VALUE(SUBSTITUTE(INDEX('04A_국토부원자료'!$A:$T,ROW()+1,MATCH("층",'04A_국토부원자료'!$A$4:$T$4,0)),",","")),"")</f>
        <v/>
      </c>
      <c r="K2224" s="152">
        <f>IFERROR(VALUE(SUBSTITUTE(INDEX('04A_국토부원자료'!$A:$T,ROW()+1,MATCH("건축년도",'04A_국토부원자료'!$A$4:$T$4,0)),",","")),"")</f>
        <v/>
      </c>
      <c r="L2224" s="48">
        <f>IFERROR(INDEX('04A_국토부원자료'!$A:$T,ROW()+1,MATCH("도로명",'04A_국토부원자료'!$A$4:$T$4,0)),"")</f>
        <v/>
      </c>
      <c r="M2224" s="48">
        <f>IFERROR(INDEX('04A_국토부원자료'!$A:$T,ROW()+1,MATCH("거래유형",'04A_국토부원자료'!$A$4:$T$4,0)),"")</f>
        <v/>
      </c>
      <c r="N2224" s="152">
        <f>IF(B2224="","",IF('02_대상물건입력'!B5="",1,IF(ISNUMBER(SEARCH('02_대상물건입력'!B5,B2224)),1,0)))</f>
        <v/>
      </c>
      <c r="O2224" s="152">
        <f>IF(B2224="","",IF('02_대상물건입력'!B6="",1,IF(ISNUMBER(SEARCH('02_대상물건입력'!B6,B2224)),1,0)))</f>
        <v/>
      </c>
      <c r="P2224" s="152">
        <f>IF(L2224="","",IF('02_대상물건입력'!B15="",0,IF(ISNUMBER(SEARCH('02_대상물건입력'!B15,L2224)),1,0)))</f>
        <v/>
      </c>
      <c r="Q2224" s="152">
        <f>IF(OR(C2224="",L2224=""),0,IF(AND(TRIM(C2224)=TRIM(RIGHT(SUBSTITUTE(TRIM('02_대상물건입력'!$B$7)," ",REPT(" ",99)),99)),IF('02_대상물건입력'!B15="",TRUE(),ISNUMBER(SEARCH('02_대상물건입력'!B15,L2224)))),1,0))</f>
        <v/>
      </c>
      <c r="R2224" s="175">
        <f>IFERROR(ABS(E2224-'02_대상물건입력'!B11)/'02_대상물건입력'!B11,"")</f>
        <v/>
      </c>
      <c r="S2224" s="152">
        <f>IFERROR(ABS(J2224-'02_대상물건입력'!B10),"")</f>
        <v/>
      </c>
      <c r="T2224" s="152">
        <f>IFERROR(ABS('01_설정'!B4-F2224),"")</f>
        <v/>
      </c>
      <c r="U2224" s="152">
        <f>IFERROR(ABS(K2224-YEAR('02_대상물건입력'!B14)),"")</f>
        <v/>
      </c>
      <c r="V2224" s="152">
        <f>IF(B2224="","",IF(AND(E2224&gt;0,F2224&gt;0,H2224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2224=1,TRUE()),R2224&lt;='01_설정'!B5,S2224&lt;='01_설정'!B6,T2224&lt;='01_설정'!B7,U2224&lt;='01_설정'!B8),"Y",""))</f>
        <v/>
      </c>
      <c r="W2224" s="172">
        <f>IF(V2224&lt;&gt;"Y","",MAX(0,(1-R2224/'01_설정'!B5))*'01_설정'!B14+MAX(0,(1-S2224/'01_설정'!B6))*'01_설정'!B15+MAX(0,(1-T2224/'01_설정'!B7))*'01_설정'!B16+MAX(0,(1-U2224/'01_설정'!B8))*'01_설정'!B17+O2224*'01_설정'!B11+Q2224*'01_설정'!B12+P2224*'01_설정'!B13+IF(Z2224="",0,Z2224))</f>
        <v/>
      </c>
      <c r="X2224" s="152">
        <f>IF(W2224="","",1+COUNTIFS($W$4:$W$3003,"&gt;"&amp;W2224)+COUNTIFS($W$4:W2224,W2224)-1)</f>
        <v/>
      </c>
      <c r="Y2224" s="175">
        <f>IF(OR(I2224="",'02_대상물건입력'!B19="",'02_대상물건입력'!B19&lt;=0),"",ABS(I2224-'02_대상물건입력'!B19)/'02_대상물건입력'!B19)</f>
        <v/>
      </c>
      <c r="Z2224" s="172">
        <f>IF(OR(Y2224="",'01_설정'!B31="",'01_설정'!B31&lt;=0,'01_설정'!B32="",'01_설정'!B32&lt;=0),"",MAX(0,(1-Y2224/'01_설정'!B32))*'01_설정'!B31)</f>
        <v/>
      </c>
    </row>
    <row r="2225" ht="17.25" customHeight="1">
      <c r="A2225" s="152">
        <f>IF(INDEX('04A_국토부원자료'!$A:$A,ROW()+1)="","",ROW()-3)</f>
        <v/>
      </c>
      <c r="B2225" s="48">
        <f>IFERROR(INDEX('04A_국토부원자료'!$A:$T,ROW()+1,MATCH("시군구",'04A_국토부원자료'!$A$4:$T$4,0)),"")</f>
        <v/>
      </c>
      <c r="C2225" s="48">
        <f>IF(B2225="","",IFERROR(INDEX('04A_국토부원자료'!$A:$T,ROW()+1,MATCH("번지",'04A_국토부원자료'!$A$4:$T$4,0)),""))</f>
        <v/>
      </c>
      <c r="D2225" s="48">
        <f>IF(B2225="","",IF(Q2225=1,'02_대상물건입력'!$B$8,IFERROR(INDEX('04A_국토부원자료'!$A:$T,ROW()+1,MATCH("단지명",'04A_국토부원자료'!$A$4:$T$4,0)),"")))</f>
        <v/>
      </c>
      <c r="E2225" s="172">
        <f>IFERROR(VALUE(SUBSTITUTE(INDEX('04A_국토부원자료'!$A:$T,ROW()+1,MATCH("전용면적(㎡)",'04A_국토부원자료'!$A$4:$T$4,0)),",","")),"")</f>
        <v/>
      </c>
      <c r="F22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25" s="51">
        <f>IFERROR(VALUE(SUBSTITUTE(INDEX('04A_국토부원자료'!$A:$T,ROW()+1,MATCH("거래금액(만원)",'04A_국토부원자료'!$A$4:$T$4,0)),",","")),"")</f>
        <v/>
      </c>
      <c r="H2225" s="174">
        <f>IF(G2225="","",G2225*10000)</f>
        <v/>
      </c>
      <c r="I2225" s="174">
        <f>IFERROR(IF(AND(H2225&gt;0,E2225&gt;0),H2225/E2225,""),"")</f>
        <v/>
      </c>
      <c r="J2225" s="152">
        <f>IFERROR(VALUE(SUBSTITUTE(INDEX('04A_국토부원자료'!$A:$T,ROW()+1,MATCH("층",'04A_국토부원자료'!$A$4:$T$4,0)),",","")),"")</f>
        <v/>
      </c>
      <c r="K2225" s="152">
        <f>IFERROR(VALUE(SUBSTITUTE(INDEX('04A_국토부원자료'!$A:$T,ROW()+1,MATCH("건축년도",'04A_국토부원자료'!$A$4:$T$4,0)),",","")),"")</f>
        <v/>
      </c>
      <c r="L2225" s="48">
        <f>IFERROR(INDEX('04A_국토부원자료'!$A:$T,ROW()+1,MATCH("도로명",'04A_국토부원자료'!$A$4:$T$4,0)),"")</f>
        <v/>
      </c>
      <c r="M2225" s="48">
        <f>IFERROR(INDEX('04A_국토부원자료'!$A:$T,ROW()+1,MATCH("거래유형",'04A_국토부원자료'!$A$4:$T$4,0)),"")</f>
        <v/>
      </c>
      <c r="N2225" s="152">
        <f>IF(B2225="","",IF('02_대상물건입력'!B5="",1,IF(ISNUMBER(SEARCH('02_대상물건입력'!B5,B2225)),1,0)))</f>
        <v/>
      </c>
      <c r="O2225" s="152">
        <f>IF(B2225="","",IF('02_대상물건입력'!B6="",1,IF(ISNUMBER(SEARCH('02_대상물건입력'!B6,B2225)),1,0)))</f>
        <v/>
      </c>
      <c r="P2225" s="152">
        <f>IF(L2225="","",IF('02_대상물건입력'!B15="",0,IF(ISNUMBER(SEARCH('02_대상물건입력'!B15,L2225)),1,0)))</f>
        <v/>
      </c>
      <c r="Q2225" s="152">
        <f>IF(OR(C2225="",L2225=""),0,IF(AND(TRIM(C2225)=TRIM(RIGHT(SUBSTITUTE(TRIM('02_대상물건입력'!$B$7)," ",REPT(" ",99)),99)),IF('02_대상물건입력'!B15="",TRUE(),ISNUMBER(SEARCH('02_대상물건입력'!B15,L2225)))),1,0))</f>
        <v/>
      </c>
      <c r="R2225" s="175">
        <f>IFERROR(ABS(E2225-'02_대상물건입력'!B11)/'02_대상물건입력'!B11,"")</f>
        <v/>
      </c>
      <c r="S2225" s="152">
        <f>IFERROR(ABS(J2225-'02_대상물건입력'!B10),"")</f>
        <v/>
      </c>
      <c r="T2225" s="152">
        <f>IFERROR(ABS('01_설정'!B4-F2225),"")</f>
        <v/>
      </c>
      <c r="U2225" s="152">
        <f>IFERROR(ABS(K2225-YEAR('02_대상물건입력'!B14)),"")</f>
        <v/>
      </c>
      <c r="V2225" s="152">
        <f>IF(B2225="","",IF(AND(E2225&gt;0,F2225&gt;0,H2225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2225=1,TRUE()),R2225&lt;='01_설정'!B5,S2225&lt;='01_설정'!B6,T2225&lt;='01_설정'!B7,U2225&lt;='01_설정'!B8),"Y",""))</f>
        <v/>
      </c>
      <c r="W2225" s="172">
        <f>IF(V2225&lt;&gt;"Y","",MAX(0,(1-R2225/'01_설정'!B5))*'01_설정'!B14+MAX(0,(1-S2225/'01_설정'!B6))*'01_설정'!B15+MAX(0,(1-T2225/'01_설정'!B7))*'01_설정'!B16+MAX(0,(1-U2225/'01_설정'!B8))*'01_설정'!B17+O2225*'01_설정'!B11+Q2225*'01_설정'!B12+P2225*'01_설정'!B13+IF(Z2225="",0,Z2225))</f>
        <v/>
      </c>
      <c r="X2225" s="152">
        <f>IF(W2225="","",1+COUNTIFS($W$4:$W$3003,"&gt;"&amp;W2225)+COUNTIFS($W$4:W2225,W2225)-1)</f>
        <v/>
      </c>
      <c r="Y2225" s="175">
        <f>IF(OR(I2225="",'02_대상물건입력'!B19="",'02_대상물건입력'!B19&lt;=0),"",ABS(I2225-'02_대상물건입력'!B19)/'02_대상물건입력'!B19)</f>
        <v/>
      </c>
      <c r="Z2225" s="172">
        <f>IF(OR(Y2225="",'01_설정'!B31="",'01_설정'!B31&lt;=0,'01_설정'!B32="",'01_설정'!B32&lt;=0),"",MAX(0,(1-Y2225/'01_설정'!B32))*'01_설정'!B31)</f>
        <v/>
      </c>
    </row>
    <row r="2226" ht="17.25" customHeight="1">
      <c r="A2226" s="152">
        <f>IF(INDEX('04A_국토부원자료'!$A:$A,ROW()+1)="","",ROW()-3)</f>
        <v/>
      </c>
      <c r="B2226" s="48">
        <f>IFERROR(INDEX('04A_국토부원자료'!$A:$T,ROW()+1,MATCH("시군구",'04A_국토부원자료'!$A$4:$T$4,0)),"")</f>
        <v/>
      </c>
      <c r="C2226" s="48">
        <f>IF(B2226="","",IFERROR(INDEX('04A_국토부원자료'!$A:$T,ROW()+1,MATCH("번지",'04A_국토부원자료'!$A$4:$T$4,0)),""))</f>
        <v/>
      </c>
      <c r="D2226" s="48">
        <f>IF(B2226="","",IF(Q2226=1,'02_대상물건입력'!$B$8,IFERROR(INDEX('04A_국토부원자료'!$A:$T,ROW()+1,MATCH("단지명",'04A_국토부원자료'!$A$4:$T$4,0)),"")))</f>
        <v/>
      </c>
      <c r="E2226" s="172">
        <f>IFERROR(VALUE(SUBSTITUTE(INDEX('04A_국토부원자료'!$A:$T,ROW()+1,MATCH("전용면적(㎡)",'04A_국토부원자료'!$A$4:$T$4,0)),",","")),"")</f>
        <v/>
      </c>
      <c r="F22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26" s="51">
        <f>IFERROR(VALUE(SUBSTITUTE(INDEX('04A_국토부원자료'!$A:$T,ROW()+1,MATCH("거래금액(만원)",'04A_국토부원자료'!$A$4:$T$4,0)),",","")),"")</f>
        <v/>
      </c>
      <c r="H2226" s="174">
        <f>IF(G2226="","",G2226*10000)</f>
        <v/>
      </c>
      <c r="I2226" s="174">
        <f>IFERROR(IF(AND(H2226&gt;0,E2226&gt;0),H2226/E2226,""),"")</f>
        <v/>
      </c>
      <c r="J2226" s="152">
        <f>IFERROR(VALUE(SUBSTITUTE(INDEX('04A_국토부원자료'!$A:$T,ROW()+1,MATCH("층",'04A_국토부원자료'!$A$4:$T$4,0)),",","")),"")</f>
        <v/>
      </c>
      <c r="K2226" s="152">
        <f>IFERROR(VALUE(SUBSTITUTE(INDEX('04A_국토부원자료'!$A:$T,ROW()+1,MATCH("건축년도",'04A_국토부원자료'!$A$4:$T$4,0)),",","")),"")</f>
        <v/>
      </c>
      <c r="L2226" s="48">
        <f>IFERROR(INDEX('04A_국토부원자료'!$A:$T,ROW()+1,MATCH("도로명",'04A_국토부원자료'!$A$4:$T$4,0)),"")</f>
        <v/>
      </c>
      <c r="M2226" s="48">
        <f>IFERROR(INDEX('04A_국토부원자료'!$A:$T,ROW()+1,MATCH("거래유형",'04A_국토부원자료'!$A$4:$T$4,0)),"")</f>
        <v/>
      </c>
      <c r="N2226" s="152">
        <f>IF(B2226="","",IF('02_대상물건입력'!B5="",1,IF(ISNUMBER(SEARCH('02_대상물건입력'!B5,B2226)),1,0)))</f>
        <v/>
      </c>
      <c r="O2226" s="152">
        <f>IF(B2226="","",IF('02_대상물건입력'!B6="",1,IF(ISNUMBER(SEARCH('02_대상물건입력'!B6,B2226)),1,0)))</f>
        <v/>
      </c>
      <c r="P2226" s="152">
        <f>IF(L2226="","",IF('02_대상물건입력'!B15="",0,IF(ISNUMBER(SEARCH('02_대상물건입력'!B15,L2226)),1,0)))</f>
        <v/>
      </c>
      <c r="Q2226" s="152">
        <f>IF(OR(C2226="",L2226=""),0,IF(AND(TRIM(C2226)=TRIM(RIGHT(SUBSTITUTE(TRIM('02_대상물건입력'!$B$7)," ",REPT(" ",99)),99)),IF('02_대상물건입력'!B15="",TRUE(),ISNUMBER(SEARCH('02_대상물건입력'!B15,L2226)))),1,0))</f>
        <v/>
      </c>
      <c r="R2226" s="175">
        <f>IFERROR(ABS(E2226-'02_대상물건입력'!B11)/'02_대상물건입력'!B11,"")</f>
        <v/>
      </c>
      <c r="S2226" s="152">
        <f>IFERROR(ABS(J2226-'02_대상물건입력'!B10),"")</f>
        <v/>
      </c>
      <c r="T2226" s="152">
        <f>IFERROR(ABS('01_설정'!B4-F2226),"")</f>
        <v/>
      </c>
      <c r="U2226" s="152">
        <f>IFERROR(ABS(K2226-YEAR('02_대상물건입력'!B14)),"")</f>
        <v/>
      </c>
      <c r="V2226" s="152">
        <f>IF(B2226="","",IF(AND(E2226&gt;0,F2226&gt;0,H2226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2226=1,TRUE()),R2226&lt;='01_설정'!B5,S2226&lt;='01_설정'!B6,T2226&lt;='01_설정'!B7,U2226&lt;='01_설정'!B8),"Y",""))</f>
        <v/>
      </c>
      <c r="W2226" s="172">
        <f>IF(V2226&lt;&gt;"Y","",MAX(0,(1-R2226/'01_설정'!B5))*'01_설정'!B14+MAX(0,(1-S2226/'01_설정'!B6))*'01_설정'!B15+MAX(0,(1-T2226/'01_설정'!B7))*'01_설정'!B16+MAX(0,(1-U2226/'01_설정'!B8))*'01_설정'!B17+O2226*'01_설정'!B11+Q2226*'01_설정'!B12+P2226*'01_설정'!B13+IF(Z2226="",0,Z2226))</f>
        <v/>
      </c>
      <c r="X2226" s="152">
        <f>IF(W2226="","",1+COUNTIFS($W$4:$W$3003,"&gt;"&amp;W2226)+COUNTIFS($W$4:W2226,W2226)-1)</f>
        <v/>
      </c>
      <c r="Y2226" s="175">
        <f>IF(OR(I2226="",'02_대상물건입력'!B19="",'02_대상물건입력'!B19&lt;=0),"",ABS(I2226-'02_대상물건입력'!B19)/'02_대상물건입력'!B19)</f>
        <v/>
      </c>
      <c r="Z2226" s="172">
        <f>IF(OR(Y2226="",'01_설정'!B31="",'01_설정'!B31&lt;=0,'01_설정'!B32="",'01_설정'!B32&lt;=0),"",MAX(0,(1-Y2226/'01_설정'!B32))*'01_설정'!B31)</f>
        <v/>
      </c>
    </row>
    <row r="2227" ht="17.25" customHeight="1">
      <c r="A2227" s="152">
        <f>IF(INDEX('04A_국토부원자료'!$A:$A,ROW()+1)="","",ROW()-3)</f>
        <v/>
      </c>
      <c r="B2227" s="48">
        <f>IFERROR(INDEX('04A_국토부원자료'!$A:$T,ROW()+1,MATCH("시군구",'04A_국토부원자료'!$A$4:$T$4,0)),"")</f>
        <v/>
      </c>
      <c r="C2227" s="48">
        <f>IF(B2227="","",IFERROR(INDEX('04A_국토부원자료'!$A:$T,ROW()+1,MATCH("번지",'04A_국토부원자료'!$A$4:$T$4,0)),""))</f>
        <v/>
      </c>
      <c r="D2227" s="48">
        <f>IF(B2227="","",IF(Q2227=1,'02_대상물건입력'!$B$8,IFERROR(INDEX('04A_국토부원자료'!$A:$T,ROW()+1,MATCH("단지명",'04A_국토부원자료'!$A$4:$T$4,0)),"")))</f>
        <v/>
      </c>
      <c r="E2227" s="172">
        <f>IFERROR(VALUE(SUBSTITUTE(INDEX('04A_국토부원자료'!$A:$T,ROW()+1,MATCH("전용면적(㎡)",'04A_국토부원자료'!$A$4:$T$4,0)),",","")),"")</f>
        <v/>
      </c>
      <c r="F22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27" s="51">
        <f>IFERROR(VALUE(SUBSTITUTE(INDEX('04A_국토부원자료'!$A:$T,ROW()+1,MATCH("거래금액(만원)",'04A_국토부원자료'!$A$4:$T$4,0)),",","")),"")</f>
        <v/>
      </c>
      <c r="H2227" s="174">
        <f>IF(G2227="","",G2227*10000)</f>
        <v/>
      </c>
      <c r="I2227" s="174">
        <f>IFERROR(IF(AND(H2227&gt;0,E2227&gt;0),H2227/E2227,""),"")</f>
        <v/>
      </c>
      <c r="J2227" s="152">
        <f>IFERROR(VALUE(SUBSTITUTE(INDEX('04A_국토부원자료'!$A:$T,ROW()+1,MATCH("층",'04A_국토부원자료'!$A$4:$T$4,0)),",","")),"")</f>
        <v/>
      </c>
      <c r="K2227" s="152">
        <f>IFERROR(VALUE(SUBSTITUTE(INDEX('04A_국토부원자료'!$A:$T,ROW()+1,MATCH("건축년도",'04A_국토부원자료'!$A$4:$T$4,0)),",","")),"")</f>
        <v/>
      </c>
      <c r="L2227" s="48">
        <f>IFERROR(INDEX('04A_국토부원자료'!$A:$T,ROW()+1,MATCH("도로명",'04A_국토부원자료'!$A$4:$T$4,0)),"")</f>
        <v/>
      </c>
      <c r="M2227" s="48">
        <f>IFERROR(INDEX('04A_국토부원자료'!$A:$T,ROW()+1,MATCH("거래유형",'04A_국토부원자료'!$A$4:$T$4,0)),"")</f>
        <v/>
      </c>
      <c r="N2227" s="152">
        <f>IF(B2227="","",IF('02_대상물건입력'!B5="",1,IF(ISNUMBER(SEARCH('02_대상물건입력'!B5,B2227)),1,0)))</f>
        <v/>
      </c>
      <c r="O2227" s="152">
        <f>IF(B2227="","",IF('02_대상물건입력'!B6="",1,IF(ISNUMBER(SEARCH('02_대상물건입력'!B6,B2227)),1,0)))</f>
        <v/>
      </c>
      <c r="P2227" s="152">
        <f>IF(L2227="","",IF('02_대상물건입력'!B15="",0,IF(ISNUMBER(SEARCH('02_대상물건입력'!B15,L2227)),1,0)))</f>
        <v/>
      </c>
      <c r="Q2227" s="152">
        <f>IF(OR(C2227="",L2227=""),0,IF(AND(TRIM(C2227)=TRIM(RIGHT(SUBSTITUTE(TRIM('02_대상물건입력'!$B$7)," ",REPT(" ",99)),99)),IF('02_대상물건입력'!B15="",TRUE(),ISNUMBER(SEARCH('02_대상물건입력'!B15,L2227)))),1,0))</f>
        <v/>
      </c>
      <c r="R2227" s="175">
        <f>IFERROR(ABS(E2227-'02_대상물건입력'!B11)/'02_대상물건입력'!B11,"")</f>
        <v/>
      </c>
      <c r="S2227" s="152">
        <f>IFERROR(ABS(J2227-'02_대상물건입력'!B10),"")</f>
        <v/>
      </c>
      <c r="T2227" s="152">
        <f>IFERROR(ABS('01_설정'!B4-F2227),"")</f>
        <v/>
      </c>
      <c r="U2227" s="152">
        <f>IFERROR(ABS(K2227-YEAR('02_대상물건입력'!B14)),"")</f>
        <v/>
      </c>
      <c r="V2227" s="152">
        <f>IF(B2227="","",IF(AND(E2227&gt;0,F2227&gt;0,H2227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2227=1,TRUE()),R2227&lt;='01_설정'!B5,S2227&lt;='01_설정'!B6,T2227&lt;='01_설정'!B7,U2227&lt;='01_설정'!B8),"Y",""))</f>
        <v/>
      </c>
      <c r="W2227" s="172">
        <f>IF(V2227&lt;&gt;"Y","",MAX(0,(1-R2227/'01_설정'!B5))*'01_설정'!B14+MAX(0,(1-S2227/'01_설정'!B6))*'01_설정'!B15+MAX(0,(1-T2227/'01_설정'!B7))*'01_설정'!B16+MAX(0,(1-U2227/'01_설정'!B8))*'01_설정'!B17+O2227*'01_설정'!B11+Q2227*'01_설정'!B12+P2227*'01_설정'!B13+IF(Z2227="",0,Z2227))</f>
        <v/>
      </c>
      <c r="X2227" s="152">
        <f>IF(W2227="","",1+COUNTIFS($W$4:$W$3003,"&gt;"&amp;W2227)+COUNTIFS($W$4:W2227,W2227)-1)</f>
        <v/>
      </c>
      <c r="Y2227" s="175">
        <f>IF(OR(I2227="",'02_대상물건입력'!B19="",'02_대상물건입력'!B19&lt;=0),"",ABS(I2227-'02_대상물건입력'!B19)/'02_대상물건입력'!B19)</f>
        <v/>
      </c>
      <c r="Z2227" s="172">
        <f>IF(OR(Y2227="",'01_설정'!B31="",'01_설정'!B31&lt;=0,'01_설정'!B32="",'01_설정'!B32&lt;=0),"",MAX(0,(1-Y2227/'01_설정'!B32))*'01_설정'!B31)</f>
        <v/>
      </c>
    </row>
    <row r="2228" ht="17.25" customHeight="1">
      <c r="A2228" s="152">
        <f>IF(INDEX('04A_국토부원자료'!$A:$A,ROW()+1)="","",ROW()-3)</f>
        <v/>
      </c>
      <c r="B2228" s="48">
        <f>IFERROR(INDEX('04A_국토부원자료'!$A:$T,ROW()+1,MATCH("시군구",'04A_국토부원자료'!$A$4:$T$4,0)),"")</f>
        <v/>
      </c>
      <c r="C2228" s="48">
        <f>IF(B2228="","",IFERROR(INDEX('04A_국토부원자료'!$A:$T,ROW()+1,MATCH("번지",'04A_국토부원자료'!$A$4:$T$4,0)),""))</f>
        <v/>
      </c>
      <c r="D2228" s="48">
        <f>IF(B2228="","",IF(Q2228=1,'02_대상물건입력'!$B$8,IFERROR(INDEX('04A_국토부원자료'!$A:$T,ROW()+1,MATCH("단지명",'04A_국토부원자료'!$A$4:$T$4,0)),"")))</f>
        <v/>
      </c>
      <c r="E2228" s="172">
        <f>IFERROR(VALUE(SUBSTITUTE(INDEX('04A_국토부원자료'!$A:$T,ROW()+1,MATCH("전용면적(㎡)",'04A_국토부원자료'!$A$4:$T$4,0)),",","")),"")</f>
        <v/>
      </c>
      <c r="F22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28" s="51">
        <f>IFERROR(VALUE(SUBSTITUTE(INDEX('04A_국토부원자료'!$A:$T,ROW()+1,MATCH("거래금액(만원)",'04A_국토부원자료'!$A$4:$T$4,0)),",","")),"")</f>
        <v/>
      </c>
      <c r="H2228" s="174">
        <f>IF(G2228="","",G2228*10000)</f>
        <v/>
      </c>
      <c r="I2228" s="174">
        <f>IFERROR(IF(AND(H2228&gt;0,E2228&gt;0),H2228/E2228,""),"")</f>
        <v/>
      </c>
      <c r="J2228" s="152">
        <f>IFERROR(VALUE(SUBSTITUTE(INDEX('04A_국토부원자료'!$A:$T,ROW()+1,MATCH("층",'04A_국토부원자료'!$A$4:$T$4,0)),",","")),"")</f>
        <v/>
      </c>
      <c r="K2228" s="152">
        <f>IFERROR(VALUE(SUBSTITUTE(INDEX('04A_국토부원자료'!$A:$T,ROW()+1,MATCH("건축년도",'04A_국토부원자료'!$A$4:$T$4,0)),",","")),"")</f>
        <v/>
      </c>
      <c r="L2228" s="48">
        <f>IFERROR(INDEX('04A_국토부원자료'!$A:$T,ROW()+1,MATCH("도로명",'04A_국토부원자료'!$A$4:$T$4,0)),"")</f>
        <v/>
      </c>
      <c r="M2228" s="48">
        <f>IFERROR(INDEX('04A_국토부원자료'!$A:$T,ROW()+1,MATCH("거래유형",'04A_국토부원자료'!$A$4:$T$4,0)),"")</f>
        <v/>
      </c>
      <c r="N2228" s="152">
        <f>IF(B2228="","",IF('02_대상물건입력'!B5="",1,IF(ISNUMBER(SEARCH('02_대상물건입력'!B5,B2228)),1,0)))</f>
        <v/>
      </c>
      <c r="O2228" s="152">
        <f>IF(B2228="","",IF('02_대상물건입력'!B6="",1,IF(ISNUMBER(SEARCH('02_대상물건입력'!B6,B2228)),1,0)))</f>
        <v/>
      </c>
      <c r="P2228" s="152">
        <f>IF(L2228="","",IF('02_대상물건입력'!B15="",0,IF(ISNUMBER(SEARCH('02_대상물건입력'!B15,L2228)),1,0)))</f>
        <v/>
      </c>
      <c r="Q2228" s="152">
        <f>IF(OR(C2228="",L2228=""),0,IF(AND(TRIM(C2228)=TRIM(RIGHT(SUBSTITUTE(TRIM('02_대상물건입력'!$B$7)," ",REPT(" ",99)),99)),IF('02_대상물건입력'!B15="",TRUE(),ISNUMBER(SEARCH('02_대상물건입력'!B15,L2228)))),1,0))</f>
        <v/>
      </c>
      <c r="R2228" s="175">
        <f>IFERROR(ABS(E2228-'02_대상물건입력'!B11)/'02_대상물건입력'!B11,"")</f>
        <v/>
      </c>
      <c r="S2228" s="152">
        <f>IFERROR(ABS(J2228-'02_대상물건입력'!B10),"")</f>
        <v/>
      </c>
      <c r="T2228" s="152">
        <f>IFERROR(ABS('01_설정'!B4-F2228),"")</f>
        <v/>
      </c>
      <c r="U2228" s="152">
        <f>IFERROR(ABS(K2228-YEAR('02_대상물건입력'!B14)),"")</f>
        <v/>
      </c>
      <c r="V2228" s="152">
        <f>IF(B2228="","",IF(AND(E2228&gt;0,F2228&gt;0,H2228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2228=1,TRUE()),R2228&lt;='01_설정'!B5,S2228&lt;='01_설정'!B6,T2228&lt;='01_설정'!B7,U2228&lt;='01_설정'!B8),"Y",""))</f>
        <v/>
      </c>
      <c r="W2228" s="172">
        <f>IF(V2228&lt;&gt;"Y","",MAX(0,(1-R2228/'01_설정'!B5))*'01_설정'!B14+MAX(0,(1-S2228/'01_설정'!B6))*'01_설정'!B15+MAX(0,(1-T2228/'01_설정'!B7))*'01_설정'!B16+MAX(0,(1-U2228/'01_설정'!B8))*'01_설정'!B17+O2228*'01_설정'!B11+Q2228*'01_설정'!B12+P2228*'01_설정'!B13+IF(Z2228="",0,Z2228))</f>
        <v/>
      </c>
      <c r="X2228" s="152">
        <f>IF(W2228="","",1+COUNTIFS($W$4:$W$3003,"&gt;"&amp;W2228)+COUNTIFS($W$4:W2228,W2228)-1)</f>
        <v/>
      </c>
      <c r="Y2228" s="175">
        <f>IF(OR(I2228="",'02_대상물건입력'!B19="",'02_대상물건입력'!B19&lt;=0),"",ABS(I2228-'02_대상물건입력'!B19)/'02_대상물건입력'!B19)</f>
        <v/>
      </c>
      <c r="Z2228" s="172">
        <f>IF(OR(Y2228="",'01_설정'!B31="",'01_설정'!B31&lt;=0,'01_설정'!B32="",'01_설정'!B32&lt;=0),"",MAX(0,(1-Y2228/'01_설정'!B32))*'01_설정'!B31)</f>
        <v/>
      </c>
    </row>
    <row r="2229" ht="17.25" customHeight="1">
      <c r="A2229" s="152">
        <f>IF(INDEX('04A_국토부원자료'!$A:$A,ROW()+1)="","",ROW()-3)</f>
        <v/>
      </c>
      <c r="B2229" s="48">
        <f>IFERROR(INDEX('04A_국토부원자료'!$A:$T,ROW()+1,MATCH("시군구",'04A_국토부원자료'!$A$4:$T$4,0)),"")</f>
        <v/>
      </c>
      <c r="C2229" s="48">
        <f>IF(B2229="","",IFERROR(INDEX('04A_국토부원자료'!$A:$T,ROW()+1,MATCH("번지",'04A_국토부원자료'!$A$4:$T$4,0)),""))</f>
        <v/>
      </c>
      <c r="D2229" s="48">
        <f>IF(B2229="","",IF(Q2229=1,'02_대상물건입력'!$B$8,IFERROR(INDEX('04A_국토부원자료'!$A:$T,ROW()+1,MATCH("단지명",'04A_국토부원자료'!$A$4:$T$4,0)),"")))</f>
        <v/>
      </c>
      <c r="E2229" s="172">
        <f>IFERROR(VALUE(SUBSTITUTE(INDEX('04A_국토부원자료'!$A:$T,ROW()+1,MATCH("전용면적(㎡)",'04A_국토부원자료'!$A$4:$T$4,0)),",","")),"")</f>
        <v/>
      </c>
      <c r="F22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29" s="51">
        <f>IFERROR(VALUE(SUBSTITUTE(INDEX('04A_국토부원자료'!$A:$T,ROW()+1,MATCH("거래금액(만원)",'04A_국토부원자료'!$A$4:$T$4,0)),",","")),"")</f>
        <v/>
      </c>
      <c r="H2229" s="174">
        <f>IF(G2229="","",G2229*10000)</f>
        <v/>
      </c>
      <c r="I2229" s="174">
        <f>IFERROR(IF(AND(H2229&gt;0,E2229&gt;0),H2229/E2229,""),"")</f>
        <v/>
      </c>
      <c r="J2229" s="152">
        <f>IFERROR(VALUE(SUBSTITUTE(INDEX('04A_국토부원자료'!$A:$T,ROW()+1,MATCH("층",'04A_국토부원자료'!$A$4:$T$4,0)),",","")),"")</f>
        <v/>
      </c>
      <c r="K2229" s="152">
        <f>IFERROR(VALUE(SUBSTITUTE(INDEX('04A_국토부원자료'!$A:$T,ROW()+1,MATCH("건축년도",'04A_국토부원자료'!$A$4:$T$4,0)),",","")),"")</f>
        <v/>
      </c>
      <c r="L2229" s="48">
        <f>IFERROR(INDEX('04A_국토부원자료'!$A:$T,ROW()+1,MATCH("도로명",'04A_국토부원자료'!$A$4:$T$4,0)),"")</f>
        <v/>
      </c>
      <c r="M2229" s="48">
        <f>IFERROR(INDEX('04A_국토부원자료'!$A:$T,ROW()+1,MATCH("거래유형",'04A_국토부원자료'!$A$4:$T$4,0)),"")</f>
        <v/>
      </c>
      <c r="N2229" s="152">
        <f>IF(B2229="","",IF('02_대상물건입력'!B5="",1,IF(ISNUMBER(SEARCH('02_대상물건입력'!B5,B2229)),1,0)))</f>
        <v/>
      </c>
      <c r="O2229" s="152">
        <f>IF(B2229="","",IF('02_대상물건입력'!B6="",1,IF(ISNUMBER(SEARCH('02_대상물건입력'!B6,B2229)),1,0)))</f>
        <v/>
      </c>
      <c r="P2229" s="152">
        <f>IF(L2229="","",IF('02_대상물건입력'!B15="",0,IF(ISNUMBER(SEARCH('02_대상물건입력'!B15,L2229)),1,0)))</f>
        <v/>
      </c>
      <c r="Q2229" s="152">
        <f>IF(OR(C2229="",L2229=""),0,IF(AND(TRIM(C2229)=TRIM(RIGHT(SUBSTITUTE(TRIM('02_대상물건입력'!$B$7)," ",REPT(" ",99)),99)),IF('02_대상물건입력'!B15="",TRUE(),ISNUMBER(SEARCH('02_대상물건입력'!B15,L2229)))),1,0))</f>
        <v/>
      </c>
      <c r="R2229" s="175">
        <f>IFERROR(ABS(E2229-'02_대상물건입력'!B11)/'02_대상물건입력'!B11,"")</f>
        <v/>
      </c>
      <c r="S2229" s="152">
        <f>IFERROR(ABS(J2229-'02_대상물건입력'!B10),"")</f>
        <v/>
      </c>
      <c r="T2229" s="152">
        <f>IFERROR(ABS('01_설정'!B4-F2229),"")</f>
        <v/>
      </c>
      <c r="U2229" s="152">
        <f>IFERROR(ABS(K2229-YEAR('02_대상물건입력'!B14)),"")</f>
        <v/>
      </c>
      <c r="V2229" s="152">
        <f>IF(B2229="","",IF(AND(E2229&gt;0,F2229&gt;0,H2229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2229=1,TRUE()),R2229&lt;='01_설정'!B5,S2229&lt;='01_설정'!B6,T2229&lt;='01_설정'!B7,U2229&lt;='01_설정'!B8),"Y",""))</f>
        <v/>
      </c>
      <c r="W2229" s="172">
        <f>IF(V2229&lt;&gt;"Y","",MAX(0,(1-R2229/'01_설정'!B5))*'01_설정'!B14+MAX(0,(1-S2229/'01_설정'!B6))*'01_설정'!B15+MAX(0,(1-T2229/'01_설정'!B7))*'01_설정'!B16+MAX(0,(1-U2229/'01_설정'!B8))*'01_설정'!B17+O2229*'01_설정'!B11+Q2229*'01_설정'!B12+P2229*'01_설정'!B13+IF(Z2229="",0,Z2229))</f>
        <v/>
      </c>
      <c r="X2229" s="152">
        <f>IF(W2229="","",1+COUNTIFS($W$4:$W$3003,"&gt;"&amp;W2229)+COUNTIFS($W$4:W2229,W2229)-1)</f>
        <v/>
      </c>
      <c r="Y2229" s="175">
        <f>IF(OR(I2229="",'02_대상물건입력'!B19="",'02_대상물건입력'!B19&lt;=0),"",ABS(I2229-'02_대상물건입력'!B19)/'02_대상물건입력'!B19)</f>
        <v/>
      </c>
      <c r="Z2229" s="172">
        <f>IF(OR(Y2229="",'01_설정'!B31="",'01_설정'!B31&lt;=0,'01_설정'!B32="",'01_설정'!B32&lt;=0),"",MAX(0,(1-Y2229/'01_설정'!B32))*'01_설정'!B31)</f>
        <v/>
      </c>
    </row>
    <row r="2230" ht="17.25" customHeight="1">
      <c r="A2230" s="152">
        <f>IF(INDEX('04A_국토부원자료'!$A:$A,ROW()+1)="","",ROW()-3)</f>
        <v/>
      </c>
      <c r="B2230" s="48">
        <f>IFERROR(INDEX('04A_국토부원자료'!$A:$T,ROW()+1,MATCH("시군구",'04A_국토부원자료'!$A$4:$T$4,0)),"")</f>
        <v/>
      </c>
      <c r="C2230" s="48">
        <f>IF(B2230="","",IFERROR(INDEX('04A_국토부원자료'!$A:$T,ROW()+1,MATCH("번지",'04A_국토부원자료'!$A$4:$T$4,0)),""))</f>
        <v/>
      </c>
      <c r="D2230" s="48">
        <f>IF(B2230="","",IF(Q2230=1,'02_대상물건입력'!$B$8,IFERROR(INDEX('04A_국토부원자료'!$A:$T,ROW()+1,MATCH("단지명",'04A_국토부원자료'!$A$4:$T$4,0)),"")))</f>
        <v/>
      </c>
      <c r="E2230" s="172">
        <f>IFERROR(VALUE(SUBSTITUTE(INDEX('04A_국토부원자료'!$A:$T,ROW()+1,MATCH("전용면적(㎡)",'04A_국토부원자료'!$A$4:$T$4,0)),",","")),"")</f>
        <v/>
      </c>
      <c r="F22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30" s="51">
        <f>IFERROR(VALUE(SUBSTITUTE(INDEX('04A_국토부원자료'!$A:$T,ROW()+1,MATCH("거래금액(만원)",'04A_국토부원자료'!$A$4:$T$4,0)),",","")),"")</f>
        <v/>
      </c>
      <c r="H2230" s="174">
        <f>IF(G2230="","",G2230*10000)</f>
        <v/>
      </c>
      <c r="I2230" s="174">
        <f>IFERROR(IF(AND(H2230&gt;0,E2230&gt;0),H2230/E2230,""),"")</f>
        <v/>
      </c>
      <c r="J2230" s="152">
        <f>IFERROR(VALUE(SUBSTITUTE(INDEX('04A_국토부원자료'!$A:$T,ROW()+1,MATCH("층",'04A_국토부원자료'!$A$4:$T$4,0)),",","")),"")</f>
        <v/>
      </c>
      <c r="K2230" s="152">
        <f>IFERROR(VALUE(SUBSTITUTE(INDEX('04A_국토부원자료'!$A:$T,ROW()+1,MATCH("건축년도",'04A_국토부원자료'!$A$4:$T$4,0)),",","")),"")</f>
        <v/>
      </c>
      <c r="L2230" s="48">
        <f>IFERROR(INDEX('04A_국토부원자료'!$A:$T,ROW()+1,MATCH("도로명",'04A_국토부원자료'!$A$4:$T$4,0)),"")</f>
        <v/>
      </c>
      <c r="M2230" s="48">
        <f>IFERROR(INDEX('04A_국토부원자료'!$A:$T,ROW()+1,MATCH("거래유형",'04A_국토부원자료'!$A$4:$T$4,0)),"")</f>
        <v/>
      </c>
      <c r="N2230" s="152">
        <f>IF(B2230="","",IF('02_대상물건입력'!B5="",1,IF(ISNUMBER(SEARCH('02_대상물건입력'!B5,B2230)),1,0)))</f>
        <v/>
      </c>
      <c r="O2230" s="152">
        <f>IF(B2230="","",IF('02_대상물건입력'!B6="",1,IF(ISNUMBER(SEARCH('02_대상물건입력'!B6,B2230)),1,0)))</f>
        <v/>
      </c>
      <c r="P2230" s="152">
        <f>IF(L2230="","",IF('02_대상물건입력'!B15="",0,IF(ISNUMBER(SEARCH('02_대상물건입력'!B15,L2230)),1,0)))</f>
        <v/>
      </c>
      <c r="Q2230" s="152">
        <f>IF(OR(C2230="",L2230=""),0,IF(AND(TRIM(C2230)=TRIM(RIGHT(SUBSTITUTE(TRIM('02_대상물건입력'!$B$7)," ",REPT(" ",99)),99)),IF('02_대상물건입력'!B15="",TRUE(),ISNUMBER(SEARCH('02_대상물건입력'!B15,L2230)))),1,0))</f>
        <v/>
      </c>
      <c r="R2230" s="175">
        <f>IFERROR(ABS(E2230-'02_대상물건입력'!B11)/'02_대상물건입력'!B11,"")</f>
        <v/>
      </c>
      <c r="S2230" s="152">
        <f>IFERROR(ABS(J2230-'02_대상물건입력'!B10),"")</f>
        <v/>
      </c>
      <c r="T2230" s="152">
        <f>IFERROR(ABS('01_설정'!B4-F2230),"")</f>
        <v/>
      </c>
      <c r="U2230" s="152">
        <f>IFERROR(ABS(K2230-YEAR('02_대상물건입력'!B14)),"")</f>
        <v/>
      </c>
      <c r="V2230" s="152">
        <f>IF(B2230="","",IF(AND(E2230&gt;0,F2230&gt;0,H2230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2230=1,TRUE()),R2230&lt;='01_설정'!B5,S2230&lt;='01_설정'!B6,T2230&lt;='01_설정'!B7,U2230&lt;='01_설정'!B8),"Y",""))</f>
        <v/>
      </c>
      <c r="W2230" s="172">
        <f>IF(V2230&lt;&gt;"Y","",MAX(0,(1-R2230/'01_설정'!B5))*'01_설정'!B14+MAX(0,(1-S2230/'01_설정'!B6))*'01_설정'!B15+MAX(0,(1-T2230/'01_설정'!B7))*'01_설정'!B16+MAX(0,(1-U2230/'01_설정'!B8))*'01_설정'!B17+O2230*'01_설정'!B11+Q2230*'01_설정'!B12+P2230*'01_설정'!B13+IF(Z2230="",0,Z2230))</f>
        <v/>
      </c>
      <c r="X2230" s="152">
        <f>IF(W2230="","",1+COUNTIFS($W$4:$W$3003,"&gt;"&amp;W2230)+COUNTIFS($W$4:W2230,W2230)-1)</f>
        <v/>
      </c>
      <c r="Y2230" s="175">
        <f>IF(OR(I2230="",'02_대상물건입력'!B19="",'02_대상물건입력'!B19&lt;=0),"",ABS(I2230-'02_대상물건입력'!B19)/'02_대상물건입력'!B19)</f>
        <v/>
      </c>
      <c r="Z2230" s="172">
        <f>IF(OR(Y2230="",'01_설정'!B31="",'01_설정'!B31&lt;=0,'01_설정'!B32="",'01_설정'!B32&lt;=0),"",MAX(0,(1-Y2230/'01_설정'!B32))*'01_설정'!B31)</f>
        <v/>
      </c>
    </row>
    <row r="2231" ht="17.25" customHeight="1">
      <c r="A2231" s="152">
        <f>IF(INDEX('04A_국토부원자료'!$A:$A,ROW()+1)="","",ROW()-3)</f>
        <v/>
      </c>
      <c r="B2231" s="48">
        <f>IFERROR(INDEX('04A_국토부원자료'!$A:$T,ROW()+1,MATCH("시군구",'04A_국토부원자료'!$A$4:$T$4,0)),"")</f>
        <v/>
      </c>
      <c r="C2231" s="48">
        <f>IF(B2231="","",IFERROR(INDEX('04A_국토부원자료'!$A:$T,ROW()+1,MATCH("번지",'04A_국토부원자료'!$A$4:$T$4,0)),""))</f>
        <v/>
      </c>
      <c r="D2231" s="48">
        <f>IF(B2231="","",IF(Q2231=1,'02_대상물건입력'!$B$8,IFERROR(INDEX('04A_국토부원자료'!$A:$T,ROW()+1,MATCH("단지명",'04A_국토부원자료'!$A$4:$T$4,0)),"")))</f>
        <v/>
      </c>
      <c r="E2231" s="172">
        <f>IFERROR(VALUE(SUBSTITUTE(INDEX('04A_국토부원자료'!$A:$T,ROW()+1,MATCH("전용면적(㎡)",'04A_국토부원자료'!$A$4:$T$4,0)),",","")),"")</f>
        <v/>
      </c>
      <c r="F22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31" s="51">
        <f>IFERROR(VALUE(SUBSTITUTE(INDEX('04A_국토부원자료'!$A:$T,ROW()+1,MATCH("거래금액(만원)",'04A_국토부원자료'!$A$4:$T$4,0)),",","")),"")</f>
        <v/>
      </c>
      <c r="H2231" s="174">
        <f>IF(G2231="","",G2231*10000)</f>
        <v/>
      </c>
      <c r="I2231" s="174">
        <f>IFERROR(IF(AND(H2231&gt;0,E2231&gt;0),H2231/E2231,""),"")</f>
        <v/>
      </c>
      <c r="J2231" s="152">
        <f>IFERROR(VALUE(SUBSTITUTE(INDEX('04A_국토부원자료'!$A:$T,ROW()+1,MATCH("층",'04A_국토부원자료'!$A$4:$T$4,0)),",","")),"")</f>
        <v/>
      </c>
      <c r="K2231" s="152">
        <f>IFERROR(VALUE(SUBSTITUTE(INDEX('04A_국토부원자료'!$A:$T,ROW()+1,MATCH("건축년도",'04A_국토부원자료'!$A$4:$T$4,0)),",","")),"")</f>
        <v/>
      </c>
      <c r="L2231" s="48">
        <f>IFERROR(INDEX('04A_국토부원자료'!$A:$T,ROW()+1,MATCH("도로명",'04A_국토부원자료'!$A$4:$T$4,0)),"")</f>
        <v/>
      </c>
      <c r="M2231" s="48">
        <f>IFERROR(INDEX('04A_국토부원자료'!$A:$T,ROW()+1,MATCH("거래유형",'04A_국토부원자료'!$A$4:$T$4,0)),"")</f>
        <v/>
      </c>
      <c r="N2231" s="152">
        <f>IF(B2231="","",IF('02_대상물건입력'!B5="",1,IF(ISNUMBER(SEARCH('02_대상물건입력'!B5,B2231)),1,0)))</f>
        <v/>
      </c>
      <c r="O2231" s="152">
        <f>IF(B2231="","",IF('02_대상물건입력'!B6="",1,IF(ISNUMBER(SEARCH('02_대상물건입력'!B6,B2231)),1,0)))</f>
        <v/>
      </c>
      <c r="P2231" s="152">
        <f>IF(L2231="","",IF('02_대상물건입력'!B15="",0,IF(ISNUMBER(SEARCH('02_대상물건입력'!B15,L2231)),1,0)))</f>
        <v/>
      </c>
      <c r="Q2231" s="152">
        <f>IF(OR(C2231="",L2231=""),0,IF(AND(TRIM(C2231)=TRIM(RIGHT(SUBSTITUTE(TRIM('02_대상물건입력'!$B$7)," ",REPT(" ",99)),99)),IF('02_대상물건입력'!B15="",TRUE(),ISNUMBER(SEARCH('02_대상물건입력'!B15,L2231)))),1,0))</f>
        <v/>
      </c>
      <c r="R2231" s="175">
        <f>IFERROR(ABS(E2231-'02_대상물건입력'!B11)/'02_대상물건입력'!B11,"")</f>
        <v/>
      </c>
      <c r="S2231" s="152">
        <f>IFERROR(ABS(J2231-'02_대상물건입력'!B10),"")</f>
        <v/>
      </c>
      <c r="T2231" s="152">
        <f>IFERROR(ABS('01_설정'!B4-F2231),"")</f>
        <v/>
      </c>
      <c r="U2231" s="152">
        <f>IFERROR(ABS(K2231-YEAR('02_대상물건입력'!B14)),"")</f>
        <v/>
      </c>
      <c r="V2231" s="152">
        <f>IF(B2231="","",IF(AND(E2231&gt;0,F2231&gt;0,H2231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2231=1,TRUE()),R2231&lt;='01_설정'!B5,S2231&lt;='01_설정'!B6,T2231&lt;='01_설정'!B7,U2231&lt;='01_설정'!B8),"Y",""))</f>
        <v/>
      </c>
      <c r="W2231" s="172">
        <f>IF(V2231&lt;&gt;"Y","",MAX(0,(1-R2231/'01_설정'!B5))*'01_설정'!B14+MAX(0,(1-S2231/'01_설정'!B6))*'01_설정'!B15+MAX(0,(1-T2231/'01_설정'!B7))*'01_설정'!B16+MAX(0,(1-U2231/'01_설정'!B8))*'01_설정'!B17+O2231*'01_설정'!B11+Q2231*'01_설정'!B12+P2231*'01_설정'!B13+IF(Z2231="",0,Z2231))</f>
        <v/>
      </c>
      <c r="X2231" s="152">
        <f>IF(W2231="","",1+COUNTIFS($W$4:$W$3003,"&gt;"&amp;W2231)+COUNTIFS($W$4:W2231,W2231)-1)</f>
        <v/>
      </c>
      <c r="Y2231" s="175">
        <f>IF(OR(I2231="",'02_대상물건입력'!B19="",'02_대상물건입력'!B19&lt;=0),"",ABS(I2231-'02_대상물건입력'!B19)/'02_대상물건입력'!B19)</f>
        <v/>
      </c>
      <c r="Z2231" s="172">
        <f>IF(OR(Y2231="",'01_설정'!B31="",'01_설정'!B31&lt;=0,'01_설정'!B32="",'01_설정'!B32&lt;=0),"",MAX(0,(1-Y2231/'01_설정'!B32))*'01_설정'!B31)</f>
        <v/>
      </c>
    </row>
    <row r="2232" ht="17.25" customHeight="1">
      <c r="A2232" s="152">
        <f>IF(INDEX('04A_국토부원자료'!$A:$A,ROW()+1)="","",ROW()-3)</f>
        <v/>
      </c>
      <c r="B2232" s="48">
        <f>IFERROR(INDEX('04A_국토부원자료'!$A:$T,ROW()+1,MATCH("시군구",'04A_국토부원자료'!$A$4:$T$4,0)),"")</f>
        <v/>
      </c>
      <c r="C2232" s="48">
        <f>IF(B2232="","",IFERROR(INDEX('04A_국토부원자료'!$A:$T,ROW()+1,MATCH("번지",'04A_국토부원자료'!$A$4:$T$4,0)),""))</f>
        <v/>
      </c>
      <c r="D2232" s="48">
        <f>IF(B2232="","",IF(Q2232=1,'02_대상물건입력'!$B$8,IFERROR(INDEX('04A_국토부원자료'!$A:$T,ROW()+1,MATCH("단지명",'04A_국토부원자료'!$A$4:$T$4,0)),"")))</f>
        <v/>
      </c>
      <c r="E2232" s="172">
        <f>IFERROR(VALUE(SUBSTITUTE(INDEX('04A_국토부원자료'!$A:$T,ROW()+1,MATCH("전용면적(㎡)",'04A_국토부원자료'!$A$4:$T$4,0)),",","")),"")</f>
        <v/>
      </c>
      <c r="F22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32" s="51">
        <f>IFERROR(VALUE(SUBSTITUTE(INDEX('04A_국토부원자료'!$A:$T,ROW()+1,MATCH("거래금액(만원)",'04A_국토부원자료'!$A$4:$T$4,0)),",","")),"")</f>
        <v/>
      </c>
      <c r="H2232" s="174">
        <f>IF(G2232="","",G2232*10000)</f>
        <v/>
      </c>
      <c r="I2232" s="174">
        <f>IFERROR(IF(AND(H2232&gt;0,E2232&gt;0),H2232/E2232,""),"")</f>
        <v/>
      </c>
      <c r="J2232" s="152">
        <f>IFERROR(VALUE(SUBSTITUTE(INDEX('04A_국토부원자료'!$A:$T,ROW()+1,MATCH("층",'04A_국토부원자료'!$A$4:$T$4,0)),",","")),"")</f>
        <v/>
      </c>
      <c r="K2232" s="152">
        <f>IFERROR(VALUE(SUBSTITUTE(INDEX('04A_국토부원자료'!$A:$T,ROW()+1,MATCH("건축년도",'04A_국토부원자료'!$A$4:$T$4,0)),",","")),"")</f>
        <v/>
      </c>
      <c r="L2232" s="48">
        <f>IFERROR(INDEX('04A_국토부원자료'!$A:$T,ROW()+1,MATCH("도로명",'04A_국토부원자료'!$A$4:$T$4,0)),"")</f>
        <v/>
      </c>
      <c r="M2232" s="48">
        <f>IFERROR(INDEX('04A_국토부원자료'!$A:$T,ROW()+1,MATCH("거래유형",'04A_국토부원자료'!$A$4:$T$4,0)),"")</f>
        <v/>
      </c>
      <c r="N2232" s="152">
        <f>IF(B2232="","",IF('02_대상물건입력'!B5="",1,IF(ISNUMBER(SEARCH('02_대상물건입력'!B5,B2232)),1,0)))</f>
        <v/>
      </c>
      <c r="O2232" s="152">
        <f>IF(B2232="","",IF('02_대상물건입력'!B6="",1,IF(ISNUMBER(SEARCH('02_대상물건입력'!B6,B2232)),1,0)))</f>
        <v/>
      </c>
      <c r="P2232" s="152">
        <f>IF(L2232="","",IF('02_대상물건입력'!B15="",0,IF(ISNUMBER(SEARCH('02_대상물건입력'!B15,L2232)),1,0)))</f>
        <v/>
      </c>
      <c r="Q2232" s="152">
        <f>IF(OR(C2232="",L2232=""),0,IF(AND(TRIM(C2232)=TRIM(RIGHT(SUBSTITUTE(TRIM('02_대상물건입력'!$B$7)," ",REPT(" ",99)),99)),IF('02_대상물건입력'!B15="",TRUE(),ISNUMBER(SEARCH('02_대상물건입력'!B15,L2232)))),1,0))</f>
        <v/>
      </c>
      <c r="R2232" s="175">
        <f>IFERROR(ABS(E2232-'02_대상물건입력'!B11)/'02_대상물건입력'!B11,"")</f>
        <v/>
      </c>
      <c r="S2232" s="152">
        <f>IFERROR(ABS(J2232-'02_대상물건입력'!B10),"")</f>
        <v/>
      </c>
      <c r="T2232" s="152">
        <f>IFERROR(ABS('01_설정'!B4-F2232),"")</f>
        <v/>
      </c>
      <c r="U2232" s="152">
        <f>IFERROR(ABS(K2232-YEAR('02_대상물건입력'!B14)),"")</f>
        <v/>
      </c>
      <c r="V2232" s="152">
        <f>IF(B2232="","",IF(AND(E2232&gt;0,F2232&gt;0,H2232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2232=1,TRUE()),R2232&lt;='01_설정'!B5,S2232&lt;='01_설정'!B6,T2232&lt;='01_설정'!B7,U2232&lt;='01_설정'!B8),"Y",""))</f>
        <v/>
      </c>
      <c r="W2232" s="172">
        <f>IF(V2232&lt;&gt;"Y","",MAX(0,(1-R2232/'01_설정'!B5))*'01_설정'!B14+MAX(0,(1-S2232/'01_설정'!B6))*'01_설정'!B15+MAX(0,(1-T2232/'01_설정'!B7))*'01_설정'!B16+MAX(0,(1-U2232/'01_설정'!B8))*'01_설정'!B17+O2232*'01_설정'!B11+Q2232*'01_설정'!B12+P2232*'01_설정'!B13+IF(Z2232="",0,Z2232))</f>
        <v/>
      </c>
      <c r="X2232" s="152">
        <f>IF(W2232="","",1+COUNTIFS($W$4:$W$3003,"&gt;"&amp;W2232)+COUNTIFS($W$4:W2232,W2232)-1)</f>
        <v/>
      </c>
      <c r="Y2232" s="175">
        <f>IF(OR(I2232="",'02_대상물건입력'!B19="",'02_대상물건입력'!B19&lt;=0),"",ABS(I2232-'02_대상물건입력'!B19)/'02_대상물건입력'!B19)</f>
        <v/>
      </c>
      <c r="Z2232" s="172">
        <f>IF(OR(Y2232="",'01_설정'!B31="",'01_설정'!B31&lt;=0,'01_설정'!B32="",'01_설정'!B32&lt;=0),"",MAX(0,(1-Y2232/'01_설정'!B32))*'01_설정'!B31)</f>
        <v/>
      </c>
    </row>
    <row r="2233" ht="17.25" customHeight="1">
      <c r="A2233" s="152">
        <f>IF(INDEX('04A_국토부원자료'!$A:$A,ROW()+1)="","",ROW()-3)</f>
        <v/>
      </c>
      <c r="B2233" s="48">
        <f>IFERROR(INDEX('04A_국토부원자료'!$A:$T,ROW()+1,MATCH("시군구",'04A_국토부원자료'!$A$4:$T$4,0)),"")</f>
        <v/>
      </c>
      <c r="C2233" s="48">
        <f>IF(B2233="","",IFERROR(INDEX('04A_국토부원자료'!$A:$T,ROW()+1,MATCH("번지",'04A_국토부원자료'!$A$4:$T$4,0)),""))</f>
        <v/>
      </c>
      <c r="D2233" s="48">
        <f>IF(B2233="","",IF(Q2233=1,'02_대상물건입력'!$B$8,IFERROR(INDEX('04A_국토부원자료'!$A:$T,ROW()+1,MATCH("단지명",'04A_국토부원자료'!$A$4:$T$4,0)),"")))</f>
        <v/>
      </c>
      <c r="E2233" s="172">
        <f>IFERROR(VALUE(SUBSTITUTE(INDEX('04A_국토부원자료'!$A:$T,ROW()+1,MATCH("전용면적(㎡)",'04A_국토부원자료'!$A$4:$T$4,0)),",","")),"")</f>
        <v/>
      </c>
      <c r="F22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33" s="51">
        <f>IFERROR(VALUE(SUBSTITUTE(INDEX('04A_국토부원자료'!$A:$T,ROW()+1,MATCH("거래금액(만원)",'04A_국토부원자료'!$A$4:$T$4,0)),",","")),"")</f>
        <v/>
      </c>
      <c r="H2233" s="174">
        <f>IF(G2233="","",G2233*10000)</f>
        <v/>
      </c>
      <c r="I2233" s="174">
        <f>IFERROR(IF(AND(H2233&gt;0,E2233&gt;0),H2233/E2233,""),"")</f>
        <v/>
      </c>
      <c r="J2233" s="152">
        <f>IFERROR(VALUE(SUBSTITUTE(INDEX('04A_국토부원자료'!$A:$T,ROW()+1,MATCH("층",'04A_국토부원자료'!$A$4:$T$4,0)),",","")),"")</f>
        <v/>
      </c>
      <c r="K2233" s="152">
        <f>IFERROR(VALUE(SUBSTITUTE(INDEX('04A_국토부원자료'!$A:$T,ROW()+1,MATCH("건축년도",'04A_국토부원자료'!$A$4:$T$4,0)),",","")),"")</f>
        <v/>
      </c>
      <c r="L2233" s="48">
        <f>IFERROR(INDEX('04A_국토부원자료'!$A:$T,ROW()+1,MATCH("도로명",'04A_국토부원자료'!$A$4:$T$4,0)),"")</f>
        <v/>
      </c>
      <c r="M2233" s="48">
        <f>IFERROR(INDEX('04A_국토부원자료'!$A:$T,ROW()+1,MATCH("거래유형",'04A_국토부원자료'!$A$4:$T$4,0)),"")</f>
        <v/>
      </c>
      <c r="N2233" s="152">
        <f>IF(B2233="","",IF('02_대상물건입력'!B5="",1,IF(ISNUMBER(SEARCH('02_대상물건입력'!B5,B2233)),1,0)))</f>
        <v/>
      </c>
      <c r="O2233" s="152">
        <f>IF(B2233="","",IF('02_대상물건입력'!B6="",1,IF(ISNUMBER(SEARCH('02_대상물건입력'!B6,B2233)),1,0)))</f>
        <v/>
      </c>
      <c r="P2233" s="152">
        <f>IF(L2233="","",IF('02_대상물건입력'!B15="",0,IF(ISNUMBER(SEARCH('02_대상물건입력'!B15,L2233)),1,0)))</f>
        <v/>
      </c>
      <c r="Q2233" s="152">
        <f>IF(OR(C2233="",L2233=""),0,IF(AND(TRIM(C2233)=TRIM(RIGHT(SUBSTITUTE(TRIM('02_대상물건입력'!$B$7)," ",REPT(" ",99)),99)),IF('02_대상물건입력'!B15="",TRUE(),ISNUMBER(SEARCH('02_대상물건입력'!B15,L2233)))),1,0))</f>
        <v/>
      </c>
      <c r="R2233" s="175">
        <f>IFERROR(ABS(E2233-'02_대상물건입력'!B11)/'02_대상물건입력'!B11,"")</f>
        <v/>
      </c>
      <c r="S2233" s="152">
        <f>IFERROR(ABS(J2233-'02_대상물건입력'!B10),"")</f>
        <v/>
      </c>
      <c r="T2233" s="152">
        <f>IFERROR(ABS('01_설정'!B4-F2233),"")</f>
        <v/>
      </c>
      <c r="U2233" s="152">
        <f>IFERROR(ABS(K2233-YEAR('02_대상물건입력'!B14)),"")</f>
        <v/>
      </c>
      <c r="V2233" s="152">
        <f>IF(B2233="","",IF(AND(E2233&gt;0,F2233&gt;0,H2233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2233=1,TRUE()),R2233&lt;='01_설정'!B5,S2233&lt;='01_설정'!B6,T2233&lt;='01_설정'!B7,U2233&lt;='01_설정'!B8),"Y",""))</f>
        <v/>
      </c>
      <c r="W2233" s="172">
        <f>IF(V2233&lt;&gt;"Y","",MAX(0,(1-R2233/'01_설정'!B5))*'01_설정'!B14+MAX(0,(1-S2233/'01_설정'!B6))*'01_설정'!B15+MAX(0,(1-T2233/'01_설정'!B7))*'01_설정'!B16+MAX(0,(1-U2233/'01_설정'!B8))*'01_설정'!B17+O2233*'01_설정'!B11+Q2233*'01_설정'!B12+P2233*'01_설정'!B13+IF(Z2233="",0,Z2233))</f>
        <v/>
      </c>
      <c r="X2233" s="152">
        <f>IF(W2233="","",1+COUNTIFS($W$4:$W$3003,"&gt;"&amp;W2233)+COUNTIFS($W$4:W2233,W2233)-1)</f>
        <v/>
      </c>
      <c r="Y2233" s="175">
        <f>IF(OR(I2233="",'02_대상물건입력'!B19="",'02_대상물건입력'!B19&lt;=0),"",ABS(I2233-'02_대상물건입력'!B19)/'02_대상물건입력'!B19)</f>
        <v/>
      </c>
      <c r="Z2233" s="172">
        <f>IF(OR(Y2233="",'01_설정'!B31="",'01_설정'!B31&lt;=0,'01_설정'!B32="",'01_설정'!B32&lt;=0),"",MAX(0,(1-Y2233/'01_설정'!B32))*'01_설정'!B31)</f>
        <v/>
      </c>
    </row>
    <row r="2234" ht="17.25" customHeight="1">
      <c r="A2234" s="152">
        <f>IF(INDEX('04A_국토부원자료'!$A:$A,ROW()+1)="","",ROW()-3)</f>
        <v/>
      </c>
      <c r="B2234" s="48">
        <f>IFERROR(INDEX('04A_국토부원자료'!$A:$T,ROW()+1,MATCH("시군구",'04A_국토부원자료'!$A$4:$T$4,0)),"")</f>
        <v/>
      </c>
      <c r="C2234" s="48">
        <f>IF(B2234="","",IFERROR(INDEX('04A_국토부원자료'!$A:$T,ROW()+1,MATCH("번지",'04A_국토부원자료'!$A$4:$T$4,0)),""))</f>
        <v/>
      </c>
      <c r="D2234" s="48">
        <f>IF(B2234="","",IF(Q2234=1,'02_대상물건입력'!$B$8,IFERROR(INDEX('04A_국토부원자료'!$A:$T,ROW()+1,MATCH("단지명",'04A_국토부원자료'!$A$4:$T$4,0)),"")))</f>
        <v/>
      </c>
      <c r="E2234" s="172">
        <f>IFERROR(VALUE(SUBSTITUTE(INDEX('04A_국토부원자료'!$A:$T,ROW()+1,MATCH("전용면적(㎡)",'04A_국토부원자료'!$A$4:$T$4,0)),",","")),"")</f>
        <v/>
      </c>
      <c r="F22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34" s="51">
        <f>IFERROR(VALUE(SUBSTITUTE(INDEX('04A_국토부원자료'!$A:$T,ROW()+1,MATCH("거래금액(만원)",'04A_국토부원자료'!$A$4:$T$4,0)),",","")),"")</f>
        <v/>
      </c>
      <c r="H2234" s="174">
        <f>IF(G2234="","",G2234*10000)</f>
        <v/>
      </c>
      <c r="I2234" s="174">
        <f>IFERROR(IF(AND(H2234&gt;0,E2234&gt;0),H2234/E2234,""),"")</f>
        <v/>
      </c>
      <c r="J2234" s="152">
        <f>IFERROR(VALUE(SUBSTITUTE(INDEX('04A_국토부원자료'!$A:$T,ROW()+1,MATCH("층",'04A_국토부원자료'!$A$4:$T$4,0)),",","")),"")</f>
        <v/>
      </c>
      <c r="K2234" s="152">
        <f>IFERROR(VALUE(SUBSTITUTE(INDEX('04A_국토부원자료'!$A:$T,ROW()+1,MATCH("건축년도",'04A_국토부원자료'!$A$4:$T$4,0)),",","")),"")</f>
        <v/>
      </c>
      <c r="L2234" s="48">
        <f>IFERROR(INDEX('04A_국토부원자료'!$A:$T,ROW()+1,MATCH("도로명",'04A_국토부원자료'!$A$4:$T$4,0)),"")</f>
        <v/>
      </c>
      <c r="M2234" s="48">
        <f>IFERROR(INDEX('04A_국토부원자료'!$A:$T,ROW()+1,MATCH("거래유형",'04A_국토부원자료'!$A$4:$T$4,0)),"")</f>
        <v/>
      </c>
      <c r="N2234" s="152">
        <f>IF(B2234="","",IF('02_대상물건입력'!B5="",1,IF(ISNUMBER(SEARCH('02_대상물건입력'!B5,B2234)),1,0)))</f>
        <v/>
      </c>
      <c r="O2234" s="152">
        <f>IF(B2234="","",IF('02_대상물건입력'!B6="",1,IF(ISNUMBER(SEARCH('02_대상물건입력'!B6,B2234)),1,0)))</f>
        <v/>
      </c>
      <c r="P2234" s="152">
        <f>IF(L2234="","",IF('02_대상물건입력'!B15="",0,IF(ISNUMBER(SEARCH('02_대상물건입력'!B15,L2234)),1,0)))</f>
        <v/>
      </c>
      <c r="Q2234" s="152">
        <f>IF(OR(C2234="",L2234=""),0,IF(AND(TRIM(C2234)=TRIM(RIGHT(SUBSTITUTE(TRIM('02_대상물건입력'!$B$7)," ",REPT(" ",99)),99)),IF('02_대상물건입력'!B15="",TRUE(),ISNUMBER(SEARCH('02_대상물건입력'!B15,L2234)))),1,0))</f>
        <v/>
      </c>
      <c r="R2234" s="175">
        <f>IFERROR(ABS(E2234-'02_대상물건입력'!B11)/'02_대상물건입력'!B11,"")</f>
        <v/>
      </c>
      <c r="S2234" s="152">
        <f>IFERROR(ABS(J2234-'02_대상물건입력'!B10),"")</f>
        <v/>
      </c>
      <c r="T2234" s="152">
        <f>IFERROR(ABS('01_설정'!B4-F2234),"")</f>
        <v/>
      </c>
      <c r="U2234" s="152">
        <f>IFERROR(ABS(K2234-YEAR('02_대상물건입력'!B14)),"")</f>
        <v/>
      </c>
      <c r="V2234" s="152">
        <f>IF(B2234="","",IF(AND(E2234&gt;0,F2234&gt;0,H2234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2234=1,TRUE()),R2234&lt;='01_설정'!B5,S2234&lt;='01_설정'!B6,T2234&lt;='01_설정'!B7,U2234&lt;='01_설정'!B8),"Y",""))</f>
        <v/>
      </c>
      <c r="W2234" s="172">
        <f>IF(V2234&lt;&gt;"Y","",MAX(0,(1-R2234/'01_설정'!B5))*'01_설정'!B14+MAX(0,(1-S2234/'01_설정'!B6))*'01_설정'!B15+MAX(0,(1-T2234/'01_설정'!B7))*'01_설정'!B16+MAX(0,(1-U2234/'01_설정'!B8))*'01_설정'!B17+O2234*'01_설정'!B11+Q2234*'01_설정'!B12+P2234*'01_설정'!B13+IF(Z2234="",0,Z2234))</f>
        <v/>
      </c>
      <c r="X2234" s="152">
        <f>IF(W2234="","",1+COUNTIFS($W$4:$W$3003,"&gt;"&amp;W2234)+COUNTIFS($W$4:W2234,W2234)-1)</f>
        <v/>
      </c>
      <c r="Y2234" s="175">
        <f>IF(OR(I2234="",'02_대상물건입력'!B19="",'02_대상물건입력'!B19&lt;=0),"",ABS(I2234-'02_대상물건입력'!B19)/'02_대상물건입력'!B19)</f>
        <v/>
      </c>
      <c r="Z2234" s="172">
        <f>IF(OR(Y2234="",'01_설정'!B31="",'01_설정'!B31&lt;=0,'01_설정'!B32="",'01_설정'!B32&lt;=0),"",MAX(0,(1-Y2234/'01_설정'!B32))*'01_설정'!B31)</f>
        <v/>
      </c>
    </row>
    <row r="2235" ht="17.25" customHeight="1">
      <c r="A2235" s="152">
        <f>IF(INDEX('04A_국토부원자료'!$A:$A,ROW()+1)="","",ROW()-3)</f>
        <v/>
      </c>
      <c r="B2235" s="48">
        <f>IFERROR(INDEX('04A_국토부원자료'!$A:$T,ROW()+1,MATCH("시군구",'04A_국토부원자료'!$A$4:$T$4,0)),"")</f>
        <v/>
      </c>
      <c r="C2235" s="48">
        <f>IF(B2235="","",IFERROR(INDEX('04A_국토부원자료'!$A:$T,ROW()+1,MATCH("번지",'04A_국토부원자료'!$A$4:$T$4,0)),""))</f>
        <v/>
      </c>
      <c r="D2235" s="48">
        <f>IF(B2235="","",IF(Q2235=1,'02_대상물건입력'!$B$8,IFERROR(INDEX('04A_국토부원자료'!$A:$T,ROW()+1,MATCH("단지명",'04A_국토부원자료'!$A$4:$T$4,0)),"")))</f>
        <v/>
      </c>
      <c r="E2235" s="172">
        <f>IFERROR(VALUE(SUBSTITUTE(INDEX('04A_국토부원자료'!$A:$T,ROW()+1,MATCH("전용면적(㎡)",'04A_국토부원자료'!$A$4:$T$4,0)),",","")),"")</f>
        <v/>
      </c>
      <c r="F22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35" s="51">
        <f>IFERROR(VALUE(SUBSTITUTE(INDEX('04A_국토부원자료'!$A:$T,ROW()+1,MATCH("거래금액(만원)",'04A_국토부원자료'!$A$4:$T$4,0)),",","")),"")</f>
        <v/>
      </c>
      <c r="H2235" s="174">
        <f>IF(G2235="","",G2235*10000)</f>
        <v/>
      </c>
      <c r="I2235" s="174">
        <f>IFERROR(IF(AND(H2235&gt;0,E2235&gt;0),H2235/E2235,""),"")</f>
        <v/>
      </c>
      <c r="J2235" s="152">
        <f>IFERROR(VALUE(SUBSTITUTE(INDEX('04A_국토부원자료'!$A:$T,ROW()+1,MATCH("층",'04A_국토부원자료'!$A$4:$T$4,0)),",","")),"")</f>
        <v/>
      </c>
      <c r="K2235" s="152">
        <f>IFERROR(VALUE(SUBSTITUTE(INDEX('04A_국토부원자료'!$A:$T,ROW()+1,MATCH("건축년도",'04A_국토부원자료'!$A$4:$T$4,0)),",","")),"")</f>
        <v/>
      </c>
      <c r="L2235" s="48">
        <f>IFERROR(INDEX('04A_국토부원자료'!$A:$T,ROW()+1,MATCH("도로명",'04A_국토부원자료'!$A$4:$T$4,0)),"")</f>
        <v/>
      </c>
      <c r="M2235" s="48">
        <f>IFERROR(INDEX('04A_국토부원자료'!$A:$T,ROW()+1,MATCH("거래유형",'04A_국토부원자료'!$A$4:$T$4,0)),"")</f>
        <v/>
      </c>
      <c r="N2235" s="152">
        <f>IF(B2235="","",IF('02_대상물건입력'!B5="",1,IF(ISNUMBER(SEARCH('02_대상물건입력'!B5,B2235)),1,0)))</f>
        <v/>
      </c>
      <c r="O2235" s="152">
        <f>IF(B2235="","",IF('02_대상물건입력'!B6="",1,IF(ISNUMBER(SEARCH('02_대상물건입력'!B6,B2235)),1,0)))</f>
        <v/>
      </c>
      <c r="P2235" s="152">
        <f>IF(L2235="","",IF('02_대상물건입력'!B15="",0,IF(ISNUMBER(SEARCH('02_대상물건입력'!B15,L2235)),1,0)))</f>
        <v/>
      </c>
      <c r="Q2235" s="152">
        <f>IF(OR(C2235="",L2235=""),0,IF(AND(TRIM(C2235)=TRIM(RIGHT(SUBSTITUTE(TRIM('02_대상물건입력'!$B$7)," ",REPT(" ",99)),99)),IF('02_대상물건입력'!B15="",TRUE(),ISNUMBER(SEARCH('02_대상물건입력'!B15,L2235)))),1,0))</f>
        <v/>
      </c>
      <c r="R2235" s="175">
        <f>IFERROR(ABS(E2235-'02_대상물건입력'!B11)/'02_대상물건입력'!B11,"")</f>
        <v/>
      </c>
      <c r="S2235" s="152">
        <f>IFERROR(ABS(J2235-'02_대상물건입력'!B10),"")</f>
        <v/>
      </c>
      <c r="T2235" s="152">
        <f>IFERROR(ABS('01_설정'!B4-F2235),"")</f>
        <v/>
      </c>
      <c r="U2235" s="152">
        <f>IFERROR(ABS(K2235-YEAR('02_대상물건입력'!B14)),"")</f>
        <v/>
      </c>
      <c r="V2235" s="152">
        <f>IF(B2235="","",IF(AND(E2235&gt;0,F2235&gt;0,H2235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2235=1,TRUE()),R2235&lt;='01_설정'!B5,S2235&lt;='01_설정'!B6,T2235&lt;='01_설정'!B7,U2235&lt;='01_설정'!B8),"Y",""))</f>
        <v/>
      </c>
      <c r="W2235" s="172">
        <f>IF(V2235&lt;&gt;"Y","",MAX(0,(1-R2235/'01_설정'!B5))*'01_설정'!B14+MAX(0,(1-S2235/'01_설정'!B6))*'01_설정'!B15+MAX(0,(1-T2235/'01_설정'!B7))*'01_설정'!B16+MAX(0,(1-U2235/'01_설정'!B8))*'01_설정'!B17+O2235*'01_설정'!B11+Q2235*'01_설정'!B12+P2235*'01_설정'!B13+IF(Z2235="",0,Z2235))</f>
        <v/>
      </c>
      <c r="X2235" s="152">
        <f>IF(W2235="","",1+COUNTIFS($W$4:$W$3003,"&gt;"&amp;W2235)+COUNTIFS($W$4:W2235,W2235)-1)</f>
        <v/>
      </c>
      <c r="Y2235" s="175">
        <f>IF(OR(I2235="",'02_대상물건입력'!B19="",'02_대상물건입력'!B19&lt;=0),"",ABS(I2235-'02_대상물건입력'!B19)/'02_대상물건입력'!B19)</f>
        <v/>
      </c>
      <c r="Z2235" s="172">
        <f>IF(OR(Y2235="",'01_설정'!B31="",'01_설정'!B31&lt;=0,'01_설정'!B32="",'01_설정'!B32&lt;=0),"",MAX(0,(1-Y2235/'01_설정'!B32))*'01_설정'!B31)</f>
        <v/>
      </c>
    </row>
    <row r="2236" ht="17.25" customHeight="1">
      <c r="A2236" s="152">
        <f>IF(INDEX('04A_국토부원자료'!$A:$A,ROW()+1)="","",ROW()-3)</f>
        <v/>
      </c>
      <c r="B2236" s="48">
        <f>IFERROR(INDEX('04A_국토부원자료'!$A:$T,ROW()+1,MATCH("시군구",'04A_국토부원자료'!$A$4:$T$4,0)),"")</f>
        <v/>
      </c>
      <c r="C2236" s="48">
        <f>IF(B2236="","",IFERROR(INDEX('04A_국토부원자료'!$A:$T,ROW()+1,MATCH("번지",'04A_국토부원자료'!$A$4:$T$4,0)),""))</f>
        <v/>
      </c>
      <c r="D2236" s="48">
        <f>IF(B2236="","",IF(Q2236=1,'02_대상물건입력'!$B$8,IFERROR(INDEX('04A_국토부원자료'!$A:$T,ROW()+1,MATCH("단지명",'04A_국토부원자료'!$A$4:$T$4,0)),"")))</f>
        <v/>
      </c>
      <c r="E2236" s="172">
        <f>IFERROR(VALUE(SUBSTITUTE(INDEX('04A_국토부원자료'!$A:$T,ROW()+1,MATCH("전용면적(㎡)",'04A_국토부원자료'!$A$4:$T$4,0)),",","")),"")</f>
        <v/>
      </c>
      <c r="F22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36" s="51">
        <f>IFERROR(VALUE(SUBSTITUTE(INDEX('04A_국토부원자료'!$A:$T,ROW()+1,MATCH("거래금액(만원)",'04A_국토부원자료'!$A$4:$T$4,0)),",","")),"")</f>
        <v/>
      </c>
      <c r="H2236" s="174">
        <f>IF(G2236="","",G2236*10000)</f>
        <v/>
      </c>
      <c r="I2236" s="174">
        <f>IFERROR(IF(AND(H2236&gt;0,E2236&gt;0),H2236/E2236,""),"")</f>
        <v/>
      </c>
      <c r="J2236" s="152">
        <f>IFERROR(VALUE(SUBSTITUTE(INDEX('04A_국토부원자료'!$A:$T,ROW()+1,MATCH("층",'04A_국토부원자료'!$A$4:$T$4,0)),",","")),"")</f>
        <v/>
      </c>
      <c r="K2236" s="152">
        <f>IFERROR(VALUE(SUBSTITUTE(INDEX('04A_국토부원자료'!$A:$T,ROW()+1,MATCH("건축년도",'04A_국토부원자료'!$A$4:$T$4,0)),",","")),"")</f>
        <v/>
      </c>
      <c r="L2236" s="48">
        <f>IFERROR(INDEX('04A_국토부원자료'!$A:$T,ROW()+1,MATCH("도로명",'04A_국토부원자료'!$A$4:$T$4,0)),"")</f>
        <v/>
      </c>
      <c r="M2236" s="48">
        <f>IFERROR(INDEX('04A_국토부원자료'!$A:$T,ROW()+1,MATCH("거래유형",'04A_국토부원자료'!$A$4:$T$4,0)),"")</f>
        <v/>
      </c>
      <c r="N2236" s="152">
        <f>IF(B2236="","",IF('02_대상물건입력'!B5="",1,IF(ISNUMBER(SEARCH('02_대상물건입력'!B5,B2236)),1,0)))</f>
        <v/>
      </c>
      <c r="O2236" s="152">
        <f>IF(B2236="","",IF('02_대상물건입력'!B6="",1,IF(ISNUMBER(SEARCH('02_대상물건입력'!B6,B2236)),1,0)))</f>
        <v/>
      </c>
      <c r="P2236" s="152">
        <f>IF(L2236="","",IF('02_대상물건입력'!B15="",0,IF(ISNUMBER(SEARCH('02_대상물건입력'!B15,L2236)),1,0)))</f>
        <v/>
      </c>
      <c r="Q2236" s="152">
        <f>IF(OR(C2236="",L2236=""),0,IF(AND(TRIM(C2236)=TRIM(RIGHT(SUBSTITUTE(TRIM('02_대상물건입력'!$B$7)," ",REPT(" ",99)),99)),IF('02_대상물건입력'!B15="",TRUE(),ISNUMBER(SEARCH('02_대상물건입력'!B15,L2236)))),1,0))</f>
        <v/>
      </c>
      <c r="R2236" s="175">
        <f>IFERROR(ABS(E2236-'02_대상물건입력'!B11)/'02_대상물건입력'!B11,"")</f>
        <v/>
      </c>
      <c r="S2236" s="152">
        <f>IFERROR(ABS(J2236-'02_대상물건입력'!B10),"")</f>
        <v/>
      </c>
      <c r="T2236" s="152">
        <f>IFERROR(ABS('01_설정'!B4-F2236),"")</f>
        <v/>
      </c>
      <c r="U2236" s="152">
        <f>IFERROR(ABS(K2236-YEAR('02_대상물건입력'!B14)),"")</f>
        <v/>
      </c>
      <c r="V2236" s="152">
        <f>IF(B2236="","",IF(AND(E2236&gt;0,F2236&gt;0,H2236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2236=1,TRUE()),R2236&lt;='01_설정'!B5,S2236&lt;='01_설정'!B6,T2236&lt;='01_설정'!B7,U2236&lt;='01_설정'!B8),"Y",""))</f>
        <v/>
      </c>
      <c r="W2236" s="172">
        <f>IF(V2236&lt;&gt;"Y","",MAX(0,(1-R2236/'01_설정'!B5))*'01_설정'!B14+MAX(0,(1-S2236/'01_설정'!B6))*'01_설정'!B15+MAX(0,(1-T2236/'01_설정'!B7))*'01_설정'!B16+MAX(0,(1-U2236/'01_설정'!B8))*'01_설정'!B17+O2236*'01_설정'!B11+Q2236*'01_설정'!B12+P2236*'01_설정'!B13+IF(Z2236="",0,Z2236))</f>
        <v/>
      </c>
      <c r="X2236" s="152">
        <f>IF(W2236="","",1+COUNTIFS($W$4:$W$3003,"&gt;"&amp;W2236)+COUNTIFS($W$4:W2236,W2236)-1)</f>
        <v/>
      </c>
      <c r="Y2236" s="175">
        <f>IF(OR(I2236="",'02_대상물건입력'!B19="",'02_대상물건입력'!B19&lt;=0),"",ABS(I2236-'02_대상물건입력'!B19)/'02_대상물건입력'!B19)</f>
        <v/>
      </c>
      <c r="Z2236" s="172">
        <f>IF(OR(Y2236="",'01_설정'!B31="",'01_설정'!B31&lt;=0,'01_설정'!B32="",'01_설정'!B32&lt;=0),"",MAX(0,(1-Y2236/'01_설정'!B32))*'01_설정'!B31)</f>
        <v/>
      </c>
    </row>
    <row r="2237" ht="17.25" customHeight="1">
      <c r="A2237" s="152">
        <f>IF(INDEX('04A_국토부원자료'!$A:$A,ROW()+1)="","",ROW()-3)</f>
        <v/>
      </c>
      <c r="B2237" s="48">
        <f>IFERROR(INDEX('04A_국토부원자료'!$A:$T,ROW()+1,MATCH("시군구",'04A_국토부원자료'!$A$4:$T$4,0)),"")</f>
        <v/>
      </c>
      <c r="C2237" s="48">
        <f>IF(B2237="","",IFERROR(INDEX('04A_국토부원자료'!$A:$T,ROW()+1,MATCH("번지",'04A_국토부원자료'!$A$4:$T$4,0)),""))</f>
        <v/>
      </c>
      <c r="D2237" s="48">
        <f>IF(B2237="","",IF(Q2237=1,'02_대상물건입력'!$B$8,IFERROR(INDEX('04A_국토부원자료'!$A:$T,ROW()+1,MATCH("단지명",'04A_국토부원자료'!$A$4:$T$4,0)),"")))</f>
        <v/>
      </c>
      <c r="E2237" s="172">
        <f>IFERROR(VALUE(SUBSTITUTE(INDEX('04A_국토부원자료'!$A:$T,ROW()+1,MATCH("전용면적(㎡)",'04A_국토부원자료'!$A$4:$T$4,0)),",","")),"")</f>
        <v/>
      </c>
      <c r="F22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37" s="51">
        <f>IFERROR(VALUE(SUBSTITUTE(INDEX('04A_국토부원자료'!$A:$T,ROW()+1,MATCH("거래금액(만원)",'04A_국토부원자료'!$A$4:$T$4,0)),",","")),"")</f>
        <v/>
      </c>
      <c r="H2237" s="174">
        <f>IF(G2237="","",G2237*10000)</f>
        <v/>
      </c>
      <c r="I2237" s="174">
        <f>IFERROR(IF(AND(H2237&gt;0,E2237&gt;0),H2237/E2237,""),"")</f>
        <v/>
      </c>
      <c r="J2237" s="152">
        <f>IFERROR(VALUE(SUBSTITUTE(INDEX('04A_국토부원자료'!$A:$T,ROW()+1,MATCH("층",'04A_국토부원자료'!$A$4:$T$4,0)),",","")),"")</f>
        <v/>
      </c>
      <c r="K2237" s="152">
        <f>IFERROR(VALUE(SUBSTITUTE(INDEX('04A_국토부원자료'!$A:$T,ROW()+1,MATCH("건축년도",'04A_국토부원자료'!$A$4:$T$4,0)),",","")),"")</f>
        <v/>
      </c>
      <c r="L2237" s="48">
        <f>IFERROR(INDEX('04A_국토부원자료'!$A:$T,ROW()+1,MATCH("도로명",'04A_국토부원자료'!$A$4:$T$4,0)),"")</f>
        <v/>
      </c>
      <c r="M2237" s="48">
        <f>IFERROR(INDEX('04A_국토부원자료'!$A:$T,ROW()+1,MATCH("거래유형",'04A_국토부원자료'!$A$4:$T$4,0)),"")</f>
        <v/>
      </c>
      <c r="N2237" s="152">
        <f>IF(B2237="","",IF('02_대상물건입력'!B5="",1,IF(ISNUMBER(SEARCH('02_대상물건입력'!B5,B2237)),1,0)))</f>
        <v/>
      </c>
      <c r="O2237" s="152">
        <f>IF(B2237="","",IF('02_대상물건입력'!B6="",1,IF(ISNUMBER(SEARCH('02_대상물건입력'!B6,B2237)),1,0)))</f>
        <v/>
      </c>
      <c r="P2237" s="152">
        <f>IF(L2237="","",IF('02_대상물건입력'!B15="",0,IF(ISNUMBER(SEARCH('02_대상물건입력'!B15,L2237)),1,0)))</f>
        <v/>
      </c>
      <c r="Q2237" s="152">
        <f>IF(OR(C2237="",L2237=""),0,IF(AND(TRIM(C2237)=TRIM(RIGHT(SUBSTITUTE(TRIM('02_대상물건입력'!$B$7)," ",REPT(" ",99)),99)),IF('02_대상물건입력'!B15="",TRUE(),ISNUMBER(SEARCH('02_대상물건입력'!B15,L2237)))),1,0))</f>
        <v/>
      </c>
      <c r="R2237" s="175">
        <f>IFERROR(ABS(E2237-'02_대상물건입력'!B11)/'02_대상물건입력'!B11,"")</f>
        <v/>
      </c>
      <c r="S2237" s="152">
        <f>IFERROR(ABS(J2237-'02_대상물건입력'!B10),"")</f>
        <v/>
      </c>
      <c r="T2237" s="152">
        <f>IFERROR(ABS('01_설정'!B4-F2237),"")</f>
        <v/>
      </c>
      <c r="U2237" s="152">
        <f>IFERROR(ABS(K2237-YEAR('02_대상물건입력'!B14)),"")</f>
        <v/>
      </c>
      <c r="V2237" s="152">
        <f>IF(B2237="","",IF(AND(E2237&gt;0,F2237&gt;0,H2237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2237=1,TRUE()),R2237&lt;='01_설정'!B5,S2237&lt;='01_설정'!B6,T2237&lt;='01_설정'!B7,U2237&lt;='01_설정'!B8),"Y",""))</f>
        <v/>
      </c>
      <c r="W2237" s="172">
        <f>IF(V2237&lt;&gt;"Y","",MAX(0,(1-R2237/'01_설정'!B5))*'01_설정'!B14+MAX(0,(1-S2237/'01_설정'!B6))*'01_설정'!B15+MAX(0,(1-T2237/'01_설정'!B7))*'01_설정'!B16+MAX(0,(1-U2237/'01_설정'!B8))*'01_설정'!B17+O2237*'01_설정'!B11+Q2237*'01_설정'!B12+P2237*'01_설정'!B13+IF(Z2237="",0,Z2237))</f>
        <v/>
      </c>
      <c r="X2237" s="152">
        <f>IF(W2237="","",1+COUNTIFS($W$4:$W$3003,"&gt;"&amp;W2237)+COUNTIFS($W$4:W2237,W2237)-1)</f>
        <v/>
      </c>
      <c r="Y2237" s="175">
        <f>IF(OR(I2237="",'02_대상물건입력'!B19="",'02_대상물건입력'!B19&lt;=0),"",ABS(I2237-'02_대상물건입력'!B19)/'02_대상물건입력'!B19)</f>
        <v/>
      </c>
      <c r="Z2237" s="172">
        <f>IF(OR(Y2237="",'01_설정'!B31="",'01_설정'!B31&lt;=0,'01_설정'!B32="",'01_설정'!B32&lt;=0),"",MAX(0,(1-Y2237/'01_설정'!B32))*'01_설정'!B31)</f>
        <v/>
      </c>
    </row>
    <row r="2238" ht="17.25" customHeight="1">
      <c r="A2238" s="152">
        <f>IF(INDEX('04A_국토부원자료'!$A:$A,ROW()+1)="","",ROW()-3)</f>
        <v/>
      </c>
      <c r="B2238" s="48">
        <f>IFERROR(INDEX('04A_국토부원자료'!$A:$T,ROW()+1,MATCH("시군구",'04A_국토부원자료'!$A$4:$T$4,0)),"")</f>
        <v/>
      </c>
      <c r="C2238" s="48">
        <f>IF(B2238="","",IFERROR(INDEX('04A_국토부원자료'!$A:$T,ROW()+1,MATCH("번지",'04A_국토부원자료'!$A$4:$T$4,0)),""))</f>
        <v/>
      </c>
      <c r="D2238" s="48">
        <f>IF(B2238="","",IF(Q2238=1,'02_대상물건입력'!$B$8,IFERROR(INDEX('04A_국토부원자료'!$A:$T,ROW()+1,MATCH("단지명",'04A_국토부원자료'!$A$4:$T$4,0)),"")))</f>
        <v/>
      </c>
      <c r="E2238" s="172">
        <f>IFERROR(VALUE(SUBSTITUTE(INDEX('04A_국토부원자료'!$A:$T,ROW()+1,MATCH("전용면적(㎡)",'04A_국토부원자료'!$A$4:$T$4,0)),",","")),"")</f>
        <v/>
      </c>
      <c r="F22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38" s="51">
        <f>IFERROR(VALUE(SUBSTITUTE(INDEX('04A_국토부원자료'!$A:$T,ROW()+1,MATCH("거래금액(만원)",'04A_국토부원자료'!$A$4:$T$4,0)),",","")),"")</f>
        <v/>
      </c>
      <c r="H2238" s="174">
        <f>IF(G2238="","",G2238*10000)</f>
        <v/>
      </c>
      <c r="I2238" s="174">
        <f>IFERROR(IF(AND(H2238&gt;0,E2238&gt;0),H2238/E2238,""),"")</f>
        <v/>
      </c>
      <c r="J2238" s="152">
        <f>IFERROR(VALUE(SUBSTITUTE(INDEX('04A_국토부원자료'!$A:$T,ROW()+1,MATCH("층",'04A_국토부원자료'!$A$4:$T$4,0)),",","")),"")</f>
        <v/>
      </c>
      <c r="K2238" s="152">
        <f>IFERROR(VALUE(SUBSTITUTE(INDEX('04A_국토부원자료'!$A:$T,ROW()+1,MATCH("건축년도",'04A_국토부원자료'!$A$4:$T$4,0)),",","")),"")</f>
        <v/>
      </c>
      <c r="L2238" s="48">
        <f>IFERROR(INDEX('04A_국토부원자료'!$A:$T,ROW()+1,MATCH("도로명",'04A_국토부원자료'!$A$4:$T$4,0)),"")</f>
        <v/>
      </c>
      <c r="M2238" s="48">
        <f>IFERROR(INDEX('04A_국토부원자료'!$A:$T,ROW()+1,MATCH("거래유형",'04A_국토부원자료'!$A$4:$T$4,0)),"")</f>
        <v/>
      </c>
      <c r="N2238" s="152">
        <f>IF(B2238="","",IF('02_대상물건입력'!B5="",1,IF(ISNUMBER(SEARCH('02_대상물건입력'!B5,B2238)),1,0)))</f>
        <v/>
      </c>
      <c r="O2238" s="152">
        <f>IF(B2238="","",IF('02_대상물건입력'!B6="",1,IF(ISNUMBER(SEARCH('02_대상물건입력'!B6,B2238)),1,0)))</f>
        <v/>
      </c>
      <c r="P2238" s="152">
        <f>IF(L2238="","",IF('02_대상물건입력'!B15="",0,IF(ISNUMBER(SEARCH('02_대상물건입력'!B15,L2238)),1,0)))</f>
        <v/>
      </c>
      <c r="Q2238" s="152">
        <f>IF(OR(C2238="",L2238=""),0,IF(AND(TRIM(C2238)=TRIM(RIGHT(SUBSTITUTE(TRIM('02_대상물건입력'!$B$7)," ",REPT(" ",99)),99)),IF('02_대상물건입력'!B15="",TRUE(),ISNUMBER(SEARCH('02_대상물건입력'!B15,L2238)))),1,0))</f>
        <v/>
      </c>
      <c r="R2238" s="175">
        <f>IFERROR(ABS(E2238-'02_대상물건입력'!B11)/'02_대상물건입력'!B11,"")</f>
        <v/>
      </c>
      <c r="S2238" s="152">
        <f>IFERROR(ABS(J2238-'02_대상물건입력'!B10),"")</f>
        <v/>
      </c>
      <c r="T2238" s="152">
        <f>IFERROR(ABS('01_설정'!B4-F2238),"")</f>
        <v/>
      </c>
      <c r="U2238" s="152">
        <f>IFERROR(ABS(K2238-YEAR('02_대상물건입력'!B14)),"")</f>
        <v/>
      </c>
      <c r="V2238" s="152">
        <f>IF(B2238="","",IF(AND(E2238&gt;0,F2238&gt;0,H2238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2238=1,TRUE()),R2238&lt;='01_설정'!B5,S2238&lt;='01_설정'!B6,T2238&lt;='01_설정'!B7,U2238&lt;='01_설정'!B8),"Y",""))</f>
        <v/>
      </c>
      <c r="W2238" s="172">
        <f>IF(V2238&lt;&gt;"Y","",MAX(0,(1-R2238/'01_설정'!B5))*'01_설정'!B14+MAX(0,(1-S2238/'01_설정'!B6))*'01_설정'!B15+MAX(0,(1-T2238/'01_설정'!B7))*'01_설정'!B16+MAX(0,(1-U2238/'01_설정'!B8))*'01_설정'!B17+O2238*'01_설정'!B11+Q2238*'01_설정'!B12+P2238*'01_설정'!B13+IF(Z2238="",0,Z2238))</f>
        <v/>
      </c>
      <c r="X2238" s="152">
        <f>IF(W2238="","",1+COUNTIFS($W$4:$W$3003,"&gt;"&amp;W2238)+COUNTIFS($W$4:W2238,W2238)-1)</f>
        <v/>
      </c>
      <c r="Y2238" s="175">
        <f>IF(OR(I2238="",'02_대상물건입력'!B19="",'02_대상물건입력'!B19&lt;=0),"",ABS(I2238-'02_대상물건입력'!B19)/'02_대상물건입력'!B19)</f>
        <v/>
      </c>
      <c r="Z2238" s="172">
        <f>IF(OR(Y2238="",'01_설정'!B31="",'01_설정'!B31&lt;=0,'01_설정'!B32="",'01_설정'!B32&lt;=0),"",MAX(0,(1-Y2238/'01_설정'!B32))*'01_설정'!B31)</f>
        <v/>
      </c>
    </row>
    <row r="2239" ht="17.25" customHeight="1">
      <c r="A2239" s="152">
        <f>IF(INDEX('04A_국토부원자료'!$A:$A,ROW()+1)="","",ROW()-3)</f>
        <v/>
      </c>
      <c r="B2239" s="48">
        <f>IFERROR(INDEX('04A_국토부원자료'!$A:$T,ROW()+1,MATCH("시군구",'04A_국토부원자료'!$A$4:$T$4,0)),"")</f>
        <v/>
      </c>
      <c r="C2239" s="48">
        <f>IF(B2239="","",IFERROR(INDEX('04A_국토부원자료'!$A:$T,ROW()+1,MATCH("번지",'04A_국토부원자료'!$A$4:$T$4,0)),""))</f>
        <v/>
      </c>
      <c r="D2239" s="48">
        <f>IF(B2239="","",IF(Q2239=1,'02_대상물건입력'!$B$8,IFERROR(INDEX('04A_국토부원자료'!$A:$T,ROW()+1,MATCH("단지명",'04A_국토부원자료'!$A$4:$T$4,0)),"")))</f>
        <v/>
      </c>
      <c r="E2239" s="172">
        <f>IFERROR(VALUE(SUBSTITUTE(INDEX('04A_국토부원자료'!$A:$T,ROW()+1,MATCH("전용면적(㎡)",'04A_국토부원자료'!$A$4:$T$4,0)),",","")),"")</f>
        <v/>
      </c>
      <c r="F22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39" s="51">
        <f>IFERROR(VALUE(SUBSTITUTE(INDEX('04A_국토부원자료'!$A:$T,ROW()+1,MATCH("거래금액(만원)",'04A_국토부원자료'!$A$4:$T$4,0)),",","")),"")</f>
        <v/>
      </c>
      <c r="H2239" s="174">
        <f>IF(G2239="","",G2239*10000)</f>
        <v/>
      </c>
      <c r="I2239" s="174">
        <f>IFERROR(IF(AND(H2239&gt;0,E2239&gt;0),H2239/E2239,""),"")</f>
        <v/>
      </c>
      <c r="J2239" s="152">
        <f>IFERROR(VALUE(SUBSTITUTE(INDEX('04A_국토부원자료'!$A:$T,ROW()+1,MATCH("층",'04A_국토부원자료'!$A$4:$T$4,0)),",","")),"")</f>
        <v/>
      </c>
      <c r="K2239" s="152">
        <f>IFERROR(VALUE(SUBSTITUTE(INDEX('04A_국토부원자료'!$A:$T,ROW()+1,MATCH("건축년도",'04A_국토부원자료'!$A$4:$T$4,0)),",","")),"")</f>
        <v/>
      </c>
      <c r="L2239" s="48">
        <f>IFERROR(INDEX('04A_국토부원자료'!$A:$T,ROW()+1,MATCH("도로명",'04A_국토부원자료'!$A$4:$T$4,0)),"")</f>
        <v/>
      </c>
      <c r="M2239" s="48">
        <f>IFERROR(INDEX('04A_국토부원자료'!$A:$T,ROW()+1,MATCH("거래유형",'04A_국토부원자료'!$A$4:$T$4,0)),"")</f>
        <v/>
      </c>
      <c r="N2239" s="152">
        <f>IF(B2239="","",IF('02_대상물건입력'!B5="",1,IF(ISNUMBER(SEARCH('02_대상물건입력'!B5,B2239)),1,0)))</f>
        <v/>
      </c>
      <c r="O2239" s="152">
        <f>IF(B2239="","",IF('02_대상물건입력'!B6="",1,IF(ISNUMBER(SEARCH('02_대상물건입력'!B6,B2239)),1,0)))</f>
        <v/>
      </c>
      <c r="P2239" s="152">
        <f>IF(L2239="","",IF('02_대상물건입력'!B15="",0,IF(ISNUMBER(SEARCH('02_대상물건입력'!B15,L2239)),1,0)))</f>
        <v/>
      </c>
      <c r="Q2239" s="152">
        <f>IF(OR(C2239="",L2239=""),0,IF(AND(TRIM(C2239)=TRIM(RIGHT(SUBSTITUTE(TRIM('02_대상물건입력'!$B$7)," ",REPT(" ",99)),99)),IF('02_대상물건입력'!B15="",TRUE(),ISNUMBER(SEARCH('02_대상물건입력'!B15,L2239)))),1,0))</f>
        <v/>
      </c>
      <c r="R2239" s="175">
        <f>IFERROR(ABS(E2239-'02_대상물건입력'!B11)/'02_대상물건입력'!B11,"")</f>
        <v/>
      </c>
      <c r="S2239" s="152">
        <f>IFERROR(ABS(J2239-'02_대상물건입력'!B10),"")</f>
        <v/>
      </c>
      <c r="T2239" s="152">
        <f>IFERROR(ABS('01_설정'!B4-F2239),"")</f>
        <v/>
      </c>
      <c r="U2239" s="152">
        <f>IFERROR(ABS(K2239-YEAR('02_대상물건입력'!B14)),"")</f>
        <v/>
      </c>
      <c r="V2239" s="152">
        <f>IF(B2239="","",IF(AND(E2239&gt;0,F2239&gt;0,H2239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2239=1,TRUE()),R2239&lt;='01_설정'!B5,S2239&lt;='01_설정'!B6,T2239&lt;='01_설정'!B7,U2239&lt;='01_설정'!B8),"Y",""))</f>
        <v/>
      </c>
      <c r="W2239" s="172">
        <f>IF(V2239&lt;&gt;"Y","",MAX(0,(1-R2239/'01_설정'!B5))*'01_설정'!B14+MAX(0,(1-S2239/'01_설정'!B6))*'01_설정'!B15+MAX(0,(1-T2239/'01_설정'!B7))*'01_설정'!B16+MAX(0,(1-U2239/'01_설정'!B8))*'01_설정'!B17+O2239*'01_설정'!B11+Q2239*'01_설정'!B12+P2239*'01_설정'!B13+IF(Z2239="",0,Z2239))</f>
        <v/>
      </c>
      <c r="X2239" s="152">
        <f>IF(W2239="","",1+COUNTIFS($W$4:$W$3003,"&gt;"&amp;W2239)+COUNTIFS($W$4:W2239,W2239)-1)</f>
        <v/>
      </c>
      <c r="Y2239" s="175">
        <f>IF(OR(I2239="",'02_대상물건입력'!B19="",'02_대상물건입력'!B19&lt;=0),"",ABS(I2239-'02_대상물건입력'!B19)/'02_대상물건입력'!B19)</f>
        <v/>
      </c>
      <c r="Z2239" s="172">
        <f>IF(OR(Y2239="",'01_설정'!B31="",'01_설정'!B31&lt;=0,'01_설정'!B32="",'01_설정'!B32&lt;=0),"",MAX(0,(1-Y2239/'01_설정'!B32))*'01_설정'!B31)</f>
        <v/>
      </c>
    </row>
    <row r="2240" ht="17.25" customHeight="1">
      <c r="A2240" s="152">
        <f>IF(INDEX('04A_국토부원자료'!$A:$A,ROW()+1)="","",ROW()-3)</f>
        <v/>
      </c>
      <c r="B2240" s="48">
        <f>IFERROR(INDEX('04A_국토부원자료'!$A:$T,ROW()+1,MATCH("시군구",'04A_국토부원자료'!$A$4:$T$4,0)),"")</f>
        <v/>
      </c>
      <c r="C2240" s="48">
        <f>IF(B2240="","",IFERROR(INDEX('04A_국토부원자료'!$A:$T,ROW()+1,MATCH("번지",'04A_국토부원자료'!$A$4:$T$4,0)),""))</f>
        <v/>
      </c>
      <c r="D2240" s="48">
        <f>IF(B2240="","",IF(Q2240=1,'02_대상물건입력'!$B$8,IFERROR(INDEX('04A_국토부원자료'!$A:$T,ROW()+1,MATCH("단지명",'04A_국토부원자료'!$A$4:$T$4,0)),"")))</f>
        <v/>
      </c>
      <c r="E2240" s="172">
        <f>IFERROR(VALUE(SUBSTITUTE(INDEX('04A_국토부원자료'!$A:$T,ROW()+1,MATCH("전용면적(㎡)",'04A_국토부원자료'!$A$4:$T$4,0)),",","")),"")</f>
        <v/>
      </c>
      <c r="F22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40" s="51">
        <f>IFERROR(VALUE(SUBSTITUTE(INDEX('04A_국토부원자료'!$A:$T,ROW()+1,MATCH("거래금액(만원)",'04A_국토부원자료'!$A$4:$T$4,0)),",","")),"")</f>
        <v/>
      </c>
      <c r="H2240" s="174">
        <f>IF(G2240="","",G2240*10000)</f>
        <v/>
      </c>
      <c r="I2240" s="174">
        <f>IFERROR(IF(AND(H2240&gt;0,E2240&gt;0),H2240/E2240,""),"")</f>
        <v/>
      </c>
      <c r="J2240" s="152">
        <f>IFERROR(VALUE(SUBSTITUTE(INDEX('04A_국토부원자료'!$A:$T,ROW()+1,MATCH("층",'04A_국토부원자료'!$A$4:$T$4,0)),",","")),"")</f>
        <v/>
      </c>
      <c r="K2240" s="152">
        <f>IFERROR(VALUE(SUBSTITUTE(INDEX('04A_국토부원자료'!$A:$T,ROW()+1,MATCH("건축년도",'04A_국토부원자료'!$A$4:$T$4,0)),",","")),"")</f>
        <v/>
      </c>
      <c r="L2240" s="48">
        <f>IFERROR(INDEX('04A_국토부원자료'!$A:$T,ROW()+1,MATCH("도로명",'04A_국토부원자료'!$A$4:$T$4,0)),"")</f>
        <v/>
      </c>
      <c r="M2240" s="48">
        <f>IFERROR(INDEX('04A_국토부원자료'!$A:$T,ROW()+1,MATCH("거래유형",'04A_국토부원자료'!$A$4:$T$4,0)),"")</f>
        <v/>
      </c>
      <c r="N2240" s="152">
        <f>IF(B2240="","",IF('02_대상물건입력'!B5="",1,IF(ISNUMBER(SEARCH('02_대상물건입력'!B5,B2240)),1,0)))</f>
        <v/>
      </c>
      <c r="O2240" s="152">
        <f>IF(B2240="","",IF('02_대상물건입력'!B6="",1,IF(ISNUMBER(SEARCH('02_대상물건입력'!B6,B2240)),1,0)))</f>
        <v/>
      </c>
      <c r="P2240" s="152">
        <f>IF(L2240="","",IF('02_대상물건입력'!B15="",0,IF(ISNUMBER(SEARCH('02_대상물건입력'!B15,L2240)),1,0)))</f>
        <v/>
      </c>
      <c r="Q2240" s="152">
        <f>IF(OR(C2240="",L2240=""),0,IF(AND(TRIM(C2240)=TRIM(RIGHT(SUBSTITUTE(TRIM('02_대상물건입력'!$B$7)," ",REPT(" ",99)),99)),IF('02_대상물건입력'!B15="",TRUE(),ISNUMBER(SEARCH('02_대상물건입력'!B15,L2240)))),1,0))</f>
        <v/>
      </c>
      <c r="R2240" s="175">
        <f>IFERROR(ABS(E2240-'02_대상물건입력'!B11)/'02_대상물건입력'!B11,"")</f>
        <v/>
      </c>
      <c r="S2240" s="152">
        <f>IFERROR(ABS(J2240-'02_대상물건입력'!B10),"")</f>
        <v/>
      </c>
      <c r="T2240" s="152">
        <f>IFERROR(ABS('01_설정'!B4-F2240),"")</f>
        <v/>
      </c>
      <c r="U2240" s="152">
        <f>IFERROR(ABS(K2240-YEAR('02_대상물건입력'!B14)),"")</f>
        <v/>
      </c>
      <c r="V2240" s="152">
        <f>IF(B2240="","",IF(AND(E2240&gt;0,F2240&gt;0,H2240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2240=1,TRUE()),R2240&lt;='01_설정'!B5,S2240&lt;='01_설정'!B6,T2240&lt;='01_설정'!B7,U2240&lt;='01_설정'!B8),"Y",""))</f>
        <v/>
      </c>
      <c r="W2240" s="172">
        <f>IF(V2240&lt;&gt;"Y","",MAX(0,(1-R2240/'01_설정'!B5))*'01_설정'!B14+MAX(0,(1-S2240/'01_설정'!B6))*'01_설정'!B15+MAX(0,(1-T2240/'01_설정'!B7))*'01_설정'!B16+MAX(0,(1-U2240/'01_설정'!B8))*'01_설정'!B17+O2240*'01_설정'!B11+Q2240*'01_설정'!B12+P2240*'01_설정'!B13+IF(Z2240="",0,Z2240))</f>
        <v/>
      </c>
      <c r="X2240" s="152">
        <f>IF(W2240="","",1+COUNTIFS($W$4:$W$3003,"&gt;"&amp;W2240)+COUNTIFS($W$4:W2240,W2240)-1)</f>
        <v/>
      </c>
      <c r="Y2240" s="175">
        <f>IF(OR(I2240="",'02_대상물건입력'!B19="",'02_대상물건입력'!B19&lt;=0),"",ABS(I2240-'02_대상물건입력'!B19)/'02_대상물건입력'!B19)</f>
        <v/>
      </c>
      <c r="Z2240" s="172">
        <f>IF(OR(Y2240="",'01_설정'!B31="",'01_설정'!B31&lt;=0,'01_설정'!B32="",'01_설정'!B32&lt;=0),"",MAX(0,(1-Y2240/'01_설정'!B32))*'01_설정'!B31)</f>
        <v/>
      </c>
    </row>
    <row r="2241" ht="17.25" customHeight="1">
      <c r="A2241" s="152">
        <f>IF(INDEX('04A_국토부원자료'!$A:$A,ROW()+1)="","",ROW()-3)</f>
        <v/>
      </c>
      <c r="B2241" s="48">
        <f>IFERROR(INDEX('04A_국토부원자료'!$A:$T,ROW()+1,MATCH("시군구",'04A_국토부원자료'!$A$4:$T$4,0)),"")</f>
        <v/>
      </c>
      <c r="C2241" s="48">
        <f>IF(B2241="","",IFERROR(INDEX('04A_국토부원자료'!$A:$T,ROW()+1,MATCH("번지",'04A_국토부원자료'!$A$4:$T$4,0)),""))</f>
        <v/>
      </c>
      <c r="D2241" s="48">
        <f>IF(B2241="","",IF(Q2241=1,'02_대상물건입력'!$B$8,IFERROR(INDEX('04A_국토부원자료'!$A:$T,ROW()+1,MATCH("단지명",'04A_국토부원자료'!$A$4:$T$4,0)),"")))</f>
        <v/>
      </c>
      <c r="E2241" s="172">
        <f>IFERROR(VALUE(SUBSTITUTE(INDEX('04A_국토부원자료'!$A:$T,ROW()+1,MATCH("전용면적(㎡)",'04A_국토부원자료'!$A$4:$T$4,0)),",","")),"")</f>
        <v/>
      </c>
      <c r="F22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41" s="51">
        <f>IFERROR(VALUE(SUBSTITUTE(INDEX('04A_국토부원자료'!$A:$T,ROW()+1,MATCH("거래금액(만원)",'04A_국토부원자료'!$A$4:$T$4,0)),",","")),"")</f>
        <v/>
      </c>
      <c r="H2241" s="174">
        <f>IF(G2241="","",G2241*10000)</f>
        <v/>
      </c>
      <c r="I2241" s="174">
        <f>IFERROR(IF(AND(H2241&gt;0,E2241&gt;0),H2241/E2241,""),"")</f>
        <v/>
      </c>
      <c r="J2241" s="152">
        <f>IFERROR(VALUE(SUBSTITUTE(INDEX('04A_국토부원자료'!$A:$T,ROW()+1,MATCH("층",'04A_국토부원자료'!$A$4:$T$4,0)),",","")),"")</f>
        <v/>
      </c>
      <c r="K2241" s="152">
        <f>IFERROR(VALUE(SUBSTITUTE(INDEX('04A_국토부원자료'!$A:$T,ROW()+1,MATCH("건축년도",'04A_국토부원자료'!$A$4:$T$4,0)),",","")),"")</f>
        <v/>
      </c>
      <c r="L2241" s="48">
        <f>IFERROR(INDEX('04A_국토부원자료'!$A:$T,ROW()+1,MATCH("도로명",'04A_국토부원자료'!$A$4:$T$4,0)),"")</f>
        <v/>
      </c>
      <c r="M2241" s="48">
        <f>IFERROR(INDEX('04A_국토부원자료'!$A:$T,ROW()+1,MATCH("거래유형",'04A_국토부원자료'!$A$4:$T$4,0)),"")</f>
        <v/>
      </c>
      <c r="N2241" s="152">
        <f>IF(B2241="","",IF('02_대상물건입력'!B5="",1,IF(ISNUMBER(SEARCH('02_대상물건입력'!B5,B2241)),1,0)))</f>
        <v/>
      </c>
      <c r="O2241" s="152">
        <f>IF(B2241="","",IF('02_대상물건입력'!B6="",1,IF(ISNUMBER(SEARCH('02_대상물건입력'!B6,B2241)),1,0)))</f>
        <v/>
      </c>
      <c r="P2241" s="152">
        <f>IF(L2241="","",IF('02_대상물건입력'!B15="",0,IF(ISNUMBER(SEARCH('02_대상물건입력'!B15,L2241)),1,0)))</f>
        <v/>
      </c>
      <c r="Q2241" s="152">
        <f>IF(OR(C2241="",L2241=""),0,IF(AND(TRIM(C2241)=TRIM(RIGHT(SUBSTITUTE(TRIM('02_대상물건입력'!$B$7)," ",REPT(" ",99)),99)),IF('02_대상물건입력'!B15="",TRUE(),ISNUMBER(SEARCH('02_대상물건입력'!B15,L2241)))),1,0))</f>
        <v/>
      </c>
      <c r="R2241" s="175">
        <f>IFERROR(ABS(E2241-'02_대상물건입력'!B11)/'02_대상물건입력'!B11,"")</f>
        <v/>
      </c>
      <c r="S2241" s="152">
        <f>IFERROR(ABS(J2241-'02_대상물건입력'!B10),"")</f>
        <v/>
      </c>
      <c r="T2241" s="152">
        <f>IFERROR(ABS('01_설정'!B4-F2241),"")</f>
        <v/>
      </c>
      <c r="U2241" s="152">
        <f>IFERROR(ABS(K2241-YEAR('02_대상물건입력'!B14)),"")</f>
        <v/>
      </c>
      <c r="V2241" s="152">
        <f>IF(B2241="","",IF(AND(E2241&gt;0,F2241&gt;0,H2241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2241=1,TRUE()),R2241&lt;='01_설정'!B5,S2241&lt;='01_설정'!B6,T2241&lt;='01_설정'!B7,U2241&lt;='01_설정'!B8),"Y",""))</f>
        <v/>
      </c>
      <c r="W2241" s="172">
        <f>IF(V2241&lt;&gt;"Y","",MAX(0,(1-R2241/'01_설정'!B5))*'01_설정'!B14+MAX(0,(1-S2241/'01_설정'!B6))*'01_설정'!B15+MAX(0,(1-T2241/'01_설정'!B7))*'01_설정'!B16+MAX(0,(1-U2241/'01_설정'!B8))*'01_설정'!B17+O2241*'01_설정'!B11+Q2241*'01_설정'!B12+P2241*'01_설정'!B13+IF(Z2241="",0,Z2241))</f>
        <v/>
      </c>
      <c r="X2241" s="152">
        <f>IF(W2241="","",1+COUNTIFS($W$4:$W$3003,"&gt;"&amp;W2241)+COUNTIFS($W$4:W2241,W2241)-1)</f>
        <v/>
      </c>
      <c r="Y2241" s="175">
        <f>IF(OR(I2241="",'02_대상물건입력'!B19="",'02_대상물건입력'!B19&lt;=0),"",ABS(I2241-'02_대상물건입력'!B19)/'02_대상물건입력'!B19)</f>
        <v/>
      </c>
      <c r="Z2241" s="172">
        <f>IF(OR(Y2241="",'01_설정'!B31="",'01_설정'!B31&lt;=0,'01_설정'!B32="",'01_설정'!B32&lt;=0),"",MAX(0,(1-Y2241/'01_설정'!B32))*'01_설정'!B31)</f>
        <v/>
      </c>
    </row>
    <row r="2242" ht="17.25" customHeight="1">
      <c r="A2242" s="152">
        <f>IF(INDEX('04A_국토부원자료'!$A:$A,ROW()+1)="","",ROW()-3)</f>
        <v/>
      </c>
      <c r="B2242" s="48">
        <f>IFERROR(INDEX('04A_국토부원자료'!$A:$T,ROW()+1,MATCH("시군구",'04A_국토부원자료'!$A$4:$T$4,0)),"")</f>
        <v/>
      </c>
      <c r="C2242" s="48">
        <f>IF(B2242="","",IFERROR(INDEX('04A_국토부원자료'!$A:$T,ROW()+1,MATCH("번지",'04A_국토부원자료'!$A$4:$T$4,0)),""))</f>
        <v/>
      </c>
      <c r="D2242" s="48">
        <f>IF(B2242="","",IF(Q2242=1,'02_대상물건입력'!$B$8,IFERROR(INDEX('04A_국토부원자료'!$A:$T,ROW()+1,MATCH("단지명",'04A_국토부원자료'!$A$4:$T$4,0)),"")))</f>
        <v/>
      </c>
      <c r="E2242" s="172">
        <f>IFERROR(VALUE(SUBSTITUTE(INDEX('04A_국토부원자료'!$A:$T,ROW()+1,MATCH("전용면적(㎡)",'04A_국토부원자료'!$A$4:$T$4,0)),",","")),"")</f>
        <v/>
      </c>
      <c r="F22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42" s="51">
        <f>IFERROR(VALUE(SUBSTITUTE(INDEX('04A_국토부원자료'!$A:$T,ROW()+1,MATCH("거래금액(만원)",'04A_국토부원자료'!$A$4:$T$4,0)),",","")),"")</f>
        <v/>
      </c>
      <c r="H2242" s="174">
        <f>IF(G2242="","",G2242*10000)</f>
        <v/>
      </c>
      <c r="I2242" s="174">
        <f>IFERROR(IF(AND(H2242&gt;0,E2242&gt;0),H2242/E2242,""),"")</f>
        <v/>
      </c>
      <c r="J2242" s="152">
        <f>IFERROR(VALUE(SUBSTITUTE(INDEX('04A_국토부원자료'!$A:$T,ROW()+1,MATCH("층",'04A_국토부원자료'!$A$4:$T$4,0)),",","")),"")</f>
        <v/>
      </c>
      <c r="K2242" s="152">
        <f>IFERROR(VALUE(SUBSTITUTE(INDEX('04A_국토부원자료'!$A:$T,ROW()+1,MATCH("건축년도",'04A_국토부원자료'!$A$4:$T$4,0)),",","")),"")</f>
        <v/>
      </c>
      <c r="L2242" s="48">
        <f>IFERROR(INDEX('04A_국토부원자료'!$A:$T,ROW()+1,MATCH("도로명",'04A_국토부원자료'!$A$4:$T$4,0)),"")</f>
        <v/>
      </c>
      <c r="M2242" s="48">
        <f>IFERROR(INDEX('04A_국토부원자료'!$A:$T,ROW()+1,MATCH("거래유형",'04A_국토부원자료'!$A$4:$T$4,0)),"")</f>
        <v/>
      </c>
      <c r="N2242" s="152">
        <f>IF(B2242="","",IF('02_대상물건입력'!B5="",1,IF(ISNUMBER(SEARCH('02_대상물건입력'!B5,B2242)),1,0)))</f>
        <v/>
      </c>
      <c r="O2242" s="152">
        <f>IF(B2242="","",IF('02_대상물건입력'!B6="",1,IF(ISNUMBER(SEARCH('02_대상물건입력'!B6,B2242)),1,0)))</f>
        <v/>
      </c>
      <c r="P2242" s="152">
        <f>IF(L2242="","",IF('02_대상물건입력'!B15="",0,IF(ISNUMBER(SEARCH('02_대상물건입력'!B15,L2242)),1,0)))</f>
        <v/>
      </c>
      <c r="Q2242" s="152">
        <f>IF(OR(C2242="",L2242=""),0,IF(AND(TRIM(C2242)=TRIM(RIGHT(SUBSTITUTE(TRIM('02_대상물건입력'!$B$7)," ",REPT(" ",99)),99)),IF('02_대상물건입력'!B15="",TRUE(),ISNUMBER(SEARCH('02_대상물건입력'!B15,L2242)))),1,0))</f>
        <v/>
      </c>
      <c r="R2242" s="175">
        <f>IFERROR(ABS(E2242-'02_대상물건입력'!B11)/'02_대상물건입력'!B11,"")</f>
        <v/>
      </c>
      <c r="S2242" s="152">
        <f>IFERROR(ABS(J2242-'02_대상물건입력'!B10),"")</f>
        <v/>
      </c>
      <c r="T2242" s="152">
        <f>IFERROR(ABS('01_설정'!B4-F2242),"")</f>
        <v/>
      </c>
      <c r="U2242" s="152">
        <f>IFERROR(ABS(K2242-YEAR('02_대상물건입력'!B14)),"")</f>
        <v/>
      </c>
      <c r="V2242" s="152">
        <f>IF(B2242="","",IF(AND(E2242&gt;0,F2242&gt;0,H2242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2242=1,TRUE()),R2242&lt;='01_설정'!B5,S2242&lt;='01_설정'!B6,T2242&lt;='01_설정'!B7,U2242&lt;='01_설정'!B8),"Y",""))</f>
        <v/>
      </c>
      <c r="W2242" s="172">
        <f>IF(V2242&lt;&gt;"Y","",MAX(0,(1-R2242/'01_설정'!B5))*'01_설정'!B14+MAX(0,(1-S2242/'01_설정'!B6))*'01_설정'!B15+MAX(0,(1-T2242/'01_설정'!B7))*'01_설정'!B16+MAX(0,(1-U2242/'01_설정'!B8))*'01_설정'!B17+O2242*'01_설정'!B11+Q2242*'01_설정'!B12+P2242*'01_설정'!B13+IF(Z2242="",0,Z2242))</f>
        <v/>
      </c>
      <c r="X2242" s="152">
        <f>IF(W2242="","",1+COUNTIFS($W$4:$W$3003,"&gt;"&amp;W2242)+COUNTIFS($W$4:W2242,W2242)-1)</f>
        <v/>
      </c>
      <c r="Y2242" s="175">
        <f>IF(OR(I2242="",'02_대상물건입력'!B19="",'02_대상물건입력'!B19&lt;=0),"",ABS(I2242-'02_대상물건입력'!B19)/'02_대상물건입력'!B19)</f>
        <v/>
      </c>
      <c r="Z2242" s="172">
        <f>IF(OR(Y2242="",'01_설정'!B31="",'01_설정'!B31&lt;=0,'01_설정'!B32="",'01_설정'!B32&lt;=0),"",MAX(0,(1-Y2242/'01_설정'!B32))*'01_설정'!B31)</f>
        <v/>
      </c>
    </row>
    <row r="2243" ht="17.25" customHeight="1">
      <c r="A2243" s="152">
        <f>IF(INDEX('04A_국토부원자료'!$A:$A,ROW()+1)="","",ROW()-3)</f>
        <v/>
      </c>
      <c r="B2243" s="48">
        <f>IFERROR(INDEX('04A_국토부원자료'!$A:$T,ROW()+1,MATCH("시군구",'04A_국토부원자료'!$A$4:$T$4,0)),"")</f>
        <v/>
      </c>
      <c r="C2243" s="48">
        <f>IF(B2243="","",IFERROR(INDEX('04A_국토부원자료'!$A:$T,ROW()+1,MATCH("번지",'04A_국토부원자료'!$A$4:$T$4,0)),""))</f>
        <v/>
      </c>
      <c r="D2243" s="48">
        <f>IF(B2243="","",IF(Q2243=1,'02_대상물건입력'!$B$8,IFERROR(INDEX('04A_국토부원자료'!$A:$T,ROW()+1,MATCH("단지명",'04A_국토부원자료'!$A$4:$T$4,0)),"")))</f>
        <v/>
      </c>
      <c r="E2243" s="172">
        <f>IFERROR(VALUE(SUBSTITUTE(INDEX('04A_국토부원자료'!$A:$T,ROW()+1,MATCH("전용면적(㎡)",'04A_국토부원자료'!$A$4:$T$4,0)),",","")),"")</f>
        <v/>
      </c>
      <c r="F22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43" s="51">
        <f>IFERROR(VALUE(SUBSTITUTE(INDEX('04A_국토부원자료'!$A:$T,ROW()+1,MATCH("거래금액(만원)",'04A_국토부원자료'!$A$4:$T$4,0)),",","")),"")</f>
        <v/>
      </c>
      <c r="H2243" s="174">
        <f>IF(G2243="","",G2243*10000)</f>
        <v/>
      </c>
      <c r="I2243" s="174">
        <f>IFERROR(IF(AND(H2243&gt;0,E2243&gt;0),H2243/E2243,""),"")</f>
        <v/>
      </c>
      <c r="J2243" s="152">
        <f>IFERROR(VALUE(SUBSTITUTE(INDEX('04A_국토부원자료'!$A:$T,ROW()+1,MATCH("층",'04A_국토부원자료'!$A$4:$T$4,0)),",","")),"")</f>
        <v/>
      </c>
      <c r="K2243" s="152">
        <f>IFERROR(VALUE(SUBSTITUTE(INDEX('04A_국토부원자료'!$A:$T,ROW()+1,MATCH("건축년도",'04A_국토부원자료'!$A$4:$T$4,0)),",","")),"")</f>
        <v/>
      </c>
      <c r="L2243" s="48">
        <f>IFERROR(INDEX('04A_국토부원자료'!$A:$T,ROW()+1,MATCH("도로명",'04A_국토부원자료'!$A$4:$T$4,0)),"")</f>
        <v/>
      </c>
      <c r="M2243" s="48">
        <f>IFERROR(INDEX('04A_국토부원자료'!$A:$T,ROW()+1,MATCH("거래유형",'04A_국토부원자료'!$A$4:$T$4,0)),"")</f>
        <v/>
      </c>
      <c r="N2243" s="152">
        <f>IF(B2243="","",IF('02_대상물건입력'!B5="",1,IF(ISNUMBER(SEARCH('02_대상물건입력'!B5,B2243)),1,0)))</f>
        <v/>
      </c>
      <c r="O2243" s="152">
        <f>IF(B2243="","",IF('02_대상물건입력'!B6="",1,IF(ISNUMBER(SEARCH('02_대상물건입력'!B6,B2243)),1,0)))</f>
        <v/>
      </c>
      <c r="P2243" s="152">
        <f>IF(L2243="","",IF('02_대상물건입력'!B15="",0,IF(ISNUMBER(SEARCH('02_대상물건입력'!B15,L2243)),1,0)))</f>
        <v/>
      </c>
      <c r="Q2243" s="152">
        <f>IF(OR(C2243="",L2243=""),0,IF(AND(TRIM(C2243)=TRIM(RIGHT(SUBSTITUTE(TRIM('02_대상물건입력'!$B$7)," ",REPT(" ",99)),99)),IF('02_대상물건입력'!B15="",TRUE(),ISNUMBER(SEARCH('02_대상물건입력'!B15,L2243)))),1,0))</f>
        <v/>
      </c>
      <c r="R2243" s="175">
        <f>IFERROR(ABS(E2243-'02_대상물건입력'!B11)/'02_대상물건입력'!B11,"")</f>
        <v/>
      </c>
      <c r="S2243" s="152">
        <f>IFERROR(ABS(J2243-'02_대상물건입력'!B10),"")</f>
        <v/>
      </c>
      <c r="T2243" s="152">
        <f>IFERROR(ABS('01_설정'!B4-F2243),"")</f>
        <v/>
      </c>
      <c r="U2243" s="152">
        <f>IFERROR(ABS(K2243-YEAR('02_대상물건입력'!B14)),"")</f>
        <v/>
      </c>
      <c r="V2243" s="152">
        <f>IF(B2243="","",IF(AND(E2243&gt;0,F2243&gt;0,H2243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2243=1,TRUE()),R2243&lt;='01_설정'!B5,S2243&lt;='01_설정'!B6,T2243&lt;='01_설정'!B7,U2243&lt;='01_설정'!B8),"Y",""))</f>
        <v/>
      </c>
      <c r="W2243" s="172">
        <f>IF(V2243&lt;&gt;"Y","",MAX(0,(1-R2243/'01_설정'!B5))*'01_설정'!B14+MAX(0,(1-S2243/'01_설정'!B6))*'01_설정'!B15+MAX(0,(1-T2243/'01_설정'!B7))*'01_설정'!B16+MAX(0,(1-U2243/'01_설정'!B8))*'01_설정'!B17+O2243*'01_설정'!B11+Q2243*'01_설정'!B12+P2243*'01_설정'!B13+IF(Z2243="",0,Z2243))</f>
        <v/>
      </c>
      <c r="X2243" s="152">
        <f>IF(W2243="","",1+COUNTIFS($W$4:$W$3003,"&gt;"&amp;W2243)+COUNTIFS($W$4:W2243,W2243)-1)</f>
        <v/>
      </c>
      <c r="Y2243" s="175">
        <f>IF(OR(I2243="",'02_대상물건입력'!B19="",'02_대상물건입력'!B19&lt;=0),"",ABS(I2243-'02_대상물건입력'!B19)/'02_대상물건입력'!B19)</f>
        <v/>
      </c>
      <c r="Z2243" s="172">
        <f>IF(OR(Y2243="",'01_설정'!B31="",'01_설정'!B31&lt;=0,'01_설정'!B32="",'01_설정'!B32&lt;=0),"",MAX(0,(1-Y2243/'01_설정'!B32))*'01_설정'!B31)</f>
        <v/>
      </c>
    </row>
    <row r="2244" ht="17.25" customHeight="1">
      <c r="A2244" s="152">
        <f>IF(INDEX('04A_국토부원자료'!$A:$A,ROW()+1)="","",ROW()-3)</f>
        <v/>
      </c>
      <c r="B2244" s="48">
        <f>IFERROR(INDEX('04A_국토부원자료'!$A:$T,ROW()+1,MATCH("시군구",'04A_국토부원자료'!$A$4:$T$4,0)),"")</f>
        <v/>
      </c>
      <c r="C2244" s="48">
        <f>IF(B2244="","",IFERROR(INDEX('04A_국토부원자료'!$A:$T,ROW()+1,MATCH("번지",'04A_국토부원자료'!$A$4:$T$4,0)),""))</f>
        <v/>
      </c>
      <c r="D2244" s="48">
        <f>IF(B2244="","",IF(Q2244=1,'02_대상물건입력'!$B$8,IFERROR(INDEX('04A_국토부원자료'!$A:$T,ROW()+1,MATCH("단지명",'04A_국토부원자료'!$A$4:$T$4,0)),"")))</f>
        <v/>
      </c>
      <c r="E2244" s="172">
        <f>IFERROR(VALUE(SUBSTITUTE(INDEX('04A_국토부원자료'!$A:$T,ROW()+1,MATCH("전용면적(㎡)",'04A_국토부원자료'!$A$4:$T$4,0)),",","")),"")</f>
        <v/>
      </c>
      <c r="F22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44" s="51">
        <f>IFERROR(VALUE(SUBSTITUTE(INDEX('04A_국토부원자료'!$A:$T,ROW()+1,MATCH("거래금액(만원)",'04A_국토부원자료'!$A$4:$T$4,0)),",","")),"")</f>
        <v/>
      </c>
      <c r="H2244" s="174">
        <f>IF(G2244="","",G2244*10000)</f>
        <v/>
      </c>
      <c r="I2244" s="174">
        <f>IFERROR(IF(AND(H2244&gt;0,E2244&gt;0),H2244/E2244,""),"")</f>
        <v/>
      </c>
      <c r="J2244" s="152">
        <f>IFERROR(VALUE(SUBSTITUTE(INDEX('04A_국토부원자료'!$A:$T,ROW()+1,MATCH("층",'04A_국토부원자료'!$A$4:$T$4,0)),",","")),"")</f>
        <v/>
      </c>
      <c r="K2244" s="152">
        <f>IFERROR(VALUE(SUBSTITUTE(INDEX('04A_국토부원자료'!$A:$T,ROW()+1,MATCH("건축년도",'04A_국토부원자료'!$A$4:$T$4,0)),",","")),"")</f>
        <v/>
      </c>
      <c r="L2244" s="48">
        <f>IFERROR(INDEX('04A_국토부원자료'!$A:$T,ROW()+1,MATCH("도로명",'04A_국토부원자료'!$A$4:$T$4,0)),"")</f>
        <v/>
      </c>
      <c r="M2244" s="48">
        <f>IFERROR(INDEX('04A_국토부원자료'!$A:$T,ROW()+1,MATCH("거래유형",'04A_국토부원자료'!$A$4:$T$4,0)),"")</f>
        <v/>
      </c>
      <c r="N2244" s="152">
        <f>IF(B2244="","",IF('02_대상물건입력'!B5="",1,IF(ISNUMBER(SEARCH('02_대상물건입력'!B5,B2244)),1,0)))</f>
        <v/>
      </c>
      <c r="O2244" s="152">
        <f>IF(B2244="","",IF('02_대상물건입력'!B6="",1,IF(ISNUMBER(SEARCH('02_대상물건입력'!B6,B2244)),1,0)))</f>
        <v/>
      </c>
      <c r="P2244" s="152">
        <f>IF(L2244="","",IF('02_대상물건입력'!B15="",0,IF(ISNUMBER(SEARCH('02_대상물건입력'!B15,L2244)),1,0)))</f>
        <v/>
      </c>
      <c r="Q2244" s="152">
        <f>IF(OR(C2244="",L2244=""),0,IF(AND(TRIM(C2244)=TRIM(RIGHT(SUBSTITUTE(TRIM('02_대상물건입력'!$B$7)," ",REPT(" ",99)),99)),IF('02_대상물건입력'!B15="",TRUE(),ISNUMBER(SEARCH('02_대상물건입력'!B15,L2244)))),1,0))</f>
        <v/>
      </c>
      <c r="R2244" s="175">
        <f>IFERROR(ABS(E2244-'02_대상물건입력'!B11)/'02_대상물건입력'!B11,"")</f>
        <v/>
      </c>
      <c r="S2244" s="152">
        <f>IFERROR(ABS(J2244-'02_대상물건입력'!B10),"")</f>
        <v/>
      </c>
      <c r="T2244" s="152">
        <f>IFERROR(ABS('01_설정'!B4-F2244),"")</f>
        <v/>
      </c>
      <c r="U2244" s="152">
        <f>IFERROR(ABS(K2244-YEAR('02_대상물건입력'!B14)),"")</f>
        <v/>
      </c>
      <c r="V2244" s="152">
        <f>IF(B2244="","",IF(AND(E2244&gt;0,F2244&gt;0,H2244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2244=1,TRUE()),R2244&lt;='01_설정'!B5,S2244&lt;='01_설정'!B6,T2244&lt;='01_설정'!B7,U2244&lt;='01_설정'!B8),"Y",""))</f>
        <v/>
      </c>
      <c r="W2244" s="172">
        <f>IF(V2244&lt;&gt;"Y","",MAX(0,(1-R2244/'01_설정'!B5))*'01_설정'!B14+MAX(0,(1-S2244/'01_설정'!B6))*'01_설정'!B15+MAX(0,(1-T2244/'01_설정'!B7))*'01_설정'!B16+MAX(0,(1-U2244/'01_설정'!B8))*'01_설정'!B17+O2244*'01_설정'!B11+Q2244*'01_설정'!B12+P2244*'01_설정'!B13+IF(Z2244="",0,Z2244))</f>
        <v/>
      </c>
      <c r="X2244" s="152">
        <f>IF(W2244="","",1+COUNTIFS($W$4:$W$3003,"&gt;"&amp;W2244)+COUNTIFS($W$4:W2244,W2244)-1)</f>
        <v/>
      </c>
      <c r="Y2244" s="175">
        <f>IF(OR(I2244="",'02_대상물건입력'!B19="",'02_대상물건입력'!B19&lt;=0),"",ABS(I2244-'02_대상물건입력'!B19)/'02_대상물건입력'!B19)</f>
        <v/>
      </c>
      <c r="Z2244" s="172">
        <f>IF(OR(Y2244="",'01_설정'!B31="",'01_설정'!B31&lt;=0,'01_설정'!B32="",'01_설정'!B32&lt;=0),"",MAX(0,(1-Y2244/'01_설정'!B32))*'01_설정'!B31)</f>
        <v/>
      </c>
    </row>
    <row r="2245" ht="17.25" customHeight="1">
      <c r="A2245" s="152">
        <f>IF(INDEX('04A_국토부원자료'!$A:$A,ROW()+1)="","",ROW()-3)</f>
        <v/>
      </c>
      <c r="B2245" s="48">
        <f>IFERROR(INDEX('04A_국토부원자료'!$A:$T,ROW()+1,MATCH("시군구",'04A_국토부원자료'!$A$4:$T$4,0)),"")</f>
        <v/>
      </c>
      <c r="C2245" s="48">
        <f>IF(B2245="","",IFERROR(INDEX('04A_국토부원자료'!$A:$T,ROW()+1,MATCH("번지",'04A_국토부원자료'!$A$4:$T$4,0)),""))</f>
        <v/>
      </c>
      <c r="D2245" s="48">
        <f>IF(B2245="","",IF(Q2245=1,'02_대상물건입력'!$B$8,IFERROR(INDEX('04A_국토부원자료'!$A:$T,ROW()+1,MATCH("단지명",'04A_국토부원자료'!$A$4:$T$4,0)),"")))</f>
        <v/>
      </c>
      <c r="E2245" s="172">
        <f>IFERROR(VALUE(SUBSTITUTE(INDEX('04A_국토부원자료'!$A:$T,ROW()+1,MATCH("전용면적(㎡)",'04A_국토부원자료'!$A$4:$T$4,0)),",","")),"")</f>
        <v/>
      </c>
      <c r="F22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45" s="51">
        <f>IFERROR(VALUE(SUBSTITUTE(INDEX('04A_국토부원자료'!$A:$T,ROW()+1,MATCH("거래금액(만원)",'04A_국토부원자료'!$A$4:$T$4,0)),",","")),"")</f>
        <v/>
      </c>
      <c r="H2245" s="174">
        <f>IF(G2245="","",G2245*10000)</f>
        <v/>
      </c>
      <c r="I2245" s="174">
        <f>IFERROR(IF(AND(H2245&gt;0,E2245&gt;0),H2245/E2245,""),"")</f>
        <v/>
      </c>
      <c r="J2245" s="152">
        <f>IFERROR(VALUE(SUBSTITUTE(INDEX('04A_국토부원자료'!$A:$T,ROW()+1,MATCH("층",'04A_국토부원자료'!$A$4:$T$4,0)),",","")),"")</f>
        <v/>
      </c>
      <c r="K2245" s="152">
        <f>IFERROR(VALUE(SUBSTITUTE(INDEX('04A_국토부원자료'!$A:$T,ROW()+1,MATCH("건축년도",'04A_국토부원자료'!$A$4:$T$4,0)),",","")),"")</f>
        <v/>
      </c>
      <c r="L2245" s="48">
        <f>IFERROR(INDEX('04A_국토부원자료'!$A:$T,ROW()+1,MATCH("도로명",'04A_국토부원자료'!$A$4:$T$4,0)),"")</f>
        <v/>
      </c>
      <c r="M2245" s="48">
        <f>IFERROR(INDEX('04A_국토부원자료'!$A:$T,ROW()+1,MATCH("거래유형",'04A_국토부원자료'!$A$4:$T$4,0)),"")</f>
        <v/>
      </c>
      <c r="N2245" s="152">
        <f>IF(B2245="","",IF('02_대상물건입력'!B5="",1,IF(ISNUMBER(SEARCH('02_대상물건입력'!B5,B2245)),1,0)))</f>
        <v/>
      </c>
      <c r="O2245" s="152">
        <f>IF(B2245="","",IF('02_대상물건입력'!B6="",1,IF(ISNUMBER(SEARCH('02_대상물건입력'!B6,B2245)),1,0)))</f>
        <v/>
      </c>
      <c r="P2245" s="152">
        <f>IF(L2245="","",IF('02_대상물건입력'!B15="",0,IF(ISNUMBER(SEARCH('02_대상물건입력'!B15,L2245)),1,0)))</f>
        <v/>
      </c>
      <c r="Q2245" s="152">
        <f>IF(OR(C2245="",L2245=""),0,IF(AND(TRIM(C2245)=TRIM(RIGHT(SUBSTITUTE(TRIM('02_대상물건입력'!$B$7)," ",REPT(" ",99)),99)),IF('02_대상물건입력'!B15="",TRUE(),ISNUMBER(SEARCH('02_대상물건입력'!B15,L2245)))),1,0))</f>
        <v/>
      </c>
      <c r="R2245" s="175">
        <f>IFERROR(ABS(E2245-'02_대상물건입력'!B11)/'02_대상물건입력'!B11,"")</f>
        <v/>
      </c>
      <c r="S2245" s="152">
        <f>IFERROR(ABS(J2245-'02_대상물건입력'!B10),"")</f>
        <v/>
      </c>
      <c r="T2245" s="152">
        <f>IFERROR(ABS('01_설정'!B4-F2245),"")</f>
        <v/>
      </c>
      <c r="U2245" s="152">
        <f>IFERROR(ABS(K2245-YEAR('02_대상물건입력'!B14)),"")</f>
        <v/>
      </c>
      <c r="V2245" s="152">
        <f>IF(B2245="","",IF(AND(E2245&gt;0,F2245&gt;0,H2245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2245=1,TRUE()),R2245&lt;='01_설정'!B5,S2245&lt;='01_설정'!B6,T2245&lt;='01_설정'!B7,U2245&lt;='01_설정'!B8),"Y",""))</f>
        <v/>
      </c>
      <c r="W2245" s="172">
        <f>IF(V2245&lt;&gt;"Y","",MAX(0,(1-R2245/'01_설정'!B5))*'01_설정'!B14+MAX(0,(1-S2245/'01_설정'!B6))*'01_설정'!B15+MAX(0,(1-T2245/'01_설정'!B7))*'01_설정'!B16+MAX(0,(1-U2245/'01_설정'!B8))*'01_설정'!B17+O2245*'01_설정'!B11+Q2245*'01_설정'!B12+P2245*'01_설정'!B13+IF(Z2245="",0,Z2245))</f>
        <v/>
      </c>
      <c r="X2245" s="152">
        <f>IF(W2245="","",1+COUNTIFS($W$4:$W$3003,"&gt;"&amp;W2245)+COUNTIFS($W$4:W2245,W2245)-1)</f>
        <v/>
      </c>
      <c r="Y2245" s="175">
        <f>IF(OR(I2245="",'02_대상물건입력'!B19="",'02_대상물건입력'!B19&lt;=0),"",ABS(I2245-'02_대상물건입력'!B19)/'02_대상물건입력'!B19)</f>
        <v/>
      </c>
      <c r="Z2245" s="172">
        <f>IF(OR(Y2245="",'01_설정'!B31="",'01_설정'!B31&lt;=0,'01_설정'!B32="",'01_설정'!B32&lt;=0),"",MAX(0,(1-Y2245/'01_설정'!B32))*'01_설정'!B31)</f>
        <v/>
      </c>
    </row>
    <row r="2246" ht="17.25" customHeight="1">
      <c r="A2246" s="152">
        <f>IF(INDEX('04A_국토부원자료'!$A:$A,ROW()+1)="","",ROW()-3)</f>
        <v/>
      </c>
      <c r="B2246" s="48">
        <f>IFERROR(INDEX('04A_국토부원자료'!$A:$T,ROW()+1,MATCH("시군구",'04A_국토부원자료'!$A$4:$T$4,0)),"")</f>
        <v/>
      </c>
      <c r="C2246" s="48">
        <f>IF(B2246="","",IFERROR(INDEX('04A_국토부원자료'!$A:$T,ROW()+1,MATCH("번지",'04A_국토부원자료'!$A$4:$T$4,0)),""))</f>
        <v/>
      </c>
      <c r="D2246" s="48">
        <f>IF(B2246="","",IF(Q2246=1,'02_대상물건입력'!$B$8,IFERROR(INDEX('04A_국토부원자료'!$A:$T,ROW()+1,MATCH("단지명",'04A_국토부원자료'!$A$4:$T$4,0)),"")))</f>
        <v/>
      </c>
      <c r="E2246" s="172">
        <f>IFERROR(VALUE(SUBSTITUTE(INDEX('04A_국토부원자료'!$A:$T,ROW()+1,MATCH("전용면적(㎡)",'04A_국토부원자료'!$A$4:$T$4,0)),",","")),"")</f>
        <v/>
      </c>
      <c r="F22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46" s="51">
        <f>IFERROR(VALUE(SUBSTITUTE(INDEX('04A_국토부원자료'!$A:$T,ROW()+1,MATCH("거래금액(만원)",'04A_국토부원자료'!$A$4:$T$4,0)),",","")),"")</f>
        <v/>
      </c>
      <c r="H2246" s="174">
        <f>IF(G2246="","",G2246*10000)</f>
        <v/>
      </c>
      <c r="I2246" s="174">
        <f>IFERROR(IF(AND(H2246&gt;0,E2246&gt;0),H2246/E2246,""),"")</f>
        <v/>
      </c>
      <c r="J2246" s="152">
        <f>IFERROR(VALUE(SUBSTITUTE(INDEX('04A_국토부원자료'!$A:$T,ROW()+1,MATCH("층",'04A_국토부원자료'!$A$4:$T$4,0)),",","")),"")</f>
        <v/>
      </c>
      <c r="K2246" s="152">
        <f>IFERROR(VALUE(SUBSTITUTE(INDEX('04A_국토부원자료'!$A:$T,ROW()+1,MATCH("건축년도",'04A_국토부원자료'!$A$4:$T$4,0)),",","")),"")</f>
        <v/>
      </c>
      <c r="L2246" s="48">
        <f>IFERROR(INDEX('04A_국토부원자료'!$A:$T,ROW()+1,MATCH("도로명",'04A_국토부원자료'!$A$4:$T$4,0)),"")</f>
        <v/>
      </c>
      <c r="M2246" s="48">
        <f>IFERROR(INDEX('04A_국토부원자료'!$A:$T,ROW()+1,MATCH("거래유형",'04A_국토부원자료'!$A$4:$T$4,0)),"")</f>
        <v/>
      </c>
      <c r="N2246" s="152">
        <f>IF(B2246="","",IF('02_대상물건입력'!B5="",1,IF(ISNUMBER(SEARCH('02_대상물건입력'!B5,B2246)),1,0)))</f>
        <v/>
      </c>
      <c r="O2246" s="152">
        <f>IF(B2246="","",IF('02_대상물건입력'!B6="",1,IF(ISNUMBER(SEARCH('02_대상물건입력'!B6,B2246)),1,0)))</f>
        <v/>
      </c>
      <c r="P2246" s="152">
        <f>IF(L2246="","",IF('02_대상물건입력'!B15="",0,IF(ISNUMBER(SEARCH('02_대상물건입력'!B15,L2246)),1,0)))</f>
        <v/>
      </c>
      <c r="Q2246" s="152">
        <f>IF(OR(C2246="",L2246=""),0,IF(AND(TRIM(C2246)=TRIM(RIGHT(SUBSTITUTE(TRIM('02_대상물건입력'!$B$7)," ",REPT(" ",99)),99)),IF('02_대상물건입력'!B15="",TRUE(),ISNUMBER(SEARCH('02_대상물건입력'!B15,L2246)))),1,0))</f>
        <v/>
      </c>
      <c r="R2246" s="175">
        <f>IFERROR(ABS(E2246-'02_대상물건입력'!B11)/'02_대상물건입력'!B11,"")</f>
        <v/>
      </c>
      <c r="S2246" s="152">
        <f>IFERROR(ABS(J2246-'02_대상물건입력'!B10),"")</f>
        <v/>
      </c>
      <c r="T2246" s="152">
        <f>IFERROR(ABS('01_설정'!B4-F2246),"")</f>
        <v/>
      </c>
      <c r="U2246" s="152">
        <f>IFERROR(ABS(K2246-YEAR('02_대상물건입력'!B14)),"")</f>
        <v/>
      </c>
      <c r="V2246" s="152">
        <f>IF(B2246="","",IF(AND(E2246&gt;0,F2246&gt;0,H2246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2246=1,TRUE()),R2246&lt;='01_설정'!B5,S2246&lt;='01_설정'!B6,T2246&lt;='01_설정'!B7,U2246&lt;='01_설정'!B8),"Y",""))</f>
        <v/>
      </c>
      <c r="W2246" s="172">
        <f>IF(V2246&lt;&gt;"Y","",MAX(0,(1-R2246/'01_설정'!B5))*'01_설정'!B14+MAX(0,(1-S2246/'01_설정'!B6))*'01_설정'!B15+MAX(0,(1-T2246/'01_설정'!B7))*'01_설정'!B16+MAX(0,(1-U2246/'01_설정'!B8))*'01_설정'!B17+O2246*'01_설정'!B11+Q2246*'01_설정'!B12+P2246*'01_설정'!B13+IF(Z2246="",0,Z2246))</f>
        <v/>
      </c>
      <c r="X2246" s="152">
        <f>IF(W2246="","",1+COUNTIFS($W$4:$W$3003,"&gt;"&amp;W2246)+COUNTIFS($W$4:W2246,W2246)-1)</f>
        <v/>
      </c>
      <c r="Y2246" s="175">
        <f>IF(OR(I2246="",'02_대상물건입력'!B19="",'02_대상물건입력'!B19&lt;=0),"",ABS(I2246-'02_대상물건입력'!B19)/'02_대상물건입력'!B19)</f>
        <v/>
      </c>
      <c r="Z2246" s="172">
        <f>IF(OR(Y2246="",'01_설정'!B31="",'01_설정'!B31&lt;=0,'01_설정'!B32="",'01_설정'!B32&lt;=0),"",MAX(0,(1-Y2246/'01_설정'!B32))*'01_설정'!B31)</f>
        <v/>
      </c>
    </row>
    <row r="2247" ht="17.25" customHeight="1">
      <c r="A2247" s="152">
        <f>IF(INDEX('04A_국토부원자료'!$A:$A,ROW()+1)="","",ROW()-3)</f>
        <v/>
      </c>
      <c r="B2247" s="48">
        <f>IFERROR(INDEX('04A_국토부원자료'!$A:$T,ROW()+1,MATCH("시군구",'04A_국토부원자료'!$A$4:$T$4,0)),"")</f>
        <v/>
      </c>
      <c r="C2247" s="48">
        <f>IF(B2247="","",IFERROR(INDEX('04A_국토부원자료'!$A:$T,ROW()+1,MATCH("번지",'04A_국토부원자료'!$A$4:$T$4,0)),""))</f>
        <v/>
      </c>
      <c r="D2247" s="48">
        <f>IF(B2247="","",IF(Q2247=1,'02_대상물건입력'!$B$8,IFERROR(INDEX('04A_국토부원자료'!$A:$T,ROW()+1,MATCH("단지명",'04A_국토부원자료'!$A$4:$T$4,0)),"")))</f>
        <v/>
      </c>
      <c r="E2247" s="172">
        <f>IFERROR(VALUE(SUBSTITUTE(INDEX('04A_국토부원자료'!$A:$T,ROW()+1,MATCH("전용면적(㎡)",'04A_국토부원자료'!$A$4:$T$4,0)),",","")),"")</f>
        <v/>
      </c>
      <c r="F22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47" s="51">
        <f>IFERROR(VALUE(SUBSTITUTE(INDEX('04A_국토부원자료'!$A:$T,ROW()+1,MATCH("거래금액(만원)",'04A_국토부원자료'!$A$4:$T$4,0)),",","")),"")</f>
        <v/>
      </c>
      <c r="H2247" s="174">
        <f>IF(G2247="","",G2247*10000)</f>
        <v/>
      </c>
      <c r="I2247" s="174">
        <f>IFERROR(IF(AND(H2247&gt;0,E2247&gt;0),H2247/E2247,""),"")</f>
        <v/>
      </c>
      <c r="J2247" s="152">
        <f>IFERROR(VALUE(SUBSTITUTE(INDEX('04A_국토부원자료'!$A:$T,ROW()+1,MATCH("층",'04A_국토부원자료'!$A$4:$T$4,0)),",","")),"")</f>
        <v/>
      </c>
      <c r="K2247" s="152">
        <f>IFERROR(VALUE(SUBSTITUTE(INDEX('04A_국토부원자료'!$A:$T,ROW()+1,MATCH("건축년도",'04A_국토부원자료'!$A$4:$T$4,0)),",","")),"")</f>
        <v/>
      </c>
      <c r="L2247" s="48">
        <f>IFERROR(INDEX('04A_국토부원자료'!$A:$T,ROW()+1,MATCH("도로명",'04A_국토부원자료'!$A$4:$T$4,0)),"")</f>
        <v/>
      </c>
      <c r="M2247" s="48">
        <f>IFERROR(INDEX('04A_국토부원자료'!$A:$T,ROW()+1,MATCH("거래유형",'04A_국토부원자료'!$A$4:$T$4,0)),"")</f>
        <v/>
      </c>
      <c r="N2247" s="152">
        <f>IF(B2247="","",IF('02_대상물건입력'!B5="",1,IF(ISNUMBER(SEARCH('02_대상물건입력'!B5,B2247)),1,0)))</f>
        <v/>
      </c>
      <c r="O2247" s="152">
        <f>IF(B2247="","",IF('02_대상물건입력'!B6="",1,IF(ISNUMBER(SEARCH('02_대상물건입력'!B6,B2247)),1,0)))</f>
        <v/>
      </c>
      <c r="P2247" s="152">
        <f>IF(L2247="","",IF('02_대상물건입력'!B15="",0,IF(ISNUMBER(SEARCH('02_대상물건입력'!B15,L2247)),1,0)))</f>
        <v/>
      </c>
      <c r="Q2247" s="152">
        <f>IF(OR(C2247="",L2247=""),0,IF(AND(TRIM(C2247)=TRIM(RIGHT(SUBSTITUTE(TRIM('02_대상물건입력'!$B$7)," ",REPT(" ",99)),99)),IF('02_대상물건입력'!B15="",TRUE(),ISNUMBER(SEARCH('02_대상물건입력'!B15,L2247)))),1,0))</f>
        <v/>
      </c>
      <c r="R2247" s="175">
        <f>IFERROR(ABS(E2247-'02_대상물건입력'!B11)/'02_대상물건입력'!B11,"")</f>
        <v/>
      </c>
      <c r="S2247" s="152">
        <f>IFERROR(ABS(J2247-'02_대상물건입력'!B10),"")</f>
        <v/>
      </c>
      <c r="T2247" s="152">
        <f>IFERROR(ABS('01_설정'!B4-F2247),"")</f>
        <v/>
      </c>
      <c r="U2247" s="152">
        <f>IFERROR(ABS(K2247-YEAR('02_대상물건입력'!B14)),"")</f>
        <v/>
      </c>
      <c r="V2247" s="152">
        <f>IF(B2247="","",IF(AND(E2247&gt;0,F2247&gt;0,H2247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2247=1,TRUE()),R2247&lt;='01_설정'!B5,S2247&lt;='01_설정'!B6,T2247&lt;='01_설정'!B7,U2247&lt;='01_설정'!B8),"Y",""))</f>
        <v/>
      </c>
      <c r="W2247" s="172">
        <f>IF(V2247&lt;&gt;"Y","",MAX(0,(1-R2247/'01_설정'!B5))*'01_설정'!B14+MAX(0,(1-S2247/'01_설정'!B6))*'01_설정'!B15+MAX(0,(1-T2247/'01_설정'!B7))*'01_설정'!B16+MAX(0,(1-U2247/'01_설정'!B8))*'01_설정'!B17+O2247*'01_설정'!B11+Q2247*'01_설정'!B12+P2247*'01_설정'!B13+IF(Z2247="",0,Z2247))</f>
        <v/>
      </c>
      <c r="X2247" s="152">
        <f>IF(W2247="","",1+COUNTIFS($W$4:$W$3003,"&gt;"&amp;W2247)+COUNTIFS($W$4:W2247,W2247)-1)</f>
        <v/>
      </c>
      <c r="Y2247" s="175">
        <f>IF(OR(I2247="",'02_대상물건입력'!B19="",'02_대상물건입력'!B19&lt;=0),"",ABS(I2247-'02_대상물건입력'!B19)/'02_대상물건입력'!B19)</f>
        <v/>
      </c>
      <c r="Z2247" s="172">
        <f>IF(OR(Y2247="",'01_설정'!B31="",'01_설정'!B31&lt;=0,'01_설정'!B32="",'01_설정'!B32&lt;=0),"",MAX(0,(1-Y2247/'01_설정'!B32))*'01_설정'!B31)</f>
        <v/>
      </c>
    </row>
    <row r="2248" ht="17.25" customHeight="1">
      <c r="A2248" s="152">
        <f>IF(INDEX('04A_국토부원자료'!$A:$A,ROW()+1)="","",ROW()-3)</f>
        <v/>
      </c>
      <c r="B2248" s="48">
        <f>IFERROR(INDEX('04A_국토부원자료'!$A:$T,ROW()+1,MATCH("시군구",'04A_국토부원자료'!$A$4:$T$4,0)),"")</f>
        <v/>
      </c>
      <c r="C2248" s="48">
        <f>IF(B2248="","",IFERROR(INDEX('04A_국토부원자료'!$A:$T,ROW()+1,MATCH("번지",'04A_국토부원자료'!$A$4:$T$4,0)),""))</f>
        <v/>
      </c>
      <c r="D2248" s="48">
        <f>IF(B2248="","",IF(Q2248=1,'02_대상물건입력'!$B$8,IFERROR(INDEX('04A_국토부원자료'!$A:$T,ROW()+1,MATCH("단지명",'04A_국토부원자료'!$A$4:$T$4,0)),"")))</f>
        <v/>
      </c>
      <c r="E2248" s="172">
        <f>IFERROR(VALUE(SUBSTITUTE(INDEX('04A_국토부원자료'!$A:$T,ROW()+1,MATCH("전용면적(㎡)",'04A_국토부원자료'!$A$4:$T$4,0)),",","")),"")</f>
        <v/>
      </c>
      <c r="F22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48" s="51">
        <f>IFERROR(VALUE(SUBSTITUTE(INDEX('04A_국토부원자료'!$A:$T,ROW()+1,MATCH("거래금액(만원)",'04A_국토부원자료'!$A$4:$T$4,0)),",","")),"")</f>
        <v/>
      </c>
      <c r="H2248" s="174">
        <f>IF(G2248="","",G2248*10000)</f>
        <v/>
      </c>
      <c r="I2248" s="174">
        <f>IFERROR(IF(AND(H2248&gt;0,E2248&gt;0),H2248/E2248,""),"")</f>
        <v/>
      </c>
      <c r="J2248" s="152">
        <f>IFERROR(VALUE(SUBSTITUTE(INDEX('04A_국토부원자료'!$A:$T,ROW()+1,MATCH("층",'04A_국토부원자료'!$A$4:$T$4,0)),",","")),"")</f>
        <v/>
      </c>
      <c r="K2248" s="152">
        <f>IFERROR(VALUE(SUBSTITUTE(INDEX('04A_국토부원자료'!$A:$T,ROW()+1,MATCH("건축년도",'04A_국토부원자료'!$A$4:$T$4,0)),",","")),"")</f>
        <v/>
      </c>
      <c r="L2248" s="48">
        <f>IFERROR(INDEX('04A_국토부원자료'!$A:$T,ROW()+1,MATCH("도로명",'04A_국토부원자료'!$A$4:$T$4,0)),"")</f>
        <v/>
      </c>
      <c r="M2248" s="48">
        <f>IFERROR(INDEX('04A_국토부원자료'!$A:$T,ROW()+1,MATCH("거래유형",'04A_국토부원자료'!$A$4:$T$4,0)),"")</f>
        <v/>
      </c>
      <c r="N2248" s="152">
        <f>IF(B2248="","",IF('02_대상물건입력'!B5="",1,IF(ISNUMBER(SEARCH('02_대상물건입력'!B5,B2248)),1,0)))</f>
        <v/>
      </c>
      <c r="O2248" s="152">
        <f>IF(B2248="","",IF('02_대상물건입력'!B6="",1,IF(ISNUMBER(SEARCH('02_대상물건입력'!B6,B2248)),1,0)))</f>
        <v/>
      </c>
      <c r="P2248" s="152">
        <f>IF(L2248="","",IF('02_대상물건입력'!B15="",0,IF(ISNUMBER(SEARCH('02_대상물건입력'!B15,L2248)),1,0)))</f>
        <v/>
      </c>
      <c r="Q2248" s="152">
        <f>IF(OR(C2248="",L2248=""),0,IF(AND(TRIM(C2248)=TRIM(RIGHT(SUBSTITUTE(TRIM('02_대상물건입력'!$B$7)," ",REPT(" ",99)),99)),IF('02_대상물건입력'!B15="",TRUE(),ISNUMBER(SEARCH('02_대상물건입력'!B15,L2248)))),1,0))</f>
        <v/>
      </c>
      <c r="R2248" s="175">
        <f>IFERROR(ABS(E2248-'02_대상물건입력'!B11)/'02_대상물건입력'!B11,"")</f>
        <v/>
      </c>
      <c r="S2248" s="152">
        <f>IFERROR(ABS(J2248-'02_대상물건입력'!B10),"")</f>
        <v/>
      </c>
      <c r="T2248" s="152">
        <f>IFERROR(ABS('01_설정'!B4-F2248),"")</f>
        <v/>
      </c>
      <c r="U2248" s="152">
        <f>IFERROR(ABS(K2248-YEAR('02_대상물건입력'!B14)),"")</f>
        <v/>
      </c>
      <c r="V2248" s="152">
        <f>IF(B2248="","",IF(AND(E2248&gt;0,F2248&gt;0,H2248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2248=1,TRUE()),R2248&lt;='01_설정'!B5,S2248&lt;='01_설정'!B6,T2248&lt;='01_설정'!B7,U2248&lt;='01_설정'!B8),"Y",""))</f>
        <v/>
      </c>
      <c r="W2248" s="172">
        <f>IF(V2248&lt;&gt;"Y","",MAX(0,(1-R2248/'01_설정'!B5))*'01_설정'!B14+MAX(0,(1-S2248/'01_설정'!B6))*'01_설정'!B15+MAX(0,(1-T2248/'01_설정'!B7))*'01_설정'!B16+MAX(0,(1-U2248/'01_설정'!B8))*'01_설정'!B17+O2248*'01_설정'!B11+Q2248*'01_설정'!B12+P2248*'01_설정'!B13+IF(Z2248="",0,Z2248))</f>
        <v/>
      </c>
      <c r="X2248" s="152">
        <f>IF(W2248="","",1+COUNTIFS($W$4:$W$3003,"&gt;"&amp;W2248)+COUNTIFS($W$4:W2248,W2248)-1)</f>
        <v/>
      </c>
      <c r="Y2248" s="175">
        <f>IF(OR(I2248="",'02_대상물건입력'!B19="",'02_대상물건입력'!B19&lt;=0),"",ABS(I2248-'02_대상물건입력'!B19)/'02_대상물건입력'!B19)</f>
        <v/>
      </c>
      <c r="Z2248" s="172">
        <f>IF(OR(Y2248="",'01_설정'!B31="",'01_설정'!B31&lt;=0,'01_설정'!B32="",'01_설정'!B32&lt;=0),"",MAX(0,(1-Y2248/'01_설정'!B32))*'01_설정'!B31)</f>
        <v/>
      </c>
    </row>
    <row r="2249" ht="17.25" customHeight="1">
      <c r="A2249" s="152">
        <f>IF(INDEX('04A_국토부원자료'!$A:$A,ROW()+1)="","",ROW()-3)</f>
        <v/>
      </c>
      <c r="B2249" s="48">
        <f>IFERROR(INDEX('04A_국토부원자료'!$A:$T,ROW()+1,MATCH("시군구",'04A_국토부원자료'!$A$4:$T$4,0)),"")</f>
        <v/>
      </c>
      <c r="C2249" s="48">
        <f>IF(B2249="","",IFERROR(INDEX('04A_국토부원자료'!$A:$T,ROW()+1,MATCH("번지",'04A_국토부원자료'!$A$4:$T$4,0)),""))</f>
        <v/>
      </c>
      <c r="D2249" s="48">
        <f>IF(B2249="","",IF(Q2249=1,'02_대상물건입력'!$B$8,IFERROR(INDEX('04A_국토부원자료'!$A:$T,ROW()+1,MATCH("단지명",'04A_국토부원자료'!$A$4:$T$4,0)),"")))</f>
        <v/>
      </c>
      <c r="E2249" s="172">
        <f>IFERROR(VALUE(SUBSTITUTE(INDEX('04A_국토부원자료'!$A:$T,ROW()+1,MATCH("전용면적(㎡)",'04A_국토부원자료'!$A$4:$T$4,0)),",","")),"")</f>
        <v/>
      </c>
      <c r="F22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49" s="51">
        <f>IFERROR(VALUE(SUBSTITUTE(INDEX('04A_국토부원자료'!$A:$T,ROW()+1,MATCH("거래금액(만원)",'04A_국토부원자료'!$A$4:$T$4,0)),",","")),"")</f>
        <v/>
      </c>
      <c r="H2249" s="174">
        <f>IF(G2249="","",G2249*10000)</f>
        <v/>
      </c>
      <c r="I2249" s="174">
        <f>IFERROR(IF(AND(H2249&gt;0,E2249&gt;0),H2249/E2249,""),"")</f>
        <v/>
      </c>
      <c r="J2249" s="152">
        <f>IFERROR(VALUE(SUBSTITUTE(INDEX('04A_국토부원자료'!$A:$T,ROW()+1,MATCH("층",'04A_국토부원자료'!$A$4:$T$4,0)),",","")),"")</f>
        <v/>
      </c>
      <c r="K2249" s="152">
        <f>IFERROR(VALUE(SUBSTITUTE(INDEX('04A_국토부원자료'!$A:$T,ROW()+1,MATCH("건축년도",'04A_국토부원자료'!$A$4:$T$4,0)),",","")),"")</f>
        <v/>
      </c>
      <c r="L2249" s="48">
        <f>IFERROR(INDEX('04A_국토부원자료'!$A:$T,ROW()+1,MATCH("도로명",'04A_국토부원자료'!$A$4:$T$4,0)),"")</f>
        <v/>
      </c>
      <c r="M2249" s="48">
        <f>IFERROR(INDEX('04A_국토부원자료'!$A:$T,ROW()+1,MATCH("거래유형",'04A_국토부원자료'!$A$4:$T$4,0)),"")</f>
        <v/>
      </c>
      <c r="N2249" s="152">
        <f>IF(B2249="","",IF('02_대상물건입력'!B5="",1,IF(ISNUMBER(SEARCH('02_대상물건입력'!B5,B2249)),1,0)))</f>
        <v/>
      </c>
      <c r="O2249" s="152">
        <f>IF(B2249="","",IF('02_대상물건입력'!B6="",1,IF(ISNUMBER(SEARCH('02_대상물건입력'!B6,B2249)),1,0)))</f>
        <v/>
      </c>
      <c r="P2249" s="152">
        <f>IF(L2249="","",IF('02_대상물건입력'!B15="",0,IF(ISNUMBER(SEARCH('02_대상물건입력'!B15,L2249)),1,0)))</f>
        <v/>
      </c>
      <c r="Q2249" s="152">
        <f>IF(OR(C2249="",L2249=""),0,IF(AND(TRIM(C2249)=TRIM(RIGHT(SUBSTITUTE(TRIM('02_대상물건입력'!$B$7)," ",REPT(" ",99)),99)),IF('02_대상물건입력'!B15="",TRUE(),ISNUMBER(SEARCH('02_대상물건입력'!B15,L2249)))),1,0))</f>
        <v/>
      </c>
      <c r="R2249" s="175">
        <f>IFERROR(ABS(E2249-'02_대상물건입력'!B11)/'02_대상물건입력'!B11,"")</f>
        <v/>
      </c>
      <c r="S2249" s="152">
        <f>IFERROR(ABS(J2249-'02_대상물건입력'!B10),"")</f>
        <v/>
      </c>
      <c r="T2249" s="152">
        <f>IFERROR(ABS('01_설정'!B4-F2249),"")</f>
        <v/>
      </c>
      <c r="U2249" s="152">
        <f>IFERROR(ABS(K2249-YEAR('02_대상물건입력'!B14)),"")</f>
        <v/>
      </c>
      <c r="V2249" s="152">
        <f>IF(B2249="","",IF(AND(E2249&gt;0,F2249&gt;0,H2249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2249=1,TRUE()),R2249&lt;='01_설정'!B5,S2249&lt;='01_설정'!B6,T2249&lt;='01_설정'!B7,U2249&lt;='01_설정'!B8),"Y",""))</f>
        <v/>
      </c>
      <c r="W2249" s="172">
        <f>IF(V2249&lt;&gt;"Y","",MAX(0,(1-R2249/'01_설정'!B5))*'01_설정'!B14+MAX(0,(1-S2249/'01_설정'!B6))*'01_설정'!B15+MAX(0,(1-T2249/'01_설정'!B7))*'01_설정'!B16+MAX(0,(1-U2249/'01_설정'!B8))*'01_설정'!B17+O2249*'01_설정'!B11+Q2249*'01_설정'!B12+P2249*'01_설정'!B13+IF(Z2249="",0,Z2249))</f>
        <v/>
      </c>
      <c r="X2249" s="152">
        <f>IF(W2249="","",1+COUNTIFS($W$4:$W$3003,"&gt;"&amp;W2249)+COUNTIFS($W$4:W2249,W2249)-1)</f>
        <v/>
      </c>
      <c r="Y2249" s="175">
        <f>IF(OR(I2249="",'02_대상물건입력'!B19="",'02_대상물건입력'!B19&lt;=0),"",ABS(I2249-'02_대상물건입력'!B19)/'02_대상물건입력'!B19)</f>
        <v/>
      </c>
      <c r="Z2249" s="172">
        <f>IF(OR(Y2249="",'01_설정'!B31="",'01_설정'!B31&lt;=0,'01_설정'!B32="",'01_설정'!B32&lt;=0),"",MAX(0,(1-Y2249/'01_설정'!B32))*'01_설정'!B31)</f>
        <v/>
      </c>
    </row>
    <row r="2250" ht="17.25" customHeight="1">
      <c r="A2250" s="152">
        <f>IF(INDEX('04A_국토부원자료'!$A:$A,ROW()+1)="","",ROW()-3)</f>
        <v/>
      </c>
      <c r="B2250" s="48">
        <f>IFERROR(INDEX('04A_국토부원자료'!$A:$T,ROW()+1,MATCH("시군구",'04A_국토부원자료'!$A$4:$T$4,0)),"")</f>
        <v/>
      </c>
      <c r="C2250" s="48">
        <f>IF(B2250="","",IFERROR(INDEX('04A_국토부원자료'!$A:$T,ROW()+1,MATCH("번지",'04A_국토부원자료'!$A$4:$T$4,0)),""))</f>
        <v/>
      </c>
      <c r="D2250" s="48">
        <f>IF(B2250="","",IF(Q2250=1,'02_대상물건입력'!$B$8,IFERROR(INDEX('04A_국토부원자료'!$A:$T,ROW()+1,MATCH("단지명",'04A_국토부원자료'!$A$4:$T$4,0)),"")))</f>
        <v/>
      </c>
      <c r="E2250" s="172">
        <f>IFERROR(VALUE(SUBSTITUTE(INDEX('04A_국토부원자료'!$A:$T,ROW()+1,MATCH("전용면적(㎡)",'04A_국토부원자료'!$A$4:$T$4,0)),",","")),"")</f>
        <v/>
      </c>
      <c r="F22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50" s="51">
        <f>IFERROR(VALUE(SUBSTITUTE(INDEX('04A_국토부원자료'!$A:$T,ROW()+1,MATCH("거래금액(만원)",'04A_국토부원자료'!$A$4:$T$4,0)),",","")),"")</f>
        <v/>
      </c>
      <c r="H2250" s="174">
        <f>IF(G2250="","",G2250*10000)</f>
        <v/>
      </c>
      <c r="I2250" s="174">
        <f>IFERROR(IF(AND(H2250&gt;0,E2250&gt;0),H2250/E2250,""),"")</f>
        <v/>
      </c>
      <c r="J2250" s="152">
        <f>IFERROR(VALUE(SUBSTITUTE(INDEX('04A_국토부원자료'!$A:$T,ROW()+1,MATCH("층",'04A_국토부원자료'!$A$4:$T$4,0)),",","")),"")</f>
        <v/>
      </c>
      <c r="K2250" s="152">
        <f>IFERROR(VALUE(SUBSTITUTE(INDEX('04A_국토부원자료'!$A:$T,ROW()+1,MATCH("건축년도",'04A_국토부원자료'!$A$4:$T$4,0)),",","")),"")</f>
        <v/>
      </c>
      <c r="L2250" s="48">
        <f>IFERROR(INDEX('04A_국토부원자료'!$A:$T,ROW()+1,MATCH("도로명",'04A_국토부원자료'!$A$4:$T$4,0)),"")</f>
        <v/>
      </c>
      <c r="M2250" s="48">
        <f>IFERROR(INDEX('04A_국토부원자료'!$A:$T,ROW()+1,MATCH("거래유형",'04A_국토부원자료'!$A$4:$T$4,0)),"")</f>
        <v/>
      </c>
      <c r="N2250" s="152">
        <f>IF(B2250="","",IF('02_대상물건입력'!B5="",1,IF(ISNUMBER(SEARCH('02_대상물건입력'!B5,B2250)),1,0)))</f>
        <v/>
      </c>
      <c r="O2250" s="152">
        <f>IF(B2250="","",IF('02_대상물건입력'!B6="",1,IF(ISNUMBER(SEARCH('02_대상물건입력'!B6,B2250)),1,0)))</f>
        <v/>
      </c>
      <c r="P2250" s="152">
        <f>IF(L2250="","",IF('02_대상물건입력'!B15="",0,IF(ISNUMBER(SEARCH('02_대상물건입력'!B15,L2250)),1,0)))</f>
        <v/>
      </c>
      <c r="Q2250" s="152">
        <f>IF(OR(C2250="",L2250=""),0,IF(AND(TRIM(C2250)=TRIM(RIGHT(SUBSTITUTE(TRIM('02_대상물건입력'!$B$7)," ",REPT(" ",99)),99)),IF('02_대상물건입력'!B15="",TRUE(),ISNUMBER(SEARCH('02_대상물건입력'!B15,L2250)))),1,0))</f>
        <v/>
      </c>
      <c r="R2250" s="175">
        <f>IFERROR(ABS(E2250-'02_대상물건입력'!B11)/'02_대상물건입력'!B11,"")</f>
        <v/>
      </c>
      <c r="S2250" s="152">
        <f>IFERROR(ABS(J2250-'02_대상물건입력'!B10),"")</f>
        <v/>
      </c>
      <c r="T2250" s="152">
        <f>IFERROR(ABS('01_설정'!B4-F2250),"")</f>
        <v/>
      </c>
      <c r="U2250" s="152">
        <f>IFERROR(ABS(K2250-YEAR('02_대상물건입력'!B14)),"")</f>
        <v/>
      </c>
      <c r="V2250" s="152">
        <f>IF(B2250="","",IF(AND(E2250&gt;0,F2250&gt;0,H2250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2250=1,TRUE()),R2250&lt;='01_설정'!B5,S2250&lt;='01_설정'!B6,T2250&lt;='01_설정'!B7,U2250&lt;='01_설정'!B8),"Y",""))</f>
        <v/>
      </c>
      <c r="W2250" s="172">
        <f>IF(V2250&lt;&gt;"Y","",MAX(0,(1-R2250/'01_설정'!B5))*'01_설정'!B14+MAX(0,(1-S2250/'01_설정'!B6))*'01_설정'!B15+MAX(0,(1-T2250/'01_설정'!B7))*'01_설정'!B16+MAX(0,(1-U2250/'01_설정'!B8))*'01_설정'!B17+O2250*'01_설정'!B11+Q2250*'01_설정'!B12+P2250*'01_설정'!B13+IF(Z2250="",0,Z2250))</f>
        <v/>
      </c>
      <c r="X2250" s="152">
        <f>IF(W2250="","",1+COUNTIFS($W$4:$W$3003,"&gt;"&amp;W2250)+COUNTIFS($W$4:W2250,W2250)-1)</f>
        <v/>
      </c>
      <c r="Y2250" s="175">
        <f>IF(OR(I2250="",'02_대상물건입력'!B19="",'02_대상물건입력'!B19&lt;=0),"",ABS(I2250-'02_대상물건입력'!B19)/'02_대상물건입력'!B19)</f>
        <v/>
      </c>
      <c r="Z2250" s="172">
        <f>IF(OR(Y2250="",'01_설정'!B31="",'01_설정'!B31&lt;=0,'01_설정'!B32="",'01_설정'!B32&lt;=0),"",MAX(0,(1-Y2250/'01_설정'!B32))*'01_설정'!B31)</f>
        <v/>
      </c>
    </row>
    <row r="2251" ht="17.25" customHeight="1">
      <c r="A2251" s="152">
        <f>IF(INDEX('04A_국토부원자료'!$A:$A,ROW()+1)="","",ROW()-3)</f>
        <v/>
      </c>
      <c r="B2251" s="48">
        <f>IFERROR(INDEX('04A_국토부원자료'!$A:$T,ROW()+1,MATCH("시군구",'04A_국토부원자료'!$A$4:$T$4,0)),"")</f>
        <v/>
      </c>
      <c r="C2251" s="48">
        <f>IF(B2251="","",IFERROR(INDEX('04A_국토부원자료'!$A:$T,ROW()+1,MATCH("번지",'04A_국토부원자료'!$A$4:$T$4,0)),""))</f>
        <v/>
      </c>
      <c r="D2251" s="48">
        <f>IF(B2251="","",IF(Q2251=1,'02_대상물건입력'!$B$8,IFERROR(INDEX('04A_국토부원자료'!$A:$T,ROW()+1,MATCH("단지명",'04A_국토부원자료'!$A$4:$T$4,0)),"")))</f>
        <v/>
      </c>
      <c r="E2251" s="172">
        <f>IFERROR(VALUE(SUBSTITUTE(INDEX('04A_국토부원자료'!$A:$T,ROW()+1,MATCH("전용면적(㎡)",'04A_국토부원자료'!$A$4:$T$4,0)),",","")),"")</f>
        <v/>
      </c>
      <c r="F22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51" s="51">
        <f>IFERROR(VALUE(SUBSTITUTE(INDEX('04A_국토부원자료'!$A:$T,ROW()+1,MATCH("거래금액(만원)",'04A_국토부원자료'!$A$4:$T$4,0)),",","")),"")</f>
        <v/>
      </c>
      <c r="H2251" s="174">
        <f>IF(G2251="","",G2251*10000)</f>
        <v/>
      </c>
      <c r="I2251" s="174">
        <f>IFERROR(IF(AND(H2251&gt;0,E2251&gt;0),H2251/E2251,""),"")</f>
        <v/>
      </c>
      <c r="J2251" s="152">
        <f>IFERROR(VALUE(SUBSTITUTE(INDEX('04A_국토부원자료'!$A:$T,ROW()+1,MATCH("층",'04A_국토부원자료'!$A$4:$T$4,0)),",","")),"")</f>
        <v/>
      </c>
      <c r="K2251" s="152">
        <f>IFERROR(VALUE(SUBSTITUTE(INDEX('04A_국토부원자료'!$A:$T,ROW()+1,MATCH("건축년도",'04A_국토부원자료'!$A$4:$T$4,0)),",","")),"")</f>
        <v/>
      </c>
      <c r="L2251" s="48">
        <f>IFERROR(INDEX('04A_국토부원자료'!$A:$T,ROW()+1,MATCH("도로명",'04A_국토부원자료'!$A$4:$T$4,0)),"")</f>
        <v/>
      </c>
      <c r="M2251" s="48">
        <f>IFERROR(INDEX('04A_국토부원자료'!$A:$T,ROW()+1,MATCH("거래유형",'04A_국토부원자료'!$A$4:$T$4,0)),"")</f>
        <v/>
      </c>
      <c r="N2251" s="152">
        <f>IF(B2251="","",IF('02_대상물건입력'!B5="",1,IF(ISNUMBER(SEARCH('02_대상물건입력'!B5,B2251)),1,0)))</f>
        <v/>
      </c>
      <c r="O2251" s="152">
        <f>IF(B2251="","",IF('02_대상물건입력'!B6="",1,IF(ISNUMBER(SEARCH('02_대상물건입력'!B6,B2251)),1,0)))</f>
        <v/>
      </c>
      <c r="P2251" s="152">
        <f>IF(L2251="","",IF('02_대상물건입력'!B15="",0,IF(ISNUMBER(SEARCH('02_대상물건입력'!B15,L2251)),1,0)))</f>
        <v/>
      </c>
      <c r="Q2251" s="152">
        <f>IF(OR(C2251="",L2251=""),0,IF(AND(TRIM(C2251)=TRIM(RIGHT(SUBSTITUTE(TRIM('02_대상물건입력'!$B$7)," ",REPT(" ",99)),99)),IF('02_대상물건입력'!B15="",TRUE(),ISNUMBER(SEARCH('02_대상물건입력'!B15,L2251)))),1,0))</f>
        <v/>
      </c>
      <c r="R2251" s="175">
        <f>IFERROR(ABS(E2251-'02_대상물건입력'!B11)/'02_대상물건입력'!B11,"")</f>
        <v/>
      </c>
      <c r="S2251" s="152">
        <f>IFERROR(ABS(J2251-'02_대상물건입력'!B10),"")</f>
        <v/>
      </c>
      <c r="T2251" s="152">
        <f>IFERROR(ABS('01_설정'!B4-F2251),"")</f>
        <v/>
      </c>
      <c r="U2251" s="152">
        <f>IFERROR(ABS(K2251-YEAR('02_대상물건입력'!B14)),"")</f>
        <v/>
      </c>
      <c r="V2251" s="152">
        <f>IF(B2251="","",IF(AND(E2251&gt;0,F2251&gt;0,H2251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2251=1,TRUE()),R2251&lt;='01_설정'!B5,S2251&lt;='01_설정'!B6,T2251&lt;='01_설정'!B7,U2251&lt;='01_설정'!B8),"Y",""))</f>
        <v/>
      </c>
      <c r="W2251" s="172">
        <f>IF(V2251&lt;&gt;"Y","",MAX(0,(1-R2251/'01_설정'!B5))*'01_설정'!B14+MAX(0,(1-S2251/'01_설정'!B6))*'01_설정'!B15+MAX(0,(1-T2251/'01_설정'!B7))*'01_설정'!B16+MAX(0,(1-U2251/'01_설정'!B8))*'01_설정'!B17+O2251*'01_설정'!B11+Q2251*'01_설정'!B12+P2251*'01_설정'!B13+IF(Z2251="",0,Z2251))</f>
        <v/>
      </c>
      <c r="X2251" s="152">
        <f>IF(W2251="","",1+COUNTIFS($W$4:$W$3003,"&gt;"&amp;W2251)+COUNTIFS($W$4:W2251,W2251)-1)</f>
        <v/>
      </c>
      <c r="Y2251" s="175">
        <f>IF(OR(I2251="",'02_대상물건입력'!B19="",'02_대상물건입력'!B19&lt;=0),"",ABS(I2251-'02_대상물건입력'!B19)/'02_대상물건입력'!B19)</f>
        <v/>
      </c>
      <c r="Z2251" s="172">
        <f>IF(OR(Y2251="",'01_설정'!B31="",'01_설정'!B31&lt;=0,'01_설정'!B32="",'01_설정'!B32&lt;=0),"",MAX(0,(1-Y2251/'01_설정'!B32))*'01_설정'!B31)</f>
        <v/>
      </c>
    </row>
    <row r="2252" ht="17.25" customHeight="1">
      <c r="A2252" s="152">
        <f>IF(INDEX('04A_국토부원자료'!$A:$A,ROW()+1)="","",ROW()-3)</f>
        <v/>
      </c>
      <c r="B2252" s="48">
        <f>IFERROR(INDEX('04A_국토부원자료'!$A:$T,ROW()+1,MATCH("시군구",'04A_국토부원자료'!$A$4:$T$4,0)),"")</f>
        <v/>
      </c>
      <c r="C2252" s="48">
        <f>IF(B2252="","",IFERROR(INDEX('04A_국토부원자료'!$A:$T,ROW()+1,MATCH("번지",'04A_국토부원자료'!$A$4:$T$4,0)),""))</f>
        <v/>
      </c>
      <c r="D2252" s="48">
        <f>IF(B2252="","",IF(Q2252=1,'02_대상물건입력'!$B$8,IFERROR(INDEX('04A_국토부원자료'!$A:$T,ROW()+1,MATCH("단지명",'04A_국토부원자료'!$A$4:$T$4,0)),"")))</f>
        <v/>
      </c>
      <c r="E2252" s="172">
        <f>IFERROR(VALUE(SUBSTITUTE(INDEX('04A_국토부원자료'!$A:$T,ROW()+1,MATCH("전용면적(㎡)",'04A_국토부원자료'!$A$4:$T$4,0)),",","")),"")</f>
        <v/>
      </c>
      <c r="F22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52" s="51">
        <f>IFERROR(VALUE(SUBSTITUTE(INDEX('04A_국토부원자료'!$A:$T,ROW()+1,MATCH("거래금액(만원)",'04A_국토부원자료'!$A$4:$T$4,0)),",","")),"")</f>
        <v/>
      </c>
      <c r="H2252" s="174">
        <f>IF(G2252="","",G2252*10000)</f>
        <v/>
      </c>
      <c r="I2252" s="174">
        <f>IFERROR(IF(AND(H2252&gt;0,E2252&gt;0),H2252/E2252,""),"")</f>
        <v/>
      </c>
      <c r="J2252" s="152">
        <f>IFERROR(VALUE(SUBSTITUTE(INDEX('04A_국토부원자료'!$A:$T,ROW()+1,MATCH("층",'04A_국토부원자료'!$A$4:$T$4,0)),",","")),"")</f>
        <v/>
      </c>
      <c r="K2252" s="152">
        <f>IFERROR(VALUE(SUBSTITUTE(INDEX('04A_국토부원자료'!$A:$T,ROW()+1,MATCH("건축년도",'04A_국토부원자료'!$A$4:$T$4,0)),",","")),"")</f>
        <v/>
      </c>
      <c r="L2252" s="48">
        <f>IFERROR(INDEX('04A_국토부원자료'!$A:$T,ROW()+1,MATCH("도로명",'04A_국토부원자료'!$A$4:$T$4,0)),"")</f>
        <v/>
      </c>
      <c r="M2252" s="48">
        <f>IFERROR(INDEX('04A_국토부원자료'!$A:$T,ROW()+1,MATCH("거래유형",'04A_국토부원자료'!$A$4:$T$4,0)),"")</f>
        <v/>
      </c>
      <c r="N2252" s="152">
        <f>IF(B2252="","",IF('02_대상물건입력'!B5="",1,IF(ISNUMBER(SEARCH('02_대상물건입력'!B5,B2252)),1,0)))</f>
        <v/>
      </c>
      <c r="O2252" s="152">
        <f>IF(B2252="","",IF('02_대상물건입력'!B6="",1,IF(ISNUMBER(SEARCH('02_대상물건입력'!B6,B2252)),1,0)))</f>
        <v/>
      </c>
      <c r="P2252" s="152">
        <f>IF(L2252="","",IF('02_대상물건입력'!B15="",0,IF(ISNUMBER(SEARCH('02_대상물건입력'!B15,L2252)),1,0)))</f>
        <v/>
      </c>
      <c r="Q2252" s="152">
        <f>IF(OR(C2252="",L2252=""),0,IF(AND(TRIM(C2252)=TRIM(RIGHT(SUBSTITUTE(TRIM('02_대상물건입력'!$B$7)," ",REPT(" ",99)),99)),IF('02_대상물건입력'!B15="",TRUE(),ISNUMBER(SEARCH('02_대상물건입력'!B15,L2252)))),1,0))</f>
        <v/>
      </c>
      <c r="R2252" s="175">
        <f>IFERROR(ABS(E2252-'02_대상물건입력'!B11)/'02_대상물건입력'!B11,"")</f>
        <v/>
      </c>
      <c r="S2252" s="152">
        <f>IFERROR(ABS(J2252-'02_대상물건입력'!B10),"")</f>
        <v/>
      </c>
      <c r="T2252" s="152">
        <f>IFERROR(ABS('01_설정'!B4-F2252),"")</f>
        <v/>
      </c>
      <c r="U2252" s="152">
        <f>IFERROR(ABS(K2252-YEAR('02_대상물건입력'!B14)),"")</f>
        <v/>
      </c>
      <c r="V2252" s="152">
        <f>IF(B2252="","",IF(AND(E2252&gt;0,F2252&gt;0,H2252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2252=1,TRUE()),R2252&lt;='01_설정'!B5,S2252&lt;='01_설정'!B6,T2252&lt;='01_설정'!B7,U2252&lt;='01_설정'!B8),"Y",""))</f>
        <v/>
      </c>
      <c r="W2252" s="172">
        <f>IF(V2252&lt;&gt;"Y","",MAX(0,(1-R2252/'01_설정'!B5))*'01_설정'!B14+MAX(0,(1-S2252/'01_설정'!B6))*'01_설정'!B15+MAX(0,(1-T2252/'01_설정'!B7))*'01_설정'!B16+MAX(0,(1-U2252/'01_설정'!B8))*'01_설정'!B17+O2252*'01_설정'!B11+Q2252*'01_설정'!B12+P2252*'01_설정'!B13+IF(Z2252="",0,Z2252))</f>
        <v/>
      </c>
      <c r="X2252" s="152">
        <f>IF(W2252="","",1+COUNTIFS($W$4:$W$3003,"&gt;"&amp;W2252)+COUNTIFS($W$4:W2252,W2252)-1)</f>
        <v/>
      </c>
      <c r="Y2252" s="175">
        <f>IF(OR(I2252="",'02_대상물건입력'!B19="",'02_대상물건입력'!B19&lt;=0),"",ABS(I2252-'02_대상물건입력'!B19)/'02_대상물건입력'!B19)</f>
        <v/>
      </c>
      <c r="Z2252" s="172">
        <f>IF(OR(Y2252="",'01_설정'!B31="",'01_설정'!B31&lt;=0,'01_설정'!B32="",'01_설정'!B32&lt;=0),"",MAX(0,(1-Y2252/'01_설정'!B32))*'01_설정'!B31)</f>
        <v/>
      </c>
    </row>
    <row r="2253" ht="17.25" customHeight="1">
      <c r="A2253" s="152">
        <f>IF(INDEX('04A_국토부원자료'!$A:$A,ROW()+1)="","",ROW()-3)</f>
        <v/>
      </c>
      <c r="B2253" s="48">
        <f>IFERROR(INDEX('04A_국토부원자료'!$A:$T,ROW()+1,MATCH("시군구",'04A_국토부원자료'!$A$4:$T$4,0)),"")</f>
        <v/>
      </c>
      <c r="C2253" s="48">
        <f>IF(B2253="","",IFERROR(INDEX('04A_국토부원자료'!$A:$T,ROW()+1,MATCH("번지",'04A_국토부원자료'!$A$4:$T$4,0)),""))</f>
        <v/>
      </c>
      <c r="D2253" s="48">
        <f>IF(B2253="","",IF(Q2253=1,'02_대상물건입력'!$B$8,IFERROR(INDEX('04A_국토부원자료'!$A:$T,ROW()+1,MATCH("단지명",'04A_국토부원자료'!$A$4:$T$4,0)),"")))</f>
        <v/>
      </c>
      <c r="E2253" s="172">
        <f>IFERROR(VALUE(SUBSTITUTE(INDEX('04A_국토부원자료'!$A:$T,ROW()+1,MATCH("전용면적(㎡)",'04A_국토부원자료'!$A$4:$T$4,0)),",","")),"")</f>
        <v/>
      </c>
      <c r="F22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53" s="51">
        <f>IFERROR(VALUE(SUBSTITUTE(INDEX('04A_국토부원자료'!$A:$T,ROW()+1,MATCH("거래금액(만원)",'04A_국토부원자료'!$A$4:$T$4,0)),",","")),"")</f>
        <v/>
      </c>
      <c r="H2253" s="174">
        <f>IF(G2253="","",G2253*10000)</f>
        <v/>
      </c>
      <c r="I2253" s="174">
        <f>IFERROR(IF(AND(H2253&gt;0,E2253&gt;0),H2253/E2253,""),"")</f>
        <v/>
      </c>
      <c r="J2253" s="152">
        <f>IFERROR(VALUE(SUBSTITUTE(INDEX('04A_국토부원자료'!$A:$T,ROW()+1,MATCH("층",'04A_국토부원자료'!$A$4:$T$4,0)),",","")),"")</f>
        <v/>
      </c>
      <c r="K2253" s="152">
        <f>IFERROR(VALUE(SUBSTITUTE(INDEX('04A_국토부원자료'!$A:$T,ROW()+1,MATCH("건축년도",'04A_국토부원자료'!$A$4:$T$4,0)),",","")),"")</f>
        <v/>
      </c>
      <c r="L2253" s="48">
        <f>IFERROR(INDEX('04A_국토부원자료'!$A:$T,ROW()+1,MATCH("도로명",'04A_국토부원자료'!$A$4:$T$4,0)),"")</f>
        <v/>
      </c>
      <c r="M2253" s="48">
        <f>IFERROR(INDEX('04A_국토부원자료'!$A:$T,ROW()+1,MATCH("거래유형",'04A_국토부원자료'!$A$4:$T$4,0)),"")</f>
        <v/>
      </c>
      <c r="N2253" s="152">
        <f>IF(B2253="","",IF('02_대상물건입력'!B5="",1,IF(ISNUMBER(SEARCH('02_대상물건입력'!B5,B2253)),1,0)))</f>
        <v/>
      </c>
      <c r="O2253" s="152">
        <f>IF(B2253="","",IF('02_대상물건입력'!B6="",1,IF(ISNUMBER(SEARCH('02_대상물건입력'!B6,B2253)),1,0)))</f>
        <v/>
      </c>
      <c r="P2253" s="152">
        <f>IF(L2253="","",IF('02_대상물건입력'!B15="",0,IF(ISNUMBER(SEARCH('02_대상물건입력'!B15,L2253)),1,0)))</f>
        <v/>
      </c>
      <c r="Q2253" s="152">
        <f>IF(OR(C2253="",L2253=""),0,IF(AND(TRIM(C2253)=TRIM(RIGHT(SUBSTITUTE(TRIM('02_대상물건입력'!$B$7)," ",REPT(" ",99)),99)),IF('02_대상물건입력'!B15="",TRUE(),ISNUMBER(SEARCH('02_대상물건입력'!B15,L2253)))),1,0))</f>
        <v/>
      </c>
      <c r="R2253" s="175">
        <f>IFERROR(ABS(E2253-'02_대상물건입력'!B11)/'02_대상물건입력'!B11,"")</f>
        <v/>
      </c>
      <c r="S2253" s="152">
        <f>IFERROR(ABS(J2253-'02_대상물건입력'!B10),"")</f>
        <v/>
      </c>
      <c r="T2253" s="152">
        <f>IFERROR(ABS('01_설정'!B4-F2253),"")</f>
        <v/>
      </c>
      <c r="U2253" s="152">
        <f>IFERROR(ABS(K2253-YEAR('02_대상물건입력'!B14)),"")</f>
        <v/>
      </c>
      <c r="V2253" s="152">
        <f>IF(B2253="","",IF(AND(E2253&gt;0,F2253&gt;0,H2253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2253=1,TRUE()),R2253&lt;='01_설정'!B5,S2253&lt;='01_설정'!B6,T2253&lt;='01_설정'!B7,U2253&lt;='01_설정'!B8),"Y",""))</f>
        <v/>
      </c>
      <c r="W2253" s="172">
        <f>IF(V2253&lt;&gt;"Y","",MAX(0,(1-R2253/'01_설정'!B5))*'01_설정'!B14+MAX(0,(1-S2253/'01_설정'!B6))*'01_설정'!B15+MAX(0,(1-T2253/'01_설정'!B7))*'01_설정'!B16+MAX(0,(1-U2253/'01_설정'!B8))*'01_설정'!B17+O2253*'01_설정'!B11+Q2253*'01_설정'!B12+P2253*'01_설정'!B13+IF(Z2253="",0,Z2253))</f>
        <v/>
      </c>
      <c r="X2253" s="152">
        <f>IF(W2253="","",1+COUNTIFS($W$4:$W$3003,"&gt;"&amp;W2253)+COUNTIFS($W$4:W2253,W2253)-1)</f>
        <v/>
      </c>
      <c r="Y2253" s="175">
        <f>IF(OR(I2253="",'02_대상물건입력'!B19="",'02_대상물건입력'!B19&lt;=0),"",ABS(I2253-'02_대상물건입력'!B19)/'02_대상물건입력'!B19)</f>
        <v/>
      </c>
      <c r="Z2253" s="172">
        <f>IF(OR(Y2253="",'01_설정'!B31="",'01_설정'!B31&lt;=0,'01_설정'!B32="",'01_설정'!B32&lt;=0),"",MAX(0,(1-Y2253/'01_설정'!B32))*'01_설정'!B31)</f>
        <v/>
      </c>
    </row>
    <row r="2254" ht="17.25" customHeight="1">
      <c r="A2254" s="152">
        <f>IF(INDEX('04A_국토부원자료'!$A:$A,ROW()+1)="","",ROW()-3)</f>
        <v/>
      </c>
      <c r="B2254" s="48">
        <f>IFERROR(INDEX('04A_국토부원자료'!$A:$T,ROW()+1,MATCH("시군구",'04A_국토부원자료'!$A$4:$T$4,0)),"")</f>
        <v/>
      </c>
      <c r="C2254" s="48">
        <f>IF(B2254="","",IFERROR(INDEX('04A_국토부원자료'!$A:$T,ROW()+1,MATCH("번지",'04A_국토부원자료'!$A$4:$T$4,0)),""))</f>
        <v/>
      </c>
      <c r="D2254" s="48">
        <f>IF(B2254="","",IF(Q2254=1,'02_대상물건입력'!$B$8,IFERROR(INDEX('04A_국토부원자료'!$A:$T,ROW()+1,MATCH("단지명",'04A_국토부원자료'!$A$4:$T$4,0)),"")))</f>
        <v/>
      </c>
      <c r="E2254" s="172">
        <f>IFERROR(VALUE(SUBSTITUTE(INDEX('04A_국토부원자료'!$A:$T,ROW()+1,MATCH("전용면적(㎡)",'04A_국토부원자료'!$A$4:$T$4,0)),",","")),"")</f>
        <v/>
      </c>
      <c r="F22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54" s="51">
        <f>IFERROR(VALUE(SUBSTITUTE(INDEX('04A_국토부원자료'!$A:$T,ROW()+1,MATCH("거래금액(만원)",'04A_국토부원자료'!$A$4:$T$4,0)),",","")),"")</f>
        <v/>
      </c>
      <c r="H2254" s="174">
        <f>IF(G2254="","",G2254*10000)</f>
        <v/>
      </c>
      <c r="I2254" s="174">
        <f>IFERROR(IF(AND(H2254&gt;0,E2254&gt;0),H2254/E2254,""),"")</f>
        <v/>
      </c>
      <c r="J2254" s="152">
        <f>IFERROR(VALUE(SUBSTITUTE(INDEX('04A_국토부원자료'!$A:$T,ROW()+1,MATCH("층",'04A_국토부원자료'!$A$4:$T$4,0)),",","")),"")</f>
        <v/>
      </c>
      <c r="K2254" s="152">
        <f>IFERROR(VALUE(SUBSTITUTE(INDEX('04A_국토부원자료'!$A:$T,ROW()+1,MATCH("건축년도",'04A_국토부원자료'!$A$4:$T$4,0)),",","")),"")</f>
        <v/>
      </c>
      <c r="L2254" s="48">
        <f>IFERROR(INDEX('04A_국토부원자료'!$A:$T,ROW()+1,MATCH("도로명",'04A_국토부원자료'!$A$4:$T$4,0)),"")</f>
        <v/>
      </c>
      <c r="M2254" s="48">
        <f>IFERROR(INDEX('04A_국토부원자료'!$A:$T,ROW()+1,MATCH("거래유형",'04A_국토부원자료'!$A$4:$T$4,0)),"")</f>
        <v/>
      </c>
      <c r="N2254" s="152">
        <f>IF(B2254="","",IF('02_대상물건입력'!B5="",1,IF(ISNUMBER(SEARCH('02_대상물건입력'!B5,B2254)),1,0)))</f>
        <v/>
      </c>
      <c r="O2254" s="152">
        <f>IF(B2254="","",IF('02_대상물건입력'!B6="",1,IF(ISNUMBER(SEARCH('02_대상물건입력'!B6,B2254)),1,0)))</f>
        <v/>
      </c>
      <c r="P2254" s="152">
        <f>IF(L2254="","",IF('02_대상물건입력'!B15="",0,IF(ISNUMBER(SEARCH('02_대상물건입력'!B15,L2254)),1,0)))</f>
        <v/>
      </c>
      <c r="Q2254" s="152">
        <f>IF(OR(C2254="",L2254=""),0,IF(AND(TRIM(C2254)=TRIM(RIGHT(SUBSTITUTE(TRIM('02_대상물건입력'!$B$7)," ",REPT(" ",99)),99)),IF('02_대상물건입력'!B15="",TRUE(),ISNUMBER(SEARCH('02_대상물건입력'!B15,L2254)))),1,0))</f>
        <v/>
      </c>
      <c r="R2254" s="175">
        <f>IFERROR(ABS(E2254-'02_대상물건입력'!B11)/'02_대상물건입력'!B11,"")</f>
        <v/>
      </c>
      <c r="S2254" s="152">
        <f>IFERROR(ABS(J2254-'02_대상물건입력'!B10),"")</f>
        <v/>
      </c>
      <c r="T2254" s="152">
        <f>IFERROR(ABS('01_설정'!B4-F2254),"")</f>
        <v/>
      </c>
      <c r="U2254" s="152">
        <f>IFERROR(ABS(K2254-YEAR('02_대상물건입력'!B14)),"")</f>
        <v/>
      </c>
      <c r="V2254" s="152">
        <f>IF(B2254="","",IF(AND(E2254&gt;0,F2254&gt;0,H2254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2254=1,TRUE()),R2254&lt;='01_설정'!B5,S2254&lt;='01_설정'!B6,T2254&lt;='01_설정'!B7,U2254&lt;='01_설정'!B8),"Y",""))</f>
        <v/>
      </c>
      <c r="W2254" s="172">
        <f>IF(V2254&lt;&gt;"Y","",MAX(0,(1-R2254/'01_설정'!B5))*'01_설정'!B14+MAX(0,(1-S2254/'01_설정'!B6))*'01_설정'!B15+MAX(0,(1-T2254/'01_설정'!B7))*'01_설정'!B16+MAX(0,(1-U2254/'01_설정'!B8))*'01_설정'!B17+O2254*'01_설정'!B11+Q2254*'01_설정'!B12+P2254*'01_설정'!B13+IF(Z2254="",0,Z2254))</f>
        <v/>
      </c>
      <c r="X2254" s="152">
        <f>IF(W2254="","",1+COUNTIFS($W$4:$W$3003,"&gt;"&amp;W2254)+COUNTIFS($W$4:W2254,W2254)-1)</f>
        <v/>
      </c>
      <c r="Y2254" s="175">
        <f>IF(OR(I2254="",'02_대상물건입력'!B19="",'02_대상물건입력'!B19&lt;=0),"",ABS(I2254-'02_대상물건입력'!B19)/'02_대상물건입력'!B19)</f>
        <v/>
      </c>
      <c r="Z2254" s="172">
        <f>IF(OR(Y2254="",'01_설정'!B31="",'01_설정'!B31&lt;=0,'01_설정'!B32="",'01_설정'!B32&lt;=0),"",MAX(0,(1-Y2254/'01_설정'!B32))*'01_설정'!B31)</f>
        <v/>
      </c>
    </row>
    <row r="2255" ht="17.25" customHeight="1">
      <c r="A2255" s="152">
        <f>IF(INDEX('04A_국토부원자료'!$A:$A,ROW()+1)="","",ROW()-3)</f>
        <v/>
      </c>
      <c r="B2255" s="48">
        <f>IFERROR(INDEX('04A_국토부원자료'!$A:$T,ROW()+1,MATCH("시군구",'04A_국토부원자료'!$A$4:$T$4,0)),"")</f>
        <v/>
      </c>
      <c r="C2255" s="48">
        <f>IF(B2255="","",IFERROR(INDEX('04A_국토부원자료'!$A:$T,ROW()+1,MATCH("번지",'04A_국토부원자료'!$A$4:$T$4,0)),""))</f>
        <v/>
      </c>
      <c r="D2255" s="48">
        <f>IF(B2255="","",IF(Q2255=1,'02_대상물건입력'!$B$8,IFERROR(INDEX('04A_국토부원자료'!$A:$T,ROW()+1,MATCH("단지명",'04A_국토부원자료'!$A$4:$T$4,0)),"")))</f>
        <v/>
      </c>
      <c r="E2255" s="172">
        <f>IFERROR(VALUE(SUBSTITUTE(INDEX('04A_국토부원자료'!$A:$T,ROW()+1,MATCH("전용면적(㎡)",'04A_국토부원자료'!$A$4:$T$4,0)),",","")),"")</f>
        <v/>
      </c>
      <c r="F22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55" s="51">
        <f>IFERROR(VALUE(SUBSTITUTE(INDEX('04A_국토부원자료'!$A:$T,ROW()+1,MATCH("거래금액(만원)",'04A_국토부원자료'!$A$4:$T$4,0)),",","")),"")</f>
        <v/>
      </c>
      <c r="H2255" s="174">
        <f>IF(G2255="","",G2255*10000)</f>
        <v/>
      </c>
      <c r="I2255" s="174">
        <f>IFERROR(IF(AND(H2255&gt;0,E2255&gt;0),H2255/E2255,""),"")</f>
        <v/>
      </c>
      <c r="J2255" s="152">
        <f>IFERROR(VALUE(SUBSTITUTE(INDEX('04A_국토부원자료'!$A:$T,ROW()+1,MATCH("층",'04A_국토부원자료'!$A$4:$T$4,0)),",","")),"")</f>
        <v/>
      </c>
      <c r="K2255" s="152">
        <f>IFERROR(VALUE(SUBSTITUTE(INDEX('04A_국토부원자료'!$A:$T,ROW()+1,MATCH("건축년도",'04A_국토부원자료'!$A$4:$T$4,0)),",","")),"")</f>
        <v/>
      </c>
      <c r="L2255" s="48">
        <f>IFERROR(INDEX('04A_국토부원자료'!$A:$T,ROW()+1,MATCH("도로명",'04A_국토부원자료'!$A$4:$T$4,0)),"")</f>
        <v/>
      </c>
      <c r="M2255" s="48">
        <f>IFERROR(INDEX('04A_국토부원자료'!$A:$T,ROW()+1,MATCH("거래유형",'04A_국토부원자료'!$A$4:$T$4,0)),"")</f>
        <v/>
      </c>
      <c r="N2255" s="152">
        <f>IF(B2255="","",IF('02_대상물건입력'!B5="",1,IF(ISNUMBER(SEARCH('02_대상물건입력'!B5,B2255)),1,0)))</f>
        <v/>
      </c>
      <c r="O2255" s="152">
        <f>IF(B2255="","",IF('02_대상물건입력'!B6="",1,IF(ISNUMBER(SEARCH('02_대상물건입력'!B6,B2255)),1,0)))</f>
        <v/>
      </c>
      <c r="P2255" s="152">
        <f>IF(L2255="","",IF('02_대상물건입력'!B15="",0,IF(ISNUMBER(SEARCH('02_대상물건입력'!B15,L2255)),1,0)))</f>
        <v/>
      </c>
      <c r="Q2255" s="152">
        <f>IF(OR(C2255="",L2255=""),0,IF(AND(TRIM(C2255)=TRIM(RIGHT(SUBSTITUTE(TRIM('02_대상물건입력'!$B$7)," ",REPT(" ",99)),99)),IF('02_대상물건입력'!B15="",TRUE(),ISNUMBER(SEARCH('02_대상물건입력'!B15,L2255)))),1,0))</f>
        <v/>
      </c>
      <c r="R2255" s="175">
        <f>IFERROR(ABS(E2255-'02_대상물건입력'!B11)/'02_대상물건입력'!B11,"")</f>
        <v/>
      </c>
      <c r="S2255" s="152">
        <f>IFERROR(ABS(J2255-'02_대상물건입력'!B10),"")</f>
        <v/>
      </c>
      <c r="T2255" s="152">
        <f>IFERROR(ABS('01_설정'!B4-F2255),"")</f>
        <v/>
      </c>
      <c r="U2255" s="152">
        <f>IFERROR(ABS(K2255-YEAR('02_대상물건입력'!B14)),"")</f>
        <v/>
      </c>
      <c r="V2255" s="152">
        <f>IF(B2255="","",IF(AND(E2255&gt;0,F2255&gt;0,H2255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2255=1,TRUE()),R2255&lt;='01_설정'!B5,S2255&lt;='01_설정'!B6,T2255&lt;='01_설정'!B7,U2255&lt;='01_설정'!B8),"Y",""))</f>
        <v/>
      </c>
      <c r="W2255" s="172">
        <f>IF(V2255&lt;&gt;"Y","",MAX(0,(1-R2255/'01_설정'!B5))*'01_설정'!B14+MAX(0,(1-S2255/'01_설정'!B6))*'01_설정'!B15+MAX(0,(1-T2255/'01_설정'!B7))*'01_설정'!B16+MAX(0,(1-U2255/'01_설정'!B8))*'01_설정'!B17+O2255*'01_설정'!B11+Q2255*'01_설정'!B12+P2255*'01_설정'!B13+IF(Z2255="",0,Z2255))</f>
        <v/>
      </c>
      <c r="X2255" s="152">
        <f>IF(W2255="","",1+COUNTIFS($W$4:$W$3003,"&gt;"&amp;W2255)+COUNTIFS($W$4:W2255,W2255)-1)</f>
        <v/>
      </c>
      <c r="Y2255" s="175">
        <f>IF(OR(I2255="",'02_대상물건입력'!B19="",'02_대상물건입력'!B19&lt;=0),"",ABS(I2255-'02_대상물건입력'!B19)/'02_대상물건입력'!B19)</f>
        <v/>
      </c>
      <c r="Z2255" s="172">
        <f>IF(OR(Y2255="",'01_설정'!B31="",'01_설정'!B31&lt;=0,'01_설정'!B32="",'01_설정'!B32&lt;=0),"",MAX(0,(1-Y2255/'01_설정'!B32))*'01_설정'!B31)</f>
        <v/>
      </c>
    </row>
    <row r="2256" ht="17.25" customHeight="1">
      <c r="A2256" s="152">
        <f>IF(INDEX('04A_국토부원자료'!$A:$A,ROW()+1)="","",ROW()-3)</f>
        <v/>
      </c>
      <c r="B2256" s="48">
        <f>IFERROR(INDEX('04A_국토부원자료'!$A:$T,ROW()+1,MATCH("시군구",'04A_국토부원자료'!$A$4:$T$4,0)),"")</f>
        <v/>
      </c>
      <c r="C2256" s="48">
        <f>IF(B2256="","",IFERROR(INDEX('04A_국토부원자료'!$A:$T,ROW()+1,MATCH("번지",'04A_국토부원자료'!$A$4:$T$4,0)),""))</f>
        <v/>
      </c>
      <c r="D2256" s="48">
        <f>IF(B2256="","",IF(Q2256=1,'02_대상물건입력'!$B$8,IFERROR(INDEX('04A_국토부원자료'!$A:$T,ROW()+1,MATCH("단지명",'04A_국토부원자료'!$A$4:$T$4,0)),"")))</f>
        <v/>
      </c>
      <c r="E2256" s="172">
        <f>IFERROR(VALUE(SUBSTITUTE(INDEX('04A_국토부원자료'!$A:$T,ROW()+1,MATCH("전용면적(㎡)",'04A_국토부원자료'!$A$4:$T$4,0)),",","")),"")</f>
        <v/>
      </c>
      <c r="F22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56" s="51">
        <f>IFERROR(VALUE(SUBSTITUTE(INDEX('04A_국토부원자료'!$A:$T,ROW()+1,MATCH("거래금액(만원)",'04A_국토부원자료'!$A$4:$T$4,0)),",","")),"")</f>
        <v/>
      </c>
      <c r="H2256" s="174">
        <f>IF(G2256="","",G2256*10000)</f>
        <v/>
      </c>
      <c r="I2256" s="174">
        <f>IFERROR(IF(AND(H2256&gt;0,E2256&gt;0),H2256/E2256,""),"")</f>
        <v/>
      </c>
      <c r="J2256" s="152">
        <f>IFERROR(VALUE(SUBSTITUTE(INDEX('04A_국토부원자료'!$A:$T,ROW()+1,MATCH("층",'04A_국토부원자료'!$A$4:$T$4,0)),",","")),"")</f>
        <v/>
      </c>
      <c r="K2256" s="152">
        <f>IFERROR(VALUE(SUBSTITUTE(INDEX('04A_국토부원자료'!$A:$T,ROW()+1,MATCH("건축년도",'04A_국토부원자료'!$A$4:$T$4,0)),",","")),"")</f>
        <v/>
      </c>
      <c r="L2256" s="48">
        <f>IFERROR(INDEX('04A_국토부원자료'!$A:$T,ROW()+1,MATCH("도로명",'04A_국토부원자료'!$A$4:$T$4,0)),"")</f>
        <v/>
      </c>
      <c r="M2256" s="48">
        <f>IFERROR(INDEX('04A_국토부원자료'!$A:$T,ROW()+1,MATCH("거래유형",'04A_국토부원자료'!$A$4:$T$4,0)),"")</f>
        <v/>
      </c>
      <c r="N2256" s="152">
        <f>IF(B2256="","",IF('02_대상물건입력'!B5="",1,IF(ISNUMBER(SEARCH('02_대상물건입력'!B5,B2256)),1,0)))</f>
        <v/>
      </c>
      <c r="O2256" s="152">
        <f>IF(B2256="","",IF('02_대상물건입력'!B6="",1,IF(ISNUMBER(SEARCH('02_대상물건입력'!B6,B2256)),1,0)))</f>
        <v/>
      </c>
      <c r="P2256" s="152">
        <f>IF(L2256="","",IF('02_대상물건입력'!B15="",0,IF(ISNUMBER(SEARCH('02_대상물건입력'!B15,L2256)),1,0)))</f>
        <v/>
      </c>
      <c r="Q2256" s="152">
        <f>IF(OR(C2256="",L2256=""),0,IF(AND(TRIM(C2256)=TRIM(RIGHT(SUBSTITUTE(TRIM('02_대상물건입력'!$B$7)," ",REPT(" ",99)),99)),IF('02_대상물건입력'!B15="",TRUE(),ISNUMBER(SEARCH('02_대상물건입력'!B15,L2256)))),1,0))</f>
        <v/>
      </c>
      <c r="R2256" s="175">
        <f>IFERROR(ABS(E2256-'02_대상물건입력'!B11)/'02_대상물건입력'!B11,"")</f>
        <v/>
      </c>
      <c r="S2256" s="152">
        <f>IFERROR(ABS(J2256-'02_대상물건입력'!B10),"")</f>
        <v/>
      </c>
      <c r="T2256" s="152">
        <f>IFERROR(ABS('01_설정'!B4-F2256),"")</f>
        <v/>
      </c>
      <c r="U2256" s="152">
        <f>IFERROR(ABS(K2256-YEAR('02_대상물건입력'!B14)),"")</f>
        <v/>
      </c>
      <c r="V2256" s="152">
        <f>IF(B2256="","",IF(AND(E2256&gt;0,F2256&gt;0,H2256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2256=1,TRUE()),R2256&lt;='01_설정'!B5,S2256&lt;='01_설정'!B6,T2256&lt;='01_설정'!B7,U2256&lt;='01_설정'!B8),"Y",""))</f>
        <v/>
      </c>
      <c r="W2256" s="172">
        <f>IF(V2256&lt;&gt;"Y","",MAX(0,(1-R2256/'01_설정'!B5))*'01_설정'!B14+MAX(0,(1-S2256/'01_설정'!B6))*'01_설정'!B15+MAX(0,(1-T2256/'01_설정'!B7))*'01_설정'!B16+MAX(0,(1-U2256/'01_설정'!B8))*'01_설정'!B17+O2256*'01_설정'!B11+Q2256*'01_설정'!B12+P2256*'01_설정'!B13+IF(Z2256="",0,Z2256))</f>
        <v/>
      </c>
      <c r="X2256" s="152">
        <f>IF(W2256="","",1+COUNTIFS($W$4:$W$3003,"&gt;"&amp;W2256)+COUNTIFS($W$4:W2256,W2256)-1)</f>
        <v/>
      </c>
      <c r="Y2256" s="175">
        <f>IF(OR(I2256="",'02_대상물건입력'!B19="",'02_대상물건입력'!B19&lt;=0),"",ABS(I2256-'02_대상물건입력'!B19)/'02_대상물건입력'!B19)</f>
        <v/>
      </c>
      <c r="Z2256" s="172">
        <f>IF(OR(Y2256="",'01_설정'!B31="",'01_설정'!B31&lt;=0,'01_설정'!B32="",'01_설정'!B32&lt;=0),"",MAX(0,(1-Y2256/'01_설정'!B32))*'01_설정'!B31)</f>
        <v/>
      </c>
    </row>
    <row r="2257" ht="17.25" customHeight="1">
      <c r="A2257" s="152">
        <f>IF(INDEX('04A_국토부원자료'!$A:$A,ROW()+1)="","",ROW()-3)</f>
        <v/>
      </c>
      <c r="B2257" s="48">
        <f>IFERROR(INDEX('04A_국토부원자료'!$A:$T,ROW()+1,MATCH("시군구",'04A_국토부원자료'!$A$4:$T$4,0)),"")</f>
        <v/>
      </c>
      <c r="C2257" s="48">
        <f>IF(B2257="","",IFERROR(INDEX('04A_국토부원자료'!$A:$T,ROW()+1,MATCH("번지",'04A_국토부원자료'!$A$4:$T$4,0)),""))</f>
        <v/>
      </c>
      <c r="D2257" s="48">
        <f>IF(B2257="","",IF(Q2257=1,'02_대상물건입력'!$B$8,IFERROR(INDEX('04A_국토부원자료'!$A:$T,ROW()+1,MATCH("단지명",'04A_국토부원자료'!$A$4:$T$4,0)),"")))</f>
        <v/>
      </c>
      <c r="E2257" s="172">
        <f>IFERROR(VALUE(SUBSTITUTE(INDEX('04A_국토부원자료'!$A:$T,ROW()+1,MATCH("전용면적(㎡)",'04A_국토부원자료'!$A$4:$T$4,0)),",","")),"")</f>
        <v/>
      </c>
      <c r="F22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57" s="51">
        <f>IFERROR(VALUE(SUBSTITUTE(INDEX('04A_국토부원자료'!$A:$T,ROW()+1,MATCH("거래금액(만원)",'04A_국토부원자료'!$A$4:$T$4,0)),",","")),"")</f>
        <v/>
      </c>
      <c r="H2257" s="174">
        <f>IF(G2257="","",G2257*10000)</f>
        <v/>
      </c>
      <c r="I2257" s="174">
        <f>IFERROR(IF(AND(H2257&gt;0,E2257&gt;0),H2257/E2257,""),"")</f>
        <v/>
      </c>
      <c r="J2257" s="152">
        <f>IFERROR(VALUE(SUBSTITUTE(INDEX('04A_국토부원자료'!$A:$T,ROW()+1,MATCH("층",'04A_국토부원자료'!$A$4:$T$4,0)),",","")),"")</f>
        <v/>
      </c>
      <c r="K2257" s="152">
        <f>IFERROR(VALUE(SUBSTITUTE(INDEX('04A_국토부원자료'!$A:$T,ROW()+1,MATCH("건축년도",'04A_국토부원자료'!$A$4:$T$4,0)),",","")),"")</f>
        <v/>
      </c>
      <c r="L2257" s="48">
        <f>IFERROR(INDEX('04A_국토부원자료'!$A:$T,ROW()+1,MATCH("도로명",'04A_국토부원자료'!$A$4:$T$4,0)),"")</f>
        <v/>
      </c>
      <c r="M2257" s="48">
        <f>IFERROR(INDEX('04A_국토부원자료'!$A:$T,ROW()+1,MATCH("거래유형",'04A_국토부원자료'!$A$4:$T$4,0)),"")</f>
        <v/>
      </c>
      <c r="N2257" s="152">
        <f>IF(B2257="","",IF('02_대상물건입력'!B5="",1,IF(ISNUMBER(SEARCH('02_대상물건입력'!B5,B2257)),1,0)))</f>
        <v/>
      </c>
      <c r="O2257" s="152">
        <f>IF(B2257="","",IF('02_대상물건입력'!B6="",1,IF(ISNUMBER(SEARCH('02_대상물건입력'!B6,B2257)),1,0)))</f>
        <v/>
      </c>
      <c r="P2257" s="152">
        <f>IF(L2257="","",IF('02_대상물건입력'!B15="",0,IF(ISNUMBER(SEARCH('02_대상물건입력'!B15,L2257)),1,0)))</f>
        <v/>
      </c>
      <c r="Q2257" s="152">
        <f>IF(OR(C2257="",L2257=""),0,IF(AND(TRIM(C2257)=TRIM(RIGHT(SUBSTITUTE(TRIM('02_대상물건입력'!$B$7)," ",REPT(" ",99)),99)),IF('02_대상물건입력'!B15="",TRUE(),ISNUMBER(SEARCH('02_대상물건입력'!B15,L2257)))),1,0))</f>
        <v/>
      </c>
      <c r="R2257" s="175">
        <f>IFERROR(ABS(E2257-'02_대상물건입력'!B11)/'02_대상물건입력'!B11,"")</f>
        <v/>
      </c>
      <c r="S2257" s="152">
        <f>IFERROR(ABS(J2257-'02_대상물건입력'!B10),"")</f>
        <v/>
      </c>
      <c r="T2257" s="152">
        <f>IFERROR(ABS('01_설정'!B4-F2257),"")</f>
        <v/>
      </c>
      <c r="U2257" s="152">
        <f>IFERROR(ABS(K2257-YEAR('02_대상물건입력'!B14)),"")</f>
        <v/>
      </c>
      <c r="V2257" s="152">
        <f>IF(B2257="","",IF(AND(E2257&gt;0,F2257&gt;0,H2257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2257=1,TRUE()),R2257&lt;='01_설정'!B5,S2257&lt;='01_설정'!B6,T2257&lt;='01_설정'!B7,U2257&lt;='01_설정'!B8),"Y",""))</f>
        <v/>
      </c>
      <c r="W2257" s="172">
        <f>IF(V2257&lt;&gt;"Y","",MAX(0,(1-R2257/'01_설정'!B5))*'01_설정'!B14+MAX(0,(1-S2257/'01_설정'!B6))*'01_설정'!B15+MAX(0,(1-T2257/'01_설정'!B7))*'01_설정'!B16+MAX(0,(1-U2257/'01_설정'!B8))*'01_설정'!B17+O2257*'01_설정'!B11+Q2257*'01_설정'!B12+P2257*'01_설정'!B13+IF(Z2257="",0,Z2257))</f>
        <v/>
      </c>
      <c r="X2257" s="152">
        <f>IF(W2257="","",1+COUNTIFS($W$4:$W$3003,"&gt;"&amp;W2257)+COUNTIFS($W$4:W2257,W2257)-1)</f>
        <v/>
      </c>
      <c r="Y2257" s="175">
        <f>IF(OR(I2257="",'02_대상물건입력'!B19="",'02_대상물건입력'!B19&lt;=0),"",ABS(I2257-'02_대상물건입력'!B19)/'02_대상물건입력'!B19)</f>
        <v/>
      </c>
      <c r="Z2257" s="172">
        <f>IF(OR(Y2257="",'01_설정'!B31="",'01_설정'!B31&lt;=0,'01_설정'!B32="",'01_설정'!B32&lt;=0),"",MAX(0,(1-Y2257/'01_설정'!B32))*'01_설정'!B31)</f>
        <v/>
      </c>
    </row>
    <row r="2258" ht="17.25" customHeight="1">
      <c r="A2258" s="152">
        <f>IF(INDEX('04A_국토부원자료'!$A:$A,ROW()+1)="","",ROW()-3)</f>
        <v/>
      </c>
      <c r="B2258" s="48">
        <f>IFERROR(INDEX('04A_국토부원자료'!$A:$T,ROW()+1,MATCH("시군구",'04A_국토부원자료'!$A$4:$T$4,0)),"")</f>
        <v/>
      </c>
      <c r="C2258" s="48">
        <f>IF(B2258="","",IFERROR(INDEX('04A_국토부원자료'!$A:$T,ROW()+1,MATCH("번지",'04A_국토부원자료'!$A$4:$T$4,0)),""))</f>
        <v/>
      </c>
      <c r="D2258" s="48">
        <f>IF(B2258="","",IF(Q2258=1,'02_대상물건입력'!$B$8,IFERROR(INDEX('04A_국토부원자료'!$A:$T,ROW()+1,MATCH("단지명",'04A_국토부원자료'!$A$4:$T$4,0)),"")))</f>
        <v/>
      </c>
      <c r="E2258" s="172">
        <f>IFERROR(VALUE(SUBSTITUTE(INDEX('04A_국토부원자료'!$A:$T,ROW()+1,MATCH("전용면적(㎡)",'04A_국토부원자료'!$A$4:$T$4,0)),",","")),"")</f>
        <v/>
      </c>
      <c r="F22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58" s="51">
        <f>IFERROR(VALUE(SUBSTITUTE(INDEX('04A_국토부원자료'!$A:$T,ROW()+1,MATCH("거래금액(만원)",'04A_국토부원자료'!$A$4:$T$4,0)),",","")),"")</f>
        <v/>
      </c>
      <c r="H2258" s="174">
        <f>IF(G2258="","",G2258*10000)</f>
        <v/>
      </c>
      <c r="I2258" s="174">
        <f>IFERROR(IF(AND(H2258&gt;0,E2258&gt;0),H2258/E2258,""),"")</f>
        <v/>
      </c>
      <c r="J2258" s="152">
        <f>IFERROR(VALUE(SUBSTITUTE(INDEX('04A_국토부원자료'!$A:$T,ROW()+1,MATCH("층",'04A_국토부원자료'!$A$4:$T$4,0)),",","")),"")</f>
        <v/>
      </c>
      <c r="K2258" s="152">
        <f>IFERROR(VALUE(SUBSTITUTE(INDEX('04A_국토부원자료'!$A:$T,ROW()+1,MATCH("건축년도",'04A_국토부원자료'!$A$4:$T$4,0)),",","")),"")</f>
        <v/>
      </c>
      <c r="L2258" s="48">
        <f>IFERROR(INDEX('04A_국토부원자료'!$A:$T,ROW()+1,MATCH("도로명",'04A_국토부원자료'!$A$4:$T$4,0)),"")</f>
        <v/>
      </c>
      <c r="M2258" s="48">
        <f>IFERROR(INDEX('04A_국토부원자료'!$A:$T,ROW()+1,MATCH("거래유형",'04A_국토부원자료'!$A$4:$T$4,0)),"")</f>
        <v/>
      </c>
      <c r="N2258" s="152">
        <f>IF(B2258="","",IF('02_대상물건입력'!B5="",1,IF(ISNUMBER(SEARCH('02_대상물건입력'!B5,B2258)),1,0)))</f>
        <v/>
      </c>
      <c r="O2258" s="152">
        <f>IF(B2258="","",IF('02_대상물건입력'!B6="",1,IF(ISNUMBER(SEARCH('02_대상물건입력'!B6,B2258)),1,0)))</f>
        <v/>
      </c>
      <c r="P2258" s="152">
        <f>IF(L2258="","",IF('02_대상물건입력'!B15="",0,IF(ISNUMBER(SEARCH('02_대상물건입력'!B15,L2258)),1,0)))</f>
        <v/>
      </c>
      <c r="Q2258" s="152">
        <f>IF(OR(C2258="",L2258=""),0,IF(AND(TRIM(C2258)=TRIM(RIGHT(SUBSTITUTE(TRIM('02_대상물건입력'!$B$7)," ",REPT(" ",99)),99)),IF('02_대상물건입력'!B15="",TRUE(),ISNUMBER(SEARCH('02_대상물건입력'!B15,L2258)))),1,0))</f>
        <v/>
      </c>
      <c r="R2258" s="175">
        <f>IFERROR(ABS(E2258-'02_대상물건입력'!B11)/'02_대상물건입력'!B11,"")</f>
        <v/>
      </c>
      <c r="S2258" s="152">
        <f>IFERROR(ABS(J2258-'02_대상물건입력'!B10),"")</f>
        <v/>
      </c>
      <c r="T2258" s="152">
        <f>IFERROR(ABS('01_설정'!B4-F2258),"")</f>
        <v/>
      </c>
      <c r="U2258" s="152">
        <f>IFERROR(ABS(K2258-YEAR('02_대상물건입력'!B14)),"")</f>
        <v/>
      </c>
      <c r="V2258" s="152">
        <f>IF(B2258="","",IF(AND(E2258&gt;0,F2258&gt;0,H2258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2258=1,TRUE()),R2258&lt;='01_설정'!B5,S2258&lt;='01_설정'!B6,T2258&lt;='01_설정'!B7,U2258&lt;='01_설정'!B8),"Y",""))</f>
        <v/>
      </c>
      <c r="W2258" s="172">
        <f>IF(V2258&lt;&gt;"Y","",MAX(0,(1-R2258/'01_설정'!B5))*'01_설정'!B14+MAX(0,(1-S2258/'01_설정'!B6))*'01_설정'!B15+MAX(0,(1-T2258/'01_설정'!B7))*'01_설정'!B16+MAX(0,(1-U2258/'01_설정'!B8))*'01_설정'!B17+O2258*'01_설정'!B11+Q2258*'01_설정'!B12+P2258*'01_설정'!B13+IF(Z2258="",0,Z2258))</f>
        <v/>
      </c>
      <c r="X2258" s="152">
        <f>IF(W2258="","",1+COUNTIFS($W$4:$W$3003,"&gt;"&amp;W2258)+COUNTIFS($W$4:W2258,W2258)-1)</f>
        <v/>
      </c>
      <c r="Y2258" s="175">
        <f>IF(OR(I2258="",'02_대상물건입력'!B19="",'02_대상물건입력'!B19&lt;=0),"",ABS(I2258-'02_대상물건입력'!B19)/'02_대상물건입력'!B19)</f>
        <v/>
      </c>
      <c r="Z2258" s="172">
        <f>IF(OR(Y2258="",'01_설정'!B31="",'01_설정'!B31&lt;=0,'01_설정'!B32="",'01_설정'!B32&lt;=0),"",MAX(0,(1-Y2258/'01_설정'!B32))*'01_설정'!B31)</f>
        <v/>
      </c>
    </row>
    <row r="2259" ht="17.25" customHeight="1">
      <c r="A2259" s="152">
        <f>IF(INDEX('04A_국토부원자료'!$A:$A,ROW()+1)="","",ROW()-3)</f>
        <v/>
      </c>
      <c r="B2259" s="48">
        <f>IFERROR(INDEX('04A_국토부원자료'!$A:$T,ROW()+1,MATCH("시군구",'04A_국토부원자료'!$A$4:$T$4,0)),"")</f>
        <v/>
      </c>
      <c r="C2259" s="48">
        <f>IF(B2259="","",IFERROR(INDEX('04A_국토부원자료'!$A:$T,ROW()+1,MATCH("번지",'04A_국토부원자료'!$A$4:$T$4,0)),""))</f>
        <v/>
      </c>
      <c r="D2259" s="48">
        <f>IF(B2259="","",IF(Q2259=1,'02_대상물건입력'!$B$8,IFERROR(INDEX('04A_국토부원자료'!$A:$T,ROW()+1,MATCH("단지명",'04A_국토부원자료'!$A$4:$T$4,0)),"")))</f>
        <v/>
      </c>
      <c r="E2259" s="172">
        <f>IFERROR(VALUE(SUBSTITUTE(INDEX('04A_국토부원자료'!$A:$T,ROW()+1,MATCH("전용면적(㎡)",'04A_국토부원자료'!$A$4:$T$4,0)),",","")),"")</f>
        <v/>
      </c>
      <c r="F22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59" s="51">
        <f>IFERROR(VALUE(SUBSTITUTE(INDEX('04A_국토부원자료'!$A:$T,ROW()+1,MATCH("거래금액(만원)",'04A_국토부원자료'!$A$4:$T$4,0)),",","")),"")</f>
        <v/>
      </c>
      <c r="H2259" s="174">
        <f>IF(G2259="","",G2259*10000)</f>
        <v/>
      </c>
      <c r="I2259" s="174">
        <f>IFERROR(IF(AND(H2259&gt;0,E2259&gt;0),H2259/E2259,""),"")</f>
        <v/>
      </c>
      <c r="J2259" s="152">
        <f>IFERROR(VALUE(SUBSTITUTE(INDEX('04A_국토부원자료'!$A:$T,ROW()+1,MATCH("층",'04A_국토부원자료'!$A$4:$T$4,0)),",","")),"")</f>
        <v/>
      </c>
      <c r="K2259" s="152">
        <f>IFERROR(VALUE(SUBSTITUTE(INDEX('04A_국토부원자료'!$A:$T,ROW()+1,MATCH("건축년도",'04A_국토부원자료'!$A$4:$T$4,0)),",","")),"")</f>
        <v/>
      </c>
      <c r="L2259" s="48">
        <f>IFERROR(INDEX('04A_국토부원자료'!$A:$T,ROW()+1,MATCH("도로명",'04A_국토부원자료'!$A$4:$T$4,0)),"")</f>
        <v/>
      </c>
      <c r="M2259" s="48">
        <f>IFERROR(INDEX('04A_국토부원자료'!$A:$T,ROW()+1,MATCH("거래유형",'04A_국토부원자료'!$A$4:$T$4,0)),"")</f>
        <v/>
      </c>
      <c r="N2259" s="152">
        <f>IF(B2259="","",IF('02_대상물건입력'!B5="",1,IF(ISNUMBER(SEARCH('02_대상물건입력'!B5,B2259)),1,0)))</f>
        <v/>
      </c>
      <c r="O2259" s="152">
        <f>IF(B2259="","",IF('02_대상물건입력'!B6="",1,IF(ISNUMBER(SEARCH('02_대상물건입력'!B6,B2259)),1,0)))</f>
        <v/>
      </c>
      <c r="P2259" s="152">
        <f>IF(L2259="","",IF('02_대상물건입력'!B15="",0,IF(ISNUMBER(SEARCH('02_대상물건입력'!B15,L2259)),1,0)))</f>
        <v/>
      </c>
      <c r="Q2259" s="152">
        <f>IF(OR(C2259="",L2259=""),0,IF(AND(TRIM(C2259)=TRIM(RIGHT(SUBSTITUTE(TRIM('02_대상물건입력'!$B$7)," ",REPT(" ",99)),99)),IF('02_대상물건입력'!B15="",TRUE(),ISNUMBER(SEARCH('02_대상물건입력'!B15,L2259)))),1,0))</f>
        <v/>
      </c>
      <c r="R2259" s="175">
        <f>IFERROR(ABS(E2259-'02_대상물건입력'!B11)/'02_대상물건입력'!B11,"")</f>
        <v/>
      </c>
      <c r="S2259" s="152">
        <f>IFERROR(ABS(J2259-'02_대상물건입력'!B10),"")</f>
        <v/>
      </c>
      <c r="T2259" s="152">
        <f>IFERROR(ABS('01_설정'!B4-F2259),"")</f>
        <v/>
      </c>
      <c r="U2259" s="152">
        <f>IFERROR(ABS(K2259-YEAR('02_대상물건입력'!B14)),"")</f>
        <v/>
      </c>
      <c r="V2259" s="152">
        <f>IF(B2259="","",IF(AND(E2259&gt;0,F2259&gt;0,H2259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2259=1,TRUE()),R2259&lt;='01_설정'!B5,S2259&lt;='01_설정'!B6,T2259&lt;='01_설정'!B7,U2259&lt;='01_설정'!B8),"Y",""))</f>
        <v/>
      </c>
      <c r="W2259" s="172">
        <f>IF(V2259&lt;&gt;"Y","",MAX(0,(1-R2259/'01_설정'!B5))*'01_설정'!B14+MAX(0,(1-S2259/'01_설정'!B6))*'01_설정'!B15+MAX(0,(1-T2259/'01_설정'!B7))*'01_설정'!B16+MAX(0,(1-U2259/'01_설정'!B8))*'01_설정'!B17+O2259*'01_설정'!B11+Q2259*'01_설정'!B12+P2259*'01_설정'!B13+IF(Z2259="",0,Z2259))</f>
        <v/>
      </c>
      <c r="X2259" s="152">
        <f>IF(W2259="","",1+COUNTIFS($W$4:$W$3003,"&gt;"&amp;W2259)+COUNTIFS($W$4:W2259,W2259)-1)</f>
        <v/>
      </c>
      <c r="Y2259" s="175">
        <f>IF(OR(I2259="",'02_대상물건입력'!B19="",'02_대상물건입력'!B19&lt;=0),"",ABS(I2259-'02_대상물건입력'!B19)/'02_대상물건입력'!B19)</f>
        <v/>
      </c>
      <c r="Z2259" s="172">
        <f>IF(OR(Y2259="",'01_설정'!B31="",'01_설정'!B31&lt;=0,'01_설정'!B32="",'01_설정'!B32&lt;=0),"",MAX(0,(1-Y2259/'01_설정'!B32))*'01_설정'!B31)</f>
        <v/>
      </c>
    </row>
    <row r="2260" ht="17.25" customHeight="1">
      <c r="A2260" s="152">
        <f>IF(INDEX('04A_국토부원자료'!$A:$A,ROW()+1)="","",ROW()-3)</f>
        <v/>
      </c>
      <c r="B2260" s="48">
        <f>IFERROR(INDEX('04A_국토부원자료'!$A:$T,ROW()+1,MATCH("시군구",'04A_국토부원자료'!$A$4:$T$4,0)),"")</f>
        <v/>
      </c>
      <c r="C2260" s="48">
        <f>IF(B2260="","",IFERROR(INDEX('04A_국토부원자료'!$A:$T,ROW()+1,MATCH("번지",'04A_국토부원자료'!$A$4:$T$4,0)),""))</f>
        <v/>
      </c>
      <c r="D2260" s="48">
        <f>IF(B2260="","",IF(Q2260=1,'02_대상물건입력'!$B$8,IFERROR(INDEX('04A_국토부원자료'!$A:$T,ROW()+1,MATCH("단지명",'04A_국토부원자료'!$A$4:$T$4,0)),"")))</f>
        <v/>
      </c>
      <c r="E2260" s="172">
        <f>IFERROR(VALUE(SUBSTITUTE(INDEX('04A_국토부원자료'!$A:$T,ROW()+1,MATCH("전용면적(㎡)",'04A_국토부원자료'!$A$4:$T$4,0)),",","")),"")</f>
        <v/>
      </c>
      <c r="F22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60" s="51">
        <f>IFERROR(VALUE(SUBSTITUTE(INDEX('04A_국토부원자료'!$A:$T,ROW()+1,MATCH("거래금액(만원)",'04A_국토부원자료'!$A$4:$T$4,0)),",","")),"")</f>
        <v/>
      </c>
      <c r="H2260" s="174">
        <f>IF(G2260="","",G2260*10000)</f>
        <v/>
      </c>
      <c r="I2260" s="174">
        <f>IFERROR(IF(AND(H2260&gt;0,E2260&gt;0),H2260/E2260,""),"")</f>
        <v/>
      </c>
      <c r="J2260" s="152">
        <f>IFERROR(VALUE(SUBSTITUTE(INDEX('04A_국토부원자료'!$A:$T,ROW()+1,MATCH("층",'04A_국토부원자료'!$A$4:$T$4,0)),",","")),"")</f>
        <v/>
      </c>
      <c r="K2260" s="152">
        <f>IFERROR(VALUE(SUBSTITUTE(INDEX('04A_국토부원자료'!$A:$T,ROW()+1,MATCH("건축년도",'04A_국토부원자료'!$A$4:$T$4,0)),",","")),"")</f>
        <v/>
      </c>
      <c r="L2260" s="48">
        <f>IFERROR(INDEX('04A_국토부원자료'!$A:$T,ROW()+1,MATCH("도로명",'04A_국토부원자료'!$A$4:$T$4,0)),"")</f>
        <v/>
      </c>
      <c r="M2260" s="48">
        <f>IFERROR(INDEX('04A_국토부원자료'!$A:$T,ROW()+1,MATCH("거래유형",'04A_국토부원자료'!$A$4:$T$4,0)),"")</f>
        <v/>
      </c>
      <c r="N2260" s="152">
        <f>IF(B2260="","",IF('02_대상물건입력'!B5="",1,IF(ISNUMBER(SEARCH('02_대상물건입력'!B5,B2260)),1,0)))</f>
        <v/>
      </c>
      <c r="O2260" s="152">
        <f>IF(B2260="","",IF('02_대상물건입력'!B6="",1,IF(ISNUMBER(SEARCH('02_대상물건입력'!B6,B2260)),1,0)))</f>
        <v/>
      </c>
      <c r="P2260" s="152">
        <f>IF(L2260="","",IF('02_대상물건입력'!B15="",0,IF(ISNUMBER(SEARCH('02_대상물건입력'!B15,L2260)),1,0)))</f>
        <v/>
      </c>
      <c r="Q2260" s="152">
        <f>IF(OR(C2260="",L2260=""),0,IF(AND(TRIM(C2260)=TRIM(RIGHT(SUBSTITUTE(TRIM('02_대상물건입력'!$B$7)," ",REPT(" ",99)),99)),IF('02_대상물건입력'!B15="",TRUE(),ISNUMBER(SEARCH('02_대상물건입력'!B15,L2260)))),1,0))</f>
        <v/>
      </c>
      <c r="R2260" s="175">
        <f>IFERROR(ABS(E2260-'02_대상물건입력'!B11)/'02_대상물건입력'!B11,"")</f>
        <v/>
      </c>
      <c r="S2260" s="152">
        <f>IFERROR(ABS(J2260-'02_대상물건입력'!B10),"")</f>
        <v/>
      </c>
      <c r="T2260" s="152">
        <f>IFERROR(ABS('01_설정'!B4-F2260),"")</f>
        <v/>
      </c>
      <c r="U2260" s="152">
        <f>IFERROR(ABS(K2260-YEAR('02_대상물건입력'!B14)),"")</f>
        <v/>
      </c>
      <c r="V2260" s="152">
        <f>IF(B2260="","",IF(AND(E2260&gt;0,F2260&gt;0,H2260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2260=1,TRUE()),R2260&lt;='01_설정'!B5,S2260&lt;='01_설정'!B6,T2260&lt;='01_설정'!B7,U2260&lt;='01_설정'!B8),"Y",""))</f>
        <v/>
      </c>
      <c r="W2260" s="172">
        <f>IF(V2260&lt;&gt;"Y","",MAX(0,(1-R2260/'01_설정'!B5))*'01_설정'!B14+MAX(0,(1-S2260/'01_설정'!B6))*'01_설정'!B15+MAX(0,(1-T2260/'01_설정'!B7))*'01_설정'!B16+MAX(0,(1-U2260/'01_설정'!B8))*'01_설정'!B17+O2260*'01_설정'!B11+Q2260*'01_설정'!B12+P2260*'01_설정'!B13+IF(Z2260="",0,Z2260))</f>
        <v/>
      </c>
      <c r="X2260" s="152">
        <f>IF(W2260="","",1+COUNTIFS($W$4:$W$3003,"&gt;"&amp;W2260)+COUNTIFS($W$4:W2260,W2260)-1)</f>
        <v/>
      </c>
      <c r="Y2260" s="175">
        <f>IF(OR(I2260="",'02_대상물건입력'!B19="",'02_대상물건입력'!B19&lt;=0),"",ABS(I2260-'02_대상물건입력'!B19)/'02_대상물건입력'!B19)</f>
        <v/>
      </c>
      <c r="Z2260" s="172">
        <f>IF(OR(Y2260="",'01_설정'!B31="",'01_설정'!B31&lt;=0,'01_설정'!B32="",'01_설정'!B32&lt;=0),"",MAX(0,(1-Y2260/'01_설정'!B32))*'01_설정'!B31)</f>
        <v/>
      </c>
    </row>
    <row r="2261" ht="17.25" customHeight="1">
      <c r="A2261" s="152">
        <f>IF(INDEX('04A_국토부원자료'!$A:$A,ROW()+1)="","",ROW()-3)</f>
        <v/>
      </c>
      <c r="B2261" s="48">
        <f>IFERROR(INDEX('04A_국토부원자료'!$A:$T,ROW()+1,MATCH("시군구",'04A_국토부원자료'!$A$4:$T$4,0)),"")</f>
        <v/>
      </c>
      <c r="C2261" s="48">
        <f>IF(B2261="","",IFERROR(INDEX('04A_국토부원자료'!$A:$T,ROW()+1,MATCH("번지",'04A_국토부원자료'!$A$4:$T$4,0)),""))</f>
        <v/>
      </c>
      <c r="D2261" s="48">
        <f>IF(B2261="","",IF(Q2261=1,'02_대상물건입력'!$B$8,IFERROR(INDEX('04A_국토부원자료'!$A:$T,ROW()+1,MATCH("단지명",'04A_국토부원자료'!$A$4:$T$4,0)),"")))</f>
        <v/>
      </c>
      <c r="E2261" s="172">
        <f>IFERROR(VALUE(SUBSTITUTE(INDEX('04A_국토부원자료'!$A:$T,ROW()+1,MATCH("전용면적(㎡)",'04A_국토부원자료'!$A$4:$T$4,0)),",","")),"")</f>
        <v/>
      </c>
      <c r="F22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61" s="51">
        <f>IFERROR(VALUE(SUBSTITUTE(INDEX('04A_국토부원자료'!$A:$T,ROW()+1,MATCH("거래금액(만원)",'04A_국토부원자료'!$A$4:$T$4,0)),",","")),"")</f>
        <v/>
      </c>
      <c r="H2261" s="174">
        <f>IF(G2261="","",G2261*10000)</f>
        <v/>
      </c>
      <c r="I2261" s="174">
        <f>IFERROR(IF(AND(H2261&gt;0,E2261&gt;0),H2261/E2261,""),"")</f>
        <v/>
      </c>
      <c r="J2261" s="152">
        <f>IFERROR(VALUE(SUBSTITUTE(INDEX('04A_국토부원자료'!$A:$T,ROW()+1,MATCH("층",'04A_국토부원자료'!$A$4:$T$4,0)),",","")),"")</f>
        <v/>
      </c>
      <c r="K2261" s="152">
        <f>IFERROR(VALUE(SUBSTITUTE(INDEX('04A_국토부원자료'!$A:$T,ROW()+1,MATCH("건축년도",'04A_국토부원자료'!$A$4:$T$4,0)),",","")),"")</f>
        <v/>
      </c>
      <c r="L2261" s="48">
        <f>IFERROR(INDEX('04A_국토부원자료'!$A:$T,ROW()+1,MATCH("도로명",'04A_국토부원자료'!$A$4:$T$4,0)),"")</f>
        <v/>
      </c>
      <c r="M2261" s="48">
        <f>IFERROR(INDEX('04A_국토부원자료'!$A:$T,ROW()+1,MATCH("거래유형",'04A_국토부원자료'!$A$4:$T$4,0)),"")</f>
        <v/>
      </c>
      <c r="N2261" s="152">
        <f>IF(B2261="","",IF('02_대상물건입력'!B5="",1,IF(ISNUMBER(SEARCH('02_대상물건입력'!B5,B2261)),1,0)))</f>
        <v/>
      </c>
      <c r="O2261" s="152">
        <f>IF(B2261="","",IF('02_대상물건입력'!B6="",1,IF(ISNUMBER(SEARCH('02_대상물건입력'!B6,B2261)),1,0)))</f>
        <v/>
      </c>
      <c r="P2261" s="152">
        <f>IF(L2261="","",IF('02_대상물건입력'!B15="",0,IF(ISNUMBER(SEARCH('02_대상물건입력'!B15,L2261)),1,0)))</f>
        <v/>
      </c>
      <c r="Q2261" s="152">
        <f>IF(OR(C2261="",L2261=""),0,IF(AND(TRIM(C2261)=TRIM(RIGHT(SUBSTITUTE(TRIM('02_대상물건입력'!$B$7)," ",REPT(" ",99)),99)),IF('02_대상물건입력'!B15="",TRUE(),ISNUMBER(SEARCH('02_대상물건입력'!B15,L2261)))),1,0))</f>
        <v/>
      </c>
      <c r="R2261" s="175">
        <f>IFERROR(ABS(E2261-'02_대상물건입력'!B11)/'02_대상물건입력'!B11,"")</f>
        <v/>
      </c>
      <c r="S2261" s="152">
        <f>IFERROR(ABS(J2261-'02_대상물건입력'!B10),"")</f>
        <v/>
      </c>
      <c r="T2261" s="152">
        <f>IFERROR(ABS('01_설정'!B4-F2261),"")</f>
        <v/>
      </c>
      <c r="U2261" s="152">
        <f>IFERROR(ABS(K2261-YEAR('02_대상물건입력'!B14)),"")</f>
        <v/>
      </c>
      <c r="V2261" s="152">
        <f>IF(B2261="","",IF(AND(E2261&gt;0,F2261&gt;0,H2261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2261=1,TRUE()),R2261&lt;='01_설정'!B5,S2261&lt;='01_설정'!B6,T2261&lt;='01_설정'!B7,U2261&lt;='01_설정'!B8),"Y",""))</f>
        <v/>
      </c>
      <c r="W2261" s="172">
        <f>IF(V2261&lt;&gt;"Y","",MAX(0,(1-R2261/'01_설정'!B5))*'01_설정'!B14+MAX(0,(1-S2261/'01_설정'!B6))*'01_설정'!B15+MAX(0,(1-T2261/'01_설정'!B7))*'01_설정'!B16+MAX(0,(1-U2261/'01_설정'!B8))*'01_설정'!B17+O2261*'01_설정'!B11+Q2261*'01_설정'!B12+P2261*'01_설정'!B13+IF(Z2261="",0,Z2261))</f>
        <v/>
      </c>
      <c r="X2261" s="152">
        <f>IF(W2261="","",1+COUNTIFS($W$4:$W$3003,"&gt;"&amp;W2261)+COUNTIFS($W$4:W2261,W2261)-1)</f>
        <v/>
      </c>
      <c r="Y2261" s="175">
        <f>IF(OR(I2261="",'02_대상물건입력'!B19="",'02_대상물건입력'!B19&lt;=0),"",ABS(I2261-'02_대상물건입력'!B19)/'02_대상물건입력'!B19)</f>
        <v/>
      </c>
      <c r="Z2261" s="172">
        <f>IF(OR(Y2261="",'01_설정'!B31="",'01_설정'!B31&lt;=0,'01_설정'!B32="",'01_설정'!B32&lt;=0),"",MAX(0,(1-Y2261/'01_설정'!B32))*'01_설정'!B31)</f>
        <v/>
      </c>
    </row>
    <row r="2262" ht="17.25" customHeight="1">
      <c r="A2262" s="152">
        <f>IF(INDEX('04A_국토부원자료'!$A:$A,ROW()+1)="","",ROW()-3)</f>
        <v/>
      </c>
      <c r="B2262" s="48">
        <f>IFERROR(INDEX('04A_국토부원자료'!$A:$T,ROW()+1,MATCH("시군구",'04A_국토부원자료'!$A$4:$T$4,0)),"")</f>
        <v/>
      </c>
      <c r="C2262" s="48">
        <f>IF(B2262="","",IFERROR(INDEX('04A_국토부원자료'!$A:$T,ROW()+1,MATCH("번지",'04A_국토부원자료'!$A$4:$T$4,0)),""))</f>
        <v/>
      </c>
      <c r="D2262" s="48">
        <f>IF(B2262="","",IF(Q2262=1,'02_대상물건입력'!$B$8,IFERROR(INDEX('04A_국토부원자료'!$A:$T,ROW()+1,MATCH("단지명",'04A_국토부원자료'!$A$4:$T$4,0)),"")))</f>
        <v/>
      </c>
      <c r="E2262" s="172">
        <f>IFERROR(VALUE(SUBSTITUTE(INDEX('04A_국토부원자료'!$A:$T,ROW()+1,MATCH("전용면적(㎡)",'04A_국토부원자료'!$A$4:$T$4,0)),",","")),"")</f>
        <v/>
      </c>
      <c r="F22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62" s="51">
        <f>IFERROR(VALUE(SUBSTITUTE(INDEX('04A_국토부원자료'!$A:$T,ROW()+1,MATCH("거래금액(만원)",'04A_국토부원자료'!$A$4:$T$4,0)),",","")),"")</f>
        <v/>
      </c>
      <c r="H2262" s="174">
        <f>IF(G2262="","",G2262*10000)</f>
        <v/>
      </c>
      <c r="I2262" s="174">
        <f>IFERROR(IF(AND(H2262&gt;0,E2262&gt;0),H2262/E2262,""),"")</f>
        <v/>
      </c>
      <c r="J2262" s="152">
        <f>IFERROR(VALUE(SUBSTITUTE(INDEX('04A_국토부원자료'!$A:$T,ROW()+1,MATCH("층",'04A_국토부원자료'!$A$4:$T$4,0)),",","")),"")</f>
        <v/>
      </c>
      <c r="K2262" s="152">
        <f>IFERROR(VALUE(SUBSTITUTE(INDEX('04A_국토부원자료'!$A:$T,ROW()+1,MATCH("건축년도",'04A_국토부원자료'!$A$4:$T$4,0)),",","")),"")</f>
        <v/>
      </c>
      <c r="L2262" s="48">
        <f>IFERROR(INDEX('04A_국토부원자료'!$A:$T,ROW()+1,MATCH("도로명",'04A_국토부원자료'!$A$4:$T$4,0)),"")</f>
        <v/>
      </c>
      <c r="M2262" s="48">
        <f>IFERROR(INDEX('04A_국토부원자료'!$A:$T,ROW()+1,MATCH("거래유형",'04A_국토부원자료'!$A$4:$T$4,0)),"")</f>
        <v/>
      </c>
      <c r="N2262" s="152">
        <f>IF(B2262="","",IF('02_대상물건입력'!B5="",1,IF(ISNUMBER(SEARCH('02_대상물건입력'!B5,B2262)),1,0)))</f>
        <v/>
      </c>
      <c r="O2262" s="152">
        <f>IF(B2262="","",IF('02_대상물건입력'!B6="",1,IF(ISNUMBER(SEARCH('02_대상물건입력'!B6,B2262)),1,0)))</f>
        <v/>
      </c>
      <c r="P2262" s="152">
        <f>IF(L2262="","",IF('02_대상물건입력'!B15="",0,IF(ISNUMBER(SEARCH('02_대상물건입력'!B15,L2262)),1,0)))</f>
        <v/>
      </c>
      <c r="Q2262" s="152">
        <f>IF(OR(C2262="",L2262=""),0,IF(AND(TRIM(C2262)=TRIM(RIGHT(SUBSTITUTE(TRIM('02_대상물건입력'!$B$7)," ",REPT(" ",99)),99)),IF('02_대상물건입력'!B15="",TRUE(),ISNUMBER(SEARCH('02_대상물건입력'!B15,L2262)))),1,0))</f>
        <v/>
      </c>
      <c r="R2262" s="175">
        <f>IFERROR(ABS(E2262-'02_대상물건입력'!B11)/'02_대상물건입력'!B11,"")</f>
        <v/>
      </c>
      <c r="S2262" s="152">
        <f>IFERROR(ABS(J2262-'02_대상물건입력'!B10),"")</f>
        <v/>
      </c>
      <c r="T2262" s="152">
        <f>IFERROR(ABS('01_설정'!B4-F2262),"")</f>
        <v/>
      </c>
      <c r="U2262" s="152">
        <f>IFERROR(ABS(K2262-YEAR('02_대상물건입력'!B14)),"")</f>
        <v/>
      </c>
      <c r="V2262" s="152">
        <f>IF(B2262="","",IF(AND(E2262&gt;0,F2262&gt;0,H2262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2262=1,TRUE()),R2262&lt;='01_설정'!B5,S2262&lt;='01_설정'!B6,T2262&lt;='01_설정'!B7,U2262&lt;='01_설정'!B8),"Y",""))</f>
        <v/>
      </c>
      <c r="W2262" s="172">
        <f>IF(V2262&lt;&gt;"Y","",MAX(0,(1-R2262/'01_설정'!B5))*'01_설정'!B14+MAX(0,(1-S2262/'01_설정'!B6))*'01_설정'!B15+MAX(0,(1-T2262/'01_설정'!B7))*'01_설정'!B16+MAX(0,(1-U2262/'01_설정'!B8))*'01_설정'!B17+O2262*'01_설정'!B11+Q2262*'01_설정'!B12+P2262*'01_설정'!B13+IF(Z2262="",0,Z2262))</f>
        <v/>
      </c>
      <c r="X2262" s="152">
        <f>IF(W2262="","",1+COUNTIFS($W$4:$W$3003,"&gt;"&amp;W2262)+COUNTIFS($W$4:W2262,W2262)-1)</f>
        <v/>
      </c>
      <c r="Y2262" s="175">
        <f>IF(OR(I2262="",'02_대상물건입력'!B19="",'02_대상물건입력'!B19&lt;=0),"",ABS(I2262-'02_대상물건입력'!B19)/'02_대상물건입력'!B19)</f>
        <v/>
      </c>
      <c r="Z2262" s="172">
        <f>IF(OR(Y2262="",'01_설정'!B31="",'01_설정'!B31&lt;=0,'01_설정'!B32="",'01_설정'!B32&lt;=0),"",MAX(0,(1-Y2262/'01_설정'!B32))*'01_설정'!B31)</f>
        <v/>
      </c>
    </row>
    <row r="2263" ht="17.25" customHeight="1">
      <c r="A2263" s="152">
        <f>IF(INDEX('04A_국토부원자료'!$A:$A,ROW()+1)="","",ROW()-3)</f>
        <v/>
      </c>
      <c r="B2263" s="48">
        <f>IFERROR(INDEX('04A_국토부원자료'!$A:$T,ROW()+1,MATCH("시군구",'04A_국토부원자료'!$A$4:$T$4,0)),"")</f>
        <v/>
      </c>
      <c r="C2263" s="48">
        <f>IF(B2263="","",IFERROR(INDEX('04A_국토부원자료'!$A:$T,ROW()+1,MATCH("번지",'04A_국토부원자료'!$A$4:$T$4,0)),""))</f>
        <v/>
      </c>
      <c r="D2263" s="48">
        <f>IF(B2263="","",IF(Q2263=1,'02_대상물건입력'!$B$8,IFERROR(INDEX('04A_국토부원자료'!$A:$T,ROW()+1,MATCH("단지명",'04A_국토부원자료'!$A$4:$T$4,0)),"")))</f>
        <v/>
      </c>
      <c r="E2263" s="172">
        <f>IFERROR(VALUE(SUBSTITUTE(INDEX('04A_국토부원자료'!$A:$T,ROW()+1,MATCH("전용면적(㎡)",'04A_국토부원자료'!$A$4:$T$4,0)),",","")),"")</f>
        <v/>
      </c>
      <c r="F22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63" s="51">
        <f>IFERROR(VALUE(SUBSTITUTE(INDEX('04A_국토부원자료'!$A:$T,ROW()+1,MATCH("거래금액(만원)",'04A_국토부원자료'!$A$4:$T$4,0)),",","")),"")</f>
        <v/>
      </c>
      <c r="H2263" s="174">
        <f>IF(G2263="","",G2263*10000)</f>
        <v/>
      </c>
      <c r="I2263" s="174">
        <f>IFERROR(IF(AND(H2263&gt;0,E2263&gt;0),H2263/E2263,""),"")</f>
        <v/>
      </c>
      <c r="J2263" s="152">
        <f>IFERROR(VALUE(SUBSTITUTE(INDEX('04A_국토부원자료'!$A:$T,ROW()+1,MATCH("층",'04A_국토부원자료'!$A$4:$T$4,0)),",","")),"")</f>
        <v/>
      </c>
      <c r="K2263" s="152">
        <f>IFERROR(VALUE(SUBSTITUTE(INDEX('04A_국토부원자료'!$A:$T,ROW()+1,MATCH("건축년도",'04A_국토부원자료'!$A$4:$T$4,0)),",","")),"")</f>
        <v/>
      </c>
      <c r="L2263" s="48">
        <f>IFERROR(INDEX('04A_국토부원자료'!$A:$T,ROW()+1,MATCH("도로명",'04A_국토부원자료'!$A$4:$T$4,0)),"")</f>
        <v/>
      </c>
      <c r="M2263" s="48">
        <f>IFERROR(INDEX('04A_국토부원자료'!$A:$T,ROW()+1,MATCH("거래유형",'04A_국토부원자료'!$A$4:$T$4,0)),"")</f>
        <v/>
      </c>
      <c r="N2263" s="152">
        <f>IF(B2263="","",IF('02_대상물건입력'!B5="",1,IF(ISNUMBER(SEARCH('02_대상물건입력'!B5,B2263)),1,0)))</f>
        <v/>
      </c>
      <c r="O2263" s="152">
        <f>IF(B2263="","",IF('02_대상물건입력'!B6="",1,IF(ISNUMBER(SEARCH('02_대상물건입력'!B6,B2263)),1,0)))</f>
        <v/>
      </c>
      <c r="P2263" s="152">
        <f>IF(L2263="","",IF('02_대상물건입력'!B15="",0,IF(ISNUMBER(SEARCH('02_대상물건입력'!B15,L2263)),1,0)))</f>
        <v/>
      </c>
      <c r="Q2263" s="152">
        <f>IF(OR(C2263="",L2263=""),0,IF(AND(TRIM(C2263)=TRIM(RIGHT(SUBSTITUTE(TRIM('02_대상물건입력'!$B$7)," ",REPT(" ",99)),99)),IF('02_대상물건입력'!B15="",TRUE(),ISNUMBER(SEARCH('02_대상물건입력'!B15,L2263)))),1,0))</f>
        <v/>
      </c>
      <c r="R2263" s="175">
        <f>IFERROR(ABS(E2263-'02_대상물건입력'!B11)/'02_대상물건입력'!B11,"")</f>
        <v/>
      </c>
      <c r="S2263" s="152">
        <f>IFERROR(ABS(J2263-'02_대상물건입력'!B10),"")</f>
        <v/>
      </c>
      <c r="T2263" s="152">
        <f>IFERROR(ABS('01_설정'!B4-F2263),"")</f>
        <v/>
      </c>
      <c r="U2263" s="152">
        <f>IFERROR(ABS(K2263-YEAR('02_대상물건입력'!B14)),"")</f>
        <v/>
      </c>
      <c r="V2263" s="152">
        <f>IF(B2263="","",IF(AND(E2263&gt;0,F2263&gt;0,H2263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2263=1,TRUE()),R2263&lt;='01_설정'!B5,S2263&lt;='01_설정'!B6,T2263&lt;='01_설정'!B7,U2263&lt;='01_설정'!B8),"Y",""))</f>
        <v/>
      </c>
      <c r="W2263" s="172">
        <f>IF(V2263&lt;&gt;"Y","",MAX(0,(1-R2263/'01_설정'!B5))*'01_설정'!B14+MAX(0,(1-S2263/'01_설정'!B6))*'01_설정'!B15+MAX(0,(1-T2263/'01_설정'!B7))*'01_설정'!B16+MAX(0,(1-U2263/'01_설정'!B8))*'01_설정'!B17+O2263*'01_설정'!B11+Q2263*'01_설정'!B12+P2263*'01_설정'!B13+IF(Z2263="",0,Z2263))</f>
        <v/>
      </c>
      <c r="X2263" s="152">
        <f>IF(W2263="","",1+COUNTIFS($W$4:$W$3003,"&gt;"&amp;W2263)+COUNTIFS($W$4:W2263,W2263)-1)</f>
        <v/>
      </c>
      <c r="Y2263" s="175">
        <f>IF(OR(I2263="",'02_대상물건입력'!B19="",'02_대상물건입력'!B19&lt;=0),"",ABS(I2263-'02_대상물건입력'!B19)/'02_대상물건입력'!B19)</f>
        <v/>
      </c>
      <c r="Z2263" s="172">
        <f>IF(OR(Y2263="",'01_설정'!B31="",'01_설정'!B31&lt;=0,'01_설정'!B32="",'01_설정'!B32&lt;=0),"",MAX(0,(1-Y2263/'01_설정'!B32))*'01_설정'!B31)</f>
        <v/>
      </c>
    </row>
    <row r="2264" ht="17.25" customHeight="1">
      <c r="A2264" s="152">
        <f>IF(INDEX('04A_국토부원자료'!$A:$A,ROW()+1)="","",ROW()-3)</f>
        <v/>
      </c>
      <c r="B2264" s="48">
        <f>IFERROR(INDEX('04A_국토부원자료'!$A:$T,ROW()+1,MATCH("시군구",'04A_국토부원자료'!$A$4:$T$4,0)),"")</f>
        <v/>
      </c>
      <c r="C2264" s="48">
        <f>IF(B2264="","",IFERROR(INDEX('04A_국토부원자료'!$A:$T,ROW()+1,MATCH("번지",'04A_국토부원자료'!$A$4:$T$4,0)),""))</f>
        <v/>
      </c>
      <c r="D2264" s="48">
        <f>IF(B2264="","",IF(Q2264=1,'02_대상물건입력'!$B$8,IFERROR(INDEX('04A_국토부원자료'!$A:$T,ROW()+1,MATCH("단지명",'04A_국토부원자료'!$A$4:$T$4,0)),"")))</f>
        <v/>
      </c>
      <c r="E2264" s="172">
        <f>IFERROR(VALUE(SUBSTITUTE(INDEX('04A_국토부원자료'!$A:$T,ROW()+1,MATCH("전용면적(㎡)",'04A_국토부원자료'!$A$4:$T$4,0)),",","")),"")</f>
        <v/>
      </c>
      <c r="F22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64" s="51">
        <f>IFERROR(VALUE(SUBSTITUTE(INDEX('04A_국토부원자료'!$A:$T,ROW()+1,MATCH("거래금액(만원)",'04A_국토부원자료'!$A$4:$T$4,0)),",","")),"")</f>
        <v/>
      </c>
      <c r="H2264" s="174">
        <f>IF(G2264="","",G2264*10000)</f>
        <v/>
      </c>
      <c r="I2264" s="174">
        <f>IFERROR(IF(AND(H2264&gt;0,E2264&gt;0),H2264/E2264,""),"")</f>
        <v/>
      </c>
      <c r="J2264" s="152">
        <f>IFERROR(VALUE(SUBSTITUTE(INDEX('04A_국토부원자료'!$A:$T,ROW()+1,MATCH("층",'04A_국토부원자료'!$A$4:$T$4,0)),",","")),"")</f>
        <v/>
      </c>
      <c r="K2264" s="152">
        <f>IFERROR(VALUE(SUBSTITUTE(INDEX('04A_국토부원자료'!$A:$T,ROW()+1,MATCH("건축년도",'04A_국토부원자료'!$A$4:$T$4,0)),",","")),"")</f>
        <v/>
      </c>
      <c r="L2264" s="48">
        <f>IFERROR(INDEX('04A_국토부원자료'!$A:$T,ROW()+1,MATCH("도로명",'04A_국토부원자료'!$A$4:$T$4,0)),"")</f>
        <v/>
      </c>
      <c r="M2264" s="48">
        <f>IFERROR(INDEX('04A_국토부원자료'!$A:$T,ROW()+1,MATCH("거래유형",'04A_국토부원자료'!$A$4:$T$4,0)),"")</f>
        <v/>
      </c>
      <c r="N2264" s="152">
        <f>IF(B2264="","",IF('02_대상물건입력'!B5="",1,IF(ISNUMBER(SEARCH('02_대상물건입력'!B5,B2264)),1,0)))</f>
        <v/>
      </c>
      <c r="O2264" s="152">
        <f>IF(B2264="","",IF('02_대상물건입력'!B6="",1,IF(ISNUMBER(SEARCH('02_대상물건입력'!B6,B2264)),1,0)))</f>
        <v/>
      </c>
      <c r="P2264" s="152">
        <f>IF(L2264="","",IF('02_대상물건입력'!B15="",0,IF(ISNUMBER(SEARCH('02_대상물건입력'!B15,L2264)),1,0)))</f>
        <v/>
      </c>
      <c r="Q2264" s="152">
        <f>IF(OR(C2264="",L2264=""),0,IF(AND(TRIM(C2264)=TRIM(RIGHT(SUBSTITUTE(TRIM('02_대상물건입력'!$B$7)," ",REPT(" ",99)),99)),IF('02_대상물건입력'!B15="",TRUE(),ISNUMBER(SEARCH('02_대상물건입력'!B15,L2264)))),1,0))</f>
        <v/>
      </c>
      <c r="R2264" s="175">
        <f>IFERROR(ABS(E2264-'02_대상물건입력'!B11)/'02_대상물건입력'!B11,"")</f>
        <v/>
      </c>
      <c r="S2264" s="152">
        <f>IFERROR(ABS(J2264-'02_대상물건입력'!B10),"")</f>
        <v/>
      </c>
      <c r="T2264" s="152">
        <f>IFERROR(ABS('01_설정'!B4-F2264),"")</f>
        <v/>
      </c>
      <c r="U2264" s="152">
        <f>IFERROR(ABS(K2264-YEAR('02_대상물건입력'!B14)),"")</f>
        <v/>
      </c>
      <c r="V2264" s="152">
        <f>IF(B2264="","",IF(AND(E2264&gt;0,F2264&gt;0,H2264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2264=1,TRUE()),R2264&lt;='01_설정'!B5,S2264&lt;='01_설정'!B6,T2264&lt;='01_설정'!B7,U2264&lt;='01_설정'!B8),"Y",""))</f>
        <v/>
      </c>
      <c r="W2264" s="172">
        <f>IF(V2264&lt;&gt;"Y","",MAX(0,(1-R2264/'01_설정'!B5))*'01_설정'!B14+MAX(0,(1-S2264/'01_설정'!B6))*'01_설정'!B15+MAX(0,(1-T2264/'01_설정'!B7))*'01_설정'!B16+MAX(0,(1-U2264/'01_설정'!B8))*'01_설정'!B17+O2264*'01_설정'!B11+Q2264*'01_설정'!B12+P2264*'01_설정'!B13+IF(Z2264="",0,Z2264))</f>
        <v/>
      </c>
      <c r="X2264" s="152">
        <f>IF(W2264="","",1+COUNTIFS($W$4:$W$3003,"&gt;"&amp;W2264)+COUNTIFS($W$4:W2264,W2264)-1)</f>
        <v/>
      </c>
      <c r="Y2264" s="175">
        <f>IF(OR(I2264="",'02_대상물건입력'!B19="",'02_대상물건입력'!B19&lt;=0),"",ABS(I2264-'02_대상물건입력'!B19)/'02_대상물건입력'!B19)</f>
        <v/>
      </c>
      <c r="Z2264" s="172">
        <f>IF(OR(Y2264="",'01_설정'!B31="",'01_설정'!B31&lt;=0,'01_설정'!B32="",'01_설정'!B32&lt;=0),"",MAX(0,(1-Y2264/'01_설정'!B32))*'01_설정'!B31)</f>
        <v/>
      </c>
    </row>
    <row r="2265" ht="17.25" customHeight="1">
      <c r="A2265" s="152">
        <f>IF(INDEX('04A_국토부원자료'!$A:$A,ROW()+1)="","",ROW()-3)</f>
        <v/>
      </c>
      <c r="B2265" s="48">
        <f>IFERROR(INDEX('04A_국토부원자료'!$A:$T,ROW()+1,MATCH("시군구",'04A_국토부원자료'!$A$4:$T$4,0)),"")</f>
        <v/>
      </c>
      <c r="C2265" s="48">
        <f>IF(B2265="","",IFERROR(INDEX('04A_국토부원자료'!$A:$T,ROW()+1,MATCH("번지",'04A_국토부원자료'!$A$4:$T$4,0)),""))</f>
        <v/>
      </c>
      <c r="D2265" s="48">
        <f>IF(B2265="","",IF(Q2265=1,'02_대상물건입력'!$B$8,IFERROR(INDEX('04A_국토부원자료'!$A:$T,ROW()+1,MATCH("단지명",'04A_국토부원자료'!$A$4:$T$4,0)),"")))</f>
        <v/>
      </c>
      <c r="E2265" s="172">
        <f>IFERROR(VALUE(SUBSTITUTE(INDEX('04A_국토부원자료'!$A:$T,ROW()+1,MATCH("전용면적(㎡)",'04A_국토부원자료'!$A$4:$T$4,0)),",","")),"")</f>
        <v/>
      </c>
      <c r="F22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65" s="51">
        <f>IFERROR(VALUE(SUBSTITUTE(INDEX('04A_국토부원자료'!$A:$T,ROW()+1,MATCH("거래금액(만원)",'04A_국토부원자료'!$A$4:$T$4,0)),",","")),"")</f>
        <v/>
      </c>
      <c r="H2265" s="174">
        <f>IF(G2265="","",G2265*10000)</f>
        <v/>
      </c>
      <c r="I2265" s="174">
        <f>IFERROR(IF(AND(H2265&gt;0,E2265&gt;0),H2265/E2265,""),"")</f>
        <v/>
      </c>
      <c r="J2265" s="152">
        <f>IFERROR(VALUE(SUBSTITUTE(INDEX('04A_국토부원자료'!$A:$T,ROW()+1,MATCH("층",'04A_국토부원자료'!$A$4:$T$4,0)),",","")),"")</f>
        <v/>
      </c>
      <c r="K2265" s="152">
        <f>IFERROR(VALUE(SUBSTITUTE(INDEX('04A_국토부원자료'!$A:$T,ROW()+1,MATCH("건축년도",'04A_국토부원자료'!$A$4:$T$4,0)),",","")),"")</f>
        <v/>
      </c>
      <c r="L2265" s="48">
        <f>IFERROR(INDEX('04A_국토부원자료'!$A:$T,ROW()+1,MATCH("도로명",'04A_국토부원자료'!$A$4:$T$4,0)),"")</f>
        <v/>
      </c>
      <c r="M2265" s="48">
        <f>IFERROR(INDEX('04A_국토부원자료'!$A:$T,ROW()+1,MATCH("거래유형",'04A_국토부원자료'!$A$4:$T$4,0)),"")</f>
        <v/>
      </c>
      <c r="N2265" s="152">
        <f>IF(B2265="","",IF('02_대상물건입력'!B5="",1,IF(ISNUMBER(SEARCH('02_대상물건입력'!B5,B2265)),1,0)))</f>
        <v/>
      </c>
      <c r="O2265" s="152">
        <f>IF(B2265="","",IF('02_대상물건입력'!B6="",1,IF(ISNUMBER(SEARCH('02_대상물건입력'!B6,B2265)),1,0)))</f>
        <v/>
      </c>
      <c r="P2265" s="152">
        <f>IF(L2265="","",IF('02_대상물건입력'!B15="",0,IF(ISNUMBER(SEARCH('02_대상물건입력'!B15,L2265)),1,0)))</f>
        <v/>
      </c>
      <c r="Q2265" s="152">
        <f>IF(OR(C2265="",L2265=""),0,IF(AND(TRIM(C2265)=TRIM(RIGHT(SUBSTITUTE(TRIM('02_대상물건입력'!$B$7)," ",REPT(" ",99)),99)),IF('02_대상물건입력'!B15="",TRUE(),ISNUMBER(SEARCH('02_대상물건입력'!B15,L2265)))),1,0))</f>
        <v/>
      </c>
      <c r="R2265" s="175">
        <f>IFERROR(ABS(E2265-'02_대상물건입력'!B11)/'02_대상물건입력'!B11,"")</f>
        <v/>
      </c>
      <c r="S2265" s="152">
        <f>IFERROR(ABS(J2265-'02_대상물건입력'!B10),"")</f>
        <v/>
      </c>
      <c r="T2265" s="152">
        <f>IFERROR(ABS('01_설정'!B4-F2265),"")</f>
        <v/>
      </c>
      <c r="U2265" s="152">
        <f>IFERROR(ABS(K2265-YEAR('02_대상물건입력'!B14)),"")</f>
        <v/>
      </c>
      <c r="V2265" s="152">
        <f>IF(B2265="","",IF(AND(E2265&gt;0,F2265&gt;0,H2265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2265=1,TRUE()),R2265&lt;='01_설정'!B5,S2265&lt;='01_설정'!B6,T2265&lt;='01_설정'!B7,U2265&lt;='01_설정'!B8),"Y",""))</f>
        <v/>
      </c>
      <c r="W2265" s="172">
        <f>IF(V2265&lt;&gt;"Y","",MAX(0,(1-R2265/'01_설정'!B5))*'01_설정'!B14+MAX(0,(1-S2265/'01_설정'!B6))*'01_설정'!B15+MAX(0,(1-T2265/'01_설정'!B7))*'01_설정'!B16+MAX(0,(1-U2265/'01_설정'!B8))*'01_설정'!B17+O2265*'01_설정'!B11+Q2265*'01_설정'!B12+P2265*'01_설정'!B13+IF(Z2265="",0,Z2265))</f>
        <v/>
      </c>
      <c r="X2265" s="152">
        <f>IF(W2265="","",1+COUNTIFS($W$4:$W$3003,"&gt;"&amp;W2265)+COUNTIFS($W$4:W2265,W2265)-1)</f>
        <v/>
      </c>
      <c r="Y2265" s="175">
        <f>IF(OR(I2265="",'02_대상물건입력'!B19="",'02_대상물건입력'!B19&lt;=0),"",ABS(I2265-'02_대상물건입력'!B19)/'02_대상물건입력'!B19)</f>
        <v/>
      </c>
      <c r="Z2265" s="172">
        <f>IF(OR(Y2265="",'01_설정'!B31="",'01_설정'!B31&lt;=0,'01_설정'!B32="",'01_설정'!B32&lt;=0),"",MAX(0,(1-Y2265/'01_설정'!B32))*'01_설정'!B31)</f>
        <v/>
      </c>
    </row>
    <row r="2266" ht="17.25" customHeight="1">
      <c r="A2266" s="152">
        <f>IF(INDEX('04A_국토부원자료'!$A:$A,ROW()+1)="","",ROW()-3)</f>
        <v/>
      </c>
      <c r="B2266" s="48">
        <f>IFERROR(INDEX('04A_국토부원자료'!$A:$T,ROW()+1,MATCH("시군구",'04A_국토부원자료'!$A$4:$T$4,0)),"")</f>
        <v/>
      </c>
      <c r="C2266" s="48">
        <f>IF(B2266="","",IFERROR(INDEX('04A_국토부원자료'!$A:$T,ROW()+1,MATCH("번지",'04A_국토부원자료'!$A$4:$T$4,0)),""))</f>
        <v/>
      </c>
      <c r="D2266" s="48">
        <f>IF(B2266="","",IF(Q2266=1,'02_대상물건입력'!$B$8,IFERROR(INDEX('04A_국토부원자료'!$A:$T,ROW()+1,MATCH("단지명",'04A_국토부원자료'!$A$4:$T$4,0)),"")))</f>
        <v/>
      </c>
      <c r="E2266" s="172">
        <f>IFERROR(VALUE(SUBSTITUTE(INDEX('04A_국토부원자료'!$A:$T,ROW()+1,MATCH("전용면적(㎡)",'04A_국토부원자료'!$A$4:$T$4,0)),",","")),"")</f>
        <v/>
      </c>
      <c r="F22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66" s="51">
        <f>IFERROR(VALUE(SUBSTITUTE(INDEX('04A_국토부원자료'!$A:$T,ROW()+1,MATCH("거래금액(만원)",'04A_국토부원자료'!$A$4:$T$4,0)),",","")),"")</f>
        <v/>
      </c>
      <c r="H2266" s="174">
        <f>IF(G2266="","",G2266*10000)</f>
        <v/>
      </c>
      <c r="I2266" s="174">
        <f>IFERROR(IF(AND(H2266&gt;0,E2266&gt;0),H2266/E2266,""),"")</f>
        <v/>
      </c>
      <c r="J2266" s="152">
        <f>IFERROR(VALUE(SUBSTITUTE(INDEX('04A_국토부원자료'!$A:$T,ROW()+1,MATCH("층",'04A_국토부원자료'!$A$4:$T$4,0)),",","")),"")</f>
        <v/>
      </c>
      <c r="K2266" s="152">
        <f>IFERROR(VALUE(SUBSTITUTE(INDEX('04A_국토부원자료'!$A:$T,ROW()+1,MATCH("건축년도",'04A_국토부원자료'!$A$4:$T$4,0)),",","")),"")</f>
        <v/>
      </c>
      <c r="L2266" s="48">
        <f>IFERROR(INDEX('04A_국토부원자료'!$A:$T,ROW()+1,MATCH("도로명",'04A_국토부원자료'!$A$4:$T$4,0)),"")</f>
        <v/>
      </c>
      <c r="M2266" s="48">
        <f>IFERROR(INDEX('04A_국토부원자료'!$A:$T,ROW()+1,MATCH("거래유형",'04A_국토부원자료'!$A$4:$T$4,0)),"")</f>
        <v/>
      </c>
      <c r="N2266" s="152">
        <f>IF(B2266="","",IF('02_대상물건입력'!B5="",1,IF(ISNUMBER(SEARCH('02_대상물건입력'!B5,B2266)),1,0)))</f>
        <v/>
      </c>
      <c r="O2266" s="152">
        <f>IF(B2266="","",IF('02_대상물건입력'!B6="",1,IF(ISNUMBER(SEARCH('02_대상물건입력'!B6,B2266)),1,0)))</f>
        <v/>
      </c>
      <c r="P2266" s="152">
        <f>IF(L2266="","",IF('02_대상물건입력'!B15="",0,IF(ISNUMBER(SEARCH('02_대상물건입력'!B15,L2266)),1,0)))</f>
        <v/>
      </c>
      <c r="Q2266" s="152">
        <f>IF(OR(C2266="",L2266=""),0,IF(AND(TRIM(C2266)=TRIM(RIGHT(SUBSTITUTE(TRIM('02_대상물건입력'!$B$7)," ",REPT(" ",99)),99)),IF('02_대상물건입력'!B15="",TRUE(),ISNUMBER(SEARCH('02_대상물건입력'!B15,L2266)))),1,0))</f>
        <v/>
      </c>
      <c r="R2266" s="175">
        <f>IFERROR(ABS(E2266-'02_대상물건입력'!B11)/'02_대상물건입력'!B11,"")</f>
        <v/>
      </c>
      <c r="S2266" s="152">
        <f>IFERROR(ABS(J2266-'02_대상물건입력'!B10),"")</f>
        <v/>
      </c>
      <c r="T2266" s="152">
        <f>IFERROR(ABS('01_설정'!B4-F2266),"")</f>
        <v/>
      </c>
      <c r="U2266" s="152">
        <f>IFERROR(ABS(K2266-YEAR('02_대상물건입력'!B14)),"")</f>
        <v/>
      </c>
      <c r="V2266" s="152">
        <f>IF(B2266="","",IF(AND(E2266&gt;0,F2266&gt;0,H2266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2266=1,TRUE()),R2266&lt;='01_설정'!B5,S2266&lt;='01_설정'!B6,T2266&lt;='01_설정'!B7,U2266&lt;='01_설정'!B8),"Y",""))</f>
        <v/>
      </c>
      <c r="W2266" s="172">
        <f>IF(V2266&lt;&gt;"Y","",MAX(0,(1-R2266/'01_설정'!B5))*'01_설정'!B14+MAX(0,(1-S2266/'01_설정'!B6))*'01_설정'!B15+MAX(0,(1-T2266/'01_설정'!B7))*'01_설정'!B16+MAX(0,(1-U2266/'01_설정'!B8))*'01_설정'!B17+O2266*'01_설정'!B11+Q2266*'01_설정'!B12+P2266*'01_설정'!B13+IF(Z2266="",0,Z2266))</f>
        <v/>
      </c>
      <c r="X2266" s="152">
        <f>IF(W2266="","",1+COUNTIFS($W$4:$W$3003,"&gt;"&amp;W2266)+COUNTIFS($W$4:W2266,W2266)-1)</f>
        <v/>
      </c>
      <c r="Y2266" s="175">
        <f>IF(OR(I2266="",'02_대상물건입력'!B19="",'02_대상물건입력'!B19&lt;=0),"",ABS(I2266-'02_대상물건입력'!B19)/'02_대상물건입력'!B19)</f>
        <v/>
      </c>
      <c r="Z2266" s="172">
        <f>IF(OR(Y2266="",'01_설정'!B31="",'01_설정'!B31&lt;=0,'01_설정'!B32="",'01_설정'!B32&lt;=0),"",MAX(0,(1-Y2266/'01_설정'!B32))*'01_설정'!B31)</f>
        <v/>
      </c>
    </row>
    <row r="2267" ht="17.25" customHeight="1">
      <c r="A2267" s="152">
        <f>IF(INDEX('04A_국토부원자료'!$A:$A,ROW()+1)="","",ROW()-3)</f>
        <v/>
      </c>
      <c r="B2267" s="48">
        <f>IFERROR(INDEX('04A_국토부원자료'!$A:$T,ROW()+1,MATCH("시군구",'04A_국토부원자료'!$A$4:$T$4,0)),"")</f>
        <v/>
      </c>
      <c r="C2267" s="48">
        <f>IF(B2267="","",IFERROR(INDEX('04A_국토부원자료'!$A:$T,ROW()+1,MATCH("번지",'04A_국토부원자료'!$A$4:$T$4,0)),""))</f>
        <v/>
      </c>
      <c r="D2267" s="48">
        <f>IF(B2267="","",IF(Q2267=1,'02_대상물건입력'!$B$8,IFERROR(INDEX('04A_국토부원자료'!$A:$T,ROW()+1,MATCH("단지명",'04A_국토부원자료'!$A$4:$T$4,0)),"")))</f>
        <v/>
      </c>
      <c r="E2267" s="172">
        <f>IFERROR(VALUE(SUBSTITUTE(INDEX('04A_국토부원자료'!$A:$T,ROW()+1,MATCH("전용면적(㎡)",'04A_국토부원자료'!$A$4:$T$4,0)),",","")),"")</f>
        <v/>
      </c>
      <c r="F22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67" s="51">
        <f>IFERROR(VALUE(SUBSTITUTE(INDEX('04A_국토부원자료'!$A:$T,ROW()+1,MATCH("거래금액(만원)",'04A_국토부원자료'!$A$4:$T$4,0)),",","")),"")</f>
        <v/>
      </c>
      <c r="H2267" s="174">
        <f>IF(G2267="","",G2267*10000)</f>
        <v/>
      </c>
      <c r="I2267" s="174">
        <f>IFERROR(IF(AND(H2267&gt;0,E2267&gt;0),H2267/E2267,""),"")</f>
        <v/>
      </c>
      <c r="J2267" s="152">
        <f>IFERROR(VALUE(SUBSTITUTE(INDEX('04A_국토부원자료'!$A:$T,ROW()+1,MATCH("층",'04A_국토부원자료'!$A$4:$T$4,0)),",","")),"")</f>
        <v/>
      </c>
      <c r="K2267" s="152">
        <f>IFERROR(VALUE(SUBSTITUTE(INDEX('04A_국토부원자료'!$A:$T,ROW()+1,MATCH("건축년도",'04A_국토부원자료'!$A$4:$T$4,0)),",","")),"")</f>
        <v/>
      </c>
      <c r="L2267" s="48">
        <f>IFERROR(INDEX('04A_국토부원자료'!$A:$T,ROW()+1,MATCH("도로명",'04A_국토부원자료'!$A$4:$T$4,0)),"")</f>
        <v/>
      </c>
      <c r="M2267" s="48">
        <f>IFERROR(INDEX('04A_국토부원자료'!$A:$T,ROW()+1,MATCH("거래유형",'04A_국토부원자료'!$A$4:$T$4,0)),"")</f>
        <v/>
      </c>
      <c r="N2267" s="152">
        <f>IF(B2267="","",IF('02_대상물건입력'!B5="",1,IF(ISNUMBER(SEARCH('02_대상물건입력'!B5,B2267)),1,0)))</f>
        <v/>
      </c>
      <c r="O2267" s="152">
        <f>IF(B2267="","",IF('02_대상물건입력'!B6="",1,IF(ISNUMBER(SEARCH('02_대상물건입력'!B6,B2267)),1,0)))</f>
        <v/>
      </c>
      <c r="P2267" s="152">
        <f>IF(L2267="","",IF('02_대상물건입력'!B15="",0,IF(ISNUMBER(SEARCH('02_대상물건입력'!B15,L2267)),1,0)))</f>
        <v/>
      </c>
      <c r="Q2267" s="152">
        <f>IF(OR(C2267="",L2267=""),0,IF(AND(TRIM(C2267)=TRIM(RIGHT(SUBSTITUTE(TRIM('02_대상물건입력'!$B$7)," ",REPT(" ",99)),99)),IF('02_대상물건입력'!B15="",TRUE(),ISNUMBER(SEARCH('02_대상물건입력'!B15,L2267)))),1,0))</f>
        <v/>
      </c>
      <c r="R2267" s="175">
        <f>IFERROR(ABS(E2267-'02_대상물건입력'!B11)/'02_대상물건입력'!B11,"")</f>
        <v/>
      </c>
      <c r="S2267" s="152">
        <f>IFERROR(ABS(J2267-'02_대상물건입력'!B10),"")</f>
        <v/>
      </c>
      <c r="T2267" s="152">
        <f>IFERROR(ABS('01_설정'!B4-F2267),"")</f>
        <v/>
      </c>
      <c r="U2267" s="152">
        <f>IFERROR(ABS(K2267-YEAR('02_대상물건입력'!B14)),"")</f>
        <v/>
      </c>
      <c r="V2267" s="152">
        <f>IF(B2267="","",IF(AND(E2267&gt;0,F2267&gt;0,H2267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2267=1,TRUE()),R2267&lt;='01_설정'!B5,S2267&lt;='01_설정'!B6,T2267&lt;='01_설정'!B7,U2267&lt;='01_설정'!B8),"Y",""))</f>
        <v/>
      </c>
      <c r="W2267" s="172">
        <f>IF(V2267&lt;&gt;"Y","",MAX(0,(1-R2267/'01_설정'!B5))*'01_설정'!B14+MAX(0,(1-S2267/'01_설정'!B6))*'01_설정'!B15+MAX(0,(1-T2267/'01_설정'!B7))*'01_설정'!B16+MAX(0,(1-U2267/'01_설정'!B8))*'01_설정'!B17+O2267*'01_설정'!B11+Q2267*'01_설정'!B12+P2267*'01_설정'!B13+IF(Z2267="",0,Z2267))</f>
        <v/>
      </c>
      <c r="X2267" s="152">
        <f>IF(W2267="","",1+COUNTIFS($W$4:$W$3003,"&gt;"&amp;W2267)+COUNTIFS($W$4:W2267,W2267)-1)</f>
        <v/>
      </c>
      <c r="Y2267" s="175">
        <f>IF(OR(I2267="",'02_대상물건입력'!B19="",'02_대상물건입력'!B19&lt;=0),"",ABS(I2267-'02_대상물건입력'!B19)/'02_대상물건입력'!B19)</f>
        <v/>
      </c>
      <c r="Z2267" s="172">
        <f>IF(OR(Y2267="",'01_설정'!B31="",'01_설정'!B31&lt;=0,'01_설정'!B32="",'01_설정'!B32&lt;=0),"",MAX(0,(1-Y2267/'01_설정'!B32))*'01_설정'!B31)</f>
        <v/>
      </c>
    </row>
    <row r="2268" ht="17.25" customHeight="1">
      <c r="A2268" s="152">
        <f>IF(INDEX('04A_국토부원자료'!$A:$A,ROW()+1)="","",ROW()-3)</f>
        <v/>
      </c>
      <c r="B2268" s="48">
        <f>IFERROR(INDEX('04A_국토부원자료'!$A:$T,ROW()+1,MATCH("시군구",'04A_국토부원자료'!$A$4:$T$4,0)),"")</f>
        <v/>
      </c>
      <c r="C2268" s="48">
        <f>IF(B2268="","",IFERROR(INDEX('04A_국토부원자료'!$A:$T,ROW()+1,MATCH("번지",'04A_국토부원자료'!$A$4:$T$4,0)),""))</f>
        <v/>
      </c>
      <c r="D2268" s="48">
        <f>IF(B2268="","",IF(Q2268=1,'02_대상물건입력'!$B$8,IFERROR(INDEX('04A_국토부원자료'!$A:$T,ROW()+1,MATCH("단지명",'04A_국토부원자료'!$A$4:$T$4,0)),"")))</f>
        <v/>
      </c>
      <c r="E2268" s="172">
        <f>IFERROR(VALUE(SUBSTITUTE(INDEX('04A_국토부원자료'!$A:$T,ROW()+1,MATCH("전용면적(㎡)",'04A_국토부원자료'!$A$4:$T$4,0)),",","")),"")</f>
        <v/>
      </c>
      <c r="F22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68" s="51">
        <f>IFERROR(VALUE(SUBSTITUTE(INDEX('04A_국토부원자료'!$A:$T,ROW()+1,MATCH("거래금액(만원)",'04A_국토부원자료'!$A$4:$T$4,0)),",","")),"")</f>
        <v/>
      </c>
      <c r="H2268" s="174">
        <f>IF(G2268="","",G2268*10000)</f>
        <v/>
      </c>
      <c r="I2268" s="174">
        <f>IFERROR(IF(AND(H2268&gt;0,E2268&gt;0),H2268/E2268,""),"")</f>
        <v/>
      </c>
      <c r="J2268" s="152">
        <f>IFERROR(VALUE(SUBSTITUTE(INDEX('04A_국토부원자료'!$A:$T,ROW()+1,MATCH("층",'04A_국토부원자료'!$A$4:$T$4,0)),",","")),"")</f>
        <v/>
      </c>
      <c r="K2268" s="152">
        <f>IFERROR(VALUE(SUBSTITUTE(INDEX('04A_국토부원자료'!$A:$T,ROW()+1,MATCH("건축년도",'04A_국토부원자료'!$A$4:$T$4,0)),",","")),"")</f>
        <v/>
      </c>
      <c r="L2268" s="48">
        <f>IFERROR(INDEX('04A_국토부원자료'!$A:$T,ROW()+1,MATCH("도로명",'04A_국토부원자료'!$A$4:$T$4,0)),"")</f>
        <v/>
      </c>
      <c r="M2268" s="48">
        <f>IFERROR(INDEX('04A_국토부원자료'!$A:$T,ROW()+1,MATCH("거래유형",'04A_국토부원자료'!$A$4:$T$4,0)),"")</f>
        <v/>
      </c>
      <c r="N2268" s="152">
        <f>IF(B2268="","",IF('02_대상물건입력'!B5="",1,IF(ISNUMBER(SEARCH('02_대상물건입력'!B5,B2268)),1,0)))</f>
        <v/>
      </c>
      <c r="O2268" s="152">
        <f>IF(B2268="","",IF('02_대상물건입력'!B6="",1,IF(ISNUMBER(SEARCH('02_대상물건입력'!B6,B2268)),1,0)))</f>
        <v/>
      </c>
      <c r="P2268" s="152">
        <f>IF(L2268="","",IF('02_대상물건입력'!B15="",0,IF(ISNUMBER(SEARCH('02_대상물건입력'!B15,L2268)),1,0)))</f>
        <v/>
      </c>
      <c r="Q2268" s="152">
        <f>IF(OR(C2268="",L2268=""),0,IF(AND(TRIM(C2268)=TRIM(RIGHT(SUBSTITUTE(TRIM('02_대상물건입력'!$B$7)," ",REPT(" ",99)),99)),IF('02_대상물건입력'!B15="",TRUE(),ISNUMBER(SEARCH('02_대상물건입력'!B15,L2268)))),1,0))</f>
        <v/>
      </c>
      <c r="R2268" s="175">
        <f>IFERROR(ABS(E2268-'02_대상물건입력'!B11)/'02_대상물건입력'!B11,"")</f>
        <v/>
      </c>
      <c r="S2268" s="152">
        <f>IFERROR(ABS(J2268-'02_대상물건입력'!B10),"")</f>
        <v/>
      </c>
      <c r="T2268" s="152">
        <f>IFERROR(ABS('01_설정'!B4-F2268),"")</f>
        <v/>
      </c>
      <c r="U2268" s="152">
        <f>IFERROR(ABS(K2268-YEAR('02_대상물건입력'!B14)),"")</f>
        <v/>
      </c>
      <c r="V2268" s="152">
        <f>IF(B2268="","",IF(AND(E2268&gt;0,F2268&gt;0,H2268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2268=1,TRUE()),R2268&lt;='01_설정'!B5,S2268&lt;='01_설정'!B6,T2268&lt;='01_설정'!B7,U2268&lt;='01_설정'!B8),"Y",""))</f>
        <v/>
      </c>
      <c r="W2268" s="172">
        <f>IF(V2268&lt;&gt;"Y","",MAX(0,(1-R2268/'01_설정'!B5))*'01_설정'!B14+MAX(0,(1-S2268/'01_설정'!B6))*'01_설정'!B15+MAX(0,(1-T2268/'01_설정'!B7))*'01_설정'!B16+MAX(0,(1-U2268/'01_설정'!B8))*'01_설정'!B17+O2268*'01_설정'!B11+Q2268*'01_설정'!B12+P2268*'01_설정'!B13+IF(Z2268="",0,Z2268))</f>
        <v/>
      </c>
      <c r="X2268" s="152">
        <f>IF(W2268="","",1+COUNTIFS($W$4:$W$3003,"&gt;"&amp;W2268)+COUNTIFS($W$4:W2268,W2268)-1)</f>
        <v/>
      </c>
      <c r="Y2268" s="175">
        <f>IF(OR(I2268="",'02_대상물건입력'!B19="",'02_대상물건입력'!B19&lt;=0),"",ABS(I2268-'02_대상물건입력'!B19)/'02_대상물건입력'!B19)</f>
        <v/>
      </c>
      <c r="Z2268" s="172">
        <f>IF(OR(Y2268="",'01_설정'!B31="",'01_설정'!B31&lt;=0,'01_설정'!B32="",'01_설정'!B32&lt;=0),"",MAX(0,(1-Y2268/'01_설정'!B32))*'01_설정'!B31)</f>
        <v/>
      </c>
    </row>
    <row r="2269" ht="17.25" customHeight="1">
      <c r="A2269" s="152">
        <f>IF(INDEX('04A_국토부원자료'!$A:$A,ROW()+1)="","",ROW()-3)</f>
        <v/>
      </c>
      <c r="B2269" s="48">
        <f>IFERROR(INDEX('04A_국토부원자료'!$A:$T,ROW()+1,MATCH("시군구",'04A_국토부원자료'!$A$4:$T$4,0)),"")</f>
        <v/>
      </c>
      <c r="C2269" s="48">
        <f>IF(B2269="","",IFERROR(INDEX('04A_국토부원자료'!$A:$T,ROW()+1,MATCH("번지",'04A_국토부원자료'!$A$4:$T$4,0)),""))</f>
        <v/>
      </c>
      <c r="D2269" s="48">
        <f>IF(B2269="","",IF(Q2269=1,'02_대상물건입력'!$B$8,IFERROR(INDEX('04A_국토부원자료'!$A:$T,ROW()+1,MATCH("단지명",'04A_국토부원자료'!$A$4:$T$4,0)),"")))</f>
        <v/>
      </c>
      <c r="E2269" s="172">
        <f>IFERROR(VALUE(SUBSTITUTE(INDEX('04A_국토부원자료'!$A:$T,ROW()+1,MATCH("전용면적(㎡)",'04A_국토부원자료'!$A$4:$T$4,0)),",","")),"")</f>
        <v/>
      </c>
      <c r="F22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69" s="51">
        <f>IFERROR(VALUE(SUBSTITUTE(INDEX('04A_국토부원자료'!$A:$T,ROW()+1,MATCH("거래금액(만원)",'04A_국토부원자료'!$A$4:$T$4,0)),",","")),"")</f>
        <v/>
      </c>
      <c r="H2269" s="174">
        <f>IF(G2269="","",G2269*10000)</f>
        <v/>
      </c>
      <c r="I2269" s="174">
        <f>IFERROR(IF(AND(H2269&gt;0,E2269&gt;0),H2269/E2269,""),"")</f>
        <v/>
      </c>
      <c r="J2269" s="152">
        <f>IFERROR(VALUE(SUBSTITUTE(INDEX('04A_국토부원자료'!$A:$T,ROW()+1,MATCH("층",'04A_국토부원자료'!$A$4:$T$4,0)),",","")),"")</f>
        <v/>
      </c>
      <c r="K2269" s="152">
        <f>IFERROR(VALUE(SUBSTITUTE(INDEX('04A_국토부원자료'!$A:$T,ROW()+1,MATCH("건축년도",'04A_국토부원자료'!$A$4:$T$4,0)),",","")),"")</f>
        <v/>
      </c>
      <c r="L2269" s="48">
        <f>IFERROR(INDEX('04A_국토부원자료'!$A:$T,ROW()+1,MATCH("도로명",'04A_국토부원자료'!$A$4:$T$4,0)),"")</f>
        <v/>
      </c>
      <c r="M2269" s="48">
        <f>IFERROR(INDEX('04A_국토부원자료'!$A:$T,ROW()+1,MATCH("거래유형",'04A_국토부원자료'!$A$4:$T$4,0)),"")</f>
        <v/>
      </c>
      <c r="N2269" s="152">
        <f>IF(B2269="","",IF('02_대상물건입력'!B5="",1,IF(ISNUMBER(SEARCH('02_대상물건입력'!B5,B2269)),1,0)))</f>
        <v/>
      </c>
      <c r="O2269" s="152">
        <f>IF(B2269="","",IF('02_대상물건입력'!B6="",1,IF(ISNUMBER(SEARCH('02_대상물건입력'!B6,B2269)),1,0)))</f>
        <v/>
      </c>
      <c r="P2269" s="152">
        <f>IF(L2269="","",IF('02_대상물건입력'!B15="",0,IF(ISNUMBER(SEARCH('02_대상물건입력'!B15,L2269)),1,0)))</f>
        <v/>
      </c>
      <c r="Q2269" s="152">
        <f>IF(OR(C2269="",L2269=""),0,IF(AND(TRIM(C2269)=TRIM(RIGHT(SUBSTITUTE(TRIM('02_대상물건입력'!$B$7)," ",REPT(" ",99)),99)),IF('02_대상물건입력'!B15="",TRUE(),ISNUMBER(SEARCH('02_대상물건입력'!B15,L2269)))),1,0))</f>
        <v/>
      </c>
      <c r="R2269" s="175">
        <f>IFERROR(ABS(E2269-'02_대상물건입력'!B11)/'02_대상물건입력'!B11,"")</f>
        <v/>
      </c>
      <c r="S2269" s="152">
        <f>IFERROR(ABS(J2269-'02_대상물건입력'!B10),"")</f>
        <v/>
      </c>
      <c r="T2269" s="152">
        <f>IFERROR(ABS('01_설정'!B4-F2269),"")</f>
        <v/>
      </c>
      <c r="U2269" s="152">
        <f>IFERROR(ABS(K2269-YEAR('02_대상물건입력'!B14)),"")</f>
        <v/>
      </c>
      <c r="V2269" s="152">
        <f>IF(B2269="","",IF(AND(E2269&gt;0,F2269&gt;0,H2269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2269=1,TRUE()),R2269&lt;='01_설정'!B5,S2269&lt;='01_설정'!B6,T2269&lt;='01_설정'!B7,U2269&lt;='01_설정'!B8),"Y",""))</f>
        <v/>
      </c>
      <c r="W2269" s="172">
        <f>IF(V2269&lt;&gt;"Y","",MAX(0,(1-R2269/'01_설정'!B5))*'01_설정'!B14+MAX(0,(1-S2269/'01_설정'!B6))*'01_설정'!B15+MAX(0,(1-T2269/'01_설정'!B7))*'01_설정'!B16+MAX(0,(1-U2269/'01_설정'!B8))*'01_설정'!B17+O2269*'01_설정'!B11+Q2269*'01_설정'!B12+P2269*'01_설정'!B13+IF(Z2269="",0,Z2269))</f>
        <v/>
      </c>
      <c r="X2269" s="152">
        <f>IF(W2269="","",1+COUNTIFS($W$4:$W$3003,"&gt;"&amp;W2269)+COUNTIFS($W$4:W2269,W2269)-1)</f>
        <v/>
      </c>
      <c r="Y2269" s="175">
        <f>IF(OR(I2269="",'02_대상물건입력'!B19="",'02_대상물건입력'!B19&lt;=0),"",ABS(I2269-'02_대상물건입력'!B19)/'02_대상물건입력'!B19)</f>
        <v/>
      </c>
      <c r="Z2269" s="172">
        <f>IF(OR(Y2269="",'01_설정'!B31="",'01_설정'!B31&lt;=0,'01_설정'!B32="",'01_설정'!B32&lt;=0),"",MAX(0,(1-Y2269/'01_설정'!B32))*'01_설정'!B31)</f>
        <v/>
      </c>
    </row>
    <row r="2270" ht="17.25" customHeight="1">
      <c r="A2270" s="152">
        <f>IF(INDEX('04A_국토부원자료'!$A:$A,ROW()+1)="","",ROW()-3)</f>
        <v/>
      </c>
      <c r="B2270" s="48">
        <f>IFERROR(INDEX('04A_국토부원자료'!$A:$T,ROW()+1,MATCH("시군구",'04A_국토부원자료'!$A$4:$T$4,0)),"")</f>
        <v/>
      </c>
      <c r="C2270" s="48">
        <f>IF(B2270="","",IFERROR(INDEX('04A_국토부원자료'!$A:$T,ROW()+1,MATCH("번지",'04A_국토부원자료'!$A$4:$T$4,0)),""))</f>
        <v/>
      </c>
      <c r="D2270" s="48">
        <f>IF(B2270="","",IF(Q2270=1,'02_대상물건입력'!$B$8,IFERROR(INDEX('04A_국토부원자료'!$A:$T,ROW()+1,MATCH("단지명",'04A_국토부원자료'!$A$4:$T$4,0)),"")))</f>
        <v/>
      </c>
      <c r="E2270" s="172">
        <f>IFERROR(VALUE(SUBSTITUTE(INDEX('04A_국토부원자료'!$A:$T,ROW()+1,MATCH("전용면적(㎡)",'04A_국토부원자료'!$A$4:$T$4,0)),",","")),"")</f>
        <v/>
      </c>
      <c r="F22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70" s="51">
        <f>IFERROR(VALUE(SUBSTITUTE(INDEX('04A_국토부원자료'!$A:$T,ROW()+1,MATCH("거래금액(만원)",'04A_국토부원자료'!$A$4:$T$4,0)),",","")),"")</f>
        <v/>
      </c>
      <c r="H2270" s="174">
        <f>IF(G2270="","",G2270*10000)</f>
        <v/>
      </c>
      <c r="I2270" s="174">
        <f>IFERROR(IF(AND(H2270&gt;0,E2270&gt;0),H2270/E2270,""),"")</f>
        <v/>
      </c>
      <c r="J2270" s="152">
        <f>IFERROR(VALUE(SUBSTITUTE(INDEX('04A_국토부원자료'!$A:$T,ROW()+1,MATCH("층",'04A_국토부원자료'!$A$4:$T$4,0)),",","")),"")</f>
        <v/>
      </c>
      <c r="K2270" s="152">
        <f>IFERROR(VALUE(SUBSTITUTE(INDEX('04A_국토부원자료'!$A:$T,ROW()+1,MATCH("건축년도",'04A_국토부원자료'!$A$4:$T$4,0)),",","")),"")</f>
        <v/>
      </c>
      <c r="L2270" s="48">
        <f>IFERROR(INDEX('04A_국토부원자료'!$A:$T,ROW()+1,MATCH("도로명",'04A_국토부원자료'!$A$4:$T$4,0)),"")</f>
        <v/>
      </c>
      <c r="M2270" s="48">
        <f>IFERROR(INDEX('04A_국토부원자료'!$A:$T,ROW()+1,MATCH("거래유형",'04A_국토부원자료'!$A$4:$T$4,0)),"")</f>
        <v/>
      </c>
      <c r="N2270" s="152">
        <f>IF(B2270="","",IF('02_대상물건입력'!B5="",1,IF(ISNUMBER(SEARCH('02_대상물건입력'!B5,B2270)),1,0)))</f>
        <v/>
      </c>
      <c r="O2270" s="152">
        <f>IF(B2270="","",IF('02_대상물건입력'!B6="",1,IF(ISNUMBER(SEARCH('02_대상물건입력'!B6,B2270)),1,0)))</f>
        <v/>
      </c>
      <c r="P2270" s="152">
        <f>IF(L2270="","",IF('02_대상물건입력'!B15="",0,IF(ISNUMBER(SEARCH('02_대상물건입력'!B15,L2270)),1,0)))</f>
        <v/>
      </c>
      <c r="Q2270" s="152">
        <f>IF(OR(C2270="",L2270=""),0,IF(AND(TRIM(C2270)=TRIM(RIGHT(SUBSTITUTE(TRIM('02_대상물건입력'!$B$7)," ",REPT(" ",99)),99)),IF('02_대상물건입력'!B15="",TRUE(),ISNUMBER(SEARCH('02_대상물건입력'!B15,L2270)))),1,0))</f>
        <v/>
      </c>
      <c r="R2270" s="175">
        <f>IFERROR(ABS(E2270-'02_대상물건입력'!B11)/'02_대상물건입력'!B11,"")</f>
        <v/>
      </c>
      <c r="S2270" s="152">
        <f>IFERROR(ABS(J2270-'02_대상물건입력'!B10),"")</f>
        <v/>
      </c>
      <c r="T2270" s="152">
        <f>IFERROR(ABS('01_설정'!B4-F2270),"")</f>
        <v/>
      </c>
      <c r="U2270" s="152">
        <f>IFERROR(ABS(K2270-YEAR('02_대상물건입력'!B14)),"")</f>
        <v/>
      </c>
      <c r="V2270" s="152">
        <f>IF(B2270="","",IF(AND(E2270&gt;0,F2270&gt;0,H2270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2270=1,TRUE()),R2270&lt;='01_설정'!B5,S2270&lt;='01_설정'!B6,T2270&lt;='01_설정'!B7,U2270&lt;='01_설정'!B8),"Y",""))</f>
        <v/>
      </c>
      <c r="W2270" s="172">
        <f>IF(V2270&lt;&gt;"Y","",MAX(0,(1-R2270/'01_설정'!B5))*'01_설정'!B14+MAX(0,(1-S2270/'01_설정'!B6))*'01_설정'!B15+MAX(0,(1-T2270/'01_설정'!B7))*'01_설정'!B16+MAX(0,(1-U2270/'01_설정'!B8))*'01_설정'!B17+O2270*'01_설정'!B11+Q2270*'01_설정'!B12+P2270*'01_설정'!B13+IF(Z2270="",0,Z2270))</f>
        <v/>
      </c>
      <c r="X2270" s="152">
        <f>IF(W2270="","",1+COUNTIFS($W$4:$W$3003,"&gt;"&amp;W2270)+COUNTIFS($W$4:W2270,W2270)-1)</f>
        <v/>
      </c>
      <c r="Y2270" s="175">
        <f>IF(OR(I2270="",'02_대상물건입력'!B19="",'02_대상물건입력'!B19&lt;=0),"",ABS(I2270-'02_대상물건입력'!B19)/'02_대상물건입력'!B19)</f>
        <v/>
      </c>
      <c r="Z2270" s="172">
        <f>IF(OR(Y2270="",'01_설정'!B31="",'01_설정'!B31&lt;=0,'01_설정'!B32="",'01_설정'!B32&lt;=0),"",MAX(0,(1-Y2270/'01_설정'!B32))*'01_설정'!B31)</f>
        <v/>
      </c>
    </row>
    <row r="2271" ht="17.25" customHeight="1">
      <c r="A2271" s="152">
        <f>IF(INDEX('04A_국토부원자료'!$A:$A,ROW()+1)="","",ROW()-3)</f>
        <v/>
      </c>
      <c r="B2271" s="48">
        <f>IFERROR(INDEX('04A_국토부원자료'!$A:$T,ROW()+1,MATCH("시군구",'04A_국토부원자료'!$A$4:$T$4,0)),"")</f>
        <v/>
      </c>
      <c r="C2271" s="48">
        <f>IF(B2271="","",IFERROR(INDEX('04A_국토부원자료'!$A:$T,ROW()+1,MATCH("번지",'04A_국토부원자료'!$A$4:$T$4,0)),""))</f>
        <v/>
      </c>
      <c r="D2271" s="48">
        <f>IF(B2271="","",IF(Q2271=1,'02_대상물건입력'!$B$8,IFERROR(INDEX('04A_국토부원자료'!$A:$T,ROW()+1,MATCH("단지명",'04A_국토부원자료'!$A$4:$T$4,0)),"")))</f>
        <v/>
      </c>
      <c r="E2271" s="172">
        <f>IFERROR(VALUE(SUBSTITUTE(INDEX('04A_국토부원자료'!$A:$T,ROW()+1,MATCH("전용면적(㎡)",'04A_국토부원자료'!$A$4:$T$4,0)),",","")),"")</f>
        <v/>
      </c>
      <c r="F22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71" s="51">
        <f>IFERROR(VALUE(SUBSTITUTE(INDEX('04A_국토부원자료'!$A:$T,ROW()+1,MATCH("거래금액(만원)",'04A_국토부원자료'!$A$4:$T$4,0)),",","")),"")</f>
        <v/>
      </c>
      <c r="H2271" s="174">
        <f>IF(G2271="","",G2271*10000)</f>
        <v/>
      </c>
      <c r="I2271" s="174">
        <f>IFERROR(IF(AND(H2271&gt;0,E2271&gt;0),H2271/E2271,""),"")</f>
        <v/>
      </c>
      <c r="J2271" s="152">
        <f>IFERROR(VALUE(SUBSTITUTE(INDEX('04A_국토부원자료'!$A:$T,ROW()+1,MATCH("층",'04A_국토부원자료'!$A$4:$T$4,0)),",","")),"")</f>
        <v/>
      </c>
      <c r="K2271" s="152">
        <f>IFERROR(VALUE(SUBSTITUTE(INDEX('04A_국토부원자료'!$A:$T,ROW()+1,MATCH("건축년도",'04A_국토부원자료'!$A$4:$T$4,0)),",","")),"")</f>
        <v/>
      </c>
      <c r="L2271" s="48">
        <f>IFERROR(INDEX('04A_국토부원자료'!$A:$T,ROW()+1,MATCH("도로명",'04A_국토부원자료'!$A$4:$T$4,0)),"")</f>
        <v/>
      </c>
      <c r="M2271" s="48">
        <f>IFERROR(INDEX('04A_국토부원자료'!$A:$T,ROW()+1,MATCH("거래유형",'04A_국토부원자료'!$A$4:$T$4,0)),"")</f>
        <v/>
      </c>
      <c r="N2271" s="152">
        <f>IF(B2271="","",IF('02_대상물건입력'!B5="",1,IF(ISNUMBER(SEARCH('02_대상물건입력'!B5,B2271)),1,0)))</f>
        <v/>
      </c>
      <c r="O2271" s="152">
        <f>IF(B2271="","",IF('02_대상물건입력'!B6="",1,IF(ISNUMBER(SEARCH('02_대상물건입력'!B6,B2271)),1,0)))</f>
        <v/>
      </c>
      <c r="P2271" s="152">
        <f>IF(L2271="","",IF('02_대상물건입력'!B15="",0,IF(ISNUMBER(SEARCH('02_대상물건입력'!B15,L2271)),1,0)))</f>
        <v/>
      </c>
      <c r="Q2271" s="152">
        <f>IF(OR(C2271="",L2271=""),0,IF(AND(TRIM(C2271)=TRIM(RIGHT(SUBSTITUTE(TRIM('02_대상물건입력'!$B$7)," ",REPT(" ",99)),99)),IF('02_대상물건입력'!B15="",TRUE(),ISNUMBER(SEARCH('02_대상물건입력'!B15,L2271)))),1,0))</f>
        <v/>
      </c>
      <c r="R2271" s="175">
        <f>IFERROR(ABS(E2271-'02_대상물건입력'!B11)/'02_대상물건입력'!B11,"")</f>
        <v/>
      </c>
      <c r="S2271" s="152">
        <f>IFERROR(ABS(J2271-'02_대상물건입력'!B10),"")</f>
        <v/>
      </c>
      <c r="T2271" s="152">
        <f>IFERROR(ABS('01_설정'!B4-F2271),"")</f>
        <v/>
      </c>
      <c r="U2271" s="152">
        <f>IFERROR(ABS(K2271-YEAR('02_대상물건입력'!B14)),"")</f>
        <v/>
      </c>
      <c r="V2271" s="152">
        <f>IF(B2271="","",IF(AND(E2271&gt;0,F2271&gt;0,H2271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2271=1,TRUE()),R2271&lt;='01_설정'!B5,S2271&lt;='01_설정'!B6,T2271&lt;='01_설정'!B7,U2271&lt;='01_설정'!B8),"Y",""))</f>
        <v/>
      </c>
      <c r="W2271" s="172">
        <f>IF(V2271&lt;&gt;"Y","",MAX(0,(1-R2271/'01_설정'!B5))*'01_설정'!B14+MAX(0,(1-S2271/'01_설정'!B6))*'01_설정'!B15+MAX(0,(1-T2271/'01_설정'!B7))*'01_설정'!B16+MAX(0,(1-U2271/'01_설정'!B8))*'01_설정'!B17+O2271*'01_설정'!B11+Q2271*'01_설정'!B12+P2271*'01_설정'!B13+IF(Z2271="",0,Z2271))</f>
        <v/>
      </c>
      <c r="X2271" s="152">
        <f>IF(W2271="","",1+COUNTIFS($W$4:$W$3003,"&gt;"&amp;W2271)+COUNTIFS($W$4:W2271,W2271)-1)</f>
        <v/>
      </c>
      <c r="Y2271" s="175">
        <f>IF(OR(I2271="",'02_대상물건입력'!B19="",'02_대상물건입력'!B19&lt;=0),"",ABS(I2271-'02_대상물건입력'!B19)/'02_대상물건입력'!B19)</f>
        <v/>
      </c>
      <c r="Z2271" s="172">
        <f>IF(OR(Y2271="",'01_설정'!B31="",'01_설정'!B31&lt;=0,'01_설정'!B32="",'01_설정'!B32&lt;=0),"",MAX(0,(1-Y2271/'01_설정'!B32))*'01_설정'!B31)</f>
        <v/>
      </c>
    </row>
    <row r="2272" ht="17.25" customHeight="1">
      <c r="A2272" s="152">
        <f>IF(INDEX('04A_국토부원자료'!$A:$A,ROW()+1)="","",ROW()-3)</f>
        <v/>
      </c>
      <c r="B2272" s="48">
        <f>IFERROR(INDEX('04A_국토부원자료'!$A:$T,ROW()+1,MATCH("시군구",'04A_국토부원자료'!$A$4:$T$4,0)),"")</f>
        <v/>
      </c>
      <c r="C2272" s="48">
        <f>IF(B2272="","",IFERROR(INDEX('04A_국토부원자료'!$A:$T,ROW()+1,MATCH("번지",'04A_국토부원자료'!$A$4:$T$4,0)),""))</f>
        <v/>
      </c>
      <c r="D2272" s="48">
        <f>IF(B2272="","",IF(Q2272=1,'02_대상물건입력'!$B$8,IFERROR(INDEX('04A_국토부원자료'!$A:$T,ROW()+1,MATCH("단지명",'04A_국토부원자료'!$A$4:$T$4,0)),"")))</f>
        <v/>
      </c>
      <c r="E2272" s="172">
        <f>IFERROR(VALUE(SUBSTITUTE(INDEX('04A_국토부원자료'!$A:$T,ROW()+1,MATCH("전용면적(㎡)",'04A_국토부원자료'!$A$4:$T$4,0)),",","")),"")</f>
        <v/>
      </c>
      <c r="F22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72" s="51">
        <f>IFERROR(VALUE(SUBSTITUTE(INDEX('04A_국토부원자료'!$A:$T,ROW()+1,MATCH("거래금액(만원)",'04A_국토부원자료'!$A$4:$T$4,0)),",","")),"")</f>
        <v/>
      </c>
      <c r="H2272" s="174">
        <f>IF(G2272="","",G2272*10000)</f>
        <v/>
      </c>
      <c r="I2272" s="174">
        <f>IFERROR(IF(AND(H2272&gt;0,E2272&gt;0),H2272/E2272,""),"")</f>
        <v/>
      </c>
      <c r="J2272" s="152">
        <f>IFERROR(VALUE(SUBSTITUTE(INDEX('04A_국토부원자료'!$A:$T,ROW()+1,MATCH("층",'04A_국토부원자료'!$A$4:$T$4,0)),",","")),"")</f>
        <v/>
      </c>
      <c r="K2272" s="152">
        <f>IFERROR(VALUE(SUBSTITUTE(INDEX('04A_국토부원자료'!$A:$T,ROW()+1,MATCH("건축년도",'04A_국토부원자료'!$A$4:$T$4,0)),",","")),"")</f>
        <v/>
      </c>
      <c r="L2272" s="48">
        <f>IFERROR(INDEX('04A_국토부원자료'!$A:$T,ROW()+1,MATCH("도로명",'04A_국토부원자료'!$A$4:$T$4,0)),"")</f>
        <v/>
      </c>
      <c r="M2272" s="48">
        <f>IFERROR(INDEX('04A_국토부원자료'!$A:$T,ROW()+1,MATCH("거래유형",'04A_국토부원자료'!$A$4:$T$4,0)),"")</f>
        <v/>
      </c>
      <c r="N2272" s="152">
        <f>IF(B2272="","",IF('02_대상물건입력'!B5="",1,IF(ISNUMBER(SEARCH('02_대상물건입력'!B5,B2272)),1,0)))</f>
        <v/>
      </c>
      <c r="O2272" s="152">
        <f>IF(B2272="","",IF('02_대상물건입력'!B6="",1,IF(ISNUMBER(SEARCH('02_대상물건입력'!B6,B2272)),1,0)))</f>
        <v/>
      </c>
      <c r="P2272" s="152">
        <f>IF(L2272="","",IF('02_대상물건입력'!B15="",0,IF(ISNUMBER(SEARCH('02_대상물건입력'!B15,L2272)),1,0)))</f>
        <v/>
      </c>
      <c r="Q2272" s="152">
        <f>IF(OR(C2272="",L2272=""),0,IF(AND(TRIM(C2272)=TRIM(RIGHT(SUBSTITUTE(TRIM('02_대상물건입력'!$B$7)," ",REPT(" ",99)),99)),IF('02_대상물건입력'!B15="",TRUE(),ISNUMBER(SEARCH('02_대상물건입력'!B15,L2272)))),1,0))</f>
        <v/>
      </c>
      <c r="R2272" s="175">
        <f>IFERROR(ABS(E2272-'02_대상물건입력'!B11)/'02_대상물건입력'!B11,"")</f>
        <v/>
      </c>
      <c r="S2272" s="152">
        <f>IFERROR(ABS(J2272-'02_대상물건입력'!B10),"")</f>
        <v/>
      </c>
      <c r="T2272" s="152">
        <f>IFERROR(ABS('01_설정'!B4-F2272),"")</f>
        <v/>
      </c>
      <c r="U2272" s="152">
        <f>IFERROR(ABS(K2272-YEAR('02_대상물건입력'!B14)),"")</f>
        <v/>
      </c>
      <c r="V2272" s="152">
        <f>IF(B2272="","",IF(AND(E2272&gt;0,F2272&gt;0,H2272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2272=1,TRUE()),R2272&lt;='01_설정'!B5,S2272&lt;='01_설정'!B6,T2272&lt;='01_설정'!B7,U2272&lt;='01_설정'!B8),"Y",""))</f>
        <v/>
      </c>
      <c r="W2272" s="172">
        <f>IF(V2272&lt;&gt;"Y","",MAX(0,(1-R2272/'01_설정'!B5))*'01_설정'!B14+MAX(0,(1-S2272/'01_설정'!B6))*'01_설정'!B15+MAX(0,(1-T2272/'01_설정'!B7))*'01_설정'!B16+MAX(0,(1-U2272/'01_설정'!B8))*'01_설정'!B17+O2272*'01_설정'!B11+Q2272*'01_설정'!B12+P2272*'01_설정'!B13+IF(Z2272="",0,Z2272))</f>
        <v/>
      </c>
      <c r="X2272" s="152">
        <f>IF(W2272="","",1+COUNTIFS($W$4:$W$3003,"&gt;"&amp;W2272)+COUNTIFS($W$4:W2272,W2272)-1)</f>
        <v/>
      </c>
      <c r="Y2272" s="175">
        <f>IF(OR(I2272="",'02_대상물건입력'!B19="",'02_대상물건입력'!B19&lt;=0),"",ABS(I2272-'02_대상물건입력'!B19)/'02_대상물건입력'!B19)</f>
        <v/>
      </c>
      <c r="Z2272" s="172">
        <f>IF(OR(Y2272="",'01_설정'!B31="",'01_설정'!B31&lt;=0,'01_설정'!B32="",'01_설정'!B32&lt;=0),"",MAX(0,(1-Y2272/'01_설정'!B32))*'01_설정'!B31)</f>
        <v/>
      </c>
    </row>
    <row r="2273" ht="17.25" customHeight="1">
      <c r="A2273" s="152">
        <f>IF(INDEX('04A_국토부원자료'!$A:$A,ROW()+1)="","",ROW()-3)</f>
        <v/>
      </c>
      <c r="B2273" s="48">
        <f>IFERROR(INDEX('04A_국토부원자료'!$A:$T,ROW()+1,MATCH("시군구",'04A_국토부원자료'!$A$4:$T$4,0)),"")</f>
        <v/>
      </c>
      <c r="C2273" s="48">
        <f>IF(B2273="","",IFERROR(INDEX('04A_국토부원자료'!$A:$T,ROW()+1,MATCH("번지",'04A_국토부원자료'!$A$4:$T$4,0)),""))</f>
        <v/>
      </c>
      <c r="D2273" s="48">
        <f>IF(B2273="","",IF(Q2273=1,'02_대상물건입력'!$B$8,IFERROR(INDEX('04A_국토부원자료'!$A:$T,ROW()+1,MATCH("단지명",'04A_국토부원자료'!$A$4:$T$4,0)),"")))</f>
        <v/>
      </c>
      <c r="E2273" s="172">
        <f>IFERROR(VALUE(SUBSTITUTE(INDEX('04A_국토부원자료'!$A:$T,ROW()+1,MATCH("전용면적(㎡)",'04A_국토부원자료'!$A$4:$T$4,0)),",","")),"")</f>
        <v/>
      </c>
      <c r="F22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73" s="51">
        <f>IFERROR(VALUE(SUBSTITUTE(INDEX('04A_국토부원자료'!$A:$T,ROW()+1,MATCH("거래금액(만원)",'04A_국토부원자료'!$A$4:$T$4,0)),",","")),"")</f>
        <v/>
      </c>
      <c r="H2273" s="174">
        <f>IF(G2273="","",G2273*10000)</f>
        <v/>
      </c>
      <c r="I2273" s="174">
        <f>IFERROR(IF(AND(H2273&gt;0,E2273&gt;0),H2273/E2273,""),"")</f>
        <v/>
      </c>
      <c r="J2273" s="152">
        <f>IFERROR(VALUE(SUBSTITUTE(INDEX('04A_국토부원자료'!$A:$T,ROW()+1,MATCH("층",'04A_국토부원자료'!$A$4:$T$4,0)),",","")),"")</f>
        <v/>
      </c>
      <c r="K2273" s="152">
        <f>IFERROR(VALUE(SUBSTITUTE(INDEX('04A_국토부원자료'!$A:$T,ROW()+1,MATCH("건축년도",'04A_국토부원자료'!$A$4:$T$4,0)),",","")),"")</f>
        <v/>
      </c>
      <c r="L2273" s="48">
        <f>IFERROR(INDEX('04A_국토부원자료'!$A:$T,ROW()+1,MATCH("도로명",'04A_국토부원자료'!$A$4:$T$4,0)),"")</f>
        <v/>
      </c>
      <c r="M2273" s="48">
        <f>IFERROR(INDEX('04A_국토부원자료'!$A:$T,ROW()+1,MATCH("거래유형",'04A_국토부원자료'!$A$4:$T$4,0)),"")</f>
        <v/>
      </c>
      <c r="N2273" s="152">
        <f>IF(B2273="","",IF('02_대상물건입력'!B5="",1,IF(ISNUMBER(SEARCH('02_대상물건입력'!B5,B2273)),1,0)))</f>
        <v/>
      </c>
      <c r="O2273" s="152">
        <f>IF(B2273="","",IF('02_대상물건입력'!B6="",1,IF(ISNUMBER(SEARCH('02_대상물건입력'!B6,B2273)),1,0)))</f>
        <v/>
      </c>
      <c r="P2273" s="152">
        <f>IF(L2273="","",IF('02_대상물건입력'!B15="",0,IF(ISNUMBER(SEARCH('02_대상물건입력'!B15,L2273)),1,0)))</f>
        <v/>
      </c>
      <c r="Q2273" s="152">
        <f>IF(OR(C2273="",L2273=""),0,IF(AND(TRIM(C2273)=TRIM(RIGHT(SUBSTITUTE(TRIM('02_대상물건입력'!$B$7)," ",REPT(" ",99)),99)),IF('02_대상물건입력'!B15="",TRUE(),ISNUMBER(SEARCH('02_대상물건입력'!B15,L2273)))),1,0))</f>
        <v/>
      </c>
      <c r="R2273" s="175">
        <f>IFERROR(ABS(E2273-'02_대상물건입력'!B11)/'02_대상물건입력'!B11,"")</f>
        <v/>
      </c>
      <c r="S2273" s="152">
        <f>IFERROR(ABS(J2273-'02_대상물건입력'!B10),"")</f>
        <v/>
      </c>
      <c r="T2273" s="152">
        <f>IFERROR(ABS('01_설정'!B4-F2273),"")</f>
        <v/>
      </c>
      <c r="U2273" s="152">
        <f>IFERROR(ABS(K2273-YEAR('02_대상물건입력'!B14)),"")</f>
        <v/>
      </c>
      <c r="V2273" s="152">
        <f>IF(B2273="","",IF(AND(E2273&gt;0,F2273&gt;0,H2273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2273=1,TRUE()),R2273&lt;='01_설정'!B5,S2273&lt;='01_설정'!B6,T2273&lt;='01_설정'!B7,U2273&lt;='01_설정'!B8),"Y",""))</f>
        <v/>
      </c>
      <c r="W2273" s="172">
        <f>IF(V2273&lt;&gt;"Y","",MAX(0,(1-R2273/'01_설정'!B5))*'01_설정'!B14+MAX(0,(1-S2273/'01_설정'!B6))*'01_설정'!B15+MAX(0,(1-T2273/'01_설정'!B7))*'01_설정'!B16+MAX(0,(1-U2273/'01_설정'!B8))*'01_설정'!B17+O2273*'01_설정'!B11+Q2273*'01_설정'!B12+P2273*'01_설정'!B13+IF(Z2273="",0,Z2273))</f>
        <v/>
      </c>
      <c r="X2273" s="152">
        <f>IF(W2273="","",1+COUNTIFS($W$4:$W$3003,"&gt;"&amp;W2273)+COUNTIFS($W$4:W2273,W2273)-1)</f>
        <v/>
      </c>
      <c r="Y2273" s="175">
        <f>IF(OR(I2273="",'02_대상물건입력'!B19="",'02_대상물건입력'!B19&lt;=0),"",ABS(I2273-'02_대상물건입력'!B19)/'02_대상물건입력'!B19)</f>
        <v/>
      </c>
      <c r="Z2273" s="172">
        <f>IF(OR(Y2273="",'01_설정'!B31="",'01_설정'!B31&lt;=0,'01_설정'!B32="",'01_설정'!B32&lt;=0),"",MAX(0,(1-Y2273/'01_설정'!B32))*'01_설정'!B31)</f>
        <v/>
      </c>
    </row>
    <row r="2274" ht="17.25" customHeight="1">
      <c r="A2274" s="152">
        <f>IF(INDEX('04A_국토부원자료'!$A:$A,ROW()+1)="","",ROW()-3)</f>
        <v/>
      </c>
      <c r="B2274" s="48">
        <f>IFERROR(INDEX('04A_국토부원자료'!$A:$T,ROW()+1,MATCH("시군구",'04A_국토부원자료'!$A$4:$T$4,0)),"")</f>
        <v/>
      </c>
      <c r="C2274" s="48">
        <f>IF(B2274="","",IFERROR(INDEX('04A_국토부원자료'!$A:$T,ROW()+1,MATCH("번지",'04A_국토부원자료'!$A$4:$T$4,0)),""))</f>
        <v/>
      </c>
      <c r="D2274" s="48">
        <f>IF(B2274="","",IF(Q2274=1,'02_대상물건입력'!$B$8,IFERROR(INDEX('04A_국토부원자료'!$A:$T,ROW()+1,MATCH("단지명",'04A_국토부원자료'!$A$4:$T$4,0)),"")))</f>
        <v/>
      </c>
      <c r="E2274" s="172">
        <f>IFERROR(VALUE(SUBSTITUTE(INDEX('04A_국토부원자료'!$A:$T,ROW()+1,MATCH("전용면적(㎡)",'04A_국토부원자료'!$A$4:$T$4,0)),",","")),"")</f>
        <v/>
      </c>
      <c r="F22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74" s="51">
        <f>IFERROR(VALUE(SUBSTITUTE(INDEX('04A_국토부원자료'!$A:$T,ROW()+1,MATCH("거래금액(만원)",'04A_국토부원자료'!$A$4:$T$4,0)),",","")),"")</f>
        <v/>
      </c>
      <c r="H2274" s="174">
        <f>IF(G2274="","",G2274*10000)</f>
        <v/>
      </c>
      <c r="I2274" s="174">
        <f>IFERROR(IF(AND(H2274&gt;0,E2274&gt;0),H2274/E2274,""),"")</f>
        <v/>
      </c>
      <c r="J2274" s="152">
        <f>IFERROR(VALUE(SUBSTITUTE(INDEX('04A_국토부원자료'!$A:$T,ROW()+1,MATCH("층",'04A_국토부원자료'!$A$4:$T$4,0)),",","")),"")</f>
        <v/>
      </c>
      <c r="K2274" s="152">
        <f>IFERROR(VALUE(SUBSTITUTE(INDEX('04A_국토부원자료'!$A:$T,ROW()+1,MATCH("건축년도",'04A_국토부원자료'!$A$4:$T$4,0)),",","")),"")</f>
        <v/>
      </c>
      <c r="L2274" s="48">
        <f>IFERROR(INDEX('04A_국토부원자료'!$A:$T,ROW()+1,MATCH("도로명",'04A_국토부원자료'!$A$4:$T$4,0)),"")</f>
        <v/>
      </c>
      <c r="M2274" s="48">
        <f>IFERROR(INDEX('04A_국토부원자료'!$A:$T,ROW()+1,MATCH("거래유형",'04A_국토부원자료'!$A$4:$T$4,0)),"")</f>
        <v/>
      </c>
      <c r="N2274" s="152">
        <f>IF(B2274="","",IF('02_대상물건입력'!B5="",1,IF(ISNUMBER(SEARCH('02_대상물건입력'!B5,B2274)),1,0)))</f>
        <v/>
      </c>
      <c r="O2274" s="152">
        <f>IF(B2274="","",IF('02_대상물건입력'!B6="",1,IF(ISNUMBER(SEARCH('02_대상물건입력'!B6,B2274)),1,0)))</f>
        <v/>
      </c>
      <c r="P2274" s="152">
        <f>IF(L2274="","",IF('02_대상물건입력'!B15="",0,IF(ISNUMBER(SEARCH('02_대상물건입력'!B15,L2274)),1,0)))</f>
        <v/>
      </c>
      <c r="Q2274" s="152">
        <f>IF(OR(C2274="",L2274=""),0,IF(AND(TRIM(C2274)=TRIM(RIGHT(SUBSTITUTE(TRIM('02_대상물건입력'!$B$7)," ",REPT(" ",99)),99)),IF('02_대상물건입력'!B15="",TRUE(),ISNUMBER(SEARCH('02_대상물건입력'!B15,L2274)))),1,0))</f>
        <v/>
      </c>
      <c r="R2274" s="175">
        <f>IFERROR(ABS(E2274-'02_대상물건입력'!B11)/'02_대상물건입력'!B11,"")</f>
        <v/>
      </c>
      <c r="S2274" s="152">
        <f>IFERROR(ABS(J2274-'02_대상물건입력'!B10),"")</f>
        <v/>
      </c>
      <c r="T2274" s="152">
        <f>IFERROR(ABS('01_설정'!B4-F2274),"")</f>
        <v/>
      </c>
      <c r="U2274" s="152">
        <f>IFERROR(ABS(K2274-YEAR('02_대상물건입력'!B14)),"")</f>
        <v/>
      </c>
      <c r="V2274" s="152">
        <f>IF(B2274="","",IF(AND(E2274&gt;0,F2274&gt;0,H2274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2274=1,TRUE()),R2274&lt;='01_설정'!B5,S2274&lt;='01_설정'!B6,T2274&lt;='01_설정'!B7,U2274&lt;='01_설정'!B8),"Y",""))</f>
        <v/>
      </c>
      <c r="W2274" s="172">
        <f>IF(V2274&lt;&gt;"Y","",MAX(0,(1-R2274/'01_설정'!B5))*'01_설정'!B14+MAX(0,(1-S2274/'01_설정'!B6))*'01_설정'!B15+MAX(0,(1-T2274/'01_설정'!B7))*'01_설정'!B16+MAX(0,(1-U2274/'01_설정'!B8))*'01_설정'!B17+O2274*'01_설정'!B11+Q2274*'01_설정'!B12+P2274*'01_설정'!B13+IF(Z2274="",0,Z2274))</f>
        <v/>
      </c>
      <c r="X2274" s="152">
        <f>IF(W2274="","",1+COUNTIFS($W$4:$W$3003,"&gt;"&amp;W2274)+COUNTIFS($W$4:W2274,W2274)-1)</f>
        <v/>
      </c>
      <c r="Y2274" s="175">
        <f>IF(OR(I2274="",'02_대상물건입력'!B19="",'02_대상물건입력'!B19&lt;=0),"",ABS(I2274-'02_대상물건입력'!B19)/'02_대상물건입력'!B19)</f>
        <v/>
      </c>
      <c r="Z2274" s="172">
        <f>IF(OR(Y2274="",'01_설정'!B31="",'01_설정'!B31&lt;=0,'01_설정'!B32="",'01_설정'!B32&lt;=0),"",MAX(0,(1-Y2274/'01_설정'!B32))*'01_설정'!B31)</f>
        <v/>
      </c>
    </row>
    <row r="2275" ht="17.25" customHeight="1">
      <c r="A2275" s="152">
        <f>IF(INDEX('04A_국토부원자료'!$A:$A,ROW()+1)="","",ROW()-3)</f>
        <v/>
      </c>
      <c r="B2275" s="48">
        <f>IFERROR(INDEX('04A_국토부원자료'!$A:$T,ROW()+1,MATCH("시군구",'04A_국토부원자료'!$A$4:$T$4,0)),"")</f>
        <v/>
      </c>
      <c r="C2275" s="48">
        <f>IF(B2275="","",IFERROR(INDEX('04A_국토부원자료'!$A:$T,ROW()+1,MATCH("번지",'04A_국토부원자료'!$A$4:$T$4,0)),""))</f>
        <v/>
      </c>
      <c r="D2275" s="48">
        <f>IF(B2275="","",IF(Q2275=1,'02_대상물건입력'!$B$8,IFERROR(INDEX('04A_국토부원자료'!$A:$T,ROW()+1,MATCH("단지명",'04A_국토부원자료'!$A$4:$T$4,0)),"")))</f>
        <v/>
      </c>
      <c r="E2275" s="172">
        <f>IFERROR(VALUE(SUBSTITUTE(INDEX('04A_국토부원자료'!$A:$T,ROW()+1,MATCH("전용면적(㎡)",'04A_국토부원자료'!$A$4:$T$4,0)),",","")),"")</f>
        <v/>
      </c>
      <c r="F22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75" s="51">
        <f>IFERROR(VALUE(SUBSTITUTE(INDEX('04A_국토부원자료'!$A:$T,ROW()+1,MATCH("거래금액(만원)",'04A_국토부원자료'!$A$4:$T$4,0)),",","")),"")</f>
        <v/>
      </c>
      <c r="H2275" s="174">
        <f>IF(G2275="","",G2275*10000)</f>
        <v/>
      </c>
      <c r="I2275" s="174">
        <f>IFERROR(IF(AND(H2275&gt;0,E2275&gt;0),H2275/E2275,""),"")</f>
        <v/>
      </c>
      <c r="J2275" s="152">
        <f>IFERROR(VALUE(SUBSTITUTE(INDEX('04A_국토부원자료'!$A:$T,ROW()+1,MATCH("층",'04A_국토부원자료'!$A$4:$T$4,0)),",","")),"")</f>
        <v/>
      </c>
      <c r="K2275" s="152">
        <f>IFERROR(VALUE(SUBSTITUTE(INDEX('04A_국토부원자료'!$A:$T,ROW()+1,MATCH("건축년도",'04A_국토부원자료'!$A$4:$T$4,0)),",","")),"")</f>
        <v/>
      </c>
      <c r="L2275" s="48">
        <f>IFERROR(INDEX('04A_국토부원자료'!$A:$T,ROW()+1,MATCH("도로명",'04A_국토부원자료'!$A$4:$T$4,0)),"")</f>
        <v/>
      </c>
      <c r="M2275" s="48">
        <f>IFERROR(INDEX('04A_국토부원자료'!$A:$T,ROW()+1,MATCH("거래유형",'04A_국토부원자료'!$A$4:$T$4,0)),"")</f>
        <v/>
      </c>
      <c r="N2275" s="152">
        <f>IF(B2275="","",IF('02_대상물건입력'!B5="",1,IF(ISNUMBER(SEARCH('02_대상물건입력'!B5,B2275)),1,0)))</f>
        <v/>
      </c>
      <c r="O2275" s="152">
        <f>IF(B2275="","",IF('02_대상물건입력'!B6="",1,IF(ISNUMBER(SEARCH('02_대상물건입력'!B6,B2275)),1,0)))</f>
        <v/>
      </c>
      <c r="P2275" s="152">
        <f>IF(L2275="","",IF('02_대상물건입력'!B15="",0,IF(ISNUMBER(SEARCH('02_대상물건입력'!B15,L2275)),1,0)))</f>
        <v/>
      </c>
      <c r="Q2275" s="152">
        <f>IF(OR(C2275="",L2275=""),0,IF(AND(TRIM(C2275)=TRIM(RIGHT(SUBSTITUTE(TRIM('02_대상물건입력'!$B$7)," ",REPT(" ",99)),99)),IF('02_대상물건입력'!B15="",TRUE(),ISNUMBER(SEARCH('02_대상물건입력'!B15,L2275)))),1,0))</f>
        <v/>
      </c>
      <c r="R2275" s="175">
        <f>IFERROR(ABS(E2275-'02_대상물건입력'!B11)/'02_대상물건입력'!B11,"")</f>
        <v/>
      </c>
      <c r="S2275" s="152">
        <f>IFERROR(ABS(J2275-'02_대상물건입력'!B10),"")</f>
        <v/>
      </c>
      <c r="T2275" s="152">
        <f>IFERROR(ABS('01_설정'!B4-F2275),"")</f>
        <v/>
      </c>
      <c r="U2275" s="152">
        <f>IFERROR(ABS(K2275-YEAR('02_대상물건입력'!B14)),"")</f>
        <v/>
      </c>
      <c r="V2275" s="152">
        <f>IF(B2275="","",IF(AND(E2275&gt;0,F2275&gt;0,H2275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2275=1,TRUE()),R2275&lt;='01_설정'!B5,S2275&lt;='01_설정'!B6,T2275&lt;='01_설정'!B7,U2275&lt;='01_설정'!B8),"Y",""))</f>
        <v/>
      </c>
      <c r="W2275" s="172">
        <f>IF(V2275&lt;&gt;"Y","",MAX(0,(1-R2275/'01_설정'!B5))*'01_설정'!B14+MAX(0,(1-S2275/'01_설정'!B6))*'01_설정'!B15+MAX(0,(1-T2275/'01_설정'!B7))*'01_설정'!B16+MAX(0,(1-U2275/'01_설정'!B8))*'01_설정'!B17+O2275*'01_설정'!B11+Q2275*'01_설정'!B12+P2275*'01_설정'!B13+IF(Z2275="",0,Z2275))</f>
        <v/>
      </c>
      <c r="X2275" s="152">
        <f>IF(W2275="","",1+COUNTIFS($W$4:$W$3003,"&gt;"&amp;W2275)+COUNTIFS($W$4:W2275,W2275)-1)</f>
        <v/>
      </c>
      <c r="Y2275" s="175">
        <f>IF(OR(I2275="",'02_대상물건입력'!B19="",'02_대상물건입력'!B19&lt;=0),"",ABS(I2275-'02_대상물건입력'!B19)/'02_대상물건입력'!B19)</f>
        <v/>
      </c>
      <c r="Z2275" s="172">
        <f>IF(OR(Y2275="",'01_설정'!B31="",'01_설정'!B31&lt;=0,'01_설정'!B32="",'01_설정'!B32&lt;=0),"",MAX(0,(1-Y2275/'01_설정'!B32))*'01_설정'!B31)</f>
        <v/>
      </c>
    </row>
    <row r="2276" ht="17.25" customHeight="1">
      <c r="A2276" s="152">
        <f>IF(INDEX('04A_국토부원자료'!$A:$A,ROW()+1)="","",ROW()-3)</f>
        <v/>
      </c>
      <c r="B2276" s="48">
        <f>IFERROR(INDEX('04A_국토부원자료'!$A:$T,ROW()+1,MATCH("시군구",'04A_국토부원자료'!$A$4:$T$4,0)),"")</f>
        <v/>
      </c>
      <c r="C2276" s="48">
        <f>IF(B2276="","",IFERROR(INDEX('04A_국토부원자료'!$A:$T,ROW()+1,MATCH("번지",'04A_국토부원자료'!$A$4:$T$4,0)),""))</f>
        <v/>
      </c>
      <c r="D2276" s="48">
        <f>IF(B2276="","",IF(Q2276=1,'02_대상물건입력'!$B$8,IFERROR(INDEX('04A_국토부원자료'!$A:$T,ROW()+1,MATCH("단지명",'04A_국토부원자료'!$A$4:$T$4,0)),"")))</f>
        <v/>
      </c>
      <c r="E2276" s="172">
        <f>IFERROR(VALUE(SUBSTITUTE(INDEX('04A_국토부원자료'!$A:$T,ROW()+1,MATCH("전용면적(㎡)",'04A_국토부원자료'!$A$4:$T$4,0)),",","")),"")</f>
        <v/>
      </c>
      <c r="F22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76" s="51">
        <f>IFERROR(VALUE(SUBSTITUTE(INDEX('04A_국토부원자료'!$A:$T,ROW()+1,MATCH("거래금액(만원)",'04A_국토부원자료'!$A$4:$T$4,0)),",","")),"")</f>
        <v/>
      </c>
      <c r="H2276" s="174">
        <f>IF(G2276="","",G2276*10000)</f>
        <v/>
      </c>
      <c r="I2276" s="174">
        <f>IFERROR(IF(AND(H2276&gt;0,E2276&gt;0),H2276/E2276,""),"")</f>
        <v/>
      </c>
      <c r="J2276" s="152">
        <f>IFERROR(VALUE(SUBSTITUTE(INDEX('04A_국토부원자료'!$A:$T,ROW()+1,MATCH("층",'04A_국토부원자료'!$A$4:$T$4,0)),",","")),"")</f>
        <v/>
      </c>
      <c r="K2276" s="152">
        <f>IFERROR(VALUE(SUBSTITUTE(INDEX('04A_국토부원자료'!$A:$T,ROW()+1,MATCH("건축년도",'04A_국토부원자료'!$A$4:$T$4,0)),",","")),"")</f>
        <v/>
      </c>
      <c r="L2276" s="48">
        <f>IFERROR(INDEX('04A_국토부원자료'!$A:$T,ROW()+1,MATCH("도로명",'04A_국토부원자료'!$A$4:$T$4,0)),"")</f>
        <v/>
      </c>
      <c r="M2276" s="48">
        <f>IFERROR(INDEX('04A_국토부원자료'!$A:$T,ROW()+1,MATCH("거래유형",'04A_국토부원자료'!$A$4:$T$4,0)),"")</f>
        <v/>
      </c>
      <c r="N2276" s="152">
        <f>IF(B2276="","",IF('02_대상물건입력'!B5="",1,IF(ISNUMBER(SEARCH('02_대상물건입력'!B5,B2276)),1,0)))</f>
        <v/>
      </c>
      <c r="O2276" s="152">
        <f>IF(B2276="","",IF('02_대상물건입력'!B6="",1,IF(ISNUMBER(SEARCH('02_대상물건입력'!B6,B2276)),1,0)))</f>
        <v/>
      </c>
      <c r="P2276" s="152">
        <f>IF(L2276="","",IF('02_대상물건입력'!B15="",0,IF(ISNUMBER(SEARCH('02_대상물건입력'!B15,L2276)),1,0)))</f>
        <v/>
      </c>
      <c r="Q2276" s="152">
        <f>IF(OR(C2276="",L2276=""),0,IF(AND(TRIM(C2276)=TRIM(RIGHT(SUBSTITUTE(TRIM('02_대상물건입력'!$B$7)," ",REPT(" ",99)),99)),IF('02_대상물건입력'!B15="",TRUE(),ISNUMBER(SEARCH('02_대상물건입력'!B15,L2276)))),1,0))</f>
        <v/>
      </c>
      <c r="R2276" s="175">
        <f>IFERROR(ABS(E2276-'02_대상물건입력'!B11)/'02_대상물건입력'!B11,"")</f>
        <v/>
      </c>
      <c r="S2276" s="152">
        <f>IFERROR(ABS(J2276-'02_대상물건입력'!B10),"")</f>
        <v/>
      </c>
      <c r="T2276" s="152">
        <f>IFERROR(ABS('01_설정'!B4-F2276),"")</f>
        <v/>
      </c>
      <c r="U2276" s="152">
        <f>IFERROR(ABS(K2276-YEAR('02_대상물건입력'!B14)),"")</f>
        <v/>
      </c>
      <c r="V2276" s="152">
        <f>IF(B2276="","",IF(AND(E2276&gt;0,F2276&gt;0,H2276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2276=1,TRUE()),R2276&lt;='01_설정'!B5,S2276&lt;='01_설정'!B6,T2276&lt;='01_설정'!B7,U2276&lt;='01_설정'!B8),"Y",""))</f>
        <v/>
      </c>
      <c r="W2276" s="172">
        <f>IF(V2276&lt;&gt;"Y","",MAX(0,(1-R2276/'01_설정'!B5))*'01_설정'!B14+MAX(0,(1-S2276/'01_설정'!B6))*'01_설정'!B15+MAX(0,(1-T2276/'01_설정'!B7))*'01_설정'!B16+MAX(0,(1-U2276/'01_설정'!B8))*'01_설정'!B17+O2276*'01_설정'!B11+Q2276*'01_설정'!B12+P2276*'01_설정'!B13+IF(Z2276="",0,Z2276))</f>
        <v/>
      </c>
      <c r="X2276" s="152">
        <f>IF(W2276="","",1+COUNTIFS($W$4:$W$3003,"&gt;"&amp;W2276)+COUNTIFS($W$4:W2276,W2276)-1)</f>
        <v/>
      </c>
      <c r="Y2276" s="175">
        <f>IF(OR(I2276="",'02_대상물건입력'!B19="",'02_대상물건입력'!B19&lt;=0),"",ABS(I2276-'02_대상물건입력'!B19)/'02_대상물건입력'!B19)</f>
        <v/>
      </c>
      <c r="Z2276" s="172">
        <f>IF(OR(Y2276="",'01_설정'!B31="",'01_설정'!B31&lt;=0,'01_설정'!B32="",'01_설정'!B32&lt;=0),"",MAX(0,(1-Y2276/'01_설정'!B32))*'01_설정'!B31)</f>
        <v/>
      </c>
    </row>
    <row r="2277" ht="17.25" customHeight="1">
      <c r="A2277" s="152">
        <f>IF(INDEX('04A_국토부원자료'!$A:$A,ROW()+1)="","",ROW()-3)</f>
        <v/>
      </c>
      <c r="B2277" s="48">
        <f>IFERROR(INDEX('04A_국토부원자료'!$A:$T,ROW()+1,MATCH("시군구",'04A_국토부원자료'!$A$4:$T$4,0)),"")</f>
        <v/>
      </c>
      <c r="C2277" s="48">
        <f>IF(B2277="","",IFERROR(INDEX('04A_국토부원자료'!$A:$T,ROW()+1,MATCH("번지",'04A_국토부원자료'!$A$4:$T$4,0)),""))</f>
        <v/>
      </c>
      <c r="D2277" s="48">
        <f>IF(B2277="","",IF(Q2277=1,'02_대상물건입력'!$B$8,IFERROR(INDEX('04A_국토부원자료'!$A:$T,ROW()+1,MATCH("단지명",'04A_국토부원자료'!$A$4:$T$4,0)),"")))</f>
        <v/>
      </c>
      <c r="E2277" s="172">
        <f>IFERROR(VALUE(SUBSTITUTE(INDEX('04A_국토부원자료'!$A:$T,ROW()+1,MATCH("전용면적(㎡)",'04A_국토부원자료'!$A$4:$T$4,0)),",","")),"")</f>
        <v/>
      </c>
      <c r="F22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77" s="51">
        <f>IFERROR(VALUE(SUBSTITUTE(INDEX('04A_국토부원자료'!$A:$T,ROW()+1,MATCH("거래금액(만원)",'04A_국토부원자료'!$A$4:$T$4,0)),",","")),"")</f>
        <v/>
      </c>
      <c r="H2277" s="174">
        <f>IF(G2277="","",G2277*10000)</f>
        <v/>
      </c>
      <c r="I2277" s="174">
        <f>IFERROR(IF(AND(H2277&gt;0,E2277&gt;0),H2277/E2277,""),"")</f>
        <v/>
      </c>
      <c r="J2277" s="152">
        <f>IFERROR(VALUE(SUBSTITUTE(INDEX('04A_국토부원자료'!$A:$T,ROW()+1,MATCH("층",'04A_국토부원자료'!$A$4:$T$4,0)),",","")),"")</f>
        <v/>
      </c>
      <c r="K2277" s="152">
        <f>IFERROR(VALUE(SUBSTITUTE(INDEX('04A_국토부원자료'!$A:$T,ROW()+1,MATCH("건축년도",'04A_국토부원자료'!$A$4:$T$4,0)),",","")),"")</f>
        <v/>
      </c>
      <c r="L2277" s="48">
        <f>IFERROR(INDEX('04A_국토부원자료'!$A:$T,ROW()+1,MATCH("도로명",'04A_국토부원자료'!$A$4:$T$4,0)),"")</f>
        <v/>
      </c>
      <c r="M2277" s="48">
        <f>IFERROR(INDEX('04A_국토부원자료'!$A:$T,ROW()+1,MATCH("거래유형",'04A_국토부원자료'!$A$4:$T$4,0)),"")</f>
        <v/>
      </c>
      <c r="N2277" s="152">
        <f>IF(B2277="","",IF('02_대상물건입력'!B5="",1,IF(ISNUMBER(SEARCH('02_대상물건입력'!B5,B2277)),1,0)))</f>
        <v/>
      </c>
      <c r="O2277" s="152">
        <f>IF(B2277="","",IF('02_대상물건입력'!B6="",1,IF(ISNUMBER(SEARCH('02_대상물건입력'!B6,B2277)),1,0)))</f>
        <v/>
      </c>
      <c r="P2277" s="152">
        <f>IF(L2277="","",IF('02_대상물건입력'!B15="",0,IF(ISNUMBER(SEARCH('02_대상물건입력'!B15,L2277)),1,0)))</f>
        <v/>
      </c>
      <c r="Q2277" s="152">
        <f>IF(OR(C2277="",L2277=""),0,IF(AND(TRIM(C2277)=TRIM(RIGHT(SUBSTITUTE(TRIM('02_대상물건입력'!$B$7)," ",REPT(" ",99)),99)),IF('02_대상물건입력'!B15="",TRUE(),ISNUMBER(SEARCH('02_대상물건입력'!B15,L2277)))),1,0))</f>
        <v/>
      </c>
      <c r="R2277" s="175">
        <f>IFERROR(ABS(E2277-'02_대상물건입력'!B11)/'02_대상물건입력'!B11,"")</f>
        <v/>
      </c>
      <c r="S2277" s="152">
        <f>IFERROR(ABS(J2277-'02_대상물건입력'!B10),"")</f>
        <v/>
      </c>
      <c r="T2277" s="152">
        <f>IFERROR(ABS('01_설정'!B4-F2277),"")</f>
        <v/>
      </c>
      <c r="U2277" s="152">
        <f>IFERROR(ABS(K2277-YEAR('02_대상물건입력'!B14)),"")</f>
        <v/>
      </c>
      <c r="V2277" s="152">
        <f>IF(B2277="","",IF(AND(E2277&gt;0,F2277&gt;0,H2277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2277=1,TRUE()),R2277&lt;='01_설정'!B5,S2277&lt;='01_설정'!B6,T2277&lt;='01_설정'!B7,U2277&lt;='01_설정'!B8),"Y",""))</f>
        <v/>
      </c>
      <c r="W2277" s="172">
        <f>IF(V2277&lt;&gt;"Y","",MAX(0,(1-R2277/'01_설정'!B5))*'01_설정'!B14+MAX(0,(1-S2277/'01_설정'!B6))*'01_설정'!B15+MAX(0,(1-T2277/'01_설정'!B7))*'01_설정'!B16+MAX(0,(1-U2277/'01_설정'!B8))*'01_설정'!B17+O2277*'01_설정'!B11+Q2277*'01_설정'!B12+P2277*'01_설정'!B13+IF(Z2277="",0,Z2277))</f>
        <v/>
      </c>
      <c r="X2277" s="152">
        <f>IF(W2277="","",1+COUNTIFS($W$4:$W$3003,"&gt;"&amp;W2277)+COUNTIFS($W$4:W2277,W2277)-1)</f>
        <v/>
      </c>
      <c r="Y2277" s="175">
        <f>IF(OR(I2277="",'02_대상물건입력'!B19="",'02_대상물건입력'!B19&lt;=0),"",ABS(I2277-'02_대상물건입력'!B19)/'02_대상물건입력'!B19)</f>
        <v/>
      </c>
      <c r="Z2277" s="172">
        <f>IF(OR(Y2277="",'01_설정'!B31="",'01_설정'!B31&lt;=0,'01_설정'!B32="",'01_설정'!B32&lt;=0),"",MAX(0,(1-Y2277/'01_설정'!B32))*'01_설정'!B31)</f>
        <v/>
      </c>
    </row>
    <row r="2278" ht="17.25" customHeight="1">
      <c r="A2278" s="152">
        <f>IF(INDEX('04A_국토부원자료'!$A:$A,ROW()+1)="","",ROW()-3)</f>
        <v/>
      </c>
      <c r="B2278" s="48">
        <f>IFERROR(INDEX('04A_국토부원자료'!$A:$T,ROW()+1,MATCH("시군구",'04A_국토부원자료'!$A$4:$T$4,0)),"")</f>
        <v/>
      </c>
      <c r="C2278" s="48">
        <f>IF(B2278="","",IFERROR(INDEX('04A_국토부원자료'!$A:$T,ROW()+1,MATCH("번지",'04A_국토부원자료'!$A$4:$T$4,0)),""))</f>
        <v/>
      </c>
      <c r="D2278" s="48">
        <f>IF(B2278="","",IF(Q2278=1,'02_대상물건입력'!$B$8,IFERROR(INDEX('04A_국토부원자료'!$A:$T,ROW()+1,MATCH("단지명",'04A_국토부원자료'!$A$4:$T$4,0)),"")))</f>
        <v/>
      </c>
      <c r="E2278" s="172">
        <f>IFERROR(VALUE(SUBSTITUTE(INDEX('04A_국토부원자료'!$A:$T,ROW()+1,MATCH("전용면적(㎡)",'04A_국토부원자료'!$A$4:$T$4,0)),",","")),"")</f>
        <v/>
      </c>
      <c r="F22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78" s="51">
        <f>IFERROR(VALUE(SUBSTITUTE(INDEX('04A_국토부원자료'!$A:$T,ROW()+1,MATCH("거래금액(만원)",'04A_국토부원자료'!$A$4:$T$4,0)),",","")),"")</f>
        <v/>
      </c>
      <c r="H2278" s="174">
        <f>IF(G2278="","",G2278*10000)</f>
        <v/>
      </c>
      <c r="I2278" s="174">
        <f>IFERROR(IF(AND(H2278&gt;0,E2278&gt;0),H2278/E2278,""),"")</f>
        <v/>
      </c>
      <c r="J2278" s="152">
        <f>IFERROR(VALUE(SUBSTITUTE(INDEX('04A_국토부원자료'!$A:$T,ROW()+1,MATCH("층",'04A_국토부원자료'!$A$4:$T$4,0)),",","")),"")</f>
        <v/>
      </c>
      <c r="K2278" s="152">
        <f>IFERROR(VALUE(SUBSTITUTE(INDEX('04A_국토부원자료'!$A:$T,ROW()+1,MATCH("건축년도",'04A_국토부원자료'!$A$4:$T$4,0)),",","")),"")</f>
        <v/>
      </c>
      <c r="L2278" s="48">
        <f>IFERROR(INDEX('04A_국토부원자료'!$A:$T,ROW()+1,MATCH("도로명",'04A_국토부원자료'!$A$4:$T$4,0)),"")</f>
        <v/>
      </c>
      <c r="M2278" s="48">
        <f>IFERROR(INDEX('04A_국토부원자료'!$A:$T,ROW()+1,MATCH("거래유형",'04A_국토부원자료'!$A$4:$T$4,0)),"")</f>
        <v/>
      </c>
      <c r="N2278" s="152">
        <f>IF(B2278="","",IF('02_대상물건입력'!B5="",1,IF(ISNUMBER(SEARCH('02_대상물건입력'!B5,B2278)),1,0)))</f>
        <v/>
      </c>
      <c r="O2278" s="152">
        <f>IF(B2278="","",IF('02_대상물건입력'!B6="",1,IF(ISNUMBER(SEARCH('02_대상물건입력'!B6,B2278)),1,0)))</f>
        <v/>
      </c>
      <c r="P2278" s="152">
        <f>IF(L2278="","",IF('02_대상물건입력'!B15="",0,IF(ISNUMBER(SEARCH('02_대상물건입력'!B15,L2278)),1,0)))</f>
        <v/>
      </c>
      <c r="Q2278" s="152">
        <f>IF(OR(C2278="",L2278=""),0,IF(AND(TRIM(C2278)=TRIM(RIGHT(SUBSTITUTE(TRIM('02_대상물건입력'!$B$7)," ",REPT(" ",99)),99)),IF('02_대상물건입력'!B15="",TRUE(),ISNUMBER(SEARCH('02_대상물건입력'!B15,L2278)))),1,0))</f>
        <v/>
      </c>
      <c r="R2278" s="175">
        <f>IFERROR(ABS(E2278-'02_대상물건입력'!B11)/'02_대상물건입력'!B11,"")</f>
        <v/>
      </c>
      <c r="S2278" s="152">
        <f>IFERROR(ABS(J2278-'02_대상물건입력'!B10),"")</f>
        <v/>
      </c>
      <c r="T2278" s="152">
        <f>IFERROR(ABS('01_설정'!B4-F2278),"")</f>
        <v/>
      </c>
      <c r="U2278" s="152">
        <f>IFERROR(ABS(K2278-YEAR('02_대상물건입력'!B14)),"")</f>
        <v/>
      </c>
      <c r="V2278" s="152">
        <f>IF(B2278="","",IF(AND(E2278&gt;0,F2278&gt;0,H2278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2278=1,TRUE()),R2278&lt;='01_설정'!B5,S2278&lt;='01_설정'!B6,T2278&lt;='01_설정'!B7,U2278&lt;='01_설정'!B8),"Y",""))</f>
        <v/>
      </c>
      <c r="W2278" s="172">
        <f>IF(V2278&lt;&gt;"Y","",MAX(0,(1-R2278/'01_설정'!B5))*'01_설정'!B14+MAX(0,(1-S2278/'01_설정'!B6))*'01_설정'!B15+MAX(0,(1-T2278/'01_설정'!B7))*'01_설정'!B16+MAX(0,(1-U2278/'01_설정'!B8))*'01_설정'!B17+O2278*'01_설정'!B11+Q2278*'01_설정'!B12+P2278*'01_설정'!B13+IF(Z2278="",0,Z2278))</f>
        <v/>
      </c>
      <c r="X2278" s="152">
        <f>IF(W2278="","",1+COUNTIFS($W$4:$W$3003,"&gt;"&amp;W2278)+COUNTIFS($W$4:W2278,W2278)-1)</f>
        <v/>
      </c>
      <c r="Y2278" s="175">
        <f>IF(OR(I2278="",'02_대상물건입력'!B19="",'02_대상물건입력'!B19&lt;=0),"",ABS(I2278-'02_대상물건입력'!B19)/'02_대상물건입력'!B19)</f>
        <v/>
      </c>
      <c r="Z2278" s="172">
        <f>IF(OR(Y2278="",'01_설정'!B31="",'01_설정'!B31&lt;=0,'01_설정'!B32="",'01_설정'!B32&lt;=0),"",MAX(0,(1-Y2278/'01_설정'!B32))*'01_설정'!B31)</f>
        <v/>
      </c>
    </row>
    <row r="2279" ht="17.25" customHeight="1">
      <c r="A2279" s="152">
        <f>IF(INDEX('04A_국토부원자료'!$A:$A,ROW()+1)="","",ROW()-3)</f>
        <v/>
      </c>
      <c r="B2279" s="48">
        <f>IFERROR(INDEX('04A_국토부원자료'!$A:$T,ROW()+1,MATCH("시군구",'04A_국토부원자료'!$A$4:$T$4,0)),"")</f>
        <v/>
      </c>
      <c r="C2279" s="48">
        <f>IF(B2279="","",IFERROR(INDEX('04A_국토부원자료'!$A:$T,ROW()+1,MATCH("번지",'04A_국토부원자료'!$A$4:$T$4,0)),""))</f>
        <v/>
      </c>
      <c r="D2279" s="48">
        <f>IF(B2279="","",IF(Q2279=1,'02_대상물건입력'!$B$8,IFERROR(INDEX('04A_국토부원자료'!$A:$T,ROW()+1,MATCH("단지명",'04A_국토부원자료'!$A$4:$T$4,0)),"")))</f>
        <v/>
      </c>
      <c r="E2279" s="172">
        <f>IFERROR(VALUE(SUBSTITUTE(INDEX('04A_국토부원자료'!$A:$T,ROW()+1,MATCH("전용면적(㎡)",'04A_국토부원자료'!$A$4:$T$4,0)),",","")),"")</f>
        <v/>
      </c>
      <c r="F22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79" s="51">
        <f>IFERROR(VALUE(SUBSTITUTE(INDEX('04A_국토부원자료'!$A:$T,ROW()+1,MATCH("거래금액(만원)",'04A_국토부원자료'!$A$4:$T$4,0)),",","")),"")</f>
        <v/>
      </c>
      <c r="H2279" s="174">
        <f>IF(G2279="","",G2279*10000)</f>
        <v/>
      </c>
      <c r="I2279" s="174">
        <f>IFERROR(IF(AND(H2279&gt;0,E2279&gt;0),H2279/E2279,""),"")</f>
        <v/>
      </c>
      <c r="J2279" s="152">
        <f>IFERROR(VALUE(SUBSTITUTE(INDEX('04A_국토부원자료'!$A:$T,ROW()+1,MATCH("층",'04A_국토부원자료'!$A$4:$T$4,0)),",","")),"")</f>
        <v/>
      </c>
      <c r="K2279" s="152">
        <f>IFERROR(VALUE(SUBSTITUTE(INDEX('04A_국토부원자료'!$A:$T,ROW()+1,MATCH("건축년도",'04A_국토부원자료'!$A$4:$T$4,0)),",","")),"")</f>
        <v/>
      </c>
      <c r="L2279" s="48">
        <f>IFERROR(INDEX('04A_국토부원자료'!$A:$T,ROW()+1,MATCH("도로명",'04A_국토부원자료'!$A$4:$T$4,0)),"")</f>
        <v/>
      </c>
      <c r="M2279" s="48">
        <f>IFERROR(INDEX('04A_국토부원자료'!$A:$T,ROW()+1,MATCH("거래유형",'04A_국토부원자료'!$A$4:$T$4,0)),"")</f>
        <v/>
      </c>
      <c r="N2279" s="152">
        <f>IF(B2279="","",IF('02_대상물건입력'!B5="",1,IF(ISNUMBER(SEARCH('02_대상물건입력'!B5,B2279)),1,0)))</f>
        <v/>
      </c>
      <c r="O2279" s="152">
        <f>IF(B2279="","",IF('02_대상물건입력'!B6="",1,IF(ISNUMBER(SEARCH('02_대상물건입력'!B6,B2279)),1,0)))</f>
        <v/>
      </c>
      <c r="P2279" s="152">
        <f>IF(L2279="","",IF('02_대상물건입력'!B15="",0,IF(ISNUMBER(SEARCH('02_대상물건입력'!B15,L2279)),1,0)))</f>
        <v/>
      </c>
      <c r="Q2279" s="152">
        <f>IF(OR(C2279="",L2279=""),0,IF(AND(TRIM(C2279)=TRIM(RIGHT(SUBSTITUTE(TRIM('02_대상물건입력'!$B$7)," ",REPT(" ",99)),99)),IF('02_대상물건입력'!B15="",TRUE(),ISNUMBER(SEARCH('02_대상물건입력'!B15,L2279)))),1,0))</f>
        <v/>
      </c>
      <c r="R2279" s="175">
        <f>IFERROR(ABS(E2279-'02_대상물건입력'!B11)/'02_대상물건입력'!B11,"")</f>
        <v/>
      </c>
      <c r="S2279" s="152">
        <f>IFERROR(ABS(J2279-'02_대상물건입력'!B10),"")</f>
        <v/>
      </c>
      <c r="T2279" s="152">
        <f>IFERROR(ABS('01_설정'!B4-F2279),"")</f>
        <v/>
      </c>
      <c r="U2279" s="152">
        <f>IFERROR(ABS(K2279-YEAR('02_대상물건입력'!B14)),"")</f>
        <v/>
      </c>
      <c r="V2279" s="152">
        <f>IF(B2279="","",IF(AND(E2279&gt;0,F2279&gt;0,H2279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2279=1,TRUE()),R2279&lt;='01_설정'!B5,S2279&lt;='01_설정'!B6,T2279&lt;='01_설정'!B7,U2279&lt;='01_설정'!B8),"Y",""))</f>
        <v/>
      </c>
      <c r="W2279" s="172">
        <f>IF(V2279&lt;&gt;"Y","",MAX(0,(1-R2279/'01_설정'!B5))*'01_설정'!B14+MAX(0,(1-S2279/'01_설정'!B6))*'01_설정'!B15+MAX(0,(1-T2279/'01_설정'!B7))*'01_설정'!B16+MAX(0,(1-U2279/'01_설정'!B8))*'01_설정'!B17+O2279*'01_설정'!B11+Q2279*'01_설정'!B12+P2279*'01_설정'!B13+IF(Z2279="",0,Z2279))</f>
        <v/>
      </c>
      <c r="X2279" s="152">
        <f>IF(W2279="","",1+COUNTIFS($W$4:$W$3003,"&gt;"&amp;W2279)+COUNTIFS($W$4:W2279,W2279)-1)</f>
        <v/>
      </c>
      <c r="Y2279" s="175">
        <f>IF(OR(I2279="",'02_대상물건입력'!B19="",'02_대상물건입력'!B19&lt;=0),"",ABS(I2279-'02_대상물건입력'!B19)/'02_대상물건입력'!B19)</f>
        <v/>
      </c>
      <c r="Z2279" s="172">
        <f>IF(OR(Y2279="",'01_설정'!B31="",'01_설정'!B31&lt;=0,'01_설정'!B32="",'01_설정'!B32&lt;=0),"",MAX(0,(1-Y2279/'01_설정'!B32))*'01_설정'!B31)</f>
        <v/>
      </c>
    </row>
    <row r="2280" ht="17.25" customHeight="1">
      <c r="A2280" s="152">
        <f>IF(INDEX('04A_국토부원자료'!$A:$A,ROW()+1)="","",ROW()-3)</f>
        <v/>
      </c>
      <c r="B2280" s="48">
        <f>IFERROR(INDEX('04A_국토부원자료'!$A:$T,ROW()+1,MATCH("시군구",'04A_국토부원자료'!$A$4:$T$4,0)),"")</f>
        <v/>
      </c>
      <c r="C2280" s="48">
        <f>IF(B2280="","",IFERROR(INDEX('04A_국토부원자료'!$A:$T,ROW()+1,MATCH("번지",'04A_국토부원자료'!$A$4:$T$4,0)),""))</f>
        <v/>
      </c>
      <c r="D2280" s="48">
        <f>IF(B2280="","",IF(Q2280=1,'02_대상물건입력'!$B$8,IFERROR(INDEX('04A_국토부원자료'!$A:$T,ROW()+1,MATCH("단지명",'04A_국토부원자료'!$A$4:$T$4,0)),"")))</f>
        <v/>
      </c>
      <c r="E2280" s="172">
        <f>IFERROR(VALUE(SUBSTITUTE(INDEX('04A_국토부원자료'!$A:$T,ROW()+1,MATCH("전용면적(㎡)",'04A_국토부원자료'!$A$4:$T$4,0)),",","")),"")</f>
        <v/>
      </c>
      <c r="F22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80" s="51">
        <f>IFERROR(VALUE(SUBSTITUTE(INDEX('04A_국토부원자료'!$A:$T,ROW()+1,MATCH("거래금액(만원)",'04A_국토부원자료'!$A$4:$T$4,0)),",","")),"")</f>
        <v/>
      </c>
      <c r="H2280" s="174">
        <f>IF(G2280="","",G2280*10000)</f>
        <v/>
      </c>
      <c r="I2280" s="174">
        <f>IFERROR(IF(AND(H2280&gt;0,E2280&gt;0),H2280/E2280,""),"")</f>
        <v/>
      </c>
      <c r="J2280" s="152">
        <f>IFERROR(VALUE(SUBSTITUTE(INDEX('04A_국토부원자료'!$A:$T,ROW()+1,MATCH("층",'04A_국토부원자료'!$A$4:$T$4,0)),",","")),"")</f>
        <v/>
      </c>
      <c r="K2280" s="152">
        <f>IFERROR(VALUE(SUBSTITUTE(INDEX('04A_국토부원자료'!$A:$T,ROW()+1,MATCH("건축년도",'04A_국토부원자료'!$A$4:$T$4,0)),",","")),"")</f>
        <v/>
      </c>
      <c r="L2280" s="48">
        <f>IFERROR(INDEX('04A_국토부원자료'!$A:$T,ROW()+1,MATCH("도로명",'04A_국토부원자료'!$A$4:$T$4,0)),"")</f>
        <v/>
      </c>
      <c r="M2280" s="48">
        <f>IFERROR(INDEX('04A_국토부원자료'!$A:$T,ROW()+1,MATCH("거래유형",'04A_국토부원자료'!$A$4:$T$4,0)),"")</f>
        <v/>
      </c>
      <c r="N2280" s="152">
        <f>IF(B2280="","",IF('02_대상물건입력'!B5="",1,IF(ISNUMBER(SEARCH('02_대상물건입력'!B5,B2280)),1,0)))</f>
        <v/>
      </c>
      <c r="O2280" s="152">
        <f>IF(B2280="","",IF('02_대상물건입력'!B6="",1,IF(ISNUMBER(SEARCH('02_대상물건입력'!B6,B2280)),1,0)))</f>
        <v/>
      </c>
      <c r="P2280" s="152">
        <f>IF(L2280="","",IF('02_대상물건입력'!B15="",0,IF(ISNUMBER(SEARCH('02_대상물건입력'!B15,L2280)),1,0)))</f>
        <v/>
      </c>
      <c r="Q2280" s="152">
        <f>IF(OR(C2280="",L2280=""),0,IF(AND(TRIM(C2280)=TRIM(RIGHT(SUBSTITUTE(TRIM('02_대상물건입력'!$B$7)," ",REPT(" ",99)),99)),IF('02_대상물건입력'!B15="",TRUE(),ISNUMBER(SEARCH('02_대상물건입력'!B15,L2280)))),1,0))</f>
        <v/>
      </c>
      <c r="R2280" s="175">
        <f>IFERROR(ABS(E2280-'02_대상물건입력'!B11)/'02_대상물건입력'!B11,"")</f>
        <v/>
      </c>
      <c r="S2280" s="152">
        <f>IFERROR(ABS(J2280-'02_대상물건입력'!B10),"")</f>
        <v/>
      </c>
      <c r="T2280" s="152">
        <f>IFERROR(ABS('01_설정'!B4-F2280),"")</f>
        <v/>
      </c>
      <c r="U2280" s="152">
        <f>IFERROR(ABS(K2280-YEAR('02_대상물건입력'!B14)),"")</f>
        <v/>
      </c>
      <c r="V2280" s="152">
        <f>IF(B2280="","",IF(AND(E2280&gt;0,F2280&gt;0,H2280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2280=1,TRUE()),R2280&lt;='01_설정'!B5,S2280&lt;='01_설정'!B6,T2280&lt;='01_설정'!B7,U2280&lt;='01_설정'!B8),"Y",""))</f>
        <v/>
      </c>
      <c r="W2280" s="172">
        <f>IF(V2280&lt;&gt;"Y","",MAX(0,(1-R2280/'01_설정'!B5))*'01_설정'!B14+MAX(0,(1-S2280/'01_설정'!B6))*'01_설정'!B15+MAX(0,(1-T2280/'01_설정'!B7))*'01_설정'!B16+MAX(0,(1-U2280/'01_설정'!B8))*'01_설정'!B17+O2280*'01_설정'!B11+Q2280*'01_설정'!B12+P2280*'01_설정'!B13+IF(Z2280="",0,Z2280))</f>
        <v/>
      </c>
      <c r="X2280" s="152">
        <f>IF(W2280="","",1+COUNTIFS($W$4:$W$3003,"&gt;"&amp;W2280)+COUNTIFS($W$4:W2280,W2280)-1)</f>
        <v/>
      </c>
      <c r="Y2280" s="175">
        <f>IF(OR(I2280="",'02_대상물건입력'!B19="",'02_대상물건입력'!B19&lt;=0),"",ABS(I2280-'02_대상물건입력'!B19)/'02_대상물건입력'!B19)</f>
        <v/>
      </c>
      <c r="Z2280" s="172">
        <f>IF(OR(Y2280="",'01_설정'!B31="",'01_설정'!B31&lt;=0,'01_설정'!B32="",'01_설정'!B32&lt;=0),"",MAX(0,(1-Y2280/'01_설정'!B32))*'01_설정'!B31)</f>
        <v/>
      </c>
    </row>
    <row r="2281" ht="17.25" customHeight="1">
      <c r="A2281" s="152">
        <f>IF(INDEX('04A_국토부원자료'!$A:$A,ROW()+1)="","",ROW()-3)</f>
        <v/>
      </c>
      <c r="B2281" s="48">
        <f>IFERROR(INDEX('04A_국토부원자료'!$A:$T,ROW()+1,MATCH("시군구",'04A_국토부원자료'!$A$4:$T$4,0)),"")</f>
        <v/>
      </c>
      <c r="C2281" s="48">
        <f>IF(B2281="","",IFERROR(INDEX('04A_국토부원자료'!$A:$T,ROW()+1,MATCH("번지",'04A_국토부원자료'!$A$4:$T$4,0)),""))</f>
        <v/>
      </c>
      <c r="D2281" s="48">
        <f>IF(B2281="","",IF(Q2281=1,'02_대상물건입력'!$B$8,IFERROR(INDEX('04A_국토부원자료'!$A:$T,ROW()+1,MATCH("단지명",'04A_국토부원자료'!$A$4:$T$4,0)),"")))</f>
        <v/>
      </c>
      <c r="E2281" s="172">
        <f>IFERROR(VALUE(SUBSTITUTE(INDEX('04A_국토부원자료'!$A:$T,ROW()+1,MATCH("전용면적(㎡)",'04A_국토부원자료'!$A$4:$T$4,0)),",","")),"")</f>
        <v/>
      </c>
      <c r="F22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81" s="51">
        <f>IFERROR(VALUE(SUBSTITUTE(INDEX('04A_국토부원자료'!$A:$T,ROW()+1,MATCH("거래금액(만원)",'04A_국토부원자료'!$A$4:$T$4,0)),",","")),"")</f>
        <v/>
      </c>
      <c r="H2281" s="174">
        <f>IF(G2281="","",G2281*10000)</f>
        <v/>
      </c>
      <c r="I2281" s="174">
        <f>IFERROR(IF(AND(H2281&gt;0,E2281&gt;0),H2281/E2281,""),"")</f>
        <v/>
      </c>
      <c r="J2281" s="152">
        <f>IFERROR(VALUE(SUBSTITUTE(INDEX('04A_국토부원자료'!$A:$T,ROW()+1,MATCH("층",'04A_국토부원자료'!$A$4:$T$4,0)),",","")),"")</f>
        <v/>
      </c>
      <c r="K2281" s="152">
        <f>IFERROR(VALUE(SUBSTITUTE(INDEX('04A_국토부원자료'!$A:$T,ROW()+1,MATCH("건축년도",'04A_국토부원자료'!$A$4:$T$4,0)),",","")),"")</f>
        <v/>
      </c>
      <c r="L2281" s="48">
        <f>IFERROR(INDEX('04A_국토부원자료'!$A:$T,ROW()+1,MATCH("도로명",'04A_국토부원자료'!$A$4:$T$4,0)),"")</f>
        <v/>
      </c>
      <c r="M2281" s="48">
        <f>IFERROR(INDEX('04A_국토부원자료'!$A:$T,ROW()+1,MATCH("거래유형",'04A_국토부원자료'!$A$4:$T$4,0)),"")</f>
        <v/>
      </c>
      <c r="N2281" s="152">
        <f>IF(B2281="","",IF('02_대상물건입력'!B5="",1,IF(ISNUMBER(SEARCH('02_대상물건입력'!B5,B2281)),1,0)))</f>
        <v/>
      </c>
      <c r="O2281" s="152">
        <f>IF(B2281="","",IF('02_대상물건입력'!B6="",1,IF(ISNUMBER(SEARCH('02_대상물건입력'!B6,B2281)),1,0)))</f>
        <v/>
      </c>
      <c r="P2281" s="152">
        <f>IF(L2281="","",IF('02_대상물건입력'!B15="",0,IF(ISNUMBER(SEARCH('02_대상물건입력'!B15,L2281)),1,0)))</f>
        <v/>
      </c>
      <c r="Q2281" s="152">
        <f>IF(OR(C2281="",L2281=""),0,IF(AND(TRIM(C2281)=TRIM(RIGHT(SUBSTITUTE(TRIM('02_대상물건입력'!$B$7)," ",REPT(" ",99)),99)),IF('02_대상물건입력'!B15="",TRUE(),ISNUMBER(SEARCH('02_대상물건입력'!B15,L2281)))),1,0))</f>
        <v/>
      </c>
      <c r="R2281" s="175">
        <f>IFERROR(ABS(E2281-'02_대상물건입력'!B11)/'02_대상물건입력'!B11,"")</f>
        <v/>
      </c>
      <c r="S2281" s="152">
        <f>IFERROR(ABS(J2281-'02_대상물건입력'!B10),"")</f>
        <v/>
      </c>
      <c r="T2281" s="152">
        <f>IFERROR(ABS('01_설정'!B4-F2281),"")</f>
        <v/>
      </c>
      <c r="U2281" s="152">
        <f>IFERROR(ABS(K2281-YEAR('02_대상물건입력'!B14)),"")</f>
        <v/>
      </c>
      <c r="V2281" s="152">
        <f>IF(B2281="","",IF(AND(E2281&gt;0,F2281&gt;0,H2281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2281=1,TRUE()),R2281&lt;='01_설정'!B5,S2281&lt;='01_설정'!B6,T2281&lt;='01_설정'!B7,U2281&lt;='01_설정'!B8),"Y",""))</f>
        <v/>
      </c>
      <c r="W2281" s="172">
        <f>IF(V2281&lt;&gt;"Y","",MAX(0,(1-R2281/'01_설정'!B5))*'01_설정'!B14+MAX(0,(1-S2281/'01_설정'!B6))*'01_설정'!B15+MAX(0,(1-T2281/'01_설정'!B7))*'01_설정'!B16+MAX(0,(1-U2281/'01_설정'!B8))*'01_설정'!B17+O2281*'01_설정'!B11+Q2281*'01_설정'!B12+P2281*'01_설정'!B13+IF(Z2281="",0,Z2281))</f>
        <v/>
      </c>
      <c r="X2281" s="152">
        <f>IF(W2281="","",1+COUNTIFS($W$4:$W$3003,"&gt;"&amp;W2281)+COUNTIFS($W$4:W2281,W2281)-1)</f>
        <v/>
      </c>
      <c r="Y2281" s="175">
        <f>IF(OR(I2281="",'02_대상물건입력'!B19="",'02_대상물건입력'!B19&lt;=0),"",ABS(I2281-'02_대상물건입력'!B19)/'02_대상물건입력'!B19)</f>
        <v/>
      </c>
      <c r="Z2281" s="172">
        <f>IF(OR(Y2281="",'01_설정'!B31="",'01_설정'!B31&lt;=0,'01_설정'!B32="",'01_설정'!B32&lt;=0),"",MAX(0,(1-Y2281/'01_설정'!B32))*'01_설정'!B31)</f>
        <v/>
      </c>
    </row>
    <row r="2282" ht="17.25" customHeight="1">
      <c r="A2282" s="152">
        <f>IF(INDEX('04A_국토부원자료'!$A:$A,ROW()+1)="","",ROW()-3)</f>
        <v/>
      </c>
      <c r="B2282" s="48">
        <f>IFERROR(INDEX('04A_국토부원자료'!$A:$T,ROW()+1,MATCH("시군구",'04A_국토부원자료'!$A$4:$T$4,0)),"")</f>
        <v/>
      </c>
      <c r="C2282" s="48">
        <f>IF(B2282="","",IFERROR(INDEX('04A_국토부원자료'!$A:$T,ROW()+1,MATCH("번지",'04A_국토부원자료'!$A$4:$T$4,0)),""))</f>
        <v/>
      </c>
      <c r="D2282" s="48">
        <f>IF(B2282="","",IF(Q2282=1,'02_대상물건입력'!$B$8,IFERROR(INDEX('04A_국토부원자료'!$A:$T,ROW()+1,MATCH("단지명",'04A_국토부원자료'!$A$4:$T$4,0)),"")))</f>
        <v/>
      </c>
      <c r="E2282" s="172">
        <f>IFERROR(VALUE(SUBSTITUTE(INDEX('04A_국토부원자료'!$A:$T,ROW()+1,MATCH("전용면적(㎡)",'04A_국토부원자료'!$A$4:$T$4,0)),",","")),"")</f>
        <v/>
      </c>
      <c r="F22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82" s="51">
        <f>IFERROR(VALUE(SUBSTITUTE(INDEX('04A_국토부원자료'!$A:$T,ROW()+1,MATCH("거래금액(만원)",'04A_국토부원자료'!$A$4:$T$4,0)),",","")),"")</f>
        <v/>
      </c>
      <c r="H2282" s="174">
        <f>IF(G2282="","",G2282*10000)</f>
        <v/>
      </c>
      <c r="I2282" s="174">
        <f>IFERROR(IF(AND(H2282&gt;0,E2282&gt;0),H2282/E2282,""),"")</f>
        <v/>
      </c>
      <c r="J2282" s="152">
        <f>IFERROR(VALUE(SUBSTITUTE(INDEX('04A_국토부원자료'!$A:$T,ROW()+1,MATCH("층",'04A_국토부원자료'!$A$4:$T$4,0)),",","")),"")</f>
        <v/>
      </c>
      <c r="K2282" s="152">
        <f>IFERROR(VALUE(SUBSTITUTE(INDEX('04A_국토부원자료'!$A:$T,ROW()+1,MATCH("건축년도",'04A_국토부원자료'!$A$4:$T$4,0)),",","")),"")</f>
        <v/>
      </c>
      <c r="L2282" s="48">
        <f>IFERROR(INDEX('04A_국토부원자료'!$A:$T,ROW()+1,MATCH("도로명",'04A_국토부원자료'!$A$4:$T$4,0)),"")</f>
        <v/>
      </c>
      <c r="M2282" s="48">
        <f>IFERROR(INDEX('04A_국토부원자료'!$A:$T,ROW()+1,MATCH("거래유형",'04A_국토부원자료'!$A$4:$T$4,0)),"")</f>
        <v/>
      </c>
      <c r="N2282" s="152">
        <f>IF(B2282="","",IF('02_대상물건입력'!B5="",1,IF(ISNUMBER(SEARCH('02_대상물건입력'!B5,B2282)),1,0)))</f>
        <v/>
      </c>
      <c r="O2282" s="152">
        <f>IF(B2282="","",IF('02_대상물건입력'!B6="",1,IF(ISNUMBER(SEARCH('02_대상물건입력'!B6,B2282)),1,0)))</f>
        <v/>
      </c>
      <c r="P2282" s="152">
        <f>IF(L2282="","",IF('02_대상물건입력'!B15="",0,IF(ISNUMBER(SEARCH('02_대상물건입력'!B15,L2282)),1,0)))</f>
        <v/>
      </c>
      <c r="Q2282" s="152">
        <f>IF(OR(C2282="",L2282=""),0,IF(AND(TRIM(C2282)=TRIM(RIGHT(SUBSTITUTE(TRIM('02_대상물건입력'!$B$7)," ",REPT(" ",99)),99)),IF('02_대상물건입력'!B15="",TRUE(),ISNUMBER(SEARCH('02_대상물건입력'!B15,L2282)))),1,0))</f>
        <v/>
      </c>
      <c r="R2282" s="175">
        <f>IFERROR(ABS(E2282-'02_대상물건입력'!B11)/'02_대상물건입력'!B11,"")</f>
        <v/>
      </c>
      <c r="S2282" s="152">
        <f>IFERROR(ABS(J2282-'02_대상물건입력'!B10),"")</f>
        <v/>
      </c>
      <c r="T2282" s="152">
        <f>IFERROR(ABS('01_설정'!B4-F2282),"")</f>
        <v/>
      </c>
      <c r="U2282" s="152">
        <f>IFERROR(ABS(K2282-YEAR('02_대상물건입력'!B14)),"")</f>
        <v/>
      </c>
      <c r="V2282" s="152">
        <f>IF(B2282="","",IF(AND(E2282&gt;0,F2282&gt;0,H2282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2282=1,TRUE()),R2282&lt;='01_설정'!B5,S2282&lt;='01_설정'!B6,T2282&lt;='01_설정'!B7,U2282&lt;='01_설정'!B8),"Y",""))</f>
        <v/>
      </c>
      <c r="W2282" s="172">
        <f>IF(V2282&lt;&gt;"Y","",MAX(0,(1-R2282/'01_설정'!B5))*'01_설정'!B14+MAX(0,(1-S2282/'01_설정'!B6))*'01_설정'!B15+MAX(0,(1-T2282/'01_설정'!B7))*'01_설정'!B16+MAX(0,(1-U2282/'01_설정'!B8))*'01_설정'!B17+O2282*'01_설정'!B11+Q2282*'01_설정'!B12+P2282*'01_설정'!B13+IF(Z2282="",0,Z2282))</f>
        <v/>
      </c>
      <c r="X2282" s="152">
        <f>IF(W2282="","",1+COUNTIFS($W$4:$W$3003,"&gt;"&amp;W2282)+COUNTIFS($W$4:W2282,W2282)-1)</f>
        <v/>
      </c>
      <c r="Y2282" s="175">
        <f>IF(OR(I2282="",'02_대상물건입력'!B19="",'02_대상물건입력'!B19&lt;=0),"",ABS(I2282-'02_대상물건입력'!B19)/'02_대상물건입력'!B19)</f>
        <v/>
      </c>
      <c r="Z2282" s="172">
        <f>IF(OR(Y2282="",'01_설정'!B31="",'01_설정'!B31&lt;=0,'01_설정'!B32="",'01_설정'!B32&lt;=0),"",MAX(0,(1-Y2282/'01_설정'!B32))*'01_설정'!B31)</f>
        <v/>
      </c>
    </row>
    <row r="2283" ht="17.25" customHeight="1">
      <c r="A2283" s="152">
        <f>IF(INDEX('04A_국토부원자료'!$A:$A,ROW()+1)="","",ROW()-3)</f>
        <v/>
      </c>
      <c r="B2283" s="48">
        <f>IFERROR(INDEX('04A_국토부원자료'!$A:$T,ROW()+1,MATCH("시군구",'04A_국토부원자료'!$A$4:$T$4,0)),"")</f>
        <v/>
      </c>
      <c r="C2283" s="48">
        <f>IF(B2283="","",IFERROR(INDEX('04A_국토부원자료'!$A:$T,ROW()+1,MATCH("번지",'04A_국토부원자료'!$A$4:$T$4,0)),""))</f>
        <v/>
      </c>
      <c r="D2283" s="48">
        <f>IF(B2283="","",IF(Q2283=1,'02_대상물건입력'!$B$8,IFERROR(INDEX('04A_국토부원자료'!$A:$T,ROW()+1,MATCH("단지명",'04A_국토부원자료'!$A$4:$T$4,0)),"")))</f>
        <v/>
      </c>
      <c r="E2283" s="172">
        <f>IFERROR(VALUE(SUBSTITUTE(INDEX('04A_국토부원자료'!$A:$T,ROW()+1,MATCH("전용면적(㎡)",'04A_국토부원자료'!$A$4:$T$4,0)),",","")),"")</f>
        <v/>
      </c>
      <c r="F22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83" s="51">
        <f>IFERROR(VALUE(SUBSTITUTE(INDEX('04A_국토부원자료'!$A:$T,ROW()+1,MATCH("거래금액(만원)",'04A_국토부원자료'!$A$4:$T$4,0)),",","")),"")</f>
        <v/>
      </c>
      <c r="H2283" s="174">
        <f>IF(G2283="","",G2283*10000)</f>
        <v/>
      </c>
      <c r="I2283" s="174">
        <f>IFERROR(IF(AND(H2283&gt;0,E2283&gt;0),H2283/E2283,""),"")</f>
        <v/>
      </c>
      <c r="J2283" s="152">
        <f>IFERROR(VALUE(SUBSTITUTE(INDEX('04A_국토부원자료'!$A:$T,ROW()+1,MATCH("층",'04A_국토부원자료'!$A$4:$T$4,0)),",","")),"")</f>
        <v/>
      </c>
      <c r="K2283" s="152">
        <f>IFERROR(VALUE(SUBSTITUTE(INDEX('04A_국토부원자료'!$A:$T,ROW()+1,MATCH("건축년도",'04A_국토부원자료'!$A$4:$T$4,0)),",","")),"")</f>
        <v/>
      </c>
      <c r="L2283" s="48">
        <f>IFERROR(INDEX('04A_국토부원자료'!$A:$T,ROW()+1,MATCH("도로명",'04A_국토부원자료'!$A$4:$T$4,0)),"")</f>
        <v/>
      </c>
      <c r="M2283" s="48">
        <f>IFERROR(INDEX('04A_국토부원자료'!$A:$T,ROW()+1,MATCH("거래유형",'04A_국토부원자료'!$A$4:$T$4,0)),"")</f>
        <v/>
      </c>
      <c r="N2283" s="152">
        <f>IF(B2283="","",IF('02_대상물건입력'!B5="",1,IF(ISNUMBER(SEARCH('02_대상물건입력'!B5,B2283)),1,0)))</f>
        <v/>
      </c>
      <c r="O2283" s="152">
        <f>IF(B2283="","",IF('02_대상물건입력'!B6="",1,IF(ISNUMBER(SEARCH('02_대상물건입력'!B6,B2283)),1,0)))</f>
        <v/>
      </c>
      <c r="P2283" s="152">
        <f>IF(L2283="","",IF('02_대상물건입력'!B15="",0,IF(ISNUMBER(SEARCH('02_대상물건입력'!B15,L2283)),1,0)))</f>
        <v/>
      </c>
      <c r="Q2283" s="152">
        <f>IF(OR(C2283="",L2283=""),0,IF(AND(TRIM(C2283)=TRIM(RIGHT(SUBSTITUTE(TRIM('02_대상물건입력'!$B$7)," ",REPT(" ",99)),99)),IF('02_대상물건입력'!B15="",TRUE(),ISNUMBER(SEARCH('02_대상물건입력'!B15,L2283)))),1,0))</f>
        <v/>
      </c>
      <c r="R2283" s="175">
        <f>IFERROR(ABS(E2283-'02_대상물건입력'!B11)/'02_대상물건입력'!B11,"")</f>
        <v/>
      </c>
      <c r="S2283" s="152">
        <f>IFERROR(ABS(J2283-'02_대상물건입력'!B10),"")</f>
        <v/>
      </c>
      <c r="T2283" s="152">
        <f>IFERROR(ABS('01_설정'!B4-F2283),"")</f>
        <v/>
      </c>
      <c r="U2283" s="152">
        <f>IFERROR(ABS(K2283-YEAR('02_대상물건입력'!B14)),"")</f>
        <v/>
      </c>
      <c r="V2283" s="152">
        <f>IF(B2283="","",IF(AND(E2283&gt;0,F2283&gt;0,H2283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2283=1,TRUE()),R2283&lt;='01_설정'!B5,S2283&lt;='01_설정'!B6,T2283&lt;='01_설정'!B7,U2283&lt;='01_설정'!B8),"Y",""))</f>
        <v/>
      </c>
      <c r="W2283" s="172">
        <f>IF(V2283&lt;&gt;"Y","",MAX(0,(1-R2283/'01_설정'!B5))*'01_설정'!B14+MAX(0,(1-S2283/'01_설정'!B6))*'01_설정'!B15+MAX(0,(1-T2283/'01_설정'!B7))*'01_설정'!B16+MAX(0,(1-U2283/'01_설정'!B8))*'01_설정'!B17+O2283*'01_설정'!B11+Q2283*'01_설정'!B12+P2283*'01_설정'!B13+IF(Z2283="",0,Z2283))</f>
        <v/>
      </c>
      <c r="X2283" s="152">
        <f>IF(W2283="","",1+COUNTIFS($W$4:$W$3003,"&gt;"&amp;W2283)+COUNTIFS($W$4:W2283,W2283)-1)</f>
        <v/>
      </c>
      <c r="Y2283" s="175">
        <f>IF(OR(I2283="",'02_대상물건입력'!B19="",'02_대상물건입력'!B19&lt;=0),"",ABS(I2283-'02_대상물건입력'!B19)/'02_대상물건입력'!B19)</f>
        <v/>
      </c>
      <c r="Z2283" s="172">
        <f>IF(OR(Y2283="",'01_설정'!B31="",'01_설정'!B31&lt;=0,'01_설정'!B32="",'01_설정'!B32&lt;=0),"",MAX(0,(1-Y2283/'01_설정'!B32))*'01_설정'!B31)</f>
        <v/>
      </c>
    </row>
    <row r="2284" ht="17.25" customHeight="1">
      <c r="A2284" s="152">
        <f>IF(INDEX('04A_국토부원자료'!$A:$A,ROW()+1)="","",ROW()-3)</f>
        <v/>
      </c>
      <c r="B2284" s="48">
        <f>IFERROR(INDEX('04A_국토부원자료'!$A:$T,ROW()+1,MATCH("시군구",'04A_국토부원자료'!$A$4:$T$4,0)),"")</f>
        <v/>
      </c>
      <c r="C2284" s="48">
        <f>IF(B2284="","",IFERROR(INDEX('04A_국토부원자료'!$A:$T,ROW()+1,MATCH("번지",'04A_국토부원자료'!$A$4:$T$4,0)),""))</f>
        <v/>
      </c>
      <c r="D2284" s="48">
        <f>IF(B2284="","",IF(Q2284=1,'02_대상물건입력'!$B$8,IFERROR(INDEX('04A_국토부원자료'!$A:$T,ROW()+1,MATCH("단지명",'04A_국토부원자료'!$A$4:$T$4,0)),"")))</f>
        <v/>
      </c>
      <c r="E2284" s="172">
        <f>IFERROR(VALUE(SUBSTITUTE(INDEX('04A_국토부원자료'!$A:$T,ROW()+1,MATCH("전용면적(㎡)",'04A_국토부원자료'!$A$4:$T$4,0)),",","")),"")</f>
        <v/>
      </c>
      <c r="F22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84" s="51">
        <f>IFERROR(VALUE(SUBSTITUTE(INDEX('04A_국토부원자료'!$A:$T,ROW()+1,MATCH("거래금액(만원)",'04A_국토부원자료'!$A$4:$T$4,0)),",","")),"")</f>
        <v/>
      </c>
      <c r="H2284" s="174">
        <f>IF(G2284="","",G2284*10000)</f>
        <v/>
      </c>
      <c r="I2284" s="174">
        <f>IFERROR(IF(AND(H2284&gt;0,E2284&gt;0),H2284/E2284,""),"")</f>
        <v/>
      </c>
      <c r="J2284" s="152">
        <f>IFERROR(VALUE(SUBSTITUTE(INDEX('04A_국토부원자료'!$A:$T,ROW()+1,MATCH("층",'04A_국토부원자료'!$A$4:$T$4,0)),",","")),"")</f>
        <v/>
      </c>
      <c r="K2284" s="152">
        <f>IFERROR(VALUE(SUBSTITUTE(INDEX('04A_국토부원자료'!$A:$T,ROW()+1,MATCH("건축년도",'04A_국토부원자료'!$A$4:$T$4,0)),",","")),"")</f>
        <v/>
      </c>
      <c r="L2284" s="48">
        <f>IFERROR(INDEX('04A_국토부원자료'!$A:$T,ROW()+1,MATCH("도로명",'04A_국토부원자료'!$A$4:$T$4,0)),"")</f>
        <v/>
      </c>
      <c r="M2284" s="48">
        <f>IFERROR(INDEX('04A_국토부원자료'!$A:$T,ROW()+1,MATCH("거래유형",'04A_국토부원자료'!$A$4:$T$4,0)),"")</f>
        <v/>
      </c>
      <c r="N2284" s="152">
        <f>IF(B2284="","",IF('02_대상물건입력'!B5="",1,IF(ISNUMBER(SEARCH('02_대상물건입력'!B5,B2284)),1,0)))</f>
        <v/>
      </c>
      <c r="O2284" s="152">
        <f>IF(B2284="","",IF('02_대상물건입력'!B6="",1,IF(ISNUMBER(SEARCH('02_대상물건입력'!B6,B2284)),1,0)))</f>
        <v/>
      </c>
      <c r="P2284" s="152">
        <f>IF(L2284="","",IF('02_대상물건입력'!B15="",0,IF(ISNUMBER(SEARCH('02_대상물건입력'!B15,L2284)),1,0)))</f>
        <v/>
      </c>
      <c r="Q2284" s="152">
        <f>IF(OR(C2284="",L2284=""),0,IF(AND(TRIM(C2284)=TRIM(RIGHT(SUBSTITUTE(TRIM('02_대상물건입력'!$B$7)," ",REPT(" ",99)),99)),IF('02_대상물건입력'!B15="",TRUE(),ISNUMBER(SEARCH('02_대상물건입력'!B15,L2284)))),1,0))</f>
        <v/>
      </c>
      <c r="R2284" s="175">
        <f>IFERROR(ABS(E2284-'02_대상물건입력'!B11)/'02_대상물건입력'!B11,"")</f>
        <v/>
      </c>
      <c r="S2284" s="152">
        <f>IFERROR(ABS(J2284-'02_대상물건입력'!B10),"")</f>
        <v/>
      </c>
      <c r="T2284" s="152">
        <f>IFERROR(ABS('01_설정'!B4-F2284),"")</f>
        <v/>
      </c>
      <c r="U2284" s="152">
        <f>IFERROR(ABS(K2284-YEAR('02_대상물건입력'!B14)),"")</f>
        <v/>
      </c>
      <c r="V2284" s="152">
        <f>IF(B2284="","",IF(AND(E2284&gt;0,F2284&gt;0,H2284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2284=1,TRUE()),R2284&lt;='01_설정'!B5,S2284&lt;='01_설정'!B6,T2284&lt;='01_설정'!B7,U2284&lt;='01_설정'!B8),"Y",""))</f>
        <v/>
      </c>
      <c r="W2284" s="172">
        <f>IF(V2284&lt;&gt;"Y","",MAX(0,(1-R2284/'01_설정'!B5))*'01_설정'!B14+MAX(0,(1-S2284/'01_설정'!B6))*'01_설정'!B15+MAX(0,(1-T2284/'01_설정'!B7))*'01_설정'!B16+MAX(0,(1-U2284/'01_설정'!B8))*'01_설정'!B17+O2284*'01_설정'!B11+Q2284*'01_설정'!B12+P2284*'01_설정'!B13+IF(Z2284="",0,Z2284))</f>
        <v/>
      </c>
      <c r="X2284" s="152">
        <f>IF(W2284="","",1+COUNTIFS($W$4:$W$3003,"&gt;"&amp;W2284)+COUNTIFS($W$4:W2284,W2284)-1)</f>
        <v/>
      </c>
      <c r="Y2284" s="175">
        <f>IF(OR(I2284="",'02_대상물건입력'!B19="",'02_대상물건입력'!B19&lt;=0),"",ABS(I2284-'02_대상물건입력'!B19)/'02_대상물건입력'!B19)</f>
        <v/>
      </c>
      <c r="Z2284" s="172">
        <f>IF(OR(Y2284="",'01_설정'!B31="",'01_설정'!B31&lt;=0,'01_설정'!B32="",'01_설정'!B32&lt;=0),"",MAX(0,(1-Y2284/'01_설정'!B32))*'01_설정'!B31)</f>
        <v/>
      </c>
    </row>
    <row r="2285" ht="17.25" customHeight="1">
      <c r="A2285" s="152">
        <f>IF(INDEX('04A_국토부원자료'!$A:$A,ROW()+1)="","",ROW()-3)</f>
        <v/>
      </c>
      <c r="B2285" s="48">
        <f>IFERROR(INDEX('04A_국토부원자료'!$A:$T,ROW()+1,MATCH("시군구",'04A_국토부원자료'!$A$4:$T$4,0)),"")</f>
        <v/>
      </c>
      <c r="C2285" s="48">
        <f>IF(B2285="","",IFERROR(INDEX('04A_국토부원자료'!$A:$T,ROW()+1,MATCH("번지",'04A_국토부원자료'!$A$4:$T$4,0)),""))</f>
        <v/>
      </c>
      <c r="D2285" s="48">
        <f>IF(B2285="","",IF(Q2285=1,'02_대상물건입력'!$B$8,IFERROR(INDEX('04A_국토부원자료'!$A:$T,ROW()+1,MATCH("단지명",'04A_국토부원자료'!$A$4:$T$4,0)),"")))</f>
        <v/>
      </c>
      <c r="E2285" s="172">
        <f>IFERROR(VALUE(SUBSTITUTE(INDEX('04A_국토부원자료'!$A:$T,ROW()+1,MATCH("전용면적(㎡)",'04A_국토부원자료'!$A$4:$T$4,0)),",","")),"")</f>
        <v/>
      </c>
      <c r="F22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85" s="51">
        <f>IFERROR(VALUE(SUBSTITUTE(INDEX('04A_국토부원자료'!$A:$T,ROW()+1,MATCH("거래금액(만원)",'04A_국토부원자료'!$A$4:$T$4,0)),",","")),"")</f>
        <v/>
      </c>
      <c r="H2285" s="174">
        <f>IF(G2285="","",G2285*10000)</f>
        <v/>
      </c>
      <c r="I2285" s="174">
        <f>IFERROR(IF(AND(H2285&gt;0,E2285&gt;0),H2285/E2285,""),"")</f>
        <v/>
      </c>
      <c r="J2285" s="152">
        <f>IFERROR(VALUE(SUBSTITUTE(INDEX('04A_국토부원자료'!$A:$T,ROW()+1,MATCH("층",'04A_국토부원자료'!$A$4:$T$4,0)),",","")),"")</f>
        <v/>
      </c>
      <c r="K2285" s="152">
        <f>IFERROR(VALUE(SUBSTITUTE(INDEX('04A_국토부원자료'!$A:$T,ROW()+1,MATCH("건축년도",'04A_국토부원자료'!$A$4:$T$4,0)),",","")),"")</f>
        <v/>
      </c>
      <c r="L2285" s="48">
        <f>IFERROR(INDEX('04A_국토부원자료'!$A:$T,ROW()+1,MATCH("도로명",'04A_국토부원자료'!$A$4:$T$4,0)),"")</f>
        <v/>
      </c>
      <c r="M2285" s="48">
        <f>IFERROR(INDEX('04A_국토부원자료'!$A:$T,ROW()+1,MATCH("거래유형",'04A_국토부원자료'!$A$4:$T$4,0)),"")</f>
        <v/>
      </c>
      <c r="N2285" s="152">
        <f>IF(B2285="","",IF('02_대상물건입력'!B5="",1,IF(ISNUMBER(SEARCH('02_대상물건입력'!B5,B2285)),1,0)))</f>
        <v/>
      </c>
      <c r="O2285" s="152">
        <f>IF(B2285="","",IF('02_대상물건입력'!B6="",1,IF(ISNUMBER(SEARCH('02_대상물건입력'!B6,B2285)),1,0)))</f>
        <v/>
      </c>
      <c r="P2285" s="152">
        <f>IF(L2285="","",IF('02_대상물건입력'!B15="",0,IF(ISNUMBER(SEARCH('02_대상물건입력'!B15,L2285)),1,0)))</f>
        <v/>
      </c>
      <c r="Q2285" s="152">
        <f>IF(OR(C2285="",L2285=""),0,IF(AND(TRIM(C2285)=TRIM(RIGHT(SUBSTITUTE(TRIM('02_대상물건입력'!$B$7)," ",REPT(" ",99)),99)),IF('02_대상물건입력'!B15="",TRUE(),ISNUMBER(SEARCH('02_대상물건입력'!B15,L2285)))),1,0))</f>
        <v/>
      </c>
      <c r="R2285" s="175">
        <f>IFERROR(ABS(E2285-'02_대상물건입력'!B11)/'02_대상물건입력'!B11,"")</f>
        <v/>
      </c>
      <c r="S2285" s="152">
        <f>IFERROR(ABS(J2285-'02_대상물건입력'!B10),"")</f>
        <v/>
      </c>
      <c r="T2285" s="152">
        <f>IFERROR(ABS('01_설정'!B4-F2285),"")</f>
        <v/>
      </c>
      <c r="U2285" s="152">
        <f>IFERROR(ABS(K2285-YEAR('02_대상물건입력'!B14)),"")</f>
        <v/>
      </c>
      <c r="V2285" s="152">
        <f>IF(B2285="","",IF(AND(E2285&gt;0,F2285&gt;0,H2285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2285=1,TRUE()),R2285&lt;='01_설정'!B5,S2285&lt;='01_설정'!B6,T2285&lt;='01_설정'!B7,U2285&lt;='01_설정'!B8),"Y",""))</f>
        <v/>
      </c>
      <c r="W2285" s="172">
        <f>IF(V2285&lt;&gt;"Y","",MAX(0,(1-R2285/'01_설정'!B5))*'01_설정'!B14+MAX(0,(1-S2285/'01_설정'!B6))*'01_설정'!B15+MAX(0,(1-T2285/'01_설정'!B7))*'01_설정'!B16+MAX(0,(1-U2285/'01_설정'!B8))*'01_설정'!B17+O2285*'01_설정'!B11+Q2285*'01_설정'!B12+P2285*'01_설정'!B13+IF(Z2285="",0,Z2285))</f>
        <v/>
      </c>
      <c r="X2285" s="152">
        <f>IF(W2285="","",1+COUNTIFS($W$4:$W$3003,"&gt;"&amp;W2285)+COUNTIFS($W$4:W2285,W2285)-1)</f>
        <v/>
      </c>
      <c r="Y2285" s="175">
        <f>IF(OR(I2285="",'02_대상물건입력'!B19="",'02_대상물건입력'!B19&lt;=0),"",ABS(I2285-'02_대상물건입력'!B19)/'02_대상물건입력'!B19)</f>
        <v/>
      </c>
      <c r="Z2285" s="172">
        <f>IF(OR(Y2285="",'01_설정'!B31="",'01_설정'!B31&lt;=0,'01_설정'!B32="",'01_설정'!B32&lt;=0),"",MAX(0,(1-Y2285/'01_설정'!B32))*'01_설정'!B31)</f>
        <v/>
      </c>
    </row>
    <row r="2286" ht="17.25" customHeight="1">
      <c r="A2286" s="152">
        <f>IF(INDEX('04A_국토부원자료'!$A:$A,ROW()+1)="","",ROW()-3)</f>
        <v/>
      </c>
      <c r="B2286" s="48">
        <f>IFERROR(INDEX('04A_국토부원자료'!$A:$T,ROW()+1,MATCH("시군구",'04A_국토부원자료'!$A$4:$T$4,0)),"")</f>
        <v/>
      </c>
      <c r="C2286" s="48">
        <f>IF(B2286="","",IFERROR(INDEX('04A_국토부원자료'!$A:$T,ROW()+1,MATCH("번지",'04A_국토부원자료'!$A$4:$T$4,0)),""))</f>
        <v/>
      </c>
      <c r="D2286" s="48">
        <f>IF(B2286="","",IF(Q2286=1,'02_대상물건입력'!$B$8,IFERROR(INDEX('04A_국토부원자료'!$A:$T,ROW()+1,MATCH("단지명",'04A_국토부원자료'!$A$4:$T$4,0)),"")))</f>
        <v/>
      </c>
      <c r="E2286" s="172">
        <f>IFERROR(VALUE(SUBSTITUTE(INDEX('04A_국토부원자료'!$A:$T,ROW()+1,MATCH("전용면적(㎡)",'04A_국토부원자료'!$A$4:$T$4,0)),",","")),"")</f>
        <v/>
      </c>
      <c r="F22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86" s="51">
        <f>IFERROR(VALUE(SUBSTITUTE(INDEX('04A_국토부원자료'!$A:$T,ROW()+1,MATCH("거래금액(만원)",'04A_국토부원자료'!$A$4:$T$4,0)),",","")),"")</f>
        <v/>
      </c>
      <c r="H2286" s="174">
        <f>IF(G2286="","",G2286*10000)</f>
        <v/>
      </c>
      <c r="I2286" s="174">
        <f>IFERROR(IF(AND(H2286&gt;0,E2286&gt;0),H2286/E2286,""),"")</f>
        <v/>
      </c>
      <c r="J2286" s="152">
        <f>IFERROR(VALUE(SUBSTITUTE(INDEX('04A_국토부원자료'!$A:$T,ROW()+1,MATCH("층",'04A_국토부원자료'!$A$4:$T$4,0)),",","")),"")</f>
        <v/>
      </c>
      <c r="K2286" s="152">
        <f>IFERROR(VALUE(SUBSTITUTE(INDEX('04A_국토부원자료'!$A:$T,ROW()+1,MATCH("건축년도",'04A_국토부원자료'!$A$4:$T$4,0)),",","")),"")</f>
        <v/>
      </c>
      <c r="L2286" s="48">
        <f>IFERROR(INDEX('04A_국토부원자료'!$A:$T,ROW()+1,MATCH("도로명",'04A_국토부원자료'!$A$4:$T$4,0)),"")</f>
        <v/>
      </c>
      <c r="M2286" s="48">
        <f>IFERROR(INDEX('04A_국토부원자료'!$A:$T,ROW()+1,MATCH("거래유형",'04A_국토부원자료'!$A$4:$T$4,0)),"")</f>
        <v/>
      </c>
      <c r="N2286" s="152">
        <f>IF(B2286="","",IF('02_대상물건입력'!B5="",1,IF(ISNUMBER(SEARCH('02_대상물건입력'!B5,B2286)),1,0)))</f>
        <v/>
      </c>
      <c r="O2286" s="152">
        <f>IF(B2286="","",IF('02_대상물건입력'!B6="",1,IF(ISNUMBER(SEARCH('02_대상물건입력'!B6,B2286)),1,0)))</f>
        <v/>
      </c>
      <c r="P2286" s="152">
        <f>IF(L2286="","",IF('02_대상물건입력'!B15="",0,IF(ISNUMBER(SEARCH('02_대상물건입력'!B15,L2286)),1,0)))</f>
        <v/>
      </c>
      <c r="Q2286" s="152">
        <f>IF(OR(C2286="",L2286=""),0,IF(AND(TRIM(C2286)=TRIM(RIGHT(SUBSTITUTE(TRIM('02_대상물건입력'!$B$7)," ",REPT(" ",99)),99)),IF('02_대상물건입력'!B15="",TRUE(),ISNUMBER(SEARCH('02_대상물건입력'!B15,L2286)))),1,0))</f>
        <v/>
      </c>
      <c r="R2286" s="175">
        <f>IFERROR(ABS(E2286-'02_대상물건입력'!B11)/'02_대상물건입력'!B11,"")</f>
        <v/>
      </c>
      <c r="S2286" s="152">
        <f>IFERROR(ABS(J2286-'02_대상물건입력'!B10),"")</f>
        <v/>
      </c>
      <c r="T2286" s="152">
        <f>IFERROR(ABS('01_설정'!B4-F2286),"")</f>
        <v/>
      </c>
      <c r="U2286" s="152">
        <f>IFERROR(ABS(K2286-YEAR('02_대상물건입력'!B14)),"")</f>
        <v/>
      </c>
      <c r="V2286" s="152">
        <f>IF(B2286="","",IF(AND(E2286&gt;0,F2286&gt;0,H2286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2286=1,TRUE()),R2286&lt;='01_설정'!B5,S2286&lt;='01_설정'!B6,T2286&lt;='01_설정'!B7,U2286&lt;='01_설정'!B8),"Y",""))</f>
        <v/>
      </c>
      <c r="W2286" s="172">
        <f>IF(V2286&lt;&gt;"Y","",MAX(0,(1-R2286/'01_설정'!B5))*'01_설정'!B14+MAX(0,(1-S2286/'01_설정'!B6))*'01_설정'!B15+MAX(0,(1-T2286/'01_설정'!B7))*'01_설정'!B16+MAX(0,(1-U2286/'01_설정'!B8))*'01_설정'!B17+O2286*'01_설정'!B11+Q2286*'01_설정'!B12+P2286*'01_설정'!B13+IF(Z2286="",0,Z2286))</f>
        <v/>
      </c>
      <c r="X2286" s="152">
        <f>IF(W2286="","",1+COUNTIFS($W$4:$W$3003,"&gt;"&amp;W2286)+COUNTIFS($W$4:W2286,W2286)-1)</f>
        <v/>
      </c>
      <c r="Y2286" s="175">
        <f>IF(OR(I2286="",'02_대상물건입력'!B19="",'02_대상물건입력'!B19&lt;=0),"",ABS(I2286-'02_대상물건입력'!B19)/'02_대상물건입력'!B19)</f>
        <v/>
      </c>
      <c r="Z2286" s="172">
        <f>IF(OR(Y2286="",'01_설정'!B31="",'01_설정'!B31&lt;=0,'01_설정'!B32="",'01_설정'!B32&lt;=0),"",MAX(0,(1-Y2286/'01_설정'!B32))*'01_설정'!B31)</f>
        <v/>
      </c>
    </row>
    <row r="2287" ht="17.25" customHeight="1">
      <c r="A2287" s="152">
        <f>IF(INDEX('04A_국토부원자료'!$A:$A,ROW()+1)="","",ROW()-3)</f>
        <v/>
      </c>
      <c r="B2287" s="48">
        <f>IFERROR(INDEX('04A_국토부원자료'!$A:$T,ROW()+1,MATCH("시군구",'04A_국토부원자료'!$A$4:$T$4,0)),"")</f>
        <v/>
      </c>
      <c r="C2287" s="48">
        <f>IF(B2287="","",IFERROR(INDEX('04A_국토부원자료'!$A:$T,ROW()+1,MATCH("번지",'04A_국토부원자료'!$A$4:$T$4,0)),""))</f>
        <v/>
      </c>
      <c r="D2287" s="48">
        <f>IF(B2287="","",IF(Q2287=1,'02_대상물건입력'!$B$8,IFERROR(INDEX('04A_국토부원자료'!$A:$T,ROW()+1,MATCH("단지명",'04A_국토부원자료'!$A$4:$T$4,0)),"")))</f>
        <v/>
      </c>
      <c r="E2287" s="172">
        <f>IFERROR(VALUE(SUBSTITUTE(INDEX('04A_국토부원자료'!$A:$T,ROW()+1,MATCH("전용면적(㎡)",'04A_국토부원자료'!$A$4:$T$4,0)),",","")),"")</f>
        <v/>
      </c>
      <c r="F22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87" s="51">
        <f>IFERROR(VALUE(SUBSTITUTE(INDEX('04A_국토부원자료'!$A:$T,ROW()+1,MATCH("거래금액(만원)",'04A_국토부원자료'!$A$4:$T$4,0)),",","")),"")</f>
        <v/>
      </c>
      <c r="H2287" s="174">
        <f>IF(G2287="","",G2287*10000)</f>
        <v/>
      </c>
      <c r="I2287" s="174">
        <f>IFERROR(IF(AND(H2287&gt;0,E2287&gt;0),H2287/E2287,""),"")</f>
        <v/>
      </c>
      <c r="J2287" s="152">
        <f>IFERROR(VALUE(SUBSTITUTE(INDEX('04A_국토부원자료'!$A:$T,ROW()+1,MATCH("층",'04A_국토부원자료'!$A$4:$T$4,0)),",","")),"")</f>
        <v/>
      </c>
      <c r="K2287" s="152">
        <f>IFERROR(VALUE(SUBSTITUTE(INDEX('04A_국토부원자료'!$A:$T,ROW()+1,MATCH("건축년도",'04A_국토부원자료'!$A$4:$T$4,0)),",","")),"")</f>
        <v/>
      </c>
      <c r="L2287" s="48">
        <f>IFERROR(INDEX('04A_국토부원자료'!$A:$T,ROW()+1,MATCH("도로명",'04A_국토부원자료'!$A$4:$T$4,0)),"")</f>
        <v/>
      </c>
      <c r="M2287" s="48">
        <f>IFERROR(INDEX('04A_국토부원자료'!$A:$T,ROW()+1,MATCH("거래유형",'04A_국토부원자료'!$A$4:$T$4,0)),"")</f>
        <v/>
      </c>
      <c r="N2287" s="152">
        <f>IF(B2287="","",IF('02_대상물건입력'!B5="",1,IF(ISNUMBER(SEARCH('02_대상물건입력'!B5,B2287)),1,0)))</f>
        <v/>
      </c>
      <c r="O2287" s="152">
        <f>IF(B2287="","",IF('02_대상물건입력'!B6="",1,IF(ISNUMBER(SEARCH('02_대상물건입력'!B6,B2287)),1,0)))</f>
        <v/>
      </c>
      <c r="P2287" s="152">
        <f>IF(L2287="","",IF('02_대상물건입력'!B15="",0,IF(ISNUMBER(SEARCH('02_대상물건입력'!B15,L2287)),1,0)))</f>
        <v/>
      </c>
      <c r="Q2287" s="152">
        <f>IF(OR(C2287="",L2287=""),0,IF(AND(TRIM(C2287)=TRIM(RIGHT(SUBSTITUTE(TRIM('02_대상물건입력'!$B$7)," ",REPT(" ",99)),99)),IF('02_대상물건입력'!B15="",TRUE(),ISNUMBER(SEARCH('02_대상물건입력'!B15,L2287)))),1,0))</f>
        <v/>
      </c>
      <c r="R2287" s="175">
        <f>IFERROR(ABS(E2287-'02_대상물건입력'!B11)/'02_대상물건입력'!B11,"")</f>
        <v/>
      </c>
      <c r="S2287" s="152">
        <f>IFERROR(ABS(J2287-'02_대상물건입력'!B10),"")</f>
        <v/>
      </c>
      <c r="T2287" s="152">
        <f>IFERROR(ABS('01_설정'!B4-F2287),"")</f>
        <v/>
      </c>
      <c r="U2287" s="152">
        <f>IFERROR(ABS(K2287-YEAR('02_대상물건입력'!B14)),"")</f>
        <v/>
      </c>
      <c r="V2287" s="152">
        <f>IF(B2287="","",IF(AND(E2287&gt;0,F2287&gt;0,H2287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2287=1,TRUE()),R2287&lt;='01_설정'!B5,S2287&lt;='01_설정'!B6,T2287&lt;='01_설정'!B7,U2287&lt;='01_설정'!B8),"Y",""))</f>
        <v/>
      </c>
      <c r="W2287" s="172">
        <f>IF(V2287&lt;&gt;"Y","",MAX(0,(1-R2287/'01_설정'!B5))*'01_설정'!B14+MAX(0,(1-S2287/'01_설정'!B6))*'01_설정'!B15+MAX(0,(1-T2287/'01_설정'!B7))*'01_설정'!B16+MAX(0,(1-U2287/'01_설정'!B8))*'01_설정'!B17+O2287*'01_설정'!B11+Q2287*'01_설정'!B12+P2287*'01_설정'!B13+IF(Z2287="",0,Z2287))</f>
        <v/>
      </c>
      <c r="X2287" s="152">
        <f>IF(W2287="","",1+COUNTIFS($W$4:$W$3003,"&gt;"&amp;W2287)+COUNTIFS($W$4:W2287,W2287)-1)</f>
        <v/>
      </c>
      <c r="Y2287" s="175">
        <f>IF(OR(I2287="",'02_대상물건입력'!B19="",'02_대상물건입력'!B19&lt;=0),"",ABS(I2287-'02_대상물건입력'!B19)/'02_대상물건입력'!B19)</f>
        <v/>
      </c>
      <c r="Z2287" s="172">
        <f>IF(OR(Y2287="",'01_설정'!B31="",'01_설정'!B31&lt;=0,'01_설정'!B32="",'01_설정'!B32&lt;=0),"",MAX(0,(1-Y2287/'01_설정'!B32))*'01_설정'!B31)</f>
        <v/>
      </c>
    </row>
    <row r="2288" ht="17.25" customHeight="1">
      <c r="A2288" s="152">
        <f>IF(INDEX('04A_국토부원자료'!$A:$A,ROW()+1)="","",ROW()-3)</f>
        <v/>
      </c>
      <c r="B2288" s="48">
        <f>IFERROR(INDEX('04A_국토부원자료'!$A:$T,ROW()+1,MATCH("시군구",'04A_국토부원자료'!$A$4:$T$4,0)),"")</f>
        <v/>
      </c>
      <c r="C2288" s="48">
        <f>IF(B2288="","",IFERROR(INDEX('04A_국토부원자료'!$A:$T,ROW()+1,MATCH("번지",'04A_국토부원자료'!$A$4:$T$4,0)),""))</f>
        <v/>
      </c>
      <c r="D2288" s="48">
        <f>IF(B2288="","",IF(Q2288=1,'02_대상물건입력'!$B$8,IFERROR(INDEX('04A_국토부원자료'!$A:$T,ROW()+1,MATCH("단지명",'04A_국토부원자료'!$A$4:$T$4,0)),"")))</f>
        <v/>
      </c>
      <c r="E2288" s="172">
        <f>IFERROR(VALUE(SUBSTITUTE(INDEX('04A_국토부원자료'!$A:$T,ROW()+1,MATCH("전용면적(㎡)",'04A_국토부원자료'!$A$4:$T$4,0)),",","")),"")</f>
        <v/>
      </c>
      <c r="F22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88" s="51">
        <f>IFERROR(VALUE(SUBSTITUTE(INDEX('04A_국토부원자료'!$A:$T,ROW()+1,MATCH("거래금액(만원)",'04A_국토부원자료'!$A$4:$T$4,0)),",","")),"")</f>
        <v/>
      </c>
      <c r="H2288" s="174">
        <f>IF(G2288="","",G2288*10000)</f>
        <v/>
      </c>
      <c r="I2288" s="174">
        <f>IFERROR(IF(AND(H2288&gt;0,E2288&gt;0),H2288/E2288,""),"")</f>
        <v/>
      </c>
      <c r="J2288" s="152">
        <f>IFERROR(VALUE(SUBSTITUTE(INDEX('04A_국토부원자료'!$A:$T,ROW()+1,MATCH("층",'04A_국토부원자료'!$A$4:$T$4,0)),",","")),"")</f>
        <v/>
      </c>
      <c r="K2288" s="152">
        <f>IFERROR(VALUE(SUBSTITUTE(INDEX('04A_국토부원자료'!$A:$T,ROW()+1,MATCH("건축년도",'04A_국토부원자료'!$A$4:$T$4,0)),",","")),"")</f>
        <v/>
      </c>
      <c r="L2288" s="48">
        <f>IFERROR(INDEX('04A_국토부원자료'!$A:$T,ROW()+1,MATCH("도로명",'04A_국토부원자료'!$A$4:$T$4,0)),"")</f>
        <v/>
      </c>
      <c r="M2288" s="48">
        <f>IFERROR(INDEX('04A_국토부원자료'!$A:$T,ROW()+1,MATCH("거래유형",'04A_국토부원자료'!$A$4:$T$4,0)),"")</f>
        <v/>
      </c>
      <c r="N2288" s="152">
        <f>IF(B2288="","",IF('02_대상물건입력'!B5="",1,IF(ISNUMBER(SEARCH('02_대상물건입력'!B5,B2288)),1,0)))</f>
        <v/>
      </c>
      <c r="O2288" s="152">
        <f>IF(B2288="","",IF('02_대상물건입력'!B6="",1,IF(ISNUMBER(SEARCH('02_대상물건입력'!B6,B2288)),1,0)))</f>
        <v/>
      </c>
      <c r="P2288" s="152">
        <f>IF(L2288="","",IF('02_대상물건입력'!B15="",0,IF(ISNUMBER(SEARCH('02_대상물건입력'!B15,L2288)),1,0)))</f>
        <v/>
      </c>
      <c r="Q2288" s="152">
        <f>IF(OR(C2288="",L2288=""),0,IF(AND(TRIM(C2288)=TRIM(RIGHT(SUBSTITUTE(TRIM('02_대상물건입력'!$B$7)," ",REPT(" ",99)),99)),IF('02_대상물건입력'!B15="",TRUE(),ISNUMBER(SEARCH('02_대상물건입력'!B15,L2288)))),1,0))</f>
        <v/>
      </c>
      <c r="R2288" s="175">
        <f>IFERROR(ABS(E2288-'02_대상물건입력'!B11)/'02_대상물건입력'!B11,"")</f>
        <v/>
      </c>
      <c r="S2288" s="152">
        <f>IFERROR(ABS(J2288-'02_대상물건입력'!B10),"")</f>
        <v/>
      </c>
      <c r="T2288" s="152">
        <f>IFERROR(ABS('01_설정'!B4-F2288),"")</f>
        <v/>
      </c>
      <c r="U2288" s="152">
        <f>IFERROR(ABS(K2288-YEAR('02_대상물건입력'!B14)),"")</f>
        <v/>
      </c>
      <c r="V2288" s="152">
        <f>IF(B2288="","",IF(AND(E2288&gt;0,F2288&gt;0,H2288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2288=1,TRUE()),R2288&lt;='01_설정'!B5,S2288&lt;='01_설정'!B6,T2288&lt;='01_설정'!B7,U2288&lt;='01_설정'!B8),"Y",""))</f>
        <v/>
      </c>
      <c r="W2288" s="172">
        <f>IF(V2288&lt;&gt;"Y","",MAX(0,(1-R2288/'01_설정'!B5))*'01_설정'!B14+MAX(0,(1-S2288/'01_설정'!B6))*'01_설정'!B15+MAX(0,(1-T2288/'01_설정'!B7))*'01_설정'!B16+MAX(0,(1-U2288/'01_설정'!B8))*'01_설정'!B17+O2288*'01_설정'!B11+Q2288*'01_설정'!B12+P2288*'01_설정'!B13+IF(Z2288="",0,Z2288))</f>
        <v/>
      </c>
      <c r="X2288" s="152">
        <f>IF(W2288="","",1+COUNTIFS($W$4:$W$3003,"&gt;"&amp;W2288)+COUNTIFS($W$4:W2288,W2288)-1)</f>
        <v/>
      </c>
      <c r="Y2288" s="175">
        <f>IF(OR(I2288="",'02_대상물건입력'!B19="",'02_대상물건입력'!B19&lt;=0),"",ABS(I2288-'02_대상물건입력'!B19)/'02_대상물건입력'!B19)</f>
        <v/>
      </c>
      <c r="Z2288" s="172">
        <f>IF(OR(Y2288="",'01_설정'!B31="",'01_설정'!B31&lt;=0,'01_설정'!B32="",'01_설정'!B32&lt;=0),"",MAX(0,(1-Y2288/'01_설정'!B32))*'01_설정'!B31)</f>
        <v/>
      </c>
    </row>
    <row r="2289" ht="17.25" customHeight="1">
      <c r="A2289" s="152">
        <f>IF(INDEX('04A_국토부원자료'!$A:$A,ROW()+1)="","",ROW()-3)</f>
        <v/>
      </c>
      <c r="B2289" s="48">
        <f>IFERROR(INDEX('04A_국토부원자료'!$A:$T,ROW()+1,MATCH("시군구",'04A_국토부원자료'!$A$4:$T$4,0)),"")</f>
        <v/>
      </c>
      <c r="C2289" s="48">
        <f>IF(B2289="","",IFERROR(INDEX('04A_국토부원자료'!$A:$T,ROW()+1,MATCH("번지",'04A_국토부원자료'!$A$4:$T$4,0)),""))</f>
        <v/>
      </c>
      <c r="D2289" s="48">
        <f>IF(B2289="","",IF(Q2289=1,'02_대상물건입력'!$B$8,IFERROR(INDEX('04A_국토부원자료'!$A:$T,ROW()+1,MATCH("단지명",'04A_국토부원자료'!$A$4:$T$4,0)),"")))</f>
        <v/>
      </c>
      <c r="E2289" s="172">
        <f>IFERROR(VALUE(SUBSTITUTE(INDEX('04A_국토부원자료'!$A:$T,ROW()+1,MATCH("전용면적(㎡)",'04A_국토부원자료'!$A$4:$T$4,0)),",","")),"")</f>
        <v/>
      </c>
      <c r="F22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89" s="51">
        <f>IFERROR(VALUE(SUBSTITUTE(INDEX('04A_국토부원자료'!$A:$T,ROW()+1,MATCH("거래금액(만원)",'04A_국토부원자료'!$A$4:$T$4,0)),",","")),"")</f>
        <v/>
      </c>
      <c r="H2289" s="174">
        <f>IF(G2289="","",G2289*10000)</f>
        <v/>
      </c>
      <c r="I2289" s="174">
        <f>IFERROR(IF(AND(H2289&gt;0,E2289&gt;0),H2289/E2289,""),"")</f>
        <v/>
      </c>
      <c r="J2289" s="152">
        <f>IFERROR(VALUE(SUBSTITUTE(INDEX('04A_국토부원자료'!$A:$T,ROW()+1,MATCH("층",'04A_국토부원자료'!$A$4:$T$4,0)),",","")),"")</f>
        <v/>
      </c>
      <c r="K2289" s="152">
        <f>IFERROR(VALUE(SUBSTITUTE(INDEX('04A_국토부원자료'!$A:$T,ROW()+1,MATCH("건축년도",'04A_국토부원자료'!$A$4:$T$4,0)),",","")),"")</f>
        <v/>
      </c>
      <c r="L2289" s="48">
        <f>IFERROR(INDEX('04A_국토부원자료'!$A:$T,ROW()+1,MATCH("도로명",'04A_국토부원자료'!$A$4:$T$4,0)),"")</f>
        <v/>
      </c>
      <c r="M2289" s="48">
        <f>IFERROR(INDEX('04A_국토부원자료'!$A:$T,ROW()+1,MATCH("거래유형",'04A_국토부원자료'!$A$4:$T$4,0)),"")</f>
        <v/>
      </c>
      <c r="N2289" s="152">
        <f>IF(B2289="","",IF('02_대상물건입력'!B5="",1,IF(ISNUMBER(SEARCH('02_대상물건입력'!B5,B2289)),1,0)))</f>
        <v/>
      </c>
      <c r="O2289" s="152">
        <f>IF(B2289="","",IF('02_대상물건입력'!B6="",1,IF(ISNUMBER(SEARCH('02_대상물건입력'!B6,B2289)),1,0)))</f>
        <v/>
      </c>
      <c r="P2289" s="152">
        <f>IF(L2289="","",IF('02_대상물건입력'!B15="",0,IF(ISNUMBER(SEARCH('02_대상물건입력'!B15,L2289)),1,0)))</f>
        <v/>
      </c>
      <c r="Q2289" s="152">
        <f>IF(OR(C2289="",L2289=""),0,IF(AND(TRIM(C2289)=TRIM(RIGHT(SUBSTITUTE(TRIM('02_대상물건입력'!$B$7)," ",REPT(" ",99)),99)),IF('02_대상물건입력'!B15="",TRUE(),ISNUMBER(SEARCH('02_대상물건입력'!B15,L2289)))),1,0))</f>
        <v/>
      </c>
      <c r="R2289" s="175">
        <f>IFERROR(ABS(E2289-'02_대상물건입력'!B11)/'02_대상물건입력'!B11,"")</f>
        <v/>
      </c>
      <c r="S2289" s="152">
        <f>IFERROR(ABS(J2289-'02_대상물건입력'!B10),"")</f>
        <v/>
      </c>
      <c r="T2289" s="152">
        <f>IFERROR(ABS('01_설정'!B4-F2289),"")</f>
        <v/>
      </c>
      <c r="U2289" s="152">
        <f>IFERROR(ABS(K2289-YEAR('02_대상물건입력'!B14)),"")</f>
        <v/>
      </c>
      <c r="V2289" s="152">
        <f>IF(B2289="","",IF(AND(E2289&gt;0,F2289&gt;0,H2289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2289=1,TRUE()),R2289&lt;='01_설정'!B5,S2289&lt;='01_설정'!B6,T2289&lt;='01_설정'!B7,U2289&lt;='01_설정'!B8),"Y",""))</f>
        <v/>
      </c>
      <c r="W2289" s="172">
        <f>IF(V2289&lt;&gt;"Y","",MAX(0,(1-R2289/'01_설정'!B5))*'01_설정'!B14+MAX(0,(1-S2289/'01_설정'!B6))*'01_설정'!B15+MAX(0,(1-T2289/'01_설정'!B7))*'01_설정'!B16+MAX(0,(1-U2289/'01_설정'!B8))*'01_설정'!B17+O2289*'01_설정'!B11+Q2289*'01_설정'!B12+P2289*'01_설정'!B13+IF(Z2289="",0,Z2289))</f>
        <v/>
      </c>
      <c r="X2289" s="152">
        <f>IF(W2289="","",1+COUNTIFS($W$4:$W$3003,"&gt;"&amp;W2289)+COUNTIFS($W$4:W2289,W2289)-1)</f>
        <v/>
      </c>
      <c r="Y2289" s="175">
        <f>IF(OR(I2289="",'02_대상물건입력'!B19="",'02_대상물건입력'!B19&lt;=0),"",ABS(I2289-'02_대상물건입력'!B19)/'02_대상물건입력'!B19)</f>
        <v/>
      </c>
      <c r="Z2289" s="172">
        <f>IF(OR(Y2289="",'01_설정'!B31="",'01_설정'!B31&lt;=0,'01_설정'!B32="",'01_설정'!B32&lt;=0),"",MAX(0,(1-Y2289/'01_설정'!B32))*'01_설정'!B31)</f>
        <v/>
      </c>
    </row>
    <row r="2290" ht="17.25" customHeight="1">
      <c r="A2290" s="152">
        <f>IF(INDEX('04A_국토부원자료'!$A:$A,ROW()+1)="","",ROW()-3)</f>
        <v/>
      </c>
      <c r="B2290" s="48">
        <f>IFERROR(INDEX('04A_국토부원자료'!$A:$T,ROW()+1,MATCH("시군구",'04A_국토부원자료'!$A$4:$T$4,0)),"")</f>
        <v/>
      </c>
      <c r="C2290" s="48">
        <f>IF(B2290="","",IFERROR(INDEX('04A_국토부원자료'!$A:$T,ROW()+1,MATCH("번지",'04A_국토부원자료'!$A$4:$T$4,0)),""))</f>
        <v/>
      </c>
      <c r="D2290" s="48">
        <f>IF(B2290="","",IF(Q2290=1,'02_대상물건입력'!$B$8,IFERROR(INDEX('04A_국토부원자료'!$A:$T,ROW()+1,MATCH("단지명",'04A_국토부원자료'!$A$4:$T$4,0)),"")))</f>
        <v/>
      </c>
      <c r="E2290" s="172">
        <f>IFERROR(VALUE(SUBSTITUTE(INDEX('04A_국토부원자료'!$A:$T,ROW()+1,MATCH("전용면적(㎡)",'04A_국토부원자료'!$A$4:$T$4,0)),",","")),"")</f>
        <v/>
      </c>
      <c r="F22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90" s="51">
        <f>IFERROR(VALUE(SUBSTITUTE(INDEX('04A_국토부원자료'!$A:$T,ROW()+1,MATCH("거래금액(만원)",'04A_국토부원자료'!$A$4:$T$4,0)),",","")),"")</f>
        <v/>
      </c>
      <c r="H2290" s="174">
        <f>IF(G2290="","",G2290*10000)</f>
        <v/>
      </c>
      <c r="I2290" s="174">
        <f>IFERROR(IF(AND(H2290&gt;0,E2290&gt;0),H2290/E2290,""),"")</f>
        <v/>
      </c>
      <c r="J2290" s="152">
        <f>IFERROR(VALUE(SUBSTITUTE(INDEX('04A_국토부원자료'!$A:$T,ROW()+1,MATCH("층",'04A_국토부원자료'!$A$4:$T$4,0)),",","")),"")</f>
        <v/>
      </c>
      <c r="K2290" s="152">
        <f>IFERROR(VALUE(SUBSTITUTE(INDEX('04A_국토부원자료'!$A:$T,ROW()+1,MATCH("건축년도",'04A_국토부원자료'!$A$4:$T$4,0)),",","")),"")</f>
        <v/>
      </c>
      <c r="L2290" s="48">
        <f>IFERROR(INDEX('04A_국토부원자료'!$A:$T,ROW()+1,MATCH("도로명",'04A_국토부원자료'!$A$4:$T$4,0)),"")</f>
        <v/>
      </c>
      <c r="M2290" s="48">
        <f>IFERROR(INDEX('04A_국토부원자료'!$A:$T,ROW()+1,MATCH("거래유형",'04A_국토부원자료'!$A$4:$T$4,0)),"")</f>
        <v/>
      </c>
      <c r="N2290" s="152">
        <f>IF(B2290="","",IF('02_대상물건입력'!B5="",1,IF(ISNUMBER(SEARCH('02_대상물건입력'!B5,B2290)),1,0)))</f>
        <v/>
      </c>
      <c r="O2290" s="152">
        <f>IF(B2290="","",IF('02_대상물건입력'!B6="",1,IF(ISNUMBER(SEARCH('02_대상물건입력'!B6,B2290)),1,0)))</f>
        <v/>
      </c>
      <c r="P2290" s="152">
        <f>IF(L2290="","",IF('02_대상물건입력'!B15="",0,IF(ISNUMBER(SEARCH('02_대상물건입력'!B15,L2290)),1,0)))</f>
        <v/>
      </c>
      <c r="Q2290" s="152">
        <f>IF(OR(C2290="",L2290=""),0,IF(AND(TRIM(C2290)=TRIM(RIGHT(SUBSTITUTE(TRIM('02_대상물건입력'!$B$7)," ",REPT(" ",99)),99)),IF('02_대상물건입력'!B15="",TRUE(),ISNUMBER(SEARCH('02_대상물건입력'!B15,L2290)))),1,0))</f>
        <v/>
      </c>
      <c r="R2290" s="175">
        <f>IFERROR(ABS(E2290-'02_대상물건입력'!B11)/'02_대상물건입력'!B11,"")</f>
        <v/>
      </c>
      <c r="S2290" s="152">
        <f>IFERROR(ABS(J2290-'02_대상물건입력'!B10),"")</f>
        <v/>
      </c>
      <c r="T2290" s="152">
        <f>IFERROR(ABS('01_설정'!B4-F2290),"")</f>
        <v/>
      </c>
      <c r="U2290" s="152">
        <f>IFERROR(ABS(K2290-YEAR('02_대상물건입력'!B14)),"")</f>
        <v/>
      </c>
      <c r="V2290" s="152">
        <f>IF(B2290="","",IF(AND(E2290&gt;0,F2290&gt;0,H2290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2290=1,TRUE()),R2290&lt;='01_설정'!B5,S2290&lt;='01_설정'!B6,T2290&lt;='01_설정'!B7,U2290&lt;='01_설정'!B8),"Y",""))</f>
        <v/>
      </c>
      <c r="W2290" s="172">
        <f>IF(V2290&lt;&gt;"Y","",MAX(0,(1-R2290/'01_설정'!B5))*'01_설정'!B14+MAX(0,(1-S2290/'01_설정'!B6))*'01_설정'!B15+MAX(0,(1-T2290/'01_설정'!B7))*'01_설정'!B16+MAX(0,(1-U2290/'01_설정'!B8))*'01_설정'!B17+O2290*'01_설정'!B11+Q2290*'01_설정'!B12+P2290*'01_설정'!B13+IF(Z2290="",0,Z2290))</f>
        <v/>
      </c>
      <c r="X2290" s="152">
        <f>IF(W2290="","",1+COUNTIFS($W$4:$W$3003,"&gt;"&amp;W2290)+COUNTIFS($W$4:W2290,W2290)-1)</f>
        <v/>
      </c>
      <c r="Y2290" s="175">
        <f>IF(OR(I2290="",'02_대상물건입력'!B19="",'02_대상물건입력'!B19&lt;=0),"",ABS(I2290-'02_대상물건입력'!B19)/'02_대상물건입력'!B19)</f>
        <v/>
      </c>
      <c r="Z2290" s="172">
        <f>IF(OR(Y2290="",'01_설정'!B31="",'01_설정'!B31&lt;=0,'01_설정'!B32="",'01_설정'!B32&lt;=0),"",MAX(0,(1-Y2290/'01_설정'!B32))*'01_설정'!B31)</f>
        <v/>
      </c>
    </row>
    <row r="2291" ht="17.25" customHeight="1">
      <c r="A2291" s="152">
        <f>IF(INDEX('04A_국토부원자료'!$A:$A,ROW()+1)="","",ROW()-3)</f>
        <v/>
      </c>
      <c r="B2291" s="48">
        <f>IFERROR(INDEX('04A_국토부원자료'!$A:$T,ROW()+1,MATCH("시군구",'04A_국토부원자료'!$A$4:$T$4,0)),"")</f>
        <v/>
      </c>
      <c r="C2291" s="48">
        <f>IF(B2291="","",IFERROR(INDEX('04A_국토부원자료'!$A:$T,ROW()+1,MATCH("번지",'04A_국토부원자료'!$A$4:$T$4,0)),""))</f>
        <v/>
      </c>
      <c r="D2291" s="48">
        <f>IF(B2291="","",IF(Q2291=1,'02_대상물건입력'!$B$8,IFERROR(INDEX('04A_국토부원자료'!$A:$T,ROW()+1,MATCH("단지명",'04A_국토부원자료'!$A$4:$T$4,0)),"")))</f>
        <v/>
      </c>
      <c r="E2291" s="172">
        <f>IFERROR(VALUE(SUBSTITUTE(INDEX('04A_국토부원자료'!$A:$T,ROW()+1,MATCH("전용면적(㎡)",'04A_국토부원자료'!$A$4:$T$4,0)),",","")),"")</f>
        <v/>
      </c>
      <c r="F22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91" s="51">
        <f>IFERROR(VALUE(SUBSTITUTE(INDEX('04A_국토부원자료'!$A:$T,ROW()+1,MATCH("거래금액(만원)",'04A_국토부원자료'!$A$4:$T$4,0)),",","")),"")</f>
        <v/>
      </c>
      <c r="H2291" s="174">
        <f>IF(G2291="","",G2291*10000)</f>
        <v/>
      </c>
      <c r="I2291" s="174">
        <f>IFERROR(IF(AND(H2291&gt;0,E2291&gt;0),H2291/E2291,""),"")</f>
        <v/>
      </c>
      <c r="J2291" s="152">
        <f>IFERROR(VALUE(SUBSTITUTE(INDEX('04A_국토부원자료'!$A:$T,ROW()+1,MATCH("층",'04A_국토부원자료'!$A$4:$T$4,0)),",","")),"")</f>
        <v/>
      </c>
      <c r="K2291" s="152">
        <f>IFERROR(VALUE(SUBSTITUTE(INDEX('04A_국토부원자료'!$A:$T,ROW()+1,MATCH("건축년도",'04A_국토부원자료'!$A$4:$T$4,0)),",","")),"")</f>
        <v/>
      </c>
      <c r="L2291" s="48">
        <f>IFERROR(INDEX('04A_국토부원자료'!$A:$T,ROW()+1,MATCH("도로명",'04A_국토부원자료'!$A$4:$T$4,0)),"")</f>
        <v/>
      </c>
      <c r="M2291" s="48">
        <f>IFERROR(INDEX('04A_국토부원자료'!$A:$T,ROW()+1,MATCH("거래유형",'04A_국토부원자료'!$A$4:$T$4,0)),"")</f>
        <v/>
      </c>
      <c r="N2291" s="152">
        <f>IF(B2291="","",IF('02_대상물건입력'!B5="",1,IF(ISNUMBER(SEARCH('02_대상물건입력'!B5,B2291)),1,0)))</f>
        <v/>
      </c>
      <c r="O2291" s="152">
        <f>IF(B2291="","",IF('02_대상물건입력'!B6="",1,IF(ISNUMBER(SEARCH('02_대상물건입력'!B6,B2291)),1,0)))</f>
        <v/>
      </c>
      <c r="P2291" s="152">
        <f>IF(L2291="","",IF('02_대상물건입력'!B15="",0,IF(ISNUMBER(SEARCH('02_대상물건입력'!B15,L2291)),1,0)))</f>
        <v/>
      </c>
      <c r="Q2291" s="152">
        <f>IF(OR(C2291="",L2291=""),0,IF(AND(TRIM(C2291)=TRIM(RIGHT(SUBSTITUTE(TRIM('02_대상물건입력'!$B$7)," ",REPT(" ",99)),99)),IF('02_대상물건입력'!B15="",TRUE(),ISNUMBER(SEARCH('02_대상물건입력'!B15,L2291)))),1,0))</f>
        <v/>
      </c>
      <c r="R2291" s="175">
        <f>IFERROR(ABS(E2291-'02_대상물건입력'!B11)/'02_대상물건입력'!B11,"")</f>
        <v/>
      </c>
      <c r="S2291" s="152">
        <f>IFERROR(ABS(J2291-'02_대상물건입력'!B10),"")</f>
        <v/>
      </c>
      <c r="T2291" s="152">
        <f>IFERROR(ABS('01_설정'!B4-F2291),"")</f>
        <v/>
      </c>
      <c r="U2291" s="152">
        <f>IFERROR(ABS(K2291-YEAR('02_대상물건입력'!B14)),"")</f>
        <v/>
      </c>
      <c r="V2291" s="152">
        <f>IF(B2291="","",IF(AND(E2291&gt;0,F2291&gt;0,H2291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2291=1,TRUE()),R2291&lt;='01_설정'!B5,S2291&lt;='01_설정'!B6,T2291&lt;='01_설정'!B7,U2291&lt;='01_설정'!B8),"Y",""))</f>
        <v/>
      </c>
      <c r="W2291" s="172">
        <f>IF(V2291&lt;&gt;"Y","",MAX(0,(1-R2291/'01_설정'!B5))*'01_설정'!B14+MAX(0,(1-S2291/'01_설정'!B6))*'01_설정'!B15+MAX(0,(1-T2291/'01_설정'!B7))*'01_설정'!B16+MAX(0,(1-U2291/'01_설정'!B8))*'01_설정'!B17+O2291*'01_설정'!B11+Q2291*'01_설정'!B12+P2291*'01_설정'!B13+IF(Z2291="",0,Z2291))</f>
        <v/>
      </c>
      <c r="X2291" s="152">
        <f>IF(W2291="","",1+COUNTIFS($W$4:$W$3003,"&gt;"&amp;W2291)+COUNTIFS($W$4:W2291,W2291)-1)</f>
        <v/>
      </c>
      <c r="Y2291" s="175">
        <f>IF(OR(I2291="",'02_대상물건입력'!B19="",'02_대상물건입력'!B19&lt;=0),"",ABS(I2291-'02_대상물건입력'!B19)/'02_대상물건입력'!B19)</f>
        <v/>
      </c>
      <c r="Z2291" s="172">
        <f>IF(OR(Y2291="",'01_설정'!B31="",'01_설정'!B31&lt;=0,'01_설정'!B32="",'01_설정'!B32&lt;=0),"",MAX(0,(1-Y2291/'01_설정'!B32))*'01_설정'!B31)</f>
        <v/>
      </c>
    </row>
    <row r="2292" ht="17.25" customHeight="1">
      <c r="A2292" s="152">
        <f>IF(INDEX('04A_국토부원자료'!$A:$A,ROW()+1)="","",ROW()-3)</f>
        <v/>
      </c>
      <c r="B2292" s="48">
        <f>IFERROR(INDEX('04A_국토부원자료'!$A:$T,ROW()+1,MATCH("시군구",'04A_국토부원자료'!$A$4:$T$4,0)),"")</f>
        <v/>
      </c>
      <c r="C2292" s="48">
        <f>IF(B2292="","",IFERROR(INDEX('04A_국토부원자료'!$A:$T,ROW()+1,MATCH("번지",'04A_국토부원자료'!$A$4:$T$4,0)),""))</f>
        <v/>
      </c>
      <c r="D2292" s="48">
        <f>IF(B2292="","",IF(Q2292=1,'02_대상물건입력'!$B$8,IFERROR(INDEX('04A_국토부원자료'!$A:$T,ROW()+1,MATCH("단지명",'04A_국토부원자료'!$A$4:$T$4,0)),"")))</f>
        <v/>
      </c>
      <c r="E2292" s="172">
        <f>IFERROR(VALUE(SUBSTITUTE(INDEX('04A_국토부원자료'!$A:$T,ROW()+1,MATCH("전용면적(㎡)",'04A_국토부원자료'!$A$4:$T$4,0)),",","")),"")</f>
        <v/>
      </c>
      <c r="F22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92" s="51">
        <f>IFERROR(VALUE(SUBSTITUTE(INDEX('04A_국토부원자료'!$A:$T,ROW()+1,MATCH("거래금액(만원)",'04A_국토부원자료'!$A$4:$T$4,0)),",","")),"")</f>
        <v/>
      </c>
      <c r="H2292" s="174">
        <f>IF(G2292="","",G2292*10000)</f>
        <v/>
      </c>
      <c r="I2292" s="174">
        <f>IFERROR(IF(AND(H2292&gt;0,E2292&gt;0),H2292/E2292,""),"")</f>
        <v/>
      </c>
      <c r="J2292" s="152">
        <f>IFERROR(VALUE(SUBSTITUTE(INDEX('04A_국토부원자료'!$A:$T,ROW()+1,MATCH("층",'04A_국토부원자료'!$A$4:$T$4,0)),",","")),"")</f>
        <v/>
      </c>
      <c r="K2292" s="152">
        <f>IFERROR(VALUE(SUBSTITUTE(INDEX('04A_국토부원자료'!$A:$T,ROW()+1,MATCH("건축년도",'04A_국토부원자료'!$A$4:$T$4,0)),",","")),"")</f>
        <v/>
      </c>
      <c r="L2292" s="48">
        <f>IFERROR(INDEX('04A_국토부원자료'!$A:$T,ROW()+1,MATCH("도로명",'04A_국토부원자료'!$A$4:$T$4,0)),"")</f>
        <v/>
      </c>
      <c r="M2292" s="48">
        <f>IFERROR(INDEX('04A_국토부원자료'!$A:$T,ROW()+1,MATCH("거래유형",'04A_국토부원자료'!$A$4:$T$4,0)),"")</f>
        <v/>
      </c>
      <c r="N2292" s="152">
        <f>IF(B2292="","",IF('02_대상물건입력'!B5="",1,IF(ISNUMBER(SEARCH('02_대상물건입력'!B5,B2292)),1,0)))</f>
        <v/>
      </c>
      <c r="O2292" s="152">
        <f>IF(B2292="","",IF('02_대상물건입력'!B6="",1,IF(ISNUMBER(SEARCH('02_대상물건입력'!B6,B2292)),1,0)))</f>
        <v/>
      </c>
      <c r="P2292" s="152">
        <f>IF(L2292="","",IF('02_대상물건입력'!B15="",0,IF(ISNUMBER(SEARCH('02_대상물건입력'!B15,L2292)),1,0)))</f>
        <v/>
      </c>
      <c r="Q2292" s="152">
        <f>IF(OR(C2292="",L2292=""),0,IF(AND(TRIM(C2292)=TRIM(RIGHT(SUBSTITUTE(TRIM('02_대상물건입력'!$B$7)," ",REPT(" ",99)),99)),IF('02_대상물건입력'!B15="",TRUE(),ISNUMBER(SEARCH('02_대상물건입력'!B15,L2292)))),1,0))</f>
        <v/>
      </c>
      <c r="R2292" s="175">
        <f>IFERROR(ABS(E2292-'02_대상물건입력'!B11)/'02_대상물건입력'!B11,"")</f>
        <v/>
      </c>
      <c r="S2292" s="152">
        <f>IFERROR(ABS(J2292-'02_대상물건입력'!B10),"")</f>
        <v/>
      </c>
      <c r="T2292" s="152">
        <f>IFERROR(ABS('01_설정'!B4-F2292),"")</f>
        <v/>
      </c>
      <c r="U2292" s="152">
        <f>IFERROR(ABS(K2292-YEAR('02_대상물건입력'!B14)),"")</f>
        <v/>
      </c>
      <c r="V2292" s="152">
        <f>IF(B2292="","",IF(AND(E2292&gt;0,F2292&gt;0,H2292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2292=1,TRUE()),R2292&lt;='01_설정'!B5,S2292&lt;='01_설정'!B6,T2292&lt;='01_설정'!B7,U2292&lt;='01_설정'!B8),"Y",""))</f>
        <v/>
      </c>
      <c r="W2292" s="172">
        <f>IF(V2292&lt;&gt;"Y","",MAX(0,(1-R2292/'01_설정'!B5))*'01_설정'!B14+MAX(0,(1-S2292/'01_설정'!B6))*'01_설정'!B15+MAX(0,(1-T2292/'01_설정'!B7))*'01_설정'!B16+MAX(0,(1-U2292/'01_설정'!B8))*'01_설정'!B17+O2292*'01_설정'!B11+Q2292*'01_설정'!B12+P2292*'01_설정'!B13+IF(Z2292="",0,Z2292))</f>
        <v/>
      </c>
      <c r="X2292" s="152">
        <f>IF(W2292="","",1+COUNTIFS($W$4:$W$3003,"&gt;"&amp;W2292)+COUNTIFS($W$4:W2292,W2292)-1)</f>
        <v/>
      </c>
      <c r="Y2292" s="175">
        <f>IF(OR(I2292="",'02_대상물건입력'!B19="",'02_대상물건입력'!B19&lt;=0),"",ABS(I2292-'02_대상물건입력'!B19)/'02_대상물건입력'!B19)</f>
        <v/>
      </c>
      <c r="Z2292" s="172">
        <f>IF(OR(Y2292="",'01_설정'!B31="",'01_설정'!B31&lt;=0,'01_설정'!B32="",'01_설정'!B32&lt;=0),"",MAX(0,(1-Y2292/'01_설정'!B32))*'01_설정'!B31)</f>
        <v/>
      </c>
    </row>
    <row r="2293" ht="17.25" customHeight="1">
      <c r="A2293" s="152">
        <f>IF(INDEX('04A_국토부원자료'!$A:$A,ROW()+1)="","",ROW()-3)</f>
        <v/>
      </c>
      <c r="B2293" s="48">
        <f>IFERROR(INDEX('04A_국토부원자료'!$A:$T,ROW()+1,MATCH("시군구",'04A_국토부원자료'!$A$4:$T$4,0)),"")</f>
        <v/>
      </c>
      <c r="C2293" s="48">
        <f>IF(B2293="","",IFERROR(INDEX('04A_국토부원자료'!$A:$T,ROW()+1,MATCH("번지",'04A_국토부원자료'!$A$4:$T$4,0)),""))</f>
        <v/>
      </c>
      <c r="D2293" s="48">
        <f>IF(B2293="","",IF(Q2293=1,'02_대상물건입력'!$B$8,IFERROR(INDEX('04A_국토부원자료'!$A:$T,ROW()+1,MATCH("단지명",'04A_국토부원자료'!$A$4:$T$4,0)),"")))</f>
        <v/>
      </c>
      <c r="E2293" s="172">
        <f>IFERROR(VALUE(SUBSTITUTE(INDEX('04A_국토부원자료'!$A:$T,ROW()+1,MATCH("전용면적(㎡)",'04A_국토부원자료'!$A$4:$T$4,0)),",","")),"")</f>
        <v/>
      </c>
      <c r="F22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93" s="51">
        <f>IFERROR(VALUE(SUBSTITUTE(INDEX('04A_국토부원자료'!$A:$T,ROW()+1,MATCH("거래금액(만원)",'04A_국토부원자료'!$A$4:$T$4,0)),",","")),"")</f>
        <v/>
      </c>
      <c r="H2293" s="174">
        <f>IF(G2293="","",G2293*10000)</f>
        <v/>
      </c>
      <c r="I2293" s="174">
        <f>IFERROR(IF(AND(H2293&gt;0,E2293&gt;0),H2293/E2293,""),"")</f>
        <v/>
      </c>
      <c r="J2293" s="152">
        <f>IFERROR(VALUE(SUBSTITUTE(INDEX('04A_국토부원자료'!$A:$T,ROW()+1,MATCH("층",'04A_국토부원자료'!$A$4:$T$4,0)),",","")),"")</f>
        <v/>
      </c>
      <c r="K2293" s="152">
        <f>IFERROR(VALUE(SUBSTITUTE(INDEX('04A_국토부원자료'!$A:$T,ROW()+1,MATCH("건축년도",'04A_국토부원자료'!$A$4:$T$4,0)),",","")),"")</f>
        <v/>
      </c>
      <c r="L2293" s="48">
        <f>IFERROR(INDEX('04A_국토부원자료'!$A:$T,ROW()+1,MATCH("도로명",'04A_국토부원자료'!$A$4:$T$4,0)),"")</f>
        <v/>
      </c>
      <c r="M2293" s="48">
        <f>IFERROR(INDEX('04A_국토부원자료'!$A:$T,ROW()+1,MATCH("거래유형",'04A_국토부원자료'!$A$4:$T$4,0)),"")</f>
        <v/>
      </c>
      <c r="N2293" s="152">
        <f>IF(B2293="","",IF('02_대상물건입력'!B5="",1,IF(ISNUMBER(SEARCH('02_대상물건입력'!B5,B2293)),1,0)))</f>
        <v/>
      </c>
      <c r="O2293" s="152">
        <f>IF(B2293="","",IF('02_대상물건입력'!B6="",1,IF(ISNUMBER(SEARCH('02_대상물건입력'!B6,B2293)),1,0)))</f>
        <v/>
      </c>
      <c r="P2293" s="152">
        <f>IF(L2293="","",IF('02_대상물건입력'!B15="",0,IF(ISNUMBER(SEARCH('02_대상물건입력'!B15,L2293)),1,0)))</f>
        <v/>
      </c>
      <c r="Q2293" s="152">
        <f>IF(OR(C2293="",L2293=""),0,IF(AND(TRIM(C2293)=TRIM(RIGHT(SUBSTITUTE(TRIM('02_대상물건입력'!$B$7)," ",REPT(" ",99)),99)),IF('02_대상물건입력'!B15="",TRUE(),ISNUMBER(SEARCH('02_대상물건입력'!B15,L2293)))),1,0))</f>
        <v/>
      </c>
      <c r="R2293" s="175">
        <f>IFERROR(ABS(E2293-'02_대상물건입력'!B11)/'02_대상물건입력'!B11,"")</f>
        <v/>
      </c>
      <c r="S2293" s="152">
        <f>IFERROR(ABS(J2293-'02_대상물건입력'!B10),"")</f>
        <v/>
      </c>
      <c r="T2293" s="152">
        <f>IFERROR(ABS('01_설정'!B4-F2293),"")</f>
        <v/>
      </c>
      <c r="U2293" s="152">
        <f>IFERROR(ABS(K2293-YEAR('02_대상물건입력'!B14)),"")</f>
        <v/>
      </c>
      <c r="V2293" s="152">
        <f>IF(B2293="","",IF(AND(E2293&gt;0,F2293&gt;0,H2293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2293=1,TRUE()),R2293&lt;='01_설정'!B5,S2293&lt;='01_설정'!B6,T2293&lt;='01_설정'!B7,U2293&lt;='01_설정'!B8),"Y",""))</f>
        <v/>
      </c>
      <c r="W2293" s="172">
        <f>IF(V2293&lt;&gt;"Y","",MAX(0,(1-R2293/'01_설정'!B5))*'01_설정'!B14+MAX(0,(1-S2293/'01_설정'!B6))*'01_설정'!B15+MAX(0,(1-T2293/'01_설정'!B7))*'01_설정'!B16+MAX(0,(1-U2293/'01_설정'!B8))*'01_설정'!B17+O2293*'01_설정'!B11+Q2293*'01_설정'!B12+P2293*'01_설정'!B13+IF(Z2293="",0,Z2293))</f>
        <v/>
      </c>
      <c r="X2293" s="152">
        <f>IF(W2293="","",1+COUNTIFS($W$4:$W$3003,"&gt;"&amp;W2293)+COUNTIFS($W$4:W2293,W2293)-1)</f>
        <v/>
      </c>
      <c r="Y2293" s="175">
        <f>IF(OR(I2293="",'02_대상물건입력'!B19="",'02_대상물건입력'!B19&lt;=0),"",ABS(I2293-'02_대상물건입력'!B19)/'02_대상물건입력'!B19)</f>
        <v/>
      </c>
      <c r="Z2293" s="172">
        <f>IF(OR(Y2293="",'01_설정'!B31="",'01_설정'!B31&lt;=0,'01_설정'!B32="",'01_설정'!B32&lt;=0),"",MAX(0,(1-Y2293/'01_설정'!B32))*'01_설정'!B31)</f>
        <v/>
      </c>
    </row>
    <row r="2294" ht="17.25" customHeight="1">
      <c r="A2294" s="152">
        <f>IF(INDEX('04A_국토부원자료'!$A:$A,ROW()+1)="","",ROW()-3)</f>
        <v/>
      </c>
      <c r="B2294" s="48">
        <f>IFERROR(INDEX('04A_국토부원자료'!$A:$T,ROW()+1,MATCH("시군구",'04A_국토부원자료'!$A$4:$T$4,0)),"")</f>
        <v/>
      </c>
      <c r="C2294" s="48">
        <f>IF(B2294="","",IFERROR(INDEX('04A_국토부원자료'!$A:$T,ROW()+1,MATCH("번지",'04A_국토부원자료'!$A$4:$T$4,0)),""))</f>
        <v/>
      </c>
      <c r="D2294" s="48">
        <f>IF(B2294="","",IF(Q2294=1,'02_대상물건입력'!$B$8,IFERROR(INDEX('04A_국토부원자료'!$A:$T,ROW()+1,MATCH("단지명",'04A_국토부원자료'!$A$4:$T$4,0)),"")))</f>
        <v/>
      </c>
      <c r="E2294" s="172">
        <f>IFERROR(VALUE(SUBSTITUTE(INDEX('04A_국토부원자료'!$A:$T,ROW()+1,MATCH("전용면적(㎡)",'04A_국토부원자료'!$A$4:$T$4,0)),",","")),"")</f>
        <v/>
      </c>
      <c r="F22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94" s="51">
        <f>IFERROR(VALUE(SUBSTITUTE(INDEX('04A_국토부원자료'!$A:$T,ROW()+1,MATCH("거래금액(만원)",'04A_국토부원자료'!$A$4:$T$4,0)),",","")),"")</f>
        <v/>
      </c>
      <c r="H2294" s="174">
        <f>IF(G2294="","",G2294*10000)</f>
        <v/>
      </c>
      <c r="I2294" s="174">
        <f>IFERROR(IF(AND(H2294&gt;0,E2294&gt;0),H2294/E2294,""),"")</f>
        <v/>
      </c>
      <c r="J2294" s="152">
        <f>IFERROR(VALUE(SUBSTITUTE(INDEX('04A_국토부원자료'!$A:$T,ROW()+1,MATCH("층",'04A_국토부원자료'!$A$4:$T$4,0)),",","")),"")</f>
        <v/>
      </c>
      <c r="K2294" s="152">
        <f>IFERROR(VALUE(SUBSTITUTE(INDEX('04A_국토부원자료'!$A:$T,ROW()+1,MATCH("건축년도",'04A_국토부원자료'!$A$4:$T$4,0)),",","")),"")</f>
        <v/>
      </c>
      <c r="L2294" s="48">
        <f>IFERROR(INDEX('04A_국토부원자료'!$A:$T,ROW()+1,MATCH("도로명",'04A_국토부원자료'!$A$4:$T$4,0)),"")</f>
        <v/>
      </c>
      <c r="M2294" s="48">
        <f>IFERROR(INDEX('04A_국토부원자료'!$A:$T,ROW()+1,MATCH("거래유형",'04A_국토부원자료'!$A$4:$T$4,0)),"")</f>
        <v/>
      </c>
      <c r="N2294" s="152">
        <f>IF(B2294="","",IF('02_대상물건입력'!B5="",1,IF(ISNUMBER(SEARCH('02_대상물건입력'!B5,B2294)),1,0)))</f>
        <v/>
      </c>
      <c r="O2294" s="152">
        <f>IF(B2294="","",IF('02_대상물건입력'!B6="",1,IF(ISNUMBER(SEARCH('02_대상물건입력'!B6,B2294)),1,0)))</f>
        <v/>
      </c>
      <c r="P2294" s="152">
        <f>IF(L2294="","",IF('02_대상물건입력'!B15="",0,IF(ISNUMBER(SEARCH('02_대상물건입력'!B15,L2294)),1,0)))</f>
        <v/>
      </c>
      <c r="Q2294" s="152">
        <f>IF(OR(C2294="",L2294=""),0,IF(AND(TRIM(C2294)=TRIM(RIGHT(SUBSTITUTE(TRIM('02_대상물건입력'!$B$7)," ",REPT(" ",99)),99)),IF('02_대상물건입력'!B15="",TRUE(),ISNUMBER(SEARCH('02_대상물건입력'!B15,L2294)))),1,0))</f>
        <v/>
      </c>
      <c r="R2294" s="175">
        <f>IFERROR(ABS(E2294-'02_대상물건입력'!B11)/'02_대상물건입력'!B11,"")</f>
        <v/>
      </c>
      <c r="S2294" s="152">
        <f>IFERROR(ABS(J2294-'02_대상물건입력'!B10),"")</f>
        <v/>
      </c>
      <c r="T2294" s="152">
        <f>IFERROR(ABS('01_설정'!B4-F2294),"")</f>
        <v/>
      </c>
      <c r="U2294" s="152">
        <f>IFERROR(ABS(K2294-YEAR('02_대상물건입력'!B14)),"")</f>
        <v/>
      </c>
      <c r="V2294" s="152">
        <f>IF(B2294="","",IF(AND(E2294&gt;0,F2294&gt;0,H2294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2294=1,TRUE()),R2294&lt;='01_설정'!B5,S2294&lt;='01_설정'!B6,T2294&lt;='01_설정'!B7,U2294&lt;='01_설정'!B8),"Y",""))</f>
        <v/>
      </c>
      <c r="W2294" s="172">
        <f>IF(V2294&lt;&gt;"Y","",MAX(0,(1-R2294/'01_설정'!B5))*'01_설정'!B14+MAX(0,(1-S2294/'01_설정'!B6))*'01_설정'!B15+MAX(0,(1-T2294/'01_설정'!B7))*'01_설정'!B16+MAX(0,(1-U2294/'01_설정'!B8))*'01_설정'!B17+O2294*'01_설정'!B11+Q2294*'01_설정'!B12+P2294*'01_설정'!B13+IF(Z2294="",0,Z2294))</f>
        <v/>
      </c>
      <c r="X2294" s="152">
        <f>IF(W2294="","",1+COUNTIFS($W$4:$W$3003,"&gt;"&amp;W2294)+COUNTIFS($W$4:W2294,W2294)-1)</f>
        <v/>
      </c>
      <c r="Y2294" s="175">
        <f>IF(OR(I2294="",'02_대상물건입력'!B19="",'02_대상물건입력'!B19&lt;=0),"",ABS(I2294-'02_대상물건입력'!B19)/'02_대상물건입력'!B19)</f>
        <v/>
      </c>
      <c r="Z2294" s="172">
        <f>IF(OR(Y2294="",'01_설정'!B31="",'01_설정'!B31&lt;=0,'01_설정'!B32="",'01_설정'!B32&lt;=0),"",MAX(0,(1-Y2294/'01_설정'!B32))*'01_설정'!B31)</f>
        <v/>
      </c>
    </row>
    <row r="2295" ht="17.25" customHeight="1">
      <c r="A2295" s="152">
        <f>IF(INDEX('04A_국토부원자료'!$A:$A,ROW()+1)="","",ROW()-3)</f>
        <v/>
      </c>
      <c r="B2295" s="48">
        <f>IFERROR(INDEX('04A_국토부원자료'!$A:$T,ROW()+1,MATCH("시군구",'04A_국토부원자료'!$A$4:$T$4,0)),"")</f>
        <v/>
      </c>
      <c r="C2295" s="48">
        <f>IF(B2295="","",IFERROR(INDEX('04A_국토부원자료'!$A:$T,ROW()+1,MATCH("번지",'04A_국토부원자료'!$A$4:$T$4,0)),""))</f>
        <v/>
      </c>
      <c r="D2295" s="48">
        <f>IF(B2295="","",IF(Q2295=1,'02_대상물건입력'!$B$8,IFERROR(INDEX('04A_국토부원자료'!$A:$T,ROW()+1,MATCH("단지명",'04A_국토부원자료'!$A$4:$T$4,0)),"")))</f>
        <v/>
      </c>
      <c r="E2295" s="172">
        <f>IFERROR(VALUE(SUBSTITUTE(INDEX('04A_국토부원자료'!$A:$T,ROW()+1,MATCH("전용면적(㎡)",'04A_국토부원자료'!$A$4:$T$4,0)),",","")),"")</f>
        <v/>
      </c>
      <c r="F22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95" s="51">
        <f>IFERROR(VALUE(SUBSTITUTE(INDEX('04A_국토부원자료'!$A:$T,ROW()+1,MATCH("거래금액(만원)",'04A_국토부원자료'!$A$4:$T$4,0)),",","")),"")</f>
        <v/>
      </c>
      <c r="H2295" s="174">
        <f>IF(G2295="","",G2295*10000)</f>
        <v/>
      </c>
      <c r="I2295" s="174">
        <f>IFERROR(IF(AND(H2295&gt;0,E2295&gt;0),H2295/E2295,""),"")</f>
        <v/>
      </c>
      <c r="J2295" s="152">
        <f>IFERROR(VALUE(SUBSTITUTE(INDEX('04A_국토부원자료'!$A:$T,ROW()+1,MATCH("층",'04A_국토부원자료'!$A$4:$T$4,0)),",","")),"")</f>
        <v/>
      </c>
      <c r="K2295" s="152">
        <f>IFERROR(VALUE(SUBSTITUTE(INDEX('04A_국토부원자료'!$A:$T,ROW()+1,MATCH("건축년도",'04A_국토부원자료'!$A$4:$T$4,0)),",","")),"")</f>
        <v/>
      </c>
      <c r="L2295" s="48">
        <f>IFERROR(INDEX('04A_국토부원자료'!$A:$T,ROW()+1,MATCH("도로명",'04A_국토부원자료'!$A$4:$T$4,0)),"")</f>
        <v/>
      </c>
      <c r="M2295" s="48">
        <f>IFERROR(INDEX('04A_국토부원자료'!$A:$T,ROW()+1,MATCH("거래유형",'04A_국토부원자료'!$A$4:$T$4,0)),"")</f>
        <v/>
      </c>
      <c r="N2295" s="152">
        <f>IF(B2295="","",IF('02_대상물건입력'!B5="",1,IF(ISNUMBER(SEARCH('02_대상물건입력'!B5,B2295)),1,0)))</f>
        <v/>
      </c>
      <c r="O2295" s="152">
        <f>IF(B2295="","",IF('02_대상물건입력'!B6="",1,IF(ISNUMBER(SEARCH('02_대상물건입력'!B6,B2295)),1,0)))</f>
        <v/>
      </c>
      <c r="P2295" s="152">
        <f>IF(L2295="","",IF('02_대상물건입력'!B15="",0,IF(ISNUMBER(SEARCH('02_대상물건입력'!B15,L2295)),1,0)))</f>
        <v/>
      </c>
      <c r="Q2295" s="152">
        <f>IF(OR(C2295="",L2295=""),0,IF(AND(TRIM(C2295)=TRIM(RIGHT(SUBSTITUTE(TRIM('02_대상물건입력'!$B$7)," ",REPT(" ",99)),99)),IF('02_대상물건입력'!B15="",TRUE(),ISNUMBER(SEARCH('02_대상물건입력'!B15,L2295)))),1,0))</f>
        <v/>
      </c>
      <c r="R2295" s="175">
        <f>IFERROR(ABS(E2295-'02_대상물건입력'!B11)/'02_대상물건입력'!B11,"")</f>
        <v/>
      </c>
      <c r="S2295" s="152">
        <f>IFERROR(ABS(J2295-'02_대상물건입력'!B10),"")</f>
        <v/>
      </c>
      <c r="T2295" s="152">
        <f>IFERROR(ABS('01_설정'!B4-F2295),"")</f>
        <v/>
      </c>
      <c r="U2295" s="152">
        <f>IFERROR(ABS(K2295-YEAR('02_대상물건입력'!B14)),"")</f>
        <v/>
      </c>
      <c r="V2295" s="152">
        <f>IF(B2295="","",IF(AND(E2295&gt;0,F2295&gt;0,H2295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2295=1,TRUE()),R2295&lt;='01_설정'!B5,S2295&lt;='01_설정'!B6,T2295&lt;='01_설정'!B7,U2295&lt;='01_설정'!B8),"Y",""))</f>
        <v/>
      </c>
      <c r="W2295" s="172">
        <f>IF(V2295&lt;&gt;"Y","",MAX(0,(1-R2295/'01_설정'!B5))*'01_설정'!B14+MAX(0,(1-S2295/'01_설정'!B6))*'01_설정'!B15+MAX(0,(1-T2295/'01_설정'!B7))*'01_설정'!B16+MAX(0,(1-U2295/'01_설정'!B8))*'01_설정'!B17+O2295*'01_설정'!B11+Q2295*'01_설정'!B12+P2295*'01_설정'!B13+IF(Z2295="",0,Z2295))</f>
        <v/>
      </c>
      <c r="X2295" s="152">
        <f>IF(W2295="","",1+COUNTIFS($W$4:$W$3003,"&gt;"&amp;W2295)+COUNTIFS($W$4:W2295,W2295)-1)</f>
        <v/>
      </c>
      <c r="Y2295" s="175">
        <f>IF(OR(I2295="",'02_대상물건입력'!B19="",'02_대상물건입력'!B19&lt;=0),"",ABS(I2295-'02_대상물건입력'!B19)/'02_대상물건입력'!B19)</f>
        <v/>
      </c>
      <c r="Z2295" s="172">
        <f>IF(OR(Y2295="",'01_설정'!B31="",'01_설정'!B31&lt;=0,'01_설정'!B32="",'01_설정'!B32&lt;=0),"",MAX(0,(1-Y2295/'01_설정'!B32))*'01_설정'!B31)</f>
        <v/>
      </c>
    </row>
    <row r="2296" ht="17.25" customHeight="1">
      <c r="A2296" s="152">
        <f>IF(INDEX('04A_국토부원자료'!$A:$A,ROW()+1)="","",ROW()-3)</f>
        <v/>
      </c>
      <c r="B2296" s="48">
        <f>IFERROR(INDEX('04A_국토부원자료'!$A:$T,ROW()+1,MATCH("시군구",'04A_국토부원자료'!$A$4:$T$4,0)),"")</f>
        <v/>
      </c>
      <c r="C2296" s="48">
        <f>IF(B2296="","",IFERROR(INDEX('04A_국토부원자료'!$A:$T,ROW()+1,MATCH("번지",'04A_국토부원자료'!$A$4:$T$4,0)),""))</f>
        <v/>
      </c>
      <c r="D2296" s="48">
        <f>IF(B2296="","",IF(Q2296=1,'02_대상물건입력'!$B$8,IFERROR(INDEX('04A_국토부원자료'!$A:$T,ROW()+1,MATCH("단지명",'04A_국토부원자료'!$A$4:$T$4,0)),"")))</f>
        <v/>
      </c>
      <c r="E2296" s="172">
        <f>IFERROR(VALUE(SUBSTITUTE(INDEX('04A_국토부원자료'!$A:$T,ROW()+1,MATCH("전용면적(㎡)",'04A_국토부원자료'!$A$4:$T$4,0)),",","")),"")</f>
        <v/>
      </c>
      <c r="F22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96" s="51">
        <f>IFERROR(VALUE(SUBSTITUTE(INDEX('04A_국토부원자료'!$A:$T,ROW()+1,MATCH("거래금액(만원)",'04A_국토부원자료'!$A$4:$T$4,0)),",","")),"")</f>
        <v/>
      </c>
      <c r="H2296" s="174">
        <f>IF(G2296="","",G2296*10000)</f>
        <v/>
      </c>
      <c r="I2296" s="174">
        <f>IFERROR(IF(AND(H2296&gt;0,E2296&gt;0),H2296/E2296,""),"")</f>
        <v/>
      </c>
      <c r="J2296" s="152">
        <f>IFERROR(VALUE(SUBSTITUTE(INDEX('04A_국토부원자료'!$A:$T,ROW()+1,MATCH("층",'04A_국토부원자료'!$A$4:$T$4,0)),",","")),"")</f>
        <v/>
      </c>
      <c r="K2296" s="152">
        <f>IFERROR(VALUE(SUBSTITUTE(INDEX('04A_국토부원자료'!$A:$T,ROW()+1,MATCH("건축년도",'04A_국토부원자료'!$A$4:$T$4,0)),",","")),"")</f>
        <v/>
      </c>
      <c r="L2296" s="48">
        <f>IFERROR(INDEX('04A_국토부원자료'!$A:$T,ROW()+1,MATCH("도로명",'04A_국토부원자료'!$A$4:$T$4,0)),"")</f>
        <v/>
      </c>
      <c r="M2296" s="48">
        <f>IFERROR(INDEX('04A_국토부원자료'!$A:$T,ROW()+1,MATCH("거래유형",'04A_국토부원자료'!$A$4:$T$4,0)),"")</f>
        <v/>
      </c>
      <c r="N2296" s="152">
        <f>IF(B2296="","",IF('02_대상물건입력'!B5="",1,IF(ISNUMBER(SEARCH('02_대상물건입력'!B5,B2296)),1,0)))</f>
        <v/>
      </c>
      <c r="O2296" s="152">
        <f>IF(B2296="","",IF('02_대상물건입력'!B6="",1,IF(ISNUMBER(SEARCH('02_대상물건입력'!B6,B2296)),1,0)))</f>
        <v/>
      </c>
      <c r="P2296" s="152">
        <f>IF(L2296="","",IF('02_대상물건입력'!B15="",0,IF(ISNUMBER(SEARCH('02_대상물건입력'!B15,L2296)),1,0)))</f>
        <v/>
      </c>
      <c r="Q2296" s="152">
        <f>IF(OR(C2296="",L2296=""),0,IF(AND(TRIM(C2296)=TRIM(RIGHT(SUBSTITUTE(TRIM('02_대상물건입력'!$B$7)," ",REPT(" ",99)),99)),IF('02_대상물건입력'!B15="",TRUE(),ISNUMBER(SEARCH('02_대상물건입력'!B15,L2296)))),1,0))</f>
        <v/>
      </c>
      <c r="R2296" s="175">
        <f>IFERROR(ABS(E2296-'02_대상물건입력'!B11)/'02_대상물건입력'!B11,"")</f>
        <v/>
      </c>
      <c r="S2296" s="152">
        <f>IFERROR(ABS(J2296-'02_대상물건입력'!B10),"")</f>
        <v/>
      </c>
      <c r="T2296" s="152">
        <f>IFERROR(ABS('01_설정'!B4-F2296),"")</f>
        <v/>
      </c>
      <c r="U2296" s="152">
        <f>IFERROR(ABS(K2296-YEAR('02_대상물건입력'!B14)),"")</f>
        <v/>
      </c>
      <c r="V2296" s="152">
        <f>IF(B2296="","",IF(AND(E2296&gt;0,F2296&gt;0,H2296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2296=1,TRUE()),R2296&lt;='01_설정'!B5,S2296&lt;='01_설정'!B6,T2296&lt;='01_설정'!B7,U2296&lt;='01_설정'!B8),"Y",""))</f>
        <v/>
      </c>
      <c r="W2296" s="172">
        <f>IF(V2296&lt;&gt;"Y","",MAX(0,(1-R2296/'01_설정'!B5))*'01_설정'!B14+MAX(0,(1-S2296/'01_설정'!B6))*'01_설정'!B15+MAX(0,(1-T2296/'01_설정'!B7))*'01_설정'!B16+MAX(0,(1-U2296/'01_설정'!B8))*'01_설정'!B17+O2296*'01_설정'!B11+Q2296*'01_설정'!B12+P2296*'01_설정'!B13+IF(Z2296="",0,Z2296))</f>
        <v/>
      </c>
      <c r="X2296" s="152">
        <f>IF(W2296="","",1+COUNTIFS($W$4:$W$3003,"&gt;"&amp;W2296)+COUNTIFS($W$4:W2296,W2296)-1)</f>
        <v/>
      </c>
      <c r="Y2296" s="175">
        <f>IF(OR(I2296="",'02_대상물건입력'!B19="",'02_대상물건입력'!B19&lt;=0),"",ABS(I2296-'02_대상물건입력'!B19)/'02_대상물건입력'!B19)</f>
        <v/>
      </c>
      <c r="Z2296" s="172">
        <f>IF(OR(Y2296="",'01_설정'!B31="",'01_설정'!B31&lt;=0,'01_설정'!B32="",'01_설정'!B32&lt;=0),"",MAX(0,(1-Y2296/'01_설정'!B32))*'01_설정'!B31)</f>
        <v/>
      </c>
    </row>
    <row r="2297" ht="17.25" customHeight="1">
      <c r="A2297" s="152">
        <f>IF(INDEX('04A_국토부원자료'!$A:$A,ROW()+1)="","",ROW()-3)</f>
        <v/>
      </c>
      <c r="B2297" s="48">
        <f>IFERROR(INDEX('04A_국토부원자료'!$A:$T,ROW()+1,MATCH("시군구",'04A_국토부원자료'!$A$4:$T$4,0)),"")</f>
        <v/>
      </c>
      <c r="C2297" s="48">
        <f>IF(B2297="","",IFERROR(INDEX('04A_국토부원자료'!$A:$T,ROW()+1,MATCH("번지",'04A_국토부원자료'!$A$4:$T$4,0)),""))</f>
        <v/>
      </c>
      <c r="D2297" s="48">
        <f>IF(B2297="","",IF(Q2297=1,'02_대상물건입력'!$B$8,IFERROR(INDEX('04A_국토부원자료'!$A:$T,ROW()+1,MATCH("단지명",'04A_국토부원자료'!$A$4:$T$4,0)),"")))</f>
        <v/>
      </c>
      <c r="E2297" s="172">
        <f>IFERROR(VALUE(SUBSTITUTE(INDEX('04A_국토부원자료'!$A:$T,ROW()+1,MATCH("전용면적(㎡)",'04A_국토부원자료'!$A$4:$T$4,0)),",","")),"")</f>
        <v/>
      </c>
      <c r="F22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97" s="51">
        <f>IFERROR(VALUE(SUBSTITUTE(INDEX('04A_국토부원자료'!$A:$T,ROW()+1,MATCH("거래금액(만원)",'04A_국토부원자료'!$A$4:$T$4,0)),",","")),"")</f>
        <v/>
      </c>
      <c r="H2297" s="174">
        <f>IF(G2297="","",G2297*10000)</f>
        <v/>
      </c>
      <c r="I2297" s="174">
        <f>IFERROR(IF(AND(H2297&gt;0,E2297&gt;0),H2297/E2297,""),"")</f>
        <v/>
      </c>
      <c r="J2297" s="152">
        <f>IFERROR(VALUE(SUBSTITUTE(INDEX('04A_국토부원자료'!$A:$T,ROW()+1,MATCH("층",'04A_국토부원자료'!$A$4:$T$4,0)),",","")),"")</f>
        <v/>
      </c>
      <c r="K2297" s="152">
        <f>IFERROR(VALUE(SUBSTITUTE(INDEX('04A_국토부원자료'!$A:$T,ROW()+1,MATCH("건축년도",'04A_국토부원자료'!$A$4:$T$4,0)),",","")),"")</f>
        <v/>
      </c>
      <c r="L2297" s="48">
        <f>IFERROR(INDEX('04A_국토부원자료'!$A:$T,ROW()+1,MATCH("도로명",'04A_국토부원자료'!$A$4:$T$4,0)),"")</f>
        <v/>
      </c>
      <c r="M2297" s="48">
        <f>IFERROR(INDEX('04A_국토부원자료'!$A:$T,ROW()+1,MATCH("거래유형",'04A_국토부원자료'!$A$4:$T$4,0)),"")</f>
        <v/>
      </c>
      <c r="N2297" s="152">
        <f>IF(B2297="","",IF('02_대상물건입력'!B5="",1,IF(ISNUMBER(SEARCH('02_대상물건입력'!B5,B2297)),1,0)))</f>
        <v/>
      </c>
      <c r="O2297" s="152">
        <f>IF(B2297="","",IF('02_대상물건입력'!B6="",1,IF(ISNUMBER(SEARCH('02_대상물건입력'!B6,B2297)),1,0)))</f>
        <v/>
      </c>
      <c r="P2297" s="152">
        <f>IF(L2297="","",IF('02_대상물건입력'!B15="",0,IF(ISNUMBER(SEARCH('02_대상물건입력'!B15,L2297)),1,0)))</f>
        <v/>
      </c>
      <c r="Q2297" s="152">
        <f>IF(OR(C2297="",L2297=""),0,IF(AND(TRIM(C2297)=TRIM(RIGHT(SUBSTITUTE(TRIM('02_대상물건입력'!$B$7)," ",REPT(" ",99)),99)),IF('02_대상물건입력'!B15="",TRUE(),ISNUMBER(SEARCH('02_대상물건입력'!B15,L2297)))),1,0))</f>
        <v/>
      </c>
      <c r="R2297" s="175">
        <f>IFERROR(ABS(E2297-'02_대상물건입력'!B11)/'02_대상물건입력'!B11,"")</f>
        <v/>
      </c>
      <c r="S2297" s="152">
        <f>IFERROR(ABS(J2297-'02_대상물건입력'!B10),"")</f>
        <v/>
      </c>
      <c r="T2297" s="152">
        <f>IFERROR(ABS('01_설정'!B4-F2297),"")</f>
        <v/>
      </c>
      <c r="U2297" s="152">
        <f>IFERROR(ABS(K2297-YEAR('02_대상물건입력'!B14)),"")</f>
        <v/>
      </c>
      <c r="V2297" s="152">
        <f>IF(B2297="","",IF(AND(E2297&gt;0,F2297&gt;0,H2297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2297=1,TRUE()),R2297&lt;='01_설정'!B5,S2297&lt;='01_설정'!B6,T2297&lt;='01_설정'!B7,U2297&lt;='01_설정'!B8),"Y",""))</f>
        <v/>
      </c>
      <c r="W2297" s="172">
        <f>IF(V2297&lt;&gt;"Y","",MAX(0,(1-R2297/'01_설정'!B5))*'01_설정'!B14+MAX(0,(1-S2297/'01_설정'!B6))*'01_설정'!B15+MAX(0,(1-T2297/'01_설정'!B7))*'01_설정'!B16+MAX(0,(1-U2297/'01_설정'!B8))*'01_설정'!B17+O2297*'01_설정'!B11+Q2297*'01_설정'!B12+P2297*'01_설정'!B13+IF(Z2297="",0,Z2297))</f>
        <v/>
      </c>
      <c r="X2297" s="152">
        <f>IF(W2297="","",1+COUNTIFS($W$4:$W$3003,"&gt;"&amp;W2297)+COUNTIFS($W$4:W2297,W2297)-1)</f>
        <v/>
      </c>
      <c r="Y2297" s="175">
        <f>IF(OR(I2297="",'02_대상물건입력'!B19="",'02_대상물건입력'!B19&lt;=0),"",ABS(I2297-'02_대상물건입력'!B19)/'02_대상물건입력'!B19)</f>
        <v/>
      </c>
      <c r="Z2297" s="172">
        <f>IF(OR(Y2297="",'01_설정'!B31="",'01_설정'!B31&lt;=0,'01_설정'!B32="",'01_설정'!B32&lt;=0),"",MAX(0,(1-Y2297/'01_설정'!B32))*'01_설정'!B31)</f>
        <v/>
      </c>
    </row>
    <row r="2298" ht="17.25" customHeight="1">
      <c r="A2298" s="152">
        <f>IF(INDEX('04A_국토부원자료'!$A:$A,ROW()+1)="","",ROW()-3)</f>
        <v/>
      </c>
      <c r="B2298" s="48">
        <f>IFERROR(INDEX('04A_국토부원자료'!$A:$T,ROW()+1,MATCH("시군구",'04A_국토부원자료'!$A$4:$T$4,0)),"")</f>
        <v/>
      </c>
      <c r="C2298" s="48">
        <f>IF(B2298="","",IFERROR(INDEX('04A_국토부원자료'!$A:$T,ROW()+1,MATCH("번지",'04A_국토부원자료'!$A$4:$T$4,0)),""))</f>
        <v/>
      </c>
      <c r="D2298" s="48">
        <f>IF(B2298="","",IF(Q2298=1,'02_대상물건입력'!$B$8,IFERROR(INDEX('04A_국토부원자료'!$A:$T,ROW()+1,MATCH("단지명",'04A_국토부원자료'!$A$4:$T$4,0)),"")))</f>
        <v/>
      </c>
      <c r="E2298" s="172">
        <f>IFERROR(VALUE(SUBSTITUTE(INDEX('04A_국토부원자료'!$A:$T,ROW()+1,MATCH("전용면적(㎡)",'04A_국토부원자료'!$A$4:$T$4,0)),",","")),"")</f>
        <v/>
      </c>
      <c r="F22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98" s="51">
        <f>IFERROR(VALUE(SUBSTITUTE(INDEX('04A_국토부원자료'!$A:$T,ROW()+1,MATCH("거래금액(만원)",'04A_국토부원자료'!$A$4:$T$4,0)),",","")),"")</f>
        <v/>
      </c>
      <c r="H2298" s="174">
        <f>IF(G2298="","",G2298*10000)</f>
        <v/>
      </c>
      <c r="I2298" s="174">
        <f>IFERROR(IF(AND(H2298&gt;0,E2298&gt;0),H2298/E2298,""),"")</f>
        <v/>
      </c>
      <c r="J2298" s="152">
        <f>IFERROR(VALUE(SUBSTITUTE(INDEX('04A_국토부원자료'!$A:$T,ROW()+1,MATCH("층",'04A_국토부원자료'!$A$4:$T$4,0)),",","")),"")</f>
        <v/>
      </c>
      <c r="K2298" s="152">
        <f>IFERROR(VALUE(SUBSTITUTE(INDEX('04A_국토부원자료'!$A:$T,ROW()+1,MATCH("건축년도",'04A_국토부원자료'!$A$4:$T$4,0)),",","")),"")</f>
        <v/>
      </c>
      <c r="L2298" s="48">
        <f>IFERROR(INDEX('04A_국토부원자료'!$A:$T,ROW()+1,MATCH("도로명",'04A_국토부원자료'!$A$4:$T$4,0)),"")</f>
        <v/>
      </c>
      <c r="M2298" s="48">
        <f>IFERROR(INDEX('04A_국토부원자료'!$A:$T,ROW()+1,MATCH("거래유형",'04A_국토부원자료'!$A$4:$T$4,0)),"")</f>
        <v/>
      </c>
      <c r="N2298" s="152">
        <f>IF(B2298="","",IF('02_대상물건입력'!B5="",1,IF(ISNUMBER(SEARCH('02_대상물건입력'!B5,B2298)),1,0)))</f>
        <v/>
      </c>
      <c r="O2298" s="152">
        <f>IF(B2298="","",IF('02_대상물건입력'!B6="",1,IF(ISNUMBER(SEARCH('02_대상물건입력'!B6,B2298)),1,0)))</f>
        <v/>
      </c>
      <c r="P2298" s="152">
        <f>IF(L2298="","",IF('02_대상물건입력'!B15="",0,IF(ISNUMBER(SEARCH('02_대상물건입력'!B15,L2298)),1,0)))</f>
        <v/>
      </c>
      <c r="Q2298" s="152">
        <f>IF(OR(C2298="",L2298=""),0,IF(AND(TRIM(C2298)=TRIM(RIGHT(SUBSTITUTE(TRIM('02_대상물건입력'!$B$7)," ",REPT(" ",99)),99)),IF('02_대상물건입력'!B15="",TRUE(),ISNUMBER(SEARCH('02_대상물건입력'!B15,L2298)))),1,0))</f>
        <v/>
      </c>
      <c r="R2298" s="175">
        <f>IFERROR(ABS(E2298-'02_대상물건입력'!B11)/'02_대상물건입력'!B11,"")</f>
        <v/>
      </c>
      <c r="S2298" s="152">
        <f>IFERROR(ABS(J2298-'02_대상물건입력'!B10),"")</f>
        <v/>
      </c>
      <c r="T2298" s="152">
        <f>IFERROR(ABS('01_설정'!B4-F2298),"")</f>
        <v/>
      </c>
      <c r="U2298" s="152">
        <f>IFERROR(ABS(K2298-YEAR('02_대상물건입력'!B14)),"")</f>
        <v/>
      </c>
      <c r="V2298" s="152">
        <f>IF(B2298="","",IF(AND(E2298&gt;0,F2298&gt;0,H2298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2298=1,TRUE()),R2298&lt;='01_설정'!B5,S2298&lt;='01_설정'!B6,T2298&lt;='01_설정'!B7,U2298&lt;='01_설정'!B8),"Y",""))</f>
        <v/>
      </c>
      <c r="W2298" s="172">
        <f>IF(V2298&lt;&gt;"Y","",MAX(0,(1-R2298/'01_설정'!B5))*'01_설정'!B14+MAX(0,(1-S2298/'01_설정'!B6))*'01_설정'!B15+MAX(0,(1-T2298/'01_설정'!B7))*'01_설정'!B16+MAX(0,(1-U2298/'01_설정'!B8))*'01_설정'!B17+O2298*'01_설정'!B11+Q2298*'01_설정'!B12+P2298*'01_설정'!B13+IF(Z2298="",0,Z2298))</f>
        <v/>
      </c>
      <c r="X2298" s="152">
        <f>IF(W2298="","",1+COUNTIFS($W$4:$W$3003,"&gt;"&amp;W2298)+COUNTIFS($W$4:W2298,W2298)-1)</f>
        <v/>
      </c>
      <c r="Y2298" s="175">
        <f>IF(OR(I2298="",'02_대상물건입력'!B19="",'02_대상물건입력'!B19&lt;=0),"",ABS(I2298-'02_대상물건입력'!B19)/'02_대상물건입력'!B19)</f>
        <v/>
      </c>
      <c r="Z2298" s="172">
        <f>IF(OR(Y2298="",'01_설정'!B31="",'01_설정'!B31&lt;=0,'01_설정'!B32="",'01_설정'!B32&lt;=0),"",MAX(0,(1-Y2298/'01_설정'!B32))*'01_설정'!B31)</f>
        <v/>
      </c>
    </row>
    <row r="2299" ht="17.25" customHeight="1">
      <c r="A2299" s="152">
        <f>IF(INDEX('04A_국토부원자료'!$A:$A,ROW()+1)="","",ROW()-3)</f>
        <v/>
      </c>
      <c r="B2299" s="48">
        <f>IFERROR(INDEX('04A_국토부원자료'!$A:$T,ROW()+1,MATCH("시군구",'04A_국토부원자료'!$A$4:$T$4,0)),"")</f>
        <v/>
      </c>
      <c r="C2299" s="48">
        <f>IF(B2299="","",IFERROR(INDEX('04A_국토부원자료'!$A:$T,ROW()+1,MATCH("번지",'04A_국토부원자료'!$A$4:$T$4,0)),""))</f>
        <v/>
      </c>
      <c r="D2299" s="48">
        <f>IF(B2299="","",IF(Q2299=1,'02_대상물건입력'!$B$8,IFERROR(INDEX('04A_국토부원자료'!$A:$T,ROW()+1,MATCH("단지명",'04A_국토부원자료'!$A$4:$T$4,0)),"")))</f>
        <v/>
      </c>
      <c r="E2299" s="172">
        <f>IFERROR(VALUE(SUBSTITUTE(INDEX('04A_국토부원자료'!$A:$T,ROW()+1,MATCH("전용면적(㎡)",'04A_국토부원자료'!$A$4:$T$4,0)),",","")),"")</f>
        <v/>
      </c>
      <c r="F22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299" s="51">
        <f>IFERROR(VALUE(SUBSTITUTE(INDEX('04A_국토부원자료'!$A:$T,ROW()+1,MATCH("거래금액(만원)",'04A_국토부원자료'!$A$4:$T$4,0)),",","")),"")</f>
        <v/>
      </c>
      <c r="H2299" s="174">
        <f>IF(G2299="","",G2299*10000)</f>
        <v/>
      </c>
      <c r="I2299" s="174">
        <f>IFERROR(IF(AND(H2299&gt;0,E2299&gt;0),H2299/E2299,""),"")</f>
        <v/>
      </c>
      <c r="J2299" s="152">
        <f>IFERROR(VALUE(SUBSTITUTE(INDEX('04A_국토부원자료'!$A:$T,ROW()+1,MATCH("층",'04A_국토부원자료'!$A$4:$T$4,0)),",","")),"")</f>
        <v/>
      </c>
      <c r="K2299" s="152">
        <f>IFERROR(VALUE(SUBSTITUTE(INDEX('04A_국토부원자료'!$A:$T,ROW()+1,MATCH("건축년도",'04A_국토부원자료'!$A$4:$T$4,0)),",","")),"")</f>
        <v/>
      </c>
      <c r="L2299" s="48">
        <f>IFERROR(INDEX('04A_국토부원자료'!$A:$T,ROW()+1,MATCH("도로명",'04A_국토부원자료'!$A$4:$T$4,0)),"")</f>
        <v/>
      </c>
      <c r="M2299" s="48">
        <f>IFERROR(INDEX('04A_국토부원자료'!$A:$T,ROW()+1,MATCH("거래유형",'04A_국토부원자료'!$A$4:$T$4,0)),"")</f>
        <v/>
      </c>
      <c r="N2299" s="152">
        <f>IF(B2299="","",IF('02_대상물건입력'!B5="",1,IF(ISNUMBER(SEARCH('02_대상물건입력'!B5,B2299)),1,0)))</f>
        <v/>
      </c>
      <c r="O2299" s="152">
        <f>IF(B2299="","",IF('02_대상물건입력'!B6="",1,IF(ISNUMBER(SEARCH('02_대상물건입력'!B6,B2299)),1,0)))</f>
        <v/>
      </c>
      <c r="P2299" s="152">
        <f>IF(L2299="","",IF('02_대상물건입력'!B15="",0,IF(ISNUMBER(SEARCH('02_대상물건입력'!B15,L2299)),1,0)))</f>
        <v/>
      </c>
      <c r="Q2299" s="152">
        <f>IF(OR(C2299="",L2299=""),0,IF(AND(TRIM(C2299)=TRIM(RIGHT(SUBSTITUTE(TRIM('02_대상물건입력'!$B$7)," ",REPT(" ",99)),99)),IF('02_대상물건입력'!B15="",TRUE(),ISNUMBER(SEARCH('02_대상물건입력'!B15,L2299)))),1,0))</f>
        <v/>
      </c>
      <c r="R2299" s="175">
        <f>IFERROR(ABS(E2299-'02_대상물건입력'!B11)/'02_대상물건입력'!B11,"")</f>
        <v/>
      </c>
      <c r="S2299" s="152">
        <f>IFERROR(ABS(J2299-'02_대상물건입력'!B10),"")</f>
        <v/>
      </c>
      <c r="T2299" s="152">
        <f>IFERROR(ABS('01_설정'!B4-F2299),"")</f>
        <v/>
      </c>
      <c r="U2299" s="152">
        <f>IFERROR(ABS(K2299-YEAR('02_대상물건입력'!B14)),"")</f>
        <v/>
      </c>
      <c r="V2299" s="152">
        <f>IF(B2299="","",IF(AND(E2299&gt;0,F2299&gt;0,H2299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2299=1,TRUE()),R2299&lt;='01_설정'!B5,S2299&lt;='01_설정'!B6,T2299&lt;='01_설정'!B7,U2299&lt;='01_설정'!B8),"Y",""))</f>
        <v/>
      </c>
      <c r="W2299" s="172">
        <f>IF(V2299&lt;&gt;"Y","",MAX(0,(1-R2299/'01_설정'!B5))*'01_설정'!B14+MAX(0,(1-S2299/'01_설정'!B6))*'01_설정'!B15+MAX(0,(1-T2299/'01_설정'!B7))*'01_설정'!B16+MAX(0,(1-U2299/'01_설정'!B8))*'01_설정'!B17+O2299*'01_설정'!B11+Q2299*'01_설정'!B12+P2299*'01_설정'!B13+IF(Z2299="",0,Z2299))</f>
        <v/>
      </c>
      <c r="X2299" s="152">
        <f>IF(W2299="","",1+COUNTIFS($W$4:$W$3003,"&gt;"&amp;W2299)+COUNTIFS($W$4:W2299,W2299)-1)</f>
        <v/>
      </c>
      <c r="Y2299" s="175">
        <f>IF(OR(I2299="",'02_대상물건입력'!B19="",'02_대상물건입력'!B19&lt;=0),"",ABS(I2299-'02_대상물건입력'!B19)/'02_대상물건입력'!B19)</f>
        <v/>
      </c>
      <c r="Z2299" s="172">
        <f>IF(OR(Y2299="",'01_설정'!B31="",'01_설정'!B31&lt;=0,'01_설정'!B32="",'01_설정'!B32&lt;=0),"",MAX(0,(1-Y2299/'01_설정'!B32))*'01_설정'!B31)</f>
        <v/>
      </c>
    </row>
    <row r="2300" ht="17.25" customHeight="1">
      <c r="A2300" s="152">
        <f>IF(INDEX('04A_국토부원자료'!$A:$A,ROW()+1)="","",ROW()-3)</f>
        <v/>
      </c>
      <c r="B2300" s="48">
        <f>IFERROR(INDEX('04A_국토부원자료'!$A:$T,ROW()+1,MATCH("시군구",'04A_국토부원자료'!$A$4:$T$4,0)),"")</f>
        <v/>
      </c>
      <c r="C2300" s="48">
        <f>IF(B2300="","",IFERROR(INDEX('04A_국토부원자료'!$A:$T,ROW()+1,MATCH("번지",'04A_국토부원자료'!$A$4:$T$4,0)),""))</f>
        <v/>
      </c>
      <c r="D2300" s="48">
        <f>IF(B2300="","",IF(Q2300=1,'02_대상물건입력'!$B$8,IFERROR(INDEX('04A_국토부원자료'!$A:$T,ROW()+1,MATCH("단지명",'04A_국토부원자료'!$A$4:$T$4,0)),"")))</f>
        <v/>
      </c>
      <c r="E2300" s="172">
        <f>IFERROR(VALUE(SUBSTITUTE(INDEX('04A_국토부원자료'!$A:$T,ROW()+1,MATCH("전용면적(㎡)",'04A_국토부원자료'!$A$4:$T$4,0)),",","")),"")</f>
        <v/>
      </c>
      <c r="F23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00" s="51">
        <f>IFERROR(VALUE(SUBSTITUTE(INDEX('04A_국토부원자료'!$A:$T,ROW()+1,MATCH("거래금액(만원)",'04A_국토부원자료'!$A$4:$T$4,0)),",","")),"")</f>
        <v/>
      </c>
      <c r="H2300" s="174">
        <f>IF(G2300="","",G2300*10000)</f>
        <v/>
      </c>
      <c r="I2300" s="174">
        <f>IFERROR(IF(AND(H2300&gt;0,E2300&gt;0),H2300/E2300,""),"")</f>
        <v/>
      </c>
      <c r="J2300" s="152">
        <f>IFERROR(VALUE(SUBSTITUTE(INDEX('04A_국토부원자료'!$A:$T,ROW()+1,MATCH("층",'04A_국토부원자료'!$A$4:$T$4,0)),",","")),"")</f>
        <v/>
      </c>
      <c r="K2300" s="152">
        <f>IFERROR(VALUE(SUBSTITUTE(INDEX('04A_국토부원자료'!$A:$T,ROW()+1,MATCH("건축년도",'04A_국토부원자료'!$A$4:$T$4,0)),",","")),"")</f>
        <v/>
      </c>
      <c r="L2300" s="48">
        <f>IFERROR(INDEX('04A_국토부원자료'!$A:$T,ROW()+1,MATCH("도로명",'04A_국토부원자료'!$A$4:$T$4,0)),"")</f>
        <v/>
      </c>
      <c r="M2300" s="48">
        <f>IFERROR(INDEX('04A_국토부원자료'!$A:$T,ROW()+1,MATCH("거래유형",'04A_국토부원자료'!$A$4:$T$4,0)),"")</f>
        <v/>
      </c>
      <c r="N2300" s="152">
        <f>IF(B2300="","",IF('02_대상물건입력'!B5="",1,IF(ISNUMBER(SEARCH('02_대상물건입력'!B5,B2300)),1,0)))</f>
        <v/>
      </c>
      <c r="O2300" s="152">
        <f>IF(B2300="","",IF('02_대상물건입력'!B6="",1,IF(ISNUMBER(SEARCH('02_대상물건입력'!B6,B2300)),1,0)))</f>
        <v/>
      </c>
      <c r="P2300" s="152">
        <f>IF(L2300="","",IF('02_대상물건입력'!B15="",0,IF(ISNUMBER(SEARCH('02_대상물건입력'!B15,L2300)),1,0)))</f>
        <v/>
      </c>
      <c r="Q2300" s="152">
        <f>IF(OR(C2300="",L2300=""),0,IF(AND(TRIM(C2300)=TRIM(RIGHT(SUBSTITUTE(TRIM('02_대상물건입력'!$B$7)," ",REPT(" ",99)),99)),IF('02_대상물건입력'!B15="",TRUE(),ISNUMBER(SEARCH('02_대상물건입력'!B15,L2300)))),1,0))</f>
        <v/>
      </c>
      <c r="R2300" s="175">
        <f>IFERROR(ABS(E2300-'02_대상물건입력'!B11)/'02_대상물건입력'!B11,"")</f>
        <v/>
      </c>
      <c r="S2300" s="152">
        <f>IFERROR(ABS(J2300-'02_대상물건입력'!B10),"")</f>
        <v/>
      </c>
      <c r="T2300" s="152">
        <f>IFERROR(ABS('01_설정'!B4-F2300),"")</f>
        <v/>
      </c>
      <c r="U2300" s="152">
        <f>IFERROR(ABS(K2300-YEAR('02_대상물건입력'!B14)),"")</f>
        <v/>
      </c>
      <c r="V2300" s="152">
        <f>IF(B2300="","",IF(AND(E2300&gt;0,F2300&gt;0,H2300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2300=1,TRUE()),R2300&lt;='01_설정'!B5,S2300&lt;='01_설정'!B6,T2300&lt;='01_설정'!B7,U2300&lt;='01_설정'!B8),"Y",""))</f>
        <v/>
      </c>
      <c r="W2300" s="172">
        <f>IF(V2300&lt;&gt;"Y","",MAX(0,(1-R2300/'01_설정'!B5))*'01_설정'!B14+MAX(0,(1-S2300/'01_설정'!B6))*'01_설정'!B15+MAX(0,(1-T2300/'01_설정'!B7))*'01_설정'!B16+MAX(0,(1-U2300/'01_설정'!B8))*'01_설정'!B17+O2300*'01_설정'!B11+Q2300*'01_설정'!B12+P2300*'01_설정'!B13+IF(Z2300="",0,Z2300))</f>
        <v/>
      </c>
      <c r="X2300" s="152">
        <f>IF(W2300="","",1+COUNTIFS($W$4:$W$3003,"&gt;"&amp;W2300)+COUNTIFS($W$4:W2300,W2300)-1)</f>
        <v/>
      </c>
      <c r="Y2300" s="175">
        <f>IF(OR(I2300="",'02_대상물건입력'!B19="",'02_대상물건입력'!B19&lt;=0),"",ABS(I2300-'02_대상물건입력'!B19)/'02_대상물건입력'!B19)</f>
        <v/>
      </c>
      <c r="Z2300" s="172">
        <f>IF(OR(Y2300="",'01_설정'!B31="",'01_설정'!B31&lt;=0,'01_설정'!B32="",'01_설정'!B32&lt;=0),"",MAX(0,(1-Y2300/'01_설정'!B32))*'01_설정'!B31)</f>
        <v/>
      </c>
    </row>
    <row r="2301" ht="17.25" customHeight="1">
      <c r="A2301" s="152">
        <f>IF(INDEX('04A_국토부원자료'!$A:$A,ROW()+1)="","",ROW()-3)</f>
        <v/>
      </c>
      <c r="B2301" s="48">
        <f>IFERROR(INDEX('04A_국토부원자료'!$A:$T,ROW()+1,MATCH("시군구",'04A_국토부원자료'!$A$4:$T$4,0)),"")</f>
        <v/>
      </c>
      <c r="C2301" s="48">
        <f>IF(B2301="","",IFERROR(INDEX('04A_국토부원자료'!$A:$T,ROW()+1,MATCH("번지",'04A_국토부원자료'!$A$4:$T$4,0)),""))</f>
        <v/>
      </c>
      <c r="D2301" s="48">
        <f>IF(B2301="","",IF(Q2301=1,'02_대상물건입력'!$B$8,IFERROR(INDEX('04A_국토부원자료'!$A:$T,ROW()+1,MATCH("단지명",'04A_국토부원자료'!$A$4:$T$4,0)),"")))</f>
        <v/>
      </c>
      <c r="E2301" s="172">
        <f>IFERROR(VALUE(SUBSTITUTE(INDEX('04A_국토부원자료'!$A:$T,ROW()+1,MATCH("전용면적(㎡)",'04A_국토부원자료'!$A$4:$T$4,0)),",","")),"")</f>
        <v/>
      </c>
      <c r="F23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01" s="51">
        <f>IFERROR(VALUE(SUBSTITUTE(INDEX('04A_국토부원자료'!$A:$T,ROW()+1,MATCH("거래금액(만원)",'04A_국토부원자료'!$A$4:$T$4,0)),",","")),"")</f>
        <v/>
      </c>
      <c r="H2301" s="174">
        <f>IF(G2301="","",G2301*10000)</f>
        <v/>
      </c>
      <c r="I2301" s="174">
        <f>IFERROR(IF(AND(H2301&gt;0,E2301&gt;0),H2301/E2301,""),"")</f>
        <v/>
      </c>
      <c r="J2301" s="152">
        <f>IFERROR(VALUE(SUBSTITUTE(INDEX('04A_국토부원자료'!$A:$T,ROW()+1,MATCH("층",'04A_국토부원자료'!$A$4:$T$4,0)),",","")),"")</f>
        <v/>
      </c>
      <c r="K2301" s="152">
        <f>IFERROR(VALUE(SUBSTITUTE(INDEX('04A_국토부원자료'!$A:$T,ROW()+1,MATCH("건축년도",'04A_국토부원자료'!$A$4:$T$4,0)),",","")),"")</f>
        <v/>
      </c>
      <c r="L2301" s="48">
        <f>IFERROR(INDEX('04A_국토부원자료'!$A:$T,ROW()+1,MATCH("도로명",'04A_국토부원자료'!$A$4:$T$4,0)),"")</f>
        <v/>
      </c>
      <c r="M2301" s="48">
        <f>IFERROR(INDEX('04A_국토부원자료'!$A:$T,ROW()+1,MATCH("거래유형",'04A_국토부원자료'!$A$4:$T$4,0)),"")</f>
        <v/>
      </c>
      <c r="N2301" s="152">
        <f>IF(B2301="","",IF('02_대상물건입력'!B5="",1,IF(ISNUMBER(SEARCH('02_대상물건입력'!B5,B2301)),1,0)))</f>
        <v/>
      </c>
      <c r="O2301" s="152">
        <f>IF(B2301="","",IF('02_대상물건입력'!B6="",1,IF(ISNUMBER(SEARCH('02_대상물건입력'!B6,B2301)),1,0)))</f>
        <v/>
      </c>
      <c r="P2301" s="152">
        <f>IF(L2301="","",IF('02_대상물건입력'!B15="",0,IF(ISNUMBER(SEARCH('02_대상물건입력'!B15,L2301)),1,0)))</f>
        <v/>
      </c>
      <c r="Q2301" s="152">
        <f>IF(OR(C2301="",L2301=""),0,IF(AND(TRIM(C2301)=TRIM(RIGHT(SUBSTITUTE(TRIM('02_대상물건입력'!$B$7)," ",REPT(" ",99)),99)),IF('02_대상물건입력'!B15="",TRUE(),ISNUMBER(SEARCH('02_대상물건입력'!B15,L2301)))),1,0))</f>
        <v/>
      </c>
      <c r="R2301" s="175">
        <f>IFERROR(ABS(E2301-'02_대상물건입력'!B11)/'02_대상물건입력'!B11,"")</f>
        <v/>
      </c>
      <c r="S2301" s="152">
        <f>IFERROR(ABS(J2301-'02_대상물건입력'!B10),"")</f>
        <v/>
      </c>
      <c r="T2301" s="152">
        <f>IFERROR(ABS('01_설정'!B4-F2301),"")</f>
        <v/>
      </c>
      <c r="U2301" s="152">
        <f>IFERROR(ABS(K2301-YEAR('02_대상물건입력'!B14)),"")</f>
        <v/>
      </c>
      <c r="V2301" s="152">
        <f>IF(B2301="","",IF(AND(E2301&gt;0,F2301&gt;0,H2301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2301=1,TRUE()),R2301&lt;='01_설정'!B5,S2301&lt;='01_설정'!B6,T2301&lt;='01_설정'!B7,U2301&lt;='01_설정'!B8),"Y",""))</f>
        <v/>
      </c>
      <c r="W2301" s="172">
        <f>IF(V2301&lt;&gt;"Y","",MAX(0,(1-R2301/'01_설정'!B5))*'01_설정'!B14+MAX(0,(1-S2301/'01_설정'!B6))*'01_설정'!B15+MAX(0,(1-T2301/'01_설정'!B7))*'01_설정'!B16+MAX(0,(1-U2301/'01_설정'!B8))*'01_설정'!B17+O2301*'01_설정'!B11+Q2301*'01_설정'!B12+P2301*'01_설정'!B13+IF(Z2301="",0,Z2301))</f>
        <v/>
      </c>
      <c r="X2301" s="152">
        <f>IF(W2301="","",1+COUNTIFS($W$4:$W$3003,"&gt;"&amp;W2301)+COUNTIFS($W$4:W2301,W2301)-1)</f>
        <v/>
      </c>
      <c r="Y2301" s="175">
        <f>IF(OR(I2301="",'02_대상물건입력'!B19="",'02_대상물건입력'!B19&lt;=0),"",ABS(I2301-'02_대상물건입력'!B19)/'02_대상물건입력'!B19)</f>
        <v/>
      </c>
      <c r="Z2301" s="172">
        <f>IF(OR(Y2301="",'01_설정'!B31="",'01_설정'!B31&lt;=0,'01_설정'!B32="",'01_설정'!B32&lt;=0),"",MAX(0,(1-Y2301/'01_설정'!B32))*'01_설정'!B31)</f>
        <v/>
      </c>
    </row>
    <row r="2302" ht="17.25" customHeight="1">
      <c r="A2302" s="152">
        <f>IF(INDEX('04A_국토부원자료'!$A:$A,ROW()+1)="","",ROW()-3)</f>
        <v/>
      </c>
      <c r="B2302" s="48">
        <f>IFERROR(INDEX('04A_국토부원자료'!$A:$T,ROW()+1,MATCH("시군구",'04A_국토부원자료'!$A$4:$T$4,0)),"")</f>
        <v/>
      </c>
      <c r="C2302" s="48">
        <f>IF(B2302="","",IFERROR(INDEX('04A_국토부원자료'!$A:$T,ROW()+1,MATCH("번지",'04A_국토부원자료'!$A$4:$T$4,0)),""))</f>
        <v/>
      </c>
      <c r="D2302" s="48">
        <f>IF(B2302="","",IF(Q2302=1,'02_대상물건입력'!$B$8,IFERROR(INDEX('04A_국토부원자료'!$A:$T,ROW()+1,MATCH("단지명",'04A_국토부원자료'!$A$4:$T$4,0)),"")))</f>
        <v/>
      </c>
      <c r="E2302" s="172">
        <f>IFERROR(VALUE(SUBSTITUTE(INDEX('04A_국토부원자료'!$A:$T,ROW()+1,MATCH("전용면적(㎡)",'04A_국토부원자료'!$A$4:$T$4,0)),",","")),"")</f>
        <v/>
      </c>
      <c r="F23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02" s="51">
        <f>IFERROR(VALUE(SUBSTITUTE(INDEX('04A_국토부원자료'!$A:$T,ROW()+1,MATCH("거래금액(만원)",'04A_국토부원자료'!$A$4:$T$4,0)),",","")),"")</f>
        <v/>
      </c>
      <c r="H2302" s="174">
        <f>IF(G2302="","",G2302*10000)</f>
        <v/>
      </c>
      <c r="I2302" s="174">
        <f>IFERROR(IF(AND(H2302&gt;0,E2302&gt;0),H2302/E2302,""),"")</f>
        <v/>
      </c>
      <c r="J2302" s="152">
        <f>IFERROR(VALUE(SUBSTITUTE(INDEX('04A_국토부원자료'!$A:$T,ROW()+1,MATCH("층",'04A_국토부원자료'!$A$4:$T$4,0)),",","")),"")</f>
        <v/>
      </c>
      <c r="K2302" s="152">
        <f>IFERROR(VALUE(SUBSTITUTE(INDEX('04A_국토부원자료'!$A:$T,ROW()+1,MATCH("건축년도",'04A_국토부원자료'!$A$4:$T$4,0)),",","")),"")</f>
        <v/>
      </c>
      <c r="L2302" s="48">
        <f>IFERROR(INDEX('04A_국토부원자료'!$A:$T,ROW()+1,MATCH("도로명",'04A_국토부원자료'!$A$4:$T$4,0)),"")</f>
        <v/>
      </c>
      <c r="M2302" s="48">
        <f>IFERROR(INDEX('04A_국토부원자료'!$A:$T,ROW()+1,MATCH("거래유형",'04A_국토부원자료'!$A$4:$T$4,0)),"")</f>
        <v/>
      </c>
      <c r="N2302" s="152">
        <f>IF(B2302="","",IF('02_대상물건입력'!B5="",1,IF(ISNUMBER(SEARCH('02_대상물건입력'!B5,B2302)),1,0)))</f>
        <v/>
      </c>
      <c r="O2302" s="152">
        <f>IF(B2302="","",IF('02_대상물건입력'!B6="",1,IF(ISNUMBER(SEARCH('02_대상물건입력'!B6,B2302)),1,0)))</f>
        <v/>
      </c>
      <c r="P2302" s="152">
        <f>IF(L2302="","",IF('02_대상물건입력'!B15="",0,IF(ISNUMBER(SEARCH('02_대상물건입력'!B15,L2302)),1,0)))</f>
        <v/>
      </c>
      <c r="Q2302" s="152">
        <f>IF(OR(C2302="",L2302=""),0,IF(AND(TRIM(C2302)=TRIM(RIGHT(SUBSTITUTE(TRIM('02_대상물건입력'!$B$7)," ",REPT(" ",99)),99)),IF('02_대상물건입력'!B15="",TRUE(),ISNUMBER(SEARCH('02_대상물건입력'!B15,L2302)))),1,0))</f>
        <v/>
      </c>
      <c r="R2302" s="175">
        <f>IFERROR(ABS(E2302-'02_대상물건입력'!B11)/'02_대상물건입력'!B11,"")</f>
        <v/>
      </c>
      <c r="S2302" s="152">
        <f>IFERROR(ABS(J2302-'02_대상물건입력'!B10),"")</f>
        <v/>
      </c>
      <c r="T2302" s="152">
        <f>IFERROR(ABS('01_설정'!B4-F2302),"")</f>
        <v/>
      </c>
      <c r="U2302" s="152">
        <f>IFERROR(ABS(K2302-YEAR('02_대상물건입력'!B14)),"")</f>
        <v/>
      </c>
      <c r="V2302" s="152">
        <f>IF(B2302="","",IF(AND(E2302&gt;0,F2302&gt;0,H2302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2302=1,TRUE()),R2302&lt;='01_설정'!B5,S2302&lt;='01_설정'!B6,T2302&lt;='01_설정'!B7,U2302&lt;='01_설정'!B8),"Y",""))</f>
        <v/>
      </c>
      <c r="W2302" s="172">
        <f>IF(V2302&lt;&gt;"Y","",MAX(0,(1-R2302/'01_설정'!B5))*'01_설정'!B14+MAX(0,(1-S2302/'01_설정'!B6))*'01_설정'!B15+MAX(0,(1-T2302/'01_설정'!B7))*'01_설정'!B16+MAX(0,(1-U2302/'01_설정'!B8))*'01_설정'!B17+O2302*'01_설정'!B11+Q2302*'01_설정'!B12+P2302*'01_설정'!B13+IF(Z2302="",0,Z2302))</f>
        <v/>
      </c>
      <c r="X2302" s="152">
        <f>IF(W2302="","",1+COUNTIFS($W$4:$W$3003,"&gt;"&amp;W2302)+COUNTIFS($W$4:W2302,W2302)-1)</f>
        <v/>
      </c>
      <c r="Y2302" s="175">
        <f>IF(OR(I2302="",'02_대상물건입력'!B19="",'02_대상물건입력'!B19&lt;=0),"",ABS(I2302-'02_대상물건입력'!B19)/'02_대상물건입력'!B19)</f>
        <v/>
      </c>
      <c r="Z2302" s="172">
        <f>IF(OR(Y2302="",'01_설정'!B31="",'01_설정'!B31&lt;=0,'01_설정'!B32="",'01_설정'!B32&lt;=0),"",MAX(0,(1-Y2302/'01_설정'!B32))*'01_설정'!B31)</f>
        <v/>
      </c>
    </row>
    <row r="2303" ht="17.25" customHeight="1">
      <c r="A2303" s="152">
        <f>IF(INDEX('04A_국토부원자료'!$A:$A,ROW()+1)="","",ROW()-3)</f>
        <v/>
      </c>
      <c r="B2303" s="48">
        <f>IFERROR(INDEX('04A_국토부원자료'!$A:$T,ROW()+1,MATCH("시군구",'04A_국토부원자료'!$A$4:$T$4,0)),"")</f>
        <v/>
      </c>
      <c r="C2303" s="48">
        <f>IF(B2303="","",IFERROR(INDEX('04A_국토부원자료'!$A:$T,ROW()+1,MATCH("번지",'04A_국토부원자료'!$A$4:$T$4,0)),""))</f>
        <v/>
      </c>
      <c r="D2303" s="48">
        <f>IF(B2303="","",IF(Q2303=1,'02_대상물건입력'!$B$8,IFERROR(INDEX('04A_국토부원자료'!$A:$T,ROW()+1,MATCH("단지명",'04A_국토부원자료'!$A$4:$T$4,0)),"")))</f>
        <v/>
      </c>
      <c r="E2303" s="172">
        <f>IFERROR(VALUE(SUBSTITUTE(INDEX('04A_국토부원자료'!$A:$T,ROW()+1,MATCH("전용면적(㎡)",'04A_국토부원자료'!$A$4:$T$4,0)),",","")),"")</f>
        <v/>
      </c>
      <c r="F23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03" s="51">
        <f>IFERROR(VALUE(SUBSTITUTE(INDEX('04A_국토부원자료'!$A:$T,ROW()+1,MATCH("거래금액(만원)",'04A_국토부원자료'!$A$4:$T$4,0)),",","")),"")</f>
        <v/>
      </c>
      <c r="H2303" s="174">
        <f>IF(G2303="","",G2303*10000)</f>
        <v/>
      </c>
      <c r="I2303" s="174">
        <f>IFERROR(IF(AND(H2303&gt;0,E2303&gt;0),H2303/E2303,""),"")</f>
        <v/>
      </c>
      <c r="J2303" s="152">
        <f>IFERROR(VALUE(SUBSTITUTE(INDEX('04A_국토부원자료'!$A:$T,ROW()+1,MATCH("층",'04A_국토부원자료'!$A$4:$T$4,0)),",","")),"")</f>
        <v/>
      </c>
      <c r="K2303" s="152">
        <f>IFERROR(VALUE(SUBSTITUTE(INDEX('04A_국토부원자료'!$A:$T,ROW()+1,MATCH("건축년도",'04A_국토부원자료'!$A$4:$T$4,0)),",","")),"")</f>
        <v/>
      </c>
      <c r="L2303" s="48">
        <f>IFERROR(INDEX('04A_국토부원자료'!$A:$T,ROW()+1,MATCH("도로명",'04A_국토부원자료'!$A$4:$T$4,0)),"")</f>
        <v/>
      </c>
      <c r="M2303" s="48">
        <f>IFERROR(INDEX('04A_국토부원자료'!$A:$T,ROW()+1,MATCH("거래유형",'04A_국토부원자료'!$A$4:$T$4,0)),"")</f>
        <v/>
      </c>
      <c r="N2303" s="152">
        <f>IF(B2303="","",IF('02_대상물건입력'!B5="",1,IF(ISNUMBER(SEARCH('02_대상물건입력'!B5,B2303)),1,0)))</f>
        <v/>
      </c>
      <c r="O2303" s="152">
        <f>IF(B2303="","",IF('02_대상물건입력'!B6="",1,IF(ISNUMBER(SEARCH('02_대상물건입력'!B6,B2303)),1,0)))</f>
        <v/>
      </c>
      <c r="P2303" s="152">
        <f>IF(L2303="","",IF('02_대상물건입력'!B15="",0,IF(ISNUMBER(SEARCH('02_대상물건입력'!B15,L2303)),1,0)))</f>
        <v/>
      </c>
      <c r="Q2303" s="152">
        <f>IF(OR(C2303="",L2303=""),0,IF(AND(TRIM(C2303)=TRIM(RIGHT(SUBSTITUTE(TRIM('02_대상물건입력'!$B$7)," ",REPT(" ",99)),99)),IF('02_대상물건입력'!B15="",TRUE(),ISNUMBER(SEARCH('02_대상물건입력'!B15,L2303)))),1,0))</f>
        <v/>
      </c>
      <c r="R2303" s="175">
        <f>IFERROR(ABS(E2303-'02_대상물건입력'!B11)/'02_대상물건입력'!B11,"")</f>
        <v/>
      </c>
      <c r="S2303" s="152">
        <f>IFERROR(ABS(J2303-'02_대상물건입력'!B10),"")</f>
        <v/>
      </c>
      <c r="T2303" s="152">
        <f>IFERROR(ABS('01_설정'!B4-F2303),"")</f>
        <v/>
      </c>
      <c r="U2303" s="152">
        <f>IFERROR(ABS(K2303-YEAR('02_대상물건입력'!B14)),"")</f>
        <v/>
      </c>
      <c r="V2303" s="152">
        <f>IF(B2303="","",IF(AND(E2303&gt;0,F2303&gt;0,H2303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2303=1,TRUE()),R2303&lt;='01_설정'!B5,S2303&lt;='01_설정'!B6,T2303&lt;='01_설정'!B7,U2303&lt;='01_설정'!B8),"Y",""))</f>
        <v/>
      </c>
      <c r="W2303" s="172">
        <f>IF(V2303&lt;&gt;"Y","",MAX(0,(1-R2303/'01_설정'!B5))*'01_설정'!B14+MAX(0,(1-S2303/'01_설정'!B6))*'01_설정'!B15+MAX(0,(1-T2303/'01_설정'!B7))*'01_설정'!B16+MAX(0,(1-U2303/'01_설정'!B8))*'01_설정'!B17+O2303*'01_설정'!B11+Q2303*'01_설정'!B12+P2303*'01_설정'!B13+IF(Z2303="",0,Z2303))</f>
        <v/>
      </c>
      <c r="X2303" s="152">
        <f>IF(W2303="","",1+COUNTIFS($W$4:$W$3003,"&gt;"&amp;W2303)+COUNTIFS($W$4:W2303,W2303)-1)</f>
        <v/>
      </c>
      <c r="Y2303" s="175">
        <f>IF(OR(I2303="",'02_대상물건입력'!B19="",'02_대상물건입력'!B19&lt;=0),"",ABS(I2303-'02_대상물건입력'!B19)/'02_대상물건입력'!B19)</f>
        <v/>
      </c>
      <c r="Z2303" s="172">
        <f>IF(OR(Y2303="",'01_설정'!B31="",'01_설정'!B31&lt;=0,'01_설정'!B32="",'01_설정'!B32&lt;=0),"",MAX(0,(1-Y2303/'01_설정'!B32))*'01_설정'!B31)</f>
        <v/>
      </c>
    </row>
    <row r="2304" ht="17.25" customHeight="1">
      <c r="A2304" s="152">
        <f>IF(INDEX('04A_국토부원자료'!$A:$A,ROW()+1)="","",ROW()-3)</f>
        <v/>
      </c>
      <c r="B2304" s="48">
        <f>IFERROR(INDEX('04A_국토부원자료'!$A:$T,ROW()+1,MATCH("시군구",'04A_국토부원자료'!$A$4:$T$4,0)),"")</f>
        <v/>
      </c>
      <c r="C2304" s="48">
        <f>IF(B2304="","",IFERROR(INDEX('04A_국토부원자료'!$A:$T,ROW()+1,MATCH("번지",'04A_국토부원자료'!$A$4:$T$4,0)),""))</f>
        <v/>
      </c>
      <c r="D2304" s="48">
        <f>IF(B2304="","",IF(Q2304=1,'02_대상물건입력'!$B$8,IFERROR(INDEX('04A_국토부원자료'!$A:$T,ROW()+1,MATCH("단지명",'04A_국토부원자료'!$A$4:$T$4,0)),"")))</f>
        <v/>
      </c>
      <c r="E2304" s="172">
        <f>IFERROR(VALUE(SUBSTITUTE(INDEX('04A_국토부원자료'!$A:$T,ROW()+1,MATCH("전용면적(㎡)",'04A_국토부원자료'!$A$4:$T$4,0)),",","")),"")</f>
        <v/>
      </c>
      <c r="F23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04" s="51">
        <f>IFERROR(VALUE(SUBSTITUTE(INDEX('04A_국토부원자료'!$A:$T,ROW()+1,MATCH("거래금액(만원)",'04A_국토부원자료'!$A$4:$T$4,0)),",","")),"")</f>
        <v/>
      </c>
      <c r="H2304" s="174">
        <f>IF(G2304="","",G2304*10000)</f>
        <v/>
      </c>
      <c r="I2304" s="174">
        <f>IFERROR(IF(AND(H2304&gt;0,E2304&gt;0),H2304/E2304,""),"")</f>
        <v/>
      </c>
      <c r="J2304" s="152">
        <f>IFERROR(VALUE(SUBSTITUTE(INDEX('04A_국토부원자료'!$A:$T,ROW()+1,MATCH("층",'04A_국토부원자료'!$A$4:$T$4,0)),",","")),"")</f>
        <v/>
      </c>
      <c r="K2304" s="152">
        <f>IFERROR(VALUE(SUBSTITUTE(INDEX('04A_국토부원자료'!$A:$T,ROW()+1,MATCH("건축년도",'04A_국토부원자료'!$A$4:$T$4,0)),",","")),"")</f>
        <v/>
      </c>
      <c r="L2304" s="48">
        <f>IFERROR(INDEX('04A_국토부원자료'!$A:$T,ROW()+1,MATCH("도로명",'04A_국토부원자료'!$A$4:$T$4,0)),"")</f>
        <v/>
      </c>
      <c r="M2304" s="48">
        <f>IFERROR(INDEX('04A_국토부원자료'!$A:$T,ROW()+1,MATCH("거래유형",'04A_국토부원자료'!$A$4:$T$4,0)),"")</f>
        <v/>
      </c>
      <c r="N2304" s="152">
        <f>IF(B2304="","",IF('02_대상물건입력'!B5="",1,IF(ISNUMBER(SEARCH('02_대상물건입력'!B5,B2304)),1,0)))</f>
        <v/>
      </c>
      <c r="O2304" s="152">
        <f>IF(B2304="","",IF('02_대상물건입력'!B6="",1,IF(ISNUMBER(SEARCH('02_대상물건입력'!B6,B2304)),1,0)))</f>
        <v/>
      </c>
      <c r="P2304" s="152">
        <f>IF(L2304="","",IF('02_대상물건입력'!B15="",0,IF(ISNUMBER(SEARCH('02_대상물건입력'!B15,L2304)),1,0)))</f>
        <v/>
      </c>
      <c r="Q2304" s="152">
        <f>IF(OR(C2304="",L2304=""),0,IF(AND(TRIM(C2304)=TRIM(RIGHT(SUBSTITUTE(TRIM('02_대상물건입력'!$B$7)," ",REPT(" ",99)),99)),IF('02_대상물건입력'!B15="",TRUE(),ISNUMBER(SEARCH('02_대상물건입력'!B15,L2304)))),1,0))</f>
        <v/>
      </c>
      <c r="R2304" s="175">
        <f>IFERROR(ABS(E2304-'02_대상물건입력'!B11)/'02_대상물건입력'!B11,"")</f>
        <v/>
      </c>
      <c r="S2304" s="152">
        <f>IFERROR(ABS(J2304-'02_대상물건입력'!B10),"")</f>
        <v/>
      </c>
      <c r="T2304" s="152">
        <f>IFERROR(ABS('01_설정'!B4-F2304),"")</f>
        <v/>
      </c>
      <c r="U2304" s="152">
        <f>IFERROR(ABS(K2304-YEAR('02_대상물건입력'!B14)),"")</f>
        <v/>
      </c>
      <c r="V2304" s="152">
        <f>IF(B2304="","",IF(AND(E2304&gt;0,F2304&gt;0,H2304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2304=1,TRUE()),R2304&lt;='01_설정'!B5,S2304&lt;='01_설정'!B6,T2304&lt;='01_설정'!B7,U2304&lt;='01_설정'!B8),"Y",""))</f>
        <v/>
      </c>
      <c r="W2304" s="172">
        <f>IF(V2304&lt;&gt;"Y","",MAX(0,(1-R2304/'01_설정'!B5))*'01_설정'!B14+MAX(0,(1-S2304/'01_설정'!B6))*'01_설정'!B15+MAX(0,(1-T2304/'01_설정'!B7))*'01_설정'!B16+MAX(0,(1-U2304/'01_설정'!B8))*'01_설정'!B17+O2304*'01_설정'!B11+Q2304*'01_설정'!B12+P2304*'01_설정'!B13+IF(Z2304="",0,Z2304))</f>
        <v/>
      </c>
      <c r="X2304" s="152">
        <f>IF(W2304="","",1+COUNTIFS($W$4:$W$3003,"&gt;"&amp;W2304)+COUNTIFS($W$4:W2304,W2304)-1)</f>
        <v/>
      </c>
      <c r="Y2304" s="175">
        <f>IF(OR(I2304="",'02_대상물건입력'!B19="",'02_대상물건입력'!B19&lt;=0),"",ABS(I2304-'02_대상물건입력'!B19)/'02_대상물건입력'!B19)</f>
        <v/>
      </c>
      <c r="Z2304" s="172">
        <f>IF(OR(Y2304="",'01_설정'!B31="",'01_설정'!B31&lt;=0,'01_설정'!B32="",'01_설정'!B32&lt;=0),"",MAX(0,(1-Y2304/'01_설정'!B32))*'01_설정'!B31)</f>
        <v/>
      </c>
    </row>
    <row r="2305" ht="17.25" customHeight="1">
      <c r="A2305" s="152">
        <f>IF(INDEX('04A_국토부원자료'!$A:$A,ROW()+1)="","",ROW()-3)</f>
        <v/>
      </c>
      <c r="B2305" s="48">
        <f>IFERROR(INDEX('04A_국토부원자료'!$A:$T,ROW()+1,MATCH("시군구",'04A_국토부원자료'!$A$4:$T$4,0)),"")</f>
        <v/>
      </c>
      <c r="C2305" s="48">
        <f>IF(B2305="","",IFERROR(INDEX('04A_국토부원자료'!$A:$T,ROW()+1,MATCH("번지",'04A_국토부원자료'!$A$4:$T$4,0)),""))</f>
        <v/>
      </c>
      <c r="D2305" s="48">
        <f>IF(B2305="","",IF(Q2305=1,'02_대상물건입력'!$B$8,IFERROR(INDEX('04A_국토부원자료'!$A:$T,ROW()+1,MATCH("단지명",'04A_국토부원자료'!$A$4:$T$4,0)),"")))</f>
        <v/>
      </c>
      <c r="E2305" s="172">
        <f>IFERROR(VALUE(SUBSTITUTE(INDEX('04A_국토부원자료'!$A:$T,ROW()+1,MATCH("전용면적(㎡)",'04A_국토부원자료'!$A$4:$T$4,0)),",","")),"")</f>
        <v/>
      </c>
      <c r="F23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05" s="51">
        <f>IFERROR(VALUE(SUBSTITUTE(INDEX('04A_국토부원자료'!$A:$T,ROW()+1,MATCH("거래금액(만원)",'04A_국토부원자료'!$A$4:$T$4,0)),",","")),"")</f>
        <v/>
      </c>
      <c r="H2305" s="174">
        <f>IF(G2305="","",G2305*10000)</f>
        <v/>
      </c>
      <c r="I2305" s="174">
        <f>IFERROR(IF(AND(H2305&gt;0,E2305&gt;0),H2305/E2305,""),"")</f>
        <v/>
      </c>
      <c r="J2305" s="152">
        <f>IFERROR(VALUE(SUBSTITUTE(INDEX('04A_국토부원자료'!$A:$T,ROW()+1,MATCH("층",'04A_국토부원자료'!$A$4:$T$4,0)),",","")),"")</f>
        <v/>
      </c>
      <c r="K2305" s="152">
        <f>IFERROR(VALUE(SUBSTITUTE(INDEX('04A_국토부원자료'!$A:$T,ROW()+1,MATCH("건축년도",'04A_국토부원자료'!$A$4:$T$4,0)),",","")),"")</f>
        <v/>
      </c>
      <c r="L2305" s="48">
        <f>IFERROR(INDEX('04A_국토부원자료'!$A:$T,ROW()+1,MATCH("도로명",'04A_국토부원자료'!$A$4:$T$4,0)),"")</f>
        <v/>
      </c>
      <c r="M2305" s="48">
        <f>IFERROR(INDEX('04A_국토부원자료'!$A:$T,ROW()+1,MATCH("거래유형",'04A_국토부원자료'!$A$4:$T$4,0)),"")</f>
        <v/>
      </c>
      <c r="N2305" s="152">
        <f>IF(B2305="","",IF('02_대상물건입력'!B5="",1,IF(ISNUMBER(SEARCH('02_대상물건입력'!B5,B2305)),1,0)))</f>
        <v/>
      </c>
      <c r="O2305" s="152">
        <f>IF(B2305="","",IF('02_대상물건입력'!B6="",1,IF(ISNUMBER(SEARCH('02_대상물건입력'!B6,B2305)),1,0)))</f>
        <v/>
      </c>
      <c r="P2305" s="152">
        <f>IF(L2305="","",IF('02_대상물건입력'!B15="",0,IF(ISNUMBER(SEARCH('02_대상물건입력'!B15,L2305)),1,0)))</f>
        <v/>
      </c>
      <c r="Q2305" s="152">
        <f>IF(OR(C2305="",L2305=""),0,IF(AND(TRIM(C2305)=TRIM(RIGHT(SUBSTITUTE(TRIM('02_대상물건입력'!$B$7)," ",REPT(" ",99)),99)),IF('02_대상물건입력'!B15="",TRUE(),ISNUMBER(SEARCH('02_대상물건입력'!B15,L2305)))),1,0))</f>
        <v/>
      </c>
      <c r="R2305" s="175">
        <f>IFERROR(ABS(E2305-'02_대상물건입력'!B11)/'02_대상물건입력'!B11,"")</f>
        <v/>
      </c>
      <c r="S2305" s="152">
        <f>IFERROR(ABS(J2305-'02_대상물건입력'!B10),"")</f>
        <v/>
      </c>
      <c r="T2305" s="152">
        <f>IFERROR(ABS('01_설정'!B4-F2305),"")</f>
        <v/>
      </c>
      <c r="U2305" s="152">
        <f>IFERROR(ABS(K2305-YEAR('02_대상물건입력'!B14)),"")</f>
        <v/>
      </c>
      <c r="V2305" s="152">
        <f>IF(B2305="","",IF(AND(E2305&gt;0,F2305&gt;0,H2305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2305=1,TRUE()),R2305&lt;='01_설정'!B5,S2305&lt;='01_설정'!B6,T2305&lt;='01_설정'!B7,U2305&lt;='01_설정'!B8),"Y",""))</f>
        <v/>
      </c>
      <c r="W2305" s="172">
        <f>IF(V2305&lt;&gt;"Y","",MAX(0,(1-R2305/'01_설정'!B5))*'01_설정'!B14+MAX(0,(1-S2305/'01_설정'!B6))*'01_설정'!B15+MAX(0,(1-T2305/'01_설정'!B7))*'01_설정'!B16+MAX(0,(1-U2305/'01_설정'!B8))*'01_설정'!B17+O2305*'01_설정'!B11+Q2305*'01_설정'!B12+P2305*'01_설정'!B13+IF(Z2305="",0,Z2305))</f>
        <v/>
      </c>
      <c r="X2305" s="152">
        <f>IF(W2305="","",1+COUNTIFS($W$4:$W$3003,"&gt;"&amp;W2305)+COUNTIFS($W$4:W2305,W2305)-1)</f>
        <v/>
      </c>
      <c r="Y2305" s="175">
        <f>IF(OR(I2305="",'02_대상물건입력'!B19="",'02_대상물건입력'!B19&lt;=0),"",ABS(I2305-'02_대상물건입력'!B19)/'02_대상물건입력'!B19)</f>
        <v/>
      </c>
      <c r="Z2305" s="172">
        <f>IF(OR(Y2305="",'01_설정'!B31="",'01_설정'!B31&lt;=0,'01_설정'!B32="",'01_설정'!B32&lt;=0),"",MAX(0,(1-Y2305/'01_설정'!B32))*'01_설정'!B31)</f>
        <v/>
      </c>
    </row>
    <row r="2306" ht="17.25" customHeight="1">
      <c r="A2306" s="152">
        <f>IF(INDEX('04A_국토부원자료'!$A:$A,ROW()+1)="","",ROW()-3)</f>
        <v/>
      </c>
      <c r="B2306" s="48">
        <f>IFERROR(INDEX('04A_국토부원자료'!$A:$T,ROW()+1,MATCH("시군구",'04A_국토부원자료'!$A$4:$T$4,0)),"")</f>
        <v/>
      </c>
      <c r="C2306" s="48">
        <f>IF(B2306="","",IFERROR(INDEX('04A_국토부원자료'!$A:$T,ROW()+1,MATCH("번지",'04A_국토부원자료'!$A$4:$T$4,0)),""))</f>
        <v/>
      </c>
      <c r="D2306" s="48">
        <f>IF(B2306="","",IF(Q2306=1,'02_대상물건입력'!$B$8,IFERROR(INDEX('04A_국토부원자료'!$A:$T,ROW()+1,MATCH("단지명",'04A_국토부원자료'!$A$4:$T$4,0)),"")))</f>
        <v/>
      </c>
      <c r="E2306" s="172">
        <f>IFERROR(VALUE(SUBSTITUTE(INDEX('04A_국토부원자료'!$A:$T,ROW()+1,MATCH("전용면적(㎡)",'04A_국토부원자료'!$A$4:$T$4,0)),",","")),"")</f>
        <v/>
      </c>
      <c r="F23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06" s="51">
        <f>IFERROR(VALUE(SUBSTITUTE(INDEX('04A_국토부원자료'!$A:$T,ROW()+1,MATCH("거래금액(만원)",'04A_국토부원자료'!$A$4:$T$4,0)),",","")),"")</f>
        <v/>
      </c>
      <c r="H2306" s="174">
        <f>IF(G2306="","",G2306*10000)</f>
        <v/>
      </c>
      <c r="I2306" s="174">
        <f>IFERROR(IF(AND(H2306&gt;0,E2306&gt;0),H2306/E2306,""),"")</f>
        <v/>
      </c>
      <c r="J2306" s="152">
        <f>IFERROR(VALUE(SUBSTITUTE(INDEX('04A_국토부원자료'!$A:$T,ROW()+1,MATCH("층",'04A_국토부원자료'!$A$4:$T$4,0)),",","")),"")</f>
        <v/>
      </c>
      <c r="K2306" s="152">
        <f>IFERROR(VALUE(SUBSTITUTE(INDEX('04A_국토부원자료'!$A:$T,ROW()+1,MATCH("건축년도",'04A_국토부원자료'!$A$4:$T$4,0)),",","")),"")</f>
        <v/>
      </c>
      <c r="L2306" s="48">
        <f>IFERROR(INDEX('04A_국토부원자료'!$A:$T,ROW()+1,MATCH("도로명",'04A_국토부원자료'!$A$4:$T$4,0)),"")</f>
        <v/>
      </c>
      <c r="M2306" s="48">
        <f>IFERROR(INDEX('04A_국토부원자료'!$A:$T,ROW()+1,MATCH("거래유형",'04A_국토부원자료'!$A$4:$T$4,0)),"")</f>
        <v/>
      </c>
      <c r="N2306" s="152">
        <f>IF(B2306="","",IF('02_대상물건입력'!B5="",1,IF(ISNUMBER(SEARCH('02_대상물건입력'!B5,B2306)),1,0)))</f>
        <v/>
      </c>
      <c r="O2306" s="152">
        <f>IF(B2306="","",IF('02_대상물건입력'!B6="",1,IF(ISNUMBER(SEARCH('02_대상물건입력'!B6,B2306)),1,0)))</f>
        <v/>
      </c>
      <c r="P2306" s="152">
        <f>IF(L2306="","",IF('02_대상물건입력'!B15="",0,IF(ISNUMBER(SEARCH('02_대상물건입력'!B15,L2306)),1,0)))</f>
        <v/>
      </c>
      <c r="Q2306" s="152">
        <f>IF(OR(C2306="",L2306=""),0,IF(AND(TRIM(C2306)=TRIM(RIGHT(SUBSTITUTE(TRIM('02_대상물건입력'!$B$7)," ",REPT(" ",99)),99)),IF('02_대상물건입력'!B15="",TRUE(),ISNUMBER(SEARCH('02_대상물건입력'!B15,L2306)))),1,0))</f>
        <v/>
      </c>
      <c r="R2306" s="175">
        <f>IFERROR(ABS(E2306-'02_대상물건입력'!B11)/'02_대상물건입력'!B11,"")</f>
        <v/>
      </c>
      <c r="S2306" s="152">
        <f>IFERROR(ABS(J2306-'02_대상물건입력'!B10),"")</f>
        <v/>
      </c>
      <c r="T2306" s="152">
        <f>IFERROR(ABS('01_설정'!B4-F2306),"")</f>
        <v/>
      </c>
      <c r="U2306" s="152">
        <f>IFERROR(ABS(K2306-YEAR('02_대상물건입력'!B14)),"")</f>
        <v/>
      </c>
      <c r="V2306" s="152">
        <f>IF(B2306="","",IF(AND(E2306&gt;0,F2306&gt;0,H2306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2306=1,TRUE()),R2306&lt;='01_설정'!B5,S2306&lt;='01_설정'!B6,T2306&lt;='01_설정'!B7,U2306&lt;='01_설정'!B8),"Y",""))</f>
        <v/>
      </c>
      <c r="W2306" s="172">
        <f>IF(V2306&lt;&gt;"Y","",MAX(0,(1-R2306/'01_설정'!B5))*'01_설정'!B14+MAX(0,(1-S2306/'01_설정'!B6))*'01_설정'!B15+MAX(0,(1-T2306/'01_설정'!B7))*'01_설정'!B16+MAX(0,(1-U2306/'01_설정'!B8))*'01_설정'!B17+O2306*'01_설정'!B11+Q2306*'01_설정'!B12+P2306*'01_설정'!B13+IF(Z2306="",0,Z2306))</f>
        <v/>
      </c>
      <c r="X2306" s="152">
        <f>IF(W2306="","",1+COUNTIFS($W$4:$W$3003,"&gt;"&amp;W2306)+COUNTIFS($W$4:W2306,W2306)-1)</f>
        <v/>
      </c>
      <c r="Y2306" s="175">
        <f>IF(OR(I2306="",'02_대상물건입력'!B19="",'02_대상물건입력'!B19&lt;=0),"",ABS(I2306-'02_대상물건입력'!B19)/'02_대상물건입력'!B19)</f>
        <v/>
      </c>
      <c r="Z2306" s="172">
        <f>IF(OR(Y2306="",'01_설정'!B31="",'01_설정'!B31&lt;=0,'01_설정'!B32="",'01_설정'!B32&lt;=0),"",MAX(0,(1-Y2306/'01_설정'!B32))*'01_설정'!B31)</f>
        <v/>
      </c>
    </row>
    <row r="2307" ht="17.25" customHeight="1">
      <c r="A2307" s="152">
        <f>IF(INDEX('04A_국토부원자료'!$A:$A,ROW()+1)="","",ROW()-3)</f>
        <v/>
      </c>
      <c r="B2307" s="48">
        <f>IFERROR(INDEX('04A_국토부원자료'!$A:$T,ROW()+1,MATCH("시군구",'04A_국토부원자료'!$A$4:$T$4,0)),"")</f>
        <v/>
      </c>
      <c r="C2307" s="48">
        <f>IF(B2307="","",IFERROR(INDEX('04A_국토부원자료'!$A:$T,ROW()+1,MATCH("번지",'04A_국토부원자료'!$A$4:$T$4,0)),""))</f>
        <v/>
      </c>
      <c r="D2307" s="48">
        <f>IF(B2307="","",IF(Q2307=1,'02_대상물건입력'!$B$8,IFERROR(INDEX('04A_국토부원자료'!$A:$T,ROW()+1,MATCH("단지명",'04A_국토부원자료'!$A$4:$T$4,0)),"")))</f>
        <v/>
      </c>
      <c r="E2307" s="172">
        <f>IFERROR(VALUE(SUBSTITUTE(INDEX('04A_국토부원자료'!$A:$T,ROW()+1,MATCH("전용면적(㎡)",'04A_국토부원자료'!$A$4:$T$4,0)),",","")),"")</f>
        <v/>
      </c>
      <c r="F23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07" s="51">
        <f>IFERROR(VALUE(SUBSTITUTE(INDEX('04A_국토부원자료'!$A:$T,ROW()+1,MATCH("거래금액(만원)",'04A_국토부원자료'!$A$4:$T$4,0)),",","")),"")</f>
        <v/>
      </c>
      <c r="H2307" s="174">
        <f>IF(G2307="","",G2307*10000)</f>
        <v/>
      </c>
      <c r="I2307" s="174">
        <f>IFERROR(IF(AND(H2307&gt;0,E2307&gt;0),H2307/E2307,""),"")</f>
        <v/>
      </c>
      <c r="J2307" s="152">
        <f>IFERROR(VALUE(SUBSTITUTE(INDEX('04A_국토부원자료'!$A:$T,ROW()+1,MATCH("층",'04A_국토부원자료'!$A$4:$T$4,0)),",","")),"")</f>
        <v/>
      </c>
      <c r="K2307" s="152">
        <f>IFERROR(VALUE(SUBSTITUTE(INDEX('04A_국토부원자료'!$A:$T,ROW()+1,MATCH("건축년도",'04A_국토부원자료'!$A$4:$T$4,0)),",","")),"")</f>
        <v/>
      </c>
      <c r="L2307" s="48">
        <f>IFERROR(INDEX('04A_국토부원자료'!$A:$T,ROW()+1,MATCH("도로명",'04A_국토부원자료'!$A$4:$T$4,0)),"")</f>
        <v/>
      </c>
      <c r="M2307" s="48">
        <f>IFERROR(INDEX('04A_국토부원자료'!$A:$T,ROW()+1,MATCH("거래유형",'04A_국토부원자료'!$A$4:$T$4,0)),"")</f>
        <v/>
      </c>
      <c r="N2307" s="152">
        <f>IF(B2307="","",IF('02_대상물건입력'!B5="",1,IF(ISNUMBER(SEARCH('02_대상물건입력'!B5,B2307)),1,0)))</f>
        <v/>
      </c>
      <c r="O2307" s="152">
        <f>IF(B2307="","",IF('02_대상물건입력'!B6="",1,IF(ISNUMBER(SEARCH('02_대상물건입력'!B6,B2307)),1,0)))</f>
        <v/>
      </c>
      <c r="P2307" s="152">
        <f>IF(L2307="","",IF('02_대상물건입력'!B15="",0,IF(ISNUMBER(SEARCH('02_대상물건입력'!B15,L2307)),1,0)))</f>
        <v/>
      </c>
      <c r="Q2307" s="152">
        <f>IF(OR(C2307="",L2307=""),0,IF(AND(TRIM(C2307)=TRIM(RIGHT(SUBSTITUTE(TRIM('02_대상물건입력'!$B$7)," ",REPT(" ",99)),99)),IF('02_대상물건입력'!B15="",TRUE(),ISNUMBER(SEARCH('02_대상물건입력'!B15,L2307)))),1,0))</f>
        <v/>
      </c>
      <c r="R2307" s="175">
        <f>IFERROR(ABS(E2307-'02_대상물건입력'!B11)/'02_대상물건입력'!B11,"")</f>
        <v/>
      </c>
      <c r="S2307" s="152">
        <f>IFERROR(ABS(J2307-'02_대상물건입력'!B10),"")</f>
        <v/>
      </c>
      <c r="T2307" s="152">
        <f>IFERROR(ABS('01_설정'!B4-F2307),"")</f>
        <v/>
      </c>
      <c r="U2307" s="152">
        <f>IFERROR(ABS(K2307-YEAR('02_대상물건입력'!B14)),"")</f>
        <v/>
      </c>
      <c r="V2307" s="152">
        <f>IF(B2307="","",IF(AND(E2307&gt;0,F2307&gt;0,H2307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2307=1,TRUE()),R2307&lt;='01_설정'!B5,S2307&lt;='01_설정'!B6,T2307&lt;='01_설정'!B7,U2307&lt;='01_설정'!B8),"Y",""))</f>
        <v/>
      </c>
      <c r="W2307" s="172">
        <f>IF(V2307&lt;&gt;"Y","",MAX(0,(1-R2307/'01_설정'!B5))*'01_설정'!B14+MAX(0,(1-S2307/'01_설정'!B6))*'01_설정'!B15+MAX(0,(1-T2307/'01_설정'!B7))*'01_설정'!B16+MAX(0,(1-U2307/'01_설정'!B8))*'01_설정'!B17+O2307*'01_설정'!B11+Q2307*'01_설정'!B12+P2307*'01_설정'!B13+IF(Z2307="",0,Z2307))</f>
        <v/>
      </c>
      <c r="X2307" s="152">
        <f>IF(W2307="","",1+COUNTIFS($W$4:$W$3003,"&gt;"&amp;W2307)+COUNTIFS($W$4:W2307,W2307)-1)</f>
        <v/>
      </c>
      <c r="Y2307" s="175">
        <f>IF(OR(I2307="",'02_대상물건입력'!B19="",'02_대상물건입력'!B19&lt;=0),"",ABS(I2307-'02_대상물건입력'!B19)/'02_대상물건입력'!B19)</f>
        <v/>
      </c>
      <c r="Z2307" s="172">
        <f>IF(OR(Y2307="",'01_설정'!B31="",'01_설정'!B31&lt;=0,'01_설정'!B32="",'01_설정'!B32&lt;=0),"",MAX(0,(1-Y2307/'01_설정'!B32))*'01_설정'!B31)</f>
        <v/>
      </c>
    </row>
    <row r="2308" ht="17.25" customHeight="1">
      <c r="A2308" s="152">
        <f>IF(INDEX('04A_국토부원자료'!$A:$A,ROW()+1)="","",ROW()-3)</f>
        <v/>
      </c>
      <c r="B2308" s="48">
        <f>IFERROR(INDEX('04A_국토부원자료'!$A:$T,ROW()+1,MATCH("시군구",'04A_국토부원자료'!$A$4:$T$4,0)),"")</f>
        <v/>
      </c>
      <c r="C2308" s="48">
        <f>IF(B2308="","",IFERROR(INDEX('04A_국토부원자료'!$A:$T,ROW()+1,MATCH("번지",'04A_국토부원자료'!$A$4:$T$4,0)),""))</f>
        <v/>
      </c>
      <c r="D2308" s="48">
        <f>IF(B2308="","",IF(Q2308=1,'02_대상물건입력'!$B$8,IFERROR(INDEX('04A_국토부원자료'!$A:$T,ROW()+1,MATCH("단지명",'04A_국토부원자료'!$A$4:$T$4,0)),"")))</f>
        <v/>
      </c>
      <c r="E2308" s="172">
        <f>IFERROR(VALUE(SUBSTITUTE(INDEX('04A_국토부원자료'!$A:$T,ROW()+1,MATCH("전용면적(㎡)",'04A_국토부원자료'!$A$4:$T$4,0)),",","")),"")</f>
        <v/>
      </c>
      <c r="F23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08" s="51">
        <f>IFERROR(VALUE(SUBSTITUTE(INDEX('04A_국토부원자료'!$A:$T,ROW()+1,MATCH("거래금액(만원)",'04A_국토부원자료'!$A$4:$T$4,0)),",","")),"")</f>
        <v/>
      </c>
      <c r="H2308" s="174">
        <f>IF(G2308="","",G2308*10000)</f>
        <v/>
      </c>
      <c r="I2308" s="174">
        <f>IFERROR(IF(AND(H2308&gt;0,E2308&gt;0),H2308/E2308,""),"")</f>
        <v/>
      </c>
      <c r="J2308" s="152">
        <f>IFERROR(VALUE(SUBSTITUTE(INDEX('04A_국토부원자료'!$A:$T,ROW()+1,MATCH("층",'04A_국토부원자료'!$A$4:$T$4,0)),",","")),"")</f>
        <v/>
      </c>
      <c r="K2308" s="152">
        <f>IFERROR(VALUE(SUBSTITUTE(INDEX('04A_국토부원자료'!$A:$T,ROW()+1,MATCH("건축년도",'04A_국토부원자료'!$A$4:$T$4,0)),",","")),"")</f>
        <v/>
      </c>
      <c r="L2308" s="48">
        <f>IFERROR(INDEX('04A_국토부원자료'!$A:$T,ROW()+1,MATCH("도로명",'04A_국토부원자료'!$A$4:$T$4,0)),"")</f>
        <v/>
      </c>
      <c r="M2308" s="48">
        <f>IFERROR(INDEX('04A_국토부원자료'!$A:$T,ROW()+1,MATCH("거래유형",'04A_국토부원자료'!$A$4:$T$4,0)),"")</f>
        <v/>
      </c>
      <c r="N2308" s="152">
        <f>IF(B2308="","",IF('02_대상물건입력'!B5="",1,IF(ISNUMBER(SEARCH('02_대상물건입력'!B5,B2308)),1,0)))</f>
        <v/>
      </c>
      <c r="O2308" s="152">
        <f>IF(B2308="","",IF('02_대상물건입력'!B6="",1,IF(ISNUMBER(SEARCH('02_대상물건입력'!B6,B2308)),1,0)))</f>
        <v/>
      </c>
      <c r="P2308" s="152">
        <f>IF(L2308="","",IF('02_대상물건입력'!B15="",0,IF(ISNUMBER(SEARCH('02_대상물건입력'!B15,L2308)),1,0)))</f>
        <v/>
      </c>
      <c r="Q2308" s="152">
        <f>IF(OR(C2308="",L2308=""),0,IF(AND(TRIM(C2308)=TRIM(RIGHT(SUBSTITUTE(TRIM('02_대상물건입력'!$B$7)," ",REPT(" ",99)),99)),IF('02_대상물건입력'!B15="",TRUE(),ISNUMBER(SEARCH('02_대상물건입력'!B15,L2308)))),1,0))</f>
        <v/>
      </c>
      <c r="R2308" s="175">
        <f>IFERROR(ABS(E2308-'02_대상물건입력'!B11)/'02_대상물건입력'!B11,"")</f>
        <v/>
      </c>
      <c r="S2308" s="152">
        <f>IFERROR(ABS(J2308-'02_대상물건입력'!B10),"")</f>
        <v/>
      </c>
      <c r="T2308" s="152">
        <f>IFERROR(ABS('01_설정'!B4-F2308),"")</f>
        <v/>
      </c>
      <c r="U2308" s="152">
        <f>IFERROR(ABS(K2308-YEAR('02_대상물건입력'!B14)),"")</f>
        <v/>
      </c>
      <c r="V2308" s="152">
        <f>IF(B2308="","",IF(AND(E2308&gt;0,F2308&gt;0,H2308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2308=1,TRUE()),R2308&lt;='01_설정'!B5,S2308&lt;='01_설정'!B6,T2308&lt;='01_설정'!B7,U2308&lt;='01_설정'!B8),"Y",""))</f>
        <v/>
      </c>
      <c r="W2308" s="172">
        <f>IF(V2308&lt;&gt;"Y","",MAX(0,(1-R2308/'01_설정'!B5))*'01_설정'!B14+MAX(0,(1-S2308/'01_설정'!B6))*'01_설정'!B15+MAX(0,(1-T2308/'01_설정'!B7))*'01_설정'!B16+MAX(0,(1-U2308/'01_설정'!B8))*'01_설정'!B17+O2308*'01_설정'!B11+Q2308*'01_설정'!B12+P2308*'01_설정'!B13+IF(Z2308="",0,Z2308))</f>
        <v/>
      </c>
      <c r="X2308" s="152">
        <f>IF(W2308="","",1+COUNTIFS($W$4:$W$3003,"&gt;"&amp;W2308)+COUNTIFS($W$4:W2308,W2308)-1)</f>
        <v/>
      </c>
      <c r="Y2308" s="175">
        <f>IF(OR(I2308="",'02_대상물건입력'!B19="",'02_대상물건입력'!B19&lt;=0),"",ABS(I2308-'02_대상물건입력'!B19)/'02_대상물건입력'!B19)</f>
        <v/>
      </c>
      <c r="Z2308" s="172">
        <f>IF(OR(Y2308="",'01_설정'!B31="",'01_설정'!B31&lt;=0,'01_설정'!B32="",'01_설정'!B32&lt;=0),"",MAX(0,(1-Y2308/'01_설정'!B32))*'01_설정'!B31)</f>
        <v/>
      </c>
    </row>
    <row r="2309" ht="17.25" customHeight="1">
      <c r="A2309" s="152">
        <f>IF(INDEX('04A_국토부원자료'!$A:$A,ROW()+1)="","",ROW()-3)</f>
        <v/>
      </c>
      <c r="B2309" s="48">
        <f>IFERROR(INDEX('04A_국토부원자료'!$A:$T,ROW()+1,MATCH("시군구",'04A_국토부원자료'!$A$4:$T$4,0)),"")</f>
        <v/>
      </c>
      <c r="C2309" s="48">
        <f>IF(B2309="","",IFERROR(INDEX('04A_국토부원자료'!$A:$T,ROW()+1,MATCH("번지",'04A_국토부원자료'!$A$4:$T$4,0)),""))</f>
        <v/>
      </c>
      <c r="D2309" s="48">
        <f>IF(B2309="","",IF(Q2309=1,'02_대상물건입력'!$B$8,IFERROR(INDEX('04A_국토부원자료'!$A:$T,ROW()+1,MATCH("단지명",'04A_국토부원자료'!$A$4:$T$4,0)),"")))</f>
        <v/>
      </c>
      <c r="E2309" s="172">
        <f>IFERROR(VALUE(SUBSTITUTE(INDEX('04A_국토부원자료'!$A:$T,ROW()+1,MATCH("전용면적(㎡)",'04A_국토부원자료'!$A$4:$T$4,0)),",","")),"")</f>
        <v/>
      </c>
      <c r="F23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09" s="51">
        <f>IFERROR(VALUE(SUBSTITUTE(INDEX('04A_국토부원자료'!$A:$T,ROW()+1,MATCH("거래금액(만원)",'04A_국토부원자료'!$A$4:$T$4,0)),",","")),"")</f>
        <v/>
      </c>
      <c r="H2309" s="174">
        <f>IF(G2309="","",G2309*10000)</f>
        <v/>
      </c>
      <c r="I2309" s="174">
        <f>IFERROR(IF(AND(H2309&gt;0,E2309&gt;0),H2309/E2309,""),"")</f>
        <v/>
      </c>
      <c r="J2309" s="152">
        <f>IFERROR(VALUE(SUBSTITUTE(INDEX('04A_국토부원자료'!$A:$T,ROW()+1,MATCH("층",'04A_국토부원자료'!$A$4:$T$4,0)),",","")),"")</f>
        <v/>
      </c>
      <c r="K2309" s="152">
        <f>IFERROR(VALUE(SUBSTITUTE(INDEX('04A_국토부원자료'!$A:$T,ROW()+1,MATCH("건축년도",'04A_국토부원자료'!$A$4:$T$4,0)),",","")),"")</f>
        <v/>
      </c>
      <c r="L2309" s="48">
        <f>IFERROR(INDEX('04A_국토부원자료'!$A:$T,ROW()+1,MATCH("도로명",'04A_국토부원자료'!$A$4:$T$4,0)),"")</f>
        <v/>
      </c>
      <c r="M2309" s="48">
        <f>IFERROR(INDEX('04A_국토부원자료'!$A:$T,ROW()+1,MATCH("거래유형",'04A_국토부원자료'!$A$4:$T$4,0)),"")</f>
        <v/>
      </c>
      <c r="N2309" s="152">
        <f>IF(B2309="","",IF('02_대상물건입력'!B5="",1,IF(ISNUMBER(SEARCH('02_대상물건입력'!B5,B2309)),1,0)))</f>
        <v/>
      </c>
      <c r="O2309" s="152">
        <f>IF(B2309="","",IF('02_대상물건입력'!B6="",1,IF(ISNUMBER(SEARCH('02_대상물건입력'!B6,B2309)),1,0)))</f>
        <v/>
      </c>
      <c r="P2309" s="152">
        <f>IF(L2309="","",IF('02_대상물건입력'!B15="",0,IF(ISNUMBER(SEARCH('02_대상물건입력'!B15,L2309)),1,0)))</f>
        <v/>
      </c>
      <c r="Q2309" s="152">
        <f>IF(OR(C2309="",L2309=""),0,IF(AND(TRIM(C2309)=TRIM(RIGHT(SUBSTITUTE(TRIM('02_대상물건입력'!$B$7)," ",REPT(" ",99)),99)),IF('02_대상물건입력'!B15="",TRUE(),ISNUMBER(SEARCH('02_대상물건입력'!B15,L2309)))),1,0))</f>
        <v/>
      </c>
      <c r="R2309" s="175">
        <f>IFERROR(ABS(E2309-'02_대상물건입력'!B11)/'02_대상물건입력'!B11,"")</f>
        <v/>
      </c>
      <c r="S2309" s="152">
        <f>IFERROR(ABS(J2309-'02_대상물건입력'!B10),"")</f>
        <v/>
      </c>
      <c r="T2309" s="152">
        <f>IFERROR(ABS('01_설정'!B4-F2309),"")</f>
        <v/>
      </c>
      <c r="U2309" s="152">
        <f>IFERROR(ABS(K2309-YEAR('02_대상물건입력'!B14)),"")</f>
        <v/>
      </c>
      <c r="V2309" s="152">
        <f>IF(B2309="","",IF(AND(E2309&gt;0,F2309&gt;0,H2309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2309=1,TRUE()),R2309&lt;='01_설정'!B5,S2309&lt;='01_설정'!B6,T2309&lt;='01_설정'!B7,U2309&lt;='01_설정'!B8),"Y",""))</f>
        <v/>
      </c>
      <c r="W2309" s="172">
        <f>IF(V2309&lt;&gt;"Y","",MAX(0,(1-R2309/'01_설정'!B5))*'01_설정'!B14+MAX(0,(1-S2309/'01_설정'!B6))*'01_설정'!B15+MAX(0,(1-T2309/'01_설정'!B7))*'01_설정'!B16+MAX(0,(1-U2309/'01_설정'!B8))*'01_설정'!B17+O2309*'01_설정'!B11+Q2309*'01_설정'!B12+P2309*'01_설정'!B13+IF(Z2309="",0,Z2309))</f>
        <v/>
      </c>
      <c r="X2309" s="152">
        <f>IF(W2309="","",1+COUNTIFS($W$4:$W$3003,"&gt;"&amp;W2309)+COUNTIFS($W$4:W2309,W2309)-1)</f>
        <v/>
      </c>
      <c r="Y2309" s="175">
        <f>IF(OR(I2309="",'02_대상물건입력'!B19="",'02_대상물건입력'!B19&lt;=0),"",ABS(I2309-'02_대상물건입력'!B19)/'02_대상물건입력'!B19)</f>
        <v/>
      </c>
      <c r="Z2309" s="172">
        <f>IF(OR(Y2309="",'01_설정'!B31="",'01_설정'!B31&lt;=0,'01_설정'!B32="",'01_설정'!B32&lt;=0),"",MAX(0,(1-Y2309/'01_설정'!B32))*'01_설정'!B31)</f>
        <v/>
      </c>
    </row>
    <row r="2310" ht="17.25" customHeight="1">
      <c r="A2310" s="152">
        <f>IF(INDEX('04A_국토부원자료'!$A:$A,ROW()+1)="","",ROW()-3)</f>
        <v/>
      </c>
      <c r="B2310" s="48">
        <f>IFERROR(INDEX('04A_국토부원자료'!$A:$T,ROW()+1,MATCH("시군구",'04A_국토부원자료'!$A$4:$T$4,0)),"")</f>
        <v/>
      </c>
      <c r="C2310" s="48">
        <f>IF(B2310="","",IFERROR(INDEX('04A_국토부원자료'!$A:$T,ROW()+1,MATCH("번지",'04A_국토부원자료'!$A$4:$T$4,0)),""))</f>
        <v/>
      </c>
      <c r="D2310" s="48">
        <f>IF(B2310="","",IF(Q2310=1,'02_대상물건입력'!$B$8,IFERROR(INDEX('04A_국토부원자료'!$A:$T,ROW()+1,MATCH("단지명",'04A_국토부원자료'!$A$4:$T$4,0)),"")))</f>
        <v/>
      </c>
      <c r="E2310" s="172">
        <f>IFERROR(VALUE(SUBSTITUTE(INDEX('04A_국토부원자료'!$A:$T,ROW()+1,MATCH("전용면적(㎡)",'04A_국토부원자료'!$A$4:$T$4,0)),",","")),"")</f>
        <v/>
      </c>
      <c r="F23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10" s="51">
        <f>IFERROR(VALUE(SUBSTITUTE(INDEX('04A_국토부원자료'!$A:$T,ROW()+1,MATCH("거래금액(만원)",'04A_국토부원자료'!$A$4:$T$4,0)),",","")),"")</f>
        <v/>
      </c>
      <c r="H2310" s="174">
        <f>IF(G2310="","",G2310*10000)</f>
        <v/>
      </c>
      <c r="I2310" s="174">
        <f>IFERROR(IF(AND(H2310&gt;0,E2310&gt;0),H2310/E2310,""),"")</f>
        <v/>
      </c>
      <c r="J2310" s="152">
        <f>IFERROR(VALUE(SUBSTITUTE(INDEX('04A_국토부원자료'!$A:$T,ROW()+1,MATCH("층",'04A_국토부원자료'!$A$4:$T$4,0)),",","")),"")</f>
        <v/>
      </c>
      <c r="K2310" s="152">
        <f>IFERROR(VALUE(SUBSTITUTE(INDEX('04A_국토부원자료'!$A:$T,ROW()+1,MATCH("건축년도",'04A_국토부원자료'!$A$4:$T$4,0)),",","")),"")</f>
        <v/>
      </c>
      <c r="L2310" s="48">
        <f>IFERROR(INDEX('04A_국토부원자료'!$A:$T,ROW()+1,MATCH("도로명",'04A_국토부원자료'!$A$4:$T$4,0)),"")</f>
        <v/>
      </c>
      <c r="M2310" s="48">
        <f>IFERROR(INDEX('04A_국토부원자료'!$A:$T,ROW()+1,MATCH("거래유형",'04A_국토부원자료'!$A$4:$T$4,0)),"")</f>
        <v/>
      </c>
      <c r="N2310" s="152">
        <f>IF(B2310="","",IF('02_대상물건입력'!B5="",1,IF(ISNUMBER(SEARCH('02_대상물건입력'!B5,B2310)),1,0)))</f>
        <v/>
      </c>
      <c r="O2310" s="152">
        <f>IF(B2310="","",IF('02_대상물건입력'!B6="",1,IF(ISNUMBER(SEARCH('02_대상물건입력'!B6,B2310)),1,0)))</f>
        <v/>
      </c>
      <c r="P2310" s="152">
        <f>IF(L2310="","",IF('02_대상물건입력'!B15="",0,IF(ISNUMBER(SEARCH('02_대상물건입력'!B15,L2310)),1,0)))</f>
        <v/>
      </c>
      <c r="Q2310" s="152">
        <f>IF(OR(C2310="",L2310=""),0,IF(AND(TRIM(C2310)=TRIM(RIGHT(SUBSTITUTE(TRIM('02_대상물건입력'!$B$7)," ",REPT(" ",99)),99)),IF('02_대상물건입력'!B15="",TRUE(),ISNUMBER(SEARCH('02_대상물건입력'!B15,L2310)))),1,0))</f>
        <v/>
      </c>
      <c r="R2310" s="175">
        <f>IFERROR(ABS(E2310-'02_대상물건입력'!B11)/'02_대상물건입력'!B11,"")</f>
        <v/>
      </c>
      <c r="S2310" s="152">
        <f>IFERROR(ABS(J2310-'02_대상물건입력'!B10),"")</f>
        <v/>
      </c>
      <c r="T2310" s="152">
        <f>IFERROR(ABS('01_설정'!B4-F2310),"")</f>
        <v/>
      </c>
      <c r="U2310" s="152">
        <f>IFERROR(ABS(K2310-YEAR('02_대상물건입력'!B14)),"")</f>
        <v/>
      </c>
      <c r="V2310" s="152">
        <f>IF(B2310="","",IF(AND(E2310&gt;0,F2310&gt;0,H2310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2310=1,TRUE()),R2310&lt;='01_설정'!B5,S2310&lt;='01_설정'!B6,T2310&lt;='01_설정'!B7,U2310&lt;='01_설정'!B8),"Y",""))</f>
        <v/>
      </c>
      <c r="W2310" s="172">
        <f>IF(V2310&lt;&gt;"Y","",MAX(0,(1-R2310/'01_설정'!B5))*'01_설정'!B14+MAX(0,(1-S2310/'01_설정'!B6))*'01_설정'!B15+MAX(0,(1-T2310/'01_설정'!B7))*'01_설정'!B16+MAX(0,(1-U2310/'01_설정'!B8))*'01_설정'!B17+O2310*'01_설정'!B11+Q2310*'01_설정'!B12+P2310*'01_설정'!B13+IF(Z2310="",0,Z2310))</f>
        <v/>
      </c>
      <c r="X2310" s="152">
        <f>IF(W2310="","",1+COUNTIFS($W$4:$W$3003,"&gt;"&amp;W2310)+COUNTIFS($W$4:W2310,W2310)-1)</f>
        <v/>
      </c>
      <c r="Y2310" s="175">
        <f>IF(OR(I2310="",'02_대상물건입력'!B19="",'02_대상물건입력'!B19&lt;=0),"",ABS(I2310-'02_대상물건입력'!B19)/'02_대상물건입력'!B19)</f>
        <v/>
      </c>
      <c r="Z2310" s="172">
        <f>IF(OR(Y2310="",'01_설정'!B31="",'01_설정'!B31&lt;=0,'01_설정'!B32="",'01_설정'!B32&lt;=0),"",MAX(0,(1-Y2310/'01_설정'!B32))*'01_설정'!B31)</f>
        <v/>
      </c>
    </row>
    <row r="2311" ht="17.25" customHeight="1">
      <c r="A2311" s="152">
        <f>IF(INDEX('04A_국토부원자료'!$A:$A,ROW()+1)="","",ROW()-3)</f>
        <v/>
      </c>
      <c r="B2311" s="48">
        <f>IFERROR(INDEX('04A_국토부원자료'!$A:$T,ROW()+1,MATCH("시군구",'04A_국토부원자료'!$A$4:$T$4,0)),"")</f>
        <v/>
      </c>
      <c r="C2311" s="48">
        <f>IF(B2311="","",IFERROR(INDEX('04A_국토부원자료'!$A:$T,ROW()+1,MATCH("번지",'04A_국토부원자료'!$A$4:$T$4,0)),""))</f>
        <v/>
      </c>
      <c r="D2311" s="48">
        <f>IF(B2311="","",IF(Q2311=1,'02_대상물건입력'!$B$8,IFERROR(INDEX('04A_국토부원자료'!$A:$T,ROW()+1,MATCH("단지명",'04A_국토부원자료'!$A$4:$T$4,0)),"")))</f>
        <v/>
      </c>
      <c r="E2311" s="172">
        <f>IFERROR(VALUE(SUBSTITUTE(INDEX('04A_국토부원자료'!$A:$T,ROW()+1,MATCH("전용면적(㎡)",'04A_국토부원자료'!$A$4:$T$4,0)),",","")),"")</f>
        <v/>
      </c>
      <c r="F23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11" s="51">
        <f>IFERROR(VALUE(SUBSTITUTE(INDEX('04A_국토부원자료'!$A:$T,ROW()+1,MATCH("거래금액(만원)",'04A_국토부원자료'!$A$4:$T$4,0)),",","")),"")</f>
        <v/>
      </c>
      <c r="H2311" s="174">
        <f>IF(G2311="","",G2311*10000)</f>
        <v/>
      </c>
      <c r="I2311" s="174">
        <f>IFERROR(IF(AND(H2311&gt;0,E2311&gt;0),H2311/E2311,""),"")</f>
        <v/>
      </c>
      <c r="J2311" s="152">
        <f>IFERROR(VALUE(SUBSTITUTE(INDEX('04A_국토부원자료'!$A:$T,ROW()+1,MATCH("층",'04A_국토부원자료'!$A$4:$T$4,0)),",","")),"")</f>
        <v/>
      </c>
      <c r="K2311" s="152">
        <f>IFERROR(VALUE(SUBSTITUTE(INDEX('04A_국토부원자료'!$A:$T,ROW()+1,MATCH("건축년도",'04A_국토부원자료'!$A$4:$T$4,0)),",","")),"")</f>
        <v/>
      </c>
      <c r="L2311" s="48">
        <f>IFERROR(INDEX('04A_국토부원자료'!$A:$T,ROW()+1,MATCH("도로명",'04A_국토부원자료'!$A$4:$T$4,0)),"")</f>
        <v/>
      </c>
      <c r="M2311" s="48">
        <f>IFERROR(INDEX('04A_국토부원자료'!$A:$T,ROW()+1,MATCH("거래유형",'04A_국토부원자료'!$A$4:$T$4,0)),"")</f>
        <v/>
      </c>
      <c r="N2311" s="152">
        <f>IF(B2311="","",IF('02_대상물건입력'!B5="",1,IF(ISNUMBER(SEARCH('02_대상물건입력'!B5,B2311)),1,0)))</f>
        <v/>
      </c>
      <c r="O2311" s="152">
        <f>IF(B2311="","",IF('02_대상물건입력'!B6="",1,IF(ISNUMBER(SEARCH('02_대상물건입력'!B6,B2311)),1,0)))</f>
        <v/>
      </c>
      <c r="P2311" s="152">
        <f>IF(L2311="","",IF('02_대상물건입력'!B15="",0,IF(ISNUMBER(SEARCH('02_대상물건입력'!B15,L2311)),1,0)))</f>
        <v/>
      </c>
      <c r="Q2311" s="152">
        <f>IF(OR(C2311="",L2311=""),0,IF(AND(TRIM(C2311)=TRIM(RIGHT(SUBSTITUTE(TRIM('02_대상물건입력'!$B$7)," ",REPT(" ",99)),99)),IF('02_대상물건입력'!B15="",TRUE(),ISNUMBER(SEARCH('02_대상물건입력'!B15,L2311)))),1,0))</f>
        <v/>
      </c>
      <c r="R2311" s="175">
        <f>IFERROR(ABS(E2311-'02_대상물건입력'!B11)/'02_대상물건입력'!B11,"")</f>
        <v/>
      </c>
      <c r="S2311" s="152">
        <f>IFERROR(ABS(J2311-'02_대상물건입력'!B10),"")</f>
        <v/>
      </c>
      <c r="T2311" s="152">
        <f>IFERROR(ABS('01_설정'!B4-F2311),"")</f>
        <v/>
      </c>
      <c r="U2311" s="152">
        <f>IFERROR(ABS(K2311-YEAR('02_대상물건입력'!B14)),"")</f>
        <v/>
      </c>
      <c r="V2311" s="152">
        <f>IF(B2311="","",IF(AND(E2311&gt;0,F2311&gt;0,H2311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2311=1,TRUE()),R2311&lt;='01_설정'!B5,S2311&lt;='01_설정'!B6,T2311&lt;='01_설정'!B7,U2311&lt;='01_설정'!B8),"Y",""))</f>
        <v/>
      </c>
      <c r="W2311" s="172">
        <f>IF(V2311&lt;&gt;"Y","",MAX(0,(1-R2311/'01_설정'!B5))*'01_설정'!B14+MAX(0,(1-S2311/'01_설정'!B6))*'01_설정'!B15+MAX(0,(1-T2311/'01_설정'!B7))*'01_설정'!B16+MAX(0,(1-U2311/'01_설정'!B8))*'01_설정'!B17+O2311*'01_설정'!B11+Q2311*'01_설정'!B12+P2311*'01_설정'!B13+IF(Z2311="",0,Z2311))</f>
        <v/>
      </c>
      <c r="X2311" s="152">
        <f>IF(W2311="","",1+COUNTIFS($W$4:$W$3003,"&gt;"&amp;W2311)+COUNTIFS($W$4:W2311,W2311)-1)</f>
        <v/>
      </c>
      <c r="Y2311" s="175">
        <f>IF(OR(I2311="",'02_대상물건입력'!B19="",'02_대상물건입력'!B19&lt;=0),"",ABS(I2311-'02_대상물건입력'!B19)/'02_대상물건입력'!B19)</f>
        <v/>
      </c>
      <c r="Z2311" s="172">
        <f>IF(OR(Y2311="",'01_설정'!B31="",'01_설정'!B31&lt;=0,'01_설정'!B32="",'01_설정'!B32&lt;=0),"",MAX(0,(1-Y2311/'01_설정'!B32))*'01_설정'!B31)</f>
        <v/>
      </c>
    </row>
    <row r="2312" ht="17.25" customHeight="1">
      <c r="A2312" s="152">
        <f>IF(INDEX('04A_국토부원자료'!$A:$A,ROW()+1)="","",ROW()-3)</f>
        <v/>
      </c>
      <c r="B2312" s="48">
        <f>IFERROR(INDEX('04A_국토부원자료'!$A:$T,ROW()+1,MATCH("시군구",'04A_국토부원자료'!$A$4:$T$4,0)),"")</f>
        <v/>
      </c>
      <c r="C2312" s="48">
        <f>IF(B2312="","",IFERROR(INDEX('04A_국토부원자료'!$A:$T,ROW()+1,MATCH("번지",'04A_국토부원자료'!$A$4:$T$4,0)),""))</f>
        <v/>
      </c>
      <c r="D2312" s="48">
        <f>IF(B2312="","",IF(Q2312=1,'02_대상물건입력'!$B$8,IFERROR(INDEX('04A_국토부원자료'!$A:$T,ROW()+1,MATCH("단지명",'04A_국토부원자료'!$A$4:$T$4,0)),"")))</f>
        <v/>
      </c>
      <c r="E2312" s="172">
        <f>IFERROR(VALUE(SUBSTITUTE(INDEX('04A_국토부원자료'!$A:$T,ROW()+1,MATCH("전용면적(㎡)",'04A_국토부원자료'!$A$4:$T$4,0)),",","")),"")</f>
        <v/>
      </c>
      <c r="F23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12" s="51">
        <f>IFERROR(VALUE(SUBSTITUTE(INDEX('04A_국토부원자료'!$A:$T,ROW()+1,MATCH("거래금액(만원)",'04A_국토부원자료'!$A$4:$T$4,0)),",","")),"")</f>
        <v/>
      </c>
      <c r="H2312" s="174">
        <f>IF(G2312="","",G2312*10000)</f>
        <v/>
      </c>
      <c r="I2312" s="174">
        <f>IFERROR(IF(AND(H2312&gt;0,E2312&gt;0),H2312/E2312,""),"")</f>
        <v/>
      </c>
      <c r="J2312" s="152">
        <f>IFERROR(VALUE(SUBSTITUTE(INDEX('04A_국토부원자료'!$A:$T,ROW()+1,MATCH("층",'04A_국토부원자료'!$A$4:$T$4,0)),",","")),"")</f>
        <v/>
      </c>
      <c r="K2312" s="152">
        <f>IFERROR(VALUE(SUBSTITUTE(INDEX('04A_국토부원자료'!$A:$T,ROW()+1,MATCH("건축년도",'04A_국토부원자료'!$A$4:$T$4,0)),",","")),"")</f>
        <v/>
      </c>
      <c r="L2312" s="48">
        <f>IFERROR(INDEX('04A_국토부원자료'!$A:$T,ROW()+1,MATCH("도로명",'04A_국토부원자료'!$A$4:$T$4,0)),"")</f>
        <v/>
      </c>
      <c r="M2312" s="48">
        <f>IFERROR(INDEX('04A_국토부원자료'!$A:$T,ROW()+1,MATCH("거래유형",'04A_국토부원자료'!$A$4:$T$4,0)),"")</f>
        <v/>
      </c>
      <c r="N2312" s="152">
        <f>IF(B2312="","",IF('02_대상물건입력'!B5="",1,IF(ISNUMBER(SEARCH('02_대상물건입력'!B5,B2312)),1,0)))</f>
        <v/>
      </c>
      <c r="O2312" s="152">
        <f>IF(B2312="","",IF('02_대상물건입력'!B6="",1,IF(ISNUMBER(SEARCH('02_대상물건입력'!B6,B2312)),1,0)))</f>
        <v/>
      </c>
      <c r="P2312" s="152">
        <f>IF(L2312="","",IF('02_대상물건입력'!B15="",0,IF(ISNUMBER(SEARCH('02_대상물건입력'!B15,L2312)),1,0)))</f>
        <v/>
      </c>
      <c r="Q2312" s="152">
        <f>IF(OR(C2312="",L2312=""),0,IF(AND(TRIM(C2312)=TRIM(RIGHT(SUBSTITUTE(TRIM('02_대상물건입력'!$B$7)," ",REPT(" ",99)),99)),IF('02_대상물건입력'!B15="",TRUE(),ISNUMBER(SEARCH('02_대상물건입력'!B15,L2312)))),1,0))</f>
        <v/>
      </c>
      <c r="R2312" s="175">
        <f>IFERROR(ABS(E2312-'02_대상물건입력'!B11)/'02_대상물건입력'!B11,"")</f>
        <v/>
      </c>
      <c r="S2312" s="152">
        <f>IFERROR(ABS(J2312-'02_대상물건입력'!B10),"")</f>
        <v/>
      </c>
      <c r="T2312" s="152">
        <f>IFERROR(ABS('01_설정'!B4-F2312),"")</f>
        <v/>
      </c>
      <c r="U2312" s="152">
        <f>IFERROR(ABS(K2312-YEAR('02_대상물건입력'!B14)),"")</f>
        <v/>
      </c>
      <c r="V2312" s="152">
        <f>IF(B2312="","",IF(AND(E2312&gt;0,F2312&gt;0,H2312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2312=1,TRUE()),R2312&lt;='01_설정'!B5,S2312&lt;='01_설정'!B6,T2312&lt;='01_설정'!B7,U2312&lt;='01_설정'!B8),"Y",""))</f>
        <v/>
      </c>
      <c r="W2312" s="172">
        <f>IF(V2312&lt;&gt;"Y","",MAX(0,(1-R2312/'01_설정'!B5))*'01_설정'!B14+MAX(0,(1-S2312/'01_설정'!B6))*'01_설정'!B15+MAX(0,(1-T2312/'01_설정'!B7))*'01_설정'!B16+MAX(0,(1-U2312/'01_설정'!B8))*'01_설정'!B17+O2312*'01_설정'!B11+Q2312*'01_설정'!B12+P2312*'01_설정'!B13+IF(Z2312="",0,Z2312))</f>
        <v/>
      </c>
      <c r="X2312" s="152">
        <f>IF(W2312="","",1+COUNTIFS($W$4:$W$3003,"&gt;"&amp;W2312)+COUNTIFS($W$4:W2312,W2312)-1)</f>
        <v/>
      </c>
      <c r="Y2312" s="175">
        <f>IF(OR(I2312="",'02_대상물건입력'!B19="",'02_대상물건입력'!B19&lt;=0),"",ABS(I2312-'02_대상물건입력'!B19)/'02_대상물건입력'!B19)</f>
        <v/>
      </c>
      <c r="Z2312" s="172">
        <f>IF(OR(Y2312="",'01_설정'!B31="",'01_설정'!B31&lt;=0,'01_설정'!B32="",'01_설정'!B32&lt;=0),"",MAX(0,(1-Y2312/'01_설정'!B32))*'01_설정'!B31)</f>
        <v/>
      </c>
    </row>
    <row r="2313" ht="17.25" customHeight="1">
      <c r="A2313" s="152">
        <f>IF(INDEX('04A_국토부원자료'!$A:$A,ROW()+1)="","",ROW()-3)</f>
        <v/>
      </c>
      <c r="B2313" s="48">
        <f>IFERROR(INDEX('04A_국토부원자료'!$A:$T,ROW()+1,MATCH("시군구",'04A_국토부원자료'!$A$4:$T$4,0)),"")</f>
        <v/>
      </c>
      <c r="C2313" s="48">
        <f>IF(B2313="","",IFERROR(INDEX('04A_국토부원자료'!$A:$T,ROW()+1,MATCH("번지",'04A_국토부원자료'!$A$4:$T$4,0)),""))</f>
        <v/>
      </c>
      <c r="D2313" s="48">
        <f>IF(B2313="","",IF(Q2313=1,'02_대상물건입력'!$B$8,IFERROR(INDEX('04A_국토부원자료'!$A:$T,ROW()+1,MATCH("단지명",'04A_국토부원자료'!$A$4:$T$4,0)),"")))</f>
        <v/>
      </c>
      <c r="E2313" s="172">
        <f>IFERROR(VALUE(SUBSTITUTE(INDEX('04A_국토부원자료'!$A:$T,ROW()+1,MATCH("전용면적(㎡)",'04A_국토부원자료'!$A$4:$T$4,0)),",","")),"")</f>
        <v/>
      </c>
      <c r="F23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13" s="51">
        <f>IFERROR(VALUE(SUBSTITUTE(INDEX('04A_국토부원자료'!$A:$T,ROW()+1,MATCH("거래금액(만원)",'04A_국토부원자료'!$A$4:$T$4,0)),",","")),"")</f>
        <v/>
      </c>
      <c r="H2313" s="174">
        <f>IF(G2313="","",G2313*10000)</f>
        <v/>
      </c>
      <c r="I2313" s="174">
        <f>IFERROR(IF(AND(H2313&gt;0,E2313&gt;0),H2313/E2313,""),"")</f>
        <v/>
      </c>
      <c r="J2313" s="152">
        <f>IFERROR(VALUE(SUBSTITUTE(INDEX('04A_국토부원자료'!$A:$T,ROW()+1,MATCH("층",'04A_국토부원자료'!$A$4:$T$4,0)),",","")),"")</f>
        <v/>
      </c>
      <c r="K2313" s="152">
        <f>IFERROR(VALUE(SUBSTITUTE(INDEX('04A_국토부원자료'!$A:$T,ROW()+1,MATCH("건축년도",'04A_국토부원자료'!$A$4:$T$4,0)),",","")),"")</f>
        <v/>
      </c>
      <c r="L2313" s="48">
        <f>IFERROR(INDEX('04A_국토부원자료'!$A:$T,ROW()+1,MATCH("도로명",'04A_국토부원자료'!$A$4:$T$4,0)),"")</f>
        <v/>
      </c>
      <c r="M2313" s="48">
        <f>IFERROR(INDEX('04A_국토부원자료'!$A:$T,ROW()+1,MATCH("거래유형",'04A_국토부원자료'!$A$4:$T$4,0)),"")</f>
        <v/>
      </c>
      <c r="N2313" s="152">
        <f>IF(B2313="","",IF('02_대상물건입력'!B5="",1,IF(ISNUMBER(SEARCH('02_대상물건입력'!B5,B2313)),1,0)))</f>
        <v/>
      </c>
      <c r="O2313" s="152">
        <f>IF(B2313="","",IF('02_대상물건입력'!B6="",1,IF(ISNUMBER(SEARCH('02_대상물건입력'!B6,B2313)),1,0)))</f>
        <v/>
      </c>
      <c r="P2313" s="152">
        <f>IF(L2313="","",IF('02_대상물건입력'!B15="",0,IF(ISNUMBER(SEARCH('02_대상물건입력'!B15,L2313)),1,0)))</f>
        <v/>
      </c>
      <c r="Q2313" s="152">
        <f>IF(OR(C2313="",L2313=""),0,IF(AND(TRIM(C2313)=TRIM(RIGHT(SUBSTITUTE(TRIM('02_대상물건입력'!$B$7)," ",REPT(" ",99)),99)),IF('02_대상물건입력'!B15="",TRUE(),ISNUMBER(SEARCH('02_대상물건입력'!B15,L2313)))),1,0))</f>
        <v/>
      </c>
      <c r="R2313" s="175">
        <f>IFERROR(ABS(E2313-'02_대상물건입력'!B11)/'02_대상물건입력'!B11,"")</f>
        <v/>
      </c>
      <c r="S2313" s="152">
        <f>IFERROR(ABS(J2313-'02_대상물건입력'!B10),"")</f>
        <v/>
      </c>
      <c r="T2313" s="152">
        <f>IFERROR(ABS('01_설정'!B4-F2313),"")</f>
        <v/>
      </c>
      <c r="U2313" s="152">
        <f>IFERROR(ABS(K2313-YEAR('02_대상물건입력'!B14)),"")</f>
        <v/>
      </c>
      <c r="V2313" s="152">
        <f>IF(B2313="","",IF(AND(E2313&gt;0,F2313&gt;0,H2313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2313=1,TRUE()),R2313&lt;='01_설정'!B5,S2313&lt;='01_설정'!B6,T2313&lt;='01_설정'!B7,U2313&lt;='01_설정'!B8),"Y",""))</f>
        <v/>
      </c>
      <c r="W2313" s="172">
        <f>IF(V2313&lt;&gt;"Y","",MAX(0,(1-R2313/'01_설정'!B5))*'01_설정'!B14+MAX(0,(1-S2313/'01_설정'!B6))*'01_설정'!B15+MAX(0,(1-T2313/'01_설정'!B7))*'01_설정'!B16+MAX(0,(1-U2313/'01_설정'!B8))*'01_설정'!B17+O2313*'01_설정'!B11+Q2313*'01_설정'!B12+P2313*'01_설정'!B13+IF(Z2313="",0,Z2313))</f>
        <v/>
      </c>
      <c r="X2313" s="152">
        <f>IF(W2313="","",1+COUNTIFS($W$4:$W$3003,"&gt;"&amp;W2313)+COUNTIFS($W$4:W2313,W2313)-1)</f>
        <v/>
      </c>
      <c r="Y2313" s="175">
        <f>IF(OR(I2313="",'02_대상물건입력'!B19="",'02_대상물건입력'!B19&lt;=0),"",ABS(I2313-'02_대상물건입력'!B19)/'02_대상물건입력'!B19)</f>
        <v/>
      </c>
      <c r="Z2313" s="172">
        <f>IF(OR(Y2313="",'01_설정'!B31="",'01_설정'!B31&lt;=0,'01_설정'!B32="",'01_설정'!B32&lt;=0),"",MAX(0,(1-Y2313/'01_설정'!B32))*'01_설정'!B31)</f>
        <v/>
      </c>
    </row>
    <row r="2314" ht="17.25" customHeight="1">
      <c r="A2314" s="152">
        <f>IF(INDEX('04A_국토부원자료'!$A:$A,ROW()+1)="","",ROW()-3)</f>
        <v/>
      </c>
      <c r="B2314" s="48">
        <f>IFERROR(INDEX('04A_국토부원자료'!$A:$T,ROW()+1,MATCH("시군구",'04A_국토부원자료'!$A$4:$T$4,0)),"")</f>
        <v/>
      </c>
      <c r="C2314" s="48">
        <f>IF(B2314="","",IFERROR(INDEX('04A_국토부원자료'!$A:$T,ROW()+1,MATCH("번지",'04A_국토부원자료'!$A$4:$T$4,0)),""))</f>
        <v/>
      </c>
      <c r="D2314" s="48">
        <f>IF(B2314="","",IF(Q2314=1,'02_대상물건입력'!$B$8,IFERROR(INDEX('04A_국토부원자료'!$A:$T,ROW()+1,MATCH("단지명",'04A_국토부원자료'!$A$4:$T$4,0)),"")))</f>
        <v/>
      </c>
      <c r="E2314" s="172">
        <f>IFERROR(VALUE(SUBSTITUTE(INDEX('04A_국토부원자료'!$A:$T,ROW()+1,MATCH("전용면적(㎡)",'04A_국토부원자료'!$A$4:$T$4,0)),",","")),"")</f>
        <v/>
      </c>
      <c r="F23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14" s="51">
        <f>IFERROR(VALUE(SUBSTITUTE(INDEX('04A_국토부원자료'!$A:$T,ROW()+1,MATCH("거래금액(만원)",'04A_국토부원자료'!$A$4:$T$4,0)),",","")),"")</f>
        <v/>
      </c>
      <c r="H2314" s="174">
        <f>IF(G2314="","",G2314*10000)</f>
        <v/>
      </c>
      <c r="I2314" s="174">
        <f>IFERROR(IF(AND(H2314&gt;0,E2314&gt;0),H2314/E2314,""),"")</f>
        <v/>
      </c>
      <c r="J2314" s="152">
        <f>IFERROR(VALUE(SUBSTITUTE(INDEX('04A_국토부원자료'!$A:$T,ROW()+1,MATCH("층",'04A_국토부원자료'!$A$4:$T$4,0)),",","")),"")</f>
        <v/>
      </c>
      <c r="K2314" s="152">
        <f>IFERROR(VALUE(SUBSTITUTE(INDEX('04A_국토부원자료'!$A:$T,ROW()+1,MATCH("건축년도",'04A_국토부원자료'!$A$4:$T$4,0)),",","")),"")</f>
        <v/>
      </c>
      <c r="L2314" s="48">
        <f>IFERROR(INDEX('04A_국토부원자료'!$A:$T,ROW()+1,MATCH("도로명",'04A_국토부원자료'!$A$4:$T$4,0)),"")</f>
        <v/>
      </c>
      <c r="M2314" s="48">
        <f>IFERROR(INDEX('04A_국토부원자료'!$A:$T,ROW()+1,MATCH("거래유형",'04A_국토부원자료'!$A$4:$T$4,0)),"")</f>
        <v/>
      </c>
      <c r="N2314" s="152">
        <f>IF(B2314="","",IF('02_대상물건입력'!B5="",1,IF(ISNUMBER(SEARCH('02_대상물건입력'!B5,B2314)),1,0)))</f>
        <v/>
      </c>
      <c r="O2314" s="152">
        <f>IF(B2314="","",IF('02_대상물건입력'!B6="",1,IF(ISNUMBER(SEARCH('02_대상물건입력'!B6,B2314)),1,0)))</f>
        <v/>
      </c>
      <c r="P2314" s="152">
        <f>IF(L2314="","",IF('02_대상물건입력'!B15="",0,IF(ISNUMBER(SEARCH('02_대상물건입력'!B15,L2314)),1,0)))</f>
        <v/>
      </c>
      <c r="Q2314" s="152">
        <f>IF(OR(C2314="",L2314=""),0,IF(AND(TRIM(C2314)=TRIM(RIGHT(SUBSTITUTE(TRIM('02_대상물건입력'!$B$7)," ",REPT(" ",99)),99)),IF('02_대상물건입력'!B15="",TRUE(),ISNUMBER(SEARCH('02_대상물건입력'!B15,L2314)))),1,0))</f>
        <v/>
      </c>
      <c r="R2314" s="175">
        <f>IFERROR(ABS(E2314-'02_대상물건입력'!B11)/'02_대상물건입력'!B11,"")</f>
        <v/>
      </c>
      <c r="S2314" s="152">
        <f>IFERROR(ABS(J2314-'02_대상물건입력'!B10),"")</f>
        <v/>
      </c>
      <c r="T2314" s="152">
        <f>IFERROR(ABS('01_설정'!B4-F2314),"")</f>
        <v/>
      </c>
      <c r="U2314" s="152">
        <f>IFERROR(ABS(K2314-YEAR('02_대상물건입력'!B14)),"")</f>
        <v/>
      </c>
      <c r="V2314" s="152">
        <f>IF(B2314="","",IF(AND(E2314&gt;0,F2314&gt;0,H2314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2314=1,TRUE()),R2314&lt;='01_설정'!B5,S2314&lt;='01_설정'!B6,T2314&lt;='01_설정'!B7,U2314&lt;='01_설정'!B8),"Y",""))</f>
        <v/>
      </c>
      <c r="W2314" s="172">
        <f>IF(V2314&lt;&gt;"Y","",MAX(0,(1-R2314/'01_설정'!B5))*'01_설정'!B14+MAX(0,(1-S2314/'01_설정'!B6))*'01_설정'!B15+MAX(0,(1-T2314/'01_설정'!B7))*'01_설정'!B16+MAX(0,(1-U2314/'01_설정'!B8))*'01_설정'!B17+O2314*'01_설정'!B11+Q2314*'01_설정'!B12+P2314*'01_설정'!B13+IF(Z2314="",0,Z2314))</f>
        <v/>
      </c>
      <c r="X2314" s="152">
        <f>IF(W2314="","",1+COUNTIFS($W$4:$W$3003,"&gt;"&amp;W2314)+COUNTIFS($W$4:W2314,W2314)-1)</f>
        <v/>
      </c>
      <c r="Y2314" s="175">
        <f>IF(OR(I2314="",'02_대상물건입력'!B19="",'02_대상물건입력'!B19&lt;=0),"",ABS(I2314-'02_대상물건입력'!B19)/'02_대상물건입력'!B19)</f>
        <v/>
      </c>
      <c r="Z2314" s="172">
        <f>IF(OR(Y2314="",'01_설정'!B31="",'01_설정'!B31&lt;=0,'01_설정'!B32="",'01_설정'!B32&lt;=0),"",MAX(0,(1-Y2314/'01_설정'!B32))*'01_설정'!B31)</f>
        <v/>
      </c>
    </row>
    <row r="2315" ht="17.25" customHeight="1">
      <c r="A2315" s="152">
        <f>IF(INDEX('04A_국토부원자료'!$A:$A,ROW()+1)="","",ROW()-3)</f>
        <v/>
      </c>
      <c r="B2315" s="48">
        <f>IFERROR(INDEX('04A_국토부원자료'!$A:$T,ROW()+1,MATCH("시군구",'04A_국토부원자료'!$A$4:$T$4,0)),"")</f>
        <v/>
      </c>
      <c r="C2315" s="48">
        <f>IF(B2315="","",IFERROR(INDEX('04A_국토부원자료'!$A:$T,ROW()+1,MATCH("번지",'04A_국토부원자료'!$A$4:$T$4,0)),""))</f>
        <v/>
      </c>
      <c r="D2315" s="48">
        <f>IF(B2315="","",IF(Q2315=1,'02_대상물건입력'!$B$8,IFERROR(INDEX('04A_국토부원자료'!$A:$T,ROW()+1,MATCH("단지명",'04A_국토부원자료'!$A$4:$T$4,0)),"")))</f>
        <v/>
      </c>
      <c r="E2315" s="172">
        <f>IFERROR(VALUE(SUBSTITUTE(INDEX('04A_국토부원자료'!$A:$T,ROW()+1,MATCH("전용면적(㎡)",'04A_국토부원자료'!$A$4:$T$4,0)),",","")),"")</f>
        <v/>
      </c>
      <c r="F23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15" s="51">
        <f>IFERROR(VALUE(SUBSTITUTE(INDEX('04A_국토부원자료'!$A:$T,ROW()+1,MATCH("거래금액(만원)",'04A_국토부원자료'!$A$4:$T$4,0)),",","")),"")</f>
        <v/>
      </c>
      <c r="H2315" s="174">
        <f>IF(G2315="","",G2315*10000)</f>
        <v/>
      </c>
      <c r="I2315" s="174">
        <f>IFERROR(IF(AND(H2315&gt;0,E2315&gt;0),H2315/E2315,""),"")</f>
        <v/>
      </c>
      <c r="J2315" s="152">
        <f>IFERROR(VALUE(SUBSTITUTE(INDEX('04A_국토부원자료'!$A:$T,ROW()+1,MATCH("층",'04A_국토부원자료'!$A$4:$T$4,0)),",","")),"")</f>
        <v/>
      </c>
      <c r="K2315" s="152">
        <f>IFERROR(VALUE(SUBSTITUTE(INDEX('04A_국토부원자료'!$A:$T,ROW()+1,MATCH("건축년도",'04A_국토부원자료'!$A$4:$T$4,0)),",","")),"")</f>
        <v/>
      </c>
      <c r="L2315" s="48">
        <f>IFERROR(INDEX('04A_국토부원자료'!$A:$T,ROW()+1,MATCH("도로명",'04A_국토부원자료'!$A$4:$T$4,0)),"")</f>
        <v/>
      </c>
      <c r="M2315" s="48">
        <f>IFERROR(INDEX('04A_국토부원자료'!$A:$T,ROW()+1,MATCH("거래유형",'04A_국토부원자료'!$A$4:$T$4,0)),"")</f>
        <v/>
      </c>
      <c r="N2315" s="152">
        <f>IF(B2315="","",IF('02_대상물건입력'!B5="",1,IF(ISNUMBER(SEARCH('02_대상물건입력'!B5,B2315)),1,0)))</f>
        <v/>
      </c>
      <c r="O2315" s="152">
        <f>IF(B2315="","",IF('02_대상물건입력'!B6="",1,IF(ISNUMBER(SEARCH('02_대상물건입력'!B6,B2315)),1,0)))</f>
        <v/>
      </c>
      <c r="P2315" s="152">
        <f>IF(L2315="","",IF('02_대상물건입력'!B15="",0,IF(ISNUMBER(SEARCH('02_대상물건입력'!B15,L2315)),1,0)))</f>
        <v/>
      </c>
      <c r="Q2315" s="152">
        <f>IF(OR(C2315="",L2315=""),0,IF(AND(TRIM(C2315)=TRIM(RIGHT(SUBSTITUTE(TRIM('02_대상물건입력'!$B$7)," ",REPT(" ",99)),99)),IF('02_대상물건입력'!B15="",TRUE(),ISNUMBER(SEARCH('02_대상물건입력'!B15,L2315)))),1,0))</f>
        <v/>
      </c>
      <c r="R2315" s="175">
        <f>IFERROR(ABS(E2315-'02_대상물건입력'!B11)/'02_대상물건입력'!B11,"")</f>
        <v/>
      </c>
      <c r="S2315" s="152">
        <f>IFERROR(ABS(J2315-'02_대상물건입력'!B10),"")</f>
        <v/>
      </c>
      <c r="T2315" s="152">
        <f>IFERROR(ABS('01_설정'!B4-F2315),"")</f>
        <v/>
      </c>
      <c r="U2315" s="152">
        <f>IFERROR(ABS(K2315-YEAR('02_대상물건입력'!B14)),"")</f>
        <v/>
      </c>
      <c r="V2315" s="152">
        <f>IF(B2315="","",IF(AND(E2315&gt;0,F2315&gt;0,H2315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2315=1,TRUE()),R2315&lt;='01_설정'!B5,S2315&lt;='01_설정'!B6,T2315&lt;='01_설정'!B7,U2315&lt;='01_설정'!B8),"Y",""))</f>
        <v/>
      </c>
      <c r="W2315" s="172">
        <f>IF(V2315&lt;&gt;"Y","",MAX(0,(1-R2315/'01_설정'!B5))*'01_설정'!B14+MAX(0,(1-S2315/'01_설정'!B6))*'01_설정'!B15+MAX(0,(1-T2315/'01_설정'!B7))*'01_설정'!B16+MAX(0,(1-U2315/'01_설정'!B8))*'01_설정'!B17+O2315*'01_설정'!B11+Q2315*'01_설정'!B12+P2315*'01_설정'!B13+IF(Z2315="",0,Z2315))</f>
        <v/>
      </c>
      <c r="X2315" s="152">
        <f>IF(W2315="","",1+COUNTIFS($W$4:$W$3003,"&gt;"&amp;W2315)+COUNTIFS($W$4:W2315,W2315)-1)</f>
        <v/>
      </c>
      <c r="Y2315" s="175">
        <f>IF(OR(I2315="",'02_대상물건입력'!B19="",'02_대상물건입력'!B19&lt;=0),"",ABS(I2315-'02_대상물건입력'!B19)/'02_대상물건입력'!B19)</f>
        <v/>
      </c>
      <c r="Z2315" s="172">
        <f>IF(OR(Y2315="",'01_설정'!B31="",'01_설정'!B31&lt;=0,'01_설정'!B32="",'01_설정'!B32&lt;=0),"",MAX(0,(1-Y2315/'01_설정'!B32))*'01_설정'!B31)</f>
        <v/>
      </c>
    </row>
    <row r="2316" ht="17.25" customHeight="1">
      <c r="A2316" s="152">
        <f>IF(INDEX('04A_국토부원자료'!$A:$A,ROW()+1)="","",ROW()-3)</f>
        <v/>
      </c>
      <c r="B2316" s="48">
        <f>IFERROR(INDEX('04A_국토부원자료'!$A:$T,ROW()+1,MATCH("시군구",'04A_국토부원자료'!$A$4:$T$4,0)),"")</f>
        <v/>
      </c>
      <c r="C2316" s="48">
        <f>IF(B2316="","",IFERROR(INDEX('04A_국토부원자료'!$A:$T,ROW()+1,MATCH("번지",'04A_국토부원자료'!$A$4:$T$4,0)),""))</f>
        <v/>
      </c>
      <c r="D2316" s="48">
        <f>IF(B2316="","",IF(Q2316=1,'02_대상물건입력'!$B$8,IFERROR(INDEX('04A_국토부원자료'!$A:$T,ROW()+1,MATCH("단지명",'04A_국토부원자료'!$A$4:$T$4,0)),"")))</f>
        <v/>
      </c>
      <c r="E2316" s="172">
        <f>IFERROR(VALUE(SUBSTITUTE(INDEX('04A_국토부원자료'!$A:$T,ROW()+1,MATCH("전용면적(㎡)",'04A_국토부원자료'!$A$4:$T$4,0)),",","")),"")</f>
        <v/>
      </c>
      <c r="F23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16" s="51">
        <f>IFERROR(VALUE(SUBSTITUTE(INDEX('04A_국토부원자료'!$A:$T,ROW()+1,MATCH("거래금액(만원)",'04A_국토부원자료'!$A$4:$T$4,0)),",","")),"")</f>
        <v/>
      </c>
      <c r="H2316" s="174">
        <f>IF(G2316="","",G2316*10000)</f>
        <v/>
      </c>
      <c r="I2316" s="174">
        <f>IFERROR(IF(AND(H2316&gt;0,E2316&gt;0),H2316/E2316,""),"")</f>
        <v/>
      </c>
      <c r="J2316" s="152">
        <f>IFERROR(VALUE(SUBSTITUTE(INDEX('04A_국토부원자료'!$A:$T,ROW()+1,MATCH("층",'04A_국토부원자료'!$A$4:$T$4,0)),",","")),"")</f>
        <v/>
      </c>
      <c r="K2316" s="152">
        <f>IFERROR(VALUE(SUBSTITUTE(INDEX('04A_국토부원자료'!$A:$T,ROW()+1,MATCH("건축년도",'04A_국토부원자료'!$A$4:$T$4,0)),",","")),"")</f>
        <v/>
      </c>
      <c r="L2316" s="48">
        <f>IFERROR(INDEX('04A_국토부원자료'!$A:$T,ROW()+1,MATCH("도로명",'04A_국토부원자료'!$A$4:$T$4,0)),"")</f>
        <v/>
      </c>
      <c r="M2316" s="48">
        <f>IFERROR(INDEX('04A_국토부원자료'!$A:$T,ROW()+1,MATCH("거래유형",'04A_국토부원자료'!$A$4:$T$4,0)),"")</f>
        <v/>
      </c>
      <c r="N2316" s="152">
        <f>IF(B2316="","",IF('02_대상물건입력'!B5="",1,IF(ISNUMBER(SEARCH('02_대상물건입력'!B5,B2316)),1,0)))</f>
        <v/>
      </c>
      <c r="O2316" s="152">
        <f>IF(B2316="","",IF('02_대상물건입력'!B6="",1,IF(ISNUMBER(SEARCH('02_대상물건입력'!B6,B2316)),1,0)))</f>
        <v/>
      </c>
      <c r="P2316" s="152">
        <f>IF(L2316="","",IF('02_대상물건입력'!B15="",0,IF(ISNUMBER(SEARCH('02_대상물건입력'!B15,L2316)),1,0)))</f>
        <v/>
      </c>
      <c r="Q2316" s="152">
        <f>IF(OR(C2316="",L2316=""),0,IF(AND(TRIM(C2316)=TRIM(RIGHT(SUBSTITUTE(TRIM('02_대상물건입력'!$B$7)," ",REPT(" ",99)),99)),IF('02_대상물건입력'!B15="",TRUE(),ISNUMBER(SEARCH('02_대상물건입력'!B15,L2316)))),1,0))</f>
        <v/>
      </c>
      <c r="R2316" s="175">
        <f>IFERROR(ABS(E2316-'02_대상물건입력'!B11)/'02_대상물건입력'!B11,"")</f>
        <v/>
      </c>
      <c r="S2316" s="152">
        <f>IFERROR(ABS(J2316-'02_대상물건입력'!B10),"")</f>
        <v/>
      </c>
      <c r="T2316" s="152">
        <f>IFERROR(ABS('01_설정'!B4-F2316),"")</f>
        <v/>
      </c>
      <c r="U2316" s="152">
        <f>IFERROR(ABS(K2316-YEAR('02_대상물건입력'!B14)),"")</f>
        <v/>
      </c>
      <c r="V2316" s="152">
        <f>IF(B2316="","",IF(AND(E2316&gt;0,F2316&gt;0,H2316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2316=1,TRUE()),R2316&lt;='01_설정'!B5,S2316&lt;='01_설정'!B6,T2316&lt;='01_설정'!B7,U2316&lt;='01_설정'!B8),"Y",""))</f>
        <v/>
      </c>
      <c r="W2316" s="172">
        <f>IF(V2316&lt;&gt;"Y","",MAX(0,(1-R2316/'01_설정'!B5))*'01_설정'!B14+MAX(0,(1-S2316/'01_설정'!B6))*'01_설정'!B15+MAX(0,(1-T2316/'01_설정'!B7))*'01_설정'!B16+MAX(0,(1-U2316/'01_설정'!B8))*'01_설정'!B17+O2316*'01_설정'!B11+Q2316*'01_설정'!B12+P2316*'01_설정'!B13+IF(Z2316="",0,Z2316))</f>
        <v/>
      </c>
      <c r="X2316" s="152">
        <f>IF(W2316="","",1+COUNTIFS($W$4:$W$3003,"&gt;"&amp;W2316)+COUNTIFS($W$4:W2316,W2316)-1)</f>
        <v/>
      </c>
      <c r="Y2316" s="175">
        <f>IF(OR(I2316="",'02_대상물건입력'!B19="",'02_대상물건입력'!B19&lt;=0),"",ABS(I2316-'02_대상물건입력'!B19)/'02_대상물건입력'!B19)</f>
        <v/>
      </c>
      <c r="Z2316" s="172">
        <f>IF(OR(Y2316="",'01_설정'!B31="",'01_설정'!B31&lt;=0,'01_설정'!B32="",'01_설정'!B32&lt;=0),"",MAX(0,(1-Y2316/'01_설정'!B32))*'01_설정'!B31)</f>
        <v/>
      </c>
    </row>
    <row r="2317" ht="17.25" customHeight="1">
      <c r="A2317" s="152">
        <f>IF(INDEX('04A_국토부원자료'!$A:$A,ROW()+1)="","",ROW()-3)</f>
        <v/>
      </c>
      <c r="B2317" s="48">
        <f>IFERROR(INDEX('04A_국토부원자료'!$A:$T,ROW()+1,MATCH("시군구",'04A_국토부원자료'!$A$4:$T$4,0)),"")</f>
        <v/>
      </c>
      <c r="C2317" s="48">
        <f>IF(B2317="","",IFERROR(INDEX('04A_국토부원자료'!$A:$T,ROW()+1,MATCH("번지",'04A_국토부원자료'!$A$4:$T$4,0)),""))</f>
        <v/>
      </c>
      <c r="D2317" s="48">
        <f>IF(B2317="","",IF(Q2317=1,'02_대상물건입력'!$B$8,IFERROR(INDEX('04A_국토부원자료'!$A:$T,ROW()+1,MATCH("단지명",'04A_국토부원자료'!$A$4:$T$4,0)),"")))</f>
        <v/>
      </c>
      <c r="E2317" s="172">
        <f>IFERROR(VALUE(SUBSTITUTE(INDEX('04A_국토부원자료'!$A:$T,ROW()+1,MATCH("전용면적(㎡)",'04A_국토부원자료'!$A$4:$T$4,0)),",","")),"")</f>
        <v/>
      </c>
      <c r="F23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17" s="51">
        <f>IFERROR(VALUE(SUBSTITUTE(INDEX('04A_국토부원자료'!$A:$T,ROW()+1,MATCH("거래금액(만원)",'04A_국토부원자료'!$A$4:$T$4,0)),",","")),"")</f>
        <v/>
      </c>
      <c r="H2317" s="174">
        <f>IF(G2317="","",G2317*10000)</f>
        <v/>
      </c>
      <c r="I2317" s="174">
        <f>IFERROR(IF(AND(H2317&gt;0,E2317&gt;0),H2317/E2317,""),"")</f>
        <v/>
      </c>
      <c r="J2317" s="152">
        <f>IFERROR(VALUE(SUBSTITUTE(INDEX('04A_국토부원자료'!$A:$T,ROW()+1,MATCH("층",'04A_국토부원자료'!$A$4:$T$4,0)),",","")),"")</f>
        <v/>
      </c>
      <c r="K2317" s="152">
        <f>IFERROR(VALUE(SUBSTITUTE(INDEX('04A_국토부원자료'!$A:$T,ROW()+1,MATCH("건축년도",'04A_국토부원자료'!$A$4:$T$4,0)),",","")),"")</f>
        <v/>
      </c>
      <c r="L2317" s="48">
        <f>IFERROR(INDEX('04A_국토부원자료'!$A:$T,ROW()+1,MATCH("도로명",'04A_국토부원자료'!$A$4:$T$4,0)),"")</f>
        <v/>
      </c>
      <c r="M2317" s="48">
        <f>IFERROR(INDEX('04A_국토부원자료'!$A:$T,ROW()+1,MATCH("거래유형",'04A_국토부원자료'!$A$4:$T$4,0)),"")</f>
        <v/>
      </c>
      <c r="N2317" s="152">
        <f>IF(B2317="","",IF('02_대상물건입력'!B5="",1,IF(ISNUMBER(SEARCH('02_대상물건입력'!B5,B2317)),1,0)))</f>
        <v/>
      </c>
      <c r="O2317" s="152">
        <f>IF(B2317="","",IF('02_대상물건입력'!B6="",1,IF(ISNUMBER(SEARCH('02_대상물건입력'!B6,B2317)),1,0)))</f>
        <v/>
      </c>
      <c r="P2317" s="152">
        <f>IF(L2317="","",IF('02_대상물건입력'!B15="",0,IF(ISNUMBER(SEARCH('02_대상물건입력'!B15,L2317)),1,0)))</f>
        <v/>
      </c>
      <c r="Q2317" s="152">
        <f>IF(OR(C2317="",L2317=""),0,IF(AND(TRIM(C2317)=TRIM(RIGHT(SUBSTITUTE(TRIM('02_대상물건입력'!$B$7)," ",REPT(" ",99)),99)),IF('02_대상물건입력'!B15="",TRUE(),ISNUMBER(SEARCH('02_대상물건입력'!B15,L2317)))),1,0))</f>
        <v/>
      </c>
      <c r="R2317" s="175">
        <f>IFERROR(ABS(E2317-'02_대상물건입력'!B11)/'02_대상물건입력'!B11,"")</f>
        <v/>
      </c>
      <c r="S2317" s="152">
        <f>IFERROR(ABS(J2317-'02_대상물건입력'!B10),"")</f>
        <v/>
      </c>
      <c r="T2317" s="152">
        <f>IFERROR(ABS('01_설정'!B4-F2317),"")</f>
        <v/>
      </c>
      <c r="U2317" s="152">
        <f>IFERROR(ABS(K2317-YEAR('02_대상물건입력'!B14)),"")</f>
        <v/>
      </c>
      <c r="V2317" s="152">
        <f>IF(B2317="","",IF(AND(E2317&gt;0,F2317&gt;0,H2317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2317=1,TRUE()),R2317&lt;='01_설정'!B5,S2317&lt;='01_설정'!B6,T2317&lt;='01_설정'!B7,U2317&lt;='01_설정'!B8),"Y",""))</f>
        <v/>
      </c>
      <c r="W2317" s="172">
        <f>IF(V2317&lt;&gt;"Y","",MAX(0,(1-R2317/'01_설정'!B5))*'01_설정'!B14+MAX(0,(1-S2317/'01_설정'!B6))*'01_설정'!B15+MAX(0,(1-T2317/'01_설정'!B7))*'01_설정'!B16+MAX(0,(1-U2317/'01_설정'!B8))*'01_설정'!B17+O2317*'01_설정'!B11+Q2317*'01_설정'!B12+P2317*'01_설정'!B13+IF(Z2317="",0,Z2317))</f>
        <v/>
      </c>
      <c r="X2317" s="152">
        <f>IF(W2317="","",1+COUNTIFS($W$4:$W$3003,"&gt;"&amp;W2317)+COUNTIFS($W$4:W2317,W2317)-1)</f>
        <v/>
      </c>
      <c r="Y2317" s="175">
        <f>IF(OR(I2317="",'02_대상물건입력'!B19="",'02_대상물건입력'!B19&lt;=0),"",ABS(I2317-'02_대상물건입력'!B19)/'02_대상물건입력'!B19)</f>
        <v/>
      </c>
      <c r="Z2317" s="172">
        <f>IF(OR(Y2317="",'01_설정'!B31="",'01_설정'!B31&lt;=0,'01_설정'!B32="",'01_설정'!B32&lt;=0),"",MAX(0,(1-Y2317/'01_설정'!B32))*'01_설정'!B31)</f>
        <v/>
      </c>
    </row>
    <row r="2318" ht="17.25" customHeight="1">
      <c r="A2318" s="152">
        <f>IF(INDEX('04A_국토부원자료'!$A:$A,ROW()+1)="","",ROW()-3)</f>
        <v/>
      </c>
      <c r="B2318" s="48">
        <f>IFERROR(INDEX('04A_국토부원자료'!$A:$T,ROW()+1,MATCH("시군구",'04A_국토부원자료'!$A$4:$T$4,0)),"")</f>
        <v/>
      </c>
      <c r="C2318" s="48">
        <f>IF(B2318="","",IFERROR(INDEX('04A_국토부원자료'!$A:$T,ROW()+1,MATCH("번지",'04A_국토부원자료'!$A$4:$T$4,0)),""))</f>
        <v/>
      </c>
      <c r="D2318" s="48">
        <f>IF(B2318="","",IF(Q2318=1,'02_대상물건입력'!$B$8,IFERROR(INDEX('04A_국토부원자료'!$A:$T,ROW()+1,MATCH("단지명",'04A_국토부원자료'!$A$4:$T$4,0)),"")))</f>
        <v/>
      </c>
      <c r="E2318" s="172">
        <f>IFERROR(VALUE(SUBSTITUTE(INDEX('04A_국토부원자료'!$A:$T,ROW()+1,MATCH("전용면적(㎡)",'04A_국토부원자료'!$A$4:$T$4,0)),",","")),"")</f>
        <v/>
      </c>
      <c r="F23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18" s="51">
        <f>IFERROR(VALUE(SUBSTITUTE(INDEX('04A_국토부원자료'!$A:$T,ROW()+1,MATCH("거래금액(만원)",'04A_국토부원자료'!$A$4:$T$4,0)),",","")),"")</f>
        <v/>
      </c>
      <c r="H2318" s="174">
        <f>IF(G2318="","",G2318*10000)</f>
        <v/>
      </c>
      <c r="I2318" s="174">
        <f>IFERROR(IF(AND(H2318&gt;0,E2318&gt;0),H2318/E2318,""),"")</f>
        <v/>
      </c>
      <c r="J2318" s="152">
        <f>IFERROR(VALUE(SUBSTITUTE(INDEX('04A_국토부원자료'!$A:$T,ROW()+1,MATCH("층",'04A_국토부원자료'!$A$4:$T$4,0)),",","")),"")</f>
        <v/>
      </c>
      <c r="K2318" s="152">
        <f>IFERROR(VALUE(SUBSTITUTE(INDEX('04A_국토부원자료'!$A:$T,ROW()+1,MATCH("건축년도",'04A_국토부원자료'!$A$4:$T$4,0)),",","")),"")</f>
        <v/>
      </c>
      <c r="L2318" s="48">
        <f>IFERROR(INDEX('04A_국토부원자료'!$A:$T,ROW()+1,MATCH("도로명",'04A_국토부원자료'!$A$4:$T$4,0)),"")</f>
        <v/>
      </c>
      <c r="M2318" s="48">
        <f>IFERROR(INDEX('04A_국토부원자료'!$A:$T,ROW()+1,MATCH("거래유형",'04A_국토부원자료'!$A$4:$T$4,0)),"")</f>
        <v/>
      </c>
      <c r="N2318" s="152">
        <f>IF(B2318="","",IF('02_대상물건입력'!B5="",1,IF(ISNUMBER(SEARCH('02_대상물건입력'!B5,B2318)),1,0)))</f>
        <v/>
      </c>
      <c r="O2318" s="152">
        <f>IF(B2318="","",IF('02_대상물건입력'!B6="",1,IF(ISNUMBER(SEARCH('02_대상물건입력'!B6,B2318)),1,0)))</f>
        <v/>
      </c>
      <c r="P2318" s="152">
        <f>IF(L2318="","",IF('02_대상물건입력'!B15="",0,IF(ISNUMBER(SEARCH('02_대상물건입력'!B15,L2318)),1,0)))</f>
        <v/>
      </c>
      <c r="Q2318" s="152">
        <f>IF(OR(C2318="",L2318=""),0,IF(AND(TRIM(C2318)=TRIM(RIGHT(SUBSTITUTE(TRIM('02_대상물건입력'!$B$7)," ",REPT(" ",99)),99)),IF('02_대상물건입력'!B15="",TRUE(),ISNUMBER(SEARCH('02_대상물건입력'!B15,L2318)))),1,0))</f>
        <v/>
      </c>
      <c r="R2318" s="175">
        <f>IFERROR(ABS(E2318-'02_대상물건입력'!B11)/'02_대상물건입력'!B11,"")</f>
        <v/>
      </c>
      <c r="S2318" s="152">
        <f>IFERROR(ABS(J2318-'02_대상물건입력'!B10),"")</f>
        <v/>
      </c>
      <c r="T2318" s="152">
        <f>IFERROR(ABS('01_설정'!B4-F2318),"")</f>
        <v/>
      </c>
      <c r="U2318" s="152">
        <f>IFERROR(ABS(K2318-YEAR('02_대상물건입력'!B14)),"")</f>
        <v/>
      </c>
      <c r="V2318" s="152">
        <f>IF(B2318="","",IF(AND(E2318&gt;0,F2318&gt;0,H2318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2318=1,TRUE()),R2318&lt;='01_설정'!B5,S2318&lt;='01_설정'!B6,T2318&lt;='01_설정'!B7,U2318&lt;='01_설정'!B8),"Y",""))</f>
        <v/>
      </c>
      <c r="W2318" s="172">
        <f>IF(V2318&lt;&gt;"Y","",MAX(0,(1-R2318/'01_설정'!B5))*'01_설정'!B14+MAX(0,(1-S2318/'01_설정'!B6))*'01_설정'!B15+MAX(0,(1-T2318/'01_설정'!B7))*'01_설정'!B16+MAX(0,(1-U2318/'01_설정'!B8))*'01_설정'!B17+O2318*'01_설정'!B11+Q2318*'01_설정'!B12+P2318*'01_설정'!B13+IF(Z2318="",0,Z2318))</f>
        <v/>
      </c>
      <c r="X2318" s="152">
        <f>IF(W2318="","",1+COUNTIFS($W$4:$W$3003,"&gt;"&amp;W2318)+COUNTIFS($W$4:W2318,W2318)-1)</f>
        <v/>
      </c>
      <c r="Y2318" s="175">
        <f>IF(OR(I2318="",'02_대상물건입력'!B19="",'02_대상물건입력'!B19&lt;=0),"",ABS(I2318-'02_대상물건입력'!B19)/'02_대상물건입력'!B19)</f>
        <v/>
      </c>
      <c r="Z2318" s="172">
        <f>IF(OR(Y2318="",'01_설정'!B31="",'01_설정'!B31&lt;=0,'01_설정'!B32="",'01_설정'!B32&lt;=0),"",MAX(0,(1-Y2318/'01_설정'!B32))*'01_설정'!B31)</f>
        <v/>
      </c>
    </row>
    <row r="2319" ht="17.25" customHeight="1">
      <c r="A2319" s="152">
        <f>IF(INDEX('04A_국토부원자료'!$A:$A,ROW()+1)="","",ROW()-3)</f>
        <v/>
      </c>
      <c r="B2319" s="48">
        <f>IFERROR(INDEX('04A_국토부원자료'!$A:$T,ROW()+1,MATCH("시군구",'04A_국토부원자료'!$A$4:$T$4,0)),"")</f>
        <v/>
      </c>
      <c r="C2319" s="48">
        <f>IF(B2319="","",IFERROR(INDEX('04A_국토부원자료'!$A:$T,ROW()+1,MATCH("번지",'04A_국토부원자료'!$A$4:$T$4,0)),""))</f>
        <v/>
      </c>
      <c r="D2319" s="48">
        <f>IF(B2319="","",IF(Q2319=1,'02_대상물건입력'!$B$8,IFERROR(INDEX('04A_국토부원자료'!$A:$T,ROW()+1,MATCH("단지명",'04A_국토부원자료'!$A$4:$T$4,0)),"")))</f>
        <v/>
      </c>
      <c r="E2319" s="172">
        <f>IFERROR(VALUE(SUBSTITUTE(INDEX('04A_국토부원자료'!$A:$T,ROW()+1,MATCH("전용면적(㎡)",'04A_국토부원자료'!$A$4:$T$4,0)),",","")),"")</f>
        <v/>
      </c>
      <c r="F23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19" s="51">
        <f>IFERROR(VALUE(SUBSTITUTE(INDEX('04A_국토부원자료'!$A:$T,ROW()+1,MATCH("거래금액(만원)",'04A_국토부원자료'!$A$4:$T$4,0)),",","")),"")</f>
        <v/>
      </c>
      <c r="H2319" s="174">
        <f>IF(G2319="","",G2319*10000)</f>
        <v/>
      </c>
      <c r="I2319" s="174">
        <f>IFERROR(IF(AND(H2319&gt;0,E2319&gt;0),H2319/E2319,""),"")</f>
        <v/>
      </c>
      <c r="J2319" s="152">
        <f>IFERROR(VALUE(SUBSTITUTE(INDEX('04A_국토부원자료'!$A:$T,ROW()+1,MATCH("층",'04A_국토부원자료'!$A$4:$T$4,0)),",","")),"")</f>
        <v/>
      </c>
      <c r="K2319" s="152">
        <f>IFERROR(VALUE(SUBSTITUTE(INDEX('04A_국토부원자료'!$A:$T,ROW()+1,MATCH("건축년도",'04A_국토부원자료'!$A$4:$T$4,0)),",","")),"")</f>
        <v/>
      </c>
      <c r="L2319" s="48">
        <f>IFERROR(INDEX('04A_국토부원자료'!$A:$T,ROW()+1,MATCH("도로명",'04A_국토부원자료'!$A$4:$T$4,0)),"")</f>
        <v/>
      </c>
      <c r="M2319" s="48">
        <f>IFERROR(INDEX('04A_국토부원자료'!$A:$T,ROW()+1,MATCH("거래유형",'04A_국토부원자료'!$A$4:$T$4,0)),"")</f>
        <v/>
      </c>
      <c r="N2319" s="152">
        <f>IF(B2319="","",IF('02_대상물건입력'!B5="",1,IF(ISNUMBER(SEARCH('02_대상물건입력'!B5,B2319)),1,0)))</f>
        <v/>
      </c>
      <c r="O2319" s="152">
        <f>IF(B2319="","",IF('02_대상물건입력'!B6="",1,IF(ISNUMBER(SEARCH('02_대상물건입력'!B6,B2319)),1,0)))</f>
        <v/>
      </c>
      <c r="P2319" s="152">
        <f>IF(L2319="","",IF('02_대상물건입력'!B15="",0,IF(ISNUMBER(SEARCH('02_대상물건입력'!B15,L2319)),1,0)))</f>
        <v/>
      </c>
      <c r="Q2319" s="152">
        <f>IF(OR(C2319="",L2319=""),0,IF(AND(TRIM(C2319)=TRIM(RIGHT(SUBSTITUTE(TRIM('02_대상물건입력'!$B$7)," ",REPT(" ",99)),99)),IF('02_대상물건입력'!B15="",TRUE(),ISNUMBER(SEARCH('02_대상물건입력'!B15,L2319)))),1,0))</f>
        <v/>
      </c>
      <c r="R2319" s="175">
        <f>IFERROR(ABS(E2319-'02_대상물건입력'!B11)/'02_대상물건입력'!B11,"")</f>
        <v/>
      </c>
      <c r="S2319" s="152">
        <f>IFERROR(ABS(J2319-'02_대상물건입력'!B10),"")</f>
        <v/>
      </c>
      <c r="T2319" s="152">
        <f>IFERROR(ABS('01_설정'!B4-F2319),"")</f>
        <v/>
      </c>
      <c r="U2319" s="152">
        <f>IFERROR(ABS(K2319-YEAR('02_대상물건입력'!B14)),"")</f>
        <v/>
      </c>
      <c r="V2319" s="152">
        <f>IF(B2319="","",IF(AND(E2319&gt;0,F2319&gt;0,H2319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2319=1,TRUE()),R2319&lt;='01_설정'!B5,S2319&lt;='01_설정'!B6,T2319&lt;='01_설정'!B7,U2319&lt;='01_설정'!B8),"Y",""))</f>
        <v/>
      </c>
      <c r="W2319" s="172">
        <f>IF(V2319&lt;&gt;"Y","",MAX(0,(1-R2319/'01_설정'!B5))*'01_설정'!B14+MAX(0,(1-S2319/'01_설정'!B6))*'01_설정'!B15+MAX(0,(1-T2319/'01_설정'!B7))*'01_설정'!B16+MAX(0,(1-U2319/'01_설정'!B8))*'01_설정'!B17+O2319*'01_설정'!B11+Q2319*'01_설정'!B12+P2319*'01_설정'!B13+IF(Z2319="",0,Z2319))</f>
        <v/>
      </c>
      <c r="X2319" s="152">
        <f>IF(W2319="","",1+COUNTIFS($W$4:$W$3003,"&gt;"&amp;W2319)+COUNTIFS($W$4:W2319,W2319)-1)</f>
        <v/>
      </c>
      <c r="Y2319" s="175">
        <f>IF(OR(I2319="",'02_대상물건입력'!B19="",'02_대상물건입력'!B19&lt;=0),"",ABS(I2319-'02_대상물건입력'!B19)/'02_대상물건입력'!B19)</f>
        <v/>
      </c>
      <c r="Z2319" s="172">
        <f>IF(OR(Y2319="",'01_설정'!B31="",'01_설정'!B31&lt;=0,'01_설정'!B32="",'01_설정'!B32&lt;=0),"",MAX(0,(1-Y2319/'01_설정'!B32))*'01_설정'!B31)</f>
        <v/>
      </c>
    </row>
    <row r="2320" ht="17.25" customHeight="1">
      <c r="A2320" s="152">
        <f>IF(INDEX('04A_국토부원자료'!$A:$A,ROW()+1)="","",ROW()-3)</f>
        <v/>
      </c>
      <c r="B2320" s="48">
        <f>IFERROR(INDEX('04A_국토부원자료'!$A:$T,ROW()+1,MATCH("시군구",'04A_국토부원자료'!$A$4:$T$4,0)),"")</f>
        <v/>
      </c>
      <c r="C2320" s="48">
        <f>IF(B2320="","",IFERROR(INDEX('04A_국토부원자료'!$A:$T,ROW()+1,MATCH("번지",'04A_국토부원자료'!$A$4:$T$4,0)),""))</f>
        <v/>
      </c>
      <c r="D2320" s="48">
        <f>IF(B2320="","",IF(Q2320=1,'02_대상물건입력'!$B$8,IFERROR(INDEX('04A_국토부원자료'!$A:$T,ROW()+1,MATCH("단지명",'04A_국토부원자료'!$A$4:$T$4,0)),"")))</f>
        <v/>
      </c>
      <c r="E2320" s="172">
        <f>IFERROR(VALUE(SUBSTITUTE(INDEX('04A_국토부원자료'!$A:$T,ROW()+1,MATCH("전용면적(㎡)",'04A_국토부원자료'!$A$4:$T$4,0)),",","")),"")</f>
        <v/>
      </c>
      <c r="F23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20" s="51">
        <f>IFERROR(VALUE(SUBSTITUTE(INDEX('04A_국토부원자료'!$A:$T,ROW()+1,MATCH("거래금액(만원)",'04A_국토부원자료'!$A$4:$T$4,0)),",","")),"")</f>
        <v/>
      </c>
      <c r="H2320" s="174">
        <f>IF(G2320="","",G2320*10000)</f>
        <v/>
      </c>
      <c r="I2320" s="174">
        <f>IFERROR(IF(AND(H2320&gt;0,E2320&gt;0),H2320/E2320,""),"")</f>
        <v/>
      </c>
      <c r="J2320" s="152">
        <f>IFERROR(VALUE(SUBSTITUTE(INDEX('04A_국토부원자료'!$A:$T,ROW()+1,MATCH("층",'04A_국토부원자료'!$A$4:$T$4,0)),",","")),"")</f>
        <v/>
      </c>
      <c r="K2320" s="152">
        <f>IFERROR(VALUE(SUBSTITUTE(INDEX('04A_국토부원자료'!$A:$T,ROW()+1,MATCH("건축년도",'04A_국토부원자료'!$A$4:$T$4,0)),",","")),"")</f>
        <v/>
      </c>
      <c r="L2320" s="48">
        <f>IFERROR(INDEX('04A_국토부원자료'!$A:$T,ROW()+1,MATCH("도로명",'04A_국토부원자료'!$A$4:$T$4,0)),"")</f>
        <v/>
      </c>
      <c r="M2320" s="48">
        <f>IFERROR(INDEX('04A_국토부원자료'!$A:$T,ROW()+1,MATCH("거래유형",'04A_국토부원자료'!$A$4:$T$4,0)),"")</f>
        <v/>
      </c>
      <c r="N2320" s="152">
        <f>IF(B2320="","",IF('02_대상물건입력'!B5="",1,IF(ISNUMBER(SEARCH('02_대상물건입력'!B5,B2320)),1,0)))</f>
        <v/>
      </c>
      <c r="O2320" s="152">
        <f>IF(B2320="","",IF('02_대상물건입력'!B6="",1,IF(ISNUMBER(SEARCH('02_대상물건입력'!B6,B2320)),1,0)))</f>
        <v/>
      </c>
      <c r="P2320" s="152">
        <f>IF(L2320="","",IF('02_대상물건입력'!B15="",0,IF(ISNUMBER(SEARCH('02_대상물건입력'!B15,L2320)),1,0)))</f>
        <v/>
      </c>
      <c r="Q2320" s="152">
        <f>IF(OR(C2320="",L2320=""),0,IF(AND(TRIM(C2320)=TRIM(RIGHT(SUBSTITUTE(TRIM('02_대상물건입력'!$B$7)," ",REPT(" ",99)),99)),IF('02_대상물건입력'!B15="",TRUE(),ISNUMBER(SEARCH('02_대상물건입력'!B15,L2320)))),1,0))</f>
        <v/>
      </c>
      <c r="R2320" s="175">
        <f>IFERROR(ABS(E2320-'02_대상물건입력'!B11)/'02_대상물건입력'!B11,"")</f>
        <v/>
      </c>
      <c r="S2320" s="152">
        <f>IFERROR(ABS(J2320-'02_대상물건입력'!B10),"")</f>
        <v/>
      </c>
      <c r="T2320" s="152">
        <f>IFERROR(ABS('01_설정'!B4-F2320),"")</f>
        <v/>
      </c>
      <c r="U2320" s="152">
        <f>IFERROR(ABS(K2320-YEAR('02_대상물건입력'!B14)),"")</f>
        <v/>
      </c>
      <c r="V2320" s="152">
        <f>IF(B2320="","",IF(AND(E2320&gt;0,F2320&gt;0,H2320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2320=1,TRUE()),R2320&lt;='01_설정'!B5,S2320&lt;='01_설정'!B6,T2320&lt;='01_설정'!B7,U2320&lt;='01_설정'!B8),"Y",""))</f>
        <v/>
      </c>
      <c r="W2320" s="172">
        <f>IF(V2320&lt;&gt;"Y","",MAX(0,(1-R2320/'01_설정'!B5))*'01_설정'!B14+MAX(0,(1-S2320/'01_설정'!B6))*'01_설정'!B15+MAX(0,(1-T2320/'01_설정'!B7))*'01_설정'!B16+MAX(0,(1-U2320/'01_설정'!B8))*'01_설정'!B17+O2320*'01_설정'!B11+Q2320*'01_설정'!B12+P2320*'01_설정'!B13+IF(Z2320="",0,Z2320))</f>
        <v/>
      </c>
      <c r="X2320" s="152">
        <f>IF(W2320="","",1+COUNTIFS($W$4:$W$3003,"&gt;"&amp;W2320)+COUNTIFS($W$4:W2320,W2320)-1)</f>
        <v/>
      </c>
      <c r="Y2320" s="175">
        <f>IF(OR(I2320="",'02_대상물건입력'!B19="",'02_대상물건입력'!B19&lt;=0),"",ABS(I2320-'02_대상물건입력'!B19)/'02_대상물건입력'!B19)</f>
        <v/>
      </c>
      <c r="Z2320" s="172">
        <f>IF(OR(Y2320="",'01_설정'!B31="",'01_설정'!B31&lt;=0,'01_설정'!B32="",'01_설정'!B32&lt;=0),"",MAX(0,(1-Y2320/'01_설정'!B32))*'01_설정'!B31)</f>
        <v/>
      </c>
    </row>
    <row r="2321" ht="17.25" customHeight="1">
      <c r="A2321" s="152">
        <f>IF(INDEX('04A_국토부원자료'!$A:$A,ROW()+1)="","",ROW()-3)</f>
        <v/>
      </c>
      <c r="B2321" s="48">
        <f>IFERROR(INDEX('04A_국토부원자료'!$A:$T,ROW()+1,MATCH("시군구",'04A_국토부원자료'!$A$4:$T$4,0)),"")</f>
        <v/>
      </c>
      <c r="C2321" s="48">
        <f>IF(B2321="","",IFERROR(INDEX('04A_국토부원자료'!$A:$T,ROW()+1,MATCH("번지",'04A_국토부원자료'!$A$4:$T$4,0)),""))</f>
        <v/>
      </c>
      <c r="D2321" s="48">
        <f>IF(B2321="","",IF(Q2321=1,'02_대상물건입력'!$B$8,IFERROR(INDEX('04A_국토부원자료'!$A:$T,ROW()+1,MATCH("단지명",'04A_국토부원자료'!$A$4:$T$4,0)),"")))</f>
        <v/>
      </c>
      <c r="E2321" s="172">
        <f>IFERROR(VALUE(SUBSTITUTE(INDEX('04A_국토부원자료'!$A:$T,ROW()+1,MATCH("전용면적(㎡)",'04A_국토부원자료'!$A$4:$T$4,0)),",","")),"")</f>
        <v/>
      </c>
      <c r="F23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21" s="51">
        <f>IFERROR(VALUE(SUBSTITUTE(INDEX('04A_국토부원자료'!$A:$T,ROW()+1,MATCH("거래금액(만원)",'04A_국토부원자료'!$A$4:$T$4,0)),",","")),"")</f>
        <v/>
      </c>
      <c r="H2321" s="174">
        <f>IF(G2321="","",G2321*10000)</f>
        <v/>
      </c>
      <c r="I2321" s="174">
        <f>IFERROR(IF(AND(H2321&gt;0,E2321&gt;0),H2321/E2321,""),"")</f>
        <v/>
      </c>
      <c r="J2321" s="152">
        <f>IFERROR(VALUE(SUBSTITUTE(INDEX('04A_국토부원자료'!$A:$T,ROW()+1,MATCH("층",'04A_국토부원자료'!$A$4:$T$4,0)),",","")),"")</f>
        <v/>
      </c>
      <c r="K2321" s="152">
        <f>IFERROR(VALUE(SUBSTITUTE(INDEX('04A_국토부원자료'!$A:$T,ROW()+1,MATCH("건축년도",'04A_국토부원자료'!$A$4:$T$4,0)),",","")),"")</f>
        <v/>
      </c>
      <c r="L2321" s="48">
        <f>IFERROR(INDEX('04A_국토부원자료'!$A:$T,ROW()+1,MATCH("도로명",'04A_국토부원자료'!$A$4:$T$4,0)),"")</f>
        <v/>
      </c>
      <c r="M2321" s="48">
        <f>IFERROR(INDEX('04A_국토부원자료'!$A:$T,ROW()+1,MATCH("거래유형",'04A_국토부원자료'!$A$4:$T$4,0)),"")</f>
        <v/>
      </c>
      <c r="N2321" s="152">
        <f>IF(B2321="","",IF('02_대상물건입력'!B5="",1,IF(ISNUMBER(SEARCH('02_대상물건입력'!B5,B2321)),1,0)))</f>
        <v/>
      </c>
      <c r="O2321" s="152">
        <f>IF(B2321="","",IF('02_대상물건입력'!B6="",1,IF(ISNUMBER(SEARCH('02_대상물건입력'!B6,B2321)),1,0)))</f>
        <v/>
      </c>
      <c r="P2321" s="152">
        <f>IF(L2321="","",IF('02_대상물건입력'!B15="",0,IF(ISNUMBER(SEARCH('02_대상물건입력'!B15,L2321)),1,0)))</f>
        <v/>
      </c>
      <c r="Q2321" s="152">
        <f>IF(OR(C2321="",L2321=""),0,IF(AND(TRIM(C2321)=TRIM(RIGHT(SUBSTITUTE(TRIM('02_대상물건입력'!$B$7)," ",REPT(" ",99)),99)),IF('02_대상물건입력'!B15="",TRUE(),ISNUMBER(SEARCH('02_대상물건입력'!B15,L2321)))),1,0))</f>
        <v/>
      </c>
      <c r="R2321" s="175">
        <f>IFERROR(ABS(E2321-'02_대상물건입력'!B11)/'02_대상물건입력'!B11,"")</f>
        <v/>
      </c>
      <c r="S2321" s="152">
        <f>IFERROR(ABS(J2321-'02_대상물건입력'!B10),"")</f>
        <v/>
      </c>
      <c r="T2321" s="152">
        <f>IFERROR(ABS('01_설정'!B4-F2321),"")</f>
        <v/>
      </c>
      <c r="U2321" s="152">
        <f>IFERROR(ABS(K2321-YEAR('02_대상물건입력'!B14)),"")</f>
        <v/>
      </c>
      <c r="V2321" s="152">
        <f>IF(B2321="","",IF(AND(E2321&gt;0,F2321&gt;0,H2321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2321=1,TRUE()),R2321&lt;='01_설정'!B5,S2321&lt;='01_설정'!B6,T2321&lt;='01_설정'!B7,U2321&lt;='01_설정'!B8),"Y",""))</f>
        <v/>
      </c>
      <c r="W2321" s="172">
        <f>IF(V2321&lt;&gt;"Y","",MAX(0,(1-R2321/'01_설정'!B5))*'01_설정'!B14+MAX(0,(1-S2321/'01_설정'!B6))*'01_설정'!B15+MAX(0,(1-T2321/'01_설정'!B7))*'01_설정'!B16+MAX(0,(1-U2321/'01_설정'!B8))*'01_설정'!B17+O2321*'01_설정'!B11+Q2321*'01_설정'!B12+P2321*'01_설정'!B13+IF(Z2321="",0,Z2321))</f>
        <v/>
      </c>
      <c r="X2321" s="152">
        <f>IF(W2321="","",1+COUNTIFS($W$4:$W$3003,"&gt;"&amp;W2321)+COUNTIFS($W$4:W2321,W2321)-1)</f>
        <v/>
      </c>
      <c r="Y2321" s="175">
        <f>IF(OR(I2321="",'02_대상물건입력'!B19="",'02_대상물건입력'!B19&lt;=0),"",ABS(I2321-'02_대상물건입력'!B19)/'02_대상물건입력'!B19)</f>
        <v/>
      </c>
      <c r="Z2321" s="172">
        <f>IF(OR(Y2321="",'01_설정'!B31="",'01_설정'!B31&lt;=0,'01_설정'!B32="",'01_설정'!B32&lt;=0),"",MAX(0,(1-Y2321/'01_설정'!B32))*'01_설정'!B31)</f>
        <v/>
      </c>
    </row>
    <row r="2322" ht="17.25" customHeight="1">
      <c r="A2322" s="152">
        <f>IF(INDEX('04A_국토부원자료'!$A:$A,ROW()+1)="","",ROW()-3)</f>
        <v/>
      </c>
      <c r="B2322" s="48">
        <f>IFERROR(INDEX('04A_국토부원자료'!$A:$T,ROW()+1,MATCH("시군구",'04A_국토부원자료'!$A$4:$T$4,0)),"")</f>
        <v/>
      </c>
      <c r="C2322" s="48">
        <f>IF(B2322="","",IFERROR(INDEX('04A_국토부원자료'!$A:$T,ROW()+1,MATCH("번지",'04A_국토부원자료'!$A$4:$T$4,0)),""))</f>
        <v/>
      </c>
      <c r="D2322" s="48">
        <f>IF(B2322="","",IF(Q2322=1,'02_대상물건입력'!$B$8,IFERROR(INDEX('04A_국토부원자료'!$A:$T,ROW()+1,MATCH("단지명",'04A_국토부원자료'!$A$4:$T$4,0)),"")))</f>
        <v/>
      </c>
      <c r="E2322" s="172">
        <f>IFERROR(VALUE(SUBSTITUTE(INDEX('04A_국토부원자료'!$A:$T,ROW()+1,MATCH("전용면적(㎡)",'04A_국토부원자료'!$A$4:$T$4,0)),",","")),"")</f>
        <v/>
      </c>
      <c r="F23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22" s="51">
        <f>IFERROR(VALUE(SUBSTITUTE(INDEX('04A_국토부원자료'!$A:$T,ROW()+1,MATCH("거래금액(만원)",'04A_국토부원자료'!$A$4:$T$4,0)),",","")),"")</f>
        <v/>
      </c>
      <c r="H2322" s="174">
        <f>IF(G2322="","",G2322*10000)</f>
        <v/>
      </c>
      <c r="I2322" s="174">
        <f>IFERROR(IF(AND(H2322&gt;0,E2322&gt;0),H2322/E2322,""),"")</f>
        <v/>
      </c>
      <c r="J2322" s="152">
        <f>IFERROR(VALUE(SUBSTITUTE(INDEX('04A_국토부원자료'!$A:$T,ROW()+1,MATCH("층",'04A_국토부원자료'!$A$4:$T$4,0)),",","")),"")</f>
        <v/>
      </c>
      <c r="K2322" s="152">
        <f>IFERROR(VALUE(SUBSTITUTE(INDEX('04A_국토부원자료'!$A:$T,ROW()+1,MATCH("건축년도",'04A_국토부원자료'!$A$4:$T$4,0)),",","")),"")</f>
        <v/>
      </c>
      <c r="L2322" s="48">
        <f>IFERROR(INDEX('04A_국토부원자료'!$A:$T,ROW()+1,MATCH("도로명",'04A_국토부원자료'!$A$4:$T$4,0)),"")</f>
        <v/>
      </c>
      <c r="M2322" s="48">
        <f>IFERROR(INDEX('04A_국토부원자료'!$A:$T,ROW()+1,MATCH("거래유형",'04A_국토부원자료'!$A$4:$T$4,0)),"")</f>
        <v/>
      </c>
      <c r="N2322" s="152">
        <f>IF(B2322="","",IF('02_대상물건입력'!B5="",1,IF(ISNUMBER(SEARCH('02_대상물건입력'!B5,B2322)),1,0)))</f>
        <v/>
      </c>
      <c r="O2322" s="152">
        <f>IF(B2322="","",IF('02_대상물건입력'!B6="",1,IF(ISNUMBER(SEARCH('02_대상물건입력'!B6,B2322)),1,0)))</f>
        <v/>
      </c>
      <c r="P2322" s="152">
        <f>IF(L2322="","",IF('02_대상물건입력'!B15="",0,IF(ISNUMBER(SEARCH('02_대상물건입력'!B15,L2322)),1,0)))</f>
        <v/>
      </c>
      <c r="Q2322" s="152">
        <f>IF(OR(C2322="",L2322=""),0,IF(AND(TRIM(C2322)=TRIM(RIGHT(SUBSTITUTE(TRIM('02_대상물건입력'!$B$7)," ",REPT(" ",99)),99)),IF('02_대상물건입력'!B15="",TRUE(),ISNUMBER(SEARCH('02_대상물건입력'!B15,L2322)))),1,0))</f>
        <v/>
      </c>
      <c r="R2322" s="175">
        <f>IFERROR(ABS(E2322-'02_대상물건입력'!B11)/'02_대상물건입력'!B11,"")</f>
        <v/>
      </c>
      <c r="S2322" s="152">
        <f>IFERROR(ABS(J2322-'02_대상물건입력'!B10),"")</f>
        <v/>
      </c>
      <c r="T2322" s="152">
        <f>IFERROR(ABS('01_설정'!B4-F2322),"")</f>
        <v/>
      </c>
      <c r="U2322" s="152">
        <f>IFERROR(ABS(K2322-YEAR('02_대상물건입력'!B14)),"")</f>
        <v/>
      </c>
      <c r="V2322" s="152">
        <f>IF(B2322="","",IF(AND(E2322&gt;0,F2322&gt;0,H2322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2322=1,TRUE()),R2322&lt;='01_설정'!B5,S2322&lt;='01_설정'!B6,T2322&lt;='01_설정'!B7,U2322&lt;='01_설정'!B8),"Y",""))</f>
        <v/>
      </c>
      <c r="W2322" s="172">
        <f>IF(V2322&lt;&gt;"Y","",MAX(0,(1-R2322/'01_설정'!B5))*'01_설정'!B14+MAX(0,(1-S2322/'01_설정'!B6))*'01_설정'!B15+MAX(0,(1-T2322/'01_설정'!B7))*'01_설정'!B16+MAX(0,(1-U2322/'01_설정'!B8))*'01_설정'!B17+O2322*'01_설정'!B11+Q2322*'01_설정'!B12+P2322*'01_설정'!B13+IF(Z2322="",0,Z2322))</f>
        <v/>
      </c>
      <c r="X2322" s="152">
        <f>IF(W2322="","",1+COUNTIFS($W$4:$W$3003,"&gt;"&amp;W2322)+COUNTIFS($W$4:W2322,W2322)-1)</f>
        <v/>
      </c>
      <c r="Y2322" s="175">
        <f>IF(OR(I2322="",'02_대상물건입력'!B19="",'02_대상물건입력'!B19&lt;=0),"",ABS(I2322-'02_대상물건입력'!B19)/'02_대상물건입력'!B19)</f>
        <v/>
      </c>
      <c r="Z2322" s="172">
        <f>IF(OR(Y2322="",'01_설정'!B31="",'01_설정'!B31&lt;=0,'01_설정'!B32="",'01_설정'!B32&lt;=0),"",MAX(0,(1-Y2322/'01_설정'!B32))*'01_설정'!B31)</f>
        <v/>
      </c>
    </row>
    <row r="2323" ht="17.25" customHeight="1">
      <c r="A2323" s="152">
        <f>IF(INDEX('04A_국토부원자료'!$A:$A,ROW()+1)="","",ROW()-3)</f>
        <v/>
      </c>
      <c r="B2323" s="48">
        <f>IFERROR(INDEX('04A_국토부원자료'!$A:$T,ROW()+1,MATCH("시군구",'04A_국토부원자료'!$A$4:$T$4,0)),"")</f>
        <v/>
      </c>
      <c r="C2323" s="48">
        <f>IF(B2323="","",IFERROR(INDEX('04A_국토부원자료'!$A:$T,ROW()+1,MATCH("번지",'04A_국토부원자료'!$A$4:$T$4,0)),""))</f>
        <v/>
      </c>
      <c r="D2323" s="48">
        <f>IF(B2323="","",IF(Q2323=1,'02_대상물건입력'!$B$8,IFERROR(INDEX('04A_국토부원자료'!$A:$T,ROW()+1,MATCH("단지명",'04A_국토부원자료'!$A$4:$T$4,0)),"")))</f>
        <v/>
      </c>
      <c r="E2323" s="172">
        <f>IFERROR(VALUE(SUBSTITUTE(INDEX('04A_국토부원자료'!$A:$T,ROW()+1,MATCH("전용면적(㎡)",'04A_국토부원자료'!$A$4:$T$4,0)),",","")),"")</f>
        <v/>
      </c>
      <c r="F23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23" s="51">
        <f>IFERROR(VALUE(SUBSTITUTE(INDEX('04A_국토부원자료'!$A:$T,ROW()+1,MATCH("거래금액(만원)",'04A_국토부원자료'!$A$4:$T$4,0)),",","")),"")</f>
        <v/>
      </c>
      <c r="H2323" s="174">
        <f>IF(G2323="","",G2323*10000)</f>
        <v/>
      </c>
      <c r="I2323" s="174">
        <f>IFERROR(IF(AND(H2323&gt;0,E2323&gt;0),H2323/E2323,""),"")</f>
        <v/>
      </c>
      <c r="J2323" s="152">
        <f>IFERROR(VALUE(SUBSTITUTE(INDEX('04A_국토부원자료'!$A:$T,ROW()+1,MATCH("층",'04A_국토부원자료'!$A$4:$T$4,0)),",","")),"")</f>
        <v/>
      </c>
      <c r="K2323" s="152">
        <f>IFERROR(VALUE(SUBSTITUTE(INDEX('04A_국토부원자료'!$A:$T,ROW()+1,MATCH("건축년도",'04A_국토부원자료'!$A$4:$T$4,0)),",","")),"")</f>
        <v/>
      </c>
      <c r="L2323" s="48">
        <f>IFERROR(INDEX('04A_국토부원자료'!$A:$T,ROW()+1,MATCH("도로명",'04A_국토부원자료'!$A$4:$T$4,0)),"")</f>
        <v/>
      </c>
      <c r="M2323" s="48">
        <f>IFERROR(INDEX('04A_국토부원자료'!$A:$T,ROW()+1,MATCH("거래유형",'04A_국토부원자료'!$A$4:$T$4,0)),"")</f>
        <v/>
      </c>
      <c r="N2323" s="152">
        <f>IF(B2323="","",IF('02_대상물건입력'!B5="",1,IF(ISNUMBER(SEARCH('02_대상물건입력'!B5,B2323)),1,0)))</f>
        <v/>
      </c>
      <c r="O2323" s="152">
        <f>IF(B2323="","",IF('02_대상물건입력'!B6="",1,IF(ISNUMBER(SEARCH('02_대상물건입력'!B6,B2323)),1,0)))</f>
        <v/>
      </c>
      <c r="P2323" s="152">
        <f>IF(L2323="","",IF('02_대상물건입력'!B15="",0,IF(ISNUMBER(SEARCH('02_대상물건입력'!B15,L2323)),1,0)))</f>
        <v/>
      </c>
      <c r="Q2323" s="152">
        <f>IF(OR(C2323="",L2323=""),0,IF(AND(TRIM(C2323)=TRIM(RIGHT(SUBSTITUTE(TRIM('02_대상물건입력'!$B$7)," ",REPT(" ",99)),99)),IF('02_대상물건입력'!B15="",TRUE(),ISNUMBER(SEARCH('02_대상물건입력'!B15,L2323)))),1,0))</f>
        <v/>
      </c>
      <c r="R2323" s="175">
        <f>IFERROR(ABS(E2323-'02_대상물건입력'!B11)/'02_대상물건입력'!B11,"")</f>
        <v/>
      </c>
      <c r="S2323" s="152">
        <f>IFERROR(ABS(J2323-'02_대상물건입력'!B10),"")</f>
        <v/>
      </c>
      <c r="T2323" s="152">
        <f>IFERROR(ABS('01_설정'!B4-F2323),"")</f>
        <v/>
      </c>
      <c r="U2323" s="152">
        <f>IFERROR(ABS(K2323-YEAR('02_대상물건입력'!B14)),"")</f>
        <v/>
      </c>
      <c r="V2323" s="152">
        <f>IF(B2323="","",IF(AND(E2323&gt;0,F2323&gt;0,H2323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2323=1,TRUE()),R2323&lt;='01_설정'!B5,S2323&lt;='01_설정'!B6,T2323&lt;='01_설정'!B7,U2323&lt;='01_설정'!B8),"Y",""))</f>
        <v/>
      </c>
      <c r="W2323" s="172">
        <f>IF(V2323&lt;&gt;"Y","",MAX(0,(1-R2323/'01_설정'!B5))*'01_설정'!B14+MAX(0,(1-S2323/'01_설정'!B6))*'01_설정'!B15+MAX(0,(1-T2323/'01_설정'!B7))*'01_설정'!B16+MAX(0,(1-U2323/'01_설정'!B8))*'01_설정'!B17+O2323*'01_설정'!B11+Q2323*'01_설정'!B12+P2323*'01_설정'!B13+IF(Z2323="",0,Z2323))</f>
        <v/>
      </c>
      <c r="X2323" s="152">
        <f>IF(W2323="","",1+COUNTIFS($W$4:$W$3003,"&gt;"&amp;W2323)+COUNTIFS($W$4:W2323,W2323)-1)</f>
        <v/>
      </c>
      <c r="Y2323" s="175">
        <f>IF(OR(I2323="",'02_대상물건입력'!B19="",'02_대상물건입력'!B19&lt;=0),"",ABS(I2323-'02_대상물건입력'!B19)/'02_대상물건입력'!B19)</f>
        <v/>
      </c>
      <c r="Z2323" s="172">
        <f>IF(OR(Y2323="",'01_설정'!B31="",'01_설정'!B31&lt;=0,'01_설정'!B32="",'01_설정'!B32&lt;=0),"",MAX(0,(1-Y2323/'01_설정'!B32))*'01_설정'!B31)</f>
        <v/>
      </c>
    </row>
    <row r="2324" ht="17.25" customHeight="1">
      <c r="A2324" s="152">
        <f>IF(INDEX('04A_국토부원자료'!$A:$A,ROW()+1)="","",ROW()-3)</f>
        <v/>
      </c>
      <c r="B2324" s="48">
        <f>IFERROR(INDEX('04A_국토부원자료'!$A:$T,ROW()+1,MATCH("시군구",'04A_국토부원자료'!$A$4:$T$4,0)),"")</f>
        <v/>
      </c>
      <c r="C2324" s="48">
        <f>IF(B2324="","",IFERROR(INDEX('04A_국토부원자료'!$A:$T,ROW()+1,MATCH("번지",'04A_국토부원자료'!$A$4:$T$4,0)),""))</f>
        <v/>
      </c>
      <c r="D2324" s="48">
        <f>IF(B2324="","",IF(Q2324=1,'02_대상물건입력'!$B$8,IFERROR(INDEX('04A_국토부원자료'!$A:$T,ROW()+1,MATCH("단지명",'04A_국토부원자료'!$A$4:$T$4,0)),"")))</f>
        <v/>
      </c>
      <c r="E2324" s="172">
        <f>IFERROR(VALUE(SUBSTITUTE(INDEX('04A_국토부원자료'!$A:$T,ROW()+1,MATCH("전용면적(㎡)",'04A_국토부원자료'!$A$4:$T$4,0)),",","")),"")</f>
        <v/>
      </c>
      <c r="F23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24" s="51">
        <f>IFERROR(VALUE(SUBSTITUTE(INDEX('04A_국토부원자료'!$A:$T,ROW()+1,MATCH("거래금액(만원)",'04A_국토부원자료'!$A$4:$T$4,0)),",","")),"")</f>
        <v/>
      </c>
      <c r="H2324" s="174">
        <f>IF(G2324="","",G2324*10000)</f>
        <v/>
      </c>
      <c r="I2324" s="174">
        <f>IFERROR(IF(AND(H2324&gt;0,E2324&gt;0),H2324/E2324,""),"")</f>
        <v/>
      </c>
      <c r="J2324" s="152">
        <f>IFERROR(VALUE(SUBSTITUTE(INDEX('04A_국토부원자료'!$A:$T,ROW()+1,MATCH("층",'04A_국토부원자료'!$A$4:$T$4,0)),",","")),"")</f>
        <v/>
      </c>
      <c r="K2324" s="152">
        <f>IFERROR(VALUE(SUBSTITUTE(INDEX('04A_국토부원자료'!$A:$T,ROW()+1,MATCH("건축년도",'04A_국토부원자료'!$A$4:$T$4,0)),",","")),"")</f>
        <v/>
      </c>
      <c r="L2324" s="48">
        <f>IFERROR(INDEX('04A_국토부원자료'!$A:$T,ROW()+1,MATCH("도로명",'04A_국토부원자료'!$A$4:$T$4,0)),"")</f>
        <v/>
      </c>
      <c r="M2324" s="48">
        <f>IFERROR(INDEX('04A_국토부원자료'!$A:$T,ROW()+1,MATCH("거래유형",'04A_국토부원자료'!$A$4:$T$4,0)),"")</f>
        <v/>
      </c>
      <c r="N2324" s="152">
        <f>IF(B2324="","",IF('02_대상물건입력'!B5="",1,IF(ISNUMBER(SEARCH('02_대상물건입력'!B5,B2324)),1,0)))</f>
        <v/>
      </c>
      <c r="O2324" s="152">
        <f>IF(B2324="","",IF('02_대상물건입력'!B6="",1,IF(ISNUMBER(SEARCH('02_대상물건입력'!B6,B2324)),1,0)))</f>
        <v/>
      </c>
      <c r="P2324" s="152">
        <f>IF(L2324="","",IF('02_대상물건입력'!B15="",0,IF(ISNUMBER(SEARCH('02_대상물건입력'!B15,L2324)),1,0)))</f>
        <v/>
      </c>
      <c r="Q2324" s="152">
        <f>IF(OR(C2324="",L2324=""),0,IF(AND(TRIM(C2324)=TRIM(RIGHT(SUBSTITUTE(TRIM('02_대상물건입력'!$B$7)," ",REPT(" ",99)),99)),IF('02_대상물건입력'!B15="",TRUE(),ISNUMBER(SEARCH('02_대상물건입력'!B15,L2324)))),1,0))</f>
        <v/>
      </c>
      <c r="R2324" s="175">
        <f>IFERROR(ABS(E2324-'02_대상물건입력'!B11)/'02_대상물건입력'!B11,"")</f>
        <v/>
      </c>
      <c r="S2324" s="152">
        <f>IFERROR(ABS(J2324-'02_대상물건입력'!B10),"")</f>
        <v/>
      </c>
      <c r="T2324" s="152">
        <f>IFERROR(ABS('01_설정'!B4-F2324),"")</f>
        <v/>
      </c>
      <c r="U2324" s="152">
        <f>IFERROR(ABS(K2324-YEAR('02_대상물건입력'!B14)),"")</f>
        <v/>
      </c>
      <c r="V2324" s="152">
        <f>IF(B2324="","",IF(AND(E2324&gt;0,F2324&gt;0,H2324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2324=1,TRUE()),R2324&lt;='01_설정'!B5,S2324&lt;='01_설정'!B6,T2324&lt;='01_설정'!B7,U2324&lt;='01_설정'!B8),"Y",""))</f>
        <v/>
      </c>
      <c r="W2324" s="172">
        <f>IF(V2324&lt;&gt;"Y","",MAX(0,(1-R2324/'01_설정'!B5))*'01_설정'!B14+MAX(0,(1-S2324/'01_설정'!B6))*'01_설정'!B15+MAX(0,(1-T2324/'01_설정'!B7))*'01_설정'!B16+MAX(0,(1-U2324/'01_설정'!B8))*'01_설정'!B17+O2324*'01_설정'!B11+Q2324*'01_설정'!B12+P2324*'01_설정'!B13+IF(Z2324="",0,Z2324))</f>
        <v/>
      </c>
      <c r="X2324" s="152">
        <f>IF(W2324="","",1+COUNTIFS($W$4:$W$3003,"&gt;"&amp;W2324)+COUNTIFS($W$4:W2324,W2324)-1)</f>
        <v/>
      </c>
      <c r="Y2324" s="175">
        <f>IF(OR(I2324="",'02_대상물건입력'!B19="",'02_대상물건입력'!B19&lt;=0),"",ABS(I2324-'02_대상물건입력'!B19)/'02_대상물건입력'!B19)</f>
        <v/>
      </c>
      <c r="Z2324" s="172">
        <f>IF(OR(Y2324="",'01_설정'!B31="",'01_설정'!B31&lt;=0,'01_설정'!B32="",'01_설정'!B32&lt;=0),"",MAX(0,(1-Y2324/'01_설정'!B32))*'01_설정'!B31)</f>
        <v/>
      </c>
    </row>
    <row r="2325" ht="17.25" customHeight="1">
      <c r="A2325" s="152">
        <f>IF(INDEX('04A_국토부원자료'!$A:$A,ROW()+1)="","",ROW()-3)</f>
        <v/>
      </c>
      <c r="B2325" s="48">
        <f>IFERROR(INDEX('04A_국토부원자료'!$A:$T,ROW()+1,MATCH("시군구",'04A_국토부원자료'!$A$4:$T$4,0)),"")</f>
        <v/>
      </c>
      <c r="C2325" s="48">
        <f>IF(B2325="","",IFERROR(INDEX('04A_국토부원자료'!$A:$T,ROW()+1,MATCH("번지",'04A_국토부원자료'!$A$4:$T$4,0)),""))</f>
        <v/>
      </c>
      <c r="D2325" s="48">
        <f>IF(B2325="","",IF(Q2325=1,'02_대상물건입력'!$B$8,IFERROR(INDEX('04A_국토부원자료'!$A:$T,ROW()+1,MATCH("단지명",'04A_국토부원자료'!$A$4:$T$4,0)),"")))</f>
        <v/>
      </c>
      <c r="E2325" s="172">
        <f>IFERROR(VALUE(SUBSTITUTE(INDEX('04A_국토부원자료'!$A:$T,ROW()+1,MATCH("전용면적(㎡)",'04A_국토부원자료'!$A$4:$T$4,0)),",","")),"")</f>
        <v/>
      </c>
      <c r="F23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25" s="51">
        <f>IFERROR(VALUE(SUBSTITUTE(INDEX('04A_국토부원자료'!$A:$T,ROW()+1,MATCH("거래금액(만원)",'04A_국토부원자료'!$A$4:$T$4,0)),",","")),"")</f>
        <v/>
      </c>
      <c r="H2325" s="174">
        <f>IF(G2325="","",G2325*10000)</f>
        <v/>
      </c>
      <c r="I2325" s="174">
        <f>IFERROR(IF(AND(H2325&gt;0,E2325&gt;0),H2325/E2325,""),"")</f>
        <v/>
      </c>
      <c r="J2325" s="152">
        <f>IFERROR(VALUE(SUBSTITUTE(INDEX('04A_국토부원자료'!$A:$T,ROW()+1,MATCH("층",'04A_국토부원자료'!$A$4:$T$4,0)),",","")),"")</f>
        <v/>
      </c>
      <c r="K2325" s="152">
        <f>IFERROR(VALUE(SUBSTITUTE(INDEX('04A_국토부원자료'!$A:$T,ROW()+1,MATCH("건축년도",'04A_국토부원자료'!$A$4:$T$4,0)),",","")),"")</f>
        <v/>
      </c>
      <c r="L2325" s="48">
        <f>IFERROR(INDEX('04A_국토부원자료'!$A:$T,ROW()+1,MATCH("도로명",'04A_국토부원자료'!$A$4:$T$4,0)),"")</f>
        <v/>
      </c>
      <c r="M2325" s="48">
        <f>IFERROR(INDEX('04A_국토부원자료'!$A:$T,ROW()+1,MATCH("거래유형",'04A_국토부원자료'!$A$4:$T$4,0)),"")</f>
        <v/>
      </c>
      <c r="N2325" s="152">
        <f>IF(B2325="","",IF('02_대상물건입력'!B5="",1,IF(ISNUMBER(SEARCH('02_대상물건입력'!B5,B2325)),1,0)))</f>
        <v/>
      </c>
      <c r="O2325" s="152">
        <f>IF(B2325="","",IF('02_대상물건입력'!B6="",1,IF(ISNUMBER(SEARCH('02_대상물건입력'!B6,B2325)),1,0)))</f>
        <v/>
      </c>
      <c r="P2325" s="152">
        <f>IF(L2325="","",IF('02_대상물건입력'!B15="",0,IF(ISNUMBER(SEARCH('02_대상물건입력'!B15,L2325)),1,0)))</f>
        <v/>
      </c>
      <c r="Q2325" s="152">
        <f>IF(OR(C2325="",L2325=""),0,IF(AND(TRIM(C2325)=TRIM(RIGHT(SUBSTITUTE(TRIM('02_대상물건입력'!$B$7)," ",REPT(" ",99)),99)),IF('02_대상물건입력'!B15="",TRUE(),ISNUMBER(SEARCH('02_대상물건입력'!B15,L2325)))),1,0))</f>
        <v/>
      </c>
      <c r="R2325" s="175">
        <f>IFERROR(ABS(E2325-'02_대상물건입력'!B11)/'02_대상물건입력'!B11,"")</f>
        <v/>
      </c>
      <c r="S2325" s="152">
        <f>IFERROR(ABS(J2325-'02_대상물건입력'!B10),"")</f>
        <v/>
      </c>
      <c r="T2325" s="152">
        <f>IFERROR(ABS('01_설정'!B4-F2325),"")</f>
        <v/>
      </c>
      <c r="U2325" s="152">
        <f>IFERROR(ABS(K2325-YEAR('02_대상물건입력'!B14)),"")</f>
        <v/>
      </c>
      <c r="V2325" s="152">
        <f>IF(B2325="","",IF(AND(E2325&gt;0,F2325&gt;0,H2325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2325=1,TRUE()),R2325&lt;='01_설정'!B5,S2325&lt;='01_설정'!B6,T2325&lt;='01_설정'!B7,U2325&lt;='01_설정'!B8),"Y",""))</f>
        <v/>
      </c>
      <c r="W2325" s="172">
        <f>IF(V2325&lt;&gt;"Y","",MAX(0,(1-R2325/'01_설정'!B5))*'01_설정'!B14+MAX(0,(1-S2325/'01_설정'!B6))*'01_설정'!B15+MAX(0,(1-T2325/'01_설정'!B7))*'01_설정'!B16+MAX(0,(1-U2325/'01_설정'!B8))*'01_설정'!B17+O2325*'01_설정'!B11+Q2325*'01_설정'!B12+P2325*'01_설정'!B13+IF(Z2325="",0,Z2325))</f>
        <v/>
      </c>
      <c r="X2325" s="152">
        <f>IF(W2325="","",1+COUNTIFS($W$4:$W$3003,"&gt;"&amp;W2325)+COUNTIFS($W$4:W2325,W2325)-1)</f>
        <v/>
      </c>
      <c r="Y2325" s="175">
        <f>IF(OR(I2325="",'02_대상물건입력'!B19="",'02_대상물건입력'!B19&lt;=0),"",ABS(I2325-'02_대상물건입력'!B19)/'02_대상물건입력'!B19)</f>
        <v/>
      </c>
      <c r="Z2325" s="172">
        <f>IF(OR(Y2325="",'01_설정'!B31="",'01_설정'!B31&lt;=0,'01_설정'!B32="",'01_설정'!B32&lt;=0),"",MAX(0,(1-Y2325/'01_설정'!B32))*'01_설정'!B31)</f>
        <v/>
      </c>
    </row>
    <row r="2326" ht="17.25" customHeight="1">
      <c r="A2326" s="152">
        <f>IF(INDEX('04A_국토부원자료'!$A:$A,ROW()+1)="","",ROW()-3)</f>
        <v/>
      </c>
      <c r="B2326" s="48">
        <f>IFERROR(INDEX('04A_국토부원자료'!$A:$T,ROW()+1,MATCH("시군구",'04A_국토부원자료'!$A$4:$T$4,0)),"")</f>
        <v/>
      </c>
      <c r="C2326" s="48">
        <f>IF(B2326="","",IFERROR(INDEX('04A_국토부원자료'!$A:$T,ROW()+1,MATCH("번지",'04A_국토부원자료'!$A$4:$T$4,0)),""))</f>
        <v/>
      </c>
      <c r="D2326" s="48">
        <f>IF(B2326="","",IF(Q2326=1,'02_대상물건입력'!$B$8,IFERROR(INDEX('04A_국토부원자료'!$A:$T,ROW()+1,MATCH("단지명",'04A_국토부원자료'!$A$4:$T$4,0)),"")))</f>
        <v/>
      </c>
      <c r="E2326" s="172">
        <f>IFERROR(VALUE(SUBSTITUTE(INDEX('04A_국토부원자료'!$A:$T,ROW()+1,MATCH("전용면적(㎡)",'04A_국토부원자료'!$A$4:$T$4,0)),",","")),"")</f>
        <v/>
      </c>
      <c r="F23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26" s="51">
        <f>IFERROR(VALUE(SUBSTITUTE(INDEX('04A_국토부원자료'!$A:$T,ROW()+1,MATCH("거래금액(만원)",'04A_국토부원자료'!$A$4:$T$4,0)),",","")),"")</f>
        <v/>
      </c>
      <c r="H2326" s="174">
        <f>IF(G2326="","",G2326*10000)</f>
        <v/>
      </c>
      <c r="I2326" s="174">
        <f>IFERROR(IF(AND(H2326&gt;0,E2326&gt;0),H2326/E2326,""),"")</f>
        <v/>
      </c>
      <c r="J2326" s="152">
        <f>IFERROR(VALUE(SUBSTITUTE(INDEX('04A_국토부원자료'!$A:$T,ROW()+1,MATCH("층",'04A_국토부원자료'!$A$4:$T$4,0)),",","")),"")</f>
        <v/>
      </c>
      <c r="K2326" s="152">
        <f>IFERROR(VALUE(SUBSTITUTE(INDEX('04A_국토부원자료'!$A:$T,ROW()+1,MATCH("건축년도",'04A_국토부원자료'!$A$4:$T$4,0)),",","")),"")</f>
        <v/>
      </c>
      <c r="L2326" s="48">
        <f>IFERROR(INDEX('04A_국토부원자료'!$A:$T,ROW()+1,MATCH("도로명",'04A_국토부원자료'!$A$4:$T$4,0)),"")</f>
        <v/>
      </c>
      <c r="M2326" s="48">
        <f>IFERROR(INDEX('04A_국토부원자료'!$A:$T,ROW()+1,MATCH("거래유형",'04A_국토부원자료'!$A$4:$T$4,0)),"")</f>
        <v/>
      </c>
      <c r="N2326" s="152">
        <f>IF(B2326="","",IF('02_대상물건입력'!B5="",1,IF(ISNUMBER(SEARCH('02_대상물건입력'!B5,B2326)),1,0)))</f>
        <v/>
      </c>
      <c r="O2326" s="152">
        <f>IF(B2326="","",IF('02_대상물건입력'!B6="",1,IF(ISNUMBER(SEARCH('02_대상물건입력'!B6,B2326)),1,0)))</f>
        <v/>
      </c>
      <c r="P2326" s="152">
        <f>IF(L2326="","",IF('02_대상물건입력'!B15="",0,IF(ISNUMBER(SEARCH('02_대상물건입력'!B15,L2326)),1,0)))</f>
        <v/>
      </c>
      <c r="Q2326" s="152">
        <f>IF(OR(C2326="",L2326=""),0,IF(AND(TRIM(C2326)=TRIM(RIGHT(SUBSTITUTE(TRIM('02_대상물건입력'!$B$7)," ",REPT(" ",99)),99)),IF('02_대상물건입력'!B15="",TRUE(),ISNUMBER(SEARCH('02_대상물건입력'!B15,L2326)))),1,0))</f>
        <v/>
      </c>
      <c r="R2326" s="175">
        <f>IFERROR(ABS(E2326-'02_대상물건입력'!B11)/'02_대상물건입력'!B11,"")</f>
        <v/>
      </c>
      <c r="S2326" s="152">
        <f>IFERROR(ABS(J2326-'02_대상물건입력'!B10),"")</f>
        <v/>
      </c>
      <c r="T2326" s="152">
        <f>IFERROR(ABS('01_설정'!B4-F2326),"")</f>
        <v/>
      </c>
      <c r="U2326" s="152">
        <f>IFERROR(ABS(K2326-YEAR('02_대상물건입력'!B14)),"")</f>
        <v/>
      </c>
      <c r="V2326" s="152">
        <f>IF(B2326="","",IF(AND(E2326&gt;0,F2326&gt;0,H2326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2326=1,TRUE()),R2326&lt;='01_설정'!B5,S2326&lt;='01_설정'!B6,T2326&lt;='01_설정'!B7,U2326&lt;='01_설정'!B8),"Y",""))</f>
        <v/>
      </c>
      <c r="W2326" s="172">
        <f>IF(V2326&lt;&gt;"Y","",MAX(0,(1-R2326/'01_설정'!B5))*'01_설정'!B14+MAX(0,(1-S2326/'01_설정'!B6))*'01_설정'!B15+MAX(0,(1-T2326/'01_설정'!B7))*'01_설정'!B16+MAX(0,(1-U2326/'01_설정'!B8))*'01_설정'!B17+O2326*'01_설정'!B11+Q2326*'01_설정'!B12+P2326*'01_설정'!B13+IF(Z2326="",0,Z2326))</f>
        <v/>
      </c>
      <c r="X2326" s="152">
        <f>IF(W2326="","",1+COUNTIFS($W$4:$W$3003,"&gt;"&amp;W2326)+COUNTIFS($W$4:W2326,W2326)-1)</f>
        <v/>
      </c>
      <c r="Y2326" s="175">
        <f>IF(OR(I2326="",'02_대상물건입력'!B19="",'02_대상물건입력'!B19&lt;=0),"",ABS(I2326-'02_대상물건입력'!B19)/'02_대상물건입력'!B19)</f>
        <v/>
      </c>
      <c r="Z2326" s="172">
        <f>IF(OR(Y2326="",'01_설정'!B31="",'01_설정'!B31&lt;=0,'01_설정'!B32="",'01_설정'!B32&lt;=0),"",MAX(0,(1-Y2326/'01_설정'!B32))*'01_설정'!B31)</f>
        <v/>
      </c>
    </row>
    <row r="2327" ht="17.25" customHeight="1">
      <c r="A2327" s="152">
        <f>IF(INDEX('04A_국토부원자료'!$A:$A,ROW()+1)="","",ROW()-3)</f>
        <v/>
      </c>
      <c r="B2327" s="48">
        <f>IFERROR(INDEX('04A_국토부원자료'!$A:$T,ROW()+1,MATCH("시군구",'04A_국토부원자료'!$A$4:$T$4,0)),"")</f>
        <v/>
      </c>
      <c r="C2327" s="48">
        <f>IF(B2327="","",IFERROR(INDEX('04A_국토부원자료'!$A:$T,ROW()+1,MATCH("번지",'04A_국토부원자료'!$A$4:$T$4,0)),""))</f>
        <v/>
      </c>
      <c r="D2327" s="48">
        <f>IF(B2327="","",IF(Q2327=1,'02_대상물건입력'!$B$8,IFERROR(INDEX('04A_국토부원자료'!$A:$T,ROW()+1,MATCH("단지명",'04A_국토부원자료'!$A$4:$T$4,0)),"")))</f>
        <v/>
      </c>
      <c r="E2327" s="172">
        <f>IFERROR(VALUE(SUBSTITUTE(INDEX('04A_국토부원자료'!$A:$T,ROW()+1,MATCH("전용면적(㎡)",'04A_국토부원자료'!$A$4:$T$4,0)),",","")),"")</f>
        <v/>
      </c>
      <c r="F23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27" s="51">
        <f>IFERROR(VALUE(SUBSTITUTE(INDEX('04A_국토부원자료'!$A:$T,ROW()+1,MATCH("거래금액(만원)",'04A_국토부원자료'!$A$4:$T$4,0)),",","")),"")</f>
        <v/>
      </c>
      <c r="H2327" s="174">
        <f>IF(G2327="","",G2327*10000)</f>
        <v/>
      </c>
      <c r="I2327" s="174">
        <f>IFERROR(IF(AND(H2327&gt;0,E2327&gt;0),H2327/E2327,""),"")</f>
        <v/>
      </c>
      <c r="J2327" s="152">
        <f>IFERROR(VALUE(SUBSTITUTE(INDEX('04A_국토부원자료'!$A:$T,ROW()+1,MATCH("층",'04A_국토부원자료'!$A$4:$T$4,0)),",","")),"")</f>
        <v/>
      </c>
      <c r="K2327" s="152">
        <f>IFERROR(VALUE(SUBSTITUTE(INDEX('04A_국토부원자료'!$A:$T,ROW()+1,MATCH("건축년도",'04A_국토부원자료'!$A$4:$T$4,0)),",","")),"")</f>
        <v/>
      </c>
      <c r="L2327" s="48">
        <f>IFERROR(INDEX('04A_국토부원자료'!$A:$T,ROW()+1,MATCH("도로명",'04A_국토부원자료'!$A$4:$T$4,0)),"")</f>
        <v/>
      </c>
      <c r="M2327" s="48">
        <f>IFERROR(INDEX('04A_국토부원자료'!$A:$T,ROW()+1,MATCH("거래유형",'04A_국토부원자료'!$A$4:$T$4,0)),"")</f>
        <v/>
      </c>
      <c r="N2327" s="152">
        <f>IF(B2327="","",IF('02_대상물건입력'!B5="",1,IF(ISNUMBER(SEARCH('02_대상물건입력'!B5,B2327)),1,0)))</f>
        <v/>
      </c>
      <c r="O2327" s="152">
        <f>IF(B2327="","",IF('02_대상물건입력'!B6="",1,IF(ISNUMBER(SEARCH('02_대상물건입력'!B6,B2327)),1,0)))</f>
        <v/>
      </c>
      <c r="P2327" s="152">
        <f>IF(L2327="","",IF('02_대상물건입력'!B15="",0,IF(ISNUMBER(SEARCH('02_대상물건입력'!B15,L2327)),1,0)))</f>
        <v/>
      </c>
      <c r="Q2327" s="152">
        <f>IF(OR(C2327="",L2327=""),0,IF(AND(TRIM(C2327)=TRIM(RIGHT(SUBSTITUTE(TRIM('02_대상물건입력'!$B$7)," ",REPT(" ",99)),99)),IF('02_대상물건입력'!B15="",TRUE(),ISNUMBER(SEARCH('02_대상물건입력'!B15,L2327)))),1,0))</f>
        <v/>
      </c>
      <c r="R2327" s="175">
        <f>IFERROR(ABS(E2327-'02_대상물건입력'!B11)/'02_대상물건입력'!B11,"")</f>
        <v/>
      </c>
      <c r="S2327" s="152">
        <f>IFERROR(ABS(J2327-'02_대상물건입력'!B10),"")</f>
        <v/>
      </c>
      <c r="T2327" s="152">
        <f>IFERROR(ABS('01_설정'!B4-F2327),"")</f>
        <v/>
      </c>
      <c r="U2327" s="152">
        <f>IFERROR(ABS(K2327-YEAR('02_대상물건입력'!B14)),"")</f>
        <v/>
      </c>
      <c r="V2327" s="152">
        <f>IF(B2327="","",IF(AND(E2327&gt;0,F2327&gt;0,H2327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2327=1,TRUE()),R2327&lt;='01_설정'!B5,S2327&lt;='01_설정'!B6,T2327&lt;='01_설정'!B7,U2327&lt;='01_설정'!B8),"Y",""))</f>
        <v/>
      </c>
      <c r="W2327" s="172">
        <f>IF(V2327&lt;&gt;"Y","",MAX(0,(1-R2327/'01_설정'!B5))*'01_설정'!B14+MAX(0,(1-S2327/'01_설정'!B6))*'01_설정'!B15+MAX(0,(1-T2327/'01_설정'!B7))*'01_설정'!B16+MAX(0,(1-U2327/'01_설정'!B8))*'01_설정'!B17+O2327*'01_설정'!B11+Q2327*'01_설정'!B12+P2327*'01_설정'!B13+IF(Z2327="",0,Z2327))</f>
        <v/>
      </c>
      <c r="X2327" s="152">
        <f>IF(W2327="","",1+COUNTIFS($W$4:$W$3003,"&gt;"&amp;W2327)+COUNTIFS($W$4:W2327,W2327)-1)</f>
        <v/>
      </c>
      <c r="Y2327" s="175">
        <f>IF(OR(I2327="",'02_대상물건입력'!B19="",'02_대상물건입력'!B19&lt;=0),"",ABS(I2327-'02_대상물건입력'!B19)/'02_대상물건입력'!B19)</f>
        <v/>
      </c>
      <c r="Z2327" s="172">
        <f>IF(OR(Y2327="",'01_설정'!B31="",'01_설정'!B31&lt;=0,'01_설정'!B32="",'01_설정'!B32&lt;=0),"",MAX(0,(1-Y2327/'01_설정'!B32))*'01_설정'!B31)</f>
        <v/>
      </c>
    </row>
    <row r="2328" ht="17.25" customHeight="1">
      <c r="A2328" s="152">
        <f>IF(INDEX('04A_국토부원자료'!$A:$A,ROW()+1)="","",ROW()-3)</f>
        <v/>
      </c>
      <c r="B2328" s="48">
        <f>IFERROR(INDEX('04A_국토부원자료'!$A:$T,ROW()+1,MATCH("시군구",'04A_국토부원자료'!$A$4:$T$4,0)),"")</f>
        <v/>
      </c>
      <c r="C2328" s="48">
        <f>IF(B2328="","",IFERROR(INDEX('04A_국토부원자료'!$A:$T,ROW()+1,MATCH("번지",'04A_국토부원자료'!$A$4:$T$4,0)),""))</f>
        <v/>
      </c>
      <c r="D2328" s="48">
        <f>IF(B2328="","",IF(Q2328=1,'02_대상물건입력'!$B$8,IFERROR(INDEX('04A_국토부원자료'!$A:$T,ROW()+1,MATCH("단지명",'04A_국토부원자료'!$A$4:$T$4,0)),"")))</f>
        <v/>
      </c>
      <c r="E2328" s="172">
        <f>IFERROR(VALUE(SUBSTITUTE(INDEX('04A_국토부원자료'!$A:$T,ROW()+1,MATCH("전용면적(㎡)",'04A_국토부원자료'!$A$4:$T$4,0)),",","")),"")</f>
        <v/>
      </c>
      <c r="F23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28" s="51">
        <f>IFERROR(VALUE(SUBSTITUTE(INDEX('04A_국토부원자료'!$A:$T,ROW()+1,MATCH("거래금액(만원)",'04A_국토부원자료'!$A$4:$T$4,0)),",","")),"")</f>
        <v/>
      </c>
      <c r="H2328" s="174">
        <f>IF(G2328="","",G2328*10000)</f>
        <v/>
      </c>
      <c r="I2328" s="174">
        <f>IFERROR(IF(AND(H2328&gt;0,E2328&gt;0),H2328/E2328,""),"")</f>
        <v/>
      </c>
      <c r="J2328" s="152">
        <f>IFERROR(VALUE(SUBSTITUTE(INDEX('04A_국토부원자료'!$A:$T,ROW()+1,MATCH("층",'04A_국토부원자료'!$A$4:$T$4,0)),",","")),"")</f>
        <v/>
      </c>
      <c r="K2328" s="152">
        <f>IFERROR(VALUE(SUBSTITUTE(INDEX('04A_국토부원자료'!$A:$T,ROW()+1,MATCH("건축년도",'04A_국토부원자료'!$A$4:$T$4,0)),",","")),"")</f>
        <v/>
      </c>
      <c r="L2328" s="48">
        <f>IFERROR(INDEX('04A_국토부원자료'!$A:$T,ROW()+1,MATCH("도로명",'04A_국토부원자료'!$A$4:$T$4,0)),"")</f>
        <v/>
      </c>
      <c r="M2328" s="48">
        <f>IFERROR(INDEX('04A_국토부원자료'!$A:$T,ROW()+1,MATCH("거래유형",'04A_국토부원자료'!$A$4:$T$4,0)),"")</f>
        <v/>
      </c>
      <c r="N2328" s="152">
        <f>IF(B2328="","",IF('02_대상물건입력'!B5="",1,IF(ISNUMBER(SEARCH('02_대상물건입력'!B5,B2328)),1,0)))</f>
        <v/>
      </c>
      <c r="O2328" s="152">
        <f>IF(B2328="","",IF('02_대상물건입력'!B6="",1,IF(ISNUMBER(SEARCH('02_대상물건입력'!B6,B2328)),1,0)))</f>
        <v/>
      </c>
      <c r="P2328" s="152">
        <f>IF(L2328="","",IF('02_대상물건입력'!B15="",0,IF(ISNUMBER(SEARCH('02_대상물건입력'!B15,L2328)),1,0)))</f>
        <v/>
      </c>
      <c r="Q2328" s="152">
        <f>IF(OR(C2328="",L2328=""),0,IF(AND(TRIM(C2328)=TRIM(RIGHT(SUBSTITUTE(TRIM('02_대상물건입력'!$B$7)," ",REPT(" ",99)),99)),IF('02_대상물건입력'!B15="",TRUE(),ISNUMBER(SEARCH('02_대상물건입력'!B15,L2328)))),1,0))</f>
        <v/>
      </c>
      <c r="R2328" s="175">
        <f>IFERROR(ABS(E2328-'02_대상물건입력'!B11)/'02_대상물건입력'!B11,"")</f>
        <v/>
      </c>
      <c r="S2328" s="152">
        <f>IFERROR(ABS(J2328-'02_대상물건입력'!B10),"")</f>
        <v/>
      </c>
      <c r="T2328" s="152">
        <f>IFERROR(ABS('01_설정'!B4-F2328),"")</f>
        <v/>
      </c>
      <c r="U2328" s="152">
        <f>IFERROR(ABS(K2328-YEAR('02_대상물건입력'!B14)),"")</f>
        <v/>
      </c>
      <c r="V2328" s="152">
        <f>IF(B2328="","",IF(AND(E2328&gt;0,F2328&gt;0,H2328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2328=1,TRUE()),R2328&lt;='01_설정'!B5,S2328&lt;='01_설정'!B6,T2328&lt;='01_설정'!B7,U2328&lt;='01_설정'!B8),"Y",""))</f>
        <v/>
      </c>
      <c r="W2328" s="172">
        <f>IF(V2328&lt;&gt;"Y","",MAX(0,(1-R2328/'01_설정'!B5))*'01_설정'!B14+MAX(0,(1-S2328/'01_설정'!B6))*'01_설정'!B15+MAX(0,(1-T2328/'01_설정'!B7))*'01_설정'!B16+MAX(0,(1-U2328/'01_설정'!B8))*'01_설정'!B17+O2328*'01_설정'!B11+Q2328*'01_설정'!B12+P2328*'01_설정'!B13+IF(Z2328="",0,Z2328))</f>
        <v/>
      </c>
      <c r="X2328" s="152">
        <f>IF(W2328="","",1+COUNTIFS($W$4:$W$3003,"&gt;"&amp;W2328)+COUNTIFS($W$4:W2328,W2328)-1)</f>
        <v/>
      </c>
      <c r="Y2328" s="175">
        <f>IF(OR(I2328="",'02_대상물건입력'!B19="",'02_대상물건입력'!B19&lt;=0),"",ABS(I2328-'02_대상물건입력'!B19)/'02_대상물건입력'!B19)</f>
        <v/>
      </c>
      <c r="Z2328" s="172">
        <f>IF(OR(Y2328="",'01_설정'!B31="",'01_설정'!B31&lt;=0,'01_설정'!B32="",'01_설정'!B32&lt;=0),"",MAX(0,(1-Y2328/'01_설정'!B32))*'01_설정'!B31)</f>
        <v/>
      </c>
    </row>
    <row r="2329" ht="17.25" customHeight="1">
      <c r="A2329" s="152">
        <f>IF(INDEX('04A_국토부원자료'!$A:$A,ROW()+1)="","",ROW()-3)</f>
        <v/>
      </c>
      <c r="B2329" s="48">
        <f>IFERROR(INDEX('04A_국토부원자료'!$A:$T,ROW()+1,MATCH("시군구",'04A_국토부원자료'!$A$4:$T$4,0)),"")</f>
        <v/>
      </c>
      <c r="C2329" s="48">
        <f>IF(B2329="","",IFERROR(INDEX('04A_국토부원자료'!$A:$T,ROW()+1,MATCH("번지",'04A_국토부원자료'!$A$4:$T$4,0)),""))</f>
        <v/>
      </c>
      <c r="D2329" s="48">
        <f>IF(B2329="","",IF(Q2329=1,'02_대상물건입력'!$B$8,IFERROR(INDEX('04A_국토부원자료'!$A:$T,ROW()+1,MATCH("단지명",'04A_국토부원자료'!$A$4:$T$4,0)),"")))</f>
        <v/>
      </c>
      <c r="E2329" s="172">
        <f>IFERROR(VALUE(SUBSTITUTE(INDEX('04A_국토부원자료'!$A:$T,ROW()+1,MATCH("전용면적(㎡)",'04A_국토부원자료'!$A$4:$T$4,0)),",","")),"")</f>
        <v/>
      </c>
      <c r="F23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29" s="51">
        <f>IFERROR(VALUE(SUBSTITUTE(INDEX('04A_국토부원자료'!$A:$T,ROW()+1,MATCH("거래금액(만원)",'04A_국토부원자료'!$A$4:$T$4,0)),",","")),"")</f>
        <v/>
      </c>
      <c r="H2329" s="174">
        <f>IF(G2329="","",G2329*10000)</f>
        <v/>
      </c>
      <c r="I2329" s="174">
        <f>IFERROR(IF(AND(H2329&gt;0,E2329&gt;0),H2329/E2329,""),"")</f>
        <v/>
      </c>
      <c r="J2329" s="152">
        <f>IFERROR(VALUE(SUBSTITUTE(INDEX('04A_국토부원자료'!$A:$T,ROW()+1,MATCH("층",'04A_국토부원자료'!$A$4:$T$4,0)),",","")),"")</f>
        <v/>
      </c>
      <c r="K2329" s="152">
        <f>IFERROR(VALUE(SUBSTITUTE(INDEX('04A_국토부원자료'!$A:$T,ROW()+1,MATCH("건축년도",'04A_국토부원자료'!$A$4:$T$4,0)),",","")),"")</f>
        <v/>
      </c>
      <c r="L2329" s="48">
        <f>IFERROR(INDEX('04A_국토부원자료'!$A:$T,ROW()+1,MATCH("도로명",'04A_국토부원자료'!$A$4:$T$4,0)),"")</f>
        <v/>
      </c>
      <c r="M2329" s="48">
        <f>IFERROR(INDEX('04A_국토부원자료'!$A:$T,ROW()+1,MATCH("거래유형",'04A_국토부원자료'!$A$4:$T$4,0)),"")</f>
        <v/>
      </c>
      <c r="N2329" s="152">
        <f>IF(B2329="","",IF('02_대상물건입력'!B5="",1,IF(ISNUMBER(SEARCH('02_대상물건입력'!B5,B2329)),1,0)))</f>
        <v/>
      </c>
      <c r="O2329" s="152">
        <f>IF(B2329="","",IF('02_대상물건입력'!B6="",1,IF(ISNUMBER(SEARCH('02_대상물건입력'!B6,B2329)),1,0)))</f>
        <v/>
      </c>
      <c r="P2329" s="152">
        <f>IF(L2329="","",IF('02_대상물건입력'!B15="",0,IF(ISNUMBER(SEARCH('02_대상물건입력'!B15,L2329)),1,0)))</f>
        <v/>
      </c>
      <c r="Q2329" s="152">
        <f>IF(OR(C2329="",L2329=""),0,IF(AND(TRIM(C2329)=TRIM(RIGHT(SUBSTITUTE(TRIM('02_대상물건입력'!$B$7)," ",REPT(" ",99)),99)),IF('02_대상물건입력'!B15="",TRUE(),ISNUMBER(SEARCH('02_대상물건입력'!B15,L2329)))),1,0))</f>
        <v/>
      </c>
      <c r="R2329" s="175">
        <f>IFERROR(ABS(E2329-'02_대상물건입력'!B11)/'02_대상물건입력'!B11,"")</f>
        <v/>
      </c>
      <c r="S2329" s="152">
        <f>IFERROR(ABS(J2329-'02_대상물건입력'!B10),"")</f>
        <v/>
      </c>
      <c r="T2329" s="152">
        <f>IFERROR(ABS('01_설정'!B4-F2329),"")</f>
        <v/>
      </c>
      <c r="U2329" s="152">
        <f>IFERROR(ABS(K2329-YEAR('02_대상물건입력'!B14)),"")</f>
        <v/>
      </c>
      <c r="V2329" s="152">
        <f>IF(B2329="","",IF(AND(E2329&gt;0,F2329&gt;0,H2329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2329=1,TRUE()),R2329&lt;='01_설정'!B5,S2329&lt;='01_설정'!B6,T2329&lt;='01_설정'!B7,U2329&lt;='01_설정'!B8),"Y",""))</f>
        <v/>
      </c>
      <c r="W2329" s="172">
        <f>IF(V2329&lt;&gt;"Y","",MAX(0,(1-R2329/'01_설정'!B5))*'01_설정'!B14+MAX(0,(1-S2329/'01_설정'!B6))*'01_설정'!B15+MAX(0,(1-T2329/'01_설정'!B7))*'01_설정'!B16+MAX(0,(1-U2329/'01_설정'!B8))*'01_설정'!B17+O2329*'01_설정'!B11+Q2329*'01_설정'!B12+P2329*'01_설정'!B13+IF(Z2329="",0,Z2329))</f>
        <v/>
      </c>
      <c r="X2329" s="152">
        <f>IF(W2329="","",1+COUNTIFS($W$4:$W$3003,"&gt;"&amp;W2329)+COUNTIFS($W$4:W2329,W2329)-1)</f>
        <v/>
      </c>
      <c r="Y2329" s="175">
        <f>IF(OR(I2329="",'02_대상물건입력'!B19="",'02_대상물건입력'!B19&lt;=0),"",ABS(I2329-'02_대상물건입력'!B19)/'02_대상물건입력'!B19)</f>
        <v/>
      </c>
      <c r="Z2329" s="172">
        <f>IF(OR(Y2329="",'01_설정'!B31="",'01_설정'!B31&lt;=0,'01_설정'!B32="",'01_설정'!B32&lt;=0),"",MAX(0,(1-Y2329/'01_설정'!B32))*'01_설정'!B31)</f>
        <v/>
      </c>
    </row>
    <row r="2330" ht="17.25" customHeight="1">
      <c r="A2330" s="152">
        <f>IF(INDEX('04A_국토부원자료'!$A:$A,ROW()+1)="","",ROW()-3)</f>
        <v/>
      </c>
      <c r="B2330" s="48">
        <f>IFERROR(INDEX('04A_국토부원자료'!$A:$T,ROW()+1,MATCH("시군구",'04A_국토부원자료'!$A$4:$T$4,0)),"")</f>
        <v/>
      </c>
      <c r="C2330" s="48">
        <f>IF(B2330="","",IFERROR(INDEX('04A_국토부원자료'!$A:$T,ROW()+1,MATCH("번지",'04A_국토부원자료'!$A$4:$T$4,0)),""))</f>
        <v/>
      </c>
      <c r="D2330" s="48">
        <f>IF(B2330="","",IF(Q2330=1,'02_대상물건입력'!$B$8,IFERROR(INDEX('04A_국토부원자료'!$A:$T,ROW()+1,MATCH("단지명",'04A_국토부원자료'!$A$4:$T$4,0)),"")))</f>
        <v/>
      </c>
      <c r="E2330" s="172">
        <f>IFERROR(VALUE(SUBSTITUTE(INDEX('04A_국토부원자료'!$A:$T,ROW()+1,MATCH("전용면적(㎡)",'04A_국토부원자료'!$A$4:$T$4,0)),",","")),"")</f>
        <v/>
      </c>
      <c r="F23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30" s="51">
        <f>IFERROR(VALUE(SUBSTITUTE(INDEX('04A_국토부원자료'!$A:$T,ROW()+1,MATCH("거래금액(만원)",'04A_국토부원자료'!$A$4:$T$4,0)),",","")),"")</f>
        <v/>
      </c>
      <c r="H2330" s="174">
        <f>IF(G2330="","",G2330*10000)</f>
        <v/>
      </c>
      <c r="I2330" s="174">
        <f>IFERROR(IF(AND(H2330&gt;0,E2330&gt;0),H2330/E2330,""),"")</f>
        <v/>
      </c>
      <c r="J2330" s="152">
        <f>IFERROR(VALUE(SUBSTITUTE(INDEX('04A_국토부원자료'!$A:$T,ROW()+1,MATCH("층",'04A_국토부원자료'!$A$4:$T$4,0)),",","")),"")</f>
        <v/>
      </c>
      <c r="K2330" s="152">
        <f>IFERROR(VALUE(SUBSTITUTE(INDEX('04A_국토부원자료'!$A:$T,ROW()+1,MATCH("건축년도",'04A_국토부원자료'!$A$4:$T$4,0)),",","")),"")</f>
        <v/>
      </c>
      <c r="L2330" s="48">
        <f>IFERROR(INDEX('04A_국토부원자료'!$A:$T,ROW()+1,MATCH("도로명",'04A_국토부원자료'!$A$4:$T$4,0)),"")</f>
        <v/>
      </c>
      <c r="M2330" s="48">
        <f>IFERROR(INDEX('04A_국토부원자료'!$A:$T,ROW()+1,MATCH("거래유형",'04A_국토부원자료'!$A$4:$T$4,0)),"")</f>
        <v/>
      </c>
      <c r="N2330" s="152">
        <f>IF(B2330="","",IF('02_대상물건입력'!B5="",1,IF(ISNUMBER(SEARCH('02_대상물건입력'!B5,B2330)),1,0)))</f>
        <v/>
      </c>
      <c r="O2330" s="152">
        <f>IF(B2330="","",IF('02_대상물건입력'!B6="",1,IF(ISNUMBER(SEARCH('02_대상물건입력'!B6,B2330)),1,0)))</f>
        <v/>
      </c>
      <c r="P2330" s="152">
        <f>IF(L2330="","",IF('02_대상물건입력'!B15="",0,IF(ISNUMBER(SEARCH('02_대상물건입력'!B15,L2330)),1,0)))</f>
        <v/>
      </c>
      <c r="Q2330" s="152">
        <f>IF(OR(C2330="",L2330=""),0,IF(AND(TRIM(C2330)=TRIM(RIGHT(SUBSTITUTE(TRIM('02_대상물건입력'!$B$7)," ",REPT(" ",99)),99)),IF('02_대상물건입력'!B15="",TRUE(),ISNUMBER(SEARCH('02_대상물건입력'!B15,L2330)))),1,0))</f>
        <v/>
      </c>
      <c r="R2330" s="175">
        <f>IFERROR(ABS(E2330-'02_대상물건입력'!B11)/'02_대상물건입력'!B11,"")</f>
        <v/>
      </c>
      <c r="S2330" s="152">
        <f>IFERROR(ABS(J2330-'02_대상물건입력'!B10),"")</f>
        <v/>
      </c>
      <c r="T2330" s="152">
        <f>IFERROR(ABS('01_설정'!B4-F2330),"")</f>
        <v/>
      </c>
      <c r="U2330" s="152">
        <f>IFERROR(ABS(K2330-YEAR('02_대상물건입력'!B14)),"")</f>
        <v/>
      </c>
      <c r="V2330" s="152">
        <f>IF(B2330="","",IF(AND(E2330&gt;0,F2330&gt;0,H2330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2330=1,TRUE()),R2330&lt;='01_설정'!B5,S2330&lt;='01_설정'!B6,T2330&lt;='01_설정'!B7,U2330&lt;='01_설정'!B8),"Y",""))</f>
        <v/>
      </c>
      <c r="W2330" s="172">
        <f>IF(V2330&lt;&gt;"Y","",MAX(0,(1-R2330/'01_설정'!B5))*'01_설정'!B14+MAX(0,(1-S2330/'01_설정'!B6))*'01_설정'!B15+MAX(0,(1-T2330/'01_설정'!B7))*'01_설정'!B16+MAX(0,(1-U2330/'01_설정'!B8))*'01_설정'!B17+O2330*'01_설정'!B11+Q2330*'01_설정'!B12+P2330*'01_설정'!B13+IF(Z2330="",0,Z2330))</f>
        <v/>
      </c>
      <c r="X2330" s="152">
        <f>IF(W2330="","",1+COUNTIFS($W$4:$W$3003,"&gt;"&amp;W2330)+COUNTIFS($W$4:W2330,W2330)-1)</f>
        <v/>
      </c>
      <c r="Y2330" s="175">
        <f>IF(OR(I2330="",'02_대상물건입력'!B19="",'02_대상물건입력'!B19&lt;=0),"",ABS(I2330-'02_대상물건입력'!B19)/'02_대상물건입력'!B19)</f>
        <v/>
      </c>
      <c r="Z2330" s="172">
        <f>IF(OR(Y2330="",'01_설정'!B31="",'01_설정'!B31&lt;=0,'01_설정'!B32="",'01_설정'!B32&lt;=0),"",MAX(0,(1-Y2330/'01_설정'!B32))*'01_설정'!B31)</f>
        <v/>
      </c>
    </row>
    <row r="2331" ht="17.25" customHeight="1">
      <c r="A2331" s="152">
        <f>IF(INDEX('04A_국토부원자료'!$A:$A,ROW()+1)="","",ROW()-3)</f>
        <v/>
      </c>
      <c r="B2331" s="48">
        <f>IFERROR(INDEX('04A_국토부원자료'!$A:$T,ROW()+1,MATCH("시군구",'04A_국토부원자료'!$A$4:$T$4,0)),"")</f>
        <v/>
      </c>
      <c r="C2331" s="48">
        <f>IF(B2331="","",IFERROR(INDEX('04A_국토부원자료'!$A:$T,ROW()+1,MATCH("번지",'04A_국토부원자료'!$A$4:$T$4,0)),""))</f>
        <v/>
      </c>
      <c r="D2331" s="48">
        <f>IF(B2331="","",IF(Q2331=1,'02_대상물건입력'!$B$8,IFERROR(INDEX('04A_국토부원자료'!$A:$T,ROW()+1,MATCH("단지명",'04A_국토부원자료'!$A$4:$T$4,0)),"")))</f>
        <v/>
      </c>
      <c r="E2331" s="172">
        <f>IFERROR(VALUE(SUBSTITUTE(INDEX('04A_국토부원자료'!$A:$T,ROW()+1,MATCH("전용면적(㎡)",'04A_국토부원자료'!$A$4:$T$4,0)),",","")),"")</f>
        <v/>
      </c>
      <c r="F23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31" s="51">
        <f>IFERROR(VALUE(SUBSTITUTE(INDEX('04A_국토부원자료'!$A:$T,ROW()+1,MATCH("거래금액(만원)",'04A_국토부원자료'!$A$4:$T$4,0)),",","")),"")</f>
        <v/>
      </c>
      <c r="H2331" s="174">
        <f>IF(G2331="","",G2331*10000)</f>
        <v/>
      </c>
      <c r="I2331" s="174">
        <f>IFERROR(IF(AND(H2331&gt;0,E2331&gt;0),H2331/E2331,""),"")</f>
        <v/>
      </c>
      <c r="J2331" s="152">
        <f>IFERROR(VALUE(SUBSTITUTE(INDEX('04A_국토부원자료'!$A:$T,ROW()+1,MATCH("층",'04A_국토부원자료'!$A$4:$T$4,0)),",","")),"")</f>
        <v/>
      </c>
      <c r="K2331" s="152">
        <f>IFERROR(VALUE(SUBSTITUTE(INDEX('04A_국토부원자료'!$A:$T,ROW()+1,MATCH("건축년도",'04A_국토부원자료'!$A$4:$T$4,0)),",","")),"")</f>
        <v/>
      </c>
      <c r="L2331" s="48">
        <f>IFERROR(INDEX('04A_국토부원자료'!$A:$T,ROW()+1,MATCH("도로명",'04A_국토부원자료'!$A$4:$T$4,0)),"")</f>
        <v/>
      </c>
      <c r="M2331" s="48">
        <f>IFERROR(INDEX('04A_국토부원자료'!$A:$T,ROW()+1,MATCH("거래유형",'04A_국토부원자료'!$A$4:$T$4,0)),"")</f>
        <v/>
      </c>
      <c r="N2331" s="152">
        <f>IF(B2331="","",IF('02_대상물건입력'!B5="",1,IF(ISNUMBER(SEARCH('02_대상물건입력'!B5,B2331)),1,0)))</f>
        <v/>
      </c>
      <c r="O2331" s="152">
        <f>IF(B2331="","",IF('02_대상물건입력'!B6="",1,IF(ISNUMBER(SEARCH('02_대상물건입력'!B6,B2331)),1,0)))</f>
        <v/>
      </c>
      <c r="P2331" s="152">
        <f>IF(L2331="","",IF('02_대상물건입력'!B15="",0,IF(ISNUMBER(SEARCH('02_대상물건입력'!B15,L2331)),1,0)))</f>
        <v/>
      </c>
      <c r="Q2331" s="152">
        <f>IF(OR(C2331="",L2331=""),0,IF(AND(TRIM(C2331)=TRIM(RIGHT(SUBSTITUTE(TRIM('02_대상물건입력'!$B$7)," ",REPT(" ",99)),99)),IF('02_대상물건입력'!B15="",TRUE(),ISNUMBER(SEARCH('02_대상물건입력'!B15,L2331)))),1,0))</f>
        <v/>
      </c>
      <c r="R2331" s="175">
        <f>IFERROR(ABS(E2331-'02_대상물건입력'!B11)/'02_대상물건입력'!B11,"")</f>
        <v/>
      </c>
      <c r="S2331" s="152">
        <f>IFERROR(ABS(J2331-'02_대상물건입력'!B10),"")</f>
        <v/>
      </c>
      <c r="T2331" s="152">
        <f>IFERROR(ABS('01_설정'!B4-F2331),"")</f>
        <v/>
      </c>
      <c r="U2331" s="152">
        <f>IFERROR(ABS(K2331-YEAR('02_대상물건입력'!B14)),"")</f>
        <v/>
      </c>
      <c r="V2331" s="152">
        <f>IF(B2331="","",IF(AND(E2331&gt;0,F2331&gt;0,H2331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2331=1,TRUE()),R2331&lt;='01_설정'!B5,S2331&lt;='01_설정'!B6,T2331&lt;='01_설정'!B7,U2331&lt;='01_설정'!B8),"Y",""))</f>
        <v/>
      </c>
      <c r="W2331" s="172">
        <f>IF(V2331&lt;&gt;"Y","",MAX(0,(1-R2331/'01_설정'!B5))*'01_설정'!B14+MAX(0,(1-S2331/'01_설정'!B6))*'01_설정'!B15+MAX(0,(1-T2331/'01_설정'!B7))*'01_설정'!B16+MAX(0,(1-U2331/'01_설정'!B8))*'01_설정'!B17+O2331*'01_설정'!B11+Q2331*'01_설정'!B12+P2331*'01_설정'!B13+IF(Z2331="",0,Z2331))</f>
        <v/>
      </c>
      <c r="X2331" s="152">
        <f>IF(W2331="","",1+COUNTIFS($W$4:$W$3003,"&gt;"&amp;W2331)+COUNTIFS($W$4:W2331,W2331)-1)</f>
        <v/>
      </c>
      <c r="Y2331" s="175">
        <f>IF(OR(I2331="",'02_대상물건입력'!B19="",'02_대상물건입력'!B19&lt;=0),"",ABS(I2331-'02_대상물건입력'!B19)/'02_대상물건입력'!B19)</f>
        <v/>
      </c>
      <c r="Z2331" s="172">
        <f>IF(OR(Y2331="",'01_설정'!B31="",'01_설정'!B31&lt;=0,'01_설정'!B32="",'01_설정'!B32&lt;=0),"",MAX(0,(1-Y2331/'01_설정'!B32))*'01_설정'!B31)</f>
        <v/>
      </c>
    </row>
    <row r="2332" ht="17.25" customHeight="1">
      <c r="A2332" s="152">
        <f>IF(INDEX('04A_국토부원자료'!$A:$A,ROW()+1)="","",ROW()-3)</f>
        <v/>
      </c>
      <c r="B2332" s="48">
        <f>IFERROR(INDEX('04A_국토부원자료'!$A:$T,ROW()+1,MATCH("시군구",'04A_국토부원자료'!$A$4:$T$4,0)),"")</f>
        <v/>
      </c>
      <c r="C2332" s="48">
        <f>IF(B2332="","",IFERROR(INDEX('04A_국토부원자료'!$A:$T,ROW()+1,MATCH("번지",'04A_국토부원자료'!$A$4:$T$4,0)),""))</f>
        <v/>
      </c>
      <c r="D2332" s="48">
        <f>IF(B2332="","",IF(Q2332=1,'02_대상물건입력'!$B$8,IFERROR(INDEX('04A_국토부원자료'!$A:$T,ROW()+1,MATCH("단지명",'04A_국토부원자료'!$A$4:$T$4,0)),"")))</f>
        <v/>
      </c>
      <c r="E2332" s="172">
        <f>IFERROR(VALUE(SUBSTITUTE(INDEX('04A_국토부원자료'!$A:$T,ROW()+1,MATCH("전용면적(㎡)",'04A_국토부원자료'!$A$4:$T$4,0)),",","")),"")</f>
        <v/>
      </c>
      <c r="F23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32" s="51">
        <f>IFERROR(VALUE(SUBSTITUTE(INDEX('04A_국토부원자료'!$A:$T,ROW()+1,MATCH("거래금액(만원)",'04A_국토부원자료'!$A$4:$T$4,0)),",","")),"")</f>
        <v/>
      </c>
      <c r="H2332" s="174">
        <f>IF(G2332="","",G2332*10000)</f>
        <v/>
      </c>
      <c r="I2332" s="174">
        <f>IFERROR(IF(AND(H2332&gt;0,E2332&gt;0),H2332/E2332,""),"")</f>
        <v/>
      </c>
      <c r="J2332" s="152">
        <f>IFERROR(VALUE(SUBSTITUTE(INDEX('04A_국토부원자료'!$A:$T,ROW()+1,MATCH("층",'04A_국토부원자료'!$A$4:$T$4,0)),",","")),"")</f>
        <v/>
      </c>
      <c r="K2332" s="152">
        <f>IFERROR(VALUE(SUBSTITUTE(INDEX('04A_국토부원자료'!$A:$T,ROW()+1,MATCH("건축년도",'04A_국토부원자료'!$A$4:$T$4,0)),",","")),"")</f>
        <v/>
      </c>
      <c r="L2332" s="48">
        <f>IFERROR(INDEX('04A_국토부원자료'!$A:$T,ROW()+1,MATCH("도로명",'04A_국토부원자료'!$A$4:$T$4,0)),"")</f>
        <v/>
      </c>
      <c r="M2332" s="48">
        <f>IFERROR(INDEX('04A_국토부원자료'!$A:$T,ROW()+1,MATCH("거래유형",'04A_국토부원자료'!$A$4:$T$4,0)),"")</f>
        <v/>
      </c>
      <c r="N2332" s="152">
        <f>IF(B2332="","",IF('02_대상물건입력'!B5="",1,IF(ISNUMBER(SEARCH('02_대상물건입력'!B5,B2332)),1,0)))</f>
        <v/>
      </c>
      <c r="O2332" s="152">
        <f>IF(B2332="","",IF('02_대상물건입력'!B6="",1,IF(ISNUMBER(SEARCH('02_대상물건입력'!B6,B2332)),1,0)))</f>
        <v/>
      </c>
      <c r="P2332" s="152">
        <f>IF(L2332="","",IF('02_대상물건입력'!B15="",0,IF(ISNUMBER(SEARCH('02_대상물건입력'!B15,L2332)),1,0)))</f>
        <v/>
      </c>
      <c r="Q2332" s="152">
        <f>IF(OR(C2332="",L2332=""),0,IF(AND(TRIM(C2332)=TRIM(RIGHT(SUBSTITUTE(TRIM('02_대상물건입력'!$B$7)," ",REPT(" ",99)),99)),IF('02_대상물건입력'!B15="",TRUE(),ISNUMBER(SEARCH('02_대상물건입력'!B15,L2332)))),1,0))</f>
        <v/>
      </c>
      <c r="R2332" s="175">
        <f>IFERROR(ABS(E2332-'02_대상물건입력'!B11)/'02_대상물건입력'!B11,"")</f>
        <v/>
      </c>
      <c r="S2332" s="152">
        <f>IFERROR(ABS(J2332-'02_대상물건입력'!B10),"")</f>
        <v/>
      </c>
      <c r="T2332" s="152">
        <f>IFERROR(ABS('01_설정'!B4-F2332),"")</f>
        <v/>
      </c>
      <c r="U2332" s="152">
        <f>IFERROR(ABS(K2332-YEAR('02_대상물건입력'!B14)),"")</f>
        <v/>
      </c>
      <c r="V2332" s="152">
        <f>IF(B2332="","",IF(AND(E2332&gt;0,F2332&gt;0,H2332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2332=1,TRUE()),R2332&lt;='01_설정'!B5,S2332&lt;='01_설정'!B6,T2332&lt;='01_설정'!B7,U2332&lt;='01_설정'!B8),"Y",""))</f>
        <v/>
      </c>
      <c r="W2332" s="172">
        <f>IF(V2332&lt;&gt;"Y","",MAX(0,(1-R2332/'01_설정'!B5))*'01_설정'!B14+MAX(0,(1-S2332/'01_설정'!B6))*'01_설정'!B15+MAX(0,(1-T2332/'01_설정'!B7))*'01_설정'!B16+MAX(0,(1-U2332/'01_설정'!B8))*'01_설정'!B17+O2332*'01_설정'!B11+Q2332*'01_설정'!B12+P2332*'01_설정'!B13+IF(Z2332="",0,Z2332))</f>
        <v/>
      </c>
      <c r="X2332" s="152">
        <f>IF(W2332="","",1+COUNTIFS($W$4:$W$3003,"&gt;"&amp;W2332)+COUNTIFS($W$4:W2332,W2332)-1)</f>
        <v/>
      </c>
      <c r="Y2332" s="175">
        <f>IF(OR(I2332="",'02_대상물건입력'!B19="",'02_대상물건입력'!B19&lt;=0),"",ABS(I2332-'02_대상물건입력'!B19)/'02_대상물건입력'!B19)</f>
        <v/>
      </c>
      <c r="Z2332" s="172">
        <f>IF(OR(Y2332="",'01_설정'!B31="",'01_설정'!B31&lt;=0,'01_설정'!B32="",'01_설정'!B32&lt;=0),"",MAX(0,(1-Y2332/'01_설정'!B32))*'01_설정'!B31)</f>
        <v/>
      </c>
    </row>
    <row r="2333" ht="17.25" customHeight="1">
      <c r="A2333" s="152">
        <f>IF(INDEX('04A_국토부원자료'!$A:$A,ROW()+1)="","",ROW()-3)</f>
        <v/>
      </c>
      <c r="B2333" s="48">
        <f>IFERROR(INDEX('04A_국토부원자료'!$A:$T,ROW()+1,MATCH("시군구",'04A_국토부원자료'!$A$4:$T$4,0)),"")</f>
        <v/>
      </c>
      <c r="C2333" s="48">
        <f>IF(B2333="","",IFERROR(INDEX('04A_국토부원자료'!$A:$T,ROW()+1,MATCH("번지",'04A_국토부원자료'!$A$4:$T$4,0)),""))</f>
        <v/>
      </c>
      <c r="D2333" s="48">
        <f>IF(B2333="","",IF(Q2333=1,'02_대상물건입력'!$B$8,IFERROR(INDEX('04A_국토부원자료'!$A:$T,ROW()+1,MATCH("단지명",'04A_국토부원자료'!$A$4:$T$4,0)),"")))</f>
        <v/>
      </c>
      <c r="E2333" s="172">
        <f>IFERROR(VALUE(SUBSTITUTE(INDEX('04A_국토부원자료'!$A:$T,ROW()+1,MATCH("전용면적(㎡)",'04A_국토부원자료'!$A$4:$T$4,0)),",","")),"")</f>
        <v/>
      </c>
      <c r="F23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33" s="51">
        <f>IFERROR(VALUE(SUBSTITUTE(INDEX('04A_국토부원자료'!$A:$T,ROW()+1,MATCH("거래금액(만원)",'04A_국토부원자료'!$A$4:$T$4,0)),",","")),"")</f>
        <v/>
      </c>
      <c r="H2333" s="174">
        <f>IF(G2333="","",G2333*10000)</f>
        <v/>
      </c>
      <c r="I2333" s="174">
        <f>IFERROR(IF(AND(H2333&gt;0,E2333&gt;0),H2333/E2333,""),"")</f>
        <v/>
      </c>
      <c r="J2333" s="152">
        <f>IFERROR(VALUE(SUBSTITUTE(INDEX('04A_국토부원자료'!$A:$T,ROW()+1,MATCH("층",'04A_국토부원자료'!$A$4:$T$4,0)),",","")),"")</f>
        <v/>
      </c>
      <c r="K2333" s="152">
        <f>IFERROR(VALUE(SUBSTITUTE(INDEX('04A_국토부원자료'!$A:$T,ROW()+1,MATCH("건축년도",'04A_국토부원자료'!$A$4:$T$4,0)),",","")),"")</f>
        <v/>
      </c>
      <c r="L2333" s="48">
        <f>IFERROR(INDEX('04A_국토부원자료'!$A:$T,ROW()+1,MATCH("도로명",'04A_국토부원자료'!$A$4:$T$4,0)),"")</f>
        <v/>
      </c>
      <c r="M2333" s="48">
        <f>IFERROR(INDEX('04A_국토부원자료'!$A:$T,ROW()+1,MATCH("거래유형",'04A_국토부원자료'!$A$4:$T$4,0)),"")</f>
        <v/>
      </c>
      <c r="N2333" s="152">
        <f>IF(B2333="","",IF('02_대상물건입력'!B5="",1,IF(ISNUMBER(SEARCH('02_대상물건입력'!B5,B2333)),1,0)))</f>
        <v/>
      </c>
      <c r="O2333" s="152">
        <f>IF(B2333="","",IF('02_대상물건입력'!B6="",1,IF(ISNUMBER(SEARCH('02_대상물건입력'!B6,B2333)),1,0)))</f>
        <v/>
      </c>
      <c r="P2333" s="152">
        <f>IF(L2333="","",IF('02_대상물건입력'!B15="",0,IF(ISNUMBER(SEARCH('02_대상물건입력'!B15,L2333)),1,0)))</f>
        <v/>
      </c>
      <c r="Q2333" s="152">
        <f>IF(OR(C2333="",L2333=""),0,IF(AND(TRIM(C2333)=TRIM(RIGHT(SUBSTITUTE(TRIM('02_대상물건입력'!$B$7)," ",REPT(" ",99)),99)),IF('02_대상물건입력'!B15="",TRUE(),ISNUMBER(SEARCH('02_대상물건입력'!B15,L2333)))),1,0))</f>
        <v/>
      </c>
      <c r="R2333" s="175">
        <f>IFERROR(ABS(E2333-'02_대상물건입력'!B11)/'02_대상물건입력'!B11,"")</f>
        <v/>
      </c>
      <c r="S2333" s="152">
        <f>IFERROR(ABS(J2333-'02_대상물건입력'!B10),"")</f>
        <v/>
      </c>
      <c r="T2333" s="152">
        <f>IFERROR(ABS('01_설정'!B4-F2333),"")</f>
        <v/>
      </c>
      <c r="U2333" s="152">
        <f>IFERROR(ABS(K2333-YEAR('02_대상물건입력'!B14)),"")</f>
        <v/>
      </c>
      <c r="V2333" s="152">
        <f>IF(B2333="","",IF(AND(E2333&gt;0,F2333&gt;0,H2333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2333=1,TRUE()),R2333&lt;='01_설정'!B5,S2333&lt;='01_설정'!B6,T2333&lt;='01_설정'!B7,U2333&lt;='01_설정'!B8),"Y",""))</f>
        <v/>
      </c>
      <c r="W2333" s="172">
        <f>IF(V2333&lt;&gt;"Y","",MAX(0,(1-R2333/'01_설정'!B5))*'01_설정'!B14+MAX(0,(1-S2333/'01_설정'!B6))*'01_설정'!B15+MAX(0,(1-T2333/'01_설정'!B7))*'01_설정'!B16+MAX(0,(1-U2333/'01_설정'!B8))*'01_설정'!B17+O2333*'01_설정'!B11+Q2333*'01_설정'!B12+P2333*'01_설정'!B13+IF(Z2333="",0,Z2333))</f>
        <v/>
      </c>
      <c r="X2333" s="152">
        <f>IF(W2333="","",1+COUNTIFS($W$4:$W$3003,"&gt;"&amp;W2333)+COUNTIFS($W$4:W2333,W2333)-1)</f>
        <v/>
      </c>
      <c r="Y2333" s="175">
        <f>IF(OR(I2333="",'02_대상물건입력'!B19="",'02_대상물건입력'!B19&lt;=0),"",ABS(I2333-'02_대상물건입력'!B19)/'02_대상물건입력'!B19)</f>
        <v/>
      </c>
      <c r="Z2333" s="172">
        <f>IF(OR(Y2333="",'01_설정'!B31="",'01_설정'!B31&lt;=0,'01_설정'!B32="",'01_설정'!B32&lt;=0),"",MAX(0,(1-Y2333/'01_설정'!B32))*'01_설정'!B31)</f>
        <v/>
      </c>
    </row>
    <row r="2334" ht="17.25" customHeight="1">
      <c r="A2334" s="152">
        <f>IF(INDEX('04A_국토부원자료'!$A:$A,ROW()+1)="","",ROW()-3)</f>
        <v/>
      </c>
      <c r="B2334" s="48">
        <f>IFERROR(INDEX('04A_국토부원자료'!$A:$T,ROW()+1,MATCH("시군구",'04A_국토부원자료'!$A$4:$T$4,0)),"")</f>
        <v/>
      </c>
      <c r="C2334" s="48">
        <f>IF(B2334="","",IFERROR(INDEX('04A_국토부원자료'!$A:$T,ROW()+1,MATCH("번지",'04A_국토부원자료'!$A$4:$T$4,0)),""))</f>
        <v/>
      </c>
      <c r="D2334" s="48">
        <f>IF(B2334="","",IF(Q2334=1,'02_대상물건입력'!$B$8,IFERROR(INDEX('04A_국토부원자료'!$A:$T,ROW()+1,MATCH("단지명",'04A_국토부원자료'!$A$4:$T$4,0)),"")))</f>
        <v/>
      </c>
      <c r="E2334" s="172">
        <f>IFERROR(VALUE(SUBSTITUTE(INDEX('04A_국토부원자료'!$A:$T,ROW()+1,MATCH("전용면적(㎡)",'04A_국토부원자료'!$A$4:$T$4,0)),",","")),"")</f>
        <v/>
      </c>
      <c r="F23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34" s="51">
        <f>IFERROR(VALUE(SUBSTITUTE(INDEX('04A_국토부원자료'!$A:$T,ROW()+1,MATCH("거래금액(만원)",'04A_국토부원자료'!$A$4:$T$4,0)),",","")),"")</f>
        <v/>
      </c>
      <c r="H2334" s="174">
        <f>IF(G2334="","",G2334*10000)</f>
        <v/>
      </c>
      <c r="I2334" s="174">
        <f>IFERROR(IF(AND(H2334&gt;0,E2334&gt;0),H2334/E2334,""),"")</f>
        <v/>
      </c>
      <c r="J2334" s="152">
        <f>IFERROR(VALUE(SUBSTITUTE(INDEX('04A_국토부원자료'!$A:$T,ROW()+1,MATCH("층",'04A_국토부원자료'!$A$4:$T$4,0)),",","")),"")</f>
        <v/>
      </c>
      <c r="K2334" s="152">
        <f>IFERROR(VALUE(SUBSTITUTE(INDEX('04A_국토부원자료'!$A:$T,ROW()+1,MATCH("건축년도",'04A_국토부원자료'!$A$4:$T$4,0)),",","")),"")</f>
        <v/>
      </c>
      <c r="L2334" s="48">
        <f>IFERROR(INDEX('04A_국토부원자료'!$A:$T,ROW()+1,MATCH("도로명",'04A_국토부원자료'!$A$4:$T$4,0)),"")</f>
        <v/>
      </c>
      <c r="M2334" s="48">
        <f>IFERROR(INDEX('04A_국토부원자료'!$A:$T,ROW()+1,MATCH("거래유형",'04A_국토부원자료'!$A$4:$T$4,0)),"")</f>
        <v/>
      </c>
      <c r="N2334" s="152">
        <f>IF(B2334="","",IF('02_대상물건입력'!B5="",1,IF(ISNUMBER(SEARCH('02_대상물건입력'!B5,B2334)),1,0)))</f>
        <v/>
      </c>
      <c r="O2334" s="152">
        <f>IF(B2334="","",IF('02_대상물건입력'!B6="",1,IF(ISNUMBER(SEARCH('02_대상물건입력'!B6,B2334)),1,0)))</f>
        <v/>
      </c>
      <c r="P2334" s="152">
        <f>IF(L2334="","",IF('02_대상물건입력'!B15="",0,IF(ISNUMBER(SEARCH('02_대상물건입력'!B15,L2334)),1,0)))</f>
        <v/>
      </c>
      <c r="Q2334" s="152">
        <f>IF(OR(C2334="",L2334=""),0,IF(AND(TRIM(C2334)=TRIM(RIGHT(SUBSTITUTE(TRIM('02_대상물건입력'!$B$7)," ",REPT(" ",99)),99)),IF('02_대상물건입력'!B15="",TRUE(),ISNUMBER(SEARCH('02_대상물건입력'!B15,L2334)))),1,0))</f>
        <v/>
      </c>
      <c r="R2334" s="175">
        <f>IFERROR(ABS(E2334-'02_대상물건입력'!B11)/'02_대상물건입력'!B11,"")</f>
        <v/>
      </c>
      <c r="S2334" s="152">
        <f>IFERROR(ABS(J2334-'02_대상물건입력'!B10),"")</f>
        <v/>
      </c>
      <c r="T2334" s="152">
        <f>IFERROR(ABS('01_설정'!B4-F2334),"")</f>
        <v/>
      </c>
      <c r="U2334" s="152">
        <f>IFERROR(ABS(K2334-YEAR('02_대상물건입력'!B14)),"")</f>
        <v/>
      </c>
      <c r="V2334" s="152">
        <f>IF(B2334="","",IF(AND(E2334&gt;0,F2334&gt;0,H2334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2334=1,TRUE()),R2334&lt;='01_설정'!B5,S2334&lt;='01_설정'!B6,T2334&lt;='01_설정'!B7,U2334&lt;='01_설정'!B8),"Y",""))</f>
        <v/>
      </c>
      <c r="W2334" s="172">
        <f>IF(V2334&lt;&gt;"Y","",MAX(0,(1-R2334/'01_설정'!B5))*'01_설정'!B14+MAX(0,(1-S2334/'01_설정'!B6))*'01_설정'!B15+MAX(0,(1-T2334/'01_설정'!B7))*'01_설정'!B16+MAX(0,(1-U2334/'01_설정'!B8))*'01_설정'!B17+O2334*'01_설정'!B11+Q2334*'01_설정'!B12+P2334*'01_설정'!B13+IF(Z2334="",0,Z2334))</f>
        <v/>
      </c>
      <c r="X2334" s="152">
        <f>IF(W2334="","",1+COUNTIFS($W$4:$W$3003,"&gt;"&amp;W2334)+COUNTIFS($W$4:W2334,W2334)-1)</f>
        <v/>
      </c>
      <c r="Y2334" s="175">
        <f>IF(OR(I2334="",'02_대상물건입력'!B19="",'02_대상물건입력'!B19&lt;=0),"",ABS(I2334-'02_대상물건입력'!B19)/'02_대상물건입력'!B19)</f>
        <v/>
      </c>
      <c r="Z2334" s="172">
        <f>IF(OR(Y2334="",'01_설정'!B31="",'01_설정'!B31&lt;=0,'01_설정'!B32="",'01_설정'!B32&lt;=0),"",MAX(0,(1-Y2334/'01_설정'!B32))*'01_설정'!B31)</f>
        <v/>
      </c>
    </row>
    <row r="2335" ht="17.25" customHeight="1">
      <c r="A2335" s="152">
        <f>IF(INDEX('04A_국토부원자료'!$A:$A,ROW()+1)="","",ROW()-3)</f>
        <v/>
      </c>
      <c r="B2335" s="48">
        <f>IFERROR(INDEX('04A_국토부원자료'!$A:$T,ROW()+1,MATCH("시군구",'04A_국토부원자료'!$A$4:$T$4,0)),"")</f>
        <v/>
      </c>
      <c r="C2335" s="48">
        <f>IF(B2335="","",IFERROR(INDEX('04A_국토부원자료'!$A:$T,ROW()+1,MATCH("번지",'04A_국토부원자료'!$A$4:$T$4,0)),""))</f>
        <v/>
      </c>
      <c r="D2335" s="48">
        <f>IF(B2335="","",IF(Q2335=1,'02_대상물건입력'!$B$8,IFERROR(INDEX('04A_국토부원자료'!$A:$T,ROW()+1,MATCH("단지명",'04A_국토부원자료'!$A$4:$T$4,0)),"")))</f>
        <v/>
      </c>
      <c r="E2335" s="172">
        <f>IFERROR(VALUE(SUBSTITUTE(INDEX('04A_국토부원자료'!$A:$T,ROW()+1,MATCH("전용면적(㎡)",'04A_국토부원자료'!$A$4:$T$4,0)),",","")),"")</f>
        <v/>
      </c>
      <c r="F23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35" s="51">
        <f>IFERROR(VALUE(SUBSTITUTE(INDEX('04A_국토부원자료'!$A:$T,ROW()+1,MATCH("거래금액(만원)",'04A_국토부원자료'!$A$4:$T$4,0)),",","")),"")</f>
        <v/>
      </c>
      <c r="H2335" s="174">
        <f>IF(G2335="","",G2335*10000)</f>
        <v/>
      </c>
      <c r="I2335" s="174">
        <f>IFERROR(IF(AND(H2335&gt;0,E2335&gt;0),H2335/E2335,""),"")</f>
        <v/>
      </c>
      <c r="J2335" s="152">
        <f>IFERROR(VALUE(SUBSTITUTE(INDEX('04A_국토부원자료'!$A:$T,ROW()+1,MATCH("층",'04A_국토부원자료'!$A$4:$T$4,0)),",","")),"")</f>
        <v/>
      </c>
      <c r="K2335" s="152">
        <f>IFERROR(VALUE(SUBSTITUTE(INDEX('04A_국토부원자료'!$A:$T,ROW()+1,MATCH("건축년도",'04A_국토부원자료'!$A$4:$T$4,0)),",","")),"")</f>
        <v/>
      </c>
      <c r="L2335" s="48">
        <f>IFERROR(INDEX('04A_국토부원자료'!$A:$T,ROW()+1,MATCH("도로명",'04A_국토부원자료'!$A$4:$T$4,0)),"")</f>
        <v/>
      </c>
      <c r="M2335" s="48">
        <f>IFERROR(INDEX('04A_국토부원자료'!$A:$T,ROW()+1,MATCH("거래유형",'04A_국토부원자료'!$A$4:$T$4,0)),"")</f>
        <v/>
      </c>
      <c r="N2335" s="152">
        <f>IF(B2335="","",IF('02_대상물건입력'!B5="",1,IF(ISNUMBER(SEARCH('02_대상물건입력'!B5,B2335)),1,0)))</f>
        <v/>
      </c>
      <c r="O2335" s="152">
        <f>IF(B2335="","",IF('02_대상물건입력'!B6="",1,IF(ISNUMBER(SEARCH('02_대상물건입력'!B6,B2335)),1,0)))</f>
        <v/>
      </c>
      <c r="P2335" s="152">
        <f>IF(L2335="","",IF('02_대상물건입력'!B15="",0,IF(ISNUMBER(SEARCH('02_대상물건입력'!B15,L2335)),1,0)))</f>
        <v/>
      </c>
      <c r="Q2335" s="152">
        <f>IF(OR(C2335="",L2335=""),0,IF(AND(TRIM(C2335)=TRIM(RIGHT(SUBSTITUTE(TRIM('02_대상물건입력'!$B$7)," ",REPT(" ",99)),99)),IF('02_대상물건입력'!B15="",TRUE(),ISNUMBER(SEARCH('02_대상물건입력'!B15,L2335)))),1,0))</f>
        <v/>
      </c>
      <c r="R2335" s="175">
        <f>IFERROR(ABS(E2335-'02_대상물건입력'!B11)/'02_대상물건입력'!B11,"")</f>
        <v/>
      </c>
      <c r="S2335" s="152">
        <f>IFERROR(ABS(J2335-'02_대상물건입력'!B10),"")</f>
        <v/>
      </c>
      <c r="T2335" s="152">
        <f>IFERROR(ABS('01_설정'!B4-F2335),"")</f>
        <v/>
      </c>
      <c r="U2335" s="152">
        <f>IFERROR(ABS(K2335-YEAR('02_대상물건입력'!B14)),"")</f>
        <v/>
      </c>
      <c r="V2335" s="152">
        <f>IF(B2335="","",IF(AND(E2335&gt;0,F2335&gt;0,H2335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2335=1,TRUE()),R2335&lt;='01_설정'!B5,S2335&lt;='01_설정'!B6,T2335&lt;='01_설정'!B7,U2335&lt;='01_설정'!B8),"Y",""))</f>
        <v/>
      </c>
      <c r="W2335" s="172">
        <f>IF(V2335&lt;&gt;"Y","",MAX(0,(1-R2335/'01_설정'!B5))*'01_설정'!B14+MAX(0,(1-S2335/'01_설정'!B6))*'01_설정'!B15+MAX(0,(1-T2335/'01_설정'!B7))*'01_설정'!B16+MAX(0,(1-U2335/'01_설정'!B8))*'01_설정'!B17+O2335*'01_설정'!B11+Q2335*'01_설정'!B12+P2335*'01_설정'!B13+IF(Z2335="",0,Z2335))</f>
        <v/>
      </c>
      <c r="X2335" s="152">
        <f>IF(W2335="","",1+COUNTIFS($W$4:$W$3003,"&gt;"&amp;W2335)+COUNTIFS($W$4:W2335,W2335)-1)</f>
        <v/>
      </c>
      <c r="Y2335" s="175">
        <f>IF(OR(I2335="",'02_대상물건입력'!B19="",'02_대상물건입력'!B19&lt;=0),"",ABS(I2335-'02_대상물건입력'!B19)/'02_대상물건입력'!B19)</f>
        <v/>
      </c>
      <c r="Z2335" s="172">
        <f>IF(OR(Y2335="",'01_설정'!B31="",'01_설정'!B31&lt;=0,'01_설정'!B32="",'01_설정'!B32&lt;=0),"",MAX(0,(1-Y2335/'01_설정'!B32))*'01_설정'!B31)</f>
        <v/>
      </c>
    </row>
    <row r="2336" ht="17.25" customHeight="1">
      <c r="A2336" s="152">
        <f>IF(INDEX('04A_국토부원자료'!$A:$A,ROW()+1)="","",ROW()-3)</f>
        <v/>
      </c>
      <c r="B2336" s="48">
        <f>IFERROR(INDEX('04A_국토부원자료'!$A:$T,ROW()+1,MATCH("시군구",'04A_국토부원자료'!$A$4:$T$4,0)),"")</f>
        <v/>
      </c>
      <c r="C2336" s="48">
        <f>IF(B2336="","",IFERROR(INDEX('04A_국토부원자료'!$A:$T,ROW()+1,MATCH("번지",'04A_국토부원자료'!$A$4:$T$4,0)),""))</f>
        <v/>
      </c>
      <c r="D2336" s="48">
        <f>IF(B2336="","",IF(Q2336=1,'02_대상물건입력'!$B$8,IFERROR(INDEX('04A_국토부원자료'!$A:$T,ROW()+1,MATCH("단지명",'04A_국토부원자료'!$A$4:$T$4,0)),"")))</f>
        <v/>
      </c>
      <c r="E2336" s="172">
        <f>IFERROR(VALUE(SUBSTITUTE(INDEX('04A_국토부원자료'!$A:$T,ROW()+1,MATCH("전용면적(㎡)",'04A_국토부원자료'!$A$4:$T$4,0)),",","")),"")</f>
        <v/>
      </c>
      <c r="F23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36" s="51">
        <f>IFERROR(VALUE(SUBSTITUTE(INDEX('04A_국토부원자료'!$A:$T,ROW()+1,MATCH("거래금액(만원)",'04A_국토부원자료'!$A$4:$T$4,0)),",","")),"")</f>
        <v/>
      </c>
      <c r="H2336" s="174">
        <f>IF(G2336="","",G2336*10000)</f>
        <v/>
      </c>
      <c r="I2336" s="174">
        <f>IFERROR(IF(AND(H2336&gt;0,E2336&gt;0),H2336/E2336,""),"")</f>
        <v/>
      </c>
      <c r="J2336" s="152">
        <f>IFERROR(VALUE(SUBSTITUTE(INDEX('04A_국토부원자료'!$A:$T,ROW()+1,MATCH("층",'04A_국토부원자료'!$A$4:$T$4,0)),",","")),"")</f>
        <v/>
      </c>
      <c r="K2336" s="152">
        <f>IFERROR(VALUE(SUBSTITUTE(INDEX('04A_국토부원자료'!$A:$T,ROW()+1,MATCH("건축년도",'04A_국토부원자료'!$A$4:$T$4,0)),",","")),"")</f>
        <v/>
      </c>
      <c r="L2336" s="48">
        <f>IFERROR(INDEX('04A_국토부원자료'!$A:$T,ROW()+1,MATCH("도로명",'04A_국토부원자료'!$A$4:$T$4,0)),"")</f>
        <v/>
      </c>
      <c r="M2336" s="48">
        <f>IFERROR(INDEX('04A_국토부원자료'!$A:$T,ROW()+1,MATCH("거래유형",'04A_국토부원자료'!$A$4:$T$4,0)),"")</f>
        <v/>
      </c>
      <c r="N2336" s="152">
        <f>IF(B2336="","",IF('02_대상물건입력'!B5="",1,IF(ISNUMBER(SEARCH('02_대상물건입력'!B5,B2336)),1,0)))</f>
        <v/>
      </c>
      <c r="O2336" s="152">
        <f>IF(B2336="","",IF('02_대상물건입력'!B6="",1,IF(ISNUMBER(SEARCH('02_대상물건입력'!B6,B2336)),1,0)))</f>
        <v/>
      </c>
      <c r="P2336" s="152">
        <f>IF(L2336="","",IF('02_대상물건입력'!B15="",0,IF(ISNUMBER(SEARCH('02_대상물건입력'!B15,L2336)),1,0)))</f>
        <v/>
      </c>
      <c r="Q2336" s="152">
        <f>IF(OR(C2336="",L2336=""),0,IF(AND(TRIM(C2336)=TRIM(RIGHT(SUBSTITUTE(TRIM('02_대상물건입력'!$B$7)," ",REPT(" ",99)),99)),IF('02_대상물건입력'!B15="",TRUE(),ISNUMBER(SEARCH('02_대상물건입력'!B15,L2336)))),1,0))</f>
        <v/>
      </c>
      <c r="R2336" s="175">
        <f>IFERROR(ABS(E2336-'02_대상물건입력'!B11)/'02_대상물건입력'!B11,"")</f>
        <v/>
      </c>
      <c r="S2336" s="152">
        <f>IFERROR(ABS(J2336-'02_대상물건입력'!B10),"")</f>
        <v/>
      </c>
      <c r="T2336" s="152">
        <f>IFERROR(ABS('01_설정'!B4-F2336),"")</f>
        <v/>
      </c>
      <c r="U2336" s="152">
        <f>IFERROR(ABS(K2336-YEAR('02_대상물건입력'!B14)),"")</f>
        <v/>
      </c>
      <c r="V2336" s="152">
        <f>IF(B2336="","",IF(AND(E2336&gt;0,F2336&gt;0,H2336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2336=1,TRUE()),R2336&lt;='01_설정'!B5,S2336&lt;='01_설정'!B6,T2336&lt;='01_설정'!B7,U2336&lt;='01_설정'!B8),"Y",""))</f>
        <v/>
      </c>
      <c r="W2336" s="172">
        <f>IF(V2336&lt;&gt;"Y","",MAX(0,(1-R2336/'01_설정'!B5))*'01_설정'!B14+MAX(0,(1-S2336/'01_설정'!B6))*'01_설정'!B15+MAX(0,(1-T2336/'01_설정'!B7))*'01_설정'!B16+MAX(0,(1-U2336/'01_설정'!B8))*'01_설정'!B17+O2336*'01_설정'!B11+Q2336*'01_설정'!B12+P2336*'01_설정'!B13+IF(Z2336="",0,Z2336))</f>
        <v/>
      </c>
      <c r="X2336" s="152">
        <f>IF(W2336="","",1+COUNTIFS($W$4:$W$3003,"&gt;"&amp;W2336)+COUNTIFS($W$4:W2336,W2336)-1)</f>
        <v/>
      </c>
      <c r="Y2336" s="175">
        <f>IF(OR(I2336="",'02_대상물건입력'!B19="",'02_대상물건입력'!B19&lt;=0),"",ABS(I2336-'02_대상물건입력'!B19)/'02_대상물건입력'!B19)</f>
        <v/>
      </c>
      <c r="Z2336" s="172">
        <f>IF(OR(Y2336="",'01_설정'!B31="",'01_설정'!B31&lt;=0,'01_설정'!B32="",'01_설정'!B32&lt;=0),"",MAX(0,(1-Y2336/'01_설정'!B32))*'01_설정'!B31)</f>
        <v/>
      </c>
    </row>
    <row r="2337" ht="17.25" customHeight="1">
      <c r="A2337" s="152">
        <f>IF(INDEX('04A_국토부원자료'!$A:$A,ROW()+1)="","",ROW()-3)</f>
        <v/>
      </c>
      <c r="B2337" s="48">
        <f>IFERROR(INDEX('04A_국토부원자료'!$A:$T,ROW()+1,MATCH("시군구",'04A_국토부원자료'!$A$4:$T$4,0)),"")</f>
        <v/>
      </c>
      <c r="C2337" s="48">
        <f>IF(B2337="","",IFERROR(INDEX('04A_국토부원자료'!$A:$T,ROW()+1,MATCH("번지",'04A_국토부원자료'!$A$4:$T$4,0)),""))</f>
        <v/>
      </c>
      <c r="D2337" s="48">
        <f>IF(B2337="","",IF(Q2337=1,'02_대상물건입력'!$B$8,IFERROR(INDEX('04A_국토부원자료'!$A:$T,ROW()+1,MATCH("단지명",'04A_국토부원자료'!$A$4:$T$4,0)),"")))</f>
        <v/>
      </c>
      <c r="E2337" s="172">
        <f>IFERROR(VALUE(SUBSTITUTE(INDEX('04A_국토부원자료'!$A:$T,ROW()+1,MATCH("전용면적(㎡)",'04A_국토부원자료'!$A$4:$T$4,0)),",","")),"")</f>
        <v/>
      </c>
      <c r="F23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37" s="51">
        <f>IFERROR(VALUE(SUBSTITUTE(INDEX('04A_국토부원자료'!$A:$T,ROW()+1,MATCH("거래금액(만원)",'04A_국토부원자료'!$A$4:$T$4,0)),",","")),"")</f>
        <v/>
      </c>
      <c r="H2337" s="174">
        <f>IF(G2337="","",G2337*10000)</f>
        <v/>
      </c>
      <c r="I2337" s="174">
        <f>IFERROR(IF(AND(H2337&gt;0,E2337&gt;0),H2337/E2337,""),"")</f>
        <v/>
      </c>
      <c r="J2337" s="152">
        <f>IFERROR(VALUE(SUBSTITUTE(INDEX('04A_국토부원자료'!$A:$T,ROW()+1,MATCH("층",'04A_국토부원자료'!$A$4:$T$4,0)),",","")),"")</f>
        <v/>
      </c>
      <c r="K2337" s="152">
        <f>IFERROR(VALUE(SUBSTITUTE(INDEX('04A_국토부원자료'!$A:$T,ROW()+1,MATCH("건축년도",'04A_국토부원자료'!$A$4:$T$4,0)),",","")),"")</f>
        <v/>
      </c>
      <c r="L2337" s="48">
        <f>IFERROR(INDEX('04A_국토부원자료'!$A:$T,ROW()+1,MATCH("도로명",'04A_국토부원자료'!$A$4:$T$4,0)),"")</f>
        <v/>
      </c>
      <c r="M2337" s="48">
        <f>IFERROR(INDEX('04A_국토부원자료'!$A:$T,ROW()+1,MATCH("거래유형",'04A_국토부원자료'!$A$4:$T$4,0)),"")</f>
        <v/>
      </c>
      <c r="N2337" s="152">
        <f>IF(B2337="","",IF('02_대상물건입력'!B5="",1,IF(ISNUMBER(SEARCH('02_대상물건입력'!B5,B2337)),1,0)))</f>
        <v/>
      </c>
      <c r="O2337" s="152">
        <f>IF(B2337="","",IF('02_대상물건입력'!B6="",1,IF(ISNUMBER(SEARCH('02_대상물건입력'!B6,B2337)),1,0)))</f>
        <v/>
      </c>
      <c r="P2337" s="152">
        <f>IF(L2337="","",IF('02_대상물건입력'!B15="",0,IF(ISNUMBER(SEARCH('02_대상물건입력'!B15,L2337)),1,0)))</f>
        <v/>
      </c>
      <c r="Q2337" s="152">
        <f>IF(OR(C2337="",L2337=""),0,IF(AND(TRIM(C2337)=TRIM(RIGHT(SUBSTITUTE(TRIM('02_대상물건입력'!$B$7)," ",REPT(" ",99)),99)),IF('02_대상물건입력'!B15="",TRUE(),ISNUMBER(SEARCH('02_대상물건입력'!B15,L2337)))),1,0))</f>
        <v/>
      </c>
      <c r="R2337" s="175">
        <f>IFERROR(ABS(E2337-'02_대상물건입력'!B11)/'02_대상물건입력'!B11,"")</f>
        <v/>
      </c>
      <c r="S2337" s="152">
        <f>IFERROR(ABS(J2337-'02_대상물건입력'!B10),"")</f>
        <v/>
      </c>
      <c r="T2337" s="152">
        <f>IFERROR(ABS('01_설정'!B4-F2337),"")</f>
        <v/>
      </c>
      <c r="U2337" s="152">
        <f>IFERROR(ABS(K2337-YEAR('02_대상물건입력'!B14)),"")</f>
        <v/>
      </c>
      <c r="V2337" s="152">
        <f>IF(B2337="","",IF(AND(E2337&gt;0,F2337&gt;0,H2337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2337=1,TRUE()),R2337&lt;='01_설정'!B5,S2337&lt;='01_설정'!B6,T2337&lt;='01_설정'!B7,U2337&lt;='01_설정'!B8),"Y",""))</f>
        <v/>
      </c>
      <c r="W2337" s="172">
        <f>IF(V2337&lt;&gt;"Y","",MAX(0,(1-R2337/'01_설정'!B5))*'01_설정'!B14+MAX(0,(1-S2337/'01_설정'!B6))*'01_설정'!B15+MAX(0,(1-T2337/'01_설정'!B7))*'01_설정'!B16+MAX(0,(1-U2337/'01_설정'!B8))*'01_설정'!B17+O2337*'01_설정'!B11+Q2337*'01_설정'!B12+P2337*'01_설정'!B13+IF(Z2337="",0,Z2337))</f>
        <v/>
      </c>
      <c r="X2337" s="152">
        <f>IF(W2337="","",1+COUNTIFS($W$4:$W$3003,"&gt;"&amp;W2337)+COUNTIFS($W$4:W2337,W2337)-1)</f>
        <v/>
      </c>
      <c r="Y2337" s="175">
        <f>IF(OR(I2337="",'02_대상물건입력'!B19="",'02_대상물건입력'!B19&lt;=0),"",ABS(I2337-'02_대상물건입력'!B19)/'02_대상물건입력'!B19)</f>
        <v/>
      </c>
      <c r="Z2337" s="172">
        <f>IF(OR(Y2337="",'01_설정'!B31="",'01_설정'!B31&lt;=0,'01_설정'!B32="",'01_설정'!B32&lt;=0),"",MAX(0,(1-Y2337/'01_설정'!B32))*'01_설정'!B31)</f>
        <v/>
      </c>
    </row>
    <row r="2338" ht="17.25" customHeight="1">
      <c r="A2338" s="152">
        <f>IF(INDEX('04A_국토부원자료'!$A:$A,ROW()+1)="","",ROW()-3)</f>
        <v/>
      </c>
      <c r="B2338" s="48">
        <f>IFERROR(INDEX('04A_국토부원자료'!$A:$T,ROW()+1,MATCH("시군구",'04A_국토부원자료'!$A$4:$T$4,0)),"")</f>
        <v/>
      </c>
      <c r="C2338" s="48">
        <f>IF(B2338="","",IFERROR(INDEX('04A_국토부원자료'!$A:$T,ROW()+1,MATCH("번지",'04A_국토부원자료'!$A$4:$T$4,0)),""))</f>
        <v/>
      </c>
      <c r="D2338" s="48">
        <f>IF(B2338="","",IF(Q2338=1,'02_대상물건입력'!$B$8,IFERROR(INDEX('04A_국토부원자료'!$A:$T,ROW()+1,MATCH("단지명",'04A_국토부원자료'!$A$4:$T$4,0)),"")))</f>
        <v/>
      </c>
      <c r="E2338" s="172">
        <f>IFERROR(VALUE(SUBSTITUTE(INDEX('04A_국토부원자료'!$A:$T,ROW()+1,MATCH("전용면적(㎡)",'04A_국토부원자료'!$A$4:$T$4,0)),",","")),"")</f>
        <v/>
      </c>
      <c r="F23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38" s="51">
        <f>IFERROR(VALUE(SUBSTITUTE(INDEX('04A_국토부원자료'!$A:$T,ROW()+1,MATCH("거래금액(만원)",'04A_국토부원자료'!$A$4:$T$4,0)),",","")),"")</f>
        <v/>
      </c>
      <c r="H2338" s="174">
        <f>IF(G2338="","",G2338*10000)</f>
        <v/>
      </c>
      <c r="I2338" s="174">
        <f>IFERROR(IF(AND(H2338&gt;0,E2338&gt;0),H2338/E2338,""),"")</f>
        <v/>
      </c>
      <c r="J2338" s="152">
        <f>IFERROR(VALUE(SUBSTITUTE(INDEX('04A_국토부원자료'!$A:$T,ROW()+1,MATCH("층",'04A_국토부원자료'!$A$4:$T$4,0)),",","")),"")</f>
        <v/>
      </c>
      <c r="K2338" s="152">
        <f>IFERROR(VALUE(SUBSTITUTE(INDEX('04A_국토부원자료'!$A:$T,ROW()+1,MATCH("건축년도",'04A_국토부원자료'!$A$4:$T$4,0)),",","")),"")</f>
        <v/>
      </c>
      <c r="L2338" s="48">
        <f>IFERROR(INDEX('04A_국토부원자료'!$A:$T,ROW()+1,MATCH("도로명",'04A_국토부원자료'!$A$4:$T$4,0)),"")</f>
        <v/>
      </c>
      <c r="M2338" s="48">
        <f>IFERROR(INDEX('04A_국토부원자료'!$A:$T,ROW()+1,MATCH("거래유형",'04A_국토부원자료'!$A$4:$T$4,0)),"")</f>
        <v/>
      </c>
      <c r="N2338" s="152">
        <f>IF(B2338="","",IF('02_대상물건입력'!B5="",1,IF(ISNUMBER(SEARCH('02_대상물건입력'!B5,B2338)),1,0)))</f>
        <v/>
      </c>
      <c r="O2338" s="152">
        <f>IF(B2338="","",IF('02_대상물건입력'!B6="",1,IF(ISNUMBER(SEARCH('02_대상물건입력'!B6,B2338)),1,0)))</f>
        <v/>
      </c>
      <c r="P2338" s="152">
        <f>IF(L2338="","",IF('02_대상물건입력'!B15="",0,IF(ISNUMBER(SEARCH('02_대상물건입력'!B15,L2338)),1,0)))</f>
        <v/>
      </c>
      <c r="Q2338" s="152">
        <f>IF(OR(C2338="",L2338=""),0,IF(AND(TRIM(C2338)=TRIM(RIGHT(SUBSTITUTE(TRIM('02_대상물건입력'!$B$7)," ",REPT(" ",99)),99)),IF('02_대상물건입력'!B15="",TRUE(),ISNUMBER(SEARCH('02_대상물건입력'!B15,L2338)))),1,0))</f>
        <v/>
      </c>
      <c r="R2338" s="175">
        <f>IFERROR(ABS(E2338-'02_대상물건입력'!B11)/'02_대상물건입력'!B11,"")</f>
        <v/>
      </c>
      <c r="S2338" s="152">
        <f>IFERROR(ABS(J2338-'02_대상물건입력'!B10),"")</f>
        <v/>
      </c>
      <c r="T2338" s="152">
        <f>IFERROR(ABS('01_설정'!B4-F2338),"")</f>
        <v/>
      </c>
      <c r="U2338" s="152">
        <f>IFERROR(ABS(K2338-YEAR('02_대상물건입력'!B14)),"")</f>
        <v/>
      </c>
      <c r="V2338" s="152">
        <f>IF(B2338="","",IF(AND(E2338&gt;0,F2338&gt;0,H2338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2338=1,TRUE()),R2338&lt;='01_설정'!B5,S2338&lt;='01_설정'!B6,T2338&lt;='01_설정'!B7,U2338&lt;='01_설정'!B8),"Y",""))</f>
        <v/>
      </c>
      <c r="W2338" s="172">
        <f>IF(V2338&lt;&gt;"Y","",MAX(0,(1-R2338/'01_설정'!B5))*'01_설정'!B14+MAX(0,(1-S2338/'01_설정'!B6))*'01_설정'!B15+MAX(0,(1-T2338/'01_설정'!B7))*'01_설정'!B16+MAX(0,(1-U2338/'01_설정'!B8))*'01_설정'!B17+O2338*'01_설정'!B11+Q2338*'01_설정'!B12+P2338*'01_설정'!B13+IF(Z2338="",0,Z2338))</f>
        <v/>
      </c>
      <c r="X2338" s="152">
        <f>IF(W2338="","",1+COUNTIFS($W$4:$W$3003,"&gt;"&amp;W2338)+COUNTIFS($W$4:W2338,W2338)-1)</f>
        <v/>
      </c>
      <c r="Y2338" s="175">
        <f>IF(OR(I2338="",'02_대상물건입력'!B19="",'02_대상물건입력'!B19&lt;=0),"",ABS(I2338-'02_대상물건입력'!B19)/'02_대상물건입력'!B19)</f>
        <v/>
      </c>
      <c r="Z2338" s="172">
        <f>IF(OR(Y2338="",'01_설정'!B31="",'01_설정'!B31&lt;=0,'01_설정'!B32="",'01_설정'!B32&lt;=0),"",MAX(0,(1-Y2338/'01_설정'!B32))*'01_설정'!B31)</f>
        <v/>
      </c>
    </row>
    <row r="2339" ht="17.25" customHeight="1">
      <c r="A2339" s="152">
        <f>IF(INDEX('04A_국토부원자료'!$A:$A,ROW()+1)="","",ROW()-3)</f>
        <v/>
      </c>
      <c r="B2339" s="48">
        <f>IFERROR(INDEX('04A_국토부원자료'!$A:$T,ROW()+1,MATCH("시군구",'04A_국토부원자료'!$A$4:$T$4,0)),"")</f>
        <v/>
      </c>
      <c r="C2339" s="48">
        <f>IF(B2339="","",IFERROR(INDEX('04A_국토부원자료'!$A:$T,ROW()+1,MATCH("번지",'04A_국토부원자료'!$A$4:$T$4,0)),""))</f>
        <v/>
      </c>
      <c r="D2339" s="48">
        <f>IF(B2339="","",IF(Q2339=1,'02_대상물건입력'!$B$8,IFERROR(INDEX('04A_국토부원자료'!$A:$T,ROW()+1,MATCH("단지명",'04A_국토부원자료'!$A$4:$T$4,0)),"")))</f>
        <v/>
      </c>
      <c r="E2339" s="172">
        <f>IFERROR(VALUE(SUBSTITUTE(INDEX('04A_국토부원자료'!$A:$T,ROW()+1,MATCH("전용면적(㎡)",'04A_국토부원자료'!$A$4:$T$4,0)),",","")),"")</f>
        <v/>
      </c>
      <c r="F23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39" s="51">
        <f>IFERROR(VALUE(SUBSTITUTE(INDEX('04A_국토부원자료'!$A:$T,ROW()+1,MATCH("거래금액(만원)",'04A_국토부원자료'!$A$4:$T$4,0)),",","")),"")</f>
        <v/>
      </c>
      <c r="H2339" s="174">
        <f>IF(G2339="","",G2339*10000)</f>
        <v/>
      </c>
      <c r="I2339" s="174">
        <f>IFERROR(IF(AND(H2339&gt;0,E2339&gt;0),H2339/E2339,""),"")</f>
        <v/>
      </c>
      <c r="J2339" s="152">
        <f>IFERROR(VALUE(SUBSTITUTE(INDEX('04A_국토부원자료'!$A:$T,ROW()+1,MATCH("층",'04A_국토부원자료'!$A$4:$T$4,0)),",","")),"")</f>
        <v/>
      </c>
      <c r="K2339" s="152">
        <f>IFERROR(VALUE(SUBSTITUTE(INDEX('04A_국토부원자료'!$A:$T,ROW()+1,MATCH("건축년도",'04A_국토부원자료'!$A$4:$T$4,0)),",","")),"")</f>
        <v/>
      </c>
      <c r="L2339" s="48">
        <f>IFERROR(INDEX('04A_국토부원자료'!$A:$T,ROW()+1,MATCH("도로명",'04A_국토부원자료'!$A$4:$T$4,0)),"")</f>
        <v/>
      </c>
      <c r="M2339" s="48">
        <f>IFERROR(INDEX('04A_국토부원자료'!$A:$T,ROW()+1,MATCH("거래유형",'04A_국토부원자료'!$A$4:$T$4,0)),"")</f>
        <v/>
      </c>
      <c r="N2339" s="152">
        <f>IF(B2339="","",IF('02_대상물건입력'!B5="",1,IF(ISNUMBER(SEARCH('02_대상물건입력'!B5,B2339)),1,0)))</f>
        <v/>
      </c>
      <c r="O2339" s="152">
        <f>IF(B2339="","",IF('02_대상물건입력'!B6="",1,IF(ISNUMBER(SEARCH('02_대상물건입력'!B6,B2339)),1,0)))</f>
        <v/>
      </c>
      <c r="P2339" s="152">
        <f>IF(L2339="","",IF('02_대상물건입력'!B15="",0,IF(ISNUMBER(SEARCH('02_대상물건입력'!B15,L2339)),1,0)))</f>
        <v/>
      </c>
      <c r="Q2339" s="152">
        <f>IF(OR(C2339="",L2339=""),0,IF(AND(TRIM(C2339)=TRIM(RIGHT(SUBSTITUTE(TRIM('02_대상물건입력'!$B$7)," ",REPT(" ",99)),99)),IF('02_대상물건입력'!B15="",TRUE(),ISNUMBER(SEARCH('02_대상물건입력'!B15,L2339)))),1,0))</f>
        <v/>
      </c>
      <c r="R2339" s="175">
        <f>IFERROR(ABS(E2339-'02_대상물건입력'!B11)/'02_대상물건입력'!B11,"")</f>
        <v/>
      </c>
      <c r="S2339" s="152">
        <f>IFERROR(ABS(J2339-'02_대상물건입력'!B10),"")</f>
        <v/>
      </c>
      <c r="T2339" s="152">
        <f>IFERROR(ABS('01_설정'!B4-F2339),"")</f>
        <v/>
      </c>
      <c r="U2339" s="152">
        <f>IFERROR(ABS(K2339-YEAR('02_대상물건입력'!B14)),"")</f>
        <v/>
      </c>
      <c r="V2339" s="152">
        <f>IF(B2339="","",IF(AND(E2339&gt;0,F2339&gt;0,H2339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2339=1,TRUE()),R2339&lt;='01_설정'!B5,S2339&lt;='01_설정'!B6,T2339&lt;='01_설정'!B7,U2339&lt;='01_설정'!B8),"Y",""))</f>
        <v/>
      </c>
      <c r="W2339" s="172">
        <f>IF(V2339&lt;&gt;"Y","",MAX(0,(1-R2339/'01_설정'!B5))*'01_설정'!B14+MAX(0,(1-S2339/'01_설정'!B6))*'01_설정'!B15+MAX(0,(1-T2339/'01_설정'!B7))*'01_설정'!B16+MAX(0,(1-U2339/'01_설정'!B8))*'01_설정'!B17+O2339*'01_설정'!B11+Q2339*'01_설정'!B12+P2339*'01_설정'!B13+IF(Z2339="",0,Z2339))</f>
        <v/>
      </c>
      <c r="X2339" s="152">
        <f>IF(W2339="","",1+COUNTIFS($W$4:$W$3003,"&gt;"&amp;W2339)+COUNTIFS($W$4:W2339,W2339)-1)</f>
        <v/>
      </c>
      <c r="Y2339" s="175">
        <f>IF(OR(I2339="",'02_대상물건입력'!B19="",'02_대상물건입력'!B19&lt;=0),"",ABS(I2339-'02_대상물건입력'!B19)/'02_대상물건입력'!B19)</f>
        <v/>
      </c>
      <c r="Z2339" s="172">
        <f>IF(OR(Y2339="",'01_설정'!B31="",'01_설정'!B31&lt;=0,'01_설정'!B32="",'01_설정'!B32&lt;=0),"",MAX(0,(1-Y2339/'01_설정'!B32))*'01_설정'!B31)</f>
        <v/>
      </c>
    </row>
    <row r="2340" ht="17.25" customHeight="1">
      <c r="A2340" s="152">
        <f>IF(INDEX('04A_국토부원자료'!$A:$A,ROW()+1)="","",ROW()-3)</f>
        <v/>
      </c>
      <c r="B2340" s="48">
        <f>IFERROR(INDEX('04A_국토부원자료'!$A:$T,ROW()+1,MATCH("시군구",'04A_국토부원자료'!$A$4:$T$4,0)),"")</f>
        <v/>
      </c>
      <c r="C2340" s="48">
        <f>IF(B2340="","",IFERROR(INDEX('04A_국토부원자료'!$A:$T,ROW()+1,MATCH("번지",'04A_국토부원자료'!$A$4:$T$4,0)),""))</f>
        <v/>
      </c>
      <c r="D2340" s="48">
        <f>IF(B2340="","",IF(Q2340=1,'02_대상물건입력'!$B$8,IFERROR(INDEX('04A_국토부원자료'!$A:$T,ROW()+1,MATCH("단지명",'04A_국토부원자료'!$A$4:$T$4,0)),"")))</f>
        <v/>
      </c>
      <c r="E2340" s="172">
        <f>IFERROR(VALUE(SUBSTITUTE(INDEX('04A_국토부원자료'!$A:$T,ROW()+1,MATCH("전용면적(㎡)",'04A_국토부원자료'!$A$4:$T$4,0)),",","")),"")</f>
        <v/>
      </c>
      <c r="F23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40" s="51">
        <f>IFERROR(VALUE(SUBSTITUTE(INDEX('04A_국토부원자료'!$A:$T,ROW()+1,MATCH("거래금액(만원)",'04A_국토부원자료'!$A$4:$T$4,0)),",","")),"")</f>
        <v/>
      </c>
      <c r="H2340" s="174">
        <f>IF(G2340="","",G2340*10000)</f>
        <v/>
      </c>
      <c r="I2340" s="174">
        <f>IFERROR(IF(AND(H2340&gt;0,E2340&gt;0),H2340/E2340,""),"")</f>
        <v/>
      </c>
      <c r="J2340" s="152">
        <f>IFERROR(VALUE(SUBSTITUTE(INDEX('04A_국토부원자료'!$A:$T,ROW()+1,MATCH("층",'04A_국토부원자료'!$A$4:$T$4,0)),",","")),"")</f>
        <v/>
      </c>
      <c r="K2340" s="152">
        <f>IFERROR(VALUE(SUBSTITUTE(INDEX('04A_국토부원자료'!$A:$T,ROW()+1,MATCH("건축년도",'04A_국토부원자료'!$A$4:$T$4,0)),",","")),"")</f>
        <v/>
      </c>
      <c r="L2340" s="48">
        <f>IFERROR(INDEX('04A_국토부원자료'!$A:$T,ROW()+1,MATCH("도로명",'04A_국토부원자료'!$A$4:$T$4,0)),"")</f>
        <v/>
      </c>
      <c r="M2340" s="48">
        <f>IFERROR(INDEX('04A_국토부원자료'!$A:$T,ROW()+1,MATCH("거래유형",'04A_국토부원자료'!$A$4:$T$4,0)),"")</f>
        <v/>
      </c>
      <c r="N2340" s="152">
        <f>IF(B2340="","",IF('02_대상물건입력'!B5="",1,IF(ISNUMBER(SEARCH('02_대상물건입력'!B5,B2340)),1,0)))</f>
        <v/>
      </c>
      <c r="O2340" s="152">
        <f>IF(B2340="","",IF('02_대상물건입력'!B6="",1,IF(ISNUMBER(SEARCH('02_대상물건입력'!B6,B2340)),1,0)))</f>
        <v/>
      </c>
      <c r="P2340" s="152">
        <f>IF(L2340="","",IF('02_대상물건입력'!B15="",0,IF(ISNUMBER(SEARCH('02_대상물건입력'!B15,L2340)),1,0)))</f>
        <v/>
      </c>
      <c r="Q2340" s="152">
        <f>IF(OR(C2340="",L2340=""),0,IF(AND(TRIM(C2340)=TRIM(RIGHT(SUBSTITUTE(TRIM('02_대상물건입력'!$B$7)," ",REPT(" ",99)),99)),IF('02_대상물건입력'!B15="",TRUE(),ISNUMBER(SEARCH('02_대상물건입력'!B15,L2340)))),1,0))</f>
        <v/>
      </c>
      <c r="R2340" s="175">
        <f>IFERROR(ABS(E2340-'02_대상물건입력'!B11)/'02_대상물건입력'!B11,"")</f>
        <v/>
      </c>
      <c r="S2340" s="152">
        <f>IFERROR(ABS(J2340-'02_대상물건입력'!B10),"")</f>
        <v/>
      </c>
      <c r="T2340" s="152">
        <f>IFERROR(ABS('01_설정'!B4-F2340),"")</f>
        <v/>
      </c>
      <c r="U2340" s="152">
        <f>IFERROR(ABS(K2340-YEAR('02_대상물건입력'!B14)),"")</f>
        <v/>
      </c>
      <c r="V2340" s="152">
        <f>IF(B2340="","",IF(AND(E2340&gt;0,F2340&gt;0,H2340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2340=1,TRUE()),R2340&lt;='01_설정'!B5,S2340&lt;='01_설정'!B6,T2340&lt;='01_설정'!B7,U2340&lt;='01_설정'!B8),"Y",""))</f>
        <v/>
      </c>
      <c r="W2340" s="172">
        <f>IF(V2340&lt;&gt;"Y","",MAX(0,(1-R2340/'01_설정'!B5))*'01_설정'!B14+MAX(0,(1-S2340/'01_설정'!B6))*'01_설정'!B15+MAX(0,(1-T2340/'01_설정'!B7))*'01_설정'!B16+MAX(0,(1-U2340/'01_설정'!B8))*'01_설정'!B17+O2340*'01_설정'!B11+Q2340*'01_설정'!B12+P2340*'01_설정'!B13+IF(Z2340="",0,Z2340))</f>
        <v/>
      </c>
      <c r="X2340" s="152">
        <f>IF(W2340="","",1+COUNTIFS($W$4:$W$3003,"&gt;"&amp;W2340)+COUNTIFS($W$4:W2340,W2340)-1)</f>
        <v/>
      </c>
      <c r="Y2340" s="175">
        <f>IF(OR(I2340="",'02_대상물건입력'!B19="",'02_대상물건입력'!B19&lt;=0),"",ABS(I2340-'02_대상물건입력'!B19)/'02_대상물건입력'!B19)</f>
        <v/>
      </c>
      <c r="Z2340" s="172">
        <f>IF(OR(Y2340="",'01_설정'!B31="",'01_설정'!B31&lt;=0,'01_설정'!B32="",'01_설정'!B32&lt;=0),"",MAX(0,(1-Y2340/'01_설정'!B32))*'01_설정'!B31)</f>
        <v/>
      </c>
    </row>
    <row r="2341" ht="17.25" customHeight="1">
      <c r="A2341" s="152">
        <f>IF(INDEX('04A_국토부원자료'!$A:$A,ROW()+1)="","",ROW()-3)</f>
        <v/>
      </c>
      <c r="B2341" s="48">
        <f>IFERROR(INDEX('04A_국토부원자료'!$A:$T,ROW()+1,MATCH("시군구",'04A_국토부원자료'!$A$4:$T$4,0)),"")</f>
        <v/>
      </c>
      <c r="C2341" s="48">
        <f>IF(B2341="","",IFERROR(INDEX('04A_국토부원자료'!$A:$T,ROW()+1,MATCH("번지",'04A_국토부원자료'!$A$4:$T$4,0)),""))</f>
        <v/>
      </c>
      <c r="D2341" s="48">
        <f>IF(B2341="","",IF(Q2341=1,'02_대상물건입력'!$B$8,IFERROR(INDEX('04A_국토부원자료'!$A:$T,ROW()+1,MATCH("단지명",'04A_국토부원자료'!$A$4:$T$4,0)),"")))</f>
        <v/>
      </c>
      <c r="E2341" s="172">
        <f>IFERROR(VALUE(SUBSTITUTE(INDEX('04A_국토부원자료'!$A:$T,ROW()+1,MATCH("전용면적(㎡)",'04A_국토부원자료'!$A$4:$T$4,0)),",","")),"")</f>
        <v/>
      </c>
      <c r="F23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41" s="51">
        <f>IFERROR(VALUE(SUBSTITUTE(INDEX('04A_국토부원자료'!$A:$T,ROW()+1,MATCH("거래금액(만원)",'04A_국토부원자료'!$A$4:$T$4,0)),",","")),"")</f>
        <v/>
      </c>
      <c r="H2341" s="174">
        <f>IF(G2341="","",G2341*10000)</f>
        <v/>
      </c>
      <c r="I2341" s="174">
        <f>IFERROR(IF(AND(H2341&gt;0,E2341&gt;0),H2341/E2341,""),"")</f>
        <v/>
      </c>
      <c r="J2341" s="152">
        <f>IFERROR(VALUE(SUBSTITUTE(INDEX('04A_국토부원자료'!$A:$T,ROW()+1,MATCH("층",'04A_국토부원자료'!$A$4:$T$4,0)),",","")),"")</f>
        <v/>
      </c>
      <c r="K2341" s="152">
        <f>IFERROR(VALUE(SUBSTITUTE(INDEX('04A_국토부원자료'!$A:$T,ROW()+1,MATCH("건축년도",'04A_국토부원자료'!$A$4:$T$4,0)),",","")),"")</f>
        <v/>
      </c>
      <c r="L2341" s="48">
        <f>IFERROR(INDEX('04A_국토부원자료'!$A:$T,ROW()+1,MATCH("도로명",'04A_국토부원자료'!$A$4:$T$4,0)),"")</f>
        <v/>
      </c>
      <c r="M2341" s="48">
        <f>IFERROR(INDEX('04A_국토부원자료'!$A:$T,ROW()+1,MATCH("거래유형",'04A_국토부원자료'!$A$4:$T$4,0)),"")</f>
        <v/>
      </c>
      <c r="N2341" s="152">
        <f>IF(B2341="","",IF('02_대상물건입력'!B5="",1,IF(ISNUMBER(SEARCH('02_대상물건입력'!B5,B2341)),1,0)))</f>
        <v/>
      </c>
      <c r="O2341" s="152">
        <f>IF(B2341="","",IF('02_대상물건입력'!B6="",1,IF(ISNUMBER(SEARCH('02_대상물건입력'!B6,B2341)),1,0)))</f>
        <v/>
      </c>
      <c r="P2341" s="152">
        <f>IF(L2341="","",IF('02_대상물건입력'!B15="",0,IF(ISNUMBER(SEARCH('02_대상물건입력'!B15,L2341)),1,0)))</f>
        <v/>
      </c>
      <c r="Q2341" s="152">
        <f>IF(OR(C2341="",L2341=""),0,IF(AND(TRIM(C2341)=TRIM(RIGHT(SUBSTITUTE(TRIM('02_대상물건입력'!$B$7)," ",REPT(" ",99)),99)),IF('02_대상물건입력'!B15="",TRUE(),ISNUMBER(SEARCH('02_대상물건입력'!B15,L2341)))),1,0))</f>
        <v/>
      </c>
      <c r="R2341" s="175">
        <f>IFERROR(ABS(E2341-'02_대상물건입력'!B11)/'02_대상물건입력'!B11,"")</f>
        <v/>
      </c>
      <c r="S2341" s="152">
        <f>IFERROR(ABS(J2341-'02_대상물건입력'!B10),"")</f>
        <v/>
      </c>
      <c r="T2341" s="152">
        <f>IFERROR(ABS('01_설정'!B4-F2341),"")</f>
        <v/>
      </c>
      <c r="U2341" s="152">
        <f>IFERROR(ABS(K2341-YEAR('02_대상물건입력'!B14)),"")</f>
        <v/>
      </c>
      <c r="V2341" s="152">
        <f>IF(B2341="","",IF(AND(E2341&gt;0,F2341&gt;0,H2341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2341=1,TRUE()),R2341&lt;='01_설정'!B5,S2341&lt;='01_설정'!B6,T2341&lt;='01_설정'!B7,U2341&lt;='01_설정'!B8),"Y",""))</f>
        <v/>
      </c>
      <c r="W2341" s="172">
        <f>IF(V2341&lt;&gt;"Y","",MAX(0,(1-R2341/'01_설정'!B5))*'01_설정'!B14+MAX(0,(1-S2341/'01_설정'!B6))*'01_설정'!B15+MAX(0,(1-T2341/'01_설정'!B7))*'01_설정'!B16+MAX(0,(1-U2341/'01_설정'!B8))*'01_설정'!B17+O2341*'01_설정'!B11+Q2341*'01_설정'!B12+P2341*'01_설정'!B13+IF(Z2341="",0,Z2341))</f>
        <v/>
      </c>
      <c r="X2341" s="152">
        <f>IF(W2341="","",1+COUNTIFS($W$4:$W$3003,"&gt;"&amp;W2341)+COUNTIFS($W$4:W2341,W2341)-1)</f>
        <v/>
      </c>
      <c r="Y2341" s="175">
        <f>IF(OR(I2341="",'02_대상물건입력'!B19="",'02_대상물건입력'!B19&lt;=0),"",ABS(I2341-'02_대상물건입력'!B19)/'02_대상물건입력'!B19)</f>
        <v/>
      </c>
      <c r="Z2341" s="172">
        <f>IF(OR(Y2341="",'01_설정'!B31="",'01_설정'!B31&lt;=0,'01_설정'!B32="",'01_설정'!B32&lt;=0),"",MAX(0,(1-Y2341/'01_설정'!B32))*'01_설정'!B31)</f>
        <v/>
      </c>
    </row>
    <row r="2342" ht="17.25" customHeight="1">
      <c r="A2342" s="152">
        <f>IF(INDEX('04A_국토부원자료'!$A:$A,ROW()+1)="","",ROW()-3)</f>
        <v/>
      </c>
      <c r="B2342" s="48">
        <f>IFERROR(INDEX('04A_국토부원자료'!$A:$T,ROW()+1,MATCH("시군구",'04A_국토부원자료'!$A$4:$T$4,0)),"")</f>
        <v/>
      </c>
      <c r="C2342" s="48">
        <f>IF(B2342="","",IFERROR(INDEX('04A_국토부원자료'!$A:$T,ROW()+1,MATCH("번지",'04A_국토부원자료'!$A$4:$T$4,0)),""))</f>
        <v/>
      </c>
      <c r="D2342" s="48">
        <f>IF(B2342="","",IF(Q2342=1,'02_대상물건입력'!$B$8,IFERROR(INDEX('04A_국토부원자료'!$A:$T,ROW()+1,MATCH("단지명",'04A_국토부원자료'!$A$4:$T$4,0)),"")))</f>
        <v/>
      </c>
      <c r="E2342" s="172">
        <f>IFERROR(VALUE(SUBSTITUTE(INDEX('04A_국토부원자료'!$A:$T,ROW()+1,MATCH("전용면적(㎡)",'04A_국토부원자료'!$A$4:$T$4,0)),",","")),"")</f>
        <v/>
      </c>
      <c r="F23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42" s="51">
        <f>IFERROR(VALUE(SUBSTITUTE(INDEX('04A_국토부원자료'!$A:$T,ROW()+1,MATCH("거래금액(만원)",'04A_국토부원자료'!$A$4:$T$4,0)),",","")),"")</f>
        <v/>
      </c>
      <c r="H2342" s="174">
        <f>IF(G2342="","",G2342*10000)</f>
        <v/>
      </c>
      <c r="I2342" s="174">
        <f>IFERROR(IF(AND(H2342&gt;0,E2342&gt;0),H2342/E2342,""),"")</f>
        <v/>
      </c>
      <c r="J2342" s="152">
        <f>IFERROR(VALUE(SUBSTITUTE(INDEX('04A_국토부원자료'!$A:$T,ROW()+1,MATCH("층",'04A_국토부원자료'!$A$4:$T$4,0)),",","")),"")</f>
        <v/>
      </c>
      <c r="K2342" s="152">
        <f>IFERROR(VALUE(SUBSTITUTE(INDEX('04A_국토부원자료'!$A:$T,ROW()+1,MATCH("건축년도",'04A_국토부원자료'!$A$4:$T$4,0)),",","")),"")</f>
        <v/>
      </c>
      <c r="L2342" s="48">
        <f>IFERROR(INDEX('04A_국토부원자료'!$A:$T,ROW()+1,MATCH("도로명",'04A_국토부원자료'!$A$4:$T$4,0)),"")</f>
        <v/>
      </c>
      <c r="M2342" s="48">
        <f>IFERROR(INDEX('04A_국토부원자료'!$A:$T,ROW()+1,MATCH("거래유형",'04A_국토부원자료'!$A$4:$T$4,0)),"")</f>
        <v/>
      </c>
      <c r="N2342" s="152">
        <f>IF(B2342="","",IF('02_대상물건입력'!B5="",1,IF(ISNUMBER(SEARCH('02_대상물건입력'!B5,B2342)),1,0)))</f>
        <v/>
      </c>
      <c r="O2342" s="152">
        <f>IF(B2342="","",IF('02_대상물건입력'!B6="",1,IF(ISNUMBER(SEARCH('02_대상물건입력'!B6,B2342)),1,0)))</f>
        <v/>
      </c>
      <c r="P2342" s="152">
        <f>IF(L2342="","",IF('02_대상물건입력'!B15="",0,IF(ISNUMBER(SEARCH('02_대상물건입력'!B15,L2342)),1,0)))</f>
        <v/>
      </c>
      <c r="Q2342" s="152">
        <f>IF(OR(C2342="",L2342=""),0,IF(AND(TRIM(C2342)=TRIM(RIGHT(SUBSTITUTE(TRIM('02_대상물건입력'!$B$7)," ",REPT(" ",99)),99)),IF('02_대상물건입력'!B15="",TRUE(),ISNUMBER(SEARCH('02_대상물건입력'!B15,L2342)))),1,0))</f>
        <v/>
      </c>
      <c r="R2342" s="175">
        <f>IFERROR(ABS(E2342-'02_대상물건입력'!B11)/'02_대상물건입력'!B11,"")</f>
        <v/>
      </c>
      <c r="S2342" s="152">
        <f>IFERROR(ABS(J2342-'02_대상물건입력'!B10),"")</f>
        <v/>
      </c>
      <c r="T2342" s="152">
        <f>IFERROR(ABS('01_설정'!B4-F2342),"")</f>
        <v/>
      </c>
      <c r="U2342" s="152">
        <f>IFERROR(ABS(K2342-YEAR('02_대상물건입력'!B14)),"")</f>
        <v/>
      </c>
      <c r="V2342" s="152">
        <f>IF(B2342="","",IF(AND(E2342&gt;0,F2342&gt;0,H2342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2342=1,TRUE()),R2342&lt;='01_설정'!B5,S2342&lt;='01_설정'!B6,T2342&lt;='01_설정'!B7,U2342&lt;='01_설정'!B8),"Y",""))</f>
        <v/>
      </c>
      <c r="W2342" s="172">
        <f>IF(V2342&lt;&gt;"Y","",MAX(0,(1-R2342/'01_설정'!B5))*'01_설정'!B14+MAX(0,(1-S2342/'01_설정'!B6))*'01_설정'!B15+MAX(0,(1-T2342/'01_설정'!B7))*'01_설정'!B16+MAX(0,(1-U2342/'01_설정'!B8))*'01_설정'!B17+O2342*'01_설정'!B11+Q2342*'01_설정'!B12+P2342*'01_설정'!B13+IF(Z2342="",0,Z2342))</f>
        <v/>
      </c>
      <c r="X2342" s="152">
        <f>IF(W2342="","",1+COUNTIFS($W$4:$W$3003,"&gt;"&amp;W2342)+COUNTIFS($W$4:W2342,W2342)-1)</f>
        <v/>
      </c>
      <c r="Y2342" s="175">
        <f>IF(OR(I2342="",'02_대상물건입력'!B19="",'02_대상물건입력'!B19&lt;=0),"",ABS(I2342-'02_대상물건입력'!B19)/'02_대상물건입력'!B19)</f>
        <v/>
      </c>
      <c r="Z2342" s="172">
        <f>IF(OR(Y2342="",'01_설정'!B31="",'01_설정'!B31&lt;=0,'01_설정'!B32="",'01_설정'!B32&lt;=0),"",MAX(0,(1-Y2342/'01_설정'!B32))*'01_설정'!B31)</f>
        <v/>
      </c>
    </row>
    <row r="2343" ht="17.25" customHeight="1">
      <c r="A2343" s="152">
        <f>IF(INDEX('04A_국토부원자료'!$A:$A,ROW()+1)="","",ROW()-3)</f>
        <v/>
      </c>
      <c r="B2343" s="48">
        <f>IFERROR(INDEX('04A_국토부원자료'!$A:$T,ROW()+1,MATCH("시군구",'04A_국토부원자료'!$A$4:$T$4,0)),"")</f>
        <v/>
      </c>
      <c r="C2343" s="48">
        <f>IF(B2343="","",IFERROR(INDEX('04A_국토부원자료'!$A:$T,ROW()+1,MATCH("번지",'04A_국토부원자료'!$A$4:$T$4,0)),""))</f>
        <v/>
      </c>
      <c r="D2343" s="48">
        <f>IF(B2343="","",IF(Q2343=1,'02_대상물건입력'!$B$8,IFERROR(INDEX('04A_국토부원자료'!$A:$T,ROW()+1,MATCH("단지명",'04A_국토부원자료'!$A$4:$T$4,0)),"")))</f>
        <v/>
      </c>
      <c r="E2343" s="172">
        <f>IFERROR(VALUE(SUBSTITUTE(INDEX('04A_국토부원자료'!$A:$T,ROW()+1,MATCH("전용면적(㎡)",'04A_국토부원자료'!$A$4:$T$4,0)),",","")),"")</f>
        <v/>
      </c>
      <c r="F23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43" s="51">
        <f>IFERROR(VALUE(SUBSTITUTE(INDEX('04A_국토부원자료'!$A:$T,ROW()+1,MATCH("거래금액(만원)",'04A_국토부원자료'!$A$4:$T$4,0)),",","")),"")</f>
        <v/>
      </c>
      <c r="H2343" s="174">
        <f>IF(G2343="","",G2343*10000)</f>
        <v/>
      </c>
      <c r="I2343" s="174">
        <f>IFERROR(IF(AND(H2343&gt;0,E2343&gt;0),H2343/E2343,""),"")</f>
        <v/>
      </c>
      <c r="J2343" s="152">
        <f>IFERROR(VALUE(SUBSTITUTE(INDEX('04A_국토부원자료'!$A:$T,ROW()+1,MATCH("층",'04A_국토부원자료'!$A$4:$T$4,0)),",","")),"")</f>
        <v/>
      </c>
      <c r="K2343" s="152">
        <f>IFERROR(VALUE(SUBSTITUTE(INDEX('04A_국토부원자료'!$A:$T,ROW()+1,MATCH("건축년도",'04A_국토부원자료'!$A$4:$T$4,0)),",","")),"")</f>
        <v/>
      </c>
      <c r="L2343" s="48">
        <f>IFERROR(INDEX('04A_국토부원자료'!$A:$T,ROW()+1,MATCH("도로명",'04A_국토부원자료'!$A$4:$T$4,0)),"")</f>
        <v/>
      </c>
      <c r="M2343" s="48">
        <f>IFERROR(INDEX('04A_국토부원자료'!$A:$T,ROW()+1,MATCH("거래유형",'04A_국토부원자료'!$A$4:$T$4,0)),"")</f>
        <v/>
      </c>
      <c r="N2343" s="152">
        <f>IF(B2343="","",IF('02_대상물건입력'!B5="",1,IF(ISNUMBER(SEARCH('02_대상물건입력'!B5,B2343)),1,0)))</f>
        <v/>
      </c>
      <c r="O2343" s="152">
        <f>IF(B2343="","",IF('02_대상물건입력'!B6="",1,IF(ISNUMBER(SEARCH('02_대상물건입력'!B6,B2343)),1,0)))</f>
        <v/>
      </c>
      <c r="P2343" s="152">
        <f>IF(L2343="","",IF('02_대상물건입력'!B15="",0,IF(ISNUMBER(SEARCH('02_대상물건입력'!B15,L2343)),1,0)))</f>
        <v/>
      </c>
      <c r="Q2343" s="152">
        <f>IF(OR(C2343="",L2343=""),0,IF(AND(TRIM(C2343)=TRIM(RIGHT(SUBSTITUTE(TRIM('02_대상물건입력'!$B$7)," ",REPT(" ",99)),99)),IF('02_대상물건입력'!B15="",TRUE(),ISNUMBER(SEARCH('02_대상물건입력'!B15,L2343)))),1,0))</f>
        <v/>
      </c>
      <c r="R2343" s="175">
        <f>IFERROR(ABS(E2343-'02_대상물건입력'!B11)/'02_대상물건입력'!B11,"")</f>
        <v/>
      </c>
      <c r="S2343" s="152">
        <f>IFERROR(ABS(J2343-'02_대상물건입력'!B10),"")</f>
        <v/>
      </c>
      <c r="T2343" s="152">
        <f>IFERROR(ABS('01_설정'!B4-F2343),"")</f>
        <v/>
      </c>
      <c r="U2343" s="152">
        <f>IFERROR(ABS(K2343-YEAR('02_대상물건입력'!B14)),"")</f>
        <v/>
      </c>
      <c r="V2343" s="152">
        <f>IF(B2343="","",IF(AND(E2343&gt;0,F2343&gt;0,H2343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2343=1,TRUE()),R2343&lt;='01_설정'!B5,S2343&lt;='01_설정'!B6,T2343&lt;='01_설정'!B7,U2343&lt;='01_설정'!B8),"Y",""))</f>
        <v/>
      </c>
      <c r="W2343" s="172">
        <f>IF(V2343&lt;&gt;"Y","",MAX(0,(1-R2343/'01_설정'!B5))*'01_설정'!B14+MAX(0,(1-S2343/'01_설정'!B6))*'01_설정'!B15+MAX(0,(1-T2343/'01_설정'!B7))*'01_설정'!B16+MAX(0,(1-U2343/'01_설정'!B8))*'01_설정'!B17+O2343*'01_설정'!B11+Q2343*'01_설정'!B12+P2343*'01_설정'!B13+IF(Z2343="",0,Z2343))</f>
        <v/>
      </c>
      <c r="X2343" s="152">
        <f>IF(W2343="","",1+COUNTIFS($W$4:$W$3003,"&gt;"&amp;W2343)+COUNTIFS($W$4:W2343,W2343)-1)</f>
        <v/>
      </c>
      <c r="Y2343" s="175">
        <f>IF(OR(I2343="",'02_대상물건입력'!B19="",'02_대상물건입력'!B19&lt;=0),"",ABS(I2343-'02_대상물건입력'!B19)/'02_대상물건입력'!B19)</f>
        <v/>
      </c>
      <c r="Z2343" s="172">
        <f>IF(OR(Y2343="",'01_설정'!B31="",'01_설정'!B31&lt;=0,'01_설정'!B32="",'01_설정'!B32&lt;=0),"",MAX(0,(1-Y2343/'01_설정'!B32))*'01_설정'!B31)</f>
        <v/>
      </c>
    </row>
    <row r="2344" ht="17.25" customHeight="1">
      <c r="A2344" s="152">
        <f>IF(INDEX('04A_국토부원자료'!$A:$A,ROW()+1)="","",ROW()-3)</f>
        <v/>
      </c>
      <c r="B2344" s="48">
        <f>IFERROR(INDEX('04A_국토부원자료'!$A:$T,ROW()+1,MATCH("시군구",'04A_국토부원자료'!$A$4:$T$4,0)),"")</f>
        <v/>
      </c>
      <c r="C2344" s="48">
        <f>IF(B2344="","",IFERROR(INDEX('04A_국토부원자료'!$A:$T,ROW()+1,MATCH("번지",'04A_국토부원자료'!$A$4:$T$4,0)),""))</f>
        <v/>
      </c>
      <c r="D2344" s="48">
        <f>IF(B2344="","",IF(Q2344=1,'02_대상물건입력'!$B$8,IFERROR(INDEX('04A_국토부원자료'!$A:$T,ROW()+1,MATCH("단지명",'04A_국토부원자료'!$A$4:$T$4,0)),"")))</f>
        <v/>
      </c>
      <c r="E2344" s="172">
        <f>IFERROR(VALUE(SUBSTITUTE(INDEX('04A_국토부원자료'!$A:$T,ROW()+1,MATCH("전용면적(㎡)",'04A_국토부원자료'!$A$4:$T$4,0)),",","")),"")</f>
        <v/>
      </c>
      <c r="F23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44" s="51">
        <f>IFERROR(VALUE(SUBSTITUTE(INDEX('04A_국토부원자료'!$A:$T,ROW()+1,MATCH("거래금액(만원)",'04A_국토부원자료'!$A$4:$T$4,0)),",","")),"")</f>
        <v/>
      </c>
      <c r="H2344" s="174">
        <f>IF(G2344="","",G2344*10000)</f>
        <v/>
      </c>
      <c r="I2344" s="174">
        <f>IFERROR(IF(AND(H2344&gt;0,E2344&gt;0),H2344/E2344,""),"")</f>
        <v/>
      </c>
      <c r="J2344" s="152">
        <f>IFERROR(VALUE(SUBSTITUTE(INDEX('04A_국토부원자료'!$A:$T,ROW()+1,MATCH("층",'04A_국토부원자료'!$A$4:$T$4,0)),",","")),"")</f>
        <v/>
      </c>
      <c r="K2344" s="152">
        <f>IFERROR(VALUE(SUBSTITUTE(INDEX('04A_국토부원자료'!$A:$T,ROW()+1,MATCH("건축년도",'04A_국토부원자료'!$A$4:$T$4,0)),",","")),"")</f>
        <v/>
      </c>
      <c r="L2344" s="48">
        <f>IFERROR(INDEX('04A_국토부원자료'!$A:$T,ROW()+1,MATCH("도로명",'04A_국토부원자료'!$A$4:$T$4,0)),"")</f>
        <v/>
      </c>
      <c r="M2344" s="48">
        <f>IFERROR(INDEX('04A_국토부원자료'!$A:$T,ROW()+1,MATCH("거래유형",'04A_국토부원자료'!$A$4:$T$4,0)),"")</f>
        <v/>
      </c>
      <c r="N2344" s="152">
        <f>IF(B2344="","",IF('02_대상물건입력'!B5="",1,IF(ISNUMBER(SEARCH('02_대상물건입력'!B5,B2344)),1,0)))</f>
        <v/>
      </c>
      <c r="O2344" s="152">
        <f>IF(B2344="","",IF('02_대상물건입력'!B6="",1,IF(ISNUMBER(SEARCH('02_대상물건입력'!B6,B2344)),1,0)))</f>
        <v/>
      </c>
      <c r="P2344" s="152">
        <f>IF(L2344="","",IF('02_대상물건입력'!B15="",0,IF(ISNUMBER(SEARCH('02_대상물건입력'!B15,L2344)),1,0)))</f>
        <v/>
      </c>
      <c r="Q2344" s="152">
        <f>IF(OR(C2344="",L2344=""),0,IF(AND(TRIM(C2344)=TRIM(RIGHT(SUBSTITUTE(TRIM('02_대상물건입력'!$B$7)," ",REPT(" ",99)),99)),IF('02_대상물건입력'!B15="",TRUE(),ISNUMBER(SEARCH('02_대상물건입력'!B15,L2344)))),1,0))</f>
        <v/>
      </c>
      <c r="R2344" s="175">
        <f>IFERROR(ABS(E2344-'02_대상물건입력'!B11)/'02_대상물건입력'!B11,"")</f>
        <v/>
      </c>
      <c r="S2344" s="152">
        <f>IFERROR(ABS(J2344-'02_대상물건입력'!B10),"")</f>
        <v/>
      </c>
      <c r="T2344" s="152">
        <f>IFERROR(ABS('01_설정'!B4-F2344),"")</f>
        <v/>
      </c>
      <c r="U2344" s="152">
        <f>IFERROR(ABS(K2344-YEAR('02_대상물건입력'!B14)),"")</f>
        <v/>
      </c>
      <c r="V2344" s="152">
        <f>IF(B2344="","",IF(AND(E2344&gt;0,F2344&gt;0,H2344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2344=1,TRUE()),R2344&lt;='01_설정'!B5,S2344&lt;='01_설정'!B6,T2344&lt;='01_설정'!B7,U2344&lt;='01_설정'!B8),"Y",""))</f>
        <v/>
      </c>
      <c r="W2344" s="172">
        <f>IF(V2344&lt;&gt;"Y","",MAX(0,(1-R2344/'01_설정'!B5))*'01_설정'!B14+MAX(0,(1-S2344/'01_설정'!B6))*'01_설정'!B15+MAX(0,(1-T2344/'01_설정'!B7))*'01_설정'!B16+MAX(0,(1-U2344/'01_설정'!B8))*'01_설정'!B17+O2344*'01_설정'!B11+Q2344*'01_설정'!B12+P2344*'01_설정'!B13+IF(Z2344="",0,Z2344))</f>
        <v/>
      </c>
      <c r="X2344" s="152">
        <f>IF(W2344="","",1+COUNTIFS($W$4:$W$3003,"&gt;"&amp;W2344)+COUNTIFS($W$4:W2344,W2344)-1)</f>
        <v/>
      </c>
      <c r="Y2344" s="175">
        <f>IF(OR(I2344="",'02_대상물건입력'!B19="",'02_대상물건입력'!B19&lt;=0),"",ABS(I2344-'02_대상물건입력'!B19)/'02_대상물건입력'!B19)</f>
        <v/>
      </c>
      <c r="Z2344" s="172">
        <f>IF(OR(Y2344="",'01_설정'!B31="",'01_설정'!B31&lt;=0,'01_설정'!B32="",'01_설정'!B32&lt;=0),"",MAX(0,(1-Y2344/'01_설정'!B32))*'01_설정'!B31)</f>
        <v/>
      </c>
    </row>
    <row r="2345" ht="17.25" customHeight="1">
      <c r="A2345" s="152">
        <f>IF(INDEX('04A_국토부원자료'!$A:$A,ROW()+1)="","",ROW()-3)</f>
        <v/>
      </c>
      <c r="B2345" s="48">
        <f>IFERROR(INDEX('04A_국토부원자료'!$A:$T,ROW()+1,MATCH("시군구",'04A_국토부원자료'!$A$4:$T$4,0)),"")</f>
        <v/>
      </c>
      <c r="C2345" s="48">
        <f>IF(B2345="","",IFERROR(INDEX('04A_국토부원자료'!$A:$T,ROW()+1,MATCH("번지",'04A_국토부원자료'!$A$4:$T$4,0)),""))</f>
        <v/>
      </c>
      <c r="D2345" s="48">
        <f>IF(B2345="","",IF(Q2345=1,'02_대상물건입력'!$B$8,IFERROR(INDEX('04A_국토부원자료'!$A:$T,ROW()+1,MATCH("단지명",'04A_국토부원자료'!$A$4:$T$4,0)),"")))</f>
        <v/>
      </c>
      <c r="E2345" s="172">
        <f>IFERROR(VALUE(SUBSTITUTE(INDEX('04A_국토부원자료'!$A:$T,ROW()+1,MATCH("전용면적(㎡)",'04A_국토부원자료'!$A$4:$T$4,0)),",","")),"")</f>
        <v/>
      </c>
      <c r="F23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45" s="51">
        <f>IFERROR(VALUE(SUBSTITUTE(INDEX('04A_국토부원자료'!$A:$T,ROW()+1,MATCH("거래금액(만원)",'04A_국토부원자료'!$A$4:$T$4,0)),",","")),"")</f>
        <v/>
      </c>
      <c r="H2345" s="174">
        <f>IF(G2345="","",G2345*10000)</f>
        <v/>
      </c>
      <c r="I2345" s="174">
        <f>IFERROR(IF(AND(H2345&gt;0,E2345&gt;0),H2345/E2345,""),"")</f>
        <v/>
      </c>
      <c r="J2345" s="152">
        <f>IFERROR(VALUE(SUBSTITUTE(INDEX('04A_국토부원자료'!$A:$T,ROW()+1,MATCH("층",'04A_국토부원자료'!$A$4:$T$4,0)),",","")),"")</f>
        <v/>
      </c>
      <c r="K2345" s="152">
        <f>IFERROR(VALUE(SUBSTITUTE(INDEX('04A_국토부원자료'!$A:$T,ROW()+1,MATCH("건축년도",'04A_국토부원자료'!$A$4:$T$4,0)),",","")),"")</f>
        <v/>
      </c>
      <c r="L2345" s="48">
        <f>IFERROR(INDEX('04A_국토부원자료'!$A:$T,ROW()+1,MATCH("도로명",'04A_국토부원자료'!$A$4:$T$4,0)),"")</f>
        <v/>
      </c>
      <c r="M2345" s="48">
        <f>IFERROR(INDEX('04A_국토부원자료'!$A:$T,ROW()+1,MATCH("거래유형",'04A_국토부원자료'!$A$4:$T$4,0)),"")</f>
        <v/>
      </c>
      <c r="N2345" s="152">
        <f>IF(B2345="","",IF('02_대상물건입력'!B5="",1,IF(ISNUMBER(SEARCH('02_대상물건입력'!B5,B2345)),1,0)))</f>
        <v/>
      </c>
      <c r="O2345" s="152">
        <f>IF(B2345="","",IF('02_대상물건입력'!B6="",1,IF(ISNUMBER(SEARCH('02_대상물건입력'!B6,B2345)),1,0)))</f>
        <v/>
      </c>
      <c r="P2345" s="152">
        <f>IF(L2345="","",IF('02_대상물건입력'!B15="",0,IF(ISNUMBER(SEARCH('02_대상물건입력'!B15,L2345)),1,0)))</f>
        <v/>
      </c>
      <c r="Q2345" s="152">
        <f>IF(OR(C2345="",L2345=""),0,IF(AND(TRIM(C2345)=TRIM(RIGHT(SUBSTITUTE(TRIM('02_대상물건입력'!$B$7)," ",REPT(" ",99)),99)),IF('02_대상물건입력'!B15="",TRUE(),ISNUMBER(SEARCH('02_대상물건입력'!B15,L2345)))),1,0))</f>
        <v/>
      </c>
      <c r="R2345" s="175">
        <f>IFERROR(ABS(E2345-'02_대상물건입력'!B11)/'02_대상물건입력'!B11,"")</f>
        <v/>
      </c>
      <c r="S2345" s="152">
        <f>IFERROR(ABS(J2345-'02_대상물건입력'!B10),"")</f>
        <v/>
      </c>
      <c r="T2345" s="152">
        <f>IFERROR(ABS('01_설정'!B4-F2345),"")</f>
        <v/>
      </c>
      <c r="U2345" s="152">
        <f>IFERROR(ABS(K2345-YEAR('02_대상물건입력'!B14)),"")</f>
        <v/>
      </c>
      <c r="V2345" s="152">
        <f>IF(B2345="","",IF(AND(E2345&gt;0,F2345&gt;0,H2345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2345=1,TRUE()),R2345&lt;='01_설정'!B5,S2345&lt;='01_설정'!B6,T2345&lt;='01_설정'!B7,U2345&lt;='01_설정'!B8),"Y",""))</f>
        <v/>
      </c>
      <c r="W2345" s="172">
        <f>IF(V2345&lt;&gt;"Y","",MAX(0,(1-R2345/'01_설정'!B5))*'01_설정'!B14+MAX(0,(1-S2345/'01_설정'!B6))*'01_설정'!B15+MAX(0,(1-T2345/'01_설정'!B7))*'01_설정'!B16+MAX(0,(1-U2345/'01_설정'!B8))*'01_설정'!B17+O2345*'01_설정'!B11+Q2345*'01_설정'!B12+P2345*'01_설정'!B13+IF(Z2345="",0,Z2345))</f>
        <v/>
      </c>
      <c r="X2345" s="152">
        <f>IF(W2345="","",1+COUNTIFS($W$4:$W$3003,"&gt;"&amp;W2345)+COUNTIFS($W$4:W2345,W2345)-1)</f>
        <v/>
      </c>
      <c r="Y2345" s="175">
        <f>IF(OR(I2345="",'02_대상물건입력'!B19="",'02_대상물건입력'!B19&lt;=0),"",ABS(I2345-'02_대상물건입력'!B19)/'02_대상물건입력'!B19)</f>
        <v/>
      </c>
      <c r="Z2345" s="172">
        <f>IF(OR(Y2345="",'01_설정'!B31="",'01_설정'!B31&lt;=0,'01_설정'!B32="",'01_설정'!B32&lt;=0),"",MAX(0,(1-Y2345/'01_설정'!B32))*'01_설정'!B31)</f>
        <v/>
      </c>
    </row>
    <row r="2346" ht="17.25" customHeight="1">
      <c r="A2346" s="152">
        <f>IF(INDEX('04A_국토부원자료'!$A:$A,ROW()+1)="","",ROW()-3)</f>
        <v/>
      </c>
      <c r="B2346" s="48">
        <f>IFERROR(INDEX('04A_국토부원자료'!$A:$T,ROW()+1,MATCH("시군구",'04A_국토부원자료'!$A$4:$T$4,0)),"")</f>
        <v/>
      </c>
      <c r="C2346" s="48">
        <f>IF(B2346="","",IFERROR(INDEX('04A_국토부원자료'!$A:$T,ROW()+1,MATCH("번지",'04A_국토부원자료'!$A$4:$T$4,0)),""))</f>
        <v/>
      </c>
      <c r="D2346" s="48">
        <f>IF(B2346="","",IF(Q2346=1,'02_대상물건입력'!$B$8,IFERROR(INDEX('04A_국토부원자료'!$A:$T,ROW()+1,MATCH("단지명",'04A_국토부원자료'!$A$4:$T$4,0)),"")))</f>
        <v/>
      </c>
      <c r="E2346" s="172">
        <f>IFERROR(VALUE(SUBSTITUTE(INDEX('04A_국토부원자료'!$A:$T,ROW()+1,MATCH("전용면적(㎡)",'04A_국토부원자료'!$A$4:$T$4,0)),",","")),"")</f>
        <v/>
      </c>
      <c r="F23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46" s="51">
        <f>IFERROR(VALUE(SUBSTITUTE(INDEX('04A_국토부원자료'!$A:$T,ROW()+1,MATCH("거래금액(만원)",'04A_국토부원자료'!$A$4:$T$4,0)),",","")),"")</f>
        <v/>
      </c>
      <c r="H2346" s="174">
        <f>IF(G2346="","",G2346*10000)</f>
        <v/>
      </c>
      <c r="I2346" s="174">
        <f>IFERROR(IF(AND(H2346&gt;0,E2346&gt;0),H2346/E2346,""),"")</f>
        <v/>
      </c>
      <c r="J2346" s="152">
        <f>IFERROR(VALUE(SUBSTITUTE(INDEX('04A_국토부원자료'!$A:$T,ROW()+1,MATCH("층",'04A_국토부원자료'!$A$4:$T$4,0)),",","")),"")</f>
        <v/>
      </c>
      <c r="K2346" s="152">
        <f>IFERROR(VALUE(SUBSTITUTE(INDEX('04A_국토부원자료'!$A:$T,ROW()+1,MATCH("건축년도",'04A_국토부원자료'!$A$4:$T$4,0)),",","")),"")</f>
        <v/>
      </c>
      <c r="L2346" s="48">
        <f>IFERROR(INDEX('04A_국토부원자료'!$A:$T,ROW()+1,MATCH("도로명",'04A_국토부원자료'!$A$4:$T$4,0)),"")</f>
        <v/>
      </c>
      <c r="M2346" s="48">
        <f>IFERROR(INDEX('04A_국토부원자료'!$A:$T,ROW()+1,MATCH("거래유형",'04A_국토부원자료'!$A$4:$T$4,0)),"")</f>
        <v/>
      </c>
      <c r="N2346" s="152">
        <f>IF(B2346="","",IF('02_대상물건입력'!B5="",1,IF(ISNUMBER(SEARCH('02_대상물건입력'!B5,B2346)),1,0)))</f>
        <v/>
      </c>
      <c r="O2346" s="152">
        <f>IF(B2346="","",IF('02_대상물건입력'!B6="",1,IF(ISNUMBER(SEARCH('02_대상물건입력'!B6,B2346)),1,0)))</f>
        <v/>
      </c>
      <c r="P2346" s="152">
        <f>IF(L2346="","",IF('02_대상물건입력'!B15="",0,IF(ISNUMBER(SEARCH('02_대상물건입력'!B15,L2346)),1,0)))</f>
        <v/>
      </c>
      <c r="Q2346" s="152">
        <f>IF(OR(C2346="",L2346=""),0,IF(AND(TRIM(C2346)=TRIM(RIGHT(SUBSTITUTE(TRIM('02_대상물건입력'!$B$7)," ",REPT(" ",99)),99)),IF('02_대상물건입력'!B15="",TRUE(),ISNUMBER(SEARCH('02_대상물건입력'!B15,L2346)))),1,0))</f>
        <v/>
      </c>
      <c r="R2346" s="175">
        <f>IFERROR(ABS(E2346-'02_대상물건입력'!B11)/'02_대상물건입력'!B11,"")</f>
        <v/>
      </c>
      <c r="S2346" s="152">
        <f>IFERROR(ABS(J2346-'02_대상물건입력'!B10),"")</f>
        <v/>
      </c>
      <c r="T2346" s="152">
        <f>IFERROR(ABS('01_설정'!B4-F2346),"")</f>
        <v/>
      </c>
      <c r="U2346" s="152">
        <f>IFERROR(ABS(K2346-YEAR('02_대상물건입력'!B14)),"")</f>
        <v/>
      </c>
      <c r="V2346" s="152">
        <f>IF(B2346="","",IF(AND(E2346&gt;0,F2346&gt;0,H2346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2346=1,TRUE()),R2346&lt;='01_설정'!B5,S2346&lt;='01_설정'!B6,T2346&lt;='01_설정'!B7,U2346&lt;='01_설정'!B8),"Y",""))</f>
        <v/>
      </c>
      <c r="W2346" s="172">
        <f>IF(V2346&lt;&gt;"Y","",MAX(0,(1-R2346/'01_설정'!B5))*'01_설정'!B14+MAX(0,(1-S2346/'01_설정'!B6))*'01_설정'!B15+MAX(0,(1-T2346/'01_설정'!B7))*'01_설정'!B16+MAX(0,(1-U2346/'01_설정'!B8))*'01_설정'!B17+O2346*'01_설정'!B11+Q2346*'01_설정'!B12+P2346*'01_설정'!B13+IF(Z2346="",0,Z2346))</f>
        <v/>
      </c>
      <c r="X2346" s="152">
        <f>IF(W2346="","",1+COUNTIFS($W$4:$W$3003,"&gt;"&amp;W2346)+COUNTIFS($W$4:W2346,W2346)-1)</f>
        <v/>
      </c>
      <c r="Y2346" s="175">
        <f>IF(OR(I2346="",'02_대상물건입력'!B19="",'02_대상물건입력'!B19&lt;=0),"",ABS(I2346-'02_대상물건입력'!B19)/'02_대상물건입력'!B19)</f>
        <v/>
      </c>
      <c r="Z2346" s="172">
        <f>IF(OR(Y2346="",'01_설정'!B31="",'01_설정'!B31&lt;=0,'01_설정'!B32="",'01_설정'!B32&lt;=0),"",MAX(0,(1-Y2346/'01_설정'!B32))*'01_설정'!B31)</f>
        <v/>
      </c>
    </row>
    <row r="2347" ht="17.25" customHeight="1">
      <c r="A2347" s="152">
        <f>IF(INDEX('04A_국토부원자료'!$A:$A,ROW()+1)="","",ROW()-3)</f>
        <v/>
      </c>
      <c r="B2347" s="48">
        <f>IFERROR(INDEX('04A_국토부원자료'!$A:$T,ROW()+1,MATCH("시군구",'04A_국토부원자료'!$A$4:$T$4,0)),"")</f>
        <v/>
      </c>
      <c r="C2347" s="48">
        <f>IF(B2347="","",IFERROR(INDEX('04A_국토부원자료'!$A:$T,ROW()+1,MATCH("번지",'04A_국토부원자료'!$A$4:$T$4,0)),""))</f>
        <v/>
      </c>
      <c r="D2347" s="48">
        <f>IF(B2347="","",IF(Q2347=1,'02_대상물건입력'!$B$8,IFERROR(INDEX('04A_국토부원자료'!$A:$T,ROW()+1,MATCH("단지명",'04A_국토부원자료'!$A$4:$T$4,0)),"")))</f>
        <v/>
      </c>
      <c r="E2347" s="172">
        <f>IFERROR(VALUE(SUBSTITUTE(INDEX('04A_국토부원자료'!$A:$T,ROW()+1,MATCH("전용면적(㎡)",'04A_국토부원자료'!$A$4:$T$4,0)),",","")),"")</f>
        <v/>
      </c>
      <c r="F23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47" s="51">
        <f>IFERROR(VALUE(SUBSTITUTE(INDEX('04A_국토부원자료'!$A:$T,ROW()+1,MATCH("거래금액(만원)",'04A_국토부원자료'!$A$4:$T$4,0)),",","")),"")</f>
        <v/>
      </c>
      <c r="H2347" s="174">
        <f>IF(G2347="","",G2347*10000)</f>
        <v/>
      </c>
      <c r="I2347" s="174">
        <f>IFERROR(IF(AND(H2347&gt;0,E2347&gt;0),H2347/E2347,""),"")</f>
        <v/>
      </c>
      <c r="J2347" s="152">
        <f>IFERROR(VALUE(SUBSTITUTE(INDEX('04A_국토부원자료'!$A:$T,ROW()+1,MATCH("층",'04A_국토부원자료'!$A$4:$T$4,0)),",","")),"")</f>
        <v/>
      </c>
      <c r="K2347" s="152">
        <f>IFERROR(VALUE(SUBSTITUTE(INDEX('04A_국토부원자료'!$A:$T,ROW()+1,MATCH("건축년도",'04A_국토부원자료'!$A$4:$T$4,0)),",","")),"")</f>
        <v/>
      </c>
      <c r="L2347" s="48">
        <f>IFERROR(INDEX('04A_국토부원자료'!$A:$T,ROW()+1,MATCH("도로명",'04A_국토부원자료'!$A$4:$T$4,0)),"")</f>
        <v/>
      </c>
      <c r="M2347" s="48">
        <f>IFERROR(INDEX('04A_국토부원자료'!$A:$T,ROW()+1,MATCH("거래유형",'04A_국토부원자료'!$A$4:$T$4,0)),"")</f>
        <v/>
      </c>
      <c r="N2347" s="152">
        <f>IF(B2347="","",IF('02_대상물건입력'!B5="",1,IF(ISNUMBER(SEARCH('02_대상물건입력'!B5,B2347)),1,0)))</f>
        <v/>
      </c>
      <c r="O2347" s="152">
        <f>IF(B2347="","",IF('02_대상물건입력'!B6="",1,IF(ISNUMBER(SEARCH('02_대상물건입력'!B6,B2347)),1,0)))</f>
        <v/>
      </c>
      <c r="P2347" s="152">
        <f>IF(L2347="","",IF('02_대상물건입력'!B15="",0,IF(ISNUMBER(SEARCH('02_대상물건입력'!B15,L2347)),1,0)))</f>
        <v/>
      </c>
      <c r="Q2347" s="152">
        <f>IF(OR(C2347="",L2347=""),0,IF(AND(TRIM(C2347)=TRIM(RIGHT(SUBSTITUTE(TRIM('02_대상물건입력'!$B$7)," ",REPT(" ",99)),99)),IF('02_대상물건입력'!B15="",TRUE(),ISNUMBER(SEARCH('02_대상물건입력'!B15,L2347)))),1,0))</f>
        <v/>
      </c>
      <c r="R2347" s="175">
        <f>IFERROR(ABS(E2347-'02_대상물건입력'!B11)/'02_대상물건입력'!B11,"")</f>
        <v/>
      </c>
      <c r="S2347" s="152">
        <f>IFERROR(ABS(J2347-'02_대상물건입력'!B10),"")</f>
        <v/>
      </c>
      <c r="T2347" s="152">
        <f>IFERROR(ABS('01_설정'!B4-F2347),"")</f>
        <v/>
      </c>
      <c r="U2347" s="152">
        <f>IFERROR(ABS(K2347-YEAR('02_대상물건입력'!B14)),"")</f>
        <v/>
      </c>
      <c r="V2347" s="152">
        <f>IF(B2347="","",IF(AND(E2347&gt;0,F2347&gt;0,H2347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2347=1,TRUE()),R2347&lt;='01_설정'!B5,S2347&lt;='01_설정'!B6,T2347&lt;='01_설정'!B7,U2347&lt;='01_설정'!B8),"Y",""))</f>
        <v/>
      </c>
      <c r="W2347" s="172">
        <f>IF(V2347&lt;&gt;"Y","",MAX(0,(1-R2347/'01_설정'!B5))*'01_설정'!B14+MAX(0,(1-S2347/'01_설정'!B6))*'01_설정'!B15+MAX(0,(1-T2347/'01_설정'!B7))*'01_설정'!B16+MAX(0,(1-U2347/'01_설정'!B8))*'01_설정'!B17+O2347*'01_설정'!B11+Q2347*'01_설정'!B12+P2347*'01_설정'!B13+IF(Z2347="",0,Z2347))</f>
        <v/>
      </c>
      <c r="X2347" s="152">
        <f>IF(W2347="","",1+COUNTIFS($W$4:$W$3003,"&gt;"&amp;W2347)+COUNTIFS($W$4:W2347,W2347)-1)</f>
        <v/>
      </c>
      <c r="Y2347" s="175">
        <f>IF(OR(I2347="",'02_대상물건입력'!B19="",'02_대상물건입력'!B19&lt;=0),"",ABS(I2347-'02_대상물건입력'!B19)/'02_대상물건입력'!B19)</f>
        <v/>
      </c>
      <c r="Z2347" s="172">
        <f>IF(OR(Y2347="",'01_설정'!B31="",'01_설정'!B31&lt;=0,'01_설정'!B32="",'01_설정'!B32&lt;=0),"",MAX(0,(1-Y2347/'01_설정'!B32))*'01_설정'!B31)</f>
        <v/>
      </c>
    </row>
    <row r="2348" ht="17.25" customHeight="1">
      <c r="A2348" s="152">
        <f>IF(INDEX('04A_국토부원자료'!$A:$A,ROW()+1)="","",ROW()-3)</f>
        <v/>
      </c>
      <c r="B2348" s="48">
        <f>IFERROR(INDEX('04A_국토부원자료'!$A:$T,ROW()+1,MATCH("시군구",'04A_국토부원자료'!$A$4:$T$4,0)),"")</f>
        <v/>
      </c>
      <c r="C2348" s="48">
        <f>IF(B2348="","",IFERROR(INDEX('04A_국토부원자료'!$A:$T,ROW()+1,MATCH("번지",'04A_국토부원자료'!$A$4:$T$4,0)),""))</f>
        <v/>
      </c>
      <c r="D2348" s="48">
        <f>IF(B2348="","",IF(Q2348=1,'02_대상물건입력'!$B$8,IFERROR(INDEX('04A_국토부원자료'!$A:$T,ROW()+1,MATCH("단지명",'04A_국토부원자료'!$A$4:$T$4,0)),"")))</f>
        <v/>
      </c>
      <c r="E2348" s="172">
        <f>IFERROR(VALUE(SUBSTITUTE(INDEX('04A_국토부원자료'!$A:$T,ROW()+1,MATCH("전용면적(㎡)",'04A_국토부원자료'!$A$4:$T$4,0)),",","")),"")</f>
        <v/>
      </c>
      <c r="F23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48" s="51">
        <f>IFERROR(VALUE(SUBSTITUTE(INDEX('04A_국토부원자료'!$A:$T,ROW()+1,MATCH("거래금액(만원)",'04A_국토부원자료'!$A$4:$T$4,0)),",","")),"")</f>
        <v/>
      </c>
      <c r="H2348" s="174">
        <f>IF(G2348="","",G2348*10000)</f>
        <v/>
      </c>
      <c r="I2348" s="174">
        <f>IFERROR(IF(AND(H2348&gt;0,E2348&gt;0),H2348/E2348,""),"")</f>
        <v/>
      </c>
      <c r="J2348" s="152">
        <f>IFERROR(VALUE(SUBSTITUTE(INDEX('04A_국토부원자료'!$A:$T,ROW()+1,MATCH("층",'04A_국토부원자료'!$A$4:$T$4,0)),",","")),"")</f>
        <v/>
      </c>
      <c r="K2348" s="152">
        <f>IFERROR(VALUE(SUBSTITUTE(INDEX('04A_국토부원자료'!$A:$T,ROW()+1,MATCH("건축년도",'04A_국토부원자료'!$A$4:$T$4,0)),",","")),"")</f>
        <v/>
      </c>
      <c r="L2348" s="48">
        <f>IFERROR(INDEX('04A_국토부원자료'!$A:$T,ROW()+1,MATCH("도로명",'04A_국토부원자료'!$A$4:$T$4,0)),"")</f>
        <v/>
      </c>
      <c r="M2348" s="48">
        <f>IFERROR(INDEX('04A_국토부원자료'!$A:$T,ROW()+1,MATCH("거래유형",'04A_국토부원자료'!$A$4:$T$4,0)),"")</f>
        <v/>
      </c>
      <c r="N2348" s="152">
        <f>IF(B2348="","",IF('02_대상물건입력'!B5="",1,IF(ISNUMBER(SEARCH('02_대상물건입력'!B5,B2348)),1,0)))</f>
        <v/>
      </c>
      <c r="O2348" s="152">
        <f>IF(B2348="","",IF('02_대상물건입력'!B6="",1,IF(ISNUMBER(SEARCH('02_대상물건입력'!B6,B2348)),1,0)))</f>
        <v/>
      </c>
      <c r="P2348" s="152">
        <f>IF(L2348="","",IF('02_대상물건입력'!B15="",0,IF(ISNUMBER(SEARCH('02_대상물건입력'!B15,L2348)),1,0)))</f>
        <v/>
      </c>
      <c r="Q2348" s="152">
        <f>IF(OR(C2348="",L2348=""),0,IF(AND(TRIM(C2348)=TRIM(RIGHT(SUBSTITUTE(TRIM('02_대상물건입력'!$B$7)," ",REPT(" ",99)),99)),IF('02_대상물건입력'!B15="",TRUE(),ISNUMBER(SEARCH('02_대상물건입력'!B15,L2348)))),1,0))</f>
        <v/>
      </c>
      <c r="R2348" s="175">
        <f>IFERROR(ABS(E2348-'02_대상물건입력'!B11)/'02_대상물건입력'!B11,"")</f>
        <v/>
      </c>
      <c r="S2348" s="152">
        <f>IFERROR(ABS(J2348-'02_대상물건입력'!B10),"")</f>
        <v/>
      </c>
      <c r="T2348" s="152">
        <f>IFERROR(ABS('01_설정'!B4-F2348),"")</f>
        <v/>
      </c>
      <c r="U2348" s="152">
        <f>IFERROR(ABS(K2348-YEAR('02_대상물건입력'!B14)),"")</f>
        <v/>
      </c>
      <c r="V2348" s="152">
        <f>IF(B2348="","",IF(AND(E2348&gt;0,F2348&gt;0,H2348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2348=1,TRUE()),R2348&lt;='01_설정'!B5,S2348&lt;='01_설정'!B6,T2348&lt;='01_설정'!B7,U2348&lt;='01_설정'!B8),"Y",""))</f>
        <v/>
      </c>
      <c r="W2348" s="172">
        <f>IF(V2348&lt;&gt;"Y","",MAX(0,(1-R2348/'01_설정'!B5))*'01_설정'!B14+MAX(0,(1-S2348/'01_설정'!B6))*'01_설정'!B15+MAX(0,(1-T2348/'01_설정'!B7))*'01_설정'!B16+MAX(0,(1-U2348/'01_설정'!B8))*'01_설정'!B17+O2348*'01_설정'!B11+Q2348*'01_설정'!B12+P2348*'01_설정'!B13+IF(Z2348="",0,Z2348))</f>
        <v/>
      </c>
      <c r="X2348" s="152">
        <f>IF(W2348="","",1+COUNTIFS($W$4:$W$3003,"&gt;"&amp;W2348)+COUNTIFS($W$4:W2348,W2348)-1)</f>
        <v/>
      </c>
      <c r="Y2348" s="175">
        <f>IF(OR(I2348="",'02_대상물건입력'!B19="",'02_대상물건입력'!B19&lt;=0),"",ABS(I2348-'02_대상물건입력'!B19)/'02_대상물건입력'!B19)</f>
        <v/>
      </c>
      <c r="Z2348" s="172">
        <f>IF(OR(Y2348="",'01_설정'!B31="",'01_설정'!B31&lt;=0,'01_설정'!B32="",'01_설정'!B32&lt;=0),"",MAX(0,(1-Y2348/'01_설정'!B32))*'01_설정'!B31)</f>
        <v/>
      </c>
    </row>
    <row r="2349" ht="17.25" customHeight="1">
      <c r="A2349" s="152">
        <f>IF(INDEX('04A_국토부원자료'!$A:$A,ROW()+1)="","",ROW()-3)</f>
        <v/>
      </c>
      <c r="B2349" s="48">
        <f>IFERROR(INDEX('04A_국토부원자료'!$A:$T,ROW()+1,MATCH("시군구",'04A_국토부원자료'!$A$4:$T$4,0)),"")</f>
        <v/>
      </c>
      <c r="C2349" s="48">
        <f>IF(B2349="","",IFERROR(INDEX('04A_국토부원자료'!$A:$T,ROW()+1,MATCH("번지",'04A_국토부원자료'!$A$4:$T$4,0)),""))</f>
        <v/>
      </c>
      <c r="D2349" s="48">
        <f>IF(B2349="","",IF(Q2349=1,'02_대상물건입력'!$B$8,IFERROR(INDEX('04A_국토부원자료'!$A:$T,ROW()+1,MATCH("단지명",'04A_국토부원자료'!$A$4:$T$4,0)),"")))</f>
        <v/>
      </c>
      <c r="E2349" s="172">
        <f>IFERROR(VALUE(SUBSTITUTE(INDEX('04A_국토부원자료'!$A:$T,ROW()+1,MATCH("전용면적(㎡)",'04A_국토부원자료'!$A$4:$T$4,0)),",","")),"")</f>
        <v/>
      </c>
      <c r="F23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49" s="51">
        <f>IFERROR(VALUE(SUBSTITUTE(INDEX('04A_국토부원자료'!$A:$T,ROW()+1,MATCH("거래금액(만원)",'04A_국토부원자료'!$A$4:$T$4,0)),",","")),"")</f>
        <v/>
      </c>
      <c r="H2349" s="174">
        <f>IF(G2349="","",G2349*10000)</f>
        <v/>
      </c>
      <c r="I2349" s="174">
        <f>IFERROR(IF(AND(H2349&gt;0,E2349&gt;0),H2349/E2349,""),"")</f>
        <v/>
      </c>
      <c r="J2349" s="152">
        <f>IFERROR(VALUE(SUBSTITUTE(INDEX('04A_국토부원자료'!$A:$T,ROW()+1,MATCH("층",'04A_국토부원자료'!$A$4:$T$4,0)),",","")),"")</f>
        <v/>
      </c>
      <c r="K2349" s="152">
        <f>IFERROR(VALUE(SUBSTITUTE(INDEX('04A_국토부원자료'!$A:$T,ROW()+1,MATCH("건축년도",'04A_국토부원자료'!$A$4:$T$4,0)),",","")),"")</f>
        <v/>
      </c>
      <c r="L2349" s="48">
        <f>IFERROR(INDEX('04A_국토부원자료'!$A:$T,ROW()+1,MATCH("도로명",'04A_국토부원자료'!$A$4:$T$4,0)),"")</f>
        <v/>
      </c>
      <c r="M2349" s="48">
        <f>IFERROR(INDEX('04A_국토부원자료'!$A:$T,ROW()+1,MATCH("거래유형",'04A_국토부원자료'!$A$4:$T$4,0)),"")</f>
        <v/>
      </c>
      <c r="N2349" s="152">
        <f>IF(B2349="","",IF('02_대상물건입력'!B5="",1,IF(ISNUMBER(SEARCH('02_대상물건입력'!B5,B2349)),1,0)))</f>
        <v/>
      </c>
      <c r="O2349" s="152">
        <f>IF(B2349="","",IF('02_대상물건입력'!B6="",1,IF(ISNUMBER(SEARCH('02_대상물건입력'!B6,B2349)),1,0)))</f>
        <v/>
      </c>
      <c r="P2349" s="152">
        <f>IF(L2349="","",IF('02_대상물건입력'!B15="",0,IF(ISNUMBER(SEARCH('02_대상물건입력'!B15,L2349)),1,0)))</f>
        <v/>
      </c>
      <c r="Q2349" s="152">
        <f>IF(OR(C2349="",L2349=""),0,IF(AND(TRIM(C2349)=TRIM(RIGHT(SUBSTITUTE(TRIM('02_대상물건입력'!$B$7)," ",REPT(" ",99)),99)),IF('02_대상물건입력'!B15="",TRUE(),ISNUMBER(SEARCH('02_대상물건입력'!B15,L2349)))),1,0))</f>
        <v/>
      </c>
      <c r="R2349" s="175">
        <f>IFERROR(ABS(E2349-'02_대상물건입력'!B11)/'02_대상물건입력'!B11,"")</f>
        <v/>
      </c>
      <c r="S2349" s="152">
        <f>IFERROR(ABS(J2349-'02_대상물건입력'!B10),"")</f>
        <v/>
      </c>
      <c r="T2349" s="152">
        <f>IFERROR(ABS('01_설정'!B4-F2349),"")</f>
        <v/>
      </c>
      <c r="U2349" s="152">
        <f>IFERROR(ABS(K2349-YEAR('02_대상물건입력'!B14)),"")</f>
        <v/>
      </c>
      <c r="V2349" s="152">
        <f>IF(B2349="","",IF(AND(E2349&gt;0,F2349&gt;0,H2349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2349=1,TRUE()),R2349&lt;='01_설정'!B5,S2349&lt;='01_설정'!B6,T2349&lt;='01_설정'!B7,U2349&lt;='01_설정'!B8),"Y",""))</f>
        <v/>
      </c>
      <c r="W2349" s="172">
        <f>IF(V2349&lt;&gt;"Y","",MAX(0,(1-R2349/'01_설정'!B5))*'01_설정'!B14+MAX(0,(1-S2349/'01_설정'!B6))*'01_설정'!B15+MAX(0,(1-T2349/'01_설정'!B7))*'01_설정'!B16+MAX(0,(1-U2349/'01_설정'!B8))*'01_설정'!B17+O2349*'01_설정'!B11+Q2349*'01_설정'!B12+P2349*'01_설정'!B13+IF(Z2349="",0,Z2349))</f>
        <v/>
      </c>
      <c r="X2349" s="152">
        <f>IF(W2349="","",1+COUNTIFS($W$4:$W$3003,"&gt;"&amp;W2349)+COUNTIFS($W$4:W2349,W2349)-1)</f>
        <v/>
      </c>
      <c r="Y2349" s="175">
        <f>IF(OR(I2349="",'02_대상물건입력'!B19="",'02_대상물건입력'!B19&lt;=0),"",ABS(I2349-'02_대상물건입력'!B19)/'02_대상물건입력'!B19)</f>
        <v/>
      </c>
      <c r="Z2349" s="172">
        <f>IF(OR(Y2349="",'01_설정'!B31="",'01_설정'!B31&lt;=0,'01_설정'!B32="",'01_설정'!B32&lt;=0),"",MAX(0,(1-Y2349/'01_설정'!B32))*'01_설정'!B31)</f>
        <v/>
      </c>
    </row>
    <row r="2350" ht="17.25" customHeight="1">
      <c r="A2350" s="152">
        <f>IF(INDEX('04A_국토부원자료'!$A:$A,ROW()+1)="","",ROW()-3)</f>
        <v/>
      </c>
      <c r="B2350" s="48">
        <f>IFERROR(INDEX('04A_국토부원자료'!$A:$T,ROW()+1,MATCH("시군구",'04A_국토부원자료'!$A$4:$T$4,0)),"")</f>
        <v/>
      </c>
      <c r="C2350" s="48">
        <f>IF(B2350="","",IFERROR(INDEX('04A_국토부원자료'!$A:$T,ROW()+1,MATCH("번지",'04A_국토부원자료'!$A$4:$T$4,0)),""))</f>
        <v/>
      </c>
      <c r="D2350" s="48">
        <f>IF(B2350="","",IF(Q2350=1,'02_대상물건입력'!$B$8,IFERROR(INDEX('04A_국토부원자료'!$A:$T,ROW()+1,MATCH("단지명",'04A_국토부원자료'!$A$4:$T$4,0)),"")))</f>
        <v/>
      </c>
      <c r="E2350" s="172">
        <f>IFERROR(VALUE(SUBSTITUTE(INDEX('04A_국토부원자료'!$A:$T,ROW()+1,MATCH("전용면적(㎡)",'04A_국토부원자료'!$A$4:$T$4,0)),",","")),"")</f>
        <v/>
      </c>
      <c r="F23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50" s="51">
        <f>IFERROR(VALUE(SUBSTITUTE(INDEX('04A_국토부원자료'!$A:$T,ROW()+1,MATCH("거래금액(만원)",'04A_국토부원자료'!$A$4:$T$4,0)),",","")),"")</f>
        <v/>
      </c>
      <c r="H2350" s="174">
        <f>IF(G2350="","",G2350*10000)</f>
        <v/>
      </c>
      <c r="I2350" s="174">
        <f>IFERROR(IF(AND(H2350&gt;0,E2350&gt;0),H2350/E2350,""),"")</f>
        <v/>
      </c>
      <c r="J2350" s="152">
        <f>IFERROR(VALUE(SUBSTITUTE(INDEX('04A_국토부원자료'!$A:$T,ROW()+1,MATCH("층",'04A_국토부원자료'!$A$4:$T$4,0)),",","")),"")</f>
        <v/>
      </c>
      <c r="K2350" s="152">
        <f>IFERROR(VALUE(SUBSTITUTE(INDEX('04A_국토부원자료'!$A:$T,ROW()+1,MATCH("건축년도",'04A_국토부원자료'!$A$4:$T$4,0)),",","")),"")</f>
        <v/>
      </c>
      <c r="L2350" s="48">
        <f>IFERROR(INDEX('04A_국토부원자료'!$A:$T,ROW()+1,MATCH("도로명",'04A_국토부원자료'!$A$4:$T$4,0)),"")</f>
        <v/>
      </c>
      <c r="M2350" s="48">
        <f>IFERROR(INDEX('04A_국토부원자료'!$A:$T,ROW()+1,MATCH("거래유형",'04A_국토부원자료'!$A$4:$T$4,0)),"")</f>
        <v/>
      </c>
      <c r="N2350" s="152">
        <f>IF(B2350="","",IF('02_대상물건입력'!B5="",1,IF(ISNUMBER(SEARCH('02_대상물건입력'!B5,B2350)),1,0)))</f>
        <v/>
      </c>
      <c r="O2350" s="152">
        <f>IF(B2350="","",IF('02_대상물건입력'!B6="",1,IF(ISNUMBER(SEARCH('02_대상물건입력'!B6,B2350)),1,0)))</f>
        <v/>
      </c>
      <c r="P2350" s="152">
        <f>IF(L2350="","",IF('02_대상물건입력'!B15="",0,IF(ISNUMBER(SEARCH('02_대상물건입력'!B15,L2350)),1,0)))</f>
        <v/>
      </c>
      <c r="Q2350" s="152">
        <f>IF(OR(C2350="",L2350=""),0,IF(AND(TRIM(C2350)=TRIM(RIGHT(SUBSTITUTE(TRIM('02_대상물건입력'!$B$7)," ",REPT(" ",99)),99)),IF('02_대상물건입력'!B15="",TRUE(),ISNUMBER(SEARCH('02_대상물건입력'!B15,L2350)))),1,0))</f>
        <v/>
      </c>
      <c r="R2350" s="175">
        <f>IFERROR(ABS(E2350-'02_대상물건입력'!B11)/'02_대상물건입력'!B11,"")</f>
        <v/>
      </c>
      <c r="S2350" s="152">
        <f>IFERROR(ABS(J2350-'02_대상물건입력'!B10),"")</f>
        <v/>
      </c>
      <c r="T2350" s="152">
        <f>IFERROR(ABS('01_설정'!B4-F2350),"")</f>
        <v/>
      </c>
      <c r="U2350" s="152">
        <f>IFERROR(ABS(K2350-YEAR('02_대상물건입력'!B14)),"")</f>
        <v/>
      </c>
      <c r="V2350" s="152">
        <f>IF(B2350="","",IF(AND(E2350&gt;0,F2350&gt;0,H2350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2350=1,TRUE()),R2350&lt;='01_설정'!B5,S2350&lt;='01_설정'!B6,T2350&lt;='01_설정'!B7,U2350&lt;='01_설정'!B8),"Y",""))</f>
        <v/>
      </c>
      <c r="W2350" s="172">
        <f>IF(V2350&lt;&gt;"Y","",MAX(0,(1-R2350/'01_설정'!B5))*'01_설정'!B14+MAX(0,(1-S2350/'01_설정'!B6))*'01_설정'!B15+MAX(0,(1-T2350/'01_설정'!B7))*'01_설정'!B16+MAX(0,(1-U2350/'01_설정'!B8))*'01_설정'!B17+O2350*'01_설정'!B11+Q2350*'01_설정'!B12+P2350*'01_설정'!B13+IF(Z2350="",0,Z2350))</f>
        <v/>
      </c>
      <c r="X2350" s="152">
        <f>IF(W2350="","",1+COUNTIFS($W$4:$W$3003,"&gt;"&amp;W2350)+COUNTIFS($W$4:W2350,W2350)-1)</f>
        <v/>
      </c>
      <c r="Y2350" s="175">
        <f>IF(OR(I2350="",'02_대상물건입력'!B19="",'02_대상물건입력'!B19&lt;=0),"",ABS(I2350-'02_대상물건입력'!B19)/'02_대상물건입력'!B19)</f>
        <v/>
      </c>
      <c r="Z2350" s="172">
        <f>IF(OR(Y2350="",'01_설정'!B31="",'01_설정'!B31&lt;=0,'01_설정'!B32="",'01_설정'!B32&lt;=0),"",MAX(0,(1-Y2350/'01_설정'!B32))*'01_설정'!B31)</f>
        <v/>
      </c>
    </row>
    <row r="2351" ht="17.25" customHeight="1">
      <c r="A2351" s="152">
        <f>IF(INDEX('04A_국토부원자료'!$A:$A,ROW()+1)="","",ROW()-3)</f>
        <v/>
      </c>
      <c r="B2351" s="48">
        <f>IFERROR(INDEX('04A_국토부원자료'!$A:$T,ROW()+1,MATCH("시군구",'04A_국토부원자료'!$A$4:$T$4,0)),"")</f>
        <v/>
      </c>
      <c r="C2351" s="48">
        <f>IF(B2351="","",IFERROR(INDEX('04A_국토부원자료'!$A:$T,ROW()+1,MATCH("번지",'04A_국토부원자료'!$A$4:$T$4,0)),""))</f>
        <v/>
      </c>
      <c r="D2351" s="48">
        <f>IF(B2351="","",IF(Q2351=1,'02_대상물건입력'!$B$8,IFERROR(INDEX('04A_국토부원자료'!$A:$T,ROW()+1,MATCH("단지명",'04A_국토부원자료'!$A$4:$T$4,0)),"")))</f>
        <v/>
      </c>
      <c r="E2351" s="172">
        <f>IFERROR(VALUE(SUBSTITUTE(INDEX('04A_국토부원자료'!$A:$T,ROW()+1,MATCH("전용면적(㎡)",'04A_국토부원자료'!$A$4:$T$4,0)),",","")),"")</f>
        <v/>
      </c>
      <c r="F23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51" s="51">
        <f>IFERROR(VALUE(SUBSTITUTE(INDEX('04A_국토부원자료'!$A:$T,ROW()+1,MATCH("거래금액(만원)",'04A_국토부원자료'!$A$4:$T$4,0)),",","")),"")</f>
        <v/>
      </c>
      <c r="H2351" s="174">
        <f>IF(G2351="","",G2351*10000)</f>
        <v/>
      </c>
      <c r="I2351" s="174">
        <f>IFERROR(IF(AND(H2351&gt;0,E2351&gt;0),H2351/E2351,""),"")</f>
        <v/>
      </c>
      <c r="J2351" s="152">
        <f>IFERROR(VALUE(SUBSTITUTE(INDEX('04A_국토부원자료'!$A:$T,ROW()+1,MATCH("층",'04A_국토부원자료'!$A$4:$T$4,0)),",","")),"")</f>
        <v/>
      </c>
      <c r="K2351" s="152">
        <f>IFERROR(VALUE(SUBSTITUTE(INDEX('04A_국토부원자료'!$A:$T,ROW()+1,MATCH("건축년도",'04A_국토부원자료'!$A$4:$T$4,0)),",","")),"")</f>
        <v/>
      </c>
      <c r="L2351" s="48">
        <f>IFERROR(INDEX('04A_국토부원자료'!$A:$T,ROW()+1,MATCH("도로명",'04A_국토부원자료'!$A$4:$T$4,0)),"")</f>
        <v/>
      </c>
      <c r="M2351" s="48">
        <f>IFERROR(INDEX('04A_국토부원자료'!$A:$T,ROW()+1,MATCH("거래유형",'04A_국토부원자료'!$A$4:$T$4,0)),"")</f>
        <v/>
      </c>
      <c r="N2351" s="152">
        <f>IF(B2351="","",IF('02_대상물건입력'!B5="",1,IF(ISNUMBER(SEARCH('02_대상물건입력'!B5,B2351)),1,0)))</f>
        <v/>
      </c>
      <c r="O2351" s="152">
        <f>IF(B2351="","",IF('02_대상물건입력'!B6="",1,IF(ISNUMBER(SEARCH('02_대상물건입력'!B6,B2351)),1,0)))</f>
        <v/>
      </c>
      <c r="P2351" s="152">
        <f>IF(L2351="","",IF('02_대상물건입력'!B15="",0,IF(ISNUMBER(SEARCH('02_대상물건입력'!B15,L2351)),1,0)))</f>
        <v/>
      </c>
      <c r="Q2351" s="152">
        <f>IF(OR(C2351="",L2351=""),0,IF(AND(TRIM(C2351)=TRIM(RIGHT(SUBSTITUTE(TRIM('02_대상물건입력'!$B$7)," ",REPT(" ",99)),99)),IF('02_대상물건입력'!B15="",TRUE(),ISNUMBER(SEARCH('02_대상물건입력'!B15,L2351)))),1,0))</f>
        <v/>
      </c>
      <c r="R2351" s="175">
        <f>IFERROR(ABS(E2351-'02_대상물건입력'!B11)/'02_대상물건입력'!B11,"")</f>
        <v/>
      </c>
      <c r="S2351" s="152">
        <f>IFERROR(ABS(J2351-'02_대상물건입력'!B10),"")</f>
        <v/>
      </c>
      <c r="T2351" s="152">
        <f>IFERROR(ABS('01_설정'!B4-F2351),"")</f>
        <v/>
      </c>
      <c r="U2351" s="152">
        <f>IFERROR(ABS(K2351-YEAR('02_대상물건입력'!B14)),"")</f>
        <v/>
      </c>
      <c r="V2351" s="152">
        <f>IF(B2351="","",IF(AND(E2351&gt;0,F2351&gt;0,H2351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2351=1,TRUE()),R2351&lt;='01_설정'!B5,S2351&lt;='01_설정'!B6,T2351&lt;='01_설정'!B7,U2351&lt;='01_설정'!B8),"Y",""))</f>
        <v/>
      </c>
      <c r="W2351" s="172">
        <f>IF(V2351&lt;&gt;"Y","",MAX(0,(1-R2351/'01_설정'!B5))*'01_설정'!B14+MAX(0,(1-S2351/'01_설정'!B6))*'01_설정'!B15+MAX(0,(1-T2351/'01_설정'!B7))*'01_설정'!B16+MAX(0,(1-U2351/'01_설정'!B8))*'01_설정'!B17+O2351*'01_설정'!B11+Q2351*'01_설정'!B12+P2351*'01_설정'!B13+IF(Z2351="",0,Z2351))</f>
        <v/>
      </c>
      <c r="X2351" s="152">
        <f>IF(W2351="","",1+COUNTIFS($W$4:$W$3003,"&gt;"&amp;W2351)+COUNTIFS($W$4:W2351,W2351)-1)</f>
        <v/>
      </c>
      <c r="Y2351" s="175">
        <f>IF(OR(I2351="",'02_대상물건입력'!B19="",'02_대상물건입력'!B19&lt;=0),"",ABS(I2351-'02_대상물건입력'!B19)/'02_대상물건입력'!B19)</f>
        <v/>
      </c>
      <c r="Z2351" s="172">
        <f>IF(OR(Y2351="",'01_설정'!B31="",'01_설정'!B31&lt;=0,'01_설정'!B32="",'01_설정'!B32&lt;=0),"",MAX(0,(1-Y2351/'01_설정'!B32))*'01_설정'!B31)</f>
        <v/>
      </c>
    </row>
    <row r="2352" ht="17.25" customHeight="1">
      <c r="A2352" s="152">
        <f>IF(INDEX('04A_국토부원자료'!$A:$A,ROW()+1)="","",ROW()-3)</f>
        <v/>
      </c>
      <c r="B2352" s="48">
        <f>IFERROR(INDEX('04A_국토부원자료'!$A:$T,ROW()+1,MATCH("시군구",'04A_국토부원자료'!$A$4:$T$4,0)),"")</f>
        <v/>
      </c>
      <c r="C2352" s="48">
        <f>IF(B2352="","",IFERROR(INDEX('04A_국토부원자료'!$A:$T,ROW()+1,MATCH("번지",'04A_국토부원자료'!$A$4:$T$4,0)),""))</f>
        <v/>
      </c>
      <c r="D2352" s="48">
        <f>IF(B2352="","",IF(Q2352=1,'02_대상물건입력'!$B$8,IFERROR(INDEX('04A_국토부원자료'!$A:$T,ROW()+1,MATCH("단지명",'04A_국토부원자료'!$A$4:$T$4,0)),"")))</f>
        <v/>
      </c>
      <c r="E2352" s="172">
        <f>IFERROR(VALUE(SUBSTITUTE(INDEX('04A_국토부원자료'!$A:$T,ROW()+1,MATCH("전용면적(㎡)",'04A_국토부원자료'!$A$4:$T$4,0)),",","")),"")</f>
        <v/>
      </c>
      <c r="F23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52" s="51">
        <f>IFERROR(VALUE(SUBSTITUTE(INDEX('04A_국토부원자료'!$A:$T,ROW()+1,MATCH("거래금액(만원)",'04A_국토부원자료'!$A$4:$T$4,0)),",","")),"")</f>
        <v/>
      </c>
      <c r="H2352" s="174">
        <f>IF(G2352="","",G2352*10000)</f>
        <v/>
      </c>
      <c r="I2352" s="174">
        <f>IFERROR(IF(AND(H2352&gt;0,E2352&gt;0),H2352/E2352,""),"")</f>
        <v/>
      </c>
      <c r="J2352" s="152">
        <f>IFERROR(VALUE(SUBSTITUTE(INDEX('04A_국토부원자료'!$A:$T,ROW()+1,MATCH("층",'04A_국토부원자료'!$A$4:$T$4,0)),",","")),"")</f>
        <v/>
      </c>
      <c r="K2352" s="152">
        <f>IFERROR(VALUE(SUBSTITUTE(INDEX('04A_국토부원자료'!$A:$T,ROW()+1,MATCH("건축년도",'04A_국토부원자료'!$A$4:$T$4,0)),",","")),"")</f>
        <v/>
      </c>
      <c r="L2352" s="48">
        <f>IFERROR(INDEX('04A_국토부원자료'!$A:$T,ROW()+1,MATCH("도로명",'04A_국토부원자료'!$A$4:$T$4,0)),"")</f>
        <v/>
      </c>
      <c r="M2352" s="48">
        <f>IFERROR(INDEX('04A_국토부원자료'!$A:$T,ROW()+1,MATCH("거래유형",'04A_국토부원자료'!$A$4:$T$4,0)),"")</f>
        <v/>
      </c>
      <c r="N2352" s="152">
        <f>IF(B2352="","",IF('02_대상물건입력'!B5="",1,IF(ISNUMBER(SEARCH('02_대상물건입력'!B5,B2352)),1,0)))</f>
        <v/>
      </c>
      <c r="O2352" s="152">
        <f>IF(B2352="","",IF('02_대상물건입력'!B6="",1,IF(ISNUMBER(SEARCH('02_대상물건입력'!B6,B2352)),1,0)))</f>
        <v/>
      </c>
      <c r="P2352" s="152">
        <f>IF(L2352="","",IF('02_대상물건입력'!B15="",0,IF(ISNUMBER(SEARCH('02_대상물건입력'!B15,L2352)),1,0)))</f>
        <v/>
      </c>
      <c r="Q2352" s="152">
        <f>IF(OR(C2352="",L2352=""),0,IF(AND(TRIM(C2352)=TRIM(RIGHT(SUBSTITUTE(TRIM('02_대상물건입력'!$B$7)," ",REPT(" ",99)),99)),IF('02_대상물건입력'!B15="",TRUE(),ISNUMBER(SEARCH('02_대상물건입력'!B15,L2352)))),1,0))</f>
        <v/>
      </c>
      <c r="R2352" s="175">
        <f>IFERROR(ABS(E2352-'02_대상물건입력'!B11)/'02_대상물건입력'!B11,"")</f>
        <v/>
      </c>
      <c r="S2352" s="152">
        <f>IFERROR(ABS(J2352-'02_대상물건입력'!B10),"")</f>
        <v/>
      </c>
      <c r="T2352" s="152">
        <f>IFERROR(ABS('01_설정'!B4-F2352),"")</f>
        <v/>
      </c>
      <c r="U2352" s="152">
        <f>IFERROR(ABS(K2352-YEAR('02_대상물건입력'!B14)),"")</f>
        <v/>
      </c>
      <c r="V2352" s="152">
        <f>IF(B2352="","",IF(AND(E2352&gt;0,F2352&gt;0,H2352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2352=1,TRUE()),R2352&lt;='01_설정'!B5,S2352&lt;='01_설정'!B6,T2352&lt;='01_설정'!B7,U2352&lt;='01_설정'!B8),"Y",""))</f>
        <v/>
      </c>
      <c r="W2352" s="172">
        <f>IF(V2352&lt;&gt;"Y","",MAX(0,(1-R2352/'01_설정'!B5))*'01_설정'!B14+MAX(0,(1-S2352/'01_설정'!B6))*'01_설정'!B15+MAX(0,(1-T2352/'01_설정'!B7))*'01_설정'!B16+MAX(0,(1-U2352/'01_설정'!B8))*'01_설정'!B17+O2352*'01_설정'!B11+Q2352*'01_설정'!B12+P2352*'01_설정'!B13+IF(Z2352="",0,Z2352))</f>
        <v/>
      </c>
      <c r="X2352" s="152">
        <f>IF(W2352="","",1+COUNTIFS($W$4:$W$3003,"&gt;"&amp;W2352)+COUNTIFS($W$4:W2352,W2352)-1)</f>
        <v/>
      </c>
      <c r="Y2352" s="175">
        <f>IF(OR(I2352="",'02_대상물건입력'!B19="",'02_대상물건입력'!B19&lt;=0),"",ABS(I2352-'02_대상물건입력'!B19)/'02_대상물건입력'!B19)</f>
        <v/>
      </c>
      <c r="Z2352" s="172">
        <f>IF(OR(Y2352="",'01_설정'!B31="",'01_설정'!B31&lt;=0,'01_설정'!B32="",'01_설정'!B32&lt;=0),"",MAX(0,(1-Y2352/'01_설정'!B32))*'01_설정'!B31)</f>
        <v/>
      </c>
    </row>
    <row r="2353" ht="17.25" customHeight="1">
      <c r="A2353" s="152">
        <f>IF(INDEX('04A_국토부원자료'!$A:$A,ROW()+1)="","",ROW()-3)</f>
        <v/>
      </c>
      <c r="B2353" s="48">
        <f>IFERROR(INDEX('04A_국토부원자료'!$A:$T,ROW()+1,MATCH("시군구",'04A_국토부원자료'!$A$4:$T$4,0)),"")</f>
        <v/>
      </c>
      <c r="C2353" s="48">
        <f>IF(B2353="","",IFERROR(INDEX('04A_국토부원자료'!$A:$T,ROW()+1,MATCH("번지",'04A_국토부원자료'!$A$4:$T$4,0)),""))</f>
        <v/>
      </c>
      <c r="D2353" s="48">
        <f>IF(B2353="","",IF(Q2353=1,'02_대상물건입력'!$B$8,IFERROR(INDEX('04A_국토부원자료'!$A:$T,ROW()+1,MATCH("단지명",'04A_국토부원자료'!$A$4:$T$4,0)),"")))</f>
        <v/>
      </c>
      <c r="E2353" s="172">
        <f>IFERROR(VALUE(SUBSTITUTE(INDEX('04A_국토부원자료'!$A:$T,ROW()+1,MATCH("전용면적(㎡)",'04A_국토부원자료'!$A$4:$T$4,0)),",","")),"")</f>
        <v/>
      </c>
      <c r="F23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53" s="51">
        <f>IFERROR(VALUE(SUBSTITUTE(INDEX('04A_국토부원자료'!$A:$T,ROW()+1,MATCH("거래금액(만원)",'04A_국토부원자료'!$A$4:$T$4,0)),",","")),"")</f>
        <v/>
      </c>
      <c r="H2353" s="174">
        <f>IF(G2353="","",G2353*10000)</f>
        <v/>
      </c>
      <c r="I2353" s="174">
        <f>IFERROR(IF(AND(H2353&gt;0,E2353&gt;0),H2353/E2353,""),"")</f>
        <v/>
      </c>
      <c r="J2353" s="152">
        <f>IFERROR(VALUE(SUBSTITUTE(INDEX('04A_국토부원자료'!$A:$T,ROW()+1,MATCH("층",'04A_국토부원자료'!$A$4:$T$4,0)),",","")),"")</f>
        <v/>
      </c>
      <c r="K2353" s="152">
        <f>IFERROR(VALUE(SUBSTITUTE(INDEX('04A_국토부원자료'!$A:$T,ROW()+1,MATCH("건축년도",'04A_국토부원자료'!$A$4:$T$4,0)),",","")),"")</f>
        <v/>
      </c>
      <c r="L2353" s="48">
        <f>IFERROR(INDEX('04A_국토부원자료'!$A:$T,ROW()+1,MATCH("도로명",'04A_국토부원자료'!$A$4:$T$4,0)),"")</f>
        <v/>
      </c>
      <c r="M2353" s="48">
        <f>IFERROR(INDEX('04A_국토부원자료'!$A:$T,ROW()+1,MATCH("거래유형",'04A_국토부원자료'!$A$4:$T$4,0)),"")</f>
        <v/>
      </c>
      <c r="N2353" s="152">
        <f>IF(B2353="","",IF('02_대상물건입력'!B5="",1,IF(ISNUMBER(SEARCH('02_대상물건입력'!B5,B2353)),1,0)))</f>
        <v/>
      </c>
      <c r="O2353" s="152">
        <f>IF(B2353="","",IF('02_대상물건입력'!B6="",1,IF(ISNUMBER(SEARCH('02_대상물건입력'!B6,B2353)),1,0)))</f>
        <v/>
      </c>
      <c r="P2353" s="152">
        <f>IF(L2353="","",IF('02_대상물건입력'!B15="",0,IF(ISNUMBER(SEARCH('02_대상물건입력'!B15,L2353)),1,0)))</f>
        <v/>
      </c>
      <c r="Q2353" s="152">
        <f>IF(OR(C2353="",L2353=""),0,IF(AND(TRIM(C2353)=TRIM(RIGHT(SUBSTITUTE(TRIM('02_대상물건입력'!$B$7)," ",REPT(" ",99)),99)),IF('02_대상물건입력'!B15="",TRUE(),ISNUMBER(SEARCH('02_대상물건입력'!B15,L2353)))),1,0))</f>
        <v/>
      </c>
      <c r="R2353" s="175">
        <f>IFERROR(ABS(E2353-'02_대상물건입력'!B11)/'02_대상물건입력'!B11,"")</f>
        <v/>
      </c>
      <c r="S2353" s="152">
        <f>IFERROR(ABS(J2353-'02_대상물건입력'!B10),"")</f>
        <v/>
      </c>
      <c r="T2353" s="152">
        <f>IFERROR(ABS('01_설정'!B4-F2353),"")</f>
        <v/>
      </c>
      <c r="U2353" s="152">
        <f>IFERROR(ABS(K2353-YEAR('02_대상물건입력'!B14)),"")</f>
        <v/>
      </c>
      <c r="V2353" s="152">
        <f>IF(B2353="","",IF(AND(E2353&gt;0,F2353&gt;0,H2353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2353=1,TRUE()),R2353&lt;='01_설정'!B5,S2353&lt;='01_설정'!B6,T2353&lt;='01_설정'!B7,U2353&lt;='01_설정'!B8),"Y",""))</f>
        <v/>
      </c>
      <c r="W2353" s="172">
        <f>IF(V2353&lt;&gt;"Y","",MAX(0,(1-R2353/'01_설정'!B5))*'01_설정'!B14+MAX(0,(1-S2353/'01_설정'!B6))*'01_설정'!B15+MAX(0,(1-T2353/'01_설정'!B7))*'01_설정'!B16+MAX(0,(1-U2353/'01_설정'!B8))*'01_설정'!B17+O2353*'01_설정'!B11+Q2353*'01_설정'!B12+P2353*'01_설정'!B13+IF(Z2353="",0,Z2353))</f>
        <v/>
      </c>
      <c r="X2353" s="152">
        <f>IF(W2353="","",1+COUNTIFS($W$4:$W$3003,"&gt;"&amp;W2353)+COUNTIFS($W$4:W2353,W2353)-1)</f>
        <v/>
      </c>
      <c r="Y2353" s="175">
        <f>IF(OR(I2353="",'02_대상물건입력'!B19="",'02_대상물건입력'!B19&lt;=0),"",ABS(I2353-'02_대상물건입력'!B19)/'02_대상물건입력'!B19)</f>
        <v/>
      </c>
      <c r="Z2353" s="172">
        <f>IF(OR(Y2353="",'01_설정'!B31="",'01_설정'!B31&lt;=0,'01_설정'!B32="",'01_설정'!B32&lt;=0),"",MAX(0,(1-Y2353/'01_설정'!B32))*'01_설정'!B31)</f>
        <v/>
      </c>
    </row>
    <row r="2354" ht="17.25" customHeight="1">
      <c r="A2354" s="152">
        <f>IF(INDEX('04A_국토부원자료'!$A:$A,ROW()+1)="","",ROW()-3)</f>
        <v/>
      </c>
      <c r="B2354" s="48">
        <f>IFERROR(INDEX('04A_국토부원자료'!$A:$T,ROW()+1,MATCH("시군구",'04A_국토부원자료'!$A$4:$T$4,0)),"")</f>
        <v/>
      </c>
      <c r="C2354" s="48">
        <f>IF(B2354="","",IFERROR(INDEX('04A_국토부원자료'!$A:$T,ROW()+1,MATCH("번지",'04A_국토부원자료'!$A$4:$T$4,0)),""))</f>
        <v/>
      </c>
      <c r="D2354" s="48">
        <f>IF(B2354="","",IF(Q2354=1,'02_대상물건입력'!$B$8,IFERROR(INDEX('04A_국토부원자료'!$A:$T,ROW()+1,MATCH("단지명",'04A_국토부원자료'!$A$4:$T$4,0)),"")))</f>
        <v/>
      </c>
      <c r="E2354" s="172">
        <f>IFERROR(VALUE(SUBSTITUTE(INDEX('04A_국토부원자료'!$A:$T,ROW()+1,MATCH("전용면적(㎡)",'04A_국토부원자료'!$A$4:$T$4,0)),",","")),"")</f>
        <v/>
      </c>
      <c r="F23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54" s="51">
        <f>IFERROR(VALUE(SUBSTITUTE(INDEX('04A_국토부원자료'!$A:$T,ROW()+1,MATCH("거래금액(만원)",'04A_국토부원자료'!$A$4:$T$4,0)),",","")),"")</f>
        <v/>
      </c>
      <c r="H2354" s="174">
        <f>IF(G2354="","",G2354*10000)</f>
        <v/>
      </c>
      <c r="I2354" s="174">
        <f>IFERROR(IF(AND(H2354&gt;0,E2354&gt;0),H2354/E2354,""),"")</f>
        <v/>
      </c>
      <c r="J2354" s="152">
        <f>IFERROR(VALUE(SUBSTITUTE(INDEX('04A_국토부원자료'!$A:$T,ROW()+1,MATCH("층",'04A_국토부원자료'!$A$4:$T$4,0)),",","")),"")</f>
        <v/>
      </c>
      <c r="K2354" s="152">
        <f>IFERROR(VALUE(SUBSTITUTE(INDEX('04A_국토부원자료'!$A:$T,ROW()+1,MATCH("건축년도",'04A_국토부원자료'!$A$4:$T$4,0)),",","")),"")</f>
        <v/>
      </c>
      <c r="L2354" s="48">
        <f>IFERROR(INDEX('04A_국토부원자료'!$A:$T,ROW()+1,MATCH("도로명",'04A_국토부원자료'!$A$4:$T$4,0)),"")</f>
        <v/>
      </c>
      <c r="M2354" s="48">
        <f>IFERROR(INDEX('04A_국토부원자료'!$A:$T,ROW()+1,MATCH("거래유형",'04A_국토부원자료'!$A$4:$T$4,0)),"")</f>
        <v/>
      </c>
      <c r="N2354" s="152">
        <f>IF(B2354="","",IF('02_대상물건입력'!B5="",1,IF(ISNUMBER(SEARCH('02_대상물건입력'!B5,B2354)),1,0)))</f>
        <v/>
      </c>
      <c r="O2354" s="152">
        <f>IF(B2354="","",IF('02_대상물건입력'!B6="",1,IF(ISNUMBER(SEARCH('02_대상물건입력'!B6,B2354)),1,0)))</f>
        <v/>
      </c>
      <c r="P2354" s="152">
        <f>IF(L2354="","",IF('02_대상물건입력'!B15="",0,IF(ISNUMBER(SEARCH('02_대상물건입력'!B15,L2354)),1,0)))</f>
        <v/>
      </c>
      <c r="Q2354" s="152">
        <f>IF(OR(C2354="",L2354=""),0,IF(AND(TRIM(C2354)=TRIM(RIGHT(SUBSTITUTE(TRIM('02_대상물건입력'!$B$7)," ",REPT(" ",99)),99)),IF('02_대상물건입력'!B15="",TRUE(),ISNUMBER(SEARCH('02_대상물건입력'!B15,L2354)))),1,0))</f>
        <v/>
      </c>
      <c r="R2354" s="175">
        <f>IFERROR(ABS(E2354-'02_대상물건입력'!B11)/'02_대상물건입력'!B11,"")</f>
        <v/>
      </c>
      <c r="S2354" s="152">
        <f>IFERROR(ABS(J2354-'02_대상물건입력'!B10),"")</f>
        <v/>
      </c>
      <c r="T2354" s="152">
        <f>IFERROR(ABS('01_설정'!B4-F2354),"")</f>
        <v/>
      </c>
      <c r="U2354" s="152">
        <f>IFERROR(ABS(K2354-YEAR('02_대상물건입력'!B14)),"")</f>
        <v/>
      </c>
      <c r="V2354" s="152">
        <f>IF(B2354="","",IF(AND(E2354&gt;0,F2354&gt;0,H2354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2354=1,TRUE()),R2354&lt;='01_설정'!B5,S2354&lt;='01_설정'!B6,T2354&lt;='01_설정'!B7,U2354&lt;='01_설정'!B8),"Y",""))</f>
        <v/>
      </c>
      <c r="W2354" s="172">
        <f>IF(V2354&lt;&gt;"Y","",MAX(0,(1-R2354/'01_설정'!B5))*'01_설정'!B14+MAX(0,(1-S2354/'01_설정'!B6))*'01_설정'!B15+MAX(0,(1-T2354/'01_설정'!B7))*'01_설정'!B16+MAX(0,(1-U2354/'01_설정'!B8))*'01_설정'!B17+O2354*'01_설정'!B11+Q2354*'01_설정'!B12+P2354*'01_설정'!B13+IF(Z2354="",0,Z2354))</f>
        <v/>
      </c>
      <c r="X2354" s="152">
        <f>IF(W2354="","",1+COUNTIFS($W$4:$W$3003,"&gt;"&amp;W2354)+COUNTIFS($W$4:W2354,W2354)-1)</f>
        <v/>
      </c>
      <c r="Y2354" s="175">
        <f>IF(OR(I2354="",'02_대상물건입력'!B19="",'02_대상물건입력'!B19&lt;=0),"",ABS(I2354-'02_대상물건입력'!B19)/'02_대상물건입력'!B19)</f>
        <v/>
      </c>
      <c r="Z2354" s="172">
        <f>IF(OR(Y2354="",'01_설정'!B31="",'01_설정'!B31&lt;=0,'01_설정'!B32="",'01_설정'!B32&lt;=0),"",MAX(0,(1-Y2354/'01_설정'!B32))*'01_설정'!B31)</f>
        <v/>
      </c>
    </row>
    <row r="2355" ht="17.25" customHeight="1">
      <c r="A2355" s="152">
        <f>IF(INDEX('04A_국토부원자료'!$A:$A,ROW()+1)="","",ROW()-3)</f>
        <v/>
      </c>
      <c r="B2355" s="48">
        <f>IFERROR(INDEX('04A_국토부원자료'!$A:$T,ROW()+1,MATCH("시군구",'04A_국토부원자료'!$A$4:$T$4,0)),"")</f>
        <v/>
      </c>
      <c r="C2355" s="48">
        <f>IF(B2355="","",IFERROR(INDEX('04A_국토부원자료'!$A:$T,ROW()+1,MATCH("번지",'04A_국토부원자료'!$A$4:$T$4,0)),""))</f>
        <v/>
      </c>
      <c r="D2355" s="48">
        <f>IF(B2355="","",IF(Q2355=1,'02_대상물건입력'!$B$8,IFERROR(INDEX('04A_국토부원자료'!$A:$T,ROW()+1,MATCH("단지명",'04A_국토부원자료'!$A$4:$T$4,0)),"")))</f>
        <v/>
      </c>
      <c r="E2355" s="172">
        <f>IFERROR(VALUE(SUBSTITUTE(INDEX('04A_국토부원자료'!$A:$T,ROW()+1,MATCH("전용면적(㎡)",'04A_국토부원자료'!$A$4:$T$4,0)),",","")),"")</f>
        <v/>
      </c>
      <c r="F23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55" s="51">
        <f>IFERROR(VALUE(SUBSTITUTE(INDEX('04A_국토부원자료'!$A:$T,ROW()+1,MATCH("거래금액(만원)",'04A_국토부원자료'!$A$4:$T$4,0)),",","")),"")</f>
        <v/>
      </c>
      <c r="H2355" s="174">
        <f>IF(G2355="","",G2355*10000)</f>
        <v/>
      </c>
      <c r="I2355" s="174">
        <f>IFERROR(IF(AND(H2355&gt;0,E2355&gt;0),H2355/E2355,""),"")</f>
        <v/>
      </c>
      <c r="J2355" s="152">
        <f>IFERROR(VALUE(SUBSTITUTE(INDEX('04A_국토부원자료'!$A:$T,ROW()+1,MATCH("층",'04A_국토부원자료'!$A$4:$T$4,0)),",","")),"")</f>
        <v/>
      </c>
      <c r="K2355" s="152">
        <f>IFERROR(VALUE(SUBSTITUTE(INDEX('04A_국토부원자료'!$A:$T,ROW()+1,MATCH("건축년도",'04A_국토부원자료'!$A$4:$T$4,0)),",","")),"")</f>
        <v/>
      </c>
      <c r="L2355" s="48">
        <f>IFERROR(INDEX('04A_국토부원자료'!$A:$T,ROW()+1,MATCH("도로명",'04A_국토부원자료'!$A$4:$T$4,0)),"")</f>
        <v/>
      </c>
      <c r="M2355" s="48">
        <f>IFERROR(INDEX('04A_국토부원자료'!$A:$T,ROW()+1,MATCH("거래유형",'04A_국토부원자료'!$A$4:$T$4,0)),"")</f>
        <v/>
      </c>
      <c r="N2355" s="152">
        <f>IF(B2355="","",IF('02_대상물건입력'!B5="",1,IF(ISNUMBER(SEARCH('02_대상물건입력'!B5,B2355)),1,0)))</f>
        <v/>
      </c>
      <c r="O2355" s="152">
        <f>IF(B2355="","",IF('02_대상물건입력'!B6="",1,IF(ISNUMBER(SEARCH('02_대상물건입력'!B6,B2355)),1,0)))</f>
        <v/>
      </c>
      <c r="P2355" s="152">
        <f>IF(L2355="","",IF('02_대상물건입력'!B15="",0,IF(ISNUMBER(SEARCH('02_대상물건입력'!B15,L2355)),1,0)))</f>
        <v/>
      </c>
      <c r="Q2355" s="152">
        <f>IF(OR(C2355="",L2355=""),0,IF(AND(TRIM(C2355)=TRIM(RIGHT(SUBSTITUTE(TRIM('02_대상물건입력'!$B$7)," ",REPT(" ",99)),99)),IF('02_대상물건입력'!B15="",TRUE(),ISNUMBER(SEARCH('02_대상물건입력'!B15,L2355)))),1,0))</f>
        <v/>
      </c>
      <c r="R2355" s="175">
        <f>IFERROR(ABS(E2355-'02_대상물건입력'!B11)/'02_대상물건입력'!B11,"")</f>
        <v/>
      </c>
      <c r="S2355" s="152">
        <f>IFERROR(ABS(J2355-'02_대상물건입력'!B10),"")</f>
        <v/>
      </c>
      <c r="T2355" s="152">
        <f>IFERROR(ABS('01_설정'!B4-F2355),"")</f>
        <v/>
      </c>
      <c r="U2355" s="152">
        <f>IFERROR(ABS(K2355-YEAR('02_대상물건입력'!B14)),"")</f>
        <v/>
      </c>
      <c r="V2355" s="152">
        <f>IF(B2355="","",IF(AND(E2355&gt;0,F2355&gt;0,H2355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2355=1,TRUE()),R2355&lt;='01_설정'!B5,S2355&lt;='01_설정'!B6,T2355&lt;='01_설정'!B7,U2355&lt;='01_설정'!B8),"Y",""))</f>
        <v/>
      </c>
      <c r="W2355" s="172">
        <f>IF(V2355&lt;&gt;"Y","",MAX(0,(1-R2355/'01_설정'!B5))*'01_설정'!B14+MAX(0,(1-S2355/'01_설정'!B6))*'01_설정'!B15+MAX(0,(1-T2355/'01_설정'!B7))*'01_설정'!B16+MAX(0,(1-U2355/'01_설정'!B8))*'01_설정'!B17+O2355*'01_설정'!B11+Q2355*'01_설정'!B12+P2355*'01_설정'!B13+IF(Z2355="",0,Z2355))</f>
        <v/>
      </c>
      <c r="X2355" s="152">
        <f>IF(W2355="","",1+COUNTIFS($W$4:$W$3003,"&gt;"&amp;W2355)+COUNTIFS($W$4:W2355,W2355)-1)</f>
        <v/>
      </c>
      <c r="Y2355" s="175">
        <f>IF(OR(I2355="",'02_대상물건입력'!B19="",'02_대상물건입력'!B19&lt;=0),"",ABS(I2355-'02_대상물건입력'!B19)/'02_대상물건입력'!B19)</f>
        <v/>
      </c>
      <c r="Z2355" s="172">
        <f>IF(OR(Y2355="",'01_설정'!B31="",'01_설정'!B31&lt;=0,'01_설정'!B32="",'01_설정'!B32&lt;=0),"",MAX(0,(1-Y2355/'01_설정'!B32))*'01_설정'!B31)</f>
        <v/>
      </c>
    </row>
    <row r="2356" ht="17.25" customHeight="1">
      <c r="A2356" s="152">
        <f>IF(INDEX('04A_국토부원자료'!$A:$A,ROW()+1)="","",ROW()-3)</f>
        <v/>
      </c>
      <c r="B2356" s="48">
        <f>IFERROR(INDEX('04A_국토부원자료'!$A:$T,ROW()+1,MATCH("시군구",'04A_국토부원자료'!$A$4:$T$4,0)),"")</f>
        <v/>
      </c>
      <c r="C2356" s="48">
        <f>IF(B2356="","",IFERROR(INDEX('04A_국토부원자료'!$A:$T,ROW()+1,MATCH("번지",'04A_국토부원자료'!$A$4:$T$4,0)),""))</f>
        <v/>
      </c>
      <c r="D2356" s="48">
        <f>IF(B2356="","",IF(Q2356=1,'02_대상물건입력'!$B$8,IFERROR(INDEX('04A_국토부원자료'!$A:$T,ROW()+1,MATCH("단지명",'04A_국토부원자료'!$A$4:$T$4,0)),"")))</f>
        <v/>
      </c>
      <c r="E2356" s="172">
        <f>IFERROR(VALUE(SUBSTITUTE(INDEX('04A_국토부원자료'!$A:$T,ROW()+1,MATCH("전용면적(㎡)",'04A_국토부원자료'!$A$4:$T$4,0)),",","")),"")</f>
        <v/>
      </c>
      <c r="F23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56" s="51">
        <f>IFERROR(VALUE(SUBSTITUTE(INDEX('04A_국토부원자료'!$A:$T,ROW()+1,MATCH("거래금액(만원)",'04A_국토부원자료'!$A$4:$T$4,0)),",","")),"")</f>
        <v/>
      </c>
      <c r="H2356" s="174">
        <f>IF(G2356="","",G2356*10000)</f>
        <v/>
      </c>
      <c r="I2356" s="174">
        <f>IFERROR(IF(AND(H2356&gt;0,E2356&gt;0),H2356/E2356,""),"")</f>
        <v/>
      </c>
      <c r="J2356" s="152">
        <f>IFERROR(VALUE(SUBSTITUTE(INDEX('04A_국토부원자료'!$A:$T,ROW()+1,MATCH("층",'04A_국토부원자료'!$A$4:$T$4,0)),",","")),"")</f>
        <v/>
      </c>
      <c r="K2356" s="152">
        <f>IFERROR(VALUE(SUBSTITUTE(INDEX('04A_국토부원자료'!$A:$T,ROW()+1,MATCH("건축년도",'04A_국토부원자료'!$A$4:$T$4,0)),",","")),"")</f>
        <v/>
      </c>
      <c r="L2356" s="48">
        <f>IFERROR(INDEX('04A_국토부원자료'!$A:$T,ROW()+1,MATCH("도로명",'04A_국토부원자료'!$A$4:$T$4,0)),"")</f>
        <v/>
      </c>
      <c r="M2356" s="48">
        <f>IFERROR(INDEX('04A_국토부원자료'!$A:$T,ROW()+1,MATCH("거래유형",'04A_국토부원자료'!$A$4:$T$4,0)),"")</f>
        <v/>
      </c>
      <c r="N2356" s="152">
        <f>IF(B2356="","",IF('02_대상물건입력'!B5="",1,IF(ISNUMBER(SEARCH('02_대상물건입력'!B5,B2356)),1,0)))</f>
        <v/>
      </c>
      <c r="O2356" s="152">
        <f>IF(B2356="","",IF('02_대상물건입력'!B6="",1,IF(ISNUMBER(SEARCH('02_대상물건입력'!B6,B2356)),1,0)))</f>
        <v/>
      </c>
      <c r="P2356" s="152">
        <f>IF(L2356="","",IF('02_대상물건입력'!B15="",0,IF(ISNUMBER(SEARCH('02_대상물건입력'!B15,L2356)),1,0)))</f>
        <v/>
      </c>
      <c r="Q2356" s="152">
        <f>IF(OR(C2356="",L2356=""),0,IF(AND(TRIM(C2356)=TRIM(RIGHT(SUBSTITUTE(TRIM('02_대상물건입력'!$B$7)," ",REPT(" ",99)),99)),IF('02_대상물건입력'!B15="",TRUE(),ISNUMBER(SEARCH('02_대상물건입력'!B15,L2356)))),1,0))</f>
        <v/>
      </c>
      <c r="R2356" s="175">
        <f>IFERROR(ABS(E2356-'02_대상물건입력'!B11)/'02_대상물건입력'!B11,"")</f>
        <v/>
      </c>
      <c r="S2356" s="152">
        <f>IFERROR(ABS(J2356-'02_대상물건입력'!B10),"")</f>
        <v/>
      </c>
      <c r="T2356" s="152">
        <f>IFERROR(ABS('01_설정'!B4-F2356),"")</f>
        <v/>
      </c>
      <c r="U2356" s="152">
        <f>IFERROR(ABS(K2356-YEAR('02_대상물건입력'!B14)),"")</f>
        <v/>
      </c>
      <c r="V2356" s="152">
        <f>IF(B2356="","",IF(AND(E2356&gt;0,F2356&gt;0,H2356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2356=1,TRUE()),R2356&lt;='01_설정'!B5,S2356&lt;='01_설정'!B6,T2356&lt;='01_설정'!B7,U2356&lt;='01_설정'!B8),"Y",""))</f>
        <v/>
      </c>
      <c r="W2356" s="172">
        <f>IF(V2356&lt;&gt;"Y","",MAX(0,(1-R2356/'01_설정'!B5))*'01_설정'!B14+MAX(0,(1-S2356/'01_설정'!B6))*'01_설정'!B15+MAX(0,(1-T2356/'01_설정'!B7))*'01_설정'!B16+MAX(0,(1-U2356/'01_설정'!B8))*'01_설정'!B17+O2356*'01_설정'!B11+Q2356*'01_설정'!B12+P2356*'01_설정'!B13+IF(Z2356="",0,Z2356))</f>
        <v/>
      </c>
      <c r="X2356" s="152">
        <f>IF(W2356="","",1+COUNTIFS($W$4:$W$3003,"&gt;"&amp;W2356)+COUNTIFS($W$4:W2356,W2356)-1)</f>
        <v/>
      </c>
      <c r="Y2356" s="175">
        <f>IF(OR(I2356="",'02_대상물건입력'!B19="",'02_대상물건입력'!B19&lt;=0),"",ABS(I2356-'02_대상물건입력'!B19)/'02_대상물건입력'!B19)</f>
        <v/>
      </c>
      <c r="Z2356" s="172">
        <f>IF(OR(Y2356="",'01_설정'!B31="",'01_설정'!B31&lt;=0,'01_설정'!B32="",'01_설정'!B32&lt;=0),"",MAX(0,(1-Y2356/'01_설정'!B32))*'01_설정'!B31)</f>
        <v/>
      </c>
    </row>
    <row r="2357" ht="17.25" customHeight="1">
      <c r="A2357" s="152">
        <f>IF(INDEX('04A_국토부원자료'!$A:$A,ROW()+1)="","",ROW()-3)</f>
        <v/>
      </c>
      <c r="B2357" s="48">
        <f>IFERROR(INDEX('04A_국토부원자료'!$A:$T,ROW()+1,MATCH("시군구",'04A_국토부원자료'!$A$4:$T$4,0)),"")</f>
        <v/>
      </c>
      <c r="C2357" s="48">
        <f>IF(B2357="","",IFERROR(INDEX('04A_국토부원자료'!$A:$T,ROW()+1,MATCH("번지",'04A_국토부원자료'!$A$4:$T$4,0)),""))</f>
        <v/>
      </c>
      <c r="D2357" s="48">
        <f>IF(B2357="","",IF(Q2357=1,'02_대상물건입력'!$B$8,IFERROR(INDEX('04A_국토부원자료'!$A:$T,ROW()+1,MATCH("단지명",'04A_국토부원자료'!$A$4:$T$4,0)),"")))</f>
        <v/>
      </c>
      <c r="E2357" s="172">
        <f>IFERROR(VALUE(SUBSTITUTE(INDEX('04A_국토부원자료'!$A:$T,ROW()+1,MATCH("전용면적(㎡)",'04A_국토부원자료'!$A$4:$T$4,0)),",","")),"")</f>
        <v/>
      </c>
      <c r="F23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57" s="51">
        <f>IFERROR(VALUE(SUBSTITUTE(INDEX('04A_국토부원자료'!$A:$T,ROW()+1,MATCH("거래금액(만원)",'04A_국토부원자료'!$A$4:$T$4,0)),",","")),"")</f>
        <v/>
      </c>
      <c r="H2357" s="174">
        <f>IF(G2357="","",G2357*10000)</f>
        <v/>
      </c>
      <c r="I2357" s="174">
        <f>IFERROR(IF(AND(H2357&gt;0,E2357&gt;0),H2357/E2357,""),"")</f>
        <v/>
      </c>
      <c r="J2357" s="152">
        <f>IFERROR(VALUE(SUBSTITUTE(INDEX('04A_국토부원자료'!$A:$T,ROW()+1,MATCH("층",'04A_국토부원자료'!$A$4:$T$4,0)),",","")),"")</f>
        <v/>
      </c>
      <c r="K2357" s="152">
        <f>IFERROR(VALUE(SUBSTITUTE(INDEX('04A_국토부원자료'!$A:$T,ROW()+1,MATCH("건축년도",'04A_국토부원자료'!$A$4:$T$4,0)),",","")),"")</f>
        <v/>
      </c>
      <c r="L2357" s="48">
        <f>IFERROR(INDEX('04A_국토부원자료'!$A:$T,ROW()+1,MATCH("도로명",'04A_국토부원자료'!$A$4:$T$4,0)),"")</f>
        <v/>
      </c>
      <c r="M2357" s="48">
        <f>IFERROR(INDEX('04A_국토부원자료'!$A:$T,ROW()+1,MATCH("거래유형",'04A_국토부원자료'!$A$4:$T$4,0)),"")</f>
        <v/>
      </c>
      <c r="N2357" s="152">
        <f>IF(B2357="","",IF('02_대상물건입력'!B5="",1,IF(ISNUMBER(SEARCH('02_대상물건입력'!B5,B2357)),1,0)))</f>
        <v/>
      </c>
      <c r="O2357" s="152">
        <f>IF(B2357="","",IF('02_대상물건입력'!B6="",1,IF(ISNUMBER(SEARCH('02_대상물건입력'!B6,B2357)),1,0)))</f>
        <v/>
      </c>
      <c r="P2357" s="152">
        <f>IF(L2357="","",IF('02_대상물건입력'!B15="",0,IF(ISNUMBER(SEARCH('02_대상물건입력'!B15,L2357)),1,0)))</f>
        <v/>
      </c>
      <c r="Q2357" s="152">
        <f>IF(OR(C2357="",L2357=""),0,IF(AND(TRIM(C2357)=TRIM(RIGHT(SUBSTITUTE(TRIM('02_대상물건입력'!$B$7)," ",REPT(" ",99)),99)),IF('02_대상물건입력'!B15="",TRUE(),ISNUMBER(SEARCH('02_대상물건입력'!B15,L2357)))),1,0))</f>
        <v/>
      </c>
      <c r="R2357" s="175">
        <f>IFERROR(ABS(E2357-'02_대상물건입력'!B11)/'02_대상물건입력'!B11,"")</f>
        <v/>
      </c>
      <c r="S2357" s="152">
        <f>IFERROR(ABS(J2357-'02_대상물건입력'!B10),"")</f>
        <v/>
      </c>
      <c r="T2357" s="152">
        <f>IFERROR(ABS('01_설정'!B4-F2357),"")</f>
        <v/>
      </c>
      <c r="U2357" s="152">
        <f>IFERROR(ABS(K2357-YEAR('02_대상물건입력'!B14)),"")</f>
        <v/>
      </c>
      <c r="V2357" s="152">
        <f>IF(B2357="","",IF(AND(E2357&gt;0,F2357&gt;0,H2357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2357=1,TRUE()),R2357&lt;='01_설정'!B5,S2357&lt;='01_설정'!B6,T2357&lt;='01_설정'!B7,U2357&lt;='01_설정'!B8),"Y",""))</f>
        <v/>
      </c>
      <c r="W2357" s="172">
        <f>IF(V2357&lt;&gt;"Y","",MAX(0,(1-R2357/'01_설정'!B5))*'01_설정'!B14+MAX(0,(1-S2357/'01_설정'!B6))*'01_설정'!B15+MAX(0,(1-T2357/'01_설정'!B7))*'01_설정'!B16+MAX(0,(1-U2357/'01_설정'!B8))*'01_설정'!B17+O2357*'01_설정'!B11+Q2357*'01_설정'!B12+P2357*'01_설정'!B13+IF(Z2357="",0,Z2357))</f>
        <v/>
      </c>
      <c r="X2357" s="152">
        <f>IF(W2357="","",1+COUNTIFS($W$4:$W$3003,"&gt;"&amp;W2357)+COUNTIFS($W$4:W2357,W2357)-1)</f>
        <v/>
      </c>
      <c r="Y2357" s="175">
        <f>IF(OR(I2357="",'02_대상물건입력'!B19="",'02_대상물건입력'!B19&lt;=0),"",ABS(I2357-'02_대상물건입력'!B19)/'02_대상물건입력'!B19)</f>
        <v/>
      </c>
      <c r="Z2357" s="172">
        <f>IF(OR(Y2357="",'01_설정'!B31="",'01_설정'!B31&lt;=0,'01_설정'!B32="",'01_설정'!B32&lt;=0),"",MAX(0,(1-Y2357/'01_설정'!B32))*'01_설정'!B31)</f>
        <v/>
      </c>
    </row>
    <row r="2358" ht="17.25" customHeight="1">
      <c r="A2358" s="152">
        <f>IF(INDEX('04A_국토부원자료'!$A:$A,ROW()+1)="","",ROW()-3)</f>
        <v/>
      </c>
      <c r="B2358" s="48">
        <f>IFERROR(INDEX('04A_국토부원자료'!$A:$T,ROW()+1,MATCH("시군구",'04A_국토부원자료'!$A$4:$T$4,0)),"")</f>
        <v/>
      </c>
      <c r="C2358" s="48">
        <f>IF(B2358="","",IFERROR(INDEX('04A_국토부원자료'!$A:$T,ROW()+1,MATCH("번지",'04A_국토부원자료'!$A$4:$T$4,0)),""))</f>
        <v/>
      </c>
      <c r="D2358" s="48">
        <f>IF(B2358="","",IF(Q2358=1,'02_대상물건입력'!$B$8,IFERROR(INDEX('04A_국토부원자료'!$A:$T,ROW()+1,MATCH("단지명",'04A_국토부원자료'!$A$4:$T$4,0)),"")))</f>
        <v/>
      </c>
      <c r="E2358" s="172">
        <f>IFERROR(VALUE(SUBSTITUTE(INDEX('04A_국토부원자료'!$A:$T,ROW()+1,MATCH("전용면적(㎡)",'04A_국토부원자료'!$A$4:$T$4,0)),",","")),"")</f>
        <v/>
      </c>
      <c r="F23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58" s="51">
        <f>IFERROR(VALUE(SUBSTITUTE(INDEX('04A_국토부원자료'!$A:$T,ROW()+1,MATCH("거래금액(만원)",'04A_국토부원자료'!$A$4:$T$4,0)),",","")),"")</f>
        <v/>
      </c>
      <c r="H2358" s="174">
        <f>IF(G2358="","",G2358*10000)</f>
        <v/>
      </c>
      <c r="I2358" s="174">
        <f>IFERROR(IF(AND(H2358&gt;0,E2358&gt;0),H2358/E2358,""),"")</f>
        <v/>
      </c>
      <c r="J2358" s="152">
        <f>IFERROR(VALUE(SUBSTITUTE(INDEX('04A_국토부원자료'!$A:$T,ROW()+1,MATCH("층",'04A_국토부원자료'!$A$4:$T$4,0)),",","")),"")</f>
        <v/>
      </c>
      <c r="K2358" s="152">
        <f>IFERROR(VALUE(SUBSTITUTE(INDEX('04A_국토부원자료'!$A:$T,ROW()+1,MATCH("건축년도",'04A_국토부원자료'!$A$4:$T$4,0)),",","")),"")</f>
        <v/>
      </c>
      <c r="L2358" s="48">
        <f>IFERROR(INDEX('04A_국토부원자료'!$A:$T,ROW()+1,MATCH("도로명",'04A_국토부원자료'!$A$4:$T$4,0)),"")</f>
        <v/>
      </c>
      <c r="M2358" s="48">
        <f>IFERROR(INDEX('04A_국토부원자료'!$A:$T,ROW()+1,MATCH("거래유형",'04A_국토부원자료'!$A$4:$T$4,0)),"")</f>
        <v/>
      </c>
      <c r="N2358" s="152">
        <f>IF(B2358="","",IF('02_대상물건입력'!B5="",1,IF(ISNUMBER(SEARCH('02_대상물건입력'!B5,B2358)),1,0)))</f>
        <v/>
      </c>
      <c r="O2358" s="152">
        <f>IF(B2358="","",IF('02_대상물건입력'!B6="",1,IF(ISNUMBER(SEARCH('02_대상물건입력'!B6,B2358)),1,0)))</f>
        <v/>
      </c>
      <c r="P2358" s="152">
        <f>IF(L2358="","",IF('02_대상물건입력'!B15="",0,IF(ISNUMBER(SEARCH('02_대상물건입력'!B15,L2358)),1,0)))</f>
        <v/>
      </c>
      <c r="Q2358" s="152">
        <f>IF(OR(C2358="",L2358=""),0,IF(AND(TRIM(C2358)=TRIM(RIGHT(SUBSTITUTE(TRIM('02_대상물건입력'!$B$7)," ",REPT(" ",99)),99)),IF('02_대상물건입력'!B15="",TRUE(),ISNUMBER(SEARCH('02_대상물건입력'!B15,L2358)))),1,0))</f>
        <v/>
      </c>
      <c r="R2358" s="175">
        <f>IFERROR(ABS(E2358-'02_대상물건입력'!B11)/'02_대상물건입력'!B11,"")</f>
        <v/>
      </c>
      <c r="S2358" s="152">
        <f>IFERROR(ABS(J2358-'02_대상물건입력'!B10),"")</f>
        <v/>
      </c>
      <c r="T2358" s="152">
        <f>IFERROR(ABS('01_설정'!B4-F2358),"")</f>
        <v/>
      </c>
      <c r="U2358" s="152">
        <f>IFERROR(ABS(K2358-YEAR('02_대상물건입력'!B14)),"")</f>
        <v/>
      </c>
      <c r="V2358" s="152">
        <f>IF(B2358="","",IF(AND(E2358&gt;0,F2358&gt;0,H2358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2358=1,TRUE()),R2358&lt;='01_설정'!B5,S2358&lt;='01_설정'!B6,T2358&lt;='01_설정'!B7,U2358&lt;='01_설정'!B8),"Y",""))</f>
        <v/>
      </c>
      <c r="W2358" s="172">
        <f>IF(V2358&lt;&gt;"Y","",MAX(0,(1-R2358/'01_설정'!B5))*'01_설정'!B14+MAX(0,(1-S2358/'01_설정'!B6))*'01_설정'!B15+MAX(0,(1-T2358/'01_설정'!B7))*'01_설정'!B16+MAX(0,(1-U2358/'01_설정'!B8))*'01_설정'!B17+O2358*'01_설정'!B11+Q2358*'01_설정'!B12+P2358*'01_설정'!B13+IF(Z2358="",0,Z2358))</f>
        <v/>
      </c>
      <c r="X2358" s="152">
        <f>IF(W2358="","",1+COUNTIFS($W$4:$W$3003,"&gt;"&amp;W2358)+COUNTIFS($W$4:W2358,W2358)-1)</f>
        <v/>
      </c>
      <c r="Y2358" s="175">
        <f>IF(OR(I2358="",'02_대상물건입력'!B19="",'02_대상물건입력'!B19&lt;=0),"",ABS(I2358-'02_대상물건입력'!B19)/'02_대상물건입력'!B19)</f>
        <v/>
      </c>
      <c r="Z2358" s="172">
        <f>IF(OR(Y2358="",'01_설정'!B31="",'01_설정'!B31&lt;=0,'01_설정'!B32="",'01_설정'!B32&lt;=0),"",MAX(0,(1-Y2358/'01_설정'!B32))*'01_설정'!B31)</f>
        <v/>
      </c>
    </row>
    <row r="2359" ht="17.25" customHeight="1">
      <c r="A2359" s="152">
        <f>IF(INDEX('04A_국토부원자료'!$A:$A,ROW()+1)="","",ROW()-3)</f>
        <v/>
      </c>
      <c r="B2359" s="48">
        <f>IFERROR(INDEX('04A_국토부원자료'!$A:$T,ROW()+1,MATCH("시군구",'04A_국토부원자료'!$A$4:$T$4,0)),"")</f>
        <v/>
      </c>
      <c r="C2359" s="48">
        <f>IF(B2359="","",IFERROR(INDEX('04A_국토부원자료'!$A:$T,ROW()+1,MATCH("번지",'04A_국토부원자료'!$A$4:$T$4,0)),""))</f>
        <v/>
      </c>
      <c r="D2359" s="48">
        <f>IF(B2359="","",IF(Q2359=1,'02_대상물건입력'!$B$8,IFERROR(INDEX('04A_국토부원자료'!$A:$T,ROW()+1,MATCH("단지명",'04A_국토부원자료'!$A$4:$T$4,0)),"")))</f>
        <v/>
      </c>
      <c r="E2359" s="172">
        <f>IFERROR(VALUE(SUBSTITUTE(INDEX('04A_국토부원자료'!$A:$T,ROW()+1,MATCH("전용면적(㎡)",'04A_국토부원자료'!$A$4:$T$4,0)),",","")),"")</f>
        <v/>
      </c>
      <c r="F23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59" s="51">
        <f>IFERROR(VALUE(SUBSTITUTE(INDEX('04A_국토부원자료'!$A:$T,ROW()+1,MATCH("거래금액(만원)",'04A_국토부원자료'!$A$4:$T$4,0)),",","")),"")</f>
        <v/>
      </c>
      <c r="H2359" s="174">
        <f>IF(G2359="","",G2359*10000)</f>
        <v/>
      </c>
      <c r="I2359" s="174">
        <f>IFERROR(IF(AND(H2359&gt;0,E2359&gt;0),H2359/E2359,""),"")</f>
        <v/>
      </c>
      <c r="J2359" s="152">
        <f>IFERROR(VALUE(SUBSTITUTE(INDEX('04A_국토부원자료'!$A:$T,ROW()+1,MATCH("층",'04A_국토부원자료'!$A$4:$T$4,0)),",","")),"")</f>
        <v/>
      </c>
      <c r="K2359" s="152">
        <f>IFERROR(VALUE(SUBSTITUTE(INDEX('04A_국토부원자료'!$A:$T,ROW()+1,MATCH("건축년도",'04A_국토부원자료'!$A$4:$T$4,0)),",","")),"")</f>
        <v/>
      </c>
      <c r="L2359" s="48">
        <f>IFERROR(INDEX('04A_국토부원자료'!$A:$T,ROW()+1,MATCH("도로명",'04A_국토부원자료'!$A$4:$T$4,0)),"")</f>
        <v/>
      </c>
      <c r="M2359" s="48">
        <f>IFERROR(INDEX('04A_국토부원자료'!$A:$T,ROW()+1,MATCH("거래유형",'04A_국토부원자료'!$A$4:$T$4,0)),"")</f>
        <v/>
      </c>
      <c r="N2359" s="152">
        <f>IF(B2359="","",IF('02_대상물건입력'!B5="",1,IF(ISNUMBER(SEARCH('02_대상물건입력'!B5,B2359)),1,0)))</f>
        <v/>
      </c>
      <c r="O2359" s="152">
        <f>IF(B2359="","",IF('02_대상물건입력'!B6="",1,IF(ISNUMBER(SEARCH('02_대상물건입력'!B6,B2359)),1,0)))</f>
        <v/>
      </c>
      <c r="P2359" s="152">
        <f>IF(L2359="","",IF('02_대상물건입력'!B15="",0,IF(ISNUMBER(SEARCH('02_대상물건입력'!B15,L2359)),1,0)))</f>
        <v/>
      </c>
      <c r="Q2359" s="152">
        <f>IF(OR(C2359="",L2359=""),0,IF(AND(TRIM(C2359)=TRIM(RIGHT(SUBSTITUTE(TRIM('02_대상물건입력'!$B$7)," ",REPT(" ",99)),99)),IF('02_대상물건입력'!B15="",TRUE(),ISNUMBER(SEARCH('02_대상물건입력'!B15,L2359)))),1,0))</f>
        <v/>
      </c>
      <c r="R2359" s="175">
        <f>IFERROR(ABS(E2359-'02_대상물건입력'!B11)/'02_대상물건입력'!B11,"")</f>
        <v/>
      </c>
      <c r="S2359" s="152">
        <f>IFERROR(ABS(J2359-'02_대상물건입력'!B10),"")</f>
        <v/>
      </c>
      <c r="T2359" s="152">
        <f>IFERROR(ABS('01_설정'!B4-F2359),"")</f>
        <v/>
      </c>
      <c r="U2359" s="152">
        <f>IFERROR(ABS(K2359-YEAR('02_대상물건입력'!B14)),"")</f>
        <v/>
      </c>
      <c r="V2359" s="152">
        <f>IF(B2359="","",IF(AND(E2359&gt;0,F2359&gt;0,H2359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2359=1,TRUE()),R2359&lt;='01_설정'!B5,S2359&lt;='01_설정'!B6,T2359&lt;='01_설정'!B7,U2359&lt;='01_설정'!B8),"Y",""))</f>
        <v/>
      </c>
      <c r="W2359" s="172">
        <f>IF(V2359&lt;&gt;"Y","",MAX(0,(1-R2359/'01_설정'!B5))*'01_설정'!B14+MAX(0,(1-S2359/'01_설정'!B6))*'01_설정'!B15+MAX(0,(1-T2359/'01_설정'!B7))*'01_설정'!B16+MAX(0,(1-U2359/'01_설정'!B8))*'01_설정'!B17+O2359*'01_설정'!B11+Q2359*'01_설정'!B12+P2359*'01_설정'!B13+IF(Z2359="",0,Z2359))</f>
        <v/>
      </c>
      <c r="X2359" s="152">
        <f>IF(W2359="","",1+COUNTIFS($W$4:$W$3003,"&gt;"&amp;W2359)+COUNTIFS($W$4:W2359,W2359)-1)</f>
        <v/>
      </c>
      <c r="Y2359" s="175">
        <f>IF(OR(I2359="",'02_대상물건입력'!B19="",'02_대상물건입력'!B19&lt;=0),"",ABS(I2359-'02_대상물건입력'!B19)/'02_대상물건입력'!B19)</f>
        <v/>
      </c>
      <c r="Z2359" s="172">
        <f>IF(OR(Y2359="",'01_설정'!B31="",'01_설정'!B31&lt;=0,'01_설정'!B32="",'01_설정'!B32&lt;=0),"",MAX(0,(1-Y2359/'01_설정'!B32))*'01_설정'!B31)</f>
        <v/>
      </c>
    </row>
    <row r="2360" ht="17.25" customHeight="1">
      <c r="A2360" s="152">
        <f>IF(INDEX('04A_국토부원자료'!$A:$A,ROW()+1)="","",ROW()-3)</f>
        <v/>
      </c>
      <c r="B2360" s="48">
        <f>IFERROR(INDEX('04A_국토부원자료'!$A:$T,ROW()+1,MATCH("시군구",'04A_국토부원자료'!$A$4:$T$4,0)),"")</f>
        <v/>
      </c>
      <c r="C2360" s="48">
        <f>IF(B2360="","",IFERROR(INDEX('04A_국토부원자료'!$A:$T,ROW()+1,MATCH("번지",'04A_국토부원자료'!$A$4:$T$4,0)),""))</f>
        <v/>
      </c>
      <c r="D2360" s="48">
        <f>IF(B2360="","",IF(Q2360=1,'02_대상물건입력'!$B$8,IFERROR(INDEX('04A_국토부원자료'!$A:$T,ROW()+1,MATCH("단지명",'04A_국토부원자료'!$A$4:$T$4,0)),"")))</f>
        <v/>
      </c>
      <c r="E2360" s="172">
        <f>IFERROR(VALUE(SUBSTITUTE(INDEX('04A_국토부원자료'!$A:$T,ROW()+1,MATCH("전용면적(㎡)",'04A_국토부원자료'!$A$4:$T$4,0)),",","")),"")</f>
        <v/>
      </c>
      <c r="F23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60" s="51">
        <f>IFERROR(VALUE(SUBSTITUTE(INDEX('04A_국토부원자료'!$A:$T,ROW()+1,MATCH("거래금액(만원)",'04A_국토부원자료'!$A$4:$T$4,0)),",","")),"")</f>
        <v/>
      </c>
      <c r="H2360" s="174">
        <f>IF(G2360="","",G2360*10000)</f>
        <v/>
      </c>
      <c r="I2360" s="174">
        <f>IFERROR(IF(AND(H2360&gt;0,E2360&gt;0),H2360/E2360,""),"")</f>
        <v/>
      </c>
      <c r="J2360" s="152">
        <f>IFERROR(VALUE(SUBSTITUTE(INDEX('04A_국토부원자료'!$A:$T,ROW()+1,MATCH("층",'04A_국토부원자료'!$A$4:$T$4,0)),",","")),"")</f>
        <v/>
      </c>
      <c r="K2360" s="152">
        <f>IFERROR(VALUE(SUBSTITUTE(INDEX('04A_국토부원자료'!$A:$T,ROW()+1,MATCH("건축년도",'04A_국토부원자료'!$A$4:$T$4,0)),",","")),"")</f>
        <v/>
      </c>
      <c r="L2360" s="48">
        <f>IFERROR(INDEX('04A_국토부원자료'!$A:$T,ROW()+1,MATCH("도로명",'04A_국토부원자료'!$A$4:$T$4,0)),"")</f>
        <v/>
      </c>
      <c r="M2360" s="48">
        <f>IFERROR(INDEX('04A_국토부원자료'!$A:$T,ROW()+1,MATCH("거래유형",'04A_국토부원자료'!$A$4:$T$4,0)),"")</f>
        <v/>
      </c>
      <c r="N2360" s="152">
        <f>IF(B2360="","",IF('02_대상물건입력'!B5="",1,IF(ISNUMBER(SEARCH('02_대상물건입력'!B5,B2360)),1,0)))</f>
        <v/>
      </c>
      <c r="O2360" s="152">
        <f>IF(B2360="","",IF('02_대상물건입력'!B6="",1,IF(ISNUMBER(SEARCH('02_대상물건입력'!B6,B2360)),1,0)))</f>
        <v/>
      </c>
      <c r="P2360" s="152">
        <f>IF(L2360="","",IF('02_대상물건입력'!B15="",0,IF(ISNUMBER(SEARCH('02_대상물건입력'!B15,L2360)),1,0)))</f>
        <v/>
      </c>
      <c r="Q2360" s="152">
        <f>IF(OR(C2360="",L2360=""),0,IF(AND(TRIM(C2360)=TRIM(RIGHT(SUBSTITUTE(TRIM('02_대상물건입력'!$B$7)," ",REPT(" ",99)),99)),IF('02_대상물건입력'!B15="",TRUE(),ISNUMBER(SEARCH('02_대상물건입력'!B15,L2360)))),1,0))</f>
        <v/>
      </c>
      <c r="R2360" s="175">
        <f>IFERROR(ABS(E2360-'02_대상물건입력'!B11)/'02_대상물건입력'!B11,"")</f>
        <v/>
      </c>
      <c r="S2360" s="152">
        <f>IFERROR(ABS(J2360-'02_대상물건입력'!B10),"")</f>
        <v/>
      </c>
      <c r="T2360" s="152">
        <f>IFERROR(ABS('01_설정'!B4-F2360),"")</f>
        <v/>
      </c>
      <c r="U2360" s="152">
        <f>IFERROR(ABS(K2360-YEAR('02_대상물건입력'!B14)),"")</f>
        <v/>
      </c>
      <c r="V2360" s="152">
        <f>IF(B2360="","",IF(AND(E2360&gt;0,F2360&gt;0,H2360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2360=1,TRUE()),R2360&lt;='01_설정'!B5,S2360&lt;='01_설정'!B6,T2360&lt;='01_설정'!B7,U2360&lt;='01_설정'!B8),"Y",""))</f>
        <v/>
      </c>
      <c r="W2360" s="172">
        <f>IF(V2360&lt;&gt;"Y","",MAX(0,(1-R2360/'01_설정'!B5))*'01_설정'!B14+MAX(0,(1-S2360/'01_설정'!B6))*'01_설정'!B15+MAX(0,(1-T2360/'01_설정'!B7))*'01_설정'!B16+MAX(0,(1-U2360/'01_설정'!B8))*'01_설정'!B17+O2360*'01_설정'!B11+Q2360*'01_설정'!B12+P2360*'01_설정'!B13+IF(Z2360="",0,Z2360))</f>
        <v/>
      </c>
      <c r="X2360" s="152">
        <f>IF(W2360="","",1+COUNTIFS($W$4:$W$3003,"&gt;"&amp;W2360)+COUNTIFS($W$4:W2360,W2360)-1)</f>
        <v/>
      </c>
      <c r="Y2360" s="175">
        <f>IF(OR(I2360="",'02_대상물건입력'!B19="",'02_대상물건입력'!B19&lt;=0),"",ABS(I2360-'02_대상물건입력'!B19)/'02_대상물건입력'!B19)</f>
        <v/>
      </c>
      <c r="Z2360" s="172">
        <f>IF(OR(Y2360="",'01_설정'!B31="",'01_설정'!B31&lt;=0,'01_설정'!B32="",'01_설정'!B32&lt;=0),"",MAX(0,(1-Y2360/'01_설정'!B32))*'01_설정'!B31)</f>
        <v/>
      </c>
    </row>
    <row r="2361" ht="17.25" customHeight="1">
      <c r="A2361" s="152">
        <f>IF(INDEX('04A_국토부원자료'!$A:$A,ROW()+1)="","",ROW()-3)</f>
        <v/>
      </c>
      <c r="B2361" s="48">
        <f>IFERROR(INDEX('04A_국토부원자료'!$A:$T,ROW()+1,MATCH("시군구",'04A_국토부원자료'!$A$4:$T$4,0)),"")</f>
        <v/>
      </c>
      <c r="C2361" s="48">
        <f>IF(B2361="","",IFERROR(INDEX('04A_국토부원자료'!$A:$T,ROW()+1,MATCH("번지",'04A_국토부원자료'!$A$4:$T$4,0)),""))</f>
        <v/>
      </c>
      <c r="D2361" s="48">
        <f>IF(B2361="","",IF(Q2361=1,'02_대상물건입력'!$B$8,IFERROR(INDEX('04A_국토부원자료'!$A:$T,ROW()+1,MATCH("단지명",'04A_국토부원자료'!$A$4:$T$4,0)),"")))</f>
        <v/>
      </c>
      <c r="E2361" s="172">
        <f>IFERROR(VALUE(SUBSTITUTE(INDEX('04A_국토부원자료'!$A:$T,ROW()+1,MATCH("전용면적(㎡)",'04A_국토부원자료'!$A$4:$T$4,0)),",","")),"")</f>
        <v/>
      </c>
      <c r="F23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61" s="51">
        <f>IFERROR(VALUE(SUBSTITUTE(INDEX('04A_국토부원자료'!$A:$T,ROW()+1,MATCH("거래금액(만원)",'04A_국토부원자료'!$A$4:$T$4,0)),",","")),"")</f>
        <v/>
      </c>
      <c r="H2361" s="174">
        <f>IF(G2361="","",G2361*10000)</f>
        <v/>
      </c>
      <c r="I2361" s="174">
        <f>IFERROR(IF(AND(H2361&gt;0,E2361&gt;0),H2361/E2361,""),"")</f>
        <v/>
      </c>
      <c r="J2361" s="152">
        <f>IFERROR(VALUE(SUBSTITUTE(INDEX('04A_국토부원자료'!$A:$T,ROW()+1,MATCH("층",'04A_국토부원자료'!$A$4:$T$4,0)),",","")),"")</f>
        <v/>
      </c>
      <c r="K2361" s="152">
        <f>IFERROR(VALUE(SUBSTITUTE(INDEX('04A_국토부원자료'!$A:$T,ROW()+1,MATCH("건축년도",'04A_국토부원자료'!$A$4:$T$4,0)),",","")),"")</f>
        <v/>
      </c>
      <c r="L2361" s="48">
        <f>IFERROR(INDEX('04A_국토부원자료'!$A:$T,ROW()+1,MATCH("도로명",'04A_국토부원자료'!$A$4:$T$4,0)),"")</f>
        <v/>
      </c>
      <c r="M2361" s="48">
        <f>IFERROR(INDEX('04A_국토부원자료'!$A:$T,ROW()+1,MATCH("거래유형",'04A_국토부원자료'!$A$4:$T$4,0)),"")</f>
        <v/>
      </c>
      <c r="N2361" s="152">
        <f>IF(B2361="","",IF('02_대상물건입력'!B5="",1,IF(ISNUMBER(SEARCH('02_대상물건입력'!B5,B2361)),1,0)))</f>
        <v/>
      </c>
      <c r="O2361" s="152">
        <f>IF(B2361="","",IF('02_대상물건입력'!B6="",1,IF(ISNUMBER(SEARCH('02_대상물건입력'!B6,B2361)),1,0)))</f>
        <v/>
      </c>
      <c r="P2361" s="152">
        <f>IF(L2361="","",IF('02_대상물건입력'!B15="",0,IF(ISNUMBER(SEARCH('02_대상물건입력'!B15,L2361)),1,0)))</f>
        <v/>
      </c>
      <c r="Q2361" s="152">
        <f>IF(OR(C2361="",L2361=""),0,IF(AND(TRIM(C2361)=TRIM(RIGHT(SUBSTITUTE(TRIM('02_대상물건입력'!$B$7)," ",REPT(" ",99)),99)),IF('02_대상물건입력'!B15="",TRUE(),ISNUMBER(SEARCH('02_대상물건입력'!B15,L2361)))),1,0))</f>
        <v/>
      </c>
      <c r="R2361" s="175">
        <f>IFERROR(ABS(E2361-'02_대상물건입력'!B11)/'02_대상물건입력'!B11,"")</f>
        <v/>
      </c>
      <c r="S2361" s="152">
        <f>IFERROR(ABS(J2361-'02_대상물건입력'!B10),"")</f>
        <v/>
      </c>
      <c r="T2361" s="152">
        <f>IFERROR(ABS('01_설정'!B4-F2361),"")</f>
        <v/>
      </c>
      <c r="U2361" s="152">
        <f>IFERROR(ABS(K2361-YEAR('02_대상물건입력'!B14)),"")</f>
        <v/>
      </c>
      <c r="V2361" s="152">
        <f>IF(B2361="","",IF(AND(E2361&gt;0,F2361&gt;0,H2361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2361=1,TRUE()),R2361&lt;='01_설정'!B5,S2361&lt;='01_설정'!B6,T2361&lt;='01_설정'!B7,U2361&lt;='01_설정'!B8),"Y",""))</f>
        <v/>
      </c>
      <c r="W2361" s="172">
        <f>IF(V2361&lt;&gt;"Y","",MAX(0,(1-R2361/'01_설정'!B5))*'01_설정'!B14+MAX(0,(1-S2361/'01_설정'!B6))*'01_설정'!B15+MAX(0,(1-T2361/'01_설정'!B7))*'01_설정'!B16+MAX(0,(1-U2361/'01_설정'!B8))*'01_설정'!B17+O2361*'01_설정'!B11+Q2361*'01_설정'!B12+P2361*'01_설정'!B13+IF(Z2361="",0,Z2361))</f>
        <v/>
      </c>
      <c r="X2361" s="152">
        <f>IF(W2361="","",1+COUNTIFS($W$4:$W$3003,"&gt;"&amp;W2361)+COUNTIFS($W$4:W2361,W2361)-1)</f>
        <v/>
      </c>
      <c r="Y2361" s="175">
        <f>IF(OR(I2361="",'02_대상물건입력'!B19="",'02_대상물건입력'!B19&lt;=0),"",ABS(I2361-'02_대상물건입력'!B19)/'02_대상물건입력'!B19)</f>
        <v/>
      </c>
      <c r="Z2361" s="172">
        <f>IF(OR(Y2361="",'01_설정'!B31="",'01_설정'!B31&lt;=0,'01_설정'!B32="",'01_설정'!B32&lt;=0),"",MAX(0,(1-Y2361/'01_설정'!B32))*'01_설정'!B31)</f>
        <v/>
      </c>
    </row>
    <row r="2362" ht="17.25" customHeight="1">
      <c r="A2362" s="152">
        <f>IF(INDEX('04A_국토부원자료'!$A:$A,ROW()+1)="","",ROW()-3)</f>
        <v/>
      </c>
      <c r="B2362" s="48">
        <f>IFERROR(INDEX('04A_국토부원자료'!$A:$T,ROW()+1,MATCH("시군구",'04A_국토부원자료'!$A$4:$T$4,0)),"")</f>
        <v/>
      </c>
      <c r="C2362" s="48">
        <f>IF(B2362="","",IFERROR(INDEX('04A_국토부원자료'!$A:$T,ROW()+1,MATCH("번지",'04A_국토부원자료'!$A$4:$T$4,0)),""))</f>
        <v/>
      </c>
      <c r="D2362" s="48">
        <f>IF(B2362="","",IF(Q2362=1,'02_대상물건입력'!$B$8,IFERROR(INDEX('04A_국토부원자료'!$A:$T,ROW()+1,MATCH("단지명",'04A_국토부원자료'!$A$4:$T$4,0)),"")))</f>
        <v/>
      </c>
      <c r="E2362" s="172">
        <f>IFERROR(VALUE(SUBSTITUTE(INDEX('04A_국토부원자료'!$A:$T,ROW()+1,MATCH("전용면적(㎡)",'04A_국토부원자료'!$A$4:$T$4,0)),",","")),"")</f>
        <v/>
      </c>
      <c r="F23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62" s="51">
        <f>IFERROR(VALUE(SUBSTITUTE(INDEX('04A_국토부원자료'!$A:$T,ROW()+1,MATCH("거래금액(만원)",'04A_국토부원자료'!$A$4:$T$4,0)),",","")),"")</f>
        <v/>
      </c>
      <c r="H2362" s="174">
        <f>IF(G2362="","",G2362*10000)</f>
        <v/>
      </c>
      <c r="I2362" s="174">
        <f>IFERROR(IF(AND(H2362&gt;0,E2362&gt;0),H2362/E2362,""),"")</f>
        <v/>
      </c>
      <c r="J2362" s="152">
        <f>IFERROR(VALUE(SUBSTITUTE(INDEX('04A_국토부원자료'!$A:$T,ROW()+1,MATCH("층",'04A_국토부원자료'!$A$4:$T$4,0)),",","")),"")</f>
        <v/>
      </c>
      <c r="K2362" s="152">
        <f>IFERROR(VALUE(SUBSTITUTE(INDEX('04A_국토부원자료'!$A:$T,ROW()+1,MATCH("건축년도",'04A_국토부원자료'!$A$4:$T$4,0)),",","")),"")</f>
        <v/>
      </c>
      <c r="L2362" s="48">
        <f>IFERROR(INDEX('04A_국토부원자료'!$A:$T,ROW()+1,MATCH("도로명",'04A_국토부원자료'!$A$4:$T$4,0)),"")</f>
        <v/>
      </c>
      <c r="M2362" s="48">
        <f>IFERROR(INDEX('04A_국토부원자료'!$A:$T,ROW()+1,MATCH("거래유형",'04A_국토부원자료'!$A$4:$T$4,0)),"")</f>
        <v/>
      </c>
      <c r="N2362" s="152">
        <f>IF(B2362="","",IF('02_대상물건입력'!B5="",1,IF(ISNUMBER(SEARCH('02_대상물건입력'!B5,B2362)),1,0)))</f>
        <v/>
      </c>
      <c r="O2362" s="152">
        <f>IF(B2362="","",IF('02_대상물건입력'!B6="",1,IF(ISNUMBER(SEARCH('02_대상물건입력'!B6,B2362)),1,0)))</f>
        <v/>
      </c>
      <c r="P2362" s="152">
        <f>IF(L2362="","",IF('02_대상물건입력'!B15="",0,IF(ISNUMBER(SEARCH('02_대상물건입력'!B15,L2362)),1,0)))</f>
        <v/>
      </c>
      <c r="Q2362" s="152">
        <f>IF(OR(C2362="",L2362=""),0,IF(AND(TRIM(C2362)=TRIM(RIGHT(SUBSTITUTE(TRIM('02_대상물건입력'!$B$7)," ",REPT(" ",99)),99)),IF('02_대상물건입력'!B15="",TRUE(),ISNUMBER(SEARCH('02_대상물건입력'!B15,L2362)))),1,0))</f>
        <v/>
      </c>
      <c r="R2362" s="175">
        <f>IFERROR(ABS(E2362-'02_대상물건입력'!B11)/'02_대상물건입력'!B11,"")</f>
        <v/>
      </c>
      <c r="S2362" s="152">
        <f>IFERROR(ABS(J2362-'02_대상물건입력'!B10),"")</f>
        <v/>
      </c>
      <c r="T2362" s="152">
        <f>IFERROR(ABS('01_설정'!B4-F2362),"")</f>
        <v/>
      </c>
      <c r="U2362" s="152">
        <f>IFERROR(ABS(K2362-YEAR('02_대상물건입력'!B14)),"")</f>
        <v/>
      </c>
      <c r="V2362" s="152">
        <f>IF(B2362="","",IF(AND(E2362&gt;0,F2362&gt;0,H2362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2362=1,TRUE()),R2362&lt;='01_설정'!B5,S2362&lt;='01_설정'!B6,T2362&lt;='01_설정'!B7,U2362&lt;='01_설정'!B8),"Y",""))</f>
        <v/>
      </c>
      <c r="W2362" s="172">
        <f>IF(V2362&lt;&gt;"Y","",MAX(0,(1-R2362/'01_설정'!B5))*'01_설정'!B14+MAX(0,(1-S2362/'01_설정'!B6))*'01_설정'!B15+MAX(0,(1-T2362/'01_설정'!B7))*'01_설정'!B16+MAX(0,(1-U2362/'01_설정'!B8))*'01_설정'!B17+O2362*'01_설정'!B11+Q2362*'01_설정'!B12+P2362*'01_설정'!B13+IF(Z2362="",0,Z2362))</f>
        <v/>
      </c>
      <c r="X2362" s="152">
        <f>IF(W2362="","",1+COUNTIFS($W$4:$W$3003,"&gt;"&amp;W2362)+COUNTIFS($W$4:W2362,W2362)-1)</f>
        <v/>
      </c>
      <c r="Y2362" s="175">
        <f>IF(OR(I2362="",'02_대상물건입력'!B19="",'02_대상물건입력'!B19&lt;=0),"",ABS(I2362-'02_대상물건입력'!B19)/'02_대상물건입력'!B19)</f>
        <v/>
      </c>
      <c r="Z2362" s="172">
        <f>IF(OR(Y2362="",'01_설정'!B31="",'01_설정'!B31&lt;=0,'01_설정'!B32="",'01_설정'!B32&lt;=0),"",MAX(0,(1-Y2362/'01_설정'!B32))*'01_설정'!B31)</f>
        <v/>
      </c>
    </row>
    <row r="2363" ht="17.25" customHeight="1">
      <c r="A2363" s="152">
        <f>IF(INDEX('04A_국토부원자료'!$A:$A,ROW()+1)="","",ROW()-3)</f>
        <v/>
      </c>
      <c r="B2363" s="48">
        <f>IFERROR(INDEX('04A_국토부원자료'!$A:$T,ROW()+1,MATCH("시군구",'04A_국토부원자료'!$A$4:$T$4,0)),"")</f>
        <v/>
      </c>
      <c r="C2363" s="48">
        <f>IF(B2363="","",IFERROR(INDEX('04A_국토부원자료'!$A:$T,ROW()+1,MATCH("번지",'04A_국토부원자료'!$A$4:$T$4,0)),""))</f>
        <v/>
      </c>
      <c r="D2363" s="48">
        <f>IF(B2363="","",IF(Q2363=1,'02_대상물건입력'!$B$8,IFERROR(INDEX('04A_국토부원자료'!$A:$T,ROW()+1,MATCH("단지명",'04A_국토부원자료'!$A$4:$T$4,0)),"")))</f>
        <v/>
      </c>
      <c r="E2363" s="172">
        <f>IFERROR(VALUE(SUBSTITUTE(INDEX('04A_국토부원자료'!$A:$T,ROW()+1,MATCH("전용면적(㎡)",'04A_국토부원자료'!$A$4:$T$4,0)),",","")),"")</f>
        <v/>
      </c>
      <c r="F23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63" s="51">
        <f>IFERROR(VALUE(SUBSTITUTE(INDEX('04A_국토부원자료'!$A:$T,ROW()+1,MATCH("거래금액(만원)",'04A_국토부원자료'!$A$4:$T$4,0)),",","")),"")</f>
        <v/>
      </c>
      <c r="H2363" s="174">
        <f>IF(G2363="","",G2363*10000)</f>
        <v/>
      </c>
      <c r="I2363" s="174">
        <f>IFERROR(IF(AND(H2363&gt;0,E2363&gt;0),H2363/E2363,""),"")</f>
        <v/>
      </c>
      <c r="J2363" s="152">
        <f>IFERROR(VALUE(SUBSTITUTE(INDEX('04A_국토부원자료'!$A:$T,ROW()+1,MATCH("층",'04A_국토부원자료'!$A$4:$T$4,0)),",","")),"")</f>
        <v/>
      </c>
      <c r="K2363" s="152">
        <f>IFERROR(VALUE(SUBSTITUTE(INDEX('04A_국토부원자료'!$A:$T,ROW()+1,MATCH("건축년도",'04A_국토부원자료'!$A$4:$T$4,0)),",","")),"")</f>
        <v/>
      </c>
      <c r="L2363" s="48">
        <f>IFERROR(INDEX('04A_국토부원자료'!$A:$T,ROW()+1,MATCH("도로명",'04A_국토부원자료'!$A$4:$T$4,0)),"")</f>
        <v/>
      </c>
      <c r="M2363" s="48">
        <f>IFERROR(INDEX('04A_국토부원자료'!$A:$T,ROW()+1,MATCH("거래유형",'04A_국토부원자료'!$A$4:$T$4,0)),"")</f>
        <v/>
      </c>
      <c r="N2363" s="152">
        <f>IF(B2363="","",IF('02_대상물건입력'!B5="",1,IF(ISNUMBER(SEARCH('02_대상물건입력'!B5,B2363)),1,0)))</f>
        <v/>
      </c>
      <c r="O2363" s="152">
        <f>IF(B2363="","",IF('02_대상물건입력'!B6="",1,IF(ISNUMBER(SEARCH('02_대상물건입력'!B6,B2363)),1,0)))</f>
        <v/>
      </c>
      <c r="P2363" s="152">
        <f>IF(L2363="","",IF('02_대상물건입력'!B15="",0,IF(ISNUMBER(SEARCH('02_대상물건입력'!B15,L2363)),1,0)))</f>
        <v/>
      </c>
      <c r="Q2363" s="152">
        <f>IF(OR(C2363="",L2363=""),0,IF(AND(TRIM(C2363)=TRIM(RIGHT(SUBSTITUTE(TRIM('02_대상물건입력'!$B$7)," ",REPT(" ",99)),99)),IF('02_대상물건입력'!B15="",TRUE(),ISNUMBER(SEARCH('02_대상물건입력'!B15,L2363)))),1,0))</f>
        <v/>
      </c>
      <c r="R2363" s="175">
        <f>IFERROR(ABS(E2363-'02_대상물건입력'!B11)/'02_대상물건입력'!B11,"")</f>
        <v/>
      </c>
      <c r="S2363" s="152">
        <f>IFERROR(ABS(J2363-'02_대상물건입력'!B10),"")</f>
        <v/>
      </c>
      <c r="T2363" s="152">
        <f>IFERROR(ABS('01_설정'!B4-F2363),"")</f>
        <v/>
      </c>
      <c r="U2363" s="152">
        <f>IFERROR(ABS(K2363-YEAR('02_대상물건입력'!B14)),"")</f>
        <v/>
      </c>
      <c r="V2363" s="152">
        <f>IF(B2363="","",IF(AND(E2363&gt;0,F2363&gt;0,H2363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2363=1,TRUE()),R2363&lt;='01_설정'!B5,S2363&lt;='01_설정'!B6,T2363&lt;='01_설정'!B7,U2363&lt;='01_설정'!B8),"Y",""))</f>
        <v/>
      </c>
      <c r="W2363" s="172">
        <f>IF(V2363&lt;&gt;"Y","",MAX(0,(1-R2363/'01_설정'!B5))*'01_설정'!B14+MAX(0,(1-S2363/'01_설정'!B6))*'01_설정'!B15+MAX(0,(1-T2363/'01_설정'!B7))*'01_설정'!B16+MAX(0,(1-U2363/'01_설정'!B8))*'01_설정'!B17+O2363*'01_설정'!B11+Q2363*'01_설정'!B12+P2363*'01_설정'!B13+IF(Z2363="",0,Z2363))</f>
        <v/>
      </c>
      <c r="X2363" s="152">
        <f>IF(W2363="","",1+COUNTIFS($W$4:$W$3003,"&gt;"&amp;W2363)+COUNTIFS($W$4:W2363,W2363)-1)</f>
        <v/>
      </c>
      <c r="Y2363" s="175">
        <f>IF(OR(I2363="",'02_대상물건입력'!B19="",'02_대상물건입력'!B19&lt;=0),"",ABS(I2363-'02_대상물건입력'!B19)/'02_대상물건입력'!B19)</f>
        <v/>
      </c>
      <c r="Z2363" s="172">
        <f>IF(OR(Y2363="",'01_설정'!B31="",'01_설정'!B31&lt;=0,'01_설정'!B32="",'01_설정'!B32&lt;=0),"",MAX(0,(1-Y2363/'01_설정'!B32))*'01_설정'!B31)</f>
        <v/>
      </c>
    </row>
    <row r="2364" ht="17.25" customHeight="1">
      <c r="A2364" s="152">
        <f>IF(INDEX('04A_국토부원자료'!$A:$A,ROW()+1)="","",ROW()-3)</f>
        <v/>
      </c>
      <c r="B2364" s="48">
        <f>IFERROR(INDEX('04A_국토부원자료'!$A:$T,ROW()+1,MATCH("시군구",'04A_국토부원자료'!$A$4:$T$4,0)),"")</f>
        <v/>
      </c>
      <c r="C2364" s="48">
        <f>IF(B2364="","",IFERROR(INDEX('04A_국토부원자료'!$A:$T,ROW()+1,MATCH("번지",'04A_국토부원자료'!$A$4:$T$4,0)),""))</f>
        <v/>
      </c>
      <c r="D2364" s="48">
        <f>IF(B2364="","",IF(Q2364=1,'02_대상물건입력'!$B$8,IFERROR(INDEX('04A_국토부원자료'!$A:$T,ROW()+1,MATCH("단지명",'04A_국토부원자료'!$A$4:$T$4,0)),"")))</f>
        <v/>
      </c>
      <c r="E2364" s="172">
        <f>IFERROR(VALUE(SUBSTITUTE(INDEX('04A_국토부원자료'!$A:$T,ROW()+1,MATCH("전용면적(㎡)",'04A_국토부원자료'!$A$4:$T$4,0)),",","")),"")</f>
        <v/>
      </c>
      <c r="F23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64" s="51">
        <f>IFERROR(VALUE(SUBSTITUTE(INDEX('04A_국토부원자료'!$A:$T,ROW()+1,MATCH("거래금액(만원)",'04A_국토부원자료'!$A$4:$T$4,0)),",","")),"")</f>
        <v/>
      </c>
      <c r="H2364" s="174">
        <f>IF(G2364="","",G2364*10000)</f>
        <v/>
      </c>
      <c r="I2364" s="174">
        <f>IFERROR(IF(AND(H2364&gt;0,E2364&gt;0),H2364/E2364,""),"")</f>
        <v/>
      </c>
      <c r="J2364" s="152">
        <f>IFERROR(VALUE(SUBSTITUTE(INDEX('04A_국토부원자료'!$A:$T,ROW()+1,MATCH("층",'04A_국토부원자료'!$A$4:$T$4,0)),",","")),"")</f>
        <v/>
      </c>
      <c r="K2364" s="152">
        <f>IFERROR(VALUE(SUBSTITUTE(INDEX('04A_국토부원자료'!$A:$T,ROW()+1,MATCH("건축년도",'04A_국토부원자료'!$A$4:$T$4,0)),",","")),"")</f>
        <v/>
      </c>
      <c r="L2364" s="48">
        <f>IFERROR(INDEX('04A_국토부원자료'!$A:$T,ROW()+1,MATCH("도로명",'04A_국토부원자료'!$A$4:$T$4,0)),"")</f>
        <v/>
      </c>
      <c r="M2364" s="48">
        <f>IFERROR(INDEX('04A_국토부원자료'!$A:$T,ROW()+1,MATCH("거래유형",'04A_국토부원자료'!$A$4:$T$4,0)),"")</f>
        <v/>
      </c>
      <c r="N2364" s="152">
        <f>IF(B2364="","",IF('02_대상물건입력'!B5="",1,IF(ISNUMBER(SEARCH('02_대상물건입력'!B5,B2364)),1,0)))</f>
        <v/>
      </c>
      <c r="O2364" s="152">
        <f>IF(B2364="","",IF('02_대상물건입력'!B6="",1,IF(ISNUMBER(SEARCH('02_대상물건입력'!B6,B2364)),1,0)))</f>
        <v/>
      </c>
      <c r="P2364" s="152">
        <f>IF(L2364="","",IF('02_대상물건입력'!B15="",0,IF(ISNUMBER(SEARCH('02_대상물건입력'!B15,L2364)),1,0)))</f>
        <v/>
      </c>
      <c r="Q2364" s="152">
        <f>IF(OR(C2364="",L2364=""),0,IF(AND(TRIM(C2364)=TRIM(RIGHT(SUBSTITUTE(TRIM('02_대상물건입력'!$B$7)," ",REPT(" ",99)),99)),IF('02_대상물건입력'!B15="",TRUE(),ISNUMBER(SEARCH('02_대상물건입력'!B15,L2364)))),1,0))</f>
        <v/>
      </c>
      <c r="R2364" s="175">
        <f>IFERROR(ABS(E2364-'02_대상물건입력'!B11)/'02_대상물건입력'!B11,"")</f>
        <v/>
      </c>
      <c r="S2364" s="152">
        <f>IFERROR(ABS(J2364-'02_대상물건입력'!B10),"")</f>
        <v/>
      </c>
      <c r="T2364" s="152">
        <f>IFERROR(ABS('01_설정'!B4-F2364),"")</f>
        <v/>
      </c>
      <c r="U2364" s="152">
        <f>IFERROR(ABS(K2364-YEAR('02_대상물건입력'!B14)),"")</f>
        <v/>
      </c>
      <c r="V2364" s="152">
        <f>IF(B2364="","",IF(AND(E2364&gt;0,F2364&gt;0,H2364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2364=1,TRUE()),R2364&lt;='01_설정'!B5,S2364&lt;='01_설정'!B6,T2364&lt;='01_설정'!B7,U2364&lt;='01_설정'!B8),"Y",""))</f>
        <v/>
      </c>
      <c r="W2364" s="172">
        <f>IF(V2364&lt;&gt;"Y","",MAX(0,(1-R2364/'01_설정'!B5))*'01_설정'!B14+MAX(0,(1-S2364/'01_설정'!B6))*'01_설정'!B15+MAX(0,(1-T2364/'01_설정'!B7))*'01_설정'!B16+MAX(0,(1-U2364/'01_설정'!B8))*'01_설정'!B17+O2364*'01_설정'!B11+Q2364*'01_설정'!B12+P2364*'01_설정'!B13+IF(Z2364="",0,Z2364))</f>
        <v/>
      </c>
      <c r="X2364" s="152">
        <f>IF(W2364="","",1+COUNTIFS($W$4:$W$3003,"&gt;"&amp;W2364)+COUNTIFS($W$4:W2364,W2364)-1)</f>
        <v/>
      </c>
      <c r="Y2364" s="175">
        <f>IF(OR(I2364="",'02_대상물건입력'!B19="",'02_대상물건입력'!B19&lt;=0),"",ABS(I2364-'02_대상물건입력'!B19)/'02_대상물건입력'!B19)</f>
        <v/>
      </c>
      <c r="Z2364" s="172">
        <f>IF(OR(Y2364="",'01_설정'!B31="",'01_설정'!B31&lt;=0,'01_설정'!B32="",'01_설정'!B32&lt;=0),"",MAX(0,(1-Y2364/'01_설정'!B32))*'01_설정'!B31)</f>
        <v/>
      </c>
    </row>
    <row r="2365" ht="17.25" customHeight="1">
      <c r="A2365" s="152">
        <f>IF(INDEX('04A_국토부원자료'!$A:$A,ROW()+1)="","",ROW()-3)</f>
        <v/>
      </c>
      <c r="B2365" s="48">
        <f>IFERROR(INDEX('04A_국토부원자료'!$A:$T,ROW()+1,MATCH("시군구",'04A_국토부원자료'!$A$4:$T$4,0)),"")</f>
        <v/>
      </c>
      <c r="C2365" s="48">
        <f>IF(B2365="","",IFERROR(INDEX('04A_국토부원자료'!$A:$T,ROW()+1,MATCH("번지",'04A_국토부원자료'!$A$4:$T$4,0)),""))</f>
        <v/>
      </c>
      <c r="D2365" s="48">
        <f>IF(B2365="","",IF(Q2365=1,'02_대상물건입력'!$B$8,IFERROR(INDEX('04A_국토부원자료'!$A:$T,ROW()+1,MATCH("단지명",'04A_국토부원자료'!$A$4:$T$4,0)),"")))</f>
        <v/>
      </c>
      <c r="E2365" s="172">
        <f>IFERROR(VALUE(SUBSTITUTE(INDEX('04A_국토부원자료'!$A:$T,ROW()+1,MATCH("전용면적(㎡)",'04A_국토부원자료'!$A$4:$T$4,0)),",","")),"")</f>
        <v/>
      </c>
      <c r="F23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65" s="51">
        <f>IFERROR(VALUE(SUBSTITUTE(INDEX('04A_국토부원자료'!$A:$T,ROW()+1,MATCH("거래금액(만원)",'04A_국토부원자료'!$A$4:$T$4,0)),",","")),"")</f>
        <v/>
      </c>
      <c r="H2365" s="174">
        <f>IF(G2365="","",G2365*10000)</f>
        <v/>
      </c>
      <c r="I2365" s="174">
        <f>IFERROR(IF(AND(H2365&gt;0,E2365&gt;0),H2365/E2365,""),"")</f>
        <v/>
      </c>
      <c r="J2365" s="152">
        <f>IFERROR(VALUE(SUBSTITUTE(INDEX('04A_국토부원자료'!$A:$T,ROW()+1,MATCH("층",'04A_국토부원자료'!$A$4:$T$4,0)),",","")),"")</f>
        <v/>
      </c>
      <c r="K2365" s="152">
        <f>IFERROR(VALUE(SUBSTITUTE(INDEX('04A_국토부원자료'!$A:$T,ROW()+1,MATCH("건축년도",'04A_국토부원자료'!$A$4:$T$4,0)),",","")),"")</f>
        <v/>
      </c>
      <c r="L2365" s="48">
        <f>IFERROR(INDEX('04A_국토부원자료'!$A:$T,ROW()+1,MATCH("도로명",'04A_국토부원자료'!$A$4:$T$4,0)),"")</f>
        <v/>
      </c>
      <c r="M2365" s="48">
        <f>IFERROR(INDEX('04A_국토부원자료'!$A:$T,ROW()+1,MATCH("거래유형",'04A_국토부원자료'!$A$4:$T$4,0)),"")</f>
        <v/>
      </c>
      <c r="N2365" s="152">
        <f>IF(B2365="","",IF('02_대상물건입력'!B5="",1,IF(ISNUMBER(SEARCH('02_대상물건입력'!B5,B2365)),1,0)))</f>
        <v/>
      </c>
      <c r="O2365" s="152">
        <f>IF(B2365="","",IF('02_대상물건입력'!B6="",1,IF(ISNUMBER(SEARCH('02_대상물건입력'!B6,B2365)),1,0)))</f>
        <v/>
      </c>
      <c r="P2365" s="152">
        <f>IF(L2365="","",IF('02_대상물건입력'!B15="",0,IF(ISNUMBER(SEARCH('02_대상물건입력'!B15,L2365)),1,0)))</f>
        <v/>
      </c>
      <c r="Q2365" s="152">
        <f>IF(OR(C2365="",L2365=""),0,IF(AND(TRIM(C2365)=TRIM(RIGHT(SUBSTITUTE(TRIM('02_대상물건입력'!$B$7)," ",REPT(" ",99)),99)),IF('02_대상물건입력'!B15="",TRUE(),ISNUMBER(SEARCH('02_대상물건입력'!B15,L2365)))),1,0))</f>
        <v/>
      </c>
      <c r="R2365" s="175">
        <f>IFERROR(ABS(E2365-'02_대상물건입력'!B11)/'02_대상물건입력'!B11,"")</f>
        <v/>
      </c>
      <c r="S2365" s="152">
        <f>IFERROR(ABS(J2365-'02_대상물건입력'!B10),"")</f>
        <v/>
      </c>
      <c r="T2365" s="152">
        <f>IFERROR(ABS('01_설정'!B4-F2365),"")</f>
        <v/>
      </c>
      <c r="U2365" s="152">
        <f>IFERROR(ABS(K2365-YEAR('02_대상물건입력'!B14)),"")</f>
        <v/>
      </c>
      <c r="V2365" s="152">
        <f>IF(B2365="","",IF(AND(E2365&gt;0,F2365&gt;0,H2365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2365=1,TRUE()),R2365&lt;='01_설정'!B5,S2365&lt;='01_설정'!B6,T2365&lt;='01_설정'!B7,U2365&lt;='01_설정'!B8),"Y",""))</f>
        <v/>
      </c>
      <c r="W2365" s="172">
        <f>IF(V2365&lt;&gt;"Y","",MAX(0,(1-R2365/'01_설정'!B5))*'01_설정'!B14+MAX(0,(1-S2365/'01_설정'!B6))*'01_설정'!B15+MAX(0,(1-T2365/'01_설정'!B7))*'01_설정'!B16+MAX(0,(1-U2365/'01_설정'!B8))*'01_설정'!B17+O2365*'01_설정'!B11+Q2365*'01_설정'!B12+P2365*'01_설정'!B13+IF(Z2365="",0,Z2365))</f>
        <v/>
      </c>
      <c r="X2365" s="152">
        <f>IF(W2365="","",1+COUNTIFS($W$4:$W$3003,"&gt;"&amp;W2365)+COUNTIFS($W$4:W2365,W2365)-1)</f>
        <v/>
      </c>
      <c r="Y2365" s="175">
        <f>IF(OR(I2365="",'02_대상물건입력'!B19="",'02_대상물건입력'!B19&lt;=0),"",ABS(I2365-'02_대상물건입력'!B19)/'02_대상물건입력'!B19)</f>
        <v/>
      </c>
      <c r="Z2365" s="172">
        <f>IF(OR(Y2365="",'01_설정'!B31="",'01_설정'!B31&lt;=0,'01_설정'!B32="",'01_설정'!B32&lt;=0),"",MAX(0,(1-Y2365/'01_설정'!B32))*'01_설정'!B31)</f>
        <v/>
      </c>
    </row>
    <row r="2366" ht="17.25" customHeight="1">
      <c r="A2366" s="152">
        <f>IF(INDEX('04A_국토부원자료'!$A:$A,ROW()+1)="","",ROW()-3)</f>
        <v/>
      </c>
      <c r="B2366" s="48">
        <f>IFERROR(INDEX('04A_국토부원자료'!$A:$T,ROW()+1,MATCH("시군구",'04A_국토부원자료'!$A$4:$T$4,0)),"")</f>
        <v/>
      </c>
      <c r="C2366" s="48">
        <f>IF(B2366="","",IFERROR(INDEX('04A_국토부원자료'!$A:$T,ROW()+1,MATCH("번지",'04A_국토부원자료'!$A$4:$T$4,0)),""))</f>
        <v/>
      </c>
      <c r="D2366" s="48">
        <f>IF(B2366="","",IF(Q2366=1,'02_대상물건입력'!$B$8,IFERROR(INDEX('04A_국토부원자료'!$A:$T,ROW()+1,MATCH("단지명",'04A_국토부원자료'!$A$4:$T$4,0)),"")))</f>
        <v/>
      </c>
      <c r="E2366" s="172">
        <f>IFERROR(VALUE(SUBSTITUTE(INDEX('04A_국토부원자료'!$A:$T,ROW()+1,MATCH("전용면적(㎡)",'04A_국토부원자료'!$A$4:$T$4,0)),",","")),"")</f>
        <v/>
      </c>
      <c r="F23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66" s="51">
        <f>IFERROR(VALUE(SUBSTITUTE(INDEX('04A_국토부원자료'!$A:$T,ROW()+1,MATCH("거래금액(만원)",'04A_국토부원자료'!$A$4:$T$4,0)),",","")),"")</f>
        <v/>
      </c>
      <c r="H2366" s="174">
        <f>IF(G2366="","",G2366*10000)</f>
        <v/>
      </c>
      <c r="I2366" s="174">
        <f>IFERROR(IF(AND(H2366&gt;0,E2366&gt;0),H2366/E2366,""),"")</f>
        <v/>
      </c>
      <c r="J2366" s="152">
        <f>IFERROR(VALUE(SUBSTITUTE(INDEX('04A_국토부원자료'!$A:$T,ROW()+1,MATCH("층",'04A_국토부원자료'!$A$4:$T$4,0)),",","")),"")</f>
        <v/>
      </c>
      <c r="K2366" s="152">
        <f>IFERROR(VALUE(SUBSTITUTE(INDEX('04A_국토부원자료'!$A:$T,ROW()+1,MATCH("건축년도",'04A_국토부원자료'!$A$4:$T$4,0)),",","")),"")</f>
        <v/>
      </c>
      <c r="L2366" s="48">
        <f>IFERROR(INDEX('04A_국토부원자료'!$A:$T,ROW()+1,MATCH("도로명",'04A_국토부원자료'!$A$4:$T$4,0)),"")</f>
        <v/>
      </c>
      <c r="M2366" s="48">
        <f>IFERROR(INDEX('04A_국토부원자료'!$A:$T,ROW()+1,MATCH("거래유형",'04A_국토부원자료'!$A$4:$T$4,0)),"")</f>
        <v/>
      </c>
      <c r="N2366" s="152">
        <f>IF(B2366="","",IF('02_대상물건입력'!B5="",1,IF(ISNUMBER(SEARCH('02_대상물건입력'!B5,B2366)),1,0)))</f>
        <v/>
      </c>
      <c r="O2366" s="152">
        <f>IF(B2366="","",IF('02_대상물건입력'!B6="",1,IF(ISNUMBER(SEARCH('02_대상물건입력'!B6,B2366)),1,0)))</f>
        <v/>
      </c>
      <c r="P2366" s="152">
        <f>IF(L2366="","",IF('02_대상물건입력'!B15="",0,IF(ISNUMBER(SEARCH('02_대상물건입력'!B15,L2366)),1,0)))</f>
        <v/>
      </c>
      <c r="Q2366" s="152">
        <f>IF(OR(C2366="",L2366=""),0,IF(AND(TRIM(C2366)=TRIM(RIGHT(SUBSTITUTE(TRIM('02_대상물건입력'!$B$7)," ",REPT(" ",99)),99)),IF('02_대상물건입력'!B15="",TRUE(),ISNUMBER(SEARCH('02_대상물건입력'!B15,L2366)))),1,0))</f>
        <v/>
      </c>
      <c r="R2366" s="175">
        <f>IFERROR(ABS(E2366-'02_대상물건입력'!B11)/'02_대상물건입력'!B11,"")</f>
        <v/>
      </c>
      <c r="S2366" s="152">
        <f>IFERROR(ABS(J2366-'02_대상물건입력'!B10),"")</f>
        <v/>
      </c>
      <c r="T2366" s="152">
        <f>IFERROR(ABS('01_설정'!B4-F2366),"")</f>
        <v/>
      </c>
      <c r="U2366" s="152">
        <f>IFERROR(ABS(K2366-YEAR('02_대상물건입력'!B14)),"")</f>
        <v/>
      </c>
      <c r="V2366" s="152">
        <f>IF(B2366="","",IF(AND(E2366&gt;0,F2366&gt;0,H2366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2366=1,TRUE()),R2366&lt;='01_설정'!B5,S2366&lt;='01_설정'!B6,T2366&lt;='01_설정'!B7,U2366&lt;='01_설정'!B8),"Y",""))</f>
        <v/>
      </c>
      <c r="W2366" s="172">
        <f>IF(V2366&lt;&gt;"Y","",MAX(0,(1-R2366/'01_설정'!B5))*'01_설정'!B14+MAX(0,(1-S2366/'01_설정'!B6))*'01_설정'!B15+MAX(0,(1-T2366/'01_설정'!B7))*'01_설정'!B16+MAX(0,(1-U2366/'01_설정'!B8))*'01_설정'!B17+O2366*'01_설정'!B11+Q2366*'01_설정'!B12+P2366*'01_설정'!B13+IF(Z2366="",0,Z2366))</f>
        <v/>
      </c>
      <c r="X2366" s="152">
        <f>IF(W2366="","",1+COUNTIFS($W$4:$W$3003,"&gt;"&amp;W2366)+COUNTIFS($W$4:W2366,W2366)-1)</f>
        <v/>
      </c>
      <c r="Y2366" s="175">
        <f>IF(OR(I2366="",'02_대상물건입력'!B19="",'02_대상물건입력'!B19&lt;=0),"",ABS(I2366-'02_대상물건입력'!B19)/'02_대상물건입력'!B19)</f>
        <v/>
      </c>
      <c r="Z2366" s="172">
        <f>IF(OR(Y2366="",'01_설정'!B31="",'01_설정'!B31&lt;=0,'01_설정'!B32="",'01_설정'!B32&lt;=0),"",MAX(0,(1-Y2366/'01_설정'!B32))*'01_설정'!B31)</f>
        <v/>
      </c>
    </row>
    <row r="2367" ht="17.25" customHeight="1">
      <c r="A2367" s="152">
        <f>IF(INDEX('04A_국토부원자료'!$A:$A,ROW()+1)="","",ROW()-3)</f>
        <v/>
      </c>
      <c r="B2367" s="48">
        <f>IFERROR(INDEX('04A_국토부원자료'!$A:$T,ROW()+1,MATCH("시군구",'04A_국토부원자료'!$A$4:$T$4,0)),"")</f>
        <v/>
      </c>
      <c r="C2367" s="48">
        <f>IF(B2367="","",IFERROR(INDEX('04A_국토부원자료'!$A:$T,ROW()+1,MATCH("번지",'04A_국토부원자료'!$A$4:$T$4,0)),""))</f>
        <v/>
      </c>
      <c r="D2367" s="48">
        <f>IF(B2367="","",IF(Q2367=1,'02_대상물건입력'!$B$8,IFERROR(INDEX('04A_국토부원자료'!$A:$T,ROW()+1,MATCH("단지명",'04A_국토부원자료'!$A$4:$T$4,0)),"")))</f>
        <v/>
      </c>
      <c r="E2367" s="172">
        <f>IFERROR(VALUE(SUBSTITUTE(INDEX('04A_국토부원자료'!$A:$T,ROW()+1,MATCH("전용면적(㎡)",'04A_국토부원자료'!$A$4:$T$4,0)),",","")),"")</f>
        <v/>
      </c>
      <c r="F23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67" s="51">
        <f>IFERROR(VALUE(SUBSTITUTE(INDEX('04A_국토부원자료'!$A:$T,ROW()+1,MATCH("거래금액(만원)",'04A_국토부원자료'!$A$4:$T$4,0)),",","")),"")</f>
        <v/>
      </c>
      <c r="H2367" s="174">
        <f>IF(G2367="","",G2367*10000)</f>
        <v/>
      </c>
      <c r="I2367" s="174">
        <f>IFERROR(IF(AND(H2367&gt;0,E2367&gt;0),H2367/E2367,""),"")</f>
        <v/>
      </c>
      <c r="J2367" s="152">
        <f>IFERROR(VALUE(SUBSTITUTE(INDEX('04A_국토부원자료'!$A:$T,ROW()+1,MATCH("층",'04A_국토부원자료'!$A$4:$T$4,0)),",","")),"")</f>
        <v/>
      </c>
      <c r="K2367" s="152">
        <f>IFERROR(VALUE(SUBSTITUTE(INDEX('04A_국토부원자료'!$A:$T,ROW()+1,MATCH("건축년도",'04A_국토부원자료'!$A$4:$T$4,0)),",","")),"")</f>
        <v/>
      </c>
      <c r="L2367" s="48">
        <f>IFERROR(INDEX('04A_국토부원자료'!$A:$T,ROW()+1,MATCH("도로명",'04A_국토부원자료'!$A$4:$T$4,0)),"")</f>
        <v/>
      </c>
      <c r="M2367" s="48">
        <f>IFERROR(INDEX('04A_국토부원자료'!$A:$T,ROW()+1,MATCH("거래유형",'04A_국토부원자료'!$A$4:$T$4,0)),"")</f>
        <v/>
      </c>
      <c r="N2367" s="152">
        <f>IF(B2367="","",IF('02_대상물건입력'!B5="",1,IF(ISNUMBER(SEARCH('02_대상물건입력'!B5,B2367)),1,0)))</f>
        <v/>
      </c>
      <c r="O2367" s="152">
        <f>IF(B2367="","",IF('02_대상물건입력'!B6="",1,IF(ISNUMBER(SEARCH('02_대상물건입력'!B6,B2367)),1,0)))</f>
        <v/>
      </c>
      <c r="P2367" s="152">
        <f>IF(L2367="","",IF('02_대상물건입력'!B15="",0,IF(ISNUMBER(SEARCH('02_대상물건입력'!B15,L2367)),1,0)))</f>
        <v/>
      </c>
      <c r="Q2367" s="152">
        <f>IF(OR(C2367="",L2367=""),0,IF(AND(TRIM(C2367)=TRIM(RIGHT(SUBSTITUTE(TRIM('02_대상물건입력'!$B$7)," ",REPT(" ",99)),99)),IF('02_대상물건입력'!B15="",TRUE(),ISNUMBER(SEARCH('02_대상물건입력'!B15,L2367)))),1,0))</f>
        <v/>
      </c>
      <c r="R2367" s="175">
        <f>IFERROR(ABS(E2367-'02_대상물건입력'!B11)/'02_대상물건입력'!B11,"")</f>
        <v/>
      </c>
      <c r="S2367" s="152">
        <f>IFERROR(ABS(J2367-'02_대상물건입력'!B10),"")</f>
        <v/>
      </c>
      <c r="T2367" s="152">
        <f>IFERROR(ABS('01_설정'!B4-F2367),"")</f>
        <v/>
      </c>
      <c r="U2367" s="152">
        <f>IFERROR(ABS(K2367-YEAR('02_대상물건입력'!B14)),"")</f>
        <v/>
      </c>
      <c r="V2367" s="152">
        <f>IF(B2367="","",IF(AND(E2367&gt;0,F2367&gt;0,H2367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2367=1,TRUE()),R2367&lt;='01_설정'!B5,S2367&lt;='01_설정'!B6,T2367&lt;='01_설정'!B7,U2367&lt;='01_설정'!B8),"Y",""))</f>
        <v/>
      </c>
      <c r="W2367" s="172">
        <f>IF(V2367&lt;&gt;"Y","",MAX(0,(1-R2367/'01_설정'!B5))*'01_설정'!B14+MAX(0,(1-S2367/'01_설정'!B6))*'01_설정'!B15+MAX(0,(1-T2367/'01_설정'!B7))*'01_설정'!B16+MAX(0,(1-U2367/'01_설정'!B8))*'01_설정'!B17+O2367*'01_설정'!B11+Q2367*'01_설정'!B12+P2367*'01_설정'!B13+IF(Z2367="",0,Z2367))</f>
        <v/>
      </c>
      <c r="X2367" s="152">
        <f>IF(W2367="","",1+COUNTIFS($W$4:$W$3003,"&gt;"&amp;W2367)+COUNTIFS($W$4:W2367,W2367)-1)</f>
        <v/>
      </c>
      <c r="Y2367" s="175">
        <f>IF(OR(I2367="",'02_대상물건입력'!B19="",'02_대상물건입력'!B19&lt;=0),"",ABS(I2367-'02_대상물건입력'!B19)/'02_대상물건입력'!B19)</f>
        <v/>
      </c>
      <c r="Z2367" s="172">
        <f>IF(OR(Y2367="",'01_설정'!B31="",'01_설정'!B31&lt;=0,'01_설정'!B32="",'01_설정'!B32&lt;=0),"",MAX(0,(1-Y2367/'01_설정'!B32))*'01_설정'!B31)</f>
        <v/>
      </c>
    </row>
    <row r="2368" ht="17.25" customHeight="1">
      <c r="A2368" s="152">
        <f>IF(INDEX('04A_국토부원자료'!$A:$A,ROW()+1)="","",ROW()-3)</f>
        <v/>
      </c>
      <c r="B2368" s="48">
        <f>IFERROR(INDEX('04A_국토부원자료'!$A:$T,ROW()+1,MATCH("시군구",'04A_국토부원자료'!$A$4:$T$4,0)),"")</f>
        <v/>
      </c>
      <c r="C2368" s="48">
        <f>IF(B2368="","",IFERROR(INDEX('04A_국토부원자료'!$A:$T,ROW()+1,MATCH("번지",'04A_국토부원자료'!$A$4:$T$4,0)),""))</f>
        <v/>
      </c>
      <c r="D2368" s="48">
        <f>IF(B2368="","",IF(Q2368=1,'02_대상물건입력'!$B$8,IFERROR(INDEX('04A_국토부원자료'!$A:$T,ROW()+1,MATCH("단지명",'04A_국토부원자료'!$A$4:$T$4,0)),"")))</f>
        <v/>
      </c>
      <c r="E2368" s="172">
        <f>IFERROR(VALUE(SUBSTITUTE(INDEX('04A_국토부원자료'!$A:$T,ROW()+1,MATCH("전용면적(㎡)",'04A_국토부원자료'!$A$4:$T$4,0)),",","")),"")</f>
        <v/>
      </c>
      <c r="F23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68" s="51">
        <f>IFERROR(VALUE(SUBSTITUTE(INDEX('04A_국토부원자료'!$A:$T,ROW()+1,MATCH("거래금액(만원)",'04A_국토부원자료'!$A$4:$T$4,0)),",","")),"")</f>
        <v/>
      </c>
      <c r="H2368" s="174">
        <f>IF(G2368="","",G2368*10000)</f>
        <v/>
      </c>
      <c r="I2368" s="174">
        <f>IFERROR(IF(AND(H2368&gt;0,E2368&gt;0),H2368/E2368,""),"")</f>
        <v/>
      </c>
      <c r="J2368" s="152">
        <f>IFERROR(VALUE(SUBSTITUTE(INDEX('04A_국토부원자료'!$A:$T,ROW()+1,MATCH("층",'04A_국토부원자료'!$A$4:$T$4,0)),",","")),"")</f>
        <v/>
      </c>
      <c r="K2368" s="152">
        <f>IFERROR(VALUE(SUBSTITUTE(INDEX('04A_국토부원자료'!$A:$T,ROW()+1,MATCH("건축년도",'04A_국토부원자료'!$A$4:$T$4,0)),",","")),"")</f>
        <v/>
      </c>
      <c r="L2368" s="48">
        <f>IFERROR(INDEX('04A_국토부원자료'!$A:$T,ROW()+1,MATCH("도로명",'04A_국토부원자료'!$A$4:$T$4,0)),"")</f>
        <v/>
      </c>
      <c r="M2368" s="48">
        <f>IFERROR(INDEX('04A_국토부원자료'!$A:$T,ROW()+1,MATCH("거래유형",'04A_국토부원자료'!$A$4:$T$4,0)),"")</f>
        <v/>
      </c>
      <c r="N2368" s="152">
        <f>IF(B2368="","",IF('02_대상물건입력'!B5="",1,IF(ISNUMBER(SEARCH('02_대상물건입력'!B5,B2368)),1,0)))</f>
        <v/>
      </c>
      <c r="O2368" s="152">
        <f>IF(B2368="","",IF('02_대상물건입력'!B6="",1,IF(ISNUMBER(SEARCH('02_대상물건입력'!B6,B2368)),1,0)))</f>
        <v/>
      </c>
      <c r="P2368" s="152">
        <f>IF(L2368="","",IF('02_대상물건입력'!B15="",0,IF(ISNUMBER(SEARCH('02_대상물건입력'!B15,L2368)),1,0)))</f>
        <v/>
      </c>
      <c r="Q2368" s="152">
        <f>IF(OR(C2368="",L2368=""),0,IF(AND(TRIM(C2368)=TRIM(RIGHT(SUBSTITUTE(TRIM('02_대상물건입력'!$B$7)," ",REPT(" ",99)),99)),IF('02_대상물건입력'!B15="",TRUE(),ISNUMBER(SEARCH('02_대상물건입력'!B15,L2368)))),1,0))</f>
        <v/>
      </c>
      <c r="R2368" s="175">
        <f>IFERROR(ABS(E2368-'02_대상물건입력'!B11)/'02_대상물건입력'!B11,"")</f>
        <v/>
      </c>
      <c r="S2368" s="152">
        <f>IFERROR(ABS(J2368-'02_대상물건입력'!B10),"")</f>
        <v/>
      </c>
      <c r="T2368" s="152">
        <f>IFERROR(ABS('01_설정'!B4-F2368),"")</f>
        <v/>
      </c>
      <c r="U2368" s="152">
        <f>IFERROR(ABS(K2368-YEAR('02_대상물건입력'!B14)),"")</f>
        <v/>
      </c>
      <c r="V2368" s="152">
        <f>IF(B2368="","",IF(AND(E2368&gt;0,F2368&gt;0,H2368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2368=1,TRUE()),R2368&lt;='01_설정'!B5,S2368&lt;='01_설정'!B6,T2368&lt;='01_설정'!B7,U2368&lt;='01_설정'!B8),"Y",""))</f>
        <v/>
      </c>
      <c r="W2368" s="172">
        <f>IF(V2368&lt;&gt;"Y","",MAX(0,(1-R2368/'01_설정'!B5))*'01_설정'!B14+MAX(0,(1-S2368/'01_설정'!B6))*'01_설정'!B15+MAX(0,(1-T2368/'01_설정'!B7))*'01_설정'!B16+MAX(0,(1-U2368/'01_설정'!B8))*'01_설정'!B17+O2368*'01_설정'!B11+Q2368*'01_설정'!B12+P2368*'01_설정'!B13+IF(Z2368="",0,Z2368))</f>
        <v/>
      </c>
      <c r="X2368" s="152">
        <f>IF(W2368="","",1+COUNTIFS($W$4:$W$3003,"&gt;"&amp;W2368)+COUNTIFS($W$4:W2368,W2368)-1)</f>
        <v/>
      </c>
      <c r="Y2368" s="175">
        <f>IF(OR(I2368="",'02_대상물건입력'!B19="",'02_대상물건입력'!B19&lt;=0),"",ABS(I2368-'02_대상물건입력'!B19)/'02_대상물건입력'!B19)</f>
        <v/>
      </c>
      <c r="Z2368" s="172">
        <f>IF(OR(Y2368="",'01_설정'!B31="",'01_설정'!B31&lt;=0,'01_설정'!B32="",'01_설정'!B32&lt;=0),"",MAX(0,(1-Y2368/'01_설정'!B32))*'01_설정'!B31)</f>
        <v/>
      </c>
    </row>
    <row r="2369" ht="17.25" customHeight="1">
      <c r="A2369" s="152">
        <f>IF(INDEX('04A_국토부원자료'!$A:$A,ROW()+1)="","",ROW()-3)</f>
        <v/>
      </c>
      <c r="B2369" s="48">
        <f>IFERROR(INDEX('04A_국토부원자료'!$A:$T,ROW()+1,MATCH("시군구",'04A_국토부원자료'!$A$4:$T$4,0)),"")</f>
        <v/>
      </c>
      <c r="C2369" s="48">
        <f>IF(B2369="","",IFERROR(INDEX('04A_국토부원자료'!$A:$T,ROW()+1,MATCH("번지",'04A_국토부원자료'!$A$4:$T$4,0)),""))</f>
        <v/>
      </c>
      <c r="D2369" s="48">
        <f>IF(B2369="","",IF(Q2369=1,'02_대상물건입력'!$B$8,IFERROR(INDEX('04A_국토부원자료'!$A:$T,ROW()+1,MATCH("단지명",'04A_국토부원자료'!$A$4:$T$4,0)),"")))</f>
        <v/>
      </c>
      <c r="E2369" s="172">
        <f>IFERROR(VALUE(SUBSTITUTE(INDEX('04A_국토부원자료'!$A:$T,ROW()+1,MATCH("전용면적(㎡)",'04A_국토부원자료'!$A$4:$T$4,0)),",","")),"")</f>
        <v/>
      </c>
      <c r="F23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69" s="51">
        <f>IFERROR(VALUE(SUBSTITUTE(INDEX('04A_국토부원자료'!$A:$T,ROW()+1,MATCH("거래금액(만원)",'04A_국토부원자료'!$A$4:$T$4,0)),",","")),"")</f>
        <v/>
      </c>
      <c r="H2369" s="174">
        <f>IF(G2369="","",G2369*10000)</f>
        <v/>
      </c>
      <c r="I2369" s="174">
        <f>IFERROR(IF(AND(H2369&gt;0,E2369&gt;0),H2369/E2369,""),"")</f>
        <v/>
      </c>
      <c r="J2369" s="152">
        <f>IFERROR(VALUE(SUBSTITUTE(INDEX('04A_국토부원자료'!$A:$T,ROW()+1,MATCH("층",'04A_국토부원자료'!$A$4:$T$4,0)),",","")),"")</f>
        <v/>
      </c>
      <c r="K2369" s="152">
        <f>IFERROR(VALUE(SUBSTITUTE(INDEX('04A_국토부원자료'!$A:$T,ROW()+1,MATCH("건축년도",'04A_국토부원자료'!$A$4:$T$4,0)),",","")),"")</f>
        <v/>
      </c>
      <c r="L2369" s="48">
        <f>IFERROR(INDEX('04A_국토부원자료'!$A:$T,ROW()+1,MATCH("도로명",'04A_국토부원자료'!$A$4:$T$4,0)),"")</f>
        <v/>
      </c>
      <c r="M2369" s="48">
        <f>IFERROR(INDEX('04A_국토부원자료'!$A:$T,ROW()+1,MATCH("거래유형",'04A_국토부원자료'!$A$4:$T$4,0)),"")</f>
        <v/>
      </c>
      <c r="N2369" s="152">
        <f>IF(B2369="","",IF('02_대상물건입력'!B5="",1,IF(ISNUMBER(SEARCH('02_대상물건입력'!B5,B2369)),1,0)))</f>
        <v/>
      </c>
      <c r="O2369" s="152">
        <f>IF(B2369="","",IF('02_대상물건입력'!B6="",1,IF(ISNUMBER(SEARCH('02_대상물건입력'!B6,B2369)),1,0)))</f>
        <v/>
      </c>
      <c r="P2369" s="152">
        <f>IF(L2369="","",IF('02_대상물건입력'!B15="",0,IF(ISNUMBER(SEARCH('02_대상물건입력'!B15,L2369)),1,0)))</f>
        <v/>
      </c>
      <c r="Q2369" s="152">
        <f>IF(OR(C2369="",L2369=""),0,IF(AND(TRIM(C2369)=TRIM(RIGHT(SUBSTITUTE(TRIM('02_대상물건입력'!$B$7)," ",REPT(" ",99)),99)),IF('02_대상물건입력'!B15="",TRUE(),ISNUMBER(SEARCH('02_대상물건입력'!B15,L2369)))),1,0))</f>
        <v/>
      </c>
      <c r="R2369" s="175">
        <f>IFERROR(ABS(E2369-'02_대상물건입력'!B11)/'02_대상물건입력'!B11,"")</f>
        <v/>
      </c>
      <c r="S2369" s="152">
        <f>IFERROR(ABS(J2369-'02_대상물건입력'!B10),"")</f>
        <v/>
      </c>
      <c r="T2369" s="152">
        <f>IFERROR(ABS('01_설정'!B4-F2369),"")</f>
        <v/>
      </c>
      <c r="U2369" s="152">
        <f>IFERROR(ABS(K2369-YEAR('02_대상물건입력'!B14)),"")</f>
        <v/>
      </c>
      <c r="V2369" s="152">
        <f>IF(B2369="","",IF(AND(E2369&gt;0,F2369&gt;0,H2369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2369=1,TRUE()),R2369&lt;='01_설정'!B5,S2369&lt;='01_설정'!B6,T2369&lt;='01_설정'!B7,U2369&lt;='01_설정'!B8),"Y",""))</f>
        <v/>
      </c>
      <c r="W2369" s="172">
        <f>IF(V2369&lt;&gt;"Y","",MAX(0,(1-R2369/'01_설정'!B5))*'01_설정'!B14+MAX(0,(1-S2369/'01_설정'!B6))*'01_설정'!B15+MAX(0,(1-T2369/'01_설정'!B7))*'01_설정'!B16+MAX(0,(1-U2369/'01_설정'!B8))*'01_설정'!B17+O2369*'01_설정'!B11+Q2369*'01_설정'!B12+P2369*'01_설정'!B13+IF(Z2369="",0,Z2369))</f>
        <v/>
      </c>
      <c r="X2369" s="152">
        <f>IF(W2369="","",1+COUNTIFS($W$4:$W$3003,"&gt;"&amp;W2369)+COUNTIFS($W$4:W2369,W2369)-1)</f>
        <v/>
      </c>
      <c r="Y2369" s="175">
        <f>IF(OR(I2369="",'02_대상물건입력'!B19="",'02_대상물건입력'!B19&lt;=0),"",ABS(I2369-'02_대상물건입력'!B19)/'02_대상물건입력'!B19)</f>
        <v/>
      </c>
      <c r="Z2369" s="172">
        <f>IF(OR(Y2369="",'01_설정'!B31="",'01_설정'!B31&lt;=0,'01_설정'!B32="",'01_설정'!B32&lt;=0),"",MAX(0,(1-Y2369/'01_설정'!B32))*'01_설정'!B31)</f>
        <v/>
      </c>
    </row>
    <row r="2370" ht="17.25" customHeight="1">
      <c r="A2370" s="152">
        <f>IF(INDEX('04A_국토부원자료'!$A:$A,ROW()+1)="","",ROW()-3)</f>
        <v/>
      </c>
      <c r="B2370" s="48">
        <f>IFERROR(INDEX('04A_국토부원자료'!$A:$T,ROW()+1,MATCH("시군구",'04A_국토부원자료'!$A$4:$T$4,0)),"")</f>
        <v/>
      </c>
      <c r="C2370" s="48">
        <f>IF(B2370="","",IFERROR(INDEX('04A_국토부원자료'!$A:$T,ROW()+1,MATCH("번지",'04A_국토부원자료'!$A$4:$T$4,0)),""))</f>
        <v/>
      </c>
      <c r="D2370" s="48">
        <f>IF(B2370="","",IF(Q2370=1,'02_대상물건입력'!$B$8,IFERROR(INDEX('04A_국토부원자료'!$A:$T,ROW()+1,MATCH("단지명",'04A_국토부원자료'!$A$4:$T$4,0)),"")))</f>
        <v/>
      </c>
      <c r="E2370" s="172">
        <f>IFERROR(VALUE(SUBSTITUTE(INDEX('04A_국토부원자료'!$A:$T,ROW()+1,MATCH("전용면적(㎡)",'04A_국토부원자료'!$A$4:$T$4,0)),",","")),"")</f>
        <v/>
      </c>
      <c r="F23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70" s="51">
        <f>IFERROR(VALUE(SUBSTITUTE(INDEX('04A_국토부원자료'!$A:$T,ROW()+1,MATCH("거래금액(만원)",'04A_국토부원자료'!$A$4:$T$4,0)),",","")),"")</f>
        <v/>
      </c>
      <c r="H2370" s="174">
        <f>IF(G2370="","",G2370*10000)</f>
        <v/>
      </c>
      <c r="I2370" s="174">
        <f>IFERROR(IF(AND(H2370&gt;0,E2370&gt;0),H2370/E2370,""),"")</f>
        <v/>
      </c>
      <c r="J2370" s="152">
        <f>IFERROR(VALUE(SUBSTITUTE(INDEX('04A_국토부원자료'!$A:$T,ROW()+1,MATCH("층",'04A_국토부원자료'!$A$4:$T$4,0)),",","")),"")</f>
        <v/>
      </c>
      <c r="K2370" s="152">
        <f>IFERROR(VALUE(SUBSTITUTE(INDEX('04A_국토부원자료'!$A:$T,ROW()+1,MATCH("건축년도",'04A_국토부원자료'!$A$4:$T$4,0)),",","")),"")</f>
        <v/>
      </c>
      <c r="L2370" s="48">
        <f>IFERROR(INDEX('04A_국토부원자료'!$A:$T,ROW()+1,MATCH("도로명",'04A_국토부원자료'!$A$4:$T$4,0)),"")</f>
        <v/>
      </c>
      <c r="M2370" s="48">
        <f>IFERROR(INDEX('04A_국토부원자료'!$A:$T,ROW()+1,MATCH("거래유형",'04A_국토부원자료'!$A$4:$T$4,0)),"")</f>
        <v/>
      </c>
      <c r="N2370" s="152">
        <f>IF(B2370="","",IF('02_대상물건입력'!B5="",1,IF(ISNUMBER(SEARCH('02_대상물건입력'!B5,B2370)),1,0)))</f>
        <v/>
      </c>
      <c r="O2370" s="152">
        <f>IF(B2370="","",IF('02_대상물건입력'!B6="",1,IF(ISNUMBER(SEARCH('02_대상물건입력'!B6,B2370)),1,0)))</f>
        <v/>
      </c>
      <c r="P2370" s="152">
        <f>IF(L2370="","",IF('02_대상물건입력'!B15="",0,IF(ISNUMBER(SEARCH('02_대상물건입력'!B15,L2370)),1,0)))</f>
        <v/>
      </c>
      <c r="Q2370" s="152">
        <f>IF(OR(C2370="",L2370=""),0,IF(AND(TRIM(C2370)=TRIM(RIGHT(SUBSTITUTE(TRIM('02_대상물건입력'!$B$7)," ",REPT(" ",99)),99)),IF('02_대상물건입력'!B15="",TRUE(),ISNUMBER(SEARCH('02_대상물건입력'!B15,L2370)))),1,0))</f>
        <v/>
      </c>
      <c r="R2370" s="175">
        <f>IFERROR(ABS(E2370-'02_대상물건입력'!B11)/'02_대상물건입력'!B11,"")</f>
        <v/>
      </c>
      <c r="S2370" s="152">
        <f>IFERROR(ABS(J2370-'02_대상물건입력'!B10),"")</f>
        <v/>
      </c>
      <c r="T2370" s="152">
        <f>IFERROR(ABS('01_설정'!B4-F2370),"")</f>
        <v/>
      </c>
      <c r="U2370" s="152">
        <f>IFERROR(ABS(K2370-YEAR('02_대상물건입력'!B14)),"")</f>
        <v/>
      </c>
      <c r="V2370" s="152">
        <f>IF(B2370="","",IF(AND(E2370&gt;0,F2370&gt;0,H2370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2370=1,TRUE()),R2370&lt;='01_설정'!B5,S2370&lt;='01_설정'!B6,T2370&lt;='01_설정'!B7,U2370&lt;='01_설정'!B8),"Y",""))</f>
        <v/>
      </c>
      <c r="W2370" s="172">
        <f>IF(V2370&lt;&gt;"Y","",MAX(0,(1-R2370/'01_설정'!B5))*'01_설정'!B14+MAX(0,(1-S2370/'01_설정'!B6))*'01_설정'!B15+MAX(0,(1-T2370/'01_설정'!B7))*'01_설정'!B16+MAX(0,(1-U2370/'01_설정'!B8))*'01_설정'!B17+O2370*'01_설정'!B11+Q2370*'01_설정'!B12+P2370*'01_설정'!B13+IF(Z2370="",0,Z2370))</f>
        <v/>
      </c>
      <c r="X2370" s="152">
        <f>IF(W2370="","",1+COUNTIFS($W$4:$W$3003,"&gt;"&amp;W2370)+COUNTIFS($W$4:W2370,W2370)-1)</f>
        <v/>
      </c>
      <c r="Y2370" s="175">
        <f>IF(OR(I2370="",'02_대상물건입력'!B19="",'02_대상물건입력'!B19&lt;=0),"",ABS(I2370-'02_대상물건입력'!B19)/'02_대상물건입력'!B19)</f>
        <v/>
      </c>
      <c r="Z2370" s="172">
        <f>IF(OR(Y2370="",'01_설정'!B31="",'01_설정'!B31&lt;=0,'01_설정'!B32="",'01_설정'!B32&lt;=0),"",MAX(0,(1-Y2370/'01_설정'!B32))*'01_설정'!B31)</f>
        <v/>
      </c>
    </row>
    <row r="2371" ht="17.25" customHeight="1">
      <c r="A2371" s="152">
        <f>IF(INDEX('04A_국토부원자료'!$A:$A,ROW()+1)="","",ROW()-3)</f>
        <v/>
      </c>
      <c r="B2371" s="48">
        <f>IFERROR(INDEX('04A_국토부원자료'!$A:$T,ROW()+1,MATCH("시군구",'04A_국토부원자료'!$A$4:$T$4,0)),"")</f>
        <v/>
      </c>
      <c r="C2371" s="48">
        <f>IF(B2371="","",IFERROR(INDEX('04A_국토부원자료'!$A:$T,ROW()+1,MATCH("번지",'04A_국토부원자료'!$A$4:$T$4,0)),""))</f>
        <v/>
      </c>
      <c r="D2371" s="48">
        <f>IF(B2371="","",IF(Q2371=1,'02_대상물건입력'!$B$8,IFERROR(INDEX('04A_국토부원자료'!$A:$T,ROW()+1,MATCH("단지명",'04A_국토부원자료'!$A$4:$T$4,0)),"")))</f>
        <v/>
      </c>
      <c r="E2371" s="172">
        <f>IFERROR(VALUE(SUBSTITUTE(INDEX('04A_국토부원자료'!$A:$T,ROW()+1,MATCH("전용면적(㎡)",'04A_국토부원자료'!$A$4:$T$4,0)),",","")),"")</f>
        <v/>
      </c>
      <c r="F23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71" s="51">
        <f>IFERROR(VALUE(SUBSTITUTE(INDEX('04A_국토부원자료'!$A:$T,ROW()+1,MATCH("거래금액(만원)",'04A_국토부원자료'!$A$4:$T$4,0)),",","")),"")</f>
        <v/>
      </c>
      <c r="H2371" s="174">
        <f>IF(G2371="","",G2371*10000)</f>
        <v/>
      </c>
      <c r="I2371" s="174">
        <f>IFERROR(IF(AND(H2371&gt;0,E2371&gt;0),H2371/E2371,""),"")</f>
        <v/>
      </c>
      <c r="J2371" s="152">
        <f>IFERROR(VALUE(SUBSTITUTE(INDEX('04A_국토부원자료'!$A:$T,ROW()+1,MATCH("층",'04A_국토부원자료'!$A$4:$T$4,0)),",","")),"")</f>
        <v/>
      </c>
      <c r="K2371" s="152">
        <f>IFERROR(VALUE(SUBSTITUTE(INDEX('04A_국토부원자료'!$A:$T,ROW()+1,MATCH("건축년도",'04A_국토부원자료'!$A$4:$T$4,0)),",","")),"")</f>
        <v/>
      </c>
      <c r="L2371" s="48">
        <f>IFERROR(INDEX('04A_국토부원자료'!$A:$T,ROW()+1,MATCH("도로명",'04A_국토부원자료'!$A$4:$T$4,0)),"")</f>
        <v/>
      </c>
      <c r="M2371" s="48">
        <f>IFERROR(INDEX('04A_국토부원자료'!$A:$T,ROW()+1,MATCH("거래유형",'04A_국토부원자료'!$A$4:$T$4,0)),"")</f>
        <v/>
      </c>
      <c r="N2371" s="152">
        <f>IF(B2371="","",IF('02_대상물건입력'!B5="",1,IF(ISNUMBER(SEARCH('02_대상물건입력'!B5,B2371)),1,0)))</f>
        <v/>
      </c>
      <c r="O2371" s="152">
        <f>IF(B2371="","",IF('02_대상물건입력'!B6="",1,IF(ISNUMBER(SEARCH('02_대상물건입력'!B6,B2371)),1,0)))</f>
        <v/>
      </c>
      <c r="P2371" s="152">
        <f>IF(L2371="","",IF('02_대상물건입력'!B15="",0,IF(ISNUMBER(SEARCH('02_대상물건입력'!B15,L2371)),1,0)))</f>
        <v/>
      </c>
      <c r="Q2371" s="152">
        <f>IF(OR(C2371="",L2371=""),0,IF(AND(TRIM(C2371)=TRIM(RIGHT(SUBSTITUTE(TRIM('02_대상물건입력'!$B$7)," ",REPT(" ",99)),99)),IF('02_대상물건입력'!B15="",TRUE(),ISNUMBER(SEARCH('02_대상물건입력'!B15,L2371)))),1,0))</f>
        <v/>
      </c>
      <c r="R2371" s="175">
        <f>IFERROR(ABS(E2371-'02_대상물건입력'!B11)/'02_대상물건입력'!B11,"")</f>
        <v/>
      </c>
      <c r="S2371" s="152">
        <f>IFERROR(ABS(J2371-'02_대상물건입력'!B10),"")</f>
        <v/>
      </c>
      <c r="T2371" s="152">
        <f>IFERROR(ABS('01_설정'!B4-F2371),"")</f>
        <v/>
      </c>
      <c r="U2371" s="152">
        <f>IFERROR(ABS(K2371-YEAR('02_대상물건입력'!B14)),"")</f>
        <v/>
      </c>
      <c r="V2371" s="152">
        <f>IF(B2371="","",IF(AND(E2371&gt;0,F2371&gt;0,H2371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2371=1,TRUE()),R2371&lt;='01_설정'!B5,S2371&lt;='01_설정'!B6,T2371&lt;='01_설정'!B7,U2371&lt;='01_설정'!B8),"Y",""))</f>
        <v/>
      </c>
      <c r="W2371" s="172">
        <f>IF(V2371&lt;&gt;"Y","",MAX(0,(1-R2371/'01_설정'!B5))*'01_설정'!B14+MAX(0,(1-S2371/'01_설정'!B6))*'01_설정'!B15+MAX(0,(1-T2371/'01_설정'!B7))*'01_설정'!B16+MAX(0,(1-U2371/'01_설정'!B8))*'01_설정'!B17+O2371*'01_설정'!B11+Q2371*'01_설정'!B12+P2371*'01_설정'!B13+IF(Z2371="",0,Z2371))</f>
        <v/>
      </c>
      <c r="X2371" s="152">
        <f>IF(W2371="","",1+COUNTIFS($W$4:$W$3003,"&gt;"&amp;W2371)+COUNTIFS($W$4:W2371,W2371)-1)</f>
        <v/>
      </c>
      <c r="Y2371" s="175">
        <f>IF(OR(I2371="",'02_대상물건입력'!B19="",'02_대상물건입력'!B19&lt;=0),"",ABS(I2371-'02_대상물건입력'!B19)/'02_대상물건입력'!B19)</f>
        <v/>
      </c>
      <c r="Z2371" s="172">
        <f>IF(OR(Y2371="",'01_설정'!B31="",'01_설정'!B31&lt;=0,'01_설정'!B32="",'01_설정'!B32&lt;=0),"",MAX(0,(1-Y2371/'01_설정'!B32))*'01_설정'!B31)</f>
        <v/>
      </c>
    </row>
    <row r="2372" ht="17.25" customHeight="1">
      <c r="A2372" s="152">
        <f>IF(INDEX('04A_국토부원자료'!$A:$A,ROW()+1)="","",ROW()-3)</f>
        <v/>
      </c>
      <c r="B2372" s="48">
        <f>IFERROR(INDEX('04A_국토부원자료'!$A:$T,ROW()+1,MATCH("시군구",'04A_국토부원자료'!$A$4:$T$4,0)),"")</f>
        <v/>
      </c>
      <c r="C2372" s="48">
        <f>IF(B2372="","",IFERROR(INDEX('04A_국토부원자료'!$A:$T,ROW()+1,MATCH("번지",'04A_국토부원자료'!$A$4:$T$4,0)),""))</f>
        <v/>
      </c>
      <c r="D2372" s="48">
        <f>IF(B2372="","",IF(Q2372=1,'02_대상물건입력'!$B$8,IFERROR(INDEX('04A_국토부원자료'!$A:$T,ROW()+1,MATCH("단지명",'04A_국토부원자료'!$A$4:$T$4,0)),"")))</f>
        <v/>
      </c>
      <c r="E2372" s="172">
        <f>IFERROR(VALUE(SUBSTITUTE(INDEX('04A_국토부원자료'!$A:$T,ROW()+1,MATCH("전용면적(㎡)",'04A_국토부원자료'!$A$4:$T$4,0)),",","")),"")</f>
        <v/>
      </c>
      <c r="F23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72" s="51">
        <f>IFERROR(VALUE(SUBSTITUTE(INDEX('04A_국토부원자료'!$A:$T,ROW()+1,MATCH("거래금액(만원)",'04A_국토부원자료'!$A$4:$T$4,0)),",","")),"")</f>
        <v/>
      </c>
      <c r="H2372" s="174">
        <f>IF(G2372="","",G2372*10000)</f>
        <v/>
      </c>
      <c r="I2372" s="174">
        <f>IFERROR(IF(AND(H2372&gt;0,E2372&gt;0),H2372/E2372,""),"")</f>
        <v/>
      </c>
      <c r="J2372" s="152">
        <f>IFERROR(VALUE(SUBSTITUTE(INDEX('04A_국토부원자료'!$A:$T,ROW()+1,MATCH("층",'04A_국토부원자료'!$A$4:$T$4,0)),",","")),"")</f>
        <v/>
      </c>
      <c r="K2372" s="152">
        <f>IFERROR(VALUE(SUBSTITUTE(INDEX('04A_국토부원자료'!$A:$T,ROW()+1,MATCH("건축년도",'04A_국토부원자료'!$A$4:$T$4,0)),",","")),"")</f>
        <v/>
      </c>
      <c r="L2372" s="48">
        <f>IFERROR(INDEX('04A_국토부원자료'!$A:$T,ROW()+1,MATCH("도로명",'04A_국토부원자료'!$A$4:$T$4,0)),"")</f>
        <v/>
      </c>
      <c r="M2372" s="48">
        <f>IFERROR(INDEX('04A_국토부원자료'!$A:$T,ROW()+1,MATCH("거래유형",'04A_국토부원자료'!$A$4:$T$4,0)),"")</f>
        <v/>
      </c>
      <c r="N2372" s="152">
        <f>IF(B2372="","",IF('02_대상물건입력'!B5="",1,IF(ISNUMBER(SEARCH('02_대상물건입력'!B5,B2372)),1,0)))</f>
        <v/>
      </c>
      <c r="O2372" s="152">
        <f>IF(B2372="","",IF('02_대상물건입력'!B6="",1,IF(ISNUMBER(SEARCH('02_대상물건입력'!B6,B2372)),1,0)))</f>
        <v/>
      </c>
      <c r="P2372" s="152">
        <f>IF(L2372="","",IF('02_대상물건입력'!B15="",0,IF(ISNUMBER(SEARCH('02_대상물건입력'!B15,L2372)),1,0)))</f>
        <v/>
      </c>
      <c r="Q2372" s="152">
        <f>IF(OR(C2372="",L2372=""),0,IF(AND(TRIM(C2372)=TRIM(RIGHT(SUBSTITUTE(TRIM('02_대상물건입력'!$B$7)," ",REPT(" ",99)),99)),IF('02_대상물건입력'!B15="",TRUE(),ISNUMBER(SEARCH('02_대상물건입력'!B15,L2372)))),1,0))</f>
        <v/>
      </c>
      <c r="R2372" s="175">
        <f>IFERROR(ABS(E2372-'02_대상물건입력'!B11)/'02_대상물건입력'!B11,"")</f>
        <v/>
      </c>
      <c r="S2372" s="152">
        <f>IFERROR(ABS(J2372-'02_대상물건입력'!B10),"")</f>
        <v/>
      </c>
      <c r="T2372" s="152">
        <f>IFERROR(ABS('01_설정'!B4-F2372),"")</f>
        <v/>
      </c>
      <c r="U2372" s="152">
        <f>IFERROR(ABS(K2372-YEAR('02_대상물건입력'!B14)),"")</f>
        <v/>
      </c>
      <c r="V2372" s="152">
        <f>IF(B2372="","",IF(AND(E2372&gt;0,F2372&gt;0,H2372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2372=1,TRUE()),R2372&lt;='01_설정'!B5,S2372&lt;='01_설정'!B6,T2372&lt;='01_설정'!B7,U2372&lt;='01_설정'!B8),"Y",""))</f>
        <v/>
      </c>
      <c r="W2372" s="172">
        <f>IF(V2372&lt;&gt;"Y","",MAX(0,(1-R2372/'01_설정'!B5))*'01_설정'!B14+MAX(0,(1-S2372/'01_설정'!B6))*'01_설정'!B15+MAX(0,(1-T2372/'01_설정'!B7))*'01_설정'!B16+MAX(0,(1-U2372/'01_설정'!B8))*'01_설정'!B17+O2372*'01_설정'!B11+Q2372*'01_설정'!B12+P2372*'01_설정'!B13+IF(Z2372="",0,Z2372))</f>
        <v/>
      </c>
      <c r="X2372" s="152">
        <f>IF(W2372="","",1+COUNTIFS($W$4:$W$3003,"&gt;"&amp;W2372)+COUNTIFS($W$4:W2372,W2372)-1)</f>
        <v/>
      </c>
      <c r="Y2372" s="175">
        <f>IF(OR(I2372="",'02_대상물건입력'!B19="",'02_대상물건입력'!B19&lt;=0),"",ABS(I2372-'02_대상물건입력'!B19)/'02_대상물건입력'!B19)</f>
        <v/>
      </c>
      <c r="Z2372" s="172">
        <f>IF(OR(Y2372="",'01_설정'!B31="",'01_설정'!B31&lt;=0,'01_설정'!B32="",'01_설정'!B32&lt;=0),"",MAX(0,(1-Y2372/'01_설정'!B32))*'01_설정'!B31)</f>
        <v/>
      </c>
    </row>
    <row r="2373" ht="17.25" customHeight="1">
      <c r="A2373" s="152">
        <f>IF(INDEX('04A_국토부원자료'!$A:$A,ROW()+1)="","",ROW()-3)</f>
        <v/>
      </c>
      <c r="B2373" s="48">
        <f>IFERROR(INDEX('04A_국토부원자료'!$A:$T,ROW()+1,MATCH("시군구",'04A_국토부원자료'!$A$4:$T$4,0)),"")</f>
        <v/>
      </c>
      <c r="C2373" s="48">
        <f>IF(B2373="","",IFERROR(INDEX('04A_국토부원자료'!$A:$T,ROW()+1,MATCH("번지",'04A_국토부원자료'!$A$4:$T$4,0)),""))</f>
        <v/>
      </c>
      <c r="D2373" s="48">
        <f>IF(B2373="","",IF(Q2373=1,'02_대상물건입력'!$B$8,IFERROR(INDEX('04A_국토부원자료'!$A:$T,ROW()+1,MATCH("단지명",'04A_국토부원자료'!$A$4:$T$4,0)),"")))</f>
        <v/>
      </c>
      <c r="E2373" s="172">
        <f>IFERROR(VALUE(SUBSTITUTE(INDEX('04A_국토부원자료'!$A:$T,ROW()+1,MATCH("전용면적(㎡)",'04A_국토부원자료'!$A$4:$T$4,0)),",","")),"")</f>
        <v/>
      </c>
      <c r="F23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73" s="51">
        <f>IFERROR(VALUE(SUBSTITUTE(INDEX('04A_국토부원자료'!$A:$T,ROW()+1,MATCH("거래금액(만원)",'04A_국토부원자료'!$A$4:$T$4,0)),",","")),"")</f>
        <v/>
      </c>
      <c r="H2373" s="174">
        <f>IF(G2373="","",G2373*10000)</f>
        <v/>
      </c>
      <c r="I2373" s="174">
        <f>IFERROR(IF(AND(H2373&gt;0,E2373&gt;0),H2373/E2373,""),"")</f>
        <v/>
      </c>
      <c r="J2373" s="152">
        <f>IFERROR(VALUE(SUBSTITUTE(INDEX('04A_국토부원자료'!$A:$T,ROW()+1,MATCH("층",'04A_국토부원자료'!$A$4:$T$4,0)),",","")),"")</f>
        <v/>
      </c>
      <c r="K2373" s="152">
        <f>IFERROR(VALUE(SUBSTITUTE(INDEX('04A_국토부원자료'!$A:$T,ROW()+1,MATCH("건축년도",'04A_국토부원자료'!$A$4:$T$4,0)),",","")),"")</f>
        <v/>
      </c>
      <c r="L2373" s="48">
        <f>IFERROR(INDEX('04A_국토부원자료'!$A:$T,ROW()+1,MATCH("도로명",'04A_국토부원자료'!$A$4:$T$4,0)),"")</f>
        <v/>
      </c>
      <c r="M2373" s="48">
        <f>IFERROR(INDEX('04A_국토부원자료'!$A:$T,ROW()+1,MATCH("거래유형",'04A_국토부원자료'!$A$4:$T$4,0)),"")</f>
        <v/>
      </c>
      <c r="N2373" s="152">
        <f>IF(B2373="","",IF('02_대상물건입력'!B5="",1,IF(ISNUMBER(SEARCH('02_대상물건입력'!B5,B2373)),1,0)))</f>
        <v/>
      </c>
      <c r="O2373" s="152">
        <f>IF(B2373="","",IF('02_대상물건입력'!B6="",1,IF(ISNUMBER(SEARCH('02_대상물건입력'!B6,B2373)),1,0)))</f>
        <v/>
      </c>
      <c r="P2373" s="152">
        <f>IF(L2373="","",IF('02_대상물건입력'!B15="",0,IF(ISNUMBER(SEARCH('02_대상물건입력'!B15,L2373)),1,0)))</f>
        <v/>
      </c>
      <c r="Q2373" s="152">
        <f>IF(OR(C2373="",L2373=""),0,IF(AND(TRIM(C2373)=TRIM(RIGHT(SUBSTITUTE(TRIM('02_대상물건입력'!$B$7)," ",REPT(" ",99)),99)),IF('02_대상물건입력'!B15="",TRUE(),ISNUMBER(SEARCH('02_대상물건입력'!B15,L2373)))),1,0))</f>
        <v/>
      </c>
      <c r="R2373" s="175">
        <f>IFERROR(ABS(E2373-'02_대상물건입력'!B11)/'02_대상물건입력'!B11,"")</f>
        <v/>
      </c>
      <c r="S2373" s="152">
        <f>IFERROR(ABS(J2373-'02_대상물건입력'!B10),"")</f>
        <v/>
      </c>
      <c r="T2373" s="152">
        <f>IFERROR(ABS('01_설정'!B4-F2373),"")</f>
        <v/>
      </c>
      <c r="U2373" s="152">
        <f>IFERROR(ABS(K2373-YEAR('02_대상물건입력'!B14)),"")</f>
        <v/>
      </c>
      <c r="V2373" s="152">
        <f>IF(B2373="","",IF(AND(E2373&gt;0,F2373&gt;0,H2373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2373=1,TRUE()),R2373&lt;='01_설정'!B5,S2373&lt;='01_설정'!B6,T2373&lt;='01_설정'!B7,U2373&lt;='01_설정'!B8),"Y",""))</f>
        <v/>
      </c>
      <c r="W2373" s="172">
        <f>IF(V2373&lt;&gt;"Y","",MAX(0,(1-R2373/'01_설정'!B5))*'01_설정'!B14+MAX(0,(1-S2373/'01_설정'!B6))*'01_설정'!B15+MAX(0,(1-T2373/'01_설정'!B7))*'01_설정'!B16+MAX(0,(1-U2373/'01_설정'!B8))*'01_설정'!B17+O2373*'01_설정'!B11+Q2373*'01_설정'!B12+P2373*'01_설정'!B13+IF(Z2373="",0,Z2373))</f>
        <v/>
      </c>
      <c r="X2373" s="152">
        <f>IF(W2373="","",1+COUNTIFS($W$4:$W$3003,"&gt;"&amp;W2373)+COUNTIFS($W$4:W2373,W2373)-1)</f>
        <v/>
      </c>
      <c r="Y2373" s="175">
        <f>IF(OR(I2373="",'02_대상물건입력'!B19="",'02_대상물건입력'!B19&lt;=0),"",ABS(I2373-'02_대상물건입력'!B19)/'02_대상물건입력'!B19)</f>
        <v/>
      </c>
      <c r="Z2373" s="172">
        <f>IF(OR(Y2373="",'01_설정'!B31="",'01_설정'!B31&lt;=0,'01_설정'!B32="",'01_설정'!B32&lt;=0),"",MAX(0,(1-Y2373/'01_설정'!B32))*'01_설정'!B31)</f>
        <v/>
      </c>
    </row>
    <row r="2374" ht="17.25" customHeight="1">
      <c r="A2374" s="152">
        <f>IF(INDEX('04A_국토부원자료'!$A:$A,ROW()+1)="","",ROW()-3)</f>
        <v/>
      </c>
      <c r="B2374" s="48">
        <f>IFERROR(INDEX('04A_국토부원자료'!$A:$T,ROW()+1,MATCH("시군구",'04A_국토부원자료'!$A$4:$T$4,0)),"")</f>
        <v/>
      </c>
      <c r="C2374" s="48">
        <f>IF(B2374="","",IFERROR(INDEX('04A_국토부원자료'!$A:$T,ROW()+1,MATCH("번지",'04A_국토부원자료'!$A$4:$T$4,0)),""))</f>
        <v/>
      </c>
      <c r="D2374" s="48">
        <f>IF(B2374="","",IF(Q2374=1,'02_대상물건입력'!$B$8,IFERROR(INDEX('04A_국토부원자료'!$A:$T,ROW()+1,MATCH("단지명",'04A_국토부원자료'!$A$4:$T$4,0)),"")))</f>
        <v/>
      </c>
      <c r="E2374" s="172">
        <f>IFERROR(VALUE(SUBSTITUTE(INDEX('04A_국토부원자료'!$A:$T,ROW()+1,MATCH("전용면적(㎡)",'04A_국토부원자료'!$A$4:$T$4,0)),",","")),"")</f>
        <v/>
      </c>
      <c r="F23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74" s="51">
        <f>IFERROR(VALUE(SUBSTITUTE(INDEX('04A_국토부원자료'!$A:$T,ROW()+1,MATCH("거래금액(만원)",'04A_국토부원자료'!$A$4:$T$4,0)),",","")),"")</f>
        <v/>
      </c>
      <c r="H2374" s="174">
        <f>IF(G2374="","",G2374*10000)</f>
        <v/>
      </c>
      <c r="I2374" s="174">
        <f>IFERROR(IF(AND(H2374&gt;0,E2374&gt;0),H2374/E2374,""),"")</f>
        <v/>
      </c>
      <c r="J2374" s="152">
        <f>IFERROR(VALUE(SUBSTITUTE(INDEX('04A_국토부원자료'!$A:$T,ROW()+1,MATCH("층",'04A_국토부원자료'!$A$4:$T$4,0)),",","")),"")</f>
        <v/>
      </c>
      <c r="K2374" s="152">
        <f>IFERROR(VALUE(SUBSTITUTE(INDEX('04A_국토부원자료'!$A:$T,ROW()+1,MATCH("건축년도",'04A_국토부원자료'!$A$4:$T$4,0)),",","")),"")</f>
        <v/>
      </c>
      <c r="L2374" s="48">
        <f>IFERROR(INDEX('04A_국토부원자료'!$A:$T,ROW()+1,MATCH("도로명",'04A_국토부원자료'!$A$4:$T$4,0)),"")</f>
        <v/>
      </c>
      <c r="M2374" s="48">
        <f>IFERROR(INDEX('04A_국토부원자료'!$A:$T,ROW()+1,MATCH("거래유형",'04A_국토부원자료'!$A$4:$T$4,0)),"")</f>
        <v/>
      </c>
      <c r="N2374" s="152">
        <f>IF(B2374="","",IF('02_대상물건입력'!B5="",1,IF(ISNUMBER(SEARCH('02_대상물건입력'!B5,B2374)),1,0)))</f>
        <v/>
      </c>
      <c r="O2374" s="152">
        <f>IF(B2374="","",IF('02_대상물건입력'!B6="",1,IF(ISNUMBER(SEARCH('02_대상물건입력'!B6,B2374)),1,0)))</f>
        <v/>
      </c>
      <c r="P2374" s="152">
        <f>IF(L2374="","",IF('02_대상물건입력'!B15="",0,IF(ISNUMBER(SEARCH('02_대상물건입력'!B15,L2374)),1,0)))</f>
        <v/>
      </c>
      <c r="Q2374" s="152">
        <f>IF(OR(C2374="",L2374=""),0,IF(AND(TRIM(C2374)=TRIM(RIGHT(SUBSTITUTE(TRIM('02_대상물건입력'!$B$7)," ",REPT(" ",99)),99)),IF('02_대상물건입력'!B15="",TRUE(),ISNUMBER(SEARCH('02_대상물건입력'!B15,L2374)))),1,0))</f>
        <v/>
      </c>
      <c r="R2374" s="175">
        <f>IFERROR(ABS(E2374-'02_대상물건입력'!B11)/'02_대상물건입력'!B11,"")</f>
        <v/>
      </c>
      <c r="S2374" s="152">
        <f>IFERROR(ABS(J2374-'02_대상물건입력'!B10),"")</f>
        <v/>
      </c>
      <c r="T2374" s="152">
        <f>IFERROR(ABS('01_설정'!B4-F2374),"")</f>
        <v/>
      </c>
      <c r="U2374" s="152">
        <f>IFERROR(ABS(K2374-YEAR('02_대상물건입력'!B14)),"")</f>
        <v/>
      </c>
      <c r="V2374" s="152">
        <f>IF(B2374="","",IF(AND(E2374&gt;0,F2374&gt;0,H2374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2374=1,TRUE()),R2374&lt;='01_설정'!B5,S2374&lt;='01_설정'!B6,T2374&lt;='01_설정'!B7,U2374&lt;='01_설정'!B8),"Y",""))</f>
        <v/>
      </c>
      <c r="W2374" s="172">
        <f>IF(V2374&lt;&gt;"Y","",MAX(0,(1-R2374/'01_설정'!B5))*'01_설정'!B14+MAX(0,(1-S2374/'01_설정'!B6))*'01_설정'!B15+MAX(0,(1-T2374/'01_설정'!B7))*'01_설정'!B16+MAX(0,(1-U2374/'01_설정'!B8))*'01_설정'!B17+O2374*'01_설정'!B11+Q2374*'01_설정'!B12+P2374*'01_설정'!B13+IF(Z2374="",0,Z2374))</f>
        <v/>
      </c>
      <c r="X2374" s="152">
        <f>IF(W2374="","",1+COUNTIFS($W$4:$W$3003,"&gt;"&amp;W2374)+COUNTIFS($W$4:W2374,W2374)-1)</f>
        <v/>
      </c>
      <c r="Y2374" s="175">
        <f>IF(OR(I2374="",'02_대상물건입력'!B19="",'02_대상물건입력'!B19&lt;=0),"",ABS(I2374-'02_대상물건입력'!B19)/'02_대상물건입력'!B19)</f>
        <v/>
      </c>
      <c r="Z2374" s="172">
        <f>IF(OR(Y2374="",'01_설정'!B31="",'01_설정'!B31&lt;=0,'01_설정'!B32="",'01_설정'!B32&lt;=0),"",MAX(0,(1-Y2374/'01_설정'!B32))*'01_설정'!B31)</f>
        <v/>
      </c>
    </row>
    <row r="2375" ht="17.25" customHeight="1">
      <c r="A2375" s="152">
        <f>IF(INDEX('04A_국토부원자료'!$A:$A,ROW()+1)="","",ROW()-3)</f>
        <v/>
      </c>
      <c r="B2375" s="48">
        <f>IFERROR(INDEX('04A_국토부원자료'!$A:$T,ROW()+1,MATCH("시군구",'04A_국토부원자료'!$A$4:$T$4,0)),"")</f>
        <v/>
      </c>
      <c r="C2375" s="48">
        <f>IF(B2375="","",IFERROR(INDEX('04A_국토부원자료'!$A:$T,ROW()+1,MATCH("번지",'04A_국토부원자료'!$A$4:$T$4,0)),""))</f>
        <v/>
      </c>
      <c r="D2375" s="48">
        <f>IF(B2375="","",IF(Q2375=1,'02_대상물건입력'!$B$8,IFERROR(INDEX('04A_국토부원자료'!$A:$T,ROW()+1,MATCH("단지명",'04A_국토부원자료'!$A$4:$T$4,0)),"")))</f>
        <v/>
      </c>
      <c r="E2375" s="172">
        <f>IFERROR(VALUE(SUBSTITUTE(INDEX('04A_국토부원자료'!$A:$T,ROW()+1,MATCH("전용면적(㎡)",'04A_국토부원자료'!$A$4:$T$4,0)),",","")),"")</f>
        <v/>
      </c>
      <c r="F23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75" s="51">
        <f>IFERROR(VALUE(SUBSTITUTE(INDEX('04A_국토부원자료'!$A:$T,ROW()+1,MATCH("거래금액(만원)",'04A_국토부원자료'!$A$4:$T$4,0)),",","")),"")</f>
        <v/>
      </c>
      <c r="H2375" s="174">
        <f>IF(G2375="","",G2375*10000)</f>
        <v/>
      </c>
      <c r="I2375" s="174">
        <f>IFERROR(IF(AND(H2375&gt;0,E2375&gt;0),H2375/E2375,""),"")</f>
        <v/>
      </c>
      <c r="J2375" s="152">
        <f>IFERROR(VALUE(SUBSTITUTE(INDEX('04A_국토부원자료'!$A:$T,ROW()+1,MATCH("층",'04A_국토부원자료'!$A$4:$T$4,0)),",","")),"")</f>
        <v/>
      </c>
      <c r="K2375" s="152">
        <f>IFERROR(VALUE(SUBSTITUTE(INDEX('04A_국토부원자료'!$A:$T,ROW()+1,MATCH("건축년도",'04A_국토부원자료'!$A$4:$T$4,0)),",","")),"")</f>
        <v/>
      </c>
      <c r="L2375" s="48">
        <f>IFERROR(INDEX('04A_국토부원자료'!$A:$T,ROW()+1,MATCH("도로명",'04A_국토부원자료'!$A$4:$T$4,0)),"")</f>
        <v/>
      </c>
      <c r="M2375" s="48">
        <f>IFERROR(INDEX('04A_국토부원자료'!$A:$T,ROW()+1,MATCH("거래유형",'04A_국토부원자료'!$A$4:$T$4,0)),"")</f>
        <v/>
      </c>
      <c r="N2375" s="152">
        <f>IF(B2375="","",IF('02_대상물건입력'!B5="",1,IF(ISNUMBER(SEARCH('02_대상물건입력'!B5,B2375)),1,0)))</f>
        <v/>
      </c>
      <c r="O2375" s="152">
        <f>IF(B2375="","",IF('02_대상물건입력'!B6="",1,IF(ISNUMBER(SEARCH('02_대상물건입력'!B6,B2375)),1,0)))</f>
        <v/>
      </c>
      <c r="P2375" s="152">
        <f>IF(L2375="","",IF('02_대상물건입력'!B15="",0,IF(ISNUMBER(SEARCH('02_대상물건입력'!B15,L2375)),1,0)))</f>
        <v/>
      </c>
      <c r="Q2375" s="152">
        <f>IF(OR(C2375="",L2375=""),0,IF(AND(TRIM(C2375)=TRIM(RIGHT(SUBSTITUTE(TRIM('02_대상물건입력'!$B$7)," ",REPT(" ",99)),99)),IF('02_대상물건입력'!B15="",TRUE(),ISNUMBER(SEARCH('02_대상물건입력'!B15,L2375)))),1,0))</f>
        <v/>
      </c>
      <c r="R2375" s="175">
        <f>IFERROR(ABS(E2375-'02_대상물건입력'!B11)/'02_대상물건입력'!B11,"")</f>
        <v/>
      </c>
      <c r="S2375" s="152">
        <f>IFERROR(ABS(J2375-'02_대상물건입력'!B10),"")</f>
        <v/>
      </c>
      <c r="T2375" s="152">
        <f>IFERROR(ABS('01_설정'!B4-F2375),"")</f>
        <v/>
      </c>
      <c r="U2375" s="152">
        <f>IFERROR(ABS(K2375-YEAR('02_대상물건입력'!B14)),"")</f>
        <v/>
      </c>
      <c r="V2375" s="152">
        <f>IF(B2375="","",IF(AND(E2375&gt;0,F2375&gt;0,H2375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2375=1,TRUE()),R2375&lt;='01_설정'!B5,S2375&lt;='01_설정'!B6,T2375&lt;='01_설정'!B7,U2375&lt;='01_설정'!B8),"Y",""))</f>
        <v/>
      </c>
      <c r="W2375" s="172">
        <f>IF(V2375&lt;&gt;"Y","",MAX(0,(1-R2375/'01_설정'!B5))*'01_설정'!B14+MAX(0,(1-S2375/'01_설정'!B6))*'01_설정'!B15+MAX(0,(1-T2375/'01_설정'!B7))*'01_설정'!B16+MAX(0,(1-U2375/'01_설정'!B8))*'01_설정'!B17+O2375*'01_설정'!B11+Q2375*'01_설정'!B12+P2375*'01_설정'!B13+IF(Z2375="",0,Z2375))</f>
        <v/>
      </c>
      <c r="X2375" s="152">
        <f>IF(W2375="","",1+COUNTIFS($W$4:$W$3003,"&gt;"&amp;W2375)+COUNTIFS($W$4:W2375,W2375)-1)</f>
        <v/>
      </c>
      <c r="Y2375" s="175">
        <f>IF(OR(I2375="",'02_대상물건입력'!B19="",'02_대상물건입력'!B19&lt;=0),"",ABS(I2375-'02_대상물건입력'!B19)/'02_대상물건입력'!B19)</f>
        <v/>
      </c>
      <c r="Z2375" s="172">
        <f>IF(OR(Y2375="",'01_설정'!B31="",'01_설정'!B31&lt;=0,'01_설정'!B32="",'01_설정'!B32&lt;=0),"",MAX(0,(1-Y2375/'01_설정'!B32))*'01_설정'!B31)</f>
        <v/>
      </c>
    </row>
    <row r="2376" ht="17.25" customHeight="1">
      <c r="A2376" s="152">
        <f>IF(INDEX('04A_국토부원자료'!$A:$A,ROW()+1)="","",ROW()-3)</f>
        <v/>
      </c>
      <c r="B2376" s="48">
        <f>IFERROR(INDEX('04A_국토부원자료'!$A:$T,ROW()+1,MATCH("시군구",'04A_국토부원자료'!$A$4:$T$4,0)),"")</f>
        <v/>
      </c>
      <c r="C2376" s="48">
        <f>IF(B2376="","",IFERROR(INDEX('04A_국토부원자료'!$A:$T,ROW()+1,MATCH("번지",'04A_국토부원자료'!$A$4:$T$4,0)),""))</f>
        <v/>
      </c>
      <c r="D2376" s="48">
        <f>IF(B2376="","",IF(Q2376=1,'02_대상물건입력'!$B$8,IFERROR(INDEX('04A_국토부원자료'!$A:$T,ROW()+1,MATCH("단지명",'04A_국토부원자료'!$A$4:$T$4,0)),"")))</f>
        <v/>
      </c>
      <c r="E2376" s="172">
        <f>IFERROR(VALUE(SUBSTITUTE(INDEX('04A_국토부원자료'!$A:$T,ROW()+1,MATCH("전용면적(㎡)",'04A_국토부원자료'!$A$4:$T$4,0)),",","")),"")</f>
        <v/>
      </c>
      <c r="F23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76" s="51">
        <f>IFERROR(VALUE(SUBSTITUTE(INDEX('04A_국토부원자료'!$A:$T,ROW()+1,MATCH("거래금액(만원)",'04A_국토부원자료'!$A$4:$T$4,0)),",","")),"")</f>
        <v/>
      </c>
      <c r="H2376" s="174">
        <f>IF(G2376="","",G2376*10000)</f>
        <v/>
      </c>
      <c r="I2376" s="174">
        <f>IFERROR(IF(AND(H2376&gt;0,E2376&gt;0),H2376/E2376,""),"")</f>
        <v/>
      </c>
      <c r="J2376" s="152">
        <f>IFERROR(VALUE(SUBSTITUTE(INDEX('04A_국토부원자료'!$A:$T,ROW()+1,MATCH("층",'04A_국토부원자료'!$A$4:$T$4,0)),",","")),"")</f>
        <v/>
      </c>
      <c r="K2376" s="152">
        <f>IFERROR(VALUE(SUBSTITUTE(INDEX('04A_국토부원자료'!$A:$T,ROW()+1,MATCH("건축년도",'04A_국토부원자료'!$A$4:$T$4,0)),",","")),"")</f>
        <v/>
      </c>
      <c r="L2376" s="48">
        <f>IFERROR(INDEX('04A_국토부원자료'!$A:$T,ROW()+1,MATCH("도로명",'04A_국토부원자료'!$A$4:$T$4,0)),"")</f>
        <v/>
      </c>
      <c r="M2376" s="48">
        <f>IFERROR(INDEX('04A_국토부원자료'!$A:$T,ROW()+1,MATCH("거래유형",'04A_국토부원자료'!$A$4:$T$4,0)),"")</f>
        <v/>
      </c>
      <c r="N2376" s="152">
        <f>IF(B2376="","",IF('02_대상물건입력'!B5="",1,IF(ISNUMBER(SEARCH('02_대상물건입력'!B5,B2376)),1,0)))</f>
        <v/>
      </c>
      <c r="O2376" s="152">
        <f>IF(B2376="","",IF('02_대상물건입력'!B6="",1,IF(ISNUMBER(SEARCH('02_대상물건입력'!B6,B2376)),1,0)))</f>
        <v/>
      </c>
      <c r="P2376" s="152">
        <f>IF(L2376="","",IF('02_대상물건입력'!B15="",0,IF(ISNUMBER(SEARCH('02_대상물건입력'!B15,L2376)),1,0)))</f>
        <v/>
      </c>
      <c r="Q2376" s="152">
        <f>IF(OR(C2376="",L2376=""),0,IF(AND(TRIM(C2376)=TRIM(RIGHT(SUBSTITUTE(TRIM('02_대상물건입력'!$B$7)," ",REPT(" ",99)),99)),IF('02_대상물건입력'!B15="",TRUE(),ISNUMBER(SEARCH('02_대상물건입력'!B15,L2376)))),1,0))</f>
        <v/>
      </c>
      <c r="R2376" s="175">
        <f>IFERROR(ABS(E2376-'02_대상물건입력'!B11)/'02_대상물건입력'!B11,"")</f>
        <v/>
      </c>
      <c r="S2376" s="152">
        <f>IFERROR(ABS(J2376-'02_대상물건입력'!B10),"")</f>
        <v/>
      </c>
      <c r="T2376" s="152">
        <f>IFERROR(ABS('01_설정'!B4-F2376),"")</f>
        <v/>
      </c>
      <c r="U2376" s="152">
        <f>IFERROR(ABS(K2376-YEAR('02_대상물건입력'!B14)),"")</f>
        <v/>
      </c>
      <c r="V2376" s="152">
        <f>IF(B2376="","",IF(AND(E2376&gt;0,F2376&gt;0,H2376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2376=1,TRUE()),R2376&lt;='01_설정'!B5,S2376&lt;='01_설정'!B6,T2376&lt;='01_설정'!B7,U2376&lt;='01_설정'!B8),"Y",""))</f>
        <v/>
      </c>
      <c r="W2376" s="172">
        <f>IF(V2376&lt;&gt;"Y","",MAX(0,(1-R2376/'01_설정'!B5))*'01_설정'!B14+MAX(0,(1-S2376/'01_설정'!B6))*'01_설정'!B15+MAX(0,(1-T2376/'01_설정'!B7))*'01_설정'!B16+MAX(0,(1-U2376/'01_설정'!B8))*'01_설정'!B17+O2376*'01_설정'!B11+Q2376*'01_설정'!B12+P2376*'01_설정'!B13+IF(Z2376="",0,Z2376))</f>
        <v/>
      </c>
      <c r="X2376" s="152">
        <f>IF(W2376="","",1+COUNTIFS($W$4:$W$3003,"&gt;"&amp;W2376)+COUNTIFS($W$4:W2376,W2376)-1)</f>
        <v/>
      </c>
      <c r="Y2376" s="175">
        <f>IF(OR(I2376="",'02_대상물건입력'!B19="",'02_대상물건입력'!B19&lt;=0),"",ABS(I2376-'02_대상물건입력'!B19)/'02_대상물건입력'!B19)</f>
        <v/>
      </c>
      <c r="Z2376" s="172">
        <f>IF(OR(Y2376="",'01_설정'!B31="",'01_설정'!B31&lt;=0,'01_설정'!B32="",'01_설정'!B32&lt;=0),"",MAX(0,(1-Y2376/'01_설정'!B32))*'01_설정'!B31)</f>
        <v/>
      </c>
    </row>
    <row r="2377" ht="17.25" customHeight="1">
      <c r="A2377" s="152">
        <f>IF(INDEX('04A_국토부원자료'!$A:$A,ROW()+1)="","",ROW()-3)</f>
        <v/>
      </c>
      <c r="B2377" s="48">
        <f>IFERROR(INDEX('04A_국토부원자료'!$A:$T,ROW()+1,MATCH("시군구",'04A_국토부원자료'!$A$4:$T$4,0)),"")</f>
        <v/>
      </c>
      <c r="C2377" s="48">
        <f>IF(B2377="","",IFERROR(INDEX('04A_국토부원자료'!$A:$T,ROW()+1,MATCH("번지",'04A_국토부원자료'!$A$4:$T$4,0)),""))</f>
        <v/>
      </c>
      <c r="D2377" s="48">
        <f>IF(B2377="","",IF(Q2377=1,'02_대상물건입력'!$B$8,IFERROR(INDEX('04A_국토부원자료'!$A:$T,ROW()+1,MATCH("단지명",'04A_국토부원자료'!$A$4:$T$4,0)),"")))</f>
        <v/>
      </c>
      <c r="E2377" s="172">
        <f>IFERROR(VALUE(SUBSTITUTE(INDEX('04A_국토부원자료'!$A:$T,ROW()+1,MATCH("전용면적(㎡)",'04A_국토부원자료'!$A$4:$T$4,0)),",","")),"")</f>
        <v/>
      </c>
      <c r="F23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77" s="51">
        <f>IFERROR(VALUE(SUBSTITUTE(INDEX('04A_국토부원자료'!$A:$T,ROW()+1,MATCH("거래금액(만원)",'04A_국토부원자료'!$A$4:$T$4,0)),",","")),"")</f>
        <v/>
      </c>
      <c r="H2377" s="174">
        <f>IF(G2377="","",G2377*10000)</f>
        <v/>
      </c>
      <c r="I2377" s="174">
        <f>IFERROR(IF(AND(H2377&gt;0,E2377&gt;0),H2377/E2377,""),"")</f>
        <v/>
      </c>
      <c r="J2377" s="152">
        <f>IFERROR(VALUE(SUBSTITUTE(INDEX('04A_국토부원자료'!$A:$T,ROW()+1,MATCH("층",'04A_국토부원자료'!$A$4:$T$4,0)),",","")),"")</f>
        <v/>
      </c>
      <c r="K2377" s="152">
        <f>IFERROR(VALUE(SUBSTITUTE(INDEX('04A_국토부원자료'!$A:$T,ROW()+1,MATCH("건축년도",'04A_국토부원자료'!$A$4:$T$4,0)),",","")),"")</f>
        <v/>
      </c>
      <c r="L2377" s="48">
        <f>IFERROR(INDEX('04A_국토부원자료'!$A:$T,ROW()+1,MATCH("도로명",'04A_국토부원자료'!$A$4:$T$4,0)),"")</f>
        <v/>
      </c>
      <c r="M2377" s="48">
        <f>IFERROR(INDEX('04A_국토부원자료'!$A:$T,ROW()+1,MATCH("거래유형",'04A_국토부원자료'!$A$4:$T$4,0)),"")</f>
        <v/>
      </c>
      <c r="N2377" s="152">
        <f>IF(B2377="","",IF('02_대상물건입력'!B5="",1,IF(ISNUMBER(SEARCH('02_대상물건입력'!B5,B2377)),1,0)))</f>
        <v/>
      </c>
      <c r="O2377" s="152">
        <f>IF(B2377="","",IF('02_대상물건입력'!B6="",1,IF(ISNUMBER(SEARCH('02_대상물건입력'!B6,B2377)),1,0)))</f>
        <v/>
      </c>
      <c r="P2377" s="152">
        <f>IF(L2377="","",IF('02_대상물건입력'!B15="",0,IF(ISNUMBER(SEARCH('02_대상물건입력'!B15,L2377)),1,0)))</f>
        <v/>
      </c>
      <c r="Q2377" s="152">
        <f>IF(OR(C2377="",L2377=""),0,IF(AND(TRIM(C2377)=TRIM(RIGHT(SUBSTITUTE(TRIM('02_대상물건입력'!$B$7)," ",REPT(" ",99)),99)),IF('02_대상물건입력'!B15="",TRUE(),ISNUMBER(SEARCH('02_대상물건입력'!B15,L2377)))),1,0))</f>
        <v/>
      </c>
      <c r="R2377" s="175">
        <f>IFERROR(ABS(E2377-'02_대상물건입력'!B11)/'02_대상물건입력'!B11,"")</f>
        <v/>
      </c>
      <c r="S2377" s="152">
        <f>IFERROR(ABS(J2377-'02_대상물건입력'!B10),"")</f>
        <v/>
      </c>
      <c r="T2377" s="152">
        <f>IFERROR(ABS('01_설정'!B4-F2377),"")</f>
        <v/>
      </c>
      <c r="U2377" s="152">
        <f>IFERROR(ABS(K2377-YEAR('02_대상물건입력'!B14)),"")</f>
        <v/>
      </c>
      <c r="V2377" s="152">
        <f>IF(B2377="","",IF(AND(E2377&gt;0,F2377&gt;0,H2377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2377=1,TRUE()),R2377&lt;='01_설정'!B5,S2377&lt;='01_설정'!B6,T2377&lt;='01_설정'!B7,U2377&lt;='01_설정'!B8),"Y",""))</f>
        <v/>
      </c>
      <c r="W2377" s="172">
        <f>IF(V2377&lt;&gt;"Y","",MAX(0,(1-R2377/'01_설정'!B5))*'01_설정'!B14+MAX(0,(1-S2377/'01_설정'!B6))*'01_설정'!B15+MAX(0,(1-T2377/'01_설정'!B7))*'01_설정'!B16+MAX(0,(1-U2377/'01_설정'!B8))*'01_설정'!B17+O2377*'01_설정'!B11+Q2377*'01_설정'!B12+P2377*'01_설정'!B13+IF(Z2377="",0,Z2377))</f>
        <v/>
      </c>
      <c r="X2377" s="152">
        <f>IF(W2377="","",1+COUNTIFS($W$4:$W$3003,"&gt;"&amp;W2377)+COUNTIFS($W$4:W2377,W2377)-1)</f>
        <v/>
      </c>
      <c r="Y2377" s="175">
        <f>IF(OR(I2377="",'02_대상물건입력'!B19="",'02_대상물건입력'!B19&lt;=0),"",ABS(I2377-'02_대상물건입력'!B19)/'02_대상물건입력'!B19)</f>
        <v/>
      </c>
      <c r="Z2377" s="172">
        <f>IF(OR(Y2377="",'01_설정'!B31="",'01_설정'!B31&lt;=0,'01_설정'!B32="",'01_설정'!B32&lt;=0),"",MAX(0,(1-Y2377/'01_설정'!B32))*'01_설정'!B31)</f>
        <v/>
      </c>
    </row>
    <row r="2378" ht="17.25" customHeight="1">
      <c r="A2378" s="152">
        <f>IF(INDEX('04A_국토부원자료'!$A:$A,ROW()+1)="","",ROW()-3)</f>
        <v/>
      </c>
      <c r="B2378" s="48">
        <f>IFERROR(INDEX('04A_국토부원자료'!$A:$T,ROW()+1,MATCH("시군구",'04A_국토부원자료'!$A$4:$T$4,0)),"")</f>
        <v/>
      </c>
      <c r="C2378" s="48">
        <f>IF(B2378="","",IFERROR(INDEX('04A_국토부원자료'!$A:$T,ROW()+1,MATCH("번지",'04A_국토부원자료'!$A$4:$T$4,0)),""))</f>
        <v/>
      </c>
      <c r="D2378" s="48">
        <f>IF(B2378="","",IF(Q2378=1,'02_대상물건입력'!$B$8,IFERROR(INDEX('04A_국토부원자료'!$A:$T,ROW()+1,MATCH("단지명",'04A_국토부원자료'!$A$4:$T$4,0)),"")))</f>
        <v/>
      </c>
      <c r="E2378" s="172">
        <f>IFERROR(VALUE(SUBSTITUTE(INDEX('04A_국토부원자료'!$A:$T,ROW()+1,MATCH("전용면적(㎡)",'04A_국토부원자료'!$A$4:$T$4,0)),",","")),"")</f>
        <v/>
      </c>
      <c r="F23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78" s="51">
        <f>IFERROR(VALUE(SUBSTITUTE(INDEX('04A_국토부원자료'!$A:$T,ROW()+1,MATCH("거래금액(만원)",'04A_국토부원자료'!$A$4:$T$4,0)),",","")),"")</f>
        <v/>
      </c>
      <c r="H2378" s="174">
        <f>IF(G2378="","",G2378*10000)</f>
        <v/>
      </c>
      <c r="I2378" s="174">
        <f>IFERROR(IF(AND(H2378&gt;0,E2378&gt;0),H2378/E2378,""),"")</f>
        <v/>
      </c>
      <c r="J2378" s="152">
        <f>IFERROR(VALUE(SUBSTITUTE(INDEX('04A_국토부원자료'!$A:$T,ROW()+1,MATCH("층",'04A_국토부원자료'!$A$4:$T$4,0)),",","")),"")</f>
        <v/>
      </c>
      <c r="K2378" s="152">
        <f>IFERROR(VALUE(SUBSTITUTE(INDEX('04A_국토부원자료'!$A:$T,ROW()+1,MATCH("건축년도",'04A_국토부원자료'!$A$4:$T$4,0)),",","")),"")</f>
        <v/>
      </c>
      <c r="L2378" s="48">
        <f>IFERROR(INDEX('04A_국토부원자료'!$A:$T,ROW()+1,MATCH("도로명",'04A_국토부원자료'!$A$4:$T$4,0)),"")</f>
        <v/>
      </c>
      <c r="M2378" s="48">
        <f>IFERROR(INDEX('04A_국토부원자료'!$A:$T,ROW()+1,MATCH("거래유형",'04A_국토부원자료'!$A$4:$T$4,0)),"")</f>
        <v/>
      </c>
      <c r="N2378" s="152">
        <f>IF(B2378="","",IF('02_대상물건입력'!B5="",1,IF(ISNUMBER(SEARCH('02_대상물건입력'!B5,B2378)),1,0)))</f>
        <v/>
      </c>
      <c r="O2378" s="152">
        <f>IF(B2378="","",IF('02_대상물건입력'!B6="",1,IF(ISNUMBER(SEARCH('02_대상물건입력'!B6,B2378)),1,0)))</f>
        <v/>
      </c>
      <c r="P2378" s="152">
        <f>IF(L2378="","",IF('02_대상물건입력'!B15="",0,IF(ISNUMBER(SEARCH('02_대상물건입력'!B15,L2378)),1,0)))</f>
        <v/>
      </c>
      <c r="Q2378" s="152">
        <f>IF(OR(C2378="",L2378=""),0,IF(AND(TRIM(C2378)=TRIM(RIGHT(SUBSTITUTE(TRIM('02_대상물건입력'!$B$7)," ",REPT(" ",99)),99)),IF('02_대상물건입력'!B15="",TRUE(),ISNUMBER(SEARCH('02_대상물건입력'!B15,L2378)))),1,0))</f>
        <v/>
      </c>
      <c r="R2378" s="175">
        <f>IFERROR(ABS(E2378-'02_대상물건입력'!B11)/'02_대상물건입력'!B11,"")</f>
        <v/>
      </c>
      <c r="S2378" s="152">
        <f>IFERROR(ABS(J2378-'02_대상물건입력'!B10),"")</f>
        <v/>
      </c>
      <c r="T2378" s="152">
        <f>IFERROR(ABS('01_설정'!B4-F2378),"")</f>
        <v/>
      </c>
      <c r="U2378" s="152">
        <f>IFERROR(ABS(K2378-YEAR('02_대상물건입력'!B14)),"")</f>
        <v/>
      </c>
      <c r="V2378" s="152">
        <f>IF(B2378="","",IF(AND(E2378&gt;0,F2378&gt;0,H2378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2378=1,TRUE()),R2378&lt;='01_설정'!B5,S2378&lt;='01_설정'!B6,T2378&lt;='01_설정'!B7,U2378&lt;='01_설정'!B8),"Y",""))</f>
        <v/>
      </c>
      <c r="W2378" s="172">
        <f>IF(V2378&lt;&gt;"Y","",MAX(0,(1-R2378/'01_설정'!B5))*'01_설정'!B14+MAX(0,(1-S2378/'01_설정'!B6))*'01_설정'!B15+MAX(0,(1-T2378/'01_설정'!B7))*'01_설정'!B16+MAX(0,(1-U2378/'01_설정'!B8))*'01_설정'!B17+O2378*'01_설정'!B11+Q2378*'01_설정'!B12+P2378*'01_설정'!B13+IF(Z2378="",0,Z2378))</f>
        <v/>
      </c>
      <c r="X2378" s="152">
        <f>IF(W2378="","",1+COUNTIFS($W$4:$W$3003,"&gt;"&amp;W2378)+COUNTIFS($W$4:W2378,W2378)-1)</f>
        <v/>
      </c>
      <c r="Y2378" s="175">
        <f>IF(OR(I2378="",'02_대상물건입력'!B19="",'02_대상물건입력'!B19&lt;=0),"",ABS(I2378-'02_대상물건입력'!B19)/'02_대상물건입력'!B19)</f>
        <v/>
      </c>
      <c r="Z2378" s="172">
        <f>IF(OR(Y2378="",'01_설정'!B31="",'01_설정'!B31&lt;=0,'01_설정'!B32="",'01_설정'!B32&lt;=0),"",MAX(0,(1-Y2378/'01_설정'!B32))*'01_설정'!B31)</f>
        <v/>
      </c>
    </row>
    <row r="2379" ht="17.25" customHeight="1">
      <c r="A2379" s="152">
        <f>IF(INDEX('04A_국토부원자료'!$A:$A,ROW()+1)="","",ROW()-3)</f>
        <v/>
      </c>
      <c r="B2379" s="48">
        <f>IFERROR(INDEX('04A_국토부원자료'!$A:$T,ROW()+1,MATCH("시군구",'04A_국토부원자료'!$A$4:$T$4,0)),"")</f>
        <v/>
      </c>
      <c r="C2379" s="48">
        <f>IF(B2379="","",IFERROR(INDEX('04A_국토부원자료'!$A:$T,ROW()+1,MATCH("번지",'04A_국토부원자료'!$A$4:$T$4,0)),""))</f>
        <v/>
      </c>
      <c r="D2379" s="48">
        <f>IF(B2379="","",IF(Q2379=1,'02_대상물건입력'!$B$8,IFERROR(INDEX('04A_국토부원자료'!$A:$T,ROW()+1,MATCH("단지명",'04A_국토부원자료'!$A$4:$T$4,0)),"")))</f>
        <v/>
      </c>
      <c r="E2379" s="172">
        <f>IFERROR(VALUE(SUBSTITUTE(INDEX('04A_국토부원자료'!$A:$T,ROW()+1,MATCH("전용면적(㎡)",'04A_국토부원자료'!$A$4:$T$4,0)),",","")),"")</f>
        <v/>
      </c>
      <c r="F23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79" s="51">
        <f>IFERROR(VALUE(SUBSTITUTE(INDEX('04A_국토부원자료'!$A:$T,ROW()+1,MATCH("거래금액(만원)",'04A_국토부원자료'!$A$4:$T$4,0)),",","")),"")</f>
        <v/>
      </c>
      <c r="H2379" s="174">
        <f>IF(G2379="","",G2379*10000)</f>
        <v/>
      </c>
      <c r="I2379" s="174">
        <f>IFERROR(IF(AND(H2379&gt;0,E2379&gt;0),H2379/E2379,""),"")</f>
        <v/>
      </c>
      <c r="J2379" s="152">
        <f>IFERROR(VALUE(SUBSTITUTE(INDEX('04A_국토부원자료'!$A:$T,ROW()+1,MATCH("층",'04A_국토부원자료'!$A$4:$T$4,0)),",","")),"")</f>
        <v/>
      </c>
      <c r="K2379" s="152">
        <f>IFERROR(VALUE(SUBSTITUTE(INDEX('04A_국토부원자료'!$A:$T,ROW()+1,MATCH("건축년도",'04A_국토부원자료'!$A$4:$T$4,0)),",","")),"")</f>
        <v/>
      </c>
      <c r="L2379" s="48">
        <f>IFERROR(INDEX('04A_국토부원자료'!$A:$T,ROW()+1,MATCH("도로명",'04A_국토부원자료'!$A$4:$T$4,0)),"")</f>
        <v/>
      </c>
      <c r="M2379" s="48">
        <f>IFERROR(INDEX('04A_국토부원자료'!$A:$T,ROW()+1,MATCH("거래유형",'04A_국토부원자료'!$A$4:$T$4,0)),"")</f>
        <v/>
      </c>
      <c r="N2379" s="152">
        <f>IF(B2379="","",IF('02_대상물건입력'!B5="",1,IF(ISNUMBER(SEARCH('02_대상물건입력'!B5,B2379)),1,0)))</f>
        <v/>
      </c>
      <c r="O2379" s="152">
        <f>IF(B2379="","",IF('02_대상물건입력'!B6="",1,IF(ISNUMBER(SEARCH('02_대상물건입력'!B6,B2379)),1,0)))</f>
        <v/>
      </c>
      <c r="P2379" s="152">
        <f>IF(L2379="","",IF('02_대상물건입력'!B15="",0,IF(ISNUMBER(SEARCH('02_대상물건입력'!B15,L2379)),1,0)))</f>
        <v/>
      </c>
      <c r="Q2379" s="152">
        <f>IF(OR(C2379="",L2379=""),0,IF(AND(TRIM(C2379)=TRIM(RIGHT(SUBSTITUTE(TRIM('02_대상물건입력'!$B$7)," ",REPT(" ",99)),99)),IF('02_대상물건입력'!B15="",TRUE(),ISNUMBER(SEARCH('02_대상물건입력'!B15,L2379)))),1,0))</f>
        <v/>
      </c>
      <c r="R2379" s="175">
        <f>IFERROR(ABS(E2379-'02_대상물건입력'!B11)/'02_대상물건입력'!B11,"")</f>
        <v/>
      </c>
      <c r="S2379" s="152">
        <f>IFERROR(ABS(J2379-'02_대상물건입력'!B10),"")</f>
        <v/>
      </c>
      <c r="T2379" s="152">
        <f>IFERROR(ABS('01_설정'!B4-F2379),"")</f>
        <v/>
      </c>
      <c r="U2379" s="152">
        <f>IFERROR(ABS(K2379-YEAR('02_대상물건입력'!B14)),"")</f>
        <v/>
      </c>
      <c r="V2379" s="152">
        <f>IF(B2379="","",IF(AND(E2379&gt;0,F2379&gt;0,H2379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2379=1,TRUE()),R2379&lt;='01_설정'!B5,S2379&lt;='01_설정'!B6,T2379&lt;='01_설정'!B7,U2379&lt;='01_설정'!B8),"Y",""))</f>
        <v/>
      </c>
      <c r="W2379" s="172">
        <f>IF(V2379&lt;&gt;"Y","",MAX(0,(1-R2379/'01_설정'!B5))*'01_설정'!B14+MAX(0,(1-S2379/'01_설정'!B6))*'01_설정'!B15+MAX(0,(1-T2379/'01_설정'!B7))*'01_설정'!B16+MAX(0,(1-U2379/'01_설정'!B8))*'01_설정'!B17+O2379*'01_설정'!B11+Q2379*'01_설정'!B12+P2379*'01_설정'!B13+IF(Z2379="",0,Z2379))</f>
        <v/>
      </c>
      <c r="X2379" s="152">
        <f>IF(W2379="","",1+COUNTIFS($W$4:$W$3003,"&gt;"&amp;W2379)+COUNTIFS($W$4:W2379,W2379)-1)</f>
        <v/>
      </c>
      <c r="Y2379" s="175">
        <f>IF(OR(I2379="",'02_대상물건입력'!B19="",'02_대상물건입력'!B19&lt;=0),"",ABS(I2379-'02_대상물건입력'!B19)/'02_대상물건입력'!B19)</f>
        <v/>
      </c>
      <c r="Z2379" s="172">
        <f>IF(OR(Y2379="",'01_설정'!B31="",'01_설정'!B31&lt;=0,'01_설정'!B32="",'01_설정'!B32&lt;=0),"",MAX(0,(1-Y2379/'01_설정'!B32))*'01_설정'!B31)</f>
        <v/>
      </c>
    </row>
    <row r="2380" ht="17.25" customHeight="1">
      <c r="A2380" s="152">
        <f>IF(INDEX('04A_국토부원자료'!$A:$A,ROW()+1)="","",ROW()-3)</f>
        <v/>
      </c>
      <c r="B2380" s="48">
        <f>IFERROR(INDEX('04A_국토부원자료'!$A:$T,ROW()+1,MATCH("시군구",'04A_국토부원자료'!$A$4:$T$4,0)),"")</f>
        <v/>
      </c>
      <c r="C2380" s="48">
        <f>IF(B2380="","",IFERROR(INDEX('04A_국토부원자료'!$A:$T,ROW()+1,MATCH("번지",'04A_국토부원자료'!$A$4:$T$4,0)),""))</f>
        <v/>
      </c>
      <c r="D2380" s="48">
        <f>IF(B2380="","",IF(Q2380=1,'02_대상물건입력'!$B$8,IFERROR(INDEX('04A_국토부원자료'!$A:$T,ROW()+1,MATCH("단지명",'04A_국토부원자료'!$A$4:$T$4,0)),"")))</f>
        <v/>
      </c>
      <c r="E2380" s="172">
        <f>IFERROR(VALUE(SUBSTITUTE(INDEX('04A_국토부원자료'!$A:$T,ROW()+1,MATCH("전용면적(㎡)",'04A_국토부원자료'!$A$4:$T$4,0)),",","")),"")</f>
        <v/>
      </c>
      <c r="F23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80" s="51">
        <f>IFERROR(VALUE(SUBSTITUTE(INDEX('04A_국토부원자료'!$A:$T,ROW()+1,MATCH("거래금액(만원)",'04A_국토부원자료'!$A$4:$T$4,0)),",","")),"")</f>
        <v/>
      </c>
      <c r="H2380" s="174">
        <f>IF(G2380="","",G2380*10000)</f>
        <v/>
      </c>
      <c r="I2380" s="174">
        <f>IFERROR(IF(AND(H2380&gt;0,E2380&gt;0),H2380/E2380,""),"")</f>
        <v/>
      </c>
      <c r="J2380" s="152">
        <f>IFERROR(VALUE(SUBSTITUTE(INDEX('04A_국토부원자료'!$A:$T,ROW()+1,MATCH("층",'04A_국토부원자료'!$A$4:$T$4,0)),",","")),"")</f>
        <v/>
      </c>
      <c r="K2380" s="152">
        <f>IFERROR(VALUE(SUBSTITUTE(INDEX('04A_국토부원자료'!$A:$T,ROW()+1,MATCH("건축년도",'04A_국토부원자료'!$A$4:$T$4,0)),",","")),"")</f>
        <v/>
      </c>
      <c r="L2380" s="48">
        <f>IFERROR(INDEX('04A_국토부원자료'!$A:$T,ROW()+1,MATCH("도로명",'04A_국토부원자료'!$A$4:$T$4,0)),"")</f>
        <v/>
      </c>
      <c r="M2380" s="48">
        <f>IFERROR(INDEX('04A_국토부원자료'!$A:$T,ROW()+1,MATCH("거래유형",'04A_국토부원자료'!$A$4:$T$4,0)),"")</f>
        <v/>
      </c>
      <c r="N2380" s="152">
        <f>IF(B2380="","",IF('02_대상물건입력'!B5="",1,IF(ISNUMBER(SEARCH('02_대상물건입력'!B5,B2380)),1,0)))</f>
        <v/>
      </c>
      <c r="O2380" s="152">
        <f>IF(B2380="","",IF('02_대상물건입력'!B6="",1,IF(ISNUMBER(SEARCH('02_대상물건입력'!B6,B2380)),1,0)))</f>
        <v/>
      </c>
      <c r="P2380" s="152">
        <f>IF(L2380="","",IF('02_대상물건입력'!B15="",0,IF(ISNUMBER(SEARCH('02_대상물건입력'!B15,L2380)),1,0)))</f>
        <v/>
      </c>
      <c r="Q2380" s="152">
        <f>IF(OR(C2380="",L2380=""),0,IF(AND(TRIM(C2380)=TRIM(RIGHT(SUBSTITUTE(TRIM('02_대상물건입력'!$B$7)," ",REPT(" ",99)),99)),IF('02_대상물건입력'!B15="",TRUE(),ISNUMBER(SEARCH('02_대상물건입력'!B15,L2380)))),1,0))</f>
        <v/>
      </c>
      <c r="R2380" s="175">
        <f>IFERROR(ABS(E2380-'02_대상물건입력'!B11)/'02_대상물건입력'!B11,"")</f>
        <v/>
      </c>
      <c r="S2380" s="152">
        <f>IFERROR(ABS(J2380-'02_대상물건입력'!B10),"")</f>
        <v/>
      </c>
      <c r="T2380" s="152">
        <f>IFERROR(ABS('01_설정'!B4-F2380),"")</f>
        <v/>
      </c>
      <c r="U2380" s="152">
        <f>IFERROR(ABS(K2380-YEAR('02_대상물건입력'!B14)),"")</f>
        <v/>
      </c>
      <c r="V2380" s="152">
        <f>IF(B2380="","",IF(AND(E2380&gt;0,F2380&gt;0,H2380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2380=1,TRUE()),R2380&lt;='01_설정'!B5,S2380&lt;='01_설정'!B6,T2380&lt;='01_설정'!B7,U2380&lt;='01_설정'!B8),"Y",""))</f>
        <v/>
      </c>
      <c r="W2380" s="172">
        <f>IF(V2380&lt;&gt;"Y","",MAX(0,(1-R2380/'01_설정'!B5))*'01_설정'!B14+MAX(0,(1-S2380/'01_설정'!B6))*'01_설정'!B15+MAX(0,(1-T2380/'01_설정'!B7))*'01_설정'!B16+MAX(0,(1-U2380/'01_설정'!B8))*'01_설정'!B17+O2380*'01_설정'!B11+Q2380*'01_설정'!B12+P2380*'01_설정'!B13+IF(Z2380="",0,Z2380))</f>
        <v/>
      </c>
      <c r="X2380" s="152">
        <f>IF(W2380="","",1+COUNTIFS($W$4:$W$3003,"&gt;"&amp;W2380)+COUNTIFS($W$4:W2380,W2380)-1)</f>
        <v/>
      </c>
      <c r="Y2380" s="175">
        <f>IF(OR(I2380="",'02_대상물건입력'!B19="",'02_대상물건입력'!B19&lt;=0),"",ABS(I2380-'02_대상물건입력'!B19)/'02_대상물건입력'!B19)</f>
        <v/>
      </c>
      <c r="Z2380" s="172">
        <f>IF(OR(Y2380="",'01_설정'!B31="",'01_설정'!B31&lt;=0,'01_설정'!B32="",'01_설정'!B32&lt;=0),"",MAX(0,(1-Y2380/'01_설정'!B32))*'01_설정'!B31)</f>
        <v/>
      </c>
    </row>
    <row r="2381" ht="17.25" customHeight="1">
      <c r="A2381" s="152">
        <f>IF(INDEX('04A_국토부원자료'!$A:$A,ROW()+1)="","",ROW()-3)</f>
        <v/>
      </c>
      <c r="B2381" s="48">
        <f>IFERROR(INDEX('04A_국토부원자료'!$A:$T,ROW()+1,MATCH("시군구",'04A_국토부원자료'!$A$4:$T$4,0)),"")</f>
        <v/>
      </c>
      <c r="C2381" s="48">
        <f>IF(B2381="","",IFERROR(INDEX('04A_국토부원자료'!$A:$T,ROW()+1,MATCH("번지",'04A_국토부원자료'!$A$4:$T$4,0)),""))</f>
        <v/>
      </c>
      <c r="D2381" s="48">
        <f>IF(B2381="","",IF(Q2381=1,'02_대상물건입력'!$B$8,IFERROR(INDEX('04A_국토부원자료'!$A:$T,ROW()+1,MATCH("단지명",'04A_국토부원자료'!$A$4:$T$4,0)),"")))</f>
        <v/>
      </c>
      <c r="E2381" s="172">
        <f>IFERROR(VALUE(SUBSTITUTE(INDEX('04A_국토부원자료'!$A:$T,ROW()+1,MATCH("전용면적(㎡)",'04A_국토부원자료'!$A$4:$T$4,0)),",","")),"")</f>
        <v/>
      </c>
      <c r="F23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81" s="51">
        <f>IFERROR(VALUE(SUBSTITUTE(INDEX('04A_국토부원자료'!$A:$T,ROW()+1,MATCH("거래금액(만원)",'04A_국토부원자료'!$A$4:$T$4,0)),",","")),"")</f>
        <v/>
      </c>
      <c r="H2381" s="174">
        <f>IF(G2381="","",G2381*10000)</f>
        <v/>
      </c>
      <c r="I2381" s="174">
        <f>IFERROR(IF(AND(H2381&gt;0,E2381&gt;0),H2381/E2381,""),"")</f>
        <v/>
      </c>
      <c r="J2381" s="152">
        <f>IFERROR(VALUE(SUBSTITUTE(INDEX('04A_국토부원자료'!$A:$T,ROW()+1,MATCH("층",'04A_국토부원자료'!$A$4:$T$4,0)),",","")),"")</f>
        <v/>
      </c>
      <c r="K2381" s="152">
        <f>IFERROR(VALUE(SUBSTITUTE(INDEX('04A_국토부원자료'!$A:$T,ROW()+1,MATCH("건축년도",'04A_국토부원자료'!$A$4:$T$4,0)),",","")),"")</f>
        <v/>
      </c>
      <c r="L2381" s="48">
        <f>IFERROR(INDEX('04A_국토부원자료'!$A:$T,ROW()+1,MATCH("도로명",'04A_국토부원자료'!$A$4:$T$4,0)),"")</f>
        <v/>
      </c>
      <c r="M2381" s="48">
        <f>IFERROR(INDEX('04A_국토부원자료'!$A:$T,ROW()+1,MATCH("거래유형",'04A_국토부원자료'!$A$4:$T$4,0)),"")</f>
        <v/>
      </c>
      <c r="N2381" s="152">
        <f>IF(B2381="","",IF('02_대상물건입력'!B5="",1,IF(ISNUMBER(SEARCH('02_대상물건입력'!B5,B2381)),1,0)))</f>
        <v/>
      </c>
      <c r="O2381" s="152">
        <f>IF(B2381="","",IF('02_대상물건입력'!B6="",1,IF(ISNUMBER(SEARCH('02_대상물건입력'!B6,B2381)),1,0)))</f>
        <v/>
      </c>
      <c r="P2381" s="152">
        <f>IF(L2381="","",IF('02_대상물건입력'!B15="",0,IF(ISNUMBER(SEARCH('02_대상물건입력'!B15,L2381)),1,0)))</f>
        <v/>
      </c>
      <c r="Q2381" s="152">
        <f>IF(OR(C2381="",L2381=""),0,IF(AND(TRIM(C2381)=TRIM(RIGHT(SUBSTITUTE(TRIM('02_대상물건입력'!$B$7)," ",REPT(" ",99)),99)),IF('02_대상물건입력'!B15="",TRUE(),ISNUMBER(SEARCH('02_대상물건입력'!B15,L2381)))),1,0))</f>
        <v/>
      </c>
      <c r="R2381" s="175">
        <f>IFERROR(ABS(E2381-'02_대상물건입력'!B11)/'02_대상물건입력'!B11,"")</f>
        <v/>
      </c>
      <c r="S2381" s="152">
        <f>IFERROR(ABS(J2381-'02_대상물건입력'!B10),"")</f>
        <v/>
      </c>
      <c r="T2381" s="152">
        <f>IFERROR(ABS('01_설정'!B4-F2381),"")</f>
        <v/>
      </c>
      <c r="U2381" s="152">
        <f>IFERROR(ABS(K2381-YEAR('02_대상물건입력'!B14)),"")</f>
        <v/>
      </c>
      <c r="V2381" s="152">
        <f>IF(B2381="","",IF(AND(E2381&gt;0,F2381&gt;0,H2381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2381=1,TRUE()),R2381&lt;='01_설정'!B5,S2381&lt;='01_설정'!B6,T2381&lt;='01_설정'!B7,U2381&lt;='01_설정'!B8),"Y",""))</f>
        <v/>
      </c>
      <c r="W2381" s="172">
        <f>IF(V2381&lt;&gt;"Y","",MAX(0,(1-R2381/'01_설정'!B5))*'01_설정'!B14+MAX(0,(1-S2381/'01_설정'!B6))*'01_설정'!B15+MAX(0,(1-T2381/'01_설정'!B7))*'01_설정'!B16+MAX(0,(1-U2381/'01_설정'!B8))*'01_설정'!B17+O2381*'01_설정'!B11+Q2381*'01_설정'!B12+P2381*'01_설정'!B13+IF(Z2381="",0,Z2381))</f>
        <v/>
      </c>
      <c r="X2381" s="152">
        <f>IF(W2381="","",1+COUNTIFS($W$4:$W$3003,"&gt;"&amp;W2381)+COUNTIFS($W$4:W2381,W2381)-1)</f>
        <v/>
      </c>
      <c r="Y2381" s="175">
        <f>IF(OR(I2381="",'02_대상물건입력'!B19="",'02_대상물건입력'!B19&lt;=0),"",ABS(I2381-'02_대상물건입력'!B19)/'02_대상물건입력'!B19)</f>
        <v/>
      </c>
      <c r="Z2381" s="172">
        <f>IF(OR(Y2381="",'01_설정'!B31="",'01_설정'!B31&lt;=0,'01_설정'!B32="",'01_설정'!B32&lt;=0),"",MAX(0,(1-Y2381/'01_설정'!B32))*'01_설정'!B31)</f>
        <v/>
      </c>
    </row>
    <row r="2382" ht="17.25" customHeight="1">
      <c r="A2382" s="152">
        <f>IF(INDEX('04A_국토부원자료'!$A:$A,ROW()+1)="","",ROW()-3)</f>
        <v/>
      </c>
      <c r="B2382" s="48">
        <f>IFERROR(INDEX('04A_국토부원자료'!$A:$T,ROW()+1,MATCH("시군구",'04A_국토부원자료'!$A$4:$T$4,0)),"")</f>
        <v/>
      </c>
      <c r="C2382" s="48">
        <f>IF(B2382="","",IFERROR(INDEX('04A_국토부원자료'!$A:$T,ROW()+1,MATCH("번지",'04A_국토부원자료'!$A$4:$T$4,0)),""))</f>
        <v/>
      </c>
      <c r="D2382" s="48">
        <f>IF(B2382="","",IF(Q2382=1,'02_대상물건입력'!$B$8,IFERROR(INDEX('04A_국토부원자료'!$A:$T,ROW()+1,MATCH("단지명",'04A_국토부원자료'!$A$4:$T$4,0)),"")))</f>
        <v/>
      </c>
      <c r="E2382" s="172">
        <f>IFERROR(VALUE(SUBSTITUTE(INDEX('04A_국토부원자료'!$A:$T,ROW()+1,MATCH("전용면적(㎡)",'04A_국토부원자료'!$A$4:$T$4,0)),",","")),"")</f>
        <v/>
      </c>
      <c r="F23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82" s="51">
        <f>IFERROR(VALUE(SUBSTITUTE(INDEX('04A_국토부원자료'!$A:$T,ROW()+1,MATCH("거래금액(만원)",'04A_국토부원자료'!$A$4:$T$4,0)),",","")),"")</f>
        <v/>
      </c>
      <c r="H2382" s="174">
        <f>IF(G2382="","",G2382*10000)</f>
        <v/>
      </c>
      <c r="I2382" s="174">
        <f>IFERROR(IF(AND(H2382&gt;0,E2382&gt;0),H2382/E2382,""),"")</f>
        <v/>
      </c>
      <c r="J2382" s="152">
        <f>IFERROR(VALUE(SUBSTITUTE(INDEX('04A_국토부원자료'!$A:$T,ROW()+1,MATCH("층",'04A_국토부원자료'!$A$4:$T$4,0)),",","")),"")</f>
        <v/>
      </c>
      <c r="K2382" s="152">
        <f>IFERROR(VALUE(SUBSTITUTE(INDEX('04A_국토부원자료'!$A:$T,ROW()+1,MATCH("건축년도",'04A_국토부원자료'!$A$4:$T$4,0)),",","")),"")</f>
        <v/>
      </c>
      <c r="L2382" s="48">
        <f>IFERROR(INDEX('04A_국토부원자료'!$A:$T,ROW()+1,MATCH("도로명",'04A_국토부원자료'!$A$4:$T$4,0)),"")</f>
        <v/>
      </c>
      <c r="M2382" s="48">
        <f>IFERROR(INDEX('04A_국토부원자료'!$A:$T,ROW()+1,MATCH("거래유형",'04A_국토부원자료'!$A$4:$T$4,0)),"")</f>
        <v/>
      </c>
      <c r="N2382" s="152">
        <f>IF(B2382="","",IF('02_대상물건입력'!B5="",1,IF(ISNUMBER(SEARCH('02_대상물건입력'!B5,B2382)),1,0)))</f>
        <v/>
      </c>
      <c r="O2382" s="152">
        <f>IF(B2382="","",IF('02_대상물건입력'!B6="",1,IF(ISNUMBER(SEARCH('02_대상물건입력'!B6,B2382)),1,0)))</f>
        <v/>
      </c>
      <c r="P2382" s="152">
        <f>IF(L2382="","",IF('02_대상물건입력'!B15="",0,IF(ISNUMBER(SEARCH('02_대상물건입력'!B15,L2382)),1,0)))</f>
        <v/>
      </c>
      <c r="Q2382" s="152">
        <f>IF(OR(C2382="",L2382=""),0,IF(AND(TRIM(C2382)=TRIM(RIGHT(SUBSTITUTE(TRIM('02_대상물건입력'!$B$7)," ",REPT(" ",99)),99)),IF('02_대상물건입력'!B15="",TRUE(),ISNUMBER(SEARCH('02_대상물건입력'!B15,L2382)))),1,0))</f>
        <v/>
      </c>
      <c r="R2382" s="175">
        <f>IFERROR(ABS(E2382-'02_대상물건입력'!B11)/'02_대상물건입력'!B11,"")</f>
        <v/>
      </c>
      <c r="S2382" s="152">
        <f>IFERROR(ABS(J2382-'02_대상물건입력'!B10),"")</f>
        <v/>
      </c>
      <c r="T2382" s="152">
        <f>IFERROR(ABS('01_설정'!B4-F2382),"")</f>
        <v/>
      </c>
      <c r="U2382" s="152">
        <f>IFERROR(ABS(K2382-YEAR('02_대상물건입력'!B14)),"")</f>
        <v/>
      </c>
      <c r="V2382" s="152">
        <f>IF(B2382="","",IF(AND(E2382&gt;0,F2382&gt;0,H2382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2382=1,TRUE()),R2382&lt;='01_설정'!B5,S2382&lt;='01_설정'!B6,T2382&lt;='01_설정'!B7,U2382&lt;='01_설정'!B8),"Y",""))</f>
        <v/>
      </c>
      <c r="W2382" s="172">
        <f>IF(V2382&lt;&gt;"Y","",MAX(0,(1-R2382/'01_설정'!B5))*'01_설정'!B14+MAX(0,(1-S2382/'01_설정'!B6))*'01_설정'!B15+MAX(0,(1-T2382/'01_설정'!B7))*'01_설정'!B16+MAX(0,(1-U2382/'01_설정'!B8))*'01_설정'!B17+O2382*'01_설정'!B11+Q2382*'01_설정'!B12+P2382*'01_설정'!B13+IF(Z2382="",0,Z2382))</f>
        <v/>
      </c>
      <c r="X2382" s="152">
        <f>IF(W2382="","",1+COUNTIFS($W$4:$W$3003,"&gt;"&amp;W2382)+COUNTIFS($W$4:W2382,W2382)-1)</f>
        <v/>
      </c>
      <c r="Y2382" s="175">
        <f>IF(OR(I2382="",'02_대상물건입력'!B19="",'02_대상물건입력'!B19&lt;=0),"",ABS(I2382-'02_대상물건입력'!B19)/'02_대상물건입력'!B19)</f>
        <v/>
      </c>
      <c r="Z2382" s="172">
        <f>IF(OR(Y2382="",'01_설정'!B31="",'01_설정'!B31&lt;=0,'01_설정'!B32="",'01_설정'!B32&lt;=0),"",MAX(0,(1-Y2382/'01_설정'!B32))*'01_설정'!B31)</f>
        <v/>
      </c>
    </row>
    <row r="2383" ht="17.25" customHeight="1">
      <c r="A2383" s="152">
        <f>IF(INDEX('04A_국토부원자료'!$A:$A,ROW()+1)="","",ROW()-3)</f>
        <v/>
      </c>
      <c r="B2383" s="48">
        <f>IFERROR(INDEX('04A_국토부원자료'!$A:$T,ROW()+1,MATCH("시군구",'04A_국토부원자료'!$A$4:$T$4,0)),"")</f>
        <v/>
      </c>
      <c r="C2383" s="48">
        <f>IF(B2383="","",IFERROR(INDEX('04A_국토부원자료'!$A:$T,ROW()+1,MATCH("번지",'04A_국토부원자료'!$A$4:$T$4,0)),""))</f>
        <v/>
      </c>
      <c r="D2383" s="48">
        <f>IF(B2383="","",IF(Q2383=1,'02_대상물건입력'!$B$8,IFERROR(INDEX('04A_국토부원자료'!$A:$T,ROW()+1,MATCH("단지명",'04A_국토부원자료'!$A$4:$T$4,0)),"")))</f>
        <v/>
      </c>
      <c r="E2383" s="172">
        <f>IFERROR(VALUE(SUBSTITUTE(INDEX('04A_국토부원자료'!$A:$T,ROW()+1,MATCH("전용면적(㎡)",'04A_국토부원자료'!$A$4:$T$4,0)),",","")),"")</f>
        <v/>
      </c>
      <c r="F23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83" s="51">
        <f>IFERROR(VALUE(SUBSTITUTE(INDEX('04A_국토부원자료'!$A:$T,ROW()+1,MATCH("거래금액(만원)",'04A_국토부원자료'!$A$4:$T$4,0)),",","")),"")</f>
        <v/>
      </c>
      <c r="H2383" s="174">
        <f>IF(G2383="","",G2383*10000)</f>
        <v/>
      </c>
      <c r="I2383" s="174">
        <f>IFERROR(IF(AND(H2383&gt;0,E2383&gt;0),H2383/E2383,""),"")</f>
        <v/>
      </c>
      <c r="J2383" s="152">
        <f>IFERROR(VALUE(SUBSTITUTE(INDEX('04A_국토부원자료'!$A:$T,ROW()+1,MATCH("층",'04A_국토부원자료'!$A$4:$T$4,0)),",","")),"")</f>
        <v/>
      </c>
      <c r="K2383" s="152">
        <f>IFERROR(VALUE(SUBSTITUTE(INDEX('04A_국토부원자료'!$A:$T,ROW()+1,MATCH("건축년도",'04A_국토부원자료'!$A$4:$T$4,0)),",","")),"")</f>
        <v/>
      </c>
      <c r="L2383" s="48">
        <f>IFERROR(INDEX('04A_국토부원자료'!$A:$T,ROW()+1,MATCH("도로명",'04A_국토부원자료'!$A$4:$T$4,0)),"")</f>
        <v/>
      </c>
      <c r="M2383" s="48">
        <f>IFERROR(INDEX('04A_국토부원자료'!$A:$T,ROW()+1,MATCH("거래유형",'04A_국토부원자료'!$A$4:$T$4,0)),"")</f>
        <v/>
      </c>
      <c r="N2383" s="152">
        <f>IF(B2383="","",IF('02_대상물건입력'!B5="",1,IF(ISNUMBER(SEARCH('02_대상물건입력'!B5,B2383)),1,0)))</f>
        <v/>
      </c>
      <c r="O2383" s="152">
        <f>IF(B2383="","",IF('02_대상물건입력'!B6="",1,IF(ISNUMBER(SEARCH('02_대상물건입력'!B6,B2383)),1,0)))</f>
        <v/>
      </c>
      <c r="P2383" s="152">
        <f>IF(L2383="","",IF('02_대상물건입력'!B15="",0,IF(ISNUMBER(SEARCH('02_대상물건입력'!B15,L2383)),1,0)))</f>
        <v/>
      </c>
      <c r="Q2383" s="152">
        <f>IF(OR(C2383="",L2383=""),0,IF(AND(TRIM(C2383)=TRIM(RIGHT(SUBSTITUTE(TRIM('02_대상물건입력'!$B$7)," ",REPT(" ",99)),99)),IF('02_대상물건입력'!B15="",TRUE(),ISNUMBER(SEARCH('02_대상물건입력'!B15,L2383)))),1,0))</f>
        <v/>
      </c>
      <c r="R2383" s="175">
        <f>IFERROR(ABS(E2383-'02_대상물건입력'!B11)/'02_대상물건입력'!B11,"")</f>
        <v/>
      </c>
      <c r="S2383" s="152">
        <f>IFERROR(ABS(J2383-'02_대상물건입력'!B10),"")</f>
        <v/>
      </c>
      <c r="T2383" s="152">
        <f>IFERROR(ABS('01_설정'!B4-F2383),"")</f>
        <v/>
      </c>
      <c r="U2383" s="152">
        <f>IFERROR(ABS(K2383-YEAR('02_대상물건입력'!B14)),"")</f>
        <v/>
      </c>
      <c r="V2383" s="152">
        <f>IF(B2383="","",IF(AND(E2383&gt;0,F2383&gt;0,H2383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2383=1,TRUE()),R2383&lt;='01_설정'!B5,S2383&lt;='01_설정'!B6,T2383&lt;='01_설정'!B7,U2383&lt;='01_설정'!B8),"Y",""))</f>
        <v/>
      </c>
      <c r="W2383" s="172">
        <f>IF(V2383&lt;&gt;"Y","",MAX(0,(1-R2383/'01_설정'!B5))*'01_설정'!B14+MAX(0,(1-S2383/'01_설정'!B6))*'01_설정'!B15+MAX(0,(1-T2383/'01_설정'!B7))*'01_설정'!B16+MAX(0,(1-U2383/'01_설정'!B8))*'01_설정'!B17+O2383*'01_설정'!B11+Q2383*'01_설정'!B12+P2383*'01_설정'!B13+IF(Z2383="",0,Z2383))</f>
        <v/>
      </c>
      <c r="X2383" s="152">
        <f>IF(W2383="","",1+COUNTIFS($W$4:$W$3003,"&gt;"&amp;W2383)+COUNTIFS($W$4:W2383,W2383)-1)</f>
        <v/>
      </c>
      <c r="Y2383" s="175">
        <f>IF(OR(I2383="",'02_대상물건입력'!B19="",'02_대상물건입력'!B19&lt;=0),"",ABS(I2383-'02_대상물건입력'!B19)/'02_대상물건입력'!B19)</f>
        <v/>
      </c>
      <c r="Z2383" s="172">
        <f>IF(OR(Y2383="",'01_설정'!B31="",'01_설정'!B31&lt;=0,'01_설정'!B32="",'01_설정'!B32&lt;=0),"",MAX(0,(1-Y2383/'01_설정'!B32))*'01_설정'!B31)</f>
        <v/>
      </c>
    </row>
    <row r="2384" ht="17.25" customHeight="1">
      <c r="A2384" s="152">
        <f>IF(INDEX('04A_국토부원자료'!$A:$A,ROW()+1)="","",ROW()-3)</f>
        <v/>
      </c>
      <c r="B2384" s="48">
        <f>IFERROR(INDEX('04A_국토부원자료'!$A:$T,ROW()+1,MATCH("시군구",'04A_국토부원자료'!$A$4:$T$4,0)),"")</f>
        <v/>
      </c>
      <c r="C2384" s="48">
        <f>IF(B2384="","",IFERROR(INDEX('04A_국토부원자료'!$A:$T,ROW()+1,MATCH("번지",'04A_국토부원자료'!$A$4:$T$4,0)),""))</f>
        <v/>
      </c>
      <c r="D2384" s="48">
        <f>IF(B2384="","",IF(Q2384=1,'02_대상물건입력'!$B$8,IFERROR(INDEX('04A_국토부원자료'!$A:$T,ROW()+1,MATCH("단지명",'04A_국토부원자료'!$A$4:$T$4,0)),"")))</f>
        <v/>
      </c>
      <c r="E2384" s="172">
        <f>IFERROR(VALUE(SUBSTITUTE(INDEX('04A_국토부원자료'!$A:$T,ROW()+1,MATCH("전용면적(㎡)",'04A_국토부원자료'!$A$4:$T$4,0)),",","")),"")</f>
        <v/>
      </c>
      <c r="F23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84" s="51">
        <f>IFERROR(VALUE(SUBSTITUTE(INDEX('04A_국토부원자료'!$A:$T,ROW()+1,MATCH("거래금액(만원)",'04A_국토부원자료'!$A$4:$T$4,0)),",","")),"")</f>
        <v/>
      </c>
      <c r="H2384" s="174">
        <f>IF(G2384="","",G2384*10000)</f>
        <v/>
      </c>
      <c r="I2384" s="174">
        <f>IFERROR(IF(AND(H2384&gt;0,E2384&gt;0),H2384/E2384,""),"")</f>
        <v/>
      </c>
      <c r="J2384" s="152">
        <f>IFERROR(VALUE(SUBSTITUTE(INDEX('04A_국토부원자료'!$A:$T,ROW()+1,MATCH("층",'04A_국토부원자료'!$A$4:$T$4,0)),",","")),"")</f>
        <v/>
      </c>
      <c r="K2384" s="152">
        <f>IFERROR(VALUE(SUBSTITUTE(INDEX('04A_국토부원자료'!$A:$T,ROW()+1,MATCH("건축년도",'04A_국토부원자료'!$A$4:$T$4,0)),",","")),"")</f>
        <v/>
      </c>
      <c r="L2384" s="48">
        <f>IFERROR(INDEX('04A_국토부원자료'!$A:$T,ROW()+1,MATCH("도로명",'04A_국토부원자료'!$A$4:$T$4,0)),"")</f>
        <v/>
      </c>
      <c r="M2384" s="48">
        <f>IFERROR(INDEX('04A_국토부원자료'!$A:$T,ROW()+1,MATCH("거래유형",'04A_국토부원자료'!$A$4:$T$4,0)),"")</f>
        <v/>
      </c>
      <c r="N2384" s="152">
        <f>IF(B2384="","",IF('02_대상물건입력'!B5="",1,IF(ISNUMBER(SEARCH('02_대상물건입력'!B5,B2384)),1,0)))</f>
        <v/>
      </c>
      <c r="O2384" s="152">
        <f>IF(B2384="","",IF('02_대상물건입력'!B6="",1,IF(ISNUMBER(SEARCH('02_대상물건입력'!B6,B2384)),1,0)))</f>
        <v/>
      </c>
      <c r="P2384" s="152">
        <f>IF(L2384="","",IF('02_대상물건입력'!B15="",0,IF(ISNUMBER(SEARCH('02_대상물건입력'!B15,L2384)),1,0)))</f>
        <v/>
      </c>
      <c r="Q2384" s="152">
        <f>IF(OR(C2384="",L2384=""),0,IF(AND(TRIM(C2384)=TRIM(RIGHT(SUBSTITUTE(TRIM('02_대상물건입력'!$B$7)," ",REPT(" ",99)),99)),IF('02_대상물건입력'!B15="",TRUE(),ISNUMBER(SEARCH('02_대상물건입력'!B15,L2384)))),1,0))</f>
        <v/>
      </c>
      <c r="R2384" s="175">
        <f>IFERROR(ABS(E2384-'02_대상물건입력'!B11)/'02_대상물건입력'!B11,"")</f>
        <v/>
      </c>
      <c r="S2384" s="152">
        <f>IFERROR(ABS(J2384-'02_대상물건입력'!B10),"")</f>
        <v/>
      </c>
      <c r="T2384" s="152">
        <f>IFERROR(ABS('01_설정'!B4-F2384),"")</f>
        <v/>
      </c>
      <c r="U2384" s="152">
        <f>IFERROR(ABS(K2384-YEAR('02_대상물건입력'!B14)),"")</f>
        <v/>
      </c>
      <c r="V2384" s="152">
        <f>IF(B2384="","",IF(AND(E2384&gt;0,F2384&gt;0,H2384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2384=1,TRUE()),R2384&lt;='01_설정'!B5,S2384&lt;='01_설정'!B6,T2384&lt;='01_설정'!B7,U2384&lt;='01_설정'!B8),"Y",""))</f>
        <v/>
      </c>
      <c r="W2384" s="172">
        <f>IF(V2384&lt;&gt;"Y","",MAX(0,(1-R2384/'01_설정'!B5))*'01_설정'!B14+MAX(0,(1-S2384/'01_설정'!B6))*'01_설정'!B15+MAX(0,(1-T2384/'01_설정'!B7))*'01_설정'!B16+MAX(0,(1-U2384/'01_설정'!B8))*'01_설정'!B17+O2384*'01_설정'!B11+Q2384*'01_설정'!B12+P2384*'01_설정'!B13+IF(Z2384="",0,Z2384))</f>
        <v/>
      </c>
      <c r="X2384" s="152">
        <f>IF(W2384="","",1+COUNTIFS($W$4:$W$3003,"&gt;"&amp;W2384)+COUNTIFS($W$4:W2384,W2384)-1)</f>
        <v/>
      </c>
      <c r="Y2384" s="175">
        <f>IF(OR(I2384="",'02_대상물건입력'!B19="",'02_대상물건입력'!B19&lt;=0),"",ABS(I2384-'02_대상물건입력'!B19)/'02_대상물건입력'!B19)</f>
        <v/>
      </c>
      <c r="Z2384" s="172">
        <f>IF(OR(Y2384="",'01_설정'!B31="",'01_설정'!B31&lt;=0,'01_설정'!B32="",'01_설정'!B32&lt;=0),"",MAX(0,(1-Y2384/'01_설정'!B32))*'01_설정'!B31)</f>
        <v/>
      </c>
    </row>
    <row r="2385" ht="17.25" customHeight="1">
      <c r="A2385" s="152">
        <f>IF(INDEX('04A_국토부원자료'!$A:$A,ROW()+1)="","",ROW()-3)</f>
        <v/>
      </c>
      <c r="B2385" s="48">
        <f>IFERROR(INDEX('04A_국토부원자료'!$A:$T,ROW()+1,MATCH("시군구",'04A_국토부원자료'!$A$4:$T$4,0)),"")</f>
        <v/>
      </c>
      <c r="C2385" s="48">
        <f>IF(B2385="","",IFERROR(INDEX('04A_국토부원자료'!$A:$T,ROW()+1,MATCH("번지",'04A_국토부원자료'!$A$4:$T$4,0)),""))</f>
        <v/>
      </c>
      <c r="D2385" s="48">
        <f>IF(B2385="","",IF(Q2385=1,'02_대상물건입력'!$B$8,IFERROR(INDEX('04A_국토부원자료'!$A:$T,ROW()+1,MATCH("단지명",'04A_국토부원자료'!$A$4:$T$4,0)),"")))</f>
        <v/>
      </c>
      <c r="E2385" s="172">
        <f>IFERROR(VALUE(SUBSTITUTE(INDEX('04A_국토부원자료'!$A:$T,ROW()+1,MATCH("전용면적(㎡)",'04A_국토부원자료'!$A$4:$T$4,0)),",","")),"")</f>
        <v/>
      </c>
      <c r="F23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85" s="51">
        <f>IFERROR(VALUE(SUBSTITUTE(INDEX('04A_국토부원자료'!$A:$T,ROW()+1,MATCH("거래금액(만원)",'04A_국토부원자료'!$A$4:$T$4,0)),",","")),"")</f>
        <v/>
      </c>
      <c r="H2385" s="174">
        <f>IF(G2385="","",G2385*10000)</f>
        <v/>
      </c>
      <c r="I2385" s="174">
        <f>IFERROR(IF(AND(H2385&gt;0,E2385&gt;0),H2385/E2385,""),"")</f>
        <v/>
      </c>
      <c r="J2385" s="152">
        <f>IFERROR(VALUE(SUBSTITUTE(INDEX('04A_국토부원자료'!$A:$T,ROW()+1,MATCH("층",'04A_국토부원자료'!$A$4:$T$4,0)),",","")),"")</f>
        <v/>
      </c>
      <c r="K2385" s="152">
        <f>IFERROR(VALUE(SUBSTITUTE(INDEX('04A_국토부원자료'!$A:$T,ROW()+1,MATCH("건축년도",'04A_국토부원자료'!$A$4:$T$4,0)),",","")),"")</f>
        <v/>
      </c>
      <c r="L2385" s="48">
        <f>IFERROR(INDEX('04A_국토부원자료'!$A:$T,ROW()+1,MATCH("도로명",'04A_국토부원자료'!$A$4:$T$4,0)),"")</f>
        <v/>
      </c>
      <c r="M2385" s="48">
        <f>IFERROR(INDEX('04A_국토부원자료'!$A:$T,ROW()+1,MATCH("거래유형",'04A_국토부원자료'!$A$4:$T$4,0)),"")</f>
        <v/>
      </c>
      <c r="N2385" s="152">
        <f>IF(B2385="","",IF('02_대상물건입력'!B5="",1,IF(ISNUMBER(SEARCH('02_대상물건입력'!B5,B2385)),1,0)))</f>
        <v/>
      </c>
      <c r="O2385" s="152">
        <f>IF(B2385="","",IF('02_대상물건입력'!B6="",1,IF(ISNUMBER(SEARCH('02_대상물건입력'!B6,B2385)),1,0)))</f>
        <v/>
      </c>
      <c r="P2385" s="152">
        <f>IF(L2385="","",IF('02_대상물건입력'!B15="",0,IF(ISNUMBER(SEARCH('02_대상물건입력'!B15,L2385)),1,0)))</f>
        <v/>
      </c>
      <c r="Q2385" s="152">
        <f>IF(OR(C2385="",L2385=""),0,IF(AND(TRIM(C2385)=TRIM(RIGHT(SUBSTITUTE(TRIM('02_대상물건입력'!$B$7)," ",REPT(" ",99)),99)),IF('02_대상물건입력'!B15="",TRUE(),ISNUMBER(SEARCH('02_대상물건입력'!B15,L2385)))),1,0))</f>
        <v/>
      </c>
      <c r="R2385" s="175">
        <f>IFERROR(ABS(E2385-'02_대상물건입력'!B11)/'02_대상물건입력'!B11,"")</f>
        <v/>
      </c>
      <c r="S2385" s="152">
        <f>IFERROR(ABS(J2385-'02_대상물건입력'!B10),"")</f>
        <v/>
      </c>
      <c r="T2385" s="152">
        <f>IFERROR(ABS('01_설정'!B4-F2385),"")</f>
        <v/>
      </c>
      <c r="U2385" s="152">
        <f>IFERROR(ABS(K2385-YEAR('02_대상물건입력'!B14)),"")</f>
        <v/>
      </c>
      <c r="V2385" s="152">
        <f>IF(B2385="","",IF(AND(E2385&gt;0,F2385&gt;0,H2385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2385=1,TRUE()),R2385&lt;='01_설정'!B5,S2385&lt;='01_설정'!B6,T2385&lt;='01_설정'!B7,U2385&lt;='01_설정'!B8),"Y",""))</f>
        <v/>
      </c>
      <c r="W2385" s="172">
        <f>IF(V2385&lt;&gt;"Y","",MAX(0,(1-R2385/'01_설정'!B5))*'01_설정'!B14+MAX(0,(1-S2385/'01_설정'!B6))*'01_설정'!B15+MAX(0,(1-T2385/'01_설정'!B7))*'01_설정'!B16+MAX(0,(1-U2385/'01_설정'!B8))*'01_설정'!B17+O2385*'01_설정'!B11+Q2385*'01_설정'!B12+P2385*'01_설정'!B13+IF(Z2385="",0,Z2385))</f>
        <v/>
      </c>
      <c r="X2385" s="152">
        <f>IF(W2385="","",1+COUNTIFS($W$4:$W$3003,"&gt;"&amp;W2385)+COUNTIFS($W$4:W2385,W2385)-1)</f>
        <v/>
      </c>
      <c r="Y2385" s="175">
        <f>IF(OR(I2385="",'02_대상물건입력'!B19="",'02_대상물건입력'!B19&lt;=0),"",ABS(I2385-'02_대상물건입력'!B19)/'02_대상물건입력'!B19)</f>
        <v/>
      </c>
      <c r="Z2385" s="172">
        <f>IF(OR(Y2385="",'01_설정'!B31="",'01_설정'!B31&lt;=0,'01_설정'!B32="",'01_설정'!B32&lt;=0),"",MAX(0,(1-Y2385/'01_설정'!B32))*'01_설정'!B31)</f>
        <v/>
      </c>
    </row>
    <row r="2386" ht="17.25" customHeight="1">
      <c r="A2386" s="152">
        <f>IF(INDEX('04A_국토부원자료'!$A:$A,ROW()+1)="","",ROW()-3)</f>
        <v/>
      </c>
      <c r="B2386" s="48">
        <f>IFERROR(INDEX('04A_국토부원자료'!$A:$T,ROW()+1,MATCH("시군구",'04A_국토부원자료'!$A$4:$T$4,0)),"")</f>
        <v/>
      </c>
      <c r="C2386" s="48">
        <f>IF(B2386="","",IFERROR(INDEX('04A_국토부원자료'!$A:$T,ROW()+1,MATCH("번지",'04A_국토부원자료'!$A$4:$T$4,0)),""))</f>
        <v/>
      </c>
      <c r="D2386" s="48">
        <f>IF(B2386="","",IF(Q2386=1,'02_대상물건입력'!$B$8,IFERROR(INDEX('04A_국토부원자료'!$A:$T,ROW()+1,MATCH("단지명",'04A_국토부원자료'!$A$4:$T$4,0)),"")))</f>
        <v/>
      </c>
      <c r="E2386" s="172">
        <f>IFERROR(VALUE(SUBSTITUTE(INDEX('04A_국토부원자료'!$A:$T,ROW()+1,MATCH("전용면적(㎡)",'04A_국토부원자료'!$A$4:$T$4,0)),",","")),"")</f>
        <v/>
      </c>
      <c r="F23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86" s="51">
        <f>IFERROR(VALUE(SUBSTITUTE(INDEX('04A_국토부원자료'!$A:$T,ROW()+1,MATCH("거래금액(만원)",'04A_국토부원자료'!$A$4:$T$4,0)),",","")),"")</f>
        <v/>
      </c>
      <c r="H2386" s="174">
        <f>IF(G2386="","",G2386*10000)</f>
        <v/>
      </c>
      <c r="I2386" s="174">
        <f>IFERROR(IF(AND(H2386&gt;0,E2386&gt;0),H2386/E2386,""),"")</f>
        <v/>
      </c>
      <c r="J2386" s="152">
        <f>IFERROR(VALUE(SUBSTITUTE(INDEX('04A_국토부원자료'!$A:$T,ROW()+1,MATCH("층",'04A_국토부원자료'!$A$4:$T$4,0)),",","")),"")</f>
        <v/>
      </c>
      <c r="K2386" s="152">
        <f>IFERROR(VALUE(SUBSTITUTE(INDEX('04A_국토부원자료'!$A:$T,ROW()+1,MATCH("건축년도",'04A_국토부원자료'!$A$4:$T$4,0)),",","")),"")</f>
        <v/>
      </c>
      <c r="L2386" s="48">
        <f>IFERROR(INDEX('04A_국토부원자료'!$A:$T,ROW()+1,MATCH("도로명",'04A_국토부원자료'!$A$4:$T$4,0)),"")</f>
        <v/>
      </c>
      <c r="M2386" s="48">
        <f>IFERROR(INDEX('04A_국토부원자료'!$A:$T,ROW()+1,MATCH("거래유형",'04A_국토부원자료'!$A$4:$T$4,0)),"")</f>
        <v/>
      </c>
      <c r="N2386" s="152">
        <f>IF(B2386="","",IF('02_대상물건입력'!B5="",1,IF(ISNUMBER(SEARCH('02_대상물건입력'!B5,B2386)),1,0)))</f>
        <v/>
      </c>
      <c r="O2386" s="152">
        <f>IF(B2386="","",IF('02_대상물건입력'!B6="",1,IF(ISNUMBER(SEARCH('02_대상물건입력'!B6,B2386)),1,0)))</f>
        <v/>
      </c>
      <c r="P2386" s="152">
        <f>IF(L2386="","",IF('02_대상물건입력'!B15="",0,IF(ISNUMBER(SEARCH('02_대상물건입력'!B15,L2386)),1,0)))</f>
        <v/>
      </c>
      <c r="Q2386" s="152">
        <f>IF(OR(C2386="",L2386=""),0,IF(AND(TRIM(C2386)=TRIM(RIGHT(SUBSTITUTE(TRIM('02_대상물건입력'!$B$7)," ",REPT(" ",99)),99)),IF('02_대상물건입력'!B15="",TRUE(),ISNUMBER(SEARCH('02_대상물건입력'!B15,L2386)))),1,0))</f>
        <v/>
      </c>
      <c r="R2386" s="175">
        <f>IFERROR(ABS(E2386-'02_대상물건입력'!B11)/'02_대상물건입력'!B11,"")</f>
        <v/>
      </c>
      <c r="S2386" s="152">
        <f>IFERROR(ABS(J2386-'02_대상물건입력'!B10),"")</f>
        <v/>
      </c>
      <c r="T2386" s="152">
        <f>IFERROR(ABS('01_설정'!B4-F2386),"")</f>
        <v/>
      </c>
      <c r="U2386" s="152">
        <f>IFERROR(ABS(K2386-YEAR('02_대상물건입력'!B14)),"")</f>
        <v/>
      </c>
      <c r="V2386" s="152">
        <f>IF(B2386="","",IF(AND(E2386&gt;0,F2386&gt;0,H2386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2386=1,TRUE()),R2386&lt;='01_설정'!B5,S2386&lt;='01_설정'!B6,T2386&lt;='01_설정'!B7,U2386&lt;='01_설정'!B8),"Y",""))</f>
        <v/>
      </c>
      <c r="W2386" s="172">
        <f>IF(V2386&lt;&gt;"Y","",MAX(0,(1-R2386/'01_설정'!B5))*'01_설정'!B14+MAX(0,(1-S2386/'01_설정'!B6))*'01_설정'!B15+MAX(0,(1-T2386/'01_설정'!B7))*'01_설정'!B16+MAX(0,(1-U2386/'01_설정'!B8))*'01_설정'!B17+O2386*'01_설정'!B11+Q2386*'01_설정'!B12+P2386*'01_설정'!B13+IF(Z2386="",0,Z2386))</f>
        <v/>
      </c>
      <c r="X2386" s="152">
        <f>IF(W2386="","",1+COUNTIFS($W$4:$W$3003,"&gt;"&amp;W2386)+COUNTIFS($W$4:W2386,W2386)-1)</f>
        <v/>
      </c>
      <c r="Y2386" s="175">
        <f>IF(OR(I2386="",'02_대상물건입력'!B19="",'02_대상물건입력'!B19&lt;=0),"",ABS(I2386-'02_대상물건입력'!B19)/'02_대상물건입력'!B19)</f>
        <v/>
      </c>
      <c r="Z2386" s="172">
        <f>IF(OR(Y2386="",'01_설정'!B31="",'01_설정'!B31&lt;=0,'01_설정'!B32="",'01_설정'!B32&lt;=0),"",MAX(0,(1-Y2386/'01_설정'!B32))*'01_설정'!B31)</f>
        <v/>
      </c>
    </row>
    <row r="2387" ht="17.25" customHeight="1">
      <c r="A2387" s="152">
        <f>IF(INDEX('04A_국토부원자료'!$A:$A,ROW()+1)="","",ROW()-3)</f>
        <v/>
      </c>
      <c r="B2387" s="48">
        <f>IFERROR(INDEX('04A_국토부원자료'!$A:$T,ROW()+1,MATCH("시군구",'04A_국토부원자료'!$A$4:$T$4,0)),"")</f>
        <v/>
      </c>
      <c r="C2387" s="48">
        <f>IF(B2387="","",IFERROR(INDEX('04A_국토부원자료'!$A:$T,ROW()+1,MATCH("번지",'04A_국토부원자료'!$A$4:$T$4,0)),""))</f>
        <v/>
      </c>
      <c r="D2387" s="48">
        <f>IF(B2387="","",IF(Q2387=1,'02_대상물건입력'!$B$8,IFERROR(INDEX('04A_국토부원자료'!$A:$T,ROW()+1,MATCH("단지명",'04A_국토부원자료'!$A$4:$T$4,0)),"")))</f>
        <v/>
      </c>
      <c r="E2387" s="172">
        <f>IFERROR(VALUE(SUBSTITUTE(INDEX('04A_국토부원자료'!$A:$T,ROW()+1,MATCH("전용면적(㎡)",'04A_국토부원자료'!$A$4:$T$4,0)),",","")),"")</f>
        <v/>
      </c>
      <c r="F23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87" s="51">
        <f>IFERROR(VALUE(SUBSTITUTE(INDEX('04A_국토부원자료'!$A:$T,ROW()+1,MATCH("거래금액(만원)",'04A_국토부원자료'!$A$4:$T$4,0)),",","")),"")</f>
        <v/>
      </c>
      <c r="H2387" s="174">
        <f>IF(G2387="","",G2387*10000)</f>
        <v/>
      </c>
      <c r="I2387" s="174">
        <f>IFERROR(IF(AND(H2387&gt;0,E2387&gt;0),H2387/E2387,""),"")</f>
        <v/>
      </c>
      <c r="J2387" s="152">
        <f>IFERROR(VALUE(SUBSTITUTE(INDEX('04A_국토부원자료'!$A:$T,ROW()+1,MATCH("층",'04A_국토부원자료'!$A$4:$T$4,0)),",","")),"")</f>
        <v/>
      </c>
      <c r="K2387" s="152">
        <f>IFERROR(VALUE(SUBSTITUTE(INDEX('04A_국토부원자료'!$A:$T,ROW()+1,MATCH("건축년도",'04A_국토부원자료'!$A$4:$T$4,0)),",","")),"")</f>
        <v/>
      </c>
      <c r="L2387" s="48">
        <f>IFERROR(INDEX('04A_국토부원자료'!$A:$T,ROW()+1,MATCH("도로명",'04A_국토부원자료'!$A$4:$T$4,0)),"")</f>
        <v/>
      </c>
      <c r="M2387" s="48">
        <f>IFERROR(INDEX('04A_국토부원자료'!$A:$T,ROW()+1,MATCH("거래유형",'04A_국토부원자료'!$A$4:$T$4,0)),"")</f>
        <v/>
      </c>
      <c r="N2387" s="152">
        <f>IF(B2387="","",IF('02_대상물건입력'!B5="",1,IF(ISNUMBER(SEARCH('02_대상물건입력'!B5,B2387)),1,0)))</f>
        <v/>
      </c>
      <c r="O2387" s="152">
        <f>IF(B2387="","",IF('02_대상물건입력'!B6="",1,IF(ISNUMBER(SEARCH('02_대상물건입력'!B6,B2387)),1,0)))</f>
        <v/>
      </c>
      <c r="P2387" s="152">
        <f>IF(L2387="","",IF('02_대상물건입력'!B15="",0,IF(ISNUMBER(SEARCH('02_대상물건입력'!B15,L2387)),1,0)))</f>
        <v/>
      </c>
      <c r="Q2387" s="152">
        <f>IF(OR(C2387="",L2387=""),0,IF(AND(TRIM(C2387)=TRIM(RIGHT(SUBSTITUTE(TRIM('02_대상물건입력'!$B$7)," ",REPT(" ",99)),99)),IF('02_대상물건입력'!B15="",TRUE(),ISNUMBER(SEARCH('02_대상물건입력'!B15,L2387)))),1,0))</f>
        <v/>
      </c>
      <c r="R2387" s="175">
        <f>IFERROR(ABS(E2387-'02_대상물건입력'!B11)/'02_대상물건입력'!B11,"")</f>
        <v/>
      </c>
      <c r="S2387" s="152">
        <f>IFERROR(ABS(J2387-'02_대상물건입력'!B10),"")</f>
        <v/>
      </c>
      <c r="T2387" s="152">
        <f>IFERROR(ABS('01_설정'!B4-F2387),"")</f>
        <v/>
      </c>
      <c r="U2387" s="152">
        <f>IFERROR(ABS(K2387-YEAR('02_대상물건입력'!B14)),"")</f>
        <v/>
      </c>
      <c r="V2387" s="152">
        <f>IF(B2387="","",IF(AND(E2387&gt;0,F2387&gt;0,H2387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2387=1,TRUE()),R2387&lt;='01_설정'!B5,S2387&lt;='01_설정'!B6,T2387&lt;='01_설정'!B7,U2387&lt;='01_설정'!B8),"Y",""))</f>
        <v/>
      </c>
      <c r="W2387" s="172">
        <f>IF(V2387&lt;&gt;"Y","",MAX(0,(1-R2387/'01_설정'!B5))*'01_설정'!B14+MAX(0,(1-S2387/'01_설정'!B6))*'01_설정'!B15+MAX(0,(1-T2387/'01_설정'!B7))*'01_설정'!B16+MAX(0,(1-U2387/'01_설정'!B8))*'01_설정'!B17+O2387*'01_설정'!B11+Q2387*'01_설정'!B12+P2387*'01_설정'!B13+IF(Z2387="",0,Z2387))</f>
        <v/>
      </c>
      <c r="X2387" s="152">
        <f>IF(W2387="","",1+COUNTIFS($W$4:$W$3003,"&gt;"&amp;W2387)+COUNTIFS($W$4:W2387,W2387)-1)</f>
        <v/>
      </c>
      <c r="Y2387" s="175">
        <f>IF(OR(I2387="",'02_대상물건입력'!B19="",'02_대상물건입력'!B19&lt;=0),"",ABS(I2387-'02_대상물건입력'!B19)/'02_대상물건입력'!B19)</f>
        <v/>
      </c>
      <c r="Z2387" s="172">
        <f>IF(OR(Y2387="",'01_설정'!B31="",'01_설정'!B31&lt;=0,'01_설정'!B32="",'01_설정'!B32&lt;=0),"",MAX(0,(1-Y2387/'01_설정'!B32))*'01_설정'!B31)</f>
        <v/>
      </c>
    </row>
    <row r="2388" ht="17.25" customHeight="1">
      <c r="A2388" s="152">
        <f>IF(INDEX('04A_국토부원자료'!$A:$A,ROW()+1)="","",ROW()-3)</f>
        <v/>
      </c>
      <c r="B2388" s="48">
        <f>IFERROR(INDEX('04A_국토부원자료'!$A:$T,ROW()+1,MATCH("시군구",'04A_국토부원자료'!$A$4:$T$4,0)),"")</f>
        <v/>
      </c>
      <c r="C2388" s="48">
        <f>IF(B2388="","",IFERROR(INDEX('04A_국토부원자료'!$A:$T,ROW()+1,MATCH("번지",'04A_국토부원자료'!$A$4:$T$4,0)),""))</f>
        <v/>
      </c>
      <c r="D2388" s="48">
        <f>IF(B2388="","",IF(Q2388=1,'02_대상물건입력'!$B$8,IFERROR(INDEX('04A_국토부원자료'!$A:$T,ROW()+1,MATCH("단지명",'04A_국토부원자료'!$A$4:$T$4,0)),"")))</f>
        <v/>
      </c>
      <c r="E2388" s="172">
        <f>IFERROR(VALUE(SUBSTITUTE(INDEX('04A_국토부원자료'!$A:$T,ROW()+1,MATCH("전용면적(㎡)",'04A_국토부원자료'!$A$4:$T$4,0)),",","")),"")</f>
        <v/>
      </c>
      <c r="F23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88" s="51">
        <f>IFERROR(VALUE(SUBSTITUTE(INDEX('04A_국토부원자료'!$A:$T,ROW()+1,MATCH("거래금액(만원)",'04A_국토부원자료'!$A$4:$T$4,0)),",","")),"")</f>
        <v/>
      </c>
      <c r="H2388" s="174">
        <f>IF(G2388="","",G2388*10000)</f>
        <v/>
      </c>
      <c r="I2388" s="174">
        <f>IFERROR(IF(AND(H2388&gt;0,E2388&gt;0),H2388/E2388,""),"")</f>
        <v/>
      </c>
      <c r="J2388" s="152">
        <f>IFERROR(VALUE(SUBSTITUTE(INDEX('04A_국토부원자료'!$A:$T,ROW()+1,MATCH("층",'04A_국토부원자료'!$A$4:$T$4,0)),",","")),"")</f>
        <v/>
      </c>
      <c r="K2388" s="152">
        <f>IFERROR(VALUE(SUBSTITUTE(INDEX('04A_국토부원자료'!$A:$T,ROW()+1,MATCH("건축년도",'04A_국토부원자료'!$A$4:$T$4,0)),",","")),"")</f>
        <v/>
      </c>
      <c r="L2388" s="48">
        <f>IFERROR(INDEX('04A_국토부원자료'!$A:$T,ROW()+1,MATCH("도로명",'04A_국토부원자료'!$A$4:$T$4,0)),"")</f>
        <v/>
      </c>
      <c r="M2388" s="48">
        <f>IFERROR(INDEX('04A_국토부원자료'!$A:$T,ROW()+1,MATCH("거래유형",'04A_국토부원자료'!$A$4:$T$4,0)),"")</f>
        <v/>
      </c>
      <c r="N2388" s="152">
        <f>IF(B2388="","",IF('02_대상물건입력'!B5="",1,IF(ISNUMBER(SEARCH('02_대상물건입력'!B5,B2388)),1,0)))</f>
        <v/>
      </c>
      <c r="O2388" s="152">
        <f>IF(B2388="","",IF('02_대상물건입력'!B6="",1,IF(ISNUMBER(SEARCH('02_대상물건입력'!B6,B2388)),1,0)))</f>
        <v/>
      </c>
      <c r="P2388" s="152">
        <f>IF(L2388="","",IF('02_대상물건입력'!B15="",0,IF(ISNUMBER(SEARCH('02_대상물건입력'!B15,L2388)),1,0)))</f>
        <v/>
      </c>
      <c r="Q2388" s="152">
        <f>IF(OR(C2388="",L2388=""),0,IF(AND(TRIM(C2388)=TRIM(RIGHT(SUBSTITUTE(TRIM('02_대상물건입력'!$B$7)," ",REPT(" ",99)),99)),IF('02_대상물건입력'!B15="",TRUE(),ISNUMBER(SEARCH('02_대상물건입력'!B15,L2388)))),1,0))</f>
        <v/>
      </c>
      <c r="R2388" s="175">
        <f>IFERROR(ABS(E2388-'02_대상물건입력'!B11)/'02_대상물건입력'!B11,"")</f>
        <v/>
      </c>
      <c r="S2388" s="152">
        <f>IFERROR(ABS(J2388-'02_대상물건입력'!B10),"")</f>
        <v/>
      </c>
      <c r="T2388" s="152">
        <f>IFERROR(ABS('01_설정'!B4-F2388),"")</f>
        <v/>
      </c>
      <c r="U2388" s="152">
        <f>IFERROR(ABS(K2388-YEAR('02_대상물건입력'!B14)),"")</f>
        <v/>
      </c>
      <c r="V2388" s="152">
        <f>IF(B2388="","",IF(AND(E2388&gt;0,F2388&gt;0,H2388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2388=1,TRUE()),R2388&lt;='01_설정'!B5,S2388&lt;='01_설정'!B6,T2388&lt;='01_설정'!B7,U2388&lt;='01_설정'!B8),"Y",""))</f>
        <v/>
      </c>
      <c r="W2388" s="172">
        <f>IF(V2388&lt;&gt;"Y","",MAX(0,(1-R2388/'01_설정'!B5))*'01_설정'!B14+MAX(0,(1-S2388/'01_설정'!B6))*'01_설정'!B15+MAX(0,(1-T2388/'01_설정'!B7))*'01_설정'!B16+MAX(0,(1-U2388/'01_설정'!B8))*'01_설정'!B17+O2388*'01_설정'!B11+Q2388*'01_설정'!B12+P2388*'01_설정'!B13+IF(Z2388="",0,Z2388))</f>
        <v/>
      </c>
      <c r="X2388" s="152">
        <f>IF(W2388="","",1+COUNTIFS($W$4:$W$3003,"&gt;"&amp;W2388)+COUNTIFS($W$4:W2388,W2388)-1)</f>
        <v/>
      </c>
      <c r="Y2388" s="175">
        <f>IF(OR(I2388="",'02_대상물건입력'!B19="",'02_대상물건입력'!B19&lt;=0),"",ABS(I2388-'02_대상물건입력'!B19)/'02_대상물건입력'!B19)</f>
        <v/>
      </c>
      <c r="Z2388" s="172">
        <f>IF(OR(Y2388="",'01_설정'!B31="",'01_설정'!B31&lt;=0,'01_설정'!B32="",'01_설정'!B32&lt;=0),"",MAX(0,(1-Y2388/'01_설정'!B32))*'01_설정'!B31)</f>
        <v/>
      </c>
    </row>
    <row r="2389" ht="17.25" customHeight="1">
      <c r="A2389" s="152">
        <f>IF(INDEX('04A_국토부원자료'!$A:$A,ROW()+1)="","",ROW()-3)</f>
        <v/>
      </c>
      <c r="B2389" s="48">
        <f>IFERROR(INDEX('04A_국토부원자료'!$A:$T,ROW()+1,MATCH("시군구",'04A_국토부원자료'!$A$4:$T$4,0)),"")</f>
        <v/>
      </c>
      <c r="C2389" s="48">
        <f>IF(B2389="","",IFERROR(INDEX('04A_국토부원자료'!$A:$T,ROW()+1,MATCH("번지",'04A_국토부원자료'!$A$4:$T$4,0)),""))</f>
        <v/>
      </c>
      <c r="D2389" s="48">
        <f>IF(B2389="","",IF(Q2389=1,'02_대상물건입력'!$B$8,IFERROR(INDEX('04A_국토부원자료'!$A:$T,ROW()+1,MATCH("단지명",'04A_국토부원자료'!$A$4:$T$4,0)),"")))</f>
        <v/>
      </c>
      <c r="E2389" s="172">
        <f>IFERROR(VALUE(SUBSTITUTE(INDEX('04A_국토부원자료'!$A:$T,ROW()+1,MATCH("전용면적(㎡)",'04A_국토부원자료'!$A$4:$T$4,0)),",","")),"")</f>
        <v/>
      </c>
      <c r="F23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89" s="51">
        <f>IFERROR(VALUE(SUBSTITUTE(INDEX('04A_국토부원자료'!$A:$T,ROW()+1,MATCH("거래금액(만원)",'04A_국토부원자료'!$A$4:$T$4,0)),",","")),"")</f>
        <v/>
      </c>
      <c r="H2389" s="174">
        <f>IF(G2389="","",G2389*10000)</f>
        <v/>
      </c>
      <c r="I2389" s="174">
        <f>IFERROR(IF(AND(H2389&gt;0,E2389&gt;0),H2389/E2389,""),"")</f>
        <v/>
      </c>
      <c r="J2389" s="152">
        <f>IFERROR(VALUE(SUBSTITUTE(INDEX('04A_국토부원자료'!$A:$T,ROW()+1,MATCH("층",'04A_국토부원자료'!$A$4:$T$4,0)),",","")),"")</f>
        <v/>
      </c>
      <c r="K2389" s="152">
        <f>IFERROR(VALUE(SUBSTITUTE(INDEX('04A_국토부원자료'!$A:$T,ROW()+1,MATCH("건축년도",'04A_국토부원자료'!$A$4:$T$4,0)),",","")),"")</f>
        <v/>
      </c>
      <c r="L2389" s="48">
        <f>IFERROR(INDEX('04A_국토부원자료'!$A:$T,ROW()+1,MATCH("도로명",'04A_국토부원자료'!$A$4:$T$4,0)),"")</f>
        <v/>
      </c>
      <c r="M2389" s="48">
        <f>IFERROR(INDEX('04A_국토부원자료'!$A:$T,ROW()+1,MATCH("거래유형",'04A_국토부원자료'!$A$4:$T$4,0)),"")</f>
        <v/>
      </c>
      <c r="N2389" s="152">
        <f>IF(B2389="","",IF('02_대상물건입력'!B5="",1,IF(ISNUMBER(SEARCH('02_대상물건입력'!B5,B2389)),1,0)))</f>
        <v/>
      </c>
      <c r="O2389" s="152">
        <f>IF(B2389="","",IF('02_대상물건입력'!B6="",1,IF(ISNUMBER(SEARCH('02_대상물건입력'!B6,B2389)),1,0)))</f>
        <v/>
      </c>
      <c r="P2389" s="152">
        <f>IF(L2389="","",IF('02_대상물건입력'!B15="",0,IF(ISNUMBER(SEARCH('02_대상물건입력'!B15,L2389)),1,0)))</f>
        <v/>
      </c>
      <c r="Q2389" s="152">
        <f>IF(OR(C2389="",L2389=""),0,IF(AND(TRIM(C2389)=TRIM(RIGHT(SUBSTITUTE(TRIM('02_대상물건입력'!$B$7)," ",REPT(" ",99)),99)),IF('02_대상물건입력'!B15="",TRUE(),ISNUMBER(SEARCH('02_대상물건입력'!B15,L2389)))),1,0))</f>
        <v/>
      </c>
      <c r="R2389" s="175">
        <f>IFERROR(ABS(E2389-'02_대상물건입력'!B11)/'02_대상물건입력'!B11,"")</f>
        <v/>
      </c>
      <c r="S2389" s="152">
        <f>IFERROR(ABS(J2389-'02_대상물건입력'!B10),"")</f>
        <v/>
      </c>
      <c r="T2389" s="152">
        <f>IFERROR(ABS('01_설정'!B4-F2389),"")</f>
        <v/>
      </c>
      <c r="U2389" s="152">
        <f>IFERROR(ABS(K2389-YEAR('02_대상물건입력'!B14)),"")</f>
        <v/>
      </c>
      <c r="V2389" s="152">
        <f>IF(B2389="","",IF(AND(E2389&gt;0,F2389&gt;0,H2389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2389=1,TRUE()),R2389&lt;='01_설정'!B5,S2389&lt;='01_설정'!B6,T2389&lt;='01_설정'!B7,U2389&lt;='01_설정'!B8),"Y",""))</f>
        <v/>
      </c>
      <c r="W2389" s="172">
        <f>IF(V2389&lt;&gt;"Y","",MAX(0,(1-R2389/'01_설정'!B5))*'01_설정'!B14+MAX(0,(1-S2389/'01_설정'!B6))*'01_설정'!B15+MAX(0,(1-T2389/'01_설정'!B7))*'01_설정'!B16+MAX(0,(1-U2389/'01_설정'!B8))*'01_설정'!B17+O2389*'01_설정'!B11+Q2389*'01_설정'!B12+P2389*'01_설정'!B13+IF(Z2389="",0,Z2389))</f>
        <v/>
      </c>
      <c r="X2389" s="152">
        <f>IF(W2389="","",1+COUNTIFS($W$4:$W$3003,"&gt;"&amp;W2389)+COUNTIFS($W$4:W2389,W2389)-1)</f>
        <v/>
      </c>
      <c r="Y2389" s="175">
        <f>IF(OR(I2389="",'02_대상물건입력'!B19="",'02_대상물건입력'!B19&lt;=0),"",ABS(I2389-'02_대상물건입력'!B19)/'02_대상물건입력'!B19)</f>
        <v/>
      </c>
      <c r="Z2389" s="172">
        <f>IF(OR(Y2389="",'01_설정'!B31="",'01_설정'!B31&lt;=0,'01_설정'!B32="",'01_설정'!B32&lt;=0),"",MAX(0,(1-Y2389/'01_설정'!B32))*'01_설정'!B31)</f>
        <v/>
      </c>
    </row>
    <row r="2390" ht="17.25" customHeight="1">
      <c r="A2390" s="152">
        <f>IF(INDEX('04A_국토부원자료'!$A:$A,ROW()+1)="","",ROW()-3)</f>
        <v/>
      </c>
      <c r="B2390" s="48">
        <f>IFERROR(INDEX('04A_국토부원자료'!$A:$T,ROW()+1,MATCH("시군구",'04A_국토부원자료'!$A$4:$T$4,0)),"")</f>
        <v/>
      </c>
      <c r="C2390" s="48">
        <f>IF(B2390="","",IFERROR(INDEX('04A_국토부원자료'!$A:$T,ROW()+1,MATCH("번지",'04A_국토부원자료'!$A$4:$T$4,0)),""))</f>
        <v/>
      </c>
      <c r="D2390" s="48">
        <f>IF(B2390="","",IF(Q2390=1,'02_대상물건입력'!$B$8,IFERROR(INDEX('04A_국토부원자료'!$A:$T,ROW()+1,MATCH("단지명",'04A_국토부원자료'!$A$4:$T$4,0)),"")))</f>
        <v/>
      </c>
      <c r="E2390" s="172">
        <f>IFERROR(VALUE(SUBSTITUTE(INDEX('04A_국토부원자료'!$A:$T,ROW()+1,MATCH("전용면적(㎡)",'04A_국토부원자료'!$A$4:$T$4,0)),",","")),"")</f>
        <v/>
      </c>
      <c r="F23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90" s="51">
        <f>IFERROR(VALUE(SUBSTITUTE(INDEX('04A_국토부원자료'!$A:$T,ROW()+1,MATCH("거래금액(만원)",'04A_국토부원자료'!$A$4:$T$4,0)),",","")),"")</f>
        <v/>
      </c>
      <c r="H2390" s="174">
        <f>IF(G2390="","",G2390*10000)</f>
        <v/>
      </c>
      <c r="I2390" s="174">
        <f>IFERROR(IF(AND(H2390&gt;0,E2390&gt;0),H2390/E2390,""),"")</f>
        <v/>
      </c>
      <c r="J2390" s="152">
        <f>IFERROR(VALUE(SUBSTITUTE(INDEX('04A_국토부원자료'!$A:$T,ROW()+1,MATCH("층",'04A_국토부원자료'!$A$4:$T$4,0)),",","")),"")</f>
        <v/>
      </c>
      <c r="K2390" s="152">
        <f>IFERROR(VALUE(SUBSTITUTE(INDEX('04A_국토부원자료'!$A:$T,ROW()+1,MATCH("건축년도",'04A_국토부원자료'!$A$4:$T$4,0)),",","")),"")</f>
        <v/>
      </c>
      <c r="L2390" s="48">
        <f>IFERROR(INDEX('04A_국토부원자료'!$A:$T,ROW()+1,MATCH("도로명",'04A_국토부원자료'!$A$4:$T$4,0)),"")</f>
        <v/>
      </c>
      <c r="M2390" s="48">
        <f>IFERROR(INDEX('04A_국토부원자료'!$A:$T,ROW()+1,MATCH("거래유형",'04A_국토부원자료'!$A$4:$T$4,0)),"")</f>
        <v/>
      </c>
      <c r="N2390" s="152">
        <f>IF(B2390="","",IF('02_대상물건입력'!B5="",1,IF(ISNUMBER(SEARCH('02_대상물건입력'!B5,B2390)),1,0)))</f>
        <v/>
      </c>
      <c r="O2390" s="152">
        <f>IF(B2390="","",IF('02_대상물건입력'!B6="",1,IF(ISNUMBER(SEARCH('02_대상물건입력'!B6,B2390)),1,0)))</f>
        <v/>
      </c>
      <c r="P2390" s="152">
        <f>IF(L2390="","",IF('02_대상물건입력'!B15="",0,IF(ISNUMBER(SEARCH('02_대상물건입력'!B15,L2390)),1,0)))</f>
        <v/>
      </c>
      <c r="Q2390" s="152">
        <f>IF(OR(C2390="",L2390=""),0,IF(AND(TRIM(C2390)=TRIM(RIGHT(SUBSTITUTE(TRIM('02_대상물건입력'!$B$7)," ",REPT(" ",99)),99)),IF('02_대상물건입력'!B15="",TRUE(),ISNUMBER(SEARCH('02_대상물건입력'!B15,L2390)))),1,0))</f>
        <v/>
      </c>
      <c r="R2390" s="175">
        <f>IFERROR(ABS(E2390-'02_대상물건입력'!B11)/'02_대상물건입력'!B11,"")</f>
        <v/>
      </c>
      <c r="S2390" s="152">
        <f>IFERROR(ABS(J2390-'02_대상물건입력'!B10),"")</f>
        <v/>
      </c>
      <c r="T2390" s="152">
        <f>IFERROR(ABS('01_설정'!B4-F2390),"")</f>
        <v/>
      </c>
      <c r="U2390" s="152">
        <f>IFERROR(ABS(K2390-YEAR('02_대상물건입력'!B14)),"")</f>
        <v/>
      </c>
      <c r="V2390" s="152">
        <f>IF(B2390="","",IF(AND(E2390&gt;0,F2390&gt;0,H2390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2390=1,TRUE()),R2390&lt;='01_설정'!B5,S2390&lt;='01_설정'!B6,T2390&lt;='01_설정'!B7,U2390&lt;='01_설정'!B8),"Y",""))</f>
        <v/>
      </c>
      <c r="W2390" s="172">
        <f>IF(V2390&lt;&gt;"Y","",MAX(0,(1-R2390/'01_설정'!B5))*'01_설정'!B14+MAX(0,(1-S2390/'01_설정'!B6))*'01_설정'!B15+MAX(0,(1-T2390/'01_설정'!B7))*'01_설정'!B16+MAX(0,(1-U2390/'01_설정'!B8))*'01_설정'!B17+O2390*'01_설정'!B11+Q2390*'01_설정'!B12+P2390*'01_설정'!B13+IF(Z2390="",0,Z2390))</f>
        <v/>
      </c>
      <c r="X2390" s="152">
        <f>IF(W2390="","",1+COUNTIFS($W$4:$W$3003,"&gt;"&amp;W2390)+COUNTIFS($W$4:W2390,W2390)-1)</f>
        <v/>
      </c>
      <c r="Y2390" s="175">
        <f>IF(OR(I2390="",'02_대상물건입력'!B19="",'02_대상물건입력'!B19&lt;=0),"",ABS(I2390-'02_대상물건입력'!B19)/'02_대상물건입력'!B19)</f>
        <v/>
      </c>
      <c r="Z2390" s="172">
        <f>IF(OR(Y2390="",'01_설정'!B31="",'01_설정'!B31&lt;=0,'01_설정'!B32="",'01_설정'!B32&lt;=0),"",MAX(0,(1-Y2390/'01_설정'!B32))*'01_설정'!B31)</f>
        <v/>
      </c>
    </row>
    <row r="2391" ht="17.25" customHeight="1">
      <c r="A2391" s="152">
        <f>IF(INDEX('04A_국토부원자료'!$A:$A,ROW()+1)="","",ROW()-3)</f>
        <v/>
      </c>
      <c r="B2391" s="48">
        <f>IFERROR(INDEX('04A_국토부원자료'!$A:$T,ROW()+1,MATCH("시군구",'04A_국토부원자료'!$A$4:$T$4,0)),"")</f>
        <v/>
      </c>
      <c r="C2391" s="48">
        <f>IF(B2391="","",IFERROR(INDEX('04A_국토부원자료'!$A:$T,ROW()+1,MATCH("번지",'04A_국토부원자료'!$A$4:$T$4,0)),""))</f>
        <v/>
      </c>
      <c r="D2391" s="48">
        <f>IF(B2391="","",IF(Q2391=1,'02_대상물건입력'!$B$8,IFERROR(INDEX('04A_국토부원자료'!$A:$T,ROW()+1,MATCH("단지명",'04A_국토부원자료'!$A$4:$T$4,0)),"")))</f>
        <v/>
      </c>
      <c r="E2391" s="172">
        <f>IFERROR(VALUE(SUBSTITUTE(INDEX('04A_국토부원자료'!$A:$T,ROW()+1,MATCH("전용면적(㎡)",'04A_국토부원자료'!$A$4:$T$4,0)),",","")),"")</f>
        <v/>
      </c>
      <c r="F23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91" s="51">
        <f>IFERROR(VALUE(SUBSTITUTE(INDEX('04A_국토부원자료'!$A:$T,ROW()+1,MATCH("거래금액(만원)",'04A_국토부원자료'!$A$4:$T$4,0)),",","")),"")</f>
        <v/>
      </c>
      <c r="H2391" s="174">
        <f>IF(G2391="","",G2391*10000)</f>
        <v/>
      </c>
      <c r="I2391" s="174">
        <f>IFERROR(IF(AND(H2391&gt;0,E2391&gt;0),H2391/E2391,""),"")</f>
        <v/>
      </c>
      <c r="J2391" s="152">
        <f>IFERROR(VALUE(SUBSTITUTE(INDEX('04A_국토부원자료'!$A:$T,ROW()+1,MATCH("층",'04A_국토부원자료'!$A$4:$T$4,0)),",","")),"")</f>
        <v/>
      </c>
      <c r="K2391" s="152">
        <f>IFERROR(VALUE(SUBSTITUTE(INDEX('04A_국토부원자료'!$A:$T,ROW()+1,MATCH("건축년도",'04A_국토부원자료'!$A$4:$T$4,0)),",","")),"")</f>
        <v/>
      </c>
      <c r="L2391" s="48">
        <f>IFERROR(INDEX('04A_국토부원자료'!$A:$T,ROW()+1,MATCH("도로명",'04A_국토부원자료'!$A$4:$T$4,0)),"")</f>
        <v/>
      </c>
      <c r="M2391" s="48">
        <f>IFERROR(INDEX('04A_국토부원자료'!$A:$T,ROW()+1,MATCH("거래유형",'04A_국토부원자료'!$A$4:$T$4,0)),"")</f>
        <v/>
      </c>
      <c r="N2391" s="152">
        <f>IF(B2391="","",IF('02_대상물건입력'!B5="",1,IF(ISNUMBER(SEARCH('02_대상물건입력'!B5,B2391)),1,0)))</f>
        <v/>
      </c>
      <c r="O2391" s="152">
        <f>IF(B2391="","",IF('02_대상물건입력'!B6="",1,IF(ISNUMBER(SEARCH('02_대상물건입력'!B6,B2391)),1,0)))</f>
        <v/>
      </c>
      <c r="P2391" s="152">
        <f>IF(L2391="","",IF('02_대상물건입력'!B15="",0,IF(ISNUMBER(SEARCH('02_대상물건입력'!B15,L2391)),1,0)))</f>
        <v/>
      </c>
      <c r="Q2391" s="152">
        <f>IF(OR(C2391="",L2391=""),0,IF(AND(TRIM(C2391)=TRIM(RIGHT(SUBSTITUTE(TRIM('02_대상물건입력'!$B$7)," ",REPT(" ",99)),99)),IF('02_대상물건입력'!B15="",TRUE(),ISNUMBER(SEARCH('02_대상물건입력'!B15,L2391)))),1,0))</f>
        <v/>
      </c>
      <c r="R2391" s="175">
        <f>IFERROR(ABS(E2391-'02_대상물건입력'!B11)/'02_대상물건입력'!B11,"")</f>
        <v/>
      </c>
      <c r="S2391" s="152">
        <f>IFERROR(ABS(J2391-'02_대상물건입력'!B10),"")</f>
        <v/>
      </c>
      <c r="T2391" s="152">
        <f>IFERROR(ABS('01_설정'!B4-F2391),"")</f>
        <v/>
      </c>
      <c r="U2391" s="152">
        <f>IFERROR(ABS(K2391-YEAR('02_대상물건입력'!B14)),"")</f>
        <v/>
      </c>
      <c r="V2391" s="152">
        <f>IF(B2391="","",IF(AND(E2391&gt;0,F2391&gt;0,H2391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2391=1,TRUE()),R2391&lt;='01_설정'!B5,S2391&lt;='01_설정'!B6,T2391&lt;='01_설정'!B7,U2391&lt;='01_설정'!B8),"Y",""))</f>
        <v/>
      </c>
      <c r="W2391" s="172">
        <f>IF(V2391&lt;&gt;"Y","",MAX(0,(1-R2391/'01_설정'!B5))*'01_설정'!B14+MAX(0,(1-S2391/'01_설정'!B6))*'01_설정'!B15+MAX(0,(1-T2391/'01_설정'!B7))*'01_설정'!B16+MAX(0,(1-U2391/'01_설정'!B8))*'01_설정'!B17+O2391*'01_설정'!B11+Q2391*'01_설정'!B12+P2391*'01_설정'!B13+IF(Z2391="",0,Z2391))</f>
        <v/>
      </c>
      <c r="X2391" s="152">
        <f>IF(W2391="","",1+COUNTIFS($W$4:$W$3003,"&gt;"&amp;W2391)+COUNTIFS($W$4:W2391,W2391)-1)</f>
        <v/>
      </c>
      <c r="Y2391" s="175">
        <f>IF(OR(I2391="",'02_대상물건입력'!B19="",'02_대상물건입력'!B19&lt;=0),"",ABS(I2391-'02_대상물건입력'!B19)/'02_대상물건입력'!B19)</f>
        <v/>
      </c>
      <c r="Z2391" s="172">
        <f>IF(OR(Y2391="",'01_설정'!B31="",'01_설정'!B31&lt;=0,'01_설정'!B32="",'01_설정'!B32&lt;=0),"",MAX(0,(1-Y2391/'01_설정'!B32))*'01_설정'!B31)</f>
        <v/>
      </c>
    </row>
    <row r="2392" ht="17.25" customHeight="1">
      <c r="A2392" s="152">
        <f>IF(INDEX('04A_국토부원자료'!$A:$A,ROW()+1)="","",ROW()-3)</f>
        <v/>
      </c>
      <c r="B2392" s="48">
        <f>IFERROR(INDEX('04A_국토부원자료'!$A:$T,ROW()+1,MATCH("시군구",'04A_국토부원자료'!$A$4:$T$4,0)),"")</f>
        <v/>
      </c>
      <c r="C2392" s="48">
        <f>IF(B2392="","",IFERROR(INDEX('04A_국토부원자료'!$A:$T,ROW()+1,MATCH("번지",'04A_국토부원자료'!$A$4:$T$4,0)),""))</f>
        <v/>
      </c>
      <c r="D2392" s="48">
        <f>IF(B2392="","",IF(Q2392=1,'02_대상물건입력'!$B$8,IFERROR(INDEX('04A_국토부원자료'!$A:$T,ROW()+1,MATCH("단지명",'04A_국토부원자료'!$A$4:$T$4,0)),"")))</f>
        <v/>
      </c>
      <c r="E2392" s="172">
        <f>IFERROR(VALUE(SUBSTITUTE(INDEX('04A_국토부원자료'!$A:$T,ROW()+1,MATCH("전용면적(㎡)",'04A_국토부원자료'!$A$4:$T$4,0)),",","")),"")</f>
        <v/>
      </c>
      <c r="F23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92" s="51">
        <f>IFERROR(VALUE(SUBSTITUTE(INDEX('04A_국토부원자료'!$A:$T,ROW()+1,MATCH("거래금액(만원)",'04A_국토부원자료'!$A$4:$T$4,0)),",","")),"")</f>
        <v/>
      </c>
      <c r="H2392" s="174">
        <f>IF(G2392="","",G2392*10000)</f>
        <v/>
      </c>
      <c r="I2392" s="174">
        <f>IFERROR(IF(AND(H2392&gt;0,E2392&gt;0),H2392/E2392,""),"")</f>
        <v/>
      </c>
      <c r="J2392" s="152">
        <f>IFERROR(VALUE(SUBSTITUTE(INDEX('04A_국토부원자료'!$A:$T,ROW()+1,MATCH("층",'04A_국토부원자료'!$A$4:$T$4,0)),",","")),"")</f>
        <v/>
      </c>
      <c r="K2392" s="152">
        <f>IFERROR(VALUE(SUBSTITUTE(INDEX('04A_국토부원자료'!$A:$T,ROW()+1,MATCH("건축년도",'04A_국토부원자료'!$A$4:$T$4,0)),",","")),"")</f>
        <v/>
      </c>
      <c r="L2392" s="48">
        <f>IFERROR(INDEX('04A_국토부원자료'!$A:$T,ROW()+1,MATCH("도로명",'04A_국토부원자료'!$A$4:$T$4,0)),"")</f>
        <v/>
      </c>
      <c r="M2392" s="48">
        <f>IFERROR(INDEX('04A_국토부원자료'!$A:$T,ROW()+1,MATCH("거래유형",'04A_국토부원자료'!$A$4:$T$4,0)),"")</f>
        <v/>
      </c>
      <c r="N2392" s="152">
        <f>IF(B2392="","",IF('02_대상물건입력'!B5="",1,IF(ISNUMBER(SEARCH('02_대상물건입력'!B5,B2392)),1,0)))</f>
        <v/>
      </c>
      <c r="O2392" s="152">
        <f>IF(B2392="","",IF('02_대상물건입력'!B6="",1,IF(ISNUMBER(SEARCH('02_대상물건입력'!B6,B2392)),1,0)))</f>
        <v/>
      </c>
      <c r="P2392" s="152">
        <f>IF(L2392="","",IF('02_대상물건입력'!B15="",0,IF(ISNUMBER(SEARCH('02_대상물건입력'!B15,L2392)),1,0)))</f>
        <v/>
      </c>
      <c r="Q2392" s="152">
        <f>IF(OR(C2392="",L2392=""),0,IF(AND(TRIM(C2392)=TRIM(RIGHT(SUBSTITUTE(TRIM('02_대상물건입력'!$B$7)," ",REPT(" ",99)),99)),IF('02_대상물건입력'!B15="",TRUE(),ISNUMBER(SEARCH('02_대상물건입력'!B15,L2392)))),1,0))</f>
        <v/>
      </c>
      <c r="R2392" s="175">
        <f>IFERROR(ABS(E2392-'02_대상물건입력'!B11)/'02_대상물건입력'!B11,"")</f>
        <v/>
      </c>
      <c r="S2392" s="152">
        <f>IFERROR(ABS(J2392-'02_대상물건입력'!B10),"")</f>
        <v/>
      </c>
      <c r="T2392" s="152">
        <f>IFERROR(ABS('01_설정'!B4-F2392),"")</f>
        <v/>
      </c>
      <c r="U2392" s="152">
        <f>IFERROR(ABS(K2392-YEAR('02_대상물건입력'!B14)),"")</f>
        <v/>
      </c>
      <c r="V2392" s="152">
        <f>IF(B2392="","",IF(AND(E2392&gt;0,F2392&gt;0,H2392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2392=1,TRUE()),R2392&lt;='01_설정'!B5,S2392&lt;='01_설정'!B6,T2392&lt;='01_설정'!B7,U2392&lt;='01_설정'!B8),"Y",""))</f>
        <v/>
      </c>
      <c r="W2392" s="172">
        <f>IF(V2392&lt;&gt;"Y","",MAX(0,(1-R2392/'01_설정'!B5))*'01_설정'!B14+MAX(0,(1-S2392/'01_설정'!B6))*'01_설정'!B15+MAX(0,(1-T2392/'01_설정'!B7))*'01_설정'!B16+MAX(0,(1-U2392/'01_설정'!B8))*'01_설정'!B17+O2392*'01_설정'!B11+Q2392*'01_설정'!B12+P2392*'01_설정'!B13+IF(Z2392="",0,Z2392))</f>
        <v/>
      </c>
      <c r="X2392" s="152">
        <f>IF(W2392="","",1+COUNTIFS($W$4:$W$3003,"&gt;"&amp;W2392)+COUNTIFS($W$4:W2392,W2392)-1)</f>
        <v/>
      </c>
      <c r="Y2392" s="175">
        <f>IF(OR(I2392="",'02_대상물건입력'!B19="",'02_대상물건입력'!B19&lt;=0),"",ABS(I2392-'02_대상물건입력'!B19)/'02_대상물건입력'!B19)</f>
        <v/>
      </c>
      <c r="Z2392" s="172">
        <f>IF(OR(Y2392="",'01_설정'!B31="",'01_설정'!B31&lt;=0,'01_설정'!B32="",'01_설정'!B32&lt;=0),"",MAX(0,(1-Y2392/'01_설정'!B32))*'01_설정'!B31)</f>
        <v/>
      </c>
    </row>
    <row r="2393" ht="17.25" customHeight="1">
      <c r="A2393" s="152">
        <f>IF(INDEX('04A_국토부원자료'!$A:$A,ROW()+1)="","",ROW()-3)</f>
        <v/>
      </c>
      <c r="B2393" s="48">
        <f>IFERROR(INDEX('04A_국토부원자료'!$A:$T,ROW()+1,MATCH("시군구",'04A_국토부원자료'!$A$4:$T$4,0)),"")</f>
        <v/>
      </c>
      <c r="C2393" s="48">
        <f>IF(B2393="","",IFERROR(INDEX('04A_국토부원자료'!$A:$T,ROW()+1,MATCH("번지",'04A_국토부원자료'!$A$4:$T$4,0)),""))</f>
        <v/>
      </c>
      <c r="D2393" s="48">
        <f>IF(B2393="","",IF(Q2393=1,'02_대상물건입력'!$B$8,IFERROR(INDEX('04A_국토부원자료'!$A:$T,ROW()+1,MATCH("단지명",'04A_국토부원자료'!$A$4:$T$4,0)),"")))</f>
        <v/>
      </c>
      <c r="E2393" s="172">
        <f>IFERROR(VALUE(SUBSTITUTE(INDEX('04A_국토부원자료'!$A:$T,ROW()+1,MATCH("전용면적(㎡)",'04A_국토부원자료'!$A$4:$T$4,0)),",","")),"")</f>
        <v/>
      </c>
      <c r="F23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93" s="51">
        <f>IFERROR(VALUE(SUBSTITUTE(INDEX('04A_국토부원자료'!$A:$T,ROW()+1,MATCH("거래금액(만원)",'04A_국토부원자료'!$A$4:$T$4,0)),",","")),"")</f>
        <v/>
      </c>
      <c r="H2393" s="174">
        <f>IF(G2393="","",G2393*10000)</f>
        <v/>
      </c>
      <c r="I2393" s="174">
        <f>IFERROR(IF(AND(H2393&gt;0,E2393&gt;0),H2393/E2393,""),"")</f>
        <v/>
      </c>
      <c r="J2393" s="152">
        <f>IFERROR(VALUE(SUBSTITUTE(INDEX('04A_국토부원자료'!$A:$T,ROW()+1,MATCH("층",'04A_국토부원자료'!$A$4:$T$4,0)),",","")),"")</f>
        <v/>
      </c>
      <c r="K2393" s="152">
        <f>IFERROR(VALUE(SUBSTITUTE(INDEX('04A_국토부원자료'!$A:$T,ROW()+1,MATCH("건축년도",'04A_국토부원자료'!$A$4:$T$4,0)),",","")),"")</f>
        <v/>
      </c>
      <c r="L2393" s="48">
        <f>IFERROR(INDEX('04A_국토부원자료'!$A:$T,ROW()+1,MATCH("도로명",'04A_국토부원자료'!$A$4:$T$4,0)),"")</f>
        <v/>
      </c>
      <c r="M2393" s="48">
        <f>IFERROR(INDEX('04A_국토부원자료'!$A:$T,ROW()+1,MATCH("거래유형",'04A_국토부원자료'!$A$4:$T$4,0)),"")</f>
        <v/>
      </c>
      <c r="N2393" s="152">
        <f>IF(B2393="","",IF('02_대상물건입력'!B5="",1,IF(ISNUMBER(SEARCH('02_대상물건입력'!B5,B2393)),1,0)))</f>
        <v/>
      </c>
      <c r="O2393" s="152">
        <f>IF(B2393="","",IF('02_대상물건입력'!B6="",1,IF(ISNUMBER(SEARCH('02_대상물건입력'!B6,B2393)),1,0)))</f>
        <v/>
      </c>
      <c r="P2393" s="152">
        <f>IF(L2393="","",IF('02_대상물건입력'!B15="",0,IF(ISNUMBER(SEARCH('02_대상물건입력'!B15,L2393)),1,0)))</f>
        <v/>
      </c>
      <c r="Q2393" s="152">
        <f>IF(OR(C2393="",L2393=""),0,IF(AND(TRIM(C2393)=TRIM(RIGHT(SUBSTITUTE(TRIM('02_대상물건입력'!$B$7)," ",REPT(" ",99)),99)),IF('02_대상물건입력'!B15="",TRUE(),ISNUMBER(SEARCH('02_대상물건입력'!B15,L2393)))),1,0))</f>
        <v/>
      </c>
      <c r="R2393" s="175">
        <f>IFERROR(ABS(E2393-'02_대상물건입력'!B11)/'02_대상물건입력'!B11,"")</f>
        <v/>
      </c>
      <c r="S2393" s="152">
        <f>IFERROR(ABS(J2393-'02_대상물건입력'!B10),"")</f>
        <v/>
      </c>
      <c r="T2393" s="152">
        <f>IFERROR(ABS('01_설정'!B4-F2393),"")</f>
        <v/>
      </c>
      <c r="U2393" s="152">
        <f>IFERROR(ABS(K2393-YEAR('02_대상물건입력'!B14)),"")</f>
        <v/>
      </c>
      <c r="V2393" s="152">
        <f>IF(B2393="","",IF(AND(E2393&gt;0,F2393&gt;0,H2393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2393=1,TRUE()),R2393&lt;='01_설정'!B5,S2393&lt;='01_설정'!B6,T2393&lt;='01_설정'!B7,U2393&lt;='01_설정'!B8),"Y",""))</f>
        <v/>
      </c>
      <c r="W2393" s="172">
        <f>IF(V2393&lt;&gt;"Y","",MAX(0,(1-R2393/'01_설정'!B5))*'01_설정'!B14+MAX(0,(1-S2393/'01_설정'!B6))*'01_설정'!B15+MAX(0,(1-T2393/'01_설정'!B7))*'01_설정'!B16+MAX(0,(1-U2393/'01_설정'!B8))*'01_설정'!B17+O2393*'01_설정'!B11+Q2393*'01_설정'!B12+P2393*'01_설정'!B13+IF(Z2393="",0,Z2393))</f>
        <v/>
      </c>
      <c r="X2393" s="152">
        <f>IF(W2393="","",1+COUNTIFS($W$4:$W$3003,"&gt;"&amp;W2393)+COUNTIFS($W$4:W2393,W2393)-1)</f>
        <v/>
      </c>
      <c r="Y2393" s="175">
        <f>IF(OR(I2393="",'02_대상물건입력'!B19="",'02_대상물건입력'!B19&lt;=0),"",ABS(I2393-'02_대상물건입력'!B19)/'02_대상물건입력'!B19)</f>
        <v/>
      </c>
      <c r="Z2393" s="172">
        <f>IF(OR(Y2393="",'01_설정'!B31="",'01_설정'!B31&lt;=0,'01_설정'!B32="",'01_설정'!B32&lt;=0),"",MAX(0,(1-Y2393/'01_설정'!B32))*'01_설정'!B31)</f>
        <v/>
      </c>
    </row>
    <row r="2394" ht="17.25" customHeight="1">
      <c r="A2394" s="152">
        <f>IF(INDEX('04A_국토부원자료'!$A:$A,ROW()+1)="","",ROW()-3)</f>
        <v/>
      </c>
      <c r="B2394" s="48">
        <f>IFERROR(INDEX('04A_국토부원자료'!$A:$T,ROW()+1,MATCH("시군구",'04A_국토부원자료'!$A$4:$T$4,0)),"")</f>
        <v/>
      </c>
      <c r="C2394" s="48">
        <f>IF(B2394="","",IFERROR(INDEX('04A_국토부원자료'!$A:$T,ROW()+1,MATCH("번지",'04A_국토부원자료'!$A$4:$T$4,0)),""))</f>
        <v/>
      </c>
      <c r="D2394" s="48">
        <f>IF(B2394="","",IF(Q2394=1,'02_대상물건입력'!$B$8,IFERROR(INDEX('04A_국토부원자료'!$A:$T,ROW()+1,MATCH("단지명",'04A_국토부원자료'!$A$4:$T$4,0)),"")))</f>
        <v/>
      </c>
      <c r="E2394" s="172">
        <f>IFERROR(VALUE(SUBSTITUTE(INDEX('04A_국토부원자료'!$A:$T,ROW()+1,MATCH("전용면적(㎡)",'04A_국토부원자료'!$A$4:$T$4,0)),",","")),"")</f>
        <v/>
      </c>
      <c r="F23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94" s="51">
        <f>IFERROR(VALUE(SUBSTITUTE(INDEX('04A_국토부원자료'!$A:$T,ROW()+1,MATCH("거래금액(만원)",'04A_국토부원자료'!$A$4:$T$4,0)),",","")),"")</f>
        <v/>
      </c>
      <c r="H2394" s="174">
        <f>IF(G2394="","",G2394*10000)</f>
        <v/>
      </c>
      <c r="I2394" s="174">
        <f>IFERROR(IF(AND(H2394&gt;0,E2394&gt;0),H2394/E2394,""),"")</f>
        <v/>
      </c>
      <c r="J2394" s="152">
        <f>IFERROR(VALUE(SUBSTITUTE(INDEX('04A_국토부원자료'!$A:$T,ROW()+1,MATCH("층",'04A_국토부원자료'!$A$4:$T$4,0)),",","")),"")</f>
        <v/>
      </c>
      <c r="K2394" s="152">
        <f>IFERROR(VALUE(SUBSTITUTE(INDEX('04A_국토부원자료'!$A:$T,ROW()+1,MATCH("건축년도",'04A_국토부원자료'!$A$4:$T$4,0)),",","")),"")</f>
        <v/>
      </c>
      <c r="L2394" s="48">
        <f>IFERROR(INDEX('04A_국토부원자료'!$A:$T,ROW()+1,MATCH("도로명",'04A_국토부원자료'!$A$4:$T$4,0)),"")</f>
        <v/>
      </c>
      <c r="M2394" s="48">
        <f>IFERROR(INDEX('04A_국토부원자료'!$A:$T,ROW()+1,MATCH("거래유형",'04A_국토부원자료'!$A$4:$T$4,0)),"")</f>
        <v/>
      </c>
      <c r="N2394" s="152">
        <f>IF(B2394="","",IF('02_대상물건입력'!B5="",1,IF(ISNUMBER(SEARCH('02_대상물건입력'!B5,B2394)),1,0)))</f>
        <v/>
      </c>
      <c r="O2394" s="152">
        <f>IF(B2394="","",IF('02_대상물건입력'!B6="",1,IF(ISNUMBER(SEARCH('02_대상물건입력'!B6,B2394)),1,0)))</f>
        <v/>
      </c>
      <c r="P2394" s="152">
        <f>IF(L2394="","",IF('02_대상물건입력'!B15="",0,IF(ISNUMBER(SEARCH('02_대상물건입력'!B15,L2394)),1,0)))</f>
        <v/>
      </c>
      <c r="Q2394" s="152">
        <f>IF(OR(C2394="",L2394=""),0,IF(AND(TRIM(C2394)=TRIM(RIGHT(SUBSTITUTE(TRIM('02_대상물건입력'!$B$7)," ",REPT(" ",99)),99)),IF('02_대상물건입력'!B15="",TRUE(),ISNUMBER(SEARCH('02_대상물건입력'!B15,L2394)))),1,0))</f>
        <v/>
      </c>
      <c r="R2394" s="175">
        <f>IFERROR(ABS(E2394-'02_대상물건입력'!B11)/'02_대상물건입력'!B11,"")</f>
        <v/>
      </c>
      <c r="S2394" s="152">
        <f>IFERROR(ABS(J2394-'02_대상물건입력'!B10),"")</f>
        <v/>
      </c>
      <c r="T2394" s="152">
        <f>IFERROR(ABS('01_설정'!B4-F2394),"")</f>
        <v/>
      </c>
      <c r="U2394" s="152">
        <f>IFERROR(ABS(K2394-YEAR('02_대상물건입력'!B14)),"")</f>
        <v/>
      </c>
      <c r="V2394" s="152">
        <f>IF(B2394="","",IF(AND(E2394&gt;0,F2394&gt;0,H2394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2394=1,TRUE()),R2394&lt;='01_설정'!B5,S2394&lt;='01_설정'!B6,T2394&lt;='01_설정'!B7,U2394&lt;='01_설정'!B8),"Y",""))</f>
        <v/>
      </c>
      <c r="W2394" s="172">
        <f>IF(V2394&lt;&gt;"Y","",MAX(0,(1-R2394/'01_설정'!B5))*'01_설정'!B14+MAX(0,(1-S2394/'01_설정'!B6))*'01_설정'!B15+MAX(0,(1-T2394/'01_설정'!B7))*'01_설정'!B16+MAX(0,(1-U2394/'01_설정'!B8))*'01_설정'!B17+O2394*'01_설정'!B11+Q2394*'01_설정'!B12+P2394*'01_설정'!B13+IF(Z2394="",0,Z2394))</f>
        <v/>
      </c>
      <c r="X2394" s="152">
        <f>IF(W2394="","",1+COUNTIFS($W$4:$W$3003,"&gt;"&amp;W2394)+COUNTIFS($W$4:W2394,W2394)-1)</f>
        <v/>
      </c>
      <c r="Y2394" s="175">
        <f>IF(OR(I2394="",'02_대상물건입력'!B19="",'02_대상물건입력'!B19&lt;=0),"",ABS(I2394-'02_대상물건입력'!B19)/'02_대상물건입력'!B19)</f>
        <v/>
      </c>
      <c r="Z2394" s="172">
        <f>IF(OR(Y2394="",'01_설정'!B31="",'01_설정'!B31&lt;=0,'01_설정'!B32="",'01_설정'!B32&lt;=0),"",MAX(0,(1-Y2394/'01_설정'!B32))*'01_설정'!B31)</f>
        <v/>
      </c>
    </row>
    <row r="2395" ht="17.25" customHeight="1">
      <c r="A2395" s="152">
        <f>IF(INDEX('04A_국토부원자료'!$A:$A,ROW()+1)="","",ROW()-3)</f>
        <v/>
      </c>
      <c r="B2395" s="48">
        <f>IFERROR(INDEX('04A_국토부원자료'!$A:$T,ROW()+1,MATCH("시군구",'04A_국토부원자료'!$A$4:$T$4,0)),"")</f>
        <v/>
      </c>
      <c r="C2395" s="48">
        <f>IF(B2395="","",IFERROR(INDEX('04A_국토부원자료'!$A:$T,ROW()+1,MATCH("번지",'04A_국토부원자료'!$A$4:$T$4,0)),""))</f>
        <v/>
      </c>
      <c r="D2395" s="48">
        <f>IF(B2395="","",IF(Q2395=1,'02_대상물건입력'!$B$8,IFERROR(INDEX('04A_국토부원자료'!$A:$T,ROW()+1,MATCH("단지명",'04A_국토부원자료'!$A$4:$T$4,0)),"")))</f>
        <v/>
      </c>
      <c r="E2395" s="172">
        <f>IFERROR(VALUE(SUBSTITUTE(INDEX('04A_국토부원자료'!$A:$T,ROW()+1,MATCH("전용면적(㎡)",'04A_국토부원자료'!$A$4:$T$4,0)),",","")),"")</f>
        <v/>
      </c>
      <c r="F23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95" s="51">
        <f>IFERROR(VALUE(SUBSTITUTE(INDEX('04A_국토부원자료'!$A:$T,ROW()+1,MATCH("거래금액(만원)",'04A_국토부원자료'!$A$4:$T$4,0)),",","")),"")</f>
        <v/>
      </c>
      <c r="H2395" s="174">
        <f>IF(G2395="","",G2395*10000)</f>
        <v/>
      </c>
      <c r="I2395" s="174">
        <f>IFERROR(IF(AND(H2395&gt;0,E2395&gt;0),H2395/E2395,""),"")</f>
        <v/>
      </c>
      <c r="J2395" s="152">
        <f>IFERROR(VALUE(SUBSTITUTE(INDEX('04A_국토부원자료'!$A:$T,ROW()+1,MATCH("층",'04A_국토부원자료'!$A$4:$T$4,0)),",","")),"")</f>
        <v/>
      </c>
      <c r="K2395" s="152">
        <f>IFERROR(VALUE(SUBSTITUTE(INDEX('04A_국토부원자료'!$A:$T,ROW()+1,MATCH("건축년도",'04A_국토부원자료'!$A$4:$T$4,0)),",","")),"")</f>
        <v/>
      </c>
      <c r="L2395" s="48">
        <f>IFERROR(INDEX('04A_국토부원자료'!$A:$T,ROW()+1,MATCH("도로명",'04A_국토부원자료'!$A$4:$T$4,0)),"")</f>
        <v/>
      </c>
      <c r="M2395" s="48">
        <f>IFERROR(INDEX('04A_국토부원자료'!$A:$T,ROW()+1,MATCH("거래유형",'04A_국토부원자료'!$A$4:$T$4,0)),"")</f>
        <v/>
      </c>
      <c r="N2395" s="152">
        <f>IF(B2395="","",IF('02_대상물건입력'!B5="",1,IF(ISNUMBER(SEARCH('02_대상물건입력'!B5,B2395)),1,0)))</f>
        <v/>
      </c>
      <c r="O2395" s="152">
        <f>IF(B2395="","",IF('02_대상물건입력'!B6="",1,IF(ISNUMBER(SEARCH('02_대상물건입력'!B6,B2395)),1,0)))</f>
        <v/>
      </c>
      <c r="P2395" s="152">
        <f>IF(L2395="","",IF('02_대상물건입력'!B15="",0,IF(ISNUMBER(SEARCH('02_대상물건입력'!B15,L2395)),1,0)))</f>
        <v/>
      </c>
      <c r="Q2395" s="152">
        <f>IF(OR(C2395="",L2395=""),0,IF(AND(TRIM(C2395)=TRIM(RIGHT(SUBSTITUTE(TRIM('02_대상물건입력'!$B$7)," ",REPT(" ",99)),99)),IF('02_대상물건입력'!B15="",TRUE(),ISNUMBER(SEARCH('02_대상물건입력'!B15,L2395)))),1,0))</f>
        <v/>
      </c>
      <c r="R2395" s="175">
        <f>IFERROR(ABS(E2395-'02_대상물건입력'!B11)/'02_대상물건입력'!B11,"")</f>
        <v/>
      </c>
      <c r="S2395" s="152">
        <f>IFERROR(ABS(J2395-'02_대상물건입력'!B10),"")</f>
        <v/>
      </c>
      <c r="T2395" s="152">
        <f>IFERROR(ABS('01_설정'!B4-F2395),"")</f>
        <v/>
      </c>
      <c r="U2395" s="152">
        <f>IFERROR(ABS(K2395-YEAR('02_대상물건입력'!B14)),"")</f>
        <v/>
      </c>
      <c r="V2395" s="152">
        <f>IF(B2395="","",IF(AND(E2395&gt;0,F2395&gt;0,H2395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2395=1,TRUE()),R2395&lt;='01_설정'!B5,S2395&lt;='01_설정'!B6,T2395&lt;='01_설정'!B7,U2395&lt;='01_설정'!B8),"Y",""))</f>
        <v/>
      </c>
      <c r="W2395" s="172">
        <f>IF(V2395&lt;&gt;"Y","",MAX(0,(1-R2395/'01_설정'!B5))*'01_설정'!B14+MAX(0,(1-S2395/'01_설정'!B6))*'01_설정'!B15+MAX(0,(1-T2395/'01_설정'!B7))*'01_설정'!B16+MAX(0,(1-U2395/'01_설정'!B8))*'01_설정'!B17+O2395*'01_설정'!B11+Q2395*'01_설정'!B12+P2395*'01_설정'!B13+IF(Z2395="",0,Z2395))</f>
        <v/>
      </c>
      <c r="X2395" s="152">
        <f>IF(W2395="","",1+COUNTIFS($W$4:$W$3003,"&gt;"&amp;W2395)+COUNTIFS($W$4:W2395,W2395)-1)</f>
        <v/>
      </c>
      <c r="Y2395" s="175">
        <f>IF(OR(I2395="",'02_대상물건입력'!B19="",'02_대상물건입력'!B19&lt;=0),"",ABS(I2395-'02_대상물건입력'!B19)/'02_대상물건입력'!B19)</f>
        <v/>
      </c>
      <c r="Z2395" s="172">
        <f>IF(OR(Y2395="",'01_설정'!B31="",'01_설정'!B31&lt;=0,'01_설정'!B32="",'01_설정'!B32&lt;=0),"",MAX(0,(1-Y2395/'01_설정'!B32))*'01_설정'!B31)</f>
        <v/>
      </c>
    </row>
    <row r="2396" ht="17.25" customHeight="1">
      <c r="A2396" s="152">
        <f>IF(INDEX('04A_국토부원자료'!$A:$A,ROW()+1)="","",ROW()-3)</f>
        <v/>
      </c>
      <c r="B2396" s="48">
        <f>IFERROR(INDEX('04A_국토부원자료'!$A:$T,ROW()+1,MATCH("시군구",'04A_국토부원자료'!$A$4:$T$4,0)),"")</f>
        <v/>
      </c>
      <c r="C2396" s="48">
        <f>IF(B2396="","",IFERROR(INDEX('04A_국토부원자료'!$A:$T,ROW()+1,MATCH("번지",'04A_국토부원자료'!$A$4:$T$4,0)),""))</f>
        <v/>
      </c>
      <c r="D2396" s="48">
        <f>IF(B2396="","",IF(Q2396=1,'02_대상물건입력'!$B$8,IFERROR(INDEX('04A_국토부원자료'!$A:$T,ROW()+1,MATCH("단지명",'04A_국토부원자료'!$A$4:$T$4,0)),"")))</f>
        <v/>
      </c>
      <c r="E2396" s="172">
        <f>IFERROR(VALUE(SUBSTITUTE(INDEX('04A_국토부원자료'!$A:$T,ROW()+1,MATCH("전용면적(㎡)",'04A_국토부원자료'!$A$4:$T$4,0)),",","")),"")</f>
        <v/>
      </c>
      <c r="F23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96" s="51">
        <f>IFERROR(VALUE(SUBSTITUTE(INDEX('04A_국토부원자료'!$A:$T,ROW()+1,MATCH("거래금액(만원)",'04A_국토부원자료'!$A$4:$T$4,0)),",","")),"")</f>
        <v/>
      </c>
      <c r="H2396" s="174">
        <f>IF(G2396="","",G2396*10000)</f>
        <v/>
      </c>
      <c r="I2396" s="174">
        <f>IFERROR(IF(AND(H2396&gt;0,E2396&gt;0),H2396/E2396,""),"")</f>
        <v/>
      </c>
      <c r="J2396" s="152">
        <f>IFERROR(VALUE(SUBSTITUTE(INDEX('04A_국토부원자료'!$A:$T,ROW()+1,MATCH("층",'04A_국토부원자료'!$A$4:$T$4,0)),",","")),"")</f>
        <v/>
      </c>
      <c r="K2396" s="152">
        <f>IFERROR(VALUE(SUBSTITUTE(INDEX('04A_국토부원자료'!$A:$T,ROW()+1,MATCH("건축년도",'04A_국토부원자료'!$A$4:$T$4,0)),",","")),"")</f>
        <v/>
      </c>
      <c r="L2396" s="48">
        <f>IFERROR(INDEX('04A_국토부원자료'!$A:$T,ROW()+1,MATCH("도로명",'04A_국토부원자료'!$A$4:$T$4,0)),"")</f>
        <v/>
      </c>
      <c r="M2396" s="48">
        <f>IFERROR(INDEX('04A_국토부원자료'!$A:$T,ROW()+1,MATCH("거래유형",'04A_국토부원자료'!$A$4:$T$4,0)),"")</f>
        <v/>
      </c>
      <c r="N2396" s="152">
        <f>IF(B2396="","",IF('02_대상물건입력'!B5="",1,IF(ISNUMBER(SEARCH('02_대상물건입력'!B5,B2396)),1,0)))</f>
        <v/>
      </c>
      <c r="O2396" s="152">
        <f>IF(B2396="","",IF('02_대상물건입력'!B6="",1,IF(ISNUMBER(SEARCH('02_대상물건입력'!B6,B2396)),1,0)))</f>
        <v/>
      </c>
      <c r="P2396" s="152">
        <f>IF(L2396="","",IF('02_대상물건입력'!B15="",0,IF(ISNUMBER(SEARCH('02_대상물건입력'!B15,L2396)),1,0)))</f>
        <v/>
      </c>
      <c r="Q2396" s="152">
        <f>IF(OR(C2396="",L2396=""),0,IF(AND(TRIM(C2396)=TRIM(RIGHT(SUBSTITUTE(TRIM('02_대상물건입력'!$B$7)," ",REPT(" ",99)),99)),IF('02_대상물건입력'!B15="",TRUE(),ISNUMBER(SEARCH('02_대상물건입력'!B15,L2396)))),1,0))</f>
        <v/>
      </c>
      <c r="R2396" s="175">
        <f>IFERROR(ABS(E2396-'02_대상물건입력'!B11)/'02_대상물건입력'!B11,"")</f>
        <v/>
      </c>
      <c r="S2396" s="152">
        <f>IFERROR(ABS(J2396-'02_대상물건입력'!B10),"")</f>
        <v/>
      </c>
      <c r="T2396" s="152">
        <f>IFERROR(ABS('01_설정'!B4-F2396),"")</f>
        <v/>
      </c>
      <c r="U2396" s="152">
        <f>IFERROR(ABS(K2396-YEAR('02_대상물건입력'!B14)),"")</f>
        <v/>
      </c>
      <c r="V2396" s="152">
        <f>IF(B2396="","",IF(AND(E2396&gt;0,F2396&gt;0,H2396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2396=1,TRUE()),R2396&lt;='01_설정'!B5,S2396&lt;='01_설정'!B6,T2396&lt;='01_설정'!B7,U2396&lt;='01_설정'!B8),"Y",""))</f>
        <v/>
      </c>
      <c r="W2396" s="172">
        <f>IF(V2396&lt;&gt;"Y","",MAX(0,(1-R2396/'01_설정'!B5))*'01_설정'!B14+MAX(0,(1-S2396/'01_설정'!B6))*'01_설정'!B15+MAX(0,(1-T2396/'01_설정'!B7))*'01_설정'!B16+MAX(0,(1-U2396/'01_설정'!B8))*'01_설정'!B17+O2396*'01_설정'!B11+Q2396*'01_설정'!B12+P2396*'01_설정'!B13+IF(Z2396="",0,Z2396))</f>
        <v/>
      </c>
      <c r="X2396" s="152">
        <f>IF(W2396="","",1+COUNTIFS($W$4:$W$3003,"&gt;"&amp;W2396)+COUNTIFS($W$4:W2396,W2396)-1)</f>
        <v/>
      </c>
      <c r="Y2396" s="175">
        <f>IF(OR(I2396="",'02_대상물건입력'!B19="",'02_대상물건입력'!B19&lt;=0),"",ABS(I2396-'02_대상물건입력'!B19)/'02_대상물건입력'!B19)</f>
        <v/>
      </c>
      <c r="Z2396" s="172">
        <f>IF(OR(Y2396="",'01_설정'!B31="",'01_설정'!B31&lt;=0,'01_설정'!B32="",'01_설정'!B32&lt;=0),"",MAX(0,(1-Y2396/'01_설정'!B32))*'01_설정'!B31)</f>
        <v/>
      </c>
    </row>
    <row r="2397" ht="17.25" customHeight="1">
      <c r="A2397" s="152">
        <f>IF(INDEX('04A_국토부원자료'!$A:$A,ROW()+1)="","",ROW()-3)</f>
        <v/>
      </c>
      <c r="B2397" s="48">
        <f>IFERROR(INDEX('04A_국토부원자료'!$A:$T,ROW()+1,MATCH("시군구",'04A_국토부원자료'!$A$4:$T$4,0)),"")</f>
        <v/>
      </c>
      <c r="C2397" s="48">
        <f>IF(B2397="","",IFERROR(INDEX('04A_국토부원자료'!$A:$T,ROW()+1,MATCH("번지",'04A_국토부원자료'!$A$4:$T$4,0)),""))</f>
        <v/>
      </c>
      <c r="D2397" s="48">
        <f>IF(B2397="","",IF(Q2397=1,'02_대상물건입력'!$B$8,IFERROR(INDEX('04A_국토부원자료'!$A:$T,ROW()+1,MATCH("단지명",'04A_국토부원자료'!$A$4:$T$4,0)),"")))</f>
        <v/>
      </c>
      <c r="E2397" s="172">
        <f>IFERROR(VALUE(SUBSTITUTE(INDEX('04A_국토부원자료'!$A:$T,ROW()+1,MATCH("전용면적(㎡)",'04A_국토부원자료'!$A$4:$T$4,0)),",","")),"")</f>
        <v/>
      </c>
      <c r="F23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97" s="51">
        <f>IFERROR(VALUE(SUBSTITUTE(INDEX('04A_국토부원자료'!$A:$T,ROW()+1,MATCH("거래금액(만원)",'04A_국토부원자료'!$A$4:$T$4,0)),",","")),"")</f>
        <v/>
      </c>
      <c r="H2397" s="174">
        <f>IF(G2397="","",G2397*10000)</f>
        <v/>
      </c>
      <c r="I2397" s="174">
        <f>IFERROR(IF(AND(H2397&gt;0,E2397&gt;0),H2397/E2397,""),"")</f>
        <v/>
      </c>
      <c r="J2397" s="152">
        <f>IFERROR(VALUE(SUBSTITUTE(INDEX('04A_국토부원자료'!$A:$T,ROW()+1,MATCH("층",'04A_국토부원자료'!$A$4:$T$4,0)),",","")),"")</f>
        <v/>
      </c>
      <c r="K2397" s="152">
        <f>IFERROR(VALUE(SUBSTITUTE(INDEX('04A_국토부원자료'!$A:$T,ROW()+1,MATCH("건축년도",'04A_국토부원자료'!$A$4:$T$4,0)),",","")),"")</f>
        <v/>
      </c>
      <c r="L2397" s="48">
        <f>IFERROR(INDEX('04A_국토부원자료'!$A:$T,ROW()+1,MATCH("도로명",'04A_국토부원자료'!$A$4:$T$4,0)),"")</f>
        <v/>
      </c>
      <c r="M2397" s="48">
        <f>IFERROR(INDEX('04A_국토부원자료'!$A:$T,ROW()+1,MATCH("거래유형",'04A_국토부원자료'!$A$4:$T$4,0)),"")</f>
        <v/>
      </c>
      <c r="N2397" s="152">
        <f>IF(B2397="","",IF('02_대상물건입력'!B5="",1,IF(ISNUMBER(SEARCH('02_대상물건입력'!B5,B2397)),1,0)))</f>
        <v/>
      </c>
      <c r="O2397" s="152">
        <f>IF(B2397="","",IF('02_대상물건입력'!B6="",1,IF(ISNUMBER(SEARCH('02_대상물건입력'!B6,B2397)),1,0)))</f>
        <v/>
      </c>
      <c r="P2397" s="152">
        <f>IF(L2397="","",IF('02_대상물건입력'!B15="",0,IF(ISNUMBER(SEARCH('02_대상물건입력'!B15,L2397)),1,0)))</f>
        <v/>
      </c>
      <c r="Q2397" s="152">
        <f>IF(OR(C2397="",L2397=""),0,IF(AND(TRIM(C2397)=TRIM(RIGHT(SUBSTITUTE(TRIM('02_대상물건입력'!$B$7)," ",REPT(" ",99)),99)),IF('02_대상물건입력'!B15="",TRUE(),ISNUMBER(SEARCH('02_대상물건입력'!B15,L2397)))),1,0))</f>
        <v/>
      </c>
      <c r="R2397" s="175">
        <f>IFERROR(ABS(E2397-'02_대상물건입력'!B11)/'02_대상물건입력'!B11,"")</f>
        <v/>
      </c>
      <c r="S2397" s="152">
        <f>IFERROR(ABS(J2397-'02_대상물건입력'!B10),"")</f>
        <v/>
      </c>
      <c r="T2397" s="152">
        <f>IFERROR(ABS('01_설정'!B4-F2397),"")</f>
        <v/>
      </c>
      <c r="U2397" s="152">
        <f>IFERROR(ABS(K2397-YEAR('02_대상물건입력'!B14)),"")</f>
        <v/>
      </c>
      <c r="V2397" s="152">
        <f>IF(B2397="","",IF(AND(E2397&gt;0,F2397&gt;0,H2397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2397=1,TRUE()),R2397&lt;='01_설정'!B5,S2397&lt;='01_설정'!B6,T2397&lt;='01_설정'!B7,U2397&lt;='01_설정'!B8),"Y",""))</f>
        <v/>
      </c>
      <c r="W2397" s="172">
        <f>IF(V2397&lt;&gt;"Y","",MAX(0,(1-R2397/'01_설정'!B5))*'01_설정'!B14+MAX(0,(1-S2397/'01_설정'!B6))*'01_설정'!B15+MAX(0,(1-T2397/'01_설정'!B7))*'01_설정'!B16+MAX(0,(1-U2397/'01_설정'!B8))*'01_설정'!B17+O2397*'01_설정'!B11+Q2397*'01_설정'!B12+P2397*'01_설정'!B13+IF(Z2397="",0,Z2397))</f>
        <v/>
      </c>
      <c r="X2397" s="152">
        <f>IF(W2397="","",1+COUNTIFS($W$4:$W$3003,"&gt;"&amp;W2397)+COUNTIFS($W$4:W2397,W2397)-1)</f>
        <v/>
      </c>
      <c r="Y2397" s="175">
        <f>IF(OR(I2397="",'02_대상물건입력'!B19="",'02_대상물건입력'!B19&lt;=0),"",ABS(I2397-'02_대상물건입력'!B19)/'02_대상물건입력'!B19)</f>
        <v/>
      </c>
      <c r="Z2397" s="172">
        <f>IF(OR(Y2397="",'01_설정'!B31="",'01_설정'!B31&lt;=0,'01_설정'!B32="",'01_설정'!B32&lt;=0),"",MAX(0,(1-Y2397/'01_설정'!B32))*'01_설정'!B31)</f>
        <v/>
      </c>
    </row>
    <row r="2398" ht="17.25" customHeight="1">
      <c r="A2398" s="152">
        <f>IF(INDEX('04A_국토부원자료'!$A:$A,ROW()+1)="","",ROW()-3)</f>
        <v/>
      </c>
      <c r="B2398" s="48">
        <f>IFERROR(INDEX('04A_국토부원자료'!$A:$T,ROW()+1,MATCH("시군구",'04A_국토부원자료'!$A$4:$T$4,0)),"")</f>
        <v/>
      </c>
      <c r="C2398" s="48">
        <f>IF(B2398="","",IFERROR(INDEX('04A_국토부원자료'!$A:$T,ROW()+1,MATCH("번지",'04A_국토부원자료'!$A$4:$T$4,0)),""))</f>
        <v/>
      </c>
      <c r="D2398" s="48">
        <f>IF(B2398="","",IF(Q2398=1,'02_대상물건입력'!$B$8,IFERROR(INDEX('04A_국토부원자료'!$A:$T,ROW()+1,MATCH("단지명",'04A_국토부원자료'!$A$4:$T$4,0)),"")))</f>
        <v/>
      </c>
      <c r="E2398" s="172">
        <f>IFERROR(VALUE(SUBSTITUTE(INDEX('04A_국토부원자료'!$A:$T,ROW()+1,MATCH("전용면적(㎡)",'04A_국토부원자료'!$A$4:$T$4,0)),",","")),"")</f>
        <v/>
      </c>
      <c r="F23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98" s="51">
        <f>IFERROR(VALUE(SUBSTITUTE(INDEX('04A_국토부원자료'!$A:$T,ROW()+1,MATCH("거래금액(만원)",'04A_국토부원자료'!$A$4:$T$4,0)),",","")),"")</f>
        <v/>
      </c>
      <c r="H2398" s="174">
        <f>IF(G2398="","",G2398*10000)</f>
        <v/>
      </c>
      <c r="I2398" s="174">
        <f>IFERROR(IF(AND(H2398&gt;0,E2398&gt;0),H2398/E2398,""),"")</f>
        <v/>
      </c>
      <c r="J2398" s="152">
        <f>IFERROR(VALUE(SUBSTITUTE(INDEX('04A_국토부원자료'!$A:$T,ROW()+1,MATCH("층",'04A_국토부원자료'!$A$4:$T$4,0)),",","")),"")</f>
        <v/>
      </c>
      <c r="K2398" s="152">
        <f>IFERROR(VALUE(SUBSTITUTE(INDEX('04A_국토부원자료'!$A:$T,ROW()+1,MATCH("건축년도",'04A_국토부원자료'!$A$4:$T$4,0)),",","")),"")</f>
        <v/>
      </c>
      <c r="L2398" s="48">
        <f>IFERROR(INDEX('04A_국토부원자료'!$A:$T,ROW()+1,MATCH("도로명",'04A_국토부원자료'!$A$4:$T$4,0)),"")</f>
        <v/>
      </c>
      <c r="M2398" s="48">
        <f>IFERROR(INDEX('04A_국토부원자료'!$A:$T,ROW()+1,MATCH("거래유형",'04A_국토부원자료'!$A$4:$T$4,0)),"")</f>
        <v/>
      </c>
      <c r="N2398" s="152">
        <f>IF(B2398="","",IF('02_대상물건입력'!B5="",1,IF(ISNUMBER(SEARCH('02_대상물건입력'!B5,B2398)),1,0)))</f>
        <v/>
      </c>
      <c r="O2398" s="152">
        <f>IF(B2398="","",IF('02_대상물건입력'!B6="",1,IF(ISNUMBER(SEARCH('02_대상물건입력'!B6,B2398)),1,0)))</f>
        <v/>
      </c>
      <c r="P2398" s="152">
        <f>IF(L2398="","",IF('02_대상물건입력'!B15="",0,IF(ISNUMBER(SEARCH('02_대상물건입력'!B15,L2398)),1,0)))</f>
        <v/>
      </c>
      <c r="Q2398" s="152">
        <f>IF(OR(C2398="",L2398=""),0,IF(AND(TRIM(C2398)=TRIM(RIGHT(SUBSTITUTE(TRIM('02_대상물건입력'!$B$7)," ",REPT(" ",99)),99)),IF('02_대상물건입력'!B15="",TRUE(),ISNUMBER(SEARCH('02_대상물건입력'!B15,L2398)))),1,0))</f>
        <v/>
      </c>
      <c r="R2398" s="175">
        <f>IFERROR(ABS(E2398-'02_대상물건입력'!B11)/'02_대상물건입력'!B11,"")</f>
        <v/>
      </c>
      <c r="S2398" s="152">
        <f>IFERROR(ABS(J2398-'02_대상물건입력'!B10),"")</f>
        <v/>
      </c>
      <c r="T2398" s="152">
        <f>IFERROR(ABS('01_설정'!B4-F2398),"")</f>
        <v/>
      </c>
      <c r="U2398" s="152">
        <f>IFERROR(ABS(K2398-YEAR('02_대상물건입력'!B14)),"")</f>
        <v/>
      </c>
      <c r="V2398" s="152">
        <f>IF(B2398="","",IF(AND(E2398&gt;0,F2398&gt;0,H2398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2398=1,TRUE()),R2398&lt;='01_설정'!B5,S2398&lt;='01_설정'!B6,T2398&lt;='01_설정'!B7,U2398&lt;='01_설정'!B8),"Y",""))</f>
        <v/>
      </c>
      <c r="W2398" s="172">
        <f>IF(V2398&lt;&gt;"Y","",MAX(0,(1-R2398/'01_설정'!B5))*'01_설정'!B14+MAX(0,(1-S2398/'01_설정'!B6))*'01_설정'!B15+MAX(0,(1-T2398/'01_설정'!B7))*'01_설정'!B16+MAX(0,(1-U2398/'01_설정'!B8))*'01_설정'!B17+O2398*'01_설정'!B11+Q2398*'01_설정'!B12+P2398*'01_설정'!B13+IF(Z2398="",0,Z2398))</f>
        <v/>
      </c>
      <c r="X2398" s="152">
        <f>IF(W2398="","",1+COUNTIFS($W$4:$W$3003,"&gt;"&amp;W2398)+COUNTIFS($W$4:W2398,W2398)-1)</f>
        <v/>
      </c>
      <c r="Y2398" s="175">
        <f>IF(OR(I2398="",'02_대상물건입력'!B19="",'02_대상물건입력'!B19&lt;=0),"",ABS(I2398-'02_대상물건입력'!B19)/'02_대상물건입력'!B19)</f>
        <v/>
      </c>
      <c r="Z2398" s="172">
        <f>IF(OR(Y2398="",'01_설정'!B31="",'01_설정'!B31&lt;=0,'01_설정'!B32="",'01_설정'!B32&lt;=0),"",MAX(0,(1-Y2398/'01_설정'!B32))*'01_설정'!B31)</f>
        <v/>
      </c>
    </row>
    <row r="2399" ht="17.25" customHeight="1">
      <c r="A2399" s="152">
        <f>IF(INDEX('04A_국토부원자료'!$A:$A,ROW()+1)="","",ROW()-3)</f>
        <v/>
      </c>
      <c r="B2399" s="48">
        <f>IFERROR(INDEX('04A_국토부원자료'!$A:$T,ROW()+1,MATCH("시군구",'04A_국토부원자료'!$A$4:$T$4,0)),"")</f>
        <v/>
      </c>
      <c r="C2399" s="48">
        <f>IF(B2399="","",IFERROR(INDEX('04A_국토부원자료'!$A:$T,ROW()+1,MATCH("번지",'04A_국토부원자료'!$A$4:$T$4,0)),""))</f>
        <v/>
      </c>
      <c r="D2399" s="48">
        <f>IF(B2399="","",IF(Q2399=1,'02_대상물건입력'!$B$8,IFERROR(INDEX('04A_국토부원자료'!$A:$T,ROW()+1,MATCH("단지명",'04A_국토부원자료'!$A$4:$T$4,0)),"")))</f>
        <v/>
      </c>
      <c r="E2399" s="172">
        <f>IFERROR(VALUE(SUBSTITUTE(INDEX('04A_국토부원자료'!$A:$T,ROW()+1,MATCH("전용면적(㎡)",'04A_국토부원자료'!$A$4:$T$4,0)),",","")),"")</f>
        <v/>
      </c>
      <c r="F23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399" s="51">
        <f>IFERROR(VALUE(SUBSTITUTE(INDEX('04A_국토부원자료'!$A:$T,ROW()+1,MATCH("거래금액(만원)",'04A_국토부원자료'!$A$4:$T$4,0)),",","")),"")</f>
        <v/>
      </c>
      <c r="H2399" s="174">
        <f>IF(G2399="","",G2399*10000)</f>
        <v/>
      </c>
      <c r="I2399" s="174">
        <f>IFERROR(IF(AND(H2399&gt;0,E2399&gt;0),H2399/E2399,""),"")</f>
        <v/>
      </c>
      <c r="J2399" s="152">
        <f>IFERROR(VALUE(SUBSTITUTE(INDEX('04A_국토부원자료'!$A:$T,ROW()+1,MATCH("층",'04A_국토부원자료'!$A$4:$T$4,0)),",","")),"")</f>
        <v/>
      </c>
      <c r="K2399" s="152">
        <f>IFERROR(VALUE(SUBSTITUTE(INDEX('04A_국토부원자료'!$A:$T,ROW()+1,MATCH("건축년도",'04A_국토부원자료'!$A$4:$T$4,0)),",","")),"")</f>
        <v/>
      </c>
      <c r="L2399" s="48">
        <f>IFERROR(INDEX('04A_국토부원자료'!$A:$T,ROW()+1,MATCH("도로명",'04A_국토부원자료'!$A$4:$T$4,0)),"")</f>
        <v/>
      </c>
      <c r="M2399" s="48">
        <f>IFERROR(INDEX('04A_국토부원자료'!$A:$T,ROW()+1,MATCH("거래유형",'04A_국토부원자료'!$A$4:$T$4,0)),"")</f>
        <v/>
      </c>
      <c r="N2399" s="152">
        <f>IF(B2399="","",IF('02_대상물건입력'!B5="",1,IF(ISNUMBER(SEARCH('02_대상물건입력'!B5,B2399)),1,0)))</f>
        <v/>
      </c>
      <c r="O2399" s="152">
        <f>IF(B2399="","",IF('02_대상물건입력'!B6="",1,IF(ISNUMBER(SEARCH('02_대상물건입력'!B6,B2399)),1,0)))</f>
        <v/>
      </c>
      <c r="P2399" s="152">
        <f>IF(L2399="","",IF('02_대상물건입력'!B15="",0,IF(ISNUMBER(SEARCH('02_대상물건입력'!B15,L2399)),1,0)))</f>
        <v/>
      </c>
      <c r="Q2399" s="152">
        <f>IF(OR(C2399="",L2399=""),0,IF(AND(TRIM(C2399)=TRIM(RIGHT(SUBSTITUTE(TRIM('02_대상물건입력'!$B$7)," ",REPT(" ",99)),99)),IF('02_대상물건입력'!B15="",TRUE(),ISNUMBER(SEARCH('02_대상물건입력'!B15,L2399)))),1,0))</f>
        <v/>
      </c>
      <c r="R2399" s="175">
        <f>IFERROR(ABS(E2399-'02_대상물건입력'!B11)/'02_대상물건입력'!B11,"")</f>
        <v/>
      </c>
      <c r="S2399" s="152">
        <f>IFERROR(ABS(J2399-'02_대상물건입력'!B10),"")</f>
        <v/>
      </c>
      <c r="T2399" s="152">
        <f>IFERROR(ABS('01_설정'!B4-F2399),"")</f>
        <v/>
      </c>
      <c r="U2399" s="152">
        <f>IFERROR(ABS(K2399-YEAR('02_대상물건입력'!B14)),"")</f>
        <v/>
      </c>
      <c r="V2399" s="152">
        <f>IF(B2399="","",IF(AND(E2399&gt;0,F2399&gt;0,H2399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2399=1,TRUE()),R2399&lt;='01_설정'!B5,S2399&lt;='01_설정'!B6,T2399&lt;='01_설정'!B7,U2399&lt;='01_설정'!B8),"Y",""))</f>
        <v/>
      </c>
      <c r="W2399" s="172">
        <f>IF(V2399&lt;&gt;"Y","",MAX(0,(1-R2399/'01_설정'!B5))*'01_설정'!B14+MAX(0,(1-S2399/'01_설정'!B6))*'01_설정'!B15+MAX(0,(1-T2399/'01_설정'!B7))*'01_설정'!B16+MAX(0,(1-U2399/'01_설정'!B8))*'01_설정'!B17+O2399*'01_설정'!B11+Q2399*'01_설정'!B12+P2399*'01_설정'!B13+IF(Z2399="",0,Z2399))</f>
        <v/>
      </c>
      <c r="X2399" s="152">
        <f>IF(W2399="","",1+COUNTIFS($W$4:$W$3003,"&gt;"&amp;W2399)+COUNTIFS($W$4:W2399,W2399)-1)</f>
        <v/>
      </c>
      <c r="Y2399" s="175">
        <f>IF(OR(I2399="",'02_대상물건입력'!B19="",'02_대상물건입력'!B19&lt;=0),"",ABS(I2399-'02_대상물건입력'!B19)/'02_대상물건입력'!B19)</f>
        <v/>
      </c>
      <c r="Z2399" s="172">
        <f>IF(OR(Y2399="",'01_설정'!B31="",'01_설정'!B31&lt;=0,'01_설정'!B32="",'01_설정'!B32&lt;=0),"",MAX(0,(1-Y2399/'01_설정'!B32))*'01_설정'!B31)</f>
        <v/>
      </c>
    </row>
    <row r="2400" ht="17.25" customHeight="1">
      <c r="A2400" s="152">
        <f>IF(INDEX('04A_국토부원자료'!$A:$A,ROW()+1)="","",ROW()-3)</f>
        <v/>
      </c>
      <c r="B2400" s="48">
        <f>IFERROR(INDEX('04A_국토부원자료'!$A:$T,ROW()+1,MATCH("시군구",'04A_국토부원자료'!$A$4:$T$4,0)),"")</f>
        <v/>
      </c>
      <c r="C2400" s="48">
        <f>IF(B2400="","",IFERROR(INDEX('04A_국토부원자료'!$A:$T,ROW()+1,MATCH("번지",'04A_국토부원자료'!$A$4:$T$4,0)),""))</f>
        <v/>
      </c>
      <c r="D2400" s="48">
        <f>IF(B2400="","",IF(Q2400=1,'02_대상물건입력'!$B$8,IFERROR(INDEX('04A_국토부원자료'!$A:$T,ROW()+1,MATCH("단지명",'04A_국토부원자료'!$A$4:$T$4,0)),"")))</f>
        <v/>
      </c>
      <c r="E2400" s="172">
        <f>IFERROR(VALUE(SUBSTITUTE(INDEX('04A_국토부원자료'!$A:$T,ROW()+1,MATCH("전용면적(㎡)",'04A_국토부원자료'!$A$4:$T$4,0)),",","")),"")</f>
        <v/>
      </c>
      <c r="F24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00" s="51">
        <f>IFERROR(VALUE(SUBSTITUTE(INDEX('04A_국토부원자료'!$A:$T,ROW()+1,MATCH("거래금액(만원)",'04A_국토부원자료'!$A$4:$T$4,0)),",","")),"")</f>
        <v/>
      </c>
      <c r="H2400" s="174">
        <f>IF(G2400="","",G2400*10000)</f>
        <v/>
      </c>
      <c r="I2400" s="174">
        <f>IFERROR(IF(AND(H2400&gt;0,E2400&gt;0),H2400/E2400,""),"")</f>
        <v/>
      </c>
      <c r="J2400" s="152">
        <f>IFERROR(VALUE(SUBSTITUTE(INDEX('04A_국토부원자료'!$A:$T,ROW()+1,MATCH("층",'04A_국토부원자료'!$A$4:$T$4,0)),",","")),"")</f>
        <v/>
      </c>
      <c r="K2400" s="152">
        <f>IFERROR(VALUE(SUBSTITUTE(INDEX('04A_국토부원자료'!$A:$T,ROW()+1,MATCH("건축년도",'04A_국토부원자료'!$A$4:$T$4,0)),",","")),"")</f>
        <v/>
      </c>
      <c r="L2400" s="48">
        <f>IFERROR(INDEX('04A_국토부원자료'!$A:$T,ROW()+1,MATCH("도로명",'04A_국토부원자료'!$A$4:$T$4,0)),"")</f>
        <v/>
      </c>
      <c r="M2400" s="48">
        <f>IFERROR(INDEX('04A_국토부원자료'!$A:$T,ROW()+1,MATCH("거래유형",'04A_국토부원자료'!$A$4:$T$4,0)),"")</f>
        <v/>
      </c>
      <c r="N2400" s="152">
        <f>IF(B2400="","",IF('02_대상물건입력'!B5="",1,IF(ISNUMBER(SEARCH('02_대상물건입력'!B5,B2400)),1,0)))</f>
        <v/>
      </c>
      <c r="O2400" s="152">
        <f>IF(B2400="","",IF('02_대상물건입력'!B6="",1,IF(ISNUMBER(SEARCH('02_대상물건입력'!B6,B2400)),1,0)))</f>
        <v/>
      </c>
      <c r="P2400" s="152">
        <f>IF(L2400="","",IF('02_대상물건입력'!B15="",0,IF(ISNUMBER(SEARCH('02_대상물건입력'!B15,L2400)),1,0)))</f>
        <v/>
      </c>
      <c r="Q2400" s="152">
        <f>IF(OR(C2400="",L2400=""),0,IF(AND(TRIM(C2400)=TRIM(RIGHT(SUBSTITUTE(TRIM('02_대상물건입력'!$B$7)," ",REPT(" ",99)),99)),IF('02_대상물건입력'!B15="",TRUE(),ISNUMBER(SEARCH('02_대상물건입력'!B15,L2400)))),1,0))</f>
        <v/>
      </c>
      <c r="R2400" s="175">
        <f>IFERROR(ABS(E2400-'02_대상물건입력'!B11)/'02_대상물건입력'!B11,"")</f>
        <v/>
      </c>
      <c r="S2400" s="152">
        <f>IFERROR(ABS(J2400-'02_대상물건입력'!B10),"")</f>
        <v/>
      </c>
      <c r="T2400" s="152">
        <f>IFERROR(ABS('01_설정'!B4-F2400),"")</f>
        <v/>
      </c>
      <c r="U2400" s="152">
        <f>IFERROR(ABS(K2400-YEAR('02_대상물건입력'!B14)),"")</f>
        <v/>
      </c>
      <c r="V2400" s="152">
        <f>IF(B2400="","",IF(AND(E2400&gt;0,F2400&gt;0,H2400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2400=1,TRUE()),R2400&lt;='01_설정'!B5,S2400&lt;='01_설정'!B6,T2400&lt;='01_설정'!B7,U2400&lt;='01_설정'!B8),"Y",""))</f>
        <v/>
      </c>
      <c r="W2400" s="172">
        <f>IF(V2400&lt;&gt;"Y","",MAX(0,(1-R2400/'01_설정'!B5))*'01_설정'!B14+MAX(0,(1-S2400/'01_설정'!B6))*'01_설정'!B15+MAX(0,(1-T2400/'01_설정'!B7))*'01_설정'!B16+MAX(0,(1-U2400/'01_설정'!B8))*'01_설정'!B17+O2400*'01_설정'!B11+Q2400*'01_설정'!B12+P2400*'01_설정'!B13+IF(Z2400="",0,Z2400))</f>
        <v/>
      </c>
      <c r="X2400" s="152">
        <f>IF(W2400="","",1+COUNTIFS($W$4:$W$3003,"&gt;"&amp;W2400)+COUNTIFS($W$4:W2400,W2400)-1)</f>
        <v/>
      </c>
      <c r="Y2400" s="175">
        <f>IF(OR(I2400="",'02_대상물건입력'!B19="",'02_대상물건입력'!B19&lt;=0),"",ABS(I2400-'02_대상물건입력'!B19)/'02_대상물건입력'!B19)</f>
        <v/>
      </c>
      <c r="Z2400" s="172">
        <f>IF(OR(Y2400="",'01_설정'!B31="",'01_설정'!B31&lt;=0,'01_설정'!B32="",'01_설정'!B32&lt;=0),"",MAX(0,(1-Y2400/'01_설정'!B32))*'01_설정'!B31)</f>
        <v/>
      </c>
    </row>
    <row r="2401" ht="17.25" customHeight="1">
      <c r="A2401" s="152">
        <f>IF(INDEX('04A_국토부원자료'!$A:$A,ROW()+1)="","",ROW()-3)</f>
        <v/>
      </c>
      <c r="B2401" s="48">
        <f>IFERROR(INDEX('04A_국토부원자료'!$A:$T,ROW()+1,MATCH("시군구",'04A_국토부원자료'!$A$4:$T$4,0)),"")</f>
        <v/>
      </c>
      <c r="C2401" s="48">
        <f>IF(B2401="","",IFERROR(INDEX('04A_국토부원자료'!$A:$T,ROW()+1,MATCH("번지",'04A_국토부원자료'!$A$4:$T$4,0)),""))</f>
        <v/>
      </c>
      <c r="D2401" s="48">
        <f>IF(B2401="","",IF(Q2401=1,'02_대상물건입력'!$B$8,IFERROR(INDEX('04A_국토부원자료'!$A:$T,ROW()+1,MATCH("단지명",'04A_국토부원자료'!$A$4:$T$4,0)),"")))</f>
        <v/>
      </c>
      <c r="E2401" s="172">
        <f>IFERROR(VALUE(SUBSTITUTE(INDEX('04A_국토부원자료'!$A:$T,ROW()+1,MATCH("전용면적(㎡)",'04A_국토부원자료'!$A$4:$T$4,0)),",","")),"")</f>
        <v/>
      </c>
      <c r="F24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01" s="51">
        <f>IFERROR(VALUE(SUBSTITUTE(INDEX('04A_국토부원자료'!$A:$T,ROW()+1,MATCH("거래금액(만원)",'04A_국토부원자료'!$A$4:$T$4,0)),",","")),"")</f>
        <v/>
      </c>
      <c r="H2401" s="174">
        <f>IF(G2401="","",G2401*10000)</f>
        <v/>
      </c>
      <c r="I2401" s="174">
        <f>IFERROR(IF(AND(H2401&gt;0,E2401&gt;0),H2401/E2401,""),"")</f>
        <v/>
      </c>
      <c r="J2401" s="152">
        <f>IFERROR(VALUE(SUBSTITUTE(INDEX('04A_국토부원자료'!$A:$T,ROW()+1,MATCH("층",'04A_국토부원자료'!$A$4:$T$4,0)),",","")),"")</f>
        <v/>
      </c>
      <c r="K2401" s="152">
        <f>IFERROR(VALUE(SUBSTITUTE(INDEX('04A_국토부원자료'!$A:$T,ROW()+1,MATCH("건축년도",'04A_국토부원자료'!$A$4:$T$4,0)),",","")),"")</f>
        <v/>
      </c>
      <c r="L2401" s="48">
        <f>IFERROR(INDEX('04A_국토부원자료'!$A:$T,ROW()+1,MATCH("도로명",'04A_국토부원자료'!$A$4:$T$4,0)),"")</f>
        <v/>
      </c>
      <c r="M2401" s="48">
        <f>IFERROR(INDEX('04A_국토부원자료'!$A:$T,ROW()+1,MATCH("거래유형",'04A_국토부원자료'!$A$4:$T$4,0)),"")</f>
        <v/>
      </c>
      <c r="N2401" s="152">
        <f>IF(B2401="","",IF('02_대상물건입력'!B5="",1,IF(ISNUMBER(SEARCH('02_대상물건입력'!B5,B2401)),1,0)))</f>
        <v/>
      </c>
      <c r="O2401" s="152">
        <f>IF(B2401="","",IF('02_대상물건입력'!B6="",1,IF(ISNUMBER(SEARCH('02_대상물건입력'!B6,B2401)),1,0)))</f>
        <v/>
      </c>
      <c r="P2401" s="152">
        <f>IF(L2401="","",IF('02_대상물건입력'!B15="",0,IF(ISNUMBER(SEARCH('02_대상물건입력'!B15,L2401)),1,0)))</f>
        <v/>
      </c>
      <c r="Q2401" s="152">
        <f>IF(OR(C2401="",L2401=""),0,IF(AND(TRIM(C2401)=TRIM(RIGHT(SUBSTITUTE(TRIM('02_대상물건입력'!$B$7)," ",REPT(" ",99)),99)),IF('02_대상물건입력'!B15="",TRUE(),ISNUMBER(SEARCH('02_대상물건입력'!B15,L2401)))),1,0))</f>
        <v/>
      </c>
      <c r="R2401" s="175">
        <f>IFERROR(ABS(E2401-'02_대상물건입력'!B11)/'02_대상물건입력'!B11,"")</f>
        <v/>
      </c>
      <c r="S2401" s="152">
        <f>IFERROR(ABS(J2401-'02_대상물건입력'!B10),"")</f>
        <v/>
      </c>
      <c r="T2401" s="152">
        <f>IFERROR(ABS('01_설정'!B4-F2401),"")</f>
        <v/>
      </c>
      <c r="U2401" s="152">
        <f>IFERROR(ABS(K2401-YEAR('02_대상물건입력'!B14)),"")</f>
        <v/>
      </c>
      <c r="V2401" s="152">
        <f>IF(B2401="","",IF(AND(E2401&gt;0,F2401&gt;0,H2401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2401=1,TRUE()),R2401&lt;='01_설정'!B5,S2401&lt;='01_설정'!B6,T2401&lt;='01_설정'!B7,U2401&lt;='01_설정'!B8),"Y",""))</f>
        <v/>
      </c>
      <c r="W2401" s="172">
        <f>IF(V2401&lt;&gt;"Y","",MAX(0,(1-R2401/'01_설정'!B5))*'01_설정'!B14+MAX(0,(1-S2401/'01_설정'!B6))*'01_설정'!B15+MAX(0,(1-T2401/'01_설정'!B7))*'01_설정'!B16+MAX(0,(1-U2401/'01_설정'!B8))*'01_설정'!B17+O2401*'01_설정'!B11+Q2401*'01_설정'!B12+P2401*'01_설정'!B13+IF(Z2401="",0,Z2401))</f>
        <v/>
      </c>
      <c r="X2401" s="152">
        <f>IF(W2401="","",1+COUNTIFS($W$4:$W$3003,"&gt;"&amp;W2401)+COUNTIFS($W$4:W2401,W2401)-1)</f>
        <v/>
      </c>
      <c r="Y2401" s="175">
        <f>IF(OR(I2401="",'02_대상물건입력'!B19="",'02_대상물건입력'!B19&lt;=0),"",ABS(I2401-'02_대상물건입력'!B19)/'02_대상물건입력'!B19)</f>
        <v/>
      </c>
      <c r="Z2401" s="172">
        <f>IF(OR(Y2401="",'01_설정'!B31="",'01_설정'!B31&lt;=0,'01_설정'!B32="",'01_설정'!B32&lt;=0),"",MAX(0,(1-Y2401/'01_설정'!B32))*'01_설정'!B31)</f>
        <v/>
      </c>
    </row>
    <row r="2402" ht="17.25" customHeight="1">
      <c r="A2402" s="152">
        <f>IF(INDEX('04A_국토부원자료'!$A:$A,ROW()+1)="","",ROW()-3)</f>
        <v/>
      </c>
      <c r="B2402" s="48">
        <f>IFERROR(INDEX('04A_국토부원자료'!$A:$T,ROW()+1,MATCH("시군구",'04A_국토부원자료'!$A$4:$T$4,0)),"")</f>
        <v/>
      </c>
      <c r="C2402" s="48">
        <f>IF(B2402="","",IFERROR(INDEX('04A_국토부원자료'!$A:$T,ROW()+1,MATCH("번지",'04A_국토부원자료'!$A$4:$T$4,0)),""))</f>
        <v/>
      </c>
      <c r="D2402" s="48">
        <f>IF(B2402="","",IF(Q2402=1,'02_대상물건입력'!$B$8,IFERROR(INDEX('04A_국토부원자료'!$A:$T,ROW()+1,MATCH("단지명",'04A_국토부원자료'!$A$4:$T$4,0)),"")))</f>
        <v/>
      </c>
      <c r="E2402" s="172">
        <f>IFERROR(VALUE(SUBSTITUTE(INDEX('04A_국토부원자료'!$A:$T,ROW()+1,MATCH("전용면적(㎡)",'04A_국토부원자료'!$A$4:$T$4,0)),",","")),"")</f>
        <v/>
      </c>
      <c r="F24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02" s="51">
        <f>IFERROR(VALUE(SUBSTITUTE(INDEX('04A_국토부원자료'!$A:$T,ROW()+1,MATCH("거래금액(만원)",'04A_국토부원자료'!$A$4:$T$4,0)),",","")),"")</f>
        <v/>
      </c>
      <c r="H2402" s="174">
        <f>IF(G2402="","",G2402*10000)</f>
        <v/>
      </c>
      <c r="I2402" s="174">
        <f>IFERROR(IF(AND(H2402&gt;0,E2402&gt;0),H2402/E2402,""),"")</f>
        <v/>
      </c>
      <c r="J2402" s="152">
        <f>IFERROR(VALUE(SUBSTITUTE(INDEX('04A_국토부원자료'!$A:$T,ROW()+1,MATCH("층",'04A_국토부원자료'!$A$4:$T$4,0)),",","")),"")</f>
        <v/>
      </c>
      <c r="K2402" s="152">
        <f>IFERROR(VALUE(SUBSTITUTE(INDEX('04A_국토부원자료'!$A:$T,ROW()+1,MATCH("건축년도",'04A_국토부원자료'!$A$4:$T$4,0)),",","")),"")</f>
        <v/>
      </c>
      <c r="L2402" s="48">
        <f>IFERROR(INDEX('04A_국토부원자료'!$A:$T,ROW()+1,MATCH("도로명",'04A_국토부원자료'!$A$4:$T$4,0)),"")</f>
        <v/>
      </c>
      <c r="M2402" s="48">
        <f>IFERROR(INDEX('04A_국토부원자료'!$A:$T,ROW()+1,MATCH("거래유형",'04A_국토부원자료'!$A$4:$T$4,0)),"")</f>
        <v/>
      </c>
      <c r="N2402" s="152">
        <f>IF(B2402="","",IF('02_대상물건입력'!B5="",1,IF(ISNUMBER(SEARCH('02_대상물건입력'!B5,B2402)),1,0)))</f>
        <v/>
      </c>
      <c r="O2402" s="152">
        <f>IF(B2402="","",IF('02_대상물건입력'!B6="",1,IF(ISNUMBER(SEARCH('02_대상물건입력'!B6,B2402)),1,0)))</f>
        <v/>
      </c>
      <c r="P2402" s="152">
        <f>IF(L2402="","",IF('02_대상물건입력'!B15="",0,IF(ISNUMBER(SEARCH('02_대상물건입력'!B15,L2402)),1,0)))</f>
        <v/>
      </c>
      <c r="Q2402" s="152">
        <f>IF(OR(C2402="",L2402=""),0,IF(AND(TRIM(C2402)=TRIM(RIGHT(SUBSTITUTE(TRIM('02_대상물건입력'!$B$7)," ",REPT(" ",99)),99)),IF('02_대상물건입력'!B15="",TRUE(),ISNUMBER(SEARCH('02_대상물건입력'!B15,L2402)))),1,0))</f>
        <v/>
      </c>
      <c r="R2402" s="175">
        <f>IFERROR(ABS(E2402-'02_대상물건입력'!B11)/'02_대상물건입력'!B11,"")</f>
        <v/>
      </c>
      <c r="S2402" s="152">
        <f>IFERROR(ABS(J2402-'02_대상물건입력'!B10),"")</f>
        <v/>
      </c>
      <c r="T2402" s="152">
        <f>IFERROR(ABS('01_설정'!B4-F2402),"")</f>
        <v/>
      </c>
      <c r="U2402" s="152">
        <f>IFERROR(ABS(K2402-YEAR('02_대상물건입력'!B14)),"")</f>
        <v/>
      </c>
      <c r="V2402" s="152">
        <f>IF(B2402="","",IF(AND(E2402&gt;0,F2402&gt;0,H2402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2402=1,TRUE()),R2402&lt;='01_설정'!B5,S2402&lt;='01_설정'!B6,T2402&lt;='01_설정'!B7,U2402&lt;='01_설정'!B8),"Y",""))</f>
        <v/>
      </c>
      <c r="W2402" s="172">
        <f>IF(V2402&lt;&gt;"Y","",MAX(0,(1-R2402/'01_설정'!B5))*'01_설정'!B14+MAX(0,(1-S2402/'01_설정'!B6))*'01_설정'!B15+MAX(0,(1-T2402/'01_설정'!B7))*'01_설정'!B16+MAX(0,(1-U2402/'01_설정'!B8))*'01_설정'!B17+O2402*'01_설정'!B11+Q2402*'01_설정'!B12+P2402*'01_설정'!B13+IF(Z2402="",0,Z2402))</f>
        <v/>
      </c>
      <c r="X2402" s="152">
        <f>IF(W2402="","",1+COUNTIFS($W$4:$W$3003,"&gt;"&amp;W2402)+COUNTIFS($W$4:W2402,W2402)-1)</f>
        <v/>
      </c>
      <c r="Y2402" s="175">
        <f>IF(OR(I2402="",'02_대상물건입력'!B19="",'02_대상물건입력'!B19&lt;=0),"",ABS(I2402-'02_대상물건입력'!B19)/'02_대상물건입력'!B19)</f>
        <v/>
      </c>
      <c r="Z2402" s="172">
        <f>IF(OR(Y2402="",'01_설정'!B31="",'01_설정'!B31&lt;=0,'01_설정'!B32="",'01_설정'!B32&lt;=0),"",MAX(0,(1-Y2402/'01_설정'!B32))*'01_설정'!B31)</f>
        <v/>
      </c>
    </row>
    <row r="2403" ht="17.25" customHeight="1">
      <c r="A2403" s="152">
        <f>IF(INDEX('04A_국토부원자료'!$A:$A,ROW()+1)="","",ROW()-3)</f>
        <v/>
      </c>
      <c r="B2403" s="48">
        <f>IFERROR(INDEX('04A_국토부원자료'!$A:$T,ROW()+1,MATCH("시군구",'04A_국토부원자료'!$A$4:$T$4,0)),"")</f>
        <v/>
      </c>
      <c r="C2403" s="48">
        <f>IF(B2403="","",IFERROR(INDEX('04A_국토부원자료'!$A:$T,ROW()+1,MATCH("번지",'04A_국토부원자료'!$A$4:$T$4,0)),""))</f>
        <v/>
      </c>
      <c r="D2403" s="48">
        <f>IF(B2403="","",IF(Q2403=1,'02_대상물건입력'!$B$8,IFERROR(INDEX('04A_국토부원자료'!$A:$T,ROW()+1,MATCH("단지명",'04A_국토부원자료'!$A$4:$T$4,0)),"")))</f>
        <v/>
      </c>
      <c r="E2403" s="172">
        <f>IFERROR(VALUE(SUBSTITUTE(INDEX('04A_국토부원자료'!$A:$T,ROW()+1,MATCH("전용면적(㎡)",'04A_국토부원자료'!$A$4:$T$4,0)),",","")),"")</f>
        <v/>
      </c>
      <c r="F24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03" s="51">
        <f>IFERROR(VALUE(SUBSTITUTE(INDEX('04A_국토부원자료'!$A:$T,ROW()+1,MATCH("거래금액(만원)",'04A_국토부원자료'!$A$4:$T$4,0)),",","")),"")</f>
        <v/>
      </c>
      <c r="H2403" s="174">
        <f>IF(G2403="","",G2403*10000)</f>
        <v/>
      </c>
      <c r="I2403" s="174">
        <f>IFERROR(IF(AND(H2403&gt;0,E2403&gt;0),H2403/E2403,""),"")</f>
        <v/>
      </c>
      <c r="J2403" s="152">
        <f>IFERROR(VALUE(SUBSTITUTE(INDEX('04A_국토부원자료'!$A:$T,ROW()+1,MATCH("층",'04A_국토부원자료'!$A$4:$T$4,0)),",","")),"")</f>
        <v/>
      </c>
      <c r="K2403" s="152">
        <f>IFERROR(VALUE(SUBSTITUTE(INDEX('04A_국토부원자료'!$A:$T,ROW()+1,MATCH("건축년도",'04A_국토부원자료'!$A$4:$T$4,0)),",","")),"")</f>
        <v/>
      </c>
      <c r="L2403" s="48">
        <f>IFERROR(INDEX('04A_국토부원자료'!$A:$T,ROW()+1,MATCH("도로명",'04A_국토부원자료'!$A$4:$T$4,0)),"")</f>
        <v/>
      </c>
      <c r="M2403" s="48">
        <f>IFERROR(INDEX('04A_국토부원자료'!$A:$T,ROW()+1,MATCH("거래유형",'04A_국토부원자료'!$A$4:$T$4,0)),"")</f>
        <v/>
      </c>
      <c r="N2403" s="152">
        <f>IF(B2403="","",IF('02_대상물건입력'!B5="",1,IF(ISNUMBER(SEARCH('02_대상물건입력'!B5,B2403)),1,0)))</f>
        <v/>
      </c>
      <c r="O2403" s="152">
        <f>IF(B2403="","",IF('02_대상물건입력'!B6="",1,IF(ISNUMBER(SEARCH('02_대상물건입력'!B6,B2403)),1,0)))</f>
        <v/>
      </c>
      <c r="P2403" s="152">
        <f>IF(L2403="","",IF('02_대상물건입력'!B15="",0,IF(ISNUMBER(SEARCH('02_대상물건입력'!B15,L2403)),1,0)))</f>
        <v/>
      </c>
      <c r="Q2403" s="152">
        <f>IF(OR(C2403="",L2403=""),0,IF(AND(TRIM(C2403)=TRIM(RIGHT(SUBSTITUTE(TRIM('02_대상물건입력'!$B$7)," ",REPT(" ",99)),99)),IF('02_대상물건입력'!B15="",TRUE(),ISNUMBER(SEARCH('02_대상물건입력'!B15,L2403)))),1,0))</f>
        <v/>
      </c>
      <c r="R2403" s="175">
        <f>IFERROR(ABS(E2403-'02_대상물건입력'!B11)/'02_대상물건입력'!B11,"")</f>
        <v/>
      </c>
      <c r="S2403" s="152">
        <f>IFERROR(ABS(J2403-'02_대상물건입력'!B10),"")</f>
        <v/>
      </c>
      <c r="T2403" s="152">
        <f>IFERROR(ABS('01_설정'!B4-F2403),"")</f>
        <v/>
      </c>
      <c r="U2403" s="152">
        <f>IFERROR(ABS(K2403-YEAR('02_대상물건입력'!B14)),"")</f>
        <v/>
      </c>
      <c r="V2403" s="152">
        <f>IF(B2403="","",IF(AND(E2403&gt;0,F2403&gt;0,H2403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2403=1,TRUE()),R2403&lt;='01_설정'!B5,S2403&lt;='01_설정'!B6,T2403&lt;='01_설정'!B7,U2403&lt;='01_설정'!B8),"Y",""))</f>
        <v/>
      </c>
      <c r="W2403" s="172">
        <f>IF(V2403&lt;&gt;"Y","",MAX(0,(1-R2403/'01_설정'!B5))*'01_설정'!B14+MAX(0,(1-S2403/'01_설정'!B6))*'01_설정'!B15+MAX(0,(1-T2403/'01_설정'!B7))*'01_설정'!B16+MAX(0,(1-U2403/'01_설정'!B8))*'01_설정'!B17+O2403*'01_설정'!B11+Q2403*'01_설정'!B12+P2403*'01_설정'!B13+IF(Z2403="",0,Z2403))</f>
        <v/>
      </c>
      <c r="X2403" s="152">
        <f>IF(W2403="","",1+COUNTIFS($W$4:$W$3003,"&gt;"&amp;W2403)+COUNTIFS($W$4:W2403,W2403)-1)</f>
        <v/>
      </c>
      <c r="Y2403" s="175">
        <f>IF(OR(I2403="",'02_대상물건입력'!B19="",'02_대상물건입력'!B19&lt;=0),"",ABS(I2403-'02_대상물건입력'!B19)/'02_대상물건입력'!B19)</f>
        <v/>
      </c>
      <c r="Z2403" s="172">
        <f>IF(OR(Y2403="",'01_설정'!B31="",'01_설정'!B31&lt;=0,'01_설정'!B32="",'01_설정'!B32&lt;=0),"",MAX(0,(1-Y2403/'01_설정'!B32))*'01_설정'!B31)</f>
        <v/>
      </c>
    </row>
    <row r="2404" ht="17.25" customHeight="1">
      <c r="A2404" s="152">
        <f>IF(INDEX('04A_국토부원자료'!$A:$A,ROW()+1)="","",ROW()-3)</f>
        <v/>
      </c>
      <c r="B2404" s="48">
        <f>IFERROR(INDEX('04A_국토부원자료'!$A:$T,ROW()+1,MATCH("시군구",'04A_국토부원자료'!$A$4:$T$4,0)),"")</f>
        <v/>
      </c>
      <c r="C2404" s="48">
        <f>IF(B2404="","",IFERROR(INDEX('04A_국토부원자료'!$A:$T,ROW()+1,MATCH("번지",'04A_국토부원자료'!$A$4:$T$4,0)),""))</f>
        <v/>
      </c>
      <c r="D2404" s="48">
        <f>IF(B2404="","",IF(Q2404=1,'02_대상물건입력'!$B$8,IFERROR(INDEX('04A_국토부원자료'!$A:$T,ROW()+1,MATCH("단지명",'04A_국토부원자료'!$A$4:$T$4,0)),"")))</f>
        <v/>
      </c>
      <c r="E2404" s="172">
        <f>IFERROR(VALUE(SUBSTITUTE(INDEX('04A_국토부원자료'!$A:$T,ROW()+1,MATCH("전용면적(㎡)",'04A_국토부원자료'!$A$4:$T$4,0)),",","")),"")</f>
        <v/>
      </c>
      <c r="F24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04" s="51">
        <f>IFERROR(VALUE(SUBSTITUTE(INDEX('04A_국토부원자료'!$A:$T,ROW()+1,MATCH("거래금액(만원)",'04A_국토부원자료'!$A$4:$T$4,0)),",","")),"")</f>
        <v/>
      </c>
      <c r="H2404" s="174">
        <f>IF(G2404="","",G2404*10000)</f>
        <v/>
      </c>
      <c r="I2404" s="174">
        <f>IFERROR(IF(AND(H2404&gt;0,E2404&gt;0),H2404/E2404,""),"")</f>
        <v/>
      </c>
      <c r="J2404" s="152">
        <f>IFERROR(VALUE(SUBSTITUTE(INDEX('04A_국토부원자료'!$A:$T,ROW()+1,MATCH("층",'04A_국토부원자료'!$A$4:$T$4,0)),",","")),"")</f>
        <v/>
      </c>
      <c r="K2404" s="152">
        <f>IFERROR(VALUE(SUBSTITUTE(INDEX('04A_국토부원자료'!$A:$T,ROW()+1,MATCH("건축년도",'04A_국토부원자료'!$A$4:$T$4,0)),",","")),"")</f>
        <v/>
      </c>
      <c r="L2404" s="48">
        <f>IFERROR(INDEX('04A_국토부원자료'!$A:$T,ROW()+1,MATCH("도로명",'04A_국토부원자료'!$A$4:$T$4,0)),"")</f>
        <v/>
      </c>
      <c r="M2404" s="48">
        <f>IFERROR(INDEX('04A_국토부원자료'!$A:$T,ROW()+1,MATCH("거래유형",'04A_국토부원자료'!$A$4:$T$4,0)),"")</f>
        <v/>
      </c>
      <c r="N2404" s="152">
        <f>IF(B2404="","",IF('02_대상물건입력'!B5="",1,IF(ISNUMBER(SEARCH('02_대상물건입력'!B5,B2404)),1,0)))</f>
        <v/>
      </c>
      <c r="O2404" s="152">
        <f>IF(B2404="","",IF('02_대상물건입력'!B6="",1,IF(ISNUMBER(SEARCH('02_대상물건입력'!B6,B2404)),1,0)))</f>
        <v/>
      </c>
      <c r="P2404" s="152">
        <f>IF(L2404="","",IF('02_대상물건입력'!B15="",0,IF(ISNUMBER(SEARCH('02_대상물건입력'!B15,L2404)),1,0)))</f>
        <v/>
      </c>
      <c r="Q2404" s="152">
        <f>IF(OR(C2404="",L2404=""),0,IF(AND(TRIM(C2404)=TRIM(RIGHT(SUBSTITUTE(TRIM('02_대상물건입력'!$B$7)," ",REPT(" ",99)),99)),IF('02_대상물건입력'!B15="",TRUE(),ISNUMBER(SEARCH('02_대상물건입력'!B15,L2404)))),1,0))</f>
        <v/>
      </c>
      <c r="R2404" s="175">
        <f>IFERROR(ABS(E2404-'02_대상물건입력'!B11)/'02_대상물건입력'!B11,"")</f>
        <v/>
      </c>
      <c r="S2404" s="152">
        <f>IFERROR(ABS(J2404-'02_대상물건입력'!B10),"")</f>
        <v/>
      </c>
      <c r="T2404" s="152">
        <f>IFERROR(ABS('01_설정'!B4-F2404),"")</f>
        <v/>
      </c>
      <c r="U2404" s="152">
        <f>IFERROR(ABS(K2404-YEAR('02_대상물건입력'!B14)),"")</f>
        <v/>
      </c>
      <c r="V2404" s="152">
        <f>IF(B2404="","",IF(AND(E2404&gt;0,F2404&gt;0,H2404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2404=1,TRUE()),R2404&lt;='01_설정'!B5,S2404&lt;='01_설정'!B6,T2404&lt;='01_설정'!B7,U2404&lt;='01_설정'!B8),"Y",""))</f>
        <v/>
      </c>
      <c r="W2404" s="172">
        <f>IF(V2404&lt;&gt;"Y","",MAX(0,(1-R2404/'01_설정'!B5))*'01_설정'!B14+MAX(0,(1-S2404/'01_설정'!B6))*'01_설정'!B15+MAX(0,(1-T2404/'01_설정'!B7))*'01_설정'!B16+MAX(0,(1-U2404/'01_설정'!B8))*'01_설정'!B17+O2404*'01_설정'!B11+Q2404*'01_설정'!B12+P2404*'01_설정'!B13+IF(Z2404="",0,Z2404))</f>
        <v/>
      </c>
      <c r="X2404" s="152">
        <f>IF(W2404="","",1+COUNTIFS($W$4:$W$3003,"&gt;"&amp;W2404)+COUNTIFS($W$4:W2404,W2404)-1)</f>
        <v/>
      </c>
      <c r="Y2404" s="175">
        <f>IF(OR(I2404="",'02_대상물건입력'!B19="",'02_대상물건입력'!B19&lt;=0),"",ABS(I2404-'02_대상물건입력'!B19)/'02_대상물건입력'!B19)</f>
        <v/>
      </c>
      <c r="Z2404" s="172">
        <f>IF(OR(Y2404="",'01_설정'!B31="",'01_설정'!B31&lt;=0,'01_설정'!B32="",'01_설정'!B32&lt;=0),"",MAX(0,(1-Y2404/'01_설정'!B32))*'01_설정'!B31)</f>
        <v/>
      </c>
    </row>
    <row r="2405" ht="17.25" customHeight="1">
      <c r="A2405" s="152">
        <f>IF(INDEX('04A_국토부원자료'!$A:$A,ROW()+1)="","",ROW()-3)</f>
        <v/>
      </c>
      <c r="B2405" s="48">
        <f>IFERROR(INDEX('04A_국토부원자료'!$A:$T,ROW()+1,MATCH("시군구",'04A_국토부원자료'!$A$4:$T$4,0)),"")</f>
        <v/>
      </c>
      <c r="C2405" s="48">
        <f>IF(B2405="","",IFERROR(INDEX('04A_국토부원자료'!$A:$T,ROW()+1,MATCH("번지",'04A_국토부원자료'!$A$4:$T$4,0)),""))</f>
        <v/>
      </c>
      <c r="D2405" s="48">
        <f>IF(B2405="","",IF(Q2405=1,'02_대상물건입력'!$B$8,IFERROR(INDEX('04A_국토부원자료'!$A:$T,ROW()+1,MATCH("단지명",'04A_국토부원자료'!$A$4:$T$4,0)),"")))</f>
        <v/>
      </c>
      <c r="E2405" s="172">
        <f>IFERROR(VALUE(SUBSTITUTE(INDEX('04A_국토부원자료'!$A:$T,ROW()+1,MATCH("전용면적(㎡)",'04A_국토부원자료'!$A$4:$T$4,0)),",","")),"")</f>
        <v/>
      </c>
      <c r="F24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05" s="51">
        <f>IFERROR(VALUE(SUBSTITUTE(INDEX('04A_국토부원자료'!$A:$T,ROW()+1,MATCH("거래금액(만원)",'04A_국토부원자료'!$A$4:$T$4,0)),",","")),"")</f>
        <v/>
      </c>
      <c r="H2405" s="174">
        <f>IF(G2405="","",G2405*10000)</f>
        <v/>
      </c>
      <c r="I2405" s="174">
        <f>IFERROR(IF(AND(H2405&gt;0,E2405&gt;0),H2405/E2405,""),"")</f>
        <v/>
      </c>
      <c r="J2405" s="152">
        <f>IFERROR(VALUE(SUBSTITUTE(INDEX('04A_국토부원자료'!$A:$T,ROW()+1,MATCH("층",'04A_국토부원자료'!$A$4:$T$4,0)),",","")),"")</f>
        <v/>
      </c>
      <c r="K2405" s="152">
        <f>IFERROR(VALUE(SUBSTITUTE(INDEX('04A_국토부원자료'!$A:$T,ROW()+1,MATCH("건축년도",'04A_국토부원자료'!$A$4:$T$4,0)),",","")),"")</f>
        <v/>
      </c>
      <c r="L2405" s="48">
        <f>IFERROR(INDEX('04A_국토부원자료'!$A:$T,ROW()+1,MATCH("도로명",'04A_국토부원자료'!$A$4:$T$4,0)),"")</f>
        <v/>
      </c>
      <c r="M2405" s="48">
        <f>IFERROR(INDEX('04A_국토부원자료'!$A:$T,ROW()+1,MATCH("거래유형",'04A_국토부원자료'!$A$4:$T$4,0)),"")</f>
        <v/>
      </c>
      <c r="N2405" s="152">
        <f>IF(B2405="","",IF('02_대상물건입력'!B5="",1,IF(ISNUMBER(SEARCH('02_대상물건입력'!B5,B2405)),1,0)))</f>
        <v/>
      </c>
      <c r="O2405" s="152">
        <f>IF(B2405="","",IF('02_대상물건입력'!B6="",1,IF(ISNUMBER(SEARCH('02_대상물건입력'!B6,B2405)),1,0)))</f>
        <v/>
      </c>
      <c r="P2405" s="152">
        <f>IF(L2405="","",IF('02_대상물건입력'!B15="",0,IF(ISNUMBER(SEARCH('02_대상물건입력'!B15,L2405)),1,0)))</f>
        <v/>
      </c>
      <c r="Q2405" s="152">
        <f>IF(OR(C2405="",L2405=""),0,IF(AND(TRIM(C2405)=TRIM(RIGHT(SUBSTITUTE(TRIM('02_대상물건입력'!$B$7)," ",REPT(" ",99)),99)),IF('02_대상물건입력'!B15="",TRUE(),ISNUMBER(SEARCH('02_대상물건입력'!B15,L2405)))),1,0))</f>
        <v/>
      </c>
      <c r="R2405" s="175">
        <f>IFERROR(ABS(E2405-'02_대상물건입력'!B11)/'02_대상물건입력'!B11,"")</f>
        <v/>
      </c>
      <c r="S2405" s="152">
        <f>IFERROR(ABS(J2405-'02_대상물건입력'!B10),"")</f>
        <v/>
      </c>
      <c r="T2405" s="152">
        <f>IFERROR(ABS('01_설정'!B4-F2405),"")</f>
        <v/>
      </c>
      <c r="U2405" s="152">
        <f>IFERROR(ABS(K2405-YEAR('02_대상물건입력'!B14)),"")</f>
        <v/>
      </c>
      <c r="V2405" s="152">
        <f>IF(B2405="","",IF(AND(E2405&gt;0,F2405&gt;0,H2405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2405=1,TRUE()),R2405&lt;='01_설정'!B5,S2405&lt;='01_설정'!B6,T2405&lt;='01_설정'!B7,U2405&lt;='01_설정'!B8),"Y",""))</f>
        <v/>
      </c>
      <c r="W2405" s="172">
        <f>IF(V2405&lt;&gt;"Y","",MAX(0,(1-R2405/'01_설정'!B5))*'01_설정'!B14+MAX(0,(1-S2405/'01_설정'!B6))*'01_설정'!B15+MAX(0,(1-T2405/'01_설정'!B7))*'01_설정'!B16+MAX(0,(1-U2405/'01_설정'!B8))*'01_설정'!B17+O2405*'01_설정'!B11+Q2405*'01_설정'!B12+P2405*'01_설정'!B13+IF(Z2405="",0,Z2405))</f>
        <v/>
      </c>
      <c r="X2405" s="152">
        <f>IF(W2405="","",1+COUNTIFS($W$4:$W$3003,"&gt;"&amp;W2405)+COUNTIFS($W$4:W2405,W2405)-1)</f>
        <v/>
      </c>
      <c r="Y2405" s="175">
        <f>IF(OR(I2405="",'02_대상물건입력'!B19="",'02_대상물건입력'!B19&lt;=0),"",ABS(I2405-'02_대상물건입력'!B19)/'02_대상물건입력'!B19)</f>
        <v/>
      </c>
      <c r="Z2405" s="172">
        <f>IF(OR(Y2405="",'01_설정'!B31="",'01_설정'!B31&lt;=0,'01_설정'!B32="",'01_설정'!B32&lt;=0),"",MAX(0,(1-Y2405/'01_설정'!B32))*'01_설정'!B31)</f>
        <v/>
      </c>
    </row>
    <row r="2406" ht="17.25" customHeight="1">
      <c r="A2406" s="152">
        <f>IF(INDEX('04A_국토부원자료'!$A:$A,ROW()+1)="","",ROW()-3)</f>
        <v/>
      </c>
      <c r="B2406" s="48">
        <f>IFERROR(INDEX('04A_국토부원자료'!$A:$T,ROW()+1,MATCH("시군구",'04A_국토부원자료'!$A$4:$T$4,0)),"")</f>
        <v/>
      </c>
      <c r="C2406" s="48">
        <f>IF(B2406="","",IFERROR(INDEX('04A_국토부원자료'!$A:$T,ROW()+1,MATCH("번지",'04A_국토부원자료'!$A$4:$T$4,0)),""))</f>
        <v/>
      </c>
      <c r="D2406" s="48">
        <f>IF(B2406="","",IF(Q2406=1,'02_대상물건입력'!$B$8,IFERROR(INDEX('04A_국토부원자료'!$A:$T,ROW()+1,MATCH("단지명",'04A_국토부원자료'!$A$4:$T$4,0)),"")))</f>
        <v/>
      </c>
      <c r="E2406" s="172">
        <f>IFERROR(VALUE(SUBSTITUTE(INDEX('04A_국토부원자료'!$A:$T,ROW()+1,MATCH("전용면적(㎡)",'04A_국토부원자료'!$A$4:$T$4,0)),",","")),"")</f>
        <v/>
      </c>
      <c r="F24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06" s="51">
        <f>IFERROR(VALUE(SUBSTITUTE(INDEX('04A_국토부원자료'!$A:$T,ROW()+1,MATCH("거래금액(만원)",'04A_국토부원자료'!$A$4:$T$4,0)),",","")),"")</f>
        <v/>
      </c>
      <c r="H2406" s="174">
        <f>IF(G2406="","",G2406*10000)</f>
        <v/>
      </c>
      <c r="I2406" s="174">
        <f>IFERROR(IF(AND(H2406&gt;0,E2406&gt;0),H2406/E2406,""),"")</f>
        <v/>
      </c>
      <c r="J2406" s="152">
        <f>IFERROR(VALUE(SUBSTITUTE(INDEX('04A_국토부원자료'!$A:$T,ROW()+1,MATCH("층",'04A_국토부원자료'!$A$4:$T$4,0)),",","")),"")</f>
        <v/>
      </c>
      <c r="K2406" s="152">
        <f>IFERROR(VALUE(SUBSTITUTE(INDEX('04A_국토부원자료'!$A:$T,ROW()+1,MATCH("건축년도",'04A_국토부원자료'!$A$4:$T$4,0)),",","")),"")</f>
        <v/>
      </c>
      <c r="L2406" s="48">
        <f>IFERROR(INDEX('04A_국토부원자료'!$A:$T,ROW()+1,MATCH("도로명",'04A_국토부원자료'!$A$4:$T$4,0)),"")</f>
        <v/>
      </c>
      <c r="M2406" s="48">
        <f>IFERROR(INDEX('04A_국토부원자료'!$A:$T,ROW()+1,MATCH("거래유형",'04A_국토부원자료'!$A$4:$T$4,0)),"")</f>
        <v/>
      </c>
      <c r="N2406" s="152">
        <f>IF(B2406="","",IF('02_대상물건입력'!B5="",1,IF(ISNUMBER(SEARCH('02_대상물건입력'!B5,B2406)),1,0)))</f>
        <v/>
      </c>
      <c r="O2406" s="152">
        <f>IF(B2406="","",IF('02_대상물건입력'!B6="",1,IF(ISNUMBER(SEARCH('02_대상물건입력'!B6,B2406)),1,0)))</f>
        <v/>
      </c>
      <c r="P2406" s="152">
        <f>IF(L2406="","",IF('02_대상물건입력'!B15="",0,IF(ISNUMBER(SEARCH('02_대상물건입력'!B15,L2406)),1,0)))</f>
        <v/>
      </c>
      <c r="Q2406" s="152">
        <f>IF(OR(C2406="",L2406=""),0,IF(AND(TRIM(C2406)=TRIM(RIGHT(SUBSTITUTE(TRIM('02_대상물건입력'!$B$7)," ",REPT(" ",99)),99)),IF('02_대상물건입력'!B15="",TRUE(),ISNUMBER(SEARCH('02_대상물건입력'!B15,L2406)))),1,0))</f>
        <v/>
      </c>
      <c r="R2406" s="175">
        <f>IFERROR(ABS(E2406-'02_대상물건입력'!B11)/'02_대상물건입력'!B11,"")</f>
        <v/>
      </c>
      <c r="S2406" s="152">
        <f>IFERROR(ABS(J2406-'02_대상물건입력'!B10),"")</f>
        <v/>
      </c>
      <c r="T2406" s="152">
        <f>IFERROR(ABS('01_설정'!B4-F2406),"")</f>
        <v/>
      </c>
      <c r="U2406" s="152">
        <f>IFERROR(ABS(K2406-YEAR('02_대상물건입력'!B14)),"")</f>
        <v/>
      </c>
      <c r="V2406" s="152">
        <f>IF(B2406="","",IF(AND(E2406&gt;0,F2406&gt;0,H2406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2406=1,TRUE()),R2406&lt;='01_설정'!B5,S2406&lt;='01_설정'!B6,T2406&lt;='01_설정'!B7,U2406&lt;='01_설정'!B8),"Y",""))</f>
        <v/>
      </c>
      <c r="W2406" s="172">
        <f>IF(V2406&lt;&gt;"Y","",MAX(0,(1-R2406/'01_설정'!B5))*'01_설정'!B14+MAX(0,(1-S2406/'01_설정'!B6))*'01_설정'!B15+MAX(0,(1-T2406/'01_설정'!B7))*'01_설정'!B16+MAX(0,(1-U2406/'01_설정'!B8))*'01_설정'!B17+O2406*'01_설정'!B11+Q2406*'01_설정'!B12+P2406*'01_설정'!B13+IF(Z2406="",0,Z2406))</f>
        <v/>
      </c>
      <c r="X2406" s="152">
        <f>IF(W2406="","",1+COUNTIFS($W$4:$W$3003,"&gt;"&amp;W2406)+COUNTIFS($W$4:W2406,W2406)-1)</f>
        <v/>
      </c>
      <c r="Y2406" s="175">
        <f>IF(OR(I2406="",'02_대상물건입력'!B19="",'02_대상물건입력'!B19&lt;=0),"",ABS(I2406-'02_대상물건입력'!B19)/'02_대상물건입력'!B19)</f>
        <v/>
      </c>
      <c r="Z2406" s="172">
        <f>IF(OR(Y2406="",'01_설정'!B31="",'01_설정'!B31&lt;=0,'01_설정'!B32="",'01_설정'!B32&lt;=0),"",MAX(0,(1-Y2406/'01_설정'!B32))*'01_설정'!B31)</f>
        <v/>
      </c>
    </row>
    <row r="2407" ht="17.25" customHeight="1">
      <c r="A2407" s="152">
        <f>IF(INDEX('04A_국토부원자료'!$A:$A,ROW()+1)="","",ROW()-3)</f>
        <v/>
      </c>
      <c r="B2407" s="48">
        <f>IFERROR(INDEX('04A_국토부원자료'!$A:$T,ROW()+1,MATCH("시군구",'04A_국토부원자료'!$A$4:$T$4,0)),"")</f>
        <v/>
      </c>
      <c r="C2407" s="48">
        <f>IF(B2407="","",IFERROR(INDEX('04A_국토부원자료'!$A:$T,ROW()+1,MATCH("번지",'04A_국토부원자료'!$A$4:$T$4,0)),""))</f>
        <v/>
      </c>
      <c r="D2407" s="48">
        <f>IF(B2407="","",IF(Q2407=1,'02_대상물건입력'!$B$8,IFERROR(INDEX('04A_국토부원자료'!$A:$T,ROW()+1,MATCH("단지명",'04A_국토부원자료'!$A$4:$T$4,0)),"")))</f>
        <v/>
      </c>
      <c r="E2407" s="172">
        <f>IFERROR(VALUE(SUBSTITUTE(INDEX('04A_국토부원자료'!$A:$T,ROW()+1,MATCH("전용면적(㎡)",'04A_국토부원자료'!$A$4:$T$4,0)),",","")),"")</f>
        <v/>
      </c>
      <c r="F24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07" s="51">
        <f>IFERROR(VALUE(SUBSTITUTE(INDEX('04A_국토부원자료'!$A:$T,ROW()+1,MATCH("거래금액(만원)",'04A_국토부원자료'!$A$4:$T$4,0)),",","")),"")</f>
        <v/>
      </c>
      <c r="H2407" s="174">
        <f>IF(G2407="","",G2407*10000)</f>
        <v/>
      </c>
      <c r="I2407" s="174">
        <f>IFERROR(IF(AND(H2407&gt;0,E2407&gt;0),H2407/E2407,""),"")</f>
        <v/>
      </c>
      <c r="J2407" s="152">
        <f>IFERROR(VALUE(SUBSTITUTE(INDEX('04A_국토부원자료'!$A:$T,ROW()+1,MATCH("층",'04A_국토부원자료'!$A$4:$T$4,0)),",","")),"")</f>
        <v/>
      </c>
      <c r="K2407" s="152">
        <f>IFERROR(VALUE(SUBSTITUTE(INDEX('04A_국토부원자료'!$A:$T,ROW()+1,MATCH("건축년도",'04A_국토부원자료'!$A$4:$T$4,0)),",","")),"")</f>
        <v/>
      </c>
      <c r="L2407" s="48">
        <f>IFERROR(INDEX('04A_국토부원자료'!$A:$T,ROW()+1,MATCH("도로명",'04A_국토부원자료'!$A$4:$T$4,0)),"")</f>
        <v/>
      </c>
      <c r="M2407" s="48">
        <f>IFERROR(INDEX('04A_국토부원자료'!$A:$T,ROW()+1,MATCH("거래유형",'04A_국토부원자료'!$A$4:$T$4,0)),"")</f>
        <v/>
      </c>
      <c r="N2407" s="152">
        <f>IF(B2407="","",IF('02_대상물건입력'!B5="",1,IF(ISNUMBER(SEARCH('02_대상물건입력'!B5,B2407)),1,0)))</f>
        <v/>
      </c>
      <c r="O2407" s="152">
        <f>IF(B2407="","",IF('02_대상물건입력'!B6="",1,IF(ISNUMBER(SEARCH('02_대상물건입력'!B6,B2407)),1,0)))</f>
        <v/>
      </c>
      <c r="P2407" s="152">
        <f>IF(L2407="","",IF('02_대상물건입력'!B15="",0,IF(ISNUMBER(SEARCH('02_대상물건입력'!B15,L2407)),1,0)))</f>
        <v/>
      </c>
      <c r="Q2407" s="152">
        <f>IF(OR(C2407="",L2407=""),0,IF(AND(TRIM(C2407)=TRIM(RIGHT(SUBSTITUTE(TRIM('02_대상물건입력'!$B$7)," ",REPT(" ",99)),99)),IF('02_대상물건입력'!B15="",TRUE(),ISNUMBER(SEARCH('02_대상물건입력'!B15,L2407)))),1,0))</f>
        <v/>
      </c>
      <c r="R2407" s="175">
        <f>IFERROR(ABS(E2407-'02_대상물건입력'!B11)/'02_대상물건입력'!B11,"")</f>
        <v/>
      </c>
      <c r="S2407" s="152">
        <f>IFERROR(ABS(J2407-'02_대상물건입력'!B10),"")</f>
        <v/>
      </c>
      <c r="T2407" s="152">
        <f>IFERROR(ABS('01_설정'!B4-F2407),"")</f>
        <v/>
      </c>
      <c r="U2407" s="152">
        <f>IFERROR(ABS(K2407-YEAR('02_대상물건입력'!B14)),"")</f>
        <v/>
      </c>
      <c r="V2407" s="152">
        <f>IF(B2407="","",IF(AND(E2407&gt;0,F2407&gt;0,H2407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2407=1,TRUE()),R2407&lt;='01_설정'!B5,S2407&lt;='01_설정'!B6,T2407&lt;='01_설정'!B7,U2407&lt;='01_설정'!B8),"Y",""))</f>
        <v/>
      </c>
      <c r="W2407" s="172">
        <f>IF(V2407&lt;&gt;"Y","",MAX(0,(1-R2407/'01_설정'!B5))*'01_설정'!B14+MAX(0,(1-S2407/'01_설정'!B6))*'01_설정'!B15+MAX(0,(1-T2407/'01_설정'!B7))*'01_설정'!B16+MAX(0,(1-U2407/'01_설정'!B8))*'01_설정'!B17+O2407*'01_설정'!B11+Q2407*'01_설정'!B12+P2407*'01_설정'!B13+IF(Z2407="",0,Z2407))</f>
        <v/>
      </c>
      <c r="X2407" s="152">
        <f>IF(W2407="","",1+COUNTIFS($W$4:$W$3003,"&gt;"&amp;W2407)+COUNTIFS($W$4:W2407,W2407)-1)</f>
        <v/>
      </c>
      <c r="Y2407" s="175">
        <f>IF(OR(I2407="",'02_대상물건입력'!B19="",'02_대상물건입력'!B19&lt;=0),"",ABS(I2407-'02_대상물건입력'!B19)/'02_대상물건입력'!B19)</f>
        <v/>
      </c>
      <c r="Z2407" s="172">
        <f>IF(OR(Y2407="",'01_설정'!B31="",'01_설정'!B31&lt;=0,'01_설정'!B32="",'01_설정'!B32&lt;=0),"",MAX(0,(1-Y2407/'01_설정'!B32))*'01_설정'!B31)</f>
        <v/>
      </c>
    </row>
    <row r="2408" ht="17.25" customHeight="1">
      <c r="A2408" s="152">
        <f>IF(INDEX('04A_국토부원자료'!$A:$A,ROW()+1)="","",ROW()-3)</f>
        <v/>
      </c>
      <c r="B2408" s="48">
        <f>IFERROR(INDEX('04A_국토부원자료'!$A:$T,ROW()+1,MATCH("시군구",'04A_국토부원자료'!$A$4:$T$4,0)),"")</f>
        <v/>
      </c>
      <c r="C2408" s="48">
        <f>IF(B2408="","",IFERROR(INDEX('04A_국토부원자료'!$A:$T,ROW()+1,MATCH("번지",'04A_국토부원자료'!$A$4:$T$4,0)),""))</f>
        <v/>
      </c>
      <c r="D2408" s="48">
        <f>IF(B2408="","",IF(Q2408=1,'02_대상물건입력'!$B$8,IFERROR(INDEX('04A_국토부원자료'!$A:$T,ROW()+1,MATCH("단지명",'04A_국토부원자료'!$A$4:$T$4,0)),"")))</f>
        <v/>
      </c>
      <c r="E2408" s="172">
        <f>IFERROR(VALUE(SUBSTITUTE(INDEX('04A_국토부원자료'!$A:$T,ROW()+1,MATCH("전용면적(㎡)",'04A_국토부원자료'!$A$4:$T$4,0)),",","")),"")</f>
        <v/>
      </c>
      <c r="F24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08" s="51">
        <f>IFERROR(VALUE(SUBSTITUTE(INDEX('04A_국토부원자료'!$A:$T,ROW()+1,MATCH("거래금액(만원)",'04A_국토부원자료'!$A$4:$T$4,0)),",","")),"")</f>
        <v/>
      </c>
      <c r="H2408" s="174">
        <f>IF(G2408="","",G2408*10000)</f>
        <v/>
      </c>
      <c r="I2408" s="174">
        <f>IFERROR(IF(AND(H2408&gt;0,E2408&gt;0),H2408/E2408,""),"")</f>
        <v/>
      </c>
      <c r="J2408" s="152">
        <f>IFERROR(VALUE(SUBSTITUTE(INDEX('04A_국토부원자료'!$A:$T,ROW()+1,MATCH("층",'04A_국토부원자료'!$A$4:$T$4,0)),",","")),"")</f>
        <v/>
      </c>
      <c r="K2408" s="152">
        <f>IFERROR(VALUE(SUBSTITUTE(INDEX('04A_국토부원자료'!$A:$T,ROW()+1,MATCH("건축년도",'04A_국토부원자료'!$A$4:$T$4,0)),",","")),"")</f>
        <v/>
      </c>
      <c r="L2408" s="48">
        <f>IFERROR(INDEX('04A_국토부원자료'!$A:$T,ROW()+1,MATCH("도로명",'04A_국토부원자료'!$A$4:$T$4,0)),"")</f>
        <v/>
      </c>
      <c r="M2408" s="48">
        <f>IFERROR(INDEX('04A_국토부원자료'!$A:$T,ROW()+1,MATCH("거래유형",'04A_국토부원자료'!$A$4:$T$4,0)),"")</f>
        <v/>
      </c>
      <c r="N2408" s="152">
        <f>IF(B2408="","",IF('02_대상물건입력'!B5="",1,IF(ISNUMBER(SEARCH('02_대상물건입력'!B5,B2408)),1,0)))</f>
        <v/>
      </c>
      <c r="O2408" s="152">
        <f>IF(B2408="","",IF('02_대상물건입력'!B6="",1,IF(ISNUMBER(SEARCH('02_대상물건입력'!B6,B2408)),1,0)))</f>
        <v/>
      </c>
      <c r="P2408" s="152">
        <f>IF(L2408="","",IF('02_대상물건입력'!B15="",0,IF(ISNUMBER(SEARCH('02_대상물건입력'!B15,L2408)),1,0)))</f>
        <v/>
      </c>
      <c r="Q2408" s="152">
        <f>IF(OR(C2408="",L2408=""),0,IF(AND(TRIM(C2408)=TRIM(RIGHT(SUBSTITUTE(TRIM('02_대상물건입력'!$B$7)," ",REPT(" ",99)),99)),IF('02_대상물건입력'!B15="",TRUE(),ISNUMBER(SEARCH('02_대상물건입력'!B15,L2408)))),1,0))</f>
        <v/>
      </c>
      <c r="R2408" s="175">
        <f>IFERROR(ABS(E2408-'02_대상물건입력'!B11)/'02_대상물건입력'!B11,"")</f>
        <v/>
      </c>
      <c r="S2408" s="152">
        <f>IFERROR(ABS(J2408-'02_대상물건입력'!B10),"")</f>
        <v/>
      </c>
      <c r="T2408" s="152">
        <f>IFERROR(ABS('01_설정'!B4-F2408),"")</f>
        <v/>
      </c>
      <c r="U2408" s="152">
        <f>IFERROR(ABS(K2408-YEAR('02_대상물건입력'!B14)),"")</f>
        <v/>
      </c>
      <c r="V2408" s="152">
        <f>IF(B2408="","",IF(AND(E2408&gt;0,F2408&gt;0,H2408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2408=1,TRUE()),R2408&lt;='01_설정'!B5,S2408&lt;='01_설정'!B6,T2408&lt;='01_설정'!B7,U2408&lt;='01_설정'!B8),"Y",""))</f>
        <v/>
      </c>
      <c r="W2408" s="172">
        <f>IF(V2408&lt;&gt;"Y","",MAX(0,(1-R2408/'01_설정'!B5))*'01_설정'!B14+MAX(0,(1-S2408/'01_설정'!B6))*'01_설정'!B15+MAX(0,(1-T2408/'01_설정'!B7))*'01_설정'!B16+MAX(0,(1-U2408/'01_설정'!B8))*'01_설정'!B17+O2408*'01_설정'!B11+Q2408*'01_설정'!B12+P2408*'01_설정'!B13+IF(Z2408="",0,Z2408))</f>
        <v/>
      </c>
      <c r="X2408" s="152">
        <f>IF(W2408="","",1+COUNTIFS($W$4:$W$3003,"&gt;"&amp;W2408)+COUNTIFS($W$4:W2408,W2408)-1)</f>
        <v/>
      </c>
      <c r="Y2408" s="175">
        <f>IF(OR(I2408="",'02_대상물건입력'!B19="",'02_대상물건입력'!B19&lt;=0),"",ABS(I2408-'02_대상물건입력'!B19)/'02_대상물건입력'!B19)</f>
        <v/>
      </c>
      <c r="Z2408" s="172">
        <f>IF(OR(Y2408="",'01_설정'!B31="",'01_설정'!B31&lt;=0,'01_설정'!B32="",'01_설정'!B32&lt;=0),"",MAX(0,(1-Y2408/'01_설정'!B32))*'01_설정'!B31)</f>
        <v/>
      </c>
    </row>
    <row r="2409" ht="17.25" customHeight="1">
      <c r="A2409" s="152">
        <f>IF(INDEX('04A_국토부원자료'!$A:$A,ROW()+1)="","",ROW()-3)</f>
        <v/>
      </c>
      <c r="B2409" s="48">
        <f>IFERROR(INDEX('04A_국토부원자료'!$A:$T,ROW()+1,MATCH("시군구",'04A_국토부원자료'!$A$4:$T$4,0)),"")</f>
        <v/>
      </c>
      <c r="C2409" s="48">
        <f>IF(B2409="","",IFERROR(INDEX('04A_국토부원자료'!$A:$T,ROW()+1,MATCH("번지",'04A_국토부원자료'!$A$4:$T$4,0)),""))</f>
        <v/>
      </c>
      <c r="D2409" s="48">
        <f>IF(B2409="","",IF(Q2409=1,'02_대상물건입력'!$B$8,IFERROR(INDEX('04A_국토부원자료'!$A:$T,ROW()+1,MATCH("단지명",'04A_국토부원자료'!$A$4:$T$4,0)),"")))</f>
        <v/>
      </c>
      <c r="E2409" s="172">
        <f>IFERROR(VALUE(SUBSTITUTE(INDEX('04A_국토부원자료'!$A:$T,ROW()+1,MATCH("전용면적(㎡)",'04A_국토부원자료'!$A$4:$T$4,0)),",","")),"")</f>
        <v/>
      </c>
      <c r="F24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09" s="51">
        <f>IFERROR(VALUE(SUBSTITUTE(INDEX('04A_국토부원자료'!$A:$T,ROW()+1,MATCH("거래금액(만원)",'04A_국토부원자료'!$A$4:$T$4,0)),",","")),"")</f>
        <v/>
      </c>
      <c r="H2409" s="174">
        <f>IF(G2409="","",G2409*10000)</f>
        <v/>
      </c>
      <c r="I2409" s="174">
        <f>IFERROR(IF(AND(H2409&gt;0,E2409&gt;0),H2409/E2409,""),"")</f>
        <v/>
      </c>
      <c r="J2409" s="152">
        <f>IFERROR(VALUE(SUBSTITUTE(INDEX('04A_국토부원자료'!$A:$T,ROW()+1,MATCH("층",'04A_국토부원자료'!$A$4:$T$4,0)),",","")),"")</f>
        <v/>
      </c>
      <c r="K2409" s="152">
        <f>IFERROR(VALUE(SUBSTITUTE(INDEX('04A_국토부원자료'!$A:$T,ROW()+1,MATCH("건축년도",'04A_국토부원자료'!$A$4:$T$4,0)),",","")),"")</f>
        <v/>
      </c>
      <c r="L2409" s="48">
        <f>IFERROR(INDEX('04A_국토부원자료'!$A:$T,ROW()+1,MATCH("도로명",'04A_국토부원자료'!$A$4:$T$4,0)),"")</f>
        <v/>
      </c>
      <c r="M2409" s="48">
        <f>IFERROR(INDEX('04A_국토부원자료'!$A:$T,ROW()+1,MATCH("거래유형",'04A_국토부원자료'!$A$4:$T$4,0)),"")</f>
        <v/>
      </c>
      <c r="N2409" s="152">
        <f>IF(B2409="","",IF('02_대상물건입력'!B5="",1,IF(ISNUMBER(SEARCH('02_대상물건입력'!B5,B2409)),1,0)))</f>
        <v/>
      </c>
      <c r="O2409" s="152">
        <f>IF(B2409="","",IF('02_대상물건입력'!B6="",1,IF(ISNUMBER(SEARCH('02_대상물건입력'!B6,B2409)),1,0)))</f>
        <v/>
      </c>
      <c r="P2409" s="152">
        <f>IF(L2409="","",IF('02_대상물건입력'!B15="",0,IF(ISNUMBER(SEARCH('02_대상물건입력'!B15,L2409)),1,0)))</f>
        <v/>
      </c>
      <c r="Q2409" s="152">
        <f>IF(OR(C2409="",L2409=""),0,IF(AND(TRIM(C2409)=TRIM(RIGHT(SUBSTITUTE(TRIM('02_대상물건입력'!$B$7)," ",REPT(" ",99)),99)),IF('02_대상물건입력'!B15="",TRUE(),ISNUMBER(SEARCH('02_대상물건입력'!B15,L2409)))),1,0))</f>
        <v/>
      </c>
      <c r="R2409" s="175">
        <f>IFERROR(ABS(E2409-'02_대상물건입력'!B11)/'02_대상물건입력'!B11,"")</f>
        <v/>
      </c>
      <c r="S2409" s="152">
        <f>IFERROR(ABS(J2409-'02_대상물건입력'!B10),"")</f>
        <v/>
      </c>
      <c r="T2409" s="152">
        <f>IFERROR(ABS('01_설정'!B4-F2409),"")</f>
        <v/>
      </c>
      <c r="U2409" s="152">
        <f>IFERROR(ABS(K2409-YEAR('02_대상물건입력'!B14)),"")</f>
        <v/>
      </c>
      <c r="V2409" s="152">
        <f>IF(B2409="","",IF(AND(E2409&gt;0,F2409&gt;0,H2409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2409=1,TRUE()),R2409&lt;='01_설정'!B5,S2409&lt;='01_설정'!B6,T2409&lt;='01_설정'!B7,U2409&lt;='01_설정'!B8),"Y",""))</f>
        <v/>
      </c>
      <c r="W2409" s="172">
        <f>IF(V2409&lt;&gt;"Y","",MAX(0,(1-R2409/'01_설정'!B5))*'01_설정'!B14+MAX(0,(1-S2409/'01_설정'!B6))*'01_설정'!B15+MAX(0,(1-T2409/'01_설정'!B7))*'01_설정'!B16+MAX(0,(1-U2409/'01_설정'!B8))*'01_설정'!B17+O2409*'01_설정'!B11+Q2409*'01_설정'!B12+P2409*'01_설정'!B13+IF(Z2409="",0,Z2409))</f>
        <v/>
      </c>
      <c r="X2409" s="152">
        <f>IF(W2409="","",1+COUNTIFS($W$4:$W$3003,"&gt;"&amp;W2409)+COUNTIFS($W$4:W2409,W2409)-1)</f>
        <v/>
      </c>
      <c r="Y2409" s="175">
        <f>IF(OR(I2409="",'02_대상물건입력'!B19="",'02_대상물건입력'!B19&lt;=0),"",ABS(I2409-'02_대상물건입력'!B19)/'02_대상물건입력'!B19)</f>
        <v/>
      </c>
      <c r="Z2409" s="172">
        <f>IF(OR(Y2409="",'01_설정'!B31="",'01_설정'!B31&lt;=0,'01_설정'!B32="",'01_설정'!B32&lt;=0),"",MAX(0,(1-Y2409/'01_설정'!B32))*'01_설정'!B31)</f>
        <v/>
      </c>
    </row>
    <row r="2410" ht="17.25" customHeight="1">
      <c r="A2410" s="152">
        <f>IF(INDEX('04A_국토부원자료'!$A:$A,ROW()+1)="","",ROW()-3)</f>
        <v/>
      </c>
      <c r="B2410" s="48">
        <f>IFERROR(INDEX('04A_국토부원자료'!$A:$T,ROW()+1,MATCH("시군구",'04A_국토부원자료'!$A$4:$T$4,0)),"")</f>
        <v/>
      </c>
      <c r="C2410" s="48">
        <f>IF(B2410="","",IFERROR(INDEX('04A_국토부원자료'!$A:$T,ROW()+1,MATCH("번지",'04A_국토부원자료'!$A$4:$T$4,0)),""))</f>
        <v/>
      </c>
      <c r="D2410" s="48">
        <f>IF(B2410="","",IF(Q2410=1,'02_대상물건입력'!$B$8,IFERROR(INDEX('04A_국토부원자료'!$A:$T,ROW()+1,MATCH("단지명",'04A_국토부원자료'!$A$4:$T$4,0)),"")))</f>
        <v/>
      </c>
      <c r="E2410" s="172">
        <f>IFERROR(VALUE(SUBSTITUTE(INDEX('04A_국토부원자료'!$A:$T,ROW()+1,MATCH("전용면적(㎡)",'04A_국토부원자료'!$A$4:$T$4,0)),",","")),"")</f>
        <v/>
      </c>
      <c r="F24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10" s="51">
        <f>IFERROR(VALUE(SUBSTITUTE(INDEX('04A_국토부원자료'!$A:$T,ROW()+1,MATCH("거래금액(만원)",'04A_국토부원자료'!$A$4:$T$4,0)),",","")),"")</f>
        <v/>
      </c>
      <c r="H2410" s="174">
        <f>IF(G2410="","",G2410*10000)</f>
        <v/>
      </c>
      <c r="I2410" s="174">
        <f>IFERROR(IF(AND(H2410&gt;0,E2410&gt;0),H2410/E2410,""),"")</f>
        <v/>
      </c>
      <c r="J2410" s="152">
        <f>IFERROR(VALUE(SUBSTITUTE(INDEX('04A_국토부원자료'!$A:$T,ROW()+1,MATCH("층",'04A_국토부원자료'!$A$4:$T$4,0)),",","")),"")</f>
        <v/>
      </c>
      <c r="K2410" s="152">
        <f>IFERROR(VALUE(SUBSTITUTE(INDEX('04A_국토부원자료'!$A:$T,ROW()+1,MATCH("건축년도",'04A_국토부원자료'!$A$4:$T$4,0)),",","")),"")</f>
        <v/>
      </c>
      <c r="L2410" s="48">
        <f>IFERROR(INDEX('04A_국토부원자료'!$A:$T,ROW()+1,MATCH("도로명",'04A_국토부원자료'!$A$4:$T$4,0)),"")</f>
        <v/>
      </c>
      <c r="M2410" s="48">
        <f>IFERROR(INDEX('04A_국토부원자료'!$A:$T,ROW()+1,MATCH("거래유형",'04A_국토부원자료'!$A$4:$T$4,0)),"")</f>
        <v/>
      </c>
      <c r="N2410" s="152">
        <f>IF(B2410="","",IF('02_대상물건입력'!B5="",1,IF(ISNUMBER(SEARCH('02_대상물건입력'!B5,B2410)),1,0)))</f>
        <v/>
      </c>
      <c r="O2410" s="152">
        <f>IF(B2410="","",IF('02_대상물건입력'!B6="",1,IF(ISNUMBER(SEARCH('02_대상물건입력'!B6,B2410)),1,0)))</f>
        <v/>
      </c>
      <c r="P2410" s="152">
        <f>IF(L2410="","",IF('02_대상물건입력'!B15="",0,IF(ISNUMBER(SEARCH('02_대상물건입력'!B15,L2410)),1,0)))</f>
        <v/>
      </c>
      <c r="Q2410" s="152">
        <f>IF(OR(C2410="",L2410=""),0,IF(AND(TRIM(C2410)=TRIM(RIGHT(SUBSTITUTE(TRIM('02_대상물건입력'!$B$7)," ",REPT(" ",99)),99)),IF('02_대상물건입력'!B15="",TRUE(),ISNUMBER(SEARCH('02_대상물건입력'!B15,L2410)))),1,0))</f>
        <v/>
      </c>
      <c r="R2410" s="175">
        <f>IFERROR(ABS(E2410-'02_대상물건입력'!B11)/'02_대상물건입력'!B11,"")</f>
        <v/>
      </c>
      <c r="S2410" s="152">
        <f>IFERROR(ABS(J2410-'02_대상물건입력'!B10),"")</f>
        <v/>
      </c>
      <c r="T2410" s="152">
        <f>IFERROR(ABS('01_설정'!B4-F2410),"")</f>
        <v/>
      </c>
      <c r="U2410" s="152">
        <f>IFERROR(ABS(K2410-YEAR('02_대상물건입력'!B14)),"")</f>
        <v/>
      </c>
      <c r="V2410" s="152">
        <f>IF(B2410="","",IF(AND(E2410&gt;0,F2410&gt;0,H2410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2410=1,TRUE()),R2410&lt;='01_설정'!B5,S2410&lt;='01_설정'!B6,T2410&lt;='01_설정'!B7,U2410&lt;='01_설정'!B8),"Y",""))</f>
        <v/>
      </c>
      <c r="W2410" s="172">
        <f>IF(V2410&lt;&gt;"Y","",MAX(0,(1-R2410/'01_설정'!B5))*'01_설정'!B14+MAX(0,(1-S2410/'01_설정'!B6))*'01_설정'!B15+MAX(0,(1-T2410/'01_설정'!B7))*'01_설정'!B16+MAX(0,(1-U2410/'01_설정'!B8))*'01_설정'!B17+O2410*'01_설정'!B11+Q2410*'01_설정'!B12+P2410*'01_설정'!B13+IF(Z2410="",0,Z2410))</f>
        <v/>
      </c>
      <c r="X2410" s="152">
        <f>IF(W2410="","",1+COUNTIFS($W$4:$W$3003,"&gt;"&amp;W2410)+COUNTIFS($W$4:W2410,W2410)-1)</f>
        <v/>
      </c>
      <c r="Y2410" s="175">
        <f>IF(OR(I2410="",'02_대상물건입력'!B19="",'02_대상물건입력'!B19&lt;=0),"",ABS(I2410-'02_대상물건입력'!B19)/'02_대상물건입력'!B19)</f>
        <v/>
      </c>
      <c r="Z2410" s="172">
        <f>IF(OR(Y2410="",'01_설정'!B31="",'01_설정'!B31&lt;=0,'01_설정'!B32="",'01_설정'!B32&lt;=0),"",MAX(0,(1-Y2410/'01_설정'!B32))*'01_설정'!B31)</f>
        <v/>
      </c>
    </row>
    <row r="2411" ht="17.25" customHeight="1">
      <c r="A2411" s="152">
        <f>IF(INDEX('04A_국토부원자료'!$A:$A,ROW()+1)="","",ROW()-3)</f>
        <v/>
      </c>
      <c r="B2411" s="48">
        <f>IFERROR(INDEX('04A_국토부원자료'!$A:$T,ROW()+1,MATCH("시군구",'04A_국토부원자료'!$A$4:$T$4,0)),"")</f>
        <v/>
      </c>
      <c r="C2411" s="48">
        <f>IF(B2411="","",IFERROR(INDEX('04A_국토부원자료'!$A:$T,ROW()+1,MATCH("번지",'04A_국토부원자료'!$A$4:$T$4,0)),""))</f>
        <v/>
      </c>
      <c r="D2411" s="48">
        <f>IF(B2411="","",IF(Q2411=1,'02_대상물건입력'!$B$8,IFERROR(INDEX('04A_국토부원자료'!$A:$T,ROW()+1,MATCH("단지명",'04A_국토부원자료'!$A$4:$T$4,0)),"")))</f>
        <v/>
      </c>
      <c r="E2411" s="172">
        <f>IFERROR(VALUE(SUBSTITUTE(INDEX('04A_국토부원자료'!$A:$T,ROW()+1,MATCH("전용면적(㎡)",'04A_국토부원자료'!$A$4:$T$4,0)),",","")),"")</f>
        <v/>
      </c>
      <c r="F24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11" s="51">
        <f>IFERROR(VALUE(SUBSTITUTE(INDEX('04A_국토부원자료'!$A:$T,ROW()+1,MATCH("거래금액(만원)",'04A_국토부원자료'!$A$4:$T$4,0)),",","")),"")</f>
        <v/>
      </c>
      <c r="H2411" s="174">
        <f>IF(G2411="","",G2411*10000)</f>
        <v/>
      </c>
      <c r="I2411" s="174">
        <f>IFERROR(IF(AND(H2411&gt;0,E2411&gt;0),H2411/E2411,""),"")</f>
        <v/>
      </c>
      <c r="J2411" s="152">
        <f>IFERROR(VALUE(SUBSTITUTE(INDEX('04A_국토부원자료'!$A:$T,ROW()+1,MATCH("층",'04A_국토부원자료'!$A$4:$T$4,0)),",","")),"")</f>
        <v/>
      </c>
      <c r="K2411" s="152">
        <f>IFERROR(VALUE(SUBSTITUTE(INDEX('04A_국토부원자료'!$A:$T,ROW()+1,MATCH("건축년도",'04A_국토부원자료'!$A$4:$T$4,0)),",","")),"")</f>
        <v/>
      </c>
      <c r="L2411" s="48">
        <f>IFERROR(INDEX('04A_국토부원자료'!$A:$T,ROW()+1,MATCH("도로명",'04A_국토부원자료'!$A$4:$T$4,0)),"")</f>
        <v/>
      </c>
      <c r="M2411" s="48">
        <f>IFERROR(INDEX('04A_국토부원자료'!$A:$T,ROW()+1,MATCH("거래유형",'04A_국토부원자료'!$A$4:$T$4,0)),"")</f>
        <v/>
      </c>
      <c r="N2411" s="152">
        <f>IF(B2411="","",IF('02_대상물건입력'!B5="",1,IF(ISNUMBER(SEARCH('02_대상물건입력'!B5,B2411)),1,0)))</f>
        <v/>
      </c>
      <c r="O2411" s="152">
        <f>IF(B2411="","",IF('02_대상물건입력'!B6="",1,IF(ISNUMBER(SEARCH('02_대상물건입력'!B6,B2411)),1,0)))</f>
        <v/>
      </c>
      <c r="P2411" s="152">
        <f>IF(L2411="","",IF('02_대상물건입력'!B15="",0,IF(ISNUMBER(SEARCH('02_대상물건입력'!B15,L2411)),1,0)))</f>
        <v/>
      </c>
      <c r="Q2411" s="152">
        <f>IF(OR(C2411="",L2411=""),0,IF(AND(TRIM(C2411)=TRIM(RIGHT(SUBSTITUTE(TRIM('02_대상물건입력'!$B$7)," ",REPT(" ",99)),99)),IF('02_대상물건입력'!B15="",TRUE(),ISNUMBER(SEARCH('02_대상물건입력'!B15,L2411)))),1,0))</f>
        <v/>
      </c>
      <c r="R2411" s="175">
        <f>IFERROR(ABS(E2411-'02_대상물건입력'!B11)/'02_대상물건입력'!B11,"")</f>
        <v/>
      </c>
      <c r="S2411" s="152">
        <f>IFERROR(ABS(J2411-'02_대상물건입력'!B10),"")</f>
        <v/>
      </c>
      <c r="T2411" s="152">
        <f>IFERROR(ABS('01_설정'!B4-F2411),"")</f>
        <v/>
      </c>
      <c r="U2411" s="152">
        <f>IFERROR(ABS(K2411-YEAR('02_대상물건입력'!B14)),"")</f>
        <v/>
      </c>
      <c r="V2411" s="152">
        <f>IF(B2411="","",IF(AND(E2411&gt;0,F2411&gt;0,H2411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2411=1,TRUE()),R2411&lt;='01_설정'!B5,S2411&lt;='01_설정'!B6,T2411&lt;='01_설정'!B7,U2411&lt;='01_설정'!B8),"Y",""))</f>
        <v/>
      </c>
      <c r="W2411" s="172">
        <f>IF(V2411&lt;&gt;"Y","",MAX(0,(1-R2411/'01_설정'!B5))*'01_설정'!B14+MAX(0,(1-S2411/'01_설정'!B6))*'01_설정'!B15+MAX(0,(1-T2411/'01_설정'!B7))*'01_설정'!B16+MAX(0,(1-U2411/'01_설정'!B8))*'01_설정'!B17+O2411*'01_설정'!B11+Q2411*'01_설정'!B12+P2411*'01_설정'!B13+IF(Z2411="",0,Z2411))</f>
        <v/>
      </c>
      <c r="X2411" s="152">
        <f>IF(W2411="","",1+COUNTIFS($W$4:$W$3003,"&gt;"&amp;W2411)+COUNTIFS($W$4:W2411,W2411)-1)</f>
        <v/>
      </c>
      <c r="Y2411" s="175">
        <f>IF(OR(I2411="",'02_대상물건입력'!B19="",'02_대상물건입력'!B19&lt;=0),"",ABS(I2411-'02_대상물건입력'!B19)/'02_대상물건입력'!B19)</f>
        <v/>
      </c>
      <c r="Z2411" s="172">
        <f>IF(OR(Y2411="",'01_설정'!B31="",'01_설정'!B31&lt;=0,'01_설정'!B32="",'01_설정'!B32&lt;=0),"",MAX(0,(1-Y2411/'01_설정'!B32))*'01_설정'!B31)</f>
        <v/>
      </c>
    </row>
    <row r="2412" ht="17.25" customHeight="1">
      <c r="A2412" s="152">
        <f>IF(INDEX('04A_국토부원자료'!$A:$A,ROW()+1)="","",ROW()-3)</f>
        <v/>
      </c>
      <c r="B2412" s="48">
        <f>IFERROR(INDEX('04A_국토부원자료'!$A:$T,ROW()+1,MATCH("시군구",'04A_국토부원자료'!$A$4:$T$4,0)),"")</f>
        <v/>
      </c>
      <c r="C2412" s="48">
        <f>IF(B2412="","",IFERROR(INDEX('04A_국토부원자료'!$A:$T,ROW()+1,MATCH("번지",'04A_국토부원자료'!$A$4:$T$4,0)),""))</f>
        <v/>
      </c>
      <c r="D2412" s="48">
        <f>IF(B2412="","",IF(Q2412=1,'02_대상물건입력'!$B$8,IFERROR(INDEX('04A_국토부원자료'!$A:$T,ROW()+1,MATCH("단지명",'04A_국토부원자료'!$A$4:$T$4,0)),"")))</f>
        <v/>
      </c>
      <c r="E2412" s="172">
        <f>IFERROR(VALUE(SUBSTITUTE(INDEX('04A_국토부원자료'!$A:$T,ROW()+1,MATCH("전용면적(㎡)",'04A_국토부원자료'!$A$4:$T$4,0)),",","")),"")</f>
        <v/>
      </c>
      <c r="F24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12" s="51">
        <f>IFERROR(VALUE(SUBSTITUTE(INDEX('04A_국토부원자료'!$A:$T,ROW()+1,MATCH("거래금액(만원)",'04A_국토부원자료'!$A$4:$T$4,0)),",","")),"")</f>
        <v/>
      </c>
      <c r="H2412" s="174">
        <f>IF(G2412="","",G2412*10000)</f>
        <v/>
      </c>
      <c r="I2412" s="174">
        <f>IFERROR(IF(AND(H2412&gt;0,E2412&gt;0),H2412/E2412,""),"")</f>
        <v/>
      </c>
      <c r="J2412" s="152">
        <f>IFERROR(VALUE(SUBSTITUTE(INDEX('04A_국토부원자료'!$A:$T,ROW()+1,MATCH("층",'04A_국토부원자료'!$A$4:$T$4,0)),",","")),"")</f>
        <v/>
      </c>
      <c r="K2412" s="152">
        <f>IFERROR(VALUE(SUBSTITUTE(INDEX('04A_국토부원자료'!$A:$T,ROW()+1,MATCH("건축년도",'04A_국토부원자료'!$A$4:$T$4,0)),",","")),"")</f>
        <v/>
      </c>
      <c r="L2412" s="48">
        <f>IFERROR(INDEX('04A_국토부원자료'!$A:$T,ROW()+1,MATCH("도로명",'04A_국토부원자료'!$A$4:$T$4,0)),"")</f>
        <v/>
      </c>
      <c r="M2412" s="48">
        <f>IFERROR(INDEX('04A_국토부원자료'!$A:$T,ROW()+1,MATCH("거래유형",'04A_국토부원자료'!$A$4:$T$4,0)),"")</f>
        <v/>
      </c>
      <c r="N2412" s="152">
        <f>IF(B2412="","",IF('02_대상물건입력'!B5="",1,IF(ISNUMBER(SEARCH('02_대상물건입력'!B5,B2412)),1,0)))</f>
        <v/>
      </c>
      <c r="O2412" s="152">
        <f>IF(B2412="","",IF('02_대상물건입력'!B6="",1,IF(ISNUMBER(SEARCH('02_대상물건입력'!B6,B2412)),1,0)))</f>
        <v/>
      </c>
      <c r="P2412" s="152">
        <f>IF(L2412="","",IF('02_대상물건입력'!B15="",0,IF(ISNUMBER(SEARCH('02_대상물건입력'!B15,L2412)),1,0)))</f>
        <v/>
      </c>
      <c r="Q2412" s="152">
        <f>IF(OR(C2412="",L2412=""),0,IF(AND(TRIM(C2412)=TRIM(RIGHT(SUBSTITUTE(TRIM('02_대상물건입력'!$B$7)," ",REPT(" ",99)),99)),IF('02_대상물건입력'!B15="",TRUE(),ISNUMBER(SEARCH('02_대상물건입력'!B15,L2412)))),1,0))</f>
        <v/>
      </c>
      <c r="R2412" s="175">
        <f>IFERROR(ABS(E2412-'02_대상물건입력'!B11)/'02_대상물건입력'!B11,"")</f>
        <v/>
      </c>
      <c r="S2412" s="152">
        <f>IFERROR(ABS(J2412-'02_대상물건입력'!B10),"")</f>
        <v/>
      </c>
      <c r="T2412" s="152">
        <f>IFERROR(ABS('01_설정'!B4-F2412),"")</f>
        <v/>
      </c>
      <c r="U2412" s="152">
        <f>IFERROR(ABS(K2412-YEAR('02_대상물건입력'!B14)),"")</f>
        <v/>
      </c>
      <c r="V2412" s="152">
        <f>IF(B2412="","",IF(AND(E2412&gt;0,F2412&gt;0,H2412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2412=1,TRUE()),R2412&lt;='01_설정'!B5,S2412&lt;='01_설정'!B6,T2412&lt;='01_설정'!B7,U2412&lt;='01_설정'!B8),"Y",""))</f>
        <v/>
      </c>
      <c r="W2412" s="172">
        <f>IF(V2412&lt;&gt;"Y","",MAX(0,(1-R2412/'01_설정'!B5))*'01_설정'!B14+MAX(0,(1-S2412/'01_설정'!B6))*'01_설정'!B15+MAX(0,(1-T2412/'01_설정'!B7))*'01_설정'!B16+MAX(0,(1-U2412/'01_설정'!B8))*'01_설정'!B17+O2412*'01_설정'!B11+Q2412*'01_설정'!B12+P2412*'01_설정'!B13+IF(Z2412="",0,Z2412))</f>
        <v/>
      </c>
      <c r="X2412" s="152">
        <f>IF(W2412="","",1+COUNTIFS($W$4:$W$3003,"&gt;"&amp;W2412)+COUNTIFS($W$4:W2412,W2412)-1)</f>
        <v/>
      </c>
      <c r="Y2412" s="175">
        <f>IF(OR(I2412="",'02_대상물건입력'!B19="",'02_대상물건입력'!B19&lt;=0),"",ABS(I2412-'02_대상물건입력'!B19)/'02_대상물건입력'!B19)</f>
        <v/>
      </c>
      <c r="Z2412" s="172">
        <f>IF(OR(Y2412="",'01_설정'!B31="",'01_설정'!B31&lt;=0,'01_설정'!B32="",'01_설정'!B32&lt;=0),"",MAX(0,(1-Y2412/'01_설정'!B32))*'01_설정'!B31)</f>
        <v/>
      </c>
    </row>
    <row r="2413" ht="17.25" customHeight="1">
      <c r="A2413" s="152">
        <f>IF(INDEX('04A_국토부원자료'!$A:$A,ROW()+1)="","",ROW()-3)</f>
        <v/>
      </c>
      <c r="B2413" s="48">
        <f>IFERROR(INDEX('04A_국토부원자료'!$A:$T,ROW()+1,MATCH("시군구",'04A_국토부원자료'!$A$4:$T$4,0)),"")</f>
        <v/>
      </c>
      <c r="C2413" s="48">
        <f>IF(B2413="","",IFERROR(INDEX('04A_국토부원자료'!$A:$T,ROW()+1,MATCH("번지",'04A_국토부원자료'!$A$4:$T$4,0)),""))</f>
        <v/>
      </c>
      <c r="D2413" s="48">
        <f>IF(B2413="","",IF(Q2413=1,'02_대상물건입력'!$B$8,IFERROR(INDEX('04A_국토부원자료'!$A:$T,ROW()+1,MATCH("단지명",'04A_국토부원자료'!$A$4:$T$4,0)),"")))</f>
        <v/>
      </c>
      <c r="E2413" s="172">
        <f>IFERROR(VALUE(SUBSTITUTE(INDEX('04A_국토부원자료'!$A:$T,ROW()+1,MATCH("전용면적(㎡)",'04A_국토부원자료'!$A$4:$T$4,0)),",","")),"")</f>
        <v/>
      </c>
      <c r="F24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13" s="51">
        <f>IFERROR(VALUE(SUBSTITUTE(INDEX('04A_국토부원자료'!$A:$T,ROW()+1,MATCH("거래금액(만원)",'04A_국토부원자료'!$A$4:$T$4,0)),",","")),"")</f>
        <v/>
      </c>
      <c r="H2413" s="174">
        <f>IF(G2413="","",G2413*10000)</f>
        <v/>
      </c>
      <c r="I2413" s="174">
        <f>IFERROR(IF(AND(H2413&gt;0,E2413&gt;0),H2413/E2413,""),"")</f>
        <v/>
      </c>
      <c r="J2413" s="152">
        <f>IFERROR(VALUE(SUBSTITUTE(INDEX('04A_국토부원자료'!$A:$T,ROW()+1,MATCH("층",'04A_국토부원자료'!$A$4:$T$4,0)),",","")),"")</f>
        <v/>
      </c>
      <c r="K2413" s="152">
        <f>IFERROR(VALUE(SUBSTITUTE(INDEX('04A_국토부원자료'!$A:$T,ROW()+1,MATCH("건축년도",'04A_국토부원자료'!$A$4:$T$4,0)),",","")),"")</f>
        <v/>
      </c>
      <c r="L2413" s="48">
        <f>IFERROR(INDEX('04A_국토부원자료'!$A:$T,ROW()+1,MATCH("도로명",'04A_국토부원자료'!$A$4:$T$4,0)),"")</f>
        <v/>
      </c>
      <c r="M2413" s="48">
        <f>IFERROR(INDEX('04A_국토부원자료'!$A:$T,ROW()+1,MATCH("거래유형",'04A_국토부원자료'!$A$4:$T$4,0)),"")</f>
        <v/>
      </c>
      <c r="N2413" s="152">
        <f>IF(B2413="","",IF('02_대상물건입력'!B5="",1,IF(ISNUMBER(SEARCH('02_대상물건입력'!B5,B2413)),1,0)))</f>
        <v/>
      </c>
      <c r="O2413" s="152">
        <f>IF(B2413="","",IF('02_대상물건입력'!B6="",1,IF(ISNUMBER(SEARCH('02_대상물건입력'!B6,B2413)),1,0)))</f>
        <v/>
      </c>
      <c r="P2413" s="152">
        <f>IF(L2413="","",IF('02_대상물건입력'!B15="",0,IF(ISNUMBER(SEARCH('02_대상물건입력'!B15,L2413)),1,0)))</f>
        <v/>
      </c>
      <c r="Q2413" s="152">
        <f>IF(OR(C2413="",L2413=""),0,IF(AND(TRIM(C2413)=TRIM(RIGHT(SUBSTITUTE(TRIM('02_대상물건입력'!$B$7)," ",REPT(" ",99)),99)),IF('02_대상물건입력'!B15="",TRUE(),ISNUMBER(SEARCH('02_대상물건입력'!B15,L2413)))),1,0))</f>
        <v/>
      </c>
      <c r="R2413" s="175">
        <f>IFERROR(ABS(E2413-'02_대상물건입력'!B11)/'02_대상물건입력'!B11,"")</f>
        <v/>
      </c>
      <c r="S2413" s="152">
        <f>IFERROR(ABS(J2413-'02_대상물건입력'!B10),"")</f>
        <v/>
      </c>
      <c r="T2413" s="152">
        <f>IFERROR(ABS('01_설정'!B4-F2413),"")</f>
        <v/>
      </c>
      <c r="U2413" s="152">
        <f>IFERROR(ABS(K2413-YEAR('02_대상물건입력'!B14)),"")</f>
        <v/>
      </c>
      <c r="V2413" s="152">
        <f>IF(B2413="","",IF(AND(E2413&gt;0,F2413&gt;0,H2413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2413=1,TRUE()),R2413&lt;='01_설정'!B5,S2413&lt;='01_설정'!B6,T2413&lt;='01_설정'!B7,U2413&lt;='01_설정'!B8),"Y",""))</f>
        <v/>
      </c>
      <c r="W2413" s="172">
        <f>IF(V2413&lt;&gt;"Y","",MAX(0,(1-R2413/'01_설정'!B5))*'01_설정'!B14+MAX(0,(1-S2413/'01_설정'!B6))*'01_설정'!B15+MAX(0,(1-T2413/'01_설정'!B7))*'01_설정'!B16+MAX(0,(1-U2413/'01_설정'!B8))*'01_설정'!B17+O2413*'01_설정'!B11+Q2413*'01_설정'!B12+P2413*'01_설정'!B13+IF(Z2413="",0,Z2413))</f>
        <v/>
      </c>
      <c r="X2413" s="152">
        <f>IF(W2413="","",1+COUNTIFS($W$4:$W$3003,"&gt;"&amp;W2413)+COUNTIFS($W$4:W2413,W2413)-1)</f>
        <v/>
      </c>
      <c r="Y2413" s="175">
        <f>IF(OR(I2413="",'02_대상물건입력'!B19="",'02_대상물건입력'!B19&lt;=0),"",ABS(I2413-'02_대상물건입력'!B19)/'02_대상물건입력'!B19)</f>
        <v/>
      </c>
      <c r="Z2413" s="172">
        <f>IF(OR(Y2413="",'01_설정'!B31="",'01_설정'!B31&lt;=0,'01_설정'!B32="",'01_설정'!B32&lt;=0),"",MAX(0,(1-Y2413/'01_설정'!B32))*'01_설정'!B31)</f>
        <v/>
      </c>
    </row>
    <row r="2414" ht="17.25" customHeight="1">
      <c r="A2414" s="152">
        <f>IF(INDEX('04A_국토부원자료'!$A:$A,ROW()+1)="","",ROW()-3)</f>
        <v/>
      </c>
      <c r="B2414" s="48">
        <f>IFERROR(INDEX('04A_국토부원자료'!$A:$T,ROW()+1,MATCH("시군구",'04A_국토부원자료'!$A$4:$T$4,0)),"")</f>
        <v/>
      </c>
      <c r="C2414" s="48">
        <f>IF(B2414="","",IFERROR(INDEX('04A_국토부원자료'!$A:$T,ROW()+1,MATCH("번지",'04A_국토부원자료'!$A$4:$T$4,0)),""))</f>
        <v/>
      </c>
      <c r="D2414" s="48">
        <f>IF(B2414="","",IF(Q2414=1,'02_대상물건입력'!$B$8,IFERROR(INDEX('04A_국토부원자료'!$A:$T,ROW()+1,MATCH("단지명",'04A_국토부원자료'!$A$4:$T$4,0)),"")))</f>
        <v/>
      </c>
      <c r="E2414" s="172">
        <f>IFERROR(VALUE(SUBSTITUTE(INDEX('04A_국토부원자료'!$A:$T,ROW()+1,MATCH("전용면적(㎡)",'04A_국토부원자료'!$A$4:$T$4,0)),",","")),"")</f>
        <v/>
      </c>
      <c r="F24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14" s="51">
        <f>IFERROR(VALUE(SUBSTITUTE(INDEX('04A_국토부원자료'!$A:$T,ROW()+1,MATCH("거래금액(만원)",'04A_국토부원자료'!$A$4:$T$4,0)),",","")),"")</f>
        <v/>
      </c>
      <c r="H2414" s="174">
        <f>IF(G2414="","",G2414*10000)</f>
        <v/>
      </c>
      <c r="I2414" s="174">
        <f>IFERROR(IF(AND(H2414&gt;0,E2414&gt;0),H2414/E2414,""),"")</f>
        <v/>
      </c>
      <c r="J2414" s="152">
        <f>IFERROR(VALUE(SUBSTITUTE(INDEX('04A_국토부원자료'!$A:$T,ROW()+1,MATCH("층",'04A_국토부원자료'!$A$4:$T$4,0)),",","")),"")</f>
        <v/>
      </c>
      <c r="K2414" s="152">
        <f>IFERROR(VALUE(SUBSTITUTE(INDEX('04A_국토부원자료'!$A:$T,ROW()+1,MATCH("건축년도",'04A_국토부원자료'!$A$4:$T$4,0)),",","")),"")</f>
        <v/>
      </c>
      <c r="L2414" s="48">
        <f>IFERROR(INDEX('04A_국토부원자료'!$A:$T,ROW()+1,MATCH("도로명",'04A_국토부원자료'!$A$4:$T$4,0)),"")</f>
        <v/>
      </c>
      <c r="M2414" s="48">
        <f>IFERROR(INDEX('04A_국토부원자료'!$A:$T,ROW()+1,MATCH("거래유형",'04A_국토부원자료'!$A$4:$T$4,0)),"")</f>
        <v/>
      </c>
      <c r="N2414" s="152">
        <f>IF(B2414="","",IF('02_대상물건입력'!B5="",1,IF(ISNUMBER(SEARCH('02_대상물건입력'!B5,B2414)),1,0)))</f>
        <v/>
      </c>
      <c r="O2414" s="152">
        <f>IF(B2414="","",IF('02_대상물건입력'!B6="",1,IF(ISNUMBER(SEARCH('02_대상물건입력'!B6,B2414)),1,0)))</f>
        <v/>
      </c>
      <c r="P2414" s="152">
        <f>IF(L2414="","",IF('02_대상물건입력'!B15="",0,IF(ISNUMBER(SEARCH('02_대상물건입력'!B15,L2414)),1,0)))</f>
        <v/>
      </c>
      <c r="Q2414" s="152">
        <f>IF(OR(C2414="",L2414=""),0,IF(AND(TRIM(C2414)=TRIM(RIGHT(SUBSTITUTE(TRIM('02_대상물건입력'!$B$7)," ",REPT(" ",99)),99)),IF('02_대상물건입력'!B15="",TRUE(),ISNUMBER(SEARCH('02_대상물건입력'!B15,L2414)))),1,0))</f>
        <v/>
      </c>
      <c r="R2414" s="175">
        <f>IFERROR(ABS(E2414-'02_대상물건입력'!B11)/'02_대상물건입력'!B11,"")</f>
        <v/>
      </c>
      <c r="S2414" s="152">
        <f>IFERROR(ABS(J2414-'02_대상물건입력'!B10),"")</f>
        <v/>
      </c>
      <c r="T2414" s="152">
        <f>IFERROR(ABS('01_설정'!B4-F2414),"")</f>
        <v/>
      </c>
      <c r="U2414" s="152">
        <f>IFERROR(ABS(K2414-YEAR('02_대상물건입력'!B14)),"")</f>
        <v/>
      </c>
      <c r="V2414" s="152">
        <f>IF(B2414="","",IF(AND(E2414&gt;0,F2414&gt;0,H2414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2414=1,TRUE()),R2414&lt;='01_설정'!B5,S2414&lt;='01_설정'!B6,T2414&lt;='01_설정'!B7,U2414&lt;='01_설정'!B8),"Y",""))</f>
        <v/>
      </c>
      <c r="W2414" s="172">
        <f>IF(V2414&lt;&gt;"Y","",MAX(0,(1-R2414/'01_설정'!B5))*'01_설정'!B14+MAX(0,(1-S2414/'01_설정'!B6))*'01_설정'!B15+MAX(0,(1-T2414/'01_설정'!B7))*'01_설정'!B16+MAX(0,(1-U2414/'01_설정'!B8))*'01_설정'!B17+O2414*'01_설정'!B11+Q2414*'01_설정'!B12+P2414*'01_설정'!B13+IF(Z2414="",0,Z2414))</f>
        <v/>
      </c>
      <c r="X2414" s="152">
        <f>IF(W2414="","",1+COUNTIFS($W$4:$W$3003,"&gt;"&amp;W2414)+COUNTIFS($W$4:W2414,W2414)-1)</f>
        <v/>
      </c>
      <c r="Y2414" s="175">
        <f>IF(OR(I2414="",'02_대상물건입력'!B19="",'02_대상물건입력'!B19&lt;=0),"",ABS(I2414-'02_대상물건입력'!B19)/'02_대상물건입력'!B19)</f>
        <v/>
      </c>
      <c r="Z2414" s="172">
        <f>IF(OR(Y2414="",'01_설정'!B31="",'01_설정'!B31&lt;=0,'01_설정'!B32="",'01_설정'!B32&lt;=0),"",MAX(0,(1-Y2414/'01_설정'!B32))*'01_설정'!B31)</f>
        <v/>
      </c>
    </row>
    <row r="2415" ht="17.25" customHeight="1">
      <c r="A2415" s="152">
        <f>IF(INDEX('04A_국토부원자료'!$A:$A,ROW()+1)="","",ROW()-3)</f>
        <v/>
      </c>
      <c r="B2415" s="48">
        <f>IFERROR(INDEX('04A_국토부원자료'!$A:$T,ROW()+1,MATCH("시군구",'04A_국토부원자료'!$A$4:$T$4,0)),"")</f>
        <v/>
      </c>
      <c r="C2415" s="48">
        <f>IF(B2415="","",IFERROR(INDEX('04A_국토부원자료'!$A:$T,ROW()+1,MATCH("번지",'04A_국토부원자료'!$A$4:$T$4,0)),""))</f>
        <v/>
      </c>
      <c r="D2415" s="48">
        <f>IF(B2415="","",IF(Q2415=1,'02_대상물건입력'!$B$8,IFERROR(INDEX('04A_국토부원자료'!$A:$T,ROW()+1,MATCH("단지명",'04A_국토부원자료'!$A$4:$T$4,0)),"")))</f>
        <v/>
      </c>
      <c r="E2415" s="172">
        <f>IFERROR(VALUE(SUBSTITUTE(INDEX('04A_국토부원자료'!$A:$T,ROW()+1,MATCH("전용면적(㎡)",'04A_국토부원자료'!$A$4:$T$4,0)),",","")),"")</f>
        <v/>
      </c>
      <c r="F24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15" s="51">
        <f>IFERROR(VALUE(SUBSTITUTE(INDEX('04A_국토부원자료'!$A:$T,ROW()+1,MATCH("거래금액(만원)",'04A_국토부원자료'!$A$4:$T$4,0)),",","")),"")</f>
        <v/>
      </c>
      <c r="H2415" s="174">
        <f>IF(G2415="","",G2415*10000)</f>
        <v/>
      </c>
      <c r="I2415" s="174">
        <f>IFERROR(IF(AND(H2415&gt;0,E2415&gt;0),H2415/E2415,""),"")</f>
        <v/>
      </c>
      <c r="J2415" s="152">
        <f>IFERROR(VALUE(SUBSTITUTE(INDEX('04A_국토부원자료'!$A:$T,ROW()+1,MATCH("층",'04A_국토부원자료'!$A$4:$T$4,0)),",","")),"")</f>
        <v/>
      </c>
      <c r="K2415" s="152">
        <f>IFERROR(VALUE(SUBSTITUTE(INDEX('04A_국토부원자료'!$A:$T,ROW()+1,MATCH("건축년도",'04A_국토부원자료'!$A$4:$T$4,0)),",","")),"")</f>
        <v/>
      </c>
      <c r="L2415" s="48">
        <f>IFERROR(INDEX('04A_국토부원자료'!$A:$T,ROW()+1,MATCH("도로명",'04A_국토부원자료'!$A$4:$T$4,0)),"")</f>
        <v/>
      </c>
      <c r="M2415" s="48">
        <f>IFERROR(INDEX('04A_국토부원자료'!$A:$T,ROW()+1,MATCH("거래유형",'04A_국토부원자료'!$A$4:$T$4,0)),"")</f>
        <v/>
      </c>
      <c r="N2415" s="152">
        <f>IF(B2415="","",IF('02_대상물건입력'!B5="",1,IF(ISNUMBER(SEARCH('02_대상물건입력'!B5,B2415)),1,0)))</f>
        <v/>
      </c>
      <c r="O2415" s="152">
        <f>IF(B2415="","",IF('02_대상물건입력'!B6="",1,IF(ISNUMBER(SEARCH('02_대상물건입력'!B6,B2415)),1,0)))</f>
        <v/>
      </c>
      <c r="P2415" s="152">
        <f>IF(L2415="","",IF('02_대상물건입력'!B15="",0,IF(ISNUMBER(SEARCH('02_대상물건입력'!B15,L2415)),1,0)))</f>
        <v/>
      </c>
      <c r="Q2415" s="152">
        <f>IF(OR(C2415="",L2415=""),0,IF(AND(TRIM(C2415)=TRIM(RIGHT(SUBSTITUTE(TRIM('02_대상물건입력'!$B$7)," ",REPT(" ",99)),99)),IF('02_대상물건입력'!B15="",TRUE(),ISNUMBER(SEARCH('02_대상물건입력'!B15,L2415)))),1,0))</f>
        <v/>
      </c>
      <c r="R2415" s="175">
        <f>IFERROR(ABS(E2415-'02_대상물건입력'!B11)/'02_대상물건입력'!B11,"")</f>
        <v/>
      </c>
      <c r="S2415" s="152">
        <f>IFERROR(ABS(J2415-'02_대상물건입력'!B10),"")</f>
        <v/>
      </c>
      <c r="T2415" s="152">
        <f>IFERROR(ABS('01_설정'!B4-F2415),"")</f>
        <v/>
      </c>
      <c r="U2415" s="152">
        <f>IFERROR(ABS(K2415-YEAR('02_대상물건입력'!B14)),"")</f>
        <v/>
      </c>
      <c r="V2415" s="152">
        <f>IF(B2415="","",IF(AND(E2415&gt;0,F2415&gt;0,H2415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2415=1,TRUE()),R2415&lt;='01_설정'!B5,S2415&lt;='01_설정'!B6,T2415&lt;='01_설정'!B7,U2415&lt;='01_설정'!B8),"Y",""))</f>
        <v/>
      </c>
      <c r="W2415" s="172">
        <f>IF(V2415&lt;&gt;"Y","",MAX(0,(1-R2415/'01_설정'!B5))*'01_설정'!B14+MAX(0,(1-S2415/'01_설정'!B6))*'01_설정'!B15+MAX(0,(1-T2415/'01_설정'!B7))*'01_설정'!B16+MAX(0,(1-U2415/'01_설정'!B8))*'01_설정'!B17+O2415*'01_설정'!B11+Q2415*'01_설정'!B12+P2415*'01_설정'!B13+IF(Z2415="",0,Z2415))</f>
        <v/>
      </c>
      <c r="X2415" s="152">
        <f>IF(W2415="","",1+COUNTIFS($W$4:$W$3003,"&gt;"&amp;W2415)+COUNTIFS($W$4:W2415,W2415)-1)</f>
        <v/>
      </c>
      <c r="Y2415" s="175">
        <f>IF(OR(I2415="",'02_대상물건입력'!B19="",'02_대상물건입력'!B19&lt;=0),"",ABS(I2415-'02_대상물건입력'!B19)/'02_대상물건입력'!B19)</f>
        <v/>
      </c>
      <c r="Z2415" s="172">
        <f>IF(OR(Y2415="",'01_설정'!B31="",'01_설정'!B31&lt;=0,'01_설정'!B32="",'01_설정'!B32&lt;=0),"",MAX(0,(1-Y2415/'01_설정'!B32))*'01_설정'!B31)</f>
        <v/>
      </c>
    </row>
    <row r="2416" ht="17.25" customHeight="1">
      <c r="A2416" s="152">
        <f>IF(INDEX('04A_국토부원자료'!$A:$A,ROW()+1)="","",ROW()-3)</f>
        <v/>
      </c>
      <c r="B2416" s="48">
        <f>IFERROR(INDEX('04A_국토부원자료'!$A:$T,ROW()+1,MATCH("시군구",'04A_국토부원자료'!$A$4:$T$4,0)),"")</f>
        <v/>
      </c>
      <c r="C2416" s="48">
        <f>IF(B2416="","",IFERROR(INDEX('04A_국토부원자료'!$A:$T,ROW()+1,MATCH("번지",'04A_국토부원자료'!$A$4:$T$4,0)),""))</f>
        <v/>
      </c>
      <c r="D2416" s="48">
        <f>IF(B2416="","",IF(Q2416=1,'02_대상물건입력'!$B$8,IFERROR(INDEX('04A_국토부원자료'!$A:$T,ROW()+1,MATCH("단지명",'04A_국토부원자료'!$A$4:$T$4,0)),"")))</f>
        <v/>
      </c>
      <c r="E2416" s="172">
        <f>IFERROR(VALUE(SUBSTITUTE(INDEX('04A_국토부원자료'!$A:$T,ROW()+1,MATCH("전용면적(㎡)",'04A_국토부원자료'!$A$4:$T$4,0)),",","")),"")</f>
        <v/>
      </c>
      <c r="F24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16" s="51">
        <f>IFERROR(VALUE(SUBSTITUTE(INDEX('04A_국토부원자료'!$A:$T,ROW()+1,MATCH("거래금액(만원)",'04A_국토부원자료'!$A$4:$T$4,0)),",","")),"")</f>
        <v/>
      </c>
      <c r="H2416" s="174">
        <f>IF(G2416="","",G2416*10000)</f>
        <v/>
      </c>
      <c r="I2416" s="174">
        <f>IFERROR(IF(AND(H2416&gt;0,E2416&gt;0),H2416/E2416,""),"")</f>
        <v/>
      </c>
      <c r="J2416" s="152">
        <f>IFERROR(VALUE(SUBSTITUTE(INDEX('04A_국토부원자료'!$A:$T,ROW()+1,MATCH("층",'04A_국토부원자료'!$A$4:$T$4,0)),",","")),"")</f>
        <v/>
      </c>
      <c r="K2416" s="152">
        <f>IFERROR(VALUE(SUBSTITUTE(INDEX('04A_국토부원자료'!$A:$T,ROW()+1,MATCH("건축년도",'04A_국토부원자료'!$A$4:$T$4,0)),",","")),"")</f>
        <v/>
      </c>
      <c r="L2416" s="48">
        <f>IFERROR(INDEX('04A_국토부원자료'!$A:$T,ROW()+1,MATCH("도로명",'04A_국토부원자료'!$A$4:$T$4,0)),"")</f>
        <v/>
      </c>
      <c r="M2416" s="48">
        <f>IFERROR(INDEX('04A_국토부원자료'!$A:$T,ROW()+1,MATCH("거래유형",'04A_국토부원자료'!$A$4:$T$4,0)),"")</f>
        <v/>
      </c>
      <c r="N2416" s="152">
        <f>IF(B2416="","",IF('02_대상물건입력'!B5="",1,IF(ISNUMBER(SEARCH('02_대상물건입력'!B5,B2416)),1,0)))</f>
        <v/>
      </c>
      <c r="O2416" s="152">
        <f>IF(B2416="","",IF('02_대상물건입력'!B6="",1,IF(ISNUMBER(SEARCH('02_대상물건입력'!B6,B2416)),1,0)))</f>
        <v/>
      </c>
      <c r="P2416" s="152">
        <f>IF(L2416="","",IF('02_대상물건입력'!B15="",0,IF(ISNUMBER(SEARCH('02_대상물건입력'!B15,L2416)),1,0)))</f>
        <v/>
      </c>
      <c r="Q2416" s="152">
        <f>IF(OR(C2416="",L2416=""),0,IF(AND(TRIM(C2416)=TRIM(RIGHT(SUBSTITUTE(TRIM('02_대상물건입력'!$B$7)," ",REPT(" ",99)),99)),IF('02_대상물건입력'!B15="",TRUE(),ISNUMBER(SEARCH('02_대상물건입력'!B15,L2416)))),1,0))</f>
        <v/>
      </c>
      <c r="R2416" s="175">
        <f>IFERROR(ABS(E2416-'02_대상물건입력'!B11)/'02_대상물건입력'!B11,"")</f>
        <v/>
      </c>
      <c r="S2416" s="152">
        <f>IFERROR(ABS(J2416-'02_대상물건입력'!B10),"")</f>
        <v/>
      </c>
      <c r="T2416" s="152">
        <f>IFERROR(ABS('01_설정'!B4-F2416),"")</f>
        <v/>
      </c>
      <c r="U2416" s="152">
        <f>IFERROR(ABS(K2416-YEAR('02_대상물건입력'!B14)),"")</f>
        <v/>
      </c>
      <c r="V2416" s="152">
        <f>IF(B2416="","",IF(AND(E2416&gt;0,F2416&gt;0,H2416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2416=1,TRUE()),R2416&lt;='01_설정'!B5,S2416&lt;='01_설정'!B6,T2416&lt;='01_설정'!B7,U2416&lt;='01_설정'!B8),"Y",""))</f>
        <v/>
      </c>
      <c r="W2416" s="172">
        <f>IF(V2416&lt;&gt;"Y","",MAX(0,(1-R2416/'01_설정'!B5))*'01_설정'!B14+MAX(0,(1-S2416/'01_설정'!B6))*'01_설정'!B15+MAX(0,(1-T2416/'01_설정'!B7))*'01_설정'!B16+MAX(0,(1-U2416/'01_설정'!B8))*'01_설정'!B17+O2416*'01_설정'!B11+Q2416*'01_설정'!B12+P2416*'01_설정'!B13+IF(Z2416="",0,Z2416))</f>
        <v/>
      </c>
      <c r="X2416" s="152">
        <f>IF(W2416="","",1+COUNTIFS($W$4:$W$3003,"&gt;"&amp;W2416)+COUNTIFS($W$4:W2416,W2416)-1)</f>
        <v/>
      </c>
      <c r="Y2416" s="175">
        <f>IF(OR(I2416="",'02_대상물건입력'!B19="",'02_대상물건입력'!B19&lt;=0),"",ABS(I2416-'02_대상물건입력'!B19)/'02_대상물건입력'!B19)</f>
        <v/>
      </c>
      <c r="Z2416" s="172">
        <f>IF(OR(Y2416="",'01_설정'!B31="",'01_설정'!B31&lt;=0,'01_설정'!B32="",'01_설정'!B32&lt;=0),"",MAX(0,(1-Y2416/'01_설정'!B32))*'01_설정'!B31)</f>
        <v/>
      </c>
    </row>
    <row r="2417" ht="17.25" customHeight="1">
      <c r="A2417" s="152">
        <f>IF(INDEX('04A_국토부원자료'!$A:$A,ROW()+1)="","",ROW()-3)</f>
        <v/>
      </c>
      <c r="B2417" s="48">
        <f>IFERROR(INDEX('04A_국토부원자료'!$A:$T,ROW()+1,MATCH("시군구",'04A_국토부원자료'!$A$4:$T$4,0)),"")</f>
        <v/>
      </c>
      <c r="C2417" s="48">
        <f>IF(B2417="","",IFERROR(INDEX('04A_국토부원자료'!$A:$T,ROW()+1,MATCH("번지",'04A_국토부원자료'!$A$4:$T$4,0)),""))</f>
        <v/>
      </c>
      <c r="D2417" s="48">
        <f>IF(B2417="","",IF(Q2417=1,'02_대상물건입력'!$B$8,IFERROR(INDEX('04A_국토부원자료'!$A:$T,ROW()+1,MATCH("단지명",'04A_국토부원자료'!$A$4:$T$4,0)),"")))</f>
        <v/>
      </c>
      <c r="E2417" s="172">
        <f>IFERROR(VALUE(SUBSTITUTE(INDEX('04A_국토부원자료'!$A:$T,ROW()+1,MATCH("전용면적(㎡)",'04A_국토부원자료'!$A$4:$T$4,0)),",","")),"")</f>
        <v/>
      </c>
      <c r="F24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17" s="51">
        <f>IFERROR(VALUE(SUBSTITUTE(INDEX('04A_국토부원자료'!$A:$T,ROW()+1,MATCH("거래금액(만원)",'04A_국토부원자료'!$A$4:$T$4,0)),",","")),"")</f>
        <v/>
      </c>
      <c r="H2417" s="174">
        <f>IF(G2417="","",G2417*10000)</f>
        <v/>
      </c>
      <c r="I2417" s="174">
        <f>IFERROR(IF(AND(H2417&gt;0,E2417&gt;0),H2417/E2417,""),"")</f>
        <v/>
      </c>
      <c r="J2417" s="152">
        <f>IFERROR(VALUE(SUBSTITUTE(INDEX('04A_국토부원자료'!$A:$T,ROW()+1,MATCH("층",'04A_국토부원자료'!$A$4:$T$4,0)),",","")),"")</f>
        <v/>
      </c>
      <c r="K2417" s="152">
        <f>IFERROR(VALUE(SUBSTITUTE(INDEX('04A_국토부원자료'!$A:$T,ROW()+1,MATCH("건축년도",'04A_국토부원자료'!$A$4:$T$4,0)),",","")),"")</f>
        <v/>
      </c>
      <c r="L2417" s="48">
        <f>IFERROR(INDEX('04A_국토부원자료'!$A:$T,ROW()+1,MATCH("도로명",'04A_국토부원자료'!$A$4:$T$4,0)),"")</f>
        <v/>
      </c>
      <c r="M2417" s="48">
        <f>IFERROR(INDEX('04A_국토부원자료'!$A:$T,ROW()+1,MATCH("거래유형",'04A_국토부원자료'!$A$4:$T$4,0)),"")</f>
        <v/>
      </c>
      <c r="N2417" s="152">
        <f>IF(B2417="","",IF('02_대상물건입력'!B5="",1,IF(ISNUMBER(SEARCH('02_대상물건입력'!B5,B2417)),1,0)))</f>
        <v/>
      </c>
      <c r="O2417" s="152">
        <f>IF(B2417="","",IF('02_대상물건입력'!B6="",1,IF(ISNUMBER(SEARCH('02_대상물건입력'!B6,B2417)),1,0)))</f>
        <v/>
      </c>
      <c r="P2417" s="152">
        <f>IF(L2417="","",IF('02_대상물건입력'!B15="",0,IF(ISNUMBER(SEARCH('02_대상물건입력'!B15,L2417)),1,0)))</f>
        <v/>
      </c>
      <c r="Q2417" s="152">
        <f>IF(OR(C2417="",L2417=""),0,IF(AND(TRIM(C2417)=TRIM(RIGHT(SUBSTITUTE(TRIM('02_대상물건입력'!$B$7)," ",REPT(" ",99)),99)),IF('02_대상물건입력'!B15="",TRUE(),ISNUMBER(SEARCH('02_대상물건입력'!B15,L2417)))),1,0))</f>
        <v/>
      </c>
      <c r="R2417" s="175">
        <f>IFERROR(ABS(E2417-'02_대상물건입력'!B11)/'02_대상물건입력'!B11,"")</f>
        <v/>
      </c>
      <c r="S2417" s="152">
        <f>IFERROR(ABS(J2417-'02_대상물건입력'!B10),"")</f>
        <v/>
      </c>
      <c r="T2417" s="152">
        <f>IFERROR(ABS('01_설정'!B4-F2417),"")</f>
        <v/>
      </c>
      <c r="U2417" s="152">
        <f>IFERROR(ABS(K2417-YEAR('02_대상물건입력'!B14)),"")</f>
        <v/>
      </c>
      <c r="V2417" s="152">
        <f>IF(B2417="","",IF(AND(E2417&gt;0,F2417&gt;0,H2417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2417=1,TRUE()),R2417&lt;='01_설정'!B5,S2417&lt;='01_설정'!B6,T2417&lt;='01_설정'!B7,U2417&lt;='01_설정'!B8),"Y",""))</f>
        <v/>
      </c>
      <c r="W2417" s="172">
        <f>IF(V2417&lt;&gt;"Y","",MAX(0,(1-R2417/'01_설정'!B5))*'01_설정'!B14+MAX(0,(1-S2417/'01_설정'!B6))*'01_설정'!B15+MAX(0,(1-T2417/'01_설정'!B7))*'01_설정'!B16+MAX(0,(1-U2417/'01_설정'!B8))*'01_설정'!B17+O2417*'01_설정'!B11+Q2417*'01_설정'!B12+P2417*'01_설정'!B13+IF(Z2417="",0,Z2417))</f>
        <v/>
      </c>
      <c r="X2417" s="152">
        <f>IF(W2417="","",1+COUNTIFS($W$4:$W$3003,"&gt;"&amp;W2417)+COUNTIFS($W$4:W2417,W2417)-1)</f>
        <v/>
      </c>
      <c r="Y2417" s="175">
        <f>IF(OR(I2417="",'02_대상물건입력'!B19="",'02_대상물건입력'!B19&lt;=0),"",ABS(I2417-'02_대상물건입력'!B19)/'02_대상물건입력'!B19)</f>
        <v/>
      </c>
      <c r="Z2417" s="172">
        <f>IF(OR(Y2417="",'01_설정'!B31="",'01_설정'!B31&lt;=0,'01_설정'!B32="",'01_설정'!B32&lt;=0),"",MAX(0,(1-Y2417/'01_설정'!B32))*'01_설정'!B31)</f>
        <v/>
      </c>
    </row>
    <row r="2418" ht="17.25" customHeight="1">
      <c r="A2418" s="152">
        <f>IF(INDEX('04A_국토부원자료'!$A:$A,ROW()+1)="","",ROW()-3)</f>
        <v/>
      </c>
      <c r="B2418" s="48">
        <f>IFERROR(INDEX('04A_국토부원자료'!$A:$T,ROW()+1,MATCH("시군구",'04A_국토부원자료'!$A$4:$T$4,0)),"")</f>
        <v/>
      </c>
      <c r="C2418" s="48">
        <f>IF(B2418="","",IFERROR(INDEX('04A_국토부원자료'!$A:$T,ROW()+1,MATCH("번지",'04A_국토부원자료'!$A$4:$T$4,0)),""))</f>
        <v/>
      </c>
      <c r="D2418" s="48">
        <f>IF(B2418="","",IF(Q2418=1,'02_대상물건입력'!$B$8,IFERROR(INDEX('04A_국토부원자료'!$A:$T,ROW()+1,MATCH("단지명",'04A_국토부원자료'!$A$4:$T$4,0)),"")))</f>
        <v/>
      </c>
      <c r="E2418" s="172">
        <f>IFERROR(VALUE(SUBSTITUTE(INDEX('04A_국토부원자료'!$A:$T,ROW()+1,MATCH("전용면적(㎡)",'04A_국토부원자료'!$A$4:$T$4,0)),",","")),"")</f>
        <v/>
      </c>
      <c r="F24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18" s="51">
        <f>IFERROR(VALUE(SUBSTITUTE(INDEX('04A_국토부원자료'!$A:$T,ROW()+1,MATCH("거래금액(만원)",'04A_국토부원자료'!$A$4:$T$4,0)),",","")),"")</f>
        <v/>
      </c>
      <c r="H2418" s="174">
        <f>IF(G2418="","",G2418*10000)</f>
        <v/>
      </c>
      <c r="I2418" s="174">
        <f>IFERROR(IF(AND(H2418&gt;0,E2418&gt;0),H2418/E2418,""),"")</f>
        <v/>
      </c>
      <c r="J2418" s="152">
        <f>IFERROR(VALUE(SUBSTITUTE(INDEX('04A_국토부원자료'!$A:$T,ROW()+1,MATCH("층",'04A_국토부원자료'!$A$4:$T$4,0)),",","")),"")</f>
        <v/>
      </c>
      <c r="K2418" s="152">
        <f>IFERROR(VALUE(SUBSTITUTE(INDEX('04A_국토부원자료'!$A:$T,ROW()+1,MATCH("건축년도",'04A_국토부원자료'!$A$4:$T$4,0)),",","")),"")</f>
        <v/>
      </c>
      <c r="L2418" s="48">
        <f>IFERROR(INDEX('04A_국토부원자료'!$A:$T,ROW()+1,MATCH("도로명",'04A_국토부원자료'!$A$4:$T$4,0)),"")</f>
        <v/>
      </c>
      <c r="M2418" s="48">
        <f>IFERROR(INDEX('04A_국토부원자료'!$A:$T,ROW()+1,MATCH("거래유형",'04A_국토부원자료'!$A$4:$T$4,0)),"")</f>
        <v/>
      </c>
      <c r="N2418" s="152">
        <f>IF(B2418="","",IF('02_대상물건입력'!B5="",1,IF(ISNUMBER(SEARCH('02_대상물건입력'!B5,B2418)),1,0)))</f>
        <v/>
      </c>
      <c r="O2418" s="152">
        <f>IF(B2418="","",IF('02_대상물건입력'!B6="",1,IF(ISNUMBER(SEARCH('02_대상물건입력'!B6,B2418)),1,0)))</f>
        <v/>
      </c>
      <c r="P2418" s="152">
        <f>IF(L2418="","",IF('02_대상물건입력'!B15="",0,IF(ISNUMBER(SEARCH('02_대상물건입력'!B15,L2418)),1,0)))</f>
        <v/>
      </c>
      <c r="Q2418" s="152">
        <f>IF(OR(C2418="",L2418=""),0,IF(AND(TRIM(C2418)=TRIM(RIGHT(SUBSTITUTE(TRIM('02_대상물건입력'!$B$7)," ",REPT(" ",99)),99)),IF('02_대상물건입력'!B15="",TRUE(),ISNUMBER(SEARCH('02_대상물건입력'!B15,L2418)))),1,0))</f>
        <v/>
      </c>
      <c r="R2418" s="175">
        <f>IFERROR(ABS(E2418-'02_대상물건입력'!B11)/'02_대상물건입력'!B11,"")</f>
        <v/>
      </c>
      <c r="S2418" s="152">
        <f>IFERROR(ABS(J2418-'02_대상물건입력'!B10),"")</f>
        <v/>
      </c>
      <c r="T2418" s="152">
        <f>IFERROR(ABS('01_설정'!B4-F2418),"")</f>
        <v/>
      </c>
      <c r="U2418" s="152">
        <f>IFERROR(ABS(K2418-YEAR('02_대상물건입력'!B14)),"")</f>
        <v/>
      </c>
      <c r="V2418" s="152">
        <f>IF(B2418="","",IF(AND(E2418&gt;0,F2418&gt;0,H2418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2418=1,TRUE()),R2418&lt;='01_설정'!B5,S2418&lt;='01_설정'!B6,T2418&lt;='01_설정'!B7,U2418&lt;='01_설정'!B8),"Y",""))</f>
        <v/>
      </c>
      <c r="W2418" s="172">
        <f>IF(V2418&lt;&gt;"Y","",MAX(0,(1-R2418/'01_설정'!B5))*'01_설정'!B14+MAX(0,(1-S2418/'01_설정'!B6))*'01_설정'!B15+MAX(0,(1-T2418/'01_설정'!B7))*'01_설정'!B16+MAX(0,(1-U2418/'01_설정'!B8))*'01_설정'!B17+O2418*'01_설정'!B11+Q2418*'01_설정'!B12+P2418*'01_설정'!B13+IF(Z2418="",0,Z2418))</f>
        <v/>
      </c>
      <c r="X2418" s="152">
        <f>IF(W2418="","",1+COUNTIFS($W$4:$W$3003,"&gt;"&amp;W2418)+COUNTIFS($W$4:W2418,W2418)-1)</f>
        <v/>
      </c>
      <c r="Y2418" s="175">
        <f>IF(OR(I2418="",'02_대상물건입력'!B19="",'02_대상물건입력'!B19&lt;=0),"",ABS(I2418-'02_대상물건입력'!B19)/'02_대상물건입력'!B19)</f>
        <v/>
      </c>
      <c r="Z2418" s="172">
        <f>IF(OR(Y2418="",'01_설정'!B31="",'01_설정'!B31&lt;=0,'01_설정'!B32="",'01_설정'!B32&lt;=0),"",MAX(0,(1-Y2418/'01_설정'!B32))*'01_설정'!B31)</f>
        <v/>
      </c>
    </row>
    <row r="2419" ht="17.25" customHeight="1">
      <c r="A2419" s="152">
        <f>IF(INDEX('04A_국토부원자료'!$A:$A,ROW()+1)="","",ROW()-3)</f>
        <v/>
      </c>
      <c r="B2419" s="48">
        <f>IFERROR(INDEX('04A_국토부원자료'!$A:$T,ROW()+1,MATCH("시군구",'04A_국토부원자료'!$A$4:$T$4,0)),"")</f>
        <v/>
      </c>
      <c r="C2419" s="48">
        <f>IF(B2419="","",IFERROR(INDEX('04A_국토부원자료'!$A:$T,ROW()+1,MATCH("번지",'04A_국토부원자료'!$A$4:$T$4,0)),""))</f>
        <v/>
      </c>
      <c r="D2419" s="48">
        <f>IF(B2419="","",IF(Q2419=1,'02_대상물건입력'!$B$8,IFERROR(INDEX('04A_국토부원자료'!$A:$T,ROW()+1,MATCH("단지명",'04A_국토부원자료'!$A$4:$T$4,0)),"")))</f>
        <v/>
      </c>
      <c r="E2419" s="172">
        <f>IFERROR(VALUE(SUBSTITUTE(INDEX('04A_국토부원자료'!$A:$T,ROW()+1,MATCH("전용면적(㎡)",'04A_국토부원자료'!$A$4:$T$4,0)),",","")),"")</f>
        <v/>
      </c>
      <c r="F24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19" s="51">
        <f>IFERROR(VALUE(SUBSTITUTE(INDEX('04A_국토부원자료'!$A:$T,ROW()+1,MATCH("거래금액(만원)",'04A_국토부원자료'!$A$4:$T$4,0)),",","")),"")</f>
        <v/>
      </c>
      <c r="H2419" s="174">
        <f>IF(G2419="","",G2419*10000)</f>
        <v/>
      </c>
      <c r="I2419" s="174">
        <f>IFERROR(IF(AND(H2419&gt;0,E2419&gt;0),H2419/E2419,""),"")</f>
        <v/>
      </c>
      <c r="J2419" s="152">
        <f>IFERROR(VALUE(SUBSTITUTE(INDEX('04A_국토부원자료'!$A:$T,ROW()+1,MATCH("층",'04A_국토부원자료'!$A$4:$T$4,0)),",","")),"")</f>
        <v/>
      </c>
      <c r="K2419" s="152">
        <f>IFERROR(VALUE(SUBSTITUTE(INDEX('04A_국토부원자료'!$A:$T,ROW()+1,MATCH("건축년도",'04A_국토부원자료'!$A$4:$T$4,0)),",","")),"")</f>
        <v/>
      </c>
      <c r="L2419" s="48">
        <f>IFERROR(INDEX('04A_국토부원자료'!$A:$T,ROW()+1,MATCH("도로명",'04A_국토부원자료'!$A$4:$T$4,0)),"")</f>
        <v/>
      </c>
      <c r="M2419" s="48">
        <f>IFERROR(INDEX('04A_국토부원자료'!$A:$T,ROW()+1,MATCH("거래유형",'04A_국토부원자료'!$A$4:$T$4,0)),"")</f>
        <v/>
      </c>
      <c r="N2419" s="152">
        <f>IF(B2419="","",IF('02_대상물건입력'!B5="",1,IF(ISNUMBER(SEARCH('02_대상물건입력'!B5,B2419)),1,0)))</f>
        <v/>
      </c>
      <c r="O2419" s="152">
        <f>IF(B2419="","",IF('02_대상물건입력'!B6="",1,IF(ISNUMBER(SEARCH('02_대상물건입력'!B6,B2419)),1,0)))</f>
        <v/>
      </c>
      <c r="P2419" s="152">
        <f>IF(L2419="","",IF('02_대상물건입력'!B15="",0,IF(ISNUMBER(SEARCH('02_대상물건입력'!B15,L2419)),1,0)))</f>
        <v/>
      </c>
      <c r="Q2419" s="152">
        <f>IF(OR(C2419="",L2419=""),0,IF(AND(TRIM(C2419)=TRIM(RIGHT(SUBSTITUTE(TRIM('02_대상물건입력'!$B$7)," ",REPT(" ",99)),99)),IF('02_대상물건입력'!B15="",TRUE(),ISNUMBER(SEARCH('02_대상물건입력'!B15,L2419)))),1,0))</f>
        <v/>
      </c>
      <c r="R2419" s="175">
        <f>IFERROR(ABS(E2419-'02_대상물건입력'!B11)/'02_대상물건입력'!B11,"")</f>
        <v/>
      </c>
      <c r="S2419" s="152">
        <f>IFERROR(ABS(J2419-'02_대상물건입력'!B10),"")</f>
        <v/>
      </c>
      <c r="T2419" s="152">
        <f>IFERROR(ABS('01_설정'!B4-F2419),"")</f>
        <v/>
      </c>
      <c r="U2419" s="152">
        <f>IFERROR(ABS(K2419-YEAR('02_대상물건입력'!B14)),"")</f>
        <v/>
      </c>
      <c r="V2419" s="152">
        <f>IF(B2419="","",IF(AND(E2419&gt;0,F2419&gt;0,H2419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2419=1,TRUE()),R2419&lt;='01_설정'!B5,S2419&lt;='01_설정'!B6,T2419&lt;='01_설정'!B7,U2419&lt;='01_설정'!B8),"Y",""))</f>
        <v/>
      </c>
      <c r="W2419" s="172">
        <f>IF(V2419&lt;&gt;"Y","",MAX(0,(1-R2419/'01_설정'!B5))*'01_설정'!B14+MAX(0,(1-S2419/'01_설정'!B6))*'01_설정'!B15+MAX(0,(1-T2419/'01_설정'!B7))*'01_설정'!B16+MAX(0,(1-U2419/'01_설정'!B8))*'01_설정'!B17+O2419*'01_설정'!B11+Q2419*'01_설정'!B12+P2419*'01_설정'!B13+IF(Z2419="",0,Z2419))</f>
        <v/>
      </c>
      <c r="X2419" s="152">
        <f>IF(W2419="","",1+COUNTIFS($W$4:$W$3003,"&gt;"&amp;W2419)+COUNTIFS($W$4:W2419,W2419)-1)</f>
        <v/>
      </c>
      <c r="Y2419" s="175">
        <f>IF(OR(I2419="",'02_대상물건입력'!B19="",'02_대상물건입력'!B19&lt;=0),"",ABS(I2419-'02_대상물건입력'!B19)/'02_대상물건입력'!B19)</f>
        <v/>
      </c>
      <c r="Z2419" s="172">
        <f>IF(OR(Y2419="",'01_설정'!B31="",'01_설정'!B31&lt;=0,'01_설정'!B32="",'01_설정'!B32&lt;=0),"",MAX(0,(1-Y2419/'01_설정'!B32))*'01_설정'!B31)</f>
        <v/>
      </c>
    </row>
    <row r="2420" ht="17.25" customHeight="1">
      <c r="A2420" s="152">
        <f>IF(INDEX('04A_국토부원자료'!$A:$A,ROW()+1)="","",ROW()-3)</f>
        <v/>
      </c>
      <c r="B2420" s="48">
        <f>IFERROR(INDEX('04A_국토부원자료'!$A:$T,ROW()+1,MATCH("시군구",'04A_국토부원자료'!$A$4:$T$4,0)),"")</f>
        <v/>
      </c>
      <c r="C2420" s="48">
        <f>IF(B2420="","",IFERROR(INDEX('04A_국토부원자료'!$A:$T,ROW()+1,MATCH("번지",'04A_국토부원자료'!$A$4:$T$4,0)),""))</f>
        <v/>
      </c>
      <c r="D2420" s="48">
        <f>IF(B2420="","",IF(Q2420=1,'02_대상물건입력'!$B$8,IFERROR(INDEX('04A_국토부원자료'!$A:$T,ROW()+1,MATCH("단지명",'04A_국토부원자료'!$A$4:$T$4,0)),"")))</f>
        <v/>
      </c>
      <c r="E2420" s="172">
        <f>IFERROR(VALUE(SUBSTITUTE(INDEX('04A_국토부원자료'!$A:$T,ROW()+1,MATCH("전용면적(㎡)",'04A_국토부원자료'!$A$4:$T$4,0)),",","")),"")</f>
        <v/>
      </c>
      <c r="F24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20" s="51">
        <f>IFERROR(VALUE(SUBSTITUTE(INDEX('04A_국토부원자료'!$A:$T,ROW()+1,MATCH("거래금액(만원)",'04A_국토부원자료'!$A$4:$T$4,0)),",","")),"")</f>
        <v/>
      </c>
      <c r="H2420" s="174">
        <f>IF(G2420="","",G2420*10000)</f>
        <v/>
      </c>
      <c r="I2420" s="174">
        <f>IFERROR(IF(AND(H2420&gt;0,E2420&gt;0),H2420/E2420,""),"")</f>
        <v/>
      </c>
      <c r="J2420" s="152">
        <f>IFERROR(VALUE(SUBSTITUTE(INDEX('04A_국토부원자료'!$A:$T,ROW()+1,MATCH("층",'04A_국토부원자료'!$A$4:$T$4,0)),",","")),"")</f>
        <v/>
      </c>
      <c r="K2420" s="152">
        <f>IFERROR(VALUE(SUBSTITUTE(INDEX('04A_국토부원자료'!$A:$T,ROW()+1,MATCH("건축년도",'04A_국토부원자료'!$A$4:$T$4,0)),",","")),"")</f>
        <v/>
      </c>
      <c r="L2420" s="48">
        <f>IFERROR(INDEX('04A_국토부원자료'!$A:$T,ROW()+1,MATCH("도로명",'04A_국토부원자료'!$A$4:$T$4,0)),"")</f>
        <v/>
      </c>
      <c r="M2420" s="48">
        <f>IFERROR(INDEX('04A_국토부원자료'!$A:$T,ROW()+1,MATCH("거래유형",'04A_국토부원자료'!$A$4:$T$4,0)),"")</f>
        <v/>
      </c>
      <c r="N2420" s="152">
        <f>IF(B2420="","",IF('02_대상물건입력'!B5="",1,IF(ISNUMBER(SEARCH('02_대상물건입력'!B5,B2420)),1,0)))</f>
        <v/>
      </c>
      <c r="O2420" s="152">
        <f>IF(B2420="","",IF('02_대상물건입력'!B6="",1,IF(ISNUMBER(SEARCH('02_대상물건입력'!B6,B2420)),1,0)))</f>
        <v/>
      </c>
      <c r="P2420" s="152">
        <f>IF(L2420="","",IF('02_대상물건입력'!B15="",0,IF(ISNUMBER(SEARCH('02_대상물건입력'!B15,L2420)),1,0)))</f>
        <v/>
      </c>
      <c r="Q2420" s="152">
        <f>IF(OR(C2420="",L2420=""),0,IF(AND(TRIM(C2420)=TRIM(RIGHT(SUBSTITUTE(TRIM('02_대상물건입력'!$B$7)," ",REPT(" ",99)),99)),IF('02_대상물건입력'!B15="",TRUE(),ISNUMBER(SEARCH('02_대상물건입력'!B15,L2420)))),1,0))</f>
        <v/>
      </c>
      <c r="R2420" s="175">
        <f>IFERROR(ABS(E2420-'02_대상물건입력'!B11)/'02_대상물건입력'!B11,"")</f>
        <v/>
      </c>
      <c r="S2420" s="152">
        <f>IFERROR(ABS(J2420-'02_대상물건입력'!B10),"")</f>
        <v/>
      </c>
      <c r="T2420" s="152">
        <f>IFERROR(ABS('01_설정'!B4-F2420),"")</f>
        <v/>
      </c>
      <c r="U2420" s="152">
        <f>IFERROR(ABS(K2420-YEAR('02_대상물건입력'!B14)),"")</f>
        <v/>
      </c>
      <c r="V2420" s="152">
        <f>IF(B2420="","",IF(AND(E2420&gt;0,F2420&gt;0,H2420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2420=1,TRUE()),R2420&lt;='01_설정'!B5,S2420&lt;='01_설정'!B6,T2420&lt;='01_설정'!B7,U2420&lt;='01_설정'!B8),"Y",""))</f>
        <v/>
      </c>
      <c r="W2420" s="172">
        <f>IF(V2420&lt;&gt;"Y","",MAX(0,(1-R2420/'01_설정'!B5))*'01_설정'!B14+MAX(0,(1-S2420/'01_설정'!B6))*'01_설정'!B15+MAX(0,(1-T2420/'01_설정'!B7))*'01_설정'!B16+MAX(0,(1-U2420/'01_설정'!B8))*'01_설정'!B17+O2420*'01_설정'!B11+Q2420*'01_설정'!B12+P2420*'01_설정'!B13+IF(Z2420="",0,Z2420))</f>
        <v/>
      </c>
      <c r="X2420" s="152">
        <f>IF(W2420="","",1+COUNTIFS($W$4:$W$3003,"&gt;"&amp;W2420)+COUNTIFS($W$4:W2420,W2420)-1)</f>
        <v/>
      </c>
      <c r="Y2420" s="175">
        <f>IF(OR(I2420="",'02_대상물건입력'!B19="",'02_대상물건입력'!B19&lt;=0),"",ABS(I2420-'02_대상물건입력'!B19)/'02_대상물건입력'!B19)</f>
        <v/>
      </c>
      <c r="Z2420" s="172">
        <f>IF(OR(Y2420="",'01_설정'!B31="",'01_설정'!B31&lt;=0,'01_설정'!B32="",'01_설정'!B32&lt;=0),"",MAX(0,(1-Y2420/'01_설정'!B32))*'01_설정'!B31)</f>
        <v/>
      </c>
    </row>
    <row r="2421" ht="17.25" customHeight="1">
      <c r="A2421" s="152">
        <f>IF(INDEX('04A_국토부원자료'!$A:$A,ROW()+1)="","",ROW()-3)</f>
        <v/>
      </c>
      <c r="B2421" s="48">
        <f>IFERROR(INDEX('04A_국토부원자료'!$A:$T,ROW()+1,MATCH("시군구",'04A_국토부원자료'!$A$4:$T$4,0)),"")</f>
        <v/>
      </c>
      <c r="C2421" s="48">
        <f>IF(B2421="","",IFERROR(INDEX('04A_국토부원자료'!$A:$T,ROW()+1,MATCH("번지",'04A_국토부원자료'!$A$4:$T$4,0)),""))</f>
        <v/>
      </c>
      <c r="D2421" s="48">
        <f>IF(B2421="","",IF(Q2421=1,'02_대상물건입력'!$B$8,IFERROR(INDEX('04A_국토부원자료'!$A:$T,ROW()+1,MATCH("단지명",'04A_국토부원자료'!$A$4:$T$4,0)),"")))</f>
        <v/>
      </c>
      <c r="E2421" s="172">
        <f>IFERROR(VALUE(SUBSTITUTE(INDEX('04A_국토부원자료'!$A:$T,ROW()+1,MATCH("전용면적(㎡)",'04A_국토부원자료'!$A$4:$T$4,0)),",","")),"")</f>
        <v/>
      </c>
      <c r="F24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21" s="51">
        <f>IFERROR(VALUE(SUBSTITUTE(INDEX('04A_국토부원자료'!$A:$T,ROW()+1,MATCH("거래금액(만원)",'04A_국토부원자료'!$A$4:$T$4,0)),",","")),"")</f>
        <v/>
      </c>
      <c r="H2421" s="174">
        <f>IF(G2421="","",G2421*10000)</f>
        <v/>
      </c>
      <c r="I2421" s="174">
        <f>IFERROR(IF(AND(H2421&gt;0,E2421&gt;0),H2421/E2421,""),"")</f>
        <v/>
      </c>
      <c r="J2421" s="152">
        <f>IFERROR(VALUE(SUBSTITUTE(INDEX('04A_국토부원자료'!$A:$T,ROW()+1,MATCH("층",'04A_국토부원자료'!$A$4:$T$4,0)),",","")),"")</f>
        <v/>
      </c>
      <c r="K2421" s="152">
        <f>IFERROR(VALUE(SUBSTITUTE(INDEX('04A_국토부원자료'!$A:$T,ROW()+1,MATCH("건축년도",'04A_국토부원자료'!$A$4:$T$4,0)),",","")),"")</f>
        <v/>
      </c>
      <c r="L2421" s="48">
        <f>IFERROR(INDEX('04A_국토부원자료'!$A:$T,ROW()+1,MATCH("도로명",'04A_국토부원자료'!$A$4:$T$4,0)),"")</f>
        <v/>
      </c>
      <c r="M2421" s="48">
        <f>IFERROR(INDEX('04A_국토부원자료'!$A:$T,ROW()+1,MATCH("거래유형",'04A_국토부원자료'!$A$4:$T$4,0)),"")</f>
        <v/>
      </c>
      <c r="N2421" s="152">
        <f>IF(B2421="","",IF('02_대상물건입력'!B5="",1,IF(ISNUMBER(SEARCH('02_대상물건입력'!B5,B2421)),1,0)))</f>
        <v/>
      </c>
      <c r="O2421" s="152">
        <f>IF(B2421="","",IF('02_대상물건입력'!B6="",1,IF(ISNUMBER(SEARCH('02_대상물건입력'!B6,B2421)),1,0)))</f>
        <v/>
      </c>
      <c r="P2421" s="152">
        <f>IF(L2421="","",IF('02_대상물건입력'!B15="",0,IF(ISNUMBER(SEARCH('02_대상물건입력'!B15,L2421)),1,0)))</f>
        <v/>
      </c>
      <c r="Q2421" s="152">
        <f>IF(OR(C2421="",L2421=""),0,IF(AND(TRIM(C2421)=TRIM(RIGHT(SUBSTITUTE(TRIM('02_대상물건입력'!$B$7)," ",REPT(" ",99)),99)),IF('02_대상물건입력'!B15="",TRUE(),ISNUMBER(SEARCH('02_대상물건입력'!B15,L2421)))),1,0))</f>
        <v/>
      </c>
      <c r="R2421" s="175">
        <f>IFERROR(ABS(E2421-'02_대상물건입력'!B11)/'02_대상물건입력'!B11,"")</f>
        <v/>
      </c>
      <c r="S2421" s="152">
        <f>IFERROR(ABS(J2421-'02_대상물건입력'!B10),"")</f>
        <v/>
      </c>
      <c r="T2421" s="152">
        <f>IFERROR(ABS('01_설정'!B4-F2421),"")</f>
        <v/>
      </c>
      <c r="U2421" s="152">
        <f>IFERROR(ABS(K2421-YEAR('02_대상물건입력'!B14)),"")</f>
        <v/>
      </c>
      <c r="V2421" s="152">
        <f>IF(B2421="","",IF(AND(E2421&gt;0,F2421&gt;0,H2421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2421=1,TRUE()),R2421&lt;='01_설정'!B5,S2421&lt;='01_설정'!B6,T2421&lt;='01_설정'!B7,U2421&lt;='01_설정'!B8),"Y",""))</f>
        <v/>
      </c>
      <c r="W2421" s="172">
        <f>IF(V2421&lt;&gt;"Y","",MAX(0,(1-R2421/'01_설정'!B5))*'01_설정'!B14+MAX(0,(1-S2421/'01_설정'!B6))*'01_설정'!B15+MAX(0,(1-T2421/'01_설정'!B7))*'01_설정'!B16+MAX(0,(1-U2421/'01_설정'!B8))*'01_설정'!B17+O2421*'01_설정'!B11+Q2421*'01_설정'!B12+P2421*'01_설정'!B13+IF(Z2421="",0,Z2421))</f>
        <v/>
      </c>
      <c r="X2421" s="152">
        <f>IF(W2421="","",1+COUNTIFS($W$4:$W$3003,"&gt;"&amp;W2421)+COUNTIFS($W$4:W2421,W2421)-1)</f>
        <v/>
      </c>
      <c r="Y2421" s="175">
        <f>IF(OR(I2421="",'02_대상물건입력'!B19="",'02_대상물건입력'!B19&lt;=0),"",ABS(I2421-'02_대상물건입력'!B19)/'02_대상물건입력'!B19)</f>
        <v/>
      </c>
      <c r="Z2421" s="172">
        <f>IF(OR(Y2421="",'01_설정'!B31="",'01_설정'!B31&lt;=0,'01_설정'!B32="",'01_설정'!B32&lt;=0),"",MAX(0,(1-Y2421/'01_설정'!B32))*'01_설정'!B31)</f>
        <v/>
      </c>
    </row>
    <row r="2422" ht="17.25" customHeight="1">
      <c r="A2422" s="152">
        <f>IF(INDEX('04A_국토부원자료'!$A:$A,ROW()+1)="","",ROW()-3)</f>
        <v/>
      </c>
      <c r="B2422" s="48">
        <f>IFERROR(INDEX('04A_국토부원자료'!$A:$T,ROW()+1,MATCH("시군구",'04A_국토부원자료'!$A$4:$T$4,0)),"")</f>
        <v/>
      </c>
      <c r="C2422" s="48">
        <f>IF(B2422="","",IFERROR(INDEX('04A_국토부원자료'!$A:$T,ROW()+1,MATCH("번지",'04A_국토부원자료'!$A$4:$T$4,0)),""))</f>
        <v/>
      </c>
      <c r="D2422" s="48">
        <f>IF(B2422="","",IF(Q2422=1,'02_대상물건입력'!$B$8,IFERROR(INDEX('04A_국토부원자료'!$A:$T,ROW()+1,MATCH("단지명",'04A_국토부원자료'!$A$4:$T$4,0)),"")))</f>
        <v/>
      </c>
      <c r="E2422" s="172">
        <f>IFERROR(VALUE(SUBSTITUTE(INDEX('04A_국토부원자료'!$A:$T,ROW()+1,MATCH("전용면적(㎡)",'04A_국토부원자료'!$A$4:$T$4,0)),",","")),"")</f>
        <v/>
      </c>
      <c r="F24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22" s="51">
        <f>IFERROR(VALUE(SUBSTITUTE(INDEX('04A_국토부원자료'!$A:$T,ROW()+1,MATCH("거래금액(만원)",'04A_국토부원자료'!$A$4:$T$4,0)),",","")),"")</f>
        <v/>
      </c>
      <c r="H2422" s="174">
        <f>IF(G2422="","",G2422*10000)</f>
        <v/>
      </c>
      <c r="I2422" s="174">
        <f>IFERROR(IF(AND(H2422&gt;0,E2422&gt;0),H2422/E2422,""),"")</f>
        <v/>
      </c>
      <c r="J2422" s="152">
        <f>IFERROR(VALUE(SUBSTITUTE(INDEX('04A_국토부원자료'!$A:$T,ROW()+1,MATCH("층",'04A_국토부원자료'!$A$4:$T$4,0)),",","")),"")</f>
        <v/>
      </c>
      <c r="K2422" s="152">
        <f>IFERROR(VALUE(SUBSTITUTE(INDEX('04A_국토부원자료'!$A:$T,ROW()+1,MATCH("건축년도",'04A_국토부원자료'!$A$4:$T$4,0)),",","")),"")</f>
        <v/>
      </c>
      <c r="L2422" s="48">
        <f>IFERROR(INDEX('04A_국토부원자료'!$A:$T,ROW()+1,MATCH("도로명",'04A_국토부원자료'!$A$4:$T$4,0)),"")</f>
        <v/>
      </c>
      <c r="M2422" s="48">
        <f>IFERROR(INDEX('04A_국토부원자료'!$A:$T,ROW()+1,MATCH("거래유형",'04A_국토부원자료'!$A$4:$T$4,0)),"")</f>
        <v/>
      </c>
      <c r="N2422" s="152">
        <f>IF(B2422="","",IF('02_대상물건입력'!B5="",1,IF(ISNUMBER(SEARCH('02_대상물건입력'!B5,B2422)),1,0)))</f>
        <v/>
      </c>
      <c r="O2422" s="152">
        <f>IF(B2422="","",IF('02_대상물건입력'!B6="",1,IF(ISNUMBER(SEARCH('02_대상물건입력'!B6,B2422)),1,0)))</f>
        <v/>
      </c>
      <c r="P2422" s="152">
        <f>IF(L2422="","",IF('02_대상물건입력'!B15="",0,IF(ISNUMBER(SEARCH('02_대상물건입력'!B15,L2422)),1,0)))</f>
        <v/>
      </c>
      <c r="Q2422" s="152">
        <f>IF(OR(C2422="",L2422=""),0,IF(AND(TRIM(C2422)=TRIM(RIGHT(SUBSTITUTE(TRIM('02_대상물건입력'!$B$7)," ",REPT(" ",99)),99)),IF('02_대상물건입력'!B15="",TRUE(),ISNUMBER(SEARCH('02_대상물건입력'!B15,L2422)))),1,0))</f>
        <v/>
      </c>
      <c r="R2422" s="175">
        <f>IFERROR(ABS(E2422-'02_대상물건입력'!B11)/'02_대상물건입력'!B11,"")</f>
        <v/>
      </c>
      <c r="S2422" s="152">
        <f>IFERROR(ABS(J2422-'02_대상물건입력'!B10),"")</f>
        <v/>
      </c>
      <c r="T2422" s="152">
        <f>IFERROR(ABS('01_설정'!B4-F2422),"")</f>
        <v/>
      </c>
      <c r="U2422" s="152">
        <f>IFERROR(ABS(K2422-YEAR('02_대상물건입력'!B14)),"")</f>
        <v/>
      </c>
      <c r="V2422" s="152">
        <f>IF(B2422="","",IF(AND(E2422&gt;0,F2422&gt;0,H2422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2422=1,TRUE()),R2422&lt;='01_설정'!B5,S2422&lt;='01_설정'!B6,T2422&lt;='01_설정'!B7,U2422&lt;='01_설정'!B8),"Y",""))</f>
        <v/>
      </c>
      <c r="W2422" s="172">
        <f>IF(V2422&lt;&gt;"Y","",MAX(0,(1-R2422/'01_설정'!B5))*'01_설정'!B14+MAX(0,(1-S2422/'01_설정'!B6))*'01_설정'!B15+MAX(0,(1-T2422/'01_설정'!B7))*'01_설정'!B16+MAX(0,(1-U2422/'01_설정'!B8))*'01_설정'!B17+O2422*'01_설정'!B11+Q2422*'01_설정'!B12+P2422*'01_설정'!B13+IF(Z2422="",0,Z2422))</f>
        <v/>
      </c>
      <c r="X2422" s="152">
        <f>IF(W2422="","",1+COUNTIFS($W$4:$W$3003,"&gt;"&amp;W2422)+COUNTIFS($W$4:W2422,W2422)-1)</f>
        <v/>
      </c>
      <c r="Y2422" s="175">
        <f>IF(OR(I2422="",'02_대상물건입력'!B19="",'02_대상물건입력'!B19&lt;=0),"",ABS(I2422-'02_대상물건입력'!B19)/'02_대상물건입력'!B19)</f>
        <v/>
      </c>
      <c r="Z2422" s="172">
        <f>IF(OR(Y2422="",'01_설정'!B31="",'01_설정'!B31&lt;=0,'01_설정'!B32="",'01_설정'!B32&lt;=0),"",MAX(0,(1-Y2422/'01_설정'!B32))*'01_설정'!B31)</f>
        <v/>
      </c>
    </row>
    <row r="2423" ht="17.25" customHeight="1">
      <c r="A2423" s="152">
        <f>IF(INDEX('04A_국토부원자료'!$A:$A,ROW()+1)="","",ROW()-3)</f>
        <v/>
      </c>
      <c r="B2423" s="48">
        <f>IFERROR(INDEX('04A_국토부원자료'!$A:$T,ROW()+1,MATCH("시군구",'04A_국토부원자료'!$A$4:$T$4,0)),"")</f>
        <v/>
      </c>
      <c r="C2423" s="48">
        <f>IF(B2423="","",IFERROR(INDEX('04A_국토부원자료'!$A:$T,ROW()+1,MATCH("번지",'04A_국토부원자료'!$A$4:$T$4,0)),""))</f>
        <v/>
      </c>
      <c r="D2423" s="48">
        <f>IF(B2423="","",IF(Q2423=1,'02_대상물건입력'!$B$8,IFERROR(INDEX('04A_국토부원자료'!$A:$T,ROW()+1,MATCH("단지명",'04A_국토부원자료'!$A$4:$T$4,0)),"")))</f>
        <v/>
      </c>
      <c r="E2423" s="172">
        <f>IFERROR(VALUE(SUBSTITUTE(INDEX('04A_국토부원자료'!$A:$T,ROW()+1,MATCH("전용면적(㎡)",'04A_국토부원자료'!$A$4:$T$4,0)),",","")),"")</f>
        <v/>
      </c>
      <c r="F24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23" s="51">
        <f>IFERROR(VALUE(SUBSTITUTE(INDEX('04A_국토부원자료'!$A:$T,ROW()+1,MATCH("거래금액(만원)",'04A_국토부원자료'!$A$4:$T$4,0)),",","")),"")</f>
        <v/>
      </c>
      <c r="H2423" s="174">
        <f>IF(G2423="","",G2423*10000)</f>
        <v/>
      </c>
      <c r="I2423" s="174">
        <f>IFERROR(IF(AND(H2423&gt;0,E2423&gt;0),H2423/E2423,""),"")</f>
        <v/>
      </c>
      <c r="J2423" s="152">
        <f>IFERROR(VALUE(SUBSTITUTE(INDEX('04A_국토부원자료'!$A:$T,ROW()+1,MATCH("층",'04A_국토부원자료'!$A$4:$T$4,0)),",","")),"")</f>
        <v/>
      </c>
      <c r="K2423" s="152">
        <f>IFERROR(VALUE(SUBSTITUTE(INDEX('04A_국토부원자료'!$A:$T,ROW()+1,MATCH("건축년도",'04A_국토부원자료'!$A$4:$T$4,0)),",","")),"")</f>
        <v/>
      </c>
      <c r="L2423" s="48">
        <f>IFERROR(INDEX('04A_국토부원자료'!$A:$T,ROW()+1,MATCH("도로명",'04A_국토부원자료'!$A$4:$T$4,0)),"")</f>
        <v/>
      </c>
      <c r="M2423" s="48">
        <f>IFERROR(INDEX('04A_국토부원자료'!$A:$T,ROW()+1,MATCH("거래유형",'04A_국토부원자료'!$A$4:$T$4,0)),"")</f>
        <v/>
      </c>
      <c r="N2423" s="152">
        <f>IF(B2423="","",IF('02_대상물건입력'!B5="",1,IF(ISNUMBER(SEARCH('02_대상물건입력'!B5,B2423)),1,0)))</f>
        <v/>
      </c>
      <c r="O2423" s="152">
        <f>IF(B2423="","",IF('02_대상물건입력'!B6="",1,IF(ISNUMBER(SEARCH('02_대상물건입력'!B6,B2423)),1,0)))</f>
        <v/>
      </c>
      <c r="P2423" s="152">
        <f>IF(L2423="","",IF('02_대상물건입력'!B15="",0,IF(ISNUMBER(SEARCH('02_대상물건입력'!B15,L2423)),1,0)))</f>
        <v/>
      </c>
      <c r="Q2423" s="152">
        <f>IF(OR(C2423="",L2423=""),0,IF(AND(TRIM(C2423)=TRIM(RIGHT(SUBSTITUTE(TRIM('02_대상물건입력'!$B$7)," ",REPT(" ",99)),99)),IF('02_대상물건입력'!B15="",TRUE(),ISNUMBER(SEARCH('02_대상물건입력'!B15,L2423)))),1,0))</f>
        <v/>
      </c>
      <c r="R2423" s="175">
        <f>IFERROR(ABS(E2423-'02_대상물건입력'!B11)/'02_대상물건입력'!B11,"")</f>
        <v/>
      </c>
      <c r="S2423" s="152">
        <f>IFERROR(ABS(J2423-'02_대상물건입력'!B10),"")</f>
        <v/>
      </c>
      <c r="T2423" s="152">
        <f>IFERROR(ABS('01_설정'!B4-F2423),"")</f>
        <v/>
      </c>
      <c r="U2423" s="152">
        <f>IFERROR(ABS(K2423-YEAR('02_대상물건입력'!B14)),"")</f>
        <v/>
      </c>
      <c r="V2423" s="152">
        <f>IF(B2423="","",IF(AND(E2423&gt;0,F2423&gt;0,H2423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2423=1,TRUE()),R2423&lt;='01_설정'!B5,S2423&lt;='01_설정'!B6,T2423&lt;='01_설정'!B7,U2423&lt;='01_설정'!B8),"Y",""))</f>
        <v/>
      </c>
      <c r="W2423" s="172">
        <f>IF(V2423&lt;&gt;"Y","",MAX(0,(1-R2423/'01_설정'!B5))*'01_설정'!B14+MAX(0,(1-S2423/'01_설정'!B6))*'01_설정'!B15+MAX(0,(1-T2423/'01_설정'!B7))*'01_설정'!B16+MAX(0,(1-U2423/'01_설정'!B8))*'01_설정'!B17+O2423*'01_설정'!B11+Q2423*'01_설정'!B12+P2423*'01_설정'!B13+IF(Z2423="",0,Z2423))</f>
        <v/>
      </c>
      <c r="X2423" s="152">
        <f>IF(W2423="","",1+COUNTIFS($W$4:$W$3003,"&gt;"&amp;W2423)+COUNTIFS($W$4:W2423,W2423)-1)</f>
        <v/>
      </c>
      <c r="Y2423" s="175">
        <f>IF(OR(I2423="",'02_대상물건입력'!B19="",'02_대상물건입력'!B19&lt;=0),"",ABS(I2423-'02_대상물건입력'!B19)/'02_대상물건입력'!B19)</f>
        <v/>
      </c>
      <c r="Z2423" s="172">
        <f>IF(OR(Y2423="",'01_설정'!B31="",'01_설정'!B31&lt;=0,'01_설정'!B32="",'01_설정'!B32&lt;=0),"",MAX(0,(1-Y2423/'01_설정'!B32))*'01_설정'!B31)</f>
        <v/>
      </c>
    </row>
    <row r="2424" ht="17.25" customHeight="1">
      <c r="A2424" s="152">
        <f>IF(INDEX('04A_국토부원자료'!$A:$A,ROW()+1)="","",ROW()-3)</f>
        <v/>
      </c>
      <c r="B2424" s="48">
        <f>IFERROR(INDEX('04A_국토부원자료'!$A:$T,ROW()+1,MATCH("시군구",'04A_국토부원자료'!$A$4:$T$4,0)),"")</f>
        <v/>
      </c>
      <c r="C2424" s="48">
        <f>IF(B2424="","",IFERROR(INDEX('04A_국토부원자료'!$A:$T,ROW()+1,MATCH("번지",'04A_국토부원자료'!$A$4:$T$4,0)),""))</f>
        <v/>
      </c>
      <c r="D2424" s="48">
        <f>IF(B2424="","",IF(Q2424=1,'02_대상물건입력'!$B$8,IFERROR(INDEX('04A_국토부원자료'!$A:$T,ROW()+1,MATCH("단지명",'04A_국토부원자료'!$A$4:$T$4,0)),"")))</f>
        <v/>
      </c>
      <c r="E2424" s="172">
        <f>IFERROR(VALUE(SUBSTITUTE(INDEX('04A_국토부원자료'!$A:$T,ROW()+1,MATCH("전용면적(㎡)",'04A_국토부원자료'!$A$4:$T$4,0)),",","")),"")</f>
        <v/>
      </c>
      <c r="F24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24" s="51">
        <f>IFERROR(VALUE(SUBSTITUTE(INDEX('04A_국토부원자료'!$A:$T,ROW()+1,MATCH("거래금액(만원)",'04A_국토부원자료'!$A$4:$T$4,0)),",","")),"")</f>
        <v/>
      </c>
      <c r="H2424" s="174">
        <f>IF(G2424="","",G2424*10000)</f>
        <v/>
      </c>
      <c r="I2424" s="174">
        <f>IFERROR(IF(AND(H2424&gt;0,E2424&gt;0),H2424/E2424,""),"")</f>
        <v/>
      </c>
      <c r="J2424" s="152">
        <f>IFERROR(VALUE(SUBSTITUTE(INDEX('04A_국토부원자료'!$A:$T,ROW()+1,MATCH("층",'04A_국토부원자료'!$A$4:$T$4,0)),",","")),"")</f>
        <v/>
      </c>
      <c r="K2424" s="152">
        <f>IFERROR(VALUE(SUBSTITUTE(INDEX('04A_국토부원자료'!$A:$T,ROW()+1,MATCH("건축년도",'04A_국토부원자료'!$A$4:$T$4,0)),",","")),"")</f>
        <v/>
      </c>
      <c r="L2424" s="48">
        <f>IFERROR(INDEX('04A_국토부원자료'!$A:$T,ROW()+1,MATCH("도로명",'04A_국토부원자료'!$A$4:$T$4,0)),"")</f>
        <v/>
      </c>
      <c r="M2424" s="48">
        <f>IFERROR(INDEX('04A_국토부원자료'!$A:$T,ROW()+1,MATCH("거래유형",'04A_국토부원자료'!$A$4:$T$4,0)),"")</f>
        <v/>
      </c>
      <c r="N2424" s="152">
        <f>IF(B2424="","",IF('02_대상물건입력'!B5="",1,IF(ISNUMBER(SEARCH('02_대상물건입력'!B5,B2424)),1,0)))</f>
        <v/>
      </c>
      <c r="O2424" s="152">
        <f>IF(B2424="","",IF('02_대상물건입력'!B6="",1,IF(ISNUMBER(SEARCH('02_대상물건입력'!B6,B2424)),1,0)))</f>
        <v/>
      </c>
      <c r="P2424" s="152">
        <f>IF(L2424="","",IF('02_대상물건입력'!B15="",0,IF(ISNUMBER(SEARCH('02_대상물건입력'!B15,L2424)),1,0)))</f>
        <v/>
      </c>
      <c r="Q2424" s="152">
        <f>IF(OR(C2424="",L2424=""),0,IF(AND(TRIM(C2424)=TRIM(RIGHT(SUBSTITUTE(TRIM('02_대상물건입력'!$B$7)," ",REPT(" ",99)),99)),IF('02_대상물건입력'!B15="",TRUE(),ISNUMBER(SEARCH('02_대상물건입력'!B15,L2424)))),1,0))</f>
        <v/>
      </c>
      <c r="R2424" s="175">
        <f>IFERROR(ABS(E2424-'02_대상물건입력'!B11)/'02_대상물건입력'!B11,"")</f>
        <v/>
      </c>
      <c r="S2424" s="152">
        <f>IFERROR(ABS(J2424-'02_대상물건입력'!B10),"")</f>
        <v/>
      </c>
      <c r="T2424" s="152">
        <f>IFERROR(ABS('01_설정'!B4-F2424),"")</f>
        <v/>
      </c>
      <c r="U2424" s="152">
        <f>IFERROR(ABS(K2424-YEAR('02_대상물건입력'!B14)),"")</f>
        <v/>
      </c>
      <c r="V2424" s="152">
        <f>IF(B2424="","",IF(AND(E2424&gt;0,F2424&gt;0,H2424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2424=1,TRUE()),R2424&lt;='01_설정'!B5,S2424&lt;='01_설정'!B6,T2424&lt;='01_설정'!B7,U2424&lt;='01_설정'!B8),"Y",""))</f>
        <v/>
      </c>
      <c r="W2424" s="172">
        <f>IF(V2424&lt;&gt;"Y","",MAX(0,(1-R2424/'01_설정'!B5))*'01_설정'!B14+MAX(0,(1-S2424/'01_설정'!B6))*'01_설정'!B15+MAX(0,(1-T2424/'01_설정'!B7))*'01_설정'!B16+MAX(0,(1-U2424/'01_설정'!B8))*'01_설정'!B17+O2424*'01_설정'!B11+Q2424*'01_설정'!B12+P2424*'01_설정'!B13+IF(Z2424="",0,Z2424))</f>
        <v/>
      </c>
      <c r="X2424" s="152">
        <f>IF(W2424="","",1+COUNTIFS($W$4:$W$3003,"&gt;"&amp;W2424)+COUNTIFS($W$4:W2424,W2424)-1)</f>
        <v/>
      </c>
      <c r="Y2424" s="175">
        <f>IF(OR(I2424="",'02_대상물건입력'!B19="",'02_대상물건입력'!B19&lt;=0),"",ABS(I2424-'02_대상물건입력'!B19)/'02_대상물건입력'!B19)</f>
        <v/>
      </c>
      <c r="Z2424" s="172">
        <f>IF(OR(Y2424="",'01_설정'!B31="",'01_설정'!B31&lt;=0,'01_설정'!B32="",'01_설정'!B32&lt;=0),"",MAX(0,(1-Y2424/'01_설정'!B32))*'01_설정'!B31)</f>
        <v/>
      </c>
    </row>
    <row r="2425" ht="17.25" customHeight="1">
      <c r="A2425" s="152">
        <f>IF(INDEX('04A_국토부원자료'!$A:$A,ROW()+1)="","",ROW()-3)</f>
        <v/>
      </c>
      <c r="B2425" s="48">
        <f>IFERROR(INDEX('04A_국토부원자료'!$A:$T,ROW()+1,MATCH("시군구",'04A_국토부원자료'!$A$4:$T$4,0)),"")</f>
        <v/>
      </c>
      <c r="C2425" s="48">
        <f>IF(B2425="","",IFERROR(INDEX('04A_국토부원자료'!$A:$T,ROW()+1,MATCH("번지",'04A_국토부원자료'!$A$4:$T$4,0)),""))</f>
        <v/>
      </c>
      <c r="D2425" s="48">
        <f>IF(B2425="","",IF(Q2425=1,'02_대상물건입력'!$B$8,IFERROR(INDEX('04A_국토부원자료'!$A:$T,ROW()+1,MATCH("단지명",'04A_국토부원자료'!$A$4:$T$4,0)),"")))</f>
        <v/>
      </c>
      <c r="E2425" s="172">
        <f>IFERROR(VALUE(SUBSTITUTE(INDEX('04A_국토부원자료'!$A:$T,ROW()+1,MATCH("전용면적(㎡)",'04A_국토부원자료'!$A$4:$T$4,0)),",","")),"")</f>
        <v/>
      </c>
      <c r="F24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25" s="51">
        <f>IFERROR(VALUE(SUBSTITUTE(INDEX('04A_국토부원자료'!$A:$T,ROW()+1,MATCH("거래금액(만원)",'04A_국토부원자료'!$A$4:$T$4,0)),",","")),"")</f>
        <v/>
      </c>
      <c r="H2425" s="174">
        <f>IF(G2425="","",G2425*10000)</f>
        <v/>
      </c>
      <c r="I2425" s="174">
        <f>IFERROR(IF(AND(H2425&gt;0,E2425&gt;0),H2425/E2425,""),"")</f>
        <v/>
      </c>
      <c r="J2425" s="152">
        <f>IFERROR(VALUE(SUBSTITUTE(INDEX('04A_국토부원자료'!$A:$T,ROW()+1,MATCH("층",'04A_국토부원자료'!$A$4:$T$4,0)),",","")),"")</f>
        <v/>
      </c>
      <c r="K2425" s="152">
        <f>IFERROR(VALUE(SUBSTITUTE(INDEX('04A_국토부원자료'!$A:$T,ROW()+1,MATCH("건축년도",'04A_국토부원자료'!$A$4:$T$4,0)),",","")),"")</f>
        <v/>
      </c>
      <c r="L2425" s="48">
        <f>IFERROR(INDEX('04A_국토부원자료'!$A:$T,ROW()+1,MATCH("도로명",'04A_국토부원자료'!$A$4:$T$4,0)),"")</f>
        <v/>
      </c>
      <c r="M2425" s="48">
        <f>IFERROR(INDEX('04A_국토부원자료'!$A:$T,ROW()+1,MATCH("거래유형",'04A_국토부원자료'!$A$4:$T$4,0)),"")</f>
        <v/>
      </c>
      <c r="N2425" s="152">
        <f>IF(B2425="","",IF('02_대상물건입력'!B5="",1,IF(ISNUMBER(SEARCH('02_대상물건입력'!B5,B2425)),1,0)))</f>
        <v/>
      </c>
      <c r="O2425" s="152">
        <f>IF(B2425="","",IF('02_대상물건입력'!B6="",1,IF(ISNUMBER(SEARCH('02_대상물건입력'!B6,B2425)),1,0)))</f>
        <v/>
      </c>
      <c r="P2425" s="152">
        <f>IF(L2425="","",IF('02_대상물건입력'!B15="",0,IF(ISNUMBER(SEARCH('02_대상물건입력'!B15,L2425)),1,0)))</f>
        <v/>
      </c>
      <c r="Q2425" s="152">
        <f>IF(OR(C2425="",L2425=""),0,IF(AND(TRIM(C2425)=TRIM(RIGHT(SUBSTITUTE(TRIM('02_대상물건입력'!$B$7)," ",REPT(" ",99)),99)),IF('02_대상물건입력'!B15="",TRUE(),ISNUMBER(SEARCH('02_대상물건입력'!B15,L2425)))),1,0))</f>
        <v/>
      </c>
      <c r="R2425" s="175">
        <f>IFERROR(ABS(E2425-'02_대상물건입력'!B11)/'02_대상물건입력'!B11,"")</f>
        <v/>
      </c>
      <c r="S2425" s="152">
        <f>IFERROR(ABS(J2425-'02_대상물건입력'!B10),"")</f>
        <v/>
      </c>
      <c r="T2425" s="152">
        <f>IFERROR(ABS('01_설정'!B4-F2425),"")</f>
        <v/>
      </c>
      <c r="U2425" s="152">
        <f>IFERROR(ABS(K2425-YEAR('02_대상물건입력'!B14)),"")</f>
        <v/>
      </c>
      <c r="V2425" s="152">
        <f>IF(B2425="","",IF(AND(E2425&gt;0,F2425&gt;0,H2425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2425=1,TRUE()),R2425&lt;='01_설정'!B5,S2425&lt;='01_설정'!B6,T2425&lt;='01_설정'!B7,U2425&lt;='01_설정'!B8),"Y",""))</f>
        <v/>
      </c>
      <c r="W2425" s="172">
        <f>IF(V2425&lt;&gt;"Y","",MAX(0,(1-R2425/'01_설정'!B5))*'01_설정'!B14+MAX(0,(1-S2425/'01_설정'!B6))*'01_설정'!B15+MAX(0,(1-T2425/'01_설정'!B7))*'01_설정'!B16+MAX(0,(1-U2425/'01_설정'!B8))*'01_설정'!B17+O2425*'01_설정'!B11+Q2425*'01_설정'!B12+P2425*'01_설정'!B13+IF(Z2425="",0,Z2425))</f>
        <v/>
      </c>
      <c r="X2425" s="152">
        <f>IF(W2425="","",1+COUNTIFS($W$4:$W$3003,"&gt;"&amp;W2425)+COUNTIFS($W$4:W2425,W2425)-1)</f>
        <v/>
      </c>
      <c r="Y2425" s="175">
        <f>IF(OR(I2425="",'02_대상물건입력'!B19="",'02_대상물건입력'!B19&lt;=0),"",ABS(I2425-'02_대상물건입력'!B19)/'02_대상물건입력'!B19)</f>
        <v/>
      </c>
      <c r="Z2425" s="172">
        <f>IF(OR(Y2425="",'01_설정'!B31="",'01_설정'!B31&lt;=0,'01_설정'!B32="",'01_설정'!B32&lt;=0),"",MAX(0,(1-Y2425/'01_설정'!B32))*'01_설정'!B31)</f>
        <v/>
      </c>
    </row>
    <row r="2426" ht="17.25" customHeight="1">
      <c r="A2426" s="152">
        <f>IF(INDEX('04A_국토부원자료'!$A:$A,ROW()+1)="","",ROW()-3)</f>
        <v/>
      </c>
      <c r="B2426" s="48">
        <f>IFERROR(INDEX('04A_국토부원자료'!$A:$T,ROW()+1,MATCH("시군구",'04A_국토부원자료'!$A$4:$T$4,0)),"")</f>
        <v/>
      </c>
      <c r="C2426" s="48">
        <f>IF(B2426="","",IFERROR(INDEX('04A_국토부원자료'!$A:$T,ROW()+1,MATCH("번지",'04A_국토부원자료'!$A$4:$T$4,0)),""))</f>
        <v/>
      </c>
      <c r="D2426" s="48">
        <f>IF(B2426="","",IF(Q2426=1,'02_대상물건입력'!$B$8,IFERROR(INDEX('04A_국토부원자료'!$A:$T,ROW()+1,MATCH("단지명",'04A_국토부원자료'!$A$4:$T$4,0)),"")))</f>
        <v/>
      </c>
      <c r="E2426" s="172">
        <f>IFERROR(VALUE(SUBSTITUTE(INDEX('04A_국토부원자료'!$A:$T,ROW()+1,MATCH("전용면적(㎡)",'04A_국토부원자료'!$A$4:$T$4,0)),",","")),"")</f>
        <v/>
      </c>
      <c r="F24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26" s="51">
        <f>IFERROR(VALUE(SUBSTITUTE(INDEX('04A_국토부원자료'!$A:$T,ROW()+1,MATCH("거래금액(만원)",'04A_국토부원자료'!$A$4:$T$4,0)),",","")),"")</f>
        <v/>
      </c>
      <c r="H2426" s="174">
        <f>IF(G2426="","",G2426*10000)</f>
        <v/>
      </c>
      <c r="I2426" s="174">
        <f>IFERROR(IF(AND(H2426&gt;0,E2426&gt;0),H2426/E2426,""),"")</f>
        <v/>
      </c>
      <c r="J2426" s="152">
        <f>IFERROR(VALUE(SUBSTITUTE(INDEX('04A_국토부원자료'!$A:$T,ROW()+1,MATCH("층",'04A_국토부원자료'!$A$4:$T$4,0)),",","")),"")</f>
        <v/>
      </c>
      <c r="K2426" s="152">
        <f>IFERROR(VALUE(SUBSTITUTE(INDEX('04A_국토부원자료'!$A:$T,ROW()+1,MATCH("건축년도",'04A_국토부원자료'!$A$4:$T$4,0)),",","")),"")</f>
        <v/>
      </c>
      <c r="L2426" s="48">
        <f>IFERROR(INDEX('04A_국토부원자료'!$A:$T,ROW()+1,MATCH("도로명",'04A_국토부원자료'!$A$4:$T$4,0)),"")</f>
        <v/>
      </c>
      <c r="M2426" s="48">
        <f>IFERROR(INDEX('04A_국토부원자료'!$A:$T,ROW()+1,MATCH("거래유형",'04A_국토부원자료'!$A$4:$T$4,0)),"")</f>
        <v/>
      </c>
      <c r="N2426" s="152">
        <f>IF(B2426="","",IF('02_대상물건입력'!B5="",1,IF(ISNUMBER(SEARCH('02_대상물건입력'!B5,B2426)),1,0)))</f>
        <v/>
      </c>
      <c r="O2426" s="152">
        <f>IF(B2426="","",IF('02_대상물건입력'!B6="",1,IF(ISNUMBER(SEARCH('02_대상물건입력'!B6,B2426)),1,0)))</f>
        <v/>
      </c>
      <c r="P2426" s="152">
        <f>IF(L2426="","",IF('02_대상물건입력'!B15="",0,IF(ISNUMBER(SEARCH('02_대상물건입력'!B15,L2426)),1,0)))</f>
        <v/>
      </c>
      <c r="Q2426" s="152">
        <f>IF(OR(C2426="",L2426=""),0,IF(AND(TRIM(C2426)=TRIM(RIGHT(SUBSTITUTE(TRIM('02_대상물건입력'!$B$7)," ",REPT(" ",99)),99)),IF('02_대상물건입력'!B15="",TRUE(),ISNUMBER(SEARCH('02_대상물건입력'!B15,L2426)))),1,0))</f>
        <v/>
      </c>
      <c r="R2426" s="175">
        <f>IFERROR(ABS(E2426-'02_대상물건입력'!B11)/'02_대상물건입력'!B11,"")</f>
        <v/>
      </c>
      <c r="S2426" s="152">
        <f>IFERROR(ABS(J2426-'02_대상물건입력'!B10),"")</f>
        <v/>
      </c>
      <c r="T2426" s="152">
        <f>IFERROR(ABS('01_설정'!B4-F2426),"")</f>
        <v/>
      </c>
      <c r="U2426" s="152">
        <f>IFERROR(ABS(K2426-YEAR('02_대상물건입력'!B14)),"")</f>
        <v/>
      </c>
      <c r="V2426" s="152">
        <f>IF(B2426="","",IF(AND(E2426&gt;0,F2426&gt;0,H2426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2426=1,TRUE()),R2426&lt;='01_설정'!B5,S2426&lt;='01_설정'!B6,T2426&lt;='01_설정'!B7,U2426&lt;='01_설정'!B8),"Y",""))</f>
        <v/>
      </c>
      <c r="W2426" s="172">
        <f>IF(V2426&lt;&gt;"Y","",MAX(0,(1-R2426/'01_설정'!B5))*'01_설정'!B14+MAX(0,(1-S2426/'01_설정'!B6))*'01_설정'!B15+MAX(0,(1-T2426/'01_설정'!B7))*'01_설정'!B16+MAX(0,(1-U2426/'01_설정'!B8))*'01_설정'!B17+O2426*'01_설정'!B11+Q2426*'01_설정'!B12+P2426*'01_설정'!B13+IF(Z2426="",0,Z2426))</f>
        <v/>
      </c>
      <c r="X2426" s="152">
        <f>IF(W2426="","",1+COUNTIFS($W$4:$W$3003,"&gt;"&amp;W2426)+COUNTIFS($W$4:W2426,W2426)-1)</f>
        <v/>
      </c>
      <c r="Y2426" s="175">
        <f>IF(OR(I2426="",'02_대상물건입력'!B19="",'02_대상물건입력'!B19&lt;=0),"",ABS(I2426-'02_대상물건입력'!B19)/'02_대상물건입력'!B19)</f>
        <v/>
      </c>
      <c r="Z2426" s="172">
        <f>IF(OR(Y2426="",'01_설정'!B31="",'01_설정'!B31&lt;=0,'01_설정'!B32="",'01_설정'!B32&lt;=0),"",MAX(0,(1-Y2426/'01_설정'!B32))*'01_설정'!B31)</f>
        <v/>
      </c>
    </row>
    <row r="2427" ht="17.25" customHeight="1">
      <c r="A2427" s="152">
        <f>IF(INDEX('04A_국토부원자료'!$A:$A,ROW()+1)="","",ROW()-3)</f>
        <v/>
      </c>
      <c r="B2427" s="48">
        <f>IFERROR(INDEX('04A_국토부원자료'!$A:$T,ROW()+1,MATCH("시군구",'04A_국토부원자료'!$A$4:$T$4,0)),"")</f>
        <v/>
      </c>
      <c r="C2427" s="48">
        <f>IF(B2427="","",IFERROR(INDEX('04A_국토부원자료'!$A:$T,ROW()+1,MATCH("번지",'04A_국토부원자료'!$A$4:$T$4,0)),""))</f>
        <v/>
      </c>
      <c r="D2427" s="48">
        <f>IF(B2427="","",IF(Q2427=1,'02_대상물건입력'!$B$8,IFERROR(INDEX('04A_국토부원자료'!$A:$T,ROW()+1,MATCH("단지명",'04A_국토부원자료'!$A$4:$T$4,0)),"")))</f>
        <v/>
      </c>
      <c r="E2427" s="172">
        <f>IFERROR(VALUE(SUBSTITUTE(INDEX('04A_국토부원자료'!$A:$T,ROW()+1,MATCH("전용면적(㎡)",'04A_국토부원자료'!$A$4:$T$4,0)),",","")),"")</f>
        <v/>
      </c>
      <c r="F24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27" s="51">
        <f>IFERROR(VALUE(SUBSTITUTE(INDEX('04A_국토부원자료'!$A:$T,ROW()+1,MATCH("거래금액(만원)",'04A_국토부원자료'!$A$4:$T$4,0)),",","")),"")</f>
        <v/>
      </c>
      <c r="H2427" s="174">
        <f>IF(G2427="","",G2427*10000)</f>
        <v/>
      </c>
      <c r="I2427" s="174">
        <f>IFERROR(IF(AND(H2427&gt;0,E2427&gt;0),H2427/E2427,""),"")</f>
        <v/>
      </c>
      <c r="J2427" s="152">
        <f>IFERROR(VALUE(SUBSTITUTE(INDEX('04A_국토부원자료'!$A:$T,ROW()+1,MATCH("층",'04A_국토부원자료'!$A$4:$T$4,0)),",","")),"")</f>
        <v/>
      </c>
      <c r="K2427" s="152">
        <f>IFERROR(VALUE(SUBSTITUTE(INDEX('04A_국토부원자료'!$A:$T,ROW()+1,MATCH("건축년도",'04A_국토부원자료'!$A$4:$T$4,0)),",","")),"")</f>
        <v/>
      </c>
      <c r="L2427" s="48">
        <f>IFERROR(INDEX('04A_국토부원자료'!$A:$T,ROW()+1,MATCH("도로명",'04A_국토부원자료'!$A$4:$T$4,0)),"")</f>
        <v/>
      </c>
      <c r="M2427" s="48">
        <f>IFERROR(INDEX('04A_국토부원자료'!$A:$T,ROW()+1,MATCH("거래유형",'04A_국토부원자료'!$A$4:$T$4,0)),"")</f>
        <v/>
      </c>
      <c r="N2427" s="152">
        <f>IF(B2427="","",IF('02_대상물건입력'!B5="",1,IF(ISNUMBER(SEARCH('02_대상물건입력'!B5,B2427)),1,0)))</f>
        <v/>
      </c>
      <c r="O2427" s="152">
        <f>IF(B2427="","",IF('02_대상물건입력'!B6="",1,IF(ISNUMBER(SEARCH('02_대상물건입력'!B6,B2427)),1,0)))</f>
        <v/>
      </c>
      <c r="P2427" s="152">
        <f>IF(L2427="","",IF('02_대상물건입력'!B15="",0,IF(ISNUMBER(SEARCH('02_대상물건입력'!B15,L2427)),1,0)))</f>
        <v/>
      </c>
      <c r="Q2427" s="152">
        <f>IF(OR(C2427="",L2427=""),0,IF(AND(TRIM(C2427)=TRIM(RIGHT(SUBSTITUTE(TRIM('02_대상물건입력'!$B$7)," ",REPT(" ",99)),99)),IF('02_대상물건입력'!B15="",TRUE(),ISNUMBER(SEARCH('02_대상물건입력'!B15,L2427)))),1,0))</f>
        <v/>
      </c>
      <c r="R2427" s="175">
        <f>IFERROR(ABS(E2427-'02_대상물건입력'!B11)/'02_대상물건입력'!B11,"")</f>
        <v/>
      </c>
      <c r="S2427" s="152">
        <f>IFERROR(ABS(J2427-'02_대상물건입력'!B10),"")</f>
        <v/>
      </c>
      <c r="T2427" s="152">
        <f>IFERROR(ABS('01_설정'!B4-F2427),"")</f>
        <v/>
      </c>
      <c r="U2427" s="152">
        <f>IFERROR(ABS(K2427-YEAR('02_대상물건입력'!B14)),"")</f>
        <v/>
      </c>
      <c r="V2427" s="152">
        <f>IF(B2427="","",IF(AND(E2427&gt;0,F2427&gt;0,H2427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2427=1,TRUE()),R2427&lt;='01_설정'!B5,S2427&lt;='01_설정'!B6,T2427&lt;='01_설정'!B7,U2427&lt;='01_설정'!B8),"Y",""))</f>
        <v/>
      </c>
      <c r="W2427" s="172">
        <f>IF(V2427&lt;&gt;"Y","",MAX(0,(1-R2427/'01_설정'!B5))*'01_설정'!B14+MAX(0,(1-S2427/'01_설정'!B6))*'01_설정'!B15+MAX(0,(1-T2427/'01_설정'!B7))*'01_설정'!B16+MAX(0,(1-U2427/'01_설정'!B8))*'01_설정'!B17+O2427*'01_설정'!B11+Q2427*'01_설정'!B12+P2427*'01_설정'!B13+IF(Z2427="",0,Z2427))</f>
        <v/>
      </c>
      <c r="X2427" s="152">
        <f>IF(W2427="","",1+COUNTIFS($W$4:$W$3003,"&gt;"&amp;W2427)+COUNTIFS($W$4:W2427,W2427)-1)</f>
        <v/>
      </c>
      <c r="Y2427" s="175">
        <f>IF(OR(I2427="",'02_대상물건입력'!B19="",'02_대상물건입력'!B19&lt;=0),"",ABS(I2427-'02_대상물건입력'!B19)/'02_대상물건입력'!B19)</f>
        <v/>
      </c>
      <c r="Z2427" s="172">
        <f>IF(OR(Y2427="",'01_설정'!B31="",'01_설정'!B31&lt;=0,'01_설정'!B32="",'01_설정'!B32&lt;=0),"",MAX(0,(1-Y2427/'01_설정'!B32))*'01_설정'!B31)</f>
        <v/>
      </c>
    </row>
    <row r="2428" ht="17.25" customHeight="1">
      <c r="A2428" s="152">
        <f>IF(INDEX('04A_국토부원자료'!$A:$A,ROW()+1)="","",ROW()-3)</f>
        <v/>
      </c>
      <c r="B2428" s="48">
        <f>IFERROR(INDEX('04A_국토부원자료'!$A:$T,ROW()+1,MATCH("시군구",'04A_국토부원자료'!$A$4:$T$4,0)),"")</f>
        <v/>
      </c>
      <c r="C2428" s="48">
        <f>IF(B2428="","",IFERROR(INDEX('04A_국토부원자료'!$A:$T,ROW()+1,MATCH("번지",'04A_국토부원자료'!$A$4:$T$4,0)),""))</f>
        <v/>
      </c>
      <c r="D2428" s="48">
        <f>IF(B2428="","",IF(Q2428=1,'02_대상물건입력'!$B$8,IFERROR(INDEX('04A_국토부원자료'!$A:$T,ROW()+1,MATCH("단지명",'04A_국토부원자료'!$A$4:$T$4,0)),"")))</f>
        <v/>
      </c>
      <c r="E2428" s="172">
        <f>IFERROR(VALUE(SUBSTITUTE(INDEX('04A_국토부원자료'!$A:$T,ROW()+1,MATCH("전용면적(㎡)",'04A_국토부원자료'!$A$4:$T$4,0)),",","")),"")</f>
        <v/>
      </c>
      <c r="F24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28" s="51">
        <f>IFERROR(VALUE(SUBSTITUTE(INDEX('04A_국토부원자료'!$A:$T,ROW()+1,MATCH("거래금액(만원)",'04A_국토부원자료'!$A$4:$T$4,0)),",","")),"")</f>
        <v/>
      </c>
      <c r="H2428" s="174">
        <f>IF(G2428="","",G2428*10000)</f>
        <v/>
      </c>
      <c r="I2428" s="174">
        <f>IFERROR(IF(AND(H2428&gt;0,E2428&gt;0),H2428/E2428,""),"")</f>
        <v/>
      </c>
      <c r="J2428" s="152">
        <f>IFERROR(VALUE(SUBSTITUTE(INDEX('04A_국토부원자료'!$A:$T,ROW()+1,MATCH("층",'04A_국토부원자료'!$A$4:$T$4,0)),",","")),"")</f>
        <v/>
      </c>
      <c r="K2428" s="152">
        <f>IFERROR(VALUE(SUBSTITUTE(INDEX('04A_국토부원자료'!$A:$T,ROW()+1,MATCH("건축년도",'04A_국토부원자료'!$A$4:$T$4,0)),",","")),"")</f>
        <v/>
      </c>
      <c r="L2428" s="48">
        <f>IFERROR(INDEX('04A_국토부원자료'!$A:$T,ROW()+1,MATCH("도로명",'04A_국토부원자료'!$A$4:$T$4,0)),"")</f>
        <v/>
      </c>
      <c r="M2428" s="48">
        <f>IFERROR(INDEX('04A_국토부원자료'!$A:$T,ROW()+1,MATCH("거래유형",'04A_국토부원자료'!$A$4:$T$4,0)),"")</f>
        <v/>
      </c>
      <c r="N2428" s="152">
        <f>IF(B2428="","",IF('02_대상물건입력'!B5="",1,IF(ISNUMBER(SEARCH('02_대상물건입력'!B5,B2428)),1,0)))</f>
        <v/>
      </c>
      <c r="O2428" s="152">
        <f>IF(B2428="","",IF('02_대상물건입력'!B6="",1,IF(ISNUMBER(SEARCH('02_대상물건입력'!B6,B2428)),1,0)))</f>
        <v/>
      </c>
      <c r="P2428" s="152">
        <f>IF(L2428="","",IF('02_대상물건입력'!B15="",0,IF(ISNUMBER(SEARCH('02_대상물건입력'!B15,L2428)),1,0)))</f>
        <v/>
      </c>
      <c r="Q2428" s="152">
        <f>IF(OR(C2428="",L2428=""),0,IF(AND(TRIM(C2428)=TRIM(RIGHT(SUBSTITUTE(TRIM('02_대상물건입력'!$B$7)," ",REPT(" ",99)),99)),IF('02_대상물건입력'!B15="",TRUE(),ISNUMBER(SEARCH('02_대상물건입력'!B15,L2428)))),1,0))</f>
        <v/>
      </c>
      <c r="R2428" s="175">
        <f>IFERROR(ABS(E2428-'02_대상물건입력'!B11)/'02_대상물건입력'!B11,"")</f>
        <v/>
      </c>
      <c r="S2428" s="152">
        <f>IFERROR(ABS(J2428-'02_대상물건입력'!B10),"")</f>
        <v/>
      </c>
      <c r="T2428" s="152">
        <f>IFERROR(ABS('01_설정'!B4-F2428),"")</f>
        <v/>
      </c>
      <c r="U2428" s="152">
        <f>IFERROR(ABS(K2428-YEAR('02_대상물건입력'!B14)),"")</f>
        <v/>
      </c>
      <c r="V2428" s="152">
        <f>IF(B2428="","",IF(AND(E2428&gt;0,F2428&gt;0,H2428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2428=1,TRUE()),R2428&lt;='01_설정'!B5,S2428&lt;='01_설정'!B6,T2428&lt;='01_설정'!B7,U2428&lt;='01_설정'!B8),"Y",""))</f>
        <v/>
      </c>
      <c r="W2428" s="172">
        <f>IF(V2428&lt;&gt;"Y","",MAX(0,(1-R2428/'01_설정'!B5))*'01_설정'!B14+MAX(0,(1-S2428/'01_설정'!B6))*'01_설정'!B15+MAX(0,(1-T2428/'01_설정'!B7))*'01_설정'!B16+MAX(0,(1-U2428/'01_설정'!B8))*'01_설정'!B17+O2428*'01_설정'!B11+Q2428*'01_설정'!B12+P2428*'01_설정'!B13+IF(Z2428="",0,Z2428))</f>
        <v/>
      </c>
      <c r="X2428" s="152">
        <f>IF(W2428="","",1+COUNTIFS($W$4:$W$3003,"&gt;"&amp;W2428)+COUNTIFS($W$4:W2428,W2428)-1)</f>
        <v/>
      </c>
      <c r="Y2428" s="175">
        <f>IF(OR(I2428="",'02_대상물건입력'!B19="",'02_대상물건입력'!B19&lt;=0),"",ABS(I2428-'02_대상물건입력'!B19)/'02_대상물건입력'!B19)</f>
        <v/>
      </c>
      <c r="Z2428" s="172">
        <f>IF(OR(Y2428="",'01_설정'!B31="",'01_설정'!B31&lt;=0,'01_설정'!B32="",'01_설정'!B32&lt;=0),"",MAX(0,(1-Y2428/'01_설정'!B32))*'01_설정'!B31)</f>
        <v/>
      </c>
    </row>
    <row r="2429" ht="17.25" customHeight="1">
      <c r="A2429" s="152">
        <f>IF(INDEX('04A_국토부원자료'!$A:$A,ROW()+1)="","",ROW()-3)</f>
        <v/>
      </c>
      <c r="B2429" s="48">
        <f>IFERROR(INDEX('04A_국토부원자료'!$A:$T,ROW()+1,MATCH("시군구",'04A_국토부원자료'!$A$4:$T$4,0)),"")</f>
        <v/>
      </c>
      <c r="C2429" s="48">
        <f>IF(B2429="","",IFERROR(INDEX('04A_국토부원자료'!$A:$T,ROW()+1,MATCH("번지",'04A_국토부원자료'!$A$4:$T$4,0)),""))</f>
        <v/>
      </c>
      <c r="D2429" s="48">
        <f>IF(B2429="","",IF(Q2429=1,'02_대상물건입력'!$B$8,IFERROR(INDEX('04A_국토부원자료'!$A:$T,ROW()+1,MATCH("단지명",'04A_국토부원자료'!$A$4:$T$4,0)),"")))</f>
        <v/>
      </c>
      <c r="E2429" s="172">
        <f>IFERROR(VALUE(SUBSTITUTE(INDEX('04A_국토부원자료'!$A:$T,ROW()+1,MATCH("전용면적(㎡)",'04A_국토부원자료'!$A$4:$T$4,0)),",","")),"")</f>
        <v/>
      </c>
      <c r="F24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29" s="51">
        <f>IFERROR(VALUE(SUBSTITUTE(INDEX('04A_국토부원자료'!$A:$T,ROW()+1,MATCH("거래금액(만원)",'04A_국토부원자료'!$A$4:$T$4,0)),",","")),"")</f>
        <v/>
      </c>
      <c r="H2429" s="174">
        <f>IF(G2429="","",G2429*10000)</f>
        <v/>
      </c>
      <c r="I2429" s="174">
        <f>IFERROR(IF(AND(H2429&gt;0,E2429&gt;0),H2429/E2429,""),"")</f>
        <v/>
      </c>
      <c r="J2429" s="152">
        <f>IFERROR(VALUE(SUBSTITUTE(INDEX('04A_국토부원자료'!$A:$T,ROW()+1,MATCH("층",'04A_국토부원자료'!$A$4:$T$4,0)),",","")),"")</f>
        <v/>
      </c>
      <c r="K2429" s="152">
        <f>IFERROR(VALUE(SUBSTITUTE(INDEX('04A_국토부원자료'!$A:$T,ROW()+1,MATCH("건축년도",'04A_국토부원자료'!$A$4:$T$4,0)),",","")),"")</f>
        <v/>
      </c>
      <c r="L2429" s="48">
        <f>IFERROR(INDEX('04A_국토부원자료'!$A:$T,ROW()+1,MATCH("도로명",'04A_국토부원자료'!$A$4:$T$4,0)),"")</f>
        <v/>
      </c>
      <c r="M2429" s="48">
        <f>IFERROR(INDEX('04A_국토부원자료'!$A:$T,ROW()+1,MATCH("거래유형",'04A_국토부원자료'!$A$4:$T$4,0)),"")</f>
        <v/>
      </c>
      <c r="N2429" s="152">
        <f>IF(B2429="","",IF('02_대상물건입력'!B5="",1,IF(ISNUMBER(SEARCH('02_대상물건입력'!B5,B2429)),1,0)))</f>
        <v/>
      </c>
      <c r="O2429" s="152">
        <f>IF(B2429="","",IF('02_대상물건입력'!B6="",1,IF(ISNUMBER(SEARCH('02_대상물건입력'!B6,B2429)),1,0)))</f>
        <v/>
      </c>
      <c r="P2429" s="152">
        <f>IF(L2429="","",IF('02_대상물건입력'!B15="",0,IF(ISNUMBER(SEARCH('02_대상물건입력'!B15,L2429)),1,0)))</f>
        <v/>
      </c>
      <c r="Q2429" s="152">
        <f>IF(OR(C2429="",L2429=""),0,IF(AND(TRIM(C2429)=TRIM(RIGHT(SUBSTITUTE(TRIM('02_대상물건입력'!$B$7)," ",REPT(" ",99)),99)),IF('02_대상물건입력'!B15="",TRUE(),ISNUMBER(SEARCH('02_대상물건입력'!B15,L2429)))),1,0))</f>
        <v/>
      </c>
      <c r="R2429" s="175">
        <f>IFERROR(ABS(E2429-'02_대상물건입력'!B11)/'02_대상물건입력'!B11,"")</f>
        <v/>
      </c>
      <c r="S2429" s="152">
        <f>IFERROR(ABS(J2429-'02_대상물건입력'!B10),"")</f>
        <v/>
      </c>
      <c r="T2429" s="152">
        <f>IFERROR(ABS('01_설정'!B4-F2429),"")</f>
        <v/>
      </c>
      <c r="U2429" s="152">
        <f>IFERROR(ABS(K2429-YEAR('02_대상물건입력'!B14)),"")</f>
        <v/>
      </c>
      <c r="V2429" s="152">
        <f>IF(B2429="","",IF(AND(E2429&gt;0,F2429&gt;0,H2429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2429=1,TRUE()),R2429&lt;='01_설정'!B5,S2429&lt;='01_설정'!B6,T2429&lt;='01_설정'!B7,U2429&lt;='01_설정'!B8),"Y",""))</f>
        <v/>
      </c>
      <c r="W2429" s="172">
        <f>IF(V2429&lt;&gt;"Y","",MAX(0,(1-R2429/'01_설정'!B5))*'01_설정'!B14+MAX(0,(1-S2429/'01_설정'!B6))*'01_설정'!B15+MAX(0,(1-T2429/'01_설정'!B7))*'01_설정'!B16+MAX(0,(1-U2429/'01_설정'!B8))*'01_설정'!B17+O2429*'01_설정'!B11+Q2429*'01_설정'!B12+P2429*'01_설정'!B13+IF(Z2429="",0,Z2429))</f>
        <v/>
      </c>
      <c r="X2429" s="152">
        <f>IF(W2429="","",1+COUNTIFS($W$4:$W$3003,"&gt;"&amp;W2429)+COUNTIFS($W$4:W2429,W2429)-1)</f>
        <v/>
      </c>
      <c r="Y2429" s="175">
        <f>IF(OR(I2429="",'02_대상물건입력'!B19="",'02_대상물건입력'!B19&lt;=0),"",ABS(I2429-'02_대상물건입력'!B19)/'02_대상물건입력'!B19)</f>
        <v/>
      </c>
      <c r="Z2429" s="172">
        <f>IF(OR(Y2429="",'01_설정'!B31="",'01_설정'!B31&lt;=0,'01_설정'!B32="",'01_설정'!B32&lt;=0),"",MAX(0,(1-Y2429/'01_설정'!B32))*'01_설정'!B31)</f>
        <v/>
      </c>
    </row>
    <row r="2430" ht="17.25" customHeight="1">
      <c r="A2430" s="152">
        <f>IF(INDEX('04A_국토부원자료'!$A:$A,ROW()+1)="","",ROW()-3)</f>
        <v/>
      </c>
      <c r="B2430" s="48">
        <f>IFERROR(INDEX('04A_국토부원자료'!$A:$T,ROW()+1,MATCH("시군구",'04A_국토부원자료'!$A$4:$T$4,0)),"")</f>
        <v/>
      </c>
      <c r="C2430" s="48">
        <f>IF(B2430="","",IFERROR(INDEX('04A_국토부원자료'!$A:$T,ROW()+1,MATCH("번지",'04A_국토부원자료'!$A$4:$T$4,0)),""))</f>
        <v/>
      </c>
      <c r="D2430" s="48">
        <f>IF(B2430="","",IF(Q2430=1,'02_대상물건입력'!$B$8,IFERROR(INDEX('04A_국토부원자료'!$A:$T,ROW()+1,MATCH("단지명",'04A_국토부원자료'!$A$4:$T$4,0)),"")))</f>
        <v/>
      </c>
      <c r="E2430" s="172">
        <f>IFERROR(VALUE(SUBSTITUTE(INDEX('04A_국토부원자료'!$A:$T,ROW()+1,MATCH("전용면적(㎡)",'04A_국토부원자료'!$A$4:$T$4,0)),",","")),"")</f>
        <v/>
      </c>
      <c r="F24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30" s="51">
        <f>IFERROR(VALUE(SUBSTITUTE(INDEX('04A_국토부원자료'!$A:$T,ROW()+1,MATCH("거래금액(만원)",'04A_국토부원자료'!$A$4:$T$4,0)),",","")),"")</f>
        <v/>
      </c>
      <c r="H2430" s="174">
        <f>IF(G2430="","",G2430*10000)</f>
        <v/>
      </c>
      <c r="I2430" s="174">
        <f>IFERROR(IF(AND(H2430&gt;0,E2430&gt;0),H2430/E2430,""),"")</f>
        <v/>
      </c>
      <c r="J2430" s="152">
        <f>IFERROR(VALUE(SUBSTITUTE(INDEX('04A_국토부원자료'!$A:$T,ROW()+1,MATCH("층",'04A_국토부원자료'!$A$4:$T$4,0)),",","")),"")</f>
        <v/>
      </c>
      <c r="K2430" s="152">
        <f>IFERROR(VALUE(SUBSTITUTE(INDEX('04A_국토부원자료'!$A:$T,ROW()+1,MATCH("건축년도",'04A_국토부원자료'!$A$4:$T$4,0)),",","")),"")</f>
        <v/>
      </c>
      <c r="L2430" s="48">
        <f>IFERROR(INDEX('04A_국토부원자료'!$A:$T,ROW()+1,MATCH("도로명",'04A_국토부원자료'!$A$4:$T$4,0)),"")</f>
        <v/>
      </c>
      <c r="M2430" s="48">
        <f>IFERROR(INDEX('04A_국토부원자료'!$A:$T,ROW()+1,MATCH("거래유형",'04A_국토부원자료'!$A$4:$T$4,0)),"")</f>
        <v/>
      </c>
      <c r="N2430" s="152">
        <f>IF(B2430="","",IF('02_대상물건입력'!B5="",1,IF(ISNUMBER(SEARCH('02_대상물건입력'!B5,B2430)),1,0)))</f>
        <v/>
      </c>
      <c r="O2430" s="152">
        <f>IF(B2430="","",IF('02_대상물건입력'!B6="",1,IF(ISNUMBER(SEARCH('02_대상물건입력'!B6,B2430)),1,0)))</f>
        <v/>
      </c>
      <c r="P2430" s="152">
        <f>IF(L2430="","",IF('02_대상물건입력'!B15="",0,IF(ISNUMBER(SEARCH('02_대상물건입력'!B15,L2430)),1,0)))</f>
        <v/>
      </c>
      <c r="Q2430" s="152">
        <f>IF(OR(C2430="",L2430=""),0,IF(AND(TRIM(C2430)=TRIM(RIGHT(SUBSTITUTE(TRIM('02_대상물건입력'!$B$7)," ",REPT(" ",99)),99)),IF('02_대상물건입력'!B15="",TRUE(),ISNUMBER(SEARCH('02_대상물건입력'!B15,L2430)))),1,0))</f>
        <v/>
      </c>
      <c r="R2430" s="175">
        <f>IFERROR(ABS(E2430-'02_대상물건입력'!B11)/'02_대상물건입력'!B11,"")</f>
        <v/>
      </c>
      <c r="S2430" s="152">
        <f>IFERROR(ABS(J2430-'02_대상물건입력'!B10),"")</f>
        <v/>
      </c>
      <c r="T2430" s="152">
        <f>IFERROR(ABS('01_설정'!B4-F2430),"")</f>
        <v/>
      </c>
      <c r="U2430" s="152">
        <f>IFERROR(ABS(K2430-YEAR('02_대상물건입력'!B14)),"")</f>
        <v/>
      </c>
      <c r="V2430" s="152">
        <f>IF(B2430="","",IF(AND(E2430&gt;0,F2430&gt;0,H2430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2430=1,TRUE()),R2430&lt;='01_설정'!B5,S2430&lt;='01_설정'!B6,T2430&lt;='01_설정'!B7,U2430&lt;='01_설정'!B8),"Y",""))</f>
        <v/>
      </c>
      <c r="W2430" s="172">
        <f>IF(V2430&lt;&gt;"Y","",MAX(0,(1-R2430/'01_설정'!B5))*'01_설정'!B14+MAX(0,(1-S2430/'01_설정'!B6))*'01_설정'!B15+MAX(0,(1-T2430/'01_설정'!B7))*'01_설정'!B16+MAX(0,(1-U2430/'01_설정'!B8))*'01_설정'!B17+O2430*'01_설정'!B11+Q2430*'01_설정'!B12+P2430*'01_설정'!B13+IF(Z2430="",0,Z2430))</f>
        <v/>
      </c>
      <c r="X2430" s="152">
        <f>IF(W2430="","",1+COUNTIFS($W$4:$W$3003,"&gt;"&amp;W2430)+COUNTIFS($W$4:W2430,W2430)-1)</f>
        <v/>
      </c>
      <c r="Y2430" s="175">
        <f>IF(OR(I2430="",'02_대상물건입력'!B19="",'02_대상물건입력'!B19&lt;=0),"",ABS(I2430-'02_대상물건입력'!B19)/'02_대상물건입력'!B19)</f>
        <v/>
      </c>
      <c r="Z2430" s="172">
        <f>IF(OR(Y2430="",'01_설정'!B31="",'01_설정'!B31&lt;=0,'01_설정'!B32="",'01_설정'!B32&lt;=0),"",MAX(0,(1-Y2430/'01_설정'!B32))*'01_설정'!B31)</f>
        <v/>
      </c>
    </row>
    <row r="2431" ht="17.25" customHeight="1">
      <c r="A2431" s="152">
        <f>IF(INDEX('04A_국토부원자료'!$A:$A,ROW()+1)="","",ROW()-3)</f>
        <v/>
      </c>
      <c r="B2431" s="48">
        <f>IFERROR(INDEX('04A_국토부원자료'!$A:$T,ROW()+1,MATCH("시군구",'04A_국토부원자료'!$A$4:$T$4,0)),"")</f>
        <v/>
      </c>
      <c r="C2431" s="48">
        <f>IF(B2431="","",IFERROR(INDEX('04A_국토부원자료'!$A:$T,ROW()+1,MATCH("번지",'04A_국토부원자료'!$A$4:$T$4,0)),""))</f>
        <v/>
      </c>
      <c r="D2431" s="48">
        <f>IF(B2431="","",IF(Q2431=1,'02_대상물건입력'!$B$8,IFERROR(INDEX('04A_국토부원자료'!$A:$T,ROW()+1,MATCH("단지명",'04A_국토부원자료'!$A$4:$T$4,0)),"")))</f>
        <v/>
      </c>
      <c r="E2431" s="172">
        <f>IFERROR(VALUE(SUBSTITUTE(INDEX('04A_국토부원자료'!$A:$T,ROW()+1,MATCH("전용면적(㎡)",'04A_국토부원자료'!$A$4:$T$4,0)),",","")),"")</f>
        <v/>
      </c>
      <c r="F24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31" s="51">
        <f>IFERROR(VALUE(SUBSTITUTE(INDEX('04A_국토부원자료'!$A:$T,ROW()+1,MATCH("거래금액(만원)",'04A_국토부원자료'!$A$4:$T$4,0)),",","")),"")</f>
        <v/>
      </c>
      <c r="H2431" s="174">
        <f>IF(G2431="","",G2431*10000)</f>
        <v/>
      </c>
      <c r="I2431" s="174">
        <f>IFERROR(IF(AND(H2431&gt;0,E2431&gt;0),H2431/E2431,""),"")</f>
        <v/>
      </c>
      <c r="J2431" s="152">
        <f>IFERROR(VALUE(SUBSTITUTE(INDEX('04A_국토부원자료'!$A:$T,ROW()+1,MATCH("층",'04A_국토부원자료'!$A$4:$T$4,0)),",","")),"")</f>
        <v/>
      </c>
      <c r="K2431" s="152">
        <f>IFERROR(VALUE(SUBSTITUTE(INDEX('04A_국토부원자료'!$A:$T,ROW()+1,MATCH("건축년도",'04A_국토부원자료'!$A$4:$T$4,0)),",","")),"")</f>
        <v/>
      </c>
      <c r="L2431" s="48">
        <f>IFERROR(INDEX('04A_국토부원자료'!$A:$T,ROW()+1,MATCH("도로명",'04A_국토부원자료'!$A$4:$T$4,0)),"")</f>
        <v/>
      </c>
      <c r="M2431" s="48">
        <f>IFERROR(INDEX('04A_국토부원자료'!$A:$T,ROW()+1,MATCH("거래유형",'04A_국토부원자료'!$A$4:$T$4,0)),"")</f>
        <v/>
      </c>
      <c r="N2431" s="152">
        <f>IF(B2431="","",IF('02_대상물건입력'!B5="",1,IF(ISNUMBER(SEARCH('02_대상물건입력'!B5,B2431)),1,0)))</f>
        <v/>
      </c>
      <c r="O2431" s="152">
        <f>IF(B2431="","",IF('02_대상물건입력'!B6="",1,IF(ISNUMBER(SEARCH('02_대상물건입력'!B6,B2431)),1,0)))</f>
        <v/>
      </c>
      <c r="P2431" s="152">
        <f>IF(L2431="","",IF('02_대상물건입력'!B15="",0,IF(ISNUMBER(SEARCH('02_대상물건입력'!B15,L2431)),1,0)))</f>
        <v/>
      </c>
      <c r="Q2431" s="152">
        <f>IF(OR(C2431="",L2431=""),0,IF(AND(TRIM(C2431)=TRIM(RIGHT(SUBSTITUTE(TRIM('02_대상물건입력'!$B$7)," ",REPT(" ",99)),99)),IF('02_대상물건입력'!B15="",TRUE(),ISNUMBER(SEARCH('02_대상물건입력'!B15,L2431)))),1,0))</f>
        <v/>
      </c>
      <c r="R2431" s="175">
        <f>IFERROR(ABS(E2431-'02_대상물건입력'!B11)/'02_대상물건입력'!B11,"")</f>
        <v/>
      </c>
      <c r="S2431" s="152">
        <f>IFERROR(ABS(J2431-'02_대상물건입력'!B10),"")</f>
        <v/>
      </c>
      <c r="T2431" s="152">
        <f>IFERROR(ABS('01_설정'!B4-F2431),"")</f>
        <v/>
      </c>
      <c r="U2431" s="152">
        <f>IFERROR(ABS(K2431-YEAR('02_대상물건입력'!B14)),"")</f>
        <v/>
      </c>
      <c r="V2431" s="152">
        <f>IF(B2431="","",IF(AND(E2431&gt;0,F2431&gt;0,H2431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2431=1,TRUE()),R2431&lt;='01_설정'!B5,S2431&lt;='01_설정'!B6,T2431&lt;='01_설정'!B7,U2431&lt;='01_설정'!B8),"Y",""))</f>
        <v/>
      </c>
      <c r="W2431" s="172">
        <f>IF(V2431&lt;&gt;"Y","",MAX(0,(1-R2431/'01_설정'!B5))*'01_설정'!B14+MAX(0,(1-S2431/'01_설정'!B6))*'01_설정'!B15+MAX(0,(1-T2431/'01_설정'!B7))*'01_설정'!B16+MAX(0,(1-U2431/'01_설정'!B8))*'01_설정'!B17+O2431*'01_설정'!B11+Q2431*'01_설정'!B12+P2431*'01_설정'!B13+IF(Z2431="",0,Z2431))</f>
        <v/>
      </c>
      <c r="X2431" s="152">
        <f>IF(W2431="","",1+COUNTIFS($W$4:$W$3003,"&gt;"&amp;W2431)+COUNTIFS($W$4:W2431,W2431)-1)</f>
        <v/>
      </c>
      <c r="Y2431" s="175">
        <f>IF(OR(I2431="",'02_대상물건입력'!B19="",'02_대상물건입력'!B19&lt;=0),"",ABS(I2431-'02_대상물건입력'!B19)/'02_대상물건입력'!B19)</f>
        <v/>
      </c>
      <c r="Z2431" s="172">
        <f>IF(OR(Y2431="",'01_설정'!B31="",'01_설정'!B31&lt;=0,'01_설정'!B32="",'01_설정'!B32&lt;=0),"",MAX(0,(1-Y2431/'01_설정'!B32))*'01_설정'!B31)</f>
        <v/>
      </c>
    </row>
    <row r="2432" ht="17.25" customHeight="1">
      <c r="A2432" s="152">
        <f>IF(INDEX('04A_국토부원자료'!$A:$A,ROW()+1)="","",ROW()-3)</f>
        <v/>
      </c>
      <c r="B2432" s="48">
        <f>IFERROR(INDEX('04A_국토부원자료'!$A:$T,ROW()+1,MATCH("시군구",'04A_국토부원자료'!$A$4:$T$4,0)),"")</f>
        <v/>
      </c>
      <c r="C2432" s="48">
        <f>IF(B2432="","",IFERROR(INDEX('04A_국토부원자료'!$A:$T,ROW()+1,MATCH("번지",'04A_국토부원자료'!$A$4:$T$4,0)),""))</f>
        <v/>
      </c>
      <c r="D2432" s="48">
        <f>IF(B2432="","",IF(Q2432=1,'02_대상물건입력'!$B$8,IFERROR(INDEX('04A_국토부원자료'!$A:$T,ROW()+1,MATCH("단지명",'04A_국토부원자료'!$A$4:$T$4,0)),"")))</f>
        <v/>
      </c>
      <c r="E2432" s="172">
        <f>IFERROR(VALUE(SUBSTITUTE(INDEX('04A_국토부원자료'!$A:$T,ROW()+1,MATCH("전용면적(㎡)",'04A_국토부원자료'!$A$4:$T$4,0)),",","")),"")</f>
        <v/>
      </c>
      <c r="F24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32" s="51">
        <f>IFERROR(VALUE(SUBSTITUTE(INDEX('04A_국토부원자료'!$A:$T,ROW()+1,MATCH("거래금액(만원)",'04A_국토부원자료'!$A$4:$T$4,0)),",","")),"")</f>
        <v/>
      </c>
      <c r="H2432" s="174">
        <f>IF(G2432="","",G2432*10000)</f>
        <v/>
      </c>
      <c r="I2432" s="174">
        <f>IFERROR(IF(AND(H2432&gt;0,E2432&gt;0),H2432/E2432,""),"")</f>
        <v/>
      </c>
      <c r="J2432" s="152">
        <f>IFERROR(VALUE(SUBSTITUTE(INDEX('04A_국토부원자료'!$A:$T,ROW()+1,MATCH("층",'04A_국토부원자료'!$A$4:$T$4,0)),",","")),"")</f>
        <v/>
      </c>
      <c r="K2432" s="152">
        <f>IFERROR(VALUE(SUBSTITUTE(INDEX('04A_국토부원자료'!$A:$T,ROW()+1,MATCH("건축년도",'04A_국토부원자료'!$A$4:$T$4,0)),",","")),"")</f>
        <v/>
      </c>
      <c r="L2432" s="48">
        <f>IFERROR(INDEX('04A_국토부원자료'!$A:$T,ROW()+1,MATCH("도로명",'04A_국토부원자료'!$A$4:$T$4,0)),"")</f>
        <v/>
      </c>
      <c r="M2432" s="48">
        <f>IFERROR(INDEX('04A_국토부원자료'!$A:$T,ROW()+1,MATCH("거래유형",'04A_국토부원자료'!$A$4:$T$4,0)),"")</f>
        <v/>
      </c>
      <c r="N2432" s="152">
        <f>IF(B2432="","",IF('02_대상물건입력'!B5="",1,IF(ISNUMBER(SEARCH('02_대상물건입력'!B5,B2432)),1,0)))</f>
        <v/>
      </c>
      <c r="O2432" s="152">
        <f>IF(B2432="","",IF('02_대상물건입력'!B6="",1,IF(ISNUMBER(SEARCH('02_대상물건입력'!B6,B2432)),1,0)))</f>
        <v/>
      </c>
      <c r="P2432" s="152">
        <f>IF(L2432="","",IF('02_대상물건입력'!B15="",0,IF(ISNUMBER(SEARCH('02_대상물건입력'!B15,L2432)),1,0)))</f>
        <v/>
      </c>
      <c r="Q2432" s="152">
        <f>IF(OR(C2432="",L2432=""),0,IF(AND(TRIM(C2432)=TRIM(RIGHT(SUBSTITUTE(TRIM('02_대상물건입력'!$B$7)," ",REPT(" ",99)),99)),IF('02_대상물건입력'!B15="",TRUE(),ISNUMBER(SEARCH('02_대상물건입력'!B15,L2432)))),1,0))</f>
        <v/>
      </c>
      <c r="R2432" s="175">
        <f>IFERROR(ABS(E2432-'02_대상물건입력'!B11)/'02_대상물건입력'!B11,"")</f>
        <v/>
      </c>
      <c r="S2432" s="152">
        <f>IFERROR(ABS(J2432-'02_대상물건입력'!B10),"")</f>
        <v/>
      </c>
      <c r="T2432" s="152">
        <f>IFERROR(ABS('01_설정'!B4-F2432),"")</f>
        <v/>
      </c>
      <c r="U2432" s="152">
        <f>IFERROR(ABS(K2432-YEAR('02_대상물건입력'!B14)),"")</f>
        <v/>
      </c>
      <c r="V2432" s="152">
        <f>IF(B2432="","",IF(AND(E2432&gt;0,F2432&gt;0,H2432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2432=1,TRUE()),R2432&lt;='01_설정'!B5,S2432&lt;='01_설정'!B6,T2432&lt;='01_설정'!B7,U2432&lt;='01_설정'!B8),"Y",""))</f>
        <v/>
      </c>
      <c r="W2432" s="172">
        <f>IF(V2432&lt;&gt;"Y","",MAX(0,(1-R2432/'01_설정'!B5))*'01_설정'!B14+MAX(0,(1-S2432/'01_설정'!B6))*'01_설정'!B15+MAX(0,(1-T2432/'01_설정'!B7))*'01_설정'!B16+MAX(0,(1-U2432/'01_설정'!B8))*'01_설정'!B17+O2432*'01_설정'!B11+Q2432*'01_설정'!B12+P2432*'01_설정'!B13+IF(Z2432="",0,Z2432))</f>
        <v/>
      </c>
      <c r="X2432" s="152">
        <f>IF(W2432="","",1+COUNTIFS($W$4:$W$3003,"&gt;"&amp;W2432)+COUNTIFS($W$4:W2432,W2432)-1)</f>
        <v/>
      </c>
      <c r="Y2432" s="175">
        <f>IF(OR(I2432="",'02_대상물건입력'!B19="",'02_대상물건입력'!B19&lt;=0),"",ABS(I2432-'02_대상물건입력'!B19)/'02_대상물건입력'!B19)</f>
        <v/>
      </c>
      <c r="Z2432" s="172">
        <f>IF(OR(Y2432="",'01_설정'!B31="",'01_설정'!B31&lt;=0,'01_설정'!B32="",'01_설정'!B32&lt;=0),"",MAX(0,(1-Y2432/'01_설정'!B32))*'01_설정'!B31)</f>
        <v/>
      </c>
    </row>
    <row r="2433" ht="17.25" customHeight="1">
      <c r="A2433" s="152">
        <f>IF(INDEX('04A_국토부원자료'!$A:$A,ROW()+1)="","",ROW()-3)</f>
        <v/>
      </c>
      <c r="B2433" s="48">
        <f>IFERROR(INDEX('04A_국토부원자료'!$A:$T,ROW()+1,MATCH("시군구",'04A_국토부원자료'!$A$4:$T$4,0)),"")</f>
        <v/>
      </c>
      <c r="C2433" s="48">
        <f>IF(B2433="","",IFERROR(INDEX('04A_국토부원자료'!$A:$T,ROW()+1,MATCH("번지",'04A_국토부원자료'!$A$4:$T$4,0)),""))</f>
        <v/>
      </c>
      <c r="D2433" s="48">
        <f>IF(B2433="","",IF(Q2433=1,'02_대상물건입력'!$B$8,IFERROR(INDEX('04A_국토부원자료'!$A:$T,ROW()+1,MATCH("단지명",'04A_국토부원자료'!$A$4:$T$4,0)),"")))</f>
        <v/>
      </c>
      <c r="E2433" s="172">
        <f>IFERROR(VALUE(SUBSTITUTE(INDEX('04A_국토부원자료'!$A:$T,ROW()+1,MATCH("전용면적(㎡)",'04A_국토부원자료'!$A$4:$T$4,0)),",","")),"")</f>
        <v/>
      </c>
      <c r="F24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33" s="51">
        <f>IFERROR(VALUE(SUBSTITUTE(INDEX('04A_국토부원자료'!$A:$T,ROW()+1,MATCH("거래금액(만원)",'04A_국토부원자료'!$A$4:$T$4,0)),",","")),"")</f>
        <v/>
      </c>
      <c r="H2433" s="174">
        <f>IF(G2433="","",G2433*10000)</f>
        <v/>
      </c>
      <c r="I2433" s="174">
        <f>IFERROR(IF(AND(H2433&gt;0,E2433&gt;0),H2433/E2433,""),"")</f>
        <v/>
      </c>
      <c r="J2433" s="152">
        <f>IFERROR(VALUE(SUBSTITUTE(INDEX('04A_국토부원자료'!$A:$T,ROW()+1,MATCH("층",'04A_국토부원자료'!$A$4:$T$4,0)),",","")),"")</f>
        <v/>
      </c>
      <c r="K2433" s="152">
        <f>IFERROR(VALUE(SUBSTITUTE(INDEX('04A_국토부원자료'!$A:$T,ROW()+1,MATCH("건축년도",'04A_국토부원자료'!$A$4:$T$4,0)),",","")),"")</f>
        <v/>
      </c>
      <c r="L2433" s="48">
        <f>IFERROR(INDEX('04A_국토부원자료'!$A:$T,ROW()+1,MATCH("도로명",'04A_국토부원자료'!$A$4:$T$4,0)),"")</f>
        <v/>
      </c>
      <c r="M2433" s="48">
        <f>IFERROR(INDEX('04A_국토부원자료'!$A:$T,ROW()+1,MATCH("거래유형",'04A_국토부원자료'!$A$4:$T$4,0)),"")</f>
        <v/>
      </c>
      <c r="N2433" s="152">
        <f>IF(B2433="","",IF('02_대상물건입력'!B5="",1,IF(ISNUMBER(SEARCH('02_대상물건입력'!B5,B2433)),1,0)))</f>
        <v/>
      </c>
      <c r="O2433" s="152">
        <f>IF(B2433="","",IF('02_대상물건입력'!B6="",1,IF(ISNUMBER(SEARCH('02_대상물건입력'!B6,B2433)),1,0)))</f>
        <v/>
      </c>
      <c r="P2433" s="152">
        <f>IF(L2433="","",IF('02_대상물건입력'!B15="",0,IF(ISNUMBER(SEARCH('02_대상물건입력'!B15,L2433)),1,0)))</f>
        <v/>
      </c>
      <c r="Q2433" s="152">
        <f>IF(OR(C2433="",L2433=""),0,IF(AND(TRIM(C2433)=TRIM(RIGHT(SUBSTITUTE(TRIM('02_대상물건입력'!$B$7)," ",REPT(" ",99)),99)),IF('02_대상물건입력'!B15="",TRUE(),ISNUMBER(SEARCH('02_대상물건입력'!B15,L2433)))),1,0))</f>
        <v/>
      </c>
      <c r="R2433" s="175">
        <f>IFERROR(ABS(E2433-'02_대상물건입력'!B11)/'02_대상물건입력'!B11,"")</f>
        <v/>
      </c>
      <c r="S2433" s="152">
        <f>IFERROR(ABS(J2433-'02_대상물건입력'!B10),"")</f>
        <v/>
      </c>
      <c r="T2433" s="152">
        <f>IFERROR(ABS('01_설정'!B4-F2433),"")</f>
        <v/>
      </c>
      <c r="U2433" s="152">
        <f>IFERROR(ABS(K2433-YEAR('02_대상물건입력'!B14)),"")</f>
        <v/>
      </c>
      <c r="V2433" s="152">
        <f>IF(B2433="","",IF(AND(E2433&gt;0,F2433&gt;0,H2433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2433=1,TRUE()),R2433&lt;='01_설정'!B5,S2433&lt;='01_설정'!B6,T2433&lt;='01_설정'!B7,U2433&lt;='01_설정'!B8),"Y",""))</f>
        <v/>
      </c>
      <c r="W2433" s="172">
        <f>IF(V2433&lt;&gt;"Y","",MAX(0,(1-R2433/'01_설정'!B5))*'01_설정'!B14+MAX(0,(1-S2433/'01_설정'!B6))*'01_설정'!B15+MAX(0,(1-T2433/'01_설정'!B7))*'01_설정'!B16+MAX(0,(1-U2433/'01_설정'!B8))*'01_설정'!B17+O2433*'01_설정'!B11+Q2433*'01_설정'!B12+P2433*'01_설정'!B13+IF(Z2433="",0,Z2433))</f>
        <v/>
      </c>
      <c r="X2433" s="152">
        <f>IF(W2433="","",1+COUNTIFS($W$4:$W$3003,"&gt;"&amp;W2433)+COUNTIFS($W$4:W2433,W2433)-1)</f>
        <v/>
      </c>
      <c r="Y2433" s="175">
        <f>IF(OR(I2433="",'02_대상물건입력'!B19="",'02_대상물건입력'!B19&lt;=0),"",ABS(I2433-'02_대상물건입력'!B19)/'02_대상물건입력'!B19)</f>
        <v/>
      </c>
      <c r="Z2433" s="172">
        <f>IF(OR(Y2433="",'01_설정'!B31="",'01_설정'!B31&lt;=0,'01_설정'!B32="",'01_설정'!B32&lt;=0),"",MAX(0,(1-Y2433/'01_설정'!B32))*'01_설정'!B31)</f>
        <v/>
      </c>
    </row>
    <row r="2434" ht="17.25" customHeight="1">
      <c r="A2434" s="152">
        <f>IF(INDEX('04A_국토부원자료'!$A:$A,ROW()+1)="","",ROW()-3)</f>
        <v/>
      </c>
      <c r="B2434" s="48">
        <f>IFERROR(INDEX('04A_국토부원자료'!$A:$T,ROW()+1,MATCH("시군구",'04A_국토부원자료'!$A$4:$T$4,0)),"")</f>
        <v/>
      </c>
      <c r="C2434" s="48">
        <f>IF(B2434="","",IFERROR(INDEX('04A_국토부원자료'!$A:$T,ROW()+1,MATCH("번지",'04A_국토부원자료'!$A$4:$T$4,0)),""))</f>
        <v/>
      </c>
      <c r="D2434" s="48">
        <f>IF(B2434="","",IF(Q2434=1,'02_대상물건입력'!$B$8,IFERROR(INDEX('04A_국토부원자료'!$A:$T,ROW()+1,MATCH("단지명",'04A_국토부원자료'!$A$4:$T$4,0)),"")))</f>
        <v/>
      </c>
      <c r="E2434" s="172">
        <f>IFERROR(VALUE(SUBSTITUTE(INDEX('04A_국토부원자료'!$A:$T,ROW()+1,MATCH("전용면적(㎡)",'04A_국토부원자료'!$A$4:$T$4,0)),",","")),"")</f>
        <v/>
      </c>
      <c r="F24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34" s="51">
        <f>IFERROR(VALUE(SUBSTITUTE(INDEX('04A_국토부원자료'!$A:$T,ROW()+1,MATCH("거래금액(만원)",'04A_국토부원자료'!$A$4:$T$4,0)),",","")),"")</f>
        <v/>
      </c>
      <c r="H2434" s="174">
        <f>IF(G2434="","",G2434*10000)</f>
        <v/>
      </c>
      <c r="I2434" s="174">
        <f>IFERROR(IF(AND(H2434&gt;0,E2434&gt;0),H2434/E2434,""),"")</f>
        <v/>
      </c>
      <c r="J2434" s="152">
        <f>IFERROR(VALUE(SUBSTITUTE(INDEX('04A_국토부원자료'!$A:$T,ROW()+1,MATCH("층",'04A_국토부원자료'!$A$4:$T$4,0)),",","")),"")</f>
        <v/>
      </c>
      <c r="K2434" s="152">
        <f>IFERROR(VALUE(SUBSTITUTE(INDEX('04A_국토부원자료'!$A:$T,ROW()+1,MATCH("건축년도",'04A_국토부원자료'!$A$4:$T$4,0)),",","")),"")</f>
        <v/>
      </c>
      <c r="L2434" s="48">
        <f>IFERROR(INDEX('04A_국토부원자료'!$A:$T,ROW()+1,MATCH("도로명",'04A_국토부원자료'!$A$4:$T$4,0)),"")</f>
        <v/>
      </c>
      <c r="M2434" s="48">
        <f>IFERROR(INDEX('04A_국토부원자료'!$A:$T,ROW()+1,MATCH("거래유형",'04A_국토부원자료'!$A$4:$T$4,0)),"")</f>
        <v/>
      </c>
      <c r="N2434" s="152">
        <f>IF(B2434="","",IF('02_대상물건입력'!B5="",1,IF(ISNUMBER(SEARCH('02_대상물건입력'!B5,B2434)),1,0)))</f>
        <v/>
      </c>
      <c r="O2434" s="152">
        <f>IF(B2434="","",IF('02_대상물건입력'!B6="",1,IF(ISNUMBER(SEARCH('02_대상물건입력'!B6,B2434)),1,0)))</f>
        <v/>
      </c>
      <c r="P2434" s="152">
        <f>IF(L2434="","",IF('02_대상물건입력'!B15="",0,IF(ISNUMBER(SEARCH('02_대상물건입력'!B15,L2434)),1,0)))</f>
        <v/>
      </c>
      <c r="Q2434" s="152">
        <f>IF(OR(C2434="",L2434=""),0,IF(AND(TRIM(C2434)=TRIM(RIGHT(SUBSTITUTE(TRIM('02_대상물건입력'!$B$7)," ",REPT(" ",99)),99)),IF('02_대상물건입력'!B15="",TRUE(),ISNUMBER(SEARCH('02_대상물건입력'!B15,L2434)))),1,0))</f>
        <v/>
      </c>
      <c r="R2434" s="175">
        <f>IFERROR(ABS(E2434-'02_대상물건입력'!B11)/'02_대상물건입력'!B11,"")</f>
        <v/>
      </c>
      <c r="S2434" s="152">
        <f>IFERROR(ABS(J2434-'02_대상물건입력'!B10),"")</f>
        <v/>
      </c>
      <c r="T2434" s="152">
        <f>IFERROR(ABS('01_설정'!B4-F2434),"")</f>
        <v/>
      </c>
      <c r="U2434" s="152">
        <f>IFERROR(ABS(K2434-YEAR('02_대상물건입력'!B14)),"")</f>
        <v/>
      </c>
      <c r="V2434" s="152">
        <f>IF(B2434="","",IF(AND(E2434&gt;0,F2434&gt;0,H2434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2434=1,TRUE()),R2434&lt;='01_설정'!B5,S2434&lt;='01_설정'!B6,T2434&lt;='01_설정'!B7,U2434&lt;='01_설정'!B8),"Y",""))</f>
        <v/>
      </c>
      <c r="W2434" s="172">
        <f>IF(V2434&lt;&gt;"Y","",MAX(0,(1-R2434/'01_설정'!B5))*'01_설정'!B14+MAX(0,(1-S2434/'01_설정'!B6))*'01_설정'!B15+MAX(0,(1-T2434/'01_설정'!B7))*'01_설정'!B16+MAX(0,(1-U2434/'01_설정'!B8))*'01_설정'!B17+O2434*'01_설정'!B11+Q2434*'01_설정'!B12+P2434*'01_설정'!B13+IF(Z2434="",0,Z2434))</f>
        <v/>
      </c>
      <c r="X2434" s="152">
        <f>IF(W2434="","",1+COUNTIFS($W$4:$W$3003,"&gt;"&amp;W2434)+COUNTIFS($W$4:W2434,W2434)-1)</f>
        <v/>
      </c>
      <c r="Y2434" s="175">
        <f>IF(OR(I2434="",'02_대상물건입력'!B19="",'02_대상물건입력'!B19&lt;=0),"",ABS(I2434-'02_대상물건입력'!B19)/'02_대상물건입력'!B19)</f>
        <v/>
      </c>
      <c r="Z2434" s="172">
        <f>IF(OR(Y2434="",'01_설정'!B31="",'01_설정'!B31&lt;=0,'01_설정'!B32="",'01_설정'!B32&lt;=0),"",MAX(0,(1-Y2434/'01_설정'!B32))*'01_설정'!B31)</f>
        <v/>
      </c>
    </row>
    <row r="2435" ht="17.25" customHeight="1">
      <c r="A2435" s="152">
        <f>IF(INDEX('04A_국토부원자료'!$A:$A,ROW()+1)="","",ROW()-3)</f>
        <v/>
      </c>
      <c r="B2435" s="48">
        <f>IFERROR(INDEX('04A_국토부원자료'!$A:$T,ROW()+1,MATCH("시군구",'04A_국토부원자료'!$A$4:$T$4,0)),"")</f>
        <v/>
      </c>
      <c r="C2435" s="48">
        <f>IF(B2435="","",IFERROR(INDEX('04A_국토부원자료'!$A:$T,ROW()+1,MATCH("번지",'04A_국토부원자료'!$A$4:$T$4,0)),""))</f>
        <v/>
      </c>
      <c r="D2435" s="48">
        <f>IF(B2435="","",IF(Q2435=1,'02_대상물건입력'!$B$8,IFERROR(INDEX('04A_국토부원자료'!$A:$T,ROW()+1,MATCH("단지명",'04A_국토부원자료'!$A$4:$T$4,0)),"")))</f>
        <v/>
      </c>
      <c r="E2435" s="172">
        <f>IFERROR(VALUE(SUBSTITUTE(INDEX('04A_국토부원자료'!$A:$T,ROW()+1,MATCH("전용면적(㎡)",'04A_국토부원자료'!$A$4:$T$4,0)),",","")),"")</f>
        <v/>
      </c>
      <c r="F24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35" s="51">
        <f>IFERROR(VALUE(SUBSTITUTE(INDEX('04A_국토부원자료'!$A:$T,ROW()+1,MATCH("거래금액(만원)",'04A_국토부원자료'!$A$4:$T$4,0)),",","")),"")</f>
        <v/>
      </c>
      <c r="H2435" s="174">
        <f>IF(G2435="","",G2435*10000)</f>
        <v/>
      </c>
      <c r="I2435" s="174">
        <f>IFERROR(IF(AND(H2435&gt;0,E2435&gt;0),H2435/E2435,""),"")</f>
        <v/>
      </c>
      <c r="J2435" s="152">
        <f>IFERROR(VALUE(SUBSTITUTE(INDEX('04A_국토부원자료'!$A:$T,ROW()+1,MATCH("층",'04A_국토부원자료'!$A$4:$T$4,0)),",","")),"")</f>
        <v/>
      </c>
      <c r="K2435" s="152">
        <f>IFERROR(VALUE(SUBSTITUTE(INDEX('04A_국토부원자료'!$A:$T,ROW()+1,MATCH("건축년도",'04A_국토부원자료'!$A$4:$T$4,0)),",","")),"")</f>
        <v/>
      </c>
      <c r="L2435" s="48">
        <f>IFERROR(INDEX('04A_국토부원자료'!$A:$T,ROW()+1,MATCH("도로명",'04A_국토부원자료'!$A$4:$T$4,0)),"")</f>
        <v/>
      </c>
      <c r="M2435" s="48">
        <f>IFERROR(INDEX('04A_국토부원자료'!$A:$T,ROW()+1,MATCH("거래유형",'04A_국토부원자료'!$A$4:$T$4,0)),"")</f>
        <v/>
      </c>
      <c r="N2435" s="152">
        <f>IF(B2435="","",IF('02_대상물건입력'!B5="",1,IF(ISNUMBER(SEARCH('02_대상물건입력'!B5,B2435)),1,0)))</f>
        <v/>
      </c>
      <c r="O2435" s="152">
        <f>IF(B2435="","",IF('02_대상물건입력'!B6="",1,IF(ISNUMBER(SEARCH('02_대상물건입력'!B6,B2435)),1,0)))</f>
        <v/>
      </c>
      <c r="P2435" s="152">
        <f>IF(L2435="","",IF('02_대상물건입력'!B15="",0,IF(ISNUMBER(SEARCH('02_대상물건입력'!B15,L2435)),1,0)))</f>
        <v/>
      </c>
      <c r="Q2435" s="152">
        <f>IF(OR(C2435="",L2435=""),0,IF(AND(TRIM(C2435)=TRIM(RIGHT(SUBSTITUTE(TRIM('02_대상물건입력'!$B$7)," ",REPT(" ",99)),99)),IF('02_대상물건입력'!B15="",TRUE(),ISNUMBER(SEARCH('02_대상물건입력'!B15,L2435)))),1,0))</f>
        <v/>
      </c>
      <c r="R2435" s="175">
        <f>IFERROR(ABS(E2435-'02_대상물건입력'!B11)/'02_대상물건입력'!B11,"")</f>
        <v/>
      </c>
      <c r="S2435" s="152">
        <f>IFERROR(ABS(J2435-'02_대상물건입력'!B10),"")</f>
        <v/>
      </c>
      <c r="T2435" s="152">
        <f>IFERROR(ABS('01_설정'!B4-F2435),"")</f>
        <v/>
      </c>
      <c r="U2435" s="152">
        <f>IFERROR(ABS(K2435-YEAR('02_대상물건입력'!B14)),"")</f>
        <v/>
      </c>
      <c r="V2435" s="152">
        <f>IF(B2435="","",IF(AND(E2435&gt;0,F2435&gt;0,H2435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2435=1,TRUE()),R2435&lt;='01_설정'!B5,S2435&lt;='01_설정'!B6,T2435&lt;='01_설정'!B7,U2435&lt;='01_설정'!B8),"Y",""))</f>
        <v/>
      </c>
      <c r="W2435" s="172">
        <f>IF(V2435&lt;&gt;"Y","",MAX(0,(1-R2435/'01_설정'!B5))*'01_설정'!B14+MAX(0,(1-S2435/'01_설정'!B6))*'01_설정'!B15+MAX(0,(1-T2435/'01_설정'!B7))*'01_설정'!B16+MAX(0,(1-U2435/'01_설정'!B8))*'01_설정'!B17+O2435*'01_설정'!B11+Q2435*'01_설정'!B12+P2435*'01_설정'!B13+IF(Z2435="",0,Z2435))</f>
        <v/>
      </c>
      <c r="X2435" s="152">
        <f>IF(W2435="","",1+COUNTIFS($W$4:$W$3003,"&gt;"&amp;W2435)+COUNTIFS($W$4:W2435,W2435)-1)</f>
        <v/>
      </c>
      <c r="Y2435" s="175">
        <f>IF(OR(I2435="",'02_대상물건입력'!B19="",'02_대상물건입력'!B19&lt;=0),"",ABS(I2435-'02_대상물건입력'!B19)/'02_대상물건입력'!B19)</f>
        <v/>
      </c>
      <c r="Z2435" s="172">
        <f>IF(OR(Y2435="",'01_설정'!B31="",'01_설정'!B31&lt;=0,'01_설정'!B32="",'01_설정'!B32&lt;=0),"",MAX(0,(1-Y2435/'01_설정'!B32))*'01_설정'!B31)</f>
        <v/>
      </c>
    </row>
    <row r="2436" ht="17.25" customHeight="1">
      <c r="A2436" s="152">
        <f>IF(INDEX('04A_국토부원자료'!$A:$A,ROW()+1)="","",ROW()-3)</f>
        <v/>
      </c>
      <c r="B2436" s="48">
        <f>IFERROR(INDEX('04A_국토부원자료'!$A:$T,ROW()+1,MATCH("시군구",'04A_국토부원자료'!$A$4:$T$4,0)),"")</f>
        <v/>
      </c>
      <c r="C2436" s="48">
        <f>IF(B2436="","",IFERROR(INDEX('04A_국토부원자료'!$A:$T,ROW()+1,MATCH("번지",'04A_국토부원자료'!$A$4:$T$4,0)),""))</f>
        <v/>
      </c>
      <c r="D2436" s="48">
        <f>IF(B2436="","",IF(Q2436=1,'02_대상물건입력'!$B$8,IFERROR(INDEX('04A_국토부원자료'!$A:$T,ROW()+1,MATCH("단지명",'04A_국토부원자료'!$A$4:$T$4,0)),"")))</f>
        <v/>
      </c>
      <c r="E2436" s="172">
        <f>IFERROR(VALUE(SUBSTITUTE(INDEX('04A_국토부원자료'!$A:$T,ROW()+1,MATCH("전용면적(㎡)",'04A_국토부원자료'!$A$4:$T$4,0)),",","")),"")</f>
        <v/>
      </c>
      <c r="F24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36" s="51">
        <f>IFERROR(VALUE(SUBSTITUTE(INDEX('04A_국토부원자료'!$A:$T,ROW()+1,MATCH("거래금액(만원)",'04A_국토부원자료'!$A$4:$T$4,0)),",","")),"")</f>
        <v/>
      </c>
      <c r="H2436" s="174">
        <f>IF(G2436="","",G2436*10000)</f>
        <v/>
      </c>
      <c r="I2436" s="174">
        <f>IFERROR(IF(AND(H2436&gt;0,E2436&gt;0),H2436/E2436,""),"")</f>
        <v/>
      </c>
      <c r="J2436" s="152">
        <f>IFERROR(VALUE(SUBSTITUTE(INDEX('04A_국토부원자료'!$A:$T,ROW()+1,MATCH("층",'04A_국토부원자료'!$A$4:$T$4,0)),",","")),"")</f>
        <v/>
      </c>
      <c r="K2436" s="152">
        <f>IFERROR(VALUE(SUBSTITUTE(INDEX('04A_국토부원자료'!$A:$T,ROW()+1,MATCH("건축년도",'04A_국토부원자료'!$A$4:$T$4,0)),",","")),"")</f>
        <v/>
      </c>
      <c r="L2436" s="48">
        <f>IFERROR(INDEX('04A_국토부원자료'!$A:$T,ROW()+1,MATCH("도로명",'04A_국토부원자료'!$A$4:$T$4,0)),"")</f>
        <v/>
      </c>
      <c r="M2436" s="48">
        <f>IFERROR(INDEX('04A_국토부원자료'!$A:$T,ROW()+1,MATCH("거래유형",'04A_국토부원자료'!$A$4:$T$4,0)),"")</f>
        <v/>
      </c>
      <c r="N2436" s="152">
        <f>IF(B2436="","",IF('02_대상물건입력'!B5="",1,IF(ISNUMBER(SEARCH('02_대상물건입력'!B5,B2436)),1,0)))</f>
        <v/>
      </c>
      <c r="O2436" s="152">
        <f>IF(B2436="","",IF('02_대상물건입력'!B6="",1,IF(ISNUMBER(SEARCH('02_대상물건입력'!B6,B2436)),1,0)))</f>
        <v/>
      </c>
      <c r="P2436" s="152">
        <f>IF(L2436="","",IF('02_대상물건입력'!B15="",0,IF(ISNUMBER(SEARCH('02_대상물건입력'!B15,L2436)),1,0)))</f>
        <v/>
      </c>
      <c r="Q2436" s="152">
        <f>IF(OR(C2436="",L2436=""),0,IF(AND(TRIM(C2436)=TRIM(RIGHT(SUBSTITUTE(TRIM('02_대상물건입력'!$B$7)," ",REPT(" ",99)),99)),IF('02_대상물건입력'!B15="",TRUE(),ISNUMBER(SEARCH('02_대상물건입력'!B15,L2436)))),1,0))</f>
        <v/>
      </c>
      <c r="R2436" s="175">
        <f>IFERROR(ABS(E2436-'02_대상물건입력'!B11)/'02_대상물건입력'!B11,"")</f>
        <v/>
      </c>
      <c r="S2436" s="152">
        <f>IFERROR(ABS(J2436-'02_대상물건입력'!B10),"")</f>
        <v/>
      </c>
      <c r="T2436" s="152">
        <f>IFERROR(ABS('01_설정'!B4-F2436),"")</f>
        <v/>
      </c>
      <c r="U2436" s="152">
        <f>IFERROR(ABS(K2436-YEAR('02_대상물건입력'!B14)),"")</f>
        <v/>
      </c>
      <c r="V2436" s="152">
        <f>IF(B2436="","",IF(AND(E2436&gt;0,F2436&gt;0,H2436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2436=1,TRUE()),R2436&lt;='01_설정'!B5,S2436&lt;='01_설정'!B6,T2436&lt;='01_설정'!B7,U2436&lt;='01_설정'!B8),"Y",""))</f>
        <v/>
      </c>
      <c r="W2436" s="172">
        <f>IF(V2436&lt;&gt;"Y","",MAX(0,(1-R2436/'01_설정'!B5))*'01_설정'!B14+MAX(0,(1-S2436/'01_설정'!B6))*'01_설정'!B15+MAX(0,(1-T2436/'01_설정'!B7))*'01_설정'!B16+MAX(0,(1-U2436/'01_설정'!B8))*'01_설정'!B17+O2436*'01_설정'!B11+Q2436*'01_설정'!B12+P2436*'01_설정'!B13+IF(Z2436="",0,Z2436))</f>
        <v/>
      </c>
      <c r="X2436" s="152">
        <f>IF(W2436="","",1+COUNTIFS($W$4:$W$3003,"&gt;"&amp;W2436)+COUNTIFS($W$4:W2436,W2436)-1)</f>
        <v/>
      </c>
      <c r="Y2436" s="175">
        <f>IF(OR(I2436="",'02_대상물건입력'!B19="",'02_대상물건입력'!B19&lt;=0),"",ABS(I2436-'02_대상물건입력'!B19)/'02_대상물건입력'!B19)</f>
        <v/>
      </c>
      <c r="Z2436" s="172">
        <f>IF(OR(Y2436="",'01_설정'!B31="",'01_설정'!B31&lt;=0,'01_설정'!B32="",'01_설정'!B32&lt;=0),"",MAX(0,(1-Y2436/'01_설정'!B32))*'01_설정'!B31)</f>
        <v/>
      </c>
    </row>
    <row r="2437" ht="17.25" customHeight="1">
      <c r="A2437" s="152">
        <f>IF(INDEX('04A_국토부원자료'!$A:$A,ROW()+1)="","",ROW()-3)</f>
        <v/>
      </c>
      <c r="B2437" s="48">
        <f>IFERROR(INDEX('04A_국토부원자료'!$A:$T,ROW()+1,MATCH("시군구",'04A_국토부원자료'!$A$4:$T$4,0)),"")</f>
        <v/>
      </c>
      <c r="C2437" s="48">
        <f>IF(B2437="","",IFERROR(INDEX('04A_국토부원자료'!$A:$T,ROW()+1,MATCH("번지",'04A_국토부원자료'!$A$4:$T$4,0)),""))</f>
        <v/>
      </c>
      <c r="D2437" s="48">
        <f>IF(B2437="","",IF(Q2437=1,'02_대상물건입력'!$B$8,IFERROR(INDEX('04A_국토부원자료'!$A:$T,ROW()+1,MATCH("단지명",'04A_국토부원자료'!$A$4:$T$4,0)),"")))</f>
        <v/>
      </c>
      <c r="E2437" s="172">
        <f>IFERROR(VALUE(SUBSTITUTE(INDEX('04A_국토부원자료'!$A:$T,ROW()+1,MATCH("전용면적(㎡)",'04A_국토부원자료'!$A$4:$T$4,0)),",","")),"")</f>
        <v/>
      </c>
      <c r="F24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37" s="51">
        <f>IFERROR(VALUE(SUBSTITUTE(INDEX('04A_국토부원자료'!$A:$T,ROW()+1,MATCH("거래금액(만원)",'04A_국토부원자료'!$A$4:$T$4,0)),",","")),"")</f>
        <v/>
      </c>
      <c r="H2437" s="174">
        <f>IF(G2437="","",G2437*10000)</f>
        <v/>
      </c>
      <c r="I2437" s="174">
        <f>IFERROR(IF(AND(H2437&gt;0,E2437&gt;0),H2437/E2437,""),"")</f>
        <v/>
      </c>
      <c r="J2437" s="152">
        <f>IFERROR(VALUE(SUBSTITUTE(INDEX('04A_국토부원자료'!$A:$T,ROW()+1,MATCH("층",'04A_국토부원자료'!$A$4:$T$4,0)),",","")),"")</f>
        <v/>
      </c>
      <c r="K2437" s="152">
        <f>IFERROR(VALUE(SUBSTITUTE(INDEX('04A_국토부원자료'!$A:$T,ROW()+1,MATCH("건축년도",'04A_국토부원자료'!$A$4:$T$4,0)),",","")),"")</f>
        <v/>
      </c>
      <c r="L2437" s="48">
        <f>IFERROR(INDEX('04A_국토부원자료'!$A:$T,ROW()+1,MATCH("도로명",'04A_국토부원자료'!$A$4:$T$4,0)),"")</f>
        <v/>
      </c>
      <c r="M2437" s="48">
        <f>IFERROR(INDEX('04A_국토부원자료'!$A:$T,ROW()+1,MATCH("거래유형",'04A_국토부원자료'!$A$4:$T$4,0)),"")</f>
        <v/>
      </c>
      <c r="N2437" s="152">
        <f>IF(B2437="","",IF('02_대상물건입력'!B5="",1,IF(ISNUMBER(SEARCH('02_대상물건입력'!B5,B2437)),1,0)))</f>
        <v/>
      </c>
      <c r="O2437" s="152">
        <f>IF(B2437="","",IF('02_대상물건입력'!B6="",1,IF(ISNUMBER(SEARCH('02_대상물건입력'!B6,B2437)),1,0)))</f>
        <v/>
      </c>
      <c r="P2437" s="152">
        <f>IF(L2437="","",IF('02_대상물건입력'!B15="",0,IF(ISNUMBER(SEARCH('02_대상물건입력'!B15,L2437)),1,0)))</f>
        <v/>
      </c>
      <c r="Q2437" s="152">
        <f>IF(OR(C2437="",L2437=""),0,IF(AND(TRIM(C2437)=TRIM(RIGHT(SUBSTITUTE(TRIM('02_대상물건입력'!$B$7)," ",REPT(" ",99)),99)),IF('02_대상물건입력'!B15="",TRUE(),ISNUMBER(SEARCH('02_대상물건입력'!B15,L2437)))),1,0))</f>
        <v/>
      </c>
      <c r="R2437" s="175">
        <f>IFERROR(ABS(E2437-'02_대상물건입력'!B11)/'02_대상물건입력'!B11,"")</f>
        <v/>
      </c>
      <c r="S2437" s="152">
        <f>IFERROR(ABS(J2437-'02_대상물건입력'!B10),"")</f>
        <v/>
      </c>
      <c r="T2437" s="152">
        <f>IFERROR(ABS('01_설정'!B4-F2437),"")</f>
        <v/>
      </c>
      <c r="U2437" s="152">
        <f>IFERROR(ABS(K2437-YEAR('02_대상물건입력'!B14)),"")</f>
        <v/>
      </c>
      <c r="V2437" s="152">
        <f>IF(B2437="","",IF(AND(E2437&gt;0,F2437&gt;0,H2437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2437=1,TRUE()),R2437&lt;='01_설정'!B5,S2437&lt;='01_설정'!B6,T2437&lt;='01_설정'!B7,U2437&lt;='01_설정'!B8),"Y",""))</f>
        <v/>
      </c>
      <c r="W2437" s="172">
        <f>IF(V2437&lt;&gt;"Y","",MAX(0,(1-R2437/'01_설정'!B5))*'01_설정'!B14+MAX(0,(1-S2437/'01_설정'!B6))*'01_설정'!B15+MAX(0,(1-T2437/'01_설정'!B7))*'01_설정'!B16+MAX(0,(1-U2437/'01_설정'!B8))*'01_설정'!B17+O2437*'01_설정'!B11+Q2437*'01_설정'!B12+P2437*'01_설정'!B13+IF(Z2437="",0,Z2437))</f>
        <v/>
      </c>
      <c r="X2437" s="152">
        <f>IF(W2437="","",1+COUNTIFS($W$4:$W$3003,"&gt;"&amp;W2437)+COUNTIFS($W$4:W2437,W2437)-1)</f>
        <v/>
      </c>
      <c r="Y2437" s="175">
        <f>IF(OR(I2437="",'02_대상물건입력'!B19="",'02_대상물건입력'!B19&lt;=0),"",ABS(I2437-'02_대상물건입력'!B19)/'02_대상물건입력'!B19)</f>
        <v/>
      </c>
      <c r="Z2437" s="172">
        <f>IF(OR(Y2437="",'01_설정'!B31="",'01_설정'!B31&lt;=0,'01_설정'!B32="",'01_설정'!B32&lt;=0),"",MAX(0,(1-Y2437/'01_설정'!B32))*'01_설정'!B31)</f>
        <v/>
      </c>
    </row>
    <row r="2438" ht="17.25" customHeight="1">
      <c r="A2438" s="152">
        <f>IF(INDEX('04A_국토부원자료'!$A:$A,ROW()+1)="","",ROW()-3)</f>
        <v/>
      </c>
      <c r="B2438" s="48">
        <f>IFERROR(INDEX('04A_국토부원자료'!$A:$T,ROW()+1,MATCH("시군구",'04A_국토부원자료'!$A$4:$T$4,0)),"")</f>
        <v/>
      </c>
      <c r="C2438" s="48">
        <f>IF(B2438="","",IFERROR(INDEX('04A_국토부원자료'!$A:$T,ROW()+1,MATCH("번지",'04A_국토부원자료'!$A$4:$T$4,0)),""))</f>
        <v/>
      </c>
      <c r="D2438" s="48">
        <f>IF(B2438="","",IF(Q2438=1,'02_대상물건입력'!$B$8,IFERROR(INDEX('04A_국토부원자료'!$A:$T,ROW()+1,MATCH("단지명",'04A_국토부원자료'!$A$4:$T$4,0)),"")))</f>
        <v/>
      </c>
      <c r="E2438" s="172">
        <f>IFERROR(VALUE(SUBSTITUTE(INDEX('04A_국토부원자료'!$A:$T,ROW()+1,MATCH("전용면적(㎡)",'04A_국토부원자료'!$A$4:$T$4,0)),",","")),"")</f>
        <v/>
      </c>
      <c r="F24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38" s="51">
        <f>IFERROR(VALUE(SUBSTITUTE(INDEX('04A_국토부원자료'!$A:$T,ROW()+1,MATCH("거래금액(만원)",'04A_국토부원자료'!$A$4:$T$4,0)),",","")),"")</f>
        <v/>
      </c>
      <c r="H2438" s="174">
        <f>IF(G2438="","",G2438*10000)</f>
        <v/>
      </c>
      <c r="I2438" s="174">
        <f>IFERROR(IF(AND(H2438&gt;0,E2438&gt;0),H2438/E2438,""),"")</f>
        <v/>
      </c>
      <c r="J2438" s="152">
        <f>IFERROR(VALUE(SUBSTITUTE(INDEX('04A_국토부원자료'!$A:$T,ROW()+1,MATCH("층",'04A_국토부원자료'!$A$4:$T$4,0)),",","")),"")</f>
        <v/>
      </c>
      <c r="K2438" s="152">
        <f>IFERROR(VALUE(SUBSTITUTE(INDEX('04A_국토부원자료'!$A:$T,ROW()+1,MATCH("건축년도",'04A_국토부원자료'!$A$4:$T$4,0)),",","")),"")</f>
        <v/>
      </c>
      <c r="L2438" s="48">
        <f>IFERROR(INDEX('04A_국토부원자료'!$A:$T,ROW()+1,MATCH("도로명",'04A_국토부원자료'!$A$4:$T$4,0)),"")</f>
        <v/>
      </c>
      <c r="M2438" s="48">
        <f>IFERROR(INDEX('04A_국토부원자료'!$A:$T,ROW()+1,MATCH("거래유형",'04A_국토부원자료'!$A$4:$T$4,0)),"")</f>
        <v/>
      </c>
      <c r="N2438" s="152">
        <f>IF(B2438="","",IF('02_대상물건입력'!B5="",1,IF(ISNUMBER(SEARCH('02_대상물건입력'!B5,B2438)),1,0)))</f>
        <v/>
      </c>
      <c r="O2438" s="152">
        <f>IF(B2438="","",IF('02_대상물건입력'!B6="",1,IF(ISNUMBER(SEARCH('02_대상물건입력'!B6,B2438)),1,0)))</f>
        <v/>
      </c>
      <c r="P2438" s="152">
        <f>IF(L2438="","",IF('02_대상물건입력'!B15="",0,IF(ISNUMBER(SEARCH('02_대상물건입력'!B15,L2438)),1,0)))</f>
        <v/>
      </c>
      <c r="Q2438" s="152">
        <f>IF(OR(C2438="",L2438=""),0,IF(AND(TRIM(C2438)=TRIM(RIGHT(SUBSTITUTE(TRIM('02_대상물건입력'!$B$7)," ",REPT(" ",99)),99)),IF('02_대상물건입력'!B15="",TRUE(),ISNUMBER(SEARCH('02_대상물건입력'!B15,L2438)))),1,0))</f>
        <v/>
      </c>
      <c r="R2438" s="175">
        <f>IFERROR(ABS(E2438-'02_대상물건입력'!B11)/'02_대상물건입력'!B11,"")</f>
        <v/>
      </c>
      <c r="S2438" s="152">
        <f>IFERROR(ABS(J2438-'02_대상물건입력'!B10),"")</f>
        <v/>
      </c>
      <c r="T2438" s="152">
        <f>IFERROR(ABS('01_설정'!B4-F2438),"")</f>
        <v/>
      </c>
      <c r="U2438" s="152">
        <f>IFERROR(ABS(K2438-YEAR('02_대상물건입력'!B14)),"")</f>
        <v/>
      </c>
      <c r="V2438" s="152">
        <f>IF(B2438="","",IF(AND(E2438&gt;0,F2438&gt;0,H2438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2438=1,TRUE()),R2438&lt;='01_설정'!B5,S2438&lt;='01_설정'!B6,T2438&lt;='01_설정'!B7,U2438&lt;='01_설정'!B8),"Y",""))</f>
        <v/>
      </c>
      <c r="W2438" s="172">
        <f>IF(V2438&lt;&gt;"Y","",MAX(0,(1-R2438/'01_설정'!B5))*'01_설정'!B14+MAX(0,(1-S2438/'01_설정'!B6))*'01_설정'!B15+MAX(0,(1-T2438/'01_설정'!B7))*'01_설정'!B16+MAX(0,(1-U2438/'01_설정'!B8))*'01_설정'!B17+O2438*'01_설정'!B11+Q2438*'01_설정'!B12+P2438*'01_설정'!B13+IF(Z2438="",0,Z2438))</f>
        <v/>
      </c>
      <c r="X2438" s="152">
        <f>IF(W2438="","",1+COUNTIFS($W$4:$W$3003,"&gt;"&amp;W2438)+COUNTIFS($W$4:W2438,W2438)-1)</f>
        <v/>
      </c>
      <c r="Y2438" s="175">
        <f>IF(OR(I2438="",'02_대상물건입력'!B19="",'02_대상물건입력'!B19&lt;=0),"",ABS(I2438-'02_대상물건입력'!B19)/'02_대상물건입력'!B19)</f>
        <v/>
      </c>
      <c r="Z2438" s="172">
        <f>IF(OR(Y2438="",'01_설정'!B31="",'01_설정'!B31&lt;=0,'01_설정'!B32="",'01_설정'!B32&lt;=0),"",MAX(0,(1-Y2438/'01_설정'!B32))*'01_설정'!B31)</f>
        <v/>
      </c>
    </row>
    <row r="2439" ht="17.25" customHeight="1">
      <c r="A2439" s="152">
        <f>IF(INDEX('04A_국토부원자료'!$A:$A,ROW()+1)="","",ROW()-3)</f>
        <v/>
      </c>
      <c r="B2439" s="48">
        <f>IFERROR(INDEX('04A_국토부원자료'!$A:$T,ROW()+1,MATCH("시군구",'04A_국토부원자료'!$A$4:$T$4,0)),"")</f>
        <v/>
      </c>
      <c r="C2439" s="48">
        <f>IF(B2439="","",IFERROR(INDEX('04A_국토부원자료'!$A:$T,ROW()+1,MATCH("번지",'04A_국토부원자료'!$A$4:$T$4,0)),""))</f>
        <v/>
      </c>
      <c r="D2439" s="48">
        <f>IF(B2439="","",IF(Q2439=1,'02_대상물건입력'!$B$8,IFERROR(INDEX('04A_국토부원자료'!$A:$T,ROW()+1,MATCH("단지명",'04A_국토부원자료'!$A$4:$T$4,0)),"")))</f>
        <v/>
      </c>
      <c r="E2439" s="172">
        <f>IFERROR(VALUE(SUBSTITUTE(INDEX('04A_국토부원자료'!$A:$T,ROW()+1,MATCH("전용면적(㎡)",'04A_국토부원자료'!$A$4:$T$4,0)),",","")),"")</f>
        <v/>
      </c>
      <c r="F24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39" s="51">
        <f>IFERROR(VALUE(SUBSTITUTE(INDEX('04A_국토부원자료'!$A:$T,ROW()+1,MATCH("거래금액(만원)",'04A_국토부원자료'!$A$4:$T$4,0)),",","")),"")</f>
        <v/>
      </c>
      <c r="H2439" s="174">
        <f>IF(G2439="","",G2439*10000)</f>
        <v/>
      </c>
      <c r="I2439" s="174">
        <f>IFERROR(IF(AND(H2439&gt;0,E2439&gt;0),H2439/E2439,""),"")</f>
        <v/>
      </c>
      <c r="J2439" s="152">
        <f>IFERROR(VALUE(SUBSTITUTE(INDEX('04A_국토부원자료'!$A:$T,ROW()+1,MATCH("층",'04A_국토부원자료'!$A$4:$T$4,0)),",","")),"")</f>
        <v/>
      </c>
      <c r="K2439" s="152">
        <f>IFERROR(VALUE(SUBSTITUTE(INDEX('04A_국토부원자료'!$A:$T,ROW()+1,MATCH("건축년도",'04A_국토부원자료'!$A$4:$T$4,0)),",","")),"")</f>
        <v/>
      </c>
      <c r="L2439" s="48">
        <f>IFERROR(INDEX('04A_국토부원자료'!$A:$T,ROW()+1,MATCH("도로명",'04A_국토부원자료'!$A$4:$T$4,0)),"")</f>
        <v/>
      </c>
      <c r="M2439" s="48">
        <f>IFERROR(INDEX('04A_국토부원자료'!$A:$T,ROW()+1,MATCH("거래유형",'04A_국토부원자료'!$A$4:$T$4,0)),"")</f>
        <v/>
      </c>
      <c r="N2439" s="152">
        <f>IF(B2439="","",IF('02_대상물건입력'!B5="",1,IF(ISNUMBER(SEARCH('02_대상물건입력'!B5,B2439)),1,0)))</f>
        <v/>
      </c>
      <c r="O2439" s="152">
        <f>IF(B2439="","",IF('02_대상물건입력'!B6="",1,IF(ISNUMBER(SEARCH('02_대상물건입력'!B6,B2439)),1,0)))</f>
        <v/>
      </c>
      <c r="P2439" s="152">
        <f>IF(L2439="","",IF('02_대상물건입력'!B15="",0,IF(ISNUMBER(SEARCH('02_대상물건입력'!B15,L2439)),1,0)))</f>
        <v/>
      </c>
      <c r="Q2439" s="152">
        <f>IF(OR(C2439="",L2439=""),0,IF(AND(TRIM(C2439)=TRIM(RIGHT(SUBSTITUTE(TRIM('02_대상물건입력'!$B$7)," ",REPT(" ",99)),99)),IF('02_대상물건입력'!B15="",TRUE(),ISNUMBER(SEARCH('02_대상물건입력'!B15,L2439)))),1,0))</f>
        <v/>
      </c>
      <c r="R2439" s="175">
        <f>IFERROR(ABS(E2439-'02_대상물건입력'!B11)/'02_대상물건입력'!B11,"")</f>
        <v/>
      </c>
      <c r="S2439" s="152">
        <f>IFERROR(ABS(J2439-'02_대상물건입력'!B10),"")</f>
        <v/>
      </c>
      <c r="T2439" s="152">
        <f>IFERROR(ABS('01_설정'!B4-F2439),"")</f>
        <v/>
      </c>
      <c r="U2439" s="152">
        <f>IFERROR(ABS(K2439-YEAR('02_대상물건입력'!B14)),"")</f>
        <v/>
      </c>
      <c r="V2439" s="152">
        <f>IF(B2439="","",IF(AND(E2439&gt;0,F2439&gt;0,H2439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2439=1,TRUE()),R2439&lt;='01_설정'!B5,S2439&lt;='01_설정'!B6,T2439&lt;='01_설정'!B7,U2439&lt;='01_설정'!B8),"Y",""))</f>
        <v/>
      </c>
      <c r="W2439" s="172">
        <f>IF(V2439&lt;&gt;"Y","",MAX(0,(1-R2439/'01_설정'!B5))*'01_설정'!B14+MAX(0,(1-S2439/'01_설정'!B6))*'01_설정'!B15+MAX(0,(1-T2439/'01_설정'!B7))*'01_설정'!B16+MAX(0,(1-U2439/'01_설정'!B8))*'01_설정'!B17+O2439*'01_설정'!B11+Q2439*'01_설정'!B12+P2439*'01_설정'!B13+IF(Z2439="",0,Z2439))</f>
        <v/>
      </c>
      <c r="X2439" s="152">
        <f>IF(W2439="","",1+COUNTIFS($W$4:$W$3003,"&gt;"&amp;W2439)+COUNTIFS($W$4:W2439,W2439)-1)</f>
        <v/>
      </c>
      <c r="Y2439" s="175">
        <f>IF(OR(I2439="",'02_대상물건입력'!B19="",'02_대상물건입력'!B19&lt;=0),"",ABS(I2439-'02_대상물건입력'!B19)/'02_대상물건입력'!B19)</f>
        <v/>
      </c>
      <c r="Z2439" s="172">
        <f>IF(OR(Y2439="",'01_설정'!B31="",'01_설정'!B31&lt;=0,'01_설정'!B32="",'01_설정'!B32&lt;=0),"",MAX(0,(1-Y2439/'01_설정'!B32))*'01_설정'!B31)</f>
        <v/>
      </c>
    </row>
    <row r="2440" ht="17.25" customHeight="1">
      <c r="A2440" s="152">
        <f>IF(INDEX('04A_국토부원자료'!$A:$A,ROW()+1)="","",ROW()-3)</f>
        <v/>
      </c>
      <c r="B2440" s="48">
        <f>IFERROR(INDEX('04A_국토부원자료'!$A:$T,ROW()+1,MATCH("시군구",'04A_국토부원자료'!$A$4:$T$4,0)),"")</f>
        <v/>
      </c>
      <c r="C2440" s="48">
        <f>IF(B2440="","",IFERROR(INDEX('04A_국토부원자료'!$A:$T,ROW()+1,MATCH("번지",'04A_국토부원자료'!$A$4:$T$4,0)),""))</f>
        <v/>
      </c>
      <c r="D2440" s="48">
        <f>IF(B2440="","",IF(Q2440=1,'02_대상물건입력'!$B$8,IFERROR(INDEX('04A_국토부원자료'!$A:$T,ROW()+1,MATCH("단지명",'04A_국토부원자료'!$A$4:$T$4,0)),"")))</f>
        <v/>
      </c>
      <c r="E2440" s="172">
        <f>IFERROR(VALUE(SUBSTITUTE(INDEX('04A_국토부원자료'!$A:$T,ROW()+1,MATCH("전용면적(㎡)",'04A_국토부원자료'!$A$4:$T$4,0)),",","")),"")</f>
        <v/>
      </c>
      <c r="F24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40" s="51">
        <f>IFERROR(VALUE(SUBSTITUTE(INDEX('04A_국토부원자료'!$A:$T,ROW()+1,MATCH("거래금액(만원)",'04A_국토부원자료'!$A$4:$T$4,0)),",","")),"")</f>
        <v/>
      </c>
      <c r="H2440" s="174">
        <f>IF(G2440="","",G2440*10000)</f>
        <v/>
      </c>
      <c r="I2440" s="174">
        <f>IFERROR(IF(AND(H2440&gt;0,E2440&gt;0),H2440/E2440,""),"")</f>
        <v/>
      </c>
      <c r="J2440" s="152">
        <f>IFERROR(VALUE(SUBSTITUTE(INDEX('04A_국토부원자료'!$A:$T,ROW()+1,MATCH("층",'04A_국토부원자료'!$A$4:$T$4,0)),",","")),"")</f>
        <v/>
      </c>
      <c r="K2440" s="152">
        <f>IFERROR(VALUE(SUBSTITUTE(INDEX('04A_국토부원자료'!$A:$T,ROW()+1,MATCH("건축년도",'04A_국토부원자료'!$A$4:$T$4,0)),",","")),"")</f>
        <v/>
      </c>
      <c r="L2440" s="48">
        <f>IFERROR(INDEX('04A_국토부원자료'!$A:$T,ROW()+1,MATCH("도로명",'04A_국토부원자료'!$A$4:$T$4,0)),"")</f>
        <v/>
      </c>
      <c r="M2440" s="48">
        <f>IFERROR(INDEX('04A_국토부원자료'!$A:$T,ROW()+1,MATCH("거래유형",'04A_국토부원자료'!$A$4:$T$4,0)),"")</f>
        <v/>
      </c>
      <c r="N2440" s="152">
        <f>IF(B2440="","",IF('02_대상물건입력'!B5="",1,IF(ISNUMBER(SEARCH('02_대상물건입력'!B5,B2440)),1,0)))</f>
        <v/>
      </c>
      <c r="O2440" s="152">
        <f>IF(B2440="","",IF('02_대상물건입력'!B6="",1,IF(ISNUMBER(SEARCH('02_대상물건입력'!B6,B2440)),1,0)))</f>
        <v/>
      </c>
      <c r="P2440" s="152">
        <f>IF(L2440="","",IF('02_대상물건입력'!B15="",0,IF(ISNUMBER(SEARCH('02_대상물건입력'!B15,L2440)),1,0)))</f>
        <v/>
      </c>
      <c r="Q2440" s="152">
        <f>IF(OR(C2440="",L2440=""),0,IF(AND(TRIM(C2440)=TRIM(RIGHT(SUBSTITUTE(TRIM('02_대상물건입력'!$B$7)," ",REPT(" ",99)),99)),IF('02_대상물건입력'!B15="",TRUE(),ISNUMBER(SEARCH('02_대상물건입력'!B15,L2440)))),1,0))</f>
        <v/>
      </c>
      <c r="R2440" s="175">
        <f>IFERROR(ABS(E2440-'02_대상물건입력'!B11)/'02_대상물건입력'!B11,"")</f>
        <v/>
      </c>
      <c r="S2440" s="152">
        <f>IFERROR(ABS(J2440-'02_대상물건입력'!B10),"")</f>
        <v/>
      </c>
      <c r="T2440" s="152">
        <f>IFERROR(ABS('01_설정'!B4-F2440),"")</f>
        <v/>
      </c>
      <c r="U2440" s="152">
        <f>IFERROR(ABS(K2440-YEAR('02_대상물건입력'!B14)),"")</f>
        <v/>
      </c>
      <c r="V2440" s="152">
        <f>IF(B2440="","",IF(AND(E2440&gt;0,F2440&gt;0,H2440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2440=1,TRUE()),R2440&lt;='01_설정'!B5,S2440&lt;='01_설정'!B6,T2440&lt;='01_설정'!B7,U2440&lt;='01_설정'!B8),"Y",""))</f>
        <v/>
      </c>
      <c r="W2440" s="172">
        <f>IF(V2440&lt;&gt;"Y","",MAX(0,(1-R2440/'01_설정'!B5))*'01_설정'!B14+MAX(0,(1-S2440/'01_설정'!B6))*'01_설정'!B15+MAX(0,(1-T2440/'01_설정'!B7))*'01_설정'!B16+MAX(0,(1-U2440/'01_설정'!B8))*'01_설정'!B17+O2440*'01_설정'!B11+Q2440*'01_설정'!B12+P2440*'01_설정'!B13+IF(Z2440="",0,Z2440))</f>
        <v/>
      </c>
      <c r="X2440" s="152">
        <f>IF(W2440="","",1+COUNTIFS($W$4:$W$3003,"&gt;"&amp;W2440)+COUNTIFS($W$4:W2440,W2440)-1)</f>
        <v/>
      </c>
      <c r="Y2440" s="175">
        <f>IF(OR(I2440="",'02_대상물건입력'!B19="",'02_대상물건입력'!B19&lt;=0),"",ABS(I2440-'02_대상물건입력'!B19)/'02_대상물건입력'!B19)</f>
        <v/>
      </c>
      <c r="Z2440" s="172">
        <f>IF(OR(Y2440="",'01_설정'!B31="",'01_설정'!B31&lt;=0,'01_설정'!B32="",'01_설정'!B32&lt;=0),"",MAX(0,(1-Y2440/'01_설정'!B32))*'01_설정'!B31)</f>
        <v/>
      </c>
    </row>
    <row r="2441" ht="17.25" customHeight="1">
      <c r="A2441" s="152">
        <f>IF(INDEX('04A_국토부원자료'!$A:$A,ROW()+1)="","",ROW()-3)</f>
        <v/>
      </c>
      <c r="B2441" s="48">
        <f>IFERROR(INDEX('04A_국토부원자료'!$A:$T,ROW()+1,MATCH("시군구",'04A_국토부원자료'!$A$4:$T$4,0)),"")</f>
        <v/>
      </c>
      <c r="C2441" s="48">
        <f>IF(B2441="","",IFERROR(INDEX('04A_국토부원자료'!$A:$T,ROW()+1,MATCH("번지",'04A_국토부원자료'!$A$4:$T$4,0)),""))</f>
        <v/>
      </c>
      <c r="D2441" s="48">
        <f>IF(B2441="","",IF(Q2441=1,'02_대상물건입력'!$B$8,IFERROR(INDEX('04A_국토부원자료'!$A:$T,ROW()+1,MATCH("단지명",'04A_국토부원자료'!$A$4:$T$4,0)),"")))</f>
        <v/>
      </c>
      <c r="E2441" s="172">
        <f>IFERROR(VALUE(SUBSTITUTE(INDEX('04A_국토부원자료'!$A:$T,ROW()+1,MATCH("전용면적(㎡)",'04A_국토부원자료'!$A$4:$T$4,0)),",","")),"")</f>
        <v/>
      </c>
      <c r="F24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41" s="51">
        <f>IFERROR(VALUE(SUBSTITUTE(INDEX('04A_국토부원자료'!$A:$T,ROW()+1,MATCH("거래금액(만원)",'04A_국토부원자료'!$A$4:$T$4,0)),",","")),"")</f>
        <v/>
      </c>
      <c r="H2441" s="174">
        <f>IF(G2441="","",G2441*10000)</f>
        <v/>
      </c>
      <c r="I2441" s="174">
        <f>IFERROR(IF(AND(H2441&gt;0,E2441&gt;0),H2441/E2441,""),"")</f>
        <v/>
      </c>
      <c r="J2441" s="152">
        <f>IFERROR(VALUE(SUBSTITUTE(INDEX('04A_국토부원자료'!$A:$T,ROW()+1,MATCH("층",'04A_국토부원자료'!$A$4:$T$4,0)),",","")),"")</f>
        <v/>
      </c>
      <c r="K2441" s="152">
        <f>IFERROR(VALUE(SUBSTITUTE(INDEX('04A_국토부원자료'!$A:$T,ROW()+1,MATCH("건축년도",'04A_국토부원자료'!$A$4:$T$4,0)),",","")),"")</f>
        <v/>
      </c>
      <c r="L2441" s="48">
        <f>IFERROR(INDEX('04A_국토부원자료'!$A:$T,ROW()+1,MATCH("도로명",'04A_국토부원자료'!$A$4:$T$4,0)),"")</f>
        <v/>
      </c>
      <c r="M2441" s="48">
        <f>IFERROR(INDEX('04A_국토부원자료'!$A:$T,ROW()+1,MATCH("거래유형",'04A_국토부원자료'!$A$4:$T$4,0)),"")</f>
        <v/>
      </c>
      <c r="N2441" s="152">
        <f>IF(B2441="","",IF('02_대상물건입력'!B5="",1,IF(ISNUMBER(SEARCH('02_대상물건입력'!B5,B2441)),1,0)))</f>
        <v/>
      </c>
      <c r="O2441" s="152">
        <f>IF(B2441="","",IF('02_대상물건입력'!B6="",1,IF(ISNUMBER(SEARCH('02_대상물건입력'!B6,B2441)),1,0)))</f>
        <v/>
      </c>
      <c r="P2441" s="152">
        <f>IF(L2441="","",IF('02_대상물건입력'!B15="",0,IF(ISNUMBER(SEARCH('02_대상물건입력'!B15,L2441)),1,0)))</f>
        <v/>
      </c>
      <c r="Q2441" s="152">
        <f>IF(OR(C2441="",L2441=""),0,IF(AND(TRIM(C2441)=TRIM(RIGHT(SUBSTITUTE(TRIM('02_대상물건입력'!$B$7)," ",REPT(" ",99)),99)),IF('02_대상물건입력'!B15="",TRUE(),ISNUMBER(SEARCH('02_대상물건입력'!B15,L2441)))),1,0))</f>
        <v/>
      </c>
      <c r="R2441" s="175">
        <f>IFERROR(ABS(E2441-'02_대상물건입력'!B11)/'02_대상물건입력'!B11,"")</f>
        <v/>
      </c>
      <c r="S2441" s="152">
        <f>IFERROR(ABS(J2441-'02_대상물건입력'!B10),"")</f>
        <v/>
      </c>
      <c r="T2441" s="152">
        <f>IFERROR(ABS('01_설정'!B4-F2441),"")</f>
        <v/>
      </c>
      <c r="U2441" s="152">
        <f>IFERROR(ABS(K2441-YEAR('02_대상물건입력'!B14)),"")</f>
        <v/>
      </c>
      <c r="V2441" s="152">
        <f>IF(B2441="","",IF(AND(E2441&gt;0,F2441&gt;0,H2441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2441=1,TRUE()),R2441&lt;='01_설정'!B5,S2441&lt;='01_설정'!B6,T2441&lt;='01_설정'!B7,U2441&lt;='01_설정'!B8),"Y",""))</f>
        <v/>
      </c>
      <c r="W2441" s="172">
        <f>IF(V2441&lt;&gt;"Y","",MAX(0,(1-R2441/'01_설정'!B5))*'01_설정'!B14+MAX(0,(1-S2441/'01_설정'!B6))*'01_설정'!B15+MAX(0,(1-T2441/'01_설정'!B7))*'01_설정'!B16+MAX(0,(1-U2441/'01_설정'!B8))*'01_설정'!B17+O2441*'01_설정'!B11+Q2441*'01_설정'!B12+P2441*'01_설정'!B13+IF(Z2441="",0,Z2441))</f>
        <v/>
      </c>
      <c r="X2441" s="152">
        <f>IF(W2441="","",1+COUNTIFS($W$4:$W$3003,"&gt;"&amp;W2441)+COUNTIFS($W$4:W2441,W2441)-1)</f>
        <v/>
      </c>
      <c r="Y2441" s="175">
        <f>IF(OR(I2441="",'02_대상물건입력'!B19="",'02_대상물건입력'!B19&lt;=0),"",ABS(I2441-'02_대상물건입력'!B19)/'02_대상물건입력'!B19)</f>
        <v/>
      </c>
      <c r="Z2441" s="172">
        <f>IF(OR(Y2441="",'01_설정'!B31="",'01_설정'!B31&lt;=0,'01_설정'!B32="",'01_설정'!B32&lt;=0),"",MAX(0,(1-Y2441/'01_설정'!B32))*'01_설정'!B31)</f>
        <v/>
      </c>
    </row>
    <row r="2442" ht="17.25" customHeight="1">
      <c r="A2442" s="152">
        <f>IF(INDEX('04A_국토부원자료'!$A:$A,ROW()+1)="","",ROW()-3)</f>
        <v/>
      </c>
      <c r="B2442" s="48">
        <f>IFERROR(INDEX('04A_국토부원자료'!$A:$T,ROW()+1,MATCH("시군구",'04A_국토부원자료'!$A$4:$T$4,0)),"")</f>
        <v/>
      </c>
      <c r="C2442" s="48">
        <f>IF(B2442="","",IFERROR(INDEX('04A_국토부원자료'!$A:$T,ROW()+1,MATCH("번지",'04A_국토부원자료'!$A$4:$T$4,0)),""))</f>
        <v/>
      </c>
      <c r="D2442" s="48">
        <f>IF(B2442="","",IF(Q2442=1,'02_대상물건입력'!$B$8,IFERROR(INDEX('04A_국토부원자료'!$A:$T,ROW()+1,MATCH("단지명",'04A_국토부원자료'!$A$4:$T$4,0)),"")))</f>
        <v/>
      </c>
      <c r="E2442" s="172">
        <f>IFERROR(VALUE(SUBSTITUTE(INDEX('04A_국토부원자료'!$A:$T,ROW()+1,MATCH("전용면적(㎡)",'04A_국토부원자료'!$A$4:$T$4,0)),",","")),"")</f>
        <v/>
      </c>
      <c r="F24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42" s="51">
        <f>IFERROR(VALUE(SUBSTITUTE(INDEX('04A_국토부원자료'!$A:$T,ROW()+1,MATCH("거래금액(만원)",'04A_국토부원자료'!$A$4:$T$4,0)),",","")),"")</f>
        <v/>
      </c>
      <c r="H2442" s="174">
        <f>IF(G2442="","",G2442*10000)</f>
        <v/>
      </c>
      <c r="I2442" s="174">
        <f>IFERROR(IF(AND(H2442&gt;0,E2442&gt;0),H2442/E2442,""),"")</f>
        <v/>
      </c>
      <c r="J2442" s="152">
        <f>IFERROR(VALUE(SUBSTITUTE(INDEX('04A_국토부원자료'!$A:$T,ROW()+1,MATCH("층",'04A_국토부원자료'!$A$4:$T$4,0)),",","")),"")</f>
        <v/>
      </c>
      <c r="K2442" s="152">
        <f>IFERROR(VALUE(SUBSTITUTE(INDEX('04A_국토부원자료'!$A:$T,ROW()+1,MATCH("건축년도",'04A_국토부원자료'!$A$4:$T$4,0)),",","")),"")</f>
        <v/>
      </c>
      <c r="L2442" s="48">
        <f>IFERROR(INDEX('04A_국토부원자료'!$A:$T,ROW()+1,MATCH("도로명",'04A_국토부원자료'!$A$4:$T$4,0)),"")</f>
        <v/>
      </c>
      <c r="M2442" s="48">
        <f>IFERROR(INDEX('04A_국토부원자료'!$A:$T,ROW()+1,MATCH("거래유형",'04A_국토부원자료'!$A$4:$T$4,0)),"")</f>
        <v/>
      </c>
      <c r="N2442" s="152">
        <f>IF(B2442="","",IF('02_대상물건입력'!B5="",1,IF(ISNUMBER(SEARCH('02_대상물건입력'!B5,B2442)),1,0)))</f>
        <v/>
      </c>
      <c r="O2442" s="152">
        <f>IF(B2442="","",IF('02_대상물건입력'!B6="",1,IF(ISNUMBER(SEARCH('02_대상물건입력'!B6,B2442)),1,0)))</f>
        <v/>
      </c>
      <c r="P2442" s="152">
        <f>IF(L2442="","",IF('02_대상물건입력'!B15="",0,IF(ISNUMBER(SEARCH('02_대상물건입력'!B15,L2442)),1,0)))</f>
        <v/>
      </c>
      <c r="Q2442" s="152">
        <f>IF(OR(C2442="",L2442=""),0,IF(AND(TRIM(C2442)=TRIM(RIGHT(SUBSTITUTE(TRIM('02_대상물건입력'!$B$7)," ",REPT(" ",99)),99)),IF('02_대상물건입력'!B15="",TRUE(),ISNUMBER(SEARCH('02_대상물건입력'!B15,L2442)))),1,0))</f>
        <v/>
      </c>
      <c r="R2442" s="175">
        <f>IFERROR(ABS(E2442-'02_대상물건입력'!B11)/'02_대상물건입력'!B11,"")</f>
        <v/>
      </c>
      <c r="S2442" s="152">
        <f>IFERROR(ABS(J2442-'02_대상물건입력'!B10),"")</f>
        <v/>
      </c>
      <c r="T2442" s="152">
        <f>IFERROR(ABS('01_설정'!B4-F2442),"")</f>
        <v/>
      </c>
      <c r="U2442" s="152">
        <f>IFERROR(ABS(K2442-YEAR('02_대상물건입력'!B14)),"")</f>
        <v/>
      </c>
      <c r="V2442" s="152">
        <f>IF(B2442="","",IF(AND(E2442&gt;0,F2442&gt;0,H2442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2442=1,TRUE()),R2442&lt;='01_설정'!B5,S2442&lt;='01_설정'!B6,T2442&lt;='01_설정'!B7,U2442&lt;='01_설정'!B8),"Y",""))</f>
        <v/>
      </c>
      <c r="W2442" s="172">
        <f>IF(V2442&lt;&gt;"Y","",MAX(0,(1-R2442/'01_설정'!B5))*'01_설정'!B14+MAX(0,(1-S2442/'01_설정'!B6))*'01_설정'!B15+MAX(0,(1-T2442/'01_설정'!B7))*'01_설정'!B16+MAX(0,(1-U2442/'01_설정'!B8))*'01_설정'!B17+O2442*'01_설정'!B11+Q2442*'01_설정'!B12+P2442*'01_설정'!B13+IF(Z2442="",0,Z2442))</f>
        <v/>
      </c>
      <c r="X2442" s="152">
        <f>IF(W2442="","",1+COUNTIFS($W$4:$W$3003,"&gt;"&amp;W2442)+COUNTIFS($W$4:W2442,W2442)-1)</f>
        <v/>
      </c>
      <c r="Y2442" s="175">
        <f>IF(OR(I2442="",'02_대상물건입력'!B19="",'02_대상물건입력'!B19&lt;=0),"",ABS(I2442-'02_대상물건입력'!B19)/'02_대상물건입력'!B19)</f>
        <v/>
      </c>
      <c r="Z2442" s="172">
        <f>IF(OR(Y2442="",'01_설정'!B31="",'01_설정'!B31&lt;=0,'01_설정'!B32="",'01_설정'!B32&lt;=0),"",MAX(0,(1-Y2442/'01_설정'!B32))*'01_설정'!B31)</f>
        <v/>
      </c>
    </row>
    <row r="2443" ht="17.25" customHeight="1">
      <c r="A2443" s="152">
        <f>IF(INDEX('04A_국토부원자료'!$A:$A,ROW()+1)="","",ROW()-3)</f>
        <v/>
      </c>
      <c r="B2443" s="48">
        <f>IFERROR(INDEX('04A_국토부원자료'!$A:$T,ROW()+1,MATCH("시군구",'04A_국토부원자료'!$A$4:$T$4,0)),"")</f>
        <v/>
      </c>
      <c r="C2443" s="48">
        <f>IF(B2443="","",IFERROR(INDEX('04A_국토부원자료'!$A:$T,ROW()+1,MATCH("번지",'04A_국토부원자료'!$A$4:$T$4,0)),""))</f>
        <v/>
      </c>
      <c r="D2443" s="48">
        <f>IF(B2443="","",IF(Q2443=1,'02_대상물건입력'!$B$8,IFERROR(INDEX('04A_국토부원자료'!$A:$T,ROW()+1,MATCH("단지명",'04A_국토부원자료'!$A$4:$T$4,0)),"")))</f>
        <v/>
      </c>
      <c r="E2443" s="172">
        <f>IFERROR(VALUE(SUBSTITUTE(INDEX('04A_국토부원자료'!$A:$T,ROW()+1,MATCH("전용면적(㎡)",'04A_국토부원자료'!$A$4:$T$4,0)),",","")),"")</f>
        <v/>
      </c>
      <c r="F24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43" s="51">
        <f>IFERROR(VALUE(SUBSTITUTE(INDEX('04A_국토부원자료'!$A:$T,ROW()+1,MATCH("거래금액(만원)",'04A_국토부원자료'!$A$4:$T$4,0)),",","")),"")</f>
        <v/>
      </c>
      <c r="H2443" s="174">
        <f>IF(G2443="","",G2443*10000)</f>
        <v/>
      </c>
      <c r="I2443" s="174">
        <f>IFERROR(IF(AND(H2443&gt;0,E2443&gt;0),H2443/E2443,""),"")</f>
        <v/>
      </c>
      <c r="J2443" s="152">
        <f>IFERROR(VALUE(SUBSTITUTE(INDEX('04A_국토부원자료'!$A:$T,ROW()+1,MATCH("층",'04A_국토부원자료'!$A$4:$T$4,0)),",","")),"")</f>
        <v/>
      </c>
      <c r="K2443" s="152">
        <f>IFERROR(VALUE(SUBSTITUTE(INDEX('04A_국토부원자료'!$A:$T,ROW()+1,MATCH("건축년도",'04A_국토부원자료'!$A$4:$T$4,0)),",","")),"")</f>
        <v/>
      </c>
      <c r="L2443" s="48">
        <f>IFERROR(INDEX('04A_국토부원자료'!$A:$T,ROW()+1,MATCH("도로명",'04A_국토부원자료'!$A$4:$T$4,0)),"")</f>
        <v/>
      </c>
      <c r="M2443" s="48">
        <f>IFERROR(INDEX('04A_국토부원자료'!$A:$T,ROW()+1,MATCH("거래유형",'04A_국토부원자료'!$A$4:$T$4,0)),"")</f>
        <v/>
      </c>
      <c r="N2443" s="152">
        <f>IF(B2443="","",IF('02_대상물건입력'!B5="",1,IF(ISNUMBER(SEARCH('02_대상물건입력'!B5,B2443)),1,0)))</f>
        <v/>
      </c>
      <c r="O2443" s="152">
        <f>IF(B2443="","",IF('02_대상물건입력'!B6="",1,IF(ISNUMBER(SEARCH('02_대상물건입력'!B6,B2443)),1,0)))</f>
        <v/>
      </c>
      <c r="P2443" s="152">
        <f>IF(L2443="","",IF('02_대상물건입력'!B15="",0,IF(ISNUMBER(SEARCH('02_대상물건입력'!B15,L2443)),1,0)))</f>
        <v/>
      </c>
      <c r="Q2443" s="152">
        <f>IF(OR(C2443="",L2443=""),0,IF(AND(TRIM(C2443)=TRIM(RIGHT(SUBSTITUTE(TRIM('02_대상물건입력'!$B$7)," ",REPT(" ",99)),99)),IF('02_대상물건입력'!B15="",TRUE(),ISNUMBER(SEARCH('02_대상물건입력'!B15,L2443)))),1,0))</f>
        <v/>
      </c>
      <c r="R2443" s="175">
        <f>IFERROR(ABS(E2443-'02_대상물건입력'!B11)/'02_대상물건입력'!B11,"")</f>
        <v/>
      </c>
      <c r="S2443" s="152">
        <f>IFERROR(ABS(J2443-'02_대상물건입력'!B10),"")</f>
        <v/>
      </c>
      <c r="T2443" s="152">
        <f>IFERROR(ABS('01_설정'!B4-F2443),"")</f>
        <v/>
      </c>
      <c r="U2443" s="152">
        <f>IFERROR(ABS(K2443-YEAR('02_대상물건입력'!B14)),"")</f>
        <v/>
      </c>
      <c r="V2443" s="152">
        <f>IF(B2443="","",IF(AND(E2443&gt;0,F2443&gt;0,H2443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2443=1,TRUE()),R2443&lt;='01_설정'!B5,S2443&lt;='01_설정'!B6,T2443&lt;='01_설정'!B7,U2443&lt;='01_설정'!B8),"Y",""))</f>
        <v/>
      </c>
      <c r="W2443" s="172">
        <f>IF(V2443&lt;&gt;"Y","",MAX(0,(1-R2443/'01_설정'!B5))*'01_설정'!B14+MAX(0,(1-S2443/'01_설정'!B6))*'01_설정'!B15+MAX(0,(1-T2443/'01_설정'!B7))*'01_설정'!B16+MAX(0,(1-U2443/'01_설정'!B8))*'01_설정'!B17+O2443*'01_설정'!B11+Q2443*'01_설정'!B12+P2443*'01_설정'!B13+IF(Z2443="",0,Z2443))</f>
        <v/>
      </c>
      <c r="X2443" s="152">
        <f>IF(W2443="","",1+COUNTIFS($W$4:$W$3003,"&gt;"&amp;W2443)+COUNTIFS($W$4:W2443,W2443)-1)</f>
        <v/>
      </c>
      <c r="Y2443" s="175">
        <f>IF(OR(I2443="",'02_대상물건입력'!B19="",'02_대상물건입력'!B19&lt;=0),"",ABS(I2443-'02_대상물건입력'!B19)/'02_대상물건입력'!B19)</f>
        <v/>
      </c>
      <c r="Z2443" s="172">
        <f>IF(OR(Y2443="",'01_설정'!B31="",'01_설정'!B31&lt;=0,'01_설정'!B32="",'01_설정'!B32&lt;=0),"",MAX(0,(1-Y2443/'01_설정'!B32))*'01_설정'!B31)</f>
        <v/>
      </c>
    </row>
    <row r="2444" ht="17.25" customHeight="1">
      <c r="A2444" s="152">
        <f>IF(INDEX('04A_국토부원자료'!$A:$A,ROW()+1)="","",ROW()-3)</f>
        <v/>
      </c>
      <c r="B2444" s="48">
        <f>IFERROR(INDEX('04A_국토부원자료'!$A:$T,ROW()+1,MATCH("시군구",'04A_국토부원자료'!$A$4:$T$4,0)),"")</f>
        <v/>
      </c>
      <c r="C2444" s="48">
        <f>IF(B2444="","",IFERROR(INDEX('04A_국토부원자료'!$A:$T,ROW()+1,MATCH("번지",'04A_국토부원자료'!$A$4:$T$4,0)),""))</f>
        <v/>
      </c>
      <c r="D2444" s="48">
        <f>IF(B2444="","",IF(Q2444=1,'02_대상물건입력'!$B$8,IFERROR(INDEX('04A_국토부원자료'!$A:$T,ROW()+1,MATCH("단지명",'04A_국토부원자료'!$A$4:$T$4,0)),"")))</f>
        <v/>
      </c>
      <c r="E2444" s="172">
        <f>IFERROR(VALUE(SUBSTITUTE(INDEX('04A_국토부원자료'!$A:$T,ROW()+1,MATCH("전용면적(㎡)",'04A_국토부원자료'!$A$4:$T$4,0)),",","")),"")</f>
        <v/>
      </c>
      <c r="F24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44" s="51">
        <f>IFERROR(VALUE(SUBSTITUTE(INDEX('04A_국토부원자료'!$A:$T,ROW()+1,MATCH("거래금액(만원)",'04A_국토부원자료'!$A$4:$T$4,0)),",","")),"")</f>
        <v/>
      </c>
      <c r="H2444" s="174">
        <f>IF(G2444="","",G2444*10000)</f>
        <v/>
      </c>
      <c r="I2444" s="174">
        <f>IFERROR(IF(AND(H2444&gt;0,E2444&gt;0),H2444/E2444,""),"")</f>
        <v/>
      </c>
      <c r="J2444" s="152">
        <f>IFERROR(VALUE(SUBSTITUTE(INDEX('04A_국토부원자료'!$A:$T,ROW()+1,MATCH("층",'04A_국토부원자료'!$A$4:$T$4,0)),",","")),"")</f>
        <v/>
      </c>
      <c r="K2444" s="152">
        <f>IFERROR(VALUE(SUBSTITUTE(INDEX('04A_국토부원자료'!$A:$T,ROW()+1,MATCH("건축년도",'04A_국토부원자료'!$A$4:$T$4,0)),",","")),"")</f>
        <v/>
      </c>
      <c r="L2444" s="48">
        <f>IFERROR(INDEX('04A_국토부원자료'!$A:$T,ROW()+1,MATCH("도로명",'04A_국토부원자료'!$A$4:$T$4,0)),"")</f>
        <v/>
      </c>
      <c r="M2444" s="48">
        <f>IFERROR(INDEX('04A_국토부원자료'!$A:$T,ROW()+1,MATCH("거래유형",'04A_국토부원자료'!$A$4:$T$4,0)),"")</f>
        <v/>
      </c>
      <c r="N2444" s="152">
        <f>IF(B2444="","",IF('02_대상물건입력'!B5="",1,IF(ISNUMBER(SEARCH('02_대상물건입력'!B5,B2444)),1,0)))</f>
        <v/>
      </c>
      <c r="O2444" s="152">
        <f>IF(B2444="","",IF('02_대상물건입력'!B6="",1,IF(ISNUMBER(SEARCH('02_대상물건입력'!B6,B2444)),1,0)))</f>
        <v/>
      </c>
      <c r="P2444" s="152">
        <f>IF(L2444="","",IF('02_대상물건입력'!B15="",0,IF(ISNUMBER(SEARCH('02_대상물건입력'!B15,L2444)),1,0)))</f>
        <v/>
      </c>
      <c r="Q2444" s="152">
        <f>IF(OR(C2444="",L2444=""),0,IF(AND(TRIM(C2444)=TRIM(RIGHT(SUBSTITUTE(TRIM('02_대상물건입력'!$B$7)," ",REPT(" ",99)),99)),IF('02_대상물건입력'!B15="",TRUE(),ISNUMBER(SEARCH('02_대상물건입력'!B15,L2444)))),1,0))</f>
        <v/>
      </c>
      <c r="R2444" s="175">
        <f>IFERROR(ABS(E2444-'02_대상물건입력'!B11)/'02_대상물건입력'!B11,"")</f>
        <v/>
      </c>
      <c r="S2444" s="152">
        <f>IFERROR(ABS(J2444-'02_대상물건입력'!B10),"")</f>
        <v/>
      </c>
      <c r="T2444" s="152">
        <f>IFERROR(ABS('01_설정'!B4-F2444),"")</f>
        <v/>
      </c>
      <c r="U2444" s="152">
        <f>IFERROR(ABS(K2444-YEAR('02_대상물건입력'!B14)),"")</f>
        <v/>
      </c>
      <c r="V2444" s="152">
        <f>IF(B2444="","",IF(AND(E2444&gt;0,F2444&gt;0,H2444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2444=1,TRUE()),R2444&lt;='01_설정'!B5,S2444&lt;='01_설정'!B6,T2444&lt;='01_설정'!B7,U2444&lt;='01_설정'!B8),"Y",""))</f>
        <v/>
      </c>
      <c r="W2444" s="172">
        <f>IF(V2444&lt;&gt;"Y","",MAX(0,(1-R2444/'01_설정'!B5))*'01_설정'!B14+MAX(0,(1-S2444/'01_설정'!B6))*'01_설정'!B15+MAX(0,(1-T2444/'01_설정'!B7))*'01_설정'!B16+MAX(0,(1-U2444/'01_설정'!B8))*'01_설정'!B17+O2444*'01_설정'!B11+Q2444*'01_설정'!B12+P2444*'01_설정'!B13+IF(Z2444="",0,Z2444))</f>
        <v/>
      </c>
      <c r="X2444" s="152">
        <f>IF(W2444="","",1+COUNTIFS($W$4:$W$3003,"&gt;"&amp;W2444)+COUNTIFS($W$4:W2444,W2444)-1)</f>
        <v/>
      </c>
      <c r="Y2444" s="175">
        <f>IF(OR(I2444="",'02_대상물건입력'!B19="",'02_대상물건입력'!B19&lt;=0),"",ABS(I2444-'02_대상물건입력'!B19)/'02_대상물건입력'!B19)</f>
        <v/>
      </c>
      <c r="Z2444" s="172">
        <f>IF(OR(Y2444="",'01_설정'!B31="",'01_설정'!B31&lt;=0,'01_설정'!B32="",'01_설정'!B32&lt;=0),"",MAX(0,(1-Y2444/'01_설정'!B32))*'01_설정'!B31)</f>
        <v/>
      </c>
    </row>
    <row r="2445" ht="17.25" customHeight="1">
      <c r="A2445" s="152">
        <f>IF(INDEX('04A_국토부원자료'!$A:$A,ROW()+1)="","",ROW()-3)</f>
        <v/>
      </c>
      <c r="B2445" s="48">
        <f>IFERROR(INDEX('04A_국토부원자료'!$A:$T,ROW()+1,MATCH("시군구",'04A_국토부원자료'!$A$4:$T$4,0)),"")</f>
        <v/>
      </c>
      <c r="C2445" s="48">
        <f>IF(B2445="","",IFERROR(INDEX('04A_국토부원자료'!$A:$T,ROW()+1,MATCH("번지",'04A_국토부원자료'!$A$4:$T$4,0)),""))</f>
        <v/>
      </c>
      <c r="D2445" s="48">
        <f>IF(B2445="","",IF(Q2445=1,'02_대상물건입력'!$B$8,IFERROR(INDEX('04A_국토부원자료'!$A:$T,ROW()+1,MATCH("단지명",'04A_국토부원자료'!$A$4:$T$4,0)),"")))</f>
        <v/>
      </c>
      <c r="E2445" s="172">
        <f>IFERROR(VALUE(SUBSTITUTE(INDEX('04A_국토부원자료'!$A:$T,ROW()+1,MATCH("전용면적(㎡)",'04A_국토부원자료'!$A$4:$T$4,0)),",","")),"")</f>
        <v/>
      </c>
      <c r="F24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45" s="51">
        <f>IFERROR(VALUE(SUBSTITUTE(INDEX('04A_국토부원자료'!$A:$T,ROW()+1,MATCH("거래금액(만원)",'04A_국토부원자료'!$A$4:$T$4,0)),",","")),"")</f>
        <v/>
      </c>
      <c r="H2445" s="174">
        <f>IF(G2445="","",G2445*10000)</f>
        <v/>
      </c>
      <c r="I2445" s="174">
        <f>IFERROR(IF(AND(H2445&gt;0,E2445&gt;0),H2445/E2445,""),"")</f>
        <v/>
      </c>
      <c r="J2445" s="152">
        <f>IFERROR(VALUE(SUBSTITUTE(INDEX('04A_국토부원자료'!$A:$T,ROW()+1,MATCH("층",'04A_국토부원자료'!$A$4:$T$4,0)),",","")),"")</f>
        <v/>
      </c>
      <c r="K2445" s="152">
        <f>IFERROR(VALUE(SUBSTITUTE(INDEX('04A_국토부원자료'!$A:$T,ROW()+1,MATCH("건축년도",'04A_국토부원자료'!$A$4:$T$4,0)),",","")),"")</f>
        <v/>
      </c>
      <c r="L2445" s="48">
        <f>IFERROR(INDEX('04A_국토부원자료'!$A:$T,ROW()+1,MATCH("도로명",'04A_국토부원자료'!$A$4:$T$4,0)),"")</f>
        <v/>
      </c>
      <c r="M2445" s="48">
        <f>IFERROR(INDEX('04A_국토부원자료'!$A:$T,ROW()+1,MATCH("거래유형",'04A_국토부원자료'!$A$4:$T$4,0)),"")</f>
        <v/>
      </c>
      <c r="N2445" s="152">
        <f>IF(B2445="","",IF('02_대상물건입력'!B5="",1,IF(ISNUMBER(SEARCH('02_대상물건입력'!B5,B2445)),1,0)))</f>
        <v/>
      </c>
      <c r="O2445" s="152">
        <f>IF(B2445="","",IF('02_대상물건입력'!B6="",1,IF(ISNUMBER(SEARCH('02_대상물건입력'!B6,B2445)),1,0)))</f>
        <v/>
      </c>
      <c r="P2445" s="152">
        <f>IF(L2445="","",IF('02_대상물건입력'!B15="",0,IF(ISNUMBER(SEARCH('02_대상물건입력'!B15,L2445)),1,0)))</f>
        <v/>
      </c>
      <c r="Q2445" s="152">
        <f>IF(OR(C2445="",L2445=""),0,IF(AND(TRIM(C2445)=TRIM(RIGHT(SUBSTITUTE(TRIM('02_대상물건입력'!$B$7)," ",REPT(" ",99)),99)),IF('02_대상물건입력'!B15="",TRUE(),ISNUMBER(SEARCH('02_대상물건입력'!B15,L2445)))),1,0))</f>
        <v/>
      </c>
      <c r="R2445" s="175">
        <f>IFERROR(ABS(E2445-'02_대상물건입력'!B11)/'02_대상물건입력'!B11,"")</f>
        <v/>
      </c>
      <c r="S2445" s="152">
        <f>IFERROR(ABS(J2445-'02_대상물건입력'!B10),"")</f>
        <v/>
      </c>
      <c r="T2445" s="152">
        <f>IFERROR(ABS('01_설정'!B4-F2445),"")</f>
        <v/>
      </c>
      <c r="U2445" s="152">
        <f>IFERROR(ABS(K2445-YEAR('02_대상물건입력'!B14)),"")</f>
        <v/>
      </c>
      <c r="V2445" s="152">
        <f>IF(B2445="","",IF(AND(E2445&gt;0,F2445&gt;0,H2445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2445=1,TRUE()),R2445&lt;='01_설정'!B5,S2445&lt;='01_설정'!B6,T2445&lt;='01_설정'!B7,U2445&lt;='01_설정'!B8),"Y",""))</f>
        <v/>
      </c>
      <c r="W2445" s="172">
        <f>IF(V2445&lt;&gt;"Y","",MAX(0,(1-R2445/'01_설정'!B5))*'01_설정'!B14+MAX(0,(1-S2445/'01_설정'!B6))*'01_설정'!B15+MAX(0,(1-T2445/'01_설정'!B7))*'01_설정'!B16+MAX(0,(1-U2445/'01_설정'!B8))*'01_설정'!B17+O2445*'01_설정'!B11+Q2445*'01_설정'!B12+P2445*'01_설정'!B13+IF(Z2445="",0,Z2445))</f>
        <v/>
      </c>
      <c r="X2445" s="152">
        <f>IF(W2445="","",1+COUNTIFS($W$4:$W$3003,"&gt;"&amp;W2445)+COUNTIFS($W$4:W2445,W2445)-1)</f>
        <v/>
      </c>
      <c r="Y2445" s="175">
        <f>IF(OR(I2445="",'02_대상물건입력'!B19="",'02_대상물건입력'!B19&lt;=0),"",ABS(I2445-'02_대상물건입력'!B19)/'02_대상물건입력'!B19)</f>
        <v/>
      </c>
      <c r="Z2445" s="172">
        <f>IF(OR(Y2445="",'01_설정'!B31="",'01_설정'!B31&lt;=0,'01_설정'!B32="",'01_설정'!B32&lt;=0),"",MAX(0,(1-Y2445/'01_설정'!B32))*'01_설정'!B31)</f>
        <v/>
      </c>
    </row>
    <row r="2446" ht="17.25" customHeight="1">
      <c r="A2446" s="152">
        <f>IF(INDEX('04A_국토부원자료'!$A:$A,ROW()+1)="","",ROW()-3)</f>
        <v/>
      </c>
      <c r="B2446" s="48">
        <f>IFERROR(INDEX('04A_국토부원자료'!$A:$T,ROW()+1,MATCH("시군구",'04A_국토부원자료'!$A$4:$T$4,0)),"")</f>
        <v/>
      </c>
      <c r="C2446" s="48">
        <f>IF(B2446="","",IFERROR(INDEX('04A_국토부원자료'!$A:$T,ROW()+1,MATCH("번지",'04A_국토부원자료'!$A$4:$T$4,0)),""))</f>
        <v/>
      </c>
      <c r="D2446" s="48">
        <f>IF(B2446="","",IF(Q2446=1,'02_대상물건입력'!$B$8,IFERROR(INDEX('04A_국토부원자료'!$A:$T,ROW()+1,MATCH("단지명",'04A_국토부원자료'!$A$4:$T$4,0)),"")))</f>
        <v/>
      </c>
      <c r="E2446" s="172">
        <f>IFERROR(VALUE(SUBSTITUTE(INDEX('04A_국토부원자료'!$A:$T,ROW()+1,MATCH("전용면적(㎡)",'04A_국토부원자료'!$A$4:$T$4,0)),",","")),"")</f>
        <v/>
      </c>
      <c r="F24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46" s="51">
        <f>IFERROR(VALUE(SUBSTITUTE(INDEX('04A_국토부원자료'!$A:$T,ROW()+1,MATCH("거래금액(만원)",'04A_국토부원자료'!$A$4:$T$4,0)),",","")),"")</f>
        <v/>
      </c>
      <c r="H2446" s="174">
        <f>IF(G2446="","",G2446*10000)</f>
        <v/>
      </c>
      <c r="I2446" s="174">
        <f>IFERROR(IF(AND(H2446&gt;0,E2446&gt;0),H2446/E2446,""),"")</f>
        <v/>
      </c>
      <c r="J2446" s="152">
        <f>IFERROR(VALUE(SUBSTITUTE(INDEX('04A_국토부원자료'!$A:$T,ROW()+1,MATCH("층",'04A_국토부원자료'!$A$4:$T$4,0)),",","")),"")</f>
        <v/>
      </c>
      <c r="K2446" s="152">
        <f>IFERROR(VALUE(SUBSTITUTE(INDEX('04A_국토부원자료'!$A:$T,ROW()+1,MATCH("건축년도",'04A_국토부원자료'!$A$4:$T$4,0)),",","")),"")</f>
        <v/>
      </c>
      <c r="L2446" s="48">
        <f>IFERROR(INDEX('04A_국토부원자료'!$A:$T,ROW()+1,MATCH("도로명",'04A_국토부원자료'!$A$4:$T$4,0)),"")</f>
        <v/>
      </c>
      <c r="M2446" s="48">
        <f>IFERROR(INDEX('04A_국토부원자료'!$A:$T,ROW()+1,MATCH("거래유형",'04A_국토부원자료'!$A$4:$T$4,0)),"")</f>
        <v/>
      </c>
      <c r="N2446" s="152">
        <f>IF(B2446="","",IF('02_대상물건입력'!B5="",1,IF(ISNUMBER(SEARCH('02_대상물건입력'!B5,B2446)),1,0)))</f>
        <v/>
      </c>
      <c r="O2446" s="152">
        <f>IF(B2446="","",IF('02_대상물건입력'!B6="",1,IF(ISNUMBER(SEARCH('02_대상물건입력'!B6,B2446)),1,0)))</f>
        <v/>
      </c>
      <c r="P2446" s="152">
        <f>IF(L2446="","",IF('02_대상물건입력'!B15="",0,IF(ISNUMBER(SEARCH('02_대상물건입력'!B15,L2446)),1,0)))</f>
        <v/>
      </c>
      <c r="Q2446" s="152">
        <f>IF(OR(C2446="",L2446=""),0,IF(AND(TRIM(C2446)=TRIM(RIGHT(SUBSTITUTE(TRIM('02_대상물건입력'!$B$7)," ",REPT(" ",99)),99)),IF('02_대상물건입력'!B15="",TRUE(),ISNUMBER(SEARCH('02_대상물건입력'!B15,L2446)))),1,0))</f>
        <v/>
      </c>
      <c r="R2446" s="175">
        <f>IFERROR(ABS(E2446-'02_대상물건입력'!B11)/'02_대상물건입력'!B11,"")</f>
        <v/>
      </c>
      <c r="S2446" s="152">
        <f>IFERROR(ABS(J2446-'02_대상물건입력'!B10),"")</f>
        <v/>
      </c>
      <c r="T2446" s="152">
        <f>IFERROR(ABS('01_설정'!B4-F2446),"")</f>
        <v/>
      </c>
      <c r="U2446" s="152">
        <f>IFERROR(ABS(K2446-YEAR('02_대상물건입력'!B14)),"")</f>
        <v/>
      </c>
      <c r="V2446" s="152">
        <f>IF(B2446="","",IF(AND(E2446&gt;0,F2446&gt;0,H2446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2446=1,TRUE()),R2446&lt;='01_설정'!B5,S2446&lt;='01_설정'!B6,T2446&lt;='01_설정'!B7,U2446&lt;='01_설정'!B8),"Y",""))</f>
        <v/>
      </c>
      <c r="W2446" s="172">
        <f>IF(V2446&lt;&gt;"Y","",MAX(0,(1-R2446/'01_설정'!B5))*'01_설정'!B14+MAX(0,(1-S2446/'01_설정'!B6))*'01_설정'!B15+MAX(0,(1-T2446/'01_설정'!B7))*'01_설정'!B16+MAX(0,(1-U2446/'01_설정'!B8))*'01_설정'!B17+O2446*'01_설정'!B11+Q2446*'01_설정'!B12+P2446*'01_설정'!B13+IF(Z2446="",0,Z2446))</f>
        <v/>
      </c>
      <c r="X2446" s="152">
        <f>IF(W2446="","",1+COUNTIFS($W$4:$W$3003,"&gt;"&amp;W2446)+COUNTIFS($W$4:W2446,W2446)-1)</f>
        <v/>
      </c>
      <c r="Y2446" s="175">
        <f>IF(OR(I2446="",'02_대상물건입력'!B19="",'02_대상물건입력'!B19&lt;=0),"",ABS(I2446-'02_대상물건입력'!B19)/'02_대상물건입력'!B19)</f>
        <v/>
      </c>
      <c r="Z2446" s="172">
        <f>IF(OR(Y2446="",'01_설정'!B31="",'01_설정'!B31&lt;=0,'01_설정'!B32="",'01_설정'!B32&lt;=0),"",MAX(0,(1-Y2446/'01_설정'!B32))*'01_설정'!B31)</f>
        <v/>
      </c>
    </row>
    <row r="2447" ht="17.25" customHeight="1">
      <c r="A2447" s="152">
        <f>IF(INDEX('04A_국토부원자료'!$A:$A,ROW()+1)="","",ROW()-3)</f>
        <v/>
      </c>
      <c r="B2447" s="48">
        <f>IFERROR(INDEX('04A_국토부원자료'!$A:$T,ROW()+1,MATCH("시군구",'04A_국토부원자료'!$A$4:$T$4,0)),"")</f>
        <v/>
      </c>
      <c r="C2447" s="48">
        <f>IF(B2447="","",IFERROR(INDEX('04A_국토부원자료'!$A:$T,ROW()+1,MATCH("번지",'04A_국토부원자료'!$A$4:$T$4,0)),""))</f>
        <v/>
      </c>
      <c r="D2447" s="48">
        <f>IF(B2447="","",IF(Q2447=1,'02_대상물건입력'!$B$8,IFERROR(INDEX('04A_국토부원자료'!$A:$T,ROW()+1,MATCH("단지명",'04A_국토부원자료'!$A$4:$T$4,0)),"")))</f>
        <v/>
      </c>
      <c r="E2447" s="172">
        <f>IFERROR(VALUE(SUBSTITUTE(INDEX('04A_국토부원자료'!$A:$T,ROW()+1,MATCH("전용면적(㎡)",'04A_국토부원자료'!$A$4:$T$4,0)),",","")),"")</f>
        <v/>
      </c>
      <c r="F24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47" s="51">
        <f>IFERROR(VALUE(SUBSTITUTE(INDEX('04A_국토부원자료'!$A:$T,ROW()+1,MATCH("거래금액(만원)",'04A_국토부원자료'!$A$4:$T$4,0)),",","")),"")</f>
        <v/>
      </c>
      <c r="H2447" s="174">
        <f>IF(G2447="","",G2447*10000)</f>
        <v/>
      </c>
      <c r="I2447" s="174">
        <f>IFERROR(IF(AND(H2447&gt;0,E2447&gt;0),H2447/E2447,""),"")</f>
        <v/>
      </c>
      <c r="J2447" s="152">
        <f>IFERROR(VALUE(SUBSTITUTE(INDEX('04A_국토부원자료'!$A:$T,ROW()+1,MATCH("층",'04A_국토부원자료'!$A$4:$T$4,0)),",","")),"")</f>
        <v/>
      </c>
      <c r="K2447" s="152">
        <f>IFERROR(VALUE(SUBSTITUTE(INDEX('04A_국토부원자료'!$A:$T,ROW()+1,MATCH("건축년도",'04A_국토부원자료'!$A$4:$T$4,0)),",","")),"")</f>
        <v/>
      </c>
      <c r="L2447" s="48">
        <f>IFERROR(INDEX('04A_국토부원자료'!$A:$T,ROW()+1,MATCH("도로명",'04A_국토부원자료'!$A$4:$T$4,0)),"")</f>
        <v/>
      </c>
      <c r="M2447" s="48">
        <f>IFERROR(INDEX('04A_국토부원자료'!$A:$T,ROW()+1,MATCH("거래유형",'04A_국토부원자료'!$A$4:$T$4,0)),"")</f>
        <v/>
      </c>
      <c r="N2447" s="152">
        <f>IF(B2447="","",IF('02_대상물건입력'!B5="",1,IF(ISNUMBER(SEARCH('02_대상물건입력'!B5,B2447)),1,0)))</f>
        <v/>
      </c>
      <c r="O2447" s="152">
        <f>IF(B2447="","",IF('02_대상물건입력'!B6="",1,IF(ISNUMBER(SEARCH('02_대상물건입력'!B6,B2447)),1,0)))</f>
        <v/>
      </c>
      <c r="P2447" s="152">
        <f>IF(L2447="","",IF('02_대상물건입력'!B15="",0,IF(ISNUMBER(SEARCH('02_대상물건입력'!B15,L2447)),1,0)))</f>
        <v/>
      </c>
      <c r="Q2447" s="152">
        <f>IF(OR(C2447="",L2447=""),0,IF(AND(TRIM(C2447)=TRIM(RIGHT(SUBSTITUTE(TRIM('02_대상물건입력'!$B$7)," ",REPT(" ",99)),99)),IF('02_대상물건입력'!B15="",TRUE(),ISNUMBER(SEARCH('02_대상물건입력'!B15,L2447)))),1,0))</f>
        <v/>
      </c>
      <c r="R2447" s="175">
        <f>IFERROR(ABS(E2447-'02_대상물건입력'!B11)/'02_대상물건입력'!B11,"")</f>
        <v/>
      </c>
      <c r="S2447" s="152">
        <f>IFERROR(ABS(J2447-'02_대상물건입력'!B10),"")</f>
        <v/>
      </c>
      <c r="T2447" s="152">
        <f>IFERROR(ABS('01_설정'!B4-F2447),"")</f>
        <v/>
      </c>
      <c r="U2447" s="152">
        <f>IFERROR(ABS(K2447-YEAR('02_대상물건입력'!B14)),"")</f>
        <v/>
      </c>
      <c r="V2447" s="152">
        <f>IF(B2447="","",IF(AND(E2447&gt;0,F2447&gt;0,H2447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2447=1,TRUE()),R2447&lt;='01_설정'!B5,S2447&lt;='01_설정'!B6,T2447&lt;='01_설정'!B7,U2447&lt;='01_설정'!B8),"Y",""))</f>
        <v/>
      </c>
      <c r="W2447" s="172">
        <f>IF(V2447&lt;&gt;"Y","",MAX(0,(1-R2447/'01_설정'!B5))*'01_설정'!B14+MAX(0,(1-S2447/'01_설정'!B6))*'01_설정'!B15+MAX(0,(1-T2447/'01_설정'!B7))*'01_설정'!B16+MAX(0,(1-U2447/'01_설정'!B8))*'01_설정'!B17+O2447*'01_설정'!B11+Q2447*'01_설정'!B12+P2447*'01_설정'!B13+IF(Z2447="",0,Z2447))</f>
        <v/>
      </c>
      <c r="X2447" s="152">
        <f>IF(W2447="","",1+COUNTIFS($W$4:$W$3003,"&gt;"&amp;W2447)+COUNTIFS($W$4:W2447,W2447)-1)</f>
        <v/>
      </c>
      <c r="Y2447" s="175">
        <f>IF(OR(I2447="",'02_대상물건입력'!B19="",'02_대상물건입력'!B19&lt;=0),"",ABS(I2447-'02_대상물건입력'!B19)/'02_대상물건입력'!B19)</f>
        <v/>
      </c>
      <c r="Z2447" s="172">
        <f>IF(OR(Y2447="",'01_설정'!B31="",'01_설정'!B31&lt;=0,'01_설정'!B32="",'01_설정'!B32&lt;=0),"",MAX(0,(1-Y2447/'01_설정'!B32))*'01_설정'!B31)</f>
        <v/>
      </c>
    </row>
    <row r="2448" ht="17.25" customHeight="1">
      <c r="A2448" s="152">
        <f>IF(INDEX('04A_국토부원자료'!$A:$A,ROW()+1)="","",ROW()-3)</f>
        <v/>
      </c>
      <c r="B2448" s="48">
        <f>IFERROR(INDEX('04A_국토부원자료'!$A:$T,ROW()+1,MATCH("시군구",'04A_국토부원자료'!$A$4:$T$4,0)),"")</f>
        <v/>
      </c>
      <c r="C2448" s="48">
        <f>IF(B2448="","",IFERROR(INDEX('04A_국토부원자료'!$A:$T,ROW()+1,MATCH("번지",'04A_국토부원자료'!$A$4:$T$4,0)),""))</f>
        <v/>
      </c>
      <c r="D2448" s="48">
        <f>IF(B2448="","",IF(Q2448=1,'02_대상물건입력'!$B$8,IFERROR(INDEX('04A_국토부원자료'!$A:$T,ROW()+1,MATCH("단지명",'04A_국토부원자료'!$A$4:$T$4,0)),"")))</f>
        <v/>
      </c>
      <c r="E2448" s="172">
        <f>IFERROR(VALUE(SUBSTITUTE(INDEX('04A_국토부원자료'!$A:$T,ROW()+1,MATCH("전용면적(㎡)",'04A_국토부원자료'!$A$4:$T$4,0)),",","")),"")</f>
        <v/>
      </c>
      <c r="F24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48" s="51">
        <f>IFERROR(VALUE(SUBSTITUTE(INDEX('04A_국토부원자료'!$A:$T,ROW()+1,MATCH("거래금액(만원)",'04A_국토부원자료'!$A$4:$T$4,0)),",","")),"")</f>
        <v/>
      </c>
      <c r="H2448" s="174">
        <f>IF(G2448="","",G2448*10000)</f>
        <v/>
      </c>
      <c r="I2448" s="174">
        <f>IFERROR(IF(AND(H2448&gt;0,E2448&gt;0),H2448/E2448,""),"")</f>
        <v/>
      </c>
      <c r="J2448" s="152">
        <f>IFERROR(VALUE(SUBSTITUTE(INDEX('04A_국토부원자료'!$A:$T,ROW()+1,MATCH("층",'04A_국토부원자료'!$A$4:$T$4,0)),",","")),"")</f>
        <v/>
      </c>
      <c r="K2448" s="152">
        <f>IFERROR(VALUE(SUBSTITUTE(INDEX('04A_국토부원자료'!$A:$T,ROW()+1,MATCH("건축년도",'04A_국토부원자료'!$A$4:$T$4,0)),",","")),"")</f>
        <v/>
      </c>
      <c r="L2448" s="48">
        <f>IFERROR(INDEX('04A_국토부원자료'!$A:$T,ROW()+1,MATCH("도로명",'04A_국토부원자료'!$A$4:$T$4,0)),"")</f>
        <v/>
      </c>
      <c r="M2448" s="48">
        <f>IFERROR(INDEX('04A_국토부원자료'!$A:$T,ROW()+1,MATCH("거래유형",'04A_국토부원자료'!$A$4:$T$4,0)),"")</f>
        <v/>
      </c>
      <c r="N2448" s="152">
        <f>IF(B2448="","",IF('02_대상물건입력'!B5="",1,IF(ISNUMBER(SEARCH('02_대상물건입력'!B5,B2448)),1,0)))</f>
        <v/>
      </c>
      <c r="O2448" s="152">
        <f>IF(B2448="","",IF('02_대상물건입력'!B6="",1,IF(ISNUMBER(SEARCH('02_대상물건입력'!B6,B2448)),1,0)))</f>
        <v/>
      </c>
      <c r="P2448" s="152">
        <f>IF(L2448="","",IF('02_대상물건입력'!B15="",0,IF(ISNUMBER(SEARCH('02_대상물건입력'!B15,L2448)),1,0)))</f>
        <v/>
      </c>
      <c r="Q2448" s="152">
        <f>IF(OR(C2448="",L2448=""),0,IF(AND(TRIM(C2448)=TRIM(RIGHT(SUBSTITUTE(TRIM('02_대상물건입력'!$B$7)," ",REPT(" ",99)),99)),IF('02_대상물건입력'!B15="",TRUE(),ISNUMBER(SEARCH('02_대상물건입력'!B15,L2448)))),1,0))</f>
        <v/>
      </c>
      <c r="R2448" s="175">
        <f>IFERROR(ABS(E2448-'02_대상물건입력'!B11)/'02_대상물건입력'!B11,"")</f>
        <v/>
      </c>
      <c r="S2448" s="152">
        <f>IFERROR(ABS(J2448-'02_대상물건입력'!B10),"")</f>
        <v/>
      </c>
      <c r="T2448" s="152">
        <f>IFERROR(ABS('01_설정'!B4-F2448),"")</f>
        <v/>
      </c>
      <c r="U2448" s="152">
        <f>IFERROR(ABS(K2448-YEAR('02_대상물건입력'!B14)),"")</f>
        <v/>
      </c>
      <c r="V2448" s="152">
        <f>IF(B2448="","",IF(AND(E2448&gt;0,F2448&gt;0,H2448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2448=1,TRUE()),R2448&lt;='01_설정'!B5,S2448&lt;='01_설정'!B6,T2448&lt;='01_설정'!B7,U2448&lt;='01_설정'!B8),"Y",""))</f>
        <v/>
      </c>
      <c r="W2448" s="172">
        <f>IF(V2448&lt;&gt;"Y","",MAX(0,(1-R2448/'01_설정'!B5))*'01_설정'!B14+MAX(0,(1-S2448/'01_설정'!B6))*'01_설정'!B15+MAX(0,(1-T2448/'01_설정'!B7))*'01_설정'!B16+MAX(0,(1-U2448/'01_설정'!B8))*'01_설정'!B17+O2448*'01_설정'!B11+Q2448*'01_설정'!B12+P2448*'01_설정'!B13+IF(Z2448="",0,Z2448))</f>
        <v/>
      </c>
      <c r="X2448" s="152">
        <f>IF(W2448="","",1+COUNTIFS($W$4:$W$3003,"&gt;"&amp;W2448)+COUNTIFS($W$4:W2448,W2448)-1)</f>
        <v/>
      </c>
      <c r="Y2448" s="175">
        <f>IF(OR(I2448="",'02_대상물건입력'!B19="",'02_대상물건입력'!B19&lt;=0),"",ABS(I2448-'02_대상물건입력'!B19)/'02_대상물건입력'!B19)</f>
        <v/>
      </c>
      <c r="Z2448" s="172">
        <f>IF(OR(Y2448="",'01_설정'!B31="",'01_설정'!B31&lt;=0,'01_설정'!B32="",'01_설정'!B32&lt;=0),"",MAX(0,(1-Y2448/'01_설정'!B32))*'01_설정'!B31)</f>
        <v/>
      </c>
    </row>
    <row r="2449" ht="17.25" customHeight="1">
      <c r="A2449" s="152">
        <f>IF(INDEX('04A_국토부원자료'!$A:$A,ROW()+1)="","",ROW()-3)</f>
        <v/>
      </c>
      <c r="B2449" s="48">
        <f>IFERROR(INDEX('04A_국토부원자료'!$A:$T,ROW()+1,MATCH("시군구",'04A_국토부원자료'!$A$4:$T$4,0)),"")</f>
        <v/>
      </c>
      <c r="C2449" s="48">
        <f>IF(B2449="","",IFERROR(INDEX('04A_국토부원자료'!$A:$T,ROW()+1,MATCH("번지",'04A_국토부원자료'!$A$4:$T$4,0)),""))</f>
        <v/>
      </c>
      <c r="D2449" s="48">
        <f>IF(B2449="","",IF(Q2449=1,'02_대상물건입력'!$B$8,IFERROR(INDEX('04A_국토부원자료'!$A:$T,ROW()+1,MATCH("단지명",'04A_국토부원자료'!$A$4:$T$4,0)),"")))</f>
        <v/>
      </c>
      <c r="E2449" s="172">
        <f>IFERROR(VALUE(SUBSTITUTE(INDEX('04A_국토부원자료'!$A:$T,ROW()+1,MATCH("전용면적(㎡)",'04A_국토부원자료'!$A$4:$T$4,0)),",","")),"")</f>
        <v/>
      </c>
      <c r="F24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49" s="51">
        <f>IFERROR(VALUE(SUBSTITUTE(INDEX('04A_국토부원자료'!$A:$T,ROW()+1,MATCH("거래금액(만원)",'04A_국토부원자료'!$A$4:$T$4,0)),",","")),"")</f>
        <v/>
      </c>
      <c r="H2449" s="174">
        <f>IF(G2449="","",G2449*10000)</f>
        <v/>
      </c>
      <c r="I2449" s="174">
        <f>IFERROR(IF(AND(H2449&gt;0,E2449&gt;0),H2449/E2449,""),"")</f>
        <v/>
      </c>
      <c r="J2449" s="152">
        <f>IFERROR(VALUE(SUBSTITUTE(INDEX('04A_국토부원자료'!$A:$T,ROW()+1,MATCH("층",'04A_국토부원자료'!$A$4:$T$4,0)),",","")),"")</f>
        <v/>
      </c>
      <c r="K2449" s="152">
        <f>IFERROR(VALUE(SUBSTITUTE(INDEX('04A_국토부원자료'!$A:$T,ROW()+1,MATCH("건축년도",'04A_국토부원자료'!$A$4:$T$4,0)),",","")),"")</f>
        <v/>
      </c>
      <c r="L2449" s="48">
        <f>IFERROR(INDEX('04A_국토부원자료'!$A:$T,ROW()+1,MATCH("도로명",'04A_국토부원자료'!$A$4:$T$4,0)),"")</f>
        <v/>
      </c>
      <c r="M2449" s="48">
        <f>IFERROR(INDEX('04A_국토부원자료'!$A:$T,ROW()+1,MATCH("거래유형",'04A_국토부원자료'!$A$4:$T$4,0)),"")</f>
        <v/>
      </c>
      <c r="N2449" s="152">
        <f>IF(B2449="","",IF('02_대상물건입력'!B5="",1,IF(ISNUMBER(SEARCH('02_대상물건입력'!B5,B2449)),1,0)))</f>
        <v/>
      </c>
      <c r="O2449" s="152">
        <f>IF(B2449="","",IF('02_대상물건입력'!B6="",1,IF(ISNUMBER(SEARCH('02_대상물건입력'!B6,B2449)),1,0)))</f>
        <v/>
      </c>
      <c r="P2449" s="152">
        <f>IF(L2449="","",IF('02_대상물건입력'!B15="",0,IF(ISNUMBER(SEARCH('02_대상물건입력'!B15,L2449)),1,0)))</f>
        <v/>
      </c>
      <c r="Q2449" s="152">
        <f>IF(OR(C2449="",L2449=""),0,IF(AND(TRIM(C2449)=TRIM(RIGHT(SUBSTITUTE(TRIM('02_대상물건입력'!$B$7)," ",REPT(" ",99)),99)),IF('02_대상물건입력'!B15="",TRUE(),ISNUMBER(SEARCH('02_대상물건입력'!B15,L2449)))),1,0))</f>
        <v/>
      </c>
      <c r="R2449" s="175">
        <f>IFERROR(ABS(E2449-'02_대상물건입력'!B11)/'02_대상물건입력'!B11,"")</f>
        <v/>
      </c>
      <c r="S2449" s="152">
        <f>IFERROR(ABS(J2449-'02_대상물건입력'!B10),"")</f>
        <v/>
      </c>
      <c r="T2449" s="152">
        <f>IFERROR(ABS('01_설정'!B4-F2449),"")</f>
        <v/>
      </c>
      <c r="U2449" s="152">
        <f>IFERROR(ABS(K2449-YEAR('02_대상물건입력'!B14)),"")</f>
        <v/>
      </c>
      <c r="V2449" s="152">
        <f>IF(B2449="","",IF(AND(E2449&gt;0,F2449&gt;0,H2449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2449=1,TRUE()),R2449&lt;='01_설정'!B5,S2449&lt;='01_설정'!B6,T2449&lt;='01_설정'!B7,U2449&lt;='01_설정'!B8),"Y",""))</f>
        <v/>
      </c>
      <c r="W2449" s="172">
        <f>IF(V2449&lt;&gt;"Y","",MAX(0,(1-R2449/'01_설정'!B5))*'01_설정'!B14+MAX(0,(1-S2449/'01_설정'!B6))*'01_설정'!B15+MAX(0,(1-T2449/'01_설정'!B7))*'01_설정'!B16+MAX(0,(1-U2449/'01_설정'!B8))*'01_설정'!B17+O2449*'01_설정'!B11+Q2449*'01_설정'!B12+P2449*'01_설정'!B13+IF(Z2449="",0,Z2449))</f>
        <v/>
      </c>
      <c r="X2449" s="152">
        <f>IF(W2449="","",1+COUNTIFS($W$4:$W$3003,"&gt;"&amp;W2449)+COUNTIFS($W$4:W2449,W2449)-1)</f>
        <v/>
      </c>
      <c r="Y2449" s="175">
        <f>IF(OR(I2449="",'02_대상물건입력'!B19="",'02_대상물건입력'!B19&lt;=0),"",ABS(I2449-'02_대상물건입력'!B19)/'02_대상물건입력'!B19)</f>
        <v/>
      </c>
      <c r="Z2449" s="172">
        <f>IF(OR(Y2449="",'01_설정'!B31="",'01_설정'!B31&lt;=0,'01_설정'!B32="",'01_설정'!B32&lt;=0),"",MAX(0,(1-Y2449/'01_설정'!B32))*'01_설정'!B31)</f>
        <v/>
      </c>
    </row>
    <row r="2450" ht="17.25" customHeight="1">
      <c r="A2450" s="152">
        <f>IF(INDEX('04A_국토부원자료'!$A:$A,ROW()+1)="","",ROW()-3)</f>
        <v/>
      </c>
      <c r="B2450" s="48">
        <f>IFERROR(INDEX('04A_국토부원자료'!$A:$T,ROW()+1,MATCH("시군구",'04A_국토부원자료'!$A$4:$T$4,0)),"")</f>
        <v/>
      </c>
      <c r="C2450" s="48">
        <f>IF(B2450="","",IFERROR(INDEX('04A_국토부원자료'!$A:$T,ROW()+1,MATCH("번지",'04A_국토부원자료'!$A$4:$T$4,0)),""))</f>
        <v/>
      </c>
      <c r="D2450" s="48">
        <f>IF(B2450="","",IF(Q2450=1,'02_대상물건입력'!$B$8,IFERROR(INDEX('04A_국토부원자료'!$A:$T,ROW()+1,MATCH("단지명",'04A_국토부원자료'!$A$4:$T$4,0)),"")))</f>
        <v/>
      </c>
      <c r="E2450" s="172">
        <f>IFERROR(VALUE(SUBSTITUTE(INDEX('04A_국토부원자료'!$A:$T,ROW()+1,MATCH("전용면적(㎡)",'04A_국토부원자료'!$A$4:$T$4,0)),",","")),"")</f>
        <v/>
      </c>
      <c r="F24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50" s="51">
        <f>IFERROR(VALUE(SUBSTITUTE(INDEX('04A_국토부원자료'!$A:$T,ROW()+1,MATCH("거래금액(만원)",'04A_국토부원자료'!$A$4:$T$4,0)),",","")),"")</f>
        <v/>
      </c>
      <c r="H2450" s="174">
        <f>IF(G2450="","",G2450*10000)</f>
        <v/>
      </c>
      <c r="I2450" s="174">
        <f>IFERROR(IF(AND(H2450&gt;0,E2450&gt;0),H2450/E2450,""),"")</f>
        <v/>
      </c>
      <c r="J2450" s="152">
        <f>IFERROR(VALUE(SUBSTITUTE(INDEX('04A_국토부원자료'!$A:$T,ROW()+1,MATCH("층",'04A_국토부원자료'!$A$4:$T$4,0)),",","")),"")</f>
        <v/>
      </c>
      <c r="K2450" s="152">
        <f>IFERROR(VALUE(SUBSTITUTE(INDEX('04A_국토부원자료'!$A:$T,ROW()+1,MATCH("건축년도",'04A_국토부원자료'!$A$4:$T$4,0)),",","")),"")</f>
        <v/>
      </c>
      <c r="L2450" s="48">
        <f>IFERROR(INDEX('04A_국토부원자료'!$A:$T,ROW()+1,MATCH("도로명",'04A_국토부원자료'!$A$4:$T$4,0)),"")</f>
        <v/>
      </c>
      <c r="M2450" s="48">
        <f>IFERROR(INDEX('04A_국토부원자료'!$A:$T,ROW()+1,MATCH("거래유형",'04A_국토부원자료'!$A$4:$T$4,0)),"")</f>
        <v/>
      </c>
      <c r="N2450" s="152">
        <f>IF(B2450="","",IF('02_대상물건입력'!B5="",1,IF(ISNUMBER(SEARCH('02_대상물건입력'!B5,B2450)),1,0)))</f>
        <v/>
      </c>
      <c r="O2450" s="152">
        <f>IF(B2450="","",IF('02_대상물건입력'!B6="",1,IF(ISNUMBER(SEARCH('02_대상물건입력'!B6,B2450)),1,0)))</f>
        <v/>
      </c>
      <c r="P2450" s="152">
        <f>IF(L2450="","",IF('02_대상물건입력'!B15="",0,IF(ISNUMBER(SEARCH('02_대상물건입력'!B15,L2450)),1,0)))</f>
        <v/>
      </c>
      <c r="Q2450" s="152">
        <f>IF(OR(C2450="",L2450=""),0,IF(AND(TRIM(C2450)=TRIM(RIGHT(SUBSTITUTE(TRIM('02_대상물건입력'!$B$7)," ",REPT(" ",99)),99)),IF('02_대상물건입력'!B15="",TRUE(),ISNUMBER(SEARCH('02_대상물건입력'!B15,L2450)))),1,0))</f>
        <v/>
      </c>
      <c r="R2450" s="175">
        <f>IFERROR(ABS(E2450-'02_대상물건입력'!B11)/'02_대상물건입력'!B11,"")</f>
        <v/>
      </c>
      <c r="S2450" s="152">
        <f>IFERROR(ABS(J2450-'02_대상물건입력'!B10),"")</f>
        <v/>
      </c>
      <c r="T2450" s="152">
        <f>IFERROR(ABS('01_설정'!B4-F2450),"")</f>
        <v/>
      </c>
      <c r="U2450" s="152">
        <f>IFERROR(ABS(K2450-YEAR('02_대상물건입력'!B14)),"")</f>
        <v/>
      </c>
      <c r="V2450" s="152">
        <f>IF(B2450="","",IF(AND(E2450&gt;0,F2450&gt;0,H2450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2450=1,TRUE()),R2450&lt;='01_설정'!B5,S2450&lt;='01_설정'!B6,T2450&lt;='01_설정'!B7,U2450&lt;='01_설정'!B8),"Y",""))</f>
        <v/>
      </c>
      <c r="W2450" s="172">
        <f>IF(V2450&lt;&gt;"Y","",MAX(0,(1-R2450/'01_설정'!B5))*'01_설정'!B14+MAX(0,(1-S2450/'01_설정'!B6))*'01_설정'!B15+MAX(0,(1-T2450/'01_설정'!B7))*'01_설정'!B16+MAX(0,(1-U2450/'01_설정'!B8))*'01_설정'!B17+O2450*'01_설정'!B11+Q2450*'01_설정'!B12+P2450*'01_설정'!B13+IF(Z2450="",0,Z2450))</f>
        <v/>
      </c>
      <c r="X2450" s="152">
        <f>IF(W2450="","",1+COUNTIFS($W$4:$W$3003,"&gt;"&amp;W2450)+COUNTIFS($W$4:W2450,W2450)-1)</f>
        <v/>
      </c>
      <c r="Y2450" s="175">
        <f>IF(OR(I2450="",'02_대상물건입력'!B19="",'02_대상물건입력'!B19&lt;=0),"",ABS(I2450-'02_대상물건입력'!B19)/'02_대상물건입력'!B19)</f>
        <v/>
      </c>
      <c r="Z2450" s="172">
        <f>IF(OR(Y2450="",'01_설정'!B31="",'01_설정'!B31&lt;=0,'01_설정'!B32="",'01_설정'!B32&lt;=0),"",MAX(0,(1-Y2450/'01_설정'!B32))*'01_설정'!B31)</f>
        <v/>
      </c>
    </row>
    <row r="2451" ht="17.25" customHeight="1">
      <c r="A2451" s="152">
        <f>IF(INDEX('04A_국토부원자료'!$A:$A,ROW()+1)="","",ROW()-3)</f>
        <v/>
      </c>
      <c r="B2451" s="48">
        <f>IFERROR(INDEX('04A_국토부원자료'!$A:$T,ROW()+1,MATCH("시군구",'04A_국토부원자료'!$A$4:$T$4,0)),"")</f>
        <v/>
      </c>
      <c r="C2451" s="48">
        <f>IF(B2451="","",IFERROR(INDEX('04A_국토부원자료'!$A:$T,ROW()+1,MATCH("번지",'04A_국토부원자료'!$A$4:$T$4,0)),""))</f>
        <v/>
      </c>
      <c r="D2451" s="48">
        <f>IF(B2451="","",IF(Q2451=1,'02_대상물건입력'!$B$8,IFERROR(INDEX('04A_국토부원자료'!$A:$T,ROW()+1,MATCH("단지명",'04A_국토부원자료'!$A$4:$T$4,0)),"")))</f>
        <v/>
      </c>
      <c r="E2451" s="172">
        <f>IFERROR(VALUE(SUBSTITUTE(INDEX('04A_국토부원자료'!$A:$T,ROW()+1,MATCH("전용면적(㎡)",'04A_국토부원자료'!$A$4:$T$4,0)),",","")),"")</f>
        <v/>
      </c>
      <c r="F24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51" s="51">
        <f>IFERROR(VALUE(SUBSTITUTE(INDEX('04A_국토부원자료'!$A:$T,ROW()+1,MATCH("거래금액(만원)",'04A_국토부원자료'!$A$4:$T$4,0)),",","")),"")</f>
        <v/>
      </c>
      <c r="H2451" s="174">
        <f>IF(G2451="","",G2451*10000)</f>
        <v/>
      </c>
      <c r="I2451" s="174">
        <f>IFERROR(IF(AND(H2451&gt;0,E2451&gt;0),H2451/E2451,""),"")</f>
        <v/>
      </c>
      <c r="J2451" s="152">
        <f>IFERROR(VALUE(SUBSTITUTE(INDEX('04A_국토부원자료'!$A:$T,ROW()+1,MATCH("층",'04A_국토부원자료'!$A$4:$T$4,0)),",","")),"")</f>
        <v/>
      </c>
      <c r="K2451" s="152">
        <f>IFERROR(VALUE(SUBSTITUTE(INDEX('04A_국토부원자료'!$A:$T,ROW()+1,MATCH("건축년도",'04A_국토부원자료'!$A$4:$T$4,0)),",","")),"")</f>
        <v/>
      </c>
      <c r="L2451" s="48">
        <f>IFERROR(INDEX('04A_국토부원자료'!$A:$T,ROW()+1,MATCH("도로명",'04A_국토부원자료'!$A$4:$T$4,0)),"")</f>
        <v/>
      </c>
      <c r="M2451" s="48">
        <f>IFERROR(INDEX('04A_국토부원자료'!$A:$T,ROW()+1,MATCH("거래유형",'04A_국토부원자료'!$A$4:$T$4,0)),"")</f>
        <v/>
      </c>
      <c r="N2451" s="152">
        <f>IF(B2451="","",IF('02_대상물건입력'!B5="",1,IF(ISNUMBER(SEARCH('02_대상물건입력'!B5,B2451)),1,0)))</f>
        <v/>
      </c>
      <c r="O2451" s="152">
        <f>IF(B2451="","",IF('02_대상물건입력'!B6="",1,IF(ISNUMBER(SEARCH('02_대상물건입력'!B6,B2451)),1,0)))</f>
        <v/>
      </c>
      <c r="P2451" s="152">
        <f>IF(L2451="","",IF('02_대상물건입력'!B15="",0,IF(ISNUMBER(SEARCH('02_대상물건입력'!B15,L2451)),1,0)))</f>
        <v/>
      </c>
      <c r="Q2451" s="152">
        <f>IF(OR(C2451="",L2451=""),0,IF(AND(TRIM(C2451)=TRIM(RIGHT(SUBSTITUTE(TRIM('02_대상물건입력'!$B$7)," ",REPT(" ",99)),99)),IF('02_대상물건입력'!B15="",TRUE(),ISNUMBER(SEARCH('02_대상물건입력'!B15,L2451)))),1,0))</f>
        <v/>
      </c>
      <c r="R2451" s="175">
        <f>IFERROR(ABS(E2451-'02_대상물건입력'!B11)/'02_대상물건입력'!B11,"")</f>
        <v/>
      </c>
      <c r="S2451" s="152">
        <f>IFERROR(ABS(J2451-'02_대상물건입력'!B10),"")</f>
        <v/>
      </c>
      <c r="T2451" s="152">
        <f>IFERROR(ABS('01_설정'!B4-F2451),"")</f>
        <v/>
      </c>
      <c r="U2451" s="152">
        <f>IFERROR(ABS(K2451-YEAR('02_대상물건입력'!B14)),"")</f>
        <v/>
      </c>
      <c r="V2451" s="152">
        <f>IF(B2451="","",IF(AND(E2451&gt;0,F2451&gt;0,H2451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2451=1,TRUE()),R2451&lt;='01_설정'!B5,S2451&lt;='01_설정'!B6,T2451&lt;='01_설정'!B7,U2451&lt;='01_설정'!B8),"Y",""))</f>
        <v/>
      </c>
      <c r="W2451" s="172">
        <f>IF(V2451&lt;&gt;"Y","",MAX(0,(1-R2451/'01_설정'!B5))*'01_설정'!B14+MAX(0,(1-S2451/'01_설정'!B6))*'01_설정'!B15+MAX(0,(1-T2451/'01_설정'!B7))*'01_설정'!B16+MAX(0,(1-U2451/'01_설정'!B8))*'01_설정'!B17+O2451*'01_설정'!B11+Q2451*'01_설정'!B12+P2451*'01_설정'!B13+IF(Z2451="",0,Z2451))</f>
        <v/>
      </c>
      <c r="X2451" s="152">
        <f>IF(W2451="","",1+COUNTIFS($W$4:$W$3003,"&gt;"&amp;W2451)+COUNTIFS($W$4:W2451,W2451)-1)</f>
        <v/>
      </c>
      <c r="Y2451" s="175">
        <f>IF(OR(I2451="",'02_대상물건입력'!B19="",'02_대상물건입력'!B19&lt;=0),"",ABS(I2451-'02_대상물건입력'!B19)/'02_대상물건입력'!B19)</f>
        <v/>
      </c>
      <c r="Z2451" s="172">
        <f>IF(OR(Y2451="",'01_설정'!B31="",'01_설정'!B31&lt;=0,'01_설정'!B32="",'01_설정'!B32&lt;=0),"",MAX(0,(1-Y2451/'01_설정'!B32))*'01_설정'!B31)</f>
        <v/>
      </c>
    </row>
    <row r="2452" ht="17.25" customHeight="1">
      <c r="A2452" s="152">
        <f>IF(INDEX('04A_국토부원자료'!$A:$A,ROW()+1)="","",ROW()-3)</f>
        <v/>
      </c>
      <c r="B2452" s="48">
        <f>IFERROR(INDEX('04A_국토부원자료'!$A:$T,ROW()+1,MATCH("시군구",'04A_국토부원자료'!$A$4:$T$4,0)),"")</f>
        <v/>
      </c>
      <c r="C2452" s="48">
        <f>IF(B2452="","",IFERROR(INDEX('04A_국토부원자료'!$A:$T,ROW()+1,MATCH("번지",'04A_국토부원자료'!$A$4:$T$4,0)),""))</f>
        <v/>
      </c>
      <c r="D2452" s="48">
        <f>IF(B2452="","",IF(Q2452=1,'02_대상물건입력'!$B$8,IFERROR(INDEX('04A_국토부원자료'!$A:$T,ROW()+1,MATCH("단지명",'04A_국토부원자료'!$A$4:$T$4,0)),"")))</f>
        <v/>
      </c>
      <c r="E2452" s="172">
        <f>IFERROR(VALUE(SUBSTITUTE(INDEX('04A_국토부원자료'!$A:$T,ROW()+1,MATCH("전용면적(㎡)",'04A_국토부원자료'!$A$4:$T$4,0)),",","")),"")</f>
        <v/>
      </c>
      <c r="F24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52" s="51">
        <f>IFERROR(VALUE(SUBSTITUTE(INDEX('04A_국토부원자료'!$A:$T,ROW()+1,MATCH("거래금액(만원)",'04A_국토부원자료'!$A$4:$T$4,0)),",","")),"")</f>
        <v/>
      </c>
      <c r="H2452" s="174">
        <f>IF(G2452="","",G2452*10000)</f>
        <v/>
      </c>
      <c r="I2452" s="174">
        <f>IFERROR(IF(AND(H2452&gt;0,E2452&gt;0),H2452/E2452,""),"")</f>
        <v/>
      </c>
      <c r="J2452" s="152">
        <f>IFERROR(VALUE(SUBSTITUTE(INDEX('04A_국토부원자료'!$A:$T,ROW()+1,MATCH("층",'04A_국토부원자료'!$A$4:$T$4,0)),",","")),"")</f>
        <v/>
      </c>
      <c r="K2452" s="152">
        <f>IFERROR(VALUE(SUBSTITUTE(INDEX('04A_국토부원자료'!$A:$T,ROW()+1,MATCH("건축년도",'04A_국토부원자료'!$A$4:$T$4,0)),",","")),"")</f>
        <v/>
      </c>
      <c r="L2452" s="48">
        <f>IFERROR(INDEX('04A_국토부원자료'!$A:$T,ROW()+1,MATCH("도로명",'04A_국토부원자료'!$A$4:$T$4,0)),"")</f>
        <v/>
      </c>
      <c r="M2452" s="48">
        <f>IFERROR(INDEX('04A_국토부원자료'!$A:$T,ROW()+1,MATCH("거래유형",'04A_국토부원자료'!$A$4:$T$4,0)),"")</f>
        <v/>
      </c>
      <c r="N2452" s="152">
        <f>IF(B2452="","",IF('02_대상물건입력'!B5="",1,IF(ISNUMBER(SEARCH('02_대상물건입력'!B5,B2452)),1,0)))</f>
        <v/>
      </c>
      <c r="O2452" s="152">
        <f>IF(B2452="","",IF('02_대상물건입력'!B6="",1,IF(ISNUMBER(SEARCH('02_대상물건입력'!B6,B2452)),1,0)))</f>
        <v/>
      </c>
      <c r="P2452" s="152">
        <f>IF(L2452="","",IF('02_대상물건입력'!B15="",0,IF(ISNUMBER(SEARCH('02_대상물건입력'!B15,L2452)),1,0)))</f>
        <v/>
      </c>
      <c r="Q2452" s="152">
        <f>IF(OR(C2452="",L2452=""),0,IF(AND(TRIM(C2452)=TRIM(RIGHT(SUBSTITUTE(TRIM('02_대상물건입력'!$B$7)," ",REPT(" ",99)),99)),IF('02_대상물건입력'!B15="",TRUE(),ISNUMBER(SEARCH('02_대상물건입력'!B15,L2452)))),1,0))</f>
        <v/>
      </c>
      <c r="R2452" s="175">
        <f>IFERROR(ABS(E2452-'02_대상물건입력'!B11)/'02_대상물건입력'!B11,"")</f>
        <v/>
      </c>
      <c r="S2452" s="152">
        <f>IFERROR(ABS(J2452-'02_대상물건입력'!B10),"")</f>
        <v/>
      </c>
      <c r="T2452" s="152">
        <f>IFERROR(ABS('01_설정'!B4-F2452),"")</f>
        <v/>
      </c>
      <c r="U2452" s="152">
        <f>IFERROR(ABS(K2452-YEAR('02_대상물건입력'!B14)),"")</f>
        <v/>
      </c>
      <c r="V2452" s="152">
        <f>IF(B2452="","",IF(AND(E2452&gt;0,F2452&gt;0,H2452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2452=1,TRUE()),R2452&lt;='01_설정'!B5,S2452&lt;='01_설정'!B6,T2452&lt;='01_설정'!B7,U2452&lt;='01_설정'!B8),"Y",""))</f>
        <v/>
      </c>
      <c r="W2452" s="172">
        <f>IF(V2452&lt;&gt;"Y","",MAX(0,(1-R2452/'01_설정'!B5))*'01_설정'!B14+MAX(0,(1-S2452/'01_설정'!B6))*'01_설정'!B15+MAX(0,(1-T2452/'01_설정'!B7))*'01_설정'!B16+MAX(0,(1-U2452/'01_설정'!B8))*'01_설정'!B17+O2452*'01_설정'!B11+Q2452*'01_설정'!B12+P2452*'01_설정'!B13+IF(Z2452="",0,Z2452))</f>
        <v/>
      </c>
      <c r="X2452" s="152">
        <f>IF(W2452="","",1+COUNTIFS($W$4:$W$3003,"&gt;"&amp;W2452)+COUNTIFS($W$4:W2452,W2452)-1)</f>
        <v/>
      </c>
      <c r="Y2452" s="175">
        <f>IF(OR(I2452="",'02_대상물건입력'!B19="",'02_대상물건입력'!B19&lt;=0),"",ABS(I2452-'02_대상물건입력'!B19)/'02_대상물건입력'!B19)</f>
        <v/>
      </c>
      <c r="Z2452" s="172">
        <f>IF(OR(Y2452="",'01_설정'!B31="",'01_설정'!B31&lt;=0,'01_설정'!B32="",'01_설정'!B32&lt;=0),"",MAX(0,(1-Y2452/'01_설정'!B32))*'01_설정'!B31)</f>
        <v/>
      </c>
    </row>
    <row r="2453" ht="17.25" customHeight="1">
      <c r="A2453" s="152">
        <f>IF(INDEX('04A_국토부원자료'!$A:$A,ROW()+1)="","",ROW()-3)</f>
        <v/>
      </c>
      <c r="B2453" s="48">
        <f>IFERROR(INDEX('04A_국토부원자료'!$A:$T,ROW()+1,MATCH("시군구",'04A_국토부원자료'!$A$4:$T$4,0)),"")</f>
        <v/>
      </c>
      <c r="C2453" s="48">
        <f>IF(B2453="","",IFERROR(INDEX('04A_국토부원자료'!$A:$T,ROW()+1,MATCH("번지",'04A_국토부원자료'!$A$4:$T$4,0)),""))</f>
        <v/>
      </c>
      <c r="D2453" s="48">
        <f>IF(B2453="","",IF(Q2453=1,'02_대상물건입력'!$B$8,IFERROR(INDEX('04A_국토부원자료'!$A:$T,ROW()+1,MATCH("단지명",'04A_국토부원자료'!$A$4:$T$4,0)),"")))</f>
        <v/>
      </c>
      <c r="E2453" s="172">
        <f>IFERROR(VALUE(SUBSTITUTE(INDEX('04A_국토부원자료'!$A:$T,ROW()+1,MATCH("전용면적(㎡)",'04A_국토부원자료'!$A$4:$T$4,0)),",","")),"")</f>
        <v/>
      </c>
      <c r="F24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53" s="51">
        <f>IFERROR(VALUE(SUBSTITUTE(INDEX('04A_국토부원자료'!$A:$T,ROW()+1,MATCH("거래금액(만원)",'04A_국토부원자료'!$A$4:$T$4,0)),",","")),"")</f>
        <v/>
      </c>
      <c r="H2453" s="174">
        <f>IF(G2453="","",G2453*10000)</f>
        <v/>
      </c>
      <c r="I2453" s="174">
        <f>IFERROR(IF(AND(H2453&gt;0,E2453&gt;0),H2453/E2453,""),"")</f>
        <v/>
      </c>
      <c r="J2453" s="152">
        <f>IFERROR(VALUE(SUBSTITUTE(INDEX('04A_국토부원자료'!$A:$T,ROW()+1,MATCH("층",'04A_국토부원자료'!$A$4:$T$4,0)),",","")),"")</f>
        <v/>
      </c>
      <c r="K2453" s="152">
        <f>IFERROR(VALUE(SUBSTITUTE(INDEX('04A_국토부원자료'!$A:$T,ROW()+1,MATCH("건축년도",'04A_국토부원자료'!$A$4:$T$4,0)),",","")),"")</f>
        <v/>
      </c>
      <c r="L2453" s="48">
        <f>IFERROR(INDEX('04A_국토부원자료'!$A:$T,ROW()+1,MATCH("도로명",'04A_국토부원자료'!$A$4:$T$4,0)),"")</f>
        <v/>
      </c>
      <c r="M2453" s="48">
        <f>IFERROR(INDEX('04A_국토부원자료'!$A:$T,ROW()+1,MATCH("거래유형",'04A_국토부원자료'!$A$4:$T$4,0)),"")</f>
        <v/>
      </c>
      <c r="N2453" s="152">
        <f>IF(B2453="","",IF('02_대상물건입력'!B5="",1,IF(ISNUMBER(SEARCH('02_대상물건입력'!B5,B2453)),1,0)))</f>
        <v/>
      </c>
      <c r="O2453" s="152">
        <f>IF(B2453="","",IF('02_대상물건입력'!B6="",1,IF(ISNUMBER(SEARCH('02_대상물건입력'!B6,B2453)),1,0)))</f>
        <v/>
      </c>
      <c r="P2453" s="152">
        <f>IF(L2453="","",IF('02_대상물건입력'!B15="",0,IF(ISNUMBER(SEARCH('02_대상물건입력'!B15,L2453)),1,0)))</f>
        <v/>
      </c>
      <c r="Q2453" s="152">
        <f>IF(OR(C2453="",L2453=""),0,IF(AND(TRIM(C2453)=TRIM(RIGHT(SUBSTITUTE(TRIM('02_대상물건입력'!$B$7)," ",REPT(" ",99)),99)),IF('02_대상물건입력'!B15="",TRUE(),ISNUMBER(SEARCH('02_대상물건입력'!B15,L2453)))),1,0))</f>
        <v/>
      </c>
      <c r="R2453" s="175">
        <f>IFERROR(ABS(E2453-'02_대상물건입력'!B11)/'02_대상물건입력'!B11,"")</f>
        <v/>
      </c>
      <c r="S2453" s="152">
        <f>IFERROR(ABS(J2453-'02_대상물건입력'!B10),"")</f>
        <v/>
      </c>
      <c r="T2453" s="152">
        <f>IFERROR(ABS('01_설정'!B4-F2453),"")</f>
        <v/>
      </c>
      <c r="U2453" s="152">
        <f>IFERROR(ABS(K2453-YEAR('02_대상물건입력'!B14)),"")</f>
        <v/>
      </c>
      <c r="V2453" s="152">
        <f>IF(B2453="","",IF(AND(E2453&gt;0,F2453&gt;0,H2453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2453=1,TRUE()),R2453&lt;='01_설정'!B5,S2453&lt;='01_설정'!B6,T2453&lt;='01_설정'!B7,U2453&lt;='01_설정'!B8),"Y",""))</f>
        <v/>
      </c>
      <c r="W2453" s="172">
        <f>IF(V2453&lt;&gt;"Y","",MAX(0,(1-R2453/'01_설정'!B5))*'01_설정'!B14+MAX(0,(1-S2453/'01_설정'!B6))*'01_설정'!B15+MAX(0,(1-T2453/'01_설정'!B7))*'01_설정'!B16+MAX(0,(1-U2453/'01_설정'!B8))*'01_설정'!B17+O2453*'01_설정'!B11+Q2453*'01_설정'!B12+P2453*'01_설정'!B13+IF(Z2453="",0,Z2453))</f>
        <v/>
      </c>
      <c r="X2453" s="152">
        <f>IF(W2453="","",1+COUNTIFS($W$4:$W$3003,"&gt;"&amp;W2453)+COUNTIFS($W$4:W2453,W2453)-1)</f>
        <v/>
      </c>
      <c r="Y2453" s="175">
        <f>IF(OR(I2453="",'02_대상물건입력'!B19="",'02_대상물건입력'!B19&lt;=0),"",ABS(I2453-'02_대상물건입력'!B19)/'02_대상물건입력'!B19)</f>
        <v/>
      </c>
      <c r="Z2453" s="172">
        <f>IF(OR(Y2453="",'01_설정'!B31="",'01_설정'!B31&lt;=0,'01_설정'!B32="",'01_설정'!B32&lt;=0),"",MAX(0,(1-Y2453/'01_설정'!B32))*'01_설정'!B31)</f>
        <v/>
      </c>
    </row>
    <row r="2454" ht="17.25" customHeight="1">
      <c r="A2454" s="152">
        <f>IF(INDEX('04A_국토부원자료'!$A:$A,ROW()+1)="","",ROW()-3)</f>
        <v/>
      </c>
      <c r="B2454" s="48">
        <f>IFERROR(INDEX('04A_국토부원자료'!$A:$T,ROW()+1,MATCH("시군구",'04A_국토부원자료'!$A$4:$T$4,0)),"")</f>
        <v/>
      </c>
      <c r="C2454" s="48">
        <f>IF(B2454="","",IFERROR(INDEX('04A_국토부원자료'!$A:$T,ROW()+1,MATCH("번지",'04A_국토부원자료'!$A$4:$T$4,0)),""))</f>
        <v/>
      </c>
      <c r="D2454" s="48">
        <f>IF(B2454="","",IF(Q2454=1,'02_대상물건입력'!$B$8,IFERROR(INDEX('04A_국토부원자료'!$A:$T,ROW()+1,MATCH("단지명",'04A_국토부원자료'!$A$4:$T$4,0)),"")))</f>
        <v/>
      </c>
      <c r="E2454" s="172">
        <f>IFERROR(VALUE(SUBSTITUTE(INDEX('04A_국토부원자료'!$A:$T,ROW()+1,MATCH("전용면적(㎡)",'04A_국토부원자료'!$A$4:$T$4,0)),",","")),"")</f>
        <v/>
      </c>
      <c r="F24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54" s="51">
        <f>IFERROR(VALUE(SUBSTITUTE(INDEX('04A_국토부원자료'!$A:$T,ROW()+1,MATCH("거래금액(만원)",'04A_국토부원자료'!$A$4:$T$4,0)),",","")),"")</f>
        <v/>
      </c>
      <c r="H2454" s="174">
        <f>IF(G2454="","",G2454*10000)</f>
        <v/>
      </c>
      <c r="I2454" s="174">
        <f>IFERROR(IF(AND(H2454&gt;0,E2454&gt;0),H2454/E2454,""),"")</f>
        <v/>
      </c>
      <c r="J2454" s="152">
        <f>IFERROR(VALUE(SUBSTITUTE(INDEX('04A_국토부원자료'!$A:$T,ROW()+1,MATCH("층",'04A_국토부원자료'!$A$4:$T$4,0)),",","")),"")</f>
        <v/>
      </c>
      <c r="K2454" s="152">
        <f>IFERROR(VALUE(SUBSTITUTE(INDEX('04A_국토부원자료'!$A:$T,ROW()+1,MATCH("건축년도",'04A_국토부원자료'!$A$4:$T$4,0)),",","")),"")</f>
        <v/>
      </c>
      <c r="L2454" s="48">
        <f>IFERROR(INDEX('04A_국토부원자료'!$A:$T,ROW()+1,MATCH("도로명",'04A_국토부원자료'!$A$4:$T$4,0)),"")</f>
        <v/>
      </c>
      <c r="M2454" s="48">
        <f>IFERROR(INDEX('04A_국토부원자료'!$A:$T,ROW()+1,MATCH("거래유형",'04A_국토부원자료'!$A$4:$T$4,0)),"")</f>
        <v/>
      </c>
      <c r="N2454" s="152">
        <f>IF(B2454="","",IF('02_대상물건입력'!B5="",1,IF(ISNUMBER(SEARCH('02_대상물건입력'!B5,B2454)),1,0)))</f>
        <v/>
      </c>
      <c r="O2454" s="152">
        <f>IF(B2454="","",IF('02_대상물건입력'!B6="",1,IF(ISNUMBER(SEARCH('02_대상물건입력'!B6,B2454)),1,0)))</f>
        <v/>
      </c>
      <c r="P2454" s="152">
        <f>IF(L2454="","",IF('02_대상물건입력'!B15="",0,IF(ISNUMBER(SEARCH('02_대상물건입력'!B15,L2454)),1,0)))</f>
        <v/>
      </c>
      <c r="Q2454" s="152">
        <f>IF(OR(C2454="",L2454=""),0,IF(AND(TRIM(C2454)=TRIM(RIGHT(SUBSTITUTE(TRIM('02_대상물건입력'!$B$7)," ",REPT(" ",99)),99)),IF('02_대상물건입력'!B15="",TRUE(),ISNUMBER(SEARCH('02_대상물건입력'!B15,L2454)))),1,0))</f>
        <v/>
      </c>
      <c r="R2454" s="175">
        <f>IFERROR(ABS(E2454-'02_대상물건입력'!B11)/'02_대상물건입력'!B11,"")</f>
        <v/>
      </c>
      <c r="S2454" s="152">
        <f>IFERROR(ABS(J2454-'02_대상물건입력'!B10),"")</f>
        <v/>
      </c>
      <c r="T2454" s="152">
        <f>IFERROR(ABS('01_설정'!B4-F2454),"")</f>
        <v/>
      </c>
      <c r="U2454" s="152">
        <f>IFERROR(ABS(K2454-YEAR('02_대상물건입력'!B14)),"")</f>
        <v/>
      </c>
      <c r="V2454" s="152">
        <f>IF(B2454="","",IF(AND(E2454&gt;0,F2454&gt;0,H2454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2454=1,TRUE()),R2454&lt;='01_설정'!B5,S2454&lt;='01_설정'!B6,T2454&lt;='01_설정'!B7,U2454&lt;='01_설정'!B8),"Y",""))</f>
        <v/>
      </c>
      <c r="W2454" s="172">
        <f>IF(V2454&lt;&gt;"Y","",MAX(0,(1-R2454/'01_설정'!B5))*'01_설정'!B14+MAX(0,(1-S2454/'01_설정'!B6))*'01_설정'!B15+MAX(0,(1-T2454/'01_설정'!B7))*'01_설정'!B16+MAX(0,(1-U2454/'01_설정'!B8))*'01_설정'!B17+O2454*'01_설정'!B11+Q2454*'01_설정'!B12+P2454*'01_설정'!B13+IF(Z2454="",0,Z2454))</f>
        <v/>
      </c>
      <c r="X2454" s="152">
        <f>IF(W2454="","",1+COUNTIFS($W$4:$W$3003,"&gt;"&amp;W2454)+COUNTIFS($W$4:W2454,W2454)-1)</f>
        <v/>
      </c>
      <c r="Y2454" s="175">
        <f>IF(OR(I2454="",'02_대상물건입력'!B19="",'02_대상물건입력'!B19&lt;=0),"",ABS(I2454-'02_대상물건입력'!B19)/'02_대상물건입력'!B19)</f>
        <v/>
      </c>
      <c r="Z2454" s="172">
        <f>IF(OR(Y2454="",'01_설정'!B31="",'01_설정'!B31&lt;=0,'01_설정'!B32="",'01_설정'!B32&lt;=0),"",MAX(0,(1-Y2454/'01_설정'!B32))*'01_설정'!B31)</f>
        <v/>
      </c>
    </row>
    <row r="2455" ht="17.25" customHeight="1">
      <c r="A2455" s="152">
        <f>IF(INDEX('04A_국토부원자료'!$A:$A,ROW()+1)="","",ROW()-3)</f>
        <v/>
      </c>
      <c r="B2455" s="48">
        <f>IFERROR(INDEX('04A_국토부원자료'!$A:$T,ROW()+1,MATCH("시군구",'04A_국토부원자료'!$A$4:$T$4,0)),"")</f>
        <v/>
      </c>
      <c r="C2455" s="48">
        <f>IF(B2455="","",IFERROR(INDEX('04A_국토부원자료'!$A:$T,ROW()+1,MATCH("번지",'04A_국토부원자료'!$A$4:$T$4,0)),""))</f>
        <v/>
      </c>
      <c r="D2455" s="48">
        <f>IF(B2455="","",IF(Q2455=1,'02_대상물건입력'!$B$8,IFERROR(INDEX('04A_국토부원자료'!$A:$T,ROW()+1,MATCH("단지명",'04A_국토부원자료'!$A$4:$T$4,0)),"")))</f>
        <v/>
      </c>
      <c r="E2455" s="172">
        <f>IFERROR(VALUE(SUBSTITUTE(INDEX('04A_국토부원자료'!$A:$T,ROW()+1,MATCH("전용면적(㎡)",'04A_국토부원자료'!$A$4:$T$4,0)),",","")),"")</f>
        <v/>
      </c>
      <c r="F24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55" s="51">
        <f>IFERROR(VALUE(SUBSTITUTE(INDEX('04A_국토부원자료'!$A:$T,ROW()+1,MATCH("거래금액(만원)",'04A_국토부원자료'!$A$4:$T$4,0)),",","")),"")</f>
        <v/>
      </c>
      <c r="H2455" s="174">
        <f>IF(G2455="","",G2455*10000)</f>
        <v/>
      </c>
      <c r="I2455" s="174">
        <f>IFERROR(IF(AND(H2455&gt;0,E2455&gt;0),H2455/E2455,""),"")</f>
        <v/>
      </c>
      <c r="J2455" s="152">
        <f>IFERROR(VALUE(SUBSTITUTE(INDEX('04A_국토부원자료'!$A:$T,ROW()+1,MATCH("층",'04A_국토부원자료'!$A$4:$T$4,0)),",","")),"")</f>
        <v/>
      </c>
      <c r="K2455" s="152">
        <f>IFERROR(VALUE(SUBSTITUTE(INDEX('04A_국토부원자료'!$A:$T,ROW()+1,MATCH("건축년도",'04A_국토부원자료'!$A$4:$T$4,0)),",","")),"")</f>
        <v/>
      </c>
      <c r="L2455" s="48">
        <f>IFERROR(INDEX('04A_국토부원자료'!$A:$T,ROW()+1,MATCH("도로명",'04A_국토부원자료'!$A$4:$T$4,0)),"")</f>
        <v/>
      </c>
      <c r="M2455" s="48">
        <f>IFERROR(INDEX('04A_국토부원자료'!$A:$T,ROW()+1,MATCH("거래유형",'04A_국토부원자료'!$A$4:$T$4,0)),"")</f>
        <v/>
      </c>
      <c r="N2455" s="152">
        <f>IF(B2455="","",IF('02_대상물건입력'!B5="",1,IF(ISNUMBER(SEARCH('02_대상물건입력'!B5,B2455)),1,0)))</f>
        <v/>
      </c>
      <c r="O2455" s="152">
        <f>IF(B2455="","",IF('02_대상물건입력'!B6="",1,IF(ISNUMBER(SEARCH('02_대상물건입력'!B6,B2455)),1,0)))</f>
        <v/>
      </c>
      <c r="P2455" s="152">
        <f>IF(L2455="","",IF('02_대상물건입력'!B15="",0,IF(ISNUMBER(SEARCH('02_대상물건입력'!B15,L2455)),1,0)))</f>
        <v/>
      </c>
      <c r="Q2455" s="152">
        <f>IF(OR(C2455="",L2455=""),0,IF(AND(TRIM(C2455)=TRIM(RIGHT(SUBSTITUTE(TRIM('02_대상물건입력'!$B$7)," ",REPT(" ",99)),99)),IF('02_대상물건입력'!B15="",TRUE(),ISNUMBER(SEARCH('02_대상물건입력'!B15,L2455)))),1,0))</f>
        <v/>
      </c>
      <c r="R2455" s="175">
        <f>IFERROR(ABS(E2455-'02_대상물건입력'!B11)/'02_대상물건입력'!B11,"")</f>
        <v/>
      </c>
      <c r="S2455" s="152">
        <f>IFERROR(ABS(J2455-'02_대상물건입력'!B10),"")</f>
        <v/>
      </c>
      <c r="T2455" s="152">
        <f>IFERROR(ABS('01_설정'!B4-F2455),"")</f>
        <v/>
      </c>
      <c r="U2455" s="152">
        <f>IFERROR(ABS(K2455-YEAR('02_대상물건입력'!B14)),"")</f>
        <v/>
      </c>
      <c r="V2455" s="152">
        <f>IF(B2455="","",IF(AND(E2455&gt;0,F2455&gt;0,H2455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2455=1,TRUE()),R2455&lt;='01_설정'!B5,S2455&lt;='01_설정'!B6,T2455&lt;='01_설정'!B7,U2455&lt;='01_설정'!B8),"Y",""))</f>
        <v/>
      </c>
      <c r="W2455" s="172">
        <f>IF(V2455&lt;&gt;"Y","",MAX(0,(1-R2455/'01_설정'!B5))*'01_설정'!B14+MAX(0,(1-S2455/'01_설정'!B6))*'01_설정'!B15+MAX(0,(1-T2455/'01_설정'!B7))*'01_설정'!B16+MAX(0,(1-U2455/'01_설정'!B8))*'01_설정'!B17+O2455*'01_설정'!B11+Q2455*'01_설정'!B12+P2455*'01_설정'!B13+IF(Z2455="",0,Z2455))</f>
        <v/>
      </c>
      <c r="X2455" s="152">
        <f>IF(W2455="","",1+COUNTIFS($W$4:$W$3003,"&gt;"&amp;W2455)+COUNTIFS($W$4:W2455,W2455)-1)</f>
        <v/>
      </c>
      <c r="Y2455" s="175">
        <f>IF(OR(I2455="",'02_대상물건입력'!B19="",'02_대상물건입력'!B19&lt;=0),"",ABS(I2455-'02_대상물건입력'!B19)/'02_대상물건입력'!B19)</f>
        <v/>
      </c>
      <c r="Z2455" s="172">
        <f>IF(OR(Y2455="",'01_설정'!B31="",'01_설정'!B31&lt;=0,'01_설정'!B32="",'01_설정'!B32&lt;=0),"",MAX(0,(1-Y2455/'01_설정'!B32))*'01_설정'!B31)</f>
        <v/>
      </c>
    </row>
    <row r="2456" ht="17.25" customHeight="1">
      <c r="A2456" s="152">
        <f>IF(INDEX('04A_국토부원자료'!$A:$A,ROW()+1)="","",ROW()-3)</f>
        <v/>
      </c>
      <c r="B2456" s="48">
        <f>IFERROR(INDEX('04A_국토부원자료'!$A:$T,ROW()+1,MATCH("시군구",'04A_국토부원자료'!$A$4:$T$4,0)),"")</f>
        <v/>
      </c>
      <c r="C2456" s="48">
        <f>IF(B2456="","",IFERROR(INDEX('04A_국토부원자료'!$A:$T,ROW()+1,MATCH("번지",'04A_국토부원자료'!$A$4:$T$4,0)),""))</f>
        <v/>
      </c>
      <c r="D2456" s="48">
        <f>IF(B2456="","",IF(Q2456=1,'02_대상물건입력'!$B$8,IFERROR(INDEX('04A_국토부원자료'!$A:$T,ROW()+1,MATCH("단지명",'04A_국토부원자료'!$A$4:$T$4,0)),"")))</f>
        <v/>
      </c>
      <c r="E2456" s="172">
        <f>IFERROR(VALUE(SUBSTITUTE(INDEX('04A_국토부원자료'!$A:$T,ROW()+1,MATCH("전용면적(㎡)",'04A_국토부원자료'!$A$4:$T$4,0)),",","")),"")</f>
        <v/>
      </c>
      <c r="F24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56" s="51">
        <f>IFERROR(VALUE(SUBSTITUTE(INDEX('04A_국토부원자료'!$A:$T,ROW()+1,MATCH("거래금액(만원)",'04A_국토부원자료'!$A$4:$T$4,0)),",","")),"")</f>
        <v/>
      </c>
      <c r="H2456" s="174">
        <f>IF(G2456="","",G2456*10000)</f>
        <v/>
      </c>
      <c r="I2456" s="174">
        <f>IFERROR(IF(AND(H2456&gt;0,E2456&gt;0),H2456/E2456,""),"")</f>
        <v/>
      </c>
      <c r="J2456" s="152">
        <f>IFERROR(VALUE(SUBSTITUTE(INDEX('04A_국토부원자료'!$A:$T,ROW()+1,MATCH("층",'04A_국토부원자료'!$A$4:$T$4,0)),",","")),"")</f>
        <v/>
      </c>
      <c r="K2456" s="152">
        <f>IFERROR(VALUE(SUBSTITUTE(INDEX('04A_국토부원자료'!$A:$T,ROW()+1,MATCH("건축년도",'04A_국토부원자료'!$A$4:$T$4,0)),",","")),"")</f>
        <v/>
      </c>
      <c r="L2456" s="48">
        <f>IFERROR(INDEX('04A_국토부원자료'!$A:$T,ROW()+1,MATCH("도로명",'04A_국토부원자료'!$A$4:$T$4,0)),"")</f>
        <v/>
      </c>
      <c r="M2456" s="48">
        <f>IFERROR(INDEX('04A_국토부원자료'!$A:$T,ROW()+1,MATCH("거래유형",'04A_국토부원자료'!$A$4:$T$4,0)),"")</f>
        <v/>
      </c>
      <c r="N2456" s="152">
        <f>IF(B2456="","",IF('02_대상물건입력'!B5="",1,IF(ISNUMBER(SEARCH('02_대상물건입력'!B5,B2456)),1,0)))</f>
        <v/>
      </c>
      <c r="O2456" s="152">
        <f>IF(B2456="","",IF('02_대상물건입력'!B6="",1,IF(ISNUMBER(SEARCH('02_대상물건입력'!B6,B2456)),1,0)))</f>
        <v/>
      </c>
      <c r="P2456" s="152">
        <f>IF(L2456="","",IF('02_대상물건입력'!B15="",0,IF(ISNUMBER(SEARCH('02_대상물건입력'!B15,L2456)),1,0)))</f>
        <v/>
      </c>
      <c r="Q2456" s="152">
        <f>IF(OR(C2456="",L2456=""),0,IF(AND(TRIM(C2456)=TRIM(RIGHT(SUBSTITUTE(TRIM('02_대상물건입력'!$B$7)," ",REPT(" ",99)),99)),IF('02_대상물건입력'!B15="",TRUE(),ISNUMBER(SEARCH('02_대상물건입력'!B15,L2456)))),1,0))</f>
        <v/>
      </c>
      <c r="R2456" s="175">
        <f>IFERROR(ABS(E2456-'02_대상물건입력'!B11)/'02_대상물건입력'!B11,"")</f>
        <v/>
      </c>
      <c r="S2456" s="152">
        <f>IFERROR(ABS(J2456-'02_대상물건입력'!B10),"")</f>
        <v/>
      </c>
      <c r="T2456" s="152">
        <f>IFERROR(ABS('01_설정'!B4-F2456),"")</f>
        <v/>
      </c>
      <c r="U2456" s="152">
        <f>IFERROR(ABS(K2456-YEAR('02_대상물건입력'!B14)),"")</f>
        <v/>
      </c>
      <c r="V2456" s="152">
        <f>IF(B2456="","",IF(AND(E2456&gt;0,F2456&gt;0,H2456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2456=1,TRUE()),R2456&lt;='01_설정'!B5,S2456&lt;='01_설정'!B6,T2456&lt;='01_설정'!B7,U2456&lt;='01_설정'!B8),"Y",""))</f>
        <v/>
      </c>
      <c r="W2456" s="172">
        <f>IF(V2456&lt;&gt;"Y","",MAX(0,(1-R2456/'01_설정'!B5))*'01_설정'!B14+MAX(0,(1-S2456/'01_설정'!B6))*'01_설정'!B15+MAX(0,(1-T2456/'01_설정'!B7))*'01_설정'!B16+MAX(0,(1-U2456/'01_설정'!B8))*'01_설정'!B17+O2456*'01_설정'!B11+Q2456*'01_설정'!B12+P2456*'01_설정'!B13+IF(Z2456="",0,Z2456))</f>
        <v/>
      </c>
      <c r="X2456" s="152">
        <f>IF(W2456="","",1+COUNTIFS($W$4:$W$3003,"&gt;"&amp;W2456)+COUNTIFS($W$4:W2456,W2456)-1)</f>
        <v/>
      </c>
      <c r="Y2456" s="175">
        <f>IF(OR(I2456="",'02_대상물건입력'!B19="",'02_대상물건입력'!B19&lt;=0),"",ABS(I2456-'02_대상물건입력'!B19)/'02_대상물건입력'!B19)</f>
        <v/>
      </c>
      <c r="Z2456" s="172">
        <f>IF(OR(Y2456="",'01_설정'!B31="",'01_설정'!B31&lt;=0,'01_설정'!B32="",'01_설정'!B32&lt;=0),"",MAX(0,(1-Y2456/'01_설정'!B32))*'01_설정'!B31)</f>
        <v/>
      </c>
    </row>
    <row r="2457" ht="17.25" customHeight="1">
      <c r="A2457" s="152">
        <f>IF(INDEX('04A_국토부원자료'!$A:$A,ROW()+1)="","",ROW()-3)</f>
        <v/>
      </c>
      <c r="B2457" s="48">
        <f>IFERROR(INDEX('04A_국토부원자료'!$A:$T,ROW()+1,MATCH("시군구",'04A_국토부원자료'!$A$4:$T$4,0)),"")</f>
        <v/>
      </c>
      <c r="C2457" s="48">
        <f>IF(B2457="","",IFERROR(INDEX('04A_국토부원자료'!$A:$T,ROW()+1,MATCH("번지",'04A_국토부원자료'!$A$4:$T$4,0)),""))</f>
        <v/>
      </c>
      <c r="D2457" s="48">
        <f>IF(B2457="","",IF(Q2457=1,'02_대상물건입력'!$B$8,IFERROR(INDEX('04A_국토부원자료'!$A:$T,ROW()+1,MATCH("단지명",'04A_국토부원자료'!$A$4:$T$4,0)),"")))</f>
        <v/>
      </c>
      <c r="E2457" s="172">
        <f>IFERROR(VALUE(SUBSTITUTE(INDEX('04A_국토부원자료'!$A:$T,ROW()+1,MATCH("전용면적(㎡)",'04A_국토부원자료'!$A$4:$T$4,0)),",","")),"")</f>
        <v/>
      </c>
      <c r="F24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57" s="51">
        <f>IFERROR(VALUE(SUBSTITUTE(INDEX('04A_국토부원자료'!$A:$T,ROW()+1,MATCH("거래금액(만원)",'04A_국토부원자료'!$A$4:$T$4,0)),",","")),"")</f>
        <v/>
      </c>
      <c r="H2457" s="174">
        <f>IF(G2457="","",G2457*10000)</f>
        <v/>
      </c>
      <c r="I2457" s="174">
        <f>IFERROR(IF(AND(H2457&gt;0,E2457&gt;0),H2457/E2457,""),"")</f>
        <v/>
      </c>
      <c r="J2457" s="152">
        <f>IFERROR(VALUE(SUBSTITUTE(INDEX('04A_국토부원자료'!$A:$T,ROW()+1,MATCH("층",'04A_국토부원자료'!$A$4:$T$4,0)),",","")),"")</f>
        <v/>
      </c>
      <c r="K2457" s="152">
        <f>IFERROR(VALUE(SUBSTITUTE(INDEX('04A_국토부원자료'!$A:$T,ROW()+1,MATCH("건축년도",'04A_국토부원자료'!$A$4:$T$4,0)),",","")),"")</f>
        <v/>
      </c>
      <c r="L2457" s="48">
        <f>IFERROR(INDEX('04A_국토부원자료'!$A:$T,ROW()+1,MATCH("도로명",'04A_국토부원자료'!$A$4:$T$4,0)),"")</f>
        <v/>
      </c>
      <c r="M2457" s="48">
        <f>IFERROR(INDEX('04A_국토부원자료'!$A:$T,ROW()+1,MATCH("거래유형",'04A_국토부원자료'!$A$4:$T$4,0)),"")</f>
        <v/>
      </c>
      <c r="N2457" s="152">
        <f>IF(B2457="","",IF('02_대상물건입력'!B5="",1,IF(ISNUMBER(SEARCH('02_대상물건입력'!B5,B2457)),1,0)))</f>
        <v/>
      </c>
      <c r="O2457" s="152">
        <f>IF(B2457="","",IF('02_대상물건입력'!B6="",1,IF(ISNUMBER(SEARCH('02_대상물건입력'!B6,B2457)),1,0)))</f>
        <v/>
      </c>
      <c r="P2457" s="152">
        <f>IF(L2457="","",IF('02_대상물건입력'!B15="",0,IF(ISNUMBER(SEARCH('02_대상물건입력'!B15,L2457)),1,0)))</f>
        <v/>
      </c>
      <c r="Q2457" s="152">
        <f>IF(OR(C2457="",L2457=""),0,IF(AND(TRIM(C2457)=TRIM(RIGHT(SUBSTITUTE(TRIM('02_대상물건입력'!$B$7)," ",REPT(" ",99)),99)),IF('02_대상물건입력'!B15="",TRUE(),ISNUMBER(SEARCH('02_대상물건입력'!B15,L2457)))),1,0))</f>
        <v/>
      </c>
      <c r="R2457" s="175">
        <f>IFERROR(ABS(E2457-'02_대상물건입력'!B11)/'02_대상물건입력'!B11,"")</f>
        <v/>
      </c>
      <c r="S2457" s="152">
        <f>IFERROR(ABS(J2457-'02_대상물건입력'!B10),"")</f>
        <v/>
      </c>
      <c r="T2457" s="152">
        <f>IFERROR(ABS('01_설정'!B4-F2457),"")</f>
        <v/>
      </c>
      <c r="U2457" s="152">
        <f>IFERROR(ABS(K2457-YEAR('02_대상물건입력'!B14)),"")</f>
        <v/>
      </c>
      <c r="V2457" s="152">
        <f>IF(B2457="","",IF(AND(E2457&gt;0,F2457&gt;0,H2457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2457=1,TRUE()),R2457&lt;='01_설정'!B5,S2457&lt;='01_설정'!B6,T2457&lt;='01_설정'!B7,U2457&lt;='01_설정'!B8),"Y",""))</f>
        <v/>
      </c>
      <c r="W2457" s="172">
        <f>IF(V2457&lt;&gt;"Y","",MAX(0,(1-R2457/'01_설정'!B5))*'01_설정'!B14+MAX(0,(1-S2457/'01_설정'!B6))*'01_설정'!B15+MAX(0,(1-T2457/'01_설정'!B7))*'01_설정'!B16+MAX(0,(1-U2457/'01_설정'!B8))*'01_설정'!B17+O2457*'01_설정'!B11+Q2457*'01_설정'!B12+P2457*'01_설정'!B13+IF(Z2457="",0,Z2457))</f>
        <v/>
      </c>
      <c r="X2457" s="152">
        <f>IF(W2457="","",1+COUNTIFS($W$4:$W$3003,"&gt;"&amp;W2457)+COUNTIFS($W$4:W2457,W2457)-1)</f>
        <v/>
      </c>
      <c r="Y2457" s="175">
        <f>IF(OR(I2457="",'02_대상물건입력'!B19="",'02_대상물건입력'!B19&lt;=0),"",ABS(I2457-'02_대상물건입력'!B19)/'02_대상물건입력'!B19)</f>
        <v/>
      </c>
      <c r="Z2457" s="172">
        <f>IF(OR(Y2457="",'01_설정'!B31="",'01_설정'!B31&lt;=0,'01_설정'!B32="",'01_설정'!B32&lt;=0),"",MAX(0,(1-Y2457/'01_설정'!B32))*'01_설정'!B31)</f>
        <v/>
      </c>
    </row>
    <row r="2458" ht="17.25" customHeight="1">
      <c r="A2458" s="152">
        <f>IF(INDEX('04A_국토부원자료'!$A:$A,ROW()+1)="","",ROW()-3)</f>
        <v/>
      </c>
      <c r="B2458" s="48">
        <f>IFERROR(INDEX('04A_국토부원자료'!$A:$T,ROW()+1,MATCH("시군구",'04A_국토부원자료'!$A$4:$T$4,0)),"")</f>
        <v/>
      </c>
      <c r="C2458" s="48">
        <f>IF(B2458="","",IFERROR(INDEX('04A_국토부원자료'!$A:$T,ROW()+1,MATCH("번지",'04A_국토부원자료'!$A$4:$T$4,0)),""))</f>
        <v/>
      </c>
      <c r="D2458" s="48">
        <f>IF(B2458="","",IF(Q2458=1,'02_대상물건입력'!$B$8,IFERROR(INDEX('04A_국토부원자료'!$A:$T,ROW()+1,MATCH("단지명",'04A_국토부원자료'!$A$4:$T$4,0)),"")))</f>
        <v/>
      </c>
      <c r="E2458" s="172">
        <f>IFERROR(VALUE(SUBSTITUTE(INDEX('04A_국토부원자료'!$A:$T,ROW()+1,MATCH("전용면적(㎡)",'04A_국토부원자료'!$A$4:$T$4,0)),",","")),"")</f>
        <v/>
      </c>
      <c r="F24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58" s="51">
        <f>IFERROR(VALUE(SUBSTITUTE(INDEX('04A_국토부원자료'!$A:$T,ROW()+1,MATCH("거래금액(만원)",'04A_국토부원자료'!$A$4:$T$4,0)),",","")),"")</f>
        <v/>
      </c>
      <c r="H2458" s="174">
        <f>IF(G2458="","",G2458*10000)</f>
        <v/>
      </c>
      <c r="I2458" s="174">
        <f>IFERROR(IF(AND(H2458&gt;0,E2458&gt;0),H2458/E2458,""),"")</f>
        <v/>
      </c>
      <c r="J2458" s="152">
        <f>IFERROR(VALUE(SUBSTITUTE(INDEX('04A_국토부원자료'!$A:$T,ROW()+1,MATCH("층",'04A_국토부원자료'!$A$4:$T$4,0)),",","")),"")</f>
        <v/>
      </c>
      <c r="K2458" s="152">
        <f>IFERROR(VALUE(SUBSTITUTE(INDEX('04A_국토부원자료'!$A:$T,ROW()+1,MATCH("건축년도",'04A_국토부원자료'!$A$4:$T$4,0)),",","")),"")</f>
        <v/>
      </c>
      <c r="L2458" s="48">
        <f>IFERROR(INDEX('04A_국토부원자료'!$A:$T,ROW()+1,MATCH("도로명",'04A_국토부원자료'!$A$4:$T$4,0)),"")</f>
        <v/>
      </c>
      <c r="M2458" s="48">
        <f>IFERROR(INDEX('04A_국토부원자료'!$A:$T,ROW()+1,MATCH("거래유형",'04A_국토부원자료'!$A$4:$T$4,0)),"")</f>
        <v/>
      </c>
      <c r="N2458" s="152">
        <f>IF(B2458="","",IF('02_대상물건입력'!B5="",1,IF(ISNUMBER(SEARCH('02_대상물건입력'!B5,B2458)),1,0)))</f>
        <v/>
      </c>
      <c r="O2458" s="152">
        <f>IF(B2458="","",IF('02_대상물건입력'!B6="",1,IF(ISNUMBER(SEARCH('02_대상물건입력'!B6,B2458)),1,0)))</f>
        <v/>
      </c>
      <c r="P2458" s="152">
        <f>IF(L2458="","",IF('02_대상물건입력'!B15="",0,IF(ISNUMBER(SEARCH('02_대상물건입력'!B15,L2458)),1,0)))</f>
        <v/>
      </c>
      <c r="Q2458" s="152">
        <f>IF(OR(C2458="",L2458=""),0,IF(AND(TRIM(C2458)=TRIM(RIGHT(SUBSTITUTE(TRIM('02_대상물건입력'!$B$7)," ",REPT(" ",99)),99)),IF('02_대상물건입력'!B15="",TRUE(),ISNUMBER(SEARCH('02_대상물건입력'!B15,L2458)))),1,0))</f>
        <v/>
      </c>
      <c r="R2458" s="175">
        <f>IFERROR(ABS(E2458-'02_대상물건입력'!B11)/'02_대상물건입력'!B11,"")</f>
        <v/>
      </c>
      <c r="S2458" s="152">
        <f>IFERROR(ABS(J2458-'02_대상물건입력'!B10),"")</f>
        <v/>
      </c>
      <c r="T2458" s="152">
        <f>IFERROR(ABS('01_설정'!B4-F2458),"")</f>
        <v/>
      </c>
      <c r="U2458" s="152">
        <f>IFERROR(ABS(K2458-YEAR('02_대상물건입력'!B14)),"")</f>
        <v/>
      </c>
      <c r="V2458" s="152">
        <f>IF(B2458="","",IF(AND(E2458&gt;0,F2458&gt;0,H2458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2458=1,TRUE()),R2458&lt;='01_설정'!B5,S2458&lt;='01_설정'!B6,T2458&lt;='01_설정'!B7,U2458&lt;='01_설정'!B8),"Y",""))</f>
        <v/>
      </c>
      <c r="W2458" s="172">
        <f>IF(V2458&lt;&gt;"Y","",MAX(0,(1-R2458/'01_설정'!B5))*'01_설정'!B14+MAX(0,(1-S2458/'01_설정'!B6))*'01_설정'!B15+MAX(0,(1-T2458/'01_설정'!B7))*'01_설정'!B16+MAX(0,(1-U2458/'01_설정'!B8))*'01_설정'!B17+O2458*'01_설정'!B11+Q2458*'01_설정'!B12+P2458*'01_설정'!B13+IF(Z2458="",0,Z2458))</f>
        <v/>
      </c>
      <c r="X2458" s="152">
        <f>IF(W2458="","",1+COUNTIFS($W$4:$W$3003,"&gt;"&amp;W2458)+COUNTIFS($W$4:W2458,W2458)-1)</f>
        <v/>
      </c>
      <c r="Y2458" s="175">
        <f>IF(OR(I2458="",'02_대상물건입력'!B19="",'02_대상물건입력'!B19&lt;=0),"",ABS(I2458-'02_대상물건입력'!B19)/'02_대상물건입력'!B19)</f>
        <v/>
      </c>
      <c r="Z2458" s="172">
        <f>IF(OR(Y2458="",'01_설정'!B31="",'01_설정'!B31&lt;=0,'01_설정'!B32="",'01_설정'!B32&lt;=0),"",MAX(0,(1-Y2458/'01_설정'!B32))*'01_설정'!B31)</f>
        <v/>
      </c>
    </row>
    <row r="2459" ht="17.25" customHeight="1">
      <c r="A2459" s="152">
        <f>IF(INDEX('04A_국토부원자료'!$A:$A,ROW()+1)="","",ROW()-3)</f>
        <v/>
      </c>
      <c r="B2459" s="48">
        <f>IFERROR(INDEX('04A_국토부원자료'!$A:$T,ROW()+1,MATCH("시군구",'04A_국토부원자료'!$A$4:$T$4,0)),"")</f>
        <v/>
      </c>
      <c r="C2459" s="48">
        <f>IF(B2459="","",IFERROR(INDEX('04A_국토부원자료'!$A:$T,ROW()+1,MATCH("번지",'04A_국토부원자료'!$A$4:$T$4,0)),""))</f>
        <v/>
      </c>
      <c r="D2459" s="48">
        <f>IF(B2459="","",IF(Q2459=1,'02_대상물건입력'!$B$8,IFERROR(INDEX('04A_국토부원자료'!$A:$T,ROW()+1,MATCH("단지명",'04A_국토부원자료'!$A$4:$T$4,0)),"")))</f>
        <v/>
      </c>
      <c r="E2459" s="172">
        <f>IFERROR(VALUE(SUBSTITUTE(INDEX('04A_국토부원자료'!$A:$T,ROW()+1,MATCH("전용면적(㎡)",'04A_국토부원자료'!$A$4:$T$4,0)),",","")),"")</f>
        <v/>
      </c>
      <c r="F24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59" s="51">
        <f>IFERROR(VALUE(SUBSTITUTE(INDEX('04A_국토부원자료'!$A:$T,ROW()+1,MATCH("거래금액(만원)",'04A_국토부원자료'!$A$4:$T$4,0)),",","")),"")</f>
        <v/>
      </c>
      <c r="H2459" s="174">
        <f>IF(G2459="","",G2459*10000)</f>
        <v/>
      </c>
      <c r="I2459" s="174">
        <f>IFERROR(IF(AND(H2459&gt;0,E2459&gt;0),H2459/E2459,""),"")</f>
        <v/>
      </c>
      <c r="J2459" s="152">
        <f>IFERROR(VALUE(SUBSTITUTE(INDEX('04A_국토부원자료'!$A:$T,ROW()+1,MATCH("층",'04A_국토부원자료'!$A$4:$T$4,0)),",","")),"")</f>
        <v/>
      </c>
      <c r="K2459" s="152">
        <f>IFERROR(VALUE(SUBSTITUTE(INDEX('04A_국토부원자료'!$A:$T,ROW()+1,MATCH("건축년도",'04A_국토부원자료'!$A$4:$T$4,0)),",","")),"")</f>
        <v/>
      </c>
      <c r="L2459" s="48">
        <f>IFERROR(INDEX('04A_국토부원자료'!$A:$T,ROW()+1,MATCH("도로명",'04A_국토부원자료'!$A$4:$T$4,0)),"")</f>
        <v/>
      </c>
      <c r="M2459" s="48">
        <f>IFERROR(INDEX('04A_국토부원자료'!$A:$T,ROW()+1,MATCH("거래유형",'04A_국토부원자료'!$A$4:$T$4,0)),"")</f>
        <v/>
      </c>
      <c r="N2459" s="152">
        <f>IF(B2459="","",IF('02_대상물건입력'!B5="",1,IF(ISNUMBER(SEARCH('02_대상물건입력'!B5,B2459)),1,0)))</f>
        <v/>
      </c>
      <c r="O2459" s="152">
        <f>IF(B2459="","",IF('02_대상물건입력'!B6="",1,IF(ISNUMBER(SEARCH('02_대상물건입력'!B6,B2459)),1,0)))</f>
        <v/>
      </c>
      <c r="P2459" s="152">
        <f>IF(L2459="","",IF('02_대상물건입력'!B15="",0,IF(ISNUMBER(SEARCH('02_대상물건입력'!B15,L2459)),1,0)))</f>
        <v/>
      </c>
      <c r="Q2459" s="152">
        <f>IF(OR(C2459="",L2459=""),0,IF(AND(TRIM(C2459)=TRIM(RIGHT(SUBSTITUTE(TRIM('02_대상물건입력'!$B$7)," ",REPT(" ",99)),99)),IF('02_대상물건입력'!B15="",TRUE(),ISNUMBER(SEARCH('02_대상물건입력'!B15,L2459)))),1,0))</f>
        <v/>
      </c>
      <c r="R2459" s="175">
        <f>IFERROR(ABS(E2459-'02_대상물건입력'!B11)/'02_대상물건입력'!B11,"")</f>
        <v/>
      </c>
      <c r="S2459" s="152">
        <f>IFERROR(ABS(J2459-'02_대상물건입력'!B10),"")</f>
        <v/>
      </c>
      <c r="T2459" s="152">
        <f>IFERROR(ABS('01_설정'!B4-F2459),"")</f>
        <v/>
      </c>
      <c r="U2459" s="152">
        <f>IFERROR(ABS(K2459-YEAR('02_대상물건입력'!B14)),"")</f>
        <v/>
      </c>
      <c r="V2459" s="152">
        <f>IF(B2459="","",IF(AND(E2459&gt;0,F2459&gt;0,H2459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2459=1,TRUE()),R2459&lt;='01_설정'!B5,S2459&lt;='01_설정'!B6,T2459&lt;='01_설정'!B7,U2459&lt;='01_설정'!B8),"Y",""))</f>
        <v/>
      </c>
      <c r="W2459" s="172">
        <f>IF(V2459&lt;&gt;"Y","",MAX(0,(1-R2459/'01_설정'!B5))*'01_설정'!B14+MAX(0,(1-S2459/'01_설정'!B6))*'01_설정'!B15+MAX(0,(1-T2459/'01_설정'!B7))*'01_설정'!B16+MAX(0,(1-U2459/'01_설정'!B8))*'01_설정'!B17+O2459*'01_설정'!B11+Q2459*'01_설정'!B12+P2459*'01_설정'!B13+IF(Z2459="",0,Z2459))</f>
        <v/>
      </c>
      <c r="X2459" s="152">
        <f>IF(W2459="","",1+COUNTIFS($W$4:$W$3003,"&gt;"&amp;W2459)+COUNTIFS($W$4:W2459,W2459)-1)</f>
        <v/>
      </c>
      <c r="Y2459" s="175">
        <f>IF(OR(I2459="",'02_대상물건입력'!B19="",'02_대상물건입력'!B19&lt;=0),"",ABS(I2459-'02_대상물건입력'!B19)/'02_대상물건입력'!B19)</f>
        <v/>
      </c>
      <c r="Z2459" s="172">
        <f>IF(OR(Y2459="",'01_설정'!B31="",'01_설정'!B31&lt;=0,'01_설정'!B32="",'01_설정'!B32&lt;=0),"",MAX(0,(1-Y2459/'01_설정'!B32))*'01_설정'!B31)</f>
        <v/>
      </c>
    </row>
    <row r="2460" ht="17.25" customHeight="1">
      <c r="A2460" s="152">
        <f>IF(INDEX('04A_국토부원자료'!$A:$A,ROW()+1)="","",ROW()-3)</f>
        <v/>
      </c>
      <c r="B2460" s="48">
        <f>IFERROR(INDEX('04A_국토부원자료'!$A:$T,ROW()+1,MATCH("시군구",'04A_국토부원자료'!$A$4:$T$4,0)),"")</f>
        <v/>
      </c>
      <c r="C2460" s="48">
        <f>IF(B2460="","",IFERROR(INDEX('04A_국토부원자료'!$A:$T,ROW()+1,MATCH("번지",'04A_국토부원자료'!$A$4:$T$4,0)),""))</f>
        <v/>
      </c>
      <c r="D2460" s="48">
        <f>IF(B2460="","",IF(Q2460=1,'02_대상물건입력'!$B$8,IFERROR(INDEX('04A_국토부원자료'!$A:$T,ROW()+1,MATCH("단지명",'04A_국토부원자료'!$A$4:$T$4,0)),"")))</f>
        <v/>
      </c>
      <c r="E2460" s="172">
        <f>IFERROR(VALUE(SUBSTITUTE(INDEX('04A_국토부원자료'!$A:$T,ROW()+1,MATCH("전용면적(㎡)",'04A_국토부원자료'!$A$4:$T$4,0)),",","")),"")</f>
        <v/>
      </c>
      <c r="F24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60" s="51">
        <f>IFERROR(VALUE(SUBSTITUTE(INDEX('04A_국토부원자료'!$A:$T,ROW()+1,MATCH("거래금액(만원)",'04A_국토부원자료'!$A$4:$T$4,0)),",","")),"")</f>
        <v/>
      </c>
      <c r="H2460" s="174">
        <f>IF(G2460="","",G2460*10000)</f>
        <v/>
      </c>
      <c r="I2460" s="174">
        <f>IFERROR(IF(AND(H2460&gt;0,E2460&gt;0),H2460/E2460,""),"")</f>
        <v/>
      </c>
      <c r="J2460" s="152">
        <f>IFERROR(VALUE(SUBSTITUTE(INDEX('04A_국토부원자료'!$A:$T,ROW()+1,MATCH("층",'04A_국토부원자료'!$A$4:$T$4,0)),",","")),"")</f>
        <v/>
      </c>
      <c r="K2460" s="152">
        <f>IFERROR(VALUE(SUBSTITUTE(INDEX('04A_국토부원자료'!$A:$T,ROW()+1,MATCH("건축년도",'04A_국토부원자료'!$A$4:$T$4,0)),",","")),"")</f>
        <v/>
      </c>
      <c r="L2460" s="48">
        <f>IFERROR(INDEX('04A_국토부원자료'!$A:$T,ROW()+1,MATCH("도로명",'04A_국토부원자료'!$A$4:$T$4,0)),"")</f>
        <v/>
      </c>
      <c r="M2460" s="48">
        <f>IFERROR(INDEX('04A_국토부원자료'!$A:$T,ROW()+1,MATCH("거래유형",'04A_국토부원자료'!$A$4:$T$4,0)),"")</f>
        <v/>
      </c>
      <c r="N2460" s="152">
        <f>IF(B2460="","",IF('02_대상물건입력'!B5="",1,IF(ISNUMBER(SEARCH('02_대상물건입력'!B5,B2460)),1,0)))</f>
        <v/>
      </c>
      <c r="O2460" s="152">
        <f>IF(B2460="","",IF('02_대상물건입력'!B6="",1,IF(ISNUMBER(SEARCH('02_대상물건입력'!B6,B2460)),1,0)))</f>
        <v/>
      </c>
      <c r="P2460" s="152">
        <f>IF(L2460="","",IF('02_대상물건입력'!B15="",0,IF(ISNUMBER(SEARCH('02_대상물건입력'!B15,L2460)),1,0)))</f>
        <v/>
      </c>
      <c r="Q2460" s="152">
        <f>IF(OR(C2460="",L2460=""),0,IF(AND(TRIM(C2460)=TRIM(RIGHT(SUBSTITUTE(TRIM('02_대상물건입력'!$B$7)," ",REPT(" ",99)),99)),IF('02_대상물건입력'!B15="",TRUE(),ISNUMBER(SEARCH('02_대상물건입력'!B15,L2460)))),1,0))</f>
        <v/>
      </c>
      <c r="R2460" s="175">
        <f>IFERROR(ABS(E2460-'02_대상물건입력'!B11)/'02_대상물건입력'!B11,"")</f>
        <v/>
      </c>
      <c r="S2460" s="152">
        <f>IFERROR(ABS(J2460-'02_대상물건입력'!B10),"")</f>
        <v/>
      </c>
      <c r="T2460" s="152">
        <f>IFERROR(ABS('01_설정'!B4-F2460),"")</f>
        <v/>
      </c>
      <c r="U2460" s="152">
        <f>IFERROR(ABS(K2460-YEAR('02_대상물건입력'!B14)),"")</f>
        <v/>
      </c>
      <c r="V2460" s="152">
        <f>IF(B2460="","",IF(AND(E2460&gt;0,F2460&gt;0,H2460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2460=1,TRUE()),R2460&lt;='01_설정'!B5,S2460&lt;='01_설정'!B6,T2460&lt;='01_설정'!B7,U2460&lt;='01_설정'!B8),"Y",""))</f>
        <v/>
      </c>
      <c r="W2460" s="172">
        <f>IF(V2460&lt;&gt;"Y","",MAX(0,(1-R2460/'01_설정'!B5))*'01_설정'!B14+MAX(0,(1-S2460/'01_설정'!B6))*'01_설정'!B15+MAX(0,(1-T2460/'01_설정'!B7))*'01_설정'!B16+MAX(0,(1-U2460/'01_설정'!B8))*'01_설정'!B17+O2460*'01_설정'!B11+Q2460*'01_설정'!B12+P2460*'01_설정'!B13+IF(Z2460="",0,Z2460))</f>
        <v/>
      </c>
      <c r="X2460" s="152">
        <f>IF(W2460="","",1+COUNTIFS($W$4:$W$3003,"&gt;"&amp;W2460)+COUNTIFS($W$4:W2460,W2460)-1)</f>
        <v/>
      </c>
      <c r="Y2460" s="175">
        <f>IF(OR(I2460="",'02_대상물건입력'!B19="",'02_대상물건입력'!B19&lt;=0),"",ABS(I2460-'02_대상물건입력'!B19)/'02_대상물건입력'!B19)</f>
        <v/>
      </c>
      <c r="Z2460" s="172">
        <f>IF(OR(Y2460="",'01_설정'!B31="",'01_설정'!B31&lt;=0,'01_설정'!B32="",'01_설정'!B32&lt;=0),"",MAX(0,(1-Y2460/'01_설정'!B32))*'01_설정'!B31)</f>
        <v/>
      </c>
    </row>
    <row r="2461" ht="17.25" customHeight="1">
      <c r="A2461" s="152">
        <f>IF(INDEX('04A_국토부원자료'!$A:$A,ROW()+1)="","",ROW()-3)</f>
        <v/>
      </c>
      <c r="B2461" s="48">
        <f>IFERROR(INDEX('04A_국토부원자료'!$A:$T,ROW()+1,MATCH("시군구",'04A_국토부원자료'!$A$4:$T$4,0)),"")</f>
        <v/>
      </c>
      <c r="C2461" s="48">
        <f>IF(B2461="","",IFERROR(INDEX('04A_국토부원자료'!$A:$T,ROW()+1,MATCH("번지",'04A_국토부원자료'!$A$4:$T$4,0)),""))</f>
        <v/>
      </c>
      <c r="D2461" s="48">
        <f>IF(B2461="","",IF(Q2461=1,'02_대상물건입력'!$B$8,IFERROR(INDEX('04A_국토부원자료'!$A:$T,ROW()+1,MATCH("단지명",'04A_국토부원자료'!$A$4:$T$4,0)),"")))</f>
        <v/>
      </c>
      <c r="E2461" s="172">
        <f>IFERROR(VALUE(SUBSTITUTE(INDEX('04A_국토부원자료'!$A:$T,ROW()+1,MATCH("전용면적(㎡)",'04A_국토부원자료'!$A$4:$T$4,0)),",","")),"")</f>
        <v/>
      </c>
      <c r="F24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61" s="51">
        <f>IFERROR(VALUE(SUBSTITUTE(INDEX('04A_국토부원자료'!$A:$T,ROW()+1,MATCH("거래금액(만원)",'04A_국토부원자료'!$A$4:$T$4,0)),",","")),"")</f>
        <v/>
      </c>
      <c r="H2461" s="174">
        <f>IF(G2461="","",G2461*10000)</f>
        <v/>
      </c>
      <c r="I2461" s="174">
        <f>IFERROR(IF(AND(H2461&gt;0,E2461&gt;0),H2461/E2461,""),"")</f>
        <v/>
      </c>
      <c r="J2461" s="152">
        <f>IFERROR(VALUE(SUBSTITUTE(INDEX('04A_국토부원자료'!$A:$T,ROW()+1,MATCH("층",'04A_국토부원자료'!$A$4:$T$4,0)),",","")),"")</f>
        <v/>
      </c>
      <c r="K2461" s="152">
        <f>IFERROR(VALUE(SUBSTITUTE(INDEX('04A_국토부원자료'!$A:$T,ROW()+1,MATCH("건축년도",'04A_국토부원자료'!$A$4:$T$4,0)),",","")),"")</f>
        <v/>
      </c>
      <c r="L2461" s="48">
        <f>IFERROR(INDEX('04A_국토부원자료'!$A:$T,ROW()+1,MATCH("도로명",'04A_국토부원자료'!$A$4:$T$4,0)),"")</f>
        <v/>
      </c>
      <c r="M2461" s="48">
        <f>IFERROR(INDEX('04A_국토부원자료'!$A:$T,ROW()+1,MATCH("거래유형",'04A_국토부원자료'!$A$4:$T$4,0)),"")</f>
        <v/>
      </c>
      <c r="N2461" s="152">
        <f>IF(B2461="","",IF('02_대상물건입력'!B5="",1,IF(ISNUMBER(SEARCH('02_대상물건입력'!B5,B2461)),1,0)))</f>
        <v/>
      </c>
      <c r="O2461" s="152">
        <f>IF(B2461="","",IF('02_대상물건입력'!B6="",1,IF(ISNUMBER(SEARCH('02_대상물건입력'!B6,B2461)),1,0)))</f>
        <v/>
      </c>
      <c r="P2461" s="152">
        <f>IF(L2461="","",IF('02_대상물건입력'!B15="",0,IF(ISNUMBER(SEARCH('02_대상물건입력'!B15,L2461)),1,0)))</f>
        <v/>
      </c>
      <c r="Q2461" s="152">
        <f>IF(OR(C2461="",L2461=""),0,IF(AND(TRIM(C2461)=TRIM(RIGHT(SUBSTITUTE(TRIM('02_대상물건입력'!$B$7)," ",REPT(" ",99)),99)),IF('02_대상물건입력'!B15="",TRUE(),ISNUMBER(SEARCH('02_대상물건입력'!B15,L2461)))),1,0))</f>
        <v/>
      </c>
      <c r="R2461" s="175">
        <f>IFERROR(ABS(E2461-'02_대상물건입력'!B11)/'02_대상물건입력'!B11,"")</f>
        <v/>
      </c>
      <c r="S2461" s="152">
        <f>IFERROR(ABS(J2461-'02_대상물건입력'!B10),"")</f>
        <v/>
      </c>
      <c r="T2461" s="152">
        <f>IFERROR(ABS('01_설정'!B4-F2461),"")</f>
        <v/>
      </c>
      <c r="U2461" s="152">
        <f>IFERROR(ABS(K2461-YEAR('02_대상물건입력'!B14)),"")</f>
        <v/>
      </c>
      <c r="V2461" s="152">
        <f>IF(B2461="","",IF(AND(E2461&gt;0,F2461&gt;0,H2461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2461=1,TRUE()),R2461&lt;='01_설정'!B5,S2461&lt;='01_설정'!B6,T2461&lt;='01_설정'!B7,U2461&lt;='01_설정'!B8),"Y",""))</f>
        <v/>
      </c>
      <c r="W2461" s="172">
        <f>IF(V2461&lt;&gt;"Y","",MAX(0,(1-R2461/'01_설정'!B5))*'01_설정'!B14+MAX(0,(1-S2461/'01_설정'!B6))*'01_설정'!B15+MAX(0,(1-T2461/'01_설정'!B7))*'01_설정'!B16+MAX(0,(1-U2461/'01_설정'!B8))*'01_설정'!B17+O2461*'01_설정'!B11+Q2461*'01_설정'!B12+P2461*'01_설정'!B13+IF(Z2461="",0,Z2461))</f>
        <v/>
      </c>
      <c r="X2461" s="152">
        <f>IF(W2461="","",1+COUNTIFS($W$4:$W$3003,"&gt;"&amp;W2461)+COUNTIFS($W$4:W2461,W2461)-1)</f>
        <v/>
      </c>
      <c r="Y2461" s="175">
        <f>IF(OR(I2461="",'02_대상물건입력'!B19="",'02_대상물건입력'!B19&lt;=0),"",ABS(I2461-'02_대상물건입력'!B19)/'02_대상물건입력'!B19)</f>
        <v/>
      </c>
      <c r="Z2461" s="172">
        <f>IF(OR(Y2461="",'01_설정'!B31="",'01_설정'!B31&lt;=0,'01_설정'!B32="",'01_설정'!B32&lt;=0),"",MAX(0,(1-Y2461/'01_설정'!B32))*'01_설정'!B31)</f>
        <v/>
      </c>
    </row>
    <row r="2462" ht="17.25" customHeight="1">
      <c r="A2462" s="152">
        <f>IF(INDEX('04A_국토부원자료'!$A:$A,ROW()+1)="","",ROW()-3)</f>
        <v/>
      </c>
      <c r="B2462" s="48">
        <f>IFERROR(INDEX('04A_국토부원자료'!$A:$T,ROW()+1,MATCH("시군구",'04A_국토부원자료'!$A$4:$T$4,0)),"")</f>
        <v/>
      </c>
      <c r="C2462" s="48">
        <f>IF(B2462="","",IFERROR(INDEX('04A_국토부원자료'!$A:$T,ROW()+1,MATCH("번지",'04A_국토부원자료'!$A$4:$T$4,0)),""))</f>
        <v/>
      </c>
      <c r="D2462" s="48">
        <f>IF(B2462="","",IF(Q2462=1,'02_대상물건입력'!$B$8,IFERROR(INDEX('04A_국토부원자료'!$A:$T,ROW()+1,MATCH("단지명",'04A_국토부원자료'!$A$4:$T$4,0)),"")))</f>
        <v/>
      </c>
      <c r="E2462" s="172">
        <f>IFERROR(VALUE(SUBSTITUTE(INDEX('04A_국토부원자료'!$A:$T,ROW()+1,MATCH("전용면적(㎡)",'04A_국토부원자료'!$A$4:$T$4,0)),",","")),"")</f>
        <v/>
      </c>
      <c r="F24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62" s="51">
        <f>IFERROR(VALUE(SUBSTITUTE(INDEX('04A_국토부원자료'!$A:$T,ROW()+1,MATCH("거래금액(만원)",'04A_국토부원자료'!$A$4:$T$4,0)),",","")),"")</f>
        <v/>
      </c>
      <c r="H2462" s="174">
        <f>IF(G2462="","",G2462*10000)</f>
        <v/>
      </c>
      <c r="I2462" s="174">
        <f>IFERROR(IF(AND(H2462&gt;0,E2462&gt;0),H2462/E2462,""),"")</f>
        <v/>
      </c>
      <c r="J2462" s="152">
        <f>IFERROR(VALUE(SUBSTITUTE(INDEX('04A_국토부원자료'!$A:$T,ROW()+1,MATCH("층",'04A_국토부원자료'!$A$4:$T$4,0)),",","")),"")</f>
        <v/>
      </c>
      <c r="K2462" s="152">
        <f>IFERROR(VALUE(SUBSTITUTE(INDEX('04A_국토부원자료'!$A:$T,ROW()+1,MATCH("건축년도",'04A_국토부원자료'!$A$4:$T$4,0)),",","")),"")</f>
        <v/>
      </c>
      <c r="L2462" s="48">
        <f>IFERROR(INDEX('04A_국토부원자료'!$A:$T,ROW()+1,MATCH("도로명",'04A_국토부원자료'!$A$4:$T$4,0)),"")</f>
        <v/>
      </c>
      <c r="M2462" s="48">
        <f>IFERROR(INDEX('04A_국토부원자료'!$A:$T,ROW()+1,MATCH("거래유형",'04A_국토부원자료'!$A$4:$T$4,0)),"")</f>
        <v/>
      </c>
      <c r="N2462" s="152">
        <f>IF(B2462="","",IF('02_대상물건입력'!B5="",1,IF(ISNUMBER(SEARCH('02_대상물건입력'!B5,B2462)),1,0)))</f>
        <v/>
      </c>
      <c r="O2462" s="152">
        <f>IF(B2462="","",IF('02_대상물건입력'!B6="",1,IF(ISNUMBER(SEARCH('02_대상물건입력'!B6,B2462)),1,0)))</f>
        <v/>
      </c>
      <c r="P2462" s="152">
        <f>IF(L2462="","",IF('02_대상물건입력'!B15="",0,IF(ISNUMBER(SEARCH('02_대상물건입력'!B15,L2462)),1,0)))</f>
        <v/>
      </c>
      <c r="Q2462" s="152">
        <f>IF(OR(C2462="",L2462=""),0,IF(AND(TRIM(C2462)=TRIM(RIGHT(SUBSTITUTE(TRIM('02_대상물건입력'!$B$7)," ",REPT(" ",99)),99)),IF('02_대상물건입력'!B15="",TRUE(),ISNUMBER(SEARCH('02_대상물건입력'!B15,L2462)))),1,0))</f>
        <v/>
      </c>
      <c r="R2462" s="175">
        <f>IFERROR(ABS(E2462-'02_대상물건입력'!B11)/'02_대상물건입력'!B11,"")</f>
        <v/>
      </c>
      <c r="S2462" s="152">
        <f>IFERROR(ABS(J2462-'02_대상물건입력'!B10),"")</f>
        <v/>
      </c>
      <c r="T2462" s="152">
        <f>IFERROR(ABS('01_설정'!B4-F2462),"")</f>
        <v/>
      </c>
      <c r="U2462" s="152">
        <f>IFERROR(ABS(K2462-YEAR('02_대상물건입력'!B14)),"")</f>
        <v/>
      </c>
      <c r="V2462" s="152">
        <f>IF(B2462="","",IF(AND(E2462&gt;0,F2462&gt;0,H2462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2462=1,TRUE()),R2462&lt;='01_설정'!B5,S2462&lt;='01_설정'!B6,T2462&lt;='01_설정'!B7,U2462&lt;='01_설정'!B8),"Y",""))</f>
        <v/>
      </c>
      <c r="W2462" s="172">
        <f>IF(V2462&lt;&gt;"Y","",MAX(0,(1-R2462/'01_설정'!B5))*'01_설정'!B14+MAX(0,(1-S2462/'01_설정'!B6))*'01_설정'!B15+MAX(0,(1-T2462/'01_설정'!B7))*'01_설정'!B16+MAX(0,(1-U2462/'01_설정'!B8))*'01_설정'!B17+O2462*'01_설정'!B11+Q2462*'01_설정'!B12+P2462*'01_설정'!B13+IF(Z2462="",0,Z2462))</f>
        <v/>
      </c>
      <c r="X2462" s="152">
        <f>IF(W2462="","",1+COUNTIFS($W$4:$W$3003,"&gt;"&amp;W2462)+COUNTIFS($W$4:W2462,W2462)-1)</f>
        <v/>
      </c>
      <c r="Y2462" s="175">
        <f>IF(OR(I2462="",'02_대상물건입력'!B19="",'02_대상물건입력'!B19&lt;=0),"",ABS(I2462-'02_대상물건입력'!B19)/'02_대상물건입력'!B19)</f>
        <v/>
      </c>
      <c r="Z2462" s="172">
        <f>IF(OR(Y2462="",'01_설정'!B31="",'01_설정'!B31&lt;=0,'01_설정'!B32="",'01_설정'!B32&lt;=0),"",MAX(0,(1-Y2462/'01_설정'!B32))*'01_설정'!B31)</f>
        <v/>
      </c>
    </row>
    <row r="2463" ht="17.25" customHeight="1">
      <c r="A2463" s="152">
        <f>IF(INDEX('04A_국토부원자료'!$A:$A,ROW()+1)="","",ROW()-3)</f>
        <v/>
      </c>
      <c r="B2463" s="48">
        <f>IFERROR(INDEX('04A_국토부원자료'!$A:$T,ROW()+1,MATCH("시군구",'04A_국토부원자료'!$A$4:$T$4,0)),"")</f>
        <v/>
      </c>
      <c r="C2463" s="48">
        <f>IF(B2463="","",IFERROR(INDEX('04A_국토부원자료'!$A:$T,ROW()+1,MATCH("번지",'04A_국토부원자료'!$A$4:$T$4,0)),""))</f>
        <v/>
      </c>
      <c r="D2463" s="48">
        <f>IF(B2463="","",IF(Q2463=1,'02_대상물건입력'!$B$8,IFERROR(INDEX('04A_국토부원자료'!$A:$T,ROW()+1,MATCH("단지명",'04A_국토부원자료'!$A$4:$T$4,0)),"")))</f>
        <v/>
      </c>
      <c r="E2463" s="172">
        <f>IFERROR(VALUE(SUBSTITUTE(INDEX('04A_국토부원자료'!$A:$T,ROW()+1,MATCH("전용면적(㎡)",'04A_국토부원자료'!$A$4:$T$4,0)),",","")),"")</f>
        <v/>
      </c>
      <c r="F24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63" s="51">
        <f>IFERROR(VALUE(SUBSTITUTE(INDEX('04A_국토부원자료'!$A:$T,ROW()+1,MATCH("거래금액(만원)",'04A_국토부원자료'!$A$4:$T$4,0)),",","")),"")</f>
        <v/>
      </c>
      <c r="H2463" s="174">
        <f>IF(G2463="","",G2463*10000)</f>
        <v/>
      </c>
      <c r="I2463" s="174">
        <f>IFERROR(IF(AND(H2463&gt;0,E2463&gt;0),H2463/E2463,""),"")</f>
        <v/>
      </c>
      <c r="J2463" s="152">
        <f>IFERROR(VALUE(SUBSTITUTE(INDEX('04A_국토부원자료'!$A:$T,ROW()+1,MATCH("층",'04A_국토부원자료'!$A$4:$T$4,0)),",","")),"")</f>
        <v/>
      </c>
      <c r="K2463" s="152">
        <f>IFERROR(VALUE(SUBSTITUTE(INDEX('04A_국토부원자료'!$A:$T,ROW()+1,MATCH("건축년도",'04A_국토부원자료'!$A$4:$T$4,0)),",","")),"")</f>
        <v/>
      </c>
      <c r="L2463" s="48">
        <f>IFERROR(INDEX('04A_국토부원자료'!$A:$T,ROW()+1,MATCH("도로명",'04A_국토부원자료'!$A$4:$T$4,0)),"")</f>
        <v/>
      </c>
      <c r="M2463" s="48">
        <f>IFERROR(INDEX('04A_국토부원자료'!$A:$T,ROW()+1,MATCH("거래유형",'04A_국토부원자료'!$A$4:$T$4,0)),"")</f>
        <v/>
      </c>
      <c r="N2463" s="152">
        <f>IF(B2463="","",IF('02_대상물건입력'!B5="",1,IF(ISNUMBER(SEARCH('02_대상물건입력'!B5,B2463)),1,0)))</f>
        <v/>
      </c>
      <c r="O2463" s="152">
        <f>IF(B2463="","",IF('02_대상물건입력'!B6="",1,IF(ISNUMBER(SEARCH('02_대상물건입력'!B6,B2463)),1,0)))</f>
        <v/>
      </c>
      <c r="P2463" s="152">
        <f>IF(L2463="","",IF('02_대상물건입력'!B15="",0,IF(ISNUMBER(SEARCH('02_대상물건입력'!B15,L2463)),1,0)))</f>
        <v/>
      </c>
      <c r="Q2463" s="152">
        <f>IF(OR(C2463="",L2463=""),0,IF(AND(TRIM(C2463)=TRIM(RIGHT(SUBSTITUTE(TRIM('02_대상물건입력'!$B$7)," ",REPT(" ",99)),99)),IF('02_대상물건입력'!B15="",TRUE(),ISNUMBER(SEARCH('02_대상물건입력'!B15,L2463)))),1,0))</f>
        <v/>
      </c>
      <c r="R2463" s="175">
        <f>IFERROR(ABS(E2463-'02_대상물건입력'!B11)/'02_대상물건입력'!B11,"")</f>
        <v/>
      </c>
      <c r="S2463" s="152">
        <f>IFERROR(ABS(J2463-'02_대상물건입력'!B10),"")</f>
        <v/>
      </c>
      <c r="T2463" s="152">
        <f>IFERROR(ABS('01_설정'!B4-F2463),"")</f>
        <v/>
      </c>
      <c r="U2463" s="152">
        <f>IFERROR(ABS(K2463-YEAR('02_대상물건입력'!B14)),"")</f>
        <v/>
      </c>
      <c r="V2463" s="152">
        <f>IF(B2463="","",IF(AND(E2463&gt;0,F2463&gt;0,H2463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2463=1,TRUE()),R2463&lt;='01_설정'!B5,S2463&lt;='01_설정'!B6,T2463&lt;='01_설정'!B7,U2463&lt;='01_설정'!B8),"Y",""))</f>
        <v/>
      </c>
      <c r="W2463" s="172">
        <f>IF(V2463&lt;&gt;"Y","",MAX(0,(1-R2463/'01_설정'!B5))*'01_설정'!B14+MAX(0,(1-S2463/'01_설정'!B6))*'01_설정'!B15+MAX(0,(1-T2463/'01_설정'!B7))*'01_설정'!B16+MAX(0,(1-U2463/'01_설정'!B8))*'01_설정'!B17+O2463*'01_설정'!B11+Q2463*'01_설정'!B12+P2463*'01_설정'!B13+IF(Z2463="",0,Z2463))</f>
        <v/>
      </c>
      <c r="X2463" s="152">
        <f>IF(W2463="","",1+COUNTIFS($W$4:$W$3003,"&gt;"&amp;W2463)+COUNTIFS($W$4:W2463,W2463)-1)</f>
        <v/>
      </c>
      <c r="Y2463" s="175">
        <f>IF(OR(I2463="",'02_대상물건입력'!B19="",'02_대상물건입력'!B19&lt;=0),"",ABS(I2463-'02_대상물건입력'!B19)/'02_대상물건입력'!B19)</f>
        <v/>
      </c>
      <c r="Z2463" s="172">
        <f>IF(OR(Y2463="",'01_설정'!B31="",'01_설정'!B31&lt;=0,'01_설정'!B32="",'01_설정'!B32&lt;=0),"",MAX(0,(1-Y2463/'01_설정'!B32))*'01_설정'!B31)</f>
        <v/>
      </c>
    </row>
    <row r="2464" ht="17.25" customHeight="1">
      <c r="A2464" s="152">
        <f>IF(INDEX('04A_국토부원자료'!$A:$A,ROW()+1)="","",ROW()-3)</f>
        <v/>
      </c>
      <c r="B2464" s="48">
        <f>IFERROR(INDEX('04A_국토부원자료'!$A:$T,ROW()+1,MATCH("시군구",'04A_국토부원자료'!$A$4:$T$4,0)),"")</f>
        <v/>
      </c>
      <c r="C2464" s="48">
        <f>IF(B2464="","",IFERROR(INDEX('04A_국토부원자료'!$A:$T,ROW()+1,MATCH("번지",'04A_국토부원자료'!$A$4:$T$4,0)),""))</f>
        <v/>
      </c>
      <c r="D2464" s="48">
        <f>IF(B2464="","",IF(Q2464=1,'02_대상물건입력'!$B$8,IFERROR(INDEX('04A_국토부원자료'!$A:$T,ROW()+1,MATCH("단지명",'04A_국토부원자료'!$A$4:$T$4,0)),"")))</f>
        <v/>
      </c>
      <c r="E2464" s="172">
        <f>IFERROR(VALUE(SUBSTITUTE(INDEX('04A_국토부원자료'!$A:$T,ROW()+1,MATCH("전용면적(㎡)",'04A_국토부원자료'!$A$4:$T$4,0)),",","")),"")</f>
        <v/>
      </c>
      <c r="F24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64" s="51">
        <f>IFERROR(VALUE(SUBSTITUTE(INDEX('04A_국토부원자료'!$A:$T,ROW()+1,MATCH("거래금액(만원)",'04A_국토부원자료'!$A$4:$T$4,0)),",","")),"")</f>
        <v/>
      </c>
      <c r="H2464" s="174">
        <f>IF(G2464="","",G2464*10000)</f>
        <v/>
      </c>
      <c r="I2464" s="174">
        <f>IFERROR(IF(AND(H2464&gt;0,E2464&gt;0),H2464/E2464,""),"")</f>
        <v/>
      </c>
      <c r="J2464" s="152">
        <f>IFERROR(VALUE(SUBSTITUTE(INDEX('04A_국토부원자료'!$A:$T,ROW()+1,MATCH("층",'04A_국토부원자료'!$A$4:$T$4,0)),",","")),"")</f>
        <v/>
      </c>
      <c r="K2464" s="152">
        <f>IFERROR(VALUE(SUBSTITUTE(INDEX('04A_국토부원자료'!$A:$T,ROW()+1,MATCH("건축년도",'04A_국토부원자료'!$A$4:$T$4,0)),",","")),"")</f>
        <v/>
      </c>
      <c r="L2464" s="48">
        <f>IFERROR(INDEX('04A_국토부원자료'!$A:$T,ROW()+1,MATCH("도로명",'04A_국토부원자료'!$A$4:$T$4,0)),"")</f>
        <v/>
      </c>
      <c r="M2464" s="48">
        <f>IFERROR(INDEX('04A_국토부원자료'!$A:$T,ROW()+1,MATCH("거래유형",'04A_국토부원자료'!$A$4:$T$4,0)),"")</f>
        <v/>
      </c>
      <c r="N2464" s="152">
        <f>IF(B2464="","",IF('02_대상물건입력'!B5="",1,IF(ISNUMBER(SEARCH('02_대상물건입력'!B5,B2464)),1,0)))</f>
        <v/>
      </c>
      <c r="O2464" s="152">
        <f>IF(B2464="","",IF('02_대상물건입력'!B6="",1,IF(ISNUMBER(SEARCH('02_대상물건입력'!B6,B2464)),1,0)))</f>
        <v/>
      </c>
      <c r="P2464" s="152">
        <f>IF(L2464="","",IF('02_대상물건입력'!B15="",0,IF(ISNUMBER(SEARCH('02_대상물건입력'!B15,L2464)),1,0)))</f>
        <v/>
      </c>
      <c r="Q2464" s="152">
        <f>IF(OR(C2464="",L2464=""),0,IF(AND(TRIM(C2464)=TRIM(RIGHT(SUBSTITUTE(TRIM('02_대상물건입력'!$B$7)," ",REPT(" ",99)),99)),IF('02_대상물건입력'!B15="",TRUE(),ISNUMBER(SEARCH('02_대상물건입력'!B15,L2464)))),1,0))</f>
        <v/>
      </c>
      <c r="R2464" s="175">
        <f>IFERROR(ABS(E2464-'02_대상물건입력'!B11)/'02_대상물건입력'!B11,"")</f>
        <v/>
      </c>
      <c r="S2464" s="152">
        <f>IFERROR(ABS(J2464-'02_대상물건입력'!B10),"")</f>
        <v/>
      </c>
      <c r="T2464" s="152">
        <f>IFERROR(ABS('01_설정'!B4-F2464),"")</f>
        <v/>
      </c>
      <c r="U2464" s="152">
        <f>IFERROR(ABS(K2464-YEAR('02_대상물건입력'!B14)),"")</f>
        <v/>
      </c>
      <c r="V2464" s="152">
        <f>IF(B2464="","",IF(AND(E2464&gt;0,F2464&gt;0,H2464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2464=1,TRUE()),R2464&lt;='01_설정'!B5,S2464&lt;='01_설정'!B6,T2464&lt;='01_설정'!B7,U2464&lt;='01_설정'!B8),"Y",""))</f>
        <v/>
      </c>
      <c r="W2464" s="172">
        <f>IF(V2464&lt;&gt;"Y","",MAX(0,(1-R2464/'01_설정'!B5))*'01_설정'!B14+MAX(0,(1-S2464/'01_설정'!B6))*'01_설정'!B15+MAX(0,(1-T2464/'01_설정'!B7))*'01_설정'!B16+MAX(0,(1-U2464/'01_설정'!B8))*'01_설정'!B17+O2464*'01_설정'!B11+Q2464*'01_설정'!B12+P2464*'01_설정'!B13+IF(Z2464="",0,Z2464))</f>
        <v/>
      </c>
      <c r="X2464" s="152">
        <f>IF(W2464="","",1+COUNTIFS($W$4:$W$3003,"&gt;"&amp;W2464)+COUNTIFS($W$4:W2464,W2464)-1)</f>
        <v/>
      </c>
      <c r="Y2464" s="175">
        <f>IF(OR(I2464="",'02_대상물건입력'!B19="",'02_대상물건입력'!B19&lt;=0),"",ABS(I2464-'02_대상물건입력'!B19)/'02_대상물건입력'!B19)</f>
        <v/>
      </c>
      <c r="Z2464" s="172">
        <f>IF(OR(Y2464="",'01_설정'!B31="",'01_설정'!B31&lt;=0,'01_설정'!B32="",'01_설정'!B32&lt;=0),"",MAX(0,(1-Y2464/'01_설정'!B32))*'01_설정'!B31)</f>
        <v/>
      </c>
    </row>
    <row r="2465" ht="17.25" customHeight="1">
      <c r="A2465" s="152">
        <f>IF(INDEX('04A_국토부원자료'!$A:$A,ROW()+1)="","",ROW()-3)</f>
        <v/>
      </c>
      <c r="B2465" s="48">
        <f>IFERROR(INDEX('04A_국토부원자료'!$A:$T,ROW()+1,MATCH("시군구",'04A_국토부원자료'!$A$4:$T$4,0)),"")</f>
        <v/>
      </c>
      <c r="C2465" s="48">
        <f>IF(B2465="","",IFERROR(INDEX('04A_국토부원자료'!$A:$T,ROW()+1,MATCH("번지",'04A_국토부원자료'!$A$4:$T$4,0)),""))</f>
        <v/>
      </c>
      <c r="D2465" s="48">
        <f>IF(B2465="","",IF(Q2465=1,'02_대상물건입력'!$B$8,IFERROR(INDEX('04A_국토부원자료'!$A:$T,ROW()+1,MATCH("단지명",'04A_국토부원자료'!$A$4:$T$4,0)),"")))</f>
        <v/>
      </c>
      <c r="E2465" s="172">
        <f>IFERROR(VALUE(SUBSTITUTE(INDEX('04A_국토부원자료'!$A:$T,ROW()+1,MATCH("전용면적(㎡)",'04A_국토부원자료'!$A$4:$T$4,0)),",","")),"")</f>
        <v/>
      </c>
      <c r="F24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65" s="51">
        <f>IFERROR(VALUE(SUBSTITUTE(INDEX('04A_국토부원자료'!$A:$T,ROW()+1,MATCH("거래금액(만원)",'04A_국토부원자료'!$A$4:$T$4,0)),",","")),"")</f>
        <v/>
      </c>
      <c r="H2465" s="174">
        <f>IF(G2465="","",G2465*10000)</f>
        <v/>
      </c>
      <c r="I2465" s="174">
        <f>IFERROR(IF(AND(H2465&gt;0,E2465&gt;0),H2465/E2465,""),"")</f>
        <v/>
      </c>
      <c r="J2465" s="152">
        <f>IFERROR(VALUE(SUBSTITUTE(INDEX('04A_국토부원자료'!$A:$T,ROW()+1,MATCH("층",'04A_국토부원자료'!$A$4:$T$4,0)),",","")),"")</f>
        <v/>
      </c>
      <c r="K2465" s="152">
        <f>IFERROR(VALUE(SUBSTITUTE(INDEX('04A_국토부원자료'!$A:$T,ROW()+1,MATCH("건축년도",'04A_국토부원자료'!$A$4:$T$4,0)),",","")),"")</f>
        <v/>
      </c>
      <c r="L2465" s="48">
        <f>IFERROR(INDEX('04A_국토부원자료'!$A:$T,ROW()+1,MATCH("도로명",'04A_국토부원자료'!$A$4:$T$4,0)),"")</f>
        <v/>
      </c>
      <c r="M2465" s="48">
        <f>IFERROR(INDEX('04A_국토부원자료'!$A:$T,ROW()+1,MATCH("거래유형",'04A_국토부원자료'!$A$4:$T$4,0)),"")</f>
        <v/>
      </c>
      <c r="N2465" s="152">
        <f>IF(B2465="","",IF('02_대상물건입력'!B5="",1,IF(ISNUMBER(SEARCH('02_대상물건입력'!B5,B2465)),1,0)))</f>
        <v/>
      </c>
      <c r="O2465" s="152">
        <f>IF(B2465="","",IF('02_대상물건입력'!B6="",1,IF(ISNUMBER(SEARCH('02_대상물건입력'!B6,B2465)),1,0)))</f>
        <v/>
      </c>
      <c r="P2465" s="152">
        <f>IF(L2465="","",IF('02_대상물건입력'!B15="",0,IF(ISNUMBER(SEARCH('02_대상물건입력'!B15,L2465)),1,0)))</f>
        <v/>
      </c>
      <c r="Q2465" s="152">
        <f>IF(OR(C2465="",L2465=""),0,IF(AND(TRIM(C2465)=TRIM(RIGHT(SUBSTITUTE(TRIM('02_대상물건입력'!$B$7)," ",REPT(" ",99)),99)),IF('02_대상물건입력'!B15="",TRUE(),ISNUMBER(SEARCH('02_대상물건입력'!B15,L2465)))),1,0))</f>
        <v/>
      </c>
      <c r="R2465" s="175">
        <f>IFERROR(ABS(E2465-'02_대상물건입력'!B11)/'02_대상물건입력'!B11,"")</f>
        <v/>
      </c>
      <c r="S2465" s="152">
        <f>IFERROR(ABS(J2465-'02_대상물건입력'!B10),"")</f>
        <v/>
      </c>
      <c r="T2465" s="152">
        <f>IFERROR(ABS('01_설정'!B4-F2465),"")</f>
        <v/>
      </c>
      <c r="U2465" s="152">
        <f>IFERROR(ABS(K2465-YEAR('02_대상물건입력'!B14)),"")</f>
        <v/>
      </c>
      <c r="V2465" s="152">
        <f>IF(B2465="","",IF(AND(E2465&gt;0,F2465&gt;0,H2465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2465=1,TRUE()),R2465&lt;='01_설정'!B5,S2465&lt;='01_설정'!B6,T2465&lt;='01_설정'!B7,U2465&lt;='01_설정'!B8),"Y",""))</f>
        <v/>
      </c>
      <c r="W2465" s="172">
        <f>IF(V2465&lt;&gt;"Y","",MAX(0,(1-R2465/'01_설정'!B5))*'01_설정'!B14+MAX(0,(1-S2465/'01_설정'!B6))*'01_설정'!B15+MAX(0,(1-T2465/'01_설정'!B7))*'01_설정'!B16+MAX(0,(1-U2465/'01_설정'!B8))*'01_설정'!B17+O2465*'01_설정'!B11+Q2465*'01_설정'!B12+P2465*'01_설정'!B13+IF(Z2465="",0,Z2465))</f>
        <v/>
      </c>
      <c r="X2465" s="152">
        <f>IF(W2465="","",1+COUNTIFS($W$4:$W$3003,"&gt;"&amp;W2465)+COUNTIFS($W$4:W2465,W2465)-1)</f>
        <v/>
      </c>
      <c r="Y2465" s="175">
        <f>IF(OR(I2465="",'02_대상물건입력'!B19="",'02_대상물건입력'!B19&lt;=0),"",ABS(I2465-'02_대상물건입력'!B19)/'02_대상물건입력'!B19)</f>
        <v/>
      </c>
      <c r="Z2465" s="172">
        <f>IF(OR(Y2465="",'01_설정'!B31="",'01_설정'!B31&lt;=0,'01_설정'!B32="",'01_설정'!B32&lt;=0),"",MAX(0,(1-Y2465/'01_설정'!B32))*'01_설정'!B31)</f>
        <v/>
      </c>
    </row>
    <row r="2466" ht="17.25" customHeight="1">
      <c r="A2466" s="152">
        <f>IF(INDEX('04A_국토부원자료'!$A:$A,ROW()+1)="","",ROW()-3)</f>
        <v/>
      </c>
      <c r="B2466" s="48">
        <f>IFERROR(INDEX('04A_국토부원자료'!$A:$T,ROW()+1,MATCH("시군구",'04A_국토부원자료'!$A$4:$T$4,0)),"")</f>
        <v/>
      </c>
      <c r="C2466" s="48">
        <f>IF(B2466="","",IFERROR(INDEX('04A_국토부원자료'!$A:$T,ROW()+1,MATCH("번지",'04A_국토부원자료'!$A$4:$T$4,0)),""))</f>
        <v/>
      </c>
      <c r="D2466" s="48">
        <f>IF(B2466="","",IF(Q2466=1,'02_대상물건입력'!$B$8,IFERROR(INDEX('04A_국토부원자료'!$A:$T,ROW()+1,MATCH("단지명",'04A_국토부원자료'!$A$4:$T$4,0)),"")))</f>
        <v/>
      </c>
      <c r="E2466" s="172">
        <f>IFERROR(VALUE(SUBSTITUTE(INDEX('04A_국토부원자료'!$A:$T,ROW()+1,MATCH("전용면적(㎡)",'04A_국토부원자료'!$A$4:$T$4,0)),",","")),"")</f>
        <v/>
      </c>
      <c r="F24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66" s="51">
        <f>IFERROR(VALUE(SUBSTITUTE(INDEX('04A_국토부원자료'!$A:$T,ROW()+1,MATCH("거래금액(만원)",'04A_국토부원자료'!$A$4:$T$4,0)),",","")),"")</f>
        <v/>
      </c>
      <c r="H2466" s="174">
        <f>IF(G2466="","",G2466*10000)</f>
        <v/>
      </c>
      <c r="I2466" s="174">
        <f>IFERROR(IF(AND(H2466&gt;0,E2466&gt;0),H2466/E2466,""),"")</f>
        <v/>
      </c>
      <c r="J2466" s="152">
        <f>IFERROR(VALUE(SUBSTITUTE(INDEX('04A_국토부원자료'!$A:$T,ROW()+1,MATCH("층",'04A_국토부원자료'!$A$4:$T$4,0)),",","")),"")</f>
        <v/>
      </c>
      <c r="K2466" s="152">
        <f>IFERROR(VALUE(SUBSTITUTE(INDEX('04A_국토부원자료'!$A:$T,ROW()+1,MATCH("건축년도",'04A_국토부원자료'!$A$4:$T$4,0)),",","")),"")</f>
        <v/>
      </c>
      <c r="L2466" s="48">
        <f>IFERROR(INDEX('04A_국토부원자료'!$A:$T,ROW()+1,MATCH("도로명",'04A_국토부원자료'!$A$4:$T$4,0)),"")</f>
        <v/>
      </c>
      <c r="M2466" s="48">
        <f>IFERROR(INDEX('04A_국토부원자료'!$A:$T,ROW()+1,MATCH("거래유형",'04A_국토부원자료'!$A$4:$T$4,0)),"")</f>
        <v/>
      </c>
      <c r="N2466" s="152">
        <f>IF(B2466="","",IF('02_대상물건입력'!B5="",1,IF(ISNUMBER(SEARCH('02_대상물건입력'!B5,B2466)),1,0)))</f>
        <v/>
      </c>
      <c r="O2466" s="152">
        <f>IF(B2466="","",IF('02_대상물건입력'!B6="",1,IF(ISNUMBER(SEARCH('02_대상물건입력'!B6,B2466)),1,0)))</f>
        <v/>
      </c>
      <c r="P2466" s="152">
        <f>IF(L2466="","",IF('02_대상물건입력'!B15="",0,IF(ISNUMBER(SEARCH('02_대상물건입력'!B15,L2466)),1,0)))</f>
        <v/>
      </c>
      <c r="Q2466" s="152">
        <f>IF(OR(C2466="",L2466=""),0,IF(AND(TRIM(C2466)=TRIM(RIGHT(SUBSTITUTE(TRIM('02_대상물건입력'!$B$7)," ",REPT(" ",99)),99)),IF('02_대상물건입력'!B15="",TRUE(),ISNUMBER(SEARCH('02_대상물건입력'!B15,L2466)))),1,0))</f>
        <v/>
      </c>
      <c r="R2466" s="175">
        <f>IFERROR(ABS(E2466-'02_대상물건입력'!B11)/'02_대상물건입력'!B11,"")</f>
        <v/>
      </c>
      <c r="S2466" s="152">
        <f>IFERROR(ABS(J2466-'02_대상물건입력'!B10),"")</f>
        <v/>
      </c>
      <c r="T2466" s="152">
        <f>IFERROR(ABS('01_설정'!B4-F2466),"")</f>
        <v/>
      </c>
      <c r="U2466" s="152">
        <f>IFERROR(ABS(K2466-YEAR('02_대상물건입력'!B14)),"")</f>
        <v/>
      </c>
      <c r="V2466" s="152">
        <f>IF(B2466="","",IF(AND(E2466&gt;0,F2466&gt;0,H2466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2466=1,TRUE()),R2466&lt;='01_설정'!B5,S2466&lt;='01_설정'!B6,T2466&lt;='01_설정'!B7,U2466&lt;='01_설정'!B8),"Y",""))</f>
        <v/>
      </c>
      <c r="W2466" s="172">
        <f>IF(V2466&lt;&gt;"Y","",MAX(0,(1-R2466/'01_설정'!B5))*'01_설정'!B14+MAX(0,(1-S2466/'01_설정'!B6))*'01_설정'!B15+MAX(0,(1-T2466/'01_설정'!B7))*'01_설정'!B16+MAX(0,(1-U2466/'01_설정'!B8))*'01_설정'!B17+O2466*'01_설정'!B11+Q2466*'01_설정'!B12+P2466*'01_설정'!B13+IF(Z2466="",0,Z2466))</f>
        <v/>
      </c>
      <c r="X2466" s="152">
        <f>IF(W2466="","",1+COUNTIFS($W$4:$W$3003,"&gt;"&amp;W2466)+COUNTIFS($W$4:W2466,W2466)-1)</f>
        <v/>
      </c>
      <c r="Y2466" s="175">
        <f>IF(OR(I2466="",'02_대상물건입력'!B19="",'02_대상물건입력'!B19&lt;=0),"",ABS(I2466-'02_대상물건입력'!B19)/'02_대상물건입력'!B19)</f>
        <v/>
      </c>
      <c r="Z2466" s="172">
        <f>IF(OR(Y2466="",'01_설정'!B31="",'01_설정'!B31&lt;=0,'01_설정'!B32="",'01_설정'!B32&lt;=0),"",MAX(0,(1-Y2466/'01_설정'!B32))*'01_설정'!B31)</f>
        <v/>
      </c>
    </row>
    <row r="2467" ht="17.25" customHeight="1">
      <c r="A2467" s="152">
        <f>IF(INDEX('04A_국토부원자료'!$A:$A,ROW()+1)="","",ROW()-3)</f>
        <v/>
      </c>
      <c r="B2467" s="48">
        <f>IFERROR(INDEX('04A_국토부원자료'!$A:$T,ROW()+1,MATCH("시군구",'04A_국토부원자료'!$A$4:$T$4,0)),"")</f>
        <v/>
      </c>
      <c r="C2467" s="48">
        <f>IF(B2467="","",IFERROR(INDEX('04A_국토부원자료'!$A:$T,ROW()+1,MATCH("번지",'04A_국토부원자료'!$A$4:$T$4,0)),""))</f>
        <v/>
      </c>
      <c r="D2467" s="48">
        <f>IF(B2467="","",IF(Q2467=1,'02_대상물건입력'!$B$8,IFERROR(INDEX('04A_국토부원자료'!$A:$T,ROW()+1,MATCH("단지명",'04A_국토부원자료'!$A$4:$T$4,0)),"")))</f>
        <v/>
      </c>
      <c r="E2467" s="172">
        <f>IFERROR(VALUE(SUBSTITUTE(INDEX('04A_국토부원자료'!$A:$T,ROW()+1,MATCH("전용면적(㎡)",'04A_국토부원자료'!$A$4:$T$4,0)),",","")),"")</f>
        <v/>
      </c>
      <c r="F24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67" s="51">
        <f>IFERROR(VALUE(SUBSTITUTE(INDEX('04A_국토부원자료'!$A:$T,ROW()+1,MATCH("거래금액(만원)",'04A_국토부원자료'!$A$4:$T$4,0)),",","")),"")</f>
        <v/>
      </c>
      <c r="H2467" s="174">
        <f>IF(G2467="","",G2467*10000)</f>
        <v/>
      </c>
      <c r="I2467" s="174">
        <f>IFERROR(IF(AND(H2467&gt;0,E2467&gt;0),H2467/E2467,""),"")</f>
        <v/>
      </c>
      <c r="J2467" s="152">
        <f>IFERROR(VALUE(SUBSTITUTE(INDEX('04A_국토부원자료'!$A:$T,ROW()+1,MATCH("층",'04A_국토부원자료'!$A$4:$T$4,0)),",","")),"")</f>
        <v/>
      </c>
      <c r="K2467" s="152">
        <f>IFERROR(VALUE(SUBSTITUTE(INDEX('04A_국토부원자료'!$A:$T,ROW()+1,MATCH("건축년도",'04A_국토부원자료'!$A$4:$T$4,0)),",","")),"")</f>
        <v/>
      </c>
      <c r="L2467" s="48">
        <f>IFERROR(INDEX('04A_국토부원자료'!$A:$T,ROW()+1,MATCH("도로명",'04A_국토부원자료'!$A$4:$T$4,0)),"")</f>
        <v/>
      </c>
      <c r="M2467" s="48">
        <f>IFERROR(INDEX('04A_국토부원자료'!$A:$T,ROW()+1,MATCH("거래유형",'04A_국토부원자료'!$A$4:$T$4,0)),"")</f>
        <v/>
      </c>
      <c r="N2467" s="152">
        <f>IF(B2467="","",IF('02_대상물건입력'!B5="",1,IF(ISNUMBER(SEARCH('02_대상물건입력'!B5,B2467)),1,0)))</f>
        <v/>
      </c>
      <c r="O2467" s="152">
        <f>IF(B2467="","",IF('02_대상물건입력'!B6="",1,IF(ISNUMBER(SEARCH('02_대상물건입력'!B6,B2467)),1,0)))</f>
        <v/>
      </c>
      <c r="P2467" s="152">
        <f>IF(L2467="","",IF('02_대상물건입력'!B15="",0,IF(ISNUMBER(SEARCH('02_대상물건입력'!B15,L2467)),1,0)))</f>
        <v/>
      </c>
      <c r="Q2467" s="152">
        <f>IF(OR(C2467="",L2467=""),0,IF(AND(TRIM(C2467)=TRIM(RIGHT(SUBSTITUTE(TRIM('02_대상물건입력'!$B$7)," ",REPT(" ",99)),99)),IF('02_대상물건입력'!B15="",TRUE(),ISNUMBER(SEARCH('02_대상물건입력'!B15,L2467)))),1,0))</f>
        <v/>
      </c>
      <c r="R2467" s="175">
        <f>IFERROR(ABS(E2467-'02_대상물건입력'!B11)/'02_대상물건입력'!B11,"")</f>
        <v/>
      </c>
      <c r="S2467" s="152">
        <f>IFERROR(ABS(J2467-'02_대상물건입력'!B10),"")</f>
        <v/>
      </c>
      <c r="T2467" s="152">
        <f>IFERROR(ABS('01_설정'!B4-F2467),"")</f>
        <v/>
      </c>
      <c r="U2467" s="152">
        <f>IFERROR(ABS(K2467-YEAR('02_대상물건입력'!B14)),"")</f>
        <v/>
      </c>
      <c r="V2467" s="152">
        <f>IF(B2467="","",IF(AND(E2467&gt;0,F2467&gt;0,H2467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2467=1,TRUE()),R2467&lt;='01_설정'!B5,S2467&lt;='01_설정'!B6,T2467&lt;='01_설정'!B7,U2467&lt;='01_설정'!B8),"Y",""))</f>
        <v/>
      </c>
      <c r="W2467" s="172">
        <f>IF(V2467&lt;&gt;"Y","",MAX(0,(1-R2467/'01_설정'!B5))*'01_설정'!B14+MAX(0,(1-S2467/'01_설정'!B6))*'01_설정'!B15+MAX(0,(1-T2467/'01_설정'!B7))*'01_설정'!B16+MAX(0,(1-U2467/'01_설정'!B8))*'01_설정'!B17+O2467*'01_설정'!B11+Q2467*'01_설정'!B12+P2467*'01_설정'!B13+IF(Z2467="",0,Z2467))</f>
        <v/>
      </c>
      <c r="X2467" s="152">
        <f>IF(W2467="","",1+COUNTIFS($W$4:$W$3003,"&gt;"&amp;W2467)+COUNTIFS($W$4:W2467,W2467)-1)</f>
        <v/>
      </c>
      <c r="Y2467" s="175">
        <f>IF(OR(I2467="",'02_대상물건입력'!B19="",'02_대상물건입력'!B19&lt;=0),"",ABS(I2467-'02_대상물건입력'!B19)/'02_대상물건입력'!B19)</f>
        <v/>
      </c>
      <c r="Z2467" s="172">
        <f>IF(OR(Y2467="",'01_설정'!B31="",'01_설정'!B31&lt;=0,'01_설정'!B32="",'01_설정'!B32&lt;=0),"",MAX(0,(1-Y2467/'01_설정'!B32))*'01_설정'!B31)</f>
        <v/>
      </c>
    </row>
    <row r="2468" ht="17.25" customHeight="1">
      <c r="A2468" s="152">
        <f>IF(INDEX('04A_국토부원자료'!$A:$A,ROW()+1)="","",ROW()-3)</f>
        <v/>
      </c>
      <c r="B2468" s="48">
        <f>IFERROR(INDEX('04A_국토부원자료'!$A:$T,ROW()+1,MATCH("시군구",'04A_국토부원자료'!$A$4:$T$4,0)),"")</f>
        <v/>
      </c>
      <c r="C2468" s="48">
        <f>IF(B2468="","",IFERROR(INDEX('04A_국토부원자료'!$A:$T,ROW()+1,MATCH("번지",'04A_국토부원자료'!$A$4:$T$4,0)),""))</f>
        <v/>
      </c>
      <c r="D2468" s="48">
        <f>IF(B2468="","",IF(Q2468=1,'02_대상물건입력'!$B$8,IFERROR(INDEX('04A_국토부원자료'!$A:$T,ROW()+1,MATCH("단지명",'04A_국토부원자료'!$A$4:$T$4,0)),"")))</f>
        <v/>
      </c>
      <c r="E2468" s="172">
        <f>IFERROR(VALUE(SUBSTITUTE(INDEX('04A_국토부원자료'!$A:$T,ROW()+1,MATCH("전용면적(㎡)",'04A_국토부원자료'!$A$4:$T$4,0)),",","")),"")</f>
        <v/>
      </c>
      <c r="F24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68" s="51">
        <f>IFERROR(VALUE(SUBSTITUTE(INDEX('04A_국토부원자료'!$A:$T,ROW()+1,MATCH("거래금액(만원)",'04A_국토부원자료'!$A$4:$T$4,0)),",","")),"")</f>
        <v/>
      </c>
      <c r="H2468" s="174">
        <f>IF(G2468="","",G2468*10000)</f>
        <v/>
      </c>
      <c r="I2468" s="174">
        <f>IFERROR(IF(AND(H2468&gt;0,E2468&gt;0),H2468/E2468,""),"")</f>
        <v/>
      </c>
      <c r="J2468" s="152">
        <f>IFERROR(VALUE(SUBSTITUTE(INDEX('04A_국토부원자료'!$A:$T,ROW()+1,MATCH("층",'04A_국토부원자료'!$A$4:$T$4,0)),",","")),"")</f>
        <v/>
      </c>
      <c r="K2468" s="152">
        <f>IFERROR(VALUE(SUBSTITUTE(INDEX('04A_국토부원자료'!$A:$T,ROW()+1,MATCH("건축년도",'04A_국토부원자료'!$A$4:$T$4,0)),",","")),"")</f>
        <v/>
      </c>
      <c r="L2468" s="48">
        <f>IFERROR(INDEX('04A_국토부원자료'!$A:$T,ROW()+1,MATCH("도로명",'04A_국토부원자료'!$A$4:$T$4,0)),"")</f>
        <v/>
      </c>
      <c r="M2468" s="48">
        <f>IFERROR(INDEX('04A_국토부원자료'!$A:$T,ROW()+1,MATCH("거래유형",'04A_국토부원자료'!$A$4:$T$4,0)),"")</f>
        <v/>
      </c>
      <c r="N2468" s="152">
        <f>IF(B2468="","",IF('02_대상물건입력'!B5="",1,IF(ISNUMBER(SEARCH('02_대상물건입력'!B5,B2468)),1,0)))</f>
        <v/>
      </c>
      <c r="O2468" s="152">
        <f>IF(B2468="","",IF('02_대상물건입력'!B6="",1,IF(ISNUMBER(SEARCH('02_대상물건입력'!B6,B2468)),1,0)))</f>
        <v/>
      </c>
      <c r="P2468" s="152">
        <f>IF(L2468="","",IF('02_대상물건입력'!B15="",0,IF(ISNUMBER(SEARCH('02_대상물건입력'!B15,L2468)),1,0)))</f>
        <v/>
      </c>
      <c r="Q2468" s="152">
        <f>IF(OR(C2468="",L2468=""),0,IF(AND(TRIM(C2468)=TRIM(RIGHT(SUBSTITUTE(TRIM('02_대상물건입력'!$B$7)," ",REPT(" ",99)),99)),IF('02_대상물건입력'!B15="",TRUE(),ISNUMBER(SEARCH('02_대상물건입력'!B15,L2468)))),1,0))</f>
        <v/>
      </c>
      <c r="R2468" s="175">
        <f>IFERROR(ABS(E2468-'02_대상물건입력'!B11)/'02_대상물건입력'!B11,"")</f>
        <v/>
      </c>
      <c r="S2468" s="152">
        <f>IFERROR(ABS(J2468-'02_대상물건입력'!B10),"")</f>
        <v/>
      </c>
      <c r="T2468" s="152">
        <f>IFERROR(ABS('01_설정'!B4-F2468),"")</f>
        <v/>
      </c>
      <c r="U2468" s="152">
        <f>IFERROR(ABS(K2468-YEAR('02_대상물건입력'!B14)),"")</f>
        <v/>
      </c>
      <c r="V2468" s="152">
        <f>IF(B2468="","",IF(AND(E2468&gt;0,F2468&gt;0,H2468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2468=1,TRUE()),R2468&lt;='01_설정'!B5,S2468&lt;='01_설정'!B6,T2468&lt;='01_설정'!B7,U2468&lt;='01_설정'!B8),"Y",""))</f>
        <v/>
      </c>
      <c r="W2468" s="172">
        <f>IF(V2468&lt;&gt;"Y","",MAX(0,(1-R2468/'01_설정'!B5))*'01_설정'!B14+MAX(0,(1-S2468/'01_설정'!B6))*'01_설정'!B15+MAX(0,(1-T2468/'01_설정'!B7))*'01_설정'!B16+MAX(0,(1-U2468/'01_설정'!B8))*'01_설정'!B17+O2468*'01_설정'!B11+Q2468*'01_설정'!B12+P2468*'01_설정'!B13+IF(Z2468="",0,Z2468))</f>
        <v/>
      </c>
      <c r="X2468" s="152">
        <f>IF(W2468="","",1+COUNTIFS($W$4:$W$3003,"&gt;"&amp;W2468)+COUNTIFS($W$4:W2468,W2468)-1)</f>
        <v/>
      </c>
      <c r="Y2468" s="175">
        <f>IF(OR(I2468="",'02_대상물건입력'!B19="",'02_대상물건입력'!B19&lt;=0),"",ABS(I2468-'02_대상물건입력'!B19)/'02_대상물건입력'!B19)</f>
        <v/>
      </c>
      <c r="Z2468" s="172">
        <f>IF(OR(Y2468="",'01_설정'!B31="",'01_설정'!B31&lt;=0,'01_설정'!B32="",'01_설정'!B32&lt;=0),"",MAX(0,(1-Y2468/'01_설정'!B32))*'01_설정'!B31)</f>
        <v/>
      </c>
    </row>
    <row r="2469" ht="17.25" customHeight="1">
      <c r="A2469" s="152">
        <f>IF(INDEX('04A_국토부원자료'!$A:$A,ROW()+1)="","",ROW()-3)</f>
        <v/>
      </c>
      <c r="B2469" s="48">
        <f>IFERROR(INDEX('04A_국토부원자료'!$A:$T,ROW()+1,MATCH("시군구",'04A_국토부원자료'!$A$4:$T$4,0)),"")</f>
        <v/>
      </c>
      <c r="C2469" s="48">
        <f>IF(B2469="","",IFERROR(INDEX('04A_국토부원자료'!$A:$T,ROW()+1,MATCH("번지",'04A_국토부원자료'!$A$4:$T$4,0)),""))</f>
        <v/>
      </c>
      <c r="D2469" s="48">
        <f>IF(B2469="","",IF(Q2469=1,'02_대상물건입력'!$B$8,IFERROR(INDEX('04A_국토부원자료'!$A:$T,ROW()+1,MATCH("단지명",'04A_국토부원자료'!$A$4:$T$4,0)),"")))</f>
        <v/>
      </c>
      <c r="E2469" s="172">
        <f>IFERROR(VALUE(SUBSTITUTE(INDEX('04A_국토부원자료'!$A:$T,ROW()+1,MATCH("전용면적(㎡)",'04A_국토부원자료'!$A$4:$T$4,0)),",","")),"")</f>
        <v/>
      </c>
      <c r="F24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69" s="51">
        <f>IFERROR(VALUE(SUBSTITUTE(INDEX('04A_국토부원자료'!$A:$T,ROW()+1,MATCH("거래금액(만원)",'04A_국토부원자료'!$A$4:$T$4,0)),",","")),"")</f>
        <v/>
      </c>
      <c r="H2469" s="174">
        <f>IF(G2469="","",G2469*10000)</f>
        <v/>
      </c>
      <c r="I2469" s="174">
        <f>IFERROR(IF(AND(H2469&gt;0,E2469&gt;0),H2469/E2469,""),"")</f>
        <v/>
      </c>
      <c r="J2469" s="152">
        <f>IFERROR(VALUE(SUBSTITUTE(INDEX('04A_국토부원자료'!$A:$T,ROW()+1,MATCH("층",'04A_국토부원자료'!$A$4:$T$4,0)),",","")),"")</f>
        <v/>
      </c>
      <c r="K2469" s="152">
        <f>IFERROR(VALUE(SUBSTITUTE(INDEX('04A_국토부원자료'!$A:$T,ROW()+1,MATCH("건축년도",'04A_국토부원자료'!$A$4:$T$4,0)),",","")),"")</f>
        <v/>
      </c>
      <c r="L2469" s="48">
        <f>IFERROR(INDEX('04A_국토부원자료'!$A:$T,ROW()+1,MATCH("도로명",'04A_국토부원자료'!$A$4:$T$4,0)),"")</f>
        <v/>
      </c>
      <c r="M2469" s="48">
        <f>IFERROR(INDEX('04A_국토부원자료'!$A:$T,ROW()+1,MATCH("거래유형",'04A_국토부원자료'!$A$4:$T$4,0)),"")</f>
        <v/>
      </c>
      <c r="N2469" s="152">
        <f>IF(B2469="","",IF('02_대상물건입력'!B5="",1,IF(ISNUMBER(SEARCH('02_대상물건입력'!B5,B2469)),1,0)))</f>
        <v/>
      </c>
      <c r="O2469" s="152">
        <f>IF(B2469="","",IF('02_대상물건입력'!B6="",1,IF(ISNUMBER(SEARCH('02_대상물건입력'!B6,B2469)),1,0)))</f>
        <v/>
      </c>
      <c r="P2469" s="152">
        <f>IF(L2469="","",IF('02_대상물건입력'!B15="",0,IF(ISNUMBER(SEARCH('02_대상물건입력'!B15,L2469)),1,0)))</f>
        <v/>
      </c>
      <c r="Q2469" s="152">
        <f>IF(OR(C2469="",L2469=""),0,IF(AND(TRIM(C2469)=TRIM(RIGHT(SUBSTITUTE(TRIM('02_대상물건입력'!$B$7)," ",REPT(" ",99)),99)),IF('02_대상물건입력'!B15="",TRUE(),ISNUMBER(SEARCH('02_대상물건입력'!B15,L2469)))),1,0))</f>
        <v/>
      </c>
      <c r="R2469" s="175">
        <f>IFERROR(ABS(E2469-'02_대상물건입력'!B11)/'02_대상물건입력'!B11,"")</f>
        <v/>
      </c>
      <c r="S2469" s="152">
        <f>IFERROR(ABS(J2469-'02_대상물건입력'!B10),"")</f>
        <v/>
      </c>
      <c r="T2469" s="152">
        <f>IFERROR(ABS('01_설정'!B4-F2469),"")</f>
        <v/>
      </c>
      <c r="U2469" s="152">
        <f>IFERROR(ABS(K2469-YEAR('02_대상물건입력'!B14)),"")</f>
        <v/>
      </c>
      <c r="V2469" s="152">
        <f>IF(B2469="","",IF(AND(E2469&gt;0,F2469&gt;0,H2469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2469=1,TRUE()),R2469&lt;='01_설정'!B5,S2469&lt;='01_설정'!B6,T2469&lt;='01_설정'!B7,U2469&lt;='01_설정'!B8),"Y",""))</f>
        <v/>
      </c>
      <c r="W2469" s="172">
        <f>IF(V2469&lt;&gt;"Y","",MAX(0,(1-R2469/'01_설정'!B5))*'01_설정'!B14+MAX(0,(1-S2469/'01_설정'!B6))*'01_설정'!B15+MAX(0,(1-T2469/'01_설정'!B7))*'01_설정'!B16+MAX(0,(1-U2469/'01_설정'!B8))*'01_설정'!B17+O2469*'01_설정'!B11+Q2469*'01_설정'!B12+P2469*'01_설정'!B13+IF(Z2469="",0,Z2469))</f>
        <v/>
      </c>
      <c r="X2469" s="152">
        <f>IF(W2469="","",1+COUNTIFS($W$4:$W$3003,"&gt;"&amp;W2469)+COUNTIFS($W$4:W2469,W2469)-1)</f>
        <v/>
      </c>
      <c r="Y2469" s="175">
        <f>IF(OR(I2469="",'02_대상물건입력'!B19="",'02_대상물건입력'!B19&lt;=0),"",ABS(I2469-'02_대상물건입력'!B19)/'02_대상물건입력'!B19)</f>
        <v/>
      </c>
      <c r="Z2469" s="172">
        <f>IF(OR(Y2469="",'01_설정'!B31="",'01_설정'!B31&lt;=0,'01_설정'!B32="",'01_설정'!B32&lt;=0),"",MAX(0,(1-Y2469/'01_설정'!B32))*'01_설정'!B31)</f>
        <v/>
      </c>
    </row>
    <row r="2470" ht="17.25" customHeight="1">
      <c r="A2470" s="152">
        <f>IF(INDEX('04A_국토부원자료'!$A:$A,ROW()+1)="","",ROW()-3)</f>
        <v/>
      </c>
      <c r="B2470" s="48">
        <f>IFERROR(INDEX('04A_국토부원자료'!$A:$T,ROW()+1,MATCH("시군구",'04A_국토부원자료'!$A$4:$T$4,0)),"")</f>
        <v/>
      </c>
      <c r="C2470" s="48">
        <f>IF(B2470="","",IFERROR(INDEX('04A_국토부원자료'!$A:$T,ROW()+1,MATCH("번지",'04A_국토부원자료'!$A$4:$T$4,0)),""))</f>
        <v/>
      </c>
      <c r="D2470" s="48">
        <f>IF(B2470="","",IF(Q2470=1,'02_대상물건입력'!$B$8,IFERROR(INDEX('04A_국토부원자료'!$A:$T,ROW()+1,MATCH("단지명",'04A_국토부원자료'!$A$4:$T$4,0)),"")))</f>
        <v/>
      </c>
      <c r="E2470" s="172">
        <f>IFERROR(VALUE(SUBSTITUTE(INDEX('04A_국토부원자료'!$A:$T,ROW()+1,MATCH("전용면적(㎡)",'04A_국토부원자료'!$A$4:$T$4,0)),",","")),"")</f>
        <v/>
      </c>
      <c r="F24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70" s="51">
        <f>IFERROR(VALUE(SUBSTITUTE(INDEX('04A_국토부원자료'!$A:$T,ROW()+1,MATCH("거래금액(만원)",'04A_국토부원자료'!$A$4:$T$4,0)),",","")),"")</f>
        <v/>
      </c>
      <c r="H2470" s="174">
        <f>IF(G2470="","",G2470*10000)</f>
        <v/>
      </c>
      <c r="I2470" s="174">
        <f>IFERROR(IF(AND(H2470&gt;0,E2470&gt;0),H2470/E2470,""),"")</f>
        <v/>
      </c>
      <c r="J2470" s="152">
        <f>IFERROR(VALUE(SUBSTITUTE(INDEX('04A_국토부원자료'!$A:$T,ROW()+1,MATCH("층",'04A_국토부원자료'!$A$4:$T$4,0)),",","")),"")</f>
        <v/>
      </c>
      <c r="K2470" s="152">
        <f>IFERROR(VALUE(SUBSTITUTE(INDEX('04A_국토부원자료'!$A:$T,ROW()+1,MATCH("건축년도",'04A_국토부원자료'!$A$4:$T$4,0)),",","")),"")</f>
        <v/>
      </c>
      <c r="L2470" s="48">
        <f>IFERROR(INDEX('04A_국토부원자료'!$A:$T,ROW()+1,MATCH("도로명",'04A_국토부원자료'!$A$4:$T$4,0)),"")</f>
        <v/>
      </c>
      <c r="M2470" s="48">
        <f>IFERROR(INDEX('04A_국토부원자료'!$A:$T,ROW()+1,MATCH("거래유형",'04A_국토부원자료'!$A$4:$T$4,0)),"")</f>
        <v/>
      </c>
      <c r="N2470" s="152">
        <f>IF(B2470="","",IF('02_대상물건입력'!B5="",1,IF(ISNUMBER(SEARCH('02_대상물건입력'!B5,B2470)),1,0)))</f>
        <v/>
      </c>
      <c r="O2470" s="152">
        <f>IF(B2470="","",IF('02_대상물건입력'!B6="",1,IF(ISNUMBER(SEARCH('02_대상물건입력'!B6,B2470)),1,0)))</f>
        <v/>
      </c>
      <c r="P2470" s="152">
        <f>IF(L2470="","",IF('02_대상물건입력'!B15="",0,IF(ISNUMBER(SEARCH('02_대상물건입력'!B15,L2470)),1,0)))</f>
        <v/>
      </c>
      <c r="Q2470" s="152">
        <f>IF(OR(C2470="",L2470=""),0,IF(AND(TRIM(C2470)=TRIM(RIGHT(SUBSTITUTE(TRIM('02_대상물건입력'!$B$7)," ",REPT(" ",99)),99)),IF('02_대상물건입력'!B15="",TRUE(),ISNUMBER(SEARCH('02_대상물건입력'!B15,L2470)))),1,0))</f>
        <v/>
      </c>
      <c r="R2470" s="175">
        <f>IFERROR(ABS(E2470-'02_대상물건입력'!B11)/'02_대상물건입력'!B11,"")</f>
        <v/>
      </c>
      <c r="S2470" s="152">
        <f>IFERROR(ABS(J2470-'02_대상물건입력'!B10),"")</f>
        <v/>
      </c>
      <c r="T2470" s="152">
        <f>IFERROR(ABS('01_설정'!B4-F2470),"")</f>
        <v/>
      </c>
      <c r="U2470" s="152">
        <f>IFERROR(ABS(K2470-YEAR('02_대상물건입력'!B14)),"")</f>
        <v/>
      </c>
      <c r="V2470" s="152">
        <f>IF(B2470="","",IF(AND(E2470&gt;0,F2470&gt;0,H2470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2470=1,TRUE()),R2470&lt;='01_설정'!B5,S2470&lt;='01_설정'!B6,T2470&lt;='01_설정'!B7,U2470&lt;='01_설정'!B8),"Y",""))</f>
        <v/>
      </c>
      <c r="W2470" s="172">
        <f>IF(V2470&lt;&gt;"Y","",MAX(0,(1-R2470/'01_설정'!B5))*'01_설정'!B14+MAX(0,(1-S2470/'01_설정'!B6))*'01_설정'!B15+MAX(0,(1-T2470/'01_설정'!B7))*'01_설정'!B16+MAX(0,(1-U2470/'01_설정'!B8))*'01_설정'!B17+O2470*'01_설정'!B11+Q2470*'01_설정'!B12+P2470*'01_설정'!B13+IF(Z2470="",0,Z2470))</f>
        <v/>
      </c>
      <c r="X2470" s="152">
        <f>IF(W2470="","",1+COUNTIFS($W$4:$W$3003,"&gt;"&amp;W2470)+COUNTIFS($W$4:W2470,W2470)-1)</f>
        <v/>
      </c>
      <c r="Y2470" s="175">
        <f>IF(OR(I2470="",'02_대상물건입력'!B19="",'02_대상물건입력'!B19&lt;=0),"",ABS(I2470-'02_대상물건입력'!B19)/'02_대상물건입력'!B19)</f>
        <v/>
      </c>
      <c r="Z2470" s="172">
        <f>IF(OR(Y2470="",'01_설정'!B31="",'01_설정'!B31&lt;=0,'01_설정'!B32="",'01_설정'!B32&lt;=0),"",MAX(0,(1-Y2470/'01_설정'!B32))*'01_설정'!B31)</f>
        <v/>
      </c>
    </row>
    <row r="2471" ht="17.25" customHeight="1">
      <c r="A2471" s="152">
        <f>IF(INDEX('04A_국토부원자료'!$A:$A,ROW()+1)="","",ROW()-3)</f>
        <v/>
      </c>
      <c r="B2471" s="48">
        <f>IFERROR(INDEX('04A_국토부원자료'!$A:$T,ROW()+1,MATCH("시군구",'04A_국토부원자료'!$A$4:$T$4,0)),"")</f>
        <v/>
      </c>
      <c r="C2471" s="48">
        <f>IF(B2471="","",IFERROR(INDEX('04A_국토부원자료'!$A:$T,ROW()+1,MATCH("번지",'04A_국토부원자료'!$A$4:$T$4,0)),""))</f>
        <v/>
      </c>
      <c r="D2471" s="48">
        <f>IF(B2471="","",IF(Q2471=1,'02_대상물건입력'!$B$8,IFERROR(INDEX('04A_국토부원자료'!$A:$T,ROW()+1,MATCH("단지명",'04A_국토부원자료'!$A$4:$T$4,0)),"")))</f>
        <v/>
      </c>
      <c r="E2471" s="172">
        <f>IFERROR(VALUE(SUBSTITUTE(INDEX('04A_국토부원자료'!$A:$T,ROW()+1,MATCH("전용면적(㎡)",'04A_국토부원자료'!$A$4:$T$4,0)),",","")),"")</f>
        <v/>
      </c>
      <c r="F24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71" s="51">
        <f>IFERROR(VALUE(SUBSTITUTE(INDEX('04A_국토부원자료'!$A:$T,ROW()+1,MATCH("거래금액(만원)",'04A_국토부원자료'!$A$4:$T$4,0)),",","")),"")</f>
        <v/>
      </c>
      <c r="H2471" s="174">
        <f>IF(G2471="","",G2471*10000)</f>
        <v/>
      </c>
      <c r="I2471" s="174">
        <f>IFERROR(IF(AND(H2471&gt;0,E2471&gt;0),H2471/E2471,""),"")</f>
        <v/>
      </c>
      <c r="J2471" s="152">
        <f>IFERROR(VALUE(SUBSTITUTE(INDEX('04A_국토부원자료'!$A:$T,ROW()+1,MATCH("층",'04A_국토부원자료'!$A$4:$T$4,0)),",","")),"")</f>
        <v/>
      </c>
      <c r="K2471" s="152">
        <f>IFERROR(VALUE(SUBSTITUTE(INDEX('04A_국토부원자료'!$A:$T,ROW()+1,MATCH("건축년도",'04A_국토부원자료'!$A$4:$T$4,0)),",","")),"")</f>
        <v/>
      </c>
      <c r="L2471" s="48">
        <f>IFERROR(INDEX('04A_국토부원자료'!$A:$T,ROW()+1,MATCH("도로명",'04A_국토부원자료'!$A$4:$T$4,0)),"")</f>
        <v/>
      </c>
      <c r="M2471" s="48">
        <f>IFERROR(INDEX('04A_국토부원자료'!$A:$T,ROW()+1,MATCH("거래유형",'04A_국토부원자료'!$A$4:$T$4,0)),"")</f>
        <v/>
      </c>
      <c r="N2471" s="152">
        <f>IF(B2471="","",IF('02_대상물건입력'!B5="",1,IF(ISNUMBER(SEARCH('02_대상물건입력'!B5,B2471)),1,0)))</f>
        <v/>
      </c>
      <c r="O2471" s="152">
        <f>IF(B2471="","",IF('02_대상물건입력'!B6="",1,IF(ISNUMBER(SEARCH('02_대상물건입력'!B6,B2471)),1,0)))</f>
        <v/>
      </c>
      <c r="P2471" s="152">
        <f>IF(L2471="","",IF('02_대상물건입력'!B15="",0,IF(ISNUMBER(SEARCH('02_대상물건입력'!B15,L2471)),1,0)))</f>
        <v/>
      </c>
      <c r="Q2471" s="152">
        <f>IF(OR(C2471="",L2471=""),0,IF(AND(TRIM(C2471)=TRIM(RIGHT(SUBSTITUTE(TRIM('02_대상물건입력'!$B$7)," ",REPT(" ",99)),99)),IF('02_대상물건입력'!B15="",TRUE(),ISNUMBER(SEARCH('02_대상물건입력'!B15,L2471)))),1,0))</f>
        <v/>
      </c>
      <c r="R2471" s="175">
        <f>IFERROR(ABS(E2471-'02_대상물건입력'!B11)/'02_대상물건입력'!B11,"")</f>
        <v/>
      </c>
      <c r="S2471" s="152">
        <f>IFERROR(ABS(J2471-'02_대상물건입력'!B10),"")</f>
        <v/>
      </c>
      <c r="T2471" s="152">
        <f>IFERROR(ABS('01_설정'!B4-F2471),"")</f>
        <v/>
      </c>
      <c r="U2471" s="152">
        <f>IFERROR(ABS(K2471-YEAR('02_대상물건입력'!B14)),"")</f>
        <v/>
      </c>
      <c r="V2471" s="152">
        <f>IF(B2471="","",IF(AND(E2471&gt;0,F2471&gt;0,H2471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2471=1,TRUE()),R2471&lt;='01_설정'!B5,S2471&lt;='01_설정'!B6,T2471&lt;='01_설정'!B7,U2471&lt;='01_설정'!B8),"Y",""))</f>
        <v/>
      </c>
      <c r="W2471" s="172">
        <f>IF(V2471&lt;&gt;"Y","",MAX(0,(1-R2471/'01_설정'!B5))*'01_설정'!B14+MAX(0,(1-S2471/'01_설정'!B6))*'01_설정'!B15+MAX(0,(1-T2471/'01_설정'!B7))*'01_설정'!B16+MAX(0,(1-U2471/'01_설정'!B8))*'01_설정'!B17+O2471*'01_설정'!B11+Q2471*'01_설정'!B12+P2471*'01_설정'!B13+IF(Z2471="",0,Z2471))</f>
        <v/>
      </c>
      <c r="X2471" s="152">
        <f>IF(W2471="","",1+COUNTIFS($W$4:$W$3003,"&gt;"&amp;W2471)+COUNTIFS($W$4:W2471,W2471)-1)</f>
        <v/>
      </c>
      <c r="Y2471" s="175">
        <f>IF(OR(I2471="",'02_대상물건입력'!B19="",'02_대상물건입력'!B19&lt;=0),"",ABS(I2471-'02_대상물건입력'!B19)/'02_대상물건입력'!B19)</f>
        <v/>
      </c>
      <c r="Z2471" s="172">
        <f>IF(OR(Y2471="",'01_설정'!B31="",'01_설정'!B31&lt;=0,'01_설정'!B32="",'01_설정'!B32&lt;=0),"",MAX(0,(1-Y2471/'01_설정'!B32))*'01_설정'!B31)</f>
        <v/>
      </c>
    </row>
    <row r="2472" ht="17.25" customHeight="1">
      <c r="A2472" s="152">
        <f>IF(INDEX('04A_국토부원자료'!$A:$A,ROW()+1)="","",ROW()-3)</f>
        <v/>
      </c>
      <c r="B2472" s="48">
        <f>IFERROR(INDEX('04A_국토부원자료'!$A:$T,ROW()+1,MATCH("시군구",'04A_국토부원자료'!$A$4:$T$4,0)),"")</f>
        <v/>
      </c>
      <c r="C2472" s="48">
        <f>IF(B2472="","",IFERROR(INDEX('04A_국토부원자료'!$A:$T,ROW()+1,MATCH("번지",'04A_국토부원자료'!$A$4:$T$4,0)),""))</f>
        <v/>
      </c>
      <c r="D2472" s="48">
        <f>IF(B2472="","",IF(Q2472=1,'02_대상물건입력'!$B$8,IFERROR(INDEX('04A_국토부원자료'!$A:$T,ROW()+1,MATCH("단지명",'04A_국토부원자료'!$A$4:$T$4,0)),"")))</f>
        <v/>
      </c>
      <c r="E2472" s="172">
        <f>IFERROR(VALUE(SUBSTITUTE(INDEX('04A_국토부원자료'!$A:$T,ROW()+1,MATCH("전용면적(㎡)",'04A_국토부원자료'!$A$4:$T$4,0)),",","")),"")</f>
        <v/>
      </c>
      <c r="F24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72" s="51">
        <f>IFERROR(VALUE(SUBSTITUTE(INDEX('04A_국토부원자료'!$A:$T,ROW()+1,MATCH("거래금액(만원)",'04A_국토부원자료'!$A$4:$T$4,0)),",","")),"")</f>
        <v/>
      </c>
      <c r="H2472" s="174">
        <f>IF(G2472="","",G2472*10000)</f>
        <v/>
      </c>
      <c r="I2472" s="174">
        <f>IFERROR(IF(AND(H2472&gt;0,E2472&gt;0),H2472/E2472,""),"")</f>
        <v/>
      </c>
      <c r="J2472" s="152">
        <f>IFERROR(VALUE(SUBSTITUTE(INDEX('04A_국토부원자료'!$A:$T,ROW()+1,MATCH("층",'04A_국토부원자료'!$A$4:$T$4,0)),",","")),"")</f>
        <v/>
      </c>
      <c r="K2472" s="152">
        <f>IFERROR(VALUE(SUBSTITUTE(INDEX('04A_국토부원자료'!$A:$T,ROW()+1,MATCH("건축년도",'04A_국토부원자료'!$A$4:$T$4,0)),",","")),"")</f>
        <v/>
      </c>
      <c r="L2472" s="48">
        <f>IFERROR(INDEX('04A_국토부원자료'!$A:$T,ROW()+1,MATCH("도로명",'04A_국토부원자료'!$A$4:$T$4,0)),"")</f>
        <v/>
      </c>
      <c r="M2472" s="48">
        <f>IFERROR(INDEX('04A_국토부원자료'!$A:$T,ROW()+1,MATCH("거래유형",'04A_국토부원자료'!$A$4:$T$4,0)),"")</f>
        <v/>
      </c>
      <c r="N2472" s="152">
        <f>IF(B2472="","",IF('02_대상물건입력'!B5="",1,IF(ISNUMBER(SEARCH('02_대상물건입력'!B5,B2472)),1,0)))</f>
        <v/>
      </c>
      <c r="O2472" s="152">
        <f>IF(B2472="","",IF('02_대상물건입력'!B6="",1,IF(ISNUMBER(SEARCH('02_대상물건입력'!B6,B2472)),1,0)))</f>
        <v/>
      </c>
      <c r="P2472" s="152">
        <f>IF(L2472="","",IF('02_대상물건입력'!B15="",0,IF(ISNUMBER(SEARCH('02_대상물건입력'!B15,L2472)),1,0)))</f>
        <v/>
      </c>
      <c r="Q2472" s="152">
        <f>IF(OR(C2472="",L2472=""),0,IF(AND(TRIM(C2472)=TRIM(RIGHT(SUBSTITUTE(TRIM('02_대상물건입력'!$B$7)," ",REPT(" ",99)),99)),IF('02_대상물건입력'!B15="",TRUE(),ISNUMBER(SEARCH('02_대상물건입력'!B15,L2472)))),1,0))</f>
        <v/>
      </c>
      <c r="R2472" s="175">
        <f>IFERROR(ABS(E2472-'02_대상물건입력'!B11)/'02_대상물건입력'!B11,"")</f>
        <v/>
      </c>
      <c r="S2472" s="152">
        <f>IFERROR(ABS(J2472-'02_대상물건입력'!B10),"")</f>
        <v/>
      </c>
      <c r="T2472" s="152">
        <f>IFERROR(ABS('01_설정'!B4-F2472),"")</f>
        <v/>
      </c>
      <c r="U2472" s="152">
        <f>IFERROR(ABS(K2472-YEAR('02_대상물건입력'!B14)),"")</f>
        <v/>
      </c>
      <c r="V2472" s="152">
        <f>IF(B2472="","",IF(AND(E2472&gt;0,F2472&gt;0,H2472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2472=1,TRUE()),R2472&lt;='01_설정'!B5,S2472&lt;='01_설정'!B6,T2472&lt;='01_설정'!B7,U2472&lt;='01_설정'!B8),"Y",""))</f>
        <v/>
      </c>
      <c r="W2472" s="172">
        <f>IF(V2472&lt;&gt;"Y","",MAX(0,(1-R2472/'01_설정'!B5))*'01_설정'!B14+MAX(0,(1-S2472/'01_설정'!B6))*'01_설정'!B15+MAX(0,(1-T2472/'01_설정'!B7))*'01_설정'!B16+MAX(0,(1-U2472/'01_설정'!B8))*'01_설정'!B17+O2472*'01_설정'!B11+Q2472*'01_설정'!B12+P2472*'01_설정'!B13+IF(Z2472="",0,Z2472))</f>
        <v/>
      </c>
      <c r="X2472" s="152">
        <f>IF(W2472="","",1+COUNTIFS($W$4:$W$3003,"&gt;"&amp;W2472)+COUNTIFS($W$4:W2472,W2472)-1)</f>
        <v/>
      </c>
      <c r="Y2472" s="175">
        <f>IF(OR(I2472="",'02_대상물건입력'!B19="",'02_대상물건입력'!B19&lt;=0),"",ABS(I2472-'02_대상물건입력'!B19)/'02_대상물건입력'!B19)</f>
        <v/>
      </c>
      <c r="Z2472" s="172">
        <f>IF(OR(Y2472="",'01_설정'!B31="",'01_설정'!B31&lt;=0,'01_설정'!B32="",'01_설정'!B32&lt;=0),"",MAX(0,(1-Y2472/'01_설정'!B32))*'01_설정'!B31)</f>
        <v/>
      </c>
    </row>
    <row r="2473" ht="17.25" customHeight="1">
      <c r="A2473" s="152">
        <f>IF(INDEX('04A_국토부원자료'!$A:$A,ROW()+1)="","",ROW()-3)</f>
        <v/>
      </c>
      <c r="B2473" s="48">
        <f>IFERROR(INDEX('04A_국토부원자료'!$A:$T,ROW()+1,MATCH("시군구",'04A_국토부원자료'!$A$4:$T$4,0)),"")</f>
        <v/>
      </c>
      <c r="C2473" s="48">
        <f>IF(B2473="","",IFERROR(INDEX('04A_국토부원자료'!$A:$T,ROW()+1,MATCH("번지",'04A_국토부원자료'!$A$4:$T$4,0)),""))</f>
        <v/>
      </c>
      <c r="D2473" s="48">
        <f>IF(B2473="","",IF(Q2473=1,'02_대상물건입력'!$B$8,IFERROR(INDEX('04A_국토부원자료'!$A:$T,ROW()+1,MATCH("단지명",'04A_국토부원자료'!$A$4:$T$4,0)),"")))</f>
        <v/>
      </c>
      <c r="E2473" s="172">
        <f>IFERROR(VALUE(SUBSTITUTE(INDEX('04A_국토부원자료'!$A:$T,ROW()+1,MATCH("전용면적(㎡)",'04A_국토부원자료'!$A$4:$T$4,0)),",","")),"")</f>
        <v/>
      </c>
      <c r="F24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73" s="51">
        <f>IFERROR(VALUE(SUBSTITUTE(INDEX('04A_국토부원자료'!$A:$T,ROW()+1,MATCH("거래금액(만원)",'04A_국토부원자료'!$A$4:$T$4,0)),",","")),"")</f>
        <v/>
      </c>
      <c r="H2473" s="174">
        <f>IF(G2473="","",G2473*10000)</f>
        <v/>
      </c>
      <c r="I2473" s="174">
        <f>IFERROR(IF(AND(H2473&gt;0,E2473&gt;0),H2473/E2473,""),"")</f>
        <v/>
      </c>
      <c r="J2473" s="152">
        <f>IFERROR(VALUE(SUBSTITUTE(INDEX('04A_국토부원자료'!$A:$T,ROW()+1,MATCH("층",'04A_국토부원자료'!$A$4:$T$4,0)),",","")),"")</f>
        <v/>
      </c>
      <c r="K2473" s="152">
        <f>IFERROR(VALUE(SUBSTITUTE(INDEX('04A_국토부원자료'!$A:$T,ROW()+1,MATCH("건축년도",'04A_국토부원자료'!$A$4:$T$4,0)),",","")),"")</f>
        <v/>
      </c>
      <c r="L2473" s="48">
        <f>IFERROR(INDEX('04A_국토부원자료'!$A:$T,ROW()+1,MATCH("도로명",'04A_국토부원자료'!$A$4:$T$4,0)),"")</f>
        <v/>
      </c>
      <c r="M2473" s="48">
        <f>IFERROR(INDEX('04A_국토부원자료'!$A:$T,ROW()+1,MATCH("거래유형",'04A_국토부원자료'!$A$4:$T$4,0)),"")</f>
        <v/>
      </c>
      <c r="N2473" s="152">
        <f>IF(B2473="","",IF('02_대상물건입력'!B5="",1,IF(ISNUMBER(SEARCH('02_대상물건입력'!B5,B2473)),1,0)))</f>
        <v/>
      </c>
      <c r="O2473" s="152">
        <f>IF(B2473="","",IF('02_대상물건입력'!B6="",1,IF(ISNUMBER(SEARCH('02_대상물건입력'!B6,B2473)),1,0)))</f>
        <v/>
      </c>
      <c r="P2473" s="152">
        <f>IF(L2473="","",IF('02_대상물건입력'!B15="",0,IF(ISNUMBER(SEARCH('02_대상물건입력'!B15,L2473)),1,0)))</f>
        <v/>
      </c>
      <c r="Q2473" s="152">
        <f>IF(OR(C2473="",L2473=""),0,IF(AND(TRIM(C2473)=TRIM(RIGHT(SUBSTITUTE(TRIM('02_대상물건입력'!$B$7)," ",REPT(" ",99)),99)),IF('02_대상물건입력'!B15="",TRUE(),ISNUMBER(SEARCH('02_대상물건입력'!B15,L2473)))),1,0))</f>
        <v/>
      </c>
      <c r="R2473" s="175">
        <f>IFERROR(ABS(E2473-'02_대상물건입력'!B11)/'02_대상물건입력'!B11,"")</f>
        <v/>
      </c>
      <c r="S2473" s="152">
        <f>IFERROR(ABS(J2473-'02_대상물건입력'!B10),"")</f>
        <v/>
      </c>
      <c r="T2473" s="152">
        <f>IFERROR(ABS('01_설정'!B4-F2473),"")</f>
        <v/>
      </c>
      <c r="U2473" s="152">
        <f>IFERROR(ABS(K2473-YEAR('02_대상물건입력'!B14)),"")</f>
        <v/>
      </c>
      <c r="V2473" s="152">
        <f>IF(B2473="","",IF(AND(E2473&gt;0,F2473&gt;0,H2473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2473=1,TRUE()),R2473&lt;='01_설정'!B5,S2473&lt;='01_설정'!B6,T2473&lt;='01_설정'!B7,U2473&lt;='01_설정'!B8),"Y",""))</f>
        <v/>
      </c>
      <c r="W2473" s="172">
        <f>IF(V2473&lt;&gt;"Y","",MAX(0,(1-R2473/'01_설정'!B5))*'01_설정'!B14+MAX(0,(1-S2473/'01_설정'!B6))*'01_설정'!B15+MAX(0,(1-T2473/'01_설정'!B7))*'01_설정'!B16+MAX(0,(1-U2473/'01_설정'!B8))*'01_설정'!B17+O2473*'01_설정'!B11+Q2473*'01_설정'!B12+P2473*'01_설정'!B13+IF(Z2473="",0,Z2473))</f>
        <v/>
      </c>
      <c r="X2473" s="152">
        <f>IF(W2473="","",1+COUNTIFS($W$4:$W$3003,"&gt;"&amp;W2473)+COUNTIFS($W$4:W2473,W2473)-1)</f>
        <v/>
      </c>
      <c r="Y2473" s="175">
        <f>IF(OR(I2473="",'02_대상물건입력'!B19="",'02_대상물건입력'!B19&lt;=0),"",ABS(I2473-'02_대상물건입력'!B19)/'02_대상물건입력'!B19)</f>
        <v/>
      </c>
      <c r="Z2473" s="172">
        <f>IF(OR(Y2473="",'01_설정'!B31="",'01_설정'!B31&lt;=0,'01_설정'!B32="",'01_설정'!B32&lt;=0),"",MAX(0,(1-Y2473/'01_설정'!B32))*'01_설정'!B31)</f>
        <v/>
      </c>
    </row>
    <row r="2474" ht="17.25" customHeight="1">
      <c r="A2474" s="152">
        <f>IF(INDEX('04A_국토부원자료'!$A:$A,ROW()+1)="","",ROW()-3)</f>
        <v/>
      </c>
      <c r="B2474" s="48">
        <f>IFERROR(INDEX('04A_국토부원자료'!$A:$T,ROW()+1,MATCH("시군구",'04A_국토부원자료'!$A$4:$T$4,0)),"")</f>
        <v/>
      </c>
      <c r="C2474" s="48">
        <f>IF(B2474="","",IFERROR(INDEX('04A_국토부원자료'!$A:$T,ROW()+1,MATCH("번지",'04A_국토부원자료'!$A$4:$T$4,0)),""))</f>
        <v/>
      </c>
      <c r="D2474" s="48">
        <f>IF(B2474="","",IF(Q2474=1,'02_대상물건입력'!$B$8,IFERROR(INDEX('04A_국토부원자료'!$A:$T,ROW()+1,MATCH("단지명",'04A_국토부원자료'!$A$4:$T$4,0)),"")))</f>
        <v/>
      </c>
      <c r="E2474" s="172">
        <f>IFERROR(VALUE(SUBSTITUTE(INDEX('04A_국토부원자료'!$A:$T,ROW()+1,MATCH("전용면적(㎡)",'04A_국토부원자료'!$A$4:$T$4,0)),",","")),"")</f>
        <v/>
      </c>
      <c r="F24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74" s="51">
        <f>IFERROR(VALUE(SUBSTITUTE(INDEX('04A_국토부원자료'!$A:$T,ROW()+1,MATCH("거래금액(만원)",'04A_국토부원자료'!$A$4:$T$4,0)),",","")),"")</f>
        <v/>
      </c>
      <c r="H2474" s="174">
        <f>IF(G2474="","",G2474*10000)</f>
        <v/>
      </c>
      <c r="I2474" s="174">
        <f>IFERROR(IF(AND(H2474&gt;0,E2474&gt;0),H2474/E2474,""),"")</f>
        <v/>
      </c>
      <c r="J2474" s="152">
        <f>IFERROR(VALUE(SUBSTITUTE(INDEX('04A_국토부원자료'!$A:$T,ROW()+1,MATCH("층",'04A_국토부원자료'!$A$4:$T$4,0)),",","")),"")</f>
        <v/>
      </c>
      <c r="K2474" s="152">
        <f>IFERROR(VALUE(SUBSTITUTE(INDEX('04A_국토부원자료'!$A:$T,ROW()+1,MATCH("건축년도",'04A_국토부원자료'!$A$4:$T$4,0)),",","")),"")</f>
        <v/>
      </c>
      <c r="L2474" s="48">
        <f>IFERROR(INDEX('04A_국토부원자료'!$A:$T,ROW()+1,MATCH("도로명",'04A_국토부원자료'!$A$4:$T$4,0)),"")</f>
        <v/>
      </c>
      <c r="M2474" s="48">
        <f>IFERROR(INDEX('04A_국토부원자료'!$A:$T,ROW()+1,MATCH("거래유형",'04A_국토부원자료'!$A$4:$T$4,0)),"")</f>
        <v/>
      </c>
      <c r="N2474" s="152">
        <f>IF(B2474="","",IF('02_대상물건입력'!B5="",1,IF(ISNUMBER(SEARCH('02_대상물건입력'!B5,B2474)),1,0)))</f>
        <v/>
      </c>
      <c r="O2474" s="152">
        <f>IF(B2474="","",IF('02_대상물건입력'!B6="",1,IF(ISNUMBER(SEARCH('02_대상물건입력'!B6,B2474)),1,0)))</f>
        <v/>
      </c>
      <c r="P2474" s="152">
        <f>IF(L2474="","",IF('02_대상물건입력'!B15="",0,IF(ISNUMBER(SEARCH('02_대상물건입력'!B15,L2474)),1,0)))</f>
        <v/>
      </c>
      <c r="Q2474" s="152">
        <f>IF(OR(C2474="",L2474=""),0,IF(AND(TRIM(C2474)=TRIM(RIGHT(SUBSTITUTE(TRIM('02_대상물건입력'!$B$7)," ",REPT(" ",99)),99)),IF('02_대상물건입력'!B15="",TRUE(),ISNUMBER(SEARCH('02_대상물건입력'!B15,L2474)))),1,0))</f>
        <v/>
      </c>
      <c r="R2474" s="175">
        <f>IFERROR(ABS(E2474-'02_대상물건입력'!B11)/'02_대상물건입력'!B11,"")</f>
        <v/>
      </c>
      <c r="S2474" s="152">
        <f>IFERROR(ABS(J2474-'02_대상물건입력'!B10),"")</f>
        <v/>
      </c>
      <c r="T2474" s="152">
        <f>IFERROR(ABS('01_설정'!B4-F2474),"")</f>
        <v/>
      </c>
      <c r="U2474" s="152">
        <f>IFERROR(ABS(K2474-YEAR('02_대상물건입력'!B14)),"")</f>
        <v/>
      </c>
      <c r="V2474" s="152">
        <f>IF(B2474="","",IF(AND(E2474&gt;0,F2474&gt;0,H2474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2474=1,TRUE()),R2474&lt;='01_설정'!B5,S2474&lt;='01_설정'!B6,T2474&lt;='01_설정'!B7,U2474&lt;='01_설정'!B8),"Y",""))</f>
        <v/>
      </c>
      <c r="W2474" s="172">
        <f>IF(V2474&lt;&gt;"Y","",MAX(0,(1-R2474/'01_설정'!B5))*'01_설정'!B14+MAX(0,(1-S2474/'01_설정'!B6))*'01_설정'!B15+MAX(0,(1-T2474/'01_설정'!B7))*'01_설정'!B16+MAX(0,(1-U2474/'01_설정'!B8))*'01_설정'!B17+O2474*'01_설정'!B11+Q2474*'01_설정'!B12+P2474*'01_설정'!B13+IF(Z2474="",0,Z2474))</f>
        <v/>
      </c>
      <c r="X2474" s="152">
        <f>IF(W2474="","",1+COUNTIFS($W$4:$W$3003,"&gt;"&amp;W2474)+COUNTIFS($W$4:W2474,W2474)-1)</f>
        <v/>
      </c>
      <c r="Y2474" s="175">
        <f>IF(OR(I2474="",'02_대상물건입력'!B19="",'02_대상물건입력'!B19&lt;=0),"",ABS(I2474-'02_대상물건입력'!B19)/'02_대상물건입력'!B19)</f>
        <v/>
      </c>
      <c r="Z2474" s="172">
        <f>IF(OR(Y2474="",'01_설정'!B31="",'01_설정'!B31&lt;=0,'01_설정'!B32="",'01_설정'!B32&lt;=0),"",MAX(0,(1-Y2474/'01_설정'!B32))*'01_설정'!B31)</f>
        <v/>
      </c>
    </row>
    <row r="2475" ht="17.25" customHeight="1">
      <c r="A2475" s="152">
        <f>IF(INDEX('04A_국토부원자료'!$A:$A,ROW()+1)="","",ROW()-3)</f>
        <v/>
      </c>
      <c r="B2475" s="48">
        <f>IFERROR(INDEX('04A_국토부원자료'!$A:$T,ROW()+1,MATCH("시군구",'04A_국토부원자료'!$A$4:$T$4,0)),"")</f>
        <v/>
      </c>
      <c r="C2475" s="48">
        <f>IF(B2475="","",IFERROR(INDEX('04A_국토부원자료'!$A:$T,ROW()+1,MATCH("번지",'04A_국토부원자료'!$A$4:$T$4,0)),""))</f>
        <v/>
      </c>
      <c r="D2475" s="48">
        <f>IF(B2475="","",IF(Q2475=1,'02_대상물건입력'!$B$8,IFERROR(INDEX('04A_국토부원자료'!$A:$T,ROW()+1,MATCH("단지명",'04A_국토부원자료'!$A$4:$T$4,0)),"")))</f>
        <v/>
      </c>
      <c r="E2475" s="172">
        <f>IFERROR(VALUE(SUBSTITUTE(INDEX('04A_국토부원자료'!$A:$T,ROW()+1,MATCH("전용면적(㎡)",'04A_국토부원자료'!$A$4:$T$4,0)),",","")),"")</f>
        <v/>
      </c>
      <c r="F24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75" s="51">
        <f>IFERROR(VALUE(SUBSTITUTE(INDEX('04A_국토부원자료'!$A:$T,ROW()+1,MATCH("거래금액(만원)",'04A_국토부원자료'!$A$4:$T$4,0)),",","")),"")</f>
        <v/>
      </c>
      <c r="H2475" s="174">
        <f>IF(G2475="","",G2475*10000)</f>
        <v/>
      </c>
      <c r="I2475" s="174">
        <f>IFERROR(IF(AND(H2475&gt;0,E2475&gt;0),H2475/E2475,""),"")</f>
        <v/>
      </c>
      <c r="J2475" s="152">
        <f>IFERROR(VALUE(SUBSTITUTE(INDEX('04A_국토부원자료'!$A:$T,ROW()+1,MATCH("층",'04A_국토부원자료'!$A$4:$T$4,0)),",","")),"")</f>
        <v/>
      </c>
      <c r="K2475" s="152">
        <f>IFERROR(VALUE(SUBSTITUTE(INDEX('04A_국토부원자료'!$A:$T,ROW()+1,MATCH("건축년도",'04A_국토부원자료'!$A$4:$T$4,0)),",","")),"")</f>
        <v/>
      </c>
      <c r="L2475" s="48">
        <f>IFERROR(INDEX('04A_국토부원자료'!$A:$T,ROW()+1,MATCH("도로명",'04A_국토부원자료'!$A$4:$T$4,0)),"")</f>
        <v/>
      </c>
      <c r="M2475" s="48">
        <f>IFERROR(INDEX('04A_국토부원자료'!$A:$T,ROW()+1,MATCH("거래유형",'04A_국토부원자료'!$A$4:$T$4,0)),"")</f>
        <v/>
      </c>
      <c r="N2475" s="152">
        <f>IF(B2475="","",IF('02_대상물건입력'!B5="",1,IF(ISNUMBER(SEARCH('02_대상물건입력'!B5,B2475)),1,0)))</f>
        <v/>
      </c>
      <c r="O2475" s="152">
        <f>IF(B2475="","",IF('02_대상물건입력'!B6="",1,IF(ISNUMBER(SEARCH('02_대상물건입력'!B6,B2475)),1,0)))</f>
        <v/>
      </c>
      <c r="P2475" s="152">
        <f>IF(L2475="","",IF('02_대상물건입력'!B15="",0,IF(ISNUMBER(SEARCH('02_대상물건입력'!B15,L2475)),1,0)))</f>
        <v/>
      </c>
      <c r="Q2475" s="152">
        <f>IF(OR(C2475="",L2475=""),0,IF(AND(TRIM(C2475)=TRIM(RIGHT(SUBSTITUTE(TRIM('02_대상물건입력'!$B$7)," ",REPT(" ",99)),99)),IF('02_대상물건입력'!B15="",TRUE(),ISNUMBER(SEARCH('02_대상물건입력'!B15,L2475)))),1,0))</f>
        <v/>
      </c>
      <c r="R2475" s="175">
        <f>IFERROR(ABS(E2475-'02_대상물건입력'!B11)/'02_대상물건입력'!B11,"")</f>
        <v/>
      </c>
      <c r="S2475" s="152">
        <f>IFERROR(ABS(J2475-'02_대상물건입력'!B10),"")</f>
        <v/>
      </c>
      <c r="T2475" s="152">
        <f>IFERROR(ABS('01_설정'!B4-F2475),"")</f>
        <v/>
      </c>
      <c r="U2475" s="152">
        <f>IFERROR(ABS(K2475-YEAR('02_대상물건입력'!B14)),"")</f>
        <v/>
      </c>
      <c r="V2475" s="152">
        <f>IF(B2475="","",IF(AND(E2475&gt;0,F2475&gt;0,H2475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2475=1,TRUE()),R2475&lt;='01_설정'!B5,S2475&lt;='01_설정'!B6,T2475&lt;='01_설정'!B7,U2475&lt;='01_설정'!B8),"Y",""))</f>
        <v/>
      </c>
      <c r="W2475" s="172">
        <f>IF(V2475&lt;&gt;"Y","",MAX(0,(1-R2475/'01_설정'!B5))*'01_설정'!B14+MAX(0,(1-S2475/'01_설정'!B6))*'01_설정'!B15+MAX(0,(1-T2475/'01_설정'!B7))*'01_설정'!B16+MAX(0,(1-U2475/'01_설정'!B8))*'01_설정'!B17+O2475*'01_설정'!B11+Q2475*'01_설정'!B12+P2475*'01_설정'!B13+IF(Z2475="",0,Z2475))</f>
        <v/>
      </c>
      <c r="X2475" s="152">
        <f>IF(W2475="","",1+COUNTIFS($W$4:$W$3003,"&gt;"&amp;W2475)+COUNTIFS($W$4:W2475,W2475)-1)</f>
        <v/>
      </c>
      <c r="Y2475" s="175">
        <f>IF(OR(I2475="",'02_대상물건입력'!B19="",'02_대상물건입력'!B19&lt;=0),"",ABS(I2475-'02_대상물건입력'!B19)/'02_대상물건입력'!B19)</f>
        <v/>
      </c>
      <c r="Z2475" s="172">
        <f>IF(OR(Y2475="",'01_설정'!B31="",'01_설정'!B31&lt;=0,'01_설정'!B32="",'01_설정'!B32&lt;=0),"",MAX(0,(1-Y2475/'01_설정'!B32))*'01_설정'!B31)</f>
        <v/>
      </c>
    </row>
    <row r="2476" ht="17.25" customHeight="1">
      <c r="A2476" s="152">
        <f>IF(INDEX('04A_국토부원자료'!$A:$A,ROW()+1)="","",ROW()-3)</f>
        <v/>
      </c>
      <c r="B2476" s="48">
        <f>IFERROR(INDEX('04A_국토부원자료'!$A:$T,ROW()+1,MATCH("시군구",'04A_국토부원자료'!$A$4:$T$4,0)),"")</f>
        <v/>
      </c>
      <c r="C2476" s="48">
        <f>IF(B2476="","",IFERROR(INDEX('04A_국토부원자료'!$A:$T,ROW()+1,MATCH("번지",'04A_국토부원자료'!$A$4:$T$4,0)),""))</f>
        <v/>
      </c>
      <c r="D2476" s="48">
        <f>IF(B2476="","",IF(Q2476=1,'02_대상물건입력'!$B$8,IFERROR(INDEX('04A_국토부원자료'!$A:$T,ROW()+1,MATCH("단지명",'04A_국토부원자료'!$A$4:$T$4,0)),"")))</f>
        <v/>
      </c>
      <c r="E2476" s="172">
        <f>IFERROR(VALUE(SUBSTITUTE(INDEX('04A_국토부원자료'!$A:$T,ROW()+1,MATCH("전용면적(㎡)",'04A_국토부원자료'!$A$4:$T$4,0)),",","")),"")</f>
        <v/>
      </c>
      <c r="F24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76" s="51">
        <f>IFERROR(VALUE(SUBSTITUTE(INDEX('04A_국토부원자료'!$A:$T,ROW()+1,MATCH("거래금액(만원)",'04A_국토부원자료'!$A$4:$T$4,0)),",","")),"")</f>
        <v/>
      </c>
      <c r="H2476" s="174">
        <f>IF(G2476="","",G2476*10000)</f>
        <v/>
      </c>
      <c r="I2476" s="174">
        <f>IFERROR(IF(AND(H2476&gt;0,E2476&gt;0),H2476/E2476,""),"")</f>
        <v/>
      </c>
      <c r="J2476" s="152">
        <f>IFERROR(VALUE(SUBSTITUTE(INDEX('04A_국토부원자료'!$A:$T,ROW()+1,MATCH("층",'04A_국토부원자료'!$A$4:$T$4,0)),",","")),"")</f>
        <v/>
      </c>
      <c r="K2476" s="152">
        <f>IFERROR(VALUE(SUBSTITUTE(INDEX('04A_국토부원자료'!$A:$T,ROW()+1,MATCH("건축년도",'04A_국토부원자료'!$A$4:$T$4,0)),",","")),"")</f>
        <v/>
      </c>
      <c r="L2476" s="48">
        <f>IFERROR(INDEX('04A_국토부원자료'!$A:$T,ROW()+1,MATCH("도로명",'04A_국토부원자료'!$A$4:$T$4,0)),"")</f>
        <v/>
      </c>
      <c r="M2476" s="48">
        <f>IFERROR(INDEX('04A_국토부원자료'!$A:$T,ROW()+1,MATCH("거래유형",'04A_국토부원자료'!$A$4:$T$4,0)),"")</f>
        <v/>
      </c>
      <c r="N2476" s="152">
        <f>IF(B2476="","",IF('02_대상물건입력'!B5="",1,IF(ISNUMBER(SEARCH('02_대상물건입력'!B5,B2476)),1,0)))</f>
        <v/>
      </c>
      <c r="O2476" s="152">
        <f>IF(B2476="","",IF('02_대상물건입력'!B6="",1,IF(ISNUMBER(SEARCH('02_대상물건입력'!B6,B2476)),1,0)))</f>
        <v/>
      </c>
      <c r="P2476" s="152">
        <f>IF(L2476="","",IF('02_대상물건입력'!B15="",0,IF(ISNUMBER(SEARCH('02_대상물건입력'!B15,L2476)),1,0)))</f>
        <v/>
      </c>
      <c r="Q2476" s="152">
        <f>IF(OR(C2476="",L2476=""),0,IF(AND(TRIM(C2476)=TRIM(RIGHT(SUBSTITUTE(TRIM('02_대상물건입력'!$B$7)," ",REPT(" ",99)),99)),IF('02_대상물건입력'!B15="",TRUE(),ISNUMBER(SEARCH('02_대상물건입력'!B15,L2476)))),1,0))</f>
        <v/>
      </c>
      <c r="R2476" s="175">
        <f>IFERROR(ABS(E2476-'02_대상물건입력'!B11)/'02_대상물건입력'!B11,"")</f>
        <v/>
      </c>
      <c r="S2476" s="152">
        <f>IFERROR(ABS(J2476-'02_대상물건입력'!B10),"")</f>
        <v/>
      </c>
      <c r="T2476" s="152">
        <f>IFERROR(ABS('01_설정'!B4-F2476),"")</f>
        <v/>
      </c>
      <c r="U2476" s="152">
        <f>IFERROR(ABS(K2476-YEAR('02_대상물건입력'!B14)),"")</f>
        <v/>
      </c>
      <c r="V2476" s="152">
        <f>IF(B2476="","",IF(AND(E2476&gt;0,F2476&gt;0,H2476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2476=1,TRUE()),R2476&lt;='01_설정'!B5,S2476&lt;='01_설정'!B6,T2476&lt;='01_설정'!B7,U2476&lt;='01_설정'!B8),"Y",""))</f>
        <v/>
      </c>
      <c r="W2476" s="172">
        <f>IF(V2476&lt;&gt;"Y","",MAX(0,(1-R2476/'01_설정'!B5))*'01_설정'!B14+MAX(0,(1-S2476/'01_설정'!B6))*'01_설정'!B15+MAX(0,(1-T2476/'01_설정'!B7))*'01_설정'!B16+MAX(0,(1-U2476/'01_설정'!B8))*'01_설정'!B17+O2476*'01_설정'!B11+Q2476*'01_설정'!B12+P2476*'01_설정'!B13+IF(Z2476="",0,Z2476))</f>
        <v/>
      </c>
      <c r="X2476" s="152">
        <f>IF(W2476="","",1+COUNTIFS($W$4:$W$3003,"&gt;"&amp;W2476)+COUNTIFS($W$4:W2476,W2476)-1)</f>
        <v/>
      </c>
      <c r="Y2476" s="175">
        <f>IF(OR(I2476="",'02_대상물건입력'!B19="",'02_대상물건입력'!B19&lt;=0),"",ABS(I2476-'02_대상물건입력'!B19)/'02_대상물건입력'!B19)</f>
        <v/>
      </c>
      <c r="Z2476" s="172">
        <f>IF(OR(Y2476="",'01_설정'!B31="",'01_설정'!B31&lt;=0,'01_설정'!B32="",'01_설정'!B32&lt;=0),"",MAX(0,(1-Y2476/'01_설정'!B32))*'01_설정'!B31)</f>
        <v/>
      </c>
    </row>
    <row r="2477" ht="17.25" customHeight="1">
      <c r="A2477" s="152">
        <f>IF(INDEX('04A_국토부원자료'!$A:$A,ROW()+1)="","",ROW()-3)</f>
        <v/>
      </c>
      <c r="B2477" s="48">
        <f>IFERROR(INDEX('04A_국토부원자료'!$A:$T,ROW()+1,MATCH("시군구",'04A_국토부원자료'!$A$4:$T$4,0)),"")</f>
        <v/>
      </c>
      <c r="C2477" s="48">
        <f>IF(B2477="","",IFERROR(INDEX('04A_국토부원자료'!$A:$T,ROW()+1,MATCH("번지",'04A_국토부원자료'!$A$4:$T$4,0)),""))</f>
        <v/>
      </c>
      <c r="D2477" s="48">
        <f>IF(B2477="","",IF(Q2477=1,'02_대상물건입력'!$B$8,IFERROR(INDEX('04A_국토부원자료'!$A:$T,ROW()+1,MATCH("단지명",'04A_국토부원자료'!$A$4:$T$4,0)),"")))</f>
        <v/>
      </c>
      <c r="E2477" s="172">
        <f>IFERROR(VALUE(SUBSTITUTE(INDEX('04A_국토부원자료'!$A:$T,ROW()+1,MATCH("전용면적(㎡)",'04A_국토부원자료'!$A$4:$T$4,0)),",","")),"")</f>
        <v/>
      </c>
      <c r="F24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77" s="51">
        <f>IFERROR(VALUE(SUBSTITUTE(INDEX('04A_국토부원자료'!$A:$T,ROW()+1,MATCH("거래금액(만원)",'04A_국토부원자료'!$A$4:$T$4,0)),",","")),"")</f>
        <v/>
      </c>
      <c r="H2477" s="174">
        <f>IF(G2477="","",G2477*10000)</f>
        <v/>
      </c>
      <c r="I2477" s="174">
        <f>IFERROR(IF(AND(H2477&gt;0,E2477&gt;0),H2477/E2477,""),"")</f>
        <v/>
      </c>
      <c r="J2477" s="152">
        <f>IFERROR(VALUE(SUBSTITUTE(INDEX('04A_국토부원자료'!$A:$T,ROW()+1,MATCH("층",'04A_국토부원자료'!$A$4:$T$4,0)),",","")),"")</f>
        <v/>
      </c>
      <c r="K2477" s="152">
        <f>IFERROR(VALUE(SUBSTITUTE(INDEX('04A_국토부원자료'!$A:$T,ROW()+1,MATCH("건축년도",'04A_국토부원자료'!$A$4:$T$4,0)),",","")),"")</f>
        <v/>
      </c>
      <c r="L2477" s="48">
        <f>IFERROR(INDEX('04A_국토부원자료'!$A:$T,ROW()+1,MATCH("도로명",'04A_국토부원자료'!$A$4:$T$4,0)),"")</f>
        <v/>
      </c>
      <c r="M2477" s="48">
        <f>IFERROR(INDEX('04A_국토부원자료'!$A:$T,ROW()+1,MATCH("거래유형",'04A_국토부원자료'!$A$4:$T$4,0)),"")</f>
        <v/>
      </c>
      <c r="N2477" s="152">
        <f>IF(B2477="","",IF('02_대상물건입력'!B5="",1,IF(ISNUMBER(SEARCH('02_대상물건입력'!B5,B2477)),1,0)))</f>
        <v/>
      </c>
      <c r="O2477" s="152">
        <f>IF(B2477="","",IF('02_대상물건입력'!B6="",1,IF(ISNUMBER(SEARCH('02_대상물건입력'!B6,B2477)),1,0)))</f>
        <v/>
      </c>
      <c r="P2477" s="152">
        <f>IF(L2477="","",IF('02_대상물건입력'!B15="",0,IF(ISNUMBER(SEARCH('02_대상물건입력'!B15,L2477)),1,0)))</f>
        <v/>
      </c>
      <c r="Q2477" s="152">
        <f>IF(OR(C2477="",L2477=""),0,IF(AND(TRIM(C2477)=TRIM(RIGHT(SUBSTITUTE(TRIM('02_대상물건입력'!$B$7)," ",REPT(" ",99)),99)),IF('02_대상물건입력'!B15="",TRUE(),ISNUMBER(SEARCH('02_대상물건입력'!B15,L2477)))),1,0))</f>
        <v/>
      </c>
      <c r="R2477" s="175">
        <f>IFERROR(ABS(E2477-'02_대상물건입력'!B11)/'02_대상물건입력'!B11,"")</f>
        <v/>
      </c>
      <c r="S2477" s="152">
        <f>IFERROR(ABS(J2477-'02_대상물건입력'!B10),"")</f>
        <v/>
      </c>
      <c r="T2477" s="152">
        <f>IFERROR(ABS('01_설정'!B4-F2477),"")</f>
        <v/>
      </c>
      <c r="U2477" s="152">
        <f>IFERROR(ABS(K2477-YEAR('02_대상물건입력'!B14)),"")</f>
        <v/>
      </c>
      <c r="V2477" s="152">
        <f>IF(B2477="","",IF(AND(E2477&gt;0,F2477&gt;0,H2477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2477=1,TRUE()),R2477&lt;='01_설정'!B5,S2477&lt;='01_설정'!B6,T2477&lt;='01_설정'!B7,U2477&lt;='01_설정'!B8),"Y",""))</f>
        <v/>
      </c>
      <c r="W2477" s="172">
        <f>IF(V2477&lt;&gt;"Y","",MAX(0,(1-R2477/'01_설정'!B5))*'01_설정'!B14+MAX(0,(1-S2477/'01_설정'!B6))*'01_설정'!B15+MAX(0,(1-T2477/'01_설정'!B7))*'01_설정'!B16+MAX(0,(1-U2477/'01_설정'!B8))*'01_설정'!B17+O2477*'01_설정'!B11+Q2477*'01_설정'!B12+P2477*'01_설정'!B13+IF(Z2477="",0,Z2477))</f>
        <v/>
      </c>
      <c r="X2477" s="152">
        <f>IF(W2477="","",1+COUNTIFS($W$4:$W$3003,"&gt;"&amp;W2477)+COUNTIFS($W$4:W2477,W2477)-1)</f>
        <v/>
      </c>
      <c r="Y2477" s="175">
        <f>IF(OR(I2477="",'02_대상물건입력'!B19="",'02_대상물건입력'!B19&lt;=0),"",ABS(I2477-'02_대상물건입력'!B19)/'02_대상물건입력'!B19)</f>
        <v/>
      </c>
      <c r="Z2477" s="172">
        <f>IF(OR(Y2477="",'01_설정'!B31="",'01_설정'!B31&lt;=0,'01_설정'!B32="",'01_설정'!B32&lt;=0),"",MAX(0,(1-Y2477/'01_설정'!B32))*'01_설정'!B31)</f>
        <v/>
      </c>
    </row>
    <row r="2478" ht="17.25" customHeight="1">
      <c r="A2478" s="152">
        <f>IF(INDEX('04A_국토부원자료'!$A:$A,ROW()+1)="","",ROW()-3)</f>
        <v/>
      </c>
      <c r="B2478" s="48">
        <f>IFERROR(INDEX('04A_국토부원자료'!$A:$T,ROW()+1,MATCH("시군구",'04A_국토부원자료'!$A$4:$T$4,0)),"")</f>
        <v/>
      </c>
      <c r="C2478" s="48">
        <f>IF(B2478="","",IFERROR(INDEX('04A_국토부원자료'!$A:$T,ROW()+1,MATCH("번지",'04A_국토부원자료'!$A$4:$T$4,0)),""))</f>
        <v/>
      </c>
      <c r="D2478" s="48">
        <f>IF(B2478="","",IF(Q2478=1,'02_대상물건입력'!$B$8,IFERROR(INDEX('04A_국토부원자료'!$A:$T,ROW()+1,MATCH("단지명",'04A_국토부원자료'!$A$4:$T$4,0)),"")))</f>
        <v/>
      </c>
      <c r="E2478" s="172">
        <f>IFERROR(VALUE(SUBSTITUTE(INDEX('04A_국토부원자료'!$A:$T,ROW()+1,MATCH("전용면적(㎡)",'04A_국토부원자료'!$A$4:$T$4,0)),",","")),"")</f>
        <v/>
      </c>
      <c r="F24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78" s="51">
        <f>IFERROR(VALUE(SUBSTITUTE(INDEX('04A_국토부원자료'!$A:$T,ROW()+1,MATCH("거래금액(만원)",'04A_국토부원자료'!$A$4:$T$4,0)),",","")),"")</f>
        <v/>
      </c>
      <c r="H2478" s="174">
        <f>IF(G2478="","",G2478*10000)</f>
        <v/>
      </c>
      <c r="I2478" s="174">
        <f>IFERROR(IF(AND(H2478&gt;0,E2478&gt;0),H2478/E2478,""),"")</f>
        <v/>
      </c>
      <c r="J2478" s="152">
        <f>IFERROR(VALUE(SUBSTITUTE(INDEX('04A_국토부원자료'!$A:$T,ROW()+1,MATCH("층",'04A_국토부원자료'!$A$4:$T$4,0)),",","")),"")</f>
        <v/>
      </c>
      <c r="K2478" s="152">
        <f>IFERROR(VALUE(SUBSTITUTE(INDEX('04A_국토부원자료'!$A:$T,ROW()+1,MATCH("건축년도",'04A_국토부원자료'!$A$4:$T$4,0)),",","")),"")</f>
        <v/>
      </c>
      <c r="L2478" s="48">
        <f>IFERROR(INDEX('04A_국토부원자료'!$A:$T,ROW()+1,MATCH("도로명",'04A_국토부원자료'!$A$4:$T$4,0)),"")</f>
        <v/>
      </c>
      <c r="M2478" s="48">
        <f>IFERROR(INDEX('04A_국토부원자료'!$A:$T,ROW()+1,MATCH("거래유형",'04A_국토부원자료'!$A$4:$T$4,0)),"")</f>
        <v/>
      </c>
      <c r="N2478" s="152">
        <f>IF(B2478="","",IF('02_대상물건입력'!B5="",1,IF(ISNUMBER(SEARCH('02_대상물건입력'!B5,B2478)),1,0)))</f>
        <v/>
      </c>
      <c r="O2478" s="152">
        <f>IF(B2478="","",IF('02_대상물건입력'!B6="",1,IF(ISNUMBER(SEARCH('02_대상물건입력'!B6,B2478)),1,0)))</f>
        <v/>
      </c>
      <c r="P2478" s="152">
        <f>IF(L2478="","",IF('02_대상물건입력'!B15="",0,IF(ISNUMBER(SEARCH('02_대상물건입력'!B15,L2478)),1,0)))</f>
        <v/>
      </c>
      <c r="Q2478" s="152">
        <f>IF(OR(C2478="",L2478=""),0,IF(AND(TRIM(C2478)=TRIM(RIGHT(SUBSTITUTE(TRIM('02_대상물건입력'!$B$7)," ",REPT(" ",99)),99)),IF('02_대상물건입력'!B15="",TRUE(),ISNUMBER(SEARCH('02_대상물건입력'!B15,L2478)))),1,0))</f>
        <v/>
      </c>
      <c r="R2478" s="175">
        <f>IFERROR(ABS(E2478-'02_대상물건입력'!B11)/'02_대상물건입력'!B11,"")</f>
        <v/>
      </c>
      <c r="S2478" s="152">
        <f>IFERROR(ABS(J2478-'02_대상물건입력'!B10),"")</f>
        <v/>
      </c>
      <c r="T2478" s="152">
        <f>IFERROR(ABS('01_설정'!B4-F2478),"")</f>
        <v/>
      </c>
      <c r="U2478" s="152">
        <f>IFERROR(ABS(K2478-YEAR('02_대상물건입력'!B14)),"")</f>
        <v/>
      </c>
      <c r="V2478" s="152">
        <f>IF(B2478="","",IF(AND(E2478&gt;0,F2478&gt;0,H2478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2478=1,TRUE()),R2478&lt;='01_설정'!B5,S2478&lt;='01_설정'!B6,T2478&lt;='01_설정'!B7,U2478&lt;='01_설정'!B8),"Y",""))</f>
        <v/>
      </c>
      <c r="W2478" s="172">
        <f>IF(V2478&lt;&gt;"Y","",MAX(0,(1-R2478/'01_설정'!B5))*'01_설정'!B14+MAX(0,(1-S2478/'01_설정'!B6))*'01_설정'!B15+MAX(0,(1-T2478/'01_설정'!B7))*'01_설정'!B16+MAX(0,(1-U2478/'01_설정'!B8))*'01_설정'!B17+O2478*'01_설정'!B11+Q2478*'01_설정'!B12+P2478*'01_설정'!B13+IF(Z2478="",0,Z2478))</f>
        <v/>
      </c>
      <c r="X2478" s="152">
        <f>IF(W2478="","",1+COUNTIFS($W$4:$W$3003,"&gt;"&amp;W2478)+COUNTIFS($W$4:W2478,W2478)-1)</f>
        <v/>
      </c>
      <c r="Y2478" s="175">
        <f>IF(OR(I2478="",'02_대상물건입력'!B19="",'02_대상물건입력'!B19&lt;=0),"",ABS(I2478-'02_대상물건입력'!B19)/'02_대상물건입력'!B19)</f>
        <v/>
      </c>
      <c r="Z2478" s="172">
        <f>IF(OR(Y2478="",'01_설정'!B31="",'01_설정'!B31&lt;=0,'01_설정'!B32="",'01_설정'!B32&lt;=0),"",MAX(0,(1-Y2478/'01_설정'!B32))*'01_설정'!B31)</f>
        <v/>
      </c>
    </row>
    <row r="2479" ht="17.25" customHeight="1">
      <c r="A2479" s="152">
        <f>IF(INDEX('04A_국토부원자료'!$A:$A,ROW()+1)="","",ROW()-3)</f>
        <v/>
      </c>
      <c r="B2479" s="48">
        <f>IFERROR(INDEX('04A_국토부원자료'!$A:$T,ROW()+1,MATCH("시군구",'04A_국토부원자료'!$A$4:$T$4,0)),"")</f>
        <v/>
      </c>
      <c r="C2479" s="48">
        <f>IF(B2479="","",IFERROR(INDEX('04A_국토부원자료'!$A:$T,ROW()+1,MATCH("번지",'04A_국토부원자료'!$A$4:$T$4,0)),""))</f>
        <v/>
      </c>
      <c r="D2479" s="48">
        <f>IF(B2479="","",IF(Q2479=1,'02_대상물건입력'!$B$8,IFERROR(INDEX('04A_국토부원자료'!$A:$T,ROW()+1,MATCH("단지명",'04A_국토부원자료'!$A$4:$T$4,0)),"")))</f>
        <v/>
      </c>
      <c r="E2479" s="172">
        <f>IFERROR(VALUE(SUBSTITUTE(INDEX('04A_국토부원자료'!$A:$T,ROW()+1,MATCH("전용면적(㎡)",'04A_국토부원자료'!$A$4:$T$4,0)),",","")),"")</f>
        <v/>
      </c>
      <c r="F24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79" s="51">
        <f>IFERROR(VALUE(SUBSTITUTE(INDEX('04A_국토부원자료'!$A:$T,ROW()+1,MATCH("거래금액(만원)",'04A_국토부원자료'!$A$4:$T$4,0)),",","")),"")</f>
        <v/>
      </c>
      <c r="H2479" s="174">
        <f>IF(G2479="","",G2479*10000)</f>
        <v/>
      </c>
      <c r="I2479" s="174">
        <f>IFERROR(IF(AND(H2479&gt;0,E2479&gt;0),H2479/E2479,""),"")</f>
        <v/>
      </c>
      <c r="J2479" s="152">
        <f>IFERROR(VALUE(SUBSTITUTE(INDEX('04A_국토부원자료'!$A:$T,ROW()+1,MATCH("층",'04A_국토부원자료'!$A$4:$T$4,0)),",","")),"")</f>
        <v/>
      </c>
      <c r="K2479" s="152">
        <f>IFERROR(VALUE(SUBSTITUTE(INDEX('04A_국토부원자료'!$A:$T,ROW()+1,MATCH("건축년도",'04A_국토부원자료'!$A$4:$T$4,0)),",","")),"")</f>
        <v/>
      </c>
      <c r="L2479" s="48">
        <f>IFERROR(INDEX('04A_국토부원자료'!$A:$T,ROW()+1,MATCH("도로명",'04A_국토부원자료'!$A$4:$T$4,0)),"")</f>
        <v/>
      </c>
      <c r="M2479" s="48">
        <f>IFERROR(INDEX('04A_국토부원자료'!$A:$T,ROW()+1,MATCH("거래유형",'04A_국토부원자료'!$A$4:$T$4,0)),"")</f>
        <v/>
      </c>
      <c r="N2479" s="152">
        <f>IF(B2479="","",IF('02_대상물건입력'!B5="",1,IF(ISNUMBER(SEARCH('02_대상물건입력'!B5,B2479)),1,0)))</f>
        <v/>
      </c>
      <c r="O2479" s="152">
        <f>IF(B2479="","",IF('02_대상물건입력'!B6="",1,IF(ISNUMBER(SEARCH('02_대상물건입력'!B6,B2479)),1,0)))</f>
        <v/>
      </c>
      <c r="P2479" s="152">
        <f>IF(L2479="","",IF('02_대상물건입력'!B15="",0,IF(ISNUMBER(SEARCH('02_대상물건입력'!B15,L2479)),1,0)))</f>
        <v/>
      </c>
      <c r="Q2479" s="152">
        <f>IF(OR(C2479="",L2479=""),0,IF(AND(TRIM(C2479)=TRIM(RIGHT(SUBSTITUTE(TRIM('02_대상물건입력'!$B$7)," ",REPT(" ",99)),99)),IF('02_대상물건입력'!B15="",TRUE(),ISNUMBER(SEARCH('02_대상물건입력'!B15,L2479)))),1,0))</f>
        <v/>
      </c>
      <c r="R2479" s="175">
        <f>IFERROR(ABS(E2479-'02_대상물건입력'!B11)/'02_대상물건입력'!B11,"")</f>
        <v/>
      </c>
      <c r="S2479" s="152">
        <f>IFERROR(ABS(J2479-'02_대상물건입력'!B10),"")</f>
        <v/>
      </c>
      <c r="T2479" s="152">
        <f>IFERROR(ABS('01_설정'!B4-F2479),"")</f>
        <v/>
      </c>
      <c r="U2479" s="152">
        <f>IFERROR(ABS(K2479-YEAR('02_대상물건입력'!B14)),"")</f>
        <v/>
      </c>
      <c r="V2479" s="152">
        <f>IF(B2479="","",IF(AND(E2479&gt;0,F2479&gt;0,H2479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2479=1,TRUE()),R2479&lt;='01_설정'!B5,S2479&lt;='01_설정'!B6,T2479&lt;='01_설정'!B7,U2479&lt;='01_설정'!B8),"Y",""))</f>
        <v/>
      </c>
      <c r="W2479" s="172">
        <f>IF(V2479&lt;&gt;"Y","",MAX(0,(1-R2479/'01_설정'!B5))*'01_설정'!B14+MAX(0,(1-S2479/'01_설정'!B6))*'01_설정'!B15+MAX(0,(1-T2479/'01_설정'!B7))*'01_설정'!B16+MAX(0,(1-U2479/'01_설정'!B8))*'01_설정'!B17+O2479*'01_설정'!B11+Q2479*'01_설정'!B12+P2479*'01_설정'!B13+IF(Z2479="",0,Z2479))</f>
        <v/>
      </c>
      <c r="X2479" s="152">
        <f>IF(W2479="","",1+COUNTIFS($W$4:$W$3003,"&gt;"&amp;W2479)+COUNTIFS($W$4:W2479,W2479)-1)</f>
        <v/>
      </c>
      <c r="Y2479" s="175">
        <f>IF(OR(I2479="",'02_대상물건입력'!B19="",'02_대상물건입력'!B19&lt;=0),"",ABS(I2479-'02_대상물건입력'!B19)/'02_대상물건입력'!B19)</f>
        <v/>
      </c>
      <c r="Z2479" s="172">
        <f>IF(OR(Y2479="",'01_설정'!B31="",'01_설정'!B31&lt;=0,'01_설정'!B32="",'01_설정'!B32&lt;=0),"",MAX(0,(1-Y2479/'01_설정'!B32))*'01_설정'!B31)</f>
        <v/>
      </c>
    </row>
    <row r="2480" ht="17.25" customHeight="1">
      <c r="A2480" s="152">
        <f>IF(INDEX('04A_국토부원자료'!$A:$A,ROW()+1)="","",ROW()-3)</f>
        <v/>
      </c>
      <c r="B2480" s="48">
        <f>IFERROR(INDEX('04A_국토부원자료'!$A:$T,ROW()+1,MATCH("시군구",'04A_국토부원자료'!$A$4:$T$4,0)),"")</f>
        <v/>
      </c>
      <c r="C2480" s="48">
        <f>IF(B2480="","",IFERROR(INDEX('04A_국토부원자료'!$A:$T,ROW()+1,MATCH("번지",'04A_국토부원자료'!$A$4:$T$4,0)),""))</f>
        <v/>
      </c>
      <c r="D2480" s="48">
        <f>IF(B2480="","",IF(Q2480=1,'02_대상물건입력'!$B$8,IFERROR(INDEX('04A_국토부원자료'!$A:$T,ROW()+1,MATCH("단지명",'04A_국토부원자료'!$A$4:$T$4,0)),"")))</f>
        <v/>
      </c>
      <c r="E2480" s="172">
        <f>IFERROR(VALUE(SUBSTITUTE(INDEX('04A_국토부원자료'!$A:$T,ROW()+1,MATCH("전용면적(㎡)",'04A_국토부원자료'!$A$4:$T$4,0)),",","")),"")</f>
        <v/>
      </c>
      <c r="F24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80" s="51">
        <f>IFERROR(VALUE(SUBSTITUTE(INDEX('04A_국토부원자료'!$A:$T,ROW()+1,MATCH("거래금액(만원)",'04A_국토부원자료'!$A$4:$T$4,0)),",","")),"")</f>
        <v/>
      </c>
      <c r="H2480" s="174">
        <f>IF(G2480="","",G2480*10000)</f>
        <v/>
      </c>
      <c r="I2480" s="174">
        <f>IFERROR(IF(AND(H2480&gt;0,E2480&gt;0),H2480/E2480,""),"")</f>
        <v/>
      </c>
      <c r="J2480" s="152">
        <f>IFERROR(VALUE(SUBSTITUTE(INDEX('04A_국토부원자료'!$A:$T,ROW()+1,MATCH("층",'04A_국토부원자료'!$A$4:$T$4,0)),",","")),"")</f>
        <v/>
      </c>
      <c r="K2480" s="152">
        <f>IFERROR(VALUE(SUBSTITUTE(INDEX('04A_국토부원자료'!$A:$T,ROW()+1,MATCH("건축년도",'04A_국토부원자료'!$A$4:$T$4,0)),",","")),"")</f>
        <v/>
      </c>
      <c r="L2480" s="48">
        <f>IFERROR(INDEX('04A_국토부원자료'!$A:$T,ROW()+1,MATCH("도로명",'04A_국토부원자료'!$A$4:$T$4,0)),"")</f>
        <v/>
      </c>
      <c r="M2480" s="48">
        <f>IFERROR(INDEX('04A_국토부원자료'!$A:$T,ROW()+1,MATCH("거래유형",'04A_국토부원자료'!$A$4:$T$4,0)),"")</f>
        <v/>
      </c>
      <c r="N2480" s="152">
        <f>IF(B2480="","",IF('02_대상물건입력'!B5="",1,IF(ISNUMBER(SEARCH('02_대상물건입력'!B5,B2480)),1,0)))</f>
        <v/>
      </c>
      <c r="O2480" s="152">
        <f>IF(B2480="","",IF('02_대상물건입력'!B6="",1,IF(ISNUMBER(SEARCH('02_대상물건입력'!B6,B2480)),1,0)))</f>
        <v/>
      </c>
      <c r="P2480" s="152">
        <f>IF(L2480="","",IF('02_대상물건입력'!B15="",0,IF(ISNUMBER(SEARCH('02_대상물건입력'!B15,L2480)),1,0)))</f>
        <v/>
      </c>
      <c r="Q2480" s="152">
        <f>IF(OR(C2480="",L2480=""),0,IF(AND(TRIM(C2480)=TRIM(RIGHT(SUBSTITUTE(TRIM('02_대상물건입력'!$B$7)," ",REPT(" ",99)),99)),IF('02_대상물건입력'!B15="",TRUE(),ISNUMBER(SEARCH('02_대상물건입력'!B15,L2480)))),1,0))</f>
        <v/>
      </c>
      <c r="R2480" s="175">
        <f>IFERROR(ABS(E2480-'02_대상물건입력'!B11)/'02_대상물건입력'!B11,"")</f>
        <v/>
      </c>
      <c r="S2480" s="152">
        <f>IFERROR(ABS(J2480-'02_대상물건입력'!B10),"")</f>
        <v/>
      </c>
      <c r="T2480" s="152">
        <f>IFERROR(ABS('01_설정'!B4-F2480),"")</f>
        <v/>
      </c>
      <c r="U2480" s="152">
        <f>IFERROR(ABS(K2480-YEAR('02_대상물건입력'!B14)),"")</f>
        <v/>
      </c>
      <c r="V2480" s="152">
        <f>IF(B2480="","",IF(AND(E2480&gt;0,F2480&gt;0,H2480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2480=1,TRUE()),R2480&lt;='01_설정'!B5,S2480&lt;='01_설정'!B6,T2480&lt;='01_설정'!B7,U2480&lt;='01_설정'!B8),"Y",""))</f>
        <v/>
      </c>
      <c r="W2480" s="172">
        <f>IF(V2480&lt;&gt;"Y","",MAX(0,(1-R2480/'01_설정'!B5))*'01_설정'!B14+MAX(0,(1-S2480/'01_설정'!B6))*'01_설정'!B15+MAX(0,(1-T2480/'01_설정'!B7))*'01_설정'!B16+MAX(0,(1-U2480/'01_설정'!B8))*'01_설정'!B17+O2480*'01_설정'!B11+Q2480*'01_설정'!B12+P2480*'01_설정'!B13+IF(Z2480="",0,Z2480))</f>
        <v/>
      </c>
      <c r="X2480" s="152">
        <f>IF(W2480="","",1+COUNTIFS($W$4:$W$3003,"&gt;"&amp;W2480)+COUNTIFS($W$4:W2480,W2480)-1)</f>
        <v/>
      </c>
      <c r="Y2480" s="175">
        <f>IF(OR(I2480="",'02_대상물건입력'!B19="",'02_대상물건입력'!B19&lt;=0),"",ABS(I2480-'02_대상물건입력'!B19)/'02_대상물건입력'!B19)</f>
        <v/>
      </c>
      <c r="Z2480" s="172">
        <f>IF(OR(Y2480="",'01_설정'!B31="",'01_설정'!B31&lt;=0,'01_설정'!B32="",'01_설정'!B32&lt;=0),"",MAX(0,(1-Y2480/'01_설정'!B32))*'01_설정'!B31)</f>
        <v/>
      </c>
    </row>
    <row r="2481" ht="17.25" customHeight="1">
      <c r="A2481" s="152">
        <f>IF(INDEX('04A_국토부원자료'!$A:$A,ROW()+1)="","",ROW()-3)</f>
        <v/>
      </c>
      <c r="B2481" s="48">
        <f>IFERROR(INDEX('04A_국토부원자료'!$A:$T,ROW()+1,MATCH("시군구",'04A_국토부원자료'!$A$4:$T$4,0)),"")</f>
        <v/>
      </c>
      <c r="C2481" s="48">
        <f>IF(B2481="","",IFERROR(INDEX('04A_국토부원자료'!$A:$T,ROW()+1,MATCH("번지",'04A_국토부원자료'!$A$4:$T$4,0)),""))</f>
        <v/>
      </c>
      <c r="D2481" s="48">
        <f>IF(B2481="","",IF(Q2481=1,'02_대상물건입력'!$B$8,IFERROR(INDEX('04A_국토부원자료'!$A:$T,ROW()+1,MATCH("단지명",'04A_국토부원자료'!$A$4:$T$4,0)),"")))</f>
        <v/>
      </c>
      <c r="E2481" s="172">
        <f>IFERROR(VALUE(SUBSTITUTE(INDEX('04A_국토부원자료'!$A:$T,ROW()+1,MATCH("전용면적(㎡)",'04A_국토부원자료'!$A$4:$T$4,0)),",","")),"")</f>
        <v/>
      </c>
      <c r="F24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81" s="51">
        <f>IFERROR(VALUE(SUBSTITUTE(INDEX('04A_국토부원자료'!$A:$T,ROW()+1,MATCH("거래금액(만원)",'04A_국토부원자료'!$A$4:$T$4,0)),",","")),"")</f>
        <v/>
      </c>
      <c r="H2481" s="174">
        <f>IF(G2481="","",G2481*10000)</f>
        <v/>
      </c>
      <c r="I2481" s="174">
        <f>IFERROR(IF(AND(H2481&gt;0,E2481&gt;0),H2481/E2481,""),"")</f>
        <v/>
      </c>
      <c r="J2481" s="152">
        <f>IFERROR(VALUE(SUBSTITUTE(INDEX('04A_국토부원자료'!$A:$T,ROW()+1,MATCH("층",'04A_국토부원자료'!$A$4:$T$4,0)),",","")),"")</f>
        <v/>
      </c>
      <c r="K2481" s="152">
        <f>IFERROR(VALUE(SUBSTITUTE(INDEX('04A_국토부원자료'!$A:$T,ROW()+1,MATCH("건축년도",'04A_국토부원자료'!$A$4:$T$4,0)),",","")),"")</f>
        <v/>
      </c>
      <c r="L2481" s="48">
        <f>IFERROR(INDEX('04A_국토부원자료'!$A:$T,ROW()+1,MATCH("도로명",'04A_국토부원자료'!$A$4:$T$4,0)),"")</f>
        <v/>
      </c>
      <c r="M2481" s="48">
        <f>IFERROR(INDEX('04A_국토부원자료'!$A:$T,ROW()+1,MATCH("거래유형",'04A_국토부원자료'!$A$4:$T$4,0)),"")</f>
        <v/>
      </c>
      <c r="N2481" s="152">
        <f>IF(B2481="","",IF('02_대상물건입력'!B5="",1,IF(ISNUMBER(SEARCH('02_대상물건입력'!B5,B2481)),1,0)))</f>
        <v/>
      </c>
      <c r="O2481" s="152">
        <f>IF(B2481="","",IF('02_대상물건입력'!B6="",1,IF(ISNUMBER(SEARCH('02_대상물건입력'!B6,B2481)),1,0)))</f>
        <v/>
      </c>
      <c r="P2481" s="152">
        <f>IF(L2481="","",IF('02_대상물건입력'!B15="",0,IF(ISNUMBER(SEARCH('02_대상물건입력'!B15,L2481)),1,0)))</f>
        <v/>
      </c>
      <c r="Q2481" s="152">
        <f>IF(OR(C2481="",L2481=""),0,IF(AND(TRIM(C2481)=TRIM(RIGHT(SUBSTITUTE(TRIM('02_대상물건입력'!$B$7)," ",REPT(" ",99)),99)),IF('02_대상물건입력'!B15="",TRUE(),ISNUMBER(SEARCH('02_대상물건입력'!B15,L2481)))),1,0))</f>
        <v/>
      </c>
      <c r="R2481" s="175">
        <f>IFERROR(ABS(E2481-'02_대상물건입력'!B11)/'02_대상물건입력'!B11,"")</f>
        <v/>
      </c>
      <c r="S2481" s="152">
        <f>IFERROR(ABS(J2481-'02_대상물건입력'!B10),"")</f>
        <v/>
      </c>
      <c r="T2481" s="152">
        <f>IFERROR(ABS('01_설정'!B4-F2481),"")</f>
        <v/>
      </c>
      <c r="U2481" s="152">
        <f>IFERROR(ABS(K2481-YEAR('02_대상물건입력'!B14)),"")</f>
        <v/>
      </c>
      <c r="V2481" s="152">
        <f>IF(B2481="","",IF(AND(E2481&gt;0,F2481&gt;0,H2481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2481=1,TRUE()),R2481&lt;='01_설정'!B5,S2481&lt;='01_설정'!B6,T2481&lt;='01_설정'!B7,U2481&lt;='01_설정'!B8),"Y",""))</f>
        <v/>
      </c>
      <c r="W2481" s="172">
        <f>IF(V2481&lt;&gt;"Y","",MAX(0,(1-R2481/'01_설정'!B5))*'01_설정'!B14+MAX(0,(1-S2481/'01_설정'!B6))*'01_설정'!B15+MAX(0,(1-T2481/'01_설정'!B7))*'01_설정'!B16+MAX(0,(1-U2481/'01_설정'!B8))*'01_설정'!B17+O2481*'01_설정'!B11+Q2481*'01_설정'!B12+P2481*'01_설정'!B13+IF(Z2481="",0,Z2481))</f>
        <v/>
      </c>
      <c r="X2481" s="152">
        <f>IF(W2481="","",1+COUNTIFS($W$4:$W$3003,"&gt;"&amp;W2481)+COUNTIFS($W$4:W2481,W2481)-1)</f>
        <v/>
      </c>
      <c r="Y2481" s="175">
        <f>IF(OR(I2481="",'02_대상물건입력'!B19="",'02_대상물건입력'!B19&lt;=0),"",ABS(I2481-'02_대상물건입력'!B19)/'02_대상물건입력'!B19)</f>
        <v/>
      </c>
      <c r="Z2481" s="172">
        <f>IF(OR(Y2481="",'01_설정'!B31="",'01_설정'!B31&lt;=0,'01_설정'!B32="",'01_설정'!B32&lt;=0),"",MAX(0,(1-Y2481/'01_설정'!B32))*'01_설정'!B31)</f>
        <v/>
      </c>
    </row>
    <row r="2482" ht="17.25" customHeight="1">
      <c r="A2482" s="152">
        <f>IF(INDEX('04A_국토부원자료'!$A:$A,ROW()+1)="","",ROW()-3)</f>
        <v/>
      </c>
      <c r="B2482" s="48">
        <f>IFERROR(INDEX('04A_국토부원자료'!$A:$T,ROW()+1,MATCH("시군구",'04A_국토부원자료'!$A$4:$T$4,0)),"")</f>
        <v/>
      </c>
      <c r="C2482" s="48">
        <f>IF(B2482="","",IFERROR(INDEX('04A_국토부원자료'!$A:$T,ROW()+1,MATCH("번지",'04A_국토부원자료'!$A$4:$T$4,0)),""))</f>
        <v/>
      </c>
      <c r="D2482" s="48">
        <f>IF(B2482="","",IF(Q2482=1,'02_대상물건입력'!$B$8,IFERROR(INDEX('04A_국토부원자료'!$A:$T,ROW()+1,MATCH("단지명",'04A_국토부원자료'!$A$4:$T$4,0)),"")))</f>
        <v/>
      </c>
      <c r="E2482" s="172">
        <f>IFERROR(VALUE(SUBSTITUTE(INDEX('04A_국토부원자료'!$A:$T,ROW()+1,MATCH("전용면적(㎡)",'04A_국토부원자료'!$A$4:$T$4,0)),",","")),"")</f>
        <v/>
      </c>
      <c r="F24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82" s="51">
        <f>IFERROR(VALUE(SUBSTITUTE(INDEX('04A_국토부원자료'!$A:$T,ROW()+1,MATCH("거래금액(만원)",'04A_국토부원자료'!$A$4:$T$4,0)),",","")),"")</f>
        <v/>
      </c>
      <c r="H2482" s="174">
        <f>IF(G2482="","",G2482*10000)</f>
        <v/>
      </c>
      <c r="I2482" s="174">
        <f>IFERROR(IF(AND(H2482&gt;0,E2482&gt;0),H2482/E2482,""),"")</f>
        <v/>
      </c>
      <c r="J2482" s="152">
        <f>IFERROR(VALUE(SUBSTITUTE(INDEX('04A_국토부원자료'!$A:$T,ROW()+1,MATCH("층",'04A_국토부원자료'!$A$4:$T$4,0)),",","")),"")</f>
        <v/>
      </c>
      <c r="K2482" s="152">
        <f>IFERROR(VALUE(SUBSTITUTE(INDEX('04A_국토부원자료'!$A:$T,ROW()+1,MATCH("건축년도",'04A_국토부원자료'!$A$4:$T$4,0)),",","")),"")</f>
        <v/>
      </c>
      <c r="L2482" s="48">
        <f>IFERROR(INDEX('04A_국토부원자료'!$A:$T,ROW()+1,MATCH("도로명",'04A_국토부원자료'!$A$4:$T$4,0)),"")</f>
        <v/>
      </c>
      <c r="M2482" s="48">
        <f>IFERROR(INDEX('04A_국토부원자료'!$A:$T,ROW()+1,MATCH("거래유형",'04A_국토부원자료'!$A$4:$T$4,0)),"")</f>
        <v/>
      </c>
      <c r="N2482" s="152">
        <f>IF(B2482="","",IF('02_대상물건입력'!B5="",1,IF(ISNUMBER(SEARCH('02_대상물건입력'!B5,B2482)),1,0)))</f>
        <v/>
      </c>
      <c r="O2482" s="152">
        <f>IF(B2482="","",IF('02_대상물건입력'!B6="",1,IF(ISNUMBER(SEARCH('02_대상물건입력'!B6,B2482)),1,0)))</f>
        <v/>
      </c>
      <c r="P2482" s="152">
        <f>IF(L2482="","",IF('02_대상물건입력'!B15="",0,IF(ISNUMBER(SEARCH('02_대상물건입력'!B15,L2482)),1,0)))</f>
        <v/>
      </c>
      <c r="Q2482" s="152">
        <f>IF(OR(C2482="",L2482=""),0,IF(AND(TRIM(C2482)=TRIM(RIGHT(SUBSTITUTE(TRIM('02_대상물건입력'!$B$7)," ",REPT(" ",99)),99)),IF('02_대상물건입력'!B15="",TRUE(),ISNUMBER(SEARCH('02_대상물건입력'!B15,L2482)))),1,0))</f>
        <v/>
      </c>
      <c r="R2482" s="175">
        <f>IFERROR(ABS(E2482-'02_대상물건입력'!B11)/'02_대상물건입력'!B11,"")</f>
        <v/>
      </c>
      <c r="S2482" s="152">
        <f>IFERROR(ABS(J2482-'02_대상물건입력'!B10),"")</f>
        <v/>
      </c>
      <c r="T2482" s="152">
        <f>IFERROR(ABS('01_설정'!B4-F2482),"")</f>
        <v/>
      </c>
      <c r="U2482" s="152">
        <f>IFERROR(ABS(K2482-YEAR('02_대상물건입력'!B14)),"")</f>
        <v/>
      </c>
      <c r="V2482" s="152">
        <f>IF(B2482="","",IF(AND(E2482&gt;0,F2482&gt;0,H2482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2482=1,TRUE()),R2482&lt;='01_설정'!B5,S2482&lt;='01_설정'!B6,T2482&lt;='01_설정'!B7,U2482&lt;='01_설정'!B8),"Y",""))</f>
        <v/>
      </c>
      <c r="W2482" s="172">
        <f>IF(V2482&lt;&gt;"Y","",MAX(0,(1-R2482/'01_설정'!B5))*'01_설정'!B14+MAX(0,(1-S2482/'01_설정'!B6))*'01_설정'!B15+MAX(0,(1-T2482/'01_설정'!B7))*'01_설정'!B16+MAX(0,(1-U2482/'01_설정'!B8))*'01_설정'!B17+O2482*'01_설정'!B11+Q2482*'01_설정'!B12+P2482*'01_설정'!B13+IF(Z2482="",0,Z2482))</f>
        <v/>
      </c>
      <c r="X2482" s="152">
        <f>IF(W2482="","",1+COUNTIFS($W$4:$W$3003,"&gt;"&amp;W2482)+COUNTIFS($W$4:W2482,W2482)-1)</f>
        <v/>
      </c>
      <c r="Y2482" s="175">
        <f>IF(OR(I2482="",'02_대상물건입력'!B19="",'02_대상물건입력'!B19&lt;=0),"",ABS(I2482-'02_대상물건입력'!B19)/'02_대상물건입력'!B19)</f>
        <v/>
      </c>
      <c r="Z2482" s="172">
        <f>IF(OR(Y2482="",'01_설정'!B31="",'01_설정'!B31&lt;=0,'01_설정'!B32="",'01_설정'!B32&lt;=0),"",MAX(0,(1-Y2482/'01_설정'!B32))*'01_설정'!B31)</f>
        <v/>
      </c>
    </row>
    <row r="2483" ht="17.25" customHeight="1">
      <c r="A2483" s="152">
        <f>IF(INDEX('04A_국토부원자료'!$A:$A,ROW()+1)="","",ROW()-3)</f>
        <v/>
      </c>
      <c r="B2483" s="48">
        <f>IFERROR(INDEX('04A_국토부원자료'!$A:$T,ROW()+1,MATCH("시군구",'04A_국토부원자료'!$A$4:$T$4,0)),"")</f>
        <v/>
      </c>
      <c r="C2483" s="48">
        <f>IF(B2483="","",IFERROR(INDEX('04A_국토부원자료'!$A:$T,ROW()+1,MATCH("번지",'04A_국토부원자료'!$A$4:$T$4,0)),""))</f>
        <v/>
      </c>
      <c r="D2483" s="48">
        <f>IF(B2483="","",IF(Q2483=1,'02_대상물건입력'!$B$8,IFERROR(INDEX('04A_국토부원자료'!$A:$T,ROW()+1,MATCH("단지명",'04A_국토부원자료'!$A$4:$T$4,0)),"")))</f>
        <v/>
      </c>
      <c r="E2483" s="172">
        <f>IFERROR(VALUE(SUBSTITUTE(INDEX('04A_국토부원자료'!$A:$T,ROW()+1,MATCH("전용면적(㎡)",'04A_국토부원자료'!$A$4:$T$4,0)),",","")),"")</f>
        <v/>
      </c>
      <c r="F24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83" s="51">
        <f>IFERROR(VALUE(SUBSTITUTE(INDEX('04A_국토부원자료'!$A:$T,ROW()+1,MATCH("거래금액(만원)",'04A_국토부원자료'!$A$4:$T$4,0)),",","")),"")</f>
        <v/>
      </c>
      <c r="H2483" s="174">
        <f>IF(G2483="","",G2483*10000)</f>
        <v/>
      </c>
      <c r="I2483" s="174">
        <f>IFERROR(IF(AND(H2483&gt;0,E2483&gt;0),H2483/E2483,""),"")</f>
        <v/>
      </c>
      <c r="J2483" s="152">
        <f>IFERROR(VALUE(SUBSTITUTE(INDEX('04A_국토부원자료'!$A:$T,ROW()+1,MATCH("층",'04A_국토부원자료'!$A$4:$T$4,0)),",","")),"")</f>
        <v/>
      </c>
      <c r="K2483" s="152">
        <f>IFERROR(VALUE(SUBSTITUTE(INDEX('04A_국토부원자료'!$A:$T,ROW()+1,MATCH("건축년도",'04A_국토부원자료'!$A$4:$T$4,0)),",","")),"")</f>
        <v/>
      </c>
      <c r="L2483" s="48">
        <f>IFERROR(INDEX('04A_국토부원자료'!$A:$T,ROW()+1,MATCH("도로명",'04A_국토부원자료'!$A$4:$T$4,0)),"")</f>
        <v/>
      </c>
      <c r="M2483" s="48">
        <f>IFERROR(INDEX('04A_국토부원자료'!$A:$T,ROW()+1,MATCH("거래유형",'04A_국토부원자료'!$A$4:$T$4,0)),"")</f>
        <v/>
      </c>
      <c r="N2483" s="152">
        <f>IF(B2483="","",IF('02_대상물건입력'!B5="",1,IF(ISNUMBER(SEARCH('02_대상물건입력'!B5,B2483)),1,0)))</f>
        <v/>
      </c>
      <c r="O2483" s="152">
        <f>IF(B2483="","",IF('02_대상물건입력'!B6="",1,IF(ISNUMBER(SEARCH('02_대상물건입력'!B6,B2483)),1,0)))</f>
        <v/>
      </c>
      <c r="P2483" s="152">
        <f>IF(L2483="","",IF('02_대상물건입력'!B15="",0,IF(ISNUMBER(SEARCH('02_대상물건입력'!B15,L2483)),1,0)))</f>
        <v/>
      </c>
      <c r="Q2483" s="152">
        <f>IF(OR(C2483="",L2483=""),0,IF(AND(TRIM(C2483)=TRIM(RIGHT(SUBSTITUTE(TRIM('02_대상물건입력'!$B$7)," ",REPT(" ",99)),99)),IF('02_대상물건입력'!B15="",TRUE(),ISNUMBER(SEARCH('02_대상물건입력'!B15,L2483)))),1,0))</f>
        <v/>
      </c>
      <c r="R2483" s="175">
        <f>IFERROR(ABS(E2483-'02_대상물건입력'!B11)/'02_대상물건입력'!B11,"")</f>
        <v/>
      </c>
      <c r="S2483" s="152">
        <f>IFERROR(ABS(J2483-'02_대상물건입력'!B10),"")</f>
        <v/>
      </c>
      <c r="T2483" s="152">
        <f>IFERROR(ABS('01_설정'!B4-F2483),"")</f>
        <v/>
      </c>
      <c r="U2483" s="152">
        <f>IFERROR(ABS(K2483-YEAR('02_대상물건입력'!B14)),"")</f>
        <v/>
      </c>
      <c r="V2483" s="152">
        <f>IF(B2483="","",IF(AND(E2483&gt;0,F2483&gt;0,H2483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2483=1,TRUE()),R2483&lt;='01_설정'!B5,S2483&lt;='01_설정'!B6,T2483&lt;='01_설정'!B7,U2483&lt;='01_설정'!B8),"Y",""))</f>
        <v/>
      </c>
      <c r="W2483" s="172">
        <f>IF(V2483&lt;&gt;"Y","",MAX(0,(1-R2483/'01_설정'!B5))*'01_설정'!B14+MAX(0,(1-S2483/'01_설정'!B6))*'01_설정'!B15+MAX(0,(1-T2483/'01_설정'!B7))*'01_설정'!B16+MAX(0,(1-U2483/'01_설정'!B8))*'01_설정'!B17+O2483*'01_설정'!B11+Q2483*'01_설정'!B12+P2483*'01_설정'!B13+IF(Z2483="",0,Z2483))</f>
        <v/>
      </c>
      <c r="X2483" s="152">
        <f>IF(W2483="","",1+COUNTIFS($W$4:$W$3003,"&gt;"&amp;W2483)+COUNTIFS($W$4:W2483,W2483)-1)</f>
        <v/>
      </c>
      <c r="Y2483" s="175">
        <f>IF(OR(I2483="",'02_대상물건입력'!B19="",'02_대상물건입력'!B19&lt;=0),"",ABS(I2483-'02_대상물건입력'!B19)/'02_대상물건입력'!B19)</f>
        <v/>
      </c>
      <c r="Z2483" s="172">
        <f>IF(OR(Y2483="",'01_설정'!B31="",'01_설정'!B31&lt;=0,'01_설정'!B32="",'01_설정'!B32&lt;=0),"",MAX(0,(1-Y2483/'01_설정'!B32))*'01_설정'!B31)</f>
        <v/>
      </c>
    </row>
    <row r="2484" ht="17.25" customHeight="1">
      <c r="A2484" s="152">
        <f>IF(INDEX('04A_국토부원자료'!$A:$A,ROW()+1)="","",ROW()-3)</f>
        <v/>
      </c>
      <c r="B2484" s="48">
        <f>IFERROR(INDEX('04A_국토부원자료'!$A:$T,ROW()+1,MATCH("시군구",'04A_국토부원자료'!$A$4:$T$4,0)),"")</f>
        <v/>
      </c>
      <c r="C2484" s="48">
        <f>IF(B2484="","",IFERROR(INDEX('04A_국토부원자료'!$A:$T,ROW()+1,MATCH("번지",'04A_국토부원자료'!$A$4:$T$4,0)),""))</f>
        <v/>
      </c>
      <c r="D2484" s="48">
        <f>IF(B2484="","",IF(Q2484=1,'02_대상물건입력'!$B$8,IFERROR(INDEX('04A_국토부원자료'!$A:$T,ROW()+1,MATCH("단지명",'04A_국토부원자료'!$A$4:$T$4,0)),"")))</f>
        <v/>
      </c>
      <c r="E2484" s="172">
        <f>IFERROR(VALUE(SUBSTITUTE(INDEX('04A_국토부원자료'!$A:$T,ROW()+1,MATCH("전용면적(㎡)",'04A_국토부원자료'!$A$4:$T$4,0)),",","")),"")</f>
        <v/>
      </c>
      <c r="F24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84" s="51">
        <f>IFERROR(VALUE(SUBSTITUTE(INDEX('04A_국토부원자료'!$A:$T,ROW()+1,MATCH("거래금액(만원)",'04A_국토부원자료'!$A$4:$T$4,0)),",","")),"")</f>
        <v/>
      </c>
      <c r="H2484" s="174">
        <f>IF(G2484="","",G2484*10000)</f>
        <v/>
      </c>
      <c r="I2484" s="174">
        <f>IFERROR(IF(AND(H2484&gt;0,E2484&gt;0),H2484/E2484,""),"")</f>
        <v/>
      </c>
      <c r="J2484" s="152">
        <f>IFERROR(VALUE(SUBSTITUTE(INDEX('04A_국토부원자료'!$A:$T,ROW()+1,MATCH("층",'04A_국토부원자료'!$A$4:$T$4,0)),",","")),"")</f>
        <v/>
      </c>
      <c r="K2484" s="152">
        <f>IFERROR(VALUE(SUBSTITUTE(INDEX('04A_국토부원자료'!$A:$T,ROW()+1,MATCH("건축년도",'04A_국토부원자료'!$A$4:$T$4,0)),",","")),"")</f>
        <v/>
      </c>
      <c r="L2484" s="48">
        <f>IFERROR(INDEX('04A_국토부원자료'!$A:$T,ROW()+1,MATCH("도로명",'04A_국토부원자료'!$A$4:$T$4,0)),"")</f>
        <v/>
      </c>
      <c r="M2484" s="48">
        <f>IFERROR(INDEX('04A_국토부원자료'!$A:$T,ROW()+1,MATCH("거래유형",'04A_국토부원자료'!$A$4:$T$4,0)),"")</f>
        <v/>
      </c>
      <c r="N2484" s="152">
        <f>IF(B2484="","",IF('02_대상물건입력'!B5="",1,IF(ISNUMBER(SEARCH('02_대상물건입력'!B5,B2484)),1,0)))</f>
        <v/>
      </c>
      <c r="O2484" s="152">
        <f>IF(B2484="","",IF('02_대상물건입력'!B6="",1,IF(ISNUMBER(SEARCH('02_대상물건입력'!B6,B2484)),1,0)))</f>
        <v/>
      </c>
      <c r="P2484" s="152">
        <f>IF(L2484="","",IF('02_대상물건입력'!B15="",0,IF(ISNUMBER(SEARCH('02_대상물건입력'!B15,L2484)),1,0)))</f>
        <v/>
      </c>
      <c r="Q2484" s="152">
        <f>IF(OR(C2484="",L2484=""),0,IF(AND(TRIM(C2484)=TRIM(RIGHT(SUBSTITUTE(TRIM('02_대상물건입력'!$B$7)," ",REPT(" ",99)),99)),IF('02_대상물건입력'!B15="",TRUE(),ISNUMBER(SEARCH('02_대상물건입력'!B15,L2484)))),1,0))</f>
        <v/>
      </c>
      <c r="R2484" s="175">
        <f>IFERROR(ABS(E2484-'02_대상물건입력'!B11)/'02_대상물건입력'!B11,"")</f>
        <v/>
      </c>
      <c r="S2484" s="152">
        <f>IFERROR(ABS(J2484-'02_대상물건입력'!B10),"")</f>
        <v/>
      </c>
      <c r="T2484" s="152">
        <f>IFERROR(ABS('01_설정'!B4-F2484),"")</f>
        <v/>
      </c>
      <c r="U2484" s="152">
        <f>IFERROR(ABS(K2484-YEAR('02_대상물건입력'!B14)),"")</f>
        <v/>
      </c>
      <c r="V2484" s="152">
        <f>IF(B2484="","",IF(AND(E2484&gt;0,F2484&gt;0,H2484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2484=1,TRUE()),R2484&lt;='01_설정'!B5,S2484&lt;='01_설정'!B6,T2484&lt;='01_설정'!B7,U2484&lt;='01_설정'!B8),"Y",""))</f>
        <v/>
      </c>
      <c r="W2484" s="172">
        <f>IF(V2484&lt;&gt;"Y","",MAX(0,(1-R2484/'01_설정'!B5))*'01_설정'!B14+MAX(0,(1-S2484/'01_설정'!B6))*'01_설정'!B15+MAX(0,(1-T2484/'01_설정'!B7))*'01_설정'!B16+MAX(0,(1-U2484/'01_설정'!B8))*'01_설정'!B17+O2484*'01_설정'!B11+Q2484*'01_설정'!B12+P2484*'01_설정'!B13+IF(Z2484="",0,Z2484))</f>
        <v/>
      </c>
      <c r="X2484" s="152">
        <f>IF(W2484="","",1+COUNTIFS($W$4:$W$3003,"&gt;"&amp;W2484)+COUNTIFS($W$4:W2484,W2484)-1)</f>
        <v/>
      </c>
      <c r="Y2484" s="175">
        <f>IF(OR(I2484="",'02_대상물건입력'!B19="",'02_대상물건입력'!B19&lt;=0),"",ABS(I2484-'02_대상물건입력'!B19)/'02_대상물건입력'!B19)</f>
        <v/>
      </c>
      <c r="Z2484" s="172">
        <f>IF(OR(Y2484="",'01_설정'!B31="",'01_설정'!B31&lt;=0,'01_설정'!B32="",'01_설정'!B32&lt;=0),"",MAX(0,(1-Y2484/'01_설정'!B32))*'01_설정'!B31)</f>
        <v/>
      </c>
    </row>
    <row r="2485" ht="17.25" customHeight="1">
      <c r="A2485" s="152">
        <f>IF(INDEX('04A_국토부원자료'!$A:$A,ROW()+1)="","",ROW()-3)</f>
        <v/>
      </c>
      <c r="B2485" s="48">
        <f>IFERROR(INDEX('04A_국토부원자료'!$A:$T,ROW()+1,MATCH("시군구",'04A_국토부원자료'!$A$4:$T$4,0)),"")</f>
        <v/>
      </c>
      <c r="C2485" s="48">
        <f>IF(B2485="","",IFERROR(INDEX('04A_국토부원자료'!$A:$T,ROW()+1,MATCH("번지",'04A_국토부원자료'!$A$4:$T$4,0)),""))</f>
        <v/>
      </c>
      <c r="D2485" s="48">
        <f>IF(B2485="","",IF(Q2485=1,'02_대상물건입력'!$B$8,IFERROR(INDEX('04A_국토부원자료'!$A:$T,ROW()+1,MATCH("단지명",'04A_국토부원자료'!$A$4:$T$4,0)),"")))</f>
        <v/>
      </c>
      <c r="E2485" s="172">
        <f>IFERROR(VALUE(SUBSTITUTE(INDEX('04A_국토부원자료'!$A:$T,ROW()+1,MATCH("전용면적(㎡)",'04A_국토부원자료'!$A$4:$T$4,0)),",","")),"")</f>
        <v/>
      </c>
      <c r="F24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85" s="51">
        <f>IFERROR(VALUE(SUBSTITUTE(INDEX('04A_국토부원자료'!$A:$T,ROW()+1,MATCH("거래금액(만원)",'04A_국토부원자료'!$A$4:$T$4,0)),",","")),"")</f>
        <v/>
      </c>
      <c r="H2485" s="174">
        <f>IF(G2485="","",G2485*10000)</f>
        <v/>
      </c>
      <c r="I2485" s="174">
        <f>IFERROR(IF(AND(H2485&gt;0,E2485&gt;0),H2485/E2485,""),"")</f>
        <v/>
      </c>
      <c r="J2485" s="152">
        <f>IFERROR(VALUE(SUBSTITUTE(INDEX('04A_국토부원자료'!$A:$T,ROW()+1,MATCH("층",'04A_국토부원자료'!$A$4:$T$4,0)),",","")),"")</f>
        <v/>
      </c>
      <c r="K2485" s="152">
        <f>IFERROR(VALUE(SUBSTITUTE(INDEX('04A_국토부원자료'!$A:$T,ROW()+1,MATCH("건축년도",'04A_국토부원자료'!$A$4:$T$4,0)),",","")),"")</f>
        <v/>
      </c>
      <c r="L2485" s="48">
        <f>IFERROR(INDEX('04A_국토부원자료'!$A:$T,ROW()+1,MATCH("도로명",'04A_국토부원자료'!$A$4:$T$4,0)),"")</f>
        <v/>
      </c>
      <c r="M2485" s="48">
        <f>IFERROR(INDEX('04A_국토부원자료'!$A:$T,ROW()+1,MATCH("거래유형",'04A_국토부원자료'!$A$4:$T$4,0)),"")</f>
        <v/>
      </c>
      <c r="N2485" s="152">
        <f>IF(B2485="","",IF('02_대상물건입력'!B5="",1,IF(ISNUMBER(SEARCH('02_대상물건입력'!B5,B2485)),1,0)))</f>
        <v/>
      </c>
      <c r="O2485" s="152">
        <f>IF(B2485="","",IF('02_대상물건입력'!B6="",1,IF(ISNUMBER(SEARCH('02_대상물건입력'!B6,B2485)),1,0)))</f>
        <v/>
      </c>
      <c r="P2485" s="152">
        <f>IF(L2485="","",IF('02_대상물건입력'!B15="",0,IF(ISNUMBER(SEARCH('02_대상물건입력'!B15,L2485)),1,0)))</f>
        <v/>
      </c>
      <c r="Q2485" s="152">
        <f>IF(OR(C2485="",L2485=""),0,IF(AND(TRIM(C2485)=TRIM(RIGHT(SUBSTITUTE(TRIM('02_대상물건입력'!$B$7)," ",REPT(" ",99)),99)),IF('02_대상물건입력'!B15="",TRUE(),ISNUMBER(SEARCH('02_대상물건입력'!B15,L2485)))),1,0))</f>
        <v/>
      </c>
      <c r="R2485" s="175">
        <f>IFERROR(ABS(E2485-'02_대상물건입력'!B11)/'02_대상물건입력'!B11,"")</f>
        <v/>
      </c>
      <c r="S2485" s="152">
        <f>IFERROR(ABS(J2485-'02_대상물건입력'!B10),"")</f>
        <v/>
      </c>
      <c r="T2485" s="152">
        <f>IFERROR(ABS('01_설정'!B4-F2485),"")</f>
        <v/>
      </c>
      <c r="U2485" s="152">
        <f>IFERROR(ABS(K2485-YEAR('02_대상물건입력'!B14)),"")</f>
        <v/>
      </c>
      <c r="V2485" s="152">
        <f>IF(B2485="","",IF(AND(E2485&gt;0,F2485&gt;0,H2485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2485=1,TRUE()),R2485&lt;='01_설정'!B5,S2485&lt;='01_설정'!B6,T2485&lt;='01_설정'!B7,U2485&lt;='01_설정'!B8),"Y",""))</f>
        <v/>
      </c>
      <c r="W2485" s="172">
        <f>IF(V2485&lt;&gt;"Y","",MAX(0,(1-R2485/'01_설정'!B5))*'01_설정'!B14+MAX(0,(1-S2485/'01_설정'!B6))*'01_설정'!B15+MAX(0,(1-T2485/'01_설정'!B7))*'01_설정'!B16+MAX(0,(1-U2485/'01_설정'!B8))*'01_설정'!B17+O2485*'01_설정'!B11+Q2485*'01_설정'!B12+P2485*'01_설정'!B13+IF(Z2485="",0,Z2485))</f>
        <v/>
      </c>
      <c r="X2485" s="152">
        <f>IF(W2485="","",1+COUNTIFS($W$4:$W$3003,"&gt;"&amp;W2485)+COUNTIFS($W$4:W2485,W2485)-1)</f>
        <v/>
      </c>
      <c r="Y2485" s="175">
        <f>IF(OR(I2485="",'02_대상물건입력'!B19="",'02_대상물건입력'!B19&lt;=0),"",ABS(I2485-'02_대상물건입력'!B19)/'02_대상물건입력'!B19)</f>
        <v/>
      </c>
      <c r="Z2485" s="172">
        <f>IF(OR(Y2485="",'01_설정'!B31="",'01_설정'!B31&lt;=0,'01_설정'!B32="",'01_설정'!B32&lt;=0),"",MAX(0,(1-Y2485/'01_설정'!B32))*'01_설정'!B31)</f>
        <v/>
      </c>
    </row>
    <row r="2486" ht="17.25" customHeight="1">
      <c r="A2486" s="152">
        <f>IF(INDEX('04A_국토부원자료'!$A:$A,ROW()+1)="","",ROW()-3)</f>
        <v/>
      </c>
      <c r="B2486" s="48">
        <f>IFERROR(INDEX('04A_국토부원자료'!$A:$T,ROW()+1,MATCH("시군구",'04A_국토부원자료'!$A$4:$T$4,0)),"")</f>
        <v/>
      </c>
      <c r="C2486" s="48">
        <f>IF(B2486="","",IFERROR(INDEX('04A_국토부원자료'!$A:$T,ROW()+1,MATCH("번지",'04A_국토부원자료'!$A$4:$T$4,0)),""))</f>
        <v/>
      </c>
      <c r="D2486" s="48">
        <f>IF(B2486="","",IF(Q2486=1,'02_대상물건입력'!$B$8,IFERROR(INDEX('04A_국토부원자료'!$A:$T,ROW()+1,MATCH("단지명",'04A_국토부원자료'!$A$4:$T$4,0)),"")))</f>
        <v/>
      </c>
      <c r="E2486" s="172">
        <f>IFERROR(VALUE(SUBSTITUTE(INDEX('04A_국토부원자료'!$A:$T,ROW()+1,MATCH("전용면적(㎡)",'04A_국토부원자료'!$A$4:$T$4,0)),",","")),"")</f>
        <v/>
      </c>
      <c r="F24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86" s="51">
        <f>IFERROR(VALUE(SUBSTITUTE(INDEX('04A_국토부원자료'!$A:$T,ROW()+1,MATCH("거래금액(만원)",'04A_국토부원자료'!$A$4:$T$4,0)),",","")),"")</f>
        <v/>
      </c>
      <c r="H2486" s="174">
        <f>IF(G2486="","",G2486*10000)</f>
        <v/>
      </c>
      <c r="I2486" s="174">
        <f>IFERROR(IF(AND(H2486&gt;0,E2486&gt;0),H2486/E2486,""),"")</f>
        <v/>
      </c>
      <c r="J2486" s="152">
        <f>IFERROR(VALUE(SUBSTITUTE(INDEX('04A_국토부원자료'!$A:$T,ROW()+1,MATCH("층",'04A_국토부원자료'!$A$4:$T$4,0)),",","")),"")</f>
        <v/>
      </c>
      <c r="K2486" s="152">
        <f>IFERROR(VALUE(SUBSTITUTE(INDEX('04A_국토부원자료'!$A:$T,ROW()+1,MATCH("건축년도",'04A_국토부원자료'!$A$4:$T$4,0)),",","")),"")</f>
        <v/>
      </c>
      <c r="L2486" s="48">
        <f>IFERROR(INDEX('04A_국토부원자료'!$A:$T,ROW()+1,MATCH("도로명",'04A_국토부원자료'!$A$4:$T$4,0)),"")</f>
        <v/>
      </c>
      <c r="M2486" s="48">
        <f>IFERROR(INDEX('04A_국토부원자료'!$A:$T,ROW()+1,MATCH("거래유형",'04A_국토부원자료'!$A$4:$T$4,0)),"")</f>
        <v/>
      </c>
      <c r="N2486" s="152">
        <f>IF(B2486="","",IF('02_대상물건입력'!B5="",1,IF(ISNUMBER(SEARCH('02_대상물건입력'!B5,B2486)),1,0)))</f>
        <v/>
      </c>
      <c r="O2486" s="152">
        <f>IF(B2486="","",IF('02_대상물건입력'!B6="",1,IF(ISNUMBER(SEARCH('02_대상물건입력'!B6,B2486)),1,0)))</f>
        <v/>
      </c>
      <c r="P2486" s="152">
        <f>IF(L2486="","",IF('02_대상물건입력'!B15="",0,IF(ISNUMBER(SEARCH('02_대상물건입력'!B15,L2486)),1,0)))</f>
        <v/>
      </c>
      <c r="Q2486" s="152">
        <f>IF(OR(C2486="",L2486=""),0,IF(AND(TRIM(C2486)=TRIM(RIGHT(SUBSTITUTE(TRIM('02_대상물건입력'!$B$7)," ",REPT(" ",99)),99)),IF('02_대상물건입력'!B15="",TRUE(),ISNUMBER(SEARCH('02_대상물건입력'!B15,L2486)))),1,0))</f>
        <v/>
      </c>
      <c r="R2486" s="175">
        <f>IFERROR(ABS(E2486-'02_대상물건입력'!B11)/'02_대상물건입력'!B11,"")</f>
        <v/>
      </c>
      <c r="S2486" s="152">
        <f>IFERROR(ABS(J2486-'02_대상물건입력'!B10),"")</f>
        <v/>
      </c>
      <c r="T2486" s="152">
        <f>IFERROR(ABS('01_설정'!B4-F2486),"")</f>
        <v/>
      </c>
      <c r="U2486" s="152">
        <f>IFERROR(ABS(K2486-YEAR('02_대상물건입력'!B14)),"")</f>
        <v/>
      </c>
      <c r="V2486" s="152">
        <f>IF(B2486="","",IF(AND(E2486&gt;0,F2486&gt;0,H2486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2486=1,TRUE()),R2486&lt;='01_설정'!B5,S2486&lt;='01_설정'!B6,T2486&lt;='01_설정'!B7,U2486&lt;='01_설정'!B8),"Y",""))</f>
        <v/>
      </c>
      <c r="W2486" s="172">
        <f>IF(V2486&lt;&gt;"Y","",MAX(0,(1-R2486/'01_설정'!B5))*'01_설정'!B14+MAX(0,(1-S2486/'01_설정'!B6))*'01_설정'!B15+MAX(0,(1-T2486/'01_설정'!B7))*'01_설정'!B16+MAX(0,(1-U2486/'01_설정'!B8))*'01_설정'!B17+O2486*'01_설정'!B11+Q2486*'01_설정'!B12+P2486*'01_설정'!B13+IF(Z2486="",0,Z2486))</f>
        <v/>
      </c>
      <c r="X2486" s="152">
        <f>IF(W2486="","",1+COUNTIFS($W$4:$W$3003,"&gt;"&amp;W2486)+COUNTIFS($W$4:W2486,W2486)-1)</f>
        <v/>
      </c>
      <c r="Y2486" s="175">
        <f>IF(OR(I2486="",'02_대상물건입력'!B19="",'02_대상물건입력'!B19&lt;=0),"",ABS(I2486-'02_대상물건입력'!B19)/'02_대상물건입력'!B19)</f>
        <v/>
      </c>
      <c r="Z2486" s="172">
        <f>IF(OR(Y2486="",'01_설정'!B31="",'01_설정'!B31&lt;=0,'01_설정'!B32="",'01_설정'!B32&lt;=0),"",MAX(0,(1-Y2486/'01_설정'!B32))*'01_설정'!B31)</f>
        <v/>
      </c>
    </row>
    <row r="2487" ht="17.25" customHeight="1">
      <c r="A2487" s="152">
        <f>IF(INDEX('04A_국토부원자료'!$A:$A,ROW()+1)="","",ROW()-3)</f>
        <v/>
      </c>
      <c r="B2487" s="48">
        <f>IFERROR(INDEX('04A_국토부원자료'!$A:$T,ROW()+1,MATCH("시군구",'04A_국토부원자료'!$A$4:$T$4,0)),"")</f>
        <v/>
      </c>
      <c r="C2487" s="48">
        <f>IF(B2487="","",IFERROR(INDEX('04A_국토부원자료'!$A:$T,ROW()+1,MATCH("번지",'04A_국토부원자료'!$A$4:$T$4,0)),""))</f>
        <v/>
      </c>
      <c r="D2487" s="48">
        <f>IF(B2487="","",IF(Q2487=1,'02_대상물건입력'!$B$8,IFERROR(INDEX('04A_국토부원자료'!$A:$T,ROW()+1,MATCH("단지명",'04A_국토부원자료'!$A$4:$T$4,0)),"")))</f>
        <v/>
      </c>
      <c r="E2487" s="172">
        <f>IFERROR(VALUE(SUBSTITUTE(INDEX('04A_국토부원자료'!$A:$T,ROW()+1,MATCH("전용면적(㎡)",'04A_국토부원자료'!$A$4:$T$4,0)),",","")),"")</f>
        <v/>
      </c>
      <c r="F24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87" s="51">
        <f>IFERROR(VALUE(SUBSTITUTE(INDEX('04A_국토부원자료'!$A:$T,ROW()+1,MATCH("거래금액(만원)",'04A_국토부원자료'!$A$4:$T$4,0)),",","")),"")</f>
        <v/>
      </c>
      <c r="H2487" s="174">
        <f>IF(G2487="","",G2487*10000)</f>
        <v/>
      </c>
      <c r="I2487" s="174">
        <f>IFERROR(IF(AND(H2487&gt;0,E2487&gt;0),H2487/E2487,""),"")</f>
        <v/>
      </c>
      <c r="J2487" s="152">
        <f>IFERROR(VALUE(SUBSTITUTE(INDEX('04A_국토부원자료'!$A:$T,ROW()+1,MATCH("층",'04A_국토부원자료'!$A$4:$T$4,0)),",","")),"")</f>
        <v/>
      </c>
      <c r="K2487" s="152">
        <f>IFERROR(VALUE(SUBSTITUTE(INDEX('04A_국토부원자료'!$A:$T,ROW()+1,MATCH("건축년도",'04A_국토부원자료'!$A$4:$T$4,0)),",","")),"")</f>
        <v/>
      </c>
      <c r="L2487" s="48">
        <f>IFERROR(INDEX('04A_국토부원자료'!$A:$T,ROW()+1,MATCH("도로명",'04A_국토부원자료'!$A$4:$T$4,0)),"")</f>
        <v/>
      </c>
      <c r="M2487" s="48">
        <f>IFERROR(INDEX('04A_국토부원자료'!$A:$T,ROW()+1,MATCH("거래유형",'04A_국토부원자료'!$A$4:$T$4,0)),"")</f>
        <v/>
      </c>
      <c r="N2487" s="152">
        <f>IF(B2487="","",IF('02_대상물건입력'!B5="",1,IF(ISNUMBER(SEARCH('02_대상물건입력'!B5,B2487)),1,0)))</f>
        <v/>
      </c>
      <c r="O2487" s="152">
        <f>IF(B2487="","",IF('02_대상물건입력'!B6="",1,IF(ISNUMBER(SEARCH('02_대상물건입력'!B6,B2487)),1,0)))</f>
        <v/>
      </c>
      <c r="P2487" s="152">
        <f>IF(L2487="","",IF('02_대상물건입력'!B15="",0,IF(ISNUMBER(SEARCH('02_대상물건입력'!B15,L2487)),1,0)))</f>
        <v/>
      </c>
      <c r="Q2487" s="152">
        <f>IF(OR(C2487="",L2487=""),0,IF(AND(TRIM(C2487)=TRIM(RIGHT(SUBSTITUTE(TRIM('02_대상물건입력'!$B$7)," ",REPT(" ",99)),99)),IF('02_대상물건입력'!B15="",TRUE(),ISNUMBER(SEARCH('02_대상물건입력'!B15,L2487)))),1,0))</f>
        <v/>
      </c>
      <c r="R2487" s="175">
        <f>IFERROR(ABS(E2487-'02_대상물건입력'!B11)/'02_대상물건입력'!B11,"")</f>
        <v/>
      </c>
      <c r="S2487" s="152">
        <f>IFERROR(ABS(J2487-'02_대상물건입력'!B10),"")</f>
        <v/>
      </c>
      <c r="T2487" s="152">
        <f>IFERROR(ABS('01_설정'!B4-F2487),"")</f>
        <v/>
      </c>
      <c r="U2487" s="152">
        <f>IFERROR(ABS(K2487-YEAR('02_대상물건입력'!B14)),"")</f>
        <v/>
      </c>
      <c r="V2487" s="152">
        <f>IF(B2487="","",IF(AND(E2487&gt;0,F2487&gt;0,H2487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2487=1,TRUE()),R2487&lt;='01_설정'!B5,S2487&lt;='01_설정'!B6,T2487&lt;='01_설정'!B7,U2487&lt;='01_설정'!B8),"Y",""))</f>
        <v/>
      </c>
      <c r="W2487" s="172">
        <f>IF(V2487&lt;&gt;"Y","",MAX(0,(1-R2487/'01_설정'!B5))*'01_설정'!B14+MAX(0,(1-S2487/'01_설정'!B6))*'01_설정'!B15+MAX(0,(1-T2487/'01_설정'!B7))*'01_설정'!B16+MAX(0,(1-U2487/'01_설정'!B8))*'01_설정'!B17+O2487*'01_설정'!B11+Q2487*'01_설정'!B12+P2487*'01_설정'!B13+IF(Z2487="",0,Z2487))</f>
        <v/>
      </c>
      <c r="X2487" s="152">
        <f>IF(W2487="","",1+COUNTIFS($W$4:$W$3003,"&gt;"&amp;W2487)+COUNTIFS($W$4:W2487,W2487)-1)</f>
        <v/>
      </c>
      <c r="Y2487" s="175">
        <f>IF(OR(I2487="",'02_대상물건입력'!B19="",'02_대상물건입력'!B19&lt;=0),"",ABS(I2487-'02_대상물건입력'!B19)/'02_대상물건입력'!B19)</f>
        <v/>
      </c>
      <c r="Z2487" s="172">
        <f>IF(OR(Y2487="",'01_설정'!B31="",'01_설정'!B31&lt;=0,'01_설정'!B32="",'01_설정'!B32&lt;=0),"",MAX(0,(1-Y2487/'01_설정'!B32))*'01_설정'!B31)</f>
        <v/>
      </c>
    </row>
    <row r="2488" ht="17.25" customHeight="1">
      <c r="A2488" s="152">
        <f>IF(INDEX('04A_국토부원자료'!$A:$A,ROW()+1)="","",ROW()-3)</f>
        <v/>
      </c>
      <c r="B2488" s="48">
        <f>IFERROR(INDEX('04A_국토부원자료'!$A:$T,ROW()+1,MATCH("시군구",'04A_국토부원자료'!$A$4:$T$4,0)),"")</f>
        <v/>
      </c>
      <c r="C2488" s="48">
        <f>IF(B2488="","",IFERROR(INDEX('04A_국토부원자료'!$A:$T,ROW()+1,MATCH("번지",'04A_국토부원자료'!$A$4:$T$4,0)),""))</f>
        <v/>
      </c>
      <c r="D2488" s="48">
        <f>IF(B2488="","",IF(Q2488=1,'02_대상물건입력'!$B$8,IFERROR(INDEX('04A_국토부원자료'!$A:$T,ROW()+1,MATCH("단지명",'04A_국토부원자료'!$A$4:$T$4,0)),"")))</f>
        <v/>
      </c>
      <c r="E2488" s="172">
        <f>IFERROR(VALUE(SUBSTITUTE(INDEX('04A_국토부원자료'!$A:$T,ROW()+1,MATCH("전용면적(㎡)",'04A_국토부원자료'!$A$4:$T$4,0)),",","")),"")</f>
        <v/>
      </c>
      <c r="F24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88" s="51">
        <f>IFERROR(VALUE(SUBSTITUTE(INDEX('04A_국토부원자료'!$A:$T,ROW()+1,MATCH("거래금액(만원)",'04A_국토부원자료'!$A$4:$T$4,0)),",","")),"")</f>
        <v/>
      </c>
      <c r="H2488" s="174">
        <f>IF(G2488="","",G2488*10000)</f>
        <v/>
      </c>
      <c r="I2488" s="174">
        <f>IFERROR(IF(AND(H2488&gt;0,E2488&gt;0),H2488/E2488,""),"")</f>
        <v/>
      </c>
      <c r="J2488" s="152">
        <f>IFERROR(VALUE(SUBSTITUTE(INDEX('04A_국토부원자료'!$A:$T,ROW()+1,MATCH("층",'04A_국토부원자료'!$A$4:$T$4,0)),",","")),"")</f>
        <v/>
      </c>
      <c r="K2488" s="152">
        <f>IFERROR(VALUE(SUBSTITUTE(INDEX('04A_국토부원자료'!$A:$T,ROW()+1,MATCH("건축년도",'04A_국토부원자료'!$A$4:$T$4,0)),",","")),"")</f>
        <v/>
      </c>
      <c r="L2488" s="48">
        <f>IFERROR(INDEX('04A_국토부원자료'!$A:$T,ROW()+1,MATCH("도로명",'04A_국토부원자료'!$A$4:$T$4,0)),"")</f>
        <v/>
      </c>
      <c r="M2488" s="48">
        <f>IFERROR(INDEX('04A_국토부원자료'!$A:$T,ROW()+1,MATCH("거래유형",'04A_국토부원자료'!$A$4:$T$4,0)),"")</f>
        <v/>
      </c>
      <c r="N2488" s="152">
        <f>IF(B2488="","",IF('02_대상물건입력'!B5="",1,IF(ISNUMBER(SEARCH('02_대상물건입력'!B5,B2488)),1,0)))</f>
        <v/>
      </c>
      <c r="O2488" s="152">
        <f>IF(B2488="","",IF('02_대상물건입력'!B6="",1,IF(ISNUMBER(SEARCH('02_대상물건입력'!B6,B2488)),1,0)))</f>
        <v/>
      </c>
      <c r="P2488" s="152">
        <f>IF(L2488="","",IF('02_대상물건입력'!B15="",0,IF(ISNUMBER(SEARCH('02_대상물건입력'!B15,L2488)),1,0)))</f>
        <v/>
      </c>
      <c r="Q2488" s="152">
        <f>IF(OR(C2488="",L2488=""),0,IF(AND(TRIM(C2488)=TRIM(RIGHT(SUBSTITUTE(TRIM('02_대상물건입력'!$B$7)," ",REPT(" ",99)),99)),IF('02_대상물건입력'!B15="",TRUE(),ISNUMBER(SEARCH('02_대상물건입력'!B15,L2488)))),1,0))</f>
        <v/>
      </c>
      <c r="R2488" s="175">
        <f>IFERROR(ABS(E2488-'02_대상물건입력'!B11)/'02_대상물건입력'!B11,"")</f>
        <v/>
      </c>
      <c r="S2488" s="152">
        <f>IFERROR(ABS(J2488-'02_대상물건입력'!B10),"")</f>
        <v/>
      </c>
      <c r="T2488" s="152">
        <f>IFERROR(ABS('01_설정'!B4-F2488),"")</f>
        <v/>
      </c>
      <c r="U2488" s="152">
        <f>IFERROR(ABS(K2488-YEAR('02_대상물건입력'!B14)),"")</f>
        <v/>
      </c>
      <c r="V2488" s="152">
        <f>IF(B2488="","",IF(AND(E2488&gt;0,F2488&gt;0,H2488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2488=1,TRUE()),R2488&lt;='01_설정'!B5,S2488&lt;='01_설정'!B6,T2488&lt;='01_설정'!B7,U2488&lt;='01_설정'!B8),"Y",""))</f>
        <v/>
      </c>
      <c r="W2488" s="172">
        <f>IF(V2488&lt;&gt;"Y","",MAX(0,(1-R2488/'01_설정'!B5))*'01_설정'!B14+MAX(0,(1-S2488/'01_설정'!B6))*'01_설정'!B15+MAX(0,(1-T2488/'01_설정'!B7))*'01_설정'!B16+MAX(0,(1-U2488/'01_설정'!B8))*'01_설정'!B17+O2488*'01_설정'!B11+Q2488*'01_설정'!B12+P2488*'01_설정'!B13+IF(Z2488="",0,Z2488))</f>
        <v/>
      </c>
      <c r="X2488" s="152">
        <f>IF(W2488="","",1+COUNTIFS($W$4:$W$3003,"&gt;"&amp;W2488)+COUNTIFS($W$4:W2488,W2488)-1)</f>
        <v/>
      </c>
      <c r="Y2488" s="175">
        <f>IF(OR(I2488="",'02_대상물건입력'!B19="",'02_대상물건입력'!B19&lt;=0),"",ABS(I2488-'02_대상물건입력'!B19)/'02_대상물건입력'!B19)</f>
        <v/>
      </c>
      <c r="Z2488" s="172">
        <f>IF(OR(Y2488="",'01_설정'!B31="",'01_설정'!B31&lt;=0,'01_설정'!B32="",'01_설정'!B32&lt;=0),"",MAX(0,(1-Y2488/'01_설정'!B32))*'01_설정'!B31)</f>
        <v/>
      </c>
    </row>
    <row r="2489" ht="17.25" customHeight="1">
      <c r="A2489" s="152">
        <f>IF(INDEX('04A_국토부원자료'!$A:$A,ROW()+1)="","",ROW()-3)</f>
        <v/>
      </c>
      <c r="B2489" s="48">
        <f>IFERROR(INDEX('04A_국토부원자료'!$A:$T,ROW()+1,MATCH("시군구",'04A_국토부원자료'!$A$4:$T$4,0)),"")</f>
        <v/>
      </c>
      <c r="C2489" s="48">
        <f>IF(B2489="","",IFERROR(INDEX('04A_국토부원자료'!$A:$T,ROW()+1,MATCH("번지",'04A_국토부원자료'!$A$4:$T$4,0)),""))</f>
        <v/>
      </c>
      <c r="D2489" s="48">
        <f>IF(B2489="","",IF(Q2489=1,'02_대상물건입력'!$B$8,IFERROR(INDEX('04A_국토부원자료'!$A:$T,ROW()+1,MATCH("단지명",'04A_국토부원자료'!$A$4:$T$4,0)),"")))</f>
        <v/>
      </c>
      <c r="E2489" s="172">
        <f>IFERROR(VALUE(SUBSTITUTE(INDEX('04A_국토부원자료'!$A:$T,ROW()+1,MATCH("전용면적(㎡)",'04A_국토부원자료'!$A$4:$T$4,0)),",","")),"")</f>
        <v/>
      </c>
      <c r="F24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89" s="51">
        <f>IFERROR(VALUE(SUBSTITUTE(INDEX('04A_국토부원자료'!$A:$T,ROW()+1,MATCH("거래금액(만원)",'04A_국토부원자료'!$A$4:$T$4,0)),",","")),"")</f>
        <v/>
      </c>
      <c r="H2489" s="174">
        <f>IF(G2489="","",G2489*10000)</f>
        <v/>
      </c>
      <c r="I2489" s="174">
        <f>IFERROR(IF(AND(H2489&gt;0,E2489&gt;0),H2489/E2489,""),"")</f>
        <v/>
      </c>
      <c r="J2489" s="152">
        <f>IFERROR(VALUE(SUBSTITUTE(INDEX('04A_국토부원자료'!$A:$T,ROW()+1,MATCH("층",'04A_국토부원자료'!$A$4:$T$4,0)),",","")),"")</f>
        <v/>
      </c>
      <c r="K2489" s="152">
        <f>IFERROR(VALUE(SUBSTITUTE(INDEX('04A_국토부원자료'!$A:$T,ROW()+1,MATCH("건축년도",'04A_국토부원자료'!$A$4:$T$4,0)),",","")),"")</f>
        <v/>
      </c>
      <c r="L2489" s="48">
        <f>IFERROR(INDEX('04A_국토부원자료'!$A:$T,ROW()+1,MATCH("도로명",'04A_국토부원자료'!$A$4:$T$4,0)),"")</f>
        <v/>
      </c>
      <c r="M2489" s="48">
        <f>IFERROR(INDEX('04A_국토부원자료'!$A:$T,ROW()+1,MATCH("거래유형",'04A_국토부원자료'!$A$4:$T$4,0)),"")</f>
        <v/>
      </c>
      <c r="N2489" s="152">
        <f>IF(B2489="","",IF('02_대상물건입력'!B5="",1,IF(ISNUMBER(SEARCH('02_대상물건입력'!B5,B2489)),1,0)))</f>
        <v/>
      </c>
      <c r="O2489" s="152">
        <f>IF(B2489="","",IF('02_대상물건입력'!B6="",1,IF(ISNUMBER(SEARCH('02_대상물건입력'!B6,B2489)),1,0)))</f>
        <v/>
      </c>
      <c r="P2489" s="152">
        <f>IF(L2489="","",IF('02_대상물건입력'!B15="",0,IF(ISNUMBER(SEARCH('02_대상물건입력'!B15,L2489)),1,0)))</f>
        <v/>
      </c>
      <c r="Q2489" s="152">
        <f>IF(OR(C2489="",L2489=""),0,IF(AND(TRIM(C2489)=TRIM(RIGHT(SUBSTITUTE(TRIM('02_대상물건입력'!$B$7)," ",REPT(" ",99)),99)),IF('02_대상물건입력'!B15="",TRUE(),ISNUMBER(SEARCH('02_대상물건입력'!B15,L2489)))),1,0))</f>
        <v/>
      </c>
      <c r="R2489" s="175">
        <f>IFERROR(ABS(E2489-'02_대상물건입력'!B11)/'02_대상물건입력'!B11,"")</f>
        <v/>
      </c>
      <c r="S2489" s="152">
        <f>IFERROR(ABS(J2489-'02_대상물건입력'!B10),"")</f>
        <v/>
      </c>
      <c r="T2489" s="152">
        <f>IFERROR(ABS('01_설정'!B4-F2489),"")</f>
        <v/>
      </c>
      <c r="U2489" s="152">
        <f>IFERROR(ABS(K2489-YEAR('02_대상물건입력'!B14)),"")</f>
        <v/>
      </c>
      <c r="V2489" s="152">
        <f>IF(B2489="","",IF(AND(E2489&gt;0,F2489&gt;0,H2489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2489=1,TRUE()),R2489&lt;='01_설정'!B5,S2489&lt;='01_설정'!B6,T2489&lt;='01_설정'!B7,U2489&lt;='01_설정'!B8),"Y",""))</f>
        <v/>
      </c>
      <c r="W2489" s="172">
        <f>IF(V2489&lt;&gt;"Y","",MAX(0,(1-R2489/'01_설정'!B5))*'01_설정'!B14+MAX(0,(1-S2489/'01_설정'!B6))*'01_설정'!B15+MAX(0,(1-T2489/'01_설정'!B7))*'01_설정'!B16+MAX(0,(1-U2489/'01_설정'!B8))*'01_설정'!B17+O2489*'01_설정'!B11+Q2489*'01_설정'!B12+P2489*'01_설정'!B13+IF(Z2489="",0,Z2489))</f>
        <v/>
      </c>
      <c r="X2489" s="152">
        <f>IF(W2489="","",1+COUNTIFS($W$4:$W$3003,"&gt;"&amp;W2489)+COUNTIFS($W$4:W2489,W2489)-1)</f>
        <v/>
      </c>
      <c r="Y2489" s="175">
        <f>IF(OR(I2489="",'02_대상물건입력'!B19="",'02_대상물건입력'!B19&lt;=0),"",ABS(I2489-'02_대상물건입력'!B19)/'02_대상물건입력'!B19)</f>
        <v/>
      </c>
      <c r="Z2489" s="172">
        <f>IF(OR(Y2489="",'01_설정'!B31="",'01_설정'!B31&lt;=0,'01_설정'!B32="",'01_설정'!B32&lt;=0),"",MAX(0,(1-Y2489/'01_설정'!B32))*'01_설정'!B31)</f>
        <v/>
      </c>
    </row>
    <row r="2490" ht="17.25" customHeight="1">
      <c r="A2490" s="152">
        <f>IF(INDEX('04A_국토부원자료'!$A:$A,ROW()+1)="","",ROW()-3)</f>
        <v/>
      </c>
      <c r="B2490" s="48">
        <f>IFERROR(INDEX('04A_국토부원자료'!$A:$T,ROW()+1,MATCH("시군구",'04A_국토부원자료'!$A$4:$T$4,0)),"")</f>
        <v/>
      </c>
      <c r="C2490" s="48">
        <f>IF(B2490="","",IFERROR(INDEX('04A_국토부원자료'!$A:$T,ROW()+1,MATCH("번지",'04A_국토부원자료'!$A$4:$T$4,0)),""))</f>
        <v/>
      </c>
      <c r="D2490" s="48">
        <f>IF(B2490="","",IF(Q2490=1,'02_대상물건입력'!$B$8,IFERROR(INDEX('04A_국토부원자료'!$A:$T,ROW()+1,MATCH("단지명",'04A_국토부원자료'!$A$4:$T$4,0)),"")))</f>
        <v/>
      </c>
      <c r="E2490" s="172">
        <f>IFERROR(VALUE(SUBSTITUTE(INDEX('04A_국토부원자료'!$A:$T,ROW()+1,MATCH("전용면적(㎡)",'04A_국토부원자료'!$A$4:$T$4,0)),",","")),"")</f>
        <v/>
      </c>
      <c r="F24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90" s="51">
        <f>IFERROR(VALUE(SUBSTITUTE(INDEX('04A_국토부원자료'!$A:$T,ROW()+1,MATCH("거래금액(만원)",'04A_국토부원자료'!$A$4:$T$4,0)),",","")),"")</f>
        <v/>
      </c>
      <c r="H2490" s="174">
        <f>IF(G2490="","",G2490*10000)</f>
        <v/>
      </c>
      <c r="I2490" s="174">
        <f>IFERROR(IF(AND(H2490&gt;0,E2490&gt;0),H2490/E2490,""),"")</f>
        <v/>
      </c>
      <c r="J2490" s="152">
        <f>IFERROR(VALUE(SUBSTITUTE(INDEX('04A_국토부원자료'!$A:$T,ROW()+1,MATCH("층",'04A_국토부원자료'!$A$4:$T$4,0)),",","")),"")</f>
        <v/>
      </c>
      <c r="K2490" s="152">
        <f>IFERROR(VALUE(SUBSTITUTE(INDEX('04A_국토부원자료'!$A:$T,ROW()+1,MATCH("건축년도",'04A_국토부원자료'!$A$4:$T$4,0)),",","")),"")</f>
        <v/>
      </c>
      <c r="L2490" s="48">
        <f>IFERROR(INDEX('04A_국토부원자료'!$A:$T,ROW()+1,MATCH("도로명",'04A_국토부원자료'!$A$4:$T$4,0)),"")</f>
        <v/>
      </c>
      <c r="M2490" s="48">
        <f>IFERROR(INDEX('04A_국토부원자료'!$A:$T,ROW()+1,MATCH("거래유형",'04A_국토부원자료'!$A$4:$T$4,0)),"")</f>
        <v/>
      </c>
      <c r="N2490" s="152">
        <f>IF(B2490="","",IF('02_대상물건입력'!B5="",1,IF(ISNUMBER(SEARCH('02_대상물건입력'!B5,B2490)),1,0)))</f>
        <v/>
      </c>
      <c r="O2490" s="152">
        <f>IF(B2490="","",IF('02_대상물건입력'!B6="",1,IF(ISNUMBER(SEARCH('02_대상물건입력'!B6,B2490)),1,0)))</f>
        <v/>
      </c>
      <c r="P2490" s="152">
        <f>IF(L2490="","",IF('02_대상물건입력'!B15="",0,IF(ISNUMBER(SEARCH('02_대상물건입력'!B15,L2490)),1,0)))</f>
        <v/>
      </c>
      <c r="Q2490" s="152">
        <f>IF(OR(C2490="",L2490=""),0,IF(AND(TRIM(C2490)=TRIM(RIGHT(SUBSTITUTE(TRIM('02_대상물건입력'!$B$7)," ",REPT(" ",99)),99)),IF('02_대상물건입력'!B15="",TRUE(),ISNUMBER(SEARCH('02_대상물건입력'!B15,L2490)))),1,0))</f>
        <v/>
      </c>
      <c r="R2490" s="175">
        <f>IFERROR(ABS(E2490-'02_대상물건입력'!B11)/'02_대상물건입력'!B11,"")</f>
        <v/>
      </c>
      <c r="S2490" s="152">
        <f>IFERROR(ABS(J2490-'02_대상물건입력'!B10),"")</f>
        <v/>
      </c>
      <c r="T2490" s="152">
        <f>IFERROR(ABS('01_설정'!B4-F2490),"")</f>
        <v/>
      </c>
      <c r="U2490" s="152">
        <f>IFERROR(ABS(K2490-YEAR('02_대상물건입력'!B14)),"")</f>
        <v/>
      </c>
      <c r="V2490" s="152">
        <f>IF(B2490="","",IF(AND(E2490&gt;0,F2490&gt;0,H2490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2490=1,TRUE()),R2490&lt;='01_설정'!B5,S2490&lt;='01_설정'!B6,T2490&lt;='01_설정'!B7,U2490&lt;='01_설정'!B8),"Y",""))</f>
        <v/>
      </c>
      <c r="W2490" s="172">
        <f>IF(V2490&lt;&gt;"Y","",MAX(0,(1-R2490/'01_설정'!B5))*'01_설정'!B14+MAX(0,(1-S2490/'01_설정'!B6))*'01_설정'!B15+MAX(0,(1-T2490/'01_설정'!B7))*'01_설정'!B16+MAX(0,(1-U2490/'01_설정'!B8))*'01_설정'!B17+O2490*'01_설정'!B11+Q2490*'01_설정'!B12+P2490*'01_설정'!B13+IF(Z2490="",0,Z2490))</f>
        <v/>
      </c>
      <c r="X2490" s="152">
        <f>IF(W2490="","",1+COUNTIFS($W$4:$W$3003,"&gt;"&amp;W2490)+COUNTIFS($W$4:W2490,W2490)-1)</f>
        <v/>
      </c>
      <c r="Y2490" s="175">
        <f>IF(OR(I2490="",'02_대상물건입력'!B19="",'02_대상물건입력'!B19&lt;=0),"",ABS(I2490-'02_대상물건입력'!B19)/'02_대상물건입력'!B19)</f>
        <v/>
      </c>
      <c r="Z2490" s="172">
        <f>IF(OR(Y2490="",'01_설정'!B31="",'01_설정'!B31&lt;=0,'01_설정'!B32="",'01_설정'!B32&lt;=0),"",MAX(0,(1-Y2490/'01_설정'!B32))*'01_설정'!B31)</f>
        <v/>
      </c>
    </row>
    <row r="2491" ht="17.25" customHeight="1">
      <c r="A2491" s="152">
        <f>IF(INDEX('04A_국토부원자료'!$A:$A,ROW()+1)="","",ROW()-3)</f>
        <v/>
      </c>
      <c r="B2491" s="48">
        <f>IFERROR(INDEX('04A_국토부원자료'!$A:$T,ROW()+1,MATCH("시군구",'04A_국토부원자료'!$A$4:$T$4,0)),"")</f>
        <v/>
      </c>
      <c r="C2491" s="48">
        <f>IF(B2491="","",IFERROR(INDEX('04A_국토부원자료'!$A:$T,ROW()+1,MATCH("번지",'04A_국토부원자료'!$A$4:$T$4,0)),""))</f>
        <v/>
      </c>
      <c r="D2491" s="48">
        <f>IF(B2491="","",IF(Q2491=1,'02_대상물건입력'!$B$8,IFERROR(INDEX('04A_국토부원자료'!$A:$T,ROW()+1,MATCH("단지명",'04A_국토부원자료'!$A$4:$T$4,0)),"")))</f>
        <v/>
      </c>
      <c r="E2491" s="172">
        <f>IFERROR(VALUE(SUBSTITUTE(INDEX('04A_국토부원자료'!$A:$T,ROW()+1,MATCH("전용면적(㎡)",'04A_국토부원자료'!$A$4:$T$4,0)),",","")),"")</f>
        <v/>
      </c>
      <c r="F24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91" s="51">
        <f>IFERROR(VALUE(SUBSTITUTE(INDEX('04A_국토부원자료'!$A:$T,ROW()+1,MATCH("거래금액(만원)",'04A_국토부원자료'!$A$4:$T$4,0)),",","")),"")</f>
        <v/>
      </c>
      <c r="H2491" s="174">
        <f>IF(G2491="","",G2491*10000)</f>
        <v/>
      </c>
      <c r="I2491" s="174">
        <f>IFERROR(IF(AND(H2491&gt;0,E2491&gt;0),H2491/E2491,""),"")</f>
        <v/>
      </c>
      <c r="J2491" s="152">
        <f>IFERROR(VALUE(SUBSTITUTE(INDEX('04A_국토부원자료'!$A:$T,ROW()+1,MATCH("층",'04A_국토부원자료'!$A$4:$T$4,0)),",","")),"")</f>
        <v/>
      </c>
      <c r="K2491" s="152">
        <f>IFERROR(VALUE(SUBSTITUTE(INDEX('04A_국토부원자료'!$A:$T,ROW()+1,MATCH("건축년도",'04A_국토부원자료'!$A$4:$T$4,0)),",","")),"")</f>
        <v/>
      </c>
      <c r="L2491" s="48">
        <f>IFERROR(INDEX('04A_국토부원자료'!$A:$T,ROW()+1,MATCH("도로명",'04A_국토부원자료'!$A$4:$T$4,0)),"")</f>
        <v/>
      </c>
      <c r="M2491" s="48">
        <f>IFERROR(INDEX('04A_국토부원자료'!$A:$T,ROW()+1,MATCH("거래유형",'04A_국토부원자료'!$A$4:$T$4,0)),"")</f>
        <v/>
      </c>
      <c r="N2491" s="152">
        <f>IF(B2491="","",IF('02_대상물건입력'!B5="",1,IF(ISNUMBER(SEARCH('02_대상물건입력'!B5,B2491)),1,0)))</f>
        <v/>
      </c>
      <c r="O2491" s="152">
        <f>IF(B2491="","",IF('02_대상물건입력'!B6="",1,IF(ISNUMBER(SEARCH('02_대상물건입력'!B6,B2491)),1,0)))</f>
        <v/>
      </c>
      <c r="P2491" s="152">
        <f>IF(L2491="","",IF('02_대상물건입력'!B15="",0,IF(ISNUMBER(SEARCH('02_대상물건입력'!B15,L2491)),1,0)))</f>
        <v/>
      </c>
      <c r="Q2491" s="152">
        <f>IF(OR(C2491="",L2491=""),0,IF(AND(TRIM(C2491)=TRIM(RIGHT(SUBSTITUTE(TRIM('02_대상물건입력'!$B$7)," ",REPT(" ",99)),99)),IF('02_대상물건입력'!B15="",TRUE(),ISNUMBER(SEARCH('02_대상물건입력'!B15,L2491)))),1,0))</f>
        <v/>
      </c>
      <c r="R2491" s="175">
        <f>IFERROR(ABS(E2491-'02_대상물건입력'!B11)/'02_대상물건입력'!B11,"")</f>
        <v/>
      </c>
      <c r="S2491" s="152">
        <f>IFERROR(ABS(J2491-'02_대상물건입력'!B10),"")</f>
        <v/>
      </c>
      <c r="T2491" s="152">
        <f>IFERROR(ABS('01_설정'!B4-F2491),"")</f>
        <v/>
      </c>
      <c r="U2491" s="152">
        <f>IFERROR(ABS(K2491-YEAR('02_대상물건입력'!B14)),"")</f>
        <v/>
      </c>
      <c r="V2491" s="152">
        <f>IF(B2491="","",IF(AND(E2491&gt;0,F2491&gt;0,H2491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2491=1,TRUE()),R2491&lt;='01_설정'!B5,S2491&lt;='01_설정'!B6,T2491&lt;='01_설정'!B7,U2491&lt;='01_설정'!B8),"Y",""))</f>
        <v/>
      </c>
      <c r="W2491" s="172">
        <f>IF(V2491&lt;&gt;"Y","",MAX(0,(1-R2491/'01_설정'!B5))*'01_설정'!B14+MAX(0,(1-S2491/'01_설정'!B6))*'01_설정'!B15+MAX(0,(1-T2491/'01_설정'!B7))*'01_설정'!B16+MAX(0,(1-U2491/'01_설정'!B8))*'01_설정'!B17+O2491*'01_설정'!B11+Q2491*'01_설정'!B12+P2491*'01_설정'!B13+IF(Z2491="",0,Z2491))</f>
        <v/>
      </c>
      <c r="X2491" s="152">
        <f>IF(W2491="","",1+COUNTIFS($W$4:$W$3003,"&gt;"&amp;W2491)+COUNTIFS($W$4:W2491,W2491)-1)</f>
        <v/>
      </c>
      <c r="Y2491" s="175">
        <f>IF(OR(I2491="",'02_대상물건입력'!B19="",'02_대상물건입력'!B19&lt;=0),"",ABS(I2491-'02_대상물건입력'!B19)/'02_대상물건입력'!B19)</f>
        <v/>
      </c>
      <c r="Z2491" s="172">
        <f>IF(OR(Y2491="",'01_설정'!B31="",'01_설정'!B31&lt;=0,'01_설정'!B32="",'01_설정'!B32&lt;=0),"",MAX(0,(1-Y2491/'01_설정'!B32))*'01_설정'!B31)</f>
        <v/>
      </c>
    </row>
    <row r="2492" ht="17.25" customHeight="1">
      <c r="A2492" s="152">
        <f>IF(INDEX('04A_국토부원자료'!$A:$A,ROW()+1)="","",ROW()-3)</f>
        <v/>
      </c>
      <c r="B2492" s="48">
        <f>IFERROR(INDEX('04A_국토부원자료'!$A:$T,ROW()+1,MATCH("시군구",'04A_국토부원자료'!$A$4:$T$4,0)),"")</f>
        <v/>
      </c>
      <c r="C2492" s="48">
        <f>IF(B2492="","",IFERROR(INDEX('04A_국토부원자료'!$A:$T,ROW()+1,MATCH("번지",'04A_국토부원자료'!$A$4:$T$4,0)),""))</f>
        <v/>
      </c>
      <c r="D2492" s="48">
        <f>IF(B2492="","",IF(Q2492=1,'02_대상물건입력'!$B$8,IFERROR(INDEX('04A_국토부원자료'!$A:$T,ROW()+1,MATCH("단지명",'04A_국토부원자료'!$A$4:$T$4,0)),"")))</f>
        <v/>
      </c>
      <c r="E2492" s="172">
        <f>IFERROR(VALUE(SUBSTITUTE(INDEX('04A_국토부원자료'!$A:$T,ROW()+1,MATCH("전용면적(㎡)",'04A_국토부원자료'!$A$4:$T$4,0)),",","")),"")</f>
        <v/>
      </c>
      <c r="F24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92" s="51">
        <f>IFERROR(VALUE(SUBSTITUTE(INDEX('04A_국토부원자료'!$A:$T,ROW()+1,MATCH("거래금액(만원)",'04A_국토부원자료'!$A$4:$T$4,0)),",","")),"")</f>
        <v/>
      </c>
      <c r="H2492" s="174">
        <f>IF(G2492="","",G2492*10000)</f>
        <v/>
      </c>
      <c r="I2492" s="174">
        <f>IFERROR(IF(AND(H2492&gt;0,E2492&gt;0),H2492/E2492,""),"")</f>
        <v/>
      </c>
      <c r="J2492" s="152">
        <f>IFERROR(VALUE(SUBSTITUTE(INDEX('04A_국토부원자료'!$A:$T,ROW()+1,MATCH("층",'04A_국토부원자료'!$A$4:$T$4,0)),",","")),"")</f>
        <v/>
      </c>
      <c r="K2492" s="152">
        <f>IFERROR(VALUE(SUBSTITUTE(INDEX('04A_국토부원자료'!$A:$T,ROW()+1,MATCH("건축년도",'04A_국토부원자료'!$A$4:$T$4,0)),",","")),"")</f>
        <v/>
      </c>
      <c r="L2492" s="48">
        <f>IFERROR(INDEX('04A_국토부원자료'!$A:$T,ROW()+1,MATCH("도로명",'04A_국토부원자료'!$A$4:$T$4,0)),"")</f>
        <v/>
      </c>
      <c r="M2492" s="48">
        <f>IFERROR(INDEX('04A_국토부원자료'!$A:$T,ROW()+1,MATCH("거래유형",'04A_국토부원자료'!$A$4:$T$4,0)),"")</f>
        <v/>
      </c>
      <c r="N2492" s="152">
        <f>IF(B2492="","",IF('02_대상물건입력'!B5="",1,IF(ISNUMBER(SEARCH('02_대상물건입력'!B5,B2492)),1,0)))</f>
        <v/>
      </c>
      <c r="O2492" s="152">
        <f>IF(B2492="","",IF('02_대상물건입력'!B6="",1,IF(ISNUMBER(SEARCH('02_대상물건입력'!B6,B2492)),1,0)))</f>
        <v/>
      </c>
      <c r="P2492" s="152">
        <f>IF(L2492="","",IF('02_대상물건입력'!B15="",0,IF(ISNUMBER(SEARCH('02_대상물건입력'!B15,L2492)),1,0)))</f>
        <v/>
      </c>
      <c r="Q2492" s="152">
        <f>IF(OR(C2492="",L2492=""),0,IF(AND(TRIM(C2492)=TRIM(RIGHT(SUBSTITUTE(TRIM('02_대상물건입력'!$B$7)," ",REPT(" ",99)),99)),IF('02_대상물건입력'!B15="",TRUE(),ISNUMBER(SEARCH('02_대상물건입력'!B15,L2492)))),1,0))</f>
        <v/>
      </c>
      <c r="R2492" s="175">
        <f>IFERROR(ABS(E2492-'02_대상물건입력'!B11)/'02_대상물건입력'!B11,"")</f>
        <v/>
      </c>
      <c r="S2492" s="152">
        <f>IFERROR(ABS(J2492-'02_대상물건입력'!B10),"")</f>
        <v/>
      </c>
      <c r="T2492" s="152">
        <f>IFERROR(ABS('01_설정'!B4-F2492),"")</f>
        <v/>
      </c>
      <c r="U2492" s="152">
        <f>IFERROR(ABS(K2492-YEAR('02_대상물건입력'!B14)),"")</f>
        <v/>
      </c>
      <c r="V2492" s="152">
        <f>IF(B2492="","",IF(AND(E2492&gt;0,F2492&gt;0,H2492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2492=1,TRUE()),R2492&lt;='01_설정'!B5,S2492&lt;='01_설정'!B6,T2492&lt;='01_설정'!B7,U2492&lt;='01_설정'!B8),"Y",""))</f>
        <v/>
      </c>
      <c r="W2492" s="172">
        <f>IF(V2492&lt;&gt;"Y","",MAX(0,(1-R2492/'01_설정'!B5))*'01_설정'!B14+MAX(0,(1-S2492/'01_설정'!B6))*'01_설정'!B15+MAX(0,(1-T2492/'01_설정'!B7))*'01_설정'!B16+MAX(0,(1-U2492/'01_설정'!B8))*'01_설정'!B17+O2492*'01_설정'!B11+Q2492*'01_설정'!B12+P2492*'01_설정'!B13+IF(Z2492="",0,Z2492))</f>
        <v/>
      </c>
      <c r="X2492" s="152">
        <f>IF(W2492="","",1+COUNTIFS($W$4:$W$3003,"&gt;"&amp;W2492)+COUNTIFS($W$4:W2492,W2492)-1)</f>
        <v/>
      </c>
      <c r="Y2492" s="175">
        <f>IF(OR(I2492="",'02_대상물건입력'!B19="",'02_대상물건입력'!B19&lt;=0),"",ABS(I2492-'02_대상물건입력'!B19)/'02_대상물건입력'!B19)</f>
        <v/>
      </c>
      <c r="Z2492" s="172">
        <f>IF(OR(Y2492="",'01_설정'!B31="",'01_설정'!B31&lt;=0,'01_설정'!B32="",'01_설정'!B32&lt;=0),"",MAX(0,(1-Y2492/'01_설정'!B32))*'01_설정'!B31)</f>
        <v/>
      </c>
    </row>
    <row r="2493" ht="17.25" customHeight="1">
      <c r="A2493" s="152">
        <f>IF(INDEX('04A_국토부원자료'!$A:$A,ROW()+1)="","",ROW()-3)</f>
        <v/>
      </c>
      <c r="B2493" s="48">
        <f>IFERROR(INDEX('04A_국토부원자료'!$A:$T,ROW()+1,MATCH("시군구",'04A_국토부원자료'!$A$4:$T$4,0)),"")</f>
        <v/>
      </c>
      <c r="C2493" s="48">
        <f>IF(B2493="","",IFERROR(INDEX('04A_국토부원자료'!$A:$T,ROW()+1,MATCH("번지",'04A_국토부원자료'!$A$4:$T$4,0)),""))</f>
        <v/>
      </c>
      <c r="D2493" s="48">
        <f>IF(B2493="","",IF(Q2493=1,'02_대상물건입력'!$B$8,IFERROR(INDEX('04A_국토부원자료'!$A:$T,ROW()+1,MATCH("단지명",'04A_국토부원자료'!$A$4:$T$4,0)),"")))</f>
        <v/>
      </c>
      <c r="E2493" s="172">
        <f>IFERROR(VALUE(SUBSTITUTE(INDEX('04A_국토부원자료'!$A:$T,ROW()+1,MATCH("전용면적(㎡)",'04A_국토부원자료'!$A$4:$T$4,0)),",","")),"")</f>
        <v/>
      </c>
      <c r="F24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93" s="51">
        <f>IFERROR(VALUE(SUBSTITUTE(INDEX('04A_국토부원자료'!$A:$T,ROW()+1,MATCH("거래금액(만원)",'04A_국토부원자료'!$A$4:$T$4,0)),",","")),"")</f>
        <v/>
      </c>
      <c r="H2493" s="174">
        <f>IF(G2493="","",G2493*10000)</f>
        <v/>
      </c>
      <c r="I2493" s="174">
        <f>IFERROR(IF(AND(H2493&gt;0,E2493&gt;0),H2493/E2493,""),"")</f>
        <v/>
      </c>
      <c r="J2493" s="152">
        <f>IFERROR(VALUE(SUBSTITUTE(INDEX('04A_국토부원자료'!$A:$T,ROW()+1,MATCH("층",'04A_국토부원자료'!$A$4:$T$4,0)),",","")),"")</f>
        <v/>
      </c>
      <c r="K2493" s="152">
        <f>IFERROR(VALUE(SUBSTITUTE(INDEX('04A_국토부원자료'!$A:$T,ROW()+1,MATCH("건축년도",'04A_국토부원자료'!$A$4:$T$4,0)),",","")),"")</f>
        <v/>
      </c>
      <c r="L2493" s="48">
        <f>IFERROR(INDEX('04A_국토부원자료'!$A:$T,ROW()+1,MATCH("도로명",'04A_국토부원자료'!$A$4:$T$4,0)),"")</f>
        <v/>
      </c>
      <c r="M2493" s="48">
        <f>IFERROR(INDEX('04A_국토부원자료'!$A:$T,ROW()+1,MATCH("거래유형",'04A_국토부원자료'!$A$4:$T$4,0)),"")</f>
        <v/>
      </c>
      <c r="N2493" s="152">
        <f>IF(B2493="","",IF('02_대상물건입력'!B5="",1,IF(ISNUMBER(SEARCH('02_대상물건입력'!B5,B2493)),1,0)))</f>
        <v/>
      </c>
      <c r="O2493" s="152">
        <f>IF(B2493="","",IF('02_대상물건입력'!B6="",1,IF(ISNUMBER(SEARCH('02_대상물건입력'!B6,B2493)),1,0)))</f>
        <v/>
      </c>
      <c r="P2493" s="152">
        <f>IF(L2493="","",IF('02_대상물건입력'!B15="",0,IF(ISNUMBER(SEARCH('02_대상물건입력'!B15,L2493)),1,0)))</f>
        <v/>
      </c>
      <c r="Q2493" s="152">
        <f>IF(OR(C2493="",L2493=""),0,IF(AND(TRIM(C2493)=TRIM(RIGHT(SUBSTITUTE(TRIM('02_대상물건입력'!$B$7)," ",REPT(" ",99)),99)),IF('02_대상물건입력'!B15="",TRUE(),ISNUMBER(SEARCH('02_대상물건입력'!B15,L2493)))),1,0))</f>
        <v/>
      </c>
      <c r="R2493" s="175">
        <f>IFERROR(ABS(E2493-'02_대상물건입력'!B11)/'02_대상물건입력'!B11,"")</f>
        <v/>
      </c>
      <c r="S2493" s="152">
        <f>IFERROR(ABS(J2493-'02_대상물건입력'!B10),"")</f>
        <v/>
      </c>
      <c r="T2493" s="152">
        <f>IFERROR(ABS('01_설정'!B4-F2493),"")</f>
        <v/>
      </c>
      <c r="U2493" s="152">
        <f>IFERROR(ABS(K2493-YEAR('02_대상물건입력'!B14)),"")</f>
        <v/>
      </c>
      <c r="V2493" s="152">
        <f>IF(B2493="","",IF(AND(E2493&gt;0,F2493&gt;0,H2493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2493=1,TRUE()),R2493&lt;='01_설정'!B5,S2493&lt;='01_설정'!B6,T2493&lt;='01_설정'!B7,U2493&lt;='01_설정'!B8),"Y",""))</f>
        <v/>
      </c>
      <c r="W2493" s="172">
        <f>IF(V2493&lt;&gt;"Y","",MAX(0,(1-R2493/'01_설정'!B5))*'01_설정'!B14+MAX(0,(1-S2493/'01_설정'!B6))*'01_설정'!B15+MAX(0,(1-T2493/'01_설정'!B7))*'01_설정'!B16+MAX(0,(1-U2493/'01_설정'!B8))*'01_설정'!B17+O2493*'01_설정'!B11+Q2493*'01_설정'!B12+P2493*'01_설정'!B13+IF(Z2493="",0,Z2493))</f>
        <v/>
      </c>
      <c r="X2493" s="152">
        <f>IF(W2493="","",1+COUNTIFS($W$4:$W$3003,"&gt;"&amp;W2493)+COUNTIFS($W$4:W2493,W2493)-1)</f>
        <v/>
      </c>
      <c r="Y2493" s="175">
        <f>IF(OR(I2493="",'02_대상물건입력'!B19="",'02_대상물건입력'!B19&lt;=0),"",ABS(I2493-'02_대상물건입력'!B19)/'02_대상물건입력'!B19)</f>
        <v/>
      </c>
      <c r="Z2493" s="172">
        <f>IF(OR(Y2493="",'01_설정'!B31="",'01_설정'!B31&lt;=0,'01_설정'!B32="",'01_설정'!B32&lt;=0),"",MAX(0,(1-Y2493/'01_설정'!B32))*'01_설정'!B31)</f>
        <v/>
      </c>
    </row>
    <row r="2494" ht="17.25" customHeight="1">
      <c r="A2494" s="152">
        <f>IF(INDEX('04A_국토부원자료'!$A:$A,ROW()+1)="","",ROW()-3)</f>
        <v/>
      </c>
      <c r="B2494" s="48">
        <f>IFERROR(INDEX('04A_국토부원자료'!$A:$T,ROW()+1,MATCH("시군구",'04A_국토부원자료'!$A$4:$T$4,0)),"")</f>
        <v/>
      </c>
      <c r="C2494" s="48">
        <f>IF(B2494="","",IFERROR(INDEX('04A_국토부원자료'!$A:$T,ROW()+1,MATCH("번지",'04A_국토부원자료'!$A$4:$T$4,0)),""))</f>
        <v/>
      </c>
      <c r="D2494" s="48">
        <f>IF(B2494="","",IF(Q2494=1,'02_대상물건입력'!$B$8,IFERROR(INDEX('04A_국토부원자료'!$A:$T,ROW()+1,MATCH("단지명",'04A_국토부원자료'!$A$4:$T$4,0)),"")))</f>
        <v/>
      </c>
      <c r="E2494" s="172">
        <f>IFERROR(VALUE(SUBSTITUTE(INDEX('04A_국토부원자료'!$A:$T,ROW()+1,MATCH("전용면적(㎡)",'04A_국토부원자료'!$A$4:$T$4,0)),",","")),"")</f>
        <v/>
      </c>
      <c r="F24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94" s="51">
        <f>IFERROR(VALUE(SUBSTITUTE(INDEX('04A_국토부원자료'!$A:$T,ROW()+1,MATCH("거래금액(만원)",'04A_국토부원자료'!$A$4:$T$4,0)),",","")),"")</f>
        <v/>
      </c>
      <c r="H2494" s="174">
        <f>IF(G2494="","",G2494*10000)</f>
        <v/>
      </c>
      <c r="I2494" s="174">
        <f>IFERROR(IF(AND(H2494&gt;0,E2494&gt;0),H2494/E2494,""),"")</f>
        <v/>
      </c>
      <c r="J2494" s="152">
        <f>IFERROR(VALUE(SUBSTITUTE(INDEX('04A_국토부원자료'!$A:$T,ROW()+1,MATCH("층",'04A_국토부원자료'!$A$4:$T$4,0)),",","")),"")</f>
        <v/>
      </c>
      <c r="K2494" s="152">
        <f>IFERROR(VALUE(SUBSTITUTE(INDEX('04A_국토부원자료'!$A:$T,ROW()+1,MATCH("건축년도",'04A_국토부원자료'!$A$4:$T$4,0)),",","")),"")</f>
        <v/>
      </c>
      <c r="L2494" s="48">
        <f>IFERROR(INDEX('04A_국토부원자료'!$A:$T,ROW()+1,MATCH("도로명",'04A_국토부원자료'!$A$4:$T$4,0)),"")</f>
        <v/>
      </c>
      <c r="M2494" s="48">
        <f>IFERROR(INDEX('04A_국토부원자료'!$A:$T,ROW()+1,MATCH("거래유형",'04A_국토부원자료'!$A$4:$T$4,0)),"")</f>
        <v/>
      </c>
      <c r="N2494" s="152">
        <f>IF(B2494="","",IF('02_대상물건입력'!B5="",1,IF(ISNUMBER(SEARCH('02_대상물건입력'!B5,B2494)),1,0)))</f>
        <v/>
      </c>
      <c r="O2494" s="152">
        <f>IF(B2494="","",IF('02_대상물건입력'!B6="",1,IF(ISNUMBER(SEARCH('02_대상물건입력'!B6,B2494)),1,0)))</f>
        <v/>
      </c>
      <c r="P2494" s="152">
        <f>IF(L2494="","",IF('02_대상물건입력'!B15="",0,IF(ISNUMBER(SEARCH('02_대상물건입력'!B15,L2494)),1,0)))</f>
        <v/>
      </c>
      <c r="Q2494" s="152">
        <f>IF(OR(C2494="",L2494=""),0,IF(AND(TRIM(C2494)=TRIM(RIGHT(SUBSTITUTE(TRIM('02_대상물건입력'!$B$7)," ",REPT(" ",99)),99)),IF('02_대상물건입력'!B15="",TRUE(),ISNUMBER(SEARCH('02_대상물건입력'!B15,L2494)))),1,0))</f>
        <v/>
      </c>
      <c r="R2494" s="175">
        <f>IFERROR(ABS(E2494-'02_대상물건입력'!B11)/'02_대상물건입력'!B11,"")</f>
        <v/>
      </c>
      <c r="S2494" s="152">
        <f>IFERROR(ABS(J2494-'02_대상물건입력'!B10),"")</f>
        <v/>
      </c>
      <c r="T2494" s="152">
        <f>IFERROR(ABS('01_설정'!B4-F2494),"")</f>
        <v/>
      </c>
      <c r="U2494" s="152">
        <f>IFERROR(ABS(K2494-YEAR('02_대상물건입력'!B14)),"")</f>
        <v/>
      </c>
      <c r="V2494" s="152">
        <f>IF(B2494="","",IF(AND(E2494&gt;0,F2494&gt;0,H2494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2494=1,TRUE()),R2494&lt;='01_설정'!B5,S2494&lt;='01_설정'!B6,T2494&lt;='01_설정'!B7,U2494&lt;='01_설정'!B8),"Y",""))</f>
        <v/>
      </c>
      <c r="W2494" s="172">
        <f>IF(V2494&lt;&gt;"Y","",MAX(0,(1-R2494/'01_설정'!B5))*'01_설정'!B14+MAX(0,(1-S2494/'01_설정'!B6))*'01_설정'!B15+MAX(0,(1-T2494/'01_설정'!B7))*'01_설정'!B16+MAX(0,(1-U2494/'01_설정'!B8))*'01_설정'!B17+O2494*'01_설정'!B11+Q2494*'01_설정'!B12+P2494*'01_설정'!B13+IF(Z2494="",0,Z2494))</f>
        <v/>
      </c>
      <c r="X2494" s="152">
        <f>IF(W2494="","",1+COUNTIFS($W$4:$W$3003,"&gt;"&amp;W2494)+COUNTIFS($W$4:W2494,W2494)-1)</f>
        <v/>
      </c>
      <c r="Y2494" s="175">
        <f>IF(OR(I2494="",'02_대상물건입력'!B19="",'02_대상물건입력'!B19&lt;=0),"",ABS(I2494-'02_대상물건입력'!B19)/'02_대상물건입력'!B19)</f>
        <v/>
      </c>
      <c r="Z2494" s="172">
        <f>IF(OR(Y2494="",'01_설정'!B31="",'01_설정'!B31&lt;=0,'01_설정'!B32="",'01_설정'!B32&lt;=0),"",MAX(0,(1-Y2494/'01_설정'!B32))*'01_설정'!B31)</f>
        <v/>
      </c>
    </row>
    <row r="2495" ht="17.25" customHeight="1">
      <c r="A2495" s="152">
        <f>IF(INDEX('04A_국토부원자료'!$A:$A,ROW()+1)="","",ROW()-3)</f>
        <v/>
      </c>
      <c r="B2495" s="48">
        <f>IFERROR(INDEX('04A_국토부원자료'!$A:$T,ROW()+1,MATCH("시군구",'04A_국토부원자료'!$A$4:$T$4,0)),"")</f>
        <v/>
      </c>
      <c r="C2495" s="48">
        <f>IF(B2495="","",IFERROR(INDEX('04A_국토부원자료'!$A:$T,ROW()+1,MATCH("번지",'04A_국토부원자료'!$A$4:$T$4,0)),""))</f>
        <v/>
      </c>
      <c r="D2495" s="48">
        <f>IF(B2495="","",IF(Q2495=1,'02_대상물건입력'!$B$8,IFERROR(INDEX('04A_국토부원자료'!$A:$T,ROW()+1,MATCH("단지명",'04A_국토부원자료'!$A$4:$T$4,0)),"")))</f>
        <v/>
      </c>
      <c r="E2495" s="172">
        <f>IFERROR(VALUE(SUBSTITUTE(INDEX('04A_국토부원자료'!$A:$T,ROW()+1,MATCH("전용면적(㎡)",'04A_국토부원자료'!$A$4:$T$4,0)),",","")),"")</f>
        <v/>
      </c>
      <c r="F24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95" s="51">
        <f>IFERROR(VALUE(SUBSTITUTE(INDEX('04A_국토부원자료'!$A:$T,ROW()+1,MATCH("거래금액(만원)",'04A_국토부원자료'!$A$4:$T$4,0)),",","")),"")</f>
        <v/>
      </c>
      <c r="H2495" s="174">
        <f>IF(G2495="","",G2495*10000)</f>
        <v/>
      </c>
      <c r="I2495" s="174">
        <f>IFERROR(IF(AND(H2495&gt;0,E2495&gt;0),H2495/E2495,""),"")</f>
        <v/>
      </c>
      <c r="J2495" s="152">
        <f>IFERROR(VALUE(SUBSTITUTE(INDEX('04A_국토부원자료'!$A:$T,ROW()+1,MATCH("층",'04A_국토부원자료'!$A$4:$T$4,0)),",","")),"")</f>
        <v/>
      </c>
      <c r="K2495" s="152">
        <f>IFERROR(VALUE(SUBSTITUTE(INDEX('04A_국토부원자료'!$A:$T,ROW()+1,MATCH("건축년도",'04A_국토부원자료'!$A$4:$T$4,0)),",","")),"")</f>
        <v/>
      </c>
      <c r="L2495" s="48">
        <f>IFERROR(INDEX('04A_국토부원자료'!$A:$T,ROW()+1,MATCH("도로명",'04A_국토부원자료'!$A$4:$T$4,0)),"")</f>
        <v/>
      </c>
      <c r="M2495" s="48">
        <f>IFERROR(INDEX('04A_국토부원자료'!$A:$T,ROW()+1,MATCH("거래유형",'04A_국토부원자료'!$A$4:$T$4,0)),"")</f>
        <v/>
      </c>
      <c r="N2495" s="152">
        <f>IF(B2495="","",IF('02_대상물건입력'!B5="",1,IF(ISNUMBER(SEARCH('02_대상물건입력'!B5,B2495)),1,0)))</f>
        <v/>
      </c>
      <c r="O2495" s="152">
        <f>IF(B2495="","",IF('02_대상물건입력'!B6="",1,IF(ISNUMBER(SEARCH('02_대상물건입력'!B6,B2495)),1,0)))</f>
        <v/>
      </c>
      <c r="P2495" s="152">
        <f>IF(L2495="","",IF('02_대상물건입력'!B15="",0,IF(ISNUMBER(SEARCH('02_대상물건입력'!B15,L2495)),1,0)))</f>
        <v/>
      </c>
      <c r="Q2495" s="152">
        <f>IF(OR(C2495="",L2495=""),0,IF(AND(TRIM(C2495)=TRIM(RIGHT(SUBSTITUTE(TRIM('02_대상물건입력'!$B$7)," ",REPT(" ",99)),99)),IF('02_대상물건입력'!B15="",TRUE(),ISNUMBER(SEARCH('02_대상물건입력'!B15,L2495)))),1,0))</f>
        <v/>
      </c>
      <c r="R2495" s="175">
        <f>IFERROR(ABS(E2495-'02_대상물건입력'!B11)/'02_대상물건입력'!B11,"")</f>
        <v/>
      </c>
      <c r="S2495" s="152">
        <f>IFERROR(ABS(J2495-'02_대상물건입력'!B10),"")</f>
        <v/>
      </c>
      <c r="T2495" s="152">
        <f>IFERROR(ABS('01_설정'!B4-F2495),"")</f>
        <v/>
      </c>
      <c r="U2495" s="152">
        <f>IFERROR(ABS(K2495-YEAR('02_대상물건입력'!B14)),"")</f>
        <v/>
      </c>
      <c r="V2495" s="152">
        <f>IF(B2495="","",IF(AND(E2495&gt;0,F2495&gt;0,H2495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2495=1,TRUE()),R2495&lt;='01_설정'!B5,S2495&lt;='01_설정'!B6,T2495&lt;='01_설정'!B7,U2495&lt;='01_설정'!B8),"Y",""))</f>
        <v/>
      </c>
      <c r="W2495" s="172">
        <f>IF(V2495&lt;&gt;"Y","",MAX(0,(1-R2495/'01_설정'!B5))*'01_설정'!B14+MAX(0,(1-S2495/'01_설정'!B6))*'01_설정'!B15+MAX(0,(1-T2495/'01_설정'!B7))*'01_설정'!B16+MAX(0,(1-U2495/'01_설정'!B8))*'01_설정'!B17+O2495*'01_설정'!B11+Q2495*'01_설정'!B12+P2495*'01_설정'!B13+IF(Z2495="",0,Z2495))</f>
        <v/>
      </c>
      <c r="X2495" s="152">
        <f>IF(W2495="","",1+COUNTIFS($W$4:$W$3003,"&gt;"&amp;W2495)+COUNTIFS($W$4:W2495,W2495)-1)</f>
        <v/>
      </c>
      <c r="Y2495" s="175">
        <f>IF(OR(I2495="",'02_대상물건입력'!B19="",'02_대상물건입력'!B19&lt;=0),"",ABS(I2495-'02_대상물건입력'!B19)/'02_대상물건입력'!B19)</f>
        <v/>
      </c>
      <c r="Z2495" s="172">
        <f>IF(OR(Y2495="",'01_설정'!B31="",'01_설정'!B31&lt;=0,'01_설정'!B32="",'01_설정'!B32&lt;=0),"",MAX(0,(1-Y2495/'01_설정'!B32))*'01_설정'!B31)</f>
        <v/>
      </c>
    </row>
    <row r="2496" ht="17.25" customHeight="1">
      <c r="A2496" s="152">
        <f>IF(INDEX('04A_국토부원자료'!$A:$A,ROW()+1)="","",ROW()-3)</f>
        <v/>
      </c>
      <c r="B2496" s="48">
        <f>IFERROR(INDEX('04A_국토부원자료'!$A:$T,ROW()+1,MATCH("시군구",'04A_국토부원자료'!$A$4:$T$4,0)),"")</f>
        <v/>
      </c>
      <c r="C2496" s="48">
        <f>IF(B2496="","",IFERROR(INDEX('04A_국토부원자료'!$A:$T,ROW()+1,MATCH("번지",'04A_국토부원자료'!$A$4:$T$4,0)),""))</f>
        <v/>
      </c>
      <c r="D2496" s="48">
        <f>IF(B2496="","",IF(Q2496=1,'02_대상물건입력'!$B$8,IFERROR(INDEX('04A_국토부원자료'!$A:$T,ROW()+1,MATCH("단지명",'04A_국토부원자료'!$A$4:$T$4,0)),"")))</f>
        <v/>
      </c>
      <c r="E2496" s="172">
        <f>IFERROR(VALUE(SUBSTITUTE(INDEX('04A_국토부원자료'!$A:$T,ROW()+1,MATCH("전용면적(㎡)",'04A_국토부원자료'!$A$4:$T$4,0)),",","")),"")</f>
        <v/>
      </c>
      <c r="F24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96" s="51">
        <f>IFERROR(VALUE(SUBSTITUTE(INDEX('04A_국토부원자료'!$A:$T,ROW()+1,MATCH("거래금액(만원)",'04A_국토부원자료'!$A$4:$T$4,0)),",","")),"")</f>
        <v/>
      </c>
      <c r="H2496" s="174">
        <f>IF(G2496="","",G2496*10000)</f>
        <v/>
      </c>
      <c r="I2496" s="174">
        <f>IFERROR(IF(AND(H2496&gt;0,E2496&gt;0),H2496/E2496,""),"")</f>
        <v/>
      </c>
      <c r="J2496" s="152">
        <f>IFERROR(VALUE(SUBSTITUTE(INDEX('04A_국토부원자료'!$A:$T,ROW()+1,MATCH("층",'04A_국토부원자료'!$A$4:$T$4,0)),",","")),"")</f>
        <v/>
      </c>
      <c r="K2496" s="152">
        <f>IFERROR(VALUE(SUBSTITUTE(INDEX('04A_국토부원자료'!$A:$T,ROW()+1,MATCH("건축년도",'04A_국토부원자료'!$A$4:$T$4,0)),",","")),"")</f>
        <v/>
      </c>
      <c r="L2496" s="48">
        <f>IFERROR(INDEX('04A_국토부원자료'!$A:$T,ROW()+1,MATCH("도로명",'04A_국토부원자료'!$A$4:$T$4,0)),"")</f>
        <v/>
      </c>
      <c r="M2496" s="48">
        <f>IFERROR(INDEX('04A_국토부원자료'!$A:$T,ROW()+1,MATCH("거래유형",'04A_국토부원자료'!$A$4:$T$4,0)),"")</f>
        <v/>
      </c>
      <c r="N2496" s="152">
        <f>IF(B2496="","",IF('02_대상물건입력'!B5="",1,IF(ISNUMBER(SEARCH('02_대상물건입력'!B5,B2496)),1,0)))</f>
        <v/>
      </c>
      <c r="O2496" s="152">
        <f>IF(B2496="","",IF('02_대상물건입력'!B6="",1,IF(ISNUMBER(SEARCH('02_대상물건입력'!B6,B2496)),1,0)))</f>
        <v/>
      </c>
      <c r="P2496" s="152">
        <f>IF(L2496="","",IF('02_대상물건입력'!B15="",0,IF(ISNUMBER(SEARCH('02_대상물건입력'!B15,L2496)),1,0)))</f>
        <v/>
      </c>
      <c r="Q2496" s="152">
        <f>IF(OR(C2496="",L2496=""),0,IF(AND(TRIM(C2496)=TRIM(RIGHT(SUBSTITUTE(TRIM('02_대상물건입력'!$B$7)," ",REPT(" ",99)),99)),IF('02_대상물건입력'!B15="",TRUE(),ISNUMBER(SEARCH('02_대상물건입력'!B15,L2496)))),1,0))</f>
        <v/>
      </c>
      <c r="R2496" s="175">
        <f>IFERROR(ABS(E2496-'02_대상물건입력'!B11)/'02_대상물건입력'!B11,"")</f>
        <v/>
      </c>
      <c r="S2496" s="152">
        <f>IFERROR(ABS(J2496-'02_대상물건입력'!B10),"")</f>
        <v/>
      </c>
      <c r="T2496" s="152">
        <f>IFERROR(ABS('01_설정'!B4-F2496),"")</f>
        <v/>
      </c>
      <c r="U2496" s="152">
        <f>IFERROR(ABS(K2496-YEAR('02_대상물건입력'!B14)),"")</f>
        <v/>
      </c>
      <c r="V2496" s="152">
        <f>IF(B2496="","",IF(AND(E2496&gt;0,F2496&gt;0,H2496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2496=1,TRUE()),R2496&lt;='01_설정'!B5,S2496&lt;='01_설정'!B6,T2496&lt;='01_설정'!B7,U2496&lt;='01_설정'!B8),"Y",""))</f>
        <v/>
      </c>
      <c r="W2496" s="172">
        <f>IF(V2496&lt;&gt;"Y","",MAX(0,(1-R2496/'01_설정'!B5))*'01_설정'!B14+MAX(0,(1-S2496/'01_설정'!B6))*'01_설정'!B15+MAX(0,(1-T2496/'01_설정'!B7))*'01_설정'!B16+MAX(0,(1-U2496/'01_설정'!B8))*'01_설정'!B17+O2496*'01_설정'!B11+Q2496*'01_설정'!B12+P2496*'01_설정'!B13+IF(Z2496="",0,Z2496))</f>
        <v/>
      </c>
      <c r="X2496" s="152">
        <f>IF(W2496="","",1+COUNTIFS($W$4:$W$3003,"&gt;"&amp;W2496)+COUNTIFS($W$4:W2496,W2496)-1)</f>
        <v/>
      </c>
      <c r="Y2496" s="175">
        <f>IF(OR(I2496="",'02_대상물건입력'!B19="",'02_대상물건입력'!B19&lt;=0),"",ABS(I2496-'02_대상물건입력'!B19)/'02_대상물건입력'!B19)</f>
        <v/>
      </c>
      <c r="Z2496" s="172">
        <f>IF(OR(Y2496="",'01_설정'!B31="",'01_설정'!B31&lt;=0,'01_설정'!B32="",'01_설정'!B32&lt;=0),"",MAX(0,(1-Y2496/'01_설정'!B32))*'01_설정'!B31)</f>
        <v/>
      </c>
    </row>
    <row r="2497" ht="17.25" customHeight="1">
      <c r="A2497" s="152">
        <f>IF(INDEX('04A_국토부원자료'!$A:$A,ROW()+1)="","",ROW()-3)</f>
        <v/>
      </c>
      <c r="B2497" s="48">
        <f>IFERROR(INDEX('04A_국토부원자료'!$A:$T,ROW()+1,MATCH("시군구",'04A_국토부원자료'!$A$4:$T$4,0)),"")</f>
        <v/>
      </c>
      <c r="C2497" s="48">
        <f>IF(B2497="","",IFERROR(INDEX('04A_국토부원자료'!$A:$T,ROW()+1,MATCH("번지",'04A_국토부원자료'!$A$4:$T$4,0)),""))</f>
        <v/>
      </c>
      <c r="D2497" s="48">
        <f>IF(B2497="","",IF(Q2497=1,'02_대상물건입력'!$B$8,IFERROR(INDEX('04A_국토부원자료'!$A:$T,ROW()+1,MATCH("단지명",'04A_국토부원자료'!$A$4:$T$4,0)),"")))</f>
        <v/>
      </c>
      <c r="E2497" s="172">
        <f>IFERROR(VALUE(SUBSTITUTE(INDEX('04A_국토부원자료'!$A:$T,ROW()+1,MATCH("전용면적(㎡)",'04A_국토부원자료'!$A$4:$T$4,0)),",","")),"")</f>
        <v/>
      </c>
      <c r="F24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97" s="51">
        <f>IFERROR(VALUE(SUBSTITUTE(INDEX('04A_국토부원자료'!$A:$T,ROW()+1,MATCH("거래금액(만원)",'04A_국토부원자료'!$A$4:$T$4,0)),",","")),"")</f>
        <v/>
      </c>
      <c r="H2497" s="174">
        <f>IF(G2497="","",G2497*10000)</f>
        <v/>
      </c>
      <c r="I2497" s="174">
        <f>IFERROR(IF(AND(H2497&gt;0,E2497&gt;0),H2497/E2497,""),"")</f>
        <v/>
      </c>
      <c r="J2497" s="152">
        <f>IFERROR(VALUE(SUBSTITUTE(INDEX('04A_국토부원자료'!$A:$T,ROW()+1,MATCH("층",'04A_국토부원자료'!$A$4:$T$4,0)),",","")),"")</f>
        <v/>
      </c>
      <c r="K2497" s="152">
        <f>IFERROR(VALUE(SUBSTITUTE(INDEX('04A_국토부원자료'!$A:$T,ROW()+1,MATCH("건축년도",'04A_국토부원자료'!$A$4:$T$4,0)),",","")),"")</f>
        <v/>
      </c>
      <c r="L2497" s="48">
        <f>IFERROR(INDEX('04A_국토부원자료'!$A:$T,ROW()+1,MATCH("도로명",'04A_국토부원자료'!$A$4:$T$4,0)),"")</f>
        <v/>
      </c>
      <c r="M2497" s="48">
        <f>IFERROR(INDEX('04A_국토부원자료'!$A:$T,ROW()+1,MATCH("거래유형",'04A_국토부원자료'!$A$4:$T$4,0)),"")</f>
        <v/>
      </c>
      <c r="N2497" s="152">
        <f>IF(B2497="","",IF('02_대상물건입력'!B5="",1,IF(ISNUMBER(SEARCH('02_대상물건입력'!B5,B2497)),1,0)))</f>
        <v/>
      </c>
      <c r="O2497" s="152">
        <f>IF(B2497="","",IF('02_대상물건입력'!B6="",1,IF(ISNUMBER(SEARCH('02_대상물건입력'!B6,B2497)),1,0)))</f>
        <v/>
      </c>
      <c r="P2497" s="152">
        <f>IF(L2497="","",IF('02_대상물건입력'!B15="",0,IF(ISNUMBER(SEARCH('02_대상물건입력'!B15,L2497)),1,0)))</f>
        <v/>
      </c>
      <c r="Q2497" s="152">
        <f>IF(OR(C2497="",L2497=""),0,IF(AND(TRIM(C2497)=TRIM(RIGHT(SUBSTITUTE(TRIM('02_대상물건입력'!$B$7)," ",REPT(" ",99)),99)),IF('02_대상물건입력'!B15="",TRUE(),ISNUMBER(SEARCH('02_대상물건입력'!B15,L2497)))),1,0))</f>
        <v/>
      </c>
      <c r="R2497" s="175">
        <f>IFERROR(ABS(E2497-'02_대상물건입력'!B11)/'02_대상물건입력'!B11,"")</f>
        <v/>
      </c>
      <c r="S2497" s="152">
        <f>IFERROR(ABS(J2497-'02_대상물건입력'!B10),"")</f>
        <v/>
      </c>
      <c r="T2497" s="152">
        <f>IFERROR(ABS('01_설정'!B4-F2497),"")</f>
        <v/>
      </c>
      <c r="U2497" s="152">
        <f>IFERROR(ABS(K2497-YEAR('02_대상물건입력'!B14)),"")</f>
        <v/>
      </c>
      <c r="V2497" s="152">
        <f>IF(B2497="","",IF(AND(E2497&gt;0,F2497&gt;0,H2497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2497=1,TRUE()),R2497&lt;='01_설정'!B5,S2497&lt;='01_설정'!B6,T2497&lt;='01_설정'!B7,U2497&lt;='01_설정'!B8),"Y",""))</f>
        <v/>
      </c>
      <c r="W2497" s="172">
        <f>IF(V2497&lt;&gt;"Y","",MAX(0,(1-R2497/'01_설정'!B5))*'01_설정'!B14+MAX(0,(1-S2497/'01_설정'!B6))*'01_설정'!B15+MAX(0,(1-T2497/'01_설정'!B7))*'01_설정'!B16+MAX(0,(1-U2497/'01_설정'!B8))*'01_설정'!B17+O2497*'01_설정'!B11+Q2497*'01_설정'!B12+P2497*'01_설정'!B13+IF(Z2497="",0,Z2497))</f>
        <v/>
      </c>
      <c r="X2497" s="152">
        <f>IF(W2497="","",1+COUNTIFS($W$4:$W$3003,"&gt;"&amp;W2497)+COUNTIFS($W$4:W2497,W2497)-1)</f>
        <v/>
      </c>
      <c r="Y2497" s="175">
        <f>IF(OR(I2497="",'02_대상물건입력'!B19="",'02_대상물건입력'!B19&lt;=0),"",ABS(I2497-'02_대상물건입력'!B19)/'02_대상물건입력'!B19)</f>
        <v/>
      </c>
      <c r="Z2497" s="172">
        <f>IF(OR(Y2497="",'01_설정'!B31="",'01_설정'!B31&lt;=0,'01_설정'!B32="",'01_설정'!B32&lt;=0),"",MAX(0,(1-Y2497/'01_설정'!B32))*'01_설정'!B31)</f>
        <v/>
      </c>
    </row>
    <row r="2498" ht="17.25" customHeight="1">
      <c r="A2498" s="152">
        <f>IF(INDEX('04A_국토부원자료'!$A:$A,ROW()+1)="","",ROW()-3)</f>
        <v/>
      </c>
      <c r="B2498" s="48">
        <f>IFERROR(INDEX('04A_국토부원자료'!$A:$T,ROW()+1,MATCH("시군구",'04A_국토부원자료'!$A$4:$T$4,0)),"")</f>
        <v/>
      </c>
      <c r="C2498" s="48">
        <f>IF(B2498="","",IFERROR(INDEX('04A_국토부원자료'!$A:$T,ROW()+1,MATCH("번지",'04A_국토부원자료'!$A$4:$T$4,0)),""))</f>
        <v/>
      </c>
      <c r="D2498" s="48">
        <f>IF(B2498="","",IF(Q2498=1,'02_대상물건입력'!$B$8,IFERROR(INDEX('04A_국토부원자료'!$A:$T,ROW()+1,MATCH("단지명",'04A_국토부원자료'!$A$4:$T$4,0)),"")))</f>
        <v/>
      </c>
      <c r="E2498" s="172">
        <f>IFERROR(VALUE(SUBSTITUTE(INDEX('04A_국토부원자료'!$A:$T,ROW()+1,MATCH("전용면적(㎡)",'04A_국토부원자료'!$A$4:$T$4,0)),",","")),"")</f>
        <v/>
      </c>
      <c r="F24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98" s="51">
        <f>IFERROR(VALUE(SUBSTITUTE(INDEX('04A_국토부원자료'!$A:$T,ROW()+1,MATCH("거래금액(만원)",'04A_국토부원자료'!$A$4:$T$4,0)),",","")),"")</f>
        <v/>
      </c>
      <c r="H2498" s="174">
        <f>IF(G2498="","",G2498*10000)</f>
        <v/>
      </c>
      <c r="I2498" s="174">
        <f>IFERROR(IF(AND(H2498&gt;0,E2498&gt;0),H2498/E2498,""),"")</f>
        <v/>
      </c>
      <c r="J2498" s="152">
        <f>IFERROR(VALUE(SUBSTITUTE(INDEX('04A_국토부원자료'!$A:$T,ROW()+1,MATCH("층",'04A_국토부원자료'!$A$4:$T$4,0)),",","")),"")</f>
        <v/>
      </c>
      <c r="K2498" s="152">
        <f>IFERROR(VALUE(SUBSTITUTE(INDEX('04A_국토부원자료'!$A:$T,ROW()+1,MATCH("건축년도",'04A_국토부원자료'!$A$4:$T$4,0)),",","")),"")</f>
        <v/>
      </c>
      <c r="L2498" s="48">
        <f>IFERROR(INDEX('04A_국토부원자료'!$A:$T,ROW()+1,MATCH("도로명",'04A_국토부원자료'!$A$4:$T$4,0)),"")</f>
        <v/>
      </c>
      <c r="M2498" s="48">
        <f>IFERROR(INDEX('04A_국토부원자료'!$A:$T,ROW()+1,MATCH("거래유형",'04A_국토부원자료'!$A$4:$T$4,0)),"")</f>
        <v/>
      </c>
      <c r="N2498" s="152">
        <f>IF(B2498="","",IF('02_대상물건입력'!B5="",1,IF(ISNUMBER(SEARCH('02_대상물건입력'!B5,B2498)),1,0)))</f>
        <v/>
      </c>
      <c r="O2498" s="152">
        <f>IF(B2498="","",IF('02_대상물건입력'!B6="",1,IF(ISNUMBER(SEARCH('02_대상물건입력'!B6,B2498)),1,0)))</f>
        <v/>
      </c>
      <c r="P2498" s="152">
        <f>IF(L2498="","",IF('02_대상물건입력'!B15="",0,IF(ISNUMBER(SEARCH('02_대상물건입력'!B15,L2498)),1,0)))</f>
        <v/>
      </c>
      <c r="Q2498" s="152">
        <f>IF(OR(C2498="",L2498=""),0,IF(AND(TRIM(C2498)=TRIM(RIGHT(SUBSTITUTE(TRIM('02_대상물건입력'!$B$7)," ",REPT(" ",99)),99)),IF('02_대상물건입력'!B15="",TRUE(),ISNUMBER(SEARCH('02_대상물건입력'!B15,L2498)))),1,0))</f>
        <v/>
      </c>
      <c r="R2498" s="175">
        <f>IFERROR(ABS(E2498-'02_대상물건입력'!B11)/'02_대상물건입력'!B11,"")</f>
        <v/>
      </c>
      <c r="S2498" s="152">
        <f>IFERROR(ABS(J2498-'02_대상물건입력'!B10),"")</f>
        <v/>
      </c>
      <c r="T2498" s="152">
        <f>IFERROR(ABS('01_설정'!B4-F2498),"")</f>
        <v/>
      </c>
      <c r="U2498" s="152">
        <f>IFERROR(ABS(K2498-YEAR('02_대상물건입력'!B14)),"")</f>
        <v/>
      </c>
      <c r="V2498" s="152">
        <f>IF(B2498="","",IF(AND(E2498&gt;0,F2498&gt;0,H2498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2498=1,TRUE()),R2498&lt;='01_설정'!B5,S2498&lt;='01_설정'!B6,T2498&lt;='01_설정'!B7,U2498&lt;='01_설정'!B8),"Y",""))</f>
        <v/>
      </c>
      <c r="W2498" s="172">
        <f>IF(V2498&lt;&gt;"Y","",MAX(0,(1-R2498/'01_설정'!B5))*'01_설정'!B14+MAX(0,(1-S2498/'01_설정'!B6))*'01_설정'!B15+MAX(0,(1-T2498/'01_설정'!B7))*'01_설정'!B16+MAX(0,(1-U2498/'01_설정'!B8))*'01_설정'!B17+O2498*'01_설정'!B11+Q2498*'01_설정'!B12+P2498*'01_설정'!B13+IF(Z2498="",0,Z2498))</f>
        <v/>
      </c>
      <c r="X2498" s="152">
        <f>IF(W2498="","",1+COUNTIFS($W$4:$W$3003,"&gt;"&amp;W2498)+COUNTIFS($W$4:W2498,W2498)-1)</f>
        <v/>
      </c>
      <c r="Y2498" s="175">
        <f>IF(OR(I2498="",'02_대상물건입력'!B19="",'02_대상물건입력'!B19&lt;=0),"",ABS(I2498-'02_대상물건입력'!B19)/'02_대상물건입력'!B19)</f>
        <v/>
      </c>
      <c r="Z2498" s="172">
        <f>IF(OR(Y2498="",'01_설정'!B31="",'01_설정'!B31&lt;=0,'01_설정'!B32="",'01_설정'!B32&lt;=0),"",MAX(0,(1-Y2498/'01_설정'!B32))*'01_설정'!B31)</f>
        <v/>
      </c>
    </row>
    <row r="2499" ht="17.25" customHeight="1">
      <c r="A2499" s="152">
        <f>IF(INDEX('04A_국토부원자료'!$A:$A,ROW()+1)="","",ROW()-3)</f>
        <v/>
      </c>
      <c r="B2499" s="48">
        <f>IFERROR(INDEX('04A_국토부원자료'!$A:$T,ROW()+1,MATCH("시군구",'04A_국토부원자료'!$A$4:$T$4,0)),"")</f>
        <v/>
      </c>
      <c r="C2499" s="48">
        <f>IF(B2499="","",IFERROR(INDEX('04A_국토부원자료'!$A:$T,ROW()+1,MATCH("번지",'04A_국토부원자료'!$A$4:$T$4,0)),""))</f>
        <v/>
      </c>
      <c r="D2499" s="48">
        <f>IF(B2499="","",IF(Q2499=1,'02_대상물건입력'!$B$8,IFERROR(INDEX('04A_국토부원자료'!$A:$T,ROW()+1,MATCH("단지명",'04A_국토부원자료'!$A$4:$T$4,0)),"")))</f>
        <v/>
      </c>
      <c r="E2499" s="172">
        <f>IFERROR(VALUE(SUBSTITUTE(INDEX('04A_국토부원자료'!$A:$T,ROW()+1,MATCH("전용면적(㎡)",'04A_국토부원자료'!$A$4:$T$4,0)),",","")),"")</f>
        <v/>
      </c>
      <c r="F24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499" s="51">
        <f>IFERROR(VALUE(SUBSTITUTE(INDEX('04A_국토부원자료'!$A:$T,ROW()+1,MATCH("거래금액(만원)",'04A_국토부원자료'!$A$4:$T$4,0)),",","")),"")</f>
        <v/>
      </c>
      <c r="H2499" s="174">
        <f>IF(G2499="","",G2499*10000)</f>
        <v/>
      </c>
      <c r="I2499" s="174">
        <f>IFERROR(IF(AND(H2499&gt;0,E2499&gt;0),H2499/E2499,""),"")</f>
        <v/>
      </c>
      <c r="J2499" s="152">
        <f>IFERROR(VALUE(SUBSTITUTE(INDEX('04A_국토부원자료'!$A:$T,ROW()+1,MATCH("층",'04A_국토부원자료'!$A$4:$T$4,0)),",","")),"")</f>
        <v/>
      </c>
      <c r="K2499" s="152">
        <f>IFERROR(VALUE(SUBSTITUTE(INDEX('04A_국토부원자료'!$A:$T,ROW()+1,MATCH("건축년도",'04A_국토부원자료'!$A$4:$T$4,0)),",","")),"")</f>
        <v/>
      </c>
      <c r="L2499" s="48">
        <f>IFERROR(INDEX('04A_국토부원자료'!$A:$T,ROW()+1,MATCH("도로명",'04A_국토부원자료'!$A$4:$T$4,0)),"")</f>
        <v/>
      </c>
      <c r="M2499" s="48">
        <f>IFERROR(INDEX('04A_국토부원자료'!$A:$T,ROW()+1,MATCH("거래유형",'04A_국토부원자료'!$A$4:$T$4,0)),"")</f>
        <v/>
      </c>
      <c r="N2499" s="152">
        <f>IF(B2499="","",IF('02_대상물건입력'!B5="",1,IF(ISNUMBER(SEARCH('02_대상물건입력'!B5,B2499)),1,0)))</f>
        <v/>
      </c>
      <c r="O2499" s="152">
        <f>IF(B2499="","",IF('02_대상물건입력'!B6="",1,IF(ISNUMBER(SEARCH('02_대상물건입력'!B6,B2499)),1,0)))</f>
        <v/>
      </c>
      <c r="P2499" s="152">
        <f>IF(L2499="","",IF('02_대상물건입력'!B15="",0,IF(ISNUMBER(SEARCH('02_대상물건입력'!B15,L2499)),1,0)))</f>
        <v/>
      </c>
      <c r="Q2499" s="152">
        <f>IF(OR(C2499="",L2499=""),0,IF(AND(TRIM(C2499)=TRIM(RIGHT(SUBSTITUTE(TRIM('02_대상물건입력'!$B$7)," ",REPT(" ",99)),99)),IF('02_대상물건입력'!B15="",TRUE(),ISNUMBER(SEARCH('02_대상물건입력'!B15,L2499)))),1,0))</f>
        <v/>
      </c>
      <c r="R2499" s="175">
        <f>IFERROR(ABS(E2499-'02_대상물건입력'!B11)/'02_대상물건입력'!B11,"")</f>
        <v/>
      </c>
      <c r="S2499" s="152">
        <f>IFERROR(ABS(J2499-'02_대상물건입력'!B10),"")</f>
        <v/>
      </c>
      <c r="T2499" s="152">
        <f>IFERROR(ABS('01_설정'!B4-F2499),"")</f>
        <v/>
      </c>
      <c r="U2499" s="152">
        <f>IFERROR(ABS(K2499-YEAR('02_대상물건입력'!B14)),"")</f>
        <v/>
      </c>
      <c r="V2499" s="152">
        <f>IF(B2499="","",IF(AND(E2499&gt;0,F2499&gt;0,H2499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2499=1,TRUE()),R2499&lt;='01_설정'!B5,S2499&lt;='01_설정'!B6,T2499&lt;='01_설정'!B7,U2499&lt;='01_설정'!B8),"Y",""))</f>
        <v/>
      </c>
      <c r="W2499" s="172">
        <f>IF(V2499&lt;&gt;"Y","",MAX(0,(1-R2499/'01_설정'!B5))*'01_설정'!B14+MAX(0,(1-S2499/'01_설정'!B6))*'01_설정'!B15+MAX(0,(1-T2499/'01_설정'!B7))*'01_설정'!B16+MAX(0,(1-U2499/'01_설정'!B8))*'01_설정'!B17+O2499*'01_설정'!B11+Q2499*'01_설정'!B12+P2499*'01_설정'!B13+IF(Z2499="",0,Z2499))</f>
        <v/>
      </c>
      <c r="X2499" s="152">
        <f>IF(W2499="","",1+COUNTIFS($W$4:$W$3003,"&gt;"&amp;W2499)+COUNTIFS($W$4:W2499,W2499)-1)</f>
        <v/>
      </c>
      <c r="Y2499" s="175">
        <f>IF(OR(I2499="",'02_대상물건입력'!B19="",'02_대상물건입력'!B19&lt;=0),"",ABS(I2499-'02_대상물건입력'!B19)/'02_대상물건입력'!B19)</f>
        <v/>
      </c>
      <c r="Z2499" s="172">
        <f>IF(OR(Y2499="",'01_설정'!B31="",'01_설정'!B31&lt;=0,'01_설정'!B32="",'01_설정'!B32&lt;=0),"",MAX(0,(1-Y2499/'01_설정'!B32))*'01_설정'!B31)</f>
        <v/>
      </c>
    </row>
    <row r="2500" ht="17.25" customHeight="1">
      <c r="A2500" s="152">
        <f>IF(INDEX('04A_국토부원자료'!$A:$A,ROW()+1)="","",ROW()-3)</f>
        <v/>
      </c>
      <c r="B2500" s="48">
        <f>IFERROR(INDEX('04A_국토부원자료'!$A:$T,ROW()+1,MATCH("시군구",'04A_국토부원자료'!$A$4:$T$4,0)),"")</f>
        <v/>
      </c>
      <c r="C2500" s="48">
        <f>IF(B2500="","",IFERROR(INDEX('04A_국토부원자료'!$A:$T,ROW()+1,MATCH("번지",'04A_국토부원자료'!$A$4:$T$4,0)),""))</f>
        <v/>
      </c>
      <c r="D2500" s="48">
        <f>IF(B2500="","",IF(Q2500=1,'02_대상물건입력'!$B$8,IFERROR(INDEX('04A_국토부원자료'!$A:$T,ROW()+1,MATCH("단지명",'04A_국토부원자료'!$A$4:$T$4,0)),"")))</f>
        <v/>
      </c>
      <c r="E2500" s="172">
        <f>IFERROR(VALUE(SUBSTITUTE(INDEX('04A_국토부원자료'!$A:$T,ROW()+1,MATCH("전용면적(㎡)",'04A_국토부원자료'!$A$4:$T$4,0)),",","")),"")</f>
        <v/>
      </c>
      <c r="F25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00" s="51">
        <f>IFERROR(VALUE(SUBSTITUTE(INDEX('04A_국토부원자료'!$A:$T,ROW()+1,MATCH("거래금액(만원)",'04A_국토부원자료'!$A$4:$T$4,0)),",","")),"")</f>
        <v/>
      </c>
      <c r="H2500" s="174">
        <f>IF(G2500="","",G2500*10000)</f>
        <v/>
      </c>
      <c r="I2500" s="174">
        <f>IFERROR(IF(AND(H2500&gt;0,E2500&gt;0),H2500/E2500,""),"")</f>
        <v/>
      </c>
      <c r="J2500" s="152">
        <f>IFERROR(VALUE(SUBSTITUTE(INDEX('04A_국토부원자료'!$A:$T,ROW()+1,MATCH("층",'04A_국토부원자료'!$A$4:$T$4,0)),",","")),"")</f>
        <v/>
      </c>
      <c r="K2500" s="152">
        <f>IFERROR(VALUE(SUBSTITUTE(INDEX('04A_국토부원자료'!$A:$T,ROW()+1,MATCH("건축년도",'04A_국토부원자료'!$A$4:$T$4,0)),",","")),"")</f>
        <v/>
      </c>
      <c r="L2500" s="48">
        <f>IFERROR(INDEX('04A_국토부원자료'!$A:$T,ROW()+1,MATCH("도로명",'04A_국토부원자료'!$A$4:$T$4,0)),"")</f>
        <v/>
      </c>
      <c r="M2500" s="48">
        <f>IFERROR(INDEX('04A_국토부원자료'!$A:$T,ROW()+1,MATCH("거래유형",'04A_국토부원자료'!$A$4:$T$4,0)),"")</f>
        <v/>
      </c>
      <c r="N2500" s="152">
        <f>IF(B2500="","",IF('02_대상물건입력'!B5="",1,IF(ISNUMBER(SEARCH('02_대상물건입력'!B5,B2500)),1,0)))</f>
        <v/>
      </c>
      <c r="O2500" s="152">
        <f>IF(B2500="","",IF('02_대상물건입력'!B6="",1,IF(ISNUMBER(SEARCH('02_대상물건입력'!B6,B2500)),1,0)))</f>
        <v/>
      </c>
      <c r="P2500" s="152">
        <f>IF(L2500="","",IF('02_대상물건입력'!B15="",0,IF(ISNUMBER(SEARCH('02_대상물건입력'!B15,L2500)),1,0)))</f>
        <v/>
      </c>
      <c r="Q2500" s="152">
        <f>IF(OR(C2500="",L2500=""),0,IF(AND(TRIM(C2500)=TRIM(RIGHT(SUBSTITUTE(TRIM('02_대상물건입력'!$B$7)," ",REPT(" ",99)),99)),IF('02_대상물건입력'!B15="",TRUE(),ISNUMBER(SEARCH('02_대상물건입력'!B15,L2500)))),1,0))</f>
        <v/>
      </c>
      <c r="R2500" s="175">
        <f>IFERROR(ABS(E2500-'02_대상물건입력'!B11)/'02_대상물건입력'!B11,"")</f>
        <v/>
      </c>
      <c r="S2500" s="152">
        <f>IFERROR(ABS(J2500-'02_대상물건입력'!B10),"")</f>
        <v/>
      </c>
      <c r="T2500" s="152">
        <f>IFERROR(ABS('01_설정'!B4-F2500),"")</f>
        <v/>
      </c>
      <c r="U2500" s="152">
        <f>IFERROR(ABS(K2500-YEAR('02_대상물건입력'!B14)),"")</f>
        <v/>
      </c>
      <c r="V2500" s="152">
        <f>IF(B2500="","",IF(AND(E2500&gt;0,F2500&gt;0,H2500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2500=1,TRUE()),R2500&lt;='01_설정'!B5,S2500&lt;='01_설정'!B6,T2500&lt;='01_설정'!B7,U2500&lt;='01_설정'!B8),"Y",""))</f>
        <v/>
      </c>
      <c r="W2500" s="172">
        <f>IF(V2500&lt;&gt;"Y","",MAX(0,(1-R2500/'01_설정'!B5))*'01_설정'!B14+MAX(0,(1-S2500/'01_설정'!B6))*'01_설정'!B15+MAX(0,(1-T2500/'01_설정'!B7))*'01_설정'!B16+MAX(0,(1-U2500/'01_설정'!B8))*'01_설정'!B17+O2500*'01_설정'!B11+Q2500*'01_설정'!B12+P2500*'01_설정'!B13+IF(Z2500="",0,Z2500))</f>
        <v/>
      </c>
      <c r="X2500" s="152">
        <f>IF(W2500="","",1+COUNTIFS($W$4:$W$3003,"&gt;"&amp;W2500)+COUNTIFS($W$4:W2500,W2500)-1)</f>
        <v/>
      </c>
      <c r="Y2500" s="175">
        <f>IF(OR(I2500="",'02_대상물건입력'!B19="",'02_대상물건입력'!B19&lt;=0),"",ABS(I2500-'02_대상물건입력'!B19)/'02_대상물건입력'!B19)</f>
        <v/>
      </c>
      <c r="Z2500" s="172">
        <f>IF(OR(Y2500="",'01_설정'!B31="",'01_설정'!B31&lt;=0,'01_설정'!B32="",'01_설정'!B32&lt;=0),"",MAX(0,(1-Y2500/'01_설정'!B32))*'01_설정'!B31)</f>
        <v/>
      </c>
    </row>
    <row r="2501" ht="17.25" customHeight="1">
      <c r="A2501" s="152">
        <f>IF(INDEX('04A_국토부원자료'!$A:$A,ROW()+1)="","",ROW()-3)</f>
        <v/>
      </c>
      <c r="B2501" s="48">
        <f>IFERROR(INDEX('04A_국토부원자료'!$A:$T,ROW()+1,MATCH("시군구",'04A_국토부원자료'!$A$4:$T$4,0)),"")</f>
        <v/>
      </c>
      <c r="C2501" s="48">
        <f>IF(B2501="","",IFERROR(INDEX('04A_국토부원자료'!$A:$T,ROW()+1,MATCH("번지",'04A_국토부원자료'!$A$4:$T$4,0)),""))</f>
        <v/>
      </c>
      <c r="D2501" s="48">
        <f>IF(B2501="","",IF(Q2501=1,'02_대상물건입력'!$B$8,IFERROR(INDEX('04A_국토부원자료'!$A:$T,ROW()+1,MATCH("단지명",'04A_국토부원자료'!$A$4:$T$4,0)),"")))</f>
        <v/>
      </c>
      <c r="E2501" s="172">
        <f>IFERROR(VALUE(SUBSTITUTE(INDEX('04A_국토부원자료'!$A:$T,ROW()+1,MATCH("전용면적(㎡)",'04A_국토부원자료'!$A$4:$T$4,0)),",","")),"")</f>
        <v/>
      </c>
      <c r="F25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01" s="51">
        <f>IFERROR(VALUE(SUBSTITUTE(INDEX('04A_국토부원자료'!$A:$T,ROW()+1,MATCH("거래금액(만원)",'04A_국토부원자료'!$A$4:$T$4,0)),",","")),"")</f>
        <v/>
      </c>
      <c r="H2501" s="174">
        <f>IF(G2501="","",G2501*10000)</f>
        <v/>
      </c>
      <c r="I2501" s="174">
        <f>IFERROR(IF(AND(H2501&gt;0,E2501&gt;0),H2501/E2501,""),"")</f>
        <v/>
      </c>
      <c r="J2501" s="152">
        <f>IFERROR(VALUE(SUBSTITUTE(INDEX('04A_국토부원자료'!$A:$T,ROW()+1,MATCH("층",'04A_국토부원자료'!$A$4:$T$4,0)),",","")),"")</f>
        <v/>
      </c>
      <c r="K2501" s="152">
        <f>IFERROR(VALUE(SUBSTITUTE(INDEX('04A_국토부원자료'!$A:$T,ROW()+1,MATCH("건축년도",'04A_국토부원자료'!$A$4:$T$4,0)),",","")),"")</f>
        <v/>
      </c>
      <c r="L2501" s="48">
        <f>IFERROR(INDEX('04A_국토부원자료'!$A:$T,ROW()+1,MATCH("도로명",'04A_국토부원자료'!$A$4:$T$4,0)),"")</f>
        <v/>
      </c>
      <c r="M2501" s="48">
        <f>IFERROR(INDEX('04A_국토부원자료'!$A:$T,ROW()+1,MATCH("거래유형",'04A_국토부원자료'!$A$4:$T$4,0)),"")</f>
        <v/>
      </c>
      <c r="N2501" s="152">
        <f>IF(B2501="","",IF('02_대상물건입력'!B5="",1,IF(ISNUMBER(SEARCH('02_대상물건입력'!B5,B2501)),1,0)))</f>
        <v/>
      </c>
      <c r="O2501" s="152">
        <f>IF(B2501="","",IF('02_대상물건입력'!B6="",1,IF(ISNUMBER(SEARCH('02_대상물건입력'!B6,B2501)),1,0)))</f>
        <v/>
      </c>
      <c r="P2501" s="152">
        <f>IF(L2501="","",IF('02_대상물건입력'!B15="",0,IF(ISNUMBER(SEARCH('02_대상물건입력'!B15,L2501)),1,0)))</f>
        <v/>
      </c>
      <c r="Q2501" s="152">
        <f>IF(OR(C2501="",L2501=""),0,IF(AND(TRIM(C2501)=TRIM(RIGHT(SUBSTITUTE(TRIM('02_대상물건입력'!$B$7)," ",REPT(" ",99)),99)),IF('02_대상물건입력'!B15="",TRUE(),ISNUMBER(SEARCH('02_대상물건입력'!B15,L2501)))),1,0))</f>
        <v/>
      </c>
      <c r="R2501" s="175">
        <f>IFERROR(ABS(E2501-'02_대상물건입력'!B11)/'02_대상물건입력'!B11,"")</f>
        <v/>
      </c>
      <c r="S2501" s="152">
        <f>IFERROR(ABS(J2501-'02_대상물건입력'!B10),"")</f>
        <v/>
      </c>
      <c r="T2501" s="152">
        <f>IFERROR(ABS('01_설정'!B4-F2501),"")</f>
        <v/>
      </c>
      <c r="U2501" s="152">
        <f>IFERROR(ABS(K2501-YEAR('02_대상물건입력'!B14)),"")</f>
        <v/>
      </c>
      <c r="V2501" s="152">
        <f>IF(B2501="","",IF(AND(E2501&gt;0,F2501&gt;0,H2501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2501=1,TRUE()),R2501&lt;='01_설정'!B5,S2501&lt;='01_설정'!B6,T2501&lt;='01_설정'!B7,U2501&lt;='01_설정'!B8),"Y",""))</f>
        <v/>
      </c>
      <c r="W2501" s="172">
        <f>IF(V2501&lt;&gt;"Y","",MAX(0,(1-R2501/'01_설정'!B5))*'01_설정'!B14+MAX(0,(1-S2501/'01_설정'!B6))*'01_설정'!B15+MAX(0,(1-T2501/'01_설정'!B7))*'01_설정'!B16+MAX(0,(1-U2501/'01_설정'!B8))*'01_설정'!B17+O2501*'01_설정'!B11+Q2501*'01_설정'!B12+P2501*'01_설정'!B13+IF(Z2501="",0,Z2501))</f>
        <v/>
      </c>
      <c r="X2501" s="152">
        <f>IF(W2501="","",1+COUNTIFS($W$4:$W$3003,"&gt;"&amp;W2501)+COUNTIFS($W$4:W2501,W2501)-1)</f>
        <v/>
      </c>
      <c r="Y2501" s="175">
        <f>IF(OR(I2501="",'02_대상물건입력'!B19="",'02_대상물건입력'!B19&lt;=0),"",ABS(I2501-'02_대상물건입력'!B19)/'02_대상물건입력'!B19)</f>
        <v/>
      </c>
      <c r="Z2501" s="172">
        <f>IF(OR(Y2501="",'01_설정'!B31="",'01_설정'!B31&lt;=0,'01_설정'!B32="",'01_설정'!B32&lt;=0),"",MAX(0,(1-Y2501/'01_설정'!B32))*'01_설정'!B31)</f>
        <v/>
      </c>
    </row>
    <row r="2502" ht="17.25" customHeight="1">
      <c r="A2502" s="152">
        <f>IF(INDEX('04A_국토부원자료'!$A:$A,ROW()+1)="","",ROW()-3)</f>
        <v/>
      </c>
      <c r="B2502" s="48">
        <f>IFERROR(INDEX('04A_국토부원자료'!$A:$T,ROW()+1,MATCH("시군구",'04A_국토부원자료'!$A$4:$T$4,0)),"")</f>
        <v/>
      </c>
      <c r="C2502" s="48">
        <f>IF(B2502="","",IFERROR(INDEX('04A_국토부원자료'!$A:$T,ROW()+1,MATCH("번지",'04A_국토부원자료'!$A$4:$T$4,0)),""))</f>
        <v/>
      </c>
      <c r="D2502" s="48">
        <f>IF(B2502="","",IF(Q2502=1,'02_대상물건입력'!$B$8,IFERROR(INDEX('04A_국토부원자료'!$A:$T,ROW()+1,MATCH("단지명",'04A_국토부원자료'!$A$4:$T$4,0)),"")))</f>
        <v/>
      </c>
      <c r="E2502" s="172">
        <f>IFERROR(VALUE(SUBSTITUTE(INDEX('04A_국토부원자료'!$A:$T,ROW()+1,MATCH("전용면적(㎡)",'04A_국토부원자료'!$A$4:$T$4,0)),",","")),"")</f>
        <v/>
      </c>
      <c r="F25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02" s="51">
        <f>IFERROR(VALUE(SUBSTITUTE(INDEX('04A_국토부원자료'!$A:$T,ROW()+1,MATCH("거래금액(만원)",'04A_국토부원자료'!$A$4:$T$4,0)),",","")),"")</f>
        <v/>
      </c>
      <c r="H2502" s="174">
        <f>IF(G2502="","",G2502*10000)</f>
        <v/>
      </c>
      <c r="I2502" s="174">
        <f>IFERROR(IF(AND(H2502&gt;0,E2502&gt;0),H2502/E2502,""),"")</f>
        <v/>
      </c>
      <c r="J2502" s="152">
        <f>IFERROR(VALUE(SUBSTITUTE(INDEX('04A_국토부원자료'!$A:$T,ROW()+1,MATCH("층",'04A_국토부원자료'!$A$4:$T$4,0)),",","")),"")</f>
        <v/>
      </c>
      <c r="K2502" s="152">
        <f>IFERROR(VALUE(SUBSTITUTE(INDEX('04A_국토부원자료'!$A:$T,ROW()+1,MATCH("건축년도",'04A_국토부원자료'!$A$4:$T$4,0)),",","")),"")</f>
        <v/>
      </c>
      <c r="L2502" s="48">
        <f>IFERROR(INDEX('04A_국토부원자료'!$A:$T,ROW()+1,MATCH("도로명",'04A_국토부원자료'!$A$4:$T$4,0)),"")</f>
        <v/>
      </c>
      <c r="M2502" s="48">
        <f>IFERROR(INDEX('04A_국토부원자료'!$A:$T,ROW()+1,MATCH("거래유형",'04A_국토부원자료'!$A$4:$T$4,0)),"")</f>
        <v/>
      </c>
      <c r="N2502" s="152">
        <f>IF(B2502="","",IF('02_대상물건입력'!B5="",1,IF(ISNUMBER(SEARCH('02_대상물건입력'!B5,B2502)),1,0)))</f>
        <v/>
      </c>
      <c r="O2502" s="152">
        <f>IF(B2502="","",IF('02_대상물건입력'!B6="",1,IF(ISNUMBER(SEARCH('02_대상물건입력'!B6,B2502)),1,0)))</f>
        <v/>
      </c>
      <c r="P2502" s="152">
        <f>IF(L2502="","",IF('02_대상물건입력'!B15="",0,IF(ISNUMBER(SEARCH('02_대상물건입력'!B15,L2502)),1,0)))</f>
        <v/>
      </c>
      <c r="Q2502" s="152">
        <f>IF(OR(C2502="",L2502=""),0,IF(AND(TRIM(C2502)=TRIM(RIGHT(SUBSTITUTE(TRIM('02_대상물건입력'!$B$7)," ",REPT(" ",99)),99)),IF('02_대상물건입력'!B15="",TRUE(),ISNUMBER(SEARCH('02_대상물건입력'!B15,L2502)))),1,0))</f>
        <v/>
      </c>
      <c r="R2502" s="175">
        <f>IFERROR(ABS(E2502-'02_대상물건입력'!B11)/'02_대상물건입력'!B11,"")</f>
        <v/>
      </c>
      <c r="S2502" s="152">
        <f>IFERROR(ABS(J2502-'02_대상물건입력'!B10),"")</f>
        <v/>
      </c>
      <c r="T2502" s="152">
        <f>IFERROR(ABS('01_설정'!B4-F2502),"")</f>
        <v/>
      </c>
      <c r="U2502" s="152">
        <f>IFERROR(ABS(K2502-YEAR('02_대상물건입력'!B14)),"")</f>
        <v/>
      </c>
      <c r="V2502" s="152">
        <f>IF(B2502="","",IF(AND(E2502&gt;0,F2502&gt;0,H2502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2502=1,TRUE()),R2502&lt;='01_설정'!B5,S2502&lt;='01_설정'!B6,T2502&lt;='01_설정'!B7,U2502&lt;='01_설정'!B8),"Y",""))</f>
        <v/>
      </c>
      <c r="W2502" s="172">
        <f>IF(V2502&lt;&gt;"Y","",MAX(0,(1-R2502/'01_설정'!B5))*'01_설정'!B14+MAX(0,(1-S2502/'01_설정'!B6))*'01_설정'!B15+MAX(0,(1-T2502/'01_설정'!B7))*'01_설정'!B16+MAX(0,(1-U2502/'01_설정'!B8))*'01_설정'!B17+O2502*'01_설정'!B11+Q2502*'01_설정'!B12+P2502*'01_설정'!B13+IF(Z2502="",0,Z2502))</f>
        <v/>
      </c>
      <c r="X2502" s="152">
        <f>IF(W2502="","",1+COUNTIFS($W$4:$W$3003,"&gt;"&amp;W2502)+COUNTIFS($W$4:W2502,W2502)-1)</f>
        <v/>
      </c>
      <c r="Y2502" s="175">
        <f>IF(OR(I2502="",'02_대상물건입력'!B19="",'02_대상물건입력'!B19&lt;=0),"",ABS(I2502-'02_대상물건입력'!B19)/'02_대상물건입력'!B19)</f>
        <v/>
      </c>
      <c r="Z2502" s="172">
        <f>IF(OR(Y2502="",'01_설정'!B31="",'01_설정'!B31&lt;=0,'01_설정'!B32="",'01_설정'!B32&lt;=0),"",MAX(0,(1-Y2502/'01_설정'!B32))*'01_설정'!B31)</f>
        <v/>
      </c>
    </row>
    <row r="2503" ht="17.25" customHeight="1">
      <c r="A2503" s="152">
        <f>IF(INDEX('04A_국토부원자료'!$A:$A,ROW()+1)="","",ROW()-3)</f>
        <v/>
      </c>
      <c r="B2503" s="48">
        <f>IFERROR(INDEX('04A_국토부원자료'!$A:$T,ROW()+1,MATCH("시군구",'04A_국토부원자료'!$A$4:$T$4,0)),"")</f>
        <v/>
      </c>
      <c r="C2503" s="48">
        <f>IF(B2503="","",IFERROR(INDEX('04A_국토부원자료'!$A:$T,ROW()+1,MATCH("번지",'04A_국토부원자료'!$A$4:$T$4,0)),""))</f>
        <v/>
      </c>
      <c r="D2503" s="48">
        <f>IF(B2503="","",IF(Q2503=1,'02_대상물건입력'!$B$8,IFERROR(INDEX('04A_국토부원자료'!$A:$T,ROW()+1,MATCH("단지명",'04A_국토부원자료'!$A$4:$T$4,0)),"")))</f>
        <v/>
      </c>
      <c r="E2503" s="172">
        <f>IFERROR(VALUE(SUBSTITUTE(INDEX('04A_국토부원자료'!$A:$T,ROW()+1,MATCH("전용면적(㎡)",'04A_국토부원자료'!$A$4:$T$4,0)),",","")),"")</f>
        <v/>
      </c>
      <c r="F25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03" s="51">
        <f>IFERROR(VALUE(SUBSTITUTE(INDEX('04A_국토부원자료'!$A:$T,ROW()+1,MATCH("거래금액(만원)",'04A_국토부원자료'!$A$4:$T$4,0)),",","")),"")</f>
        <v/>
      </c>
      <c r="H2503" s="174">
        <f>IF(G2503="","",G2503*10000)</f>
        <v/>
      </c>
      <c r="I2503" s="174">
        <f>IFERROR(IF(AND(H2503&gt;0,E2503&gt;0),H2503/E2503,""),"")</f>
        <v/>
      </c>
      <c r="J2503" s="152">
        <f>IFERROR(VALUE(SUBSTITUTE(INDEX('04A_국토부원자료'!$A:$T,ROW()+1,MATCH("층",'04A_국토부원자료'!$A$4:$T$4,0)),",","")),"")</f>
        <v/>
      </c>
      <c r="K2503" s="152">
        <f>IFERROR(VALUE(SUBSTITUTE(INDEX('04A_국토부원자료'!$A:$T,ROW()+1,MATCH("건축년도",'04A_국토부원자료'!$A$4:$T$4,0)),",","")),"")</f>
        <v/>
      </c>
      <c r="L2503" s="48">
        <f>IFERROR(INDEX('04A_국토부원자료'!$A:$T,ROW()+1,MATCH("도로명",'04A_국토부원자료'!$A$4:$T$4,0)),"")</f>
        <v/>
      </c>
      <c r="M2503" s="48">
        <f>IFERROR(INDEX('04A_국토부원자료'!$A:$T,ROW()+1,MATCH("거래유형",'04A_국토부원자료'!$A$4:$T$4,0)),"")</f>
        <v/>
      </c>
      <c r="N2503" s="152">
        <f>IF(B2503="","",IF('02_대상물건입력'!B5="",1,IF(ISNUMBER(SEARCH('02_대상물건입력'!B5,B2503)),1,0)))</f>
        <v/>
      </c>
      <c r="O2503" s="152">
        <f>IF(B2503="","",IF('02_대상물건입력'!B6="",1,IF(ISNUMBER(SEARCH('02_대상물건입력'!B6,B2503)),1,0)))</f>
        <v/>
      </c>
      <c r="P2503" s="152">
        <f>IF(L2503="","",IF('02_대상물건입력'!B15="",0,IF(ISNUMBER(SEARCH('02_대상물건입력'!B15,L2503)),1,0)))</f>
        <v/>
      </c>
      <c r="Q2503" s="152">
        <f>IF(OR(C2503="",L2503=""),0,IF(AND(TRIM(C2503)=TRIM(RIGHT(SUBSTITUTE(TRIM('02_대상물건입력'!$B$7)," ",REPT(" ",99)),99)),IF('02_대상물건입력'!B15="",TRUE(),ISNUMBER(SEARCH('02_대상물건입력'!B15,L2503)))),1,0))</f>
        <v/>
      </c>
      <c r="R2503" s="175">
        <f>IFERROR(ABS(E2503-'02_대상물건입력'!B11)/'02_대상물건입력'!B11,"")</f>
        <v/>
      </c>
      <c r="S2503" s="152">
        <f>IFERROR(ABS(J2503-'02_대상물건입력'!B10),"")</f>
        <v/>
      </c>
      <c r="T2503" s="152">
        <f>IFERROR(ABS('01_설정'!B4-F2503),"")</f>
        <v/>
      </c>
      <c r="U2503" s="152">
        <f>IFERROR(ABS(K2503-YEAR('02_대상물건입력'!B14)),"")</f>
        <v/>
      </c>
      <c r="V2503" s="152">
        <f>IF(B2503="","",IF(AND(E2503&gt;0,F2503&gt;0,H2503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2503=1,TRUE()),R2503&lt;='01_설정'!B5,S2503&lt;='01_설정'!B6,T2503&lt;='01_설정'!B7,U2503&lt;='01_설정'!B8),"Y",""))</f>
        <v/>
      </c>
      <c r="W2503" s="172">
        <f>IF(V2503&lt;&gt;"Y","",MAX(0,(1-R2503/'01_설정'!B5))*'01_설정'!B14+MAX(0,(1-S2503/'01_설정'!B6))*'01_설정'!B15+MAX(0,(1-T2503/'01_설정'!B7))*'01_설정'!B16+MAX(0,(1-U2503/'01_설정'!B8))*'01_설정'!B17+O2503*'01_설정'!B11+Q2503*'01_설정'!B12+P2503*'01_설정'!B13+IF(Z2503="",0,Z2503))</f>
        <v/>
      </c>
      <c r="X2503" s="152">
        <f>IF(W2503="","",1+COUNTIFS($W$4:$W$3003,"&gt;"&amp;W2503)+COUNTIFS($W$4:W2503,W2503)-1)</f>
        <v/>
      </c>
      <c r="Y2503" s="175">
        <f>IF(OR(I2503="",'02_대상물건입력'!B19="",'02_대상물건입력'!B19&lt;=0),"",ABS(I2503-'02_대상물건입력'!B19)/'02_대상물건입력'!B19)</f>
        <v/>
      </c>
      <c r="Z2503" s="172">
        <f>IF(OR(Y2503="",'01_설정'!B31="",'01_설정'!B31&lt;=0,'01_설정'!B32="",'01_설정'!B32&lt;=0),"",MAX(0,(1-Y2503/'01_설정'!B32))*'01_설정'!B31)</f>
        <v/>
      </c>
    </row>
    <row r="2504" ht="17.25" customHeight="1">
      <c r="A2504" s="152">
        <f>IF(INDEX('04A_국토부원자료'!$A:$A,ROW()+1)="","",ROW()-3)</f>
        <v/>
      </c>
      <c r="B2504" s="48">
        <f>IFERROR(INDEX('04A_국토부원자료'!$A:$T,ROW()+1,MATCH("시군구",'04A_국토부원자료'!$A$4:$T$4,0)),"")</f>
        <v/>
      </c>
      <c r="C2504" s="48">
        <f>IF(B2504="","",IFERROR(INDEX('04A_국토부원자료'!$A:$T,ROW()+1,MATCH("번지",'04A_국토부원자료'!$A$4:$T$4,0)),""))</f>
        <v/>
      </c>
      <c r="D2504" s="48">
        <f>IF(B2504="","",IF(Q2504=1,'02_대상물건입력'!$B$8,IFERROR(INDEX('04A_국토부원자료'!$A:$T,ROW()+1,MATCH("단지명",'04A_국토부원자료'!$A$4:$T$4,0)),"")))</f>
        <v/>
      </c>
      <c r="E2504" s="172">
        <f>IFERROR(VALUE(SUBSTITUTE(INDEX('04A_국토부원자료'!$A:$T,ROW()+1,MATCH("전용면적(㎡)",'04A_국토부원자료'!$A$4:$T$4,0)),",","")),"")</f>
        <v/>
      </c>
      <c r="F25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04" s="51">
        <f>IFERROR(VALUE(SUBSTITUTE(INDEX('04A_국토부원자료'!$A:$T,ROW()+1,MATCH("거래금액(만원)",'04A_국토부원자료'!$A$4:$T$4,0)),",","")),"")</f>
        <v/>
      </c>
      <c r="H2504" s="174">
        <f>IF(G2504="","",G2504*10000)</f>
        <v/>
      </c>
      <c r="I2504" s="174">
        <f>IFERROR(IF(AND(H2504&gt;0,E2504&gt;0),H2504/E2504,""),"")</f>
        <v/>
      </c>
      <c r="J2504" s="152">
        <f>IFERROR(VALUE(SUBSTITUTE(INDEX('04A_국토부원자료'!$A:$T,ROW()+1,MATCH("층",'04A_국토부원자료'!$A$4:$T$4,0)),",","")),"")</f>
        <v/>
      </c>
      <c r="K2504" s="152">
        <f>IFERROR(VALUE(SUBSTITUTE(INDEX('04A_국토부원자료'!$A:$T,ROW()+1,MATCH("건축년도",'04A_국토부원자료'!$A$4:$T$4,0)),",","")),"")</f>
        <v/>
      </c>
      <c r="L2504" s="48">
        <f>IFERROR(INDEX('04A_국토부원자료'!$A:$T,ROW()+1,MATCH("도로명",'04A_국토부원자료'!$A$4:$T$4,0)),"")</f>
        <v/>
      </c>
      <c r="M2504" s="48">
        <f>IFERROR(INDEX('04A_국토부원자료'!$A:$T,ROW()+1,MATCH("거래유형",'04A_국토부원자료'!$A$4:$T$4,0)),"")</f>
        <v/>
      </c>
      <c r="N2504" s="152">
        <f>IF(B2504="","",IF('02_대상물건입력'!B5="",1,IF(ISNUMBER(SEARCH('02_대상물건입력'!B5,B2504)),1,0)))</f>
        <v/>
      </c>
      <c r="O2504" s="152">
        <f>IF(B2504="","",IF('02_대상물건입력'!B6="",1,IF(ISNUMBER(SEARCH('02_대상물건입력'!B6,B2504)),1,0)))</f>
        <v/>
      </c>
      <c r="P2504" s="152">
        <f>IF(L2504="","",IF('02_대상물건입력'!B15="",0,IF(ISNUMBER(SEARCH('02_대상물건입력'!B15,L2504)),1,0)))</f>
        <v/>
      </c>
      <c r="Q2504" s="152">
        <f>IF(OR(C2504="",L2504=""),0,IF(AND(TRIM(C2504)=TRIM(RIGHT(SUBSTITUTE(TRIM('02_대상물건입력'!$B$7)," ",REPT(" ",99)),99)),IF('02_대상물건입력'!B15="",TRUE(),ISNUMBER(SEARCH('02_대상물건입력'!B15,L2504)))),1,0))</f>
        <v/>
      </c>
      <c r="R2504" s="175">
        <f>IFERROR(ABS(E2504-'02_대상물건입력'!B11)/'02_대상물건입력'!B11,"")</f>
        <v/>
      </c>
      <c r="S2504" s="152">
        <f>IFERROR(ABS(J2504-'02_대상물건입력'!B10),"")</f>
        <v/>
      </c>
      <c r="T2504" s="152">
        <f>IFERROR(ABS('01_설정'!B4-F2504),"")</f>
        <v/>
      </c>
      <c r="U2504" s="152">
        <f>IFERROR(ABS(K2504-YEAR('02_대상물건입력'!B14)),"")</f>
        <v/>
      </c>
      <c r="V2504" s="152">
        <f>IF(B2504="","",IF(AND(E2504&gt;0,F2504&gt;0,H2504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2504=1,TRUE()),R2504&lt;='01_설정'!B5,S2504&lt;='01_설정'!B6,T2504&lt;='01_설정'!B7,U2504&lt;='01_설정'!B8),"Y",""))</f>
        <v/>
      </c>
      <c r="W2504" s="172">
        <f>IF(V2504&lt;&gt;"Y","",MAX(0,(1-R2504/'01_설정'!B5))*'01_설정'!B14+MAX(0,(1-S2504/'01_설정'!B6))*'01_설정'!B15+MAX(0,(1-T2504/'01_설정'!B7))*'01_설정'!B16+MAX(0,(1-U2504/'01_설정'!B8))*'01_설정'!B17+O2504*'01_설정'!B11+Q2504*'01_설정'!B12+P2504*'01_설정'!B13+IF(Z2504="",0,Z2504))</f>
        <v/>
      </c>
      <c r="X2504" s="152">
        <f>IF(W2504="","",1+COUNTIFS($W$4:$W$3003,"&gt;"&amp;W2504)+COUNTIFS($W$4:W2504,W2504)-1)</f>
        <v/>
      </c>
      <c r="Y2504" s="175">
        <f>IF(OR(I2504="",'02_대상물건입력'!B19="",'02_대상물건입력'!B19&lt;=0),"",ABS(I2504-'02_대상물건입력'!B19)/'02_대상물건입력'!B19)</f>
        <v/>
      </c>
      <c r="Z2504" s="172">
        <f>IF(OR(Y2504="",'01_설정'!B31="",'01_설정'!B31&lt;=0,'01_설정'!B32="",'01_설정'!B32&lt;=0),"",MAX(0,(1-Y2504/'01_설정'!B32))*'01_설정'!B31)</f>
        <v/>
      </c>
    </row>
    <row r="2505" ht="17.25" customHeight="1">
      <c r="A2505" s="152">
        <f>IF(INDEX('04A_국토부원자료'!$A:$A,ROW()+1)="","",ROW()-3)</f>
        <v/>
      </c>
      <c r="B2505" s="48">
        <f>IFERROR(INDEX('04A_국토부원자료'!$A:$T,ROW()+1,MATCH("시군구",'04A_국토부원자료'!$A$4:$T$4,0)),"")</f>
        <v/>
      </c>
      <c r="C2505" s="48">
        <f>IF(B2505="","",IFERROR(INDEX('04A_국토부원자료'!$A:$T,ROW()+1,MATCH("번지",'04A_국토부원자료'!$A$4:$T$4,0)),""))</f>
        <v/>
      </c>
      <c r="D2505" s="48">
        <f>IF(B2505="","",IF(Q2505=1,'02_대상물건입력'!$B$8,IFERROR(INDEX('04A_국토부원자료'!$A:$T,ROW()+1,MATCH("단지명",'04A_국토부원자료'!$A$4:$T$4,0)),"")))</f>
        <v/>
      </c>
      <c r="E2505" s="172">
        <f>IFERROR(VALUE(SUBSTITUTE(INDEX('04A_국토부원자료'!$A:$T,ROW()+1,MATCH("전용면적(㎡)",'04A_국토부원자료'!$A$4:$T$4,0)),",","")),"")</f>
        <v/>
      </c>
      <c r="F25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05" s="51">
        <f>IFERROR(VALUE(SUBSTITUTE(INDEX('04A_국토부원자료'!$A:$T,ROW()+1,MATCH("거래금액(만원)",'04A_국토부원자료'!$A$4:$T$4,0)),",","")),"")</f>
        <v/>
      </c>
      <c r="H2505" s="174">
        <f>IF(G2505="","",G2505*10000)</f>
        <v/>
      </c>
      <c r="I2505" s="174">
        <f>IFERROR(IF(AND(H2505&gt;0,E2505&gt;0),H2505/E2505,""),"")</f>
        <v/>
      </c>
      <c r="J2505" s="152">
        <f>IFERROR(VALUE(SUBSTITUTE(INDEX('04A_국토부원자료'!$A:$T,ROW()+1,MATCH("층",'04A_국토부원자료'!$A$4:$T$4,0)),",","")),"")</f>
        <v/>
      </c>
      <c r="K2505" s="152">
        <f>IFERROR(VALUE(SUBSTITUTE(INDEX('04A_국토부원자료'!$A:$T,ROW()+1,MATCH("건축년도",'04A_국토부원자료'!$A$4:$T$4,0)),",","")),"")</f>
        <v/>
      </c>
      <c r="L2505" s="48">
        <f>IFERROR(INDEX('04A_국토부원자료'!$A:$T,ROW()+1,MATCH("도로명",'04A_국토부원자료'!$A$4:$T$4,0)),"")</f>
        <v/>
      </c>
      <c r="M2505" s="48">
        <f>IFERROR(INDEX('04A_국토부원자료'!$A:$T,ROW()+1,MATCH("거래유형",'04A_국토부원자료'!$A$4:$T$4,0)),"")</f>
        <v/>
      </c>
      <c r="N2505" s="152">
        <f>IF(B2505="","",IF('02_대상물건입력'!B5="",1,IF(ISNUMBER(SEARCH('02_대상물건입력'!B5,B2505)),1,0)))</f>
        <v/>
      </c>
      <c r="O2505" s="152">
        <f>IF(B2505="","",IF('02_대상물건입력'!B6="",1,IF(ISNUMBER(SEARCH('02_대상물건입력'!B6,B2505)),1,0)))</f>
        <v/>
      </c>
      <c r="P2505" s="152">
        <f>IF(L2505="","",IF('02_대상물건입력'!B15="",0,IF(ISNUMBER(SEARCH('02_대상물건입력'!B15,L2505)),1,0)))</f>
        <v/>
      </c>
      <c r="Q2505" s="152">
        <f>IF(OR(C2505="",L2505=""),0,IF(AND(TRIM(C2505)=TRIM(RIGHT(SUBSTITUTE(TRIM('02_대상물건입력'!$B$7)," ",REPT(" ",99)),99)),IF('02_대상물건입력'!B15="",TRUE(),ISNUMBER(SEARCH('02_대상물건입력'!B15,L2505)))),1,0))</f>
        <v/>
      </c>
      <c r="R2505" s="175">
        <f>IFERROR(ABS(E2505-'02_대상물건입력'!B11)/'02_대상물건입력'!B11,"")</f>
        <v/>
      </c>
      <c r="S2505" s="152">
        <f>IFERROR(ABS(J2505-'02_대상물건입력'!B10),"")</f>
        <v/>
      </c>
      <c r="T2505" s="152">
        <f>IFERROR(ABS('01_설정'!B4-F2505),"")</f>
        <v/>
      </c>
      <c r="U2505" s="152">
        <f>IFERROR(ABS(K2505-YEAR('02_대상물건입력'!B14)),"")</f>
        <v/>
      </c>
      <c r="V2505" s="152">
        <f>IF(B2505="","",IF(AND(E2505&gt;0,F2505&gt;0,H2505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2505=1,TRUE()),R2505&lt;='01_설정'!B5,S2505&lt;='01_설정'!B6,T2505&lt;='01_설정'!B7,U2505&lt;='01_설정'!B8),"Y",""))</f>
        <v/>
      </c>
      <c r="W2505" s="172">
        <f>IF(V2505&lt;&gt;"Y","",MAX(0,(1-R2505/'01_설정'!B5))*'01_설정'!B14+MAX(0,(1-S2505/'01_설정'!B6))*'01_설정'!B15+MAX(0,(1-T2505/'01_설정'!B7))*'01_설정'!B16+MAX(0,(1-U2505/'01_설정'!B8))*'01_설정'!B17+O2505*'01_설정'!B11+Q2505*'01_설정'!B12+P2505*'01_설정'!B13+IF(Z2505="",0,Z2505))</f>
        <v/>
      </c>
      <c r="X2505" s="152">
        <f>IF(W2505="","",1+COUNTIFS($W$4:$W$3003,"&gt;"&amp;W2505)+COUNTIFS($W$4:W2505,W2505)-1)</f>
        <v/>
      </c>
      <c r="Y2505" s="175">
        <f>IF(OR(I2505="",'02_대상물건입력'!B19="",'02_대상물건입력'!B19&lt;=0),"",ABS(I2505-'02_대상물건입력'!B19)/'02_대상물건입력'!B19)</f>
        <v/>
      </c>
      <c r="Z2505" s="172">
        <f>IF(OR(Y2505="",'01_설정'!B31="",'01_설정'!B31&lt;=0,'01_설정'!B32="",'01_설정'!B32&lt;=0),"",MAX(0,(1-Y2505/'01_설정'!B32))*'01_설정'!B31)</f>
        <v/>
      </c>
    </row>
    <row r="2506" ht="17.25" customHeight="1">
      <c r="A2506" s="152">
        <f>IF(INDEX('04A_국토부원자료'!$A:$A,ROW()+1)="","",ROW()-3)</f>
        <v/>
      </c>
      <c r="B2506" s="48">
        <f>IFERROR(INDEX('04A_국토부원자료'!$A:$T,ROW()+1,MATCH("시군구",'04A_국토부원자료'!$A$4:$T$4,0)),"")</f>
        <v/>
      </c>
      <c r="C2506" s="48">
        <f>IF(B2506="","",IFERROR(INDEX('04A_국토부원자료'!$A:$T,ROW()+1,MATCH("번지",'04A_국토부원자료'!$A$4:$T$4,0)),""))</f>
        <v/>
      </c>
      <c r="D2506" s="48">
        <f>IF(B2506="","",IF(Q2506=1,'02_대상물건입력'!$B$8,IFERROR(INDEX('04A_국토부원자료'!$A:$T,ROW()+1,MATCH("단지명",'04A_국토부원자료'!$A$4:$T$4,0)),"")))</f>
        <v/>
      </c>
      <c r="E2506" s="172">
        <f>IFERROR(VALUE(SUBSTITUTE(INDEX('04A_국토부원자료'!$A:$T,ROW()+1,MATCH("전용면적(㎡)",'04A_국토부원자료'!$A$4:$T$4,0)),",","")),"")</f>
        <v/>
      </c>
      <c r="F25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06" s="51">
        <f>IFERROR(VALUE(SUBSTITUTE(INDEX('04A_국토부원자료'!$A:$T,ROW()+1,MATCH("거래금액(만원)",'04A_국토부원자료'!$A$4:$T$4,0)),",","")),"")</f>
        <v/>
      </c>
      <c r="H2506" s="174">
        <f>IF(G2506="","",G2506*10000)</f>
        <v/>
      </c>
      <c r="I2506" s="174">
        <f>IFERROR(IF(AND(H2506&gt;0,E2506&gt;0),H2506/E2506,""),"")</f>
        <v/>
      </c>
      <c r="J2506" s="152">
        <f>IFERROR(VALUE(SUBSTITUTE(INDEX('04A_국토부원자료'!$A:$T,ROW()+1,MATCH("층",'04A_국토부원자료'!$A$4:$T$4,0)),",","")),"")</f>
        <v/>
      </c>
      <c r="K2506" s="152">
        <f>IFERROR(VALUE(SUBSTITUTE(INDEX('04A_국토부원자료'!$A:$T,ROW()+1,MATCH("건축년도",'04A_국토부원자료'!$A$4:$T$4,0)),",","")),"")</f>
        <v/>
      </c>
      <c r="L2506" s="48">
        <f>IFERROR(INDEX('04A_국토부원자료'!$A:$T,ROW()+1,MATCH("도로명",'04A_국토부원자료'!$A$4:$T$4,0)),"")</f>
        <v/>
      </c>
      <c r="M2506" s="48">
        <f>IFERROR(INDEX('04A_국토부원자료'!$A:$T,ROW()+1,MATCH("거래유형",'04A_국토부원자료'!$A$4:$T$4,0)),"")</f>
        <v/>
      </c>
      <c r="N2506" s="152">
        <f>IF(B2506="","",IF('02_대상물건입력'!B5="",1,IF(ISNUMBER(SEARCH('02_대상물건입력'!B5,B2506)),1,0)))</f>
        <v/>
      </c>
      <c r="O2506" s="152">
        <f>IF(B2506="","",IF('02_대상물건입력'!B6="",1,IF(ISNUMBER(SEARCH('02_대상물건입력'!B6,B2506)),1,0)))</f>
        <v/>
      </c>
      <c r="P2506" s="152">
        <f>IF(L2506="","",IF('02_대상물건입력'!B15="",0,IF(ISNUMBER(SEARCH('02_대상물건입력'!B15,L2506)),1,0)))</f>
        <v/>
      </c>
      <c r="Q2506" s="152">
        <f>IF(OR(C2506="",L2506=""),0,IF(AND(TRIM(C2506)=TRIM(RIGHT(SUBSTITUTE(TRIM('02_대상물건입력'!$B$7)," ",REPT(" ",99)),99)),IF('02_대상물건입력'!B15="",TRUE(),ISNUMBER(SEARCH('02_대상물건입력'!B15,L2506)))),1,0))</f>
        <v/>
      </c>
      <c r="R2506" s="175">
        <f>IFERROR(ABS(E2506-'02_대상물건입력'!B11)/'02_대상물건입력'!B11,"")</f>
        <v/>
      </c>
      <c r="S2506" s="152">
        <f>IFERROR(ABS(J2506-'02_대상물건입력'!B10),"")</f>
        <v/>
      </c>
      <c r="T2506" s="152">
        <f>IFERROR(ABS('01_설정'!B4-F2506),"")</f>
        <v/>
      </c>
      <c r="U2506" s="152">
        <f>IFERROR(ABS(K2506-YEAR('02_대상물건입력'!B14)),"")</f>
        <v/>
      </c>
      <c r="V2506" s="152">
        <f>IF(B2506="","",IF(AND(E2506&gt;0,F2506&gt;0,H2506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2506=1,TRUE()),R2506&lt;='01_설정'!B5,S2506&lt;='01_설정'!B6,T2506&lt;='01_설정'!B7,U2506&lt;='01_설정'!B8),"Y",""))</f>
        <v/>
      </c>
      <c r="W2506" s="172">
        <f>IF(V2506&lt;&gt;"Y","",MAX(0,(1-R2506/'01_설정'!B5))*'01_설정'!B14+MAX(0,(1-S2506/'01_설정'!B6))*'01_설정'!B15+MAX(0,(1-T2506/'01_설정'!B7))*'01_설정'!B16+MAX(0,(1-U2506/'01_설정'!B8))*'01_설정'!B17+O2506*'01_설정'!B11+Q2506*'01_설정'!B12+P2506*'01_설정'!B13+IF(Z2506="",0,Z2506))</f>
        <v/>
      </c>
      <c r="X2506" s="152">
        <f>IF(W2506="","",1+COUNTIFS($W$4:$W$3003,"&gt;"&amp;W2506)+COUNTIFS($W$4:W2506,W2506)-1)</f>
        <v/>
      </c>
      <c r="Y2506" s="175">
        <f>IF(OR(I2506="",'02_대상물건입력'!B19="",'02_대상물건입력'!B19&lt;=0),"",ABS(I2506-'02_대상물건입력'!B19)/'02_대상물건입력'!B19)</f>
        <v/>
      </c>
      <c r="Z2506" s="172">
        <f>IF(OR(Y2506="",'01_설정'!B31="",'01_설정'!B31&lt;=0,'01_설정'!B32="",'01_설정'!B32&lt;=0),"",MAX(0,(1-Y2506/'01_설정'!B32))*'01_설정'!B31)</f>
        <v/>
      </c>
    </row>
    <row r="2507" ht="17.25" customHeight="1">
      <c r="A2507" s="152">
        <f>IF(INDEX('04A_국토부원자료'!$A:$A,ROW()+1)="","",ROW()-3)</f>
        <v/>
      </c>
      <c r="B2507" s="48">
        <f>IFERROR(INDEX('04A_국토부원자료'!$A:$T,ROW()+1,MATCH("시군구",'04A_국토부원자료'!$A$4:$T$4,0)),"")</f>
        <v/>
      </c>
      <c r="C2507" s="48">
        <f>IF(B2507="","",IFERROR(INDEX('04A_국토부원자료'!$A:$T,ROW()+1,MATCH("번지",'04A_국토부원자료'!$A$4:$T$4,0)),""))</f>
        <v/>
      </c>
      <c r="D2507" s="48">
        <f>IF(B2507="","",IF(Q2507=1,'02_대상물건입력'!$B$8,IFERROR(INDEX('04A_국토부원자료'!$A:$T,ROW()+1,MATCH("단지명",'04A_국토부원자료'!$A$4:$T$4,0)),"")))</f>
        <v/>
      </c>
      <c r="E2507" s="172">
        <f>IFERROR(VALUE(SUBSTITUTE(INDEX('04A_국토부원자료'!$A:$T,ROW()+1,MATCH("전용면적(㎡)",'04A_국토부원자료'!$A$4:$T$4,0)),",","")),"")</f>
        <v/>
      </c>
      <c r="F25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07" s="51">
        <f>IFERROR(VALUE(SUBSTITUTE(INDEX('04A_국토부원자료'!$A:$T,ROW()+1,MATCH("거래금액(만원)",'04A_국토부원자료'!$A$4:$T$4,0)),",","")),"")</f>
        <v/>
      </c>
      <c r="H2507" s="174">
        <f>IF(G2507="","",G2507*10000)</f>
        <v/>
      </c>
      <c r="I2507" s="174">
        <f>IFERROR(IF(AND(H2507&gt;0,E2507&gt;0),H2507/E2507,""),"")</f>
        <v/>
      </c>
      <c r="J2507" s="152">
        <f>IFERROR(VALUE(SUBSTITUTE(INDEX('04A_국토부원자료'!$A:$T,ROW()+1,MATCH("층",'04A_국토부원자료'!$A$4:$T$4,0)),",","")),"")</f>
        <v/>
      </c>
      <c r="K2507" s="152">
        <f>IFERROR(VALUE(SUBSTITUTE(INDEX('04A_국토부원자료'!$A:$T,ROW()+1,MATCH("건축년도",'04A_국토부원자료'!$A$4:$T$4,0)),",","")),"")</f>
        <v/>
      </c>
      <c r="L2507" s="48">
        <f>IFERROR(INDEX('04A_국토부원자료'!$A:$T,ROW()+1,MATCH("도로명",'04A_국토부원자료'!$A$4:$T$4,0)),"")</f>
        <v/>
      </c>
      <c r="M2507" s="48">
        <f>IFERROR(INDEX('04A_국토부원자료'!$A:$T,ROW()+1,MATCH("거래유형",'04A_국토부원자료'!$A$4:$T$4,0)),"")</f>
        <v/>
      </c>
      <c r="N2507" s="152">
        <f>IF(B2507="","",IF('02_대상물건입력'!B5="",1,IF(ISNUMBER(SEARCH('02_대상물건입력'!B5,B2507)),1,0)))</f>
        <v/>
      </c>
      <c r="O2507" s="152">
        <f>IF(B2507="","",IF('02_대상물건입력'!B6="",1,IF(ISNUMBER(SEARCH('02_대상물건입력'!B6,B2507)),1,0)))</f>
        <v/>
      </c>
      <c r="P2507" s="152">
        <f>IF(L2507="","",IF('02_대상물건입력'!B15="",0,IF(ISNUMBER(SEARCH('02_대상물건입력'!B15,L2507)),1,0)))</f>
        <v/>
      </c>
      <c r="Q2507" s="152">
        <f>IF(OR(C2507="",L2507=""),0,IF(AND(TRIM(C2507)=TRIM(RIGHT(SUBSTITUTE(TRIM('02_대상물건입력'!$B$7)," ",REPT(" ",99)),99)),IF('02_대상물건입력'!B15="",TRUE(),ISNUMBER(SEARCH('02_대상물건입력'!B15,L2507)))),1,0))</f>
        <v/>
      </c>
      <c r="R2507" s="175">
        <f>IFERROR(ABS(E2507-'02_대상물건입력'!B11)/'02_대상물건입력'!B11,"")</f>
        <v/>
      </c>
      <c r="S2507" s="152">
        <f>IFERROR(ABS(J2507-'02_대상물건입력'!B10),"")</f>
        <v/>
      </c>
      <c r="T2507" s="152">
        <f>IFERROR(ABS('01_설정'!B4-F2507),"")</f>
        <v/>
      </c>
      <c r="U2507" s="152">
        <f>IFERROR(ABS(K2507-YEAR('02_대상물건입력'!B14)),"")</f>
        <v/>
      </c>
      <c r="V2507" s="152">
        <f>IF(B2507="","",IF(AND(E2507&gt;0,F2507&gt;0,H2507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2507=1,TRUE()),R2507&lt;='01_설정'!B5,S2507&lt;='01_설정'!B6,T2507&lt;='01_설정'!B7,U2507&lt;='01_설정'!B8),"Y",""))</f>
        <v/>
      </c>
      <c r="W2507" s="172">
        <f>IF(V2507&lt;&gt;"Y","",MAX(0,(1-R2507/'01_설정'!B5))*'01_설정'!B14+MAX(0,(1-S2507/'01_설정'!B6))*'01_설정'!B15+MAX(0,(1-T2507/'01_설정'!B7))*'01_설정'!B16+MAX(0,(1-U2507/'01_설정'!B8))*'01_설정'!B17+O2507*'01_설정'!B11+Q2507*'01_설정'!B12+P2507*'01_설정'!B13+IF(Z2507="",0,Z2507))</f>
        <v/>
      </c>
      <c r="X2507" s="152">
        <f>IF(W2507="","",1+COUNTIFS($W$4:$W$3003,"&gt;"&amp;W2507)+COUNTIFS($W$4:W2507,W2507)-1)</f>
        <v/>
      </c>
      <c r="Y2507" s="175">
        <f>IF(OR(I2507="",'02_대상물건입력'!B19="",'02_대상물건입력'!B19&lt;=0),"",ABS(I2507-'02_대상물건입력'!B19)/'02_대상물건입력'!B19)</f>
        <v/>
      </c>
      <c r="Z2507" s="172">
        <f>IF(OR(Y2507="",'01_설정'!B31="",'01_설정'!B31&lt;=0,'01_설정'!B32="",'01_설정'!B32&lt;=0),"",MAX(0,(1-Y2507/'01_설정'!B32))*'01_설정'!B31)</f>
        <v/>
      </c>
    </row>
    <row r="2508" ht="17.25" customHeight="1">
      <c r="A2508" s="152">
        <f>IF(INDEX('04A_국토부원자료'!$A:$A,ROW()+1)="","",ROW()-3)</f>
        <v/>
      </c>
      <c r="B2508" s="48">
        <f>IFERROR(INDEX('04A_국토부원자료'!$A:$T,ROW()+1,MATCH("시군구",'04A_국토부원자료'!$A$4:$T$4,0)),"")</f>
        <v/>
      </c>
      <c r="C2508" s="48">
        <f>IF(B2508="","",IFERROR(INDEX('04A_국토부원자료'!$A:$T,ROW()+1,MATCH("번지",'04A_국토부원자료'!$A$4:$T$4,0)),""))</f>
        <v/>
      </c>
      <c r="D2508" s="48">
        <f>IF(B2508="","",IF(Q2508=1,'02_대상물건입력'!$B$8,IFERROR(INDEX('04A_국토부원자료'!$A:$T,ROW()+1,MATCH("단지명",'04A_국토부원자료'!$A$4:$T$4,0)),"")))</f>
        <v/>
      </c>
      <c r="E2508" s="172">
        <f>IFERROR(VALUE(SUBSTITUTE(INDEX('04A_국토부원자료'!$A:$T,ROW()+1,MATCH("전용면적(㎡)",'04A_국토부원자료'!$A$4:$T$4,0)),",","")),"")</f>
        <v/>
      </c>
      <c r="F25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08" s="51">
        <f>IFERROR(VALUE(SUBSTITUTE(INDEX('04A_국토부원자료'!$A:$T,ROW()+1,MATCH("거래금액(만원)",'04A_국토부원자료'!$A$4:$T$4,0)),",","")),"")</f>
        <v/>
      </c>
      <c r="H2508" s="174">
        <f>IF(G2508="","",G2508*10000)</f>
        <v/>
      </c>
      <c r="I2508" s="174">
        <f>IFERROR(IF(AND(H2508&gt;0,E2508&gt;0),H2508/E2508,""),"")</f>
        <v/>
      </c>
      <c r="J2508" s="152">
        <f>IFERROR(VALUE(SUBSTITUTE(INDEX('04A_국토부원자료'!$A:$T,ROW()+1,MATCH("층",'04A_국토부원자료'!$A$4:$T$4,0)),",","")),"")</f>
        <v/>
      </c>
      <c r="K2508" s="152">
        <f>IFERROR(VALUE(SUBSTITUTE(INDEX('04A_국토부원자료'!$A:$T,ROW()+1,MATCH("건축년도",'04A_국토부원자료'!$A$4:$T$4,0)),",","")),"")</f>
        <v/>
      </c>
      <c r="L2508" s="48">
        <f>IFERROR(INDEX('04A_국토부원자료'!$A:$T,ROW()+1,MATCH("도로명",'04A_국토부원자료'!$A$4:$T$4,0)),"")</f>
        <v/>
      </c>
      <c r="M2508" s="48">
        <f>IFERROR(INDEX('04A_국토부원자료'!$A:$T,ROW()+1,MATCH("거래유형",'04A_국토부원자료'!$A$4:$T$4,0)),"")</f>
        <v/>
      </c>
      <c r="N2508" s="152">
        <f>IF(B2508="","",IF('02_대상물건입력'!B5="",1,IF(ISNUMBER(SEARCH('02_대상물건입력'!B5,B2508)),1,0)))</f>
        <v/>
      </c>
      <c r="O2508" s="152">
        <f>IF(B2508="","",IF('02_대상물건입력'!B6="",1,IF(ISNUMBER(SEARCH('02_대상물건입력'!B6,B2508)),1,0)))</f>
        <v/>
      </c>
      <c r="P2508" s="152">
        <f>IF(L2508="","",IF('02_대상물건입력'!B15="",0,IF(ISNUMBER(SEARCH('02_대상물건입력'!B15,L2508)),1,0)))</f>
        <v/>
      </c>
      <c r="Q2508" s="152">
        <f>IF(OR(C2508="",L2508=""),0,IF(AND(TRIM(C2508)=TRIM(RIGHT(SUBSTITUTE(TRIM('02_대상물건입력'!$B$7)," ",REPT(" ",99)),99)),IF('02_대상물건입력'!B15="",TRUE(),ISNUMBER(SEARCH('02_대상물건입력'!B15,L2508)))),1,0))</f>
        <v/>
      </c>
      <c r="R2508" s="175">
        <f>IFERROR(ABS(E2508-'02_대상물건입력'!B11)/'02_대상물건입력'!B11,"")</f>
        <v/>
      </c>
      <c r="S2508" s="152">
        <f>IFERROR(ABS(J2508-'02_대상물건입력'!B10),"")</f>
        <v/>
      </c>
      <c r="T2508" s="152">
        <f>IFERROR(ABS('01_설정'!B4-F2508),"")</f>
        <v/>
      </c>
      <c r="U2508" s="152">
        <f>IFERROR(ABS(K2508-YEAR('02_대상물건입력'!B14)),"")</f>
        <v/>
      </c>
      <c r="V2508" s="152">
        <f>IF(B2508="","",IF(AND(E2508&gt;0,F2508&gt;0,H2508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2508=1,TRUE()),R2508&lt;='01_설정'!B5,S2508&lt;='01_설정'!B6,T2508&lt;='01_설정'!B7,U2508&lt;='01_설정'!B8),"Y",""))</f>
        <v/>
      </c>
      <c r="W2508" s="172">
        <f>IF(V2508&lt;&gt;"Y","",MAX(0,(1-R2508/'01_설정'!B5))*'01_설정'!B14+MAX(0,(1-S2508/'01_설정'!B6))*'01_설정'!B15+MAX(0,(1-T2508/'01_설정'!B7))*'01_설정'!B16+MAX(0,(1-U2508/'01_설정'!B8))*'01_설정'!B17+O2508*'01_설정'!B11+Q2508*'01_설정'!B12+P2508*'01_설정'!B13+IF(Z2508="",0,Z2508))</f>
        <v/>
      </c>
      <c r="X2508" s="152">
        <f>IF(W2508="","",1+COUNTIFS($W$4:$W$3003,"&gt;"&amp;W2508)+COUNTIFS($W$4:W2508,W2508)-1)</f>
        <v/>
      </c>
      <c r="Y2508" s="175">
        <f>IF(OR(I2508="",'02_대상물건입력'!B19="",'02_대상물건입력'!B19&lt;=0),"",ABS(I2508-'02_대상물건입력'!B19)/'02_대상물건입력'!B19)</f>
        <v/>
      </c>
      <c r="Z2508" s="172">
        <f>IF(OR(Y2508="",'01_설정'!B31="",'01_설정'!B31&lt;=0,'01_설정'!B32="",'01_설정'!B32&lt;=0),"",MAX(0,(1-Y2508/'01_설정'!B32))*'01_설정'!B31)</f>
        <v/>
      </c>
    </row>
    <row r="2509" ht="17.25" customHeight="1">
      <c r="A2509" s="152">
        <f>IF(INDEX('04A_국토부원자료'!$A:$A,ROW()+1)="","",ROW()-3)</f>
        <v/>
      </c>
      <c r="B2509" s="48">
        <f>IFERROR(INDEX('04A_국토부원자료'!$A:$T,ROW()+1,MATCH("시군구",'04A_국토부원자료'!$A$4:$T$4,0)),"")</f>
        <v/>
      </c>
      <c r="C2509" s="48">
        <f>IF(B2509="","",IFERROR(INDEX('04A_국토부원자료'!$A:$T,ROW()+1,MATCH("번지",'04A_국토부원자료'!$A$4:$T$4,0)),""))</f>
        <v/>
      </c>
      <c r="D2509" s="48">
        <f>IF(B2509="","",IF(Q2509=1,'02_대상물건입력'!$B$8,IFERROR(INDEX('04A_국토부원자료'!$A:$T,ROW()+1,MATCH("단지명",'04A_국토부원자료'!$A$4:$T$4,0)),"")))</f>
        <v/>
      </c>
      <c r="E2509" s="172">
        <f>IFERROR(VALUE(SUBSTITUTE(INDEX('04A_국토부원자료'!$A:$T,ROW()+1,MATCH("전용면적(㎡)",'04A_국토부원자료'!$A$4:$T$4,0)),",","")),"")</f>
        <v/>
      </c>
      <c r="F25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09" s="51">
        <f>IFERROR(VALUE(SUBSTITUTE(INDEX('04A_국토부원자료'!$A:$T,ROW()+1,MATCH("거래금액(만원)",'04A_국토부원자료'!$A$4:$T$4,0)),",","")),"")</f>
        <v/>
      </c>
      <c r="H2509" s="174">
        <f>IF(G2509="","",G2509*10000)</f>
        <v/>
      </c>
      <c r="I2509" s="174">
        <f>IFERROR(IF(AND(H2509&gt;0,E2509&gt;0),H2509/E2509,""),"")</f>
        <v/>
      </c>
      <c r="J2509" s="152">
        <f>IFERROR(VALUE(SUBSTITUTE(INDEX('04A_국토부원자료'!$A:$T,ROW()+1,MATCH("층",'04A_국토부원자료'!$A$4:$T$4,0)),",","")),"")</f>
        <v/>
      </c>
      <c r="K2509" s="152">
        <f>IFERROR(VALUE(SUBSTITUTE(INDEX('04A_국토부원자료'!$A:$T,ROW()+1,MATCH("건축년도",'04A_국토부원자료'!$A$4:$T$4,0)),",","")),"")</f>
        <v/>
      </c>
      <c r="L2509" s="48">
        <f>IFERROR(INDEX('04A_국토부원자료'!$A:$T,ROW()+1,MATCH("도로명",'04A_국토부원자료'!$A$4:$T$4,0)),"")</f>
        <v/>
      </c>
      <c r="M2509" s="48">
        <f>IFERROR(INDEX('04A_국토부원자료'!$A:$T,ROW()+1,MATCH("거래유형",'04A_국토부원자료'!$A$4:$T$4,0)),"")</f>
        <v/>
      </c>
      <c r="N2509" s="152">
        <f>IF(B2509="","",IF('02_대상물건입력'!B5="",1,IF(ISNUMBER(SEARCH('02_대상물건입력'!B5,B2509)),1,0)))</f>
        <v/>
      </c>
      <c r="O2509" s="152">
        <f>IF(B2509="","",IF('02_대상물건입력'!B6="",1,IF(ISNUMBER(SEARCH('02_대상물건입력'!B6,B2509)),1,0)))</f>
        <v/>
      </c>
      <c r="P2509" s="152">
        <f>IF(L2509="","",IF('02_대상물건입력'!B15="",0,IF(ISNUMBER(SEARCH('02_대상물건입력'!B15,L2509)),1,0)))</f>
        <v/>
      </c>
      <c r="Q2509" s="152">
        <f>IF(OR(C2509="",L2509=""),0,IF(AND(TRIM(C2509)=TRIM(RIGHT(SUBSTITUTE(TRIM('02_대상물건입력'!$B$7)," ",REPT(" ",99)),99)),IF('02_대상물건입력'!B15="",TRUE(),ISNUMBER(SEARCH('02_대상물건입력'!B15,L2509)))),1,0))</f>
        <v/>
      </c>
      <c r="R2509" s="175">
        <f>IFERROR(ABS(E2509-'02_대상물건입력'!B11)/'02_대상물건입력'!B11,"")</f>
        <v/>
      </c>
      <c r="S2509" s="152">
        <f>IFERROR(ABS(J2509-'02_대상물건입력'!B10),"")</f>
        <v/>
      </c>
      <c r="T2509" s="152">
        <f>IFERROR(ABS('01_설정'!B4-F2509),"")</f>
        <v/>
      </c>
      <c r="U2509" s="152">
        <f>IFERROR(ABS(K2509-YEAR('02_대상물건입력'!B14)),"")</f>
        <v/>
      </c>
      <c r="V2509" s="152">
        <f>IF(B2509="","",IF(AND(E2509&gt;0,F2509&gt;0,H2509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2509=1,TRUE()),R2509&lt;='01_설정'!B5,S2509&lt;='01_설정'!B6,T2509&lt;='01_설정'!B7,U2509&lt;='01_설정'!B8),"Y",""))</f>
        <v/>
      </c>
      <c r="W2509" s="172">
        <f>IF(V2509&lt;&gt;"Y","",MAX(0,(1-R2509/'01_설정'!B5))*'01_설정'!B14+MAX(0,(1-S2509/'01_설정'!B6))*'01_설정'!B15+MAX(0,(1-T2509/'01_설정'!B7))*'01_설정'!B16+MAX(0,(1-U2509/'01_설정'!B8))*'01_설정'!B17+O2509*'01_설정'!B11+Q2509*'01_설정'!B12+P2509*'01_설정'!B13+IF(Z2509="",0,Z2509))</f>
        <v/>
      </c>
      <c r="X2509" s="152">
        <f>IF(W2509="","",1+COUNTIFS($W$4:$W$3003,"&gt;"&amp;W2509)+COUNTIFS($W$4:W2509,W2509)-1)</f>
        <v/>
      </c>
      <c r="Y2509" s="175">
        <f>IF(OR(I2509="",'02_대상물건입력'!B19="",'02_대상물건입력'!B19&lt;=0),"",ABS(I2509-'02_대상물건입력'!B19)/'02_대상물건입력'!B19)</f>
        <v/>
      </c>
      <c r="Z2509" s="172">
        <f>IF(OR(Y2509="",'01_설정'!B31="",'01_설정'!B31&lt;=0,'01_설정'!B32="",'01_설정'!B32&lt;=0),"",MAX(0,(1-Y2509/'01_설정'!B32))*'01_설정'!B31)</f>
        <v/>
      </c>
    </row>
    <row r="2510" ht="17.25" customHeight="1">
      <c r="A2510" s="152">
        <f>IF(INDEX('04A_국토부원자료'!$A:$A,ROW()+1)="","",ROW()-3)</f>
        <v/>
      </c>
      <c r="B2510" s="48">
        <f>IFERROR(INDEX('04A_국토부원자료'!$A:$T,ROW()+1,MATCH("시군구",'04A_국토부원자료'!$A$4:$T$4,0)),"")</f>
        <v/>
      </c>
      <c r="C2510" s="48">
        <f>IF(B2510="","",IFERROR(INDEX('04A_국토부원자료'!$A:$T,ROW()+1,MATCH("번지",'04A_국토부원자료'!$A$4:$T$4,0)),""))</f>
        <v/>
      </c>
      <c r="D2510" s="48">
        <f>IF(B2510="","",IF(Q2510=1,'02_대상물건입력'!$B$8,IFERROR(INDEX('04A_국토부원자료'!$A:$T,ROW()+1,MATCH("단지명",'04A_국토부원자료'!$A$4:$T$4,0)),"")))</f>
        <v/>
      </c>
      <c r="E2510" s="172">
        <f>IFERROR(VALUE(SUBSTITUTE(INDEX('04A_국토부원자료'!$A:$T,ROW()+1,MATCH("전용면적(㎡)",'04A_국토부원자료'!$A$4:$T$4,0)),",","")),"")</f>
        <v/>
      </c>
      <c r="F25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10" s="51">
        <f>IFERROR(VALUE(SUBSTITUTE(INDEX('04A_국토부원자료'!$A:$T,ROW()+1,MATCH("거래금액(만원)",'04A_국토부원자료'!$A$4:$T$4,0)),",","")),"")</f>
        <v/>
      </c>
      <c r="H2510" s="174">
        <f>IF(G2510="","",G2510*10000)</f>
        <v/>
      </c>
      <c r="I2510" s="174">
        <f>IFERROR(IF(AND(H2510&gt;0,E2510&gt;0),H2510/E2510,""),"")</f>
        <v/>
      </c>
      <c r="J2510" s="152">
        <f>IFERROR(VALUE(SUBSTITUTE(INDEX('04A_국토부원자료'!$A:$T,ROW()+1,MATCH("층",'04A_국토부원자료'!$A$4:$T$4,0)),",","")),"")</f>
        <v/>
      </c>
      <c r="K2510" s="152">
        <f>IFERROR(VALUE(SUBSTITUTE(INDEX('04A_국토부원자료'!$A:$T,ROW()+1,MATCH("건축년도",'04A_국토부원자료'!$A$4:$T$4,0)),",","")),"")</f>
        <v/>
      </c>
      <c r="L2510" s="48">
        <f>IFERROR(INDEX('04A_국토부원자료'!$A:$T,ROW()+1,MATCH("도로명",'04A_국토부원자료'!$A$4:$T$4,0)),"")</f>
        <v/>
      </c>
      <c r="M2510" s="48">
        <f>IFERROR(INDEX('04A_국토부원자료'!$A:$T,ROW()+1,MATCH("거래유형",'04A_국토부원자료'!$A$4:$T$4,0)),"")</f>
        <v/>
      </c>
      <c r="N2510" s="152">
        <f>IF(B2510="","",IF('02_대상물건입력'!B5="",1,IF(ISNUMBER(SEARCH('02_대상물건입력'!B5,B2510)),1,0)))</f>
        <v/>
      </c>
      <c r="O2510" s="152">
        <f>IF(B2510="","",IF('02_대상물건입력'!B6="",1,IF(ISNUMBER(SEARCH('02_대상물건입력'!B6,B2510)),1,0)))</f>
        <v/>
      </c>
      <c r="P2510" s="152">
        <f>IF(L2510="","",IF('02_대상물건입력'!B15="",0,IF(ISNUMBER(SEARCH('02_대상물건입력'!B15,L2510)),1,0)))</f>
        <v/>
      </c>
      <c r="Q2510" s="152">
        <f>IF(OR(C2510="",L2510=""),0,IF(AND(TRIM(C2510)=TRIM(RIGHT(SUBSTITUTE(TRIM('02_대상물건입력'!$B$7)," ",REPT(" ",99)),99)),IF('02_대상물건입력'!B15="",TRUE(),ISNUMBER(SEARCH('02_대상물건입력'!B15,L2510)))),1,0))</f>
        <v/>
      </c>
      <c r="R2510" s="175">
        <f>IFERROR(ABS(E2510-'02_대상물건입력'!B11)/'02_대상물건입력'!B11,"")</f>
        <v/>
      </c>
      <c r="S2510" s="152">
        <f>IFERROR(ABS(J2510-'02_대상물건입력'!B10),"")</f>
        <v/>
      </c>
      <c r="T2510" s="152">
        <f>IFERROR(ABS('01_설정'!B4-F2510),"")</f>
        <v/>
      </c>
      <c r="U2510" s="152">
        <f>IFERROR(ABS(K2510-YEAR('02_대상물건입력'!B14)),"")</f>
        <v/>
      </c>
      <c r="V2510" s="152">
        <f>IF(B2510="","",IF(AND(E2510&gt;0,F2510&gt;0,H2510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2510=1,TRUE()),R2510&lt;='01_설정'!B5,S2510&lt;='01_설정'!B6,T2510&lt;='01_설정'!B7,U2510&lt;='01_설정'!B8),"Y",""))</f>
        <v/>
      </c>
      <c r="W2510" s="172">
        <f>IF(V2510&lt;&gt;"Y","",MAX(0,(1-R2510/'01_설정'!B5))*'01_설정'!B14+MAX(0,(1-S2510/'01_설정'!B6))*'01_설정'!B15+MAX(0,(1-T2510/'01_설정'!B7))*'01_설정'!B16+MAX(0,(1-U2510/'01_설정'!B8))*'01_설정'!B17+O2510*'01_설정'!B11+Q2510*'01_설정'!B12+P2510*'01_설정'!B13+IF(Z2510="",0,Z2510))</f>
        <v/>
      </c>
      <c r="X2510" s="152">
        <f>IF(W2510="","",1+COUNTIFS($W$4:$W$3003,"&gt;"&amp;W2510)+COUNTIFS($W$4:W2510,W2510)-1)</f>
        <v/>
      </c>
      <c r="Y2510" s="175">
        <f>IF(OR(I2510="",'02_대상물건입력'!B19="",'02_대상물건입력'!B19&lt;=0),"",ABS(I2510-'02_대상물건입력'!B19)/'02_대상물건입력'!B19)</f>
        <v/>
      </c>
      <c r="Z2510" s="172">
        <f>IF(OR(Y2510="",'01_설정'!B31="",'01_설정'!B31&lt;=0,'01_설정'!B32="",'01_설정'!B32&lt;=0),"",MAX(0,(1-Y2510/'01_설정'!B32))*'01_설정'!B31)</f>
        <v/>
      </c>
    </row>
    <row r="2511" ht="17.25" customHeight="1">
      <c r="A2511" s="152">
        <f>IF(INDEX('04A_국토부원자료'!$A:$A,ROW()+1)="","",ROW()-3)</f>
        <v/>
      </c>
      <c r="B2511" s="48">
        <f>IFERROR(INDEX('04A_국토부원자료'!$A:$T,ROW()+1,MATCH("시군구",'04A_국토부원자료'!$A$4:$T$4,0)),"")</f>
        <v/>
      </c>
      <c r="C2511" s="48">
        <f>IF(B2511="","",IFERROR(INDEX('04A_국토부원자료'!$A:$T,ROW()+1,MATCH("번지",'04A_국토부원자료'!$A$4:$T$4,0)),""))</f>
        <v/>
      </c>
      <c r="D2511" s="48">
        <f>IF(B2511="","",IF(Q2511=1,'02_대상물건입력'!$B$8,IFERROR(INDEX('04A_국토부원자료'!$A:$T,ROW()+1,MATCH("단지명",'04A_국토부원자료'!$A$4:$T$4,0)),"")))</f>
        <v/>
      </c>
      <c r="E2511" s="172">
        <f>IFERROR(VALUE(SUBSTITUTE(INDEX('04A_국토부원자료'!$A:$T,ROW()+1,MATCH("전용면적(㎡)",'04A_국토부원자료'!$A$4:$T$4,0)),",","")),"")</f>
        <v/>
      </c>
      <c r="F25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11" s="51">
        <f>IFERROR(VALUE(SUBSTITUTE(INDEX('04A_국토부원자료'!$A:$T,ROW()+1,MATCH("거래금액(만원)",'04A_국토부원자료'!$A$4:$T$4,0)),",","")),"")</f>
        <v/>
      </c>
      <c r="H2511" s="174">
        <f>IF(G2511="","",G2511*10000)</f>
        <v/>
      </c>
      <c r="I2511" s="174">
        <f>IFERROR(IF(AND(H2511&gt;0,E2511&gt;0),H2511/E2511,""),"")</f>
        <v/>
      </c>
      <c r="J2511" s="152">
        <f>IFERROR(VALUE(SUBSTITUTE(INDEX('04A_국토부원자료'!$A:$T,ROW()+1,MATCH("층",'04A_국토부원자료'!$A$4:$T$4,0)),",","")),"")</f>
        <v/>
      </c>
      <c r="K2511" s="152">
        <f>IFERROR(VALUE(SUBSTITUTE(INDEX('04A_국토부원자료'!$A:$T,ROW()+1,MATCH("건축년도",'04A_국토부원자료'!$A$4:$T$4,0)),",","")),"")</f>
        <v/>
      </c>
      <c r="L2511" s="48">
        <f>IFERROR(INDEX('04A_국토부원자료'!$A:$T,ROW()+1,MATCH("도로명",'04A_국토부원자료'!$A$4:$T$4,0)),"")</f>
        <v/>
      </c>
      <c r="M2511" s="48">
        <f>IFERROR(INDEX('04A_국토부원자료'!$A:$T,ROW()+1,MATCH("거래유형",'04A_국토부원자료'!$A$4:$T$4,0)),"")</f>
        <v/>
      </c>
      <c r="N2511" s="152">
        <f>IF(B2511="","",IF('02_대상물건입력'!B5="",1,IF(ISNUMBER(SEARCH('02_대상물건입력'!B5,B2511)),1,0)))</f>
        <v/>
      </c>
      <c r="O2511" s="152">
        <f>IF(B2511="","",IF('02_대상물건입력'!B6="",1,IF(ISNUMBER(SEARCH('02_대상물건입력'!B6,B2511)),1,0)))</f>
        <v/>
      </c>
      <c r="P2511" s="152">
        <f>IF(L2511="","",IF('02_대상물건입력'!B15="",0,IF(ISNUMBER(SEARCH('02_대상물건입력'!B15,L2511)),1,0)))</f>
        <v/>
      </c>
      <c r="Q2511" s="152">
        <f>IF(OR(C2511="",L2511=""),0,IF(AND(TRIM(C2511)=TRIM(RIGHT(SUBSTITUTE(TRIM('02_대상물건입력'!$B$7)," ",REPT(" ",99)),99)),IF('02_대상물건입력'!B15="",TRUE(),ISNUMBER(SEARCH('02_대상물건입력'!B15,L2511)))),1,0))</f>
        <v/>
      </c>
      <c r="R2511" s="175">
        <f>IFERROR(ABS(E2511-'02_대상물건입력'!B11)/'02_대상물건입력'!B11,"")</f>
        <v/>
      </c>
      <c r="S2511" s="152">
        <f>IFERROR(ABS(J2511-'02_대상물건입력'!B10),"")</f>
        <v/>
      </c>
      <c r="T2511" s="152">
        <f>IFERROR(ABS('01_설정'!B4-F2511),"")</f>
        <v/>
      </c>
      <c r="U2511" s="152">
        <f>IFERROR(ABS(K2511-YEAR('02_대상물건입력'!B14)),"")</f>
        <v/>
      </c>
      <c r="V2511" s="152">
        <f>IF(B2511="","",IF(AND(E2511&gt;0,F2511&gt;0,H2511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2511=1,TRUE()),R2511&lt;='01_설정'!B5,S2511&lt;='01_설정'!B6,T2511&lt;='01_설정'!B7,U2511&lt;='01_설정'!B8),"Y",""))</f>
        <v/>
      </c>
      <c r="W2511" s="172">
        <f>IF(V2511&lt;&gt;"Y","",MAX(0,(1-R2511/'01_설정'!B5))*'01_설정'!B14+MAX(0,(1-S2511/'01_설정'!B6))*'01_설정'!B15+MAX(0,(1-T2511/'01_설정'!B7))*'01_설정'!B16+MAX(0,(1-U2511/'01_설정'!B8))*'01_설정'!B17+O2511*'01_설정'!B11+Q2511*'01_설정'!B12+P2511*'01_설정'!B13+IF(Z2511="",0,Z2511))</f>
        <v/>
      </c>
      <c r="X2511" s="152">
        <f>IF(W2511="","",1+COUNTIFS($W$4:$W$3003,"&gt;"&amp;W2511)+COUNTIFS($W$4:W2511,W2511)-1)</f>
        <v/>
      </c>
      <c r="Y2511" s="175">
        <f>IF(OR(I2511="",'02_대상물건입력'!B19="",'02_대상물건입력'!B19&lt;=0),"",ABS(I2511-'02_대상물건입력'!B19)/'02_대상물건입력'!B19)</f>
        <v/>
      </c>
      <c r="Z2511" s="172">
        <f>IF(OR(Y2511="",'01_설정'!B31="",'01_설정'!B31&lt;=0,'01_설정'!B32="",'01_설정'!B32&lt;=0),"",MAX(0,(1-Y2511/'01_설정'!B32))*'01_설정'!B31)</f>
        <v/>
      </c>
    </row>
    <row r="2512" ht="17.25" customHeight="1">
      <c r="A2512" s="152">
        <f>IF(INDEX('04A_국토부원자료'!$A:$A,ROW()+1)="","",ROW()-3)</f>
        <v/>
      </c>
      <c r="B2512" s="48">
        <f>IFERROR(INDEX('04A_국토부원자료'!$A:$T,ROW()+1,MATCH("시군구",'04A_국토부원자료'!$A$4:$T$4,0)),"")</f>
        <v/>
      </c>
      <c r="C2512" s="48">
        <f>IF(B2512="","",IFERROR(INDEX('04A_국토부원자료'!$A:$T,ROW()+1,MATCH("번지",'04A_국토부원자료'!$A$4:$T$4,0)),""))</f>
        <v/>
      </c>
      <c r="D2512" s="48">
        <f>IF(B2512="","",IF(Q2512=1,'02_대상물건입력'!$B$8,IFERROR(INDEX('04A_국토부원자료'!$A:$T,ROW()+1,MATCH("단지명",'04A_국토부원자료'!$A$4:$T$4,0)),"")))</f>
        <v/>
      </c>
      <c r="E2512" s="172">
        <f>IFERROR(VALUE(SUBSTITUTE(INDEX('04A_국토부원자료'!$A:$T,ROW()+1,MATCH("전용면적(㎡)",'04A_국토부원자료'!$A$4:$T$4,0)),",","")),"")</f>
        <v/>
      </c>
      <c r="F25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12" s="51">
        <f>IFERROR(VALUE(SUBSTITUTE(INDEX('04A_국토부원자료'!$A:$T,ROW()+1,MATCH("거래금액(만원)",'04A_국토부원자료'!$A$4:$T$4,0)),",","")),"")</f>
        <v/>
      </c>
      <c r="H2512" s="174">
        <f>IF(G2512="","",G2512*10000)</f>
        <v/>
      </c>
      <c r="I2512" s="174">
        <f>IFERROR(IF(AND(H2512&gt;0,E2512&gt;0),H2512/E2512,""),"")</f>
        <v/>
      </c>
      <c r="J2512" s="152">
        <f>IFERROR(VALUE(SUBSTITUTE(INDEX('04A_국토부원자료'!$A:$T,ROW()+1,MATCH("층",'04A_국토부원자료'!$A$4:$T$4,0)),",","")),"")</f>
        <v/>
      </c>
      <c r="K2512" s="152">
        <f>IFERROR(VALUE(SUBSTITUTE(INDEX('04A_국토부원자료'!$A:$T,ROW()+1,MATCH("건축년도",'04A_국토부원자료'!$A$4:$T$4,0)),",","")),"")</f>
        <v/>
      </c>
      <c r="L2512" s="48">
        <f>IFERROR(INDEX('04A_국토부원자료'!$A:$T,ROW()+1,MATCH("도로명",'04A_국토부원자료'!$A$4:$T$4,0)),"")</f>
        <v/>
      </c>
      <c r="M2512" s="48">
        <f>IFERROR(INDEX('04A_국토부원자료'!$A:$T,ROW()+1,MATCH("거래유형",'04A_국토부원자료'!$A$4:$T$4,0)),"")</f>
        <v/>
      </c>
      <c r="N2512" s="152">
        <f>IF(B2512="","",IF('02_대상물건입력'!B5="",1,IF(ISNUMBER(SEARCH('02_대상물건입력'!B5,B2512)),1,0)))</f>
        <v/>
      </c>
      <c r="O2512" s="152">
        <f>IF(B2512="","",IF('02_대상물건입력'!B6="",1,IF(ISNUMBER(SEARCH('02_대상물건입력'!B6,B2512)),1,0)))</f>
        <v/>
      </c>
      <c r="P2512" s="152">
        <f>IF(L2512="","",IF('02_대상물건입력'!B15="",0,IF(ISNUMBER(SEARCH('02_대상물건입력'!B15,L2512)),1,0)))</f>
        <v/>
      </c>
      <c r="Q2512" s="152">
        <f>IF(OR(C2512="",L2512=""),0,IF(AND(TRIM(C2512)=TRIM(RIGHT(SUBSTITUTE(TRIM('02_대상물건입력'!$B$7)," ",REPT(" ",99)),99)),IF('02_대상물건입력'!B15="",TRUE(),ISNUMBER(SEARCH('02_대상물건입력'!B15,L2512)))),1,0))</f>
        <v/>
      </c>
      <c r="R2512" s="175">
        <f>IFERROR(ABS(E2512-'02_대상물건입력'!B11)/'02_대상물건입력'!B11,"")</f>
        <v/>
      </c>
      <c r="S2512" s="152">
        <f>IFERROR(ABS(J2512-'02_대상물건입력'!B10),"")</f>
        <v/>
      </c>
      <c r="T2512" s="152">
        <f>IFERROR(ABS('01_설정'!B4-F2512),"")</f>
        <v/>
      </c>
      <c r="U2512" s="152">
        <f>IFERROR(ABS(K2512-YEAR('02_대상물건입력'!B14)),"")</f>
        <v/>
      </c>
      <c r="V2512" s="152">
        <f>IF(B2512="","",IF(AND(E2512&gt;0,F2512&gt;0,H2512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2512=1,TRUE()),R2512&lt;='01_설정'!B5,S2512&lt;='01_설정'!B6,T2512&lt;='01_설정'!B7,U2512&lt;='01_설정'!B8),"Y",""))</f>
        <v/>
      </c>
      <c r="W2512" s="172">
        <f>IF(V2512&lt;&gt;"Y","",MAX(0,(1-R2512/'01_설정'!B5))*'01_설정'!B14+MAX(0,(1-S2512/'01_설정'!B6))*'01_설정'!B15+MAX(0,(1-T2512/'01_설정'!B7))*'01_설정'!B16+MAX(0,(1-U2512/'01_설정'!B8))*'01_설정'!B17+O2512*'01_설정'!B11+Q2512*'01_설정'!B12+P2512*'01_설정'!B13+IF(Z2512="",0,Z2512))</f>
        <v/>
      </c>
      <c r="X2512" s="152">
        <f>IF(W2512="","",1+COUNTIFS($W$4:$W$3003,"&gt;"&amp;W2512)+COUNTIFS($W$4:W2512,W2512)-1)</f>
        <v/>
      </c>
      <c r="Y2512" s="175">
        <f>IF(OR(I2512="",'02_대상물건입력'!B19="",'02_대상물건입력'!B19&lt;=0),"",ABS(I2512-'02_대상물건입력'!B19)/'02_대상물건입력'!B19)</f>
        <v/>
      </c>
      <c r="Z2512" s="172">
        <f>IF(OR(Y2512="",'01_설정'!B31="",'01_설정'!B31&lt;=0,'01_설정'!B32="",'01_설정'!B32&lt;=0),"",MAX(0,(1-Y2512/'01_설정'!B32))*'01_설정'!B31)</f>
        <v/>
      </c>
    </row>
    <row r="2513" ht="17.25" customHeight="1">
      <c r="A2513" s="152">
        <f>IF(INDEX('04A_국토부원자료'!$A:$A,ROW()+1)="","",ROW()-3)</f>
        <v/>
      </c>
      <c r="B2513" s="48">
        <f>IFERROR(INDEX('04A_국토부원자료'!$A:$T,ROW()+1,MATCH("시군구",'04A_국토부원자료'!$A$4:$T$4,0)),"")</f>
        <v/>
      </c>
      <c r="C2513" s="48">
        <f>IF(B2513="","",IFERROR(INDEX('04A_국토부원자료'!$A:$T,ROW()+1,MATCH("번지",'04A_국토부원자료'!$A$4:$T$4,0)),""))</f>
        <v/>
      </c>
      <c r="D2513" s="48">
        <f>IF(B2513="","",IF(Q2513=1,'02_대상물건입력'!$B$8,IFERROR(INDEX('04A_국토부원자료'!$A:$T,ROW()+1,MATCH("단지명",'04A_국토부원자료'!$A$4:$T$4,0)),"")))</f>
        <v/>
      </c>
      <c r="E2513" s="172">
        <f>IFERROR(VALUE(SUBSTITUTE(INDEX('04A_국토부원자료'!$A:$T,ROW()+1,MATCH("전용면적(㎡)",'04A_국토부원자료'!$A$4:$T$4,0)),",","")),"")</f>
        <v/>
      </c>
      <c r="F25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13" s="51">
        <f>IFERROR(VALUE(SUBSTITUTE(INDEX('04A_국토부원자료'!$A:$T,ROW()+1,MATCH("거래금액(만원)",'04A_국토부원자료'!$A$4:$T$4,0)),",","")),"")</f>
        <v/>
      </c>
      <c r="H2513" s="174">
        <f>IF(G2513="","",G2513*10000)</f>
        <v/>
      </c>
      <c r="I2513" s="174">
        <f>IFERROR(IF(AND(H2513&gt;0,E2513&gt;0),H2513/E2513,""),"")</f>
        <v/>
      </c>
      <c r="J2513" s="152">
        <f>IFERROR(VALUE(SUBSTITUTE(INDEX('04A_국토부원자료'!$A:$T,ROW()+1,MATCH("층",'04A_국토부원자료'!$A$4:$T$4,0)),",","")),"")</f>
        <v/>
      </c>
      <c r="K2513" s="152">
        <f>IFERROR(VALUE(SUBSTITUTE(INDEX('04A_국토부원자료'!$A:$T,ROW()+1,MATCH("건축년도",'04A_국토부원자료'!$A$4:$T$4,0)),",","")),"")</f>
        <v/>
      </c>
      <c r="L2513" s="48">
        <f>IFERROR(INDEX('04A_국토부원자료'!$A:$T,ROW()+1,MATCH("도로명",'04A_국토부원자료'!$A$4:$T$4,0)),"")</f>
        <v/>
      </c>
      <c r="M2513" s="48">
        <f>IFERROR(INDEX('04A_국토부원자료'!$A:$T,ROW()+1,MATCH("거래유형",'04A_국토부원자료'!$A$4:$T$4,0)),"")</f>
        <v/>
      </c>
      <c r="N2513" s="152">
        <f>IF(B2513="","",IF('02_대상물건입력'!B5="",1,IF(ISNUMBER(SEARCH('02_대상물건입력'!B5,B2513)),1,0)))</f>
        <v/>
      </c>
      <c r="O2513" s="152">
        <f>IF(B2513="","",IF('02_대상물건입력'!B6="",1,IF(ISNUMBER(SEARCH('02_대상물건입력'!B6,B2513)),1,0)))</f>
        <v/>
      </c>
      <c r="P2513" s="152">
        <f>IF(L2513="","",IF('02_대상물건입력'!B15="",0,IF(ISNUMBER(SEARCH('02_대상물건입력'!B15,L2513)),1,0)))</f>
        <v/>
      </c>
      <c r="Q2513" s="152">
        <f>IF(OR(C2513="",L2513=""),0,IF(AND(TRIM(C2513)=TRIM(RIGHT(SUBSTITUTE(TRIM('02_대상물건입력'!$B$7)," ",REPT(" ",99)),99)),IF('02_대상물건입력'!B15="",TRUE(),ISNUMBER(SEARCH('02_대상물건입력'!B15,L2513)))),1,0))</f>
        <v/>
      </c>
      <c r="R2513" s="175">
        <f>IFERROR(ABS(E2513-'02_대상물건입력'!B11)/'02_대상물건입력'!B11,"")</f>
        <v/>
      </c>
      <c r="S2513" s="152">
        <f>IFERROR(ABS(J2513-'02_대상물건입력'!B10),"")</f>
        <v/>
      </c>
      <c r="T2513" s="152">
        <f>IFERROR(ABS('01_설정'!B4-F2513),"")</f>
        <v/>
      </c>
      <c r="U2513" s="152">
        <f>IFERROR(ABS(K2513-YEAR('02_대상물건입력'!B14)),"")</f>
        <v/>
      </c>
      <c r="V2513" s="152">
        <f>IF(B2513="","",IF(AND(E2513&gt;0,F2513&gt;0,H2513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2513=1,TRUE()),R2513&lt;='01_설정'!B5,S2513&lt;='01_설정'!B6,T2513&lt;='01_설정'!B7,U2513&lt;='01_설정'!B8),"Y",""))</f>
        <v/>
      </c>
      <c r="W2513" s="172">
        <f>IF(V2513&lt;&gt;"Y","",MAX(0,(1-R2513/'01_설정'!B5))*'01_설정'!B14+MAX(0,(1-S2513/'01_설정'!B6))*'01_설정'!B15+MAX(0,(1-T2513/'01_설정'!B7))*'01_설정'!B16+MAX(0,(1-U2513/'01_설정'!B8))*'01_설정'!B17+O2513*'01_설정'!B11+Q2513*'01_설정'!B12+P2513*'01_설정'!B13+IF(Z2513="",0,Z2513))</f>
        <v/>
      </c>
      <c r="X2513" s="152">
        <f>IF(W2513="","",1+COUNTIFS($W$4:$W$3003,"&gt;"&amp;W2513)+COUNTIFS($W$4:W2513,W2513)-1)</f>
        <v/>
      </c>
      <c r="Y2513" s="175">
        <f>IF(OR(I2513="",'02_대상물건입력'!B19="",'02_대상물건입력'!B19&lt;=0),"",ABS(I2513-'02_대상물건입력'!B19)/'02_대상물건입력'!B19)</f>
        <v/>
      </c>
      <c r="Z2513" s="172">
        <f>IF(OR(Y2513="",'01_설정'!B31="",'01_설정'!B31&lt;=0,'01_설정'!B32="",'01_설정'!B32&lt;=0),"",MAX(0,(1-Y2513/'01_설정'!B32))*'01_설정'!B31)</f>
        <v/>
      </c>
    </row>
    <row r="2514" ht="17.25" customHeight="1">
      <c r="A2514" s="152">
        <f>IF(INDEX('04A_국토부원자료'!$A:$A,ROW()+1)="","",ROW()-3)</f>
        <v/>
      </c>
      <c r="B2514" s="48">
        <f>IFERROR(INDEX('04A_국토부원자료'!$A:$T,ROW()+1,MATCH("시군구",'04A_국토부원자료'!$A$4:$T$4,0)),"")</f>
        <v/>
      </c>
      <c r="C2514" s="48">
        <f>IF(B2514="","",IFERROR(INDEX('04A_국토부원자료'!$A:$T,ROW()+1,MATCH("번지",'04A_국토부원자료'!$A$4:$T$4,0)),""))</f>
        <v/>
      </c>
      <c r="D2514" s="48">
        <f>IF(B2514="","",IF(Q2514=1,'02_대상물건입력'!$B$8,IFERROR(INDEX('04A_국토부원자료'!$A:$T,ROW()+1,MATCH("단지명",'04A_국토부원자료'!$A$4:$T$4,0)),"")))</f>
        <v/>
      </c>
      <c r="E2514" s="172">
        <f>IFERROR(VALUE(SUBSTITUTE(INDEX('04A_국토부원자료'!$A:$T,ROW()+1,MATCH("전용면적(㎡)",'04A_국토부원자료'!$A$4:$T$4,0)),",","")),"")</f>
        <v/>
      </c>
      <c r="F25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14" s="51">
        <f>IFERROR(VALUE(SUBSTITUTE(INDEX('04A_국토부원자료'!$A:$T,ROW()+1,MATCH("거래금액(만원)",'04A_국토부원자료'!$A$4:$T$4,0)),",","")),"")</f>
        <v/>
      </c>
      <c r="H2514" s="174">
        <f>IF(G2514="","",G2514*10000)</f>
        <v/>
      </c>
      <c r="I2514" s="174">
        <f>IFERROR(IF(AND(H2514&gt;0,E2514&gt;0),H2514/E2514,""),"")</f>
        <v/>
      </c>
      <c r="J2514" s="152">
        <f>IFERROR(VALUE(SUBSTITUTE(INDEX('04A_국토부원자료'!$A:$T,ROW()+1,MATCH("층",'04A_국토부원자료'!$A$4:$T$4,0)),",","")),"")</f>
        <v/>
      </c>
      <c r="K2514" s="152">
        <f>IFERROR(VALUE(SUBSTITUTE(INDEX('04A_국토부원자료'!$A:$T,ROW()+1,MATCH("건축년도",'04A_국토부원자료'!$A$4:$T$4,0)),",","")),"")</f>
        <v/>
      </c>
      <c r="L2514" s="48">
        <f>IFERROR(INDEX('04A_국토부원자료'!$A:$T,ROW()+1,MATCH("도로명",'04A_국토부원자료'!$A$4:$T$4,0)),"")</f>
        <v/>
      </c>
      <c r="M2514" s="48">
        <f>IFERROR(INDEX('04A_국토부원자료'!$A:$T,ROW()+1,MATCH("거래유형",'04A_국토부원자료'!$A$4:$T$4,0)),"")</f>
        <v/>
      </c>
      <c r="N2514" s="152">
        <f>IF(B2514="","",IF('02_대상물건입력'!B5="",1,IF(ISNUMBER(SEARCH('02_대상물건입력'!B5,B2514)),1,0)))</f>
        <v/>
      </c>
      <c r="O2514" s="152">
        <f>IF(B2514="","",IF('02_대상물건입력'!B6="",1,IF(ISNUMBER(SEARCH('02_대상물건입력'!B6,B2514)),1,0)))</f>
        <v/>
      </c>
      <c r="P2514" s="152">
        <f>IF(L2514="","",IF('02_대상물건입력'!B15="",0,IF(ISNUMBER(SEARCH('02_대상물건입력'!B15,L2514)),1,0)))</f>
        <v/>
      </c>
      <c r="Q2514" s="152">
        <f>IF(OR(C2514="",L2514=""),0,IF(AND(TRIM(C2514)=TRIM(RIGHT(SUBSTITUTE(TRIM('02_대상물건입력'!$B$7)," ",REPT(" ",99)),99)),IF('02_대상물건입력'!B15="",TRUE(),ISNUMBER(SEARCH('02_대상물건입력'!B15,L2514)))),1,0))</f>
        <v/>
      </c>
      <c r="R2514" s="175">
        <f>IFERROR(ABS(E2514-'02_대상물건입력'!B11)/'02_대상물건입력'!B11,"")</f>
        <v/>
      </c>
      <c r="S2514" s="152">
        <f>IFERROR(ABS(J2514-'02_대상물건입력'!B10),"")</f>
        <v/>
      </c>
      <c r="T2514" s="152">
        <f>IFERROR(ABS('01_설정'!B4-F2514),"")</f>
        <v/>
      </c>
      <c r="U2514" s="152">
        <f>IFERROR(ABS(K2514-YEAR('02_대상물건입력'!B14)),"")</f>
        <v/>
      </c>
      <c r="V2514" s="152">
        <f>IF(B2514="","",IF(AND(E2514&gt;0,F2514&gt;0,H2514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2514=1,TRUE()),R2514&lt;='01_설정'!B5,S2514&lt;='01_설정'!B6,T2514&lt;='01_설정'!B7,U2514&lt;='01_설정'!B8),"Y",""))</f>
        <v/>
      </c>
      <c r="W2514" s="172">
        <f>IF(V2514&lt;&gt;"Y","",MAX(0,(1-R2514/'01_설정'!B5))*'01_설정'!B14+MAX(0,(1-S2514/'01_설정'!B6))*'01_설정'!B15+MAX(0,(1-T2514/'01_설정'!B7))*'01_설정'!B16+MAX(0,(1-U2514/'01_설정'!B8))*'01_설정'!B17+O2514*'01_설정'!B11+Q2514*'01_설정'!B12+P2514*'01_설정'!B13+IF(Z2514="",0,Z2514))</f>
        <v/>
      </c>
      <c r="X2514" s="152">
        <f>IF(W2514="","",1+COUNTIFS($W$4:$W$3003,"&gt;"&amp;W2514)+COUNTIFS($W$4:W2514,W2514)-1)</f>
        <v/>
      </c>
      <c r="Y2514" s="175">
        <f>IF(OR(I2514="",'02_대상물건입력'!B19="",'02_대상물건입력'!B19&lt;=0),"",ABS(I2514-'02_대상물건입력'!B19)/'02_대상물건입력'!B19)</f>
        <v/>
      </c>
      <c r="Z2514" s="172">
        <f>IF(OR(Y2514="",'01_설정'!B31="",'01_설정'!B31&lt;=0,'01_설정'!B32="",'01_설정'!B32&lt;=0),"",MAX(0,(1-Y2514/'01_설정'!B32))*'01_설정'!B31)</f>
        <v/>
      </c>
    </row>
    <row r="2515" ht="17.25" customHeight="1">
      <c r="A2515" s="152">
        <f>IF(INDEX('04A_국토부원자료'!$A:$A,ROW()+1)="","",ROW()-3)</f>
        <v/>
      </c>
      <c r="B2515" s="48">
        <f>IFERROR(INDEX('04A_국토부원자료'!$A:$T,ROW()+1,MATCH("시군구",'04A_국토부원자료'!$A$4:$T$4,0)),"")</f>
        <v/>
      </c>
      <c r="C2515" s="48">
        <f>IF(B2515="","",IFERROR(INDEX('04A_국토부원자료'!$A:$T,ROW()+1,MATCH("번지",'04A_국토부원자료'!$A$4:$T$4,0)),""))</f>
        <v/>
      </c>
      <c r="D2515" s="48">
        <f>IF(B2515="","",IF(Q2515=1,'02_대상물건입력'!$B$8,IFERROR(INDEX('04A_국토부원자료'!$A:$T,ROW()+1,MATCH("단지명",'04A_국토부원자료'!$A$4:$T$4,0)),"")))</f>
        <v/>
      </c>
      <c r="E2515" s="172">
        <f>IFERROR(VALUE(SUBSTITUTE(INDEX('04A_국토부원자료'!$A:$T,ROW()+1,MATCH("전용면적(㎡)",'04A_국토부원자료'!$A$4:$T$4,0)),",","")),"")</f>
        <v/>
      </c>
      <c r="F25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15" s="51">
        <f>IFERROR(VALUE(SUBSTITUTE(INDEX('04A_국토부원자료'!$A:$T,ROW()+1,MATCH("거래금액(만원)",'04A_국토부원자료'!$A$4:$T$4,0)),",","")),"")</f>
        <v/>
      </c>
      <c r="H2515" s="174">
        <f>IF(G2515="","",G2515*10000)</f>
        <v/>
      </c>
      <c r="I2515" s="174">
        <f>IFERROR(IF(AND(H2515&gt;0,E2515&gt;0),H2515/E2515,""),"")</f>
        <v/>
      </c>
      <c r="J2515" s="152">
        <f>IFERROR(VALUE(SUBSTITUTE(INDEX('04A_국토부원자료'!$A:$T,ROW()+1,MATCH("층",'04A_국토부원자료'!$A$4:$T$4,0)),",","")),"")</f>
        <v/>
      </c>
      <c r="K2515" s="152">
        <f>IFERROR(VALUE(SUBSTITUTE(INDEX('04A_국토부원자료'!$A:$T,ROW()+1,MATCH("건축년도",'04A_국토부원자료'!$A$4:$T$4,0)),",","")),"")</f>
        <v/>
      </c>
      <c r="L2515" s="48">
        <f>IFERROR(INDEX('04A_국토부원자료'!$A:$T,ROW()+1,MATCH("도로명",'04A_국토부원자료'!$A$4:$T$4,0)),"")</f>
        <v/>
      </c>
      <c r="M2515" s="48">
        <f>IFERROR(INDEX('04A_국토부원자료'!$A:$T,ROW()+1,MATCH("거래유형",'04A_국토부원자료'!$A$4:$T$4,0)),"")</f>
        <v/>
      </c>
      <c r="N2515" s="152">
        <f>IF(B2515="","",IF('02_대상물건입력'!B5="",1,IF(ISNUMBER(SEARCH('02_대상물건입력'!B5,B2515)),1,0)))</f>
        <v/>
      </c>
      <c r="O2515" s="152">
        <f>IF(B2515="","",IF('02_대상물건입력'!B6="",1,IF(ISNUMBER(SEARCH('02_대상물건입력'!B6,B2515)),1,0)))</f>
        <v/>
      </c>
      <c r="P2515" s="152">
        <f>IF(L2515="","",IF('02_대상물건입력'!B15="",0,IF(ISNUMBER(SEARCH('02_대상물건입력'!B15,L2515)),1,0)))</f>
        <v/>
      </c>
      <c r="Q2515" s="152">
        <f>IF(OR(C2515="",L2515=""),0,IF(AND(TRIM(C2515)=TRIM(RIGHT(SUBSTITUTE(TRIM('02_대상물건입력'!$B$7)," ",REPT(" ",99)),99)),IF('02_대상물건입력'!B15="",TRUE(),ISNUMBER(SEARCH('02_대상물건입력'!B15,L2515)))),1,0))</f>
        <v/>
      </c>
      <c r="R2515" s="175">
        <f>IFERROR(ABS(E2515-'02_대상물건입력'!B11)/'02_대상물건입력'!B11,"")</f>
        <v/>
      </c>
      <c r="S2515" s="152">
        <f>IFERROR(ABS(J2515-'02_대상물건입력'!B10),"")</f>
        <v/>
      </c>
      <c r="T2515" s="152">
        <f>IFERROR(ABS('01_설정'!B4-F2515),"")</f>
        <v/>
      </c>
      <c r="U2515" s="152">
        <f>IFERROR(ABS(K2515-YEAR('02_대상물건입력'!B14)),"")</f>
        <v/>
      </c>
      <c r="V2515" s="152">
        <f>IF(B2515="","",IF(AND(E2515&gt;0,F2515&gt;0,H2515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2515=1,TRUE()),R2515&lt;='01_설정'!B5,S2515&lt;='01_설정'!B6,T2515&lt;='01_설정'!B7,U2515&lt;='01_설정'!B8),"Y",""))</f>
        <v/>
      </c>
      <c r="W2515" s="172">
        <f>IF(V2515&lt;&gt;"Y","",MAX(0,(1-R2515/'01_설정'!B5))*'01_설정'!B14+MAX(0,(1-S2515/'01_설정'!B6))*'01_설정'!B15+MAX(0,(1-T2515/'01_설정'!B7))*'01_설정'!B16+MAX(0,(1-U2515/'01_설정'!B8))*'01_설정'!B17+O2515*'01_설정'!B11+Q2515*'01_설정'!B12+P2515*'01_설정'!B13+IF(Z2515="",0,Z2515))</f>
        <v/>
      </c>
      <c r="X2515" s="152">
        <f>IF(W2515="","",1+COUNTIFS($W$4:$W$3003,"&gt;"&amp;W2515)+COUNTIFS($W$4:W2515,W2515)-1)</f>
        <v/>
      </c>
      <c r="Y2515" s="175">
        <f>IF(OR(I2515="",'02_대상물건입력'!B19="",'02_대상물건입력'!B19&lt;=0),"",ABS(I2515-'02_대상물건입력'!B19)/'02_대상물건입력'!B19)</f>
        <v/>
      </c>
      <c r="Z2515" s="172">
        <f>IF(OR(Y2515="",'01_설정'!B31="",'01_설정'!B31&lt;=0,'01_설정'!B32="",'01_설정'!B32&lt;=0),"",MAX(0,(1-Y2515/'01_설정'!B32))*'01_설정'!B31)</f>
        <v/>
      </c>
    </row>
    <row r="2516" ht="17.25" customHeight="1">
      <c r="A2516" s="152">
        <f>IF(INDEX('04A_국토부원자료'!$A:$A,ROW()+1)="","",ROW()-3)</f>
        <v/>
      </c>
      <c r="B2516" s="48">
        <f>IFERROR(INDEX('04A_국토부원자료'!$A:$T,ROW()+1,MATCH("시군구",'04A_국토부원자료'!$A$4:$T$4,0)),"")</f>
        <v/>
      </c>
      <c r="C2516" s="48">
        <f>IF(B2516="","",IFERROR(INDEX('04A_국토부원자료'!$A:$T,ROW()+1,MATCH("번지",'04A_국토부원자료'!$A$4:$T$4,0)),""))</f>
        <v/>
      </c>
      <c r="D2516" s="48">
        <f>IF(B2516="","",IF(Q2516=1,'02_대상물건입력'!$B$8,IFERROR(INDEX('04A_국토부원자료'!$A:$T,ROW()+1,MATCH("단지명",'04A_국토부원자료'!$A$4:$T$4,0)),"")))</f>
        <v/>
      </c>
      <c r="E2516" s="172">
        <f>IFERROR(VALUE(SUBSTITUTE(INDEX('04A_국토부원자료'!$A:$T,ROW()+1,MATCH("전용면적(㎡)",'04A_국토부원자료'!$A$4:$T$4,0)),",","")),"")</f>
        <v/>
      </c>
      <c r="F25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16" s="51">
        <f>IFERROR(VALUE(SUBSTITUTE(INDEX('04A_국토부원자료'!$A:$T,ROW()+1,MATCH("거래금액(만원)",'04A_국토부원자료'!$A$4:$T$4,0)),",","")),"")</f>
        <v/>
      </c>
      <c r="H2516" s="174">
        <f>IF(G2516="","",G2516*10000)</f>
        <v/>
      </c>
      <c r="I2516" s="174">
        <f>IFERROR(IF(AND(H2516&gt;0,E2516&gt;0),H2516/E2516,""),"")</f>
        <v/>
      </c>
      <c r="J2516" s="152">
        <f>IFERROR(VALUE(SUBSTITUTE(INDEX('04A_국토부원자료'!$A:$T,ROW()+1,MATCH("층",'04A_국토부원자료'!$A$4:$T$4,0)),",","")),"")</f>
        <v/>
      </c>
      <c r="K2516" s="152">
        <f>IFERROR(VALUE(SUBSTITUTE(INDEX('04A_국토부원자료'!$A:$T,ROW()+1,MATCH("건축년도",'04A_국토부원자료'!$A$4:$T$4,0)),",","")),"")</f>
        <v/>
      </c>
      <c r="L2516" s="48">
        <f>IFERROR(INDEX('04A_국토부원자료'!$A:$T,ROW()+1,MATCH("도로명",'04A_국토부원자료'!$A$4:$T$4,0)),"")</f>
        <v/>
      </c>
      <c r="M2516" s="48">
        <f>IFERROR(INDEX('04A_국토부원자료'!$A:$T,ROW()+1,MATCH("거래유형",'04A_국토부원자료'!$A$4:$T$4,0)),"")</f>
        <v/>
      </c>
      <c r="N2516" s="152">
        <f>IF(B2516="","",IF('02_대상물건입력'!B5="",1,IF(ISNUMBER(SEARCH('02_대상물건입력'!B5,B2516)),1,0)))</f>
        <v/>
      </c>
      <c r="O2516" s="152">
        <f>IF(B2516="","",IF('02_대상물건입력'!B6="",1,IF(ISNUMBER(SEARCH('02_대상물건입력'!B6,B2516)),1,0)))</f>
        <v/>
      </c>
      <c r="P2516" s="152">
        <f>IF(L2516="","",IF('02_대상물건입력'!B15="",0,IF(ISNUMBER(SEARCH('02_대상물건입력'!B15,L2516)),1,0)))</f>
        <v/>
      </c>
      <c r="Q2516" s="152">
        <f>IF(OR(C2516="",L2516=""),0,IF(AND(TRIM(C2516)=TRIM(RIGHT(SUBSTITUTE(TRIM('02_대상물건입력'!$B$7)," ",REPT(" ",99)),99)),IF('02_대상물건입력'!B15="",TRUE(),ISNUMBER(SEARCH('02_대상물건입력'!B15,L2516)))),1,0))</f>
        <v/>
      </c>
      <c r="R2516" s="175">
        <f>IFERROR(ABS(E2516-'02_대상물건입력'!B11)/'02_대상물건입력'!B11,"")</f>
        <v/>
      </c>
      <c r="S2516" s="152">
        <f>IFERROR(ABS(J2516-'02_대상물건입력'!B10),"")</f>
        <v/>
      </c>
      <c r="T2516" s="152">
        <f>IFERROR(ABS('01_설정'!B4-F2516),"")</f>
        <v/>
      </c>
      <c r="U2516" s="152">
        <f>IFERROR(ABS(K2516-YEAR('02_대상물건입력'!B14)),"")</f>
        <v/>
      </c>
      <c r="V2516" s="152">
        <f>IF(B2516="","",IF(AND(E2516&gt;0,F2516&gt;0,H2516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2516=1,TRUE()),R2516&lt;='01_설정'!B5,S2516&lt;='01_설정'!B6,T2516&lt;='01_설정'!B7,U2516&lt;='01_설정'!B8),"Y",""))</f>
        <v/>
      </c>
      <c r="W2516" s="172">
        <f>IF(V2516&lt;&gt;"Y","",MAX(0,(1-R2516/'01_설정'!B5))*'01_설정'!B14+MAX(0,(1-S2516/'01_설정'!B6))*'01_설정'!B15+MAX(0,(1-T2516/'01_설정'!B7))*'01_설정'!B16+MAX(0,(1-U2516/'01_설정'!B8))*'01_설정'!B17+O2516*'01_설정'!B11+Q2516*'01_설정'!B12+P2516*'01_설정'!B13+IF(Z2516="",0,Z2516))</f>
        <v/>
      </c>
      <c r="X2516" s="152">
        <f>IF(W2516="","",1+COUNTIFS($W$4:$W$3003,"&gt;"&amp;W2516)+COUNTIFS($W$4:W2516,W2516)-1)</f>
        <v/>
      </c>
      <c r="Y2516" s="175">
        <f>IF(OR(I2516="",'02_대상물건입력'!B19="",'02_대상물건입력'!B19&lt;=0),"",ABS(I2516-'02_대상물건입력'!B19)/'02_대상물건입력'!B19)</f>
        <v/>
      </c>
      <c r="Z2516" s="172">
        <f>IF(OR(Y2516="",'01_설정'!B31="",'01_설정'!B31&lt;=0,'01_설정'!B32="",'01_설정'!B32&lt;=0),"",MAX(0,(1-Y2516/'01_설정'!B32))*'01_설정'!B31)</f>
        <v/>
      </c>
    </row>
    <row r="2517" ht="17.25" customHeight="1">
      <c r="A2517" s="152">
        <f>IF(INDEX('04A_국토부원자료'!$A:$A,ROW()+1)="","",ROW()-3)</f>
        <v/>
      </c>
      <c r="B2517" s="48">
        <f>IFERROR(INDEX('04A_국토부원자료'!$A:$T,ROW()+1,MATCH("시군구",'04A_국토부원자료'!$A$4:$T$4,0)),"")</f>
        <v/>
      </c>
      <c r="C2517" s="48">
        <f>IF(B2517="","",IFERROR(INDEX('04A_국토부원자료'!$A:$T,ROW()+1,MATCH("번지",'04A_국토부원자료'!$A$4:$T$4,0)),""))</f>
        <v/>
      </c>
      <c r="D2517" s="48">
        <f>IF(B2517="","",IF(Q2517=1,'02_대상물건입력'!$B$8,IFERROR(INDEX('04A_국토부원자료'!$A:$T,ROW()+1,MATCH("단지명",'04A_국토부원자료'!$A$4:$T$4,0)),"")))</f>
        <v/>
      </c>
      <c r="E2517" s="172">
        <f>IFERROR(VALUE(SUBSTITUTE(INDEX('04A_국토부원자료'!$A:$T,ROW()+1,MATCH("전용면적(㎡)",'04A_국토부원자료'!$A$4:$T$4,0)),",","")),"")</f>
        <v/>
      </c>
      <c r="F25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17" s="51">
        <f>IFERROR(VALUE(SUBSTITUTE(INDEX('04A_국토부원자료'!$A:$T,ROW()+1,MATCH("거래금액(만원)",'04A_국토부원자료'!$A$4:$T$4,0)),",","")),"")</f>
        <v/>
      </c>
      <c r="H2517" s="174">
        <f>IF(G2517="","",G2517*10000)</f>
        <v/>
      </c>
      <c r="I2517" s="174">
        <f>IFERROR(IF(AND(H2517&gt;0,E2517&gt;0),H2517/E2517,""),"")</f>
        <v/>
      </c>
      <c r="J2517" s="152">
        <f>IFERROR(VALUE(SUBSTITUTE(INDEX('04A_국토부원자료'!$A:$T,ROW()+1,MATCH("층",'04A_국토부원자료'!$A$4:$T$4,0)),",","")),"")</f>
        <v/>
      </c>
      <c r="K2517" s="152">
        <f>IFERROR(VALUE(SUBSTITUTE(INDEX('04A_국토부원자료'!$A:$T,ROW()+1,MATCH("건축년도",'04A_국토부원자료'!$A$4:$T$4,0)),",","")),"")</f>
        <v/>
      </c>
      <c r="L2517" s="48">
        <f>IFERROR(INDEX('04A_국토부원자료'!$A:$T,ROW()+1,MATCH("도로명",'04A_국토부원자료'!$A$4:$T$4,0)),"")</f>
        <v/>
      </c>
      <c r="M2517" s="48">
        <f>IFERROR(INDEX('04A_국토부원자료'!$A:$T,ROW()+1,MATCH("거래유형",'04A_국토부원자료'!$A$4:$T$4,0)),"")</f>
        <v/>
      </c>
      <c r="N2517" s="152">
        <f>IF(B2517="","",IF('02_대상물건입력'!B5="",1,IF(ISNUMBER(SEARCH('02_대상물건입력'!B5,B2517)),1,0)))</f>
        <v/>
      </c>
      <c r="O2517" s="152">
        <f>IF(B2517="","",IF('02_대상물건입력'!B6="",1,IF(ISNUMBER(SEARCH('02_대상물건입력'!B6,B2517)),1,0)))</f>
        <v/>
      </c>
      <c r="P2517" s="152">
        <f>IF(L2517="","",IF('02_대상물건입력'!B15="",0,IF(ISNUMBER(SEARCH('02_대상물건입력'!B15,L2517)),1,0)))</f>
        <v/>
      </c>
      <c r="Q2517" s="152">
        <f>IF(OR(C2517="",L2517=""),0,IF(AND(TRIM(C2517)=TRIM(RIGHT(SUBSTITUTE(TRIM('02_대상물건입력'!$B$7)," ",REPT(" ",99)),99)),IF('02_대상물건입력'!B15="",TRUE(),ISNUMBER(SEARCH('02_대상물건입력'!B15,L2517)))),1,0))</f>
        <v/>
      </c>
      <c r="R2517" s="175">
        <f>IFERROR(ABS(E2517-'02_대상물건입력'!B11)/'02_대상물건입력'!B11,"")</f>
        <v/>
      </c>
      <c r="S2517" s="152">
        <f>IFERROR(ABS(J2517-'02_대상물건입력'!B10),"")</f>
        <v/>
      </c>
      <c r="T2517" s="152">
        <f>IFERROR(ABS('01_설정'!B4-F2517),"")</f>
        <v/>
      </c>
      <c r="U2517" s="152">
        <f>IFERROR(ABS(K2517-YEAR('02_대상물건입력'!B14)),"")</f>
        <v/>
      </c>
      <c r="V2517" s="152">
        <f>IF(B2517="","",IF(AND(E2517&gt;0,F2517&gt;0,H2517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2517=1,TRUE()),R2517&lt;='01_설정'!B5,S2517&lt;='01_설정'!B6,T2517&lt;='01_설정'!B7,U2517&lt;='01_설정'!B8),"Y",""))</f>
        <v/>
      </c>
      <c r="W2517" s="172">
        <f>IF(V2517&lt;&gt;"Y","",MAX(0,(1-R2517/'01_설정'!B5))*'01_설정'!B14+MAX(0,(1-S2517/'01_설정'!B6))*'01_설정'!B15+MAX(0,(1-T2517/'01_설정'!B7))*'01_설정'!B16+MAX(0,(1-U2517/'01_설정'!B8))*'01_설정'!B17+O2517*'01_설정'!B11+Q2517*'01_설정'!B12+P2517*'01_설정'!B13+IF(Z2517="",0,Z2517))</f>
        <v/>
      </c>
      <c r="X2517" s="152">
        <f>IF(W2517="","",1+COUNTIFS($W$4:$W$3003,"&gt;"&amp;W2517)+COUNTIFS($W$4:W2517,W2517)-1)</f>
        <v/>
      </c>
      <c r="Y2517" s="175">
        <f>IF(OR(I2517="",'02_대상물건입력'!B19="",'02_대상물건입력'!B19&lt;=0),"",ABS(I2517-'02_대상물건입력'!B19)/'02_대상물건입력'!B19)</f>
        <v/>
      </c>
      <c r="Z2517" s="172">
        <f>IF(OR(Y2517="",'01_설정'!B31="",'01_설정'!B31&lt;=0,'01_설정'!B32="",'01_설정'!B32&lt;=0),"",MAX(0,(1-Y2517/'01_설정'!B32))*'01_설정'!B31)</f>
        <v/>
      </c>
    </row>
    <row r="2518" ht="17.25" customHeight="1">
      <c r="A2518" s="152">
        <f>IF(INDEX('04A_국토부원자료'!$A:$A,ROW()+1)="","",ROW()-3)</f>
        <v/>
      </c>
      <c r="B2518" s="48">
        <f>IFERROR(INDEX('04A_국토부원자료'!$A:$T,ROW()+1,MATCH("시군구",'04A_국토부원자료'!$A$4:$T$4,0)),"")</f>
        <v/>
      </c>
      <c r="C2518" s="48">
        <f>IF(B2518="","",IFERROR(INDEX('04A_국토부원자료'!$A:$T,ROW()+1,MATCH("번지",'04A_국토부원자료'!$A$4:$T$4,0)),""))</f>
        <v/>
      </c>
      <c r="D2518" s="48">
        <f>IF(B2518="","",IF(Q2518=1,'02_대상물건입력'!$B$8,IFERROR(INDEX('04A_국토부원자료'!$A:$T,ROW()+1,MATCH("단지명",'04A_국토부원자료'!$A$4:$T$4,0)),"")))</f>
        <v/>
      </c>
      <c r="E2518" s="172">
        <f>IFERROR(VALUE(SUBSTITUTE(INDEX('04A_국토부원자료'!$A:$T,ROW()+1,MATCH("전용면적(㎡)",'04A_국토부원자료'!$A$4:$T$4,0)),",","")),"")</f>
        <v/>
      </c>
      <c r="F25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18" s="51">
        <f>IFERROR(VALUE(SUBSTITUTE(INDEX('04A_국토부원자료'!$A:$T,ROW()+1,MATCH("거래금액(만원)",'04A_국토부원자료'!$A$4:$T$4,0)),",","")),"")</f>
        <v/>
      </c>
      <c r="H2518" s="174">
        <f>IF(G2518="","",G2518*10000)</f>
        <v/>
      </c>
      <c r="I2518" s="174">
        <f>IFERROR(IF(AND(H2518&gt;0,E2518&gt;0),H2518/E2518,""),"")</f>
        <v/>
      </c>
      <c r="J2518" s="152">
        <f>IFERROR(VALUE(SUBSTITUTE(INDEX('04A_국토부원자료'!$A:$T,ROW()+1,MATCH("층",'04A_국토부원자료'!$A$4:$T$4,0)),",","")),"")</f>
        <v/>
      </c>
      <c r="K2518" s="152">
        <f>IFERROR(VALUE(SUBSTITUTE(INDEX('04A_국토부원자료'!$A:$T,ROW()+1,MATCH("건축년도",'04A_국토부원자료'!$A$4:$T$4,0)),",","")),"")</f>
        <v/>
      </c>
      <c r="L2518" s="48">
        <f>IFERROR(INDEX('04A_국토부원자료'!$A:$T,ROW()+1,MATCH("도로명",'04A_국토부원자료'!$A$4:$T$4,0)),"")</f>
        <v/>
      </c>
      <c r="M2518" s="48">
        <f>IFERROR(INDEX('04A_국토부원자료'!$A:$T,ROW()+1,MATCH("거래유형",'04A_국토부원자료'!$A$4:$T$4,0)),"")</f>
        <v/>
      </c>
      <c r="N2518" s="152">
        <f>IF(B2518="","",IF('02_대상물건입력'!B5="",1,IF(ISNUMBER(SEARCH('02_대상물건입력'!B5,B2518)),1,0)))</f>
        <v/>
      </c>
      <c r="O2518" s="152">
        <f>IF(B2518="","",IF('02_대상물건입력'!B6="",1,IF(ISNUMBER(SEARCH('02_대상물건입력'!B6,B2518)),1,0)))</f>
        <v/>
      </c>
      <c r="P2518" s="152">
        <f>IF(L2518="","",IF('02_대상물건입력'!B15="",0,IF(ISNUMBER(SEARCH('02_대상물건입력'!B15,L2518)),1,0)))</f>
        <v/>
      </c>
      <c r="Q2518" s="152">
        <f>IF(OR(C2518="",L2518=""),0,IF(AND(TRIM(C2518)=TRIM(RIGHT(SUBSTITUTE(TRIM('02_대상물건입력'!$B$7)," ",REPT(" ",99)),99)),IF('02_대상물건입력'!B15="",TRUE(),ISNUMBER(SEARCH('02_대상물건입력'!B15,L2518)))),1,0))</f>
        <v/>
      </c>
      <c r="R2518" s="175">
        <f>IFERROR(ABS(E2518-'02_대상물건입력'!B11)/'02_대상물건입력'!B11,"")</f>
        <v/>
      </c>
      <c r="S2518" s="152">
        <f>IFERROR(ABS(J2518-'02_대상물건입력'!B10),"")</f>
        <v/>
      </c>
      <c r="T2518" s="152">
        <f>IFERROR(ABS('01_설정'!B4-F2518),"")</f>
        <v/>
      </c>
      <c r="U2518" s="152">
        <f>IFERROR(ABS(K2518-YEAR('02_대상물건입력'!B14)),"")</f>
        <v/>
      </c>
      <c r="V2518" s="152">
        <f>IF(B2518="","",IF(AND(E2518&gt;0,F2518&gt;0,H2518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2518=1,TRUE()),R2518&lt;='01_설정'!B5,S2518&lt;='01_설정'!B6,T2518&lt;='01_설정'!B7,U2518&lt;='01_설정'!B8),"Y",""))</f>
        <v/>
      </c>
      <c r="W2518" s="172">
        <f>IF(V2518&lt;&gt;"Y","",MAX(0,(1-R2518/'01_설정'!B5))*'01_설정'!B14+MAX(0,(1-S2518/'01_설정'!B6))*'01_설정'!B15+MAX(0,(1-T2518/'01_설정'!B7))*'01_설정'!B16+MAX(0,(1-U2518/'01_설정'!B8))*'01_설정'!B17+O2518*'01_설정'!B11+Q2518*'01_설정'!B12+P2518*'01_설정'!B13+IF(Z2518="",0,Z2518))</f>
        <v/>
      </c>
      <c r="X2518" s="152">
        <f>IF(W2518="","",1+COUNTIFS($W$4:$W$3003,"&gt;"&amp;W2518)+COUNTIFS($W$4:W2518,W2518)-1)</f>
        <v/>
      </c>
      <c r="Y2518" s="175">
        <f>IF(OR(I2518="",'02_대상물건입력'!B19="",'02_대상물건입력'!B19&lt;=0),"",ABS(I2518-'02_대상물건입력'!B19)/'02_대상물건입력'!B19)</f>
        <v/>
      </c>
      <c r="Z2518" s="172">
        <f>IF(OR(Y2518="",'01_설정'!B31="",'01_설정'!B31&lt;=0,'01_설정'!B32="",'01_설정'!B32&lt;=0),"",MAX(0,(1-Y2518/'01_설정'!B32))*'01_설정'!B31)</f>
        <v/>
      </c>
    </row>
    <row r="2519" ht="17.25" customHeight="1">
      <c r="A2519" s="152">
        <f>IF(INDEX('04A_국토부원자료'!$A:$A,ROW()+1)="","",ROW()-3)</f>
        <v/>
      </c>
      <c r="B2519" s="48">
        <f>IFERROR(INDEX('04A_국토부원자료'!$A:$T,ROW()+1,MATCH("시군구",'04A_국토부원자료'!$A$4:$T$4,0)),"")</f>
        <v/>
      </c>
      <c r="C2519" s="48">
        <f>IF(B2519="","",IFERROR(INDEX('04A_국토부원자료'!$A:$T,ROW()+1,MATCH("번지",'04A_국토부원자료'!$A$4:$T$4,0)),""))</f>
        <v/>
      </c>
      <c r="D2519" s="48">
        <f>IF(B2519="","",IF(Q2519=1,'02_대상물건입력'!$B$8,IFERROR(INDEX('04A_국토부원자료'!$A:$T,ROW()+1,MATCH("단지명",'04A_국토부원자료'!$A$4:$T$4,0)),"")))</f>
        <v/>
      </c>
      <c r="E2519" s="172">
        <f>IFERROR(VALUE(SUBSTITUTE(INDEX('04A_국토부원자료'!$A:$T,ROW()+1,MATCH("전용면적(㎡)",'04A_국토부원자료'!$A$4:$T$4,0)),",","")),"")</f>
        <v/>
      </c>
      <c r="F25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19" s="51">
        <f>IFERROR(VALUE(SUBSTITUTE(INDEX('04A_국토부원자료'!$A:$T,ROW()+1,MATCH("거래금액(만원)",'04A_국토부원자료'!$A$4:$T$4,0)),",","")),"")</f>
        <v/>
      </c>
      <c r="H2519" s="174">
        <f>IF(G2519="","",G2519*10000)</f>
        <v/>
      </c>
      <c r="I2519" s="174">
        <f>IFERROR(IF(AND(H2519&gt;0,E2519&gt;0),H2519/E2519,""),"")</f>
        <v/>
      </c>
      <c r="J2519" s="152">
        <f>IFERROR(VALUE(SUBSTITUTE(INDEX('04A_국토부원자료'!$A:$T,ROW()+1,MATCH("층",'04A_국토부원자료'!$A$4:$T$4,0)),",","")),"")</f>
        <v/>
      </c>
      <c r="K2519" s="152">
        <f>IFERROR(VALUE(SUBSTITUTE(INDEX('04A_국토부원자료'!$A:$T,ROW()+1,MATCH("건축년도",'04A_국토부원자료'!$A$4:$T$4,0)),",","")),"")</f>
        <v/>
      </c>
      <c r="L2519" s="48">
        <f>IFERROR(INDEX('04A_국토부원자료'!$A:$T,ROW()+1,MATCH("도로명",'04A_국토부원자료'!$A$4:$T$4,0)),"")</f>
        <v/>
      </c>
      <c r="M2519" s="48">
        <f>IFERROR(INDEX('04A_국토부원자료'!$A:$T,ROW()+1,MATCH("거래유형",'04A_국토부원자료'!$A$4:$T$4,0)),"")</f>
        <v/>
      </c>
      <c r="N2519" s="152">
        <f>IF(B2519="","",IF('02_대상물건입력'!B5="",1,IF(ISNUMBER(SEARCH('02_대상물건입력'!B5,B2519)),1,0)))</f>
        <v/>
      </c>
      <c r="O2519" s="152">
        <f>IF(B2519="","",IF('02_대상물건입력'!B6="",1,IF(ISNUMBER(SEARCH('02_대상물건입력'!B6,B2519)),1,0)))</f>
        <v/>
      </c>
      <c r="P2519" s="152">
        <f>IF(L2519="","",IF('02_대상물건입력'!B15="",0,IF(ISNUMBER(SEARCH('02_대상물건입력'!B15,L2519)),1,0)))</f>
        <v/>
      </c>
      <c r="Q2519" s="152">
        <f>IF(OR(C2519="",L2519=""),0,IF(AND(TRIM(C2519)=TRIM(RIGHT(SUBSTITUTE(TRIM('02_대상물건입력'!$B$7)," ",REPT(" ",99)),99)),IF('02_대상물건입력'!B15="",TRUE(),ISNUMBER(SEARCH('02_대상물건입력'!B15,L2519)))),1,0))</f>
        <v/>
      </c>
      <c r="R2519" s="175">
        <f>IFERROR(ABS(E2519-'02_대상물건입력'!B11)/'02_대상물건입력'!B11,"")</f>
        <v/>
      </c>
      <c r="S2519" s="152">
        <f>IFERROR(ABS(J2519-'02_대상물건입력'!B10),"")</f>
        <v/>
      </c>
      <c r="T2519" s="152">
        <f>IFERROR(ABS('01_설정'!B4-F2519),"")</f>
        <v/>
      </c>
      <c r="U2519" s="152">
        <f>IFERROR(ABS(K2519-YEAR('02_대상물건입력'!B14)),"")</f>
        <v/>
      </c>
      <c r="V2519" s="152">
        <f>IF(B2519="","",IF(AND(E2519&gt;0,F2519&gt;0,H2519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2519=1,TRUE()),R2519&lt;='01_설정'!B5,S2519&lt;='01_설정'!B6,T2519&lt;='01_설정'!B7,U2519&lt;='01_설정'!B8),"Y",""))</f>
        <v/>
      </c>
      <c r="W2519" s="172">
        <f>IF(V2519&lt;&gt;"Y","",MAX(0,(1-R2519/'01_설정'!B5))*'01_설정'!B14+MAX(0,(1-S2519/'01_설정'!B6))*'01_설정'!B15+MAX(0,(1-T2519/'01_설정'!B7))*'01_설정'!B16+MAX(0,(1-U2519/'01_설정'!B8))*'01_설정'!B17+O2519*'01_설정'!B11+Q2519*'01_설정'!B12+P2519*'01_설정'!B13+IF(Z2519="",0,Z2519))</f>
        <v/>
      </c>
      <c r="X2519" s="152">
        <f>IF(W2519="","",1+COUNTIFS($W$4:$W$3003,"&gt;"&amp;W2519)+COUNTIFS($W$4:W2519,W2519)-1)</f>
        <v/>
      </c>
      <c r="Y2519" s="175">
        <f>IF(OR(I2519="",'02_대상물건입력'!B19="",'02_대상물건입력'!B19&lt;=0),"",ABS(I2519-'02_대상물건입력'!B19)/'02_대상물건입력'!B19)</f>
        <v/>
      </c>
      <c r="Z2519" s="172">
        <f>IF(OR(Y2519="",'01_설정'!B31="",'01_설정'!B31&lt;=0,'01_설정'!B32="",'01_설정'!B32&lt;=0),"",MAX(0,(1-Y2519/'01_설정'!B32))*'01_설정'!B31)</f>
        <v/>
      </c>
    </row>
    <row r="2520" ht="17.25" customHeight="1">
      <c r="A2520" s="152">
        <f>IF(INDEX('04A_국토부원자료'!$A:$A,ROW()+1)="","",ROW()-3)</f>
        <v/>
      </c>
      <c r="B2520" s="48">
        <f>IFERROR(INDEX('04A_국토부원자료'!$A:$T,ROW()+1,MATCH("시군구",'04A_국토부원자료'!$A$4:$T$4,0)),"")</f>
        <v/>
      </c>
      <c r="C2520" s="48">
        <f>IF(B2520="","",IFERROR(INDEX('04A_국토부원자료'!$A:$T,ROW()+1,MATCH("번지",'04A_국토부원자료'!$A$4:$T$4,0)),""))</f>
        <v/>
      </c>
      <c r="D2520" s="48">
        <f>IF(B2520="","",IF(Q2520=1,'02_대상물건입력'!$B$8,IFERROR(INDEX('04A_국토부원자료'!$A:$T,ROW()+1,MATCH("단지명",'04A_국토부원자료'!$A$4:$T$4,0)),"")))</f>
        <v/>
      </c>
      <c r="E2520" s="172">
        <f>IFERROR(VALUE(SUBSTITUTE(INDEX('04A_국토부원자료'!$A:$T,ROW()+1,MATCH("전용면적(㎡)",'04A_국토부원자료'!$A$4:$T$4,0)),",","")),"")</f>
        <v/>
      </c>
      <c r="F25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20" s="51">
        <f>IFERROR(VALUE(SUBSTITUTE(INDEX('04A_국토부원자료'!$A:$T,ROW()+1,MATCH("거래금액(만원)",'04A_국토부원자료'!$A$4:$T$4,0)),",","")),"")</f>
        <v/>
      </c>
      <c r="H2520" s="174">
        <f>IF(G2520="","",G2520*10000)</f>
        <v/>
      </c>
      <c r="I2520" s="174">
        <f>IFERROR(IF(AND(H2520&gt;0,E2520&gt;0),H2520/E2520,""),"")</f>
        <v/>
      </c>
      <c r="J2520" s="152">
        <f>IFERROR(VALUE(SUBSTITUTE(INDEX('04A_국토부원자료'!$A:$T,ROW()+1,MATCH("층",'04A_국토부원자료'!$A$4:$T$4,0)),",","")),"")</f>
        <v/>
      </c>
      <c r="K2520" s="152">
        <f>IFERROR(VALUE(SUBSTITUTE(INDEX('04A_국토부원자료'!$A:$T,ROW()+1,MATCH("건축년도",'04A_국토부원자료'!$A$4:$T$4,0)),",","")),"")</f>
        <v/>
      </c>
      <c r="L2520" s="48">
        <f>IFERROR(INDEX('04A_국토부원자료'!$A:$T,ROW()+1,MATCH("도로명",'04A_국토부원자료'!$A$4:$T$4,0)),"")</f>
        <v/>
      </c>
      <c r="M2520" s="48">
        <f>IFERROR(INDEX('04A_국토부원자료'!$A:$T,ROW()+1,MATCH("거래유형",'04A_국토부원자료'!$A$4:$T$4,0)),"")</f>
        <v/>
      </c>
      <c r="N2520" s="152">
        <f>IF(B2520="","",IF('02_대상물건입력'!B5="",1,IF(ISNUMBER(SEARCH('02_대상물건입력'!B5,B2520)),1,0)))</f>
        <v/>
      </c>
      <c r="O2520" s="152">
        <f>IF(B2520="","",IF('02_대상물건입력'!B6="",1,IF(ISNUMBER(SEARCH('02_대상물건입력'!B6,B2520)),1,0)))</f>
        <v/>
      </c>
      <c r="P2520" s="152">
        <f>IF(L2520="","",IF('02_대상물건입력'!B15="",0,IF(ISNUMBER(SEARCH('02_대상물건입력'!B15,L2520)),1,0)))</f>
        <v/>
      </c>
      <c r="Q2520" s="152">
        <f>IF(OR(C2520="",L2520=""),0,IF(AND(TRIM(C2520)=TRIM(RIGHT(SUBSTITUTE(TRIM('02_대상물건입력'!$B$7)," ",REPT(" ",99)),99)),IF('02_대상물건입력'!B15="",TRUE(),ISNUMBER(SEARCH('02_대상물건입력'!B15,L2520)))),1,0))</f>
        <v/>
      </c>
      <c r="R2520" s="175">
        <f>IFERROR(ABS(E2520-'02_대상물건입력'!B11)/'02_대상물건입력'!B11,"")</f>
        <v/>
      </c>
      <c r="S2520" s="152">
        <f>IFERROR(ABS(J2520-'02_대상물건입력'!B10),"")</f>
        <v/>
      </c>
      <c r="T2520" s="152">
        <f>IFERROR(ABS('01_설정'!B4-F2520),"")</f>
        <v/>
      </c>
      <c r="U2520" s="152">
        <f>IFERROR(ABS(K2520-YEAR('02_대상물건입력'!B14)),"")</f>
        <v/>
      </c>
      <c r="V2520" s="152">
        <f>IF(B2520="","",IF(AND(E2520&gt;0,F2520&gt;0,H2520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2520=1,TRUE()),R2520&lt;='01_설정'!B5,S2520&lt;='01_설정'!B6,T2520&lt;='01_설정'!B7,U2520&lt;='01_설정'!B8),"Y",""))</f>
        <v/>
      </c>
      <c r="W2520" s="172">
        <f>IF(V2520&lt;&gt;"Y","",MAX(0,(1-R2520/'01_설정'!B5))*'01_설정'!B14+MAX(0,(1-S2520/'01_설정'!B6))*'01_설정'!B15+MAX(0,(1-T2520/'01_설정'!B7))*'01_설정'!B16+MAX(0,(1-U2520/'01_설정'!B8))*'01_설정'!B17+O2520*'01_설정'!B11+Q2520*'01_설정'!B12+P2520*'01_설정'!B13+IF(Z2520="",0,Z2520))</f>
        <v/>
      </c>
      <c r="X2520" s="152">
        <f>IF(W2520="","",1+COUNTIFS($W$4:$W$3003,"&gt;"&amp;W2520)+COUNTIFS($W$4:W2520,W2520)-1)</f>
        <v/>
      </c>
      <c r="Y2520" s="175">
        <f>IF(OR(I2520="",'02_대상물건입력'!B19="",'02_대상물건입력'!B19&lt;=0),"",ABS(I2520-'02_대상물건입력'!B19)/'02_대상물건입력'!B19)</f>
        <v/>
      </c>
      <c r="Z2520" s="172">
        <f>IF(OR(Y2520="",'01_설정'!B31="",'01_설정'!B31&lt;=0,'01_설정'!B32="",'01_설정'!B32&lt;=0),"",MAX(0,(1-Y2520/'01_설정'!B32))*'01_설정'!B31)</f>
        <v/>
      </c>
    </row>
    <row r="2521" ht="17.25" customHeight="1">
      <c r="A2521" s="152">
        <f>IF(INDEX('04A_국토부원자료'!$A:$A,ROW()+1)="","",ROW()-3)</f>
        <v/>
      </c>
      <c r="B2521" s="48">
        <f>IFERROR(INDEX('04A_국토부원자료'!$A:$T,ROW()+1,MATCH("시군구",'04A_국토부원자료'!$A$4:$T$4,0)),"")</f>
        <v/>
      </c>
      <c r="C2521" s="48">
        <f>IF(B2521="","",IFERROR(INDEX('04A_국토부원자료'!$A:$T,ROW()+1,MATCH("번지",'04A_국토부원자료'!$A$4:$T$4,0)),""))</f>
        <v/>
      </c>
      <c r="D2521" s="48">
        <f>IF(B2521="","",IF(Q2521=1,'02_대상물건입력'!$B$8,IFERROR(INDEX('04A_국토부원자료'!$A:$T,ROW()+1,MATCH("단지명",'04A_국토부원자료'!$A$4:$T$4,0)),"")))</f>
        <v/>
      </c>
      <c r="E2521" s="172">
        <f>IFERROR(VALUE(SUBSTITUTE(INDEX('04A_국토부원자료'!$A:$T,ROW()+1,MATCH("전용면적(㎡)",'04A_국토부원자료'!$A$4:$T$4,0)),",","")),"")</f>
        <v/>
      </c>
      <c r="F25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21" s="51">
        <f>IFERROR(VALUE(SUBSTITUTE(INDEX('04A_국토부원자료'!$A:$T,ROW()+1,MATCH("거래금액(만원)",'04A_국토부원자료'!$A$4:$T$4,0)),",","")),"")</f>
        <v/>
      </c>
      <c r="H2521" s="174">
        <f>IF(G2521="","",G2521*10000)</f>
        <v/>
      </c>
      <c r="I2521" s="174">
        <f>IFERROR(IF(AND(H2521&gt;0,E2521&gt;0),H2521/E2521,""),"")</f>
        <v/>
      </c>
      <c r="J2521" s="152">
        <f>IFERROR(VALUE(SUBSTITUTE(INDEX('04A_국토부원자료'!$A:$T,ROW()+1,MATCH("층",'04A_국토부원자료'!$A$4:$T$4,0)),",","")),"")</f>
        <v/>
      </c>
      <c r="K2521" s="152">
        <f>IFERROR(VALUE(SUBSTITUTE(INDEX('04A_국토부원자료'!$A:$T,ROW()+1,MATCH("건축년도",'04A_국토부원자료'!$A$4:$T$4,0)),",","")),"")</f>
        <v/>
      </c>
      <c r="L2521" s="48">
        <f>IFERROR(INDEX('04A_국토부원자료'!$A:$T,ROW()+1,MATCH("도로명",'04A_국토부원자료'!$A$4:$T$4,0)),"")</f>
        <v/>
      </c>
      <c r="M2521" s="48">
        <f>IFERROR(INDEX('04A_국토부원자료'!$A:$T,ROW()+1,MATCH("거래유형",'04A_국토부원자료'!$A$4:$T$4,0)),"")</f>
        <v/>
      </c>
      <c r="N2521" s="152">
        <f>IF(B2521="","",IF('02_대상물건입력'!B5="",1,IF(ISNUMBER(SEARCH('02_대상물건입력'!B5,B2521)),1,0)))</f>
        <v/>
      </c>
      <c r="O2521" s="152">
        <f>IF(B2521="","",IF('02_대상물건입력'!B6="",1,IF(ISNUMBER(SEARCH('02_대상물건입력'!B6,B2521)),1,0)))</f>
        <v/>
      </c>
      <c r="P2521" s="152">
        <f>IF(L2521="","",IF('02_대상물건입력'!B15="",0,IF(ISNUMBER(SEARCH('02_대상물건입력'!B15,L2521)),1,0)))</f>
        <v/>
      </c>
      <c r="Q2521" s="152">
        <f>IF(OR(C2521="",L2521=""),0,IF(AND(TRIM(C2521)=TRIM(RIGHT(SUBSTITUTE(TRIM('02_대상물건입력'!$B$7)," ",REPT(" ",99)),99)),IF('02_대상물건입력'!B15="",TRUE(),ISNUMBER(SEARCH('02_대상물건입력'!B15,L2521)))),1,0))</f>
        <v/>
      </c>
      <c r="R2521" s="175">
        <f>IFERROR(ABS(E2521-'02_대상물건입력'!B11)/'02_대상물건입력'!B11,"")</f>
        <v/>
      </c>
      <c r="S2521" s="152">
        <f>IFERROR(ABS(J2521-'02_대상물건입력'!B10),"")</f>
        <v/>
      </c>
      <c r="T2521" s="152">
        <f>IFERROR(ABS('01_설정'!B4-F2521),"")</f>
        <v/>
      </c>
      <c r="U2521" s="152">
        <f>IFERROR(ABS(K2521-YEAR('02_대상물건입력'!B14)),"")</f>
        <v/>
      </c>
      <c r="V2521" s="152">
        <f>IF(B2521="","",IF(AND(E2521&gt;0,F2521&gt;0,H2521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2521=1,TRUE()),R2521&lt;='01_설정'!B5,S2521&lt;='01_설정'!B6,T2521&lt;='01_설정'!B7,U2521&lt;='01_설정'!B8),"Y",""))</f>
        <v/>
      </c>
      <c r="W2521" s="172">
        <f>IF(V2521&lt;&gt;"Y","",MAX(0,(1-R2521/'01_설정'!B5))*'01_설정'!B14+MAX(0,(1-S2521/'01_설정'!B6))*'01_설정'!B15+MAX(0,(1-T2521/'01_설정'!B7))*'01_설정'!B16+MAX(0,(1-U2521/'01_설정'!B8))*'01_설정'!B17+O2521*'01_설정'!B11+Q2521*'01_설정'!B12+P2521*'01_설정'!B13+IF(Z2521="",0,Z2521))</f>
        <v/>
      </c>
      <c r="X2521" s="152">
        <f>IF(W2521="","",1+COUNTIFS($W$4:$W$3003,"&gt;"&amp;W2521)+COUNTIFS($W$4:W2521,W2521)-1)</f>
        <v/>
      </c>
      <c r="Y2521" s="175">
        <f>IF(OR(I2521="",'02_대상물건입력'!B19="",'02_대상물건입력'!B19&lt;=0),"",ABS(I2521-'02_대상물건입력'!B19)/'02_대상물건입력'!B19)</f>
        <v/>
      </c>
      <c r="Z2521" s="172">
        <f>IF(OR(Y2521="",'01_설정'!B31="",'01_설정'!B31&lt;=0,'01_설정'!B32="",'01_설정'!B32&lt;=0),"",MAX(0,(1-Y2521/'01_설정'!B32))*'01_설정'!B31)</f>
        <v/>
      </c>
    </row>
    <row r="2522" ht="17.25" customHeight="1">
      <c r="A2522" s="152">
        <f>IF(INDEX('04A_국토부원자료'!$A:$A,ROW()+1)="","",ROW()-3)</f>
        <v/>
      </c>
      <c r="B2522" s="48">
        <f>IFERROR(INDEX('04A_국토부원자료'!$A:$T,ROW()+1,MATCH("시군구",'04A_국토부원자료'!$A$4:$T$4,0)),"")</f>
        <v/>
      </c>
      <c r="C2522" s="48">
        <f>IF(B2522="","",IFERROR(INDEX('04A_국토부원자료'!$A:$T,ROW()+1,MATCH("번지",'04A_국토부원자료'!$A$4:$T$4,0)),""))</f>
        <v/>
      </c>
      <c r="D2522" s="48">
        <f>IF(B2522="","",IF(Q2522=1,'02_대상물건입력'!$B$8,IFERROR(INDEX('04A_국토부원자료'!$A:$T,ROW()+1,MATCH("단지명",'04A_국토부원자료'!$A$4:$T$4,0)),"")))</f>
        <v/>
      </c>
      <c r="E2522" s="172">
        <f>IFERROR(VALUE(SUBSTITUTE(INDEX('04A_국토부원자료'!$A:$T,ROW()+1,MATCH("전용면적(㎡)",'04A_국토부원자료'!$A$4:$T$4,0)),",","")),"")</f>
        <v/>
      </c>
      <c r="F25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22" s="51">
        <f>IFERROR(VALUE(SUBSTITUTE(INDEX('04A_국토부원자료'!$A:$T,ROW()+1,MATCH("거래금액(만원)",'04A_국토부원자료'!$A$4:$T$4,0)),",","")),"")</f>
        <v/>
      </c>
      <c r="H2522" s="174">
        <f>IF(G2522="","",G2522*10000)</f>
        <v/>
      </c>
      <c r="I2522" s="174">
        <f>IFERROR(IF(AND(H2522&gt;0,E2522&gt;0),H2522/E2522,""),"")</f>
        <v/>
      </c>
      <c r="J2522" s="152">
        <f>IFERROR(VALUE(SUBSTITUTE(INDEX('04A_국토부원자료'!$A:$T,ROW()+1,MATCH("층",'04A_국토부원자료'!$A$4:$T$4,0)),",","")),"")</f>
        <v/>
      </c>
      <c r="K2522" s="152">
        <f>IFERROR(VALUE(SUBSTITUTE(INDEX('04A_국토부원자료'!$A:$T,ROW()+1,MATCH("건축년도",'04A_국토부원자료'!$A$4:$T$4,0)),",","")),"")</f>
        <v/>
      </c>
      <c r="L2522" s="48">
        <f>IFERROR(INDEX('04A_국토부원자료'!$A:$T,ROW()+1,MATCH("도로명",'04A_국토부원자료'!$A$4:$T$4,0)),"")</f>
        <v/>
      </c>
      <c r="M2522" s="48">
        <f>IFERROR(INDEX('04A_국토부원자료'!$A:$T,ROW()+1,MATCH("거래유형",'04A_국토부원자료'!$A$4:$T$4,0)),"")</f>
        <v/>
      </c>
      <c r="N2522" s="152">
        <f>IF(B2522="","",IF('02_대상물건입력'!B5="",1,IF(ISNUMBER(SEARCH('02_대상물건입력'!B5,B2522)),1,0)))</f>
        <v/>
      </c>
      <c r="O2522" s="152">
        <f>IF(B2522="","",IF('02_대상물건입력'!B6="",1,IF(ISNUMBER(SEARCH('02_대상물건입력'!B6,B2522)),1,0)))</f>
        <v/>
      </c>
      <c r="P2522" s="152">
        <f>IF(L2522="","",IF('02_대상물건입력'!B15="",0,IF(ISNUMBER(SEARCH('02_대상물건입력'!B15,L2522)),1,0)))</f>
        <v/>
      </c>
      <c r="Q2522" s="152">
        <f>IF(OR(C2522="",L2522=""),0,IF(AND(TRIM(C2522)=TRIM(RIGHT(SUBSTITUTE(TRIM('02_대상물건입력'!$B$7)," ",REPT(" ",99)),99)),IF('02_대상물건입력'!B15="",TRUE(),ISNUMBER(SEARCH('02_대상물건입력'!B15,L2522)))),1,0))</f>
        <v/>
      </c>
      <c r="R2522" s="175">
        <f>IFERROR(ABS(E2522-'02_대상물건입력'!B11)/'02_대상물건입력'!B11,"")</f>
        <v/>
      </c>
      <c r="S2522" s="152">
        <f>IFERROR(ABS(J2522-'02_대상물건입력'!B10),"")</f>
        <v/>
      </c>
      <c r="T2522" s="152">
        <f>IFERROR(ABS('01_설정'!B4-F2522),"")</f>
        <v/>
      </c>
      <c r="U2522" s="152">
        <f>IFERROR(ABS(K2522-YEAR('02_대상물건입력'!B14)),"")</f>
        <v/>
      </c>
      <c r="V2522" s="152">
        <f>IF(B2522="","",IF(AND(E2522&gt;0,F2522&gt;0,H2522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2522=1,TRUE()),R2522&lt;='01_설정'!B5,S2522&lt;='01_설정'!B6,T2522&lt;='01_설정'!B7,U2522&lt;='01_설정'!B8),"Y",""))</f>
        <v/>
      </c>
      <c r="W2522" s="172">
        <f>IF(V2522&lt;&gt;"Y","",MAX(0,(1-R2522/'01_설정'!B5))*'01_설정'!B14+MAX(0,(1-S2522/'01_설정'!B6))*'01_설정'!B15+MAX(0,(1-T2522/'01_설정'!B7))*'01_설정'!B16+MAX(0,(1-U2522/'01_설정'!B8))*'01_설정'!B17+O2522*'01_설정'!B11+Q2522*'01_설정'!B12+P2522*'01_설정'!B13+IF(Z2522="",0,Z2522))</f>
        <v/>
      </c>
      <c r="X2522" s="152">
        <f>IF(W2522="","",1+COUNTIFS($W$4:$W$3003,"&gt;"&amp;W2522)+COUNTIFS($W$4:W2522,W2522)-1)</f>
        <v/>
      </c>
      <c r="Y2522" s="175">
        <f>IF(OR(I2522="",'02_대상물건입력'!B19="",'02_대상물건입력'!B19&lt;=0),"",ABS(I2522-'02_대상물건입력'!B19)/'02_대상물건입력'!B19)</f>
        <v/>
      </c>
      <c r="Z2522" s="172">
        <f>IF(OR(Y2522="",'01_설정'!B31="",'01_설정'!B31&lt;=0,'01_설정'!B32="",'01_설정'!B32&lt;=0),"",MAX(0,(1-Y2522/'01_설정'!B32))*'01_설정'!B31)</f>
        <v/>
      </c>
    </row>
    <row r="2523" ht="17.25" customHeight="1">
      <c r="A2523" s="152">
        <f>IF(INDEX('04A_국토부원자료'!$A:$A,ROW()+1)="","",ROW()-3)</f>
        <v/>
      </c>
      <c r="B2523" s="48">
        <f>IFERROR(INDEX('04A_국토부원자료'!$A:$T,ROW()+1,MATCH("시군구",'04A_국토부원자료'!$A$4:$T$4,0)),"")</f>
        <v/>
      </c>
      <c r="C2523" s="48">
        <f>IF(B2523="","",IFERROR(INDEX('04A_국토부원자료'!$A:$T,ROW()+1,MATCH("번지",'04A_국토부원자료'!$A$4:$T$4,0)),""))</f>
        <v/>
      </c>
      <c r="D2523" s="48">
        <f>IF(B2523="","",IF(Q2523=1,'02_대상물건입력'!$B$8,IFERROR(INDEX('04A_국토부원자료'!$A:$T,ROW()+1,MATCH("단지명",'04A_국토부원자료'!$A$4:$T$4,0)),"")))</f>
        <v/>
      </c>
      <c r="E2523" s="172">
        <f>IFERROR(VALUE(SUBSTITUTE(INDEX('04A_국토부원자료'!$A:$T,ROW()+1,MATCH("전용면적(㎡)",'04A_국토부원자료'!$A$4:$T$4,0)),",","")),"")</f>
        <v/>
      </c>
      <c r="F25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23" s="51">
        <f>IFERROR(VALUE(SUBSTITUTE(INDEX('04A_국토부원자료'!$A:$T,ROW()+1,MATCH("거래금액(만원)",'04A_국토부원자료'!$A$4:$T$4,0)),",","")),"")</f>
        <v/>
      </c>
      <c r="H2523" s="174">
        <f>IF(G2523="","",G2523*10000)</f>
        <v/>
      </c>
      <c r="I2523" s="174">
        <f>IFERROR(IF(AND(H2523&gt;0,E2523&gt;0),H2523/E2523,""),"")</f>
        <v/>
      </c>
      <c r="J2523" s="152">
        <f>IFERROR(VALUE(SUBSTITUTE(INDEX('04A_국토부원자료'!$A:$T,ROW()+1,MATCH("층",'04A_국토부원자료'!$A$4:$T$4,0)),",","")),"")</f>
        <v/>
      </c>
      <c r="K2523" s="152">
        <f>IFERROR(VALUE(SUBSTITUTE(INDEX('04A_국토부원자료'!$A:$T,ROW()+1,MATCH("건축년도",'04A_국토부원자료'!$A$4:$T$4,0)),",","")),"")</f>
        <v/>
      </c>
      <c r="L2523" s="48">
        <f>IFERROR(INDEX('04A_국토부원자료'!$A:$T,ROW()+1,MATCH("도로명",'04A_국토부원자료'!$A$4:$T$4,0)),"")</f>
        <v/>
      </c>
      <c r="M2523" s="48">
        <f>IFERROR(INDEX('04A_국토부원자료'!$A:$T,ROW()+1,MATCH("거래유형",'04A_국토부원자료'!$A$4:$T$4,0)),"")</f>
        <v/>
      </c>
      <c r="N2523" s="152">
        <f>IF(B2523="","",IF('02_대상물건입력'!B5="",1,IF(ISNUMBER(SEARCH('02_대상물건입력'!B5,B2523)),1,0)))</f>
        <v/>
      </c>
      <c r="O2523" s="152">
        <f>IF(B2523="","",IF('02_대상물건입력'!B6="",1,IF(ISNUMBER(SEARCH('02_대상물건입력'!B6,B2523)),1,0)))</f>
        <v/>
      </c>
      <c r="P2523" s="152">
        <f>IF(L2523="","",IF('02_대상물건입력'!B15="",0,IF(ISNUMBER(SEARCH('02_대상물건입력'!B15,L2523)),1,0)))</f>
        <v/>
      </c>
      <c r="Q2523" s="152">
        <f>IF(OR(C2523="",L2523=""),0,IF(AND(TRIM(C2523)=TRIM(RIGHT(SUBSTITUTE(TRIM('02_대상물건입력'!$B$7)," ",REPT(" ",99)),99)),IF('02_대상물건입력'!B15="",TRUE(),ISNUMBER(SEARCH('02_대상물건입력'!B15,L2523)))),1,0))</f>
        <v/>
      </c>
      <c r="R2523" s="175">
        <f>IFERROR(ABS(E2523-'02_대상물건입력'!B11)/'02_대상물건입력'!B11,"")</f>
        <v/>
      </c>
      <c r="S2523" s="152">
        <f>IFERROR(ABS(J2523-'02_대상물건입력'!B10),"")</f>
        <v/>
      </c>
      <c r="T2523" s="152">
        <f>IFERROR(ABS('01_설정'!B4-F2523),"")</f>
        <v/>
      </c>
      <c r="U2523" s="152">
        <f>IFERROR(ABS(K2523-YEAR('02_대상물건입력'!B14)),"")</f>
        <v/>
      </c>
      <c r="V2523" s="152">
        <f>IF(B2523="","",IF(AND(E2523&gt;0,F2523&gt;0,H2523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2523=1,TRUE()),R2523&lt;='01_설정'!B5,S2523&lt;='01_설정'!B6,T2523&lt;='01_설정'!B7,U2523&lt;='01_설정'!B8),"Y",""))</f>
        <v/>
      </c>
      <c r="W2523" s="172">
        <f>IF(V2523&lt;&gt;"Y","",MAX(0,(1-R2523/'01_설정'!B5))*'01_설정'!B14+MAX(0,(1-S2523/'01_설정'!B6))*'01_설정'!B15+MAX(0,(1-T2523/'01_설정'!B7))*'01_설정'!B16+MAX(0,(1-U2523/'01_설정'!B8))*'01_설정'!B17+O2523*'01_설정'!B11+Q2523*'01_설정'!B12+P2523*'01_설정'!B13+IF(Z2523="",0,Z2523))</f>
        <v/>
      </c>
      <c r="X2523" s="152">
        <f>IF(W2523="","",1+COUNTIFS($W$4:$W$3003,"&gt;"&amp;W2523)+COUNTIFS($W$4:W2523,W2523)-1)</f>
        <v/>
      </c>
      <c r="Y2523" s="175">
        <f>IF(OR(I2523="",'02_대상물건입력'!B19="",'02_대상물건입력'!B19&lt;=0),"",ABS(I2523-'02_대상물건입력'!B19)/'02_대상물건입력'!B19)</f>
        <v/>
      </c>
      <c r="Z2523" s="172">
        <f>IF(OR(Y2523="",'01_설정'!B31="",'01_설정'!B31&lt;=0,'01_설정'!B32="",'01_설정'!B32&lt;=0),"",MAX(0,(1-Y2523/'01_설정'!B32))*'01_설정'!B31)</f>
        <v/>
      </c>
    </row>
    <row r="2524" ht="17.25" customHeight="1">
      <c r="A2524" s="152">
        <f>IF(INDEX('04A_국토부원자료'!$A:$A,ROW()+1)="","",ROW()-3)</f>
        <v/>
      </c>
      <c r="B2524" s="48">
        <f>IFERROR(INDEX('04A_국토부원자료'!$A:$T,ROW()+1,MATCH("시군구",'04A_국토부원자료'!$A$4:$T$4,0)),"")</f>
        <v/>
      </c>
      <c r="C2524" s="48">
        <f>IF(B2524="","",IFERROR(INDEX('04A_국토부원자료'!$A:$T,ROW()+1,MATCH("번지",'04A_국토부원자료'!$A$4:$T$4,0)),""))</f>
        <v/>
      </c>
      <c r="D2524" s="48">
        <f>IF(B2524="","",IF(Q2524=1,'02_대상물건입력'!$B$8,IFERROR(INDEX('04A_국토부원자료'!$A:$T,ROW()+1,MATCH("단지명",'04A_국토부원자료'!$A$4:$T$4,0)),"")))</f>
        <v/>
      </c>
      <c r="E2524" s="172">
        <f>IFERROR(VALUE(SUBSTITUTE(INDEX('04A_국토부원자료'!$A:$T,ROW()+1,MATCH("전용면적(㎡)",'04A_국토부원자료'!$A$4:$T$4,0)),",","")),"")</f>
        <v/>
      </c>
      <c r="F25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24" s="51">
        <f>IFERROR(VALUE(SUBSTITUTE(INDEX('04A_국토부원자료'!$A:$T,ROW()+1,MATCH("거래금액(만원)",'04A_국토부원자료'!$A$4:$T$4,0)),",","")),"")</f>
        <v/>
      </c>
      <c r="H2524" s="174">
        <f>IF(G2524="","",G2524*10000)</f>
        <v/>
      </c>
      <c r="I2524" s="174">
        <f>IFERROR(IF(AND(H2524&gt;0,E2524&gt;0),H2524/E2524,""),"")</f>
        <v/>
      </c>
      <c r="J2524" s="152">
        <f>IFERROR(VALUE(SUBSTITUTE(INDEX('04A_국토부원자료'!$A:$T,ROW()+1,MATCH("층",'04A_국토부원자료'!$A$4:$T$4,0)),",","")),"")</f>
        <v/>
      </c>
      <c r="K2524" s="152">
        <f>IFERROR(VALUE(SUBSTITUTE(INDEX('04A_국토부원자료'!$A:$T,ROW()+1,MATCH("건축년도",'04A_국토부원자료'!$A$4:$T$4,0)),",","")),"")</f>
        <v/>
      </c>
      <c r="L2524" s="48">
        <f>IFERROR(INDEX('04A_국토부원자료'!$A:$T,ROW()+1,MATCH("도로명",'04A_국토부원자료'!$A$4:$T$4,0)),"")</f>
        <v/>
      </c>
      <c r="M2524" s="48">
        <f>IFERROR(INDEX('04A_국토부원자료'!$A:$T,ROW()+1,MATCH("거래유형",'04A_국토부원자료'!$A$4:$T$4,0)),"")</f>
        <v/>
      </c>
      <c r="N2524" s="152">
        <f>IF(B2524="","",IF('02_대상물건입력'!B5="",1,IF(ISNUMBER(SEARCH('02_대상물건입력'!B5,B2524)),1,0)))</f>
        <v/>
      </c>
      <c r="O2524" s="152">
        <f>IF(B2524="","",IF('02_대상물건입력'!B6="",1,IF(ISNUMBER(SEARCH('02_대상물건입력'!B6,B2524)),1,0)))</f>
        <v/>
      </c>
      <c r="P2524" s="152">
        <f>IF(L2524="","",IF('02_대상물건입력'!B15="",0,IF(ISNUMBER(SEARCH('02_대상물건입력'!B15,L2524)),1,0)))</f>
        <v/>
      </c>
      <c r="Q2524" s="152">
        <f>IF(OR(C2524="",L2524=""),0,IF(AND(TRIM(C2524)=TRIM(RIGHT(SUBSTITUTE(TRIM('02_대상물건입력'!$B$7)," ",REPT(" ",99)),99)),IF('02_대상물건입력'!B15="",TRUE(),ISNUMBER(SEARCH('02_대상물건입력'!B15,L2524)))),1,0))</f>
        <v/>
      </c>
      <c r="R2524" s="175">
        <f>IFERROR(ABS(E2524-'02_대상물건입력'!B11)/'02_대상물건입력'!B11,"")</f>
        <v/>
      </c>
      <c r="S2524" s="152">
        <f>IFERROR(ABS(J2524-'02_대상물건입력'!B10),"")</f>
        <v/>
      </c>
      <c r="T2524" s="152">
        <f>IFERROR(ABS('01_설정'!B4-F2524),"")</f>
        <v/>
      </c>
      <c r="U2524" s="152">
        <f>IFERROR(ABS(K2524-YEAR('02_대상물건입력'!B14)),"")</f>
        <v/>
      </c>
      <c r="V2524" s="152">
        <f>IF(B2524="","",IF(AND(E2524&gt;0,F2524&gt;0,H2524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2524=1,TRUE()),R2524&lt;='01_설정'!B5,S2524&lt;='01_설정'!B6,T2524&lt;='01_설정'!B7,U2524&lt;='01_설정'!B8),"Y",""))</f>
        <v/>
      </c>
      <c r="W2524" s="172">
        <f>IF(V2524&lt;&gt;"Y","",MAX(0,(1-R2524/'01_설정'!B5))*'01_설정'!B14+MAX(0,(1-S2524/'01_설정'!B6))*'01_설정'!B15+MAX(0,(1-T2524/'01_설정'!B7))*'01_설정'!B16+MAX(0,(1-U2524/'01_설정'!B8))*'01_설정'!B17+O2524*'01_설정'!B11+Q2524*'01_설정'!B12+P2524*'01_설정'!B13+IF(Z2524="",0,Z2524))</f>
        <v/>
      </c>
      <c r="X2524" s="152">
        <f>IF(W2524="","",1+COUNTIFS($W$4:$W$3003,"&gt;"&amp;W2524)+COUNTIFS($W$4:W2524,W2524)-1)</f>
        <v/>
      </c>
      <c r="Y2524" s="175">
        <f>IF(OR(I2524="",'02_대상물건입력'!B19="",'02_대상물건입력'!B19&lt;=0),"",ABS(I2524-'02_대상물건입력'!B19)/'02_대상물건입력'!B19)</f>
        <v/>
      </c>
      <c r="Z2524" s="172">
        <f>IF(OR(Y2524="",'01_설정'!B31="",'01_설정'!B31&lt;=0,'01_설정'!B32="",'01_설정'!B32&lt;=0),"",MAX(0,(1-Y2524/'01_설정'!B32))*'01_설정'!B31)</f>
        <v/>
      </c>
    </row>
    <row r="2525" ht="17.25" customHeight="1">
      <c r="A2525" s="152">
        <f>IF(INDEX('04A_국토부원자료'!$A:$A,ROW()+1)="","",ROW()-3)</f>
        <v/>
      </c>
      <c r="B2525" s="48">
        <f>IFERROR(INDEX('04A_국토부원자료'!$A:$T,ROW()+1,MATCH("시군구",'04A_국토부원자료'!$A$4:$T$4,0)),"")</f>
        <v/>
      </c>
      <c r="C2525" s="48">
        <f>IF(B2525="","",IFERROR(INDEX('04A_국토부원자료'!$A:$T,ROW()+1,MATCH("번지",'04A_국토부원자료'!$A$4:$T$4,0)),""))</f>
        <v/>
      </c>
      <c r="D2525" s="48">
        <f>IF(B2525="","",IF(Q2525=1,'02_대상물건입력'!$B$8,IFERROR(INDEX('04A_국토부원자료'!$A:$T,ROW()+1,MATCH("단지명",'04A_국토부원자료'!$A$4:$T$4,0)),"")))</f>
        <v/>
      </c>
      <c r="E2525" s="172">
        <f>IFERROR(VALUE(SUBSTITUTE(INDEX('04A_국토부원자료'!$A:$T,ROW()+1,MATCH("전용면적(㎡)",'04A_국토부원자료'!$A$4:$T$4,0)),",","")),"")</f>
        <v/>
      </c>
      <c r="F25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25" s="51">
        <f>IFERROR(VALUE(SUBSTITUTE(INDEX('04A_국토부원자료'!$A:$T,ROW()+1,MATCH("거래금액(만원)",'04A_국토부원자료'!$A$4:$T$4,0)),",","")),"")</f>
        <v/>
      </c>
      <c r="H2525" s="174">
        <f>IF(G2525="","",G2525*10000)</f>
        <v/>
      </c>
      <c r="I2525" s="174">
        <f>IFERROR(IF(AND(H2525&gt;0,E2525&gt;0),H2525/E2525,""),"")</f>
        <v/>
      </c>
      <c r="J2525" s="152">
        <f>IFERROR(VALUE(SUBSTITUTE(INDEX('04A_국토부원자료'!$A:$T,ROW()+1,MATCH("층",'04A_국토부원자료'!$A$4:$T$4,0)),",","")),"")</f>
        <v/>
      </c>
      <c r="K2525" s="152">
        <f>IFERROR(VALUE(SUBSTITUTE(INDEX('04A_국토부원자료'!$A:$T,ROW()+1,MATCH("건축년도",'04A_국토부원자료'!$A$4:$T$4,0)),",","")),"")</f>
        <v/>
      </c>
      <c r="L2525" s="48">
        <f>IFERROR(INDEX('04A_국토부원자료'!$A:$T,ROW()+1,MATCH("도로명",'04A_국토부원자료'!$A$4:$T$4,0)),"")</f>
        <v/>
      </c>
      <c r="M2525" s="48">
        <f>IFERROR(INDEX('04A_국토부원자료'!$A:$T,ROW()+1,MATCH("거래유형",'04A_국토부원자료'!$A$4:$T$4,0)),"")</f>
        <v/>
      </c>
      <c r="N2525" s="152">
        <f>IF(B2525="","",IF('02_대상물건입력'!B5="",1,IF(ISNUMBER(SEARCH('02_대상물건입력'!B5,B2525)),1,0)))</f>
        <v/>
      </c>
      <c r="O2525" s="152">
        <f>IF(B2525="","",IF('02_대상물건입력'!B6="",1,IF(ISNUMBER(SEARCH('02_대상물건입력'!B6,B2525)),1,0)))</f>
        <v/>
      </c>
      <c r="P2525" s="152">
        <f>IF(L2525="","",IF('02_대상물건입력'!B15="",0,IF(ISNUMBER(SEARCH('02_대상물건입력'!B15,L2525)),1,0)))</f>
        <v/>
      </c>
      <c r="Q2525" s="152">
        <f>IF(OR(C2525="",L2525=""),0,IF(AND(TRIM(C2525)=TRIM(RIGHT(SUBSTITUTE(TRIM('02_대상물건입력'!$B$7)," ",REPT(" ",99)),99)),IF('02_대상물건입력'!B15="",TRUE(),ISNUMBER(SEARCH('02_대상물건입력'!B15,L2525)))),1,0))</f>
        <v/>
      </c>
      <c r="R2525" s="175">
        <f>IFERROR(ABS(E2525-'02_대상물건입력'!B11)/'02_대상물건입력'!B11,"")</f>
        <v/>
      </c>
      <c r="S2525" s="152">
        <f>IFERROR(ABS(J2525-'02_대상물건입력'!B10),"")</f>
        <v/>
      </c>
      <c r="T2525" s="152">
        <f>IFERROR(ABS('01_설정'!B4-F2525),"")</f>
        <v/>
      </c>
      <c r="U2525" s="152">
        <f>IFERROR(ABS(K2525-YEAR('02_대상물건입력'!B14)),"")</f>
        <v/>
      </c>
      <c r="V2525" s="152">
        <f>IF(B2525="","",IF(AND(E2525&gt;0,F2525&gt;0,H2525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2525=1,TRUE()),R2525&lt;='01_설정'!B5,S2525&lt;='01_설정'!B6,T2525&lt;='01_설정'!B7,U2525&lt;='01_설정'!B8),"Y",""))</f>
        <v/>
      </c>
      <c r="W2525" s="172">
        <f>IF(V2525&lt;&gt;"Y","",MAX(0,(1-R2525/'01_설정'!B5))*'01_설정'!B14+MAX(0,(1-S2525/'01_설정'!B6))*'01_설정'!B15+MAX(0,(1-T2525/'01_설정'!B7))*'01_설정'!B16+MAX(0,(1-U2525/'01_설정'!B8))*'01_설정'!B17+O2525*'01_설정'!B11+Q2525*'01_설정'!B12+P2525*'01_설정'!B13+IF(Z2525="",0,Z2525))</f>
        <v/>
      </c>
      <c r="X2525" s="152">
        <f>IF(W2525="","",1+COUNTIFS($W$4:$W$3003,"&gt;"&amp;W2525)+COUNTIFS($W$4:W2525,W2525)-1)</f>
        <v/>
      </c>
      <c r="Y2525" s="175">
        <f>IF(OR(I2525="",'02_대상물건입력'!B19="",'02_대상물건입력'!B19&lt;=0),"",ABS(I2525-'02_대상물건입력'!B19)/'02_대상물건입력'!B19)</f>
        <v/>
      </c>
      <c r="Z2525" s="172">
        <f>IF(OR(Y2525="",'01_설정'!B31="",'01_설정'!B31&lt;=0,'01_설정'!B32="",'01_설정'!B32&lt;=0),"",MAX(0,(1-Y2525/'01_설정'!B32))*'01_설정'!B31)</f>
        <v/>
      </c>
    </row>
    <row r="2526" ht="17.25" customHeight="1">
      <c r="A2526" s="152">
        <f>IF(INDEX('04A_국토부원자료'!$A:$A,ROW()+1)="","",ROW()-3)</f>
        <v/>
      </c>
      <c r="B2526" s="48">
        <f>IFERROR(INDEX('04A_국토부원자료'!$A:$T,ROW()+1,MATCH("시군구",'04A_국토부원자료'!$A$4:$T$4,0)),"")</f>
        <v/>
      </c>
      <c r="C2526" s="48">
        <f>IF(B2526="","",IFERROR(INDEX('04A_국토부원자료'!$A:$T,ROW()+1,MATCH("번지",'04A_국토부원자료'!$A$4:$T$4,0)),""))</f>
        <v/>
      </c>
      <c r="D2526" s="48">
        <f>IF(B2526="","",IF(Q2526=1,'02_대상물건입력'!$B$8,IFERROR(INDEX('04A_국토부원자료'!$A:$T,ROW()+1,MATCH("단지명",'04A_국토부원자료'!$A$4:$T$4,0)),"")))</f>
        <v/>
      </c>
      <c r="E2526" s="172">
        <f>IFERROR(VALUE(SUBSTITUTE(INDEX('04A_국토부원자료'!$A:$T,ROW()+1,MATCH("전용면적(㎡)",'04A_국토부원자료'!$A$4:$T$4,0)),",","")),"")</f>
        <v/>
      </c>
      <c r="F25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26" s="51">
        <f>IFERROR(VALUE(SUBSTITUTE(INDEX('04A_국토부원자료'!$A:$T,ROW()+1,MATCH("거래금액(만원)",'04A_국토부원자료'!$A$4:$T$4,0)),",","")),"")</f>
        <v/>
      </c>
      <c r="H2526" s="174">
        <f>IF(G2526="","",G2526*10000)</f>
        <v/>
      </c>
      <c r="I2526" s="174">
        <f>IFERROR(IF(AND(H2526&gt;0,E2526&gt;0),H2526/E2526,""),"")</f>
        <v/>
      </c>
      <c r="J2526" s="152">
        <f>IFERROR(VALUE(SUBSTITUTE(INDEX('04A_국토부원자료'!$A:$T,ROW()+1,MATCH("층",'04A_국토부원자료'!$A$4:$T$4,0)),",","")),"")</f>
        <v/>
      </c>
      <c r="K2526" s="152">
        <f>IFERROR(VALUE(SUBSTITUTE(INDEX('04A_국토부원자료'!$A:$T,ROW()+1,MATCH("건축년도",'04A_국토부원자료'!$A$4:$T$4,0)),",","")),"")</f>
        <v/>
      </c>
      <c r="L2526" s="48">
        <f>IFERROR(INDEX('04A_국토부원자료'!$A:$T,ROW()+1,MATCH("도로명",'04A_국토부원자료'!$A$4:$T$4,0)),"")</f>
        <v/>
      </c>
      <c r="M2526" s="48">
        <f>IFERROR(INDEX('04A_국토부원자료'!$A:$T,ROW()+1,MATCH("거래유형",'04A_국토부원자료'!$A$4:$T$4,0)),"")</f>
        <v/>
      </c>
      <c r="N2526" s="152">
        <f>IF(B2526="","",IF('02_대상물건입력'!B5="",1,IF(ISNUMBER(SEARCH('02_대상물건입력'!B5,B2526)),1,0)))</f>
        <v/>
      </c>
      <c r="O2526" s="152">
        <f>IF(B2526="","",IF('02_대상물건입력'!B6="",1,IF(ISNUMBER(SEARCH('02_대상물건입력'!B6,B2526)),1,0)))</f>
        <v/>
      </c>
      <c r="P2526" s="152">
        <f>IF(L2526="","",IF('02_대상물건입력'!B15="",0,IF(ISNUMBER(SEARCH('02_대상물건입력'!B15,L2526)),1,0)))</f>
        <v/>
      </c>
      <c r="Q2526" s="152">
        <f>IF(OR(C2526="",L2526=""),0,IF(AND(TRIM(C2526)=TRIM(RIGHT(SUBSTITUTE(TRIM('02_대상물건입력'!$B$7)," ",REPT(" ",99)),99)),IF('02_대상물건입력'!B15="",TRUE(),ISNUMBER(SEARCH('02_대상물건입력'!B15,L2526)))),1,0))</f>
        <v/>
      </c>
      <c r="R2526" s="175">
        <f>IFERROR(ABS(E2526-'02_대상물건입력'!B11)/'02_대상물건입력'!B11,"")</f>
        <v/>
      </c>
      <c r="S2526" s="152">
        <f>IFERROR(ABS(J2526-'02_대상물건입력'!B10),"")</f>
        <v/>
      </c>
      <c r="T2526" s="152">
        <f>IFERROR(ABS('01_설정'!B4-F2526),"")</f>
        <v/>
      </c>
      <c r="U2526" s="152">
        <f>IFERROR(ABS(K2526-YEAR('02_대상물건입력'!B14)),"")</f>
        <v/>
      </c>
      <c r="V2526" s="152">
        <f>IF(B2526="","",IF(AND(E2526&gt;0,F2526&gt;0,H2526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2526=1,TRUE()),R2526&lt;='01_설정'!B5,S2526&lt;='01_설정'!B6,T2526&lt;='01_설정'!B7,U2526&lt;='01_설정'!B8),"Y",""))</f>
        <v/>
      </c>
      <c r="W2526" s="172">
        <f>IF(V2526&lt;&gt;"Y","",MAX(0,(1-R2526/'01_설정'!B5))*'01_설정'!B14+MAX(0,(1-S2526/'01_설정'!B6))*'01_설정'!B15+MAX(0,(1-T2526/'01_설정'!B7))*'01_설정'!B16+MAX(0,(1-U2526/'01_설정'!B8))*'01_설정'!B17+O2526*'01_설정'!B11+Q2526*'01_설정'!B12+P2526*'01_설정'!B13+IF(Z2526="",0,Z2526))</f>
        <v/>
      </c>
      <c r="X2526" s="152">
        <f>IF(W2526="","",1+COUNTIFS($W$4:$W$3003,"&gt;"&amp;W2526)+COUNTIFS($W$4:W2526,W2526)-1)</f>
        <v/>
      </c>
      <c r="Y2526" s="175">
        <f>IF(OR(I2526="",'02_대상물건입력'!B19="",'02_대상물건입력'!B19&lt;=0),"",ABS(I2526-'02_대상물건입력'!B19)/'02_대상물건입력'!B19)</f>
        <v/>
      </c>
      <c r="Z2526" s="172">
        <f>IF(OR(Y2526="",'01_설정'!B31="",'01_설정'!B31&lt;=0,'01_설정'!B32="",'01_설정'!B32&lt;=0),"",MAX(0,(1-Y2526/'01_설정'!B32))*'01_설정'!B31)</f>
        <v/>
      </c>
    </row>
    <row r="2527" ht="17.25" customHeight="1">
      <c r="A2527" s="152">
        <f>IF(INDEX('04A_국토부원자료'!$A:$A,ROW()+1)="","",ROW()-3)</f>
        <v/>
      </c>
      <c r="B2527" s="48">
        <f>IFERROR(INDEX('04A_국토부원자료'!$A:$T,ROW()+1,MATCH("시군구",'04A_국토부원자료'!$A$4:$T$4,0)),"")</f>
        <v/>
      </c>
      <c r="C2527" s="48">
        <f>IF(B2527="","",IFERROR(INDEX('04A_국토부원자료'!$A:$T,ROW()+1,MATCH("번지",'04A_국토부원자료'!$A$4:$T$4,0)),""))</f>
        <v/>
      </c>
      <c r="D2527" s="48">
        <f>IF(B2527="","",IF(Q2527=1,'02_대상물건입력'!$B$8,IFERROR(INDEX('04A_국토부원자료'!$A:$T,ROW()+1,MATCH("단지명",'04A_국토부원자료'!$A$4:$T$4,0)),"")))</f>
        <v/>
      </c>
      <c r="E2527" s="172">
        <f>IFERROR(VALUE(SUBSTITUTE(INDEX('04A_국토부원자료'!$A:$T,ROW()+1,MATCH("전용면적(㎡)",'04A_국토부원자료'!$A$4:$T$4,0)),",","")),"")</f>
        <v/>
      </c>
      <c r="F25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27" s="51">
        <f>IFERROR(VALUE(SUBSTITUTE(INDEX('04A_국토부원자료'!$A:$T,ROW()+1,MATCH("거래금액(만원)",'04A_국토부원자료'!$A$4:$T$4,0)),",","")),"")</f>
        <v/>
      </c>
      <c r="H2527" s="174">
        <f>IF(G2527="","",G2527*10000)</f>
        <v/>
      </c>
      <c r="I2527" s="174">
        <f>IFERROR(IF(AND(H2527&gt;0,E2527&gt;0),H2527/E2527,""),"")</f>
        <v/>
      </c>
      <c r="J2527" s="152">
        <f>IFERROR(VALUE(SUBSTITUTE(INDEX('04A_국토부원자료'!$A:$T,ROW()+1,MATCH("층",'04A_국토부원자료'!$A$4:$T$4,0)),",","")),"")</f>
        <v/>
      </c>
      <c r="K2527" s="152">
        <f>IFERROR(VALUE(SUBSTITUTE(INDEX('04A_국토부원자료'!$A:$T,ROW()+1,MATCH("건축년도",'04A_국토부원자료'!$A$4:$T$4,0)),",","")),"")</f>
        <v/>
      </c>
      <c r="L2527" s="48">
        <f>IFERROR(INDEX('04A_국토부원자료'!$A:$T,ROW()+1,MATCH("도로명",'04A_국토부원자료'!$A$4:$T$4,0)),"")</f>
        <v/>
      </c>
      <c r="M2527" s="48">
        <f>IFERROR(INDEX('04A_국토부원자료'!$A:$T,ROW()+1,MATCH("거래유형",'04A_국토부원자료'!$A$4:$T$4,0)),"")</f>
        <v/>
      </c>
      <c r="N2527" s="152">
        <f>IF(B2527="","",IF('02_대상물건입력'!B5="",1,IF(ISNUMBER(SEARCH('02_대상물건입력'!B5,B2527)),1,0)))</f>
        <v/>
      </c>
      <c r="O2527" s="152">
        <f>IF(B2527="","",IF('02_대상물건입력'!B6="",1,IF(ISNUMBER(SEARCH('02_대상물건입력'!B6,B2527)),1,0)))</f>
        <v/>
      </c>
      <c r="P2527" s="152">
        <f>IF(L2527="","",IF('02_대상물건입력'!B15="",0,IF(ISNUMBER(SEARCH('02_대상물건입력'!B15,L2527)),1,0)))</f>
        <v/>
      </c>
      <c r="Q2527" s="152">
        <f>IF(OR(C2527="",L2527=""),0,IF(AND(TRIM(C2527)=TRIM(RIGHT(SUBSTITUTE(TRIM('02_대상물건입력'!$B$7)," ",REPT(" ",99)),99)),IF('02_대상물건입력'!B15="",TRUE(),ISNUMBER(SEARCH('02_대상물건입력'!B15,L2527)))),1,0))</f>
        <v/>
      </c>
      <c r="R2527" s="175">
        <f>IFERROR(ABS(E2527-'02_대상물건입력'!B11)/'02_대상물건입력'!B11,"")</f>
        <v/>
      </c>
      <c r="S2527" s="152">
        <f>IFERROR(ABS(J2527-'02_대상물건입력'!B10),"")</f>
        <v/>
      </c>
      <c r="T2527" s="152">
        <f>IFERROR(ABS('01_설정'!B4-F2527),"")</f>
        <v/>
      </c>
      <c r="U2527" s="152">
        <f>IFERROR(ABS(K2527-YEAR('02_대상물건입력'!B14)),"")</f>
        <v/>
      </c>
      <c r="V2527" s="152">
        <f>IF(B2527="","",IF(AND(E2527&gt;0,F2527&gt;0,H2527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2527=1,TRUE()),R2527&lt;='01_설정'!B5,S2527&lt;='01_설정'!B6,T2527&lt;='01_설정'!B7,U2527&lt;='01_설정'!B8),"Y",""))</f>
        <v/>
      </c>
      <c r="W2527" s="172">
        <f>IF(V2527&lt;&gt;"Y","",MAX(0,(1-R2527/'01_설정'!B5))*'01_설정'!B14+MAX(0,(1-S2527/'01_설정'!B6))*'01_설정'!B15+MAX(0,(1-T2527/'01_설정'!B7))*'01_설정'!B16+MAX(0,(1-U2527/'01_설정'!B8))*'01_설정'!B17+O2527*'01_설정'!B11+Q2527*'01_설정'!B12+P2527*'01_설정'!B13+IF(Z2527="",0,Z2527))</f>
        <v/>
      </c>
      <c r="X2527" s="152">
        <f>IF(W2527="","",1+COUNTIFS($W$4:$W$3003,"&gt;"&amp;W2527)+COUNTIFS($W$4:W2527,W2527)-1)</f>
        <v/>
      </c>
      <c r="Y2527" s="175">
        <f>IF(OR(I2527="",'02_대상물건입력'!B19="",'02_대상물건입력'!B19&lt;=0),"",ABS(I2527-'02_대상물건입력'!B19)/'02_대상물건입력'!B19)</f>
        <v/>
      </c>
      <c r="Z2527" s="172">
        <f>IF(OR(Y2527="",'01_설정'!B31="",'01_설정'!B31&lt;=0,'01_설정'!B32="",'01_설정'!B32&lt;=0),"",MAX(0,(1-Y2527/'01_설정'!B32))*'01_설정'!B31)</f>
        <v/>
      </c>
    </row>
    <row r="2528" ht="17.25" customHeight="1">
      <c r="A2528" s="152">
        <f>IF(INDEX('04A_국토부원자료'!$A:$A,ROW()+1)="","",ROW()-3)</f>
        <v/>
      </c>
      <c r="B2528" s="48">
        <f>IFERROR(INDEX('04A_국토부원자료'!$A:$T,ROW()+1,MATCH("시군구",'04A_국토부원자료'!$A$4:$T$4,0)),"")</f>
        <v/>
      </c>
      <c r="C2528" s="48">
        <f>IF(B2528="","",IFERROR(INDEX('04A_국토부원자료'!$A:$T,ROW()+1,MATCH("번지",'04A_국토부원자료'!$A$4:$T$4,0)),""))</f>
        <v/>
      </c>
      <c r="D2528" s="48">
        <f>IF(B2528="","",IF(Q2528=1,'02_대상물건입력'!$B$8,IFERROR(INDEX('04A_국토부원자료'!$A:$T,ROW()+1,MATCH("단지명",'04A_국토부원자료'!$A$4:$T$4,0)),"")))</f>
        <v/>
      </c>
      <c r="E2528" s="172">
        <f>IFERROR(VALUE(SUBSTITUTE(INDEX('04A_국토부원자료'!$A:$T,ROW()+1,MATCH("전용면적(㎡)",'04A_국토부원자료'!$A$4:$T$4,0)),",","")),"")</f>
        <v/>
      </c>
      <c r="F25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28" s="51">
        <f>IFERROR(VALUE(SUBSTITUTE(INDEX('04A_국토부원자료'!$A:$T,ROW()+1,MATCH("거래금액(만원)",'04A_국토부원자료'!$A$4:$T$4,0)),",","")),"")</f>
        <v/>
      </c>
      <c r="H2528" s="174">
        <f>IF(G2528="","",G2528*10000)</f>
        <v/>
      </c>
      <c r="I2528" s="174">
        <f>IFERROR(IF(AND(H2528&gt;0,E2528&gt;0),H2528/E2528,""),"")</f>
        <v/>
      </c>
      <c r="J2528" s="152">
        <f>IFERROR(VALUE(SUBSTITUTE(INDEX('04A_국토부원자료'!$A:$T,ROW()+1,MATCH("층",'04A_국토부원자료'!$A$4:$T$4,0)),",","")),"")</f>
        <v/>
      </c>
      <c r="K2528" s="152">
        <f>IFERROR(VALUE(SUBSTITUTE(INDEX('04A_국토부원자료'!$A:$T,ROW()+1,MATCH("건축년도",'04A_국토부원자료'!$A$4:$T$4,0)),",","")),"")</f>
        <v/>
      </c>
      <c r="L2528" s="48">
        <f>IFERROR(INDEX('04A_국토부원자료'!$A:$T,ROW()+1,MATCH("도로명",'04A_국토부원자료'!$A$4:$T$4,0)),"")</f>
        <v/>
      </c>
      <c r="M2528" s="48">
        <f>IFERROR(INDEX('04A_국토부원자료'!$A:$T,ROW()+1,MATCH("거래유형",'04A_국토부원자료'!$A$4:$T$4,0)),"")</f>
        <v/>
      </c>
      <c r="N2528" s="152">
        <f>IF(B2528="","",IF('02_대상물건입력'!B5="",1,IF(ISNUMBER(SEARCH('02_대상물건입력'!B5,B2528)),1,0)))</f>
        <v/>
      </c>
      <c r="O2528" s="152">
        <f>IF(B2528="","",IF('02_대상물건입력'!B6="",1,IF(ISNUMBER(SEARCH('02_대상물건입력'!B6,B2528)),1,0)))</f>
        <v/>
      </c>
      <c r="P2528" s="152">
        <f>IF(L2528="","",IF('02_대상물건입력'!B15="",0,IF(ISNUMBER(SEARCH('02_대상물건입력'!B15,L2528)),1,0)))</f>
        <v/>
      </c>
      <c r="Q2528" s="152">
        <f>IF(OR(C2528="",L2528=""),0,IF(AND(TRIM(C2528)=TRIM(RIGHT(SUBSTITUTE(TRIM('02_대상물건입력'!$B$7)," ",REPT(" ",99)),99)),IF('02_대상물건입력'!B15="",TRUE(),ISNUMBER(SEARCH('02_대상물건입력'!B15,L2528)))),1,0))</f>
        <v/>
      </c>
      <c r="R2528" s="175">
        <f>IFERROR(ABS(E2528-'02_대상물건입력'!B11)/'02_대상물건입력'!B11,"")</f>
        <v/>
      </c>
      <c r="S2528" s="152">
        <f>IFERROR(ABS(J2528-'02_대상물건입력'!B10),"")</f>
        <v/>
      </c>
      <c r="T2528" s="152">
        <f>IFERROR(ABS('01_설정'!B4-F2528),"")</f>
        <v/>
      </c>
      <c r="U2528" s="152">
        <f>IFERROR(ABS(K2528-YEAR('02_대상물건입력'!B14)),"")</f>
        <v/>
      </c>
      <c r="V2528" s="152">
        <f>IF(B2528="","",IF(AND(E2528&gt;0,F2528&gt;0,H2528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2528=1,TRUE()),R2528&lt;='01_설정'!B5,S2528&lt;='01_설정'!B6,T2528&lt;='01_설정'!B7,U2528&lt;='01_설정'!B8),"Y",""))</f>
        <v/>
      </c>
      <c r="W2528" s="172">
        <f>IF(V2528&lt;&gt;"Y","",MAX(0,(1-R2528/'01_설정'!B5))*'01_설정'!B14+MAX(0,(1-S2528/'01_설정'!B6))*'01_설정'!B15+MAX(0,(1-T2528/'01_설정'!B7))*'01_설정'!B16+MAX(0,(1-U2528/'01_설정'!B8))*'01_설정'!B17+O2528*'01_설정'!B11+Q2528*'01_설정'!B12+P2528*'01_설정'!B13+IF(Z2528="",0,Z2528))</f>
        <v/>
      </c>
      <c r="X2528" s="152">
        <f>IF(W2528="","",1+COUNTIFS($W$4:$W$3003,"&gt;"&amp;W2528)+COUNTIFS($W$4:W2528,W2528)-1)</f>
        <v/>
      </c>
      <c r="Y2528" s="175">
        <f>IF(OR(I2528="",'02_대상물건입력'!B19="",'02_대상물건입력'!B19&lt;=0),"",ABS(I2528-'02_대상물건입력'!B19)/'02_대상물건입력'!B19)</f>
        <v/>
      </c>
      <c r="Z2528" s="172">
        <f>IF(OR(Y2528="",'01_설정'!B31="",'01_설정'!B31&lt;=0,'01_설정'!B32="",'01_설정'!B32&lt;=0),"",MAX(0,(1-Y2528/'01_설정'!B32))*'01_설정'!B31)</f>
        <v/>
      </c>
    </row>
    <row r="2529" ht="17.25" customHeight="1">
      <c r="A2529" s="152">
        <f>IF(INDEX('04A_국토부원자료'!$A:$A,ROW()+1)="","",ROW()-3)</f>
        <v/>
      </c>
      <c r="B2529" s="48">
        <f>IFERROR(INDEX('04A_국토부원자료'!$A:$T,ROW()+1,MATCH("시군구",'04A_국토부원자료'!$A$4:$T$4,0)),"")</f>
        <v/>
      </c>
      <c r="C2529" s="48">
        <f>IF(B2529="","",IFERROR(INDEX('04A_국토부원자료'!$A:$T,ROW()+1,MATCH("번지",'04A_국토부원자료'!$A$4:$T$4,0)),""))</f>
        <v/>
      </c>
      <c r="D2529" s="48">
        <f>IF(B2529="","",IF(Q2529=1,'02_대상물건입력'!$B$8,IFERROR(INDEX('04A_국토부원자료'!$A:$T,ROW()+1,MATCH("단지명",'04A_국토부원자료'!$A$4:$T$4,0)),"")))</f>
        <v/>
      </c>
      <c r="E2529" s="172">
        <f>IFERROR(VALUE(SUBSTITUTE(INDEX('04A_국토부원자료'!$A:$T,ROW()+1,MATCH("전용면적(㎡)",'04A_국토부원자료'!$A$4:$T$4,0)),",","")),"")</f>
        <v/>
      </c>
      <c r="F25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29" s="51">
        <f>IFERROR(VALUE(SUBSTITUTE(INDEX('04A_국토부원자료'!$A:$T,ROW()+1,MATCH("거래금액(만원)",'04A_국토부원자료'!$A$4:$T$4,0)),",","")),"")</f>
        <v/>
      </c>
      <c r="H2529" s="174">
        <f>IF(G2529="","",G2529*10000)</f>
        <v/>
      </c>
      <c r="I2529" s="174">
        <f>IFERROR(IF(AND(H2529&gt;0,E2529&gt;0),H2529/E2529,""),"")</f>
        <v/>
      </c>
      <c r="J2529" s="152">
        <f>IFERROR(VALUE(SUBSTITUTE(INDEX('04A_국토부원자료'!$A:$T,ROW()+1,MATCH("층",'04A_국토부원자료'!$A$4:$T$4,0)),",","")),"")</f>
        <v/>
      </c>
      <c r="K2529" s="152">
        <f>IFERROR(VALUE(SUBSTITUTE(INDEX('04A_국토부원자료'!$A:$T,ROW()+1,MATCH("건축년도",'04A_국토부원자료'!$A$4:$T$4,0)),",","")),"")</f>
        <v/>
      </c>
      <c r="L2529" s="48">
        <f>IFERROR(INDEX('04A_국토부원자료'!$A:$T,ROW()+1,MATCH("도로명",'04A_국토부원자료'!$A$4:$T$4,0)),"")</f>
        <v/>
      </c>
      <c r="M2529" s="48">
        <f>IFERROR(INDEX('04A_국토부원자료'!$A:$T,ROW()+1,MATCH("거래유형",'04A_국토부원자료'!$A$4:$T$4,0)),"")</f>
        <v/>
      </c>
      <c r="N2529" s="152">
        <f>IF(B2529="","",IF('02_대상물건입력'!B5="",1,IF(ISNUMBER(SEARCH('02_대상물건입력'!B5,B2529)),1,0)))</f>
        <v/>
      </c>
      <c r="O2529" s="152">
        <f>IF(B2529="","",IF('02_대상물건입력'!B6="",1,IF(ISNUMBER(SEARCH('02_대상물건입력'!B6,B2529)),1,0)))</f>
        <v/>
      </c>
      <c r="P2529" s="152">
        <f>IF(L2529="","",IF('02_대상물건입력'!B15="",0,IF(ISNUMBER(SEARCH('02_대상물건입력'!B15,L2529)),1,0)))</f>
        <v/>
      </c>
      <c r="Q2529" s="152">
        <f>IF(OR(C2529="",L2529=""),0,IF(AND(TRIM(C2529)=TRIM(RIGHT(SUBSTITUTE(TRIM('02_대상물건입력'!$B$7)," ",REPT(" ",99)),99)),IF('02_대상물건입력'!B15="",TRUE(),ISNUMBER(SEARCH('02_대상물건입력'!B15,L2529)))),1,0))</f>
        <v/>
      </c>
      <c r="R2529" s="175">
        <f>IFERROR(ABS(E2529-'02_대상물건입력'!B11)/'02_대상물건입력'!B11,"")</f>
        <v/>
      </c>
      <c r="S2529" s="152">
        <f>IFERROR(ABS(J2529-'02_대상물건입력'!B10),"")</f>
        <v/>
      </c>
      <c r="T2529" s="152">
        <f>IFERROR(ABS('01_설정'!B4-F2529),"")</f>
        <v/>
      </c>
      <c r="U2529" s="152">
        <f>IFERROR(ABS(K2529-YEAR('02_대상물건입력'!B14)),"")</f>
        <v/>
      </c>
      <c r="V2529" s="152">
        <f>IF(B2529="","",IF(AND(E2529&gt;0,F2529&gt;0,H2529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2529=1,TRUE()),R2529&lt;='01_설정'!B5,S2529&lt;='01_설정'!B6,T2529&lt;='01_설정'!B7,U2529&lt;='01_설정'!B8),"Y",""))</f>
        <v/>
      </c>
      <c r="W2529" s="172">
        <f>IF(V2529&lt;&gt;"Y","",MAX(0,(1-R2529/'01_설정'!B5))*'01_설정'!B14+MAX(0,(1-S2529/'01_설정'!B6))*'01_설정'!B15+MAX(0,(1-T2529/'01_설정'!B7))*'01_설정'!B16+MAX(0,(1-U2529/'01_설정'!B8))*'01_설정'!B17+O2529*'01_설정'!B11+Q2529*'01_설정'!B12+P2529*'01_설정'!B13+IF(Z2529="",0,Z2529))</f>
        <v/>
      </c>
      <c r="X2529" s="152">
        <f>IF(W2529="","",1+COUNTIFS($W$4:$W$3003,"&gt;"&amp;W2529)+COUNTIFS($W$4:W2529,W2529)-1)</f>
        <v/>
      </c>
      <c r="Y2529" s="175">
        <f>IF(OR(I2529="",'02_대상물건입력'!B19="",'02_대상물건입력'!B19&lt;=0),"",ABS(I2529-'02_대상물건입력'!B19)/'02_대상물건입력'!B19)</f>
        <v/>
      </c>
      <c r="Z2529" s="172">
        <f>IF(OR(Y2529="",'01_설정'!B31="",'01_설정'!B31&lt;=0,'01_설정'!B32="",'01_설정'!B32&lt;=0),"",MAX(0,(1-Y2529/'01_설정'!B32))*'01_설정'!B31)</f>
        <v/>
      </c>
    </row>
    <row r="2530" ht="17.25" customHeight="1">
      <c r="A2530" s="152">
        <f>IF(INDEX('04A_국토부원자료'!$A:$A,ROW()+1)="","",ROW()-3)</f>
        <v/>
      </c>
      <c r="B2530" s="48">
        <f>IFERROR(INDEX('04A_국토부원자료'!$A:$T,ROW()+1,MATCH("시군구",'04A_국토부원자료'!$A$4:$T$4,0)),"")</f>
        <v/>
      </c>
      <c r="C2530" s="48">
        <f>IF(B2530="","",IFERROR(INDEX('04A_국토부원자료'!$A:$T,ROW()+1,MATCH("번지",'04A_국토부원자료'!$A$4:$T$4,0)),""))</f>
        <v/>
      </c>
      <c r="D2530" s="48">
        <f>IF(B2530="","",IF(Q2530=1,'02_대상물건입력'!$B$8,IFERROR(INDEX('04A_국토부원자료'!$A:$T,ROW()+1,MATCH("단지명",'04A_국토부원자료'!$A$4:$T$4,0)),"")))</f>
        <v/>
      </c>
      <c r="E2530" s="172">
        <f>IFERROR(VALUE(SUBSTITUTE(INDEX('04A_국토부원자료'!$A:$T,ROW()+1,MATCH("전용면적(㎡)",'04A_국토부원자료'!$A$4:$T$4,0)),",","")),"")</f>
        <v/>
      </c>
      <c r="F25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30" s="51">
        <f>IFERROR(VALUE(SUBSTITUTE(INDEX('04A_국토부원자료'!$A:$T,ROW()+1,MATCH("거래금액(만원)",'04A_국토부원자료'!$A$4:$T$4,0)),",","")),"")</f>
        <v/>
      </c>
      <c r="H2530" s="174">
        <f>IF(G2530="","",G2530*10000)</f>
        <v/>
      </c>
      <c r="I2530" s="174">
        <f>IFERROR(IF(AND(H2530&gt;0,E2530&gt;0),H2530/E2530,""),"")</f>
        <v/>
      </c>
      <c r="J2530" s="152">
        <f>IFERROR(VALUE(SUBSTITUTE(INDEX('04A_국토부원자료'!$A:$T,ROW()+1,MATCH("층",'04A_국토부원자료'!$A$4:$T$4,0)),",","")),"")</f>
        <v/>
      </c>
      <c r="K2530" s="152">
        <f>IFERROR(VALUE(SUBSTITUTE(INDEX('04A_국토부원자료'!$A:$T,ROW()+1,MATCH("건축년도",'04A_국토부원자료'!$A$4:$T$4,0)),",","")),"")</f>
        <v/>
      </c>
      <c r="L2530" s="48">
        <f>IFERROR(INDEX('04A_국토부원자료'!$A:$T,ROW()+1,MATCH("도로명",'04A_국토부원자료'!$A$4:$T$4,0)),"")</f>
        <v/>
      </c>
      <c r="M2530" s="48">
        <f>IFERROR(INDEX('04A_국토부원자료'!$A:$T,ROW()+1,MATCH("거래유형",'04A_국토부원자료'!$A$4:$T$4,0)),"")</f>
        <v/>
      </c>
      <c r="N2530" s="152">
        <f>IF(B2530="","",IF('02_대상물건입력'!B5="",1,IF(ISNUMBER(SEARCH('02_대상물건입력'!B5,B2530)),1,0)))</f>
        <v/>
      </c>
      <c r="O2530" s="152">
        <f>IF(B2530="","",IF('02_대상물건입력'!B6="",1,IF(ISNUMBER(SEARCH('02_대상물건입력'!B6,B2530)),1,0)))</f>
        <v/>
      </c>
      <c r="P2530" s="152">
        <f>IF(L2530="","",IF('02_대상물건입력'!B15="",0,IF(ISNUMBER(SEARCH('02_대상물건입력'!B15,L2530)),1,0)))</f>
        <v/>
      </c>
      <c r="Q2530" s="152">
        <f>IF(OR(C2530="",L2530=""),0,IF(AND(TRIM(C2530)=TRIM(RIGHT(SUBSTITUTE(TRIM('02_대상물건입력'!$B$7)," ",REPT(" ",99)),99)),IF('02_대상물건입력'!B15="",TRUE(),ISNUMBER(SEARCH('02_대상물건입력'!B15,L2530)))),1,0))</f>
        <v/>
      </c>
      <c r="R2530" s="175">
        <f>IFERROR(ABS(E2530-'02_대상물건입력'!B11)/'02_대상물건입력'!B11,"")</f>
        <v/>
      </c>
      <c r="S2530" s="152">
        <f>IFERROR(ABS(J2530-'02_대상물건입력'!B10),"")</f>
        <v/>
      </c>
      <c r="T2530" s="152">
        <f>IFERROR(ABS('01_설정'!B4-F2530),"")</f>
        <v/>
      </c>
      <c r="U2530" s="152">
        <f>IFERROR(ABS(K2530-YEAR('02_대상물건입력'!B14)),"")</f>
        <v/>
      </c>
      <c r="V2530" s="152">
        <f>IF(B2530="","",IF(AND(E2530&gt;0,F2530&gt;0,H2530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2530=1,TRUE()),R2530&lt;='01_설정'!B5,S2530&lt;='01_설정'!B6,T2530&lt;='01_설정'!B7,U2530&lt;='01_설정'!B8),"Y",""))</f>
        <v/>
      </c>
      <c r="W2530" s="172">
        <f>IF(V2530&lt;&gt;"Y","",MAX(0,(1-R2530/'01_설정'!B5))*'01_설정'!B14+MAX(0,(1-S2530/'01_설정'!B6))*'01_설정'!B15+MAX(0,(1-T2530/'01_설정'!B7))*'01_설정'!B16+MAX(0,(1-U2530/'01_설정'!B8))*'01_설정'!B17+O2530*'01_설정'!B11+Q2530*'01_설정'!B12+P2530*'01_설정'!B13+IF(Z2530="",0,Z2530))</f>
        <v/>
      </c>
      <c r="X2530" s="152">
        <f>IF(W2530="","",1+COUNTIFS($W$4:$W$3003,"&gt;"&amp;W2530)+COUNTIFS($W$4:W2530,W2530)-1)</f>
        <v/>
      </c>
      <c r="Y2530" s="175">
        <f>IF(OR(I2530="",'02_대상물건입력'!B19="",'02_대상물건입력'!B19&lt;=0),"",ABS(I2530-'02_대상물건입력'!B19)/'02_대상물건입력'!B19)</f>
        <v/>
      </c>
      <c r="Z2530" s="172">
        <f>IF(OR(Y2530="",'01_설정'!B31="",'01_설정'!B31&lt;=0,'01_설정'!B32="",'01_설정'!B32&lt;=0),"",MAX(0,(1-Y2530/'01_설정'!B32))*'01_설정'!B31)</f>
        <v/>
      </c>
    </row>
    <row r="2531" ht="17.25" customHeight="1">
      <c r="A2531" s="152">
        <f>IF(INDEX('04A_국토부원자료'!$A:$A,ROW()+1)="","",ROW()-3)</f>
        <v/>
      </c>
      <c r="B2531" s="48">
        <f>IFERROR(INDEX('04A_국토부원자료'!$A:$T,ROW()+1,MATCH("시군구",'04A_국토부원자료'!$A$4:$T$4,0)),"")</f>
        <v/>
      </c>
      <c r="C2531" s="48">
        <f>IF(B2531="","",IFERROR(INDEX('04A_국토부원자료'!$A:$T,ROW()+1,MATCH("번지",'04A_국토부원자료'!$A$4:$T$4,0)),""))</f>
        <v/>
      </c>
      <c r="D2531" s="48">
        <f>IF(B2531="","",IF(Q2531=1,'02_대상물건입력'!$B$8,IFERROR(INDEX('04A_국토부원자료'!$A:$T,ROW()+1,MATCH("단지명",'04A_국토부원자료'!$A$4:$T$4,0)),"")))</f>
        <v/>
      </c>
      <c r="E2531" s="172">
        <f>IFERROR(VALUE(SUBSTITUTE(INDEX('04A_국토부원자료'!$A:$T,ROW()+1,MATCH("전용면적(㎡)",'04A_국토부원자료'!$A$4:$T$4,0)),",","")),"")</f>
        <v/>
      </c>
      <c r="F25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31" s="51">
        <f>IFERROR(VALUE(SUBSTITUTE(INDEX('04A_국토부원자료'!$A:$T,ROW()+1,MATCH("거래금액(만원)",'04A_국토부원자료'!$A$4:$T$4,0)),",","")),"")</f>
        <v/>
      </c>
      <c r="H2531" s="174">
        <f>IF(G2531="","",G2531*10000)</f>
        <v/>
      </c>
      <c r="I2531" s="174">
        <f>IFERROR(IF(AND(H2531&gt;0,E2531&gt;0),H2531/E2531,""),"")</f>
        <v/>
      </c>
      <c r="J2531" s="152">
        <f>IFERROR(VALUE(SUBSTITUTE(INDEX('04A_국토부원자료'!$A:$T,ROW()+1,MATCH("층",'04A_국토부원자료'!$A$4:$T$4,0)),",","")),"")</f>
        <v/>
      </c>
      <c r="K2531" s="152">
        <f>IFERROR(VALUE(SUBSTITUTE(INDEX('04A_국토부원자료'!$A:$T,ROW()+1,MATCH("건축년도",'04A_국토부원자료'!$A$4:$T$4,0)),",","")),"")</f>
        <v/>
      </c>
      <c r="L2531" s="48">
        <f>IFERROR(INDEX('04A_국토부원자료'!$A:$T,ROW()+1,MATCH("도로명",'04A_국토부원자료'!$A$4:$T$4,0)),"")</f>
        <v/>
      </c>
      <c r="M2531" s="48">
        <f>IFERROR(INDEX('04A_국토부원자료'!$A:$T,ROW()+1,MATCH("거래유형",'04A_국토부원자료'!$A$4:$T$4,0)),"")</f>
        <v/>
      </c>
      <c r="N2531" s="152">
        <f>IF(B2531="","",IF('02_대상물건입력'!B5="",1,IF(ISNUMBER(SEARCH('02_대상물건입력'!B5,B2531)),1,0)))</f>
        <v/>
      </c>
      <c r="O2531" s="152">
        <f>IF(B2531="","",IF('02_대상물건입력'!B6="",1,IF(ISNUMBER(SEARCH('02_대상물건입력'!B6,B2531)),1,0)))</f>
        <v/>
      </c>
      <c r="P2531" s="152">
        <f>IF(L2531="","",IF('02_대상물건입력'!B15="",0,IF(ISNUMBER(SEARCH('02_대상물건입력'!B15,L2531)),1,0)))</f>
        <v/>
      </c>
      <c r="Q2531" s="152">
        <f>IF(OR(C2531="",L2531=""),0,IF(AND(TRIM(C2531)=TRIM(RIGHT(SUBSTITUTE(TRIM('02_대상물건입력'!$B$7)," ",REPT(" ",99)),99)),IF('02_대상물건입력'!B15="",TRUE(),ISNUMBER(SEARCH('02_대상물건입력'!B15,L2531)))),1,0))</f>
        <v/>
      </c>
      <c r="R2531" s="175">
        <f>IFERROR(ABS(E2531-'02_대상물건입력'!B11)/'02_대상물건입력'!B11,"")</f>
        <v/>
      </c>
      <c r="S2531" s="152">
        <f>IFERROR(ABS(J2531-'02_대상물건입력'!B10),"")</f>
        <v/>
      </c>
      <c r="T2531" s="152">
        <f>IFERROR(ABS('01_설정'!B4-F2531),"")</f>
        <v/>
      </c>
      <c r="U2531" s="152">
        <f>IFERROR(ABS(K2531-YEAR('02_대상물건입력'!B14)),"")</f>
        <v/>
      </c>
      <c r="V2531" s="152">
        <f>IF(B2531="","",IF(AND(E2531&gt;0,F2531&gt;0,H2531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2531=1,TRUE()),R2531&lt;='01_설정'!B5,S2531&lt;='01_설정'!B6,T2531&lt;='01_설정'!B7,U2531&lt;='01_설정'!B8),"Y",""))</f>
        <v/>
      </c>
      <c r="W2531" s="172">
        <f>IF(V2531&lt;&gt;"Y","",MAX(0,(1-R2531/'01_설정'!B5))*'01_설정'!B14+MAX(0,(1-S2531/'01_설정'!B6))*'01_설정'!B15+MAX(0,(1-T2531/'01_설정'!B7))*'01_설정'!B16+MAX(0,(1-U2531/'01_설정'!B8))*'01_설정'!B17+O2531*'01_설정'!B11+Q2531*'01_설정'!B12+P2531*'01_설정'!B13+IF(Z2531="",0,Z2531))</f>
        <v/>
      </c>
      <c r="X2531" s="152">
        <f>IF(W2531="","",1+COUNTIFS($W$4:$W$3003,"&gt;"&amp;W2531)+COUNTIFS($W$4:W2531,W2531)-1)</f>
        <v/>
      </c>
      <c r="Y2531" s="175">
        <f>IF(OR(I2531="",'02_대상물건입력'!B19="",'02_대상물건입력'!B19&lt;=0),"",ABS(I2531-'02_대상물건입력'!B19)/'02_대상물건입력'!B19)</f>
        <v/>
      </c>
      <c r="Z2531" s="172">
        <f>IF(OR(Y2531="",'01_설정'!B31="",'01_설정'!B31&lt;=0,'01_설정'!B32="",'01_설정'!B32&lt;=0),"",MAX(0,(1-Y2531/'01_설정'!B32))*'01_설정'!B31)</f>
        <v/>
      </c>
    </row>
    <row r="2532" ht="17.25" customHeight="1">
      <c r="A2532" s="152">
        <f>IF(INDEX('04A_국토부원자료'!$A:$A,ROW()+1)="","",ROW()-3)</f>
        <v/>
      </c>
      <c r="B2532" s="48">
        <f>IFERROR(INDEX('04A_국토부원자료'!$A:$T,ROW()+1,MATCH("시군구",'04A_국토부원자료'!$A$4:$T$4,0)),"")</f>
        <v/>
      </c>
      <c r="C2532" s="48">
        <f>IF(B2532="","",IFERROR(INDEX('04A_국토부원자료'!$A:$T,ROW()+1,MATCH("번지",'04A_국토부원자료'!$A$4:$T$4,0)),""))</f>
        <v/>
      </c>
      <c r="D2532" s="48">
        <f>IF(B2532="","",IF(Q2532=1,'02_대상물건입력'!$B$8,IFERROR(INDEX('04A_국토부원자료'!$A:$T,ROW()+1,MATCH("단지명",'04A_국토부원자료'!$A$4:$T$4,0)),"")))</f>
        <v/>
      </c>
      <c r="E2532" s="172">
        <f>IFERROR(VALUE(SUBSTITUTE(INDEX('04A_국토부원자료'!$A:$T,ROW()+1,MATCH("전용면적(㎡)",'04A_국토부원자료'!$A$4:$T$4,0)),",","")),"")</f>
        <v/>
      </c>
      <c r="F25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32" s="51">
        <f>IFERROR(VALUE(SUBSTITUTE(INDEX('04A_국토부원자료'!$A:$T,ROW()+1,MATCH("거래금액(만원)",'04A_국토부원자료'!$A$4:$T$4,0)),",","")),"")</f>
        <v/>
      </c>
      <c r="H2532" s="174">
        <f>IF(G2532="","",G2532*10000)</f>
        <v/>
      </c>
      <c r="I2532" s="174">
        <f>IFERROR(IF(AND(H2532&gt;0,E2532&gt;0),H2532/E2532,""),"")</f>
        <v/>
      </c>
      <c r="J2532" s="152">
        <f>IFERROR(VALUE(SUBSTITUTE(INDEX('04A_국토부원자료'!$A:$T,ROW()+1,MATCH("층",'04A_국토부원자료'!$A$4:$T$4,0)),",","")),"")</f>
        <v/>
      </c>
      <c r="K2532" s="152">
        <f>IFERROR(VALUE(SUBSTITUTE(INDEX('04A_국토부원자료'!$A:$T,ROW()+1,MATCH("건축년도",'04A_국토부원자료'!$A$4:$T$4,0)),",","")),"")</f>
        <v/>
      </c>
      <c r="L2532" s="48">
        <f>IFERROR(INDEX('04A_국토부원자료'!$A:$T,ROW()+1,MATCH("도로명",'04A_국토부원자료'!$A$4:$T$4,0)),"")</f>
        <v/>
      </c>
      <c r="M2532" s="48">
        <f>IFERROR(INDEX('04A_국토부원자료'!$A:$T,ROW()+1,MATCH("거래유형",'04A_국토부원자료'!$A$4:$T$4,0)),"")</f>
        <v/>
      </c>
      <c r="N2532" s="152">
        <f>IF(B2532="","",IF('02_대상물건입력'!B5="",1,IF(ISNUMBER(SEARCH('02_대상물건입력'!B5,B2532)),1,0)))</f>
        <v/>
      </c>
      <c r="O2532" s="152">
        <f>IF(B2532="","",IF('02_대상물건입력'!B6="",1,IF(ISNUMBER(SEARCH('02_대상물건입력'!B6,B2532)),1,0)))</f>
        <v/>
      </c>
      <c r="P2532" s="152">
        <f>IF(L2532="","",IF('02_대상물건입력'!B15="",0,IF(ISNUMBER(SEARCH('02_대상물건입력'!B15,L2532)),1,0)))</f>
        <v/>
      </c>
      <c r="Q2532" s="152">
        <f>IF(OR(C2532="",L2532=""),0,IF(AND(TRIM(C2532)=TRIM(RIGHT(SUBSTITUTE(TRIM('02_대상물건입력'!$B$7)," ",REPT(" ",99)),99)),IF('02_대상물건입력'!B15="",TRUE(),ISNUMBER(SEARCH('02_대상물건입력'!B15,L2532)))),1,0))</f>
        <v/>
      </c>
      <c r="R2532" s="175">
        <f>IFERROR(ABS(E2532-'02_대상물건입력'!B11)/'02_대상물건입력'!B11,"")</f>
        <v/>
      </c>
      <c r="S2532" s="152">
        <f>IFERROR(ABS(J2532-'02_대상물건입력'!B10),"")</f>
        <v/>
      </c>
      <c r="T2532" s="152">
        <f>IFERROR(ABS('01_설정'!B4-F2532),"")</f>
        <v/>
      </c>
      <c r="U2532" s="152">
        <f>IFERROR(ABS(K2532-YEAR('02_대상물건입력'!B14)),"")</f>
        <v/>
      </c>
      <c r="V2532" s="152">
        <f>IF(B2532="","",IF(AND(E2532&gt;0,F2532&gt;0,H2532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2532=1,TRUE()),R2532&lt;='01_설정'!B5,S2532&lt;='01_설정'!B6,T2532&lt;='01_설정'!B7,U2532&lt;='01_설정'!B8),"Y",""))</f>
        <v/>
      </c>
      <c r="W2532" s="172">
        <f>IF(V2532&lt;&gt;"Y","",MAX(0,(1-R2532/'01_설정'!B5))*'01_설정'!B14+MAX(0,(1-S2532/'01_설정'!B6))*'01_설정'!B15+MAX(0,(1-T2532/'01_설정'!B7))*'01_설정'!B16+MAX(0,(1-U2532/'01_설정'!B8))*'01_설정'!B17+O2532*'01_설정'!B11+Q2532*'01_설정'!B12+P2532*'01_설정'!B13+IF(Z2532="",0,Z2532))</f>
        <v/>
      </c>
      <c r="X2532" s="152">
        <f>IF(W2532="","",1+COUNTIFS($W$4:$W$3003,"&gt;"&amp;W2532)+COUNTIFS($W$4:W2532,W2532)-1)</f>
        <v/>
      </c>
      <c r="Y2532" s="175">
        <f>IF(OR(I2532="",'02_대상물건입력'!B19="",'02_대상물건입력'!B19&lt;=0),"",ABS(I2532-'02_대상물건입력'!B19)/'02_대상물건입력'!B19)</f>
        <v/>
      </c>
      <c r="Z2532" s="172">
        <f>IF(OR(Y2532="",'01_설정'!B31="",'01_설정'!B31&lt;=0,'01_설정'!B32="",'01_설정'!B32&lt;=0),"",MAX(0,(1-Y2532/'01_설정'!B32))*'01_설정'!B31)</f>
        <v/>
      </c>
    </row>
    <row r="2533" ht="17.25" customHeight="1">
      <c r="A2533" s="152">
        <f>IF(INDEX('04A_국토부원자료'!$A:$A,ROW()+1)="","",ROW()-3)</f>
        <v/>
      </c>
      <c r="B2533" s="48">
        <f>IFERROR(INDEX('04A_국토부원자료'!$A:$T,ROW()+1,MATCH("시군구",'04A_국토부원자료'!$A$4:$T$4,0)),"")</f>
        <v/>
      </c>
      <c r="C2533" s="48">
        <f>IF(B2533="","",IFERROR(INDEX('04A_국토부원자료'!$A:$T,ROW()+1,MATCH("번지",'04A_국토부원자료'!$A$4:$T$4,0)),""))</f>
        <v/>
      </c>
      <c r="D2533" s="48">
        <f>IF(B2533="","",IF(Q2533=1,'02_대상물건입력'!$B$8,IFERROR(INDEX('04A_국토부원자료'!$A:$T,ROW()+1,MATCH("단지명",'04A_국토부원자료'!$A$4:$T$4,0)),"")))</f>
        <v/>
      </c>
      <c r="E2533" s="172">
        <f>IFERROR(VALUE(SUBSTITUTE(INDEX('04A_국토부원자료'!$A:$T,ROW()+1,MATCH("전용면적(㎡)",'04A_국토부원자료'!$A$4:$T$4,0)),",","")),"")</f>
        <v/>
      </c>
      <c r="F25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33" s="51">
        <f>IFERROR(VALUE(SUBSTITUTE(INDEX('04A_국토부원자료'!$A:$T,ROW()+1,MATCH("거래금액(만원)",'04A_국토부원자료'!$A$4:$T$4,0)),",","")),"")</f>
        <v/>
      </c>
      <c r="H2533" s="174">
        <f>IF(G2533="","",G2533*10000)</f>
        <v/>
      </c>
      <c r="I2533" s="174">
        <f>IFERROR(IF(AND(H2533&gt;0,E2533&gt;0),H2533/E2533,""),"")</f>
        <v/>
      </c>
      <c r="J2533" s="152">
        <f>IFERROR(VALUE(SUBSTITUTE(INDEX('04A_국토부원자료'!$A:$T,ROW()+1,MATCH("층",'04A_국토부원자료'!$A$4:$T$4,0)),",","")),"")</f>
        <v/>
      </c>
      <c r="K2533" s="152">
        <f>IFERROR(VALUE(SUBSTITUTE(INDEX('04A_국토부원자료'!$A:$T,ROW()+1,MATCH("건축년도",'04A_국토부원자료'!$A$4:$T$4,0)),",","")),"")</f>
        <v/>
      </c>
      <c r="L2533" s="48">
        <f>IFERROR(INDEX('04A_국토부원자료'!$A:$T,ROW()+1,MATCH("도로명",'04A_국토부원자료'!$A$4:$T$4,0)),"")</f>
        <v/>
      </c>
      <c r="M2533" s="48">
        <f>IFERROR(INDEX('04A_국토부원자료'!$A:$T,ROW()+1,MATCH("거래유형",'04A_국토부원자료'!$A$4:$T$4,0)),"")</f>
        <v/>
      </c>
      <c r="N2533" s="152">
        <f>IF(B2533="","",IF('02_대상물건입력'!B5="",1,IF(ISNUMBER(SEARCH('02_대상물건입력'!B5,B2533)),1,0)))</f>
        <v/>
      </c>
      <c r="O2533" s="152">
        <f>IF(B2533="","",IF('02_대상물건입력'!B6="",1,IF(ISNUMBER(SEARCH('02_대상물건입력'!B6,B2533)),1,0)))</f>
        <v/>
      </c>
      <c r="P2533" s="152">
        <f>IF(L2533="","",IF('02_대상물건입력'!B15="",0,IF(ISNUMBER(SEARCH('02_대상물건입력'!B15,L2533)),1,0)))</f>
        <v/>
      </c>
      <c r="Q2533" s="152">
        <f>IF(OR(C2533="",L2533=""),0,IF(AND(TRIM(C2533)=TRIM(RIGHT(SUBSTITUTE(TRIM('02_대상물건입력'!$B$7)," ",REPT(" ",99)),99)),IF('02_대상물건입력'!B15="",TRUE(),ISNUMBER(SEARCH('02_대상물건입력'!B15,L2533)))),1,0))</f>
        <v/>
      </c>
      <c r="R2533" s="175">
        <f>IFERROR(ABS(E2533-'02_대상물건입력'!B11)/'02_대상물건입력'!B11,"")</f>
        <v/>
      </c>
      <c r="S2533" s="152">
        <f>IFERROR(ABS(J2533-'02_대상물건입력'!B10),"")</f>
        <v/>
      </c>
      <c r="T2533" s="152">
        <f>IFERROR(ABS('01_설정'!B4-F2533),"")</f>
        <v/>
      </c>
      <c r="U2533" s="152">
        <f>IFERROR(ABS(K2533-YEAR('02_대상물건입력'!B14)),"")</f>
        <v/>
      </c>
      <c r="V2533" s="152">
        <f>IF(B2533="","",IF(AND(E2533&gt;0,F2533&gt;0,H2533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2533=1,TRUE()),R2533&lt;='01_설정'!B5,S2533&lt;='01_설정'!B6,T2533&lt;='01_설정'!B7,U2533&lt;='01_설정'!B8),"Y",""))</f>
        <v/>
      </c>
      <c r="W2533" s="172">
        <f>IF(V2533&lt;&gt;"Y","",MAX(0,(1-R2533/'01_설정'!B5))*'01_설정'!B14+MAX(0,(1-S2533/'01_설정'!B6))*'01_설정'!B15+MAX(0,(1-T2533/'01_설정'!B7))*'01_설정'!B16+MAX(0,(1-U2533/'01_설정'!B8))*'01_설정'!B17+O2533*'01_설정'!B11+Q2533*'01_설정'!B12+P2533*'01_설정'!B13+IF(Z2533="",0,Z2533))</f>
        <v/>
      </c>
      <c r="X2533" s="152">
        <f>IF(W2533="","",1+COUNTIFS($W$4:$W$3003,"&gt;"&amp;W2533)+COUNTIFS($W$4:W2533,W2533)-1)</f>
        <v/>
      </c>
      <c r="Y2533" s="175">
        <f>IF(OR(I2533="",'02_대상물건입력'!B19="",'02_대상물건입력'!B19&lt;=0),"",ABS(I2533-'02_대상물건입력'!B19)/'02_대상물건입력'!B19)</f>
        <v/>
      </c>
      <c r="Z2533" s="172">
        <f>IF(OR(Y2533="",'01_설정'!B31="",'01_설정'!B31&lt;=0,'01_설정'!B32="",'01_설정'!B32&lt;=0),"",MAX(0,(1-Y2533/'01_설정'!B32))*'01_설정'!B31)</f>
        <v/>
      </c>
    </row>
    <row r="2534" ht="17.25" customHeight="1">
      <c r="A2534" s="152">
        <f>IF(INDEX('04A_국토부원자료'!$A:$A,ROW()+1)="","",ROW()-3)</f>
        <v/>
      </c>
      <c r="B2534" s="48">
        <f>IFERROR(INDEX('04A_국토부원자료'!$A:$T,ROW()+1,MATCH("시군구",'04A_국토부원자료'!$A$4:$T$4,0)),"")</f>
        <v/>
      </c>
      <c r="C2534" s="48">
        <f>IF(B2534="","",IFERROR(INDEX('04A_국토부원자료'!$A:$T,ROW()+1,MATCH("번지",'04A_국토부원자료'!$A$4:$T$4,0)),""))</f>
        <v/>
      </c>
      <c r="D2534" s="48">
        <f>IF(B2534="","",IF(Q2534=1,'02_대상물건입력'!$B$8,IFERROR(INDEX('04A_국토부원자료'!$A:$T,ROW()+1,MATCH("단지명",'04A_국토부원자료'!$A$4:$T$4,0)),"")))</f>
        <v/>
      </c>
      <c r="E2534" s="172">
        <f>IFERROR(VALUE(SUBSTITUTE(INDEX('04A_국토부원자료'!$A:$T,ROW()+1,MATCH("전용면적(㎡)",'04A_국토부원자료'!$A$4:$T$4,0)),",","")),"")</f>
        <v/>
      </c>
      <c r="F25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34" s="51">
        <f>IFERROR(VALUE(SUBSTITUTE(INDEX('04A_국토부원자료'!$A:$T,ROW()+1,MATCH("거래금액(만원)",'04A_국토부원자료'!$A$4:$T$4,0)),",","")),"")</f>
        <v/>
      </c>
      <c r="H2534" s="174">
        <f>IF(G2534="","",G2534*10000)</f>
        <v/>
      </c>
      <c r="I2534" s="174">
        <f>IFERROR(IF(AND(H2534&gt;0,E2534&gt;0),H2534/E2534,""),"")</f>
        <v/>
      </c>
      <c r="J2534" s="152">
        <f>IFERROR(VALUE(SUBSTITUTE(INDEX('04A_국토부원자료'!$A:$T,ROW()+1,MATCH("층",'04A_국토부원자료'!$A$4:$T$4,0)),",","")),"")</f>
        <v/>
      </c>
      <c r="K2534" s="152">
        <f>IFERROR(VALUE(SUBSTITUTE(INDEX('04A_국토부원자료'!$A:$T,ROW()+1,MATCH("건축년도",'04A_국토부원자료'!$A$4:$T$4,0)),",","")),"")</f>
        <v/>
      </c>
      <c r="L2534" s="48">
        <f>IFERROR(INDEX('04A_국토부원자료'!$A:$T,ROW()+1,MATCH("도로명",'04A_국토부원자료'!$A$4:$T$4,0)),"")</f>
        <v/>
      </c>
      <c r="M2534" s="48">
        <f>IFERROR(INDEX('04A_국토부원자료'!$A:$T,ROW()+1,MATCH("거래유형",'04A_국토부원자료'!$A$4:$T$4,0)),"")</f>
        <v/>
      </c>
      <c r="N2534" s="152">
        <f>IF(B2534="","",IF('02_대상물건입력'!B5="",1,IF(ISNUMBER(SEARCH('02_대상물건입력'!B5,B2534)),1,0)))</f>
        <v/>
      </c>
      <c r="O2534" s="152">
        <f>IF(B2534="","",IF('02_대상물건입력'!B6="",1,IF(ISNUMBER(SEARCH('02_대상물건입력'!B6,B2534)),1,0)))</f>
        <v/>
      </c>
      <c r="P2534" s="152">
        <f>IF(L2534="","",IF('02_대상물건입력'!B15="",0,IF(ISNUMBER(SEARCH('02_대상물건입력'!B15,L2534)),1,0)))</f>
        <v/>
      </c>
      <c r="Q2534" s="152">
        <f>IF(OR(C2534="",L2534=""),0,IF(AND(TRIM(C2534)=TRIM(RIGHT(SUBSTITUTE(TRIM('02_대상물건입력'!$B$7)," ",REPT(" ",99)),99)),IF('02_대상물건입력'!B15="",TRUE(),ISNUMBER(SEARCH('02_대상물건입력'!B15,L2534)))),1,0))</f>
        <v/>
      </c>
      <c r="R2534" s="175">
        <f>IFERROR(ABS(E2534-'02_대상물건입력'!B11)/'02_대상물건입력'!B11,"")</f>
        <v/>
      </c>
      <c r="S2534" s="152">
        <f>IFERROR(ABS(J2534-'02_대상물건입력'!B10),"")</f>
        <v/>
      </c>
      <c r="T2534" s="152">
        <f>IFERROR(ABS('01_설정'!B4-F2534),"")</f>
        <v/>
      </c>
      <c r="U2534" s="152">
        <f>IFERROR(ABS(K2534-YEAR('02_대상물건입력'!B14)),"")</f>
        <v/>
      </c>
      <c r="V2534" s="152">
        <f>IF(B2534="","",IF(AND(E2534&gt;0,F2534&gt;0,H2534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2534=1,TRUE()),R2534&lt;='01_설정'!B5,S2534&lt;='01_설정'!B6,T2534&lt;='01_설정'!B7,U2534&lt;='01_설정'!B8),"Y",""))</f>
        <v/>
      </c>
      <c r="W2534" s="172">
        <f>IF(V2534&lt;&gt;"Y","",MAX(0,(1-R2534/'01_설정'!B5))*'01_설정'!B14+MAX(0,(1-S2534/'01_설정'!B6))*'01_설정'!B15+MAX(0,(1-T2534/'01_설정'!B7))*'01_설정'!B16+MAX(0,(1-U2534/'01_설정'!B8))*'01_설정'!B17+O2534*'01_설정'!B11+Q2534*'01_설정'!B12+P2534*'01_설정'!B13+IF(Z2534="",0,Z2534))</f>
        <v/>
      </c>
      <c r="X2534" s="152">
        <f>IF(W2534="","",1+COUNTIFS($W$4:$W$3003,"&gt;"&amp;W2534)+COUNTIFS($W$4:W2534,W2534)-1)</f>
        <v/>
      </c>
      <c r="Y2534" s="175">
        <f>IF(OR(I2534="",'02_대상물건입력'!B19="",'02_대상물건입력'!B19&lt;=0),"",ABS(I2534-'02_대상물건입력'!B19)/'02_대상물건입력'!B19)</f>
        <v/>
      </c>
      <c r="Z2534" s="172">
        <f>IF(OR(Y2534="",'01_설정'!B31="",'01_설정'!B31&lt;=0,'01_설정'!B32="",'01_설정'!B32&lt;=0),"",MAX(0,(1-Y2534/'01_설정'!B32))*'01_설정'!B31)</f>
        <v/>
      </c>
    </row>
    <row r="2535" ht="17.25" customHeight="1">
      <c r="A2535" s="152">
        <f>IF(INDEX('04A_국토부원자료'!$A:$A,ROW()+1)="","",ROW()-3)</f>
        <v/>
      </c>
      <c r="B2535" s="48">
        <f>IFERROR(INDEX('04A_국토부원자료'!$A:$T,ROW()+1,MATCH("시군구",'04A_국토부원자료'!$A$4:$T$4,0)),"")</f>
        <v/>
      </c>
      <c r="C2535" s="48">
        <f>IF(B2535="","",IFERROR(INDEX('04A_국토부원자료'!$A:$T,ROW()+1,MATCH("번지",'04A_국토부원자료'!$A$4:$T$4,0)),""))</f>
        <v/>
      </c>
      <c r="D2535" s="48">
        <f>IF(B2535="","",IF(Q2535=1,'02_대상물건입력'!$B$8,IFERROR(INDEX('04A_국토부원자료'!$A:$T,ROW()+1,MATCH("단지명",'04A_국토부원자료'!$A$4:$T$4,0)),"")))</f>
        <v/>
      </c>
      <c r="E2535" s="172">
        <f>IFERROR(VALUE(SUBSTITUTE(INDEX('04A_국토부원자료'!$A:$T,ROW()+1,MATCH("전용면적(㎡)",'04A_국토부원자료'!$A$4:$T$4,0)),",","")),"")</f>
        <v/>
      </c>
      <c r="F25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35" s="51">
        <f>IFERROR(VALUE(SUBSTITUTE(INDEX('04A_국토부원자료'!$A:$T,ROW()+1,MATCH("거래금액(만원)",'04A_국토부원자료'!$A$4:$T$4,0)),",","")),"")</f>
        <v/>
      </c>
      <c r="H2535" s="174">
        <f>IF(G2535="","",G2535*10000)</f>
        <v/>
      </c>
      <c r="I2535" s="174">
        <f>IFERROR(IF(AND(H2535&gt;0,E2535&gt;0),H2535/E2535,""),"")</f>
        <v/>
      </c>
      <c r="J2535" s="152">
        <f>IFERROR(VALUE(SUBSTITUTE(INDEX('04A_국토부원자료'!$A:$T,ROW()+1,MATCH("층",'04A_국토부원자료'!$A$4:$T$4,0)),",","")),"")</f>
        <v/>
      </c>
      <c r="K2535" s="152">
        <f>IFERROR(VALUE(SUBSTITUTE(INDEX('04A_국토부원자료'!$A:$T,ROW()+1,MATCH("건축년도",'04A_국토부원자료'!$A$4:$T$4,0)),",","")),"")</f>
        <v/>
      </c>
      <c r="L2535" s="48">
        <f>IFERROR(INDEX('04A_국토부원자료'!$A:$T,ROW()+1,MATCH("도로명",'04A_국토부원자료'!$A$4:$T$4,0)),"")</f>
        <v/>
      </c>
      <c r="M2535" s="48">
        <f>IFERROR(INDEX('04A_국토부원자료'!$A:$T,ROW()+1,MATCH("거래유형",'04A_국토부원자료'!$A$4:$T$4,0)),"")</f>
        <v/>
      </c>
      <c r="N2535" s="152">
        <f>IF(B2535="","",IF('02_대상물건입력'!B5="",1,IF(ISNUMBER(SEARCH('02_대상물건입력'!B5,B2535)),1,0)))</f>
        <v/>
      </c>
      <c r="O2535" s="152">
        <f>IF(B2535="","",IF('02_대상물건입력'!B6="",1,IF(ISNUMBER(SEARCH('02_대상물건입력'!B6,B2535)),1,0)))</f>
        <v/>
      </c>
      <c r="P2535" s="152">
        <f>IF(L2535="","",IF('02_대상물건입력'!B15="",0,IF(ISNUMBER(SEARCH('02_대상물건입력'!B15,L2535)),1,0)))</f>
        <v/>
      </c>
      <c r="Q2535" s="152">
        <f>IF(OR(C2535="",L2535=""),0,IF(AND(TRIM(C2535)=TRIM(RIGHT(SUBSTITUTE(TRIM('02_대상물건입력'!$B$7)," ",REPT(" ",99)),99)),IF('02_대상물건입력'!B15="",TRUE(),ISNUMBER(SEARCH('02_대상물건입력'!B15,L2535)))),1,0))</f>
        <v/>
      </c>
      <c r="R2535" s="175">
        <f>IFERROR(ABS(E2535-'02_대상물건입력'!B11)/'02_대상물건입력'!B11,"")</f>
        <v/>
      </c>
      <c r="S2535" s="152">
        <f>IFERROR(ABS(J2535-'02_대상물건입력'!B10),"")</f>
        <v/>
      </c>
      <c r="T2535" s="152">
        <f>IFERROR(ABS('01_설정'!B4-F2535),"")</f>
        <v/>
      </c>
      <c r="U2535" s="152">
        <f>IFERROR(ABS(K2535-YEAR('02_대상물건입력'!B14)),"")</f>
        <v/>
      </c>
      <c r="V2535" s="152">
        <f>IF(B2535="","",IF(AND(E2535&gt;0,F2535&gt;0,H2535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2535=1,TRUE()),R2535&lt;='01_설정'!B5,S2535&lt;='01_설정'!B6,T2535&lt;='01_설정'!B7,U2535&lt;='01_설정'!B8),"Y",""))</f>
        <v/>
      </c>
      <c r="W2535" s="172">
        <f>IF(V2535&lt;&gt;"Y","",MAX(0,(1-R2535/'01_설정'!B5))*'01_설정'!B14+MAX(0,(1-S2535/'01_설정'!B6))*'01_설정'!B15+MAX(0,(1-T2535/'01_설정'!B7))*'01_설정'!B16+MAX(0,(1-U2535/'01_설정'!B8))*'01_설정'!B17+O2535*'01_설정'!B11+Q2535*'01_설정'!B12+P2535*'01_설정'!B13+IF(Z2535="",0,Z2535))</f>
        <v/>
      </c>
      <c r="X2535" s="152">
        <f>IF(W2535="","",1+COUNTIFS($W$4:$W$3003,"&gt;"&amp;W2535)+COUNTIFS($W$4:W2535,W2535)-1)</f>
        <v/>
      </c>
      <c r="Y2535" s="175">
        <f>IF(OR(I2535="",'02_대상물건입력'!B19="",'02_대상물건입력'!B19&lt;=0),"",ABS(I2535-'02_대상물건입력'!B19)/'02_대상물건입력'!B19)</f>
        <v/>
      </c>
      <c r="Z2535" s="172">
        <f>IF(OR(Y2535="",'01_설정'!B31="",'01_설정'!B31&lt;=0,'01_설정'!B32="",'01_설정'!B32&lt;=0),"",MAX(0,(1-Y2535/'01_설정'!B32))*'01_설정'!B31)</f>
        <v/>
      </c>
    </row>
    <row r="2536" ht="17.25" customHeight="1">
      <c r="A2536" s="152">
        <f>IF(INDEX('04A_국토부원자료'!$A:$A,ROW()+1)="","",ROW()-3)</f>
        <v/>
      </c>
      <c r="B2536" s="48">
        <f>IFERROR(INDEX('04A_국토부원자료'!$A:$T,ROW()+1,MATCH("시군구",'04A_국토부원자료'!$A$4:$T$4,0)),"")</f>
        <v/>
      </c>
      <c r="C2536" s="48">
        <f>IF(B2536="","",IFERROR(INDEX('04A_국토부원자료'!$A:$T,ROW()+1,MATCH("번지",'04A_국토부원자료'!$A$4:$T$4,0)),""))</f>
        <v/>
      </c>
      <c r="D2536" s="48">
        <f>IF(B2536="","",IF(Q2536=1,'02_대상물건입력'!$B$8,IFERROR(INDEX('04A_국토부원자료'!$A:$T,ROW()+1,MATCH("단지명",'04A_국토부원자료'!$A$4:$T$4,0)),"")))</f>
        <v/>
      </c>
      <c r="E2536" s="172">
        <f>IFERROR(VALUE(SUBSTITUTE(INDEX('04A_국토부원자료'!$A:$T,ROW()+1,MATCH("전용면적(㎡)",'04A_국토부원자료'!$A$4:$T$4,0)),",","")),"")</f>
        <v/>
      </c>
      <c r="F25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36" s="51">
        <f>IFERROR(VALUE(SUBSTITUTE(INDEX('04A_국토부원자료'!$A:$T,ROW()+1,MATCH("거래금액(만원)",'04A_국토부원자료'!$A$4:$T$4,0)),",","")),"")</f>
        <v/>
      </c>
      <c r="H2536" s="174">
        <f>IF(G2536="","",G2536*10000)</f>
        <v/>
      </c>
      <c r="I2536" s="174">
        <f>IFERROR(IF(AND(H2536&gt;0,E2536&gt;0),H2536/E2536,""),"")</f>
        <v/>
      </c>
      <c r="J2536" s="152">
        <f>IFERROR(VALUE(SUBSTITUTE(INDEX('04A_국토부원자료'!$A:$T,ROW()+1,MATCH("층",'04A_국토부원자료'!$A$4:$T$4,0)),",","")),"")</f>
        <v/>
      </c>
      <c r="K2536" s="152">
        <f>IFERROR(VALUE(SUBSTITUTE(INDEX('04A_국토부원자료'!$A:$T,ROW()+1,MATCH("건축년도",'04A_국토부원자료'!$A$4:$T$4,0)),",","")),"")</f>
        <v/>
      </c>
      <c r="L2536" s="48">
        <f>IFERROR(INDEX('04A_국토부원자료'!$A:$T,ROW()+1,MATCH("도로명",'04A_국토부원자료'!$A$4:$T$4,0)),"")</f>
        <v/>
      </c>
      <c r="M2536" s="48">
        <f>IFERROR(INDEX('04A_국토부원자료'!$A:$T,ROW()+1,MATCH("거래유형",'04A_국토부원자료'!$A$4:$T$4,0)),"")</f>
        <v/>
      </c>
      <c r="N2536" s="152">
        <f>IF(B2536="","",IF('02_대상물건입력'!B5="",1,IF(ISNUMBER(SEARCH('02_대상물건입력'!B5,B2536)),1,0)))</f>
        <v/>
      </c>
      <c r="O2536" s="152">
        <f>IF(B2536="","",IF('02_대상물건입력'!B6="",1,IF(ISNUMBER(SEARCH('02_대상물건입력'!B6,B2536)),1,0)))</f>
        <v/>
      </c>
      <c r="P2536" s="152">
        <f>IF(L2536="","",IF('02_대상물건입력'!B15="",0,IF(ISNUMBER(SEARCH('02_대상물건입력'!B15,L2536)),1,0)))</f>
        <v/>
      </c>
      <c r="Q2536" s="152">
        <f>IF(OR(C2536="",L2536=""),0,IF(AND(TRIM(C2536)=TRIM(RIGHT(SUBSTITUTE(TRIM('02_대상물건입력'!$B$7)," ",REPT(" ",99)),99)),IF('02_대상물건입력'!B15="",TRUE(),ISNUMBER(SEARCH('02_대상물건입력'!B15,L2536)))),1,0))</f>
        <v/>
      </c>
      <c r="R2536" s="175">
        <f>IFERROR(ABS(E2536-'02_대상물건입력'!B11)/'02_대상물건입력'!B11,"")</f>
        <v/>
      </c>
      <c r="S2536" s="152">
        <f>IFERROR(ABS(J2536-'02_대상물건입력'!B10),"")</f>
        <v/>
      </c>
      <c r="T2536" s="152">
        <f>IFERROR(ABS('01_설정'!B4-F2536),"")</f>
        <v/>
      </c>
      <c r="U2536" s="152">
        <f>IFERROR(ABS(K2536-YEAR('02_대상물건입력'!B14)),"")</f>
        <v/>
      </c>
      <c r="V2536" s="152">
        <f>IF(B2536="","",IF(AND(E2536&gt;0,F2536&gt;0,H2536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2536=1,TRUE()),R2536&lt;='01_설정'!B5,S2536&lt;='01_설정'!B6,T2536&lt;='01_설정'!B7,U2536&lt;='01_설정'!B8),"Y",""))</f>
        <v/>
      </c>
      <c r="W2536" s="172">
        <f>IF(V2536&lt;&gt;"Y","",MAX(0,(1-R2536/'01_설정'!B5))*'01_설정'!B14+MAX(0,(1-S2536/'01_설정'!B6))*'01_설정'!B15+MAX(0,(1-T2536/'01_설정'!B7))*'01_설정'!B16+MAX(0,(1-U2536/'01_설정'!B8))*'01_설정'!B17+O2536*'01_설정'!B11+Q2536*'01_설정'!B12+P2536*'01_설정'!B13+IF(Z2536="",0,Z2536))</f>
        <v/>
      </c>
      <c r="X2536" s="152">
        <f>IF(W2536="","",1+COUNTIFS($W$4:$W$3003,"&gt;"&amp;W2536)+COUNTIFS($W$4:W2536,W2536)-1)</f>
        <v/>
      </c>
      <c r="Y2536" s="175">
        <f>IF(OR(I2536="",'02_대상물건입력'!B19="",'02_대상물건입력'!B19&lt;=0),"",ABS(I2536-'02_대상물건입력'!B19)/'02_대상물건입력'!B19)</f>
        <v/>
      </c>
      <c r="Z2536" s="172">
        <f>IF(OR(Y2536="",'01_설정'!B31="",'01_설정'!B31&lt;=0,'01_설정'!B32="",'01_설정'!B32&lt;=0),"",MAX(0,(1-Y2536/'01_설정'!B32))*'01_설정'!B31)</f>
        <v/>
      </c>
    </row>
    <row r="2537" ht="17.25" customHeight="1">
      <c r="A2537" s="152">
        <f>IF(INDEX('04A_국토부원자료'!$A:$A,ROW()+1)="","",ROW()-3)</f>
        <v/>
      </c>
      <c r="B2537" s="48">
        <f>IFERROR(INDEX('04A_국토부원자료'!$A:$T,ROW()+1,MATCH("시군구",'04A_국토부원자료'!$A$4:$T$4,0)),"")</f>
        <v/>
      </c>
      <c r="C2537" s="48">
        <f>IF(B2537="","",IFERROR(INDEX('04A_국토부원자료'!$A:$T,ROW()+1,MATCH("번지",'04A_국토부원자료'!$A$4:$T$4,0)),""))</f>
        <v/>
      </c>
      <c r="D2537" s="48">
        <f>IF(B2537="","",IF(Q2537=1,'02_대상물건입력'!$B$8,IFERROR(INDEX('04A_국토부원자료'!$A:$T,ROW()+1,MATCH("단지명",'04A_국토부원자료'!$A$4:$T$4,0)),"")))</f>
        <v/>
      </c>
      <c r="E2537" s="172">
        <f>IFERROR(VALUE(SUBSTITUTE(INDEX('04A_국토부원자료'!$A:$T,ROW()+1,MATCH("전용면적(㎡)",'04A_국토부원자료'!$A$4:$T$4,0)),",","")),"")</f>
        <v/>
      </c>
      <c r="F25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37" s="51">
        <f>IFERROR(VALUE(SUBSTITUTE(INDEX('04A_국토부원자료'!$A:$T,ROW()+1,MATCH("거래금액(만원)",'04A_국토부원자료'!$A$4:$T$4,0)),",","")),"")</f>
        <v/>
      </c>
      <c r="H2537" s="174">
        <f>IF(G2537="","",G2537*10000)</f>
        <v/>
      </c>
      <c r="I2537" s="174">
        <f>IFERROR(IF(AND(H2537&gt;0,E2537&gt;0),H2537/E2537,""),"")</f>
        <v/>
      </c>
      <c r="J2537" s="152">
        <f>IFERROR(VALUE(SUBSTITUTE(INDEX('04A_국토부원자료'!$A:$T,ROW()+1,MATCH("층",'04A_국토부원자료'!$A$4:$T$4,0)),",","")),"")</f>
        <v/>
      </c>
      <c r="K2537" s="152">
        <f>IFERROR(VALUE(SUBSTITUTE(INDEX('04A_국토부원자료'!$A:$T,ROW()+1,MATCH("건축년도",'04A_국토부원자료'!$A$4:$T$4,0)),",","")),"")</f>
        <v/>
      </c>
      <c r="L2537" s="48">
        <f>IFERROR(INDEX('04A_국토부원자료'!$A:$T,ROW()+1,MATCH("도로명",'04A_국토부원자료'!$A$4:$T$4,0)),"")</f>
        <v/>
      </c>
      <c r="M2537" s="48">
        <f>IFERROR(INDEX('04A_국토부원자료'!$A:$T,ROW()+1,MATCH("거래유형",'04A_국토부원자료'!$A$4:$T$4,0)),"")</f>
        <v/>
      </c>
      <c r="N2537" s="152">
        <f>IF(B2537="","",IF('02_대상물건입력'!B5="",1,IF(ISNUMBER(SEARCH('02_대상물건입력'!B5,B2537)),1,0)))</f>
        <v/>
      </c>
      <c r="O2537" s="152">
        <f>IF(B2537="","",IF('02_대상물건입력'!B6="",1,IF(ISNUMBER(SEARCH('02_대상물건입력'!B6,B2537)),1,0)))</f>
        <v/>
      </c>
      <c r="P2537" s="152">
        <f>IF(L2537="","",IF('02_대상물건입력'!B15="",0,IF(ISNUMBER(SEARCH('02_대상물건입력'!B15,L2537)),1,0)))</f>
        <v/>
      </c>
      <c r="Q2537" s="152">
        <f>IF(OR(C2537="",L2537=""),0,IF(AND(TRIM(C2537)=TRIM(RIGHT(SUBSTITUTE(TRIM('02_대상물건입력'!$B$7)," ",REPT(" ",99)),99)),IF('02_대상물건입력'!B15="",TRUE(),ISNUMBER(SEARCH('02_대상물건입력'!B15,L2537)))),1,0))</f>
        <v/>
      </c>
      <c r="R2537" s="175">
        <f>IFERROR(ABS(E2537-'02_대상물건입력'!B11)/'02_대상물건입력'!B11,"")</f>
        <v/>
      </c>
      <c r="S2537" s="152">
        <f>IFERROR(ABS(J2537-'02_대상물건입력'!B10),"")</f>
        <v/>
      </c>
      <c r="T2537" s="152">
        <f>IFERROR(ABS('01_설정'!B4-F2537),"")</f>
        <v/>
      </c>
      <c r="U2537" s="152">
        <f>IFERROR(ABS(K2537-YEAR('02_대상물건입력'!B14)),"")</f>
        <v/>
      </c>
      <c r="V2537" s="152">
        <f>IF(B2537="","",IF(AND(E2537&gt;0,F2537&gt;0,H2537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2537=1,TRUE()),R2537&lt;='01_설정'!B5,S2537&lt;='01_설정'!B6,T2537&lt;='01_설정'!B7,U2537&lt;='01_설정'!B8),"Y",""))</f>
        <v/>
      </c>
      <c r="W2537" s="172">
        <f>IF(V2537&lt;&gt;"Y","",MAX(0,(1-R2537/'01_설정'!B5))*'01_설정'!B14+MAX(0,(1-S2537/'01_설정'!B6))*'01_설정'!B15+MAX(0,(1-T2537/'01_설정'!B7))*'01_설정'!B16+MAX(0,(1-U2537/'01_설정'!B8))*'01_설정'!B17+O2537*'01_설정'!B11+Q2537*'01_설정'!B12+P2537*'01_설정'!B13+IF(Z2537="",0,Z2537))</f>
        <v/>
      </c>
      <c r="X2537" s="152">
        <f>IF(W2537="","",1+COUNTIFS($W$4:$W$3003,"&gt;"&amp;W2537)+COUNTIFS($W$4:W2537,W2537)-1)</f>
        <v/>
      </c>
      <c r="Y2537" s="175">
        <f>IF(OR(I2537="",'02_대상물건입력'!B19="",'02_대상물건입력'!B19&lt;=0),"",ABS(I2537-'02_대상물건입력'!B19)/'02_대상물건입력'!B19)</f>
        <v/>
      </c>
      <c r="Z2537" s="172">
        <f>IF(OR(Y2537="",'01_설정'!B31="",'01_설정'!B31&lt;=0,'01_설정'!B32="",'01_설정'!B32&lt;=0),"",MAX(0,(1-Y2537/'01_설정'!B32))*'01_설정'!B31)</f>
        <v/>
      </c>
    </row>
    <row r="2538" ht="17.25" customHeight="1">
      <c r="A2538" s="152">
        <f>IF(INDEX('04A_국토부원자료'!$A:$A,ROW()+1)="","",ROW()-3)</f>
        <v/>
      </c>
      <c r="B2538" s="48">
        <f>IFERROR(INDEX('04A_국토부원자료'!$A:$T,ROW()+1,MATCH("시군구",'04A_국토부원자료'!$A$4:$T$4,0)),"")</f>
        <v/>
      </c>
      <c r="C2538" s="48">
        <f>IF(B2538="","",IFERROR(INDEX('04A_국토부원자료'!$A:$T,ROW()+1,MATCH("번지",'04A_국토부원자료'!$A$4:$T$4,0)),""))</f>
        <v/>
      </c>
      <c r="D2538" s="48">
        <f>IF(B2538="","",IF(Q2538=1,'02_대상물건입력'!$B$8,IFERROR(INDEX('04A_국토부원자료'!$A:$T,ROW()+1,MATCH("단지명",'04A_국토부원자료'!$A$4:$T$4,0)),"")))</f>
        <v/>
      </c>
      <c r="E2538" s="172">
        <f>IFERROR(VALUE(SUBSTITUTE(INDEX('04A_국토부원자료'!$A:$T,ROW()+1,MATCH("전용면적(㎡)",'04A_국토부원자료'!$A$4:$T$4,0)),",","")),"")</f>
        <v/>
      </c>
      <c r="F25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38" s="51">
        <f>IFERROR(VALUE(SUBSTITUTE(INDEX('04A_국토부원자료'!$A:$T,ROW()+1,MATCH("거래금액(만원)",'04A_국토부원자료'!$A$4:$T$4,0)),",","")),"")</f>
        <v/>
      </c>
      <c r="H2538" s="174">
        <f>IF(G2538="","",G2538*10000)</f>
        <v/>
      </c>
      <c r="I2538" s="174">
        <f>IFERROR(IF(AND(H2538&gt;0,E2538&gt;0),H2538/E2538,""),"")</f>
        <v/>
      </c>
      <c r="J2538" s="152">
        <f>IFERROR(VALUE(SUBSTITUTE(INDEX('04A_국토부원자료'!$A:$T,ROW()+1,MATCH("층",'04A_국토부원자료'!$A$4:$T$4,0)),",","")),"")</f>
        <v/>
      </c>
      <c r="K2538" s="152">
        <f>IFERROR(VALUE(SUBSTITUTE(INDEX('04A_국토부원자료'!$A:$T,ROW()+1,MATCH("건축년도",'04A_국토부원자료'!$A$4:$T$4,0)),",","")),"")</f>
        <v/>
      </c>
      <c r="L2538" s="48">
        <f>IFERROR(INDEX('04A_국토부원자료'!$A:$T,ROW()+1,MATCH("도로명",'04A_국토부원자료'!$A$4:$T$4,0)),"")</f>
        <v/>
      </c>
      <c r="M2538" s="48">
        <f>IFERROR(INDEX('04A_국토부원자료'!$A:$T,ROW()+1,MATCH("거래유형",'04A_국토부원자료'!$A$4:$T$4,0)),"")</f>
        <v/>
      </c>
      <c r="N2538" s="152">
        <f>IF(B2538="","",IF('02_대상물건입력'!B5="",1,IF(ISNUMBER(SEARCH('02_대상물건입력'!B5,B2538)),1,0)))</f>
        <v/>
      </c>
      <c r="O2538" s="152">
        <f>IF(B2538="","",IF('02_대상물건입력'!B6="",1,IF(ISNUMBER(SEARCH('02_대상물건입력'!B6,B2538)),1,0)))</f>
        <v/>
      </c>
      <c r="P2538" s="152">
        <f>IF(L2538="","",IF('02_대상물건입력'!B15="",0,IF(ISNUMBER(SEARCH('02_대상물건입력'!B15,L2538)),1,0)))</f>
        <v/>
      </c>
      <c r="Q2538" s="152">
        <f>IF(OR(C2538="",L2538=""),0,IF(AND(TRIM(C2538)=TRIM(RIGHT(SUBSTITUTE(TRIM('02_대상물건입력'!$B$7)," ",REPT(" ",99)),99)),IF('02_대상물건입력'!B15="",TRUE(),ISNUMBER(SEARCH('02_대상물건입력'!B15,L2538)))),1,0))</f>
        <v/>
      </c>
      <c r="R2538" s="175">
        <f>IFERROR(ABS(E2538-'02_대상물건입력'!B11)/'02_대상물건입력'!B11,"")</f>
        <v/>
      </c>
      <c r="S2538" s="152">
        <f>IFERROR(ABS(J2538-'02_대상물건입력'!B10),"")</f>
        <v/>
      </c>
      <c r="T2538" s="152">
        <f>IFERROR(ABS('01_설정'!B4-F2538),"")</f>
        <v/>
      </c>
      <c r="U2538" s="152">
        <f>IFERROR(ABS(K2538-YEAR('02_대상물건입력'!B14)),"")</f>
        <v/>
      </c>
      <c r="V2538" s="152">
        <f>IF(B2538="","",IF(AND(E2538&gt;0,F2538&gt;0,H2538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2538=1,TRUE()),R2538&lt;='01_설정'!B5,S2538&lt;='01_설정'!B6,T2538&lt;='01_설정'!B7,U2538&lt;='01_설정'!B8),"Y",""))</f>
        <v/>
      </c>
      <c r="W2538" s="172">
        <f>IF(V2538&lt;&gt;"Y","",MAX(0,(1-R2538/'01_설정'!B5))*'01_설정'!B14+MAX(0,(1-S2538/'01_설정'!B6))*'01_설정'!B15+MAX(0,(1-T2538/'01_설정'!B7))*'01_설정'!B16+MAX(0,(1-U2538/'01_설정'!B8))*'01_설정'!B17+O2538*'01_설정'!B11+Q2538*'01_설정'!B12+P2538*'01_설정'!B13+IF(Z2538="",0,Z2538))</f>
        <v/>
      </c>
      <c r="X2538" s="152">
        <f>IF(W2538="","",1+COUNTIFS($W$4:$W$3003,"&gt;"&amp;W2538)+COUNTIFS($W$4:W2538,W2538)-1)</f>
        <v/>
      </c>
      <c r="Y2538" s="175">
        <f>IF(OR(I2538="",'02_대상물건입력'!B19="",'02_대상물건입력'!B19&lt;=0),"",ABS(I2538-'02_대상물건입력'!B19)/'02_대상물건입력'!B19)</f>
        <v/>
      </c>
      <c r="Z2538" s="172">
        <f>IF(OR(Y2538="",'01_설정'!B31="",'01_설정'!B31&lt;=0,'01_설정'!B32="",'01_설정'!B32&lt;=0),"",MAX(0,(1-Y2538/'01_설정'!B32))*'01_설정'!B31)</f>
        <v/>
      </c>
    </row>
    <row r="2539" ht="17.25" customHeight="1">
      <c r="A2539" s="152">
        <f>IF(INDEX('04A_국토부원자료'!$A:$A,ROW()+1)="","",ROW()-3)</f>
        <v/>
      </c>
      <c r="B2539" s="48">
        <f>IFERROR(INDEX('04A_국토부원자료'!$A:$T,ROW()+1,MATCH("시군구",'04A_국토부원자료'!$A$4:$T$4,0)),"")</f>
        <v/>
      </c>
      <c r="C2539" s="48">
        <f>IF(B2539="","",IFERROR(INDEX('04A_국토부원자료'!$A:$T,ROW()+1,MATCH("번지",'04A_국토부원자료'!$A$4:$T$4,0)),""))</f>
        <v/>
      </c>
      <c r="D2539" s="48">
        <f>IF(B2539="","",IF(Q2539=1,'02_대상물건입력'!$B$8,IFERROR(INDEX('04A_국토부원자료'!$A:$T,ROW()+1,MATCH("단지명",'04A_국토부원자료'!$A$4:$T$4,0)),"")))</f>
        <v/>
      </c>
      <c r="E2539" s="172">
        <f>IFERROR(VALUE(SUBSTITUTE(INDEX('04A_국토부원자료'!$A:$T,ROW()+1,MATCH("전용면적(㎡)",'04A_국토부원자료'!$A$4:$T$4,0)),",","")),"")</f>
        <v/>
      </c>
      <c r="F25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39" s="51">
        <f>IFERROR(VALUE(SUBSTITUTE(INDEX('04A_국토부원자료'!$A:$T,ROW()+1,MATCH("거래금액(만원)",'04A_국토부원자료'!$A$4:$T$4,0)),",","")),"")</f>
        <v/>
      </c>
      <c r="H2539" s="174">
        <f>IF(G2539="","",G2539*10000)</f>
        <v/>
      </c>
      <c r="I2539" s="174">
        <f>IFERROR(IF(AND(H2539&gt;0,E2539&gt;0),H2539/E2539,""),"")</f>
        <v/>
      </c>
      <c r="J2539" s="152">
        <f>IFERROR(VALUE(SUBSTITUTE(INDEX('04A_국토부원자료'!$A:$T,ROW()+1,MATCH("층",'04A_국토부원자료'!$A$4:$T$4,0)),",","")),"")</f>
        <v/>
      </c>
      <c r="K2539" s="152">
        <f>IFERROR(VALUE(SUBSTITUTE(INDEX('04A_국토부원자료'!$A:$T,ROW()+1,MATCH("건축년도",'04A_국토부원자료'!$A$4:$T$4,0)),",","")),"")</f>
        <v/>
      </c>
      <c r="L2539" s="48">
        <f>IFERROR(INDEX('04A_국토부원자료'!$A:$T,ROW()+1,MATCH("도로명",'04A_국토부원자료'!$A$4:$T$4,0)),"")</f>
        <v/>
      </c>
      <c r="M2539" s="48">
        <f>IFERROR(INDEX('04A_국토부원자료'!$A:$T,ROW()+1,MATCH("거래유형",'04A_국토부원자료'!$A$4:$T$4,0)),"")</f>
        <v/>
      </c>
      <c r="N2539" s="152">
        <f>IF(B2539="","",IF('02_대상물건입력'!B5="",1,IF(ISNUMBER(SEARCH('02_대상물건입력'!B5,B2539)),1,0)))</f>
        <v/>
      </c>
      <c r="O2539" s="152">
        <f>IF(B2539="","",IF('02_대상물건입력'!B6="",1,IF(ISNUMBER(SEARCH('02_대상물건입력'!B6,B2539)),1,0)))</f>
        <v/>
      </c>
      <c r="P2539" s="152">
        <f>IF(L2539="","",IF('02_대상물건입력'!B15="",0,IF(ISNUMBER(SEARCH('02_대상물건입력'!B15,L2539)),1,0)))</f>
        <v/>
      </c>
      <c r="Q2539" s="152">
        <f>IF(OR(C2539="",L2539=""),0,IF(AND(TRIM(C2539)=TRIM(RIGHT(SUBSTITUTE(TRIM('02_대상물건입력'!$B$7)," ",REPT(" ",99)),99)),IF('02_대상물건입력'!B15="",TRUE(),ISNUMBER(SEARCH('02_대상물건입력'!B15,L2539)))),1,0))</f>
        <v/>
      </c>
      <c r="R2539" s="175">
        <f>IFERROR(ABS(E2539-'02_대상물건입력'!B11)/'02_대상물건입력'!B11,"")</f>
        <v/>
      </c>
      <c r="S2539" s="152">
        <f>IFERROR(ABS(J2539-'02_대상물건입력'!B10),"")</f>
        <v/>
      </c>
      <c r="T2539" s="152">
        <f>IFERROR(ABS('01_설정'!B4-F2539),"")</f>
        <v/>
      </c>
      <c r="U2539" s="152">
        <f>IFERROR(ABS(K2539-YEAR('02_대상물건입력'!B14)),"")</f>
        <v/>
      </c>
      <c r="V2539" s="152">
        <f>IF(B2539="","",IF(AND(E2539&gt;0,F2539&gt;0,H2539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2539=1,TRUE()),R2539&lt;='01_설정'!B5,S2539&lt;='01_설정'!B6,T2539&lt;='01_설정'!B7,U2539&lt;='01_설정'!B8),"Y",""))</f>
        <v/>
      </c>
      <c r="W2539" s="172">
        <f>IF(V2539&lt;&gt;"Y","",MAX(0,(1-R2539/'01_설정'!B5))*'01_설정'!B14+MAX(0,(1-S2539/'01_설정'!B6))*'01_설정'!B15+MAX(0,(1-T2539/'01_설정'!B7))*'01_설정'!B16+MAX(0,(1-U2539/'01_설정'!B8))*'01_설정'!B17+O2539*'01_설정'!B11+Q2539*'01_설정'!B12+P2539*'01_설정'!B13+IF(Z2539="",0,Z2539))</f>
        <v/>
      </c>
      <c r="X2539" s="152">
        <f>IF(W2539="","",1+COUNTIFS($W$4:$W$3003,"&gt;"&amp;W2539)+COUNTIFS($W$4:W2539,W2539)-1)</f>
        <v/>
      </c>
      <c r="Y2539" s="175">
        <f>IF(OR(I2539="",'02_대상물건입력'!B19="",'02_대상물건입력'!B19&lt;=0),"",ABS(I2539-'02_대상물건입력'!B19)/'02_대상물건입력'!B19)</f>
        <v/>
      </c>
      <c r="Z2539" s="172">
        <f>IF(OR(Y2539="",'01_설정'!B31="",'01_설정'!B31&lt;=0,'01_설정'!B32="",'01_설정'!B32&lt;=0),"",MAX(0,(1-Y2539/'01_설정'!B32))*'01_설정'!B31)</f>
        <v/>
      </c>
    </row>
    <row r="2540" ht="17.25" customHeight="1">
      <c r="A2540" s="152">
        <f>IF(INDEX('04A_국토부원자료'!$A:$A,ROW()+1)="","",ROW()-3)</f>
        <v/>
      </c>
      <c r="B2540" s="48">
        <f>IFERROR(INDEX('04A_국토부원자료'!$A:$T,ROW()+1,MATCH("시군구",'04A_국토부원자료'!$A$4:$T$4,0)),"")</f>
        <v/>
      </c>
      <c r="C2540" s="48">
        <f>IF(B2540="","",IFERROR(INDEX('04A_국토부원자료'!$A:$T,ROW()+1,MATCH("번지",'04A_국토부원자료'!$A$4:$T$4,0)),""))</f>
        <v/>
      </c>
      <c r="D2540" s="48">
        <f>IF(B2540="","",IF(Q2540=1,'02_대상물건입력'!$B$8,IFERROR(INDEX('04A_국토부원자료'!$A:$T,ROW()+1,MATCH("단지명",'04A_국토부원자료'!$A$4:$T$4,0)),"")))</f>
        <v/>
      </c>
      <c r="E2540" s="172">
        <f>IFERROR(VALUE(SUBSTITUTE(INDEX('04A_국토부원자료'!$A:$T,ROW()+1,MATCH("전용면적(㎡)",'04A_국토부원자료'!$A$4:$T$4,0)),",","")),"")</f>
        <v/>
      </c>
      <c r="F25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40" s="51">
        <f>IFERROR(VALUE(SUBSTITUTE(INDEX('04A_국토부원자료'!$A:$T,ROW()+1,MATCH("거래금액(만원)",'04A_국토부원자료'!$A$4:$T$4,0)),",","")),"")</f>
        <v/>
      </c>
      <c r="H2540" s="174">
        <f>IF(G2540="","",G2540*10000)</f>
        <v/>
      </c>
      <c r="I2540" s="174">
        <f>IFERROR(IF(AND(H2540&gt;0,E2540&gt;0),H2540/E2540,""),"")</f>
        <v/>
      </c>
      <c r="J2540" s="152">
        <f>IFERROR(VALUE(SUBSTITUTE(INDEX('04A_국토부원자료'!$A:$T,ROW()+1,MATCH("층",'04A_국토부원자료'!$A$4:$T$4,0)),",","")),"")</f>
        <v/>
      </c>
      <c r="K2540" s="152">
        <f>IFERROR(VALUE(SUBSTITUTE(INDEX('04A_국토부원자료'!$A:$T,ROW()+1,MATCH("건축년도",'04A_국토부원자료'!$A$4:$T$4,0)),",","")),"")</f>
        <v/>
      </c>
      <c r="L2540" s="48">
        <f>IFERROR(INDEX('04A_국토부원자료'!$A:$T,ROW()+1,MATCH("도로명",'04A_국토부원자료'!$A$4:$T$4,0)),"")</f>
        <v/>
      </c>
      <c r="M2540" s="48">
        <f>IFERROR(INDEX('04A_국토부원자료'!$A:$T,ROW()+1,MATCH("거래유형",'04A_국토부원자료'!$A$4:$T$4,0)),"")</f>
        <v/>
      </c>
      <c r="N2540" s="152">
        <f>IF(B2540="","",IF('02_대상물건입력'!B5="",1,IF(ISNUMBER(SEARCH('02_대상물건입력'!B5,B2540)),1,0)))</f>
        <v/>
      </c>
      <c r="O2540" s="152">
        <f>IF(B2540="","",IF('02_대상물건입력'!B6="",1,IF(ISNUMBER(SEARCH('02_대상물건입력'!B6,B2540)),1,0)))</f>
        <v/>
      </c>
      <c r="P2540" s="152">
        <f>IF(L2540="","",IF('02_대상물건입력'!B15="",0,IF(ISNUMBER(SEARCH('02_대상물건입력'!B15,L2540)),1,0)))</f>
        <v/>
      </c>
      <c r="Q2540" s="152">
        <f>IF(OR(C2540="",L2540=""),0,IF(AND(TRIM(C2540)=TRIM(RIGHT(SUBSTITUTE(TRIM('02_대상물건입력'!$B$7)," ",REPT(" ",99)),99)),IF('02_대상물건입력'!B15="",TRUE(),ISNUMBER(SEARCH('02_대상물건입력'!B15,L2540)))),1,0))</f>
        <v/>
      </c>
      <c r="R2540" s="175">
        <f>IFERROR(ABS(E2540-'02_대상물건입력'!B11)/'02_대상물건입력'!B11,"")</f>
        <v/>
      </c>
      <c r="S2540" s="152">
        <f>IFERROR(ABS(J2540-'02_대상물건입력'!B10),"")</f>
        <v/>
      </c>
      <c r="T2540" s="152">
        <f>IFERROR(ABS('01_설정'!B4-F2540),"")</f>
        <v/>
      </c>
      <c r="U2540" s="152">
        <f>IFERROR(ABS(K2540-YEAR('02_대상물건입력'!B14)),"")</f>
        <v/>
      </c>
      <c r="V2540" s="152">
        <f>IF(B2540="","",IF(AND(E2540&gt;0,F2540&gt;0,H2540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2540=1,TRUE()),R2540&lt;='01_설정'!B5,S2540&lt;='01_설정'!B6,T2540&lt;='01_설정'!B7,U2540&lt;='01_설정'!B8),"Y",""))</f>
        <v/>
      </c>
      <c r="W2540" s="172">
        <f>IF(V2540&lt;&gt;"Y","",MAX(0,(1-R2540/'01_설정'!B5))*'01_설정'!B14+MAX(0,(1-S2540/'01_설정'!B6))*'01_설정'!B15+MAX(0,(1-T2540/'01_설정'!B7))*'01_설정'!B16+MAX(0,(1-U2540/'01_설정'!B8))*'01_설정'!B17+O2540*'01_설정'!B11+Q2540*'01_설정'!B12+P2540*'01_설정'!B13+IF(Z2540="",0,Z2540))</f>
        <v/>
      </c>
      <c r="X2540" s="152">
        <f>IF(W2540="","",1+COUNTIFS($W$4:$W$3003,"&gt;"&amp;W2540)+COUNTIFS($W$4:W2540,W2540)-1)</f>
        <v/>
      </c>
      <c r="Y2540" s="175">
        <f>IF(OR(I2540="",'02_대상물건입력'!B19="",'02_대상물건입력'!B19&lt;=0),"",ABS(I2540-'02_대상물건입력'!B19)/'02_대상물건입력'!B19)</f>
        <v/>
      </c>
      <c r="Z2540" s="172">
        <f>IF(OR(Y2540="",'01_설정'!B31="",'01_설정'!B31&lt;=0,'01_설정'!B32="",'01_설정'!B32&lt;=0),"",MAX(0,(1-Y2540/'01_설정'!B32))*'01_설정'!B31)</f>
        <v/>
      </c>
    </row>
    <row r="2541" ht="17.25" customHeight="1">
      <c r="A2541" s="152">
        <f>IF(INDEX('04A_국토부원자료'!$A:$A,ROW()+1)="","",ROW()-3)</f>
        <v/>
      </c>
      <c r="B2541" s="48">
        <f>IFERROR(INDEX('04A_국토부원자료'!$A:$T,ROW()+1,MATCH("시군구",'04A_국토부원자료'!$A$4:$T$4,0)),"")</f>
        <v/>
      </c>
      <c r="C2541" s="48">
        <f>IF(B2541="","",IFERROR(INDEX('04A_국토부원자료'!$A:$T,ROW()+1,MATCH("번지",'04A_국토부원자료'!$A$4:$T$4,0)),""))</f>
        <v/>
      </c>
      <c r="D2541" s="48">
        <f>IF(B2541="","",IF(Q2541=1,'02_대상물건입력'!$B$8,IFERROR(INDEX('04A_국토부원자료'!$A:$T,ROW()+1,MATCH("단지명",'04A_국토부원자료'!$A$4:$T$4,0)),"")))</f>
        <v/>
      </c>
      <c r="E2541" s="172">
        <f>IFERROR(VALUE(SUBSTITUTE(INDEX('04A_국토부원자료'!$A:$T,ROW()+1,MATCH("전용면적(㎡)",'04A_국토부원자료'!$A$4:$T$4,0)),",","")),"")</f>
        <v/>
      </c>
      <c r="F25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41" s="51">
        <f>IFERROR(VALUE(SUBSTITUTE(INDEX('04A_국토부원자료'!$A:$T,ROW()+1,MATCH("거래금액(만원)",'04A_국토부원자료'!$A$4:$T$4,0)),",","")),"")</f>
        <v/>
      </c>
      <c r="H2541" s="174">
        <f>IF(G2541="","",G2541*10000)</f>
        <v/>
      </c>
      <c r="I2541" s="174">
        <f>IFERROR(IF(AND(H2541&gt;0,E2541&gt;0),H2541/E2541,""),"")</f>
        <v/>
      </c>
      <c r="J2541" s="152">
        <f>IFERROR(VALUE(SUBSTITUTE(INDEX('04A_국토부원자료'!$A:$T,ROW()+1,MATCH("층",'04A_국토부원자료'!$A$4:$T$4,0)),",","")),"")</f>
        <v/>
      </c>
      <c r="K2541" s="152">
        <f>IFERROR(VALUE(SUBSTITUTE(INDEX('04A_국토부원자료'!$A:$T,ROW()+1,MATCH("건축년도",'04A_국토부원자료'!$A$4:$T$4,0)),",","")),"")</f>
        <v/>
      </c>
      <c r="L2541" s="48">
        <f>IFERROR(INDEX('04A_국토부원자료'!$A:$T,ROW()+1,MATCH("도로명",'04A_국토부원자료'!$A$4:$T$4,0)),"")</f>
        <v/>
      </c>
      <c r="M2541" s="48">
        <f>IFERROR(INDEX('04A_국토부원자료'!$A:$T,ROW()+1,MATCH("거래유형",'04A_국토부원자료'!$A$4:$T$4,0)),"")</f>
        <v/>
      </c>
      <c r="N2541" s="152">
        <f>IF(B2541="","",IF('02_대상물건입력'!B5="",1,IF(ISNUMBER(SEARCH('02_대상물건입력'!B5,B2541)),1,0)))</f>
        <v/>
      </c>
      <c r="O2541" s="152">
        <f>IF(B2541="","",IF('02_대상물건입력'!B6="",1,IF(ISNUMBER(SEARCH('02_대상물건입력'!B6,B2541)),1,0)))</f>
        <v/>
      </c>
      <c r="P2541" s="152">
        <f>IF(L2541="","",IF('02_대상물건입력'!B15="",0,IF(ISNUMBER(SEARCH('02_대상물건입력'!B15,L2541)),1,0)))</f>
        <v/>
      </c>
      <c r="Q2541" s="152">
        <f>IF(OR(C2541="",L2541=""),0,IF(AND(TRIM(C2541)=TRIM(RIGHT(SUBSTITUTE(TRIM('02_대상물건입력'!$B$7)," ",REPT(" ",99)),99)),IF('02_대상물건입력'!B15="",TRUE(),ISNUMBER(SEARCH('02_대상물건입력'!B15,L2541)))),1,0))</f>
        <v/>
      </c>
      <c r="R2541" s="175">
        <f>IFERROR(ABS(E2541-'02_대상물건입력'!B11)/'02_대상물건입력'!B11,"")</f>
        <v/>
      </c>
      <c r="S2541" s="152">
        <f>IFERROR(ABS(J2541-'02_대상물건입력'!B10),"")</f>
        <v/>
      </c>
      <c r="T2541" s="152">
        <f>IFERROR(ABS('01_설정'!B4-F2541),"")</f>
        <v/>
      </c>
      <c r="U2541" s="152">
        <f>IFERROR(ABS(K2541-YEAR('02_대상물건입력'!B14)),"")</f>
        <v/>
      </c>
      <c r="V2541" s="152">
        <f>IF(B2541="","",IF(AND(E2541&gt;0,F2541&gt;0,H2541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2541=1,TRUE()),R2541&lt;='01_설정'!B5,S2541&lt;='01_설정'!B6,T2541&lt;='01_설정'!B7,U2541&lt;='01_설정'!B8),"Y",""))</f>
        <v/>
      </c>
      <c r="W2541" s="172">
        <f>IF(V2541&lt;&gt;"Y","",MAX(0,(1-R2541/'01_설정'!B5))*'01_설정'!B14+MAX(0,(1-S2541/'01_설정'!B6))*'01_설정'!B15+MAX(0,(1-T2541/'01_설정'!B7))*'01_설정'!B16+MAX(0,(1-U2541/'01_설정'!B8))*'01_설정'!B17+O2541*'01_설정'!B11+Q2541*'01_설정'!B12+P2541*'01_설정'!B13+IF(Z2541="",0,Z2541))</f>
        <v/>
      </c>
      <c r="X2541" s="152">
        <f>IF(W2541="","",1+COUNTIFS($W$4:$W$3003,"&gt;"&amp;W2541)+COUNTIFS($W$4:W2541,W2541)-1)</f>
        <v/>
      </c>
      <c r="Y2541" s="175">
        <f>IF(OR(I2541="",'02_대상물건입력'!B19="",'02_대상물건입력'!B19&lt;=0),"",ABS(I2541-'02_대상물건입력'!B19)/'02_대상물건입력'!B19)</f>
        <v/>
      </c>
      <c r="Z2541" s="172">
        <f>IF(OR(Y2541="",'01_설정'!B31="",'01_설정'!B31&lt;=0,'01_설정'!B32="",'01_설정'!B32&lt;=0),"",MAX(0,(1-Y2541/'01_설정'!B32))*'01_설정'!B31)</f>
        <v/>
      </c>
    </row>
    <row r="2542" ht="17.25" customHeight="1">
      <c r="A2542" s="152">
        <f>IF(INDEX('04A_국토부원자료'!$A:$A,ROW()+1)="","",ROW()-3)</f>
        <v/>
      </c>
      <c r="B2542" s="48">
        <f>IFERROR(INDEX('04A_국토부원자료'!$A:$T,ROW()+1,MATCH("시군구",'04A_국토부원자료'!$A$4:$T$4,0)),"")</f>
        <v/>
      </c>
      <c r="C2542" s="48">
        <f>IF(B2542="","",IFERROR(INDEX('04A_국토부원자료'!$A:$T,ROW()+1,MATCH("번지",'04A_국토부원자료'!$A$4:$T$4,0)),""))</f>
        <v/>
      </c>
      <c r="D2542" s="48">
        <f>IF(B2542="","",IF(Q2542=1,'02_대상물건입력'!$B$8,IFERROR(INDEX('04A_국토부원자료'!$A:$T,ROW()+1,MATCH("단지명",'04A_국토부원자료'!$A$4:$T$4,0)),"")))</f>
        <v/>
      </c>
      <c r="E2542" s="172">
        <f>IFERROR(VALUE(SUBSTITUTE(INDEX('04A_국토부원자료'!$A:$T,ROW()+1,MATCH("전용면적(㎡)",'04A_국토부원자료'!$A$4:$T$4,0)),",","")),"")</f>
        <v/>
      </c>
      <c r="F25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42" s="51">
        <f>IFERROR(VALUE(SUBSTITUTE(INDEX('04A_국토부원자료'!$A:$T,ROW()+1,MATCH("거래금액(만원)",'04A_국토부원자료'!$A$4:$T$4,0)),",","")),"")</f>
        <v/>
      </c>
      <c r="H2542" s="174">
        <f>IF(G2542="","",G2542*10000)</f>
        <v/>
      </c>
      <c r="I2542" s="174">
        <f>IFERROR(IF(AND(H2542&gt;0,E2542&gt;0),H2542/E2542,""),"")</f>
        <v/>
      </c>
      <c r="J2542" s="152">
        <f>IFERROR(VALUE(SUBSTITUTE(INDEX('04A_국토부원자료'!$A:$T,ROW()+1,MATCH("층",'04A_국토부원자료'!$A$4:$T$4,0)),",","")),"")</f>
        <v/>
      </c>
      <c r="K2542" s="152">
        <f>IFERROR(VALUE(SUBSTITUTE(INDEX('04A_국토부원자료'!$A:$T,ROW()+1,MATCH("건축년도",'04A_국토부원자료'!$A$4:$T$4,0)),",","")),"")</f>
        <v/>
      </c>
      <c r="L2542" s="48">
        <f>IFERROR(INDEX('04A_국토부원자료'!$A:$T,ROW()+1,MATCH("도로명",'04A_국토부원자료'!$A$4:$T$4,0)),"")</f>
        <v/>
      </c>
      <c r="M2542" s="48">
        <f>IFERROR(INDEX('04A_국토부원자료'!$A:$T,ROW()+1,MATCH("거래유형",'04A_국토부원자료'!$A$4:$T$4,0)),"")</f>
        <v/>
      </c>
      <c r="N2542" s="152">
        <f>IF(B2542="","",IF('02_대상물건입력'!B5="",1,IF(ISNUMBER(SEARCH('02_대상물건입력'!B5,B2542)),1,0)))</f>
        <v/>
      </c>
      <c r="O2542" s="152">
        <f>IF(B2542="","",IF('02_대상물건입력'!B6="",1,IF(ISNUMBER(SEARCH('02_대상물건입력'!B6,B2542)),1,0)))</f>
        <v/>
      </c>
      <c r="P2542" s="152">
        <f>IF(L2542="","",IF('02_대상물건입력'!B15="",0,IF(ISNUMBER(SEARCH('02_대상물건입력'!B15,L2542)),1,0)))</f>
        <v/>
      </c>
      <c r="Q2542" s="152">
        <f>IF(OR(C2542="",L2542=""),0,IF(AND(TRIM(C2542)=TRIM(RIGHT(SUBSTITUTE(TRIM('02_대상물건입력'!$B$7)," ",REPT(" ",99)),99)),IF('02_대상물건입력'!B15="",TRUE(),ISNUMBER(SEARCH('02_대상물건입력'!B15,L2542)))),1,0))</f>
        <v/>
      </c>
      <c r="R2542" s="175">
        <f>IFERROR(ABS(E2542-'02_대상물건입력'!B11)/'02_대상물건입력'!B11,"")</f>
        <v/>
      </c>
      <c r="S2542" s="152">
        <f>IFERROR(ABS(J2542-'02_대상물건입력'!B10),"")</f>
        <v/>
      </c>
      <c r="T2542" s="152">
        <f>IFERROR(ABS('01_설정'!B4-F2542),"")</f>
        <v/>
      </c>
      <c r="U2542" s="152">
        <f>IFERROR(ABS(K2542-YEAR('02_대상물건입력'!B14)),"")</f>
        <v/>
      </c>
      <c r="V2542" s="152">
        <f>IF(B2542="","",IF(AND(E2542&gt;0,F2542&gt;0,H2542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2542=1,TRUE()),R2542&lt;='01_설정'!B5,S2542&lt;='01_설정'!B6,T2542&lt;='01_설정'!B7,U2542&lt;='01_설정'!B8),"Y",""))</f>
        <v/>
      </c>
      <c r="W2542" s="172">
        <f>IF(V2542&lt;&gt;"Y","",MAX(0,(1-R2542/'01_설정'!B5))*'01_설정'!B14+MAX(0,(1-S2542/'01_설정'!B6))*'01_설정'!B15+MAX(0,(1-T2542/'01_설정'!B7))*'01_설정'!B16+MAX(0,(1-U2542/'01_설정'!B8))*'01_설정'!B17+O2542*'01_설정'!B11+Q2542*'01_설정'!B12+P2542*'01_설정'!B13+IF(Z2542="",0,Z2542))</f>
        <v/>
      </c>
      <c r="X2542" s="152">
        <f>IF(W2542="","",1+COUNTIFS($W$4:$W$3003,"&gt;"&amp;W2542)+COUNTIFS($W$4:W2542,W2542)-1)</f>
        <v/>
      </c>
      <c r="Y2542" s="175">
        <f>IF(OR(I2542="",'02_대상물건입력'!B19="",'02_대상물건입력'!B19&lt;=0),"",ABS(I2542-'02_대상물건입력'!B19)/'02_대상물건입력'!B19)</f>
        <v/>
      </c>
      <c r="Z2542" s="172">
        <f>IF(OR(Y2542="",'01_설정'!B31="",'01_설정'!B31&lt;=0,'01_설정'!B32="",'01_설정'!B32&lt;=0),"",MAX(0,(1-Y2542/'01_설정'!B32))*'01_설정'!B31)</f>
        <v/>
      </c>
    </row>
    <row r="2543" ht="17.25" customHeight="1">
      <c r="A2543" s="152">
        <f>IF(INDEX('04A_국토부원자료'!$A:$A,ROW()+1)="","",ROW()-3)</f>
        <v/>
      </c>
      <c r="B2543" s="48">
        <f>IFERROR(INDEX('04A_국토부원자료'!$A:$T,ROW()+1,MATCH("시군구",'04A_국토부원자료'!$A$4:$T$4,0)),"")</f>
        <v/>
      </c>
      <c r="C2543" s="48">
        <f>IF(B2543="","",IFERROR(INDEX('04A_국토부원자료'!$A:$T,ROW()+1,MATCH("번지",'04A_국토부원자료'!$A$4:$T$4,0)),""))</f>
        <v/>
      </c>
      <c r="D2543" s="48">
        <f>IF(B2543="","",IF(Q2543=1,'02_대상물건입력'!$B$8,IFERROR(INDEX('04A_국토부원자료'!$A:$T,ROW()+1,MATCH("단지명",'04A_국토부원자료'!$A$4:$T$4,0)),"")))</f>
        <v/>
      </c>
      <c r="E2543" s="172">
        <f>IFERROR(VALUE(SUBSTITUTE(INDEX('04A_국토부원자료'!$A:$T,ROW()+1,MATCH("전용면적(㎡)",'04A_국토부원자료'!$A$4:$T$4,0)),",","")),"")</f>
        <v/>
      </c>
      <c r="F25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43" s="51">
        <f>IFERROR(VALUE(SUBSTITUTE(INDEX('04A_국토부원자료'!$A:$T,ROW()+1,MATCH("거래금액(만원)",'04A_국토부원자료'!$A$4:$T$4,0)),",","")),"")</f>
        <v/>
      </c>
      <c r="H2543" s="174">
        <f>IF(G2543="","",G2543*10000)</f>
        <v/>
      </c>
      <c r="I2543" s="174">
        <f>IFERROR(IF(AND(H2543&gt;0,E2543&gt;0),H2543/E2543,""),"")</f>
        <v/>
      </c>
      <c r="J2543" s="152">
        <f>IFERROR(VALUE(SUBSTITUTE(INDEX('04A_국토부원자료'!$A:$T,ROW()+1,MATCH("층",'04A_국토부원자료'!$A$4:$T$4,0)),",","")),"")</f>
        <v/>
      </c>
      <c r="K2543" s="152">
        <f>IFERROR(VALUE(SUBSTITUTE(INDEX('04A_국토부원자료'!$A:$T,ROW()+1,MATCH("건축년도",'04A_국토부원자료'!$A$4:$T$4,0)),",","")),"")</f>
        <v/>
      </c>
      <c r="L2543" s="48">
        <f>IFERROR(INDEX('04A_국토부원자료'!$A:$T,ROW()+1,MATCH("도로명",'04A_국토부원자료'!$A$4:$T$4,0)),"")</f>
        <v/>
      </c>
      <c r="M2543" s="48">
        <f>IFERROR(INDEX('04A_국토부원자료'!$A:$T,ROW()+1,MATCH("거래유형",'04A_국토부원자료'!$A$4:$T$4,0)),"")</f>
        <v/>
      </c>
      <c r="N2543" s="152">
        <f>IF(B2543="","",IF('02_대상물건입력'!B5="",1,IF(ISNUMBER(SEARCH('02_대상물건입력'!B5,B2543)),1,0)))</f>
        <v/>
      </c>
      <c r="O2543" s="152">
        <f>IF(B2543="","",IF('02_대상물건입력'!B6="",1,IF(ISNUMBER(SEARCH('02_대상물건입력'!B6,B2543)),1,0)))</f>
        <v/>
      </c>
      <c r="P2543" s="152">
        <f>IF(L2543="","",IF('02_대상물건입력'!B15="",0,IF(ISNUMBER(SEARCH('02_대상물건입력'!B15,L2543)),1,0)))</f>
        <v/>
      </c>
      <c r="Q2543" s="152">
        <f>IF(OR(C2543="",L2543=""),0,IF(AND(TRIM(C2543)=TRIM(RIGHT(SUBSTITUTE(TRIM('02_대상물건입력'!$B$7)," ",REPT(" ",99)),99)),IF('02_대상물건입력'!B15="",TRUE(),ISNUMBER(SEARCH('02_대상물건입력'!B15,L2543)))),1,0))</f>
        <v/>
      </c>
      <c r="R2543" s="175">
        <f>IFERROR(ABS(E2543-'02_대상물건입력'!B11)/'02_대상물건입력'!B11,"")</f>
        <v/>
      </c>
      <c r="S2543" s="152">
        <f>IFERROR(ABS(J2543-'02_대상물건입력'!B10),"")</f>
        <v/>
      </c>
      <c r="T2543" s="152">
        <f>IFERROR(ABS('01_설정'!B4-F2543),"")</f>
        <v/>
      </c>
      <c r="U2543" s="152">
        <f>IFERROR(ABS(K2543-YEAR('02_대상물건입력'!B14)),"")</f>
        <v/>
      </c>
      <c r="V2543" s="152">
        <f>IF(B2543="","",IF(AND(E2543&gt;0,F2543&gt;0,H2543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2543=1,TRUE()),R2543&lt;='01_설정'!B5,S2543&lt;='01_설정'!B6,T2543&lt;='01_설정'!B7,U2543&lt;='01_설정'!B8),"Y",""))</f>
        <v/>
      </c>
      <c r="W2543" s="172">
        <f>IF(V2543&lt;&gt;"Y","",MAX(0,(1-R2543/'01_설정'!B5))*'01_설정'!B14+MAX(0,(1-S2543/'01_설정'!B6))*'01_설정'!B15+MAX(0,(1-T2543/'01_설정'!B7))*'01_설정'!B16+MAX(0,(1-U2543/'01_설정'!B8))*'01_설정'!B17+O2543*'01_설정'!B11+Q2543*'01_설정'!B12+P2543*'01_설정'!B13+IF(Z2543="",0,Z2543))</f>
        <v/>
      </c>
      <c r="X2543" s="152">
        <f>IF(W2543="","",1+COUNTIFS($W$4:$W$3003,"&gt;"&amp;W2543)+COUNTIFS($W$4:W2543,W2543)-1)</f>
        <v/>
      </c>
      <c r="Y2543" s="175">
        <f>IF(OR(I2543="",'02_대상물건입력'!B19="",'02_대상물건입력'!B19&lt;=0),"",ABS(I2543-'02_대상물건입력'!B19)/'02_대상물건입력'!B19)</f>
        <v/>
      </c>
      <c r="Z2543" s="172">
        <f>IF(OR(Y2543="",'01_설정'!B31="",'01_설정'!B31&lt;=0,'01_설정'!B32="",'01_설정'!B32&lt;=0),"",MAX(0,(1-Y2543/'01_설정'!B32))*'01_설정'!B31)</f>
        <v/>
      </c>
    </row>
    <row r="2544" ht="17.25" customHeight="1">
      <c r="A2544" s="152">
        <f>IF(INDEX('04A_국토부원자료'!$A:$A,ROW()+1)="","",ROW()-3)</f>
        <v/>
      </c>
      <c r="B2544" s="48">
        <f>IFERROR(INDEX('04A_국토부원자료'!$A:$T,ROW()+1,MATCH("시군구",'04A_국토부원자료'!$A$4:$T$4,0)),"")</f>
        <v/>
      </c>
      <c r="C2544" s="48">
        <f>IF(B2544="","",IFERROR(INDEX('04A_국토부원자료'!$A:$T,ROW()+1,MATCH("번지",'04A_국토부원자료'!$A$4:$T$4,0)),""))</f>
        <v/>
      </c>
      <c r="D2544" s="48">
        <f>IF(B2544="","",IF(Q2544=1,'02_대상물건입력'!$B$8,IFERROR(INDEX('04A_국토부원자료'!$A:$T,ROW()+1,MATCH("단지명",'04A_국토부원자료'!$A$4:$T$4,0)),"")))</f>
        <v/>
      </c>
      <c r="E2544" s="172">
        <f>IFERROR(VALUE(SUBSTITUTE(INDEX('04A_국토부원자료'!$A:$T,ROW()+1,MATCH("전용면적(㎡)",'04A_국토부원자료'!$A$4:$T$4,0)),",","")),"")</f>
        <v/>
      </c>
      <c r="F25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44" s="51">
        <f>IFERROR(VALUE(SUBSTITUTE(INDEX('04A_국토부원자료'!$A:$T,ROW()+1,MATCH("거래금액(만원)",'04A_국토부원자료'!$A$4:$T$4,0)),",","")),"")</f>
        <v/>
      </c>
      <c r="H2544" s="174">
        <f>IF(G2544="","",G2544*10000)</f>
        <v/>
      </c>
      <c r="I2544" s="174">
        <f>IFERROR(IF(AND(H2544&gt;0,E2544&gt;0),H2544/E2544,""),"")</f>
        <v/>
      </c>
      <c r="J2544" s="152">
        <f>IFERROR(VALUE(SUBSTITUTE(INDEX('04A_국토부원자료'!$A:$T,ROW()+1,MATCH("층",'04A_국토부원자료'!$A$4:$T$4,0)),",","")),"")</f>
        <v/>
      </c>
      <c r="K2544" s="152">
        <f>IFERROR(VALUE(SUBSTITUTE(INDEX('04A_국토부원자료'!$A:$T,ROW()+1,MATCH("건축년도",'04A_국토부원자료'!$A$4:$T$4,0)),",","")),"")</f>
        <v/>
      </c>
      <c r="L2544" s="48">
        <f>IFERROR(INDEX('04A_국토부원자료'!$A:$T,ROW()+1,MATCH("도로명",'04A_국토부원자료'!$A$4:$T$4,0)),"")</f>
        <v/>
      </c>
      <c r="M2544" s="48">
        <f>IFERROR(INDEX('04A_국토부원자료'!$A:$T,ROW()+1,MATCH("거래유형",'04A_국토부원자료'!$A$4:$T$4,0)),"")</f>
        <v/>
      </c>
      <c r="N2544" s="152">
        <f>IF(B2544="","",IF('02_대상물건입력'!B5="",1,IF(ISNUMBER(SEARCH('02_대상물건입력'!B5,B2544)),1,0)))</f>
        <v/>
      </c>
      <c r="O2544" s="152">
        <f>IF(B2544="","",IF('02_대상물건입력'!B6="",1,IF(ISNUMBER(SEARCH('02_대상물건입력'!B6,B2544)),1,0)))</f>
        <v/>
      </c>
      <c r="P2544" s="152">
        <f>IF(L2544="","",IF('02_대상물건입력'!B15="",0,IF(ISNUMBER(SEARCH('02_대상물건입력'!B15,L2544)),1,0)))</f>
        <v/>
      </c>
      <c r="Q2544" s="152">
        <f>IF(OR(C2544="",L2544=""),0,IF(AND(TRIM(C2544)=TRIM(RIGHT(SUBSTITUTE(TRIM('02_대상물건입력'!$B$7)," ",REPT(" ",99)),99)),IF('02_대상물건입력'!B15="",TRUE(),ISNUMBER(SEARCH('02_대상물건입력'!B15,L2544)))),1,0))</f>
        <v/>
      </c>
      <c r="R2544" s="175">
        <f>IFERROR(ABS(E2544-'02_대상물건입력'!B11)/'02_대상물건입력'!B11,"")</f>
        <v/>
      </c>
      <c r="S2544" s="152">
        <f>IFERROR(ABS(J2544-'02_대상물건입력'!B10),"")</f>
        <v/>
      </c>
      <c r="T2544" s="152">
        <f>IFERROR(ABS('01_설정'!B4-F2544),"")</f>
        <v/>
      </c>
      <c r="U2544" s="152">
        <f>IFERROR(ABS(K2544-YEAR('02_대상물건입력'!B14)),"")</f>
        <v/>
      </c>
      <c r="V2544" s="152">
        <f>IF(B2544="","",IF(AND(E2544&gt;0,F2544&gt;0,H2544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2544=1,TRUE()),R2544&lt;='01_설정'!B5,S2544&lt;='01_설정'!B6,T2544&lt;='01_설정'!B7,U2544&lt;='01_설정'!B8),"Y",""))</f>
        <v/>
      </c>
      <c r="W2544" s="172">
        <f>IF(V2544&lt;&gt;"Y","",MAX(0,(1-R2544/'01_설정'!B5))*'01_설정'!B14+MAX(0,(1-S2544/'01_설정'!B6))*'01_설정'!B15+MAX(0,(1-T2544/'01_설정'!B7))*'01_설정'!B16+MAX(0,(1-U2544/'01_설정'!B8))*'01_설정'!B17+O2544*'01_설정'!B11+Q2544*'01_설정'!B12+P2544*'01_설정'!B13+IF(Z2544="",0,Z2544))</f>
        <v/>
      </c>
      <c r="X2544" s="152">
        <f>IF(W2544="","",1+COUNTIFS($W$4:$W$3003,"&gt;"&amp;W2544)+COUNTIFS($W$4:W2544,W2544)-1)</f>
        <v/>
      </c>
      <c r="Y2544" s="175">
        <f>IF(OR(I2544="",'02_대상물건입력'!B19="",'02_대상물건입력'!B19&lt;=0),"",ABS(I2544-'02_대상물건입력'!B19)/'02_대상물건입력'!B19)</f>
        <v/>
      </c>
      <c r="Z2544" s="172">
        <f>IF(OR(Y2544="",'01_설정'!B31="",'01_설정'!B31&lt;=0,'01_설정'!B32="",'01_설정'!B32&lt;=0),"",MAX(0,(1-Y2544/'01_설정'!B32))*'01_설정'!B31)</f>
        <v/>
      </c>
    </row>
    <row r="2545" ht="17.25" customHeight="1">
      <c r="A2545" s="152">
        <f>IF(INDEX('04A_국토부원자료'!$A:$A,ROW()+1)="","",ROW()-3)</f>
        <v/>
      </c>
      <c r="B2545" s="48">
        <f>IFERROR(INDEX('04A_국토부원자료'!$A:$T,ROW()+1,MATCH("시군구",'04A_국토부원자료'!$A$4:$T$4,0)),"")</f>
        <v/>
      </c>
      <c r="C2545" s="48">
        <f>IF(B2545="","",IFERROR(INDEX('04A_국토부원자료'!$A:$T,ROW()+1,MATCH("번지",'04A_국토부원자료'!$A$4:$T$4,0)),""))</f>
        <v/>
      </c>
      <c r="D2545" s="48">
        <f>IF(B2545="","",IF(Q2545=1,'02_대상물건입력'!$B$8,IFERROR(INDEX('04A_국토부원자료'!$A:$T,ROW()+1,MATCH("단지명",'04A_국토부원자료'!$A$4:$T$4,0)),"")))</f>
        <v/>
      </c>
      <c r="E2545" s="172">
        <f>IFERROR(VALUE(SUBSTITUTE(INDEX('04A_국토부원자료'!$A:$T,ROW()+1,MATCH("전용면적(㎡)",'04A_국토부원자료'!$A$4:$T$4,0)),",","")),"")</f>
        <v/>
      </c>
      <c r="F25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45" s="51">
        <f>IFERROR(VALUE(SUBSTITUTE(INDEX('04A_국토부원자료'!$A:$T,ROW()+1,MATCH("거래금액(만원)",'04A_국토부원자료'!$A$4:$T$4,0)),",","")),"")</f>
        <v/>
      </c>
      <c r="H2545" s="174">
        <f>IF(G2545="","",G2545*10000)</f>
        <v/>
      </c>
      <c r="I2545" s="174">
        <f>IFERROR(IF(AND(H2545&gt;0,E2545&gt;0),H2545/E2545,""),"")</f>
        <v/>
      </c>
      <c r="J2545" s="152">
        <f>IFERROR(VALUE(SUBSTITUTE(INDEX('04A_국토부원자료'!$A:$T,ROW()+1,MATCH("층",'04A_국토부원자료'!$A$4:$T$4,0)),",","")),"")</f>
        <v/>
      </c>
      <c r="K2545" s="152">
        <f>IFERROR(VALUE(SUBSTITUTE(INDEX('04A_국토부원자료'!$A:$T,ROW()+1,MATCH("건축년도",'04A_국토부원자료'!$A$4:$T$4,0)),",","")),"")</f>
        <v/>
      </c>
      <c r="L2545" s="48">
        <f>IFERROR(INDEX('04A_국토부원자료'!$A:$T,ROW()+1,MATCH("도로명",'04A_국토부원자료'!$A$4:$T$4,0)),"")</f>
        <v/>
      </c>
      <c r="M2545" s="48">
        <f>IFERROR(INDEX('04A_국토부원자료'!$A:$T,ROW()+1,MATCH("거래유형",'04A_국토부원자료'!$A$4:$T$4,0)),"")</f>
        <v/>
      </c>
      <c r="N2545" s="152">
        <f>IF(B2545="","",IF('02_대상물건입력'!B5="",1,IF(ISNUMBER(SEARCH('02_대상물건입력'!B5,B2545)),1,0)))</f>
        <v/>
      </c>
      <c r="O2545" s="152">
        <f>IF(B2545="","",IF('02_대상물건입력'!B6="",1,IF(ISNUMBER(SEARCH('02_대상물건입력'!B6,B2545)),1,0)))</f>
        <v/>
      </c>
      <c r="P2545" s="152">
        <f>IF(L2545="","",IF('02_대상물건입력'!B15="",0,IF(ISNUMBER(SEARCH('02_대상물건입력'!B15,L2545)),1,0)))</f>
        <v/>
      </c>
      <c r="Q2545" s="152">
        <f>IF(OR(C2545="",L2545=""),0,IF(AND(TRIM(C2545)=TRIM(RIGHT(SUBSTITUTE(TRIM('02_대상물건입력'!$B$7)," ",REPT(" ",99)),99)),IF('02_대상물건입력'!B15="",TRUE(),ISNUMBER(SEARCH('02_대상물건입력'!B15,L2545)))),1,0))</f>
        <v/>
      </c>
      <c r="R2545" s="175">
        <f>IFERROR(ABS(E2545-'02_대상물건입력'!B11)/'02_대상물건입력'!B11,"")</f>
        <v/>
      </c>
      <c r="S2545" s="152">
        <f>IFERROR(ABS(J2545-'02_대상물건입력'!B10),"")</f>
        <v/>
      </c>
      <c r="T2545" s="152">
        <f>IFERROR(ABS('01_설정'!B4-F2545),"")</f>
        <v/>
      </c>
      <c r="U2545" s="152">
        <f>IFERROR(ABS(K2545-YEAR('02_대상물건입력'!B14)),"")</f>
        <v/>
      </c>
      <c r="V2545" s="152">
        <f>IF(B2545="","",IF(AND(E2545&gt;0,F2545&gt;0,H2545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2545=1,TRUE()),R2545&lt;='01_설정'!B5,S2545&lt;='01_설정'!B6,T2545&lt;='01_설정'!B7,U2545&lt;='01_설정'!B8),"Y",""))</f>
        <v/>
      </c>
      <c r="W2545" s="172">
        <f>IF(V2545&lt;&gt;"Y","",MAX(0,(1-R2545/'01_설정'!B5))*'01_설정'!B14+MAX(0,(1-S2545/'01_설정'!B6))*'01_설정'!B15+MAX(0,(1-T2545/'01_설정'!B7))*'01_설정'!B16+MAX(0,(1-U2545/'01_설정'!B8))*'01_설정'!B17+O2545*'01_설정'!B11+Q2545*'01_설정'!B12+P2545*'01_설정'!B13+IF(Z2545="",0,Z2545))</f>
        <v/>
      </c>
      <c r="X2545" s="152">
        <f>IF(W2545="","",1+COUNTIFS($W$4:$W$3003,"&gt;"&amp;W2545)+COUNTIFS($W$4:W2545,W2545)-1)</f>
        <v/>
      </c>
      <c r="Y2545" s="175">
        <f>IF(OR(I2545="",'02_대상물건입력'!B19="",'02_대상물건입력'!B19&lt;=0),"",ABS(I2545-'02_대상물건입력'!B19)/'02_대상물건입력'!B19)</f>
        <v/>
      </c>
      <c r="Z2545" s="172">
        <f>IF(OR(Y2545="",'01_설정'!B31="",'01_설정'!B31&lt;=0,'01_설정'!B32="",'01_설정'!B32&lt;=0),"",MAX(0,(1-Y2545/'01_설정'!B32))*'01_설정'!B31)</f>
        <v/>
      </c>
    </row>
    <row r="2546" ht="17.25" customHeight="1">
      <c r="A2546" s="152">
        <f>IF(INDEX('04A_국토부원자료'!$A:$A,ROW()+1)="","",ROW()-3)</f>
        <v/>
      </c>
      <c r="B2546" s="48">
        <f>IFERROR(INDEX('04A_국토부원자료'!$A:$T,ROW()+1,MATCH("시군구",'04A_국토부원자료'!$A$4:$T$4,0)),"")</f>
        <v/>
      </c>
      <c r="C2546" s="48">
        <f>IF(B2546="","",IFERROR(INDEX('04A_국토부원자료'!$A:$T,ROW()+1,MATCH("번지",'04A_국토부원자료'!$A$4:$T$4,0)),""))</f>
        <v/>
      </c>
      <c r="D2546" s="48">
        <f>IF(B2546="","",IF(Q2546=1,'02_대상물건입력'!$B$8,IFERROR(INDEX('04A_국토부원자료'!$A:$T,ROW()+1,MATCH("단지명",'04A_국토부원자료'!$A$4:$T$4,0)),"")))</f>
        <v/>
      </c>
      <c r="E2546" s="172">
        <f>IFERROR(VALUE(SUBSTITUTE(INDEX('04A_국토부원자료'!$A:$T,ROW()+1,MATCH("전용면적(㎡)",'04A_국토부원자료'!$A$4:$T$4,0)),",","")),"")</f>
        <v/>
      </c>
      <c r="F25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46" s="51">
        <f>IFERROR(VALUE(SUBSTITUTE(INDEX('04A_국토부원자료'!$A:$T,ROW()+1,MATCH("거래금액(만원)",'04A_국토부원자료'!$A$4:$T$4,0)),",","")),"")</f>
        <v/>
      </c>
      <c r="H2546" s="174">
        <f>IF(G2546="","",G2546*10000)</f>
        <v/>
      </c>
      <c r="I2546" s="174">
        <f>IFERROR(IF(AND(H2546&gt;0,E2546&gt;0),H2546/E2546,""),"")</f>
        <v/>
      </c>
      <c r="J2546" s="152">
        <f>IFERROR(VALUE(SUBSTITUTE(INDEX('04A_국토부원자료'!$A:$T,ROW()+1,MATCH("층",'04A_국토부원자료'!$A$4:$T$4,0)),",","")),"")</f>
        <v/>
      </c>
      <c r="K2546" s="152">
        <f>IFERROR(VALUE(SUBSTITUTE(INDEX('04A_국토부원자료'!$A:$T,ROW()+1,MATCH("건축년도",'04A_국토부원자료'!$A$4:$T$4,0)),",","")),"")</f>
        <v/>
      </c>
      <c r="L2546" s="48">
        <f>IFERROR(INDEX('04A_국토부원자료'!$A:$T,ROW()+1,MATCH("도로명",'04A_국토부원자료'!$A$4:$T$4,0)),"")</f>
        <v/>
      </c>
      <c r="M2546" s="48">
        <f>IFERROR(INDEX('04A_국토부원자료'!$A:$T,ROW()+1,MATCH("거래유형",'04A_국토부원자료'!$A$4:$T$4,0)),"")</f>
        <v/>
      </c>
      <c r="N2546" s="152">
        <f>IF(B2546="","",IF('02_대상물건입력'!B5="",1,IF(ISNUMBER(SEARCH('02_대상물건입력'!B5,B2546)),1,0)))</f>
        <v/>
      </c>
      <c r="O2546" s="152">
        <f>IF(B2546="","",IF('02_대상물건입력'!B6="",1,IF(ISNUMBER(SEARCH('02_대상물건입력'!B6,B2546)),1,0)))</f>
        <v/>
      </c>
      <c r="P2546" s="152">
        <f>IF(L2546="","",IF('02_대상물건입력'!B15="",0,IF(ISNUMBER(SEARCH('02_대상물건입력'!B15,L2546)),1,0)))</f>
        <v/>
      </c>
      <c r="Q2546" s="152">
        <f>IF(OR(C2546="",L2546=""),0,IF(AND(TRIM(C2546)=TRIM(RIGHT(SUBSTITUTE(TRIM('02_대상물건입력'!$B$7)," ",REPT(" ",99)),99)),IF('02_대상물건입력'!B15="",TRUE(),ISNUMBER(SEARCH('02_대상물건입력'!B15,L2546)))),1,0))</f>
        <v/>
      </c>
      <c r="R2546" s="175">
        <f>IFERROR(ABS(E2546-'02_대상물건입력'!B11)/'02_대상물건입력'!B11,"")</f>
        <v/>
      </c>
      <c r="S2546" s="152">
        <f>IFERROR(ABS(J2546-'02_대상물건입력'!B10),"")</f>
        <v/>
      </c>
      <c r="T2546" s="152">
        <f>IFERROR(ABS('01_설정'!B4-F2546),"")</f>
        <v/>
      </c>
      <c r="U2546" s="152">
        <f>IFERROR(ABS(K2546-YEAR('02_대상물건입력'!B14)),"")</f>
        <v/>
      </c>
      <c r="V2546" s="152">
        <f>IF(B2546="","",IF(AND(E2546&gt;0,F2546&gt;0,H2546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2546=1,TRUE()),R2546&lt;='01_설정'!B5,S2546&lt;='01_설정'!B6,T2546&lt;='01_설정'!B7,U2546&lt;='01_설정'!B8),"Y",""))</f>
        <v/>
      </c>
      <c r="W2546" s="172">
        <f>IF(V2546&lt;&gt;"Y","",MAX(0,(1-R2546/'01_설정'!B5))*'01_설정'!B14+MAX(0,(1-S2546/'01_설정'!B6))*'01_설정'!B15+MAX(0,(1-T2546/'01_설정'!B7))*'01_설정'!B16+MAX(0,(1-U2546/'01_설정'!B8))*'01_설정'!B17+O2546*'01_설정'!B11+Q2546*'01_설정'!B12+P2546*'01_설정'!B13+IF(Z2546="",0,Z2546))</f>
        <v/>
      </c>
      <c r="X2546" s="152">
        <f>IF(W2546="","",1+COUNTIFS($W$4:$W$3003,"&gt;"&amp;W2546)+COUNTIFS($W$4:W2546,W2546)-1)</f>
        <v/>
      </c>
      <c r="Y2546" s="175">
        <f>IF(OR(I2546="",'02_대상물건입력'!B19="",'02_대상물건입력'!B19&lt;=0),"",ABS(I2546-'02_대상물건입력'!B19)/'02_대상물건입력'!B19)</f>
        <v/>
      </c>
      <c r="Z2546" s="172">
        <f>IF(OR(Y2546="",'01_설정'!B31="",'01_설정'!B31&lt;=0,'01_설정'!B32="",'01_설정'!B32&lt;=0),"",MAX(0,(1-Y2546/'01_설정'!B32))*'01_설정'!B31)</f>
        <v/>
      </c>
    </row>
    <row r="2547" ht="17.25" customHeight="1">
      <c r="A2547" s="152">
        <f>IF(INDEX('04A_국토부원자료'!$A:$A,ROW()+1)="","",ROW()-3)</f>
        <v/>
      </c>
      <c r="B2547" s="48">
        <f>IFERROR(INDEX('04A_국토부원자료'!$A:$T,ROW()+1,MATCH("시군구",'04A_국토부원자료'!$A$4:$T$4,0)),"")</f>
        <v/>
      </c>
      <c r="C2547" s="48">
        <f>IF(B2547="","",IFERROR(INDEX('04A_국토부원자료'!$A:$T,ROW()+1,MATCH("번지",'04A_국토부원자료'!$A$4:$T$4,0)),""))</f>
        <v/>
      </c>
      <c r="D2547" s="48">
        <f>IF(B2547="","",IF(Q2547=1,'02_대상물건입력'!$B$8,IFERROR(INDEX('04A_국토부원자료'!$A:$T,ROW()+1,MATCH("단지명",'04A_국토부원자료'!$A$4:$T$4,0)),"")))</f>
        <v/>
      </c>
      <c r="E2547" s="172">
        <f>IFERROR(VALUE(SUBSTITUTE(INDEX('04A_국토부원자료'!$A:$T,ROW()+1,MATCH("전용면적(㎡)",'04A_국토부원자료'!$A$4:$T$4,0)),",","")),"")</f>
        <v/>
      </c>
      <c r="F25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47" s="51">
        <f>IFERROR(VALUE(SUBSTITUTE(INDEX('04A_국토부원자료'!$A:$T,ROW()+1,MATCH("거래금액(만원)",'04A_국토부원자료'!$A$4:$T$4,0)),",","")),"")</f>
        <v/>
      </c>
      <c r="H2547" s="174">
        <f>IF(G2547="","",G2547*10000)</f>
        <v/>
      </c>
      <c r="I2547" s="174">
        <f>IFERROR(IF(AND(H2547&gt;0,E2547&gt;0),H2547/E2547,""),"")</f>
        <v/>
      </c>
      <c r="J2547" s="152">
        <f>IFERROR(VALUE(SUBSTITUTE(INDEX('04A_국토부원자료'!$A:$T,ROW()+1,MATCH("층",'04A_국토부원자료'!$A$4:$T$4,0)),",","")),"")</f>
        <v/>
      </c>
      <c r="K2547" s="152">
        <f>IFERROR(VALUE(SUBSTITUTE(INDEX('04A_국토부원자료'!$A:$T,ROW()+1,MATCH("건축년도",'04A_국토부원자료'!$A$4:$T$4,0)),",","")),"")</f>
        <v/>
      </c>
      <c r="L2547" s="48">
        <f>IFERROR(INDEX('04A_국토부원자료'!$A:$T,ROW()+1,MATCH("도로명",'04A_국토부원자료'!$A$4:$T$4,0)),"")</f>
        <v/>
      </c>
      <c r="M2547" s="48">
        <f>IFERROR(INDEX('04A_국토부원자료'!$A:$T,ROW()+1,MATCH("거래유형",'04A_국토부원자료'!$A$4:$T$4,0)),"")</f>
        <v/>
      </c>
      <c r="N2547" s="152">
        <f>IF(B2547="","",IF('02_대상물건입력'!B5="",1,IF(ISNUMBER(SEARCH('02_대상물건입력'!B5,B2547)),1,0)))</f>
        <v/>
      </c>
      <c r="O2547" s="152">
        <f>IF(B2547="","",IF('02_대상물건입력'!B6="",1,IF(ISNUMBER(SEARCH('02_대상물건입력'!B6,B2547)),1,0)))</f>
        <v/>
      </c>
      <c r="P2547" s="152">
        <f>IF(L2547="","",IF('02_대상물건입력'!B15="",0,IF(ISNUMBER(SEARCH('02_대상물건입력'!B15,L2547)),1,0)))</f>
        <v/>
      </c>
      <c r="Q2547" s="152">
        <f>IF(OR(C2547="",L2547=""),0,IF(AND(TRIM(C2547)=TRIM(RIGHT(SUBSTITUTE(TRIM('02_대상물건입력'!$B$7)," ",REPT(" ",99)),99)),IF('02_대상물건입력'!B15="",TRUE(),ISNUMBER(SEARCH('02_대상물건입력'!B15,L2547)))),1,0))</f>
        <v/>
      </c>
      <c r="R2547" s="175">
        <f>IFERROR(ABS(E2547-'02_대상물건입력'!B11)/'02_대상물건입력'!B11,"")</f>
        <v/>
      </c>
      <c r="S2547" s="152">
        <f>IFERROR(ABS(J2547-'02_대상물건입력'!B10),"")</f>
        <v/>
      </c>
      <c r="T2547" s="152">
        <f>IFERROR(ABS('01_설정'!B4-F2547),"")</f>
        <v/>
      </c>
      <c r="U2547" s="152">
        <f>IFERROR(ABS(K2547-YEAR('02_대상물건입력'!B14)),"")</f>
        <v/>
      </c>
      <c r="V2547" s="152">
        <f>IF(B2547="","",IF(AND(E2547&gt;0,F2547&gt;0,H2547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2547=1,TRUE()),R2547&lt;='01_설정'!B5,S2547&lt;='01_설정'!B6,T2547&lt;='01_설정'!B7,U2547&lt;='01_설정'!B8),"Y",""))</f>
        <v/>
      </c>
      <c r="W2547" s="172">
        <f>IF(V2547&lt;&gt;"Y","",MAX(0,(1-R2547/'01_설정'!B5))*'01_설정'!B14+MAX(0,(1-S2547/'01_설정'!B6))*'01_설정'!B15+MAX(0,(1-T2547/'01_설정'!B7))*'01_설정'!B16+MAX(0,(1-U2547/'01_설정'!B8))*'01_설정'!B17+O2547*'01_설정'!B11+Q2547*'01_설정'!B12+P2547*'01_설정'!B13+IF(Z2547="",0,Z2547))</f>
        <v/>
      </c>
      <c r="X2547" s="152">
        <f>IF(W2547="","",1+COUNTIFS($W$4:$W$3003,"&gt;"&amp;W2547)+COUNTIFS($W$4:W2547,W2547)-1)</f>
        <v/>
      </c>
      <c r="Y2547" s="175">
        <f>IF(OR(I2547="",'02_대상물건입력'!B19="",'02_대상물건입력'!B19&lt;=0),"",ABS(I2547-'02_대상물건입력'!B19)/'02_대상물건입력'!B19)</f>
        <v/>
      </c>
      <c r="Z2547" s="172">
        <f>IF(OR(Y2547="",'01_설정'!B31="",'01_설정'!B31&lt;=0,'01_설정'!B32="",'01_설정'!B32&lt;=0),"",MAX(0,(1-Y2547/'01_설정'!B32))*'01_설정'!B31)</f>
        <v/>
      </c>
    </row>
    <row r="2548" ht="17.25" customHeight="1">
      <c r="A2548" s="152">
        <f>IF(INDEX('04A_국토부원자료'!$A:$A,ROW()+1)="","",ROW()-3)</f>
        <v/>
      </c>
      <c r="B2548" s="48">
        <f>IFERROR(INDEX('04A_국토부원자료'!$A:$T,ROW()+1,MATCH("시군구",'04A_국토부원자료'!$A$4:$T$4,0)),"")</f>
        <v/>
      </c>
      <c r="C2548" s="48">
        <f>IF(B2548="","",IFERROR(INDEX('04A_국토부원자료'!$A:$T,ROW()+1,MATCH("번지",'04A_국토부원자료'!$A$4:$T$4,0)),""))</f>
        <v/>
      </c>
      <c r="D2548" s="48">
        <f>IF(B2548="","",IF(Q2548=1,'02_대상물건입력'!$B$8,IFERROR(INDEX('04A_국토부원자료'!$A:$T,ROW()+1,MATCH("단지명",'04A_국토부원자료'!$A$4:$T$4,0)),"")))</f>
        <v/>
      </c>
      <c r="E2548" s="172">
        <f>IFERROR(VALUE(SUBSTITUTE(INDEX('04A_국토부원자료'!$A:$T,ROW()+1,MATCH("전용면적(㎡)",'04A_국토부원자료'!$A$4:$T$4,0)),",","")),"")</f>
        <v/>
      </c>
      <c r="F25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48" s="51">
        <f>IFERROR(VALUE(SUBSTITUTE(INDEX('04A_국토부원자료'!$A:$T,ROW()+1,MATCH("거래금액(만원)",'04A_국토부원자료'!$A$4:$T$4,0)),",","")),"")</f>
        <v/>
      </c>
      <c r="H2548" s="174">
        <f>IF(G2548="","",G2548*10000)</f>
        <v/>
      </c>
      <c r="I2548" s="174">
        <f>IFERROR(IF(AND(H2548&gt;0,E2548&gt;0),H2548/E2548,""),"")</f>
        <v/>
      </c>
      <c r="J2548" s="152">
        <f>IFERROR(VALUE(SUBSTITUTE(INDEX('04A_국토부원자료'!$A:$T,ROW()+1,MATCH("층",'04A_국토부원자료'!$A$4:$T$4,0)),",","")),"")</f>
        <v/>
      </c>
      <c r="K2548" s="152">
        <f>IFERROR(VALUE(SUBSTITUTE(INDEX('04A_국토부원자료'!$A:$T,ROW()+1,MATCH("건축년도",'04A_국토부원자료'!$A$4:$T$4,0)),",","")),"")</f>
        <v/>
      </c>
      <c r="L2548" s="48">
        <f>IFERROR(INDEX('04A_국토부원자료'!$A:$T,ROW()+1,MATCH("도로명",'04A_국토부원자료'!$A$4:$T$4,0)),"")</f>
        <v/>
      </c>
      <c r="M2548" s="48">
        <f>IFERROR(INDEX('04A_국토부원자료'!$A:$T,ROW()+1,MATCH("거래유형",'04A_국토부원자료'!$A$4:$T$4,0)),"")</f>
        <v/>
      </c>
      <c r="N2548" s="152">
        <f>IF(B2548="","",IF('02_대상물건입력'!B5="",1,IF(ISNUMBER(SEARCH('02_대상물건입력'!B5,B2548)),1,0)))</f>
        <v/>
      </c>
      <c r="O2548" s="152">
        <f>IF(B2548="","",IF('02_대상물건입력'!B6="",1,IF(ISNUMBER(SEARCH('02_대상물건입력'!B6,B2548)),1,0)))</f>
        <v/>
      </c>
      <c r="P2548" s="152">
        <f>IF(L2548="","",IF('02_대상물건입력'!B15="",0,IF(ISNUMBER(SEARCH('02_대상물건입력'!B15,L2548)),1,0)))</f>
        <v/>
      </c>
      <c r="Q2548" s="152">
        <f>IF(OR(C2548="",L2548=""),0,IF(AND(TRIM(C2548)=TRIM(RIGHT(SUBSTITUTE(TRIM('02_대상물건입력'!$B$7)," ",REPT(" ",99)),99)),IF('02_대상물건입력'!B15="",TRUE(),ISNUMBER(SEARCH('02_대상물건입력'!B15,L2548)))),1,0))</f>
        <v/>
      </c>
      <c r="R2548" s="175">
        <f>IFERROR(ABS(E2548-'02_대상물건입력'!B11)/'02_대상물건입력'!B11,"")</f>
        <v/>
      </c>
      <c r="S2548" s="152">
        <f>IFERROR(ABS(J2548-'02_대상물건입력'!B10),"")</f>
        <v/>
      </c>
      <c r="T2548" s="152">
        <f>IFERROR(ABS('01_설정'!B4-F2548),"")</f>
        <v/>
      </c>
      <c r="U2548" s="152">
        <f>IFERROR(ABS(K2548-YEAR('02_대상물건입력'!B14)),"")</f>
        <v/>
      </c>
      <c r="V2548" s="152">
        <f>IF(B2548="","",IF(AND(E2548&gt;0,F2548&gt;0,H2548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2548=1,TRUE()),R2548&lt;='01_설정'!B5,S2548&lt;='01_설정'!B6,T2548&lt;='01_설정'!B7,U2548&lt;='01_설정'!B8),"Y",""))</f>
        <v/>
      </c>
      <c r="W2548" s="172">
        <f>IF(V2548&lt;&gt;"Y","",MAX(0,(1-R2548/'01_설정'!B5))*'01_설정'!B14+MAX(0,(1-S2548/'01_설정'!B6))*'01_설정'!B15+MAX(0,(1-T2548/'01_설정'!B7))*'01_설정'!B16+MAX(0,(1-U2548/'01_설정'!B8))*'01_설정'!B17+O2548*'01_설정'!B11+Q2548*'01_설정'!B12+P2548*'01_설정'!B13+IF(Z2548="",0,Z2548))</f>
        <v/>
      </c>
      <c r="X2548" s="152">
        <f>IF(W2548="","",1+COUNTIFS($W$4:$W$3003,"&gt;"&amp;W2548)+COUNTIFS($W$4:W2548,W2548)-1)</f>
        <v/>
      </c>
      <c r="Y2548" s="175">
        <f>IF(OR(I2548="",'02_대상물건입력'!B19="",'02_대상물건입력'!B19&lt;=0),"",ABS(I2548-'02_대상물건입력'!B19)/'02_대상물건입력'!B19)</f>
        <v/>
      </c>
      <c r="Z2548" s="172">
        <f>IF(OR(Y2548="",'01_설정'!B31="",'01_설정'!B31&lt;=0,'01_설정'!B32="",'01_설정'!B32&lt;=0),"",MAX(0,(1-Y2548/'01_설정'!B32))*'01_설정'!B31)</f>
        <v/>
      </c>
    </row>
    <row r="2549" ht="17.25" customHeight="1">
      <c r="A2549" s="152">
        <f>IF(INDEX('04A_국토부원자료'!$A:$A,ROW()+1)="","",ROW()-3)</f>
        <v/>
      </c>
      <c r="B2549" s="48">
        <f>IFERROR(INDEX('04A_국토부원자료'!$A:$T,ROW()+1,MATCH("시군구",'04A_국토부원자료'!$A$4:$T$4,0)),"")</f>
        <v/>
      </c>
      <c r="C2549" s="48">
        <f>IF(B2549="","",IFERROR(INDEX('04A_국토부원자료'!$A:$T,ROW()+1,MATCH("번지",'04A_국토부원자료'!$A$4:$T$4,0)),""))</f>
        <v/>
      </c>
      <c r="D2549" s="48">
        <f>IF(B2549="","",IF(Q2549=1,'02_대상물건입력'!$B$8,IFERROR(INDEX('04A_국토부원자료'!$A:$T,ROW()+1,MATCH("단지명",'04A_국토부원자료'!$A$4:$T$4,0)),"")))</f>
        <v/>
      </c>
      <c r="E2549" s="172">
        <f>IFERROR(VALUE(SUBSTITUTE(INDEX('04A_국토부원자료'!$A:$T,ROW()+1,MATCH("전용면적(㎡)",'04A_국토부원자료'!$A$4:$T$4,0)),",","")),"")</f>
        <v/>
      </c>
      <c r="F25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49" s="51">
        <f>IFERROR(VALUE(SUBSTITUTE(INDEX('04A_국토부원자료'!$A:$T,ROW()+1,MATCH("거래금액(만원)",'04A_국토부원자료'!$A$4:$T$4,0)),",","")),"")</f>
        <v/>
      </c>
      <c r="H2549" s="174">
        <f>IF(G2549="","",G2549*10000)</f>
        <v/>
      </c>
      <c r="I2549" s="174">
        <f>IFERROR(IF(AND(H2549&gt;0,E2549&gt;0),H2549/E2549,""),"")</f>
        <v/>
      </c>
      <c r="J2549" s="152">
        <f>IFERROR(VALUE(SUBSTITUTE(INDEX('04A_국토부원자료'!$A:$T,ROW()+1,MATCH("층",'04A_국토부원자료'!$A$4:$T$4,0)),",","")),"")</f>
        <v/>
      </c>
      <c r="K2549" s="152">
        <f>IFERROR(VALUE(SUBSTITUTE(INDEX('04A_국토부원자료'!$A:$T,ROW()+1,MATCH("건축년도",'04A_국토부원자료'!$A$4:$T$4,0)),",","")),"")</f>
        <v/>
      </c>
      <c r="L2549" s="48">
        <f>IFERROR(INDEX('04A_국토부원자료'!$A:$T,ROW()+1,MATCH("도로명",'04A_국토부원자료'!$A$4:$T$4,0)),"")</f>
        <v/>
      </c>
      <c r="M2549" s="48">
        <f>IFERROR(INDEX('04A_국토부원자료'!$A:$T,ROW()+1,MATCH("거래유형",'04A_국토부원자료'!$A$4:$T$4,0)),"")</f>
        <v/>
      </c>
      <c r="N2549" s="152">
        <f>IF(B2549="","",IF('02_대상물건입력'!B5="",1,IF(ISNUMBER(SEARCH('02_대상물건입력'!B5,B2549)),1,0)))</f>
        <v/>
      </c>
      <c r="O2549" s="152">
        <f>IF(B2549="","",IF('02_대상물건입력'!B6="",1,IF(ISNUMBER(SEARCH('02_대상물건입력'!B6,B2549)),1,0)))</f>
        <v/>
      </c>
      <c r="P2549" s="152">
        <f>IF(L2549="","",IF('02_대상물건입력'!B15="",0,IF(ISNUMBER(SEARCH('02_대상물건입력'!B15,L2549)),1,0)))</f>
        <v/>
      </c>
      <c r="Q2549" s="152">
        <f>IF(OR(C2549="",L2549=""),0,IF(AND(TRIM(C2549)=TRIM(RIGHT(SUBSTITUTE(TRIM('02_대상물건입력'!$B$7)," ",REPT(" ",99)),99)),IF('02_대상물건입력'!B15="",TRUE(),ISNUMBER(SEARCH('02_대상물건입력'!B15,L2549)))),1,0))</f>
        <v/>
      </c>
      <c r="R2549" s="175">
        <f>IFERROR(ABS(E2549-'02_대상물건입력'!B11)/'02_대상물건입력'!B11,"")</f>
        <v/>
      </c>
      <c r="S2549" s="152">
        <f>IFERROR(ABS(J2549-'02_대상물건입력'!B10),"")</f>
        <v/>
      </c>
      <c r="T2549" s="152">
        <f>IFERROR(ABS('01_설정'!B4-F2549),"")</f>
        <v/>
      </c>
      <c r="U2549" s="152">
        <f>IFERROR(ABS(K2549-YEAR('02_대상물건입력'!B14)),"")</f>
        <v/>
      </c>
      <c r="V2549" s="152">
        <f>IF(B2549="","",IF(AND(E2549&gt;0,F2549&gt;0,H2549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2549=1,TRUE()),R2549&lt;='01_설정'!B5,S2549&lt;='01_설정'!B6,T2549&lt;='01_설정'!B7,U2549&lt;='01_설정'!B8),"Y",""))</f>
        <v/>
      </c>
      <c r="W2549" s="172">
        <f>IF(V2549&lt;&gt;"Y","",MAX(0,(1-R2549/'01_설정'!B5))*'01_설정'!B14+MAX(0,(1-S2549/'01_설정'!B6))*'01_설정'!B15+MAX(0,(1-T2549/'01_설정'!B7))*'01_설정'!B16+MAX(0,(1-U2549/'01_설정'!B8))*'01_설정'!B17+O2549*'01_설정'!B11+Q2549*'01_설정'!B12+P2549*'01_설정'!B13+IF(Z2549="",0,Z2549))</f>
        <v/>
      </c>
      <c r="X2549" s="152">
        <f>IF(W2549="","",1+COUNTIFS($W$4:$W$3003,"&gt;"&amp;W2549)+COUNTIFS($W$4:W2549,W2549)-1)</f>
        <v/>
      </c>
      <c r="Y2549" s="175">
        <f>IF(OR(I2549="",'02_대상물건입력'!B19="",'02_대상물건입력'!B19&lt;=0),"",ABS(I2549-'02_대상물건입력'!B19)/'02_대상물건입력'!B19)</f>
        <v/>
      </c>
      <c r="Z2549" s="172">
        <f>IF(OR(Y2549="",'01_설정'!B31="",'01_설정'!B31&lt;=0,'01_설정'!B32="",'01_설정'!B32&lt;=0),"",MAX(0,(1-Y2549/'01_설정'!B32))*'01_설정'!B31)</f>
        <v/>
      </c>
    </row>
    <row r="2550" ht="17.25" customHeight="1">
      <c r="A2550" s="152">
        <f>IF(INDEX('04A_국토부원자료'!$A:$A,ROW()+1)="","",ROW()-3)</f>
        <v/>
      </c>
      <c r="B2550" s="48">
        <f>IFERROR(INDEX('04A_국토부원자료'!$A:$T,ROW()+1,MATCH("시군구",'04A_국토부원자료'!$A$4:$T$4,0)),"")</f>
        <v/>
      </c>
      <c r="C2550" s="48">
        <f>IF(B2550="","",IFERROR(INDEX('04A_국토부원자료'!$A:$T,ROW()+1,MATCH("번지",'04A_국토부원자료'!$A$4:$T$4,0)),""))</f>
        <v/>
      </c>
      <c r="D2550" s="48">
        <f>IF(B2550="","",IF(Q2550=1,'02_대상물건입력'!$B$8,IFERROR(INDEX('04A_국토부원자료'!$A:$T,ROW()+1,MATCH("단지명",'04A_국토부원자료'!$A$4:$T$4,0)),"")))</f>
        <v/>
      </c>
      <c r="E2550" s="172">
        <f>IFERROR(VALUE(SUBSTITUTE(INDEX('04A_국토부원자료'!$A:$T,ROW()+1,MATCH("전용면적(㎡)",'04A_국토부원자료'!$A$4:$T$4,0)),",","")),"")</f>
        <v/>
      </c>
      <c r="F25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50" s="51">
        <f>IFERROR(VALUE(SUBSTITUTE(INDEX('04A_국토부원자료'!$A:$T,ROW()+1,MATCH("거래금액(만원)",'04A_국토부원자료'!$A$4:$T$4,0)),",","")),"")</f>
        <v/>
      </c>
      <c r="H2550" s="174">
        <f>IF(G2550="","",G2550*10000)</f>
        <v/>
      </c>
      <c r="I2550" s="174">
        <f>IFERROR(IF(AND(H2550&gt;0,E2550&gt;0),H2550/E2550,""),"")</f>
        <v/>
      </c>
      <c r="J2550" s="152">
        <f>IFERROR(VALUE(SUBSTITUTE(INDEX('04A_국토부원자료'!$A:$T,ROW()+1,MATCH("층",'04A_국토부원자료'!$A$4:$T$4,0)),",","")),"")</f>
        <v/>
      </c>
      <c r="K2550" s="152">
        <f>IFERROR(VALUE(SUBSTITUTE(INDEX('04A_국토부원자료'!$A:$T,ROW()+1,MATCH("건축년도",'04A_국토부원자료'!$A$4:$T$4,0)),",","")),"")</f>
        <v/>
      </c>
      <c r="L2550" s="48">
        <f>IFERROR(INDEX('04A_국토부원자료'!$A:$T,ROW()+1,MATCH("도로명",'04A_국토부원자료'!$A$4:$T$4,0)),"")</f>
        <v/>
      </c>
      <c r="M2550" s="48">
        <f>IFERROR(INDEX('04A_국토부원자료'!$A:$T,ROW()+1,MATCH("거래유형",'04A_국토부원자료'!$A$4:$T$4,0)),"")</f>
        <v/>
      </c>
      <c r="N2550" s="152">
        <f>IF(B2550="","",IF('02_대상물건입력'!B5="",1,IF(ISNUMBER(SEARCH('02_대상물건입력'!B5,B2550)),1,0)))</f>
        <v/>
      </c>
      <c r="O2550" s="152">
        <f>IF(B2550="","",IF('02_대상물건입력'!B6="",1,IF(ISNUMBER(SEARCH('02_대상물건입력'!B6,B2550)),1,0)))</f>
        <v/>
      </c>
      <c r="P2550" s="152">
        <f>IF(L2550="","",IF('02_대상물건입력'!B15="",0,IF(ISNUMBER(SEARCH('02_대상물건입력'!B15,L2550)),1,0)))</f>
        <v/>
      </c>
      <c r="Q2550" s="152">
        <f>IF(OR(C2550="",L2550=""),0,IF(AND(TRIM(C2550)=TRIM(RIGHT(SUBSTITUTE(TRIM('02_대상물건입력'!$B$7)," ",REPT(" ",99)),99)),IF('02_대상물건입력'!B15="",TRUE(),ISNUMBER(SEARCH('02_대상물건입력'!B15,L2550)))),1,0))</f>
        <v/>
      </c>
      <c r="R2550" s="175">
        <f>IFERROR(ABS(E2550-'02_대상물건입력'!B11)/'02_대상물건입력'!B11,"")</f>
        <v/>
      </c>
      <c r="S2550" s="152">
        <f>IFERROR(ABS(J2550-'02_대상물건입력'!B10),"")</f>
        <v/>
      </c>
      <c r="T2550" s="152">
        <f>IFERROR(ABS('01_설정'!B4-F2550),"")</f>
        <v/>
      </c>
      <c r="U2550" s="152">
        <f>IFERROR(ABS(K2550-YEAR('02_대상물건입력'!B14)),"")</f>
        <v/>
      </c>
      <c r="V2550" s="152">
        <f>IF(B2550="","",IF(AND(E2550&gt;0,F2550&gt;0,H2550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2550=1,TRUE()),R2550&lt;='01_설정'!B5,S2550&lt;='01_설정'!B6,T2550&lt;='01_설정'!B7,U2550&lt;='01_설정'!B8),"Y",""))</f>
        <v/>
      </c>
      <c r="W2550" s="172">
        <f>IF(V2550&lt;&gt;"Y","",MAX(0,(1-R2550/'01_설정'!B5))*'01_설정'!B14+MAX(0,(1-S2550/'01_설정'!B6))*'01_설정'!B15+MAX(0,(1-T2550/'01_설정'!B7))*'01_설정'!B16+MAX(0,(1-U2550/'01_설정'!B8))*'01_설정'!B17+O2550*'01_설정'!B11+Q2550*'01_설정'!B12+P2550*'01_설정'!B13+IF(Z2550="",0,Z2550))</f>
        <v/>
      </c>
      <c r="X2550" s="152">
        <f>IF(W2550="","",1+COUNTIFS($W$4:$W$3003,"&gt;"&amp;W2550)+COUNTIFS($W$4:W2550,W2550)-1)</f>
        <v/>
      </c>
      <c r="Y2550" s="175">
        <f>IF(OR(I2550="",'02_대상물건입력'!B19="",'02_대상물건입력'!B19&lt;=0),"",ABS(I2550-'02_대상물건입력'!B19)/'02_대상물건입력'!B19)</f>
        <v/>
      </c>
      <c r="Z2550" s="172">
        <f>IF(OR(Y2550="",'01_설정'!B31="",'01_설정'!B31&lt;=0,'01_설정'!B32="",'01_설정'!B32&lt;=0),"",MAX(0,(1-Y2550/'01_설정'!B32))*'01_설정'!B31)</f>
        <v/>
      </c>
    </row>
    <row r="2551" ht="17.25" customHeight="1">
      <c r="A2551" s="152">
        <f>IF(INDEX('04A_국토부원자료'!$A:$A,ROW()+1)="","",ROW()-3)</f>
        <v/>
      </c>
      <c r="B2551" s="48">
        <f>IFERROR(INDEX('04A_국토부원자료'!$A:$T,ROW()+1,MATCH("시군구",'04A_국토부원자료'!$A$4:$T$4,0)),"")</f>
        <v/>
      </c>
      <c r="C2551" s="48">
        <f>IF(B2551="","",IFERROR(INDEX('04A_국토부원자료'!$A:$T,ROW()+1,MATCH("번지",'04A_국토부원자료'!$A$4:$T$4,0)),""))</f>
        <v/>
      </c>
      <c r="D2551" s="48">
        <f>IF(B2551="","",IF(Q2551=1,'02_대상물건입력'!$B$8,IFERROR(INDEX('04A_국토부원자료'!$A:$T,ROW()+1,MATCH("단지명",'04A_국토부원자료'!$A$4:$T$4,0)),"")))</f>
        <v/>
      </c>
      <c r="E2551" s="172">
        <f>IFERROR(VALUE(SUBSTITUTE(INDEX('04A_국토부원자료'!$A:$T,ROW()+1,MATCH("전용면적(㎡)",'04A_국토부원자료'!$A$4:$T$4,0)),",","")),"")</f>
        <v/>
      </c>
      <c r="F25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51" s="51">
        <f>IFERROR(VALUE(SUBSTITUTE(INDEX('04A_국토부원자료'!$A:$T,ROW()+1,MATCH("거래금액(만원)",'04A_국토부원자료'!$A$4:$T$4,0)),",","")),"")</f>
        <v/>
      </c>
      <c r="H2551" s="174">
        <f>IF(G2551="","",G2551*10000)</f>
        <v/>
      </c>
      <c r="I2551" s="174">
        <f>IFERROR(IF(AND(H2551&gt;0,E2551&gt;0),H2551/E2551,""),"")</f>
        <v/>
      </c>
      <c r="J2551" s="152">
        <f>IFERROR(VALUE(SUBSTITUTE(INDEX('04A_국토부원자료'!$A:$T,ROW()+1,MATCH("층",'04A_국토부원자료'!$A$4:$T$4,0)),",","")),"")</f>
        <v/>
      </c>
      <c r="K2551" s="152">
        <f>IFERROR(VALUE(SUBSTITUTE(INDEX('04A_국토부원자료'!$A:$T,ROW()+1,MATCH("건축년도",'04A_국토부원자료'!$A$4:$T$4,0)),",","")),"")</f>
        <v/>
      </c>
      <c r="L2551" s="48">
        <f>IFERROR(INDEX('04A_국토부원자료'!$A:$T,ROW()+1,MATCH("도로명",'04A_국토부원자료'!$A$4:$T$4,0)),"")</f>
        <v/>
      </c>
      <c r="M2551" s="48">
        <f>IFERROR(INDEX('04A_국토부원자료'!$A:$T,ROW()+1,MATCH("거래유형",'04A_국토부원자료'!$A$4:$T$4,0)),"")</f>
        <v/>
      </c>
      <c r="N2551" s="152">
        <f>IF(B2551="","",IF('02_대상물건입력'!B5="",1,IF(ISNUMBER(SEARCH('02_대상물건입력'!B5,B2551)),1,0)))</f>
        <v/>
      </c>
      <c r="O2551" s="152">
        <f>IF(B2551="","",IF('02_대상물건입력'!B6="",1,IF(ISNUMBER(SEARCH('02_대상물건입력'!B6,B2551)),1,0)))</f>
        <v/>
      </c>
      <c r="P2551" s="152">
        <f>IF(L2551="","",IF('02_대상물건입력'!B15="",0,IF(ISNUMBER(SEARCH('02_대상물건입력'!B15,L2551)),1,0)))</f>
        <v/>
      </c>
      <c r="Q2551" s="152">
        <f>IF(OR(C2551="",L2551=""),0,IF(AND(TRIM(C2551)=TRIM(RIGHT(SUBSTITUTE(TRIM('02_대상물건입력'!$B$7)," ",REPT(" ",99)),99)),IF('02_대상물건입력'!B15="",TRUE(),ISNUMBER(SEARCH('02_대상물건입력'!B15,L2551)))),1,0))</f>
        <v/>
      </c>
      <c r="R2551" s="175">
        <f>IFERROR(ABS(E2551-'02_대상물건입력'!B11)/'02_대상물건입력'!B11,"")</f>
        <v/>
      </c>
      <c r="S2551" s="152">
        <f>IFERROR(ABS(J2551-'02_대상물건입력'!B10),"")</f>
        <v/>
      </c>
      <c r="T2551" s="152">
        <f>IFERROR(ABS('01_설정'!B4-F2551),"")</f>
        <v/>
      </c>
      <c r="U2551" s="152">
        <f>IFERROR(ABS(K2551-YEAR('02_대상물건입력'!B14)),"")</f>
        <v/>
      </c>
      <c r="V2551" s="152">
        <f>IF(B2551="","",IF(AND(E2551&gt;0,F2551&gt;0,H2551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2551=1,TRUE()),R2551&lt;='01_설정'!B5,S2551&lt;='01_설정'!B6,T2551&lt;='01_설정'!B7,U2551&lt;='01_설정'!B8),"Y",""))</f>
        <v/>
      </c>
      <c r="W2551" s="172">
        <f>IF(V2551&lt;&gt;"Y","",MAX(0,(1-R2551/'01_설정'!B5))*'01_설정'!B14+MAX(0,(1-S2551/'01_설정'!B6))*'01_설정'!B15+MAX(0,(1-T2551/'01_설정'!B7))*'01_설정'!B16+MAX(0,(1-U2551/'01_설정'!B8))*'01_설정'!B17+O2551*'01_설정'!B11+Q2551*'01_설정'!B12+P2551*'01_설정'!B13+IF(Z2551="",0,Z2551))</f>
        <v/>
      </c>
      <c r="X2551" s="152">
        <f>IF(W2551="","",1+COUNTIFS($W$4:$W$3003,"&gt;"&amp;W2551)+COUNTIFS($W$4:W2551,W2551)-1)</f>
        <v/>
      </c>
      <c r="Y2551" s="175">
        <f>IF(OR(I2551="",'02_대상물건입력'!B19="",'02_대상물건입력'!B19&lt;=0),"",ABS(I2551-'02_대상물건입력'!B19)/'02_대상물건입력'!B19)</f>
        <v/>
      </c>
      <c r="Z2551" s="172">
        <f>IF(OR(Y2551="",'01_설정'!B31="",'01_설정'!B31&lt;=0,'01_설정'!B32="",'01_설정'!B32&lt;=0),"",MAX(0,(1-Y2551/'01_설정'!B32))*'01_설정'!B31)</f>
        <v/>
      </c>
    </row>
    <row r="2552" ht="17.25" customHeight="1">
      <c r="A2552" s="152">
        <f>IF(INDEX('04A_국토부원자료'!$A:$A,ROW()+1)="","",ROW()-3)</f>
        <v/>
      </c>
      <c r="B2552" s="48">
        <f>IFERROR(INDEX('04A_국토부원자료'!$A:$T,ROW()+1,MATCH("시군구",'04A_국토부원자료'!$A$4:$T$4,0)),"")</f>
        <v/>
      </c>
      <c r="C2552" s="48">
        <f>IF(B2552="","",IFERROR(INDEX('04A_국토부원자료'!$A:$T,ROW()+1,MATCH("번지",'04A_국토부원자료'!$A$4:$T$4,0)),""))</f>
        <v/>
      </c>
      <c r="D2552" s="48">
        <f>IF(B2552="","",IF(Q2552=1,'02_대상물건입력'!$B$8,IFERROR(INDEX('04A_국토부원자료'!$A:$T,ROW()+1,MATCH("단지명",'04A_국토부원자료'!$A$4:$T$4,0)),"")))</f>
        <v/>
      </c>
      <c r="E2552" s="172">
        <f>IFERROR(VALUE(SUBSTITUTE(INDEX('04A_국토부원자료'!$A:$T,ROW()+1,MATCH("전용면적(㎡)",'04A_국토부원자료'!$A$4:$T$4,0)),",","")),"")</f>
        <v/>
      </c>
      <c r="F25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52" s="51">
        <f>IFERROR(VALUE(SUBSTITUTE(INDEX('04A_국토부원자료'!$A:$T,ROW()+1,MATCH("거래금액(만원)",'04A_국토부원자료'!$A$4:$T$4,0)),",","")),"")</f>
        <v/>
      </c>
      <c r="H2552" s="174">
        <f>IF(G2552="","",G2552*10000)</f>
        <v/>
      </c>
      <c r="I2552" s="174">
        <f>IFERROR(IF(AND(H2552&gt;0,E2552&gt;0),H2552/E2552,""),"")</f>
        <v/>
      </c>
      <c r="J2552" s="152">
        <f>IFERROR(VALUE(SUBSTITUTE(INDEX('04A_국토부원자료'!$A:$T,ROW()+1,MATCH("층",'04A_국토부원자료'!$A$4:$T$4,0)),",","")),"")</f>
        <v/>
      </c>
      <c r="K2552" s="152">
        <f>IFERROR(VALUE(SUBSTITUTE(INDEX('04A_국토부원자료'!$A:$T,ROW()+1,MATCH("건축년도",'04A_국토부원자료'!$A$4:$T$4,0)),",","")),"")</f>
        <v/>
      </c>
      <c r="L2552" s="48">
        <f>IFERROR(INDEX('04A_국토부원자료'!$A:$T,ROW()+1,MATCH("도로명",'04A_국토부원자료'!$A$4:$T$4,0)),"")</f>
        <v/>
      </c>
      <c r="M2552" s="48">
        <f>IFERROR(INDEX('04A_국토부원자료'!$A:$T,ROW()+1,MATCH("거래유형",'04A_국토부원자료'!$A$4:$T$4,0)),"")</f>
        <v/>
      </c>
      <c r="N2552" s="152">
        <f>IF(B2552="","",IF('02_대상물건입력'!B5="",1,IF(ISNUMBER(SEARCH('02_대상물건입력'!B5,B2552)),1,0)))</f>
        <v/>
      </c>
      <c r="O2552" s="152">
        <f>IF(B2552="","",IF('02_대상물건입력'!B6="",1,IF(ISNUMBER(SEARCH('02_대상물건입력'!B6,B2552)),1,0)))</f>
        <v/>
      </c>
      <c r="P2552" s="152">
        <f>IF(L2552="","",IF('02_대상물건입력'!B15="",0,IF(ISNUMBER(SEARCH('02_대상물건입력'!B15,L2552)),1,0)))</f>
        <v/>
      </c>
      <c r="Q2552" s="152">
        <f>IF(OR(C2552="",L2552=""),0,IF(AND(TRIM(C2552)=TRIM(RIGHT(SUBSTITUTE(TRIM('02_대상물건입력'!$B$7)," ",REPT(" ",99)),99)),IF('02_대상물건입력'!B15="",TRUE(),ISNUMBER(SEARCH('02_대상물건입력'!B15,L2552)))),1,0))</f>
        <v/>
      </c>
      <c r="R2552" s="175">
        <f>IFERROR(ABS(E2552-'02_대상물건입력'!B11)/'02_대상물건입력'!B11,"")</f>
        <v/>
      </c>
      <c r="S2552" s="152">
        <f>IFERROR(ABS(J2552-'02_대상물건입력'!B10),"")</f>
        <v/>
      </c>
      <c r="T2552" s="152">
        <f>IFERROR(ABS('01_설정'!B4-F2552),"")</f>
        <v/>
      </c>
      <c r="U2552" s="152">
        <f>IFERROR(ABS(K2552-YEAR('02_대상물건입력'!B14)),"")</f>
        <v/>
      </c>
      <c r="V2552" s="152">
        <f>IF(B2552="","",IF(AND(E2552&gt;0,F2552&gt;0,H2552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2552=1,TRUE()),R2552&lt;='01_설정'!B5,S2552&lt;='01_설정'!B6,T2552&lt;='01_설정'!B7,U2552&lt;='01_설정'!B8),"Y",""))</f>
        <v/>
      </c>
      <c r="W2552" s="172">
        <f>IF(V2552&lt;&gt;"Y","",MAX(0,(1-R2552/'01_설정'!B5))*'01_설정'!B14+MAX(0,(1-S2552/'01_설정'!B6))*'01_설정'!B15+MAX(0,(1-T2552/'01_설정'!B7))*'01_설정'!B16+MAX(0,(1-U2552/'01_설정'!B8))*'01_설정'!B17+O2552*'01_설정'!B11+Q2552*'01_설정'!B12+P2552*'01_설정'!B13+IF(Z2552="",0,Z2552))</f>
        <v/>
      </c>
      <c r="X2552" s="152">
        <f>IF(W2552="","",1+COUNTIFS($W$4:$W$3003,"&gt;"&amp;W2552)+COUNTIFS($W$4:W2552,W2552)-1)</f>
        <v/>
      </c>
      <c r="Y2552" s="175">
        <f>IF(OR(I2552="",'02_대상물건입력'!B19="",'02_대상물건입력'!B19&lt;=0),"",ABS(I2552-'02_대상물건입력'!B19)/'02_대상물건입력'!B19)</f>
        <v/>
      </c>
      <c r="Z2552" s="172">
        <f>IF(OR(Y2552="",'01_설정'!B31="",'01_설정'!B31&lt;=0,'01_설정'!B32="",'01_설정'!B32&lt;=0),"",MAX(0,(1-Y2552/'01_설정'!B32))*'01_설정'!B31)</f>
        <v/>
      </c>
    </row>
    <row r="2553" ht="17.25" customHeight="1">
      <c r="A2553" s="152">
        <f>IF(INDEX('04A_국토부원자료'!$A:$A,ROW()+1)="","",ROW()-3)</f>
        <v/>
      </c>
      <c r="B2553" s="48">
        <f>IFERROR(INDEX('04A_국토부원자료'!$A:$T,ROW()+1,MATCH("시군구",'04A_국토부원자료'!$A$4:$T$4,0)),"")</f>
        <v/>
      </c>
      <c r="C2553" s="48">
        <f>IF(B2553="","",IFERROR(INDEX('04A_국토부원자료'!$A:$T,ROW()+1,MATCH("번지",'04A_국토부원자료'!$A$4:$T$4,0)),""))</f>
        <v/>
      </c>
      <c r="D2553" s="48">
        <f>IF(B2553="","",IF(Q2553=1,'02_대상물건입력'!$B$8,IFERROR(INDEX('04A_국토부원자료'!$A:$T,ROW()+1,MATCH("단지명",'04A_국토부원자료'!$A$4:$T$4,0)),"")))</f>
        <v/>
      </c>
      <c r="E2553" s="172">
        <f>IFERROR(VALUE(SUBSTITUTE(INDEX('04A_국토부원자료'!$A:$T,ROW()+1,MATCH("전용면적(㎡)",'04A_국토부원자료'!$A$4:$T$4,0)),",","")),"")</f>
        <v/>
      </c>
      <c r="F25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53" s="51">
        <f>IFERROR(VALUE(SUBSTITUTE(INDEX('04A_국토부원자료'!$A:$T,ROW()+1,MATCH("거래금액(만원)",'04A_국토부원자료'!$A$4:$T$4,0)),",","")),"")</f>
        <v/>
      </c>
      <c r="H2553" s="174">
        <f>IF(G2553="","",G2553*10000)</f>
        <v/>
      </c>
      <c r="I2553" s="174">
        <f>IFERROR(IF(AND(H2553&gt;0,E2553&gt;0),H2553/E2553,""),"")</f>
        <v/>
      </c>
      <c r="J2553" s="152">
        <f>IFERROR(VALUE(SUBSTITUTE(INDEX('04A_국토부원자료'!$A:$T,ROW()+1,MATCH("층",'04A_국토부원자료'!$A$4:$T$4,0)),",","")),"")</f>
        <v/>
      </c>
      <c r="K2553" s="152">
        <f>IFERROR(VALUE(SUBSTITUTE(INDEX('04A_국토부원자료'!$A:$T,ROW()+1,MATCH("건축년도",'04A_국토부원자료'!$A$4:$T$4,0)),",","")),"")</f>
        <v/>
      </c>
      <c r="L2553" s="48">
        <f>IFERROR(INDEX('04A_국토부원자료'!$A:$T,ROW()+1,MATCH("도로명",'04A_국토부원자료'!$A$4:$T$4,0)),"")</f>
        <v/>
      </c>
      <c r="M2553" s="48">
        <f>IFERROR(INDEX('04A_국토부원자료'!$A:$T,ROW()+1,MATCH("거래유형",'04A_국토부원자료'!$A$4:$T$4,0)),"")</f>
        <v/>
      </c>
      <c r="N2553" s="152">
        <f>IF(B2553="","",IF('02_대상물건입력'!B5="",1,IF(ISNUMBER(SEARCH('02_대상물건입력'!B5,B2553)),1,0)))</f>
        <v/>
      </c>
      <c r="O2553" s="152">
        <f>IF(B2553="","",IF('02_대상물건입력'!B6="",1,IF(ISNUMBER(SEARCH('02_대상물건입력'!B6,B2553)),1,0)))</f>
        <v/>
      </c>
      <c r="P2553" s="152">
        <f>IF(L2553="","",IF('02_대상물건입력'!B15="",0,IF(ISNUMBER(SEARCH('02_대상물건입력'!B15,L2553)),1,0)))</f>
        <v/>
      </c>
      <c r="Q2553" s="152">
        <f>IF(OR(C2553="",L2553=""),0,IF(AND(TRIM(C2553)=TRIM(RIGHT(SUBSTITUTE(TRIM('02_대상물건입력'!$B$7)," ",REPT(" ",99)),99)),IF('02_대상물건입력'!B15="",TRUE(),ISNUMBER(SEARCH('02_대상물건입력'!B15,L2553)))),1,0))</f>
        <v/>
      </c>
      <c r="R2553" s="175">
        <f>IFERROR(ABS(E2553-'02_대상물건입력'!B11)/'02_대상물건입력'!B11,"")</f>
        <v/>
      </c>
      <c r="S2553" s="152">
        <f>IFERROR(ABS(J2553-'02_대상물건입력'!B10),"")</f>
        <v/>
      </c>
      <c r="T2553" s="152">
        <f>IFERROR(ABS('01_설정'!B4-F2553),"")</f>
        <v/>
      </c>
      <c r="U2553" s="152">
        <f>IFERROR(ABS(K2553-YEAR('02_대상물건입력'!B14)),"")</f>
        <v/>
      </c>
      <c r="V2553" s="152">
        <f>IF(B2553="","",IF(AND(E2553&gt;0,F2553&gt;0,H2553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2553=1,TRUE()),R2553&lt;='01_설정'!B5,S2553&lt;='01_설정'!B6,T2553&lt;='01_설정'!B7,U2553&lt;='01_설정'!B8),"Y",""))</f>
        <v/>
      </c>
      <c r="W2553" s="172">
        <f>IF(V2553&lt;&gt;"Y","",MAX(0,(1-R2553/'01_설정'!B5))*'01_설정'!B14+MAX(0,(1-S2553/'01_설정'!B6))*'01_설정'!B15+MAX(0,(1-T2553/'01_설정'!B7))*'01_설정'!B16+MAX(0,(1-U2553/'01_설정'!B8))*'01_설정'!B17+O2553*'01_설정'!B11+Q2553*'01_설정'!B12+P2553*'01_설정'!B13+IF(Z2553="",0,Z2553))</f>
        <v/>
      </c>
      <c r="X2553" s="152">
        <f>IF(W2553="","",1+COUNTIFS($W$4:$W$3003,"&gt;"&amp;W2553)+COUNTIFS($W$4:W2553,W2553)-1)</f>
        <v/>
      </c>
      <c r="Y2553" s="175">
        <f>IF(OR(I2553="",'02_대상물건입력'!B19="",'02_대상물건입력'!B19&lt;=0),"",ABS(I2553-'02_대상물건입력'!B19)/'02_대상물건입력'!B19)</f>
        <v/>
      </c>
      <c r="Z2553" s="172">
        <f>IF(OR(Y2553="",'01_설정'!B31="",'01_설정'!B31&lt;=0,'01_설정'!B32="",'01_설정'!B32&lt;=0),"",MAX(0,(1-Y2553/'01_설정'!B32))*'01_설정'!B31)</f>
        <v/>
      </c>
    </row>
    <row r="2554" ht="17.25" customHeight="1">
      <c r="A2554" s="152">
        <f>IF(INDEX('04A_국토부원자료'!$A:$A,ROW()+1)="","",ROW()-3)</f>
        <v/>
      </c>
      <c r="B2554" s="48">
        <f>IFERROR(INDEX('04A_국토부원자료'!$A:$T,ROW()+1,MATCH("시군구",'04A_국토부원자료'!$A$4:$T$4,0)),"")</f>
        <v/>
      </c>
      <c r="C2554" s="48">
        <f>IF(B2554="","",IFERROR(INDEX('04A_국토부원자료'!$A:$T,ROW()+1,MATCH("번지",'04A_국토부원자료'!$A$4:$T$4,0)),""))</f>
        <v/>
      </c>
      <c r="D2554" s="48">
        <f>IF(B2554="","",IF(Q2554=1,'02_대상물건입력'!$B$8,IFERROR(INDEX('04A_국토부원자료'!$A:$T,ROW()+1,MATCH("단지명",'04A_국토부원자료'!$A$4:$T$4,0)),"")))</f>
        <v/>
      </c>
      <c r="E2554" s="172">
        <f>IFERROR(VALUE(SUBSTITUTE(INDEX('04A_국토부원자료'!$A:$T,ROW()+1,MATCH("전용면적(㎡)",'04A_국토부원자료'!$A$4:$T$4,0)),",","")),"")</f>
        <v/>
      </c>
      <c r="F25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54" s="51">
        <f>IFERROR(VALUE(SUBSTITUTE(INDEX('04A_국토부원자료'!$A:$T,ROW()+1,MATCH("거래금액(만원)",'04A_국토부원자료'!$A$4:$T$4,0)),",","")),"")</f>
        <v/>
      </c>
      <c r="H2554" s="174">
        <f>IF(G2554="","",G2554*10000)</f>
        <v/>
      </c>
      <c r="I2554" s="174">
        <f>IFERROR(IF(AND(H2554&gt;0,E2554&gt;0),H2554/E2554,""),"")</f>
        <v/>
      </c>
      <c r="J2554" s="152">
        <f>IFERROR(VALUE(SUBSTITUTE(INDEX('04A_국토부원자료'!$A:$T,ROW()+1,MATCH("층",'04A_국토부원자료'!$A$4:$T$4,0)),",","")),"")</f>
        <v/>
      </c>
      <c r="K2554" s="152">
        <f>IFERROR(VALUE(SUBSTITUTE(INDEX('04A_국토부원자료'!$A:$T,ROW()+1,MATCH("건축년도",'04A_국토부원자료'!$A$4:$T$4,0)),",","")),"")</f>
        <v/>
      </c>
      <c r="L2554" s="48">
        <f>IFERROR(INDEX('04A_국토부원자료'!$A:$T,ROW()+1,MATCH("도로명",'04A_국토부원자료'!$A$4:$T$4,0)),"")</f>
        <v/>
      </c>
      <c r="M2554" s="48">
        <f>IFERROR(INDEX('04A_국토부원자료'!$A:$T,ROW()+1,MATCH("거래유형",'04A_국토부원자료'!$A$4:$T$4,0)),"")</f>
        <v/>
      </c>
      <c r="N2554" s="152">
        <f>IF(B2554="","",IF('02_대상물건입력'!B5="",1,IF(ISNUMBER(SEARCH('02_대상물건입력'!B5,B2554)),1,0)))</f>
        <v/>
      </c>
      <c r="O2554" s="152">
        <f>IF(B2554="","",IF('02_대상물건입력'!B6="",1,IF(ISNUMBER(SEARCH('02_대상물건입력'!B6,B2554)),1,0)))</f>
        <v/>
      </c>
      <c r="P2554" s="152">
        <f>IF(L2554="","",IF('02_대상물건입력'!B15="",0,IF(ISNUMBER(SEARCH('02_대상물건입력'!B15,L2554)),1,0)))</f>
        <v/>
      </c>
      <c r="Q2554" s="152">
        <f>IF(OR(C2554="",L2554=""),0,IF(AND(TRIM(C2554)=TRIM(RIGHT(SUBSTITUTE(TRIM('02_대상물건입력'!$B$7)," ",REPT(" ",99)),99)),IF('02_대상물건입력'!B15="",TRUE(),ISNUMBER(SEARCH('02_대상물건입력'!B15,L2554)))),1,0))</f>
        <v/>
      </c>
      <c r="R2554" s="175">
        <f>IFERROR(ABS(E2554-'02_대상물건입력'!B11)/'02_대상물건입력'!B11,"")</f>
        <v/>
      </c>
      <c r="S2554" s="152">
        <f>IFERROR(ABS(J2554-'02_대상물건입력'!B10),"")</f>
        <v/>
      </c>
      <c r="T2554" s="152">
        <f>IFERROR(ABS('01_설정'!B4-F2554),"")</f>
        <v/>
      </c>
      <c r="U2554" s="152">
        <f>IFERROR(ABS(K2554-YEAR('02_대상물건입력'!B14)),"")</f>
        <v/>
      </c>
      <c r="V2554" s="152">
        <f>IF(B2554="","",IF(AND(E2554&gt;0,F2554&gt;0,H2554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2554=1,TRUE()),R2554&lt;='01_설정'!B5,S2554&lt;='01_설정'!B6,T2554&lt;='01_설정'!B7,U2554&lt;='01_설정'!B8),"Y",""))</f>
        <v/>
      </c>
      <c r="W2554" s="172">
        <f>IF(V2554&lt;&gt;"Y","",MAX(0,(1-R2554/'01_설정'!B5))*'01_설정'!B14+MAX(0,(1-S2554/'01_설정'!B6))*'01_설정'!B15+MAX(0,(1-T2554/'01_설정'!B7))*'01_설정'!B16+MAX(0,(1-U2554/'01_설정'!B8))*'01_설정'!B17+O2554*'01_설정'!B11+Q2554*'01_설정'!B12+P2554*'01_설정'!B13+IF(Z2554="",0,Z2554))</f>
        <v/>
      </c>
      <c r="X2554" s="152">
        <f>IF(W2554="","",1+COUNTIFS($W$4:$W$3003,"&gt;"&amp;W2554)+COUNTIFS($W$4:W2554,W2554)-1)</f>
        <v/>
      </c>
      <c r="Y2554" s="175">
        <f>IF(OR(I2554="",'02_대상물건입력'!B19="",'02_대상물건입력'!B19&lt;=0),"",ABS(I2554-'02_대상물건입력'!B19)/'02_대상물건입력'!B19)</f>
        <v/>
      </c>
      <c r="Z2554" s="172">
        <f>IF(OR(Y2554="",'01_설정'!B31="",'01_설정'!B31&lt;=0,'01_설정'!B32="",'01_설정'!B32&lt;=0),"",MAX(0,(1-Y2554/'01_설정'!B32))*'01_설정'!B31)</f>
        <v/>
      </c>
    </row>
    <row r="2555" ht="17.25" customHeight="1">
      <c r="A2555" s="152">
        <f>IF(INDEX('04A_국토부원자료'!$A:$A,ROW()+1)="","",ROW()-3)</f>
        <v/>
      </c>
      <c r="B2555" s="48">
        <f>IFERROR(INDEX('04A_국토부원자료'!$A:$T,ROW()+1,MATCH("시군구",'04A_국토부원자료'!$A$4:$T$4,0)),"")</f>
        <v/>
      </c>
      <c r="C2555" s="48">
        <f>IF(B2555="","",IFERROR(INDEX('04A_국토부원자료'!$A:$T,ROW()+1,MATCH("번지",'04A_국토부원자료'!$A$4:$T$4,0)),""))</f>
        <v/>
      </c>
      <c r="D2555" s="48">
        <f>IF(B2555="","",IF(Q2555=1,'02_대상물건입력'!$B$8,IFERROR(INDEX('04A_국토부원자료'!$A:$T,ROW()+1,MATCH("단지명",'04A_국토부원자료'!$A$4:$T$4,0)),"")))</f>
        <v/>
      </c>
      <c r="E2555" s="172">
        <f>IFERROR(VALUE(SUBSTITUTE(INDEX('04A_국토부원자료'!$A:$T,ROW()+1,MATCH("전용면적(㎡)",'04A_국토부원자료'!$A$4:$T$4,0)),",","")),"")</f>
        <v/>
      </c>
      <c r="F25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55" s="51">
        <f>IFERROR(VALUE(SUBSTITUTE(INDEX('04A_국토부원자료'!$A:$T,ROW()+1,MATCH("거래금액(만원)",'04A_국토부원자료'!$A$4:$T$4,0)),",","")),"")</f>
        <v/>
      </c>
      <c r="H2555" s="174">
        <f>IF(G2555="","",G2555*10000)</f>
        <v/>
      </c>
      <c r="I2555" s="174">
        <f>IFERROR(IF(AND(H2555&gt;0,E2555&gt;0),H2555/E2555,""),"")</f>
        <v/>
      </c>
      <c r="J2555" s="152">
        <f>IFERROR(VALUE(SUBSTITUTE(INDEX('04A_국토부원자료'!$A:$T,ROW()+1,MATCH("층",'04A_국토부원자료'!$A$4:$T$4,0)),",","")),"")</f>
        <v/>
      </c>
      <c r="K2555" s="152">
        <f>IFERROR(VALUE(SUBSTITUTE(INDEX('04A_국토부원자료'!$A:$T,ROW()+1,MATCH("건축년도",'04A_국토부원자료'!$A$4:$T$4,0)),",","")),"")</f>
        <v/>
      </c>
      <c r="L2555" s="48">
        <f>IFERROR(INDEX('04A_국토부원자료'!$A:$T,ROW()+1,MATCH("도로명",'04A_국토부원자료'!$A$4:$T$4,0)),"")</f>
        <v/>
      </c>
      <c r="M2555" s="48">
        <f>IFERROR(INDEX('04A_국토부원자료'!$A:$T,ROW()+1,MATCH("거래유형",'04A_국토부원자료'!$A$4:$T$4,0)),"")</f>
        <v/>
      </c>
      <c r="N2555" s="152">
        <f>IF(B2555="","",IF('02_대상물건입력'!B5="",1,IF(ISNUMBER(SEARCH('02_대상물건입력'!B5,B2555)),1,0)))</f>
        <v/>
      </c>
      <c r="O2555" s="152">
        <f>IF(B2555="","",IF('02_대상물건입력'!B6="",1,IF(ISNUMBER(SEARCH('02_대상물건입력'!B6,B2555)),1,0)))</f>
        <v/>
      </c>
      <c r="P2555" s="152">
        <f>IF(L2555="","",IF('02_대상물건입력'!B15="",0,IF(ISNUMBER(SEARCH('02_대상물건입력'!B15,L2555)),1,0)))</f>
        <v/>
      </c>
      <c r="Q2555" s="152">
        <f>IF(OR(C2555="",L2555=""),0,IF(AND(TRIM(C2555)=TRIM(RIGHT(SUBSTITUTE(TRIM('02_대상물건입력'!$B$7)," ",REPT(" ",99)),99)),IF('02_대상물건입력'!B15="",TRUE(),ISNUMBER(SEARCH('02_대상물건입력'!B15,L2555)))),1,0))</f>
        <v/>
      </c>
      <c r="R2555" s="175">
        <f>IFERROR(ABS(E2555-'02_대상물건입력'!B11)/'02_대상물건입력'!B11,"")</f>
        <v/>
      </c>
      <c r="S2555" s="152">
        <f>IFERROR(ABS(J2555-'02_대상물건입력'!B10),"")</f>
        <v/>
      </c>
      <c r="T2555" s="152">
        <f>IFERROR(ABS('01_설정'!B4-F2555),"")</f>
        <v/>
      </c>
      <c r="U2555" s="152">
        <f>IFERROR(ABS(K2555-YEAR('02_대상물건입력'!B14)),"")</f>
        <v/>
      </c>
      <c r="V2555" s="152">
        <f>IF(B2555="","",IF(AND(E2555&gt;0,F2555&gt;0,H2555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2555=1,TRUE()),R2555&lt;='01_설정'!B5,S2555&lt;='01_설정'!B6,T2555&lt;='01_설정'!B7,U2555&lt;='01_설정'!B8),"Y",""))</f>
        <v/>
      </c>
      <c r="W2555" s="172">
        <f>IF(V2555&lt;&gt;"Y","",MAX(0,(1-R2555/'01_설정'!B5))*'01_설정'!B14+MAX(0,(1-S2555/'01_설정'!B6))*'01_설정'!B15+MAX(0,(1-T2555/'01_설정'!B7))*'01_설정'!B16+MAX(0,(1-U2555/'01_설정'!B8))*'01_설정'!B17+O2555*'01_설정'!B11+Q2555*'01_설정'!B12+P2555*'01_설정'!B13+IF(Z2555="",0,Z2555))</f>
        <v/>
      </c>
      <c r="X2555" s="152">
        <f>IF(W2555="","",1+COUNTIFS($W$4:$W$3003,"&gt;"&amp;W2555)+COUNTIFS($W$4:W2555,W2555)-1)</f>
        <v/>
      </c>
      <c r="Y2555" s="175">
        <f>IF(OR(I2555="",'02_대상물건입력'!B19="",'02_대상물건입력'!B19&lt;=0),"",ABS(I2555-'02_대상물건입력'!B19)/'02_대상물건입력'!B19)</f>
        <v/>
      </c>
      <c r="Z2555" s="172">
        <f>IF(OR(Y2555="",'01_설정'!B31="",'01_설정'!B31&lt;=0,'01_설정'!B32="",'01_설정'!B32&lt;=0),"",MAX(0,(1-Y2555/'01_설정'!B32))*'01_설정'!B31)</f>
        <v/>
      </c>
    </row>
    <row r="2556" ht="17.25" customHeight="1">
      <c r="A2556" s="152">
        <f>IF(INDEX('04A_국토부원자료'!$A:$A,ROW()+1)="","",ROW()-3)</f>
        <v/>
      </c>
      <c r="B2556" s="48">
        <f>IFERROR(INDEX('04A_국토부원자료'!$A:$T,ROW()+1,MATCH("시군구",'04A_국토부원자료'!$A$4:$T$4,0)),"")</f>
        <v/>
      </c>
      <c r="C2556" s="48">
        <f>IF(B2556="","",IFERROR(INDEX('04A_국토부원자료'!$A:$T,ROW()+1,MATCH("번지",'04A_국토부원자료'!$A$4:$T$4,0)),""))</f>
        <v/>
      </c>
      <c r="D2556" s="48">
        <f>IF(B2556="","",IF(Q2556=1,'02_대상물건입력'!$B$8,IFERROR(INDEX('04A_국토부원자료'!$A:$T,ROW()+1,MATCH("단지명",'04A_국토부원자료'!$A$4:$T$4,0)),"")))</f>
        <v/>
      </c>
      <c r="E2556" s="172">
        <f>IFERROR(VALUE(SUBSTITUTE(INDEX('04A_국토부원자료'!$A:$T,ROW()+1,MATCH("전용면적(㎡)",'04A_국토부원자료'!$A$4:$T$4,0)),",","")),"")</f>
        <v/>
      </c>
      <c r="F25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56" s="51">
        <f>IFERROR(VALUE(SUBSTITUTE(INDEX('04A_국토부원자료'!$A:$T,ROW()+1,MATCH("거래금액(만원)",'04A_국토부원자료'!$A$4:$T$4,0)),",","")),"")</f>
        <v/>
      </c>
      <c r="H2556" s="174">
        <f>IF(G2556="","",G2556*10000)</f>
        <v/>
      </c>
      <c r="I2556" s="174">
        <f>IFERROR(IF(AND(H2556&gt;0,E2556&gt;0),H2556/E2556,""),"")</f>
        <v/>
      </c>
      <c r="J2556" s="152">
        <f>IFERROR(VALUE(SUBSTITUTE(INDEX('04A_국토부원자료'!$A:$T,ROW()+1,MATCH("층",'04A_국토부원자료'!$A$4:$T$4,0)),",","")),"")</f>
        <v/>
      </c>
      <c r="K2556" s="152">
        <f>IFERROR(VALUE(SUBSTITUTE(INDEX('04A_국토부원자료'!$A:$T,ROW()+1,MATCH("건축년도",'04A_국토부원자료'!$A$4:$T$4,0)),",","")),"")</f>
        <v/>
      </c>
      <c r="L2556" s="48">
        <f>IFERROR(INDEX('04A_국토부원자료'!$A:$T,ROW()+1,MATCH("도로명",'04A_국토부원자료'!$A$4:$T$4,0)),"")</f>
        <v/>
      </c>
      <c r="M2556" s="48">
        <f>IFERROR(INDEX('04A_국토부원자료'!$A:$T,ROW()+1,MATCH("거래유형",'04A_국토부원자료'!$A$4:$T$4,0)),"")</f>
        <v/>
      </c>
      <c r="N2556" s="152">
        <f>IF(B2556="","",IF('02_대상물건입력'!B5="",1,IF(ISNUMBER(SEARCH('02_대상물건입력'!B5,B2556)),1,0)))</f>
        <v/>
      </c>
      <c r="O2556" s="152">
        <f>IF(B2556="","",IF('02_대상물건입력'!B6="",1,IF(ISNUMBER(SEARCH('02_대상물건입력'!B6,B2556)),1,0)))</f>
        <v/>
      </c>
      <c r="P2556" s="152">
        <f>IF(L2556="","",IF('02_대상물건입력'!B15="",0,IF(ISNUMBER(SEARCH('02_대상물건입력'!B15,L2556)),1,0)))</f>
        <v/>
      </c>
      <c r="Q2556" s="152">
        <f>IF(OR(C2556="",L2556=""),0,IF(AND(TRIM(C2556)=TRIM(RIGHT(SUBSTITUTE(TRIM('02_대상물건입력'!$B$7)," ",REPT(" ",99)),99)),IF('02_대상물건입력'!B15="",TRUE(),ISNUMBER(SEARCH('02_대상물건입력'!B15,L2556)))),1,0))</f>
        <v/>
      </c>
      <c r="R2556" s="175">
        <f>IFERROR(ABS(E2556-'02_대상물건입력'!B11)/'02_대상물건입력'!B11,"")</f>
        <v/>
      </c>
      <c r="S2556" s="152">
        <f>IFERROR(ABS(J2556-'02_대상물건입력'!B10),"")</f>
        <v/>
      </c>
      <c r="T2556" s="152">
        <f>IFERROR(ABS('01_설정'!B4-F2556),"")</f>
        <v/>
      </c>
      <c r="U2556" s="152">
        <f>IFERROR(ABS(K2556-YEAR('02_대상물건입력'!B14)),"")</f>
        <v/>
      </c>
      <c r="V2556" s="152">
        <f>IF(B2556="","",IF(AND(E2556&gt;0,F2556&gt;0,H2556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2556=1,TRUE()),R2556&lt;='01_설정'!B5,S2556&lt;='01_설정'!B6,T2556&lt;='01_설정'!B7,U2556&lt;='01_설정'!B8),"Y",""))</f>
        <v/>
      </c>
      <c r="W2556" s="172">
        <f>IF(V2556&lt;&gt;"Y","",MAX(0,(1-R2556/'01_설정'!B5))*'01_설정'!B14+MAX(0,(1-S2556/'01_설정'!B6))*'01_설정'!B15+MAX(0,(1-T2556/'01_설정'!B7))*'01_설정'!B16+MAX(0,(1-U2556/'01_설정'!B8))*'01_설정'!B17+O2556*'01_설정'!B11+Q2556*'01_설정'!B12+P2556*'01_설정'!B13+IF(Z2556="",0,Z2556))</f>
        <v/>
      </c>
      <c r="X2556" s="152">
        <f>IF(W2556="","",1+COUNTIFS($W$4:$W$3003,"&gt;"&amp;W2556)+COUNTIFS($W$4:W2556,W2556)-1)</f>
        <v/>
      </c>
      <c r="Y2556" s="175">
        <f>IF(OR(I2556="",'02_대상물건입력'!B19="",'02_대상물건입력'!B19&lt;=0),"",ABS(I2556-'02_대상물건입력'!B19)/'02_대상물건입력'!B19)</f>
        <v/>
      </c>
      <c r="Z2556" s="172">
        <f>IF(OR(Y2556="",'01_설정'!B31="",'01_설정'!B31&lt;=0,'01_설정'!B32="",'01_설정'!B32&lt;=0),"",MAX(0,(1-Y2556/'01_설정'!B32))*'01_설정'!B31)</f>
        <v/>
      </c>
    </row>
    <row r="2557" ht="17.25" customHeight="1">
      <c r="A2557" s="152">
        <f>IF(INDEX('04A_국토부원자료'!$A:$A,ROW()+1)="","",ROW()-3)</f>
        <v/>
      </c>
      <c r="B2557" s="48">
        <f>IFERROR(INDEX('04A_국토부원자료'!$A:$T,ROW()+1,MATCH("시군구",'04A_국토부원자료'!$A$4:$T$4,0)),"")</f>
        <v/>
      </c>
      <c r="C2557" s="48">
        <f>IF(B2557="","",IFERROR(INDEX('04A_국토부원자료'!$A:$T,ROW()+1,MATCH("번지",'04A_국토부원자료'!$A$4:$T$4,0)),""))</f>
        <v/>
      </c>
      <c r="D2557" s="48">
        <f>IF(B2557="","",IF(Q2557=1,'02_대상물건입력'!$B$8,IFERROR(INDEX('04A_국토부원자료'!$A:$T,ROW()+1,MATCH("단지명",'04A_국토부원자료'!$A$4:$T$4,0)),"")))</f>
        <v/>
      </c>
      <c r="E2557" s="172">
        <f>IFERROR(VALUE(SUBSTITUTE(INDEX('04A_국토부원자료'!$A:$T,ROW()+1,MATCH("전용면적(㎡)",'04A_국토부원자료'!$A$4:$T$4,0)),",","")),"")</f>
        <v/>
      </c>
      <c r="F25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57" s="51">
        <f>IFERROR(VALUE(SUBSTITUTE(INDEX('04A_국토부원자료'!$A:$T,ROW()+1,MATCH("거래금액(만원)",'04A_국토부원자료'!$A$4:$T$4,0)),",","")),"")</f>
        <v/>
      </c>
      <c r="H2557" s="174">
        <f>IF(G2557="","",G2557*10000)</f>
        <v/>
      </c>
      <c r="I2557" s="174">
        <f>IFERROR(IF(AND(H2557&gt;0,E2557&gt;0),H2557/E2557,""),"")</f>
        <v/>
      </c>
      <c r="J2557" s="152">
        <f>IFERROR(VALUE(SUBSTITUTE(INDEX('04A_국토부원자료'!$A:$T,ROW()+1,MATCH("층",'04A_국토부원자료'!$A$4:$T$4,0)),",","")),"")</f>
        <v/>
      </c>
      <c r="K2557" s="152">
        <f>IFERROR(VALUE(SUBSTITUTE(INDEX('04A_국토부원자료'!$A:$T,ROW()+1,MATCH("건축년도",'04A_국토부원자료'!$A$4:$T$4,0)),",","")),"")</f>
        <v/>
      </c>
      <c r="L2557" s="48">
        <f>IFERROR(INDEX('04A_국토부원자료'!$A:$T,ROW()+1,MATCH("도로명",'04A_국토부원자료'!$A$4:$T$4,0)),"")</f>
        <v/>
      </c>
      <c r="M2557" s="48">
        <f>IFERROR(INDEX('04A_국토부원자료'!$A:$T,ROW()+1,MATCH("거래유형",'04A_국토부원자료'!$A$4:$T$4,0)),"")</f>
        <v/>
      </c>
      <c r="N2557" s="152">
        <f>IF(B2557="","",IF('02_대상물건입력'!B5="",1,IF(ISNUMBER(SEARCH('02_대상물건입력'!B5,B2557)),1,0)))</f>
        <v/>
      </c>
      <c r="O2557" s="152">
        <f>IF(B2557="","",IF('02_대상물건입력'!B6="",1,IF(ISNUMBER(SEARCH('02_대상물건입력'!B6,B2557)),1,0)))</f>
        <v/>
      </c>
      <c r="P2557" s="152">
        <f>IF(L2557="","",IF('02_대상물건입력'!B15="",0,IF(ISNUMBER(SEARCH('02_대상물건입력'!B15,L2557)),1,0)))</f>
        <v/>
      </c>
      <c r="Q2557" s="152">
        <f>IF(OR(C2557="",L2557=""),0,IF(AND(TRIM(C2557)=TRIM(RIGHT(SUBSTITUTE(TRIM('02_대상물건입력'!$B$7)," ",REPT(" ",99)),99)),IF('02_대상물건입력'!B15="",TRUE(),ISNUMBER(SEARCH('02_대상물건입력'!B15,L2557)))),1,0))</f>
        <v/>
      </c>
      <c r="R2557" s="175">
        <f>IFERROR(ABS(E2557-'02_대상물건입력'!B11)/'02_대상물건입력'!B11,"")</f>
        <v/>
      </c>
      <c r="S2557" s="152">
        <f>IFERROR(ABS(J2557-'02_대상물건입력'!B10),"")</f>
        <v/>
      </c>
      <c r="T2557" s="152">
        <f>IFERROR(ABS('01_설정'!B4-F2557),"")</f>
        <v/>
      </c>
      <c r="U2557" s="152">
        <f>IFERROR(ABS(K2557-YEAR('02_대상물건입력'!B14)),"")</f>
        <v/>
      </c>
      <c r="V2557" s="152">
        <f>IF(B2557="","",IF(AND(E2557&gt;0,F2557&gt;0,H2557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2557=1,TRUE()),R2557&lt;='01_설정'!B5,S2557&lt;='01_설정'!B6,T2557&lt;='01_설정'!B7,U2557&lt;='01_설정'!B8),"Y",""))</f>
        <v/>
      </c>
      <c r="W2557" s="172">
        <f>IF(V2557&lt;&gt;"Y","",MAX(0,(1-R2557/'01_설정'!B5))*'01_설정'!B14+MAX(0,(1-S2557/'01_설정'!B6))*'01_설정'!B15+MAX(0,(1-T2557/'01_설정'!B7))*'01_설정'!B16+MAX(0,(1-U2557/'01_설정'!B8))*'01_설정'!B17+O2557*'01_설정'!B11+Q2557*'01_설정'!B12+P2557*'01_설정'!B13+IF(Z2557="",0,Z2557))</f>
        <v/>
      </c>
      <c r="X2557" s="152">
        <f>IF(W2557="","",1+COUNTIFS($W$4:$W$3003,"&gt;"&amp;W2557)+COUNTIFS($W$4:W2557,W2557)-1)</f>
        <v/>
      </c>
      <c r="Y2557" s="175">
        <f>IF(OR(I2557="",'02_대상물건입력'!B19="",'02_대상물건입력'!B19&lt;=0),"",ABS(I2557-'02_대상물건입력'!B19)/'02_대상물건입력'!B19)</f>
        <v/>
      </c>
      <c r="Z2557" s="172">
        <f>IF(OR(Y2557="",'01_설정'!B31="",'01_설정'!B31&lt;=0,'01_설정'!B32="",'01_설정'!B32&lt;=0),"",MAX(0,(1-Y2557/'01_설정'!B32))*'01_설정'!B31)</f>
        <v/>
      </c>
    </row>
    <row r="2558" ht="17.25" customHeight="1">
      <c r="A2558" s="152">
        <f>IF(INDEX('04A_국토부원자료'!$A:$A,ROW()+1)="","",ROW()-3)</f>
        <v/>
      </c>
      <c r="B2558" s="48">
        <f>IFERROR(INDEX('04A_국토부원자료'!$A:$T,ROW()+1,MATCH("시군구",'04A_국토부원자료'!$A$4:$T$4,0)),"")</f>
        <v/>
      </c>
      <c r="C2558" s="48">
        <f>IF(B2558="","",IFERROR(INDEX('04A_국토부원자료'!$A:$T,ROW()+1,MATCH("번지",'04A_국토부원자료'!$A$4:$T$4,0)),""))</f>
        <v/>
      </c>
      <c r="D2558" s="48">
        <f>IF(B2558="","",IF(Q2558=1,'02_대상물건입력'!$B$8,IFERROR(INDEX('04A_국토부원자료'!$A:$T,ROW()+1,MATCH("단지명",'04A_국토부원자료'!$A$4:$T$4,0)),"")))</f>
        <v/>
      </c>
      <c r="E2558" s="172">
        <f>IFERROR(VALUE(SUBSTITUTE(INDEX('04A_국토부원자료'!$A:$T,ROW()+1,MATCH("전용면적(㎡)",'04A_국토부원자료'!$A$4:$T$4,0)),",","")),"")</f>
        <v/>
      </c>
      <c r="F25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58" s="51">
        <f>IFERROR(VALUE(SUBSTITUTE(INDEX('04A_국토부원자료'!$A:$T,ROW()+1,MATCH("거래금액(만원)",'04A_국토부원자료'!$A$4:$T$4,0)),",","")),"")</f>
        <v/>
      </c>
      <c r="H2558" s="174">
        <f>IF(G2558="","",G2558*10000)</f>
        <v/>
      </c>
      <c r="I2558" s="174">
        <f>IFERROR(IF(AND(H2558&gt;0,E2558&gt;0),H2558/E2558,""),"")</f>
        <v/>
      </c>
      <c r="J2558" s="152">
        <f>IFERROR(VALUE(SUBSTITUTE(INDEX('04A_국토부원자료'!$A:$T,ROW()+1,MATCH("층",'04A_국토부원자료'!$A$4:$T$4,0)),",","")),"")</f>
        <v/>
      </c>
      <c r="K2558" s="152">
        <f>IFERROR(VALUE(SUBSTITUTE(INDEX('04A_국토부원자료'!$A:$T,ROW()+1,MATCH("건축년도",'04A_국토부원자료'!$A$4:$T$4,0)),",","")),"")</f>
        <v/>
      </c>
      <c r="L2558" s="48">
        <f>IFERROR(INDEX('04A_국토부원자료'!$A:$T,ROW()+1,MATCH("도로명",'04A_국토부원자료'!$A$4:$T$4,0)),"")</f>
        <v/>
      </c>
      <c r="M2558" s="48">
        <f>IFERROR(INDEX('04A_국토부원자료'!$A:$T,ROW()+1,MATCH("거래유형",'04A_국토부원자료'!$A$4:$T$4,0)),"")</f>
        <v/>
      </c>
      <c r="N2558" s="152">
        <f>IF(B2558="","",IF('02_대상물건입력'!B5="",1,IF(ISNUMBER(SEARCH('02_대상물건입력'!B5,B2558)),1,0)))</f>
        <v/>
      </c>
      <c r="O2558" s="152">
        <f>IF(B2558="","",IF('02_대상물건입력'!B6="",1,IF(ISNUMBER(SEARCH('02_대상물건입력'!B6,B2558)),1,0)))</f>
        <v/>
      </c>
      <c r="P2558" s="152">
        <f>IF(L2558="","",IF('02_대상물건입력'!B15="",0,IF(ISNUMBER(SEARCH('02_대상물건입력'!B15,L2558)),1,0)))</f>
        <v/>
      </c>
      <c r="Q2558" s="152">
        <f>IF(OR(C2558="",L2558=""),0,IF(AND(TRIM(C2558)=TRIM(RIGHT(SUBSTITUTE(TRIM('02_대상물건입력'!$B$7)," ",REPT(" ",99)),99)),IF('02_대상물건입력'!B15="",TRUE(),ISNUMBER(SEARCH('02_대상물건입력'!B15,L2558)))),1,0))</f>
        <v/>
      </c>
      <c r="R2558" s="175">
        <f>IFERROR(ABS(E2558-'02_대상물건입력'!B11)/'02_대상물건입력'!B11,"")</f>
        <v/>
      </c>
      <c r="S2558" s="152">
        <f>IFERROR(ABS(J2558-'02_대상물건입력'!B10),"")</f>
        <v/>
      </c>
      <c r="T2558" s="152">
        <f>IFERROR(ABS('01_설정'!B4-F2558),"")</f>
        <v/>
      </c>
      <c r="U2558" s="152">
        <f>IFERROR(ABS(K2558-YEAR('02_대상물건입력'!B14)),"")</f>
        <v/>
      </c>
      <c r="V2558" s="152">
        <f>IF(B2558="","",IF(AND(E2558&gt;0,F2558&gt;0,H2558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2558=1,TRUE()),R2558&lt;='01_설정'!B5,S2558&lt;='01_설정'!B6,T2558&lt;='01_설정'!B7,U2558&lt;='01_설정'!B8),"Y",""))</f>
        <v/>
      </c>
      <c r="W2558" s="172">
        <f>IF(V2558&lt;&gt;"Y","",MAX(0,(1-R2558/'01_설정'!B5))*'01_설정'!B14+MAX(0,(1-S2558/'01_설정'!B6))*'01_설정'!B15+MAX(0,(1-T2558/'01_설정'!B7))*'01_설정'!B16+MAX(0,(1-U2558/'01_설정'!B8))*'01_설정'!B17+O2558*'01_설정'!B11+Q2558*'01_설정'!B12+P2558*'01_설정'!B13+IF(Z2558="",0,Z2558))</f>
        <v/>
      </c>
      <c r="X2558" s="152">
        <f>IF(W2558="","",1+COUNTIFS($W$4:$W$3003,"&gt;"&amp;W2558)+COUNTIFS($W$4:W2558,W2558)-1)</f>
        <v/>
      </c>
      <c r="Y2558" s="175">
        <f>IF(OR(I2558="",'02_대상물건입력'!B19="",'02_대상물건입력'!B19&lt;=0),"",ABS(I2558-'02_대상물건입력'!B19)/'02_대상물건입력'!B19)</f>
        <v/>
      </c>
      <c r="Z2558" s="172">
        <f>IF(OR(Y2558="",'01_설정'!B31="",'01_설정'!B31&lt;=0,'01_설정'!B32="",'01_설정'!B32&lt;=0),"",MAX(0,(1-Y2558/'01_설정'!B32))*'01_설정'!B31)</f>
        <v/>
      </c>
    </row>
    <row r="2559" ht="17.25" customHeight="1">
      <c r="A2559" s="152">
        <f>IF(INDEX('04A_국토부원자료'!$A:$A,ROW()+1)="","",ROW()-3)</f>
        <v/>
      </c>
      <c r="B2559" s="48">
        <f>IFERROR(INDEX('04A_국토부원자료'!$A:$T,ROW()+1,MATCH("시군구",'04A_국토부원자료'!$A$4:$T$4,0)),"")</f>
        <v/>
      </c>
      <c r="C2559" s="48">
        <f>IF(B2559="","",IFERROR(INDEX('04A_국토부원자료'!$A:$T,ROW()+1,MATCH("번지",'04A_국토부원자료'!$A$4:$T$4,0)),""))</f>
        <v/>
      </c>
      <c r="D2559" s="48">
        <f>IF(B2559="","",IF(Q2559=1,'02_대상물건입력'!$B$8,IFERROR(INDEX('04A_국토부원자료'!$A:$T,ROW()+1,MATCH("단지명",'04A_국토부원자료'!$A$4:$T$4,0)),"")))</f>
        <v/>
      </c>
      <c r="E2559" s="172">
        <f>IFERROR(VALUE(SUBSTITUTE(INDEX('04A_국토부원자료'!$A:$T,ROW()+1,MATCH("전용면적(㎡)",'04A_국토부원자료'!$A$4:$T$4,0)),",","")),"")</f>
        <v/>
      </c>
      <c r="F25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59" s="51">
        <f>IFERROR(VALUE(SUBSTITUTE(INDEX('04A_국토부원자료'!$A:$T,ROW()+1,MATCH("거래금액(만원)",'04A_국토부원자료'!$A$4:$T$4,0)),",","")),"")</f>
        <v/>
      </c>
      <c r="H2559" s="174">
        <f>IF(G2559="","",G2559*10000)</f>
        <v/>
      </c>
      <c r="I2559" s="174">
        <f>IFERROR(IF(AND(H2559&gt;0,E2559&gt;0),H2559/E2559,""),"")</f>
        <v/>
      </c>
      <c r="J2559" s="152">
        <f>IFERROR(VALUE(SUBSTITUTE(INDEX('04A_국토부원자료'!$A:$T,ROW()+1,MATCH("층",'04A_국토부원자료'!$A$4:$T$4,0)),",","")),"")</f>
        <v/>
      </c>
      <c r="K2559" s="152">
        <f>IFERROR(VALUE(SUBSTITUTE(INDEX('04A_국토부원자료'!$A:$T,ROW()+1,MATCH("건축년도",'04A_국토부원자료'!$A$4:$T$4,0)),",","")),"")</f>
        <v/>
      </c>
      <c r="L2559" s="48">
        <f>IFERROR(INDEX('04A_국토부원자료'!$A:$T,ROW()+1,MATCH("도로명",'04A_국토부원자료'!$A$4:$T$4,0)),"")</f>
        <v/>
      </c>
      <c r="M2559" s="48">
        <f>IFERROR(INDEX('04A_국토부원자료'!$A:$T,ROW()+1,MATCH("거래유형",'04A_국토부원자료'!$A$4:$T$4,0)),"")</f>
        <v/>
      </c>
      <c r="N2559" s="152">
        <f>IF(B2559="","",IF('02_대상물건입력'!B5="",1,IF(ISNUMBER(SEARCH('02_대상물건입력'!B5,B2559)),1,0)))</f>
        <v/>
      </c>
      <c r="O2559" s="152">
        <f>IF(B2559="","",IF('02_대상물건입력'!B6="",1,IF(ISNUMBER(SEARCH('02_대상물건입력'!B6,B2559)),1,0)))</f>
        <v/>
      </c>
      <c r="P2559" s="152">
        <f>IF(L2559="","",IF('02_대상물건입력'!B15="",0,IF(ISNUMBER(SEARCH('02_대상물건입력'!B15,L2559)),1,0)))</f>
        <v/>
      </c>
      <c r="Q2559" s="152">
        <f>IF(OR(C2559="",L2559=""),0,IF(AND(TRIM(C2559)=TRIM(RIGHT(SUBSTITUTE(TRIM('02_대상물건입력'!$B$7)," ",REPT(" ",99)),99)),IF('02_대상물건입력'!B15="",TRUE(),ISNUMBER(SEARCH('02_대상물건입력'!B15,L2559)))),1,0))</f>
        <v/>
      </c>
      <c r="R2559" s="175">
        <f>IFERROR(ABS(E2559-'02_대상물건입력'!B11)/'02_대상물건입력'!B11,"")</f>
        <v/>
      </c>
      <c r="S2559" s="152">
        <f>IFERROR(ABS(J2559-'02_대상물건입력'!B10),"")</f>
        <v/>
      </c>
      <c r="T2559" s="152">
        <f>IFERROR(ABS('01_설정'!B4-F2559),"")</f>
        <v/>
      </c>
      <c r="U2559" s="152">
        <f>IFERROR(ABS(K2559-YEAR('02_대상물건입력'!B14)),"")</f>
        <v/>
      </c>
      <c r="V2559" s="152">
        <f>IF(B2559="","",IF(AND(E2559&gt;0,F2559&gt;0,H2559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2559=1,TRUE()),R2559&lt;='01_설정'!B5,S2559&lt;='01_설정'!B6,T2559&lt;='01_설정'!B7,U2559&lt;='01_설정'!B8),"Y",""))</f>
        <v/>
      </c>
      <c r="W2559" s="172">
        <f>IF(V2559&lt;&gt;"Y","",MAX(0,(1-R2559/'01_설정'!B5))*'01_설정'!B14+MAX(0,(1-S2559/'01_설정'!B6))*'01_설정'!B15+MAX(0,(1-T2559/'01_설정'!B7))*'01_설정'!B16+MAX(0,(1-U2559/'01_설정'!B8))*'01_설정'!B17+O2559*'01_설정'!B11+Q2559*'01_설정'!B12+P2559*'01_설정'!B13+IF(Z2559="",0,Z2559))</f>
        <v/>
      </c>
      <c r="X2559" s="152">
        <f>IF(W2559="","",1+COUNTIFS($W$4:$W$3003,"&gt;"&amp;W2559)+COUNTIFS($W$4:W2559,W2559)-1)</f>
        <v/>
      </c>
      <c r="Y2559" s="175">
        <f>IF(OR(I2559="",'02_대상물건입력'!B19="",'02_대상물건입력'!B19&lt;=0),"",ABS(I2559-'02_대상물건입력'!B19)/'02_대상물건입력'!B19)</f>
        <v/>
      </c>
      <c r="Z2559" s="172">
        <f>IF(OR(Y2559="",'01_설정'!B31="",'01_설정'!B31&lt;=0,'01_설정'!B32="",'01_설정'!B32&lt;=0),"",MAX(0,(1-Y2559/'01_설정'!B32))*'01_설정'!B31)</f>
        <v/>
      </c>
    </row>
    <row r="2560" ht="17.25" customHeight="1">
      <c r="A2560" s="152">
        <f>IF(INDEX('04A_국토부원자료'!$A:$A,ROW()+1)="","",ROW()-3)</f>
        <v/>
      </c>
      <c r="B2560" s="48">
        <f>IFERROR(INDEX('04A_국토부원자료'!$A:$T,ROW()+1,MATCH("시군구",'04A_국토부원자료'!$A$4:$T$4,0)),"")</f>
        <v/>
      </c>
      <c r="C2560" s="48">
        <f>IF(B2560="","",IFERROR(INDEX('04A_국토부원자료'!$A:$T,ROW()+1,MATCH("번지",'04A_국토부원자료'!$A$4:$T$4,0)),""))</f>
        <v/>
      </c>
      <c r="D2560" s="48">
        <f>IF(B2560="","",IF(Q2560=1,'02_대상물건입력'!$B$8,IFERROR(INDEX('04A_국토부원자료'!$A:$T,ROW()+1,MATCH("단지명",'04A_국토부원자료'!$A$4:$T$4,0)),"")))</f>
        <v/>
      </c>
      <c r="E2560" s="172">
        <f>IFERROR(VALUE(SUBSTITUTE(INDEX('04A_국토부원자료'!$A:$T,ROW()+1,MATCH("전용면적(㎡)",'04A_국토부원자료'!$A$4:$T$4,0)),",","")),"")</f>
        <v/>
      </c>
      <c r="F25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60" s="51">
        <f>IFERROR(VALUE(SUBSTITUTE(INDEX('04A_국토부원자료'!$A:$T,ROW()+1,MATCH("거래금액(만원)",'04A_국토부원자료'!$A$4:$T$4,0)),",","")),"")</f>
        <v/>
      </c>
      <c r="H2560" s="174">
        <f>IF(G2560="","",G2560*10000)</f>
        <v/>
      </c>
      <c r="I2560" s="174">
        <f>IFERROR(IF(AND(H2560&gt;0,E2560&gt;0),H2560/E2560,""),"")</f>
        <v/>
      </c>
      <c r="J2560" s="152">
        <f>IFERROR(VALUE(SUBSTITUTE(INDEX('04A_국토부원자료'!$A:$T,ROW()+1,MATCH("층",'04A_국토부원자료'!$A$4:$T$4,0)),",","")),"")</f>
        <v/>
      </c>
      <c r="K2560" s="152">
        <f>IFERROR(VALUE(SUBSTITUTE(INDEX('04A_국토부원자료'!$A:$T,ROW()+1,MATCH("건축년도",'04A_국토부원자료'!$A$4:$T$4,0)),",","")),"")</f>
        <v/>
      </c>
      <c r="L2560" s="48">
        <f>IFERROR(INDEX('04A_국토부원자료'!$A:$T,ROW()+1,MATCH("도로명",'04A_국토부원자료'!$A$4:$T$4,0)),"")</f>
        <v/>
      </c>
      <c r="M2560" s="48">
        <f>IFERROR(INDEX('04A_국토부원자료'!$A:$T,ROW()+1,MATCH("거래유형",'04A_국토부원자료'!$A$4:$T$4,0)),"")</f>
        <v/>
      </c>
      <c r="N2560" s="152">
        <f>IF(B2560="","",IF('02_대상물건입력'!B5="",1,IF(ISNUMBER(SEARCH('02_대상물건입력'!B5,B2560)),1,0)))</f>
        <v/>
      </c>
      <c r="O2560" s="152">
        <f>IF(B2560="","",IF('02_대상물건입력'!B6="",1,IF(ISNUMBER(SEARCH('02_대상물건입력'!B6,B2560)),1,0)))</f>
        <v/>
      </c>
      <c r="P2560" s="152">
        <f>IF(L2560="","",IF('02_대상물건입력'!B15="",0,IF(ISNUMBER(SEARCH('02_대상물건입력'!B15,L2560)),1,0)))</f>
        <v/>
      </c>
      <c r="Q2560" s="152">
        <f>IF(OR(C2560="",L2560=""),0,IF(AND(TRIM(C2560)=TRIM(RIGHT(SUBSTITUTE(TRIM('02_대상물건입력'!$B$7)," ",REPT(" ",99)),99)),IF('02_대상물건입력'!B15="",TRUE(),ISNUMBER(SEARCH('02_대상물건입력'!B15,L2560)))),1,0))</f>
        <v/>
      </c>
      <c r="R2560" s="175">
        <f>IFERROR(ABS(E2560-'02_대상물건입력'!B11)/'02_대상물건입력'!B11,"")</f>
        <v/>
      </c>
      <c r="S2560" s="152">
        <f>IFERROR(ABS(J2560-'02_대상물건입력'!B10),"")</f>
        <v/>
      </c>
      <c r="T2560" s="152">
        <f>IFERROR(ABS('01_설정'!B4-F2560),"")</f>
        <v/>
      </c>
      <c r="U2560" s="152">
        <f>IFERROR(ABS(K2560-YEAR('02_대상물건입력'!B14)),"")</f>
        <v/>
      </c>
      <c r="V2560" s="152">
        <f>IF(B2560="","",IF(AND(E2560&gt;0,F2560&gt;0,H2560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2560=1,TRUE()),R2560&lt;='01_설정'!B5,S2560&lt;='01_설정'!B6,T2560&lt;='01_설정'!B7,U2560&lt;='01_설정'!B8),"Y",""))</f>
        <v/>
      </c>
      <c r="W2560" s="172">
        <f>IF(V2560&lt;&gt;"Y","",MAX(0,(1-R2560/'01_설정'!B5))*'01_설정'!B14+MAX(0,(1-S2560/'01_설정'!B6))*'01_설정'!B15+MAX(0,(1-T2560/'01_설정'!B7))*'01_설정'!B16+MAX(0,(1-U2560/'01_설정'!B8))*'01_설정'!B17+O2560*'01_설정'!B11+Q2560*'01_설정'!B12+P2560*'01_설정'!B13+IF(Z2560="",0,Z2560))</f>
        <v/>
      </c>
      <c r="X2560" s="152">
        <f>IF(W2560="","",1+COUNTIFS($W$4:$W$3003,"&gt;"&amp;W2560)+COUNTIFS($W$4:W2560,W2560)-1)</f>
        <v/>
      </c>
      <c r="Y2560" s="175">
        <f>IF(OR(I2560="",'02_대상물건입력'!B19="",'02_대상물건입력'!B19&lt;=0),"",ABS(I2560-'02_대상물건입력'!B19)/'02_대상물건입력'!B19)</f>
        <v/>
      </c>
      <c r="Z2560" s="172">
        <f>IF(OR(Y2560="",'01_설정'!B31="",'01_설정'!B31&lt;=0,'01_설정'!B32="",'01_설정'!B32&lt;=0),"",MAX(0,(1-Y2560/'01_설정'!B32))*'01_설정'!B31)</f>
        <v/>
      </c>
    </row>
    <row r="2561" ht="17.25" customHeight="1">
      <c r="A2561" s="152">
        <f>IF(INDEX('04A_국토부원자료'!$A:$A,ROW()+1)="","",ROW()-3)</f>
        <v/>
      </c>
      <c r="B2561" s="48">
        <f>IFERROR(INDEX('04A_국토부원자료'!$A:$T,ROW()+1,MATCH("시군구",'04A_국토부원자료'!$A$4:$T$4,0)),"")</f>
        <v/>
      </c>
      <c r="C2561" s="48">
        <f>IF(B2561="","",IFERROR(INDEX('04A_국토부원자료'!$A:$T,ROW()+1,MATCH("번지",'04A_국토부원자료'!$A$4:$T$4,0)),""))</f>
        <v/>
      </c>
      <c r="D2561" s="48">
        <f>IF(B2561="","",IF(Q2561=1,'02_대상물건입력'!$B$8,IFERROR(INDEX('04A_국토부원자료'!$A:$T,ROW()+1,MATCH("단지명",'04A_국토부원자료'!$A$4:$T$4,0)),"")))</f>
        <v/>
      </c>
      <c r="E2561" s="172">
        <f>IFERROR(VALUE(SUBSTITUTE(INDEX('04A_국토부원자료'!$A:$T,ROW()+1,MATCH("전용면적(㎡)",'04A_국토부원자료'!$A$4:$T$4,0)),",","")),"")</f>
        <v/>
      </c>
      <c r="F25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61" s="51">
        <f>IFERROR(VALUE(SUBSTITUTE(INDEX('04A_국토부원자료'!$A:$T,ROW()+1,MATCH("거래금액(만원)",'04A_국토부원자료'!$A$4:$T$4,0)),",","")),"")</f>
        <v/>
      </c>
      <c r="H2561" s="174">
        <f>IF(G2561="","",G2561*10000)</f>
        <v/>
      </c>
      <c r="I2561" s="174">
        <f>IFERROR(IF(AND(H2561&gt;0,E2561&gt;0),H2561/E2561,""),"")</f>
        <v/>
      </c>
      <c r="J2561" s="152">
        <f>IFERROR(VALUE(SUBSTITUTE(INDEX('04A_국토부원자료'!$A:$T,ROW()+1,MATCH("층",'04A_국토부원자료'!$A$4:$T$4,0)),",","")),"")</f>
        <v/>
      </c>
      <c r="K2561" s="152">
        <f>IFERROR(VALUE(SUBSTITUTE(INDEX('04A_국토부원자료'!$A:$T,ROW()+1,MATCH("건축년도",'04A_국토부원자료'!$A$4:$T$4,0)),",","")),"")</f>
        <v/>
      </c>
      <c r="L2561" s="48">
        <f>IFERROR(INDEX('04A_국토부원자료'!$A:$T,ROW()+1,MATCH("도로명",'04A_국토부원자료'!$A$4:$T$4,0)),"")</f>
        <v/>
      </c>
      <c r="M2561" s="48">
        <f>IFERROR(INDEX('04A_국토부원자료'!$A:$T,ROW()+1,MATCH("거래유형",'04A_국토부원자료'!$A$4:$T$4,0)),"")</f>
        <v/>
      </c>
      <c r="N2561" s="152">
        <f>IF(B2561="","",IF('02_대상물건입력'!B5="",1,IF(ISNUMBER(SEARCH('02_대상물건입력'!B5,B2561)),1,0)))</f>
        <v/>
      </c>
      <c r="O2561" s="152">
        <f>IF(B2561="","",IF('02_대상물건입력'!B6="",1,IF(ISNUMBER(SEARCH('02_대상물건입력'!B6,B2561)),1,0)))</f>
        <v/>
      </c>
      <c r="P2561" s="152">
        <f>IF(L2561="","",IF('02_대상물건입력'!B15="",0,IF(ISNUMBER(SEARCH('02_대상물건입력'!B15,L2561)),1,0)))</f>
        <v/>
      </c>
      <c r="Q2561" s="152">
        <f>IF(OR(C2561="",L2561=""),0,IF(AND(TRIM(C2561)=TRIM(RIGHT(SUBSTITUTE(TRIM('02_대상물건입력'!$B$7)," ",REPT(" ",99)),99)),IF('02_대상물건입력'!B15="",TRUE(),ISNUMBER(SEARCH('02_대상물건입력'!B15,L2561)))),1,0))</f>
        <v/>
      </c>
      <c r="R2561" s="175">
        <f>IFERROR(ABS(E2561-'02_대상물건입력'!B11)/'02_대상물건입력'!B11,"")</f>
        <v/>
      </c>
      <c r="S2561" s="152">
        <f>IFERROR(ABS(J2561-'02_대상물건입력'!B10),"")</f>
        <v/>
      </c>
      <c r="T2561" s="152">
        <f>IFERROR(ABS('01_설정'!B4-F2561),"")</f>
        <v/>
      </c>
      <c r="U2561" s="152">
        <f>IFERROR(ABS(K2561-YEAR('02_대상물건입력'!B14)),"")</f>
        <v/>
      </c>
      <c r="V2561" s="152">
        <f>IF(B2561="","",IF(AND(E2561&gt;0,F2561&gt;0,H2561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2561=1,TRUE()),R2561&lt;='01_설정'!B5,S2561&lt;='01_설정'!B6,T2561&lt;='01_설정'!B7,U2561&lt;='01_설정'!B8),"Y",""))</f>
        <v/>
      </c>
      <c r="W2561" s="172">
        <f>IF(V2561&lt;&gt;"Y","",MAX(0,(1-R2561/'01_설정'!B5))*'01_설정'!B14+MAX(0,(1-S2561/'01_설정'!B6))*'01_설정'!B15+MAX(0,(1-T2561/'01_설정'!B7))*'01_설정'!B16+MAX(0,(1-U2561/'01_설정'!B8))*'01_설정'!B17+O2561*'01_설정'!B11+Q2561*'01_설정'!B12+P2561*'01_설정'!B13+IF(Z2561="",0,Z2561))</f>
        <v/>
      </c>
      <c r="X2561" s="152">
        <f>IF(W2561="","",1+COUNTIFS($W$4:$W$3003,"&gt;"&amp;W2561)+COUNTIFS($W$4:W2561,W2561)-1)</f>
        <v/>
      </c>
      <c r="Y2561" s="175">
        <f>IF(OR(I2561="",'02_대상물건입력'!B19="",'02_대상물건입력'!B19&lt;=0),"",ABS(I2561-'02_대상물건입력'!B19)/'02_대상물건입력'!B19)</f>
        <v/>
      </c>
      <c r="Z2561" s="172">
        <f>IF(OR(Y2561="",'01_설정'!B31="",'01_설정'!B31&lt;=0,'01_설정'!B32="",'01_설정'!B32&lt;=0),"",MAX(0,(1-Y2561/'01_설정'!B32))*'01_설정'!B31)</f>
        <v/>
      </c>
    </row>
    <row r="2562" ht="17.25" customHeight="1">
      <c r="A2562" s="152">
        <f>IF(INDEX('04A_국토부원자료'!$A:$A,ROW()+1)="","",ROW()-3)</f>
        <v/>
      </c>
      <c r="B2562" s="48">
        <f>IFERROR(INDEX('04A_국토부원자료'!$A:$T,ROW()+1,MATCH("시군구",'04A_국토부원자료'!$A$4:$T$4,0)),"")</f>
        <v/>
      </c>
      <c r="C2562" s="48">
        <f>IF(B2562="","",IFERROR(INDEX('04A_국토부원자료'!$A:$T,ROW()+1,MATCH("번지",'04A_국토부원자료'!$A$4:$T$4,0)),""))</f>
        <v/>
      </c>
      <c r="D2562" s="48">
        <f>IF(B2562="","",IF(Q2562=1,'02_대상물건입력'!$B$8,IFERROR(INDEX('04A_국토부원자료'!$A:$T,ROW()+1,MATCH("단지명",'04A_국토부원자료'!$A$4:$T$4,0)),"")))</f>
        <v/>
      </c>
      <c r="E2562" s="172">
        <f>IFERROR(VALUE(SUBSTITUTE(INDEX('04A_국토부원자료'!$A:$T,ROW()+1,MATCH("전용면적(㎡)",'04A_국토부원자료'!$A$4:$T$4,0)),",","")),"")</f>
        <v/>
      </c>
      <c r="F25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62" s="51">
        <f>IFERROR(VALUE(SUBSTITUTE(INDEX('04A_국토부원자료'!$A:$T,ROW()+1,MATCH("거래금액(만원)",'04A_국토부원자료'!$A$4:$T$4,0)),",","")),"")</f>
        <v/>
      </c>
      <c r="H2562" s="174">
        <f>IF(G2562="","",G2562*10000)</f>
        <v/>
      </c>
      <c r="I2562" s="174">
        <f>IFERROR(IF(AND(H2562&gt;0,E2562&gt;0),H2562/E2562,""),"")</f>
        <v/>
      </c>
      <c r="J2562" s="152">
        <f>IFERROR(VALUE(SUBSTITUTE(INDEX('04A_국토부원자료'!$A:$T,ROW()+1,MATCH("층",'04A_국토부원자료'!$A$4:$T$4,0)),",","")),"")</f>
        <v/>
      </c>
      <c r="K2562" s="152">
        <f>IFERROR(VALUE(SUBSTITUTE(INDEX('04A_국토부원자료'!$A:$T,ROW()+1,MATCH("건축년도",'04A_국토부원자료'!$A$4:$T$4,0)),",","")),"")</f>
        <v/>
      </c>
      <c r="L2562" s="48">
        <f>IFERROR(INDEX('04A_국토부원자료'!$A:$T,ROW()+1,MATCH("도로명",'04A_국토부원자료'!$A$4:$T$4,0)),"")</f>
        <v/>
      </c>
      <c r="M2562" s="48">
        <f>IFERROR(INDEX('04A_국토부원자료'!$A:$T,ROW()+1,MATCH("거래유형",'04A_국토부원자료'!$A$4:$T$4,0)),"")</f>
        <v/>
      </c>
      <c r="N2562" s="152">
        <f>IF(B2562="","",IF('02_대상물건입력'!B5="",1,IF(ISNUMBER(SEARCH('02_대상물건입력'!B5,B2562)),1,0)))</f>
        <v/>
      </c>
      <c r="O2562" s="152">
        <f>IF(B2562="","",IF('02_대상물건입력'!B6="",1,IF(ISNUMBER(SEARCH('02_대상물건입력'!B6,B2562)),1,0)))</f>
        <v/>
      </c>
      <c r="P2562" s="152">
        <f>IF(L2562="","",IF('02_대상물건입력'!B15="",0,IF(ISNUMBER(SEARCH('02_대상물건입력'!B15,L2562)),1,0)))</f>
        <v/>
      </c>
      <c r="Q2562" s="152">
        <f>IF(OR(C2562="",L2562=""),0,IF(AND(TRIM(C2562)=TRIM(RIGHT(SUBSTITUTE(TRIM('02_대상물건입력'!$B$7)," ",REPT(" ",99)),99)),IF('02_대상물건입력'!B15="",TRUE(),ISNUMBER(SEARCH('02_대상물건입력'!B15,L2562)))),1,0))</f>
        <v/>
      </c>
      <c r="R2562" s="175">
        <f>IFERROR(ABS(E2562-'02_대상물건입력'!B11)/'02_대상물건입력'!B11,"")</f>
        <v/>
      </c>
      <c r="S2562" s="152">
        <f>IFERROR(ABS(J2562-'02_대상물건입력'!B10),"")</f>
        <v/>
      </c>
      <c r="T2562" s="152">
        <f>IFERROR(ABS('01_설정'!B4-F2562),"")</f>
        <v/>
      </c>
      <c r="U2562" s="152">
        <f>IFERROR(ABS(K2562-YEAR('02_대상물건입력'!B14)),"")</f>
        <v/>
      </c>
      <c r="V2562" s="152">
        <f>IF(B2562="","",IF(AND(E2562&gt;0,F2562&gt;0,H2562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2562=1,TRUE()),R2562&lt;='01_설정'!B5,S2562&lt;='01_설정'!B6,T2562&lt;='01_설정'!B7,U2562&lt;='01_설정'!B8),"Y",""))</f>
        <v/>
      </c>
      <c r="W2562" s="172">
        <f>IF(V2562&lt;&gt;"Y","",MAX(0,(1-R2562/'01_설정'!B5))*'01_설정'!B14+MAX(0,(1-S2562/'01_설정'!B6))*'01_설정'!B15+MAX(0,(1-T2562/'01_설정'!B7))*'01_설정'!B16+MAX(0,(1-U2562/'01_설정'!B8))*'01_설정'!B17+O2562*'01_설정'!B11+Q2562*'01_설정'!B12+P2562*'01_설정'!B13+IF(Z2562="",0,Z2562))</f>
        <v/>
      </c>
      <c r="X2562" s="152">
        <f>IF(W2562="","",1+COUNTIFS($W$4:$W$3003,"&gt;"&amp;W2562)+COUNTIFS($W$4:W2562,W2562)-1)</f>
        <v/>
      </c>
      <c r="Y2562" s="175">
        <f>IF(OR(I2562="",'02_대상물건입력'!B19="",'02_대상물건입력'!B19&lt;=0),"",ABS(I2562-'02_대상물건입력'!B19)/'02_대상물건입력'!B19)</f>
        <v/>
      </c>
      <c r="Z2562" s="172">
        <f>IF(OR(Y2562="",'01_설정'!B31="",'01_설정'!B31&lt;=0,'01_설정'!B32="",'01_설정'!B32&lt;=0),"",MAX(0,(1-Y2562/'01_설정'!B32))*'01_설정'!B31)</f>
        <v/>
      </c>
    </row>
    <row r="2563" ht="17.25" customHeight="1">
      <c r="A2563" s="152">
        <f>IF(INDEX('04A_국토부원자료'!$A:$A,ROW()+1)="","",ROW()-3)</f>
        <v/>
      </c>
      <c r="B2563" s="48">
        <f>IFERROR(INDEX('04A_국토부원자료'!$A:$T,ROW()+1,MATCH("시군구",'04A_국토부원자료'!$A$4:$T$4,0)),"")</f>
        <v/>
      </c>
      <c r="C2563" s="48">
        <f>IF(B2563="","",IFERROR(INDEX('04A_국토부원자료'!$A:$T,ROW()+1,MATCH("번지",'04A_국토부원자료'!$A$4:$T$4,0)),""))</f>
        <v/>
      </c>
      <c r="D2563" s="48">
        <f>IF(B2563="","",IF(Q2563=1,'02_대상물건입력'!$B$8,IFERROR(INDEX('04A_국토부원자료'!$A:$T,ROW()+1,MATCH("단지명",'04A_국토부원자료'!$A$4:$T$4,0)),"")))</f>
        <v/>
      </c>
      <c r="E2563" s="172">
        <f>IFERROR(VALUE(SUBSTITUTE(INDEX('04A_국토부원자료'!$A:$T,ROW()+1,MATCH("전용면적(㎡)",'04A_국토부원자료'!$A$4:$T$4,0)),",","")),"")</f>
        <v/>
      </c>
      <c r="F25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63" s="51">
        <f>IFERROR(VALUE(SUBSTITUTE(INDEX('04A_국토부원자료'!$A:$T,ROW()+1,MATCH("거래금액(만원)",'04A_국토부원자료'!$A$4:$T$4,0)),",","")),"")</f>
        <v/>
      </c>
      <c r="H2563" s="174">
        <f>IF(G2563="","",G2563*10000)</f>
        <v/>
      </c>
      <c r="I2563" s="174">
        <f>IFERROR(IF(AND(H2563&gt;0,E2563&gt;0),H2563/E2563,""),"")</f>
        <v/>
      </c>
      <c r="J2563" s="152">
        <f>IFERROR(VALUE(SUBSTITUTE(INDEX('04A_국토부원자료'!$A:$T,ROW()+1,MATCH("층",'04A_국토부원자료'!$A$4:$T$4,0)),",","")),"")</f>
        <v/>
      </c>
      <c r="K2563" s="152">
        <f>IFERROR(VALUE(SUBSTITUTE(INDEX('04A_국토부원자료'!$A:$T,ROW()+1,MATCH("건축년도",'04A_국토부원자료'!$A$4:$T$4,0)),",","")),"")</f>
        <v/>
      </c>
      <c r="L2563" s="48">
        <f>IFERROR(INDEX('04A_국토부원자료'!$A:$T,ROW()+1,MATCH("도로명",'04A_국토부원자료'!$A$4:$T$4,0)),"")</f>
        <v/>
      </c>
      <c r="M2563" s="48">
        <f>IFERROR(INDEX('04A_국토부원자료'!$A:$T,ROW()+1,MATCH("거래유형",'04A_국토부원자료'!$A$4:$T$4,0)),"")</f>
        <v/>
      </c>
      <c r="N2563" s="152">
        <f>IF(B2563="","",IF('02_대상물건입력'!B5="",1,IF(ISNUMBER(SEARCH('02_대상물건입력'!B5,B2563)),1,0)))</f>
        <v/>
      </c>
      <c r="O2563" s="152">
        <f>IF(B2563="","",IF('02_대상물건입력'!B6="",1,IF(ISNUMBER(SEARCH('02_대상물건입력'!B6,B2563)),1,0)))</f>
        <v/>
      </c>
      <c r="P2563" s="152">
        <f>IF(L2563="","",IF('02_대상물건입력'!B15="",0,IF(ISNUMBER(SEARCH('02_대상물건입력'!B15,L2563)),1,0)))</f>
        <v/>
      </c>
      <c r="Q2563" s="152">
        <f>IF(OR(C2563="",L2563=""),0,IF(AND(TRIM(C2563)=TRIM(RIGHT(SUBSTITUTE(TRIM('02_대상물건입력'!$B$7)," ",REPT(" ",99)),99)),IF('02_대상물건입력'!B15="",TRUE(),ISNUMBER(SEARCH('02_대상물건입력'!B15,L2563)))),1,0))</f>
        <v/>
      </c>
      <c r="R2563" s="175">
        <f>IFERROR(ABS(E2563-'02_대상물건입력'!B11)/'02_대상물건입력'!B11,"")</f>
        <v/>
      </c>
      <c r="S2563" s="152">
        <f>IFERROR(ABS(J2563-'02_대상물건입력'!B10),"")</f>
        <v/>
      </c>
      <c r="T2563" s="152">
        <f>IFERROR(ABS('01_설정'!B4-F2563),"")</f>
        <v/>
      </c>
      <c r="U2563" s="152">
        <f>IFERROR(ABS(K2563-YEAR('02_대상물건입력'!B14)),"")</f>
        <v/>
      </c>
      <c r="V2563" s="152">
        <f>IF(B2563="","",IF(AND(E2563&gt;0,F2563&gt;0,H2563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2563=1,TRUE()),R2563&lt;='01_설정'!B5,S2563&lt;='01_설정'!B6,T2563&lt;='01_설정'!B7,U2563&lt;='01_설정'!B8),"Y",""))</f>
        <v/>
      </c>
      <c r="W2563" s="172">
        <f>IF(V2563&lt;&gt;"Y","",MAX(0,(1-R2563/'01_설정'!B5))*'01_설정'!B14+MAX(0,(1-S2563/'01_설정'!B6))*'01_설정'!B15+MAX(0,(1-T2563/'01_설정'!B7))*'01_설정'!B16+MAX(0,(1-U2563/'01_설정'!B8))*'01_설정'!B17+O2563*'01_설정'!B11+Q2563*'01_설정'!B12+P2563*'01_설정'!B13+IF(Z2563="",0,Z2563))</f>
        <v/>
      </c>
      <c r="X2563" s="152">
        <f>IF(W2563="","",1+COUNTIFS($W$4:$W$3003,"&gt;"&amp;W2563)+COUNTIFS($W$4:W2563,W2563)-1)</f>
        <v/>
      </c>
      <c r="Y2563" s="175">
        <f>IF(OR(I2563="",'02_대상물건입력'!B19="",'02_대상물건입력'!B19&lt;=0),"",ABS(I2563-'02_대상물건입력'!B19)/'02_대상물건입력'!B19)</f>
        <v/>
      </c>
      <c r="Z2563" s="172">
        <f>IF(OR(Y2563="",'01_설정'!B31="",'01_설정'!B31&lt;=0,'01_설정'!B32="",'01_설정'!B32&lt;=0),"",MAX(0,(1-Y2563/'01_설정'!B32))*'01_설정'!B31)</f>
        <v/>
      </c>
    </row>
    <row r="2564" ht="17.25" customHeight="1">
      <c r="A2564" s="152">
        <f>IF(INDEX('04A_국토부원자료'!$A:$A,ROW()+1)="","",ROW()-3)</f>
        <v/>
      </c>
      <c r="B2564" s="48">
        <f>IFERROR(INDEX('04A_국토부원자료'!$A:$T,ROW()+1,MATCH("시군구",'04A_국토부원자료'!$A$4:$T$4,0)),"")</f>
        <v/>
      </c>
      <c r="C2564" s="48">
        <f>IF(B2564="","",IFERROR(INDEX('04A_국토부원자료'!$A:$T,ROW()+1,MATCH("번지",'04A_국토부원자료'!$A$4:$T$4,0)),""))</f>
        <v/>
      </c>
      <c r="D2564" s="48">
        <f>IF(B2564="","",IF(Q2564=1,'02_대상물건입력'!$B$8,IFERROR(INDEX('04A_국토부원자료'!$A:$T,ROW()+1,MATCH("단지명",'04A_국토부원자료'!$A$4:$T$4,0)),"")))</f>
        <v/>
      </c>
      <c r="E2564" s="172">
        <f>IFERROR(VALUE(SUBSTITUTE(INDEX('04A_국토부원자료'!$A:$T,ROW()+1,MATCH("전용면적(㎡)",'04A_국토부원자료'!$A$4:$T$4,0)),",","")),"")</f>
        <v/>
      </c>
      <c r="F25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64" s="51">
        <f>IFERROR(VALUE(SUBSTITUTE(INDEX('04A_국토부원자료'!$A:$T,ROW()+1,MATCH("거래금액(만원)",'04A_국토부원자료'!$A$4:$T$4,0)),",","")),"")</f>
        <v/>
      </c>
      <c r="H2564" s="174">
        <f>IF(G2564="","",G2564*10000)</f>
        <v/>
      </c>
      <c r="I2564" s="174">
        <f>IFERROR(IF(AND(H2564&gt;0,E2564&gt;0),H2564/E2564,""),"")</f>
        <v/>
      </c>
      <c r="J2564" s="152">
        <f>IFERROR(VALUE(SUBSTITUTE(INDEX('04A_국토부원자료'!$A:$T,ROW()+1,MATCH("층",'04A_국토부원자료'!$A$4:$T$4,0)),",","")),"")</f>
        <v/>
      </c>
      <c r="K2564" s="152">
        <f>IFERROR(VALUE(SUBSTITUTE(INDEX('04A_국토부원자료'!$A:$T,ROW()+1,MATCH("건축년도",'04A_국토부원자료'!$A$4:$T$4,0)),",","")),"")</f>
        <v/>
      </c>
      <c r="L2564" s="48">
        <f>IFERROR(INDEX('04A_국토부원자료'!$A:$T,ROW()+1,MATCH("도로명",'04A_국토부원자료'!$A$4:$T$4,0)),"")</f>
        <v/>
      </c>
      <c r="M2564" s="48">
        <f>IFERROR(INDEX('04A_국토부원자료'!$A:$T,ROW()+1,MATCH("거래유형",'04A_국토부원자료'!$A$4:$T$4,0)),"")</f>
        <v/>
      </c>
      <c r="N2564" s="152">
        <f>IF(B2564="","",IF('02_대상물건입력'!B5="",1,IF(ISNUMBER(SEARCH('02_대상물건입력'!B5,B2564)),1,0)))</f>
        <v/>
      </c>
      <c r="O2564" s="152">
        <f>IF(B2564="","",IF('02_대상물건입력'!B6="",1,IF(ISNUMBER(SEARCH('02_대상물건입력'!B6,B2564)),1,0)))</f>
        <v/>
      </c>
      <c r="P2564" s="152">
        <f>IF(L2564="","",IF('02_대상물건입력'!B15="",0,IF(ISNUMBER(SEARCH('02_대상물건입력'!B15,L2564)),1,0)))</f>
        <v/>
      </c>
      <c r="Q2564" s="152">
        <f>IF(OR(C2564="",L2564=""),0,IF(AND(TRIM(C2564)=TRIM(RIGHT(SUBSTITUTE(TRIM('02_대상물건입력'!$B$7)," ",REPT(" ",99)),99)),IF('02_대상물건입력'!B15="",TRUE(),ISNUMBER(SEARCH('02_대상물건입력'!B15,L2564)))),1,0))</f>
        <v/>
      </c>
      <c r="R2564" s="175">
        <f>IFERROR(ABS(E2564-'02_대상물건입력'!B11)/'02_대상물건입력'!B11,"")</f>
        <v/>
      </c>
      <c r="S2564" s="152">
        <f>IFERROR(ABS(J2564-'02_대상물건입력'!B10),"")</f>
        <v/>
      </c>
      <c r="T2564" s="152">
        <f>IFERROR(ABS('01_설정'!B4-F2564),"")</f>
        <v/>
      </c>
      <c r="U2564" s="152">
        <f>IFERROR(ABS(K2564-YEAR('02_대상물건입력'!B14)),"")</f>
        <v/>
      </c>
      <c r="V2564" s="152">
        <f>IF(B2564="","",IF(AND(E2564&gt;0,F2564&gt;0,H2564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2564=1,TRUE()),R2564&lt;='01_설정'!B5,S2564&lt;='01_설정'!B6,T2564&lt;='01_설정'!B7,U2564&lt;='01_설정'!B8),"Y",""))</f>
        <v/>
      </c>
      <c r="W2564" s="172">
        <f>IF(V2564&lt;&gt;"Y","",MAX(0,(1-R2564/'01_설정'!B5))*'01_설정'!B14+MAX(0,(1-S2564/'01_설정'!B6))*'01_설정'!B15+MAX(0,(1-T2564/'01_설정'!B7))*'01_설정'!B16+MAX(0,(1-U2564/'01_설정'!B8))*'01_설정'!B17+O2564*'01_설정'!B11+Q2564*'01_설정'!B12+P2564*'01_설정'!B13+IF(Z2564="",0,Z2564))</f>
        <v/>
      </c>
      <c r="X2564" s="152">
        <f>IF(W2564="","",1+COUNTIFS($W$4:$W$3003,"&gt;"&amp;W2564)+COUNTIFS($W$4:W2564,W2564)-1)</f>
        <v/>
      </c>
      <c r="Y2564" s="175">
        <f>IF(OR(I2564="",'02_대상물건입력'!B19="",'02_대상물건입력'!B19&lt;=0),"",ABS(I2564-'02_대상물건입력'!B19)/'02_대상물건입력'!B19)</f>
        <v/>
      </c>
      <c r="Z2564" s="172">
        <f>IF(OR(Y2564="",'01_설정'!B31="",'01_설정'!B31&lt;=0,'01_설정'!B32="",'01_설정'!B32&lt;=0),"",MAX(0,(1-Y2564/'01_설정'!B32))*'01_설정'!B31)</f>
        <v/>
      </c>
    </row>
    <row r="2565" ht="17.25" customHeight="1">
      <c r="A2565" s="152">
        <f>IF(INDEX('04A_국토부원자료'!$A:$A,ROW()+1)="","",ROW()-3)</f>
        <v/>
      </c>
      <c r="B2565" s="48">
        <f>IFERROR(INDEX('04A_국토부원자료'!$A:$T,ROW()+1,MATCH("시군구",'04A_국토부원자료'!$A$4:$T$4,0)),"")</f>
        <v/>
      </c>
      <c r="C2565" s="48">
        <f>IF(B2565="","",IFERROR(INDEX('04A_국토부원자료'!$A:$T,ROW()+1,MATCH("번지",'04A_국토부원자료'!$A$4:$T$4,0)),""))</f>
        <v/>
      </c>
      <c r="D2565" s="48">
        <f>IF(B2565="","",IF(Q2565=1,'02_대상물건입력'!$B$8,IFERROR(INDEX('04A_국토부원자료'!$A:$T,ROW()+1,MATCH("단지명",'04A_국토부원자료'!$A$4:$T$4,0)),"")))</f>
        <v/>
      </c>
      <c r="E2565" s="172">
        <f>IFERROR(VALUE(SUBSTITUTE(INDEX('04A_국토부원자료'!$A:$T,ROW()+1,MATCH("전용면적(㎡)",'04A_국토부원자료'!$A$4:$T$4,0)),",","")),"")</f>
        <v/>
      </c>
      <c r="F25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65" s="51">
        <f>IFERROR(VALUE(SUBSTITUTE(INDEX('04A_국토부원자료'!$A:$T,ROW()+1,MATCH("거래금액(만원)",'04A_국토부원자료'!$A$4:$T$4,0)),",","")),"")</f>
        <v/>
      </c>
      <c r="H2565" s="174">
        <f>IF(G2565="","",G2565*10000)</f>
        <v/>
      </c>
      <c r="I2565" s="174">
        <f>IFERROR(IF(AND(H2565&gt;0,E2565&gt;0),H2565/E2565,""),"")</f>
        <v/>
      </c>
      <c r="J2565" s="152">
        <f>IFERROR(VALUE(SUBSTITUTE(INDEX('04A_국토부원자료'!$A:$T,ROW()+1,MATCH("층",'04A_국토부원자료'!$A$4:$T$4,0)),",","")),"")</f>
        <v/>
      </c>
      <c r="K2565" s="152">
        <f>IFERROR(VALUE(SUBSTITUTE(INDEX('04A_국토부원자료'!$A:$T,ROW()+1,MATCH("건축년도",'04A_국토부원자료'!$A$4:$T$4,0)),",","")),"")</f>
        <v/>
      </c>
      <c r="L2565" s="48">
        <f>IFERROR(INDEX('04A_국토부원자료'!$A:$T,ROW()+1,MATCH("도로명",'04A_국토부원자료'!$A$4:$T$4,0)),"")</f>
        <v/>
      </c>
      <c r="M2565" s="48">
        <f>IFERROR(INDEX('04A_국토부원자료'!$A:$T,ROW()+1,MATCH("거래유형",'04A_국토부원자료'!$A$4:$T$4,0)),"")</f>
        <v/>
      </c>
      <c r="N2565" s="152">
        <f>IF(B2565="","",IF('02_대상물건입력'!B5="",1,IF(ISNUMBER(SEARCH('02_대상물건입력'!B5,B2565)),1,0)))</f>
        <v/>
      </c>
      <c r="O2565" s="152">
        <f>IF(B2565="","",IF('02_대상물건입력'!B6="",1,IF(ISNUMBER(SEARCH('02_대상물건입력'!B6,B2565)),1,0)))</f>
        <v/>
      </c>
      <c r="P2565" s="152">
        <f>IF(L2565="","",IF('02_대상물건입력'!B15="",0,IF(ISNUMBER(SEARCH('02_대상물건입력'!B15,L2565)),1,0)))</f>
        <v/>
      </c>
      <c r="Q2565" s="152">
        <f>IF(OR(C2565="",L2565=""),0,IF(AND(TRIM(C2565)=TRIM(RIGHT(SUBSTITUTE(TRIM('02_대상물건입력'!$B$7)," ",REPT(" ",99)),99)),IF('02_대상물건입력'!B15="",TRUE(),ISNUMBER(SEARCH('02_대상물건입력'!B15,L2565)))),1,0))</f>
        <v/>
      </c>
      <c r="R2565" s="175">
        <f>IFERROR(ABS(E2565-'02_대상물건입력'!B11)/'02_대상물건입력'!B11,"")</f>
        <v/>
      </c>
      <c r="S2565" s="152">
        <f>IFERROR(ABS(J2565-'02_대상물건입력'!B10),"")</f>
        <v/>
      </c>
      <c r="T2565" s="152">
        <f>IFERROR(ABS('01_설정'!B4-F2565),"")</f>
        <v/>
      </c>
      <c r="U2565" s="152">
        <f>IFERROR(ABS(K2565-YEAR('02_대상물건입력'!B14)),"")</f>
        <v/>
      </c>
      <c r="V2565" s="152">
        <f>IF(B2565="","",IF(AND(E2565&gt;0,F2565&gt;0,H2565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2565=1,TRUE()),R2565&lt;='01_설정'!B5,S2565&lt;='01_설정'!B6,T2565&lt;='01_설정'!B7,U2565&lt;='01_설정'!B8),"Y",""))</f>
        <v/>
      </c>
      <c r="W2565" s="172">
        <f>IF(V2565&lt;&gt;"Y","",MAX(0,(1-R2565/'01_설정'!B5))*'01_설정'!B14+MAX(0,(1-S2565/'01_설정'!B6))*'01_설정'!B15+MAX(0,(1-T2565/'01_설정'!B7))*'01_설정'!B16+MAX(0,(1-U2565/'01_설정'!B8))*'01_설정'!B17+O2565*'01_설정'!B11+Q2565*'01_설정'!B12+P2565*'01_설정'!B13+IF(Z2565="",0,Z2565))</f>
        <v/>
      </c>
      <c r="X2565" s="152">
        <f>IF(W2565="","",1+COUNTIFS($W$4:$W$3003,"&gt;"&amp;W2565)+COUNTIFS($W$4:W2565,W2565)-1)</f>
        <v/>
      </c>
      <c r="Y2565" s="175">
        <f>IF(OR(I2565="",'02_대상물건입력'!B19="",'02_대상물건입력'!B19&lt;=0),"",ABS(I2565-'02_대상물건입력'!B19)/'02_대상물건입력'!B19)</f>
        <v/>
      </c>
      <c r="Z2565" s="172">
        <f>IF(OR(Y2565="",'01_설정'!B31="",'01_설정'!B31&lt;=0,'01_설정'!B32="",'01_설정'!B32&lt;=0),"",MAX(0,(1-Y2565/'01_설정'!B32))*'01_설정'!B31)</f>
        <v/>
      </c>
    </row>
    <row r="2566" ht="17.25" customHeight="1">
      <c r="A2566" s="152">
        <f>IF(INDEX('04A_국토부원자료'!$A:$A,ROW()+1)="","",ROW()-3)</f>
        <v/>
      </c>
      <c r="B2566" s="48">
        <f>IFERROR(INDEX('04A_국토부원자료'!$A:$T,ROW()+1,MATCH("시군구",'04A_국토부원자료'!$A$4:$T$4,0)),"")</f>
        <v/>
      </c>
      <c r="C2566" s="48">
        <f>IF(B2566="","",IFERROR(INDEX('04A_국토부원자료'!$A:$T,ROW()+1,MATCH("번지",'04A_국토부원자료'!$A$4:$T$4,0)),""))</f>
        <v/>
      </c>
      <c r="D2566" s="48">
        <f>IF(B2566="","",IF(Q2566=1,'02_대상물건입력'!$B$8,IFERROR(INDEX('04A_국토부원자료'!$A:$T,ROW()+1,MATCH("단지명",'04A_국토부원자료'!$A$4:$T$4,0)),"")))</f>
        <v/>
      </c>
      <c r="E2566" s="172">
        <f>IFERROR(VALUE(SUBSTITUTE(INDEX('04A_국토부원자료'!$A:$T,ROW()+1,MATCH("전용면적(㎡)",'04A_국토부원자료'!$A$4:$T$4,0)),",","")),"")</f>
        <v/>
      </c>
      <c r="F25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66" s="51">
        <f>IFERROR(VALUE(SUBSTITUTE(INDEX('04A_국토부원자료'!$A:$T,ROW()+1,MATCH("거래금액(만원)",'04A_국토부원자료'!$A$4:$T$4,0)),",","")),"")</f>
        <v/>
      </c>
      <c r="H2566" s="174">
        <f>IF(G2566="","",G2566*10000)</f>
        <v/>
      </c>
      <c r="I2566" s="174">
        <f>IFERROR(IF(AND(H2566&gt;0,E2566&gt;0),H2566/E2566,""),"")</f>
        <v/>
      </c>
      <c r="J2566" s="152">
        <f>IFERROR(VALUE(SUBSTITUTE(INDEX('04A_국토부원자료'!$A:$T,ROW()+1,MATCH("층",'04A_국토부원자료'!$A$4:$T$4,0)),",","")),"")</f>
        <v/>
      </c>
      <c r="K2566" s="152">
        <f>IFERROR(VALUE(SUBSTITUTE(INDEX('04A_국토부원자료'!$A:$T,ROW()+1,MATCH("건축년도",'04A_국토부원자료'!$A$4:$T$4,0)),",","")),"")</f>
        <v/>
      </c>
      <c r="L2566" s="48">
        <f>IFERROR(INDEX('04A_국토부원자료'!$A:$T,ROW()+1,MATCH("도로명",'04A_국토부원자료'!$A$4:$T$4,0)),"")</f>
        <v/>
      </c>
      <c r="M2566" s="48">
        <f>IFERROR(INDEX('04A_국토부원자료'!$A:$T,ROW()+1,MATCH("거래유형",'04A_국토부원자료'!$A$4:$T$4,0)),"")</f>
        <v/>
      </c>
      <c r="N2566" s="152">
        <f>IF(B2566="","",IF('02_대상물건입력'!B5="",1,IF(ISNUMBER(SEARCH('02_대상물건입력'!B5,B2566)),1,0)))</f>
        <v/>
      </c>
      <c r="O2566" s="152">
        <f>IF(B2566="","",IF('02_대상물건입력'!B6="",1,IF(ISNUMBER(SEARCH('02_대상물건입력'!B6,B2566)),1,0)))</f>
        <v/>
      </c>
      <c r="P2566" s="152">
        <f>IF(L2566="","",IF('02_대상물건입력'!B15="",0,IF(ISNUMBER(SEARCH('02_대상물건입력'!B15,L2566)),1,0)))</f>
        <v/>
      </c>
      <c r="Q2566" s="152">
        <f>IF(OR(C2566="",L2566=""),0,IF(AND(TRIM(C2566)=TRIM(RIGHT(SUBSTITUTE(TRIM('02_대상물건입력'!$B$7)," ",REPT(" ",99)),99)),IF('02_대상물건입력'!B15="",TRUE(),ISNUMBER(SEARCH('02_대상물건입력'!B15,L2566)))),1,0))</f>
        <v/>
      </c>
      <c r="R2566" s="175">
        <f>IFERROR(ABS(E2566-'02_대상물건입력'!B11)/'02_대상물건입력'!B11,"")</f>
        <v/>
      </c>
      <c r="S2566" s="152">
        <f>IFERROR(ABS(J2566-'02_대상물건입력'!B10),"")</f>
        <v/>
      </c>
      <c r="T2566" s="152">
        <f>IFERROR(ABS('01_설정'!B4-F2566),"")</f>
        <v/>
      </c>
      <c r="U2566" s="152">
        <f>IFERROR(ABS(K2566-YEAR('02_대상물건입력'!B14)),"")</f>
        <v/>
      </c>
      <c r="V2566" s="152">
        <f>IF(B2566="","",IF(AND(E2566&gt;0,F2566&gt;0,H2566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2566=1,TRUE()),R2566&lt;='01_설정'!B5,S2566&lt;='01_설정'!B6,T2566&lt;='01_설정'!B7,U2566&lt;='01_설정'!B8),"Y",""))</f>
        <v/>
      </c>
      <c r="W2566" s="172">
        <f>IF(V2566&lt;&gt;"Y","",MAX(0,(1-R2566/'01_설정'!B5))*'01_설정'!B14+MAX(0,(1-S2566/'01_설정'!B6))*'01_설정'!B15+MAX(0,(1-T2566/'01_설정'!B7))*'01_설정'!B16+MAX(0,(1-U2566/'01_설정'!B8))*'01_설정'!B17+O2566*'01_설정'!B11+Q2566*'01_설정'!B12+P2566*'01_설정'!B13+IF(Z2566="",0,Z2566))</f>
        <v/>
      </c>
      <c r="X2566" s="152">
        <f>IF(W2566="","",1+COUNTIFS($W$4:$W$3003,"&gt;"&amp;W2566)+COUNTIFS($W$4:W2566,W2566)-1)</f>
        <v/>
      </c>
      <c r="Y2566" s="175">
        <f>IF(OR(I2566="",'02_대상물건입력'!B19="",'02_대상물건입력'!B19&lt;=0),"",ABS(I2566-'02_대상물건입력'!B19)/'02_대상물건입력'!B19)</f>
        <v/>
      </c>
      <c r="Z2566" s="172">
        <f>IF(OR(Y2566="",'01_설정'!B31="",'01_설정'!B31&lt;=0,'01_설정'!B32="",'01_설정'!B32&lt;=0),"",MAX(0,(1-Y2566/'01_설정'!B32))*'01_설정'!B31)</f>
        <v/>
      </c>
    </row>
    <row r="2567" ht="17.25" customHeight="1">
      <c r="A2567" s="152">
        <f>IF(INDEX('04A_국토부원자료'!$A:$A,ROW()+1)="","",ROW()-3)</f>
        <v/>
      </c>
      <c r="B2567" s="48">
        <f>IFERROR(INDEX('04A_국토부원자료'!$A:$T,ROW()+1,MATCH("시군구",'04A_국토부원자료'!$A$4:$T$4,0)),"")</f>
        <v/>
      </c>
      <c r="C2567" s="48">
        <f>IF(B2567="","",IFERROR(INDEX('04A_국토부원자료'!$A:$T,ROW()+1,MATCH("번지",'04A_국토부원자료'!$A$4:$T$4,0)),""))</f>
        <v/>
      </c>
      <c r="D2567" s="48">
        <f>IF(B2567="","",IF(Q2567=1,'02_대상물건입력'!$B$8,IFERROR(INDEX('04A_국토부원자료'!$A:$T,ROW()+1,MATCH("단지명",'04A_국토부원자료'!$A$4:$T$4,0)),"")))</f>
        <v/>
      </c>
      <c r="E2567" s="172">
        <f>IFERROR(VALUE(SUBSTITUTE(INDEX('04A_국토부원자료'!$A:$T,ROW()+1,MATCH("전용면적(㎡)",'04A_국토부원자료'!$A$4:$T$4,0)),",","")),"")</f>
        <v/>
      </c>
      <c r="F25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67" s="51">
        <f>IFERROR(VALUE(SUBSTITUTE(INDEX('04A_국토부원자료'!$A:$T,ROW()+1,MATCH("거래금액(만원)",'04A_국토부원자료'!$A$4:$T$4,0)),",","")),"")</f>
        <v/>
      </c>
      <c r="H2567" s="174">
        <f>IF(G2567="","",G2567*10000)</f>
        <v/>
      </c>
      <c r="I2567" s="174">
        <f>IFERROR(IF(AND(H2567&gt;0,E2567&gt;0),H2567/E2567,""),"")</f>
        <v/>
      </c>
      <c r="J2567" s="152">
        <f>IFERROR(VALUE(SUBSTITUTE(INDEX('04A_국토부원자료'!$A:$T,ROW()+1,MATCH("층",'04A_국토부원자료'!$A$4:$T$4,0)),",","")),"")</f>
        <v/>
      </c>
      <c r="K2567" s="152">
        <f>IFERROR(VALUE(SUBSTITUTE(INDEX('04A_국토부원자료'!$A:$T,ROW()+1,MATCH("건축년도",'04A_국토부원자료'!$A$4:$T$4,0)),",","")),"")</f>
        <v/>
      </c>
      <c r="L2567" s="48">
        <f>IFERROR(INDEX('04A_국토부원자료'!$A:$T,ROW()+1,MATCH("도로명",'04A_국토부원자료'!$A$4:$T$4,0)),"")</f>
        <v/>
      </c>
      <c r="M2567" s="48">
        <f>IFERROR(INDEX('04A_국토부원자료'!$A:$T,ROW()+1,MATCH("거래유형",'04A_국토부원자료'!$A$4:$T$4,0)),"")</f>
        <v/>
      </c>
      <c r="N2567" s="152">
        <f>IF(B2567="","",IF('02_대상물건입력'!B5="",1,IF(ISNUMBER(SEARCH('02_대상물건입력'!B5,B2567)),1,0)))</f>
        <v/>
      </c>
      <c r="O2567" s="152">
        <f>IF(B2567="","",IF('02_대상물건입력'!B6="",1,IF(ISNUMBER(SEARCH('02_대상물건입력'!B6,B2567)),1,0)))</f>
        <v/>
      </c>
      <c r="P2567" s="152">
        <f>IF(L2567="","",IF('02_대상물건입력'!B15="",0,IF(ISNUMBER(SEARCH('02_대상물건입력'!B15,L2567)),1,0)))</f>
        <v/>
      </c>
      <c r="Q2567" s="152">
        <f>IF(OR(C2567="",L2567=""),0,IF(AND(TRIM(C2567)=TRIM(RIGHT(SUBSTITUTE(TRIM('02_대상물건입력'!$B$7)," ",REPT(" ",99)),99)),IF('02_대상물건입력'!B15="",TRUE(),ISNUMBER(SEARCH('02_대상물건입력'!B15,L2567)))),1,0))</f>
        <v/>
      </c>
      <c r="R2567" s="175">
        <f>IFERROR(ABS(E2567-'02_대상물건입력'!B11)/'02_대상물건입력'!B11,"")</f>
        <v/>
      </c>
      <c r="S2567" s="152">
        <f>IFERROR(ABS(J2567-'02_대상물건입력'!B10),"")</f>
        <v/>
      </c>
      <c r="T2567" s="152">
        <f>IFERROR(ABS('01_설정'!B4-F2567),"")</f>
        <v/>
      </c>
      <c r="U2567" s="152">
        <f>IFERROR(ABS(K2567-YEAR('02_대상물건입력'!B14)),"")</f>
        <v/>
      </c>
      <c r="V2567" s="152">
        <f>IF(B2567="","",IF(AND(E2567&gt;0,F2567&gt;0,H2567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2567=1,TRUE()),R2567&lt;='01_설정'!B5,S2567&lt;='01_설정'!B6,T2567&lt;='01_설정'!B7,U2567&lt;='01_설정'!B8),"Y",""))</f>
        <v/>
      </c>
      <c r="W2567" s="172">
        <f>IF(V2567&lt;&gt;"Y","",MAX(0,(1-R2567/'01_설정'!B5))*'01_설정'!B14+MAX(0,(1-S2567/'01_설정'!B6))*'01_설정'!B15+MAX(0,(1-T2567/'01_설정'!B7))*'01_설정'!B16+MAX(0,(1-U2567/'01_설정'!B8))*'01_설정'!B17+O2567*'01_설정'!B11+Q2567*'01_설정'!B12+P2567*'01_설정'!B13+IF(Z2567="",0,Z2567))</f>
        <v/>
      </c>
      <c r="X2567" s="152">
        <f>IF(W2567="","",1+COUNTIFS($W$4:$W$3003,"&gt;"&amp;W2567)+COUNTIFS($W$4:W2567,W2567)-1)</f>
        <v/>
      </c>
      <c r="Y2567" s="175">
        <f>IF(OR(I2567="",'02_대상물건입력'!B19="",'02_대상물건입력'!B19&lt;=0),"",ABS(I2567-'02_대상물건입력'!B19)/'02_대상물건입력'!B19)</f>
        <v/>
      </c>
      <c r="Z2567" s="172">
        <f>IF(OR(Y2567="",'01_설정'!B31="",'01_설정'!B31&lt;=0,'01_설정'!B32="",'01_설정'!B32&lt;=0),"",MAX(0,(1-Y2567/'01_설정'!B32))*'01_설정'!B31)</f>
        <v/>
      </c>
    </row>
    <row r="2568" ht="17.25" customHeight="1">
      <c r="A2568" s="152">
        <f>IF(INDEX('04A_국토부원자료'!$A:$A,ROW()+1)="","",ROW()-3)</f>
        <v/>
      </c>
      <c r="B2568" s="48">
        <f>IFERROR(INDEX('04A_국토부원자료'!$A:$T,ROW()+1,MATCH("시군구",'04A_국토부원자료'!$A$4:$T$4,0)),"")</f>
        <v/>
      </c>
      <c r="C2568" s="48">
        <f>IF(B2568="","",IFERROR(INDEX('04A_국토부원자료'!$A:$T,ROW()+1,MATCH("번지",'04A_국토부원자료'!$A$4:$T$4,0)),""))</f>
        <v/>
      </c>
      <c r="D2568" s="48">
        <f>IF(B2568="","",IF(Q2568=1,'02_대상물건입력'!$B$8,IFERROR(INDEX('04A_국토부원자료'!$A:$T,ROW()+1,MATCH("단지명",'04A_국토부원자료'!$A$4:$T$4,0)),"")))</f>
        <v/>
      </c>
      <c r="E2568" s="172">
        <f>IFERROR(VALUE(SUBSTITUTE(INDEX('04A_국토부원자료'!$A:$T,ROW()+1,MATCH("전용면적(㎡)",'04A_국토부원자료'!$A$4:$T$4,0)),",","")),"")</f>
        <v/>
      </c>
      <c r="F25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68" s="51">
        <f>IFERROR(VALUE(SUBSTITUTE(INDEX('04A_국토부원자료'!$A:$T,ROW()+1,MATCH("거래금액(만원)",'04A_국토부원자료'!$A$4:$T$4,0)),",","")),"")</f>
        <v/>
      </c>
      <c r="H2568" s="174">
        <f>IF(G2568="","",G2568*10000)</f>
        <v/>
      </c>
      <c r="I2568" s="174">
        <f>IFERROR(IF(AND(H2568&gt;0,E2568&gt;0),H2568/E2568,""),"")</f>
        <v/>
      </c>
      <c r="J2568" s="152">
        <f>IFERROR(VALUE(SUBSTITUTE(INDEX('04A_국토부원자료'!$A:$T,ROW()+1,MATCH("층",'04A_국토부원자료'!$A$4:$T$4,0)),",","")),"")</f>
        <v/>
      </c>
      <c r="K2568" s="152">
        <f>IFERROR(VALUE(SUBSTITUTE(INDEX('04A_국토부원자료'!$A:$T,ROW()+1,MATCH("건축년도",'04A_국토부원자료'!$A$4:$T$4,0)),",","")),"")</f>
        <v/>
      </c>
      <c r="L2568" s="48">
        <f>IFERROR(INDEX('04A_국토부원자료'!$A:$T,ROW()+1,MATCH("도로명",'04A_국토부원자료'!$A$4:$T$4,0)),"")</f>
        <v/>
      </c>
      <c r="M2568" s="48">
        <f>IFERROR(INDEX('04A_국토부원자료'!$A:$T,ROW()+1,MATCH("거래유형",'04A_국토부원자료'!$A$4:$T$4,0)),"")</f>
        <v/>
      </c>
      <c r="N2568" s="152">
        <f>IF(B2568="","",IF('02_대상물건입력'!B5="",1,IF(ISNUMBER(SEARCH('02_대상물건입력'!B5,B2568)),1,0)))</f>
        <v/>
      </c>
      <c r="O2568" s="152">
        <f>IF(B2568="","",IF('02_대상물건입력'!B6="",1,IF(ISNUMBER(SEARCH('02_대상물건입력'!B6,B2568)),1,0)))</f>
        <v/>
      </c>
      <c r="P2568" s="152">
        <f>IF(L2568="","",IF('02_대상물건입력'!B15="",0,IF(ISNUMBER(SEARCH('02_대상물건입력'!B15,L2568)),1,0)))</f>
        <v/>
      </c>
      <c r="Q2568" s="152">
        <f>IF(OR(C2568="",L2568=""),0,IF(AND(TRIM(C2568)=TRIM(RIGHT(SUBSTITUTE(TRIM('02_대상물건입력'!$B$7)," ",REPT(" ",99)),99)),IF('02_대상물건입력'!B15="",TRUE(),ISNUMBER(SEARCH('02_대상물건입력'!B15,L2568)))),1,0))</f>
        <v/>
      </c>
      <c r="R2568" s="175">
        <f>IFERROR(ABS(E2568-'02_대상물건입력'!B11)/'02_대상물건입력'!B11,"")</f>
        <v/>
      </c>
      <c r="S2568" s="152">
        <f>IFERROR(ABS(J2568-'02_대상물건입력'!B10),"")</f>
        <v/>
      </c>
      <c r="T2568" s="152">
        <f>IFERROR(ABS('01_설정'!B4-F2568),"")</f>
        <v/>
      </c>
      <c r="U2568" s="152">
        <f>IFERROR(ABS(K2568-YEAR('02_대상물건입력'!B14)),"")</f>
        <v/>
      </c>
      <c r="V2568" s="152">
        <f>IF(B2568="","",IF(AND(E2568&gt;0,F2568&gt;0,H2568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2568=1,TRUE()),R2568&lt;='01_설정'!B5,S2568&lt;='01_설정'!B6,T2568&lt;='01_설정'!B7,U2568&lt;='01_설정'!B8),"Y",""))</f>
        <v/>
      </c>
      <c r="W2568" s="172">
        <f>IF(V2568&lt;&gt;"Y","",MAX(0,(1-R2568/'01_설정'!B5))*'01_설정'!B14+MAX(0,(1-S2568/'01_설정'!B6))*'01_설정'!B15+MAX(0,(1-T2568/'01_설정'!B7))*'01_설정'!B16+MAX(0,(1-U2568/'01_설정'!B8))*'01_설정'!B17+O2568*'01_설정'!B11+Q2568*'01_설정'!B12+P2568*'01_설정'!B13+IF(Z2568="",0,Z2568))</f>
        <v/>
      </c>
      <c r="X2568" s="152">
        <f>IF(W2568="","",1+COUNTIFS($W$4:$W$3003,"&gt;"&amp;W2568)+COUNTIFS($W$4:W2568,W2568)-1)</f>
        <v/>
      </c>
      <c r="Y2568" s="175">
        <f>IF(OR(I2568="",'02_대상물건입력'!B19="",'02_대상물건입력'!B19&lt;=0),"",ABS(I2568-'02_대상물건입력'!B19)/'02_대상물건입력'!B19)</f>
        <v/>
      </c>
      <c r="Z2568" s="172">
        <f>IF(OR(Y2568="",'01_설정'!B31="",'01_설정'!B31&lt;=0,'01_설정'!B32="",'01_설정'!B32&lt;=0),"",MAX(0,(1-Y2568/'01_설정'!B32))*'01_설정'!B31)</f>
        <v/>
      </c>
    </row>
    <row r="2569" ht="17.25" customHeight="1">
      <c r="A2569" s="152">
        <f>IF(INDEX('04A_국토부원자료'!$A:$A,ROW()+1)="","",ROW()-3)</f>
        <v/>
      </c>
      <c r="B2569" s="48">
        <f>IFERROR(INDEX('04A_국토부원자료'!$A:$T,ROW()+1,MATCH("시군구",'04A_국토부원자료'!$A$4:$T$4,0)),"")</f>
        <v/>
      </c>
      <c r="C2569" s="48">
        <f>IF(B2569="","",IFERROR(INDEX('04A_국토부원자료'!$A:$T,ROW()+1,MATCH("번지",'04A_국토부원자료'!$A$4:$T$4,0)),""))</f>
        <v/>
      </c>
      <c r="D2569" s="48">
        <f>IF(B2569="","",IF(Q2569=1,'02_대상물건입력'!$B$8,IFERROR(INDEX('04A_국토부원자료'!$A:$T,ROW()+1,MATCH("단지명",'04A_국토부원자료'!$A$4:$T$4,0)),"")))</f>
        <v/>
      </c>
      <c r="E2569" s="172">
        <f>IFERROR(VALUE(SUBSTITUTE(INDEX('04A_국토부원자료'!$A:$T,ROW()+1,MATCH("전용면적(㎡)",'04A_국토부원자료'!$A$4:$T$4,0)),",","")),"")</f>
        <v/>
      </c>
      <c r="F25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69" s="51">
        <f>IFERROR(VALUE(SUBSTITUTE(INDEX('04A_국토부원자료'!$A:$T,ROW()+1,MATCH("거래금액(만원)",'04A_국토부원자료'!$A$4:$T$4,0)),",","")),"")</f>
        <v/>
      </c>
      <c r="H2569" s="174">
        <f>IF(G2569="","",G2569*10000)</f>
        <v/>
      </c>
      <c r="I2569" s="174">
        <f>IFERROR(IF(AND(H2569&gt;0,E2569&gt;0),H2569/E2569,""),"")</f>
        <v/>
      </c>
      <c r="J2569" s="152">
        <f>IFERROR(VALUE(SUBSTITUTE(INDEX('04A_국토부원자료'!$A:$T,ROW()+1,MATCH("층",'04A_국토부원자료'!$A$4:$T$4,0)),",","")),"")</f>
        <v/>
      </c>
      <c r="K2569" s="152">
        <f>IFERROR(VALUE(SUBSTITUTE(INDEX('04A_국토부원자료'!$A:$T,ROW()+1,MATCH("건축년도",'04A_국토부원자료'!$A$4:$T$4,0)),",","")),"")</f>
        <v/>
      </c>
      <c r="L2569" s="48">
        <f>IFERROR(INDEX('04A_국토부원자료'!$A:$T,ROW()+1,MATCH("도로명",'04A_국토부원자료'!$A$4:$T$4,0)),"")</f>
        <v/>
      </c>
      <c r="M2569" s="48">
        <f>IFERROR(INDEX('04A_국토부원자료'!$A:$T,ROW()+1,MATCH("거래유형",'04A_국토부원자료'!$A$4:$T$4,0)),"")</f>
        <v/>
      </c>
      <c r="N2569" s="152">
        <f>IF(B2569="","",IF('02_대상물건입력'!B5="",1,IF(ISNUMBER(SEARCH('02_대상물건입력'!B5,B2569)),1,0)))</f>
        <v/>
      </c>
      <c r="O2569" s="152">
        <f>IF(B2569="","",IF('02_대상물건입력'!B6="",1,IF(ISNUMBER(SEARCH('02_대상물건입력'!B6,B2569)),1,0)))</f>
        <v/>
      </c>
      <c r="P2569" s="152">
        <f>IF(L2569="","",IF('02_대상물건입력'!B15="",0,IF(ISNUMBER(SEARCH('02_대상물건입력'!B15,L2569)),1,0)))</f>
        <v/>
      </c>
      <c r="Q2569" s="152">
        <f>IF(OR(C2569="",L2569=""),0,IF(AND(TRIM(C2569)=TRIM(RIGHT(SUBSTITUTE(TRIM('02_대상물건입력'!$B$7)," ",REPT(" ",99)),99)),IF('02_대상물건입력'!B15="",TRUE(),ISNUMBER(SEARCH('02_대상물건입력'!B15,L2569)))),1,0))</f>
        <v/>
      </c>
      <c r="R2569" s="175">
        <f>IFERROR(ABS(E2569-'02_대상물건입력'!B11)/'02_대상물건입력'!B11,"")</f>
        <v/>
      </c>
      <c r="S2569" s="152">
        <f>IFERROR(ABS(J2569-'02_대상물건입력'!B10),"")</f>
        <v/>
      </c>
      <c r="T2569" s="152">
        <f>IFERROR(ABS('01_설정'!B4-F2569),"")</f>
        <v/>
      </c>
      <c r="U2569" s="152">
        <f>IFERROR(ABS(K2569-YEAR('02_대상물건입력'!B14)),"")</f>
        <v/>
      </c>
      <c r="V2569" s="152">
        <f>IF(B2569="","",IF(AND(E2569&gt;0,F2569&gt;0,H2569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2569=1,TRUE()),R2569&lt;='01_설정'!B5,S2569&lt;='01_설정'!B6,T2569&lt;='01_설정'!B7,U2569&lt;='01_설정'!B8),"Y",""))</f>
        <v/>
      </c>
      <c r="W2569" s="172">
        <f>IF(V2569&lt;&gt;"Y","",MAX(0,(1-R2569/'01_설정'!B5))*'01_설정'!B14+MAX(0,(1-S2569/'01_설정'!B6))*'01_설정'!B15+MAX(0,(1-T2569/'01_설정'!B7))*'01_설정'!B16+MAX(0,(1-U2569/'01_설정'!B8))*'01_설정'!B17+O2569*'01_설정'!B11+Q2569*'01_설정'!B12+P2569*'01_설정'!B13+IF(Z2569="",0,Z2569))</f>
        <v/>
      </c>
      <c r="X2569" s="152">
        <f>IF(W2569="","",1+COUNTIFS($W$4:$W$3003,"&gt;"&amp;W2569)+COUNTIFS($W$4:W2569,W2569)-1)</f>
        <v/>
      </c>
      <c r="Y2569" s="175">
        <f>IF(OR(I2569="",'02_대상물건입력'!B19="",'02_대상물건입력'!B19&lt;=0),"",ABS(I2569-'02_대상물건입력'!B19)/'02_대상물건입력'!B19)</f>
        <v/>
      </c>
      <c r="Z2569" s="172">
        <f>IF(OR(Y2569="",'01_설정'!B31="",'01_설정'!B31&lt;=0,'01_설정'!B32="",'01_설정'!B32&lt;=0),"",MAX(0,(1-Y2569/'01_설정'!B32))*'01_설정'!B31)</f>
        <v/>
      </c>
    </row>
    <row r="2570" ht="17.25" customHeight="1">
      <c r="A2570" s="152">
        <f>IF(INDEX('04A_국토부원자료'!$A:$A,ROW()+1)="","",ROW()-3)</f>
        <v/>
      </c>
      <c r="B2570" s="48">
        <f>IFERROR(INDEX('04A_국토부원자료'!$A:$T,ROW()+1,MATCH("시군구",'04A_국토부원자료'!$A$4:$T$4,0)),"")</f>
        <v/>
      </c>
      <c r="C2570" s="48">
        <f>IF(B2570="","",IFERROR(INDEX('04A_국토부원자료'!$A:$T,ROW()+1,MATCH("번지",'04A_국토부원자료'!$A$4:$T$4,0)),""))</f>
        <v/>
      </c>
      <c r="D2570" s="48">
        <f>IF(B2570="","",IF(Q2570=1,'02_대상물건입력'!$B$8,IFERROR(INDEX('04A_국토부원자료'!$A:$T,ROW()+1,MATCH("단지명",'04A_국토부원자료'!$A$4:$T$4,0)),"")))</f>
        <v/>
      </c>
      <c r="E2570" s="172">
        <f>IFERROR(VALUE(SUBSTITUTE(INDEX('04A_국토부원자료'!$A:$T,ROW()+1,MATCH("전용면적(㎡)",'04A_국토부원자료'!$A$4:$T$4,0)),",","")),"")</f>
        <v/>
      </c>
      <c r="F25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70" s="51">
        <f>IFERROR(VALUE(SUBSTITUTE(INDEX('04A_국토부원자료'!$A:$T,ROW()+1,MATCH("거래금액(만원)",'04A_국토부원자료'!$A$4:$T$4,0)),",","")),"")</f>
        <v/>
      </c>
      <c r="H2570" s="174">
        <f>IF(G2570="","",G2570*10000)</f>
        <v/>
      </c>
      <c r="I2570" s="174">
        <f>IFERROR(IF(AND(H2570&gt;0,E2570&gt;0),H2570/E2570,""),"")</f>
        <v/>
      </c>
      <c r="J2570" s="152">
        <f>IFERROR(VALUE(SUBSTITUTE(INDEX('04A_국토부원자료'!$A:$T,ROW()+1,MATCH("층",'04A_국토부원자료'!$A$4:$T$4,0)),",","")),"")</f>
        <v/>
      </c>
      <c r="K2570" s="152">
        <f>IFERROR(VALUE(SUBSTITUTE(INDEX('04A_국토부원자료'!$A:$T,ROW()+1,MATCH("건축년도",'04A_국토부원자료'!$A$4:$T$4,0)),",","")),"")</f>
        <v/>
      </c>
      <c r="L2570" s="48">
        <f>IFERROR(INDEX('04A_국토부원자료'!$A:$T,ROW()+1,MATCH("도로명",'04A_국토부원자료'!$A$4:$T$4,0)),"")</f>
        <v/>
      </c>
      <c r="M2570" s="48">
        <f>IFERROR(INDEX('04A_국토부원자료'!$A:$T,ROW()+1,MATCH("거래유형",'04A_국토부원자료'!$A$4:$T$4,0)),"")</f>
        <v/>
      </c>
      <c r="N2570" s="152">
        <f>IF(B2570="","",IF('02_대상물건입력'!B5="",1,IF(ISNUMBER(SEARCH('02_대상물건입력'!B5,B2570)),1,0)))</f>
        <v/>
      </c>
      <c r="O2570" s="152">
        <f>IF(B2570="","",IF('02_대상물건입력'!B6="",1,IF(ISNUMBER(SEARCH('02_대상물건입력'!B6,B2570)),1,0)))</f>
        <v/>
      </c>
      <c r="P2570" s="152">
        <f>IF(L2570="","",IF('02_대상물건입력'!B15="",0,IF(ISNUMBER(SEARCH('02_대상물건입력'!B15,L2570)),1,0)))</f>
        <v/>
      </c>
      <c r="Q2570" s="152">
        <f>IF(OR(C2570="",L2570=""),0,IF(AND(TRIM(C2570)=TRIM(RIGHT(SUBSTITUTE(TRIM('02_대상물건입력'!$B$7)," ",REPT(" ",99)),99)),IF('02_대상물건입력'!B15="",TRUE(),ISNUMBER(SEARCH('02_대상물건입력'!B15,L2570)))),1,0))</f>
        <v/>
      </c>
      <c r="R2570" s="175">
        <f>IFERROR(ABS(E2570-'02_대상물건입력'!B11)/'02_대상물건입력'!B11,"")</f>
        <v/>
      </c>
      <c r="S2570" s="152">
        <f>IFERROR(ABS(J2570-'02_대상물건입력'!B10),"")</f>
        <v/>
      </c>
      <c r="T2570" s="152">
        <f>IFERROR(ABS('01_설정'!B4-F2570),"")</f>
        <v/>
      </c>
      <c r="U2570" s="152">
        <f>IFERROR(ABS(K2570-YEAR('02_대상물건입력'!B14)),"")</f>
        <v/>
      </c>
      <c r="V2570" s="152">
        <f>IF(B2570="","",IF(AND(E2570&gt;0,F2570&gt;0,H2570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2570=1,TRUE()),R2570&lt;='01_설정'!B5,S2570&lt;='01_설정'!B6,T2570&lt;='01_설정'!B7,U2570&lt;='01_설정'!B8),"Y",""))</f>
        <v/>
      </c>
      <c r="W2570" s="172">
        <f>IF(V2570&lt;&gt;"Y","",MAX(0,(1-R2570/'01_설정'!B5))*'01_설정'!B14+MAX(0,(1-S2570/'01_설정'!B6))*'01_설정'!B15+MAX(0,(1-T2570/'01_설정'!B7))*'01_설정'!B16+MAX(0,(1-U2570/'01_설정'!B8))*'01_설정'!B17+O2570*'01_설정'!B11+Q2570*'01_설정'!B12+P2570*'01_설정'!B13+IF(Z2570="",0,Z2570))</f>
        <v/>
      </c>
      <c r="X2570" s="152">
        <f>IF(W2570="","",1+COUNTIFS($W$4:$W$3003,"&gt;"&amp;W2570)+COUNTIFS($W$4:W2570,W2570)-1)</f>
        <v/>
      </c>
      <c r="Y2570" s="175">
        <f>IF(OR(I2570="",'02_대상물건입력'!B19="",'02_대상물건입력'!B19&lt;=0),"",ABS(I2570-'02_대상물건입력'!B19)/'02_대상물건입력'!B19)</f>
        <v/>
      </c>
      <c r="Z2570" s="172">
        <f>IF(OR(Y2570="",'01_설정'!B31="",'01_설정'!B31&lt;=0,'01_설정'!B32="",'01_설정'!B32&lt;=0),"",MAX(0,(1-Y2570/'01_설정'!B32))*'01_설정'!B31)</f>
        <v/>
      </c>
    </row>
    <row r="2571" ht="17.25" customHeight="1">
      <c r="A2571" s="152">
        <f>IF(INDEX('04A_국토부원자료'!$A:$A,ROW()+1)="","",ROW()-3)</f>
        <v/>
      </c>
      <c r="B2571" s="48">
        <f>IFERROR(INDEX('04A_국토부원자료'!$A:$T,ROW()+1,MATCH("시군구",'04A_국토부원자료'!$A$4:$T$4,0)),"")</f>
        <v/>
      </c>
      <c r="C2571" s="48">
        <f>IF(B2571="","",IFERROR(INDEX('04A_국토부원자료'!$A:$T,ROW()+1,MATCH("번지",'04A_국토부원자료'!$A$4:$T$4,0)),""))</f>
        <v/>
      </c>
      <c r="D2571" s="48">
        <f>IF(B2571="","",IF(Q2571=1,'02_대상물건입력'!$B$8,IFERROR(INDEX('04A_국토부원자료'!$A:$T,ROW()+1,MATCH("단지명",'04A_국토부원자료'!$A$4:$T$4,0)),"")))</f>
        <v/>
      </c>
      <c r="E2571" s="172">
        <f>IFERROR(VALUE(SUBSTITUTE(INDEX('04A_국토부원자료'!$A:$T,ROW()+1,MATCH("전용면적(㎡)",'04A_국토부원자료'!$A$4:$T$4,0)),",","")),"")</f>
        <v/>
      </c>
      <c r="F25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71" s="51">
        <f>IFERROR(VALUE(SUBSTITUTE(INDEX('04A_국토부원자료'!$A:$T,ROW()+1,MATCH("거래금액(만원)",'04A_국토부원자료'!$A$4:$T$4,0)),",","")),"")</f>
        <v/>
      </c>
      <c r="H2571" s="174">
        <f>IF(G2571="","",G2571*10000)</f>
        <v/>
      </c>
      <c r="I2571" s="174">
        <f>IFERROR(IF(AND(H2571&gt;0,E2571&gt;0),H2571/E2571,""),"")</f>
        <v/>
      </c>
      <c r="J2571" s="152">
        <f>IFERROR(VALUE(SUBSTITUTE(INDEX('04A_국토부원자료'!$A:$T,ROW()+1,MATCH("층",'04A_국토부원자료'!$A$4:$T$4,0)),",","")),"")</f>
        <v/>
      </c>
      <c r="K2571" s="152">
        <f>IFERROR(VALUE(SUBSTITUTE(INDEX('04A_국토부원자료'!$A:$T,ROW()+1,MATCH("건축년도",'04A_국토부원자료'!$A$4:$T$4,0)),",","")),"")</f>
        <v/>
      </c>
      <c r="L2571" s="48">
        <f>IFERROR(INDEX('04A_국토부원자료'!$A:$T,ROW()+1,MATCH("도로명",'04A_국토부원자료'!$A$4:$T$4,0)),"")</f>
        <v/>
      </c>
      <c r="M2571" s="48">
        <f>IFERROR(INDEX('04A_국토부원자료'!$A:$T,ROW()+1,MATCH("거래유형",'04A_국토부원자료'!$A$4:$T$4,0)),"")</f>
        <v/>
      </c>
      <c r="N2571" s="152">
        <f>IF(B2571="","",IF('02_대상물건입력'!B5="",1,IF(ISNUMBER(SEARCH('02_대상물건입력'!B5,B2571)),1,0)))</f>
        <v/>
      </c>
      <c r="O2571" s="152">
        <f>IF(B2571="","",IF('02_대상물건입력'!B6="",1,IF(ISNUMBER(SEARCH('02_대상물건입력'!B6,B2571)),1,0)))</f>
        <v/>
      </c>
      <c r="P2571" s="152">
        <f>IF(L2571="","",IF('02_대상물건입력'!B15="",0,IF(ISNUMBER(SEARCH('02_대상물건입력'!B15,L2571)),1,0)))</f>
        <v/>
      </c>
      <c r="Q2571" s="152">
        <f>IF(OR(C2571="",L2571=""),0,IF(AND(TRIM(C2571)=TRIM(RIGHT(SUBSTITUTE(TRIM('02_대상물건입력'!$B$7)," ",REPT(" ",99)),99)),IF('02_대상물건입력'!B15="",TRUE(),ISNUMBER(SEARCH('02_대상물건입력'!B15,L2571)))),1,0))</f>
        <v/>
      </c>
      <c r="R2571" s="175">
        <f>IFERROR(ABS(E2571-'02_대상물건입력'!B11)/'02_대상물건입력'!B11,"")</f>
        <v/>
      </c>
      <c r="S2571" s="152">
        <f>IFERROR(ABS(J2571-'02_대상물건입력'!B10),"")</f>
        <v/>
      </c>
      <c r="T2571" s="152">
        <f>IFERROR(ABS('01_설정'!B4-F2571),"")</f>
        <v/>
      </c>
      <c r="U2571" s="152">
        <f>IFERROR(ABS(K2571-YEAR('02_대상물건입력'!B14)),"")</f>
        <v/>
      </c>
      <c r="V2571" s="152">
        <f>IF(B2571="","",IF(AND(E2571&gt;0,F2571&gt;0,H2571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2571=1,TRUE()),R2571&lt;='01_설정'!B5,S2571&lt;='01_설정'!B6,T2571&lt;='01_설정'!B7,U2571&lt;='01_설정'!B8),"Y",""))</f>
        <v/>
      </c>
      <c r="W2571" s="172">
        <f>IF(V2571&lt;&gt;"Y","",MAX(0,(1-R2571/'01_설정'!B5))*'01_설정'!B14+MAX(0,(1-S2571/'01_설정'!B6))*'01_설정'!B15+MAX(0,(1-T2571/'01_설정'!B7))*'01_설정'!B16+MAX(0,(1-U2571/'01_설정'!B8))*'01_설정'!B17+O2571*'01_설정'!B11+Q2571*'01_설정'!B12+P2571*'01_설정'!B13+IF(Z2571="",0,Z2571))</f>
        <v/>
      </c>
      <c r="X2571" s="152">
        <f>IF(W2571="","",1+COUNTIFS($W$4:$W$3003,"&gt;"&amp;W2571)+COUNTIFS($W$4:W2571,W2571)-1)</f>
        <v/>
      </c>
      <c r="Y2571" s="175">
        <f>IF(OR(I2571="",'02_대상물건입력'!B19="",'02_대상물건입력'!B19&lt;=0),"",ABS(I2571-'02_대상물건입력'!B19)/'02_대상물건입력'!B19)</f>
        <v/>
      </c>
      <c r="Z2571" s="172">
        <f>IF(OR(Y2571="",'01_설정'!B31="",'01_설정'!B31&lt;=0,'01_설정'!B32="",'01_설정'!B32&lt;=0),"",MAX(0,(1-Y2571/'01_설정'!B32))*'01_설정'!B31)</f>
        <v/>
      </c>
    </row>
    <row r="2572" ht="17.25" customHeight="1">
      <c r="A2572" s="152">
        <f>IF(INDEX('04A_국토부원자료'!$A:$A,ROW()+1)="","",ROW()-3)</f>
        <v/>
      </c>
      <c r="B2572" s="48">
        <f>IFERROR(INDEX('04A_국토부원자료'!$A:$T,ROW()+1,MATCH("시군구",'04A_국토부원자료'!$A$4:$T$4,0)),"")</f>
        <v/>
      </c>
      <c r="C2572" s="48">
        <f>IF(B2572="","",IFERROR(INDEX('04A_국토부원자료'!$A:$T,ROW()+1,MATCH("번지",'04A_국토부원자료'!$A$4:$T$4,0)),""))</f>
        <v/>
      </c>
      <c r="D2572" s="48">
        <f>IF(B2572="","",IF(Q2572=1,'02_대상물건입력'!$B$8,IFERROR(INDEX('04A_국토부원자료'!$A:$T,ROW()+1,MATCH("단지명",'04A_국토부원자료'!$A$4:$T$4,0)),"")))</f>
        <v/>
      </c>
      <c r="E2572" s="172">
        <f>IFERROR(VALUE(SUBSTITUTE(INDEX('04A_국토부원자료'!$A:$T,ROW()+1,MATCH("전용면적(㎡)",'04A_국토부원자료'!$A$4:$T$4,0)),",","")),"")</f>
        <v/>
      </c>
      <c r="F25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72" s="51">
        <f>IFERROR(VALUE(SUBSTITUTE(INDEX('04A_국토부원자료'!$A:$T,ROW()+1,MATCH("거래금액(만원)",'04A_국토부원자료'!$A$4:$T$4,0)),",","")),"")</f>
        <v/>
      </c>
      <c r="H2572" s="174">
        <f>IF(G2572="","",G2572*10000)</f>
        <v/>
      </c>
      <c r="I2572" s="174">
        <f>IFERROR(IF(AND(H2572&gt;0,E2572&gt;0),H2572/E2572,""),"")</f>
        <v/>
      </c>
      <c r="J2572" s="152">
        <f>IFERROR(VALUE(SUBSTITUTE(INDEX('04A_국토부원자료'!$A:$T,ROW()+1,MATCH("층",'04A_국토부원자료'!$A$4:$T$4,0)),",","")),"")</f>
        <v/>
      </c>
      <c r="K2572" s="152">
        <f>IFERROR(VALUE(SUBSTITUTE(INDEX('04A_국토부원자료'!$A:$T,ROW()+1,MATCH("건축년도",'04A_국토부원자료'!$A$4:$T$4,0)),",","")),"")</f>
        <v/>
      </c>
      <c r="L2572" s="48">
        <f>IFERROR(INDEX('04A_국토부원자료'!$A:$T,ROW()+1,MATCH("도로명",'04A_국토부원자료'!$A$4:$T$4,0)),"")</f>
        <v/>
      </c>
      <c r="M2572" s="48">
        <f>IFERROR(INDEX('04A_국토부원자료'!$A:$T,ROW()+1,MATCH("거래유형",'04A_국토부원자료'!$A$4:$T$4,0)),"")</f>
        <v/>
      </c>
      <c r="N2572" s="152">
        <f>IF(B2572="","",IF('02_대상물건입력'!B5="",1,IF(ISNUMBER(SEARCH('02_대상물건입력'!B5,B2572)),1,0)))</f>
        <v/>
      </c>
      <c r="O2572" s="152">
        <f>IF(B2572="","",IF('02_대상물건입력'!B6="",1,IF(ISNUMBER(SEARCH('02_대상물건입력'!B6,B2572)),1,0)))</f>
        <v/>
      </c>
      <c r="P2572" s="152">
        <f>IF(L2572="","",IF('02_대상물건입력'!B15="",0,IF(ISNUMBER(SEARCH('02_대상물건입력'!B15,L2572)),1,0)))</f>
        <v/>
      </c>
      <c r="Q2572" s="152">
        <f>IF(OR(C2572="",L2572=""),0,IF(AND(TRIM(C2572)=TRIM(RIGHT(SUBSTITUTE(TRIM('02_대상물건입력'!$B$7)," ",REPT(" ",99)),99)),IF('02_대상물건입력'!B15="",TRUE(),ISNUMBER(SEARCH('02_대상물건입력'!B15,L2572)))),1,0))</f>
        <v/>
      </c>
      <c r="R2572" s="175">
        <f>IFERROR(ABS(E2572-'02_대상물건입력'!B11)/'02_대상물건입력'!B11,"")</f>
        <v/>
      </c>
      <c r="S2572" s="152">
        <f>IFERROR(ABS(J2572-'02_대상물건입력'!B10),"")</f>
        <v/>
      </c>
      <c r="T2572" s="152">
        <f>IFERROR(ABS('01_설정'!B4-F2572),"")</f>
        <v/>
      </c>
      <c r="U2572" s="152">
        <f>IFERROR(ABS(K2572-YEAR('02_대상물건입력'!B14)),"")</f>
        <v/>
      </c>
      <c r="V2572" s="152">
        <f>IF(B2572="","",IF(AND(E2572&gt;0,F2572&gt;0,H2572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2572=1,TRUE()),R2572&lt;='01_설정'!B5,S2572&lt;='01_설정'!B6,T2572&lt;='01_설정'!B7,U2572&lt;='01_설정'!B8),"Y",""))</f>
        <v/>
      </c>
      <c r="W2572" s="172">
        <f>IF(V2572&lt;&gt;"Y","",MAX(0,(1-R2572/'01_설정'!B5))*'01_설정'!B14+MAX(0,(1-S2572/'01_설정'!B6))*'01_설정'!B15+MAX(0,(1-T2572/'01_설정'!B7))*'01_설정'!B16+MAX(0,(1-U2572/'01_설정'!B8))*'01_설정'!B17+O2572*'01_설정'!B11+Q2572*'01_설정'!B12+P2572*'01_설정'!B13+IF(Z2572="",0,Z2572))</f>
        <v/>
      </c>
      <c r="X2572" s="152">
        <f>IF(W2572="","",1+COUNTIFS($W$4:$W$3003,"&gt;"&amp;W2572)+COUNTIFS($W$4:W2572,W2572)-1)</f>
        <v/>
      </c>
      <c r="Y2572" s="175">
        <f>IF(OR(I2572="",'02_대상물건입력'!B19="",'02_대상물건입력'!B19&lt;=0),"",ABS(I2572-'02_대상물건입력'!B19)/'02_대상물건입력'!B19)</f>
        <v/>
      </c>
      <c r="Z2572" s="172">
        <f>IF(OR(Y2572="",'01_설정'!B31="",'01_설정'!B31&lt;=0,'01_설정'!B32="",'01_설정'!B32&lt;=0),"",MAX(0,(1-Y2572/'01_설정'!B32))*'01_설정'!B31)</f>
        <v/>
      </c>
    </row>
    <row r="2573" ht="17.25" customHeight="1">
      <c r="A2573" s="152">
        <f>IF(INDEX('04A_국토부원자료'!$A:$A,ROW()+1)="","",ROW()-3)</f>
        <v/>
      </c>
      <c r="B2573" s="48">
        <f>IFERROR(INDEX('04A_국토부원자료'!$A:$T,ROW()+1,MATCH("시군구",'04A_국토부원자료'!$A$4:$T$4,0)),"")</f>
        <v/>
      </c>
      <c r="C2573" s="48">
        <f>IF(B2573="","",IFERROR(INDEX('04A_국토부원자료'!$A:$T,ROW()+1,MATCH("번지",'04A_국토부원자료'!$A$4:$T$4,0)),""))</f>
        <v/>
      </c>
      <c r="D2573" s="48">
        <f>IF(B2573="","",IF(Q2573=1,'02_대상물건입력'!$B$8,IFERROR(INDEX('04A_국토부원자료'!$A:$T,ROW()+1,MATCH("단지명",'04A_국토부원자료'!$A$4:$T$4,0)),"")))</f>
        <v/>
      </c>
      <c r="E2573" s="172">
        <f>IFERROR(VALUE(SUBSTITUTE(INDEX('04A_국토부원자료'!$A:$T,ROW()+1,MATCH("전용면적(㎡)",'04A_국토부원자료'!$A$4:$T$4,0)),",","")),"")</f>
        <v/>
      </c>
      <c r="F25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73" s="51">
        <f>IFERROR(VALUE(SUBSTITUTE(INDEX('04A_국토부원자료'!$A:$T,ROW()+1,MATCH("거래금액(만원)",'04A_국토부원자료'!$A$4:$T$4,0)),",","")),"")</f>
        <v/>
      </c>
      <c r="H2573" s="174">
        <f>IF(G2573="","",G2573*10000)</f>
        <v/>
      </c>
      <c r="I2573" s="174">
        <f>IFERROR(IF(AND(H2573&gt;0,E2573&gt;0),H2573/E2573,""),"")</f>
        <v/>
      </c>
      <c r="J2573" s="152">
        <f>IFERROR(VALUE(SUBSTITUTE(INDEX('04A_국토부원자료'!$A:$T,ROW()+1,MATCH("층",'04A_국토부원자료'!$A$4:$T$4,0)),",","")),"")</f>
        <v/>
      </c>
      <c r="K2573" s="152">
        <f>IFERROR(VALUE(SUBSTITUTE(INDEX('04A_국토부원자료'!$A:$T,ROW()+1,MATCH("건축년도",'04A_국토부원자료'!$A$4:$T$4,0)),",","")),"")</f>
        <v/>
      </c>
      <c r="L2573" s="48">
        <f>IFERROR(INDEX('04A_국토부원자료'!$A:$T,ROW()+1,MATCH("도로명",'04A_국토부원자료'!$A$4:$T$4,0)),"")</f>
        <v/>
      </c>
      <c r="M2573" s="48">
        <f>IFERROR(INDEX('04A_국토부원자료'!$A:$T,ROW()+1,MATCH("거래유형",'04A_국토부원자료'!$A$4:$T$4,0)),"")</f>
        <v/>
      </c>
      <c r="N2573" s="152">
        <f>IF(B2573="","",IF('02_대상물건입력'!B5="",1,IF(ISNUMBER(SEARCH('02_대상물건입력'!B5,B2573)),1,0)))</f>
        <v/>
      </c>
      <c r="O2573" s="152">
        <f>IF(B2573="","",IF('02_대상물건입력'!B6="",1,IF(ISNUMBER(SEARCH('02_대상물건입력'!B6,B2573)),1,0)))</f>
        <v/>
      </c>
      <c r="P2573" s="152">
        <f>IF(L2573="","",IF('02_대상물건입력'!B15="",0,IF(ISNUMBER(SEARCH('02_대상물건입력'!B15,L2573)),1,0)))</f>
        <v/>
      </c>
      <c r="Q2573" s="152">
        <f>IF(OR(C2573="",L2573=""),0,IF(AND(TRIM(C2573)=TRIM(RIGHT(SUBSTITUTE(TRIM('02_대상물건입력'!$B$7)," ",REPT(" ",99)),99)),IF('02_대상물건입력'!B15="",TRUE(),ISNUMBER(SEARCH('02_대상물건입력'!B15,L2573)))),1,0))</f>
        <v/>
      </c>
      <c r="R2573" s="175">
        <f>IFERROR(ABS(E2573-'02_대상물건입력'!B11)/'02_대상물건입력'!B11,"")</f>
        <v/>
      </c>
      <c r="S2573" s="152">
        <f>IFERROR(ABS(J2573-'02_대상물건입력'!B10),"")</f>
        <v/>
      </c>
      <c r="T2573" s="152">
        <f>IFERROR(ABS('01_설정'!B4-F2573),"")</f>
        <v/>
      </c>
      <c r="U2573" s="152">
        <f>IFERROR(ABS(K2573-YEAR('02_대상물건입력'!B14)),"")</f>
        <v/>
      </c>
      <c r="V2573" s="152">
        <f>IF(B2573="","",IF(AND(E2573&gt;0,F2573&gt;0,H2573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2573=1,TRUE()),R2573&lt;='01_설정'!B5,S2573&lt;='01_설정'!B6,T2573&lt;='01_설정'!B7,U2573&lt;='01_설정'!B8),"Y",""))</f>
        <v/>
      </c>
      <c r="W2573" s="172">
        <f>IF(V2573&lt;&gt;"Y","",MAX(0,(1-R2573/'01_설정'!B5))*'01_설정'!B14+MAX(0,(1-S2573/'01_설정'!B6))*'01_설정'!B15+MAX(0,(1-T2573/'01_설정'!B7))*'01_설정'!B16+MAX(0,(1-U2573/'01_설정'!B8))*'01_설정'!B17+O2573*'01_설정'!B11+Q2573*'01_설정'!B12+P2573*'01_설정'!B13+IF(Z2573="",0,Z2573))</f>
        <v/>
      </c>
      <c r="X2573" s="152">
        <f>IF(W2573="","",1+COUNTIFS($W$4:$W$3003,"&gt;"&amp;W2573)+COUNTIFS($W$4:W2573,W2573)-1)</f>
        <v/>
      </c>
      <c r="Y2573" s="175">
        <f>IF(OR(I2573="",'02_대상물건입력'!B19="",'02_대상물건입력'!B19&lt;=0),"",ABS(I2573-'02_대상물건입력'!B19)/'02_대상물건입력'!B19)</f>
        <v/>
      </c>
      <c r="Z2573" s="172">
        <f>IF(OR(Y2573="",'01_설정'!B31="",'01_설정'!B31&lt;=0,'01_설정'!B32="",'01_설정'!B32&lt;=0),"",MAX(0,(1-Y2573/'01_설정'!B32))*'01_설정'!B31)</f>
        <v/>
      </c>
    </row>
    <row r="2574" ht="17.25" customHeight="1">
      <c r="A2574" s="152">
        <f>IF(INDEX('04A_국토부원자료'!$A:$A,ROW()+1)="","",ROW()-3)</f>
        <v/>
      </c>
      <c r="B2574" s="48">
        <f>IFERROR(INDEX('04A_국토부원자료'!$A:$T,ROW()+1,MATCH("시군구",'04A_국토부원자료'!$A$4:$T$4,0)),"")</f>
        <v/>
      </c>
      <c r="C2574" s="48">
        <f>IF(B2574="","",IFERROR(INDEX('04A_국토부원자료'!$A:$T,ROW()+1,MATCH("번지",'04A_국토부원자료'!$A$4:$T$4,0)),""))</f>
        <v/>
      </c>
      <c r="D2574" s="48">
        <f>IF(B2574="","",IF(Q2574=1,'02_대상물건입력'!$B$8,IFERROR(INDEX('04A_국토부원자료'!$A:$T,ROW()+1,MATCH("단지명",'04A_국토부원자료'!$A$4:$T$4,0)),"")))</f>
        <v/>
      </c>
      <c r="E2574" s="172">
        <f>IFERROR(VALUE(SUBSTITUTE(INDEX('04A_국토부원자료'!$A:$T,ROW()+1,MATCH("전용면적(㎡)",'04A_국토부원자료'!$A$4:$T$4,0)),",","")),"")</f>
        <v/>
      </c>
      <c r="F25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74" s="51">
        <f>IFERROR(VALUE(SUBSTITUTE(INDEX('04A_국토부원자료'!$A:$T,ROW()+1,MATCH("거래금액(만원)",'04A_국토부원자료'!$A$4:$T$4,0)),",","")),"")</f>
        <v/>
      </c>
      <c r="H2574" s="174">
        <f>IF(G2574="","",G2574*10000)</f>
        <v/>
      </c>
      <c r="I2574" s="174">
        <f>IFERROR(IF(AND(H2574&gt;0,E2574&gt;0),H2574/E2574,""),"")</f>
        <v/>
      </c>
      <c r="J2574" s="152">
        <f>IFERROR(VALUE(SUBSTITUTE(INDEX('04A_국토부원자료'!$A:$T,ROW()+1,MATCH("층",'04A_국토부원자료'!$A$4:$T$4,0)),",","")),"")</f>
        <v/>
      </c>
      <c r="K2574" s="152">
        <f>IFERROR(VALUE(SUBSTITUTE(INDEX('04A_국토부원자료'!$A:$T,ROW()+1,MATCH("건축년도",'04A_국토부원자료'!$A$4:$T$4,0)),",","")),"")</f>
        <v/>
      </c>
      <c r="L2574" s="48">
        <f>IFERROR(INDEX('04A_국토부원자료'!$A:$T,ROW()+1,MATCH("도로명",'04A_국토부원자료'!$A$4:$T$4,0)),"")</f>
        <v/>
      </c>
      <c r="M2574" s="48">
        <f>IFERROR(INDEX('04A_국토부원자료'!$A:$T,ROW()+1,MATCH("거래유형",'04A_국토부원자료'!$A$4:$T$4,0)),"")</f>
        <v/>
      </c>
      <c r="N2574" s="152">
        <f>IF(B2574="","",IF('02_대상물건입력'!B5="",1,IF(ISNUMBER(SEARCH('02_대상물건입력'!B5,B2574)),1,0)))</f>
        <v/>
      </c>
      <c r="O2574" s="152">
        <f>IF(B2574="","",IF('02_대상물건입력'!B6="",1,IF(ISNUMBER(SEARCH('02_대상물건입력'!B6,B2574)),1,0)))</f>
        <v/>
      </c>
      <c r="P2574" s="152">
        <f>IF(L2574="","",IF('02_대상물건입력'!B15="",0,IF(ISNUMBER(SEARCH('02_대상물건입력'!B15,L2574)),1,0)))</f>
        <v/>
      </c>
      <c r="Q2574" s="152">
        <f>IF(OR(C2574="",L2574=""),0,IF(AND(TRIM(C2574)=TRIM(RIGHT(SUBSTITUTE(TRIM('02_대상물건입력'!$B$7)," ",REPT(" ",99)),99)),IF('02_대상물건입력'!B15="",TRUE(),ISNUMBER(SEARCH('02_대상물건입력'!B15,L2574)))),1,0))</f>
        <v/>
      </c>
      <c r="R2574" s="175">
        <f>IFERROR(ABS(E2574-'02_대상물건입력'!B11)/'02_대상물건입력'!B11,"")</f>
        <v/>
      </c>
      <c r="S2574" s="152">
        <f>IFERROR(ABS(J2574-'02_대상물건입력'!B10),"")</f>
        <v/>
      </c>
      <c r="T2574" s="152">
        <f>IFERROR(ABS('01_설정'!B4-F2574),"")</f>
        <v/>
      </c>
      <c r="U2574" s="152">
        <f>IFERROR(ABS(K2574-YEAR('02_대상물건입력'!B14)),"")</f>
        <v/>
      </c>
      <c r="V2574" s="152">
        <f>IF(B2574="","",IF(AND(E2574&gt;0,F2574&gt;0,H2574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2574=1,TRUE()),R2574&lt;='01_설정'!B5,S2574&lt;='01_설정'!B6,T2574&lt;='01_설정'!B7,U2574&lt;='01_설정'!B8),"Y",""))</f>
        <v/>
      </c>
      <c r="W2574" s="172">
        <f>IF(V2574&lt;&gt;"Y","",MAX(0,(1-R2574/'01_설정'!B5))*'01_설정'!B14+MAX(0,(1-S2574/'01_설정'!B6))*'01_설정'!B15+MAX(0,(1-T2574/'01_설정'!B7))*'01_설정'!B16+MAX(0,(1-U2574/'01_설정'!B8))*'01_설정'!B17+O2574*'01_설정'!B11+Q2574*'01_설정'!B12+P2574*'01_설정'!B13+IF(Z2574="",0,Z2574))</f>
        <v/>
      </c>
      <c r="X2574" s="152">
        <f>IF(W2574="","",1+COUNTIFS($W$4:$W$3003,"&gt;"&amp;W2574)+COUNTIFS($W$4:W2574,W2574)-1)</f>
        <v/>
      </c>
      <c r="Y2574" s="175">
        <f>IF(OR(I2574="",'02_대상물건입력'!B19="",'02_대상물건입력'!B19&lt;=0),"",ABS(I2574-'02_대상물건입력'!B19)/'02_대상물건입력'!B19)</f>
        <v/>
      </c>
      <c r="Z2574" s="172">
        <f>IF(OR(Y2574="",'01_설정'!B31="",'01_설정'!B31&lt;=0,'01_설정'!B32="",'01_설정'!B32&lt;=0),"",MAX(0,(1-Y2574/'01_설정'!B32))*'01_설정'!B31)</f>
        <v/>
      </c>
    </row>
    <row r="2575" ht="17.25" customHeight="1">
      <c r="A2575" s="152">
        <f>IF(INDEX('04A_국토부원자료'!$A:$A,ROW()+1)="","",ROW()-3)</f>
        <v/>
      </c>
      <c r="B2575" s="48">
        <f>IFERROR(INDEX('04A_국토부원자료'!$A:$T,ROW()+1,MATCH("시군구",'04A_국토부원자료'!$A$4:$T$4,0)),"")</f>
        <v/>
      </c>
      <c r="C2575" s="48">
        <f>IF(B2575="","",IFERROR(INDEX('04A_국토부원자료'!$A:$T,ROW()+1,MATCH("번지",'04A_국토부원자료'!$A$4:$T$4,0)),""))</f>
        <v/>
      </c>
      <c r="D2575" s="48">
        <f>IF(B2575="","",IF(Q2575=1,'02_대상물건입력'!$B$8,IFERROR(INDEX('04A_국토부원자료'!$A:$T,ROW()+1,MATCH("단지명",'04A_국토부원자료'!$A$4:$T$4,0)),"")))</f>
        <v/>
      </c>
      <c r="E2575" s="172">
        <f>IFERROR(VALUE(SUBSTITUTE(INDEX('04A_국토부원자료'!$A:$T,ROW()+1,MATCH("전용면적(㎡)",'04A_국토부원자료'!$A$4:$T$4,0)),",","")),"")</f>
        <v/>
      </c>
      <c r="F25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75" s="51">
        <f>IFERROR(VALUE(SUBSTITUTE(INDEX('04A_국토부원자료'!$A:$T,ROW()+1,MATCH("거래금액(만원)",'04A_국토부원자료'!$A$4:$T$4,0)),",","")),"")</f>
        <v/>
      </c>
      <c r="H2575" s="174">
        <f>IF(G2575="","",G2575*10000)</f>
        <v/>
      </c>
      <c r="I2575" s="174">
        <f>IFERROR(IF(AND(H2575&gt;0,E2575&gt;0),H2575/E2575,""),"")</f>
        <v/>
      </c>
      <c r="J2575" s="152">
        <f>IFERROR(VALUE(SUBSTITUTE(INDEX('04A_국토부원자료'!$A:$T,ROW()+1,MATCH("층",'04A_국토부원자료'!$A$4:$T$4,0)),",","")),"")</f>
        <v/>
      </c>
      <c r="K2575" s="152">
        <f>IFERROR(VALUE(SUBSTITUTE(INDEX('04A_국토부원자료'!$A:$T,ROW()+1,MATCH("건축년도",'04A_국토부원자료'!$A$4:$T$4,0)),",","")),"")</f>
        <v/>
      </c>
      <c r="L2575" s="48">
        <f>IFERROR(INDEX('04A_국토부원자료'!$A:$T,ROW()+1,MATCH("도로명",'04A_국토부원자료'!$A$4:$T$4,0)),"")</f>
        <v/>
      </c>
      <c r="M2575" s="48">
        <f>IFERROR(INDEX('04A_국토부원자료'!$A:$T,ROW()+1,MATCH("거래유형",'04A_국토부원자료'!$A$4:$T$4,0)),"")</f>
        <v/>
      </c>
      <c r="N2575" s="152">
        <f>IF(B2575="","",IF('02_대상물건입력'!B5="",1,IF(ISNUMBER(SEARCH('02_대상물건입력'!B5,B2575)),1,0)))</f>
        <v/>
      </c>
      <c r="O2575" s="152">
        <f>IF(B2575="","",IF('02_대상물건입력'!B6="",1,IF(ISNUMBER(SEARCH('02_대상물건입력'!B6,B2575)),1,0)))</f>
        <v/>
      </c>
      <c r="P2575" s="152">
        <f>IF(L2575="","",IF('02_대상물건입력'!B15="",0,IF(ISNUMBER(SEARCH('02_대상물건입력'!B15,L2575)),1,0)))</f>
        <v/>
      </c>
      <c r="Q2575" s="152">
        <f>IF(OR(C2575="",L2575=""),0,IF(AND(TRIM(C2575)=TRIM(RIGHT(SUBSTITUTE(TRIM('02_대상물건입력'!$B$7)," ",REPT(" ",99)),99)),IF('02_대상물건입력'!B15="",TRUE(),ISNUMBER(SEARCH('02_대상물건입력'!B15,L2575)))),1,0))</f>
        <v/>
      </c>
      <c r="R2575" s="175">
        <f>IFERROR(ABS(E2575-'02_대상물건입력'!B11)/'02_대상물건입력'!B11,"")</f>
        <v/>
      </c>
      <c r="S2575" s="152">
        <f>IFERROR(ABS(J2575-'02_대상물건입력'!B10),"")</f>
        <v/>
      </c>
      <c r="T2575" s="152">
        <f>IFERROR(ABS('01_설정'!B4-F2575),"")</f>
        <v/>
      </c>
      <c r="U2575" s="152">
        <f>IFERROR(ABS(K2575-YEAR('02_대상물건입력'!B14)),"")</f>
        <v/>
      </c>
      <c r="V2575" s="152">
        <f>IF(B2575="","",IF(AND(E2575&gt;0,F2575&gt;0,H2575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2575=1,TRUE()),R2575&lt;='01_설정'!B5,S2575&lt;='01_설정'!B6,T2575&lt;='01_설정'!B7,U2575&lt;='01_설정'!B8),"Y",""))</f>
        <v/>
      </c>
      <c r="W2575" s="172">
        <f>IF(V2575&lt;&gt;"Y","",MAX(0,(1-R2575/'01_설정'!B5))*'01_설정'!B14+MAX(0,(1-S2575/'01_설정'!B6))*'01_설정'!B15+MAX(0,(1-T2575/'01_설정'!B7))*'01_설정'!B16+MAX(0,(1-U2575/'01_설정'!B8))*'01_설정'!B17+O2575*'01_설정'!B11+Q2575*'01_설정'!B12+P2575*'01_설정'!B13+IF(Z2575="",0,Z2575))</f>
        <v/>
      </c>
      <c r="X2575" s="152">
        <f>IF(W2575="","",1+COUNTIFS($W$4:$W$3003,"&gt;"&amp;W2575)+COUNTIFS($W$4:W2575,W2575)-1)</f>
        <v/>
      </c>
      <c r="Y2575" s="175">
        <f>IF(OR(I2575="",'02_대상물건입력'!B19="",'02_대상물건입력'!B19&lt;=0),"",ABS(I2575-'02_대상물건입력'!B19)/'02_대상물건입력'!B19)</f>
        <v/>
      </c>
      <c r="Z2575" s="172">
        <f>IF(OR(Y2575="",'01_설정'!B31="",'01_설정'!B31&lt;=0,'01_설정'!B32="",'01_설정'!B32&lt;=0),"",MAX(0,(1-Y2575/'01_설정'!B32))*'01_설정'!B31)</f>
        <v/>
      </c>
    </row>
    <row r="2576" ht="17.25" customHeight="1">
      <c r="A2576" s="152">
        <f>IF(INDEX('04A_국토부원자료'!$A:$A,ROW()+1)="","",ROW()-3)</f>
        <v/>
      </c>
      <c r="B2576" s="48">
        <f>IFERROR(INDEX('04A_국토부원자료'!$A:$T,ROW()+1,MATCH("시군구",'04A_국토부원자료'!$A$4:$T$4,0)),"")</f>
        <v/>
      </c>
      <c r="C2576" s="48">
        <f>IF(B2576="","",IFERROR(INDEX('04A_국토부원자료'!$A:$T,ROW()+1,MATCH("번지",'04A_국토부원자료'!$A$4:$T$4,0)),""))</f>
        <v/>
      </c>
      <c r="D2576" s="48">
        <f>IF(B2576="","",IF(Q2576=1,'02_대상물건입력'!$B$8,IFERROR(INDEX('04A_국토부원자료'!$A:$T,ROW()+1,MATCH("단지명",'04A_국토부원자료'!$A$4:$T$4,0)),"")))</f>
        <v/>
      </c>
      <c r="E2576" s="172">
        <f>IFERROR(VALUE(SUBSTITUTE(INDEX('04A_국토부원자료'!$A:$T,ROW()+1,MATCH("전용면적(㎡)",'04A_국토부원자료'!$A$4:$T$4,0)),",","")),"")</f>
        <v/>
      </c>
      <c r="F25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76" s="51">
        <f>IFERROR(VALUE(SUBSTITUTE(INDEX('04A_국토부원자료'!$A:$T,ROW()+1,MATCH("거래금액(만원)",'04A_국토부원자료'!$A$4:$T$4,0)),",","")),"")</f>
        <v/>
      </c>
      <c r="H2576" s="174">
        <f>IF(G2576="","",G2576*10000)</f>
        <v/>
      </c>
      <c r="I2576" s="174">
        <f>IFERROR(IF(AND(H2576&gt;0,E2576&gt;0),H2576/E2576,""),"")</f>
        <v/>
      </c>
      <c r="J2576" s="152">
        <f>IFERROR(VALUE(SUBSTITUTE(INDEX('04A_국토부원자료'!$A:$T,ROW()+1,MATCH("층",'04A_국토부원자료'!$A$4:$T$4,0)),",","")),"")</f>
        <v/>
      </c>
      <c r="K2576" s="152">
        <f>IFERROR(VALUE(SUBSTITUTE(INDEX('04A_국토부원자료'!$A:$T,ROW()+1,MATCH("건축년도",'04A_국토부원자료'!$A$4:$T$4,0)),",","")),"")</f>
        <v/>
      </c>
      <c r="L2576" s="48">
        <f>IFERROR(INDEX('04A_국토부원자료'!$A:$T,ROW()+1,MATCH("도로명",'04A_국토부원자료'!$A$4:$T$4,0)),"")</f>
        <v/>
      </c>
      <c r="M2576" s="48">
        <f>IFERROR(INDEX('04A_국토부원자료'!$A:$T,ROW()+1,MATCH("거래유형",'04A_국토부원자료'!$A$4:$T$4,0)),"")</f>
        <v/>
      </c>
      <c r="N2576" s="152">
        <f>IF(B2576="","",IF('02_대상물건입력'!B5="",1,IF(ISNUMBER(SEARCH('02_대상물건입력'!B5,B2576)),1,0)))</f>
        <v/>
      </c>
      <c r="O2576" s="152">
        <f>IF(B2576="","",IF('02_대상물건입력'!B6="",1,IF(ISNUMBER(SEARCH('02_대상물건입력'!B6,B2576)),1,0)))</f>
        <v/>
      </c>
      <c r="P2576" s="152">
        <f>IF(L2576="","",IF('02_대상물건입력'!B15="",0,IF(ISNUMBER(SEARCH('02_대상물건입력'!B15,L2576)),1,0)))</f>
        <v/>
      </c>
      <c r="Q2576" s="152">
        <f>IF(OR(C2576="",L2576=""),0,IF(AND(TRIM(C2576)=TRIM(RIGHT(SUBSTITUTE(TRIM('02_대상물건입력'!$B$7)," ",REPT(" ",99)),99)),IF('02_대상물건입력'!B15="",TRUE(),ISNUMBER(SEARCH('02_대상물건입력'!B15,L2576)))),1,0))</f>
        <v/>
      </c>
      <c r="R2576" s="175">
        <f>IFERROR(ABS(E2576-'02_대상물건입력'!B11)/'02_대상물건입력'!B11,"")</f>
        <v/>
      </c>
      <c r="S2576" s="152">
        <f>IFERROR(ABS(J2576-'02_대상물건입력'!B10),"")</f>
        <v/>
      </c>
      <c r="T2576" s="152">
        <f>IFERROR(ABS('01_설정'!B4-F2576),"")</f>
        <v/>
      </c>
      <c r="U2576" s="152">
        <f>IFERROR(ABS(K2576-YEAR('02_대상물건입력'!B14)),"")</f>
        <v/>
      </c>
      <c r="V2576" s="152">
        <f>IF(B2576="","",IF(AND(E2576&gt;0,F2576&gt;0,H2576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2576=1,TRUE()),R2576&lt;='01_설정'!B5,S2576&lt;='01_설정'!B6,T2576&lt;='01_설정'!B7,U2576&lt;='01_설정'!B8),"Y",""))</f>
        <v/>
      </c>
      <c r="W2576" s="172">
        <f>IF(V2576&lt;&gt;"Y","",MAX(0,(1-R2576/'01_설정'!B5))*'01_설정'!B14+MAX(0,(1-S2576/'01_설정'!B6))*'01_설정'!B15+MAX(0,(1-T2576/'01_설정'!B7))*'01_설정'!B16+MAX(0,(1-U2576/'01_설정'!B8))*'01_설정'!B17+O2576*'01_설정'!B11+Q2576*'01_설정'!B12+P2576*'01_설정'!B13+IF(Z2576="",0,Z2576))</f>
        <v/>
      </c>
      <c r="X2576" s="152">
        <f>IF(W2576="","",1+COUNTIFS($W$4:$W$3003,"&gt;"&amp;W2576)+COUNTIFS($W$4:W2576,W2576)-1)</f>
        <v/>
      </c>
      <c r="Y2576" s="175">
        <f>IF(OR(I2576="",'02_대상물건입력'!B19="",'02_대상물건입력'!B19&lt;=0),"",ABS(I2576-'02_대상물건입력'!B19)/'02_대상물건입력'!B19)</f>
        <v/>
      </c>
      <c r="Z2576" s="172">
        <f>IF(OR(Y2576="",'01_설정'!B31="",'01_설정'!B31&lt;=0,'01_설정'!B32="",'01_설정'!B32&lt;=0),"",MAX(0,(1-Y2576/'01_설정'!B32))*'01_설정'!B31)</f>
        <v/>
      </c>
    </row>
    <row r="2577" ht="17.25" customHeight="1">
      <c r="A2577" s="152">
        <f>IF(INDEX('04A_국토부원자료'!$A:$A,ROW()+1)="","",ROW()-3)</f>
        <v/>
      </c>
      <c r="B2577" s="48">
        <f>IFERROR(INDEX('04A_국토부원자료'!$A:$T,ROW()+1,MATCH("시군구",'04A_국토부원자료'!$A$4:$T$4,0)),"")</f>
        <v/>
      </c>
      <c r="C2577" s="48">
        <f>IF(B2577="","",IFERROR(INDEX('04A_국토부원자료'!$A:$T,ROW()+1,MATCH("번지",'04A_국토부원자료'!$A$4:$T$4,0)),""))</f>
        <v/>
      </c>
      <c r="D2577" s="48">
        <f>IF(B2577="","",IF(Q2577=1,'02_대상물건입력'!$B$8,IFERROR(INDEX('04A_국토부원자료'!$A:$T,ROW()+1,MATCH("단지명",'04A_국토부원자료'!$A$4:$T$4,0)),"")))</f>
        <v/>
      </c>
      <c r="E2577" s="172">
        <f>IFERROR(VALUE(SUBSTITUTE(INDEX('04A_국토부원자료'!$A:$T,ROW()+1,MATCH("전용면적(㎡)",'04A_국토부원자료'!$A$4:$T$4,0)),",","")),"")</f>
        <v/>
      </c>
      <c r="F25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77" s="51">
        <f>IFERROR(VALUE(SUBSTITUTE(INDEX('04A_국토부원자료'!$A:$T,ROW()+1,MATCH("거래금액(만원)",'04A_국토부원자료'!$A$4:$T$4,0)),",","")),"")</f>
        <v/>
      </c>
      <c r="H2577" s="174">
        <f>IF(G2577="","",G2577*10000)</f>
        <v/>
      </c>
      <c r="I2577" s="174">
        <f>IFERROR(IF(AND(H2577&gt;0,E2577&gt;0),H2577/E2577,""),"")</f>
        <v/>
      </c>
      <c r="J2577" s="152">
        <f>IFERROR(VALUE(SUBSTITUTE(INDEX('04A_국토부원자료'!$A:$T,ROW()+1,MATCH("층",'04A_국토부원자료'!$A$4:$T$4,0)),",","")),"")</f>
        <v/>
      </c>
      <c r="K2577" s="152">
        <f>IFERROR(VALUE(SUBSTITUTE(INDEX('04A_국토부원자료'!$A:$T,ROW()+1,MATCH("건축년도",'04A_국토부원자료'!$A$4:$T$4,0)),",","")),"")</f>
        <v/>
      </c>
      <c r="L2577" s="48">
        <f>IFERROR(INDEX('04A_국토부원자료'!$A:$T,ROW()+1,MATCH("도로명",'04A_국토부원자료'!$A$4:$T$4,0)),"")</f>
        <v/>
      </c>
      <c r="M2577" s="48">
        <f>IFERROR(INDEX('04A_국토부원자료'!$A:$T,ROW()+1,MATCH("거래유형",'04A_국토부원자료'!$A$4:$T$4,0)),"")</f>
        <v/>
      </c>
      <c r="N2577" s="152">
        <f>IF(B2577="","",IF('02_대상물건입력'!B5="",1,IF(ISNUMBER(SEARCH('02_대상물건입력'!B5,B2577)),1,0)))</f>
        <v/>
      </c>
      <c r="O2577" s="152">
        <f>IF(B2577="","",IF('02_대상물건입력'!B6="",1,IF(ISNUMBER(SEARCH('02_대상물건입력'!B6,B2577)),1,0)))</f>
        <v/>
      </c>
      <c r="P2577" s="152">
        <f>IF(L2577="","",IF('02_대상물건입력'!B15="",0,IF(ISNUMBER(SEARCH('02_대상물건입력'!B15,L2577)),1,0)))</f>
        <v/>
      </c>
      <c r="Q2577" s="152">
        <f>IF(OR(C2577="",L2577=""),0,IF(AND(TRIM(C2577)=TRIM(RIGHT(SUBSTITUTE(TRIM('02_대상물건입력'!$B$7)," ",REPT(" ",99)),99)),IF('02_대상물건입력'!B15="",TRUE(),ISNUMBER(SEARCH('02_대상물건입력'!B15,L2577)))),1,0))</f>
        <v/>
      </c>
      <c r="R2577" s="175">
        <f>IFERROR(ABS(E2577-'02_대상물건입력'!B11)/'02_대상물건입력'!B11,"")</f>
        <v/>
      </c>
      <c r="S2577" s="152">
        <f>IFERROR(ABS(J2577-'02_대상물건입력'!B10),"")</f>
        <v/>
      </c>
      <c r="T2577" s="152">
        <f>IFERROR(ABS('01_설정'!B4-F2577),"")</f>
        <v/>
      </c>
      <c r="U2577" s="152">
        <f>IFERROR(ABS(K2577-YEAR('02_대상물건입력'!B14)),"")</f>
        <v/>
      </c>
      <c r="V2577" s="152">
        <f>IF(B2577="","",IF(AND(E2577&gt;0,F2577&gt;0,H2577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2577=1,TRUE()),R2577&lt;='01_설정'!B5,S2577&lt;='01_설정'!B6,T2577&lt;='01_설정'!B7,U2577&lt;='01_설정'!B8),"Y",""))</f>
        <v/>
      </c>
      <c r="W2577" s="172">
        <f>IF(V2577&lt;&gt;"Y","",MAX(0,(1-R2577/'01_설정'!B5))*'01_설정'!B14+MAX(0,(1-S2577/'01_설정'!B6))*'01_설정'!B15+MAX(0,(1-T2577/'01_설정'!B7))*'01_설정'!B16+MAX(0,(1-U2577/'01_설정'!B8))*'01_설정'!B17+O2577*'01_설정'!B11+Q2577*'01_설정'!B12+P2577*'01_설정'!B13+IF(Z2577="",0,Z2577))</f>
        <v/>
      </c>
      <c r="X2577" s="152">
        <f>IF(W2577="","",1+COUNTIFS($W$4:$W$3003,"&gt;"&amp;W2577)+COUNTIFS($W$4:W2577,W2577)-1)</f>
        <v/>
      </c>
      <c r="Y2577" s="175">
        <f>IF(OR(I2577="",'02_대상물건입력'!B19="",'02_대상물건입력'!B19&lt;=0),"",ABS(I2577-'02_대상물건입력'!B19)/'02_대상물건입력'!B19)</f>
        <v/>
      </c>
      <c r="Z2577" s="172">
        <f>IF(OR(Y2577="",'01_설정'!B31="",'01_설정'!B31&lt;=0,'01_설정'!B32="",'01_설정'!B32&lt;=0),"",MAX(0,(1-Y2577/'01_설정'!B32))*'01_설정'!B31)</f>
        <v/>
      </c>
    </row>
    <row r="2578" ht="17.25" customHeight="1">
      <c r="A2578" s="152">
        <f>IF(INDEX('04A_국토부원자료'!$A:$A,ROW()+1)="","",ROW()-3)</f>
        <v/>
      </c>
      <c r="B2578" s="48">
        <f>IFERROR(INDEX('04A_국토부원자료'!$A:$T,ROW()+1,MATCH("시군구",'04A_국토부원자료'!$A$4:$T$4,0)),"")</f>
        <v/>
      </c>
      <c r="C2578" s="48">
        <f>IF(B2578="","",IFERROR(INDEX('04A_국토부원자료'!$A:$T,ROW()+1,MATCH("번지",'04A_국토부원자료'!$A$4:$T$4,0)),""))</f>
        <v/>
      </c>
      <c r="D2578" s="48">
        <f>IF(B2578="","",IF(Q2578=1,'02_대상물건입력'!$B$8,IFERROR(INDEX('04A_국토부원자료'!$A:$T,ROW()+1,MATCH("단지명",'04A_국토부원자료'!$A$4:$T$4,0)),"")))</f>
        <v/>
      </c>
      <c r="E2578" s="172">
        <f>IFERROR(VALUE(SUBSTITUTE(INDEX('04A_국토부원자료'!$A:$T,ROW()+1,MATCH("전용면적(㎡)",'04A_국토부원자료'!$A$4:$T$4,0)),",","")),"")</f>
        <v/>
      </c>
      <c r="F25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78" s="51">
        <f>IFERROR(VALUE(SUBSTITUTE(INDEX('04A_국토부원자료'!$A:$T,ROW()+1,MATCH("거래금액(만원)",'04A_국토부원자료'!$A$4:$T$4,0)),",","")),"")</f>
        <v/>
      </c>
      <c r="H2578" s="174">
        <f>IF(G2578="","",G2578*10000)</f>
        <v/>
      </c>
      <c r="I2578" s="174">
        <f>IFERROR(IF(AND(H2578&gt;0,E2578&gt;0),H2578/E2578,""),"")</f>
        <v/>
      </c>
      <c r="J2578" s="152">
        <f>IFERROR(VALUE(SUBSTITUTE(INDEX('04A_국토부원자료'!$A:$T,ROW()+1,MATCH("층",'04A_국토부원자료'!$A$4:$T$4,0)),",","")),"")</f>
        <v/>
      </c>
      <c r="K2578" s="152">
        <f>IFERROR(VALUE(SUBSTITUTE(INDEX('04A_국토부원자료'!$A:$T,ROW()+1,MATCH("건축년도",'04A_국토부원자료'!$A$4:$T$4,0)),",","")),"")</f>
        <v/>
      </c>
      <c r="L2578" s="48">
        <f>IFERROR(INDEX('04A_국토부원자료'!$A:$T,ROW()+1,MATCH("도로명",'04A_국토부원자료'!$A$4:$T$4,0)),"")</f>
        <v/>
      </c>
      <c r="M2578" s="48">
        <f>IFERROR(INDEX('04A_국토부원자료'!$A:$T,ROW()+1,MATCH("거래유형",'04A_국토부원자료'!$A$4:$T$4,0)),"")</f>
        <v/>
      </c>
      <c r="N2578" s="152">
        <f>IF(B2578="","",IF('02_대상물건입력'!B5="",1,IF(ISNUMBER(SEARCH('02_대상물건입력'!B5,B2578)),1,0)))</f>
        <v/>
      </c>
      <c r="O2578" s="152">
        <f>IF(B2578="","",IF('02_대상물건입력'!B6="",1,IF(ISNUMBER(SEARCH('02_대상물건입력'!B6,B2578)),1,0)))</f>
        <v/>
      </c>
      <c r="P2578" s="152">
        <f>IF(L2578="","",IF('02_대상물건입력'!B15="",0,IF(ISNUMBER(SEARCH('02_대상물건입력'!B15,L2578)),1,0)))</f>
        <v/>
      </c>
      <c r="Q2578" s="152">
        <f>IF(OR(C2578="",L2578=""),0,IF(AND(TRIM(C2578)=TRIM(RIGHT(SUBSTITUTE(TRIM('02_대상물건입력'!$B$7)," ",REPT(" ",99)),99)),IF('02_대상물건입력'!B15="",TRUE(),ISNUMBER(SEARCH('02_대상물건입력'!B15,L2578)))),1,0))</f>
        <v/>
      </c>
      <c r="R2578" s="175">
        <f>IFERROR(ABS(E2578-'02_대상물건입력'!B11)/'02_대상물건입력'!B11,"")</f>
        <v/>
      </c>
      <c r="S2578" s="152">
        <f>IFERROR(ABS(J2578-'02_대상물건입력'!B10),"")</f>
        <v/>
      </c>
      <c r="T2578" s="152">
        <f>IFERROR(ABS('01_설정'!B4-F2578),"")</f>
        <v/>
      </c>
      <c r="U2578" s="152">
        <f>IFERROR(ABS(K2578-YEAR('02_대상물건입력'!B14)),"")</f>
        <v/>
      </c>
      <c r="V2578" s="152">
        <f>IF(B2578="","",IF(AND(E2578&gt;0,F2578&gt;0,H2578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2578=1,TRUE()),R2578&lt;='01_설정'!B5,S2578&lt;='01_설정'!B6,T2578&lt;='01_설정'!B7,U2578&lt;='01_설정'!B8),"Y",""))</f>
        <v/>
      </c>
      <c r="W2578" s="172">
        <f>IF(V2578&lt;&gt;"Y","",MAX(0,(1-R2578/'01_설정'!B5))*'01_설정'!B14+MAX(0,(1-S2578/'01_설정'!B6))*'01_설정'!B15+MAX(0,(1-T2578/'01_설정'!B7))*'01_설정'!B16+MAX(0,(1-U2578/'01_설정'!B8))*'01_설정'!B17+O2578*'01_설정'!B11+Q2578*'01_설정'!B12+P2578*'01_설정'!B13+IF(Z2578="",0,Z2578))</f>
        <v/>
      </c>
      <c r="X2578" s="152">
        <f>IF(W2578="","",1+COUNTIFS($W$4:$W$3003,"&gt;"&amp;W2578)+COUNTIFS($W$4:W2578,W2578)-1)</f>
        <v/>
      </c>
      <c r="Y2578" s="175">
        <f>IF(OR(I2578="",'02_대상물건입력'!B19="",'02_대상물건입력'!B19&lt;=0),"",ABS(I2578-'02_대상물건입력'!B19)/'02_대상물건입력'!B19)</f>
        <v/>
      </c>
      <c r="Z2578" s="172">
        <f>IF(OR(Y2578="",'01_설정'!B31="",'01_설정'!B31&lt;=0,'01_설정'!B32="",'01_설정'!B32&lt;=0),"",MAX(0,(1-Y2578/'01_설정'!B32))*'01_설정'!B31)</f>
        <v/>
      </c>
    </row>
    <row r="2579" ht="17.25" customHeight="1">
      <c r="A2579" s="152">
        <f>IF(INDEX('04A_국토부원자료'!$A:$A,ROW()+1)="","",ROW()-3)</f>
        <v/>
      </c>
      <c r="B2579" s="48">
        <f>IFERROR(INDEX('04A_국토부원자료'!$A:$T,ROW()+1,MATCH("시군구",'04A_국토부원자료'!$A$4:$T$4,0)),"")</f>
        <v/>
      </c>
      <c r="C2579" s="48">
        <f>IF(B2579="","",IFERROR(INDEX('04A_국토부원자료'!$A:$T,ROW()+1,MATCH("번지",'04A_국토부원자료'!$A$4:$T$4,0)),""))</f>
        <v/>
      </c>
      <c r="D2579" s="48">
        <f>IF(B2579="","",IF(Q2579=1,'02_대상물건입력'!$B$8,IFERROR(INDEX('04A_국토부원자료'!$A:$T,ROW()+1,MATCH("단지명",'04A_국토부원자료'!$A$4:$T$4,0)),"")))</f>
        <v/>
      </c>
      <c r="E2579" s="172">
        <f>IFERROR(VALUE(SUBSTITUTE(INDEX('04A_국토부원자료'!$A:$T,ROW()+1,MATCH("전용면적(㎡)",'04A_국토부원자료'!$A$4:$T$4,0)),",","")),"")</f>
        <v/>
      </c>
      <c r="F25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79" s="51">
        <f>IFERROR(VALUE(SUBSTITUTE(INDEX('04A_국토부원자료'!$A:$T,ROW()+1,MATCH("거래금액(만원)",'04A_국토부원자료'!$A$4:$T$4,0)),",","")),"")</f>
        <v/>
      </c>
      <c r="H2579" s="174">
        <f>IF(G2579="","",G2579*10000)</f>
        <v/>
      </c>
      <c r="I2579" s="174">
        <f>IFERROR(IF(AND(H2579&gt;0,E2579&gt;0),H2579/E2579,""),"")</f>
        <v/>
      </c>
      <c r="J2579" s="152">
        <f>IFERROR(VALUE(SUBSTITUTE(INDEX('04A_국토부원자료'!$A:$T,ROW()+1,MATCH("층",'04A_국토부원자료'!$A$4:$T$4,0)),",","")),"")</f>
        <v/>
      </c>
      <c r="K2579" s="152">
        <f>IFERROR(VALUE(SUBSTITUTE(INDEX('04A_국토부원자료'!$A:$T,ROW()+1,MATCH("건축년도",'04A_국토부원자료'!$A$4:$T$4,0)),",","")),"")</f>
        <v/>
      </c>
      <c r="L2579" s="48">
        <f>IFERROR(INDEX('04A_국토부원자료'!$A:$T,ROW()+1,MATCH("도로명",'04A_국토부원자료'!$A$4:$T$4,0)),"")</f>
        <v/>
      </c>
      <c r="M2579" s="48">
        <f>IFERROR(INDEX('04A_국토부원자료'!$A:$T,ROW()+1,MATCH("거래유형",'04A_국토부원자료'!$A$4:$T$4,0)),"")</f>
        <v/>
      </c>
      <c r="N2579" s="152">
        <f>IF(B2579="","",IF('02_대상물건입력'!B5="",1,IF(ISNUMBER(SEARCH('02_대상물건입력'!B5,B2579)),1,0)))</f>
        <v/>
      </c>
      <c r="O2579" s="152">
        <f>IF(B2579="","",IF('02_대상물건입력'!B6="",1,IF(ISNUMBER(SEARCH('02_대상물건입력'!B6,B2579)),1,0)))</f>
        <v/>
      </c>
      <c r="P2579" s="152">
        <f>IF(L2579="","",IF('02_대상물건입력'!B15="",0,IF(ISNUMBER(SEARCH('02_대상물건입력'!B15,L2579)),1,0)))</f>
        <v/>
      </c>
      <c r="Q2579" s="152">
        <f>IF(OR(C2579="",L2579=""),0,IF(AND(TRIM(C2579)=TRIM(RIGHT(SUBSTITUTE(TRIM('02_대상물건입력'!$B$7)," ",REPT(" ",99)),99)),IF('02_대상물건입력'!B15="",TRUE(),ISNUMBER(SEARCH('02_대상물건입력'!B15,L2579)))),1,0))</f>
        <v/>
      </c>
      <c r="R2579" s="175">
        <f>IFERROR(ABS(E2579-'02_대상물건입력'!B11)/'02_대상물건입력'!B11,"")</f>
        <v/>
      </c>
      <c r="S2579" s="152">
        <f>IFERROR(ABS(J2579-'02_대상물건입력'!B10),"")</f>
        <v/>
      </c>
      <c r="T2579" s="152">
        <f>IFERROR(ABS('01_설정'!B4-F2579),"")</f>
        <v/>
      </c>
      <c r="U2579" s="152">
        <f>IFERROR(ABS(K2579-YEAR('02_대상물건입력'!B14)),"")</f>
        <v/>
      </c>
      <c r="V2579" s="152">
        <f>IF(B2579="","",IF(AND(E2579&gt;0,F2579&gt;0,H2579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2579=1,TRUE()),R2579&lt;='01_설정'!B5,S2579&lt;='01_설정'!B6,T2579&lt;='01_설정'!B7,U2579&lt;='01_설정'!B8),"Y",""))</f>
        <v/>
      </c>
      <c r="W2579" s="172">
        <f>IF(V2579&lt;&gt;"Y","",MAX(0,(1-R2579/'01_설정'!B5))*'01_설정'!B14+MAX(0,(1-S2579/'01_설정'!B6))*'01_설정'!B15+MAX(0,(1-T2579/'01_설정'!B7))*'01_설정'!B16+MAX(0,(1-U2579/'01_설정'!B8))*'01_설정'!B17+O2579*'01_설정'!B11+Q2579*'01_설정'!B12+P2579*'01_설정'!B13+IF(Z2579="",0,Z2579))</f>
        <v/>
      </c>
      <c r="X2579" s="152">
        <f>IF(W2579="","",1+COUNTIFS($W$4:$W$3003,"&gt;"&amp;W2579)+COUNTIFS($W$4:W2579,W2579)-1)</f>
        <v/>
      </c>
      <c r="Y2579" s="175">
        <f>IF(OR(I2579="",'02_대상물건입력'!B19="",'02_대상물건입력'!B19&lt;=0),"",ABS(I2579-'02_대상물건입력'!B19)/'02_대상물건입력'!B19)</f>
        <v/>
      </c>
      <c r="Z2579" s="172">
        <f>IF(OR(Y2579="",'01_설정'!B31="",'01_설정'!B31&lt;=0,'01_설정'!B32="",'01_설정'!B32&lt;=0),"",MAX(0,(1-Y2579/'01_설정'!B32))*'01_설정'!B31)</f>
        <v/>
      </c>
    </row>
    <row r="2580" ht="17.25" customHeight="1">
      <c r="A2580" s="152">
        <f>IF(INDEX('04A_국토부원자료'!$A:$A,ROW()+1)="","",ROW()-3)</f>
        <v/>
      </c>
      <c r="B2580" s="48">
        <f>IFERROR(INDEX('04A_국토부원자료'!$A:$T,ROW()+1,MATCH("시군구",'04A_국토부원자료'!$A$4:$T$4,0)),"")</f>
        <v/>
      </c>
      <c r="C2580" s="48">
        <f>IF(B2580="","",IFERROR(INDEX('04A_국토부원자료'!$A:$T,ROW()+1,MATCH("번지",'04A_국토부원자료'!$A$4:$T$4,0)),""))</f>
        <v/>
      </c>
      <c r="D2580" s="48">
        <f>IF(B2580="","",IF(Q2580=1,'02_대상물건입력'!$B$8,IFERROR(INDEX('04A_국토부원자료'!$A:$T,ROW()+1,MATCH("단지명",'04A_국토부원자료'!$A$4:$T$4,0)),"")))</f>
        <v/>
      </c>
      <c r="E2580" s="172">
        <f>IFERROR(VALUE(SUBSTITUTE(INDEX('04A_국토부원자료'!$A:$T,ROW()+1,MATCH("전용면적(㎡)",'04A_국토부원자료'!$A$4:$T$4,0)),",","")),"")</f>
        <v/>
      </c>
      <c r="F25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80" s="51">
        <f>IFERROR(VALUE(SUBSTITUTE(INDEX('04A_국토부원자료'!$A:$T,ROW()+1,MATCH("거래금액(만원)",'04A_국토부원자료'!$A$4:$T$4,0)),",","")),"")</f>
        <v/>
      </c>
      <c r="H2580" s="174">
        <f>IF(G2580="","",G2580*10000)</f>
        <v/>
      </c>
      <c r="I2580" s="174">
        <f>IFERROR(IF(AND(H2580&gt;0,E2580&gt;0),H2580/E2580,""),"")</f>
        <v/>
      </c>
      <c r="J2580" s="152">
        <f>IFERROR(VALUE(SUBSTITUTE(INDEX('04A_국토부원자료'!$A:$T,ROW()+1,MATCH("층",'04A_국토부원자료'!$A$4:$T$4,0)),",","")),"")</f>
        <v/>
      </c>
      <c r="K2580" s="152">
        <f>IFERROR(VALUE(SUBSTITUTE(INDEX('04A_국토부원자료'!$A:$T,ROW()+1,MATCH("건축년도",'04A_국토부원자료'!$A$4:$T$4,0)),",","")),"")</f>
        <v/>
      </c>
      <c r="L2580" s="48">
        <f>IFERROR(INDEX('04A_국토부원자료'!$A:$T,ROW()+1,MATCH("도로명",'04A_국토부원자료'!$A$4:$T$4,0)),"")</f>
        <v/>
      </c>
      <c r="M2580" s="48">
        <f>IFERROR(INDEX('04A_국토부원자료'!$A:$T,ROW()+1,MATCH("거래유형",'04A_국토부원자료'!$A$4:$T$4,0)),"")</f>
        <v/>
      </c>
      <c r="N2580" s="152">
        <f>IF(B2580="","",IF('02_대상물건입력'!B5="",1,IF(ISNUMBER(SEARCH('02_대상물건입력'!B5,B2580)),1,0)))</f>
        <v/>
      </c>
      <c r="O2580" s="152">
        <f>IF(B2580="","",IF('02_대상물건입력'!B6="",1,IF(ISNUMBER(SEARCH('02_대상물건입력'!B6,B2580)),1,0)))</f>
        <v/>
      </c>
      <c r="P2580" s="152">
        <f>IF(L2580="","",IF('02_대상물건입력'!B15="",0,IF(ISNUMBER(SEARCH('02_대상물건입력'!B15,L2580)),1,0)))</f>
        <v/>
      </c>
      <c r="Q2580" s="152">
        <f>IF(OR(C2580="",L2580=""),0,IF(AND(TRIM(C2580)=TRIM(RIGHT(SUBSTITUTE(TRIM('02_대상물건입력'!$B$7)," ",REPT(" ",99)),99)),IF('02_대상물건입력'!B15="",TRUE(),ISNUMBER(SEARCH('02_대상물건입력'!B15,L2580)))),1,0))</f>
        <v/>
      </c>
      <c r="R2580" s="175">
        <f>IFERROR(ABS(E2580-'02_대상물건입력'!B11)/'02_대상물건입력'!B11,"")</f>
        <v/>
      </c>
      <c r="S2580" s="152">
        <f>IFERROR(ABS(J2580-'02_대상물건입력'!B10),"")</f>
        <v/>
      </c>
      <c r="T2580" s="152">
        <f>IFERROR(ABS('01_설정'!B4-F2580),"")</f>
        <v/>
      </c>
      <c r="U2580" s="152">
        <f>IFERROR(ABS(K2580-YEAR('02_대상물건입력'!B14)),"")</f>
        <v/>
      </c>
      <c r="V2580" s="152">
        <f>IF(B2580="","",IF(AND(E2580&gt;0,F2580&gt;0,H2580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2580=1,TRUE()),R2580&lt;='01_설정'!B5,S2580&lt;='01_설정'!B6,T2580&lt;='01_설정'!B7,U2580&lt;='01_설정'!B8),"Y",""))</f>
        <v/>
      </c>
      <c r="W2580" s="172">
        <f>IF(V2580&lt;&gt;"Y","",MAX(0,(1-R2580/'01_설정'!B5))*'01_설정'!B14+MAX(0,(1-S2580/'01_설정'!B6))*'01_설정'!B15+MAX(0,(1-T2580/'01_설정'!B7))*'01_설정'!B16+MAX(0,(1-U2580/'01_설정'!B8))*'01_설정'!B17+O2580*'01_설정'!B11+Q2580*'01_설정'!B12+P2580*'01_설정'!B13+IF(Z2580="",0,Z2580))</f>
        <v/>
      </c>
      <c r="X2580" s="152">
        <f>IF(W2580="","",1+COUNTIFS($W$4:$W$3003,"&gt;"&amp;W2580)+COUNTIFS($W$4:W2580,W2580)-1)</f>
        <v/>
      </c>
      <c r="Y2580" s="175">
        <f>IF(OR(I2580="",'02_대상물건입력'!B19="",'02_대상물건입력'!B19&lt;=0),"",ABS(I2580-'02_대상물건입력'!B19)/'02_대상물건입력'!B19)</f>
        <v/>
      </c>
      <c r="Z2580" s="172">
        <f>IF(OR(Y2580="",'01_설정'!B31="",'01_설정'!B31&lt;=0,'01_설정'!B32="",'01_설정'!B32&lt;=0),"",MAX(0,(1-Y2580/'01_설정'!B32))*'01_설정'!B31)</f>
        <v/>
      </c>
    </row>
    <row r="2581" ht="17.25" customHeight="1">
      <c r="A2581" s="152">
        <f>IF(INDEX('04A_국토부원자료'!$A:$A,ROW()+1)="","",ROW()-3)</f>
        <v/>
      </c>
      <c r="B2581" s="48">
        <f>IFERROR(INDEX('04A_국토부원자료'!$A:$T,ROW()+1,MATCH("시군구",'04A_국토부원자료'!$A$4:$T$4,0)),"")</f>
        <v/>
      </c>
      <c r="C2581" s="48">
        <f>IF(B2581="","",IFERROR(INDEX('04A_국토부원자료'!$A:$T,ROW()+1,MATCH("번지",'04A_국토부원자료'!$A$4:$T$4,0)),""))</f>
        <v/>
      </c>
      <c r="D2581" s="48">
        <f>IF(B2581="","",IF(Q2581=1,'02_대상물건입력'!$B$8,IFERROR(INDEX('04A_국토부원자료'!$A:$T,ROW()+1,MATCH("단지명",'04A_국토부원자료'!$A$4:$T$4,0)),"")))</f>
        <v/>
      </c>
      <c r="E2581" s="172">
        <f>IFERROR(VALUE(SUBSTITUTE(INDEX('04A_국토부원자료'!$A:$T,ROW()+1,MATCH("전용면적(㎡)",'04A_국토부원자료'!$A$4:$T$4,0)),",","")),"")</f>
        <v/>
      </c>
      <c r="F25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81" s="51">
        <f>IFERROR(VALUE(SUBSTITUTE(INDEX('04A_국토부원자료'!$A:$T,ROW()+1,MATCH("거래금액(만원)",'04A_국토부원자료'!$A$4:$T$4,0)),",","")),"")</f>
        <v/>
      </c>
      <c r="H2581" s="174">
        <f>IF(G2581="","",G2581*10000)</f>
        <v/>
      </c>
      <c r="I2581" s="174">
        <f>IFERROR(IF(AND(H2581&gt;0,E2581&gt;0),H2581/E2581,""),"")</f>
        <v/>
      </c>
      <c r="J2581" s="152">
        <f>IFERROR(VALUE(SUBSTITUTE(INDEX('04A_국토부원자료'!$A:$T,ROW()+1,MATCH("층",'04A_국토부원자료'!$A$4:$T$4,0)),",","")),"")</f>
        <v/>
      </c>
      <c r="K2581" s="152">
        <f>IFERROR(VALUE(SUBSTITUTE(INDEX('04A_국토부원자료'!$A:$T,ROW()+1,MATCH("건축년도",'04A_국토부원자료'!$A$4:$T$4,0)),",","")),"")</f>
        <v/>
      </c>
      <c r="L2581" s="48">
        <f>IFERROR(INDEX('04A_국토부원자료'!$A:$T,ROW()+1,MATCH("도로명",'04A_국토부원자료'!$A$4:$T$4,0)),"")</f>
        <v/>
      </c>
      <c r="M2581" s="48">
        <f>IFERROR(INDEX('04A_국토부원자료'!$A:$T,ROW()+1,MATCH("거래유형",'04A_국토부원자료'!$A$4:$T$4,0)),"")</f>
        <v/>
      </c>
      <c r="N2581" s="152">
        <f>IF(B2581="","",IF('02_대상물건입력'!B5="",1,IF(ISNUMBER(SEARCH('02_대상물건입력'!B5,B2581)),1,0)))</f>
        <v/>
      </c>
      <c r="O2581" s="152">
        <f>IF(B2581="","",IF('02_대상물건입력'!B6="",1,IF(ISNUMBER(SEARCH('02_대상물건입력'!B6,B2581)),1,0)))</f>
        <v/>
      </c>
      <c r="P2581" s="152">
        <f>IF(L2581="","",IF('02_대상물건입력'!B15="",0,IF(ISNUMBER(SEARCH('02_대상물건입력'!B15,L2581)),1,0)))</f>
        <v/>
      </c>
      <c r="Q2581" s="152">
        <f>IF(OR(C2581="",L2581=""),0,IF(AND(TRIM(C2581)=TRIM(RIGHT(SUBSTITUTE(TRIM('02_대상물건입력'!$B$7)," ",REPT(" ",99)),99)),IF('02_대상물건입력'!B15="",TRUE(),ISNUMBER(SEARCH('02_대상물건입력'!B15,L2581)))),1,0))</f>
        <v/>
      </c>
      <c r="R2581" s="175">
        <f>IFERROR(ABS(E2581-'02_대상물건입력'!B11)/'02_대상물건입력'!B11,"")</f>
        <v/>
      </c>
      <c r="S2581" s="152">
        <f>IFERROR(ABS(J2581-'02_대상물건입력'!B10),"")</f>
        <v/>
      </c>
      <c r="T2581" s="152">
        <f>IFERROR(ABS('01_설정'!B4-F2581),"")</f>
        <v/>
      </c>
      <c r="U2581" s="152">
        <f>IFERROR(ABS(K2581-YEAR('02_대상물건입력'!B14)),"")</f>
        <v/>
      </c>
      <c r="V2581" s="152">
        <f>IF(B2581="","",IF(AND(E2581&gt;0,F2581&gt;0,H2581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2581=1,TRUE()),R2581&lt;='01_설정'!B5,S2581&lt;='01_설정'!B6,T2581&lt;='01_설정'!B7,U2581&lt;='01_설정'!B8),"Y",""))</f>
        <v/>
      </c>
      <c r="W2581" s="172">
        <f>IF(V2581&lt;&gt;"Y","",MAX(0,(1-R2581/'01_설정'!B5))*'01_설정'!B14+MAX(0,(1-S2581/'01_설정'!B6))*'01_설정'!B15+MAX(0,(1-T2581/'01_설정'!B7))*'01_설정'!B16+MAX(0,(1-U2581/'01_설정'!B8))*'01_설정'!B17+O2581*'01_설정'!B11+Q2581*'01_설정'!B12+P2581*'01_설정'!B13+IF(Z2581="",0,Z2581))</f>
        <v/>
      </c>
      <c r="X2581" s="152">
        <f>IF(W2581="","",1+COUNTIFS($W$4:$W$3003,"&gt;"&amp;W2581)+COUNTIFS($W$4:W2581,W2581)-1)</f>
        <v/>
      </c>
      <c r="Y2581" s="175">
        <f>IF(OR(I2581="",'02_대상물건입력'!B19="",'02_대상물건입력'!B19&lt;=0),"",ABS(I2581-'02_대상물건입력'!B19)/'02_대상물건입력'!B19)</f>
        <v/>
      </c>
      <c r="Z2581" s="172">
        <f>IF(OR(Y2581="",'01_설정'!B31="",'01_설정'!B31&lt;=0,'01_설정'!B32="",'01_설정'!B32&lt;=0),"",MAX(0,(1-Y2581/'01_설정'!B32))*'01_설정'!B31)</f>
        <v/>
      </c>
    </row>
    <row r="2582" ht="17.25" customHeight="1">
      <c r="A2582" s="152">
        <f>IF(INDEX('04A_국토부원자료'!$A:$A,ROW()+1)="","",ROW()-3)</f>
        <v/>
      </c>
      <c r="B2582" s="48">
        <f>IFERROR(INDEX('04A_국토부원자료'!$A:$T,ROW()+1,MATCH("시군구",'04A_국토부원자료'!$A$4:$T$4,0)),"")</f>
        <v/>
      </c>
      <c r="C2582" s="48">
        <f>IF(B2582="","",IFERROR(INDEX('04A_국토부원자료'!$A:$T,ROW()+1,MATCH("번지",'04A_국토부원자료'!$A$4:$T$4,0)),""))</f>
        <v/>
      </c>
      <c r="D2582" s="48">
        <f>IF(B2582="","",IF(Q2582=1,'02_대상물건입력'!$B$8,IFERROR(INDEX('04A_국토부원자료'!$A:$T,ROW()+1,MATCH("단지명",'04A_국토부원자료'!$A$4:$T$4,0)),"")))</f>
        <v/>
      </c>
      <c r="E2582" s="172">
        <f>IFERROR(VALUE(SUBSTITUTE(INDEX('04A_국토부원자료'!$A:$T,ROW()+1,MATCH("전용면적(㎡)",'04A_국토부원자료'!$A$4:$T$4,0)),",","")),"")</f>
        <v/>
      </c>
      <c r="F25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82" s="51">
        <f>IFERROR(VALUE(SUBSTITUTE(INDEX('04A_국토부원자료'!$A:$T,ROW()+1,MATCH("거래금액(만원)",'04A_국토부원자료'!$A$4:$T$4,0)),",","")),"")</f>
        <v/>
      </c>
      <c r="H2582" s="174">
        <f>IF(G2582="","",G2582*10000)</f>
        <v/>
      </c>
      <c r="I2582" s="174">
        <f>IFERROR(IF(AND(H2582&gt;0,E2582&gt;0),H2582/E2582,""),"")</f>
        <v/>
      </c>
      <c r="J2582" s="152">
        <f>IFERROR(VALUE(SUBSTITUTE(INDEX('04A_국토부원자료'!$A:$T,ROW()+1,MATCH("층",'04A_국토부원자료'!$A$4:$T$4,0)),",","")),"")</f>
        <v/>
      </c>
      <c r="K2582" s="152">
        <f>IFERROR(VALUE(SUBSTITUTE(INDEX('04A_국토부원자료'!$A:$T,ROW()+1,MATCH("건축년도",'04A_국토부원자료'!$A$4:$T$4,0)),",","")),"")</f>
        <v/>
      </c>
      <c r="L2582" s="48">
        <f>IFERROR(INDEX('04A_국토부원자료'!$A:$T,ROW()+1,MATCH("도로명",'04A_국토부원자료'!$A$4:$T$4,0)),"")</f>
        <v/>
      </c>
      <c r="M2582" s="48">
        <f>IFERROR(INDEX('04A_국토부원자료'!$A:$T,ROW()+1,MATCH("거래유형",'04A_국토부원자료'!$A$4:$T$4,0)),"")</f>
        <v/>
      </c>
      <c r="N2582" s="152">
        <f>IF(B2582="","",IF('02_대상물건입력'!B5="",1,IF(ISNUMBER(SEARCH('02_대상물건입력'!B5,B2582)),1,0)))</f>
        <v/>
      </c>
      <c r="O2582" s="152">
        <f>IF(B2582="","",IF('02_대상물건입력'!B6="",1,IF(ISNUMBER(SEARCH('02_대상물건입력'!B6,B2582)),1,0)))</f>
        <v/>
      </c>
      <c r="P2582" s="152">
        <f>IF(L2582="","",IF('02_대상물건입력'!B15="",0,IF(ISNUMBER(SEARCH('02_대상물건입력'!B15,L2582)),1,0)))</f>
        <v/>
      </c>
      <c r="Q2582" s="152">
        <f>IF(OR(C2582="",L2582=""),0,IF(AND(TRIM(C2582)=TRIM(RIGHT(SUBSTITUTE(TRIM('02_대상물건입력'!$B$7)," ",REPT(" ",99)),99)),IF('02_대상물건입력'!B15="",TRUE(),ISNUMBER(SEARCH('02_대상물건입력'!B15,L2582)))),1,0))</f>
        <v/>
      </c>
      <c r="R2582" s="175">
        <f>IFERROR(ABS(E2582-'02_대상물건입력'!B11)/'02_대상물건입력'!B11,"")</f>
        <v/>
      </c>
      <c r="S2582" s="152">
        <f>IFERROR(ABS(J2582-'02_대상물건입력'!B10),"")</f>
        <v/>
      </c>
      <c r="T2582" s="152">
        <f>IFERROR(ABS('01_설정'!B4-F2582),"")</f>
        <v/>
      </c>
      <c r="U2582" s="152">
        <f>IFERROR(ABS(K2582-YEAR('02_대상물건입력'!B14)),"")</f>
        <v/>
      </c>
      <c r="V2582" s="152">
        <f>IF(B2582="","",IF(AND(E2582&gt;0,F2582&gt;0,H2582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2582=1,TRUE()),R2582&lt;='01_설정'!B5,S2582&lt;='01_설정'!B6,T2582&lt;='01_설정'!B7,U2582&lt;='01_설정'!B8),"Y",""))</f>
        <v/>
      </c>
      <c r="W2582" s="172">
        <f>IF(V2582&lt;&gt;"Y","",MAX(0,(1-R2582/'01_설정'!B5))*'01_설정'!B14+MAX(0,(1-S2582/'01_설정'!B6))*'01_설정'!B15+MAX(0,(1-T2582/'01_설정'!B7))*'01_설정'!B16+MAX(0,(1-U2582/'01_설정'!B8))*'01_설정'!B17+O2582*'01_설정'!B11+Q2582*'01_설정'!B12+P2582*'01_설정'!B13+IF(Z2582="",0,Z2582))</f>
        <v/>
      </c>
      <c r="X2582" s="152">
        <f>IF(W2582="","",1+COUNTIFS($W$4:$W$3003,"&gt;"&amp;W2582)+COUNTIFS($W$4:W2582,W2582)-1)</f>
        <v/>
      </c>
      <c r="Y2582" s="175">
        <f>IF(OR(I2582="",'02_대상물건입력'!B19="",'02_대상물건입력'!B19&lt;=0),"",ABS(I2582-'02_대상물건입력'!B19)/'02_대상물건입력'!B19)</f>
        <v/>
      </c>
      <c r="Z2582" s="172">
        <f>IF(OR(Y2582="",'01_설정'!B31="",'01_설정'!B31&lt;=0,'01_설정'!B32="",'01_설정'!B32&lt;=0),"",MAX(0,(1-Y2582/'01_설정'!B32))*'01_설정'!B31)</f>
        <v/>
      </c>
    </row>
    <row r="2583" ht="17.25" customHeight="1">
      <c r="A2583" s="152">
        <f>IF(INDEX('04A_국토부원자료'!$A:$A,ROW()+1)="","",ROW()-3)</f>
        <v/>
      </c>
      <c r="B2583" s="48">
        <f>IFERROR(INDEX('04A_국토부원자료'!$A:$T,ROW()+1,MATCH("시군구",'04A_국토부원자료'!$A$4:$T$4,0)),"")</f>
        <v/>
      </c>
      <c r="C2583" s="48">
        <f>IF(B2583="","",IFERROR(INDEX('04A_국토부원자료'!$A:$T,ROW()+1,MATCH("번지",'04A_국토부원자료'!$A$4:$T$4,0)),""))</f>
        <v/>
      </c>
      <c r="D2583" s="48">
        <f>IF(B2583="","",IF(Q2583=1,'02_대상물건입력'!$B$8,IFERROR(INDEX('04A_국토부원자료'!$A:$T,ROW()+1,MATCH("단지명",'04A_국토부원자료'!$A$4:$T$4,0)),"")))</f>
        <v/>
      </c>
      <c r="E2583" s="172">
        <f>IFERROR(VALUE(SUBSTITUTE(INDEX('04A_국토부원자료'!$A:$T,ROW()+1,MATCH("전용면적(㎡)",'04A_국토부원자료'!$A$4:$T$4,0)),",","")),"")</f>
        <v/>
      </c>
      <c r="F25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83" s="51">
        <f>IFERROR(VALUE(SUBSTITUTE(INDEX('04A_국토부원자료'!$A:$T,ROW()+1,MATCH("거래금액(만원)",'04A_국토부원자료'!$A$4:$T$4,0)),",","")),"")</f>
        <v/>
      </c>
      <c r="H2583" s="174">
        <f>IF(G2583="","",G2583*10000)</f>
        <v/>
      </c>
      <c r="I2583" s="174">
        <f>IFERROR(IF(AND(H2583&gt;0,E2583&gt;0),H2583/E2583,""),"")</f>
        <v/>
      </c>
      <c r="J2583" s="152">
        <f>IFERROR(VALUE(SUBSTITUTE(INDEX('04A_국토부원자료'!$A:$T,ROW()+1,MATCH("층",'04A_국토부원자료'!$A$4:$T$4,0)),",","")),"")</f>
        <v/>
      </c>
      <c r="K2583" s="152">
        <f>IFERROR(VALUE(SUBSTITUTE(INDEX('04A_국토부원자료'!$A:$T,ROW()+1,MATCH("건축년도",'04A_국토부원자료'!$A$4:$T$4,0)),",","")),"")</f>
        <v/>
      </c>
      <c r="L2583" s="48">
        <f>IFERROR(INDEX('04A_국토부원자료'!$A:$T,ROW()+1,MATCH("도로명",'04A_국토부원자료'!$A$4:$T$4,0)),"")</f>
        <v/>
      </c>
      <c r="M2583" s="48">
        <f>IFERROR(INDEX('04A_국토부원자료'!$A:$T,ROW()+1,MATCH("거래유형",'04A_국토부원자료'!$A$4:$T$4,0)),"")</f>
        <v/>
      </c>
      <c r="N2583" s="152">
        <f>IF(B2583="","",IF('02_대상물건입력'!B5="",1,IF(ISNUMBER(SEARCH('02_대상물건입력'!B5,B2583)),1,0)))</f>
        <v/>
      </c>
      <c r="O2583" s="152">
        <f>IF(B2583="","",IF('02_대상물건입력'!B6="",1,IF(ISNUMBER(SEARCH('02_대상물건입력'!B6,B2583)),1,0)))</f>
        <v/>
      </c>
      <c r="P2583" s="152">
        <f>IF(L2583="","",IF('02_대상물건입력'!B15="",0,IF(ISNUMBER(SEARCH('02_대상물건입력'!B15,L2583)),1,0)))</f>
        <v/>
      </c>
      <c r="Q2583" s="152">
        <f>IF(OR(C2583="",L2583=""),0,IF(AND(TRIM(C2583)=TRIM(RIGHT(SUBSTITUTE(TRIM('02_대상물건입력'!$B$7)," ",REPT(" ",99)),99)),IF('02_대상물건입력'!B15="",TRUE(),ISNUMBER(SEARCH('02_대상물건입력'!B15,L2583)))),1,0))</f>
        <v/>
      </c>
      <c r="R2583" s="175">
        <f>IFERROR(ABS(E2583-'02_대상물건입력'!B11)/'02_대상물건입력'!B11,"")</f>
        <v/>
      </c>
      <c r="S2583" s="152">
        <f>IFERROR(ABS(J2583-'02_대상물건입력'!B10),"")</f>
        <v/>
      </c>
      <c r="T2583" s="152">
        <f>IFERROR(ABS('01_설정'!B4-F2583),"")</f>
        <v/>
      </c>
      <c r="U2583" s="152">
        <f>IFERROR(ABS(K2583-YEAR('02_대상물건입력'!B14)),"")</f>
        <v/>
      </c>
      <c r="V2583" s="152">
        <f>IF(B2583="","",IF(AND(E2583&gt;0,F2583&gt;0,H2583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2583=1,TRUE()),R2583&lt;='01_설정'!B5,S2583&lt;='01_설정'!B6,T2583&lt;='01_설정'!B7,U2583&lt;='01_설정'!B8),"Y",""))</f>
        <v/>
      </c>
      <c r="W2583" s="172">
        <f>IF(V2583&lt;&gt;"Y","",MAX(0,(1-R2583/'01_설정'!B5))*'01_설정'!B14+MAX(0,(1-S2583/'01_설정'!B6))*'01_설정'!B15+MAX(0,(1-T2583/'01_설정'!B7))*'01_설정'!B16+MAX(0,(1-U2583/'01_설정'!B8))*'01_설정'!B17+O2583*'01_설정'!B11+Q2583*'01_설정'!B12+P2583*'01_설정'!B13+IF(Z2583="",0,Z2583))</f>
        <v/>
      </c>
      <c r="X2583" s="152">
        <f>IF(W2583="","",1+COUNTIFS($W$4:$W$3003,"&gt;"&amp;W2583)+COUNTIFS($W$4:W2583,W2583)-1)</f>
        <v/>
      </c>
      <c r="Y2583" s="175">
        <f>IF(OR(I2583="",'02_대상물건입력'!B19="",'02_대상물건입력'!B19&lt;=0),"",ABS(I2583-'02_대상물건입력'!B19)/'02_대상물건입력'!B19)</f>
        <v/>
      </c>
      <c r="Z2583" s="172">
        <f>IF(OR(Y2583="",'01_설정'!B31="",'01_설정'!B31&lt;=0,'01_설정'!B32="",'01_설정'!B32&lt;=0),"",MAX(0,(1-Y2583/'01_설정'!B32))*'01_설정'!B31)</f>
        <v/>
      </c>
    </row>
    <row r="2584" ht="17.25" customHeight="1">
      <c r="A2584" s="152">
        <f>IF(INDEX('04A_국토부원자료'!$A:$A,ROW()+1)="","",ROW()-3)</f>
        <v/>
      </c>
      <c r="B2584" s="48">
        <f>IFERROR(INDEX('04A_국토부원자료'!$A:$T,ROW()+1,MATCH("시군구",'04A_국토부원자료'!$A$4:$T$4,0)),"")</f>
        <v/>
      </c>
      <c r="C2584" s="48">
        <f>IF(B2584="","",IFERROR(INDEX('04A_국토부원자료'!$A:$T,ROW()+1,MATCH("번지",'04A_국토부원자료'!$A$4:$T$4,0)),""))</f>
        <v/>
      </c>
      <c r="D2584" s="48">
        <f>IF(B2584="","",IF(Q2584=1,'02_대상물건입력'!$B$8,IFERROR(INDEX('04A_국토부원자료'!$A:$T,ROW()+1,MATCH("단지명",'04A_국토부원자료'!$A$4:$T$4,0)),"")))</f>
        <v/>
      </c>
      <c r="E2584" s="172">
        <f>IFERROR(VALUE(SUBSTITUTE(INDEX('04A_국토부원자료'!$A:$T,ROW()+1,MATCH("전용면적(㎡)",'04A_국토부원자료'!$A$4:$T$4,0)),",","")),"")</f>
        <v/>
      </c>
      <c r="F25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84" s="51">
        <f>IFERROR(VALUE(SUBSTITUTE(INDEX('04A_국토부원자료'!$A:$T,ROW()+1,MATCH("거래금액(만원)",'04A_국토부원자료'!$A$4:$T$4,0)),",","")),"")</f>
        <v/>
      </c>
      <c r="H2584" s="174">
        <f>IF(G2584="","",G2584*10000)</f>
        <v/>
      </c>
      <c r="I2584" s="174">
        <f>IFERROR(IF(AND(H2584&gt;0,E2584&gt;0),H2584/E2584,""),"")</f>
        <v/>
      </c>
      <c r="J2584" s="152">
        <f>IFERROR(VALUE(SUBSTITUTE(INDEX('04A_국토부원자료'!$A:$T,ROW()+1,MATCH("층",'04A_국토부원자료'!$A$4:$T$4,0)),",","")),"")</f>
        <v/>
      </c>
      <c r="K2584" s="152">
        <f>IFERROR(VALUE(SUBSTITUTE(INDEX('04A_국토부원자료'!$A:$T,ROW()+1,MATCH("건축년도",'04A_국토부원자료'!$A$4:$T$4,0)),",","")),"")</f>
        <v/>
      </c>
      <c r="L2584" s="48">
        <f>IFERROR(INDEX('04A_국토부원자료'!$A:$T,ROW()+1,MATCH("도로명",'04A_국토부원자료'!$A$4:$T$4,0)),"")</f>
        <v/>
      </c>
      <c r="M2584" s="48">
        <f>IFERROR(INDEX('04A_국토부원자료'!$A:$T,ROW()+1,MATCH("거래유형",'04A_국토부원자료'!$A$4:$T$4,0)),"")</f>
        <v/>
      </c>
      <c r="N2584" s="152">
        <f>IF(B2584="","",IF('02_대상물건입력'!B5="",1,IF(ISNUMBER(SEARCH('02_대상물건입력'!B5,B2584)),1,0)))</f>
        <v/>
      </c>
      <c r="O2584" s="152">
        <f>IF(B2584="","",IF('02_대상물건입력'!B6="",1,IF(ISNUMBER(SEARCH('02_대상물건입력'!B6,B2584)),1,0)))</f>
        <v/>
      </c>
      <c r="P2584" s="152">
        <f>IF(L2584="","",IF('02_대상물건입력'!B15="",0,IF(ISNUMBER(SEARCH('02_대상물건입력'!B15,L2584)),1,0)))</f>
        <v/>
      </c>
      <c r="Q2584" s="152">
        <f>IF(OR(C2584="",L2584=""),0,IF(AND(TRIM(C2584)=TRIM(RIGHT(SUBSTITUTE(TRIM('02_대상물건입력'!$B$7)," ",REPT(" ",99)),99)),IF('02_대상물건입력'!B15="",TRUE(),ISNUMBER(SEARCH('02_대상물건입력'!B15,L2584)))),1,0))</f>
        <v/>
      </c>
      <c r="R2584" s="175">
        <f>IFERROR(ABS(E2584-'02_대상물건입력'!B11)/'02_대상물건입력'!B11,"")</f>
        <v/>
      </c>
      <c r="S2584" s="152">
        <f>IFERROR(ABS(J2584-'02_대상물건입력'!B10),"")</f>
        <v/>
      </c>
      <c r="T2584" s="152">
        <f>IFERROR(ABS('01_설정'!B4-F2584),"")</f>
        <v/>
      </c>
      <c r="U2584" s="152">
        <f>IFERROR(ABS(K2584-YEAR('02_대상물건입력'!B14)),"")</f>
        <v/>
      </c>
      <c r="V2584" s="152">
        <f>IF(B2584="","",IF(AND(E2584&gt;0,F2584&gt;0,H2584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2584=1,TRUE()),R2584&lt;='01_설정'!B5,S2584&lt;='01_설정'!B6,T2584&lt;='01_설정'!B7,U2584&lt;='01_설정'!B8),"Y",""))</f>
        <v/>
      </c>
      <c r="W2584" s="172">
        <f>IF(V2584&lt;&gt;"Y","",MAX(0,(1-R2584/'01_설정'!B5))*'01_설정'!B14+MAX(0,(1-S2584/'01_설정'!B6))*'01_설정'!B15+MAX(0,(1-T2584/'01_설정'!B7))*'01_설정'!B16+MAX(0,(1-U2584/'01_설정'!B8))*'01_설정'!B17+O2584*'01_설정'!B11+Q2584*'01_설정'!B12+P2584*'01_설정'!B13+IF(Z2584="",0,Z2584))</f>
        <v/>
      </c>
      <c r="X2584" s="152">
        <f>IF(W2584="","",1+COUNTIFS($W$4:$W$3003,"&gt;"&amp;W2584)+COUNTIFS($W$4:W2584,W2584)-1)</f>
        <v/>
      </c>
      <c r="Y2584" s="175">
        <f>IF(OR(I2584="",'02_대상물건입력'!B19="",'02_대상물건입력'!B19&lt;=0),"",ABS(I2584-'02_대상물건입력'!B19)/'02_대상물건입력'!B19)</f>
        <v/>
      </c>
      <c r="Z2584" s="172">
        <f>IF(OR(Y2584="",'01_설정'!B31="",'01_설정'!B31&lt;=0,'01_설정'!B32="",'01_설정'!B32&lt;=0),"",MAX(0,(1-Y2584/'01_설정'!B32))*'01_설정'!B31)</f>
        <v/>
      </c>
    </row>
    <row r="2585" ht="17.25" customHeight="1">
      <c r="A2585" s="152">
        <f>IF(INDEX('04A_국토부원자료'!$A:$A,ROW()+1)="","",ROW()-3)</f>
        <v/>
      </c>
      <c r="B2585" s="48">
        <f>IFERROR(INDEX('04A_국토부원자료'!$A:$T,ROW()+1,MATCH("시군구",'04A_국토부원자료'!$A$4:$T$4,0)),"")</f>
        <v/>
      </c>
      <c r="C2585" s="48">
        <f>IF(B2585="","",IFERROR(INDEX('04A_국토부원자료'!$A:$T,ROW()+1,MATCH("번지",'04A_국토부원자료'!$A$4:$T$4,0)),""))</f>
        <v/>
      </c>
      <c r="D2585" s="48">
        <f>IF(B2585="","",IF(Q2585=1,'02_대상물건입력'!$B$8,IFERROR(INDEX('04A_국토부원자료'!$A:$T,ROW()+1,MATCH("단지명",'04A_국토부원자료'!$A$4:$T$4,0)),"")))</f>
        <v/>
      </c>
      <c r="E2585" s="172">
        <f>IFERROR(VALUE(SUBSTITUTE(INDEX('04A_국토부원자료'!$A:$T,ROW()+1,MATCH("전용면적(㎡)",'04A_국토부원자료'!$A$4:$T$4,0)),",","")),"")</f>
        <v/>
      </c>
      <c r="F25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85" s="51">
        <f>IFERROR(VALUE(SUBSTITUTE(INDEX('04A_국토부원자료'!$A:$T,ROW()+1,MATCH("거래금액(만원)",'04A_국토부원자료'!$A$4:$T$4,0)),",","")),"")</f>
        <v/>
      </c>
      <c r="H2585" s="174">
        <f>IF(G2585="","",G2585*10000)</f>
        <v/>
      </c>
      <c r="I2585" s="174">
        <f>IFERROR(IF(AND(H2585&gt;0,E2585&gt;0),H2585/E2585,""),"")</f>
        <v/>
      </c>
      <c r="J2585" s="152">
        <f>IFERROR(VALUE(SUBSTITUTE(INDEX('04A_국토부원자료'!$A:$T,ROW()+1,MATCH("층",'04A_국토부원자료'!$A$4:$T$4,0)),",","")),"")</f>
        <v/>
      </c>
      <c r="K2585" s="152">
        <f>IFERROR(VALUE(SUBSTITUTE(INDEX('04A_국토부원자료'!$A:$T,ROW()+1,MATCH("건축년도",'04A_국토부원자료'!$A$4:$T$4,0)),",","")),"")</f>
        <v/>
      </c>
      <c r="L2585" s="48">
        <f>IFERROR(INDEX('04A_국토부원자료'!$A:$T,ROW()+1,MATCH("도로명",'04A_국토부원자료'!$A$4:$T$4,0)),"")</f>
        <v/>
      </c>
      <c r="M2585" s="48">
        <f>IFERROR(INDEX('04A_국토부원자료'!$A:$T,ROW()+1,MATCH("거래유형",'04A_국토부원자료'!$A$4:$T$4,0)),"")</f>
        <v/>
      </c>
      <c r="N2585" s="152">
        <f>IF(B2585="","",IF('02_대상물건입력'!B5="",1,IF(ISNUMBER(SEARCH('02_대상물건입력'!B5,B2585)),1,0)))</f>
        <v/>
      </c>
      <c r="O2585" s="152">
        <f>IF(B2585="","",IF('02_대상물건입력'!B6="",1,IF(ISNUMBER(SEARCH('02_대상물건입력'!B6,B2585)),1,0)))</f>
        <v/>
      </c>
      <c r="P2585" s="152">
        <f>IF(L2585="","",IF('02_대상물건입력'!B15="",0,IF(ISNUMBER(SEARCH('02_대상물건입력'!B15,L2585)),1,0)))</f>
        <v/>
      </c>
      <c r="Q2585" s="152">
        <f>IF(OR(C2585="",L2585=""),0,IF(AND(TRIM(C2585)=TRIM(RIGHT(SUBSTITUTE(TRIM('02_대상물건입력'!$B$7)," ",REPT(" ",99)),99)),IF('02_대상물건입력'!B15="",TRUE(),ISNUMBER(SEARCH('02_대상물건입력'!B15,L2585)))),1,0))</f>
        <v/>
      </c>
      <c r="R2585" s="175">
        <f>IFERROR(ABS(E2585-'02_대상물건입력'!B11)/'02_대상물건입력'!B11,"")</f>
        <v/>
      </c>
      <c r="S2585" s="152">
        <f>IFERROR(ABS(J2585-'02_대상물건입력'!B10),"")</f>
        <v/>
      </c>
      <c r="T2585" s="152">
        <f>IFERROR(ABS('01_설정'!B4-F2585),"")</f>
        <v/>
      </c>
      <c r="U2585" s="152">
        <f>IFERROR(ABS(K2585-YEAR('02_대상물건입력'!B14)),"")</f>
        <v/>
      </c>
      <c r="V2585" s="152">
        <f>IF(B2585="","",IF(AND(E2585&gt;0,F2585&gt;0,H2585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2585=1,TRUE()),R2585&lt;='01_설정'!B5,S2585&lt;='01_설정'!B6,T2585&lt;='01_설정'!B7,U2585&lt;='01_설정'!B8),"Y",""))</f>
        <v/>
      </c>
      <c r="W2585" s="172">
        <f>IF(V2585&lt;&gt;"Y","",MAX(0,(1-R2585/'01_설정'!B5))*'01_설정'!B14+MAX(0,(1-S2585/'01_설정'!B6))*'01_설정'!B15+MAX(0,(1-T2585/'01_설정'!B7))*'01_설정'!B16+MAX(0,(1-U2585/'01_설정'!B8))*'01_설정'!B17+O2585*'01_설정'!B11+Q2585*'01_설정'!B12+P2585*'01_설정'!B13+IF(Z2585="",0,Z2585))</f>
        <v/>
      </c>
      <c r="X2585" s="152">
        <f>IF(W2585="","",1+COUNTIFS($W$4:$W$3003,"&gt;"&amp;W2585)+COUNTIFS($W$4:W2585,W2585)-1)</f>
        <v/>
      </c>
      <c r="Y2585" s="175">
        <f>IF(OR(I2585="",'02_대상물건입력'!B19="",'02_대상물건입력'!B19&lt;=0),"",ABS(I2585-'02_대상물건입력'!B19)/'02_대상물건입력'!B19)</f>
        <v/>
      </c>
      <c r="Z2585" s="172">
        <f>IF(OR(Y2585="",'01_설정'!B31="",'01_설정'!B31&lt;=0,'01_설정'!B32="",'01_설정'!B32&lt;=0),"",MAX(0,(1-Y2585/'01_설정'!B32))*'01_설정'!B31)</f>
        <v/>
      </c>
    </row>
    <row r="2586" ht="17.25" customHeight="1">
      <c r="A2586" s="152">
        <f>IF(INDEX('04A_국토부원자료'!$A:$A,ROW()+1)="","",ROW()-3)</f>
        <v/>
      </c>
      <c r="B2586" s="48">
        <f>IFERROR(INDEX('04A_국토부원자료'!$A:$T,ROW()+1,MATCH("시군구",'04A_국토부원자료'!$A$4:$T$4,0)),"")</f>
        <v/>
      </c>
      <c r="C2586" s="48">
        <f>IF(B2586="","",IFERROR(INDEX('04A_국토부원자료'!$A:$T,ROW()+1,MATCH("번지",'04A_국토부원자료'!$A$4:$T$4,0)),""))</f>
        <v/>
      </c>
      <c r="D2586" s="48">
        <f>IF(B2586="","",IF(Q2586=1,'02_대상물건입력'!$B$8,IFERROR(INDEX('04A_국토부원자료'!$A:$T,ROW()+1,MATCH("단지명",'04A_국토부원자료'!$A$4:$T$4,0)),"")))</f>
        <v/>
      </c>
      <c r="E2586" s="172">
        <f>IFERROR(VALUE(SUBSTITUTE(INDEX('04A_국토부원자료'!$A:$T,ROW()+1,MATCH("전용면적(㎡)",'04A_국토부원자료'!$A$4:$T$4,0)),",","")),"")</f>
        <v/>
      </c>
      <c r="F25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86" s="51">
        <f>IFERROR(VALUE(SUBSTITUTE(INDEX('04A_국토부원자료'!$A:$T,ROW()+1,MATCH("거래금액(만원)",'04A_국토부원자료'!$A$4:$T$4,0)),",","")),"")</f>
        <v/>
      </c>
      <c r="H2586" s="174">
        <f>IF(G2586="","",G2586*10000)</f>
        <v/>
      </c>
      <c r="I2586" s="174">
        <f>IFERROR(IF(AND(H2586&gt;0,E2586&gt;0),H2586/E2586,""),"")</f>
        <v/>
      </c>
      <c r="J2586" s="152">
        <f>IFERROR(VALUE(SUBSTITUTE(INDEX('04A_국토부원자료'!$A:$T,ROW()+1,MATCH("층",'04A_국토부원자료'!$A$4:$T$4,0)),",","")),"")</f>
        <v/>
      </c>
      <c r="K2586" s="152">
        <f>IFERROR(VALUE(SUBSTITUTE(INDEX('04A_국토부원자료'!$A:$T,ROW()+1,MATCH("건축년도",'04A_국토부원자료'!$A$4:$T$4,0)),",","")),"")</f>
        <v/>
      </c>
      <c r="L2586" s="48">
        <f>IFERROR(INDEX('04A_국토부원자료'!$A:$T,ROW()+1,MATCH("도로명",'04A_국토부원자료'!$A$4:$T$4,0)),"")</f>
        <v/>
      </c>
      <c r="M2586" s="48">
        <f>IFERROR(INDEX('04A_국토부원자료'!$A:$T,ROW()+1,MATCH("거래유형",'04A_국토부원자료'!$A$4:$T$4,0)),"")</f>
        <v/>
      </c>
      <c r="N2586" s="152">
        <f>IF(B2586="","",IF('02_대상물건입력'!B5="",1,IF(ISNUMBER(SEARCH('02_대상물건입력'!B5,B2586)),1,0)))</f>
        <v/>
      </c>
      <c r="O2586" s="152">
        <f>IF(B2586="","",IF('02_대상물건입력'!B6="",1,IF(ISNUMBER(SEARCH('02_대상물건입력'!B6,B2586)),1,0)))</f>
        <v/>
      </c>
      <c r="P2586" s="152">
        <f>IF(L2586="","",IF('02_대상물건입력'!B15="",0,IF(ISNUMBER(SEARCH('02_대상물건입력'!B15,L2586)),1,0)))</f>
        <v/>
      </c>
      <c r="Q2586" s="152">
        <f>IF(OR(C2586="",L2586=""),0,IF(AND(TRIM(C2586)=TRIM(RIGHT(SUBSTITUTE(TRIM('02_대상물건입력'!$B$7)," ",REPT(" ",99)),99)),IF('02_대상물건입력'!B15="",TRUE(),ISNUMBER(SEARCH('02_대상물건입력'!B15,L2586)))),1,0))</f>
        <v/>
      </c>
      <c r="R2586" s="175">
        <f>IFERROR(ABS(E2586-'02_대상물건입력'!B11)/'02_대상물건입력'!B11,"")</f>
        <v/>
      </c>
      <c r="S2586" s="152">
        <f>IFERROR(ABS(J2586-'02_대상물건입력'!B10),"")</f>
        <v/>
      </c>
      <c r="T2586" s="152">
        <f>IFERROR(ABS('01_설정'!B4-F2586),"")</f>
        <v/>
      </c>
      <c r="U2586" s="152">
        <f>IFERROR(ABS(K2586-YEAR('02_대상물건입력'!B14)),"")</f>
        <v/>
      </c>
      <c r="V2586" s="152">
        <f>IF(B2586="","",IF(AND(E2586&gt;0,F2586&gt;0,H2586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2586=1,TRUE()),R2586&lt;='01_설정'!B5,S2586&lt;='01_설정'!B6,T2586&lt;='01_설정'!B7,U2586&lt;='01_설정'!B8),"Y",""))</f>
        <v/>
      </c>
      <c r="W2586" s="172">
        <f>IF(V2586&lt;&gt;"Y","",MAX(0,(1-R2586/'01_설정'!B5))*'01_설정'!B14+MAX(0,(1-S2586/'01_설정'!B6))*'01_설정'!B15+MAX(0,(1-T2586/'01_설정'!B7))*'01_설정'!B16+MAX(0,(1-U2586/'01_설정'!B8))*'01_설정'!B17+O2586*'01_설정'!B11+Q2586*'01_설정'!B12+P2586*'01_설정'!B13+IF(Z2586="",0,Z2586))</f>
        <v/>
      </c>
      <c r="X2586" s="152">
        <f>IF(W2586="","",1+COUNTIFS($W$4:$W$3003,"&gt;"&amp;W2586)+COUNTIFS($W$4:W2586,W2586)-1)</f>
        <v/>
      </c>
      <c r="Y2586" s="175">
        <f>IF(OR(I2586="",'02_대상물건입력'!B19="",'02_대상물건입력'!B19&lt;=0),"",ABS(I2586-'02_대상물건입력'!B19)/'02_대상물건입력'!B19)</f>
        <v/>
      </c>
      <c r="Z2586" s="172">
        <f>IF(OR(Y2586="",'01_설정'!B31="",'01_설정'!B31&lt;=0,'01_설정'!B32="",'01_설정'!B32&lt;=0),"",MAX(0,(1-Y2586/'01_설정'!B32))*'01_설정'!B31)</f>
        <v/>
      </c>
    </row>
    <row r="2587" ht="17.25" customHeight="1">
      <c r="A2587" s="152">
        <f>IF(INDEX('04A_국토부원자료'!$A:$A,ROW()+1)="","",ROW()-3)</f>
        <v/>
      </c>
      <c r="B2587" s="48">
        <f>IFERROR(INDEX('04A_국토부원자료'!$A:$T,ROW()+1,MATCH("시군구",'04A_국토부원자료'!$A$4:$T$4,0)),"")</f>
        <v/>
      </c>
      <c r="C2587" s="48">
        <f>IF(B2587="","",IFERROR(INDEX('04A_국토부원자료'!$A:$T,ROW()+1,MATCH("번지",'04A_국토부원자료'!$A$4:$T$4,0)),""))</f>
        <v/>
      </c>
      <c r="D2587" s="48">
        <f>IF(B2587="","",IF(Q2587=1,'02_대상물건입력'!$B$8,IFERROR(INDEX('04A_국토부원자료'!$A:$T,ROW()+1,MATCH("단지명",'04A_국토부원자료'!$A$4:$T$4,0)),"")))</f>
        <v/>
      </c>
      <c r="E2587" s="172">
        <f>IFERROR(VALUE(SUBSTITUTE(INDEX('04A_국토부원자료'!$A:$T,ROW()+1,MATCH("전용면적(㎡)",'04A_국토부원자료'!$A$4:$T$4,0)),",","")),"")</f>
        <v/>
      </c>
      <c r="F25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87" s="51">
        <f>IFERROR(VALUE(SUBSTITUTE(INDEX('04A_국토부원자료'!$A:$T,ROW()+1,MATCH("거래금액(만원)",'04A_국토부원자료'!$A$4:$T$4,0)),",","")),"")</f>
        <v/>
      </c>
      <c r="H2587" s="174">
        <f>IF(G2587="","",G2587*10000)</f>
        <v/>
      </c>
      <c r="I2587" s="174">
        <f>IFERROR(IF(AND(H2587&gt;0,E2587&gt;0),H2587/E2587,""),"")</f>
        <v/>
      </c>
      <c r="J2587" s="152">
        <f>IFERROR(VALUE(SUBSTITUTE(INDEX('04A_국토부원자료'!$A:$T,ROW()+1,MATCH("층",'04A_국토부원자료'!$A$4:$T$4,0)),",","")),"")</f>
        <v/>
      </c>
      <c r="K2587" s="152">
        <f>IFERROR(VALUE(SUBSTITUTE(INDEX('04A_국토부원자료'!$A:$T,ROW()+1,MATCH("건축년도",'04A_국토부원자료'!$A$4:$T$4,0)),",","")),"")</f>
        <v/>
      </c>
      <c r="L2587" s="48">
        <f>IFERROR(INDEX('04A_국토부원자료'!$A:$T,ROW()+1,MATCH("도로명",'04A_국토부원자료'!$A$4:$T$4,0)),"")</f>
        <v/>
      </c>
      <c r="M2587" s="48">
        <f>IFERROR(INDEX('04A_국토부원자료'!$A:$T,ROW()+1,MATCH("거래유형",'04A_국토부원자료'!$A$4:$T$4,0)),"")</f>
        <v/>
      </c>
      <c r="N2587" s="152">
        <f>IF(B2587="","",IF('02_대상물건입력'!B5="",1,IF(ISNUMBER(SEARCH('02_대상물건입력'!B5,B2587)),1,0)))</f>
        <v/>
      </c>
      <c r="O2587" s="152">
        <f>IF(B2587="","",IF('02_대상물건입력'!B6="",1,IF(ISNUMBER(SEARCH('02_대상물건입력'!B6,B2587)),1,0)))</f>
        <v/>
      </c>
      <c r="P2587" s="152">
        <f>IF(L2587="","",IF('02_대상물건입력'!B15="",0,IF(ISNUMBER(SEARCH('02_대상물건입력'!B15,L2587)),1,0)))</f>
        <v/>
      </c>
      <c r="Q2587" s="152">
        <f>IF(OR(C2587="",L2587=""),0,IF(AND(TRIM(C2587)=TRIM(RIGHT(SUBSTITUTE(TRIM('02_대상물건입력'!$B$7)," ",REPT(" ",99)),99)),IF('02_대상물건입력'!B15="",TRUE(),ISNUMBER(SEARCH('02_대상물건입력'!B15,L2587)))),1,0))</f>
        <v/>
      </c>
      <c r="R2587" s="175">
        <f>IFERROR(ABS(E2587-'02_대상물건입력'!B11)/'02_대상물건입력'!B11,"")</f>
        <v/>
      </c>
      <c r="S2587" s="152">
        <f>IFERROR(ABS(J2587-'02_대상물건입력'!B10),"")</f>
        <v/>
      </c>
      <c r="T2587" s="152">
        <f>IFERROR(ABS('01_설정'!B4-F2587),"")</f>
        <v/>
      </c>
      <c r="U2587" s="152">
        <f>IFERROR(ABS(K2587-YEAR('02_대상물건입력'!B14)),"")</f>
        <v/>
      </c>
      <c r="V2587" s="152">
        <f>IF(B2587="","",IF(AND(E2587&gt;0,F2587&gt;0,H2587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2587=1,TRUE()),R2587&lt;='01_설정'!B5,S2587&lt;='01_설정'!B6,T2587&lt;='01_설정'!B7,U2587&lt;='01_설정'!B8),"Y",""))</f>
        <v/>
      </c>
      <c r="W2587" s="172">
        <f>IF(V2587&lt;&gt;"Y","",MAX(0,(1-R2587/'01_설정'!B5))*'01_설정'!B14+MAX(0,(1-S2587/'01_설정'!B6))*'01_설정'!B15+MAX(0,(1-T2587/'01_설정'!B7))*'01_설정'!B16+MAX(0,(1-U2587/'01_설정'!B8))*'01_설정'!B17+O2587*'01_설정'!B11+Q2587*'01_설정'!B12+P2587*'01_설정'!B13+IF(Z2587="",0,Z2587))</f>
        <v/>
      </c>
      <c r="X2587" s="152">
        <f>IF(W2587="","",1+COUNTIFS($W$4:$W$3003,"&gt;"&amp;W2587)+COUNTIFS($W$4:W2587,W2587)-1)</f>
        <v/>
      </c>
      <c r="Y2587" s="175">
        <f>IF(OR(I2587="",'02_대상물건입력'!B19="",'02_대상물건입력'!B19&lt;=0),"",ABS(I2587-'02_대상물건입력'!B19)/'02_대상물건입력'!B19)</f>
        <v/>
      </c>
      <c r="Z2587" s="172">
        <f>IF(OR(Y2587="",'01_설정'!B31="",'01_설정'!B31&lt;=0,'01_설정'!B32="",'01_설정'!B32&lt;=0),"",MAX(0,(1-Y2587/'01_설정'!B32))*'01_설정'!B31)</f>
        <v/>
      </c>
    </row>
    <row r="2588" ht="17.25" customHeight="1">
      <c r="A2588" s="152">
        <f>IF(INDEX('04A_국토부원자료'!$A:$A,ROW()+1)="","",ROW()-3)</f>
        <v/>
      </c>
      <c r="B2588" s="48">
        <f>IFERROR(INDEX('04A_국토부원자료'!$A:$T,ROW()+1,MATCH("시군구",'04A_국토부원자료'!$A$4:$T$4,0)),"")</f>
        <v/>
      </c>
      <c r="C2588" s="48">
        <f>IF(B2588="","",IFERROR(INDEX('04A_국토부원자료'!$A:$T,ROW()+1,MATCH("번지",'04A_국토부원자료'!$A$4:$T$4,0)),""))</f>
        <v/>
      </c>
      <c r="D2588" s="48">
        <f>IF(B2588="","",IF(Q2588=1,'02_대상물건입력'!$B$8,IFERROR(INDEX('04A_국토부원자료'!$A:$T,ROW()+1,MATCH("단지명",'04A_국토부원자료'!$A$4:$T$4,0)),"")))</f>
        <v/>
      </c>
      <c r="E2588" s="172">
        <f>IFERROR(VALUE(SUBSTITUTE(INDEX('04A_국토부원자료'!$A:$T,ROW()+1,MATCH("전용면적(㎡)",'04A_국토부원자료'!$A$4:$T$4,0)),",","")),"")</f>
        <v/>
      </c>
      <c r="F25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88" s="51">
        <f>IFERROR(VALUE(SUBSTITUTE(INDEX('04A_국토부원자료'!$A:$T,ROW()+1,MATCH("거래금액(만원)",'04A_국토부원자료'!$A$4:$T$4,0)),",","")),"")</f>
        <v/>
      </c>
      <c r="H2588" s="174">
        <f>IF(G2588="","",G2588*10000)</f>
        <v/>
      </c>
      <c r="I2588" s="174">
        <f>IFERROR(IF(AND(H2588&gt;0,E2588&gt;0),H2588/E2588,""),"")</f>
        <v/>
      </c>
      <c r="J2588" s="152">
        <f>IFERROR(VALUE(SUBSTITUTE(INDEX('04A_국토부원자료'!$A:$T,ROW()+1,MATCH("층",'04A_국토부원자료'!$A$4:$T$4,0)),",","")),"")</f>
        <v/>
      </c>
      <c r="K2588" s="152">
        <f>IFERROR(VALUE(SUBSTITUTE(INDEX('04A_국토부원자료'!$A:$T,ROW()+1,MATCH("건축년도",'04A_국토부원자료'!$A$4:$T$4,0)),",","")),"")</f>
        <v/>
      </c>
      <c r="L2588" s="48">
        <f>IFERROR(INDEX('04A_국토부원자료'!$A:$T,ROW()+1,MATCH("도로명",'04A_국토부원자료'!$A$4:$T$4,0)),"")</f>
        <v/>
      </c>
      <c r="M2588" s="48">
        <f>IFERROR(INDEX('04A_국토부원자료'!$A:$T,ROW()+1,MATCH("거래유형",'04A_국토부원자료'!$A$4:$T$4,0)),"")</f>
        <v/>
      </c>
      <c r="N2588" s="152">
        <f>IF(B2588="","",IF('02_대상물건입력'!B5="",1,IF(ISNUMBER(SEARCH('02_대상물건입력'!B5,B2588)),1,0)))</f>
        <v/>
      </c>
      <c r="O2588" s="152">
        <f>IF(B2588="","",IF('02_대상물건입력'!B6="",1,IF(ISNUMBER(SEARCH('02_대상물건입력'!B6,B2588)),1,0)))</f>
        <v/>
      </c>
      <c r="P2588" s="152">
        <f>IF(L2588="","",IF('02_대상물건입력'!B15="",0,IF(ISNUMBER(SEARCH('02_대상물건입력'!B15,L2588)),1,0)))</f>
        <v/>
      </c>
      <c r="Q2588" s="152">
        <f>IF(OR(C2588="",L2588=""),0,IF(AND(TRIM(C2588)=TRIM(RIGHT(SUBSTITUTE(TRIM('02_대상물건입력'!$B$7)," ",REPT(" ",99)),99)),IF('02_대상물건입력'!B15="",TRUE(),ISNUMBER(SEARCH('02_대상물건입력'!B15,L2588)))),1,0))</f>
        <v/>
      </c>
      <c r="R2588" s="175">
        <f>IFERROR(ABS(E2588-'02_대상물건입력'!B11)/'02_대상물건입력'!B11,"")</f>
        <v/>
      </c>
      <c r="S2588" s="152">
        <f>IFERROR(ABS(J2588-'02_대상물건입력'!B10),"")</f>
        <v/>
      </c>
      <c r="T2588" s="152">
        <f>IFERROR(ABS('01_설정'!B4-F2588),"")</f>
        <v/>
      </c>
      <c r="U2588" s="152">
        <f>IFERROR(ABS(K2588-YEAR('02_대상물건입력'!B14)),"")</f>
        <v/>
      </c>
      <c r="V2588" s="152">
        <f>IF(B2588="","",IF(AND(E2588&gt;0,F2588&gt;0,H2588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2588=1,TRUE()),R2588&lt;='01_설정'!B5,S2588&lt;='01_설정'!B6,T2588&lt;='01_설정'!B7,U2588&lt;='01_설정'!B8),"Y",""))</f>
        <v/>
      </c>
      <c r="W2588" s="172">
        <f>IF(V2588&lt;&gt;"Y","",MAX(0,(1-R2588/'01_설정'!B5))*'01_설정'!B14+MAX(0,(1-S2588/'01_설정'!B6))*'01_설정'!B15+MAX(0,(1-T2588/'01_설정'!B7))*'01_설정'!B16+MAX(0,(1-U2588/'01_설정'!B8))*'01_설정'!B17+O2588*'01_설정'!B11+Q2588*'01_설정'!B12+P2588*'01_설정'!B13+IF(Z2588="",0,Z2588))</f>
        <v/>
      </c>
      <c r="X2588" s="152">
        <f>IF(W2588="","",1+COUNTIFS($W$4:$W$3003,"&gt;"&amp;W2588)+COUNTIFS($W$4:W2588,W2588)-1)</f>
        <v/>
      </c>
      <c r="Y2588" s="175">
        <f>IF(OR(I2588="",'02_대상물건입력'!B19="",'02_대상물건입력'!B19&lt;=0),"",ABS(I2588-'02_대상물건입력'!B19)/'02_대상물건입력'!B19)</f>
        <v/>
      </c>
      <c r="Z2588" s="172">
        <f>IF(OR(Y2588="",'01_설정'!B31="",'01_설정'!B31&lt;=0,'01_설정'!B32="",'01_설정'!B32&lt;=0),"",MAX(0,(1-Y2588/'01_설정'!B32))*'01_설정'!B31)</f>
        <v/>
      </c>
    </row>
    <row r="2589" ht="17.25" customHeight="1">
      <c r="A2589" s="152">
        <f>IF(INDEX('04A_국토부원자료'!$A:$A,ROW()+1)="","",ROW()-3)</f>
        <v/>
      </c>
      <c r="B2589" s="48">
        <f>IFERROR(INDEX('04A_국토부원자료'!$A:$T,ROW()+1,MATCH("시군구",'04A_국토부원자료'!$A$4:$T$4,0)),"")</f>
        <v/>
      </c>
      <c r="C2589" s="48">
        <f>IF(B2589="","",IFERROR(INDEX('04A_국토부원자료'!$A:$T,ROW()+1,MATCH("번지",'04A_국토부원자료'!$A$4:$T$4,0)),""))</f>
        <v/>
      </c>
      <c r="D2589" s="48">
        <f>IF(B2589="","",IF(Q2589=1,'02_대상물건입력'!$B$8,IFERROR(INDEX('04A_국토부원자료'!$A:$T,ROW()+1,MATCH("단지명",'04A_국토부원자료'!$A$4:$T$4,0)),"")))</f>
        <v/>
      </c>
      <c r="E2589" s="172">
        <f>IFERROR(VALUE(SUBSTITUTE(INDEX('04A_국토부원자료'!$A:$T,ROW()+1,MATCH("전용면적(㎡)",'04A_국토부원자료'!$A$4:$T$4,0)),",","")),"")</f>
        <v/>
      </c>
      <c r="F25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89" s="51">
        <f>IFERROR(VALUE(SUBSTITUTE(INDEX('04A_국토부원자료'!$A:$T,ROW()+1,MATCH("거래금액(만원)",'04A_국토부원자료'!$A$4:$T$4,0)),",","")),"")</f>
        <v/>
      </c>
      <c r="H2589" s="174">
        <f>IF(G2589="","",G2589*10000)</f>
        <v/>
      </c>
      <c r="I2589" s="174">
        <f>IFERROR(IF(AND(H2589&gt;0,E2589&gt;0),H2589/E2589,""),"")</f>
        <v/>
      </c>
      <c r="J2589" s="152">
        <f>IFERROR(VALUE(SUBSTITUTE(INDEX('04A_국토부원자료'!$A:$T,ROW()+1,MATCH("층",'04A_국토부원자료'!$A$4:$T$4,0)),",","")),"")</f>
        <v/>
      </c>
      <c r="K2589" s="152">
        <f>IFERROR(VALUE(SUBSTITUTE(INDEX('04A_국토부원자료'!$A:$T,ROW()+1,MATCH("건축년도",'04A_국토부원자료'!$A$4:$T$4,0)),",","")),"")</f>
        <v/>
      </c>
      <c r="L2589" s="48">
        <f>IFERROR(INDEX('04A_국토부원자료'!$A:$T,ROW()+1,MATCH("도로명",'04A_국토부원자료'!$A$4:$T$4,0)),"")</f>
        <v/>
      </c>
      <c r="M2589" s="48">
        <f>IFERROR(INDEX('04A_국토부원자료'!$A:$T,ROW()+1,MATCH("거래유형",'04A_국토부원자료'!$A$4:$T$4,0)),"")</f>
        <v/>
      </c>
      <c r="N2589" s="152">
        <f>IF(B2589="","",IF('02_대상물건입력'!B5="",1,IF(ISNUMBER(SEARCH('02_대상물건입력'!B5,B2589)),1,0)))</f>
        <v/>
      </c>
      <c r="O2589" s="152">
        <f>IF(B2589="","",IF('02_대상물건입력'!B6="",1,IF(ISNUMBER(SEARCH('02_대상물건입력'!B6,B2589)),1,0)))</f>
        <v/>
      </c>
      <c r="P2589" s="152">
        <f>IF(L2589="","",IF('02_대상물건입력'!B15="",0,IF(ISNUMBER(SEARCH('02_대상물건입력'!B15,L2589)),1,0)))</f>
        <v/>
      </c>
      <c r="Q2589" s="152">
        <f>IF(OR(C2589="",L2589=""),0,IF(AND(TRIM(C2589)=TRIM(RIGHT(SUBSTITUTE(TRIM('02_대상물건입력'!$B$7)," ",REPT(" ",99)),99)),IF('02_대상물건입력'!B15="",TRUE(),ISNUMBER(SEARCH('02_대상물건입력'!B15,L2589)))),1,0))</f>
        <v/>
      </c>
      <c r="R2589" s="175">
        <f>IFERROR(ABS(E2589-'02_대상물건입력'!B11)/'02_대상물건입력'!B11,"")</f>
        <v/>
      </c>
      <c r="S2589" s="152">
        <f>IFERROR(ABS(J2589-'02_대상물건입력'!B10),"")</f>
        <v/>
      </c>
      <c r="T2589" s="152">
        <f>IFERROR(ABS('01_설정'!B4-F2589),"")</f>
        <v/>
      </c>
      <c r="U2589" s="152">
        <f>IFERROR(ABS(K2589-YEAR('02_대상물건입력'!B14)),"")</f>
        <v/>
      </c>
      <c r="V2589" s="152">
        <f>IF(B2589="","",IF(AND(E2589&gt;0,F2589&gt;0,H2589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2589=1,TRUE()),R2589&lt;='01_설정'!B5,S2589&lt;='01_설정'!B6,T2589&lt;='01_설정'!B7,U2589&lt;='01_설정'!B8),"Y",""))</f>
        <v/>
      </c>
      <c r="W2589" s="172">
        <f>IF(V2589&lt;&gt;"Y","",MAX(0,(1-R2589/'01_설정'!B5))*'01_설정'!B14+MAX(0,(1-S2589/'01_설정'!B6))*'01_설정'!B15+MAX(0,(1-T2589/'01_설정'!B7))*'01_설정'!B16+MAX(0,(1-U2589/'01_설정'!B8))*'01_설정'!B17+O2589*'01_설정'!B11+Q2589*'01_설정'!B12+P2589*'01_설정'!B13+IF(Z2589="",0,Z2589))</f>
        <v/>
      </c>
      <c r="X2589" s="152">
        <f>IF(W2589="","",1+COUNTIFS($W$4:$W$3003,"&gt;"&amp;W2589)+COUNTIFS($W$4:W2589,W2589)-1)</f>
        <v/>
      </c>
      <c r="Y2589" s="175">
        <f>IF(OR(I2589="",'02_대상물건입력'!B19="",'02_대상물건입력'!B19&lt;=0),"",ABS(I2589-'02_대상물건입력'!B19)/'02_대상물건입력'!B19)</f>
        <v/>
      </c>
      <c r="Z2589" s="172">
        <f>IF(OR(Y2589="",'01_설정'!B31="",'01_설정'!B31&lt;=0,'01_설정'!B32="",'01_설정'!B32&lt;=0),"",MAX(0,(1-Y2589/'01_설정'!B32))*'01_설정'!B31)</f>
        <v/>
      </c>
    </row>
    <row r="2590" ht="17.25" customHeight="1">
      <c r="A2590" s="152">
        <f>IF(INDEX('04A_국토부원자료'!$A:$A,ROW()+1)="","",ROW()-3)</f>
        <v/>
      </c>
      <c r="B2590" s="48">
        <f>IFERROR(INDEX('04A_국토부원자료'!$A:$T,ROW()+1,MATCH("시군구",'04A_국토부원자료'!$A$4:$T$4,0)),"")</f>
        <v/>
      </c>
      <c r="C2590" s="48">
        <f>IF(B2590="","",IFERROR(INDEX('04A_국토부원자료'!$A:$T,ROW()+1,MATCH("번지",'04A_국토부원자료'!$A$4:$T$4,0)),""))</f>
        <v/>
      </c>
      <c r="D2590" s="48">
        <f>IF(B2590="","",IF(Q2590=1,'02_대상물건입력'!$B$8,IFERROR(INDEX('04A_국토부원자료'!$A:$T,ROW()+1,MATCH("단지명",'04A_국토부원자료'!$A$4:$T$4,0)),"")))</f>
        <v/>
      </c>
      <c r="E2590" s="172">
        <f>IFERROR(VALUE(SUBSTITUTE(INDEX('04A_국토부원자료'!$A:$T,ROW()+1,MATCH("전용면적(㎡)",'04A_국토부원자료'!$A$4:$T$4,0)),",","")),"")</f>
        <v/>
      </c>
      <c r="F25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90" s="51">
        <f>IFERROR(VALUE(SUBSTITUTE(INDEX('04A_국토부원자료'!$A:$T,ROW()+1,MATCH("거래금액(만원)",'04A_국토부원자료'!$A$4:$T$4,0)),",","")),"")</f>
        <v/>
      </c>
      <c r="H2590" s="174">
        <f>IF(G2590="","",G2590*10000)</f>
        <v/>
      </c>
      <c r="I2590" s="174">
        <f>IFERROR(IF(AND(H2590&gt;0,E2590&gt;0),H2590/E2590,""),"")</f>
        <v/>
      </c>
      <c r="J2590" s="152">
        <f>IFERROR(VALUE(SUBSTITUTE(INDEX('04A_국토부원자료'!$A:$T,ROW()+1,MATCH("층",'04A_국토부원자료'!$A$4:$T$4,0)),",","")),"")</f>
        <v/>
      </c>
      <c r="K2590" s="152">
        <f>IFERROR(VALUE(SUBSTITUTE(INDEX('04A_국토부원자료'!$A:$T,ROW()+1,MATCH("건축년도",'04A_국토부원자료'!$A$4:$T$4,0)),",","")),"")</f>
        <v/>
      </c>
      <c r="L2590" s="48">
        <f>IFERROR(INDEX('04A_국토부원자료'!$A:$T,ROW()+1,MATCH("도로명",'04A_국토부원자료'!$A$4:$T$4,0)),"")</f>
        <v/>
      </c>
      <c r="M2590" s="48">
        <f>IFERROR(INDEX('04A_국토부원자료'!$A:$T,ROW()+1,MATCH("거래유형",'04A_국토부원자료'!$A$4:$T$4,0)),"")</f>
        <v/>
      </c>
      <c r="N2590" s="152">
        <f>IF(B2590="","",IF('02_대상물건입력'!B5="",1,IF(ISNUMBER(SEARCH('02_대상물건입력'!B5,B2590)),1,0)))</f>
        <v/>
      </c>
      <c r="O2590" s="152">
        <f>IF(B2590="","",IF('02_대상물건입력'!B6="",1,IF(ISNUMBER(SEARCH('02_대상물건입력'!B6,B2590)),1,0)))</f>
        <v/>
      </c>
      <c r="P2590" s="152">
        <f>IF(L2590="","",IF('02_대상물건입력'!B15="",0,IF(ISNUMBER(SEARCH('02_대상물건입력'!B15,L2590)),1,0)))</f>
        <v/>
      </c>
      <c r="Q2590" s="152">
        <f>IF(OR(C2590="",L2590=""),0,IF(AND(TRIM(C2590)=TRIM(RIGHT(SUBSTITUTE(TRIM('02_대상물건입력'!$B$7)," ",REPT(" ",99)),99)),IF('02_대상물건입력'!B15="",TRUE(),ISNUMBER(SEARCH('02_대상물건입력'!B15,L2590)))),1,0))</f>
        <v/>
      </c>
      <c r="R2590" s="175">
        <f>IFERROR(ABS(E2590-'02_대상물건입력'!B11)/'02_대상물건입력'!B11,"")</f>
        <v/>
      </c>
      <c r="S2590" s="152">
        <f>IFERROR(ABS(J2590-'02_대상물건입력'!B10),"")</f>
        <v/>
      </c>
      <c r="T2590" s="152">
        <f>IFERROR(ABS('01_설정'!B4-F2590),"")</f>
        <v/>
      </c>
      <c r="U2590" s="152">
        <f>IFERROR(ABS(K2590-YEAR('02_대상물건입력'!B14)),"")</f>
        <v/>
      </c>
      <c r="V2590" s="152">
        <f>IF(B2590="","",IF(AND(E2590&gt;0,F2590&gt;0,H2590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2590=1,TRUE()),R2590&lt;='01_설정'!B5,S2590&lt;='01_설정'!B6,T2590&lt;='01_설정'!B7,U2590&lt;='01_설정'!B8),"Y",""))</f>
        <v/>
      </c>
      <c r="W2590" s="172">
        <f>IF(V2590&lt;&gt;"Y","",MAX(0,(1-R2590/'01_설정'!B5))*'01_설정'!B14+MAX(0,(1-S2590/'01_설정'!B6))*'01_설정'!B15+MAX(0,(1-T2590/'01_설정'!B7))*'01_설정'!B16+MAX(0,(1-U2590/'01_설정'!B8))*'01_설정'!B17+O2590*'01_설정'!B11+Q2590*'01_설정'!B12+P2590*'01_설정'!B13+IF(Z2590="",0,Z2590))</f>
        <v/>
      </c>
      <c r="X2590" s="152">
        <f>IF(W2590="","",1+COUNTIFS($W$4:$W$3003,"&gt;"&amp;W2590)+COUNTIFS($W$4:W2590,W2590)-1)</f>
        <v/>
      </c>
      <c r="Y2590" s="175">
        <f>IF(OR(I2590="",'02_대상물건입력'!B19="",'02_대상물건입력'!B19&lt;=0),"",ABS(I2590-'02_대상물건입력'!B19)/'02_대상물건입력'!B19)</f>
        <v/>
      </c>
      <c r="Z2590" s="172">
        <f>IF(OR(Y2590="",'01_설정'!B31="",'01_설정'!B31&lt;=0,'01_설정'!B32="",'01_설정'!B32&lt;=0),"",MAX(0,(1-Y2590/'01_설정'!B32))*'01_설정'!B31)</f>
        <v/>
      </c>
    </row>
    <row r="2591" ht="17.25" customHeight="1">
      <c r="A2591" s="152">
        <f>IF(INDEX('04A_국토부원자료'!$A:$A,ROW()+1)="","",ROW()-3)</f>
        <v/>
      </c>
      <c r="B2591" s="48">
        <f>IFERROR(INDEX('04A_국토부원자료'!$A:$T,ROW()+1,MATCH("시군구",'04A_국토부원자료'!$A$4:$T$4,0)),"")</f>
        <v/>
      </c>
      <c r="C2591" s="48">
        <f>IF(B2591="","",IFERROR(INDEX('04A_국토부원자료'!$A:$T,ROW()+1,MATCH("번지",'04A_국토부원자료'!$A$4:$T$4,0)),""))</f>
        <v/>
      </c>
      <c r="D2591" s="48">
        <f>IF(B2591="","",IF(Q2591=1,'02_대상물건입력'!$B$8,IFERROR(INDEX('04A_국토부원자료'!$A:$T,ROW()+1,MATCH("단지명",'04A_국토부원자료'!$A$4:$T$4,0)),"")))</f>
        <v/>
      </c>
      <c r="E2591" s="172">
        <f>IFERROR(VALUE(SUBSTITUTE(INDEX('04A_국토부원자료'!$A:$T,ROW()+1,MATCH("전용면적(㎡)",'04A_국토부원자료'!$A$4:$T$4,0)),",","")),"")</f>
        <v/>
      </c>
      <c r="F25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91" s="51">
        <f>IFERROR(VALUE(SUBSTITUTE(INDEX('04A_국토부원자료'!$A:$T,ROW()+1,MATCH("거래금액(만원)",'04A_국토부원자료'!$A$4:$T$4,0)),",","")),"")</f>
        <v/>
      </c>
      <c r="H2591" s="174">
        <f>IF(G2591="","",G2591*10000)</f>
        <v/>
      </c>
      <c r="I2591" s="174">
        <f>IFERROR(IF(AND(H2591&gt;0,E2591&gt;0),H2591/E2591,""),"")</f>
        <v/>
      </c>
      <c r="J2591" s="152">
        <f>IFERROR(VALUE(SUBSTITUTE(INDEX('04A_국토부원자료'!$A:$T,ROW()+1,MATCH("층",'04A_국토부원자료'!$A$4:$T$4,0)),",","")),"")</f>
        <v/>
      </c>
      <c r="K2591" s="152">
        <f>IFERROR(VALUE(SUBSTITUTE(INDEX('04A_국토부원자료'!$A:$T,ROW()+1,MATCH("건축년도",'04A_국토부원자료'!$A$4:$T$4,0)),",","")),"")</f>
        <v/>
      </c>
      <c r="L2591" s="48">
        <f>IFERROR(INDEX('04A_국토부원자료'!$A:$T,ROW()+1,MATCH("도로명",'04A_국토부원자료'!$A$4:$T$4,0)),"")</f>
        <v/>
      </c>
      <c r="M2591" s="48">
        <f>IFERROR(INDEX('04A_국토부원자료'!$A:$T,ROW()+1,MATCH("거래유형",'04A_국토부원자료'!$A$4:$T$4,0)),"")</f>
        <v/>
      </c>
      <c r="N2591" s="152">
        <f>IF(B2591="","",IF('02_대상물건입력'!B5="",1,IF(ISNUMBER(SEARCH('02_대상물건입력'!B5,B2591)),1,0)))</f>
        <v/>
      </c>
      <c r="O2591" s="152">
        <f>IF(B2591="","",IF('02_대상물건입력'!B6="",1,IF(ISNUMBER(SEARCH('02_대상물건입력'!B6,B2591)),1,0)))</f>
        <v/>
      </c>
      <c r="P2591" s="152">
        <f>IF(L2591="","",IF('02_대상물건입력'!B15="",0,IF(ISNUMBER(SEARCH('02_대상물건입력'!B15,L2591)),1,0)))</f>
        <v/>
      </c>
      <c r="Q2591" s="152">
        <f>IF(OR(C2591="",L2591=""),0,IF(AND(TRIM(C2591)=TRIM(RIGHT(SUBSTITUTE(TRIM('02_대상물건입력'!$B$7)," ",REPT(" ",99)),99)),IF('02_대상물건입력'!B15="",TRUE(),ISNUMBER(SEARCH('02_대상물건입력'!B15,L2591)))),1,0))</f>
        <v/>
      </c>
      <c r="R2591" s="175">
        <f>IFERROR(ABS(E2591-'02_대상물건입력'!B11)/'02_대상물건입력'!B11,"")</f>
        <v/>
      </c>
      <c r="S2591" s="152">
        <f>IFERROR(ABS(J2591-'02_대상물건입력'!B10),"")</f>
        <v/>
      </c>
      <c r="T2591" s="152">
        <f>IFERROR(ABS('01_설정'!B4-F2591),"")</f>
        <v/>
      </c>
      <c r="U2591" s="152">
        <f>IFERROR(ABS(K2591-YEAR('02_대상물건입력'!B14)),"")</f>
        <v/>
      </c>
      <c r="V2591" s="152">
        <f>IF(B2591="","",IF(AND(E2591&gt;0,F2591&gt;0,H2591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2591=1,TRUE()),R2591&lt;='01_설정'!B5,S2591&lt;='01_설정'!B6,T2591&lt;='01_설정'!B7,U2591&lt;='01_설정'!B8),"Y",""))</f>
        <v/>
      </c>
      <c r="W2591" s="172">
        <f>IF(V2591&lt;&gt;"Y","",MAX(0,(1-R2591/'01_설정'!B5))*'01_설정'!B14+MAX(0,(1-S2591/'01_설정'!B6))*'01_설정'!B15+MAX(0,(1-T2591/'01_설정'!B7))*'01_설정'!B16+MAX(0,(1-U2591/'01_설정'!B8))*'01_설정'!B17+O2591*'01_설정'!B11+Q2591*'01_설정'!B12+P2591*'01_설정'!B13+IF(Z2591="",0,Z2591))</f>
        <v/>
      </c>
      <c r="X2591" s="152">
        <f>IF(W2591="","",1+COUNTIFS($W$4:$W$3003,"&gt;"&amp;W2591)+COUNTIFS($W$4:W2591,W2591)-1)</f>
        <v/>
      </c>
      <c r="Y2591" s="175">
        <f>IF(OR(I2591="",'02_대상물건입력'!B19="",'02_대상물건입력'!B19&lt;=0),"",ABS(I2591-'02_대상물건입력'!B19)/'02_대상물건입력'!B19)</f>
        <v/>
      </c>
      <c r="Z2591" s="172">
        <f>IF(OR(Y2591="",'01_설정'!B31="",'01_설정'!B31&lt;=0,'01_설정'!B32="",'01_설정'!B32&lt;=0),"",MAX(0,(1-Y2591/'01_설정'!B32))*'01_설정'!B31)</f>
        <v/>
      </c>
    </row>
    <row r="2592" ht="17.25" customHeight="1">
      <c r="A2592" s="152">
        <f>IF(INDEX('04A_국토부원자료'!$A:$A,ROW()+1)="","",ROW()-3)</f>
        <v/>
      </c>
      <c r="B2592" s="48">
        <f>IFERROR(INDEX('04A_국토부원자료'!$A:$T,ROW()+1,MATCH("시군구",'04A_국토부원자료'!$A$4:$T$4,0)),"")</f>
        <v/>
      </c>
      <c r="C2592" s="48">
        <f>IF(B2592="","",IFERROR(INDEX('04A_국토부원자료'!$A:$T,ROW()+1,MATCH("번지",'04A_국토부원자료'!$A$4:$T$4,0)),""))</f>
        <v/>
      </c>
      <c r="D2592" s="48">
        <f>IF(B2592="","",IF(Q2592=1,'02_대상물건입력'!$B$8,IFERROR(INDEX('04A_국토부원자료'!$A:$T,ROW()+1,MATCH("단지명",'04A_국토부원자료'!$A$4:$T$4,0)),"")))</f>
        <v/>
      </c>
      <c r="E2592" s="172">
        <f>IFERROR(VALUE(SUBSTITUTE(INDEX('04A_국토부원자료'!$A:$T,ROW()+1,MATCH("전용면적(㎡)",'04A_국토부원자료'!$A$4:$T$4,0)),",","")),"")</f>
        <v/>
      </c>
      <c r="F25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92" s="51">
        <f>IFERROR(VALUE(SUBSTITUTE(INDEX('04A_국토부원자료'!$A:$T,ROW()+1,MATCH("거래금액(만원)",'04A_국토부원자료'!$A$4:$T$4,0)),",","")),"")</f>
        <v/>
      </c>
      <c r="H2592" s="174">
        <f>IF(G2592="","",G2592*10000)</f>
        <v/>
      </c>
      <c r="I2592" s="174">
        <f>IFERROR(IF(AND(H2592&gt;0,E2592&gt;0),H2592/E2592,""),"")</f>
        <v/>
      </c>
      <c r="J2592" s="152">
        <f>IFERROR(VALUE(SUBSTITUTE(INDEX('04A_국토부원자료'!$A:$T,ROW()+1,MATCH("층",'04A_국토부원자료'!$A$4:$T$4,0)),",","")),"")</f>
        <v/>
      </c>
      <c r="K2592" s="152">
        <f>IFERROR(VALUE(SUBSTITUTE(INDEX('04A_국토부원자료'!$A:$T,ROW()+1,MATCH("건축년도",'04A_국토부원자료'!$A$4:$T$4,0)),",","")),"")</f>
        <v/>
      </c>
      <c r="L2592" s="48">
        <f>IFERROR(INDEX('04A_국토부원자료'!$A:$T,ROW()+1,MATCH("도로명",'04A_국토부원자료'!$A$4:$T$4,0)),"")</f>
        <v/>
      </c>
      <c r="M2592" s="48">
        <f>IFERROR(INDEX('04A_국토부원자료'!$A:$T,ROW()+1,MATCH("거래유형",'04A_국토부원자료'!$A$4:$T$4,0)),"")</f>
        <v/>
      </c>
      <c r="N2592" s="152">
        <f>IF(B2592="","",IF('02_대상물건입력'!B5="",1,IF(ISNUMBER(SEARCH('02_대상물건입력'!B5,B2592)),1,0)))</f>
        <v/>
      </c>
      <c r="O2592" s="152">
        <f>IF(B2592="","",IF('02_대상물건입력'!B6="",1,IF(ISNUMBER(SEARCH('02_대상물건입력'!B6,B2592)),1,0)))</f>
        <v/>
      </c>
      <c r="P2592" s="152">
        <f>IF(L2592="","",IF('02_대상물건입력'!B15="",0,IF(ISNUMBER(SEARCH('02_대상물건입력'!B15,L2592)),1,0)))</f>
        <v/>
      </c>
      <c r="Q2592" s="152">
        <f>IF(OR(C2592="",L2592=""),0,IF(AND(TRIM(C2592)=TRIM(RIGHT(SUBSTITUTE(TRIM('02_대상물건입력'!$B$7)," ",REPT(" ",99)),99)),IF('02_대상물건입력'!B15="",TRUE(),ISNUMBER(SEARCH('02_대상물건입력'!B15,L2592)))),1,0))</f>
        <v/>
      </c>
      <c r="R2592" s="175">
        <f>IFERROR(ABS(E2592-'02_대상물건입력'!B11)/'02_대상물건입력'!B11,"")</f>
        <v/>
      </c>
      <c r="S2592" s="152">
        <f>IFERROR(ABS(J2592-'02_대상물건입력'!B10),"")</f>
        <v/>
      </c>
      <c r="T2592" s="152">
        <f>IFERROR(ABS('01_설정'!B4-F2592),"")</f>
        <v/>
      </c>
      <c r="U2592" s="152">
        <f>IFERROR(ABS(K2592-YEAR('02_대상물건입력'!B14)),"")</f>
        <v/>
      </c>
      <c r="V2592" s="152">
        <f>IF(B2592="","",IF(AND(E2592&gt;0,F2592&gt;0,H2592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2592=1,TRUE()),R2592&lt;='01_설정'!B5,S2592&lt;='01_설정'!B6,T2592&lt;='01_설정'!B7,U2592&lt;='01_설정'!B8),"Y",""))</f>
        <v/>
      </c>
      <c r="W2592" s="172">
        <f>IF(V2592&lt;&gt;"Y","",MAX(0,(1-R2592/'01_설정'!B5))*'01_설정'!B14+MAX(0,(1-S2592/'01_설정'!B6))*'01_설정'!B15+MAX(0,(1-T2592/'01_설정'!B7))*'01_설정'!B16+MAX(0,(1-U2592/'01_설정'!B8))*'01_설정'!B17+O2592*'01_설정'!B11+Q2592*'01_설정'!B12+P2592*'01_설정'!B13+IF(Z2592="",0,Z2592))</f>
        <v/>
      </c>
      <c r="X2592" s="152">
        <f>IF(W2592="","",1+COUNTIFS($W$4:$W$3003,"&gt;"&amp;W2592)+COUNTIFS($W$4:W2592,W2592)-1)</f>
        <v/>
      </c>
      <c r="Y2592" s="175">
        <f>IF(OR(I2592="",'02_대상물건입력'!B19="",'02_대상물건입력'!B19&lt;=0),"",ABS(I2592-'02_대상물건입력'!B19)/'02_대상물건입력'!B19)</f>
        <v/>
      </c>
      <c r="Z2592" s="172">
        <f>IF(OR(Y2592="",'01_설정'!B31="",'01_설정'!B31&lt;=0,'01_설정'!B32="",'01_설정'!B32&lt;=0),"",MAX(0,(1-Y2592/'01_설정'!B32))*'01_설정'!B31)</f>
        <v/>
      </c>
    </row>
    <row r="2593" ht="17.25" customHeight="1">
      <c r="A2593" s="152">
        <f>IF(INDEX('04A_국토부원자료'!$A:$A,ROW()+1)="","",ROW()-3)</f>
        <v/>
      </c>
      <c r="B2593" s="48">
        <f>IFERROR(INDEX('04A_국토부원자료'!$A:$T,ROW()+1,MATCH("시군구",'04A_국토부원자료'!$A$4:$T$4,0)),"")</f>
        <v/>
      </c>
      <c r="C2593" s="48">
        <f>IF(B2593="","",IFERROR(INDEX('04A_국토부원자료'!$A:$T,ROW()+1,MATCH("번지",'04A_국토부원자료'!$A$4:$T$4,0)),""))</f>
        <v/>
      </c>
      <c r="D2593" s="48">
        <f>IF(B2593="","",IF(Q2593=1,'02_대상물건입력'!$B$8,IFERROR(INDEX('04A_국토부원자료'!$A:$T,ROW()+1,MATCH("단지명",'04A_국토부원자료'!$A$4:$T$4,0)),"")))</f>
        <v/>
      </c>
      <c r="E2593" s="172">
        <f>IFERROR(VALUE(SUBSTITUTE(INDEX('04A_국토부원자료'!$A:$T,ROW()+1,MATCH("전용면적(㎡)",'04A_국토부원자료'!$A$4:$T$4,0)),",","")),"")</f>
        <v/>
      </c>
      <c r="F25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93" s="51">
        <f>IFERROR(VALUE(SUBSTITUTE(INDEX('04A_국토부원자료'!$A:$T,ROW()+1,MATCH("거래금액(만원)",'04A_국토부원자료'!$A$4:$T$4,0)),",","")),"")</f>
        <v/>
      </c>
      <c r="H2593" s="174">
        <f>IF(G2593="","",G2593*10000)</f>
        <v/>
      </c>
      <c r="I2593" s="174">
        <f>IFERROR(IF(AND(H2593&gt;0,E2593&gt;0),H2593/E2593,""),"")</f>
        <v/>
      </c>
      <c r="J2593" s="152">
        <f>IFERROR(VALUE(SUBSTITUTE(INDEX('04A_국토부원자료'!$A:$T,ROW()+1,MATCH("층",'04A_국토부원자료'!$A$4:$T$4,0)),",","")),"")</f>
        <v/>
      </c>
      <c r="K2593" s="152">
        <f>IFERROR(VALUE(SUBSTITUTE(INDEX('04A_국토부원자료'!$A:$T,ROW()+1,MATCH("건축년도",'04A_국토부원자료'!$A$4:$T$4,0)),",","")),"")</f>
        <v/>
      </c>
      <c r="L2593" s="48">
        <f>IFERROR(INDEX('04A_국토부원자료'!$A:$T,ROW()+1,MATCH("도로명",'04A_국토부원자료'!$A$4:$T$4,0)),"")</f>
        <v/>
      </c>
      <c r="M2593" s="48">
        <f>IFERROR(INDEX('04A_국토부원자료'!$A:$T,ROW()+1,MATCH("거래유형",'04A_국토부원자료'!$A$4:$T$4,0)),"")</f>
        <v/>
      </c>
      <c r="N2593" s="152">
        <f>IF(B2593="","",IF('02_대상물건입력'!B5="",1,IF(ISNUMBER(SEARCH('02_대상물건입력'!B5,B2593)),1,0)))</f>
        <v/>
      </c>
      <c r="O2593" s="152">
        <f>IF(B2593="","",IF('02_대상물건입력'!B6="",1,IF(ISNUMBER(SEARCH('02_대상물건입력'!B6,B2593)),1,0)))</f>
        <v/>
      </c>
      <c r="P2593" s="152">
        <f>IF(L2593="","",IF('02_대상물건입력'!B15="",0,IF(ISNUMBER(SEARCH('02_대상물건입력'!B15,L2593)),1,0)))</f>
        <v/>
      </c>
      <c r="Q2593" s="152">
        <f>IF(OR(C2593="",L2593=""),0,IF(AND(TRIM(C2593)=TRIM(RIGHT(SUBSTITUTE(TRIM('02_대상물건입력'!$B$7)," ",REPT(" ",99)),99)),IF('02_대상물건입력'!B15="",TRUE(),ISNUMBER(SEARCH('02_대상물건입력'!B15,L2593)))),1,0))</f>
        <v/>
      </c>
      <c r="R2593" s="175">
        <f>IFERROR(ABS(E2593-'02_대상물건입력'!B11)/'02_대상물건입력'!B11,"")</f>
        <v/>
      </c>
      <c r="S2593" s="152">
        <f>IFERROR(ABS(J2593-'02_대상물건입력'!B10),"")</f>
        <v/>
      </c>
      <c r="T2593" s="152">
        <f>IFERROR(ABS('01_설정'!B4-F2593),"")</f>
        <v/>
      </c>
      <c r="U2593" s="152">
        <f>IFERROR(ABS(K2593-YEAR('02_대상물건입력'!B14)),"")</f>
        <v/>
      </c>
      <c r="V2593" s="152">
        <f>IF(B2593="","",IF(AND(E2593&gt;0,F2593&gt;0,H2593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2593=1,TRUE()),R2593&lt;='01_설정'!B5,S2593&lt;='01_설정'!B6,T2593&lt;='01_설정'!B7,U2593&lt;='01_설정'!B8),"Y",""))</f>
        <v/>
      </c>
      <c r="W2593" s="172">
        <f>IF(V2593&lt;&gt;"Y","",MAX(0,(1-R2593/'01_설정'!B5))*'01_설정'!B14+MAX(0,(1-S2593/'01_설정'!B6))*'01_설정'!B15+MAX(0,(1-T2593/'01_설정'!B7))*'01_설정'!B16+MAX(0,(1-U2593/'01_설정'!B8))*'01_설정'!B17+O2593*'01_설정'!B11+Q2593*'01_설정'!B12+P2593*'01_설정'!B13+IF(Z2593="",0,Z2593))</f>
        <v/>
      </c>
      <c r="X2593" s="152">
        <f>IF(W2593="","",1+COUNTIFS($W$4:$W$3003,"&gt;"&amp;W2593)+COUNTIFS($W$4:W2593,W2593)-1)</f>
        <v/>
      </c>
      <c r="Y2593" s="175">
        <f>IF(OR(I2593="",'02_대상물건입력'!B19="",'02_대상물건입력'!B19&lt;=0),"",ABS(I2593-'02_대상물건입력'!B19)/'02_대상물건입력'!B19)</f>
        <v/>
      </c>
      <c r="Z2593" s="172">
        <f>IF(OR(Y2593="",'01_설정'!B31="",'01_설정'!B31&lt;=0,'01_설정'!B32="",'01_설정'!B32&lt;=0),"",MAX(0,(1-Y2593/'01_설정'!B32))*'01_설정'!B31)</f>
        <v/>
      </c>
    </row>
    <row r="2594" ht="17.25" customHeight="1">
      <c r="A2594" s="152">
        <f>IF(INDEX('04A_국토부원자료'!$A:$A,ROW()+1)="","",ROW()-3)</f>
        <v/>
      </c>
      <c r="B2594" s="48">
        <f>IFERROR(INDEX('04A_국토부원자료'!$A:$T,ROW()+1,MATCH("시군구",'04A_국토부원자료'!$A$4:$T$4,0)),"")</f>
        <v/>
      </c>
      <c r="C2594" s="48">
        <f>IF(B2594="","",IFERROR(INDEX('04A_국토부원자료'!$A:$T,ROW()+1,MATCH("번지",'04A_국토부원자료'!$A$4:$T$4,0)),""))</f>
        <v/>
      </c>
      <c r="D2594" s="48">
        <f>IF(B2594="","",IF(Q2594=1,'02_대상물건입력'!$B$8,IFERROR(INDEX('04A_국토부원자료'!$A:$T,ROW()+1,MATCH("단지명",'04A_국토부원자료'!$A$4:$T$4,0)),"")))</f>
        <v/>
      </c>
      <c r="E2594" s="172">
        <f>IFERROR(VALUE(SUBSTITUTE(INDEX('04A_국토부원자료'!$A:$T,ROW()+1,MATCH("전용면적(㎡)",'04A_국토부원자료'!$A$4:$T$4,0)),",","")),"")</f>
        <v/>
      </c>
      <c r="F25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94" s="51">
        <f>IFERROR(VALUE(SUBSTITUTE(INDEX('04A_국토부원자료'!$A:$T,ROW()+1,MATCH("거래금액(만원)",'04A_국토부원자료'!$A$4:$T$4,0)),",","")),"")</f>
        <v/>
      </c>
      <c r="H2594" s="174">
        <f>IF(G2594="","",G2594*10000)</f>
        <v/>
      </c>
      <c r="I2594" s="174">
        <f>IFERROR(IF(AND(H2594&gt;0,E2594&gt;0),H2594/E2594,""),"")</f>
        <v/>
      </c>
      <c r="J2594" s="152">
        <f>IFERROR(VALUE(SUBSTITUTE(INDEX('04A_국토부원자료'!$A:$T,ROW()+1,MATCH("층",'04A_국토부원자료'!$A$4:$T$4,0)),",","")),"")</f>
        <v/>
      </c>
      <c r="K2594" s="152">
        <f>IFERROR(VALUE(SUBSTITUTE(INDEX('04A_국토부원자료'!$A:$T,ROW()+1,MATCH("건축년도",'04A_국토부원자료'!$A$4:$T$4,0)),",","")),"")</f>
        <v/>
      </c>
      <c r="L2594" s="48">
        <f>IFERROR(INDEX('04A_국토부원자료'!$A:$T,ROW()+1,MATCH("도로명",'04A_국토부원자료'!$A$4:$T$4,0)),"")</f>
        <v/>
      </c>
      <c r="M2594" s="48">
        <f>IFERROR(INDEX('04A_국토부원자료'!$A:$T,ROW()+1,MATCH("거래유형",'04A_국토부원자료'!$A$4:$T$4,0)),"")</f>
        <v/>
      </c>
      <c r="N2594" s="152">
        <f>IF(B2594="","",IF('02_대상물건입력'!B5="",1,IF(ISNUMBER(SEARCH('02_대상물건입력'!B5,B2594)),1,0)))</f>
        <v/>
      </c>
      <c r="O2594" s="152">
        <f>IF(B2594="","",IF('02_대상물건입력'!B6="",1,IF(ISNUMBER(SEARCH('02_대상물건입력'!B6,B2594)),1,0)))</f>
        <v/>
      </c>
      <c r="P2594" s="152">
        <f>IF(L2594="","",IF('02_대상물건입력'!B15="",0,IF(ISNUMBER(SEARCH('02_대상물건입력'!B15,L2594)),1,0)))</f>
        <v/>
      </c>
      <c r="Q2594" s="152">
        <f>IF(OR(C2594="",L2594=""),0,IF(AND(TRIM(C2594)=TRIM(RIGHT(SUBSTITUTE(TRIM('02_대상물건입력'!$B$7)," ",REPT(" ",99)),99)),IF('02_대상물건입력'!B15="",TRUE(),ISNUMBER(SEARCH('02_대상물건입력'!B15,L2594)))),1,0))</f>
        <v/>
      </c>
      <c r="R2594" s="175">
        <f>IFERROR(ABS(E2594-'02_대상물건입력'!B11)/'02_대상물건입력'!B11,"")</f>
        <v/>
      </c>
      <c r="S2594" s="152">
        <f>IFERROR(ABS(J2594-'02_대상물건입력'!B10),"")</f>
        <v/>
      </c>
      <c r="T2594" s="152">
        <f>IFERROR(ABS('01_설정'!B4-F2594),"")</f>
        <v/>
      </c>
      <c r="U2594" s="152">
        <f>IFERROR(ABS(K2594-YEAR('02_대상물건입력'!B14)),"")</f>
        <v/>
      </c>
      <c r="V2594" s="152">
        <f>IF(B2594="","",IF(AND(E2594&gt;0,F2594&gt;0,H2594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2594=1,TRUE()),R2594&lt;='01_설정'!B5,S2594&lt;='01_설정'!B6,T2594&lt;='01_설정'!B7,U2594&lt;='01_설정'!B8),"Y",""))</f>
        <v/>
      </c>
      <c r="W2594" s="172">
        <f>IF(V2594&lt;&gt;"Y","",MAX(0,(1-R2594/'01_설정'!B5))*'01_설정'!B14+MAX(0,(1-S2594/'01_설정'!B6))*'01_설정'!B15+MAX(0,(1-T2594/'01_설정'!B7))*'01_설정'!B16+MAX(0,(1-U2594/'01_설정'!B8))*'01_설정'!B17+O2594*'01_설정'!B11+Q2594*'01_설정'!B12+P2594*'01_설정'!B13+IF(Z2594="",0,Z2594))</f>
        <v/>
      </c>
      <c r="X2594" s="152">
        <f>IF(W2594="","",1+COUNTIFS($W$4:$W$3003,"&gt;"&amp;W2594)+COUNTIFS($W$4:W2594,W2594)-1)</f>
        <v/>
      </c>
      <c r="Y2594" s="175">
        <f>IF(OR(I2594="",'02_대상물건입력'!B19="",'02_대상물건입력'!B19&lt;=0),"",ABS(I2594-'02_대상물건입력'!B19)/'02_대상물건입력'!B19)</f>
        <v/>
      </c>
      <c r="Z2594" s="172">
        <f>IF(OR(Y2594="",'01_설정'!B31="",'01_설정'!B31&lt;=0,'01_설정'!B32="",'01_설정'!B32&lt;=0),"",MAX(0,(1-Y2594/'01_설정'!B32))*'01_설정'!B31)</f>
        <v/>
      </c>
    </row>
    <row r="2595" ht="17.25" customHeight="1">
      <c r="A2595" s="152">
        <f>IF(INDEX('04A_국토부원자료'!$A:$A,ROW()+1)="","",ROW()-3)</f>
        <v/>
      </c>
      <c r="B2595" s="48">
        <f>IFERROR(INDEX('04A_국토부원자료'!$A:$T,ROW()+1,MATCH("시군구",'04A_국토부원자료'!$A$4:$T$4,0)),"")</f>
        <v/>
      </c>
      <c r="C2595" s="48">
        <f>IF(B2595="","",IFERROR(INDEX('04A_국토부원자료'!$A:$T,ROW()+1,MATCH("번지",'04A_국토부원자료'!$A$4:$T$4,0)),""))</f>
        <v/>
      </c>
      <c r="D2595" s="48">
        <f>IF(B2595="","",IF(Q2595=1,'02_대상물건입력'!$B$8,IFERROR(INDEX('04A_국토부원자료'!$A:$T,ROW()+1,MATCH("단지명",'04A_국토부원자료'!$A$4:$T$4,0)),"")))</f>
        <v/>
      </c>
      <c r="E2595" s="172">
        <f>IFERROR(VALUE(SUBSTITUTE(INDEX('04A_국토부원자료'!$A:$T,ROW()+1,MATCH("전용면적(㎡)",'04A_국토부원자료'!$A$4:$T$4,0)),",","")),"")</f>
        <v/>
      </c>
      <c r="F25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95" s="51">
        <f>IFERROR(VALUE(SUBSTITUTE(INDEX('04A_국토부원자료'!$A:$T,ROW()+1,MATCH("거래금액(만원)",'04A_국토부원자료'!$A$4:$T$4,0)),",","")),"")</f>
        <v/>
      </c>
      <c r="H2595" s="174">
        <f>IF(G2595="","",G2595*10000)</f>
        <v/>
      </c>
      <c r="I2595" s="174">
        <f>IFERROR(IF(AND(H2595&gt;0,E2595&gt;0),H2595/E2595,""),"")</f>
        <v/>
      </c>
      <c r="J2595" s="152">
        <f>IFERROR(VALUE(SUBSTITUTE(INDEX('04A_국토부원자료'!$A:$T,ROW()+1,MATCH("층",'04A_국토부원자료'!$A$4:$T$4,0)),",","")),"")</f>
        <v/>
      </c>
      <c r="K2595" s="152">
        <f>IFERROR(VALUE(SUBSTITUTE(INDEX('04A_국토부원자료'!$A:$T,ROW()+1,MATCH("건축년도",'04A_국토부원자료'!$A$4:$T$4,0)),",","")),"")</f>
        <v/>
      </c>
      <c r="L2595" s="48">
        <f>IFERROR(INDEX('04A_국토부원자료'!$A:$T,ROW()+1,MATCH("도로명",'04A_국토부원자료'!$A$4:$T$4,0)),"")</f>
        <v/>
      </c>
      <c r="M2595" s="48">
        <f>IFERROR(INDEX('04A_국토부원자료'!$A:$T,ROW()+1,MATCH("거래유형",'04A_국토부원자료'!$A$4:$T$4,0)),"")</f>
        <v/>
      </c>
      <c r="N2595" s="152">
        <f>IF(B2595="","",IF('02_대상물건입력'!B5="",1,IF(ISNUMBER(SEARCH('02_대상물건입력'!B5,B2595)),1,0)))</f>
        <v/>
      </c>
      <c r="O2595" s="152">
        <f>IF(B2595="","",IF('02_대상물건입력'!B6="",1,IF(ISNUMBER(SEARCH('02_대상물건입력'!B6,B2595)),1,0)))</f>
        <v/>
      </c>
      <c r="P2595" s="152">
        <f>IF(L2595="","",IF('02_대상물건입력'!B15="",0,IF(ISNUMBER(SEARCH('02_대상물건입력'!B15,L2595)),1,0)))</f>
        <v/>
      </c>
      <c r="Q2595" s="152">
        <f>IF(OR(C2595="",L2595=""),0,IF(AND(TRIM(C2595)=TRIM(RIGHT(SUBSTITUTE(TRIM('02_대상물건입력'!$B$7)," ",REPT(" ",99)),99)),IF('02_대상물건입력'!B15="",TRUE(),ISNUMBER(SEARCH('02_대상물건입력'!B15,L2595)))),1,0))</f>
        <v/>
      </c>
      <c r="R2595" s="175">
        <f>IFERROR(ABS(E2595-'02_대상물건입력'!B11)/'02_대상물건입력'!B11,"")</f>
        <v/>
      </c>
      <c r="S2595" s="152">
        <f>IFERROR(ABS(J2595-'02_대상물건입력'!B10),"")</f>
        <v/>
      </c>
      <c r="T2595" s="152">
        <f>IFERROR(ABS('01_설정'!B4-F2595),"")</f>
        <v/>
      </c>
      <c r="U2595" s="152">
        <f>IFERROR(ABS(K2595-YEAR('02_대상물건입력'!B14)),"")</f>
        <v/>
      </c>
      <c r="V2595" s="152">
        <f>IF(B2595="","",IF(AND(E2595&gt;0,F2595&gt;0,H2595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2595=1,TRUE()),R2595&lt;='01_설정'!B5,S2595&lt;='01_설정'!B6,T2595&lt;='01_설정'!B7,U2595&lt;='01_설정'!B8),"Y",""))</f>
        <v/>
      </c>
      <c r="W2595" s="172">
        <f>IF(V2595&lt;&gt;"Y","",MAX(0,(1-R2595/'01_설정'!B5))*'01_설정'!B14+MAX(0,(1-S2595/'01_설정'!B6))*'01_설정'!B15+MAX(0,(1-T2595/'01_설정'!B7))*'01_설정'!B16+MAX(0,(1-U2595/'01_설정'!B8))*'01_설정'!B17+O2595*'01_설정'!B11+Q2595*'01_설정'!B12+P2595*'01_설정'!B13+IF(Z2595="",0,Z2595))</f>
        <v/>
      </c>
      <c r="X2595" s="152">
        <f>IF(W2595="","",1+COUNTIFS($W$4:$W$3003,"&gt;"&amp;W2595)+COUNTIFS($W$4:W2595,W2595)-1)</f>
        <v/>
      </c>
      <c r="Y2595" s="175">
        <f>IF(OR(I2595="",'02_대상물건입력'!B19="",'02_대상물건입력'!B19&lt;=0),"",ABS(I2595-'02_대상물건입력'!B19)/'02_대상물건입력'!B19)</f>
        <v/>
      </c>
      <c r="Z2595" s="172">
        <f>IF(OR(Y2595="",'01_설정'!B31="",'01_설정'!B31&lt;=0,'01_설정'!B32="",'01_설정'!B32&lt;=0),"",MAX(0,(1-Y2595/'01_설정'!B32))*'01_설정'!B31)</f>
        <v/>
      </c>
    </row>
    <row r="2596" ht="17.25" customHeight="1">
      <c r="A2596" s="152">
        <f>IF(INDEX('04A_국토부원자료'!$A:$A,ROW()+1)="","",ROW()-3)</f>
        <v/>
      </c>
      <c r="B2596" s="48">
        <f>IFERROR(INDEX('04A_국토부원자료'!$A:$T,ROW()+1,MATCH("시군구",'04A_국토부원자료'!$A$4:$T$4,0)),"")</f>
        <v/>
      </c>
      <c r="C2596" s="48">
        <f>IF(B2596="","",IFERROR(INDEX('04A_국토부원자료'!$A:$T,ROW()+1,MATCH("번지",'04A_국토부원자료'!$A$4:$T$4,0)),""))</f>
        <v/>
      </c>
      <c r="D2596" s="48">
        <f>IF(B2596="","",IF(Q2596=1,'02_대상물건입력'!$B$8,IFERROR(INDEX('04A_국토부원자료'!$A:$T,ROW()+1,MATCH("단지명",'04A_국토부원자료'!$A$4:$T$4,0)),"")))</f>
        <v/>
      </c>
      <c r="E2596" s="172">
        <f>IFERROR(VALUE(SUBSTITUTE(INDEX('04A_국토부원자료'!$A:$T,ROW()+1,MATCH("전용면적(㎡)",'04A_국토부원자료'!$A$4:$T$4,0)),",","")),"")</f>
        <v/>
      </c>
      <c r="F25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96" s="51">
        <f>IFERROR(VALUE(SUBSTITUTE(INDEX('04A_국토부원자료'!$A:$T,ROW()+1,MATCH("거래금액(만원)",'04A_국토부원자료'!$A$4:$T$4,0)),",","")),"")</f>
        <v/>
      </c>
      <c r="H2596" s="174">
        <f>IF(G2596="","",G2596*10000)</f>
        <v/>
      </c>
      <c r="I2596" s="174">
        <f>IFERROR(IF(AND(H2596&gt;0,E2596&gt;0),H2596/E2596,""),"")</f>
        <v/>
      </c>
      <c r="J2596" s="152">
        <f>IFERROR(VALUE(SUBSTITUTE(INDEX('04A_국토부원자료'!$A:$T,ROW()+1,MATCH("층",'04A_국토부원자료'!$A$4:$T$4,0)),",","")),"")</f>
        <v/>
      </c>
      <c r="K2596" s="152">
        <f>IFERROR(VALUE(SUBSTITUTE(INDEX('04A_국토부원자료'!$A:$T,ROW()+1,MATCH("건축년도",'04A_국토부원자료'!$A$4:$T$4,0)),",","")),"")</f>
        <v/>
      </c>
      <c r="L2596" s="48">
        <f>IFERROR(INDEX('04A_국토부원자료'!$A:$T,ROW()+1,MATCH("도로명",'04A_국토부원자료'!$A$4:$T$4,0)),"")</f>
        <v/>
      </c>
      <c r="M2596" s="48">
        <f>IFERROR(INDEX('04A_국토부원자료'!$A:$T,ROW()+1,MATCH("거래유형",'04A_국토부원자료'!$A$4:$T$4,0)),"")</f>
        <v/>
      </c>
      <c r="N2596" s="152">
        <f>IF(B2596="","",IF('02_대상물건입력'!B5="",1,IF(ISNUMBER(SEARCH('02_대상물건입력'!B5,B2596)),1,0)))</f>
        <v/>
      </c>
      <c r="O2596" s="152">
        <f>IF(B2596="","",IF('02_대상물건입력'!B6="",1,IF(ISNUMBER(SEARCH('02_대상물건입력'!B6,B2596)),1,0)))</f>
        <v/>
      </c>
      <c r="P2596" s="152">
        <f>IF(L2596="","",IF('02_대상물건입력'!B15="",0,IF(ISNUMBER(SEARCH('02_대상물건입력'!B15,L2596)),1,0)))</f>
        <v/>
      </c>
      <c r="Q2596" s="152">
        <f>IF(OR(C2596="",L2596=""),0,IF(AND(TRIM(C2596)=TRIM(RIGHT(SUBSTITUTE(TRIM('02_대상물건입력'!$B$7)," ",REPT(" ",99)),99)),IF('02_대상물건입력'!B15="",TRUE(),ISNUMBER(SEARCH('02_대상물건입력'!B15,L2596)))),1,0))</f>
        <v/>
      </c>
      <c r="R2596" s="175">
        <f>IFERROR(ABS(E2596-'02_대상물건입력'!B11)/'02_대상물건입력'!B11,"")</f>
        <v/>
      </c>
      <c r="S2596" s="152">
        <f>IFERROR(ABS(J2596-'02_대상물건입력'!B10),"")</f>
        <v/>
      </c>
      <c r="T2596" s="152">
        <f>IFERROR(ABS('01_설정'!B4-F2596),"")</f>
        <v/>
      </c>
      <c r="U2596" s="152">
        <f>IFERROR(ABS(K2596-YEAR('02_대상물건입력'!B14)),"")</f>
        <v/>
      </c>
      <c r="V2596" s="152">
        <f>IF(B2596="","",IF(AND(E2596&gt;0,F2596&gt;0,H2596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2596=1,TRUE()),R2596&lt;='01_설정'!B5,S2596&lt;='01_설정'!B6,T2596&lt;='01_설정'!B7,U2596&lt;='01_설정'!B8),"Y",""))</f>
        <v/>
      </c>
      <c r="W2596" s="172">
        <f>IF(V2596&lt;&gt;"Y","",MAX(0,(1-R2596/'01_설정'!B5))*'01_설정'!B14+MAX(0,(1-S2596/'01_설정'!B6))*'01_설정'!B15+MAX(0,(1-T2596/'01_설정'!B7))*'01_설정'!B16+MAX(0,(1-U2596/'01_설정'!B8))*'01_설정'!B17+O2596*'01_설정'!B11+Q2596*'01_설정'!B12+P2596*'01_설정'!B13+IF(Z2596="",0,Z2596))</f>
        <v/>
      </c>
      <c r="X2596" s="152">
        <f>IF(W2596="","",1+COUNTIFS($W$4:$W$3003,"&gt;"&amp;W2596)+COUNTIFS($W$4:W2596,W2596)-1)</f>
        <v/>
      </c>
      <c r="Y2596" s="175">
        <f>IF(OR(I2596="",'02_대상물건입력'!B19="",'02_대상물건입력'!B19&lt;=0),"",ABS(I2596-'02_대상물건입력'!B19)/'02_대상물건입력'!B19)</f>
        <v/>
      </c>
      <c r="Z2596" s="172">
        <f>IF(OR(Y2596="",'01_설정'!B31="",'01_설정'!B31&lt;=0,'01_설정'!B32="",'01_설정'!B32&lt;=0),"",MAX(0,(1-Y2596/'01_설정'!B32))*'01_설정'!B31)</f>
        <v/>
      </c>
    </row>
    <row r="2597" ht="17.25" customHeight="1">
      <c r="A2597" s="152">
        <f>IF(INDEX('04A_국토부원자료'!$A:$A,ROW()+1)="","",ROW()-3)</f>
        <v/>
      </c>
      <c r="B2597" s="48">
        <f>IFERROR(INDEX('04A_국토부원자료'!$A:$T,ROW()+1,MATCH("시군구",'04A_국토부원자료'!$A$4:$T$4,0)),"")</f>
        <v/>
      </c>
      <c r="C2597" s="48">
        <f>IF(B2597="","",IFERROR(INDEX('04A_국토부원자료'!$A:$T,ROW()+1,MATCH("번지",'04A_국토부원자료'!$A$4:$T$4,0)),""))</f>
        <v/>
      </c>
      <c r="D2597" s="48">
        <f>IF(B2597="","",IF(Q2597=1,'02_대상물건입력'!$B$8,IFERROR(INDEX('04A_국토부원자료'!$A:$T,ROW()+1,MATCH("단지명",'04A_국토부원자료'!$A$4:$T$4,0)),"")))</f>
        <v/>
      </c>
      <c r="E2597" s="172">
        <f>IFERROR(VALUE(SUBSTITUTE(INDEX('04A_국토부원자료'!$A:$T,ROW()+1,MATCH("전용면적(㎡)",'04A_국토부원자료'!$A$4:$T$4,0)),",","")),"")</f>
        <v/>
      </c>
      <c r="F25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97" s="51">
        <f>IFERROR(VALUE(SUBSTITUTE(INDEX('04A_국토부원자료'!$A:$T,ROW()+1,MATCH("거래금액(만원)",'04A_국토부원자료'!$A$4:$T$4,0)),",","")),"")</f>
        <v/>
      </c>
      <c r="H2597" s="174">
        <f>IF(G2597="","",G2597*10000)</f>
        <v/>
      </c>
      <c r="I2597" s="174">
        <f>IFERROR(IF(AND(H2597&gt;0,E2597&gt;0),H2597/E2597,""),"")</f>
        <v/>
      </c>
      <c r="J2597" s="152">
        <f>IFERROR(VALUE(SUBSTITUTE(INDEX('04A_국토부원자료'!$A:$T,ROW()+1,MATCH("층",'04A_국토부원자료'!$A$4:$T$4,0)),",","")),"")</f>
        <v/>
      </c>
      <c r="K2597" s="152">
        <f>IFERROR(VALUE(SUBSTITUTE(INDEX('04A_국토부원자료'!$A:$T,ROW()+1,MATCH("건축년도",'04A_국토부원자료'!$A$4:$T$4,0)),",","")),"")</f>
        <v/>
      </c>
      <c r="L2597" s="48">
        <f>IFERROR(INDEX('04A_국토부원자료'!$A:$T,ROW()+1,MATCH("도로명",'04A_국토부원자료'!$A$4:$T$4,0)),"")</f>
        <v/>
      </c>
      <c r="M2597" s="48">
        <f>IFERROR(INDEX('04A_국토부원자료'!$A:$T,ROW()+1,MATCH("거래유형",'04A_국토부원자료'!$A$4:$T$4,0)),"")</f>
        <v/>
      </c>
      <c r="N2597" s="152">
        <f>IF(B2597="","",IF('02_대상물건입력'!B5="",1,IF(ISNUMBER(SEARCH('02_대상물건입력'!B5,B2597)),1,0)))</f>
        <v/>
      </c>
      <c r="O2597" s="152">
        <f>IF(B2597="","",IF('02_대상물건입력'!B6="",1,IF(ISNUMBER(SEARCH('02_대상물건입력'!B6,B2597)),1,0)))</f>
        <v/>
      </c>
      <c r="P2597" s="152">
        <f>IF(L2597="","",IF('02_대상물건입력'!B15="",0,IF(ISNUMBER(SEARCH('02_대상물건입력'!B15,L2597)),1,0)))</f>
        <v/>
      </c>
      <c r="Q2597" s="152">
        <f>IF(OR(C2597="",L2597=""),0,IF(AND(TRIM(C2597)=TRIM(RIGHT(SUBSTITUTE(TRIM('02_대상물건입력'!$B$7)," ",REPT(" ",99)),99)),IF('02_대상물건입력'!B15="",TRUE(),ISNUMBER(SEARCH('02_대상물건입력'!B15,L2597)))),1,0))</f>
        <v/>
      </c>
      <c r="R2597" s="175">
        <f>IFERROR(ABS(E2597-'02_대상물건입력'!B11)/'02_대상물건입력'!B11,"")</f>
        <v/>
      </c>
      <c r="S2597" s="152">
        <f>IFERROR(ABS(J2597-'02_대상물건입력'!B10),"")</f>
        <v/>
      </c>
      <c r="T2597" s="152">
        <f>IFERROR(ABS('01_설정'!B4-F2597),"")</f>
        <v/>
      </c>
      <c r="U2597" s="152">
        <f>IFERROR(ABS(K2597-YEAR('02_대상물건입력'!B14)),"")</f>
        <v/>
      </c>
      <c r="V2597" s="152">
        <f>IF(B2597="","",IF(AND(E2597&gt;0,F2597&gt;0,H2597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2597=1,TRUE()),R2597&lt;='01_설정'!B5,S2597&lt;='01_설정'!B6,T2597&lt;='01_설정'!B7,U2597&lt;='01_설정'!B8),"Y",""))</f>
        <v/>
      </c>
      <c r="W2597" s="172">
        <f>IF(V2597&lt;&gt;"Y","",MAX(0,(1-R2597/'01_설정'!B5))*'01_설정'!B14+MAX(0,(1-S2597/'01_설정'!B6))*'01_설정'!B15+MAX(0,(1-T2597/'01_설정'!B7))*'01_설정'!B16+MAX(0,(1-U2597/'01_설정'!B8))*'01_설정'!B17+O2597*'01_설정'!B11+Q2597*'01_설정'!B12+P2597*'01_설정'!B13+IF(Z2597="",0,Z2597))</f>
        <v/>
      </c>
      <c r="X2597" s="152">
        <f>IF(W2597="","",1+COUNTIFS($W$4:$W$3003,"&gt;"&amp;W2597)+COUNTIFS($W$4:W2597,W2597)-1)</f>
        <v/>
      </c>
      <c r="Y2597" s="175">
        <f>IF(OR(I2597="",'02_대상물건입력'!B19="",'02_대상물건입력'!B19&lt;=0),"",ABS(I2597-'02_대상물건입력'!B19)/'02_대상물건입력'!B19)</f>
        <v/>
      </c>
      <c r="Z2597" s="172">
        <f>IF(OR(Y2597="",'01_설정'!B31="",'01_설정'!B31&lt;=0,'01_설정'!B32="",'01_설정'!B32&lt;=0),"",MAX(0,(1-Y2597/'01_설정'!B32))*'01_설정'!B31)</f>
        <v/>
      </c>
    </row>
    <row r="2598" ht="17.25" customHeight="1">
      <c r="A2598" s="152">
        <f>IF(INDEX('04A_국토부원자료'!$A:$A,ROW()+1)="","",ROW()-3)</f>
        <v/>
      </c>
      <c r="B2598" s="48">
        <f>IFERROR(INDEX('04A_국토부원자료'!$A:$T,ROW()+1,MATCH("시군구",'04A_국토부원자료'!$A$4:$T$4,0)),"")</f>
        <v/>
      </c>
      <c r="C2598" s="48">
        <f>IF(B2598="","",IFERROR(INDEX('04A_국토부원자료'!$A:$T,ROW()+1,MATCH("번지",'04A_국토부원자료'!$A$4:$T$4,0)),""))</f>
        <v/>
      </c>
      <c r="D2598" s="48">
        <f>IF(B2598="","",IF(Q2598=1,'02_대상물건입력'!$B$8,IFERROR(INDEX('04A_국토부원자료'!$A:$T,ROW()+1,MATCH("단지명",'04A_국토부원자료'!$A$4:$T$4,0)),"")))</f>
        <v/>
      </c>
      <c r="E2598" s="172">
        <f>IFERROR(VALUE(SUBSTITUTE(INDEX('04A_국토부원자료'!$A:$T,ROW()+1,MATCH("전용면적(㎡)",'04A_국토부원자료'!$A$4:$T$4,0)),",","")),"")</f>
        <v/>
      </c>
      <c r="F25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98" s="51">
        <f>IFERROR(VALUE(SUBSTITUTE(INDEX('04A_국토부원자료'!$A:$T,ROW()+1,MATCH("거래금액(만원)",'04A_국토부원자료'!$A$4:$T$4,0)),",","")),"")</f>
        <v/>
      </c>
      <c r="H2598" s="174">
        <f>IF(G2598="","",G2598*10000)</f>
        <v/>
      </c>
      <c r="I2598" s="174">
        <f>IFERROR(IF(AND(H2598&gt;0,E2598&gt;0),H2598/E2598,""),"")</f>
        <v/>
      </c>
      <c r="J2598" s="152">
        <f>IFERROR(VALUE(SUBSTITUTE(INDEX('04A_국토부원자료'!$A:$T,ROW()+1,MATCH("층",'04A_국토부원자료'!$A$4:$T$4,0)),",","")),"")</f>
        <v/>
      </c>
      <c r="K2598" s="152">
        <f>IFERROR(VALUE(SUBSTITUTE(INDEX('04A_국토부원자료'!$A:$T,ROW()+1,MATCH("건축년도",'04A_국토부원자료'!$A$4:$T$4,0)),",","")),"")</f>
        <v/>
      </c>
      <c r="L2598" s="48">
        <f>IFERROR(INDEX('04A_국토부원자료'!$A:$T,ROW()+1,MATCH("도로명",'04A_국토부원자료'!$A$4:$T$4,0)),"")</f>
        <v/>
      </c>
      <c r="M2598" s="48">
        <f>IFERROR(INDEX('04A_국토부원자료'!$A:$T,ROW()+1,MATCH("거래유형",'04A_국토부원자료'!$A$4:$T$4,0)),"")</f>
        <v/>
      </c>
      <c r="N2598" s="152">
        <f>IF(B2598="","",IF('02_대상물건입력'!B5="",1,IF(ISNUMBER(SEARCH('02_대상물건입력'!B5,B2598)),1,0)))</f>
        <v/>
      </c>
      <c r="O2598" s="152">
        <f>IF(B2598="","",IF('02_대상물건입력'!B6="",1,IF(ISNUMBER(SEARCH('02_대상물건입력'!B6,B2598)),1,0)))</f>
        <v/>
      </c>
      <c r="P2598" s="152">
        <f>IF(L2598="","",IF('02_대상물건입력'!B15="",0,IF(ISNUMBER(SEARCH('02_대상물건입력'!B15,L2598)),1,0)))</f>
        <v/>
      </c>
      <c r="Q2598" s="152">
        <f>IF(OR(C2598="",L2598=""),0,IF(AND(TRIM(C2598)=TRIM(RIGHT(SUBSTITUTE(TRIM('02_대상물건입력'!$B$7)," ",REPT(" ",99)),99)),IF('02_대상물건입력'!B15="",TRUE(),ISNUMBER(SEARCH('02_대상물건입력'!B15,L2598)))),1,0))</f>
        <v/>
      </c>
      <c r="R2598" s="175">
        <f>IFERROR(ABS(E2598-'02_대상물건입력'!B11)/'02_대상물건입력'!B11,"")</f>
        <v/>
      </c>
      <c r="S2598" s="152">
        <f>IFERROR(ABS(J2598-'02_대상물건입력'!B10),"")</f>
        <v/>
      </c>
      <c r="T2598" s="152">
        <f>IFERROR(ABS('01_설정'!B4-F2598),"")</f>
        <v/>
      </c>
      <c r="U2598" s="152">
        <f>IFERROR(ABS(K2598-YEAR('02_대상물건입력'!B14)),"")</f>
        <v/>
      </c>
      <c r="V2598" s="152">
        <f>IF(B2598="","",IF(AND(E2598&gt;0,F2598&gt;0,H2598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2598=1,TRUE()),R2598&lt;='01_설정'!B5,S2598&lt;='01_설정'!B6,T2598&lt;='01_설정'!B7,U2598&lt;='01_설정'!B8),"Y",""))</f>
        <v/>
      </c>
      <c r="W2598" s="172">
        <f>IF(V2598&lt;&gt;"Y","",MAX(0,(1-R2598/'01_설정'!B5))*'01_설정'!B14+MAX(0,(1-S2598/'01_설정'!B6))*'01_설정'!B15+MAX(0,(1-T2598/'01_설정'!B7))*'01_설정'!B16+MAX(0,(1-U2598/'01_설정'!B8))*'01_설정'!B17+O2598*'01_설정'!B11+Q2598*'01_설정'!B12+P2598*'01_설정'!B13+IF(Z2598="",0,Z2598))</f>
        <v/>
      </c>
      <c r="X2598" s="152">
        <f>IF(W2598="","",1+COUNTIFS($W$4:$W$3003,"&gt;"&amp;W2598)+COUNTIFS($W$4:W2598,W2598)-1)</f>
        <v/>
      </c>
      <c r="Y2598" s="175">
        <f>IF(OR(I2598="",'02_대상물건입력'!B19="",'02_대상물건입력'!B19&lt;=0),"",ABS(I2598-'02_대상물건입력'!B19)/'02_대상물건입력'!B19)</f>
        <v/>
      </c>
      <c r="Z2598" s="172">
        <f>IF(OR(Y2598="",'01_설정'!B31="",'01_설정'!B31&lt;=0,'01_설정'!B32="",'01_설정'!B32&lt;=0),"",MAX(0,(1-Y2598/'01_설정'!B32))*'01_설정'!B31)</f>
        <v/>
      </c>
    </row>
    <row r="2599" ht="17.25" customHeight="1">
      <c r="A2599" s="152">
        <f>IF(INDEX('04A_국토부원자료'!$A:$A,ROW()+1)="","",ROW()-3)</f>
        <v/>
      </c>
      <c r="B2599" s="48">
        <f>IFERROR(INDEX('04A_국토부원자료'!$A:$T,ROW()+1,MATCH("시군구",'04A_국토부원자료'!$A$4:$T$4,0)),"")</f>
        <v/>
      </c>
      <c r="C2599" s="48">
        <f>IF(B2599="","",IFERROR(INDEX('04A_국토부원자료'!$A:$T,ROW()+1,MATCH("번지",'04A_국토부원자료'!$A$4:$T$4,0)),""))</f>
        <v/>
      </c>
      <c r="D2599" s="48">
        <f>IF(B2599="","",IF(Q2599=1,'02_대상물건입력'!$B$8,IFERROR(INDEX('04A_국토부원자료'!$A:$T,ROW()+1,MATCH("단지명",'04A_국토부원자료'!$A$4:$T$4,0)),"")))</f>
        <v/>
      </c>
      <c r="E2599" s="172">
        <f>IFERROR(VALUE(SUBSTITUTE(INDEX('04A_국토부원자료'!$A:$T,ROW()+1,MATCH("전용면적(㎡)",'04A_국토부원자료'!$A$4:$T$4,0)),",","")),"")</f>
        <v/>
      </c>
      <c r="F25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599" s="51">
        <f>IFERROR(VALUE(SUBSTITUTE(INDEX('04A_국토부원자료'!$A:$T,ROW()+1,MATCH("거래금액(만원)",'04A_국토부원자료'!$A$4:$T$4,0)),",","")),"")</f>
        <v/>
      </c>
      <c r="H2599" s="174">
        <f>IF(G2599="","",G2599*10000)</f>
        <v/>
      </c>
      <c r="I2599" s="174">
        <f>IFERROR(IF(AND(H2599&gt;0,E2599&gt;0),H2599/E2599,""),"")</f>
        <v/>
      </c>
      <c r="J2599" s="152">
        <f>IFERROR(VALUE(SUBSTITUTE(INDEX('04A_국토부원자료'!$A:$T,ROW()+1,MATCH("층",'04A_국토부원자료'!$A$4:$T$4,0)),",","")),"")</f>
        <v/>
      </c>
      <c r="K2599" s="152">
        <f>IFERROR(VALUE(SUBSTITUTE(INDEX('04A_국토부원자료'!$A:$T,ROW()+1,MATCH("건축년도",'04A_국토부원자료'!$A$4:$T$4,0)),",","")),"")</f>
        <v/>
      </c>
      <c r="L2599" s="48">
        <f>IFERROR(INDEX('04A_국토부원자료'!$A:$T,ROW()+1,MATCH("도로명",'04A_국토부원자료'!$A$4:$T$4,0)),"")</f>
        <v/>
      </c>
      <c r="M2599" s="48">
        <f>IFERROR(INDEX('04A_국토부원자료'!$A:$T,ROW()+1,MATCH("거래유형",'04A_국토부원자료'!$A$4:$T$4,0)),"")</f>
        <v/>
      </c>
      <c r="N2599" s="152">
        <f>IF(B2599="","",IF('02_대상물건입력'!B5="",1,IF(ISNUMBER(SEARCH('02_대상물건입력'!B5,B2599)),1,0)))</f>
        <v/>
      </c>
      <c r="O2599" s="152">
        <f>IF(B2599="","",IF('02_대상물건입력'!B6="",1,IF(ISNUMBER(SEARCH('02_대상물건입력'!B6,B2599)),1,0)))</f>
        <v/>
      </c>
      <c r="P2599" s="152">
        <f>IF(L2599="","",IF('02_대상물건입력'!B15="",0,IF(ISNUMBER(SEARCH('02_대상물건입력'!B15,L2599)),1,0)))</f>
        <v/>
      </c>
      <c r="Q2599" s="152">
        <f>IF(OR(C2599="",L2599=""),0,IF(AND(TRIM(C2599)=TRIM(RIGHT(SUBSTITUTE(TRIM('02_대상물건입력'!$B$7)," ",REPT(" ",99)),99)),IF('02_대상물건입력'!B15="",TRUE(),ISNUMBER(SEARCH('02_대상물건입력'!B15,L2599)))),1,0))</f>
        <v/>
      </c>
      <c r="R2599" s="175">
        <f>IFERROR(ABS(E2599-'02_대상물건입력'!B11)/'02_대상물건입력'!B11,"")</f>
        <v/>
      </c>
      <c r="S2599" s="152">
        <f>IFERROR(ABS(J2599-'02_대상물건입력'!B10),"")</f>
        <v/>
      </c>
      <c r="T2599" s="152">
        <f>IFERROR(ABS('01_설정'!B4-F2599),"")</f>
        <v/>
      </c>
      <c r="U2599" s="152">
        <f>IFERROR(ABS(K2599-YEAR('02_대상물건입력'!B14)),"")</f>
        <v/>
      </c>
      <c r="V2599" s="152">
        <f>IF(B2599="","",IF(AND(E2599&gt;0,F2599&gt;0,H2599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2599=1,TRUE()),R2599&lt;='01_설정'!B5,S2599&lt;='01_설정'!B6,T2599&lt;='01_설정'!B7,U2599&lt;='01_설정'!B8),"Y",""))</f>
        <v/>
      </c>
      <c r="W2599" s="172">
        <f>IF(V2599&lt;&gt;"Y","",MAX(0,(1-R2599/'01_설정'!B5))*'01_설정'!B14+MAX(0,(1-S2599/'01_설정'!B6))*'01_설정'!B15+MAX(0,(1-T2599/'01_설정'!B7))*'01_설정'!B16+MAX(0,(1-U2599/'01_설정'!B8))*'01_설정'!B17+O2599*'01_설정'!B11+Q2599*'01_설정'!B12+P2599*'01_설정'!B13+IF(Z2599="",0,Z2599))</f>
        <v/>
      </c>
      <c r="X2599" s="152">
        <f>IF(W2599="","",1+COUNTIFS($W$4:$W$3003,"&gt;"&amp;W2599)+COUNTIFS($W$4:W2599,W2599)-1)</f>
        <v/>
      </c>
      <c r="Y2599" s="175">
        <f>IF(OR(I2599="",'02_대상물건입력'!B19="",'02_대상물건입력'!B19&lt;=0),"",ABS(I2599-'02_대상물건입력'!B19)/'02_대상물건입력'!B19)</f>
        <v/>
      </c>
      <c r="Z2599" s="172">
        <f>IF(OR(Y2599="",'01_설정'!B31="",'01_설정'!B31&lt;=0,'01_설정'!B32="",'01_설정'!B32&lt;=0),"",MAX(0,(1-Y2599/'01_설정'!B32))*'01_설정'!B31)</f>
        <v/>
      </c>
    </row>
    <row r="2600" ht="17.25" customHeight="1">
      <c r="A2600" s="152">
        <f>IF(INDEX('04A_국토부원자료'!$A:$A,ROW()+1)="","",ROW()-3)</f>
        <v/>
      </c>
      <c r="B2600" s="48">
        <f>IFERROR(INDEX('04A_국토부원자료'!$A:$T,ROW()+1,MATCH("시군구",'04A_국토부원자료'!$A$4:$T$4,0)),"")</f>
        <v/>
      </c>
      <c r="C2600" s="48">
        <f>IF(B2600="","",IFERROR(INDEX('04A_국토부원자료'!$A:$T,ROW()+1,MATCH("번지",'04A_국토부원자료'!$A$4:$T$4,0)),""))</f>
        <v/>
      </c>
      <c r="D2600" s="48">
        <f>IF(B2600="","",IF(Q2600=1,'02_대상물건입력'!$B$8,IFERROR(INDEX('04A_국토부원자료'!$A:$T,ROW()+1,MATCH("단지명",'04A_국토부원자료'!$A$4:$T$4,0)),"")))</f>
        <v/>
      </c>
      <c r="E2600" s="172">
        <f>IFERROR(VALUE(SUBSTITUTE(INDEX('04A_국토부원자료'!$A:$T,ROW()+1,MATCH("전용면적(㎡)",'04A_국토부원자료'!$A$4:$T$4,0)),",","")),"")</f>
        <v/>
      </c>
      <c r="F26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00" s="51">
        <f>IFERROR(VALUE(SUBSTITUTE(INDEX('04A_국토부원자료'!$A:$T,ROW()+1,MATCH("거래금액(만원)",'04A_국토부원자료'!$A$4:$T$4,0)),",","")),"")</f>
        <v/>
      </c>
      <c r="H2600" s="174">
        <f>IF(G2600="","",G2600*10000)</f>
        <v/>
      </c>
      <c r="I2600" s="174">
        <f>IFERROR(IF(AND(H2600&gt;0,E2600&gt;0),H2600/E2600,""),"")</f>
        <v/>
      </c>
      <c r="J2600" s="152">
        <f>IFERROR(VALUE(SUBSTITUTE(INDEX('04A_국토부원자료'!$A:$T,ROW()+1,MATCH("층",'04A_국토부원자료'!$A$4:$T$4,0)),",","")),"")</f>
        <v/>
      </c>
      <c r="K2600" s="152">
        <f>IFERROR(VALUE(SUBSTITUTE(INDEX('04A_국토부원자료'!$A:$T,ROW()+1,MATCH("건축년도",'04A_국토부원자료'!$A$4:$T$4,0)),",","")),"")</f>
        <v/>
      </c>
      <c r="L2600" s="48">
        <f>IFERROR(INDEX('04A_국토부원자료'!$A:$T,ROW()+1,MATCH("도로명",'04A_국토부원자료'!$A$4:$T$4,0)),"")</f>
        <v/>
      </c>
      <c r="M2600" s="48">
        <f>IFERROR(INDEX('04A_국토부원자료'!$A:$T,ROW()+1,MATCH("거래유형",'04A_국토부원자료'!$A$4:$T$4,0)),"")</f>
        <v/>
      </c>
      <c r="N2600" s="152">
        <f>IF(B2600="","",IF('02_대상물건입력'!B5="",1,IF(ISNUMBER(SEARCH('02_대상물건입력'!B5,B2600)),1,0)))</f>
        <v/>
      </c>
      <c r="O2600" s="152">
        <f>IF(B2600="","",IF('02_대상물건입력'!B6="",1,IF(ISNUMBER(SEARCH('02_대상물건입력'!B6,B2600)),1,0)))</f>
        <v/>
      </c>
      <c r="P2600" s="152">
        <f>IF(L2600="","",IF('02_대상물건입력'!B15="",0,IF(ISNUMBER(SEARCH('02_대상물건입력'!B15,L2600)),1,0)))</f>
        <v/>
      </c>
      <c r="Q2600" s="152">
        <f>IF(OR(C2600="",L2600=""),0,IF(AND(TRIM(C2600)=TRIM(RIGHT(SUBSTITUTE(TRIM('02_대상물건입력'!$B$7)," ",REPT(" ",99)),99)),IF('02_대상물건입력'!B15="",TRUE(),ISNUMBER(SEARCH('02_대상물건입력'!B15,L2600)))),1,0))</f>
        <v/>
      </c>
      <c r="R2600" s="175">
        <f>IFERROR(ABS(E2600-'02_대상물건입력'!B11)/'02_대상물건입력'!B11,"")</f>
        <v/>
      </c>
      <c r="S2600" s="152">
        <f>IFERROR(ABS(J2600-'02_대상물건입력'!B10),"")</f>
        <v/>
      </c>
      <c r="T2600" s="152">
        <f>IFERROR(ABS('01_설정'!B4-F2600),"")</f>
        <v/>
      </c>
      <c r="U2600" s="152">
        <f>IFERROR(ABS(K2600-YEAR('02_대상물건입력'!B14)),"")</f>
        <v/>
      </c>
      <c r="V2600" s="152">
        <f>IF(B2600="","",IF(AND(E2600&gt;0,F2600&gt;0,H2600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2600=1,TRUE()),R2600&lt;='01_설정'!B5,S2600&lt;='01_설정'!B6,T2600&lt;='01_설정'!B7,U2600&lt;='01_설정'!B8),"Y",""))</f>
        <v/>
      </c>
      <c r="W2600" s="172">
        <f>IF(V2600&lt;&gt;"Y","",MAX(0,(1-R2600/'01_설정'!B5))*'01_설정'!B14+MAX(0,(1-S2600/'01_설정'!B6))*'01_설정'!B15+MAX(0,(1-T2600/'01_설정'!B7))*'01_설정'!B16+MAX(0,(1-U2600/'01_설정'!B8))*'01_설정'!B17+O2600*'01_설정'!B11+Q2600*'01_설정'!B12+P2600*'01_설정'!B13+IF(Z2600="",0,Z2600))</f>
        <v/>
      </c>
      <c r="X2600" s="152">
        <f>IF(W2600="","",1+COUNTIFS($W$4:$W$3003,"&gt;"&amp;W2600)+COUNTIFS($W$4:W2600,W2600)-1)</f>
        <v/>
      </c>
      <c r="Y2600" s="175">
        <f>IF(OR(I2600="",'02_대상물건입력'!B19="",'02_대상물건입력'!B19&lt;=0),"",ABS(I2600-'02_대상물건입력'!B19)/'02_대상물건입력'!B19)</f>
        <v/>
      </c>
      <c r="Z2600" s="172">
        <f>IF(OR(Y2600="",'01_설정'!B31="",'01_설정'!B31&lt;=0,'01_설정'!B32="",'01_설정'!B32&lt;=0),"",MAX(0,(1-Y2600/'01_설정'!B32))*'01_설정'!B31)</f>
        <v/>
      </c>
    </row>
    <row r="2601" ht="17.25" customHeight="1">
      <c r="A2601" s="152">
        <f>IF(INDEX('04A_국토부원자료'!$A:$A,ROW()+1)="","",ROW()-3)</f>
        <v/>
      </c>
      <c r="B2601" s="48">
        <f>IFERROR(INDEX('04A_국토부원자료'!$A:$T,ROW()+1,MATCH("시군구",'04A_국토부원자료'!$A$4:$T$4,0)),"")</f>
        <v/>
      </c>
      <c r="C2601" s="48">
        <f>IF(B2601="","",IFERROR(INDEX('04A_국토부원자료'!$A:$T,ROW()+1,MATCH("번지",'04A_국토부원자료'!$A$4:$T$4,0)),""))</f>
        <v/>
      </c>
      <c r="D2601" s="48">
        <f>IF(B2601="","",IF(Q2601=1,'02_대상물건입력'!$B$8,IFERROR(INDEX('04A_국토부원자료'!$A:$T,ROW()+1,MATCH("단지명",'04A_국토부원자료'!$A$4:$T$4,0)),"")))</f>
        <v/>
      </c>
      <c r="E2601" s="172">
        <f>IFERROR(VALUE(SUBSTITUTE(INDEX('04A_국토부원자료'!$A:$T,ROW()+1,MATCH("전용면적(㎡)",'04A_국토부원자료'!$A$4:$T$4,0)),",","")),"")</f>
        <v/>
      </c>
      <c r="F26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01" s="51">
        <f>IFERROR(VALUE(SUBSTITUTE(INDEX('04A_국토부원자료'!$A:$T,ROW()+1,MATCH("거래금액(만원)",'04A_국토부원자료'!$A$4:$T$4,0)),",","")),"")</f>
        <v/>
      </c>
      <c r="H2601" s="174">
        <f>IF(G2601="","",G2601*10000)</f>
        <v/>
      </c>
      <c r="I2601" s="174">
        <f>IFERROR(IF(AND(H2601&gt;0,E2601&gt;0),H2601/E2601,""),"")</f>
        <v/>
      </c>
      <c r="J2601" s="152">
        <f>IFERROR(VALUE(SUBSTITUTE(INDEX('04A_국토부원자료'!$A:$T,ROW()+1,MATCH("층",'04A_국토부원자료'!$A$4:$T$4,0)),",","")),"")</f>
        <v/>
      </c>
      <c r="K2601" s="152">
        <f>IFERROR(VALUE(SUBSTITUTE(INDEX('04A_국토부원자료'!$A:$T,ROW()+1,MATCH("건축년도",'04A_국토부원자료'!$A$4:$T$4,0)),",","")),"")</f>
        <v/>
      </c>
      <c r="L2601" s="48">
        <f>IFERROR(INDEX('04A_국토부원자료'!$A:$T,ROW()+1,MATCH("도로명",'04A_국토부원자료'!$A$4:$T$4,0)),"")</f>
        <v/>
      </c>
      <c r="M2601" s="48">
        <f>IFERROR(INDEX('04A_국토부원자료'!$A:$T,ROW()+1,MATCH("거래유형",'04A_국토부원자료'!$A$4:$T$4,0)),"")</f>
        <v/>
      </c>
      <c r="N2601" s="152">
        <f>IF(B2601="","",IF('02_대상물건입력'!B5="",1,IF(ISNUMBER(SEARCH('02_대상물건입력'!B5,B2601)),1,0)))</f>
        <v/>
      </c>
      <c r="O2601" s="152">
        <f>IF(B2601="","",IF('02_대상물건입력'!B6="",1,IF(ISNUMBER(SEARCH('02_대상물건입력'!B6,B2601)),1,0)))</f>
        <v/>
      </c>
      <c r="P2601" s="152">
        <f>IF(L2601="","",IF('02_대상물건입력'!B15="",0,IF(ISNUMBER(SEARCH('02_대상물건입력'!B15,L2601)),1,0)))</f>
        <v/>
      </c>
      <c r="Q2601" s="152">
        <f>IF(OR(C2601="",L2601=""),0,IF(AND(TRIM(C2601)=TRIM(RIGHT(SUBSTITUTE(TRIM('02_대상물건입력'!$B$7)," ",REPT(" ",99)),99)),IF('02_대상물건입력'!B15="",TRUE(),ISNUMBER(SEARCH('02_대상물건입력'!B15,L2601)))),1,0))</f>
        <v/>
      </c>
      <c r="R2601" s="175">
        <f>IFERROR(ABS(E2601-'02_대상물건입력'!B11)/'02_대상물건입력'!B11,"")</f>
        <v/>
      </c>
      <c r="S2601" s="152">
        <f>IFERROR(ABS(J2601-'02_대상물건입력'!B10),"")</f>
        <v/>
      </c>
      <c r="T2601" s="152">
        <f>IFERROR(ABS('01_설정'!B4-F2601),"")</f>
        <v/>
      </c>
      <c r="U2601" s="152">
        <f>IFERROR(ABS(K2601-YEAR('02_대상물건입력'!B14)),"")</f>
        <v/>
      </c>
      <c r="V2601" s="152">
        <f>IF(B2601="","",IF(AND(E2601&gt;0,F2601&gt;0,H2601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2601=1,TRUE()),R2601&lt;='01_설정'!B5,S2601&lt;='01_설정'!B6,T2601&lt;='01_설정'!B7,U2601&lt;='01_설정'!B8),"Y",""))</f>
        <v/>
      </c>
      <c r="W2601" s="172">
        <f>IF(V2601&lt;&gt;"Y","",MAX(0,(1-R2601/'01_설정'!B5))*'01_설정'!B14+MAX(0,(1-S2601/'01_설정'!B6))*'01_설정'!B15+MAX(0,(1-T2601/'01_설정'!B7))*'01_설정'!B16+MAX(0,(1-U2601/'01_설정'!B8))*'01_설정'!B17+O2601*'01_설정'!B11+Q2601*'01_설정'!B12+P2601*'01_설정'!B13+IF(Z2601="",0,Z2601))</f>
        <v/>
      </c>
      <c r="X2601" s="152">
        <f>IF(W2601="","",1+COUNTIFS($W$4:$W$3003,"&gt;"&amp;W2601)+COUNTIFS($W$4:W2601,W2601)-1)</f>
        <v/>
      </c>
      <c r="Y2601" s="175">
        <f>IF(OR(I2601="",'02_대상물건입력'!B19="",'02_대상물건입력'!B19&lt;=0),"",ABS(I2601-'02_대상물건입력'!B19)/'02_대상물건입력'!B19)</f>
        <v/>
      </c>
      <c r="Z2601" s="172">
        <f>IF(OR(Y2601="",'01_설정'!B31="",'01_설정'!B31&lt;=0,'01_설정'!B32="",'01_설정'!B32&lt;=0),"",MAX(0,(1-Y2601/'01_설정'!B32))*'01_설정'!B31)</f>
        <v/>
      </c>
    </row>
    <row r="2602" ht="17.25" customHeight="1">
      <c r="A2602" s="152">
        <f>IF(INDEX('04A_국토부원자료'!$A:$A,ROW()+1)="","",ROW()-3)</f>
        <v/>
      </c>
      <c r="B2602" s="48">
        <f>IFERROR(INDEX('04A_국토부원자료'!$A:$T,ROW()+1,MATCH("시군구",'04A_국토부원자료'!$A$4:$T$4,0)),"")</f>
        <v/>
      </c>
      <c r="C2602" s="48">
        <f>IF(B2602="","",IFERROR(INDEX('04A_국토부원자료'!$A:$T,ROW()+1,MATCH("번지",'04A_국토부원자료'!$A$4:$T$4,0)),""))</f>
        <v/>
      </c>
      <c r="D2602" s="48">
        <f>IF(B2602="","",IF(Q2602=1,'02_대상물건입력'!$B$8,IFERROR(INDEX('04A_국토부원자료'!$A:$T,ROW()+1,MATCH("단지명",'04A_국토부원자료'!$A$4:$T$4,0)),"")))</f>
        <v/>
      </c>
      <c r="E2602" s="172">
        <f>IFERROR(VALUE(SUBSTITUTE(INDEX('04A_국토부원자료'!$A:$T,ROW()+1,MATCH("전용면적(㎡)",'04A_국토부원자료'!$A$4:$T$4,0)),",","")),"")</f>
        <v/>
      </c>
      <c r="F26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02" s="51">
        <f>IFERROR(VALUE(SUBSTITUTE(INDEX('04A_국토부원자료'!$A:$T,ROW()+1,MATCH("거래금액(만원)",'04A_국토부원자료'!$A$4:$T$4,0)),",","")),"")</f>
        <v/>
      </c>
      <c r="H2602" s="174">
        <f>IF(G2602="","",G2602*10000)</f>
        <v/>
      </c>
      <c r="I2602" s="174">
        <f>IFERROR(IF(AND(H2602&gt;0,E2602&gt;0),H2602/E2602,""),"")</f>
        <v/>
      </c>
      <c r="J2602" s="152">
        <f>IFERROR(VALUE(SUBSTITUTE(INDEX('04A_국토부원자료'!$A:$T,ROW()+1,MATCH("층",'04A_국토부원자료'!$A$4:$T$4,0)),",","")),"")</f>
        <v/>
      </c>
      <c r="K2602" s="152">
        <f>IFERROR(VALUE(SUBSTITUTE(INDEX('04A_국토부원자료'!$A:$T,ROW()+1,MATCH("건축년도",'04A_국토부원자료'!$A$4:$T$4,0)),",","")),"")</f>
        <v/>
      </c>
      <c r="L2602" s="48">
        <f>IFERROR(INDEX('04A_국토부원자료'!$A:$T,ROW()+1,MATCH("도로명",'04A_국토부원자료'!$A$4:$T$4,0)),"")</f>
        <v/>
      </c>
      <c r="M2602" s="48">
        <f>IFERROR(INDEX('04A_국토부원자료'!$A:$T,ROW()+1,MATCH("거래유형",'04A_국토부원자료'!$A$4:$T$4,0)),"")</f>
        <v/>
      </c>
      <c r="N2602" s="152">
        <f>IF(B2602="","",IF('02_대상물건입력'!B5="",1,IF(ISNUMBER(SEARCH('02_대상물건입력'!B5,B2602)),1,0)))</f>
        <v/>
      </c>
      <c r="O2602" s="152">
        <f>IF(B2602="","",IF('02_대상물건입력'!B6="",1,IF(ISNUMBER(SEARCH('02_대상물건입력'!B6,B2602)),1,0)))</f>
        <v/>
      </c>
      <c r="P2602" s="152">
        <f>IF(L2602="","",IF('02_대상물건입력'!B15="",0,IF(ISNUMBER(SEARCH('02_대상물건입력'!B15,L2602)),1,0)))</f>
        <v/>
      </c>
      <c r="Q2602" s="152">
        <f>IF(OR(C2602="",L2602=""),0,IF(AND(TRIM(C2602)=TRIM(RIGHT(SUBSTITUTE(TRIM('02_대상물건입력'!$B$7)," ",REPT(" ",99)),99)),IF('02_대상물건입력'!B15="",TRUE(),ISNUMBER(SEARCH('02_대상물건입력'!B15,L2602)))),1,0))</f>
        <v/>
      </c>
      <c r="R2602" s="175">
        <f>IFERROR(ABS(E2602-'02_대상물건입력'!B11)/'02_대상물건입력'!B11,"")</f>
        <v/>
      </c>
      <c r="S2602" s="152">
        <f>IFERROR(ABS(J2602-'02_대상물건입력'!B10),"")</f>
        <v/>
      </c>
      <c r="T2602" s="152">
        <f>IFERROR(ABS('01_설정'!B4-F2602),"")</f>
        <v/>
      </c>
      <c r="U2602" s="152">
        <f>IFERROR(ABS(K2602-YEAR('02_대상물건입력'!B14)),"")</f>
        <v/>
      </c>
      <c r="V2602" s="152">
        <f>IF(B2602="","",IF(AND(E2602&gt;0,F2602&gt;0,H2602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2602=1,TRUE()),R2602&lt;='01_설정'!B5,S2602&lt;='01_설정'!B6,T2602&lt;='01_설정'!B7,U2602&lt;='01_설정'!B8),"Y",""))</f>
        <v/>
      </c>
      <c r="W2602" s="172">
        <f>IF(V2602&lt;&gt;"Y","",MAX(0,(1-R2602/'01_설정'!B5))*'01_설정'!B14+MAX(0,(1-S2602/'01_설정'!B6))*'01_설정'!B15+MAX(0,(1-T2602/'01_설정'!B7))*'01_설정'!B16+MAX(0,(1-U2602/'01_설정'!B8))*'01_설정'!B17+O2602*'01_설정'!B11+Q2602*'01_설정'!B12+P2602*'01_설정'!B13+IF(Z2602="",0,Z2602))</f>
        <v/>
      </c>
      <c r="X2602" s="152">
        <f>IF(W2602="","",1+COUNTIFS($W$4:$W$3003,"&gt;"&amp;W2602)+COUNTIFS($W$4:W2602,W2602)-1)</f>
        <v/>
      </c>
      <c r="Y2602" s="175">
        <f>IF(OR(I2602="",'02_대상물건입력'!B19="",'02_대상물건입력'!B19&lt;=0),"",ABS(I2602-'02_대상물건입력'!B19)/'02_대상물건입력'!B19)</f>
        <v/>
      </c>
      <c r="Z2602" s="172">
        <f>IF(OR(Y2602="",'01_설정'!B31="",'01_설정'!B31&lt;=0,'01_설정'!B32="",'01_설정'!B32&lt;=0),"",MAX(0,(1-Y2602/'01_설정'!B32))*'01_설정'!B31)</f>
        <v/>
      </c>
    </row>
    <row r="2603" ht="17.25" customHeight="1">
      <c r="A2603" s="152">
        <f>IF(INDEX('04A_국토부원자료'!$A:$A,ROW()+1)="","",ROW()-3)</f>
        <v/>
      </c>
      <c r="B2603" s="48">
        <f>IFERROR(INDEX('04A_국토부원자료'!$A:$T,ROW()+1,MATCH("시군구",'04A_국토부원자료'!$A$4:$T$4,0)),"")</f>
        <v/>
      </c>
      <c r="C2603" s="48">
        <f>IF(B2603="","",IFERROR(INDEX('04A_국토부원자료'!$A:$T,ROW()+1,MATCH("번지",'04A_국토부원자료'!$A$4:$T$4,0)),""))</f>
        <v/>
      </c>
      <c r="D2603" s="48">
        <f>IF(B2603="","",IF(Q2603=1,'02_대상물건입력'!$B$8,IFERROR(INDEX('04A_국토부원자료'!$A:$T,ROW()+1,MATCH("단지명",'04A_국토부원자료'!$A$4:$T$4,0)),"")))</f>
        <v/>
      </c>
      <c r="E2603" s="172">
        <f>IFERROR(VALUE(SUBSTITUTE(INDEX('04A_국토부원자료'!$A:$T,ROW()+1,MATCH("전용면적(㎡)",'04A_국토부원자료'!$A$4:$T$4,0)),",","")),"")</f>
        <v/>
      </c>
      <c r="F26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03" s="51">
        <f>IFERROR(VALUE(SUBSTITUTE(INDEX('04A_국토부원자료'!$A:$T,ROW()+1,MATCH("거래금액(만원)",'04A_국토부원자료'!$A$4:$T$4,0)),",","")),"")</f>
        <v/>
      </c>
      <c r="H2603" s="174">
        <f>IF(G2603="","",G2603*10000)</f>
        <v/>
      </c>
      <c r="I2603" s="174">
        <f>IFERROR(IF(AND(H2603&gt;0,E2603&gt;0),H2603/E2603,""),"")</f>
        <v/>
      </c>
      <c r="J2603" s="152">
        <f>IFERROR(VALUE(SUBSTITUTE(INDEX('04A_국토부원자료'!$A:$T,ROW()+1,MATCH("층",'04A_국토부원자료'!$A$4:$T$4,0)),",","")),"")</f>
        <v/>
      </c>
      <c r="K2603" s="152">
        <f>IFERROR(VALUE(SUBSTITUTE(INDEX('04A_국토부원자료'!$A:$T,ROW()+1,MATCH("건축년도",'04A_국토부원자료'!$A$4:$T$4,0)),",","")),"")</f>
        <v/>
      </c>
      <c r="L2603" s="48">
        <f>IFERROR(INDEX('04A_국토부원자료'!$A:$T,ROW()+1,MATCH("도로명",'04A_국토부원자료'!$A$4:$T$4,0)),"")</f>
        <v/>
      </c>
      <c r="M2603" s="48">
        <f>IFERROR(INDEX('04A_국토부원자료'!$A:$T,ROW()+1,MATCH("거래유형",'04A_국토부원자료'!$A$4:$T$4,0)),"")</f>
        <v/>
      </c>
      <c r="N2603" s="152">
        <f>IF(B2603="","",IF('02_대상물건입력'!B5="",1,IF(ISNUMBER(SEARCH('02_대상물건입력'!B5,B2603)),1,0)))</f>
        <v/>
      </c>
      <c r="O2603" s="152">
        <f>IF(B2603="","",IF('02_대상물건입력'!B6="",1,IF(ISNUMBER(SEARCH('02_대상물건입력'!B6,B2603)),1,0)))</f>
        <v/>
      </c>
      <c r="P2603" s="152">
        <f>IF(L2603="","",IF('02_대상물건입력'!B15="",0,IF(ISNUMBER(SEARCH('02_대상물건입력'!B15,L2603)),1,0)))</f>
        <v/>
      </c>
      <c r="Q2603" s="152">
        <f>IF(OR(C2603="",L2603=""),0,IF(AND(TRIM(C2603)=TRIM(RIGHT(SUBSTITUTE(TRIM('02_대상물건입력'!$B$7)," ",REPT(" ",99)),99)),IF('02_대상물건입력'!B15="",TRUE(),ISNUMBER(SEARCH('02_대상물건입력'!B15,L2603)))),1,0))</f>
        <v/>
      </c>
      <c r="R2603" s="175">
        <f>IFERROR(ABS(E2603-'02_대상물건입력'!B11)/'02_대상물건입력'!B11,"")</f>
        <v/>
      </c>
      <c r="S2603" s="152">
        <f>IFERROR(ABS(J2603-'02_대상물건입력'!B10),"")</f>
        <v/>
      </c>
      <c r="T2603" s="152">
        <f>IFERROR(ABS('01_설정'!B4-F2603),"")</f>
        <v/>
      </c>
      <c r="U2603" s="152">
        <f>IFERROR(ABS(K2603-YEAR('02_대상물건입력'!B14)),"")</f>
        <v/>
      </c>
      <c r="V2603" s="152">
        <f>IF(B2603="","",IF(AND(E2603&gt;0,F2603&gt;0,H2603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2603=1,TRUE()),R2603&lt;='01_설정'!B5,S2603&lt;='01_설정'!B6,T2603&lt;='01_설정'!B7,U2603&lt;='01_설정'!B8),"Y",""))</f>
        <v/>
      </c>
      <c r="W2603" s="172">
        <f>IF(V2603&lt;&gt;"Y","",MAX(0,(1-R2603/'01_설정'!B5))*'01_설정'!B14+MAX(0,(1-S2603/'01_설정'!B6))*'01_설정'!B15+MAX(0,(1-T2603/'01_설정'!B7))*'01_설정'!B16+MAX(0,(1-U2603/'01_설정'!B8))*'01_설정'!B17+O2603*'01_설정'!B11+Q2603*'01_설정'!B12+P2603*'01_설정'!B13+IF(Z2603="",0,Z2603))</f>
        <v/>
      </c>
      <c r="X2603" s="152">
        <f>IF(W2603="","",1+COUNTIFS($W$4:$W$3003,"&gt;"&amp;W2603)+COUNTIFS($W$4:W2603,W2603)-1)</f>
        <v/>
      </c>
      <c r="Y2603" s="175">
        <f>IF(OR(I2603="",'02_대상물건입력'!B19="",'02_대상물건입력'!B19&lt;=0),"",ABS(I2603-'02_대상물건입력'!B19)/'02_대상물건입력'!B19)</f>
        <v/>
      </c>
      <c r="Z2603" s="172">
        <f>IF(OR(Y2603="",'01_설정'!B31="",'01_설정'!B31&lt;=0,'01_설정'!B32="",'01_설정'!B32&lt;=0),"",MAX(0,(1-Y2603/'01_설정'!B32))*'01_설정'!B31)</f>
        <v/>
      </c>
    </row>
    <row r="2604" ht="17.25" customHeight="1">
      <c r="A2604" s="152">
        <f>IF(INDEX('04A_국토부원자료'!$A:$A,ROW()+1)="","",ROW()-3)</f>
        <v/>
      </c>
      <c r="B2604" s="48">
        <f>IFERROR(INDEX('04A_국토부원자료'!$A:$T,ROW()+1,MATCH("시군구",'04A_국토부원자료'!$A$4:$T$4,0)),"")</f>
        <v/>
      </c>
      <c r="C2604" s="48">
        <f>IF(B2604="","",IFERROR(INDEX('04A_국토부원자료'!$A:$T,ROW()+1,MATCH("번지",'04A_국토부원자료'!$A$4:$T$4,0)),""))</f>
        <v/>
      </c>
      <c r="D2604" s="48">
        <f>IF(B2604="","",IF(Q2604=1,'02_대상물건입력'!$B$8,IFERROR(INDEX('04A_국토부원자료'!$A:$T,ROW()+1,MATCH("단지명",'04A_국토부원자료'!$A$4:$T$4,0)),"")))</f>
        <v/>
      </c>
      <c r="E2604" s="172">
        <f>IFERROR(VALUE(SUBSTITUTE(INDEX('04A_국토부원자료'!$A:$T,ROW()+1,MATCH("전용면적(㎡)",'04A_국토부원자료'!$A$4:$T$4,0)),",","")),"")</f>
        <v/>
      </c>
      <c r="F26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04" s="51">
        <f>IFERROR(VALUE(SUBSTITUTE(INDEX('04A_국토부원자료'!$A:$T,ROW()+1,MATCH("거래금액(만원)",'04A_국토부원자료'!$A$4:$T$4,0)),",","")),"")</f>
        <v/>
      </c>
      <c r="H2604" s="174">
        <f>IF(G2604="","",G2604*10000)</f>
        <v/>
      </c>
      <c r="I2604" s="174">
        <f>IFERROR(IF(AND(H2604&gt;0,E2604&gt;0),H2604/E2604,""),"")</f>
        <v/>
      </c>
      <c r="J2604" s="152">
        <f>IFERROR(VALUE(SUBSTITUTE(INDEX('04A_국토부원자료'!$A:$T,ROW()+1,MATCH("층",'04A_국토부원자료'!$A$4:$T$4,0)),",","")),"")</f>
        <v/>
      </c>
      <c r="K2604" s="152">
        <f>IFERROR(VALUE(SUBSTITUTE(INDEX('04A_국토부원자료'!$A:$T,ROW()+1,MATCH("건축년도",'04A_국토부원자료'!$A$4:$T$4,0)),",","")),"")</f>
        <v/>
      </c>
      <c r="L2604" s="48">
        <f>IFERROR(INDEX('04A_국토부원자료'!$A:$T,ROW()+1,MATCH("도로명",'04A_국토부원자료'!$A$4:$T$4,0)),"")</f>
        <v/>
      </c>
      <c r="M2604" s="48">
        <f>IFERROR(INDEX('04A_국토부원자료'!$A:$T,ROW()+1,MATCH("거래유형",'04A_국토부원자료'!$A$4:$T$4,0)),"")</f>
        <v/>
      </c>
      <c r="N2604" s="152">
        <f>IF(B2604="","",IF('02_대상물건입력'!B5="",1,IF(ISNUMBER(SEARCH('02_대상물건입력'!B5,B2604)),1,0)))</f>
        <v/>
      </c>
      <c r="O2604" s="152">
        <f>IF(B2604="","",IF('02_대상물건입력'!B6="",1,IF(ISNUMBER(SEARCH('02_대상물건입력'!B6,B2604)),1,0)))</f>
        <v/>
      </c>
      <c r="P2604" s="152">
        <f>IF(L2604="","",IF('02_대상물건입력'!B15="",0,IF(ISNUMBER(SEARCH('02_대상물건입력'!B15,L2604)),1,0)))</f>
        <v/>
      </c>
      <c r="Q2604" s="152">
        <f>IF(OR(C2604="",L2604=""),0,IF(AND(TRIM(C2604)=TRIM(RIGHT(SUBSTITUTE(TRIM('02_대상물건입력'!$B$7)," ",REPT(" ",99)),99)),IF('02_대상물건입력'!B15="",TRUE(),ISNUMBER(SEARCH('02_대상물건입력'!B15,L2604)))),1,0))</f>
        <v/>
      </c>
      <c r="R2604" s="175">
        <f>IFERROR(ABS(E2604-'02_대상물건입력'!B11)/'02_대상물건입력'!B11,"")</f>
        <v/>
      </c>
      <c r="S2604" s="152">
        <f>IFERROR(ABS(J2604-'02_대상물건입력'!B10),"")</f>
        <v/>
      </c>
      <c r="T2604" s="152">
        <f>IFERROR(ABS('01_설정'!B4-F2604),"")</f>
        <v/>
      </c>
      <c r="U2604" s="152">
        <f>IFERROR(ABS(K2604-YEAR('02_대상물건입력'!B14)),"")</f>
        <v/>
      </c>
      <c r="V2604" s="152">
        <f>IF(B2604="","",IF(AND(E2604&gt;0,F2604&gt;0,H2604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2604=1,TRUE()),R2604&lt;='01_설정'!B5,S2604&lt;='01_설정'!B6,T2604&lt;='01_설정'!B7,U2604&lt;='01_설정'!B8),"Y",""))</f>
        <v/>
      </c>
      <c r="W2604" s="172">
        <f>IF(V2604&lt;&gt;"Y","",MAX(0,(1-R2604/'01_설정'!B5))*'01_설정'!B14+MAX(0,(1-S2604/'01_설정'!B6))*'01_설정'!B15+MAX(0,(1-T2604/'01_설정'!B7))*'01_설정'!B16+MAX(0,(1-U2604/'01_설정'!B8))*'01_설정'!B17+O2604*'01_설정'!B11+Q2604*'01_설정'!B12+P2604*'01_설정'!B13+IF(Z2604="",0,Z2604))</f>
        <v/>
      </c>
      <c r="X2604" s="152">
        <f>IF(W2604="","",1+COUNTIFS($W$4:$W$3003,"&gt;"&amp;W2604)+COUNTIFS($W$4:W2604,W2604)-1)</f>
        <v/>
      </c>
      <c r="Y2604" s="175">
        <f>IF(OR(I2604="",'02_대상물건입력'!B19="",'02_대상물건입력'!B19&lt;=0),"",ABS(I2604-'02_대상물건입력'!B19)/'02_대상물건입력'!B19)</f>
        <v/>
      </c>
      <c r="Z2604" s="172">
        <f>IF(OR(Y2604="",'01_설정'!B31="",'01_설정'!B31&lt;=0,'01_설정'!B32="",'01_설정'!B32&lt;=0),"",MAX(0,(1-Y2604/'01_설정'!B32))*'01_설정'!B31)</f>
        <v/>
      </c>
    </row>
    <row r="2605" ht="17.25" customHeight="1">
      <c r="A2605" s="152">
        <f>IF(INDEX('04A_국토부원자료'!$A:$A,ROW()+1)="","",ROW()-3)</f>
        <v/>
      </c>
      <c r="B2605" s="48">
        <f>IFERROR(INDEX('04A_국토부원자료'!$A:$T,ROW()+1,MATCH("시군구",'04A_국토부원자료'!$A$4:$T$4,0)),"")</f>
        <v/>
      </c>
      <c r="C2605" s="48">
        <f>IF(B2605="","",IFERROR(INDEX('04A_국토부원자료'!$A:$T,ROW()+1,MATCH("번지",'04A_국토부원자료'!$A$4:$T$4,0)),""))</f>
        <v/>
      </c>
      <c r="D2605" s="48">
        <f>IF(B2605="","",IF(Q2605=1,'02_대상물건입력'!$B$8,IFERROR(INDEX('04A_국토부원자료'!$A:$T,ROW()+1,MATCH("단지명",'04A_국토부원자료'!$A$4:$T$4,0)),"")))</f>
        <v/>
      </c>
      <c r="E2605" s="172">
        <f>IFERROR(VALUE(SUBSTITUTE(INDEX('04A_국토부원자료'!$A:$T,ROW()+1,MATCH("전용면적(㎡)",'04A_국토부원자료'!$A$4:$T$4,0)),",","")),"")</f>
        <v/>
      </c>
      <c r="F26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05" s="51">
        <f>IFERROR(VALUE(SUBSTITUTE(INDEX('04A_국토부원자료'!$A:$T,ROW()+1,MATCH("거래금액(만원)",'04A_국토부원자료'!$A$4:$T$4,0)),",","")),"")</f>
        <v/>
      </c>
      <c r="H2605" s="174">
        <f>IF(G2605="","",G2605*10000)</f>
        <v/>
      </c>
      <c r="I2605" s="174">
        <f>IFERROR(IF(AND(H2605&gt;0,E2605&gt;0),H2605/E2605,""),"")</f>
        <v/>
      </c>
      <c r="J2605" s="152">
        <f>IFERROR(VALUE(SUBSTITUTE(INDEX('04A_국토부원자료'!$A:$T,ROW()+1,MATCH("층",'04A_국토부원자료'!$A$4:$T$4,0)),",","")),"")</f>
        <v/>
      </c>
      <c r="K2605" s="152">
        <f>IFERROR(VALUE(SUBSTITUTE(INDEX('04A_국토부원자료'!$A:$T,ROW()+1,MATCH("건축년도",'04A_국토부원자료'!$A$4:$T$4,0)),",","")),"")</f>
        <v/>
      </c>
      <c r="L2605" s="48">
        <f>IFERROR(INDEX('04A_국토부원자료'!$A:$T,ROW()+1,MATCH("도로명",'04A_국토부원자료'!$A$4:$T$4,0)),"")</f>
        <v/>
      </c>
      <c r="M2605" s="48">
        <f>IFERROR(INDEX('04A_국토부원자료'!$A:$T,ROW()+1,MATCH("거래유형",'04A_국토부원자료'!$A$4:$T$4,0)),"")</f>
        <v/>
      </c>
      <c r="N2605" s="152">
        <f>IF(B2605="","",IF('02_대상물건입력'!B5="",1,IF(ISNUMBER(SEARCH('02_대상물건입력'!B5,B2605)),1,0)))</f>
        <v/>
      </c>
      <c r="O2605" s="152">
        <f>IF(B2605="","",IF('02_대상물건입력'!B6="",1,IF(ISNUMBER(SEARCH('02_대상물건입력'!B6,B2605)),1,0)))</f>
        <v/>
      </c>
      <c r="P2605" s="152">
        <f>IF(L2605="","",IF('02_대상물건입력'!B15="",0,IF(ISNUMBER(SEARCH('02_대상물건입력'!B15,L2605)),1,0)))</f>
        <v/>
      </c>
      <c r="Q2605" s="152">
        <f>IF(OR(C2605="",L2605=""),0,IF(AND(TRIM(C2605)=TRIM(RIGHT(SUBSTITUTE(TRIM('02_대상물건입력'!$B$7)," ",REPT(" ",99)),99)),IF('02_대상물건입력'!B15="",TRUE(),ISNUMBER(SEARCH('02_대상물건입력'!B15,L2605)))),1,0))</f>
        <v/>
      </c>
      <c r="R2605" s="175">
        <f>IFERROR(ABS(E2605-'02_대상물건입력'!B11)/'02_대상물건입력'!B11,"")</f>
        <v/>
      </c>
      <c r="S2605" s="152">
        <f>IFERROR(ABS(J2605-'02_대상물건입력'!B10),"")</f>
        <v/>
      </c>
      <c r="T2605" s="152">
        <f>IFERROR(ABS('01_설정'!B4-F2605),"")</f>
        <v/>
      </c>
      <c r="U2605" s="152">
        <f>IFERROR(ABS(K2605-YEAR('02_대상물건입력'!B14)),"")</f>
        <v/>
      </c>
      <c r="V2605" s="152">
        <f>IF(B2605="","",IF(AND(E2605&gt;0,F2605&gt;0,H2605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2605=1,TRUE()),R2605&lt;='01_설정'!B5,S2605&lt;='01_설정'!B6,T2605&lt;='01_설정'!B7,U2605&lt;='01_설정'!B8),"Y",""))</f>
        <v/>
      </c>
      <c r="W2605" s="172">
        <f>IF(V2605&lt;&gt;"Y","",MAX(0,(1-R2605/'01_설정'!B5))*'01_설정'!B14+MAX(0,(1-S2605/'01_설정'!B6))*'01_설정'!B15+MAX(0,(1-T2605/'01_설정'!B7))*'01_설정'!B16+MAX(0,(1-U2605/'01_설정'!B8))*'01_설정'!B17+O2605*'01_설정'!B11+Q2605*'01_설정'!B12+P2605*'01_설정'!B13+IF(Z2605="",0,Z2605))</f>
        <v/>
      </c>
      <c r="X2605" s="152">
        <f>IF(W2605="","",1+COUNTIFS($W$4:$W$3003,"&gt;"&amp;W2605)+COUNTIFS($W$4:W2605,W2605)-1)</f>
        <v/>
      </c>
      <c r="Y2605" s="175">
        <f>IF(OR(I2605="",'02_대상물건입력'!B19="",'02_대상물건입력'!B19&lt;=0),"",ABS(I2605-'02_대상물건입력'!B19)/'02_대상물건입력'!B19)</f>
        <v/>
      </c>
      <c r="Z2605" s="172">
        <f>IF(OR(Y2605="",'01_설정'!B31="",'01_설정'!B31&lt;=0,'01_설정'!B32="",'01_설정'!B32&lt;=0),"",MAX(0,(1-Y2605/'01_설정'!B32))*'01_설정'!B31)</f>
        <v/>
      </c>
    </row>
    <row r="2606" ht="17.25" customHeight="1">
      <c r="A2606" s="152">
        <f>IF(INDEX('04A_국토부원자료'!$A:$A,ROW()+1)="","",ROW()-3)</f>
        <v/>
      </c>
      <c r="B2606" s="48">
        <f>IFERROR(INDEX('04A_국토부원자료'!$A:$T,ROW()+1,MATCH("시군구",'04A_국토부원자료'!$A$4:$T$4,0)),"")</f>
        <v/>
      </c>
      <c r="C2606" s="48">
        <f>IF(B2606="","",IFERROR(INDEX('04A_국토부원자료'!$A:$T,ROW()+1,MATCH("번지",'04A_국토부원자료'!$A$4:$T$4,0)),""))</f>
        <v/>
      </c>
      <c r="D2606" s="48">
        <f>IF(B2606="","",IF(Q2606=1,'02_대상물건입력'!$B$8,IFERROR(INDEX('04A_국토부원자료'!$A:$T,ROW()+1,MATCH("단지명",'04A_국토부원자료'!$A$4:$T$4,0)),"")))</f>
        <v/>
      </c>
      <c r="E2606" s="172">
        <f>IFERROR(VALUE(SUBSTITUTE(INDEX('04A_국토부원자료'!$A:$T,ROW()+1,MATCH("전용면적(㎡)",'04A_국토부원자료'!$A$4:$T$4,0)),",","")),"")</f>
        <v/>
      </c>
      <c r="F26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06" s="51">
        <f>IFERROR(VALUE(SUBSTITUTE(INDEX('04A_국토부원자료'!$A:$T,ROW()+1,MATCH("거래금액(만원)",'04A_국토부원자료'!$A$4:$T$4,0)),",","")),"")</f>
        <v/>
      </c>
      <c r="H2606" s="174">
        <f>IF(G2606="","",G2606*10000)</f>
        <v/>
      </c>
      <c r="I2606" s="174">
        <f>IFERROR(IF(AND(H2606&gt;0,E2606&gt;0),H2606/E2606,""),"")</f>
        <v/>
      </c>
      <c r="J2606" s="152">
        <f>IFERROR(VALUE(SUBSTITUTE(INDEX('04A_국토부원자료'!$A:$T,ROW()+1,MATCH("층",'04A_국토부원자료'!$A$4:$T$4,0)),",","")),"")</f>
        <v/>
      </c>
      <c r="K2606" s="152">
        <f>IFERROR(VALUE(SUBSTITUTE(INDEX('04A_국토부원자료'!$A:$T,ROW()+1,MATCH("건축년도",'04A_국토부원자료'!$A$4:$T$4,0)),",","")),"")</f>
        <v/>
      </c>
      <c r="L2606" s="48">
        <f>IFERROR(INDEX('04A_국토부원자료'!$A:$T,ROW()+1,MATCH("도로명",'04A_국토부원자료'!$A$4:$T$4,0)),"")</f>
        <v/>
      </c>
      <c r="M2606" s="48">
        <f>IFERROR(INDEX('04A_국토부원자료'!$A:$T,ROW()+1,MATCH("거래유형",'04A_국토부원자료'!$A$4:$T$4,0)),"")</f>
        <v/>
      </c>
      <c r="N2606" s="152">
        <f>IF(B2606="","",IF('02_대상물건입력'!B5="",1,IF(ISNUMBER(SEARCH('02_대상물건입력'!B5,B2606)),1,0)))</f>
        <v/>
      </c>
      <c r="O2606" s="152">
        <f>IF(B2606="","",IF('02_대상물건입력'!B6="",1,IF(ISNUMBER(SEARCH('02_대상물건입력'!B6,B2606)),1,0)))</f>
        <v/>
      </c>
      <c r="P2606" s="152">
        <f>IF(L2606="","",IF('02_대상물건입력'!B15="",0,IF(ISNUMBER(SEARCH('02_대상물건입력'!B15,L2606)),1,0)))</f>
        <v/>
      </c>
      <c r="Q2606" s="152">
        <f>IF(OR(C2606="",L2606=""),0,IF(AND(TRIM(C2606)=TRIM(RIGHT(SUBSTITUTE(TRIM('02_대상물건입력'!$B$7)," ",REPT(" ",99)),99)),IF('02_대상물건입력'!B15="",TRUE(),ISNUMBER(SEARCH('02_대상물건입력'!B15,L2606)))),1,0))</f>
        <v/>
      </c>
      <c r="R2606" s="175">
        <f>IFERROR(ABS(E2606-'02_대상물건입력'!B11)/'02_대상물건입력'!B11,"")</f>
        <v/>
      </c>
      <c r="S2606" s="152">
        <f>IFERROR(ABS(J2606-'02_대상물건입력'!B10),"")</f>
        <v/>
      </c>
      <c r="T2606" s="152">
        <f>IFERROR(ABS('01_설정'!B4-F2606),"")</f>
        <v/>
      </c>
      <c r="U2606" s="152">
        <f>IFERROR(ABS(K2606-YEAR('02_대상물건입력'!B14)),"")</f>
        <v/>
      </c>
      <c r="V2606" s="152">
        <f>IF(B2606="","",IF(AND(E2606&gt;0,F2606&gt;0,H2606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2606=1,TRUE()),R2606&lt;='01_설정'!B5,S2606&lt;='01_설정'!B6,T2606&lt;='01_설정'!B7,U2606&lt;='01_설정'!B8),"Y",""))</f>
        <v/>
      </c>
      <c r="W2606" s="172">
        <f>IF(V2606&lt;&gt;"Y","",MAX(0,(1-R2606/'01_설정'!B5))*'01_설정'!B14+MAX(0,(1-S2606/'01_설정'!B6))*'01_설정'!B15+MAX(0,(1-T2606/'01_설정'!B7))*'01_설정'!B16+MAX(0,(1-U2606/'01_설정'!B8))*'01_설정'!B17+O2606*'01_설정'!B11+Q2606*'01_설정'!B12+P2606*'01_설정'!B13+IF(Z2606="",0,Z2606))</f>
        <v/>
      </c>
      <c r="X2606" s="152">
        <f>IF(W2606="","",1+COUNTIFS($W$4:$W$3003,"&gt;"&amp;W2606)+COUNTIFS($W$4:W2606,W2606)-1)</f>
        <v/>
      </c>
      <c r="Y2606" s="175">
        <f>IF(OR(I2606="",'02_대상물건입력'!B19="",'02_대상물건입력'!B19&lt;=0),"",ABS(I2606-'02_대상물건입력'!B19)/'02_대상물건입력'!B19)</f>
        <v/>
      </c>
      <c r="Z2606" s="172">
        <f>IF(OR(Y2606="",'01_설정'!B31="",'01_설정'!B31&lt;=0,'01_설정'!B32="",'01_설정'!B32&lt;=0),"",MAX(0,(1-Y2606/'01_설정'!B32))*'01_설정'!B31)</f>
        <v/>
      </c>
    </row>
    <row r="2607" ht="17.25" customHeight="1">
      <c r="A2607" s="152">
        <f>IF(INDEX('04A_국토부원자료'!$A:$A,ROW()+1)="","",ROW()-3)</f>
        <v/>
      </c>
      <c r="B2607" s="48">
        <f>IFERROR(INDEX('04A_국토부원자료'!$A:$T,ROW()+1,MATCH("시군구",'04A_국토부원자료'!$A$4:$T$4,0)),"")</f>
        <v/>
      </c>
      <c r="C2607" s="48">
        <f>IF(B2607="","",IFERROR(INDEX('04A_국토부원자료'!$A:$T,ROW()+1,MATCH("번지",'04A_국토부원자료'!$A$4:$T$4,0)),""))</f>
        <v/>
      </c>
      <c r="D2607" s="48">
        <f>IF(B2607="","",IF(Q2607=1,'02_대상물건입력'!$B$8,IFERROR(INDEX('04A_국토부원자료'!$A:$T,ROW()+1,MATCH("단지명",'04A_국토부원자료'!$A$4:$T$4,0)),"")))</f>
        <v/>
      </c>
      <c r="E2607" s="172">
        <f>IFERROR(VALUE(SUBSTITUTE(INDEX('04A_국토부원자료'!$A:$T,ROW()+1,MATCH("전용면적(㎡)",'04A_국토부원자료'!$A$4:$T$4,0)),",","")),"")</f>
        <v/>
      </c>
      <c r="F26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07" s="51">
        <f>IFERROR(VALUE(SUBSTITUTE(INDEX('04A_국토부원자료'!$A:$T,ROW()+1,MATCH("거래금액(만원)",'04A_국토부원자료'!$A$4:$T$4,0)),",","")),"")</f>
        <v/>
      </c>
      <c r="H2607" s="174">
        <f>IF(G2607="","",G2607*10000)</f>
        <v/>
      </c>
      <c r="I2607" s="174">
        <f>IFERROR(IF(AND(H2607&gt;0,E2607&gt;0),H2607/E2607,""),"")</f>
        <v/>
      </c>
      <c r="J2607" s="152">
        <f>IFERROR(VALUE(SUBSTITUTE(INDEX('04A_국토부원자료'!$A:$T,ROW()+1,MATCH("층",'04A_국토부원자료'!$A$4:$T$4,0)),",","")),"")</f>
        <v/>
      </c>
      <c r="K2607" s="152">
        <f>IFERROR(VALUE(SUBSTITUTE(INDEX('04A_국토부원자료'!$A:$T,ROW()+1,MATCH("건축년도",'04A_국토부원자료'!$A$4:$T$4,0)),",","")),"")</f>
        <v/>
      </c>
      <c r="L2607" s="48">
        <f>IFERROR(INDEX('04A_국토부원자료'!$A:$T,ROW()+1,MATCH("도로명",'04A_국토부원자료'!$A$4:$T$4,0)),"")</f>
        <v/>
      </c>
      <c r="M2607" s="48">
        <f>IFERROR(INDEX('04A_국토부원자료'!$A:$T,ROW()+1,MATCH("거래유형",'04A_국토부원자료'!$A$4:$T$4,0)),"")</f>
        <v/>
      </c>
      <c r="N2607" s="152">
        <f>IF(B2607="","",IF('02_대상물건입력'!B5="",1,IF(ISNUMBER(SEARCH('02_대상물건입력'!B5,B2607)),1,0)))</f>
        <v/>
      </c>
      <c r="O2607" s="152">
        <f>IF(B2607="","",IF('02_대상물건입력'!B6="",1,IF(ISNUMBER(SEARCH('02_대상물건입력'!B6,B2607)),1,0)))</f>
        <v/>
      </c>
      <c r="P2607" s="152">
        <f>IF(L2607="","",IF('02_대상물건입력'!B15="",0,IF(ISNUMBER(SEARCH('02_대상물건입력'!B15,L2607)),1,0)))</f>
        <v/>
      </c>
      <c r="Q2607" s="152">
        <f>IF(OR(C2607="",L2607=""),0,IF(AND(TRIM(C2607)=TRIM(RIGHT(SUBSTITUTE(TRIM('02_대상물건입력'!$B$7)," ",REPT(" ",99)),99)),IF('02_대상물건입력'!B15="",TRUE(),ISNUMBER(SEARCH('02_대상물건입력'!B15,L2607)))),1,0))</f>
        <v/>
      </c>
      <c r="R2607" s="175">
        <f>IFERROR(ABS(E2607-'02_대상물건입력'!B11)/'02_대상물건입력'!B11,"")</f>
        <v/>
      </c>
      <c r="S2607" s="152">
        <f>IFERROR(ABS(J2607-'02_대상물건입력'!B10),"")</f>
        <v/>
      </c>
      <c r="T2607" s="152">
        <f>IFERROR(ABS('01_설정'!B4-F2607),"")</f>
        <v/>
      </c>
      <c r="U2607" s="152">
        <f>IFERROR(ABS(K2607-YEAR('02_대상물건입력'!B14)),"")</f>
        <v/>
      </c>
      <c r="V2607" s="152">
        <f>IF(B2607="","",IF(AND(E2607&gt;0,F2607&gt;0,H2607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2607=1,TRUE()),R2607&lt;='01_설정'!B5,S2607&lt;='01_설정'!B6,T2607&lt;='01_설정'!B7,U2607&lt;='01_설정'!B8),"Y",""))</f>
        <v/>
      </c>
      <c r="W2607" s="172">
        <f>IF(V2607&lt;&gt;"Y","",MAX(0,(1-R2607/'01_설정'!B5))*'01_설정'!B14+MAX(0,(1-S2607/'01_설정'!B6))*'01_설정'!B15+MAX(0,(1-T2607/'01_설정'!B7))*'01_설정'!B16+MAX(0,(1-U2607/'01_설정'!B8))*'01_설정'!B17+O2607*'01_설정'!B11+Q2607*'01_설정'!B12+P2607*'01_설정'!B13+IF(Z2607="",0,Z2607))</f>
        <v/>
      </c>
      <c r="X2607" s="152">
        <f>IF(W2607="","",1+COUNTIFS($W$4:$W$3003,"&gt;"&amp;W2607)+COUNTIFS($W$4:W2607,W2607)-1)</f>
        <v/>
      </c>
      <c r="Y2607" s="175">
        <f>IF(OR(I2607="",'02_대상물건입력'!B19="",'02_대상물건입력'!B19&lt;=0),"",ABS(I2607-'02_대상물건입력'!B19)/'02_대상물건입력'!B19)</f>
        <v/>
      </c>
      <c r="Z2607" s="172">
        <f>IF(OR(Y2607="",'01_설정'!B31="",'01_설정'!B31&lt;=0,'01_설정'!B32="",'01_설정'!B32&lt;=0),"",MAX(0,(1-Y2607/'01_설정'!B32))*'01_설정'!B31)</f>
        <v/>
      </c>
    </row>
    <row r="2608" ht="17.25" customHeight="1">
      <c r="A2608" s="152">
        <f>IF(INDEX('04A_국토부원자료'!$A:$A,ROW()+1)="","",ROW()-3)</f>
        <v/>
      </c>
      <c r="B2608" s="48">
        <f>IFERROR(INDEX('04A_국토부원자료'!$A:$T,ROW()+1,MATCH("시군구",'04A_국토부원자료'!$A$4:$T$4,0)),"")</f>
        <v/>
      </c>
      <c r="C2608" s="48">
        <f>IF(B2608="","",IFERROR(INDEX('04A_국토부원자료'!$A:$T,ROW()+1,MATCH("번지",'04A_국토부원자료'!$A$4:$T$4,0)),""))</f>
        <v/>
      </c>
      <c r="D2608" s="48">
        <f>IF(B2608="","",IF(Q2608=1,'02_대상물건입력'!$B$8,IFERROR(INDEX('04A_국토부원자료'!$A:$T,ROW()+1,MATCH("단지명",'04A_국토부원자료'!$A$4:$T$4,0)),"")))</f>
        <v/>
      </c>
      <c r="E2608" s="172">
        <f>IFERROR(VALUE(SUBSTITUTE(INDEX('04A_국토부원자료'!$A:$T,ROW()+1,MATCH("전용면적(㎡)",'04A_국토부원자료'!$A$4:$T$4,0)),",","")),"")</f>
        <v/>
      </c>
      <c r="F26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08" s="51">
        <f>IFERROR(VALUE(SUBSTITUTE(INDEX('04A_국토부원자료'!$A:$T,ROW()+1,MATCH("거래금액(만원)",'04A_국토부원자료'!$A$4:$T$4,0)),",","")),"")</f>
        <v/>
      </c>
      <c r="H2608" s="174">
        <f>IF(G2608="","",G2608*10000)</f>
        <v/>
      </c>
      <c r="I2608" s="174">
        <f>IFERROR(IF(AND(H2608&gt;0,E2608&gt;0),H2608/E2608,""),"")</f>
        <v/>
      </c>
      <c r="J2608" s="152">
        <f>IFERROR(VALUE(SUBSTITUTE(INDEX('04A_국토부원자료'!$A:$T,ROW()+1,MATCH("층",'04A_국토부원자료'!$A$4:$T$4,0)),",","")),"")</f>
        <v/>
      </c>
      <c r="K2608" s="152">
        <f>IFERROR(VALUE(SUBSTITUTE(INDEX('04A_국토부원자료'!$A:$T,ROW()+1,MATCH("건축년도",'04A_국토부원자료'!$A$4:$T$4,0)),",","")),"")</f>
        <v/>
      </c>
      <c r="L2608" s="48">
        <f>IFERROR(INDEX('04A_국토부원자료'!$A:$T,ROW()+1,MATCH("도로명",'04A_국토부원자료'!$A$4:$T$4,0)),"")</f>
        <v/>
      </c>
      <c r="M2608" s="48">
        <f>IFERROR(INDEX('04A_국토부원자료'!$A:$T,ROW()+1,MATCH("거래유형",'04A_국토부원자료'!$A$4:$T$4,0)),"")</f>
        <v/>
      </c>
      <c r="N2608" s="152">
        <f>IF(B2608="","",IF('02_대상물건입력'!B5="",1,IF(ISNUMBER(SEARCH('02_대상물건입력'!B5,B2608)),1,0)))</f>
        <v/>
      </c>
      <c r="O2608" s="152">
        <f>IF(B2608="","",IF('02_대상물건입력'!B6="",1,IF(ISNUMBER(SEARCH('02_대상물건입력'!B6,B2608)),1,0)))</f>
        <v/>
      </c>
      <c r="P2608" s="152">
        <f>IF(L2608="","",IF('02_대상물건입력'!B15="",0,IF(ISNUMBER(SEARCH('02_대상물건입력'!B15,L2608)),1,0)))</f>
        <v/>
      </c>
      <c r="Q2608" s="152">
        <f>IF(OR(C2608="",L2608=""),0,IF(AND(TRIM(C2608)=TRIM(RIGHT(SUBSTITUTE(TRIM('02_대상물건입력'!$B$7)," ",REPT(" ",99)),99)),IF('02_대상물건입력'!B15="",TRUE(),ISNUMBER(SEARCH('02_대상물건입력'!B15,L2608)))),1,0))</f>
        <v/>
      </c>
      <c r="R2608" s="175">
        <f>IFERROR(ABS(E2608-'02_대상물건입력'!B11)/'02_대상물건입력'!B11,"")</f>
        <v/>
      </c>
      <c r="S2608" s="152">
        <f>IFERROR(ABS(J2608-'02_대상물건입력'!B10),"")</f>
        <v/>
      </c>
      <c r="T2608" s="152">
        <f>IFERROR(ABS('01_설정'!B4-F2608),"")</f>
        <v/>
      </c>
      <c r="U2608" s="152">
        <f>IFERROR(ABS(K2608-YEAR('02_대상물건입력'!B14)),"")</f>
        <v/>
      </c>
      <c r="V2608" s="152">
        <f>IF(B2608="","",IF(AND(E2608&gt;0,F2608&gt;0,H2608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2608=1,TRUE()),R2608&lt;='01_설정'!B5,S2608&lt;='01_설정'!B6,T2608&lt;='01_설정'!B7,U2608&lt;='01_설정'!B8),"Y",""))</f>
        <v/>
      </c>
      <c r="W2608" s="172">
        <f>IF(V2608&lt;&gt;"Y","",MAX(0,(1-R2608/'01_설정'!B5))*'01_설정'!B14+MAX(0,(1-S2608/'01_설정'!B6))*'01_설정'!B15+MAX(0,(1-T2608/'01_설정'!B7))*'01_설정'!B16+MAX(0,(1-U2608/'01_설정'!B8))*'01_설정'!B17+O2608*'01_설정'!B11+Q2608*'01_설정'!B12+P2608*'01_설정'!B13+IF(Z2608="",0,Z2608))</f>
        <v/>
      </c>
      <c r="X2608" s="152">
        <f>IF(W2608="","",1+COUNTIFS($W$4:$W$3003,"&gt;"&amp;W2608)+COUNTIFS($W$4:W2608,W2608)-1)</f>
        <v/>
      </c>
      <c r="Y2608" s="175">
        <f>IF(OR(I2608="",'02_대상물건입력'!B19="",'02_대상물건입력'!B19&lt;=0),"",ABS(I2608-'02_대상물건입력'!B19)/'02_대상물건입력'!B19)</f>
        <v/>
      </c>
      <c r="Z2608" s="172">
        <f>IF(OR(Y2608="",'01_설정'!B31="",'01_설정'!B31&lt;=0,'01_설정'!B32="",'01_설정'!B32&lt;=0),"",MAX(0,(1-Y2608/'01_설정'!B32))*'01_설정'!B31)</f>
        <v/>
      </c>
    </row>
    <row r="2609" ht="17.25" customHeight="1">
      <c r="A2609" s="152">
        <f>IF(INDEX('04A_국토부원자료'!$A:$A,ROW()+1)="","",ROW()-3)</f>
        <v/>
      </c>
      <c r="B2609" s="48">
        <f>IFERROR(INDEX('04A_국토부원자료'!$A:$T,ROW()+1,MATCH("시군구",'04A_국토부원자료'!$A$4:$T$4,0)),"")</f>
        <v/>
      </c>
      <c r="C2609" s="48">
        <f>IF(B2609="","",IFERROR(INDEX('04A_국토부원자료'!$A:$T,ROW()+1,MATCH("번지",'04A_국토부원자료'!$A$4:$T$4,0)),""))</f>
        <v/>
      </c>
      <c r="D2609" s="48">
        <f>IF(B2609="","",IF(Q2609=1,'02_대상물건입력'!$B$8,IFERROR(INDEX('04A_국토부원자료'!$A:$T,ROW()+1,MATCH("단지명",'04A_국토부원자료'!$A$4:$T$4,0)),"")))</f>
        <v/>
      </c>
      <c r="E2609" s="172">
        <f>IFERROR(VALUE(SUBSTITUTE(INDEX('04A_국토부원자료'!$A:$T,ROW()+1,MATCH("전용면적(㎡)",'04A_국토부원자료'!$A$4:$T$4,0)),",","")),"")</f>
        <v/>
      </c>
      <c r="F26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09" s="51">
        <f>IFERROR(VALUE(SUBSTITUTE(INDEX('04A_국토부원자료'!$A:$T,ROW()+1,MATCH("거래금액(만원)",'04A_국토부원자료'!$A$4:$T$4,0)),",","")),"")</f>
        <v/>
      </c>
      <c r="H2609" s="174">
        <f>IF(G2609="","",G2609*10000)</f>
        <v/>
      </c>
      <c r="I2609" s="174">
        <f>IFERROR(IF(AND(H2609&gt;0,E2609&gt;0),H2609/E2609,""),"")</f>
        <v/>
      </c>
      <c r="J2609" s="152">
        <f>IFERROR(VALUE(SUBSTITUTE(INDEX('04A_국토부원자료'!$A:$T,ROW()+1,MATCH("층",'04A_국토부원자료'!$A$4:$T$4,0)),",","")),"")</f>
        <v/>
      </c>
      <c r="K2609" s="152">
        <f>IFERROR(VALUE(SUBSTITUTE(INDEX('04A_국토부원자료'!$A:$T,ROW()+1,MATCH("건축년도",'04A_국토부원자료'!$A$4:$T$4,0)),",","")),"")</f>
        <v/>
      </c>
      <c r="L2609" s="48">
        <f>IFERROR(INDEX('04A_국토부원자료'!$A:$T,ROW()+1,MATCH("도로명",'04A_국토부원자료'!$A$4:$T$4,0)),"")</f>
        <v/>
      </c>
      <c r="M2609" s="48">
        <f>IFERROR(INDEX('04A_국토부원자료'!$A:$T,ROW()+1,MATCH("거래유형",'04A_국토부원자료'!$A$4:$T$4,0)),"")</f>
        <v/>
      </c>
      <c r="N2609" s="152">
        <f>IF(B2609="","",IF('02_대상물건입력'!B5="",1,IF(ISNUMBER(SEARCH('02_대상물건입력'!B5,B2609)),1,0)))</f>
        <v/>
      </c>
      <c r="O2609" s="152">
        <f>IF(B2609="","",IF('02_대상물건입력'!B6="",1,IF(ISNUMBER(SEARCH('02_대상물건입력'!B6,B2609)),1,0)))</f>
        <v/>
      </c>
      <c r="P2609" s="152">
        <f>IF(L2609="","",IF('02_대상물건입력'!B15="",0,IF(ISNUMBER(SEARCH('02_대상물건입력'!B15,L2609)),1,0)))</f>
        <v/>
      </c>
      <c r="Q2609" s="152">
        <f>IF(OR(C2609="",L2609=""),0,IF(AND(TRIM(C2609)=TRIM(RIGHT(SUBSTITUTE(TRIM('02_대상물건입력'!$B$7)," ",REPT(" ",99)),99)),IF('02_대상물건입력'!B15="",TRUE(),ISNUMBER(SEARCH('02_대상물건입력'!B15,L2609)))),1,0))</f>
        <v/>
      </c>
      <c r="R2609" s="175">
        <f>IFERROR(ABS(E2609-'02_대상물건입력'!B11)/'02_대상물건입력'!B11,"")</f>
        <v/>
      </c>
      <c r="S2609" s="152">
        <f>IFERROR(ABS(J2609-'02_대상물건입력'!B10),"")</f>
        <v/>
      </c>
      <c r="T2609" s="152">
        <f>IFERROR(ABS('01_설정'!B4-F2609),"")</f>
        <v/>
      </c>
      <c r="U2609" s="152">
        <f>IFERROR(ABS(K2609-YEAR('02_대상물건입력'!B14)),"")</f>
        <v/>
      </c>
      <c r="V2609" s="152">
        <f>IF(B2609="","",IF(AND(E2609&gt;0,F2609&gt;0,H2609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2609=1,TRUE()),R2609&lt;='01_설정'!B5,S2609&lt;='01_설정'!B6,T2609&lt;='01_설정'!B7,U2609&lt;='01_설정'!B8),"Y",""))</f>
        <v/>
      </c>
      <c r="W2609" s="172">
        <f>IF(V2609&lt;&gt;"Y","",MAX(0,(1-R2609/'01_설정'!B5))*'01_설정'!B14+MAX(0,(1-S2609/'01_설정'!B6))*'01_설정'!B15+MAX(0,(1-T2609/'01_설정'!B7))*'01_설정'!B16+MAX(0,(1-U2609/'01_설정'!B8))*'01_설정'!B17+O2609*'01_설정'!B11+Q2609*'01_설정'!B12+P2609*'01_설정'!B13+IF(Z2609="",0,Z2609))</f>
        <v/>
      </c>
      <c r="X2609" s="152">
        <f>IF(W2609="","",1+COUNTIFS($W$4:$W$3003,"&gt;"&amp;W2609)+COUNTIFS($W$4:W2609,W2609)-1)</f>
        <v/>
      </c>
      <c r="Y2609" s="175">
        <f>IF(OR(I2609="",'02_대상물건입력'!B19="",'02_대상물건입력'!B19&lt;=0),"",ABS(I2609-'02_대상물건입력'!B19)/'02_대상물건입력'!B19)</f>
        <v/>
      </c>
      <c r="Z2609" s="172">
        <f>IF(OR(Y2609="",'01_설정'!B31="",'01_설정'!B31&lt;=0,'01_설정'!B32="",'01_설정'!B32&lt;=0),"",MAX(0,(1-Y2609/'01_설정'!B32))*'01_설정'!B31)</f>
        <v/>
      </c>
    </row>
    <row r="2610" ht="17.25" customHeight="1">
      <c r="A2610" s="152">
        <f>IF(INDEX('04A_국토부원자료'!$A:$A,ROW()+1)="","",ROW()-3)</f>
        <v/>
      </c>
      <c r="B2610" s="48">
        <f>IFERROR(INDEX('04A_국토부원자료'!$A:$T,ROW()+1,MATCH("시군구",'04A_국토부원자료'!$A$4:$T$4,0)),"")</f>
        <v/>
      </c>
      <c r="C2610" s="48">
        <f>IF(B2610="","",IFERROR(INDEX('04A_국토부원자료'!$A:$T,ROW()+1,MATCH("번지",'04A_국토부원자료'!$A$4:$T$4,0)),""))</f>
        <v/>
      </c>
      <c r="D2610" s="48">
        <f>IF(B2610="","",IF(Q2610=1,'02_대상물건입력'!$B$8,IFERROR(INDEX('04A_국토부원자료'!$A:$T,ROW()+1,MATCH("단지명",'04A_국토부원자료'!$A$4:$T$4,0)),"")))</f>
        <v/>
      </c>
      <c r="E2610" s="172">
        <f>IFERROR(VALUE(SUBSTITUTE(INDEX('04A_국토부원자료'!$A:$T,ROW()+1,MATCH("전용면적(㎡)",'04A_국토부원자료'!$A$4:$T$4,0)),",","")),"")</f>
        <v/>
      </c>
      <c r="F26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10" s="51">
        <f>IFERROR(VALUE(SUBSTITUTE(INDEX('04A_국토부원자료'!$A:$T,ROW()+1,MATCH("거래금액(만원)",'04A_국토부원자료'!$A$4:$T$4,0)),",","")),"")</f>
        <v/>
      </c>
      <c r="H2610" s="174">
        <f>IF(G2610="","",G2610*10000)</f>
        <v/>
      </c>
      <c r="I2610" s="174">
        <f>IFERROR(IF(AND(H2610&gt;0,E2610&gt;0),H2610/E2610,""),"")</f>
        <v/>
      </c>
      <c r="J2610" s="152">
        <f>IFERROR(VALUE(SUBSTITUTE(INDEX('04A_국토부원자료'!$A:$T,ROW()+1,MATCH("층",'04A_국토부원자료'!$A$4:$T$4,0)),",","")),"")</f>
        <v/>
      </c>
      <c r="K2610" s="152">
        <f>IFERROR(VALUE(SUBSTITUTE(INDEX('04A_국토부원자료'!$A:$T,ROW()+1,MATCH("건축년도",'04A_국토부원자료'!$A$4:$T$4,0)),",","")),"")</f>
        <v/>
      </c>
      <c r="L2610" s="48">
        <f>IFERROR(INDEX('04A_국토부원자료'!$A:$T,ROW()+1,MATCH("도로명",'04A_국토부원자료'!$A$4:$T$4,0)),"")</f>
        <v/>
      </c>
      <c r="M2610" s="48">
        <f>IFERROR(INDEX('04A_국토부원자료'!$A:$T,ROW()+1,MATCH("거래유형",'04A_국토부원자료'!$A$4:$T$4,0)),"")</f>
        <v/>
      </c>
      <c r="N2610" s="152">
        <f>IF(B2610="","",IF('02_대상물건입력'!B5="",1,IF(ISNUMBER(SEARCH('02_대상물건입력'!B5,B2610)),1,0)))</f>
        <v/>
      </c>
      <c r="O2610" s="152">
        <f>IF(B2610="","",IF('02_대상물건입력'!B6="",1,IF(ISNUMBER(SEARCH('02_대상물건입력'!B6,B2610)),1,0)))</f>
        <v/>
      </c>
      <c r="P2610" s="152">
        <f>IF(L2610="","",IF('02_대상물건입력'!B15="",0,IF(ISNUMBER(SEARCH('02_대상물건입력'!B15,L2610)),1,0)))</f>
        <v/>
      </c>
      <c r="Q2610" s="152">
        <f>IF(OR(C2610="",L2610=""),0,IF(AND(TRIM(C2610)=TRIM(RIGHT(SUBSTITUTE(TRIM('02_대상물건입력'!$B$7)," ",REPT(" ",99)),99)),IF('02_대상물건입력'!B15="",TRUE(),ISNUMBER(SEARCH('02_대상물건입력'!B15,L2610)))),1,0))</f>
        <v/>
      </c>
      <c r="R2610" s="175">
        <f>IFERROR(ABS(E2610-'02_대상물건입력'!B11)/'02_대상물건입력'!B11,"")</f>
        <v/>
      </c>
      <c r="S2610" s="152">
        <f>IFERROR(ABS(J2610-'02_대상물건입력'!B10),"")</f>
        <v/>
      </c>
      <c r="T2610" s="152">
        <f>IFERROR(ABS('01_설정'!B4-F2610),"")</f>
        <v/>
      </c>
      <c r="U2610" s="152">
        <f>IFERROR(ABS(K2610-YEAR('02_대상물건입력'!B14)),"")</f>
        <v/>
      </c>
      <c r="V2610" s="152">
        <f>IF(B2610="","",IF(AND(E2610&gt;0,F2610&gt;0,H2610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2610=1,TRUE()),R2610&lt;='01_설정'!B5,S2610&lt;='01_설정'!B6,T2610&lt;='01_설정'!B7,U2610&lt;='01_설정'!B8),"Y",""))</f>
        <v/>
      </c>
      <c r="W2610" s="172">
        <f>IF(V2610&lt;&gt;"Y","",MAX(0,(1-R2610/'01_설정'!B5))*'01_설정'!B14+MAX(0,(1-S2610/'01_설정'!B6))*'01_설정'!B15+MAX(0,(1-T2610/'01_설정'!B7))*'01_설정'!B16+MAX(0,(1-U2610/'01_설정'!B8))*'01_설정'!B17+O2610*'01_설정'!B11+Q2610*'01_설정'!B12+P2610*'01_설정'!B13+IF(Z2610="",0,Z2610))</f>
        <v/>
      </c>
      <c r="X2610" s="152">
        <f>IF(W2610="","",1+COUNTIFS($W$4:$W$3003,"&gt;"&amp;W2610)+COUNTIFS($W$4:W2610,W2610)-1)</f>
        <v/>
      </c>
      <c r="Y2610" s="175">
        <f>IF(OR(I2610="",'02_대상물건입력'!B19="",'02_대상물건입력'!B19&lt;=0),"",ABS(I2610-'02_대상물건입력'!B19)/'02_대상물건입력'!B19)</f>
        <v/>
      </c>
      <c r="Z2610" s="172">
        <f>IF(OR(Y2610="",'01_설정'!B31="",'01_설정'!B31&lt;=0,'01_설정'!B32="",'01_설정'!B32&lt;=0),"",MAX(0,(1-Y2610/'01_설정'!B32))*'01_설정'!B31)</f>
        <v/>
      </c>
    </row>
    <row r="2611" ht="17.25" customHeight="1">
      <c r="A2611" s="152">
        <f>IF(INDEX('04A_국토부원자료'!$A:$A,ROW()+1)="","",ROW()-3)</f>
        <v/>
      </c>
      <c r="B2611" s="48">
        <f>IFERROR(INDEX('04A_국토부원자료'!$A:$T,ROW()+1,MATCH("시군구",'04A_국토부원자료'!$A$4:$T$4,0)),"")</f>
        <v/>
      </c>
      <c r="C2611" s="48">
        <f>IF(B2611="","",IFERROR(INDEX('04A_국토부원자료'!$A:$T,ROW()+1,MATCH("번지",'04A_국토부원자료'!$A$4:$T$4,0)),""))</f>
        <v/>
      </c>
      <c r="D2611" s="48">
        <f>IF(B2611="","",IF(Q2611=1,'02_대상물건입력'!$B$8,IFERROR(INDEX('04A_국토부원자료'!$A:$T,ROW()+1,MATCH("단지명",'04A_국토부원자료'!$A$4:$T$4,0)),"")))</f>
        <v/>
      </c>
      <c r="E2611" s="172">
        <f>IFERROR(VALUE(SUBSTITUTE(INDEX('04A_국토부원자료'!$A:$T,ROW()+1,MATCH("전용면적(㎡)",'04A_국토부원자료'!$A$4:$T$4,0)),",","")),"")</f>
        <v/>
      </c>
      <c r="F26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11" s="51">
        <f>IFERROR(VALUE(SUBSTITUTE(INDEX('04A_국토부원자료'!$A:$T,ROW()+1,MATCH("거래금액(만원)",'04A_국토부원자료'!$A$4:$T$4,0)),",","")),"")</f>
        <v/>
      </c>
      <c r="H2611" s="174">
        <f>IF(G2611="","",G2611*10000)</f>
        <v/>
      </c>
      <c r="I2611" s="174">
        <f>IFERROR(IF(AND(H2611&gt;0,E2611&gt;0),H2611/E2611,""),"")</f>
        <v/>
      </c>
      <c r="J2611" s="152">
        <f>IFERROR(VALUE(SUBSTITUTE(INDEX('04A_국토부원자료'!$A:$T,ROW()+1,MATCH("층",'04A_국토부원자료'!$A$4:$T$4,0)),",","")),"")</f>
        <v/>
      </c>
      <c r="K2611" s="152">
        <f>IFERROR(VALUE(SUBSTITUTE(INDEX('04A_국토부원자료'!$A:$T,ROW()+1,MATCH("건축년도",'04A_국토부원자료'!$A$4:$T$4,0)),",","")),"")</f>
        <v/>
      </c>
      <c r="L2611" s="48">
        <f>IFERROR(INDEX('04A_국토부원자료'!$A:$T,ROW()+1,MATCH("도로명",'04A_국토부원자료'!$A$4:$T$4,0)),"")</f>
        <v/>
      </c>
      <c r="M2611" s="48">
        <f>IFERROR(INDEX('04A_국토부원자료'!$A:$T,ROW()+1,MATCH("거래유형",'04A_국토부원자료'!$A$4:$T$4,0)),"")</f>
        <v/>
      </c>
      <c r="N2611" s="152">
        <f>IF(B2611="","",IF('02_대상물건입력'!B5="",1,IF(ISNUMBER(SEARCH('02_대상물건입력'!B5,B2611)),1,0)))</f>
        <v/>
      </c>
      <c r="O2611" s="152">
        <f>IF(B2611="","",IF('02_대상물건입력'!B6="",1,IF(ISNUMBER(SEARCH('02_대상물건입력'!B6,B2611)),1,0)))</f>
        <v/>
      </c>
      <c r="P2611" s="152">
        <f>IF(L2611="","",IF('02_대상물건입력'!B15="",0,IF(ISNUMBER(SEARCH('02_대상물건입력'!B15,L2611)),1,0)))</f>
        <v/>
      </c>
      <c r="Q2611" s="152">
        <f>IF(OR(C2611="",L2611=""),0,IF(AND(TRIM(C2611)=TRIM(RIGHT(SUBSTITUTE(TRIM('02_대상물건입력'!$B$7)," ",REPT(" ",99)),99)),IF('02_대상물건입력'!B15="",TRUE(),ISNUMBER(SEARCH('02_대상물건입력'!B15,L2611)))),1,0))</f>
        <v/>
      </c>
      <c r="R2611" s="175">
        <f>IFERROR(ABS(E2611-'02_대상물건입력'!B11)/'02_대상물건입력'!B11,"")</f>
        <v/>
      </c>
      <c r="S2611" s="152">
        <f>IFERROR(ABS(J2611-'02_대상물건입력'!B10),"")</f>
        <v/>
      </c>
      <c r="T2611" s="152">
        <f>IFERROR(ABS('01_설정'!B4-F2611),"")</f>
        <v/>
      </c>
      <c r="U2611" s="152">
        <f>IFERROR(ABS(K2611-YEAR('02_대상물건입력'!B14)),"")</f>
        <v/>
      </c>
      <c r="V2611" s="152">
        <f>IF(B2611="","",IF(AND(E2611&gt;0,F2611&gt;0,H2611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2611=1,TRUE()),R2611&lt;='01_설정'!B5,S2611&lt;='01_설정'!B6,T2611&lt;='01_설정'!B7,U2611&lt;='01_설정'!B8),"Y",""))</f>
        <v/>
      </c>
      <c r="W2611" s="172">
        <f>IF(V2611&lt;&gt;"Y","",MAX(0,(1-R2611/'01_설정'!B5))*'01_설정'!B14+MAX(0,(1-S2611/'01_설정'!B6))*'01_설정'!B15+MAX(0,(1-T2611/'01_설정'!B7))*'01_설정'!B16+MAX(0,(1-U2611/'01_설정'!B8))*'01_설정'!B17+O2611*'01_설정'!B11+Q2611*'01_설정'!B12+P2611*'01_설정'!B13+IF(Z2611="",0,Z2611))</f>
        <v/>
      </c>
      <c r="X2611" s="152">
        <f>IF(W2611="","",1+COUNTIFS($W$4:$W$3003,"&gt;"&amp;W2611)+COUNTIFS($W$4:W2611,W2611)-1)</f>
        <v/>
      </c>
      <c r="Y2611" s="175">
        <f>IF(OR(I2611="",'02_대상물건입력'!B19="",'02_대상물건입력'!B19&lt;=0),"",ABS(I2611-'02_대상물건입력'!B19)/'02_대상물건입력'!B19)</f>
        <v/>
      </c>
      <c r="Z2611" s="172">
        <f>IF(OR(Y2611="",'01_설정'!B31="",'01_설정'!B31&lt;=0,'01_설정'!B32="",'01_설정'!B32&lt;=0),"",MAX(0,(1-Y2611/'01_설정'!B32))*'01_설정'!B31)</f>
        <v/>
      </c>
    </row>
    <row r="2612" ht="17.25" customHeight="1">
      <c r="A2612" s="152">
        <f>IF(INDEX('04A_국토부원자료'!$A:$A,ROW()+1)="","",ROW()-3)</f>
        <v/>
      </c>
      <c r="B2612" s="48">
        <f>IFERROR(INDEX('04A_국토부원자료'!$A:$T,ROW()+1,MATCH("시군구",'04A_국토부원자료'!$A$4:$T$4,0)),"")</f>
        <v/>
      </c>
      <c r="C2612" s="48">
        <f>IF(B2612="","",IFERROR(INDEX('04A_국토부원자료'!$A:$T,ROW()+1,MATCH("번지",'04A_국토부원자료'!$A$4:$T$4,0)),""))</f>
        <v/>
      </c>
      <c r="D2612" s="48">
        <f>IF(B2612="","",IF(Q2612=1,'02_대상물건입력'!$B$8,IFERROR(INDEX('04A_국토부원자료'!$A:$T,ROW()+1,MATCH("단지명",'04A_국토부원자료'!$A$4:$T$4,0)),"")))</f>
        <v/>
      </c>
      <c r="E2612" s="172">
        <f>IFERROR(VALUE(SUBSTITUTE(INDEX('04A_국토부원자료'!$A:$T,ROW()+1,MATCH("전용면적(㎡)",'04A_국토부원자료'!$A$4:$T$4,0)),",","")),"")</f>
        <v/>
      </c>
      <c r="F26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12" s="51">
        <f>IFERROR(VALUE(SUBSTITUTE(INDEX('04A_국토부원자료'!$A:$T,ROW()+1,MATCH("거래금액(만원)",'04A_국토부원자료'!$A$4:$T$4,0)),",","")),"")</f>
        <v/>
      </c>
      <c r="H2612" s="174">
        <f>IF(G2612="","",G2612*10000)</f>
        <v/>
      </c>
      <c r="I2612" s="174">
        <f>IFERROR(IF(AND(H2612&gt;0,E2612&gt;0),H2612/E2612,""),"")</f>
        <v/>
      </c>
      <c r="J2612" s="152">
        <f>IFERROR(VALUE(SUBSTITUTE(INDEX('04A_국토부원자료'!$A:$T,ROW()+1,MATCH("층",'04A_국토부원자료'!$A$4:$T$4,0)),",","")),"")</f>
        <v/>
      </c>
      <c r="K2612" s="152">
        <f>IFERROR(VALUE(SUBSTITUTE(INDEX('04A_국토부원자료'!$A:$T,ROW()+1,MATCH("건축년도",'04A_국토부원자료'!$A$4:$T$4,0)),",","")),"")</f>
        <v/>
      </c>
      <c r="L2612" s="48">
        <f>IFERROR(INDEX('04A_국토부원자료'!$A:$T,ROW()+1,MATCH("도로명",'04A_국토부원자료'!$A$4:$T$4,0)),"")</f>
        <v/>
      </c>
      <c r="M2612" s="48">
        <f>IFERROR(INDEX('04A_국토부원자료'!$A:$T,ROW()+1,MATCH("거래유형",'04A_국토부원자료'!$A$4:$T$4,0)),"")</f>
        <v/>
      </c>
      <c r="N2612" s="152">
        <f>IF(B2612="","",IF('02_대상물건입력'!B5="",1,IF(ISNUMBER(SEARCH('02_대상물건입력'!B5,B2612)),1,0)))</f>
        <v/>
      </c>
      <c r="O2612" s="152">
        <f>IF(B2612="","",IF('02_대상물건입력'!B6="",1,IF(ISNUMBER(SEARCH('02_대상물건입력'!B6,B2612)),1,0)))</f>
        <v/>
      </c>
      <c r="P2612" s="152">
        <f>IF(L2612="","",IF('02_대상물건입력'!B15="",0,IF(ISNUMBER(SEARCH('02_대상물건입력'!B15,L2612)),1,0)))</f>
        <v/>
      </c>
      <c r="Q2612" s="152">
        <f>IF(OR(C2612="",L2612=""),0,IF(AND(TRIM(C2612)=TRIM(RIGHT(SUBSTITUTE(TRIM('02_대상물건입력'!$B$7)," ",REPT(" ",99)),99)),IF('02_대상물건입력'!B15="",TRUE(),ISNUMBER(SEARCH('02_대상물건입력'!B15,L2612)))),1,0))</f>
        <v/>
      </c>
      <c r="R2612" s="175">
        <f>IFERROR(ABS(E2612-'02_대상물건입력'!B11)/'02_대상물건입력'!B11,"")</f>
        <v/>
      </c>
      <c r="S2612" s="152">
        <f>IFERROR(ABS(J2612-'02_대상물건입력'!B10),"")</f>
        <v/>
      </c>
      <c r="T2612" s="152">
        <f>IFERROR(ABS('01_설정'!B4-F2612),"")</f>
        <v/>
      </c>
      <c r="U2612" s="152">
        <f>IFERROR(ABS(K2612-YEAR('02_대상물건입력'!B14)),"")</f>
        <v/>
      </c>
      <c r="V2612" s="152">
        <f>IF(B2612="","",IF(AND(E2612&gt;0,F2612&gt;0,H2612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2612=1,TRUE()),R2612&lt;='01_설정'!B5,S2612&lt;='01_설정'!B6,T2612&lt;='01_설정'!B7,U2612&lt;='01_설정'!B8),"Y",""))</f>
        <v/>
      </c>
      <c r="W2612" s="172">
        <f>IF(V2612&lt;&gt;"Y","",MAX(0,(1-R2612/'01_설정'!B5))*'01_설정'!B14+MAX(0,(1-S2612/'01_설정'!B6))*'01_설정'!B15+MAX(0,(1-T2612/'01_설정'!B7))*'01_설정'!B16+MAX(0,(1-U2612/'01_설정'!B8))*'01_설정'!B17+O2612*'01_설정'!B11+Q2612*'01_설정'!B12+P2612*'01_설정'!B13+IF(Z2612="",0,Z2612))</f>
        <v/>
      </c>
      <c r="X2612" s="152">
        <f>IF(W2612="","",1+COUNTIFS($W$4:$W$3003,"&gt;"&amp;W2612)+COUNTIFS($W$4:W2612,W2612)-1)</f>
        <v/>
      </c>
      <c r="Y2612" s="175">
        <f>IF(OR(I2612="",'02_대상물건입력'!B19="",'02_대상물건입력'!B19&lt;=0),"",ABS(I2612-'02_대상물건입력'!B19)/'02_대상물건입력'!B19)</f>
        <v/>
      </c>
      <c r="Z2612" s="172">
        <f>IF(OR(Y2612="",'01_설정'!B31="",'01_설정'!B31&lt;=0,'01_설정'!B32="",'01_설정'!B32&lt;=0),"",MAX(0,(1-Y2612/'01_설정'!B32))*'01_설정'!B31)</f>
        <v/>
      </c>
    </row>
    <row r="2613" ht="17.25" customHeight="1">
      <c r="A2613" s="152">
        <f>IF(INDEX('04A_국토부원자료'!$A:$A,ROW()+1)="","",ROW()-3)</f>
        <v/>
      </c>
      <c r="B2613" s="48">
        <f>IFERROR(INDEX('04A_국토부원자료'!$A:$T,ROW()+1,MATCH("시군구",'04A_국토부원자료'!$A$4:$T$4,0)),"")</f>
        <v/>
      </c>
      <c r="C2613" s="48">
        <f>IF(B2613="","",IFERROR(INDEX('04A_국토부원자료'!$A:$T,ROW()+1,MATCH("번지",'04A_국토부원자료'!$A$4:$T$4,0)),""))</f>
        <v/>
      </c>
      <c r="D2613" s="48">
        <f>IF(B2613="","",IF(Q2613=1,'02_대상물건입력'!$B$8,IFERROR(INDEX('04A_국토부원자료'!$A:$T,ROW()+1,MATCH("단지명",'04A_국토부원자료'!$A$4:$T$4,0)),"")))</f>
        <v/>
      </c>
      <c r="E2613" s="172">
        <f>IFERROR(VALUE(SUBSTITUTE(INDEX('04A_국토부원자료'!$A:$T,ROW()+1,MATCH("전용면적(㎡)",'04A_국토부원자료'!$A$4:$T$4,0)),",","")),"")</f>
        <v/>
      </c>
      <c r="F26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13" s="51">
        <f>IFERROR(VALUE(SUBSTITUTE(INDEX('04A_국토부원자료'!$A:$T,ROW()+1,MATCH("거래금액(만원)",'04A_국토부원자료'!$A$4:$T$4,0)),",","")),"")</f>
        <v/>
      </c>
      <c r="H2613" s="174">
        <f>IF(G2613="","",G2613*10000)</f>
        <v/>
      </c>
      <c r="I2613" s="174">
        <f>IFERROR(IF(AND(H2613&gt;0,E2613&gt;0),H2613/E2613,""),"")</f>
        <v/>
      </c>
      <c r="J2613" s="152">
        <f>IFERROR(VALUE(SUBSTITUTE(INDEX('04A_국토부원자료'!$A:$T,ROW()+1,MATCH("층",'04A_국토부원자료'!$A$4:$T$4,0)),",","")),"")</f>
        <v/>
      </c>
      <c r="K2613" s="152">
        <f>IFERROR(VALUE(SUBSTITUTE(INDEX('04A_국토부원자료'!$A:$T,ROW()+1,MATCH("건축년도",'04A_국토부원자료'!$A$4:$T$4,0)),",","")),"")</f>
        <v/>
      </c>
      <c r="L2613" s="48">
        <f>IFERROR(INDEX('04A_국토부원자료'!$A:$T,ROW()+1,MATCH("도로명",'04A_국토부원자료'!$A$4:$T$4,0)),"")</f>
        <v/>
      </c>
      <c r="M2613" s="48">
        <f>IFERROR(INDEX('04A_국토부원자료'!$A:$T,ROW()+1,MATCH("거래유형",'04A_국토부원자료'!$A$4:$T$4,0)),"")</f>
        <v/>
      </c>
      <c r="N2613" s="152">
        <f>IF(B2613="","",IF('02_대상물건입력'!B5="",1,IF(ISNUMBER(SEARCH('02_대상물건입력'!B5,B2613)),1,0)))</f>
        <v/>
      </c>
      <c r="O2613" s="152">
        <f>IF(B2613="","",IF('02_대상물건입력'!B6="",1,IF(ISNUMBER(SEARCH('02_대상물건입력'!B6,B2613)),1,0)))</f>
        <v/>
      </c>
      <c r="P2613" s="152">
        <f>IF(L2613="","",IF('02_대상물건입력'!B15="",0,IF(ISNUMBER(SEARCH('02_대상물건입력'!B15,L2613)),1,0)))</f>
        <v/>
      </c>
      <c r="Q2613" s="152">
        <f>IF(OR(C2613="",L2613=""),0,IF(AND(TRIM(C2613)=TRIM(RIGHT(SUBSTITUTE(TRIM('02_대상물건입력'!$B$7)," ",REPT(" ",99)),99)),IF('02_대상물건입력'!B15="",TRUE(),ISNUMBER(SEARCH('02_대상물건입력'!B15,L2613)))),1,0))</f>
        <v/>
      </c>
      <c r="R2613" s="175">
        <f>IFERROR(ABS(E2613-'02_대상물건입력'!B11)/'02_대상물건입력'!B11,"")</f>
        <v/>
      </c>
      <c r="S2613" s="152">
        <f>IFERROR(ABS(J2613-'02_대상물건입력'!B10),"")</f>
        <v/>
      </c>
      <c r="T2613" s="152">
        <f>IFERROR(ABS('01_설정'!B4-F2613),"")</f>
        <v/>
      </c>
      <c r="U2613" s="152">
        <f>IFERROR(ABS(K2613-YEAR('02_대상물건입력'!B14)),"")</f>
        <v/>
      </c>
      <c r="V2613" s="152">
        <f>IF(B2613="","",IF(AND(E2613&gt;0,F2613&gt;0,H2613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2613=1,TRUE()),R2613&lt;='01_설정'!B5,S2613&lt;='01_설정'!B6,T2613&lt;='01_설정'!B7,U2613&lt;='01_설정'!B8),"Y",""))</f>
        <v/>
      </c>
      <c r="W2613" s="172">
        <f>IF(V2613&lt;&gt;"Y","",MAX(0,(1-R2613/'01_설정'!B5))*'01_설정'!B14+MAX(0,(1-S2613/'01_설정'!B6))*'01_설정'!B15+MAX(0,(1-T2613/'01_설정'!B7))*'01_설정'!B16+MAX(0,(1-U2613/'01_설정'!B8))*'01_설정'!B17+O2613*'01_설정'!B11+Q2613*'01_설정'!B12+P2613*'01_설정'!B13+IF(Z2613="",0,Z2613))</f>
        <v/>
      </c>
      <c r="X2613" s="152">
        <f>IF(W2613="","",1+COUNTIFS($W$4:$W$3003,"&gt;"&amp;W2613)+COUNTIFS($W$4:W2613,W2613)-1)</f>
        <v/>
      </c>
      <c r="Y2613" s="175">
        <f>IF(OR(I2613="",'02_대상물건입력'!B19="",'02_대상물건입력'!B19&lt;=0),"",ABS(I2613-'02_대상물건입력'!B19)/'02_대상물건입력'!B19)</f>
        <v/>
      </c>
      <c r="Z2613" s="172">
        <f>IF(OR(Y2613="",'01_설정'!B31="",'01_설정'!B31&lt;=0,'01_설정'!B32="",'01_설정'!B32&lt;=0),"",MAX(0,(1-Y2613/'01_설정'!B32))*'01_설정'!B31)</f>
        <v/>
      </c>
    </row>
    <row r="2614" ht="17.25" customHeight="1">
      <c r="A2614" s="152">
        <f>IF(INDEX('04A_국토부원자료'!$A:$A,ROW()+1)="","",ROW()-3)</f>
        <v/>
      </c>
      <c r="B2614" s="48">
        <f>IFERROR(INDEX('04A_국토부원자료'!$A:$T,ROW()+1,MATCH("시군구",'04A_국토부원자료'!$A$4:$T$4,0)),"")</f>
        <v/>
      </c>
      <c r="C2614" s="48">
        <f>IF(B2614="","",IFERROR(INDEX('04A_국토부원자료'!$A:$T,ROW()+1,MATCH("번지",'04A_국토부원자료'!$A$4:$T$4,0)),""))</f>
        <v/>
      </c>
      <c r="D2614" s="48">
        <f>IF(B2614="","",IF(Q2614=1,'02_대상물건입력'!$B$8,IFERROR(INDEX('04A_국토부원자료'!$A:$T,ROW()+1,MATCH("단지명",'04A_국토부원자료'!$A$4:$T$4,0)),"")))</f>
        <v/>
      </c>
      <c r="E2614" s="172">
        <f>IFERROR(VALUE(SUBSTITUTE(INDEX('04A_국토부원자료'!$A:$T,ROW()+1,MATCH("전용면적(㎡)",'04A_국토부원자료'!$A$4:$T$4,0)),",","")),"")</f>
        <v/>
      </c>
      <c r="F26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14" s="51">
        <f>IFERROR(VALUE(SUBSTITUTE(INDEX('04A_국토부원자료'!$A:$T,ROW()+1,MATCH("거래금액(만원)",'04A_국토부원자료'!$A$4:$T$4,0)),",","")),"")</f>
        <v/>
      </c>
      <c r="H2614" s="174">
        <f>IF(G2614="","",G2614*10000)</f>
        <v/>
      </c>
      <c r="I2614" s="174">
        <f>IFERROR(IF(AND(H2614&gt;0,E2614&gt;0),H2614/E2614,""),"")</f>
        <v/>
      </c>
      <c r="J2614" s="152">
        <f>IFERROR(VALUE(SUBSTITUTE(INDEX('04A_국토부원자료'!$A:$T,ROW()+1,MATCH("층",'04A_국토부원자료'!$A$4:$T$4,0)),",","")),"")</f>
        <v/>
      </c>
      <c r="K2614" s="152">
        <f>IFERROR(VALUE(SUBSTITUTE(INDEX('04A_국토부원자료'!$A:$T,ROW()+1,MATCH("건축년도",'04A_국토부원자료'!$A$4:$T$4,0)),",","")),"")</f>
        <v/>
      </c>
      <c r="L2614" s="48">
        <f>IFERROR(INDEX('04A_국토부원자료'!$A:$T,ROW()+1,MATCH("도로명",'04A_국토부원자료'!$A$4:$T$4,0)),"")</f>
        <v/>
      </c>
      <c r="M2614" s="48">
        <f>IFERROR(INDEX('04A_국토부원자료'!$A:$T,ROW()+1,MATCH("거래유형",'04A_국토부원자료'!$A$4:$T$4,0)),"")</f>
        <v/>
      </c>
      <c r="N2614" s="152">
        <f>IF(B2614="","",IF('02_대상물건입력'!B5="",1,IF(ISNUMBER(SEARCH('02_대상물건입력'!B5,B2614)),1,0)))</f>
        <v/>
      </c>
      <c r="O2614" s="152">
        <f>IF(B2614="","",IF('02_대상물건입력'!B6="",1,IF(ISNUMBER(SEARCH('02_대상물건입력'!B6,B2614)),1,0)))</f>
        <v/>
      </c>
      <c r="P2614" s="152">
        <f>IF(L2614="","",IF('02_대상물건입력'!B15="",0,IF(ISNUMBER(SEARCH('02_대상물건입력'!B15,L2614)),1,0)))</f>
        <v/>
      </c>
      <c r="Q2614" s="152">
        <f>IF(OR(C2614="",L2614=""),0,IF(AND(TRIM(C2614)=TRIM(RIGHT(SUBSTITUTE(TRIM('02_대상물건입력'!$B$7)," ",REPT(" ",99)),99)),IF('02_대상물건입력'!B15="",TRUE(),ISNUMBER(SEARCH('02_대상물건입력'!B15,L2614)))),1,0))</f>
        <v/>
      </c>
      <c r="R2614" s="175">
        <f>IFERROR(ABS(E2614-'02_대상물건입력'!B11)/'02_대상물건입력'!B11,"")</f>
        <v/>
      </c>
      <c r="S2614" s="152">
        <f>IFERROR(ABS(J2614-'02_대상물건입력'!B10),"")</f>
        <v/>
      </c>
      <c r="T2614" s="152">
        <f>IFERROR(ABS('01_설정'!B4-F2614),"")</f>
        <v/>
      </c>
      <c r="U2614" s="152">
        <f>IFERROR(ABS(K2614-YEAR('02_대상물건입력'!B14)),"")</f>
        <v/>
      </c>
      <c r="V2614" s="152">
        <f>IF(B2614="","",IF(AND(E2614&gt;0,F2614&gt;0,H2614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2614=1,TRUE()),R2614&lt;='01_설정'!B5,S2614&lt;='01_설정'!B6,T2614&lt;='01_설정'!B7,U2614&lt;='01_설정'!B8),"Y",""))</f>
        <v/>
      </c>
      <c r="W2614" s="172">
        <f>IF(V2614&lt;&gt;"Y","",MAX(0,(1-R2614/'01_설정'!B5))*'01_설정'!B14+MAX(0,(1-S2614/'01_설정'!B6))*'01_설정'!B15+MAX(0,(1-T2614/'01_설정'!B7))*'01_설정'!B16+MAX(0,(1-U2614/'01_설정'!B8))*'01_설정'!B17+O2614*'01_설정'!B11+Q2614*'01_설정'!B12+P2614*'01_설정'!B13+IF(Z2614="",0,Z2614))</f>
        <v/>
      </c>
      <c r="X2614" s="152">
        <f>IF(W2614="","",1+COUNTIFS($W$4:$W$3003,"&gt;"&amp;W2614)+COUNTIFS($W$4:W2614,W2614)-1)</f>
        <v/>
      </c>
      <c r="Y2614" s="175">
        <f>IF(OR(I2614="",'02_대상물건입력'!B19="",'02_대상물건입력'!B19&lt;=0),"",ABS(I2614-'02_대상물건입력'!B19)/'02_대상물건입력'!B19)</f>
        <v/>
      </c>
      <c r="Z2614" s="172">
        <f>IF(OR(Y2614="",'01_설정'!B31="",'01_설정'!B31&lt;=0,'01_설정'!B32="",'01_설정'!B32&lt;=0),"",MAX(0,(1-Y2614/'01_설정'!B32))*'01_설정'!B31)</f>
        <v/>
      </c>
    </row>
    <row r="2615" ht="17.25" customHeight="1">
      <c r="A2615" s="152">
        <f>IF(INDEX('04A_국토부원자료'!$A:$A,ROW()+1)="","",ROW()-3)</f>
        <v/>
      </c>
      <c r="B2615" s="48">
        <f>IFERROR(INDEX('04A_국토부원자료'!$A:$T,ROW()+1,MATCH("시군구",'04A_국토부원자료'!$A$4:$T$4,0)),"")</f>
        <v/>
      </c>
      <c r="C2615" s="48">
        <f>IF(B2615="","",IFERROR(INDEX('04A_국토부원자료'!$A:$T,ROW()+1,MATCH("번지",'04A_국토부원자료'!$A$4:$T$4,0)),""))</f>
        <v/>
      </c>
      <c r="D2615" s="48">
        <f>IF(B2615="","",IF(Q2615=1,'02_대상물건입력'!$B$8,IFERROR(INDEX('04A_국토부원자료'!$A:$T,ROW()+1,MATCH("단지명",'04A_국토부원자료'!$A$4:$T$4,0)),"")))</f>
        <v/>
      </c>
      <c r="E2615" s="172">
        <f>IFERROR(VALUE(SUBSTITUTE(INDEX('04A_국토부원자료'!$A:$T,ROW()+1,MATCH("전용면적(㎡)",'04A_국토부원자료'!$A$4:$T$4,0)),",","")),"")</f>
        <v/>
      </c>
      <c r="F26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15" s="51">
        <f>IFERROR(VALUE(SUBSTITUTE(INDEX('04A_국토부원자료'!$A:$T,ROW()+1,MATCH("거래금액(만원)",'04A_국토부원자료'!$A$4:$T$4,0)),",","")),"")</f>
        <v/>
      </c>
      <c r="H2615" s="174">
        <f>IF(G2615="","",G2615*10000)</f>
        <v/>
      </c>
      <c r="I2615" s="174">
        <f>IFERROR(IF(AND(H2615&gt;0,E2615&gt;0),H2615/E2615,""),"")</f>
        <v/>
      </c>
      <c r="J2615" s="152">
        <f>IFERROR(VALUE(SUBSTITUTE(INDEX('04A_국토부원자료'!$A:$T,ROW()+1,MATCH("층",'04A_국토부원자료'!$A$4:$T$4,0)),",","")),"")</f>
        <v/>
      </c>
      <c r="K2615" s="152">
        <f>IFERROR(VALUE(SUBSTITUTE(INDEX('04A_국토부원자료'!$A:$T,ROW()+1,MATCH("건축년도",'04A_국토부원자료'!$A$4:$T$4,0)),",","")),"")</f>
        <v/>
      </c>
      <c r="L2615" s="48">
        <f>IFERROR(INDEX('04A_국토부원자료'!$A:$T,ROW()+1,MATCH("도로명",'04A_국토부원자료'!$A$4:$T$4,0)),"")</f>
        <v/>
      </c>
      <c r="M2615" s="48">
        <f>IFERROR(INDEX('04A_국토부원자료'!$A:$T,ROW()+1,MATCH("거래유형",'04A_국토부원자료'!$A$4:$T$4,0)),"")</f>
        <v/>
      </c>
      <c r="N2615" s="152">
        <f>IF(B2615="","",IF('02_대상물건입력'!B5="",1,IF(ISNUMBER(SEARCH('02_대상물건입력'!B5,B2615)),1,0)))</f>
        <v/>
      </c>
      <c r="O2615" s="152">
        <f>IF(B2615="","",IF('02_대상물건입력'!B6="",1,IF(ISNUMBER(SEARCH('02_대상물건입력'!B6,B2615)),1,0)))</f>
        <v/>
      </c>
      <c r="P2615" s="152">
        <f>IF(L2615="","",IF('02_대상물건입력'!B15="",0,IF(ISNUMBER(SEARCH('02_대상물건입력'!B15,L2615)),1,0)))</f>
        <v/>
      </c>
      <c r="Q2615" s="152">
        <f>IF(OR(C2615="",L2615=""),0,IF(AND(TRIM(C2615)=TRIM(RIGHT(SUBSTITUTE(TRIM('02_대상물건입력'!$B$7)," ",REPT(" ",99)),99)),IF('02_대상물건입력'!B15="",TRUE(),ISNUMBER(SEARCH('02_대상물건입력'!B15,L2615)))),1,0))</f>
        <v/>
      </c>
      <c r="R2615" s="175">
        <f>IFERROR(ABS(E2615-'02_대상물건입력'!B11)/'02_대상물건입력'!B11,"")</f>
        <v/>
      </c>
      <c r="S2615" s="152">
        <f>IFERROR(ABS(J2615-'02_대상물건입력'!B10),"")</f>
        <v/>
      </c>
      <c r="T2615" s="152">
        <f>IFERROR(ABS('01_설정'!B4-F2615),"")</f>
        <v/>
      </c>
      <c r="U2615" s="152">
        <f>IFERROR(ABS(K2615-YEAR('02_대상물건입력'!B14)),"")</f>
        <v/>
      </c>
      <c r="V2615" s="152">
        <f>IF(B2615="","",IF(AND(E2615&gt;0,F2615&gt;0,H2615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2615=1,TRUE()),R2615&lt;='01_설정'!B5,S2615&lt;='01_설정'!B6,T2615&lt;='01_설정'!B7,U2615&lt;='01_설정'!B8),"Y",""))</f>
        <v/>
      </c>
      <c r="W2615" s="172">
        <f>IF(V2615&lt;&gt;"Y","",MAX(0,(1-R2615/'01_설정'!B5))*'01_설정'!B14+MAX(0,(1-S2615/'01_설정'!B6))*'01_설정'!B15+MAX(0,(1-T2615/'01_설정'!B7))*'01_설정'!B16+MAX(0,(1-U2615/'01_설정'!B8))*'01_설정'!B17+O2615*'01_설정'!B11+Q2615*'01_설정'!B12+P2615*'01_설정'!B13+IF(Z2615="",0,Z2615))</f>
        <v/>
      </c>
      <c r="X2615" s="152">
        <f>IF(W2615="","",1+COUNTIFS($W$4:$W$3003,"&gt;"&amp;W2615)+COUNTIFS($W$4:W2615,W2615)-1)</f>
        <v/>
      </c>
      <c r="Y2615" s="175">
        <f>IF(OR(I2615="",'02_대상물건입력'!B19="",'02_대상물건입력'!B19&lt;=0),"",ABS(I2615-'02_대상물건입력'!B19)/'02_대상물건입력'!B19)</f>
        <v/>
      </c>
      <c r="Z2615" s="172">
        <f>IF(OR(Y2615="",'01_설정'!B31="",'01_설정'!B31&lt;=0,'01_설정'!B32="",'01_설정'!B32&lt;=0),"",MAX(0,(1-Y2615/'01_설정'!B32))*'01_설정'!B31)</f>
        <v/>
      </c>
    </row>
    <row r="2616" ht="17.25" customHeight="1">
      <c r="A2616" s="152">
        <f>IF(INDEX('04A_국토부원자료'!$A:$A,ROW()+1)="","",ROW()-3)</f>
        <v/>
      </c>
      <c r="B2616" s="48">
        <f>IFERROR(INDEX('04A_국토부원자료'!$A:$T,ROW()+1,MATCH("시군구",'04A_국토부원자료'!$A$4:$T$4,0)),"")</f>
        <v/>
      </c>
      <c r="C2616" s="48">
        <f>IF(B2616="","",IFERROR(INDEX('04A_국토부원자료'!$A:$T,ROW()+1,MATCH("번지",'04A_국토부원자료'!$A$4:$T$4,0)),""))</f>
        <v/>
      </c>
      <c r="D2616" s="48">
        <f>IF(B2616="","",IF(Q2616=1,'02_대상물건입력'!$B$8,IFERROR(INDEX('04A_국토부원자료'!$A:$T,ROW()+1,MATCH("단지명",'04A_국토부원자료'!$A$4:$T$4,0)),"")))</f>
        <v/>
      </c>
      <c r="E2616" s="172">
        <f>IFERROR(VALUE(SUBSTITUTE(INDEX('04A_국토부원자료'!$A:$T,ROW()+1,MATCH("전용면적(㎡)",'04A_국토부원자료'!$A$4:$T$4,0)),",","")),"")</f>
        <v/>
      </c>
      <c r="F26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16" s="51">
        <f>IFERROR(VALUE(SUBSTITUTE(INDEX('04A_국토부원자료'!$A:$T,ROW()+1,MATCH("거래금액(만원)",'04A_국토부원자료'!$A$4:$T$4,0)),",","")),"")</f>
        <v/>
      </c>
      <c r="H2616" s="174">
        <f>IF(G2616="","",G2616*10000)</f>
        <v/>
      </c>
      <c r="I2616" s="174">
        <f>IFERROR(IF(AND(H2616&gt;0,E2616&gt;0),H2616/E2616,""),"")</f>
        <v/>
      </c>
      <c r="J2616" s="152">
        <f>IFERROR(VALUE(SUBSTITUTE(INDEX('04A_국토부원자료'!$A:$T,ROW()+1,MATCH("층",'04A_국토부원자료'!$A$4:$T$4,0)),",","")),"")</f>
        <v/>
      </c>
      <c r="K2616" s="152">
        <f>IFERROR(VALUE(SUBSTITUTE(INDEX('04A_국토부원자료'!$A:$T,ROW()+1,MATCH("건축년도",'04A_국토부원자료'!$A$4:$T$4,0)),",","")),"")</f>
        <v/>
      </c>
      <c r="L2616" s="48">
        <f>IFERROR(INDEX('04A_국토부원자료'!$A:$T,ROW()+1,MATCH("도로명",'04A_국토부원자료'!$A$4:$T$4,0)),"")</f>
        <v/>
      </c>
      <c r="M2616" s="48">
        <f>IFERROR(INDEX('04A_국토부원자료'!$A:$T,ROW()+1,MATCH("거래유형",'04A_국토부원자료'!$A$4:$T$4,0)),"")</f>
        <v/>
      </c>
      <c r="N2616" s="152">
        <f>IF(B2616="","",IF('02_대상물건입력'!B5="",1,IF(ISNUMBER(SEARCH('02_대상물건입력'!B5,B2616)),1,0)))</f>
        <v/>
      </c>
      <c r="O2616" s="152">
        <f>IF(B2616="","",IF('02_대상물건입력'!B6="",1,IF(ISNUMBER(SEARCH('02_대상물건입력'!B6,B2616)),1,0)))</f>
        <v/>
      </c>
      <c r="P2616" s="152">
        <f>IF(L2616="","",IF('02_대상물건입력'!B15="",0,IF(ISNUMBER(SEARCH('02_대상물건입력'!B15,L2616)),1,0)))</f>
        <v/>
      </c>
      <c r="Q2616" s="152">
        <f>IF(OR(C2616="",L2616=""),0,IF(AND(TRIM(C2616)=TRIM(RIGHT(SUBSTITUTE(TRIM('02_대상물건입력'!$B$7)," ",REPT(" ",99)),99)),IF('02_대상물건입력'!B15="",TRUE(),ISNUMBER(SEARCH('02_대상물건입력'!B15,L2616)))),1,0))</f>
        <v/>
      </c>
      <c r="R2616" s="175">
        <f>IFERROR(ABS(E2616-'02_대상물건입력'!B11)/'02_대상물건입력'!B11,"")</f>
        <v/>
      </c>
      <c r="S2616" s="152">
        <f>IFERROR(ABS(J2616-'02_대상물건입력'!B10),"")</f>
        <v/>
      </c>
      <c r="T2616" s="152">
        <f>IFERROR(ABS('01_설정'!B4-F2616),"")</f>
        <v/>
      </c>
      <c r="U2616" s="152">
        <f>IFERROR(ABS(K2616-YEAR('02_대상물건입력'!B14)),"")</f>
        <v/>
      </c>
      <c r="V2616" s="152">
        <f>IF(B2616="","",IF(AND(E2616&gt;0,F2616&gt;0,H2616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2616=1,TRUE()),R2616&lt;='01_설정'!B5,S2616&lt;='01_설정'!B6,T2616&lt;='01_설정'!B7,U2616&lt;='01_설정'!B8),"Y",""))</f>
        <v/>
      </c>
      <c r="W2616" s="172">
        <f>IF(V2616&lt;&gt;"Y","",MAX(0,(1-R2616/'01_설정'!B5))*'01_설정'!B14+MAX(0,(1-S2616/'01_설정'!B6))*'01_설정'!B15+MAX(0,(1-T2616/'01_설정'!B7))*'01_설정'!B16+MAX(0,(1-U2616/'01_설정'!B8))*'01_설정'!B17+O2616*'01_설정'!B11+Q2616*'01_설정'!B12+P2616*'01_설정'!B13+IF(Z2616="",0,Z2616))</f>
        <v/>
      </c>
      <c r="X2616" s="152">
        <f>IF(W2616="","",1+COUNTIFS($W$4:$W$3003,"&gt;"&amp;W2616)+COUNTIFS($W$4:W2616,W2616)-1)</f>
        <v/>
      </c>
      <c r="Y2616" s="175">
        <f>IF(OR(I2616="",'02_대상물건입력'!B19="",'02_대상물건입력'!B19&lt;=0),"",ABS(I2616-'02_대상물건입력'!B19)/'02_대상물건입력'!B19)</f>
        <v/>
      </c>
      <c r="Z2616" s="172">
        <f>IF(OR(Y2616="",'01_설정'!B31="",'01_설정'!B31&lt;=0,'01_설정'!B32="",'01_설정'!B32&lt;=0),"",MAX(0,(1-Y2616/'01_설정'!B32))*'01_설정'!B31)</f>
        <v/>
      </c>
    </row>
    <row r="2617" ht="17.25" customHeight="1">
      <c r="A2617" s="152">
        <f>IF(INDEX('04A_국토부원자료'!$A:$A,ROW()+1)="","",ROW()-3)</f>
        <v/>
      </c>
      <c r="B2617" s="48">
        <f>IFERROR(INDEX('04A_국토부원자료'!$A:$T,ROW()+1,MATCH("시군구",'04A_국토부원자료'!$A$4:$T$4,0)),"")</f>
        <v/>
      </c>
      <c r="C2617" s="48">
        <f>IF(B2617="","",IFERROR(INDEX('04A_국토부원자료'!$A:$T,ROW()+1,MATCH("번지",'04A_국토부원자료'!$A$4:$T$4,0)),""))</f>
        <v/>
      </c>
      <c r="D2617" s="48">
        <f>IF(B2617="","",IF(Q2617=1,'02_대상물건입력'!$B$8,IFERROR(INDEX('04A_국토부원자료'!$A:$T,ROW()+1,MATCH("단지명",'04A_국토부원자료'!$A$4:$T$4,0)),"")))</f>
        <v/>
      </c>
      <c r="E2617" s="172">
        <f>IFERROR(VALUE(SUBSTITUTE(INDEX('04A_국토부원자료'!$A:$T,ROW()+1,MATCH("전용면적(㎡)",'04A_국토부원자료'!$A$4:$T$4,0)),",","")),"")</f>
        <v/>
      </c>
      <c r="F26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17" s="51">
        <f>IFERROR(VALUE(SUBSTITUTE(INDEX('04A_국토부원자료'!$A:$T,ROW()+1,MATCH("거래금액(만원)",'04A_국토부원자료'!$A$4:$T$4,0)),",","")),"")</f>
        <v/>
      </c>
      <c r="H2617" s="174">
        <f>IF(G2617="","",G2617*10000)</f>
        <v/>
      </c>
      <c r="I2617" s="174">
        <f>IFERROR(IF(AND(H2617&gt;0,E2617&gt;0),H2617/E2617,""),"")</f>
        <v/>
      </c>
      <c r="J2617" s="152">
        <f>IFERROR(VALUE(SUBSTITUTE(INDEX('04A_국토부원자료'!$A:$T,ROW()+1,MATCH("층",'04A_국토부원자료'!$A$4:$T$4,0)),",","")),"")</f>
        <v/>
      </c>
      <c r="K2617" s="152">
        <f>IFERROR(VALUE(SUBSTITUTE(INDEX('04A_국토부원자료'!$A:$T,ROW()+1,MATCH("건축년도",'04A_국토부원자료'!$A$4:$T$4,0)),",","")),"")</f>
        <v/>
      </c>
      <c r="L2617" s="48">
        <f>IFERROR(INDEX('04A_국토부원자료'!$A:$T,ROW()+1,MATCH("도로명",'04A_국토부원자료'!$A$4:$T$4,0)),"")</f>
        <v/>
      </c>
      <c r="M2617" s="48">
        <f>IFERROR(INDEX('04A_국토부원자료'!$A:$T,ROW()+1,MATCH("거래유형",'04A_국토부원자료'!$A$4:$T$4,0)),"")</f>
        <v/>
      </c>
      <c r="N2617" s="152">
        <f>IF(B2617="","",IF('02_대상물건입력'!B5="",1,IF(ISNUMBER(SEARCH('02_대상물건입력'!B5,B2617)),1,0)))</f>
        <v/>
      </c>
      <c r="O2617" s="152">
        <f>IF(B2617="","",IF('02_대상물건입력'!B6="",1,IF(ISNUMBER(SEARCH('02_대상물건입력'!B6,B2617)),1,0)))</f>
        <v/>
      </c>
      <c r="P2617" s="152">
        <f>IF(L2617="","",IF('02_대상물건입력'!B15="",0,IF(ISNUMBER(SEARCH('02_대상물건입력'!B15,L2617)),1,0)))</f>
        <v/>
      </c>
      <c r="Q2617" s="152">
        <f>IF(OR(C2617="",L2617=""),0,IF(AND(TRIM(C2617)=TRIM(RIGHT(SUBSTITUTE(TRIM('02_대상물건입력'!$B$7)," ",REPT(" ",99)),99)),IF('02_대상물건입력'!B15="",TRUE(),ISNUMBER(SEARCH('02_대상물건입력'!B15,L2617)))),1,0))</f>
        <v/>
      </c>
      <c r="R2617" s="175">
        <f>IFERROR(ABS(E2617-'02_대상물건입력'!B11)/'02_대상물건입력'!B11,"")</f>
        <v/>
      </c>
      <c r="S2617" s="152">
        <f>IFERROR(ABS(J2617-'02_대상물건입력'!B10),"")</f>
        <v/>
      </c>
      <c r="T2617" s="152">
        <f>IFERROR(ABS('01_설정'!B4-F2617),"")</f>
        <v/>
      </c>
      <c r="U2617" s="152">
        <f>IFERROR(ABS(K2617-YEAR('02_대상물건입력'!B14)),"")</f>
        <v/>
      </c>
      <c r="V2617" s="152">
        <f>IF(B2617="","",IF(AND(E2617&gt;0,F2617&gt;0,H2617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2617=1,TRUE()),R2617&lt;='01_설정'!B5,S2617&lt;='01_설정'!B6,T2617&lt;='01_설정'!B7,U2617&lt;='01_설정'!B8),"Y",""))</f>
        <v/>
      </c>
      <c r="W2617" s="172">
        <f>IF(V2617&lt;&gt;"Y","",MAX(0,(1-R2617/'01_설정'!B5))*'01_설정'!B14+MAX(0,(1-S2617/'01_설정'!B6))*'01_설정'!B15+MAX(0,(1-T2617/'01_설정'!B7))*'01_설정'!B16+MAX(0,(1-U2617/'01_설정'!B8))*'01_설정'!B17+O2617*'01_설정'!B11+Q2617*'01_설정'!B12+P2617*'01_설정'!B13+IF(Z2617="",0,Z2617))</f>
        <v/>
      </c>
      <c r="X2617" s="152">
        <f>IF(W2617="","",1+COUNTIFS($W$4:$W$3003,"&gt;"&amp;W2617)+COUNTIFS($W$4:W2617,W2617)-1)</f>
        <v/>
      </c>
      <c r="Y2617" s="175">
        <f>IF(OR(I2617="",'02_대상물건입력'!B19="",'02_대상물건입력'!B19&lt;=0),"",ABS(I2617-'02_대상물건입력'!B19)/'02_대상물건입력'!B19)</f>
        <v/>
      </c>
      <c r="Z2617" s="172">
        <f>IF(OR(Y2617="",'01_설정'!B31="",'01_설정'!B31&lt;=0,'01_설정'!B32="",'01_설정'!B32&lt;=0),"",MAX(0,(1-Y2617/'01_설정'!B32))*'01_설정'!B31)</f>
        <v/>
      </c>
    </row>
    <row r="2618" ht="17.25" customHeight="1">
      <c r="A2618" s="152">
        <f>IF(INDEX('04A_국토부원자료'!$A:$A,ROW()+1)="","",ROW()-3)</f>
        <v/>
      </c>
      <c r="B2618" s="48">
        <f>IFERROR(INDEX('04A_국토부원자료'!$A:$T,ROW()+1,MATCH("시군구",'04A_국토부원자료'!$A$4:$T$4,0)),"")</f>
        <v/>
      </c>
      <c r="C2618" s="48">
        <f>IF(B2618="","",IFERROR(INDEX('04A_국토부원자료'!$A:$T,ROW()+1,MATCH("번지",'04A_국토부원자료'!$A$4:$T$4,0)),""))</f>
        <v/>
      </c>
      <c r="D2618" s="48">
        <f>IF(B2618="","",IF(Q2618=1,'02_대상물건입력'!$B$8,IFERROR(INDEX('04A_국토부원자료'!$A:$T,ROW()+1,MATCH("단지명",'04A_국토부원자료'!$A$4:$T$4,0)),"")))</f>
        <v/>
      </c>
      <c r="E2618" s="172">
        <f>IFERROR(VALUE(SUBSTITUTE(INDEX('04A_국토부원자료'!$A:$T,ROW()+1,MATCH("전용면적(㎡)",'04A_국토부원자료'!$A$4:$T$4,0)),",","")),"")</f>
        <v/>
      </c>
      <c r="F26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18" s="51">
        <f>IFERROR(VALUE(SUBSTITUTE(INDEX('04A_국토부원자료'!$A:$T,ROW()+1,MATCH("거래금액(만원)",'04A_국토부원자료'!$A$4:$T$4,0)),",","")),"")</f>
        <v/>
      </c>
      <c r="H2618" s="174">
        <f>IF(G2618="","",G2618*10000)</f>
        <v/>
      </c>
      <c r="I2618" s="174">
        <f>IFERROR(IF(AND(H2618&gt;0,E2618&gt;0),H2618/E2618,""),"")</f>
        <v/>
      </c>
      <c r="J2618" s="152">
        <f>IFERROR(VALUE(SUBSTITUTE(INDEX('04A_국토부원자료'!$A:$T,ROW()+1,MATCH("층",'04A_국토부원자료'!$A$4:$T$4,0)),",","")),"")</f>
        <v/>
      </c>
      <c r="K2618" s="152">
        <f>IFERROR(VALUE(SUBSTITUTE(INDEX('04A_국토부원자료'!$A:$T,ROW()+1,MATCH("건축년도",'04A_국토부원자료'!$A$4:$T$4,0)),",","")),"")</f>
        <v/>
      </c>
      <c r="L2618" s="48">
        <f>IFERROR(INDEX('04A_국토부원자료'!$A:$T,ROW()+1,MATCH("도로명",'04A_국토부원자료'!$A$4:$T$4,0)),"")</f>
        <v/>
      </c>
      <c r="M2618" s="48">
        <f>IFERROR(INDEX('04A_국토부원자료'!$A:$T,ROW()+1,MATCH("거래유형",'04A_국토부원자료'!$A$4:$T$4,0)),"")</f>
        <v/>
      </c>
      <c r="N2618" s="152">
        <f>IF(B2618="","",IF('02_대상물건입력'!B5="",1,IF(ISNUMBER(SEARCH('02_대상물건입력'!B5,B2618)),1,0)))</f>
        <v/>
      </c>
      <c r="O2618" s="152">
        <f>IF(B2618="","",IF('02_대상물건입력'!B6="",1,IF(ISNUMBER(SEARCH('02_대상물건입력'!B6,B2618)),1,0)))</f>
        <v/>
      </c>
      <c r="P2618" s="152">
        <f>IF(L2618="","",IF('02_대상물건입력'!B15="",0,IF(ISNUMBER(SEARCH('02_대상물건입력'!B15,L2618)),1,0)))</f>
        <v/>
      </c>
      <c r="Q2618" s="152">
        <f>IF(OR(C2618="",L2618=""),0,IF(AND(TRIM(C2618)=TRIM(RIGHT(SUBSTITUTE(TRIM('02_대상물건입력'!$B$7)," ",REPT(" ",99)),99)),IF('02_대상물건입력'!B15="",TRUE(),ISNUMBER(SEARCH('02_대상물건입력'!B15,L2618)))),1,0))</f>
        <v/>
      </c>
      <c r="R2618" s="175">
        <f>IFERROR(ABS(E2618-'02_대상물건입력'!B11)/'02_대상물건입력'!B11,"")</f>
        <v/>
      </c>
      <c r="S2618" s="152">
        <f>IFERROR(ABS(J2618-'02_대상물건입력'!B10),"")</f>
        <v/>
      </c>
      <c r="T2618" s="152">
        <f>IFERROR(ABS('01_설정'!B4-F2618),"")</f>
        <v/>
      </c>
      <c r="U2618" s="152">
        <f>IFERROR(ABS(K2618-YEAR('02_대상물건입력'!B14)),"")</f>
        <v/>
      </c>
      <c r="V2618" s="152">
        <f>IF(B2618="","",IF(AND(E2618&gt;0,F2618&gt;0,H2618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2618=1,TRUE()),R2618&lt;='01_설정'!B5,S2618&lt;='01_설정'!B6,T2618&lt;='01_설정'!B7,U2618&lt;='01_설정'!B8),"Y",""))</f>
        <v/>
      </c>
      <c r="W2618" s="172">
        <f>IF(V2618&lt;&gt;"Y","",MAX(0,(1-R2618/'01_설정'!B5))*'01_설정'!B14+MAX(0,(1-S2618/'01_설정'!B6))*'01_설정'!B15+MAX(0,(1-T2618/'01_설정'!B7))*'01_설정'!B16+MAX(0,(1-U2618/'01_설정'!B8))*'01_설정'!B17+O2618*'01_설정'!B11+Q2618*'01_설정'!B12+P2618*'01_설정'!B13+IF(Z2618="",0,Z2618))</f>
        <v/>
      </c>
      <c r="X2618" s="152">
        <f>IF(W2618="","",1+COUNTIFS($W$4:$W$3003,"&gt;"&amp;W2618)+COUNTIFS($W$4:W2618,W2618)-1)</f>
        <v/>
      </c>
      <c r="Y2618" s="175">
        <f>IF(OR(I2618="",'02_대상물건입력'!B19="",'02_대상물건입력'!B19&lt;=0),"",ABS(I2618-'02_대상물건입력'!B19)/'02_대상물건입력'!B19)</f>
        <v/>
      </c>
      <c r="Z2618" s="172">
        <f>IF(OR(Y2618="",'01_설정'!B31="",'01_설정'!B31&lt;=0,'01_설정'!B32="",'01_설정'!B32&lt;=0),"",MAX(0,(1-Y2618/'01_설정'!B32))*'01_설정'!B31)</f>
        <v/>
      </c>
    </row>
    <row r="2619" ht="17.25" customHeight="1">
      <c r="A2619" s="152">
        <f>IF(INDEX('04A_국토부원자료'!$A:$A,ROW()+1)="","",ROW()-3)</f>
        <v/>
      </c>
      <c r="B2619" s="48">
        <f>IFERROR(INDEX('04A_국토부원자료'!$A:$T,ROW()+1,MATCH("시군구",'04A_국토부원자료'!$A$4:$T$4,0)),"")</f>
        <v/>
      </c>
      <c r="C2619" s="48">
        <f>IF(B2619="","",IFERROR(INDEX('04A_국토부원자료'!$A:$T,ROW()+1,MATCH("번지",'04A_국토부원자료'!$A$4:$T$4,0)),""))</f>
        <v/>
      </c>
      <c r="D2619" s="48">
        <f>IF(B2619="","",IF(Q2619=1,'02_대상물건입력'!$B$8,IFERROR(INDEX('04A_국토부원자료'!$A:$T,ROW()+1,MATCH("단지명",'04A_국토부원자료'!$A$4:$T$4,0)),"")))</f>
        <v/>
      </c>
      <c r="E2619" s="172">
        <f>IFERROR(VALUE(SUBSTITUTE(INDEX('04A_국토부원자료'!$A:$T,ROW()+1,MATCH("전용면적(㎡)",'04A_국토부원자료'!$A$4:$T$4,0)),",","")),"")</f>
        <v/>
      </c>
      <c r="F26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19" s="51">
        <f>IFERROR(VALUE(SUBSTITUTE(INDEX('04A_국토부원자료'!$A:$T,ROW()+1,MATCH("거래금액(만원)",'04A_국토부원자료'!$A$4:$T$4,0)),",","")),"")</f>
        <v/>
      </c>
      <c r="H2619" s="174">
        <f>IF(G2619="","",G2619*10000)</f>
        <v/>
      </c>
      <c r="I2619" s="174">
        <f>IFERROR(IF(AND(H2619&gt;0,E2619&gt;0),H2619/E2619,""),"")</f>
        <v/>
      </c>
      <c r="J2619" s="152">
        <f>IFERROR(VALUE(SUBSTITUTE(INDEX('04A_국토부원자료'!$A:$T,ROW()+1,MATCH("층",'04A_국토부원자료'!$A$4:$T$4,0)),",","")),"")</f>
        <v/>
      </c>
      <c r="K2619" s="152">
        <f>IFERROR(VALUE(SUBSTITUTE(INDEX('04A_국토부원자료'!$A:$T,ROW()+1,MATCH("건축년도",'04A_국토부원자료'!$A$4:$T$4,0)),",","")),"")</f>
        <v/>
      </c>
      <c r="L2619" s="48">
        <f>IFERROR(INDEX('04A_국토부원자료'!$A:$T,ROW()+1,MATCH("도로명",'04A_국토부원자료'!$A$4:$T$4,0)),"")</f>
        <v/>
      </c>
      <c r="M2619" s="48">
        <f>IFERROR(INDEX('04A_국토부원자료'!$A:$T,ROW()+1,MATCH("거래유형",'04A_국토부원자료'!$A$4:$T$4,0)),"")</f>
        <v/>
      </c>
      <c r="N2619" s="152">
        <f>IF(B2619="","",IF('02_대상물건입력'!B5="",1,IF(ISNUMBER(SEARCH('02_대상물건입력'!B5,B2619)),1,0)))</f>
        <v/>
      </c>
      <c r="O2619" s="152">
        <f>IF(B2619="","",IF('02_대상물건입력'!B6="",1,IF(ISNUMBER(SEARCH('02_대상물건입력'!B6,B2619)),1,0)))</f>
        <v/>
      </c>
      <c r="P2619" s="152">
        <f>IF(L2619="","",IF('02_대상물건입력'!B15="",0,IF(ISNUMBER(SEARCH('02_대상물건입력'!B15,L2619)),1,0)))</f>
        <v/>
      </c>
      <c r="Q2619" s="152">
        <f>IF(OR(C2619="",L2619=""),0,IF(AND(TRIM(C2619)=TRIM(RIGHT(SUBSTITUTE(TRIM('02_대상물건입력'!$B$7)," ",REPT(" ",99)),99)),IF('02_대상물건입력'!B15="",TRUE(),ISNUMBER(SEARCH('02_대상물건입력'!B15,L2619)))),1,0))</f>
        <v/>
      </c>
      <c r="R2619" s="175">
        <f>IFERROR(ABS(E2619-'02_대상물건입력'!B11)/'02_대상물건입력'!B11,"")</f>
        <v/>
      </c>
      <c r="S2619" s="152">
        <f>IFERROR(ABS(J2619-'02_대상물건입력'!B10),"")</f>
        <v/>
      </c>
      <c r="T2619" s="152">
        <f>IFERROR(ABS('01_설정'!B4-F2619),"")</f>
        <v/>
      </c>
      <c r="U2619" s="152">
        <f>IFERROR(ABS(K2619-YEAR('02_대상물건입력'!B14)),"")</f>
        <v/>
      </c>
      <c r="V2619" s="152">
        <f>IF(B2619="","",IF(AND(E2619&gt;0,F2619&gt;0,H2619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2619=1,TRUE()),R2619&lt;='01_설정'!B5,S2619&lt;='01_설정'!B6,T2619&lt;='01_설정'!B7,U2619&lt;='01_설정'!B8),"Y",""))</f>
        <v/>
      </c>
      <c r="W2619" s="172">
        <f>IF(V2619&lt;&gt;"Y","",MAX(0,(1-R2619/'01_설정'!B5))*'01_설정'!B14+MAX(0,(1-S2619/'01_설정'!B6))*'01_설정'!B15+MAX(0,(1-T2619/'01_설정'!B7))*'01_설정'!B16+MAX(0,(1-U2619/'01_설정'!B8))*'01_설정'!B17+O2619*'01_설정'!B11+Q2619*'01_설정'!B12+P2619*'01_설정'!B13+IF(Z2619="",0,Z2619))</f>
        <v/>
      </c>
      <c r="X2619" s="152">
        <f>IF(W2619="","",1+COUNTIFS($W$4:$W$3003,"&gt;"&amp;W2619)+COUNTIFS($W$4:W2619,W2619)-1)</f>
        <v/>
      </c>
      <c r="Y2619" s="175">
        <f>IF(OR(I2619="",'02_대상물건입력'!B19="",'02_대상물건입력'!B19&lt;=0),"",ABS(I2619-'02_대상물건입력'!B19)/'02_대상물건입력'!B19)</f>
        <v/>
      </c>
      <c r="Z2619" s="172">
        <f>IF(OR(Y2619="",'01_설정'!B31="",'01_설정'!B31&lt;=0,'01_설정'!B32="",'01_설정'!B32&lt;=0),"",MAX(0,(1-Y2619/'01_설정'!B32))*'01_설정'!B31)</f>
        <v/>
      </c>
    </row>
    <row r="2620" ht="17.25" customHeight="1">
      <c r="A2620" s="152">
        <f>IF(INDEX('04A_국토부원자료'!$A:$A,ROW()+1)="","",ROW()-3)</f>
        <v/>
      </c>
      <c r="B2620" s="48">
        <f>IFERROR(INDEX('04A_국토부원자료'!$A:$T,ROW()+1,MATCH("시군구",'04A_국토부원자료'!$A$4:$T$4,0)),"")</f>
        <v/>
      </c>
      <c r="C2620" s="48">
        <f>IF(B2620="","",IFERROR(INDEX('04A_국토부원자료'!$A:$T,ROW()+1,MATCH("번지",'04A_국토부원자료'!$A$4:$T$4,0)),""))</f>
        <v/>
      </c>
      <c r="D2620" s="48">
        <f>IF(B2620="","",IF(Q2620=1,'02_대상물건입력'!$B$8,IFERROR(INDEX('04A_국토부원자료'!$A:$T,ROW()+1,MATCH("단지명",'04A_국토부원자료'!$A$4:$T$4,0)),"")))</f>
        <v/>
      </c>
      <c r="E2620" s="172">
        <f>IFERROR(VALUE(SUBSTITUTE(INDEX('04A_국토부원자료'!$A:$T,ROW()+1,MATCH("전용면적(㎡)",'04A_국토부원자료'!$A$4:$T$4,0)),",","")),"")</f>
        <v/>
      </c>
      <c r="F26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20" s="51">
        <f>IFERROR(VALUE(SUBSTITUTE(INDEX('04A_국토부원자료'!$A:$T,ROW()+1,MATCH("거래금액(만원)",'04A_국토부원자료'!$A$4:$T$4,0)),",","")),"")</f>
        <v/>
      </c>
      <c r="H2620" s="174">
        <f>IF(G2620="","",G2620*10000)</f>
        <v/>
      </c>
      <c r="I2620" s="174">
        <f>IFERROR(IF(AND(H2620&gt;0,E2620&gt;0),H2620/E2620,""),"")</f>
        <v/>
      </c>
      <c r="J2620" s="152">
        <f>IFERROR(VALUE(SUBSTITUTE(INDEX('04A_국토부원자료'!$A:$T,ROW()+1,MATCH("층",'04A_국토부원자료'!$A$4:$T$4,0)),",","")),"")</f>
        <v/>
      </c>
      <c r="K2620" s="152">
        <f>IFERROR(VALUE(SUBSTITUTE(INDEX('04A_국토부원자료'!$A:$T,ROW()+1,MATCH("건축년도",'04A_국토부원자료'!$A$4:$T$4,0)),",","")),"")</f>
        <v/>
      </c>
      <c r="L2620" s="48">
        <f>IFERROR(INDEX('04A_국토부원자료'!$A:$T,ROW()+1,MATCH("도로명",'04A_국토부원자료'!$A$4:$T$4,0)),"")</f>
        <v/>
      </c>
      <c r="M2620" s="48">
        <f>IFERROR(INDEX('04A_국토부원자료'!$A:$T,ROW()+1,MATCH("거래유형",'04A_국토부원자료'!$A$4:$T$4,0)),"")</f>
        <v/>
      </c>
      <c r="N2620" s="152">
        <f>IF(B2620="","",IF('02_대상물건입력'!B5="",1,IF(ISNUMBER(SEARCH('02_대상물건입력'!B5,B2620)),1,0)))</f>
        <v/>
      </c>
      <c r="O2620" s="152">
        <f>IF(B2620="","",IF('02_대상물건입력'!B6="",1,IF(ISNUMBER(SEARCH('02_대상물건입력'!B6,B2620)),1,0)))</f>
        <v/>
      </c>
      <c r="P2620" s="152">
        <f>IF(L2620="","",IF('02_대상물건입력'!B15="",0,IF(ISNUMBER(SEARCH('02_대상물건입력'!B15,L2620)),1,0)))</f>
        <v/>
      </c>
      <c r="Q2620" s="152">
        <f>IF(OR(C2620="",L2620=""),0,IF(AND(TRIM(C2620)=TRIM(RIGHT(SUBSTITUTE(TRIM('02_대상물건입력'!$B$7)," ",REPT(" ",99)),99)),IF('02_대상물건입력'!B15="",TRUE(),ISNUMBER(SEARCH('02_대상물건입력'!B15,L2620)))),1,0))</f>
        <v/>
      </c>
      <c r="R2620" s="175">
        <f>IFERROR(ABS(E2620-'02_대상물건입력'!B11)/'02_대상물건입력'!B11,"")</f>
        <v/>
      </c>
      <c r="S2620" s="152">
        <f>IFERROR(ABS(J2620-'02_대상물건입력'!B10),"")</f>
        <v/>
      </c>
      <c r="T2620" s="152">
        <f>IFERROR(ABS('01_설정'!B4-F2620),"")</f>
        <v/>
      </c>
      <c r="U2620" s="152">
        <f>IFERROR(ABS(K2620-YEAR('02_대상물건입력'!B14)),"")</f>
        <v/>
      </c>
      <c r="V2620" s="152">
        <f>IF(B2620="","",IF(AND(E2620&gt;0,F2620&gt;0,H2620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2620=1,TRUE()),R2620&lt;='01_설정'!B5,S2620&lt;='01_설정'!B6,T2620&lt;='01_설정'!B7,U2620&lt;='01_설정'!B8),"Y",""))</f>
        <v/>
      </c>
      <c r="W2620" s="172">
        <f>IF(V2620&lt;&gt;"Y","",MAX(0,(1-R2620/'01_설정'!B5))*'01_설정'!B14+MAX(0,(1-S2620/'01_설정'!B6))*'01_설정'!B15+MAX(0,(1-T2620/'01_설정'!B7))*'01_설정'!B16+MAX(0,(1-U2620/'01_설정'!B8))*'01_설정'!B17+O2620*'01_설정'!B11+Q2620*'01_설정'!B12+P2620*'01_설정'!B13+IF(Z2620="",0,Z2620))</f>
        <v/>
      </c>
      <c r="X2620" s="152">
        <f>IF(W2620="","",1+COUNTIFS($W$4:$W$3003,"&gt;"&amp;W2620)+COUNTIFS($W$4:W2620,W2620)-1)</f>
        <v/>
      </c>
      <c r="Y2620" s="175">
        <f>IF(OR(I2620="",'02_대상물건입력'!B19="",'02_대상물건입력'!B19&lt;=0),"",ABS(I2620-'02_대상물건입력'!B19)/'02_대상물건입력'!B19)</f>
        <v/>
      </c>
      <c r="Z2620" s="172">
        <f>IF(OR(Y2620="",'01_설정'!B31="",'01_설정'!B31&lt;=0,'01_설정'!B32="",'01_설정'!B32&lt;=0),"",MAX(0,(1-Y2620/'01_설정'!B32))*'01_설정'!B31)</f>
        <v/>
      </c>
    </row>
    <row r="2621" ht="17.25" customHeight="1">
      <c r="A2621" s="152">
        <f>IF(INDEX('04A_국토부원자료'!$A:$A,ROW()+1)="","",ROW()-3)</f>
        <v/>
      </c>
      <c r="B2621" s="48">
        <f>IFERROR(INDEX('04A_국토부원자료'!$A:$T,ROW()+1,MATCH("시군구",'04A_국토부원자료'!$A$4:$T$4,0)),"")</f>
        <v/>
      </c>
      <c r="C2621" s="48">
        <f>IF(B2621="","",IFERROR(INDEX('04A_국토부원자료'!$A:$T,ROW()+1,MATCH("번지",'04A_국토부원자료'!$A$4:$T$4,0)),""))</f>
        <v/>
      </c>
      <c r="D2621" s="48">
        <f>IF(B2621="","",IF(Q2621=1,'02_대상물건입력'!$B$8,IFERROR(INDEX('04A_국토부원자료'!$A:$T,ROW()+1,MATCH("단지명",'04A_국토부원자료'!$A$4:$T$4,0)),"")))</f>
        <v/>
      </c>
      <c r="E2621" s="172">
        <f>IFERROR(VALUE(SUBSTITUTE(INDEX('04A_국토부원자료'!$A:$T,ROW()+1,MATCH("전용면적(㎡)",'04A_국토부원자료'!$A$4:$T$4,0)),",","")),"")</f>
        <v/>
      </c>
      <c r="F26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21" s="51">
        <f>IFERROR(VALUE(SUBSTITUTE(INDEX('04A_국토부원자료'!$A:$T,ROW()+1,MATCH("거래금액(만원)",'04A_국토부원자료'!$A$4:$T$4,0)),",","")),"")</f>
        <v/>
      </c>
      <c r="H2621" s="174">
        <f>IF(G2621="","",G2621*10000)</f>
        <v/>
      </c>
      <c r="I2621" s="174">
        <f>IFERROR(IF(AND(H2621&gt;0,E2621&gt;0),H2621/E2621,""),"")</f>
        <v/>
      </c>
      <c r="J2621" s="152">
        <f>IFERROR(VALUE(SUBSTITUTE(INDEX('04A_국토부원자료'!$A:$T,ROW()+1,MATCH("층",'04A_국토부원자료'!$A$4:$T$4,0)),",","")),"")</f>
        <v/>
      </c>
      <c r="K2621" s="152">
        <f>IFERROR(VALUE(SUBSTITUTE(INDEX('04A_국토부원자료'!$A:$T,ROW()+1,MATCH("건축년도",'04A_국토부원자료'!$A$4:$T$4,0)),",","")),"")</f>
        <v/>
      </c>
      <c r="L2621" s="48">
        <f>IFERROR(INDEX('04A_국토부원자료'!$A:$T,ROW()+1,MATCH("도로명",'04A_국토부원자료'!$A$4:$T$4,0)),"")</f>
        <v/>
      </c>
      <c r="M2621" s="48">
        <f>IFERROR(INDEX('04A_국토부원자료'!$A:$T,ROW()+1,MATCH("거래유형",'04A_국토부원자료'!$A$4:$T$4,0)),"")</f>
        <v/>
      </c>
      <c r="N2621" s="152">
        <f>IF(B2621="","",IF('02_대상물건입력'!B5="",1,IF(ISNUMBER(SEARCH('02_대상물건입력'!B5,B2621)),1,0)))</f>
        <v/>
      </c>
      <c r="O2621" s="152">
        <f>IF(B2621="","",IF('02_대상물건입력'!B6="",1,IF(ISNUMBER(SEARCH('02_대상물건입력'!B6,B2621)),1,0)))</f>
        <v/>
      </c>
      <c r="P2621" s="152">
        <f>IF(L2621="","",IF('02_대상물건입력'!B15="",0,IF(ISNUMBER(SEARCH('02_대상물건입력'!B15,L2621)),1,0)))</f>
        <v/>
      </c>
      <c r="Q2621" s="152">
        <f>IF(OR(C2621="",L2621=""),0,IF(AND(TRIM(C2621)=TRIM(RIGHT(SUBSTITUTE(TRIM('02_대상물건입력'!$B$7)," ",REPT(" ",99)),99)),IF('02_대상물건입력'!B15="",TRUE(),ISNUMBER(SEARCH('02_대상물건입력'!B15,L2621)))),1,0))</f>
        <v/>
      </c>
      <c r="R2621" s="175">
        <f>IFERROR(ABS(E2621-'02_대상물건입력'!B11)/'02_대상물건입력'!B11,"")</f>
        <v/>
      </c>
      <c r="S2621" s="152">
        <f>IFERROR(ABS(J2621-'02_대상물건입력'!B10),"")</f>
        <v/>
      </c>
      <c r="T2621" s="152">
        <f>IFERROR(ABS('01_설정'!B4-F2621),"")</f>
        <v/>
      </c>
      <c r="U2621" s="152">
        <f>IFERROR(ABS(K2621-YEAR('02_대상물건입력'!B14)),"")</f>
        <v/>
      </c>
      <c r="V2621" s="152">
        <f>IF(B2621="","",IF(AND(E2621&gt;0,F2621&gt;0,H2621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2621=1,TRUE()),R2621&lt;='01_설정'!B5,S2621&lt;='01_설정'!B6,T2621&lt;='01_설정'!B7,U2621&lt;='01_설정'!B8),"Y",""))</f>
        <v/>
      </c>
      <c r="W2621" s="172">
        <f>IF(V2621&lt;&gt;"Y","",MAX(0,(1-R2621/'01_설정'!B5))*'01_설정'!B14+MAX(0,(1-S2621/'01_설정'!B6))*'01_설정'!B15+MAX(0,(1-T2621/'01_설정'!B7))*'01_설정'!B16+MAX(0,(1-U2621/'01_설정'!B8))*'01_설정'!B17+O2621*'01_설정'!B11+Q2621*'01_설정'!B12+P2621*'01_설정'!B13+IF(Z2621="",0,Z2621))</f>
        <v/>
      </c>
      <c r="X2621" s="152">
        <f>IF(W2621="","",1+COUNTIFS($W$4:$W$3003,"&gt;"&amp;W2621)+COUNTIFS($W$4:W2621,W2621)-1)</f>
        <v/>
      </c>
      <c r="Y2621" s="175">
        <f>IF(OR(I2621="",'02_대상물건입력'!B19="",'02_대상물건입력'!B19&lt;=0),"",ABS(I2621-'02_대상물건입력'!B19)/'02_대상물건입력'!B19)</f>
        <v/>
      </c>
      <c r="Z2621" s="172">
        <f>IF(OR(Y2621="",'01_설정'!B31="",'01_설정'!B31&lt;=0,'01_설정'!B32="",'01_설정'!B32&lt;=0),"",MAX(0,(1-Y2621/'01_설정'!B32))*'01_설정'!B31)</f>
        <v/>
      </c>
    </row>
    <row r="2622" ht="17.25" customHeight="1">
      <c r="A2622" s="152">
        <f>IF(INDEX('04A_국토부원자료'!$A:$A,ROW()+1)="","",ROW()-3)</f>
        <v/>
      </c>
      <c r="B2622" s="48">
        <f>IFERROR(INDEX('04A_국토부원자료'!$A:$T,ROW()+1,MATCH("시군구",'04A_국토부원자료'!$A$4:$T$4,0)),"")</f>
        <v/>
      </c>
      <c r="C2622" s="48">
        <f>IF(B2622="","",IFERROR(INDEX('04A_국토부원자료'!$A:$T,ROW()+1,MATCH("번지",'04A_국토부원자료'!$A$4:$T$4,0)),""))</f>
        <v/>
      </c>
      <c r="D2622" s="48">
        <f>IF(B2622="","",IF(Q2622=1,'02_대상물건입력'!$B$8,IFERROR(INDEX('04A_국토부원자료'!$A:$T,ROW()+1,MATCH("단지명",'04A_국토부원자료'!$A$4:$T$4,0)),"")))</f>
        <v/>
      </c>
      <c r="E2622" s="172">
        <f>IFERROR(VALUE(SUBSTITUTE(INDEX('04A_국토부원자료'!$A:$T,ROW()+1,MATCH("전용면적(㎡)",'04A_국토부원자료'!$A$4:$T$4,0)),",","")),"")</f>
        <v/>
      </c>
      <c r="F26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22" s="51">
        <f>IFERROR(VALUE(SUBSTITUTE(INDEX('04A_국토부원자료'!$A:$T,ROW()+1,MATCH("거래금액(만원)",'04A_국토부원자료'!$A$4:$T$4,0)),",","")),"")</f>
        <v/>
      </c>
      <c r="H2622" s="174">
        <f>IF(G2622="","",G2622*10000)</f>
        <v/>
      </c>
      <c r="I2622" s="174">
        <f>IFERROR(IF(AND(H2622&gt;0,E2622&gt;0),H2622/E2622,""),"")</f>
        <v/>
      </c>
      <c r="J2622" s="152">
        <f>IFERROR(VALUE(SUBSTITUTE(INDEX('04A_국토부원자료'!$A:$T,ROW()+1,MATCH("층",'04A_국토부원자료'!$A$4:$T$4,0)),",","")),"")</f>
        <v/>
      </c>
      <c r="K2622" s="152">
        <f>IFERROR(VALUE(SUBSTITUTE(INDEX('04A_국토부원자료'!$A:$T,ROW()+1,MATCH("건축년도",'04A_국토부원자료'!$A$4:$T$4,0)),",","")),"")</f>
        <v/>
      </c>
      <c r="L2622" s="48">
        <f>IFERROR(INDEX('04A_국토부원자료'!$A:$T,ROW()+1,MATCH("도로명",'04A_국토부원자료'!$A$4:$T$4,0)),"")</f>
        <v/>
      </c>
      <c r="M2622" s="48">
        <f>IFERROR(INDEX('04A_국토부원자료'!$A:$T,ROW()+1,MATCH("거래유형",'04A_국토부원자료'!$A$4:$T$4,0)),"")</f>
        <v/>
      </c>
      <c r="N2622" s="152">
        <f>IF(B2622="","",IF('02_대상물건입력'!B5="",1,IF(ISNUMBER(SEARCH('02_대상물건입력'!B5,B2622)),1,0)))</f>
        <v/>
      </c>
      <c r="O2622" s="152">
        <f>IF(B2622="","",IF('02_대상물건입력'!B6="",1,IF(ISNUMBER(SEARCH('02_대상물건입력'!B6,B2622)),1,0)))</f>
        <v/>
      </c>
      <c r="P2622" s="152">
        <f>IF(L2622="","",IF('02_대상물건입력'!B15="",0,IF(ISNUMBER(SEARCH('02_대상물건입력'!B15,L2622)),1,0)))</f>
        <v/>
      </c>
      <c r="Q2622" s="152">
        <f>IF(OR(C2622="",L2622=""),0,IF(AND(TRIM(C2622)=TRIM(RIGHT(SUBSTITUTE(TRIM('02_대상물건입력'!$B$7)," ",REPT(" ",99)),99)),IF('02_대상물건입력'!B15="",TRUE(),ISNUMBER(SEARCH('02_대상물건입력'!B15,L2622)))),1,0))</f>
        <v/>
      </c>
      <c r="R2622" s="175">
        <f>IFERROR(ABS(E2622-'02_대상물건입력'!B11)/'02_대상물건입력'!B11,"")</f>
        <v/>
      </c>
      <c r="S2622" s="152">
        <f>IFERROR(ABS(J2622-'02_대상물건입력'!B10),"")</f>
        <v/>
      </c>
      <c r="T2622" s="152">
        <f>IFERROR(ABS('01_설정'!B4-F2622),"")</f>
        <v/>
      </c>
      <c r="U2622" s="152">
        <f>IFERROR(ABS(K2622-YEAR('02_대상물건입력'!B14)),"")</f>
        <v/>
      </c>
      <c r="V2622" s="152">
        <f>IF(B2622="","",IF(AND(E2622&gt;0,F2622&gt;0,H2622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2622=1,TRUE()),R2622&lt;='01_설정'!B5,S2622&lt;='01_설정'!B6,T2622&lt;='01_설정'!B7,U2622&lt;='01_설정'!B8),"Y",""))</f>
        <v/>
      </c>
      <c r="W2622" s="172">
        <f>IF(V2622&lt;&gt;"Y","",MAX(0,(1-R2622/'01_설정'!B5))*'01_설정'!B14+MAX(0,(1-S2622/'01_설정'!B6))*'01_설정'!B15+MAX(0,(1-T2622/'01_설정'!B7))*'01_설정'!B16+MAX(0,(1-U2622/'01_설정'!B8))*'01_설정'!B17+O2622*'01_설정'!B11+Q2622*'01_설정'!B12+P2622*'01_설정'!B13+IF(Z2622="",0,Z2622))</f>
        <v/>
      </c>
      <c r="X2622" s="152">
        <f>IF(W2622="","",1+COUNTIFS($W$4:$W$3003,"&gt;"&amp;W2622)+COUNTIFS($W$4:W2622,W2622)-1)</f>
        <v/>
      </c>
      <c r="Y2622" s="175">
        <f>IF(OR(I2622="",'02_대상물건입력'!B19="",'02_대상물건입력'!B19&lt;=0),"",ABS(I2622-'02_대상물건입력'!B19)/'02_대상물건입력'!B19)</f>
        <v/>
      </c>
      <c r="Z2622" s="172">
        <f>IF(OR(Y2622="",'01_설정'!B31="",'01_설정'!B31&lt;=0,'01_설정'!B32="",'01_설정'!B32&lt;=0),"",MAX(0,(1-Y2622/'01_설정'!B32))*'01_설정'!B31)</f>
        <v/>
      </c>
    </row>
    <row r="2623" ht="17.25" customHeight="1">
      <c r="A2623" s="152">
        <f>IF(INDEX('04A_국토부원자료'!$A:$A,ROW()+1)="","",ROW()-3)</f>
        <v/>
      </c>
      <c r="B2623" s="48">
        <f>IFERROR(INDEX('04A_국토부원자료'!$A:$T,ROW()+1,MATCH("시군구",'04A_국토부원자료'!$A$4:$T$4,0)),"")</f>
        <v/>
      </c>
      <c r="C2623" s="48">
        <f>IF(B2623="","",IFERROR(INDEX('04A_국토부원자료'!$A:$T,ROW()+1,MATCH("번지",'04A_국토부원자료'!$A$4:$T$4,0)),""))</f>
        <v/>
      </c>
      <c r="D2623" s="48">
        <f>IF(B2623="","",IF(Q2623=1,'02_대상물건입력'!$B$8,IFERROR(INDEX('04A_국토부원자료'!$A:$T,ROW()+1,MATCH("단지명",'04A_국토부원자료'!$A$4:$T$4,0)),"")))</f>
        <v/>
      </c>
      <c r="E2623" s="172">
        <f>IFERROR(VALUE(SUBSTITUTE(INDEX('04A_국토부원자료'!$A:$T,ROW()+1,MATCH("전용면적(㎡)",'04A_국토부원자료'!$A$4:$T$4,0)),",","")),"")</f>
        <v/>
      </c>
      <c r="F26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23" s="51">
        <f>IFERROR(VALUE(SUBSTITUTE(INDEX('04A_국토부원자료'!$A:$T,ROW()+1,MATCH("거래금액(만원)",'04A_국토부원자료'!$A$4:$T$4,0)),",","")),"")</f>
        <v/>
      </c>
      <c r="H2623" s="174">
        <f>IF(G2623="","",G2623*10000)</f>
        <v/>
      </c>
      <c r="I2623" s="174">
        <f>IFERROR(IF(AND(H2623&gt;0,E2623&gt;0),H2623/E2623,""),"")</f>
        <v/>
      </c>
      <c r="J2623" s="152">
        <f>IFERROR(VALUE(SUBSTITUTE(INDEX('04A_국토부원자료'!$A:$T,ROW()+1,MATCH("층",'04A_국토부원자료'!$A$4:$T$4,0)),",","")),"")</f>
        <v/>
      </c>
      <c r="K2623" s="152">
        <f>IFERROR(VALUE(SUBSTITUTE(INDEX('04A_국토부원자료'!$A:$T,ROW()+1,MATCH("건축년도",'04A_국토부원자료'!$A$4:$T$4,0)),",","")),"")</f>
        <v/>
      </c>
      <c r="L2623" s="48">
        <f>IFERROR(INDEX('04A_국토부원자료'!$A:$T,ROW()+1,MATCH("도로명",'04A_국토부원자료'!$A$4:$T$4,0)),"")</f>
        <v/>
      </c>
      <c r="M2623" s="48">
        <f>IFERROR(INDEX('04A_국토부원자료'!$A:$T,ROW()+1,MATCH("거래유형",'04A_국토부원자료'!$A$4:$T$4,0)),"")</f>
        <v/>
      </c>
      <c r="N2623" s="152">
        <f>IF(B2623="","",IF('02_대상물건입력'!B5="",1,IF(ISNUMBER(SEARCH('02_대상물건입력'!B5,B2623)),1,0)))</f>
        <v/>
      </c>
      <c r="O2623" s="152">
        <f>IF(B2623="","",IF('02_대상물건입력'!B6="",1,IF(ISNUMBER(SEARCH('02_대상물건입력'!B6,B2623)),1,0)))</f>
        <v/>
      </c>
      <c r="P2623" s="152">
        <f>IF(L2623="","",IF('02_대상물건입력'!B15="",0,IF(ISNUMBER(SEARCH('02_대상물건입력'!B15,L2623)),1,0)))</f>
        <v/>
      </c>
      <c r="Q2623" s="152">
        <f>IF(OR(C2623="",L2623=""),0,IF(AND(TRIM(C2623)=TRIM(RIGHT(SUBSTITUTE(TRIM('02_대상물건입력'!$B$7)," ",REPT(" ",99)),99)),IF('02_대상물건입력'!B15="",TRUE(),ISNUMBER(SEARCH('02_대상물건입력'!B15,L2623)))),1,0))</f>
        <v/>
      </c>
      <c r="R2623" s="175">
        <f>IFERROR(ABS(E2623-'02_대상물건입력'!B11)/'02_대상물건입력'!B11,"")</f>
        <v/>
      </c>
      <c r="S2623" s="152">
        <f>IFERROR(ABS(J2623-'02_대상물건입력'!B10),"")</f>
        <v/>
      </c>
      <c r="T2623" s="152">
        <f>IFERROR(ABS('01_설정'!B4-F2623),"")</f>
        <v/>
      </c>
      <c r="U2623" s="152">
        <f>IFERROR(ABS(K2623-YEAR('02_대상물건입력'!B14)),"")</f>
        <v/>
      </c>
      <c r="V2623" s="152">
        <f>IF(B2623="","",IF(AND(E2623&gt;0,F2623&gt;0,H2623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2623=1,TRUE()),R2623&lt;='01_설정'!B5,S2623&lt;='01_설정'!B6,T2623&lt;='01_설정'!B7,U2623&lt;='01_설정'!B8),"Y",""))</f>
        <v/>
      </c>
      <c r="W2623" s="172">
        <f>IF(V2623&lt;&gt;"Y","",MAX(0,(1-R2623/'01_설정'!B5))*'01_설정'!B14+MAX(0,(1-S2623/'01_설정'!B6))*'01_설정'!B15+MAX(0,(1-T2623/'01_설정'!B7))*'01_설정'!B16+MAX(0,(1-U2623/'01_설정'!B8))*'01_설정'!B17+O2623*'01_설정'!B11+Q2623*'01_설정'!B12+P2623*'01_설정'!B13+IF(Z2623="",0,Z2623))</f>
        <v/>
      </c>
      <c r="X2623" s="152">
        <f>IF(W2623="","",1+COUNTIFS($W$4:$W$3003,"&gt;"&amp;W2623)+COUNTIFS($W$4:W2623,W2623)-1)</f>
        <v/>
      </c>
      <c r="Y2623" s="175">
        <f>IF(OR(I2623="",'02_대상물건입력'!B19="",'02_대상물건입력'!B19&lt;=0),"",ABS(I2623-'02_대상물건입력'!B19)/'02_대상물건입력'!B19)</f>
        <v/>
      </c>
      <c r="Z2623" s="172">
        <f>IF(OR(Y2623="",'01_설정'!B31="",'01_설정'!B31&lt;=0,'01_설정'!B32="",'01_설정'!B32&lt;=0),"",MAX(0,(1-Y2623/'01_설정'!B32))*'01_설정'!B31)</f>
        <v/>
      </c>
    </row>
    <row r="2624" ht="17.25" customHeight="1">
      <c r="A2624" s="152">
        <f>IF(INDEX('04A_국토부원자료'!$A:$A,ROW()+1)="","",ROW()-3)</f>
        <v/>
      </c>
      <c r="B2624" s="48">
        <f>IFERROR(INDEX('04A_국토부원자료'!$A:$T,ROW()+1,MATCH("시군구",'04A_국토부원자료'!$A$4:$T$4,0)),"")</f>
        <v/>
      </c>
      <c r="C2624" s="48">
        <f>IF(B2624="","",IFERROR(INDEX('04A_국토부원자료'!$A:$T,ROW()+1,MATCH("번지",'04A_국토부원자료'!$A$4:$T$4,0)),""))</f>
        <v/>
      </c>
      <c r="D2624" s="48">
        <f>IF(B2624="","",IF(Q2624=1,'02_대상물건입력'!$B$8,IFERROR(INDEX('04A_국토부원자료'!$A:$T,ROW()+1,MATCH("단지명",'04A_국토부원자료'!$A$4:$T$4,0)),"")))</f>
        <v/>
      </c>
      <c r="E2624" s="172">
        <f>IFERROR(VALUE(SUBSTITUTE(INDEX('04A_국토부원자료'!$A:$T,ROW()+1,MATCH("전용면적(㎡)",'04A_국토부원자료'!$A$4:$T$4,0)),",","")),"")</f>
        <v/>
      </c>
      <c r="F26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24" s="51">
        <f>IFERROR(VALUE(SUBSTITUTE(INDEX('04A_국토부원자료'!$A:$T,ROW()+1,MATCH("거래금액(만원)",'04A_국토부원자료'!$A$4:$T$4,0)),",","")),"")</f>
        <v/>
      </c>
      <c r="H2624" s="174">
        <f>IF(G2624="","",G2624*10000)</f>
        <v/>
      </c>
      <c r="I2624" s="174">
        <f>IFERROR(IF(AND(H2624&gt;0,E2624&gt;0),H2624/E2624,""),"")</f>
        <v/>
      </c>
      <c r="J2624" s="152">
        <f>IFERROR(VALUE(SUBSTITUTE(INDEX('04A_국토부원자료'!$A:$T,ROW()+1,MATCH("층",'04A_국토부원자료'!$A$4:$T$4,0)),",","")),"")</f>
        <v/>
      </c>
      <c r="K2624" s="152">
        <f>IFERROR(VALUE(SUBSTITUTE(INDEX('04A_국토부원자료'!$A:$T,ROW()+1,MATCH("건축년도",'04A_국토부원자료'!$A$4:$T$4,0)),",","")),"")</f>
        <v/>
      </c>
      <c r="L2624" s="48">
        <f>IFERROR(INDEX('04A_국토부원자료'!$A:$T,ROW()+1,MATCH("도로명",'04A_국토부원자료'!$A$4:$T$4,0)),"")</f>
        <v/>
      </c>
      <c r="M2624" s="48">
        <f>IFERROR(INDEX('04A_국토부원자료'!$A:$T,ROW()+1,MATCH("거래유형",'04A_국토부원자료'!$A$4:$T$4,0)),"")</f>
        <v/>
      </c>
      <c r="N2624" s="152">
        <f>IF(B2624="","",IF('02_대상물건입력'!B5="",1,IF(ISNUMBER(SEARCH('02_대상물건입력'!B5,B2624)),1,0)))</f>
        <v/>
      </c>
      <c r="O2624" s="152">
        <f>IF(B2624="","",IF('02_대상물건입력'!B6="",1,IF(ISNUMBER(SEARCH('02_대상물건입력'!B6,B2624)),1,0)))</f>
        <v/>
      </c>
      <c r="P2624" s="152">
        <f>IF(L2624="","",IF('02_대상물건입력'!B15="",0,IF(ISNUMBER(SEARCH('02_대상물건입력'!B15,L2624)),1,0)))</f>
        <v/>
      </c>
      <c r="Q2624" s="152">
        <f>IF(OR(C2624="",L2624=""),0,IF(AND(TRIM(C2624)=TRIM(RIGHT(SUBSTITUTE(TRIM('02_대상물건입력'!$B$7)," ",REPT(" ",99)),99)),IF('02_대상물건입력'!B15="",TRUE(),ISNUMBER(SEARCH('02_대상물건입력'!B15,L2624)))),1,0))</f>
        <v/>
      </c>
      <c r="R2624" s="175">
        <f>IFERROR(ABS(E2624-'02_대상물건입력'!B11)/'02_대상물건입력'!B11,"")</f>
        <v/>
      </c>
      <c r="S2624" s="152">
        <f>IFERROR(ABS(J2624-'02_대상물건입력'!B10),"")</f>
        <v/>
      </c>
      <c r="T2624" s="152">
        <f>IFERROR(ABS('01_설정'!B4-F2624),"")</f>
        <v/>
      </c>
      <c r="U2624" s="152">
        <f>IFERROR(ABS(K2624-YEAR('02_대상물건입력'!B14)),"")</f>
        <v/>
      </c>
      <c r="V2624" s="152">
        <f>IF(B2624="","",IF(AND(E2624&gt;0,F2624&gt;0,H2624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2624=1,TRUE()),R2624&lt;='01_설정'!B5,S2624&lt;='01_설정'!B6,T2624&lt;='01_설정'!B7,U2624&lt;='01_설정'!B8),"Y",""))</f>
        <v/>
      </c>
      <c r="W2624" s="172">
        <f>IF(V2624&lt;&gt;"Y","",MAX(0,(1-R2624/'01_설정'!B5))*'01_설정'!B14+MAX(0,(1-S2624/'01_설정'!B6))*'01_설정'!B15+MAX(0,(1-T2624/'01_설정'!B7))*'01_설정'!B16+MAX(0,(1-U2624/'01_설정'!B8))*'01_설정'!B17+O2624*'01_설정'!B11+Q2624*'01_설정'!B12+P2624*'01_설정'!B13+IF(Z2624="",0,Z2624))</f>
        <v/>
      </c>
      <c r="X2624" s="152">
        <f>IF(W2624="","",1+COUNTIFS($W$4:$W$3003,"&gt;"&amp;W2624)+COUNTIFS($W$4:W2624,W2624)-1)</f>
        <v/>
      </c>
      <c r="Y2624" s="175">
        <f>IF(OR(I2624="",'02_대상물건입력'!B19="",'02_대상물건입력'!B19&lt;=0),"",ABS(I2624-'02_대상물건입력'!B19)/'02_대상물건입력'!B19)</f>
        <v/>
      </c>
      <c r="Z2624" s="172">
        <f>IF(OR(Y2624="",'01_설정'!B31="",'01_설정'!B31&lt;=0,'01_설정'!B32="",'01_설정'!B32&lt;=0),"",MAX(0,(1-Y2624/'01_설정'!B32))*'01_설정'!B31)</f>
        <v/>
      </c>
    </row>
    <row r="2625" ht="17.25" customHeight="1">
      <c r="A2625" s="152">
        <f>IF(INDEX('04A_국토부원자료'!$A:$A,ROW()+1)="","",ROW()-3)</f>
        <v/>
      </c>
      <c r="B2625" s="48">
        <f>IFERROR(INDEX('04A_국토부원자료'!$A:$T,ROW()+1,MATCH("시군구",'04A_국토부원자료'!$A$4:$T$4,0)),"")</f>
        <v/>
      </c>
      <c r="C2625" s="48">
        <f>IF(B2625="","",IFERROR(INDEX('04A_국토부원자료'!$A:$T,ROW()+1,MATCH("번지",'04A_국토부원자료'!$A$4:$T$4,0)),""))</f>
        <v/>
      </c>
      <c r="D2625" s="48">
        <f>IF(B2625="","",IF(Q2625=1,'02_대상물건입력'!$B$8,IFERROR(INDEX('04A_국토부원자료'!$A:$T,ROW()+1,MATCH("단지명",'04A_국토부원자료'!$A$4:$T$4,0)),"")))</f>
        <v/>
      </c>
      <c r="E2625" s="172">
        <f>IFERROR(VALUE(SUBSTITUTE(INDEX('04A_국토부원자료'!$A:$T,ROW()+1,MATCH("전용면적(㎡)",'04A_국토부원자료'!$A$4:$T$4,0)),",","")),"")</f>
        <v/>
      </c>
      <c r="F26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25" s="51">
        <f>IFERROR(VALUE(SUBSTITUTE(INDEX('04A_국토부원자료'!$A:$T,ROW()+1,MATCH("거래금액(만원)",'04A_국토부원자료'!$A$4:$T$4,0)),",","")),"")</f>
        <v/>
      </c>
      <c r="H2625" s="174">
        <f>IF(G2625="","",G2625*10000)</f>
        <v/>
      </c>
      <c r="I2625" s="174">
        <f>IFERROR(IF(AND(H2625&gt;0,E2625&gt;0),H2625/E2625,""),"")</f>
        <v/>
      </c>
      <c r="J2625" s="152">
        <f>IFERROR(VALUE(SUBSTITUTE(INDEX('04A_국토부원자료'!$A:$T,ROW()+1,MATCH("층",'04A_국토부원자료'!$A$4:$T$4,0)),",","")),"")</f>
        <v/>
      </c>
      <c r="K2625" s="152">
        <f>IFERROR(VALUE(SUBSTITUTE(INDEX('04A_국토부원자료'!$A:$T,ROW()+1,MATCH("건축년도",'04A_국토부원자료'!$A$4:$T$4,0)),",","")),"")</f>
        <v/>
      </c>
      <c r="L2625" s="48">
        <f>IFERROR(INDEX('04A_국토부원자료'!$A:$T,ROW()+1,MATCH("도로명",'04A_국토부원자료'!$A$4:$T$4,0)),"")</f>
        <v/>
      </c>
      <c r="M2625" s="48">
        <f>IFERROR(INDEX('04A_국토부원자료'!$A:$T,ROW()+1,MATCH("거래유형",'04A_국토부원자료'!$A$4:$T$4,0)),"")</f>
        <v/>
      </c>
      <c r="N2625" s="152">
        <f>IF(B2625="","",IF('02_대상물건입력'!B5="",1,IF(ISNUMBER(SEARCH('02_대상물건입력'!B5,B2625)),1,0)))</f>
        <v/>
      </c>
      <c r="O2625" s="152">
        <f>IF(B2625="","",IF('02_대상물건입력'!B6="",1,IF(ISNUMBER(SEARCH('02_대상물건입력'!B6,B2625)),1,0)))</f>
        <v/>
      </c>
      <c r="P2625" s="152">
        <f>IF(L2625="","",IF('02_대상물건입력'!B15="",0,IF(ISNUMBER(SEARCH('02_대상물건입력'!B15,L2625)),1,0)))</f>
        <v/>
      </c>
      <c r="Q2625" s="152">
        <f>IF(OR(C2625="",L2625=""),0,IF(AND(TRIM(C2625)=TRIM(RIGHT(SUBSTITUTE(TRIM('02_대상물건입력'!$B$7)," ",REPT(" ",99)),99)),IF('02_대상물건입력'!B15="",TRUE(),ISNUMBER(SEARCH('02_대상물건입력'!B15,L2625)))),1,0))</f>
        <v/>
      </c>
      <c r="R2625" s="175">
        <f>IFERROR(ABS(E2625-'02_대상물건입력'!B11)/'02_대상물건입력'!B11,"")</f>
        <v/>
      </c>
      <c r="S2625" s="152">
        <f>IFERROR(ABS(J2625-'02_대상물건입력'!B10),"")</f>
        <v/>
      </c>
      <c r="T2625" s="152">
        <f>IFERROR(ABS('01_설정'!B4-F2625),"")</f>
        <v/>
      </c>
      <c r="U2625" s="152">
        <f>IFERROR(ABS(K2625-YEAR('02_대상물건입력'!B14)),"")</f>
        <v/>
      </c>
      <c r="V2625" s="152">
        <f>IF(B2625="","",IF(AND(E2625&gt;0,F2625&gt;0,H2625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2625=1,TRUE()),R2625&lt;='01_설정'!B5,S2625&lt;='01_설정'!B6,T2625&lt;='01_설정'!B7,U2625&lt;='01_설정'!B8),"Y",""))</f>
        <v/>
      </c>
      <c r="W2625" s="172">
        <f>IF(V2625&lt;&gt;"Y","",MAX(0,(1-R2625/'01_설정'!B5))*'01_설정'!B14+MAX(0,(1-S2625/'01_설정'!B6))*'01_설정'!B15+MAX(0,(1-T2625/'01_설정'!B7))*'01_설정'!B16+MAX(0,(1-U2625/'01_설정'!B8))*'01_설정'!B17+O2625*'01_설정'!B11+Q2625*'01_설정'!B12+P2625*'01_설정'!B13+IF(Z2625="",0,Z2625))</f>
        <v/>
      </c>
      <c r="X2625" s="152">
        <f>IF(W2625="","",1+COUNTIFS($W$4:$W$3003,"&gt;"&amp;W2625)+COUNTIFS($W$4:W2625,W2625)-1)</f>
        <v/>
      </c>
      <c r="Y2625" s="175">
        <f>IF(OR(I2625="",'02_대상물건입력'!B19="",'02_대상물건입력'!B19&lt;=0),"",ABS(I2625-'02_대상물건입력'!B19)/'02_대상물건입력'!B19)</f>
        <v/>
      </c>
      <c r="Z2625" s="172">
        <f>IF(OR(Y2625="",'01_설정'!B31="",'01_설정'!B31&lt;=0,'01_설정'!B32="",'01_설정'!B32&lt;=0),"",MAX(0,(1-Y2625/'01_설정'!B32))*'01_설정'!B31)</f>
        <v/>
      </c>
    </row>
    <row r="2626" ht="17.25" customHeight="1">
      <c r="A2626" s="152">
        <f>IF(INDEX('04A_국토부원자료'!$A:$A,ROW()+1)="","",ROW()-3)</f>
        <v/>
      </c>
      <c r="B2626" s="48">
        <f>IFERROR(INDEX('04A_국토부원자료'!$A:$T,ROW()+1,MATCH("시군구",'04A_국토부원자료'!$A$4:$T$4,0)),"")</f>
        <v/>
      </c>
      <c r="C2626" s="48">
        <f>IF(B2626="","",IFERROR(INDEX('04A_국토부원자료'!$A:$T,ROW()+1,MATCH("번지",'04A_국토부원자료'!$A$4:$T$4,0)),""))</f>
        <v/>
      </c>
      <c r="D2626" s="48">
        <f>IF(B2626="","",IF(Q2626=1,'02_대상물건입력'!$B$8,IFERROR(INDEX('04A_국토부원자료'!$A:$T,ROW()+1,MATCH("단지명",'04A_국토부원자료'!$A$4:$T$4,0)),"")))</f>
        <v/>
      </c>
      <c r="E2626" s="172">
        <f>IFERROR(VALUE(SUBSTITUTE(INDEX('04A_국토부원자료'!$A:$T,ROW()+1,MATCH("전용면적(㎡)",'04A_국토부원자료'!$A$4:$T$4,0)),",","")),"")</f>
        <v/>
      </c>
      <c r="F26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26" s="51">
        <f>IFERROR(VALUE(SUBSTITUTE(INDEX('04A_국토부원자료'!$A:$T,ROW()+1,MATCH("거래금액(만원)",'04A_국토부원자료'!$A$4:$T$4,0)),",","")),"")</f>
        <v/>
      </c>
      <c r="H2626" s="174">
        <f>IF(G2626="","",G2626*10000)</f>
        <v/>
      </c>
      <c r="I2626" s="174">
        <f>IFERROR(IF(AND(H2626&gt;0,E2626&gt;0),H2626/E2626,""),"")</f>
        <v/>
      </c>
      <c r="J2626" s="152">
        <f>IFERROR(VALUE(SUBSTITUTE(INDEX('04A_국토부원자료'!$A:$T,ROW()+1,MATCH("층",'04A_국토부원자료'!$A$4:$T$4,0)),",","")),"")</f>
        <v/>
      </c>
      <c r="K2626" s="152">
        <f>IFERROR(VALUE(SUBSTITUTE(INDEX('04A_국토부원자료'!$A:$T,ROW()+1,MATCH("건축년도",'04A_국토부원자료'!$A$4:$T$4,0)),",","")),"")</f>
        <v/>
      </c>
      <c r="L2626" s="48">
        <f>IFERROR(INDEX('04A_국토부원자료'!$A:$T,ROW()+1,MATCH("도로명",'04A_국토부원자료'!$A$4:$T$4,0)),"")</f>
        <v/>
      </c>
      <c r="M2626" s="48">
        <f>IFERROR(INDEX('04A_국토부원자료'!$A:$T,ROW()+1,MATCH("거래유형",'04A_국토부원자료'!$A$4:$T$4,0)),"")</f>
        <v/>
      </c>
      <c r="N2626" s="152">
        <f>IF(B2626="","",IF('02_대상물건입력'!B5="",1,IF(ISNUMBER(SEARCH('02_대상물건입력'!B5,B2626)),1,0)))</f>
        <v/>
      </c>
      <c r="O2626" s="152">
        <f>IF(B2626="","",IF('02_대상물건입력'!B6="",1,IF(ISNUMBER(SEARCH('02_대상물건입력'!B6,B2626)),1,0)))</f>
        <v/>
      </c>
      <c r="P2626" s="152">
        <f>IF(L2626="","",IF('02_대상물건입력'!B15="",0,IF(ISNUMBER(SEARCH('02_대상물건입력'!B15,L2626)),1,0)))</f>
        <v/>
      </c>
      <c r="Q2626" s="152">
        <f>IF(OR(C2626="",L2626=""),0,IF(AND(TRIM(C2626)=TRIM(RIGHT(SUBSTITUTE(TRIM('02_대상물건입력'!$B$7)," ",REPT(" ",99)),99)),IF('02_대상물건입력'!B15="",TRUE(),ISNUMBER(SEARCH('02_대상물건입력'!B15,L2626)))),1,0))</f>
        <v/>
      </c>
      <c r="R2626" s="175">
        <f>IFERROR(ABS(E2626-'02_대상물건입력'!B11)/'02_대상물건입력'!B11,"")</f>
        <v/>
      </c>
      <c r="S2626" s="152">
        <f>IFERROR(ABS(J2626-'02_대상물건입력'!B10),"")</f>
        <v/>
      </c>
      <c r="T2626" s="152">
        <f>IFERROR(ABS('01_설정'!B4-F2626),"")</f>
        <v/>
      </c>
      <c r="U2626" s="152">
        <f>IFERROR(ABS(K2626-YEAR('02_대상물건입력'!B14)),"")</f>
        <v/>
      </c>
      <c r="V2626" s="152">
        <f>IF(B2626="","",IF(AND(E2626&gt;0,F2626&gt;0,H2626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2626=1,TRUE()),R2626&lt;='01_설정'!B5,S2626&lt;='01_설정'!B6,T2626&lt;='01_설정'!B7,U2626&lt;='01_설정'!B8),"Y",""))</f>
        <v/>
      </c>
      <c r="W2626" s="172">
        <f>IF(V2626&lt;&gt;"Y","",MAX(0,(1-R2626/'01_설정'!B5))*'01_설정'!B14+MAX(0,(1-S2626/'01_설정'!B6))*'01_설정'!B15+MAX(0,(1-T2626/'01_설정'!B7))*'01_설정'!B16+MAX(0,(1-U2626/'01_설정'!B8))*'01_설정'!B17+O2626*'01_설정'!B11+Q2626*'01_설정'!B12+P2626*'01_설정'!B13+IF(Z2626="",0,Z2626))</f>
        <v/>
      </c>
      <c r="X2626" s="152">
        <f>IF(W2626="","",1+COUNTIFS($W$4:$W$3003,"&gt;"&amp;W2626)+COUNTIFS($W$4:W2626,W2626)-1)</f>
        <v/>
      </c>
      <c r="Y2626" s="175">
        <f>IF(OR(I2626="",'02_대상물건입력'!B19="",'02_대상물건입력'!B19&lt;=0),"",ABS(I2626-'02_대상물건입력'!B19)/'02_대상물건입력'!B19)</f>
        <v/>
      </c>
      <c r="Z2626" s="172">
        <f>IF(OR(Y2626="",'01_설정'!B31="",'01_설정'!B31&lt;=0,'01_설정'!B32="",'01_설정'!B32&lt;=0),"",MAX(0,(1-Y2626/'01_설정'!B32))*'01_설정'!B31)</f>
        <v/>
      </c>
    </row>
    <row r="2627" ht="17.25" customHeight="1">
      <c r="A2627" s="152">
        <f>IF(INDEX('04A_국토부원자료'!$A:$A,ROW()+1)="","",ROW()-3)</f>
        <v/>
      </c>
      <c r="B2627" s="48">
        <f>IFERROR(INDEX('04A_국토부원자료'!$A:$T,ROW()+1,MATCH("시군구",'04A_국토부원자료'!$A$4:$T$4,0)),"")</f>
        <v/>
      </c>
      <c r="C2627" s="48">
        <f>IF(B2627="","",IFERROR(INDEX('04A_국토부원자료'!$A:$T,ROW()+1,MATCH("번지",'04A_국토부원자료'!$A$4:$T$4,0)),""))</f>
        <v/>
      </c>
      <c r="D2627" s="48">
        <f>IF(B2627="","",IF(Q2627=1,'02_대상물건입력'!$B$8,IFERROR(INDEX('04A_국토부원자료'!$A:$T,ROW()+1,MATCH("단지명",'04A_국토부원자료'!$A$4:$T$4,0)),"")))</f>
        <v/>
      </c>
      <c r="E2627" s="172">
        <f>IFERROR(VALUE(SUBSTITUTE(INDEX('04A_국토부원자료'!$A:$T,ROW()+1,MATCH("전용면적(㎡)",'04A_국토부원자료'!$A$4:$T$4,0)),",","")),"")</f>
        <v/>
      </c>
      <c r="F26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27" s="51">
        <f>IFERROR(VALUE(SUBSTITUTE(INDEX('04A_국토부원자료'!$A:$T,ROW()+1,MATCH("거래금액(만원)",'04A_국토부원자료'!$A$4:$T$4,0)),",","")),"")</f>
        <v/>
      </c>
      <c r="H2627" s="174">
        <f>IF(G2627="","",G2627*10000)</f>
        <v/>
      </c>
      <c r="I2627" s="174">
        <f>IFERROR(IF(AND(H2627&gt;0,E2627&gt;0),H2627/E2627,""),"")</f>
        <v/>
      </c>
      <c r="J2627" s="152">
        <f>IFERROR(VALUE(SUBSTITUTE(INDEX('04A_국토부원자료'!$A:$T,ROW()+1,MATCH("층",'04A_국토부원자료'!$A$4:$T$4,0)),",","")),"")</f>
        <v/>
      </c>
      <c r="K2627" s="152">
        <f>IFERROR(VALUE(SUBSTITUTE(INDEX('04A_국토부원자료'!$A:$T,ROW()+1,MATCH("건축년도",'04A_국토부원자료'!$A$4:$T$4,0)),",","")),"")</f>
        <v/>
      </c>
      <c r="L2627" s="48">
        <f>IFERROR(INDEX('04A_국토부원자료'!$A:$T,ROW()+1,MATCH("도로명",'04A_국토부원자료'!$A$4:$T$4,0)),"")</f>
        <v/>
      </c>
      <c r="M2627" s="48">
        <f>IFERROR(INDEX('04A_국토부원자료'!$A:$T,ROW()+1,MATCH("거래유형",'04A_국토부원자료'!$A$4:$T$4,0)),"")</f>
        <v/>
      </c>
      <c r="N2627" s="152">
        <f>IF(B2627="","",IF('02_대상물건입력'!B5="",1,IF(ISNUMBER(SEARCH('02_대상물건입력'!B5,B2627)),1,0)))</f>
        <v/>
      </c>
      <c r="O2627" s="152">
        <f>IF(B2627="","",IF('02_대상물건입력'!B6="",1,IF(ISNUMBER(SEARCH('02_대상물건입력'!B6,B2627)),1,0)))</f>
        <v/>
      </c>
      <c r="P2627" s="152">
        <f>IF(L2627="","",IF('02_대상물건입력'!B15="",0,IF(ISNUMBER(SEARCH('02_대상물건입력'!B15,L2627)),1,0)))</f>
        <v/>
      </c>
      <c r="Q2627" s="152">
        <f>IF(OR(C2627="",L2627=""),0,IF(AND(TRIM(C2627)=TRIM(RIGHT(SUBSTITUTE(TRIM('02_대상물건입력'!$B$7)," ",REPT(" ",99)),99)),IF('02_대상물건입력'!B15="",TRUE(),ISNUMBER(SEARCH('02_대상물건입력'!B15,L2627)))),1,0))</f>
        <v/>
      </c>
      <c r="R2627" s="175">
        <f>IFERROR(ABS(E2627-'02_대상물건입력'!B11)/'02_대상물건입력'!B11,"")</f>
        <v/>
      </c>
      <c r="S2627" s="152">
        <f>IFERROR(ABS(J2627-'02_대상물건입력'!B10),"")</f>
        <v/>
      </c>
      <c r="T2627" s="152">
        <f>IFERROR(ABS('01_설정'!B4-F2627),"")</f>
        <v/>
      </c>
      <c r="U2627" s="152">
        <f>IFERROR(ABS(K2627-YEAR('02_대상물건입력'!B14)),"")</f>
        <v/>
      </c>
      <c r="V2627" s="152">
        <f>IF(B2627="","",IF(AND(E2627&gt;0,F2627&gt;0,H2627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2627=1,TRUE()),R2627&lt;='01_설정'!B5,S2627&lt;='01_설정'!B6,T2627&lt;='01_설정'!B7,U2627&lt;='01_설정'!B8),"Y",""))</f>
        <v/>
      </c>
      <c r="W2627" s="172">
        <f>IF(V2627&lt;&gt;"Y","",MAX(0,(1-R2627/'01_설정'!B5))*'01_설정'!B14+MAX(0,(1-S2627/'01_설정'!B6))*'01_설정'!B15+MAX(0,(1-T2627/'01_설정'!B7))*'01_설정'!B16+MAX(0,(1-U2627/'01_설정'!B8))*'01_설정'!B17+O2627*'01_설정'!B11+Q2627*'01_설정'!B12+P2627*'01_설정'!B13+IF(Z2627="",0,Z2627))</f>
        <v/>
      </c>
      <c r="X2627" s="152">
        <f>IF(W2627="","",1+COUNTIFS($W$4:$W$3003,"&gt;"&amp;W2627)+COUNTIFS($W$4:W2627,W2627)-1)</f>
        <v/>
      </c>
      <c r="Y2627" s="175">
        <f>IF(OR(I2627="",'02_대상물건입력'!B19="",'02_대상물건입력'!B19&lt;=0),"",ABS(I2627-'02_대상물건입력'!B19)/'02_대상물건입력'!B19)</f>
        <v/>
      </c>
      <c r="Z2627" s="172">
        <f>IF(OR(Y2627="",'01_설정'!B31="",'01_설정'!B31&lt;=0,'01_설정'!B32="",'01_설정'!B32&lt;=0),"",MAX(0,(1-Y2627/'01_설정'!B32))*'01_설정'!B31)</f>
        <v/>
      </c>
    </row>
    <row r="2628" ht="17.25" customHeight="1">
      <c r="A2628" s="152">
        <f>IF(INDEX('04A_국토부원자료'!$A:$A,ROW()+1)="","",ROW()-3)</f>
        <v/>
      </c>
      <c r="B2628" s="48">
        <f>IFERROR(INDEX('04A_국토부원자료'!$A:$T,ROW()+1,MATCH("시군구",'04A_국토부원자료'!$A$4:$T$4,0)),"")</f>
        <v/>
      </c>
      <c r="C2628" s="48">
        <f>IF(B2628="","",IFERROR(INDEX('04A_국토부원자료'!$A:$T,ROW()+1,MATCH("번지",'04A_국토부원자료'!$A$4:$T$4,0)),""))</f>
        <v/>
      </c>
      <c r="D2628" s="48">
        <f>IF(B2628="","",IF(Q2628=1,'02_대상물건입력'!$B$8,IFERROR(INDEX('04A_국토부원자료'!$A:$T,ROW()+1,MATCH("단지명",'04A_국토부원자료'!$A$4:$T$4,0)),"")))</f>
        <v/>
      </c>
      <c r="E2628" s="172">
        <f>IFERROR(VALUE(SUBSTITUTE(INDEX('04A_국토부원자료'!$A:$T,ROW()+1,MATCH("전용면적(㎡)",'04A_국토부원자료'!$A$4:$T$4,0)),",","")),"")</f>
        <v/>
      </c>
      <c r="F26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28" s="51">
        <f>IFERROR(VALUE(SUBSTITUTE(INDEX('04A_국토부원자료'!$A:$T,ROW()+1,MATCH("거래금액(만원)",'04A_국토부원자료'!$A$4:$T$4,0)),",","")),"")</f>
        <v/>
      </c>
      <c r="H2628" s="174">
        <f>IF(G2628="","",G2628*10000)</f>
        <v/>
      </c>
      <c r="I2628" s="174">
        <f>IFERROR(IF(AND(H2628&gt;0,E2628&gt;0),H2628/E2628,""),"")</f>
        <v/>
      </c>
      <c r="J2628" s="152">
        <f>IFERROR(VALUE(SUBSTITUTE(INDEX('04A_국토부원자료'!$A:$T,ROW()+1,MATCH("층",'04A_국토부원자료'!$A$4:$T$4,0)),",","")),"")</f>
        <v/>
      </c>
      <c r="K2628" s="152">
        <f>IFERROR(VALUE(SUBSTITUTE(INDEX('04A_국토부원자료'!$A:$T,ROW()+1,MATCH("건축년도",'04A_국토부원자료'!$A$4:$T$4,0)),",","")),"")</f>
        <v/>
      </c>
      <c r="L2628" s="48">
        <f>IFERROR(INDEX('04A_국토부원자료'!$A:$T,ROW()+1,MATCH("도로명",'04A_국토부원자료'!$A$4:$T$4,0)),"")</f>
        <v/>
      </c>
      <c r="M2628" s="48">
        <f>IFERROR(INDEX('04A_국토부원자료'!$A:$T,ROW()+1,MATCH("거래유형",'04A_국토부원자료'!$A$4:$T$4,0)),"")</f>
        <v/>
      </c>
      <c r="N2628" s="152">
        <f>IF(B2628="","",IF('02_대상물건입력'!B5="",1,IF(ISNUMBER(SEARCH('02_대상물건입력'!B5,B2628)),1,0)))</f>
        <v/>
      </c>
      <c r="O2628" s="152">
        <f>IF(B2628="","",IF('02_대상물건입력'!B6="",1,IF(ISNUMBER(SEARCH('02_대상물건입력'!B6,B2628)),1,0)))</f>
        <v/>
      </c>
      <c r="P2628" s="152">
        <f>IF(L2628="","",IF('02_대상물건입력'!B15="",0,IF(ISNUMBER(SEARCH('02_대상물건입력'!B15,L2628)),1,0)))</f>
        <v/>
      </c>
      <c r="Q2628" s="152">
        <f>IF(OR(C2628="",L2628=""),0,IF(AND(TRIM(C2628)=TRIM(RIGHT(SUBSTITUTE(TRIM('02_대상물건입력'!$B$7)," ",REPT(" ",99)),99)),IF('02_대상물건입력'!B15="",TRUE(),ISNUMBER(SEARCH('02_대상물건입력'!B15,L2628)))),1,0))</f>
        <v/>
      </c>
      <c r="R2628" s="175">
        <f>IFERROR(ABS(E2628-'02_대상물건입력'!B11)/'02_대상물건입력'!B11,"")</f>
        <v/>
      </c>
      <c r="S2628" s="152">
        <f>IFERROR(ABS(J2628-'02_대상물건입력'!B10),"")</f>
        <v/>
      </c>
      <c r="T2628" s="152">
        <f>IFERROR(ABS('01_설정'!B4-F2628),"")</f>
        <v/>
      </c>
      <c r="U2628" s="152">
        <f>IFERROR(ABS(K2628-YEAR('02_대상물건입력'!B14)),"")</f>
        <v/>
      </c>
      <c r="V2628" s="152">
        <f>IF(B2628="","",IF(AND(E2628&gt;0,F2628&gt;0,H2628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2628=1,TRUE()),R2628&lt;='01_설정'!B5,S2628&lt;='01_설정'!B6,T2628&lt;='01_설정'!B7,U2628&lt;='01_설정'!B8),"Y",""))</f>
        <v/>
      </c>
      <c r="W2628" s="172">
        <f>IF(V2628&lt;&gt;"Y","",MAX(0,(1-R2628/'01_설정'!B5))*'01_설정'!B14+MAX(0,(1-S2628/'01_설정'!B6))*'01_설정'!B15+MAX(0,(1-T2628/'01_설정'!B7))*'01_설정'!B16+MAX(0,(1-U2628/'01_설정'!B8))*'01_설정'!B17+O2628*'01_설정'!B11+Q2628*'01_설정'!B12+P2628*'01_설정'!B13+IF(Z2628="",0,Z2628))</f>
        <v/>
      </c>
      <c r="X2628" s="152">
        <f>IF(W2628="","",1+COUNTIFS($W$4:$W$3003,"&gt;"&amp;W2628)+COUNTIFS($W$4:W2628,W2628)-1)</f>
        <v/>
      </c>
      <c r="Y2628" s="175">
        <f>IF(OR(I2628="",'02_대상물건입력'!B19="",'02_대상물건입력'!B19&lt;=0),"",ABS(I2628-'02_대상물건입력'!B19)/'02_대상물건입력'!B19)</f>
        <v/>
      </c>
      <c r="Z2628" s="172">
        <f>IF(OR(Y2628="",'01_설정'!B31="",'01_설정'!B31&lt;=0,'01_설정'!B32="",'01_설정'!B32&lt;=0),"",MAX(0,(1-Y2628/'01_설정'!B32))*'01_설정'!B31)</f>
        <v/>
      </c>
    </row>
    <row r="2629" ht="17.25" customHeight="1">
      <c r="A2629" s="152">
        <f>IF(INDEX('04A_국토부원자료'!$A:$A,ROW()+1)="","",ROW()-3)</f>
        <v/>
      </c>
      <c r="B2629" s="48">
        <f>IFERROR(INDEX('04A_국토부원자료'!$A:$T,ROW()+1,MATCH("시군구",'04A_국토부원자료'!$A$4:$T$4,0)),"")</f>
        <v/>
      </c>
      <c r="C2629" s="48">
        <f>IF(B2629="","",IFERROR(INDEX('04A_국토부원자료'!$A:$T,ROW()+1,MATCH("번지",'04A_국토부원자료'!$A$4:$T$4,0)),""))</f>
        <v/>
      </c>
      <c r="D2629" s="48">
        <f>IF(B2629="","",IF(Q2629=1,'02_대상물건입력'!$B$8,IFERROR(INDEX('04A_국토부원자료'!$A:$T,ROW()+1,MATCH("단지명",'04A_국토부원자료'!$A$4:$T$4,0)),"")))</f>
        <v/>
      </c>
      <c r="E2629" s="172">
        <f>IFERROR(VALUE(SUBSTITUTE(INDEX('04A_국토부원자료'!$A:$T,ROW()+1,MATCH("전용면적(㎡)",'04A_국토부원자료'!$A$4:$T$4,0)),",","")),"")</f>
        <v/>
      </c>
      <c r="F26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29" s="51">
        <f>IFERROR(VALUE(SUBSTITUTE(INDEX('04A_국토부원자료'!$A:$T,ROW()+1,MATCH("거래금액(만원)",'04A_국토부원자료'!$A$4:$T$4,0)),",","")),"")</f>
        <v/>
      </c>
      <c r="H2629" s="174">
        <f>IF(G2629="","",G2629*10000)</f>
        <v/>
      </c>
      <c r="I2629" s="174">
        <f>IFERROR(IF(AND(H2629&gt;0,E2629&gt;0),H2629/E2629,""),"")</f>
        <v/>
      </c>
      <c r="J2629" s="152">
        <f>IFERROR(VALUE(SUBSTITUTE(INDEX('04A_국토부원자료'!$A:$T,ROW()+1,MATCH("층",'04A_국토부원자료'!$A$4:$T$4,0)),",","")),"")</f>
        <v/>
      </c>
      <c r="K2629" s="152">
        <f>IFERROR(VALUE(SUBSTITUTE(INDEX('04A_국토부원자료'!$A:$T,ROW()+1,MATCH("건축년도",'04A_국토부원자료'!$A$4:$T$4,0)),",","")),"")</f>
        <v/>
      </c>
      <c r="L2629" s="48">
        <f>IFERROR(INDEX('04A_국토부원자료'!$A:$T,ROW()+1,MATCH("도로명",'04A_국토부원자료'!$A$4:$T$4,0)),"")</f>
        <v/>
      </c>
      <c r="M2629" s="48">
        <f>IFERROR(INDEX('04A_국토부원자료'!$A:$T,ROW()+1,MATCH("거래유형",'04A_국토부원자료'!$A$4:$T$4,0)),"")</f>
        <v/>
      </c>
      <c r="N2629" s="152">
        <f>IF(B2629="","",IF('02_대상물건입력'!B5="",1,IF(ISNUMBER(SEARCH('02_대상물건입력'!B5,B2629)),1,0)))</f>
        <v/>
      </c>
      <c r="O2629" s="152">
        <f>IF(B2629="","",IF('02_대상물건입력'!B6="",1,IF(ISNUMBER(SEARCH('02_대상물건입력'!B6,B2629)),1,0)))</f>
        <v/>
      </c>
      <c r="P2629" s="152">
        <f>IF(L2629="","",IF('02_대상물건입력'!B15="",0,IF(ISNUMBER(SEARCH('02_대상물건입력'!B15,L2629)),1,0)))</f>
        <v/>
      </c>
      <c r="Q2629" s="152">
        <f>IF(OR(C2629="",L2629=""),0,IF(AND(TRIM(C2629)=TRIM(RIGHT(SUBSTITUTE(TRIM('02_대상물건입력'!$B$7)," ",REPT(" ",99)),99)),IF('02_대상물건입력'!B15="",TRUE(),ISNUMBER(SEARCH('02_대상물건입력'!B15,L2629)))),1,0))</f>
        <v/>
      </c>
      <c r="R2629" s="175">
        <f>IFERROR(ABS(E2629-'02_대상물건입력'!B11)/'02_대상물건입력'!B11,"")</f>
        <v/>
      </c>
      <c r="S2629" s="152">
        <f>IFERROR(ABS(J2629-'02_대상물건입력'!B10),"")</f>
        <v/>
      </c>
      <c r="T2629" s="152">
        <f>IFERROR(ABS('01_설정'!B4-F2629),"")</f>
        <v/>
      </c>
      <c r="U2629" s="152">
        <f>IFERROR(ABS(K2629-YEAR('02_대상물건입력'!B14)),"")</f>
        <v/>
      </c>
      <c r="V2629" s="152">
        <f>IF(B2629="","",IF(AND(E2629&gt;0,F2629&gt;0,H2629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2629=1,TRUE()),R2629&lt;='01_설정'!B5,S2629&lt;='01_설정'!B6,T2629&lt;='01_설정'!B7,U2629&lt;='01_설정'!B8),"Y",""))</f>
        <v/>
      </c>
      <c r="W2629" s="172">
        <f>IF(V2629&lt;&gt;"Y","",MAX(0,(1-R2629/'01_설정'!B5))*'01_설정'!B14+MAX(0,(1-S2629/'01_설정'!B6))*'01_설정'!B15+MAX(0,(1-T2629/'01_설정'!B7))*'01_설정'!B16+MAX(0,(1-U2629/'01_설정'!B8))*'01_설정'!B17+O2629*'01_설정'!B11+Q2629*'01_설정'!B12+P2629*'01_설정'!B13+IF(Z2629="",0,Z2629))</f>
        <v/>
      </c>
      <c r="X2629" s="152">
        <f>IF(W2629="","",1+COUNTIFS($W$4:$W$3003,"&gt;"&amp;W2629)+COUNTIFS($W$4:W2629,W2629)-1)</f>
        <v/>
      </c>
      <c r="Y2629" s="175">
        <f>IF(OR(I2629="",'02_대상물건입력'!B19="",'02_대상물건입력'!B19&lt;=0),"",ABS(I2629-'02_대상물건입력'!B19)/'02_대상물건입력'!B19)</f>
        <v/>
      </c>
      <c r="Z2629" s="172">
        <f>IF(OR(Y2629="",'01_설정'!B31="",'01_설정'!B31&lt;=0,'01_설정'!B32="",'01_설정'!B32&lt;=0),"",MAX(0,(1-Y2629/'01_설정'!B32))*'01_설정'!B31)</f>
        <v/>
      </c>
    </row>
    <row r="2630" ht="17.25" customHeight="1">
      <c r="A2630" s="152">
        <f>IF(INDEX('04A_국토부원자료'!$A:$A,ROW()+1)="","",ROW()-3)</f>
        <v/>
      </c>
      <c r="B2630" s="48">
        <f>IFERROR(INDEX('04A_국토부원자료'!$A:$T,ROW()+1,MATCH("시군구",'04A_국토부원자료'!$A$4:$T$4,0)),"")</f>
        <v/>
      </c>
      <c r="C2630" s="48">
        <f>IF(B2630="","",IFERROR(INDEX('04A_국토부원자료'!$A:$T,ROW()+1,MATCH("번지",'04A_국토부원자료'!$A$4:$T$4,0)),""))</f>
        <v/>
      </c>
      <c r="D2630" s="48">
        <f>IF(B2630="","",IF(Q2630=1,'02_대상물건입력'!$B$8,IFERROR(INDEX('04A_국토부원자료'!$A:$T,ROW()+1,MATCH("단지명",'04A_국토부원자료'!$A$4:$T$4,0)),"")))</f>
        <v/>
      </c>
      <c r="E2630" s="172">
        <f>IFERROR(VALUE(SUBSTITUTE(INDEX('04A_국토부원자료'!$A:$T,ROW()+1,MATCH("전용면적(㎡)",'04A_국토부원자료'!$A$4:$T$4,0)),",","")),"")</f>
        <v/>
      </c>
      <c r="F26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30" s="51">
        <f>IFERROR(VALUE(SUBSTITUTE(INDEX('04A_국토부원자료'!$A:$T,ROW()+1,MATCH("거래금액(만원)",'04A_국토부원자료'!$A$4:$T$4,0)),",","")),"")</f>
        <v/>
      </c>
      <c r="H2630" s="174">
        <f>IF(G2630="","",G2630*10000)</f>
        <v/>
      </c>
      <c r="I2630" s="174">
        <f>IFERROR(IF(AND(H2630&gt;0,E2630&gt;0),H2630/E2630,""),"")</f>
        <v/>
      </c>
      <c r="J2630" s="152">
        <f>IFERROR(VALUE(SUBSTITUTE(INDEX('04A_국토부원자료'!$A:$T,ROW()+1,MATCH("층",'04A_국토부원자료'!$A$4:$T$4,0)),",","")),"")</f>
        <v/>
      </c>
      <c r="K2630" s="152">
        <f>IFERROR(VALUE(SUBSTITUTE(INDEX('04A_국토부원자료'!$A:$T,ROW()+1,MATCH("건축년도",'04A_국토부원자료'!$A$4:$T$4,0)),",","")),"")</f>
        <v/>
      </c>
      <c r="L2630" s="48">
        <f>IFERROR(INDEX('04A_국토부원자료'!$A:$T,ROW()+1,MATCH("도로명",'04A_국토부원자료'!$A$4:$T$4,0)),"")</f>
        <v/>
      </c>
      <c r="M2630" s="48">
        <f>IFERROR(INDEX('04A_국토부원자료'!$A:$T,ROW()+1,MATCH("거래유형",'04A_국토부원자료'!$A$4:$T$4,0)),"")</f>
        <v/>
      </c>
      <c r="N2630" s="152">
        <f>IF(B2630="","",IF('02_대상물건입력'!B5="",1,IF(ISNUMBER(SEARCH('02_대상물건입력'!B5,B2630)),1,0)))</f>
        <v/>
      </c>
      <c r="O2630" s="152">
        <f>IF(B2630="","",IF('02_대상물건입력'!B6="",1,IF(ISNUMBER(SEARCH('02_대상물건입력'!B6,B2630)),1,0)))</f>
        <v/>
      </c>
      <c r="P2630" s="152">
        <f>IF(L2630="","",IF('02_대상물건입력'!B15="",0,IF(ISNUMBER(SEARCH('02_대상물건입력'!B15,L2630)),1,0)))</f>
        <v/>
      </c>
      <c r="Q2630" s="152">
        <f>IF(OR(C2630="",L2630=""),0,IF(AND(TRIM(C2630)=TRIM(RIGHT(SUBSTITUTE(TRIM('02_대상물건입력'!$B$7)," ",REPT(" ",99)),99)),IF('02_대상물건입력'!B15="",TRUE(),ISNUMBER(SEARCH('02_대상물건입력'!B15,L2630)))),1,0))</f>
        <v/>
      </c>
      <c r="R2630" s="175">
        <f>IFERROR(ABS(E2630-'02_대상물건입력'!B11)/'02_대상물건입력'!B11,"")</f>
        <v/>
      </c>
      <c r="S2630" s="152">
        <f>IFERROR(ABS(J2630-'02_대상물건입력'!B10),"")</f>
        <v/>
      </c>
      <c r="T2630" s="152">
        <f>IFERROR(ABS('01_설정'!B4-F2630),"")</f>
        <v/>
      </c>
      <c r="U2630" s="152">
        <f>IFERROR(ABS(K2630-YEAR('02_대상물건입력'!B14)),"")</f>
        <v/>
      </c>
      <c r="V2630" s="152">
        <f>IF(B2630="","",IF(AND(E2630&gt;0,F2630&gt;0,H2630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2630=1,TRUE()),R2630&lt;='01_설정'!B5,S2630&lt;='01_설정'!B6,T2630&lt;='01_설정'!B7,U2630&lt;='01_설정'!B8),"Y",""))</f>
        <v/>
      </c>
      <c r="W2630" s="172">
        <f>IF(V2630&lt;&gt;"Y","",MAX(0,(1-R2630/'01_설정'!B5))*'01_설정'!B14+MAX(0,(1-S2630/'01_설정'!B6))*'01_설정'!B15+MAX(0,(1-T2630/'01_설정'!B7))*'01_설정'!B16+MAX(0,(1-U2630/'01_설정'!B8))*'01_설정'!B17+O2630*'01_설정'!B11+Q2630*'01_설정'!B12+P2630*'01_설정'!B13+IF(Z2630="",0,Z2630))</f>
        <v/>
      </c>
      <c r="X2630" s="152">
        <f>IF(W2630="","",1+COUNTIFS($W$4:$W$3003,"&gt;"&amp;W2630)+COUNTIFS($W$4:W2630,W2630)-1)</f>
        <v/>
      </c>
      <c r="Y2630" s="175">
        <f>IF(OR(I2630="",'02_대상물건입력'!B19="",'02_대상물건입력'!B19&lt;=0),"",ABS(I2630-'02_대상물건입력'!B19)/'02_대상물건입력'!B19)</f>
        <v/>
      </c>
      <c r="Z2630" s="172">
        <f>IF(OR(Y2630="",'01_설정'!B31="",'01_설정'!B31&lt;=0,'01_설정'!B32="",'01_설정'!B32&lt;=0),"",MAX(0,(1-Y2630/'01_설정'!B32))*'01_설정'!B31)</f>
        <v/>
      </c>
    </row>
    <row r="2631" ht="17.25" customHeight="1">
      <c r="A2631" s="152">
        <f>IF(INDEX('04A_국토부원자료'!$A:$A,ROW()+1)="","",ROW()-3)</f>
        <v/>
      </c>
      <c r="B2631" s="48">
        <f>IFERROR(INDEX('04A_국토부원자료'!$A:$T,ROW()+1,MATCH("시군구",'04A_국토부원자료'!$A$4:$T$4,0)),"")</f>
        <v/>
      </c>
      <c r="C2631" s="48">
        <f>IF(B2631="","",IFERROR(INDEX('04A_국토부원자료'!$A:$T,ROW()+1,MATCH("번지",'04A_국토부원자료'!$A$4:$T$4,0)),""))</f>
        <v/>
      </c>
      <c r="D2631" s="48">
        <f>IF(B2631="","",IF(Q2631=1,'02_대상물건입력'!$B$8,IFERROR(INDEX('04A_국토부원자료'!$A:$T,ROW()+1,MATCH("단지명",'04A_국토부원자료'!$A$4:$T$4,0)),"")))</f>
        <v/>
      </c>
      <c r="E2631" s="172">
        <f>IFERROR(VALUE(SUBSTITUTE(INDEX('04A_국토부원자료'!$A:$T,ROW()+1,MATCH("전용면적(㎡)",'04A_국토부원자료'!$A$4:$T$4,0)),",","")),"")</f>
        <v/>
      </c>
      <c r="F26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31" s="51">
        <f>IFERROR(VALUE(SUBSTITUTE(INDEX('04A_국토부원자료'!$A:$T,ROW()+1,MATCH("거래금액(만원)",'04A_국토부원자료'!$A$4:$T$4,0)),",","")),"")</f>
        <v/>
      </c>
      <c r="H2631" s="174">
        <f>IF(G2631="","",G2631*10000)</f>
        <v/>
      </c>
      <c r="I2631" s="174">
        <f>IFERROR(IF(AND(H2631&gt;0,E2631&gt;0),H2631/E2631,""),"")</f>
        <v/>
      </c>
      <c r="J2631" s="152">
        <f>IFERROR(VALUE(SUBSTITUTE(INDEX('04A_국토부원자료'!$A:$T,ROW()+1,MATCH("층",'04A_국토부원자료'!$A$4:$T$4,0)),",","")),"")</f>
        <v/>
      </c>
      <c r="K2631" s="152">
        <f>IFERROR(VALUE(SUBSTITUTE(INDEX('04A_국토부원자료'!$A:$T,ROW()+1,MATCH("건축년도",'04A_국토부원자료'!$A$4:$T$4,0)),",","")),"")</f>
        <v/>
      </c>
      <c r="L2631" s="48">
        <f>IFERROR(INDEX('04A_국토부원자료'!$A:$T,ROW()+1,MATCH("도로명",'04A_국토부원자료'!$A$4:$T$4,0)),"")</f>
        <v/>
      </c>
      <c r="M2631" s="48">
        <f>IFERROR(INDEX('04A_국토부원자료'!$A:$T,ROW()+1,MATCH("거래유형",'04A_국토부원자료'!$A$4:$T$4,0)),"")</f>
        <v/>
      </c>
      <c r="N2631" s="152">
        <f>IF(B2631="","",IF('02_대상물건입력'!B5="",1,IF(ISNUMBER(SEARCH('02_대상물건입력'!B5,B2631)),1,0)))</f>
        <v/>
      </c>
      <c r="O2631" s="152">
        <f>IF(B2631="","",IF('02_대상물건입력'!B6="",1,IF(ISNUMBER(SEARCH('02_대상물건입력'!B6,B2631)),1,0)))</f>
        <v/>
      </c>
      <c r="P2631" s="152">
        <f>IF(L2631="","",IF('02_대상물건입력'!B15="",0,IF(ISNUMBER(SEARCH('02_대상물건입력'!B15,L2631)),1,0)))</f>
        <v/>
      </c>
      <c r="Q2631" s="152">
        <f>IF(OR(C2631="",L2631=""),0,IF(AND(TRIM(C2631)=TRIM(RIGHT(SUBSTITUTE(TRIM('02_대상물건입력'!$B$7)," ",REPT(" ",99)),99)),IF('02_대상물건입력'!B15="",TRUE(),ISNUMBER(SEARCH('02_대상물건입력'!B15,L2631)))),1,0))</f>
        <v/>
      </c>
      <c r="R2631" s="175">
        <f>IFERROR(ABS(E2631-'02_대상물건입력'!B11)/'02_대상물건입력'!B11,"")</f>
        <v/>
      </c>
      <c r="S2631" s="152">
        <f>IFERROR(ABS(J2631-'02_대상물건입력'!B10),"")</f>
        <v/>
      </c>
      <c r="T2631" s="152">
        <f>IFERROR(ABS('01_설정'!B4-F2631),"")</f>
        <v/>
      </c>
      <c r="U2631" s="152">
        <f>IFERROR(ABS(K2631-YEAR('02_대상물건입력'!B14)),"")</f>
        <v/>
      </c>
      <c r="V2631" s="152">
        <f>IF(B2631="","",IF(AND(E2631&gt;0,F2631&gt;0,H2631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2631=1,TRUE()),R2631&lt;='01_설정'!B5,S2631&lt;='01_설정'!B6,T2631&lt;='01_설정'!B7,U2631&lt;='01_설정'!B8),"Y",""))</f>
        <v/>
      </c>
      <c r="W2631" s="172">
        <f>IF(V2631&lt;&gt;"Y","",MAX(0,(1-R2631/'01_설정'!B5))*'01_설정'!B14+MAX(0,(1-S2631/'01_설정'!B6))*'01_설정'!B15+MAX(0,(1-T2631/'01_설정'!B7))*'01_설정'!B16+MAX(0,(1-U2631/'01_설정'!B8))*'01_설정'!B17+O2631*'01_설정'!B11+Q2631*'01_설정'!B12+P2631*'01_설정'!B13+IF(Z2631="",0,Z2631))</f>
        <v/>
      </c>
      <c r="X2631" s="152">
        <f>IF(W2631="","",1+COUNTIFS($W$4:$W$3003,"&gt;"&amp;W2631)+COUNTIFS($W$4:W2631,W2631)-1)</f>
        <v/>
      </c>
      <c r="Y2631" s="175">
        <f>IF(OR(I2631="",'02_대상물건입력'!B19="",'02_대상물건입력'!B19&lt;=0),"",ABS(I2631-'02_대상물건입력'!B19)/'02_대상물건입력'!B19)</f>
        <v/>
      </c>
      <c r="Z2631" s="172">
        <f>IF(OR(Y2631="",'01_설정'!B31="",'01_설정'!B31&lt;=0,'01_설정'!B32="",'01_설정'!B32&lt;=0),"",MAX(0,(1-Y2631/'01_설정'!B32))*'01_설정'!B31)</f>
        <v/>
      </c>
    </row>
    <row r="2632" ht="17.25" customHeight="1">
      <c r="A2632" s="152">
        <f>IF(INDEX('04A_국토부원자료'!$A:$A,ROW()+1)="","",ROW()-3)</f>
        <v/>
      </c>
      <c r="B2632" s="48">
        <f>IFERROR(INDEX('04A_국토부원자료'!$A:$T,ROW()+1,MATCH("시군구",'04A_국토부원자료'!$A$4:$T$4,0)),"")</f>
        <v/>
      </c>
      <c r="C2632" s="48">
        <f>IF(B2632="","",IFERROR(INDEX('04A_국토부원자료'!$A:$T,ROW()+1,MATCH("번지",'04A_국토부원자료'!$A$4:$T$4,0)),""))</f>
        <v/>
      </c>
      <c r="D2632" s="48">
        <f>IF(B2632="","",IF(Q2632=1,'02_대상물건입력'!$B$8,IFERROR(INDEX('04A_국토부원자료'!$A:$T,ROW()+1,MATCH("단지명",'04A_국토부원자료'!$A$4:$T$4,0)),"")))</f>
        <v/>
      </c>
      <c r="E2632" s="172">
        <f>IFERROR(VALUE(SUBSTITUTE(INDEX('04A_국토부원자료'!$A:$T,ROW()+1,MATCH("전용면적(㎡)",'04A_국토부원자료'!$A$4:$T$4,0)),",","")),"")</f>
        <v/>
      </c>
      <c r="F26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32" s="51">
        <f>IFERROR(VALUE(SUBSTITUTE(INDEX('04A_국토부원자료'!$A:$T,ROW()+1,MATCH("거래금액(만원)",'04A_국토부원자료'!$A$4:$T$4,0)),",","")),"")</f>
        <v/>
      </c>
      <c r="H2632" s="174">
        <f>IF(G2632="","",G2632*10000)</f>
        <v/>
      </c>
      <c r="I2632" s="174">
        <f>IFERROR(IF(AND(H2632&gt;0,E2632&gt;0),H2632/E2632,""),"")</f>
        <v/>
      </c>
      <c r="J2632" s="152">
        <f>IFERROR(VALUE(SUBSTITUTE(INDEX('04A_국토부원자료'!$A:$T,ROW()+1,MATCH("층",'04A_국토부원자료'!$A$4:$T$4,0)),",","")),"")</f>
        <v/>
      </c>
      <c r="K2632" s="152">
        <f>IFERROR(VALUE(SUBSTITUTE(INDEX('04A_국토부원자료'!$A:$T,ROW()+1,MATCH("건축년도",'04A_국토부원자료'!$A$4:$T$4,0)),",","")),"")</f>
        <v/>
      </c>
      <c r="L2632" s="48">
        <f>IFERROR(INDEX('04A_국토부원자료'!$A:$T,ROW()+1,MATCH("도로명",'04A_국토부원자료'!$A$4:$T$4,0)),"")</f>
        <v/>
      </c>
      <c r="M2632" s="48">
        <f>IFERROR(INDEX('04A_국토부원자료'!$A:$T,ROW()+1,MATCH("거래유형",'04A_국토부원자료'!$A$4:$T$4,0)),"")</f>
        <v/>
      </c>
      <c r="N2632" s="152">
        <f>IF(B2632="","",IF('02_대상물건입력'!B5="",1,IF(ISNUMBER(SEARCH('02_대상물건입력'!B5,B2632)),1,0)))</f>
        <v/>
      </c>
      <c r="O2632" s="152">
        <f>IF(B2632="","",IF('02_대상물건입력'!B6="",1,IF(ISNUMBER(SEARCH('02_대상물건입력'!B6,B2632)),1,0)))</f>
        <v/>
      </c>
      <c r="P2632" s="152">
        <f>IF(L2632="","",IF('02_대상물건입력'!B15="",0,IF(ISNUMBER(SEARCH('02_대상물건입력'!B15,L2632)),1,0)))</f>
        <v/>
      </c>
      <c r="Q2632" s="152">
        <f>IF(OR(C2632="",L2632=""),0,IF(AND(TRIM(C2632)=TRIM(RIGHT(SUBSTITUTE(TRIM('02_대상물건입력'!$B$7)," ",REPT(" ",99)),99)),IF('02_대상물건입력'!B15="",TRUE(),ISNUMBER(SEARCH('02_대상물건입력'!B15,L2632)))),1,0))</f>
        <v/>
      </c>
      <c r="R2632" s="175">
        <f>IFERROR(ABS(E2632-'02_대상물건입력'!B11)/'02_대상물건입력'!B11,"")</f>
        <v/>
      </c>
      <c r="S2632" s="152">
        <f>IFERROR(ABS(J2632-'02_대상물건입력'!B10),"")</f>
        <v/>
      </c>
      <c r="T2632" s="152">
        <f>IFERROR(ABS('01_설정'!B4-F2632),"")</f>
        <v/>
      </c>
      <c r="U2632" s="152">
        <f>IFERROR(ABS(K2632-YEAR('02_대상물건입력'!B14)),"")</f>
        <v/>
      </c>
      <c r="V2632" s="152">
        <f>IF(B2632="","",IF(AND(E2632&gt;0,F2632&gt;0,H2632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2632=1,TRUE()),R2632&lt;='01_설정'!B5,S2632&lt;='01_설정'!B6,T2632&lt;='01_설정'!B7,U2632&lt;='01_설정'!B8),"Y",""))</f>
        <v/>
      </c>
      <c r="W2632" s="172">
        <f>IF(V2632&lt;&gt;"Y","",MAX(0,(1-R2632/'01_설정'!B5))*'01_설정'!B14+MAX(0,(1-S2632/'01_설정'!B6))*'01_설정'!B15+MAX(0,(1-T2632/'01_설정'!B7))*'01_설정'!B16+MAX(0,(1-U2632/'01_설정'!B8))*'01_설정'!B17+O2632*'01_설정'!B11+Q2632*'01_설정'!B12+P2632*'01_설정'!B13+IF(Z2632="",0,Z2632))</f>
        <v/>
      </c>
      <c r="X2632" s="152">
        <f>IF(W2632="","",1+COUNTIFS($W$4:$W$3003,"&gt;"&amp;W2632)+COUNTIFS($W$4:W2632,W2632)-1)</f>
        <v/>
      </c>
      <c r="Y2632" s="175">
        <f>IF(OR(I2632="",'02_대상물건입력'!B19="",'02_대상물건입력'!B19&lt;=0),"",ABS(I2632-'02_대상물건입력'!B19)/'02_대상물건입력'!B19)</f>
        <v/>
      </c>
      <c r="Z2632" s="172">
        <f>IF(OR(Y2632="",'01_설정'!B31="",'01_설정'!B31&lt;=0,'01_설정'!B32="",'01_설정'!B32&lt;=0),"",MAX(0,(1-Y2632/'01_설정'!B32))*'01_설정'!B31)</f>
        <v/>
      </c>
    </row>
    <row r="2633" ht="17.25" customHeight="1">
      <c r="A2633" s="152">
        <f>IF(INDEX('04A_국토부원자료'!$A:$A,ROW()+1)="","",ROW()-3)</f>
        <v/>
      </c>
      <c r="B2633" s="48">
        <f>IFERROR(INDEX('04A_국토부원자료'!$A:$T,ROW()+1,MATCH("시군구",'04A_국토부원자료'!$A$4:$T$4,0)),"")</f>
        <v/>
      </c>
      <c r="C2633" s="48">
        <f>IF(B2633="","",IFERROR(INDEX('04A_국토부원자료'!$A:$T,ROW()+1,MATCH("번지",'04A_국토부원자료'!$A$4:$T$4,0)),""))</f>
        <v/>
      </c>
      <c r="D2633" s="48">
        <f>IF(B2633="","",IF(Q2633=1,'02_대상물건입력'!$B$8,IFERROR(INDEX('04A_국토부원자료'!$A:$T,ROW()+1,MATCH("단지명",'04A_국토부원자료'!$A$4:$T$4,0)),"")))</f>
        <v/>
      </c>
      <c r="E2633" s="172">
        <f>IFERROR(VALUE(SUBSTITUTE(INDEX('04A_국토부원자료'!$A:$T,ROW()+1,MATCH("전용면적(㎡)",'04A_국토부원자료'!$A$4:$T$4,0)),",","")),"")</f>
        <v/>
      </c>
      <c r="F26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33" s="51">
        <f>IFERROR(VALUE(SUBSTITUTE(INDEX('04A_국토부원자료'!$A:$T,ROW()+1,MATCH("거래금액(만원)",'04A_국토부원자료'!$A$4:$T$4,0)),",","")),"")</f>
        <v/>
      </c>
      <c r="H2633" s="174">
        <f>IF(G2633="","",G2633*10000)</f>
        <v/>
      </c>
      <c r="I2633" s="174">
        <f>IFERROR(IF(AND(H2633&gt;0,E2633&gt;0),H2633/E2633,""),"")</f>
        <v/>
      </c>
      <c r="J2633" s="152">
        <f>IFERROR(VALUE(SUBSTITUTE(INDEX('04A_국토부원자료'!$A:$T,ROW()+1,MATCH("층",'04A_국토부원자료'!$A$4:$T$4,0)),",","")),"")</f>
        <v/>
      </c>
      <c r="K2633" s="152">
        <f>IFERROR(VALUE(SUBSTITUTE(INDEX('04A_국토부원자료'!$A:$T,ROW()+1,MATCH("건축년도",'04A_국토부원자료'!$A$4:$T$4,0)),",","")),"")</f>
        <v/>
      </c>
      <c r="L2633" s="48">
        <f>IFERROR(INDEX('04A_국토부원자료'!$A:$T,ROW()+1,MATCH("도로명",'04A_국토부원자료'!$A$4:$T$4,0)),"")</f>
        <v/>
      </c>
      <c r="M2633" s="48">
        <f>IFERROR(INDEX('04A_국토부원자료'!$A:$T,ROW()+1,MATCH("거래유형",'04A_국토부원자료'!$A$4:$T$4,0)),"")</f>
        <v/>
      </c>
      <c r="N2633" s="152">
        <f>IF(B2633="","",IF('02_대상물건입력'!B5="",1,IF(ISNUMBER(SEARCH('02_대상물건입력'!B5,B2633)),1,0)))</f>
        <v/>
      </c>
      <c r="O2633" s="152">
        <f>IF(B2633="","",IF('02_대상물건입력'!B6="",1,IF(ISNUMBER(SEARCH('02_대상물건입력'!B6,B2633)),1,0)))</f>
        <v/>
      </c>
      <c r="P2633" s="152">
        <f>IF(L2633="","",IF('02_대상물건입력'!B15="",0,IF(ISNUMBER(SEARCH('02_대상물건입력'!B15,L2633)),1,0)))</f>
        <v/>
      </c>
      <c r="Q2633" s="152">
        <f>IF(OR(C2633="",L2633=""),0,IF(AND(TRIM(C2633)=TRIM(RIGHT(SUBSTITUTE(TRIM('02_대상물건입력'!$B$7)," ",REPT(" ",99)),99)),IF('02_대상물건입력'!B15="",TRUE(),ISNUMBER(SEARCH('02_대상물건입력'!B15,L2633)))),1,0))</f>
        <v/>
      </c>
      <c r="R2633" s="175">
        <f>IFERROR(ABS(E2633-'02_대상물건입력'!B11)/'02_대상물건입력'!B11,"")</f>
        <v/>
      </c>
      <c r="S2633" s="152">
        <f>IFERROR(ABS(J2633-'02_대상물건입력'!B10),"")</f>
        <v/>
      </c>
      <c r="T2633" s="152">
        <f>IFERROR(ABS('01_설정'!B4-F2633),"")</f>
        <v/>
      </c>
      <c r="U2633" s="152">
        <f>IFERROR(ABS(K2633-YEAR('02_대상물건입력'!B14)),"")</f>
        <v/>
      </c>
      <c r="V2633" s="152">
        <f>IF(B2633="","",IF(AND(E2633&gt;0,F2633&gt;0,H2633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2633=1,TRUE()),R2633&lt;='01_설정'!B5,S2633&lt;='01_설정'!B6,T2633&lt;='01_설정'!B7,U2633&lt;='01_설정'!B8),"Y",""))</f>
        <v/>
      </c>
      <c r="W2633" s="172">
        <f>IF(V2633&lt;&gt;"Y","",MAX(0,(1-R2633/'01_설정'!B5))*'01_설정'!B14+MAX(0,(1-S2633/'01_설정'!B6))*'01_설정'!B15+MAX(0,(1-T2633/'01_설정'!B7))*'01_설정'!B16+MAX(0,(1-U2633/'01_설정'!B8))*'01_설정'!B17+O2633*'01_설정'!B11+Q2633*'01_설정'!B12+P2633*'01_설정'!B13+IF(Z2633="",0,Z2633))</f>
        <v/>
      </c>
      <c r="X2633" s="152">
        <f>IF(W2633="","",1+COUNTIFS($W$4:$W$3003,"&gt;"&amp;W2633)+COUNTIFS($W$4:W2633,W2633)-1)</f>
        <v/>
      </c>
      <c r="Y2633" s="175">
        <f>IF(OR(I2633="",'02_대상물건입력'!B19="",'02_대상물건입력'!B19&lt;=0),"",ABS(I2633-'02_대상물건입력'!B19)/'02_대상물건입력'!B19)</f>
        <v/>
      </c>
      <c r="Z2633" s="172">
        <f>IF(OR(Y2633="",'01_설정'!B31="",'01_설정'!B31&lt;=0,'01_설정'!B32="",'01_설정'!B32&lt;=0),"",MAX(0,(1-Y2633/'01_설정'!B32))*'01_설정'!B31)</f>
        <v/>
      </c>
    </row>
    <row r="2634" ht="17.25" customHeight="1">
      <c r="A2634" s="152">
        <f>IF(INDEX('04A_국토부원자료'!$A:$A,ROW()+1)="","",ROW()-3)</f>
        <v/>
      </c>
      <c r="B2634" s="48">
        <f>IFERROR(INDEX('04A_국토부원자료'!$A:$T,ROW()+1,MATCH("시군구",'04A_국토부원자료'!$A$4:$T$4,0)),"")</f>
        <v/>
      </c>
      <c r="C2634" s="48">
        <f>IF(B2634="","",IFERROR(INDEX('04A_국토부원자료'!$A:$T,ROW()+1,MATCH("번지",'04A_국토부원자료'!$A$4:$T$4,0)),""))</f>
        <v/>
      </c>
      <c r="D2634" s="48">
        <f>IF(B2634="","",IF(Q2634=1,'02_대상물건입력'!$B$8,IFERROR(INDEX('04A_국토부원자료'!$A:$T,ROW()+1,MATCH("단지명",'04A_국토부원자료'!$A$4:$T$4,0)),"")))</f>
        <v/>
      </c>
      <c r="E2634" s="172">
        <f>IFERROR(VALUE(SUBSTITUTE(INDEX('04A_국토부원자료'!$A:$T,ROW()+1,MATCH("전용면적(㎡)",'04A_국토부원자료'!$A$4:$T$4,0)),",","")),"")</f>
        <v/>
      </c>
      <c r="F26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34" s="51">
        <f>IFERROR(VALUE(SUBSTITUTE(INDEX('04A_국토부원자료'!$A:$T,ROW()+1,MATCH("거래금액(만원)",'04A_국토부원자료'!$A$4:$T$4,0)),",","")),"")</f>
        <v/>
      </c>
      <c r="H2634" s="174">
        <f>IF(G2634="","",G2634*10000)</f>
        <v/>
      </c>
      <c r="I2634" s="174">
        <f>IFERROR(IF(AND(H2634&gt;0,E2634&gt;0),H2634/E2634,""),"")</f>
        <v/>
      </c>
      <c r="J2634" s="152">
        <f>IFERROR(VALUE(SUBSTITUTE(INDEX('04A_국토부원자료'!$A:$T,ROW()+1,MATCH("층",'04A_국토부원자료'!$A$4:$T$4,0)),",","")),"")</f>
        <v/>
      </c>
      <c r="K2634" s="152">
        <f>IFERROR(VALUE(SUBSTITUTE(INDEX('04A_국토부원자료'!$A:$T,ROW()+1,MATCH("건축년도",'04A_국토부원자료'!$A$4:$T$4,0)),",","")),"")</f>
        <v/>
      </c>
      <c r="L2634" s="48">
        <f>IFERROR(INDEX('04A_국토부원자료'!$A:$T,ROW()+1,MATCH("도로명",'04A_국토부원자료'!$A$4:$T$4,0)),"")</f>
        <v/>
      </c>
      <c r="M2634" s="48">
        <f>IFERROR(INDEX('04A_국토부원자료'!$A:$T,ROW()+1,MATCH("거래유형",'04A_국토부원자료'!$A$4:$T$4,0)),"")</f>
        <v/>
      </c>
      <c r="N2634" s="152">
        <f>IF(B2634="","",IF('02_대상물건입력'!B5="",1,IF(ISNUMBER(SEARCH('02_대상물건입력'!B5,B2634)),1,0)))</f>
        <v/>
      </c>
      <c r="O2634" s="152">
        <f>IF(B2634="","",IF('02_대상물건입력'!B6="",1,IF(ISNUMBER(SEARCH('02_대상물건입력'!B6,B2634)),1,0)))</f>
        <v/>
      </c>
      <c r="P2634" s="152">
        <f>IF(L2634="","",IF('02_대상물건입력'!B15="",0,IF(ISNUMBER(SEARCH('02_대상물건입력'!B15,L2634)),1,0)))</f>
        <v/>
      </c>
      <c r="Q2634" s="152">
        <f>IF(OR(C2634="",L2634=""),0,IF(AND(TRIM(C2634)=TRIM(RIGHT(SUBSTITUTE(TRIM('02_대상물건입력'!$B$7)," ",REPT(" ",99)),99)),IF('02_대상물건입력'!B15="",TRUE(),ISNUMBER(SEARCH('02_대상물건입력'!B15,L2634)))),1,0))</f>
        <v/>
      </c>
      <c r="R2634" s="175">
        <f>IFERROR(ABS(E2634-'02_대상물건입력'!B11)/'02_대상물건입력'!B11,"")</f>
        <v/>
      </c>
      <c r="S2634" s="152">
        <f>IFERROR(ABS(J2634-'02_대상물건입력'!B10),"")</f>
        <v/>
      </c>
      <c r="T2634" s="152">
        <f>IFERROR(ABS('01_설정'!B4-F2634),"")</f>
        <v/>
      </c>
      <c r="U2634" s="152">
        <f>IFERROR(ABS(K2634-YEAR('02_대상물건입력'!B14)),"")</f>
        <v/>
      </c>
      <c r="V2634" s="152">
        <f>IF(B2634="","",IF(AND(E2634&gt;0,F2634&gt;0,H2634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2634=1,TRUE()),R2634&lt;='01_설정'!B5,S2634&lt;='01_설정'!B6,T2634&lt;='01_설정'!B7,U2634&lt;='01_설정'!B8),"Y",""))</f>
        <v/>
      </c>
      <c r="W2634" s="172">
        <f>IF(V2634&lt;&gt;"Y","",MAX(0,(1-R2634/'01_설정'!B5))*'01_설정'!B14+MAX(0,(1-S2634/'01_설정'!B6))*'01_설정'!B15+MAX(0,(1-T2634/'01_설정'!B7))*'01_설정'!B16+MAX(0,(1-U2634/'01_설정'!B8))*'01_설정'!B17+O2634*'01_설정'!B11+Q2634*'01_설정'!B12+P2634*'01_설정'!B13+IF(Z2634="",0,Z2634))</f>
        <v/>
      </c>
      <c r="X2634" s="152">
        <f>IF(W2634="","",1+COUNTIFS($W$4:$W$3003,"&gt;"&amp;W2634)+COUNTIFS($W$4:W2634,W2634)-1)</f>
        <v/>
      </c>
      <c r="Y2634" s="175">
        <f>IF(OR(I2634="",'02_대상물건입력'!B19="",'02_대상물건입력'!B19&lt;=0),"",ABS(I2634-'02_대상물건입력'!B19)/'02_대상물건입력'!B19)</f>
        <v/>
      </c>
      <c r="Z2634" s="172">
        <f>IF(OR(Y2634="",'01_설정'!B31="",'01_설정'!B31&lt;=0,'01_설정'!B32="",'01_설정'!B32&lt;=0),"",MAX(0,(1-Y2634/'01_설정'!B32))*'01_설정'!B31)</f>
        <v/>
      </c>
    </row>
    <row r="2635" ht="17.25" customHeight="1">
      <c r="A2635" s="152">
        <f>IF(INDEX('04A_국토부원자료'!$A:$A,ROW()+1)="","",ROW()-3)</f>
        <v/>
      </c>
      <c r="B2635" s="48">
        <f>IFERROR(INDEX('04A_국토부원자료'!$A:$T,ROW()+1,MATCH("시군구",'04A_국토부원자료'!$A$4:$T$4,0)),"")</f>
        <v/>
      </c>
      <c r="C2635" s="48">
        <f>IF(B2635="","",IFERROR(INDEX('04A_국토부원자료'!$A:$T,ROW()+1,MATCH("번지",'04A_국토부원자료'!$A$4:$T$4,0)),""))</f>
        <v/>
      </c>
      <c r="D2635" s="48">
        <f>IF(B2635="","",IF(Q2635=1,'02_대상물건입력'!$B$8,IFERROR(INDEX('04A_국토부원자료'!$A:$T,ROW()+1,MATCH("단지명",'04A_국토부원자료'!$A$4:$T$4,0)),"")))</f>
        <v/>
      </c>
      <c r="E2635" s="172">
        <f>IFERROR(VALUE(SUBSTITUTE(INDEX('04A_국토부원자료'!$A:$T,ROW()+1,MATCH("전용면적(㎡)",'04A_국토부원자료'!$A$4:$T$4,0)),",","")),"")</f>
        <v/>
      </c>
      <c r="F26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35" s="51">
        <f>IFERROR(VALUE(SUBSTITUTE(INDEX('04A_국토부원자료'!$A:$T,ROW()+1,MATCH("거래금액(만원)",'04A_국토부원자료'!$A$4:$T$4,0)),",","")),"")</f>
        <v/>
      </c>
      <c r="H2635" s="174">
        <f>IF(G2635="","",G2635*10000)</f>
        <v/>
      </c>
      <c r="I2635" s="174">
        <f>IFERROR(IF(AND(H2635&gt;0,E2635&gt;0),H2635/E2635,""),"")</f>
        <v/>
      </c>
      <c r="J2635" s="152">
        <f>IFERROR(VALUE(SUBSTITUTE(INDEX('04A_국토부원자료'!$A:$T,ROW()+1,MATCH("층",'04A_국토부원자료'!$A$4:$T$4,0)),",","")),"")</f>
        <v/>
      </c>
      <c r="K2635" s="152">
        <f>IFERROR(VALUE(SUBSTITUTE(INDEX('04A_국토부원자료'!$A:$T,ROW()+1,MATCH("건축년도",'04A_국토부원자료'!$A$4:$T$4,0)),",","")),"")</f>
        <v/>
      </c>
      <c r="L2635" s="48">
        <f>IFERROR(INDEX('04A_국토부원자료'!$A:$T,ROW()+1,MATCH("도로명",'04A_국토부원자료'!$A$4:$T$4,0)),"")</f>
        <v/>
      </c>
      <c r="M2635" s="48">
        <f>IFERROR(INDEX('04A_국토부원자료'!$A:$T,ROW()+1,MATCH("거래유형",'04A_국토부원자료'!$A$4:$T$4,0)),"")</f>
        <v/>
      </c>
      <c r="N2635" s="152">
        <f>IF(B2635="","",IF('02_대상물건입력'!B5="",1,IF(ISNUMBER(SEARCH('02_대상물건입력'!B5,B2635)),1,0)))</f>
        <v/>
      </c>
      <c r="O2635" s="152">
        <f>IF(B2635="","",IF('02_대상물건입력'!B6="",1,IF(ISNUMBER(SEARCH('02_대상물건입력'!B6,B2635)),1,0)))</f>
        <v/>
      </c>
      <c r="P2635" s="152">
        <f>IF(L2635="","",IF('02_대상물건입력'!B15="",0,IF(ISNUMBER(SEARCH('02_대상물건입력'!B15,L2635)),1,0)))</f>
        <v/>
      </c>
      <c r="Q2635" s="152">
        <f>IF(OR(C2635="",L2635=""),0,IF(AND(TRIM(C2635)=TRIM(RIGHT(SUBSTITUTE(TRIM('02_대상물건입력'!$B$7)," ",REPT(" ",99)),99)),IF('02_대상물건입력'!B15="",TRUE(),ISNUMBER(SEARCH('02_대상물건입력'!B15,L2635)))),1,0))</f>
        <v/>
      </c>
      <c r="R2635" s="175">
        <f>IFERROR(ABS(E2635-'02_대상물건입력'!B11)/'02_대상물건입력'!B11,"")</f>
        <v/>
      </c>
      <c r="S2635" s="152">
        <f>IFERROR(ABS(J2635-'02_대상물건입력'!B10),"")</f>
        <v/>
      </c>
      <c r="T2635" s="152">
        <f>IFERROR(ABS('01_설정'!B4-F2635),"")</f>
        <v/>
      </c>
      <c r="U2635" s="152">
        <f>IFERROR(ABS(K2635-YEAR('02_대상물건입력'!B14)),"")</f>
        <v/>
      </c>
      <c r="V2635" s="152">
        <f>IF(B2635="","",IF(AND(E2635&gt;0,F2635&gt;0,H2635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2635=1,TRUE()),R2635&lt;='01_설정'!B5,S2635&lt;='01_설정'!B6,T2635&lt;='01_설정'!B7,U2635&lt;='01_설정'!B8),"Y",""))</f>
        <v/>
      </c>
      <c r="W2635" s="172">
        <f>IF(V2635&lt;&gt;"Y","",MAX(0,(1-R2635/'01_설정'!B5))*'01_설정'!B14+MAX(0,(1-S2635/'01_설정'!B6))*'01_설정'!B15+MAX(0,(1-T2635/'01_설정'!B7))*'01_설정'!B16+MAX(0,(1-U2635/'01_설정'!B8))*'01_설정'!B17+O2635*'01_설정'!B11+Q2635*'01_설정'!B12+P2635*'01_설정'!B13+IF(Z2635="",0,Z2635))</f>
        <v/>
      </c>
      <c r="X2635" s="152">
        <f>IF(W2635="","",1+COUNTIFS($W$4:$W$3003,"&gt;"&amp;W2635)+COUNTIFS($W$4:W2635,W2635)-1)</f>
        <v/>
      </c>
      <c r="Y2635" s="175">
        <f>IF(OR(I2635="",'02_대상물건입력'!B19="",'02_대상물건입력'!B19&lt;=0),"",ABS(I2635-'02_대상물건입력'!B19)/'02_대상물건입력'!B19)</f>
        <v/>
      </c>
      <c r="Z2635" s="172">
        <f>IF(OR(Y2635="",'01_설정'!B31="",'01_설정'!B31&lt;=0,'01_설정'!B32="",'01_설정'!B32&lt;=0),"",MAX(0,(1-Y2635/'01_설정'!B32))*'01_설정'!B31)</f>
        <v/>
      </c>
    </row>
    <row r="2636" ht="17.25" customHeight="1">
      <c r="A2636" s="152">
        <f>IF(INDEX('04A_국토부원자료'!$A:$A,ROW()+1)="","",ROW()-3)</f>
        <v/>
      </c>
      <c r="B2636" s="48">
        <f>IFERROR(INDEX('04A_국토부원자료'!$A:$T,ROW()+1,MATCH("시군구",'04A_국토부원자료'!$A$4:$T$4,0)),"")</f>
        <v/>
      </c>
      <c r="C2636" s="48">
        <f>IF(B2636="","",IFERROR(INDEX('04A_국토부원자료'!$A:$T,ROW()+1,MATCH("번지",'04A_국토부원자료'!$A$4:$T$4,0)),""))</f>
        <v/>
      </c>
      <c r="D2636" s="48">
        <f>IF(B2636="","",IF(Q2636=1,'02_대상물건입력'!$B$8,IFERROR(INDEX('04A_국토부원자료'!$A:$T,ROW()+1,MATCH("단지명",'04A_국토부원자료'!$A$4:$T$4,0)),"")))</f>
        <v/>
      </c>
      <c r="E2636" s="172">
        <f>IFERROR(VALUE(SUBSTITUTE(INDEX('04A_국토부원자료'!$A:$T,ROW()+1,MATCH("전용면적(㎡)",'04A_국토부원자료'!$A$4:$T$4,0)),",","")),"")</f>
        <v/>
      </c>
      <c r="F26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36" s="51">
        <f>IFERROR(VALUE(SUBSTITUTE(INDEX('04A_국토부원자료'!$A:$T,ROW()+1,MATCH("거래금액(만원)",'04A_국토부원자료'!$A$4:$T$4,0)),",","")),"")</f>
        <v/>
      </c>
      <c r="H2636" s="174">
        <f>IF(G2636="","",G2636*10000)</f>
        <v/>
      </c>
      <c r="I2636" s="174">
        <f>IFERROR(IF(AND(H2636&gt;0,E2636&gt;0),H2636/E2636,""),"")</f>
        <v/>
      </c>
      <c r="J2636" s="152">
        <f>IFERROR(VALUE(SUBSTITUTE(INDEX('04A_국토부원자료'!$A:$T,ROW()+1,MATCH("층",'04A_국토부원자료'!$A$4:$T$4,0)),",","")),"")</f>
        <v/>
      </c>
      <c r="K2636" s="152">
        <f>IFERROR(VALUE(SUBSTITUTE(INDEX('04A_국토부원자료'!$A:$T,ROW()+1,MATCH("건축년도",'04A_국토부원자료'!$A$4:$T$4,0)),",","")),"")</f>
        <v/>
      </c>
      <c r="L2636" s="48">
        <f>IFERROR(INDEX('04A_국토부원자료'!$A:$T,ROW()+1,MATCH("도로명",'04A_국토부원자료'!$A$4:$T$4,0)),"")</f>
        <v/>
      </c>
      <c r="M2636" s="48">
        <f>IFERROR(INDEX('04A_국토부원자료'!$A:$T,ROW()+1,MATCH("거래유형",'04A_국토부원자료'!$A$4:$T$4,0)),"")</f>
        <v/>
      </c>
      <c r="N2636" s="152">
        <f>IF(B2636="","",IF('02_대상물건입력'!B5="",1,IF(ISNUMBER(SEARCH('02_대상물건입력'!B5,B2636)),1,0)))</f>
        <v/>
      </c>
      <c r="O2636" s="152">
        <f>IF(B2636="","",IF('02_대상물건입력'!B6="",1,IF(ISNUMBER(SEARCH('02_대상물건입력'!B6,B2636)),1,0)))</f>
        <v/>
      </c>
      <c r="P2636" s="152">
        <f>IF(L2636="","",IF('02_대상물건입력'!B15="",0,IF(ISNUMBER(SEARCH('02_대상물건입력'!B15,L2636)),1,0)))</f>
        <v/>
      </c>
      <c r="Q2636" s="152">
        <f>IF(OR(C2636="",L2636=""),0,IF(AND(TRIM(C2636)=TRIM(RIGHT(SUBSTITUTE(TRIM('02_대상물건입력'!$B$7)," ",REPT(" ",99)),99)),IF('02_대상물건입력'!B15="",TRUE(),ISNUMBER(SEARCH('02_대상물건입력'!B15,L2636)))),1,0))</f>
        <v/>
      </c>
      <c r="R2636" s="175">
        <f>IFERROR(ABS(E2636-'02_대상물건입력'!B11)/'02_대상물건입력'!B11,"")</f>
        <v/>
      </c>
      <c r="S2636" s="152">
        <f>IFERROR(ABS(J2636-'02_대상물건입력'!B10),"")</f>
        <v/>
      </c>
      <c r="T2636" s="152">
        <f>IFERROR(ABS('01_설정'!B4-F2636),"")</f>
        <v/>
      </c>
      <c r="U2636" s="152">
        <f>IFERROR(ABS(K2636-YEAR('02_대상물건입력'!B14)),"")</f>
        <v/>
      </c>
      <c r="V2636" s="152">
        <f>IF(B2636="","",IF(AND(E2636&gt;0,F2636&gt;0,H2636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2636=1,TRUE()),R2636&lt;='01_설정'!B5,S2636&lt;='01_설정'!B6,T2636&lt;='01_설정'!B7,U2636&lt;='01_설정'!B8),"Y",""))</f>
        <v/>
      </c>
      <c r="W2636" s="172">
        <f>IF(V2636&lt;&gt;"Y","",MAX(0,(1-R2636/'01_설정'!B5))*'01_설정'!B14+MAX(0,(1-S2636/'01_설정'!B6))*'01_설정'!B15+MAX(0,(1-T2636/'01_설정'!B7))*'01_설정'!B16+MAX(0,(1-U2636/'01_설정'!B8))*'01_설정'!B17+O2636*'01_설정'!B11+Q2636*'01_설정'!B12+P2636*'01_설정'!B13+IF(Z2636="",0,Z2636))</f>
        <v/>
      </c>
      <c r="X2636" s="152">
        <f>IF(W2636="","",1+COUNTIFS($W$4:$W$3003,"&gt;"&amp;W2636)+COUNTIFS($W$4:W2636,W2636)-1)</f>
        <v/>
      </c>
      <c r="Y2636" s="175">
        <f>IF(OR(I2636="",'02_대상물건입력'!B19="",'02_대상물건입력'!B19&lt;=0),"",ABS(I2636-'02_대상물건입력'!B19)/'02_대상물건입력'!B19)</f>
        <v/>
      </c>
      <c r="Z2636" s="172">
        <f>IF(OR(Y2636="",'01_설정'!B31="",'01_설정'!B31&lt;=0,'01_설정'!B32="",'01_설정'!B32&lt;=0),"",MAX(0,(1-Y2636/'01_설정'!B32))*'01_설정'!B31)</f>
        <v/>
      </c>
    </row>
    <row r="2637" ht="17.25" customHeight="1">
      <c r="A2637" s="152">
        <f>IF(INDEX('04A_국토부원자료'!$A:$A,ROW()+1)="","",ROW()-3)</f>
        <v/>
      </c>
      <c r="B2637" s="48">
        <f>IFERROR(INDEX('04A_국토부원자료'!$A:$T,ROW()+1,MATCH("시군구",'04A_국토부원자료'!$A$4:$T$4,0)),"")</f>
        <v/>
      </c>
      <c r="C2637" s="48">
        <f>IF(B2637="","",IFERROR(INDEX('04A_국토부원자료'!$A:$T,ROW()+1,MATCH("번지",'04A_국토부원자료'!$A$4:$T$4,0)),""))</f>
        <v/>
      </c>
      <c r="D2637" s="48">
        <f>IF(B2637="","",IF(Q2637=1,'02_대상물건입력'!$B$8,IFERROR(INDEX('04A_국토부원자료'!$A:$T,ROW()+1,MATCH("단지명",'04A_국토부원자료'!$A$4:$T$4,0)),"")))</f>
        <v/>
      </c>
      <c r="E2637" s="172">
        <f>IFERROR(VALUE(SUBSTITUTE(INDEX('04A_국토부원자료'!$A:$T,ROW()+1,MATCH("전용면적(㎡)",'04A_국토부원자료'!$A$4:$T$4,0)),",","")),"")</f>
        <v/>
      </c>
      <c r="F26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37" s="51">
        <f>IFERROR(VALUE(SUBSTITUTE(INDEX('04A_국토부원자료'!$A:$T,ROW()+1,MATCH("거래금액(만원)",'04A_국토부원자료'!$A$4:$T$4,0)),",","")),"")</f>
        <v/>
      </c>
      <c r="H2637" s="174">
        <f>IF(G2637="","",G2637*10000)</f>
        <v/>
      </c>
      <c r="I2637" s="174">
        <f>IFERROR(IF(AND(H2637&gt;0,E2637&gt;0),H2637/E2637,""),"")</f>
        <v/>
      </c>
      <c r="J2637" s="152">
        <f>IFERROR(VALUE(SUBSTITUTE(INDEX('04A_국토부원자료'!$A:$T,ROW()+1,MATCH("층",'04A_국토부원자료'!$A$4:$T$4,0)),",","")),"")</f>
        <v/>
      </c>
      <c r="K2637" s="152">
        <f>IFERROR(VALUE(SUBSTITUTE(INDEX('04A_국토부원자료'!$A:$T,ROW()+1,MATCH("건축년도",'04A_국토부원자료'!$A$4:$T$4,0)),",","")),"")</f>
        <v/>
      </c>
      <c r="L2637" s="48">
        <f>IFERROR(INDEX('04A_국토부원자료'!$A:$T,ROW()+1,MATCH("도로명",'04A_국토부원자료'!$A$4:$T$4,0)),"")</f>
        <v/>
      </c>
      <c r="M2637" s="48">
        <f>IFERROR(INDEX('04A_국토부원자료'!$A:$T,ROW()+1,MATCH("거래유형",'04A_국토부원자료'!$A$4:$T$4,0)),"")</f>
        <v/>
      </c>
      <c r="N2637" s="152">
        <f>IF(B2637="","",IF('02_대상물건입력'!B5="",1,IF(ISNUMBER(SEARCH('02_대상물건입력'!B5,B2637)),1,0)))</f>
        <v/>
      </c>
      <c r="O2637" s="152">
        <f>IF(B2637="","",IF('02_대상물건입력'!B6="",1,IF(ISNUMBER(SEARCH('02_대상물건입력'!B6,B2637)),1,0)))</f>
        <v/>
      </c>
      <c r="P2637" s="152">
        <f>IF(L2637="","",IF('02_대상물건입력'!B15="",0,IF(ISNUMBER(SEARCH('02_대상물건입력'!B15,L2637)),1,0)))</f>
        <v/>
      </c>
      <c r="Q2637" s="152">
        <f>IF(OR(C2637="",L2637=""),0,IF(AND(TRIM(C2637)=TRIM(RIGHT(SUBSTITUTE(TRIM('02_대상물건입력'!$B$7)," ",REPT(" ",99)),99)),IF('02_대상물건입력'!B15="",TRUE(),ISNUMBER(SEARCH('02_대상물건입력'!B15,L2637)))),1,0))</f>
        <v/>
      </c>
      <c r="R2637" s="175">
        <f>IFERROR(ABS(E2637-'02_대상물건입력'!B11)/'02_대상물건입력'!B11,"")</f>
        <v/>
      </c>
      <c r="S2637" s="152">
        <f>IFERROR(ABS(J2637-'02_대상물건입력'!B10),"")</f>
        <v/>
      </c>
      <c r="T2637" s="152">
        <f>IFERROR(ABS('01_설정'!B4-F2637),"")</f>
        <v/>
      </c>
      <c r="U2637" s="152">
        <f>IFERROR(ABS(K2637-YEAR('02_대상물건입력'!B14)),"")</f>
        <v/>
      </c>
      <c r="V2637" s="152">
        <f>IF(B2637="","",IF(AND(E2637&gt;0,F2637&gt;0,H2637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2637=1,TRUE()),R2637&lt;='01_설정'!B5,S2637&lt;='01_설정'!B6,T2637&lt;='01_설정'!B7,U2637&lt;='01_설정'!B8),"Y",""))</f>
        <v/>
      </c>
      <c r="W2637" s="172">
        <f>IF(V2637&lt;&gt;"Y","",MAX(0,(1-R2637/'01_설정'!B5))*'01_설정'!B14+MAX(0,(1-S2637/'01_설정'!B6))*'01_설정'!B15+MAX(0,(1-T2637/'01_설정'!B7))*'01_설정'!B16+MAX(0,(1-U2637/'01_설정'!B8))*'01_설정'!B17+O2637*'01_설정'!B11+Q2637*'01_설정'!B12+P2637*'01_설정'!B13+IF(Z2637="",0,Z2637))</f>
        <v/>
      </c>
      <c r="X2637" s="152">
        <f>IF(W2637="","",1+COUNTIFS($W$4:$W$3003,"&gt;"&amp;W2637)+COUNTIFS($W$4:W2637,W2637)-1)</f>
        <v/>
      </c>
      <c r="Y2637" s="175">
        <f>IF(OR(I2637="",'02_대상물건입력'!B19="",'02_대상물건입력'!B19&lt;=0),"",ABS(I2637-'02_대상물건입력'!B19)/'02_대상물건입력'!B19)</f>
        <v/>
      </c>
      <c r="Z2637" s="172">
        <f>IF(OR(Y2637="",'01_설정'!B31="",'01_설정'!B31&lt;=0,'01_설정'!B32="",'01_설정'!B32&lt;=0),"",MAX(0,(1-Y2637/'01_설정'!B32))*'01_설정'!B31)</f>
        <v/>
      </c>
    </row>
    <row r="2638" ht="17.25" customHeight="1">
      <c r="A2638" s="152">
        <f>IF(INDEX('04A_국토부원자료'!$A:$A,ROW()+1)="","",ROW()-3)</f>
        <v/>
      </c>
      <c r="B2638" s="48">
        <f>IFERROR(INDEX('04A_국토부원자료'!$A:$T,ROW()+1,MATCH("시군구",'04A_국토부원자료'!$A$4:$T$4,0)),"")</f>
        <v/>
      </c>
      <c r="C2638" s="48">
        <f>IF(B2638="","",IFERROR(INDEX('04A_국토부원자료'!$A:$T,ROW()+1,MATCH("번지",'04A_국토부원자료'!$A$4:$T$4,0)),""))</f>
        <v/>
      </c>
      <c r="D2638" s="48">
        <f>IF(B2638="","",IF(Q2638=1,'02_대상물건입력'!$B$8,IFERROR(INDEX('04A_국토부원자료'!$A:$T,ROW()+1,MATCH("단지명",'04A_국토부원자료'!$A$4:$T$4,0)),"")))</f>
        <v/>
      </c>
      <c r="E2638" s="172">
        <f>IFERROR(VALUE(SUBSTITUTE(INDEX('04A_국토부원자료'!$A:$T,ROW()+1,MATCH("전용면적(㎡)",'04A_국토부원자료'!$A$4:$T$4,0)),",","")),"")</f>
        <v/>
      </c>
      <c r="F26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38" s="51">
        <f>IFERROR(VALUE(SUBSTITUTE(INDEX('04A_국토부원자료'!$A:$T,ROW()+1,MATCH("거래금액(만원)",'04A_국토부원자료'!$A$4:$T$4,0)),",","")),"")</f>
        <v/>
      </c>
      <c r="H2638" s="174">
        <f>IF(G2638="","",G2638*10000)</f>
        <v/>
      </c>
      <c r="I2638" s="174">
        <f>IFERROR(IF(AND(H2638&gt;0,E2638&gt;0),H2638/E2638,""),"")</f>
        <v/>
      </c>
      <c r="J2638" s="152">
        <f>IFERROR(VALUE(SUBSTITUTE(INDEX('04A_국토부원자료'!$A:$T,ROW()+1,MATCH("층",'04A_국토부원자료'!$A$4:$T$4,0)),",","")),"")</f>
        <v/>
      </c>
      <c r="K2638" s="152">
        <f>IFERROR(VALUE(SUBSTITUTE(INDEX('04A_국토부원자료'!$A:$T,ROW()+1,MATCH("건축년도",'04A_국토부원자료'!$A$4:$T$4,0)),",","")),"")</f>
        <v/>
      </c>
      <c r="L2638" s="48">
        <f>IFERROR(INDEX('04A_국토부원자료'!$A:$T,ROW()+1,MATCH("도로명",'04A_국토부원자료'!$A$4:$T$4,0)),"")</f>
        <v/>
      </c>
      <c r="M2638" s="48">
        <f>IFERROR(INDEX('04A_국토부원자료'!$A:$T,ROW()+1,MATCH("거래유형",'04A_국토부원자료'!$A$4:$T$4,0)),"")</f>
        <v/>
      </c>
      <c r="N2638" s="152">
        <f>IF(B2638="","",IF('02_대상물건입력'!B5="",1,IF(ISNUMBER(SEARCH('02_대상물건입력'!B5,B2638)),1,0)))</f>
        <v/>
      </c>
      <c r="O2638" s="152">
        <f>IF(B2638="","",IF('02_대상물건입력'!B6="",1,IF(ISNUMBER(SEARCH('02_대상물건입력'!B6,B2638)),1,0)))</f>
        <v/>
      </c>
      <c r="P2638" s="152">
        <f>IF(L2638="","",IF('02_대상물건입력'!B15="",0,IF(ISNUMBER(SEARCH('02_대상물건입력'!B15,L2638)),1,0)))</f>
        <v/>
      </c>
      <c r="Q2638" s="152">
        <f>IF(OR(C2638="",L2638=""),0,IF(AND(TRIM(C2638)=TRIM(RIGHT(SUBSTITUTE(TRIM('02_대상물건입력'!$B$7)," ",REPT(" ",99)),99)),IF('02_대상물건입력'!B15="",TRUE(),ISNUMBER(SEARCH('02_대상물건입력'!B15,L2638)))),1,0))</f>
        <v/>
      </c>
      <c r="R2638" s="175">
        <f>IFERROR(ABS(E2638-'02_대상물건입력'!B11)/'02_대상물건입력'!B11,"")</f>
        <v/>
      </c>
      <c r="S2638" s="152">
        <f>IFERROR(ABS(J2638-'02_대상물건입력'!B10),"")</f>
        <v/>
      </c>
      <c r="T2638" s="152">
        <f>IFERROR(ABS('01_설정'!B4-F2638),"")</f>
        <v/>
      </c>
      <c r="U2638" s="152">
        <f>IFERROR(ABS(K2638-YEAR('02_대상물건입력'!B14)),"")</f>
        <v/>
      </c>
      <c r="V2638" s="152">
        <f>IF(B2638="","",IF(AND(E2638&gt;0,F2638&gt;0,H2638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2638=1,TRUE()),R2638&lt;='01_설정'!B5,S2638&lt;='01_설정'!B6,T2638&lt;='01_설정'!B7,U2638&lt;='01_설정'!B8),"Y",""))</f>
        <v/>
      </c>
      <c r="W2638" s="172">
        <f>IF(V2638&lt;&gt;"Y","",MAX(0,(1-R2638/'01_설정'!B5))*'01_설정'!B14+MAX(0,(1-S2638/'01_설정'!B6))*'01_설정'!B15+MAX(0,(1-T2638/'01_설정'!B7))*'01_설정'!B16+MAX(0,(1-U2638/'01_설정'!B8))*'01_설정'!B17+O2638*'01_설정'!B11+Q2638*'01_설정'!B12+P2638*'01_설정'!B13+IF(Z2638="",0,Z2638))</f>
        <v/>
      </c>
      <c r="X2638" s="152">
        <f>IF(W2638="","",1+COUNTIFS($W$4:$W$3003,"&gt;"&amp;W2638)+COUNTIFS($W$4:W2638,W2638)-1)</f>
        <v/>
      </c>
      <c r="Y2638" s="175">
        <f>IF(OR(I2638="",'02_대상물건입력'!B19="",'02_대상물건입력'!B19&lt;=0),"",ABS(I2638-'02_대상물건입력'!B19)/'02_대상물건입력'!B19)</f>
        <v/>
      </c>
      <c r="Z2638" s="172">
        <f>IF(OR(Y2638="",'01_설정'!B31="",'01_설정'!B31&lt;=0,'01_설정'!B32="",'01_설정'!B32&lt;=0),"",MAX(0,(1-Y2638/'01_설정'!B32))*'01_설정'!B31)</f>
        <v/>
      </c>
    </row>
    <row r="2639" ht="17.25" customHeight="1">
      <c r="A2639" s="152">
        <f>IF(INDEX('04A_국토부원자료'!$A:$A,ROW()+1)="","",ROW()-3)</f>
        <v/>
      </c>
      <c r="B2639" s="48">
        <f>IFERROR(INDEX('04A_국토부원자료'!$A:$T,ROW()+1,MATCH("시군구",'04A_국토부원자료'!$A$4:$T$4,0)),"")</f>
        <v/>
      </c>
      <c r="C2639" s="48">
        <f>IF(B2639="","",IFERROR(INDEX('04A_국토부원자료'!$A:$T,ROW()+1,MATCH("번지",'04A_국토부원자료'!$A$4:$T$4,0)),""))</f>
        <v/>
      </c>
      <c r="D2639" s="48">
        <f>IF(B2639="","",IF(Q2639=1,'02_대상물건입력'!$B$8,IFERROR(INDEX('04A_국토부원자료'!$A:$T,ROW()+1,MATCH("단지명",'04A_국토부원자료'!$A$4:$T$4,0)),"")))</f>
        <v/>
      </c>
      <c r="E2639" s="172">
        <f>IFERROR(VALUE(SUBSTITUTE(INDEX('04A_국토부원자료'!$A:$T,ROW()+1,MATCH("전용면적(㎡)",'04A_국토부원자료'!$A$4:$T$4,0)),",","")),"")</f>
        <v/>
      </c>
      <c r="F26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39" s="51">
        <f>IFERROR(VALUE(SUBSTITUTE(INDEX('04A_국토부원자료'!$A:$T,ROW()+1,MATCH("거래금액(만원)",'04A_국토부원자료'!$A$4:$T$4,0)),",","")),"")</f>
        <v/>
      </c>
      <c r="H2639" s="174">
        <f>IF(G2639="","",G2639*10000)</f>
        <v/>
      </c>
      <c r="I2639" s="174">
        <f>IFERROR(IF(AND(H2639&gt;0,E2639&gt;0),H2639/E2639,""),"")</f>
        <v/>
      </c>
      <c r="J2639" s="152">
        <f>IFERROR(VALUE(SUBSTITUTE(INDEX('04A_국토부원자료'!$A:$T,ROW()+1,MATCH("층",'04A_국토부원자료'!$A$4:$T$4,0)),",","")),"")</f>
        <v/>
      </c>
      <c r="K2639" s="152">
        <f>IFERROR(VALUE(SUBSTITUTE(INDEX('04A_국토부원자료'!$A:$T,ROW()+1,MATCH("건축년도",'04A_국토부원자료'!$A$4:$T$4,0)),",","")),"")</f>
        <v/>
      </c>
      <c r="L2639" s="48">
        <f>IFERROR(INDEX('04A_국토부원자료'!$A:$T,ROW()+1,MATCH("도로명",'04A_국토부원자료'!$A$4:$T$4,0)),"")</f>
        <v/>
      </c>
      <c r="M2639" s="48">
        <f>IFERROR(INDEX('04A_국토부원자료'!$A:$T,ROW()+1,MATCH("거래유형",'04A_국토부원자료'!$A$4:$T$4,0)),"")</f>
        <v/>
      </c>
      <c r="N2639" s="152">
        <f>IF(B2639="","",IF('02_대상물건입력'!B5="",1,IF(ISNUMBER(SEARCH('02_대상물건입력'!B5,B2639)),1,0)))</f>
        <v/>
      </c>
      <c r="O2639" s="152">
        <f>IF(B2639="","",IF('02_대상물건입력'!B6="",1,IF(ISNUMBER(SEARCH('02_대상물건입력'!B6,B2639)),1,0)))</f>
        <v/>
      </c>
      <c r="P2639" s="152">
        <f>IF(L2639="","",IF('02_대상물건입력'!B15="",0,IF(ISNUMBER(SEARCH('02_대상물건입력'!B15,L2639)),1,0)))</f>
        <v/>
      </c>
      <c r="Q2639" s="152">
        <f>IF(OR(C2639="",L2639=""),0,IF(AND(TRIM(C2639)=TRIM(RIGHT(SUBSTITUTE(TRIM('02_대상물건입력'!$B$7)," ",REPT(" ",99)),99)),IF('02_대상물건입력'!B15="",TRUE(),ISNUMBER(SEARCH('02_대상물건입력'!B15,L2639)))),1,0))</f>
        <v/>
      </c>
      <c r="R2639" s="175">
        <f>IFERROR(ABS(E2639-'02_대상물건입력'!B11)/'02_대상물건입력'!B11,"")</f>
        <v/>
      </c>
      <c r="S2639" s="152">
        <f>IFERROR(ABS(J2639-'02_대상물건입력'!B10),"")</f>
        <v/>
      </c>
      <c r="T2639" s="152">
        <f>IFERROR(ABS('01_설정'!B4-F2639),"")</f>
        <v/>
      </c>
      <c r="U2639" s="152">
        <f>IFERROR(ABS(K2639-YEAR('02_대상물건입력'!B14)),"")</f>
        <v/>
      </c>
      <c r="V2639" s="152">
        <f>IF(B2639="","",IF(AND(E2639&gt;0,F2639&gt;0,H2639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2639=1,TRUE()),R2639&lt;='01_설정'!B5,S2639&lt;='01_설정'!B6,T2639&lt;='01_설정'!B7,U2639&lt;='01_설정'!B8),"Y",""))</f>
        <v/>
      </c>
      <c r="W2639" s="172">
        <f>IF(V2639&lt;&gt;"Y","",MAX(0,(1-R2639/'01_설정'!B5))*'01_설정'!B14+MAX(0,(1-S2639/'01_설정'!B6))*'01_설정'!B15+MAX(0,(1-T2639/'01_설정'!B7))*'01_설정'!B16+MAX(0,(1-U2639/'01_설정'!B8))*'01_설정'!B17+O2639*'01_설정'!B11+Q2639*'01_설정'!B12+P2639*'01_설정'!B13+IF(Z2639="",0,Z2639))</f>
        <v/>
      </c>
      <c r="X2639" s="152">
        <f>IF(W2639="","",1+COUNTIFS($W$4:$W$3003,"&gt;"&amp;W2639)+COUNTIFS($W$4:W2639,W2639)-1)</f>
        <v/>
      </c>
      <c r="Y2639" s="175">
        <f>IF(OR(I2639="",'02_대상물건입력'!B19="",'02_대상물건입력'!B19&lt;=0),"",ABS(I2639-'02_대상물건입력'!B19)/'02_대상물건입력'!B19)</f>
        <v/>
      </c>
      <c r="Z2639" s="172">
        <f>IF(OR(Y2639="",'01_설정'!B31="",'01_설정'!B31&lt;=0,'01_설정'!B32="",'01_설정'!B32&lt;=0),"",MAX(0,(1-Y2639/'01_설정'!B32))*'01_설정'!B31)</f>
        <v/>
      </c>
    </row>
    <row r="2640" ht="17.25" customHeight="1">
      <c r="A2640" s="152">
        <f>IF(INDEX('04A_국토부원자료'!$A:$A,ROW()+1)="","",ROW()-3)</f>
        <v/>
      </c>
      <c r="B2640" s="48">
        <f>IFERROR(INDEX('04A_국토부원자료'!$A:$T,ROW()+1,MATCH("시군구",'04A_국토부원자료'!$A$4:$T$4,0)),"")</f>
        <v/>
      </c>
      <c r="C2640" s="48">
        <f>IF(B2640="","",IFERROR(INDEX('04A_국토부원자료'!$A:$T,ROW()+1,MATCH("번지",'04A_국토부원자료'!$A$4:$T$4,0)),""))</f>
        <v/>
      </c>
      <c r="D2640" s="48">
        <f>IF(B2640="","",IF(Q2640=1,'02_대상물건입력'!$B$8,IFERROR(INDEX('04A_국토부원자료'!$A:$T,ROW()+1,MATCH("단지명",'04A_국토부원자료'!$A$4:$T$4,0)),"")))</f>
        <v/>
      </c>
      <c r="E2640" s="172">
        <f>IFERROR(VALUE(SUBSTITUTE(INDEX('04A_국토부원자료'!$A:$T,ROW()+1,MATCH("전용면적(㎡)",'04A_국토부원자료'!$A$4:$T$4,0)),",","")),"")</f>
        <v/>
      </c>
      <c r="F26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40" s="51">
        <f>IFERROR(VALUE(SUBSTITUTE(INDEX('04A_국토부원자료'!$A:$T,ROW()+1,MATCH("거래금액(만원)",'04A_국토부원자료'!$A$4:$T$4,0)),",","")),"")</f>
        <v/>
      </c>
      <c r="H2640" s="174">
        <f>IF(G2640="","",G2640*10000)</f>
        <v/>
      </c>
      <c r="I2640" s="174">
        <f>IFERROR(IF(AND(H2640&gt;0,E2640&gt;0),H2640/E2640,""),"")</f>
        <v/>
      </c>
      <c r="J2640" s="152">
        <f>IFERROR(VALUE(SUBSTITUTE(INDEX('04A_국토부원자료'!$A:$T,ROW()+1,MATCH("층",'04A_국토부원자료'!$A$4:$T$4,0)),",","")),"")</f>
        <v/>
      </c>
      <c r="K2640" s="152">
        <f>IFERROR(VALUE(SUBSTITUTE(INDEX('04A_국토부원자료'!$A:$T,ROW()+1,MATCH("건축년도",'04A_국토부원자료'!$A$4:$T$4,0)),",","")),"")</f>
        <v/>
      </c>
      <c r="L2640" s="48">
        <f>IFERROR(INDEX('04A_국토부원자료'!$A:$T,ROW()+1,MATCH("도로명",'04A_국토부원자료'!$A$4:$T$4,0)),"")</f>
        <v/>
      </c>
      <c r="M2640" s="48">
        <f>IFERROR(INDEX('04A_국토부원자료'!$A:$T,ROW()+1,MATCH("거래유형",'04A_국토부원자료'!$A$4:$T$4,0)),"")</f>
        <v/>
      </c>
      <c r="N2640" s="152">
        <f>IF(B2640="","",IF('02_대상물건입력'!B5="",1,IF(ISNUMBER(SEARCH('02_대상물건입력'!B5,B2640)),1,0)))</f>
        <v/>
      </c>
      <c r="O2640" s="152">
        <f>IF(B2640="","",IF('02_대상물건입력'!B6="",1,IF(ISNUMBER(SEARCH('02_대상물건입력'!B6,B2640)),1,0)))</f>
        <v/>
      </c>
      <c r="P2640" s="152">
        <f>IF(L2640="","",IF('02_대상물건입력'!B15="",0,IF(ISNUMBER(SEARCH('02_대상물건입력'!B15,L2640)),1,0)))</f>
        <v/>
      </c>
      <c r="Q2640" s="152">
        <f>IF(OR(C2640="",L2640=""),0,IF(AND(TRIM(C2640)=TRIM(RIGHT(SUBSTITUTE(TRIM('02_대상물건입력'!$B$7)," ",REPT(" ",99)),99)),IF('02_대상물건입력'!B15="",TRUE(),ISNUMBER(SEARCH('02_대상물건입력'!B15,L2640)))),1,0))</f>
        <v/>
      </c>
      <c r="R2640" s="175">
        <f>IFERROR(ABS(E2640-'02_대상물건입력'!B11)/'02_대상물건입력'!B11,"")</f>
        <v/>
      </c>
      <c r="S2640" s="152">
        <f>IFERROR(ABS(J2640-'02_대상물건입력'!B10),"")</f>
        <v/>
      </c>
      <c r="T2640" s="152">
        <f>IFERROR(ABS('01_설정'!B4-F2640),"")</f>
        <v/>
      </c>
      <c r="U2640" s="152">
        <f>IFERROR(ABS(K2640-YEAR('02_대상물건입력'!B14)),"")</f>
        <v/>
      </c>
      <c r="V2640" s="152">
        <f>IF(B2640="","",IF(AND(E2640&gt;0,F2640&gt;0,H2640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2640=1,TRUE()),R2640&lt;='01_설정'!B5,S2640&lt;='01_설정'!B6,T2640&lt;='01_설정'!B7,U2640&lt;='01_설정'!B8),"Y",""))</f>
        <v/>
      </c>
      <c r="W2640" s="172">
        <f>IF(V2640&lt;&gt;"Y","",MAX(0,(1-R2640/'01_설정'!B5))*'01_설정'!B14+MAX(0,(1-S2640/'01_설정'!B6))*'01_설정'!B15+MAX(0,(1-T2640/'01_설정'!B7))*'01_설정'!B16+MAX(0,(1-U2640/'01_설정'!B8))*'01_설정'!B17+O2640*'01_설정'!B11+Q2640*'01_설정'!B12+P2640*'01_설정'!B13+IF(Z2640="",0,Z2640))</f>
        <v/>
      </c>
      <c r="X2640" s="152">
        <f>IF(W2640="","",1+COUNTIFS($W$4:$W$3003,"&gt;"&amp;W2640)+COUNTIFS($W$4:W2640,W2640)-1)</f>
        <v/>
      </c>
      <c r="Y2640" s="175">
        <f>IF(OR(I2640="",'02_대상물건입력'!B19="",'02_대상물건입력'!B19&lt;=0),"",ABS(I2640-'02_대상물건입력'!B19)/'02_대상물건입력'!B19)</f>
        <v/>
      </c>
      <c r="Z2640" s="172">
        <f>IF(OR(Y2640="",'01_설정'!B31="",'01_설정'!B31&lt;=0,'01_설정'!B32="",'01_설정'!B32&lt;=0),"",MAX(0,(1-Y2640/'01_설정'!B32))*'01_설정'!B31)</f>
        <v/>
      </c>
    </row>
    <row r="2641" ht="17.25" customHeight="1">
      <c r="A2641" s="152">
        <f>IF(INDEX('04A_국토부원자료'!$A:$A,ROW()+1)="","",ROW()-3)</f>
        <v/>
      </c>
      <c r="B2641" s="48">
        <f>IFERROR(INDEX('04A_국토부원자료'!$A:$T,ROW()+1,MATCH("시군구",'04A_국토부원자료'!$A$4:$T$4,0)),"")</f>
        <v/>
      </c>
      <c r="C2641" s="48">
        <f>IF(B2641="","",IFERROR(INDEX('04A_국토부원자료'!$A:$T,ROW()+1,MATCH("번지",'04A_국토부원자료'!$A$4:$T$4,0)),""))</f>
        <v/>
      </c>
      <c r="D2641" s="48">
        <f>IF(B2641="","",IF(Q2641=1,'02_대상물건입력'!$B$8,IFERROR(INDEX('04A_국토부원자료'!$A:$T,ROW()+1,MATCH("단지명",'04A_국토부원자료'!$A$4:$T$4,0)),"")))</f>
        <v/>
      </c>
      <c r="E2641" s="172">
        <f>IFERROR(VALUE(SUBSTITUTE(INDEX('04A_국토부원자료'!$A:$T,ROW()+1,MATCH("전용면적(㎡)",'04A_국토부원자료'!$A$4:$T$4,0)),",","")),"")</f>
        <v/>
      </c>
      <c r="F26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41" s="51">
        <f>IFERROR(VALUE(SUBSTITUTE(INDEX('04A_국토부원자료'!$A:$T,ROW()+1,MATCH("거래금액(만원)",'04A_국토부원자료'!$A$4:$T$4,0)),",","")),"")</f>
        <v/>
      </c>
      <c r="H2641" s="174">
        <f>IF(G2641="","",G2641*10000)</f>
        <v/>
      </c>
      <c r="I2641" s="174">
        <f>IFERROR(IF(AND(H2641&gt;0,E2641&gt;0),H2641/E2641,""),"")</f>
        <v/>
      </c>
      <c r="J2641" s="152">
        <f>IFERROR(VALUE(SUBSTITUTE(INDEX('04A_국토부원자료'!$A:$T,ROW()+1,MATCH("층",'04A_국토부원자료'!$A$4:$T$4,0)),",","")),"")</f>
        <v/>
      </c>
      <c r="K2641" s="152">
        <f>IFERROR(VALUE(SUBSTITUTE(INDEX('04A_국토부원자료'!$A:$T,ROW()+1,MATCH("건축년도",'04A_국토부원자료'!$A$4:$T$4,0)),",","")),"")</f>
        <v/>
      </c>
      <c r="L2641" s="48">
        <f>IFERROR(INDEX('04A_국토부원자료'!$A:$T,ROW()+1,MATCH("도로명",'04A_국토부원자료'!$A$4:$T$4,0)),"")</f>
        <v/>
      </c>
      <c r="M2641" s="48">
        <f>IFERROR(INDEX('04A_국토부원자료'!$A:$T,ROW()+1,MATCH("거래유형",'04A_국토부원자료'!$A$4:$T$4,0)),"")</f>
        <v/>
      </c>
      <c r="N2641" s="152">
        <f>IF(B2641="","",IF('02_대상물건입력'!B5="",1,IF(ISNUMBER(SEARCH('02_대상물건입력'!B5,B2641)),1,0)))</f>
        <v/>
      </c>
      <c r="O2641" s="152">
        <f>IF(B2641="","",IF('02_대상물건입력'!B6="",1,IF(ISNUMBER(SEARCH('02_대상물건입력'!B6,B2641)),1,0)))</f>
        <v/>
      </c>
      <c r="P2641" s="152">
        <f>IF(L2641="","",IF('02_대상물건입력'!B15="",0,IF(ISNUMBER(SEARCH('02_대상물건입력'!B15,L2641)),1,0)))</f>
        <v/>
      </c>
      <c r="Q2641" s="152">
        <f>IF(OR(C2641="",L2641=""),0,IF(AND(TRIM(C2641)=TRIM(RIGHT(SUBSTITUTE(TRIM('02_대상물건입력'!$B$7)," ",REPT(" ",99)),99)),IF('02_대상물건입력'!B15="",TRUE(),ISNUMBER(SEARCH('02_대상물건입력'!B15,L2641)))),1,0))</f>
        <v/>
      </c>
      <c r="R2641" s="175">
        <f>IFERROR(ABS(E2641-'02_대상물건입력'!B11)/'02_대상물건입력'!B11,"")</f>
        <v/>
      </c>
      <c r="S2641" s="152">
        <f>IFERROR(ABS(J2641-'02_대상물건입력'!B10),"")</f>
        <v/>
      </c>
      <c r="T2641" s="152">
        <f>IFERROR(ABS('01_설정'!B4-F2641),"")</f>
        <v/>
      </c>
      <c r="U2641" s="152">
        <f>IFERROR(ABS(K2641-YEAR('02_대상물건입력'!B14)),"")</f>
        <v/>
      </c>
      <c r="V2641" s="152">
        <f>IF(B2641="","",IF(AND(E2641&gt;0,F2641&gt;0,H2641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2641=1,TRUE()),R2641&lt;='01_설정'!B5,S2641&lt;='01_설정'!B6,T2641&lt;='01_설정'!B7,U2641&lt;='01_설정'!B8),"Y",""))</f>
        <v/>
      </c>
      <c r="W2641" s="172">
        <f>IF(V2641&lt;&gt;"Y","",MAX(0,(1-R2641/'01_설정'!B5))*'01_설정'!B14+MAX(0,(1-S2641/'01_설정'!B6))*'01_설정'!B15+MAX(0,(1-T2641/'01_설정'!B7))*'01_설정'!B16+MAX(0,(1-U2641/'01_설정'!B8))*'01_설정'!B17+O2641*'01_설정'!B11+Q2641*'01_설정'!B12+P2641*'01_설정'!B13+IF(Z2641="",0,Z2641))</f>
        <v/>
      </c>
      <c r="X2641" s="152">
        <f>IF(W2641="","",1+COUNTIFS($W$4:$W$3003,"&gt;"&amp;W2641)+COUNTIFS($W$4:W2641,W2641)-1)</f>
        <v/>
      </c>
      <c r="Y2641" s="175">
        <f>IF(OR(I2641="",'02_대상물건입력'!B19="",'02_대상물건입력'!B19&lt;=0),"",ABS(I2641-'02_대상물건입력'!B19)/'02_대상물건입력'!B19)</f>
        <v/>
      </c>
      <c r="Z2641" s="172">
        <f>IF(OR(Y2641="",'01_설정'!B31="",'01_설정'!B31&lt;=0,'01_설정'!B32="",'01_설정'!B32&lt;=0),"",MAX(0,(1-Y2641/'01_설정'!B32))*'01_설정'!B31)</f>
        <v/>
      </c>
    </row>
    <row r="2642" ht="17.25" customHeight="1">
      <c r="A2642" s="152">
        <f>IF(INDEX('04A_국토부원자료'!$A:$A,ROW()+1)="","",ROW()-3)</f>
        <v/>
      </c>
      <c r="B2642" s="48">
        <f>IFERROR(INDEX('04A_국토부원자료'!$A:$T,ROW()+1,MATCH("시군구",'04A_국토부원자료'!$A$4:$T$4,0)),"")</f>
        <v/>
      </c>
      <c r="C2642" s="48">
        <f>IF(B2642="","",IFERROR(INDEX('04A_국토부원자료'!$A:$T,ROW()+1,MATCH("번지",'04A_국토부원자료'!$A$4:$T$4,0)),""))</f>
        <v/>
      </c>
      <c r="D2642" s="48">
        <f>IF(B2642="","",IF(Q2642=1,'02_대상물건입력'!$B$8,IFERROR(INDEX('04A_국토부원자료'!$A:$T,ROW()+1,MATCH("단지명",'04A_국토부원자료'!$A$4:$T$4,0)),"")))</f>
        <v/>
      </c>
      <c r="E2642" s="172">
        <f>IFERROR(VALUE(SUBSTITUTE(INDEX('04A_국토부원자료'!$A:$T,ROW()+1,MATCH("전용면적(㎡)",'04A_국토부원자료'!$A$4:$T$4,0)),",","")),"")</f>
        <v/>
      </c>
      <c r="F26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42" s="51">
        <f>IFERROR(VALUE(SUBSTITUTE(INDEX('04A_국토부원자료'!$A:$T,ROW()+1,MATCH("거래금액(만원)",'04A_국토부원자료'!$A$4:$T$4,0)),",","")),"")</f>
        <v/>
      </c>
      <c r="H2642" s="174">
        <f>IF(G2642="","",G2642*10000)</f>
        <v/>
      </c>
      <c r="I2642" s="174">
        <f>IFERROR(IF(AND(H2642&gt;0,E2642&gt;0),H2642/E2642,""),"")</f>
        <v/>
      </c>
      <c r="J2642" s="152">
        <f>IFERROR(VALUE(SUBSTITUTE(INDEX('04A_국토부원자료'!$A:$T,ROW()+1,MATCH("층",'04A_국토부원자료'!$A$4:$T$4,0)),",","")),"")</f>
        <v/>
      </c>
      <c r="K2642" s="152">
        <f>IFERROR(VALUE(SUBSTITUTE(INDEX('04A_국토부원자료'!$A:$T,ROW()+1,MATCH("건축년도",'04A_국토부원자료'!$A$4:$T$4,0)),",","")),"")</f>
        <v/>
      </c>
      <c r="L2642" s="48">
        <f>IFERROR(INDEX('04A_국토부원자료'!$A:$T,ROW()+1,MATCH("도로명",'04A_국토부원자료'!$A$4:$T$4,0)),"")</f>
        <v/>
      </c>
      <c r="M2642" s="48">
        <f>IFERROR(INDEX('04A_국토부원자료'!$A:$T,ROW()+1,MATCH("거래유형",'04A_국토부원자료'!$A$4:$T$4,0)),"")</f>
        <v/>
      </c>
      <c r="N2642" s="152">
        <f>IF(B2642="","",IF('02_대상물건입력'!B5="",1,IF(ISNUMBER(SEARCH('02_대상물건입력'!B5,B2642)),1,0)))</f>
        <v/>
      </c>
      <c r="O2642" s="152">
        <f>IF(B2642="","",IF('02_대상물건입력'!B6="",1,IF(ISNUMBER(SEARCH('02_대상물건입력'!B6,B2642)),1,0)))</f>
        <v/>
      </c>
      <c r="P2642" s="152">
        <f>IF(L2642="","",IF('02_대상물건입력'!B15="",0,IF(ISNUMBER(SEARCH('02_대상물건입력'!B15,L2642)),1,0)))</f>
        <v/>
      </c>
      <c r="Q2642" s="152">
        <f>IF(OR(C2642="",L2642=""),0,IF(AND(TRIM(C2642)=TRIM(RIGHT(SUBSTITUTE(TRIM('02_대상물건입력'!$B$7)," ",REPT(" ",99)),99)),IF('02_대상물건입력'!B15="",TRUE(),ISNUMBER(SEARCH('02_대상물건입력'!B15,L2642)))),1,0))</f>
        <v/>
      </c>
      <c r="R2642" s="175">
        <f>IFERROR(ABS(E2642-'02_대상물건입력'!B11)/'02_대상물건입력'!B11,"")</f>
        <v/>
      </c>
      <c r="S2642" s="152">
        <f>IFERROR(ABS(J2642-'02_대상물건입력'!B10),"")</f>
        <v/>
      </c>
      <c r="T2642" s="152">
        <f>IFERROR(ABS('01_설정'!B4-F2642),"")</f>
        <v/>
      </c>
      <c r="U2642" s="152">
        <f>IFERROR(ABS(K2642-YEAR('02_대상물건입력'!B14)),"")</f>
        <v/>
      </c>
      <c r="V2642" s="152">
        <f>IF(B2642="","",IF(AND(E2642&gt;0,F2642&gt;0,H2642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2642=1,TRUE()),R2642&lt;='01_설정'!B5,S2642&lt;='01_설정'!B6,T2642&lt;='01_설정'!B7,U2642&lt;='01_설정'!B8),"Y",""))</f>
        <v/>
      </c>
      <c r="W2642" s="172">
        <f>IF(V2642&lt;&gt;"Y","",MAX(0,(1-R2642/'01_설정'!B5))*'01_설정'!B14+MAX(0,(1-S2642/'01_설정'!B6))*'01_설정'!B15+MAX(0,(1-T2642/'01_설정'!B7))*'01_설정'!B16+MAX(0,(1-U2642/'01_설정'!B8))*'01_설정'!B17+O2642*'01_설정'!B11+Q2642*'01_설정'!B12+P2642*'01_설정'!B13+IF(Z2642="",0,Z2642))</f>
        <v/>
      </c>
      <c r="X2642" s="152">
        <f>IF(W2642="","",1+COUNTIFS($W$4:$W$3003,"&gt;"&amp;W2642)+COUNTIFS($W$4:W2642,W2642)-1)</f>
        <v/>
      </c>
      <c r="Y2642" s="175">
        <f>IF(OR(I2642="",'02_대상물건입력'!B19="",'02_대상물건입력'!B19&lt;=0),"",ABS(I2642-'02_대상물건입력'!B19)/'02_대상물건입력'!B19)</f>
        <v/>
      </c>
      <c r="Z2642" s="172">
        <f>IF(OR(Y2642="",'01_설정'!B31="",'01_설정'!B31&lt;=0,'01_설정'!B32="",'01_설정'!B32&lt;=0),"",MAX(0,(1-Y2642/'01_설정'!B32))*'01_설정'!B31)</f>
        <v/>
      </c>
    </row>
    <row r="2643" ht="17.25" customHeight="1">
      <c r="A2643" s="152">
        <f>IF(INDEX('04A_국토부원자료'!$A:$A,ROW()+1)="","",ROW()-3)</f>
        <v/>
      </c>
      <c r="B2643" s="48">
        <f>IFERROR(INDEX('04A_국토부원자료'!$A:$T,ROW()+1,MATCH("시군구",'04A_국토부원자료'!$A$4:$T$4,0)),"")</f>
        <v/>
      </c>
      <c r="C2643" s="48">
        <f>IF(B2643="","",IFERROR(INDEX('04A_국토부원자료'!$A:$T,ROW()+1,MATCH("번지",'04A_국토부원자료'!$A$4:$T$4,0)),""))</f>
        <v/>
      </c>
      <c r="D2643" s="48">
        <f>IF(B2643="","",IF(Q2643=1,'02_대상물건입력'!$B$8,IFERROR(INDEX('04A_국토부원자료'!$A:$T,ROW()+1,MATCH("단지명",'04A_국토부원자료'!$A$4:$T$4,0)),"")))</f>
        <v/>
      </c>
      <c r="E2643" s="172">
        <f>IFERROR(VALUE(SUBSTITUTE(INDEX('04A_국토부원자료'!$A:$T,ROW()+1,MATCH("전용면적(㎡)",'04A_국토부원자료'!$A$4:$T$4,0)),",","")),"")</f>
        <v/>
      </c>
      <c r="F26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43" s="51">
        <f>IFERROR(VALUE(SUBSTITUTE(INDEX('04A_국토부원자료'!$A:$T,ROW()+1,MATCH("거래금액(만원)",'04A_국토부원자료'!$A$4:$T$4,0)),",","")),"")</f>
        <v/>
      </c>
      <c r="H2643" s="174">
        <f>IF(G2643="","",G2643*10000)</f>
        <v/>
      </c>
      <c r="I2643" s="174">
        <f>IFERROR(IF(AND(H2643&gt;0,E2643&gt;0),H2643/E2643,""),"")</f>
        <v/>
      </c>
      <c r="J2643" s="152">
        <f>IFERROR(VALUE(SUBSTITUTE(INDEX('04A_국토부원자료'!$A:$T,ROW()+1,MATCH("층",'04A_국토부원자료'!$A$4:$T$4,0)),",","")),"")</f>
        <v/>
      </c>
      <c r="K2643" s="152">
        <f>IFERROR(VALUE(SUBSTITUTE(INDEX('04A_국토부원자료'!$A:$T,ROW()+1,MATCH("건축년도",'04A_국토부원자료'!$A$4:$T$4,0)),",","")),"")</f>
        <v/>
      </c>
      <c r="L2643" s="48">
        <f>IFERROR(INDEX('04A_국토부원자료'!$A:$T,ROW()+1,MATCH("도로명",'04A_국토부원자료'!$A$4:$T$4,0)),"")</f>
        <v/>
      </c>
      <c r="M2643" s="48">
        <f>IFERROR(INDEX('04A_국토부원자료'!$A:$T,ROW()+1,MATCH("거래유형",'04A_국토부원자료'!$A$4:$T$4,0)),"")</f>
        <v/>
      </c>
      <c r="N2643" s="152">
        <f>IF(B2643="","",IF('02_대상물건입력'!B5="",1,IF(ISNUMBER(SEARCH('02_대상물건입력'!B5,B2643)),1,0)))</f>
        <v/>
      </c>
      <c r="O2643" s="152">
        <f>IF(B2643="","",IF('02_대상물건입력'!B6="",1,IF(ISNUMBER(SEARCH('02_대상물건입력'!B6,B2643)),1,0)))</f>
        <v/>
      </c>
      <c r="P2643" s="152">
        <f>IF(L2643="","",IF('02_대상물건입력'!B15="",0,IF(ISNUMBER(SEARCH('02_대상물건입력'!B15,L2643)),1,0)))</f>
        <v/>
      </c>
      <c r="Q2643" s="152">
        <f>IF(OR(C2643="",L2643=""),0,IF(AND(TRIM(C2643)=TRIM(RIGHT(SUBSTITUTE(TRIM('02_대상물건입력'!$B$7)," ",REPT(" ",99)),99)),IF('02_대상물건입력'!B15="",TRUE(),ISNUMBER(SEARCH('02_대상물건입력'!B15,L2643)))),1,0))</f>
        <v/>
      </c>
      <c r="R2643" s="175">
        <f>IFERROR(ABS(E2643-'02_대상물건입력'!B11)/'02_대상물건입력'!B11,"")</f>
        <v/>
      </c>
      <c r="S2643" s="152">
        <f>IFERROR(ABS(J2643-'02_대상물건입력'!B10),"")</f>
        <v/>
      </c>
      <c r="T2643" s="152">
        <f>IFERROR(ABS('01_설정'!B4-F2643),"")</f>
        <v/>
      </c>
      <c r="U2643" s="152">
        <f>IFERROR(ABS(K2643-YEAR('02_대상물건입력'!B14)),"")</f>
        <v/>
      </c>
      <c r="V2643" s="152">
        <f>IF(B2643="","",IF(AND(E2643&gt;0,F2643&gt;0,H2643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2643=1,TRUE()),R2643&lt;='01_설정'!B5,S2643&lt;='01_설정'!B6,T2643&lt;='01_설정'!B7,U2643&lt;='01_설정'!B8),"Y",""))</f>
        <v/>
      </c>
      <c r="W2643" s="172">
        <f>IF(V2643&lt;&gt;"Y","",MAX(0,(1-R2643/'01_설정'!B5))*'01_설정'!B14+MAX(0,(1-S2643/'01_설정'!B6))*'01_설정'!B15+MAX(0,(1-T2643/'01_설정'!B7))*'01_설정'!B16+MAX(0,(1-U2643/'01_설정'!B8))*'01_설정'!B17+O2643*'01_설정'!B11+Q2643*'01_설정'!B12+P2643*'01_설정'!B13+IF(Z2643="",0,Z2643))</f>
        <v/>
      </c>
      <c r="X2643" s="152">
        <f>IF(W2643="","",1+COUNTIFS($W$4:$W$3003,"&gt;"&amp;W2643)+COUNTIFS($W$4:W2643,W2643)-1)</f>
        <v/>
      </c>
      <c r="Y2643" s="175">
        <f>IF(OR(I2643="",'02_대상물건입력'!B19="",'02_대상물건입력'!B19&lt;=0),"",ABS(I2643-'02_대상물건입력'!B19)/'02_대상물건입력'!B19)</f>
        <v/>
      </c>
      <c r="Z2643" s="172">
        <f>IF(OR(Y2643="",'01_설정'!B31="",'01_설정'!B31&lt;=0,'01_설정'!B32="",'01_설정'!B32&lt;=0),"",MAX(0,(1-Y2643/'01_설정'!B32))*'01_설정'!B31)</f>
        <v/>
      </c>
    </row>
    <row r="2644" ht="17.25" customHeight="1">
      <c r="A2644" s="152">
        <f>IF(INDEX('04A_국토부원자료'!$A:$A,ROW()+1)="","",ROW()-3)</f>
        <v/>
      </c>
      <c r="B2644" s="48">
        <f>IFERROR(INDEX('04A_국토부원자료'!$A:$T,ROW()+1,MATCH("시군구",'04A_국토부원자료'!$A$4:$T$4,0)),"")</f>
        <v/>
      </c>
      <c r="C2644" s="48">
        <f>IF(B2644="","",IFERROR(INDEX('04A_국토부원자료'!$A:$T,ROW()+1,MATCH("번지",'04A_국토부원자료'!$A$4:$T$4,0)),""))</f>
        <v/>
      </c>
      <c r="D2644" s="48">
        <f>IF(B2644="","",IF(Q2644=1,'02_대상물건입력'!$B$8,IFERROR(INDEX('04A_국토부원자료'!$A:$T,ROW()+1,MATCH("단지명",'04A_국토부원자료'!$A$4:$T$4,0)),"")))</f>
        <v/>
      </c>
      <c r="E2644" s="172">
        <f>IFERROR(VALUE(SUBSTITUTE(INDEX('04A_국토부원자료'!$A:$T,ROW()+1,MATCH("전용면적(㎡)",'04A_국토부원자료'!$A$4:$T$4,0)),",","")),"")</f>
        <v/>
      </c>
      <c r="F26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44" s="51">
        <f>IFERROR(VALUE(SUBSTITUTE(INDEX('04A_국토부원자료'!$A:$T,ROW()+1,MATCH("거래금액(만원)",'04A_국토부원자료'!$A$4:$T$4,0)),",","")),"")</f>
        <v/>
      </c>
      <c r="H2644" s="174">
        <f>IF(G2644="","",G2644*10000)</f>
        <v/>
      </c>
      <c r="I2644" s="174">
        <f>IFERROR(IF(AND(H2644&gt;0,E2644&gt;0),H2644/E2644,""),"")</f>
        <v/>
      </c>
      <c r="J2644" s="152">
        <f>IFERROR(VALUE(SUBSTITUTE(INDEX('04A_국토부원자료'!$A:$T,ROW()+1,MATCH("층",'04A_국토부원자료'!$A$4:$T$4,0)),",","")),"")</f>
        <v/>
      </c>
      <c r="K2644" s="152">
        <f>IFERROR(VALUE(SUBSTITUTE(INDEX('04A_국토부원자료'!$A:$T,ROW()+1,MATCH("건축년도",'04A_국토부원자료'!$A$4:$T$4,0)),",","")),"")</f>
        <v/>
      </c>
      <c r="L2644" s="48">
        <f>IFERROR(INDEX('04A_국토부원자료'!$A:$T,ROW()+1,MATCH("도로명",'04A_국토부원자료'!$A$4:$T$4,0)),"")</f>
        <v/>
      </c>
      <c r="M2644" s="48">
        <f>IFERROR(INDEX('04A_국토부원자료'!$A:$T,ROW()+1,MATCH("거래유형",'04A_국토부원자료'!$A$4:$T$4,0)),"")</f>
        <v/>
      </c>
      <c r="N2644" s="152">
        <f>IF(B2644="","",IF('02_대상물건입력'!B5="",1,IF(ISNUMBER(SEARCH('02_대상물건입력'!B5,B2644)),1,0)))</f>
        <v/>
      </c>
      <c r="O2644" s="152">
        <f>IF(B2644="","",IF('02_대상물건입력'!B6="",1,IF(ISNUMBER(SEARCH('02_대상물건입력'!B6,B2644)),1,0)))</f>
        <v/>
      </c>
      <c r="P2644" s="152">
        <f>IF(L2644="","",IF('02_대상물건입력'!B15="",0,IF(ISNUMBER(SEARCH('02_대상물건입력'!B15,L2644)),1,0)))</f>
        <v/>
      </c>
      <c r="Q2644" s="152">
        <f>IF(OR(C2644="",L2644=""),0,IF(AND(TRIM(C2644)=TRIM(RIGHT(SUBSTITUTE(TRIM('02_대상물건입력'!$B$7)," ",REPT(" ",99)),99)),IF('02_대상물건입력'!B15="",TRUE(),ISNUMBER(SEARCH('02_대상물건입력'!B15,L2644)))),1,0))</f>
        <v/>
      </c>
      <c r="R2644" s="175">
        <f>IFERROR(ABS(E2644-'02_대상물건입력'!B11)/'02_대상물건입력'!B11,"")</f>
        <v/>
      </c>
      <c r="S2644" s="152">
        <f>IFERROR(ABS(J2644-'02_대상물건입력'!B10),"")</f>
        <v/>
      </c>
      <c r="T2644" s="152">
        <f>IFERROR(ABS('01_설정'!B4-F2644),"")</f>
        <v/>
      </c>
      <c r="U2644" s="152">
        <f>IFERROR(ABS(K2644-YEAR('02_대상물건입력'!B14)),"")</f>
        <v/>
      </c>
      <c r="V2644" s="152">
        <f>IF(B2644="","",IF(AND(E2644&gt;0,F2644&gt;0,H2644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2644=1,TRUE()),R2644&lt;='01_설정'!B5,S2644&lt;='01_설정'!B6,T2644&lt;='01_설정'!B7,U2644&lt;='01_설정'!B8),"Y",""))</f>
        <v/>
      </c>
      <c r="W2644" s="172">
        <f>IF(V2644&lt;&gt;"Y","",MAX(0,(1-R2644/'01_설정'!B5))*'01_설정'!B14+MAX(0,(1-S2644/'01_설정'!B6))*'01_설정'!B15+MAX(0,(1-T2644/'01_설정'!B7))*'01_설정'!B16+MAX(0,(1-U2644/'01_설정'!B8))*'01_설정'!B17+O2644*'01_설정'!B11+Q2644*'01_설정'!B12+P2644*'01_설정'!B13+IF(Z2644="",0,Z2644))</f>
        <v/>
      </c>
      <c r="X2644" s="152">
        <f>IF(W2644="","",1+COUNTIFS($W$4:$W$3003,"&gt;"&amp;W2644)+COUNTIFS($W$4:W2644,W2644)-1)</f>
        <v/>
      </c>
      <c r="Y2644" s="175">
        <f>IF(OR(I2644="",'02_대상물건입력'!B19="",'02_대상물건입력'!B19&lt;=0),"",ABS(I2644-'02_대상물건입력'!B19)/'02_대상물건입력'!B19)</f>
        <v/>
      </c>
      <c r="Z2644" s="172">
        <f>IF(OR(Y2644="",'01_설정'!B31="",'01_설정'!B31&lt;=0,'01_설정'!B32="",'01_설정'!B32&lt;=0),"",MAX(0,(1-Y2644/'01_설정'!B32))*'01_설정'!B31)</f>
        <v/>
      </c>
    </row>
    <row r="2645" ht="17.25" customHeight="1">
      <c r="A2645" s="152">
        <f>IF(INDEX('04A_국토부원자료'!$A:$A,ROW()+1)="","",ROW()-3)</f>
        <v/>
      </c>
      <c r="B2645" s="48">
        <f>IFERROR(INDEX('04A_국토부원자료'!$A:$T,ROW()+1,MATCH("시군구",'04A_국토부원자료'!$A$4:$T$4,0)),"")</f>
        <v/>
      </c>
      <c r="C2645" s="48">
        <f>IF(B2645="","",IFERROR(INDEX('04A_국토부원자료'!$A:$T,ROW()+1,MATCH("번지",'04A_국토부원자료'!$A$4:$T$4,0)),""))</f>
        <v/>
      </c>
      <c r="D2645" s="48">
        <f>IF(B2645="","",IF(Q2645=1,'02_대상물건입력'!$B$8,IFERROR(INDEX('04A_국토부원자료'!$A:$T,ROW()+1,MATCH("단지명",'04A_국토부원자료'!$A$4:$T$4,0)),"")))</f>
        <v/>
      </c>
      <c r="E2645" s="172">
        <f>IFERROR(VALUE(SUBSTITUTE(INDEX('04A_국토부원자료'!$A:$T,ROW()+1,MATCH("전용면적(㎡)",'04A_국토부원자료'!$A$4:$T$4,0)),",","")),"")</f>
        <v/>
      </c>
      <c r="F26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45" s="51">
        <f>IFERROR(VALUE(SUBSTITUTE(INDEX('04A_국토부원자료'!$A:$T,ROW()+1,MATCH("거래금액(만원)",'04A_국토부원자료'!$A$4:$T$4,0)),",","")),"")</f>
        <v/>
      </c>
      <c r="H2645" s="174">
        <f>IF(G2645="","",G2645*10000)</f>
        <v/>
      </c>
      <c r="I2645" s="174">
        <f>IFERROR(IF(AND(H2645&gt;0,E2645&gt;0),H2645/E2645,""),"")</f>
        <v/>
      </c>
      <c r="J2645" s="152">
        <f>IFERROR(VALUE(SUBSTITUTE(INDEX('04A_국토부원자료'!$A:$T,ROW()+1,MATCH("층",'04A_국토부원자료'!$A$4:$T$4,0)),",","")),"")</f>
        <v/>
      </c>
      <c r="K2645" s="152">
        <f>IFERROR(VALUE(SUBSTITUTE(INDEX('04A_국토부원자료'!$A:$T,ROW()+1,MATCH("건축년도",'04A_국토부원자료'!$A$4:$T$4,0)),",","")),"")</f>
        <v/>
      </c>
      <c r="L2645" s="48">
        <f>IFERROR(INDEX('04A_국토부원자료'!$A:$T,ROW()+1,MATCH("도로명",'04A_국토부원자료'!$A$4:$T$4,0)),"")</f>
        <v/>
      </c>
      <c r="M2645" s="48">
        <f>IFERROR(INDEX('04A_국토부원자료'!$A:$T,ROW()+1,MATCH("거래유형",'04A_국토부원자료'!$A$4:$T$4,0)),"")</f>
        <v/>
      </c>
      <c r="N2645" s="152">
        <f>IF(B2645="","",IF('02_대상물건입력'!B5="",1,IF(ISNUMBER(SEARCH('02_대상물건입력'!B5,B2645)),1,0)))</f>
        <v/>
      </c>
      <c r="O2645" s="152">
        <f>IF(B2645="","",IF('02_대상물건입력'!B6="",1,IF(ISNUMBER(SEARCH('02_대상물건입력'!B6,B2645)),1,0)))</f>
        <v/>
      </c>
      <c r="P2645" s="152">
        <f>IF(L2645="","",IF('02_대상물건입력'!B15="",0,IF(ISNUMBER(SEARCH('02_대상물건입력'!B15,L2645)),1,0)))</f>
        <v/>
      </c>
      <c r="Q2645" s="152">
        <f>IF(OR(C2645="",L2645=""),0,IF(AND(TRIM(C2645)=TRIM(RIGHT(SUBSTITUTE(TRIM('02_대상물건입력'!$B$7)," ",REPT(" ",99)),99)),IF('02_대상물건입력'!B15="",TRUE(),ISNUMBER(SEARCH('02_대상물건입력'!B15,L2645)))),1,0))</f>
        <v/>
      </c>
      <c r="R2645" s="175">
        <f>IFERROR(ABS(E2645-'02_대상물건입력'!B11)/'02_대상물건입력'!B11,"")</f>
        <v/>
      </c>
      <c r="S2645" s="152">
        <f>IFERROR(ABS(J2645-'02_대상물건입력'!B10),"")</f>
        <v/>
      </c>
      <c r="T2645" s="152">
        <f>IFERROR(ABS('01_설정'!B4-F2645),"")</f>
        <v/>
      </c>
      <c r="U2645" s="152">
        <f>IFERROR(ABS(K2645-YEAR('02_대상물건입력'!B14)),"")</f>
        <v/>
      </c>
      <c r="V2645" s="152">
        <f>IF(B2645="","",IF(AND(E2645&gt;0,F2645&gt;0,H2645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2645=1,TRUE()),R2645&lt;='01_설정'!B5,S2645&lt;='01_설정'!B6,T2645&lt;='01_설정'!B7,U2645&lt;='01_설정'!B8),"Y",""))</f>
        <v/>
      </c>
      <c r="W2645" s="172">
        <f>IF(V2645&lt;&gt;"Y","",MAX(0,(1-R2645/'01_설정'!B5))*'01_설정'!B14+MAX(0,(1-S2645/'01_설정'!B6))*'01_설정'!B15+MAX(0,(1-T2645/'01_설정'!B7))*'01_설정'!B16+MAX(0,(1-U2645/'01_설정'!B8))*'01_설정'!B17+O2645*'01_설정'!B11+Q2645*'01_설정'!B12+P2645*'01_설정'!B13+IF(Z2645="",0,Z2645))</f>
        <v/>
      </c>
      <c r="X2645" s="152">
        <f>IF(W2645="","",1+COUNTIFS($W$4:$W$3003,"&gt;"&amp;W2645)+COUNTIFS($W$4:W2645,W2645)-1)</f>
        <v/>
      </c>
      <c r="Y2645" s="175">
        <f>IF(OR(I2645="",'02_대상물건입력'!B19="",'02_대상물건입력'!B19&lt;=0),"",ABS(I2645-'02_대상물건입력'!B19)/'02_대상물건입력'!B19)</f>
        <v/>
      </c>
      <c r="Z2645" s="172">
        <f>IF(OR(Y2645="",'01_설정'!B31="",'01_설정'!B31&lt;=0,'01_설정'!B32="",'01_설정'!B32&lt;=0),"",MAX(0,(1-Y2645/'01_설정'!B32))*'01_설정'!B31)</f>
        <v/>
      </c>
    </row>
    <row r="2646" ht="17.25" customHeight="1">
      <c r="A2646" s="152">
        <f>IF(INDEX('04A_국토부원자료'!$A:$A,ROW()+1)="","",ROW()-3)</f>
        <v/>
      </c>
      <c r="B2646" s="48">
        <f>IFERROR(INDEX('04A_국토부원자료'!$A:$T,ROW()+1,MATCH("시군구",'04A_국토부원자료'!$A$4:$T$4,0)),"")</f>
        <v/>
      </c>
      <c r="C2646" s="48">
        <f>IF(B2646="","",IFERROR(INDEX('04A_국토부원자료'!$A:$T,ROW()+1,MATCH("번지",'04A_국토부원자료'!$A$4:$T$4,0)),""))</f>
        <v/>
      </c>
      <c r="D2646" s="48">
        <f>IF(B2646="","",IF(Q2646=1,'02_대상물건입력'!$B$8,IFERROR(INDEX('04A_국토부원자료'!$A:$T,ROW()+1,MATCH("단지명",'04A_국토부원자료'!$A$4:$T$4,0)),"")))</f>
        <v/>
      </c>
      <c r="E2646" s="172">
        <f>IFERROR(VALUE(SUBSTITUTE(INDEX('04A_국토부원자료'!$A:$T,ROW()+1,MATCH("전용면적(㎡)",'04A_국토부원자료'!$A$4:$T$4,0)),",","")),"")</f>
        <v/>
      </c>
      <c r="F26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46" s="51">
        <f>IFERROR(VALUE(SUBSTITUTE(INDEX('04A_국토부원자료'!$A:$T,ROW()+1,MATCH("거래금액(만원)",'04A_국토부원자료'!$A$4:$T$4,0)),",","")),"")</f>
        <v/>
      </c>
      <c r="H2646" s="174">
        <f>IF(G2646="","",G2646*10000)</f>
        <v/>
      </c>
      <c r="I2646" s="174">
        <f>IFERROR(IF(AND(H2646&gt;0,E2646&gt;0),H2646/E2646,""),"")</f>
        <v/>
      </c>
      <c r="J2646" s="152">
        <f>IFERROR(VALUE(SUBSTITUTE(INDEX('04A_국토부원자료'!$A:$T,ROW()+1,MATCH("층",'04A_국토부원자료'!$A$4:$T$4,0)),",","")),"")</f>
        <v/>
      </c>
      <c r="K2646" s="152">
        <f>IFERROR(VALUE(SUBSTITUTE(INDEX('04A_국토부원자료'!$A:$T,ROW()+1,MATCH("건축년도",'04A_국토부원자료'!$A$4:$T$4,0)),",","")),"")</f>
        <v/>
      </c>
      <c r="L2646" s="48">
        <f>IFERROR(INDEX('04A_국토부원자료'!$A:$T,ROW()+1,MATCH("도로명",'04A_국토부원자료'!$A$4:$T$4,0)),"")</f>
        <v/>
      </c>
      <c r="M2646" s="48">
        <f>IFERROR(INDEX('04A_국토부원자료'!$A:$T,ROW()+1,MATCH("거래유형",'04A_국토부원자료'!$A$4:$T$4,0)),"")</f>
        <v/>
      </c>
      <c r="N2646" s="152">
        <f>IF(B2646="","",IF('02_대상물건입력'!B5="",1,IF(ISNUMBER(SEARCH('02_대상물건입력'!B5,B2646)),1,0)))</f>
        <v/>
      </c>
      <c r="O2646" s="152">
        <f>IF(B2646="","",IF('02_대상물건입력'!B6="",1,IF(ISNUMBER(SEARCH('02_대상물건입력'!B6,B2646)),1,0)))</f>
        <v/>
      </c>
      <c r="P2646" s="152">
        <f>IF(L2646="","",IF('02_대상물건입력'!B15="",0,IF(ISNUMBER(SEARCH('02_대상물건입력'!B15,L2646)),1,0)))</f>
        <v/>
      </c>
      <c r="Q2646" s="152">
        <f>IF(OR(C2646="",L2646=""),0,IF(AND(TRIM(C2646)=TRIM(RIGHT(SUBSTITUTE(TRIM('02_대상물건입력'!$B$7)," ",REPT(" ",99)),99)),IF('02_대상물건입력'!B15="",TRUE(),ISNUMBER(SEARCH('02_대상물건입력'!B15,L2646)))),1,0))</f>
        <v/>
      </c>
      <c r="R2646" s="175">
        <f>IFERROR(ABS(E2646-'02_대상물건입력'!B11)/'02_대상물건입력'!B11,"")</f>
        <v/>
      </c>
      <c r="S2646" s="152">
        <f>IFERROR(ABS(J2646-'02_대상물건입력'!B10),"")</f>
        <v/>
      </c>
      <c r="T2646" s="152">
        <f>IFERROR(ABS('01_설정'!B4-F2646),"")</f>
        <v/>
      </c>
      <c r="U2646" s="152">
        <f>IFERROR(ABS(K2646-YEAR('02_대상물건입력'!B14)),"")</f>
        <v/>
      </c>
      <c r="V2646" s="152">
        <f>IF(B2646="","",IF(AND(E2646&gt;0,F2646&gt;0,H2646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2646=1,TRUE()),R2646&lt;='01_설정'!B5,S2646&lt;='01_설정'!B6,T2646&lt;='01_설정'!B7,U2646&lt;='01_설정'!B8),"Y",""))</f>
        <v/>
      </c>
      <c r="W2646" s="172">
        <f>IF(V2646&lt;&gt;"Y","",MAX(0,(1-R2646/'01_설정'!B5))*'01_설정'!B14+MAX(0,(1-S2646/'01_설정'!B6))*'01_설정'!B15+MAX(0,(1-T2646/'01_설정'!B7))*'01_설정'!B16+MAX(0,(1-U2646/'01_설정'!B8))*'01_설정'!B17+O2646*'01_설정'!B11+Q2646*'01_설정'!B12+P2646*'01_설정'!B13+IF(Z2646="",0,Z2646))</f>
        <v/>
      </c>
      <c r="X2646" s="152">
        <f>IF(W2646="","",1+COUNTIFS($W$4:$W$3003,"&gt;"&amp;W2646)+COUNTIFS($W$4:W2646,W2646)-1)</f>
        <v/>
      </c>
      <c r="Y2646" s="175">
        <f>IF(OR(I2646="",'02_대상물건입력'!B19="",'02_대상물건입력'!B19&lt;=0),"",ABS(I2646-'02_대상물건입력'!B19)/'02_대상물건입력'!B19)</f>
        <v/>
      </c>
      <c r="Z2646" s="172">
        <f>IF(OR(Y2646="",'01_설정'!B31="",'01_설정'!B31&lt;=0,'01_설정'!B32="",'01_설정'!B32&lt;=0),"",MAX(0,(1-Y2646/'01_설정'!B32))*'01_설정'!B31)</f>
        <v/>
      </c>
    </row>
    <row r="2647" ht="17.25" customHeight="1">
      <c r="A2647" s="152">
        <f>IF(INDEX('04A_국토부원자료'!$A:$A,ROW()+1)="","",ROW()-3)</f>
        <v/>
      </c>
      <c r="B2647" s="48">
        <f>IFERROR(INDEX('04A_국토부원자료'!$A:$T,ROW()+1,MATCH("시군구",'04A_국토부원자료'!$A$4:$T$4,0)),"")</f>
        <v/>
      </c>
      <c r="C2647" s="48">
        <f>IF(B2647="","",IFERROR(INDEX('04A_국토부원자료'!$A:$T,ROW()+1,MATCH("번지",'04A_국토부원자료'!$A$4:$T$4,0)),""))</f>
        <v/>
      </c>
      <c r="D2647" s="48">
        <f>IF(B2647="","",IF(Q2647=1,'02_대상물건입력'!$B$8,IFERROR(INDEX('04A_국토부원자료'!$A:$T,ROW()+1,MATCH("단지명",'04A_국토부원자료'!$A$4:$T$4,0)),"")))</f>
        <v/>
      </c>
      <c r="E2647" s="172">
        <f>IFERROR(VALUE(SUBSTITUTE(INDEX('04A_국토부원자료'!$A:$T,ROW()+1,MATCH("전용면적(㎡)",'04A_국토부원자료'!$A$4:$T$4,0)),",","")),"")</f>
        <v/>
      </c>
      <c r="F26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47" s="51">
        <f>IFERROR(VALUE(SUBSTITUTE(INDEX('04A_국토부원자료'!$A:$T,ROW()+1,MATCH("거래금액(만원)",'04A_국토부원자료'!$A$4:$T$4,0)),",","")),"")</f>
        <v/>
      </c>
      <c r="H2647" s="174">
        <f>IF(G2647="","",G2647*10000)</f>
        <v/>
      </c>
      <c r="I2647" s="174">
        <f>IFERROR(IF(AND(H2647&gt;0,E2647&gt;0),H2647/E2647,""),"")</f>
        <v/>
      </c>
      <c r="J2647" s="152">
        <f>IFERROR(VALUE(SUBSTITUTE(INDEX('04A_국토부원자료'!$A:$T,ROW()+1,MATCH("층",'04A_국토부원자료'!$A$4:$T$4,0)),",","")),"")</f>
        <v/>
      </c>
      <c r="K2647" s="152">
        <f>IFERROR(VALUE(SUBSTITUTE(INDEX('04A_국토부원자료'!$A:$T,ROW()+1,MATCH("건축년도",'04A_국토부원자료'!$A$4:$T$4,0)),",","")),"")</f>
        <v/>
      </c>
      <c r="L2647" s="48">
        <f>IFERROR(INDEX('04A_국토부원자료'!$A:$T,ROW()+1,MATCH("도로명",'04A_국토부원자료'!$A$4:$T$4,0)),"")</f>
        <v/>
      </c>
      <c r="M2647" s="48">
        <f>IFERROR(INDEX('04A_국토부원자료'!$A:$T,ROW()+1,MATCH("거래유형",'04A_국토부원자료'!$A$4:$T$4,0)),"")</f>
        <v/>
      </c>
      <c r="N2647" s="152">
        <f>IF(B2647="","",IF('02_대상물건입력'!B5="",1,IF(ISNUMBER(SEARCH('02_대상물건입력'!B5,B2647)),1,0)))</f>
        <v/>
      </c>
      <c r="O2647" s="152">
        <f>IF(B2647="","",IF('02_대상물건입력'!B6="",1,IF(ISNUMBER(SEARCH('02_대상물건입력'!B6,B2647)),1,0)))</f>
        <v/>
      </c>
      <c r="P2647" s="152">
        <f>IF(L2647="","",IF('02_대상물건입력'!B15="",0,IF(ISNUMBER(SEARCH('02_대상물건입력'!B15,L2647)),1,0)))</f>
        <v/>
      </c>
      <c r="Q2647" s="152">
        <f>IF(OR(C2647="",L2647=""),0,IF(AND(TRIM(C2647)=TRIM(RIGHT(SUBSTITUTE(TRIM('02_대상물건입력'!$B$7)," ",REPT(" ",99)),99)),IF('02_대상물건입력'!B15="",TRUE(),ISNUMBER(SEARCH('02_대상물건입력'!B15,L2647)))),1,0))</f>
        <v/>
      </c>
      <c r="R2647" s="175">
        <f>IFERROR(ABS(E2647-'02_대상물건입력'!B11)/'02_대상물건입력'!B11,"")</f>
        <v/>
      </c>
      <c r="S2647" s="152">
        <f>IFERROR(ABS(J2647-'02_대상물건입력'!B10),"")</f>
        <v/>
      </c>
      <c r="T2647" s="152">
        <f>IFERROR(ABS('01_설정'!B4-F2647),"")</f>
        <v/>
      </c>
      <c r="U2647" s="152">
        <f>IFERROR(ABS(K2647-YEAR('02_대상물건입력'!B14)),"")</f>
        <v/>
      </c>
      <c r="V2647" s="152">
        <f>IF(B2647="","",IF(AND(E2647&gt;0,F2647&gt;0,H2647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2647=1,TRUE()),R2647&lt;='01_설정'!B5,S2647&lt;='01_설정'!B6,T2647&lt;='01_설정'!B7,U2647&lt;='01_설정'!B8),"Y",""))</f>
        <v/>
      </c>
      <c r="W2647" s="172">
        <f>IF(V2647&lt;&gt;"Y","",MAX(0,(1-R2647/'01_설정'!B5))*'01_설정'!B14+MAX(0,(1-S2647/'01_설정'!B6))*'01_설정'!B15+MAX(0,(1-T2647/'01_설정'!B7))*'01_설정'!B16+MAX(0,(1-U2647/'01_설정'!B8))*'01_설정'!B17+O2647*'01_설정'!B11+Q2647*'01_설정'!B12+P2647*'01_설정'!B13+IF(Z2647="",0,Z2647))</f>
        <v/>
      </c>
      <c r="X2647" s="152">
        <f>IF(W2647="","",1+COUNTIFS($W$4:$W$3003,"&gt;"&amp;W2647)+COUNTIFS($W$4:W2647,W2647)-1)</f>
        <v/>
      </c>
      <c r="Y2647" s="175">
        <f>IF(OR(I2647="",'02_대상물건입력'!B19="",'02_대상물건입력'!B19&lt;=0),"",ABS(I2647-'02_대상물건입력'!B19)/'02_대상물건입력'!B19)</f>
        <v/>
      </c>
      <c r="Z2647" s="172">
        <f>IF(OR(Y2647="",'01_설정'!B31="",'01_설정'!B31&lt;=0,'01_설정'!B32="",'01_설정'!B32&lt;=0),"",MAX(0,(1-Y2647/'01_설정'!B32))*'01_설정'!B31)</f>
        <v/>
      </c>
    </row>
    <row r="2648" ht="17.25" customHeight="1">
      <c r="A2648" s="152">
        <f>IF(INDEX('04A_국토부원자료'!$A:$A,ROW()+1)="","",ROW()-3)</f>
        <v/>
      </c>
      <c r="B2648" s="48">
        <f>IFERROR(INDEX('04A_국토부원자료'!$A:$T,ROW()+1,MATCH("시군구",'04A_국토부원자료'!$A$4:$T$4,0)),"")</f>
        <v/>
      </c>
      <c r="C2648" s="48">
        <f>IF(B2648="","",IFERROR(INDEX('04A_국토부원자료'!$A:$T,ROW()+1,MATCH("번지",'04A_국토부원자료'!$A$4:$T$4,0)),""))</f>
        <v/>
      </c>
      <c r="D2648" s="48">
        <f>IF(B2648="","",IF(Q2648=1,'02_대상물건입력'!$B$8,IFERROR(INDEX('04A_국토부원자료'!$A:$T,ROW()+1,MATCH("단지명",'04A_국토부원자료'!$A$4:$T$4,0)),"")))</f>
        <v/>
      </c>
      <c r="E2648" s="172">
        <f>IFERROR(VALUE(SUBSTITUTE(INDEX('04A_국토부원자료'!$A:$T,ROW()+1,MATCH("전용면적(㎡)",'04A_국토부원자료'!$A$4:$T$4,0)),",","")),"")</f>
        <v/>
      </c>
      <c r="F26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48" s="51">
        <f>IFERROR(VALUE(SUBSTITUTE(INDEX('04A_국토부원자료'!$A:$T,ROW()+1,MATCH("거래금액(만원)",'04A_국토부원자료'!$A$4:$T$4,0)),",","")),"")</f>
        <v/>
      </c>
      <c r="H2648" s="174">
        <f>IF(G2648="","",G2648*10000)</f>
        <v/>
      </c>
      <c r="I2648" s="174">
        <f>IFERROR(IF(AND(H2648&gt;0,E2648&gt;0),H2648/E2648,""),"")</f>
        <v/>
      </c>
      <c r="J2648" s="152">
        <f>IFERROR(VALUE(SUBSTITUTE(INDEX('04A_국토부원자료'!$A:$T,ROW()+1,MATCH("층",'04A_국토부원자료'!$A$4:$T$4,0)),",","")),"")</f>
        <v/>
      </c>
      <c r="K2648" s="152">
        <f>IFERROR(VALUE(SUBSTITUTE(INDEX('04A_국토부원자료'!$A:$T,ROW()+1,MATCH("건축년도",'04A_국토부원자료'!$A$4:$T$4,0)),",","")),"")</f>
        <v/>
      </c>
      <c r="L2648" s="48">
        <f>IFERROR(INDEX('04A_국토부원자료'!$A:$T,ROW()+1,MATCH("도로명",'04A_국토부원자료'!$A$4:$T$4,0)),"")</f>
        <v/>
      </c>
      <c r="M2648" s="48">
        <f>IFERROR(INDEX('04A_국토부원자료'!$A:$T,ROW()+1,MATCH("거래유형",'04A_국토부원자료'!$A$4:$T$4,0)),"")</f>
        <v/>
      </c>
      <c r="N2648" s="152">
        <f>IF(B2648="","",IF('02_대상물건입력'!B5="",1,IF(ISNUMBER(SEARCH('02_대상물건입력'!B5,B2648)),1,0)))</f>
        <v/>
      </c>
      <c r="O2648" s="152">
        <f>IF(B2648="","",IF('02_대상물건입력'!B6="",1,IF(ISNUMBER(SEARCH('02_대상물건입력'!B6,B2648)),1,0)))</f>
        <v/>
      </c>
      <c r="P2648" s="152">
        <f>IF(L2648="","",IF('02_대상물건입력'!B15="",0,IF(ISNUMBER(SEARCH('02_대상물건입력'!B15,L2648)),1,0)))</f>
        <v/>
      </c>
      <c r="Q2648" s="152">
        <f>IF(OR(C2648="",L2648=""),0,IF(AND(TRIM(C2648)=TRIM(RIGHT(SUBSTITUTE(TRIM('02_대상물건입력'!$B$7)," ",REPT(" ",99)),99)),IF('02_대상물건입력'!B15="",TRUE(),ISNUMBER(SEARCH('02_대상물건입력'!B15,L2648)))),1,0))</f>
        <v/>
      </c>
      <c r="R2648" s="175">
        <f>IFERROR(ABS(E2648-'02_대상물건입력'!B11)/'02_대상물건입력'!B11,"")</f>
        <v/>
      </c>
      <c r="S2648" s="152">
        <f>IFERROR(ABS(J2648-'02_대상물건입력'!B10),"")</f>
        <v/>
      </c>
      <c r="T2648" s="152">
        <f>IFERROR(ABS('01_설정'!B4-F2648),"")</f>
        <v/>
      </c>
      <c r="U2648" s="152">
        <f>IFERROR(ABS(K2648-YEAR('02_대상물건입력'!B14)),"")</f>
        <v/>
      </c>
      <c r="V2648" s="152">
        <f>IF(B2648="","",IF(AND(E2648&gt;0,F2648&gt;0,H2648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2648=1,TRUE()),R2648&lt;='01_설정'!B5,S2648&lt;='01_설정'!B6,T2648&lt;='01_설정'!B7,U2648&lt;='01_설정'!B8),"Y",""))</f>
        <v/>
      </c>
      <c r="W2648" s="172">
        <f>IF(V2648&lt;&gt;"Y","",MAX(0,(1-R2648/'01_설정'!B5))*'01_설정'!B14+MAX(0,(1-S2648/'01_설정'!B6))*'01_설정'!B15+MAX(0,(1-T2648/'01_설정'!B7))*'01_설정'!B16+MAX(0,(1-U2648/'01_설정'!B8))*'01_설정'!B17+O2648*'01_설정'!B11+Q2648*'01_설정'!B12+P2648*'01_설정'!B13+IF(Z2648="",0,Z2648))</f>
        <v/>
      </c>
      <c r="X2648" s="152">
        <f>IF(W2648="","",1+COUNTIFS($W$4:$W$3003,"&gt;"&amp;W2648)+COUNTIFS($W$4:W2648,W2648)-1)</f>
        <v/>
      </c>
      <c r="Y2648" s="175">
        <f>IF(OR(I2648="",'02_대상물건입력'!B19="",'02_대상물건입력'!B19&lt;=0),"",ABS(I2648-'02_대상물건입력'!B19)/'02_대상물건입력'!B19)</f>
        <v/>
      </c>
      <c r="Z2648" s="172">
        <f>IF(OR(Y2648="",'01_설정'!B31="",'01_설정'!B31&lt;=0,'01_설정'!B32="",'01_설정'!B32&lt;=0),"",MAX(0,(1-Y2648/'01_설정'!B32))*'01_설정'!B31)</f>
        <v/>
      </c>
    </row>
    <row r="2649" ht="17.25" customHeight="1">
      <c r="A2649" s="152">
        <f>IF(INDEX('04A_국토부원자료'!$A:$A,ROW()+1)="","",ROW()-3)</f>
        <v/>
      </c>
      <c r="B2649" s="48">
        <f>IFERROR(INDEX('04A_국토부원자료'!$A:$T,ROW()+1,MATCH("시군구",'04A_국토부원자료'!$A$4:$T$4,0)),"")</f>
        <v/>
      </c>
      <c r="C2649" s="48">
        <f>IF(B2649="","",IFERROR(INDEX('04A_국토부원자료'!$A:$T,ROW()+1,MATCH("번지",'04A_국토부원자료'!$A$4:$T$4,0)),""))</f>
        <v/>
      </c>
      <c r="D2649" s="48">
        <f>IF(B2649="","",IF(Q2649=1,'02_대상물건입력'!$B$8,IFERROR(INDEX('04A_국토부원자료'!$A:$T,ROW()+1,MATCH("단지명",'04A_국토부원자료'!$A$4:$T$4,0)),"")))</f>
        <v/>
      </c>
      <c r="E2649" s="172">
        <f>IFERROR(VALUE(SUBSTITUTE(INDEX('04A_국토부원자료'!$A:$T,ROW()+1,MATCH("전용면적(㎡)",'04A_국토부원자료'!$A$4:$T$4,0)),",","")),"")</f>
        <v/>
      </c>
      <c r="F26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49" s="51">
        <f>IFERROR(VALUE(SUBSTITUTE(INDEX('04A_국토부원자료'!$A:$T,ROW()+1,MATCH("거래금액(만원)",'04A_국토부원자료'!$A$4:$T$4,0)),",","")),"")</f>
        <v/>
      </c>
      <c r="H2649" s="174">
        <f>IF(G2649="","",G2649*10000)</f>
        <v/>
      </c>
      <c r="I2649" s="174">
        <f>IFERROR(IF(AND(H2649&gt;0,E2649&gt;0),H2649/E2649,""),"")</f>
        <v/>
      </c>
      <c r="J2649" s="152">
        <f>IFERROR(VALUE(SUBSTITUTE(INDEX('04A_국토부원자료'!$A:$T,ROW()+1,MATCH("층",'04A_국토부원자료'!$A$4:$T$4,0)),",","")),"")</f>
        <v/>
      </c>
      <c r="K2649" s="152">
        <f>IFERROR(VALUE(SUBSTITUTE(INDEX('04A_국토부원자료'!$A:$T,ROW()+1,MATCH("건축년도",'04A_국토부원자료'!$A$4:$T$4,0)),",","")),"")</f>
        <v/>
      </c>
      <c r="L2649" s="48">
        <f>IFERROR(INDEX('04A_국토부원자료'!$A:$T,ROW()+1,MATCH("도로명",'04A_국토부원자료'!$A$4:$T$4,0)),"")</f>
        <v/>
      </c>
      <c r="M2649" s="48">
        <f>IFERROR(INDEX('04A_국토부원자료'!$A:$T,ROW()+1,MATCH("거래유형",'04A_국토부원자료'!$A$4:$T$4,0)),"")</f>
        <v/>
      </c>
      <c r="N2649" s="152">
        <f>IF(B2649="","",IF('02_대상물건입력'!B5="",1,IF(ISNUMBER(SEARCH('02_대상물건입력'!B5,B2649)),1,0)))</f>
        <v/>
      </c>
      <c r="O2649" s="152">
        <f>IF(B2649="","",IF('02_대상물건입력'!B6="",1,IF(ISNUMBER(SEARCH('02_대상물건입력'!B6,B2649)),1,0)))</f>
        <v/>
      </c>
      <c r="P2649" s="152">
        <f>IF(L2649="","",IF('02_대상물건입력'!B15="",0,IF(ISNUMBER(SEARCH('02_대상물건입력'!B15,L2649)),1,0)))</f>
        <v/>
      </c>
      <c r="Q2649" s="152">
        <f>IF(OR(C2649="",L2649=""),0,IF(AND(TRIM(C2649)=TRIM(RIGHT(SUBSTITUTE(TRIM('02_대상물건입력'!$B$7)," ",REPT(" ",99)),99)),IF('02_대상물건입력'!B15="",TRUE(),ISNUMBER(SEARCH('02_대상물건입력'!B15,L2649)))),1,0))</f>
        <v/>
      </c>
      <c r="R2649" s="175">
        <f>IFERROR(ABS(E2649-'02_대상물건입력'!B11)/'02_대상물건입력'!B11,"")</f>
        <v/>
      </c>
      <c r="S2649" s="152">
        <f>IFERROR(ABS(J2649-'02_대상물건입력'!B10),"")</f>
        <v/>
      </c>
      <c r="T2649" s="152">
        <f>IFERROR(ABS('01_설정'!B4-F2649),"")</f>
        <v/>
      </c>
      <c r="U2649" s="152">
        <f>IFERROR(ABS(K2649-YEAR('02_대상물건입력'!B14)),"")</f>
        <v/>
      </c>
      <c r="V2649" s="152">
        <f>IF(B2649="","",IF(AND(E2649&gt;0,F2649&gt;0,H2649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2649=1,TRUE()),R2649&lt;='01_설정'!B5,S2649&lt;='01_설정'!B6,T2649&lt;='01_설정'!B7,U2649&lt;='01_설정'!B8),"Y",""))</f>
        <v/>
      </c>
      <c r="W2649" s="172">
        <f>IF(V2649&lt;&gt;"Y","",MAX(0,(1-R2649/'01_설정'!B5))*'01_설정'!B14+MAX(0,(1-S2649/'01_설정'!B6))*'01_설정'!B15+MAX(0,(1-T2649/'01_설정'!B7))*'01_설정'!B16+MAX(0,(1-U2649/'01_설정'!B8))*'01_설정'!B17+O2649*'01_설정'!B11+Q2649*'01_설정'!B12+P2649*'01_설정'!B13+IF(Z2649="",0,Z2649))</f>
        <v/>
      </c>
      <c r="X2649" s="152">
        <f>IF(W2649="","",1+COUNTIFS($W$4:$W$3003,"&gt;"&amp;W2649)+COUNTIFS($W$4:W2649,W2649)-1)</f>
        <v/>
      </c>
      <c r="Y2649" s="175">
        <f>IF(OR(I2649="",'02_대상물건입력'!B19="",'02_대상물건입력'!B19&lt;=0),"",ABS(I2649-'02_대상물건입력'!B19)/'02_대상물건입력'!B19)</f>
        <v/>
      </c>
      <c r="Z2649" s="172">
        <f>IF(OR(Y2649="",'01_설정'!B31="",'01_설정'!B31&lt;=0,'01_설정'!B32="",'01_설정'!B32&lt;=0),"",MAX(0,(1-Y2649/'01_설정'!B32))*'01_설정'!B31)</f>
        <v/>
      </c>
    </row>
    <row r="2650" ht="17.25" customHeight="1">
      <c r="A2650" s="152">
        <f>IF(INDEX('04A_국토부원자료'!$A:$A,ROW()+1)="","",ROW()-3)</f>
        <v/>
      </c>
      <c r="B2650" s="48">
        <f>IFERROR(INDEX('04A_국토부원자료'!$A:$T,ROW()+1,MATCH("시군구",'04A_국토부원자료'!$A$4:$T$4,0)),"")</f>
        <v/>
      </c>
      <c r="C2650" s="48">
        <f>IF(B2650="","",IFERROR(INDEX('04A_국토부원자료'!$A:$T,ROW()+1,MATCH("번지",'04A_국토부원자료'!$A$4:$T$4,0)),""))</f>
        <v/>
      </c>
      <c r="D2650" s="48">
        <f>IF(B2650="","",IF(Q2650=1,'02_대상물건입력'!$B$8,IFERROR(INDEX('04A_국토부원자료'!$A:$T,ROW()+1,MATCH("단지명",'04A_국토부원자료'!$A$4:$T$4,0)),"")))</f>
        <v/>
      </c>
      <c r="E2650" s="172">
        <f>IFERROR(VALUE(SUBSTITUTE(INDEX('04A_국토부원자료'!$A:$T,ROW()+1,MATCH("전용면적(㎡)",'04A_국토부원자료'!$A$4:$T$4,0)),",","")),"")</f>
        <v/>
      </c>
      <c r="F26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50" s="51">
        <f>IFERROR(VALUE(SUBSTITUTE(INDEX('04A_국토부원자료'!$A:$T,ROW()+1,MATCH("거래금액(만원)",'04A_국토부원자료'!$A$4:$T$4,0)),",","")),"")</f>
        <v/>
      </c>
      <c r="H2650" s="174">
        <f>IF(G2650="","",G2650*10000)</f>
        <v/>
      </c>
      <c r="I2650" s="174">
        <f>IFERROR(IF(AND(H2650&gt;0,E2650&gt;0),H2650/E2650,""),"")</f>
        <v/>
      </c>
      <c r="J2650" s="152">
        <f>IFERROR(VALUE(SUBSTITUTE(INDEX('04A_국토부원자료'!$A:$T,ROW()+1,MATCH("층",'04A_국토부원자료'!$A$4:$T$4,0)),",","")),"")</f>
        <v/>
      </c>
      <c r="K2650" s="152">
        <f>IFERROR(VALUE(SUBSTITUTE(INDEX('04A_국토부원자료'!$A:$T,ROW()+1,MATCH("건축년도",'04A_국토부원자료'!$A$4:$T$4,0)),",","")),"")</f>
        <v/>
      </c>
      <c r="L2650" s="48">
        <f>IFERROR(INDEX('04A_국토부원자료'!$A:$T,ROW()+1,MATCH("도로명",'04A_국토부원자료'!$A$4:$T$4,0)),"")</f>
        <v/>
      </c>
      <c r="M2650" s="48">
        <f>IFERROR(INDEX('04A_국토부원자료'!$A:$T,ROW()+1,MATCH("거래유형",'04A_국토부원자료'!$A$4:$T$4,0)),"")</f>
        <v/>
      </c>
      <c r="N2650" s="152">
        <f>IF(B2650="","",IF('02_대상물건입력'!B5="",1,IF(ISNUMBER(SEARCH('02_대상물건입력'!B5,B2650)),1,0)))</f>
        <v/>
      </c>
      <c r="O2650" s="152">
        <f>IF(B2650="","",IF('02_대상물건입력'!B6="",1,IF(ISNUMBER(SEARCH('02_대상물건입력'!B6,B2650)),1,0)))</f>
        <v/>
      </c>
      <c r="P2650" s="152">
        <f>IF(L2650="","",IF('02_대상물건입력'!B15="",0,IF(ISNUMBER(SEARCH('02_대상물건입력'!B15,L2650)),1,0)))</f>
        <v/>
      </c>
      <c r="Q2650" s="152">
        <f>IF(OR(C2650="",L2650=""),0,IF(AND(TRIM(C2650)=TRIM(RIGHT(SUBSTITUTE(TRIM('02_대상물건입력'!$B$7)," ",REPT(" ",99)),99)),IF('02_대상물건입력'!B15="",TRUE(),ISNUMBER(SEARCH('02_대상물건입력'!B15,L2650)))),1,0))</f>
        <v/>
      </c>
      <c r="R2650" s="175">
        <f>IFERROR(ABS(E2650-'02_대상물건입력'!B11)/'02_대상물건입력'!B11,"")</f>
        <v/>
      </c>
      <c r="S2650" s="152">
        <f>IFERROR(ABS(J2650-'02_대상물건입력'!B10),"")</f>
        <v/>
      </c>
      <c r="T2650" s="152">
        <f>IFERROR(ABS('01_설정'!B4-F2650),"")</f>
        <v/>
      </c>
      <c r="U2650" s="152">
        <f>IFERROR(ABS(K2650-YEAR('02_대상물건입력'!B14)),"")</f>
        <v/>
      </c>
      <c r="V2650" s="152">
        <f>IF(B2650="","",IF(AND(E2650&gt;0,F2650&gt;0,H2650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2650=1,TRUE()),R2650&lt;='01_설정'!B5,S2650&lt;='01_설정'!B6,T2650&lt;='01_설정'!B7,U2650&lt;='01_설정'!B8),"Y",""))</f>
        <v/>
      </c>
      <c r="W2650" s="172">
        <f>IF(V2650&lt;&gt;"Y","",MAX(0,(1-R2650/'01_설정'!B5))*'01_설정'!B14+MAX(0,(1-S2650/'01_설정'!B6))*'01_설정'!B15+MAX(0,(1-T2650/'01_설정'!B7))*'01_설정'!B16+MAX(0,(1-U2650/'01_설정'!B8))*'01_설정'!B17+O2650*'01_설정'!B11+Q2650*'01_설정'!B12+P2650*'01_설정'!B13+IF(Z2650="",0,Z2650))</f>
        <v/>
      </c>
      <c r="X2650" s="152">
        <f>IF(W2650="","",1+COUNTIFS($W$4:$W$3003,"&gt;"&amp;W2650)+COUNTIFS($W$4:W2650,W2650)-1)</f>
        <v/>
      </c>
      <c r="Y2650" s="175">
        <f>IF(OR(I2650="",'02_대상물건입력'!B19="",'02_대상물건입력'!B19&lt;=0),"",ABS(I2650-'02_대상물건입력'!B19)/'02_대상물건입력'!B19)</f>
        <v/>
      </c>
      <c r="Z2650" s="172">
        <f>IF(OR(Y2650="",'01_설정'!B31="",'01_설정'!B31&lt;=0,'01_설정'!B32="",'01_설정'!B32&lt;=0),"",MAX(0,(1-Y2650/'01_설정'!B32))*'01_설정'!B31)</f>
        <v/>
      </c>
    </row>
    <row r="2651" ht="17.25" customHeight="1">
      <c r="A2651" s="152">
        <f>IF(INDEX('04A_국토부원자료'!$A:$A,ROW()+1)="","",ROW()-3)</f>
        <v/>
      </c>
      <c r="B2651" s="48">
        <f>IFERROR(INDEX('04A_국토부원자료'!$A:$T,ROW()+1,MATCH("시군구",'04A_국토부원자료'!$A$4:$T$4,0)),"")</f>
        <v/>
      </c>
      <c r="C2651" s="48">
        <f>IF(B2651="","",IFERROR(INDEX('04A_국토부원자료'!$A:$T,ROW()+1,MATCH("번지",'04A_국토부원자료'!$A$4:$T$4,0)),""))</f>
        <v/>
      </c>
      <c r="D2651" s="48">
        <f>IF(B2651="","",IF(Q2651=1,'02_대상물건입력'!$B$8,IFERROR(INDEX('04A_국토부원자료'!$A:$T,ROW()+1,MATCH("단지명",'04A_국토부원자료'!$A$4:$T$4,0)),"")))</f>
        <v/>
      </c>
      <c r="E2651" s="172">
        <f>IFERROR(VALUE(SUBSTITUTE(INDEX('04A_국토부원자료'!$A:$T,ROW()+1,MATCH("전용면적(㎡)",'04A_국토부원자료'!$A$4:$T$4,0)),",","")),"")</f>
        <v/>
      </c>
      <c r="F26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51" s="51">
        <f>IFERROR(VALUE(SUBSTITUTE(INDEX('04A_국토부원자료'!$A:$T,ROW()+1,MATCH("거래금액(만원)",'04A_국토부원자료'!$A$4:$T$4,0)),",","")),"")</f>
        <v/>
      </c>
      <c r="H2651" s="174">
        <f>IF(G2651="","",G2651*10000)</f>
        <v/>
      </c>
      <c r="I2651" s="174">
        <f>IFERROR(IF(AND(H2651&gt;0,E2651&gt;0),H2651/E2651,""),"")</f>
        <v/>
      </c>
      <c r="J2651" s="152">
        <f>IFERROR(VALUE(SUBSTITUTE(INDEX('04A_국토부원자료'!$A:$T,ROW()+1,MATCH("층",'04A_국토부원자료'!$A$4:$T$4,0)),",","")),"")</f>
        <v/>
      </c>
      <c r="K2651" s="152">
        <f>IFERROR(VALUE(SUBSTITUTE(INDEX('04A_국토부원자료'!$A:$T,ROW()+1,MATCH("건축년도",'04A_국토부원자료'!$A$4:$T$4,0)),",","")),"")</f>
        <v/>
      </c>
      <c r="L2651" s="48">
        <f>IFERROR(INDEX('04A_국토부원자료'!$A:$T,ROW()+1,MATCH("도로명",'04A_국토부원자료'!$A$4:$T$4,0)),"")</f>
        <v/>
      </c>
      <c r="M2651" s="48">
        <f>IFERROR(INDEX('04A_국토부원자료'!$A:$T,ROW()+1,MATCH("거래유형",'04A_국토부원자료'!$A$4:$T$4,0)),"")</f>
        <v/>
      </c>
      <c r="N2651" s="152">
        <f>IF(B2651="","",IF('02_대상물건입력'!B5="",1,IF(ISNUMBER(SEARCH('02_대상물건입력'!B5,B2651)),1,0)))</f>
        <v/>
      </c>
      <c r="O2651" s="152">
        <f>IF(B2651="","",IF('02_대상물건입력'!B6="",1,IF(ISNUMBER(SEARCH('02_대상물건입력'!B6,B2651)),1,0)))</f>
        <v/>
      </c>
      <c r="P2651" s="152">
        <f>IF(L2651="","",IF('02_대상물건입력'!B15="",0,IF(ISNUMBER(SEARCH('02_대상물건입력'!B15,L2651)),1,0)))</f>
        <v/>
      </c>
      <c r="Q2651" s="152">
        <f>IF(OR(C2651="",L2651=""),0,IF(AND(TRIM(C2651)=TRIM(RIGHT(SUBSTITUTE(TRIM('02_대상물건입력'!$B$7)," ",REPT(" ",99)),99)),IF('02_대상물건입력'!B15="",TRUE(),ISNUMBER(SEARCH('02_대상물건입력'!B15,L2651)))),1,0))</f>
        <v/>
      </c>
      <c r="R2651" s="175">
        <f>IFERROR(ABS(E2651-'02_대상물건입력'!B11)/'02_대상물건입력'!B11,"")</f>
        <v/>
      </c>
      <c r="S2651" s="152">
        <f>IFERROR(ABS(J2651-'02_대상물건입력'!B10),"")</f>
        <v/>
      </c>
      <c r="T2651" s="152">
        <f>IFERROR(ABS('01_설정'!B4-F2651),"")</f>
        <v/>
      </c>
      <c r="U2651" s="152">
        <f>IFERROR(ABS(K2651-YEAR('02_대상물건입력'!B14)),"")</f>
        <v/>
      </c>
      <c r="V2651" s="152">
        <f>IF(B2651="","",IF(AND(E2651&gt;0,F2651&gt;0,H2651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2651=1,TRUE()),R2651&lt;='01_설정'!B5,S2651&lt;='01_설정'!B6,T2651&lt;='01_설정'!B7,U2651&lt;='01_설정'!B8),"Y",""))</f>
        <v/>
      </c>
      <c r="W2651" s="172">
        <f>IF(V2651&lt;&gt;"Y","",MAX(0,(1-R2651/'01_설정'!B5))*'01_설정'!B14+MAX(0,(1-S2651/'01_설정'!B6))*'01_설정'!B15+MAX(0,(1-T2651/'01_설정'!B7))*'01_설정'!B16+MAX(0,(1-U2651/'01_설정'!B8))*'01_설정'!B17+O2651*'01_설정'!B11+Q2651*'01_설정'!B12+P2651*'01_설정'!B13+IF(Z2651="",0,Z2651))</f>
        <v/>
      </c>
      <c r="X2651" s="152">
        <f>IF(W2651="","",1+COUNTIFS($W$4:$W$3003,"&gt;"&amp;W2651)+COUNTIFS($W$4:W2651,W2651)-1)</f>
        <v/>
      </c>
      <c r="Y2651" s="175">
        <f>IF(OR(I2651="",'02_대상물건입력'!B19="",'02_대상물건입력'!B19&lt;=0),"",ABS(I2651-'02_대상물건입력'!B19)/'02_대상물건입력'!B19)</f>
        <v/>
      </c>
      <c r="Z2651" s="172">
        <f>IF(OR(Y2651="",'01_설정'!B31="",'01_설정'!B31&lt;=0,'01_설정'!B32="",'01_설정'!B32&lt;=0),"",MAX(0,(1-Y2651/'01_설정'!B32))*'01_설정'!B31)</f>
        <v/>
      </c>
    </row>
    <row r="2652" ht="17.25" customHeight="1">
      <c r="A2652" s="152">
        <f>IF(INDEX('04A_국토부원자료'!$A:$A,ROW()+1)="","",ROW()-3)</f>
        <v/>
      </c>
      <c r="B2652" s="48">
        <f>IFERROR(INDEX('04A_국토부원자료'!$A:$T,ROW()+1,MATCH("시군구",'04A_국토부원자료'!$A$4:$T$4,0)),"")</f>
        <v/>
      </c>
      <c r="C2652" s="48">
        <f>IF(B2652="","",IFERROR(INDEX('04A_국토부원자료'!$A:$T,ROW()+1,MATCH("번지",'04A_국토부원자료'!$A$4:$T$4,0)),""))</f>
        <v/>
      </c>
      <c r="D2652" s="48">
        <f>IF(B2652="","",IF(Q2652=1,'02_대상물건입력'!$B$8,IFERROR(INDEX('04A_국토부원자료'!$A:$T,ROW()+1,MATCH("단지명",'04A_국토부원자료'!$A$4:$T$4,0)),"")))</f>
        <v/>
      </c>
      <c r="E2652" s="172">
        <f>IFERROR(VALUE(SUBSTITUTE(INDEX('04A_국토부원자료'!$A:$T,ROW()+1,MATCH("전용면적(㎡)",'04A_국토부원자료'!$A$4:$T$4,0)),",","")),"")</f>
        <v/>
      </c>
      <c r="F26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52" s="51">
        <f>IFERROR(VALUE(SUBSTITUTE(INDEX('04A_국토부원자료'!$A:$T,ROW()+1,MATCH("거래금액(만원)",'04A_국토부원자료'!$A$4:$T$4,0)),",","")),"")</f>
        <v/>
      </c>
      <c r="H2652" s="174">
        <f>IF(G2652="","",G2652*10000)</f>
        <v/>
      </c>
      <c r="I2652" s="174">
        <f>IFERROR(IF(AND(H2652&gt;0,E2652&gt;0),H2652/E2652,""),"")</f>
        <v/>
      </c>
      <c r="J2652" s="152">
        <f>IFERROR(VALUE(SUBSTITUTE(INDEX('04A_국토부원자료'!$A:$T,ROW()+1,MATCH("층",'04A_국토부원자료'!$A$4:$T$4,0)),",","")),"")</f>
        <v/>
      </c>
      <c r="K2652" s="152">
        <f>IFERROR(VALUE(SUBSTITUTE(INDEX('04A_국토부원자료'!$A:$T,ROW()+1,MATCH("건축년도",'04A_국토부원자료'!$A$4:$T$4,0)),",","")),"")</f>
        <v/>
      </c>
      <c r="L2652" s="48">
        <f>IFERROR(INDEX('04A_국토부원자료'!$A:$T,ROW()+1,MATCH("도로명",'04A_국토부원자료'!$A$4:$T$4,0)),"")</f>
        <v/>
      </c>
      <c r="M2652" s="48">
        <f>IFERROR(INDEX('04A_국토부원자료'!$A:$T,ROW()+1,MATCH("거래유형",'04A_국토부원자료'!$A$4:$T$4,0)),"")</f>
        <v/>
      </c>
      <c r="N2652" s="152">
        <f>IF(B2652="","",IF('02_대상물건입력'!B5="",1,IF(ISNUMBER(SEARCH('02_대상물건입력'!B5,B2652)),1,0)))</f>
        <v/>
      </c>
      <c r="O2652" s="152">
        <f>IF(B2652="","",IF('02_대상물건입력'!B6="",1,IF(ISNUMBER(SEARCH('02_대상물건입력'!B6,B2652)),1,0)))</f>
        <v/>
      </c>
      <c r="P2652" s="152">
        <f>IF(L2652="","",IF('02_대상물건입력'!B15="",0,IF(ISNUMBER(SEARCH('02_대상물건입력'!B15,L2652)),1,0)))</f>
        <v/>
      </c>
      <c r="Q2652" s="152">
        <f>IF(OR(C2652="",L2652=""),0,IF(AND(TRIM(C2652)=TRIM(RIGHT(SUBSTITUTE(TRIM('02_대상물건입력'!$B$7)," ",REPT(" ",99)),99)),IF('02_대상물건입력'!B15="",TRUE(),ISNUMBER(SEARCH('02_대상물건입력'!B15,L2652)))),1,0))</f>
        <v/>
      </c>
      <c r="R2652" s="175">
        <f>IFERROR(ABS(E2652-'02_대상물건입력'!B11)/'02_대상물건입력'!B11,"")</f>
        <v/>
      </c>
      <c r="S2652" s="152">
        <f>IFERROR(ABS(J2652-'02_대상물건입력'!B10),"")</f>
        <v/>
      </c>
      <c r="T2652" s="152">
        <f>IFERROR(ABS('01_설정'!B4-F2652),"")</f>
        <v/>
      </c>
      <c r="U2652" s="152">
        <f>IFERROR(ABS(K2652-YEAR('02_대상물건입력'!B14)),"")</f>
        <v/>
      </c>
      <c r="V2652" s="152">
        <f>IF(B2652="","",IF(AND(E2652&gt;0,F2652&gt;0,H2652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2652=1,TRUE()),R2652&lt;='01_설정'!B5,S2652&lt;='01_설정'!B6,T2652&lt;='01_설정'!B7,U2652&lt;='01_설정'!B8),"Y",""))</f>
        <v/>
      </c>
      <c r="W2652" s="172">
        <f>IF(V2652&lt;&gt;"Y","",MAX(0,(1-R2652/'01_설정'!B5))*'01_설정'!B14+MAX(0,(1-S2652/'01_설정'!B6))*'01_설정'!B15+MAX(0,(1-T2652/'01_설정'!B7))*'01_설정'!B16+MAX(0,(1-U2652/'01_설정'!B8))*'01_설정'!B17+O2652*'01_설정'!B11+Q2652*'01_설정'!B12+P2652*'01_설정'!B13+IF(Z2652="",0,Z2652))</f>
        <v/>
      </c>
      <c r="X2652" s="152">
        <f>IF(W2652="","",1+COUNTIFS($W$4:$W$3003,"&gt;"&amp;W2652)+COUNTIFS($W$4:W2652,W2652)-1)</f>
        <v/>
      </c>
      <c r="Y2652" s="175">
        <f>IF(OR(I2652="",'02_대상물건입력'!B19="",'02_대상물건입력'!B19&lt;=0),"",ABS(I2652-'02_대상물건입력'!B19)/'02_대상물건입력'!B19)</f>
        <v/>
      </c>
      <c r="Z2652" s="172">
        <f>IF(OR(Y2652="",'01_설정'!B31="",'01_설정'!B31&lt;=0,'01_설정'!B32="",'01_설정'!B32&lt;=0),"",MAX(0,(1-Y2652/'01_설정'!B32))*'01_설정'!B31)</f>
        <v/>
      </c>
    </row>
    <row r="2653" ht="17.25" customHeight="1">
      <c r="A2653" s="152">
        <f>IF(INDEX('04A_국토부원자료'!$A:$A,ROW()+1)="","",ROW()-3)</f>
        <v/>
      </c>
      <c r="B2653" s="48">
        <f>IFERROR(INDEX('04A_국토부원자료'!$A:$T,ROW()+1,MATCH("시군구",'04A_국토부원자료'!$A$4:$T$4,0)),"")</f>
        <v/>
      </c>
      <c r="C2653" s="48">
        <f>IF(B2653="","",IFERROR(INDEX('04A_국토부원자료'!$A:$T,ROW()+1,MATCH("번지",'04A_국토부원자료'!$A$4:$T$4,0)),""))</f>
        <v/>
      </c>
      <c r="D2653" s="48">
        <f>IF(B2653="","",IF(Q2653=1,'02_대상물건입력'!$B$8,IFERROR(INDEX('04A_국토부원자료'!$A:$T,ROW()+1,MATCH("단지명",'04A_국토부원자료'!$A$4:$T$4,0)),"")))</f>
        <v/>
      </c>
      <c r="E2653" s="172">
        <f>IFERROR(VALUE(SUBSTITUTE(INDEX('04A_국토부원자료'!$A:$T,ROW()+1,MATCH("전용면적(㎡)",'04A_국토부원자료'!$A$4:$T$4,0)),",","")),"")</f>
        <v/>
      </c>
      <c r="F26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53" s="51">
        <f>IFERROR(VALUE(SUBSTITUTE(INDEX('04A_국토부원자료'!$A:$T,ROW()+1,MATCH("거래금액(만원)",'04A_국토부원자료'!$A$4:$T$4,0)),",","")),"")</f>
        <v/>
      </c>
      <c r="H2653" s="174">
        <f>IF(G2653="","",G2653*10000)</f>
        <v/>
      </c>
      <c r="I2653" s="174">
        <f>IFERROR(IF(AND(H2653&gt;0,E2653&gt;0),H2653/E2653,""),"")</f>
        <v/>
      </c>
      <c r="J2653" s="152">
        <f>IFERROR(VALUE(SUBSTITUTE(INDEX('04A_국토부원자료'!$A:$T,ROW()+1,MATCH("층",'04A_국토부원자료'!$A$4:$T$4,0)),",","")),"")</f>
        <v/>
      </c>
      <c r="K2653" s="152">
        <f>IFERROR(VALUE(SUBSTITUTE(INDEX('04A_국토부원자료'!$A:$T,ROW()+1,MATCH("건축년도",'04A_국토부원자료'!$A$4:$T$4,0)),",","")),"")</f>
        <v/>
      </c>
      <c r="L2653" s="48">
        <f>IFERROR(INDEX('04A_국토부원자료'!$A:$T,ROW()+1,MATCH("도로명",'04A_국토부원자료'!$A$4:$T$4,0)),"")</f>
        <v/>
      </c>
      <c r="M2653" s="48">
        <f>IFERROR(INDEX('04A_국토부원자료'!$A:$T,ROW()+1,MATCH("거래유형",'04A_국토부원자료'!$A$4:$T$4,0)),"")</f>
        <v/>
      </c>
      <c r="N2653" s="152">
        <f>IF(B2653="","",IF('02_대상물건입력'!B5="",1,IF(ISNUMBER(SEARCH('02_대상물건입력'!B5,B2653)),1,0)))</f>
        <v/>
      </c>
      <c r="O2653" s="152">
        <f>IF(B2653="","",IF('02_대상물건입력'!B6="",1,IF(ISNUMBER(SEARCH('02_대상물건입력'!B6,B2653)),1,0)))</f>
        <v/>
      </c>
      <c r="P2653" s="152">
        <f>IF(L2653="","",IF('02_대상물건입력'!B15="",0,IF(ISNUMBER(SEARCH('02_대상물건입력'!B15,L2653)),1,0)))</f>
        <v/>
      </c>
      <c r="Q2653" s="152">
        <f>IF(OR(C2653="",L2653=""),0,IF(AND(TRIM(C2653)=TRIM(RIGHT(SUBSTITUTE(TRIM('02_대상물건입력'!$B$7)," ",REPT(" ",99)),99)),IF('02_대상물건입력'!B15="",TRUE(),ISNUMBER(SEARCH('02_대상물건입력'!B15,L2653)))),1,0))</f>
        <v/>
      </c>
      <c r="R2653" s="175">
        <f>IFERROR(ABS(E2653-'02_대상물건입력'!B11)/'02_대상물건입력'!B11,"")</f>
        <v/>
      </c>
      <c r="S2653" s="152">
        <f>IFERROR(ABS(J2653-'02_대상물건입력'!B10),"")</f>
        <v/>
      </c>
      <c r="T2653" s="152">
        <f>IFERROR(ABS('01_설정'!B4-F2653),"")</f>
        <v/>
      </c>
      <c r="U2653" s="152">
        <f>IFERROR(ABS(K2653-YEAR('02_대상물건입력'!B14)),"")</f>
        <v/>
      </c>
      <c r="V2653" s="152">
        <f>IF(B2653="","",IF(AND(E2653&gt;0,F2653&gt;0,H2653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2653=1,TRUE()),R2653&lt;='01_설정'!B5,S2653&lt;='01_설정'!B6,T2653&lt;='01_설정'!B7,U2653&lt;='01_설정'!B8),"Y",""))</f>
        <v/>
      </c>
      <c r="W2653" s="172">
        <f>IF(V2653&lt;&gt;"Y","",MAX(0,(1-R2653/'01_설정'!B5))*'01_설정'!B14+MAX(0,(1-S2653/'01_설정'!B6))*'01_설정'!B15+MAX(0,(1-T2653/'01_설정'!B7))*'01_설정'!B16+MAX(0,(1-U2653/'01_설정'!B8))*'01_설정'!B17+O2653*'01_설정'!B11+Q2653*'01_설정'!B12+P2653*'01_설정'!B13+IF(Z2653="",0,Z2653))</f>
        <v/>
      </c>
      <c r="X2653" s="152">
        <f>IF(W2653="","",1+COUNTIFS($W$4:$W$3003,"&gt;"&amp;W2653)+COUNTIFS($W$4:W2653,W2653)-1)</f>
        <v/>
      </c>
      <c r="Y2653" s="175">
        <f>IF(OR(I2653="",'02_대상물건입력'!B19="",'02_대상물건입력'!B19&lt;=0),"",ABS(I2653-'02_대상물건입력'!B19)/'02_대상물건입력'!B19)</f>
        <v/>
      </c>
      <c r="Z2653" s="172">
        <f>IF(OR(Y2653="",'01_설정'!B31="",'01_설정'!B31&lt;=0,'01_설정'!B32="",'01_설정'!B32&lt;=0),"",MAX(0,(1-Y2653/'01_설정'!B32))*'01_설정'!B31)</f>
        <v/>
      </c>
    </row>
    <row r="2654" ht="17.25" customHeight="1">
      <c r="A2654" s="152">
        <f>IF(INDEX('04A_국토부원자료'!$A:$A,ROW()+1)="","",ROW()-3)</f>
        <v/>
      </c>
      <c r="B2654" s="48">
        <f>IFERROR(INDEX('04A_국토부원자료'!$A:$T,ROW()+1,MATCH("시군구",'04A_국토부원자료'!$A$4:$T$4,0)),"")</f>
        <v/>
      </c>
      <c r="C2654" s="48">
        <f>IF(B2654="","",IFERROR(INDEX('04A_국토부원자료'!$A:$T,ROW()+1,MATCH("번지",'04A_국토부원자료'!$A$4:$T$4,0)),""))</f>
        <v/>
      </c>
      <c r="D2654" s="48">
        <f>IF(B2654="","",IF(Q2654=1,'02_대상물건입력'!$B$8,IFERROR(INDEX('04A_국토부원자료'!$A:$T,ROW()+1,MATCH("단지명",'04A_국토부원자료'!$A$4:$T$4,0)),"")))</f>
        <v/>
      </c>
      <c r="E2654" s="172">
        <f>IFERROR(VALUE(SUBSTITUTE(INDEX('04A_국토부원자료'!$A:$T,ROW()+1,MATCH("전용면적(㎡)",'04A_국토부원자료'!$A$4:$T$4,0)),",","")),"")</f>
        <v/>
      </c>
      <c r="F26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54" s="51">
        <f>IFERROR(VALUE(SUBSTITUTE(INDEX('04A_국토부원자료'!$A:$T,ROW()+1,MATCH("거래금액(만원)",'04A_국토부원자료'!$A$4:$T$4,0)),",","")),"")</f>
        <v/>
      </c>
      <c r="H2654" s="174">
        <f>IF(G2654="","",G2654*10000)</f>
        <v/>
      </c>
      <c r="I2654" s="174">
        <f>IFERROR(IF(AND(H2654&gt;0,E2654&gt;0),H2654/E2654,""),"")</f>
        <v/>
      </c>
      <c r="J2654" s="152">
        <f>IFERROR(VALUE(SUBSTITUTE(INDEX('04A_국토부원자료'!$A:$T,ROW()+1,MATCH("층",'04A_국토부원자료'!$A$4:$T$4,0)),",","")),"")</f>
        <v/>
      </c>
      <c r="K2654" s="152">
        <f>IFERROR(VALUE(SUBSTITUTE(INDEX('04A_국토부원자료'!$A:$T,ROW()+1,MATCH("건축년도",'04A_국토부원자료'!$A$4:$T$4,0)),",","")),"")</f>
        <v/>
      </c>
      <c r="L2654" s="48">
        <f>IFERROR(INDEX('04A_국토부원자료'!$A:$T,ROW()+1,MATCH("도로명",'04A_국토부원자료'!$A$4:$T$4,0)),"")</f>
        <v/>
      </c>
      <c r="M2654" s="48">
        <f>IFERROR(INDEX('04A_국토부원자료'!$A:$T,ROW()+1,MATCH("거래유형",'04A_국토부원자료'!$A$4:$T$4,0)),"")</f>
        <v/>
      </c>
      <c r="N2654" s="152">
        <f>IF(B2654="","",IF('02_대상물건입력'!B5="",1,IF(ISNUMBER(SEARCH('02_대상물건입력'!B5,B2654)),1,0)))</f>
        <v/>
      </c>
      <c r="O2654" s="152">
        <f>IF(B2654="","",IF('02_대상물건입력'!B6="",1,IF(ISNUMBER(SEARCH('02_대상물건입력'!B6,B2654)),1,0)))</f>
        <v/>
      </c>
      <c r="P2654" s="152">
        <f>IF(L2654="","",IF('02_대상물건입력'!B15="",0,IF(ISNUMBER(SEARCH('02_대상물건입력'!B15,L2654)),1,0)))</f>
        <v/>
      </c>
      <c r="Q2654" s="152">
        <f>IF(OR(C2654="",L2654=""),0,IF(AND(TRIM(C2654)=TRIM(RIGHT(SUBSTITUTE(TRIM('02_대상물건입력'!$B$7)," ",REPT(" ",99)),99)),IF('02_대상물건입력'!B15="",TRUE(),ISNUMBER(SEARCH('02_대상물건입력'!B15,L2654)))),1,0))</f>
        <v/>
      </c>
      <c r="R2654" s="175">
        <f>IFERROR(ABS(E2654-'02_대상물건입력'!B11)/'02_대상물건입력'!B11,"")</f>
        <v/>
      </c>
      <c r="S2654" s="152">
        <f>IFERROR(ABS(J2654-'02_대상물건입력'!B10),"")</f>
        <v/>
      </c>
      <c r="T2654" s="152">
        <f>IFERROR(ABS('01_설정'!B4-F2654),"")</f>
        <v/>
      </c>
      <c r="U2654" s="152">
        <f>IFERROR(ABS(K2654-YEAR('02_대상물건입력'!B14)),"")</f>
        <v/>
      </c>
      <c r="V2654" s="152">
        <f>IF(B2654="","",IF(AND(E2654&gt;0,F2654&gt;0,H2654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2654=1,TRUE()),R2654&lt;='01_설정'!B5,S2654&lt;='01_설정'!B6,T2654&lt;='01_설정'!B7,U2654&lt;='01_설정'!B8),"Y",""))</f>
        <v/>
      </c>
      <c r="W2654" s="172">
        <f>IF(V2654&lt;&gt;"Y","",MAX(0,(1-R2654/'01_설정'!B5))*'01_설정'!B14+MAX(0,(1-S2654/'01_설정'!B6))*'01_설정'!B15+MAX(0,(1-T2654/'01_설정'!B7))*'01_설정'!B16+MAX(0,(1-U2654/'01_설정'!B8))*'01_설정'!B17+O2654*'01_설정'!B11+Q2654*'01_설정'!B12+P2654*'01_설정'!B13+IF(Z2654="",0,Z2654))</f>
        <v/>
      </c>
      <c r="X2654" s="152">
        <f>IF(W2654="","",1+COUNTIFS($W$4:$W$3003,"&gt;"&amp;W2654)+COUNTIFS($W$4:W2654,W2654)-1)</f>
        <v/>
      </c>
      <c r="Y2654" s="175">
        <f>IF(OR(I2654="",'02_대상물건입력'!B19="",'02_대상물건입력'!B19&lt;=0),"",ABS(I2654-'02_대상물건입력'!B19)/'02_대상물건입력'!B19)</f>
        <v/>
      </c>
      <c r="Z2654" s="172">
        <f>IF(OR(Y2654="",'01_설정'!B31="",'01_설정'!B31&lt;=0,'01_설정'!B32="",'01_설정'!B32&lt;=0),"",MAX(0,(1-Y2654/'01_설정'!B32))*'01_설정'!B31)</f>
        <v/>
      </c>
    </row>
    <row r="2655" ht="17.25" customHeight="1">
      <c r="A2655" s="152">
        <f>IF(INDEX('04A_국토부원자료'!$A:$A,ROW()+1)="","",ROW()-3)</f>
        <v/>
      </c>
      <c r="B2655" s="48">
        <f>IFERROR(INDEX('04A_국토부원자료'!$A:$T,ROW()+1,MATCH("시군구",'04A_국토부원자료'!$A$4:$T$4,0)),"")</f>
        <v/>
      </c>
      <c r="C2655" s="48">
        <f>IF(B2655="","",IFERROR(INDEX('04A_국토부원자료'!$A:$T,ROW()+1,MATCH("번지",'04A_국토부원자료'!$A$4:$T$4,0)),""))</f>
        <v/>
      </c>
      <c r="D2655" s="48">
        <f>IF(B2655="","",IF(Q2655=1,'02_대상물건입력'!$B$8,IFERROR(INDEX('04A_국토부원자료'!$A:$T,ROW()+1,MATCH("단지명",'04A_국토부원자료'!$A$4:$T$4,0)),"")))</f>
        <v/>
      </c>
      <c r="E2655" s="172">
        <f>IFERROR(VALUE(SUBSTITUTE(INDEX('04A_국토부원자료'!$A:$T,ROW()+1,MATCH("전용면적(㎡)",'04A_국토부원자료'!$A$4:$T$4,0)),",","")),"")</f>
        <v/>
      </c>
      <c r="F26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55" s="51">
        <f>IFERROR(VALUE(SUBSTITUTE(INDEX('04A_국토부원자료'!$A:$T,ROW()+1,MATCH("거래금액(만원)",'04A_국토부원자료'!$A$4:$T$4,0)),",","")),"")</f>
        <v/>
      </c>
      <c r="H2655" s="174">
        <f>IF(G2655="","",G2655*10000)</f>
        <v/>
      </c>
      <c r="I2655" s="174">
        <f>IFERROR(IF(AND(H2655&gt;0,E2655&gt;0),H2655/E2655,""),"")</f>
        <v/>
      </c>
      <c r="J2655" s="152">
        <f>IFERROR(VALUE(SUBSTITUTE(INDEX('04A_국토부원자료'!$A:$T,ROW()+1,MATCH("층",'04A_국토부원자료'!$A$4:$T$4,0)),",","")),"")</f>
        <v/>
      </c>
      <c r="K2655" s="152">
        <f>IFERROR(VALUE(SUBSTITUTE(INDEX('04A_국토부원자료'!$A:$T,ROW()+1,MATCH("건축년도",'04A_국토부원자료'!$A$4:$T$4,0)),",","")),"")</f>
        <v/>
      </c>
      <c r="L2655" s="48">
        <f>IFERROR(INDEX('04A_국토부원자료'!$A:$T,ROW()+1,MATCH("도로명",'04A_국토부원자료'!$A$4:$T$4,0)),"")</f>
        <v/>
      </c>
      <c r="M2655" s="48">
        <f>IFERROR(INDEX('04A_국토부원자료'!$A:$T,ROW()+1,MATCH("거래유형",'04A_국토부원자료'!$A$4:$T$4,0)),"")</f>
        <v/>
      </c>
      <c r="N2655" s="152">
        <f>IF(B2655="","",IF('02_대상물건입력'!B5="",1,IF(ISNUMBER(SEARCH('02_대상물건입력'!B5,B2655)),1,0)))</f>
        <v/>
      </c>
      <c r="O2655" s="152">
        <f>IF(B2655="","",IF('02_대상물건입력'!B6="",1,IF(ISNUMBER(SEARCH('02_대상물건입력'!B6,B2655)),1,0)))</f>
        <v/>
      </c>
      <c r="P2655" s="152">
        <f>IF(L2655="","",IF('02_대상물건입력'!B15="",0,IF(ISNUMBER(SEARCH('02_대상물건입력'!B15,L2655)),1,0)))</f>
        <v/>
      </c>
      <c r="Q2655" s="152">
        <f>IF(OR(C2655="",L2655=""),0,IF(AND(TRIM(C2655)=TRIM(RIGHT(SUBSTITUTE(TRIM('02_대상물건입력'!$B$7)," ",REPT(" ",99)),99)),IF('02_대상물건입력'!B15="",TRUE(),ISNUMBER(SEARCH('02_대상물건입력'!B15,L2655)))),1,0))</f>
        <v/>
      </c>
      <c r="R2655" s="175">
        <f>IFERROR(ABS(E2655-'02_대상물건입력'!B11)/'02_대상물건입력'!B11,"")</f>
        <v/>
      </c>
      <c r="S2655" s="152">
        <f>IFERROR(ABS(J2655-'02_대상물건입력'!B10),"")</f>
        <v/>
      </c>
      <c r="T2655" s="152">
        <f>IFERROR(ABS('01_설정'!B4-F2655),"")</f>
        <v/>
      </c>
      <c r="U2655" s="152">
        <f>IFERROR(ABS(K2655-YEAR('02_대상물건입력'!B14)),"")</f>
        <v/>
      </c>
      <c r="V2655" s="152">
        <f>IF(B2655="","",IF(AND(E2655&gt;0,F2655&gt;0,H2655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2655=1,TRUE()),R2655&lt;='01_설정'!B5,S2655&lt;='01_설정'!B6,T2655&lt;='01_설정'!B7,U2655&lt;='01_설정'!B8),"Y",""))</f>
        <v/>
      </c>
      <c r="W2655" s="172">
        <f>IF(V2655&lt;&gt;"Y","",MAX(0,(1-R2655/'01_설정'!B5))*'01_설정'!B14+MAX(0,(1-S2655/'01_설정'!B6))*'01_설정'!B15+MAX(0,(1-T2655/'01_설정'!B7))*'01_설정'!B16+MAX(0,(1-U2655/'01_설정'!B8))*'01_설정'!B17+O2655*'01_설정'!B11+Q2655*'01_설정'!B12+P2655*'01_설정'!B13+IF(Z2655="",0,Z2655))</f>
        <v/>
      </c>
      <c r="X2655" s="152">
        <f>IF(W2655="","",1+COUNTIFS($W$4:$W$3003,"&gt;"&amp;W2655)+COUNTIFS($W$4:W2655,W2655)-1)</f>
        <v/>
      </c>
      <c r="Y2655" s="175">
        <f>IF(OR(I2655="",'02_대상물건입력'!B19="",'02_대상물건입력'!B19&lt;=0),"",ABS(I2655-'02_대상물건입력'!B19)/'02_대상물건입력'!B19)</f>
        <v/>
      </c>
      <c r="Z2655" s="172">
        <f>IF(OR(Y2655="",'01_설정'!B31="",'01_설정'!B31&lt;=0,'01_설정'!B32="",'01_설정'!B32&lt;=0),"",MAX(0,(1-Y2655/'01_설정'!B32))*'01_설정'!B31)</f>
        <v/>
      </c>
    </row>
    <row r="2656" ht="17.25" customHeight="1">
      <c r="A2656" s="152">
        <f>IF(INDEX('04A_국토부원자료'!$A:$A,ROW()+1)="","",ROW()-3)</f>
        <v/>
      </c>
      <c r="B2656" s="48">
        <f>IFERROR(INDEX('04A_국토부원자료'!$A:$T,ROW()+1,MATCH("시군구",'04A_국토부원자료'!$A$4:$T$4,0)),"")</f>
        <v/>
      </c>
      <c r="C2656" s="48">
        <f>IF(B2656="","",IFERROR(INDEX('04A_국토부원자료'!$A:$T,ROW()+1,MATCH("번지",'04A_국토부원자료'!$A$4:$T$4,0)),""))</f>
        <v/>
      </c>
      <c r="D2656" s="48">
        <f>IF(B2656="","",IF(Q2656=1,'02_대상물건입력'!$B$8,IFERROR(INDEX('04A_국토부원자료'!$A:$T,ROW()+1,MATCH("단지명",'04A_국토부원자료'!$A$4:$T$4,0)),"")))</f>
        <v/>
      </c>
      <c r="E2656" s="172">
        <f>IFERROR(VALUE(SUBSTITUTE(INDEX('04A_국토부원자료'!$A:$T,ROW()+1,MATCH("전용면적(㎡)",'04A_국토부원자료'!$A$4:$T$4,0)),",","")),"")</f>
        <v/>
      </c>
      <c r="F26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56" s="51">
        <f>IFERROR(VALUE(SUBSTITUTE(INDEX('04A_국토부원자료'!$A:$T,ROW()+1,MATCH("거래금액(만원)",'04A_국토부원자료'!$A$4:$T$4,0)),",","")),"")</f>
        <v/>
      </c>
      <c r="H2656" s="174">
        <f>IF(G2656="","",G2656*10000)</f>
        <v/>
      </c>
      <c r="I2656" s="174">
        <f>IFERROR(IF(AND(H2656&gt;0,E2656&gt;0),H2656/E2656,""),"")</f>
        <v/>
      </c>
      <c r="J2656" s="152">
        <f>IFERROR(VALUE(SUBSTITUTE(INDEX('04A_국토부원자료'!$A:$T,ROW()+1,MATCH("층",'04A_국토부원자료'!$A$4:$T$4,0)),",","")),"")</f>
        <v/>
      </c>
      <c r="K2656" s="152">
        <f>IFERROR(VALUE(SUBSTITUTE(INDEX('04A_국토부원자료'!$A:$T,ROW()+1,MATCH("건축년도",'04A_국토부원자료'!$A$4:$T$4,0)),",","")),"")</f>
        <v/>
      </c>
      <c r="L2656" s="48">
        <f>IFERROR(INDEX('04A_국토부원자료'!$A:$T,ROW()+1,MATCH("도로명",'04A_국토부원자료'!$A$4:$T$4,0)),"")</f>
        <v/>
      </c>
      <c r="M2656" s="48">
        <f>IFERROR(INDEX('04A_국토부원자료'!$A:$T,ROW()+1,MATCH("거래유형",'04A_국토부원자료'!$A$4:$T$4,0)),"")</f>
        <v/>
      </c>
      <c r="N2656" s="152">
        <f>IF(B2656="","",IF('02_대상물건입력'!B5="",1,IF(ISNUMBER(SEARCH('02_대상물건입력'!B5,B2656)),1,0)))</f>
        <v/>
      </c>
      <c r="O2656" s="152">
        <f>IF(B2656="","",IF('02_대상물건입력'!B6="",1,IF(ISNUMBER(SEARCH('02_대상물건입력'!B6,B2656)),1,0)))</f>
        <v/>
      </c>
      <c r="P2656" s="152">
        <f>IF(L2656="","",IF('02_대상물건입력'!B15="",0,IF(ISNUMBER(SEARCH('02_대상물건입력'!B15,L2656)),1,0)))</f>
        <v/>
      </c>
      <c r="Q2656" s="152">
        <f>IF(OR(C2656="",L2656=""),0,IF(AND(TRIM(C2656)=TRIM(RIGHT(SUBSTITUTE(TRIM('02_대상물건입력'!$B$7)," ",REPT(" ",99)),99)),IF('02_대상물건입력'!B15="",TRUE(),ISNUMBER(SEARCH('02_대상물건입력'!B15,L2656)))),1,0))</f>
        <v/>
      </c>
      <c r="R2656" s="175">
        <f>IFERROR(ABS(E2656-'02_대상물건입력'!B11)/'02_대상물건입력'!B11,"")</f>
        <v/>
      </c>
      <c r="S2656" s="152">
        <f>IFERROR(ABS(J2656-'02_대상물건입력'!B10),"")</f>
        <v/>
      </c>
      <c r="T2656" s="152">
        <f>IFERROR(ABS('01_설정'!B4-F2656),"")</f>
        <v/>
      </c>
      <c r="U2656" s="152">
        <f>IFERROR(ABS(K2656-YEAR('02_대상물건입력'!B14)),"")</f>
        <v/>
      </c>
      <c r="V2656" s="152">
        <f>IF(B2656="","",IF(AND(E2656&gt;0,F2656&gt;0,H2656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2656=1,TRUE()),R2656&lt;='01_설정'!B5,S2656&lt;='01_설정'!B6,T2656&lt;='01_설정'!B7,U2656&lt;='01_설정'!B8),"Y",""))</f>
        <v/>
      </c>
      <c r="W2656" s="172">
        <f>IF(V2656&lt;&gt;"Y","",MAX(0,(1-R2656/'01_설정'!B5))*'01_설정'!B14+MAX(0,(1-S2656/'01_설정'!B6))*'01_설정'!B15+MAX(0,(1-T2656/'01_설정'!B7))*'01_설정'!B16+MAX(0,(1-U2656/'01_설정'!B8))*'01_설정'!B17+O2656*'01_설정'!B11+Q2656*'01_설정'!B12+P2656*'01_설정'!B13+IF(Z2656="",0,Z2656))</f>
        <v/>
      </c>
      <c r="X2656" s="152">
        <f>IF(W2656="","",1+COUNTIFS($W$4:$W$3003,"&gt;"&amp;W2656)+COUNTIFS($W$4:W2656,W2656)-1)</f>
        <v/>
      </c>
      <c r="Y2656" s="175">
        <f>IF(OR(I2656="",'02_대상물건입력'!B19="",'02_대상물건입력'!B19&lt;=0),"",ABS(I2656-'02_대상물건입력'!B19)/'02_대상물건입력'!B19)</f>
        <v/>
      </c>
      <c r="Z2656" s="172">
        <f>IF(OR(Y2656="",'01_설정'!B31="",'01_설정'!B31&lt;=0,'01_설정'!B32="",'01_설정'!B32&lt;=0),"",MAX(0,(1-Y2656/'01_설정'!B32))*'01_설정'!B31)</f>
        <v/>
      </c>
    </row>
    <row r="2657" ht="17.25" customHeight="1">
      <c r="A2657" s="152">
        <f>IF(INDEX('04A_국토부원자료'!$A:$A,ROW()+1)="","",ROW()-3)</f>
        <v/>
      </c>
      <c r="B2657" s="48">
        <f>IFERROR(INDEX('04A_국토부원자료'!$A:$T,ROW()+1,MATCH("시군구",'04A_국토부원자료'!$A$4:$T$4,0)),"")</f>
        <v/>
      </c>
      <c r="C2657" s="48">
        <f>IF(B2657="","",IFERROR(INDEX('04A_국토부원자료'!$A:$T,ROW()+1,MATCH("번지",'04A_국토부원자료'!$A$4:$T$4,0)),""))</f>
        <v/>
      </c>
      <c r="D2657" s="48">
        <f>IF(B2657="","",IF(Q2657=1,'02_대상물건입력'!$B$8,IFERROR(INDEX('04A_국토부원자료'!$A:$T,ROW()+1,MATCH("단지명",'04A_국토부원자료'!$A$4:$T$4,0)),"")))</f>
        <v/>
      </c>
      <c r="E2657" s="172">
        <f>IFERROR(VALUE(SUBSTITUTE(INDEX('04A_국토부원자료'!$A:$T,ROW()+1,MATCH("전용면적(㎡)",'04A_국토부원자료'!$A$4:$T$4,0)),",","")),"")</f>
        <v/>
      </c>
      <c r="F26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57" s="51">
        <f>IFERROR(VALUE(SUBSTITUTE(INDEX('04A_국토부원자료'!$A:$T,ROW()+1,MATCH("거래금액(만원)",'04A_국토부원자료'!$A$4:$T$4,0)),",","")),"")</f>
        <v/>
      </c>
      <c r="H2657" s="174">
        <f>IF(G2657="","",G2657*10000)</f>
        <v/>
      </c>
      <c r="I2657" s="174">
        <f>IFERROR(IF(AND(H2657&gt;0,E2657&gt;0),H2657/E2657,""),"")</f>
        <v/>
      </c>
      <c r="J2657" s="152">
        <f>IFERROR(VALUE(SUBSTITUTE(INDEX('04A_국토부원자료'!$A:$T,ROW()+1,MATCH("층",'04A_국토부원자료'!$A$4:$T$4,0)),",","")),"")</f>
        <v/>
      </c>
      <c r="K2657" s="152">
        <f>IFERROR(VALUE(SUBSTITUTE(INDEX('04A_국토부원자료'!$A:$T,ROW()+1,MATCH("건축년도",'04A_국토부원자료'!$A$4:$T$4,0)),",","")),"")</f>
        <v/>
      </c>
      <c r="L2657" s="48">
        <f>IFERROR(INDEX('04A_국토부원자료'!$A:$T,ROW()+1,MATCH("도로명",'04A_국토부원자료'!$A$4:$T$4,0)),"")</f>
        <v/>
      </c>
      <c r="M2657" s="48">
        <f>IFERROR(INDEX('04A_국토부원자료'!$A:$T,ROW()+1,MATCH("거래유형",'04A_국토부원자료'!$A$4:$T$4,0)),"")</f>
        <v/>
      </c>
      <c r="N2657" s="152">
        <f>IF(B2657="","",IF('02_대상물건입력'!B5="",1,IF(ISNUMBER(SEARCH('02_대상물건입력'!B5,B2657)),1,0)))</f>
        <v/>
      </c>
      <c r="O2657" s="152">
        <f>IF(B2657="","",IF('02_대상물건입력'!B6="",1,IF(ISNUMBER(SEARCH('02_대상물건입력'!B6,B2657)),1,0)))</f>
        <v/>
      </c>
      <c r="P2657" s="152">
        <f>IF(L2657="","",IF('02_대상물건입력'!B15="",0,IF(ISNUMBER(SEARCH('02_대상물건입력'!B15,L2657)),1,0)))</f>
        <v/>
      </c>
      <c r="Q2657" s="152">
        <f>IF(OR(C2657="",L2657=""),0,IF(AND(TRIM(C2657)=TRIM(RIGHT(SUBSTITUTE(TRIM('02_대상물건입력'!$B$7)," ",REPT(" ",99)),99)),IF('02_대상물건입력'!B15="",TRUE(),ISNUMBER(SEARCH('02_대상물건입력'!B15,L2657)))),1,0))</f>
        <v/>
      </c>
      <c r="R2657" s="175">
        <f>IFERROR(ABS(E2657-'02_대상물건입력'!B11)/'02_대상물건입력'!B11,"")</f>
        <v/>
      </c>
      <c r="S2657" s="152">
        <f>IFERROR(ABS(J2657-'02_대상물건입력'!B10),"")</f>
        <v/>
      </c>
      <c r="T2657" s="152">
        <f>IFERROR(ABS('01_설정'!B4-F2657),"")</f>
        <v/>
      </c>
      <c r="U2657" s="152">
        <f>IFERROR(ABS(K2657-YEAR('02_대상물건입력'!B14)),"")</f>
        <v/>
      </c>
      <c r="V2657" s="152">
        <f>IF(B2657="","",IF(AND(E2657&gt;0,F2657&gt;0,H2657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2657=1,TRUE()),R2657&lt;='01_설정'!B5,S2657&lt;='01_설정'!B6,T2657&lt;='01_설정'!B7,U2657&lt;='01_설정'!B8),"Y",""))</f>
        <v/>
      </c>
      <c r="W2657" s="172">
        <f>IF(V2657&lt;&gt;"Y","",MAX(0,(1-R2657/'01_설정'!B5))*'01_설정'!B14+MAX(0,(1-S2657/'01_설정'!B6))*'01_설정'!B15+MAX(0,(1-T2657/'01_설정'!B7))*'01_설정'!B16+MAX(0,(1-U2657/'01_설정'!B8))*'01_설정'!B17+O2657*'01_설정'!B11+Q2657*'01_설정'!B12+P2657*'01_설정'!B13+IF(Z2657="",0,Z2657))</f>
        <v/>
      </c>
      <c r="X2657" s="152">
        <f>IF(W2657="","",1+COUNTIFS($W$4:$W$3003,"&gt;"&amp;W2657)+COUNTIFS($W$4:W2657,W2657)-1)</f>
        <v/>
      </c>
      <c r="Y2657" s="175">
        <f>IF(OR(I2657="",'02_대상물건입력'!B19="",'02_대상물건입력'!B19&lt;=0),"",ABS(I2657-'02_대상물건입력'!B19)/'02_대상물건입력'!B19)</f>
        <v/>
      </c>
      <c r="Z2657" s="172">
        <f>IF(OR(Y2657="",'01_설정'!B31="",'01_설정'!B31&lt;=0,'01_설정'!B32="",'01_설정'!B32&lt;=0),"",MAX(0,(1-Y2657/'01_설정'!B32))*'01_설정'!B31)</f>
        <v/>
      </c>
    </row>
    <row r="2658" ht="17.25" customHeight="1">
      <c r="A2658" s="152">
        <f>IF(INDEX('04A_국토부원자료'!$A:$A,ROW()+1)="","",ROW()-3)</f>
        <v/>
      </c>
      <c r="B2658" s="48">
        <f>IFERROR(INDEX('04A_국토부원자료'!$A:$T,ROW()+1,MATCH("시군구",'04A_국토부원자료'!$A$4:$T$4,0)),"")</f>
        <v/>
      </c>
      <c r="C2658" s="48">
        <f>IF(B2658="","",IFERROR(INDEX('04A_국토부원자료'!$A:$T,ROW()+1,MATCH("번지",'04A_국토부원자료'!$A$4:$T$4,0)),""))</f>
        <v/>
      </c>
      <c r="D2658" s="48">
        <f>IF(B2658="","",IF(Q2658=1,'02_대상물건입력'!$B$8,IFERROR(INDEX('04A_국토부원자료'!$A:$T,ROW()+1,MATCH("단지명",'04A_국토부원자료'!$A$4:$T$4,0)),"")))</f>
        <v/>
      </c>
      <c r="E2658" s="172">
        <f>IFERROR(VALUE(SUBSTITUTE(INDEX('04A_국토부원자료'!$A:$T,ROW()+1,MATCH("전용면적(㎡)",'04A_국토부원자료'!$A$4:$T$4,0)),",","")),"")</f>
        <v/>
      </c>
      <c r="F26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58" s="51">
        <f>IFERROR(VALUE(SUBSTITUTE(INDEX('04A_국토부원자료'!$A:$T,ROW()+1,MATCH("거래금액(만원)",'04A_국토부원자료'!$A$4:$T$4,0)),",","")),"")</f>
        <v/>
      </c>
      <c r="H2658" s="174">
        <f>IF(G2658="","",G2658*10000)</f>
        <v/>
      </c>
      <c r="I2658" s="174">
        <f>IFERROR(IF(AND(H2658&gt;0,E2658&gt;0),H2658/E2658,""),"")</f>
        <v/>
      </c>
      <c r="J2658" s="152">
        <f>IFERROR(VALUE(SUBSTITUTE(INDEX('04A_국토부원자료'!$A:$T,ROW()+1,MATCH("층",'04A_국토부원자료'!$A$4:$T$4,0)),",","")),"")</f>
        <v/>
      </c>
      <c r="K2658" s="152">
        <f>IFERROR(VALUE(SUBSTITUTE(INDEX('04A_국토부원자료'!$A:$T,ROW()+1,MATCH("건축년도",'04A_국토부원자료'!$A$4:$T$4,0)),",","")),"")</f>
        <v/>
      </c>
      <c r="L2658" s="48">
        <f>IFERROR(INDEX('04A_국토부원자료'!$A:$T,ROW()+1,MATCH("도로명",'04A_국토부원자료'!$A$4:$T$4,0)),"")</f>
        <v/>
      </c>
      <c r="M2658" s="48">
        <f>IFERROR(INDEX('04A_국토부원자료'!$A:$T,ROW()+1,MATCH("거래유형",'04A_국토부원자료'!$A$4:$T$4,0)),"")</f>
        <v/>
      </c>
      <c r="N2658" s="152">
        <f>IF(B2658="","",IF('02_대상물건입력'!B5="",1,IF(ISNUMBER(SEARCH('02_대상물건입력'!B5,B2658)),1,0)))</f>
        <v/>
      </c>
      <c r="O2658" s="152">
        <f>IF(B2658="","",IF('02_대상물건입력'!B6="",1,IF(ISNUMBER(SEARCH('02_대상물건입력'!B6,B2658)),1,0)))</f>
        <v/>
      </c>
      <c r="P2658" s="152">
        <f>IF(L2658="","",IF('02_대상물건입력'!B15="",0,IF(ISNUMBER(SEARCH('02_대상물건입력'!B15,L2658)),1,0)))</f>
        <v/>
      </c>
      <c r="Q2658" s="152">
        <f>IF(OR(C2658="",L2658=""),0,IF(AND(TRIM(C2658)=TRIM(RIGHT(SUBSTITUTE(TRIM('02_대상물건입력'!$B$7)," ",REPT(" ",99)),99)),IF('02_대상물건입력'!B15="",TRUE(),ISNUMBER(SEARCH('02_대상물건입력'!B15,L2658)))),1,0))</f>
        <v/>
      </c>
      <c r="R2658" s="175">
        <f>IFERROR(ABS(E2658-'02_대상물건입력'!B11)/'02_대상물건입력'!B11,"")</f>
        <v/>
      </c>
      <c r="S2658" s="152">
        <f>IFERROR(ABS(J2658-'02_대상물건입력'!B10),"")</f>
        <v/>
      </c>
      <c r="T2658" s="152">
        <f>IFERROR(ABS('01_설정'!B4-F2658),"")</f>
        <v/>
      </c>
      <c r="U2658" s="152">
        <f>IFERROR(ABS(K2658-YEAR('02_대상물건입력'!B14)),"")</f>
        <v/>
      </c>
      <c r="V2658" s="152">
        <f>IF(B2658="","",IF(AND(E2658&gt;0,F2658&gt;0,H2658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2658=1,TRUE()),R2658&lt;='01_설정'!B5,S2658&lt;='01_설정'!B6,T2658&lt;='01_설정'!B7,U2658&lt;='01_설정'!B8),"Y",""))</f>
        <v/>
      </c>
      <c r="W2658" s="172">
        <f>IF(V2658&lt;&gt;"Y","",MAX(0,(1-R2658/'01_설정'!B5))*'01_설정'!B14+MAX(0,(1-S2658/'01_설정'!B6))*'01_설정'!B15+MAX(0,(1-T2658/'01_설정'!B7))*'01_설정'!B16+MAX(0,(1-U2658/'01_설정'!B8))*'01_설정'!B17+O2658*'01_설정'!B11+Q2658*'01_설정'!B12+P2658*'01_설정'!B13+IF(Z2658="",0,Z2658))</f>
        <v/>
      </c>
      <c r="X2658" s="152">
        <f>IF(W2658="","",1+COUNTIFS($W$4:$W$3003,"&gt;"&amp;W2658)+COUNTIFS($W$4:W2658,W2658)-1)</f>
        <v/>
      </c>
      <c r="Y2658" s="175">
        <f>IF(OR(I2658="",'02_대상물건입력'!B19="",'02_대상물건입력'!B19&lt;=0),"",ABS(I2658-'02_대상물건입력'!B19)/'02_대상물건입력'!B19)</f>
        <v/>
      </c>
      <c r="Z2658" s="172">
        <f>IF(OR(Y2658="",'01_설정'!B31="",'01_설정'!B31&lt;=0,'01_설정'!B32="",'01_설정'!B32&lt;=0),"",MAX(0,(1-Y2658/'01_설정'!B32))*'01_설정'!B31)</f>
        <v/>
      </c>
    </row>
    <row r="2659" ht="17.25" customHeight="1">
      <c r="A2659" s="152">
        <f>IF(INDEX('04A_국토부원자료'!$A:$A,ROW()+1)="","",ROW()-3)</f>
        <v/>
      </c>
      <c r="B2659" s="48">
        <f>IFERROR(INDEX('04A_국토부원자료'!$A:$T,ROW()+1,MATCH("시군구",'04A_국토부원자료'!$A$4:$T$4,0)),"")</f>
        <v/>
      </c>
      <c r="C2659" s="48">
        <f>IF(B2659="","",IFERROR(INDEX('04A_국토부원자료'!$A:$T,ROW()+1,MATCH("번지",'04A_국토부원자료'!$A$4:$T$4,0)),""))</f>
        <v/>
      </c>
      <c r="D2659" s="48">
        <f>IF(B2659="","",IF(Q2659=1,'02_대상물건입력'!$B$8,IFERROR(INDEX('04A_국토부원자료'!$A:$T,ROW()+1,MATCH("단지명",'04A_국토부원자료'!$A$4:$T$4,0)),"")))</f>
        <v/>
      </c>
      <c r="E2659" s="172">
        <f>IFERROR(VALUE(SUBSTITUTE(INDEX('04A_국토부원자료'!$A:$T,ROW()+1,MATCH("전용면적(㎡)",'04A_국토부원자료'!$A$4:$T$4,0)),",","")),"")</f>
        <v/>
      </c>
      <c r="F26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59" s="51">
        <f>IFERROR(VALUE(SUBSTITUTE(INDEX('04A_국토부원자료'!$A:$T,ROW()+1,MATCH("거래금액(만원)",'04A_국토부원자료'!$A$4:$T$4,0)),",","")),"")</f>
        <v/>
      </c>
      <c r="H2659" s="174">
        <f>IF(G2659="","",G2659*10000)</f>
        <v/>
      </c>
      <c r="I2659" s="174">
        <f>IFERROR(IF(AND(H2659&gt;0,E2659&gt;0),H2659/E2659,""),"")</f>
        <v/>
      </c>
      <c r="J2659" s="152">
        <f>IFERROR(VALUE(SUBSTITUTE(INDEX('04A_국토부원자료'!$A:$T,ROW()+1,MATCH("층",'04A_국토부원자료'!$A$4:$T$4,0)),",","")),"")</f>
        <v/>
      </c>
      <c r="K2659" s="152">
        <f>IFERROR(VALUE(SUBSTITUTE(INDEX('04A_국토부원자료'!$A:$T,ROW()+1,MATCH("건축년도",'04A_국토부원자료'!$A$4:$T$4,0)),",","")),"")</f>
        <v/>
      </c>
      <c r="L2659" s="48">
        <f>IFERROR(INDEX('04A_국토부원자료'!$A:$T,ROW()+1,MATCH("도로명",'04A_국토부원자료'!$A$4:$T$4,0)),"")</f>
        <v/>
      </c>
      <c r="M2659" s="48">
        <f>IFERROR(INDEX('04A_국토부원자료'!$A:$T,ROW()+1,MATCH("거래유형",'04A_국토부원자료'!$A$4:$T$4,0)),"")</f>
        <v/>
      </c>
      <c r="N2659" s="152">
        <f>IF(B2659="","",IF('02_대상물건입력'!B5="",1,IF(ISNUMBER(SEARCH('02_대상물건입력'!B5,B2659)),1,0)))</f>
        <v/>
      </c>
      <c r="O2659" s="152">
        <f>IF(B2659="","",IF('02_대상물건입력'!B6="",1,IF(ISNUMBER(SEARCH('02_대상물건입력'!B6,B2659)),1,0)))</f>
        <v/>
      </c>
      <c r="P2659" s="152">
        <f>IF(L2659="","",IF('02_대상물건입력'!B15="",0,IF(ISNUMBER(SEARCH('02_대상물건입력'!B15,L2659)),1,0)))</f>
        <v/>
      </c>
      <c r="Q2659" s="152">
        <f>IF(OR(C2659="",L2659=""),0,IF(AND(TRIM(C2659)=TRIM(RIGHT(SUBSTITUTE(TRIM('02_대상물건입력'!$B$7)," ",REPT(" ",99)),99)),IF('02_대상물건입력'!B15="",TRUE(),ISNUMBER(SEARCH('02_대상물건입력'!B15,L2659)))),1,0))</f>
        <v/>
      </c>
      <c r="R2659" s="175">
        <f>IFERROR(ABS(E2659-'02_대상물건입력'!B11)/'02_대상물건입력'!B11,"")</f>
        <v/>
      </c>
      <c r="S2659" s="152">
        <f>IFERROR(ABS(J2659-'02_대상물건입력'!B10),"")</f>
        <v/>
      </c>
      <c r="T2659" s="152">
        <f>IFERROR(ABS('01_설정'!B4-F2659),"")</f>
        <v/>
      </c>
      <c r="U2659" s="152">
        <f>IFERROR(ABS(K2659-YEAR('02_대상물건입력'!B14)),"")</f>
        <v/>
      </c>
      <c r="V2659" s="152">
        <f>IF(B2659="","",IF(AND(E2659&gt;0,F2659&gt;0,H2659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2659=1,TRUE()),R2659&lt;='01_설정'!B5,S2659&lt;='01_설정'!B6,T2659&lt;='01_설정'!B7,U2659&lt;='01_설정'!B8),"Y",""))</f>
        <v/>
      </c>
      <c r="W2659" s="172">
        <f>IF(V2659&lt;&gt;"Y","",MAX(0,(1-R2659/'01_설정'!B5))*'01_설정'!B14+MAX(0,(1-S2659/'01_설정'!B6))*'01_설정'!B15+MAX(0,(1-T2659/'01_설정'!B7))*'01_설정'!B16+MAX(0,(1-U2659/'01_설정'!B8))*'01_설정'!B17+O2659*'01_설정'!B11+Q2659*'01_설정'!B12+P2659*'01_설정'!B13+IF(Z2659="",0,Z2659))</f>
        <v/>
      </c>
      <c r="X2659" s="152">
        <f>IF(W2659="","",1+COUNTIFS($W$4:$W$3003,"&gt;"&amp;W2659)+COUNTIFS($W$4:W2659,W2659)-1)</f>
        <v/>
      </c>
      <c r="Y2659" s="175">
        <f>IF(OR(I2659="",'02_대상물건입력'!B19="",'02_대상물건입력'!B19&lt;=0),"",ABS(I2659-'02_대상물건입력'!B19)/'02_대상물건입력'!B19)</f>
        <v/>
      </c>
      <c r="Z2659" s="172">
        <f>IF(OR(Y2659="",'01_설정'!B31="",'01_설정'!B31&lt;=0,'01_설정'!B32="",'01_설정'!B32&lt;=0),"",MAX(0,(1-Y2659/'01_설정'!B32))*'01_설정'!B31)</f>
        <v/>
      </c>
    </row>
    <row r="2660" ht="17.25" customHeight="1">
      <c r="A2660" s="152">
        <f>IF(INDEX('04A_국토부원자료'!$A:$A,ROW()+1)="","",ROW()-3)</f>
        <v/>
      </c>
      <c r="B2660" s="48">
        <f>IFERROR(INDEX('04A_국토부원자료'!$A:$T,ROW()+1,MATCH("시군구",'04A_국토부원자료'!$A$4:$T$4,0)),"")</f>
        <v/>
      </c>
      <c r="C2660" s="48">
        <f>IF(B2660="","",IFERROR(INDEX('04A_국토부원자료'!$A:$T,ROW()+1,MATCH("번지",'04A_국토부원자료'!$A$4:$T$4,0)),""))</f>
        <v/>
      </c>
      <c r="D2660" s="48">
        <f>IF(B2660="","",IF(Q2660=1,'02_대상물건입력'!$B$8,IFERROR(INDEX('04A_국토부원자료'!$A:$T,ROW()+1,MATCH("단지명",'04A_국토부원자료'!$A$4:$T$4,0)),"")))</f>
        <v/>
      </c>
      <c r="E2660" s="172">
        <f>IFERROR(VALUE(SUBSTITUTE(INDEX('04A_국토부원자료'!$A:$T,ROW()+1,MATCH("전용면적(㎡)",'04A_국토부원자료'!$A$4:$T$4,0)),",","")),"")</f>
        <v/>
      </c>
      <c r="F26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60" s="51">
        <f>IFERROR(VALUE(SUBSTITUTE(INDEX('04A_국토부원자료'!$A:$T,ROW()+1,MATCH("거래금액(만원)",'04A_국토부원자료'!$A$4:$T$4,0)),",","")),"")</f>
        <v/>
      </c>
      <c r="H2660" s="174">
        <f>IF(G2660="","",G2660*10000)</f>
        <v/>
      </c>
      <c r="I2660" s="174">
        <f>IFERROR(IF(AND(H2660&gt;0,E2660&gt;0),H2660/E2660,""),"")</f>
        <v/>
      </c>
      <c r="J2660" s="152">
        <f>IFERROR(VALUE(SUBSTITUTE(INDEX('04A_국토부원자료'!$A:$T,ROW()+1,MATCH("층",'04A_국토부원자료'!$A$4:$T$4,0)),",","")),"")</f>
        <v/>
      </c>
      <c r="K2660" s="152">
        <f>IFERROR(VALUE(SUBSTITUTE(INDEX('04A_국토부원자료'!$A:$T,ROW()+1,MATCH("건축년도",'04A_국토부원자료'!$A$4:$T$4,0)),",","")),"")</f>
        <v/>
      </c>
      <c r="L2660" s="48">
        <f>IFERROR(INDEX('04A_국토부원자료'!$A:$T,ROW()+1,MATCH("도로명",'04A_국토부원자료'!$A$4:$T$4,0)),"")</f>
        <v/>
      </c>
      <c r="M2660" s="48">
        <f>IFERROR(INDEX('04A_국토부원자료'!$A:$T,ROW()+1,MATCH("거래유형",'04A_국토부원자료'!$A$4:$T$4,0)),"")</f>
        <v/>
      </c>
      <c r="N2660" s="152">
        <f>IF(B2660="","",IF('02_대상물건입력'!B5="",1,IF(ISNUMBER(SEARCH('02_대상물건입력'!B5,B2660)),1,0)))</f>
        <v/>
      </c>
      <c r="O2660" s="152">
        <f>IF(B2660="","",IF('02_대상물건입력'!B6="",1,IF(ISNUMBER(SEARCH('02_대상물건입력'!B6,B2660)),1,0)))</f>
        <v/>
      </c>
      <c r="P2660" s="152">
        <f>IF(L2660="","",IF('02_대상물건입력'!B15="",0,IF(ISNUMBER(SEARCH('02_대상물건입력'!B15,L2660)),1,0)))</f>
        <v/>
      </c>
      <c r="Q2660" s="152">
        <f>IF(OR(C2660="",L2660=""),0,IF(AND(TRIM(C2660)=TRIM(RIGHT(SUBSTITUTE(TRIM('02_대상물건입력'!$B$7)," ",REPT(" ",99)),99)),IF('02_대상물건입력'!B15="",TRUE(),ISNUMBER(SEARCH('02_대상물건입력'!B15,L2660)))),1,0))</f>
        <v/>
      </c>
      <c r="R2660" s="175">
        <f>IFERROR(ABS(E2660-'02_대상물건입력'!B11)/'02_대상물건입력'!B11,"")</f>
        <v/>
      </c>
      <c r="S2660" s="152">
        <f>IFERROR(ABS(J2660-'02_대상물건입력'!B10),"")</f>
        <v/>
      </c>
      <c r="T2660" s="152">
        <f>IFERROR(ABS('01_설정'!B4-F2660),"")</f>
        <v/>
      </c>
      <c r="U2660" s="152">
        <f>IFERROR(ABS(K2660-YEAR('02_대상물건입력'!B14)),"")</f>
        <v/>
      </c>
      <c r="V2660" s="152">
        <f>IF(B2660="","",IF(AND(E2660&gt;0,F2660&gt;0,H2660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2660=1,TRUE()),R2660&lt;='01_설정'!B5,S2660&lt;='01_설정'!B6,T2660&lt;='01_설정'!B7,U2660&lt;='01_설정'!B8),"Y",""))</f>
        <v/>
      </c>
      <c r="W2660" s="172">
        <f>IF(V2660&lt;&gt;"Y","",MAX(0,(1-R2660/'01_설정'!B5))*'01_설정'!B14+MAX(0,(1-S2660/'01_설정'!B6))*'01_설정'!B15+MAX(0,(1-T2660/'01_설정'!B7))*'01_설정'!B16+MAX(0,(1-U2660/'01_설정'!B8))*'01_설정'!B17+O2660*'01_설정'!B11+Q2660*'01_설정'!B12+P2660*'01_설정'!B13+IF(Z2660="",0,Z2660))</f>
        <v/>
      </c>
      <c r="X2660" s="152">
        <f>IF(W2660="","",1+COUNTIFS($W$4:$W$3003,"&gt;"&amp;W2660)+COUNTIFS($W$4:W2660,W2660)-1)</f>
        <v/>
      </c>
      <c r="Y2660" s="175">
        <f>IF(OR(I2660="",'02_대상물건입력'!B19="",'02_대상물건입력'!B19&lt;=0),"",ABS(I2660-'02_대상물건입력'!B19)/'02_대상물건입력'!B19)</f>
        <v/>
      </c>
      <c r="Z2660" s="172">
        <f>IF(OR(Y2660="",'01_설정'!B31="",'01_설정'!B31&lt;=0,'01_설정'!B32="",'01_설정'!B32&lt;=0),"",MAX(0,(1-Y2660/'01_설정'!B32))*'01_설정'!B31)</f>
        <v/>
      </c>
    </row>
    <row r="2661" ht="17.25" customHeight="1">
      <c r="A2661" s="152">
        <f>IF(INDEX('04A_국토부원자료'!$A:$A,ROW()+1)="","",ROW()-3)</f>
        <v/>
      </c>
      <c r="B2661" s="48">
        <f>IFERROR(INDEX('04A_국토부원자료'!$A:$T,ROW()+1,MATCH("시군구",'04A_국토부원자료'!$A$4:$T$4,0)),"")</f>
        <v/>
      </c>
      <c r="C2661" s="48">
        <f>IF(B2661="","",IFERROR(INDEX('04A_국토부원자료'!$A:$T,ROW()+1,MATCH("번지",'04A_국토부원자료'!$A$4:$T$4,0)),""))</f>
        <v/>
      </c>
      <c r="D2661" s="48">
        <f>IF(B2661="","",IF(Q2661=1,'02_대상물건입력'!$B$8,IFERROR(INDEX('04A_국토부원자료'!$A:$T,ROW()+1,MATCH("단지명",'04A_국토부원자료'!$A$4:$T$4,0)),"")))</f>
        <v/>
      </c>
      <c r="E2661" s="172">
        <f>IFERROR(VALUE(SUBSTITUTE(INDEX('04A_국토부원자료'!$A:$T,ROW()+1,MATCH("전용면적(㎡)",'04A_국토부원자료'!$A$4:$T$4,0)),",","")),"")</f>
        <v/>
      </c>
      <c r="F26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61" s="51">
        <f>IFERROR(VALUE(SUBSTITUTE(INDEX('04A_국토부원자료'!$A:$T,ROW()+1,MATCH("거래금액(만원)",'04A_국토부원자료'!$A$4:$T$4,0)),",","")),"")</f>
        <v/>
      </c>
      <c r="H2661" s="174">
        <f>IF(G2661="","",G2661*10000)</f>
        <v/>
      </c>
      <c r="I2661" s="174">
        <f>IFERROR(IF(AND(H2661&gt;0,E2661&gt;0),H2661/E2661,""),"")</f>
        <v/>
      </c>
      <c r="J2661" s="152">
        <f>IFERROR(VALUE(SUBSTITUTE(INDEX('04A_국토부원자료'!$A:$T,ROW()+1,MATCH("층",'04A_국토부원자료'!$A$4:$T$4,0)),",","")),"")</f>
        <v/>
      </c>
      <c r="K2661" s="152">
        <f>IFERROR(VALUE(SUBSTITUTE(INDEX('04A_국토부원자료'!$A:$T,ROW()+1,MATCH("건축년도",'04A_국토부원자료'!$A$4:$T$4,0)),",","")),"")</f>
        <v/>
      </c>
      <c r="L2661" s="48">
        <f>IFERROR(INDEX('04A_국토부원자료'!$A:$T,ROW()+1,MATCH("도로명",'04A_국토부원자료'!$A$4:$T$4,0)),"")</f>
        <v/>
      </c>
      <c r="M2661" s="48">
        <f>IFERROR(INDEX('04A_국토부원자료'!$A:$T,ROW()+1,MATCH("거래유형",'04A_국토부원자료'!$A$4:$T$4,0)),"")</f>
        <v/>
      </c>
      <c r="N2661" s="152">
        <f>IF(B2661="","",IF('02_대상물건입력'!B5="",1,IF(ISNUMBER(SEARCH('02_대상물건입력'!B5,B2661)),1,0)))</f>
        <v/>
      </c>
      <c r="O2661" s="152">
        <f>IF(B2661="","",IF('02_대상물건입력'!B6="",1,IF(ISNUMBER(SEARCH('02_대상물건입력'!B6,B2661)),1,0)))</f>
        <v/>
      </c>
      <c r="P2661" s="152">
        <f>IF(L2661="","",IF('02_대상물건입력'!B15="",0,IF(ISNUMBER(SEARCH('02_대상물건입력'!B15,L2661)),1,0)))</f>
        <v/>
      </c>
      <c r="Q2661" s="152">
        <f>IF(OR(C2661="",L2661=""),0,IF(AND(TRIM(C2661)=TRIM(RIGHT(SUBSTITUTE(TRIM('02_대상물건입력'!$B$7)," ",REPT(" ",99)),99)),IF('02_대상물건입력'!B15="",TRUE(),ISNUMBER(SEARCH('02_대상물건입력'!B15,L2661)))),1,0))</f>
        <v/>
      </c>
      <c r="R2661" s="175">
        <f>IFERROR(ABS(E2661-'02_대상물건입력'!B11)/'02_대상물건입력'!B11,"")</f>
        <v/>
      </c>
      <c r="S2661" s="152">
        <f>IFERROR(ABS(J2661-'02_대상물건입력'!B10),"")</f>
        <v/>
      </c>
      <c r="T2661" s="152">
        <f>IFERROR(ABS('01_설정'!B4-F2661),"")</f>
        <v/>
      </c>
      <c r="U2661" s="152">
        <f>IFERROR(ABS(K2661-YEAR('02_대상물건입력'!B14)),"")</f>
        <v/>
      </c>
      <c r="V2661" s="152">
        <f>IF(B2661="","",IF(AND(E2661&gt;0,F2661&gt;0,H2661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2661=1,TRUE()),R2661&lt;='01_설정'!B5,S2661&lt;='01_설정'!B6,T2661&lt;='01_설정'!B7,U2661&lt;='01_설정'!B8),"Y",""))</f>
        <v/>
      </c>
      <c r="W2661" s="172">
        <f>IF(V2661&lt;&gt;"Y","",MAX(0,(1-R2661/'01_설정'!B5))*'01_설정'!B14+MAX(0,(1-S2661/'01_설정'!B6))*'01_설정'!B15+MAX(0,(1-T2661/'01_설정'!B7))*'01_설정'!B16+MAX(0,(1-U2661/'01_설정'!B8))*'01_설정'!B17+O2661*'01_설정'!B11+Q2661*'01_설정'!B12+P2661*'01_설정'!B13+IF(Z2661="",0,Z2661))</f>
        <v/>
      </c>
      <c r="X2661" s="152">
        <f>IF(W2661="","",1+COUNTIFS($W$4:$W$3003,"&gt;"&amp;W2661)+COUNTIFS($W$4:W2661,W2661)-1)</f>
        <v/>
      </c>
      <c r="Y2661" s="175">
        <f>IF(OR(I2661="",'02_대상물건입력'!B19="",'02_대상물건입력'!B19&lt;=0),"",ABS(I2661-'02_대상물건입력'!B19)/'02_대상물건입력'!B19)</f>
        <v/>
      </c>
      <c r="Z2661" s="172">
        <f>IF(OR(Y2661="",'01_설정'!B31="",'01_설정'!B31&lt;=0,'01_설정'!B32="",'01_설정'!B32&lt;=0),"",MAX(0,(1-Y2661/'01_설정'!B32))*'01_설정'!B31)</f>
        <v/>
      </c>
    </row>
    <row r="2662" ht="17.25" customHeight="1">
      <c r="A2662" s="152">
        <f>IF(INDEX('04A_국토부원자료'!$A:$A,ROW()+1)="","",ROW()-3)</f>
        <v/>
      </c>
      <c r="B2662" s="48">
        <f>IFERROR(INDEX('04A_국토부원자료'!$A:$T,ROW()+1,MATCH("시군구",'04A_국토부원자료'!$A$4:$T$4,0)),"")</f>
        <v/>
      </c>
      <c r="C2662" s="48">
        <f>IF(B2662="","",IFERROR(INDEX('04A_국토부원자료'!$A:$T,ROW()+1,MATCH("번지",'04A_국토부원자료'!$A$4:$T$4,0)),""))</f>
        <v/>
      </c>
      <c r="D2662" s="48">
        <f>IF(B2662="","",IF(Q2662=1,'02_대상물건입력'!$B$8,IFERROR(INDEX('04A_국토부원자료'!$A:$T,ROW()+1,MATCH("단지명",'04A_국토부원자료'!$A$4:$T$4,0)),"")))</f>
        <v/>
      </c>
      <c r="E2662" s="172">
        <f>IFERROR(VALUE(SUBSTITUTE(INDEX('04A_국토부원자료'!$A:$T,ROW()+1,MATCH("전용면적(㎡)",'04A_국토부원자료'!$A$4:$T$4,0)),",","")),"")</f>
        <v/>
      </c>
      <c r="F26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62" s="51">
        <f>IFERROR(VALUE(SUBSTITUTE(INDEX('04A_국토부원자료'!$A:$T,ROW()+1,MATCH("거래금액(만원)",'04A_국토부원자료'!$A$4:$T$4,0)),",","")),"")</f>
        <v/>
      </c>
      <c r="H2662" s="174">
        <f>IF(G2662="","",G2662*10000)</f>
        <v/>
      </c>
      <c r="I2662" s="174">
        <f>IFERROR(IF(AND(H2662&gt;0,E2662&gt;0),H2662/E2662,""),"")</f>
        <v/>
      </c>
      <c r="J2662" s="152">
        <f>IFERROR(VALUE(SUBSTITUTE(INDEX('04A_국토부원자료'!$A:$T,ROW()+1,MATCH("층",'04A_국토부원자료'!$A$4:$T$4,0)),",","")),"")</f>
        <v/>
      </c>
      <c r="K2662" s="152">
        <f>IFERROR(VALUE(SUBSTITUTE(INDEX('04A_국토부원자료'!$A:$T,ROW()+1,MATCH("건축년도",'04A_국토부원자료'!$A$4:$T$4,0)),",","")),"")</f>
        <v/>
      </c>
      <c r="L2662" s="48">
        <f>IFERROR(INDEX('04A_국토부원자료'!$A:$T,ROW()+1,MATCH("도로명",'04A_국토부원자료'!$A$4:$T$4,0)),"")</f>
        <v/>
      </c>
      <c r="M2662" s="48">
        <f>IFERROR(INDEX('04A_국토부원자료'!$A:$T,ROW()+1,MATCH("거래유형",'04A_국토부원자료'!$A$4:$T$4,0)),"")</f>
        <v/>
      </c>
      <c r="N2662" s="152">
        <f>IF(B2662="","",IF('02_대상물건입력'!B5="",1,IF(ISNUMBER(SEARCH('02_대상물건입력'!B5,B2662)),1,0)))</f>
        <v/>
      </c>
      <c r="O2662" s="152">
        <f>IF(B2662="","",IF('02_대상물건입력'!B6="",1,IF(ISNUMBER(SEARCH('02_대상물건입력'!B6,B2662)),1,0)))</f>
        <v/>
      </c>
      <c r="P2662" s="152">
        <f>IF(L2662="","",IF('02_대상물건입력'!B15="",0,IF(ISNUMBER(SEARCH('02_대상물건입력'!B15,L2662)),1,0)))</f>
        <v/>
      </c>
      <c r="Q2662" s="152">
        <f>IF(OR(C2662="",L2662=""),0,IF(AND(TRIM(C2662)=TRIM(RIGHT(SUBSTITUTE(TRIM('02_대상물건입력'!$B$7)," ",REPT(" ",99)),99)),IF('02_대상물건입력'!B15="",TRUE(),ISNUMBER(SEARCH('02_대상물건입력'!B15,L2662)))),1,0))</f>
        <v/>
      </c>
      <c r="R2662" s="175">
        <f>IFERROR(ABS(E2662-'02_대상물건입력'!B11)/'02_대상물건입력'!B11,"")</f>
        <v/>
      </c>
      <c r="S2662" s="152">
        <f>IFERROR(ABS(J2662-'02_대상물건입력'!B10),"")</f>
        <v/>
      </c>
      <c r="T2662" s="152">
        <f>IFERROR(ABS('01_설정'!B4-F2662),"")</f>
        <v/>
      </c>
      <c r="U2662" s="152">
        <f>IFERROR(ABS(K2662-YEAR('02_대상물건입력'!B14)),"")</f>
        <v/>
      </c>
      <c r="V2662" s="152">
        <f>IF(B2662="","",IF(AND(E2662&gt;0,F2662&gt;0,H2662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2662=1,TRUE()),R2662&lt;='01_설정'!B5,S2662&lt;='01_설정'!B6,T2662&lt;='01_설정'!B7,U2662&lt;='01_설정'!B8),"Y",""))</f>
        <v/>
      </c>
      <c r="W2662" s="172">
        <f>IF(V2662&lt;&gt;"Y","",MAX(0,(1-R2662/'01_설정'!B5))*'01_설정'!B14+MAX(0,(1-S2662/'01_설정'!B6))*'01_설정'!B15+MAX(0,(1-T2662/'01_설정'!B7))*'01_설정'!B16+MAX(0,(1-U2662/'01_설정'!B8))*'01_설정'!B17+O2662*'01_설정'!B11+Q2662*'01_설정'!B12+P2662*'01_설정'!B13+IF(Z2662="",0,Z2662))</f>
        <v/>
      </c>
      <c r="X2662" s="152">
        <f>IF(W2662="","",1+COUNTIFS($W$4:$W$3003,"&gt;"&amp;W2662)+COUNTIFS($W$4:W2662,W2662)-1)</f>
        <v/>
      </c>
      <c r="Y2662" s="175">
        <f>IF(OR(I2662="",'02_대상물건입력'!B19="",'02_대상물건입력'!B19&lt;=0),"",ABS(I2662-'02_대상물건입력'!B19)/'02_대상물건입력'!B19)</f>
        <v/>
      </c>
      <c r="Z2662" s="172">
        <f>IF(OR(Y2662="",'01_설정'!B31="",'01_설정'!B31&lt;=0,'01_설정'!B32="",'01_설정'!B32&lt;=0),"",MAX(0,(1-Y2662/'01_설정'!B32))*'01_설정'!B31)</f>
        <v/>
      </c>
    </row>
    <row r="2663" ht="17.25" customHeight="1">
      <c r="A2663" s="152">
        <f>IF(INDEX('04A_국토부원자료'!$A:$A,ROW()+1)="","",ROW()-3)</f>
        <v/>
      </c>
      <c r="B2663" s="48">
        <f>IFERROR(INDEX('04A_국토부원자료'!$A:$T,ROW()+1,MATCH("시군구",'04A_국토부원자료'!$A$4:$T$4,0)),"")</f>
        <v/>
      </c>
      <c r="C2663" s="48">
        <f>IF(B2663="","",IFERROR(INDEX('04A_국토부원자료'!$A:$T,ROW()+1,MATCH("번지",'04A_국토부원자료'!$A$4:$T$4,0)),""))</f>
        <v/>
      </c>
      <c r="D2663" s="48">
        <f>IF(B2663="","",IF(Q2663=1,'02_대상물건입력'!$B$8,IFERROR(INDEX('04A_국토부원자료'!$A:$T,ROW()+1,MATCH("단지명",'04A_국토부원자료'!$A$4:$T$4,0)),"")))</f>
        <v/>
      </c>
      <c r="E2663" s="172">
        <f>IFERROR(VALUE(SUBSTITUTE(INDEX('04A_국토부원자료'!$A:$T,ROW()+1,MATCH("전용면적(㎡)",'04A_국토부원자료'!$A$4:$T$4,0)),",","")),"")</f>
        <v/>
      </c>
      <c r="F26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63" s="51">
        <f>IFERROR(VALUE(SUBSTITUTE(INDEX('04A_국토부원자료'!$A:$T,ROW()+1,MATCH("거래금액(만원)",'04A_국토부원자료'!$A$4:$T$4,0)),",","")),"")</f>
        <v/>
      </c>
      <c r="H2663" s="174">
        <f>IF(G2663="","",G2663*10000)</f>
        <v/>
      </c>
      <c r="I2663" s="174">
        <f>IFERROR(IF(AND(H2663&gt;0,E2663&gt;0),H2663/E2663,""),"")</f>
        <v/>
      </c>
      <c r="J2663" s="152">
        <f>IFERROR(VALUE(SUBSTITUTE(INDEX('04A_국토부원자료'!$A:$T,ROW()+1,MATCH("층",'04A_국토부원자료'!$A$4:$T$4,0)),",","")),"")</f>
        <v/>
      </c>
      <c r="K2663" s="152">
        <f>IFERROR(VALUE(SUBSTITUTE(INDEX('04A_국토부원자료'!$A:$T,ROW()+1,MATCH("건축년도",'04A_국토부원자료'!$A$4:$T$4,0)),",","")),"")</f>
        <v/>
      </c>
      <c r="L2663" s="48">
        <f>IFERROR(INDEX('04A_국토부원자료'!$A:$T,ROW()+1,MATCH("도로명",'04A_국토부원자료'!$A$4:$T$4,0)),"")</f>
        <v/>
      </c>
      <c r="M2663" s="48">
        <f>IFERROR(INDEX('04A_국토부원자료'!$A:$T,ROW()+1,MATCH("거래유형",'04A_국토부원자료'!$A$4:$T$4,0)),"")</f>
        <v/>
      </c>
      <c r="N2663" s="152">
        <f>IF(B2663="","",IF('02_대상물건입력'!B5="",1,IF(ISNUMBER(SEARCH('02_대상물건입력'!B5,B2663)),1,0)))</f>
        <v/>
      </c>
      <c r="O2663" s="152">
        <f>IF(B2663="","",IF('02_대상물건입력'!B6="",1,IF(ISNUMBER(SEARCH('02_대상물건입력'!B6,B2663)),1,0)))</f>
        <v/>
      </c>
      <c r="P2663" s="152">
        <f>IF(L2663="","",IF('02_대상물건입력'!B15="",0,IF(ISNUMBER(SEARCH('02_대상물건입력'!B15,L2663)),1,0)))</f>
        <v/>
      </c>
      <c r="Q2663" s="152">
        <f>IF(OR(C2663="",L2663=""),0,IF(AND(TRIM(C2663)=TRIM(RIGHT(SUBSTITUTE(TRIM('02_대상물건입력'!$B$7)," ",REPT(" ",99)),99)),IF('02_대상물건입력'!B15="",TRUE(),ISNUMBER(SEARCH('02_대상물건입력'!B15,L2663)))),1,0))</f>
        <v/>
      </c>
      <c r="R2663" s="175">
        <f>IFERROR(ABS(E2663-'02_대상물건입력'!B11)/'02_대상물건입력'!B11,"")</f>
        <v/>
      </c>
      <c r="S2663" s="152">
        <f>IFERROR(ABS(J2663-'02_대상물건입력'!B10),"")</f>
        <v/>
      </c>
      <c r="T2663" s="152">
        <f>IFERROR(ABS('01_설정'!B4-F2663),"")</f>
        <v/>
      </c>
      <c r="U2663" s="152">
        <f>IFERROR(ABS(K2663-YEAR('02_대상물건입력'!B14)),"")</f>
        <v/>
      </c>
      <c r="V2663" s="152">
        <f>IF(B2663="","",IF(AND(E2663&gt;0,F2663&gt;0,H2663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2663=1,TRUE()),R2663&lt;='01_설정'!B5,S2663&lt;='01_설정'!B6,T2663&lt;='01_설정'!B7,U2663&lt;='01_설정'!B8),"Y",""))</f>
        <v/>
      </c>
      <c r="W2663" s="172">
        <f>IF(V2663&lt;&gt;"Y","",MAX(0,(1-R2663/'01_설정'!B5))*'01_설정'!B14+MAX(0,(1-S2663/'01_설정'!B6))*'01_설정'!B15+MAX(0,(1-T2663/'01_설정'!B7))*'01_설정'!B16+MAX(0,(1-U2663/'01_설정'!B8))*'01_설정'!B17+O2663*'01_설정'!B11+Q2663*'01_설정'!B12+P2663*'01_설정'!B13+IF(Z2663="",0,Z2663))</f>
        <v/>
      </c>
      <c r="X2663" s="152">
        <f>IF(W2663="","",1+COUNTIFS($W$4:$W$3003,"&gt;"&amp;W2663)+COUNTIFS($W$4:W2663,W2663)-1)</f>
        <v/>
      </c>
      <c r="Y2663" s="175">
        <f>IF(OR(I2663="",'02_대상물건입력'!B19="",'02_대상물건입력'!B19&lt;=0),"",ABS(I2663-'02_대상물건입력'!B19)/'02_대상물건입력'!B19)</f>
        <v/>
      </c>
      <c r="Z2663" s="172">
        <f>IF(OR(Y2663="",'01_설정'!B31="",'01_설정'!B31&lt;=0,'01_설정'!B32="",'01_설정'!B32&lt;=0),"",MAX(0,(1-Y2663/'01_설정'!B32))*'01_설정'!B31)</f>
        <v/>
      </c>
    </row>
    <row r="2664" ht="17.25" customHeight="1">
      <c r="A2664" s="152">
        <f>IF(INDEX('04A_국토부원자료'!$A:$A,ROW()+1)="","",ROW()-3)</f>
        <v/>
      </c>
      <c r="B2664" s="48">
        <f>IFERROR(INDEX('04A_국토부원자료'!$A:$T,ROW()+1,MATCH("시군구",'04A_국토부원자료'!$A$4:$T$4,0)),"")</f>
        <v/>
      </c>
      <c r="C2664" s="48">
        <f>IF(B2664="","",IFERROR(INDEX('04A_국토부원자료'!$A:$T,ROW()+1,MATCH("번지",'04A_국토부원자료'!$A$4:$T$4,0)),""))</f>
        <v/>
      </c>
      <c r="D2664" s="48">
        <f>IF(B2664="","",IF(Q2664=1,'02_대상물건입력'!$B$8,IFERROR(INDEX('04A_국토부원자료'!$A:$T,ROW()+1,MATCH("단지명",'04A_국토부원자료'!$A$4:$T$4,0)),"")))</f>
        <v/>
      </c>
      <c r="E2664" s="172">
        <f>IFERROR(VALUE(SUBSTITUTE(INDEX('04A_국토부원자료'!$A:$T,ROW()+1,MATCH("전용면적(㎡)",'04A_국토부원자료'!$A$4:$T$4,0)),",","")),"")</f>
        <v/>
      </c>
      <c r="F26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64" s="51">
        <f>IFERROR(VALUE(SUBSTITUTE(INDEX('04A_국토부원자료'!$A:$T,ROW()+1,MATCH("거래금액(만원)",'04A_국토부원자료'!$A$4:$T$4,0)),",","")),"")</f>
        <v/>
      </c>
      <c r="H2664" s="174">
        <f>IF(G2664="","",G2664*10000)</f>
        <v/>
      </c>
      <c r="I2664" s="174">
        <f>IFERROR(IF(AND(H2664&gt;0,E2664&gt;0),H2664/E2664,""),"")</f>
        <v/>
      </c>
      <c r="J2664" s="152">
        <f>IFERROR(VALUE(SUBSTITUTE(INDEX('04A_국토부원자료'!$A:$T,ROW()+1,MATCH("층",'04A_국토부원자료'!$A$4:$T$4,0)),",","")),"")</f>
        <v/>
      </c>
      <c r="K2664" s="152">
        <f>IFERROR(VALUE(SUBSTITUTE(INDEX('04A_국토부원자료'!$A:$T,ROW()+1,MATCH("건축년도",'04A_국토부원자료'!$A$4:$T$4,0)),",","")),"")</f>
        <v/>
      </c>
      <c r="L2664" s="48">
        <f>IFERROR(INDEX('04A_국토부원자료'!$A:$T,ROW()+1,MATCH("도로명",'04A_국토부원자료'!$A$4:$T$4,0)),"")</f>
        <v/>
      </c>
      <c r="M2664" s="48">
        <f>IFERROR(INDEX('04A_국토부원자료'!$A:$T,ROW()+1,MATCH("거래유형",'04A_국토부원자료'!$A$4:$T$4,0)),"")</f>
        <v/>
      </c>
      <c r="N2664" s="152">
        <f>IF(B2664="","",IF('02_대상물건입력'!B5="",1,IF(ISNUMBER(SEARCH('02_대상물건입력'!B5,B2664)),1,0)))</f>
        <v/>
      </c>
      <c r="O2664" s="152">
        <f>IF(B2664="","",IF('02_대상물건입력'!B6="",1,IF(ISNUMBER(SEARCH('02_대상물건입력'!B6,B2664)),1,0)))</f>
        <v/>
      </c>
      <c r="P2664" s="152">
        <f>IF(L2664="","",IF('02_대상물건입력'!B15="",0,IF(ISNUMBER(SEARCH('02_대상물건입력'!B15,L2664)),1,0)))</f>
        <v/>
      </c>
      <c r="Q2664" s="152">
        <f>IF(OR(C2664="",L2664=""),0,IF(AND(TRIM(C2664)=TRIM(RIGHT(SUBSTITUTE(TRIM('02_대상물건입력'!$B$7)," ",REPT(" ",99)),99)),IF('02_대상물건입력'!B15="",TRUE(),ISNUMBER(SEARCH('02_대상물건입력'!B15,L2664)))),1,0))</f>
        <v/>
      </c>
      <c r="R2664" s="175">
        <f>IFERROR(ABS(E2664-'02_대상물건입력'!B11)/'02_대상물건입력'!B11,"")</f>
        <v/>
      </c>
      <c r="S2664" s="152">
        <f>IFERROR(ABS(J2664-'02_대상물건입력'!B10),"")</f>
        <v/>
      </c>
      <c r="T2664" s="152">
        <f>IFERROR(ABS('01_설정'!B4-F2664),"")</f>
        <v/>
      </c>
      <c r="U2664" s="152">
        <f>IFERROR(ABS(K2664-YEAR('02_대상물건입력'!B14)),"")</f>
        <v/>
      </c>
      <c r="V2664" s="152">
        <f>IF(B2664="","",IF(AND(E2664&gt;0,F2664&gt;0,H2664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2664=1,TRUE()),R2664&lt;='01_설정'!B5,S2664&lt;='01_설정'!B6,T2664&lt;='01_설정'!B7,U2664&lt;='01_설정'!B8),"Y",""))</f>
        <v/>
      </c>
      <c r="W2664" s="172">
        <f>IF(V2664&lt;&gt;"Y","",MAX(0,(1-R2664/'01_설정'!B5))*'01_설정'!B14+MAX(0,(1-S2664/'01_설정'!B6))*'01_설정'!B15+MAX(0,(1-T2664/'01_설정'!B7))*'01_설정'!B16+MAX(0,(1-U2664/'01_설정'!B8))*'01_설정'!B17+O2664*'01_설정'!B11+Q2664*'01_설정'!B12+P2664*'01_설정'!B13+IF(Z2664="",0,Z2664))</f>
        <v/>
      </c>
      <c r="X2664" s="152">
        <f>IF(W2664="","",1+COUNTIFS($W$4:$W$3003,"&gt;"&amp;W2664)+COUNTIFS($W$4:W2664,W2664)-1)</f>
        <v/>
      </c>
      <c r="Y2664" s="175">
        <f>IF(OR(I2664="",'02_대상물건입력'!B19="",'02_대상물건입력'!B19&lt;=0),"",ABS(I2664-'02_대상물건입력'!B19)/'02_대상물건입력'!B19)</f>
        <v/>
      </c>
      <c r="Z2664" s="172">
        <f>IF(OR(Y2664="",'01_설정'!B31="",'01_설정'!B31&lt;=0,'01_설정'!B32="",'01_설정'!B32&lt;=0),"",MAX(0,(1-Y2664/'01_설정'!B32))*'01_설정'!B31)</f>
        <v/>
      </c>
    </row>
    <row r="2665" ht="17.25" customHeight="1">
      <c r="A2665" s="152">
        <f>IF(INDEX('04A_국토부원자료'!$A:$A,ROW()+1)="","",ROW()-3)</f>
        <v/>
      </c>
      <c r="B2665" s="48">
        <f>IFERROR(INDEX('04A_국토부원자료'!$A:$T,ROW()+1,MATCH("시군구",'04A_국토부원자료'!$A$4:$T$4,0)),"")</f>
        <v/>
      </c>
      <c r="C2665" s="48">
        <f>IF(B2665="","",IFERROR(INDEX('04A_국토부원자료'!$A:$T,ROW()+1,MATCH("번지",'04A_국토부원자료'!$A$4:$T$4,0)),""))</f>
        <v/>
      </c>
      <c r="D2665" s="48">
        <f>IF(B2665="","",IF(Q2665=1,'02_대상물건입력'!$B$8,IFERROR(INDEX('04A_국토부원자료'!$A:$T,ROW()+1,MATCH("단지명",'04A_국토부원자료'!$A$4:$T$4,0)),"")))</f>
        <v/>
      </c>
      <c r="E2665" s="172">
        <f>IFERROR(VALUE(SUBSTITUTE(INDEX('04A_국토부원자료'!$A:$T,ROW()+1,MATCH("전용면적(㎡)",'04A_국토부원자료'!$A$4:$T$4,0)),",","")),"")</f>
        <v/>
      </c>
      <c r="F26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65" s="51">
        <f>IFERROR(VALUE(SUBSTITUTE(INDEX('04A_국토부원자료'!$A:$T,ROW()+1,MATCH("거래금액(만원)",'04A_국토부원자료'!$A$4:$T$4,0)),",","")),"")</f>
        <v/>
      </c>
      <c r="H2665" s="174">
        <f>IF(G2665="","",G2665*10000)</f>
        <v/>
      </c>
      <c r="I2665" s="174">
        <f>IFERROR(IF(AND(H2665&gt;0,E2665&gt;0),H2665/E2665,""),"")</f>
        <v/>
      </c>
      <c r="J2665" s="152">
        <f>IFERROR(VALUE(SUBSTITUTE(INDEX('04A_국토부원자료'!$A:$T,ROW()+1,MATCH("층",'04A_국토부원자료'!$A$4:$T$4,0)),",","")),"")</f>
        <v/>
      </c>
      <c r="K2665" s="152">
        <f>IFERROR(VALUE(SUBSTITUTE(INDEX('04A_국토부원자료'!$A:$T,ROW()+1,MATCH("건축년도",'04A_국토부원자료'!$A$4:$T$4,0)),",","")),"")</f>
        <v/>
      </c>
      <c r="L2665" s="48">
        <f>IFERROR(INDEX('04A_국토부원자료'!$A:$T,ROW()+1,MATCH("도로명",'04A_국토부원자료'!$A$4:$T$4,0)),"")</f>
        <v/>
      </c>
      <c r="M2665" s="48">
        <f>IFERROR(INDEX('04A_국토부원자료'!$A:$T,ROW()+1,MATCH("거래유형",'04A_국토부원자료'!$A$4:$T$4,0)),"")</f>
        <v/>
      </c>
      <c r="N2665" s="152">
        <f>IF(B2665="","",IF('02_대상물건입력'!B5="",1,IF(ISNUMBER(SEARCH('02_대상물건입력'!B5,B2665)),1,0)))</f>
        <v/>
      </c>
      <c r="O2665" s="152">
        <f>IF(B2665="","",IF('02_대상물건입력'!B6="",1,IF(ISNUMBER(SEARCH('02_대상물건입력'!B6,B2665)),1,0)))</f>
        <v/>
      </c>
      <c r="P2665" s="152">
        <f>IF(L2665="","",IF('02_대상물건입력'!B15="",0,IF(ISNUMBER(SEARCH('02_대상물건입력'!B15,L2665)),1,0)))</f>
        <v/>
      </c>
      <c r="Q2665" s="152">
        <f>IF(OR(C2665="",L2665=""),0,IF(AND(TRIM(C2665)=TRIM(RIGHT(SUBSTITUTE(TRIM('02_대상물건입력'!$B$7)," ",REPT(" ",99)),99)),IF('02_대상물건입력'!B15="",TRUE(),ISNUMBER(SEARCH('02_대상물건입력'!B15,L2665)))),1,0))</f>
        <v/>
      </c>
      <c r="R2665" s="175">
        <f>IFERROR(ABS(E2665-'02_대상물건입력'!B11)/'02_대상물건입력'!B11,"")</f>
        <v/>
      </c>
      <c r="S2665" s="152">
        <f>IFERROR(ABS(J2665-'02_대상물건입력'!B10),"")</f>
        <v/>
      </c>
      <c r="T2665" s="152">
        <f>IFERROR(ABS('01_설정'!B4-F2665),"")</f>
        <v/>
      </c>
      <c r="U2665" s="152">
        <f>IFERROR(ABS(K2665-YEAR('02_대상물건입력'!B14)),"")</f>
        <v/>
      </c>
      <c r="V2665" s="152">
        <f>IF(B2665="","",IF(AND(E2665&gt;0,F2665&gt;0,H2665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2665=1,TRUE()),R2665&lt;='01_설정'!B5,S2665&lt;='01_설정'!B6,T2665&lt;='01_설정'!B7,U2665&lt;='01_설정'!B8),"Y",""))</f>
        <v/>
      </c>
      <c r="W2665" s="172">
        <f>IF(V2665&lt;&gt;"Y","",MAX(0,(1-R2665/'01_설정'!B5))*'01_설정'!B14+MAX(0,(1-S2665/'01_설정'!B6))*'01_설정'!B15+MAX(0,(1-T2665/'01_설정'!B7))*'01_설정'!B16+MAX(0,(1-U2665/'01_설정'!B8))*'01_설정'!B17+O2665*'01_설정'!B11+Q2665*'01_설정'!B12+P2665*'01_설정'!B13+IF(Z2665="",0,Z2665))</f>
        <v/>
      </c>
      <c r="X2665" s="152">
        <f>IF(W2665="","",1+COUNTIFS($W$4:$W$3003,"&gt;"&amp;W2665)+COUNTIFS($W$4:W2665,W2665)-1)</f>
        <v/>
      </c>
      <c r="Y2665" s="175">
        <f>IF(OR(I2665="",'02_대상물건입력'!B19="",'02_대상물건입력'!B19&lt;=0),"",ABS(I2665-'02_대상물건입력'!B19)/'02_대상물건입력'!B19)</f>
        <v/>
      </c>
      <c r="Z2665" s="172">
        <f>IF(OR(Y2665="",'01_설정'!B31="",'01_설정'!B31&lt;=0,'01_설정'!B32="",'01_설정'!B32&lt;=0),"",MAX(0,(1-Y2665/'01_설정'!B32))*'01_설정'!B31)</f>
        <v/>
      </c>
    </row>
    <row r="2666" ht="17.25" customHeight="1">
      <c r="A2666" s="152">
        <f>IF(INDEX('04A_국토부원자료'!$A:$A,ROW()+1)="","",ROW()-3)</f>
        <v/>
      </c>
      <c r="B2666" s="48">
        <f>IFERROR(INDEX('04A_국토부원자료'!$A:$T,ROW()+1,MATCH("시군구",'04A_국토부원자료'!$A$4:$T$4,0)),"")</f>
        <v/>
      </c>
      <c r="C2666" s="48">
        <f>IF(B2666="","",IFERROR(INDEX('04A_국토부원자료'!$A:$T,ROW()+1,MATCH("번지",'04A_국토부원자료'!$A$4:$T$4,0)),""))</f>
        <v/>
      </c>
      <c r="D2666" s="48">
        <f>IF(B2666="","",IF(Q2666=1,'02_대상물건입력'!$B$8,IFERROR(INDEX('04A_국토부원자료'!$A:$T,ROW()+1,MATCH("단지명",'04A_국토부원자료'!$A$4:$T$4,0)),"")))</f>
        <v/>
      </c>
      <c r="E2666" s="172">
        <f>IFERROR(VALUE(SUBSTITUTE(INDEX('04A_국토부원자료'!$A:$T,ROW()+1,MATCH("전용면적(㎡)",'04A_국토부원자료'!$A$4:$T$4,0)),",","")),"")</f>
        <v/>
      </c>
      <c r="F26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66" s="51">
        <f>IFERROR(VALUE(SUBSTITUTE(INDEX('04A_국토부원자료'!$A:$T,ROW()+1,MATCH("거래금액(만원)",'04A_국토부원자료'!$A$4:$T$4,0)),",","")),"")</f>
        <v/>
      </c>
      <c r="H2666" s="174">
        <f>IF(G2666="","",G2666*10000)</f>
        <v/>
      </c>
      <c r="I2666" s="174">
        <f>IFERROR(IF(AND(H2666&gt;0,E2666&gt;0),H2666/E2666,""),"")</f>
        <v/>
      </c>
      <c r="J2666" s="152">
        <f>IFERROR(VALUE(SUBSTITUTE(INDEX('04A_국토부원자료'!$A:$T,ROW()+1,MATCH("층",'04A_국토부원자료'!$A$4:$T$4,0)),",","")),"")</f>
        <v/>
      </c>
      <c r="K2666" s="152">
        <f>IFERROR(VALUE(SUBSTITUTE(INDEX('04A_국토부원자료'!$A:$T,ROW()+1,MATCH("건축년도",'04A_국토부원자료'!$A$4:$T$4,0)),",","")),"")</f>
        <v/>
      </c>
      <c r="L2666" s="48">
        <f>IFERROR(INDEX('04A_국토부원자료'!$A:$T,ROW()+1,MATCH("도로명",'04A_국토부원자료'!$A$4:$T$4,0)),"")</f>
        <v/>
      </c>
      <c r="M2666" s="48">
        <f>IFERROR(INDEX('04A_국토부원자료'!$A:$T,ROW()+1,MATCH("거래유형",'04A_국토부원자료'!$A$4:$T$4,0)),"")</f>
        <v/>
      </c>
      <c r="N2666" s="152">
        <f>IF(B2666="","",IF('02_대상물건입력'!B5="",1,IF(ISNUMBER(SEARCH('02_대상물건입력'!B5,B2666)),1,0)))</f>
        <v/>
      </c>
      <c r="O2666" s="152">
        <f>IF(B2666="","",IF('02_대상물건입력'!B6="",1,IF(ISNUMBER(SEARCH('02_대상물건입력'!B6,B2666)),1,0)))</f>
        <v/>
      </c>
      <c r="P2666" s="152">
        <f>IF(L2666="","",IF('02_대상물건입력'!B15="",0,IF(ISNUMBER(SEARCH('02_대상물건입력'!B15,L2666)),1,0)))</f>
        <v/>
      </c>
      <c r="Q2666" s="152">
        <f>IF(OR(C2666="",L2666=""),0,IF(AND(TRIM(C2666)=TRIM(RIGHT(SUBSTITUTE(TRIM('02_대상물건입력'!$B$7)," ",REPT(" ",99)),99)),IF('02_대상물건입력'!B15="",TRUE(),ISNUMBER(SEARCH('02_대상물건입력'!B15,L2666)))),1,0))</f>
        <v/>
      </c>
      <c r="R2666" s="175">
        <f>IFERROR(ABS(E2666-'02_대상물건입력'!B11)/'02_대상물건입력'!B11,"")</f>
        <v/>
      </c>
      <c r="S2666" s="152">
        <f>IFERROR(ABS(J2666-'02_대상물건입력'!B10),"")</f>
        <v/>
      </c>
      <c r="T2666" s="152">
        <f>IFERROR(ABS('01_설정'!B4-F2666),"")</f>
        <v/>
      </c>
      <c r="U2666" s="152">
        <f>IFERROR(ABS(K2666-YEAR('02_대상물건입력'!B14)),"")</f>
        <v/>
      </c>
      <c r="V2666" s="152">
        <f>IF(B2666="","",IF(AND(E2666&gt;0,F2666&gt;0,H2666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2666=1,TRUE()),R2666&lt;='01_설정'!B5,S2666&lt;='01_설정'!B6,T2666&lt;='01_설정'!B7,U2666&lt;='01_설정'!B8),"Y",""))</f>
        <v/>
      </c>
      <c r="W2666" s="172">
        <f>IF(V2666&lt;&gt;"Y","",MAX(0,(1-R2666/'01_설정'!B5))*'01_설정'!B14+MAX(0,(1-S2666/'01_설정'!B6))*'01_설정'!B15+MAX(0,(1-T2666/'01_설정'!B7))*'01_설정'!B16+MAX(0,(1-U2666/'01_설정'!B8))*'01_설정'!B17+O2666*'01_설정'!B11+Q2666*'01_설정'!B12+P2666*'01_설정'!B13+IF(Z2666="",0,Z2666))</f>
        <v/>
      </c>
      <c r="X2666" s="152">
        <f>IF(W2666="","",1+COUNTIFS($W$4:$W$3003,"&gt;"&amp;W2666)+COUNTIFS($W$4:W2666,W2666)-1)</f>
        <v/>
      </c>
      <c r="Y2666" s="175">
        <f>IF(OR(I2666="",'02_대상물건입력'!B19="",'02_대상물건입력'!B19&lt;=0),"",ABS(I2666-'02_대상물건입력'!B19)/'02_대상물건입력'!B19)</f>
        <v/>
      </c>
      <c r="Z2666" s="172">
        <f>IF(OR(Y2666="",'01_설정'!B31="",'01_설정'!B31&lt;=0,'01_설정'!B32="",'01_설정'!B32&lt;=0),"",MAX(0,(1-Y2666/'01_설정'!B32))*'01_설정'!B31)</f>
        <v/>
      </c>
    </row>
    <row r="2667" ht="17.25" customHeight="1">
      <c r="A2667" s="152">
        <f>IF(INDEX('04A_국토부원자료'!$A:$A,ROW()+1)="","",ROW()-3)</f>
        <v/>
      </c>
      <c r="B2667" s="48">
        <f>IFERROR(INDEX('04A_국토부원자료'!$A:$T,ROW()+1,MATCH("시군구",'04A_국토부원자료'!$A$4:$T$4,0)),"")</f>
        <v/>
      </c>
      <c r="C2667" s="48">
        <f>IF(B2667="","",IFERROR(INDEX('04A_국토부원자료'!$A:$T,ROW()+1,MATCH("번지",'04A_국토부원자료'!$A$4:$T$4,0)),""))</f>
        <v/>
      </c>
      <c r="D2667" s="48">
        <f>IF(B2667="","",IF(Q2667=1,'02_대상물건입력'!$B$8,IFERROR(INDEX('04A_국토부원자료'!$A:$T,ROW()+1,MATCH("단지명",'04A_국토부원자료'!$A$4:$T$4,0)),"")))</f>
        <v/>
      </c>
      <c r="E2667" s="172">
        <f>IFERROR(VALUE(SUBSTITUTE(INDEX('04A_국토부원자료'!$A:$T,ROW()+1,MATCH("전용면적(㎡)",'04A_국토부원자료'!$A$4:$T$4,0)),",","")),"")</f>
        <v/>
      </c>
      <c r="F26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67" s="51">
        <f>IFERROR(VALUE(SUBSTITUTE(INDEX('04A_국토부원자료'!$A:$T,ROW()+1,MATCH("거래금액(만원)",'04A_국토부원자료'!$A$4:$T$4,0)),",","")),"")</f>
        <v/>
      </c>
      <c r="H2667" s="174">
        <f>IF(G2667="","",G2667*10000)</f>
        <v/>
      </c>
      <c r="I2667" s="174">
        <f>IFERROR(IF(AND(H2667&gt;0,E2667&gt;0),H2667/E2667,""),"")</f>
        <v/>
      </c>
      <c r="J2667" s="152">
        <f>IFERROR(VALUE(SUBSTITUTE(INDEX('04A_국토부원자료'!$A:$T,ROW()+1,MATCH("층",'04A_국토부원자료'!$A$4:$T$4,0)),",","")),"")</f>
        <v/>
      </c>
      <c r="K2667" s="152">
        <f>IFERROR(VALUE(SUBSTITUTE(INDEX('04A_국토부원자료'!$A:$T,ROW()+1,MATCH("건축년도",'04A_국토부원자료'!$A$4:$T$4,0)),",","")),"")</f>
        <v/>
      </c>
      <c r="L2667" s="48">
        <f>IFERROR(INDEX('04A_국토부원자료'!$A:$T,ROW()+1,MATCH("도로명",'04A_국토부원자료'!$A$4:$T$4,0)),"")</f>
        <v/>
      </c>
      <c r="M2667" s="48">
        <f>IFERROR(INDEX('04A_국토부원자료'!$A:$T,ROW()+1,MATCH("거래유형",'04A_국토부원자료'!$A$4:$T$4,0)),"")</f>
        <v/>
      </c>
      <c r="N2667" s="152">
        <f>IF(B2667="","",IF('02_대상물건입력'!B5="",1,IF(ISNUMBER(SEARCH('02_대상물건입력'!B5,B2667)),1,0)))</f>
        <v/>
      </c>
      <c r="O2667" s="152">
        <f>IF(B2667="","",IF('02_대상물건입력'!B6="",1,IF(ISNUMBER(SEARCH('02_대상물건입력'!B6,B2667)),1,0)))</f>
        <v/>
      </c>
      <c r="P2667" s="152">
        <f>IF(L2667="","",IF('02_대상물건입력'!B15="",0,IF(ISNUMBER(SEARCH('02_대상물건입력'!B15,L2667)),1,0)))</f>
        <v/>
      </c>
      <c r="Q2667" s="152">
        <f>IF(OR(C2667="",L2667=""),0,IF(AND(TRIM(C2667)=TRIM(RIGHT(SUBSTITUTE(TRIM('02_대상물건입력'!$B$7)," ",REPT(" ",99)),99)),IF('02_대상물건입력'!B15="",TRUE(),ISNUMBER(SEARCH('02_대상물건입력'!B15,L2667)))),1,0))</f>
        <v/>
      </c>
      <c r="R2667" s="175">
        <f>IFERROR(ABS(E2667-'02_대상물건입력'!B11)/'02_대상물건입력'!B11,"")</f>
        <v/>
      </c>
      <c r="S2667" s="152">
        <f>IFERROR(ABS(J2667-'02_대상물건입력'!B10),"")</f>
        <v/>
      </c>
      <c r="T2667" s="152">
        <f>IFERROR(ABS('01_설정'!B4-F2667),"")</f>
        <v/>
      </c>
      <c r="U2667" s="152">
        <f>IFERROR(ABS(K2667-YEAR('02_대상물건입력'!B14)),"")</f>
        <v/>
      </c>
      <c r="V2667" s="152">
        <f>IF(B2667="","",IF(AND(E2667&gt;0,F2667&gt;0,H2667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2667=1,TRUE()),R2667&lt;='01_설정'!B5,S2667&lt;='01_설정'!B6,T2667&lt;='01_설정'!B7,U2667&lt;='01_설정'!B8),"Y",""))</f>
        <v/>
      </c>
      <c r="W2667" s="172">
        <f>IF(V2667&lt;&gt;"Y","",MAX(0,(1-R2667/'01_설정'!B5))*'01_설정'!B14+MAX(0,(1-S2667/'01_설정'!B6))*'01_설정'!B15+MAX(0,(1-T2667/'01_설정'!B7))*'01_설정'!B16+MAX(0,(1-U2667/'01_설정'!B8))*'01_설정'!B17+O2667*'01_설정'!B11+Q2667*'01_설정'!B12+P2667*'01_설정'!B13+IF(Z2667="",0,Z2667))</f>
        <v/>
      </c>
      <c r="X2667" s="152">
        <f>IF(W2667="","",1+COUNTIFS($W$4:$W$3003,"&gt;"&amp;W2667)+COUNTIFS($W$4:W2667,W2667)-1)</f>
        <v/>
      </c>
      <c r="Y2667" s="175">
        <f>IF(OR(I2667="",'02_대상물건입력'!B19="",'02_대상물건입력'!B19&lt;=0),"",ABS(I2667-'02_대상물건입력'!B19)/'02_대상물건입력'!B19)</f>
        <v/>
      </c>
      <c r="Z2667" s="172">
        <f>IF(OR(Y2667="",'01_설정'!B31="",'01_설정'!B31&lt;=0,'01_설정'!B32="",'01_설정'!B32&lt;=0),"",MAX(0,(1-Y2667/'01_설정'!B32))*'01_설정'!B31)</f>
        <v/>
      </c>
    </row>
    <row r="2668" ht="17.25" customHeight="1">
      <c r="A2668" s="152">
        <f>IF(INDEX('04A_국토부원자료'!$A:$A,ROW()+1)="","",ROW()-3)</f>
        <v/>
      </c>
      <c r="B2668" s="48">
        <f>IFERROR(INDEX('04A_국토부원자료'!$A:$T,ROW()+1,MATCH("시군구",'04A_국토부원자료'!$A$4:$T$4,0)),"")</f>
        <v/>
      </c>
      <c r="C2668" s="48">
        <f>IF(B2668="","",IFERROR(INDEX('04A_국토부원자료'!$A:$T,ROW()+1,MATCH("번지",'04A_국토부원자료'!$A$4:$T$4,0)),""))</f>
        <v/>
      </c>
      <c r="D2668" s="48">
        <f>IF(B2668="","",IF(Q2668=1,'02_대상물건입력'!$B$8,IFERROR(INDEX('04A_국토부원자료'!$A:$T,ROW()+1,MATCH("단지명",'04A_국토부원자료'!$A$4:$T$4,0)),"")))</f>
        <v/>
      </c>
      <c r="E2668" s="172">
        <f>IFERROR(VALUE(SUBSTITUTE(INDEX('04A_국토부원자료'!$A:$T,ROW()+1,MATCH("전용면적(㎡)",'04A_국토부원자료'!$A$4:$T$4,0)),",","")),"")</f>
        <v/>
      </c>
      <c r="F26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68" s="51">
        <f>IFERROR(VALUE(SUBSTITUTE(INDEX('04A_국토부원자료'!$A:$T,ROW()+1,MATCH("거래금액(만원)",'04A_국토부원자료'!$A$4:$T$4,0)),",","")),"")</f>
        <v/>
      </c>
      <c r="H2668" s="174">
        <f>IF(G2668="","",G2668*10000)</f>
        <v/>
      </c>
      <c r="I2668" s="174">
        <f>IFERROR(IF(AND(H2668&gt;0,E2668&gt;0),H2668/E2668,""),"")</f>
        <v/>
      </c>
      <c r="J2668" s="152">
        <f>IFERROR(VALUE(SUBSTITUTE(INDEX('04A_국토부원자료'!$A:$T,ROW()+1,MATCH("층",'04A_국토부원자료'!$A$4:$T$4,0)),",","")),"")</f>
        <v/>
      </c>
      <c r="K2668" s="152">
        <f>IFERROR(VALUE(SUBSTITUTE(INDEX('04A_국토부원자료'!$A:$T,ROW()+1,MATCH("건축년도",'04A_국토부원자료'!$A$4:$T$4,0)),",","")),"")</f>
        <v/>
      </c>
      <c r="L2668" s="48">
        <f>IFERROR(INDEX('04A_국토부원자료'!$A:$T,ROW()+1,MATCH("도로명",'04A_국토부원자료'!$A$4:$T$4,0)),"")</f>
        <v/>
      </c>
      <c r="M2668" s="48">
        <f>IFERROR(INDEX('04A_국토부원자료'!$A:$T,ROW()+1,MATCH("거래유형",'04A_국토부원자료'!$A$4:$T$4,0)),"")</f>
        <v/>
      </c>
      <c r="N2668" s="152">
        <f>IF(B2668="","",IF('02_대상물건입력'!B5="",1,IF(ISNUMBER(SEARCH('02_대상물건입력'!B5,B2668)),1,0)))</f>
        <v/>
      </c>
      <c r="O2668" s="152">
        <f>IF(B2668="","",IF('02_대상물건입력'!B6="",1,IF(ISNUMBER(SEARCH('02_대상물건입력'!B6,B2668)),1,0)))</f>
        <v/>
      </c>
      <c r="P2668" s="152">
        <f>IF(L2668="","",IF('02_대상물건입력'!B15="",0,IF(ISNUMBER(SEARCH('02_대상물건입력'!B15,L2668)),1,0)))</f>
        <v/>
      </c>
      <c r="Q2668" s="152">
        <f>IF(OR(C2668="",L2668=""),0,IF(AND(TRIM(C2668)=TRIM(RIGHT(SUBSTITUTE(TRIM('02_대상물건입력'!$B$7)," ",REPT(" ",99)),99)),IF('02_대상물건입력'!B15="",TRUE(),ISNUMBER(SEARCH('02_대상물건입력'!B15,L2668)))),1,0))</f>
        <v/>
      </c>
      <c r="R2668" s="175">
        <f>IFERROR(ABS(E2668-'02_대상물건입력'!B11)/'02_대상물건입력'!B11,"")</f>
        <v/>
      </c>
      <c r="S2668" s="152">
        <f>IFERROR(ABS(J2668-'02_대상물건입력'!B10),"")</f>
        <v/>
      </c>
      <c r="T2668" s="152">
        <f>IFERROR(ABS('01_설정'!B4-F2668),"")</f>
        <v/>
      </c>
      <c r="U2668" s="152">
        <f>IFERROR(ABS(K2668-YEAR('02_대상물건입력'!B14)),"")</f>
        <v/>
      </c>
      <c r="V2668" s="152">
        <f>IF(B2668="","",IF(AND(E2668&gt;0,F2668&gt;0,H2668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2668=1,TRUE()),R2668&lt;='01_설정'!B5,S2668&lt;='01_설정'!B6,T2668&lt;='01_설정'!B7,U2668&lt;='01_설정'!B8),"Y",""))</f>
        <v/>
      </c>
      <c r="W2668" s="172">
        <f>IF(V2668&lt;&gt;"Y","",MAX(0,(1-R2668/'01_설정'!B5))*'01_설정'!B14+MAX(0,(1-S2668/'01_설정'!B6))*'01_설정'!B15+MAX(0,(1-T2668/'01_설정'!B7))*'01_설정'!B16+MAX(0,(1-U2668/'01_설정'!B8))*'01_설정'!B17+O2668*'01_설정'!B11+Q2668*'01_설정'!B12+P2668*'01_설정'!B13+IF(Z2668="",0,Z2668))</f>
        <v/>
      </c>
      <c r="X2668" s="152">
        <f>IF(W2668="","",1+COUNTIFS($W$4:$W$3003,"&gt;"&amp;W2668)+COUNTIFS($W$4:W2668,W2668)-1)</f>
        <v/>
      </c>
      <c r="Y2668" s="175">
        <f>IF(OR(I2668="",'02_대상물건입력'!B19="",'02_대상물건입력'!B19&lt;=0),"",ABS(I2668-'02_대상물건입력'!B19)/'02_대상물건입력'!B19)</f>
        <v/>
      </c>
      <c r="Z2668" s="172">
        <f>IF(OR(Y2668="",'01_설정'!B31="",'01_설정'!B31&lt;=0,'01_설정'!B32="",'01_설정'!B32&lt;=0),"",MAX(0,(1-Y2668/'01_설정'!B32))*'01_설정'!B31)</f>
        <v/>
      </c>
    </row>
    <row r="2669" ht="17.25" customHeight="1">
      <c r="A2669" s="152">
        <f>IF(INDEX('04A_국토부원자료'!$A:$A,ROW()+1)="","",ROW()-3)</f>
        <v/>
      </c>
      <c r="B2669" s="48">
        <f>IFERROR(INDEX('04A_국토부원자료'!$A:$T,ROW()+1,MATCH("시군구",'04A_국토부원자료'!$A$4:$T$4,0)),"")</f>
        <v/>
      </c>
      <c r="C2669" s="48">
        <f>IF(B2669="","",IFERROR(INDEX('04A_국토부원자료'!$A:$T,ROW()+1,MATCH("번지",'04A_국토부원자료'!$A$4:$T$4,0)),""))</f>
        <v/>
      </c>
      <c r="D2669" s="48">
        <f>IF(B2669="","",IF(Q2669=1,'02_대상물건입력'!$B$8,IFERROR(INDEX('04A_국토부원자료'!$A:$T,ROW()+1,MATCH("단지명",'04A_국토부원자료'!$A$4:$T$4,0)),"")))</f>
        <v/>
      </c>
      <c r="E2669" s="172">
        <f>IFERROR(VALUE(SUBSTITUTE(INDEX('04A_국토부원자료'!$A:$T,ROW()+1,MATCH("전용면적(㎡)",'04A_국토부원자료'!$A$4:$T$4,0)),",","")),"")</f>
        <v/>
      </c>
      <c r="F26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69" s="51">
        <f>IFERROR(VALUE(SUBSTITUTE(INDEX('04A_국토부원자료'!$A:$T,ROW()+1,MATCH("거래금액(만원)",'04A_국토부원자료'!$A$4:$T$4,0)),",","")),"")</f>
        <v/>
      </c>
      <c r="H2669" s="174">
        <f>IF(G2669="","",G2669*10000)</f>
        <v/>
      </c>
      <c r="I2669" s="174">
        <f>IFERROR(IF(AND(H2669&gt;0,E2669&gt;0),H2669/E2669,""),"")</f>
        <v/>
      </c>
      <c r="J2669" s="152">
        <f>IFERROR(VALUE(SUBSTITUTE(INDEX('04A_국토부원자료'!$A:$T,ROW()+1,MATCH("층",'04A_국토부원자료'!$A$4:$T$4,0)),",","")),"")</f>
        <v/>
      </c>
      <c r="K2669" s="152">
        <f>IFERROR(VALUE(SUBSTITUTE(INDEX('04A_국토부원자료'!$A:$T,ROW()+1,MATCH("건축년도",'04A_국토부원자료'!$A$4:$T$4,0)),",","")),"")</f>
        <v/>
      </c>
      <c r="L2669" s="48">
        <f>IFERROR(INDEX('04A_국토부원자료'!$A:$T,ROW()+1,MATCH("도로명",'04A_국토부원자료'!$A$4:$T$4,0)),"")</f>
        <v/>
      </c>
      <c r="M2669" s="48">
        <f>IFERROR(INDEX('04A_국토부원자료'!$A:$T,ROW()+1,MATCH("거래유형",'04A_국토부원자료'!$A$4:$T$4,0)),"")</f>
        <v/>
      </c>
      <c r="N2669" s="152">
        <f>IF(B2669="","",IF('02_대상물건입력'!B5="",1,IF(ISNUMBER(SEARCH('02_대상물건입력'!B5,B2669)),1,0)))</f>
        <v/>
      </c>
      <c r="O2669" s="152">
        <f>IF(B2669="","",IF('02_대상물건입력'!B6="",1,IF(ISNUMBER(SEARCH('02_대상물건입력'!B6,B2669)),1,0)))</f>
        <v/>
      </c>
      <c r="P2669" s="152">
        <f>IF(L2669="","",IF('02_대상물건입력'!B15="",0,IF(ISNUMBER(SEARCH('02_대상물건입력'!B15,L2669)),1,0)))</f>
        <v/>
      </c>
      <c r="Q2669" s="152">
        <f>IF(OR(C2669="",L2669=""),0,IF(AND(TRIM(C2669)=TRIM(RIGHT(SUBSTITUTE(TRIM('02_대상물건입력'!$B$7)," ",REPT(" ",99)),99)),IF('02_대상물건입력'!B15="",TRUE(),ISNUMBER(SEARCH('02_대상물건입력'!B15,L2669)))),1,0))</f>
        <v/>
      </c>
      <c r="R2669" s="175">
        <f>IFERROR(ABS(E2669-'02_대상물건입력'!B11)/'02_대상물건입력'!B11,"")</f>
        <v/>
      </c>
      <c r="S2669" s="152">
        <f>IFERROR(ABS(J2669-'02_대상물건입력'!B10),"")</f>
        <v/>
      </c>
      <c r="T2669" s="152">
        <f>IFERROR(ABS('01_설정'!B4-F2669),"")</f>
        <v/>
      </c>
      <c r="U2669" s="152">
        <f>IFERROR(ABS(K2669-YEAR('02_대상물건입력'!B14)),"")</f>
        <v/>
      </c>
      <c r="V2669" s="152">
        <f>IF(B2669="","",IF(AND(E2669&gt;0,F2669&gt;0,H2669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2669=1,TRUE()),R2669&lt;='01_설정'!B5,S2669&lt;='01_설정'!B6,T2669&lt;='01_설정'!B7,U2669&lt;='01_설정'!B8),"Y",""))</f>
        <v/>
      </c>
      <c r="W2669" s="172">
        <f>IF(V2669&lt;&gt;"Y","",MAX(0,(1-R2669/'01_설정'!B5))*'01_설정'!B14+MAX(0,(1-S2669/'01_설정'!B6))*'01_설정'!B15+MAX(0,(1-T2669/'01_설정'!B7))*'01_설정'!B16+MAX(0,(1-U2669/'01_설정'!B8))*'01_설정'!B17+O2669*'01_설정'!B11+Q2669*'01_설정'!B12+P2669*'01_설정'!B13+IF(Z2669="",0,Z2669))</f>
        <v/>
      </c>
      <c r="X2669" s="152">
        <f>IF(W2669="","",1+COUNTIFS($W$4:$W$3003,"&gt;"&amp;W2669)+COUNTIFS($W$4:W2669,W2669)-1)</f>
        <v/>
      </c>
      <c r="Y2669" s="175">
        <f>IF(OR(I2669="",'02_대상물건입력'!B19="",'02_대상물건입력'!B19&lt;=0),"",ABS(I2669-'02_대상물건입력'!B19)/'02_대상물건입력'!B19)</f>
        <v/>
      </c>
      <c r="Z2669" s="172">
        <f>IF(OR(Y2669="",'01_설정'!B31="",'01_설정'!B31&lt;=0,'01_설정'!B32="",'01_설정'!B32&lt;=0),"",MAX(0,(1-Y2669/'01_설정'!B32))*'01_설정'!B31)</f>
        <v/>
      </c>
    </row>
    <row r="2670" ht="17.25" customHeight="1">
      <c r="A2670" s="152">
        <f>IF(INDEX('04A_국토부원자료'!$A:$A,ROW()+1)="","",ROW()-3)</f>
        <v/>
      </c>
      <c r="B2670" s="48">
        <f>IFERROR(INDEX('04A_국토부원자료'!$A:$T,ROW()+1,MATCH("시군구",'04A_국토부원자료'!$A$4:$T$4,0)),"")</f>
        <v/>
      </c>
      <c r="C2670" s="48">
        <f>IF(B2670="","",IFERROR(INDEX('04A_국토부원자료'!$A:$T,ROW()+1,MATCH("번지",'04A_국토부원자료'!$A$4:$T$4,0)),""))</f>
        <v/>
      </c>
      <c r="D2670" s="48">
        <f>IF(B2670="","",IF(Q2670=1,'02_대상물건입력'!$B$8,IFERROR(INDEX('04A_국토부원자료'!$A:$T,ROW()+1,MATCH("단지명",'04A_국토부원자료'!$A$4:$T$4,0)),"")))</f>
        <v/>
      </c>
      <c r="E2670" s="172">
        <f>IFERROR(VALUE(SUBSTITUTE(INDEX('04A_국토부원자료'!$A:$T,ROW()+1,MATCH("전용면적(㎡)",'04A_국토부원자료'!$A$4:$T$4,0)),",","")),"")</f>
        <v/>
      </c>
      <c r="F26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70" s="51">
        <f>IFERROR(VALUE(SUBSTITUTE(INDEX('04A_국토부원자료'!$A:$T,ROW()+1,MATCH("거래금액(만원)",'04A_국토부원자료'!$A$4:$T$4,0)),",","")),"")</f>
        <v/>
      </c>
      <c r="H2670" s="174">
        <f>IF(G2670="","",G2670*10000)</f>
        <v/>
      </c>
      <c r="I2670" s="174">
        <f>IFERROR(IF(AND(H2670&gt;0,E2670&gt;0),H2670/E2670,""),"")</f>
        <v/>
      </c>
      <c r="J2670" s="152">
        <f>IFERROR(VALUE(SUBSTITUTE(INDEX('04A_국토부원자료'!$A:$T,ROW()+1,MATCH("층",'04A_국토부원자료'!$A$4:$T$4,0)),",","")),"")</f>
        <v/>
      </c>
      <c r="K2670" s="152">
        <f>IFERROR(VALUE(SUBSTITUTE(INDEX('04A_국토부원자료'!$A:$T,ROW()+1,MATCH("건축년도",'04A_국토부원자료'!$A$4:$T$4,0)),",","")),"")</f>
        <v/>
      </c>
      <c r="L2670" s="48">
        <f>IFERROR(INDEX('04A_국토부원자료'!$A:$T,ROW()+1,MATCH("도로명",'04A_국토부원자료'!$A$4:$T$4,0)),"")</f>
        <v/>
      </c>
      <c r="M2670" s="48">
        <f>IFERROR(INDEX('04A_국토부원자료'!$A:$T,ROW()+1,MATCH("거래유형",'04A_국토부원자료'!$A$4:$T$4,0)),"")</f>
        <v/>
      </c>
      <c r="N2670" s="152">
        <f>IF(B2670="","",IF('02_대상물건입력'!B5="",1,IF(ISNUMBER(SEARCH('02_대상물건입력'!B5,B2670)),1,0)))</f>
        <v/>
      </c>
      <c r="O2670" s="152">
        <f>IF(B2670="","",IF('02_대상물건입력'!B6="",1,IF(ISNUMBER(SEARCH('02_대상물건입력'!B6,B2670)),1,0)))</f>
        <v/>
      </c>
      <c r="P2670" s="152">
        <f>IF(L2670="","",IF('02_대상물건입력'!B15="",0,IF(ISNUMBER(SEARCH('02_대상물건입력'!B15,L2670)),1,0)))</f>
        <v/>
      </c>
      <c r="Q2670" s="152">
        <f>IF(OR(C2670="",L2670=""),0,IF(AND(TRIM(C2670)=TRIM(RIGHT(SUBSTITUTE(TRIM('02_대상물건입력'!$B$7)," ",REPT(" ",99)),99)),IF('02_대상물건입력'!B15="",TRUE(),ISNUMBER(SEARCH('02_대상물건입력'!B15,L2670)))),1,0))</f>
        <v/>
      </c>
      <c r="R2670" s="175">
        <f>IFERROR(ABS(E2670-'02_대상물건입력'!B11)/'02_대상물건입력'!B11,"")</f>
        <v/>
      </c>
      <c r="S2670" s="152">
        <f>IFERROR(ABS(J2670-'02_대상물건입력'!B10),"")</f>
        <v/>
      </c>
      <c r="T2670" s="152">
        <f>IFERROR(ABS('01_설정'!B4-F2670),"")</f>
        <v/>
      </c>
      <c r="U2670" s="152">
        <f>IFERROR(ABS(K2670-YEAR('02_대상물건입력'!B14)),"")</f>
        <v/>
      </c>
      <c r="V2670" s="152">
        <f>IF(B2670="","",IF(AND(E2670&gt;0,F2670&gt;0,H2670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2670=1,TRUE()),R2670&lt;='01_설정'!B5,S2670&lt;='01_설정'!B6,T2670&lt;='01_설정'!B7,U2670&lt;='01_설정'!B8),"Y",""))</f>
        <v/>
      </c>
      <c r="W2670" s="172">
        <f>IF(V2670&lt;&gt;"Y","",MAX(0,(1-R2670/'01_설정'!B5))*'01_설정'!B14+MAX(0,(1-S2670/'01_설정'!B6))*'01_설정'!B15+MAX(0,(1-T2670/'01_설정'!B7))*'01_설정'!B16+MAX(0,(1-U2670/'01_설정'!B8))*'01_설정'!B17+O2670*'01_설정'!B11+Q2670*'01_설정'!B12+P2670*'01_설정'!B13+IF(Z2670="",0,Z2670))</f>
        <v/>
      </c>
      <c r="X2670" s="152">
        <f>IF(W2670="","",1+COUNTIFS($W$4:$W$3003,"&gt;"&amp;W2670)+COUNTIFS($W$4:W2670,W2670)-1)</f>
        <v/>
      </c>
      <c r="Y2670" s="175">
        <f>IF(OR(I2670="",'02_대상물건입력'!B19="",'02_대상물건입력'!B19&lt;=0),"",ABS(I2670-'02_대상물건입력'!B19)/'02_대상물건입력'!B19)</f>
        <v/>
      </c>
      <c r="Z2670" s="172">
        <f>IF(OR(Y2670="",'01_설정'!B31="",'01_설정'!B31&lt;=0,'01_설정'!B32="",'01_설정'!B32&lt;=0),"",MAX(0,(1-Y2670/'01_설정'!B32))*'01_설정'!B31)</f>
        <v/>
      </c>
    </row>
    <row r="2671" ht="17.25" customHeight="1">
      <c r="A2671" s="152">
        <f>IF(INDEX('04A_국토부원자료'!$A:$A,ROW()+1)="","",ROW()-3)</f>
        <v/>
      </c>
      <c r="B2671" s="48">
        <f>IFERROR(INDEX('04A_국토부원자료'!$A:$T,ROW()+1,MATCH("시군구",'04A_국토부원자료'!$A$4:$T$4,0)),"")</f>
        <v/>
      </c>
      <c r="C2671" s="48">
        <f>IF(B2671="","",IFERROR(INDEX('04A_국토부원자료'!$A:$T,ROW()+1,MATCH("번지",'04A_국토부원자료'!$A$4:$T$4,0)),""))</f>
        <v/>
      </c>
      <c r="D2671" s="48">
        <f>IF(B2671="","",IF(Q2671=1,'02_대상물건입력'!$B$8,IFERROR(INDEX('04A_국토부원자료'!$A:$T,ROW()+1,MATCH("단지명",'04A_국토부원자료'!$A$4:$T$4,0)),"")))</f>
        <v/>
      </c>
      <c r="E2671" s="172">
        <f>IFERROR(VALUE(SUBSTITUTE(INDEX('04A_국토부원자료'!$A:$T,ROW()+1,MATCH("전용면적(㎡)",'04A_국토부원자료'!$A$4:$T$4,0)),",","")),"")</f>
        <v/>
      </c>
      <c r="F26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71" s="51">
        <f>IFERROR(VALUE(SUBSTITUTE(INDEX('04A_국토부원자료'!$A:$T,ROW()+1,MATCH("거래금액(만원)",'04A_국토부원자료'!$A$4:$T$4,0)),",","")),"")</f>
        <v/>
      </c>
      <c r="H2671" s="174">
        <f>IF(G2671="","",G2671*10000)</f>
        <v/>
      </c>
      <c r="I2671" s="174">
        <f>IFERROR(IF(AND(H2671&gt;0,E2671&gt;0),H2671/E2671,""),"")</f>
        <v/>
      </c>
      <c r="J2671" s="152">
        <f>IFERROR(VALUE(SUBSTITUTE(INDEX('04A_국토부원자료'!$A:$T,ROW()+1,MATCH("층",'04A_국토부원자료'!$A$4:$T$4,0)),",","")),"")</f>
        <v/>
      </c>
      <c r="K2671" s="152">
        <f>IFERROR(VALUE(SUBSTITUTE(INDEX('04A_국토부원자료'!$A:$T,ROW()+1,MATCH("건축년도",'04A_국토부원자료'!$A$4:$T$4,0)),",","")),"")</f>
        <v/>
      </c>
      <c r="L2671" s="48">
        <f>IFERROR(INDEX('04A_국토부원자료'!$A:$T,ROW()+1,MATCH("도로명",'04A_국토부원자료'!$A$4:$T$4,0)),"")</f>
        <v/>
      </c>
      <c r="M2671" s="48">
        <f>IFERROR(INDEX('04A_국토부원자료'!$A:$T,ROW()+1,MATCH("거래유형",'04A_국토부원자료'!$A$4:$T$4,0)),"")</f>
        <v/>
      </c>
      <c r="N2671" s="152">
        <f>IF(B2671="","",IF('02_대상물건입력'!B5="",1,IF(ISNUMBER(SEARCH('02_대상물건입력'!B5,B2671)),1,0)))</f>
        <v/>
      </c>
      <c r="O2671" s="152">
        <f>IF(B2671="","",IF('02_대상물건입력'!B6="",1,IF(ISNUMBER(SEARCH('02_대상물건입력'!B6,B2671)),1,0)))</f>
        <v/>
      </c>
      <c r="P2671" s="152">
        <f>IF(L2671="","",IF('02_대상물건입력'!B15="",0,IF(ISNUMBER(SEARCH('02_대상물건입력'!B15,L2671)),1,0)))</f>
        <v/>
      </c>
      <c r="Q2671" s="152">
        <f>IF(OR(C2671="",L2671=""),0,IF(AND(TRIM(C2671)=TRIM(RIGHT(SUBSTITUTE(TRIM('02_대상물건입력'!$B$7)," ",REPT(" ",99)),99)),IF('02_대상물건입력'!B15="",TRUE(),ISNUMBER(SEARCH('02_대상물건입력'!B15,L2671)))),1,0))</f>
        <v/>
      </c>
      <c r="R2671" s="175">
        <f>IFERROR(ABS(E2671-'02_대상물건입력'!B11)/'02_대상물건입력'!B11,"")</f>
        <v/>
      </c>
      <c r="S2671" s="152">
        <f>IFERROR(ABS(J2671-'02_대상물건입력'!B10),"")</f>
        <v/>
      </c>
      <c r="T2671" s="152">
        <f>IFERROR(ABS('01_설정'!B4-F2671),"")</f>
        <v/>
      </c>
      <c r="U2671" s="152">
        <f>IFERROR(ABS(K2671-YEAR('02_대상물건입력'!B14)),"")</f>
        <v/>
      </c>
      <c r="V2671" s="152">
        <f>IF(B2671="","",IF(AND(E2671&gt;0,F2671&gt;0,H2671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2671=1,TRUE()),R2671&lt;='01_설정'!B5,S2671&lt;='01_설정'!B6,T2671&lt;='01_설정'!B7,U2671&lt;='01_설정'!B8),"Y",""))</f>
        <v/>
      </c>
      <c r="W2671" s="172">
        <f>IF(V2671&lt;&gt;"Y","",MAX(0,(1-R2671/'01_설정'!B5))*'01_설정'!B14+MAX(0,(1-S2671/'01_설정'!B6))*'01_설정'!B15+MAX(0,(1-T2671/'01_설정'!B7))*'01_설정'!B16+MAX(0,(1-U2671/'01_설정'!B8))*'01_설정'!B17+O2671*'01_설정'!B11+Q2671*'01_설정'!B12+P2671*'01_설정'!B13+IF(Z2671="",0,Z2671))</f>
        <v/>
      </c>
      <c r="X2671" s="152">
        <f>IF(W2671="","",1+COUNTIFS($W$4:$W$3003,"&gt;"&amp;W2671)+COUNTIFS($W$4:W2671,W2671)-1)</f>
        <v/>
      </c>
      <c r="Y2671" s="175">
        <f>IF(OR(I2671="",'02_대상물건입력'!B19="",'02_대상물건입력'!B19&lt;=0),"",ABS(I2671-'02_대상물건입력'!B19)/'02_대상물건입력'!B19)</f>
        <v/>
      </c>
      <c r="Z2671" s="172">
        <f>IF(OR(Y2671="",'01_설정'!B31="",'01_설정'!B31&lt;=0,'01_설정'!B32="",'01_설정'!B32&lt;=0),"",MAX(0,(1-Y2671/'01_설정'!B32))*'01_설정'!B31)</f>
        <v/>
      </c>
    </row>
    <row r="2672" ht="17.25" customHeight="1">
      <c r="A2672" s="152">
        <f>IF(INDEX('04A_국토부원자료'!$A:$A,ROW()+1)="","",ROW()-3)</f>
        <v/>
      </c>
      <c r="B2672" s="48">
        <f>IFERROR(INDEX('04A_국토부원자료'!$A:$T,ROW()+1,MATCH("시군구",'04A_국토부원자료'!$A$4:$T$4,0)),"")</f>
        <v/>
      </c>
      <c r="C2672" s="48">
        <f>IF(B2672="","",IFERROR(INDEX('04A_국토부원자료'!$A:$T,ROW()+1,MATCH("번지",'04A_국토부원자료'!$A$4:$T$4,0)),""))</f>
        <v/>
      </c>
      <c r="D2672" s="48">
        <f>IF(B2672="","",IF(Q2672=1,'02_대상물건입력'!$B$8,IFERROR(INDEX('04A_국토부원자료'!$A:$T,ROW()+1,MATCH("단지명",'04A_국토부원자료'!$A$4:$T$4,0)),"")))</f>
        <v/>
      </c>
      <c r="E2672" s="172">
        <f>IFERROR(VALUE(SUBSTITUTE(INDEX('04A_국토부원자료'!$A:$T,ROW()+1,MATCH("전용면적(㎡)",'04A_국토부원자료'!$A$4:$T$4,0)),",","")),"")</f>
        <v/>
      </c>
      <c r="F26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72" s="51">
        <f>IFERROR(VALUE(SUBSTITUTE(INDEX('04A_국토부원자료'!$A:$T,ROW()+1,MATCH("거래금액(만원)",'04A_국토부원자료'!$A$4:$T$4,0)),",","")),"")</f>
        <v/>
      </c>
      <c r="H2672" s="174">
        <f>IF(G2672="","",G2672*10000)</f>
        <v/>
      </c>
      <c r="I2672" s="174">
        <f>IFERROR(IF(AND(H2672&gt;0,E2672&gt;0),H2672/E2672,""),"")</f>
        <v/>
      </c>
      <c r="J2672" s="152">
        <f>IFERROR(VALUE(SUBSTITUTE(INDEX('04A_국토부원자료'!$A:$T,ROW()+1,MATCH("층",'04A_국토부원자료'!$A$4:$T$4,0)),",","")),"")</f>
        <v/>
      </c>
      <c r="K2672" s="152">
        <f>IFERROR(VALUE(SUBSTITUTE(INDEX('04A_국토부원자료'!$A:$T,ROW()+1,MATCH("건축년도",'04A_국토부원자료'!$A$4:$T$4,0)),",","")),"")</f>
        <v/>
      </c>
      <c r="L2672" s="48">
        <f>IFERROR(INDEX('04A_국토부원자료'!$A:$T,ROW()+1,MATCH("도로명",'04A_국토부원자료'!$A$4:$T$4,0)),"")</f>
        <v/>
      </c>
      <c r="M2672" s="48">
        <f>IFERROR(INDEX('04A_국토부원자료'!$A:$T,ROW()+1,MATCH("거래유형",'04A_국토부원자료'!$A$4:$T$4,0)),"")</f>
        <v/>
      </c>
      <c r="N2672" s="152">
        <f>IF(B2672="","",IF('02_대상물건입력'!B5="",1,IF(ISNUMBER(SEARCH('02_대상물건입력'!B5,B2672)),1,0)))</f>
        <v/>
      </c>
      <c r="O2672" s="152">
        <f>IF(B2672="","",IF('02_대상물건입력'!B6="",1,IF(ISNUMBER(SEARCH('02_대상물건입력'!B6,B2672)),1,0)))</f>
        <v/>
      </c>
      <c r="P2672" s="152">
        <f>IF(L2672="","",IF('02_대상물건입력'!B15="",0,IF(ISNUMBER(SEARCH('02_대상물건입력'!B15,L2672)),1,0)))</f>
        <v/>
      </c>
      <c r="Q2672" s="152">
        <f>IF(OR(C2672="",L2672=""),0,IF(AND(TRIM(C2672)=TRIM(RIGHT(SUBSTITUTE(TRIM('02_대상물건입력'!$B$7)," ",REPT(" ",99)),99)),IF('02_대상물건입력'!B15="",TRUE(),ISNUMBER(SEARCH('02_대상물건입력'!B15,L2672)))),1,0))</f>
        <v/>
      </c>
      <c r="R2672" s="175">
        <f>IFERROR(ABS(E2672-'02_대상물건입력'!B11)/'02_대상물건입력'!B11,"")</f>
        <v/>
      </c>
      <c r="S2672" s="152">
        <f>IFERROR(ABS(J2672-'02_대상물건입력'!B10),"")</f>
        <v/>
      </c>
      <c r="T2672" s="152">
        <f>IFERROR(ABS('01_설정'!B4-F2672),"")</f>
        <v/>
      </c>
      <c r="U2672" s="152">
        <f>IFERROR(ABS(K2672-YEAR('02_대상물건입력'!B14)),"")</f>
        <v/>
      </c>
      <c r="V2672" s="152">
        <f>IF(B2672="","",IF(AND(E2672&gt;0,F2672&gt;0,H2672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2672=1,TRUE()),R2672&lt;='01_설정'!B5,S2672&lt;='01_설정'!B6,T2672&lt;='01_설정'!B7,U2672&lt;='01_설정'!B8),"Y",""))</f>
        <v/>
      </c>
      <c r="W2672" s="172">
        <f>IF(V2672&lt;&gt;"Y","",MAX(0,(1-R2672/'01_설정'!B5))*'01_설정'!B14+MAX(0,(1-S2672/'01_설정'!B6))*'01_설정'!B15+MAX(0,(1-T2672/'01_설정'!B7))*'01_설정'!B16+MAX(0,(1-U2672/'01_설정'!B8))*'01_설정'!B17+O2672*'01_설정'!B11+Q2672*'01_설정'!B12+P2672*'01_설정'!B13+IF(Z2672="",0,Z2672))</f>
        <v/>
      </c>
      <c r="X2672" s="152">
        <f>IF(W2672="","",1+COUNTIFS($W$4:$W$3003,"&gt;"&amp;W2672)+COUNTIFS($W$4:W2672,W2672)-1)</f>
        <v/>
      </c>
      <c r="Y2672" s="175">
        <f>IF(OR(I2672="",'02_대상물건입력'!B19="",'02_대상물건입력'!B19&lt;=0),"",ABS(I2672-'02_대상물건입력'!B19)/'02_대상물건입력'!B19)</f>
        <v/>
      </c>
      <c r="Z2672" s="172">
        <f>IF(OR(Y2672="",'01_설정'!B31="",'01_설정'!B31&lt;=0,'01_설정'!B32="",'01_설정'!B32&lt;=0),"",MAX(0,(1-Y2672/'01_설정'!B32))*'01_설정'!B31)</f>
        <v/>
      </c>
    </row>
    <row r="2673" ht="17.25" customHeight="1">
      <c r="A2673" s="152">
        <f>IF(INDEX('04A_국토부원자료'!$A:$A,ROW()+1)="","",ROW()-3)</f>
        <v/>
      </c>
      <c r="B2673" s="48">
        <f>IFERROR(INDEX('04A_국토부원자료'!$A:$T,ROW()+1,MATCH("시군구",'04A_국토부원자료'!$A$4:$T$4,0)),"")</f>
        <v/>
      </c>
      <c r="C2673" s="48">
        <f>IF(B2673="","",IFERROR(INDEX('04A_국토부원자료'!$A:$T,ROW()+1,MATCH("번지",'04A_국토부원자료'!$A$4:$T$4,0)),""))</f>
        <v/>
      </c>
      <c r="D2673" s="48">
        <f>IF(B2673="","",IF(Q2673=1,'02_대상물건입력'!$B$8,IFERROR(INDEX('04A_국토부원자료'!$A:$T,ROW()+1,MATCH("단지명",'04A_국토부원자료'!$A$4:$T$4,0)),"")))</f>
        <v/>
      </c>
      <c r="E2673" s="172">
        <f>IFERROR(VALUE(SUBSTITUTE(INDEX('04A_국토부원자료'!$A:$T,ROW()+1,MATCH("전용면적(㎡)",'04A_국토부원자료'!$A$4:$T$4,0)),",","")),"")</f>
        <v/>
      </c>
      <c r="F26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73" s="51">
        <f>IFERROR(VALUE(SUBSTITUTE(INDEX('04A_국토부원자료'!$A:$T,ROW()+1,MATCH("거래금액(만원)",'04A_국토부원자료'!$A$4:$T$4,0)),",","")),"")</f>
        <v/>
      </c>
      <c r="H2673" s="174">
        <f>IF(G2673="","",G2673*10000)</f>
        <v/>
      </c>
      <c r="I2673" s="174">
        <f>IFERROR(IF(AND(H2673&gt;0,E2673&gt;0),H2673/E2673,""),"")</f>
        <v/>
      </c>
      <c r="J2673" s="152">
        <f>IFERROR(VALUE(SUBSTITUTE(INDEX('04A_국토부원자료'!$A:$T,ROW()+1,MATCH("층",'04A_국토부원자료'!$A$4:$T$4,0)),",","")),"")</f>
        <v/>
      </c>
      <c r="K2673" s="152">
        <f>IFERROR(VALUE(SUBSTITUTE(INDEX('04A_국토부원자료'!$A:$T,ROW()+1,MATCH("건축년도",'04A_국토부원자료'!$A$4:$T$4,0)),",","")),"")</f>
        <v/>
      </c>
      <c r="L2673" s="48">
        <f>IFERROR(INDEX('04A_국토부원자료'!$A:$T,ROW()+1,MATCH("도로명",'04A_국토부원자료'!$A$4:$T$4,0)),"")</f>
        <v/>
      </c>
      <c r="M2673" s="48">
        <f>IFERROR(INDEX('04A_국토부원자료'!$A:$T,ROW()+1,MATCH("거래유형",'04A_국토부원자료'!$A$4:$T$4,0)),"")</f>
        <v/>
      </c>
      <c r="N2673" s="152">
        <f>IF(B2673="","",IF('02_대상물건입력'!B5="",1,IF(ISNUMBER(SEARCH('02_대상물건입력'!B5,B2673)),1,0)))</f>
        <v/>
      </c>
      <c r="O2673" s="152">
        <f>IF(B2673="","",IF('02_대상물건입력'!B6="",1,IF(ISNUMBER(SEARCH('02_대상물건입력'!B6,B2673)),1,0)))</f>
        <v/>
      </c>
      <c r="P2673" s="152">
        <f>IF(L2673="","",IF('02_대상물건입력'!B15="",0,IF(ISNUMBER(SEARCH('02_대상물건입력'!B15,L2673)),1,0)))</f>
        <v/>
      </c>
      <c r="Q2673" s="152">
        <f>IF(OR(C2673="",L2673=""),0,IF(AND(TRIM(C2673)=TRIM(RIGHT(SUBSTITUTE(TRIM('02_대상물건입력'!$B$7)," ",REPT(" ",99)),99)),IF('02_대상물건입력'!B15="",TRUE(),ISNUMBER(SEARCH('02_대상물건입력'!B15,L2673)))),1,0))</f>
        <v/>
      </c>
      <c r="R2673" s="175">
        <f>IFERROR(ABS(E2673-'02_대상물건입력'!B11)/'02_대상물건입력'!B11,"")</f>
        <v/>
      </c>
      <c r="S2673" s="152">
        <f>IFERROR(ABS(J2673-'02_대상물건입력'!B10),"")</f>
        <v/>
      </c>
      <c r="T2673" s="152">
        <f>IFERROR(ABS('01_설정'!B4-F2673),"")</f>
        <v/>
      </c>
      <c r="U2673" s="152">
        <f>IFERROR(ABS(K2673-YEAR('02_대상물건입력'!B14)),"")</f>
        <v/>
      </c>
      <c r="V2673" s="152">
        <f>IF(B2673="","",IF(AND(E2673&gt;0,F2673&gt;0,H2673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2673=1,TRUE()),R2673&lt;='01_설정'!B5,S2673&lt;='01_설정'!B6,T2673&lt;='01_설정'!B7,U2673&lt;='01_설정'!B8),"Y",""))</f>
        <v/>
      </c>
      <c r="W2673" s="172">
        <f>IF(V2673&lt;&gt;"Y","",MAX(0,(1-R2673/'01_설정'!B5))*'01_설정'!B14+MAX(0,(1-S2673/'01_설정'!B6))*'01_설정'!B15+MAX(0,(1-T2673/'01_설정'!B7))*'01_설정'!B16+MAX(0,(1-U2673/'01_설정'!B8))*'01_설정'!B17+O2673*'01_설정'!B11+Q2673*'01_설정'!B12+P2673*'01_설정'!B13+IF(Z2673="",0,Z2673))</f>
        <v/>
      </c>
      <c r="X2673" s="152">
        <f>IF(W2673="","",1+COUNTIFS($W$4:$W$3003,"&gt;"&amp;W2673)+COUNTIFS($W$4:W2673,W2673)-1)</f>
        <v/>
      </c>
      <c r="Y2673" s="175">
        <f>IF(OR(I2673="",'02_대상물건입력'!B19="",'02_대상물건입력'!B19&lt;=0),"",ABS(I2673-'02_대상물건입력'!B19)/'02_대상물건입력'!B19)</f>
        <v/>
      </c>
      <c r="Z2673" s="172">
        <f>IF(OR(Y2673="",'01_설정'!B31="",'01_설정'!B31&lt;=0,'01_설정'!B32="",'01_설정'!B32&lt;=0),"",MAX(0,(1-Y2673/'01_설정'!B32))*'01_설정'!B31)</f>
        <v/>
      </c>
    </row>
    <row r="2674" ht="17.25" customHeight="1">
      <c r="A2674" s="152">
        <f>IF(INDEX('04A_국토부원자료'!$A:$A,ROW()+1)="","",ROW()-3)</f>
        <v/>
      </c>
      <c r="B2674" s="48">
        <f>IFERROR(INDEX('04A_국토부원자료'!$A:$T,ROW()+1,MATCH("시군구",'04A_국토부원자료'!$A$4:$T$4,0)),"")</f>
        <v/>
      </c>
      <c r="C2674" s="48">
        <f>IF(B2674="","",IFERROR(INDEX('04A_국토부원자료'!$A:$T,ROW()+1,MATCH("번지",'04A_국토부원자료'!$A$4:$T$4,0)),""))</f>
        <v/>
      </c>
      <c r="D2674" s="48">
        <f>IF(B2674="","",IF(Q2674=1,'02_대상물건입력'!$B$8,IFERROR(INDEX('04A_국토부원자료'!$A:$T,ROW()+1,MATCH("단지명",'04A_국토부원자료'!$A$4:$T$4,0)),"")))</f>
        <v/>
      </c>
      <c r="E2674" s="172">
        <f>IFERROR(VALUE(SUBSTITUTE(INDEX('04A_국토부원자료'!$A:$T,ROW()+1,MATCH("전용면적(㎡)",'04A_국토부원자료'!$A$4:$T$4,0)),",","")),"")</f>
        <v/>
      </c>
      <c r="F26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74" s="51">
        <f>IFERROR(VALUE(SUBSTITUTE(INDEX('04A_국토부원자료'!$A:$T,ROW()+1,MATCH("거래금액(만원)",'04A_국토부원자료'!$A$4:$T$4,0)),",","")),"")</f>
        <v/>
      </c>
      <c r="H2674" s="174">
        <f>IF(G2674="","",G2674*10000)</f>
        <v/>
      </c>
      <c r="I2674" s="174">
        <f>IFERROR(IF(AND(H2674&gt;0,E2674&gt;0),H2674/E2674,""),"")</f>
        <v/>
      </c>
      <c r="J2674" s="152">
        <f>IFERROR(VALUE(SUBSTITUTE(INDEX('04A_국토부원자료'!$A:$T,ROW()+1,MATCH("층",'04A_국토부원자료'!$A$4:$T$4,0)),",","")),"")</f>
        <v/>
      </c>
      <c r="K2674" s="152">
        <f>IFERROR(VALUE(SUBSTITUTE(INDEX('04A_국토부원자료'!$A:$T,ROW()+1,MATCH("건축년도",'04A_국토부원자료'!$A$4:$T$4,0)),",","")),"")</f>
        <v/>
      </c>
      <c r="L2674" s="48">
        <f>IFERROR(INDEX('04A_국토부원자료'!$A:$T,ROW()+1,MATCH("도로명",'04A_국토부원자료'!$A$4:$T$4,0)),"")</f>
        <v/>
      </c>
      <c r="M2674" s="48">
        <f>IFERROR(INDEX('04A_국토부원자료'!$A:$T,ROW()+1,MATCH("거래유형",'04A_국토부원자료'!$A$4:$T$4,0)),"")</f>
        <v/>
      </c>
      <c r="N2674" s="152">
        <f>IF(B2674="","",IF('02_대상물건입력'!B5="",1,IF(ISNUMBER(SEARCH('02_대상물건입력'!B5,B2674)),1,0)))</f>
        <v/>
      </c>
      <c r="O2674" s="152">
        <f>IF(B2674="","",IF('02_대상물건입력'!B6="",1,IF(ISNUMBER(SEARCH('02_대상물건입력'!B6,B2674)),1,0)))</f>
        <v/>
      </c>
      <c r="P2674" s="152">
        <f>IF(L2674="","",IF('02_대상물건입력'!B15="",0,IF(ISNUMBER(SEARCH('02_대상물건입력'!B15,L2674)),1,0)))</f>
        <v/>
      </c>
      <c r="Q2674" s="152">
        <f>IF(OR(C2674="",L2674=""),0,IF(AND(TRIM(C2674)=TRIM(RIGHT(SUBSTITUTE(TRIM('02_대상물건입력'!$B$7)," ",REPT(" ",99)),99)),IF('02_대상물건입력'!B15="",TRUE(),ISNUMBER(SEARCH('02_대상물건입력'!B15,L2674)))),1,0))</f>
        <v/>
      </c>
      <c r="R2674" s="175">
        <f>IFERROR(ABS(E2674-'02_대상물건입력'!B11)/'02_대상물건입력'!B11,"")</f>
        <v/>
      </c>
      <c r="S2674" s="152">
        <f>IFERROR(ABS(J2674-'02_대상물건입력'!B10),"")</f>
        <v/>
      </c>
      <c r="T2674" s="152">
        <f>IFERROR(ABS('01_설정'!B4-F2674),"")</f>
        <v/>
      </c>
      <c r="U2674" s="152">
        <f>IFERROR(ABS(K2674-YEAR('02_대상물건입력'!B14)),"")</f>
        <v/>
      </c>
      <c r="V2674" s="152">
        <f>IF(B2674="","",IF(AND(E2674&gt;0,F2674&gt;0,H2674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2674=1,TRUE()),R2674&lt;='01_설정'!B5,S2674&lt;='01_설정'!B6,T2674&lt;='01_설정'!B7,U2674&lt;='01_설정'!B8),"Y",""))</f>
        <v/>
      </c>
      <c r="W2674" s="172">
        <f>IF(V2674&lt;&gt;"Y","",MAX(0,(1-R2674/'01_설정'!B5))*'01_설정'!B14+MAX(0,(1-S2674/'01_설정'!B6))*'01_설정'!B15+MAX(0,(1-T2674/'01_설정'!B7))*'01_설정'!B16+MAX(0,(1-U2674/'01_설정'!B8))*'01_설정'!B17+O2674*'01_설정'!B11+Q2674*'01_설정'!B12+P2674*'01_설정'!B13+IF(Z2674="",0,Z2674))</f>
        <v/>
      </c>
      <c r="X2674" s="152">
        <f>IF(W2674="","",1+COUNTIFS($W$4:$W$3003,"&gt;"&amp;W2674)+COUNTIFS($W$4:W2674,W2674)-1)</f>
        <v/>
      </c>
      <c r="Y2674" s="175">
        <f>IF(OR(I2674="",'02_대상물건입력'!B19="",'02_대상물건입력'!B19&lt;=0),"",ABS(I2674-'02_대상물건입력'!B19)/'02_대상물건입력'!B19)</f>
        <v/>
      </c>
      <c r="Z2674" s="172">
        <f>IF(OR(Y2674="",'01_설정'!B31="",'01_설정'!B31&lt;=0,'01_설정'!B32="",'01_설정'!B32&lt;=0),"",MAX(0,(1-Y2674/'01_설정'!B32))*'01_설정'!B31)</f>
        <v/>
      </c>
    </row>
    <row r="2675" ht="17.25" customHeight="1">
      <c r="A2675" s="152">
        <f>IF(INDEX('04A_국토부원자료'!$A:$A,ROW()+1)="","",ROW()-3)</f>
        <v/>
      </c>
      <c r="B2675" s="48">
        <f>IFERROR(INDEX('04A_국토부원자료'!$A:$T,ROW()+1,MATCH("시군구",'04A_국토부원자료'!$A$4:$T$4,0)),"")</f>
        <v/>
      </c>
      <c r="C2675" s="48">
        <f>IF(B2675="","",IFERROR(INDEX('04A_국토부원자료'!$A:$T,ROW()+1,MATCH("번지",'04A_국토부원자료'!$A$4:$T$4,0)),""))</f>
        <v/>
      </c>
      <c r="D2675" s="48">
        <f>IF(B2675="","",IF(Q2675=1,'02_대상물건입력'!$B$8,IFERROR(INDEX('04A_국토부원자료'!$A:$T,ROW()+1,MATCH("단지명",'04A_국토부원자료'!$A$4:$T$4,0)),"")))</f>
        <v/>
      </c>
      <c r="E2675" s="172">
        <f>IFERROR(VALUE(SUBSTITUTE(INDEX('04A_국토부원자료'!$A:$T,ROW()+1,MATCH("전용면적(㎡)",'04A_국토부원자료'!$A$4:$T$4,0)),",","")),"")</f>
        <v/>
      </c>
      <c r="F26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75" s="51">
        <f>IFERROR(VALUE(SUBSTITUTE(INDEX('04A_국토부원자료'!$A:$T,ROW()+1,MATCH("거래금액(만원)",'04A_국토부원자료'!$A$4:$T$4,0)),",","")),"")</f>
        <v/>
      </c>
      <c r="H2675" s="174">
        <f>IF(G2675="","",G2675*10000)</f>
        <v/>
      </c>
      <c r="I2675" s="174">
        <f>IFERROR(IF(AND(H2675&gt;0,E2675&gt;0),H2675/E2675,""),"")</f>
        <v/>
      </c>
      <c r="J2675" s="152">
        <f>IFERROR(VALUE(SUBSTITUTE(INDEX('04A_국토부원자료'!$A:$T,ROW()+1,MATCH("층",'04A_국토부원자료'!$A$4:$T$4,0)),",","")),"")</f>
        <v/>
      </c>
      <c r="K2675" s="152">
        <f>IFERROR(VALUE(SUBSTITUTE(INDEX('04A_국토부원자료'!$A:$T,ROW()+1,MATCH("건축년도",'04A_국토부원자료'!$A$4:$T$4,0)),",","")),"")</f>
        <v/>
      </c>
      <c r="L2675" s="48">
        <f>IFERROR(INDEX('04A_국토부원자료'!$A:$T,ROW()+1,MATCH("도로명",'04A_국토부원자료'!$A$4:$T$4,0)),"")</f>
        <v/>
      </c>
      <c r="M2675" s="48">
        <f>IFERROR(INDEX('04A_국토부원자료'!$A:$T,ROW()+1,MATCH("거래유형",'04A_국토부원자료'!$A$4:$T$4,0)),"")</f>
        <v/>
      </c>
      <c r="N2675" s="152">
        <f>IF(B2675="","",IF('02_대상물건입력'!B5="",1,IF(ISNUMBER(SEARCH('02_대상물건입력'!B5,B2675)),1,0)))</f>
        <v/>
      </c>
      <c r="O2675" s="152">
        <f>IF(B2675="","",IF('02_대상물건입력'!B6="",1,IF(ISNUMBER(SEARCH('02_대상물건입력'!B6,B2675)),1,0)))</f>
        <v/>
      </c>
      <c r="P2675" s="152">
        <f>IF(L2675="","",IF('02_대상물건입력'!B15="",0,IF(ISNUMBER(SEARCH('02_대상물건입력'!B15,L2675)),1,0)))</f>
        <v/>
      </c>
      <c r="Q2675" s="152">
        <f>IF(OR(C2675="",L2675=""),0,IF(AND(TRIM(C2675)=TRIM(RIGHT(SUBSTITUTE(TRIM('02_대상물건입력'!$B$7)," ",REPT(" ",99)),99)),IF('02_대상물건입력'!B15="",TRUE(),ISNUMBER(SEARCH('02_대상물건입력'!B15,L2675)))),1,0))</f>
        <v/>
      </c>
      <c r="R2675" s="175">
        <f>IFERROR(ABS(E2675-'02_대상물건입력'!B11)/'02_대상물건입력'!B11,"")</f>
        <v/>
      </c>
      <c r="S2675" s="152">
        <f>IFERROR(ABS(J2675-'02_대상물건입력'!B10),"")</f>
        <v/>
      </c>
      <c r="T2675" s="152">
        <f>IFERROR(ABS('01_설정'!B4-F2675),"")</f>
        <v/>
      </c>
      <c r="U2675" s="152">
        <f>IFERROR(ABS(K2675-YEAR('02_대상물건입력'!B14)),"")</f>
        <v/>
      </c>
      <c r="V2675" s="152">
        <f>IF(B2675="","",IF(AND(E2675&gt;0,F2675&gt;0,H2675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2675=1,TRUE()),R2675&lt;='01_설정'!B5,S2675&lt;='01_설정'!B6,T2675&lt;='01_설정'!B7,U2675&lt;='01_설정'!B8),"Y",""))</f>
        <v/>
      </c>
      <c r="W2675" s="172">
        <f>IF(V2675&lt;&gt;"Y","",MAX(0,(1-R2675/'01_설정'!B5))*'01_설정'!B14+MAX(0,(1-S2675/'01_설정'!B6))*'01_설정'!B15+MAX(0,(1-T2675/'01_설정'!B7))*'01_설정'!B16+MAX(0,(1-U2675/'01_설정'!B8))*'01_설정'!B17+O2675*'01_설정'!B11+Q2675*'01_설정'!B12+P2675*'01_설정'!B13+IF(Z2675="",0,Z2675))</f>
        <v/>
      </c>
      <c r="X2675" s="152">
        <f>IF(W2675="","",1+COUNTIFS($W$4:$W$3003,"&gt;"&amp;W2675)+COUNTIFS($W$4:W2675,W2675)-1)</f>
        <v/>
      </c>
      <c r="Y2675" s="175">
        <f>IF(OR(I2675="",'02_대상물건입력'!B19="",'02_대상물건입력'!B19&lt;=0),"",ABS(I2675-'02_대상물건입력'!B19)/'02_대상물건입력'!B19)</f>
        <v/>
      </c>
      <c r="Z2675" s="172">
        <f>IF(OR(Y2675="",'01_설정'!B31="",'01_설정'!B31&lt;=0,'01_설정'!B32="",'01_설정'!B32&lt;=0),"",MAX(0,(1-Y2675/'01_설정'!B32))*'01_설정'!B31)</f>
        <v/>
      </c>
    </row>
    <row r="2676" ht="17.25" customHeight="1">
      <c r="A2676" s="152">
        <f>IF(INDEX('04A_국토부원자료'!$A:$A,ROW()+1)="","",ROW()-3)</f>
        <v/>
      </c>
      <c r="B2676" s="48">
        <f>IFERROR(INDEX('04A_국토부원자료'!$A:$T,ROW()+1,MATCH("시군구",'04A_국토부원자료'!$A$4:$T$4,0)),"")</f>
        <v/>
      </c>
      <c r="C2676" s="48">
        <f>IF(B2676="","",IFERROR(INDEX('04A_국토부원자료'!$A:$T,ROW()+1,MATCH("번지",'04A_국토부원자료'!$A$4:$T$4,0)),""))</f>
        <v/>
      </c>
      <c r="D2676" s="48">
        <f>IF(B2676="","",IF(Q2676=1,'02_대상물건입력'!$B$8,IFERROR(INDEX('04A_국토부원자료'!$A:$T,ROW()+1,MATCH("단지명",'04A_국토부원자료'!$A$4:$T$4,0)),"")))</f>
        <v/>
      </c>
      <c r="E2676" s="172">
        <f>IFERROR(VALUE(SUBSTITUTE(INDEX('04A_국토부원자료'!$A:$T,ROW()+1,MATCH("전용면적(㎡)",'04A_국토부원자료'!$A$4:$T$4,0)),",","")),"")</f>
        <v/>
      </c>
      <c r="F26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76" s="51">
        <f>IFERROR(VALUE(SUBSTITUTE(INDEX('04A_국토부원자료'!$A:$T,ROW()+1,MATCH("거래금액(만원)",'04A_국토부원자료'!$A$4:$T$4,0)),",","")),"")</f>
        <v/>
      </c>
      <c r="H2676" s="174">
        <f>IF(G2676="","",G2676*10000)</f>
        <v/>
      </c>
      <c r="I2676" s="174">
        <f>IFERROR(IF(AND(H2676&gt;0,E2676&gt;0),H2676/E2676,""),"")</f>
        <v/>
      </c>
      <c r="J2676" s="152">
        <f>IFERROR(VALUE(SUBSTITUTE(INDEX('04A_국토부원자료'!$A:$T,ROW()+1,MATCH("층",'04A_국토부원자료'!$A$4:$T$4,0)),",","")),"")</f>
        <v/>
      </c>
      <c r="K2676" s="152">
        <f>IFERROR(VALUE(SUBSTITUTE(INDEX('04A_국토부원자료'!$A:$T,ROW()+1,MATCH("건축년도",'04A_국토부원자료'!$A$4:$T$4,0)),",","")),"")</f>
        <v/>
      </c>
      <c r="L2676" s="48">
        <f>IFERROR(INDEX('04A_국토부원자료'!$A:$T,ROW()+1,MATCH("도로명",'04A_국토부원자료'!$A$4:$T$4,0)),"")</f>
        <v/>
      </c>
      <c r="M2676" s="48">
        <f>IFERROR(INDEX('04A_국토부원자료'!$A:$T,ROW()+1,MATCH("거래유형",'04A_국토부원자료'!$A$4:$T$4,0)),"")</f>
        <v/>
      </c>
      <c r="N2676" s="152">
        <f>IF(B2676="","",IF('02_대상물건입력'!B5="",1,IF(ISNUMBER(SEARCH('02_대상물건입력'!B5,B2676)),1,0)))</f>
        <v/>
      </c>
      <c r="O2676" s="152">
        <f>IF(B2676="","",IF('02_대상물건입력'!B6="",1,IF(ISNUMBER(SEARCH('02_대상물건입력'!B6,B2676)),1,0)))</f>
        <v/>
      </c>
      <c r="P2676" s="152">
        <f>IF(L2676="","",IF('02_대상물건입력'!B15="",0,IF(ISNUMBER(SEARCH('02_대상물건입력'!B15,L2676)),1,0)))</f>
        <v/>
      </c>
      <c r="Q2676" s="152">
        <f>IF(OR(C2676="",L2676=""),0,IF(AND(TRIM(C2676)=TRIM(RIGHT(SUBSTITUTE(TRIM('02_대상물건입력'!$B$7)," ",REPT(" ",99)),99)),IF('02_대상물건입력'!B15="",TRUE(),ISNUMBER(SEARCH('02_대상물건입력'!B15,L2676)))),1,0))</f>
        <v/>
      </c>
      <c r="R2676" s="175">
        <f>IFERROR(ABS(E2676-'02_대상물건입력'!B11)/'02_대상물건입력'!B11,"")</f>
        <v/>
      </c>
      <c r="S2676" s="152">
        <f>IFERROR(ABS(J2676-'02_대상물건입력'!B10),"")</f>
        <v/>
      </c>
      <c r="T2676" s="152">
        <f>IFERROR(ABS('01_설정'!B4-F2676),"")</f>
        <v/>
      </c>
      <c r="U2676" s="152">
        <f>IFERROR(ABS(K2676-YEAR('02_대상물건입력'!B14)),"")</f>
        <v/>
      </c>
      <c r="V2676" s="152">
        <f>IF(B2676="","",IF(AND(E2676&gt;0,F2676&gt;0,H2676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2676=1,TRUE()),R2676&lt;='01_설정'!B5,S2676&lt;='01_설정'!B6,T2676&lt;='01_설정'!B7,U2676&lt;='01_설정'!B8),"Y",""))</f>
        <v/>
      </c>
      <c r="W2676" s="172">
        <f>IF(V2676&lt;&gt;"Y","",MAX(0,(1-R2676/'01_설정'!B5))*'01_설정'!B14+MAX(0,(1-S2676/'01_설정'!B6))*'01_설정'!B15+MAX(0,(1-T2676/'01_설정'!B7))*'01_설정'!B16+MAX(0,(1-U2676/'01_설정'!B8))*'01_설정'!B17+O2676*'01_설정'!B11+Q2676*'01_설정'!B12+P2676*'01_설정'!B13+IF(Z2676="",0,Z2676))</f>
        <v/>
      </c>
      <c r="X2676" s="152">
        <f>IF(W2676="","",1+COUNTIFS($W$4:$W$3003,"&gt;"&amp;W2676)+COUNTIFS($W$4:W2676,W2676)-1)</f>
        <v/>
      </c>
      <c r="Y2676" s="175">
        <f>IF(OR(I2676="",'02_대상물건입력'!B19="",'02_대상물건입력'!B19&lt;=0),"",ABS(I2676-'02_대상물건입력'!B19)/'02_대상물건입력'!B19)</f>
        <v/>
      </c>
      <c r="Z2676" s="172">
        <f>IF(OR(Y2676="",'01_설정'!B31="",'01_설정'!B31&lt;=0,'01_설정'!B32="",'01_설정'!B32&lt;=0),"",MAX(0,(1-Y2676/'01_설정'!B32))*'01_설정'!B31)</f>
        <v/>
      </c>
    </row>
    <row r="2677" ht="17.25" customHeight="1">
      <c r="A2677" s="152">
        <f>IF(INDEX('04A_국토부원자료'!$A:$A,ROW()+1)="","",ROW()-3)</f>
        <v/>
      </c>
      <c r="B2677" s="48">
        <f>IFERROR(INDEX('04A_국토부원자료'!$A:$T,ROW()+1,MATCH("시군구",'04A_국토부원자료'!$A$4:$T$4,0)),"")</f>
        <v/>
      </c>
      <c r="C2677" s="48">
        <f>IF(B2677="","",IFERROR(INDEX('04A_국토부원자료'!$A:$T,ROW()+1,MATCH("번지",'04A_국토부원자료'!$A$4:$T$4,0)),""))</f>
        <v/>
      </c>
      <c r="D2677" s="48">
        <f>IF(B2677="","",IF(Q2677=1,'02_대상물건입력'!$B$8,IFERROR(INDEX('04A_국토부원자료'!$A:$T,ROW()+1,MATCH("단지명",'04A_국토부원자료'!$A$4:$T$4,0)),"")))</f>
        <v/>
      </c>
      <c r="E2677" s="172">
        <f>IFERROR(VALUE(SUBSTITUTE(INDEX('04A_국토부원자료'!$A:$T,ROW()+1,MATCH("전용면적(㎡)",'04A_국토부원자료'!$A$4:$T$4,0)),",","")),"")</f>
        <v/>
      </c>
      <c r="F26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77" s="51">
        <f>IFERROR(VALUE(SUBSTITUTE(INDEX('04A_국토부원자료'!$A:$T,ROW()+1,MATCH("거래금액(만원)",'04A_국토부원자료'!$A$4:$T$4,0)),",","")),"")</f>
        <v/>
      </c>
      <c r="H2677" s="174">
        <f>IF(G2677="","",G2677*10000)</f>
        <v/>
      </c>
      <c r="I2677" s="174">
        <f>IFERROR(IF(AND(H2677&gt;0,E2677&gt;0),H2677/E2677,""),"")</f>
        <v/>
      </c>
      <c r="J2677" s="152">
        <f>IFERROR(VALUE(SUBSTITUTE(INDEX('04A_국토부원자료'!$A:$T,ROW()+1,MATCH("층",'04A_국토부원자료'!$A$4:$T$4,0)),",","")),"")</f>
        <v/>
      </c>
      <c r="K2677" s="152">
        <f>IFERROR(VALUE(SUBSTITUTE(INDEX('04A_국토부원자료'!$A:$T,ROW()+1,MATCH("건축년도",'04A_국토부원자료'!$A$4:$T$4,0)),",","")),"")</f>
        <v/>
      </c>
      <c r="L2677" s="48">
        <f>IFERROR(INDEX('04A_국토부원자료'!$A:$T,ROW()+1,MATCH("도로명",'04A_국토부원자료'!$A$4:$T$4,0)),"")</f>
        <v/>
      </c>
      <c r="M2677" s="48">
        <f>IFERROR(INDEX('04A_국토부원자료'!$A:$T,ROW()+1,MATCH("거래유형",'04A_국토부원자료'!$A$4:$T$4,0)),"")</f>
        <v/>
      </c>
      <c r="N2677" s="152">
        <f>IF(B2677="","",IF('02_대상물건입력'!B5="",1,IF(ISNUMBER(SEARCH('02_대상물건입력'!B5,B2677)),1,0)))</f>
        <v/>
      </c>
      <c r="O2677" s="152">
        <f>IF(B2677="","",IF('02_대상물건입력'!B6="",1,IF(ISNUMBER(SEARCH('02_대상물건입력'!B6,B2677)),1,0)))</f>
        <v/>
      </c>
      <c r="P2677" s="152">
        <f>IF(L2677="","",IF('02_대상물건입력'!B15="",0,IF(ISNUMBER(SEARCH('02_대상물건입력'!B15,L2677)),1,0)))</f>
        <v/>
      </c>
      <c r="Q2677" s="152">
        <f>IF(OR(C2677="",L2677=""),0,IF(AND(TRIM(C2677)=TRIM(RIGHT(SUBSTITUTE(TRIM('02_대상물건입력'!$B$7)," ",REPT(" ",99)),99)),IF('02_대상물건입력'!B15="",TRUE(),ISNUMBER(SEARCH('02_대상물건입력'!B15,L2677)))),1,0))</f>
        <v/>
      </c>
      <c r="R2677" s="175">
        <f>IFERROR(ABS(E2677-'02_대상물건입력'!B11)/'02_대상물건입력'!B11,"")</f>
        <v/>
      </c>
      <c r="S2677" s="152">
        <f>IFERROR(ABS(J2677-'02_대상물건입력'!B10),"")</f>
        <v/>
      </c>
      <c r="T2677" s="152">
        <f>IFERROR(ABS('01_설정'!B4-F2677),"")</f>
        <v/>
      </c>
      <c r="U2677" s="152">
        <f>IFERROR(ABS(K2677-YEAR('02_대상물건입력'!B14)),"")</f>
        <v/>
      </c>
      <c r="V2677" s="152">
        <f>IF(B2677="","",IF(AND(E2677&gt;0,F2677&gt;0,H2677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2677=1,TRUE()),R2677&lt;='01_설정'!B5,S2677&lt;='01_설정'!B6,T2677&lt;='01_설정'!B7,U2677&lt;='01_설정'!B8),"Y",""))</f>
        <v/>
      </c>
      <c r="W2677" s="172">
        <f>IF(V2677&lt;&gt;"Y","",MAX(0,(1-R2677/'01_설정'!B5))*'01_설정'!B14+MAX(0,(1-S2677/'01_설정'!B6))*'01_설정'!B15+MAX(0,(1-T2677/'01_설정'!B7))*'01_설정'!B16+MAX(0,(1-U2677/'01_설정'!B8))*'01_설정'!B17+O2677*'01_설정'!B11+Q2677*'01_설정'!B12+P2677*'01_설정'!B13+IF(Z2677="",0,Z2677))</f>
        <v/>
      </c>
      <c r="X2677" s="152">
        <f>IF(W2677="","",1+COUNTIFS($W$4:$W$3003,"&gt;"&amp;W2677)+COUNTIFS($W$4:W2677,W2677)-1)</f>
        <v/>
      </c>
      <c r="Y2677" s="175">
        <f>IF(OR(I2677="",'02_대상물건입력'!B19="",'02_대상물건입력'!B19&lt;=0),"",ABS(I2677-'02_대상물건입력'!B19)/'02_대상물건입력'!B19)</f>
        <v/>
      </c>
      <c r="Z2677" s="172">
        <f>IF(OR(Y2677="",'01_설정'!B31="",'01_설정'!B31&lt;=0,'01_설정'!B32="",'01_설정'!B32&lt;=0),"",MAX(0,(1-Y2677/'01_설정'!B32))*'01_설정'!B31)</f>
        <v/>
      </c>
    </row>
    <row r="2678" ht="17.25" customHeight="1">
      <c r="A2678" s="152">
        <f>IF(INDEX('04A_국토부원자료'!$A:$A,ROW()+1)="","",ROW()-3)</f>
        <v/>
      </c>
      <c r="B2678" s="48">
        <f>IFERROR(INDEX('04A_국토부원자료'!$A:$T,ROW()+1,MATCH("시군구",'04A_국토부원자료'!$A$4:$T$4,0)),"")</f>
        <v/>
      </c>
      <c r="C2678" s="48">
        <f>IF(B2678="","",IFERROR(INDEX('04A_국토부원자료'!$A:$T,ROW()+1,MATCH("번지",'04A_국토부원자료'!$A$4:$T$4,0)),""))</f>
        <v/>
      </c>
      <c r="D2678" s="48">
        <f>IF(B2678="","",IF(Q2678=1,'02_대상물건입력'!$B$8,IFERROR(INDEX('04A_국토부원자료'!$A:$T,ROW()+1,MATCH("단지명",'04A_국토부원자료'!$A$4:$T$4,0)),"")))</f>
        <v/>
      </c>
      <c r="E2678" s="172">
        <f>IFERROR(VALUE(SUBSTITUTE(INDEX('04A_국토부원자료'!$A:$T,ROW()+1,MATCH("전용면적(㎡)",'04A_국토부원자료'!$A$4:$T$4,0)),",","")),"")</f>
        <v/>
      </c>
      <c r="F26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78" s="51">
        <f>IFERROR(VALUE(SUBSTITUTE(INDEX('04A_국토부원자료'!$A:$T,ROW()+1,MATCH("거래금액(만원)",'04A_국토부원자료'!$A$4:$T$4,0)),",","")),"")</f>
        <v/>
      </c>
      <c r="H2678" s="174">
        <f>IF(G2678="","",G2678*10000)</f>
        <v/>
      </c>
      <c r="I2678" s="174">
        <f>IFERROR(IF(AND(H2678&gt;0,E2678&gt;0),H2678/E2678,""),"")</f>
        <v/>
      </c>
      <c r="J2678" s="152">
        <f>IFERROR(VALUE(SUBSTITUTE(INDEX('04A_국토부원자료'!$A:$T,ROW()+1,MATCH("층",'04A_국토부원자료'!$A$4:$T$4,0)),",","")),"")</f>
        <v/>
      </c>
      <c r="K2678" s="152">
        <f>IFERROR(VALUE(SUBSTITUTE(INDEX('04A_국토부원자료'!$A:$T,ROW()+1,MATCH("건축년도",'04A_국토부원자료'!$A$4:$T$4,0)),",","")),"")</f>
        <v/>
      </c>
      <c r="L2678" s="48">
        <f>IFERROR(INDEX('04A_국토부원자료'!$A:$T,ROW()+1,MATCH("도로명",'04A_국토부원자료'!$A$4:$T$4,0)),"")</f>
        <v/>
      </c>
      <c r="M2678" s="48">
        <f>IFERROR(INDEX('04A_국토부원자료'!$A:$T,ROW()+1,MATCH("거래유형",'04A_국토부원자료'!$A$4:$T$4,0)),"")</f>
        <v/>
      </c>
      <c r="N2678" s="152">
        <f>IF(B2678="","",IF('02_대상물건입력'!B5="",1,IF(ISNUMBER(SEARCH('02_대상물건입력'!B5,B2678)),1,0)))</f>
        <v/>
      </c>
      <c r="O2678" s="152">
        <f>IF(B2678="","",IF('02_대상물건입력'!B6="",1,IF(ISNUMBER(SEARCH('02_대상물건입력'!B6,B2678)),1,0)))</f>
        <v/>
      </c>
      <c r="P2678" s="152">
        <f>IF(L2678="","",IF('02_대상물건입력'!B15="",0,IF(ISNUMBER(SEARCH('02_대상물건입력'!B15,L2678)),1,0)))</f>
        <v/>
      </c>
      <c r="Q2678" s="152">
        <f>IF(OR(C2678="",L2678=""),0,IF(AND(TRIM(C2678)=TRIM(RIGHT(SUBSTITUTE(TRIM('02_대상물건입력'!$B$7)," ",REPT(" ",99)),99)),IF('02_대상물건입력'!B15="",TRUE(),ISNUMBER(SEARCH('02_대상물건입력'!B15,L2678)))),1,0))</f>
        <v/>
      </c>
      <c r="R2678" s="175">
        <f>IFERROR(ABS(E2678-'02_대상물건입력'!B11)/'02_대상물건입력'!B11,"")</f>
        <v/>
      </c>
      <c r="S2678" s="152">
        <f>IFERROR(ABS(J2678-'02_대상물건입력'!B10),"")</f>
        <v/>
      </c>
      <c r="T2678" s="152">
        <f>IFERROR(ABS('01_설정'!B4-F2678),"")</f>
        <v/>
      </c>
      <c r="U2678" s="152">
        <f>IFERROR(ABS(K2678-YEAR('02_대상물건입력'!B14)),"")</f>
        <v/>
      </c>
      <c r="V2678" s="152">
        <f>IF(B2678="","",IF(AND(E2678&gt;0,F2678&gt;0,H2678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2678=1,TRUE()),R2678&lt;='01_설정'!B5,S2678&lt;='01_설정'!B6,T2678&lt;='01_설정'!B7,U2678&lt;='01_설정'!B8),"Y",""))</f>
        <v/>
      </c>
      <c r="W2678" s="172">
        <f>IF(V2678&lt;&gt;"Y","",MAX(0,(1-R2678/'01_설정'!B5))*'01_설정'!B14+MAX(0,(1-S2678/'01_설정'!B6))*'01_설정'!B15+MAX(0,(1-T2678/'01_설정'!B7))*'01_설정'!B16+MAX(0,(1-U2678/'01_설정'!B8))*'01_설정'!B17+O2678*'01_설정'!B11+Q2678*'01_설정'!B12+P2678*'01_설정'!B13+IF(Z2678="",0,Z2678))</f>
        <v/>
      </c>
      <c r="X2678" s="152">
        <f>IF(W2678="","",1+COUNTIFS($W$4:$W$3003,"&gt;"&amp;W2678)+COUNTIFS($W$4:W2678,W2678)-1)</f>
        <v/>
      </c>
      <c r="Y2678" s="175">
        <f>IF(OR(I2678="",'02_대상물건입력'!B19="",'02_대상물건입력'!B19&lt;=0),"",ABS(I2678-'02_대상물건입력'!B19)/'02_대상물건입력'!B19)</f>
        <v/>
      </c>
      <c r="Z2678" s="172">
        <f>IF(OR(Y2678="",'01_설정'!B31="",'01_설정'!B31&lt;=0,'01_설정'!B32="",'01_설정'!B32&lt;=0),"",MAX(0,(1-Y2678/'01_설정'!B32))*'01_설정'!B31)</f>
        <v/>
      </c>
    </row>
    <row r="2679" ht="17.25" customHeight="1">
      <c r="A2679" s="152">
        <f>IF(INDEX('04A_국토부원자료'!$A:$A,ROW()+1)="","",ROW()-3)</f>
        <v/>
      </c>
      <c r="B2679" s="48">
        <f>IFERROR(INDEX('04A_국토부원자료'!$A:$T,ROW()+1,MATCH("시군구",'04A_국토부원자료'!$A$4:$T$4,0)),"")</f>
        <v/>
      </c>
      <c r="C2679" s="48">
        <f>IF(B2679="","",IFERROR(INDEX('04A_국토부원자료'!$A:$T,ROW()+1,MATCH("번지",'04A_국토부원자료'!$A$4:$T$4,0)),""))</f>
        <v/>
      </c>
      <c r="D2679" s="48">
        <f>IF(B2679="","",IF(Q2679=1,'02_대상물건입력'!$B$8,IFERROR(INDEX('04A_국토부원자료'!$A:$T,ROW()+1,MATCH("단지명",'04A_국토부원자료'!$A$4:$T$4,0)),"")))</f>
        <v/>
      </c>
      <c r="E2679" s="172">
        <f>IFERROR(VALUE(SUBSTITUTE(INDEX('04A_국토부원자료'!$A:$T,ROW()+1,MATCH("전용면적(㎡)",'04A_국토부원자료'!$A$4:$T$4,0)),",","")),"")</f>
        <v/>
      </c>
      <c r="F26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79" s="51">
        <f>IFERROR(VALUE(SUBSTITUTE(INDEX('04A_국토부원자료'!$A:$T,ROW()+1,MATCH("거래금액(만원)",'04A_국토부원자료'!$A$4:$T$4,0)),",","")),"")</f>
        <v/>
      </c>
      <c r="H2679" s="174">
        <f>IF(G2679="","",G2679*10000)</f>
        <v/>
      </c>
      <c r="I2679" s="174">
        <f>IFERROR(IF(AND(H2679&gt;0,E2679&gt;0),H2679/E2679,""),"")</f>
        <v/>
      </c>
      <c r="J2679" s="152">
        <f>IFERROR(VALUE(SUBSTITUTE(INDEX('04A_국토부원자료'!$A:$T,ROW()+1,MATCH("층",'04A_국토부원자료'!$A$4:$T$4,0)),",","")),"")</f>
        <v/>
      </c>
      <c r="K2679" s="152">
        <f>IFERROR(VALUE(SUBSTITUTE(INDEX('04A_국토부원자료'!$A:$T,ROW()+1,MATCH("건축년도",'04A_국토부원자료'!$A$4:$T$4,0)),",","")),"")</f>
        <v/>
      </c>
      <c r="L2679" s="48">
        <f>IFERROR(INDEX('04A_국토부원자료'!$A:$T,ROW()+1,MATCH("도로명",'04A_국토부원자료'!$A$4:$T$4,0)),"")</f>
        <v/>
      </c>
      <c r="M2679" s="48">
        <f>IFERROR(INDEX('04A_국토부원자료'!$A:$T,ROW()+1,MATCH("거래유형",'04A_국토부원자료'!$A$4:$T$4,0)),"")</f>
        <v/>
      </c>
      <c r="N2679" s="152">
        <f>IF(B2679="","",IF('02_대상물건입력'!B5="",1,IF(ISNUMBER(SEARCH('02_대상물건입력'!B5,B2679)),1,0)))</f>
        <v/>
      </c>
      <c r="O2679" s="152">
        <f>IF(B2679="","",IF('02_대상물건입력'!B6="",1,IF(ISNUMBER(SEARCH('02_대상물건입력'!B6,B2679)),1,0)))</f>
        <v/>
      </c>
      <c r="P2679" s="152">
        <f>IF(L2679="","",IF('02_대상물건입력'!B15="",0,IF(ISNUMBER(SEARCH('02_대상물건입력'!B15,L2679)),1,0)))</f>
        <v/>
      </c>
      <c r="Q2679" s="152">
        <f>IF(OR(C2679="",L2679=""),0,IF(AND(TRIM(C2679)=TRIM(RIGHT(SUBSTITUTE(TRIM('02_대상물건입력'!$B$7)," ",REPT(" ",99)),99)),IF('02_대상물건입력'!B15="",TRUE(),ISNUMBER(SEARCH('02_대상물건입력'!B15,L2679)))),1,0))</f>
        <v/>
      </c>
      <c r="R2679" s="175">
        <f>IFERROR(ABS(E2679-'02_대상물건입력'!B11)/'02_대상물건입력'!B11,"")</f>
        <v/>
      </c>
      <c r="S2679" s="152">
        <f>IFERROR(ABS(J2679-'02_대상물건입력'!B10),"")</f>
        <v/>
      </c>
      <c r="T2679" s="152">
        <f>IFERROR(ABS('01_설정'!B4-F2679),"")</f>
        <v/>
      </c>
      <c r="U2679" s="152">
        <f>IFERROR(ABS(K2679-YEAR('02_대상물건입력'!B14)),"")</f>
        <v/>
      </c>
      <c r="V2679" s="152">
        <f>IF(B2679="","",IF(AND(E2679&gt;0,F2679&gt;0,H2679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2679=1,TRUE()),R2679&lt;='01_설정'!B5,S2679&lt;='01_설정'!B6,T2679&lt;='01_설정'!B7,U2679&lt;='01_설정'!B8),"Y",""))</f>
        <v/>
      </c>
      <c r="W2679" s="172">
        <f>IF(V2679&lt;&gt;"Y","",MAX(0,(1-R2679/'01_설정'!B5))*'01_설정'!B14+MAX(0,(1-S2679/'01_설정'!B6))*'01_설정'!B15+MAX(0,(1-T2679/'01_설정'!B7))*'01_설정'!B16+MAX(0,(1-U2679/'01_설정'!B8))*'01_설정'!B17+O2679*'01_설정'!B11+Q2679*'01_설정'!B12+P2679*'01_설정'!B13+IF(Z2679="",0,Z2679))</f>
        <v/>
      </c>
      <c r="X2679" s="152">
        <f>IF(W2679="","",1+COUNTIFS($W$4:$W$3003,"&gt;"&amp;W2679)+COUNTIFS($W$4:W2679,W2679)-1)</f>
        <v/>
      </c>
      <c r="Y2679" s="175">
        <f>IF(OR(I2679="",'02_대상물건입력'!B19="",'02_대상물건입력'!B19&lt;=0),"",ABS(I2679-'02_대상물건입력'!B19)/'02_대상물건입력'!B19)</f>
        <v/>
      </c>
      <c r="Z2679" s="172">
        <f>IF(OR(Y2679="",'01_설정'!B31="",'01_설정'!B31&lt;=0,'01_설정'!B32="",'01_설정'!B32&lt;=0),"",MAX(0,(1-Y2679/'01_설정'!B32))*'01_설정'!B31)</f>
        <v/>
      </c>
    </row>
    <row r="2680" ht="17.25" customHeight="1">
      <c r="A2680" s="152">
        <f>IF(INDEX('04A_국토부원자료'!$A:$A,ROW()+1)="","",ROW()-3)</f>
        <v/>
      </c>
      <c r="B2680" s="48">
        <f>IFERROR(INDEX('04A_국토부원자료'!$A:$T,ROW()+1,MATCH("시군구",'04A_국토부원자료'!$A$4:$T$4,0)),"")</f>
        <v/>
      </c>
      <c r="C2680" s="48">
        <f>IF(B2680="","",IFERROR(INDEX('04A_국토부원자료'!$A:$T,ROW()+1,MATCH("번지",'04A_국토부원자료'!$A$4:$T$4,0)),""))</f>
        <v/>
      </c>
      <c r="D2680" s="48">
        <f>IF(B2680="","",IF(Q2680=1,'02_대상물건입력'!$B$8,IFERROR(INDEX('04A_국토부원자료'!$A:$T,ROW()+1,MATCH("단지명",'04A_국토부원자료'!$A$4:$T$4,0)),"")))</f>
        <v/>
      </c>
      <c r="E2680" s="172">
        <f>IFERROR(VALUE(SUBSTITUTE(INDEX('04A_국토부원자료'!$A:$T,ROW()+1,MATCH("전용면적(㎡)",'04A_국토부원자료'!$A$4:$T$4,0)),",","")),"")</f>
        <v/>
      </c>
      <c r="F26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80" s="51">
        <f>IFERROR(VALUE(SUBSTITUTE(INDEX('04A_국토부원자료'!$A:$T,ROW()+1,MATCH("거래금액(만원)",'04A_국토부원자료'!$A$4:$T$4,0)),",","")),"")</f>
        <v/>
      </c>
      <c r="H2680" s="174">
        <f>IF(G2680="","",G2680*10000)</f>
        <v/>
      </c>
      <c r="I2680" s="174">
        <f>IFERROR(IF(AND(H2680&gt;0,E2680&gt;0),H2680/E2680,""),"")</f>
        <v/>
      </c>
      <c r="J2680" s="152">
        <f>IFERROR(VALUE(SUBSTITUTE(INDEX('04A_국토부원자료'!$A:$T,ROW()+1,MATCH("층",'04A_국토부원자료'!$A$4:$T$4,0)),",","")),"")</f>
        <v/>
      </c>
      <c r="K2680" s="152">
        <f>IFERROR(VALUE(SUBSTITUTE(INDEX('04A_국토부원자료'!$A:$T,ROW()+1,MATCH("건축년도",'04A_국토부원자료'!$A$4:$T$4,0)),",","")),"")</f>
        <v/>
      </c>
      <c r="L2680" s="48">
        <f>IFERROR(INDEX('04A_국토부원자료'!$A:$T,ROW()+1,MATCH("도로명",'04A_국토부원자료'!$A$4:$T$4,0)),"")</f>
        <v/>
      </c>
      <c r="M2680" s="48">
        <f>IFERROR(INDEX('04A_국토부원자료'!$A:$T,ROW()+1,MATCH("거래유형",'04A_국토부원자료'!$A$4:$T$4,0)),"")</f>
        <v/>
      </c>
      <c r="N2680" s="152">
        <f>IF(B2680="","",IF('02_대상물건입력'!B5="",1,IF(ISNUMBER(SEARCH('02_대상물건입력'!B5,B2680)),1,0)))</f>
        <v/>
      </c>
      <c r="O2680" s="152">
        <f>IF(B2680="","",IF('02_대상물건입력'!B6="",1,IF(ISNUMBER(SEARCH('02_대상물건입력'!B6,B2680)),1,0)))</f>
        <v/>
      </c>
      <c r="P2680" s="152">
        <f>IF(L2680="","",IF('02_대상물건입력'!B15="",0,IF(ISNUMBER(SEARCH('02_대상물건입력'!B15,L2680)),1,0)))</f>
        <v/>
      </c>
      <c r="Q2680" s="152">
        <f>IF(OR(C2680="",L2680=""),0,IF(AND(TRIM(C2680)=TRIM(RIGHT(SUBSTITUTE(TRIM('02_대상물건입력'!$B$7)," ",REPT(" ",99)),99)),IF('02_대상물건입력'!B15="",TRUE(),ISNUMBER(SEARCH('02_대상물건입력'!B15,L2680)))),1,0))</f>
        <v/>
      </c>
      <c r="R2680" s="175">
        <f>IFERROR(ABS(E2680-'02_대상물건입력'!B11)/'02_대상물건입력'!B11,"")</f>
        <v/>
      </c>
      <c r="S2680" s="152">
        <f>IFERROR(ABS(J2680-'02_대상물건입력'!B10),"")</f>
        <v/>
      </c>
      <c r="T2680" s="152">
        <f>IFERROR(ABS('01_설정'!B4-F2680),"")</f>
        <v/>
      </c>
      <c r="U2680" s="152">
        <f>IFERROR(ABS(K2680-YEAR('02_대상물건입력'!B14)),"")</f>
        <v/>
      </c>
      <c r="V2680" s="152">
        <f>IF(B2680="","",IF(AND(E2680&gt;0,F2680&gt;0,H2680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2680=1,TRUE()),R2680&lt;='01_설정'!B5,S2680&lt;='01_설정'!B6,T2680&lt;='01_설정'!B7,U2680&lt;='01_설정'!B8),"Y",""))</f>
        <v/>
      </c>
      <c r="W2680" s="172">
        <f>IF(V2680&lt;&gt;"Y","",MAX(0,(1-R2680/'01_설정'!B5))*'01_설정'!B14+MAX(0,(1-S2680/'01_설정'!B6))*'01_설정'!B15+MAX(0,(1-T2680/'01_설정'!B7))*'01_설정'!B16+MAX(0,(1-U2680/'01_설정'!B8))*'01_설정'!B17+O2680*'01_설정'!B11+Q2680*'01_설정'!B12+P2680*'01_설정'!B13+IF(Z2680="",0,Z2680))</f>
        <v/>
      </c>
      <c r="X2680" s="152">
        <f>IF(W2680="","",1+COUNTIFS($W$4:$W$3003,"&gt;"&amp;W2680)+COUNTIFS($W$4:W2680,W2680)-1)</f>
        <v/>
      </c>
      <c r="Y2680" s="175">
        <f>IF(OR(I2680="",'02_대상물건입력'!B19="",'02_대상물건입력'!B19&lt;=0),"",ABS(I2680-'02_대상물건입력'!B19)/'02_대상물건입력'!B19)</f>
        <v/>
      </c>
      <c r="Z2680" s="172">
        <f>IF(OR(Y2680="",'01_설정'!B31="",'01_설정'!B31&lt;=0,'01_설정'!B32="",'01_설정'!B32&lt;=0),"",MAX(0,(1-Y2680/'01_설정'!B32))*'01_설정'!B31)</f>
        <v/>
      </c>
    </row>
    <row r="2681" ht="17.25" customHeight="1">
      <c r="A2681" s="152">
        <f>IF(INDEX('04A_국토부원자료'!$A:$A,ROW()+1)="","",ROW()-3)</f>
        <v/>
      </c>
      <c r="B2681" s="48">
        <f>IFERROR(INDEX('04A_국토부원자료'!$A:$T,ROW()+1,MATCH("시군구",'04A_국토부원자료'!$A$4:$T$4,0)),"")</f>
        <v/>
      </c>
      <c r="C2681" s="48">
        <f>IF(B2681="","",IFERROR(INDEX('04A_국토부원자료'!$A:$T,ROW()+1,MATCH("번지",'04A_국토부원자료'!$A$4:$T$4,0)),""))</f>
        <v/>
      </c>
      <c r="D2681" s="48">
        <f>IF(B2681="","",IF(Q2681=1,'02_대상물건입력'!$B$8,IFERROR(INDEX('04A_국토부원자료'!$A:$T,ROW()+1,MATCH("단지명",'04A_국토부원자료'!$A$4:$T$4,0)),"")))</f>
        <v/>
      </c>
      <c r="E2681" s="172">
        <f>IFERROR(VALUE(SUBSTITUTE(INDEX('04A_국토부원자료'!$A:$T,ROW()+1,MATCH("전용면적(㎡)",'04A_국토부원자료'!$A$4:$T$4,0)),",","")),"")</f>
        <v/>
      </c>
      <c r="F26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81" s="51">
        <f>IFERROR(VALUE(SUBSTITUTE(INDEX('04A_국토부원자료'!$A:$T,ROW()+1,MATCH("거래금액(만원)",'04A_국토부원자료'!$A$4:$T$4,0)),",","")),"")</f>
        <v/>
      </c>
      <c r="H2681" s="174">
        <f>IF(G2681="","",G2681*10000)</f>
        <v/>
      </c>
      <c r="I2681" s="174">
        <f>IFERROR(IF(AND(H2681&gt;0,E2681&gt;0),H2681/E2681,""),"")</f>
        <v/>
      </c>
      <c r="J2681" s="152">
        <f>IFERROR(VALUE(SUBSTITUTE(INDEX('04A_국토부원자료'!$A:$T,ROW()+1,MATCH("층",'04A_국토부원자료'!$A$4:$T$4,0)),",","")),"")</f>
        <v/>
      </c>
      <c r="K2681" s="152">
        <f>IFERROR(VALUE(SUBSTITUTE(INDEX('04A_국토부원자료'!$A:$T,ROW()+1,MATCH("건축년도",'04A_국토부원자료'!$A$4:$T$4,0)),",","")),"")</f>
        <v/>
      </c>
      <c r="L2681" s="48">
        <f>IFERROR(INDEX('04A_국토부원자료'!$A:$T,ROW()+1,MATCH("도로명",'04A_국토부원자료'!$A$4:$T$4,0)),"")</f>
        <v/>
      </c>
      <c r="M2681" s="48">
        <f>IFERROR(INDEX('04A_국토부원자료'!$A:$T,ROW()+1,MATCH("거래유형",'04A_국토부원자료'!$A$4:$T$4,0)),"")</f>
        <v/>
      </c>
      <c r="N2681" s="152">
        <f>IF(B2681="","",IF('02_대상물건입력'!B5="",1,IF(ISNUMBER(SEARCH('02_대상물건입력'!B5,B2681)),1,0)))</f>
        <v/>
      </c>
      <c r="O2681" s="152">
        <f>IF(B2681="","",IF('02_대상물건입력'!B6="",1,IF(ISNUMBER(SEARCH('02_대상물건입력'!B6,B2681)),1,0)))</f>
        <v/>
      </c>
      <c r="P2681" s="152">
        <f>IF(L2681="","",IF('02_대상물건입력'!B15="",0,IF(ISNUMBER(SEARCH('02_대상물건입력'!B15,L2681)),1,0)))</f>
        <v/>
      </c>
      <c r="Q2681" s="152">
        <f>IF(OR(C2681="",L2681=""),0,IF(AND(TRIM(C2681)=TRIM(RIGHT(SUBSTITUTE(TRIM('02_대상물건입력'!$B$7)," ",REPT(" ",99)),99)),IF('02_대상물건입력'!B15="",TRUE(),ISNUMBER(SEARCH('02_대상물건입력'!B15,L2681)))),1,0))</f>
        <v/>
      </c>
      <c r="R2681" s="175">
        <f>IFERROR(ABS(E2681-'02_대상물건입력'!B11)/'02_대상물건입력'!B11,"")</f>
        <v/>
      </c>
      <c r="S2681" s="152">
        <f>IFERROR(ABS(J2681-'02_대상물건입력'!B10),"")</f>
        <v/>
      </c>
      <c r="T2681" s="152">
        <f>IFERROR(ABS('01_설정'!B4-F2681),"")</f>
        <v/>
      </c>
      <c r="U2681" s="152">
        <f>IFERROR(ABS(K2681-YEAR('02_대상물건입력'!B14)),"")</f>
        <v/>
      </c>
      <c r="V2681" s="152">
        <f>IF(B2681="","",IF(AND(E2681&gt;0,F2681&gt;0,H2681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2681=1,TRUE()),R2681&lt;='01_설정'!B5,S2681&lt;='01_설정'!B6,T2681&lt;='01_설정'!B7,U2681&lt;='01_설정'!B8),"Y",""))</f>
        <v/>
      </c>
      <c r="W2681" s="172">
        <f>IF(V2681&lt;&gt;"Y","",MAX(0,(1-R2681/'01_설정'!B5))*'01_설정'!B14+MAX(0,(1-S2681/'01_설정'!B6))*'01_설정'!B15+MAX(0,(1-T2681/'01_설정'!B7))*'01_설정'!B16+MAX(0,(1-U2681/'01_설정'!B8))*'01_설정'!B17+O2681*'01_설정'!B11+Q2681*'01_설정'!B12+P2681*'01_설정'!B13+IF(Z2681="",0,Z2681))</f>
        <v/>
      </c>
      <c r="X2681" s="152">
        <f>IF(W2681="","",1+COUNTIFS($W$4:$W$3003,"&gt;"&amp;W2681)+COUNTIFS($W$4:W2681,W2681)-1)</f>
        <v/>
      </c>
      <c r="Y2681" s="175">
        <f>IF(OR(I2681="",'02_대상물건입력'!B19="",'02_대상물건입력'!B19&lt;=0),"",ABS(I2681-'02_대상물건입력'!B19)/'02_대상물건입력'!B19)</f>
        <v/>
      </c>
      <c r="Z2681" s="172">
        <f>IF(OR(Y2681="",'01_설정'!B31="",'01_설정'!B31&lt;=0,'01_설정'!B32="",'01_설정'!B32&lt;=0),"",MAX(0,(1-Y2681/'01_설정'!B32))*'01_설정'!B31)</f>
        <v/>
      </c>
    </row>
    <row r="2682" ht="17.25" customHeight="1">
      <c r="A2682" s="152">
        <f>IF(INDEX('04A_국토부원자료'!$A:$A,ROW()+1)="","",ROW()-3)</f>
        <v/>
      </c>
      <c r="B2682" s="48">
        <f>IFERROR(INDEX('04A_국토부원자료'!$A:$T,ROW()+1,MATCH("시군구",'04A_국토부원자료'!$A$4:$T$4,0)),"")</f>
        <v/>
      </c>
      <c r="C2682" s="48">
        <f>IF(B2682="","",IFERROR(INDEX('04A_국토부원자료'!$A:$T,ROW()+1,MATCH("번지",'04A_국토부원자료'!$A$4:$T$4,0)),""))</f>
        <v/>
      </c>
      <c r="D2682" s="48">
        <f>IF(B2682="","",IF(Q2682=1,'02_대상물건입력'!$B$8,IFERROR(INDEX('04A_국토부원자료'!$A:$T,ROW()+1,MATCH("단지명",'04A_국토부원자료'!$A$4:$T$4,0)),"")))</f>
        <v/>
      </c>
      <c r="E2682" s="172">
        <f>IFERROR(VALUE(SUBSTITUTE(INDEX('04A_국토부원자료'!$A:$T,ROW()+1,MATCH("전용면적(㎡)",'04A_국토부원자료'!$A$4:$T$4,0)),",","")),"")</f>
        <v/>
      </c>
      <c r="F26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82" s="51">
        <f>IFERROR(VALUE(SUBSTITUTE(INDEX('04A_국토부원자료'!$A:$T,ROW()+1,MATCH("거래금액(만원)",'04A_국토부원자료'!$A$4:$T$4,0)),",","")),"")</f>
        <v/>
      </c>
      <c r="H2682" s="174">
        <f>IF(G2682="","",G2682*10000)</f>
        <v/>
      </c>
      <c r="I2682" s="174">
        <f>IFERROR(IF(AND(H2682&gt;0,E2682&gt;0),H2682/E2682,""),"")</f>
        <v/>
      </c>
      <c r="J2682" s="152">
        <f>IFERROR(VALUE(SUBSTITUTE(INDEX('04A_국토부원자료'!$A:$T,ROW()+1,MATCH("층",'04A_국토부원자료'!$A$4:$T$4,0)),",","")),"")</f>
        <v/>
      </c>
      <c r="K2682" s="152">
        <f>IFERROR(VALUE(SUBSTITUTE(INDEX('04A_국토부원자료'!$A:$T,ROW()+1,MATCH("건축년도",'04A_국토부원자료'!$A$4:$T$4,0)),",","")),"")</f>
        <v/>
      </c>
      <c r="L2682" s="48">
        <f>IFERROR(INDEX('04A_국토부원자료'!$A:$T,ROW()+1,MATCH("도로명",'04A_국토부원자료'!$A$4:$T$4,0)),"")</f>
        <v/>
      </c>
      <c r="M2682" s="48">
        <f>IFERROR(INDEX('04A_국토부원자료'!$A:$T,ROW()+1,MATCH("거래유형",'04A_국토부원자료'!$A$4:$T$4,0)),"")</f>
        <v/>
      </c>
      <c r="N2682" s="152">
        <f>IF(B2682="","",IF('02_대상물건입력'!B5="",1,IF(ISNUMBER(SEARCH('02_대상물건입력'!B5,B2682)),1,0)))</f>
        <v/>
      </c>
      <c r="O2682" s="152">
        <f>IF(B2682="","",IF('02_대상물건입력'!B6="",1,IF(ISNUMBER(SEARCH('02_대상물건입력'!B6,B2682)),1,0)))</f>
        <v/>
      </c>
      <c r="P2682" s="152">
        <f>IF(L2682="","",IF('02_대상물건입력'!B15="",0,IF(ISNUMBER(SEARCH('02_대상물건입력'!B15,L2682)),1,0)))</f>
        <v/>
      </c>
      <c r="Q2682" s="152">
        <f>IF(OR(C2682="",L2682=""),0,IF(AND(TRIM(C2682)=TRIM(RIGHT(SUBSTITUTE(TRIM('02_대상물건입력'!$B$7)," ",REPT(" ",99)),99)),IF('02_대상물건입력'!B15="",TRUE(),ISNUMBER(SEARCH('02_대상물건입력'!B15,L2682)))),1,0))</f>
        <v/>
      </c>
      <c r="R2682" s="175">
        <f>IFERROR(ABS(E2682-'02_대상물건입력'!B11)/'02_대상물건입력'!B11,"")</f>
        <v/>
      </c>
      <c r="S2682" s="152">
        <f>IFERROR(ABS(J2682-'02_대상물건입력'!B10),"")</f>
        <v/>
      </c>
      <c r="T2682" s="152">
        <f>IFERROR(ABS('01_설정'!B4-F2682),"")</f>
        <v/>
      </c>
      <c r="U2682" s="152">
        <f>IFERROR(ABS(K2682-YEAR('02_대상물건입력'!B14)),"")</f>
        <v/>
      </c>
      <c r="V2682" s="152">
        <f>IF(B2682="","",IF(AND(E2682&gt;0,F2682&gt;0,H2682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2682=1,TRUE()),R2682&lt;='01_설정'!B5,S2682&lt;='01_설정'!B6,T2682&lt;='01_설정'!B7,U2682&lt;='01_설정'!B8),"Y",""))</f>
        <v/>
      </c>
      <c r="W2682" s="172">
        <f>IF(V2682&lt;&gt;"Y","",MAX(0,(1-R2682/'01_설정'!B5))*'01_설정'!B14+MAX(0,(1-S2682/'01_설정'!B6))*'01_설정'!B15+MAX(0,(1-T2682/'01_설정'!B7))*'01_설정'!B16+MAX(0,(1-U2682/'01_설정'!B8))*'01_설정'!B17+O2682*'01_설정'!B11+Q2682*'01_설정'!B12+P2682*'01_설정'!B13+IF(Z2682="",0,Z2682))</f>
        <v/>
      </c>
      <c r="X2682" s="152">
        <f>IF(W2682="","",1+COUNTIFS($W$4:$W$3003,"&gt;"&amp;W2682)+COUNTIFS($W$4:W2682,W2682)-1)</f>
        <v/>
      </c>
      <c r="Y2682" s="175">
        <f>IF(OR(I2682="",'02_대상물건입력'!B19="",'02_대상물건입력'!B19&lt;=0),"",ABS(I2682-'02_대상물건입력'!B19)/'02_대상물건입력'!B19)</f>
        <v/>
      </c>
      <c r="Z2682" s="172">
        <f>IF(OR(Y2682="",'01_설정'!B31="",'01_설정'!B31&lt;=0,'01_설정'!B32="",'01_설정'!B32&lt;=0),"",MAX(0,(1-Y2682/'01_설정'!B32))*'01_설정'!B31)</f>
        <v/>
      </c>
    </row>
    <row r="2683" ht="17.25" customHeight="1">
      <c r="A2683" s="152">
        <f>IF(INDEX('04A_국토부원자료'!$A:$A,ROW()+1)="","",ROW()-3)</f>
        <v/>
      </c>
      <c r="B2683" s="48">
        <f>IFERROR(INDEX('04A_국토부원자료'!$A:$T,ROW()+1,MATCH("시군구",'04A_국토부원자료'!$A$4:$T$4,0)),"")</f>
        <v/>
      </c>
      <c r="C2683" s="48">
        <f>IF(B2683="","",IFERROR(INDEX('04A_국토부원자료'!$A:$T,ROW()+1,MATCH("번지",'04A_국토부원자료'!$A$4:$T$4,0)),""))</f>
        <v/>
      </c>
      <c r="D2683" s="48">
        <f>IF(B2683="","",IF(Q2683=1,'02_대상물건입력'!$B$8,IFERROR(INDEX('04A_국토부원자료'!$A:$T,ROW()+1,MATCH("단지명",'04A_국토부원자료'!$A$4:$T$4,0)),"")))</f>
        <v/>
      </c>
      <c r="E2683" s="172">
        <f>IFERROR(VALUE(SUBSTITUTE(INDEX('04A_국토부원자료'!$A:$T,ROW()+1,MATCH("전용면적(㎡)",'04A_국토부원자료'!$A$4:$T$4,0)),",","")),"")</f>
        <v/>
      </c>
      <c r="F26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83" s="51">
        <f>IFERROR(VALUE(SUBSTITUTE(INDEX('04A_국토부원자료'!$A:$T,ROW()+1,MATCH("거래금액(만원)",'04A_국토부원자료'!$A$4:$T$4,0)),",","")),"")</f>
        <v/>
      </c>
      <c r="H2683" s="174">
        <f>IF(G2683="","",G2683*10000)</f>
        <v/>
      </c>
      <c r="I2683" s="174">
        <f>IFERROR(IF(AND(H2683&gt;0,E2683&gt;0),H2683/E2683,""),"")</f>
        <v/>
      </c>
      <c r="J2683" s="152">
        <f>IFERROR(VALUE(SUBSTITUTE(INDEX('04A_국토부원자료'!$A:$T,ROW()+1,MATCH("층",'04A_국토부원자료'!$A$4:$T$4,0)),",","")),"")</f>
        <v/>
      </c>
      <c r="K2683" s="152">
        <f>IFERROR(VALUE(SUBSTITUTE(INDEX('04A_국토부원자료'!$A:$T,ROW()+1,MATCH("건축년도",'04A_국토부원자료'!$A$4:$T$4,0)),",","")),"")</f>
        <v/>
      </c>
      <c r="L2683" s="48">
        <f>IFERROR(INDEX('04A_국토부원자료'!$A:$T,ROW()+1,MATCH("도로명",'04A_국토부원자료'!$A$4:$T$4,0)),"")</f>
        <v/>
      </c>
      <c r="M2683" s="48">
        <f>IFERROR(INDEX('04A_국토부원자료'!$A:$T,ROW()+1,MATCH("거래유형",'04A_국토부원자료'!$A$4:$T$4,0)),"")</f>
        <v/>
      </c>
      <c r="N2683" s="152">
        <f>IF(B2683="","",IF('02_대상물건입력'!B5="",1,IF(ISNUMBER(SEARCH('02_대상물건입력'!B5,B2683)),1,0)))</f>
        <v/>
      </c>
      <c r="O2683" s="152">
        <f>IF(B2683="","",IF('02_대상물건입력'!B6="",1,IF(ISNUMBER(SEARCH('02_대상물건입력'!B6,B2683)),1,0)))</f>
        <v/>
      </c>
      <c r="P2683" s="152">
        <f>IF(L2683="","",IF('02_대상물건입력'!B15="",0,IF(ISNUMBER(SEARCH('02_대상물건입력'!B15,L2683)),1,0)))</f>
        <v/>
      </c>
      <c r="Q2683" s="152">
        <f>IF(OR(C2683="",L2683=""),0,IF(AND(TRIM(C2683)=TRIM(RIGHT(SUBSTITUTE(TRIM('02_대상물건입력'!$B$7)," ",REPT(" ",99)),99)),IF('02_대상물건입력'!B15="",TRUE(),ISNUMBER(SEARCH('02_대상물건입력'!B15,L2683)))),1,0))</f>
        <v/>
      </c>
      <c r="R2683" s="175">
        <f>IFERROR(ABS(E2683-'02_대상물건입력'!B11)/'02_대상물건입력'!B11,"")</f>
        <v/>
      </c>
      <c r="S2683" s="152">
        <f>IFERROR(ABS(J2683-'02_대상물건입력'!B10),"")</f>
        <v/>
      </c>
      <c r="T2683" s="152">
        <f>IFERROR(ABS('01_설정'!B4-F2683),"")</f>
        <v/>
      </c>
      <c r="U2683" s="152">
        <f>IFERROR(ABS(K2683-YEAR('02_대상물건입력'!B14)),"")</f>
        <v/>
      </c>
      <c r="V2683" s="152">
        <f>IF(B2683="","",IF(AND(E2683&gt;0,F2683&gt;0,H2683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2683=1,TRUE()),R2683&lt;='01_설정'!B5,S2683&lt;='01_설정'!B6,T2683&lt;='01_설정'!B7,U2683&lt;='01_설정'!B8),"Y",""))</f>
        <v/>
      </c>
      <c r="W2683" s="172">
        <f>IF(V2683&lt;&gt;"Y","",MAX(0,(1-R2683/'01_설정'!B5))*'01_설정'!B14+MAX(0,(1-S2683/'01_설정'!B6))*'01_설정'!B15+MAX(0,(1-T2683/'01_설정'!B7))*'01_설정'!B16+MAX(0,(1-U2683/'01_설정'!B8))*'01_설정'!B17+O2683*'01_설정'!B11+Q2683*'01_설정'!B12+P2683*'01_설정'!B13+IF(Z2683="",0,Z2683))</f>
        <v/>
      </c>
      <c r="X2683" s="152">
        <f>IF(W2683="","",1+COUNTIFS($W$4:$W$3003,"&gt;"&amp;W2683)+COUNTIFS($W$4:W2683,W2683)-1)</f>
        <v/>
      </c>
      <c r="Y2683" s="175">
        <f>IF(OR(I2683="",'02_대상물건입력'!B19="",'02_대상물건입력'!B19&lt;=0),"",ABS(I2683-'02_대상물건입력'!B19)/'02_대상물건입력'!B19)</f>
        <v/>
      </c>
      <c r="Z2683" s="172">
        <f>IF(OR(Y2683="",'01_설정'!B31="",'01_설정'!B31&lt;=0,'01_설정'!B32="",'01_설정'!B32&lt;=0),"",MAX(0,(1-Y2683/'01_설정'!B32))*'01_설정'!B31)</f>
        <v/>
      </c>
    </row>
    <row r="2684" ht="17.25" customHeight="1">
      <c r="A2684" s="152">
        <f>IF(INDEX('04A_국토부원자료'!$A:$A,ROW()+1)="","",ROW()-3)</f>
        <v/>
      </c>
      <c r="B2684" s="48">
        <f>IFERROR(INDEX('04A_국토부원자료'!$A:$T,ROW()+1,MATCH("시군구",'04A_국토부원자료'!$A$4:$T$4,0)),"")</f>
        <v/>
      </c>
      <c r="C2684" s="48">
        <f>IF(B2684="","",IFERROR(INDEX('04A_국토부원자료'!$A:$T,ROW()+1,MATCH("번지",'04A_국토부원자료'!$A$4:$T$4,0)),""))</f>
        <v/>
      </c>
      <c r="D2684" s="48">
        <f>IF(B2684="","",IF(Q2684=1,'02_대상물건입력'!$B$8,IFERROR(INDEX('04A_국토부원자료'!$A:$T,ROW()+1,MATCH("단지명",'04A_국토부원자료'!$A$4:$T$4,0)),"")))</f>
        <v/>
      </c>
      <c r="E2684" s="172">
        <f>IFERROR(VALUE(SUBSTITUTE(INDEX('04A_국토부원자료'!$A:$T,ROW()+1,MATCH("전용면적(㎡)",'04A_국토부원자료'!$A$4:$T$4,0)),",","")),"")</f>
        <v/>
      </c>
      <c r="F26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84" s="51">
        <f>IFERROR(VALUE(SUBSTITUTE(INDEX('04A_국토부원자료'!$A:$T,ROW()+1,MATCH("거래금액(만원)",'04A_국토부원자료'!$A$4:$T$4,0)),",","")),"")</f>
        <v/>
      </c>
      <c r="H2684" s="174">
        <f>IF(G2684="","",G2684*10000)</f>
        <v/>
      </c>
      <c r="I2684" s="174">
        <f>IFERROR(IF(AND(H2684&gt;0,E2684&gt;0),H2684/E2684,""),"")</f>
        <v/>
      </c>
      <c r="J2684" s="152">
        <f>IFERROR(VALUE(SUBSTITUTE(INDEX('04A_국토부원자료'!$A:$T,ROW()+1,MATCH("층",'04A_국토부원자료'!$A$4:$T$4,0)),",","")),"")</f>
        <v/>
      </c>
      <c r="K2684" s="152">
        <f>IFERROR(VALUE(SUBSTITUTE(INDEX('04A_국토부원자료'!$A:$T,ROW()+1,MATCH("건축년도",'04A_국토부원자료'!$A$4:$T$4,0)),",","")),"")</f>
        <v/>
      </c>
      <c r="L2684" s="48">
        <f>IFERROR(INDEX('04A_국토부원자료'!$A:$T,ROW()+1,MATCH("도로명",'04A_국토부원자료'!$A$4:$T$4,0)),"")</f>
        <v/>
      </c>
      <c r="M2684" s="48">
        <f>IFERROR(INDEX('04A_국토부원자료'!$A:$T,ROW()+1,MATCH("거래유형",'04A_국토부원자료'!$A$4:$T$4,0)),"")</f>
        <v/>
      </c>
      <c r="N2684" s="152">
        <f>IF(B2684="","",IF('02_대상물건입력'!B5="",1,IF(ISNUMBER(SEARCH('02_대상물건입력'!B5,B2684)),1,0)))</f>
        <v/>
      </c>
      <c r="O2684" s="152">
        <f>IF(B2684="","",IF('02_대상물건입력'!B6="",1,IF(ISNUMBER(SEARCH('02_대상물건입력'!B6,B2684)),1,0)))</f>
        <v/>
      </c>
      <c r="P2684" s="152">
        <f>IF(L2684="","",IF('02_대상물건입력'!B15="",0,IF(ISNUMBER(SEARCH('02_대상물건입력'!B15,L2684)),1,0)))</f>
        <v/>
      </c>
      <c r="Q2684" s="152">
        <f>IF(OR(C2684="",L2684=""),0,IF(AND(TRIM(C2684)=TRIM(RIGHT(SUBSTITUTE(TRIM('02_대상물건입력'!$B$7)," ",REPT(" ",99)),99)),IF('02_대상물건입력'!B15="",TRUE(),ISNUMBER(SEARCH('02_대상물건입력'!B15,L2684)))),1,0))</f>
        <v/>
      </c>
      <c r="R2684" s="175">
        <f>IFERROR(ABS(E2684-'02_대상물건입력'!B11)/'02_대상물건입력'!B11,"")</f>
        <v/>
      </c>
      <c r="S2684" s="152">
        <f>IFERROR(ABS(J2684-'02_대상물건입력'!B10),"")</f>
        <v/>
      </c>
      <c r="T2684" s="152">
        <f>IFERROR(ABS('01_설정'!B4-F2684),"")</f>
        <v/>
      </c>
      <c r="U2684" s="152">
        <f>IFERROR(ABS(K2684-YEAR('02_대상물건입력'!B14)),"")</f>
        <v/>
      </c>
      <c r="V2684" s="152">
        <f>IF(B2684="","",IF(AND(E2684&gt;0,F2684&gt;0,H2684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2684=1,TRUE()),R2684&lt;='01_설정'!B5,S2684&lt;='01_설정'!B6,T2684&lt;='01_설정'!B7,U2684&lt;='01_설정'!B8),"Y",""))</f>
        <v/>
      </c>
      <c r="W2684" s="172">
        <f>IF(V2684&lt;&gt;"Y","",MAX(0,(1-R2684/'01_설정'!B5))*'01_설정'!B14+MAX(0,(1-S2684/'01_설정'!B6))*'01_설정'!B15+MAX(0,(1-T2684/'01_설정'!B7))*'01_설정'!B16+MAX(0,(1-U2684/'01_설정'!B8))*'01_설정'!B17+O2684*'01_설정'!B11+Q2684*'01_설정'!B12+P2684*'01_설정'!B13+IF(Z2684="",0,Z2684))</f>
        <v/>
      </c>
      <c r="X2684" s="152">
        <f>IF(W2684="","",1+COUNTIFS($W$4:$W$3003,"&gt;"&amp;W2684)+COUNTIFS($W$4:W2684,W2684)-1)</f>
        <v/>
      </c>
      <c r="Y2684" s="175">
        <f>IF(OR(I2684="",'02_대상물건입력'!B19="",'02_대상물건입력'!B19&lt;=0),"",ABS(I2684-'02_대상물건입력'!B19)/'02_대상물건입력'!B19)</f>
        <v/>
      </c>
      <c r="Z2684" s="172">
        <f>IF(OR(Y2684="",'01_설정'!B31="",'01_설정'!B31&lt;=0,'01_설정'!B32="",'01_설정'!B32&lt;=0),"",MAX(0,(1-Y2684/'01_설정'!B32))*'01_설정'!B31)</f>
        <v/>
      </c>
    </row>
    <row r="2685" ht="17.25" customHeight="1">
      <c r="A2685" s="152">
        <f>IF(INDEX('04A_국토부원자료'!$A:$A,ROW()+1)="","",ROW()-3)</f>
        <v/>
      </c>
      <c r="B2685" s="48">
        <f>IFERROR(INDEX('04A_국토부원자료'!$A:$T,ROW()+1,MATCH("시군구",'04A_국토부원자료'!$A$4:$T$4,0)),"")</f>
        <v/>
      </c>
      <c r="C2685" s="48">
        <f>IF(B2685="","",IFERROR(INDEX('04A_국토부원자료'!$A:$T,ROW()+1,MATCH("번지",'04A_국토부원자료'!$A$4:$T$4,0)),""))</f>
        <v/>
      </c>
      <c r="D2685" s="48">
        <f>IF(B2685="","",IF(Q2685=1,'02_대상물건입력'!$B$8,IFERROR(INDEX('04A_국토부원자료'!$A:$T,ROW()+1,MATCH("단지명",'04A_국토부원자료'!$A$4:$T$4,0)),"")))</f>
        <v/>
      </c>
      <c r="E2685" s="172">
        <f>IFERROR(VALUE(SUBSTITUTE(INDEX('04A_국토부원자료'!$A:$T,ROW()+1,MATCH("전용면적(㎡)",'04A_국토부원자료'!$A$4:$T$4,0)),",","")),"")</f>
        <v/>
      </c>
      <c r="F26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85" s="51">
        <f>IFERROR(VALUE(SUBSTITUTE(INDEX('04A_국토부원자료'!$A:$T,ROW()+1,MATCH("거래금액(만원)",'04A_국토부원자료'!$A$4:$T$4,0)),",","")),"")</f>
        <v/>
      </c>
      <c r="H2685" s="174">
        <f>IF(G2685="","",G2685*10000)</f>
        <v/>
      </c>
      <c r="I2685" s="174">
        <f>IFERROR(IF(AND(H2685&gt;0,E2685&gt;0),H2685/E2685,""),"")</f>
        <v/>
      </c>
      <c r="J2685" s="152">
        <f>IFERROR(VALUE(SUBSTITUTE(INDEX('04A_국토부원자료'!$A:$T,ROW()+1,MATCH("층",'04A_국토부원자료'!$A$4:$T$4,0)),",","")),"")</f>
        <v/>
      </c>
      <c r="K2685" s="152">
        <f>IFERROR(VALUE(SUBSTITUTE(INDEX('04A_국토부원자료'!$A:$T,ROW()+1,MATCH("건축년도",'04A_국토부원자료'!$A$4:$T$4,0)),",","")),"")</f>
        <v/>
      </c>
      <c r="L2685" s="48">
        <f>IFERROR(INDEX('04A_국토부원자료'!$A:$T,ROW()+1,MATCH("도로명",'04A_국토부원자료'!$A$4:$T$4,0)),"")</f>
        <v/>
      </c>
      <c r="M2685" s="48">
        <f>IFERROR(INDEX('04A_국토부원자료'!$A:$T,ROW()+1,MATCH("거래유형",'04A_국토부원자료'!$A$4:$T$4,0)),"")</f>
        <v/>
      </c>
      <c r="N2685" s="152">
        <f>IF(B2685="","",IF('02_대상물건입력'!B5="",1,IF(ISNUMBER(SEARCH('02_대상물건입력'!B5,B2685)),1,0)))</f>
        <v/>
      </c>
      <c r="O2685" s="152">
        <f>IF(B2685="","",IF('02_대상물건입력'!B6="",1,IF(ISNUMBER(SEARCH('02_대상물건입력'!B6,B2685)),1,0)))</f>
        <v/>
      </c>
      <c r="P2685" s="152">
        <f>IF(L2685="","",IF('02_대상물건입력'!B15="",0,IF(ISNUMBER(SEARCH('02_대상물건입력'!B15,L2685)),1,0)))</f>
        <v/>
      </c>
      <c r="Q2685" s="152">
        <f>IF(OR(C2685="",L2685=""),0,IF(AND(TRIM(C2685)=TRIM(RIGHT(SUBSTITUTE(TRIM('02_대상물건입력'!$B$7)," ",REPT(" ",99)),99)),IF('02_대상물건입력'!B15="",TRUE(),ISNUMBER(SEARCH('02_대상물건입력'!B15,L2685)))),1,0))</f>
        <v/>
      </c>
      <c r="R2685" s="175">
        <f>IFERROR(ABS(E2685-'02_대상물건입력'!B11)/'02_대상물건입력'!B11,"")</f>
        <v/>
      </c>
      <c r="S2685" s="152">
        <f>IFERROR(ABS(J2685-'02_대상물건입력'!B10),"")</f>
        <v/>
      </c>
      <c r="T2685" s="152">
        <f>IFERROR(ABS('01_설정'!B4-F2685),"")</f>
        <v/>
      </c>
      <c r="U2685" s="152">
        <f>IFERROR(ABS(K2685-YEAR('02_대상물건입력'!B14)),"")</f>
        <v/>
      </c>
      <c r="V2685" s="152">
        <f>IF(B2685="","",IF(AND(E2685&gt;0,F2685&gt;0,H2685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2685=1,TRUE()),R2685&lt;='01_설정'!B5,S2685&lt;='01_설정'!B6,T2685&lt;='01_설정'!B7,U2685&lt;='01_설정'!B8),"Y",""))</f>
        <v/>
      </c>
      <c r="W2685" s="172">
        <f>IF(V2685&lt;&gt;"Y","",MAX(0,(1-R2685/'01_설정'!B5))*'01_설정'!B14+MAX(0,(1-S2685/'01_설정'!B6))*'01_설정'!B15+MAX(0,(1-T2685/'01_설정'!B7))*'01_설정'!B16+MAX(0,(1-U2685/'01_설정'!B8))*'01_설정'!B17+O2685*'01_설정'!B11+Q2685*'01_설정'!B12+P2685*'01_설정'!B13+IF(Z2685="",0,Z2685))</f>
        <v/>
      </c>
      <c r="X2685" s="152">
        <f>IF(W2685="","",1+COUNTIFS($W$4:$W$3003,"&gt;"&amp;W2685)+COUNTIFS($W$4:W2685,W2685)-1)</f>
        <v/>
      </c>
      <c r="Y2685" s="175">
        <f>IF(OR(I2685="",'02_대상물건입력'!B19="",'02_대상물건입력'!B19&lt;=0),"",ABS(I2685-'02_대상물건입력'!B19)/'02_대상물건입력'!B19)</f>
        <v/>
      </c>
      <c r="Z2685" s="172">
        <f>IF(OR(Y2685="",'01_설정'!B31="",'01_설정'!B31&lt;=0,'01_설정'!B32="",'01_설정'!B32&lt;=0),"",MAX(0,(1-Y2685/'01_설정'!B32))*'01_설정'!B31)</f>
        <v/>
      </c>
    </row>
    <row r="2686" ht="17.25" customHeight="1">
      <c r="A2686" s="152">
        <f>IF(INDEX('04A_국토부원자료'!$A:$A,ROW()+1)="","",ROW()-3)</f>
        <v/>
      </c>
      <c r="B2686" s="48">
        <f>IFERROR(INDEX('04A_국토부원자료'!$A:$T,ROW()+1,MATCH("시군구",'04A_국토부원자료'!$A$4:$T$4,0)),"")</f>
        <v/>
      </c>
      <c r="C2686" s="48">
        <f>IF(B2686="","",IFERROR(INDEX('04A_국토부원자료'!$A:$T,ROW()+1,MATCH("번지",'04A_국토부원자료'!$A$4:$T$4,0)),""))</f>
        <v/>
      </c>
      <c r="D2686" s="48">
        <f>IF(B2686="","",IF(Q2686=1,'02_대상물건입력'!$B$8,IFERROR(INDEX('04A_국토부원자료'!$A:$T,ROW()+1,MATCH("단지명",'04A_국토부원자료'!$A$4:$T$4,0)),"")))</f>
        <v/>
      </c>
      <c r="E2686" s="172">
        <f>IFERROR(VALUE(SUBSTITUTE(INDEX('04A_국토부원자료'!$A:$T,ROW()+1,MATCH("전용면적(㎡)",'04A_국토부원자료'!$A$4:$T$4,0)),",","")),"")</f>
        <v/>
      </c>
      <c r="F26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86" s="51">
        <f>IFERROR(VALUE(SUBSTITUTE(INDEX('04A_국토부원자료'!$A:$T,ROW()+1,MATCH("거래금액(만원)",'04A_국토부원자료'!$A$4:$T$4,0)),",","")),"")</f>
        <v/>
      </c>
      <c r="H2686" s="174">
        <f>IF(G2686="","",G2686*10000)</f>
        <v/>
      </c>
      <c r="I2686" s="174">
        <f>IFERROR(IF(AND(H2686&gt;0,E2686&gt;0),H2686/E2686,""),"")</f>
        <v/>
      </c>
      <c r="J2686" s="152">
        <f>IFERROR(VALUE(SUBSTITUTE(INDEX('04A_국토부원자료'!$A:$T,ROW()+1,MATCH("층",'04A_국토부원자료'!$A$4:$T$4,0)),",","")),"")</f>
        <v/>
      </c>
      <c r="K2686" s="152">
        <f>IFERROR(VALUE(SUBSTITUTE(INDEX('04A_국토부원자료'!$A:$T,ROW()+1,MATCH("건축년도",'04A_국토부원자료'!$A$4:$T$4,0)),",","")),"")</f>
        <v/>
      </c>
      <c r="L2686" s="48">
        <f>IFERROR(INDEX('04A_국토부원자료'!$A:$T,ROW()+1,MATCH("도로명",'04A_국토부원자료'!$A$4:$T$4,0)),"")</f>
        <v/>
      </c>
      <c r="M2686" s="48">
        <f>IFERROR(INDEX('04A_국토부원자료'!$A:$T,ROW()+1,MATCH("거래유형",'04A_국토부원자료'!$A$4:$T$4,0)),"")</f>
        <v/>
      </c>
      <c r="N2686" s="152">
        <f>IF(B2686="","",IF('02_대상물건입력'!B5="",1,IF(ISNUMBER(SEARCH('02_대상물건입력'!B5,B2686)),1,0)))</f>
        <v/>
      </c>
      <c r="O2686" s="152">
        <f>IF(B2686="","",IF('02_대상물건입력'!B6="",1,IF(ISNUMBER(SEARCH('02_대상물건입력'!B6,B2686)),1,0)))</f>
        <v/>
      </c>
      <c r="P2686" s="152">
        <f>IF(L2686="","",IF('02_대상물건입력'!B15="",0,IF(ISNUMBER(SEARCH('02_대상물건입력'!B15,L2686)),1,0)))</f>
        <v/>
      </c>
      <c r="Q2686" s="152">
        <f>IF(OR(C2686="",L2686=""),0,IF(AND(TRIM(C2686)=TRIM(RIGHT(SUBSTITUTE(TRIM('02_대상물건입력'!$B$7)," ",REPT(" ",99)),99)),IF('02_대상물건입력'!B15="",TRUE(),ISNUMBER(SEARCH('02_대상물건입력'!B15,L2686)))),1,0))</f>
        <v/>
      </c>
      <c r="R2686" s="175">
        <f>IFERROR(ABS(E2686-'02_대상물건입력'!B11)/'02_대상물건입력'!B11,"")</f>
        <v/>
      </c>
      <c r="S2686" s="152">
        <f>IFERROR(ABS(J2686-'02_대상물건입력'!B10),"")</f>
        <v/>
      </c>
      <c r="T2686" s="152">
        <f>IFERROR(ABS('01_설정'!B4-F2686),"")</f>
        <v/>
      </c>
      <c r="U2686" s="152">
        <f>IFERROR(ABS(K2686-YEAR('02_대상물건입력'!B14)),"")</f>
        <v/>
      </c>
      <c r="V2686" s="152">
        <f>IF(B2686="","",IF(AND(E2686&gt;0,F2686&gt;0,H2686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2686=1,TRUE()),R2686&lt;='01_설정'!B5,S2686&lt;='01_설정'!B6,T2686&lt;='01_설정'!B7,U2686&lt;='01_설정'!B8),"Y",""))</f>
        <v/>
      </c>
      <c r="W2686" s="172">
        <f>IF(V2686&lt;&gt;"Y","",MAX(0,(1-R2686/'01_설정'!B5))*'01_설정'!B14+MAX(0,(1-S2686/'01_설정'!B6))*'01_설정'!B15+MAX(0,(1-T2686/'01_설정'!B7))*'01_설정'!B16+MAX(0,(1-U2686/'01_설정'!B8))*'01_설정'!B17+O2686*'01_설정'!B11+Q2686*'01_설정'!B12+P2686*'01_설정'!B13+IF(Z2686="",0,Z2686))</f>
        <v/>
      </c>
      <c r="X2686" s="152">
        <f>IF(W2686="","",1+COUNTIFS($W$4:$W$3003,"&gt;"&amp;W2686)+COUNTIFS($W$4:W2686,W2686)-1)</f>
        <v/>
      </c>
      <c r="Y2686" s="175">
        <f>IF(OR(I2686="",'02_대상물건입력'!B19="",'02_대상물건입력'!B19&lt;=0),"",ABS(I2686-'02_대상물건입력'!B19)/'02_대상물건입력'!B19)</f>
        <v/>
      </c>
      <c r="Z2686" s="172">
        <f>IF(OR(Y2686="",'01_설정'!B31="",'01_설정'!B31&lt;=0,'01_설정'!B32="",'01_설정'!B32&lt;=0),"",MAX(0,(1-Y2686/'01_설정'!B32))*'01_설정'!B31)</f>
        <v/>
      </c>
    </row>
    <row r="2687" ht="17.25" customHeight="1">
      <c r="A2687" s="152">
        <f>IF(INDEX('04A_국토부원자료'!$A:$A,ROW()+1)="","",ROW()-3)</f>
        <v/>
      </c>
      <c r="B2687" s="48">
        <f>IFERROR(INDEX('04A_국토부원자료'!$A:$T,ROW()+1,MATCH("시군구",'04A_국토부원자료'!$A$4:$T$4,0)),"")</f>
        <v/>
      </c>
      <c r="C2687" s="48">
        <f>IF(B2687="","",IFERROR(INDEX('04A_국토부원자료'!$A:$T,ROW()+1,MATCH("번지",'04A_국토부원자료'!$A$4:$T$4,0)),""))</f>
        <v/>
      </c>
      <c r="D2687" s="48">
        <f>IF(B2687="","",IF(Q2687=1,'02_대상물건입력'!$B$8,IFERROR(INDEX('04A_국토부원자료'!$A:$T,ROW()+1,MATCH("단지명",'04A_국토부원자료'!$A$4:$T$4,0)),"")))</f>
        <v/>
      </c>
      <c r="E2687" s="172">
        <f>IFERROR(VALUE(SUBSTITUTE(INDEX('04A_국토부원자료'!$A:$T,ROW()+1,MATCH("전용면적(㎡)",'04A_국토부원자료'!$A$4:$T$4,0)),",","")),"")</f>
        <v/>
      </c>
      <c r="F26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87" s="51">
        <f>IFERROR(VALUE(SUBSTITUTE(INDEX('04A_국토부원자료'!$A:$T,ROW()+1,MATCH("거래금액(만원)",'04A_국토부원자료'!$A$4:$T$4,0)),",","")),"")</f>
        <v/>
      </c>
      <c r="H2687" s="174">
        <f>IF(G2687="","",G2687*10000)</f>
        <v/>
      </c>
      <c r="I2687" s="174">
        <f>IFERROR(IF(AND(H2687&gt;0,E2687&gt;0),H2687/E2687,""),"")</f>
        <v/>
      </c>
      <c r="J2687" s="152">
        <f>IFERROR(VALUE(SUBSTITUTE(INDEX('04A_국토부원자료'!$A:$T,ROW()+1,MATCH("층",'04A_국토부원자료'!$A$4:$T$4,0)),",","")),"")</f>
        <v/>
      </c>
      <c r="K2687" s="152">
        <f>IFERROR(VALUE(SUBSTITUTE(INDEX('04A_국토부원자료'!$A:$T,ROW()+1,MATCH("건축년도",'04A_국토부원자료'!$A$4:$T$4,0)),",","")),"")</f>
        <v/>
      </c>
      <c r="L2687" s="48">
        <f>IFERROR(INDEX('04A_국토부원자료'!$A:$T,ROW()+1,MATCH("도로명",'04A_국토부원자료'!$A$4:$T$4,0)),"")</f>
        <v/>
      </c>
      <c r="M2687" s="48">
        <f>IFERROR(INDEX('04A_국토부원자료'!$A:$T,ROW()+1,MATCH("거래유형",'04A_국토부원자료'!$A$4:$T$4,0)),"")</f>
        <v/>
      </c>
      <c r="N2687" s="152">
        <f>IF(B2687="","",IF('02_대상물건입력'!B5="",1,IF(ISNUMBER(SEARCH('02_대상물건입력'!B5,B2687)),1,0)))</f>
        <v/>
      </c>
      <c r="O2687" s="152">
        <f>IF(B2687="","",IF('02_대상물건입력'!B6="",1,IF(ISNUMBER(SEARCH('02_대상물건입력'!B6,B2687)),1,0)))</f>
        <v/>
      </c>
      <c r="P2687" s="152">
        <f>IF(L2687="","",IF('02_대상물건입력'!B15="",0,IF(ISNUMBER(SEARCH('02_대상물건입력'!B15,L2687)),1,0)))</f>
        <v/>
      </c>
      <c r="Q2687" s="152">
        <f>IF(OR(C2687="",L2687=""),0,IF(AND(TRIM(C2687)=TRIM(RIGHT(SUBSTITUTE(TRIM('02_대상물건입력'!$B$7)," ",REPT(" ",99)),99)),IF('02_대상물건입력'!B15="",TRUE(),ISNUMBER(SEARCH('02_대상물건입력'!B15,L2687)))),1,0))</f>
        <v/>
      </c>
      <c r="R2687" s="175">
        <f>IFERROR(ABS(E2687-'02_대상물건입력'!B11)/'02_대상물건입력'!B11,"")</f>
        <v/>
      </c>
      <c r="S2687" s="152">
        <f>IFERROR(ABS(J2687-'02_대상물건입력'!B10),"")</f>
        <v/>
      </c>
      <c r="T2687" s="152">
        <f>IFERROR(ABS('01_설정'!B4-F2687),"")</f>
        <v/>
      </c>
      <c r="U2687" s="152">
        <f>IFERROR(ABS(K2687-YEAR('02_대상물건입력'!B14)),"")</f>
        <v/>
      </c>
      <c r="V2687" s="152">
        <f>IF(B2687="","",IF(AND(E2687&gt;0,F2687&gt;0,H2687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2687=1,TRUE()),R2687&lt;='01_설정'!B5,S2687&lt;='01_설정'!B6,T2687&lt;='01_설정'!B7,U2687&lt;='01_설정'!B8),"Y",""))</f>
        <v/>
      </c>
      <c r="W2687" s="172">
        <f>IF(V2687&lt;&gt;"Y","",MAX(0,(1-R2687/'01_설정'!B5))*'01_설정'!B14+MAX(0,(1-S2687/'01_설정'!B6))*'01_설정'!B15+MAX(0,(1-T2687/'01_설정'!B7))*'01_설정'!B16+MAX(0,(1-U2687/'01_설정'!B8))*'01_설정'!B17+O2687*'01_설정'!B11+Q2687*'01_설정'!B12+P2687*'01_설정'!B13+IF(Z2687="",0,Z2687))</f>
        <v/>
      </c>
      <c r="X2687" s="152">
        <f>IF(W2687="","",1+COUNTIFS($W$4:$W$3003,"&gt;"&amp;W2687)+COUNTIFS($W$4:W2687,W2687)-1)</f>
        <v/>
      </c>
      <c r="Y2687" s="175">
        <f>IF(OR(I2687="",'02_대상물건입력'!B19="",'02_대상물건입력'!B19&lt;=0),"",ABS(I2687-'02_대상물건입력'!B19)/'02_대상물건입력'!B19)</f>
        <v/>
      </c>
      <c r="Z2687" s="172">
        <f>IF(OR(Y2687="",'01_설정'!B31="",'01_설정'!B31&lt;=0,'01_설정'!B32="",'01_설정'!B32&lt;=0),"",MAX(0,(1-Y2687/'01_설정'!B32))*'01_설정'!B31)</f>
        <v/>
      </c>
    </row>
    <row r="2688" ht="17.25" customHeight="1">
      <c r="A2688" s="152">
        <f>IF(INDEX('04A_국토부원자료'!$A:$A,ROW()+1)="","",ROW()-3)</f>
        <v/>
      </c>
      <c r="B2688" s="48">
        <f>IFERROR(INDEX('04A_국토부원자료'!$A:$T,ROW()+1,MATCH("시군구",'04A_국토부원자료'!$A$4:$T$4,0)),"")</f>
        <v/>
      </c>
      <c r="C2688" s="48">
        <f>IF(B2688="","",IFERROR(INDEX('04A_국토부원자료'!$A:$T,ROW()+1,MATCH("번지",'04A_국토부원자료'!$A$4:$T$4,0)),""))</f>
        <v/>
      </c>
      <c r="D2688" s="48">
        <f>IF(B2688="","",IF(Q2688=1,'02_대상물건입력'!$B$8,IFERROR(INDEX('04A_국토부원자료'!$A:$T,ROW()+1,MATCH("단지명",'04A_국토부원자료'!$A$4:$T$4,0)),"")))</f>
        <v/>
      </c>
      <c r="E2688" s="172">
        <f>IFERROR(VALUE(SUBSTITUTE(INDEX('04A_국토부원자료'!$A:$T,ROW()+1,MATCH("전용면적(㎡)",'04A_국토부원자료'!$A$4:$T$4,0)),",","")),"")</f>
        <v/>
      </c>
      <c r="F26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88" s="51">
        <f>IFERROR(VALUE(SUBSTITUTE(INDEX('04A_국토부원자료'!$A:$T,ROW()+1,MATCH("거래금액(만원)",'04A_국토부원자료'!$A$4:$T$4,0)),",","")),"")</f>
        <v/>
      </c>
      <c r="H2688" s="174">
        <f>IF(G2688="","",G2688*10000)</f>
        <v/>
      </c>
      <c r="I2688" s="174">
        <f>IFERROR(IF(AND(H2688&gt;0,E2688&gt;0),H2688/E2688,""),"")</f>
        <v/>
      </c>
      <c r="J2688" s="152">
        <f>IFERROR(VALUE(SUBSTITUTE(INDEX('04A_국토부원자료'!$A:$T,ROW()+1,MATCH("층",'04A_국토부원자료'!$A$4:$T$4,0)),",","")),"")</f>
        <v/>
      </c>
      <c r="K2688" s="152">
        <f>IFERROR(VALUE(SUBSTITUTE(INDEX('04A_국토부원자료'!$A:$T,ROW()+1,MATCH("건축년도",'04A_국토부원자료'!$A$4:$T$4,0)),",","")),"")</f>
        <v/>
      </c>
      <c r="L2688" s="48">
        <f>IFERROR(INDEX('04A_국토부원자료'!$A:$T,ROW()+1,MATCH("도로명",'04A_국토부원자료'!$A$4:$T$4,0)),"")</f>
        <v/>
      </c>
      <c r="M2688" s="48">
        <f>IFERROR(INDEX('04A_국토부원자료'!$A:$T,ROW()+1,MATCH("거래유형",'04A_국토부원자료'!$A$4:$T$4,0)),"")</f>
        <v/>
      </c>
      <c r="N2688" s="152">
        <f>IF(B2688="","",IF('02_대상물건입력'!B5="",1,IF(ISNUMBER(SEARCH('02_대상물건입력'!B5,B2688)),1,0)))</f>
        <v/>
      </c>
      <c r="O2688" s="152">
        <f>IF(B2688="","",IF('02_대상물건입력'!B6="",1,IF(ISNUMBER(SEARCH('02_대상물건입력'!B6,B2688)),1,0)))</f>
        <v/>
      </c>
      <c r="P2688" s="152">
        <f>IF(L2688="","",IF('02_대상물건입력'!B15="",0,IF(ISNUMBER(SEARCH('02_대상물건입력'!B15,L2688)),1,0)))</f>
        <v/>
      </c>
      <c r="Q2688" s="152">
        <f>IF(OR(C2688="",L2688=""),0,IF(AND(TRIM(C2688)=TRIM(RIGHT(SUBSTITUTE(TRIM('02_대상물건입력'!$B$7)," ",REPT(" ",99)),99)),IF('02_대상물건입력'!B15="",TRUE(),ISNUMBER(SEARCH('02_대상물건입력'!B15,L2688)))),1,0))</f>
        <v/>
      </c>
      <c r="R2688" s="175">
        <f>IFERROR(ABS(E2688-'02_대상물건입력'!B11)/'02_대상물건입력'!B11,"")</f>
        <v/>
      </c>
      <c r="S2688" s="152">
        <f>IFERROR(ABS(J2688-'02_대상물건입력'!B10),"")</f>
        <v/>
      </c>
      <c r="T2688" s="152">
        <f>IFERROR(ABS('01_설정'!B4-F2688),"")</f>
        <v/>
      </c>
      <c r="U2688" s="152">
        <f>IFERROR(ABS(K2688-YEAR('02_대상물건입력'!B14)),"")</f>
        <v/>
      </c>
      <c r="V2688" s="152">
        <f>IF(B2688="","",IF(AND(E2688&gt;0,F2688&gt;0,H2688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2688=1,TRUE()),R2688&lt;='01_설정'!B5,S2688&lt;='01_설정'!B6,T2688&lt;='01_설정'!B7,U2688&lt;='01_설정'!B8),"Y",""))</f>
        <v/>
      </c>
      <c r="W2688" s="172">
        <f>IF(V2688&lt;&gt;"Y","",MAX(0,(1-R2688/'01_설정'!B5))*'01_설정'!B14+MAX(0,(1-S2688/'01_설정'!B6))*'01_설정'!B15+MAX(0,(1-T2688/'01_설정'!B7))*'01_설정'!B16+MAX(0,(1-U2688/'01_설정'!B8))*'01_설정'!B17+O2688*'01_설정'!B11+Q2688*'01_설정'!B12+P2688*'01_설정'!B13+IF(Z2688="",0,Z2688))</f>
        <v/>
      </c>
      <c r="X2688" s="152">
        <f>IF(W2688="","",1+COUNTIFS($W$4:$W$3003,"&gt;"&amp;W2688)+COUNTIFS($W$4:W2688,W2688)-1)</f>
        <v/>
      </c>
      <c r="Y2688" s="175">
        <f>IF(OR(I2688="",'02_대상물건입력'!B19="",'02_대상물건입력'!B19&lt;=0),"",ABS(I2688-'02_대상물건입력'!B19)/'02_대상물건입력'!B19)</f>
        <v/>
      </c>
      <c r="Z2688" s="172">
        <f>IF(OR(Y2688="",'01_설정'!B31="",'01_설정'!B31&lt;=0,'01_설정'!B32="",'01_설정'!B32&lt;=0),"",MAX(0,(1-Y2688/'01_설정'!B32))*'01_설정'!B31)</f>
        <v/>
      </c>
    </row>
    <row r="2689" ht="17.25" customHeight="1">
      <c r="A2689" s="152">
        <f>IF(INDEX('04A_국토부원자료'!$A:$A,ROW()+1)="","",ROW()-3)</f>
        <v/>
      </c>
      <c r="B2689" s="48">
        <f>IFERROR(INDEX('04A_국토부원자료'!$A:$T,ROW()+1,MATCH("시군구",'04A_국토부원자료'!$A$4:$T$4,0)),"")</f>
        <v/>
      </c>
      <c r="C2689" s="48">
        <f>IF(B2689="","",IFERROR(INDEX('04A_국토부원자료'!$A:$T,ROW()+1,MATCH("번지",'04A_국토부원자료'!$A$4:$T$4,0)),""))</f>
        <v/>
      </c>
      <c r="D2689" s="48">
        <f>IF(B2689="","",IF(Q2689=1,'02_대상물건입력'!$B$8,IFERROR(INDEX('04A_국토부원자료'!$A:$T,ROW()+1,MATCH("단지명",'04A_국토부원자료'!$A$4:$T$4,0)),"")))</f>
        <v/>
      </c>
      <c r="E2689" s="172">
        <f>IFERROR(VALUE(SUBSTITUTE(INDEX('04A_국토부원자료'!$A:$T,ROW()+1,MATCH("전용면적(㎡)",'04A_국토부원자료'!$A$4:$T$4,0)),",","")),"")</f>
        <v/>
      </c>
      <c r="F26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89" s="51">
        <f>IFERROR(VALUE(SUBSTITUTE(INDEX('04A_국토부원자료'!$A:$T,ROW()+1,MATCH("거래금액(만원)",'04A_국토부원자료'!$A$4:$T$4,0)),",","")),"")</f>
        <v/>
      </c>
      <c r="H2689" s="174">
        <f>IF(G2689="","",G2689*10000)</f>
        <v/>
      </c>
      <c r="I2689" s="174">
        <f>IFERROR(IF(AND(H2689&gt;0,E2689&gt;0),H2689/E2689,""),"")</f>
        <v/>
      </c>
      <c r="J2689" s="152">
        <f>IFERROR(VALUE(SUBSTITUTE(INDEX('04A_국토부원자료'!$A:$T,ROW()+1,MATCH("층",'04A_국토부원자료'!$A$4:$T$4,0)),",","")),"")</f>
        <v/>
      </c>
      <c r="K2689" s="152">
        <f>IFERROR(VALUE(SUBSTITUTE(INDEX('04A_국토부원자료'!$A:$T,ROW()+1,MATCH("건축년도",'04A_국토부원자료'!$A$4:$T$4,0)),",","")),"")</f>
        <v/>
      </c>
      <c r="L2689" s="48">
        <f>IFERROR(INDEX('04A_국토부원자료'!$A:$T,ROW()+1,MATCH("도로명",'04A_국토부원자료'!$A$4:$T$4,0)),"")</f>
        <v/>
      </c>
      <c r="M2689" s="48">
        <f>IFERROR(INDEX('04A_국토부원자료'!$A:$T,ROW()+1,MATCH("거래유형",'04A_국토부원자료'!$A$4:$T$4,0)),"")</f>
        <v/>
      </c>
      <c r="N2689" s="152">
        <f>IF(B2689="","",IF('02_대상물건입력'!B5="",1,IF(ISNUMBER(SEARCH('02_대상물건입력'!B5,B2689)),1,0)))</f>
        <v/>
      </c>
      <c r="O2689" s="152">
        <f>IF(B2689="","",IF('02_대상물건입력'!B6="",1,IF(ISNUMBER(SEARCH('02_대상물건입력'!B6,B2689)),1,0)))</f>
        <v/>
      </c>
      <c r="P2689" s="152">
        <f>IF(L2689="","",IF('02_대상물건입력'!B15="",0,IF(ISNUMBER(SEARCH('02_대상물건입력'!B15,L2689)),1,0)))</f>
        <v/>
      </c>
      <c r="Q2689" s="152">
        <f>IF(OR(C2689="",L2689=""),0,IF(AND(TRIM(C2689)=TRIM(RIGHT(SUBSTITUTE(TRIM('02_대상물건입력'!$B$7)," ",REPT(" ",99)),99)),IF('02_대상물건입력'!B15="",TRUE(),ISNUMBER(SEARCH('02_대상물건입력'!B15,L2689)))),1,0))</f>
        <v/>
      </c>
      <c r="R2689" s="175">
        <f>IFERROR(ABS(E2689-'02_대상물건입력'!B11)/'02_대상물건입력'!B11,"")</f>
        <v/>
      </c>
      <c r="S2689" s="152">
        <f>IFERROR(ABS(J2689-'02_대상물건입력'!B10),"")</f>
        <v/>
      </c>
      <c r="T2689" s="152">
        <f>IFERROR(ABS('01_설정'!B4-F2689),"")</f>
        <v/>
      </c>
      <c r="U2689" s="152">
        <f>IFERROR(ABS(K2689-YEAR('02_대상물건입력'!B14)),"")</f>
        <v/>
      </c>
      <c r="V2689" s="152">
        <f>IF(B2689="","",IF(AND(E2689&gt;0,F2689&gt;0,H2689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2689=1,TRUE()),R2689&lt;='01_설정'!B5,S2689&lt;='01_설정'!B6,T2689&lt;='01_설정'!B7,U2689&lt;='01_설정'!B8),"Y",""))</f>
        <v/>
      </c>
      <c r="W2689" s="172">
        <f>IF(V2689&lt;&gt;"Y","",MAX(0,(1-R2689/'01_설정'!B5))*'01_설정'!B14+MAX(0,(1-S2689/'01_설정'!B6))*'01_설정'!B15+MAX(0,(1-T2689/'01_설정'!B7))*'01_설정'!B16+MAX(0,(1-U2689/'01_설정'!B8))*'01_설정'!B17+O2689*'01_설정'!B11+Q2689*'01_설정'!B12+P2689*'01_설정'!B13+IF(Z2689="",0,Z2689))</f>
        <v/>
      </c>
      <c r="X2689" s="152">
        <f>IF(W2689="","",1+COUNTIFS($W$4:$W$3003,"&gt;"&amp;W2689)+COUNTIFS($W$4:W2689,W2689)-1)</f>
        <v/>
      </c>
      <c r="Y2689" s="175">
        <f>IF(OR(I2689="",'02_대상물건입력'!B19="",'02_대상물건입력'!B19&lt;=0),"",ABS(I2689-'02_대상물건입력'!B19)/'02_대상물건입력'!B19)</f>
        <v/>
      </c>
      <c r="Z2689" s="172">
        <f>IF(OR(Y2689="",'01_설정'!B31="",'01_설정'!B31&lt;=0,'01_설정'!B32="",'01_설정'!B32&lt;=0),"",MAX(0,(1-Y2689/'01_설정'!B32))*'01_설정'!B31)</f>
        <v/>
      </c>
    </row>
    <row r="2690" ht="17.25" customHeight="1">
      <c r="A2690" s="152">
        <f>IF(INDEX('04A_국토부원자료'!$A:$A,ROW()+1)="","",ROW()-3)</f>
        <v/>
      </c>
      <c r="B2690" s="48">
        <f>IFERROR(INDEX('04A_국토부원자료'!$A:$T,ROW()+1,MATCH("시군구",'04A_국토부원자료'!$A$4:$T$4,0)),"")</f>
        <v/>
      </c>
      <c r="C2690" s="48">
        <f>IF(B2690="","",IFERROR(INDEX('04A_국토부원자료'!$A:$T,ROW()+1,MATCH("번지",'04A_국토부원자료'!$A$4:$T$4,0)),""))</f>
        <v/>
      </c>
      <c r="D2690" s="48">
        <f>IF(B2690="","",IF(Q2690=1,'02_대상물건입력'!$B$8,IFERROR(INDEX('04A_국토부원자료'!$A:$T,ROW()+1,MATCH("단지명",'04A_국토부원자료'!$A$4:$T$4,0)),"")))</f>
        <v/>
      </c>
      <c r="E2690" s="172">
        <f>IFERROR(VALUE(SUBSTITUTE(INDEX('04A_국토부원자료'!$A:$T,ROW()+1,MATCH("전용면적(㎡)",'04A_국토부원자료'!$A$4:$T$4,0)),",","")),"")</f>
        <v/>
      </c>
      <c r="F26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90" s="51">
        <f>IFERROR(VALUE(SUBSTITUTE(INDEX('04A_국토부원자료'!$A:$T,ROW()+1,MATCH("거래금액(만원)",'04A_국토부원자료'!$A$4:$T$4,0)),",","")),"")</f>
        <v/>
      </c>
      <c r="H2690" s="174">
        <f>IF(G2690="","",G2690*10000)</f>
        <v/>
      </c>
      <c r="I2690" s="174">
        <f>IFERROR(IF(AND(H2690&gt;0,E2690&gt;0),H2690/E2690,""),"")</f>
        <v/>
      </c>
      <c r="J2690" s="152">
        <f>IFERROR(VALUE(SUBSTITUTE(INDEX('04A_국토부원자료'!$A:$T,ROW()+1,MATCH("층",'04A_국토부원자료'!$A$4:$T$4,0)),",","")),"")</f>
        <v/>
      </c>
      <c r="K2690" s="152">
        <f>IFERROR(VALUE(SUBSTITUTE(INDEX('04A_국토부원자료'!$A:$T,ROW()+1,MATCH("건축년도",'04A_국토부원자료'!$A$4:$T$4,0)),",","")),"")</f>
        <v/>
      </c>
      <c r="L2690" s="48">
        <f>IFERROR(INDEX('04A_국토부원자료'!$A:$T,ROW()+1,MATCH("도로명",'04A_국토부원자료'!$A$4:$T$4,0)),"")</f>
        <v/>
      </c>
      <c r="M2690" s="48">
        <f>IFERROR(INDEX('04A_국토부원자료'!$A:$T,ROW()+1,MATCH("거래유형",'04A_국토부원자료'!$A$4:$T$4,0)),"")</f>
        <v/>
      </c>
      <c r="N2690" s="152">
        <f>IF(B2690="","",IF('02_대상물건입력'!B5="",1,IF(ISNUMBER(SEARCH('02_대상물건입력'!B5,B2690)),1,0)))</f>
        <v/>
      </c>
      <c r="O2690" s="152">
        <f>IF(B2690="","",IF('02_대상물건입력'!B6="",1,IF(ISNUMBER(SEARCH('02_대상물건입력'!B6,B2690)),1,0)))</f>
        <v/>
      </c>
      <c r="P2690" s="152">
        <f>IF(L2690="","",IF('02_대상물건입력'!B15="",0,IF(ISNUMBER(SEARCH('02_대상물건입력'!B15,L2690)),1,0)))</f>
        <v/>
      </c>
      <c r="Q2690" s="152">
        <f>IF(OR(C2690="",L2690=""),0,IF(AND(TRIM(C2690)=TRIM(RIGHT(SUBSTITUTE(TRIM('02_대상물건입력'!$B$7)," ",REPT(" ",99)),99)),IF('02_대상물건입력'!B15="",TRUE(),ISNUMBER(SEARCH('02_대상물건입력'!B15,L2690)))),1,0))</f>
        <v/>
      </c>
      <c r="R2690" s="175">
        <f>IFERROR(ABS(E2690-'02_대상물건입력'!B11)/'02_대상물건입력'!B11,"")</f>
        <v/>
      </c>
      <c r="S2690" s="152">
        <f>IFERROR(ABS(J2690-'02_대상물건입력'!B10),"")</f>
        <v/>
      </c>
      <c r="T2690" s="152">
        <f>IFERROR(ABS('01_설정'!B4-F2690),"")</f>
        <v/>
      </c>
      <c r="U2690" s="152">
        <f>IFERROR(ABS(K2690-YEAR('02_대상물건입력'!B14)),"")</f>
        <v/>
      </c>
      <c r="V2690" s="152">
        <f>IF(B2690="","",IF(AND(E2690&gt;0,F2690&gt;0,H2690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2690=1,TRUE()),R2690&lt;='01_설정'!B5,S2690&lt;='01_설정'!B6,T2690&lt;='01_설정'!B7,U2690&lt;='01_설정'!B8),"Y",""))</f>
        <v/>
      </c>
      <c r="W2690" s="172">
        <f>IF(V2690&lt;&gt;"Y","",MAX(0,(1-R2690/'01_설정'!B5))*'01_설정'!B14+MAX(0,(1-S2690/'01_설정'!B6))*'01_설정'!B15+MAX(0,(1-T2690/'01_설정'!B7))*'01_설정'!B16+MAX(0,(1-U2690/'01_설정'!B8))*'01_설정'!B17+O2690*'01_설정'!B11+Q2690*'01_설정'!B12+P2690*'01_설정'!B13+IF(Z2690="",0,Z2690))</f>
        <v/>
      </c>
      <c r="X2690" s="152">
        <f>IF(W2690="","",1+COUNTIFS($W$4:$W$3003,"&gt;"&amp;W2690)+COUNTIFS($W$4:W2690,W2690)-1)</f>
        <v/>
      </c>
      <c r="Y2690" s="175">
        <f>IF(OR(I2690="",'02_대상물건입력'!B19="",'02_대상물건입력'!B19&lt;=0),"",ABS(I2690-'02_대상물건입력'!B19)/'02_대상물건입력'!B19)</f>
        <v/>
      </c>
      <c r="Z2690" s="172">
        <f>IF(OR(Y2690="",'01_설정'!B31="",'01_설정'!B31&lt;=0,'01_설정'!B32="",'01_설정'!B32&lt;=0),"",MAX(0,(1-Y2690/'01_설정'!B32))*'01_설정'!B31)</f>
        <v/>
      </c>
    </row>
    <row r="2691" ht="17.25" customHeight="1">
      <c r="A2691" s="152">
        <f>IF(INDEX('04A_국토부원자료'!$A:$A,ROW()+1)="","",ROW()-3)</f>
        <v/>
      </c>
      <c r="B2691" s="48">
        <f>IFERROR(INDEX('04A_국토부원자료'!$A:$T,ROW()+1,MATCH("시군구",'04A_국토부원자료'!$A$4:$T$4,0)),"")</f>
        <v/>
      </c>
      <c r="C2691" s="48">
        <f>IF(B2691="","",IFERROR(INDEX('04A_국토부원자료'!$A:$T,ROW()+1,MATCH("번지",'04A_국토부원자료'!$A$4:$T$4,0)),""))</f>
        <v/>
      </c>
      <c r="D2691" s="48">
        <f>IF(B2691="","",IF(Q2691=1,'02_대상물건입력'!$B$8,IFERROR(INDEX('04A_국토부원자료'!$A:$T,ROW()+1,MATCH("단지명",'04A_국토부원자료'!$A$4:$T$4,0)),"")))</f>
        <v/>
      </c>
      <c r="E2691" s="172">
        <f>IFERROR(VALUE(SUBSTITUTE(INDEX('04A_국토부원자료'!$A:$T,ROW()+1,MATCH("전용면적(㎡)",'04A_국토부원자료'!$A$4:$T$4,0)),",","")),"")</f>
        <v/>
      </c>
      <c r="F26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91" s="51">
        <f>IFERROR(VALUE(SUBSTITUTE(INDEX('04A_국토부원자료'!$A:$T,ROW()+1,MATCH("거래금액(만원)",'04A_국토부원자료'!$A$4:$T$4,0)),",","")),"")</f>
        <v/>
      </c>
      <c r="H2691" s="174">
        <f>IF(G2691="","",G2691*10000)</f>
        <v/>
      </c>
      <c r="I2691" s="174">
        <f>IFERROR(IF(AND(H2691&gt;0,E2691&gt;0),H2691/E2691,""),"")</f>
        <v/>
      </c>
      <c r="J2691" s="152">
        <f>IFERROR(VALUE(SUBSTITUTE(INDEX('04A_국토부원자료'!$A:$T,ROW()+1,MATCH("층",'04A_국토부원자료'!$A$4:$T$4,0)),",","")),"")</f>
        <v/>
      </c>
      <c r="K2691" s="152">
        <f>IFERROR(VALUE(SUBSTITUTE(INDEX('04A_국토부원자료'!$A:$T,ROW()+1,MATCH("건축년도",'04A_국토부원자료'!$A$4:$T$4,0)),",","")),"")</f>
        <v/>
      </c>
      <c r="L2691" s="48">
        <f>IFERROR(INDEX('04A_국토부원자료'!$A:$T,ROW()+1,MATCH("도로명",'04A_국토부원자료'!$A$4:$T$4,0)),"")</f>
        <v/>
      </c>
      <c r="M2691" s="48">
        <f>IFERROR(INDEX('04A_국토부원자료'!$A:$T,ROW()+1,MATCH("거래유형",'04A_국토부원자료'!$A$4:$T$4,0)),"")</f>
        <v/>
      </c>
      <c r="N2691" s="152">
        <f>IF(B2691="","",IF('02_대상물건입력'!B5="",1,IF(ISNUMBER(SEARCH('02_대상물건입력'!B5,B2691)),1,0)))</f>
        <v/>
      </c>
      <c r="O2691" s="152">
        <f>IF(B2691="","",IF('02_대상물건입력'!B6="",1,IF(ISNUMBER(SEARCH('02_대상물건입력'!B6,B2691)),1,0)))</f>
        <v/>
      </c>
      <c r="P2691" s="152">
        <f>IF(L2691="","",IF('02_대상물건입력'!B15="",0,IF(ISNUMBER(SEARCH('02_대상물건입력'!B15,L2691)),1,0)))</f>
        <v/>
      </c>
      <c r="Q2691" s="152">
        <f>IF(OR(C2691="",L2691=""),0,IF(AND(TRIM(C2691)=TRIM(RIGHT(SUBSTITUTE(TRIM('02_대상물건입력'!$B$7)," ",REPT(" ",99)),99)),IF('02_대상물건입력'!B15="",TRUE(),ISNUMBER(SEARCH('02_대상물건입력'!B15,L2691)))),1,0))</f>
        <v/>
      </c>
      <c r="R2691" s="175">
        <f>IFERROR(ABS(E2691-'02_대상물건입력'!B11)/'02_대상물건입력'!B11,"")</f>
        <v/>
      </c>
      <c r="S2691" s="152">
        <f>IFERROR(ABS(J2691-'02_대상물건입력'!B10),"")</f>
        <v/>
      </c>
      <c r="T2691" s="152">
        <f>IFERROR(ABS('01_설정'!B4-F2691),"")</f>
        <v/>
      </c>
      <c r="U2691" s="152">
        <f>IFERROR(ABS(K2691-YEAR('02_대상물건입력'!B14)),"")</f>
        <v/>
      </c>
      <c r="V2691" s="152">
        <f>IF(B2691="","",IF(AND(E2691&gt;0,F2691&gt;0,H2691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2691=1,TRUE()),R2691&lt;='01_설정'!B5,S2691&lt;='01_설정'!B6,T2691&lt;='01_설정'!B7,U2691&lt;='01_설정'!B8),"Y",""))</f>
        <v/>
      </c>
      <c r="W2691" s="172">
        <f>IF(V2691&lt;&gt;"Y","",MAX(0,(1-R2691/'01_설정'!B5))*'01_설정'!B14+MAX(0,(1-S2691/'01_설정'!B6))*'01_설정'!B15+MAX(0,(1-T2691/'01_설정'!B7))*'01_설정'!B16+MAX(0,(1-U2691/'01_설정'!B8))*'01_설정'!B17+O2691*'01_설정'!B11+Q2691*'01_설정'!B12+P2691*'01_설정'!B13+IF(Z2691="",0,Z2691))</f>
        <v/>
      </c>
      <c r="X2691" s="152">
        <f>IF(W2691="","",1+COUNTIFS($W$4:$W$3003,"&gt;"&amp;W2691)+COUNTIFS($W$4:W2691,W2691)-1)</f>
        <v/>
      </c>
      <c r="Y2691" s="175">
        <f>IF(OR(I2691="",'02_대상물건입력'!B19="",'02_대상물건입력'!B19&lt;=0),"",ABS(I2691-'02_대상물건입력'!B19)/'02_대상물건입력'!B19)</f>
        <v/>
      </c>
      <c r="Z2691" s="172">
        <f>IF(OR(Y2691="",'01_설정'!B31="",'01_설정'!B31&lt;=0,'01_설정'!B32="",'01_설정'!B32&lt;=0),"",MAX(0,(1-Y2691/'01_설정'!B32))*'01_설정'!B31)</f>
        <v/>
      </c>
    </row>
    <row r="2692" ht="17.25" customHeight="1">
      <c r="A2692" s="152">
        <f>IF(INDEX('04A_국토부원자료'!$A:$A,ROW()+1)="","",ROW()-3)</f>
        <v/>
      </c>
      <c r="B2692" s="48">
        <f>IFERROR(INDEX('04A_국토부원자료'!$A:$T,ROW()+1,MATCH("시군구",'04A_국토부원자료'!$A$4:$T$4,0)),"")</f>
        <v/>
      </c>
      <c r="C2692" s="48">
        <f>IF(B2692="","",IFERROR(INDEX('04A_국토부원자료'!$A:$T,ROW()+1,MATCH("번지",'04A_국토부원자료'!$A$4:$T$4,0)),""))</f>
        <v/>
      </c>
      <c r="D2692" s="48">
        <f>IF(B2692="","",IF(Q2692=1,'02_대상물건입력'!$B$8,IFERROR(INDEX('04A_국토부원자료'!$A:$T,ROW()+1,MATCH("단지명",'04A_국토부원자료'!$A$4:$T$4,0)),"")))</f>
        <v/>
      </c>
      <c r="E2692" s="172">
        <f>IFERROR(VALUE(SUBSTITUTE(INDEX('04A_국토부원자료'!$A:$T,ROW()+1,MATCH("전용면적(㎡)",'04A_국토부원자료'!$A$4:$T$4,0)),",","")),"")</f>
        <v/>
      </c>
      <c r="F26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92" s="51">
        <f>IFERROR(VALUE(SUBSTITUTE(INDEX('04A_국토부원자료'!$A:$T,ROW()+1,MATCH("거래금액(만원)",'04A_국토부원자료'!$A$4:$T$4,0)),",","")),"")</f>
        <v/>
      </c>
      <c r="H2692" s="174">
        <f>IF(G2692="","",G2692*10000)</f>
        <v/>
      </c>
      <c r="I2692" s="174">
        <f>IFERROR(IF(AND(H2692&gt;0,E2692&gt;0),H2692/E2692,""),"")</f>
        <v/>
      </c>
      <c r="J2692" s="152">
        <f>IFERROR(VALUE(SUBSTITUTE(INDEX('04A_국토부원자료'!$A:$T,ROW()+1,MATCH("층",'04A_국토부원자료'!$A$4:$T$4,0)),",","")),"")</f>
        <v/>
      </c>
      <c r="K2692" s="152">
        <f>IFERROR(VALUE(SUBSTITUTE(INDEX('04A_국토부원자료'!$A:$T,ROW()+1,MATCH("건축년도",'04A_국토부원자료'!$A$4:$T$4,0)),",","")),"")</f>
        <v/>
      </c>
      <c r="L2692" s="48">
        <f>IFERROR(INDEX('04A_국토부원자료'!$A:$T,ROW()+1,MATCH("도로명",'04A_국토부원자료'!$A$4:$T$4,0)),"")</f>
        <v/>
      </c>
      <c r="M2692" s="48">
        <f>IFERROR(INDEX('04A_국토부원자료'!$A:$T,ROW()+1,MATCH("거래유형",'04A_국토부원자료'!$A$4:$T$4,0)),"")</f>
        <v/>
      </c>
      <c r="N2692" s="152">
        <f>IF(B2692="","",IF('02_대상물건입력'!B5="",1,IF(ISNUMBER(SEARCH('02_대상물건입력'!B5,B2692)),1,0)))</f>
        <v/>
      </c>
      <c r="O2692" s="152">
        <f>IF(B2692="","",IF('02_대상물건입력'!B6="",1,IF(ISNUMBER(SEARCH('02_대상물건입력'!B6,B2692)),1,0)))</f>
        <v/>
      </c>
      <c r="P2692" s="152">
        <f>IF(L2692="","",IF('02_대상물건입력'!B15="",0,IF(ISNUMBER(SEARCH('02_대상물건입력'!B15,L2692)),1,0)))</f>
        <v/>
      </c>
      <c r="Q2692" s="152">
        <f>IF(OR(C2692="",L2692=""),0,IF(AND(TRIM(C2692)=TRIM(RIGHT(SUBSTITUTE(TRIM('02_대상물건입력'!$B$7)," ",REPT(" ",99)),99)),IF('02_대상물건입력'!B15="",TRUE(),ISNUMBER(SEARCH('02_대상물건입력'!B15,L2692)))),1,0))</f>
        <v/>
      </c>
      <c r="R2692" s="175">
        <f>IFERROR(ABS(E2692-'02_대상물건입력'!B11)/'02_대상물건입력'!B11,"")</f>
        <v/>
      </c>
      <c r="S2692" s="152">
        <f>IFERROR(ABS(J2692-'02_대상물건입력'!B10),"")</f>
        <v/>
      </c>
      <c r="T2692" s="152">
        <f>IFERROR(ABS('01_설정'!B4-F2692),"")</f>
        <v/>
      </c>
      <c r="U2692" s="152">
        <f>IFERROR(ABS(K2692-YEAR('02_대상물건입력'!B14)),"")</f>
        <v/>
      </c>
      <c r="V2692" s="152">
        <f>IF(B2692="","",IF(AND(E2692&gt;0,F2692&gt;0,H2692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2692=1,TRUE()),R2692&lt;='01_설정'!B5,S2692&lt;='01_설정'!B6,T2692&lt;='01_설정'!B7,U2692&lt;='01_설정'!B8),"Y",""))</f>
        <v/>
      </c>
      <c r="W2692" s="172">
        <f>IF(V2692&lt;&gt;"Y","",MAX(0,(1-R2692/'01_설정'!B5))*'01_설정'!B14+MAX(0,(1-S2692/'01_설정'!B6))*'01_설정'!B15+MAX(0,(1-T2692/'01_설정'!B7))*'01_설정'!B16+MAX(0,(1-U2692/'01_설정'!B8))*'01_설정'!B17+O2692*'01_설정'!B11+Q2692*'01_설정'!B12+P2692*'01_설정'!B13+IF(Z2692="",0,Z2692))</f>
        <v/>
      </c>
      <c r="X2692" s="152">
        <f>IF(W2692="","",1+COUNTIFS($W$4:$W$3003,"&gt;"&amp;W2692)+COUNTIFS($W$4:W2692,W2692)-1)</f>
        <v/>
      </c>
      <c r="Y2692" s="175">
        <f>IF(OR(I2692="",'02_대상물건입력'!B19="",'02_대상물건입력'!B19&lt;=0),"",ABS(I2692-'02_대상물건입력'!B19)/'02_대상물건입력'!B19)</f>
        <v/>
      </c>
      <c r="Z2692" s="172">
        <f>IF(OR(Y2692="",'01_설정'!B31="",'01_설정'!B31&lt;=0,'01_설정'!B32="",'01_설정'!B32&lt;=0),"",MAX(0,(1-Y2692/'01_설정'!B32))*'01_설정'!B31)</f>
        <v/>
      </c>
    </row>
    <row r="2693" ht="17.25" customHeight="1">
      <c r="A2693" s="152">
        <f>IF(INDEX('04A_국토부원자료'!$A:$A,ROW()+1)="","",ROW()-3)</f>
        <v/>
      </c>
      <c r="B2693" s="48">
        <f>IFERROR(INDEX('04A_국토부원자료'!$A:$T,ROW()+1,MATCH("시군구",'04A_국토부원자료'!$A$4:$T$4,0)),"")</f>
        <v/>
      </c>
      <c r="C2693" s="48">
        <f>IF(B2693="","",IFERROR(INDEX('04A_국토부원자료'!$A:$T,ROW()+1,MATCH("번지",'04A_국토부원자료'!$A$4:$T$4,0)),""))</f>
        <v/>
      </c>
      <c r="D2693" s="48">
        <f>IF(B2693="","",IF(Q2693=1,'02_대상물건입력'!$B$8,IFERROR(INDEX('04A_국토부원자료'!$A:$T,ROW()+1,MATCH("단지명",'04A_국토부원자료'!$A$4:$T$4,0)),"")))</f>
        <v/>
      </c>
      <c r="E2693" s="172">
        <f>IFERROR(VALUE(SUBSTITUTE(INDEX('04A_국토부원자료'!$A:$T,ROW()+1,MATCH("전용면적(㎡)",'04A_국토부원자료'!$A$4:$T$4,0)),",","")),"")</f>
        <v/>
      </c>
      <c r="F26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93" s="51">
        <f>IFERROR(VALUE(SUBSTITUTE(INDEX('04A_국토부원자료'!$A:$T,ROW()+1,MATCH("거래금액(만원)",'04A_국토부원자료'!$A$4:$T$4,0)),",","")),"")</f>
        <v/>
      </c>
      <c r="H2693" s="174">
        <f>IF(G2693="","",G2693*10000)</f>
        <v/>
      </c>
      <c r="I2693" s="174">
        <f>IFERROR(IF(AND(H2693&gt;0,E2693&gt;0),H2693/E2693,""),"")</f>
        <v/>
      </c>
      <c r="J2693" s="152">
        <f>IFERROR(VALUE(SUBSTITUTE(INDEX('04A_국토부원자료'!$A:$T,ROW()+1,MATCH("층",'04A_국토부원자료'!$A$4:$T$4,0)),",","")),"")</f>
        <v/>
      </c>
      <c r="K2693" s="152">
        <f>IFERROR(VALUE(SUBSTITUTE(INDEX('04A_국토부원자료'!$A:$T,ROW()+1,MATCH("건축년도",'04A_국토부원자료'!$A$4:$T$4,0)),",","")),"")</f>
        <v/>
      </c>
      <c r="L2693" s="48">
        <f>IFERROR(INDEX('04A_국토부원자료'!$A:$T,ROW()+1,MATCH("도로명",'04A_국토부원자료'!$A$4:$T$4,0)),"")</f>
        <v/>
      </c>
      <c r="M2693" s="48">
        <f>IFERROR(INDEX('04A_국토부원자료'!$A:$T,ROW()+1,MATCH("거래유형",'04A_국토부원자료'!$A$4:$T$4,0)),"")</f>
        <v/>
      </c>
      <c r="N2693" s="152">
        <f>IF(B2693="","",IF('02_대상물건입력'!B5="",1,IF(ISNUMBER(SEARCH('02_대상물건입력'!B5,B2693)),1,0)))</f>
        <v/>
      </c>
      <c r="O2693" s="152">
        <f>IF(B2693="","",IF('02_대상물건입력'!B6="",1,IF(ISNUMBER(SEARCH('02_대상물건입력'!B6,B2693)),1,0)))</f>
        <v/>
      </c>
      <c r="P2693" s="152">
        <f>IF(L2693="","",IF('02_대상물건입력'!B15="",0,IF(ISNUMBER(SEARCH('02_대상물건입력'!B15,L2693)),1,0)))</f>
        <v/>
      </c>
      <c r="Q2693" s="152">
        <f>IF(OR(C2693="",L2693=""),0,IF(AND(TRIM(C2693)=TRIM(RIGHT(SUBSTITUTE(TRIM('02_대상물건입력'!$B$7)," ",REPT(" ",99)),99)),IF('02_대상물건입력'!B15="",TRUE(),ISNUMBER(SEARCH('02_대상물건입력'!B15,L2693)))),1,0))</f>
        <v/>
      </c>
      <c r="R2693" s="175">
        <f>IFERROR(ABS(E2693-'02_대상물건입력'!B11)/'02_대상물건입력'!B11,"")</f>
        <v/>
      </c>
      <c r="S2693" s="152">
        <f>IFERROR(ABS(J2693-'02_대상물건입력'!B10),"")</f>
        <v/>
      </c>
      <c r="T2693" s="152">
        <f>IFERROR(ABS('01_설정'!B4-F2693),"")</f>
        <v/>
      </c>
      <c r="U2693" s="152">
        <f>IFERROR(ABS(K2693-YEAR('02_대상물건입력'!B14)),"")</f>
        <v/>
      </c>
      <c r="V2693" s="152">
        <f>IF(B2693="","",IF(AND(E2693&gt;0,F2693&gt;0,H2693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2693=1,TRUE()),R2693&lt;='01_설정'!B5,S2693&lt;='01_설정'!B6,T2693&lt;='01_설정'!B7,U2693&lt;='01_설정'!B8),"Y",""))</f>
        <v/>
      </c>
      <c r="W2693" s="172">
        <f>IF(V2693&lt;&gt;"Y","",MAX(0,(1-R2693/'01_설정'!B5))*'01_설정'!B14+MAX(0,(1-S2693/'01_설정'!B6))*'01_설정'!B15+MAX(0,(1-T2693/'01_설정'!B7))*'01_설정'!B16+MAX(0,(1-U2693/'01_설정'!B8))*'01_설정'!B17+O2693*'01_설정'!B11+Q2693*'01_설정'!B12+P2693*'01_설정'!B13+IF(Z2693="",0,Z2693))</f>
        <v/>
      </c>
      <c r="X2693" s="152">
        <f>IF(W2693="","",1+COUNTIFS($W$4:$W$3003,"&gt;"&amp;W2693)+COUNTIFS($W$4:W2693,W2693)-1)</f>
        <v/>
      </c>
      <c r="Y2693" s="175">
        <f>IF(OR(I2693="",'02_대상물건입력'!B19="",'02_대상물건입력'!B19&lt;=0),"",ABS(I2693-'02_대상물건입력'!B19)/'02_대상물건입력'!B19)</f>
        <v/>
      </c>
      <c r="Z2693" s="172">
        <f>IF(OR(Y2693="",'01_설정'!B31="",'01_설정'!B31&lt;=0,'01_설정'!B32="",'01_설정'!B32&lt;=0),"",MAX(0,(1-Y2693/'01_설정'!B32))*'01_설정'!B31)</f>
        <v/>
      </c>
    </row>
    <row r="2694" ht="17.25" customHeight="1">
      <c r="A2694" s="152">
        <f>IF(INDEX('04A_국토부원자료'!$A:$A,ROW()+1)="","",ROW()-3)</f>
        <v/>
      </c>
      <c r="B2694" s="48">
        <f>IFERROR(INDEX('04A_국토부원자료'!$A:$T,ROW()+1,MATCH("시군구",'04A_국토부원자료'!$A$4:$T$4,0)),"")</f>
        <v/>
      </c>
      <c r="C2694" s="48">
        <f>IF(B2694="","",IFERROR(INDEX('04A_국토부원자료'!$A:$T,ROW()+1,MATCH("번지",'04A_국토부원자료'!$A$4:$T$4,0)),""))</f>
        <v/>
      </c>
      <c r="D2694" s="48">
        <f>IF(B2694="","",IF(Q2694=1,'02_대상물건입력'!$B$8,IFERROR(INDEX('04A_국토부원자료'!$A:$T,ROW()+1,MATCH("단지명",'04A_국토부원자료'!$A$4:$T$4,0)),"")))</f>
        <v/>
      </c>
      <c r="E2694" s="172">
        <f>IFERROR(VALUE(SUBSTITUTE(INDEX('04A_국토부원자료'!$A:$T,ROW()+1,MATCH("전용면적(㎡)",'04A_국토부원자료'!$A$4:$T$4,0)),",","")),"")</f>
        <v/>
      </c>
      <c r="F26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94" s="51">
        <f>IFERROR(VALUE(SUBSTITUTE(INDEX('04A_국토부원자료'!$A:$T,ROW()+1,MATCH("거래금액(만원)",'04A_국토부원자료'!$A$4:$T$4,0)),",","")),"")</f>
        <v/>
      </c>
      <c r="H2694" s="174">
        <f>IF(G2694="","",G2694*10000)</f>
        <v/>
      </c>
      <c r="I2694" s="174">
        <f>IFERROR(IF(AND(H2694&gt;0,E2694&gt;0),H2694/E2694,""),"")</f>
        <v/>
      </c>
      <c r="J2694" s="152">
        <f>IFERROR(VALUE(SUBSTITUTE(INDEX('04A_국토부원자료'!$A:$T,ROW()+1,MATCH("층",'04A_국토부원자료'!$A$4:$T$4,0)),",","")),"")</f>
        <v/>
      </c>
      <c r="K2694" s="152">
        <f>IFERROR(VALUE(SUBSTITUTE(INDEX('04A_국토부원자료'!$A:$T,ROW()+1,MATCH("건축년도",'04A_국토부원자료'!$A$4:$T$4,0)),",","")),"")</f>
        <v/>
      </c>
      <c r="L2694" s="48">
        <f>IFERROR(INDEX('04A_국토부원자료'!$A:$T,ROW()+1,MATCH("도로명",'04A_국토부원자료'!$A$4:$T$4,0)),"")</f>
        <v/>
      </c>
      <c r="M2694" s="48">
        <f>IFERROR(INDEX('04A_국토부원자료'!$A:$T,ROW()+1,MATCH("거래유형",'04A_국토부원자료'!$A$4:$T$4,0)),"")</f>
        <v/>
      </c>
      <c r="N2694" s="152">
        <f>IF(B2694="","",IF('02_대상물건입력'!B5="",1,IF(ISNUMBER(SEARCH('02_대상물건입력'!B5,B2694)),1,0)))</f>
        <v/>
      </c>
      <c r="O2694" s="152">
        <f>IF(B2694="","",IF('02_대상물건입력'!B6="",1,IF(ISNUMBER(SEARCH('02_대상물건입력'!B6,B2694)),1,0)))</f>
        <v/>
      </c>
      <c r="P2694" s="152">
        <f>IF(L2694="","",IF('02_대상물건입력'!B15="",0,IF(ISNUMBER(SEARCH('02_대상물건입력'!B15,L2694)),1,0)))</f>
        <v/>
      </c>
      <c r="Q2694" s="152">
        <f>IF(OR(C2694="",L2694=""),0,IF(AND(TRIM(C2694)=TRIM(RIGHT(SUBSTITUTE(TRIM('02_대상물건입력'!$B$7)," ",REPT(" ",99)),99)),IF('02_대상물건입력'!B15="",TRUE(),ISNUMBER(SEARCH('02_대상물건입력'!B15,L2694)))),1,0))</f>
        <v/>
      </c>
      <c r="R2694" s="175">
        <f>IFERROR(ABS(E2694-'02_대상물건입력'!B11)/'02_대상물건입력'!B11,"")</f>
        <v/>
      </c>
      <c r="S2694" s="152">
        <f>IFERROR(ABS(J2694-'02_대상물건입력'!B10),"")</f>
        <v/>
      </c>
      <c r="T2694" s="152">
        <f>IFERROR(ABS('01_설정'!B4-F2694),"")</f>
        <v/>
      </c>
      <c r="U2694" s="152">
        <f>IFERROR(ABS(K2694-YEAR('02_대상물건입력'!B14)),"")</f>
        <v/>
      </c>
      <c r="V2694" s="152">
        <f>IF(B2694="","",IF(AND(E2694&gt;0,F2694&gt;0,H2694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2694=1,TRUE()),R2694&lt;='01_설정'!B5,S2694&lt;='01_설정'!B6,T2694&lt;='01_설정'!B7,U2694&lt;='01_설정'!B8),"Y",""))</f>
        <v/>
      </c>
      <c r="W2694" s="172">
        <f>IF(V2694&lt;&gt;"Y","",MAX(0,(1-R2694/'01_설정'!B5))*'01_설정'!B14+MAX(0,(1-S2694/'01_설정'!B6))*'01_설정'!B15+MAX(0,(1-T2694/'01_설정'!B7))*'01_설정'!B16+MAX(0,(1-U2694/'01_설정'!B8))*'01_설정'!B17+O2694*'01_설정'!B11+Q2694*'01_설정'!B12+P2694*'01_설정'!B13+IF(Z2694="",0,Z2694))</f>
        <v/>
      </c>
      <c r="X2694" s="152">
        <f>IF(W2694="","",1+COUNTIFS($W$4:$W$3003,"&gt;"&amp;W2694)+COUNTIFS($W$4:W2694,W2694)-1)</f>
        <v/>
      </c>
      <c r="Y2694" s="175">
        <f>IF(OR(I2694="",'02_대상물건입력'!B19="",'02_대상물건입력'!B19&lt;=0),"",ABS(I2694-'02_대상물건입력'!B19)/'02_대상물건입력'!B19)</f>
        <v/>
      </c>
      <c r="Z2694" s="172">
        <f>IF(OR(Y2694="",'01_설정'!B31="",'01_설정'!B31&lt;=0,'01_설정'!B32="",'01_설정'!B32&lt;=0),"",MAX(0,(1-Y2694/'01_설정'!B32))*'01_설정'!B31)</f>
        <v/>
      </c>
    </row>
    <row r="2695" ht="17.25" customHeight="1">
      <c r="A2695" s="152">
        <f>IF(INDEX('04A_국토부원자료'!$A:$A,ROW()+1)="","",ROW()-3)</f>
        <v/>
      </c>
      <c r="B2695" s="48">
        <f>IFERROR(INDEX('04A_국토부원자료'!$A:$T,ROW()+1,MATCH("시군구",'04A_국토부원자료'!$A$4:$T$4,0)),"")</f>
        <v/>
      </c>
      <c r="C2695" s="48">
        <f>IF(B2695="","",IFERROR(INDEX('04A_국토부원자료'!$A:$T,ROW()+1,MATCH("번지",'04A_국토부원자료'!$A$4:$T$4,0)),""))</f>
        <v/>
      </c>
      <c r="D2695" s="48">
        <f>IF(B2695="","",IF(Q2695=1,'02_대상물건입력'!$B$8,IFERROR(INDEX('04A_국토부원자료'!$A:$T,ROW()+1,MATCH("단지명",'04A_국토부원자료'!$A$4:$T$4,0)),"")))</f>
        <v/>
      </c>
      <c r="E2695" s="172">
        <f>IFERROR(VALUE(SUBSTITUTE(INDEX('04A_국토부원자료'!$A:$T,ROW()+1,MATCH("전용면적(㎡)",'04A_국토부원자료'!$A$4:$T$4,0)),",","")),"")</f>
        <v/>
      </c>
      <c r="F26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95" s="51">
        <f>IFERROR(VALUE(SUBSTITUTE(INDEX('04A_국토부원자료'!$A:$T,ROW()+1,MATCH("거래금액(만원)",'04A_국토부원자료'!$A$4:$T$4,0)),",","")),"")</f>
        <v/>
      </c>
      <c r="H2695" s="174">
        <f>IF(G2695="","",G2695*10000)</f>
        <v/>
      </c>
      <c r="I2695" s="174">
        <f>IFERROR(IF(AND(H2695&gt;0,E2695&gt;0),H2695/E2695,""),"")</f>
        <v/>
      </c>
      <c r="J2695" s="152">
        <f>IFERROR(VALUE(SUBSTITUTE(INDEX('04A_국토부원자료'!$A:$T,ROW()+1,MATCH("층",'04A_국토부원자료'!$A$4:$T$4,0)),",","")),"")</f>
        <v/>
      </c>
      <c r="K2695" s="152">
        <f>IFERROR(VALUE(SUBSTITUTE(INDEX('04A_국토부원자료'!$A:$T,ROW()+1,MATCH("건축년도",'04A_국토부원자료'!$A$4:$T$4,0)),",","")),"")</f>
        <v/>
      </c>
      <c r="L2695" s="48">
        <f>IFERROR(INDEX('04A_국토부원자료'!$A:$T,ROW()+1,MATCH("도로명",'04A_국토부원자료'!$A$4:$T$4,0)),"")</f>
        <v/>
      </c>
      <c r="M2695" s="48">
        <f>IFERROR(INDEX('04A_국토부원자료'!$A:$T,ROW()+1,MATCH("거래유형",'04A_국토부원자료'!$A$4:$T$4,0)),"")</f>
        <v/>
      </c>
      <c r="N2695" s="152">
        <f>IF(B2695="","",IF('02_대상물건입력'!B5="",1,IF(ISNUMBER(SEARCH('02_대상물건입력'!B5,B2695)),1,0)))</f>
        <v/>
      </c>
      <c r="O2695" s="152">
        <f>IF(B2695="","",IF('02_대상물건입력'!B6="",1,IF(ISNUMBER(SEARCH('02_대상물건입력'!B6,B2695)),1,0)))</f>
        <v/>
      </c>
      <c r="P2695" s="152">
        <f>IF(L2695="","",IF('02_대상물건입력'!B15="",0,IF(ISNUMBER(SEARCH('02_대상물건입력'!B15,L2695)),1,0)))</f>
        <v/>
      </c>
      <c r="Q2695" s="152">
        <f>IF(OR(C2695="",L2695=""),0,IF(AND(TRIM(C2695)=TRIM(RIGHT(SUBSTITUTE(TRIM('02_대상물건입력'!$B$7)," ",REPT(" ",99)),99)),IF('02_대상물건입력'!B15="",TRUE(),ISNUMBER(SEARCH('02_대상물건입력'!B15,L2695)))),1,0))</f>
        <v/>
      </c>
      <c r="R2695" s="175">
        <f>IFERROR(ABS(E2695-'02_대상물건입력'!B11)/'02_대상물건입력'!B11,"")</f>
        <v/>
      </c>
      <c r="S2695" s="152">
        <f>IFERROR(ABS(J2695-'02_대상물건입력'!B10),"")</f>
        <v/>
      </c>
      <c r="T2695" s="152">
        <f>IFERROR(ABS('01_설정'!B4-F2695),"")</f>
        <v/>
      </c>
      <c r="U2695" s="152">
        <f>IFERROR(ABS(K2695-YEAR('02_대상물건입력'!B14)),"")</f>
        <v/>
      </c>
      <c r="V2695" s="152">
        <f>IF(B2695="","",IF(AND(E2695&gt;0,F2695&gt;0,H2695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2695=1,TRUE()),R2695&lt;='01_설정'!B5,S2695&lt;='01_설정'!B6,T2695&lt;='01_설정'!B7,U2695&lt;='01_설정'!B8),"Y",""))</f>
        <v/>
      </c>
      <c r="W2695" s="172">
        <f>IF(V2695&lt;&gt;"Y","",MAX(0,(1-R2695/'01_설정'!B5))*'01_설정'!B14+MAX(0,(1-S2695/'01_설정'!B6))*'01_설정'!B15+MAX(0,(1-T2695/'01_설정'!B7))*'01_설정'!B16+MAX(0,(1-U2695/'01_설정'!B8))*'01_설정'!B17+O2695*'01_설정'!B11+Q2695*'01_설정'!B12+P2695*'01_설정'!B13+IF(Z2695="",0,Z2695))</f>
        <v/>
      </c>
      <c r="X2695" s="152">
        <f>IF(W2695="","",1+COUNTIFS($W$4:$W$3003,"&gt;"&amp;W2695)+COUNTIFS($W$4:W2695,W2695)-1)</f>
        <v/>
      </c>
      <c r="Y2695" s="175">
        <f>IF(OR(I2695="",'02_대상물건입력'!B19="",'02_대상물건입력'!B19&lt;=0),"",ABS(I2695-'02_대상물건입력'!B19)/'02_대상물건입력'!B19)</f>
        <v/>
      </c>
      <c r="Z2695" s="172">
        <f>IF(OR(Y2695="",'01_설정'!B31="",'01_설정'!B31&lt;=0,'01_설정'!B32="",'01_설정'!B32&lt;=0),"",MAX(0,(1-Y2695/'01_설정'!B32))*'01_설정'!B31)</f>
        <v/>
      </c>
    </row>
    <row r="2696" ht="17.25" customHeight="1">
      <c r="A2696" s="152">
        <f>IF(INDEX('04A_국토부원자료'!$A:$A,ROW()+1)="","",ROW()-3)</f>
        <v/>
      </c>
      <c r="B2696" s="48">
        <f>IFERROR(INDEX('04A_국토부원자료'!$A:$T,ROW()+1,MATCH("시군구",'04A_국토부원자료'!$A$4:$T$4,0)),"")</f>
        <v/>
      </c>
      <c r="C2696" s="48">
        <f>IF(B2696="","",IFERROR(INDEX('04A_국토부원자료'!$A:$T,ROW()+1,MATCH("번지",'04A_국토부원자료'!$A$4:$T$4,0)),""))</f>
        <v/>
      </c>
      <c r="D2696" s="48">
        <f>IF(B2696="","",IF(Q2696=1,'02_대상물건입력'!$B$8,IFERROR(INDEX('04A_국토부원자료'!$A:$T,ROW()+1,MATCH("단지명",'04A_국토부원자료'!$A$4:$T$4,0)),"")))</f>
        <v/>
      </c>
      <c r="E2696" s="172">
        <f>IFERROR(VALUE(SUBSTITUTE(INDEX('04A_국토부원자료'!$A:$T,ROW()+1,MATCH("전용면적(㎡)",'04A_국토부원자료'!$A$4:$T$4,0)),",","")),"")</f>
        <v/>
      </c>
      <c r="F26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96" s="51">
        <f>IFERROR(VALUE(SUBSTITUTE(INDEX('04A_국토부원자료'!$A:$T,ROW()+1,MATCH("거래금액(만원)",'04A_국토부원자료'!$A$4:$T$4,0)),",","")),"")</f>
        <v/>
      </c>
      <c r="H2696" s="174">
        <f>IF(G2696="","",G2696*10000)</f>
        <v/>
      </c>
      <c r="I2696" s="174">
        <f>IFERROR(IF(AND(H2696&gt;0,E2696&gt;0),H2696/E2696,""),"")</f>
        <v/>
      </c>
      <c r="J2696" s="152">
        <f>IFERROR(VALUE(SUBSTITUTE(INDEX('04A_국토부원자료'!$A:$T,ROW()+1,MATCH("층",'04A_국토부원자료'!$A$4:$T$4,0)),",","")),"")</f>
        <v/>
      </c>
      <c r="K2696" s="152">
        <f>IFERROR(VALUE(SUBSTITUTE(INDEX('04A_국토부원자료'!$A:$T,ROW()+1,MATCH("건축년도",'04A_국토부원자료'!$A$4:$T$4,0)),",","")),"")</f>
        <v/>
      </c>
      <c r="L2696" s="48">
        <f>IFERROR(INDEX('04A_국토부원자료'!$A:$T,ROW()+1,MATCH("도로명",'04A_국토부원자료'!$A$4:$T$4,0)),"")</f>
        <v/>
      </c>
      <c r="M2696" s="48">
        <f>IFERROR(INDEX('04A_국토부원자료'!$A:$T,ROW()+1,MATCH("거래유형",'04A_국토부원자료'!$A$4:$T$4,0)),"")</f>
        <v/>
      </c>
      <c r="N2696" s="152">
        <f>IF(B2696="","",IF('02_대상물건입력'!B5="",1,IF(ISNUMBER(SEARCH('02_대상물건입력'!B5,B2696)),1,0)))</f>
        <v/>
      </c>
      <c r="O2696" s="152">
        <f>IF(B2696="","",IF('02_대상물건입력'!B6="",1,IF(ISNUMBER(SEARCH('02_대상물건입력'!B6,B2696)),1,0)))</f>
        <v/>
      </c>
      <c r="P2696" s="152">
        <f>IF(L2696="","",IF('02_대상물건입력'!B15="",0,IF(ISNUMBER(SEARCH('02_대상물건입력'!B15,L2696)),1,0)))</f>
        <v/>
      </c>
      <c r="Q2696" s="152">
        <f>IF(OR(C2696="",L2696=""),0,IF(AND(TRIM(C2696)=TRIM(RIGHT(SUBSTITUTE(TRIM('02_대상물건입력'!$B$7)," ",REPT(" ",99)),99)),IF('02_대상물건입력'!B15="",TRUE(),ISNUMBER(SEARCH('02_대상물건입력'!B15,L2696)))),1,0))</f>
        <v/>
      </c>
      <c r="R2696" s="175">
        <f>IFERROR(ABS(E2696-'02_대상물건입력'!B11)/'02_대상물건입력'!B11,"")</f>
        <v/>
      </c>
      <c r="S2696" s="152">
        <f>IFERROR(ABS(J2696-'02_대상물건입력'!B10),"")</f>
        <v/>
      </c>
      <c r="T2696" s="152">
        <f>IFERROR(ABS('01_설정'!B4-F2696),"")</f>
        <v/>
      </c>
      <c r="U2696" s="152">
        <f>IFERROR(ABS(K2696-YEAR('02_대상물건입력'!B14)),"")</f>
        <v/>
      </c>
      <c r="V2696" s="152">
        <f>IF(B2696="","",IF(AND(E2696&gt;0,F2696&gt;0,H2696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2696=1,TRUE()),R2696&lt;='01_설정'!B5,S2696&lt;='01_설정'!B6,T2696&lt;='01_설정'!B7,U2696&lt;='01_설정'!B8),"Y",""))</f>
        <v/>
      </c>
      <c r="W2696" s="172">
        <f>IF(V2696&lt;&gt;"Y","",MAX(0,(1-R2696/'01_설정'!B5))*'01_설정'!B14+MAX(0,(1-S2696/'01_설정'!B6))*'01_설정'!B15+MAX(0,(1-T2696/'01_설정'!B7))*'01_설정'!B16+MAX(0,(1-U2696/'01_설정'!B8))*'01_설정'!B17+O2696*'01_설정'!B11+Q2696*'01_설정'!B12+P2696*'01_설정'!B13+IF(Z2696="",0,Z2696))</f>
        <v/>
      </c>
      <c r="X2696" s="152">
        <f>IF(W2696="","",1+COUNTIFS($W$4:$W$3003,"&gt;"&amp;W2696)+COUNTIFS($W$4:W2696,W2696)-1)</f>
        <v/>
      </c>
      <c r="Y2696" s="175">
        <f>IF(OR(I2696="",'02_대상물건입력'!B19="",'02_대상물건입력'!B19&lt;=0),"",ABS(I2696-'02_대상물건입력'!B19)/'02_대상물건입력'!B19)</f>
        <v/>
      </c>
      <c r="Z2696" s="172">
        <f>IF(OR(Y2696="",'01_설정'!B31="",'01_설정'!B31&lt;=0,'01_설정'!B32="",'01_설정'!B32&lt;=0),"",MAX(0,(1-Y2696/'01_설정'!B32))*'01_설정'!B31)</f>
        <v/>
      </c>
    </row>
    <row r="2697" ht="17.25" customHeight="1">
      <c r="A2697" s="152">
        <f>IF(INDEX('04A_국토부원자료'!$A:$A,ROW()+1)="","",ROW()-3)</f>
        <v/>
      </c>
      <c r="B2697" s="48">
        <f>IFERROR(INDEX('04A_국토부원자료'!$A:$T,ROW()+1,MATCH("시군구",'04A_국토부원자료'!$A$4:$T$4,0)),"")</f>
        <v/>
      </c>
      <c r="C2697" s="48">
        <f>IF(B2697="","",IFERROR(INDEX('04A_국토부원자료'!$A:$T,ROW()+1,MATCH("번지",'04A_국토부원자료'!$A$4:$T$4,0)),""))</f>
        <v/>
      </c>
      <c r="D2697" s="48">
        <f>IF(B2697="","",IF(Q2697=1,'02_대상물건입력'!$B$8,IFERROR(INDEX('04A_국토부원자료'!$A:$T,ROW()+1,MATCH("단지명",'04A_국토부원자료'!$A$4:$T$4,0)),"")))</f>
        <v/>
      </c>
      <c r="E2697" s="172">
        <f>IFERROR(VALUE(SUBSTITUTE(INDEX('04A_국토부원자료'!$A:$T,ROW()+1,MATCH("전용면적(㎡)",'04A_국토부원자료'!$A$4:$T$4,0)),",","")),"")</f>
        <v/>
      </c>
      <c r="F26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97" s="51">
        <f>IFERROR(VALUE(SUBSTITUTE(INDEX('04A_국토부원자료'!$A:$T,ROW()+1,MATCH("거래금액(만원)",'04A_국토부원자료'!$A$4:$T$4,0)),",","")),"")</f>
        <v/>
      </c>
      <c r="H2697" s="174">
        <f>IF(G2697="","",G2697*10000)</f>
        <v/>
      </c>
      <c r="I2697" s="174">
        <f>IFERROR(IF(AND(H2697&gt;0,E2697&gt;0),H2697/E2697,""),"")</f>
        <v/>
      </c>
      <c r="J2697" s="152">
        <f>IFERROR(VALUE(SUBSTITUTE(INDEX('04A_국토부원자료'!$A:$T,ROW()+1,MATCH("층",'04A_국토부원자료'!$A$4:$T$4,0)),",","")),"")</f>
        <v/>
      </c>
      <c r="K2697" s="152">
        <f>IFERROR(VALUE(SUBSTITUTE(INDEX('04A_국토부원자료'!$A:$T,ROW()+1,MATCH("건축년도",'04A_국토부원자료'!$A$4:$T$4,0)),",","")),"")</f>
        <v/>
      </c>
      <c r="L2697" s="48">
        <f>IFERROR(INDEX('04A_국토부원자료'!$A:$T,ROW()+1,MATCH("도로명",'04A_국토부원자료'!$A$4:$T$4,0)),"")</f>
        <v/>
      </c>
      <c r="M2697" s="48">
        <f>IFERROR(INDEX('04A_국토부원자료'!$A:$T,ROW()+1,MATCH("거래유형",'04A_국토부원자료'!$A$4:$T$4,0)),"")</f>
        <v/>
      </c>
      <c r="N2697" s="152">
        <f>IF(B2697="","",IF('02_대상물건입력'!B5="",1,IF(ISNUMBER(SEARCH('02_대상물건입력'!B5,B2697)),1,0)))</f>
        <v/>
      </c>
      <c r="O2697" s="152">
        <f>IF(B2697="","",IF('02_대상물건입력'!B6="",1,IF(ISNUMBER(SEARCH('02_대상물건입력'!B6,B2697)),1,0)))</f>
        <v/>
      </c>
      <c r="P2697" s="152">
        <f>IF(L2697="","",IF('02_대상물건입력'!B15="",0,IF(ISNUMBER(SEARCH('02_대상물건입력'!B15,L2697)),1,0)))</f>
        <v/>
      </c>
      <c r="Q2697" s="152">
        <f>IF(OR(C2697="",L2697=""),0,IF(AND(TRIM(C2697)=TRIM(RIGHT(SUBSTITUTE(TRIM('02_대상물건입력'!$B$7)," ",REPT(" ",99)),99)),IF('02_대상물건입력'!B15="",TRUE(),ISNUMBER(SEARCH('02_대상물건입력'!B15,L2697)))),1,0))</f>
        <v/>
      </c>
      <c r="R2697" s="175">
        <f>IFERROR(ABS(E2697-'02_대상물건입력'!B11)/'02_대상물건입력'!B11,"")</f>
        <v/>
      </c>
      <c r="S2697" s="152">
        <f>IFERROR(ABS(J2697-'02_대상물건입력'!B10),"")</f>
        <v/>
      </c>
      <c r="T2697" s="152">
        <f>IFERROR(ABS('01_설정'!B4-F2697),"")</f>
        <v/>
      </c>
      <c r="U2697" s="152">
        <f>IFERROR(ABS(K2697-YEAR('02_대상물건입력'!B14)),"")</f>
        <v/>
      </c>
      <c r="V2697" s="152">
        <f>IF(B2697="","",IF(AND(E2697&gt;0,F2697&gt;0,H2697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2697=1,TRUE()),R2697&lt;='01_설정'!B5,S2697&lt;='01_설정'!B6,T2697&lt;='01_설정'!B7,U2697&lt;='01_설정'!B8),"Y",""))</f>
        <v/>
      </c>
      <c r="W2697" s="172">
        <f>IF(V2697&lt;&gt;"Y","",MAX(0,(1-R2697/'01_설정'!B5))*'01_설정'!B14+MAX(0,(1-S2697/'01_설정'!B6))*'01_설정'!B15+MAX(0,(1-T2697/'01_설정'!B7))*'01_설정'!B16+MAX(0,(1-U2697/'01_설정'!B8))*'01_설정'!B17+O2697*'01_설정'!B11+Q2697*'01_설정'!B12+P2697*'01_설정'!B13+IF(Z2697="",0,Z2697))</f>
        <v/>
      </c>
      <c r="X2697" s="152">
        <f>IF(W2697="","",1+COUNTIFS($W$4:$W$3003,"&gt;"&amp;W2697)+COUNTIFS($W$4:W2697,W2697)-1)</f>
        <v/>
      </c>
      <c r="Y2697" s="175">
        <f>IF(OR(I2697="",'02_대상물건입력'!B19="",'02_대상물건입력'!B19&lt;=0),"",ABS(I2697-'02_대상물건입력'!B19)/'02_대상물건입력'!B19)</f>
        <v/>
      </c>
      <c r="Z2697" s="172">
        <f>IF(OR(Y2697="",'01_설정'!B31="",'01_설정'!B31&lt;=0,'01_설정'!B32="",'01_설정'!B32&lt;=0),"",MAX(0,(1-Y2697/'01_설정'!B32))*'01_설정'!B31)</f>
        <v/>
      </c>
    </row>
    <row r="2698" ht="17.25" customHeight="1">
      <c r="A2698" s="152">
        <f>IF(INDEX('04A_국토부원자료'!$A:$A,ROW()+1)="","",ROW()-3)</f>
        <v/>
      </c>
      <c r="B2698" s="48">
        <f>IFERROR(INDEX('04A_국토부원자료'!$A:$T,ROW()+1,MATCH("시군구",'04A_국토부원자료'!$A$4:$T$4,0)),"")</f>
        <v/>
      </c>
      <c r="C2698" s="48">
        <f>IF(B2698="","",IFERROR(INDEX('04A_국토부원자료'!$A:$T,ROW()+1,MATCH("번지",'04A_국토부원자료'!$A$4:$T$4,0)),""))</f>
        <v/>
      </c>
      <c r="D2698" s="48">
        <f>IF(B2698="","",IF(Q2698=1,'02_대상물건입력'!$B$8,IFERROR(INDEX('04A_국토부원자료'!$A:$T,ROW()+1,MATCH("단지명",'04A_국토부원자료'!$A$4:$T$4,0)),"")))</f>
        <v/>
      </c>
      <c r="E2698" s="172">
        <f>IFERROR(VALUE(SUBSTITUTE(INDEX('04A_국토부원자료'!$A:$T,ROW()+1,MATCH("전용면적(㎡)",'04A_국토부원자료'!$A$4:$T$4,0)),",","")),"")</f>
        <v/>
      </c>
      <c r="F26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98" s="51">
        <f>IFERROR(VALUE(SUBSTITUTE(INDEX('04A_국토부원자료'!$A:$T,ROW()+1,MATCH("거래금액(만원)",'04A_국토부원자료'!$A$4:$T$4,0)),",","")),"")</f>
        <v/>
      </c>
      <c r="H2698" s="174">
        <f>IF(G2698="","",G2698*10000)</f>
        <v/>
      </c>
      <c r="I2698" s="174">
        <f>IFERROR(IF(AND(H2698&gt;0,E2698&gt;0),H2698/E2698,""),"")</f>
        <v/>
      </c>
      <c r="J2698" s="152">
        <f>IFERROR(VALUE(SUBSTITUTE(INDEX('04A_국토부원자료'!$A:$T,ROW()+1,MATCH("층",'04A_국토부원자료'!$A$4:$T$4,0)),",","")),"")</f>
        <v/>
      </c>
      <c r="K2698" s="152">
        <f>IFERROR(VALUE(SUBSTITUTE(INDEX('04A_국토부원자료'!$A:$T,ROW()+1,MATCH("건축년도",'04A_국토부원자료'!$A$4:$T$4,0)),",","")),"")</f>
        <v/>
      </c>
      <c r="L2698" s="48">
        <f>IFERROR(INDEX('04A_국토부원자료'!$A:$T,ROW()+1,MATCH("도로명",'04A_국토부원자료'!$A$4:$T$4,0)),"")</f>
        <v/>
      </c>
      <c r="M2698" s="48">
        <f>IFERROR(INDEX('04A_국토부원자료'!$A:$T,ROW()+1,MATCH("거래유형",'04A_국토부원자료'!$A$4:$T$4,0)),"")</f>
        <v/>
      </c>
      <c r="N2698" s="152">
        <f>IF(B2698="","",IF('02_대상물건입력'!B5="",1,IF(ISNUMBER(SEARCH('02_대상물건입력'!B5,B2698)),1,0)))</f>
        <v/>
      </c>
      <c r="O2698" s="152">
        <f>IF(B2698="","",IF('02_대상물건입력'!B6="",1,IF(ISNUMBER(SEARCH('02_대상물건입력'!B6,B2698)),1,0)))</f>
        <v/>
      </c>
      <c r="P2698" s="152">
        <f>IF(L2698="","",IF('02_대상물건입력'!B15="",0,IF(ISNUMBER(SEARCH('02_대상물건입력'!B15,L2698)),1,0)))</f>
        <v/>
      </c>
      <c r="Q2698" s="152">
        <f>IF(OR(C2698="",L2698=""),0,IF(AND(TRIM(C2698)=TRIM(RIGHT(SUBSTITUTE(TRIM('02_대상물건입력'!$B$7)," ",REPT(" ",99)),99)),IF('02_대상물건입력'!B15="",TRUE(),ISNUMBER(SEARCH('02_대상물건입력'!B15,L2698)))),1,0))</f>
        <v/>
      </c>
      <c r="R2698" s="175">
        <f>IFERROR(ABS(E2698-'02_대상물건입력'!B11)/'02_대상물건입력'!B11,"")</f>
        <v/>
      </c>
      <c r="S2698" s="152">
        <f>IFERROR(ABS(J2698-'02_대상물건입력'!B10),"")</f>
        <v/>
      </c>
      <c r="T2698" s="152">
        <f>IFERROR(ABS('01_설정'!B4-F2698),"")</f>
        <v/>
      </c>
      <c r="U2698" s="152">
        <f>IFERROR(ABS(K2698-YEAR('02_대상물건입력'!B14)),"")</f>
        <v/>
      </c>
      <c r="V2698" s="152">
        <f>IF(B2698="","",IF(AND(E2698&gt;0,F2698&gt;0,H2698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2698=1,TRUE()),R2698&lt;='01_설정'!B5,S2698&lt;='01_설정'!B6,T2698&lt;='01_설정'!B7,U2698&lt;='01_설정'!B8),"Y",""))</f>
        <v/>
      </c>
      <c r="W2698" s="172">
        <f>IF(V2698&lt;&gt;"Y","",MAX(0,(1-R2698/'01_설정'!B5))*'01_설정'!B14+MAX(0,(1-S2698/'01_설정'!B6))*'01_설정'!B15+MAX(0,(1-T2698/'01_설정'!B7))*'01_설정'!B16+MAX(0,(1-U2698/'01_설정'!B8))*'01_설정'!B17+O2698*'01_설정'!B11+Q2698*'01_설정'!B12+P2698*'01_설정'!B13+IF(Z2698="",0,Z2698))</f>
        <v/>
      </c>
      <c r="X2698" s="152">
        <f>IF(W2698="","",1+COUNTIFS($W$4:$W$3003,"&gt;"&amp;W2698)+COUNTIFS($W$4:W2698,W2698)-1)</f>
        <v/>
      </c>
      <c r="Y2698" s="175">
        <f>IF(OR(I2698="",'02_대상물건입력'!B19="",'02_대상물건입력'!B19&lt;=0),"",ABS(I2698-'02_대상물건입력'!B19)/'02_대상물건입력'!B19)</f>
        <v/>
      </c>
      <c r="Z2698" s="172">
        <f>IF(OR(Y2698="",'01_설정'!B31="",'01_설정'!B31&lt;=0,'01_설정'!B32="",'01_설정'!B32&lt;=0),"",MAX(0,(1-Y2698/'01_설정'!B32))*'01_설정'!B31)</f>
        <v/>
      </c>
    </row>
    <row r="2699" ht="17.25" customHeight="1">
      <c r="A2699" s="152">
        <f>IF(INDEX('04A_국토부원자료'!$A:$A,ROW()+1)="","",ROW()-3)</f>
        <v/>
      </c>
      <c r="B2699" s="48">
        <f>IFERROR(INDEX('04A_국토부원자료'!$A:$T,ROW()+1,MATCH("시군구",'04A_국토부원자료'!$A$4:$T$4,0)),"")</f>
        <v/>
      </c>
      <c r="C2699" s="48">
        <f>IF(B2699="","",IFERROR(INDEX('04A_국토부원자료'!$A:$T,ROW()+1,MATCH("번지",'04A_국토부원자료'!$A$4:$T$4,0)),""))</f>
        <v/>
      </c>
      <c r="D2699" s="48">
        <f>IF(B2699="","",IF(Q2699=1,'02_대상물건입력'!$B$8,IFERROR(INDEX('04A_국토부원자료'!$A:$T,ROW()+1,MATCH("단지명",'04A_국토부원자료'!$A$4:$T$4,0)),"")))</f>
        <v/>
      </c>
      <c r="E2699" s="172">
        <f>IFERROR(VALUE(SUBSTITUTE(INDEX('04A_국토부원자료'!$A:$T,ROW()+1,MATCH("전용면적(㎡)",'04A_국토부원자료'!$A$4:$T$4,0)),",","")),"")</f>
        <v/>
      </c>
      <c r="F26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699" s="51">
        <f>IFERROR(VALUE(SUBSTITUTE(INDEX('04A_국토부원자료'!$A:$T,ROW()+1,MATCH("거래금액(만원)",'04A_국토부원자료'!$A$4:$T$4,0)),",","")),"")</f>
        <v/>
      </c>
      <c r="H2699" s="174">
        <f>IF(G2699="","",G2699*10000)</f>
        <v/>
      </c>
      <c r="I2699" s="174">
        <f>IFERROR(IF(AND(H2699&gt;0,E2699&gt;0),H2699/E2699,""),"")</f>
        <v/>
      </c>
      <c r="J2699" s="152">
        <f>IFERROR(VALUE(SUBSTITUTE(INDEX('04A_국토부원자료'!$A:$T,ROW()+1,MATCH("층",'04A_국토부원자료'!$A$4:$T$4,0)),",","")),"")</f>
        <v/>
      </c>
      <c r="K2699" s="152">
        <f>IFERROR(VALUE(SUBSTITUTE(INDEX('04A_국토부원자료'!$A:$T,ROW()+1,MATCH("건축년도",'04A_국토부원자료'!$A$4:$T$4,0)),",","")),"")</f>
        <v/>
      </c>
      <c r="L2699" s="48">
        <f>IFERROR(INDEX('04A_국토부원자료'!$A:$T,ROW()+1,MATCH("도로명",'04A_국토부원자료'!$A$4:$T$4,0)),"")</f>
        <v/>
      </c>
      <c r="M2699" s="48">
        <f>IFERROR(INDEX('04A_국토부원자료'!$A:$T,ROW()+1,MATCH("거래유형",'04A_국토부원자료'!$A$4:$T$4,0)),"")</f>
        <v/>
      </c>
      <c r="N2699" s="152">
        <f>IF(B2699="","",IF('02_대상물건입력'!B5="",1,IF(ISNUMBER(SEARCH('02_대상물건입력'!B5,B2699)),1,0)))</f>
        <v/>
      </c>
      <c r="O2699" s="152">
        <f>IF(B2699="","",IF('02_대상물건입력'!B6="",1,IF(ISNUMBER(SEARCH('02_대상물건입력'!B6,B2699)),1,0)))</f>
        <v/>
      </c>
      <c r="P2699" s="152">
        <f>IF(L2699="","",IF('02_대상물건입력'!B15="",0,IF(ISNUMBER(SEARCH('02_대상물건입력'!B15,L2699)),1,0)))</f>
        <v/>
      </c>
      <c r="Q2699" s="152">
        <f>IF(OR(C2699="",L2699=""),0,IF(AND(TRIM(C2699)=TRIM(RIGHT(SUBSTITUTE(TRIM('02_대상물건입력'!$B$7)," ",REPT(" ",99)),99)),IF('02_대상물건입력'!B15="",TRUE(),ISNUMBER(SEARCH('02_대상물건입력'!B15,L2699)))),1,0))</f>
        <v/>
      </c>
      <c r="R2699" s="175">
        <f>IFERROR(ABS(E2699-'02_대상물건입력'!B11)/'02_대상물건입력'!B11,"")</f>
        <v/>
      </c>
      <c r="S2699" s="152">
        <f>IFERROR(ABS(J2699-'02_대상물건입력'!B10),"")</f>
        <v/>
      </c>
      <c r="T2699" s="152">
        <f>IFERROR(ABS('01_설정'!B4-F2699),"")</f>
        <v/>
      </c>
      <c r="U2699" s="152">
        <f>IFERROR(ABS(K2699-YEAR('02_대상물건입력'!B14)),"")</f>
        <v/>
      </c>
      <c r="V2699" s="152">
        <f>IF(B2699="","",IF(AND(E2699&gt;0,F2699&gt;0,H2699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2699=1,TRUE()),R2699&lt;='01_설정'!B5,S2699&lt;='01_설정'!B6,T2699&lt;='01_설정'!B7,U2699&lt;='01_설정'!B8),"Y",""))</f>
        <v/>
      </c>
      <c r="W2699" s="172">
        <f>IF(V2699&lt;&gt;"Y","",MAX(0,(1-R2699/'01_설정'!B5))*'01_설정'!B14+MAX(0,(1-S2699/'01_설정'!B6))*'01_설정'!B15+MAX(0,(1-T2699/'01_설정'!B7))*'01_설정'!B16+MAX(0,(1-U2699/'01_설정'!B8))*'01_설정'!B17+O2699*'01_설정'!B11+Q2699*'01_설정'!B12+P2699*'01_설정'!B13+IF(Z2699="",0,Z2699))</f>
        <v/>
      </c>
      <c r="X2699" s="152">
        <f>IF(W2699="","",1+COUNTIFS($W$4:$W$3003,"&gt;"&amp;W2699)+COUNTIFS($W$4:W2699,W2699)-1)</f>
        <v/>
      </c>
      <c r="Y2699" s="175">
        <f>IF(OR(I2699="",'02_대상물건입력'!B19="",'02_대상물건입력'!B19&lt;=0),"",ABS(I2699-'02_대상물건입력'!B19)/'02_대상물건입력'!B19)</f>
        <v/>
      </c>
      <c r="Z2699" s="172">
        <f>IF(OR(Y2699="",'01_설정'!B31="",'01_설정'!B31&lt;=0,'01_설정'!B32="",'01_설정'!B32&lt;=0),"",MAX(0,(1-Y2699/'01_설정'!B32))*'01_설정'!B31)</f>
        <v/>
      </c>
    </row>
    <row r="2700" ht="17.25" customHeight="1">
      <c r="A2700" s="152">
        <f>IF(INDEX('04A_국토부원자료'!$A:$A,ROW()+1)="","",ROW()-3)</f>
        <v/>
      </c>
      <c r="B2700" s="48">
        <f>IFERROR(INDEX('04A_국토부원자료'!$A:$T,ROW()+1,MATCH("시군구",'04A_국토부원자료'!$A$4:$T$4,0)),"")</f>
        <v/>
      </c>
      <c r="C2700" s="48">
        <f>IF(B2700="","",IFERROR(INDEX('04A_국토부원자료'!$A:$T,ROW()+1,MATCH("번지",'04A_국토부원자료'!$A$4:$T$4,0)),""))</f>
        <v/>
      </c>
      <c r="D2700" s="48">
        <f>IF(B2700="","",IF(Q2700=1,'02_대상물건입력'!$B$8,IFERROR(INDEX('04A_국토부원자료'!$A:$T,ROW()+1,MATCH("단지명",'04A_국토부원자료'!$A$4:$T$4,0)),"")))</f>
        <v/>
      </c>
      <c r="E2700" s="172">
        <f>IFERROR(VALUE(SUBSTITUTE(INDEX('04A_국토부원자료'!$A:$T,ROW()+1,MATCH("전용면적(㎡)",'04A_국토부원자료'!$A$4:$T$4,0)),",","")),"")</f>
        <v/>
      </c>
      <c r="F27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00" s="51">
        <f>IFERROR(VALUE(SUBSTITUTE(INDEX('04A_국토부원자료'!$A:$T,ROW()+1,MATCH("거래금액(만원)",'04A_국토부원자료'!$A$4:$T$4,0)),",","")),"")</f>
        <v/>
      </c>
      <c r="H2700" s="174">
        <f>IF(G2700="","",G2700*10000)</f>
        <v/>
      </c>
      <c r="I2700" s="174">
        <f>IFERROR(IF(AND(H2700&gt;0,E2700&gt;0),H2700/E2700,""),"")</f>
        <v/>
      </c>
      <c r="J2700" s="152">
        <f>IFERROR(VALUE(SUBSTITUTE(INDEX('04A_국토부원자료'!$A:$T,ROW()+1,MATCH("층",'04A_국토부원자료'!$A$4:$T$4,0)),",","")),"")</f>
        <v/>
      </c>
      <c r="K2700" s="152">
        <f>IFERROR(VALUE(SUBSTITUTE(INDEX('04A_국토부원자료'!$A:$T,ROW()+1,MATCH("건축년도",'04A_국토부원자료'!$A$4:$T$4,0)),",","")),"")</f>
        <v/>
      </c>
      <c r="L2700" s="48">
        <f>IFERROR(INDEX('04A_국토부원자료'!$A:$T,ROW()+1,MATCH("도로명",'04A_국토부원자료'!$A$4:$T$4,0)),"")</f>
        <v/>
      </c>
      <c r="M2700" s="48">
        <f>IFERROR(INDEX('04A_국토부원자료'!$A:$T,ROW()+1,MATCH("거래유형",'04A_국토부원자료'!$A$4:$T$4,0)),"")</f>
        <v/>
      </c>
      <c r="N2700" s="152">
        <f>IF(B2700="","",IF('02_대상물건입력'!B5="",1,IF(ISNUMBER(SEARCH('02_대상물건입력'!B5,B2700)),1,0)))</f>
        <v/>
      </c>
      <c r="O2700" s="152">
        <f>IF(B2700="","",IF('02_대상물건입력'!B6="",1,IF(ISNUMBER(SEARCH('02_대상물건입력'!B6,B2700)),1,0)))</f>
        <v/>
      </c>
      <c r="P2700" s="152">
        <f>IF(L2700="","",IF('02_대상물건입력'!B15="",0,IF(ISNUMBER(SEARCH('02_대상물건입력'!B15,L2700)),1,0)))</f>
        <v/>
      </c>
      <c r="Q2700" s="152">
        <f>IF(OR(C2700="",L2700=""),0,IF(AND(TRIM(C2700)=TRIM(RIGHT(SUBSTITUTE(TRIM('02_대상물건입력'!$B$7)," ",REPT(" ",99)),99)),IF('02_대상물건입력'!B15="",TRUE(),ISNUMBER(SEARCH('02_대상물건입력'!B15,L2700)))),1,0))</f>
        <v/>
      </c>
      <c r="R2700" s="175">
        <f>IFERROR(ABS(E2700-'02_대상물건입력'!B11)/'02_대상물건입력'!B11,"")</f>
        <v/>
      </c>
      <c r="S2700" s="152">
        <f>IFERROR(ABS(J2700-'02_대상물건입력'!B10),"")</f>
        <v/>
      </c>
      <c r="T2700" s="152">
        <f>IFERROR(ABS('01_설정'!B4-F2700),"")</f>
        <v/>
      </c>
      <c r="U2700" s="152">
        <f>IFERROR(ABS(K2700-YEAR('02_대상물건입력'!B14)),"")</f>
        <v/>
      </c>
      <c r="V2700" s="152">
        <f>IF(B2700="","",IF(AND(E2700&gt;0,F2700&gt;0,H2700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2700=1,TRUE()),R2700&lt;='01_설정'!B5,S2700&lt;='01_설정'!B6,T2700&lt;='01_설정'!B7,U2700&lt;='01_설정'!B8),"Y",""))</f>
        <v/>
      </c>
      <c r="W2700" s="172">
        <f>IF(V2700&lt;&gt;"Y","",MAX(0,(1-R2700/'01_설정'!B5))*'01_설정'!B14+MAX(0,(1-S2700/'01_설정'!B6))*'01_설정'!B15+MAX(0,(1-T2700/'01_설정'!B7))*'01_설정'!B16+MAX(0,(1-U2700/'01_설정'!B8))*'01_설정'!B17+O2700*'01_설정'!B11+Q2700*'01_설정'!B12+P2700*'01_설정'!B13+IF(Z2700="",0,Z2700))</f>
        <v/>
      </c>
      <c r="X2700" s="152">
        <f>IF(W2700="","",1+COUNTIFS($W$4:$W$3003,"&gt;"&amp;W2700)+COUNTIFS($W$4:W2700,W2700)-1)</f>
        <v/>
      </c>
      <c r="Y2700" s="175">
        <f>IF(OR(I2700="",'02_대상물건입력'!B19="",'02_대상물건입력'!B19&lt;=0),"",ABS(I2700-'02_대상물건입력'!B19)/'02_대상물건입력'!B19)</f>
        <v/>
      </c>
      <c r="Z2700" s="172">
        <f>IF(OR(Y2700="",'01_설정'!B31="",'01_설정'!B31&lt;=0,'01_설정'!B32="",'01_설정'!B32&lt;=0),"",MAX(0,(1-Y2700/'01_설정'!B32))*'01_설정'!B31)</f>
        <v/>
      </c>
    </row>
    <row r="2701" ht="17.25" customHeight="1">
      <c r="A2701" s="152">
        <f>IF(INDEX('04A_국토부원자료'!$A:$A,ROW()+1)="","",ROW()-3)</f>
        <v/>
      </c>
      <c r="B2701" s="48">
        <f>IFERROR(INDEX('04A_국토부원자료'!$A:$T,ROW()+1,MATCH("시군구",'04A_국토부원자료'!$A$4:$T$4,0)),"")</f>
        <v/>
      </c>
      <c r="C2701" s="48">
        <f>IF(B2701="","",IFERROR(INDEX('04A_국토부원자료'!$A:$T,ROW()+1,MATCH("번지",'04A_국토부원자료'!$A$4:$T$4,0)),""))</f>
        <v/>
      </c>
      <c r="D2701" s="48">
        <f>IF(B2701="","",IF(Q2701=1,'02_대상물건입력'!$B$8,IFERROR(INDEX('04A_국토부원자료'!$A:$T,ROW()+1,MATCH("단지명",'04A_국토부원자료'!$A$4:$T$4,0)),"")))</f>
        <v/>
      </c>
      <c r="E2701" s="172">
        <f>IFERROR(VALUE(SUBSTITUTE(INDEX('04A_국토부원자료'!$A:$T,ROW()+1,MATCH("전용면적(㎡)",'04A_국토부원자료'!$A$4:$T$4,0)),",","")),"")</f>
        <v/>
      </c>
      <c r="F27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01" s="51">
        <f>IFERROR(VALUE(SUBSTITUTE(INDEX('04A_국토부원자료'!$A:$T,ROW()+1,MATCH("거래금액(만원)",'04A_국토부원자료'!$A$4:$T$4,0)),",","")),"")</f>
        <v/>
      </c>
      <c r="H2701" s="174">
        <f>IF(G2701="","",G2701*10000)</f>
        <v/>
      </c>
      <c r="I2701" s="174">
        <f>IFERROR(IF(AND(H2701&gt;0,E2701&gt;0),H2701/E2701,""),"")</f>
        <v/>
      </c>
      <c r="J2701" s="152">
        <f>IFERROR(VALUE(SUBSTITUTE(INDEX('04A_국토부원자료'!$A:$T,ROW()+1,MATCH("층",'04A_국토부원자료'!$A$4:$T$4,0)),",","")),"")</f>
        <v/>
      </c>
      <c r="K2701" s="152">
        <f>IFERROR(VALUE(SUBSTITUTE(INDEX('04A_국토부원자료'!$A:$T,ROW()+1,MATCH("건축년도",'04A_국토부원자료'!$A$4:$T$4,0)),",","")),"")</f>
        <v/>
      </c>
      <c r="L2701" s="48">
        <f>IFERROR(INDEX('04A_국토부원자료'!$A:$T,ROW()+1,MATCH("도로명",'04A_국토부원자료'!$A$4:$T$4,0)),"")</f>
        <v/>
      </c>
      <c r="M2701" s="48">
        <f>IFERROR(INDEX('04A_국토부원자료'!$A:$T,ROW()+1,MATCH("거래유형",'04A_국토부원자료'!$A$4:$T$4,0)),"")</f>
        <v/>
      </c>
      <c r="N2701" s="152">
        <f>IF(B2701="","",IF('02_대상물건입력'!B5="",1,IF(ISNUMBER(SEARCH('02_대상물건입력'!B5,B2701)),1,0)))</f>
        <v/>
      </c>
      <c r="O2701" s="152">
        <f>IF(B2701="","",IF('02_대상물건입력'!B6="",1,IF(ISNUMBER(SEARCH('02_대상물건입력'!B6,B2701)),1,0)))</f>
        <v/>
      </c>
      <c r="P2701" s="152">
        <f>IF(L2701="","",IF('02_대상물건입력'!B15="",0,IF(ISNUMBER(SEARCH('02_대상물건입력'!B15,L2701)),1,0)))</f>
        <v/>
      </c>
      <c r="Q2701" s="152">
        <f>IF(OR(C2701="",L2701=""),0,IF(AND(TRIM(C2701)=TRIM(RIGHT(SUBSTITUTE(TRIM('02_대상물건입력'!$B$7)," ",REPT(" ",99)),99)),IF('02_대상물건입력'!B15="",TRUE(),ISNUMBER(SEARCH('02_대상물건입력'!B15,L2701)))),1,0))</f>
        <v/>
      </c>
      <c r="R2701" s="175">
        <f>IFERROR(ABS(E2701-'02_대상물건입력'!B11)/'02_대상물건입력'!B11,"")</f>
        <v/>
      </c>
      <c r="S2701" s="152">
        <f>IFERROR(ABS(J2701-'02_대상물건입력'!B10),"")</f>
        <v/>
      </c>
      <c r="T2701" s="152">
        <f>IFERROR(ABS('01_설정'!B4-F2701),"")</f>
        <v/>
      </c>
      <c r="U2701" s="152">
        <f>IFERROR(ABS(K2701-YEAR('02_대상물건입력'!B14)),"")</f>
        <v/>
      </c>
      <c r="V2701" s="152">
        <f>IF(B2701="","",IF(AND(E2701&gt;0,F2701&gt;0,H2701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2701=1,TRUE()),R2701&lt;='01_설정'!B5,S2701&lt;='01_설정'!B6,T2701&lt;='01_설정'!B7,U2701&lt;='01_설정'!B8),"Y",""))</f>
        <v/>
      </c>
      <c r="W2701" s="172">
        <f>IF(V2701&lt;&gt;"Y","",MAX(0,(1-R2701/'01_설정'!B5))*'01_설정'!B14+MAX(0,(1-S2701/'01_설정'!B6))*'01_설정'!B15+MAX(0,(1-T2701/'01_설정'!B7))*'01_설정'!B16+MAX(0,(1-U2701/'01_설정'!B8))*'01_설정'!B17+O2701*'01_설정'!B11+Q2701*'01_설정'!B12+P2701*'01_설정'!B13+IF(Z2701="",0,Z2701))</f>
        <v/>
      </c>
      <c r="X2701" s="152">
        <f>IF(W2701="","",1+COUNTIFS($W$4:$W$3003,"&gt;"&amp;W2701)+COUNTIFS($W$4:W2701,W2701)-1)</f>
        <v/>
      </c>
      <c r="Y2701" s="175">
        <f>IF(OR(I2701="",'02_대상물건입력'!B19="",'02_대상물건입력'!B19&lt;=0),"",ABS(I2701-'02_대상물건입력'!B19)/'02_대상물건입력'!B19)</f>
        <v/>
      </c>
      <c r="Z2701" s="172">
        <f>IF(OR(Y2701="",'01_설정'!B31="",'01_설정'!B31&lt;=0,'01_설정'!B32="",'01_설정'!B32&lt;=0),"",MAX(0,(1-Y2701/'01_설정'!B32))*'01_설정'!B31)</f>
        <v/>
      </c>
    </row>
    <row r="2702" ht="17.25" customHeight="1">
      <c r="A2702" s="152">
        <f>IF(INDEX('04A_국토부원자료'!$A:$A,ROW()+1)="","",ROW()-3)</f>
        <v/>
      </c>
      <c r="B2702" s="48">
        <f>IFERROR(INDEX('04A_국토부원자료'!$A:$T,ROW()+1,MATCH("시군구",'04A_국토부원자료'!$A$4:$T$4,0)),"")</f>
        <v/>
      </c>
      <c r="C2702" s="48">
        <f>IF(B2702="","",IFERROR(INDEX('04A_국토부원자료'!$A:$T,ROW()+1,MATCH("번지",'04A_국토부원자료'!$A$4:$T$4,0)),""))</f>
        <v/>
      </c>
      <c r="D2702" s="48">
        <f>IF(B2702="","",IF(Q2702=1,'02_대상물건입력'!$B$8,IFERROR(INDEX('04A_국토부원자료'!$A:$T,ROW()+1,MATCH("단지명",'04A_국토부원자료'!$A$4:$T$4,0)),"")))</f>
        <v/>
      </c>
      <c r="E2702" s="172">
        <f>IFERROR(VALUE(SUBSTITUTE(INDEX('04A_국토부원자료'!$A:$T,ROW()+1,MATCH("전용면적(㎡)",'04A_국토부원자료'!$A$4:$T$4,0)),",","")),"")</f>
        <v/>
      </c>
      <c r="F27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02" s="51">
        <f>IFERROR(VALUE(SUBSTITUTE(INDEX('04A_국토부원자료'!$A:$T,ROW()+1,MATCH("거래금액(만원)",'04A_국토부원자료'!$A$4:$T$4,0)),",","")),"")</f>
        <v/>
      </c>
      <c r="H2702" s="174">
        <f>IF(G2702="","",G2702*10000)</f>
        <v/>
      </c>
      <c r="I2702" s="174">
        <f>IFERROR(IF(AND(H2702&gt;0,E2702&gt;0),H2702/E2702,""),"")</f>
        <v/>
      </c>
      <c r="J2702" s="152">
        <f>IFERROR(VALUE(SUBSTITUTE(INDEX('04A_국토부원자료'!$A:$T,ROW()+1,MATCH("층",'04A_국토부원자료'!$A$4:$T$4,0)),",","")),"")</f>
        <v/>
      </c>
      <c r="K2702" s="152">
        <f>IFERROR(VALUE(SUBSTITUTE(INDEX('04A_국토부원자료'!$A:$T,ROW()+1,MATCH("건축년도",'04A_국토부원자료'!$A$4:$T$4,0)),",","")),"")</f>
        <v/>
      </c>
      <c r="L2702" s="48">
        <f>IFERROR(INDEX('04A_국토부원자료'!$A:$T,ROW()+1,MATCH("도로명",'04A_국토부원자료'!$A$4:$T$4,0)),"")</f>
        <v/>
      </c>
      <c r="M2702" s="48">
        <f>IFERROR(INDEX('04A_국토부원자료'!$A:$T,ROW()+1,MATCH("거래유형",'04A_국토부원자료'!$A$4:$T$4,0)),"")</f>
        <v/>
      </c>
      <c r="N2702" s="152">
        <f>IF(B2702="","",IF('02_대상물건입력'!B5="",1,IF(ISNUMBER(SEARCH('02_대상물건입력'!B5,B2702)),1,0)))</f>
        <v/>
      </c>
      <c r="O2702" s="152">
        <f>IF(B2702="","",IF('02_대상물건입력'!B6="",1,IF(ISNUMBER(SEARCH('02_대상물건입력'!B6,B2702)),1,0)))</f>
        <v/>
      </c>
      <c r="P2702" s="152">
        <f>IF(L2702="","",IF('02_대상물건입력'!B15="",0,IF(ISNUMBER(SEARCH('02_대상물건입력'!B15,L2702)),1,0)))</f>
        <v/>
      </c>
      <c r="Q2702" s="152">
        <f>IF(OR(C2702="",L2702=""),0,IF(AND(TRIM(C2702)=TRIM(RIGHT(SUBSTITUTE(TRIM('02_대상물건입력'!$B$7)," ",REPT(" ",99)),99)),IF('02_대상물건입력'!B15="",TRUE(),ISNUMBER(SEARCH('02_대상물건입력'!B15,L2702)))),1,0))</f>
        <v/>
      </c>
      <c r="R2702" s="175">
        <f>IFERROR(ABS(E2702-'02_대상물건입력'!B11)/'02_대상물건입력'!B11,"")</f>
        <v/>
      </c>
      <c r="S2702" s="152">
        <f>IFERROR(ABS(J2702-'02_대상물건입력'!B10),"")</f>
        <v/>
      </c>
      <c r="T2702" s="152">
        <f>IFERROR(ABS('01_설정'!B4-F2702),"")</f>
        <v/>
      </c>
      <c r="U2702" s="152">
        <f>IFERROR(ABS(K2702-YEAR('02_대상물건입력'!B14)),"")</f>
        <v/>
      </c>
      <c r="V2702" s="152">
        <f>IF(B2702="","",IF(AND(E2702&gt;0,F2702&gt;0,H2702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2702=1,TRUE()),R2702&lt;='01_설정'!B5,S2702&lt;='01_설정'!B6,T2702&lt;='01_설정'!B7,U2702&lt;='01_설정'!B8),"Y",""))</f>
        <v/>
      </c>
      <c r="W2702" s="172">
        <f>IF(V2702&lt;&gt;"Y","",MAX(0,(1-R2702/'01_설정'!B5))*'01_설정'!B14+MAX(0,(1-S2702/'01_설정'!B6))*'01_설정'!B15+MAX(0,(1-T2702/'01_설정'!B7))*'01_설정'!B16+MAX(0,(1-U2702/'01_설정'!B8))*'01_설정'!B17+O2702*'01_설정'!B11+Q2702*'01_설정'!B12+P2702*'01_설정'!B13+IF(Z2702="",0,Z2702))</f>
        <v/>
      </c>
      <c r="X2702" s="152">
        <f>IF(W2702="","",1+COUNTIFS($W$4:$W$3003,"&gt;"&amp;W2702)+COUNTIFS($W$4:W2702,W2702)-1)</f>
        <v/>
      </c>
      <c r="Y2702" s="175">
        <f>IF(OR(I2702="",'02_대상물건입력'!B19="",'02_대상물건입력'!B19&lt;=0),"",ABS(I2702-'02_대상물건입력'!B19)/'02_대상물건입력'!B19)</f>
        <v/>
      </c>
      <c r="Z2702" s="172">
        <f>IF(OR(Y2702="",'01_설정'!B31="",'01_설정'!B31&lt;=0,'01_설정'!B32="",'01_설정'!B32&lt;=0),"",MAX(0,(1-Y2702/'01_설정'!B32))*'01_설정'!B31)</f>
        <v/>
      </c>
    </row>
    <row r="2703" ht="17.25" customHeight="1">
      <c r="A2703" s="152">
        <f>IF(INDEX('04A_국토부원자료'!$A:$A,ROW()+1)="","",ROW()-3)</f>
        <v/>
      </c>
      <c r="B2703" s="48">
        <f>IFERROR(INDEX('04A_국토부원자료'!$A:$T,ROW()+1,MATCH("시군구",'04A_국토부원자료'!$A$4:$T$4,0)),"")</f>
        <v/>
      </c>
      <c r="C2703" s="48">
        <f>IF(B2703="","",IFERROR(INDEX('04A_국토부원자료'!$A:$T,ROW()+1,MATCH("번지",'04A_국토부원자료'!$A$4:$T$4,0)),""))</f>
        <v/>
      </c>
      <c r="D2703" s="48">
        <f>IF(B2703="","",IF(Q2703=1,'02_대상물건입력'!$B$8,IFERROR(INDEX('04A_국토부원자료'!$A:$T,ROW()+1,MATCH("단지명",'04A_국토부원자료'!$A$4:$T$4,0)),"")))</f>
        <v/>
      </c>
      <c r="E2703" s="172">
        <f>IFERROR(VALUE(SUBSTITUTE(INDEX('04A_국토부원자료'!$A:$T,ROW()+1,MATCH("전용면적(㎡)",'04A_국토부원자료'!$A$4:$T$4,0)),",","")),"")</f>
        <v/>
      </c>
      <c r="F27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03" s="51">
        <f>IFERROR(VALUE(SUBSTITUTE(INDEX('04A_국토부원자료'!$A:$T,ROW()+1,MATCH("거래금액(만원)",'04A_국토부원자료'!$A$4:$T$4,0)),",","")),"")</f>
        <v/>
      </c>
      <c r="H2703" s="174">
        <f>IF(G2703="","",G2703*10000)</f>
        <v/>
      </c>
      <c r="I2703" s="174">
        <f>IFERROR(IF(AND(H2703&gt;0,E2703&gt;0),H2703/E2703,""),"")</f>
        <v/>
      </c>
      <c r="J2703" s="152">
        <f>IFERROR(VALUE(SUBSTITUTE(INDEX('04A_국토부원자료'!$A:$T,ROW()+1,MATCH("층",'04A_국토부원자료'!$A$4:$T$4,0)),",","")),"")</f>
        <v/>
      </c>
      <c r="K2703" s="152">
        <f>IFERROR(VALUE(SUBSTITUTE(INDEX('04A_국토부원자료'!$A:$T,ROW()+1,MATCH("건축년도",'04A_국토부원자료'!$A$4:$T$4,0)),",","")),"")</f>
        <v/>
      </c>
      <c r="L2703" s="48">
        <f>IFERROR(INDEX('04A_국토부원자료'!$A:$T,ROW()+1,MATCH("도로명",'04A_국토부원자료'!$A$4:$T$4,0)),"")</f>
        <v/>
      </c>
      <c r="M2703" s="48">
        <f>IFERROR(INDEX('04A_국토부원자료'!$A:$T,ROW()+1,MATCH("거래유형",'04A_국토부원자료'!$A$4:$T$4,0)),"")</f>
        <v/>
      </c>
      <c r="N2703" s="152">
        <f>IF(B2703="","",IF('02_대상물건입력'!B5="",1,IF(ISNUMBER(SEARCH('02_대상물건입력'!B5,B2703)),1,0)))</f>
        <v/>
      </c>
      <c r="O2703" s="152">
        <f>IF(B2703="","",IF('02_대상물건입력'!B6="",1,IF(ISNUMBER(SEARCH('02_대상물건입력'!B6,B2703)),1,0)))</f>
        <v/>
      </c>
      <c r="P2703" s="152">
        <f>IF(L2703="","",IF('02_대상물건입력'!B15="",0,IF(ISNUMBER(SEARCH('02_대상물건입력'!B15,L2703)),1,0)))</f>
        <v/>
      </c>
      <c r="Q2703" s="152">
        <f>IF(OR(C2703="",L2703=""),0,IF(AND(TRIM(C2703)=TRIM(RIGHT(SUBSTITUTE(TRIM('02_대상물건입력'!$B$7)," ",REPT(" ",99)),99)),IF('02_대상물건입력'!B15="",TRUE(),ISNUMBER(SEARCH('02_대상물건입력'!B15,L2703)))),1,0))</f>
        <v/>
      </c>
      <c r="R2703" s="175">
        <f>IFERROR(ABS(E2703-'02_대상물건입력'!B11)/'02_대상물건입력'!B11,"")</f>
        <v/>
      </c>
      <c r="S2703" s="152">
        <f>IFERROR(ABS(J2703-'02_대상물건입력'!B10),"")</f>
        <v/>
      </c>
      <c r="T2703" s="152">
        <f>IFERROR(ABS('01_설정'!B4-F2703),"")</f>
        <v/>
      </c>
      <c r="U2703" s="152">
        <f>IFERROR(ABS(K2703-YEAR('02_대상물건입력'!B14)),"")</f>
        <v/>
      </c>
      <c r="V2703" s="152">
        <f>IF(B2703="","",IF(AND(E2703&gt;0,F2703&gt;0,H2703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2703=1,TRUE()),R2703&lt;='01_설정'!B5,S2703&lt;='01_설정'!B6,T2703&lt;='01_설정'!B7,U2703&lt;='01_설정'!B8),"Y",""))</f>
        <v/>
      </c>
      <c r="W2703" s="172">
        <f>IF(V2703&lt;&gt;"Y","",MAX(0,(1-R2703/'01_설정'!B5))*'01_설정'!B14+MAX(0,(1-S2703/'01_설정'!B6))*'01_설정'!B15+MAX(0,(1-T2703/'01_설정'!B7))*'01_설정'!B16+MAX(0,(1-U2703/'01_설정'!B8))*'01_설정'!B17+O2703*'01_설정'!B11+Q2703*'01_설정'!B12+P2703*'01_설정'!B13+IF(Z2703="",0,Z2703))</f>
        <v/>
      </c>
      <c r="X2703" s="152">
        <f>IF(W2703="","",1+COUNTIFS($W$4:$W$3003,"&gt;"&amp;W2703)+COUNTIFS($W$4:W2703,W2703)-1)</f>
        <v/>
      </c>
      <c r="Y2703" s="175">
        <f>IF(OR(I2703="",'02_대상물건입력'!B19="",'02_대상물건입력'!B19&lt;=0),"",ABS(I2703-'02_대상물건입력'!B19)/'02_대상물건입력'!B19)</f>
        <v/>
      </c>
      <c r="Z2703" s="172">
        <f>IF(OR(Y2703="",'01_설정'!B31="",'01_설정'!B31&lt;=0,'01_설정'!B32="",'01_설정'!B32&lt;=0),"",MAX(0,(1-Y2703/'01_설정'!B32))*'01_설정'!B31)</f>
        <v/>
      </c>
    </row>
    <row r="2704" ht="17.25" customHeight="1">
      <c r="A2704" s="152">
        <f>IF(INDEX('04A_국토부원자료'!$A:$A,ROW()+1)="","",ROW()-3)</f>
        <v/>
      </c>
      <c r="B2704" s="48">
        <f>IFERROR(INDEX('04A_국토부원자료'!$A:$T,ROW()+1,MATCH("시군구",'04A_국토부원자료'!$A$4:$T$4,0)),"")</f>
        <v/>
      </c>
      <c r="C2704" s="48">
        <f>IF(B2704="","",IFERROR(INDEX('04A_국토부원자료'!$A:$T,ROW()+1,MATCH("번지",'04A_국토부원자료'!$A$4:$T$4,0)),""))</f>
        <v/>
      </c>
      <c r="D2704" s="48">
        <f>IF(B2704="","",IF(Q2704=1,'02_대상물건입력'!$B$8,IFERROR(INDEX('04A_국토부원자료'!$A:$T,ROW()+1,MATCH("단지명",'04A_국토부원자료'!$A$4:$T$4,0)),"")))</f>
        <v/>
      </c>
      <c r="E2704" s="172">
        <f>IFERROR(VALUE(SUBSTITUTE(INDEX('04A_국토부원자료'!$A:$T,ROW()+1,MATCH("전용면적(㎡)",'04A_국토부원자료'!$A$4:$T$4,0)),",","")),"")</f>
        <v/>
      </c>
      <c r="F27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04" s="51">
        <f>IFERROR(VALUE(SUBSTITUTE(INDEX('04A_국토부원자료'!$A:$T,ROW()+1,MATCH("거래금액(만원)",'04A_국토부원자료'!$A$4:$T$4,0)),",","")),"")</f>
        <v/>
      </c>
      <c r="H2704" s="174">
        <f>IF(G2704="","",G2704*10000)</f>
        <v/>
      </c>
      <c r="I2704" s="174">
        <f>IFERROR(IF(AND(H2704&gt;0,E2704&gt;0),H2704/E2704,""),"")</f>
        <v/>
      </c>
      <c r="J2704" s="152">
        <f>IFERROR(VALUE(SUBSTITUTE(INDEX('04A_국토부원자료'!$A:$T,ROW()+1,MATCH("층",'04A_국토부원자료'!$A$4:$T$4,0)),",","")),"")</f>
        <v/>
      </c>
      <c r="K2704" s="152">
        <f>IFERROR(VALUE(SUBSTITUTE(INDEX('04A_국토부원자료'!$A:$T,ROW()+1,MATCH("건축년도",'04A_국토부원자료'!$A$4:$T$4,0)),",","")),"")</f>
        <v/>
      </c>
      <c r="L2704" s="48">
        <f>IFERROR(INDEX('04A_국토부원자료'!$A:$T,ROW()+1,MATCH("도로명",'04A_국토부원자료'!$A$4:$T$4,0)),"")</f>
        <v/>
      </c>
      <c r="M2704" s="48">
        <f>IFERROR(INDEX('04A_국토부원자료'!$A:$T,ROW()+1,MATCH("거래유형",'04A_국토부원자료'!$A$4:$T$4,0)),"")</f>
        <v/>
      </c>
      <c r="N2704" s="152">
        <f>IF(B2704="","",IF('02_대상물건입력'!B5="",1,IF(ISNUMBER(SEARCH('02_대상물건입력'!B5,B2704)),1,0)))</f>
        <v/>
      </c>
      <c r="O2704" s="152">
        <f>IF(B2704="","",IF('02_대상물건입력'!B6="",1,IF(ISNUMBER(SEARCH('02_대상물건입력'!B6,B2704)),1,0)))</f>
        <v/>
      </c>
      <c r="P2704" s="152">
        <f>IF(L2704="","",IF('02_대상물건입력'!B15="",0,IF(ISNUMBER(SEARCH('02_대상물건입력'!B15,L2704)),1,0)))</f>
        <v/>
      </c>
      <c r="Q2704" s="152">
        <f>IF(OR(C2704="",L2704=""),0,IF(AND(TRIM(C2704)=TRIM(RIGHT(SUBSTITUTE(TRIM('02_대상물건입력'!$B$7)," ",REPT(" ",99)),99)),IF('02_대상물건입력'!B15="",TRUE(),ISNUMBER(SEARCH('02_대상물건입력'!B15,L2704)))),1,0))</f>
        <v/>
      </c>
      <c r="R2704" s="175">
        <f>IFERROR(ABS(E2704-'02_대상물건입력'!B11)/'02_대상물건입력'!B11,"")</f>
        <v/>
      </c>
      <c r="S2704" s="152">
        <f>IFERROR(ABS(J2704-'02_대상물건입력'!B10),"")</f>
        <v/>
      </c>
      <c r="T2704" s="152">
        <f>IFERROR(ABS('01_설정'!B4-F2704),"")</f>
        <v/>
      </c>
      <c r="U2704" s="152">
        <f>IFERROR(ABS(K2704-YEAR('02_대상물건입력'!B14)),"")</f>
        <v/>
      </c>
      <c r="V2704" s="152">
        <f>IF(B2704="","",IF(AND(E2704&gt;0,F2704&gt;0,H2704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2704=1,TRUE()),R2704&lt;='01_설정'!B5,S2704&lt;='01_설정'!B6,T2704&lt;='01_설정'!B7,U2704&lt;='01_설정'!B8),"Y",""))</f>
        <v/>
      </c>
      <c r="W2704" s="172">
        <f>IF(V2704&lt;&gt;"Y","",MAX(0,(1-R2704/'01_설정'!B5))*'01_설정'!B14+MAX(0,(1-S2704/'01_설정'!B6))*'01_설정'!B15+MAX(0,(1-T2704/'01_설정'!B7))*'01_설정'!B16+MAX(0,(1-U2704/'01_설정'!B8))*'01_설정'!B17+O2704*'01_설정'!B11+Q2704*'01_설정'!B12+P2704*'01_설정'!B13+IF(Z2704="",0,Z2704))</f>
        <v/>
      </c>
      <c r="X2704" s="152">
        <f>IF(W2704="","",1+COUNTIFS($W$4:$W$3003,"&gt;"&amp;W2704)+COUNTIFS($W$4:W2704,W2704)-1)</f>
        <v/>
      </c>
      <c r="Y2704" s="175">
        <f>IF(OR(I2704="",'02_대상물건입력'!B19="",'02_대상물건입력'!B19&lt;=0),"",ABS(I2704-'02_대상물건입력'!B19)/'02_대상물건입력'!B19)</f>
        <v/>
      </c>
      <c r="Z2704" s="172">
        <f>IF(OR(Y2704="",'01_설정'!B31="",'01_설정'!B31&lt;=0,'01_설정'!B32="",'01_설정'!B32&lt;=0),"",MAX(0,(1-Y2704/'01_설정'!B32))*'01_설정'!B31)</f>
        <v/>
      </c>
    </row>
    <row r="2705" ht="17.25" customHeight="1">
      <c r="A2705" s="152">
        <f>IF(INDEX('04A_국토부원자료'!$A:$A,ROW()+1)="","",ROW()-3)</f>
        <v/>
      </c>
      <c r="B2705" s="48">
        <f>IFERROR(INDEX('04A_국토부원자료'!$A:$T,ROW()+1,MATCH("시군구",'04A_국토부원자료'!$A$4:$T$4,0)),"")</f>
        <v/>
      </c>
      <c r="C2705" s="48">
        <f>IF(B2705="","",IFERROR(INDEX('04A_국토부원자료'!$A:$T,ROW()+1,MATCH("번지",'04A_국토부원자료'!$A$4:$T$4,0)),""))</f>
        <v/>
      </c>
      <c r="D2705" s="48">
        <f>IF(B2705="","",IF(Q2705=1,'02_대상물건입력'!$B$8,IFERROR(INDEX('04A_국토부원자료'!$A:$T,ROW()+1,MATCH("단지명",'04A_국토부원자료'!$A$4:$T$4,0)),"")))</f>
        <v/>
      </c>
      <c r="E2705" s="172">
        <f>IFERROR(VALUE(SUBSTITUTE(INDEX('04A_국토부원자료'!$A:$T,ROW()+1,MATCH("전용면적(㎡)",'04A_국토부원자료'!$A$4:$T$4,0)),",","")),"")</f>
        <v/>
      </c>
      <c r="F27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05" s="51">
        <f>IFERROR(VALUE(SUBSTITUTE(INDEX('04A_국토부원자료'!$A:$T,ROW()+1,MATCH("거래금액(만원)",'04A_국토부원자료'!$A$4:$T$4,0)),",","")),"")</f>
        <v/>
      </c>
      <c r="H2705" s="174">
        <f>IF(G2705="","",G2705*10000)</f>
        <v/>
      </c>
      <c r="I2705" s="174">
        <f>IFERROR(IF(AND(H2705&gt;0,E2705&gt;0),H2705/E2705,""),"")</f>
        <v/>
      </c>
      <c r="J2705" s="152">
        <f>IFERROR(VALUE(SUBSTITUTE(INDEX('04A_국토부원자료'!$A:$T,ROW()+1,MATCH("층",'04A_국토부원자료'!$A$4:$T$4,0)),",","")),"")</f>
        <v/>
      </c>
      <c r="K2705" s="152">
        <f>IFERROR(VALUE(SUBSTITUTE(INDEX('04A_국토부원자료'!$A:$T,ROW()+1,MATCH("건축년도",'04A_국토부원자료'!$A$4:$T$4,0)),",","")),"")</f>
        <v/>
      </c>
      <c r="L2705" s="48">
        <f>IFERROR(INDEX('04A_국토부원자료'!$A:$T,ROW()+1,MATCH("도로명",'04A_국토부원자료'!$A$4:$T$4,0)),"")</f>
        <v/>
      </c>
      <c r="M2705" s="48">
        <f>IFERROR(INDEX('04A_국토부원자료'!$A:$T,ROW()+1,MATCH("거래유형",'04A_국토부원자료'!$A$4:$T$4,0)),"")</f>
        <v/>
      </c>
      <c r="N2705" s="152">
        <f>IF(B2705="","",IF('02_대상물건입력'!B5="",1,IF(ISNUMBER(SEARCH('02_대상물건입력'!B5,B2705)),1,0)))</f>
        <v/>
      </c>
      <c r="O2705" s="152">
        <f>IF(B2705="","",IF('02_대상물건입력'!B6="",1,IF(ISNUMBER(SEARCH('02_대상물건입력'!B6,B2705)),1,0)))</f>
        <v/>
      </c>
      <c r="P2705" s="152">
        <f>IF(L2705="","",IF('02_대상물건입력'!B15="",0,IF(ISNUMBER(SEARCH('02_대상물건입력'!B15,L2705)),1,0)))</f>
        <v/>
      </c>
      <c r="Q2705" s="152">
        <f>IF(OR(C2705="",L2705=""),0,IF(AND(TRIM(C2705)=TRIM(RIGHT(SUBSTITUTE(TRIM('02_대상물건입력'!$B$7)," ",REPT(" ",99)),99)),IF('02_대상물건입력'!B15="",TRUE(),ISNUMBER(SEARCH('02_대상물건입력'!B15,L2705)))),1,0))</f>
        <v/>
      </c>
      <c r="R2705" s="175">
        <f>IFERROR(ABS(E2705-'02_대상물건입력'!B11)/'02_대상물건입력'!B11,"")</f>
        <v/>
      </c>
      <c r="S2705" s="152">
        <f>IFERROR(ABS(J2705-'02_대상물건입력'!B10),"")</f>
        <v/>
      </c>
      <c r="T2705" s="152">
        <f>IFERROR(ABS('01_설정'!B4-F2705),"")</f>
        <v/>
      </c>
      <c r="U2705" s="152">
        <f>IFERROR(ABS(K2705-YEAR('02_대상물건입력'!B14)),"")</f>
        <v/>
      </c>
      <c r="V2705" s="152">
        <f>IF(B2705="","",IF(AND(E2705&gt;0,F2705&gt;0,H2705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2705=1,TRUE()),R2705&lt;='01_설정'!B5,S2705&lt;='01_설정'!B6,T2705&lt;='01_설정'!B7,U2705&lt;='01_설정'!B8),"Y",""))</f>
        <v/>
      </c>
      <c r="W2705" s="172">
        <f>IF(V2705&lt;&gt;"Y","",MAX(0,(1-R2705/'01_설정'!B5))*'01_설정'!B14+MAX(0,(1-S2705/'01_설정'!B6))*'01_설정'!B15+MAX(0,(1-T2705/'01_설정'!B7))*'01_설정'!B16+MAX(0,(1-U2705/'01_설정'!B8))*'01_설정'!B17+O2705*'01_설정'!B11+Q2705*'01_설정'!B12+P2705*'01_설정'!B13+IF(Z2705="",0,Z2705))</f>
        <v/>
      </c>
      <c r="X2705" s="152">
        <f>IF(W2705="","",1+COUNTIFS($W$4:$W$3003,"&gt;"&amp;W2705)+COUNTIFS($W$4:W2705,W2705)-1)</f>
        <v/>
      </c>
      <c r="Y2705" s="175">
        <f>IF(OR(I2705="",'02_대상물건입력'!B19="",'02_대상물건입력'!B19&lt;=0),"",ABS(I2705-'02_대상물건입력'!B19)/'02_대상물건입력'!B19)</f>
        <v/>
      </c>
      <c r="Z2705" s="172">
        <f>IF(OR(Y2705="",'01_설정'!B31="",'01_설정'!B31&lt;=0,'01_설정'!B32="",'01_설정'!B32&lt;=0),"",MAX(0,(1-Y2705/'01_설정'!B32))*'01_설정'!B31)</f>
        <v/>
      </c>
    </row>
    <row r="2706" ht="17.25" customHeight="1">
      <c r="A2706" s="152">
        <f>IF(INDEX('04A_국토부원자료'!$A:$A,ROW()+1)="","",ROW()-3)</f>
        <v/>
      </c>
      <c r="B2706" s="48">
        <f>IFERROR(INDEX('04A_국토부원자료'!$A:$T,ROW()+1,MATCH("시군구",'04A_국토부원자료'!$A$4:$T$4,0)),"")</f>
        <v/>
      </c>
      <c r="C2706" s="48">
        <f>IF(B2706="","",IFERROR(INDEX('04A_국토부원자료'!$A:$T,ROW()+1,MATCH("번지",'04A_국토부원자료'!$A$4:$T$4,0)),""))</f>
        <v/>
      </c>
      <c r="D2706" s="48">
        <f>IF(B2706="","",IF(Q2706=1,'02_대상물건입력'!$B$8,IFERROR(INDEX('04A_국토부원자료'!$A:$T,ROW()+1,MATCH("단지명",'04A_국토부원자료'!$A$4:$T$4,0)),"")))</f>
        <v/>
      </c>
      <c r="E2706" s="172">
        <f>IFERROR(VALUE(SUBSTITUTE(INDEX('04A_국토부원자료'!$A:$T,ROW()+1,MATCH("전용면적(㎡)",'04A_국토부원자료'!$A$4:$T$4,0)),",","")),"")</f>
        <v/>
      </c>
      <c r="F27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06" s="51">
        <f>IFERROR(VALUE(SUBSTITUTE(INDEX('04A_국토부원자료'!$A:$T,ROW()+1,MATCH("거래금액(만원)",'04A_국토부원자료'!$A$4:$T$4,0)),",","")),"")</f>
        <v/>
      </c>
      <c r="H2706" s="174">
        <f>IF(G2706="","",G2706*10000)</f>
        <v/>
      </c>
      <c r="I2706" s="174">
        <f>IFERROR(IF(AND(H2706&gt;0,E2706&gt;0),H2706/E2706,""),"")</f>
        <v/>
      </c>
      <c r="J2706" s="152">
        <f>IFERROR(VALUE(SUBSTITUTE(INDEX('04A_국토부원자료'!$A:$T,ROW()+1,MATCH("층",'04A_국토부원자료'!$A$4:$T$4,0)),",","")),"")</f>
        <v/>
      </c>
      <c r="K2706" s="152">
        <f>IFERROR(VALUE(SUBSTITUTE(INDEX('04A_국토부원자료'!$A:$T,ROW()+1,MATCH("건축년도",'04A_국토부원자료'!$A$4:$T$4,0)),",","")),"")</f>
        <v/>
      </c>
      <c r="L2706" s="48">
        <f>IFERROR(INDEX('04A_국토부원자료'!$A:$T,ROW()+1,MATCH("도로명",'04A_국토부원자료'!$A$4:$T$4,0)),"")</f>
        <v/>
      </c>
      <c r="M2706" s="48">
        <f>IFERROR(INDEX('04A_국토부원자료'!$A:$T,ROW()+1,MATCH("거래유형",'04A_국토부원자료'!$A$4:$T$4,0)),"")</f>
        <v/>
      </c>
      <c r="N2706" s="152">
        <f>IF(B2706="","",IF('02_대상물건입력'!B5="",1,IF(ISNUMBER(SEARCH('02_대상물건입력'!B5,B2706)),1,0)))</f>
        <v/>
      </c>
      <c r="O2706" s="152">
        <f>IF(B2706="","",IF('02_대상물건입력'!B6="",1,IF(ISNUMBER(SEARCH('02_대상물건입력'!B6,B2706)),1,0)))</f>
        <v/>
      </c>
      <c r="P2706" s="152">
        <f>IF(L2706="","",IF('02_대상물건입력'!B15="",0,IF(ISNUMBER(SEARCH('02_대상물건입력'!B15,L2706)),1,0)))</f>
        <v/>
      </c>
      <c r="Q2706" s="152">
        <f>IF(OR(C2706="",L2706=""),0,IF(AND(TRIM(C2706)=TRIM(RIGHT(SUBSTITUTE(TRIM('02_대상물건입력'!$B$7)," ",REPT(" ",99)),99)),IF('02_대상물건입력'!B15="",TRUE(),ISNUMBER(SEARCH('02_대상물건입력'!B15,L2706)))),1,0))</f>
        <v/>
      </c>
      <c r="R2706" s="175">
        <f>IFERROR(ABS(E2706-'02_대상물건입력'!B11)/'02_대상물건입력'!B11,"")</f>
        <v/>
      </c>
      <c r="S2706" s="152">
        <f>IFERROR(ABS(J2706-'02_대상물건입력'!B10),"")</f>
        <v/>
      </c>
      <c r="T2706" s="152">
        <f>IFERROR(ABS('01_설정'!B4-F2706),"")</f>
        <v/>
      </c>
      <c r="U2706" s="152">
        <f>IFERROR(ABS(K2706-YEAR('02_대상물건입력'!B14)),"")</f>
        <v/>
      </c>
      <c r="V2706" s="152">
        <f>IF(B2706="","",IF(AND(E2706&gt;0,F2706&gt;0,H2706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2706=1,TRUE()),R2706&lt;='01_설정'!B5,S2706&lt;='01_설정'!B6,T2706&lt;='01_설정'!B7,U2706&lt;='01_설정'!B8),"Y",""))</f>
        <v/>
      </c>
      <c r="W2706" s="172">
        <f>IF(V2706&lt;&gt;"Y","",MAX(0,(1-R2706/'01_설정'!B5))*'01_설정'!B14+MAX(0,(1-S2706/'01_설정'!B6))*'01_설정'!B15+MAX(0,(1-T2706/'01_설정'!B7))*'01_설정'!B16+MAX(0,(1-U2706/'01_설정'!B8))*'01_설정'!B17+O2706*'01_설정'!B11+Q2706*'01_설정'!B12+P2706*'01_설정'!B13+IF(Z2706="",0,Z2706))</f>
        <v/>
      </c>
      <c r="X2706" s="152">
        <f>IF(W2706="","",1+COUNTIFS($W$4:$W$3003,"&gt;"&amp;W2706)+COUNTIFS($W$4:W2706,W2706)-1)</f>
        <v/>
      </c>
      <c r="Y2706" s="175">
        <f>IF(OR(I2706="",'02_대상물건입력'!B19="",'02_대상물건입력'!B19&lt;=0),"",ABS(I2706-'02_대상물건입력'!B19)/'02_대상물건입력'!B19)</f>
        <v/>
      </c>
      <c r="Z2706" s="172">
        <f>IF(OR(Y2706="",'01_설정'!B31="",'01_설정'!B31&lt;=0,'01_설정'!B32="",'01_설정'!B32&lt;=0),"",MAX(0,(1-Y2706/'01_설정'!B32))*'01_설정'!B31)</f>
        <v/>
      </c>
    </row>
    <row r="2707" ht="17.25" customHeight="1">
      <c r="A2707" s="152">
        <f>IF(INDEX('04A_국토부원자료'!$A:$A,ROW()+1)="","",ROW()-3)</f>
        <v/>
      </c>
      <c r="B2707" s="48">
        <f>IFERROR(INDEX('04A_국토부원자료'!$A:$T,ROW()+1,MATCH("시군구",'04A_국토부원자료'!$A$4:$T$4,0)),"")</f>
        <v/>
      </c>
      <c r="C2707" s="48">
        <f>IF(B2707="","",IFERROR(INDEX('04A_국토부원자료'!$A:$T,ROW()+1,MATCH("번지",'04A_국토부원자료'!$A$4:$T$4,0)),""))</f>
        <v/>
      </c>
      <c r="D2707" s="48">
        <f>IF(B2707="","",IF(Q2707=1,'02_대상물건입력'!$B$8,IFERROR(INDEX('04A_국토부원자료'!$A:$T,ROW()+1,MATCH("단지명",'04A_국토부원자료'!$A$4:$T$4,0)),"")))</f>
        <v/>
      </c>
      <c r="E2707" s="172">
        <f>IFERROR(VALUE(SUBSTITUTE(INDEX('04A_국토부원자료'!$A:$T,ROW()+1,MATCH("전용면적(㎡)",'04A_국토부원자료'!$A$4:$T$4,0)),",","")),"")</f>
        <v/>
      </c>
      <c r="F27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07" s="51">
        <f>IFERROR(VALUE(SUBSTITUTE(INDEX('04A_국토부원자료'!$A:$T,ROW()+1,MATCH("거래금액(만원)",'04A_국토부원자료'!$A$4:$T$4,0)),",","")),"")</f>
        <v/>
      </c>
      <c r="H2707" s="174">
        <f>IF(G2707="","",G2707*10000)</f>
        <v/>
      </c>
      <c r="I2707" s="174">
        <f>IFERROR(IF(AND(H2707&gt;0,E2707&gt;0),H2707/E2707,""),"")</f>
        <v/>
      </c>
      <c r="J2707" s="152">
        <f>IFERROR(VALUE(SUBSTITUTE(INDEX('04A_국토부원자료'!$A:$T,ROW()+1,MATCH("층",'04A_국토부원자료'!$A$4:$T$4,0)),",","")),"")</f>
        <v/>
      </c>
      <c r="K2707" s="152">
        <f>IFERROR(VALUE(SUBSTITUTE(INDEX('04A_국토부원자료'!$A:$T,ROW()+1,MATCH("건축년도",'04A_국토부원자료'!$A$4:$T$4,0)),",","")),"")</f>
        <v/>
      </c>
      <c r="L2707" s="48">
        <f>IFERROR(INDEX('04A_국토부원자료'!$A:$T,ROW()+1,MATCH("도로명",'04A_국토부원자료'!$A$4:$T$4,0)),"")</f>
        <v/>
      </c>
      <c r="M2707" s="48">
        <f>IFERROR(INDEX('04A_국토부원자료'!$A:$T,ROW()+1,MATCH("거래유형",'04A_국토부원자료'!$A$4:$T$4,0)),"")</f>
        <v/>
      </c>
      <c r="N2707" s="152">
        <f>IF(B2707="","",IF('02_대상물건입력'!B5="",1,IF(ISNUMBER(SEARCH('02_대상물건입력'!B5,B2707)),1,0)))</f>
        <v/>
      </c>
      <c r="O2707" s="152">
        <f>IF(B2707="","",IF('02_대상물건입력'!B6="",1,IF(ISNUMBER(SEARCH('02_대상물건입력'!B6,B2707)),1,0)))</f>
        <v/>
      </c>
      <c r="P2707" s="152">
        <f>IF(L2707="","",IF('02_대상물건입력'!B15="",0,IF(ISNUMBER(SEARCH('02_대상물건입력'!B15,L2707)),1,0)))</f>
        <v/>
      </c>
      <c r="Q2707" s="152">
        <f>IF(OR(C2707="",L2707=""),0,IF(AND(TRIM(C2707)=TRIM(RIGHT(SUBSTITUTE(TRIM('02_대상물건입력'!$B$7)," ",REPT(" ",99)),99)),IF('02_대상물건입력'!B15="",TRUE(),ISNUMBER(SEARCH('02_대상물건입력'!B15,L2707)))),1,0))</f>
        <v/>
      </c>
      <c r="R2707" s="175">
        <f>IFERROR(ABS(E2707-'02_대상물건입력'!B11)/'02_대상물건입력'!B11,"")</f>
        <v/>
      </c>
      <c r="S2707" s="152">
        <f>IFERROR(ABS(J2707-'02_대상물건입력'!B10),"")</f>
        <v/>
      </c>
      <c r="T2707" s="152">
        <f>IFERROR(ABS('01_설정'!B4-F2707),"")</f>
        <v/>
      </c>
      <c r="U2707" s="152">
        <f>IFERROR(ABS(K2707-YEAR('02_대상물건입력'!B14)),"")</f>
        <v/>
      </c>
      <c r="V2707" s="152">
        <f>IF(B2707="","",IF(AND(E2707&gt;0,F2707&gt;0,H2707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2707=1,TRUE()),R2707&lt;='01_설정'!B5,S2707&lt;='01_설정'!B6,T2707&lt;='01_설정'!B7,U2707&lt;='01_설정'!B8),"Y",""))</f>
        <v/>
      </c>
      <c r="W2707" s="172">
        <f>IF(V2707&lt;&gt;"Y","",MAX(0,(1-R2707/'01_설정'!B5))*'01_설정'!B14+MAX(0,(1-S2707/'01_설정'!B6))*'01_설정'!B15+MAX(0,(1-T2707/'01_설정'!B7))*'01_설정'!B16+MAX(0,(1-U2707/'01_설정'!B8))*'01_설정'!B17+O2707*'01_설정'!B11+Q2707*'01_설정'!B12+P2707*'01_설정'!B13+IF(Z2707="",0,Z2707))</f>
        <v/>
      </c>
      <c r="X2707" s="152">
        <f>IF(W2707="","",1+COUNTIFS($W$4:$W$3003,"&gt;"&amp;W2707)+COUNTIFS($W$4:W2707,W2707)-1)</f>
        <v/>
      </c>
      <c r="Y2707" s="175">
        <f>IF(OR(I2707="",'02_대상물건입력'!B19="",'02_대상물건입력'!B19&lt;=0),"",ABS(I2707-'02_대상물건입력'!B19)/'02_대상물건입력'!B19)</f>
        <v/>
      </c>
      <c r="Z2707" s="172">
        <f>IF(OR(Y2707="",'01_설정'!B31="",'01_설정'!B31&lt;=0,'01_설정'!B32="",'01_설정'!B32&lt;=0),"",MAX(0,(1-Y2707/'01_설정'!B32))*'01_설정'!B31)</f>
        <v/>
      </c>
    </row>
    <row r="2708" ht="17.25" customHeight="1">
      <c r="A2708" s="152">
        <f>IF(INDEX('04A_국토부원자료'!$A:$A,ROW()+1)="","",ROW()-3)</f>
        <v/>
      </c>
      <c r="B2708" s="48">
        <f>IFERROR(INDEX('04A_국토부원자료'!$A:$T,ROW()+1,MATCH("시군구",'04A_국토부원자료'!$A$4:$T$4,0)),"")</f>
        <v/>
      </c>
      <c r="C2708" s="48">
        <f>IF(B2708="","",IFERROR(INDEX('04A_국토부원자료'!$A:$T,ROW()+1,MATCH("번지",'04A_국토부원자료'!$A$4:$T$4,0)),""))</f>
        <v/>
      </c>
      <c r="D2708" s="48">
        <f>IF(B2708="","",IF(Q2708=1,'02_대상물건입력'!$B$8,IFERROR(INDEX('04A_국토부원자료'!$A:$T,ROW()+1,MATCH("단지명",'04A_국토부원자료'!$A$4:$T$4,0)),"")))</f>
        <v/>
      </c>
      <c r="E2708" s="172">
        <f>IFERROR(VALUE(SUBSTITUTE(INDEX('04A_국토부원자료'!$A:$T,ROW()+1,MATCH("전용면적(㎡)",'04A_국토부원자료'!$A$4:$T$4,0)),",","")),"")</f>
        <v/>
      </c>
      <c r="F27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08" s="51">
        <f>IFERROR(VALUE(SUBSTITUTE(INDEX('04A_국토부원자료'!$A:$T,ROW()+1,MATCH("거래금액(만원)",'04A_국토부원자료'!$A$4:$T$4,0)),",","")),"")</f>
        <v/>
      </c>
      <c r="H2708" s="174">
        <f>IF(G2708="","",G2708*10000)</f>
        <v/>
      </c>
      <c r="I2708" s="174">
        <f>IFERROR(IF(AND(H2708&gt;0,E2708&gt;0),H2708/E2708,""),"")</f>
        <v/>
      </c>
      <c r="J2708" s="152">
        <f>IFERROR(VALUE(SUBSTITUTE(INDEX('04A_국토부원자료'!$A:$T,ROW()+1,MATCH("층",'04A_국토부원자료'!$A$4:$T$4,0)),",","")),"")</f>
        <v/>
      </c>
      <c r="K2708" s="152">
        <f>IFERROR(VALUE(SUBSTITUTE(INDEX('04A_국토부원자료'!$A:$T,ROW()+1,MATCH("건축년도",'04A_국토부원자료'!$A$4:$T$4,0)),",","")),"")</f>
        <v/>
      </c>
      <c r="L2708" s="48">
        <f>IFERROR(INDEX('04A_국토부원자료'!$A:$T,ROW()+1,MATCH("도로명",'04A_국토부원자료'!$A$4:$T$4,0)),"")</f>
        <v/>
      </c>
      <c r="M2708" s="48">
        <f>IFERROR(INDEX('04A_국토부원자료'!$A:$T,ROW()+1,MATCH("거래유형",'04A_국토부원자료'!$A$4:$T$4,0)),"")</f>
        <v/>
      </c>
      <c r="N2708" s="152">
        <f>IF(B2708="","",IF('02_대상물건입력'!B5="",1,IF(ISNUMBER(SEARCH('02_대상물건입력'!B5,B2708)),1,0)))</f>
        <v/>
      </c>
      <c r="O2708" s="152">
        <f>IF(B2708="","",IF('02_대상물건입력'!B6="",1,IF(ISNUMBER(SEARCH('02_대상물건입력'!B6,B2708)),1,0)))</f>
        <v/>
      </c>
      <c r="P2708" s="152">
        <f>IF(L2708="","",IF('02_대상물건입력'!B15="",0,IF(ISNUMBER(SEARCH('02_대상물건입력'!B15,L2708)),1,0)))</f>
        <v/>
      </c>
      <c r="Q2708" s="152">
        <f>IF(OR(C2708="",L2708=""),0,IF(AND(TRIM(C2708)=TRIM(RIGHT(SUBSTITUTE(TRIM('02_대상물건입력'!$B$7)," ",REPT(" ",99)),99)),IF('02_대상물건입력'!B15="",TRUE(),ISNUMBER(SEARCH('02_대상물건입력'!B15,L2708)))),1,0))</f>
        <v/>
      </c>
      <c r="R2708" s="175">
        <f>IFERROR(ABS(E2708-'02_대상물건입력'!B11)/'02_대상물건입력'!B11,"")</f>
        <v/>
      </c>
      <c r="S2708" s="152">
        <f>IFERROR(ABS(J2708-'02_대상물건입력'!B10),"")</f>
        <v/>
      </c>
      <c r="T2708" s="152">
        <f>IFERROR(ABS('01_설정'!B4-F2708),"")</f>
        <v/>
      </c>
      <c r="U2708" s="152">
        <f>IFERROR(ABS(K2708-YEAR('02_대상물건입력'!B14)),"")</f>
        <v/>
      </c>
      <c r="V2708" s="152">
        <f>IF(B2708="","",IF(AND(E2708&gt;0,F2708&gt;0,H2708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2708=1,TRUE()),R2708&lt;='01_설정'!B5,S2708&lt;='01_설정'!B6,T2708&lt;='01_설정'!B7,U2708&lt;='01_설정'!B8),"Y",""))</f>
        <v/>
      </c>
      <c r="W2708" s="172">
        <f>IF(V2708&lt;&gt;"Y","",MAX(0,(1-R2708/'01_설정'!B5))*'01_설정'!B14+MAX(0,(1-S2708/'01_설정'!B6))*'01_설정'!B15+MAX(0,(1-T2708/'01_설정'!B7))*'01_설정'!B16+MAX(0,(1-U2708/'01_설정'!B8))*'01_설정'!B17+O2708*'01_설정'!B11+Q2708*'01_설정'!B12+P2708*'01_설정'!B13+IF(Z2708="",0,Z2708))</f>
        <v/>
      </c>
      <c r="X2708" s="152">
        <f>IF(W2708="","",1+COUNTIFS($W$4:$W$3003,"&gt;"&amp;W2708)+COUNTIFS($W$4:W2708,W2708)-1)</f>
        <v/>
      </c>
      <c r="Y2708" s="175">
        <f>IF(OR(I2708="",'02_대상물건입력'!B19="",'02_대상물건입력'!B19&lt;=0),"",ABS(I2708-'02_대상물건입력'!B19)/'02_대상물건입력'!B19)</f>
        <v/>
      </c>
      <c r="Z2708" s="172">
        <f>IF(OR(Y2708="",'01_설정'!B31="",'01_설정'!B31&lt;=0,'01_설정'!B32="",'01_설정'!B32&lt;=0),"",MAX(0,(1-Y2708/'01_설정'!B32))*'01_설정'!B31)</f>
        <v/>
      </c>
    </row>
    <row r="2709" ht="17.25" customHeight="1">
      <c r="A2709" s="152">
        <f>IF(INDEX('04A_국토부원자료'!$A:$A,ROW()+1)="","",ROW()-3)</f>
        <v/>
      </c>
      <c r="B2709" s="48">
        <f>IFERROR(INDEX('04A_국토부원자료'!$A:$T,ROW()+1,MATCH("시군구",'04A_국토부원자료'!$A$4:$T$4,0)),"")</f>
        <v/>
      </c>
      <c r="C2709" s="48">
        <f>IF(B2709="","",IFERROR(INDEX('04A_국토부원자료'!$A:$T,ROW()+1,MATCH("번지",'04A_국토부원자료'!$A$4:$T$4,0)),""))</f>
        <v/>
      </c>
      <c r="D2709" s="48">
        <f>IF(B2709="","",IF(Q2709=1,'02_대상물건입력'!$B$8,IFERROR(INDEX('04A_국토부원자료'!$A:$T,ROW()+1,MATCH("단지명",'04A_국토부원자료'!$A$4:$T$4,0)),"")))</f>
        <v/>
      </c>
      <c r="E2709" s="172">
        <f>IFERROR(VALUE(SUBSTITUTE(INDEX('04A_국토부원자료'!$A:$T,ROW()+1,MATCH("전용면적(㎡)",'04A_국토부원자료'!$A$4:$T$4,0)),",","")),"")</f>
        <v/>
      </c>
      <c r="F27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09" s="51">
        <f>IFERROR(VALUE(SUBSTITUTE(INDEX('04A_국토부원자료'!$A:$T,ROW()+1,MATCH("거래금액(만원)",'04A_국토부원자료'!$A$4:$T$4,0)),",","")),"")</f>
        <v/>
      </c>
      <c r="H2709" s="174">
        <f>IF(G2709="","",G2709*10000)</f>
        <v/>
      </c>
      <c r="I2709" s="174">
        <f>IFERROR(IF(AND(H2709&gt;0,E2709&gt;0),H2709/E2709,""),"")</f>
        <v/>
      </c>
      <c r="J2709" s="152">
        <f>IFERROR(VALUE(SUBSTITUTE(INDEX('04A_국토부원자료'!$A:$T,ROW()+1,MATCH("층",'04A_국토부원자료'!$A$4:$T$4,0)),",","")),"")</f>
        <v/>
      </c>
      <c r="K2709" s="152">
        <f>IFERROR(VALUE(SUBSTITUTE(INDEX('04A_국토부원자료'!$A:$T,ROW()+1,MATCH("건축년도",'04A_국토부원자료'!$A$4:$T$4,0)),",","")),"")</f>
        <v/>
      </c>
      <c r="L2709" s="48">
        <f>IFERROR(INDEX('04A_국토부원자료'!$A:$T,ROW()+1,MATCH("도로명",'04A_국토부원자료'!$A$4:$T$4,0)),"")</f>
        <v/>
      </c>
      <c r="M2709" s="48">
        <f>IFERROR(INDEX('04A_국토부원자료'!$A:$T,ROW()+1,MATCH("거래유형",'04A_국토부원자료'!$A$4:$T$4,0)),"")</f>
        <v/>
      </c>
      <c r="N2709" s="152">
        <f>IF(B2709="","",IF('02_대상물건입력'!B5="",1,IF(ISNUMBER(SEARCH('02_대상물건입력'!B5,B2709)),1,0)))</f>
        <v/>
      </c>
      <c r="O2709" s="152">
        <f>IF(B2709="","",IF('02_대상물건입력'!B6="",1,IF(ISNUMBER(SEARCH('02_대상물건입력'!B6,B2709)),1,0)))</f>
        <v/>
      </c>
      <c r="P2709" s="152">
        <f>IF(L2709="","",IF('02_대상물건입력'!B15="",0,IF(ISNUMBER(SEARCH('02_대상물건입력'!B15,L2709)),1,0)))</f>
        <v/>
      </c>
      <c r="Q2709" s="152">
        <f>IF(OR(C2709="",L2709=""),0,IF(AND(TRIM(C2709)=TRIM(RIGHT(SUBSTITUTE(TRIM('02_대상물건입력'!$B$7)," ",REPT(" ",99)),99)),IF('02_대상물건입력'!B15="",TRUE(),ISNUMBER(SEARCH('02_대상물건입력'!B15,L2709)))),1,0))</f>
        <v/>
      </c>
      <c r="R2709" s="175">
        <f>IFERROR(ABS(E2709-'02_대상물건입력'!B11)/'02_대상물건입력'!B11,"")</f>
        <v/>
      </c>
      <c r="S2709" s="152">
        <f>IFERROR(ABS(J2709-'02_대상물건입력'!B10),"")</f>
        <v/>
      </c>
      <c r="T2709" s="152">
        <f>IFERROR(ABS('01_설정'!B4-F2709),"")</f>
        <v/>
      </c>
      <c r="U2709" s="152">
        <f>IFERROR(ABS(K2709-YEAR('02_대상물건입력'!B14)),"")</f>
        <v/>
      </c>
      <c r="V2709" s="152">
        <f>IF(B2709="","",IF(AND(E2709&gt;0,F2709&gt;0,H2709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2709=1,TRUE()),R2709&lt;='01_설정'!B5,S2709&lt;='01_설정'!B6,T2709&lt;='01_설정'!B7,U2709&lt;='01_설정'!B8),"Y",""))</f>
        <v/>
      </c>
      <c r="W2709" s="172">
        <f>IF(V2709&lt;&gt;"Y","",MAX(0,(1-R2709/'01_설정'!B5))*'01_설정'!B14+MAX(0,(1-S2709/'01_설정'!B6))*'01_설정'!B15+MAX(0,(1-T2709/'01_설정'!B7))*'01_설정'!B16+MAX(0,(1-U2709/'01_설정'!B8))*'01_설정'!B17+O2709*'01_설정'!B11+Q2709*'01_설정'!B12+P2709*'01_설정'!B13+IF(Z2709="",0,Z2709))</f>
        <v/>
      </c>
      <c r="X2709" s="152">
        <f>IF(W2709="","",1+COUNTIFS($W$4:$W$3003,"&gt;"&amp;W2709)+COUNTIFS($W$4:W2709,W2709)-1)</f>
        <v/>
      </c>
      <c r="Y2709" s="175">
        <f>IF(OR(I2709="",'02_대상물건입력'!B19="",'02_대상물건입력'!B19&lt;=0),"",ABS(I2709-'02_대상물건입력'!B19)/'02_대상물건입력'!B19)</f>
        <v/>
      </c>
      <c r="Z2709" s="172">
        <f>IF(OR(Y2709="",'01_설정'!B31="",'01_설정'!B31&lt;=0,'01_설정'!B32="",'01_설정'!B32&lt;=0),"",MAX(0,(1-Y2709/'01_설정'!B32))*'01_설정'!B31)</f>
        <v/>
      </c>
    </row>
    <row r="2710" ht="17.25" customHeight="1">
      <c r="A2710" s="152">
        <f>IF(INDEX('04A_국토부원자료'!$A:$A,ROW()+1)="","",ROW()-3)</f>
        <v/>
      </c>
      <c r="B2710" s="48">
        <f>IFERROR(INDEX('04A_국토부원자료'!$A:$T,ROW()+1,MATCH("시군구",'04A_국토부원자료'!$A$4:$T$4,0)),"")</f>
        <v/>
      </c>
      <c r="C2710" s="48">
        <f>IF(B2710="","",IFERROR(INDEX('04A_국토부원자료'!$A:$T,ROW()+1,MATCH("번지",'04A_국토부원자료'!$A$4:$T$4,0)),""))</f>
        <v/>
      </c>
      <c r="D2710" s="48">
        <f>IF(B2710="","",IF(Q2710=1,'02_대상물건입력'!$B$8,IFERROR(INDEX('04A_국토부원자료'!$A:$T,ROW()+1,MATCH("단지명",'04A_국토부원자료'!$A$4:$T$4,0)),"")))</f>
        <v/>
      </c>
      <c r="E2710" s="172">
        <f>IFERROR(VALUE(SUBSTITUTE(INDEX('04A_국토부원자료'!$A:$T,ROW()+1,MATCH("전용면적(㎡)",'04A_국토부원자료'!$A$4:$T$4,0)),",","")),"")</f>
        <v/>
      </c>
      <c r="F27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10" s="51">
        <f>IFERROR(VALUE(SUBSTITUTE(INDEX('04A_국토부원자료'!$A:$T,ROW()+1,MATCH("거래금액(만원)",'04A_국토부원자료'!$A$4:$T$4,0)),",","")),"")</f>
        <v/>
      </c>
      <c r="H2710" s="174">
        <f>IF(G2710="","",G2710*10000)</f>
        <v/>
      </c>
      <c r="I2710" s="174">
        <f>IFERROR(IF(AND(H2710&gt;0,E2710&gt;0),H2710/E2710,""),"")</f>
        <v/>
      </c>
      <c r="J2710" s="152">
        <f>IFERROR(VALUE(SUBSTITUTE(INDEX('04A_국토부원자료'!$A:$T,ROW()+1,MATCH("층",'04A_국토부원자료'!$A$4:$T$4,0)),",","")),"")</f>
        <v/>
      </c>
      <c r="K2710" s="152">
        <f>IFERROR(VALUE(SUBSTITUTE(INDEX('04A_국토부원자료'!$A:$T,ROW()+1,MATCH("건축년도",'04A_국토부원자료'!$A$4:$T$4,0)),",","")),"")</f>
        <v/>
      </c>
      <c r="L2710" s="48">
        <f>IFERROR(INDEX('04A_국토부원자료'!$A:$T,ROW()+1,MATCH("도로명",'04A_국토부원자료'!$A$4:$T$4,0)),"")</f>
        <v/>
      </c>
      <c r="M2710" s="48">
        <f>IFERROR(INDEX('04A_국토부원자료'!$A:$T,ROW()+1,MATCH("거래유형",'04A_국토부원자료'!$A$4:$T$4,0)),"")</f>
        <v/>
      </c>
      <c r="N2710" s="152">
        <f>IF(B2710="","",IF('02_대상물건입력'!B5="",1,IF(ISNUMBER(SEARCH('02_대상물건입력'!B5,B2710)),1,0)))</f>
        <v/>
      </c>
      <c r="O2710" s="152">
        <f>IF(B2710="","",IF('02_대상물건입력'!B6="",1,IF(ISNUMBER(SEARCH('02_대상물건입력'!B6,B2710)),1,0)))</f>
        <v/>
      </c>
      <c r="P2710" s="152">
        <f>IF(L2710="","",IF('02_대상물건입력'!B15="",0,IF(ISNUMBER(SEARCH('02_대상물건입력'!B15,L2710)),1,0)))</f>
        <v/>
      </c>
      <c r="Q2710" s="152">
        <f>IF(OR(C2710="",L2710=""),0,IF(AND(TRIM(C2710)=TRIM(RIGHT(SUBSTITUTE(TRIM('02_대상물건입력'!$B$7)," ",REPT(" ",99)),99)),IF('02_대상물건입력'!B15="",TRUE(),ISNUMBER(SEARCH('02_대상물건입력'!B15,L2710)))),1,0))</f>
        <v/>
      </c>
      <c r="R2710" s="175">
        <f>IFERROR(ABS(E2710-'02_대상물건입력'!B11)/'02_대상물건입력'!B11,"")</f>
        <v/>
      </c>
      <c r="S2710" s="152">
        <f>IFERROR(ABS(J2710-'02_대상물건입력'!B10),"")</f>
        <v/>
      </c>
      <c r="T2710" s="152">
        <f>IFERROR(ABS('01_설정'!B4-F2710),"")</f>
        <v/>
      </c>
      <c r="U2710" s="152">
        <f>IFERROR(ABS(K2710-YEAR('02_대상물건입력'!B14)),"")</f>
        <v/>
      </c>
      <c r="V2710" s="152">
        <f>IF(B2710="","",IF(AND(E2710&gt;0,F2710&gt;0,H2710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2710=1,TRUE()),R2710&lt;='01_설정'!B5,S2710&lt;='01_설정'!B6,T2710&lt;='01_설정'!B7,U2710&lt;='01_설정'!B8),"Y",""))</f>
        <v/>
      </c>
      <c r="W2710" s="172">
        <f>IF(V2710&lt;&gt;"Y","",MAX(0,(1-R2710/'01_설정'!B5))*'01_설정'!B14+MAX(0,(1-S2710/'01_설정'!B6))*'01_설정'!B15+MAX(0,(1-T2710/'01_설정'!B7))*'01_설정'!B16+MAX(0,(1-U2710/'01_설정'!B8))*'01_설정'!B17+O2710*'01_설정'!B11+Q2710*'01_설정'!B12+P2710*'01_설정'!B13+IF(Z2710="",0,Z2710))</f>
        <v/>
      </c>
      <c r="X2710" s="152">
        <f>IF(W2710="","",1+COUNTIFS($W$4:$W$3003,"&gt;"&amp;W2710)+COUNTIFS($W$4:W2710,W2710)-1)</f>
        <v/>
      </c>
      <c r="Y2710" s="175">
        <f>IF(OR(I2710="",'02_대상물건입력'!B19="",'02_대상물건입력'!B19&lt;=0),"",ABS(I2710-'02_대상물건입력'!B19)/'02_대상물건입력'!B19)</f>
        <v/>
      </c>
      <c r="Z2710" s="172">
        <f>IF(OR(Y2710="",'01_설정'!B31="",'01_설정'!B31&lt;=0,'01_설정'!B32="",'01_설정'!B32&lt;=0),"",MAX(0,(1-Y2710/'01_설정'!B32))*'01_설정'!B31)</f>
        <v/>
      </c>
    </row>
    <row r="2711" ht="17.25" customHeight="1">
      <c r="A2711" s="152">
        <f>IF(INDEX('04A_국토부원자료'!$A:$A,ROW()+1)="","",ROW()-3)</f>
        <v/>
      </c>
      <c r="B2711" s="48">
        <f>IFERROR(INDEX('04A_국토부원자료'!$A:$T,ROW()+1,MATCH("시군구",'04A_국토부원자료'!$A$4:$T$4,0)),"")</f>
        <v/>
      </c>
      <c r="C2711" s="48">
        <f>IF(B2711="","",IFERROR(INDEX('04A_국토부원자료'!$A:$T,ROW()+1,MATCH("번지",'04A_국토부원자료'!$A$4:$T$4,0)),""))</f>
        <v/>
      </c>
      <c r="D2711" s="48">
        <f>IF(B2711="","",IF(Q2711=1,'02_대상물건입력'!$B$8,IFERROR(INDEX('04A_국토부원자료'!$A:$T,ROW()+1,MATCH("단지명",'04A_국토부원자료'!$A$4:$T$4,0)),"")))</f>
        <v/>
      </c>
      <c r="E2711" s="172">
        <f>IFERROR(VALUE(SUBSTITUTE(INDEX('04A_국토부원자료'!$A:$T,ROW()+1,MATCH("전용면적(㎡)",'04A_국토부원자료'!$A$4:$T$4,0)),",","")),"")</f>
        <v/>
      </c>
      <c r="F27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11" s="51">
        <f>IFERROR(VALUE(SUBSTITUTE(INDEX('04A_국토부원자료'!$A:$T,ROW()+1,MATCH("거래금액(만원)",'04A_국토부원자료'!$A$4:$T$4,0)),",","")),"")</f>
        <v/>
      </c>
      <c r="H2711" s="174">
        <f>IF(G2711="","",G2711*10000)</f>
        <v/>
      </c>
      <c r="I2711" s="174">
        <f>IFERROR(IF(AND(H2711&gt;0,E2711&gt;0),H2711/E2711,""),"")</f>
        <v/>
      </c>
      <c r="J2711" s="152">
        <f>IFERROR(VALUE(SUBSTITUTE(INDEX('04A_국토부원자료'!$A:$T,ROW()+1,MATCH("층",'04A_국토부원자료'!$A$4:$T$4,0)),",","")),"")</f>
        <v/>
      </c>
      <c r="K2711" s="152">
        <f>IFERROR(VALUE(SUBSTITUTE(INDEX('04A_국토부원자료'!$A:$T,ROW()+1,MATCH("건축년도",'04A_국토부원자료'!$A$4:$T$4,0)),",","")),"")</f>
        <v/>
      </c>
      <c r="L2711" s="48">
        <f>IFERROR(INDEX('04A_국토부원자료'!$A:$T,ROW()+1,MATCH("도로명",'04A_국토부원자료'!$A$4:$T$4,0)),"")</f>
        <v/>
      </c>
      <c r="M2711" s="48">
        <f>IFERROR(INDEX('04A_국토부원자료'!$A:$T,ROW()+1,MATCH("거래유형",'04A_국토부원자료'!$A$4:$T$4,0)),"")</f>
        <v/>
      </c>
      <c r="N2711" s="152">
        <f>IF(B2711="","",IF('02_대상물건입력'!B5="",1,IF(ISNUMBER(SEARCH('02_대상물건입력'!B5,B2711)),1,0)))</f>
        <v/>
      </c>
      <c r="O2711" s="152">
        <f>IF(B2711="","",IF('02_대상물건입력'!B6="",1,IF(ISNUMBER(SEARCH('02_대상물건입력'!B6,B2711)),1,0)))</f>
        <v/>
      </c>
      <c r="P2711" s="152">
        <f>IF(L2711="","",IF('02_대상물건입력'!B15="",0,IF(ISNUMBER(SEARCH('02_대상물건입력'!B15,L2711)),1,0)))</f>
        <v/>
      </c>
      <c r="Q2711" s="152">
        <f>IF(OR(C2711="",L2711=""),0,IF(AND(TRIM(C2711)=TRIM(RIGHT(SUBSTITUTE(TRIM('02_대상물건입력'!$B$7)," ",REPT(" ",99)),99)),IF('02_대상물건입력'!B15="",TRUE(),ISNUMBER(SEARCH('02_대상물건입력'!B15,L2711)))),1,0))</f>
        <v/>
      </c>
      <c r="R2711" s="175">
        <f>IFERROR(ABS(E2711-'02_대상물건입력'!B11)/'02_대상물건입력'!B11,"")</f>
        <v/>
      </c>
      <c r="S2711" s="152">
        <f>IFERROR(ABS(J2711-'02_대상물건입력'!B10),"")</f>
        <v/>
      </c>
      <c r="T2711" s="152">
        <f>IFERROR(ABS('01_설정'!B4-F2711),"")</f>
        <v/>
      </c>
      <c r="U2711" s="152">
        <f>IFERROR(ABS(K2711-YEAR('02_대상물건입력'!B14)),"")</f>
        <v/>
      </c>
      <c r="V2711" s="152">
        <f>IF(B2711="","",IF(AND(E2711&gt;0,F2711&gt;0,H2711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2711=1,TRUE()),R2711&lt;='01_설정'!B5,S2711&lt;='01_설정'!B6,T2711&lt;='01_설정'!B7,U2711&lt;='01_설정'!B8),"Y",""))</f>
        <v/>
      </c>
      <c r="W2711" s="172">
        <f>IF(V2711&lt;&gt;"Y","",MAX(0,(1-R2711/'01_설정'!B5))*'01_설정'!B14+MAX(0,(1-S2711/'01_설정'!B6))*'01_설정'!B15+MAX(0,(1-T2711/'01_설정'!B7))*'01_설정'!B16+MAX(0,(1-U2711/'01_설정'!B8))*'01_설정'!B17+O2711*'01_설정'!B11+Q2711*'01_설정'!B12+P2711*'01_설정'!B13+IF(Z2711="",0,Z2711))</f>
        <v/>
      </c>
      <c r="X2711" s="152">
        <f>IF(W2711="","",1+COUNTIFS($W$4:$W$3003,"&gt;"&amp;W2711)+COUNTIFS($W$4:W2711,W2711)-1)</f>
        <v/>
      </c>
      <c r="Y2711" s="175">
        <f>IF(OR(I2711="",'02_대상물건입력'!B19="",'02_대상물건입력'!B19&lt;=0),"",ABS(I2711-'02_대상물건입력'!B19)/'02_대상물건입력'!B19)</f>
        <v/>
      </c>
      <c r="Z2711" s="172">
        <f>IF(OR(Y2711="",'01_설정'!B31="",'01_설정'!B31&lt;=0,'01_설정'!B32="",'01_설정'!B32&lt;=0),"",MAX(0,(1-Y2711/'01_설정'!B32))*'01_설정'!B31)</f>
        <v/>
      </c>
    </row>
    <row r="2712" ht="17.25" customHeight="1">
      <c r="A2712" s="152">
        <f>IF(INDEX('04A_국토부원자료'!$A:$A,ROW()+1)="","",ROW()-3)</f>
        <v/>
      </c>
      <c r="B2712" s="48">
        <f>IFERROR(INDEX('04A_국토부원자료'!$A:$T,ROW()+1,MATCH("시군구",'04A_국토부원자료'!$A$4:$T$4,0)),"")</f>
        <v/>
      </c>
      <c r="C2712" s="48">
        <f>IF(B2712="","",IFERROR(INDEX('04A_국토부원자료'!$A:$T,ROW()+1,MATCH("번지",'04A_국토부원자료'!$A$4:$T$4,0)),""))</f>
        <v/>
      </c>
      <c r="D2712" s="48">
        <f>IF(B2712="","",IF(Q2712=1,'02_대상물건입력'!$B$8,IFERROR(INDEX('04A_국토부원자료'!$A:$T,ROW()+1,MATCH("단지명",'04A_국토부원자료'!$A$4:$T$4,0)),"")))</f>
        <v/>
      </c>
      <c r="E2712" s="172">
        <f>IFERROR(VALUE(SUBSTITUTE(INDEX('04A_국토부원자료'!$A:$T,ROW()+1,MATCH("전용면적(㎡)",'04A_국토부원자료'!$A$4:$T$4,0)),",","")),"")</f>
        <v/>
      </c>
      <c r="F27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12" s="51">
        <f>IFERROR(VALUE(SUBSTITUTE(INDEX('04A_국토부원자료'!$A:$T,ROW()+1,MATCH("거래금액(만원)",'04A_국토부원자료'!$A$4:$T$4,0)),",","")),"")</f>
        <v/>
      </c>
      <c r="H2712" s="174">
        <f>IF(G2712="","",G2712*10000)</f>
        <v/>
      </c>
      <c r="I2712" s="174">
        <f>IFERROR(IF(AND(H2712&gt;0,E2712&gt;0),H2712/E2712,""),"")</f>
        <v/>
      </c>
      <c r="J2712" s="152">
        <f>IFERROR(VALUE(SUBSTITUTE(INDEX('04A_국토부원자료'!$A:$T,ROW()+1,MATCH("층",'04A_국토부원자료'!$A$4:$T$4,0)),",","")),"")</f>
        <v/>
      </c>
      <c r="K2712" s="152">
        <f>IFERROR(VALUE(SUBSTITUTE(INDEX('04A_국토부원자료'!$A:$T,ROW()+1,MATCH("건축년도",'04A_국토부원자료'!$A$4:$T$4,0)),",","")),"")</f>
        <v/>
      </c>
      <c r="L2712" s="48">
        <f>IFERROR(INDEX('04A_국토부원자료'!$A:$T,ROW()+1,MATCH("도로명",'04A_국토부원자료'!$A$4:$T$4,0)),"")</f>
        <v/>
      </c>
      <c r="M2712" s="48">
        <f>IFERROR(INDEX('04A_국토부원자료'!$A:$T,ROW()+1,MATCH("거래유형",'04A_국토부원자료'!$A$4:$T$4,0)),"")</f>
        <v/>
      </c>
      <c r="N2712" s="152">
        <f>IF(B2712="","",IF('02_대상물건입력'!B5="",1,IF(ISNUMBER(SEARCH('02_대상물건입력'!B5,B2712)),1,0)))</f>
        <v/>
      </c>
      <c r="O2712" s="152">
        <f>IF(B2712="","",IF('02_대상물건입력'!B6="",1,IF(ISNUMBER(SEARCH('02_대상물건입력'!B6,B2712)),1,0)))</f>
        <v/>
      </c>
      <c r="P2712" s="152">
        <f>IF(L2712="","",IF('02_대상물건입력'!B15="",0,IF(ISNUMBER(SEARCH('02_대상물건입력'!B15,L2712)),1,0)))</f>
        <v/>
      </c>
      <c r="Q2712" s="152">
        <f>IF(OR(C2712="",L2712=""),0,IF(AND(TRIM(C2712)=TRIM(RIGHT(SUBSTITUTE(TRIM('02_대상물건입력'!$B$7)," ",REPT(" ",99)),99)),IF('02_대상물건입력'!B15="",TRUE(),ISNUMBER(SEARCH('02_대상물건입력'!B15,L2712)))),1,0))</f>
        <v/>
      </c>
      <c r="R2712" s="175">
        <f>IFERROR(ABS(E2712-'02_대상물건입력'!B11)/'02_대상물건입력'!B11,"")</f>
        <v/>
      </c>
      <c r="S2712" s="152">
        <f>IFERROR(ABS(J2712-'02_대상물건입력'!B10),"")</f>
        <v/>
      </c>
      <c r="T2712" s="152">
        <f>IFERROR(ABS('01_설정'!B4-F2712),"")</f>
        <v/>
      </c>
      <c r="U2712" s="152">
        <f>IFERROR(ABS(K2712-YEAR('02_대상물건입력'!B14)),"")</f>
        <v/>
      </c>
      <c r="V2712" s="152">
        <f>IF(B2712="","",IF(AND(E2712&gt;0,F2712&gt;0,H2712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2712=1,TRUE()),R2712&lt;='01_설정'!B5,S2712&lt;='01_설정'!B6,T2712&lt;='01_설정'!B7,U2712&lt;='01_설정'!B8),"Y",""))</f>
        <v/>
      </c>
      <c r="W2712" s="172">
        <f>IF(V2712&lt;&gt;"Y","",MAX(0,(1-R2712/'01_설정'!B5))*'01_설정'!B14+MAX(0,(1-S2712/'01_설정'!B6))*'01_설정'!B15+MAX(0,(1-T2712/'01_설정'!B7))*'01_설정'!B16+MAX(0,(1-U2712/'01_설정'!B8))*'01_설정'!B17+O2712*'01_설정'!B11+Q2712*'01_설정'!B12+P2712*'01_설정'!B13+IF(Z2712="",0,Z2712))</f>
        <v/>
      </c>
      <c r="X2712" s="152">
        <f>IF(W2712="","",1+COUNTIFS($W$4:$W$3003,"&gt;"&amp;W2712)+COUNTIFS($W$4:W2712,W2712)-1)</f>
        <v/>
      </c>
      <c r="Y2712" s="175">
        <f>IF(OR(I2712="",'02_대상물건입력'!B19="",'02_대상물건입력'!B19&lt;=0),"",ABS(I2712-'02_대상물건입력'!B19)/'02_대상물건입력'!B19)</f>
        <v/>
      </c>
      <c r="Z2712" s="172">
        <f>IF(OR(Y2712="",'01_설정'!B31="",'01_설정'!B31&lt;=0,'01_설정'!B32="",'01_설정'!B32&lt;=0),"",MAX(0,(1-Y2712/'01_설정'!B32))*'01_설정'!B31)</f>
        <v/>
      </c>
    </row>
    <row r="2713" ht="17.25" customHeight="1">
      <c r="A2713" s="152">
        <f>IF(INDEX('04A_국토부원자료'!$A:$A,ROW()+1)="","",ROW()-3)</f>
        <v/>
      </c>
      <c r="B2713" s="48">
        <f>IFERROR(INDEX('04A_국토부원자료'!$A:$T,ROW()+1,MATCH("시군구",'04A_국토부원자료'!$A$4:$T$4,0)),"")</f>
        <v/>
      </c>
      <c r="C2713" s="48">
        <f>IF(B2713="","",IFERROR(INDEX('04A_국토부원자료'!$A:$T,ROW()+1,MATCH("번지",'04A_국토부원자료'!$A$4:$T$4,0)),""))</f>
        <v/>
      </c>
      <c r="D2713" s="48">
        <f>IF(B2713="","",IF(Q2713=1,'02_대상물건입력'!$B$8,IFERROR(INDEX('04A_국토부원자료'!$A:$T,ROW()+1,MATCH("단지명",'04A_국토부원자료'!$A$4:$T$4,0)),"")))</f>
        <v/>
      </c>
      <c r="E2713" s="172">
        <f>IFERROR(VALUE(SUBSTITUTE(INDEX('04A_국토부원자료'!$A:$T,ROW()+1,MATCH("전용면적(㎡)",'04A_국토부원자료'!$A$4:$T$4,0)),",","")),"")</f>
        <v/>
      </c>
      <c r="F27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13" s="51">
        <f>IFERROR(VALUE(SUBSTITUTE(INDEX('04A_국토부원자료'!$A:$T,ROW()+1,MATCH("거래금액(만원)",'04A_국토부원자료'!$A$4:$T$4,0)),",","")),"")</f>
        <v/>
      </c>
      <c r="H2713" s="174">
        <f>IF(G2713="","",G2713*10000)</f>
        <v/>
      </c>
      <c r="I2713" s="174">
        <f>IFERROR(IF(AND(H2713&gt;0,E2713&gt;0),H2713/E2713,""),"")</f>
        <v/>
      </c>
      <c r="J2713" s="152">
        <f>IFERROR(VALUE(SUBSTITUTE(INDEX('04A_국토부원자료'!$A:$T,ROW()+1,MATCH("층",'04A_국토부원자료'!$A$4:$T$4,0)),",","")),"")</f>
        <v/>
      </c>
      <c r="K2713" s="152">
        <f>IFERROR(VALUE(SUBSTITUTE(INDEX('04A_국토부원자료'!$A:$T,ROW()+1,MATCH("건축년도",'04A_국토부원자료'!$A$4:$T$4,0)),",","")),"")</f>
        <v/>
      </c>
      <c r="L2713" s="48">
        <f>IFERROR(INDEX('04A_국토부원자료'!$A:$T,ROW()+1,MATCH("도로명",'04A_국토부원자료'!$A$4:$T$4,0)),"")</f>
        <v/>
      </c>
      <c r="M2713" s="48">
        <f>IFERROR(INDEX('04A_국토부원자료'!$A:$T,ROW()+1,MATCH("거래유형",'04A_국토부원자료'!$A$4:$T$4,0)),"")</f>
        <v/>
      </c>
      <c r="N2713" s="152">
        <f>IF(B2713="","",IF('02_대상물건입력'!B5="",1,IF(ISNUMBER(SEARCH('02_대상물건입력'!B5,B2713)),1,0)))</f>
        <v/>
      </c>
      <c r="O2713" s="152">
        <f>IF(B2713="","",IF('02_대상물건입력'!B6="",1,IF(ISNUMBER(SEARCH('02_대상물건입력'!B6,B2713)),1,0)))</f>
        <v/>
      </c>
      <c r="P2713" s="152">
        <f>IF(L2713="","",IF('02_대상물건입력'!B15="",0,IF(ISNUMBER(SEARCH('02_대상물건입력'!B15,L2713)),1,0)))</f>
        <v/>
      </c>
      <c r="Q2713" s="152">
        <f>IF(OR(C2713="",L2713=""),0,IF(AND(TRIM(C2713)=TRIM(RIGHT(SUBSTITUTE(TRIM('02_대상물건입력'!$B$7)," ",REPT(" ",99)),99)),IF('02_대상물건입력'!B15="",TRUE(),ISNUMBER(SEARCH('02_대상물건입력'!B15,L2713)))),1,0))</f>
        <v/>
      </c>
      <c r="R2713" s="175">
        <f>IFERROR(ABS(E2713-'02_대상물건입력'!B11)/'02_대상물건입력'!B11,"")</f>
        <v/>
      </c>
      <c r="S2713" s="152">
        <f>IFERROR(ABS(J2713-'02_대상물건입력'!B10),"")</f>
        <v/>
      </c>
      <c r="T2713" s="152">
        <f>IFERROR(ABS('01_설정'!B4-F2713),"")</f>
        <v/>
      </c>
      <c r="U2713" s="152">
        <f>IFERROR(ABS(K2713-YEAR('02_대상물건입력'!B14)),"")</f>
        <v/>
      </c>
      <c r="V2713" s="152">
        <f>IF(B2713="","",IF(AND(E2713&gt;0,F2713&gt;0,H2713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2713=1,TRUE()),R2713&lt;='01_설정'!B5,S2713&lt;='01_설정'!B6,T2713&lt;='01_설정'!B7,U2713&lt;='01_설정'!B8),"Y",""))</f>
        <v/>
      </c>
      <c r="W2713" s="172">
        <f>IF(V2713&lt;&gt;"Y","",MAX(0,(1-R2713/'01_설정'!B5))*'01_설정'!B14+MAX(0,(1-S2713/'01_설정'!B6))*'01_설정'!B15+MAX(0,(1-T2713/'01_설정'!B7))*'01_설정'!B16+MAX(0,(1-U2713/'01_설정'!B8))*'01_설정'!B17+O2713*'01_설정'!B11+Q2713*'01_설정'!B12+P2713*'01_설정'!B13+IF(Z2713="",0,Z2713))</f>
        <v/>
      </c>
      <c r="X2713" s="152">
        <f>IF(W2713="","",1+COUNTIFS($W$4:$W$3003,"&gt;"&amp;W2713)+COUNTIFS($W$4:W2713,W2713)-1)</f>
        <v/>
      </c>
      <c r="Y2713" s="175">
        <f>IF(OR(I2713="",'02_대상물건입력'!B19="",'02_대상물건입력'!B19&lt;=0),"",ABS(I2713-'02_대상물건입력'!B19)/'02_대상물건입력'!B19)</f>
        <v/>
      </c>
      <c r="Z2713" s="172">
        <f>IF(OR(Y2713="",'01_설정'!B31="",'01_설정'!B31&lt;=0,'01_설정'!B32="",'01_설정'!B32&lt;=0),"",MAX(0,(1-Y2713/'01_설정'!B32))*'01_설정'!B31)</f>
        <v/>
      </c>
    </row>
    <row r="2714" ht="17.25" customHeight="1">
      <c r="A2714" s="152">
        <f>IF(INDEX('04A_국토부원자료'!$A:$A,ROW()+1)="","",ROW()-3)</f>
        <v/>
      </c>
      <c r="B2714" s="48">
        <f>IFERROR(INDEX('04A_국토부원자료'!$A:$T,ROW()+1,MATCH("시군구",'04A_국토부원자료'!$A$4:$T$4,0)),"")</f>
        <v/>
      </c>
      <c r="C2714" s="48">
        <f>IF(B2714="","",IFERROR(INDEX('04A_국토부원자료'!$A:$T,ROW()+1,MATCH("번지",'04A_국토부원자료'!$A$4:$T$4,0)),""))</f>
        <v/>
      </c>
      <c r="D2714" s="48">
        <f>IF(B2714="","",IF(Q2714=1,'02_대상물건입력'!$B$8,IFERROR(INDEX('04A_국토부원자료'!$A:$T,ROW()+1,MATCH("단지명",'04A_국토부원자료'!$A$4:$T$4,0)),"")))</f>
        <v/>
      </c>
      <c r="E2714" s="172">
        <f>IFERROR(VALUE(SUBSTITUTE(INDEX('04A_국토부원자료'!$A:$T,ROW()+1,MATCH("전용면적(㎡)",'04A_국토부원자료'!$A$4:$T$4,0)),",","")),"")</f>
        <v/>
      </c>
      <c r="F27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14" s="51">
        <f>IFERROR(VALUE(SUBSTITUTE(INDEX('04A_국토부원자료'!$A:$T,ROW()+1,MATCH("거래금액(만원)",'04A_국토부원자료'!$A$4:$T$4,0)),",","")),"")</f>
        <v/>
      </c>
      <c r="H2714" s="174">
        <f>IF(G2714="","",G2714*10000)</f>
        <v/>
      </c>
      <c r="I2714" s="174">
        <f>IFERROR(IF(AND(H2714&gt;0,E2714&gt;0),H2714/E2714,""),"")</f>
        <v/>
      </c>
      <c r="J2714" s="152">
        <f>IFERROR(VALUE(SUBSTITUTE(INDEX('04A_국토부원자료'!$A:$T,ROW()+1,MATCH("층",'04A_국토부원자료'!$A$4:$T$4,0)),",","")),"")</f>
        <v/>
      </c>
      <c r="K2714" s="152">
        <f>IFERROR(VALUE(SUBSTITUTE(INDEX('04A_국토부원자료'!$A:$T,ROW()+1,MATCH("건축년도",'04A_국토부원자료'!$A$4:$T$4,0)),",","")),"")</f>
        <v/>
      </c>
      <c r="L2714" s="48">
        <f>IFERROR(INDEX('04A_국토부원자료'!$A:$T,ROW()+1,MATCH("도로명",'04A_국토부원자료'!$A$4:$T$4,0)),"")</f>
        <v/>
      </c>
      <c r="M2714" s="48">
        <f>IFERROR(INDEX('04A_국토부원자료'!$A:$T,ROW()+1,MATCH("거래유형",'04A_국토부원자료'!$A$4:$T$4,0)),"")</f>
        <v/>
      </c>
      <c r="N2714" s="152">
        <f>IF(B2714="","",IF('02_대상물건입력'!B5="",1,IF(ISNUMBER(SEARCH('02_대상물건입력'!B5,B2714)),1,0)))</f>
        <v/>
      </c>
      <c r="O2714" s="152">
        <f>IF(B2714="","",IF('02_대상물건입력'!B6="",1,IF(ISNUMBER(SEARCH('02_대상물건입력'!B6,B2714)),1,0)))</f>
        <v/>
      </c>
      <c r="P2714" s="152">
        <f>IF(L2714="","",IF('02_대상물건입력'!B15="",0,IF(ISNUMBER(SEARCH('02_대상물건입력'!B15,L2714)),1,0)))</f>
        <v/>
      </c>
      <c r="Q2714" s="152">
        <f>IF(OR(C2714="",L2714=""),0,IF(AND(TRIM(C2714)=TRIM(RIGHT(SUBSTITUTE(TRIM('02_대상물건입력'!$B$7)," ",REPT(" ",99)),99)),IF('02_대상물건입력'!B15="",TRUE(),ISNUMBER(SEARCH('02_대상물건입력'!B15,L2714)))),1,0))</f>
        <v/>
      </c>
      <c r="R2714" s="175">
        <f>IFERROR(ABS(E2714-'02_대상물건입력'!B11)/'02_대상물건입력'!B11,"")</f>
        <v/>
      </c>
      <c r="S2714" s="152">
        <f>IFERROR(ABS(J2714-'02_대상물건입력'!B10),"")</f>
        <v/>
      </c>
      <c r="T2714" s="152">
        <f>IFERROR(ABS('01_설정'!B4-F2714),"")</f>
        <v/>
      </c>
      <c r="U2714" s="152">
        <f>IFERROR(ABS(K2714-YEAR('02_대상물건입력'!B14)),"")</f>
        <v/>
      </c>
      <c r="V2714" s="152">
        <f>IF(B2714="","",IF(AND(E2714&gt;0,F2714&gt;0,H2714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2714=1,TRUE()),R2714&lt;='01_설정'!B5,S2714&lt;='01_설정'!B6,T2714&lt;='01_설정'!B7,U2714&lt;='01_설정'!B8),"Y",""))</f>
        <v/>
      </c>
      <c r="W2714" s="172">
        <f>IF(V2714&lt;&gt;"Y","",MAX(0,(1-R2714/'01_설정'!B5))*'01_설정'!B14+MAX(0,(1-S2714/'01_설정'!B6))*'01_설정'!B15+MAX(0,(1-T2714/'01_설정'!B7))*'01_설정'!B16+MAX(0,(1-U2714/'01_설정'!B8))*'01_설정'!B17+O2714*'01_설정'!B11+Q2714*'01_설정'!B12+P2714*'01_설정'!B13+IF(Z2714="",0,Z2714))</f>
        <v/>
      </c>
      <c r="X2714" s="152">
        <f>IF(W2714="","",1+COUNTIFS($W$4:$W$3003,"&gt;"&amp;W2714)+COUNTIFS($W$4:W2714,W2714)-1)</f>
        <v/>
      </c>
      <c r="Y2714" s="175">
        <f>IF(OR(I2714="",'02_대상물건입력'!B19="",'02_대상물건입력'!B19&lt;=0),"",ABS(I2714-'02_대상물건입력'!B19)/'02_대상물건입력'!B19)</f>
        <v/>
      </c>
      <c r="Z2714" s="172">
        <f>IF(OR(Y2714="",'01_설정'!B31="",'01_설정'!B31&lt;=0,'01_설정'!B32="",'01_설정'!B32&lt;=0),"",MAX(0,(1-Y2714/'01_설정'!B32))*'01_설정'!B31)</f>
        <v/>
      </c>
    </row>
    <row r="2715" ht="17.25" customHeight="1">
      <c r="A2715" s="152">
        <f>IF(INDEX('04A_국토부원자료'!$A:$A,ROW()+1)="","",ROW()-3)</f>
        <v/>
      </c>
      <c r="B2715" s="48">
        <f>IFERROR(INDEX('04A_국토부원자료'!$A:$T,ROW()+1,MATCH("시군구",'04A_국토부원자료'!$A$4:$T$4,0)),"")</f>
        <v/>
      </c>
      <c r="C2715" s="48">
        <f>IF(B2715="","",IFERROR(INDEX('04A_국토부원자료'!$A:$T,ROW()+1,MATCH("번지",'04A_국토부원자료'!$A$4:$T$4,0)),""))</f>
        <v/>
      </c>
      <c r="D2715" s="48">
        <f>IF(B2715="","",IF(Q2715=1,'02_대상물건입력'!$B$8,IFERROR(INDEX('04A_국토부원자료'!$A:$T,ROW()+1,MATCH("단지명",'04A_국토부원자료'!$A$4:$T$4,0)),"")))</f>
        <v/>
      </c>
      <c r="E2715" s="172">
        <f>IFERROR(VALUE(SUBSTITUTE(INDEX('04A_국토부원자료'!$A:$T,ROW()+1,MATCH("전용면적(㎡)",'04A_국토부원자료'!$A$4:$T$4,0)),",","")),"")</f>
        <v/>
      </c>
      <c r="F27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15" s="51">
        <f>IFERROR(VALUE(SUBSTITUTE(INDEX('04A_국토부원자료'!$A:$T,ROW()+1,MATCH("거래금액(만원)",'04A_국토부원자료'!$A$4:$T$4,0)),",","")),"")</f>
        <v/>
      </c>
      <c r="H2715" s="174">
        <f>IF(G2715="","",G2715*10000)</f>
        <v/>
      </c>
      <c r="I2715" s="174">
        <f>IFERROR(IF(AND(H2715&gt;0,E2715&gt;0),H2715/E2715,""),"")</f>
        <v/>
      </c>
      <c r="J2715" s="152">
        <f>IFERROR(VALUE(SUBSTITUTE(INDEX('04A_국토부원자료'!$A:$T,ROW()+1,MATCH("층",'04A_국토부원자료'!$A$4:$T$4,0)),",","")),"")</f>
        <v/>
      </c>
      <c r="K2715" s="152">
        <f>IFERROR(VALUE(SUBSTITUTE(INDEX('04A_국토부원자료'!$A:$T,ROW()+1,MATCH("건축년도",'04A_국토부원자료'!$A$4:$T$4,0)),",","")),"")</f>
        <v/>
      </c>
      <c r="L2715" s="48">
        <f>IFERROR(INDEX('04A_국토부원자료'!$A:$T,ROW()+1,MATCH("도로명",'04A_국토부원자료'!$A$4:$T$4,0)),"")</f>
        <v/>
      </c>
      <c r="M2715" s="48">
        <f>IFERROR(INDEX('04A_국토부원자료'!$A:$T,ROW()+1,MATCH("거래유형",'04A_국토부원자료'!$A$4:$T$4,0)),"")</f>
        <v/>
      </c>
      <c r="N2715" s="152">
        <f>IF(B2715="","",IF('02_대상물건입력'!B5="",1,IF(ISNUMBER(SEARCH('02_대상물건입력'!B5,B2715)),1,0)))</f>
        <v/>
      </c>
      <c r="O2715" s="152">
        <f>IF(B2715="","",IF('02_대상물건입력'!B6="",1,IF(ISNUMBER(SEARCH('02_대상물건입력'!B6,B2715)),1,0)))</f>
        <v/>
      </c>
      <c r="P2715" s="152">
        <f>IF(L2715="","",IF('02_대상물건입력'!B15="",0,IF(ISNUMBER(SEARCH('02_대상물건입력'!B15,L2715)),1,0)))</f>
        <v/>
      </c>
      <c r="Q2715" s="152">
        <f>IF(OR(C2715="",L2715=""),0,IF(AND(TRIM(C2715)=TRIM(RIGHT(SUBSTITUTE(TRIM('02_대상물건입력'!$B$7)," ",REPT(" ",99)),99)),IF('02_대상물건입력'!B15="",TRUE(),ISNUMBER(SEARCH('02_대상물건입력'!B15,L2715)))),1,0))</f>
        <v/>
      </c>
      <c r="R2715" s="175">
        <f>IFERROR(ABS(E2715-'02_대상물건입력'!B11)/'02_대상물건입력'!B11,"")</f>
        <v/>
      </c>
      <c r="S2715" s="152">
        <f>IFERROR(ABS(J2715-'02_대상물건입력'!B10),"")</f>
        <v/>
      </c>
      <c r="T2715" s="152">
        <f>IFERROR(ABS('01_설정'!B4-F2715),"")</f>
        <v/>
      </c>
      <c r="U2715" s="152">
        <f>IFERROR(ABS(K2715-YEAR('02_대상물건입력'!B14)),"")</f>
        <v/>
      </c>
      <c r="V2715" s="152">
        <f>IF(B2715="","",IF(AND(E2715&gt;0,F2715&gt;0,H2715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2715=1,TRUE()),R2715&lt;='01_설정'!B5,S2715&lt;='01_설정'!B6,T2715&lt;='01_설정'!B7,U2715&lt;='01_설정'!B8),"Y",""))</f>
        <v/>
      </c>
      <c r="W2715" s="172">
        <f>IF(V2715&lt;&gt;"Y","",MAX(0,(1-R2715/'01_설정'!B5))*'01_설정'!B14+MAX(0,(1-S2715/'01_설정'!B6))*'01_설정'!B15+MAX(0,(1-T2715/'01_설정'!B7))*'01_설정'!B16+MAX(0,(1-U2715/'01_설정'!B8))*'01_설정'!B17+O2715*'01_설정'!B11+Q2715*'01_설정'!B12+P2715*'01_설정'!B13+IF(Z2715="",0,Z2715))</f>
        <v/>
      </c>
      <c r="X2715" s="152">
        <f>IF(W2715="","",1+COUNTIFS($W$4:$W$3003,"&gt;"&amp;W2715)+COUNTIFS($W$4:W2715,W2715)-1)</f>
        <v/>
      </c>
      <c r="Y2715" s="175">
        <f>IF(OR(I2715="",'02_대상물건입력'!B19="",'02_대상물건입력'!B19&lt;=0),"",ABS(I2715-'02_대상물건입력'!B19)/'02_대상물건입력'!B19)</f>
        <v/>
      </c>
      <c r="Z2715" s="172">
        <f>IF(OR(Y2715="",'01_설정'!B31="",'01_설정'!B31&lt;=0,'01_설정'!B32="",'01_설정'!B32&lt;=0),"",MAX(0,(1-Y2715/'01_설정'!B32))*'01_설정'!B31)</f>
        <v/>
      </c>
    </row>
    <row r="2716" ht="17.25" customHeight="1">
      <c r="A2716" s="152">
        <f>IF(INDEX('04A_국토부원자료'!$A:$A,ROW()+1)="","",ROW()-3)</f>
        <v/>
      </c>
      <c r="B2716" s="48">
        <f>IFERROR(INDEX('04A_국토부원자료'!$A:$T,ROW()+1,MATCH("시군구",'04A_국토부원자료'!$A$4:$T$4,0)),"")</f>
        <v/>
      </c>
      <c r="C2716" s="48">
        <f>IF(B2716="","",IFERROR(INDEX('04A_국토부원자료'!$A:$T,ROW()+1,MATCH("번지",'04A_국토부원자료'!$A$4:$T$4,0)),""))</f>
        <v/>
      </c>
      <c r="D2716" s="48">
        <f>IF(B2716="","",IF(Q2716=1,'02_대상물건입력'!$B$8,IFERROR(INDEX('04A_국토부원자료'!$A:$T,ROW()+1,MATCH("단지명",'04A_국토부원자료'!$A$4:$T$4,0)),"")))</f>
        <v/>
      </c>
      <c r="E2716" s="172">
        <f>IFERROR(VALUE(SUBSTITUTE(INDEX('04A_국토부원자료'!$A:$T,ROW()+1,MATCH("전용면적(㎡)",'04A_국토부원자료'!$A$4:$T$4,0)),",","")),"")</f>
        <v/>
      </c>
      <c r="F27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16" s="51">
        <f>IFERROR(VALUE(SUBSTITUTE(INDEX('04A_국토부원자료'!$A:$T,ROW()+1,MATCH("거래금액(만원)",'04A_국토부원자료'!$A$4:$T$4,0)),",","")),"")</f>
        <v/>
      </c>
      <c r="H2716" s="174">
        <f>IF(G2716="","",G2716*10000)</f>
        <v/>
      </c>
      <c r="I2716" s="174">
        <f>IFERROR(IF(AND(H2716&gt;0,E2716&gt;0),H2716/E2716,""),"")</f>
        <v/>
      </c>
      <c r="J2716" s="152">
        <f>IFERROR(VALUE(SUBSTITUTE(INDEX('04A_국토부원자료'!$A:$T,ROW()+1,MATCH("층",'04A_국토부원자료'!$A$4:$T$4,0)),",","")),"")</f>
        <v/>
      </c>
      <c r="K2716" s="152">
        <f>IFERROR(VALUE(SUBSTITUTE(INDEX('04A_국토부원자료'!$A:$T,ROW()+1,MATCH("건축년도",'04A_국토부원자료'!$A$4:$T$4,0)),",","")),"")</f>
        <v/>
      </c>
      <c r="L2716" s="48">
        <f>IFERROR(INDEX('04A_국토부원자료'!$A:$T,ROW()+1,MATCH("도로명",'04A_국토부원자료'!$A$4:$T$4,0)),"")</f>
        <v/>
      </c>
      <c r="M2716" s="48">
        <f>IFERROR(INDEX('04A_국토부원자료'!$A:$T,ROW()+1,MATCH("거래유형",'04A_국토부원자료'!$A$4:$T$4,0)),"")</f>
        <v/>
      </c>
      <c r="N2716" s="152">
        <f>IF(B2716="","",IF('02_대상물건입력'!B5="",1,IF(ISNUMBER(SEARCH('02_대상물건입력'!B5,B2716)),1,0)))</f>
        <v/>
      </c>
      <c r="O2716" s="152">
        <f>IF(B2716="","",IF('02_대상물건입력'!B6="",1,IF(ISNUMBER(SEARCH('02_대상물건입력'!B6,B2716)),1,0)))</f>
        <v/>
      </c>
      <c r="P2716" s="152">
        <f>IF(L2716="","",IF('02_대상물건입력'!B15="",0,IF(ISNUMBER(SEARCH('02_대상물건입력'!B15,L2716)),1,0)))</f>
        <v/>
      </c>
      <c r="Q2716" s="152">
        <f>IF(OR(C2716="",L2716=""),0,IF(AND(TRIM(C2716)=TRIM(RIGHT(SUBSTITUTE(TRIM('02_대상물건입력'!$B$7)," ",REPT(" ",99)),99)),IF('02_대상물건입력'!B15="",TRUE(),ISNUMBER(SEARCH('02_대상물건입력'!B15,L2716)))),1,0))</f>
        <v/>
      </c>
      <c r="R2716" s="175">
        <f>IFERROR(ABS(E2716-'02_대상물건입력'!B11)/'02_대상물건입력'!B11,"")</f>
        <v/>
      </c>
      <c r="S2716" s="152">
        <f>IFERROR(ABS(J2716-'02_대상물건입력'!B10),"")</f>
        <v/>
      </c>
      <c r="T2716" s="152">
        <f>IFERROR(ABS('01_설정'!B4-F2716),"")</f>
        <v/>
      </c>
      <c r="U2716" s="152">
        <f>IFERROR(ABS(K2716-YEAR('02_대상물건입력'!B14)),"")</f>
        <v/>
      </c>
      <c r="V2716" s="152">
        <f>IF(B2716="","",IF(AND(E2716&gt;0,F2716&gt;0,H2716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2716=1,TRUE()),R2716&lt;='01_설정'!B5,S2716&lt;='01_설정'!B6,T2716&lt;='01_설정'!B7,U2716&lt;='01_설정'!B8),"Y",""))</f>
        <v/>
      </c>
      <c r="W2716" s="172">
        <f>IF(V2716&lt;&gt;"Y","",MAX(0,(1-R2716/'01_설정'!B5))*'01_설정'!B14+MAX(0,(1-S2716/'01_설정'!B6))*'01_설정'!B15+MAX(0,(1-T2716/'01_설정'!B7))*'01_설정'!B16+MAX(0,(1-U2716/'01_설정'!B8))*'01_설정'!B17+O2716*'01_설정'!B11+Q2716*'01_설정'!B12+P2716*'01_설정'!B13+IF(Z2716="",0,Z2716))</f>
        <v/>
      </c>
      <c r="X2716" s="152">
        <f>IF(W2716="","",1+COUNTIFS($W$4:$W$3003,"&gt;"&amp;W2716)+COUNTIFS($W$4:W2716,W2716)-1)</f>
        <v/>
      </c>
      <c r="Y2716" s="175">
        <f>IF(OR(I2716="",'02_대상물건입력'!B19="",'02_대상물건입력'!B19&lt;=0),"",ABS(I2716-'02_대상물건입력'!B19)/'02_대상물건입력'!B19)</f>
        <v/>
      </c>
      <c r="Z2716" s="172">
        <f>IF(OR(Y2716="",'01_설정'!B31="",'01_설정'!B31&lt;=0,'01_설정'!B32="",'01_설정'!B32&lt;=0),"",MAX(0,(1-Y2716/'01_설정'!B32))*'01_설정'!B31)</f>
        <v/>
      </c>
    </row>
    <row r="2717" ht="17.25" customHeight="1">
      <c r="A2717" s="152">
        <f>IF(INDEX('04A_국토부원자료'!$A:$A,ROW()+1)="","",ROW()-3)</f>
        <v/>
      </c>
      <c r="B2717" s="48">
        <f>IFERROR(INDEX('04A_국토부원자료'!$A:$T,ROW()+1,MATCH("시군구",'04A_국토부원자료'!$A$4:$T$4,0)),"")</f>
        <v/>
      </c>
      <c r="C2717" s="48">
        <f>IF(B2717="","",IFERROR(INDEX('04A_국토부원자료'!$A:$T,ROW()+1,MATCH("번지",'04A_국토부원자료'!$A$4:$T$4,0)),""))</f>
        <v/>
      </c>
      <c r="D2717" s="48">
        <f>IF(B2717="","",IF(Q2717=1,'02_대상물건입력'!$B$8,IFERROR(INDEX('04A_국토부원자료'!$A:$T,ROW()+1,MATCH("단지명",'04A_국토부원자료'!$A$4:$T$4,0)),"")))</f>
        <v/>
      </c>
      <c r="E2717" s="172">
        <f>IFERROR(VALUE(SUBSTITUTE(INDEX('04A_국토부원자료'!$A:$T,ROW()+1,MATCH("전용면적(㎡)",'04A_국토부원자료'!$A$4:$T$4,0)),",","")),"")</f>
        <v/>
      </c>
      <c r="F27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17" s="51">
        <f>IFERROR(VALUE(SUBSTITUTE(INDEX('04A_국토부원자료'!$A:$T,ROW()+1,MATCH("거래금액(만원)",'04A_국토부원자료'!$A$4:$T$4,0)),",","")),"")</f>
        <v/>
      </c>
      <c r="H2717" s="174">
        <f>IF(G2717="","",G2717*10000)</f>
        <v/>
      </c>
      <c r="I2717" s="174">
        <f>IFERROR(IF(AND(H2717&gt;0,E2717&gt;0),H2717/E2717,""),"")</f>
        <v/>
      </c>
      <c r="J2717" s="152">
        <f>IFERROR(VALUE(SUBSTITUTE(INDEX('04A_국토부원자료'!$A:$T,ROW()+1,MATCH("층",'04A_국토부원자료'!$A$4:$T$4,0)),",","")),"")</f>
        <v/>
      </c>
      <c r="K2717" s="152">
        <f>IFERROR(VALUE(SUBSTITUTE(INDEX('04A_국토부원자료'!$A:$T,ROW()+1,MATCH("건축년도",'04A_국토부원자료'!$A$4:$T$4,0)),",","")),"")</f>
        <v/>
      </c>
      <c r="L2717" s="48">
        <f>IFERROR(INDEX('04A_국토부원자료'!$A:$T,ROW()+1,MATCH("도로명",'04A_국토부원자료'!$A$4:$T$4,0)),"")</f>
        <v/>
      </c>
      <c r="M2717" s="48">
        <f>IFERROR(INDEX('04A_국토부원자료'!$A:$T,ROW()+1,MATCH("거래유형",'04A_국토부원자료'!$A$4:$T$4,0)),"")</f>
        <v/>
      </c>
      <c r="N2717" s="152">
        <f>IF(B2717="","",IF('02_대상물건입력'!B5="",1,IF(ISNUMBER(SEARCH('02_대상물건입력'!B5,B2717)),1,0)))</f>
        <v/>
      </c>
      <c r="O2717" s="152">
        <f>IF(B2717="","",IF('02_대상물건입력'!B6="",1,IF(ISNUMBER(SEARCH('02_대상물건입력'!B6,B2717)),1,0)))</f>
        <v/>
      </c>
      <c r="P2717" s="152">
        <f>IF(L2717="","",IF('02_대상물건입력'!B15="",0,IF(ISNUMBER(SEARCH('02_대상물건입력'!B15,L2717)),1,0)))</f>
        <v/>
      </c>
      <c r="Q2717" s="152">
        <f>IF(OR(C2717="",L2717=""),0,IF(AND(TRIM(C2717)=TRIM(RIGHT(SUBSTITUTE(TRIM('02_대상물건입력'!$B$7)," ",REPT(" ",99)),99)),IF('02_대상물건입력'!B15="",TRUE(),ISNUMBER(SEARCH('02_대상물건입력'!B15,L2717)))),1,0))</f>
        <v/>
      </c>
      <c r="R2717" s="175">
        <f>IFERROR(ABS(E2717-'02_대상물건입력'!B11)/'02_대상물건입력'!B11,"")</f>
        <v/>
      </c>
      <c r="S2717" s="152">
        <f>IFERROR(ABS(J2717-'02_대상물건입력'!B10),"")</f>
        <v/>
      </c>
      <c r="T2717" s="152">
        <f>IFERROR(ABS('01_설정'!B4-F2717),"")</f>
        <v/>
      </c>
      <c r="U2717" s="152">
        <f>IFERROR(ABS(K2717-YEAR('02_대상물건입력'!B14)),"")</f>
        <v/>
      </c>
      <c r="V2717" s="152">
        <f>IF(B2717="","",IF(AND(E2717&gt;0,F2717&gt;0,H2717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2717=1,TRUE()),R2717&lt;='01_설정'!B5,S2717&lt;='01_설정'!B6,T2717&lt;='01_설정'!B7,U2717&lt;='01_설정'!B8),"Y",""))</f>
        <v/>
      </c>
      <c r="W2717" s="172">
        <f>IF(V2717&lt;&gt;"Y","",MAX(0,(1-R2717/'01_설정'!B5))*'01_설정'!B14+MAX(0,(1-S2717/'01_설정'!B6))*'01_설정'!B15+MAX(0,(1-T2717/'01_설정'!B7))*'01_설정'!B16+MAX(0,(1-U2717/'01_설정'!B8))*'01_설정'!B17+O2717*'01_설정'!B11+Q2717*'01_설정'!B12+P2717*'01_설정'!B13+IF(Z2717="",0,Z2717))</f>
        <v/>
      </c>
      <c r="X2717" s="152">
        <f>IF(W2717="","",1+COUNTIFS($W$4:$W$3003,"&gt;"&amp;W2717)+COUNTIFS($W$4:W2717,W2717)-1)</f>
        <v/>
      </c>
      <c r="Y2717" s="175">
        <f>IF(OR(I2717="",'02_대상물건입력'!B19="",'02_대상물건입력'!B19&lt;=0),"",ABS(I2717-'02_대상물건입력'!B19)/'02_대상물건입력'!B19)</f>
        <v/>
      </c>
      <c r="Z2717" s="172">
        <f>IF(OR(Y2717="",'01_설정'!B31="",'01_설정'!B31&lt;=0,'01_설정'!B32="",'01_설정'!B32&lt;=0),"",MAX(0,(1-Y2717/'01_설정'!B32))*'01_설정'!B31)</f>
        <v/>
      </c>
    </row>
    <row r="2718" ht="17.25" customHeight="1">
      <c r="A2718" s="152">
        <f>IF(INDEX('04A_국토부원자료'!$A:$A,ROW()+1)="","",ROW()-3)</f>
        <v/>
      </c>
      <c r="B2718" s="48">
        <f>IFERROR(INDEX('04A_국토부원자료'!$A:$T,ROW()+1,MATCH("시군구",'04A_국토부원자료'!$A$4:$T$4,0)),"")</f>
        <v/>
      </c>
      <c r="C2718" s="48">
        <f>IF(B2718="","",IFERROR(INDEX('04A_국토부원자료'!$A:$T,ROW()+1,MATCH("번지",'04A_국토부원자료'!$A$4:$T$4,0)),""))</f>
        <v/>
      </c>
      <c r="D2718" s="48">
        <f>IF(B2718="","",IF(Q2718=1,'02_대상물건입력'!$B$8,IFERROR(INDEX('04A_국토부원자료'!$A:$T,ROW()+1,MATCH("단지명",'04A_국토부원자료'!$A$4:$T$4,0)),"")))</f>
        <v/>
      </c>
      <c r="E2718" s="172">
        <f>IFERROR(VALUE(SUBSTITUTE(INDEX('04A_국토부원자료'!$A:$T,ROW()+1,MATCH("전용면적(㎡)",'04A_국토부원자료'!$A$4:$T$4,0)),",","")),"")</f>
        <v/>
      </c>
      <c r="F27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18" s="51">
        <f>IFERROR(VALUE(SUBSTITUTE(INDEX('04A_국토부원자료'!$A:$T,ROW()+1,MATCH("거래금액(만원)",'04A_국토부원자료'!$A$4:$T$4,0)),",","")),"")</f>
        <v/>
      </c>
      <c r="H2718" s="174">
        <f>IF(G2718="","",G2718*10000)</f>
        <v/>
      </c>
      <c r="I2718" s="174">
        <f>IFERROR(IF(AND(H2718&gt;0,E2718&gt;0),H2718/E2718,""),"")</f>
        <v/>
      </c>
      <c r="J2718" s="152">
        <f>IFERROR(VALUE(SUBSTITUTE(INDEX('04A_국토부원자료'!$A:$T,ROW()+1,MATCH("층",'04A_국토부원자료'!$A$4:$T$4,0)),",","")),"")</f>
        <v/>
      </c>
      <c r="K2718" s="152">
        <f>IFERROR(VALUE(SUBSTITUTE(INDEX('04A_국토부원자료'!$A:$T,ROW()+1,MATCH("건축년도",'04A_국토부원자료'!$A$4:$T$4,0)),",","")),"")</f>
        <v/>
      </c>
      <c r="L2718" s="48">
        <f>IFERROR(INDEX('04A_국토부원자료'!$A:$T,ROW()+1,MATCH("도로명",'04A_국토부원자료'!$A$4:$T$4,0)),"")</f>
        <v/>
      </c>
      <c r="M2718" s="48">
        <f>IFERROR(INDEX('04A_국토부원자료'!$A:$T,ROW()+1,MATCH("거래유형",'04A_국토부원자료'!$A$4:$T$4,0)),"")</f>
        <v/>
      </c>
      <c r="N2718" s="152">
        <f>IF(B2718="","",IF('02_대상물건입력'!B5="",1,IF(ISNUMBER(SEARCH('02_대상물건입력'!B5,B2718)),1,0)))</f>
        <v/>
      </c>
      <c r="O2718" s="152">
        <f>IF(B2718="","",IF('02_대상물건입력'!B6="",1,IF(ISNUMBER(SEARCH('02_대상물건입력'!B6,B2718)),1,0)))</f>
        <v/>
      </c>
      <c r="P2718" s="152">
        <f>IF(L2718="","",IF('02_대상물건입력'!B15="",0,IF(ISNUMBER(SEARCH('02_대상물건입력'!B15,L2718)),1,0)))</f>
        <v/>
      </c>
      <c r="Q2718" s="152">
        <f>IF(OR(C2718="",L2718=""),0,IF(AND(TRIM(C2718)=TRIM(RIGHT(SUBSTITUTE(TRIM('02_대상물건입력'!$B$7)," ",REPT(" ",99)),99)),IF('02_대상물건입력'!B15="",TRUE(),ISNUMBER(SEARCH('02_대상물건입력'!B15,L2718)))),1,0))</f>
        <v/>
      </c>
      <c r="R2718" s="175">
        <f>IFERROR(ABS(E2718-'02_대상물건입력'!B11)/'02_대상물건입력'!B11,"")</f>
        <v/>
      </c>
      <c r="S2718" s="152">
        <f>IFERROR(ABS(J2718-'02_대상물건입력'!B10),"")</f>
        <v/>
      </c>
      <c r="T2718" s="152">
        <f>IFERROR(ABS('01_설정'!B4-F2718),"")</f>
        <v/>
      </c>
      <c r="U2718" s="152">
        <f>IFERROR(ABS(K2718-YEAR('02_대상물건입력'!B14)),"")</f>
        <v/>
      </c>
      <c r="V2718" s="152">
        <f>IF(B2718="","",IF(AND(E2718&gt;0,F2718&gt;0,H2718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2718=1,TRUE()),R2718&lt;='01_설정'!B5,S2718&lt;='01_설정'!B6,T2718&lt;='01_설정'!B7,U2718&lt;='01_설정'!B8),"Y",""))</f>
        <v/>
      </c>
      <c r="W2718" s="172">
        <f>IF(V2718&lt;&gt;"Y","",MAX(0,(1-R2718/'01_설정'!B5))*'01_설정'!B14+MAX(0,(1-S2718/'01_설정'!B6))*'01_설정'!B15+MAX(0,(1-T2718/'01_설정'!B7))*'01_설정'!B16+MAX(0,(1-U2718/'01_설정'!B8))*'01_설정'!B17+O2718*'01_설정'!B11+Q2718*'01_설정'!B12+P2718*'01_설정'!B13+IF(Z2718="",0,Z2718))</f>
        <v/>
      </c>
      <c r="X2718" s="152">
        <f>IF(W2718="","",1+COUNTIFS($W$4:$W$3003,"&gt;"&amp;W2718)+COUNTIFS($W$4:W2718,W2718)-1)</f>
        <v/>
      </c>
      <c r="Y2718" s="175">
        <f>IF(OR(I2718="",'02_대상물건입력'!B19="",'02_대상물건입력'!B19&lt;=0),"",ABS(I2718-'02_대상물건입력'!B19)/'02_대상물건입력'!B19)</f>
        <v/>
      </c>
      <c r="Z2718" s="172">
        <f>IF(OR(Y2718="",'01_설정'!B31="",'01_설정'!B31&lt;=0,'01_설정'!B32="",'01_설정'!B32&lt;=0),"",MAX(0,(1-Y2718/'01_설정'!B32))*'01_설정'!B31)</f>
        <v/>
      </c>
    </row>
    <row r="2719" ht="17.25" customHeight="1">
      <c r="A2719" s="152">
        <f>IF(INDEX('04A_국토부원자료'!$A:$A,ROW()+1)="","",ROW()-3)</f>
        <v/>
      </c>
      <c r="B2719" s="48">
        <f>IFERROR(INDEX('04A_국토부원자료'!$A:$T,ROW()+1,MATCH("시군구",'04A_국토부원자료'!$A$4:$T$4,0)),"")</f>
        <v/>
      </c>
      <c r="C2719" s="48">
        <f>IF(B2719="","",IFERROR(INDEX('04A_국토부원자료'!$A:$T,ROW()+1,MATCH("번지",'04A_국토부원자료'!$A$4:$T$4,0)),""))</f>
        <v/>
      </c>
      <c r="D2719" s="48">
        <f>IF(B2719="","",IF(Q2719=1,'02_대상물건입력'!$B$8,IFERROR(INDEX('04A_국토부원자료'!$A:$T,ROW()+1,MATCH("단지명",'04A_국토부원자료'!$A$4:$T$4,0)),"")))</f>
        <v/>
      </c>
      <c r="E2719" s="172">
        <f>IFERROR(VALUE(SUBSTITUTE(INDEX('04A_국토부원자료'!$A:$T,ROW()+1,MATCH("전용면적(㎡)",'04A_국토부원자료'!$A$4:$T$4,0)),",","")),"")</f>
        <v/>
      </c>
      <c r="F27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19" s="51">
        <f>IFERROR(VALUE(SUBSTITUTE(INDEX('04A_국토부원자료'!$A:$T,ROW()+1,MATCH("거래금액(만원)",'04A_국토부원자료'!$A$4:$T$4,0)),",","")),"")</f>
        <v/>
      </c>
      <c r="H2719" s="174">
        <f>IF(G2719="","",G2719*10000)</f>
        <v/>
      </c>
      <c r="I2719" s="174">
        <f>IFERROR(IF(AND(H2719&gt;0,E2719&gt;0),H2719/E2719,""),"")</f>
        <v/>
      </c>
      <c r="J2719" s="152">
        <f>IFERROR(VALUE(SUBSTITUTE(INDEX('04A_국토부원자료'!$A:$T,ROW()+1,MATCH("층",'04A_국토부원자료'!$A$4:$T$4,0)),",","")),"")</f>
        <v/>
      </c>
      <c r="K2719" s="152">
        <f>IFERROR(VALUE(SUBSTITUTE(INDEX('04A_국토부원자료'!$A:$T,ROW()+1,MATCH("건축년도",'04A_국토부원자료'!$A$4:$T$4,0)),",","")),"")</f>
        <v/>
      </c>
      <c r="L2719" s="48">
        <f>IFERROR(INDEX('04A_국토부원자료'!$A:$T,ROW()+1,MATCH("도로명",'04A_국토부원자료'!$A$4:$T$4,0)),"")</f>
        <v/>
      </c>
      <c r="M2719" s="48">
        <f>IFERROR(INDEX('04A_국토부원자료'!$A:$T,ROW()+1,MATCH("거래유형",'04A_국토부원자료'!$A$4:$T$4,0)),"")</f>
        <v/>
      </c>
      <c r="N2719" s="152">
        <f>IF(B2719="","",IF('02_대상물건입력'!B5="",1,IF(ISNUMBER(SEARCH('02_대상물건입력'!B5,B2719)),1,0)))</f>
        <v/>
      </c>
      <c r="O2719" s="152">
        <f>IF(B2719="","",IF('02_대상물건입력'!B6="",1,IF(ISNUMBER(SEARCH('02_대상물건입력'!B6,B2719)),1,0)))</f>
        <v/>
      </c>
      <c r="P2719" s="152">
        <f>IF(L2719="","",IF('02_대상물건입력'!B15="",0,IF(ISNUMBER(SEARCH('02_대상물건입력'!B15,L2719)),1,0)))</f>
        <v/>
      </c>
      <c r="Q2719" s="152">
        <f>IF(OR(C2719="",L2719=""),0,IF(AND(TRIM(C2719)=TRIM(RIGHT(SUBSTITUTE(TRIM('02_대상물건입력'!$B$7)," ",REPT(" ",99)),99)),IF('02_대상물건입력'!B15="",TRUE(),ISNUMBER(SEARCH('02_대상물건입력'!B15,L2719)))),1,0))</f>
        <v/>
      </c>
      <c r="R2719" s="175">
        <f>IFERROR(ABS(E2719-'02_대상물건입력'!B11)/'02_대상물건입력'!B11,"")</f>
        <v/>
      </c>
      <c r="S2719" s="152">
        <f>IFERROR(ABS(J2719-'02_대상물건입력'!B10),"")</f>
        <v/>
      </c>
      <c r="T2719" s="152">
        <f>IFERROR(ABS('01_설정'!B4-F2719),"")</f>
        <v/>
      </c>
      <c r="U2719" s="152">
        <f>IFERROR(ABS(K2719-YEAR('02_대상물건입력'!B14)),"")</f>
        <v/>
      </c>
      <c r="V2719" s="152">
        <f>IF(B2719="","",IF(AND(E2719&gt;0,F2719&gt;0,H2719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2719=1,TRUE()),R2719&lt;='01_설정'!B5,S2719&lt;='01_설정'!B6,T2719&lt;='01_설정'!B7,U2719&lt;='01_설정'!B8),"Y",""))</f>
        <v/>
      </c>
      <c r="W2719" s="172">
        <f>IF(V2719&lt;&gt;"Y","",MAX(0,(1-R2719/'01_설정'!B5))*'01_설정'!B14+MAX(0,(1-S2719/'01_설정'!B6))*'01_설정'!B15+MAX(0,(1-T2719/'01_설정'!B7))*'01_설정'!B16+MAX(0,(1-U2719/'01_설정'!B8))*'01_설정'!B17+O2719*'01_설정'!B11+Q2719*'01_설정'!B12+P2719*'01_설정'!B13+IF(Z2719="",0,Z2719))</f>
        <v/>
      </c>
      <c r="X2719" s="152">
        <f>IF(W2719="","",1+COUNTIFS($W$4:$W$3003,"&gt;"&amp;W2719)+COUNTIFS($W$4:W2719,W2719)-1)</f>
        <v/>
      </c>
      <c r="Y2719" s="175">
        <f>IF(OR(I2719="",'02_대상물건입력'!B19="",'02_대상물건입력'!B19&lt;=0),"",ABS(I2719-'02_대상물건입력'!B19)/'02_대상물건입력'!B19)</f>
        <v/>
      </c>
      <c r="Z2719" s="172">
        <f>IF(OR(Y2719="",'01_설정'!B31="",'01_설정'!B31&lt;=0,'01_설정'!B32="",'01_설정'!B32&lt;=0),"",MAX(0,(1-Y2719/'01_설정'!B32))*'01_설정'!B31)</f>
        <v/>
      </c>
    </row>
    <row r="2720" ht="17.25" customHeight="1">
      <c r="A2720" s="152">
        <f>IF(INDEX('04A_국토부원자료'!$A:$A,ROW()+1)="","",ROW()-3)</f>
        <v/>
      </c>
      <c r="B2720" s="48">
        <f>IFERROR(INDEX('04A_국토부원자료'!$A:$T,ROW()+1,MATCH("시군구",'04A_국토부원자료'!$A$4:$T$4,0)),"")</f>
        <v/>
      </c>
      <c r="C2720" s="48">
        <f>IF(B2720="","",IFERROR(INDEX('04A_국토부원자료'!$A:$T,ROW()+1,MATCH("번지",'04A_국토부원자료'!$A$4:$T$4,0)),""))</f>
        <v/>
      </c>
      <c r="D2720" s="48">
        <f>IF(B2720="","",IF(Q2720=1,'02_대상물건입력'!$B$8,IFERROR(INDEX('04A_국토부원자료'!$A:$T,ROW()+1,MATCH("단지명",'04A_국토부원자료'!$A$4:$T$4,0)),"")))</f>
        <v/>
      </c>
      <c r="E2720" s="172">
        <f>IFERROR(VALUE(SUBSTITUTE(INDEX('04A_국토부원자료'!$A:$T,ROW()+1,MATCH("전용면적(㎡)",'04A_국토부원자료'!$A$4:$T$4,0)),",","")),"")</f>
        <v/>
      </c>
      <c r="F27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20" s="51">
        <f>IFERROR(VALUE(SUBSTITUTE(INDEX('04A_국토부원자료'!$A:$T,ROW()+1,MATCH("거래금액(만원)",'04A_국토부원자료'!$A$4:$T$4,0)),",","")),"")</f>
        <v/>
      </c>
      <c r="H2720" s="174">
        <f>IF(G2720="","",G2720*10000)</f>
        <v/>
      </c>
      <c r="I2720" s="174">
        <f>IFERROR(IF(AND(H2720&gt;0,E2720&gt;0),H2720/E2720,""),"")</f>
        <v/>
      </c>
      <c r="J2720" s="152">
        <f>IFERROR(VALUE(SUBSTITUTE(INDEX('04A_국토부원자료'!$A:$T,ROW()+1,MATCH("층",'04A_국토부원자료'!$A$4:$T$4,0)),",","")),"")</f>
        <v/>
      </c>
      <c r="K2720" s="152">
        <f>IFERROR(VALUE(SUBSTITUTE(INDEX('04A_국토부원자료'!$A:$T,ROW()+1,MATCH("건축년도",'04A_국토부원자료'!$A$4:$T$4,0)),",","")),"")</f>
        <v/>
      </c>
      <c r="L2720" s="48">
        <f>IFERROR(INDEX('04A_국토부원자료'!$A:$T,ROW()+1,MATCH("도로명",'04A_국토부원자료'!$A$4:$T$4,0)),"")</f>
        <v/>
      </c>
      <c r="M2720" s="48">
        <f>IFERROR(INDEX('04A_국토부원자료'!$A:$T,ROW()+1,MATCH("거래유형",'04A_국토부원자료'!$A$4:$T$4,0)),"")</f>
        <v/>
      </c>
      <c r="N2720" s="152">
        <f>IF(B2720="","",IF('02_대상물건입력'!B5="",1,IF(ISNUMBER(SEARCH('02_대상물건입력'!B5,B2720)),1,0)))</f>
        <v/>
      </c>
      <c r="O2720" s="152">
        <f>IF(B2720="","",IF('02_대상물건입력'!B6="",1,IF(ISNUMBER(SEARCH('02_대상물건입력'!B6,B2720)),1,0)))</f>
        <v/>
      </c>
      <c r="P2720" s="152">
        <f>IF(L2720="","",IF('02_대상물건입력'!B15="",0,IF(ISNUMBER(SEARCH('02_대상물건입력'!B15,L2720)),1,0)))</f>
        <v/>
      </c>
      <c r="Q2720" s="152">
        <f>IF(OR(C2720="",L2720=""),0,IF(AND(TRIM(C2720)=TRIM(RIGHT(SUBSTITUTE(TRIM('02_대상물건입력'!$B$7)," ",REPT(" ",99)),99)),IF('02_대상물건입력'!B15="",TRUE(),ISNUMBER(SEARCH('02_대상물건입력'!B15,L2720)))),1,0))</f>
        <v/>
      </c>
      <c r="R2720" s="175">
        <f>IFERROR(ABS(E2720-'02_대상물건입력'!B11)/'02_대상물건입력'!B11,"")</f>
        <v/>
      </c>
      <c r="S2720" s="152">
        <f>IFERROR(ABS(J2720-'02_대상물건입력'!B10),"")</f>
        <v/>
      </c>
      <c r="T2720" s="152">
        <f>IFERROR(ABS('01_설정'!B4-F2720),"")</f>
        <v/>
      </c>
      <c r="U2720" s="152">
        <f>IFERROR(ABS(K2720-YEAR('02_대상물건입력'!B14)),"")</f>
        <v/>
      </c>
      <c r="V2720" s="152">
        <f>IF(B2720="","",IF(AND(E2720&gt;0,F2720&gt;0,H2720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2720=1,TRUE()),R2720&lt;='01_설정'!B5,S2720&lt;='01_설정'!B6,T2720&lt;='01_설정'!B7,U2720&lt;='01_설정'!B8),"Y",""))</f>
        <v/>
      </c>
      <c r="W2720" s="172">
        <f>IF(V2720&lt;&gt;"Y","",MAX(0,(1-R2720/'01_설정'!B5))*'01_설정'!B14+MAX(0,(1-S2720/'01_설정'!B6))*'01_설정'!B15+MAX(0,(1-T2720/'01_설정'!B7))*'01_설정'!B16+MAX(0,(1-U2720/'01_설정'!B8))*'01_설정'!B17+O2720*'01_설정'!B11+Q2720*'01_설정'!B12+P2720*'01_설정'!B13+IF(Z2720="",0,Z2720))</f>
        <v/>
      </c>
      <c r="X2720" s="152">
        <f>IF(W2720="","",1+COUNTIFS($W$4:$W$3003,"&gt;"&amp;W2720)+COUNTIFS($W$4:W2720,W2720)-1)</f>
        <v/>
      </c>
      <c r="Y2720" s="175">
        <f>IF(OR(I2720="",'02_대상물건입력'!B19="",'02_대상물건입력'!B19&lt;=0),"",ABS(I2720-'02_대상물건입력'!B19)/'02_대상물건입력'!B19)</f>
        <v/>
      </c>
      <c r="Z2720" s="172">
        <f>IF(OR(Y2720="",'01_설정'!B31="",'01_설정'!B31&lt;=0,'01_설정'!B32="",'01_설정'!B32&lt;=0),"",MAX(0,(1-Y2720/'01_설정'!B32))*'01_설정'!B31)</f>
        <v/>
      </c>
    </row>
    <row r="2721" ht="17.25" customHeight="1">
      <c r="A2721" s="152">
        <f>IF(INDEX('04A_국토부원자료'!$A:$A,ROW()+1)="","",ROW()-3)</f>
        <v/>
      </c>
      <c r="B2721" s="48">
        <f>IFERROR(INDEX('04A_국토부원자료'!$A:$T,ROW()+1,MATCH("시군구",'04A_국토부원자료'!$A$4:$T$4,0)),"")</f>
        <v/>
      </c>
      <c r="C2721" s="48">
        <f>IF(B2721="","",IFERROR(INDEX('04A_국토부원자료'!$A:$T,ROW()+1,MATCH("번지",'04A_국토부원자료'!$A$4:$T$4,0)),""))</f>
        <v/>
      </c>
      <c r="D2721" s="48">
        <f>IF(B2721="","",IF(Q2721=1,'02_대상물건입력'!$B$8,IFERROR(INDEX('04A_국토부원자료'!$A:$T,ROW()+1,MATCH("단지명",'04A_국토부원자료'!$A$4:$T$4,0)),"")))</f>
        <v/>
      </c>
      <c r="E2721" s="172">
        <f>IFERROR(VALUE(SUBSTITUTE(INDEX('04A_국토부원자료'!$A:$T,ROW()+1,MATCH("전용면적(㎡)",'04A_국토부원자료'!$A$4:$T$4,0)),",","")),"")</f>
        <v/>
      </c>
      <c r="F27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21" s="51">
        <f>IFERROR(VALUE(SUBSTITUTE(INDEX('04A_국토부원자료'!$A:$T,ROW()+1,MATCH("거래금액(만원)",'04A_국토부원자료'!$A$4:$T$4,0)),",","")),"")</f>
        <v/>
      </c>
      <c r="H2721" s="174">
        <f>IF(G2721="","",G2721*10000)</f>
        <v/>
      </c>
      <c r="I2721" s="174">
        <f>IFERROR(IF(AND(H2721&gt;0,E2721&gt;0),H2721/E2721,""),"")</f>
        <v/>
      </c>
      <c r="J2721" s="152">
        <f>IFERROR(VALUE(SUBSTITUTE(INDEX('04A_국토부원자료'!$A:$T,ROW()+1,MATCH("층",'04A_국토부원자료'!$A$4:$T$4,0)),",","")),"")</f>
        <v/>
      </c>
      <c r="K2721" s="152">
        <f>IFERROR(VALUE(SUBSTITUTE(INDEX('04A_국토부원자료'!$A:$T,ROW()+1,MATCH("건축년도",'04A_국토부원자료'!$A$4:$T$4,0)),",","")),"")</f>
        <v/>
      </c>
      <c r="L2721" s="48">
        <f>IFERROR(INDEX('04A_국토부원자료'!$A:$T,ROW()+1,MATCH("도로명",'04A_국토부원자료'!$A$4:$T$4,0)),"")</f>
        <v/>
      </c>
      <c r="M2721" s="48">
        <f>IFERROR(INDEX('04A_국토부원자료'!$A:$T,ROW()+1,MATCH("거래유형",'04A_국토부원자료'!$A$4:$T$4,0)),"")</f>
        <v/>
      </c>
      <c r="N2721" s="152">
        <f>IF(B2721="","",IF('02_대상물건입력'!B5="",1,IF(ISNUMBER(SEARCH('02_대상물건입력'!B5,B2721)),1,0)))</f>
        <v/>
      </c>
      <c r="O2721" s="152">
        <f>IF(B2721="","",IF('02_대상물건입력'!B6="",1,IF(ISNUMBER(SEARCH('02_대상물건입력'!B6,B2721)),1,0)))</f>
        <v/>
      </c>
      <c r="P2721" s="152">
        <f>IF(L2721="","",IF('02_대상물건입력'!B15="",0,IF(ISNUMBER(SEARCH('02_대상물건입력'!B15,L2721)),1,0)))</f>
        <v/>
      </c>
      <c r="Q2721" s="152">
        <f>IF(OR(C2721="",L2721=""),0,IF(AND(TRIM(C2721)=TRIM(RIGHT(SUBSTITUTE(TRIM('02_대상물건입력'!$B$7)," ",REPT(" ",99)),99)),IF('02_대상물건입력'!B15="",TRUE(),ISNUMBER(SEARCH('02_대상물건입력'!B15,L2721)))),1,0))</f>
        <v/>
      </c>
      <c r="R2721" s="175">
        <f>IFERROR(ABS(E2721-'02_대상물건입력'!B11)/'02_대상물건입력'!B11,"")</f>
        <v/>
      </c>
      <c r="S2721" s="152">
        <f>IFERROR(ABS(J2721-'02_대상물건입력'!B10),"")</f>
        <v/>
      </c>
      <c r="T2721" s="152">
        <f>IFERROR(ABS('01_설정'!B4-F2721),"")</f>
        <v/>
      </c>
      <c r="U2721" s="152">
        <f>IFERROR(ABS(K2721-YEAR('02_대상물건입력'!B14)),"")</f>
        <v/>
      </c>
      <c r="V2721" s="152">
        <f>IF(B2721="","",IF(AND(E2721&gt;0,F2721&gt;0,H2721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2721=1,TRUE()),R2721&lt;='01_설정'!B5,S2721&lt;='01_설정'!B6,T2721&lt;='01_설정'!B7,U2721&lt;='01_설정'!B8),"Y",""))</f>
        <v/>
      </c>
      <c r="W2721" s="172">
        <f>IF(V2721&lt;&gt;"Y","",MAX(0,(1-R2721/'01_설정'!B5))*'01_설정'!B14+MAX(0,(1-S2721/'01_설정'!B6))*'01_설정'!B15+MAX(0,(1-T2721/'01_설정'!B7))*'01_설정'!B16+MAX(0,(1-U2721/'01_설정'!B8))*'01_설정'!B17+O2721*'01_설정'!B11+Q2721*'01_설정'!B12+P2721*'01_설정'!B13+IF(Z2721="",0,Z2721))</f>
        <v/>
      </c>
      <c r="X2721" s="152">
        <f>IF(W2721="","",1+COUNTIFS($W$4:$W$3003,"&gt;"&amp;W2721)+COUNTIFS($W$4:W2721,W2721)-1)</f>
        <v/>
      </c>
      <c r="Y2721" s="175">
        <f>IF(OR(I2721="",'02_대상물건입력'!B19="",'02_대상물건입력'!B19&lt;=0),"",ABS(I2721-'02_대상물건입력'!B19)/'02_대상물건입력'!B19)</f>
        <v/>
      </c>
      <c r="Z2721" s="172">
        <f>IF(OR(Y2721="",'01_설정'!B31="",'01_설정'!B31&lt;=0,'01_설정'!B32="",'01_설정'!B32&lt;=0),"",MAX(0,(1-Y2721/'01_설정'!B32))*'01_설정'!B31)</f>
        <v/>
      </c>
    </row>
    <row r="2722" ht="17.25" customHeight="1">
      <c r="A2722" s="152">
        <f>IF(INDEX('04A_국토부원자료'!$A:$A,ROW()+1)="","",ROW()-3)</f>
        <v/>
      </c>
      <c r="B2722" s="48">
        <f>IFERROR(INDEX('04A_국토부원자료'!$A:$T,ROW()+1,MATCH("시군구",'04A_국토부원자료'!$A$4:$T$4,0)),"")</f>
        <v/>
      </c>
      <c r="C2722" s="48">
        <f>IF(B2722="","",IFERROR(INDEX('04A_국토부원자료'!$A:$T,ROW()+1,MATCH("번지",'04A_국토부원자료'!$A$4:$T$4,0)),""))</f>
        <v/>
      </c>
      <c r="D2722" s="48">
        <f>IF(B2722="","",IF(Q2722=1,'02_대상물건입력'!$B$8,IFERROR(INDEX('04A_국토부원자료'!$A:$T,ROW()+1,MATCH("단지명",'04A_국토부원자료'!$A$4:$T$4,0)),"")))</f>
        <v/>
      </c>
      <c r="E2722" s="172">
        <f>IFERROR(VALUE(SUBSTITUTE(INDEX('04A_국토부원자료'!$A:$T,ROW()+1,MATCH("전용면적(㎡)",'04A_국토부원자료'!$A$4:$T$4,0)),",","")),"")</f>
        <v/>
      </c>
      <c r="F27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22" s="51">
        <f>IFERROR(VALUE(SUBSTITUTE(INDEX('04A_국토부원자료'!$A:$T,ROW()+1,MATCH("거래금액(만원)",'04A_국토부원자료'!$A$4:$T$4,0)),",","")),"")</f>
        <v/>
      </c>
      <c r="H2722" s="174">
        <f>IF(G2722="","",G2722*10000)</f>
        <v/>
      </c>
      <c r="I2722" s="174">
        <f>IFERROR(IF(AND(H2722&gt;0,E2722&gt;0),H2722/E2722,""),"")</f>
        <v/>
      </c>
      <c r="J2722" s="152">
        <f>IFERROR(VALUE(SUBSTITUTE(INDEX('04A_국토부원자료'!$A:$T,ROW()+1,MATCH("층",'04A_국토부원자료'!$A$4:$T$4,0)),",","")),"")</f>
        <v/>
      </c>
      <c r="K2722" s="152">
        <f>IFERROR(VALUE(SUBSTITUTE(INDEX('04A_국토부원자료'!$A:$T,ROW()+1,MATCH("건축년도",'04A_국토부원자료'!$A$4:$T$4,0)),",","")),"")</f>
        <v/>
      </c>
      <c r="L2722" s="48">
        <f>IFERROR(INDEX('04A_국토부원자료'!$A:$T,ROW()+1,MATCH("도로명",'04A_국토부원자료'!$A$4:$T$4,0)),"")</f>
        <v/>
      </c>
      <c r="M2722" s="48">
        <f>IFERROR(INDEX('04A_국토부원자료'!$A:$T,ROW()+1,MATCH("거래유형",'04A_국토부원자료'!$A$4:$T$4,0)),"")</f>
        <v/>
      </c>
      <c r="N2722" s="152">
        <f>IF(B2722="","",IF('02_대상물건입력'!B5="",1,IF(ISNUMBER(SEARCH('02_대상물건입력'!B5,B2722)),1,0)))</f>
        <v/>
      </c>
      <c r="O2722" s="152">
        <f>IF(B2722="","",IF('02_대상물건입력'!B6="",1,IF(ISNUMBER(SEARCH('02_대상물건입력'!B6,B2722)),1,0)))</f>
        <v/>
      </c>
      <c r="P2722" s="152">
        <f>IF(L2722="","",IF('02_대상물건입력'!B15="",0,IF(ISNUMBER(SEARCH('02_대상물건입력'!B15,L2722)),1,0)))</f>
        <v/>
      </c>
      <c r="Q2722" s="152">
        <f>IF(OR(C2722="",L2722=""),0,IF(AND(TRIM(C2722)=TRIM(RIGHT(SUBSTITUTE(TRIM('02_대상물건입력'!$B$7)," ",REPT(" ",99)),99)),IF('02_대상물건입력'!B15="",TRUE(),ISNUMBER(SEARCH('02_대상물건입력'!B15,L2722)))),1,0))</f>
        <v/>
      </c>
      <c r="R2722" s="175">
        <f>IFERROR(ABS(E2722-'02_대상물건입력'!B11)/'02_대상물건입력'!B11,"")</f>
        <v/>
      </c>
      <c r="S2722" s="152">
        <f>IFERROR(ABS(J2722-'02_대상물건입력'!B10),"")</f>
        <v/>
      </c>
      <c r="T2722" s="152">
        <f>IFERROR(ABS('01_설정'!B4-F2722),"")</f>
        <v/>
      </c>
      <c r="U2722" s="152">
        <f>IFERROR(ABS(K2722-YEAR('02_대상물건입력'!B14)),"")</f>
        <v/>
      </c>
      <c r="V2722" s="152">
        <f>IF(B2722="","",IF(AND(E2722&gt;0,F2722&gt;0,H2722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2722=1,TRUE()),R2722&lt;='01_설정'!B5,S2722&lt;='01_설정'!B6,T2722&lt;='01_설정'!B7,U2722&lt;='01_설정'!B8),"Y",""))</f>
        <v/>
      </c>
      <c r="W2722" s="172">
        <f>IF(V2722&lt;&gt;"Y","",MAX(0,(1-R2722/'01_설정'!B5))*'01_설정'!B14+MAX(0,(1-S2722/'01_설정'!B6))*'01_설정'!B15+MAX(0,(1-T2722/'01_설정'!B7))*'01_설정'!B16+MAX(0,(1-U2722/'01_설정'!B8))*'01_설정'!B17+O2722*'01_설정'!B11+Q2722*'01_설정'!B12+P2722*'01_설정'!B13+IF(Z2722="",0,Z2722))</f>
        <v/>
      </c>
      <c r="X2722" s="152">
        <f>IF(W2722="","",1+COUNTIFS($W$4:$W$3003,"&gt;"&amp;W2722)+COUNTIFS($W$4:W2722,W2722)-1)</f>
        <v/>
      </c>
      <c r="Y2722" s="175">
        <f>IF(OR(I2722="",'02_대상물건입력'!B19="",'02_대상물건입력'!B19&lt;=0),"",ABS(I2722-'02_대상물건입력'!B19)/'02_대상물건입력'!B19)</f>
        <v/>
      </c>
      <c r="Z2722" s="172">
        <f>IF(OR(Y2722="",'01_설정'!B31="",'01_설정'!B31&lt;=0,'01_설정'!B32="",'01_설정'!B32&lt;=0),"",MAX(0,(1-Y2722/'01_설정'!B32))*'01_설정'!B31)</f>
        <v/>
      </c>
    </row>
    <row r="2723" ht="17.25" customHeight="1">
      <c r="A2723" s="152">
        <f>IF(INDEX('04A_국토부원자료'!$A:$A,ROW()+1)="","",ROW()-3)</f>
        <v/>
      </c>
      <c r="B2723" s="48">
        <f>IFERROR(INDEX('04A_국토부원자료'!$A:$T,ROW()+1,MATCH("시군구",'04A_국토부원자료'!$A$4:$T$4,0)),"")</f>
        <v/>
      </c>
      <c r="C2723" s="48">
        <f>IF(B2723="","",IFERROR(INDEX('04A_국토부원자료'!$A:$T,ROW()+1,MATCH("번지",'04A_국토부원자료'!$A$4:$T$4,0)),""))</f>
        <v/>
      </c>
      <c r="D2723" s="48">
        <f>IF(B2723="","",IF(Q2723=1,'02_대상물건입력'!$B$8,IFERROR(INDEX('04A_국토부원자료'!$A:$T,ROW()+1,MATCH("단지명",'04A_국토부원자료'!$A$4:$T$4,0)),"")))</f>
        <v/>
      </c>
      <c r="E2723" s="172">
        <f>IFERROR(VALUE(SUBSTITUTE(INDEX('04A_국토부원자료'!$A:$T,ROW()+1,MATCH("전용면적(㎡)",'04A_국토부원자료'!$A$4:$T$4,0)),",","")),"")</f>
        <v/>
      </c>
      <c r="F27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23" s="51">
        <f>IFERROR(VALUE(SUBSTITUTE(INDEX('04A_국토부원자료'!$A:$T,ROW()+1,MATCH("거래금액(만원)",'04A_국토부원자료'!$A$4:$T$4,0)),",","")),"")</f>
        <v/>
      </c>
      <c r="H2723" s="174">
        <f>IF(G2723="","",G2723*10000)</f>
        <v/>
      </c>
      <c r="I2723" s="174">
        <f>IFERROR(IF(AND(H2723&gt;0,E2723&gt;0),H2723/E2723,""),"")</f>
        <v/>
      </c>
      <c r="J2723" s="152">
        <f>IFERROR(VALUE(SUBSTITUTE(INDEX('04A_국토부원자료'!$A:$T,ROW()+1,MATCH("층",'04A_국토부원자료'!$A$4:$T$4,0)),",","")),"")</f>
        <v/>
      </c>
      <c r="K2723" s="152">
        <f>IFERROR(VALUE(SUBSTITUTE(INDEX('04A_국토부원자료'!$A:$T,ROW()+1,MATCH("건축년도",'04A_국토부원자료'!$A$4:$T$4,0)),",","")),"")</f>
        <v/>
      </c>
      <c r="L2723" s="48">
        <f>IFERROR(INDEX('04A_국토부원자료'!$A:$T,ROW()+1,MATCH("도로명",'04A_국토부원자료'!$A$4:$T$4,0)),"")</f>
        <v/>
      </c>
      <c r="M2723" s="48">
        <f>IFERROR(INDEX('04A_국토부원자료'!$A:$T,ROW()+1,MATCH("거래유형",'04A_국토부원자료'!$A$4:$T$4,0)),"")</f>
        <v/>
      </c>
      <c r="N2723" s="152">
        <f>IF(B2723="","",IF('02_대상물건입력'!B5="",1,IF(ISNUMBER(SEARCH('02_대상물건입력'!B5,B2723)),1,0)))</f>
        <v/>
      </c>
      <c r="O2723" s="152">
        <f>IF(B2723="","",IF('02_대상물건입력'!B6="",1,IF(ISNUMBER(SEARCH('02_대상물건입력'!B6,B2723)),1,0)))</f>
        <v/>
      </c>
      <c r="P2723" s="152">
        <f>IF(L2723="","",IF('02_대상물건입력'!B15="",0,IF(ISNUMBER(SEARCH('02_대상물건입력'!B15,L2723)),1,0)))</f>
        <v/>
      </c>
      <c r="Q2723" s="152">
        <f>IF(OR(C2723="",L2723=""),0,IF(AND(TRIM(C2723)=TRIM(RIGHT(SUBSTITUTE(TRIM('02_대상물건입력'!$B$7)," ",REPT(" ",99)),99)),IF('02_대상물건입력'!B15="",TRUE(),ISNUMBER(SEARCH('02_대상물건입력'!B15,L2723)))),1,0))</f>
        <v/>
      </c>
      <c r="R2723" s="175">
        <f>IFERROR(ABS(E2723-'02_대상물건입력'!B11)/'02_대상물건입력'!B11,"")</f>
        <v/>
      </c>
      <c r="S2723" s="152">
        <f>IFERROR(ABS(J2723-'02_대상물건입력'!B10),"")</f>
        <v/>
      </c>
      <c r="T2723" s="152">
        <f>IFERROR(ABS('01_설정'!B4-F2723),"")</f>
        <v/>
      </c>
      <c r="U2723" s="152">
        <f>IFERROR(ABS(K2723-YEAR('02_대상물건입력'!B14)),"")</f>
        <v/>
      </c>
      <c r="V2723" s="152">
        <f>IF(B2723="","",IF(AND(E2723&gt;0,F2723&gt;0,H2723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2723=1,TRUE()),R2723&lt;='01_설정'!B5,S2723&lt;='01_설정'!B6,T2723&lt;='01_설정'!B7,U2723&lt;='01_설정'!B8),"Y",""))</f>
        <v/>
      </c>
      <c r="W2723" s="172">
        <f>IF(V2723&lt;&gt;"Y","",MAX(0,(1-R2723/'01_설정'!B5))*'01_설정'!B14+MAX(0,(1-S2723/'01_설정'!B6))*'01_설정'!B15+MAX(0,(1-T2723/'01_설정'!B7))*'01_설정'!B16+MAX(0,(1-U2723/'01_설정'!B8))*'01_설정'!B17+O2723*'01_설정'!B11+Q2723*'01_설정'!B12+P2723*'01_설정'!B13+IF(Z2723="",0,Z2723))</f>
        <v/>
      </c>
      <c r="X2723" s="152">
        <f>IF(W2723="","",1+COUNTIFS($W$4:$W$3003,"&gt;"&amp;W2723)+COUNTIFS($W$4:W2723,W2723)-1)</f>
        <v/>
      </c>
      <c r="Y2723" s="175">
        <f>IF(OR(I2723="",'02_대상물건입력'!B19="",'02_대상물건입력'!B19&lt;=0),"",ABS(I2723-'02_대상물건입력'!B19)/'02_대상물건입력'!B19)</f>
        <v/>
      </c>
      <c r="Z2723" s="172">
        <f>IF(OR(Y2723="",'01_설정'!B31="",'01_설정'!B31&lt;=0,'01_설정'!B32="",'01_설정'!B32&lt;=0),"",MAX(0,(1-Y2723/'01_설정'!B32))*'01_설정'!B31)</f>
        <v/>
      </c>
    </row>
    <row r="2724" ht="17.25" customHeight="1">
      <c r="A2724" s="152">
        <f>IF(INDEX('04A_국토부원자료'!$A:$A,ROW()+1)="","",ROW()-3)</f>
        <v/>
      </c>
      <c r="B2724" s="48">
        <f>IFERROR(INDEX('04A_국토부원자료'!$A:$T,ROW()+1,MATCH("시군구",'04A_국토부원자료'!$A$4:$T$4,0)),"")</f>
        <v/>
      </c>
      <c r="C2724" s="48">
        <f>IF(B2724="","",IFERROR(INDEX('04A_국토부원자료'!$A:$T,ROW()+1,MATCH("번지",'04A_국토부원자료'!$A$4:$T$4,0)),""))</f>
        <v/>
      </c>
      <c r="D2724" s="48">
        <f>IF(B2724="","",IF(Q2724=1,'02_대상물건입력'!$B$8,IFERROR(INDEX('04A_국토부원자료'!$A:$T,ROW()+1,MATCH("단지명",'04A_국토부원자료'!$A$4:$T$4,0)),"")))</f>
        <v/>
      </c>
      <c r="E2724" s="172">
        <f>IFERROR(VALUE(SUBSTITUTE(INDEX('04A_국토부원자료'!$A:$T,ROW()+1,MATCH("전용면적(㎡)",'04A_국토부원자료'!$A$4:$T$4,0)),",","")),"")</f>
        <v/>
      </c>
      <c r="F27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24" s="51">
        <f>IFERROR(VALUE(SUBSTITUTE(INDEX('04A_국토부원자료'!$A:$T,ROW()+1,MATCH("거래금액(만원)",'04A_국토부원자료'!$A$4:$T$4,0)),",","")),"")</f>
        <v/>
      </c>
      <c r="H2724" s="174">
        <f>IF(G2724="","",G2724*10000)</f>
        <v/>
      </c>
      <c r="I2724" s="174">
        <f>IFERROR(IF(AND(H2724&gt;0,E2724&gt;0),H2724/E2724,""),"")</f>
        <v/>
      </c>
      <c r="J2724" s="152">
        <f>IFERROR(VALUE(SUBSTITUTE(INDEX('04A_국토부원자료'!$A:$T,ROW()+1,MATCH("층",'04A_국토부원자료'!$A$4:$T$4,0)),",","")),"")</f>
        <v/>
      </c>
      <c r="K2724" s="152">
        <f>IFERROR(VALUE(SUBSTITUTE(INDEX('04A_국토부원자료'!$A:$T,ROW()+1,MATCH("건축년도",'04A_국토부원자료'!$A$4:$T$4,0)),",","")),"")</f>
        <v/>
      </c>
      <c r="L2724" s="48">
        <f>IFERROR(INDEX('04A_국토부원자료'!$A:$T,ROW()+1,MATCH("도로명",'04A_국토부원자료'!$A$4:$T$4,0)),"")</f>
        <v/>
      </c>
      <c r="M2724" s="48">
        <f>IFERROR(INDEX('04A_국토부원자료'!$A:$T,ROW()+1,MATCH("거래유형",'04A_국토부원자료'!$A$4:$T$4,0)),"")</f>
        <v/>
      </c>
      <c r="N2724" s="152">
        <f>IF(B2724="","",IF('02_대상물건입력'!B5="",1,IF(ISNUMBER(SEARCH('02_대상물건입력'!B5,B2724)),1,0)))</f>
        <v/>
      </c>
      <c r="O2724" s="152">
        <f>IF(B2724="","",IF('02_대상물건입력'!B6="",1,IF(ISNUMBER(SEARCH('02_대상물건입력'!B6,B2724)),1,0)))</f>
        <v/>
      </c>
      <c r="P2724" s="152">
        <f>IF(L2724="","",IF('02_대상물건입력'!B15="",0,IF(ISNUMBER(SEARCH('02_대상물건입력'!B15,L2724)),1,0)))</f>
        <v/>
      </c>
      <c r="Q2724" s="152">
        <f>IF(OR(C2724="",L2724=""),0,IF(AND(TRIM(C2724)=TRIM(RIGHT(SUBSTITUTE(TRIM('02_대상물건입력'!$B$7)," ",REPT(" ",99)),99)),IF('02_대상물건입력'!B15="",TRUE(),ISNUMBER(SEARCH('02_대상물건입력'!B15,L2724)))),1,0))</f>
        <v/>
      </c>
      <c r="R2724" s="175">
        <f>IFERROR(ABS(E2724-'02_대상물건입력'!B11)/'02_대상물건입력'!B11,"")</f>
        <v/>
      </c>
      <c r="S2724" s="152">
        <f>IFERROR(ABS(J2724-'02_대상물건입력'!B10),"")</f>
        <v/>
      </c>
      <c r="T2724" s="152">
        <f>IFERROR(ABS('01_설정'!B4-F2724),"")</f>
        <v/>
      </c>
      <c r="U2724" s="152">
        <f>IFERROR(ABS(K2724-YEAR('02_대상물건입력'!B14)),"")</f>
        <v/>
      </c>
      <c r="V2724" s="152">
        <f>IF(B2724="","",IF(AND(E2724&gt;0,F2724&gt;0,H2724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2724=1,TRUE()),R2724&lt;='01_설정'!B5,S2724&lt;='01_설정'!B6,T2724&lt;='01_설정'!B7,U2724&lt;='01_설정'!B8),"Y",""))</f>
        <v/>
      </c>
      <c r="W2724" s="172">
        <f>IF(V2724&lt;&gt;"Y","",MAX(0,(1-R2724/'01_설정'!B5))*'01_설정'!B14+MAX(0,(1-S2724/'01_설정'!B6))*'01_설정'!B15+MAX(0,(1-T2724/'01_설정'!B7))*'01_설정'!B16+MAX(0,(1-U2724/'01_설정'!B8))*'01_설정'!B17+O2724*'01_설정'!B11+Q2724*'01_설정'!B12+P2724*'01_설정'!B13+IF(Z2724="",0,Z2724))</f>
        <v/>
      </c>
      <c r="X2724" s="152">
        <f>IF(W2724="","",1+COUNTIFS($W$4:$W$3003,"&gt;"&amp;W2724)+COUNTIFS($W$4:W2724,W2724)-1)</f>
        <v/>
      </c>
      <c r="Y2724" s="175">
        <f>IF(OR(I2724="",'02_대상물건입력'!B19="",'02_대상물건입력'!B19&lt;=0),"",ABS(I2724-'02_대상물건입력'!B19)/'02_대상물건입력'!B19)</f>
        <v/>
      </c>
      <c r="Z2724" s="172">
        <f>IF(OR(Y2724="",'01_설정'!B31="",'01_설정'!B31&lt;=0,'01_설정'!B32="",'01_설정'!B32&lt;=0),"",MAX(0,(1-Y2724/'01_설정'!B32))*'01_설정'!B31)</f>
        <v/>
      </c>
    </row>
    <row r="2725" ht="17.25" customHeight="1">
      <c r="A2725" s="152">
        <f>IF(INDEX('04A_국토부원자료'!$A:$A,ROW()+1)="","",ROW()-3)</f>
        <v/>
      </c>
      <c r="B2725" s="48">
        <f>IFERROR(INDEX('04A_국토부원자료'!$A:$T,ROW()+1,MATCH("시군구",'04A_국토부원자료'!$A$4:$T$4,0)),"")</f>
        <v/>
      </c>
      <c r="C2725" s="48">
        <f>IF(B2725="","",IFERROR(INDEX('04A_국토부원자료'!$A:$T,ROW()+1,MATCH("번지",'04A_국토부원자료'!$A$4:$T$4,0)),""))</f>
        <v/>
      </c>
      <c r="D2725" s="48">
        <f>IF(B2725="","",IF(Q2725=1,'02_대상물건입력'!$B$8,IFERROR(INDEX('04A_국토부원자료'!$A:$T,ROW()+1,MATCH("단지명",'04A_국토부원자료'!$A$4:$T$4,0)),"")))</f>
        <v/>
      </c>
      <c r="E2725" s="172">
        <f>IFERROR(VALUE(SUBSTITUTE(INDEX('04A_국토부원자료'!$A:$T,ROW()+1,MATCH("전용면적(㎡)",'04A_국토부원자료'!$A$4:$T$4,0)),",","")),"")</f>
        <v/>
      </c>
      <c r="F27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25" s="51">
        <f>IFERROR(VALUE(SUBSTITUTE(INDEX('04A_국토부원자료'!$A:$T,ROW()+1,MATCH("거래금액(만원)",'04A_국토부원자료'!$A$4:$T$4,0)),",","")),"")</f>
        <v/>
      </c>
      <c r="H2725" s="174">
        <f>IF(G2725="","",G2725*10000)</f>
        <v/>
      </c>
      <c r="I2725" s="174">
        <f>IFERROR(IF(AND(H2725&gt;0,E2725&gt;0),H2725/E2725,""),"")</f>
        <v/>
      </c>
      <c r="J2725" s="152">
        <f>IFERROR(VALUE(SUBSTITUTE(INDEX('04A_국토부원자료'!$A:$T,ROW()+1,MATCH("층",'04A_국토부원자료'!$A$4:$T$4,0)),",","")),"")</f>
        <v/>
      </c>
      <c r="K2725" s="152">
        <f>IFERROR(VALUE(SUBSTITUTE(INDEX('04A_국토부원자료'!$A:$T,ROW()+1,MATCH("건축년도",'04A_국토부원자료'!$A$4:$T$4,0)),",","")),"")</f>
        <v/>
      </c>
      <c r="L2725" s="48">
        <f>IFERROR(INDEX('04A_국토부원자료'!$A:$T,ROW()+1,MATCH("도로명",'04A_국토부원자료'!$A$4:$T$4,0)),"")</f>
        <v/>
      </c>
      <c r="M2725" s="48">
        <f>IFERROR(INDEX('04A_국토부원자료'!$A:$T,ROW()+1,MATCH("거래유형",'04A_국토부원자료'!$A$4:$T$4,0)),"")</f>
        <v/>
      </c>
      <c r="N2725" s="152">
        <f>IF(B2725="","",IF('02_대상물건입력'!B5="",1,IF(ISNUMBER(SEARCH('02_대상물건입력'!B5,B2725)),1,0)))</f>
        <v/>
      </c>
      <c r="O2725" s="152">
        <f>IF(B2725="","",IF('02_대상물건입력'!B6="",1,IF(ISNUMBER(SEARCH('02_대상물건입력'!B6,B2725)),1,0)))</f>
        <v/>
      </c>
      <c r="P2725" s="152">
        <f>IF(L2725="","",IF('02_대상물건입력'!B15="",0,IF(ISNUMBER(SEARCH('02_대상물건입력'!B15,L2725)),1,0)))</f>
        <v/>
      </c>
      <c r="Q2725" s="152">
        <f>IF(OR(C2725="",L2725=""),0,IF(AND(TRIM(C2725)=TRIM(RIGHT(SUBSTITUTE(TRIM('02_대상물건입력'!$B$7)," ",REPT(" ",99)),99)),IF('02_대상물건입력'!B15="",TRUE(),ISNUMBER(SEARCH('02_대상물건입력'!B15,L2725)))),1,0))</f>
        <v/>
      </c>
      <c r="R2725" s="175">
        <f>IFERROR(ABS(E2725-'02_대상물건입력'!B11)/'02_대상물건입력'!B11,"")</f>
        <v/>
      </c>
      <c r="S2725" s="152">
        <f>IFERROR(ABS(J2725-'02_대상물건입력'!B10),"")</f>
        <v/>
      </c>
      <c r="T2725" s="152">
        <f>IFERROR(ABS('01_설정'!B4-F2725),"")</f>
        <v/>
      </c>
      <c r="U2725" s="152">
        <f>IFERROR(ABS(K2725-YEAR('02_대상물건입력'!B14)),"")</f>
        <v/>
      </c>
      <c r="V2725" s="152">
        <f>IF(B2725="","",IF(AND(E2725&gt;0,F2725&gt;0,H2725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2725=1,TRUE()),R2725&lt;='01_설정'!B5,S2725&lt;='01_설정'!B6,T2725&lt;='01_설정'!B7,U2725&lt;='01_설정'!B8),"Y",""))</f>
        <v/>
      </c>
      <c r="W2725" s="172">
        <f>IF(V2725&lt;&gt;"Y","",MAX(0,(1-R2725/'01_설정'!B5))*'01_설정'!B14+MAX(0,(1-S2725/'01_설정'!B6))*'01_설정'!B15+MAX(0,(1-T2725/'01_설정'!B7))*'01_설정'!B16+MAX(0,(1-U2725/'01_설정'!B8))*'01_설정'!B17+O2725*'01_설정'!B11+Q2725*'01_설정'!B12+P2725*'01_설정'!B13+IF(Z2725="",0,Z2725))</f>
        <v/>
      </c>
      <c r="X2725" s="152">
        <f>IF(W2725="","",1+COUNTIFS($W$4:$W$3003,"&gt;"&amp;W2725)+COUNTIFS($W$4:W2725,W2725)-1)</f>
        <v/>
      </c>
      <c r="Y2725" s="175">
        <f>IF(OR(I2725="",'02_대상물건입력'!B19="",'02_대상물건입력'!B19&lt;=0),"",ABS(I2725-'02_대상물건입력'!B19)/'02_대상물건입력'!B19)</f>
        <v/>
      </c>
      <c r="Z2725" s="172">
        <f>IF(OR(Y2725="",'01_설정'!B31="",'01_설정'!B31&lt;=0,'01_설정'!B32="",'01_설정'!B32&lt;=0),"",MAX(0,(1-Y2725/'01_설정'!B32))*'01_설정'!B31)</f>
        <v/>
      </c>
    </row>
    <row r="2726" ht="17.25" customHeight="1">
      <c r="A2726" s="152">
        <f>IF(INDEX('04A_국토부원자료'!$A:$A,ROW()+1)="","",ROW()-3)</f>
        <v/>
      </c>
      <c r="B2726" s="48">
        <f>IFERROR(INDEX('04A_국토부원자료'!$A:$T,ROW()+1,MATCH("시군구",'04A_국토부원자료'!$A$4:$T$4,0)),"")</f>
        <v/>
      </c>
      <c r="C2726" s="48">
        <f>IF(B2726="","",IFERROR(INDEX('04A_국토부원자료'!$A:$T,ROW()+1,MATCH("번지",'04A_국토부원자료'!$A$4:$T$4,0)),""))</f>
        <v/>
      </c>
      <c r="D2726" s="48">
        <f>IF(B2726="","",IF(Q2726=1,'02_대상물건입력'!$B$8,IFERROR(INDEX('04A_국토부원자료'!$A:$T,ROW()+1,MATCH("단지명",'04A_국토부원자료'!$A$4:$T$4,0)),"")))</f>
        <v/>
      </c>
      <c r="E2726" s="172">
        <f>IFERROR(VALUE(SUBSTITUTE(INDEX('04A_국토부원자료'!$A:$T,ROW()+1,MATCH("전용면적(㎡)",'04A_국토부원자료'!$A$4:$T$4,0)),",","")),"")</f>
        <v/>
      </c>
      <c r="F27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26" s="51">
        <f>IFERROR(VALUE(SUBSTITUTE(INDEX('04A_국토부원자료'!$A:$T,ROW()+1,MATCH("거래금액(만원)",'04A_국토부원자료'!$A$4:$T$4,0)),",","")),"")</f>
        <v/>
      </c>
      <c r="H2726" s="174">
        <f>IF(G2726="","",G2726*10000)</f>
        <v/>
      </c>
      <c r="I2726" s="174">
        <f>IFERROR(IF(AND(H2726&gt;0,E2726&gt;0),H2726/E2726,""),"")</f>
        <v/>
      </c>
      <c r="J2726" s="152">
        <f>IFERROR(VALUE(SUBSTITUTE(INDEX('04A_국토부원자료'!$A:$T,ROW()+1,MATCH("층",'04A_국토부원자료'!$A$4:$T$4,0)),",","")),"")</f>
        <v/>
      </c>
      <c r="K2726" s="152">
        <f>IFERROR(VALUE(SUBSTITUTE(INDEX('04A_국토부원자료'!$A:$T,ROW()+1,MATCH("건축년도",'04A_국토부원자료'!$A$4:$T$4,0)),",","")),"")</f>
        <v/>
      </c>
      <c r="L2726" s="48">
        <f>IFERROR(INDEX('04A_국토부원자료'!$A:$T,ROW()+1,MATCH("도로명",'04A_국토부원자료'!$A$4:$T$4,0)),"")</f>
        <v/>
      </c>
      <c r="M2726" s="48">
        <f>IFERROR(INDEX('04A_국토부원자료'!$A:$T,ROW()+1,MATCH("거래유형",'04A_국토부원자료'!$A$4:$T$4,0)),"")</f>
        <v/>
      </c>
      <c r="N2726" s="152">
        <f>IF(B2726="","",IF('02_대상물건입력'!B5="",1,IF(ISNUMBER(SEARCH('02_대상물건입력'!B5,B2726)),1,0)))</f>
        <v/>
      </c>
      <c r="O2726" s="152">
        <f>IF(B2726="","",IF('02_대상물건입력'!B6="",1,IF(ISNUMBER(SEARCH('02_대상물건입력'!B6,B2726)),1,0)))</f>
        <v/>
      </c>
      <c r="P2726" s="152">
        <f>IF(L2726="","",IF('02_대상물건입력'!B15="",0,IF(ISNUMBER(SEARCH('02_대상물건입력'!B15,L2726)),1,0)))</f>
        <v/>
      </c>
      <c r="Q2726" s="152">
        <f>IF(OR(C2726="",L2726=""),0,IF(AND(TRIM(C2726)=TRIM(RIGHT(SUBSTITUTE(TRIM('02_대상물건입력'!$B$7)," ",REPT(" ",99)),99)),IF('02_대상물건입력'!B15="",TRUE(),ISNUMBER(SEARCH('02_대상물건입력'!B15,L2726)))),1,0))</f>
        <v/>
      </c>
      <c r="R2726" s="175">
        <f>IFERROR(ABS(E2726-'02_대상물건입력'!B11)/'02_대상물건입력'!B11,"")</f>
        <v/>
      </c>
      <c r="S2726" s="152">
        <f>IFERROR(ABS(J2726-'02_대상물건입력'!B10),"")</f>
        <v/>
      </c>
      <c r="T2726" s="152">
        <f>IFERROR(ABS('01_설정'!B4-F2726),"")</f>
        <v/>
      </c>
      <c r="U2726" s="152">
        <f>IFERROR(ABS(K2726-YEAR('02_대상물건입력'!B14)),"")</f>
        <v/>
      </c>
      <c r="V2726" s="152">
        <f>IF(B2726="","",IF(AND(E2726&gt;0,F2726&gt;0,H2726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2726=1,TRUE()),R2726&lt;='01_설정'!B5,S2726&lt;='01_설정'!B6,T2726&lt;='01_설정'!B7,U2726&lt;='01_설정'!B8),"Y",""))</f>
        <v/>
      </c>
      <c r="W2726" s="172">
        <f>IF(V2726&lt;&gt;"Y","",MAX(0,(1-R2726/'01_설정'!B5))*'01_설정'!B14+MAX(0,(1-S2726/'01_설정'!B6))*'01_설정'!B15+MAX(0,(1-T2726/'01_설정'!B7))*'01_설정'!B16+MAX(0,(1-U2726/'01_설정'!B8))*'01_설정'!B17+O2726*'01_설정'!B11+Q2726*'01_설정'!B12+P2726*'01_설정'!B13+IF(Z2726="",0,Z2726))</f>
        <v/>
      </c>
      <c r="X2726" s="152">
        <f>IF(W2726="","",1+COUNTIFS($W$4:$W$3003,"&gt;"&amp;W2726)+COUNTIFS($W$4:W2726,W2726)-1)</f>
        <v/>
      </c>
      <c r="Y2726" s="175">
        <f>IF(OR(I2726="",'02_대상물건입력'!B19="",'02_대상물건입력'!B19&lt;=0),"",ABS(I2726-'02_대상물건입력'!B19)/'02_대상물건입력'!B19)</f>
        <v/>
      </c>
      <c r="Z2726" s="172">
        <f>IF(OR(Y2726="",'01_설정'!B31="",'01_설정'!B31&lt;=0,'01_설정'!B32="",'01_설정'!B32&lt;=0),"",MAX(0,(1-Y2726/'01_설정'!B32))*'01_설정'!B31)</f>
        <v/>
      </c>
    </row>
    <row r="2727" ht="17.25" customHeight="1">
      <c r="A2727" s="152">
        <f>IF(INDEX('04A_국토부원자료'!$A:$A,ROW()+1)="","",ROW()-3)</f>
        <v/>
      </c>
      <c r="B2727" s="48">
        <f>IFERROR(INDEX('04A_국토부원자료'!$A:$T,ROW()+1,MATCH("시군구",'04A_국토부원자료'!$A$4:$T$4,0)),"")</f>
        <v/>
      </c>
      <c r="C2727" s="48">
        <f>IF(B2727="","",IFERROR(INDEX('04A_국토부원자료'!$A:$T,ROW()+1,MATCH("번지",'04A_국토부원자료'!$A$4:$T$4,0)),""))</f>
        <v/>
      </c>
      <c r="D2727" s="48">
        <f>IF(B2727="","",IF(Q2727=1,'02_대상물건입력'!$B$8,IFERROR(INDEX('04A_국토부원자료'!$A:$T,ROW()+1,MATCH("단지명",'04A_국토부원자료'!$A$4:$T$4,0)),"")))</f>
        <v/>
      </c>
      <c r="E2727" s="172">
        <f>IFERROR(VALUE(SUBSTITUTE(INDEX('04A_국토부원자료'!$A:$T,ROW()+1,MATCH("전용면적(㎡)",'04A_국토부원자료'!$A$4:$T$4,0)),",","")),"")</f>
        <v/>
      </c>
      <c r="F27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27" s="51">
        <f>IFERROR(VALUE(SUBSTITUTE(INDEX('04A_국토부원자료'!$A:$T,ROW()+1,MATCH("거래금액(만원)",'04A_국토부원자료'!$A$4:$T$4,0)),",","")),"")</f>
        <v/>
      </c>
      <c r="H2727" s="174">
        <f>IF(G2727="","",G2727*10000)</f>
        <v/>
      </c>
      <c r="I2727" s="174">
        <f>IFERROR(IF(AND(H2727&gt;0,E2727&gt;0),H2727/E2727,""),"")</f>
        <v/>
      </c>
      <c r="J2727" s="152">
        <f>IFERROR(VALUE(SUBSTITUTE(INDEX('04A_국토부원자료'!$A:$T,ROW()+1,MATCH("층",'04A_국토부원자료'!$A$4:$T$4,0)),",","")),"")</f>
        <v/>
      </c>
      <c r="K2727" s="152">
        <f>IFERROR(VALUE(SUBSTITUTE(INDEX('04A_국토부원자료'!$A:$T,ROW()+1,MATCH("건축년도",'04A_국토부원자료'!$A$4:$T$4,0)),",","")),"")</f>
        <v/>
      </c>
      <c r="L2727" s="48">
        <f>IFERROR(INDEX('04A_국토부원자료'!$A:$T,ROW()+1,MATCH("도로명",'04A_국토부원자료'!$A$4:$T$4,0)),"")</f>
        <v/>
      </c>
      <c r="M2727" s="48">
        <f>IFERROR(INDEX('04A_국토부원자료'!$A:$T,ROW()+1,MATCH("거래유형",'04A_국토부원자료'!$A$4:$T$4,0)),"")</f>
        <v/>
      </c>
      <c r="N2727" s="152">
        <f>IF(B2727="","",IF('02_대상물건입력'!B5="",1,IF(ISNUMBER(SEARCH('02_대상물건입력'!B5,B2727)),1,0)))</f>
        <v/>
      </c>
      <c r="O2727" s="152">
        <f>IF(B2727="","",IF('02_대상물건입력'!B6="",1,IF(ISNUMBER(SEARCH('02_대상물건입력'!B6,B2727)),1,0)))</f>
        <v/>
      </c>
      <c r="P2727" s="152">
        <f>IF(L2727="","",IF('02_대상물건입력'!B15="",0,IF(ISNUMBER(SEARCH('02_대상물건입력'!B15,L2727)),1,0)))</f>
        <v/>
      </c>
      <c r="Q2727" s="152">
        <f>IF(OR(C2727="",L2727=""),0,IF(AND(TRIM(C2727)=TRIM(RIGHT(SUBSTITUTE(TRIM('02_대상물건입력'!$B$7)," ",REPT(" ",99)),99)),IF('02_대상물건입력'!B15="",TRUE(),ISNUMBER(SEARCH('02_대상물건입력'!B15,L2727)))),1,0))</f>
        <v/>
      </c>
      <c r="R2727" s="175">
        <f>IFERROR(ABS(E2727-'02_대상물건입력'!B11)/'02_대상물건입력'!B11,"")</f>
        <v/>
      </c>
      <c r="S2727" s="152">
        <f>IFERROR(ABS(J2727-'02_대상물건입력'!B10),"")</f>
        <v/>
      </c>
      <c r="T2727" s="152">
        <f>IFERROR(ABS('01_설정'!B4-F2727),"")</f>
        <v/>
      </c>
      <c r="U2727" s="152">
        <f>IFERROR(ABS(K2727-YEAR('02_대상물건입력'!B14)),"")</f>
        <v/>
      </c>
      <c r="V2727" s="152">
        <f>IF(B2727="","",IF(AND(E2727&gt;0,F2727&gt;0,H2727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2727=1,TRUE()),R2727&lt;='01_설정'!B5,S2727&lt;='01_설정'!B6,T2727&lt;='01_설정'!B7,U2727&lt;='01_설정'!B8),"Y",""))</f>
        <v/>
      </c>
      <c r="W2727" s="172">
        <f>IF(V2727&lt;&gt;"Y","",MAX(0,(1-R2727/'01_설정'!B5))*'01_설정'!B14+MAX(0,(1-S2727/'01_설정'!B6))*'01_설정'!B15+MAX(0,(1-T2727/'01_설정'!B7))*'01_설정'!B16+MAX(0,(1-U2727/'01_설정'!B8))*'01_설정'!B17+O2727*'01_설정'!B11+Q2727*'01_설정'!B12+P2727*'01_설정'!B13+IF(Z2727="",0,Z2727))</f>
        <v/>
      </c>
      <c r="X2727" s="152">
        <f>IF(W2727="","",1+COUNTIFS($W$4:$W$3003,"&gt;"&amp;W2727)+COUNTIFS($W$4:W2727,W2727)-1)</f>
        <v/>
      </c>
      <c r="Y2727" s="175">
        <f>IF(OR(I2727="",'02_대상물건입력'!B19="",'02_대상물건입력'!B19&lt;=0),"",ABS(I2727-'02_대상물건입력'!B19)/'02_대상물건입력'!B19)</f>
        <v/>
      </c>
      <c r="Z2727" s="172">
        <f>IF(OR(Y2727="",'01_설정'!B31="",'01_설정'!B31&lt;=0,'01_설정'!B32="",'01_설정'!B32&lt;=0),"",MAX(0,(1-Y2727/'01_설정'!B32))*'01_설정'!B31)</f>
        <v/>
      </c>
    </row>
    <row r="2728" ht="17.25" customHeight="1">
      <c r="A2728" s="152">
        <f>IF(INDEX('04A_국토부원자료'!$A:$A,ROW()+1)="","",ROW()-3)</f>
        <v/>
      </c>
      <c r="B2728" s="48">
        <f>IFERROR(INDEX('04A_국토부원자료'!$A:$T,ROW()+1,MATCH("시군구",'04A_국토부원자료'!$A$4:$T$4,0)),"")</f>
        <v/>
      </c>
      <c r="C2728" s="48">
        <f>IF(B2728="","",IFERROR(INDEX('04A_국토부원자료'!$A:$T,ROW()+1,MATCH("번지",'04A_국토부원자료'!$A$4:$T$4,0)),""))</f>
        <v/>
      </c>
      <c r="D2728" s="48">
        <f>IF(B2728="","",IF(Q2728=1,'02_대상물건입력'!$B$8,IFERROR(INDEX('04A_국토부원자료'!$A:$T,ROW()+1,MATCH("단지명",'04A_국토부원자료'!$A$4:$T$4,0)),"")))</f>
        <v/>
      </c>
      <c r="E2728" s="172">
        <f>IFERROR(VALUE(SUBSTITUTE(INDEX('04A_국토부원자료'!$A:$T,ROW()+1,MATCH("전용면적(㎡)",'04A_국토부원자료'!$A$4:$T$4,0)),",","")),"")</f>
        <v/>
      </c>
      <c r="F27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28" s="51">
        <f>IFERROR(VALUE(SUBSTITUTE(INDEX('04A_국토부원자료'!$A:$T,ROW()+1,MATCH("거래금액(만원)",'04A_국토부원자료'!$A$4:$T$4,0)),",","")),"")</f>
        <v/>
      </c>
      <c r="H2728" s="174">
        <f>IF(G2728="","",G2728*10000)</f>
        <v/>
      </c>
      <c r="I2728" s="174">
        <f>IFERROR(IF(AND(H2728&gt;0,E2728&gt;0),H2728/E2728,""),"")</f>
        <v/>
      </c>
      <c r="J2728" s="152">
        <f>IFERROR(VALUE(SUBSTITUTE(INDEX('04A_국토부원자료'!$A:$T,ROW()+1,MATCH("층",'04A_국토부원자료'!$A$4:$T$4,0)),",","")),"")</f>
        <v/>
      </c>
      <c r="K2728" s="152">
        <f>IFERROR(VALUE(SUBSTITUTE(INDEX('04A_국토부원자료'!$A:$T,ROW()+1,MATCH("건축년도",'04A_국토부원자료'!$A$4:$T$4,0)),",","")),"")</f>
        <v/>
      </c>
      <c r="L2728" s="48">
        <f>IFERROR(INDEX('04A_국토부원자료'!$A:$T,ROW()+1,MATCH("도로명",'04A_국토부원자료'!$A$4:$T$4,0)),"")</f>
        <v/>
      </c>
      <c r="M2728" s="48">
        <f>IFERROR(INDEX('04A_국토부원자료'!$A:$T,ROW()+1,MATCH("거래유형",'04A_국토부원자료'!$A$4:$T$4,0)),"")</f>
        <v/>
      </c>
      <c r="N2728" s="152">
        <f>IF(B2728="","",IF('02_대상물건입력'!B5="",1,IF(ISNUMBER(SEARCH('02_대상물건입력'!B5,B2728)),1,0)))</f>
        <v/>
      </c>
      <c r="O2728" s="152">
        <f>IF(B2728="","",IF('02_대상물건입력'!B6="",1,IF(ISNUMBER(SEARCH('02_대상물건입력'!B6,B2728)),1,0)))</f>
        <v/>
      </c>
      <c r="P2728" s="152">
        <f>IF(L2728="","",IF('02_대상물건입력'!B15="",0,IF(ISNUMBER(SEARCH('02_대상물건입력'!B15,L2728)),1,0)))</f>
        <v/>
      </c>
      <c r="Q2728" s="152">
        <f>IF(OR(C2728="",L2728=""),0,IF(AND(TRIM(C2728)=TRIM(RIGHT(SUBSTITUTE(TRIM('02_대상물건입력'!$B$7)," ",REPT(" ",99)),99)),IF('02_대상물건입력'!B15="",TRUE(),ISNUMBER(SEARCH('02_대상물건입력'!B15,L2728)))),1,0))</f>
        <v/>
      </c>
      <c r="R2728" s="175">
        <f>IFERROR(ABS(E2728-'02_대상물건입력'!B11)/'02_대상물건입력'!B11,"")</f>
        <v/>
      </c>
      <c r="S2728" s="152">
        <f>IFERROR(ABS(J2728-'02_대상물건입력'!B10),"")</f>
        <v/>
      </c>
      <c r="T2728" s="152">
        <f>IFERROR(ABS('01_설정'!B4-F2728),"")</f>
        <v/>
      </c>
      <c r="U2728" s="152">
        <f>IFERROR(ABS(K2728-YEAR('02_대상물건입력'!B14)),"")</f>
        <v/>
      </c>
      <c r="V2728" s="152">
        <f>IF(B2728="","",IF(AND(E2728&gt;0,F2728&gt;0,H2728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2728=1,TRUE()),R2728&lt;='01_설정'!B5,S2728&lt;='01_설정'!B6,T2728&lt;='01_설정'!B7,U2728&lt;='01_설정'!B8),"Y",""))</f>
        <v/>
      </c>
      <c r="W2728" s="172">
        <f>IF(V2728&lt;&gt;"Y","",MAX(0,(1-R2728/'01_설정'!B5))*'01_설정'!B14+MAX(0,(1-S2728/'01_설정'!B6))*'01_설정'!B15+MAX(0,(1-T2728/'01_설정'!B7))*'01_설정'!B16+MAX(0,(1-U2728/'01_설정'!B8))*'01_설정'!B17+O2728*'01_설정'!B11+Q2728*'01_설정'!B12+P2728*'01_설정'!B13+IF(Z2728="",0,Z2728))</f>
        <v/>
      </c>
      <c r="X2728" s="152">
        <f>IF(W2728="","",1+COUNTIFS($W$4:$W$3003,"&gt;"&amp;W2728)+COUNTIFS($W$4:W2728,W2728)-1)</f>
        <v/>
      </c>
      <c r="Y2728" s="175">
        <f>IF(OR(I2728="",'02_대상물건입력'!B19="",'02_대상물건입력'!B19&lt;=0),"",ABS(I2728-'02_대상물건입력'!B19)/'02_대상물건입력'!B19)</f>
        <v/>
      </c>
      <c r="Z2728" s="172">
        <f>IF(OR(Y2728="",'01_설정'!B31="",'01_설정'!B31&lt;=0,'01_설정'!B32="",'01_설정'!B32&lt;=0),"",MAX(0,(1-Y2728/'01_설정'!B32))*'01_설정'!B31)</f>
        <v/>
      </c>
    </row>
    <row r="2729" ht="17.25" customHeight="1">
      <c r="A2729" s="152">
        <f>IF(INDEX('04A_국토부원자료'!$A:$A,ROW()+1)="","",ROW()-3)</f>
        <v/>
      </c>
      <c r="B2729" s="48">
        <f>IFERROR(INDEX('04A_국토부원자료'!$A:$T,ROW()+1,MATCH("시군구",'04A_국토부원자료'!$A$4:$T$4,0)),"")</f>
        <v/>
      </c>
      <c r="C2729" s="48">
        <f>IF(B2729="","",IFERROR(INDEX('04A_국토부원자료'!$A:$T,ROW()+1,MATCH("번지",'04A_국토부원자료'!$A$4:$T$4,0)),""))</f>
        <v/>
      </c>
      <c r="D2729" s="48">
        <f>IF(B2729="","",IF(Q2729=1,'02_대상물건입력'!$B$8,IFERROR(INDEX('04A_국토부원자료'!$A:$T,ROW()+1,MATCH("단지명",'04A_국토부원자료'!$A$4:$T$4,0)),"")))</f>
        <v/>
      </c>
      <c r="E2729" s="172">
        <f>IFERROR(VALUE(SUBSTITUTE(INDEX('04A_국토부원자료'!$A:$T,ROW()+1,MATCH("전용면적(㎡)",'04A_국토부원자료'!$A$4:$T$4,0)),",","")),"")</f>
        <v/>
      </c>
      <c r="F27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29" s="51">
        <f>IFERROR(VALUE(SUBSTITUTE(INDEX('04A_국토부원자료'!$A:$T,ROW()+1,MATCH("거래금액(만원)",'04A_국토부원자료'!$A$4:$T$4,0)),",","")),"")</f>
        <v/>
      </c>
      <c r="H2729" s="174">
        <f>IF(G2729="","",G2729*10000)</f>
        <v/>
      </c>
      <c r="I2729" s="174">
        <f>IFERROR(IF(AND(H2729&gt;0,E2729&gt;0),H2729/E2729,""),"")</f>
        <v/>
      </c>
      <c r="J2729" s="152">
        <f>IFERROR(VALUE(SUBSTITUTE(INDEX('04A_국토부원자료'!$A:$T,ROW()+1,MATCH("층",'04A_국토부원자료'!$A$4:$T$4,0)),",","")),"")</f>
        <v/>
      </c>
      <c r="K2729" s="152">
        <f>IFERROR(VALUE(SUBSTITUTE(INDEX('04A_국토부원자료'!$A:$T,ROW()+1,MATCH("건축년도",'04A_국토부원자료'!$A$4:$T$4,0)),",","")),"")</f>
        <v/>
      </c>
      <c r="L2729" s="48">
        <f>IFERROR(INDEX('04A_국토부원자료'!$A:$T,ROW()+1,MATCH("도로명",'04A_국토부원자료'!$A$4:$T$4,0)),"")</f>
        <v/>
      </c>
      <c r="M2729" s="48">
        <f>IFERROR(INDEX('04A_국토부원자료'!$A:$T,ROW()+1,MATCH("거래유형",'04A_국토부원자료'!$A$4:$T$4,0)),"")</f>
        <v/>
      </c>
      <c r="N2729" s="152">
        <f>IF(B2729="","",IF('02_대상물건입력'!B5="",1,IF(ISNUMBER(SEARCH('02_대상물건입력'!B5,B2729)),1,0)))</f>
        <v/>
      </c>
      <c r="O2729" s="152">
        <f>IF(B2729="","",IF('02_대상물건입력'!B6="",1,IF(ISNUMBER(SEARCH('02_대상물건입력'!B6,B2729)),1,0)))</f>
        <v/>
      </c>
      <c r="P2729" s="152">
        <f>IF(L2729="","",IF('02_대상물건입력'!B15="",0,IF(ISNUMBER(SEARCH('02_대상물건입력'!B15,L2729)),1,0)))</f>
        <v/>
      </c>
      <c r="Q2729" s="152">
        <f>IF(OR(C2729="",L2729=""),0,IF(AND(TRIM(C2729)=TRIM(RIGHT(SUBSTITUTE(TRIM('02_대상물건입력'!$B$7)," ",REPT(" ",99)),99)),IF('02_대상물건입력'!B15="",TRUE(),ISNUMBER(SEARCH('02_대상물건입력'!B15,L2729)))),1,0))</f>
        <v/>
      </c>
      <c r="R2729" s="175">
        <f>IFERROR(ABS(E2729-'02_대상물건입력'!B11)/'02_대상물건입력'!B11,"")</f>
        <v/>
      </c>
      <c r="S2729" s="152">
        <f>IFERROR(ABS(J2729-'02_대상물건입력'!B10),"")</f>
        <v/>
      </c>
      <c r="T2729" s="152">
        <f>IFERROR(ABS('01_설정'!B4-F2729),"")</f>
        <v/>
      </c>
      <c r="U2729" s="152">
        <f>IFERROR(ABS(K2729-YEAR('02_대상물건입력'!B14)),"")</f>
        <v/>
      </c>
      <c r="V2729" s="152">
        <f>IF(B2729="","",IF(AND(E2729&gt;0,F2729&gt;0,H2729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2729=1,TRUE()),R2729&lt;='01_설정'!B5,S2729&lt;='01_설정'!B6,T2729&lt;='01_설정'!B7,U2729&lt;='01_설정'!B8),"Y",""))</f>
        <v/>
      </c>
      <c r="W2729" s="172">
        <f>IF(V2729&lt;&gt;"Y","",MAX(0,(1-R2729/'01_설정'!B5))*'01_설정'!B14+MAX(0,(1-S2729/'01_설정'!B6))*'01_설정'!B15+MAX(0,(1-T2729/'01_설정'!B7))*'01_설정'!B16+MAX(0,(1-U2729/'01_설정'!B8))*'01_설정'!B17+O2729*'01_설정'!B11+Q2729*'01_설정'!B12+P2729*'01_설정'!B13+IF(Z2729="",0,Z2729))</f>
        <v/>
      </c>
      <c r="X2729" s="152">
        <f>IF(W2729="","",1+COUNTIFS($W$4:$W$3003,"&gt;"&amp;W2729)+COUNTIFS($W$4:W2729,W2729)-1)</f>
        <v/>
      </c>
      <c r="Y2729" s="175">
        <f>IF(OR(I2729="",'02_대상물건입력'!B19="",'02_대상물건입력'!B19&lt;=0),"",ABS(I2729-'02_대상물건입력'!B19)/'02_대상물건입력'!B19)</f>
        <v/>
      </c>
      <c r="Z2729" s="172">
        <f>IF(OR(Y2729="",'01_설정'!B31="",'01_설정'!B31&lt;=0,'01_설정'!B32="",'01_설정'!B32&lt;=0),"",MAX(0,(1-Y2729/'01_설정'!B32))*'01_설정'!B31)</f>
        <v/>
      </c>
    </row>
    <row r="2730" ht="17.25" customHeight="1">
      <c r="A2730" s="152">
        <f>IF(INDEX('04A_국토부원자료'!$A:$A,ROW()+1)="","",ROW()-3)</f>
        <v/>
      </c>
      <c r="B2730" s="48">
        <f>IFERROR(INDEX('04A_국토부원자료'!$A:$T,ROW()+1,MATCH("시군구",'04A_국토부원자료'!$A$4:$T$4,0)),"")</f>
        <v/>
      </c>
      <c r="C2730" s="48">
        <f>IF(B2730="","",IFERROR(INDEX('04A_국토부원자료'!$A:$T,ROW()+1,MATCH("번지",'04A_국토부원자료'!$A$4:$T$4,0)),""))</f>
        <v/>
      </c>
      <c r="D2730" s="48">
        <f>IF(B2730="","",IF(Q2730=1,'02_대상물건입력'!$B$8,IFERROR(INDEX('04A_국토부원자료'!$A:$T,ROW()+1,MATCH("단지명",'04A_국토부원자료'!$A$4:$T$4,0)),"")))</f>
        <v/>
      </c>
      <c r="E2730" s="172">
        <f>IFERROR(VALUE(SUBSTITUTE(INDEX('04A_국토부원자료'!$A:$T,ROW()+1,MATCH("전용면적(㎡)",'04A_국토부원자료'!$A$4:$T$4,0)),",","")),"")</f>
        <v/>
      </c>
      <c r="F27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30" s="51">
        <f>IFERROR(VALUE(SUBSTITUTE(INDEX('04A_국토부원자료'!$A:$T,ROW()+1,MATCH("거래금액(만원)",'04A_국토부원자료'!$A$4:$T$4,0)),",","")),"")</f>
        <v/>
      </c>
      <c r="H2730" s="174">
        <f>IF(G2730="","",G2730*10000)</f>
        <v/>
      </c>
      <c r="I2730" s="174">
        <f>IFERROR(IF(AND(H2730&gt;0,E2730&gt;0),H2730/E2730,""),"")</f>
        <v/>
      </c>
      <c r="J2730" s="152">
        <f>IFERROR(VALUE(SUBSTITUTE(INDEX('04A_국토부원자료'!$A:$T,ROW()+1,MATCH("층",'04A_국토부원자료'!$A$4:$T$4,0)),",","")),"")</f>
        <v/>
      </c>
      <c r="K2730" s="152">
        <f>IFERROR(VALUE(SUBSTITUTE(INDEX('04A_국토부원자료'!$A:$T,ROW()+1,MATCH("건축년도",'04A_국토부원자료'!$A$4:$T$4,0)),",","")),"")</f>
        <v/>
      </c>
      <c r="L2730" s="48">
        <f>IFERROR(INDEX('04A_국토부원자료'!$A:$T,ROW()+1,MATCH("도로명",'04A_국토부원자료'!$A$4:$T$4,0)),"")</f>
        <v/>
      </c>
      <c r="M2730" s="48">
        <f>IFERROR(INDEX('04A_국토부원자료'!$A:$T,ROW()+1,MATCH("거래유형",'04A_국토부원자료'!$A$4:$T$4,0)),"")</f>
        <v/>
      </c>
      <c r="N2730" s="152">
        <f>IF(B2730="","",IF('02_대상물건입력'!B5="",1,IF(ISNUMBER(SEARCH('02_대상물건입력'!B5,B2730)),1,0)))</f>
        <v/>
      </c>
      <c r="O2730" s="152">
        <f>IF(B2730="","",IF('02_대상물건입력'!B6="",1,IF(ISNUMBER(SEARCH('02_대상물건입력'!B6,B2730)),1,0)))</f>
        <v/>
      </c>
      <c r="P2730" s="152">
        <f>IF(L2730="","",IF('02_대상물건입력'!B15="",0,IF(ISNUMBER(SEARCH('02_대상물건입력'!B15,L2730)),1,0)))</f>
        <v/>
      </c>
      <c r="Q2730" s="152">
        <f>IF(OR(C2730="",L2730=""),0,IF(AND(TRIM(C2730)=TRIM(RIGHT(SUBSTITUTE(TRIM('02_대상물건입력'!$B$7)," ",REPT(" ",99)),99)),IF('02_대상물건입력'!B15="",TRUE(),ISNUMBER(SEARCH('02_대상물건입력'!B15,L2730)))),1,0))</f>
        <v/>
      </c>
      <c r="R2730" s="175">
        <f>IFERROR(ABS(E2730-'02_대상물건입력'!B11)/'02_대상물건입력'!B11,"")</f>
        <v/>
      </c>
      <c r="S2730" s="152">
        <f>IFERROR(ABS(J2730-'02_대상물건입력'!B10),"")</f>
        <v/>
      </c>
      <c r="T2730" s="152">
        <f>IFERROR(ABS('01_설정'!B4-F2730),"")</f>
        <v/>
      </c>
      <c r="U2730" s="152">
        <f>IFERROR(ABS(K2730-YEAR('02_대상물건입력'!B14)),"")</f>
        <v/>
      </c>
      <c r="V2730" s="152">
        <f>IF(B2730="","",IF(AND(E2730&gt;0,F2730&gt;0,H2730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2730=1,TRUE()),R2730&lt;='01_설정'!B5,S2730&lt;='01_설정'!B6,T2730&lt;='01_설정'!B7,U2730&lt;='01_설정'!B8),"Y",""))</f>
        <v/>
      </c>
      <c r="W2730" s="172">
        <f>IF(V2730&lt;&gt;"Y","",MAX(0,(1-R2730/'01_설정'!B5))*'01_설정'!B14+MAX(0,(1-S2730/'01_설정'!B6))*'01_설정'!B15+MAX(0,(1-T2730/'01_설정'!B7))*'01_설정'!B16+MAX(0,(1-U2730/'01_설정'!B8))*'01_설정'!B17+O2730*'01_설정'!B11+Q2730*'01_설정'!B12+P2730*'01_설정'!B13+IF(Z2730="",0,Z2730))</f>
        <v/>
      </c>
      <c r="X2730" s="152">
        <f>IF(W2730="","",1+COUNTIFS($W$4:$W$3003,"&gt;"&amp;W2730)+COUNTIFS($W$4:W2730,W2730)-1)</f>
        <v/>
      </c>
      <c r="Y2730" s="175">
        <f>IF(OR(I2730="",'02_대상물건입력'!B19="",'02_대상물건입력'!B19&lt;=0),"",ABS(I2730-'02_대상물건입력'!B19)/'02_대상물건입력'!B19)</f>
        <v/>
      </c>
      <c r="Z2730" s="172">
        <f>IF(OR(Y2730="",'01_설정'!B31="",'01_설정'!B31&lt;=0,'01_설정'!B32="",'01_설정'!B32&lt;=0),"",MAX(0,(1-Y2730/'01_설정'!B32))*'01_설정'!B31)</f>
        <v/>
      </c>
    </row>
    <row r="2731" ht="17.25" customHeight="1">
      <c r="A2731" s="152">
        <f>IF(INDEX('04A_국토부원자료'!$A:$A,ROW()+1)="","",ROW()-3)</f>
        <v/>
      </c>
      <c r="B2731" s="48">
        <f>IFERROR(INDEX('04A_국토부원자료'!$A:$T,ROW()+1,MATCH("시군구",'04A_국토부원자료'!$A$4:$T$4,0)),"")</f>
        <v/>
      </c>
      <c r="C2731" s="48">
        <f>IF(B2731="","",IFERROR(INDEX('04A_국토부원자료'!$A:$T,ROW()+1,MATCH("번지",'04A_국토부원자료'!$A$4:$T$4,0)),""))</f>
        <v/>
      </c>
      <c r="D2731" s="48">
        <f>IF(B2731="","",IF(Q2731=1,'02_대상물건입력'!$B$8,IFERROR(INDEX('04A_국토부원자료'!$A:$T,ROW()+1,MATCH("단지명",'04A_국토부원자료'!$A$4:$T$4,0)),"")))</f>
        <v/>
      </c>
      <c r="E2731" s="172">
        <f>IFERROR(VALUE(SUBSTITUTE(INDEX('04A_국토부원자료'!$A:$T,ROW()+1,MATCH("전용면적(㎡)",'04A_국토부원자료'!$A$4:$T$4,0)),",","")),"")</f>
        <v/>
      </c>
      <c r="F27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31" s="51">
        <f>IFERROR(VALUE(SUBSTITUTE(INDEX('04A_국토부원자료'!$A:$T,ROW()+1,MATCH("거래금액(만원)",'04A_국토부원자료'!$A$4:$T$4,0)),",","")),"")</f>
        <v/>
      </c>
      <c r="H2731" s="174">
        <f>IF(G2731="","",G2731*10000)</f>
        <v/>
      </c>
      <c r="I2731" s="174">
        <f>IFERROR(IF(AND(H2731&gt;0,E2731&gt;0),H2731/E2731,""),"")</f>
        <v/>
      </c>
      <c r="J2731" s="152">
        <f>IFERROR(VALUE(SUBSTITUTE(INDEX('04A_국토부원자료'!$A:$T,ROW()+1,MATCH("층",'04A_국토부원자료'!$A$4:$T$4,0)),",","")),"")</f>
        <v/>
      </c>
      <c r="K2731" s="152">
        <f>IFERROR(VALUE(SUBSTITUTE(INDEX('04A_국토부원자료'!$A:$T,ROW()+1,MATCH("건축년도",'04A_국토부원자료'!$A$4:$T$4,0)),",","")),"")</f>
        <v/>
      </c>
      <c r="L2731" s="48">
        <f>IFERROR(INDEX('04A_국토부원자료'!$A:$T,ROW()+1,MATCH("도로명",'04A_국토부원자료'!$A$4:$T$4,0)),"")</f>
        <v/>
      </c>
      <c r="M2731" s="48">
        <f>IFERROR(INDEX('04A_국토부원자료'!$A:$T,ROW()+1,MATCH("거래유형",'04A_국토부원자료'!$A$4:$T$4,0)),"")</f>
        <v/>
      </c>
      <c r="N2731" s="152">
        <f>IF(B2731="","",IF('02_대상물건입력'!B5="",1,IF(ISNUMBER(SEARCH('02_대상물건입력'!B5,B2731)),1,0)))</f>
        <v/>
      </c>
      <c r="O2731" s="152">
        <f>IF(B2731="","",IF('02_대상물건입력'!B6="",1,IF(ISNUMBER(SEARCH('02_대상물건입력'!B6,B2731)),1,0)))</f>
        <v/>
      </c>
      <c r="P2731" s="152">
        <f>IF(L2731="","",IF('02_대상물건입력'!B15="",0,IF(ISNUMBER(SEARCH('02_대상물건입력'!B15,L2731)),1,0)))</f>
        <v/>
      </c>
      <c r="Q2731" s="152">
        <f>IF(OR(C2731="",L2731=""),0,IF(AND(TRIM(C2731)=TRIM(RIGHT(SUBSTITUTE(TRIM('02_대상물건입력'!$B$7)," ",REPT(" ",99)),99)),IF('02_대상물건입력'!B15="",TRUE(),ISNUMBER(SEARCH('02_대상물건입력'!B15,L2731)))),1,0))</f>
        <v/>
      </c>
      <c r="R2731" s="175">
        <f>IFERROR(ABS(E2731-'02_대상물건입력'!B11)/'02_대상물건입력'!B11,"")</f>
        <v/>
      </c>
      <c r="S2731" s="152">
        <f>IFERROR(ABS(J2731-'02_대상물건입력'!B10),"")</f>
        <v/>
      </c>
      <c r="T2731" s="152">
        <f>IFERROR(ABS('01_설정'!B4-F2731),"")</f>
        <v/>
      </c>
      <c r="U2731" s="152">
        <f>IFERROR(ABS(K2731-YEAR('02_대상물건입력'!B14)),"")</f>
        <v/>
      </c>
      <c r="V2731" s="152">
        <f>IF(B2731="","",IF(AND(E2731&gt;0,F2731&gt;0,H2731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2731=1,TRUE()),R2731&lt;='01_설정'!B5,S2731&lt;='01_설정'!B6,T2731&lt;='01_설정'!B7,U2731&lt;='01_설정'!B8),"Y",""))</f>
        <v/>
      </c>
      <c r="W2731" s="172">
        <f>IF(V2731&lt;&gt;"Y","",MAX(0,(1-R2731/'01_설정'!B5))*'01_설정'!B14+MAX(0,(1-S2731/'01_설정'!B6))*'01_설정'!B15+MAX(0,(1-T2731/'01_설정'!B7))*'01_설정'!B16+MAX(0,(1-U2731/'01_설정'!B8))*'01_설정'!B17+O2731*'01_설정'!B11+Q2731*'01_설정'!B12+P2731*'01_설정'!B13+IF(Z2731="",0,Z2731))</f>
        <v/>
      </c>
      <c r="X2731" s="152">
        <f>IF(W2731="","",1+COUNTIFS($W$4:$W$3003,"&gt;"&amp;W2731)+COUNTIFS($W$4:W2731,W2731)-1)</f>
        <v/>
      </c>
      <c r="Y2731" s="175">
        <f>IF(OR(I2731="",'02_대상물건입력'!B19="",'02_대상물건입력'!B19&lt;=0),"",ABS(I2731-'02_대상물건입력'!B19)/'02_대상물건입력'!B19)</f>
        <v/>
      </c>
      <c r="Z2731" s="172">
        <f>IF(OR(Y2731="",'01_설정'!B31="",'01_설정'!B31&lt;=0,'01_설정'!B32="",'01_설정'!B32&lt;=0),"",MAX(0,(1-Y2731/'01_설정'!B32))*'01_설정'!B31)</f>
        <v/>
      </c>
    </row>
    <row r="2732" ht="17.25" customHeight="1">
      <c r="A2732" s="152">
        <f>IF(INDEX('04A_국토부원자료'!$A:$A,ROW()+1)="","",ROW()-3)</f>
        <v/>
      </c>
      <c r="B2732" s="48">
        <f>IFERROR(INDEX('04A_국토부원자료'!$A:$T,ROW()+1,MATCH("시군구",'04A_국토부원자료'!$A$4:$T$4,0)),"")</f>
        <v/>
      </c>
      <c r="C2732" s="48">
        <f>IF(B2732="","",IFERROR(INDEX('04A_국토부원자료'!$A:$T,ROW()+1,MATCH("번지",'04A_국토부원자료'!$A$4:$T$4,0)),""))</f>
        <v/>
      </c>
      <c r="D2732" s="48">
        <f>IF(B2732="","",IF(Q2732=1,'02_대상물건입력'!$B$8,IFERROR(INDEX('04A_국토부원자료'!$A:$T,ROW()+1,MATCH("단지명",'04A_국토부원자료'!$A$4:$T$4,0)),"")))</f>
        <v/>
      </c>
      <c r="E2732" s="172">
        <f>IFERROR(VALUE(SUBSTITUTE(INDEX('04A_국토부원자료'!$A:$T,ROW()+1,MATCH("전용면적(㎡)",'04A_국토부원자료'!$A$4:$T$4,0)),",","")),"")</f>
        <v/>
      </c>
      <c r="F27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32" s="51">
        <f>IFERROR(VALUE(SUBSTITUTE(INDEX('04A_국토부원자료'!$A:$T,ROW()+1,MATCH("거래금액(만원)",'04A_국토부원자료'!$A$4:$T$4,0)),",","")),"")</f>
        <v/>
      </c>
      <c r="H2732" s="174">
        <f>IF(G2732="","",G2732*10000)</f>
        <v/>
      </c>
      <c r="I2732" s="174">
        <f>IFERROR(IF(AND(H2732&gt;0,E2732&gt;0),H2732/E2732,""),"")</f>
        <v/>
      </c>
      <c r="J2732" s="152">
        <f>IFERROR(VALUE(SUBSTITUTE(INDEX('04A_국토부원자료'!$A:$T,ROW()+1,MATCH("층",'04A_국토부원자료'!$A$4:$T$4,0)),",","")),"")</f>
        <v/>
      </c>
      <c r="K2732" s="152">
        <f>IFERROR(VALUE(SUBSTITUTE(INDEX('04A_국토부원자료'!$A:$T,ROW()+1,MATCH("건축년도",'04A_국토부원자료'!$A$4:$T$4,0)),",","")),"")</f>
        <v/>
      </c>
      <c r="L2732" s="48">
        <f>IFERROR(INDEX('04A_국토부원자료'!$A:$T,ROW()+1,MATCH("도로명",'04A_국토부원자료'!$A$4:$T$4,0)),"")</f>
        <v/>
      </c>
      <c r="M2732" s="48">
        <f>IFERROR(INDEX('04A_국토부원자료'!$A:$T,ROW()+1,MATCH("거래유형",'04A_국토부원자료'!$A$4:$T$4,0)),"")</f>
        <v/>
      </c>
      <c r="N2732" s="152">
        <f>IF(B2732="","",IF('02_대상물건입력'!B5="",1,IF(ISNUMBER(SEARCH('02_대상물건입력'!B5,B2732)),1,0)))</f>
        <v/>
      </c>
      <c r="O2732" s="152">
        <f>IF(B2732="","",IF('02_대상물건입력'!B6="",1,IF(ISNUMBER(SEARCH('02_대상물건입력'!B6,B2732)),1,0)))</f>
        <v/>
      </c>
      <c r="P2732" s="152">
        <f>IF(L2732="","",IF('02_대상물건입력'!B15="",0,IF(ISNUMBER(SEARCH('02_대상물건입력'!B15,L2732)),1,0)))</f>
        <v/>
      </c>
      <c r="Q2732" s="152">
        <f>IF(OR(C2732="",L2732=""),0,IF(AND(TRIM(C2732)=TRIM(RIGHT(SUBSTITUTE(TRIM('02_대상물건입력'!$B$7)," ",REPT(" ",99)),99)),IF('02_대상물건입력'!B15="",TRUE(),ISNUMBER(SEARCH('02_대상물건입력'!B15,L2732)))),1,0))</f>
        <v/>
      </c>
      <c r="R2732" s="175">
        <f>IFERROR(ABS(E2732-'02_대상물건입력'!B11)/'02_대상물건입력'!B11,"")</f>
        <v/>
      </c>
      <c r="S2732" s="152">
        <f>IFERROR(ABS(J2732-'02_대상물건입력'!B10),"")</f>
        <v/>
      </c>
      <c r="T2732" s="152">
        <f>IFERROR(ABS('01_설정'!B4-F2732),"")</f>
        <v/>
      </c>
      <c r="U2732" s="152">
        <f>IFERROR(ABS(K2732-YEAR('02_대상물건입력'!B14)),"")</f>
        <v/>
      </c>
      <c r="V2732" s="152">
        <f>IF(B2732="","",IF(AND(E2732&gt;0,F2732&gt;0,H2732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2732=1,TRUE()),R2732&lt;='01_설정'!B5,S2732&lt;='01_설정'!B6,T2732&lt;='01_설정'!B7,U2732&lt;='01_설정'!B8),"Y",""))</f>
        <v/>
      </c>
      <c r="W2732" s="172">
        <f>IF(V2732&lt;&gt;"Y","",MAX(0,(1-R2732/'01_설정'!B5))*'01_설정'!B14+MAX(0,(1-S2732/'01_설정'!B6))*'01_설정'!B15+MAX(0,(1-T2732/'01_설정'!B7))*'01_설정'!B16+MAX(0,(1-U2732/'01_설정'!B8))*'01_설정'!B17+O2732*'01_설정'!B11+Q2732*'01_설정'!B12+P2732*'01_설정'!B13+IF(Z2732="",0,Z2732))</f>
        <v/>
      </c>
      <c r="X2732" s="152">
        <f>IF(W2732="","",1+COUNTIFS($W$4:$W$3003,"&gt;"&amp;W2732)+COUNTIFS($W$4:W2732,W2732)-1)</f>
        <v/>
      </c>
      <c r="Y2732" s="175">
        <f>IF(OR(I2732="",'02_대상물건입력'!B19="",'02_대상물건입력'!B19&lt;=0),"",ABS(I2732-'02_대상물건입력'!B19)/'02_대상물건입력'!B19)</f>
        <v/>
      </c>
      <c r="Z2732" s="172">
        <f>IF(OR(Y2732="",'01_설정'!B31="",'01_설정'!B31&lt;=0,'01_설정'!B32="",'01_설정'!B32&lt;=0),"",MAX(0,(1-Y2732/'01_설정'!B32))*'01_설정'!B31)</f>
        <v/>
      </c>
    </row>
    <row r="2733" ht="17.25" customHeight="1">
      <c r="A2733" s="152">
        <f>IF(INDEX('04A_국토부원자료'!$A:$A,ROW()+1)="","",ROW()-3)</f>
        <v/>
      </c>
      <c r="B2733" s="48">
        <f>IFERROR(INDEX('04A_국토부원자료'!$A:$T,ROW()+1,MATCH("시군구",'04A_국토부원자료'!$A$4:$T$4,0)),"")</f>
        <v/>
      </c>
      <c r="C2733" s="48">
        <f>IF(B2733="","",IFERROR(INDEX('04A_국토부원자료'!$A:$T,ROW()+1,MATCH("번지",'04A_국토부원자료'!$A$4:$T$4,0)),""))</f>
        <v/>
      </c>
      <c r="D2733" s="48">
        <f>IF(B2733="","",IF(Q2733=1,'02_대상물건입력'!$B$8,IFERROR(INDEX('04A_국토부원자료'!$A:$T,ROW()+1,MATCH("단지명",'04A_국토부원자료'!$A$4:$T$4,0)),"")))</f>
        <v/>
      </c>
      <c r="E2733" s="172">
        <f>IFERROR(VALUE(SUBSTITUTE(INDEX('04A_국토부원자료'!$A:$T,ROW()+1,MATCH("전용면적(㎡)",'04A_국토부원자료'!$A$4:$T$4,0)),",","")),"")</f>
        <v/>
      </c>
      <c r="F27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33" s="51">
        <f>IFERROR(VALUE(SUBSTITUTE(INDEX('04A_국토부원자료'!$A:$T,ROW()+1,MATCH("거래금액(만원)",'04A_국토부원자료'!$A$4:$T$4,0)),",","")),"")</f>
        <v/>
      </c>
      <c r="H2733" s="174">
        <f>IF(G2733="","",G2733*10000)</f>
        <v/>
      </c>
      <c r="I2733" s="174">
        <f>IFERROR(IF(AND(H2733&gt;0,E2733&gt;0),H2733/E2733,""),"")</f>
        <v/>
      </c>
      <c r="J2733" s="152">
        <f>IFERROR(VALUE(SUBSTITUTE(INDEX('04A_국토부원자료'!$A:$T,ROW()+1,MATCH("층",'04A_국토부원자료'!$A$4:$T$4,0)),",","")),"")</f>
        <v/>
      </c>
      <c r="K2733" s="152">
        <f>IFERROR(VALUE(SUBSTITUTE(INDEX('04A_국토부원자료'!$A:$T,ROW()+1,MATCH("건축년도",'04A_국토부원자료'!$A$4:$T$4,0)),",","")),"")</f>
        <v/>
      </c>
      <c r="L2733" s="48">
        <f>IFERROR(INDEX('04A_국토부원자료'!$A:$T,ROW()+1,MATCH("도로명",'04A_국토부원자료'!$A$4:$T$4,0)),"")</f>
        <v/>
      </c>
      <c r="M2733" s="48">
        <f>IFERROR(INDEX('04A_국토부원자료'!$A:$T,ROW()+1,MATCH("거래유형",'04A_국토부원자료'!$A$4:$T$4,0)),"")</f>
        <v/>
      </c>
      <c r="N2733" s="152">
        <f>IF(B2733="","",IF('02_대상물건입력'!B5="",1,IF(ISNUMBER(SEARCH('02_대상물건입력'!B5,B2733)),1,0)))</f>
        <v/>
      </c>
      <c r="O2733" s="152">
        <f>IF(B2733="","",IF('02_대상물건입력'!B6="",1,IF(ISNUMBER(SEARCH('02_대상물건입력'!B6,B2733)),1,0)))</f>
        <v/>
      </c>
      <c r="P2733" s="152">
        <f>IF(L2733="","",IF('02_대상물건입력'!B15="",0,IF(ISNUMBER(SEARCH('02_대상물건입력'!B15,L2733)),1,0)))</f>
        <v/>
      </c>
      <c r="Q2733" s="152">
        <f>IF(OR(C2733="",L2733=""),0,IF(AND(TRIM(C2733)=TRIM(RIGHT(SUBSTITUTE(TRIM('02_대상물건입력'!$B$7)," ",REPT(" ",99)),99)),IF('02_대상물건입력'!B15="",TRUE(),ISNUMBER(SEARCH('02_대상물건입력'!B15,L2733)))),1,0))</f>
        <v/>
      </c>
      <c r="R2733" s="175">
        <f>IFERROR(ABS(E2733-'02_대상물건입력'!B11)/'02_대상물건입력'!B11,"")</f>
        <v/>
      </c>
      <c r="S2733" s="152">
        <f>IFERROR(ABS(J2733-'02_대상물건입력'!B10),"")</f>
        <v/>
      </c>
      <c r="T2733" s="152">
        <f>IFERROR(ABS('01_설정'!B4-F2733),"")</f>
        <v/>
      </c>
      <c r="U2733" s="152">
        <f>IFERROR(ABS(K2733-YEAR('02_대상물건입력'!B14)),"")</f>
        <v/>
      </c>
      <c r="V2733" s="152">
        <f>IF(B2733="","",IF(AND(E2733&gt;0,F2733&gt;0,H2733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2733=1,TRUE()),R2733&lt;='01_설정'!B5,S2733&lt;='01_설정'!B6,T2733&lt;='01_설정'!B7,U2733&lt;='01_설정'!B8),"Y",""))</f>
        <v/>
      </c>
      <c r="W2733" s="172">
        <f>IF(V2733&lt;&gt;"Y","",MAX(0,(1-R2733/'01_설정'!B5))*'01_설정'!B14+MAX(0,(1-S2733/'01_설정'!B6))*'01_설정'!B15+MAX(0,(1-T2733/'01_설정'!B7))*'01_설정'!B16+MAX(0,(1-U2733/'01_설정'!B8))*'01_설정'!B17+O2733*'01_설정'!B11+Q2733*'01_설정'!B12+P2733*'01_설정'!B13+IF(Z2733="",0,Z2733))</f>
        <v/>
      </c>
      <c r="X2733" s="152">
        <f>IF(W2733="","",1+COUNTIFS($W$4:$W$3003,"&gt;"&amp;W2733)+COUNTIFS($W$4:W2733,W2733)-1)</f>
        <v/>
      </c>
      <c r="Y2733" s="175">
        <f>IF(OR(I2733="",'02_대상물건입력'!B19="",'02_대상물건입력'!B19&lt;=0),"",ABS(I2733-'02_대상물건입력'!B19)/'02_대상물건입력'!B19)</f>
        <v/>
      </c>
      <c r="Z2733" s="172">
        <f>IF(OR(Y2733="",'01_설정'!B31="",'01_설정'!B31&lt;=0,'01_설정'!B32="",'01_설정'!B32&lt;=0),"",MAX(0,(1-Y2733/'01_설정'!B32))*'01_설정'!B31)</f>
        <v/>
      </c>
    </row>
    <row r="2734" ht="17.25" customHeight="1">
      <c r="A2734" s="152">
        <f>IF(INDEX('04A_국토부원자료'!$A:$A,ROW()+1)="","",ROW()-3)</f>
        <v/>
      </c>
      <c r="B2734" s="48">
        <f>IFERROR(INDEX('04A_국토부원자료'!$A:$T,ROW()+1,MATCH("시군구",'04A_국토부원자료'!$A$4:$T$4,0)),"")</f>
        <v/>
      </c>
      <c r="C2734" s="48">
        <f>IF(B2734="","",IFERROR(INDEX('04A_국토부원자료'!$A:$T,ROW()+1,MATCH("번지",'04A_국토부원자료'!$A$4:$T$4,0)),""))</f>
        <v/>
      </c>
      <c r="D2734" s="48">
        <f>IF(B2734="","",IF(Q2734=1,'02_대상물건입력'!$B$8,IFERROR(INDEX('04A_국토부원자료'!$A:$T,ROW()+1,MATCH("단지명",'04A_국토부원자료'!$A$4:$T$4,0)),"")))</f>
        <v/>
      </c>
      <c r="E2734" s="172">
        <f>IFERROR(VALUE(SUBSTITUTE(INDEX('04A_국토부원자료'!$A:$T,ROW()+1,MATCH("전용면적(㎡)",'04A_국토부원자료'!$A$4:$T$4,0)),",","")),"")</f>
        <v/>
      </c>
      <c r="F27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34" s="51">
        <f>IFERROR(VALUE(SUBSTITUTE(INDEX('04A_국토부원자료'!$A:$T,ROW()+1,MATCH("거래금액(만원)",'04A_국토부원자료'!$A$4:$T$4,0)),",","")),"")</f>
        <v/>
      </c>
      <c r="H2734" s="174">
        <f>IF(G2734="","",G2734*10000)</f>
        <v/>
      </c>
      <c r="I2734" s="174">
        <f>IFERROR(IF(AND(H2734&gt;0,E2734&gt;0),H2734/E2734,""),"")</f>
        <v/>
      </c>
      <c r="J2734" s="152">
        <f>IFERROR(VALUE(SUBSTITUTE(INDEX('04A_국토부원자료'!$A:$T,ROW()+1,MATCH("층",'04A_국토부원자료'!$A$4:$T$4,0)),",","")),"")</f>
        <v/>
      </c>
      <c r="K2734" s="152">
        <f>IFERROR(VALUE(SUBSTITUTE(INDEX('04A_국토부원자료'!$A:$T,ROW()+1,MATCH("건축년도",'04A_국토부원자료'!$A$4:$T$4,0)),",","")),"")</f>
        <v/>
      </c>
      <c r="L2734" s="48">
        <f>IFERROR(INDEX('04A_국토부원자료'!$A:$T,ROW()+1,MATCH("도로명",'04A_국토부원자료'!$A$4:$T$4,0)),"")</f>
        <v/>
      </c>
      <c r="M2734" s="48">
        <f>IFERROR(INDEX('04A_국토부원자료'!$A:$T,ROW()+1,MATCH("거래유형",'04A_국토부원자료'!$A$4:$T$4,0)),"")</f>
        <v/>
      </c>
      <c r="N2734" s="152">
        <f>IF(B2734="","",IF('02_대상물건입력'!B5="",1,IF(ISNUMBER(SEARCH('02_대상물건입력'!B5,B2734)),1,0)))</f>
        <v/>
      </c>
      <c r="O2734" s="152">
        <f>IF(B2734="","",IF('02_대상물건입력'!B6="",1,IF(ISNUMBER(SEARCH('02_대상물건입력'!B6,B2734)),1,0)))</f>
        <v/>
      </c>
      <c r="P2734" s="152">
        <f>IF(L2734="","",IF('02_대상물건입력'!B15="",0,IF(ISNUMBER(SEARCH('02_대상물건입력'!B15,L2734)),1,0)))</f>
        <v/>
      </c>
      <c r="Q2734" s="152">
        <f>IF(OR(C2734="",L2734=""),0,IF(AND(TRIM(C2734)=TRIM(RIGHT(SUBSTITUTE(TRIM('02_대상물건입력'!$B$7)," ",REPT(" ",99)),99)),IF('02_대상물건입력'!B15="",TRUE(),ISNUMBER(SEARCH('02_대상물건입력'!B15,L2734)))),1,0))</f>
        <v/>
      </c>
      <c r="R2734" s="175">
        <f>IFERROR(ABS(E2734-'02_대상물건입력'!B11)/'02_대상물건입력'!B11,"")</f>
        <v/>
      </c>
      <c r="S2734" s="152">
        <f>IFERROR(ABS(J2734-'02_대상물건입력'!B10),"")</f>
        <v/>
      </c>
      <c r="T2734" s="152">
        <f>IFERROR(ABS('01_설정'!B4-F2734),"")</f>
        <v/>
      </c>
      <c r="U2734" s="152">
        <f>IFERROR(ABS(K2734-YEAR('02_대상물건입력'!B14)),"")</f>
        <v/>
      </c>
      <c r="V2734" s="152">
        <f>IF(B2734="","",IF(AND(E2734&gt;0,F2734&gt;0,H2734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2734=1,TRUE()),R2734&lt;='01_설정'!B5,S2734&lt;='01_설정'!B6,T2734&lt;='01_설정'!B7,U2734&lt;='01_설정'!B8),"Y",""))</f>
        <v/>
      </c>
      <c r="W2734" s="172">
        <f>IF(V2734&lt;&gt;"Y","",MAX(0,(1-R2734/'01_설정'!B5))*'01_설정'!B14+MAX(0,(1-S2734/'01_설정'!B6))*'01_설정'!B15+MAX(0,(1-T2734/'01_설정'!B7))*'01_설정'!B16+MAX(0,(1-U2734/'01_설정'!B8))*'01_설정'!B17+O2734*'01_설정'!B11+Q2734*'01_설정'!B12+P2734*'01_설정'!B13+IF(Z2734="",0,Z2734))</f>
        <v/>
      </c>
      <c r="X2734" s="152">
        <f>IF(W2734="","",1+COUNTIFS($W$4:$W$3003,"&gt;"&amp;W2734)+COUNTIFS($W$4:W2734,W2734)-1)</f>
        <v/>
      </c>
      <c r="Y2734" s="175">
        <f>IF(OR(I2734="",'02_대상물건입력'!B19="",'02_대상물건입력'!B19&lt;=0),"",ABS(I2734-'02_대상물건입력'!B19)/'02_대상물건입력'!B19)</f>
        <v/>
      </c>
      <c r="Z2734" s="172">
        <f>IF(OR(Y2734="",'01_설정'!B31="",'01_설정'!B31&lt;=0,'01_설정'!B32="",'01_설정'!B32&lt;=0),"",MAX(0,(1-Y2734/'01_설정'!B32))*'01_설정'!B31)</f>
        <v/>
      </c>
    </row>
    <row r="2735" ht="17.25" customHeight="1">
      <c r="A2735" s="152">
        <f>IF(INDEX('04A_국토부원자료'!$A:$A,ROW()+1)="","",ROW()-3)</f>
        <v/>
      </c>
      <c r="B2735" s="48">
        <f>IFERROR(INDEX('04A_국토부원자료'!$A:$T,ROW()+1,MATCH("시군구",'04A_국토부원자료'!$A$4:$T$4,0)),"")</f>
        <v/>
      </c>
      <c r="C2735" s="48">
        <f>IF(B2735="","",IFERROR(INDEX('04A_국토부원자료'!$A:$T,ROW()+1,MATCH("번지",'04A_국토부원자료'!$A$4:$T$4,0)),""))</f>
        <v/>
      </c>
      <c r="D2735" s="48">
        <f>IF(B2735="","",IF(Q2735=1,'02_대상물건입력'!$B$8,IFERROR(INDEX('04A_국토부원자료'!$A:$T,ROW()+1,MATCH("단지명",'04A_국토부원자료'!$A$4:$T$4,0)),"")))</f>
        <v/>
      </c>
      <c r="E2735" s="172">
        <f>IFERROR(VALUE(SUBSTITUTE(INDEX('04A_국토부원자료'!$A:$T,ROW()+1,MATCH("전용면적(㎡)",'04A_국토부원자료'!$A$4:$T$4,0)),",","")),"")</f>
        <v/>
      </c>
      <c r="F27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35" s="51">
        <f>IFERROR(VALUE(SUBSTITUTE(INDEX('04A_국토부원자료'!$A:$T,ROW()+1,MATCH("거래금액(만원)",'04A_국토부원자료'!$A$4:$T$4,0)),",","")),"")</f>
        <v/>
      </c>
      <c r="H2735" s="174">
        <f>IF(G2735="","",G2735*10000)</f>
        <v/>
      </c>
      <c r="I2735" s="174">
        <f>IFERROR(IF(AND(H2735&gt;0,E2735&gt;0),H2735/E2735,""),"")</f>
        <v/>
      </c>
      <c r="J2735" s="152">
        <f>IFERROR(VALUE(SUBSTITUTE(INDEX('04A_국토부원자료'!$A:$T,ROW()+1,MATCH("층",'04A_국토부원자료'!$A$4:$T$4,0)),",","")),"")</f>
        <v/>
      </c>
      <c r="K2735" s="152">
        <f>IFERROR(VALUE(SUBSTITUTE(INDEX('04A_국토부원자료'!$A:$T,ROW()+1,MATCH("건축년도",'04A_국토부원자료'!$A$4:$T$4,0)),",","")),"")</f>
        <v/>
      </c>
      <c r="L2735" s="48">
        <f>IFERROR(INDEX('04A_국토부원자료'!$A:$T,ROW()+1,MATCH("도로명",'04A_국토부원자료'!$A$4:$T$4,0)),"")</f>
        <v/>
      </c>
      <c r="M2735" s="48">
        <f>IFERROR(INDEX('04A_국토부원자료'!$A:$T,ROW()+1,MATCH("거래유형",'04A_국토부원자료'!$A$4:$T$4,0)),"")</f>
        <v/>
      </c>
      <c r="N2735" s="152">
        <f>IF(B2735="","",IF('02_대상물건입력'!B5="",1,IF(ISNUMBER(SEARCH('02_대상물건입력'!B5,B2735)),1,0)))</f>
        <v/>
      </c>
      <c r="O2735" s="152">
        <f>IF(B2735="","",IF('02_대상물건입력'!B6="",1,IF(ISNUMBER(SEARCH('02_대상물건입력'!B6,B2735)),1,0)))</f>
        <v/>
      </c>
      <c r="P2735" s="152">
        <f>IF(L2735="","",IF('02_대상물건입력'!B15="",0,IF(ISNUMBER(SEARCH('02_대상물건입력'!B15,L2735)),1,0)))</f>
        <v/>
      </c>
      <c r="Q2735" s="152">
        <f>IF(OR(C2735="",L2735=""),0,IF(AND(TRIM(C2735)=TRIM(RIGHT(SUBSTITUTE(TRIM('02_대상물건입력'!$B$7)," ",REPT(" ",99)),99)),IF('02_대상물건입력'!B15="",TRUE(),ISNUMBER(SEARCH('02_대상물건입력'!B15,L2735)))),1,0))</f>
        <v/>
      </c>
      <c r="R2735" s="175">
        <f>IFERROR(ABS(E2735-'02_대상물건입력'!B11)/'02_대상물건입력'!B11,"")</f>
        <v/>
      </c>
      <c r="S2735" s="152">
        <f>IFERROR(ABS(J2735-'02_대상물건입력'!B10),"")</f>
        <v/>
      </c>
      <c r="T2735" s="152">
        <f>IFERROR(ABS('01_설정'!B4-F2735),"")</f>
        <v/>
      </c>
      <c r="U2735" s="152">
        <f>IFERROR(ABS(K2735-YEAR('02_대상물건입력'!B14)),"")</f>
        <v/>
      </c>
      <c r="V2735" s="152">
        <f>IF(B2735="","",IF(AND(E2735&gt;0,F2735&gt;0,H2735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2735=1,TRUE()),R2735&lt;='01_설정'!B5,S2735&lt;='01_설정'!B6,T2735&lt;='01_설정'!B7,U2735&lt;='01_설정'!B8),"Y",""))</f>
        <v/>
      </c>
      <c r="W2735" s="172">
        <f>IF(V2735&lt;&gt;"Y","",MAX(0,(1-R2735/'01_설정'!B5))*'01_설정'!B14+MAX(0,(1-S2735/'01_설정'!B6))*'01_설정'!B15+MAX(0,(1-T2735/'01_설정'!B7))*'01_설정'!B16+MAX(0,(1-U2735/'01_설정'!B8))*'01_설정'!B17+O2735*'01_설정'!B11+Q2735*'01_설정'!B12+P2735*'01_설정'!B13+IF(Z2735="",0,Z2735))</f>
        <v/>
      </c>
      <c r="X2735" s="152">
        <f>IF(W2735="","",1+COUNTIFS($W$4:$W$3003,"&gt;"&amp;W2735)+COUNTIFS($W$4:W2735,W2735)-1)</f>
        <v/>
      </c>
      <c r="Y2735" s="175">
        <f>IF(OR(I2735="",'02_대상물건입력'!B19="",'02_대상물건입력'!B19&lt;=0),"",ABS(I2735-'02_대상물건입력'!B19)/'02_대상물건입력'!B19)</f>
        <v/>
      </c>
      <c r="Z2735" s="172">
        <f>IF(OR(Y2735="",'01_설정'!B31="",'01_설정'!B31&lt;=0,'01_설정'!B32="",'01_설정'!B32&lt;=0),"",MAX(0,(1-Y2735/'01_설정'!B32))*'01_설정'!B31)</f>
        <v/>
      </c>
    </row>
    <row r="2736" ht="17.25" customHeight="1">
      <c r="A2736" s="152">
        <f>IF(INDEX('04A_국토부원자료'!$A:$A,ROW()+1)="","",ROW()-3)</f>
        <v/>
      </c>
      <c r="B2736" s="48">
        <f>IFERROR(INDEX('04A_국토부원자료'!$A:$T,ROW()+1,MATCH("시군구",'04A_국토부원자료'!$A$4:$T$4,0)),"")</f>
        <v/>
      </c>
      <c r="C2736" s="48">
        <f>IF(B2736="","",IFERROR(INDEX('04A_국토부원자료'!$A:$T,ROW()+1,MATCH("번지",'04A_국토부원자료'!$A$4:$T$4,0)),""))</f>
        <v/>
      </c>
      <c r="D2736" s="48">
        <f>IF(B2736="","",IF(Q2736=1,'02_대상물건입력'!$B$8,IFERROR(INDEX('04A_국토부원자료'!$A:$T,ROW()+1,MATCH("단지명",'04A_국토부원자료'!$A$4:$T$4,0)),"")))</f>
        <v/>
      </c>
      <c r="E2736" s="172">
        <f>IFERROR(VALUE(SUBSTITUTE(INDEX('04A_국토부원자료'!$A:$T,ROW()+1,MATCH("전용면적(㎡)",'04A_국토부원자료'!$A$4:$T$4,0)),",","")),"")</f>
        <v/>
      </c>
      <c r="F27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36" s="51">
        <f>IFERROR(VALUE(SUBSTITUTE(INDEX('04A_국토부원자료'!$A:$T,ROW()+1,MATCH("거래금액(만원)",'04A_국토부원자료'!$A$4:$T$4,0)),",","")),"")</f>
        <v/>
      </c>
      <c r="H2736" s="174">
        <f>IF(G2736="","",G2736*10000)</f>
        <v/>
      </c>
      <c r="I2736" s="174">
        <f>IFERROR(IF(AND(H2736&gt;0,E2736&gt;0),H2736/E2736,""),"")</f>
        <v/>
      </c>
      <c r="J2736" s="152">
        <f>IFERROR(VALUE(SUBSTITUTE(INDEX('04A_국토부원자료'!$A:$T,ROW()+1,MATCH("층",'04A_국토부원자료'!$A$4:$T$4,0)),",","")),"")</f>
        <v/>
      </c>
      <c r="K2736" s="152">
        <f>IFERROR(VALUE(SUBSTITUTE(INDEX('04A_국토부원자료'!$A:$T,ROW()+1,MATCH("건축년도",'04A_국토부원자료'!$A$4:$T$4,0)),",","")),"")</f>
        <v/>
      </c>
      <c r="L2736" s="48">
        <f>IFERROR(INDEX('04A_국토부원자료'!$A:$T,ROW()+1,MATCH("도로명",'04A_국토부원자료'!$A$4:$T$4,0)),"")</f>
        <v/>
      </c>
      <c r="M2736" s="48">
        <f>IFERROR(INDEX('04A_국토부원자료'!$A:$T,ROW()+1,MATCH("거래유형",'04A_국토부원자료'!$A$4:$T$4,0)),"")</f>
        <v/>
      </c>
      <c r="N2736" s="152">
        <f>IF(B2736="","",IF('02_대상물건입력'!B5="",1,IF(ISNUMBER(SEARCH('02_대상물건입력'!B5,B2736)),1,0)))</f>
        <v/>
      </c>
      <c r="O2736" s="152">
        <f>IF(B2736="","",IF('02_대상물건입력'!B6="",1,IF(ISNUMBER(SEARCH('02_대상물건입력'!B6,B2736)),1,0)))</f>
        <v/>
      </c>
      <c r="P2736" s="152">
        <f>IF(L2736="","",IF('02_대상물건입력'!B15="",0,IF(ISNUMBER(SEARCH('02_대상물건입력'!B15,L2736)),1,0)))</f>
        <v/>
      </c>
      <c r="Q2736" s="152">
        <f>IF(OR(C2736="",L2736=""),0,IF(AND(TRIM(C2736)=TRIM(RIGHT(SUBSTITUTE(TRIM('02_대상물건입력'!$B$7)," ",REPT(" ",99)),99)),IF('02_대상물건입력'!B15="",TRUE(),ISNUMBER(SEARCH('02_대상물건입력'!B15,L2736)))),1,0))</f>
        <v/>
      </c>
      <c r="R2736" s="175">
        <f>IFERROR(ABS(E2736-'02_대상물건입력'!B11)/'02_대상물건입력'!B11,"")</f>
        <v/>
      </c>
      <c r="S2736" s="152">
        <f>IFERROR(ABS(J2736-'02_대상물건입력'!B10),"")</f>
        <v/>
      </c>
      <c r="T2736" s="152">
        <f>IFERROR(ABS('01_설정'!B4-F2736),"")</f>
        <v/>
      </c>
      <c r="U2736" s="152">
        <f>IFERROR(ABS(K2736-YEAR('02_대상물건입력'!B14)),"")</f>
        <v/>
      </c>
      <c r="V2736" s="152">
        <f>IF(B2736="","",IF(AND(E2736&gt;0,F2736&gt;0,H2736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2736=1,TRUE()),R2736&lt;='01_설정'!B5,S2736&lt;='01_설정'!B6,T2736&lt;='01_설정'!B7,U2736&lt;='01_설정'!B8),"Y",""))</f>
        <v/>
      </c>
      <c r="W2736" s="172">
        <f>IF(V2736&lt;&gt;"Y","",MAX(0,(1-R2736/'01_설정'!B5))*'01_설정'!B14+MAX(0,(1-S2736/'01_설정'!B6))*'01_설정'!B15+MAX(0,(1-T2736/'01_설정'!B7))*'01_설정'!B16+MAX(0,(1-U2736/'01_설정'!B8))*'01_설정'!B17+O2736*'01_설정'!B11+Q2736*'01_설정'!B12+P2736*'01_설정'!B13+IF(Z2736="",0,Z2736))</f>
        <v/>
      </c>
      <c r="X2736" s="152">
        <f>IF(W2736="","",1+COUNTIFS($W$4:$W$3003,"&gt;"&amp;W2736)+COUNTIFS($W$4:W2736,W2736)-1)</f>
        <v/>
      </c>
      <c r="Y2736" s="175">
        <f>IF(OR(I2736="",'02_대상물건입력'!B19="",'02_대상물건입력'!B19&lt;=0),"",ABS(I2736-'02_대상물건입력'!B19)/'02_대상물건입력'!B19)</f>
        <v/>
      </c>
      <c r="Z2736" s="172">
        <f>IF(OR(Y2736="",'01_설정'!B31="",'01_설정'!B31&lt;=0,'01_설정'!B32="",'01_설정'!B32&lt;=0),"",MAX(0,(1-Y2736/'01_설정'!B32))*'01_설정'!B31)</f>
        <v/>
      </c>
    </row>
    <row r="2737" ht="17.25" customHeight="1">
      <c r="A2737" s="152">
        <f>IF(INDEX('04A_국토부원자료'!$A:$A,ROW()+1)="","",ROW()-3)</f>
        <v/>
      </c>
      <c r="B2737" s="48">
        <f>IFERROR(INDEX('04A_국토부원자료'!$A:$T,ROW()+1,MATCH("시군구",'04A_국토부원자료'!$A$4:$T$4,0)),"")</f>
        <v/>
      </c>
      <c r="C2737" s="48">
        <f>IF(B2737="","",IFERROR(INDEX('04A_국토부원자료'!$A:$T,ROW()+1,MATCH("번지",'04A_국토부원자료'!$A$4:$T$4,0)),""))</f>
        <v/>
      </c>
      <c r="D2737" s="48">
        <f>IF(B2737="","",IF(Q2737=1,'02_대상물건입력'!$B$8,IFERROR(INDEX('04A_국토부원자료'!$A:$T,ROW()+1,MATCH("단지명",'04A_국토부원자료'!$A$4:$T$4,0)),"")))</f>
        <v/>
      </c>
      <c r="E2737" s="172">
        <f>IFERROR(VALUE(SUBSTITUTE(INDEX('04A_국토부원자료'!$A:$T,ROW()+1,MATCH("전용면적(㎡)",'04A_국토부원자료'!$A$4:$T$4,0)),",","")),"")</f>
        <v/>
      </c>
      <c r="F27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37" s="51">
        <f>IFERROR(VALUE(SUBSTITUTE(INDEX('04A_국토부원자료'!$A:$T,ROW()+1,MATCH("거래금액(만원)",'04A_국토부원자료'!$A$4:$T$4,0)),",","")),"")</f>
        <v/>
      </c>
      <c r="H2737" s="174">
        <f>IF(G2737="","",G2737*10000)</f>
        <v/>
      </c>
      <c r="I2737" s="174">
        <f>IFERROR(IF(AND(H2737&gt;0,E2737&gt;0),H2737/E2737,""),"")</f>
        <v/>
      </c>
      <c r="J2737" s="152">
        <f>IFERROR(VALUE(SUBSTITUTE(INDEX('04A_국토부원자료'!$A:$T,ROW()+1,MATCH("층",'04A_국토부원자료'!$A$4:$T$4,0)),",","")),"")</f>
        <v/>
      </c>
      <c r="K2737" s="152">
        <f>IFERROR(VALUE(SUBSTITUTE(INDEX('04A_국토부원자료'!$A:$T,ROW()+1,MATCH("건축년도",'04A_국토부원자료'!$A$4:$T$4,0)),",","")),"")</f>
        <v/>
      </c>
      <c r="L2737" s="48">
        <f>IFERROR(INDEX('04A_국토부원자료'!$A:$T,ROW()+1,MATCH("도로명",'04A_국토부원자료'!$A$4:$T$4,0)),"")</f>
        <v/>
      </c>
      <c r="M2737" s="48">
        <f>IFERROR(INDEX('04A_국토부원자료'!$A:$T,ROW()+1,MATCH("거래유형",'04A_국토부원자료'!$A$4:$T$4,0)),"")</f>
        <v/>
      </c>
      <c r="N2737" s="152">
        <f>IF(B2737="","",IF('02_대상물건입력'!B5="",1,IF(ISNUMBER(SEARCH('02_대상물건입력'!B5,B2737)),1,0)))</f>
        <v/>
      </c>
      <c r="O2737" s="152">
        <f>IF(B2737="","",IF('02_대상물건입력'!B6="",1,IF(ISNUMBER(SEARCH('02_대상물건입력'!B6,B2737)),1,0)))</f>
        <v/>
      </c>
      <c r="P2737" s="152">
        <f>IF(L2737="","",IF('02_대상물건입력'!B15="",0,IF(ISNUMBER(SEARCH('02_대상물건입력'!B15,L2737)),1,0)))</f>
        <v/>
      </c>
      <c r="Q2737" s="152">
        <f>IF(OR(C2737="",L2737=""),0,IF(AND(TRIM(C2737)=TRIM(RIGHT(SUBSTITUTE(TRIM('02_대상물건입력'!$B$7)," ",REPT(" ",99)),99)),IF('02_대상물건입력'!B15="",TRUE(),ISNUMBER(SEARCH('02_대상물건입력'!B15,L2737)))),1,0))</f>
        <v/>
      </c>
      <c r="R2737" s="175">
        <f>IFERROR(ABS(E2737-'02_대상물건입력'!B11)/'02_대상물건입력'!B11,"")</f>
        <v/>
      </c>
      <c r="S2737" s="152">
        <f>IFERROR(ABS(J2737-'02_대상물건입력'!B10),"")</f>
        <v/>
      </c>
      <c r="T2737" s="152">
        <f>IFERROR(ABS('01_설정'!B4-F2737),"")</f>
        <v/>
      </c>
      <c r="U2737" s="152">
        <f>IFERROR(ABS(K2737-YEAR('02_대상물건입력'!B14)),"")</f>
        <v/>
      </c>
      <c r="V2737" s="152">
        <f>IF(B2737="","",IF(AND(E2737&gt;0,F2737&gt;0,H2737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2737=1,TRUE()),R2737&lt;='01_설정'!B5,S2737&lt;='01_설정'!B6,T2737&lt;='01_설정'!B7,U2737&lt;='01_설정'!B8),"Y",""))</f>
        <v/>
      </c>
      <c r="W2737" s="172">
        <f>IF(V2737&lt;&gt;"Y","",MAX(0,(1-R2737/'01_설정'!B5))*'01_설정'!B14+MAX(0,(1-S2737/'01_설정'!B6))*'01_설정'!B15+MAX(0,(1-T2737/'01_설정'!B7))*'01_설정'!B16+MAX(0,(1-U2737/'01_설정'!B8))*'01_설정'!B17+O2737*'01_설정'!B11+Q2737*'01_설정'!B12+P2737*'01_설정'!B13+IF(Z2737="",0,Z2737))</f>
        <v/>
      </c>
      <c r="X2737" s="152">
        <f>IF(W2737="","",1+COUNTIFS($W$4:$W$3003,"&gt;"&amp;W2737)+COUNTIFS($W$4:W2737,W2737)-1)</f>
        <v/>
      </c>
      <c r="Y2737" s="175">
        <f>IF(OR(I2737="",'02_대상물건입력'!B19="",'02_대상물건입력'!B19&lt;=0),"",ABS(I2737-'02_대상물건입력'!B19)/'02_대상물건입력'!B19)</f>
        <v/>
      </c>
      <c r="Z2737" s="172">
        <f>IF(OR(Y2737="",'01_설정'!B31="",'01_설정'!B31&lt;=0,'01_설정'!B32="",'01_설정'!B32&lt;=0),"",MAX(0,(1-Y2737/'01_설정'!B32))*'01_설정'!B31)</f>
        <v/>
      </c>
    </row>
    <row r="2738" ht="17.25" customHeight="1">
      <c r="A2738" s="152">
        <f>IF(INDEX('04A_국토부원자료'!$A:$A,ROW()+1)="","",ROW()-3)</f>
        <v/>
      </c>
      <c r="B2738" s="48">
        <f>IFERROR(INDEX('04A_국토부원자료'!$A:$T,ROW()+1,MATCH("시군구",'04A_국토부원자료'!$A$4:$T$4,0)),"")</f>
        <v/>
      </c>
      <c r="C2738" s="48">
        <f>IF(B2738="","",IFERROR(INDEX('04A_국토부원자료'!$A:$T,ROW()+1,MATCH("번지",'04A_국토부원자료'!$A$4:$T$4,0)),""))</f>
        <v/>
      </c>
      <c r="D2738" s="48">
        <f>IF(B2738="","",IF(Q2738=1,'02_대상물건입력'!$B$8,IFERROR(INDEX('04A_국토부원자료'!$A:$T,ROW()+1,MATCH("단지명",'04A_국토부원자료'!$A$4:$T$4,0)),"")))</f>
        <v/>
      </c>
      <c r="E2738" s="172">
        <f>IFERROR(VALUE(SUBSTITUTE(INDEX('04A_국토부원자료'!$A:$T,ROW()+1,MATCH("전용면적(㎡)",'04A_국토부원자료'!$A$4:$T$4,0)),",","")),"")</f>
        <v/>
      </c>
      <c r="F27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38" s="51">
        <f>IFERROR(VALUE(SUBSTITUTE(INDEX('04A_국토부원자료'!$A:$T,ROW()+1,MATCH("거래금액(만원)",'04A_국토부원자료'!$A$4:$T$4,0)),",","")),"")</f>
        <v/>
      </c>
      <c r="H2738" s="174">
        <f>IF(G2738="","",G2738*10000)</f>
        <v/>
      </c>
      <c r="I2738" s="174">
        <f>IFERROR(IF(AND(H2738&gt;0,E2738&gt;0),H2738/E2738,""),"")</f>
        <v/>
      </c>
      <c r="J2738" s="152">
        <f>IFERROR(VALUE(SUBSTITUTE(INDEX('04A_국토부원자료'!$A:$T,ROW()+1,MATCH("층",'04A_국토부원자료'!$A$4:$T$4,0)),",","")),"")</f>
        <v/>
      </c>
      <c r="K2738" s="152">
        <f>IFERROR(VALUE(SUBSTITUTE(INDEX('04A_국토부원자료'!$A:$T,ROW()+1,MATCH("건축년도",'04A_국토부원자료'!$A$4:$T$4,0)),",","")),"")</f>
        <v/>
      </c>
      <c r="L2738" s="48">
        <f>IFERROR(INDEX('04A_국토부원자료'!$A:$T,ROW()+1,MATCH("도로명",'04A_국토부원자료'!$A$4:$T$4,0)),"")</f>
        <v/>
      </c>
      <c r="M2738" s="48">
        <f>IFERROR(INDEX('04A_국토부원자료'!$A:$T,ROW()+1,MATCH("거래유형",'04A_국토부원자료'!$A$4:$T$4,0)),"")</f>
        <v/>
      </c>
      <c r="N2738" s="152">
        <f>IF(B2738="","",IF('02_대상물건입력'!B5="",1,IF(ISNUMBER(SEARCH('02_대상물건입력'!B5,B2738)),1,0)))</f>
        <v/>
      </c>
      <c r="O2738" s="152">
        <f>IF(B2738="","",IF('02_대상물건입력'!B6="",1,IF(ISNUMBER(SEARCH('02_대상물건입력'!B6,B2738)),1,0)))</f>
        <v/>
      </c>
      <c r="P2738" s="152">
        <f>IF(L2738="","",IF('02_대상물건입력'!B15="",0,IF(ISNUMBER(SEARCH('02_대상물건입력'!B15,L2738)),1,0)))</f>
        <v/>
      </c>
      <c r="Q2738" s="152">
        <f>IF(OR(C2738="",L2738=""),0,IF(AND(TRIM(C2738)=TRIM(RIGHT(SUBSTITUTE(TRIM('02_대상물건입력'!$B$7)," ",REPT(" ",99)),99)),IF('02_대상물건입력'!B15="",TRUE(),ISNUMBER(SEARCH('02_대상물건입력'!B15,L2738)))),1,0))</f>
        <v/>
      </c>
      <c r="R2738" s="175">
        <f>IFERROR(ABS(E2738-'02_대상물건입력'!B11)/'02_대상물건입력'!B11,"")</f>
        <v/>
      </c>
      <c r="S2738" s="152">
        <f>IFERROR(ABS(J2738-'02_대상물건입력'!B10),"")</f>
        <v/>
      </c>
      <c r="T2738" s="152">
        <f>IFERROR(ABS('01_설정'!B4-F2738),"")</f>
        <v/>
      </c>
      <c r="U2738" s="152">
        <f>IFERROR(ABS(K2738-YEAR('02_대상물건입력'!B14)),"")</f>
        <v/>
      </c>
      <c r="V2738" s="152">
        <f>IF(B2738="","",IF(AND(E2738&gt;0,F2738&gt;0,H2738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2738=1,TRUE()),R2738&lt;='01_설정'!B5,S2738&lt;='01_설정'!B6,T2738&lt;='01_설정'!B7,U2738&lt;='01_설정'!B8),"Y",""))</f>
        <v/>
      </c>
      <c r="W2738" s="172">
        <f>IF(V2738&lt;&gt;"Y","",MAX(0,(1-R2738/'01_설정'!B5))*'01_설정'!B14+MAX(0,(1-S2738/'01_설정'!B6))*'01_설정'!B15+MAX(0,(1-T2738/'01_설정'!B7))*'01_설정'!B16+MAX(0,(1-U2738/'01_설정'!B8))*'01_설정'!B17+O2738*'01_설정'!B11+Q2738*'01_설정'!B12+P2738*'01_설정'!B13+IF(Z2738="",0,Z2738))</f>
        <v/>
      </c>
      <c r="X2738" s="152">
        <f>IF(W2738="","",1+COUNTIFS($W$4:$W$3003,"&gt;"&amp;W2738)+COUNTIFS($W$4:W2738,W2738)-1)</f>
        <v/>
      </c>
      <c r="Y2738" s="175">
        <f>IF(OR(I2738="",'02_대상물건입력'!B19="",'02_대상물건입력'!B19&lt;=0),"",ABS(I2738-'02_대상물건입력'!B19)/'02_대상물건입력'!B19)</f>
        <v/>
      </c>
      <c r="Z2738" s="172">
        <f>IF(OR(Y2738="",'01_설정'!B31="",'01_설정'!B31&lt;=0,'01_설정'!B32="",'01_설정'!B32&lt;=0),"",MAX(0,(1-Y2738/'01_설정'!B32))*'01_설정'!B31)</f>
        <v/>
      </c>
    </row>
    <row r="2739" ht="17.25" customHeight="1">
      <c r="A2739" s="152">
        <f>IF(INDEX('04A_국토부원자료'!$A:$A,ROW()+1)="","",ROW()-3)</f>
        <v/>
      </c>
      <c r="B2739" s="48">
        <f>IFERROR(INDEX('04A_국토부원자료'!$A:$T,ROW()+1,MATCH("시군구",'04A_국토부원자료'!$A$4:$T$4,0)),"")</f>
        <v/>
      </c>
      <c r="C2739" s="48">
        <f>IF(B2739="","",IFERROR(INDEX('04A_국토부원자료'!$A:$T,ROW()+1,MATCH("번지",'04A_국토부원자료'!$A$4:$T$4,0)),""))</f>
        <v/>
      </c>
      <c r="D2739" s="48">
        <f>IF(B2739="","",IF(Q2739=1,'02_대상물건입력'!$B$8,IFERROR(INDEX('04A_국토부원자료'!$A:$T,ROW()+1,MATCH("단지명",'04A_국토부원자료'!$A$4:$T$4,0)),"")))</f>
        <v/>
      </c>
      <c r="E2739" s="172">
        <f>IFERROR(VALUE(SUBSTITUTE(INDEX('04A_국토부원자료'!$A:$T,ROW()+1,MATCH("전용면적(㎡)",'04A_국토부원자료'!$A$4:$T$4,0)),",","")),"")</f>
        <v/>
      </c>
      <c r="F27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39" s="51">
        <f>IFERROR(VALUE(SUBSTITUTE(INDEX('04A_국토부원자료'!$A:$T,ROW()+1,MATCH("거래금액(만원)",'04A_국토부원자료'!$A$4:$T$4,0)),",","")),"")</f>
        <v/>
      </c>
      <c r="H2739" s="174">
        <f>IF(G2739="","",G2739*10000)</f>
        <v/>
      </c>
      <c r="I2739" s="174">
        <f>IFERROR(IF(AND(H2739&gt;0,E2739&gt;0),H2739/E2739,""),"")</f>
        <v/>
      </c>
      <c r="J2739" s="152">
        <f>IFERROR(VALUE(SUBSTITUTE(INDEX('04A_국토부원자료'!$A:$T,ROW()+1,MATCH("층",'04A_국토부원자료'!$A$4:$T$4,0)),",","")),"")</f>
        <v/>
      </c>
      <c r="K2739" s="152">
        <f>IFERROR(VALUE(SUBSTITUTE(INDEX('04A_국토부원자료'!$A:$T,ROW()+1,MATCH("건축년도",'04A_국토부원자료'!$A$4:$T$4,0)),",","")),"")</f>
        <v/>
      </c>
      <c r="L2739" s="48">
        <f>IFERROR(INDEX('04A_국토부원자료'!$A:$T,ROW()+1,MATCH("도로명",'04A_국토부원자료'!$A$4:$T$4,0)),"")</f>
        <v/>
      </c>
      <c r="M2739" s="48">
        <f>IFERROR(INDEX('04A_국토부원자료'!$A:$T,ROW()+1,MATCH("거래유형",'04A_국토부원자료'!$A$4:$T$4,0)),"")</f>
        <v/>
      </c>
      <c r="N2739" s="152">
        <f>IF(B2739="","",IF('02_대상물건입력'!B5="",1,IF(ISNUMBER(SEARCH('02_대상물건입력'!B5,B2739)),1,0)))</f>
        <v/>
      </c>
      <c r="O2739" s="152">
        <f>IF(B2739="","",IF('02_대상물건입력'!B6="",1,IF(ISNUMBER(SEARCH('02_대상물건입력'!B6,B2739)),1,0)))</f>
        <v/>
      </c>
      <c r="P2739" s="152">
        <f>IF(L2739="","",IF('02_대상물건입력'!B15="",0,IF(ISNUMBER(SEARCH('02_대상물건입력'!B15,L2739)),1,0)))</f>
        <v/>
      </c>
      <c r="Q2739" s="152">
        <f>IF(OR(C2739="",L2739=""),0,IF(AND(TRIM(C2739)=TRIM(RIGHT(SUBSTITUTE(TRIM('02_대상물건입력'!$B$7)," ",REPT(" ",99)),99)),IF('02_대상물건입력'!B15="",TRUE(),ISNUMBER(SEARCH('02_대상물건입력'!B15,L2739)))),1,0))</f>
        <v/>
      </c>
      <c r="R2739" s="175">
        <f>IFERROR(ABS(E2739-'02_대상물건입력'!B11)/'02_대상물건입력'!B11,"")</f>
        <v/>
      </c>
      <c r="S2739" s="152">
        <f>IFERROR(ABS(J2739-'02_대상물건입력'!B10),"")</f>
        <v/>
      </c>
      <c r="T2739" s="152">
        <f>IFERROR(ABS('01_설정'!B4-F2739),"")</f>
        <v/>
      </c>
      <c r="U2739" s="152">
        <f>IFERROR(ABS(K2739-YEAR('02_대상물건입력'!B14)),"")</f>
        <v/>
      </c>
      <c r="V2739" s="152">
        <f>IF(B2739="","",IF(AND(E2739&gt;0,F2739&gt;0,H2739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2739=1,TRUE()),R2739&lt;='01_설정'!B5,S2739&lt;='01_설정'!B6,T2739&lt;='01_설정'!B7,U2739&lt;='01_설정'!B8),"Y",""))</f>
        <v/>
      </c>
      <c r="W2739" s="172">
        <f>IF(V2739&lt;&gt;"Y","",MAX(0,(1-R2739/'01_설정'!B5))*'01_설정'!B14+MAX(0,(1-S2739/'01_설정'!B6))*'01_설정'!B15+MAX(0,(1-T2739/'01_설정'!B7))*'01_설정'!B16+MAX(0,(1-U2739/'01_설정'!B8))*'01_설정'!B17+O2739*'01_설정'!B11+Q2739*'01_설정'!B12+P2739*'01_설정'!B13+IF(Z2739="",0,Z2739))</f>
        <v/>
      </c>
      <c r="X2739" s="152">
        <f>IF(W2739="","",1+COUNTIFS($W$4:$W$3003,"&gt;"&amp;W2739)+COUNTIFS($W$4:W2739,W2739)-1)</f>
        <v/>
      </c>
      <c r="Y2739" s="175">
        <f>IF(OR(I2739="",'02_대상물건입력'!B19="",'02_대상물건입력'!B19&lt;=0),"",ABS(I2739-'02_대상물건입력'!B19)/'02_대상물건입력'!B19)</f>
        <v/>
      </c>
      <c r="Z2739" s="172">
        <f>IF(OR(Y2739="",'01_설정'!B31="",'01_설정'!B31&lt;=0,'01_설정'!B32="",'01_설정'!B32&lt;=0),"",MAX(0,(1-Y2739/'01_설정'!B32))*'01_설정'!B31)</f>
        <v/>
      </c>
    </row>
    <row r="2740" ht="17.25" customHeight="1">
      <c r="A2740" s="152">
        <f>IF(INDEX('04A_국토부원자료'!$A:$A,ROW()+1)="","",ROW()-3)</f>
        <v/>
      </c>
      <c r="B2740" s="48">
        <f>IFERROR(INDEX('04A_국토부원자료'!$A:$T,ROW()+1,MATCH("시군구",'04A_국토부원자료'!$A$4:$T$4,0)),"")</f>
        <v/>
      </c>
      <c r="C2740" s="48">
        <f>IF(B2740="","",IFERROR(INDEX('04A_국토부원자료'!$A:$T,ROW()+1,MATCH("번지",'04A_국토부원자료'!$A$4:$T$4,0)),""))</f>
        <v/>
      </c>
      <c r="D2740" s="48">
        <f>IF(B2740="","",IF(Q2740=1,'02_대상물건입력'!$B$8,IFERROR(INDEX('04A_국토부원자료'!$A:$T,ROW()+1,MATCH("단지명",'04A_국토부원자료'!$A$4:$T$4,0)),"")))</f>
        <v/>
      </c>
      <c r="E2740" s="172">
        <f>IFERROR(VALUE(SUBSTITUTE(INDEX('04A_국토부원자료'!$A:$T,ROW()+1,MATCH("전용면적(㎡)",'04A_국토부원자료'!$A$4:$T$4,0)),",","")),"")</f>
        <v/>
      </c>
      <c r="F27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40" s="51">
        <f>IFERROR(VALUE(SUBSTITUTE(INDEX('04A_국토부원자료'!$A:$T,ROW()+1,MATCH("거래금액(만원)",'04A_국토부원자료'!$A$4:$T$4,0)),",","")),"")</f>
        <v/>
      </c>
      <c r="H2740" s="174">
        <f>IF(G2740="","",G2740*10000)</f>
        <v/>
      </c>
      <c r="I2740" s="174">
        <f>IFERROR(IF(AND(H2740&gt;0,E2740&gt;0),H2740/E2740,""),"")</f>
        <v/>
      </c>
      <c r="J2740" s="152">
        <f>IFERROR(VALUE(SUBSTITUTE(INDEX('04A_국토부원자료'!$A:$T,ROW()+1,MATCH("층",'04A_국토부원자료'!$A$4:$T$4,0)),",","")),"")</f>
        <v/>
      </c>
      <c r="K2740" s="152">
        <f>IFERROR(VALUE(SUBSTITUTE(INDEX('04A_국토부원자료'!$A:$T,ROW()+1,MATCH("건축년도",'04A_국토부원자료'!$A$4:$T$4,0)),",","")),"")</f>
        <v/>
      </c>
      <c r="L2740" s="48">
        <f>IFERROR(INDEX('04A_국토부원자료'!$A:$T,ROW()+1,MATCH("도로명",'04A_국토부원자료'!$A$4:$T$4,0)),"")</f>
        <v/>
      </c>
      <c r="M2740" s="48">
        <f>IFERROR(INDEX('04A_국토부원자료'!$A:$T,ROW()+1,MATCH("거래유형",'04A_국토부원자료'!$A$4:$T$4,0)),"")</f>
        <v/>
      </c>
      <c r="N2740" s="152">
        <f>IF(B2740="","",IF('02_대상물건입력'!B5="",1,IF(ISNUMBER(SEARCH('02_대상물건입력'!B5,B2740)),1,0)))</f>
        <v/>
      </c>
      <c r="O2740" s="152">
        <f>IF(B2740="","",IF('02_대상물건입력'!B6="",1,IF(ISNUMBER(SEARCH('02_대상물건입력'!B6,B2740)),1,0)))</f>
        <v/>
      </c>
      <c r="P2740" s="152">
        <f>IF(L2740="","",IF('02_대상물건입력'!B15="",0,IF(ISNUMBER(SEARCH('02_대상물건입력'!B15,L2740)),1,0)))</f>
        <v/>
      </c>
      <c r="Q2740" s="152">
        <f>IF(OR(C2740="",L2740=""),0,IF(AND(TRIM(C2740)=TRIM(RIGHT(SUBSTITUTE(TRIM('02_대상물건입력'!$B$7)," ",REPT(" ",99)),99)),IF('02_대상물건입력'!B15="",TRUE(),ISNUMBER(SEARCH('02_대상물건입력'!B15,L2740)))),1,0))</f>
        <v/>
      </c>
      <c r="R2740" s="175">
        <f>IFERROR(ABS(E2740-'02_대상물건입력'!B11)/'02_대상물건입력'!B11,"")</f>
        <v/>
      </c>
      <c r="S2740" s="152">
        <f>IFERROR(ABS(J2740-'02_대상물건입력'!B10),"")</f>
        <v/>
      </c>
      <c r="T2740" s="152">
        <f>IFERROR(ABS('01_설정'!B4-F2740),"")</f>
        <v/>
      </c>
      <c r="U2740" s="152">
        <f>IFERROR(ABS(K2740-YEAR('02_대상물건입력'!B14)),"")</f>
        <v/>
      </c>
      <c r="V2740" s="152">
        <f>IF(B2740="","",IF(AND(E2740&gt;0,F2740&gt;0,H2740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2740=1,TRUE()),R2740&lt;='01_설정'!B5,S2740&lt;='01_설정'!B6,T2740&lt;='01_설정'!B7,U2740&lt;='01_설정'!B8),"Y",""))</f>
        <v/>
      </c>
      <c r="W2740" s="172">
        <f>IF(V2740&lt;&gt;"Y","",MAX(0,(1-R2740/'01_설정'!B5))*'01_설정'!B14+MAX(0,(1-S2740/'01_설정'!B6))*'01_설정'!B15+MAX(0,(1-T2740/'01_설정'!B7))*'01_설정'!B16+MAX(0,(1-U2740/'01_설정'!B8))*'01_설정'!B17+O2740*'01_설정'!B11+Q2740*'01_설정'!B12+P2740*'01_설정'!B13+IF(Z2740="",0,Z2740))</f>
        <v/>
      </c>
      <c r="X2740" s="152">
        <f>IF(W2740="","",1+COUNTIFS($W$4:$W$3003,"&gt;"&amp;W2740)+COUNTIFS($W$4:W2740,W2740)-1)</f>
        <v/>
      </c>
      <c r="Y2740" s="175">
        <f>IF(OR(I2740="",'02_대상물건입력'!B19="",'02_대상물건입력'!B19&lt;=0),"",ABS(I2740-'02_대상물건입력'!B19)/'02_대상물건입력'!B19)</f>
        <v/>
      </c>
      <c r="Z2740" s="172">
        <f>IF(OR(Y2740="",'01_설정'!B31="",'01_설정'!B31&lt;=0,'01_설정'!B32="",'01_설정'!B32&lt;=0),"",MAX(0,(1-Y2740/'01_설정'!B32))*'01_설정'!B31)</f>
        <v/>
      </c>
    </row>
    <row r="2741" ht="17.25" customHeight="1">
      <c r="A2741" s="152">
        <f>IF(INDEX('04A_국토부원자료'!$A:$A,ROW()+1)="","",ROW()-3)</f>
        <v/>
      </c>
      <c r="B2741" s="48">
        <f>IFERROR(INDEX('04A_국토부원자료'!$A:$T,ROW()+1,MATCH("시군구",'04A_국토부원자료'!$A$4:$T$4,0)),"")</f>
        <v/>
      </c>
      <c r="C2741" s="48">
        <f>IF(B2741="","",IFERROR(INDEX('04A_국토부원자료'!$A:$T,ROW()+1,MATCH("번지",'04A_국토부원자료'!$A$4:$T$4,0)),""))</f>
        <v/>
      </c>
      <c r="D2741" s="48">
        <f>IF(B2741="","",IF(Q2741=1,'02_대상물건입력'!$B$8,IFERROR(INDEX('04A_국토부원자료'!$A:$T,ROW()+1,MATCH("단지명",'04A_국토부원자료'!$A$4:$T$4,0)),"")))</f>
        <v/>
      </c>
      <c r="E2741" s="172">
        <f>IFERROR(VALUE(SUBSTITUTE(INDEX('04A_국토부원자료'!$A:$T,ROW()+1,MATCH("전용면적(㎡)",'04A_국토부원자료'!$A$4:$T$4,0)),",","")),"")</f>
        <v/>
      </c>
      <c r="F27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41" s="51">
        <f>IFERROR(VALUE(SUBSTITUTE(INDEX('04A_국토부원자료'!$A:$T,ROW()+1,MATCH("거래금액(만원)",'04A_국토부원자료'!$A$4:$T$4,0)),",","")),"")</f>
        <v/>
      </c>
      <c r="H2741" s="174">
        <f>IF(G2741="","",G2741*10000)</f>
        <v/>
      </c>
      <c r="I2741" s="174">
        <f>IFERROR(IF(AND(H2741&gt;0,E2741&gt;0),H2741/E2741,""),"")</f>
        <v/>
      </c>
      <c r="J2741" s="152">
        <f>IFERROR(VALUE(SUBSTITUTE(INDEX('04A_국토부원자료'!$A:$T,ROW()+1,MATCH("층",'04A_국토부원자료'!$A$4:$T$4,0)),",","")),"")</f>
        <v/>
      </c>
      <c r="K2741" s="152">
        <f>IFERROR(VALUE(SUBSTITUTE(INDEX('04A_국토부원자료'!$A:$T,ROW()+1,MATCH("건축년도",'04A_국토부원자료'!$A$4:$T$4,0)),",","")),"")</f>
        <v/>
      </c>
      <c r="L2741" s="48">
        <f>IFERROR(INDEX('04A_국토부원자료'!$A:$T,ROW()+1,MATCH("도로명",'04A_국토부원자료'!$A$4:$T$4,0)),"")</f>
        <v/>
      </c>
      <c r="M2741" s="48">
        <f>IFERROR(INDEX('04A_국토부원자료'!$A:$T,ROW()+1,MATCH("거래유형",'04A_국토부원자료'!$A$4:$T$4,0)),"")</f>
        <v/>
      </c>
      <c r="N2741" s="152">
        <f>IF(B2741="","",IF('02_대상물건입력'!B5="",1,IF(ISNUMBER(SEARCH('02_대상물건입력'!B5,B2741)),1,0)))</f>
        <v/>
      </c>
      <c r="O2741" s="152">
        <f>IF(B2741="","",IF('02_대상물건입력'!B6="",1,IF(ISNUMBER(SEARCH('02_대상물건입력'!B6,B2741)),1,0)))</f>
        <v/>
      </c>
      <c r="P2741" s="152">
        <f>IF(L2741="","",IF('02_대상물건입력'!B15="",0,IF(ISNUMBER(SEARCH('02_대상물건입력'!B15,L2741)),1,0)))</f>
        <v/>
      </c>
      <c r="Q2741" s="152">
        <f>IF(OR(C2741="",L2741=""),0,IF(AND(TRIM(C2741)=TRIM(RIGHT(SUBSTITUTE(TRIM('02_대상물건입력'!$B$7)," ",REPT(" ",99)),99)),IF('02_대상물건입력'!B15="",TRUE(),ISNUMBER(SEARCH('02_대상물건입력'!B15,L2741)))),1,0))</f>
        <v/>
      </c>
      <c r="R2741" s="175">
        <f>IFERROR(ABS(E2741-'02_대상물건입력'!B11)/'02_대상물건입력'!B11,"")</f>
        <v/>
      </c>
      <c r="S2741" s="152">
        <f>IFERROR(ABS(J2741-'02_대상물건입력'!B10),"")</f>
        <v/>
      </c>
      <c r="T2741" s="152">
        <f>IFERROR(ABS('01_설정'!B4-F2741),"")</f>
        <v/>
      </c>
      <c r="U2741" s="152">
        <f>IFERROR(ABS(K2741-YEAR('02_대상물건입력'!B14)),"")</f>
        <v/>
      </c>
      <c r="V2741" s="152">
        <f>IF(B2741="","",IF(AND(E2741&gt;0,F2741&gt;0,H2741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2741=1,TRUE()),R2741&lt;='01_설정'!B5,S2741&lt;='01_설정'!B6,T2741&lt;='01_설정'!B7,U2741&lt;='01_설정'!B8),"Y",""))</f>
        <v/>
      </c>
      <c r="W2741" s="172">
        <f>IF(V2741&lt;&gt;"Y","",MAX(0,(1-R2741/'01_설정'!B5))*'01_설정'!B14+MAX(0,(1-S2741/'01_설정'!B6))*'01_설정'!B15+MAX(0,(1-T2741/'01_설정'!B7))*'01_설정'!B16+MAX(0,(1-U2741/'01_설정'!B8))*'01_설정'!B17+O2741*'01_설정'!B11+Q2741*'01_설정'!B12+P2741*'01_설정'!B13+IF(Z2741="",0,Z2741))</f>
        <v/>
      </c>
      <c r="X2741" s="152">
        <f>IF(W2741="","",1+COUNTIFS($W$4:$W$3003,"&gt;"&amp;W2741)+COUNTIFS($W$4:W2741,W2741)-1)</f>
        <v/>
      </c>
      <c r="Y2741" s="175">
        <f>IF(OR(I2741="",'02_대상물건입력'!B19="",'02_대상물건입력'!B19&lt;=0),"",ABS(I2741-'02_대상물건입력'!B19)/'02_대상물건입력'!B19)</f>
        <v/>
      </c>
      <c r="Z2741" s="172">
        <f>IF(OR(Y2741="",'01_설정'!B31="",'01_설정'!B31&lt;=0,'01_설정'!B32="",'01_설정'!B32&lt;=0),"",MAX(0,(1-Y2741/'01_설정'!B32))*'01_설정'!B31)</f>
        <v/>
      </c>
    </row>
    <row r="2742" ht="17.25" customHeight="1">
      <c r="A2742" s="152">
        <f>IF(INDEX('04A_국토부원자료'!$A:$A,ROW()+1)="","",ROW()-3)</f>
        <v/>
      </c>
      <c r="B2742" s="48">
        <f>IFERROR(INDEX('04A_국토부원자료'!$A:$T,ROW()+1,MATCH("시군구",'04A_국토부원자료'!$A$4:$T$4,0)),"")</f>
        <v/>
      </c>
      <c r="C2742" s="48">
        <f>IF(B2742="","",IFERROR(INDEX('04A_국토부원자료'!$A:$T,ROW()+1,MATCH("번지",'04A_국토부원자료'!$A$4:$T$4,0)),""))</f>
        <v/>
      </c>
      <c r="D2742" s="48">
        <f>IF(B2742="","",IF(Q2742=1,'02_대상물건입력'!$B$8,IFERROR(INDEX('04A_국토부원자료'!$A:$T,ROW()+1,MATCH("단지명",'04A_국토부원자료'!$A$4:$T$4,0)),"")))</f>
        <v/>
      </c>
      <c r="E2742" s="172">
        <f>IFERROR(VALUE(SUBSTITUTE(INDEX('04A_국토부원자료'!$A:$T,ROW()+1,MATCH("전용면적(㎡)",'04A_국토부원자료'!$A$4:$T$4,0)),",","")),"")</f>
        <v/>
      </c>
      <c r="F27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42" s="51">
        <f>IFERROR(VALUE(SUBSTITUTE(INDEX('04A_국토부원자료'!$A:$T,ROW()+1,MATCH("거래금액(만원)",'04A_국토부원자료'!$A$4:$T$4,0)),",","")),"")</f>
        <v/>
      </c>
      <c r="H2742" s="174">
        <f>IF(G2742="","",G2742*10000)</f>
        <v/>
      </c>
      <c r="I2742" s="174">
        <f>IFERROR(IF(AND(H2742&gt;0,E2742&gt;0),H2742/E2742,""),"")</f>
        <v/>
      </c>
      <c r="J2742" s="152">
        <f>IFERROR(VALUE(SUBSTITUTE(INDEX('04A_국토부원자료'!$A:$T,ROW()+1,MATCH("층",'04A_국토부원자료'!$A$4:$T$4,0)),",","")),"")</f>
        <v/>
      </c>
      <c r="K2742" s="152">
        <f>IFERROR(VALUE(SUBSTITUTE(INDEX('04A_국토부원자료'!$A:$T,ROW()+1,MATCH("건축년도",'04A_국토부원자료'!$A$4:$T$4,0)),",","")),"")</f>
        <v/>
      </c>
      <c r="L2742" s="48">
        <f>IFERROR(INDEX('04A_국토부원자료'!$A:$T,ROW()+1,MATCH("도로명",'04A_국토부원자료'!$A$4:$T$4,0)),"")</f>
        <v/>
      </c>
      <c r="M2742" s="48">
        <f>IFERROR(INDEX('04A_국토부원자료'!$A:$T,ROW()+1,MATCH("거래유형",'04A_국토부원자료'!$A$4:$T$4,0)),"")</f>
        <v/>
      </c>
      <c r="N2742" s="152">
        <f>IF(B2742="","",IF('02_대상물건입력'!B5="",1,IF(ISNUMBER(SEARCH('02_대상물건입력'!B5,B2742)),1,0)))</f>
        <v/>
      </c>
      <c r="O2742" s="152">
        <f>IF(B2742="","",IF('02_대상물건입력'!B6="",1,IF(ISNUMBER(SEARCH('02_대상물건입력'!B6,B2742)),1,0)))</f>
        <v/>
      </c>
      <c r="P2742" s="152">
        <f>IF(L2742="","",IF('02_대상물건입력'!B15="",0,IF(ISNUMBER(SEARCH('02_대상물건입력'!B15,L2742)),1,0)))</f>
        <v/>
      </c>
      <c r="Q2742" s="152">
        <f>IF(OR(C2742="",L2742=""),0,IF(AND(TRIM(C2742)=TRIM(RIGHT(SUBSTITUTE(TRIM('02_대상물건입력'!$B$7)," ",REPT(" ",99)),99)),IF('02_대상물건입력'!B15="",TRUE(),ISNUMBER(SEARCH('02_대상물건입력'!B15,L2742)))),1,0))</f>
        <v/>
      </c>
      <c r="R2742" s="175">
        <f>IFERROR(ABS(E2742-'02_대상물건입력'!B11)/'02_대상물건입력'!B11,"")</f>
        <v/>
      </c>
      <c r="S2742" s="152">
        <f>IFERROR(ABS(J2742-'02_대상물건입력'!B10),"")</f>
        <v/>
      </c>
      <c r="T2742" s="152">
        <f>IFERROR(ABS('01_설정'!B4-F2742),"")</f>
        <v/>
      </c>
      <c r="U2742" s="152">
        <f>IFERROR(ABS(K2742-YEAR('02_대상물건입력'!B14)),"")</f>
        <v/>
      </c>
      <c r="V2742" s="152">
        <f>IF(B2742="","",IF(AND(E2742&gt;0,F2742&gt;0,H2742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2742=1,TRUE()),R2742&lt;='01_설정'!B5,S2742&lt;='01_설정'!B6,T2742&lt;='01_설정'!B7,U2742&lt;='01_설정'!B8),"Y",""))</f>
        <v/>
      </c>
      <c r="W2742" s="172">
        <f>IF(V2742&lt;&gt;"Y","",MAX(0,(1-R2742/'01_설정'!B5))*'01_설정'!B14+MAX(0,(1-S2742/'01_설정'!B6))*'01_설정'!B15+MAX(0,(1-T2742/'01_설정'!B7))*'01_설정'!B16+MAX(0,(1-U2742/'01_설정'!B8))*'01_설정'!B17+O2742*'01_설정'!B11+Q2742*'01_설정'!B12+P2742*'01_설정'!B13+IF(Z2742="",0,Z2742))</f>
        <v/>
      </c>
      <c r="X2742" s="152">
        <f>IF(W2742="","",1+COUNTIFS($W$4:$W$3003,"&gt;"&amp;W2742)+COUNTIFS($W$4:W2742,W2742)-1)</f>
        <v/>
      </c>
      <c r="Y2742" s="175">
        <f>IF(OR(I2742="",'02_대상물건입력'!B19="",'02_대상물건입력'!B19&lt;=0),"",ABS(I2742-'02_대상물건입력'!B19)/'02_대상물건입력'!B19)</f>
        <v/>
      </c>
      <c r="Z2742" s="172">
        <f>IF(OR(Y2742="",'01_설정'!B31="",'01_설정'!B31&lt;=0,'01_설정'!B32="",'01_설정'!B32&lt;=0),"",MAX(0,(1-Y2742/'01_설정'!B32))*'01_설정'!B31)</f>
        <v/>
      </c>
    </row>
    <row r="2743" ht="17.25" customHeight="1">
      <c r="A2743" s="152">
        <f>IF(INDEX('04A_국토부원자료'!$A:$A,ROW()+1)="","",ROW()-3)</f>
        <v/>
      </c>
      <c r="B2743" s="48">
        <f>IFERROR(INDEX('04A_국토부원자료'!$A:$T,ROW()+1,MATCH("시군구",'04A_국토부원자료'!$A$4:$T$4,0)),"")</f>
        <v/>
      </c>
      <c r="C2743" s="48">
        <f>IF(B2743="","",IFERROR(INDEX('04A_국토부원자료'!$A:$T,ROW()+1,MATCH("번지",'04A_국토부원자료'!$A$4:$T$4,0)),""))</f>
        <v/>
      </c>
      <c r="D2743" s="48">
        <f>IF(B2743="","",IF(Q2743=1,'02_대상물건입력'!$B$8,IFERROR(INDEX('04A_국토부원자료'!$A:$T,ROW()+1,MATCH("단지명",'04A_국토부원자료'!$A$4:$T$4,0)),"")))</f>
        <v/>
      </c>
      <c r="E2743" s="172">
        <f>IFERROR(VALUE(SUBSTITUTE(INDEX('04A_국토부원자료'!$A:$T,ROW()+1,MATCH("전용면적(㎡)",'04A_국토부원자료'!$A$4:$T$4,0)),",","")),"")</f>
        <v/>
      </c>
      <c r="F27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43" s="51">
        <f>IFERROR(VALUE(SUBSTITUTE(INDEX('04A_국토부원자료'!$A:$T,ROW()+1,MATCH("거래금액(만원)",'04A_국토부원자료'!$A$4:$T$4,0)),",","")),"")</f>
        <v/>
      </c>
      <c r="H2743" s="174">
        <f>IF(G2743="","",G2743*10000)</f>
        <v/>
      </c>
      <c r="I2743" s="174">
        <f>IFERROR(IF(AND(H2743&gt;0,E2743&gt;0),H2743/E2743,""),"")</f>
        <v/>
      </c>
      <c r="J2743" s="152">
        <f>IFERROR(VALUE(SUBSTITUTE(INDEX('04A_국토부원자료'!$A:$T,ROW()+1,MATCH("층",'04A_국토부원자료'!$A$4:$T$4,0)),",","")),"")</f>
        <v/>
      </c>
      <c r="K2743" s="152">
        <f>IFERROR(VALUE(SUBSTITUTE(INDEX('04A_국토부원자료'!$A:$T,ROW()+1,MATCH("건축년도",'04A_국토부원자료'!$A$4:$T$4,0)),",","")),"")</f>
        <v/>
      </c>
      <c r="L2743" s="48">
        <f>IFERROR(INDEX('04A_국토부원자료'!$A:$T,ROW()+1,MATCH("도로명",'04A_국토부원자료'!$A$4:$T$4,0)),"")</f>
        <v/>
      </c>
      <c r="M2743" s="48">
        <f>IFERROR(INDEX('04A_국토부원자료'!$A:$T,ROW()+1,MATCH("거래유형",'04A_국토부원자료'!$A$4:$T$4,0)),"")</f>
        <v/>
      </c>
      <c r="N2743" s="152">
        <f>IF(B2743="","",IF('02_대상물건입력'!B5="",1,IF(ISNUMBER(SEARCH('02_대상물건입력'!B5,B2743)),1,0)))</f>
        <v/>
      </c>
      <c r="O2743" s="152">
        <f>IF(B2743="","",IF('02_대상물건입력'!B6="",1,IF(ISNUMBER(SEARCH('02_대상물건입력'!B6,B2743)),1,0)))</f>
        <v/>
      </c>
      <c r="P2743" s="152">
        <f>IF(L2743="","",IF('02_대상물건입력'!B15="",0,IF(ISNUMBER(SEARCH('02_대상물건입력'!B15,L2743)),1,0)))</f>
        <v/>
      </c>
      <c r="Q2743" s="152">
        <f>IF(OR(C2743="",L2743=""),0,IF(AND(TRIM(C2743)=TRIM(RIGHT(SUBSTITUTE(TRIM('02_대상물건입력'!$B$7)," ",REPT(" ",99)),99)),IF('02_대상물건입력'!B15="",TRUE(),ISNUMBER(SEARCH('02_대상물건입력'!B15,L2743)))),1,0))</f>
        <v/>
      </c>
      <c r="R2743" s="175">
        <f>IFERROR(ABS(E2743-'02_대상물건입력'!B11)/'02_대상물건입력'!B11,"")</f>
        <v/>
      </c>
      <c r="S2743" s="152">
        <f>IFERROR(ABS(J2743-'02_대상물건입력'!B10),"")</f>
        <v/>
      </c>
      <c r="T2743" s="152">
        <f>IFERROR(ABS('01_설정'!B4-F2743),"")</f>
        <v/>
      </c>
      <c r="U2743" s="152">
        <f>IFERROR(ABS(K2743-YEAR('02_대상물건입력'!B14)),"")</f>
        <v/>
      </c>
      <c r="V2743" s="152">
        <f>IF(B2743="","",IF(AND(E2743&gt;0,F2743&gt;0,H2743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2743=1,TRUE()),R2743&lt;='01_설정'!B5,S2743&lt;='01_설정'!B6,T2743&lt;='01_설정'!B7,U2743&lt;='01_설정'!B8),"Y",""))</f>
        <v/>
      </c>
      <c r="W2743" s="172">
        <f>IF(V2743&lt;&gt;"Y","",MAX(0,(1-R2743/'01_설정'!B5))*'01_설정'!B14+MAX(0,(1-S2743/'01_설정'!B6))*'01_설정'!B15+MAX(0,(1-T2743/'01_설정'!B7))*'01_설정'!B16+MAX(0,(1-U2743/'01_설정'!B8))*'01_설정'!B17+O2743*'01_설정'!B11+Q2743*'01_설정'!B12+P2743*'01_설정'!B13+IF(Z2743="",0,Z2743))</f>
        <v/>
      </c>
      <c r="X2743" s="152">
        <f>IF(W2743="","",1+COUNTIFS($W$4:$W$3003,"&gt;"&amp;W2743)+COUNTIFS($W$4:W2743,W2743)-1)</f>
        <v/>
      </c>
      <c r="Y2743" s="175">
        <f>IF(OR(I2743="",'02_대상물건입력'!B19="",'02_대상물건입력'!B19&lt;=0),"",ABS(I2743-'02_대상물건입력'!B19)/'02_대상물건입력'!B19)</f>
        <v/>
      </c>
      <c r="Z2743" s="172">
        <f>IF(OR(Y2743="",'01_설정'!B31="",'01_설정'!B31&lt;=0,'01_설정'!B32="",'01_설정'!B32&lt;=0),"",MAX(0,(1-Y2743/'01_설정'!B32))*'01_설정'!B31)</f>
        <v/>
      </c>
    </row>
    <row r="2744" ht="17.25" customHeight="1">
      <c r="A2744" s="152">
        <f>IF(INDEX('04A_국토부원자료'!$A:$A,ROW()+1)="","",ROW()-3)</f>
        <v/>
      </c>
      <c r="B2744" s="48">
        <f>IFERROR(INDEX('04A_국토부원자료'!$A:$T,ROW()+1,MATCH("시군구",'04A_국토부원자료'!$A$4:$T$4,0)),"")</f>
        <v/>
      </c>
      <c r="C2744" s="48">
        <f>IF(B2744="","",IFERROR(INDEX('04A_국토부원자료'!$A:$T,ROW()+1,MATCH("번지",'04A_국토부원자료'!$A$4:$T$4,0)),""))</f>
        <v/>
      </c>
      <c r="D2744" s="48">
        <f>IF(B2744="","",IF(Q2744=1,'02_대상물건입력'!$B$8,IFERROR(INDEX('04A_국토부원자료'!$A:$T,ROW()+1,MATCH("단지명",'04A_국토부원자료'!$A$4:$T$4,0)),"")))</f>
        <v/>
      </c>
      <c r="E2744" s="172">
        <f>IFERROR(VALUE(SUBSTITUTE(INDEX('04A_국토부원자료'!$A:$T,ROW()+1,MATCH("전용면적(㎡)",'04A_국토부원자료'!$A$4:$T$4,0)),",","")),"")</f>
        <v/>
      </c>
      <c r="F27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44" s="51">
        <f>IFERROR(VALUE(SUBSTITUTE(INDEX('04A_국토부원자료'!$A:$T,ROW()+1,MATCH("거래금액(만원)",'04A_국토부원자료'!$A$4:$T$4,0)),",","")),"")</f>
        <v/>
      </c>
      <c r="H2744" s="174">
        <f>IF(G2744="","",G2744*10000)</f>
        <v/>
      </c>
      <c r="I2744" s="174">
        <f>IFERROR(IF(AND(H2744&gt;0,E2744&gt;0),H2744/E2744,""),"")</f>
        <v/>
      </c>
      <c r="J2744" s="152">
        <f>IFERROR(VALUE(SUBSTITUTE(INDEX('04A_국토부원자료'!$A:$T,ROW()+1,MATCH("층",'04A_국토부원자료'!$A$4:$T$4,0)),",","")),"")</f>
        <v/>
      </c>
      <c r="K2744" s="152">
        <f>IFERROR(VALUE(SUBSTITUTE(INDEX('04A_국토부원자료'!$A:$T,ROW()+1,MATCH("건축년도",'04A_국토부원자료'!$A$4:$T$4,0)),",","")),"")</f>
        <v/>
      </c>
      <c r="L2744" s="48">
        <f>IFERROR(INDEX('04A_국토부원자료'!$A:$T,ROW()+1,MATCH("도로명",'04A_국토부원자료'!$A$4:$T$4,0)),"")</f>
        <v/>
      </c>
      <c r="M2744" s="48">
        <f>IFERROR(INDEX('04A_국토부원자료'!$A:$T,ROW()+1,MATCH("거래유형",'04A_국토부원자료'!$A$4:$T$4,0)),"")</f>
        <v/>
      </c>
      <c r="N2744" s="152">
        <f>IF(B2744="","",IF('02_대상물건입력'!B5="",1,IF(ISNUMBER(SEARCH('02_대상물건입력'!B5,B2744)),1,0)))</f>
        <v/>
      </c>
      <c r="O2744" s="152">
        <f>IF(B2744="","",IF('02_대상물건입력'!B6="",1,IF(ISNUMBER(SEARCH('02_대상물건입력'!B6,B2744)),1,0)))</f>
        <v/>
      </c>
      <c r="P2744" s="152">
        <f>IF(L2744="","",IF('02_대상물건입력'!B15="",0,IF(ISNUMBER(SEARCH('02_대상물건입력'!B15,L2744)),1,0)))</f>
        <v/>
      </c>
      <c r="Q2744" s="152">
        <f>IF(OR(C2744="",L2744=""),0,IF(AND(TRIM(C2744)=TRIM(RIGHT(SUBSTITUTE(TRIM('02_대상물건입력'!$B$7)," ",REPT(" ",99)),99)),IF('02_대상물건입력'!B15="",TRUE(),ISNUMBER(SEARCH('02_대상물건입력'!B15,L2744)))),1,0))</f>
        <v/>
      </c>
      <c r="R2744" s="175">
        <f>IFERROR(ABS(E2744-'02_대상물건입력'!B11)/'02_대상물건입력'!B11,"")</f>
        <v/>
      </c>
      <c r="S2744" s="152">
        <f>IFERROR(ABS(J2744-'02_대상물건입력'!B10),"")</f>
        <v/>
      </c>
      <c r="T2744" s="152">
        <f>IFERROR(ABS('01_설정'!B4-F2744),"")</f>
        <v/>
      </c>
      <c r="U2744" s="152">
        <f>IFERROR(ABS(K2744-YEAR('02_대상물건입력'!B14)),"")</f>
        <v/>
      </c>
      <c r="V2744" s="152">
        <f>IF(B2744="","",IF(AND(E2744&gt;0,F2744&gt;0,H2744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2744=1,TRUE()),R2744&lt;='01_설정'!B5,S2744&lt;='01_설정'!B6,T2744&lt;='01_설정'!B7,U2744&lt;='01_설정'!B8),"Y",""))</f>
        <v/>
      </c>
      <c r="W2744" s="172">
        <f>IF(V2744&lt;&gt;"Y","",MAX(0,(1-R2744/'01_설정'!B5))*'01_설정'!B14+MAX(0,(1-S2744/'01_설정'!B6))*'01_설정'!B15+MAX(0,(1-T2744/'01_설정'!B7))*'01_설정'!B16+MAX(0,(1-U2744/'01_설정'!B8))*'01_설정'!B17+O2744*'01_설정'!B11+Q2744*'01_설정'!B12+P2744*'01_설정'!B13+IF(Z2744="",0,Z2744))</f>
        <v/>
      </c>
      <c r="X2744" s="152">
        <f>IF(W2744="","",1+COUNTIFS($W$4:$W$3003,"&gt;"&amp;W2744)+COUNTIFS($W$4:W2744,W2744)-1)</f>
        <v/>
      </c>
      <c r="Y2744" s="175">
        <f>IF(OR(I2744="",'02_대상물건입력'!B19="",'02_대상물건입력'!B19&lt;=0),"",ABS(I2744-'02_대상물건입력'!B19)/'02_대상물건입력'!B19)</f>
        <v/>
      </c>
      <c r="Z2744" s="172">
        <f>IF(OR(Y2744="",'01_설정'!B31="",'01_설정'!B31&lt;=0,'01_설정'!B32="",'01_설정'!B32&lt;=0),"",MAX(0,(1-Y2744/'01_설정'!B32))*'01_설정'!B31)</f>
        <v/>
      </c>
    </row>
    <row r="2745" ht="17.25" customHeight="1">
      <c r="A2745" s="152">
        <f>IF(INDEX('04A_국토부원자료'!$A:$A,ROW()+1)="","",ROW()-3)</f>
        <v/>
      </c>
      <c r="B2745" s="48">
        <f>IFERROR(INDEX('04A_국토부원자료'!$A:$T,ROW()+1,MATCH("시군구",'04A_국토부원자료'!$A$4:$T$4,0)),"")</f>
        <v/>
      </c>
      <c r="C2745" s="48">
        <f>IF(B2745="","",IFERROR(INDEX('04A_국토부원자료'!$A:$T,ROW()+1,MATCH("번지",'04A_국토부원자료'!$A$4:$T$4,0)),""))</f>
        <v/>
      </c>
      <c r="D2745" s="48">
        <f>IF(B2745="","",IF(Q2745=1,'02_대상물건입력'!$B$8,IFERROR(INDEX('04A_국토부원자료'!$A:$T,ROW()+1,MATCH("단지명",'04A_국토부원자료'!$A$4:$T$4,0)),"")))</f>
        <v/>
      </c>
      <c r="E2745" s="172">
        <f>IFERROR(VALUE(SUBSTITUTE(INDEX('04A_국토부원자료'!$A:$T,ROW()+1,MATCH("전용면적(㎡)",'04A_국토부원자료'!$A$4:$T$4,0)),",","")),"")</f>
        <v/>
      </c>
      <c r="F27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45" s="51">
        <f>IFERROR(VALUE(SUBSTITUTE(INDEX('04A_국토부원자료'!$A:$T,ROW()+1,MATCH("거래금액(만원)",'04A_국토부원자료'!$A$4:$T$4,0)),",","")),"")</f>
        <v/>
      </c>
      <c r="H2745" s="174">
        <f>IF(G2745="","",G2745*10000)</f>
        <v/>
      </c>
      <c r="I2745" s="174">
        <f>IFERROR(IF(AND(H2745&gt;0,E2745&gt;0),H2745/E2745,""),"")</f>
        <v/>
      </c>
      <c r="J2745" s="152">
        <f>IFERROR(VALUE(SUBSTITUTE(INDEX('04A_국토부원자료'!$A:$T,ROW()+1,MATCH("층",'04A_국토부원자료'!$A$4:$T$4,0)),",","")),"")</f>
        <v/>
      </c>
      <c r="K2745" s="152">
        <f>IFERROR(VALUE(SUBSTITUTE(INDEX('04A_국토부원자료'!$A:$T,ROW()+1,MATCH("건축년도",'04A_국토부원자료'!$A$4:$T$4,0)),",","")),"")</f>
        <v/>
      </c>
      <c r="L2745" s="48">
        <f>IFERROR(INDEX('04A_국토부원자료'!$A:$T,ROW()+1,MATCH("도로명",'04A_국토부원자료'!$A$4:$T$4,0)),"")</f>
        <v/>
      </c>
      <c r="M2745" s="48">
        <f>IFERROR(INDEX('04A_국토부원자료'!$A:$T,ROW()+1,MATCH("거래유형",'04A_국토부원자료'!$A$4:$T$4,0)),"")</f>
        <v/>
      </c>
      <c r="N2745" s="152">
        <f>IF(B2745="","",IF('02_대상물건입력'!B5="",1,IF(ISNUMBER(SEARCH('02_대상물건입력'!B5,B2745)),1,0)))</f>
        <v/>
      </c>
      <c r="O2745" s="152">
        <f>IF(B2745="","",IF('02_대상물건입력'!B6="",1,IF(ISNUMBER(SEARCH('02_대상물건입력'!B6,B2745)),1,0)))</f>
        <v/>
      </c>
      <c r="P2745" s="152">
        <f>IF(L2745="","",IF('02_대상물건입력'!B15="",0,IF(ISNUMBER(SEARCH('02_대상물건입력'!B15,L2745)),1,0)))</f>
        <v/>
      </c>
      <c r="Q2745" s="152">
        <f>IF(OR(C2745="",L2745=""),0,IF(AND(TRIM(C2745)=TRIM(RIGHT(SUBSTITUTE(TRIM('02_대상물건입력'!$B$7)," ",REPT(" ",99)),99)),IF('02_대상물건입력'!B15="",TRUE(),ISNUMBER(SEARCH('02_대상물건입력'!B15,L2745)))),1,0))</f>
        <v/>
      </c>
      <c r="R2745" s="175">
        <f>IFERROR(ABS(E2745-'02_대상물건입력'!B11)/'02_대상물건입력'!B11,"")</f>
        <v/>
      </c>
      <c r="S2745" s="152">
        <f>IFERROR(ABS(J2745-'02_대상물건입력'!B10),"")</f>
        <v/>
      </c>
      <c r="T2745" s="152">
        <f>IFERROR(ABS('01_설정'!B4-F2745),"")</f>
        <v/>
      </c>
      <c r="U2745" s="152">
        <f>IFERROR(ABS(K2745-YEAR('02_대상물건입력'!B14)),"")</f>
        <v/>
      </c>
      <c r="V2745" s="152">
        <f>IF(B2745="","",IF(AND(E2745&gt;0,F2745&gt;0,H2745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2745=1,TRUE()),R2745&lt;='01_설정'!B5,S2745&lt;='01_설정'!B6,T2745&lt;='01_설정'!B7,U2745&lt;='01_설정'!B8),"Y",""))</f>
        <v/>
      </c>
      <c r="W2745" s="172">
        <f>IF(V2745&lt;&gt;"Y","",MAX(0,(1-R2745/'01_설정'!B5))*'01_설정'!B14+MAX(0,(1-S2745/'01_설정'!B6))*'01_설정'!B15+MAX(0,(1-T2745/'01_설정'!B7))*'01_설정'!B16+MAX(0,(1-U2745/'01_설정'!B8))*'01_설정'!B17+O2745*'01_설정'!B11+Q2745*'01_설정'!B12+P2745*'01_설정'!B13+IF(Z2745="",0,Z2745))</f>
        <v/>
      </c>
      <c r="X2745" s="152">
        <f>IF(W2745="","",1+COUNTIFS($W$4:$W$3003,"&gt;"&amp;W2745)+COUNTIFS($W$4:W2745,W2745)-1)</f>
        <v/>
      </c>
      <c r="Y2745" s="175">
        <f>IF(OR(I2745="",'02_대상물건입력'!B19="",'02_대상물건입력'!B19&lt;=0),"",ABS(I2745-'02_대상물건입력'!B19)/'02_대상물건입력'!B19)</f>
        <v/>
      </c>
      <c r="Z2745" s="172">
        <f>IF(OR(Y2745="",'01_설정'!B31="",'01_설정'!B31&lt;=0,'01_설정'!B32="",'01_설정'!B32&lt;=0),"",MAX(0,(1-Y2745/'01_설정'!B32))*'01_설정'!B31)</f>
        <v/>
      </c>
    </row>
    <row r="2746" ht="17.25" customHeight="1">
      <c r="A2746" s="152">
        <f>IF(INDEX('04A_국토부원자료'!$A:$A,ROW()+1)="","",ROW()-3)</f>
        <v/>
      </c>
      <c r="B2746" s="48">
        <f>IFERROR(INDEX('04A_국토부원자료'!$A:$T,ROW()+1,MATCH("시군구",'04A_국토부원자료'!$A$4:$T$4,0)),"")</f>
        <v/>
      </c>
      <c r="C2746" s="48">
        <f>IF(B2746="","",IFERROR(INDEX('04A_국토부원자료'!$A:$T,ROW()+1,MATCH("번지",'04A_국토부원자료'!$A$4:$T$4,0)),""))</f>
        <v/>
      </c>
      <c r="D2746" s="48">
        <f>IF(B2746="","",IF(Q2746=1,'02_대상물건입력'!$B$8,IFERROR(INDEX('04A_국토부원자료'!$A:$T,ROW()+1,MATCH("단지명",'04A_국토부원자료'!$A$4:$T$4,0)),"")))</f>
        <v/>
      </c>
      <c r="E2746" s="172">
        <f>IFERROR(VALUE(SUBSTITUTE(INDEX('04A_국토부원자료'!$A:$T,ROW()+1,MATCH("전용면적(㎡)",'04A_국토부원자료'!$A$4:$T$4,0)),",","")),"")</f>
        <v/>
      </c>
      <c r="F27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46" s="51">
        <f>IFERROR(VALUE(SUBSTITUTE(INDEX('04A_국토부원자료'!$A:$T,ROW()+1,MATCH("거래금액(만원)",'04A_국토부원자료'!$A$4:$T$4,0)),",","")),"")</f>
        <v/>
      </c>
      <c r="H2746" s="174">
        <f>IF(G2746="","",G2746*10000)</f>
        <v/>
      </c>
      <c r="I2746" s="174">
        <f>IFERROR(IF(AND(H2746&gt;0,E2746&gt;0),H2746/E2746,""),"")</f>
        <v/>
      </c>
      <c r="J2746" s="152">
        <f>IFERROR(VALUE(SUBSTITUTE(INDEX('04A_국토부원자료'!$A:$T,ROW()+1,MATCH("층",'04A_국토부원자료'!$A$4:$T$4,0)),",","")),"")</f>
        <v/>
      </c>
      <c r="K2746" s="152">
        <f>IFERROR(VALUE(SUBSTITUTE(INDEX('04A_국토부원자료'!$A:$T,ROW()+1,MATCH("건축년도",'04A_국토부원자료'!$A$4:$T$4,0)),",","")),"")</f>
        <v/>
      </c>
      <c r="L2746" s="48">
        <f>IFERROR(INDEX('04A_국토부원자료'!$A:$T,ROW()+1,MATCH("도로명",'04A_국토부원자료'!$A$4:$T$4,0)),"")</f>
        <v/>
      </c>
      <c r="M2746" s="48">
        <f>IFERROR(INDEX('04A_국토부원자료'!$A:$T,ROW()+1,MATCH("거래유형",'04A_국토부원자료'!$A$4:$T$4,0)),"")</f>
        <v/>
      </c>
      <c r="N2746" s="152">
        <f>IF(B2746="","",IF('02_대상물건입력'!B5="",1,IF(ISNUMBER(SEARCH('02_대상물건입력'!B5,B2746)),1,0)))</f>
        <v/>
      </c>
      <c r="O2746" s="152">
        <f>IF(B2746="","",IF('02_대상물건입력'!B6="",1,IF(ISNUMBER(SEARCH('02_대상물건입력'!B6,B2746)),1,0)))</f>
        <v/>
      </c>
      <c r="P2746" s="152">
        <f>IF(L2746="","",IF('02_대상물건입력'!B15="",0,IF(ISNUMBER(SEARCH('02_대상물건입력'!B15,L2746)),1,0)))</f>
        <v/>
      </c>
      <c r="Q2746" s="152">
        <f>IF(OR(C2746="",L2746=""),0,IF(AND(TRIM(C2746)=TRIM(RIGHT(SUBSTITUTE(TRIM('02_대상물건입력'!$B$7)," ",REPT(" ",99)),99)),IF('02_대상물건입력'!B15="",TRUE(),ISNUMBER(SEARCH('02_대상물건입력'!B15,L2746)))),1,0))</f>
        <v/>
      </c>
      <c r="R2746" s="175">
        <f>IFERROR(ABS(E2746-'02_대상물건입력'!B11)/'02_대상물건입력'!B11,"")</f>
        <v/>
      </c>
      <c r="S2746" s="152">
        <f>IFERROR(ABS(J2746-'02_대상물건입력'!B10),"")</f>
        <v/>
      </c>
      <c r="T2746" s="152">
        <f>IFERROR(ABS('01_설정'!B4-F2746),"")</f>
        <v/>
      </c>
      <c r="U2746" s="152">
        <f>IFERROR(ABS(K2746-YEAR('02_대상물건입력'!B14)),"")</f>
        <v/>
      </c>
      <c r="V2746" s="152">
        <f>IF(B2746="","",IF(AND(E2746&gt;0,F2746&gt;0,H2746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2746=1,TRUE()),R2746&lt;='01_설정'!B5,S2746&lt;='01_설정'!B6,T2746&lt;='01_설정'!B7,U2746&lt;='01_설정'!B8),"Y",""))</f>
        <v/>
      </c>
      <c r="W2746" s="172">
        <f>IF(V2746&lt;&gt;"Y","",MAX(0,(1-R2746/'01_설정'!B5))*'01_설정'!B14+MAX(0,(1-S2746/'01_설정'!B6))*'01_설정'!B15+MAX(0,(1-T2746/'01_설정'!B7))*'01_설정'!B16+MAX(0,(1-U2746/'01_설정'!B8))*'01_설정'!B17+O2746*'01_설정'!B11+Q2746*'01_설정'!B12+P2746*'01_설정'!B13+IF(Z2746="",0,Z2746))</f>
        <v/>
      </c>
      <c r="X2746" s="152">
        <f>IF(W2746="","",1+COUNTIFS($W$4:$W$3003,"&gt;"&amp;W2746)+COUNTIFS($W$4:W2746,W2746)-1)</f>
        <v/>
      </c>
      <c r="Y2746" s="175">
        <f>IF(OR(I2746="",'02_대상물건입력'!B19="",'02_대상물건입력'!B19&lt;=0),"",ABS(I2746-'02_대상물건입력'!B19)/'02_대상물건입력'!B19)</f>
        <v/>
      </c>
      <c r="Z2746" s="172">
        <f>IF(OR(Y2746="",'01_설정'!B31="",'01_설정'!B31&lt;=0,'01_설정'!B32="",'01_설정'!B32&lt;=0),"",MAX(0,(1-Y2746/'01_설정'!B32))*'01_설정'!B31)</f>
        <v/>
      </c>
    </row>
    <row r="2747" ht="17.25" customHeight="1">
      <c r="A2747" s="152">
        <f>IF(INDEX('04A_국토부원자료'!$A:$A,ROW()+1)="","",ROW()-3)</f>
        <v/>
      </c>
      <c r="B2747" s="48">
        <f>IFERROR(INDEX('04A_국토부원자료'!$A:$T,ROW()+1,MATCH("시군구",'04A_국토부원자료'!$A$4:$T$4,0)),"")</f>
        <v/>
      </c>
      <c r="C2747" s="48">
        <f>IF(B2747="","",IFERROR(INDEX('04A_국토부원자료'!$A:$T,ROW()+1,MATCH("번지",'04A_국토부원자료'!$A$4:$T$4,0)),""))</f>
        <v/>
      </c>
      <c r="D2747" s="48">
        <f>IF(B2747="","",IF(Q2747=1,'02_대상물건입력'!$B$8,IFERROR(INDEX('04A_국토부원자료'!$A:$T,ROW()+1,MATCH("단지명",'04A_국토부원자료'!$A$4:$T$4,0)),"")))</f>
        <v/>
      </c>
      <c r="E2747" s="172">
        <f>IFERROR(VALUE(SUBSTITUTE(INDEX('04A_국토부원자료'!$A:$T,ROW()+1,MATCH("전용면적(㎡)",'04A_국토부원자료'!$A$4:$T$4,0)),",","")),"")</f>
        <v/>
      </c>
      <c r="F27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47" s="51">
        <f>IFERROR(VALUE(SUBSTITUTE(INDEX('04A_국토부원자료'!$A:$T,ROW()+1,MATCH("거래금액(만원)",'04A_국토부원자료'!$A$4:$T$4,0)),",","")),"")</f>
        <v/>
      </c>
      <c r="H2747" s="174">
        <f>IF(G2747="","",G2747*10000)</f>
        <v/>
      </c>
      <c r="I2747" s="174">
        <f>IFERROR(IF(AND(H2747&gt;0,E2747&gt;0),H2747/E2747,""),"")</f>
        <v/>
      </c>
      <c r="J2747" s="152">
        <f>IFERROR(VALUE(SUBSTITUTE(INDEX('04A_국토부원자료'!$A:$T,ROW()+1,MATCH("층",'04A_국토부원자료'!$A$4:$T$4,0)),",","")),"")</f>
        <v/>
      </c>
      <c r="K2747" s="152">
        <f>IFERROR(VALUE(SUBSTITUTE(INDEX('04A_국토부원자료'!$A:$T,ROW()+1,MATCH("건축년도",'04A_국토부원자료'!$A$4:$T$4,0)),",","")),"")</f>
        <v/>
      </c>
      <c r="L2747" s="48">
        <f>IFERROR(INDEX('04A_국토부원자료'!$A:$T,ROW()+1,MATCH("도로명",'04A_국토부원자료'!$A$4:$T$4,0)),"")</f>
        <v/>
      </c>
      <c r="M2747" s="48">
        <f>IFERROR(INDEX('04A_국토부원자료'!$A:$T,ROW()+1,MATCH("거래유형",'04A_국토부원자료'!$A$4:$T$4,0)),"")</f>
        <v/>
      </c>
      <c r="N2747" s="152">
        <f>IF(B2747="","",IF('02_대상물건입력'!B5="",1,IF(ISNUMBER(SEARCH('02_대상물건입력'!B5,B2747)),1,0)))</f>
        <v/>
      </c>
      <c r="O2747" s="152">
        <f>IF(B2747="","",IF('02_대상물건입력'!B6="",1,IF(ISNUMBER(SEARCH('02_대상물건입력'!B6,B2747)),1,0)))</f>
        <v/>
      </c>
      <c r="P2747" s="152">
        <f>IF(L2747="","",IF('02_대상물건입력'!B15="",0,IF(ISNUMBER(SEARCH('02_대상물건입력'!B15,L2747)),1,0)))</f>
        <v/>
      </c>
      <c r="Q2747" s="152">
        <f>IF(OR(C2747="",L2747=""),0,IF(AND(TRIM(C2747)=TRIM(RIGHT(SUBSTITUTE(TRIM('02_대상물건입력'!$B$7)," ",REPT(" ",99)),99)),IF('02_대상물건입력'!B15="",TRUE(),ISNUMBER(SEARCH('02_대상물건입력'!B15,L2747)))),1,0))</f>
        <v/>
      </c>
      <c r="R2747" s="175">
        <f>IFERROR(ABS(E2747-'02_대상물건입력'!B11)/'02_대상물건입력'!B11,"")</f>
        <v/>
      </c>
      <c r="S2747" s="152">
        <f>IFERROR(ABS(J2747-'02_대상물건입력'!B10),"")</f>
        <v/>
      </c>
      <c r="T2747" s="152">
        <f>IFERROR(ABS('01_설정'!B4-F2747),"")</f>
        <v/>
      </c>
      <c r="U2747" s="152">
        <f>IFERROR(ABS(K2747-YEAR('02_대상물건입력'!B14)),"")</f>
        <v/>
      </c>
      <c r="V2747" s="152">
        <f>IF(B2747="","",IF(AND(E2747&gt;0,F2747&gt;0,H2747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2747=1,TRUE()),R2747&lt;='01_설정'!B5,S2747&lt;='01_설정'!B6,T2747&lt;='01_설정'!B7,U2747&lt;='01_설정'!B8),"Y",""))</f>
        <v/>
      </c>
      <c r="W2747" s="172">
        <f>IF(V2747&lt;&gt;"Y","",MAX(0,(1-R2747/'01_설정'!B5))*'01_설정'!B14+MAX(0,(1-S2747/'01_설정'!B6))*'01_설정'!B15+MAX(0,(1-T2747/'01_설정'!B7))*'01_설정'!B16+MAX(0,(1-U2747/'01_설정'!B8))*'01_설정'!B17+O2747*'01_설정'!B11+Q2747*'01_설정'!B12+P2747*'01_설정'!B13+IF(Z2747="",0,Z2747))</f>
        <v/>
      </c>
      <c r="X2747" s="152">
        <f>IF(W2747="","",1+COUNTIFS($W$4:$W$3003,"&gt;"&amp;W2747)+COUNTIFS($W$4:W2747,W2747)-1)</f>
        <v/>
      </c>
      <c r="Y2747" s="175">
        <f>IF(OR(I2747="",'02_대상물건입력'!B19="",'02_대상물건입력'!B19&lt;=0),"",ABS(I2747-'02_대상물건입력'!B19)/'02_대상물건입력'!B19)</f>
        <v/>
      </c>
      <c r="Z2747" s="172">
        <f>IF(OR(Y2747="",'01_설정'!B31="",'01_설정'!B31&lt;=0,'01_설정'!B32="",'01_설정'!B32&lt;=0),"",MAX(0,(1-Y2747/'01_설정'!B32))*'01_설정'!B31)</f>
        <v/>
      </c>
    </row>
    <row r="2748" ht="17.25" customHeight="1">
      <c r="A2748" s="152">
        <f>IF(INDEX('04A_국토부원자료'!$A:$A,ROW()+1)="","",ROW()-3)</f>
        <v/>
      </c>
      <c r="B2748" s="48">
        <f>IFERROR(INDEX('04A_국토부원자료'!$A:$T,ROW()+1,MATCH("시군구",'04A_국토부원자료'!$A$4:$T$4,0)),"")</f>
        <v/>
      </c>
      <c r="C2748" s="48">
        <f>IF(B2748="","",IFERROR(INDEX('04A_국토부원자료'!$A:$T,ROW()+1,MATCH("번지",'04A_국토부원자료'!$A$4:$T$4,0)),""))</f>
        <v/>
      </c>
      <c r="D2748" s="48">
        <f>IF(B2748="","",IF(Q2748=1,'02_대상물건입력'!$B$8,IFERROR(INDEX('04A_국토부원자료'!$A:$T,ROW()+1,MATCH("단지명",'04A_국토부원자료'!$A$4:$T$4,0)),"")))</f>
        <v/>
      </c>
      <c r="E2748" s="172">
        <f>IFERROR(VALUE(SUBSTITUTE(INDEX('04A_국토부원자료'!$A:$T,ROW()+1,MATCH("전용면적(㎡)",'04A_국토부원자료'!$A$4:$T$4,0)),",","")),"")</f>
        <v/>
      </c>
      <c r="F27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48" s="51">
        <f>IFERROR(VALUE(SUBSTITUTE(INDEX('04A_국토부원자료'!$A:$T,ROW()+1,MATCH("거래금액(만원)",'04A_국토부원자료'!$A$4:$T$4,0)),",","")),"")</f>
        <v/>
      </c>
      <c r="H2748" s="174">
        <f>IF(G2748="","",G2748*10000)</f>
        <v/>
      </c>
      <c r="I2748" s="174">
        <f>IFERROR(IF(AND(H2748&gt;0,E2748&gt;0),H2748/E2748,""),"")</f>
        <v/>
      </c>
      <c r="J2748" s="152">
        <f>IFERROR(VALUE(SUBSTITUTE(INDEX('04A_국토부원자료'!$A:$T,ROW()+1,MATCH("층",'04A_국토부원자료'!$A$4:$T$4,0)),",","")),"")</f>
        <v/>
      </c>
      <c r="K2748" s="152">
        <f>IFERROR(VALUE(SUBSTITUTE(INDEX('04A_국토부원자료'!$A:$T,ROW()+1,MATCH("건축년도",'04A_국토부원자료'!$A$4:$T$4,0)),",","")),"")</f>
        <v/>
      </c>
      <c r="L2748" s="48">
        <f>IFERROR(INDEX('04A_국토부원자료'!$A:$T,ROW()+1,MATCH("도로명",'04A_국토부원자료'!$A$4:$T$4,0)),"")</f>
        <v/>
      </c>
      <c r="M2748" s="48">
        <f>IFERROR(INDEX('04A_국토부원자료'!$A:$T,ROW()+1,MATCH("거래유형",'04A_국토부원자료'!$A$4:$T$4,0)),"")</f>
        <v/>
      </c>
      <c r="N2748" s="152">
        <f>IF(B2748="","",IF('02_대상물건입력'!B5="",1,IF(ISNUMBER(SEARCH('02_대상물건입력'!B5,B2748)),1,0)))</f>
        <v/>
      </c>
      <c r="O2748" s="152">
        <f>IF(B2748="","",IF('02_대상물건입력'!B6="",1,IF(ISNUMBER(SEARCH('02_대상물건입력'!B6,B2748)),1,0)))</f>
        <v/>
      </c>
      <c r="P2748" s="152">
        <f>IF(L2748="","",IF('02_대상물건입력'!B15="",0,IF(ISNUMBER(SEARCH('02_대상물건입력'!B15,L2748)),1,0)))</f>
        <v/>
      </c>
      <c r="Q2748" s="152">
        <f>IF(OR(C2748="",L2748=""),0,IF(AND(TRIM(C2748)=TRIM(RIGHT(SUBSTITUTE(TRIM('02_대상물건입력'!$B$7)," ",REPT(" ",99)),99)),IF('02_대상물건입력'!B15="",TRUE(),ISNUMBER(SEARCH('02_대상물건입력'!B15,L2748)))),1,0))</f>
        <v/>
      </c>
      <c r="R2748" s="175">
        <f>IFERROR(ABS(E2748-'02_대상물건입력'!B11)/'02_대상물건입력'!B11,"")</f>
        <v/>
      </c>
      <c r="S2748" s="152">
        <f>IFERROR(ABS(J2748-'02_대상물건입력'!B10),"")</f>
        <v/>
      </c>
      <c r="T2748" s="152">
        <f>IFERROR(ABS('01_설정'!B4-F2748),"")</f>
        <v/>
      </c>
      <c r="U2748" s="152">
        <f>IFERROR(ABS(K2748-YEAR('02_대상물건입력'!B14)),"")</f>
        <v/>
      </c>
      <c r="V2748" s="152">
        <f>IF(B2748="","",IF(AND(E2748&gt;0,F2748&gt;0,H2748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2748=1,TRUE()),R2748&lt;='01_설정'!B5,S2748&lt;='01_설정'!B6,T2748&lt;='01_설정'!B7,U2748&lt;='01_설정'!B8),"Y",""))</f>
        <v/>
      </c>
      <c r="W2748" s="172">
        <f>IF(V2748&lt;&gt;"Y","",MAX(0,(1-R2748/'01_설정'!B5))*'01_설정'!B14+MAX(0,(1-S2748/'01_설정'!B6))*'01_설정'!B15+MAX(0,(1-T2748/'01_설정'!B7))*'01_설정'!B16+MAX(0,(1-U2748/'01_설정'!B8))*'01_설정'!B17+O2748*'01_설정'!B11+Q2748*'01_설정'!B12+P2748*'01_설정'!B13+IF(Z2748="",0,Z2748))</f>
        <v/>
      </c>
      <c r="X2748" s="152">
        <f>IF(W2748="","",1+COUNTIFS($W$4:$W$3003,"&gt;"&amp;W2748)+COUNTIFS($W$4:W2748,W2748)-1)</f>
        <v/>
      </c>
      <c r="Y2748" s="175">
        <f>IF(OR(I2748="",'02_대상물건입력'!B19="",'02_대상물건입력'!B19&lt;=0),"",ABS(I2748-'02_대상물건입력'!B19)/'02_대상물건입력'!B19)</f>
        <v/>
      </c>
      <c r="Z2748" s="172">
        <f>IF(OR(Y2748="",'01_설정'!B31="",'01_설정'!B31&lt;=0,'01_설정'!B32="",'01_설정'!B32&lt;=0),"",MAX(0,(1-Y2748/'01_설정'!B32))*'01_설정'!B31)</f>
        <v/>
      </c>
    </row>
    <row r="2749" ht="17.25" customHeight="1">
      <c r="A2749" s="152">
        <f>IF(INDEX('04A_국토부원자료'!$A:$A,ROW()+1)="","",ROW()-3)</f>
        <v/>
      </c>
      <c r="B2749" s="48">
        <f>IFERROR(INDEX('04A_국토부원자료'!$A:$T,ROW()+1,MATCH("시군구",'04A_국토부원자료'!$A$4:$T$4,0)),"")</f>
        <v/>
      </c>
      <c r="C2749" s="48">
        <f>IF(B2749="","",IFERROR(INDEX('04A_국토부원자료'!$A:$T,ROW()+1,MATCH("번지",'04A_국토부원자료'!$A$4:$T$4,0)),""))</f>
        <v/>
      </c>
      <c r="D2749" s="48">
        <f>IF(B2749="","",IF(Q2749=1,'02_대상물건입력'!$B$8,IFERROR(INDEX('04A_국토부원자료'!$A:$T,ROW()+1,MATCH("단지명",'04A_국토부원자료'!$A$4:$T$4,0)),"")))</f>
        <v/>
      </c>
      <c r="E2749" s="172">
        <f>IFERROR(VALUE(SUBSTITUTE(INDEX('04A_국토부원자료'!$A:$T,ROW()+1,MATCH("전용면적(㎡)",'04A_국토부원자료'!$A$4:$T$4,0)),",","")),"")</f>
        <v/>
      </c>
      <c r="F27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49" s="51">
        <f>IFERROR(VALUE(SUBSTITUTE(INDEX('04A_국토부원자료'!$A:$T,ROW()+1,MATCH("거래금액(만원)",'04A_국토부원자료'!$A$4:$T$4,0)),",","")),"")</f>
        <v/>
      </c>
      <c r="H2749" s="174">
        <f>IF(G2749="","",G2749*10000)</f>
        <v/>
      </c>
      <c r="I2749" s="174">
        <f>IFERROR(IF(AND(H2749&gt;0,E2749&gt;0),H2749/E2749,""),"")</f>
        <v/>
      </c>
      <c r="J2749" s="152">
        <f>IFERROR(VALUE(SUBSTITUTE(INDEX('04A_국토부원자료'!$A:$T,ROW()+1,MATCH("층",'04A_국토부원자료'!$A$4:$T$4,0)),",","")),"")</f>
        <v/>
      </c>
      <c r="K2749" s="152">
        <f>IFERROR(VALUE(SUBSTITUTE(INDEX('04A_국토부원자료'!$A:$T,ROW()+1,MATCH("건축년도",'04A_국토부원자료'!$A$4:$T$4,0)),",","")),"")</f>
        <v/>
      </c>
      <c r="L2749" s="48">
        <f>IFERROR(INDEX('04A_국토부원자료'!$A:$T,ROW()+1,MATCH("도로명",'04A_국토부원자료'!$A$4:$T$4,0)),"")</f>
        <v/>
      </c>
      <c r="M2749" s="48">
        <f>IFERROR(INDEX('04A_국토부원자료'!$A:$T,ROW()+1,MATCH("거래유형",'04A_국토부원자료'!$A$4:$T$4,0)),"")</f>
        <v/>
      </c>
      <c r="N2749" s="152">
        <f>IF(B2749="","",IF('02_대상물건입력'!B5="",1,IF(ISNUMBER(SEARCH('02_대상물건입력'!B5,B2749)),1,0)))</f>
        <v/>
      </c>
      <c r="O2749" s="152">
        <f>IF(B2749="","",IF('02_대상물건입력'!B6="",1,IF(ISNUMBER(SEARCH('02_대상물건입력'!B6,B2749)),1,0)))</f>
        <v/>
      </c>
      <c r="P2749" s="152">
        <f>IF(L2749="","",IF('02_대상물건입력'!B15="",0,IF(ISNUMBER(SEARCH('02_대상물건입력'!B15,L2749)),1,0)))</f>
        <v/>
      </c>
      <c r="Q2749" s="152">
        <f>IF(OR(C2749="",L2749=""),0,IF(AND(TRIM(C2749)=TRIM(RIGHT(SUBSTITUTE(TRIM('02_대상물건입력'!$B$7)," ",REPT(" ",99)),99)),IF('02_대상물건입력'!B15="",TRUE(),ISNUMBER(SEARCH('02_대상물건입력'!B15,L2749)))),1,0))</f>
        <v/>
      </c>
      <c r="R2749" s="175">
        <f>IFERROR(ABS(E2749-'02_대상물건입력'!B11)/'02_대상물건입력'!B11,"")</f>
        <v/>
      </c>
      <c r="S2749" s="152">
        <f>IFERROR(ABS(J2749-'02_대상물건입력'!B10),"")</f>
        <v/>
      </c>
      <c r="T2749" s="152">
        <f>IFERROR(ABS('01_설정'!B4-F2749),"")</f>
        <v/>
      </c>
      <c r="U2749" s="152">
        <f>IFERROR(ABS(K2749-YEAR('02_대상물건입력'!B14)),"")</f>
        <v/>
      </c>
      <c r="V2749" s="152">
        <f>IF(B2749="","",IF(AND(E2749&gt;0,F2749&gt;0,H2749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2749=1,TRUE()),R2749&lt;='01_설정'!B5,S2749&lt;='01_설정'!B6,T2749&lt;='01_설정'!B7,U2749&lt;='01_설정'!B8),"Y",""))</f>
        <v/>
      </c>
      <c r="W2749" s="172">
        <f>IF(V2749&lt;&gt;"Y","",MAX(0,(1-R2749/'01_설정'!B5))*'01_설정'!B14+MAX(0,(1-S2749/'01_설정'!B6))*'01_설정'!B15+MAX(0,(1-T2749/'01_설정'!B7))*'01_설정'!B16+MAX(0,(1-U2749/'01_설정'!B8))*'01_설정'!B17+O2749*'01_설정'!B11+Q2749*'01_설정'!B12+P2749*'01_설정'!B13+IF(Z2749="",0,Z2749))</f>
        <v/>
      </c>
      <c r="X2749" s="152">
        <f>IF(W2749="","",1+COUNTIFS($W$4:$W$3003,"&gt;"&amp;W2749)+COUNTIFS($W$4:W2749,W2749)-1)</f>
        <v/>
      </c>
      <c r="Y2749" s="175">
        <f>IF(OR(I2749="",'02_대상물건입력'!B19="",'02_대상물건입력'!B19&lt;=0),"",ABS(I2749-'02_대상물건입력'!B19)/'02_대상물건입력'!B19)</f>
        <v/>
      </c>
      <c r="Z2749" s="172">
        <f>IF(OR(Y2749="",'01_설정'!B31="",'01_설정'!B31&lt;=0,'01_설정'!B32="",'01_설정'!B32&lt;=0),"",MAX(0,(1-Y2749/'01_설정'!B32))*'01_설정'!B31)</f>
        <v/>
      </c>
    </row>
    <row r="2750" ht="17.25" customHeight="1">
      <c r="A2750" s="152">
        <f>IF(INDEX('04A_국토부원자료'!$A:$A,ROW()+1)="","",ROW()-3)</f>
        <v/>
      </c>
      <c r="B2750" s="48">
        <f>IFERROR(INDEX('04A_국토부원자료'!$A:$T,ROW()+1,MATCH("시군구",'04A_국토부원자료'!$A$4:$T$4,0)),"")</f>
        <v/>
      </c>
      <c r="C2750" s="48">
        <f>IF(B2750="","",IFERROR(INDEX('04A_국토부원자료'!$A:$T,ROW()+1,MATCH("번지",'04A_국토부원자료'!$A$4:$T$4,0)),""))</f>
        <v/>
      </c>
      <c r="D2750" s="48">
        <f>IF(B2750="","",IF(Q2750=1,'02_대상물건입력'!$B$8,IFERROR(INDEX('04A_국토부원자료'!$A:$T,ROW()+1,MATCH("단지명",'04A_국토부원자료'!$A$4:$T$4,0)),"")))</f>
        <v/>
      </c>
      <c r="E2750" s="172">
        <f>IFERROR(VALUE(SUBSTITUTE(INDEX('04A_국토부원자료'!$A:$T,ROW()+1,MATCH("전용면적(㎡)",'04A_국토부원자료'!$A$4:$T$4,0)),",","")),"")</f>
        <v/>
      </c>
      <c r="F27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50" s="51">
        <f>IFERROR(VALUE(SUBSTITUTE(INDEX('04A_국토부원자료'!$A:$T,ROW()+1,MATCH("거래금액(만원)",'04A_국토부원자료'!$A$4:$T$4,0)),",","")),"")</f>
        <v/>
      </c>
      <c r="H2750" s="174">
        <f>IF(G2750="","",G2750*10000)</f>
        <v/>
      </c>
      <c r="I2750" s="174">
        <f>IFERROR(IF(AND(H2750&gt;0,E2750&gt;0),H2750/E2750,""),"")</f>
        <v/>
      </c>
      <c r="J2750" s="152">
        <f>IFERROR(VALUE(SUBSTITUTE(INDEX('04A_국토부원자료'!$A:$T,ROW()+1,MATCH("층",'04A_국토부원자료'!$A$4:$T$4,0)),",","")),"")</f>
        <v/>
      </c>
      <c r="K2750" s="152">
        <f>IFERROR(VALUE(SUBSTITUTE(INDEX('04A_국토부원자료'!$A:$T,ROW()+1,MATCH("건축년도",'04A_국토부원자료'!$A$4:$T$4,0)),",","")),"")</f>
        <v/>
      </c>
      <c r="L2750" s="48">
        <f>IFERROR(INDEX('04A_국토부원자료'!$A:$T,ROW()+1,MATCH("도로명",'04A_국토부원자료'!$A$4:$T$4,0)),"")</f>
        <v/>
      </c>
      <c r="M2750" s="48">
        <f>IFERROR(INDEX('04A_국토부원자료'!$A:$T,ROW()+1,MATCH("거래유형",'04A_국토부원자료'!$A$4:$T$4,0)),"")</f>
        <v/>
      </c>
      <c r="N2750" s="152">
        <f>IF(B2750="","",IF('02_대상물건입력'!B5="",1,IF(ISNUMBER(SEARCH('02_대상물건입력'!B5,B2750)),1,0)))</f>
        <v/>
      </c>
      <c r="O2750" s="152">
        <f>IF(B2750="","",IF('02_대상물건입력'!B6="",1,IF(ISNUMBER(SEARCH('02_대상물건입력'!B6,B2750)),1,0)))</f>
        <v/>
      </c>
      <c r="P2750" s="152">
        <f>IF(L2750="","",IF('02_대상물건입력'!B15="",0,IF(ISNUMBER(SEARCH('02_대상물건입력'!B15,L2750)),1,0)))</f>
        <v/>
      </c>
      <c r="Q2750" s="152">
        <f>IF(OR(C2750="",L2750=""),0,IF(AND(TRIM(C2750)=TRIM(RIGHT(SUBSTITUTE(TRIM('02_대상물건입력'!$B$7)," ",REPT(" ",99)),99)),IF('02_대상물건입력'!B15="",TRUE(),ISNUMBER(SEARCH('02_대상물건입력'!B15,L2750)))),1,0))</f>
        <v/>
      </c>
      <c r="R2750" s="175">
        <f>IFERROR(ABS(E2750-'02_대상물건입력'!B11)/'02_대상물건입력'!B11,"")</f>
        <v/>
      </c>
      <c r="S2750" s="152">
        <f>IFERROR(ABS(J2750-'02_대상물건입력'!B10),"")</f>
        <v/>
      </c>
      <c r="T2750" s="152">
        <f>IFERROR(ABS('01_설정'!B4-F2750),"")</f>
        <v/>
      </c>
      <c r="U2750" s="152">
        <f>IFERROR(ABS(K2750-YEAR('02_대상물건입력'!B14)),"")</f>
        <v/>
      </c>
      <c r="V2750" s="152">
        <f>IF(B2750="","",IF(AND(E2750&gt;0,F2750&gt;0,H2750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2750=1,TRUE()),R2750&lt;='01_설정'!B5,S2750&lt;='01_설정'!B6,T2750&lt;='01_설정'!B7,U2750&lt;='01_설정'!B8),"Y",""))</f>
        <v/>
      </c>
      <c r="W2750" s="172">
        <f>IF(V2750&lt;&gt;"Y","",MAX(0,(1-R2750/'01_설정'!B5))*'01_설정'!B14+MAX(0,(1-S2750/'01_설정'!B6))*'01_설정'!B15+MAX(0,(1-T2750/'01_설정'!B7))*'01_설정'!B16+MAX(0,(1-U2750/'01_설정'!B8))*'01_설정'!B17+O2750*'01_설정'!B11+Q2750*'01_설정'!B12+P2750*'01_설정'!B13+IF(Z2750="",0,Z2750))</f>
        <v/>
      </c>
      <c r="X2750" s="152">
        <f>IF(W2750="","",1+COUNTIFS($W$4:$W$3003,"&gt;"&amp;W2750)+COUNTIFS($W$4:W2750,W2750)-1)</f>
        <v/>
      </c>
      <c r="Y2750" s="175">
        <f>IF(OR(I2750="",'02_대상물건입력'!B19="",'02_대상물건입력'!B19&lt;=0),"",ABS(I2750-'02_대상물건입력'!B19)/'02_대상물건입력'!B19)</f>
        <v/>
      </c>
      <c r="Z2750" s="172">
        <f>IF(OR(Y2750="",'01_설정'!B31="",'01_설정'!B31&lt;=0,'01_설정'!B32="",'01_설정'!B32&lt;=0),"",MAX(0,(1-Y2750/'01_설정'!B32))*'01_설정'!B31)</f>
        <v/>
      </c>
    </row>
    <row r="2751" ht="17.25" customHeight="1">
      <c r="A2751" s="152">
        <f>IF(INDEX('04A_국토부원자료'!$A:$A,ROW()+1)="","",ROW()-3)</f>
        <v/>
      </c>
      <c r="B2751" s="48">
        <f>IFERROR(INDEX('04A_국토부원자료'!$A:$T,ROW()+1,MATCH("시군구",'04A_국토부원자료'!$A$4:$T$4,0)),"")</f>
        <v/>
      </c>
      <c r="C2751" s="48">
        <f>IF(B2751="","",IFERROR(INDEX('04A_국토부원자료'!$A:$T,ROW()+1,MATCH("번지",'04A_국토부원자료'!$A$4:$T$4,0)),""))</f>
        <v/>
      </c>
      <c r="D2751" s="48">
        <f>IF(B2751="","",IF(Q2751=1,'02_대상물건입력'!$B$8,IFERROR(INDEX('04A_국토부원자료'!$A:$T,ROW()+1,MATCH("단지명",'04A_국토부원자료'!$A$4:$T$4,0)),"")))</f>
        <v/>
      </c>
      <c r="E2751" s="172">
        <f>IFERROR(VALUE(SUBSTITUTE(INDEX('04A_국토부원자료'!$A:$T,ROW()+1,MATCH("전용면적(㎡)",'04A_국토부원자료'!$A$4:$T$4,0)),",","")),"")</f>
        <v/>
      </c>
      <c r="F27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51" s="51">
        <f>IFERROR(VALUE(SUBSTITUTE(INDEX('04A_국토부원자료'!$A:$T,ROW()+1,MATCH("거래금액(만원)",'04A_국토부원자료'!$A$4:$T$4,0)),",","")),"")</f>
        <v/>
      </c>
      <c r="H2751" s="174">
        <f>IF(G2751="","",G2751*10000)</f>
        <v/>
      </c>
      <c r="I2751" s="174">
        <f>IFERROR(IF(AND(H2751&gt;0,E2751&gt;0),H2751/E2751,""),"")</f>
        <v/>
      </c>
      <c r="J2751" s="152">
        <f>IFERROR(VALUE(SUBSTITUTE(INDEX('04A_국토부원자료'!$A:$T,ROW()+1,MATCH("층",'04A_국토부원자료'!$A$4:$T$4,0)),",","")),"")</f>
        <v/>
      </c>
      <c r="K2751" s="152">
        <f>IFERROR(VALUE(SUBSTITUTE(INDEX('04A_국토부원자료'!$A:$T,ROW()+1,MATCH("건축년도",'04A_국토부원자료'!$A$4:$T$4,0)),",","")),"")</f>
        <v/>
      </c>
      <c r="L2751" s="48">
        <f>IFERROR(INDEX('04A_국토부원자료'!$A:$T,ROW()+1,MATCH("도로명",'04A_국토부원자료'!$A$4:$T$4,0)),"")</f>
        <v/>
      </c>
      <c r="M2751" s="48">
        <f>IFERROR(INDEX('04A_국토부원자료'!$A:$T,ROW()+1,MATCH("거래유형",'04A_국토부원자료'!$A$4:$T$4,0)),"")</f>
        <v/>
      </c>
      <c r="N2751" s="152">
        <f>IF(B2751="","",IF('02_대상물건입력'!B5="",1,IF(ISNUMBER(SEARCH('02_대상물건입력'!B5,B2751)),1,0)))</f>
        <v/>
      </c>
      <c r="O2751" s="152">
        <f>IF(B2751="","",IF('02_대상물건입력'!B6="",1,IF(ISNUMBER(SEARCH('02_대상물건입력'!B6,B2751)),1,0)))</f>
        <v/>
      </c>
      <c r="P2751" s="152">
        <f>IF(L2751="","",IF('02_대상물건입력'!B15="",0,IF(ISNUMBER(SEARCH('02_대상물건입력'!B15,L2751)),1,0)))</f>
        <v/>
      </c>
      <c r="Q2751" s="152">
        <f>IF(OR(C2751="",L2751=""),0,IF(AND(TRIM(C2751)=TRIM(RIGHT(SUBSTITUTE(TRIM('02_대상물건입력'!$B$7)," ",REPT(" ",99)),99)),IF('02_대상물건입력'!B15="",TRUE(),ISNUMBER(SEARCH('02_대상물건입력'!B15,L2751)))),1,0))</f>
        <v/>
      </c>
      <c r="R2751" s="175">
        <f>IFERROR(ABS(E2751-'02_대상물건입력'!B11)/'02_대상물건입력'!B11,"")</f>
        <v/>
      </c>
      <c r="S2751" s="152">
        <f>IFERROR(ABS(J2751-'02_대상물건입력'!B10),"")</f>
        <v/>
      </c>
      <c r="T2751" s="152">
        <f>IFERROR(ABS('01_설정'!B4-F2751),"")</f>
        <v/>
      </c>
      <c r="U2751" s="152">
        <f>IFERROR(ABS(K2751-YEAR('02_대상물건입력'!B14)),"")</f>
        <v/>
      </c>
      <c r="V2751" s="152">
        <f>IF(B2751="","",IF(AND(E2751&gt;0,F2751&gt;0,H2751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2751=1,TRUE()),R2751&lt;='01_설정'!B5,S2751&lt;='01_설정'!B6,T2751&lt;='01_설정'!B7,U2751&lt;='01_설정'!B8),"Y",""))</f>
        <v/>
      </c>
      <c r="W2751" s="172">
        <f>IF(V2751&lt;&gt;"Y","",MAX(0,(1-R2751/'01_설정'!B5))*'01_설정'!B14+MAX(0,(1-S2751/'01_설정'!B6))*'01_설정'!B15+MAX(0,(1-T2751/'01_설정'!B7))*'01_설정'!B16+MAX(0,(1-U2751/'01_설정'!B8))*'01_설정'!B17+O2751*'01_설정'!B11+Q2751*'01_설정'!B12+P2751*'01_설정'!B13+IF(Z2751="",0,Z2751))</f>
        <v/>
      </c>
      <c r="X2751" s="152">
        <f>IF(W2751="","",1+COUNTIFS($W$4:$W$3003,"&gt;"&amp;W2751)+COUNTIFS($W$4:W2751,W2751)-1)</f>
        <v/>
      </c>
      <c r="Y2751" s="175">
        <f>IF(OR(I2751="",'02_대상물건입력'!B19="",'02_대상물건입력'!B19&lt;=0),"",ABS(I2751-'02_대상물건입력'!B19)/'02_대상물건입력'!B19)</f>
        <v/>
      </c>
      <c r="Z2751" s="172">
        <f>IF(OR(Y2751="",'01_설정'!B31="",'01_설정'!B31&lt;=0,'01_설정'!B32="",'01_설정'!B32&lt;=0),"",MAX(0,(1-Y2751/'01_설정'!B32))*'01_설정'!B31)</f>
        <v/>
      </c>
    </row>
    <row r="2752" ht="17.25" customHeight="1">
      <c r="A2752" s="152">
        <f>IF(INDEX('04A_국토부원자료'!$A:$A,ROW()+1)="","",ROW()-3)</f>
        <v/>
      </c>
      <c r="B2752" s="48">
        <f>IFERROR(INDEX('04A_국토부원자료'!$A:$T,ROW()+1,MATCH("시군구",'04A_국토부원자료'!$A$4:$T$4,0)),"")</f>
        <v/>
      </c>
      <c r="C2752" s="48">
        <f>IF(B2752="","",IFERROR(INDEX('04A_국토부원자료'!$A:$T,ROW()+1,MATCH("번지",'04A_국토부원자료'!$A$4:$T$4,0)),""))</f>
        <v/>
      </c>
      <c r="D2752" s="48">
        <f>IF(B2752="","",IF(Q2752=1,'02_대상물건입력'!$B$8,IFERROR(INDEX('04A_국토부원자료'!$A:$T,ROW()+1,MATCH("단지명",'04A_국토부원자료'!$A$4:$T$4,0)),"")))</f>
        <v/>
      </c>
      <c r="E2752" s="172">
        <f>IFERROR(VALUE(SUBSTITUTE(INDEX('04A_국토부원자료'!$A:$T,ROW()+1,MATCH("전용면적(㎡)",'04A_국토부원자료'!$A$4:$T$4,0)),",","")),"")</f>
        <v/>
      </c>
      <c r="F27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52" s="51">
        <f>IFERROR(VALUE(SUBSTITUTE(INDEX('04A_국토부원자료'!$A:$T,ROW()+1,MATCH("거래금액(만원)",'04A_국토부원자료'!$A$4:$T$4,0)),",","")),"")</f>
        <v/>
      </c>
      <c r="H2752" s="174">
        <f>IF(G2752="","",G2752*10000)</f>
        <v/>
      </c>
      <c r="I2752" s="174">
        <f>IFERROR(IF(AND(H2752&gt;0,E2752&gt;0),H2752/E2752,""),"")</f>
        <v/>
      </c>
      <c r="J2752" s="152">
        <f>IFERROR(VALUE(SUBSTITUTE(INDEX('04A_국토부원자료'!$A:$T,ROW()+1,MATCH("층",'04A_국토부원자료'!$A$4:$T$4,0)),",","")),"")</f>
        <v/>
      </c>
      <c r="K2752" s="152">
        <f>IFERROR(VALUE(SUBSTITUTE(INDEX('04A_국토부원자료'!$A:$T,ROW()+1,MATCH("건축년도",'04A_국토부원자료'!$A$4:$T$4,0)),",","")),"")</f>
        <v/>
      </c>
      <c r="L2752" s="48">
        <f>IFERROR(INDEX('04A_국토부원자료'!$A:$T,ROW()+1,MATCH("도로명",'04A_국토부원자료'!$A$4:$T$4,0)),"")</f>
        <v/>
      </c>
      <c r="M2752" s="48">
        <f>IFERROR(INDEX('04A_국토부원자료'!$A:$T,ROW()+1,MATCH("거래유형",'04A_국토부원자료'!$A$4:$T$4,0)),"")</f>
        <v/>
      </c>
      <c r="N2752" s="152">
        <f>IF(B2752="","",IF('02_대상물건입력'!B5="",1,IF(ISNUMBER(SEARCH('02_대상물건입력'!B5,B2752)),1,0)))</f>
        <v/>
      </c>
      <c r="O2752" s="152">
        <f>IF(B2752="","",IF('02_대상물건입력'!B6="",1,IF(ISNUMBER(SEARCH('02_대상물건입력'!B6,B2752)),1,0)))</f>
        <v/>
      </c>
      <c r="P2752" s="152">
        <f>IF(L2752="","",IF('02_대상물건입력'!B15="",0,IF(ISNUMBER(SEARCH('02_대상물건입력'!B15,L2752)),1,0)))</f>
        <v/>
      </c>
      <c r="Q2752" s="152">
        <f>IF(OR(C2752="",L2752=""),0,IF(AND(TRIM(C2752)=TRIM(RIGHT(SUBSTITUTE(TRIM('02_대상물건입력'!$B$7)," ",REPT(" ",99)),99)),IF('02_대상물건입력'!B15="",TRUE(),ISNUMBER(SEARCH('02_대상물건입력'!B15,L2752)))),1,0))</f>
        <v/>
      </c>
      <c r="R2752" s="175">
        <f>IFERROR(ABS(E2752-'02_대상물건입력'!B11)/'02_대상물건입력'!B11,"")</f>
        <v/>
      </c>
      <c r="S2752" s="152">
        <f>IFERROR(ABS(J2752-'02_대상물건입력'!B10),"")</f>
        <v/>
      </c>
      <c r="T2752" s="152">
        <f>IFERROR(ABS('01_설정'!B4-F2752),"")</f>
        <v/>
      </c>
      <c r="U2752" s="152">
        <f>IFERROR(ABS(K2752-YEAR('02_대상물건입력'!B14)),"")</f>
        <v/>
      </c>
      <c r="V2752" s="152">
        <f>IF(B2752="","",IF(AND(E2752&gt;0,F2752&gt;0,H2752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2752=1,TRUE()),R2752&lt;='01_설정'!B5,S2752&lt;='01_설정'!B6,T2752&lt;='01_설정'!B7,U2752&lt;='01_설정'!B8),"Y",""))</f>
        <v/>
      </c>
      <c r="W2752" s="172">
        <f>IF(V2752&lt;&gt;"Y","",MAX(0,(1-R2752/'01_설정'!B5))*'01_설정'!B14+MAX(0,(1-S2752/'01_설정'!B6))*'01_설정'!B15+MAX(0,(1-T2752/'01_설정'!B7))*'01_설정'!B16+MAX(0,(1-U2752/'01_설정'!B8))*'01_설정'!B17+O2752*'01_설정'!B11+Q2752*'01_설정'!B12+P2752*'01_설정'!B13+IF(Z2752="",0,Z2752))</f>
        <v/>
      </c>
      <c r="X2752" s="152">
        <f>IF(W2752="","",1+COUNTIFS($W$4:$W$3003,"&gt;"&amp;W2752)+COUNTIFS($W$4:W2752,W2752)-1)</f>
        <v/>
      </c>
      <c r="Y2752" s="175">
        <f>IF(OR(I2752="",'02_대상물건입력'!B19="",'02_대상물건입력'!B19&lt;=0),"",ABS(I2752-'02_대상물건입력'!B19)/'02_대상물건입력'!B19)</f>
        <v/>
      </c>
      <c r="Z2752" s="172">
        <f>IF(OR(Y2752="",'01_설정'!B31="",'01_설정'!B31&lt;=0,'01_설정'!B32="",'01_설정'!B32&lt;=0),"",MAX(0,(1-Y2752/'01_설정'!B32))*'01_설정'!B31)</f>
        <v/>
      </c>
    </row>
    <row r="2753" ht="17.25" customHeight="1">
      <c r="A2753" s="152">
        <f>IF(INDEX('04A_국토부원자료'!$A:$A,ROW()+1)="","",ROW()-3)</f>
        <v/>
      </c>
      <c r="B2753" s="48">
        <f>IFERROR(INDEX('04A_국토부원자료'!$A:$T,ROW()+1,MATCH("시군구",'04A_국토부원자료'!$A$4:$T$4,0)),"")</f>
        <v/>
      </c>
      <c r="C2753" s="48">
        <f>IF(B2753="","",IFERROR(INDEX('04A_국토부원자료'!$A:$T,ROW()+1,MATCH("번지",'04A_국토부원자료'!$A$4:$T$4,0)),""))</f>
        <v/>
      </c>
      <c r="D2753" s="48">
        <f>IF(B2753="","",IF(Q2753=1,'02_대상물건입력'!$B$8,IFERROR(INDEX('04A_국토부원자료'!$A:$T,ROW()+1,MATCH("단지명",'04A_국토부원자료'!$A$4:$T$4,0)),"")))</f>
        <v/>
      </c>
      <c r="E2753" s="172">
        <f>IFERROR(VALUE(SUBSTITUTE(INDEX('04A_국토부원자료'!$A:$T,ROW()+1,MATCH("전용면적(㎡)",'04A_국토부원자료'!$A$4:$T$4,0)),",","")),"")</f>
        <v/>
      </c>
      <c r="F27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53" s="51">
        <f>IFERROR(VALUE(SUBSTITUTE(INDEX('04A_국토부원자료'!$A:$T,ROW()+1,MATCH("거래금액(만원)",'04A_국토부원자료'!$A$4:$T$4,0)),",","")),"")</f>
        <v/>
      </c>
      <c r="H2753" s="174">
        <f>IF(G2753="","",G2753*10000)</f>
        <v/>
      </c>
      <c r="I2753" s="174">
        <f>IFERROR(IF(AND(H2753&gt;0,E2753&gt;0),H2753/E2753,""),"")</f>
        <v/>
      </c>
      <c r="J2753" s="152">
        <f>IFERROR(VALUE(SUBSTITUTE(INDEX('04A_국토부원자료'!$A:$T,ROW()+1,MATCH("층",'04A_국토부원자료'!$A$4:$T$4,0)),",","")),"")</f>
        <v/>
      </c>
      <c r="K2753" s="152">
        <f>IFERROR(VALUE(SUBSTITUTE(INDEX('04A_국토부원자료'!$A:$T,ROW()+1,MATCH("건축년도",'04A_국토부원자료'!$A$4:$T$4,0)),",","")),"")</f>
        <v/>
      </c>
      <c r="L2753" s="48">
        <f>IFERROR(INDEX('04A_국토부원자료'!$A:$T,ROW()+1,MATCH("도로명",'04A_국토부원자료'!$A$4:$T$4,0)),"")</f>
        <v/>
      </c>
      <c r="M2753" s="48">
        <f>IFERROR(INDEX('04A_국토부원자료'!$A:$T,ROW()+1,MATCH("거래유형",'04A_국토부원자료'!$A$4:$T$4,0)),"")</f>
        <v/>
      </c>
      <c r="N2753" s="152">
        <f>IF(B2753="","",IF('02_대상물건입력'!B5="",1,IF(ISNUMBER(SEARCH('02_대상물건입력'!B5,B2753)),1,0)))</f>
        <v/>
      </c>
      <c r="O2753" s="152">
        <f>IF(B2753="","",IF('02_대상물건입력'!B6="",1,IF(ISNUMBER(SEARCH('02_대상물건입력'!B6,B2753)),1,0)))</f>
        <v/>
      </c>
      <c r="P2753" s="152">
        <f>IF(L2753="","",IF('02_대상물건입력'!B15="",0,IF(ISNUMBER(SEARCH('02_대상물건입력'!B15,L2753)),1,0)))</f>
        <v/>
      </c>
      <c r="Q2753" s="152">
        <f>IF(OR(C2753="",L2753=""),0,IF(AND(TRIM(C2753)=TRIM(RIGHT(SUBSTITUTE(TRIM('02_대상물건입력'!$B$7)," ",REPT(" ",99)),99)),IF('02_대상물건입력'!B15="",TRUE(),ISNUMBER(SEARCH('02_대상물건입력'!B15,L2753)))),1,0))</f>
        <v/>
      </c>
      <c r="R2753" s="175">
        <f>IFERROR(ABS(E2753-'02_대상물건입력'!B11)/'02_대상물건입력'!B11,"")</f>
        <v/>
      </c>
      <c r="S2753" s="152">
        <f>IFERROR(ABS(J2753-'02_대상물건입력'!B10),"")</f>
        <v/>
      </c>
      <c r="T2753" s="152">
        <f>IFERROR(ABS('01_설정'!B4-F2753),"")</f>
        <v/>
      </c>
      <c r="U2753" s="152">
        <f>IFERROR(ABS(K2753-YEAR('02_대상물건입력'!B14)),"")</f>
        <v/>
      </c>
      <c r="V2753" s="152">
        <f>IF(B2753="","",IF(AND(E2753&gt;0,F2753&gt;0,H2753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2753=1,TRUE()),R2753&lt;='01_설정'!B5,S2753&lt;='01_설정'!B6,T2753&lt;='01_설정'!B7,U2753&lt;='01_설정'!B8),"Y",""))</f>
        <v/>
      </c>
      <c r="W2753" s="172">
        <f>IF(V2753&lt;&gt;"Y","",MAX(0,(1-R2753/'01_설정'!B5))*'01_설정'!B14+MAX(0,(1-S2753/'01_설정'!B6))*'01_설정'!B15+MAX(0,(1-T2753/'01_설정'!B7))*'01_설정'!B16+MAX(0,(1-U2753/'01_설정'!B8))*'01_설정'!B17+O2753*'01_설정'!B11+Q2753*'01_설정'!B12+P2753*'01_설정'!B13+IF(Z2753="",0,Z2753))</f>
        <v/>
      </c>
      <c r="X2753" s="152">
        <f>IF(W2753="","",1+COUNTIFS($W$4:$W$3003,"&gt;"&amp;W2753)+COUNTIFS($W$4:W2753,W2753)-1)</f>
        <v/>
      </c>
      <c r="Y2753" s="175">
        <f>IF(OR(I2753="",'02_대상물건입력'!B19="",'02_대상물건입력'!B19&lt;=0),"",ABS(I2753-'02_대상물건입력'!B19)/'02_대상물건입력'!B19)</f>
        <v/>
      </c>
      <c r="Z2753" s="172">
        <f>IF(OR(Y2753="",'01_설정'!B31="",'01_설정'!B31&lt;=0,'01_설정'!B32="",'01_설정'!B32&lt;=0),"",MAX(0,(1-Y2753/'01_설정'!B32))*'01_설정'!B31)</f>
        <v/>
      </c>
    </row>
    <row r="2754" ht="17.25" customHeight="1">
      <c r="A2754" s="152">
        <f>IF(INDEX('04A_국토부원자료'!$A:$A,ROW()+1)="","",ROW()-3)</f>
        <v/>
      </c>
      <c r="B2754" s="48">
        <f>IFERROR(INDEX('04A_국토부원자료'!$A:$T,ROW()+1,MATCH("시군구",'04A_국토부원자료'!$A$4:$T$4,0)),"")</f>
        <v/>
      </c>
      <c r="C2754" s="48">
        <f>IF(B2754="","",IFERROR(INDEX('04A_국토부원자료'!$A:$T,ROW()+1,MATCH("번지",'04A_국토부원자료'!$A$4:$T$4,0)),""))</f>
        <v/>
      </c>
      <c r="D2754" s="48">
        <f>IF(B2754="","",IF(Q2754=1,'02_대상물건입력'!$B$8,IFERROR(INDEX('04A_국토부원자료'!$A:$T,ROW()+1,MATCH("단지명",'04A_국토부원자료'!$A$4:$T$4,0)),"")))</f>
        <v/>
      </c>
      <c r="E2754" s="172">
        <f>IFERROR(VALUE(SUBSTITUTE(INDEX('04A_국토부원자료'!$A:$T,ROW()+1,MATCH("전용면적(㎡)",'04A_국토부원자료'!$A$4:$T$4,0)),",","")),"")</f>
        <v/>
      </c>
      <c r="F27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54" s="51">
        <f>IFERROR(VALUE(SUBSTITUTE(INDEX('04A_국토부원자료'!$A:$T,ROW()+1,MATCH("거래금액(만원)",'04A_국토부원자료'!$A$4:$T$4,0)),",","")),"")</f>
        <v/>
      </c>
      <c r="H2754" s="174">
        <f>IF(G2754="","",G2754*10000)</f>
        <v/>
      </c>
      <c r="I2754" s="174">
        <f>IFERROR(IF(AND(H2754&gt;0,E2754&gt;0),H2754/E2754,""),"")</f>
        <v/>
      </c>
      <c r="J2754" s="152">
        <f>IFERROR(VALUE(SUBSTITUTE(INDEX('04A_국토부원자료'!$A:$T,ROW()+1,MATCH("층",'04A_국토부원자료'!$A$4:$T$4,0)),",","")),"")</f>
        <v/>
      </c>
      <c r="K2754" s="152">
        <f>IFERROR(VALUE(SUBSTITUTE(INDEX('04A_국토부원자료'!$A:$T,ROW()+1,MATCH("건축년도",'04A_국토부원자료'!$A$4:$T$4,0)),",","")),"")</f>
        <v/>
      </c>
      <c r="L2754" s="48">
        <f>IFERROR(INDEX('04A_국토부원자료'!$A:$T,ROW()+1,MATCH("도로명",'04A_국토부원자료'!$A$4:$T$4,0)),"")</f>
        <v/>
      </c>
      <c r="M2754" s="48">
        <f>IFERROR(INDEX('04A_국토부원자료'!$A:$T,ROW()+1,MATCH("거래유형",'04A_국토부원자료'!$A$4:$T$4,0)),"")</f>
        <v/>
      </c>
      <c r="N2754" s="152">
        <f>IF(B2754="","",IF('02_대상물건입력'!B5="",1,IF(ISNUMBER(SEARCH('02_대상물건입력'!B5,B2754)),1,0)))</f>
        <v/>
      </c>
      <c r="O2754" s="152">
        <f>IF(B2754="","",IF('02_대상물건입력'!B6="",1,IF(ISNUMBER(SEARCH('02_대상물건입력'!B6,B2754)),1,0)))</f>
        <v/>
      </c>
      <c r="P2754" s="152">
        <f>IF(L2754="","",IF('02_대상물건입력'!B15="",0,IF(ISNUMBER(SEARCH('02_대상물건입력'!B15,L2754)),1,0)))</f>
        <v/>
      </c>
      <c r="Q2754" s="152">
        <f>IF(OR(C2754="",L2754=""),0,IF(AND(TRIM(C2754)=TRIM(RIGHT(SUBSTITUTE(TRIM('02_대상물건입력'!$B$7)," ",REPT(" ",99)),99)),IF('02_대상물건입력'!B15="",TRUE(),ISNUMBER(SEARCH('02_대상물건입력'!B15,L2754)))),1,0))</f>
        <v/>
      </c>
      <c r="R2754" s="175">
        <f>IFERROR(ABS(E2754-'02_대상물건입력'!B11)/'02_대상물건입력'!B11,"")</f>
        <v/>
      </c>
      <c r="S2754" s="152">
        <f>IFERROR(ABS(J2754-'02_대상물건입력'!B10),"")</f>
        <v/>
      </c>
      <c r="T2754" s="152">
        <f>IFERROR(ABS('01_설정'!B4-F2754),"")</f>
        <v/>
      </c>
      <c r="U2754" s="152">
        <f>IFERROR(ABS(K2754-YEAR('02_대상물건입력'!B14)),"")</f>
        <v/>
      </c>
      <c r="V2754" s="152">
        <f>IF(B2754="","",IF(AND(E2754&gt;0,F2754&gt;0,H2754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2754=1,TRUE()),R2754&lt;='01_설정'!B5,S2754&lt;='01_설정'!B6,T2754&lt;='01_설정'!B7,U2754&lt;='01_설정'!B8),"Y",""))</f>
        <v/>
      </c>
      <c r="W2754" s="172">
        <f>IF(V2754&lt;&gt;"Y","",MAX(0,(1-R2754/'01_설정'!B5))*'01_설정'!B14+MAX(0,(1-S2754/'01_설정'!B6))*'01_설정'!B15+MAX(0,(1-T2754/'01_설정'!B7))*'01_설정'!B16+MAX(0,(1-U2754/'01_설정'!B8))*'01_설정'!B17+O2754*'01_설정'!B11+Q2754*'01_설정'!B12+P2754*'01_설정'!B13+IF(Z2754="",0,Z2754))</f>
        <v/>
      </c>
      <c r="X2754" s="152">
        <f>IF(W2754="","",1+COUNTIFS($W$4:$W$3003,"&gt;"&amp;W2754)+COUNTIFS($W$4:W2754,W2754)-1)</f>
        <v/>
      </c>
      <c r="Y2754" s="175">
        <f>IF(OR(I2754="",'02_대상물건입력'!B19="",'02_대상물건입력'!B19&lt;=0),"",ABS(I2754-'02_대상물건입력'!B19)/'02_대상물건입력'!B19)</f>
        <v/>
      </c>
      <c r="Z2754" s="172">
        <f>IF(OR(Y2754="",'01_설정'!B31="",'01_설정'!B31&lt;=0,'01_설정'!B32="",'01_설정'!B32&lt;=0),"",MAX(0,(1-Y2754/'01_설정'!B32))*'01_설정'!B31)</f>
        <v/>
      </c>
    </row>
    <row r="2755" ht="17.25" customHeight="1">
      <c r="A2755" s="152">
        <f>IF(INDEX('04A_국토부원자료'!$A:$A,ROW()+1)="","",ROW()-3)</f>
        <v/>
      </c>
      <c r="B2755" s="48">
        <f>IFERROR(INDEX('04A_국토부원자료'!$A:$T,ROW()+1,MATCH("시군구",'04A_국토부원자료'!$A$4:$T$4,0)),"")</f>
        <v/>
      </c>
      <c r="C2755" s="48">
        <f>IF(B2755="","",IFERROR(INDEX('04A_국토부원자료'!$A:$T,ROW()+1,MATCH("번지",'04A_국토부원자료'!$A$4:$T$4,0)),""))</f>
        <v/>
      </c>
      <c r="D2755" s="48">
        <f>IF(B2755="","",IF(Q2755=1,'02_대상물건입력'!$B$8,IFERROR(INDEX('04A_국토부원자료'!$A:$T,ROW()+1,MATCH("단지명",'04A_국토부원자료'!$A$4:$T$4,0)),"")))</f>
        <v/>
      </c>
      <c r="E2755" s="172">
        <f>IFERROR(VALUE(SUBSTITUTE(INDEX('04A_국토부원자료'!$A:$T,ROW()+1,MATCH("전용면적(㎡)",'04A_국토부원자료'!$A$4:$T$4,0)),",","")),"")</f>
        <v/>
      </c>
      <c r="F27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55" s="51">
        <f>IFERROR(VALUE(SUBSTITUTE(INDEX('04A_국토부원자료'!$A:$T,ROW()+1,MATCH("거래금액(만원)",'04A_국토부원자료'!$A$4:$T$4,0)),",","")),"")</f>
        <v/>
      </c>
      <c r="H2755" s="174">
        <f>IF(G2755="","",G2755*10000)</f>
        <v/>
      </c>
      <c r="I2755" s="174">
        <f>IFERROR(IF(AND(H2755&gt;0,E2755&gt;0),H2755/E2755,""),"")</f>
        <v/>
      </c>
      <c r="J2755" s="152">
        <f>IFERROR(VALUE(SUBSTITUTE(INDEX('04A_국토부원자료'!$A:$T,ROW()+1,MATCH("층",'04A_국토부원자료'!$A$4:$T$4,0)),",","")),"")</f>
        <v/>
      </c>
      <c r="K2755" s="152">
        <f>IFERROR(VALUE(SUBSTITUTE(INDEX('04A_국토부원자료'!$A:$T,ROW()+1,MATCH("건축년도",'04A_국토부원자료'!$A$4:$T$4,0)),",","")),"")</f>
        <v/>
      </c>
      <c r="L2755" s="48">
        <f>IFERROR(INDEX('04A_국토부원자료'!$A:$T,ROW()+1,MATCH("도로명",'04A_국토부원자료'!$A$4:$T$4,0)),"")</f>
        <v/>
      </c>
      <c r="M2755" s="48">
        <f>IFERROR(INDEX('04A_국토부원자료'!$A:$T,ROW()+1,MATCH("거래유형",'04A_국토부원자료'!$A$4:$T$4,0)),"")</f>
        <v/>
      </c>
      <c r="N2755" s="152">
        <f>IF(B2755="","",IF('02_대상물건입력'!B5="",1,IF(ISNUMBER(SEARCH('02_대상물건입력'!B5,B2755)),1,0)))</f>
        <v/>
      </c>
      <c r="O2755" s="152">
        <f>IF(B2755="","",IF('02_대상물건입력'!B6="",1,IF(ISNUMBER(SEARCH('02_대상물건입력'!B6,B2755)),1,0)))</f>
        <v/>
      </c>
      <c r="P2755" s="152">
        <f>IF(L2755="","",IF('02_대상물건입력'!B15="",0,IF(ISNUMBER(SEARCH('02_대상물건입력'!B15,L2755)),1,0)))</f>
        <v/>
      </c>
      <c r="Q2755" s="152">
        <f>IF(OR(C2755="",L2755=""),0,IF(AND(TRIM(C2755)=TRIM(RIGHT(SUBSTITUTE(TRIM('02_대상물건입력'!$B$7)," ",REPT(" ",99)),99)),IF('02_대상물건입력'!B15="",TRUE(),ISNUMBER(SEARCH('02_대상물건입력'!B15,L2755)))),1,0))</f>
        <v/>
      </c>
      <c r="R2755" s="175">
        <f>IFERROR(ABS(E2755-'02_대상물건입력'!B11)/'02_대상물건입력'!B11,"")</f>
        <v/>
      </c>
      <c r="S2755" s="152">
        <f>IFERROR(ABS(J2755-'02_대상물건입력'!B10),"")</f>
        <v/>
      </c>
      <c r="T2755" s="152">
        <f>IFERROR(ABS('01_설정'!B4-F2755),"")</f>
        <v/>
      </c>
      <c r="U2755" s="152">
        <f>IFERROR(ABS(K2755-YEAR('02_대상물건입력'!B14)),"")</f>
        <v/>
      </c>
      <c r="V2755" s="152">
        <f>IF(B2755="","",IF(AND(E2755&gt;0,F2755&gt;0,H2755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2755=1,TRUE()),R2755&lt;='01_설정'!B5,S2755&lt;='01_설정'!B6,T2755&lt;='01_설정'!B7,U2755&lt;='01_설정'!B8),"Y",""))</f>
        <v/>
      </c>
      <c r="W2755" s="172">
        <f>IF(V2755&lt;&gt;"Y","",MAX(0,(1-R2755/'01_설정'!B5))*'01_설정'!B14+MAX(0,(1-S2755/'01_설정'!B6))*'01_설정'!B15+MAX(0,(1-T2755/'01_설정'!B7))*'01_설정'!B16+MAX(0,(1-U2755/'01_설정'!B8))*'01_설정'!B17+O2755*'01_설정'!B11+Q2755*'01_설정'!B12+P2755*'01_설정'!B13+IF(Z2755="",0,Z2755))</f>
        <v/>
      </c>
      <c r="X2755" s="152">
        <f>IF(W2755="","",1+COUNTIFS($W$4:$W$3003,"&gt;"&amp;W2755)+COUNTIFS($W$4:W2755,W2755)-1)</f>
        <v/>
      </c>
      <c r="Y2755" s="175">
        <f>IF(OR(I2755="",'02_대상물건입력'!B19="",'02_대상물건입력'!B19&lt;=0),"",ABS(I2755-'02_대상물건입력'!B19)/'02_대상물건입력'!B19)</f>
        <v/>
      </c>
      <c r="Z2755" s="172">
        <f>IF(OR(Y2755="",'01_설정'!B31="",'01_설정'!B31&lt;=0,'01_설정'!B32="",'01_설정'!B32&lt;=0),"",MAX(0,(1-Y2755/'01_설정'!B32))*'01_설정'!B31)</f>
        <v/>
      </c>
    </row>
    <row r="2756" ht="17.25" customHeight="1">
      <c r="A2756" s="152">
        <f>IF(INDEX('04A_국토부원자료'!$A:$A,ROW()+1)="","",ROW()-3)</f>
        <v/>
      </c>
      <c r="B2756" s="48">
        <f>IFERROR(INDEX('04A_국토부원자료'!$A:$T,ROW()+1,MATCH("시군구",'04A_국토부원자료'!$A$4:$T$4,0)),"")</f>
        <v/>
      </c>
      <c r="C2756" s="48">
        <f>IF(B2756="","",IFERROR(INDEX('04A_국토부원자료'!$A:$T,ROW()+1,MATCH("번지",'04A_국토부원자료'!$A$4:$T$4,0)),""))</f>
        <v/>
      </c>
      <c r="D2756" s="48">
        <f>IF(B2756="","",IF(Q2756=1,'02_대상물건입력'!$B$8,IFERROR(INDEX('04A_국토부원자료'!$A:$T,ROW()+1,MATCH("단지명",'04A_국토부원자료'!$A$4:$T$4,0)),"")))</f>
        <v/>
      </c>
      <c r="E2756" s="172">
        <f>IFERROR(VALUE(SUBSTITUTE(INDEX('04A_국토부원자료'!$A:$T,ROW()+1,MATCH("전용면적(㎡)",'04A_국토부원자료'!$A$4:$T$4,0)),",","")),"")</f>
        <v/>
      </c>
      <c r="F27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56" s="51">
        <f>IFERROR(VALUE(SUBSTITUTE(INDEX('04A_국토부원자료'!$A:$T,ROW()+1,MATCH("거래금액(만원)",'04A_국토부원자료'!$A$4:$T$4,0)),",","")),"")</f>
        <v/>
      </c>
      <c r="H2756" s="174">
        <f>IF(G2756="","",G2756*10000)</f>
        <v/>
      </c>
      <c r="I2756" s="174">
        <f>IFERROR(IF(AND(H2756&gt;0,E2756&gt;0),H2756/E2756,""),"")</f>
        <v/>
      </c>
      <c r="J2756" s="152">
        <f>IFERROR(VALUE(SUBSTITUTE(INDEX('04A_국토부원자료'!$A:$T,ROW()+1,MATCH("층",'04A_국토부원자료'!$A$4:$T$4,0)),",","")),"")</f>
        <v/>
      </c>
      <c r="K2756" s="152">
        <f>IFERROR(VALUE(SUBSTITUTE(INDEX('04A_국토부원자료'!$A:$T,ROW()+1,MATCH("건축년도",'04A_국토부원자료'!$A$4:$T$4,0)),",","")),"")</f>
        <v/>
      </c>
      <c r="L2756" s="48">
        <f>IFERROR(INDEX('04A_국토부원자료'!$A:$T,ROW()+1,MATCH("도로명",'04A_국토부원자료'!$A$4:$T$4,0)),"")</f>
        <v/>
      </c>
      <c r="M2756" s="48">
        <f>IFERROR(INDEX('04A_국토부원자료'!$A:$T,ROW()+1,MATCH("거래유형",'04A_국토부원자료'!$A$4:$T$4,0)),"")</f>
        <v/>
      </c>
      <c r="N2756" s="152">
        <f>IF(B2756="","",IF('02_대상물건입력'!B5="",1,IF(ISNUMBER(SEARCH('02_대상물건입력'!B5,B2756)),1,0)))</f>
        <v/>
      </c>
      <c r="O2756" s="152">
        <f>IF(B2756="","",IF('02_대상물건입력'!B6="",1,IF(ISNUMBER(SEARCH('02_대상물건입력'!B6,B2756)),1,0)))</f>
        <v/>
      </c>
      <c r="P2756" s="152">
        <f>IF(L2756="","",IF('02_대상물건입력'!B15="",0,IF(ISNUMBER(SEARCH('02_대상물건입력'!B15,L2756)),1,0)))</f>
        <v/>
      </c>
      <c r="Q2756" s="152">
        <f>IF(OR(C2756="",L2756=""),0,IF(AND(TRIM(C2756)=TRIM(RIGHT(SUBSTITUTE(TRIM('02_대상물건입력'!$B$7)," ",REPT(" ",99)),99)),IF('02_대상물건입력'!B15="",TRUE(),ISNUMBER(SEARCH('02_대상물건입력'!B15,L2756)))),1,0))</f>
        <v/>
      </c>
      <c r="R2756" s="175">
        <f>IFERROR(ABS(E2756-'02_대상물건입력'!B11)/'02_대상물건입력'!B11,"")</f>
        <v/>
      </c>
      <c r="S2756" s="152">
        <f>IFERROR(ABS(J2756-'02_대상물건입력'!B10),"")</f>
        <v/>
      </c>
      <c r="T2756" s="152">
        <f>IFERROR(ABS('01_설정'!B4-F2756),"")</f>
        <v/>
      </c>
      <c r="U2756" s="152">
        <f>IFERROR(ABS(K2756-YEAR('02_대상물건입력'!B14)),"")</f>
        <v/>
      </c>
      <c r="V2756" s="152">
        <f>IF(B2756="","",IF(AND(E2756&gt;0,F2756&gt;0,H2756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2756=1,TRUE()),R2756&lt;='01_설정'!B5,S2756&lt;='01_설정'!B6,T2756&lt;='01_설정'!B7,U2756&lt;='01_설정'!B8),"Y",""))</f>
        <v/>
      </c>
      <c r="W2756" s="172">
        <f>IF(V2756&lt;&gt;"Y","",MAX(0,(1-R2756/'01_설정'!B5))*'01_설정'!B14+MAX(0,(1-S2756/'01_설정'!B6))*'01_설정'!B15+MAX(0,(1-T2756/'01_설정'!B7))*'01_설정'!B16+MAX(0,(1-U2756/'01_설정'!B8))*'01_설정'!B17+O2756*'01_설정'!B11+Q2756*'01_설정'!B12+P2756*'01_설정'!B13+IF(Z2756="",0,Z2756))</f>
        <v/>
      </c>
      <c r="X2756" s="152">
        <f>IF(W2756="","",1+COUNTIFS($W$4:$W$3003,"&gt;"&amp;W2756)+COUNTIFS($W$4:W2756,W2756)-1)</f>
        <v/>
      </c>
      <c r="Y2756" s="175">
        <f>IF(OR(I2756="",'02_대상물건입력'!B19="",'02_대상물건입력'!B19&lt;=0),"",ABS(I2756-'02_대상물건입력'!B19)/'02_대상물건입력'!B19)</f>
        <v/>
      </c>
      <c r="Z2756" s="172">
        <f>IF(OR(Y2756="",'01_설정'!B31="",'01_설정'!B31&lt;=0,'01_설정'!B32="",'01_설정'!B32&lt;=0),"",MAX(0,(1-Y2756/'01_설정'!B32))*'01_설정'!B31)</f>
        <v/>
      </c>
    </row>
    <row r="2757" ht="17.25" customHeight="1">
      <c r="A2757" s="152">
        <f>IF(INDEX('04A_국토부원자료'!$A:$A,ROW()+1)="","",ROW()-3)</f>
        <v/>
      </c>
      <c r="B2757" s="48">
        <f>IFERROR(INDEX('04A_국토부원자료'!$A:$T,ROW()+1,MATCH("시군구",'04A_국토부원자료'!$A$4:$T$4,0)),"")</f>
        <v/>
      </c>
      <c r="C2757" s="48">
        <f>IF(B2757="","",IFERROR(INDEX('04A_국토부원자료'!$A:$T,ROW()+1,MATCH("번지",'04A_국토부원자료'!$A$4:$T$4,0)),""))</f>
        <v/>
      </c>
      <c r="D2757" s="48">
        <f>IF(B2757="","",IF(Q2757=1,'02_대상물건입력'!$B$8,IFERROR(INDEX('04A_국토부원자료'!$A:$T,ROW()+1,MATCH("단지명",'04A_국토부원자료'!$A$4:$T$4,0)),"")))</f>
        <v/>
      </c>
      <c r="E2757" s="172">
        <f>IFERROR(VALUE(SUBSTITUTE(INDEX('04A_국토부원자료'!$A:$T,ROW()+1,MATCH("전용면적(㎡)",'04A_국토부원자료'!$A$4:$T$4,0)),",","")),"")</f>
        <v/>
      </c>
      <c r="F27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57" s="51">
        <f>IFERROR(VALUE(SUBSTITUTE(INDEX('04A_국토부원자료'!$A:$T,ROW()+1,MATCH("거래금액(만원)",'04A_국토부원자료'!$A$4:$T$4,0)),",","")),"")</f>
        <v/>
      </c>
      <c r="H2757" s="174">
        <f>IF(G2757="","",G2757*10000)</f>
        <v/>
      </c>
      <c r="I2757" s="174">
        <f>IFERROR(IF(AND(H2757&gt;0,E2757&gt;0),H2757/E2757,""),"")</f>
        <v/>
      </c>
      <c r="J2757" s="152">
        <f>IFERROR(VALUE(SUBSTITUTE(INDEX('04A_국토부원자료'!$A:$T,ROW()+1,MATCH("층",'04A_국토부원자료'!$A$4:$T$4,0)),",","")),"")</f>
        <v/>
      </c>
      <c r="K2757" s="152">
        <f>IFERROR(VALUE(SUBSTITUTE(INDEX('04A_국토부원자료'!$A:$T,ROW()+1,MATCH("건축년도",'04A_국토부원자료'!$A$4:$T$4,0)),",","")),"")</f>
        <v/>
      </c>
      <c r="L2757" s="48">
        <f>IFERROR(INDEX('04A_국토부원자료'!$A:$T,ROW()+1,MATCH("도로명",'04A_국토부원자료'!$A$4:$T$4,0)),"")</f>
        <v/>
      </c>
      <c r="M2757" s="48">
        <f>IFERROR(INDEX('04A_국토부원자료'!$A:$T,ROW()+1,MATCH("거래유형",'04A_국토부원자료'!$A$4:$T$4,0)),"")</f>
        <v/>
      </c>
      <c r="N2757" s="152">
        <f>IF(B2757="","",IF('02_대상물건입력'!B5="",1,IF(ISNUMBER(SEARCH('02_대상물건입력'!B5,B2757)),1,0)))</f>
        <v/>
      </c>
      <c r="O2757" s="152">
        <f>IF(B2757="","",IF('02_대상물건입력'!B6="",1,IF(ISNUMBER(SEARCH('02_대상물건입력'!B6,B2757)),1,0)))</f>
        <v/>
      </c>
      <c r="P2757" s="152">
        <f>IF(L2757="","",IF('02_대상물건입력'!B15="",0,IF(ISNUMBER(SEARCH('02_대상물건입력'!B15,L2757)),1,0)))</f>
        <v/>
      </c>
      <c r="Q2757" s="152">
        <f>IF(OR(C2757="",L2757=""),0,IF(AND(TRIM(C2757)=TRIM(RIGHT(SUBSTITUTE(TRIM('02_대상물건입력'!$B$7)," ",REPT(" ",99)),99)),IF('02_대상물건입력'!B15="",TRUE(),ISNUMBER(SEARCH('02_대상물건입력'!B15,L2757)))),1,0))</f>
        <v/>
      </c>
      <c r="R2757" s="175">
        <f>IFERROR(ABS(E2757-'02_대상물건입력'!B11)/'02_대상물건입력'!B11,"")</f>
        <v/>
      </c>
      <c r="S2757" s="152">
        <f>IFERROR(ABS(J2757-'02_대상물건입력'!B10),"")</f>
        <v/>
      </c>
      <c r="T2757" s="152">
        <f>IFERROR(ABS('01_설정'!B4-F2757),"")</f>
        <v/>
      </c>
      <c r="U2757" s="152">
        <f>IFERROR(ABS(K2757-YEAR('02_대상물건입력'!B14)),"")</f>
        <v/>
      </c>
      <c r="V2757" s="152">
        <f>IF(B2757="","",IF(AND(E2757&gt;0,F2757&gt;0,H2757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2757=1,TRUE()),R2757&lt;='01_설정'!B5,S2757&lt;='01_설정'!B6,T2757&lt;='01_설정'!B7,U2757&lt;='01_설정'!B8),"Y",""))</f>
        <v/>
      </c>
      <c r="W2757" s="172">
        <f>IF(V2757&lt;&gt;"Y","",MAX(0,(1-R2757/'01_설정'!B5))*'01_설정'!B14+MAX(0,(1-S2757/'01_설정'!B6))*'01_설정'!B15+MAX(0,(1-T2757/'01_설정'!B7))*'01_설정'!B16+MAX(0,(1-U2757/'01_설정'!B8))*'01_설정'!B17+O2757*'01_설정'!B11+Q2757*'01_설정'!B12+P2757*'01_설정'!B13+IF(Z2757="",0,Z2757))</f>
        <v/>
      </c>
      <c r="X2757" s="152">
        <f>IF(W2757="","",1+COUNTIFS($W$4:$W$3003,"&gt;"&amp;W2757)+COUNTIFS($W$4:W2757,W2757)-1)</f>
        <v/>
      </c>
      <c r="Y2757" s="175">
        <f>IF(OR(I2757="",'02_대상물건입력'!B19="",'02_대상물건입력'!B19&lt;=0),"",ABS(I2757-'02_대상물건입력'!B19)/'02_대상물건입력'!B19)</f>
        <v/>
      </c>
      <c r="Z2757" s="172">
        <f>IF(OR(Y2757="",'01_설정'!B31="",'01_설정'!B31&lt;=0,'01_설정'!B32="",'01_설정'!B32&lt;=0),"",MAX(0,(1-Y2757/'01_설정'!B32))*'01_설정'!B31)</f>
        <v/>
      </c>
    </row>
    <row r="2758" ht="17.25" customHeight="1">
      <c r="A2758" s="152">
        <f>IF(INDEX('04A_국토부원자료'!$A:$A,ROW()+1)="","",ROW()-3)</f>
        <v/>
      </c>
      <c r="B2758" s="48">
        <f>IFERROR(INDEX('04A_국토부원자료'!$A:$T,ROW()+1,MATCH("시군구",'04A_국토부원자료'!$A$4:$T$4,0)),"")</f>
        <v/>
      </c>
      <c r="C2758" s="48">
        <f>IF(B2758="","",IFERROR(INDEX('04A_국토부원자료'!$A:$T,ROW()+1,MATCH("번지",'04A_국토부원자료'!$A$4:$T$4,0)),""))</f>
        <v/>
      </c>
      <c r="D2758" s="48">
        <f>IF(B2758="","",IF(Q2758=1,'02_대상물건입력'!$B$8,IFERROR(INDEX('04A_국토부원자료'!$A:$T,ROW()+1,MATCH("단지명",'04A_국토부원자료'!$A$4:$T$4,0)),"")))</f>
        <v/>
      </c>
      <c r="E2758" s="172">
        <f>IFERROR(VALUE(SUBSTITUTE(INDEX('04A_국토부원자료'!$A:$T,ROW()+1,MATCH("전용면적(㎡)",'04A_국토부원자료'!$A$4:$T$4,0)),",","")),"")</f>
        <v/>
      </c>
      <c r="F27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58" s="51">
        <f>IFERROR(VALUE(SUBSTITUTE(INDEX('04A_국토부원자료'!$A:$T,ROW()+1,MATCH("거래금액(만원)",'04A_국토부원자료'!$A$4:$T$4,0)),",","")),"")</f>
        <v/>
      </c>
      <c r="H2758" s="174">
        <f>IF(G2758="","",G2758*10000)</f>
        <v/>
      </c>
      <c r="I2758" s="174">
        <f>IFERROR(IF(AND(H2758&gt;0,E2758&gt;0),H2758/E2758,""),"")</f>
        <v/>
      </c>
      <c r="J2758" s="152">
        <f>IFERROR(VALUE(SUBSTITUTE(INDEX('04A_국토부원자료'!$A:$T,ROW()+1,MATCH("층",'04A_국토부원자료'!$A$4:$T$4,0)),",","")),"")</f>
        <v/>
      </c>
      <c r="K2758" s="152">
        <f>IFERROR(VALUE(SUBSTITUTE(INDEX('04A_국토부원자료'!$A:$T,ROW()+1,MATCH("건축년도",'04A_국토부원자료'!$A$4:$T$4,0)),",","")),"")</f>
        <v/>
      </c>
      <c r="L2758" s="48">
        <f>IFERROR(INDEX('04A_국토부원자료'!$A:$T,ROW()+1,MATCH("도로명",'04A_국토부원자료'!$A$4:$T$4,0)),"")</f>
        <v/>
      </c>
      <c r="M2758" s="48">
        <f>IFERROR(INDEX('04A_국토부원자료'!$A:$T,ROW()+1,MATCH("거래유형",'04A_국토부원자료'!$A$4:$T$4,0)),"")</f>
        <v/>
      </c>
      <c r="N2758" s="152">
        <f>IF(B2758="","",IF('02_대상물건입력'!B5="",1,IF(ISNUMBER(SEARCH('02_대상물건입력'!B5,B2758)),1,0)))</f>
        <v/>
      </c>
      <c r="O2758" s="152">
        <f>IF(B2758="","",IF('02_대상물건입력'!B6="",1,IF(ISNUMBER(SEARCH('02_대상물건입력'!B6,B2758)),1,0)))</f>
        <v/>
      </c>
      <c r="P2758" s="152">
        <f>IF(L2758="","",IF('02_대상물건입력'!B15="",0,IF(ISNUMBER(SEARCH('02_대상물건입력'!B15,L2758)),1,0)))</f>
        <v/>
      </c>
      <c r="Q2758" s="152">
        <f>IF(OR(C2758="",L2758=""),0,IF(AND(TRIM(C2758)=TRIM(RIGHT(SUBSTITUTE(TRIM('02_대상물건입력'!$B$7)," ",REPT(" ",99)),99)),IF('02_대상물건입력'!B15="",TRUE(),ISNUMBER(SEARCH('02_대상물건입력'!B15,L2758)))),1,0))</f>
        <v/>
      </c>
      <c r="R2758" s="175">
        <f>IFERROR(ABS(E2758-'02_대상물건입력'!B11)/'02_대상물건입력'!B11,"")</f>
        <v/>
      </c>
      <c r="S2758" s="152">
        <f>IFERROR(ABS(J2758-'02_대상물건입력'!B10),"")</f>
        <v/>
      </c>
      <c r="T2758" s="152">
        <f>IFERROR(ABS('01_설정'!B4-F2758),"")</f>
        <v/>
      </c>
      <c r="U2758" s="152">
        <f>IFERROR(ABS(K2758-YEAR('02_대상물건입력'!B14)),"")</f>
        <v/>
      </c>
      <c r="V2758" s="152">
        <f>IF(B2758="","",IF(AND(E2758&gt;0,F2758&gt;0,H2758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2758=1,TRUE()),R2758&lt;='01_설정'!B5,S2758&lt;='01_설정'!B6,T2758&lt;='01_설정'!B7,U2758&lt;='01_설정'!B8),"Y",""))</f>
        <v/>
      </c>
      <c r="W2758" s="172">
        <f>IF(V2758&lt;&gt;"Y","",MAX(0,(1-R2758/'01_설정'!B5))*'01_설정'!B14+MAX(0,(1-S2758/'01_설정'!B6))*'01_설정'!B15+MAX(0,(1-T2758/'01_설정'!B7))*'01_설정'!B16+MAX(0,(1-U2758/'01_설정'!B8))*'01_설정'!B17+O2758*'01_설정'!B11+Q2758*'01_설정'!B12+P2758*'01_설정'!B13+IF(Z2758="",0,Z2758))</f>
        <v/>
      </c>
      <c r="X2758" s="152">
        <f>IF(W2758="","",1+COUNTIFS($W$4:$W$3003,"&gt;"&amp;W2758)+COUNTIFS($W$4:W2758,W2758)-1)</f>
        <v/>
      </c>
      <c r="Y2758" s="175">
        <f>IF(OR(I2758="",'02_대상물건입력'!B19="",'02_대상물건입력'!B19&lt;=0),"",ABS(I2758-'02_대상물건입력'!B19)/'02_대상물건입력'!B19)</f>
        <v/>
      </c>
      <c r="Z2758" s="172">
        <f>IF(OR(Y2758="",'01_설정'!B31="",'01_설정'!B31&lt;=0,'01_설정'!B32="",'01_설정'!B32&lt;=0),"",MAX(0,(1-Y2758/'01_설정'!B32))*'01_설정'!B31)</f>
        <v/>
      </c>
    </row>
    <row r="2759" ht="17.25" customHeight="1">
      <c r="A2759" s="152">
        <f>IF(INDEX('04A_국토부원자료'!$A:$A,ROW()+1)="","",ROW()-3)</f>
        <v/>
      </c>
      <c r="B2759" s="48">
        <f>IFERROR(INDEX('04A_국토부원자료'!$A:$T,ROW()+1,MATCH("시군구",'04A_국토부원자료'!$A$4:$T$4,0)),"")</f>
        <v/>
      </c>
      <c r="C2759" s="48">
        <f>IF(B2759="","",IFERROR(INDEX('04A_국토부원자료'!$A:$T,ROW()+1,MATCH("번지",'04A_국토부원자료'!$A$4:$T$4,0)),""))</f>
        <v/>
      </c>
      <c r="D2759" s="48">
        <f>IF(B2759="","",IF(Q2759=1,'02_대상물건입력'!$B$8,IFERROR(INDEX('04A_국토부원자료'!$A:$T,ROW()+1,MATCH("단지명",'04A_국토부원자료'!$A$4:$T$4,0)),"")))</f>
        <v/>
      </c>
      <c r="E2759" s="172">
        <f>IFERROR(VALUE(SUBSTITUTE(INDEX('04A_국토부원자료'!$A:$T,ROW()+1,MATCH("전용면적(㎡)",'04A_국토부원자료'!$A$4:$T$4,0)),",","")),"")</f>
        <v/>
      </c>
      <c r="F27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59" s="51">
        <f>IFERROR(VALUE(SUBSTITUTE(INDEX('04A_국토부원자료'!$A:$T,ROW()+1,MATCH("거래금액(만원)",'04A_국토부원자료'!$A$4:$T$4,0)),",","")),"")</f>
        <v/>
      </c>
      <c r="H2759" s="174">
        <f>IF(G2759="","",G2759*10000)</f>
        <v/>
      </c>
      <c r="I2759" s="174">
        <f>IFERROR(IF(AND(H2759&gt;0,E2759&gt;0),H2759/E2759,""),"")</f>
        <v/>
      </c>
      <c r="J2759" s="152">
        <f>IFERROR(VALUE(SUBSTITUTE(INDEX('04A_국토부원자료'!$A:$T,ROW()+1,MATCH("층",'04A_국토부원자료'!$A$4:$T$4,0)),",","")),"")</f>
        <v/>
      </c>
      <c r="K2759" s="152">
        <f>IFERROR(VALUE(SUBSTITUTE(INDEX('04A_국토부원자료'!$A:$T,ROW()+1,MATCH("건축년도",'04A_국토부원자료'!$A$4:$T$4,0)),",","")),"")</f>
        <v/>
      </c>
      <c r="L2759" s="48">
        <f>IFERROR(INDEX('04A_국토부원자료'!$A:$T,ROW()+1,MATCH("도로명",'04A_국토부원자료'!$A$4:$T$4,0)),"")</f>
        <v/>
      </c>
      <c r="M2759" s="48">
        <f>IFERROR(INDEX('04A_국토부원자료'!$A:$T,ROW()+1,MATCH("거래유형",'04A_국토부원자료'!$A$4:$T$4,0)),"")</f>
        <v/>
      </c>
      <c r="N2759" s="152">
        <f>IF(B2759="","",IF('02_대상물건입력'!B5="",1,IF(ISNUMBER(SEARCH('02_대상물건입력'!B5,B2759)),1,0)))</f>
        <v/>
      </c>
      <c r="O2759" s="152">
        <f>IF(B2759="","",IF('02_대상물건입력'!B6="",1,IF(ISNUMBER(SEARCH('02_대상물건입력'!B6,B2759)),1,0)))</f>
        <v/>
      </c>
      <c r="P2759" s="152">
        <f>IF(L2759="","",IF('02_대상물건입력'!B15="",0,IF(ISNUMBER(SEARCH('02_대상물건입력'!B15,L2759)),1,0)))</f>
        <v/>
      </c>
      <c r="Q2759" s="152">
        <f>IF(OR(C2759="",L2759=""),0,IF(AND(TRIM(C2759)=TRIM(RIGHT(SUBSTITUTE(TRIM('02_대상물건입력'!$B$7)," ",REPT(" ",99)),99)),IF('02_대상물건입력'!B15="",TRUE(),ISNUMBER(SEARCH('02_대상물건입력'!B15,L2759)))),1,0))</f>
        <v/>
      </c>
      <c r="R2759" s="175">
        <f>IFERROR(ABS(E2759-'02_대상물건입력'!B11)/'02_대상물건입력'!B11,"")</f>
        <v/>
      </c>
      <c r="S2759" s="152">
        <f>IFERROR(ABS(J2759-'02_대상물건입력'!B10),"")</f>
        <v/>
      </c>
      <c r="T2759" s="152">
        <f>IFERROR(ABS('01_설정'!B4-F2759),"")</f>
        <v/>
      </c>
      <c r="U2759" s="152">
        <f>IFERROR(ABS(K2759-YEAR('02_대상물건입력'!B14)),"")</f>
        <v/>
      </c>
      <c r="V2759" s="152">
        <f>IF(B2759="","",IF(AND(E2759&gt;0,F2759&gt;0,H2759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2759=1,TRUE()),R2759&lt;='01_설정'!B5,S2759&lt;='01_설정'!B6,T2759&lt;='01_설정'!B7,U2759&lt;='01_설정'!B8),"Y",""))</f>
        <v/>
      </c>
      <c r="W2759" s="172">
        <f>IF(V2759&lt;&gt;"Y","",MAX(0,(1-R2759/'01_설정'!B5))*'01_설정'!B14+MAX(0,(1-S2759/'01_설정'!B6))*'01_설정'!B15+MAX(0,(1-T2759/'01_설정'!B7))*'01_설정'!B16+MAX(0,(1-U2759/'01_설정'!B8))*'01_설정'!B17+O2759*'01_설정'!B11+Q2759*'01_설정'!B12+P2759*'01_설정'!B13+IF(Z2759="",0,Z2759))</f>
        <v/>
      </c>
      <c r="X2759" s="152">
        <f>IF(W2759="","",1+COUNTIFS($W$4:$W$3003,"&gt;"&amp;W2759)+COUNTIFS($W$4:W2759,W2759)-1)</f>
        <v/>
      </c>
      <c r="Y2759" s="175">
        <f>IF(OR(I2759="",'02_대상물건입력'!B19="",'02_대상물건입력'!B19&lt;=0),"",ABS(I2759-'02_대상물건입력'!B19)/'02_대상물건입력'!B19)</f>
        <v/>
      </c>
      <c r="Z2759" s="172">
        <f>IF(OR(Y2759="",'01_설정'!B31="",'01_설정'!B31&lt;=0,'01_설정'!B32="",'01_설정'!B32&lt;=0),"",MAX(0,(1-Y2759/'01_설정'!B32))*'01_설정'!B31)</f>
        <v/>
      </c>
    </row>
    <row r="2760" ht="17.25" customHeight="1">
      <c r="A2760" s="152">
        <f>IF(INDEX('04A_국토부원자료'!$A:$A,ROW()+1)="","",ROW()-3)</f>
        <v/>
      </c>
      <c r="B2760" s="48">
        <f>IFERROR(INDEX('04A_국토부원자료'!$A:$T,ROW()+1,MATCH("시군구",'04A_국토부원자료'!$A$4:$T$4,0)),"")</f>
        <v/>
      </c>
      <c r="C2760" s="48">
        <f>IF(B2760="","",IFERROR(INDEX('04A_국토부원자료'!$A:$T,ROW()+1,MATCH("번지",'04A_국토부원자료'!$A$4:$T$4,0)),""))</f>
        <v/>
      </c>
      <c r="D2760" s="48">
        <f>IF(B2760="","",IF(Q2760=1,'02_대상물건입력'!$B$8,IFERROR(INDEX('04A_국토부원자료'!$A:$T,ROW()+1,MATCH("단지명",'04A_국토부원자료'!$A$4:$T$4,0)),"")))</f>
        <v/>
      </c>
      <c r="E2760" s="172">
        <f>IFERROR(VALUE(SUBSTITUTE(INDEX('04A_국토부원자료'!$A:$T,ROW()+1,MATCH("전용면적(㎡)",'04A_국토부원자료'!$A$4:$T$4,0)),",","")),"")</f>
        <v/>
      </c>
      <c r="F27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60" s="51">
        <f>IFERROR(VALUE(SUBSTITUTE(INDEX('04A_국토부원자료'!$A:$T,ROW()+1,MATCH("거래금액(만원)",'04A_국토부원자료'!$A$4:$T$4,0)),",","")),"")</f>
        <v/>
      </c>
      <c r="H2760" s="174">
        <f>IF(G2760="","",G2760*10000)</f>
        <v/>
      </c>
      <c r="I2760" s="174">
        <f>IFERROR(IF(AND(H2760&gt;0,E2760&gt;0),H2760/E2760,""),"")</f>
        <v/>
      </c>
      <c r="J2760" s="152">
        <f>IFERROR(VALUE(SUBSTITUTE(INDEX('04A_국토부원자료'!$A:$T,ROW()+1,MATCH("층",'04A_국토부원자료'!$A$4:$T$4,0)),",","")),"")</f>
        <v/>
      </c>
      <c r="K2760" s="152">
        <f>IFERROR(VALUE(SUBSTITUTE(INDEX('04A_국토부원자료'!$A:$T,ROW()+1,MATCH("건축년도",'04A_국토부원자료'!$A$4:$T$4,0)),",","")),"")</f>
        <v/>
      </c>
      <c r="L2760" s="48">
        <f>IFERROR(INDEX('04A_국토부원자료'!$A:$T,ROW()+1,MATCH("도로명",'04A_국토부원자료'!$A$4:$T$4,0)),"")</f>
        <v/>
      </c>
      <c r="M2760" s="48">
        <f>IFERROR(INDEX('04A_국토부원자료'!$A:$T,ROW()+1,MATCH("거래유형",'04A_국토부원자료'!$A$4:$T$4,0)),"")</f>
        <v/>
      </c>
      <c r="N2760" s="152">
        <f>IF(B2760="","",IF('02_대상물건입력'!B5="",1,IF(ISNUMBER(SEARCH('02_대상물건입력'!B5,B2760)),1,0)))</f>
        <v/>
      </c>
      <c r="O2760" s="152">
        <f>IF(B2760="","",IF('02_대상물건입력'!B6="",1,IF(ISNUMBER(SEARCH('02_대상물건입력'!B6,B2760)),1,0)))</f>
        <v/>
      </c>
      <c r="P2760" s="152">
        <f>IF(L2760="","",IF('02_대상물건입력'!B15="",0,IF(ISNUMBER(SEARCH('02_대상물건입력'!B15,L2760)),1,0)))</f>
        <v/>
      </c>
      <c r="Q2760" s="152">
        <f>IF(OR(C2760="",L2760=""),0,IF(AND(TRIM(C2760)=TRIM(RIGHT(SUBSTITUTE(TRIM('02_대상물건입력'!$B$7)," ",REPT(" ",99)),99)),IF('02_대상물건입력'!B15="",TRUE(),ISNUMBER(SEARCH('02_대상물건입력'!B15,L2760)))),1,0))</f>
        <v/>
      </c>
      <c r="R2760" s="175">
        <f>IFERROR(ABS(E2760-'02_대상물건입력'!B11)/'02_대상물건입력'!B11,"")</f>
        <v/>
      </c>
      <c r="S2760" s="152">
        <f>IFERROR(ABS(J2760-'02_대상물건입력'!B10),"")</f>
        <v/>
      </c>
      <c r="T2760" s="152">
        <f>IFERROR(ABS('01_설정'!B4-F2760),"")</f>
        <v/>
      </c>
      <c r="U2760" s="152">
        <f>IFERROR(ABS(K2760-YEAR('02_대상물건입력'!B14)),"")</f>
        <v/>
      </c>
      <c r="V2760" s="152">
        <f>IF(B2760="","",IF(AND(E2760&gt;0,F2760&gt;0,H2760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2760=1,TRUE()),R2760&lt;='01_설정'!B5,S2760&lt;='01_설정'!B6,T2760&lt;='01_설정'!B7,U2760&lt;='01_설정'!B8),"Y",""))</f>
        <v/>
      </c>
      <c r="W2760" s="172">
        <f>IF(V2760&lt;&gt;"Y","",MAX(0,(1-R2760/'01_설정'!B5))*'01_설정'!B14+MAX(0,(1-S2760/'01_설정'!B6))*'01_설정'!B15+MAX(0,(1-T2760/'01_설정'!B7))*'01_설정'!B16+MAX(0,(1-U2760/'01_설정'!B8))*'01_설정'!B17+O2760*'01_설정'!B11+Q2760*'01_설정'!B12+P2760*'01_설정'!B13+IF(Z2760="",0,Z2760))</f>
        <v/>
      </c>
      <c r="X2760" s="152">
        <f>IF(W2760="","",1+COUNTIFS($W$4:$W$3003,"&gt;"&amp;W2760)+COUNTIFS($W$4:W2760,W2760)-1)</f>
        <v/>
      </c>
      <c r="Y2760" s="175">
        <f>IF(OR(I2760="",'02_대상물건입력'!B19="",'02_대상물건입력'!B19&lt;=0),"",ABS(I2760-'02_대상물건입력'!B19)/'02_대상물건입력'!B19)</f>
        <v/>
      </c>
      <c r="Z2760" s="172">
        <f>IF(OR(Y2760="",'01_설정'!B31="",'01_설정'!B31&lt;=0,'01_설정'!B32="",'01_설정'!B32&lt;=0),"",MAX(0,(1-Y2760/'01_설정'!B32))*'01_설정'!B31)</f>
        <v/>
      </c>
    </row>
    <row r="2761" ht="17.25" customHeight="1">
      <c r="A2761" s="152">
        <f>IF(INDEX('04A_국토부원자료'!$A:$A,ROW()+1)="","",ROW()-3)</f>
        <v/>
      </c>
      <c r="B2761" s="48">
        <f>IFERROR(INDEX('04A_국토부원자료'!$A:$T,ROW()+1,MATCH("시군구",'04A_국토부원자료'!$A$4:$T$4,0)),"")</f>
        <v/>
      </c>
      <c r="C2761" s="48">
        <f>IF(B2761="","",IFERROR(INDEX('04A_국토부원자료'!$A:$T,ROW()+1,MATCH("번지",'04A_국토부원자료'!$A$4:$T$4,0)),""))</f>
        <v/>
      </c>
      <c r="D2761" s="48">
        <f>IF(B2761="","",IF(Q2761=1,'02_대상물건입력'!$B$8,IFERROR(INDEX('04A_국토부원자료'!$A:$T,ROW()+1,MATCH("단지명",'04A_국토부원자료'!$A$4:$T$4,0)),"")))</f>
        <v/>
      </c>
      <c r="E2761" s="172">
        <f>IFERROR(VALUE(SUBSTITUTE(INDEX('04A_국토부원자료'!$A:$T,ROW()+1,MATCH("전용면적(㎡)",'04A_국토부원자료'!$A$4:$T$4,0)),",","")),"")</f>
        <v/>
      </c>
      <c r="F27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61" s="51">
        <f>IFERROR(VALUE(SUBSTITUTE(INDEX('04A_국토부원자료'!$A:$T,ROW()+1,MATCH("거래금액(만원)",'04A_국토부원자료'!$A$4:$T$4,0)),",","")),"")</f>
        <v/>
      </c>
      <c r="H2761" s="174">
        <f>IF(G2761="","",G2761*10000)</f>
        <v/>
      </c>
      <c r="I2761" s="174">
        <f>IFERROR(IF(AND(H2761&gt;0,E2761&gt;0),H2761/E2761,""),"")</f>
        <v/>
      </c>
      <c r="J2761" s="152">
        <f>IFERROR(VALUE(SUBSTITUTE(INDEX('04A_국토부원자료'!$A:$T,ROW()+1,MATCH("층",'04A_국토부원자료'!$A$4:$T$4,0)),",","")),"")</f>
        <v/>
      </c>
      <c r="K2761" s="152">
        <f>IFERROR(VALUE(SUBSTITUTE(INDEX('04A_국토부원자료'!$A:$T,ROW()+1,MATCH("건축년도",'04A_국토부원자료'!$A$4:$T$4,0)),",","")),"")</f>
        <v/>
      </c>
      <c r="L2761" s="48">
        <f>IFERROR(INDEX('04A_국토부원자료'!$A:$T,ROW()+1,MATCH("도로명",'04A_국토부원자료'!$A$4:$T$4,0)),"")</f>
        <v/>
      </c>
      <c r="M2761" s="48">
        <f>IFERROR(INDEX('04A_국토부원자료'!$A:$T,ROW()+1,MATCH("거래유형",'04A_국토부원자료'!$A$4:$T$4,0)),"")</f>
        <v/>
      </c>
      <c r="N2761" s="152">
        <f>IF(B2761="","",IF('02_대상물건입력'!B5="",1,IF(ISNUMBER(SEARCH('02_대상물건입력'!B5,B2761)),1,0)))</f>
        <v/>
      </c>
      <c r="O2761" s="152">
        <f>IF(B2761="","",IF('02_대상물건입력'!B6="",1,IF(ISNUMBER(SEARCH('02_대상물건입력'!B6,B2761)),1,0)))</f>
        <v/>
      </c>
      <c r="P2761" s="152">
        <f>IF(L2761="","",IF('02_대상물건입력'!B15="",0,IF(ISNUMBER(SEARCH('02_대상물건입력'!B15,L2761)),1,0)))</f>
        <v/>
      </c>
      <c r="Q2761" s="152">
        <f>IF(OR(C2761="",L2761=""),0,IF(AND(TRIM(C2761)=TRIM(RIGHT(SUBSTITUTE(TRIM('02_대상물건입력'!$B$7)," ",REPT(" ",99)),99)),IF('02_대상물건입력'!B15="",TRUE(),ISNUMBER(SEARCH('02_대상물건입력'!B15,L2761)))),1,0))</f>
        <v/>
      </c>
      <c r="R2761" s="175">
        <f>IFERROR(ABS(E2761-'02_대상물건입력'!B11)/'02_대상물건입력'!B11,"")</f>
        <v/>
      </c>
      <c r="S2761" s="152">
        <f>IFERROR(ABS(J2761-'02_대상물건입력'!B10),"")</f>
        <v/>
      </c>
      <c r="T2761" s="152">
        <f>IFERROR(ABS('01_설정'!B4-F2761),"")</f>
        <v/>
      </c>
      <c r="U2761" s="152">
        <f>IFERROR(ABS(K2761-YEAR('02_대상물건입력'!B14)),"")</f>
        <v/>
      </c>
      <c r="V2761" s="152">
        <f>IF(B2761="","",IF(AND(E2761&gt;0,F2761&gt;0,H2761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2761=1,TRUE()),R2761&lt;='01_설정'!B5,S2761&lt;='01_설정'!B6,T2761&lt;='01_설정'!B7,U2761&lt;='01_설정'!B8),"Y",""))</f>
        <v/>
      </c>
      <c r="W2761" s="172">
        <f>IF(V2761&lt;&gt;"Y","",MAX(0,(1-R2761/'01_설정'!B5))*'01_설정'!B14+MAX(0,(1-S2761/'01_설정'!B6))*'01_설정'!B15+MAX(0,(1-T2761/'01_설정'!B7))*'01_설정'!B16+MAX(0,(1-U2761/'01_설정'!B8))*'01_설정'!B17+O2761*'01_설정'!B11+Q2761*'01_설정'!B12+P2761*'01_설정'!B13+IF(Z2761="",0,Z2761))</f>
        <v/>
      </c>
      <c r="X2761" s="152">
        <f>IF(W2761="","",1+COUNTIFS($W$4:$W$3003,"&gt;"&amp;W2761)+COUNTIFS($W$4:W2761,W2761)-1)</f>
        <v/>
      </c>
      <c r="Y2761" s="175">
        <f>IF(OR(I2761="",'02_대상물건입력'!B19="",'02_대상물건입력'!B19&lt;=0),"",ABS(I2761-'02_대상물건입력'!B19)/'02_대상물건입력'!B19)</f>
        <v/>
      </c>
      <c r="Z2761" s="172">
        <f>IF(OR(Y2761="",'01_설정'!B31="",'01_설정'!B31&lt;=0,'01_설정'!B32="",'01_설정'!B32&lt;=0),"",MAX(0,(1-Y2761/'01_설정'!B32))*'01_설정'!B31)</f>
        <v/>
      </c>
    </row>
    <row r="2762" ht="17.25" customHeight="1">
      <c r="A2762" s="152">
        <f>IF(INDEX('04A_국토부원자료'!$A:$A,ROW()+1)="","",ROW()-3)</f>
        <v/>
      </c>
      <c r="B2762" s="48">
        <f>IFERROR(INDEX('04A_국토부원자료'!$A:$T,ROW()+1,MATCH("시군구",'04A_국토부원자료'!$A$4:$T$4,0)),"")</f>
        <v/>
      </c>
      <c r="C2762" s="48">
        <f>IF(B2762="","",IFERROR(INDEX('04A_국토부원자료'!$A:$T,ROW()+1,MATCH("번지",'04A_국토부원자료'!$A$4:$T$4,0)),""))</f>
        <v/>
      </c>
      <c r="D2762" s="48">
        <f>IF(B2762="","",IF(Q2762=1,'02_대상물건입력'!$B$8,IFERROR(INDEX('04A_국토부원자료'!$A:$T,ROW()+1,MATCH("단지명",'04A_국토부원자료'!$A$4:$T$4,0)),"")))</f>
        <v/>
      </c>
      <c r="E2762" s="172">
        <f>IFERROR(VALUE(SUBSTITUTE(INDEX('04A_국토부원자료'!$A:$T,ROW()+1,MATCH("전용면적(㎡)",'04A_국토부원자료'!$A$4:$T$4,0)),",","")),"")</f>
        <v/>
      </c>
      <c r="F27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62" s="51">
        <f>IFERROR(VALUE(SUBSTITUTE(INDEX('04A_국토부원자료'!$A:$T,ROW()+1,MATCH("거래금액(만원)",'04A_국토부원자료'!$A$4:$T$4,0)),",","")),"")</f>
        <v/>
      </c>
      <c r="H2762" s="174">
        <f>IF(G2762="","",G2762*10000)</f>
        <v/>
      </c>
      <c r="I2762" s="174">
        <f>IFERROR(IF(AND(H2762&gt;0,E2762&gt;0),H2762/E2762,""),"")</f>
        <v/>
      </c>
      <c r="J2762" s="152">
        <f>IFERROR(VALUE(SUBSTITUTE(INDEX('04A_국토부원자료'!$A:$T,ROW()+1,MATCH("층",'04A_국토부원자료'!$A$4:$T$4,0)),",","")),"")</f>
        <v/>
      </c>
      <c r="K2762" s="152">
        <f>IFERROR(VALUE(SUBSTITUTE(INDEX('04A_국토부원자료'!$A:$T,ROW()+1,MATCH("건축년도",'04A_국토부원자료'!$A$4:$T$4,0)),",","")),"")</f>
        <v/>
      </c>
      <c r="L2762" s="48">
        <f>IFERROR(INDEX('04A_국토부원자료'!$A:$T,ROW()+1,MATCH("도로명",'04A_국토부원자료'!$A$4:$T$4,0)),"")</f>
        <v/>
      </c>
      <c r="M2762" s="48">
        <f>IFERROR(INDEX('04A_국토부원자료'!$A:$T,ROW()+1,MATCH("거래유형",'04A_국토부원자료'!$A$4:$T$4,0)),"")</f>
        <v/>
      </c>
      <c r="N2762" s="152">
        <f>IF(B2762="","",IF('02_대상물건입력'!B5="",1,IF(ISNUMBER(SEARCH('02_대상물건입력'!B5,B2762)),1,0)))</f>
        <v/>
      </c>
      <c r="O2762" s="152">
        <f>IF(B2762="","",IF('02_대상물건입력'!B6="",1,IF(ISNUMBER(SEARCH('02_대상물건입력'!B6,B2762)),1,0)))</f>
        <v/>
      </c>
      <c r="P2762" s="152">
        <f>IF(L2762="","",IF('02_대상물건입력'!B15="",0,IF(ISNUMBER(SEARCH('02_대상물건입력'!B15,L2762)),1,0)))</f>
        <v/>
      </c>
      <c r="Q2762" s="152">
        <f>IF(OR(C2762="",L2762=""),0,IF(AND(TRIM(C2762)=TRIM(RIGHT(SUBSTITUTE(TRIM('02_대상물건입력'!$B$7)," ",REPT(" ",99)),99)),IF('02_대상물건입력'!B15="",TRUE(),ISNUMBER(SEARCH('02_대상물건입력'!B15,L2762)))),1,0))</f>
        <v/>
      </c>
      <c r="R2762" s="175">
        <f>IFERROR(ABS(E2762-'02_대상물건입력'!B11)/'02_대상물건입력'!B11,"")</f>
        <v/>
      </c>
      <c r="S2762" s="152">
        <f>IFERROR(ABS(J2762-'02_대상물건입력'!B10),"")</f>
        <v/>
      </c>
      <c r="T2762" s="152">
        <f>IFERROR(ABS('01_설정'!B4-F2762),"")</f>
        <v/>
      </c>
      <c r="U2762" s="152">
        <f>IFERROR(ABS(K2762-YEAR('02_대상물건입력'!B14)),"")</f>
        <v/>
      </c>
      <c r="V2762" s="152">
        <f>IF(B2762="","",IF(AND(E2762&gt;0,F2762&gt;0,H2762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2762=1,TRUE()),R2762&lt;='01_설정'!B5,S2762&lt;='01_설정'!B6,T2762&lt;='01_설정'!B7,U2762&lt;='01_설정'!B8),"Y",""))</f>
        <v/>
      </c>
      <c r="W2762" s="172">
        <f>IF(V2762&lt;&gt;"Y","",MAX(0,(1-R2762/'01_설정'!B5))*'01_설정'!B14+MAX(0,(1-S2762/'01_설정'!B6))*'01_설정'!B15+MAX(0,(1-T2762/'01_설정'!B7))*'01_설정'!B16+MAX(0,(1-U2762/'01_설정'!B8))*'01_설정'!B17+O2762*'01_설정'!B11+Q2762*'01_설정'!B12+P2762*'01_설정'!B13+IF(Z2762="",0,Z2762))</f>
        <v/>
      </c>
      <c r="X2762" s="152">
        <f>IF(W2762="","",1+COUNTIFS($W$4:$W$3003,"&gt;"&amp;W2762)+COUNTIFS($W$4:W2762,W2762)-1)</f>
        <v/>
      </c>
      <c r="Y2762" s="175">
        <f>IF(OR(I2762="",'02_대상물건입력'!B19="",'02_대상물건입력'!B19&lt;=0),"",ABS(I2762-'02_대상물건입력'!B19)/'02_대상물건입력'!B19)</f>
        <v/>
      </c>
      <c r="Z2762" s="172">
        <f>IF(OR(Y2762="",'01_설정'!B31="",'01_설정'!B31&lt;=0,'01_설정'!B32="",'01_설정'!B32&lt;=0),"",MAX(0,(1-Y2762/'01_설정'!B32))*'01_설정'!B31)</f>
        <v/>
      </c>
    </row>
    <row r="2763" ht="17.25" customHeight="1">
      <c r="A2763" s="152">
        <f>IF(INDEX('04A_국토부원자료'!$A:$A,ROW()+1)="","",ROW()-3)</f>
        <v/>
      </c>
      <c r="B2763" s="48">
        <f>IFERROR(INDEX('04A_국토부원자료'!$A:$T,ROW()+1,MATCH("시군구",'04A_국토부원자료'!$A$4:$T$4,0)),"")</f>
        <v/>
      </c>
      <c r="C2763" s="48">
        <f>IF(B2763="","",IFERROR(INDEX('04A_국토부원자료'!$A:$T,ROW()+1,MATCH("번지",'04A_국토부원자료'!$A$4:$T$4,0)),""))</f>
        <v/>
      </c>
      <c r="D2763" s="48">
        <f>IF(B2763="","",IF(Q2763=1,'02_대상물건입력'!$B$8,IFERROR(INDEX('04A_국토부원자료'!$A:$T,ROW()+1,MATCH("단지명",'04A_국토부원자료'!$A$4:$T$4,0)),"")))</f>
        <v/>
      </c>
      <c r="E2763" s="172">
        <f>IFERROR(VALUE(SUBSTITUTE(INDEX('04A_국토부원자료'!$A:$T,ROW()+1,MATCH("전용면적(㎡)",'04A_국토부원자료'!$A$4:$T$4,0)),",","")),"")</f>
        <v/>
      </c>
      <c r="F27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63" s="51">
        <f>IFERROR(VALUE(SUBSTITUTE(INDEX('04A_국토부원자료'!$A:$T,ROW()+1,MATCH("거래금액(만원)",'04A_국토부원자료'!$A$4:$T$4,0)),",","")),"")</f>
        <v/>
      </c>
      <c r="H2763" s="174">
        <f>IF(G2763="","",G2763*10000)</f>
        <v/>
      </c>
      <c r="I2763" s="174">
        <f>IFERROR(IF(AND(H2763&gt;0,E2763&gt;0),H2763/E2763,""),"")</f>
        <v/>
      </c>
      <c r="J2763" s="152">
        <f>IFERROR(VALUE(SUBSTITUTE(INDEX('04A_국토부원자료'!$A:$T,ROW()+1,MATCH("층",'04A_국토부원자료'!$A$4:$T$4,0)),",","")),"")</f>
        <v/>
      </c>
      <c r="K2763" s="152">
        <f>IFERROR(VALUE(SUBSTITUTE(INDEX('04A_국토부원자료'!$A:$T,ROW()+1,MATCH("건축년도",'04A_국토부원자료'!$A$4:$T$4,0)),",","")),"")</f>
        <v/>
      </c>
      <c r="L2763" s="48">
        <f>IFERROR(INDEX('04A_국토부원자료'!$A:$T,ROW()+1,MATCH("도로명",'04A_국토부원자료'!$A$4:$T$4,0)),"")</f>
        <v/>
      </c>
      <c r="M2763" s="48">
        <f>IFERROR(INDEX('04A_국토부원자료'!$A:$T,ROW()+1,MATCH("거래유형",'04A_국토부원자료'!$A$4:$T$4,0)),"")</f>
        <v/>
      </c>
      <c r="N2763" s="152">
        <f>IF(B2763="","",IF('02_대상물건입력'!B5="",1,IF(ISNUMBER(SEARCH('02_대상물건입력'!B5,B2763)),1,0)))</f>
        <v/>
      </c>
      <c r="O2763" s="152">
        <f>IF(B2763="","",IF('02_대상물건입력'!B6="",1,IF(ISNUMBER(SEARCH('02_대상물건입력'!B6,B2763)),1,0)))</f>
        <v/>
      </c>
      <c r="P2763" s="152">
        <f>IF(L2763="","",IF('02_대상물건입력'!B15="",0,IF(ISNUMBER(SEARCH('02_대상물건입력'!B15,L2763)),1,0)))</f>
        <v/>
      </c>
      <c r="Q2763" s="152">
        <f>IF(OR(C2763="",L2763=""),0,IF(AND(TRIM(C2763)=TRIM(RIGHT(SUBSTITUTE(TRIM('02_대상물건입력'!$B$7)," ",REPT(" ",99)),99)),IF('02_대상물건입력'!B15="",TRUE(),ISNUMBER(SEARCH('02_대상물건입력'!B15,L2763)))),1,0))</f>
        <v/>
      </c>
      <c r="R2763" s="175">
        <f>IFERROR(ABS(E2763-'02_대상물건입력'!B11)/'02_대상물건입력'!B11,"")</f>
        <v/>
      </c>
      <c r="S2763" s="152">
        <f>IFERROR(ABS(J2763-'02_대상물건입력'!B10),"")</f>
        <v/>
      </c>
      <c r="T2763" s="152">
        <f>IFERROR(ABS('01_설정'!B4-F2763),"")</f>
        <v/>
      </c>
      <c r="U2763" s="152">
        <f>IFERROR(ABS(K2763-YEAR('02_대상물건입력'!B14)),"")</f>
        <v/>
      </c>
      <c r="V2763" s="152">
        <f>IF(B2763="","",IF(AND(E2763&gt;0,F2763&gt;0,H2763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2763=1,TRUE()),R2763&lt;='01_설정'!B5,S2763&lt;='01_설정'!B6,T2763&lt;='01_설정'!B7,U2763&lt;='01_설정'!B8),"Y",""))</f>
        <v/>
      </c>
      <c r="W2763" s="172">
        <f>IF(V2763&lt;&gt;"Y","",MAX(0,(1-R2763/'01_설정'!B5))*'01_설정'!B14+MAX(0,(1-S2763/'01_설정'!B6))*'01_설정'!B15+MAX(0,(1-T2763/'01_설정'!B7))*'01_설정'!B16+MAX(0,(1-U2763/'01_설정'!B8))*'01_설정'!B17+O2763*'01_설정'!B11+Q2763*'01_설정'!B12+P2763*'01_설정'!B13+IF(Z2763="",0,Z2763))</f>
        <v/>
      </c>
      <c r="X2763" s="152">
        <f>IF(W2763="","",1+COUNTIFS($W$4:$W$3003,"&gt;"&amp;W2763)+COUNTIFS($W$4:W2763,W2763)-1)</f>
        <v/>
      </c>
      <c r="Y2763" s="175">
        <f>IF(OR(I2763="",'02_대상물건입력'!B19="",'02_대상물건입력'!B19&lt;=0),"",ABS(I2763-'02_대상물건입력'!B19)/'02_대상물건입력'!B19)</f>
        <v/>
      </c>
      <c r="Z2763" s="172">
        <f>IF(OR(Y2763="",'01_설정'!B31="",'01_설정'!B31&lt;=0,'01_설정'!B32="",'01_설정'!B32&lt;=0),"",MAX(0,(1-Y2763/'01_설정'!B32))*'01_설정'!B31)</f>
        <v/>
      </c>
    </row>
    <row r="2764" ht="17.25" customHeight="1">
      <c r="A2764" s="152">
        <f>IF(INDEX('04A_국토부원자료'!$A:$A,ROW()+1)="","",ROW()-3)</f>
        <v/>
      </c>
      <c r="B2764" s="48">
        <f>IFERROR(INDEX('04A_국토부원자료'!$A:$T,ROW()+1,MATCH("시군구",'04A_국토부원자료'!$A$4:$T$4,0)),"")</f>
        <v/>
      </c>
      <c r="C2764" s="48">
        <f>IF(B2764="","",IFERROR(INDEX('04A_국토부원자료'!$A:$T,ROW()+1,MATCH("번지",'04A_국토부원자료'!$A$4:$T$4,0)),""))</f>
        <v/>
      </c>
      <c r="D2764" s="48">
        <f>IF(B2764="","",IF(Q2764=1,'02_대상물건입력'!$B$8,IFERROR(INDEX('04A_국토부원자료'!$A:$T,ROW()+1,MATCH("단지명",'04A_국토부원자료'!$A$4:$T$4,0)),"")))</f>
        <v/>
      </c>
      <c r="E2764" s="172">
        <f>IFERROR(VALUE(SUBSTITUTE(INDEX('04A_국토부원자료'!$A:$T,ROW()+1,MATCH("전용면적(㎡)",'04A_국토부원자료'!$A$4:$T$4,0)),",","")),"")</f>
        <v/>
      </c>
      <c r="F27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64" s="51">
        <f>IFERROR(VALUE(SUBSTITUTE(INDEX('04A_국토부원자료'!$A:$T,ROW()+1,MATCH("거래금액(만원)",'04A_국토부원자료'!$A$4:$T$4,0)),",","")),"")</f>
        <v/>
      </c>
      <c r="H2764" s="174">
        <f>IF(G2764="","",G2764*10000)</f>
        <v/>
      </c>
      <c r="I2764" s="174">
        <f>IFERROR(IF(AND(H2764&gt;0,E2764&gt;0),H2764/E2764,""),"")</f>
        <v/>
      </c>
      <c r="J2764" s="152">
        <f>IFERROR(VALUE(SUBSTITUTE(INDEX('04A_국토부원자료'!$A:$T,ROW()+1,MATCH("층",'04A_국토부원자료'!$A$4:$T$4,0)),",","")),"")</f>
        <v/>
      </c>
      <c r="K2764" s="152">
        <f>IFERROR(VALUE(SUBSTITUTE(INDEX('04A_국토부원자료'!$A:$T,ROW()+1,MATCH("건축년도",'04A_국토부원자료'!$A$4:$T$4,0)),",","")),"")</f>
        <v/>
      </c>
      <c r="L2764" s="48">
        <f>IFERROR(INDEX('04A_국토부원자료'!$A:$T,ROW()+1,MATCH("도로명",'04A_국토부원자료'!$A$4:$T$4,0)),"")</f>
        <v/>
      </c>
      <c r="M2764" s="48">
        <f>IFERROR(INDEX('04A_국토부원자료'!$A:$T,ROW()+1,MATCH("거래유형",'04A_국토부원자료'!$A$4:$T$4,0)),"")</f>
        <v/>
      </c>
      <c r="N2764" s="152">
        <f>IF(B2764="","",IF('02_대상물건입력'!B5="",1,IF(ISNUMBER(SEARCH('02_대상물건입력'!B5,B2764)),1,0)))</f>
        <v/>
      </c>
      <c r="O2764" s="152">
        <f>IF(B2764="","",IF('02_대상물건입력'!B6="",1,IF(ISNUMBER(SEARCH('02_대상물건입력'!B6,B2764)),1,0)))</f>
        <v/>
      </c>
      <c r="P2764" s="152">
        <f>IF(L2764="","",IF('02_대상물건입력'!B15="",0,IF(ISNUMBER(SEARCH('02_대상물건입력'!B15,L2764)),1,0)))</f>
        <v/>
      </c>
      <c r="Q2764" s="152">
        <f>IF(OR(C2764="",L2764=""),0,IF(AND(TRIM(C2764)=TRIM(RIGHT(SUBSTITUTE(TRIM('02_대상물건입력'!$B$7)," ",REPT(" ",99)),99)),IF('02_대상물건입력'!B15="",TRUE(),ISNUMBER(SEARCH('02_대상물건입력'!B15,L2764)))),1,0))</f>
        <v/>
      </c>
      <c r="R2764" s="175">
        <f>IFERROR(ABS(E2764-'02_대상물건입력'!B11)/'02_대상물건입력'!B11,"")</f>
        <v/>
      </c>
      <c r="S2764" s="152">
        <f>IFERROR(ABS(J2764-'02_대상물건입력'!B10),"")</f>
        <v/>
      </c>
      <c r="T2764" s="152">
        <f>IFERROR(ABS('01_설정'!B4-F2764),"")</f>
        <v/>
      </c>
      <c r="U2764" s="152">
        <f>IFERROR(ABS(K2764-YEAR('02_대상물건입력'!B14)),"")</f>
        <v/>
      </c>
      <c r="V2764" s="152">
        <f>IF(B2764="","",IF(AND(E2764&gt;0,F2764&gt;0,H2764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2764=1,TRUE()),R2764&lt;='01_설정'!B5,S2764&lt;='01_설정'!B6,T2764&lt;='01_설정'!B7,U2764&lt;='01_설정'!B8),"Y",""))</f>
        <v/>
      </c>
      <c r="W2764" s="172">
        <f>IF(V2764&lt;&gt;"Y","",MAX(0,(1-R2764/'01_설정'!B5))*'01_설정'!B14+MAX(0,(1-S2764/'01_설정'!B6))*'01_설정'!B15+MAX(0,(1-T2764/'01_설정'!B7))*'01_설정'!B16+MAX(0,(1-U2764/'01_설정'!B8))*'01_설정'!B17+O2764*'01_설정'!B11+Q2764*'01_설정'!B12+P2764*'01_설정'!B13+IF(Z2764="",0,Z2764))</f>
        <v/>
      </c>
      <c r="X2764" s="152">
        <f>IF(W2764="","",1+COUNTIFS($W$4:$W$3003,"&gt;"&amp;W2764)+COUNTIFS($W$4:W2764,W2764)-1)</f>
        <v/>
      </c>
      <c r="Y2764" s="175">
        <f>IF(OR(I2764="",'02_대상물건입력'!B19="",'02_대상물건입력'!B19&lt;=0),"",ABS(I2764-'02_대상물건입력'!B19)/'02_대상물건입력'!B19)</f>
        <v/>
      </c>
      <c r="Z2764" s="172">
        <f>IF(OR(Y2764="",'01_설정'!B31="",'01_설정'!B31&lt;=0,'01_설정'!B32="",'01_설정'!B32&lt;=0),"",MAX(0,(1-Y2764/'01_설정'!B32))*'01_설정'!B31)</f>
        <v/>
      </c>
    </row>
    <row r="2765" ht="17.25" customHeight="1">
      <c r="A2765" s="152">
        <f>IF(INDEX('04A_국토부원자료'!$A:$A,ROW()+1)="","",ROW()-3)</f>
        <v/>
      </c>
      <c r="B2765" s="48">
        <f>IFERROR(INDEX('04A_국토부원자료'!$A:$T,ROW()+1,MATCH("시군구",'04A_국토부원자료'!$A$4:$T$4,0)),"")</f>
        <v/>
      </c>
      <c r="C2765" s="48">
        <f>IF(B2765="","",IFERROR(INDEX('04A_국토부원자료'!$A:$T,ROW()+1,MATCH("번지",'04A_국토부원자료'!$A$4:$T$4,0)),""))</f>
        <v/>
      </c>
      <c r="D2765" s="48">
        <f>IF(B2765="","",IF(Q2765=1,'02_대상물건입력'!$B$8,IFERROR(INDEX('04A_국토부원자료'!$A:$T,ROW()+1,MATCH("단지명",'04A_국토부원자료'!$A$4:$T$4,0)),"")))</f>
        <v/>
      </c>
      <c r="E2765" s="172">
        <f>IFERROR(VALUE(SUBSTITUTE(INDEX('04A_국토부원자료'!$A:$T,ROW()+1,MATCH("전용면적(㎡)",'04A_국토부원자료'!$A$4:$T$4,0)),",","")),"")</f>
        <v/>
      </c>
      <c r="F27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65" s="51">
        <f>IFERROR(VALUE(SUBSTITUTE(INDEX('04A_국토부원자료'!$A:$T,ROW()+1,MATCH("거래금액(만원)",'04A_국토부원자료'!$A$4:$T$4,0)),",","")),"")</f>
        <v/>
      </c>
      <c r="H2765" s="174">
        <f>IF(G2765="","",G2765*10000)</f>
        <v/>
      </c>
      <c r="I2765" s="174">
        <f>IFERROR(IF(AND(H2765&gt;0,E2765&gt;0),H2765/E2765,""),"")</f>
        <v/>
      </c>
      <c r="J2765" s="152">
        <f>IFERROR(VALUE(SUBSTITUTE(INDEX('04A_국토부원자료'!$A:$T,ROW()+1,MATCH("층",'04A_국토부원자료'!$A$4:$T$4,0)),",","")),"")</f>
        <v/>
      </c>
      <c r="K2765" s="152">
        <f>IFERROR(VALUE(SUBSTITUTE(INDEX('04A_국토부원자료'!$A:$T,ROW()+1,MATCH("건축년도",'04A_국토부원자료'!$A$4:$T$4,0)),",","")),"")</f>
        <v/>
      </c>
      <c r="L2765" s="48">
        <f>IFERROR(INDEX('04A_국토부원자료'!$A:$T,ROW()+1,MATCH("도로명",'04A_국토부원자료'!$A$4:$T$4,0)),"")</f>
        <v/>
      </c>
      <c r="M2765" s="48">
        <f>IFERROR(INDEX('04A_국토부원자료'!$A:$T,ROW()+1,MATCH("거래유형",'04A_국토부원자료'!$A$4:$T$4,0)),"")</f>
        <v/>
      </c>
      <c r="N2765" s="152">
        <f>IF(B2765="","",IF('02_대상물건입력'!B5="",1,IF(ISNUMBER(SEARCH('02_대상물건입력'!B5,B2765)),1,0)))</f>
        <v/>
      </c>
      <c r="O2765" s="152">
        <f>IF(B2765="","",IF('02_대상물건입력'!B6="",1,IF(ISNUMBER(SEARCH('02_대상물건입력'!B6,B2765)),1,0)))</f>
        <v/>
      </c>
      <c r="P2765" s="152">
        <f>IF(L2765="","",IF('02_대상물건입력'!B15="",0,IF(ISNUMBER(SEARCH('02_대상물건입력'!B15,L2765)),1,0)))</f>
        <v/>
      </c>
      <c r="Q2765" s="152">
        <f>IF(OR(C2765="",L2765=""),0,IF(AND(TRIM(C2765)=TRIM(RIGHT(SUBSTITUTE(TRIM('02_대상물건입력'!$B$7)," ",REPT(" ",99)),99)),IF('02_대상물건입력'!B15="",TRUE(),ISNUMBER(SEARCH('02_대상물건입력'!B15,L2765)))),1,0))</f>
        <v/>
      </c>
      <c r="R2765" s="175">
        <f>IFERROR(ABS(E2765-'02_대상물건입력'!B11)/'02_대상물건입력'!B11,"")</f>
        <v/>
      </c>
      <c r="S2765" s="152">
        <f>IFERROR(ABS(J2765-'02_대상물건입력'!B10),"")</f>
        <v/>
      </c>
      <c r="T2765" s="152">
        <f>IFERROR(ABS('01_설정'!B4-F2765),"")</f>
        <v/>
      </c>
      <c r="U2765" s="152">
        <f>IFERROR(ABS(K2765-YEAR('02_대상물건입력'!B14)),"")</f>
        <v/>
      </c>
      <c r="V2765" s="152">
        <f>IF(B2765="","",IF(AND(E2765&gt;0,F2765&gt;0,H2765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2765=1,TRUE()),R2765&lt;='01_설정'!B5,S2765&lt;='01_설정'!B6,T2765&lt;='01_설정'!B7,U2765&lt;='01_설정'!B8),"Y",""))</f>
        <v/>
      </c>
      <c r="W2765" s="172">
        <f>IF(V2765&lt;&gt;"Y","",MAX(0,(1-R2765/'01_설정'!B5))*'01_설정'!B14+MAX(0,(1-S2765/'01_설정'!B6))*'01_설정'!B15+MAX(0,(1-T2765/'01_설정'!B7))*'01_설정'!B16+MAX(0,(1-U2765/'01_설정'!B8))*'01_설정'!B17+O2765*'01_설정'!B11+Q2765*'01_설정'!B12+P2765*'01_설정'!B13+IF(Z2765="",0,Z2765))</f>
        <v/>
      </c>
      <c r="X2765" s="152">
        <f>IF(W2765="","",1+COUNTIFS($W$4:$W$3003,"&gt;"&amp;W2765)+COUNTIFS($W$4:W2765,W2765)-1)</f>
        <v/>
      </c>
      <c r="Y2765" s="175">
        <f>IF(OR(I2765="",'02_대상물건입력'!B19="",'02_대상물건입력'!B19&lt;=0),"",ABS(I2765-'02_대상물건입력'!B19)/'02_대상물건입력'!B19)</f>
        <v/>
      </c>
      <c r="Z2765" s="172">
        <f>IF(OR(Y2765="",'01_설정'!B31="",'01_설정'!B31&lt;=0,'01_설정'!B32="",'01_설정'!B32&lt;=0),"",MAX(0,(1-Y2765/'01_설정'!B32))*'01_설정'!B31)</f>
        <v/>
      </c>
    </row>
    <row r="2766" ht="17.25" customHeight="1">
      <c r="A2766" s="152">
        <f>IF(INDEX('04A_국토부원자료'!$A:$A,ROW()+1)="","",ROW()-3)</f>
        <v/>
      </c>
      <c r="B2766" s="48">
        <f>IFERROR(INDEX('04A_국토부원자료'!$A:$T,ROW()+1,MATCH("시군구",'04A_국토부원자료'!$A$4:$T$4,0)),"")</f>
        <v/>
      </c>
      <c r="C2766" s="48">
        <f>IF(B2766="","",IFERROR(INDEX('04A_국토부원자료'!$A:$T,ROW()+1,MATCH("번지",'04A_국토부원자료'!$A$4:$T$4,0)),""))</f>
        <v/>
      </c>
      <c r="D2766" s="48">
        <f>IF(B2766="","",IF(Q2766=1,'02_대상물건입력'!$B$8,IFERROR(INDEX('04A_국토부원자료'!$A:$T,ROW()+1,MATCH("단지명",'04A_국토부원자료'!$A$4:$T$4,0)),"")))</f>
        <v/>
      </c>
      <c r="E2766" s="172">
        <f>IFERROR(VALUE(SUBSTITUTE(INDEX('04A_국토부원자료'!$A:$T,ROW()+1,MATCH("전용면적(㎡)",'04A_국토부원자료'!$A$4:$T$4,0)),",","")),"")</f>
        <v/>
      </c>
      <c r="F27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66" s="51">
        <f>IFERROR(VALUE(SUBSTITUTE(INDEX('04A_국토부원자료'!$A:$T,ROW()+1,MATCH("거래금액(만원)",'04A_국토부원자료'!$A$4:$T$4,0)),",","")),"")</f>
        <v/>
      </c>
      <c r="H2766" s="174">
        <f>IF(G2766="","",G2766*10000)</f>
        <v/>
      </c>
      <c r="I2766" s="174">
        <f>IFERROR(IF(AND(H2766&gt;0,E2766&gt;0),H2766/E2766,""),"")</f>
        <v/>
      </c>
      <c r="J2766" s="152">
        <f>IFERROR(VALUE(SUBSTITUTE(INDEX('04A_국토부원자료'!$A:$T,ROW()+1,MATCH("층",'04A_국토부원자료'!$A$4:$T$4,0)),",","")),"")</f>
        <v/>
      </c>
      <c r="K2766" s="152">
        <f>IFERROR(VALUE(SUBSTITUTE(INDEX('04A_국토부원자료'!$A:$T,ROW()+1,MATCH("건축년도",'04A_국토부원자료'!$A$4:$T$4,0)),",","")),"")</f>
        <v/>
      </c>
      <c r="L2766" s="48">
        <f>IFERROR(INDEX('04A_국토부원자료'!$A:$T,ROW()+1,MATCH("도로명",'04A_국토부원자료'!$A$4:$T$4,0)),"")</f>
        <v/>
      </c>
      <c r="M2766" s="48">
        <f>IFERROR(INDEX('04A_국토부원자료'!$A:$T,ROW()+1,MATCH("거래유형",'04A_국토부원자료'!$A$4:$T$4,0)),"")</f>
        <v/>
      </c>
      <c r="N2766" s="152">
        <f>IF(B2766="","",IF('02_대상물건입력'!B5="",1,IF(ISNUMBER(SEARCH('02_대상물건입력'!B5,B2766)),1,0)))</f>
        <v/>
      </c>
      <c r="O2766" s="152">
        <f>IF(B2766="","",IF('02_대상물건입력'!B6="",1,IF(ISNUMBER(SEARCH('02_대상물건입력'!B6,B2766)),1,0)))</f>
        <v/>
      </c>
      <c r="P2766" s="152">
        <f>IF(L2766="","",IF('02_대상물건입력'!B15="",0,IF(ISNUMBER(SEARCH('02_대상물건입력'!B15,L2766)),1,0)))</f>
        <v/>
      </c>
      <c r="Q2766" s="152">
        <f>IF(OR(C2766="",L2766=""),0,IF(AND(TRIM(C2766)=TRIM(RIGHT(SUBSTITUTE(TRIM('02_대상물건입력'!$B$7)," ",REPT(" ",99)),99)),IF('02_대상물건입력'!B15="",TRUE(),ISNUMBER(SEARCH('02_대상물건입력'!B15,L2766)))),1,0))</f>
        <v/>
      </c>
      <c r="R2766" s="175">
        <f>IFERROR(ABS(E2766-'02_대상물건입력'!B11)/'02_대상물건입력'!B11,"")</f>
        <v/>
      </c>
      <c r="S2766" s="152">
        <f>IFERROR(ABS(J2766-'02_대상물건입력'!B10),"")</f>
        <v/>
      </c>
      <c r="T2766" s="152">
        <f>IFERROR(ABS('01_설정'!B4-F2766),"")</f>
        <v/>
      </c>
      <c r="U2766" s="152">
        <f>IFERROR(ABS(K2766-YEAR('02_대상물건입력'!B14)),"")</f>
        <v/>
      </c>
      <c r="V2766" s="152">
        <f>IF(B2766="","",IF(AND(E2766&gt;0,F2766&gt;0,H2766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2766=1,TRUE()),R2766&lt;='01_설정'!B5,S2766&lt;='01_설정'!B6,T2766&lt;='01_설정'!B7,U2766&lt;='01_설정'!B8),"Y",""))</f>
        <v/>
      </c>
      <c r="W2766" s="172">
        <f>IF(V2766&lt;&gt;"Y","",MAX(0,(1-R2766/'01_설정'!B5))*'01_설정'!B14+MAX(0,(1-S2766/'01_설정'!B6))*'01_설정'!B15+MAX(0,(1-T2766/'01_설정'!B7))*'01_설정'!B16+MAX(0,(1-U2766/'01_설정'!B8))*'01_설정'!B17+O2766*'01_설정'!B11+Q2766*'01_설정'!B12+P2766*'01_설정'!B13+IF(Z2766="",0,Z2766))</f>
        <v/>
      </c>
      <c r="X2766" s="152">
        <f>IF(W2766="","",1+COUNTIFS($W$4:$W$3003,"&gt;"&amp;W2766)+COUNTIFS($W$4:W2766,W2766)-1)</f>
        <v/>
      </c>
      <c r="Y2766" s="175">
        <f>IF(OR(I2766="",'02_대상물건입력'!B19="",'02_대상물건입력'!B19&lt;=0),"",ABS(I2766-'02_대상물건입력'!B19)/'02_대상물건입력'!B19)</f>
        <v/>
      </c>
      <c r="Z2766" s="172">
        <f>IF(OR(Y2766="",'01_설정'!B31="",'01_설정'!B31&lt;=0,'01_설정'!B32="",'01_설정'!B32&lt;=0),"",MAX(0,(1-Y2766/'01_설정'!B32))*'01_설정'!B31)</f>
        <v/>
      </c>
    </row>
    <row r="2767" ht="17.25" customHeight="1">
      <c r="A2767" s="152">
        <f>IF(INDEX('04A_국토부원자료'!$A:$A,ROW()+1)="","",ROW()-3)</f>
        <v/>
      </c>
      <c r="B2767" s="48">
        <f>IFERROR(INDEX('04A_국토부원자료'!$A:$T,ROW()+1,MATCH("시군구",'04A_국토부원자료'!$A$4:$T$4,0)),"")</f>
        <v/>
      </c>
      <c r="C2767" s="48">
        <f>IF(B2767="","",IFERROR(INDEX('04A_국토부원자료'!$A:$T,ROW()+1,MATCH("번지",'04A_국토부원자료'!$A$4:$T$4,0)),""))</f>
        <v/>
      </c>
      <c r="D2767" s="48">
        <f>IF(B2767="","",IF(Q2767=1,'02_대상물건입력'!$B$8,IFERROR(INDEX('04A_국토부원자료'!$A:$T,ROW()+1,MATCH("단지명",'04A_국토부원자료'!$A$4:$T$4,0)),"")))</f>
        <v/>
      </c>
      <c r="E2767" s="172">
        <f>IFERROR(VALUE(SUBSTITUTE(INDEX('04A_국토부원자료'!$A:$T,ROW()+1,MATCH("전용면적(㎡)",'04A_국토부원자료'!$A$4:$T$4,0)),",","")),"")</f>
        <v/>
      </c>
      <c r="F27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67" s="51">
        <f>IFERROR(VALUE(SUBSTITUTE(INDEX('04A_국토부원자료'!$A:$T,ROW()+1,MATCH("거래금액(만원)",'04A_국토부원자료'!$A$4:$T$4,0)),",","")),"")</f>
        <v/>
      </c>
      <c r="H2767" s="174">
        <f>IF(G2767="","",G2767*10000)</f>
        <v/>
      </c>
      <c r="I2767" s="174">
        <f>IFERROR(IF(AND(H2767&gt;0,E2767&gt;0),H2767/E2767,""),"")</f>
        <v/>
      </c>
      <c r="J2767" s="152">
        <f>IFERROR(VALUE(SUBSTITUTE(INDEX('04A_국토부원자료'!$A:$T,ROW()+1,MATCH("층",'04A_국토부원자료'!$A$4:$T$4,0)),",","")),"")</f>
        <v/>
      </c>
      <c r="K2767" s="152">
        <f>IFERROR(VALUE(SUBSTITUTE(INDEX('04A_국토부원자료'!$A:$T,ROW()+1,MATCH("건축년도",'04A_국토부원자료'!$A$4:$T$4,0)),",","")),"")</f>
        <v/>
      </c>
      <c r="L2767" s="48">
        <f>IFERROR(INDEX('04A_국토부원자료'!$A:$T,ROW()+1,MATCH("도로명",'04A_국토부원자료'!$A$4:$T$4,0)),"")</f>
        <v/>
      </c>
      <c r="M2767" s="48">
        <f>IFERROR(INDEX('04A_국토부원자료'!$A:$T,ROW()+1,MATCH("거래유형",'04A_국토부원자료'!$A$4:$T$4,0)),"")</f>
        <v/>
      </c>
      <c r="N2767" s="152">
        <f>IF(B2767="","",IF('02_대상물건입력'!B5="",1,IF(ISNUMBER(SEARCH('02_대상물건입력'!B5,B2767)),1,0)))</f>
        <v/>
      </c>
      <c r="O2767" s="152">
        <f>IF(B2767="","",IF('02_대상물건입력'!B6="",1,IF(ISNUMBER(SEARCH('02_대상물건입력'!B6,B2767)),1,0)))</f>
        <v/>
      </c>
      <c r="P2767" s="152">
        <f>IF(L2767="","",IF('02_대상물건입력'!B15="",0,IF(ISNUMBER(SEARCH('02_대상물건입력'!B15,L2767)),1,0)))</f>
        <v/>
      </c>
      <c r="Q2767" s="152">
        <f>IF(OR(C2767="",L2767=""),0,IF(AND(TRIM(C2767)=TRIM(RIGHT(SUBSTITUTE(TRIM('02_대상물건입력'!$B$7)," ",REPT(" ",99)),99)),IF('02_대상물건입력'!B15="",TRUE(),ISNUMBER(SEARCH('02_대상물건입력'!B15,L2767)))),1,0))</f>
        <v/>
      </c>
      <c r="R2767" s="175">
        <f>IFERROR(ABS(E2767-'02_대상물건입력'!B11)/'02_대상물건입력'!B11,"")</f>
        <v/>
      </c>
      <c r="S2767" s="152">
        <f>IFERROR(ABS(J2767-'02_대상물건입력'!B10),"")</f>
        <v/>
      </c>
      <c r="T2767" s="152">
        <f>IFERROR(ABS('01_설정'!B4-F2767),"")</f>
        <v/>
      </c>
      <c r="U2767" s="152">
        <f>IFERROR(ABS(K2767-YEAR('02_대상물건입력'!B14)),"")</f>
        <v/>
      </c>
      <c r="V2767" s="152">
        <f>IF(B2767="","",IF(AND(E2767&gt;0,F2767&gt;0,H2767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2767=1,TRUE()),R2767&lt;='01_설정'!B5,S2767&lt;='01_설정'!B6,T2767&lt;='01_설정'!B7,U2767&lt;='01_설정'!B8),"Y",""))</f>
        <v/>
      </c>
      <c r="W2767" s="172">
        <f>IF(V2767&lt;&gt;"Y","",MAX(0,(1-R2767/'01_설정'!B5))*'01_설정'!B14+MAX(0,(1-S2767/'01_설정'!B6))*'01_설정'!B15+MAX(0,(1-T2767/'01_설정'!B7))*'01_설정'!B16+MAX(0,(1-U2767/'01_설정'!B8))*'01_설정'!B17+O2767*'01_설정'!B11+Q2767*'01_설정'!B12+P2767*'01_설정'!B13+IF(Z2767="",0,Z2767))</f>
        <v/>
      </c>
      <c r="X2767" s="152">
        <f>IF(W2767="","",1+COUNTIFS($W$4:$W$3003,"&gt;"&amp;W2767)+COUNTIFS($W$4:W2767,W2767)-1)</f>
        <v/>
      </c>
      <c r="Y2767" s="175">
        <f>IF(OR(I2767="",'02_대상물건입력'!B19="",'02_대상물건입력'!B19&lt;=0),"",ABS(I2767-'02_대상물건입력'!B19)/'02_대상물건입력'!B19)</f>
        <v/>
      </c>
      <c r="Z2767" s="172">
        <f>IF(OR(Y2767="",'01_설정'!B31="",'01_설정'!B31&lt;=0,'01_설정'!B32="",'01_설정'!B32&lt;=0),"",MAX(0,(1-Y2767/'01_설정'!B32))*'01_설정'!B31)</f>
        <v/>
      </c>
    </row>
    <row r="2768" ht="17.25" customHeight="1">
      <c r="A2768" s="152">
        <f>IF(INDEX('04A_국토부원자료'!$A:$A,ROW()+1)="","",ROW()-3)</f>
        <v/>
      </c>
      <c r="B2768" s="48">
        <f>IFERROR(INDEX('04A_국토부원자료'!$A:$T,ROW()+1,MATCH("시군구",'04A_국토부원자료'!$A$4:$T$4,0)),"")</f>
        <v/>
      </c>
      <c r="C2768" s="48">
        <f>IF(B2768="","",IFERROR(INDEX('04A_국토부원자료'!$A:$T,ROW()+1,MATCH("번지",'04A_국토부원자료'!$A$4:$T$4,0)),""))</f>
        <v/>
      </c>
      <c r="D2768" s="48">
        <f>IF(B2768="","",IF(Q2768=1,'02_대상물건입력'!$B$8,IFERROR(INDEX('04A_국토부원자료'!$A:$T,ROW()+1,MATCH("단지명",'04A_국토부원자료'!$A$4:$T$4,0)),"")))</f>
        <v/>
      </c>
      <c r="E2768" s="172">
        <f>IFERROR(VALUE(SUBSTITUTE(INDEX('04A_국토부원자료'!$A:$T,ROW()+1,MATCH("전용면적(㎡)",'04A_국토부원자료'!$A$4:$T$4,0)),",","")),"")</f>
        <v/>
      </c>
      <c r="F27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68" s="51">
        <f>IFERROR(VALUE(SUBSTITUTE(INDEX('04A_국토부원자료'!$A:$T,ROW()+1,MATCH("거래금액(만원)",'04A_국토부원자료'!$A$4:$T$4,0)),",","")),"")</f>
        <v/>
      </c>
      <c r="H2768" s="174">
        <f>IF(G2768="","",G2768*10000)</f>
        <v/>
      </c>
      <c r="I2768" s="174">
        <f>IFERROR(IF(AND(H2768&gt;0,E2768&gt;0),H2768/E2768,""),"")</f>
        <v/>
      </c>
      <c r="J2768" s="152">
        <f>IFERROR(VALUE(SUBSTITUTE(INDEX('04A_국토부원자료'!$A:$T,ROW()+1,MATCH("층",'04A_국토부원자료'!$A$4:$T$4,0)),",","")),"")</f>
        <v/>
      </c>
      <c r="K2768" s="152">
        <f>IFERROR(VALUE(SUBSTITUTE(INDEX('04A_국토부원자료'!$A:$T,ROW()+1,MATCH("건축년도",'04A_국토부원자료'!$A$4:$T$4,0)),",","")),"")</f>
        <v/>
      </c>
      <c r="L2768" s="48">
        <f>IFERROR(INDEX('04A_국토부원자료'!$A:$T,ROW()+1,MATCH("도로명",'04A_국토부원자료'!$A$4:$T$4,0)),"")</f>
        <v/>
      </c>
      <c r="M2768" s="48">
        <f>IFERROR(INDEX('04A_국토부원자료'!$A:$T,ROW()+1,MATCH("거래유형",'04A_국토부원자료'!$A$4:$T$4,0)),"")</f>
        <v/>
      </c>
      <c r="N2768" s="152">
        <f>IF(B2768="","",IF('02_대상물건입력'!B5="",1,IF(ISNUMBER(SEARCH('02_대상물건입력'!B5,B2768)),1,0)))</f>
        <v/>
      </c>
      <c r="O2768" s="152">
        <f>IF(B2768="","",IF('02_대상물건입력'!B6="",1,IF(ISNUMBER(SEARCH('02_대상물건입력'!B6,B2768)),1,0)))</f>
        <v/>
      </c>
      <c r="P2768" s="152">
        <f>IF(L2768="","",IF('02_대상물건입력'!B15="",0,IF(ISNUMBER(SEARCH('02_대상물건입력'!B15,L2768)),1,0)))</f>
        <v/>
      </c>
      <c r="Q2768" s="152">
        <f>IF(OR(C2768="",L2768=""),0,IF(AND(TRIM(C2768)=TRIM(RIGHT(SUBSTITUTE(TRIM('02_대상물건입력'!$B$7)," ",REPT(" ",99)),99)),IF('02_대상물건입력'!B15="",TRUE(),ISNUMBER(SEARCH('02_대상물건입력'!B15,L2768)))),1,0))</f>
        <v/>
      </c>
      <c r="R2768" s="175">
        <f>IFERROR(ABS(E2768-'02_대상물건입력'!B11)/'02_대상물건입력'!B11,"")</f>
        <v/>
      </c>
      <c r="S2768" s="152">
        <f>IFERROR(ABS(J2768-'02_대상물건입력'!B10),"")</f>
        <v/>
      </c>
      <c r="T2768" s="152">
        <f>IFERROR(ABS('01_설정'!B4-F2768),"")</f>
        <v/>
      </c>
      <c r="U2768" s="152">
        <f>IFERROR(ABS(K2768-YEAR('02_대상물건입력'!B14)),"")</f>
        <v/>
      </c>
      <c r="V2768" s="152">
        <f>IF(B2768="","",IF(AND(E2768&gt;0,F2768&gt;0,H2768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2768=1,TRUE()),R2768&lt;='01_설정'!B5,S2768&lt;='01_설정'!B6,T2768&lt;='01_설정'!B7,U2768&lt;='01_설정'!B8),"Y",""))</f>
        <v/>
      </c>
      <c r="W2768" s="172">
        <f>IF(V2768&lt;&gt;"Y","",MAX(0,(1-R2768/'01_설정'!B5))*'01_설정'!B14+MAX(0,(1-S2768/'01_설정'!B6))*'01_설정'!B15+MAX(0,(1-T2768/'01_설정'!B7))*'01_설정'!B16+MAX(0,(1-U2768/'01_설정'!B8))*'01_설정'!B17+O2768*'01_설정'!B11+Q2768*'01_설정'!B12+P2768*'01_설정'!B13+IF(Z2768="",0,Z2768))</f>
        <v/>
      </c>
      <c r="X2768" s="152">
        <f>IF(W2768="","",1+COUNTIFS($W$4:$W$3003,"&gt;"&amp;W2768)+COUNTIFS($W$4:W2768,W2768)-1)</f>
        <v/>
      </c>
      <c r="Y2768" s="175">
        <f>IF(OR(I2768="",'02_대상물건입력'!B19="",'02_대상물건입력'!B19&lt;=0),"",ABS(I2768-'02_대상물건입력'!B19)/'02_대상물건입력'!B19)</f>
        <v/>
      </c>
      <c r="Z2768" s="172">
        <f>IF(OR(Y2768="",'01_설정'!B31="",'01_설정'!B31&lt;=0,'01_설정'!B32="",'01_설정'!B32&lt;=0),"",MAX(0,(1-Y2768/'01_설정'!B32))*'01_설정'!B31)</f>
        <v/>
      </c>
    </row>
    <row r="2769" ht="17.25" customHeight="1">
      <c r="A2769" s="152">
        <f>IF(INDEX('04A_국토부원자료'!$A:$A,ROW()+1)="","",ROW()-3)</f>
        <v/>
      </c>
      <c r="B2769" s="48">
        <f>IFERROR(INDEX('04A_국토부원자료'!$A:$T,ROW()+1,MATCH("시군구",'04A_국토부원자료'!$A$4:$T$4,0)),"")</f>
        <v/>
      </c>
      <c r="C2769" s="48">
        <f>IF(B2769="","",IFERROR(INDEX('04A_국토부원자료'!$A:$T,ROW()+1,MATCH("번지",'04A_국토부원자료'!$A$4:$T$4,0)),""))</f>
        <v/>
      </c>
      <c r="D2769" s="48">
        <f>IF(B2769="","",IF(Q2769=1,'02_대상물건입력'!$B$8,IFERROR(INDEX('04A_국토부원자료'!$A:$T,ROW()+1,MATCH("단지명",'04A_국토부원자료'!$A$4:$T$4,0)),"")))</f>
        <v/>
      </c>
      <c r="E2769" s="172">
        <f>IFERROR(VALUE(SUBSTITUTE(INDEX('04A_국토부원자료'!$A:$T,ROW()+1,MATCH("전용면적(㎡)",'04A_국토부원자료'!$A$4:$T$4,0)),",","")),"")</f>
        <v/>
      </c>
      <c r="F27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69" s="51">
        <f>IFERROR(VALUE(SUBSTITUTE(INDEX('04A_국토부원자료'!$A:$T,ROW()+1,MATCH("거래금액(만원)",'04A_국토부원자료'!$A$4:$T$4,0)),",","")),"")</f>
        <v/>
      </c>
      <c r="H2769" s="174">
        <f>IF(G2769="","",G2769*10000)</f>
        <v/>
      </c>
      <c r="I2769" s="174">
        <f>IFERROR(IF(AND(H2769&gt;0,E2769&gt;0),H2769/E2769,""),"")</f>
        <v/>
      </c>
      <c r="J2769" s="152">
        <f>IFERROR(VALUE(SUBSTITUTE(INDEX('04A_국토부원자료'!$A:$T,ROW()+1,MATCH("층",'04A_국토부원자료'!$A$4:$T$4,0)),",","")),"")</f>
        <v/>
      </c>
      <c r="K2769" s="152">
        <f>IFERROR(VALUE(SUBSTITUTE(INDEX('04A_국토부원자료'!$A:$T,ROW()+1,MATCH("건축년도",'04A_국토부원자료'!$A$4:$T$4,0)),",","")),"")</f>
        <v/>
      </c>
      <c r="L2769" s="48">
        <f>IFERROR(INDEX('04A_국토부원자료'!$A:$T,ROW()+1,MATCH("도로명",'04A_국토부원자료'!$A$4:$T$4,0)),"")</f>
        <v/>
      </c>
      <c r="M2769" s="48">
        <f>IFERROR(INDEX('04A_국토부원자료'!$A:$T,ROW()+1,MATCH("거래유형",'04A_국토부원자료'!$A$4:$T$4,0)),"")</f>
        <v/>
      </c>
      <c r="N2769" s="152">
        <f>IF(B2769="","",IF('02_대상물건입력'!B5="",1,IF(ISNUMBER(SEARCH('02_대상물건입력'!B5,B2769)),1,0)))</f>
        <v/>
      </c>
      <c r="O2769" s="152">
        <f>IF(B2769="","",IF('02_대상물건입력'!B6="",1,IF(ISNUMBER(SEARCH('02_대상물건입력'!B6,B2769)),1,0)))</f>
        <v/>
      </c>
      <c r="P2769" s="152">
        <f>IF(L2769="","",IF('02_대상물건입력'!B15="",0,IF(ISNUMBER(SEARCH('02_대상물건입력'!B15,L2769)),1,0)))</f>
        <v/>
      </c>
      <c r="Q2769" s="152">
        <f>IF(OR(C2769="",L2769=""),0,IF(AND(TRIM(C2769)=TRIM(RIGHT(SUBSTITUTE(TRIM('02_대상물건입력'!$B$7)," ",REPT(" ",99)),99)),IF('02_대상물건입력'!B15="",TRUE(),ISNUMBER(SEARCH('02_대상물건입력'!B15,L2769)))),1,0))</f>
        <v/>
      </c>
      <c r="R2769" s="175">
        <f>IFERROR(ABS(E2769-'02_대상물건입력'!B11)/'02_대상물건입력'!B11,"")</f>
        <v/>
      </c>
      <c r="S2769" s="152">
        <f>IFERROR(ABS(J2769-'02_대상물건입력'!B10),"")</f>
        <v/>
      </c>
      <c r="T2769" s="152">
        <f>IFERROR(ABS('01_설정'!B4-F2769),"")</f>
        <v/>
      </c>
      <c r="U2769" s="152">
        <f>IFERROR(ABS(K2769-YEAR('02_대상물건입력'!B14)),"")</f>
        <v/>
      </c>
      <c r="V2769" s="152">
        <f>IF(B2769="","",IF(AND(E2769&gt;0,F2769&gt;0,H2769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2769=1,TRUE()),R2769&lt;='01_설정'!B5,S2769&lt;='01_설정'!B6,T2769&lt;='01_설정'!B7,U2769&lt;='01_설정'!B8),"Y",""))</f>
        <v/>
      </c>
      <c r="W2769" s="172">
        <f>IF(V2769&lt;&gt;"Y","",MAX(0,(1-R2769/'01_설정'!B5))*'01_설정'!B14+MAX(0,(1-S2769/'01_설정'!B6))*'01_설정'!B15+MAX(0,(1-T2769/'01_설정'!B7))*'01_설정'!B16+MAX(0,(1-U2769/'01_설정'!B8))*'01_설정'!B17+O2769*'01_설정'!B11+Q2769*'01_설정'!B12+P2769*'01_설정'!B13+IF(Z2769="",0,Z2769))</f>
        <v/>
      </c>
      <c r="X2769" s="152">
        <f>IF(W2769="","",1+COUNTIFS($W$4:$W$3003,"&gt;"&amp;W2769)+COUNTIFS($W$4:W2769,W2769)-1)</f>
        <v/>
      </c>
      <c r="Y2769" s="175">
        <f>IF(OR(I2769="",'02_대상물건입력'!B19="",'02_대상물건입력'!B19&lt;=0),"",ABS(I2769-'02_대상물건입력'!B19)/'02_대상물건입력'!B19)</f>
        <v/>
      </c>
      <c r="Z2769" s="172">
        <f>IF(OR(Y2769="",'01_설정'!B31="",'01_설정'!B31&lt;=0,'01_설정'!B32="",'01_설정'!B32&lt;=0),"",MAX(0,(1-Y2769/'01_설정'!B32))*'01_설정'!B31)</f>
        <v/>
      </c>
    </row>
    <row r="2770" ht="17.25" customHeight="1">
      <c r="A2770" s="152">
        <f>IF(INDEX('04A_국토부원자료'!$A:$A,ROW()+1)="","",ROW()-3)</f>
        <v/>
      </c>
      <c r="B2770" s="48">
        <f>IFERROR(INDEX('04A_국토부원자료'!$A:$T,ROW()+1,MATCH("시군구",'04A_국토부원자료'!$A$4:$T$4,0)),"")</f>
        <v/>
      </c>
      <c r="C2770" s="48">
        <f>IF(B2770="","",IFERROR(INDEX('04A_국토부원자료'!$A:$T,ROW()+1,MATCH("번지",'04A_국토부원자료'!$A$4:$T$4,0)),""))</f>
        <v/>
      </c>
      <c r="D2770" s="48">
        <f>IF(B2770="","",IF(Q2770=1,'02_대상물건입력'!$B$8,IFERROR(INDEX('04A_국토부원자료'!$A:$T,ROW()+1,MATCH("단지명",'04A_국토부원자료'!$A$4:$T$4,0)),"")))</f>
        <v/>
      </c>
      <c r="E2770" s="172">
        <f>IFERROR(VALUE(SUBSTITUTE(INDEX('04A_국토부원자료'!$A:$T,ROW()+1,MATCH("전용면적(㎡)",'04A_국토부원자료'!$A$4:$T$4,0)),",","")),"")</f>
        <v/>
      </c>
      <c r="F27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70" s="51">
        <f>IFERROR(VALUE(SUBSTITUTE(INDEX('04A_국토부원자료'!$A:$T,ROW()+1,MATCH("거래금액(만원)",'04A_국토부원자료'!$A$4:$T$4,0)),",","")),"")</f>
        <v/>
      </c>
      <c r="H2770" s="174">
        <f>IF(G2770="","",G2770*10000)</f>
        <v/>
      </c>
      <c r="I2770" s="174">
        <f>IFERROR(IF(AND(H2770&gt;0,E2770&gt;0),H2770/E2770,""),"")</f>
        <v/>
      </c>
      <c r="J2770" s="152">
        <f>IFERROR(VALUE(SUBSTITUTE(INDEX('04A_국토부원자료'!$A:$T,ROW()+1,MATCH("층",'04A_국토부원자료'!$A$4:$T$4,0)),",","")),"")</f>
        <v/>
      </c>
      <c r="K2770" s="152">
        <f>IFERROR(VALUE(SUBSTITUTE(INDEX('04A_국토부원자료'!$A:$T,ROW()+1,MATCH("건축년도",'04A_국토부원자료'!$A$4:$T$4,0)),",","")),"")</f>
        <v/>
      </c>
      <c r="L2770" s="48">
        <f>IFERROR(INDEX('04A_국토부원자료'!$A:$T,ROW()+1,MATCH("도로명",'04A_국토부원자료'!$A$4:$T$4,0)),"")</f>
        <v/>
      </c>
      <c r="M2770" s="48">
        <f>IFERROR(INDEX('04A_국토부원자료'!$A:$T,ROW()+1,MATCH("거래유형",'04A_국토부원자료'!$A$4:$T$4,0)),"")</f>
        <v/>
      </c>
      <c r="N2770" s="152">
        <f>IF(B2770="","",IF('02_대상물건입력'!B5="",1,IF(ISNUMBER(SEARCH('02_대상물건입력'!B5,B2770)),1,0)))</f>
        <v/>
      </c>
      <c r="O2770" s="152">
        <f>IF(B2770="","",IF('02_대상물건입력'!B6="",1,IF(ISNUMBER(SEARCH('02_대상물건입력'!B6,B2770)),1,0)))</f>
        <v/>
      </c>
      <c r="P2770" s="152">
        <f>IF(L2770="","",IF('02_대상물건입력'!B15="",0,IF(ISNUMBER(SEARCH('02_대상물건입력'!B15,L2770)),1,0)))</f>
        <v/>
      </c>
      <c r="Q2770" s="152">
        <f>IF(OR(C2770="",L2770=""),0,IF(AND(TRIM(C2770)=TRIM(RIGHT(SUBSTITUTE(TRIM('02_대상물건입력'!$B$7)," ",REPT(" ",99)),99)),IF('02_대상물건입력'!B15="",TRUE(),ISNUMBER(SEARCH('02_대상물건입력'!B15,L2770)))),1,0))</f>
        <v/>
      </c>
      <c r="R2770" s="175">
        <f>IFERROR(ABS(E2770-'02_대상물건입력'!B11)/'02_대상물건입력'!B11,"")</f>
        <v/>
      </c>
      <c r="S2770" s="152">
        <f>IFERROR(ABS(J2770-'02_대상물건입력'!B10),"")</f>
        <v/>
      </c>
      <c r="T2770" s="152">
        <f>IFERROR(ABS('01_설정'!B4-F2770),"")</f>
        <v/>
      </c>
      <c r="U2770" s="152">
        <f>IFERROR(ABS(K2770-YEAR('02_대상물건입력'!B14)),"")</f>
        <v/>
      </c>
      <c r="V2770" s="152">
        <f>IF(B2770="","",IF(AND(E2770&gt;0,F2770&gt;0,H2770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2770=1,TRUE()),R2770&lt;='01_설정'!B5,S2770&lt;='01_설정'!B6,T2770&lt;='01_설정'!B7,U2770&lt;='01_설정'!B8),"Y",""))</f>
        <v/>
      </c>
      <c r="W2770" s="172">
        <f>IF(V2770&lt;&gt;"Y","",MAX(0,(1-R2770/'01_설정'!B5))*'01_설정'!B14+MAX(0,(1-S2770/'01_설정'!B6))*'01_설정'!B15+MAX(0,(1-T2770/'01_설정'!B7))*'01_설정'!B16+MAX(0,(1-U2770/'01_설정'!B8))*'01_설정'!B17+O2770*'01_설정'!B11+Q2770*'01_설정'!B12+P2770*'01_설정'!B13+IF(Z2770="",0,Z2770))</f>
        <v/>
      </c>
      <c r="X2770" s="152">
        <f>IF(W2770="","",1+COUNTIFS($W$4:$W$3003,"&gt;"&amp;W2770)+COUNTIFS($W$4:W2770,W2770)-1)</f>
        <v/>
      </c>
      <c r="Y2770" s="175">
        <f>IF(OR(I2770="",'02_대상물건입력'!B19="",'02_대상물건입력'!B19&lt;=0),"",ABS(I2770-'02_대상물건입력'!B19)/'02_대상물건입력'!B19)</f>
        <v/>
      </c>
      <c r="Z2770" s="172">
        <f>IF(OR(Y2770="",'01_설정'!B31="",'01_설정'!B31&lt;=0,'01_설정'!B32="",'01_설정'!B32&lt;=0),"",MAX(0,(1-Y2770/'01_설정'!B32))*'01_설정'!B31)</f>
        <v/>
      </c>
    </row>
    <row r="2771" ht="17.25" customHeight="1">
      <c r="A2771" s="152">
        <f>IF(INDEX('04A_국토부원자료'!$A:$A,ROW()+1)="","",ROW()-3)</f>
        <v/>
      </c>
      <c r="B2771" s="48">
        <f>IFERROR(INDEX('04A_국토부원자료'!$A:$T,ROW()+1,MATCH("시군구",'04A_국토부원자료'!$A$4:$T$4,0)),"")</f>
        <v/>
      </c>
      <c r="C2771" s="48">
        <f>IF(B2771="","",IFERROR(INDEX('04A_국토부원자료'!$A:$T,ROW()+1,MATCH("번지",'04A_국토부원자료'!$A$4:$T$4,0)),""))</f>
        <v/>
      </c>
      <c r="D2771" s="48">
        <f>IF(B2771="","",IF(Q2771=1,'02_대상물건입력'!$B$8,IFERROR(INDEX('04A_국토부원자료'!$A:$T,ROW()+1,MATCH("단지명",'04A_국토부원자료'!$A$4:$T$4,0)),"")))</f>
        <v/>
      </c>
      <c r="E2771" s="172">
        <f>IFERROR(VALUE(SUBSTITUTE(INDEX('04A_국토부원자료'!$A:$T,ROW()+1,MATCH("전용면적(㎡)",'04A_국토부원자료'!$A$4:$T$4,0)),",","")),"")</f>
        <v/>
      </c>
      <c r="F27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71" s="51">
        <f>IFERROR(VALUE(SUBSTITUTE(INDEX('04A_국토부원자료'!$A:$T,ROW()+1,MATCH("거래금액(만원)",'04A_국토부원자료'!$A$4:$T$4,0)),",","")),"")</f>
        <v/>
      </c>
      <c r="H2771" s="174">
        <f>IF(G2771="","",G2771*10000)</f>
        <v/>
      </c>
      <c r="I2771" s="174">
        <f>IFERROR(IF(AND(H2771&gt;0,E2771&gt;0),H2771/E2771,""),"")</f>
        <v/>
      </c>
      <c r="J2771" s="152">
        <f>IFERROR(VALUE(SUBSTITUTE(INDEX('04A_국토부원자료'!$A:$T,ROW()+1,MATCH("층",'04A_국토부원자료'!$A$4:$T$4,0)),",","")),"")</f>
        <v/>
      </c>
      <c r="K2771" s="152">
        <f>IFERROR(VALUE(SUBSTITUTE(INDEX('04A_국토부원자료'!$A:$T,ROW()+1,MATCH("건축년도",'04A_국토부원자료'!$A$4:$T$4,0)),",","")),"")</f>
        <v/>
      </c>
      <c r="L2771" s="48">
        <f>IFERROR(INDEX('04A_국토부원자료'!$A:$T,ROW()+1,MATCH("도로명",'04A_국토부원자료'!$A$4:$T$4,0)),"")</f>
        <v/>
      </c>
      <c r="M2771" s="48">
        <f>IFERROR(INDEX('04A_국토부원자료'!$A:$T,ROW()+1,MATCH("거래유형",'04A_국토부원자료'!$A$4:$T$4,0)),"")</f>
        <v/>
      </c>
      <c r="N2771" s="152">
        <f>IF(B2771="","",IF('02_대상물건입력'!B5="",1,IF(ISNUMBER(SEARCH('02_대상물건입력'!B5,B2771)),1,0)))</f>
        <v/>
      </c>
      <c r="O2771" s="152">
        <f>IF(B2771="","",IF('02_대상물건입력'!B6="",1,IF(ISNUMBER(SEARCH('02_대상물건입력'!B6,B2771)),1,0)))</f>
        <v/>
      </c>
      <c r="P2771" s="152">
        <f>IF(L2771="","",IF('02_대상물건입력'!B15="",0,IF(ISNUMBER(SEARCH('02_대상물건입력'!B15,L2771)),1,0)))</f>
        <v/>
      </c>
      <c r="Q2771" s="152">
        <f>IF(OR(C2771="",L2771=""),0,IF(AND(TRIM(C2771)=TRIM(RIGHT(SUBSTITUTE(TRIM('02_대상물건입력'!$B$7)," ",REPT(" ",99)),99)),IF('02_대상물건입력'!B15="",TRUE(),ISNUMBER(SEARCH('02_대상물건입력'!B15,L2771)))),1,0))</f>
        <v/>
      </c>
      <c r="R2771" s="175">
        <f>IFERROR(ABS(E2771-'02_대상물건입력'!B11)/'02_대상물건입력'!B11,"")</f>
        <v/>
      </c>
      <c r="S2771" s="152">
        <f>IFERROR(ABS(J2771-'02_대상물건입력'!B10),"")</f>
        <v/>
      </c>
      <c r="T2771" s="152">
        <f>IFERROR(ABS('01_설정'!B4-F2771),"")</f>
        <v/>
      </c>
      <c r="U2771" s="152">
        <f>IFERROR(ABS(K2771-YEAR('02_대상물건입력'!B14)),"")</f>
        <v/>
      </c>
      <c r="V2771" s="152">
        <f>IF(B2771="","",IF(AND(E2771&gt;0,F2771&gt;0,H2771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2771=1,TRUE()),R2771&lt;='01_설정'!B5,S2771&lt;='01_설정'!B6,T2771&lt;='01_설정'!B7,U2771&lt;='01_설정'!B8),"Y",""))</f>
        <v/>
      </c>
      <c r="W2771" s="172">
        <f>IF(V2771&lt;&gt;"Y","",MAX(0,(1-R2771/'01_설정'!B5))*'01_설정'!B14+MAX(0,(1-S2771/'01_설정'!B6))*'01_설정'!B15+MAX(0,(1-T2771/'01_설정'!B7))*'01_설정'!B16+MAX(0,(1-U2771/'01_설정'!B8))*'01_설정'!B17+O2771*'01_설정'!B11+Q2771*'01_설정'!B12+P2771*'01_설정'!B13+IF(Z2771="",0,Z2771))</f>
        <v/>
      </c>
      <c r="X2771" s="152">
        <f>IF(W2771="","",1+COUNTIFS($W$4:$W$3003,"&gt;"&amp;W2771)+COUNTIFS($W$4:W2771,W2771)-1)</f>
        <v/>
      </c>
      <c r="Y2771" s="175">
        <f>IF(OR(I2771="",'02_대상물건입력'!B19="",'02_대상물건입력'!B19&lt;=0),"",ABS(I2771-'02_대상물건입력'!B19)/'02_대상물건입력'!B19)</f>
        <v/>
      </c>
      <c r="Z2771" s="172">
        <f>IF(OR(Y2771="",'01_설정'!B31="",'01_설정'!B31&lt;=0,'01_설정'!B32="",'01_설정'!B32&lt;=0),"",MAX(0,(1-Y2771/'01_설정'!B32))*'01_설정'!B31)</f>
        <v/>
      </c>
    </row>
    <row r="2772" ht="17.25" customHeight="1">
      <c r="A2772" s="152">
        <f>IF(INDEX('04A_국토부원자료'!$A:$A,ROW()+1)="","",ROW()-3)</f>
        <v/>
      </c>
      <c r="B2772" s="48">
        <f>IFERROR(INDEX('04A_국토부원자료'!$A:$T,ROW()+1,MATCH("시군구",'04A_국토부원자료'!$A$4:$T$4,0)),"")</f>
        <v/>
      </c>
      <c r="C2772" s="48">
        <f>IF(B2772="","",IFERROR(INDEX('04A_국토부원자료'!$A:$T,ROW()+1,MATCH("번지",'04A_국토부원자료'!$A$4:$T$4,0)),""))</f>
        <v/>
      </c>
      <c r="D2772" s="48">
        <f>IF(B2772="","",IF(Q2772=1,'02_대상물건입력'!$B$8,IFERROR(INDEX('04A_국토부원자료'!$A:$T,ROW()+1,MATCH("단지명",'04A_국토부원자료'!$A$4:$T$4,0)),"")))</f>
        <v/>
      </c>
      <c r="E2772" s="172">
        <f>IFERROR(VALUE(SUBSTITUTE(INDEX('04A_국토부원자료'!$A:$T,ROW()+1,MATCH("전용면적(㎡)",'04A_국토부원자료'!$A$4:$T$4,0)),",","")),"")</f>
        <v/>
      </c>
      <c r="F27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72" s="51">
        <f>IFERROR(VALUE(SUBSTITUTE(INDEX('04A_국토부원자료'!$A:$T,ROW()+1,MATCH("거래금액(만원)",'04A_국토부원자료'!$A$4:$T$4,0)),",","")),"")</f>
        <v/>
      </c>
      <c r="H2772" s="174">
        <f>IF(G2772="","",G2772*10000)</f>
        <v/>
      </c>
      <c r="I2772" s="174">
        <f>IFERROR(IF(AND(H2772&gt;0,E2772&gt;0),H2772/E2772,""),"")</f>
        <v/>
      </c>
      <c r="J2772" s="152">
        <f>IFERROR(VALUE(SUBSTITUTE(INDEX('04A_국토부원자료'!$A:$T,ROW()+1,MATCH("층",'04A_국토부원자료'!$A$4:$T$4,0)),",","")),"")</f>
        <v/>
      </c>
      <c r="K2772" s="152">
        <f>IFERROR(VALUE(SUBSTITUTE(INDEX('04A_국토부원자료'!$A:$T,ROW()+1,MATCH("건축년도",'04A_국토부원자료'!$A$4:$T$4,0)),",","")),"")</f>
        <v/>
      </c>
      <c r="L2772" s="48">
        <f>IFERROR(INDEX('04A_국토부원자료'!$A:$T,ROW()+1,MATCH("도로명",'04A_국토부원자료'!$A$4:$T$4,0)),"")</f>
        <v/>
      </c>
      <c r="M2772" s="48">
        <f>IFERROR(INDEX('04A_국토부원자료'!$A:$T,ROW()+1,MATCH("거래유형",'04A_국토부원자료'!$A$4:$T$4,0)),"")</f>
        <v/>
      </c>
      <c r="N2772" s="152">
        <f>IF(B2772="","",IF('02_대상물건입력'!B5="",1,IF(ISNUMBER(SEARCH('02_대상물건입력'!B5,B2772)),1,0)))</f>
        <v/>
      </c>
      <c r="O2772" s="152">
        <f>IF(B2772="","",IF('02_대상물건입력'!B6="",1,IF(ISNUMBER(SEARCH('02_대상물건입력'!B6,B2772)),1,0)))</f>
        <v/>
      </c>
      <c r="P2772" s="152">
        <f>IF(L2772="","",IF('02_대상물건입력'!B15="",0,IF(ISNUMBER(SEARCH('02_대상물건입력'!B15,L2772)),1,0)))</f>
        <v/>
      </c>
      <c r="Q2772" s="152">
        <f>IF(OR(C2772="",L2772=""),0,IF(AND(TRIM(C2772)=TRIM(RIGHT(SUBSTITUTE(TRIM('02_대상물건입력'!$B$7)," ",REPT(" ",99)),99)),IF('02_대상물건입력'!B15="",TRUE(),ISNUMBER(SEARCH('02_대상물건입력'!B15,L2772)))),1,0))</f>
        <v/>
      </c>
      <c r="R2772" s="175">
        <f>IFERROR(ABS(E2772-'02_대상물건입력'!B11)/'02_대상물건입력'!B11,"")</f>
        <v/>
      </c>
      <c r="S2772" s="152">
        <f>IFERROR(ABS(J2772-'02_대상물건입력'!B10),"")</f>
        <v/>
      </c>
      <c r="T2772" s="152">
        <f>IFERROR(ABS('01_설정'!B4-F2772),"")</f>
        <v/>
      </c>
      <c r="U2772" s="152">
        <f>IFERROR(ABS(K2772-YEAR('02_대상물건입력'!B14)),"")</f>
        <v/>
      </c>
      <c r="V2772" s="152">
        <f>IF(B2772="","",IF(AND(E2772&gt;0,F2772&gt;0,H2772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2772=1,TRUE()),R2772&lt;='01_설정'!B5,S2772&lt;='01_설정'!B6,T2772&lt;='01_설정'!B7,U2772&lt;='01_설정'!B8),"Y",""))</f>
        <v/>
      </c>
      <c r="W2772" s="172">
        <f>IF(V2772&lt;&gt;"Y","",MAX(0,(1-R2772/'01_설정'!B5))*'01_설정'!B14+MAX(0,(1-S2772/'01_설정'!B6))*'01_설정'!B15+MAX(0,(1-T2772/'01_설정'!B7))*'01_설정'!B16+MAX(0,(1-U2772/'01_설정'!B8))*'01_설정'!B17+O2772*'01_설정'!B11+Q2772*'01_설정'!B12+P2772*'01_설정'!B13+IF(Z2772="",0,Z2772))</f>
        <v/>
      </c>
      <c r="X2772" s="152">
        <f>IF(W2772="","",1+COUNTIFS($W$4:$W$3003,"&gt;"&amp;W2772)+COUNTIFS($W$4:W2772,W2772)-1)</f>
        <v/>
      </c>
      <c r="Y2772" s="175">
        <f>IF(OR(I2772="",'02_대상물건입력'!B19="",'02_대상물건입력'!B19&lt;=0),"",ABS(I2772-'02_대상물건입력'!B19)/'02_대상물건입력'!B19)</f>
        <v/>
      </c>
      <c r="Z2772" s="172">
        <f>IF(OR(Y2772="",'01_설정'!B31="",'01_설정'!B31&lt;=0,'01_설정'!B32="",'01_설정'!B32&lt;=0),"",MAX(0,(1-Y2772/'01_설정'!B32))*'01_설정'!B31)</f>
        <v/>
      </c>
    </row>
    <row r="2773" ht="17.25" customHeight="1">
      <c r="A2773" s="152">
        <f>IF(INDEX('04A_국토부원자료'!$A:$A,ROW()+1)="","",ROW()-3)</f>
        <v/>
      </c>
      <c r="B2773" s="48">
        <f>IFERROR(INDEX('04A_국토부원자료'!$A:$T,ROW()+1,MATCH("시군구",'04A_국토부원자료'!$A$4:$T$4,0)),"")</f>
        <v/>
      </c>
      <c r="C2773" s="48">
        <f>IF(B2773="","",IFERROR(INDEX('04A_국토부원자료'!$A:$T,ROW()+1,MATCH("번지",'04A_국토부원자료'!$A$4:$T$4,0)),""))</f>
        <v/>
      </c>
      <c r="D2773" s="48">
        <f>IF(B2773="","",IF(Q2773=1,'02_대상물건입력'!$B$8,IFERROR(INDEX('04A_국토부원자료'!$A:$T,ROW()+1,MATCH("단지명",'04A_국토부원자료'!$A$4:$T$4,0)),"")))</f>
        <v/>
      </c>
      <c r="E2773" s="172">
        <f>IFERROR(VALUE(SUBSTITUTE(INDEX('04A_국토부원자료'!$A:$T,ROW()+1,MATCH("전용면적(㎡)",'04A_국토부원자료'!$A$4:$T$4,0)),",","")),"")</f>
        <v/>
      </c>
      <c r="F27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73" s="51">
        <f>IFERROR(VALUE(SUBSTITUTE(INDEX('04A_국토부원자료'!$A:$T,ROW()+1,MATCH("거래금액(만원)",'04A_국토부원자료'!$A$4:$T$4,0)),",","")),"")</f>
        <v/>
      </c>
      <c r="H2773" s="174">
        <f>IF(G2773="","",G2773*10000)</f>
        <v/>
      </c>
      <c r="I2773" s="174">
        <f>IFERROR(IF(AND(H2773&gt;0,E2773&gt;0),H2773/E2773,""),"")</f>
        <v/>
      </c>
      <c r="J2773" s="152">
        <f>IFERROR(VALUE(SUBSTITUTE(INDEX('04A_국토부원자료'!$A:$T,ROW()+1,MATCH("층",'04A_국토부원자료'!$A$4:$T$4,0)),",","")),"")</f>
        <v/>
      </c>
      <c r="K2773" s="152">
        <f>IFERROR(VALUE(SUBSTITUTE(INDEX('04A_국토부원자료'!$A:$T,ROW()+1,MATCH("건축년도",'04A_국토부원자료'!$A$4:$T$4,0)),",","")),"")</f>
        <v/>
      </c>
      <c r="L2773" s="48">
        <f>IFERROR(INDEX('04A_국토부원자료'!$A:$T,ROW()+1,MATCH("도로명",'04A_국토부원자료'!$A$4:$T$4,0)),"")</f>
        <v/>
      </c>
      <c r="M2773" s="48">
        <f>IFERROR(INDEX('04A_국토부원자료'!$A:$T,ROW()+1,MATCH("거래유형",'04A_국토부원자료'!$A$4:$T$4,0)),"")</f>
        <v/>
      </c>
      <c r="N2773" s="152">
        <f>IF(B2773="","",IF('02_대상물건입력'!B5="",1,IF(ISNUMBER(SEARCH('02_대상물건입력'!B5,B2773)),1,0)))</f>
        <v/>
      </c>
      <c r="O2773" s="152">
        <f>IF(B2773="","",IF('02_대상물건입력'!B6="",1,IF(ISNUMBER(SEARCH('02_대상물건입력'!B6,B2773)),1,0)))</f>
        <v/>
      </c>
      <c r="P2773" s="152">
        <f>IF(L2773="","",IF('02_대상물건입력'!B15="",0,IF(ISNUMBER(SEARCH('02_대상물건입력'!B15,L2773)),1,0)))</f>
        <v/>
      </c>
      <c r="Q2773" s="152">
        <f>IF(OR(C2773="",L2773=""),0,IF(AND(TRIM(C2773)=TRIM(RIGHT(SUBSTITUTE(TRIM('02_대상물건입력'!$B$7)," ",REPT(" ",99)),99)),IF('02_대상물건입력'!B15="",TRUE(),ISNUMBER(SEARCH('02_대상물건입력'!B15,L2773)))),1,0))</f>
        <v/>
      </c>
      <c r="R2773" s="175">
        <f>IFERROR(ABS(E2773-'02_대상물건입력'!B11)/'02_대상물건입력'!B11,"")</f>
        <v/>
      </c>
      <c r="S2773" s="152">
        <f>IFERROR(ABS(J2773-'02_대상물건입력'!B10),"")</f>
        <v/>
      </c>
      <c r="T2773" s="152">
        <f>IFERROR(ABS('01_설정'!B4-F2773),"")</f>
        <v/>
      </c>
      <c r="U2773" s="152">
        <f>IFERROR(ABS(K2773-YEAR('02_대상물건입력'!B14)),"")</f>
        <v/>
      </c>
      <c r="V2773" s="152">
        <f>IF(B2773="","",IF(AND(E2773&gt;0,F2773&gt;0,H2773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2773=1,TRUE()),R2773&lt;='01_설정'!B5,S2773&lt;='01_설정'!B6,T2773&lt;='01_설정'!B7,U2773&lt;='01_설정'!B8),"Y",""))</f>
        <v/>
      </c>
      <c r="W2773" s="172">
        <f>IF(V2773&lt;&gt;"Y","",MAX(0,(1-R2773/'01_설정'!B5))*'01_설정'!B14+MAX(0,(1-S2773/'01_설정'!B6))*'01_설정'!B15+MAX(0,(1-T2773/'01_설정'!B7))*'01_설정'!B16+MAX(0,(1-U2773/'01_설정'!B8))*'01_설정'!B17+O2773*'01_설정'!B11+Q2773*'01_설정'!B12+P2773*'01_설정'!B13+IF(Z2773="",0,Z2773))</f>
        <v/>
      </c>
      <c r="X2773" s="152">
        <f>IF(W2773="","",1+COUNTIFS($W$4:$W$3003,"&gt;"&amp;W2773)+COUNTIFS($W$4:W2773,W2773)-1)</f>
        <v/>
      </c>
      <c r="Y2773" s="175">
        <f>IF(OR(I2773="",'02_대상물건입력'!B19="",'02_대상물건입력'!B19&lt;=0),"",ABS(I2773-'02_대상물건입력'!B19)/'02_대상물건입력'!B19)</f>
        <v/>
      </c>
      <c r="Z2773" s="172">
        <f>IF(OR(Y2773="",'01_설정'!B31="",'01_설정'!B31&lt;=0,'01_설정'!B32="",'01_설정'!B32&lt;=0),"",MAX(0,(1-Y2773/'01_설정'!B32))*'01_설정'!B31)</f>
        <v/>
      </c>
    </row>
    <row r="2774" ht="17.25" customHeight="1">
      <c r="A2774" s="152">
        <f>IF(INDEX('04A_국토부원자료'!$A:$A,ROW()+1)="","",ROW()-3)</f>
        <v/>
      </c>
      <c r="B2774" s="48">
        <f>IFERROR(INDEX('04A_국토부원자료'!$A:$T,ROW()+1,MATCH("시군구",'04A_국토부원자료'!$A$4:$T$4,0)),"")</f>
        <v/>
      </c>
      <c r="C2774" s="48">
        <f>IF(B2774="","",IFERROR(INDEX('04A_국토부원자료'!$A:$T,ROW()+1,MATCH("번지",'04A_국토부원자료'!$A$4:$T$4,0)),""))</f>
        <v/>
      </c>
      <c r="D2774" s="48">
        <f>IF(B2774="","",IF(Q2774=1,'02_대상물건입력'!$B$8,IFERROR(INDEX('04A_국토부원자료'!$A:$T,ROW()+1,MATCH("단지명",'04A_국토부원자료'!$A$4:$T$4,0)),"")))</f>
        <v/>
      </c>
      <c r="E2774" s="172">
        <f>IFERROR(VALUE(SUBSTITUTE(INDEX('04A_국토부원자료'!$A:$T,ROW()+1,MATCH("전용면적(㎡)",'04A_국토부원자료'!$A$4:$T$4,0)),",","")),"")</f>
        <v/>
      </c>
      <c r="F27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74" s="51">
        <f>IFERROR(VALUE(SUBSTITUTE(INDEX('04A_국토부원자료'!$A:$T,ROW()+1,MATCH("거래금액(만원)",'04A_국토부원자료'!$A$4:$T$4,0)),",","")),"")</f>
        <v/>
      </c>
      <c r="H2774" s="174">
        <f>IF(G2774="","",G2774*10000)</f>
        <v/>
      </c>
      <c r="I2774" s="174">
        <f>IFERROR(IF(AND(H2774&gt;0,E2774&gt;0),H2774/E2774,""),"")</f>
        <v/>
      </c>
      <c r="J2774" s="152">
        <f>IFERROR(VALUE(SUBSTITUTE(INDEX('04A_국토부원자료'!$A:$T,ROW()+1,MATCH("층",'04A_국토부원자료'!$A$4:$T$4,0)),",","")),"")</f>
        <v/>
      </c>
      <c r="K2774" s="152">
        <f>IFERROR(VALUE(SUBSTITUTE(INDEX('04A_국토부원자료'!$A:$T,ROW()+1,MATCH("건축년도",'04A_국토부원자료'!$A$4:$T$4,0)),",","")),"")</f>
        <v/>
      </c>
      <c r="L2774" s="48">
        <f>IFERROR(INDEX('04A_국토부원자료'!$A:$T,ROW()+1,MATCH("도로명",'04A_국토부원자료'!$A$4:$T$4,0)),"")</f>
        <v/>
      </c>
      <c r="M2774" s="48">
        <f>IFERROR(INDEX('04A_국토부원자료'!$A:$T,ROW()+1,MATCH("거래유형",'04A_국토부원자료'!$A$4:$T$4,0)),"")</f>
        <v/>
      </c>
      <c r="N2774" s="152">
        <f>IF(B2774="","",IF('02_대상물건입력'!B5="",1,IF(ISNUMBER(SEARCH('02_대상물건입력'!B5,B2774)),1,0)))</f>
        <v/>
      </c>
      <c r="O2774" s="152">
        <f>IF(B2774="","",IF('02_대상물건입력'!B6="",1,IF(ISNUMBER(SEARCH('02_대상물건입력'!B6,B2774)),1,0)))</f>
        <v/>
      </c>
      <c r="P2774" s="152">
        <f>IF(L2774="","",IF('02_대상물건입력'!B15="",0,IF(ISNUMBER(SEARCH('02_대상물건입력'!B15,L2774)),1,0)))</f>
        <v/>
      </c>
      <c r="Q2774" s="152">
        <f>IF(OR(C2774="",L2774=""),0,IF(AND(TRIM(C2774)=TRIM(RIGHT(SUBSTITUTE(TRIM('02_대상물건입력'!$B$7)," ",REPT(" ",99)),99)),IF('02_대상물건입력'!B15="",TRUE(),ISNUMBER(SEARCH('02_대상물건입력'!B15,L2774)))),1,0))</f>
        <v/>
      </c>
      <c r="R2774" s="175">
        <f>IFERROR(ABS(E2774-'02_대상물건입력'!B11)/'02_대상물건입력'!B11,"")</f>
        <v/>
      </c>
      <c r="S2774" s="152">
        <f>IFERROR(ABS(J2774-'02_대상물건입력'!B10),"")</f>
        <v/>
      </c>
      <c r="T2774" s="152">
        <f>IFERROR(ABS('01_설정'!B4-F2774),"")</f>
        <v/>
      </c>
      <c r="U2774" s="152">
        <f>IFERROR(ABS(K2774-YEAR('02_대상물건입력'!B14)),"")</f>
        <v/>
      </c>
      <c r="V2774" s="152">
        <f>IF(B2774="","",IF(AND(E2774&gt;0,F2774&gt;0,H2774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2774=1,TRUE()),R2774&lt;='01_설정'!B5,S2774&lt;='01_설정'!B6,T2774&lt;='01_설정'!B7,U2774&lt;='01_설정'!B8),"Y",""))</f>
        <v/>
      </c>
      <c r="W2774" s="172">
        <f>IF(V2774&lt;&gt;"Y","",MAX(0,(1-R2774/'01_설정'!B5))*'01_설정'!B14+MAX(0,(1-S2774/'01_설정'!B6))*'01_설정'!B15+MAX(0,(1-T2774/'01_설정'!B7))*'01_설정'!B16+MAX(0,(1-U2774/'01_설정'!B8))*'01_설정'!B17+O2774*'01_설정'!B11+Q2774*'01_설정'!B12+P2774*'01_설정'!B13+IF(Z2774="",0,Z2774))</f>
        <v/>
      </c>
      <c r="X2774" s="152">
        <f>IF(W2774="","",1+COUNTIFS($W$4:$W$3003,"&gt;"&amp;W2774)+COUNTIFS($W$4:W2774,W2774)-1)</f>
        <v/>
      </c>
      <c r="Y2774" s="175">
        <f>IF(OR(I2774="",'02_대상물건입력'!B19="",'02_대상물건입력'!B19&lt;=0),"",ABS(I2774-'02_대상물건입력'!B19)/'02_대상물건입력'!B19)</f>
        <v/>
      </c>
      <c r="Z2774" s="172">
        <f>IF(OR(Y2774="",'01_설정'!B31="",'01_설정'!B31&lt;=0,'01_설정'!B32="",'01_설정'!B32&lt;=0),"",MAX(0,(1-Y2774/'01_설정'!B32))*'01_설정'!B31)</f>
        <v/>
      </c>
    </row>
    <row r="2775" ht="17.25" customHeight="1">
      <c r="A2775" s="152">
        <f>IF(INDEX('04A_국토부원자료'!$A:$A,ROW()+1)="","",ROW()-3)</f>
        <v/>
      </c>
      <c r="B2775" s="48">
        <f>IFERROR(INDEX('04A_국토부원자료'!$A:$T,ROW()+1,MATCH("시군구",'04A_국토부원자료'!$A$4:$T$4,0)),"")</f>
        <v/>
      </c>
      <c r="C2775" s="48">
        <f>IF(B2775="","",IFERROR(INDEX('04A_국토부원자료'!$A:$T,ROW()+1,MATCH("번지",'04A_국토부원자료'!$A$4:$T$4,0)),""))</f>
        <v/>
      </c>
      <c r="D2775" s="48">
        <f>IF(B2775="","",IF(Q2775=1,'02_대상물건입력'!$B$8,IFERROR(INDEX('04A_국토부원자료'!$A:$T,ROW()+1,MATCH("단지명",'04A_국토부원자료'!$A$4:$T$4,0)),"")))</f>
        <v/>
      </c>
      <c r="E2775" s="172">
        <f>IFERROR(VALUE(SUBSTITUTE(INDEX('04A_국토부원자료'!$A:$T,ROW()+1,MATCH("전용면적(㎡)",'04A_국토부원자료'!$A$4:$T$4,0)),",","")),"")</f>
        <v/>
      </c>
      <c r="F27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75" s="51">
        <f>IFERROR(VALUE(SUBSTITUTE(INDEX('04A_국토부원자료'!$A:$T,ROW()+1,MATCH("거래금액(만원)",'04A_국토부원자료'!$A$4:$T$4,0)),",","")),"")</f>
        <v/>
      </c>
      <c r="H2775" s="174">
        <f>IF(G2775="","",G2775*10000)</f>
        <v/>
      </c>
      <c r="I2775" s="174">
        <f>IFERROR(IF(AND(H2775&gt;0,E2775&gt;0),H2775/E2775,""),"")</f>
        <v/>
      </c>
      <c r="J2775" s="152">
        <f>IFERROR(VALUE(SUBSTITUTE(INDEX('04A_국토부원자료'!$A:$T,ROW()+1,MATCH("층",'04A_국토부원자료'!$A$4:$T$4,0)),",","")),"")</f>
        <v/>
      </c>
      <c r="K2775" s="152">
        <f>IFERROR(VALUE(SUBSTITUTE(INDEX('04A_국토부원자료'!$A:$T,ROW()+1,MATCH("건축년도",'04A_국토부원자료'!$A$4:$T$4,0)),",","")),"")</f>
        <v/>
      </c>
      <c r="L2775" s="48">
        <f>IFERROR(INDEX('04A_국토부원자료'!$A:$T,ROW()+1,MATCH("도로명",'04A_국토부원자료'!$A$4:$T$4,0)),"")</f>
        <v/>
      </c>
      <c r="M2775" s="48">
        <f>IFERROR(INDEX('04A_국토부원자료'!$A:$T,ROW()+1,MATCH("거래유형",'04A_국토부원자료'!$A$4:$T$4,0)),"")</f>
        <v/>
      </c>
      <c r="N2775" s="152">
        <f>IF(B2775="","",IF('02_대상물건입력'!B5="",1,IF(ISNUMBER(SEARCH('02_대상물건입력'!B5,B2775)),1,0)))</f>
        <v/>
      </c>
      <c r="O2775" s="152">
        <f>IF(B2775="","",IF('02_대상물건입력'!B6="",1,IF(ISNUMBER(SEARCH('02_대상물건입력'!B6,B2775)),1,0)))</f>
        <v/>
      </c>
      <c r="P2775" s="152">
        <f>IF(L2775="","",IF('02_대상물건입력'!B15="",0,IF(ISNUMBER(SEARCH('02_대상물건입력'!B15,L2775)),1,0)))</f>
        <v/>
      </c>
      <c r="Q2775" s="152">
        <f>IF(OR(C2775="",L2775=""),0,IF(AND(TRIM(C2775)=TRIM(RIGHT(SUBSTITUTE(TRIM('02_대상물건입력'!$B$7)," ",REPT(" ",99)),99)),IF('02_대상물건입력'!B15="",TRUE(),ISNUMBER(SEARCH('02_대상물건입력'!B15,L2775)))),1,0))</f>
        <v/>
      </c>
      <c r="R2775" s="175">
        <f>IFERROR(ABS(E2775-'02_대상물건입력'!B11)/'02_대상물건입력'!B11,"")</f>
        <v/>
      </c>
      <c r="S2775" s="152">
        <f>IFERROR(ABS(J2775-'02_대상물건입력'!B10),"")</f>
        <v/>
      </c>
      <c r="T2775" s="152">
        <f>IFERROR(ABS('01_설정'!B4-F2775),"")</f>
        <v/>
      </c>
      <c r="U2775" s="152">
        <f>IFERROR(ABS(K2775-YEAR('02_대상물건입력'!B14)),"")</f>
        <v/>
      </c>
      <c r="V2775" s="152">
        <f>IF(B2775="","",IF(AND(E2775&gt;0,F2775&gt;0,H2775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2775=1,TRUE()),R2775&lt;='01_설정'!B5,S2775&lt;='01_설정'!B6,T2775&lt;='01_설정'!B7,U2775&lt;='01_설정'!B8),"Y",""))</f>
        <v/>
      </c>
      <c r="W2775" s="172">
        <f>IF(V2775&lt;&gt;"Y","",MAX(0,(1-R2775/'01_설정'!B5))*'01_설정'!B14+MAX(0,(1-S2775/'01_설정'!B6))*'01_설정'!B15+MAX(0,(1-T2775/'01_설정'!B7))*'01_설정'!B16+MAX(0,(1-U2775/'01_설정'!B8))*'01_설정'!B17+O2775*'01_설정'!B11+Q2775*'01_설정'!B12+P2775*'01_설정'!B13+IF(Z2775="",0,Z2775))</f>
        <v/>
      </c>
      <c r="X2775" s="152">
        <f>IF(W2775="","",1+COUNTIFS($W$4:$W$3003,"&gt;"&amp;W2775)+COUNTIFS($W$4:W2775,W2775)-1)</f>
        <v/>
      </c>
      <c r="Y2775" s="175">
        <f>IF(OR(I2775="",'02_대상물건입력'!B19="",'02_대상물건입력'!B19&lt;=0),"",ABS(I2775-'02_대상물건입력'!B19)/'02_대상물건입력'!B19)</f>
        <v/>
      </c>
      <c r="Z2775" s="172">
        <f>IF(OR(Y2775="",'01_설정'!B31="",'01_설정'!B31&lt;=0,'01_설정'!B32="",'01_설정'!B32&lt;=0),"",MAX(0,(1-Y2775/'01_설정'!B32))*'01_설정'!B31)</f>
        <v/>
      </c>
    </row>
    <row r="2776" ht="17.25" customHeight="1">
      <c r="A2776" s="152">
        <f>IF(INDEX('04A_국토부원자료'!$A:$A,ROW()+1)="","",ROW()-3)</f>
        <v/>
      </c>
      <c r="B2776" s="48">
        <f>IFERROR(INDEX('04A_국토부원자료'!$A:$T,ROW()+1,MATCH("시군구",'04A_국토부원자료'!$A$4:$T$4,0)),"")</f>
        <v/>
      </c>
      <c r="C2776" s="48">
        <f>IF(B2776="","",IFERROR(INDEX('04A_국토부원자료'!$A:$T,ROW()+1,MATCH("번지",'04A_국토부원자료'!$A$4:$T$4,0)),""))</f>
        <v/>
      </c>
      <c r="D2776" s="48">
        <f>IF(B2776="","",IF(Q2776=1,'02_대상물건입력'!$B$8,IFERROR(INDEX('04A_국토부원자료'!$A:$T,ROW()+1,MATCH("단지명",'04A_국토부원자료'!$A$4:$T$4,0)),"")))</f>
        <v/>
      </c>
      <c r="E2776" s="172">
        <f>IFERROR(VALUE(SUBSTITUTE(INDEX('04A_국토부원자료'!$A:$T,ROW()+1,MATCH("전용면적(㎡)",'04A_국토부원자료'!$A$4:$T$4,0)),",","")),"")</f>
        <v/>
      </c>
      <c r="F27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76" s="51">
        <f>IFERROR(VALUE(SUBSTITUTE(INDEX('04A_국토부원자료'!$A:$T,ROW()+1,MATCH("거래금액(만원)",'04A_국토부원자료'!$A$4:$T$4,0)),",","")),"")</f>
        <v/>
      </c>
      <c r="H2776" s="174">
        <f>IF(G2776="","",G2776*10000)</f>
        <v/>
      </c>
      <c r="I2776" s="174">
        <f>IFERROR(IF(AND(H2776&gt;0,E2776&gt;0),H2776/E2776,""),"")</f>
        <v/>
      </c>
      <c r="J2776" s="152">
        <f>IFERROR(VALUE(SUBSTITUTE(INDEX('04A_국토부원자료'!$A:$T,ROW()+1,MATCH("층",'04A_국토부원자료'!$A$4:$T$4,0)),",","")),"")</f>
        <v/>
      </c>
      <c r="K2776" s="152">
        <f>IFERROR(VALUE(SUBSTITUTE(INDEX('04A_국토부원자료'!$A:$T,ROW()+1,MATCH("건축년도",'04A_국토부원자료'!$A$4:$T$4,0)),",","")),"")</f>
        <v/>
      </c>
      <c r="L2776" s="48">
        <f>IFERROR(INDEX('04A_국토부원자료'!$A:$T,ROW()+1,MATCH("도로명",'04A_국토부원자료'!$A$4:$T$4,0)),"")</f>
        <v/>
      </c>
      <c r="M2776" s="48">
        <f>IFERROR(INDEX('04A_국토부원자료'!$A:$T,ROW()+1,MATCH("거래유형",'04A_국토부원자료'!$A$4:$T$4,0)),"")</f>
        <v/>
      </c>
      <c r="N2776" s="152">
        <f>IF(B2776="","",IF('02_대상물건입력'!B5="",1,IF(ISNUMBER(SEARCH('02_대상물건입력'!B5,B2776)),1,0)))</f>
        <v/>
      </c>
      <c r="O2776" s="152">
        <f>IF(B2776="","",IF('02_대상물건입력'!B6="",1,IF(ISNUMBER(SEARCH('02_대상물건입력'!B6,B2776)),1,0)))</f>
        <v/>
      </c>
      <c r="P2776" s="152">
        <f>IF(L2776="","",IF('02_대상물건입력'!B15="",0,IF(ISNUMBER(SEARCH('02_대상물건입력'!B15,L2776)),1,0)))</f>
        <v/>
      </c>
      <c r="Q2776" s="152">
        <f>IF(OR(C2776="",L2776=""),0,IF(AND(TRIM(C2776)=TRIM(RIGHT(SUBSTITUTE(TRIM('02_대상물건입력'!$B$7)," ",REPT(" ",99)),99)),IF('02_대상물건입력'!B15="",TRUE(),ISNUMBER(SEARCH('02_대상물건입력'!B15,L2776)))),1,0))</f>
        <v/>
      </c>
      <c r="R2776" s="175">
        <f>IFERROR(ABS(E2776-'02_대상물건입력'!B11)/'02_대상물건입력'!B11,"")</f>
        <v/>
      </c>
      <c r="S2776" s="152">
        <f>IFERROR(ABS(J2776-'02_대상물건입력'!B10),"")</f>
        <v/>
      </c>
      <c r="T2776" s="152">
        <f>IFERROR(ABS('01_설정'!B4-F2776),"")</f>
        <v/>
      </c>
      <c r="U2776" s="152">
        <f>IFERROR(ABS(K2776-YEAR('02_대상물건입력'!B14)),"")</f>
        <v/>
      </c>
      <c r="V2776" s="152">
        <f>IF(B2776="","",IF(AND(E2776&gt;0,F2776&gt;0,H2776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2776=1,TRUE()),R2776&lt;='01_설정'!B5,S2776&lt;='01_설정'!B6,T2776&lt;='01_설정'!B7,U2776&lt;='01_설정'!B8),"Y",""))</f>
        <v/>
      </c>
      <c r="W2776" s="172">
        <f>IF(V2776&lt;&gt;"Y","",MAX(0,(1-R2776/'01_설정'!B5))*'01_설정'!B14+MAX(0,(1-S2776/'01_설정'!B6))*'01_설정'!B15+MAX(0,(1-T2776/'01_설정'!B7))*'01_설정'!B16+MAX(0,(1-U2776/'01_설정'!B8))*'01_설정'!B17+O2776*'01_설정'!B11+Q2776*'01_설정'!B12+P2776*'01_설정'!B13+IF(Z2776="",0,Z2776))</f>
        <v/>
      </c>
      <c r="X2776" s="152">
        <f>IF(W2776="","",1+COUNTIFS($W$4:$W$3003,"&gt;"&amp;W2776)+COUNTIFS($W$4:W2776,W2776)-1)</f>
        <v/>
      </c>
      <c r="Y2776" s="175">
        <f>IF(OR(I2776="",'02_대상물건입력'!B19="",'02_대상물건입력'!B19&lt;=0),"",ABS(I2776-'02_대상물건입력'!B19)/'02_대상물건입력'!B19)</f>
        <v/>
      </c>
      <c r="Z2776" s="172">
        <f>IF(OR(Y2776="",'01_설정'!B31="",'01_설정'!B31&lt;=0,'01_설정'!B32="",'01_설정'!B32&lt;=0),"",MAX(0,(1-Y2776/'01_설정'!B32))*'01_설정'!B31)</f>
        <v/>
      </c>
    </row>
    <row r="2777" ht="17.25" customHeight="1">
      <c r="A2777" s="152">
        <f>IF(INDEX('04A_국토부원자료'!$A:$A,ROW()+1)="","",ROW()-3)</f>
        <v/>
      </c>
      <c r="B2777" s="48">
        <f>IFERROR(INDEX('04A_국토부원자료'!$A:$T,ROW()+1,MATCH("시군구",'04A_국토부원자료'!$A$4:$T$4,0)),"")</f>
        <v/>
      </c>
      <c r="C2777" s="48">
        <f>IF(B2777="","",IFERROR(INDEX('04A_국토부원자료'!$A:$T,ROW()+1,MATCH("번지",'04A_국토부원자료'!$A$4:$T$4,0)),""))</f>
        <v/>
      </c>
      <c r="D2777" s="48">
        <f>IF(B2777="","",IF(Q2777=1,'02_대상물건입력'!$B$8,IFERROR(INDEX('04A_국토부원자료'!$A:$T,ROW()+1,MATCH("단지명",'04A_국토부원자료'!$A$4:$T$4,0)),"")))</f>
        <v/>
      </c>
      <c r="E2777" s="172">
        <f>IFERROR(VALUE(SUBSTITUTE(INDEX('04A_국토부원자료'!$A:$T,ROW()+1,MATCH("전용면적(㎡)",'04A_국토부원자료'!$A$4:$T$4,0)),",","")),"")</f>
        <v/>
      </c>
      <c r="F27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77" s="51">
        <f>IFERROR(VALUE(SUBSTITUTE(INDEX('04A_국토부원자료'!$A:$T,ROW()+1,MATCH("거래금액(만원)",'04A_국토부원자료'!$A$4:$T$4,0)),",","")),"")</f>
        <v/>
      </c>
      <c r="H2777" s="174">
        <f>IF(G2777="","",G2777*10000)</f>
        <v/>
      </c>
      <c r="I2777" s="174">
        <f>IFERROR(IF(AND(H2777&gt;0,E2777&gt;0),H2777/E2777,""),"")</f>
        <v/>
      </c>
      <c r="J2777" s="152">
        <f>IFERROR(VALUE(SUBSTITUTE(INDEX('04A_국토부원자료'!$A:$T,ROW()+1,MATCH("층",'04A_국토부원자료'!$A$4:$T$4,0)),",","")),"")</f>
        <v/>
      </c>
      <c r="K2777" s="152">
        <f>IFERROR(VALUE(SUBSTITUTE(INDEX('04A_국토부원자료'!$A:$T,ROW()+1,MATCH("건축년도",'04A_국토부원자료'!$A$4:$T$4,0)),",","")),"")</f>
        <v/>
      </c>
      <c r="L2777" s="48">
        <f>IFERROR(INDEX('04A_국토부원자료'!$A:$T,ROW()+1,MATCH("도로명",'04A_국토부원자료'!$A$4:$T$4,0)),"")</f>
        <v/>
      </c>
      <c r="M2777" s="48">
        <f>IFERROR(INDEX('04A_국토부원자료'!$A:$T,ROW()+1,MATCH("거래유형",'04A_국토부원자료'!$A$4:$T$4,0)),"")</f>
        <v/>
      </c>
      <c r="N2777" s="152">
        <f>IF(B2777="","",IF('02_대상물건입력'!B5="",1,IF(ISNUMBER(SEARCH('02_대상물건입력'!B5,B2777)),1,0)))</f>
        <v/>
      </c>
      <c r="O2777" s="152">
        <f>IF(B2777="","",IF('02_대상물건입력'!B6="",1,IF(ISNUMBER(SEARCH('02_대상물건입력'!B6,B2777)),1,0)))</f>
        <v/>
      </c>
      <c r="P2777" s="152">
        <f>IF(L2777="","",IF('02_대상물건입력'!B15="",0,IF(ISNUMBER(SEARCH('02_대상물건입력'!B15,L2777)),1,0)))</f>
        <v/>
      </c>
      <c r="Q2777" s="152">
        <f>IF(OR(C2777="",L2777=""),0,IF(AND(TRIM(C2777)=TRIM(RIGHT(SUBSTITUTE(TRIM('02_대상물건입력'!$B$7)," ",REPT(" ",99)),99)),IF('02_대상물건입력'!B15="",TRUE(),ISNUMBER(SEARCH('02_대상물건입력'!B15,L2777)))),1,0))</f>
        <v/>
      </c>
      <c r="R2777" s="175">
        <f>IFERROR(ABS(E2777-'02_대상물건입력'!B11)/'02_대상물건입력'!B11,"")</f>
        <v/>
      </c>
      <c r="S2777" s="152">
        <f>IFERROR(ABS(J2777-'02_대상물건입력'!B10),"")</f>
        <v/>
      </c>
      <c r="T2777" s="152">
        <f>IFERROR(ABS('01_설정'!B4-F2777),"")</f>
        <v/>
      </c>
      <c r="U2777" s="152">
        <f>IFERROR(ABS(K2777-YEAR('02_대상물건입력'!B14)),"")</f>
        <v/>
      </c>
      <c r="V2777" s="152">
        <f>IF(B2777="","",IF(AND(E2777&gt;0,F2777&gt;0,H2777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2777=1,TRUE()),R2777&lt;='01_설정'!B5,S2777&lt;='01_설정'!B6,T2777&lt;='01_설정'!B7,U2777&lt;='01_설정'!B8),"Y",""))</f>
        <v/>
      </c>
      <c r="W2777" s="172">
        <f>IF(V2777&lt;&gt;"Y","",MAX(0,(1-R2777/'01_설정'!B5))*'01_설정'!B14+MAX(0,(1-S2777/'01_설정'!B6))*'01_설정'!B15+MAX(0,(1-T2777/'01_설정'!B7))*'01_설정'!B16+MAX(0,(1-U2777/'01_설정'!B8))*'01_설정'!B17+O2777*'01_설정'!B11+Q2777*'01_설정'!B12+P2777*'01_설정'!B13+IF(Z2777="",0,Z2777))</f>
        <v/>
      </c>
      <c r="X2777" s="152">
        <f>IF(W2777="","",1+COUNTIFS($W$4:$W$3003,"&gt;"&amp;W2777)+COUNTIFS($W$4:W2777,W2777)-1)</f>
        <v/>
      </c>
      <c r="Y2777" s="175">
        <f>IF(OR(I2777="",'02_대상물건입력'!B19="",'02_대상물건입력'!B19&lt;=0),"",ABS(I2777-'02_대상물건입력'!B19)/'02_대상물건입력'!B19)</f>
        <v/>
      </c>
      <c r="Z2777" s="172">
        <f>IF(OR(Y2777="",'01_설정'!B31="",'01_설정'!B31&lt;=0,'01_설정'!B32="",'01_설정'!B32&lt;=0),"",MAX(0,(1-Y2777/'01_설정'!B32))*'01_설정'!B31)</f>
        <v/>
      </c>
    </row>
    <row r="2778" ht="17.25" customHeight="1">
      <c r="A2778" s="152">
        <f>IF(INDEX('04A_국토부원자료'!$A:$A,ROW()+1)="","",ROW()-3)</f>
        <v/>
      </c>
      <c r="B2778" s="48">
        <f>IFERROR(INDEX('04A_국토부원자료'!$A:$T,ROW()+1,MATCH("시군구",'04A_국토부원자료'!$A$4:$T$4,0)),"")</f>
        <v/>
      </c>
      <c r="C2778" s="48">
        <f>IF(B2778="","",IFERROR(INDEX('04A_국토부원자료'!$A:$T,ROW()+1,MATCH("번지",'04A_국토부원자료'!$A$4:$T$4,0)),""))</f>
        <v/>
      </c>
      <c r="D2778" s="48">
        <f>IF(B2778="","",IF(Q2778=1,'02_대상물건입력'!$B$8,IFERROR(INDEX('04A_국토부원자료'!$A:$T,ROW()+1,MATCH("단지명",'04A_국토부원자료'!$A$4:$T$4,0)),"")))</f>
        <v/>
      </c>
      <c r="E2778" s="172">
        <f>IFERROR(VALUE(SUBSTITUTE(INDEX('04A_국토부원자료'!$A:$T,ROW()+1,MATCH("전용면적(㎡)",'04A_국토부원자료'!$A$4:$T$4,0)),",","")),"")</f>
        <v/>
      </c>
      <c r="F27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78" s="51">
        <f>IFERROR(VALUE(SUBSTITUTE(INDEX('04A_국토부원자료'!$A:$T,ROW()+1,MATCH("거래금액(만원)",'04A_국토부원자료'!$A$4:$T$4,0)),",","")),"")</f>
        <v/>
      </c>
      <c r="H2778" s="174">
        <f>IF(G2778="","",G2778*10000)</f>
        <v/>
      </c>
      <c r="I2778" s="174">
        <f>IFERROR(IF(AND(H2778&gt;0,E2778&gt;0),H2778/E2778,""),"")</f>
        <v/>
      </c>
      <c r="J2778" s="152">
        <f>IFERROR(VALUE(SUBSTITUTE(INDEX('04A_국토부원자료'!$A:$T,ROW()+1,MATCH("층",'04A_국토부원자료'!$A$4:$T$4,0)),",","")),"")</f>
        <v/>
      </c>
      <c r="K2778" s="152">
        <f>IFERROR(VALUE(SUBSTITUTE(INDEX('04A_국토부원자료'!$A:$T,ROW()+1,MATCH("건축년도",'04A_국토부원자료'!$A$4:$T$4,0)),",","")),"")</f>
        <v/>
      </c>
      <c r="L2778" s="48">
        <f>IFERROR(INDEX('04A_국토부원자료'!$A:$T,ROW()+1,MATCH("도로명",'04A_국토부원자료'!$A$4:$T$4,0)),"")</f>
        <v/>
      </c>
      <c r="M2778" s="48">
        <f>IFERROR(INDEX('04A_국토부원자료'!$A:$T,ROW()+1,MATCH("거래유형",'04A_국토부원자료'!$A$4:$T$4,0)),"")</f>
        <v/>
      </c>
      <c r="N2778" s="152">
        <f>IF(B2778="","",IF('02_대상물건입력'!B5="",1,IF(ISNUMBER(SEARCH('02_대상물건입력'!B5,B2778)),1,0)))</f>
        <v/>
      </c>
      <c r="O2778" s="152">
        <f>IF(B2778="","",IF('02_대상물건입력'!B6="",1,IF(ISNUMBER(SEARCH('02_대상물건입력'!B6,B2778)),1,0)))</f>
        <v/>
      </c>
      <c r="P2778" s="152">
        <f>IF(L2778="","",IF('02_대상물건입력'!B15="",0,IF(ISNUMBER(SEARCH('02_대상물건입력'!B15,L2778)),1,0)))</f>
        <v/>
      </c>
      <c r="Q2778" s="152">
        <f>IF(OR(C2778="",L2778=""),0,IF(AND(TRIM(C2778)=TRIM(RIGHT(SUBSTITUTE(TRIM('02_대상물건입력'!$B$7)," ",REPT(" ",99)),99)),IF('02_대상물건입력'!B15="",TRUE(),ISNUMBER(SEARCH('02_대상물건입력'!B15,L2778)))),1,0))</f>
        <v/>
      </c>
      <c r="R2778" s="175">
        <f>IFERROR(ABS(E2778-'02_대상물건입력'!B11)/'02_대상물건입력'!B11,"")</f>
        <v/>
      </c>
      <c r="S2778" s="152">
        <f>IFERROR(ABS(J2778-'02_대상물건입력'!B10),"")</f>
        <v/>
      </c>
      <c r="T2778" s="152">
        <f>IFERROR(ABS('01_설정'!B4-F2778),"")</f>
        <v/>
      </c>
      <c r="U2778" s="152">
        <f>IFERROR(ABS(K2778-YEAR('02_대상물건입력'!B14)),"")</f>
        <v/>
      </c>
      <c r="V2778" s="152">
        <f>IF(B2778="","",IF(AND(E2778&gt;0,F2778&gt;0,H2778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2778=1,TRUE()),R2778&lt;='01_설정'!B5,S2778&lt;='01_설정'!B6,T2778&lt;='01_설정'!B7,U2778&lt;='01_설정'!B8),"Y",""))</f>
        <v/>
      </c>
      <c r="W2778" s="172">
        <f>IF(V2778&lt;&gt;"Y","",MAX(0,(1-R2778/'01_설정'!B5))*'01_설정'!B14+MAX(0,(1-S2778/'01_설정'!B6))*'01_설정'!B15+MAX(0,(1-T2778/'01_설정'!B7))*'01_설정'!B16+MAX(0,(1-U2778/'01_설정'!B8))*'01_설정'!B17+O2778*'01_설정'!B11+Q2778*'01_설정'!B12+P2778*'01_설정'!B13+IF(Z2778="",0,Z2778))</f>
        <v/>
      </c>
      <c r="X2778" s="152">
        <f>IF(W2778="","",1+COUNTIFS($W$4:$W$3003,"&gt;"&amp;W2778)+COUNTIFS($W$4:W2778,W2778)-1)</f>
        <v/>
      </c>
      <c r="Y2778" s="175">
        <f>IF(OR(I2778="",'02_대상물건입력'!B19="",'02_대상물건입력'!B19&lt;=0),"",ABS(I2778-'02_대상물건입력'!B19)/'02_대상물건입력'!B19)</f>
        <v/>
      </c>
      <c r="Z2778" s="172">
        <f>IF(OR(Y2778="",'01_설정'!B31="",'01_설정'!B31&lt;=0,'01_설정'!B32="",'01_설정'!B32&lt;=0),"",MAX(0,(1-Y2778/'01_설정'!B32))*'01_설정'!B31)</f>
        <v/>
      </c>
    </row>
    <row r="2779" ht="17.25" customHeight="1">
      <c r="A2779" s="152">
        <f>IF(INDEX('04A_국토부원자료'!$A:$A,ROW()+1)="","",ROW()-3)</f>
        <v/>
      </c>
      <c r="B2779" s="48">
        <f>IFERROR(INDEX('04A_국토부원자료'!$A:$T,ROW()+1,MATCH("시군구",'04A_국토부원자료'!$A$4:$T$4,0)),"")</f>
        <v/>
      </c>
      <c r="C2779" s="48">
        <f>IF(B2779="","",IFERROR(INDEX('04A_국토부원자료'!$A:$T,ROW()+1,MATCH("번지",'04A_국토부원자료'!$A$4:$T$4,0)),""))</f>
        <v/>
      </c>
      <c r="D2779" s="48">
        <f>IF(B2779="","",IF(Q2779=1,'02_대상물건입력'!$B$8,IFERROR(INDEX('04A_국토부원자료'!$A:$T,ROW()+1,MATCH("단지명",'04A_국토부원자료'!$A$4:$T$4,0)),"")))</f>
        <v/>
      </c>
      <c r="E2779" s="172">
        <f>IFERROR(VALUE(SUBSTITUTE(INDEX('04A_국토부원자료'!$A:$T,ROW()+1,MATCH("전용면적(㎡)",'04A_국토부원자료'!$A$4:$T$4,0)),",","")),"")</f>
        <v/>
      </c>
      <c r="F27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79" s="51">
        <f>IFERROR(VALUE(SUBSTITUTE(INDEX('04A_국토부원자료'!$A:$T,ROW()+1,MATCH("거래금액(만원)",'04A_국토부원자료'!$A$4:$T$4,0)),",","")),"")</f>
        <v/>
      </c>
      <c r="H2779" s="174">
        <f>IF(G2779="","",G2779*10000)</f>
        <v/>
      </c>
      <c r="I2779" s="174">
        <f>IFERROR(IF(AND(H2779&gt;0,E2779&gt;0),H2779/E2779,""),"")</f>
        <v/>
      </c>
      <c r="J2779" s="152">
        <f>IFERROR(VALUE(SUBSTITUTE(INDEX('04A_국토부원자료'!$A:$T,ROW()+1,MATCH("층",'04A_국토부원자료'!$A$4:$T$4,0)),",","")),"")</f>
        <v/>
      </c>
      <c r="K2779" s="152">
        <f>IFERROR(VALUE(SUBSTITUTE(INDEX('04A_국토부원자료'!$A:$T,ROW()+1,MATCH("건축년도",'04A_국토부원자료'!$A$4:$T$4,0)),",","")),"")</f>
        <v/>
      </c>
      <c r="L2779" s="48">
        <f>IFERROR(INDEX('04A_국토부원자료'!$A:$T,ROW()+1,MATCH("도로명",'04A_국토부원자료'!$A$4:$T$4,0)),"")</f>
        <v/>
      </c>
      <c r="M2779" s="48">
        <f>IFERROR(INDEX('04A_국토부원자료'!$A:$T,ROW()+1,MATCH("거래유형",'04A_국토부원자료'!$A$4:$T$4,0)),"")</f>
        <v/>
      </c>
      <c r="N2779" s="152">
        <f>IF(B2779="","",IF('02_대상물건입력'!B5="",1,IF(ISNUMBER(SEARCH('02_대상물건입력'!B5,B2779)),1,0)))</f>
        <v/>
      </c>
      <c r="O2779" s="152">
        <f>IF(B2779="","",IF('02_대상물건입력'!B6="",1,IF(ISNUMBER(SEARCH('02_대상물건입력'!B6,B2779)),1,0)))</f>
        <v/>
      </c>
      <c r="P2779" s="152">
        <f>IF(L2779="","",IF('02_대상물건입력'!B15="",0,IF(ISNUMBER(SEARCH('02_대상물건입력'!B15,L2779)),1,0)))</f>
        <v/>
      </c>
      <c r="Q2779" s="152">
        <f>IF(OR(C2779="",L2779=""),0,IF(AND(TRIM(C2779)=TRIM(RIGHT(SUBSTITUTE(TRIM('02_대상물건입력'!$B$7)," ",REPT(" ",99)),99)),IF('02_대상물건입력'!B15="",TRUE(),ISNUMBER(SEARCH('02_대상물건입력'!B15,L2779)))),1,0))</f>
        <v/>
      </c>
      <c r="R2779" s="175">
        <f>IFERROR(ABS(E2779-'02_대상물건입력'!B11)/'02_대상물건입력'!B11,"")</f>
        <v/>
      </c>
      <c r="S2779" s="152">
        <f>IFERROR(ABS(J2779-'02_대상물건입력'!B10),"")</f>
        <v/>
      </c>
      <c r="T2779" s="152">
        <f>IFERROR(ABS('01_설정'!B4-F2779),"")</f>
        <v/>
      </c>
      <c r="U2779" s="152">
        <f>IFERROR(ABS(K2779-YEAR('02_대상물건입력'!B14)),"")</f>
        <v/>
      </c>
      <c r="V2779" s="152">
        <f>IF(B2779="","",IF(AND(E2779&gt;0,F2779&gt;0,H2779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2779=1,TRUE()),R2779&lt;='01_설정'!B5,S2779&lt;='01_설정'!B6,T2779&lt;='01_설정'!B7,U2779&lt;='01_설정'!B8),"Y",""))</f>
        <v/>
      </c>
      <c r="W2779" s="172">
        <f>IF(V2779&lt;&gt;"Y","",MAX(0,(1-R2779/'01_설정'!B5))*'01_설정'!B14+MAX(0,(1-S2779/'01_설정'!B6))*'01_설정'!B15+MAX(0,(1-T2779/'01_설정'!B7))*'01_설정'!B16+MAX(0,(1-U2779/'01_설정'!B8))*'01_설정'!B17+O2779*'01_설정'!B11+Q2779*'01_설정'!B12+P2779*'01_설정'!B13+IF(Z2779="",0,Z2779))</f>
        <v/>
      </c>
      <c r="X2779" s="152">
        <f>IF(W2779="","",1+COUNTIFS($W$4:$W$3003,"&gt;"&amp;W2779)+COUNTIFS($W$4:W2779,W2779)-1)</f>
        <v/>
      </c>
      <c r="Y2779" s="175">
        <f>IF(OR(I2779="",'02_대상물건입력'!B19="",'02_대상물건입력'!B19&lt;=0),"",ABS(I2779-'02_대상물건입력'!B19)/'02_대상물건입력'!B19)</f>
        <v/>
      </c>
      <c r="Z2779" s="172">
        <f>IF(OR(Y2779="",'01_설정'!B31="",'01_설정'!B31&lt;=0,'01_설정'!B32="",'01_설정'!B32&lt;=0),"",MAX(0,(1-Y2779/'01_설정'!B32))*'01_설정'!B31)</f>
        <v/>
      </c>
    </row>
    <row r="2780" ht="17.25" customHeight="1">
      <c r="A2780" s="152">
        <f>IF(INDEX('04A_국토부원자료'!$A:$A,ROW()+1)="","",ROW()-3)</f>
        <v/>
      </c>
      <c r="B2780" s="48">
        <f>IFERROR(INDEX('04A_국토부원자료'!$A:$T,ROW()+1,MATCH("시군구",'04A_국토부원자료'!$A$4:$T$4,0)),"")</f>
        <v/>
      </c>
      <c r="C2780" s="48">
        <f>IF(B2780="","",IFERROR(INDEX('04A_국토부원자료'!$A:$T,ROW()+1,MATCH("번지",'04A_국토부원자료'!$A$4:$T$4,0)),""))</f>
        <v/>
      </c>
      <c r="D2780" s="48">
        <f>IF(B2780="","",IF(Q2780=1,'02_대상물건입력'!$B$8,IFERROR(INDEX('04A_국토부원자료'!$A:$T,ROW()+1,MATCH("단지명",'04A_국토부원자료'!$A$4:$T$4,0)),"")))</f>
        <v/>
      </c>
      <c r="E2780" s="172">
        <f>IFERROR(VALUE(SUBSTITUTE(INDEX('04A_국토부원자료'!$A:$T,ROW()+1,MATCH("전용면적(㎡)",'04A_국토부원자료'!$A$4:$T$4,0)),",","")),"")</f>
        <v/>
      </c>
      <c r="F27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80" s="51">
        <f>IFERROR(VALUE(SUBSTITUTE(INDEX('04A_국토부원자료'!$A:$T,ROW()+1,MATCH("거래금액(만원)",'04A_국토부원자료'!$A$4:$T$4,0)),",","")),"")</f>
        <v/>
      </c>
      <c r="H2780" s="174">
        <f>IF(G2780="","",G2780*10000)</f>
        <v/>
      </c>
      <c r="I2780" s="174">
        <f>IFERROR(IF(AND(H2780&gt;0,E2780&gt;0),H2780/E2780,""),"")</f>
        <v/>
      </c>
      <c r="J2780" s="152">
        <f>IFERROR(VALUE(SUBSTITUTE(INDEX('04A_국토부원자료'!$A:$T,ROW()+1,MATCH("층",'04A_국토부원자료'!$A$4:$T$4,0)),",","")),"")</f>
        <v/>
      </c>
      <c r="K2780" s="152">
        <f>IFERROR(VALUE(SUBSTITUTE(INDEX('04A_국토부원자료'!$A:$T,ROW()+1,MATCH("건축년도",'04A_국토부원자료'!$A$4:$T$4,0)),",","")),"")</f>
        <v/>
      </c>
      <c r="L2780" s="48">
        <f>IFERROR(INDEX('04A_국토부원자료'!$A:$T,ROW()+1,MATCH("도로명",'04A_국토부원자료'!$A$4:$T$4,0)),"")</f>
        <v/>
      </c>
      <c r="M2780" s="48">
        <f>IFERROR(INDEX('04A_국토부원자료'!$A:$T,ROW()+1,MATCH("거래유형",'04A_국토부원자료'!$A$4:$T$4,0)),"")</f>
        <v/>
      </c>
      <c r="N2780" s="152">
        <f>IF(B2780="","",IF('02_대상물건입력'!B5="",1,IF(ISNUMBER(SEARCH('02_대상물건입력'!B5,B2780)),1,0)))</f>
        <v/>
      </c>
      <c r="O2780" s="152">
        <f>IF(B2780="","",IF('02_대상물건입력'!B6="",1,IF(ISNUMBER(SEARCH('02_대상물건입력'!B6,B2780)),1,0)))</f>
        <v/>
      </c>
      <c r="P2780" s="152">
        <f>IF(L2780="","",IF('02_대상물건입력'!B15="",0,IF(ISNUMBER(SEARCH('02_대상물건입력'!B15,L2780)),1,0)))</f>
        <v/>
      </c>
      <c r="Q2780" s="152">
        <f>IF(OR(C2780="",L2780=""),0,IF(AND(TRIM(C2780)=TRIM(RIGHT(SUBSTITUTE(TRIM('02_대상물건입력'!$B$7)," ",REPT(" ",99)),99)),IF('02_대상물건입력'!B15="",TRUE(),ISNUMBER(SEARCH('02_대상물건입력'!B15,L2780)))),1,0))</f>
        <v/>
      </c>
      <c r="R2780" s="175">
        <f>IFERROR(ABS(E2780-'02_대상물건입력'!B11)/'02_대상물건입력'!B11,"")</f>
        <v/>
      </c>
      <c r="S2780" s="152">
        <f>IFERROR(ABS(J2780-'02_대상물건입력'!B10),"")</f>
        <v/>
      </c>
      <c r="T2780" s="152">
        <f>IFERROR(ABS('01_설정'!B4-F2780),"")</f>
        <v/>
      </c>
      <c r="U2780" s="152">
        <f>IFERROR(ABS(K2780-YEAR('02_대상물건입력'!B14)),"")</f>
        <v/>
      </c>
      <c r="V2780" s="152">
        <f>IF(B2780="","",IF(AND(E2780&gt;0,F2780&gt;0,H2780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2780=1,TRUE()),R2780&lt;='01_설정'!B5,S2780&lt;='01_설정'!B6,T2780&lt;='01_설정'!B7,U2780&lt;='01_설정'!B8),"Y",""))</f>
        <v/>
      </c>
      <c r="W2780" s="172">
        <f>IF(V2780&lt;&gt;"Y","",MAX(0,(1-R2780/'01_설정'!B5))*'01_설정'!B14+MAX(0,(1-S2780/'01_설정'!B6))*'01_설정'!B15+MAX(0,(1-T2780/'01_설정'!B7))*'01_설정'!B16+MAX(0,(1-U2780/'01_설정'!B8))*'01_설정'!B17+O2780*'01_설정'!B11+Q2780*'01_설정'!B12+P2780*'01_설정'!B13+IF(Z2780="",0,Z2780))</f>
        <v/>
      </c>
      <c r="X2780" s="152">
        <f>IF(W2780="","",1+COUNTIFS($W$4:$W$3003,"&gt;"&amp;W2780)+COUNTIFS($W$4:W2780,W2780)-1)</f>
        <v/>
      </c>
      <c r="Y2780" s="175">
        <f>IF(OR(I2780="",'02_대상물건입력'!B19="",'02_대상물건입력'!B19&lt;=0),"",ABS(I2780-'02_대상물건입력'!B19)/'02_대상물건입력'!B19)</f>
        <v/>
      </c>
      <c r="Z2780" s="172">
        <f>IF(OR(Y2780="",'01_설정'!B31="",'01_설정'!B31&lt;=0,'01_설정'!B32="",'01_설정'!B32&lt;=0),"",MAX(0,(1-Y2780/'01_설정'!B32))*'01_설정'!B31)</f>
        <v/>
      </c>
    </row>
    <row r="2781" ht="17.25" customHeight="1">
      <c r="A2781" s="152">
        <f>IF(INDEX('04A_국토부원자료'!$A:$A,ROW()+1)="","",ROW()-3)</f>
        <v/>
      </c>
      <c r="B2781" s="48">
        <f>IFERROR(INDEX('04A_국토부원자료'!$A:$T,ROW()+1,MATCH("시군구",'04A_국토부원자료'!$A$4:$T$4,0)),"")</f>
        <v/>
      </c>
      <c r="C2781" s="48">
        <f>IF(B2781="","",IFERROR(INDEX('04A_국토부원자료'!$A:$T,ROW()+1,MATCH("번지",'04A_국토부원자료'!$A$4:$T$4,0)),""))</f>
        <v/>
      </c>
      <c r="D2781" s="48">
        <f>IF(B2781="","",IF(Q2781=1,'02_대상물건입력'!$B$8,IFERROR(INDEX('04A_국토부원자료'!$A:$T,ROW()+1,MATCH("단지명",'04A_국토부원자료'!$A$4:$T$4,0)),"")))</f>
        <v/>
      </c>
      <c r="E2781" s="172">
        <f>IFERROR(VALUE(SUBSTITUTE(INDEX('04A_국토부원자료'!$A:$T,ROW()+1,MATCH("전용면적(㎡)",'04A_국토부원자료'!$A$4:$T$4,0)),",","")),"")</f>
        <v/>
      </c>
      <c r="F27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81" s="51">
        <f>IFERROR(VALUE(SUBSTITUTE(INDEX('04A_국토부원자료'!$A:$T,ROW()+1,MATCH("거래금액(만원)",'04A_국토부원자료'!$A$4:$T$4,0)),",","")),"")</f>
        <v/>
      </c>
      <c r="H2781" s="174">
        <f>IF(G2781="","",G2781*10000)</f>
        <v/>
      </c>
      <c r="I2781" s="174">
        <f>IFERROR(IF(AND(H2781&gt;0,E2781&gt;0),H2781/E2781,""),"")</f>
        <v/>
      </c>
      <c r="J2781" s="152">
        <f>IFERROR(VALUE(SUBSTITUTE(INDEX('04A_국토부원자료'!$A:$T,ROW()+1,MATCH("층",'04A_국토부원자료'!$A$4:$T$4,0)),",","")),"")</f>
        <v/>
      </c>
      <c r="K2781" s="152">
        <f>IFERROR(VALUE(SUBSTITUTE(INDEX('04A_국토부원자료'!$A:$T,ROW()+1,MATCH("건축년도",'04A_국토부원자료'!$A$4:$T$4,0)),",","")),"")</f>
        <v/>
      </c>
      <c r="L2781" s="48">
        <f>IFERROR(INDEX('04A_국토부원자료'!$A:$T,ROW()+1,MATCH("도로명",'04A_국토부원자료'!$A$4:$T$4,0)),"")</f>
        <v/>
      </c>
      <c r="M2781" s="48">
        <f>IFERROR(INDEX('04A_국토부원자료'!$A:$T,ROW()+1,MATCH("거래유형",'04A_국토부원자료'!$A$4:$T$4,0)),"")</f>
        <v/>
      </c>
      <c r="N2781" s="152">
        <f>IF(B2781="","",IF('02_대상물건입력'!B5="",1,IF(ISNUMBER(SEARCH('02_대상물건입력'!B5,B2781)),1,0)))</f>
        <v/>
      </c>
      <c r="O2781" s="152">
        <f>IF(B2781="","",IF('02_대상물건입력'!B6="",1,IF(ISNUMBER(SEARCH('02_대상물건입력'!B6,B2781)),1,0)))</f>
        <v/>
      </c>
      <c r="P2781" s="152">
        <f>IF(L2781="","",IF('02_대상물건입력'!B15="",0,IF(ISNUMBER(SEARCH('02_대상물건입력'!B15,L2781)),1,0)))</f>
        <v/>
      </c>
      <c r="Q2781" s="152">
        <f>IF(OR(C2781="",L2781=""),0,IF(AND(TRIM(C2781)=TRIM(RIGHT(SUBSTITUTE(TRIM('02_대상물건입력'!$B$7)," ",REPT(" ",99)),99)),IF('02_대상물건입력'!B15="",TRUE(),ISNUMBER(SEARCH('02_대상물건입력'!B15,L2781)))),1,0))</f>
        <v/>
      </c>
      <c r="R2781" s="175">
        <f>IFERROR(ABS(E2781-'02_대상물건입력'!B11)/'02_대상물건입력'!B11,"")</f>
        <v/>
      </c>
      <c r="S2781" s="152">
        <f>IFERROR(ABS(J2781-'02_대상물건입력'!B10),"")</f>
        <v/>
      </c>
      <c r="T2781" s="152">
        <f>IFERROR(ABS('01_설정'!B4-F2781),"")</f>
        <v/>
      </c>
      <c r="U2781" s="152">
        <f>IFERROR(ABS(K2781-YEAR('02_대상물건입력'!B14)),"")</f>
        <v/>
      </c>
      <c r="V2781" s="152">
        <f>IF(B2781="","",IF(AND(E2781&gt;0,F2781&gt;0,H2781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2781=1,TRUE()),R2781&lt;='01_설정'!B5,S2781&lt;='01_설정'!B6,T2781&lt;='01_설정'!B7,U2781&lt;='01_설정'!B8),"Y",""))</f>
        <v/>
      </c>
      <c r="W2781" s="172">
        <f>IF(V2781&lt;&gt;"Y","",MAX(0,(1-R2781/'01_설정'!B5))*'01_설정'!B14+MAX(0,(1-S2781/'01_설정'!B6))*'01_설정'!B15+MAX(0,(1-T2781/'01_설정'!B7))*'01_설정'!B16+MAX(0,(1-U2781/'01_설정'!B8))*'01_설정'!B17+O2781*'01_설정'!B11+Q2781*'01_설정'!B12+P2781*'01_설정'!B13+IF(Z2781="",0,Z2781))</f>
        <v/>
      </c>
      <c r="X2781" s="152">
        <f>IF(W2781="","",1+COUNTIFS($W$4:$W$3003,"&gt;"&amp;W2781)+COUNTIFS($W$4:W2781,W2781)-1)</f>
        <v/>
      </c>
      <c r="Y2781" s="175">
        <f>IF(OR(I2781="",'02_대상물건입력'!B19="",'02_대상물건입력'!B19&lt;=0),"",ABS(I2781-'02_대상물건입력'!B19)/'02_대상물건입력'!B19)</f>
        <v/>
      </c>
      <c r="Z2781" s="172">
        <f>IF(OR(Y2781="",'01_설정'!B31="",'01_설정'!B31&lt;=0,'01_설정'!B32="",'01_설정'!B32&lt;=0),"",MAX(0,(1-Y2781/'01_설정'!B32))*'01_설정'!B31)</f>
        <v/>
      </c>
    </row>
    <row r="2782" ht="17.25" customHeight="1">
      <c r="A2782" s="152">
        <f>IF(INDEX('04A_국토부원자료'!$A:$A,ROW()+1)="","",ROW()-3)</f>
        <v/>
      </c>
      <c r="B2782" s="48">
        <f>IFERROR(INDEX('04A_국토부원자료'!$A:$T,ROW()+1,MATCH("시군구",'04A_국토부원자료'!$A$4:$T$4,0)),"")</f>
        <v/>
      </c>
      <c r="C2782" s="48">
        <f>IF(B2782="","",IFERROR(INDEX('04A_국토부원자료'!$A:$T,ROW()+1,MATCH("번지",'04A_국토부원자료'!$A$4:$T$4,0)),""))</f>
        <v/>
      </c>
      <c r="D2782" s="48">
        <f>IF(B2782="","",IF(Q2782=1,'02_대상물건입력'!$B$8,IFERROR(INDEX('04A_국토부원자료'!$A:$T,ROW()+1,MATCH("단지명",'04A_국토부원자료'!$A$4:$T$4,0)),"")))</f>
        <v/>
      </c>
      <c r="E2782" s="172">
        <f>IFERROR(VALUE(SUBSTITUTE(INDEX('04A_국토부원자료'!$A:$T,ROW()+1,MATCH("전용면적(㎡)",'04A_국토부원자료'!$A$4:$T$4,0)),",","")),"")</f>
        <v/>
      </c>
      <c r="F27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82" s="51">
        <f>IFERROR(VALUE(SUBSTITUTE(INDEX('04A_국토부원자료'!$A:$T,ROW()+1,MATCH("거래금액(만원)",'04A_국토부원자료'!$A$4:$T$4,0)),",","")),"")</f>
        <v/>
      </c>
      <c r="H2782" s="174">
        <f>IF(G2782="","",G2782*10000)</f>
        <v/>
      </c>
      <c r="I2782" s="174">
        <f>IFERROR(IF(AND(H2782&gt;0,E2782&gt;0),H2782/E2782,""),"")</f>
        <v/>
      </c>
      <c r="J2782" s="152">
        <f>IFERROR(VALUE(SUBSTITUTE(INDEX('04A_국토부원자료'!$A:$T,ROW()+1,MATCH("층",'04A_국토부원자료'!$A$4:$T$4,0)),",","")),"")</f>
        <v/>
      </c>
      <c r="K2782" s="152">
        <f>IFERROR(VALUE(SUBSTITUTE(INDEX('04A_국토부원자료'!$A:$T,ROW()+1,MATCH("건축년도",'04A_국토부원자료'!$A$4:$T$4,0)),",","")),"")</f>
        <v/>
      </c>
      <c r="L2782" s="48">
        <f>IFERROR(INDEX('04A_국토부원자료'!$A:$T,ROW()+1,MATCH("도로명",'04A_국토부원자료'!$A$4:$T$4,0)),"")</f>
        <v/>
      </c>
      <c r="M2782" s="48">
        <f>IFERROR(INDEX('04A_국토부원자료'!$A:$T,ROW()+1,MATCH("거래유형",'04A_국토부원자료'!$A$4:$T$4,0)),"")</f>
        <v/>
      </c>
      <c r="N2782" s="152">
        <f>IF(B2782="","",IF('02_대상물건입력'!B5="",1,IF(ISNUMBER(SEARCH('02_대상물건입력'!B5,B2782)),1,0)))</f>
        <v/>
      </c>
      <c r="O2782" s="152">
        <f>IF(B2782="","",IF('02_대상물건입력'!B6="",1,IF(ISNUMBER(SEARCH('02_대상물건입력'!B6,B2782)),1,0)))</f>
        <v/>
      </c>
      <c r="P2782" s="152">
        <f>IF(L2782="","",IF('02_대상물건입력'!B15="",0,IF(ISNUMBER(SEARCH('02_대상물건입력'!B15,L2782)),1,0)))</f>
        <v/>
      </c>
      <c r="Q2782" s="152">
        <f>IF(OR(C2782="",L2782=""),0,IF(AND(TRIM(C2782)=TRIM(RIGHT(SUBSTITUTE(TRIM('02_대상물건입력'!$B$7)," ",REPT(" ",99)),99)),IF('02_대상물건입력'!B15="",TRUE(),ISNUMBER(SEARCH('02_대상물건입력'!B15,L2782)))),1,0))</f>
        <v/>
      </c>
      <c r="R2782" s="175">
        <f>IFERROR(ABS(E2782-'02_대상물건입력'!B11)/'02_대상물건입력'!B11,"")</f>
        <v/>
      </c>
      <c r="S2782" s="152">
        <f>IFERROR(ABS(J2782-'02_대상물건입력'!B10),"")</f>
        <v/>
      </c>
      <c r="T2782" s="152">
        <f>IFERROR(ABS('01_설정'!B4-F2782),"")</f>
        <v/>
      </c>
      <c r="U2782" s="152">
        <f>IFERROR(ABS(K2782-YEAR('02_대상물건입력'!B14)),"")</f>
        <v/>
      </c>
      <c r="V2782" s="152">
        <f>IF(B2782="","",IF(AND(E2782&gt;0,F2782&gt;0,H2782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2782=1,TRUE()),R2782&lt;='01_설정'!B5,S2782&lt;='01_설정'!B6,T2782&lt;='01_설정'!B7,U2782&lt;='01_설정'!B8),"Y",""))</f>
        <v/>
      </c>
      <c r="W2782" s="172">
        <f>IF(V2782&lt;&gt;"Y","",MAX(0,(1-R2782/'01_설정'!B5))*'01_설정'!B14+MAX(0,(1-S2782/'01_설정'!B6))*'01_설정'!B15+MAX(0,(1-T2782/'01_설정'!B7))*'01_설정'!B16+MAX(0,(1-U2782/'01_설정'!B8))*'01_설정'!B17+O2782*'01_설정'!B11+Q2782*'01_설정'!B12+P2782*'01_설정'!B13+IF(Z2782="",0,Z2782))</f>
        <v/>
      </c>
      <c r="X2782" s="152">
        <f>IF(W2782="","",1+COUNTIFS($W$4:$W$3003,"&gt;"&amp;W2782)+COUNTIFS($W$4:W2782,W2782)-1)</f>
        <v/>
      </c>
      <c r="Y2782" s="175">
        <f>IF(OR(I2782="",'02_대상물건입력'!B19="",'02_대상물건입력'!B19&lt;=0),"",ABS(I2782-'02_대상물건입력'!B19)/'02_대상물건입력'!B19)</f>
        <v/>
      </c>
      <c r="Z2782" s="172">
        <f>IF(OR(Y2782="",'01_설정'!B31="",'01_설정'!B31&lt;=0,'01_설정'!B32="",'01_설정'!B32&lt;=0),"",MAX(0,(1-Y2782/'01_설정'!B32))*'01_설정'!B31)</f>
        <v/>
      </c>
    </row>
    <row r="2783" ht="17.25" customHeight="1">
      <c r="A2783" s="152">
        <f>IF(INDEX('04A_국토부원자료'!$A:$A,ROW()+1)="","",ROW()-3)</f>
        <v/>
      </c>
      <c r="B2783" s="48">
        <f>IFERROR(INDEX('04A_국토부원자료'!$A:$T,ROW()+1,MATCH("시군구",'04A_국토부원자료'!$A$4:$T$4,0)),"")</f>
        <v/>
      </c>
      <c r="C2783" s="48">
        <f>IF(B2783="","",IFERROR(INDEX('04A_국토부원자료'!$A:$T,ROW()+1,MATCH("번지",'04A_국토부원자료'!$A$4:$T$4,0)),""))</f>
        <v/>
      </c>
      <c r="D2783" s="48">
        <f>IF(B2783="","",IF(Q2783=1,'02_대상물건입력'!$B$8,IFERROR(INDEX('04A_국토부원자료'!$A:$T,ROW()+1,MATCH("단지명",'04A_국토부원자료'!$A$4:$T$4,0)),"")))</f>
        <v/>
      </c>
      <c r="E2783" s="172">
        <f>IFERROR(VALUE(SUBSTITUTE(INDEX('04A_국토부원자료'!$A:$T,ROW()+1,MATCH("전용면적(㎡)",'04A_국토부원자료'!$A$4:$T$4,0)),",","")),"")</f>
        <v/>
      </c>
      <c r="F27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83" s="51">
        <f>IFERROR(VALUE(SUBSTITUTE(INDEX('04A_국토부원자료'!$A:$T,ROW()+1,MATCH("거래금액(만원)",'04A_국토부원자료'!$A$4:$T$4,0)),",","")),"")</f>
        <v/>
      </c>
      <c r="H2783" s="174">
        <f>IF(G2783="","",G2783*10000)</f>
        <v/>
      </c>
      <c r="I2783" s="174">
        <f>IFERROR(IF(AND(H2783&gt;0,E2783&gt;0),H2783/E2783,""),"")</f>
        <v/>
      </c>
      <c r="J2783" s="152">
        <f>IFERROR(VALUE(SUBSTITUTE(INDEX('04A_국토부원자료'!$A:$T,ROW()+1,MATCH("층",'04A_국토부원자료'!$A$4:$T$4,0)),",","")),"")</f>
        <v/>
      </c>
      <c r="K2783" s="152">
        <f>IFERROR(VALUE(SUBSTITUTE(INDEX('04A_국토부원자료'!$A:$T,ROW()+1,MATCH("건축년도",'04A_국토부원자료'!$A$4:$T$4,0)),",","")),"")</f>
        <v/>
      </c>
      <c r="L2783" s="48">
        <f>IFERROR(INDEX('04A_국토부원자료'!$A:$T,ROW()+1,MATCH("도로명",'04A_국토부원자료'!$A$4:$T$4,0)),"")</f>
        <v/>
      </c>
      <c r="M2783" s="48">
        <f>IFERROR(INDEX('04A_국토부원자료'!$A:$T,ROW()+1,MATCH("거래유형",'04A_국토부원자료'!$A$4:$T$4,0)),"")</f>
        <v/>
      </c>
      <c r="N2783" s="152">
        <f>IF(B2783="","",IF('02_대상물건입력'!B5="",1,IF(ISNUMBER(SEARCH('02_대상물건입력'!B5,B2783)),1,0)))</f>
        <v/>
      </c>
      <c r="O2783" s="152">
        <f>IF(B2783="","",IF('02_대상물건입력'!B6="",1,IF(ISNUMBER(SEARCH('02_대상물건입력'!B6,B2783)),1,0)))</f>
        <v/>
      </c>
      <c r="P2783" s="152">
        <f>IF(L2783="","",IF('02_대상물건입력'!B15="",0,IF(ISNUMBER(SEARCH('02_대상물건입력'!B15,L2783)),1,0)))</f>
        <v/>
      </c>
      <c r="Q2783" s="152">
        <f>IF(OR(C2783="",L2783=""),0,IF(AND(TRIM(C2783)=TRIM(RIGHT(SUBSTITUTE(TRIM('02_대상물건입력'!$B$7)," ",REPT(" ",99)),99)),IF('02_대상물건입력'!B15="",TRUE(),ISNUMBER(SEARCH('02_대상물건입력'!B15,L2783)))),1,0))</f>
        <v/>
      </c>
      <c r="R2783" s="175">
        <f>IFERROR(ABS(E2783-'02_대상물건입력'!B11)/'02_대상물건입력'!B11,"")</f>
        <v/>
      </c>
      <c r="S2783" s="152">
        <f>IFERROR(ABS(J2783-'02_대상물건입력'!B10),"")</f>
        <v/>
      </c>
      <c r="T2783" s="152">
        <f>IFERROR(ABS('01_설정'!B4-F2783),"")</f>
        <v/>
      </c>
      <c r="U2783" s="152">
        <f>IFERROR(ABS(K2783-YEAR('02_대상물건입력'!B14)),"")</f>
        <v/>
      </c>
      <c r="V2783" s="152">
        <f>IF(B2783="","",IF(AND(E2783&gt;0,F2783&gt;0,H2783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2783=1,TRUE()),R2783&lt;='01_설정'!B5,S2783&lt;='01_설정'!B6,T2783&lt;='01_설정'!B7,U2783&lt;='01_설정'!B8),"Y",""))</f>
        <v/>
      </c>
      <c r="W2783" s="172">
        <f>IF(V2783&lt;&gt;"Y","",MAX(0,(1-R2783/'01_설정'!B5))*'01_설정'!B14+MAX(0,(1-S2783/'01_설정'!B6))*'01_설정'!B15+MAX(0,(1-T2783/'01_설정'!B7))*'01_설정'!B16+MAX(0,(1-U2783/'01_설정'!B8))*'01_설정'!B17+O2783*'01_설정'!B11+Q2783*'01_설정'!B12+P2783*'01_설정'!B13+IF(Z2783="",0,Z2783))</f>
        <v/>
      </c>
      <c r="X2783" s="152">
        <f>IF(W2783="","",1+COUNTIFS($W$4:$W$3003,"&gt;"&amp;W2783)+COUNTIFS($W$4:W2783,W2783)-1)</f>
        <v/>
      </c>
      <c r="Y2783" s="175">
        <f>IF(OR(I2783="",'02_대상물건입력'!B19="",'02_대상물건입력'!B19&lt;=0),"",ABS(I2783-'02_대상물건입력'!B19)/'02_대상물건입력'!B19)</f>
        <v/>
      </c>
      <c r="Z2783" s="172">
        <f>IF(OR(Y2783="",'01_설정'!B31="",'01_설정'!B31&lt;=0,'01_설정'!B32="",'01_설정'!B32&lt;=0),"",MAX(0,(1-Y2783/'01_설정'!B32))*'01_설정'!B31)</f>
        <v/>
      </c>
    </row>
    <row r="2784" ht="17.25" customHeight="1">
      <c r="A2784" s="152">
        <f>IF(INDEX('04A_국토부원자료'!$A:$A,ROW()+1)="","",ROW()-3)</f>
        <v/>
      </c>
      <c r="B2784" s="48">
        <f>IFERROR(INDEX('04A_국토부원자료'!$A:$T,ROW()+1,MATCH("시군구",'04A_국토부원자료'!$A$4:$T$4,0)),"")</f>
        <v/>
      </c>
      <c r="C2784" s="48">
        <f>IF(B2784="","",IFERROR(INDEX('04A_국토부원자료'!$A:$T,ROW()+1,MATCH("번지",'04A_국토부원자료'!$A$4:$T$4,0)),""))</f>
        <v/>
      </c>
      <c r="D2784" s="48">
        <f>IF(B2784="","",IF(Q2784=1,'02_대상물건입력'!$B$8,IFERROR(INDEX('04A_국토부원자료'!$A:$T,ROW()+1,MATCH("단지명",'04A_국토부원자료'!$A$4:$T$4,0)),"")))</f>
        <v/>
      </c>
      <c r="E2784" s="172">
        <f>IFERROR(VALUE(SUBSTITUTE(INDEX('04A_국토부원자료'!$A:$T,ROW()+1,MATCH("전용면적(㎡)",'04A_국토부원자료'!$A$4:$T$4,0)),",","")),"")</f>
        <v/>
      </c>
      <c r="F27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84" s="51">
        <f>IFERROR(VALUE(SUBSTITUTE(INDEX('04A_국토부원자료'!$A:$T,ROW()+1,MATCH("거래금액(만원)",'04A_국토부원자료'!$A$4:$T$4,0)),",","")),"")</f>
        <v/>
      </c>
      <c r="H2784" s="174">
        <f>IF(G2784="","",G2784*10000)</f>
        <v/>
      </c>
      <c r="I2784" s="174">
        <f>IFERROR(IF(AND(H2784&gt;0,E2784&gt;0),H2784/E2784,""),"")</f>
        <v/>
      </c>
      <c r="J2784" s="152">
        <f>IFERROR(VALUE(SUBSTITUTE(INDEX('04A_국토부원자료'!$A:$T,ROW()+1,MATCH("층",'04A_국토부원자료'!$A$4:$T$4,0)),",","")),"")</f>
        <v/>
      </c>
      <c r="K2784" s="152">
        <f>IFERROR(VALUE(SUBSTITUTE(INDEX('04A_국토부원자료'!$A:$T,ROW()+1,MATCH("건축년도",'04A_국토부원자료'!$A$4:$T$4,0)),",","")),"")</f>
        <v/>
      </c>
      <c r="L2784" s="48">
        <f>IFERROR(INDEX('04A_국토부원자료'!$A:$T,ROW()+1,MATCH("도로명",'04A_국토부원자료'!$A$4:$T$4,0)),"")</f>
        <v/>
      </c>
      <c r="M2784" s="48">
        <f>IFERROR(INDEX('04A_국토부원자료'!$A:$T,ROW()+1,MATCH("거래유형",'04A_국토부원자료'!$A$4:$T$4,0)),"")</f>
        <v/>
      </c>
      <c r="N2784" s="152">
        <f>IF(B2784="","",IF('02_대상물건입력'!B5="",1,IF(ISNUMBER(SEARCH('02_대상물건입력'!B5,B2784)),1,0)))</f>
        <v/>
      </c>
      <c r="O2784" s="152">
        <f>IF(B2784="","",IF('02_대상물건입력'!B6="",1,IF(ISNUMBER(SEARCH('02_대상물건입력'!B6,B2784)),1,0)))</f>
        <v/>
      </c>
      <c r="P2784" s="152">
        <f>IF(L2784="","",IF('02_대상물건입력'!B15="",0,IF(ISNUMBER(SEARCH('02_대상물건입력'!B15,L2784)),1,0)))</f>
        <v/>
      </c>
      <c r="Q2784" s="152">
        <f>IF(OR(C2784="",L2784=""),0,IF(AND(TRIM(C2784)=TRIM(RIGHT(SUBSTITUTE(TRIM('02_대상물건입력'!$B$7)," ",REPT(" ",99)),99)),IF('02_대상물건입력'!B15="",TRUE(),ISNUMBER(SEARCH('02_대상물건입력'!B15,L2784)))),1,0))</f>
        <v/>
      </c>
      <c r="R2784" s="175">
        <f>IFERROR(ABS(E2784-'02_대상물건입력'!B11)/'02_대상물건입력'!B11,"")</f>
        <v/>
      </c>
      <c r="S2784" s="152">
        <f>IFERROR(ABS(J2784-'02_대상물건입력'!B10),"")</f>
        <v/>
      </c>
      <c r="T2784" s="152">
        <f>IFERROR(ABS('01_설정'!B4-F2784),"")</f>
        <v/>
      </c>
      <c r="U2784" s="152">
        <f>IFERROR(ABS(K2784-YEAR('02_대상물건입력'!B14)),"")</f>
        <v/>
      </c>
      <c r="V2784" s="152">
        <f>IF(B2784="","",IF(AND(E2784&gt;0,F2784&gt;0,H2784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2784=1,TRUE()),R2784&lt;='01_설정'!B5,S2784&lt;='01_설정'!B6,T2784&lt;='01_설정'!B7,U2784&lt;='01_설정'!B8),"Y",""))</f>
        <v/>
      </c>
      <c r="W2784" s="172">
        <f>IF(V2784&lt;&gt;"Y","",MAX(0,(1-R2784/'01_설정'!B5))*'01_설정'!B14+MAX(0,(1-S2784/'01_설정'!B6))*'01_설정'!B15+MAX(0,(1-T2784/'01_설정'!B7))*'01_설정'!B16+MAX(0,(1-U2784/'01_설정'!B8))*'01_설정'!B17+O2784*'01_설정'!B11+Q2784*'01_설정'!B12+P2784*'01_설정'!B13+IF(Z2784="",0,Z2784))</f>
        <v/>
      </c>
      <c r="X2784" s="152">
        <f>IF(W2784="","",1+COUNTIFS($W$4:$W$3003,"&gt;"&amp;W2784)+COUNTIFS($W$4:W2784,W2784)-1)</f>
        <v/>
      </c>
      <c r="Y2784" s="175">
        <f>IF(OR(I2784="",'02_대상물건입력'!B19="",'02_대상물건입력'!B19&lt;=0),"",ABS(I2784-'02_대상물건입력'!B19)/'02_대상물건입력'!B19)</f>
        <v/>
      </c>
      <c r="Z2784" s="172">
        <f>IF(OR(Y2784="",'01_설정'!B31="",'01_설정'!B31&lt;=0,'01_설정'!B32="",'01_설정'!B32&lt;=0),"",MAX(0,(1-Y2784/'01_설정'!B32))*'01_설정'!B31)</f>
        <v/>
      </c>
    </row>
    <row r="2785" ht="17.25" customHeight="1">
      <c r="A2785" s="152">
        <f>IF(INDEX('04A_국토부원자료'!$A:$A,ROW()+1)="","",ROW()-3)</f>
        <v/>
      </c>
      <c r="B2785" s="48">
        <f>IFERROR(INDEX('04A_국토부원자료'!$A:$T,ROW()+1,MATCH("시군구",'04A_국토부원자료'!$A$4:$T$4,0)),"")</f>
        <v/>
      </c>
      <c r="C2785" s="48">
        <f>IF(B2785="","",IFERROR(INDEX('04A_국토부원자료'!$A:$T,ROW()+1,MATCH("번지",'04A_국토부원자료'!$A$4:$T$4,0)),""))</f>
        <v/>
      </c>
      <c r="D2785" s="48">
        <f>IF(B2785="","",IF(Q2785=1,'02_대상물건입력'!$B$8,IFERROR(INDEX('04A_국토부원자료'!$A:$T,ROW()+1,MATCH("단지명",'04A_국토부원자료'!$A$4:$T$4,0)),"")))</f>
        <v/>
      </c>
      <c r="E2785" s="172">
        <f>IFERROR(VALUE(SUBSTITUTE(INDEX('04A_국토부원자료'!$A:$T,ROW()+1,MATCH("전용면적(㎡)",'04A_국토부원자료'!$A$4:$T$4,0)),",","")),"")</f>
        <v/>
      </c>
      <c r="F27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85" s="51">
        <f>IFERROR(VALUE(SUBSTITUTE(INDEX('04A_국토부원자료'!$A:$T,ROW()+1,MATCH("거래금액(만원)",'04A_국토부원자료'!$A$4:$T$4,0)),",","")),"")</f>
        <v/>
      </c>
      <c r="H2785" s="174">
        <f>IF(G2785="","",G2785*10000)</f>
        <v/>
      </c>
      <c r="I2785" s="174">
        <f>IFERROR(IF(AND(H2785&gt;0,E2785&gt;0),H2785/E2785,""),"")</f>
        <v/>
      </c>
      <c r="J2785" s="152">
        <f>IFERROR(VALUE(SUBSTITUTE(INDEX('04A_국토부원자료'!$A:$T,ROW()+1,MATCH("층",'04A_국토부원자료'!$A$4:$T$4,0)),",","")),"")</f>
        <v/>
      </c>
      <c r="K2785" s="152">
        <f>IFERROR(VALUE(SUBSTITUTE(INDEX('04A_국토부원자료'!$A:$T,ROW()+1,MATCH("건축년도",'04A_국토부원자료'!$A$4:$T$4,0)),",","")),"")</f>
        <v/>
      </c>
      <c r="L2785" s="48">
        <f>IFERROR(INDEX('04A_국토부원자료'!$A:$T,ROW()+1,MATCH("도로명",'04A_국토부원자료'!$A$4:$T$4,0)),"")</f>
        <v/>
      </c>
      <c r="M2785" s="48">
        <f>IFERROR(INDEX('04A_국토부원자료'!$A:$T,ROW()+1,MATCH("거래유형",'04A_국토부원자료'!$A$4:$T$4,0)),"")</f>
        <v/>
      </c>
      <c r="N2785" s="152">
        <f>IF(B2785="","",IF('02_대상물건입력'!B5="",1,IF(ISNUMBER(SEARCH('02_대상물건입력'!B5,B2785)),1,0)))</f>
        <v/>
      </c>
      <c r="O2785" s="152">
        <f>IF(B2785="","",IF('02_대상물건입력'!B6="",1,IF(ISNUMBER(SEARCH('02_대상물건입력'!B6,B2785)),1,0)))</f>
        <v/>
      </c>
      <c r="P2785" s="152">
        <f>IF(L2785="","",IF('02_대상물건입력'!B15="",0,IF(ISNUMBER(SEARCH('02_대상물건입력'!B15,L2785)),1,0)))</f>
        <v/>
      </c>
      <c r="Q2785" s="152">
        <f>IF(OR(C2785="",L2785=""),0,IF(AND(TRIM(C2785)=TRIM(RIGHT(SUBSTITUTE(TRIM('02_대상물건입력'!$B$7)," ",REPT(" ",99)),99)),IF('02_대상물건입력'!B15="",TRUE(),ISNUMBER(SEARCH('02_대상물건입력'!B15,L2785)))),1,0))</f>
        <v/>
      </c>
      <c r="R2785" s="175">
        <f>IFERROR(ABS(E2785-'02_대상물건입력'!B11)/'02_대상물건입력'!B11,"")</f>
        <v/>
      </c>
      <c r="S2785" s="152">
        <f>IFERROR(ABS(J2785-'02_대상물건입력'!B10),"")</f>
        <v/>
      </c>
      <c r="T2785" s="152">
        <f>IFERROR(ABS('01_설정'!B4-F2785),"")</f>
        <v/>
      </c>
      <c r="U2785" s="152">
        <f>IFERROR(ABS(K2785-YEAR('02_대상물건입력'!B14)),"")</f>
        <v/>
      </c>
      <c r="V2785" s="152">
        <f>IF(B2785="","",IF(AND(E2785&gt;0,F2785&gt;0,H2785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2785=1,TRUE()),R2785&lt;='01_설정'!B5,S2785&lt;='01_설정'!B6,T2785&lt;='01_설정'!B7,U2785&lt;='01_설정'!B8),"Y",""))</f>
        <v/>
      </c>
      <c r="W2785" s="172">
        <f>IF(V2785&lt;&gt;"Y","",MAX(0,(1-R2785/'01_설정'!B5))*'01_설정'!B14+MAX(0,(1-S2785/'01_설정'!B6))*'01_설정'!B15+MAX(0,(1-T2785/'01_설정'!B7))*'01_설정'!B16+MAX(0,(1-U2785/'01_설정'!B8))*'01_설정'!B17+O2785*'01_설정'!B11+Q2785*'01_설정'!B12+P2785*'01_설정'!B13+IF(Z2785="",0,Z2785))</f>
        <v/>
      </c>
      <c r="X2785" s="152">
        <f>IF(W2785="","",1+COUNTIFS($W$4:$W$3003,"&gt;"&amp;W2785)+COUNTIFS($W$4:W2785,W2785)-1)</f>
        <v/>
      </c>
      <c r="Y2785" s="175">
        <f>IF(OR(I2785="",'02_대상물건입력'!B19="",'02_대상물건입력'!B19&lt;=0),"",ABS(I2785-'02_대상물건입력'!B19)/'02_대상물건입력'!B19)</f>
        <v/>
      </c>
      <c r="Z2785" s="172">
        <f>IF(OR(Y2785="",'01_설정'!B31="",'01_설정'!B31&lt;=0,'01_설정'!B32="",'01_설정'!B32&lt;=0),"",MAX(0,(1-Y2785/'01_설정'!B32))*'01_설정'!B31)</f>
        <v/>
      </c>
    </row>
    <row r="2786" ht="17.25" customHeight="1">
      <c r="A2786" s="152">
        <f>IF(INDEX('04A_국토부원자료'!$A:$A,ROW()+1)="","",ROW()-3)</f>
        <v/>
      </c>
      <c r="B2786" s="48">
        <f>IFERROR(INDEX('04A_국토부원자료'!$A:$T,ROW()+1,MATCH("시군구",'04A_국토부원자료'!$A$4:$T$4,0)),"")</f>
        <v/>
      </c>
      <c r="C2786" s="48">
        <f>IF(B2786="","",IFERROR(INDEX('04A_국토부원자료'!$A:$T,ROW()+1,MATCH("번지",'04A_국토부원자료'!$A$4:$T$4,0)),""))</f>
        <v/>
      </c>
      <c r="D2786" s="48">
        <f>IF(B2786="","",IF(Q2786=1,'02_대상물건입력'!$B$8,IFERROR(INDEX('04A_국토부원자료'!$A:$T,ROW()+1,MATCH("단지명",'04A_국토부원자료'!$A$4:$T$4,0)),"")))</f>
        <v/>
      </c>
      <c r="E2786" s="172">
        <f>IFERROR(VALUE(SUBSTITUTE(INDEX('04A_국토부원자료'!$A:$T,ROW()+1,MATCH("전용면적(㎡)",'04A_국토부원자료'!$A$4:$T$4,0)),",","")),"")</f>
        <v/>
      </c>
      <c r="F27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86" s="51">
        <f>IFERROR(VALUE(SUBSTITUTE(INDEX('04A_국토부원자료'!$A:$T,ROW()+1,MATCH("거래금액(만원)",'04A_국토부원자료'!$A$4:$T$4,0)),",","")),"")</f>
        <v/>
      </c>
      <c r="H2786" s="174">
        <f>IF(G2786="","",G2786*10000)</f>
        <v/>
      </c>
      <c r="I2786" s="174">
        <f>IFERROR(IF(AND(H2786&gt;0,E2786&gt;0),H2786/E2786,""),"")</f>
        <v/>
      </c>
      <c r="J2786" s="152">
        <f>IFERROR(VALUE(SUBSTITUTE(INDEX('04A_국토부원자료'!$A:$T,ROW()+1,MATCH("층",'04A_국토부원자료'!$A$4:$T$4,0)),",","")),"")</f>
        <v/>
      </c>
      <c r="K2786" s="152">
        <f>IFERROR(VALUE(SUBSTITUTE(INDEX('04A_국토부원자료'!$A:$T,ROW()+1,MATCH("건축년도",'04A_국토부원자료'!$A$4:$T$4,0)),",","")),"")</f>
        <v/>
      </c>
      <c r="L2786" s="48">
        <f>IFERROR(INDEX('04A_국토부원자료'!$A:$T,ROW()+1,MATCH("도로명",'04A_국토부원자료'!$A$4:$T$4,0)),"")</f>
        <v/>
      </c>
      <c r="M2786" s="48">
        <f>IFERROR(INDEX('04A_국토부원자료'!$A:$T,ROW()+1,MATCH("거래유형",'04A_국토부원자료'!$A$4:$T$4,0)),"")</f>
        <v/>
      </c>
      <c r="N2786" s="152">
        <f>IF(B2786="","",IF('02_대상물건입력'!B5="",1,IF(ISNUMBER(SEARCH('02_대상물건입력'!B5,B2786)),1,0)))</f>
        <v/>
      </c>
      <c r="O2786" s="152">
        <f>IF(B2786="","",IF('02_대상물건입력'!B6="",1,IF(ISNUMBER(SEARCH('02_대상물건입력'!B6,B2786)),1,0)))</f>
        <v/>
      </c>
      <c r="P2786" s="152">
        <f>IF(L2786="","",IF('02_대상물건입력'!B15="",0,IF(ISNUMBER(SEARCH('02_대상물건입력'!B15,L2786)),1,0)))</f>
        <v/>
      </c>
      <c r="Q2786" s="152">
        <f>IF(OR(C2786="",L2786=""),0,IF(AND(TRIM(C2786)=TRIM(RIGHT(SUBSTITUTE(TRIM('02_대상물건입력'!$B$7)," ",REPT(" ",99)),99)),IF('02_대상물건입력'!B15="",TRUE(),ISNUMBER(SEARCH('02_대상물건입력'!B15,L2786)))),1,0))</f>
        <v/>
      </c>
      <c r="R2786" s="175">
        <f>IFERROR(ABS(E2786-'02_대상물건입력'!B11)/'02_대상물건입력'!B11,"")</f>
        <v/>
      </c>
      <c r="S2786" s="152">
        <f>IFERROR(ABS(J2786-'02_대상물건입력'!B10),"")</f>
        <v/>
      </c>
      <c r="T2786" s="152">
        <f>IFERROR(ABS('01_설정'!B4-F2786),"")</f>
        <v/>
      </c>
      <c r="U2786" s="152">
        <f>IFERROR(ABS(K2786-YEAR('02_대상물건입력'!B14)),"")</f>
        <v/>
      </c>
      <c r="V2786" s="152">
        <f>IF(B2786="","",IF(AND(E2786&gt;0,F2786&gt;0,H2786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2786=1,TRUE()),R2786&lt;='01_설정'!B5,S2786&lt;='01_설정'!B6,T2786&lt;='01_설정'!B7,U2786&lt;='01_설정'!B8),"Y",""))</f>
        <v/>
      </c>
      <c r="W2786" s="172">
        <f>IF(V2786&lt;&gt;"Y","",MAX(0,(1-R2786/'01_설정'!B5))*'01_설정'!B14+MAX(0,(1-S2786/'01_설정'!B6))*'01_설정'!B15+MAX(0,(1-T2786/'01_설정'!B7))*'01_설정'!B16+MAX(0,(1-U2786/'01_설정'!B8))*'01_설정'!B17+O2786*'01_설정'!B11+Q2786*'01_설정'!B12+P2786*'01_설정'!B13+IF(Z2786="",0,Z2786))</f>
        <v/>
      </c>
      <c r="X2786" s="152">
        <f>IF(W2786="","",1+COUNTIFS($W$4:$W$3003,"&gt;"&amp;W2786)+COUNTIFS($W$4:W2786,W2786)-1)</f>
        <v/>
      </c>
      <c r="Y2786" s="175">
        <f>IF(OR(I2786="",'02_대상물건입력'!B19="",'02_대상물건입력'!B19&lt;=0),"",ABS(I2786-'02_대상물건입력'!B19)/'02_대상물건입력'!B19)</f>
        <v/>
      </c>
      <c r="Z2786" s="172">
        <f>IF(OR(Y2786="",'01_설정'!B31="",'01_설정'!B31&lt;=0,'01_설정'!B32="",'01_설정'!B32&lt;=0),"",MAX(0,(1-Y2786/'01_설정'!B32))*'01_설정'!B31)</f>
        <v/>
      </c>
    </row>
    <row r="2787" ht="17.25" customHeight="1">
      <c r="A2787" s="152">
        <f>IF(INDEX('04A_국토부원자료'!$A:$A,ROW()+1)="","",ROW()-3)</f>
        <v/>
      </c>
      <c r="B2787" s="48">
        <f>IFERROR(INDEX('04A_국토부원자료'!$A:$T,ROW()+1,MATCH("시군구",'04A_국토부원자료'!$A$4:$T$4,0)),"")</f>
        <v/>
      </c>
      <c r="C2787" s="48">
        <f>IF(B2787="","",IFERROR(INDEX('04A_국토부원자료'!$A:$T,ROW()+1,MATCH("번지",'04A_국토부원자료'!$A$4:$T$4,0)),""))</f>
        <v/>
      </c>
      <c r="D2787" s="48">
        <f>IF(B2787="","",IF(Q2787=1,'02_대상물건입력'!$B$8,IFERROR(INDEX('04A_국토부원자료'!$A:$T,ROW()+1,MATCH("단지명",'04A_국토부원자료'!$A$4:$T$4,0)),"")))</f>
        <v/>
      </c>
      <c r="E2787" s="172">
        <f>IFERROR(VALUE(SUBSTITUTE(INDEX('04A_국토부원자료'!$A:$T,ROW()+1,MATCH("전용면적(㎡)",'04A_국토부원자료'!$A$4:$T$4,0)),",","")),"")</f>
        <v/>
      </c>
      <c r="F27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87" s="51">
        <f>IFERROR(VALUE(SUBSTITUTE(INDEX('04A_국토부원자료'!$A:$T,ROW()+1,MATCH("거래금액(만원)",'04A_국토부원자료'!$A$4:$T$4,0)),",","")),"")</f>
        <v/>
      </c>
      <c r="H2787" s="174">
        <f>IF(G2787="","",G2787*10000)</f>
        <v/>
      </c>
      <c r="I2787" s="174">
        <f>IFERROR(IF(AND(H2787&gt;0,E2787&gt;0),H2787/E2787,""),"")</f>
        <v/>
      </c>
      <c r="J2787" s="152">
        <f>IFERROR(VALUE(SUBSTITUTE(INDEX('04A_국토부원자료'!$A:$T,ROW()+1,MATCH("층",'04A_국토부원자료'!$A$4:$T$4,0)),",","")),"")</f>
        <v/>
      </c>
      <c r="K2787" s="152">
        <f>IFERROR(VALUE(SUBSTITUTE(INDEX('04A_국토부원자료'!$A:$T,ROW()+1,MATCH("건축년도",'04A_국토부원자료'!$A$4:$T$4,0)),",","")),"")</f>
        <v/>
      </c>
      <c r="L2787" s="48">
        <f>IFERROR(INDEX('04A_국토부원자료'!$A:$T,ROW()+1,MATCH("도로명",'04A_국토부원자료'!$A$4:$T$4,0)),"")</f>
        <v/>
      </c>
      <c r="M2787" s="48">
        <f>IFERROR(INDEX('04A_국토부원자료'!$A:$T,ROW()+1,MATCH("거래유형",'04A_국토부원자료'!$A$4:$T$4,0)),"")</f>
        <v/>
      </c>
      <c r="N2787" s="152">
        <f>IF(B2787="","",IF('02_대상물건입력'!B5="",1,IF(ISNUMBER(SEARCH('02_대상물건입력'!B5,B2787)),1,0)))</f>
        <v/>
      </c>
      <c r="O2787" s="152">
        <f>IF(B2787="","",IF('02_대상물건입력'!B6="",1,IF(ISNUMBER(SEARCH('02_대상물건입력'!B6,B2787)),1,0)))</f>
        <v/>
      </c>
      <c r="P2787" s="152">
        <f>IF(L2787="","",IF('02_대상물건입력'!B15="",0,IF(ISNUMBER(SEARCH('02_대상물건입력'!B15,L2787)),1,0)))</f>
        <v/>
      </c>
      <c r="Q2787" s="152">
        <f>IF(OR(C2787="",L2787=""),0,IF(AND(TRIM(C2787)=TRIM(RIGHT(SUBSTITUTE(TRIM('02_대상물건입력'!$B$7)," ",REPT(" ",99)),99)),IF('02_대상물건입력'!B15="",TRUE(),ISNUMBER(SEARCH('02_대상물건입력'!B15,L2787)))),1,0))</f>
        <v/>
      </c>
      <c r="R2787" s="175">
        <f>IFERROR(ABS(E2787-'02_대상물건입력'!B11)/'02_대상물건입력'!B11,"")</f>
        <v/>
      </c>
      <c r="S2787" s="152">
        <f>IFERROR(ABS(J2787-'02_대상물건입력'!B10),"")</f>
        <v/>
      </c>
      <c r="T2787" s="152">
        <f>IFERROR(ABS('01_설정'!B4-F2787),"")</f>
        <v/>
      </c>
      <c r="U2787" s="152">
        <f>IFERROR(ABS(K2787-YEAR('02_대상물건입력'!B14)),"")</f>
        <v/>
      </c>
      <c r="V2787" s="152">
        <f>IF(B2787="","",IF(AND(E2787&gt;0,F2787&gt;0,H2787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2787=1,TRUE()),R2787&lt;='01_설정'!B5,S2787&lt;='01_설정'!B6,T2787&lt;='01_설정'!B7,U2787&lt;='01_설정'!B8),"Y",""))</f>
        <v/>
      </c>
      <c r="W2787" s="172">
        <f>IF(V2787&lt;&gt;"Y","",MAX(0,(1-R2787/'01_설정'!B5))*'01_설정'!B14+MAX(0,(1-S2787/'01_설정'!B6))*'01_설정'!B15+MAX(0,(1-T2787/'01_설정'!B7))*'01_설정'!B16+MAX(0,(1-U2787/'01_설정'!B8))*'01_설정'!B17+O2787*'01_설정'!B11+Q2787*'01_설정'!B12+P2787*'01_설정'!B13+IF(Z2787="",0,Z2787))</f>
        <v/>
      </c>
      <c r="X2787" s="152">
        <f>IF(W2787="","",1+COUNTIFS($W$4:$W$3003,"&gt;"&amp;W2787)+COUNTIFS($W$4:W2787,W2787)-1)</f>
        <v/>
      </c>
      <c r="Y2787" s="175">
        <f>IF(OR(I2787="",'02_대상물건입력'!B19="",'02_대상물건입력'!B19&lt;=0),"",ABS(I2787-'02_대상물건입력'!B19)/'02_대상물건입력'!B19)</f>
        <v/>
      </c>
      <c r="Z2787" s="172">
        <f>IF(OR(Y2787="",'01_설정'!B31="",'01_설정'!B31&lt;=0,'01_설정'!B32="",'01_설정'!B32&lt;=0),"",MAX(0,(1-Y2787/'01_설정'!B32))*'01_설정'!B31)</f>
        <v/>
      </c>
    </row>
    <row r="2788" ht="17.25" customHeight="1">
      <c r="A2788" s="152">
        <f>IF(INDEX('04A_국토부원자료'!$A:$A,ROW()+1)="","",ROW()-3)</f>
        <v/>
      </c>
      <c r="B2788" s="48">
        <f>IFERROR(INDEX('04A_국토부원자료'!$A:$T,ROW()+1,MATCH("시군구",'04A_국토부원자료'!$A$4:$T$4,0)),"")</f>
        <v/>
      </c>
      <c r="C2788" s="48">
        <f>IF(B2788="","",IFERROR(INDEX('04A_국토부원자료'!$A:$T,ROW()+1,MATCH("번지",'04A_국토부원자료'!$A$4:$T$4,0)),""))</f>
        <v/>
      </c>
      <c r="D2788" s="48">
        <f>IF(B2788="","",IF(Q2788=1,'02_대상물건입력'!$B$8,IFERROR(INDEX('04A_국토부원자료'!$A:$T,ROW()+1,MATCH("단지명",'04A_국토부원자료'!$A$4:$T$4,0)),"")))</f>
        <v/>
      </c>
      <c r="E2788" s="172">
        <f>IFERROR(VALUE(SUBSTITUTE(INDEX('04A_국토부원자료'!$A:$T,ROW()+1,MATCH("전용면적(㎡)",'04A_국토부원자료'!$A$4:$T$4,0)),",","")),"")</f>
        <v/>
      </c>
      <c r="F27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88" s="51">
        <f>IFERROR(VALUE(SUBSTITUTE(INDEX('04A_국토부원자료'!$A:$T,ROW()+1,MATCH("거래금액(만원)",'04A_국토부원자료'!$A$4:$T$4,0)),",","")),"")</f>
        <v/>
      </c>
      <c r="H2788" s="174">
        <f>IF(G2788="","",G2788*10000)</f>
        <v/>
      </c>
      <c r="I2788" s="174">
        <f>IFERROR(IF(AND(H2788&gt;0,E2788&gt;0),H2788/E2788,""),"")</f>
        <v/>
      </c>
      <c r="J2788" s="152">
        <f>IFERROR(VALUE(SUBSTITUTE(INDEX('04A_국토부원자료'!$A:$T,ROW()+1,MATCH("층",'04A_국토부원자료'!$A$4:$T$4,0)),",","")),"")</f>
        <v/>
      </c>
      <c r="K2788" s="152">
        <f>IFERROR(VALUE(SUBSTITUTE(INDEX('04A_국토부원자료'!$A:$T,ROW()+1,MATCH("건축년도",'04A_국토부원자료'!$A$4:$T$4,0)),",","")),"")</f>
        <v/>
      </c>
      <c r="L2788" s="48">
        <f>IFERROR(INDEX('04A_국토부원자료'!$A:$T,ROW()+1,MATCH("도로명",'04A_국토부원자료'!$A$4:$T$4,0)),"")</f>
        <v/>
      </c>
      <c r="M2788" s="48">
        <f>IFERROR(INDEX('04A_국토부원자료'!$A:$T,ROW()+1,MATCH("거래유형",'04A_국토부원자료'!$A$4:$T$4,0)),"")</f>
        <v/>
      </c>
      <c r="N2788" s="152">
        <f>IF(B2788="","",IF('02_대상물건입력'!B5="",1,IF(ISNUMBER(SEARCH('02_대상물건입력'!B5,B2788)),1,0)))</f>
        <v/>
      </c>
      <c r="O2788" s="152">
        <f>IF(B2788="","",IF('02_대상물건입력'!B6="",1,IF(ISNUMBER(SEARCH('02_대상물건입력'!B6,B2788)),1,0)))</f>
        <v/>
      </c>
      <c r="P2788" s="152">
        <f>IF(L2788="","",IF('02_대상물건입력'!B15="",0,IF(ISNUMBER(SEARCH('02_대상물건입력'!B15,L2788)),1,0)))</f>
        <v/>
      </c>
      <c r="Q2788" s="152">
        <f>IF(OR(C2788="",L2788=""),0,IF(AND(TRIM(C2788)=TRIM(RIGHT(SUBSTITUTE(TRIM('02_대상물건입력'!$B$7)," ",REPT(" ",99)),99)),IF('02_대상물건입력'!B15="",TRUE(),ISNUMBER(SEARCH('02_대상물건입력'!B15,L2788)))),1,0))</f>
        <v/>
      </c>
      <c r="R2788" s="175">
        <f>IFERROR(ABS(E2788-'02_대상물건입력'!B11)/'02_대상물건입력'!B11,"")</f>
        <v/>
      </c>
      <c r="S2788" s="152">
        <f>IFERROR(ABS(J2788-'02_대상물건입력'!B10),"")</f>
        <v/>
      </c>
      <c r="T2788" s="152">
        <f>IFERROR(ABS('01_설정'!B4-F2788),"")</f>
        <v/>
      </c>
      <c r="U2788" s="152">
        <f>IFERROR(ABS(K2788-YEAR('02_대상물건입력'!B14)),"")</f>
        <v/>
      </c>
      <c r="V2788" s="152">
        <f>IF(B2788="","",IF(AND(E2788&gt;0,F2788&gt;0,H2788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2788=1,TRUE()),R2788&lt;='01_설정'!B5,S2788&lt;='01_설정'!B6,T2788&lt;='01_설정'!B7,U2788&lt;='01_설정'!B8),"Y",""))</f>
        <v/>
      </c>
      <c r="W2788" s="172">
        <f>IF(V2788&lt;&gt;"Y","",MAX(0,(1-R2788/'01_설정'!B5))*'01_설정'!B14+MAX(0,(1-S2788/'01_설정'!B6))*'01_설정'!B15+MAX(0,(1-T2788/'01_설정'!B7))*'01_설정'!B16+MAX(0,(1-U2788/'01_설정'!B8))*'01_설정'!B17+O2788*'01_설정'!B11+Q2788*'01_설정'!B12+P2788*'01_설정'!B13+IF(Z2788="",0,Z2788))</f>
        <v/>
      </c>
      <c r="X2788" s="152">
        <f>IF(W2788="","",1+COUNTIFS($W$4:$W$3003,"&gt;"&amp;W2788)+COUNTIFS($W$4:W2788,W2788)-1)</f>
        <v/>
      </c>
      <c r="Y2788" s="175">
        <f>IF(OR(I2788="",'02_대상물건입력'!B19="",'02_대상물건입력'!B19&lt;=0),"",ABS(I2788-'02_대상물건입력'!B19)/'02_대상물건입력'!B19)</f>
        <v/>
      </c>
      <c r="Z2788" s="172">
        <f>IF(OR(Y2788="",'01_설정'!B31="",'01_설정'!B31&lt;=0,'01_설정'!B32="",'01_설정'!B32&lt;=0),"",MAX(0,(1-Y2788/'01_설정'!B32))*'01_설정'!B31)</f>
        <v/>
      </c>
    </row>
    <row r="2789" ht="17.25" customHeight="1">
      <c r="A2789" s="152">
        <f>IF(INDEX('04A_국토부원자료'!$A:$A,ROW()+1)="","",ROW()-3)</f>
        <v/>
      </c>
      <c r="B2789" s="48">
        <f>IFERROR(INDEX('04A_국토부원자료'!$A:$T,ROW()+1,MATCH("시군구",'04A_국토부원자료'!$A$4:$T$4,0)),"")</f>
        <v/>
      </c>
      <c r="C2789" s="48">
        <f>IF(B2789="","",IFERROR(INDEX('04A_국토부원자료'!$A:$T,ROW()+1,MATCH("번지",'04A_국토부원자료'!$A$4:$T$4,0)),""))</f>
        <v/>
      </c>
      <c r="D2789" s="48">
        <f>IF(B2789="","",IF(Q2789=1,'02_대상물건입력'!$B$8,IFERROR(INDEX('04A_국토부원자료'!$A:$T,ROW()+1,MATCH("단지명",'04A_국토부원자료'!$A$4:$T$4,0)),"")))</f>
        <v/>
      </c>
      <c r="E2789" s="172">
        <f>IFERROR(VALUE(SUBSTITUTE(INDEX('04A_국토부원자료'!$A:$T,ROW()+1,MATCH("전용면적(㎡)",'04A_국토부원자료'!$A$4:$T$4,0)),",","")),"")</f>
        <v/>
      </c>
      <c r="F27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89" s="51">
        <f>IFERROR(VALUE(SUBSTITUTE(INDEX('04A_국토부원자료'!$A:$T,ROW()+1,MATCH("거래금액(만원)",'04A_국토부원자료'!$A$4:$T$4,0)),",","")),"")</f>
        <v/>
      </c>
      <c r="H2789" s="174">
        <f>IF(G2789="","",G2789*10000)</f>
        <v/>
      </c>
      <c r="I2789" s="174">
        <f>IFERROR(IF(AND(H2789&gt;0,E2789&gt;0),H2789/E2789,""),"")</f>
        <v/>
      </c>
      <c r="J2789" s="152">
        <f>IFERROR(VALUE(SUBSTITUTE(INDEX('04A_국토부원자료'!$A:$T,ROW()+1,MATCH("층",'04A_국토부원자료'!$A$4:$T$4,0)),",","")),"")</f>
        <v/>
      </c>
      <c r="K2789" s="152">
        <f>IFERROR(VALUE(SUBSTITUTE(INDEX('04A_국토부원자료'!$A:$T,ROW()+1,MATCH("건축년도",'04A_국토부원자료'!$A$4:$T$4,0)),",","")),"")</f>
        <v/>
      </c>
      <c r="L2789" s="48">
        <f>IFERROR(INDEX('04A_국토부원자료'!$A:$T,ROW()+1,MATCH("도로명",'04A_국토부원자료'!$A$4:$T$4,0)),"")</f>
        <v/>
      </c>
      <c r="M2789" s="48">
        <f>IFERROR(INDEX('04A_국토부원자료'!$A:$T,ROW()+1,MATCH("거래유형",'04A_국토부원자료'!$A$4:$T$4,0)),"")</f>
        <v/>
      </c>
      <c r="N2789" s="152">
        <f>IF(B2789="","",IF('02_대상물건입력'!B5="",1,IF(ISNUMBER(SEARCH('02_대상물건입력'!B5,B2789)),1,0)))</f>
        <v/>
      </c>
      <c r="O2789" s="152">
        <f>IF(B2789="","",IF('02_대상물건입력'!B6="",1,IF(ISNUMBER(SEARCH('02_대상물건입력'!B6,B2789)),1,0)))</f>
        <v/>
      </c>
      <c r="P2789" s="152">
        <f>IF(L2789="","",IF('02_대상물건입력'!B15="",0,IF(ISNUMBER(SEARCH('02_대상물건입력'!B15,L2789)),1,0)))</f>
        <v/>
      </c>
      <c r="Q2789" s="152">
        <f>IF(OR(C2789="",L2789=""),0,IF(AND(TRIM(C2789)=TRIM(RIGHT(SUBSTITUTE(TRIM('02_대상물건입력'!$B$7)," ",REPT(" ",99)),99)),IF('02_대상물건입력'!B15="",TRUE(),ISNUMBER(SEARCH('02_대상물건입력'!B15,L2789)))),1,0))</f>
        <v/>
      </c>
      <c r="R2789" s="175">
        <f>IFERROR(ABS(E2789-'02_대상물건입력'!B11)/'02_대상물건입력'!B11,"")</f>
        <v/>
      </c>
      <c r="S2789" s="152">
        <f>IFERROR(ABS(J2789-'02_대상물건입력'!B10),"")</f>
        <v/>
      </c>
      <c r="T2789" s="152">
        <f>IFERROR(ABS('01_설정'!B4-F2789),"")</f>
        <v/>
      </c>
      <c r="U2789" s="152">
        <f>IFERROR(ABS(K2789-YEAR('02_대상물건입력'!B14)),"")</f>
        <v/>
      </c>
      <c r="V2789" s="152">
        <f>IF(B2789="","",IF(AND(E2789&gt;0,F2789&gt;0,H2789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2789=1,TRUE()),R2789&lt;='01_설정'!B5,S2789&lt;='01_설정'!B6,T2789&lt;='01_설정'!B7,U2789&lt;='01_설정'!B8),"Y",""))</f>
        <v/>
      </c>
      <c r="W2789" s="172">
        <f>IF(V2789&lt;&gt;"Y","",MAX(0,(1-R2789/'01_설정'!B5))*'01_설정'!B14+MAX(0,(1-S2789/'01_설정'!B6))*'01_설정'!B15+MAX(0,(1-T2789/'01_설정'!B7))*'01_설정'!B16+MAX(0,(1-U2789/'01_설정'!B8))*'01_설정'!B17+O2789*'01_설정'!B11+Q2789*'01_설정'!B12+P2789*'01_설정'!B13+IF(Z2789="",0,Z2789))</f>
        <v/>
      </c>
      <c r="X2789" s="152">
        <f>IF(W2789="","",1+COUNTIFS($W$4:$W$3003,"&gt;"&amp;W2789)+COUNTIFS($W$4:W2789,W2789)-1)</f>
        <v/>
      </c>
      <c r="Y2789" s="175">
        <f>IF(OR(I2789="",'02_대상물건입력'!B19="",'02_대상물건입력'!B19&lt;=0),"",ABS(I2789-'02_대상물건입력'!B19)/'02_대상물건입력'!B19)</f>
        <v/>
      </c>
      <c r="Z2789" s="172">
        <f>IF(OR(Y2789="",'01_설정'!B31="",'01_설정'!B31&lt;=0,'01_설정'!B32="",'01_설정'!B32&lt;=0),"",MAX(0,(1-Y2789/'01_설정'!B32))*'01_설정'!B31)</f>
        <v/>
      </c>
    </row>
    <row r="2790" ht="17.25" customHeight="1">
      <c r="A2790" s="152">
        <f>IF(INDEX('04A_국토부원자료'!$A:$A,ROW()+1)="","",ROW()-3)</f>
        <v/>
      </c>
      <c r="B2790" s="48">
        <f>IFERROR(INDEX('04A_국토부원자료'!$A:$T,ROW()+1,MATCH("시군구",'04A_국토부원자료'!$A$4:$T$4,0)),"")</f>
        <v/>
      </c>
      <c r="C2790" s="48">
        <f>IF(B2790="","",IFERROR(INDEX('04A_국토부원자료'!$A:$T,ROW()+1,MATCH("번지",'04A_국토부원자료'!$A$4:$T$4,0)),""))</f>
        <v/>
      </c>
      <c r="D2790" s="48">
        <f>IF(B2790="","",IF(Q2790=1,'02_대상물건입력'!$B$8,IFERROR(INDEX('04A_국토부원자료'!$A:$T,ROW()+1,MATCH("단지명",'04A_국토부원자료'!$A$4:$T$4,0)),"")))</f>
        <v/>
      </c>
      <c r="E2790" s="172">
        <f>IFERROR(VALUE(SUBSTITUTE(INDEX('04A_국토부원자료'!$A:$T,ROW()+1,MATCH("전용면적(㎡)",'04A_국토부원자료'!$A$4:$T$4,0)),",","")),"")</f>
        <v/>
      </c>
      <c r="F27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90" s="51">
        <f>IFERROR(VALUE(SUBSTITUTE(INDEX('04A_국토부원자료'!$A:$T,ROW()+1,MATCH("거래금액(만원)",'04A_국토부원자료'!$A$4:$T$4,0)),",","")),"")</f>
        <v/>
      </c>
      <c r="H2790" s="174">
        <f>IF(G2790="","",G2790*10000)</f>
        <v/>
      </c>
      <c r="I2790" s="174">
        <f>IFERROR(IF(AND(H2790&gt;0,E2790&gt;0),H2790/E2790,""),"")</f>
        <v/>
      </c>
      <c r="J2790" s="152">
        <f>IFERROR(VALUE(SUBSTITUTE(INDEX('04A_국토부원자료'!$A:$T,ROW()+1,MATCH("층",'04A_국토부원자료'!$A$4:$T$4,0)),",","")),"")</f>
        <v/>
      </c>
      <c r="K2790" s="152">
        <f>IFERROR(VALUE(SUBSTITUTE(INDEX('04A_국토부원자료'!$A:$T,ROW()+1,MATCH("건축년도",'04A_국토부원자료'!$A$4:$T$4,0)),",","")),"")</f>
        <v/>
      </c>
      <c r="L2790" s="48">
        <f>IFERROR(INDEX('04A_국토부원자료'!$A:$T,ROW()+1,MATCH("도로명",'04A_국토부원자료'!$A$4:$T$4,0)),"")</f>
        <v/>
      </c>
      <c r="M2790" s="48">
        <f>IFERROR(INDEX('04A_국토부원자료'!$A:$T,ROW()+1,MATCH("거래유형",'04A_국토부원자료'!$A$4:$T$4,0)),"")</f>
        <v/>
      </c>
      <c r="N2790" s="152">
        <f>IF(B2790="","",IF('02_대상물건입력'!B5="",1,IF(ISNUMBER(SEARCH('02_대상물건입력'!B5,B2790)),1,0)))</f>
        <v/>
      </c>
      <c r="O2790" s="152">
        <f>IF(B2790="","",IF('02_대상물건입력'!B6="",1,IF(ISNUMBER(SEARCH('02_대상물건입력'!B6,B2790)),1,0)))</f>
        <v/>
      </c>
      <c r="P2790" s="152">
        <f>IF(L2790="","",IF('02_대상물건입력'!B15="",0,IF(ISNUMBER(SEARCH('02_대상물건입력'!B15,L2790)),1,0)))</f>
        <v/>
      </c>
      <c r="Q2790" s="152">
        <f>IF(OR(C2790="",L2790=""),0,IF(AND(TRIM(C2790)=TRIM(RIGHT(SUBSTITUTE(TRIM('02_대상물건입력'!$B$7)," ",REPT(" ",99)),99)),IF('02_대상물건입력'!B15="",TRUE(),ISNUMBER(SEARCH('02_대상물건입력'!B15,L2790)))),1,0))</f>
        <v/>
      </c>
      <c r="R2790" s="175">
        <f>IFERROR(ABS(E2790-'02_대상물건입력'!B11)/'02_대상물건입력'!B11,"")</f>
        <v/>
      </c>
      <c r="S2790" s="152">
        <f>IFERROR(ABS(J2790-'02_대상물건입력'!B10),"")</f>
        <v/>
      </c>
      <c r="T2790" s="152">
        <f>IFERROR(ABS('01_설정'!B4-F2790),"")</f>
        <v/>
      </c>
      <c r="U2790" s="152">
        <f>IFERROR(ABS(K2790-YEAR('02_대상물건입력'!B14)),"")</f>
        <v/>
      </c>
      <c r="V2790" s="152">
        <f>IF(B2790="","",IF(AND(E2790&gt;0,F2790&gt;0,H2790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2790=1,TRUE()),R2790&lt;='01_설정'!B5,S2790&lt;='01_설정'!B6,T2790&lt;='01_설정'!B7,U2790&lt;='01_설정'!B8),"Y",""))</f>
        <v/>
      </c>
      <c r="W2790" s="172">
        <f>IF(V2790&lt;&gt;"Y","",MAX(0,(1-R2790/'01_설정'!B5))*'01_설정'!B14+MAX(0,(1-S2790/'01_설정'!B6))*'01_설정'!B15+MAX(0,(1-T2790/'01_설정'!B7))*'01_설정'!B16+MAX(0,(1-U2790/'01_설정'!B8))*'01_설정'!B17+O2790*'01_설정'!B11+Q2790*'01_설정'!B12+P2790*'01_설정'!B13+IF(Z2790="",0,Z2790))</f>
        <v/>
      </c>
      <c r="X2790" s="152">
        <f>IF(W2790="","",1+COUNTIFS($W$4:$W$3003,"&gt;"&amp;W2790)+COUNTIFS($W$4:W2790,W2790)-1)</f>
        <v/>
      </c>
      <c r="Y2790" s="175">
        <f>IF(OR(I2790="",'02_대상물건입력'!B19="",'02_대상물건입력'!B19&lt;=0),"",ABS(I2790-'02_대상물건입력'!B19)/'02_대상물건입력'!B19)</f>
        <v/>
      </c>
      <c r="Z2790" s="172">
        <f>IF(OR(Y2790="",'01_설정'!B31="",'01_설정'!B31&lt;=0,'01_설정'!B32="",'01_설정'!B32&lt;=0),"",MAX(0,(1-Y2790/'01_설정'!B32))*'01_설정'!B31)</f>
        <v/>
      </c>
    </row>
    <row r="2791" ht="17.25" customHeight="1">
      <c r="A2791" s="152">
        <f>IF(INDEX('04A_국토부원자료'!$A:$A,ROW()+1)="","",ROW()-3)</f>
        <v/>
      </c>
      <c r="B2791" s="48">
        <f>IFERROR(INDEX('04A_국토부원자료'!$A:$T,ROW()+1,MATCH("시군구",'04A_국토부원자료'!$A$4:$T$4,0)),"")</f>
        <v/>
      </c>
      <c r="C2791" s="48">
        <f>IF(B2791="","",IFERROR(INDEX('04A_국토부원자료'!$A:$T,ROW()+1,MATCH("번지",'04A_국토부원자료'!$A$4:$T$4,0)),""))</f>
        <v/>
      </c>
      <c r="D2791" s="48">
        <f>IF(B2791="","",IF(Q2791=1,'02_대상물건입력'!$B$8,IFERROR(INDEX('04A_국토부원자료'!$A:$T,ROW()+1,MATCH("단지명",'04A_국토부원자료'!$A$4:$T$4,0)),"")))</f>
        <v/>
      </c>
      <c r="E2791" s="172">
        <f>IFERROR(VALUE(SUBSTITUTE(INDEX('04A_국토부원자료'!$A:$T,ROW()+1,MATCH("전용면적(㎡)",'04A_국토부원자료'!$A$4:$T$4,0)),",","")),"")</f>
        <v/>
      </c>
      <c r="F27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91" s="51">
        <f>IFERROR(VALUE(SUBSTITUTE(INDEX('04A_국토부원자료'!$A:$T,ROW()+1,MATCH("거래금액(만원)",'04A_국토부원자료'!$A$4:$T$4,0)),",","")),"")</f>
        <v/>
      </c>
      <c r="H2791" s="174">
        <f>IF(G2791="","",G2791*10000)</f>
        <v/>
      </c>
      <c r="I2791" s="174">
        <f>IFERROR(IF(AND(H2791&gt;0,E2791&gt;0),H2791/E2791,""),"")</f>
        <v/>
      </c>
      <c r="J2791" s="152">
        <f>IFERROR(VALUE(SUBSTITUTE(INDEX('04A_국토부원자료'!$A:$T,ROW()+1,MATCH("층",'04A_국토부원자료'!$A$4:$T$4,0)),",","")),"")</f>
        <v/>
      </c>
      <c r="K2791" s="152">
        <f>IFERROR(VALUE(SUBSTITUTE(INDEX('04A_국토부원자료'!$A:$T,ROW()+1,MATCH("건축년도",'04A_국토부원자료'!$A$4:$T$4,0)),",","")),"")</f>
        <v/>
      </c>
      <c r="L2791" s="48">
        <f>IFERROR(INDEX('04A_국토부원자료'!$A:$T,ROW()+1,MATCH("도로명",'04A_국토부원자료'!$A$4:$T$4,0)),"")</f>
        <v/>
      </c>
      <c r="M2791" s="48">
        <f>IFERROR(INDEX('04A_국토부원자료'!$A:$T,ROW()+1,MATCH("거래유형",'04A_국토부원자료'!$A$4:$T$4,0)),"")</f>
        <v/>
      </c>
      <c r="N2791" s="152">
        <f>IF(B2791="","",IF('02_대상물건입력'!B5="",1,IF(ISNUMBER(SEARCH('02_대상물건입력'!B5,B2791)),1,0)))</f>
        <v/>
      </c>
      <c r="O2791" s="152">
        <f>IF(B2791="","",IF('02_대상물건입력'!B6="",1,IF(ISNUMBER(SEARCH('02_대상물건입력'!B6,B2791)),1,0)))</f>
        <v/>
      </c>
      <c r="P2791" s="152">
        <f>IF(L2791="","",IF('02_대상물건입력'!B15="",0,IF(ISNUMBER(SEARCH('02_대상물건입력'!B15,L2791)),1,0)))</f>
        <v/>
      </c>
      <c r="Q2791" s="152">
        <f>IF(OR(C2791="",L2791=""),0,IF(AND(TRIM(C2791)=TRIM(RIGHT(SUBSTITUTE(TRIM('02_대상물건입력'!$B$7)," ",REPT(" ",99)),99)),IF('02_대상물건입력'!B15="",TRUE(),ISNUMBER(SEARCH('02_대상물건입력'!B15,L2791)))),1,0))</f>
        <v/>
      </c>
      <c r="R2791" s="175">
        <f>IFERROR(ABS(E2791-'02_대상물건입력'!B11)/'02_대상물건입력'!B11,"")</f>
        <v/>
      </c>
      <c r="S2791" s="152">
        <f>IFERROR(ABS(J2791-'02_대상물건입력'!B10),"")</f>
        <v/>
      </c>
      <c r="T2791" s="152">
        <f>IFERROR(ABS('01_설정'!B4-F2791),"")</f>
        <v/>
      </c>
      <c r="U2791" s="152">
        <f>IFERROR(ABS(K2791-YEAR('02_대상물건입력'!B14)),"")</f>
        <v/>
      </c>
      <c r="V2791" s="152">
        <f>IF(B2791="","",IF(AND(E2791&gt;0,F2791&gt;0,H2791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2791=1,TRUE()),R2791&lt;='01_설정'!B5,S2791&lt;='01_설정'!B6,T2791&lt;='01_설정'!B7,U2791&lt;='01_설정'!B8),"Y",""))</f>
        <v/>
      </c>
      <c r="W2791" s="172">
        <f>IF(V2791&lt;&gt;"Y","",MAX(0,(1-R2791/'01_설정'!B5))*'01_설정'!B14+MAX(0,(1-S2791/'01_설정'!B6))*'01_설정'!B15+MAX(0,(1-T2791/'01_설정'!B7))*'01_설정'!B16+MAX(0,(1-U2791/'01_설정'!B8))*'01_설정'!B17+O2791*'01_설정'!B11+Q2791*'01_설정'!B12+P2791*'01_설정'!B13+IF(Z2791="",0,Z2791))</f>
        <v/>
      </c>
      <c r="X2791" s="152">
        <f>IF(W2791="","",1+COUNTIFS($W$4:$W$3003,"&gt;"&amp;W2791)+COUNTIFS($W$4:W2791,W2791)-1)</f>
        <v/>
      </c>
      <c r="Y2791" s="175">
        <f>IF(OR(I2791="",'02_대상물건입력'!B19="",'02_대상물건입력'!B19&lt;=0),"",ABS(I2791-'02_대상물건입력'!B19)/'02_대상물건입력'!B19)</f>
        <v/>
      </c>
      <c r="Z2791" s="172">
        <f>IF(OR(Y2791="",'01_설정'!B31="",'01_설정'!B31&lt;=0,'01_설정'!B32="",'01_설정'!B32&lt;=0),"",MAX(0,(1-Y2791/'01_설정'!B32))*'01_설정'!B31)</f>
        <v/>
      </c>
    </row>
    <row r="2792" ht="17.25" customHeight="1">
      <c r="A2792" s="152">
        <f>IF(INDEX('04A_국토부원자료'!$A:$A,ROW()+1)="","",ROW()-3)</f>
        <v/>
      </c>
      <c r="B2792" s="48">
        <f>IFERROR(INDEX('04A_국토부원자료'!$A:$T,ROW()+1,MATCH("시군구",'04A_국토부원자료'!$A$4:$T$4,0)),"")</f>
        <v/>
      </c>
      <c r="C2792" s="48">
        <f>IF(B2792="","",IFERROR(INDEX('04A_국토부원자료'!$A:$T,ROW()+1,MATCH("번지",'04A_국토부원자료'!$A$4:$T$4,0)),""))</f>
        <v/>
      </c>
      <c r="D2792" s="48">
        <f>IF(B2792="","",IF(Q2792=1,'02_대상물건입력'!$B$8,IFERROR(INDEX('04A_국토부원자료'!$A:$T,ROW()+1,MATCH("단지명",'04A_국토부원자료'!$A$4:$T$4,0)),"")))</f>
        <v/>
      </c>
      <c r="E2792" s="172">
        <f>IFERROR(VALUE(SUBSTITUTE(INDEX('04A_국토부원자료'!$A:$T,ROW()+1,MATCH("전용면적(㎡)",'04A_국토부원자료'!$A$4:$T$4,0)),",","")),"")</f>
        <v/>
      </c>
      <c r="F27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92" s="51">
        <f>IFERROR(VALUE(SUBSTITUTE(INDEX('04A_국토부원자료'!$A:$T,ROW()+1,MATCH("거래금액(만원)",'04A_국토부원자료'!$A$4:$T$4,0)),",","")),"")</f>
        <v/>
      </c>
      <c r="H2792" s="174">
        <f>IF(G2792="","",G2792*10000)</f>
        <v/>
      </c>
      <c r="I2792" s="174">
        <f>IFERROR(IF(AND(H2792&gt;0,E2792&gt;0),H2792/E2792,""),"")</f>
        <v/>
      </c>
      <c r="J2792" s="152">
        <f>IFERROR(VALUE(SUBSTITUTE(INDEX('04A_국토부원자료'!$A:$T,ROW()+1,MATCH("층",'04A_국토부원자료'!$A$4:$T$4,0)),",","")),"")</f>
        <v/>
      </c>
      <c r="K2792" s="152">
        <f>IFERROR(VALUE(SUBSTITUTE(INDEX('04A_국토부원자료'!$A:$T,ROW()+1,MATCH("건축년도",'04A_국토부원자료'!$A$4:$T$4,0)),",","")),"")</f>
        <v/>
      </c>
      <c r="L2792" s="48">
        <f>IFERROR(INDEX('04A_국토부원자료'!$A:$T,ROW()+1,MATCH("도로명",'04A_국토부원자료'!$A$4:$T$4,0)),"")</f>
        <v/>
      </c>
      <c r="M2792" s="48">
        <f>IFERROR(INDEX('04A_국토부원자료'!$A:$T,ROW()+1,MATCH("거래유형",'04A_국토부원자료'!$A$4:$T$4,0)),"")</f>
        <v/>
      </c>
      <c r="N2792" s="152">
        <f>IF(B2792="","",IF('02_대상물건입력'!B5="",1,IF(ISNUMBER(SEARCH('02_대상물건입력'!B5,B2792)),1,0)))</f>
        <v/>
      </c>
      <c r="O2792" s="152">
        <f>IF(B2792="","",IF('02_대상물건입력'!B6="",1,IF(ISNUMBER(SEARCH('02_대상물건입력'!B6,B2792)),1,0)))</f>
        <v/>
      </c>
      <c r="P2792" s="152">
        <f>IF(L2792="","",IF('02_대상물건입력'!B15="",0,IF(ISNUMBER(SEARCH('02_대상물건입력'!B15,L2792)),1,0)))</f>
        <v/>
      </c>
      <c r="Q2792" s="152">
        <f>IF(OR(C2792="",L2792=""),0,IF(AND(TRIM(C2792)=TRIM(RIGHT(SUBSTITUTE(TRIM('02_대상물건입력'!$B$7)," ",REPT(" ",99)),99)),IF('02_대상물건입력'!B15="",TRUE(),ISNUMBER(SEARCH('02_대상물건입력'!B15,L2792)))),1,0))</f>
        <v/>
      </c>
      <c r="R2792" s="175">
        <f>IFERROR(ABS(E2792-'02_대상물건입력'!B11)/'02_대상물건입력'!B11,"")</f>
        <v/>
      </c>
      <c r="S2792" s="152">
        <f>IFERROR(ABS(J2792-'02_대상물건입력'!B10),"")</f>
        <v/>
      </c>
      <c r="T2792" s="152">
        <f>IFERROR(ABS('01_설정'!B4-F2792),"")</f>
        <v/>
      </c>
      <c r="U2792" s="152">
        <f>IFERROR(ABS(K2792-YEAR('02_대상물건입력'!B14)),"")</f>
        <v/>
      </c>
      <c r="V2792" s="152">
        <f>IF(B2792="","",IF(AND(E2792&gt;0,F2792&gt;0,H2792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2792=1,TRUE()),R2792&lt;='01_설정'!B5,S2792&lt;='01_설정'!B6,T2792&lt;='01_설정'!B7,U2792&lt;='01_설정'!B8),"Y",""))</f>
        <v/>
      </c>
      <c r="W2792" s="172">
        <f>IF(V2792&lt;&gt;"Y","",MAX(0,(1-R2792/'01_설정'!B5))*'01_설정'!B14+MAX(0,(1-S2792/'01_설정'!B6))*'01_설정'!B15+MAX(0,(1-T2792/'01_설정'!B7))*'01_설정'!B16+MAX(0,(1-U2792/'01_설정'!B8))*'01_설정'!B17+O2792*'01_설정'!B11+Q2792*'01_설정'!B12+P2792*'01_설정'!B13+IF(Z2792="",0,Z2792))</f>
        <v/>
      </c>
      <c r="X2792" s="152">
        <f>IF(W2792="","",1+COUNTIFS($W$4:$W$3003,"&gt;"&amp;W2792)+COUNTIFS($W$4:W2792,W2792)-1)</f>
        <v/>
      </c>
      <c r="Y2792" s="175">
        <f>IF(OR(I2792="",'02_대상물건입력'!B19="",'02_대상물건입력'!B19&lt;=0),"",ABS(I2792-'02_대상물건입력'!B19)/'02_대상물건입력'!B19)</f>
        <v/>
      </c>
      <c r="Z2792" s="172">
        <f>IF(OR(Y2792="",'01_설정'!B31="",'01_설정'!B31&lt;=0,'01_설정'!B32="",'01_설정'!B32&lt;=0),"",MAX(0,(1-Y2792/'01_설정'!B32))*'01_설정'!B31)</f>
        <v/>
      </c>
    </row>
    <row r="2793" ht="17.25" customHeight="1">
      <c r="A2793" s="152">
        <f>IF(INDEX('04A_국토부원자료'!$A:$A,ROW()+1)="","",ROW()-3)</f>
        <v/>
      </c>
      <c r="B2793" s="48">
        <f>IFERROR(INDEX('04A_국토부원자료'!$A:$T,ROW()+1,MATCH("시군구",'04A_국토부원자료'!$A$4:$T$4,0)),"")</f>
        <v/>
      </c>
      <c r="C2793" s="48">
        <f>IF(B2793="","",IFERROR(INDEX('04A_국토부원자료'!$A:$T,ROW()+1,MATCH("번지",'04A_국토부원자료'!$A$4:$T$4,0)),""))</f>
        <v/>
      </c>
      <c r="D2793" s="48">
        <f>IF(B2793="","",IF(Q2793=1,'02_대상물건입력'!$B$8,IFERROR(INDEX('04A_국토부원자료'!$A:$T,ROW()+1,MATCH("단지명",'04A_국토부원자료'!$A$4:$T$4,0)),"")))</f>
        <v/>
      </c>
      <c r="E2793" s="172">
        <f>IFERROR(VALUE(SUBSTITUTE(INDEX('04A_국토부원자료'!$A:$T,ROW()+1,MATCH("전용면적(㎡)",'04A_국토부원자료'!$A$4:$T$4,0)),",","")),"")</f>
        <v/>
      </c>
      <c r="F27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93" s="51">
        <f>IFERROR(VALUE(SUBSTITUTE(INDEX('04A_국토부원자료'!$A:$T,ROW()+1,MATCH("거래금액(만원)",'04A_국토부원자료'!$A$4:$T$4,0)),",","")),"")</f>
        <v/>
      </c>
      <c r="H2793" s="174">
        <f>IF(G2793="","",G2793*10000)</f>
        <v/>
      </c>
      <c r="I2793" s="174">
        <f>IFERROR(IF(AND(H2793&gt;0,E2793&gt;0),H2793/E2793,""),"")</f>
        <v/>
      </c>
      <c r="J2793" s="152">
        <f>IFERROR(VALUE(SUBSTITUTE(INDEX('04A_국토부원자료'!$A:$T,ROW()+1,MATCH("층",'04A_국토부원자료'!$A$4:$T$4,0)),",","")),"")</f>
        <v/>
      </c>
      <c r="K2793" s="152">
        <f>IFERROR(VALUE(SUBSTITUTE(INDEX('04A_국토부원자료'!$A:$T,ROW()+1,MATCH("건축년도",'04A_국토부원자료'!$A$4:$T$4,0)),",","")),"")</f>
        <v/>
      </c>
      <c r="L2793" s="48">
        <f>IFERROR(INDEX('04A_국토부원자료'!$A:$T,ROW()+1,MATCH("도로명",'04A_국토부원자료'!$A$4:$T$4,0)),"")</f>
        <v/>
      </c>
      <c r="M2793" s="48">
        <f>IFERROR(INDEX('04A_국토부원자료'!$A:$T,ROW()+1,MATCH("거래유형",'04A_국토부원자료'!$A$4:$T$4,0)),"")</f>
        <v/>
      </c>
      <c r="N2793" s="152">
        <f>IF(B2793="","",IF('02_대상물건입력'!B5="",1,IF(ISNUMBER(SEARCH('02_대상물건입력'!B5,B2793)),1,0)))</f>
        <v/>
      </c>
      <c r="O2793" s="152">
        <f>IF(B2793="","",IF('02_대상물건입력'!B6="",1,IF(ISNUMBER(SEARCH('02_대상물건입력'!B6,B2793)),1,0)))</f>
        <v/>
      </c>
      <c r="P2793" s="152">
        <f>IF(L2793="","",IF('02_대상물건입력'!B15="",0,IF(ISNUMBER(SEARCH('02_대상물건입력'!B15,L2793)),1,0)))</f>
        <v/>
      </c>
      <c r="Q2793" s="152">
        <f>IF(OR(C2793="",L2793=""),0,IF(AND(TRIM(C2793)=TRIM(RIGHT(SUBSTITUTE(TRIM('02_대상물건입력'!$B$7)," ",REPT(" ",99)),99)),IF('02_대상물건입력'!B15="",TRUE(),ISNUMBER(SEARCH('02_대상물건입력'!B15,L2793)))),1,0))</f>
        <v/>
      </c>
      <c r="R2793" s="175">
        <f>IFERROR(ABS(E2793-'02_대상물건입력'!B11)/'02_대상물건입력'!B11,"")</f>
        <v/>
      </c>
      <c r="S2793" s="152">
        <f>IFERROR(ABS(J2793-'02_대상물건입력'!B10),"")</f>
        <v/>
      </c>
      <c r="T2793" s="152">
        <f>IFERROR(ABS('01_설정'!B4-F2793),"")</f>
        <v/>
      </c>
      <c r="U2793" s="152">
        <f>IFERROR(ABS(K2793-YEAR('02_대상물건입력'!B14)),"")</f>
        <v/>
      </c>
      <c r="V2793" s="152">
        <f>IF(B2793="","",IF(AND(E2793&gt;0,F2793&gt;0,H2793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2793=1,TRUE()),R2793&lt;='01_설정'!B5,S2793&lt;='01_설정'!B6,T2793&lt;='01_설정'!B7,U2793&lt;='01_설정'!B8),"Y",""))</f>
        <v/>
      </c>
      <c r="W2793" s="172">
        <f>IF(V2793&lt;&gt;"Y","",MAX(0,(1-R2793/'01_설정'!B5))*'01_설정'!B14+MAX(0,(1-S2793/'01_설정'!B6))*'01_설정'!B15+MAX(0,(1-T2793/'01_설정'!B7))*'01_설정'!B16+MAX(0,(1-U2793/'01_설정'!B8))*'01_설정'!B17+O2793*'01_설정'!B11+Q2793*'01_설정'!B12+P2793*'01_설정'!B13+IF(Z2793="",0,Z2793))</f>
        <v/>
      </c>
      <c r="X2793" s="152">
        <f>IF(W2793="","",1+COUNTIFS($W$4:$W$3003,"&gt;"&amp;W2793)+COUNTIFS($W$4:W2793,W2793)-1)</f>
        <v/>
      </c>
      <c r="Y2793" s="175">
        <f>IF(OR(I2793="",'02_대상물건입력'!B19="",'02_대상물건입력'!B19&lt;=0),"",ABS(I2793-'02_대상물건입력'!B19)/'02_대상물건입력'!B19)</f>
        <v/>
      </c>
      <c r="Z2793" s="172">
        <f>IF(OR(Y2793="",'01_설정'!B31="",'01_설정'!B31&lt;=0,'01_설정'!B32="",'01_설정'!B32&lt;=0),"",MAX(0,(1-Y2793/'01_설정'!B32))*'01_설정'!B31)</f>
        <v/>
      </c>
    </row>
    <row r="2794" ht="17.25" customHeight="1">
      <c r="A2794" s="152">
        <f>IF(INDEX('04A_국토부원자료'!$A:$A,ROW()+1)="","",ROW()-3)</f>
        <v/>
      </c>
      <c r="B2794" s="48">
        <f>IFERROR(INDEX('04A_국토부원자료'!$A:$T,ROW()+1,MATCH("시군구",'04A_국토부원자료'!$A$4:$T$4,0)),"")</f>
        <v/>
      </c>
      <c r="C2794" s="48">
        <f>IF(B2794="","",IFERROR(INDEX('04A_국토부원자료'!$A:$T,ROW()+1,MATCH("번지",'04A_국토부원자료'!$A$4:$T$4,0)),""))</f>
        <v/>
      </c>
      <c r="D2794" s="48">
        <f>IF(B2794="","",IF(Q2794=1,'02_대상물건입력'!$B$8,IFERROR(INDEX('04A_국토부원자료'!$A:$T,ROW()+1,MATCH("단지명",'04A_국토부원자료'!$A$4:$T$4,0)),"")))</f>
        <v/>
      </c>
      <c r="E2794" s="172">
        <f>IFERROR(VALUE(SUBSTITUTE(INDEX('04A_국토부원자료'!$A:$T,ROW()+1,MATCH("전용면적(㎡)",'04A_국토부원자료'!$A$4:$T$4,0)),",","")),"")</f>
        <v/>
      </c>
      <c r="F27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94" s="51">
        <f>IFERROR(VALUE(SUBSTITUTE(INDEX('04A_국토부원자료'!$A:$T,ROW()+1,MATCH("거래금액(만원)",'04A_국토부원자료'!$A$4:$T$4,0)),",","")),"")</f>
        <v/>
      </c>
      <c r="H2794" s="174">
        <f>IF(G2794="","",G2794*10000)</f>
        <v/>
      </c>
      <c r="I2794" s="174">
        <f>IFERROR(IF(AND(H2794&gt;0,E2794&gt;0),H2794/E2794,""),"")</f>
        <v/>
      </c>
      <c r="J2794" s="152">
        <f>IFERROR(VALUE(SUBSTITUTE(INDEX('04A_국토부원자료'!$A:$T,ROW()+1,MATCH("층",'04A_국토부원자료'!$A$4:$T$4,0)),",","")),"")</f>
        <v/>
      </c>
      <c r="K2794" s="152">
        <f>IFERROR(VALUE(SUBSTITUTE(INDEX('04A_국토부원자료'!$A:$T,ROW()+1,MATCH("건축년도",'04A_국토부원자료'!$A$4:$T$4,0)),",","")),"")</f>
        <v/>
      </c>
      <c r="L2794" s="48">
        <f>IFERROR(INDEX('04A_국토부원자료'!$A:$T,ROW()+1,MATCH("도로명",'04A_국토부원자료'!$A$4:$T$4,0)),"")</f>
        <v/>
      </c>
      <c r="M2794" s="48">
        <f>IFERROR(INDEX('04A_국토부원자료'!$A:$T,ROW()+1,MATCH("거래유형",'04A_국토부원자료'!$A$4:$T$4,0)),"")</f>
        <v/>
      </c>
      <c r="N2794" s="152">
        <f>IF(B2794="","",IF('02_대상물건입력'!B5="",1,IF(ISNUMBER(SEARCH('02_대상물건입력'!B5,B2794)),1,0)))</f>
        <v/>
      </c>
      <c r="O2794" s="152">
        <f>IF(B2794="","",IF('02_대상물건입력'!B6="",1,IF(ISNUMBER(SEARCH('02_대상물건입력'!B6,B2794)),1,0)))</f>
        <v/>
      </c>
      <c r="P2794" s="152">
        <f>IF(L2794="","",IF('02_대상물건입력'!B15="",0,IF(ISNUMBER(SEARCH('02_대상물건입력'!B15,L2794)),1,0)))</f>
        <v/>
      </c>
      <c r="Q2794" s="152">
        <f>IF(OR(C2794="",L2794=""),0,IF(AND(TRIM(C2794)=TRIM(RIGHT(SUBSTITUTE(TRIM('02_대상물건입력'!$B$7)," ",REPT(" ",99)),99)),IF('02_대상물건입력'!B15="",TRUE(),ISNUMBER(SEARCH('02_대상물건입력'!B15,L2794)))),1,0))</f>
        <v/>
      </c>
      <c r="R2794" s="175">
        <f>IFERROR(ABS(E2794-'02_대상물건입력'!B11)/'02_대상물건입력'!B11,"")</f>
        <v/>
      </c>
      <c r="S2794" s="152">
        <f>IFERROR(ABS(J2794-'02_대상물건입력'!B10),"")</f>
        <v/>
      </c>
      <c r="T2794" s="152">
        <f>IFERROR(ABS('01_설정'!B4-F2794),"")</f>
        <v/>
      </c>
      <c r="U2794" s="152">
        <f>IFERROR(ABS(K2794-YEAR('02_대상물건입력'!B14)),"")</f>
        <v/>
      </c>
      <c r="V2794" s="152">
        <f>IF(B2794="","",IF(AND(E2794&gt;0,F2794&gt;0,H2794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2794=1,TRUE()),R2794&lt;='01_설정'!B5,S2794&lt;='01_설정'!B6,T2794&lt;='01_설정'!B7,U2794&lt;='01_설정'!B8),"Y",""))</f>
        <v/>
      </c>
      <c r="W2794" s="172">
        <f>IF(V2794&lt;&gt;"Y","",MAX(0,(1-R2794/'01_설정'!B5))*'01_설정'!B14+MAX(0,(1-S2794/'01_설정'!B6))*'01_설정'!B15+MAX(0,(1-T2794/'01_설정'!B7))*'01_설정'!B16+MAX(0,(1-U2794/'01_설정'!B8))*'01_설정'!B17+O2794*'01_설정'!B11+Q2794*'01_설정'!B12+P2794*'01_설정'!B13+IF(Z2794="",0,Z2794))</f>
        <v/>
      </c>
      <c r="X2794" s="152">
        <f>IF(W2794="","",1+COUNTIFS($W$4:$W$3003,"&gt;"&amp;W2794)+COUNTIFS($W$4:W2794,W2794)-1)</f>
        <v/>
      </c>
      <c r="Y2794" s="175">
        <f>IF(OR(I2794="",'02_대상물건입력'!B19="",'02_대상물건입력'!B19&lt;=0),"",ABS(I2794-'02_대상물건입력'!B19)/'02_대상물건입력'!B19)</f>
        <v/>
      </c>
      <c r="Z2794" s="172">
        <f>IF(OR(Y2794="",'01_설정'!B31="",'01_설정'!B31&lt;=0,'01_설정'!B32="",'01_설정'!B32&lt;=0),"",MAX(0,(1-Y2794/'01_설정'!B32))*'01_설정'!B31)</f>
        <v/>
      </c>
    </row>
    <row r="2795" ht="17.25" customHeight="1">
      <c r="A2795" s="152">
        <f>IF(INDEX('04A_국토부원자료'!$A:$A,ROW()+1)="","",ROW()-3)</f>
        <v/>
      </c>
      <c r="B2795" s="48">
        <f>IFERROR(INDEX('04A_국토부원자료'!$A:$T,ROW()+1,MATCH("시군구",'04A_국토부원자료'!$A$4:$T$4,0)),"")</f>
        <v/>
      </c>
      <c r="C2795" s="48">
        <f>IF(B2795="","",IFERROR(INDEX('04A_국토부원자료'!$A:$T,ROW()+1,MATCH("번지",'04A_국토부원자료'!$A$4:$T$4,0)),""))</f>
        <v/>
      </c>
      <c r="D2795" s="48">
        <f>IF(B2795="","",IF(Q2795=1,'02_대상물건입력'!$B$8,IFERROR(INDEX('04A_국토부원자료'!$A:$T,ROW()+1,MATCH("단지명",'04A_국토부원자료'!$A$4:$T$4,0)),"")))</f>
        <v/>
      </c>
      <c r="E2795" s="172">
        <f>IFERROR(VALUE(SUBSTITUTE(INDEX('04A_국토부원자료'!$A:$T,ROW()+1,MATCH("전용면적(㎡)",'04A_국토부원자료'!$A$4:$T$4,0)),",","")),"")</f>
        <v/>
      </c>
      <c r="F27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95" s="51">
        <f>IFERROR(VALUE(SUBSTITUTE(INDEX('04A_국토부원자료'!$A:$T,ROW()+1,MATCH("거래금액(만원)",'04A_국토부원자료'!$A$4:$T$4,0)),",","")),"")</f>
        <v/>
      </c>
      <c r="H2795" s="174">
        <f>IF(G2795="","",G2795*10000)</f>
        <v/>
      </c>
      <c r="I2795" s="174">
        <f>IFERROR(IF(AND(H2795&gt;0,E2795&gt;0),H2795/E2795,""),"")</f>
        <v/>
      </c>
      <c r="J2795" s="152">
        <f>IFERROR(VALUE(SUBSTITUTE(INDEX('04A_국토부원자료'!$A:$T,ROW()+1,MATCH("층",'04A_국토부원자료'!$A$4:$T$4,0)),",","")),"")</f>
        <v/>
      </c>
      <c r="K2795" s="152">
        <f>IFERROR(VALUE(SUBSTITUTE(INDEX('04A_국토부원자료'!$A:$T,ROW()+1,MATCH("건축년도",'04A_국토부원자료'!$A$4:$T$4,0)),",","")),"")</f>
        <v/>
      </c>
      <c r="L2795" s="48">
        <f>IFERROR(INDEX('04A_국토부원자료'!$A:$T,ROW()+1,MATCH("도로명",'04A_국토부원자료'!$A$4:$T$4,0)),"")</f>
        <v/>
      </c>
      <c r="M2795" s="48">
        <f>IFERROR(INDEX('04A_국토부원자료'!$A:$T,ROW()+1,MATCH("거래유형",'04A_국토부원자료'!$A$4:$T$4,0)),"")</f>
        <v/>
      </c>
      <c r="N2795" s="152">
        <f>IF(B2795="","",IF('02_대상물건입력'!B5="",1,IF(ISNUMBER(SEARCH('02_대상물건입력'!B5,B2795)),1,0)))</f>
        <v/>
      </c>
      <c r="O2795" s="152">
        <f>IF(B2795="","",IF('02_대상물건입력'!B6="",1,IF(ISNUMBER(SEARCH('02_대상물건입력'!B6,B2795)),1,0)))</f>
        <v/>
      </c>
      <c r="P2795" s="152">
        <f>IF(L2795="","",IF('02_대상물건입력'!B15="",0,IF(ISNUMBER(SEARCH('02_대상물건입력'!B15,L2795)),1,0)))</f>
        <v/>
      </c>
      <c r="Q2795" s="152">
        <f>IF(OR(C2795="",L2795=""),0,IF(AND(TRIM(C2795)=TRIM(RIGHT(SUBSTITUTE(TRIM('02_대상물건입력'!$B$7)," ",REPT(" ",99)),99)),IF('02_대상물건입력'!B15="",TRUE(),ISNUMBER(SEARCH('02_대상물건입력'!B15,L2795)))),1,0))</f>
        <v/>
      </c>
      <c r="R2795" s="175">
        <f>IFERROR(ABS(E2795-'02_대상물건입력'!B11)/'02_대상물건입력'!B11,"")</f>
        <v/>
      </c>
      <c r="S2795" s="152">
        <f>IFERROR(ABS(J2795-'02_대상물건입력'!B10),"")</f>
        <v/>
      </c>
      <c r="T2795" s="152">
        <f>IFERROR(ABS('01_설정'!B4-F2795),"")</f>
        <v/>
      </c>
      <c r="U2795" s="152">
        <f>IFERROR(ABS(K2795-YEAR('02_대상물건입력'!B14)),"")</f>
        <v/>
      </c>
      <c r="V2795" s="152">
        <f>IF(B2795="","",IF(AND(E2795&gt;0,F2795&gt;0,H2795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2795=1,TRUE()),R2795&lt;='01_설정'!B5,S2795&lt;='01_설정'!B6,T2795&lt;='01_설정'!B7,U2795&lt;='01_설정'!B8),"Y",""))</f>
        <v/>
      </c>
      <c r="W2795" s="172">
        <f>IF(V2795&lt;&gt;"Y","",MAX(0,(1-R2795/'01_설정'!B5))*'01_설정'!B14+MAX(0,(1-S2795/'01_설정'!B6))*'01_설정'!B15+MAX(0,(1-T2795/'01_설정'!B7))*'01_설정'!B16+MAX(0,(1-U2795/'01_설정'!B8))*'01_설정'!B17+O2795*'01_설정'!B11+Q2795*'01_설정'!B12+P2795*'01_설정'!B13+IF(Z2795="",0,Z2795))</f>
        <v/>
      </c>
      <c r="X2795" s="152">
        <f>IF(W2795="","",1+COUNTIFS($W$4:$W$3003,"&gt;"&amp;W2795)+COUNTIFS($W$4:W2795,W2795)-1)</f>
        <v/>
      </c>
      <c r="Y2795" s="175">
        <f>IF(OR(I2795="",'02_대상물건입력'!B19="",'02_대상물건입력'!B19&lt;=0),"",ABS(I2795-'02_대상물건입력'!B19)/'02_대상물건입력'!B19)</f>
        <v/>
      </c>
      <c r="Z2795" s="172">
        <f>IF(OR(Y2795="",'01_설정'!B31="",'01_설정'!B31&lt;=0,'01_설정'!B32="",'01_설정'!B32&lt;=0),"",MAX(0,(1-Y2795/'01_설정'!B32))*'01_설정'!B31)</f>
        <v/>
      </c>
    </row>
    <row r="2796" ht="17.25" customHeight="1">
      <c r="A2796" s="152">
        <f>IF(INDEX('04A_국토부원자료'!$A:$A,ROW()+1)="","",ROW()-3)</f>
        <v/>
      </c>
      <c r="B2796" s="48">
        <f>IFERROR(INDEX('04A_국토부원자료'!$A:$T,ROW()+1,MATCH("시군구",'04A_국토부원자료'!$A$4:$T$4,0)),"")</f>
        <v/>
      </c>
      <c r="C2796" s="48">
        <f>IF(B2796="","",IFERROR(INDEX('04A_국토부원자료'!$A:$T,ROW()+1,MATCH("번지",'04A_국토부원자료'!$A$4:$T$4,0)),""))</f>
        <v/>
      </c>
      <c r="D2796" s="48">
        <f>IF(B2796="","",IF(Q2796=1,'02_대상물건입력'!$B$8,IFERROR(INDEX('04A_국토부원자료'!$A:$T,ROW()+1,MATCH("단지명",'04A_국토부원자료'!$A$4:$T$4,0)),"")))</f>
        <v/>
      </c>
      <c r="E2796" s="172">
        <f>IFERROR(VALUE(SUBSTITUTE(INDEX('04A_국토부원자료'!$A:$T,ROW()+1,MATCH("전용면적(㎡)",'04A_국토부원자료'!$A$4:$T$4,0)),",","")),"")</f>
        <v/>
      </c>
      <c r="F27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96" s="51">
        <f>IFERROR(VALUE(SUBSTITUTE(INDEX('04A_국토부원자료'!$A:$T,ROW()+1,MATCH("거래금액(만원)",'04A_국토부원자료'!$A$4:$T$4,0)),",","")),"")</f>
        <v/>
      </c>
      <c r="H2796" s="174">
        <f>IF(G2796="","",G2796*10000)</f>
        <v/>
      </c>
      <c r="I2796" s="174">
        <f>IFERROR(IF(AND(H2796&gt;0,E2796&gt;0),H2796/E2796,""),"")</f>
        <v/>
      </c>
      <c r="J2796" s="152">
        <f>IFERROR(VALUE(SUBSTITUTE(INDEX('04A_국토부원자료'!$A:$T,ROW()+1,MATCH("층",'04A_국토부원자료'!$A$4:$T$4,0)),",","")),"")</f>
        <v/>
      </c>
      <c r="K2796" s="152">
        <f>IFERROR(VALUE(SUBSTITUTE(INDEX('04A_국토부원자료'!$A:$T,ROW()+1,MATCH("건축년도",'04A_국토부원자료'!$A$4:$T$4,0)),",","")),"")</f>
        <v/>
      </c>
      <c r="L2796" s="48">
        <f>IFERROR(INDEX('04A_국토부원자료'!$A:$T,ROW()+1,MATCH("도로명",'04A_국토부원자료'!$A$4:$T$4,0)),"")</f>
        <v/>
      </c>
      <c r="M2796" s="48">
        <f>IFERROR(INDEX('04A_국토부원자료'!$A:$T,ROW()+1,MATCH("거래유형",'04A_국토부원자료'!$A$4:$T$4,0)),"")</f>
        <v/>
      </c>
      <c r="N2796" s="152">
        <f>IF(B2796="","",IF('02_대상물건입력'!B5="",1,IF(ISNUMBER(SEARCH('02_대상물건입력'!B5,B2796)),1,0)))</f>
        <v/>
      </c>
      <c r="O2796" s="152">
        <f>IF(B2796="","",IF('02_대상물건입력'!B6="",1,IF(ISNUMBER(SEARCH('02_대상물건입력'!B6,B2796)),1,0)))</f>
        <v/>
      </c>
      <c r="P2796" s="152">
        <f>IF(L2796="","",IF('02_대상물건입력'!B15="",0,IF(ISNUMBER(SEARCH('02_대상물건입력'!B15,L2796)),1,0)))</f>
        <v/>
      </c>
      <c r="Q2796" s="152">
        <f>IF(OR(C2796="",L2796=""),0,IF(AND(TRIM(C2796)=TRIM(RIGHT(SUBSTITUTE(TRIM('02_대상물건입력'!$B$7)," ",REPT(" ",99)),99)),IF('02_대상물건입력'!B15="",TRUE(),ISNUMBER(SEARCH('02_대상물건입력'!B15,L2796)))),1,0))</f>
        <v/>
      </c>
      <c r="R2796" s="175">
        <f>IFERROR(ABS(E2796-'02_대상물건입력'!B11)/'02_대상물건입력'!B11,"")</f>
        <v/>
      </c>
      <c r="S2796" s="152">
        <f>IFERROR(ABS(J2796-'02_대상물건입력'!B10),"")</f>
        <v/>
      </c>
      <c r="T2796" s="152">
        <f>IFERROR(ABS('01_설정'!B4-F2796),"")</f>
        <v/>
      </c>
      <c r="U2796" s="152">
        <f>IFERROR(ABS(K2796-YEAR('02_대상물건입력'!B14)),"")</f>
        <v/>
      </c>
      <c r="V2796" s="152">
        <f>IF(B2796="","",IF(AND(E2796&gt;0,F2796&gt;0,H2796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2796=1,TRUE()),R2796&lt;='01_설정'!B5,S2796&lt;='01_설정'!B6,T2796&lt;='01_설정'!B7,U2796&lt;='01_설정'!B8),"Y",""))</f>
        <v/>
      </c>
      <c r="W2796" s="172">
        <f>IF(V2796&lt;&gt;"Y","",MAX(0,(1-R2796/'01_설정'!B5))*'01_설정'!B14+MAX(0,(1-S2796/'01_설정'!B6))*'01_설정'!B15+MAX(0,(1-T2796/'01_설정'!B7))*'01_설정'!B16+MAX(0,(1-U2796/'01_설정'!B8))*'01_설정'!B17+O2796*'01_설정'!B11+Q2796*'01_설정'!B12+P2796*'01_설정'!B13+IF(Z2796="",0,Z2796))</f>
        <v/>
      </c>
      <c r="X2796" s="152">
        <f>IF(W2796="","",1+COUNTIFS($W$4:$W$3003,"&gt;"&amp;W2796)+COUNTIFS($W$4:W2796,W2796)-1)</f>
        <v/>
      </c>
      <c r="Y2796" s="175">
        <f>IF(OR(I2796="",'02_대상물건입력'!B19="",'02_대상물건입력'!B19&lt;=0),"",ABS(I2796-'02_대상물건입력'!B19)/'02_대상물건입력'!B19)</f>
        <v/>
      </c>
      <c r="Z2796" s="172">
        <f>IF(OR(Y2796="",'01_설정'!B31="",'01_설정'!B31&lt;=0,'01_설정'!B32="",'01_설정'!B32&lt;=0),"",MAX(0,(1-Y2796/'01_설정'!B32))*'01_설정'!B31)</f>
        <v/>
      </c>
    </row>
    <row r="2797" ht="17.25" customHeight="1">
      <c r="A2797" s="152">
        <f>IF(INDEX('04A_국토부원자료'!$A:$A,ROW()+1)="","",ROW()-3)</f>
        <v/>
      </c>
      <c r="B2797" s="48">
        <f>IFERROR(INDEX('04A_국토부원자료'!$A:$T,ROW()+1,MATCH("시군구",'04A_국토부원자료'!$A$4:$T$4,0)),"")</f>
        <v/>
      </c>
      <c r="C2797" s="48">
        <f>IF(B2797="","",IFERROR(INDEX('04A_국토부원자료'!$A:$T,ROW()+1,MATCH("번지",'04A_국토부원자료'!$A$4:$T$4,0)),""))</f>
        <v/>
      </c>
      <c r="D2797" s="48">
        <f>IF(B2797="","",IF(Q2797=1,'02_대상물건입력'!$B$8,IFERROR(INDEX('04A_국토부원자료'!$A:$T,ROW()+1,MATCH("단지명",'04A_국토부원자료'!$A$4:$T$4,0)),"")))</f>
        <v/>
      </c>
      <c r="E2797" s="172">
        <f>IFERROR(VALUE(SUBSTITUTE(INDEX('04A_국토부원자료'!$A:$T,ROW()+1,MATCH("전용면적(㎡)",'04A_국토부원자료'!$A$4:$T$4,0)),",","")),"")</f>
        <v/>
      </c>
      <c r="F27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97" s="51">
        <f>IFERROR(VALUE(SUBSTITUTE(INDEX('04A_국토부원자료'!$A:$T,ROW()+1,MATCH("거래금액(만원)",'04A_국토부원자료'!$A$4:$T$4,0)),",","")),"")</f>
        <v/>
      </c>
      <c r="H2797" s="174">
        <f>IF(G2797="","",G2797*10000)</f>
        <v/>
      </c>
      <c r="I2797" s="174">
        <f>IFERROR(IF(AND(H2797&gt;0,E2797&gt;0),H2797/E2797,""),"")</f>
        <v/>
      </c>
      <c r="J2797" s="152">
        <f>IFERROR(VALUE(SUBSTITUTE(INDEX('04A_국토부원자료'!$A:$T,ROW()+1,MATCH("층",'04A_국토부원자료'!$A$4:$T$4,0)),",","")),"")</f>
        <v/>
      </c>
      <c r="K2797" s="152">
        <f>IFERROR(VALUE(SUBSTITUTE(INDEX('04A_국토부원자료'!$A:$T,ROW()+1,MATCH("건축년도",'04A_국토부원자료'!$A$4:$T$4,0)),",","")),"")</f>
        <v/>
      </c>
      <c r="L2797" s="48">
        <f>IFERROR(INDEX('04A_국토부원자료'!$A:$T,ROW()+1,MATCH("도로명",'04A_국토부원자료'!$A$4:$T$4,0)),"")</f>
        <v/>
      </c>
      <c r="M2797" s="48">
        <f>IFERROR(INDEX('04A_국토부원자료'!$A:$T,ROW()+1,MATCH("거래유형",'04A_국토부원자료'!$A$4:$T$4,0)),"")</f>
        <v/>
      </c>
      <c r="N2797" s="152">
        <f>IF(B2797="","",IF('02_대상물건입력'!B5="",1,IF(ISNUMBER(SEARCH('02_대상물건입력'!B5,B2797)),1,0)))</f>
        <v/>
      </c>
      <c r="O2797" s="152">
        <f>IF(B2797="","",IF('02_대상물건입력'!B6="",1,IF(ISNUMBER(SEARCH('02_대상물건입력'!B6,B2797)),1,0)))</f>
        <v/>
      </c>
      <c r="P2797" s="152">
        <f>IF(L2797="","",IF('02_대상물건입력'!B15="",0,IF(ISNUMBER(SEARCH('02_대상물건입력'!B15,L2797)),1,0)))</f>
        <v/>
      </c>
      <c r="Q2797" s="152">
        <f>IF(OR(C2797="",L2797=""),0,IF(AND(TRIM(C2797)=TRIM(RIGHT(SUBSTITUTE(TRIM('02_대상물건입력'!$B$7)," ",REPT(" ",99)),99)),IF('02_대상물건입력'!B15="",TRUE(),ISNUMBER(SEARCH('02_대상물건입력'!B15,L2797)))),1,0))</f>
        <v/>
      </c>
      <c r="R2797" s="175">
        <f>IFERROR(ABS(E2797-'02_대상물건입력'!B11)/'02_대상물건입력'!B11,"")</f>
        <v/>
      </c>
      <c r="S2797" s="152">
        <f>IFERROR(ABS(J2797-'02_대상물건입력'!B10),"")</f>
        <v/>
      </c>
      <c r="T2797" s="152">
        <f>IFERROR(ABS('01_설정'!B4-F2797),"")</f>
        <v/>
      </c>
      <c r="U2797" s="152">
        <f>IFERROR(ABS(K2797-YEAR('02_대상물건입력'!B14)),"")</f>
        <v/>
      </c>
      <c r="V2797" s="152">
        <f>IF(B2797="","",IF(AND(E2797&gt;0,F2797&gt;0,H2797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2797=1,TRUE()),R2797&lt;='01_설정'!B5,S2797&lt;='01_설정'!B6,T2797&lt;='01_설정'!B7,U2797&lt;='01_설정'!B8),"Y",""))</f>
        <v/>
      </c>
      <c r="W2797" s="172">
        <f>IF(V2797&lt;&gt;"Y","",MAX(0,(1-R2797/'01_설정'!B5))*'01_설정'!B14+MAX(0,(1-S2797/'01_설정'!B6))*'01_설정'!B15+MAX(0,(1-T2797/'01_설정'!B7))*'01_설정'!B16+MAX(0,(1-U2797/'01_설정'!B8))*'01_설정'!B17+O2797*'01_설정'!B11+Q2797*'01_설정'!B12+P2797*'01_설정'!B13+IF(Z2797="",0,Z2797))</f>
        <v/>
      </c>
      <c r="X2797" s="152">
        <f>IF(W2797="","",1+COUNTIFS($W$4:$W$3003,"&gt;"&amp;W2797)+COUNTIFS($W$4:W2797,W2797)-1)</f>
        <v/>
      </c>
      <c r="Y2797" s="175">
        <f>IF(OR(I2797="",'02_대상물건입력'!B19="",'02_대상물건입력'!B19&lt;=0),"",ABS(I2797-'02_대상물건입력'!B19)/'02_대상물건입력'!B19)</f>
        <v/>
      </c>
      <c r="Z2797" s="172">
        <f>IF(OR(Y2797="",'01_설정'!B31="",'01_설정'!B31&lt;=0,'01_설정'!B32="",'01_설정'!B32&lt;=0),"",MAX(0,(1-Y2797/'01_설정'!B32))*'01_설정'!B31)</f>
        <v/>
      </c>
    </row>
    <row r="2798" ht="17.25" customHeight="1">
      <c r="A2798" s="152">
        <f>IF(INDEX('04A_국토부원자료'!$A:$A,ROW()+1)="","",ROW()-3)</f>
        <v/>
      </c>
      <c r="B2798" s="48">
        <f>IFERROR(INDEX('04A_국토부원자료'!$A:$T,ROW()+1,MATCH("시군구",'04A_국토부원자료'!$A$4:$T$4,0)),"")</f>
        <v/>
      </c>
      <c r="C2798" s="48">
        <f>IF(B2798="","",IFERROR(INDEX('04A_국토부원자료'!$A:$T,ROW()+1,MATCH("번지",'04A_국토부원자료'!$A$4:$T$4,0)),""))</f>
        <v/>
      </c>
      <c r="D2798" s="48">
        <f>IF(B2798="","",IF(Q2798=1,'02_대상물건입력'!$B$8,IFERROR(INDEX('04A_국토부원자료'!$A:$T,ROW()+1,MATCH("단지명",'04A_국토부원자료'!$A$4:$T$4,0)),"")))</f>
        <v/>
      </c>
      <c r="E2798" s="172">
        <f>IFERROR(VALUE(SUBSTITUTE(INDEX('04A_국토부원자료'!$A:$T,ROW()+1,MATCH("전용면적(㎡)",'04A_국토부원자료'!$A$4:$T$4,0)),",","")),"")</f>
        <v/>
      </c>
      <c r="F27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98" s="51">
        <f>IFERROR(VALUE(SUBSTITUTE(INDEX('04A_국토부원자료'!$A:$T,ROW()+1,MATCH("거래금액(만원)",'04A_국토부원자료'!$A$4:$T$4,0)),",","")),"")</f>
        <v/>
      </c>
      <c r="H2798" s="174">
        <f>IF(G2798="","",G2798*10000)</f>
        <v/>
      </c>
      <c r="I2798" s="174">
        <f>IFERROR(IF(AND(H2798&gt;0,E2798&gt;0),H2798/E2798,""),"")</f>
        <v/>
      </c>
      <c r="J2798" s="152">
        <f>IFERROR(VALUE(SUBSTITUTE(INDEX('04A_국토부원자료'!$A:$T,ROW()+1,MATCH("층",'04A_국토부원자료'!$A$4:$T$4,0)),",","")),"")</f>
        <v/>
      </c>
      <c r="K2798" s="152">
        <f>IFERROR(VALUE(SUBSTITUTE(INDEX('04A_국토부원자료'!$A:$T,ROW()+1,MATCH("건축년도",'04A_국토부원자료'!$A$4:$T$4,0)),",","")),"")</f>
        <v/>
      </c>
      <c r="L2798" s="48">
        <f>IFERROR(INDEX('04A_국토부원자료'!$A:$T,ROW()+1,MATCH("도로명",'04A_국토부원자료'!$A$4:$T$4,0)),"")</f>
        <v/>
      </c>
      <c r="M2798" s="48">
        <f>IFERROR(INDEX('04A_국토부원자료'!$A:$T,ROW()+1,MATCH("거래유형",'04A_국토부원자료'!$A$4:$T$4,0)),"")</f>
        <v/>
      </c>
      <c r="N2798" s="152">
        <f>IF(B2798="","",IF('02_대상물건입력'!B5="",1,IF(ISNUMBER(SEARCH('02_대상물건입력'!B5,B2798)),1,0)))</f>
        <v/>
      </c>
      <c r="O2798" s="152">
        <f>IF(B2798="","",IF('02_대상물건입력'!B6="",1,IF(ISNUMBER(SEARCH('02_대상물건입력'!B6,B2798)),1,0)))</f>
        <v/>
      </c>
      <c r="P2798" s="152">
        <f>IF(L2798="","",IF('02_대상물건입력'!B15="",0,IF(ISNUMBER(SEARCH('02_대상물건입력'!B15,L2798)),1,0)))</f>
        <v/>
      </c>
      <c r="Q2798" s="152">
        <f>IF(OR(C2798="",L2798=""),0,IF(AND(TRIM(C2798)=TRIM(RIGHT(SUBSTITUTE(TRIM('02_대상물건입력'!$B$7)," ",REPT(" ",99)),99)),IF('02_대상물건입력'!B15="",TRUE(),ISNUMBER(SEARCH('02_대상물건입력'!B15,L2798)))),1,0))</f>
        <v/>
      </c>
      <c r="R2798" s="175">
        <f>IFERROR(ABS(E2798-'02_대상물건입력'!B11)/'02_대상물건입력'!B11,"")</f>
        <v/>
      </c>
      <c r="S2798" s="152">
        <f>IFERROR(ABS(J2798-'02_대상물건입력'!B10),"")</f>
        <v/>
      </c>
      <c r="T2798" s="152">
        <f>IFERROR(ABS('01_설정'!B4-F2798),"")</f>
        <v/>
      </c>
      <c r="U2798" s="152">
        <f>IFERROR(ABS(K2798-YEAR('02_대상물건입력'!B14)),"")</f>
        <v/>
      </c>
      <c r="V2798" s="152">
        <f>IF(B2798="","",IF(AND(E2798&gt;0,F2798&gt;0,H2798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2798=1,TRUE()),R2798&lt;='01_설정'!B5,S2798&lt;='01_설정'!B6,T2798&lt;='01_설정'!B7,U2798&lt;='01_설정'!B8),"Y",""))</f>
        <v/>
      </c>
      <c r="W2798" s="172">
        <f>IF(V2798&lt;&gt;"Y","",MAX(0,(1-R2798/'01_설정'!B5))*'01_설정'!B14+MAX(0,(1-S2798/'01_설정'!B6))*'01_설정'!B15+MAX(0,(1-T2798/'01_설정'!B7))*'01_설정'!B16+MAX(0,(1-U2798/'01_설정'!B8))*'01_설정'!B17+O2798*'01_설정'!B11+Q2798*'01_설정'!B12+P2798*'01_설정'!B13+IF(Z2798="",0,Z2798))</f>
        <v/>
      </c>
      <c r="X2798" s="152">
        <f>IF(W2798="","",1+COUNTIFS($W$4:$W$3003,"&gt;"&amp;W2798)+COUNTIFS($W$4:W2798,W2798)-1)</f>
        <v/>
      </c>
      <c r="Y2798" s="175">
        <f>IF(OR(I2798="",'02_대상물건입력'!B19="",'02_대상물건입력'!B19&lt;=0),"",ABS(I2798-'02_대상물건입력'!B19)/'02_대상물건입력'!B19)</f>
        <v/>
      </c>
      <c r="Z2798" s="172">
        <f>IF(OR(Y2798="",'01_설정'!B31="",'01_설정'!B31&lt;=0,'01_설정'!B32="",'01_설정'!B32&lt;=0),"",MAX(0,(1-Y2798/'01_설정'!B32))*'01_설정'!B31)</f>
        <v/>
      </c>
    </row>
    <row r="2799" ht="17.25" customHeight="1">
      <c r="A2799" s="152">
        <f>IF(INDEX('04A_국토부원자료'!$A:$A,ROW()+1)="","",ROW()-3)</f>
        <v/>
      </c>
      <c r="B2799" s="48">
        <f>IFERROR(INDEX('04A_국토부원자료'!$A:$T,ROW()+1,MATCH("시군구",'04A_국토부원자료'!$A$4:$T$4,0)),"")</f>
        <v/>
      </c>
      <c r="C2799" s="48">
        <f>IF(B2799="","",IFERROR(INDEX('04A_국토부원자료'!$A:$T,ROW()+1,MATCH("번지",'04A_국토부원자료'!$A$4:$T$4,0)),""))</f>
        <v/>
      </c>
      <c r="D2799" s="48">
        <f>IF(B2799="","",IF(Q2799=1,'02_대상물건입력'!$B$8,IFERROR(INDEX('04A_국토부원자료'!$A:$T,ROW()+1,MATCH("단지명",'04A_국토부원자료'!$A$4:$T$4,0)),"")))</f>
        <v/>
      </c>
      <c r="E2799" s="172">
        <f>IFERROR(VALUE(SUBSTITUTE(INDEX('04A_국토부원자료'!$A:$T,ROW()+1,MATCH("전용면적(㎡)",'04A_국토부원자료'!$A$4:$T$4,0)),",","")),"")</f>
        <v/>
      </c>
      <c r="F27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799" s="51">
        <f>IFERROR(VALUE(SUBSTITUTE(INDEX('04A_국토부원자료'!$A:$T,ROW()+1,MATCH("거래금액(만원)",'04A_국토부원자료'!$A$4:$T$4,0)),",","")),"")</f>
        <v/>
      </c>
      <c r="H2799" s="174">
        <f>IF(G2799="","",G2799*10000)</f>
        <v/>
      </c>
      <c r="I2799" s="174">
        <f>IFERROR(IF(AND(H2799&gt;0,E2799&gt;0),H2799/E2799,""),"")</f>
        <v/>
      </c>
      <c r="J2799" s="152">
        <f>IFERROR(VALUE(SUBSTITUTE(INDEX('04A_국토부원자료'!$A:$T,ROW()+1,MATCH("층",'04A_국토부원자료'!$A$4:$T$4,0)),",","")),"")</f>
        <v/>
      </c>
      <c r="K2799" s="152">
        <f>IFERROR(VALUE(SUBSTITUTE(INDEX('04A_국토부원자료'!$A:$T,ROW()+1,MATCH("건축년도",'04A_국토부원자료'!$A$4:$T$4,0)),",","")),"")</f>
        <v/>
      </c>
      <c r="L2799" s="48">
        <f>IFERROR(INDEX('04A_국토부원자료'!$A:$T,ROW()+1,MATCH("도로명",'04A_국토부원자료'!$A$4:$T$4,0)),"")</f>
        <v/>
      </c>
      <c r="M2799" s="48">
        <f>IFERROR(INDEX('04A_국토부원자료'!$A:$T,ROW()+1,MATCH("거래유형",'04A_국토부원자료'!$A$4:$T$4,0)),"")</f>
        <v/>
      </c>
      <c r="N2799" s="152">
        <f>IF(B2799="","",IF('02_대상물건입력'!B5="",1,IF(ISNUMBER(SEARCH('02_대상물건입력'!B5,B2799)),1,0)))</f>
        <v/>
      </c>
      <c r="O2799" s="152">
        <f>IF(B2799="","",IF('02_대상물건입력'!B6="",1,IF(ISNUMBER(SEARCH('02_대상물건입력'!B6,B2799)),1,0)))</f>
        <v/>
      </c>
      <c r="P2799" s="152">
        <f>IF(L2799="","",IF('02_대상물건입력'!B15="",0,IF(ISNUMBER(SEARCH('02_대상물건입력'!B15,L2799)),1,0)))</f>
        <v/>
      </c>
      <c r="Q2799" s="152">
        <f>IF(OR(C2799="",L2799=""),0,IF(AND(TRIM(C2799)=TRIM(RIGHT(SUBSTITUTE(TRIM('02_대상물건입력'!$B$7)," ",REPT(" ",99)),99)),IF('02_대상물건입력'!B15="",TRUE(),ISNUMBER(SEARCH('02_대상물건입력'!B15,L2799)))),1,0))</f>
        <v/>
      </c>
      <c r="R2799" s="175">
        <f>IFERROR(ABS(E2799-'02_대상물건입력'!B11)/'02_대상물건입력'!B11,"")</f>
        <v/>
      </c>
      <c r="S2799" s="152">
        <f>IFERROR(ABS(J2799-'02_대상물건입력'!B10),"")</f>
        <v/>
      </c>
      <c r="T2799" s="152">
        <f>IFERROR(ABS('01_설정'!B4-F2799),"")</f>
        <v/>
      </c>
      <c r="U2799" s="152">
        <f>IFERROR(ABS(K2799-YEAR('02_대상물건입력'!B14)),"")</f>
        <v/>
      </c>
      <c r="V2799" s="152">
        <f>IF(B2799="","",IF(AND(E2799&gt;0,F2799&gt;0,H2799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2799=1,TRUE()),R2799&lt;='01_설정'!B5,S2799&lt;='01_설정'!B6,T2799&lt;='01_설정'!B7,U2799&lt;='01_설정'!B8),"Y",""))</f>
        <v/>
      </c>
      <c r="W2799" s="172">
        <f>IF(V2799&lt;&gt;"Y","",MAX(0,(1-R2799/'01_설정'!B5))*'01_설정'!B14+MAX(0,(1-S2799/'01_설정'!B6))*'01_설정'!B15+MAX(0,(1-T2799/'01_설정'!B7))*'01_설정'!B16+MAX(0,(1-U2799/'01_설정'!B8))*'01_설정'!B17+O2799*'01_설정'!B11+Q2799*'01_설정'!B12+P2799*'01_설정'!B13+IF(Z2799="",0,Z2799))</f>
        <v/>
      </c>
      <c r="X2799" s="152">
        <f>IF(W2799="","",1+COUNTIFS($W$4:$W$3003,"&gt;"&amp;W2799)+COUNTIFS($W$4:W2799,W2799)-1)</f>
        <v/>
      </c>
      <c r="Y2799" s="175">
        <f>IF(OR(I2799="",'02_대상물건입력'!B19="",'02_대상물건입력'!B19&lt;=0),"",ABS(I2799-'02_대상물건입력'!B19)/'02_대상물건입력'!B19)</f>
        <v/>
      </c>
      <c r="Z2799" s="172">
        <f>IF(OR(Y2799="",'01_설정'!B31="",'01_설정'!B31&lt;=0,'01_설정'!B32="",'01_설정'!B32&lt;=0),"",MAX(0,(1-Y2799/'01_설정'!B32))*'01_설정'!B31)</f>
        <v/>
      </c>
    </row>
    <row r="2800" ht="17.25" customHeight="1">
      <c r="A2800" s="152">
        <f>IF(INDEX('04A_국토부원자료'!$A:$A,ROW()+1)="","",ROW()-3)</f>
        <v/>
      </c>
      <c r="B2800" s="48">
        <f>IFERROR(INDEX('04A_국토부원자료'!$A:$T,ROW()+1,MATCH("시군구",'04A_국토부원자료'!$A$4:$T$4,0)),"")</f>
        <v/>
      </c>
      <c r="C2800" s="48">
        <f>IF(B2800="","",IFERROR(INDEX('04A_국토부원자료'!$A:$T,ROW()+1,MATCH("번지",'04A_국토부원자료'!$A$4:$T$4,0)),""))</f>
        <v/>
      </c>
      <c r="D2800" s="48">
        <f>IF(B2800="","",IF(Q2800=1,'02_대상물건입력'!$B$8,IFERROR(INDEX('04A_국토부원자료'!$A:$T,ROW()+1,MATCH("단지명",'04A_국토부원자료'!$A$4:$T$4,0)),"")))</f>
        <v/>
      </c>
      <c r="E2800" s="172">
        <f>IFERROR(VALUE(SUBSTITUTE(INDEX('04A_국토부원자료'!$A:$T,ROW()+1,MATCH("전용면적(㎡)",'04A_국토부원자료'!$A$4:$T$4,0)),",","")),"")</f>
        <v/>
      </c>
      <c r="F28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00" s="51">
        <f>IFERROR(VALUE(SUBSTITUTE(INDEX('04A_국토부원자료'!$A:$T,ROW()+1,MATCH("거래금액(만원)",'04A_국토부원자료'!$A$4:$T$4,0)),",","")),"")</f>
        <v/>
      </c>
      <c r="H2800" s="174">
        <f>IF(G2800="","",G2800*10000)</f>
        <v/>
      </c>
      <c r="I2800" s="174">
        <f>IFERROR(IF(AND(H2800&gt;0,E2800&gt;0),H2800/E2800,""),"")</f>
        <v/>
      </c>
      <c r="J2800" s="152">
        <f>IFERROR(VALUE(SUBSTITUTE(INDEX('04A_국토부원자료'!$A:$T,ROW()+1,MATCH("층",'04A_국토부원자료'!$A$4:$T$4,0)),",","")),"")</f>
        <v/>
      </c>
      <c r="K2800" s="152">
        <f>IFERROR(VALUE(SUBSTITUTE(INDEX('04A_국토부원자료'!$A:$T,ROW()+1,MATCH("건축년도",'04A_국토부원자료'!$A$4:$T$4,0)),",","")),"")</f>
        <v/>
      </c>
      <c r="L2800" s="48">
        <f>IFERROR(INDEX('04A_국토부원자료'!$A:$T,ROW()+1,MATCH("도로명",'04A_국토부원자료'!$A$4:$T$4,0)),"")</f>
        <v/>
      </c>
      <c r="M2800" s="48">
        <f>IFERROR(INDEX('04A_국토부원자료'!$A:$T,ROW()+1,MATCH("거래유형",'04A_국토부원자료'!$A$4:$T$4,0)),"")</f>
        <v/>
      </c>
      <c r="N2800" s="152">
        <f>IF(B2800="","",IF('02_대상물건입력'!B5="",1,IF(ISNUMBER(SEARCH('02_대상물건입력'!B5,B2800)),1,0)))</f>
        <v/>
      </c>
      <c r="O2800" s="152">
        <f>IF(B2800="","",IF('02_대상물건입력'!B6="",1,IF(ISNUMBER(SEARCH('02_대상물건입력'!B6,B2800)),1,0)))</f>
        <v/>
      </c>
      <c r="P2800" s="152">
        <f>IF(L2800="","",IF('02_대상물건입력'!B15="",0,IF(ISNUMBER(SEARCH('02_대상물건입력'!B15,L2800)),1,0)))</f>
        <v/>
      </c>
      <c r="Q2800" s="152">
        <f>IF(OR(C2800="",L2800=""),0,IF(AND(TRIM(C2800)=TRIM(RIGHT(SUBSTITUTE(TRIM('02_대상물건입력'!$B$7)," ",REPT(" ",99)),99)),IF('02_대상물건입력'!B15="",TRUE(),ISNUMBER(SEARCH('02_대상물건입력'!B15,L2800)))),1,0))</f>
        <v/>
      </c>
      <c r="R2800" s="175">
        <f>IFERROR(ABS(E2800-'02_대상물건입력'!B11)/'02_대상물건입력'!B11,"")</f>
        <v/>
      </c>
      <c r="S2800" s="152">
        <f>IFERROR(ABS(J2800-'02_대상물건입력'!B10),"")</f>
        <v/>
      </c>
      <c r="T2800" s="152">
        <f>IFERROR(ABS('01_설정'!B4-F2800),"")</f>
        <v/>
      </c>
      <c r="U2800" s="152">
        <f>IFERROR(ABS(K2800-YEAR('02_대상물건입력'!B14)),"")</f>
        <v/>
      </c>
      <c r="V2800" s="152">
        <f>IF(B2800="","",IF(AND(E2800&gt;0,F2800&gt;0,H2800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2800=1,TRUE()),R2800&lt;='01_설정'!B5,S2800&lt;='01_설정'!B6,T2800&lt;='01_설정'!B7,U2800&lt;='01_설정'!B8),"Y",""))</f>
        <v/>
      </c>
      <c r="W2800" s="172">
        <f>IF(V2800&lt;&gt;"Y","",MAX(0,(1-R2800/'01_설정'!B5))*'01_설정'!B14+MAX(0,(1-S2800/'01_설정'!B6))*'01_설정'!B15+MAX(0,(1-T2800/'01_설정'!B7))*'01_설정'!B16+MAX(0,(1-U2800/'01_설정'!B8))*'01_설정'!B17+O2800*'01_설정'!B11+Q2800*'01_설정'!B12+P2800*'01_설정'!B13+IF(Z2800="",0,Z2800))</f>
        <v/>
      </c>
      <c r="X2800" s="152">
        <f>IF(W2800="","",1+COUNTIFS($W$4:$W$3003,"&gt;"&amp;W2800)+COUNTIFS($W$4:W2800,W2800)-1)</f>
        <v/>
      </c>
      <c r="Y2800" s="175">
        <f>IF(OR(I2800="",'02_대상물건입력'!B19="",'02_대상물건입력'!B19&lt;=0),"",ABS(I2800-'02_대상물건입력'!B19)/'02_대상물건입력'!B19)</f>
        <v/>
      </c>
      <c r="Z2800" s="172">
        <f>IF(OR(Y2800="",'01_설정'!B31="",'01_설정'!B31&lt;=0,'01_설정'!B32="",'01_설정'!B32&lt;=0),"",MAX(0,(1-Y2800/'01_설정'!B32))*'01_설정'!B31)</f>
        <v/>
      </c>
    </row>
    <row r="2801" ht="17.25" customHeight="1">
      <c r="A2801" s="152">
        <f>IF(INDEX('04A_국토부원자료'!$A:$A,ROW()+1)="","",ROW()-3)</f>
        <v/>
      </c>
      <c r="B2801" s="48">
        <f>IFERROR(INDEX('04A_국토부원자료'!$A:$T,ROW()+1,MATCH("시군구",'04A_국토부원자료'!$A$4:$T$4,0)),"")</f>
        <v/>
      </c>
      <c r="C2801" s="48">
        <f>IF(B2801="","",IFERROR(INDEX('04A_국토부원자료'!$A:$T,ROW()+1,MATCH("번지",'04A_국토부원자료'!$A$4:$T$4,0)),""))</f>
        <v/>
      </c>
      <c r="D2801" s="48">
        <f>IF(B2801="","",IF(Q2801=1,'02_대상물건입력'!$B$8,IFERROR(INDEX('04A_국토부원자료'!$A:$T,ROW()+1,MATCH("단지명",'04A_국토부원자료'!$A$4:$T$4,0)),"")))</f>
        <v/>
      </c>
      <c r="E2801" s="172">
        <f>IFERROR(VALUE(SUBSTITUTE(INDEX('04A_국토부원자료'!$A:$T,ROW()+1,MATCH("전용면적(㎡)",'04A_국토부원자료'!$A$4:$T$4,0)),",","")),"")</f>
        <v/>
      </c>
      <c r="F28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01" s="51">
        <f>IFERROR(VALUE(SUBSTITUTE(INDEX('04A_국토부원자료'!$A:$T,ROW()+1,MATCH("거래금액(만원)",'04A_국토부원자료'!$A$4:$T$4,0)),",","")),"")</f>
        <v/>
      </c>
      <c r="H2801" s="174">
        <f>IF(G2801="","",G2801*10000)</f>
        <v/>
      </c>
      <c r="I2801" s="174">
        <f>IFERROR(IF(AND(H2801&gt;0,E2801&gt;0),H2801/E2801,""),"")</f>
        <v/>
      </c>
      <c r="J2801" s="152">
        <f>IFERROR(VALUE(SUBSTITUTE(INDEX('04A_국토부원자료'!$A:$T,ROW()+1,MATCH("층",'04A_국토부원자료'!$A$4:$T$4,0)),",","")),"")</f>
        <v/>
      </c>
      <c r="K2801" s="152">
        <f>IFERROR(VALUE(SUBSTITUTE(INDEX('04A_국토부원자료'!$A:$T,ROW()+1,MATCH("건축년도",'04A_국토부원자료'!$A$4:$T$4,0)),",","")),"")</f>
        <v/>
      </c>
      <c r="L2801" s="48">
        <f>IFERROR(INDEX('04A_국토부원자료'!$A:$T,ROW()+1,MATCH("도로명",'04A_국토부원자료'!$A$4:$T$4,0)),"")</f>
        <v/>
      </c>
      <c r="M2801" s="48">
        <f>IFERROR(INDEX('04A_국토부원자료'!$A:$T,ROW()+1,MATCH("거래유형",'04A_국토부원자료'!$A$4:$T$4,0)),"")</f>
        <v/>
      </c>
      <c r="N2801" s="152">
        <f>IF(B2801="","",IF('02_대상물건입력'!B5="",1,IF(ISNUMBER(SEARCH('02_대상물건입력'!B5,B2801)),1,0)))</f>
        <v/>
      </c>
      <c r="O2801" s="152">
        <f>IF(B2801="","",IF('02_대상물건입력'!B6="",1,IF(ISNUMBER(SEARCH('02_대상물건입력'!B6,B2801)),1,0)))</f>
        <v/>
      </c>
      <c r="P2801" s="152">
        <f>IF(L2801="","",IF('02_대상물건입력'!B15="",0,IF(ISNUMBER(SEARCH('02_대상물건입력'!B15,L2801)),1,0)))</f>
        <v/>
      </c>
      <c r="Q2801" s="152">
        <f>IF(OR(C2801="",L2801=""),0,IF(AND(TRIM(C2801)=TRIM(RIGHT(SUBSTITUTE(TRIM('02_대상물건입력'!$B$7)," ",REPT(" ",99)),99)),IF('02_대상물건입력'!B15="",TRUE(),ISNUMBER(SEARCH('02_대상물건입력'!B15,L2801)))),1,0))</f>
        <v/>
      </c>
      <c r="R2801" s="175">
        <f>IFERROR(ABS(E2801-'02_대상물건입력'!B11)/'02_대상물건입력'!B11,"")</f>
        <v/>
      </c>
      <c r="S2801" s="152">
        <f>IFERROR(ABS(J2801-'02_대상물건입력'!B10),"")</f>
        <v/>
      </c>
      <c r="T2801" s="152">
        <f>IFERROR(ABS('01_설정'!B4-F2801),"")</f>
        <v/>
      </c>
      <c r="U2801" s="152">
        <f>IFERROR(ABS(K2801-YEAR('02_대상물건입력'!B14)),"")</f>
        <v/>
      </c>
      <c r="V2801" s="152">
        <f>IF(B2801="","",IF(AND(E2801&gt;0,F2801&gt;0,H2801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2801=1,TRUE()),R2801&lt;='01_설정'!B5,S2801&lt;='01_설정'!B6,T2801&lt;='01_설정'!B7,U2801&lt;='01_설정'!B8),"Y",""))</f>
        <v/>
      </c>
      <c r="W2801" s="172">
        <f>IF(V2801&lt;&gt;"Y","",MAX(0,(1-R2801/'01_설정'!B5))*'01_설정'!B14+MAX(0,(1-S2801/'01_설정'!B6))*'01_설정'!B15+MAX(0,(1-T2801/'01_설정'!B7))*'01_설정'!B16+MAX(0,(1-U2801/'01_설정'!B8))*'01_설정'!B17+O2801*'01_설정'!B11+Q2801*'01_설정'!B12+P2801*'01_설정'!B13+IF(Z2801="",0,Z2801))</f>
        <v/>
      </c>
      <c r="X2801" s="152">
        <f>IF(W2801="","",1+COUNTIFS($W$4:$W$3003,"&gt;"&amp;W2801)+COUNTIFS($W$4:W2801,W2801)-1)</f>
        <v/>
      </c>
      <c r="Y2801" s="175">
        <f>IF(OR(I2801="",'02_대상물건입력'!B19="",'02_대상물건입력'!B19&lt;=0),"",ABS(I2801-'02_대상물건입력'!B19)/'02_대상물건입력'!B19)</f>
        <v/>
      </c>
      <c r="Z2801" s="172">
        <f>IF(OR(Y2801="",'01_설정'!B31="",'01_설정'!B31&lt;=0,'01_설정'!B32="",'01_설정'!B32&lt;=0),"",MAX(0,(1-Y2801/'01_설정'!B32))*'01_설정'!B31)</f>
        <v/>
      </c>
    </row>
    <row r="2802" ht="17.25" customHeight="1">
      <c r="A2802" s="152">
        <f>IF(INDEX('04A_국토부원자료'!$A:$A,ROW()+1)="","",ROW()-3)</f>
        <v/>
      </c>
      <c r="B2802" s="48">
        <f>IFERROR(INDEX('04A_국토부원자료'!$A:$T,ROW()+1,MATCH("시군구",'04A_국토부원자료'!$A$4:$T$4,0)),"")</f>
        <v/>
      </c>
      <c r="C2802" s="48">
        <f>IF(B2802="","",IFERROR(INDEX('04A_국토부원자료'!$A:$T,ROW()+1,MATCH("번지",'04A_국토부원자료'!$A$4:$T$4,0)),""))</f>
        <v/>
      </c>
      <c r="D2802" s="48">
        <f>IF(B2802="","",IF(Q2802=1,'02_대상물건입력'!$B$8,IFERROR(INDEX('04A_국토부원자료'!$A:$T,ROW()+1,MATCH("단지명",'04A_국토부원자료'!$A$4:$T$4,0)),"")))</f>
        <v/>
      </c>
      <c r="E2802" s="172">
        <f>IFERROR(VALUE(SUBSTITUTE(INDEX('04A_국토부원자료'!$A:$T,ROW()+1,MATCH("전용면적(㎡)",'04A_국토부원자료'!$A$4:$T$4,0)),",","")),"")</f>
        <v/>
      </c>
      <c r="F28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02" s="51">
        <f>IFERROR(VALUE(SUBSTITUTE(INDEX('04A_국토부원자료'!$A:$T,ROW()+1,MATCH("거래금액(만원)",'04A_국토부원자료'!$A$4:$T$4,0)),",","")),"")</f>
        <v/>
      </c>
      <c r="H2802" s="174">
        <f>IF(G2802="","",G2802*10000)</f>
        <v/>
      </c>
      <c r="I2802" s="174">
        <f>IFERROR(IF(AND(H2802&gt;0,E2802&gt;0),H2802/E2802,""),"")</f>
        <v/>
      </c>
      <c r="J2802" s="152">
        <f>IFERROR(VALUE(SUBSTITUTE(INDEX('04A_국토부원자료'!$A:$T,ROW()+1,MATCH("층",'04A_국토부원자료'!$A$4:$T$4,0)),",","")),"")</f>
        <v/>
      </c>
      <c r="K2802" s="152">
        <f>IFERROR(VALUE(SUBSTITUTE(INDEX('04A_국토부원자료'!$A:$T,ROW()+1,MATCH("건축년도",'04A_국토부원자료'!$A$4:$T$4,0)),",","")),"")</f>
        <v/>
      </c>
      <c r="L2802" s="48">
        <f>IFERROR(INDEX('04A_국토부원자료'!$A:$T,ROW()+1,MATCH("도로명",'04A_국토부원자료'!$A$4:$T$4,0)),"")</f>
        <v/>
      </c>
      <c r="M2802" s="48">
        <f>IFERROR(INDEX('04A_국토부원자료'!$A:$T,ROW()+1,MATCH("거래유형",'04A_국토부원자료'!$A$4:$T$4,0)),"")</f>
        <v/>
      </c>
      <c r="N2802" s="152">
        <f>IF(B2802="","",IF('02_대상물건입력'!B5="",1,IF(ISNUMBER(SEARCH('02_대상물건입력'!B5,B2802)),1,0)))</f>
        <v/>
      </c>
      <c r="O2802" s="152">
        <f>IF(B2802="","",IF('02_대상물건입력'!B6="",1,IF(ISNUMBER(SEARCH('02_대상물건입력'!B6,B2802)),1,0)))</f>
        <v/>
      </c>
      <c r="P2802" s="152">
        <f>IF(L2802="","",IF('02_대상물건입력'!B15="",0,IF(ISNUMBER(SEARCH('02_대상물건입력'!B15,L2802)),1,0)))</f>
        <v/>
      </c>
      <c r="Q2802" s="152">
        <f>IF(OR(C2802="",L2802=""),0,IF(AND(TRIM(C2802)=TRIM(RIGHT(SUBSTITUTE(TRIM('02_대상물건입력'!$B$7)," ",REPT(" ",99)),99)),IF('02_대상물건입력'!B15="",TRUE(),ISNUMBER(SEARCH('02_대상물건입력'!B15,L2802)))),1,0))</f>
        <v/>
      </c>
      <c r="R2802" s="175">
        <f>IFERROR(ABS(E2802-'02_대상물건입력'!B11)/'02_대상물건입력'!B11,"")</f>
        <v/>
      </c>
      <c r="S2802" s="152">
        <f>IFERROR(ABS(J2802-'02_대상물건입력'!B10),"")</f>
        <v/>
      </c>
      <c r="T2802" s="152">
        <f>IFERROR(ABS('01_설정'!B4-F2802),"")</f>
        <v/>
      </c>
      <c r="U2802" s="152">
        <f>IFERROR(ABS(K2802-YEAR('02_대상물건입력'!B14)),"")</f>
        <v/>
      </c>
      <c r="V2802" s="152">
        <f>IF(B2802="","",IF(AND(E2802&gt;0,F2802&gt;0,H2802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2802=1,TRUE()),R2802&lt;='01_설정'!B5,S2802&lt;='01_설정'!B6,T2802&lt;='01_설정'!B7,U2802&lt;='01_설정'!B8),"Y",""))</f>
        <v/>
      </c>
      <c r="W2802" s="172">
        <f>IF(V2802&lt;&gt;"Y","",MAX(0,(1-R2802/'01_설정'!B5))*'01_설정'!B14+MAX(0,(1-S2802/'01_설정'!B6))*'01_설정'!B15+MAX(0,(1-T2802/'01_설정'!B7))*'01_설정'!B16+MAX(0,(1-U2802/'01_설정'!B8))*'01_설정'!B17+O2802*'01_설정'!B11+Q2802*'01_설정'!B12+P2802*'01_설정'!B13+IF(Z2802="",0,Z2802))</f>
        <v/>
      </c>
      <c r="X2802" s="152">
        <f>IF(W2802="","",1+COUNTIFS($W$4:$W$3003,"&gt;"&amp;W2802)+COUNTIFS($W$4:W2802,W2802)-1)</f>
        <v/>
      </c>
      <c r="Y2802" s="175">
        <f>IF(OR(I2802="",'02_대상물건입력'!B19="",'02_대상물건입력'!B19&lt;=0),"",ABS(I2802-'02_대상물건입력'!B19)/'02_대상물건입력'!B19)</f>
        <v/>
      </c>
      <c r="Z2802" s="172">
        <f>IF(OR(Y2802="",'01_설정'!B31="",'01_설정'!B31&lt;=0,'01_설정'!B32="",'01_설정'!B32&lt;=0),"",MAX(0,(1-Y2802/'01_설정'!B32))*'01_설정'!B31)</f>
        <v/>
      </c>
    </row>
    <row r="2803" ht="17.25" customHeight="1">
      <c r="A2803" s="152">
        <f>IF(INDEX('04A_국토부원자료'!$A:$A,ROW()+1)="","",ROW()-3)</f>
        <v/>
      </c>
      <c r="B2803" s="48">
        <f>IFERROR(INDEX('04A_국토부원자료'!$A:$T,ROW()+1,MATCH("시군구",'04A_국토부원자료'!$A$4:$T$4,0)),"")</f>
        <v/>
      </c>
      <c r="C2803" s="48">
        <f>IF(B2803="","",IFERROR(INDEX('04A_국토부원자료'!$A:$T,ROW()+1,MATCH("번지",'04A_국토부원자료'!$A$4:$T$4,0)),""))</f>
        <v/>
      </c>
      <c r="D2803" s="48">
        <f>IF(B2803="","",IF(Q2803=1,'02_대상물건입력'!$B$8,IFERROR(INDEX('04A_국토부원자료'!$A:$T,ROW()+1,MATCH("단지명",'04A_국토부원자료'!$A$4:$T$4,0)),"")))</f>
        <v/>
      </c>
      <c r="E2803" s="172">
        <f>IFERROR(VALUE(SUBSTITUTE(INDEX('04A_국토부원자료'!$A:$T,ROW()+1,MATCH("전용면적(㎡)",'04A_국토부원자료'!$A$4:$T$4,0)),",","")),"")</f>
        <v/>
      </c>
      <c r="F28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03" s="51">
        <f>IFERROR(VALUE(SUBSTITUTE(INDEX('04A_국토부원자료'!$A:$T,ROW()+1,MATCH("거래금액(만원)",'04A_국토부원자료'!$A$4:$T$4,0)),",","")),"")</f>
        <v/>
      </c>
      <c r="H2803" s="174">
        <f>IF(G2803="","",G2803*10000)</f>
        <v/>
      </c>
      <c r="I2803" s="174">
        <f>IFERROR(IF(AND(H2803&gt;0,E2803&gt;0),H2803/E2803,""),"")</f>
        <v/>
      </c>
      <c r="J2803" s="152">
        <f>IFERROR(VALUE(SUBSTITUTE(INDEX('04A_국토부원자료'!$A:$T,ROW()+1,MATCH("층",'04A_국토부원자료'!$A$4:$T$4,0)),",","")),"")</f>
        <v/>
      </c>
      <c r="K2803" s="152">
        <f>IFERROR(VALUE(SUBSTITUTE(INDEX('04A_국토부원자료'!$A:$T,ROW()+1,MATCH("건축년도",'04A_국토부원자료'!$A$4:$T$4,0)),",","")),"")</f>
        <v/>
      </c>
      <c r="L2803" s="48">
        <f>IFERROR(INDEX('04A_국토부원자료'!$A:$T,ROW()+1,MATCH("도로명",'04A_국토부원자료'!$A$4:$T$4,0)),"")</f>
        <v/>
      </c>
      <c r="M2803" s="48">
        <f>IFERROR(INDEX('04A_국토부원자료'!$A:$T,ROW()+1,MATCH("거래유형",'04A_국토부원자료'!$A$4:$T$4,0)),"")</f>
        <v/>
      </c>
      <c r="N2803" s="152">
        <f>IF(B2803="","",IF('02_대상물건입력'!B5="",1,IF(ISNUMBER(SEARCH('02_대상물건입력'!B5,B2803)),1,0)))</f>
        <v/>
      </c>
      <c r="O2803" s="152">
        <f>IF(B2803="","",IF('02_대상물건입력'!B6="",1,IF(ISNUMBER(SEARCH('02_대상물건입력'!B6,B2803)),1,0)))</f>
        <v/>
      </c>
      <c r="P2803" s="152">
        <f>IF(L2803="","",IF('02_대상물건입력'!B15="",0,IF(ISNUMBER(SEARCH('02_대상물건입력'!B15,L2803)),1,0)))</f>
        <v/>
      </c>
      <c r="Q2803" s="152">
        <f>IF(OR(C2803="",L2803=""),0,IF(AND(TRIM(C2803)=TRIM(RIGHT(SUBSTITUTE(TRIM('02_대상물건입력'!$B$7)," ",REPT(" ",99)),99)),IF('02_대상물건입력'!B15="",TRUE(),ISNUMBER(SEARCH('02_대상물건입력'!B15,L2803)))),1,0))</f>
        <v/>
      </c>
      <c r="R2803" s="175">
        <f>IFERROR(ABS(E2803-'02_대상물건입력'!B11)/'02_대상물건입력'!B11,"")</f>
        <v/>
      </c>
      <c r="S2803" s="152">
        <f>IFERROR(ABS(J2803-'02_대상물건입력'!B10),"")</f>
        <v/>
      </c>
      <c r="T2803" s="152">
        <f>IFERROR(ABS('01_설정'!B4-F2803),"")</f>
        <v/>
      </c>
      <c r="U2803" s="152">
        <f>IFERROR(ABS(K2803-YEAR('02_대상물건입력'!B14)),"")</f>
        <v/>
      </c>
      <c r="V2803" s="152">
        <f>IF(B2803="","",IF(AND(E2803&gt;0,F2803&gt;0,H2803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2803=1,TRUE()),R2803&lt;='01_설정'!B5,S2803&lt;='01_설정'!B6,T2803&lt;='01_설정'!B7,U2803&lt;='01_설정'!B8),"Y",""))</f>
        <v/>
      </c>
      <c r="W2803" s="172">
        <f>IF(V2803&lt;&gt;"Y","",MAX(0,(1-R2803/'01_설정'!B5))*'01_설정'!B14+MAX(0,(1-S2803/'01_설정'!B6))*'01_설정'!B15+MAX(0,(1-T2803/'01_설정'!B7))*'01_설정'!B16+MAX(0,(1-U2803/'01_설정'!B8))*'01_설정'!B17+O2803*'01_설정'!B11+Q2803*'01_설정'!B12+P2803*'01_설정'!B13+IF(Z2803="",0,Z2803))</f>
        <v/>
      </c>
      <c r="X2803" s="152">
        <f>IF(W2803="","",1+COUNTIFS($W$4:$W$3003,"&gt;"&amp;W2803)+COUNTIFS($W$4:W2803,W2803)-1)</f>
        <v/>
      </c>
      <c r="Y2803" s="175">
        <f>IF(OR(I2803="",'02_대상물건입력'!B19="",'02_대상물건입력'!B19&lt;=0),"",ABS(I2803-'02_대상물건입력'!B19)/'02_대상물건입력'!B19)</f>
        <v/>
      </c>
      <c r="Z2803" s="172">
        <f>IF(OR(Y2803="",'01_설정'!B31="",'01_설정'!B31&lt;=0,'01_설정'!B32="",'01_설정'!B32&lt;=0),"",MAX(0,(1-Y2803/'01_설정'!B32))*'01_설정'!B31)</f>
        <v/>
      </c>
    </row>
    <row r="2804" ht="17.25" customHeight="1">
      <c r="A2804" s="152">
        <f>IF(INDEX('04A_국토부원자료'!$A:$A,ROW()+1)="","",ROW()-3)</f>
        <v/>
      </c>
      <c r="B2804" s="48">
        <f>IFERROR(INDEX('04A_국토부원자료'!$A:$T,ROW()+1,MATCH("시군구",'04A_국토부원자료'!$A$4:$T$4,0)),"")</f>
        <v/>
      </c>
      <c r="C2804" s="48">
        <f>IF(B2804="","",IFERROR(INDEX('04A_국토부원자료'!$A:$T,ROW()+1,MATCH("번지",'04A_국토부원자료'!$A$4:$T$4,0)),""))</f>
        <v/>
      </c>
      <c r="D2804" s="48">
        <f>IF(B2804="","",IF(Q2804=1,'02_대상물건입력'!$B$8,IFERROR(INDEX('04A_국토부원자료'!$A:$T,ROW()+1,MATCH("단지명",'04A_국토부원자료'!$A$4:$T$4,0)),"")))</f>
        <v/>
      </c>
      <c r="E2804" s="172">
        <f>IFERROR(VALUE(SUBSTITUTE(INDEX('04A_국토부원자료'!$A:$T,ROW()+1,MATCH("전용면적(㎡)",'04A_국토부원자료'!$A$4:$T$4,0)),",","")),"")</f>
        <v/>
      </c>
      <c r="F28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04" s="51">
        <f>IFERROR(VALUE(SUBSTITUTE(INDEX('04A_국토부원자료'!$A:$T,ROW()+1,MATCH("거래금액(만원)",'04A_국토부원자료'!$A$4:$T$4,0)),",","")),"")</f>
        <v/>
      </c>
      <c r="H2804" s="174">
        <f>IF(G2804="","",G2804*10000)</f>
        <v/>
      </c>
      <c r="I2804" s="174">
        <f>IFERROR(IF(AND(H2804&gt;0,E2804&gt;0),H2804/E2804,""),"")</f>
        <v/>
      </c>
      <c r="J2804" s="152">
        <f>IFERROR(VALUE(SUBSTITUTE(INDEX('04A_국토부원자료'!$A:$T,ROW()+1,MATCH("층",'04A_국토부원자료'!$A$4:$T$4,0)),",","")),"")</f>
        <v/>
      </c>
      <c r="K2804" s="152">
        <f>IFERROR(VALUE(SUBSTITUTE(INDEX('04A_국토부원자료'!$A:$T,ROW()+1,MATCH("건축년도",'04A_국토부원자료'!$A$4:$T$4,0)),",","")),"")</f>
        <v/>
      </c>
      <c r="L2804" s="48">
        <f>IFERROR(INDEX('04A_국토부원자료'!$A:$T,ROW()+1,MATCH("도로명",'04A_국토부원자료'!$A$4:$T$4,0)),"")</f>
        <v/>
      </c>
      <c r="M2804" s="48">
        <f>IFERROR(INDEX('04A_국토부원자료'!$A:$T,ROW()+1,MATCH("거래유형",'04A_국토부원자료'!$A$4:$T$4,0)),"")</f>
        <v/>
      </c>
      <c r="N2804" s="152">
        <f>IF(B2804="","",IF('02_대상물건입력'!B5="",1,IF(ISNUMBER(SEARCH('02_대상물건입력'!B5,B2804)),1,0)))</f>
        <v/>
      </c>
      <c r="O2804" s="152">
        <f>IF(B2804="","",IF('02_대상물건입력'!B6="",1,IF(ISNUMBER(SEARCH('02_대상물건입력'!B6,B2804)),1,0)))</f>
        <v/>
      </c>
      <c r="P2804" s="152">
        <f>IF(L2804="","",IF('02_대상물건입력'!B15="",0,IF(ISNUMBER(SEARCH('02_대상물건입력'!B15,L2804)),1,0)))</f>
        <v/>
      </c>
      <c r="Q2804" s="152">
        <f>IF(OR(C2804="",L2804=""),0,IF(AND(TRIM(C2804)=TRIM(RIGHT(SUBSTITUTE(TRIM('02_대상물건입력'!$B$7)," ",REPT(" ",99)),99)),IF('02_대상물건입력'!B15="",TRUE(),ISNUMBER(SEARCH('02_대상물건입력'!B15,L2804)))),1,0))</f>
        <v/>
      </c>
      <c r="R2804" s="175">
        <f>IFERROR(ABS(E2804-'02_대상물건입력'!B11)/'02_대상물건입력'!B11,"")</f>
        <v/>
      </c>
      <c r="S2804" s="152">
        <f>IFERROR(ABS(J2804-'02_대상물건입력'!B10),"")</f>
        <v/>
      </c>
      <c r="T2804" s="152">
        <f>IFERROR(ABS('01_설정'!B4-F2804),"")</f>
        <v/>
      </c>
      <c r="U2804" s="152">
        <f>IFERROR(ABS(K2804-YEAR('02_대상물건입력'!B14)),"")</f>
        <v/>
      </c>
      <c r="V2804" s="152">
        <f>IF(B2804="","",IF(AND(E2804&gt;0,F2804&gt;0,H2804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2804=1,TRUE()),R2804&lt;='01_설정'!B5,S2804&lt;='01_설정'!B6,T2804&lt;='01_설정'!B7,U2804&lt;='01_설정'!B8),"Y",""))</f>
        <v/>
      </c>
      <c r="W2804" s="172">
        <f>IF(V2804&lt;&gt;"Y","",MAX(0,(1-R2804/'01_설정'!B5))*'01_설정'!B14+MAX(0,(1-S2804/'01_설정'!B6))*'01_설정'!B15+MAX(0,(1-T2804/'01_설정'!B7))*'01_설정'!B16+MAX(0,(1-U2804/'01_설정'!B8))*'01_설정'!B17+O2804*'01_설정'!B11+Q2804*'01_설정'!B12+P2804*'01_설정'!B13+IF(Z2804="",0,Z2804))</f>
        <v/>
      </c>
      <c r="X2804" s="152">
        <f>IF(W2804="","",1+COUNTIFS($W$4:$W$3003,"&gt;"&amp;W2804)+COUNTIFS($W$4:W2804,W2804)-1)</f>
        <v/>
      </c>
      <c r="Y2804" s="175">
        <f>IF(OR(I2804="",'02_대상물건입력'!B19="",'02_대상물건입력'!B19&lt;=0),"",ABS(I2804-'02_대상물건입력'!B19)/'02_대상물건입력'!B19)</f>
        <v/>
      </c>
      <c r="Z2804" s="172">
        <f>IF(OR(Y2804="",'01_설정'!B31="",'01_설정'!B31&lt;=0,'01_설정'!B32="",'01_설정'!B32&lt;=0),"",MAX(0,(1-Y2804/'01_설정'!B32))*'01_설정'!B31)</f>
        <v/>
      </c>
    </row>
    <row r="2805" ht="17.25" customHeight="1">
      <c r="A2805" s="152">
        <f>IF(INDEX('04A_국토부원자료'!$A:$A,ROW()+1)="","",ROW()-3)</f>
        <v/>
      </c>
      <c r="B2805" s="48">
        <f>IFERROR(INDEX('04A_국토부원자료'!$A:$T,ROW()+1,MATCH("시군구",'04A_국토부원자료'!$A$4:$T$4,0)),"")</f>
        <v/>
      </c>
      <c r="C2805" s="48">
        <f>IF(B2805="","",IFERROR(INDEX('04A_국토부원자료'!$A:$T,ROW()+1,MATCH("번지",'04A_국토부원자료'!$A$4:$T$4,0)),""))</f>
        <v/>
      </c>
      <c r="D2805" s="48">
        <f>IF(B2805="","",IF(Q2805=1,'02_대상물건입력'!$B$8,IFERROR(INDEX('04A_국토부원자료'!$A:$T,ROW()+1,MATCH("단지명",'04A_국토부원자료'!$A$4:$T$4,0)),"")))</f>
        <v/>
      </c>
      <c r="E2805" s="172">
        <f>IFERROR(VALUE(SUBSTITUTE(INDEX('04A_국토부원자료'!$A:$T,ROW()+1,MATCH("전용면적(㎡)",'04A_국토부원자료'!$A$4:$T$4,0)),",","")),"")</f>
        <v/>
      </c>
      <c r="F28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05" s="51">
        <f>IFERROR(VALUE(SUBSTITUTE(INDEX('04A_국토부원자료'!$A:$T,ROW()+1,MATCH("거래금액(만원)",'04A_국토부원자료'!$A$4:$T$4,0)),",","")),"")</f>
        <v/>
      </c>
      <c r="H2805" s="174">
        <f>IF(G2805="","",G2805*10000)</f>
        <v/>
      </c>
      <c r="I2805" s="174">
        <f>IFERROR(IF(AND(H2805&gt;0,E2805&gt;0),H2805/E2805,""),"")</f>
        <v/>
      </c>
      <c r="J2805" s="152">
        <f>IFERROR(VALUE(SUBSTITUTE(INDEX('04A_국토부원자료'!$A:$T,ROW()+1,MATCH("층",'04A_국토부원자료'!$A$4:$T$4,0)),",","")),"")</f>
        <v/>
      </c>
      <c r="K2805" s="152">
        <f>IFERROR(VALUE(SUBSTITUTE(INDEX('04A_국토부원자료'!$A:$T,ROW()+1,MATCH("건축년도",'04A_국토부원자료'!$A$4:$T$4,0)),",","")),"")</f>
        <v/>
      </c>
      <c r="L2805" s="48">
        <f>IFERROR(INDEX('04A_국토부원자료'!$A:$T,ROW()+1,MATCH("도로명",'04A_국토부원자료'!$A$4:$T$4,0)),"")</f>
        <v/>
      </c>
      <c r="M2805" s="48">
        <f>IFERROR(INDEX('04A_국토부원자료'!$A:$T,ROW()+1,MATCH("거래유형",'04A_국토부원자료'!$A$4:$T$4,0)),"")</f>
        <v/>
      </c>
      <c r="N2805" s="152">
        <f>IF(B2805="","",IF('02_대상물건입력'!B5="",1,IF(ISNUMBER(SEARCH('02_대상물건입력'!B5,B2805)),1,0)))</f>
        <v/>
      </c>
      <c r="O2805" s="152">
        <f>IF(B2805="","",IF('02_대상물건입력'!B6="",1,IF(ISNUMBER(SEARCH('02_대상물건입력'!B6,B2805)),1,0)))</f>
        <v/>
      </c>
      <c r="P2805" s="152">
        <f>IF(L2805="","",IF('02_대상물건입력'!B15="",0,IF(ISNUMBER(SEARCH('02_대상물건입력'!B15,L2805)),1,0)))</f>
        <v/>
      </c>
      <c r="Q2805" s="152">
        <f>IF(OR(C2805="",L2805=""),0,IF(AND(TRIM(C2805)=TRIM(RIGHT(SUBSTITUTE(TRIM('02_대상물건입력'!$B$7)," ",REPT(" ",99)),99)),IF('02_대상물건입력'!B15="",TRUE(),ISNUMBER(SEARCH('02_대상물건입력'!B15,L2805)))),1,0))</f>
        <v/>
      </c>
      <c r="R2805" s="175">
        <f>IFERROR(ABS(E2805-'02_대상물건입력'!B11)/'02_대상물건입력'!B11,"")</f>
        <v/>
      </c>
      <c r="S2805" s="152">
        <f>IFERROR(ABS(J2805-'02_대상물건입력'!B10),"")</f>
        <v/>
      </c>
      <c r="T2805" s="152">
        <f>IFERROR(ABS('01_설정'!B4-F2805),"")</f>
        <v/>
      </c>
      <c r="U2805" s="152">
        <f>IFERROR(ABS(K2805-YEAR('02_대상물건입력'!B14)),"")</f>
        <v/>
      </c>
      <c r="V2805" s="152">
        <f>IF(B2805="","",IF(AND(E2805&gt;0,F2805&gt;0,H2805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2805=1,TRUE()),R2805&lt;='01_설정'!B5,S2805&lt;='01_설정'!B6,T2805&lt;='01_설정'!B7,U2805&lt;='01_설정'!B8),"Y",""))</f>
        <v/>
      </c>
      <c r="W2805" s="172">
        <f>IF(V2805&lt;&gt;"Y","",MAX(0,(1-R2805/'01_설정'!B5))*'01_설정'!B14+MAX(0,(1-S2805/'01_설정'!B6))*'01_설정'!B15+MAX(0,(1-T2805/'01_설정'!B7))*'01_설정'!B16+MAX(0,(1-U2805/'01_설정'!B8))*'01_설정'!B17+O2805*'01_설정'!B11+Q2805*'01_설정'!B12+P2805*'01_설정'!B13+IF(Z2805="",0,Z2805))</f>
        <v/>
      </c>
      <c r="X2805" s="152">
        <f>IF(W2805="","",1+COUNTIFS($W$4:$W$3003,"&gt;"&amp;W2805)+COUNTIFS($W$4:W2805,W2805)-1)</f>
        <v/>
      </c>
      <c r="Y2805" s="175">
        <f>IF(OR(I2805="",'02_대상물건입력'!B19="",'02_대상물건입력'!B19&lt;=0),"",ABS(I2805-'02_대상물건입력'!B19)/'02_대상물건입력'!B19)</f>
        <v/>
      </c>
      <c r="Z2805" s="172">
        <f>IF(OR(Y2805="",'01_설정'!B31="",'01_설정'!B31&lt;=0,'01_설정'!B32="",'01_설정'!B32&lt;=0),"",MAX(0,(1-Y2805/'01_설정'!B32))*'01_설정'!B31)</f>
        <v/>
      </c>
    </row>
    <row r="2806" ht="17.25" customHeight="1">
      <c r="A2806" s="152">
        <f>IF(INDEX('04A_국토부원자료'!$A:$A,ROW()+1)="","",ROW()-3)</f>
        <v/>
      </c>
      <c r="B2806" s="48">
        <f>IFERROR(INDEX('04A_국토부원자료'!$A:$T,ROW()+1,MATCH("시군구",'04A_국토부원자료'!$A$4:$T$4,0)),"")</f>
        <v/>
      </c>
      <c r="C2806" s="48">
        <f>IF(B2806="","",IFERROR(INDEX('04A_국토부원자료'!$A:$T,ROW()+1,MATCH("번지",'04A_국토부원자료'!$A$4:$T$4,0)),""))</f>
        <v/>
      </c>
      <c r="D2806" s="48">
        <f>IF(B2806="","",IF(Q2806=1,'02_대상물건입력'!$B$8,IFERROR(INDEX('04A_국토부원자료'!$A:$T,ROW()+1,MATCH("단지명",'04A_국토부원자료'!$A$4:$T$4,0)),"")))</f>
        <v/>
      </c>
      <c r="E2806" s="172">
        <f>IFERROR(VALUE(SUBSTITUTE(INDEX('04A_국토부원자료'!$A:$T,ROW()+1,MATCH("전용면적(㎡)",'04A_국토부원자료'!$A$4:$T$4,0)),",","")),"")</f>
        <v/>
      </c>
      <c r="F28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06" s="51">
        <f>IFERROR(VALUE(SUBSTITUTE(INDEX('04A_국토부원자료'!$A:$T,ROW()+1,MATCH("거래금액(만원)",'04A_국토부원자료'!$A$4:$T$4,0)),",","")),"")</f>
        <v/>
      </c>
      <c r="H2806" s="174">
        <f>IF(G2806="","",G2806*10000)</f>
        <v/>
      </c>
      <c r="I2806" s="174">
        <f>IFERROR(IF(AND(H2806&gt;0,E2806&gt;0),H2806/E2806,""),"")</f>
        <v/>
      </c>
      <c r="J2806" s="152">
        <f>IFERROR(VALUE(SUBSTITUTE(INDEX('04A_국토부원자료'!$A:$T,ROW()+1,MATCH("층",'04A_국토부원자료'!$A$4:$T$4,0)),",","")),"")</f>
        <v/>
      </c>
      <c r="K2806" s="152">
        <f>IFERROR(VALUE(SUBSTITUTE(INDEX('04A_국토부원자료'!$A:$T,ROW()+1,MATCH("건축년도",'04A_국토부원자료'!$A$4:$T$4,0)),",","")),"")</f>
        <v/>
      </c>
      <c r="L2806" s="48">
        <f>IFERROR(INDEX('04A_국토부원자료'!$A:$T,ROW()+1,MATCH("도로명",'04A_국토부원자료'!$A$4:$T$4,0)),"")</f>
        <v/>
      </c>
      <c r="M2806" s="48">
        <f>IFERROR(INDEX('04A_국토부원자료'!$A:$T,ROW()+1,MATCH("거래유형",'04A_국토부원자료'!$A$4:$T$4,0)),"")</f>
        <v/>
      </c>
      <c r="N2806" s="152">
        <f>IF(B2806="","",IF('02_대상물건입력'!B5="",1,IF(ISNUMBER(SEARCH('02_대상물건입력'!B5,B2806)),1,0)))</f>
        <v/>
      </c>
      <c r="O2806" s="152">
        <f>IF(B2806="","",IF('02_대상물건입력'!B6="",1,IF(ISNUMBER(SEARCH('02_대상물건입력'!B6,B2806)),1,0)))</f>
        <v/>
      </c>
      <c r="P2806" s="152">
        <f>IF(L2806="","",IF('02_대상물건입력'!B15="",0,IF(ISNUMBER(SEARCH('02_대상물건입력'!B15,L2806)),1,0)))</f>
        <v/>
      </c>
      <c r="Q2806" s="152">
        <f>IF(OR(C2806="",L2806=""),0,IF(AND(TRIM(C2806)=TRIM(RIGHT(SUBSTITUTE(TRIM('02_대상물건입력'!$B$7)," ",REPT(" ",99)),99)),IF('02_대상물건입력'!B15="",TRUE(),ISNUMBER(SEARCH('02_대상물건입력'!B15,L2806)))),1,0))</f>
        <v/>
      </c>
      <c r="R2806" s="175">
        <f>IFERROR(ABS(E2806-'02_대상물건입력'!B11)/'02_대상물건입력'!B11,"")</f>
        <v/>
      </c>
      <c r="S2806" s="152">
        <f>IFERROR(ABS(J2806-'02_대상물건입력'!B10),"")</f>
        <v/>
      </c>
      <c r="T2806" s="152">
        <f>IFERROR(ABS('01_설정'!B4-F2806),"")</f>
        <v/>
      </c>
      <c r="U2806" s="152">
        <f>IFERROR(ABS(K2806-YEAR('02_대상물건입력'!B14)),"")</f>
        <v/>
      </c>
      <c r="V2806" s="152">
        <f>IF(B2806="","",IF(AND(E2806&gt;0,F2806&gt;0,H2806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2806=1,TRUE()),R2806&lt;='01_설정'!B5,S2806&lt;='01_설정'!B6,T2806&lt;='01_설정'!B7,U2806&lt;='01_설정'!B8),"Y",""))</f>
        <v/>
      </c>
      <c r="W2806" s="172">
        <f>IF(V2806&lt;&gt;"Y","",MAX(0,(1-R2806/'01_설정'!B5))*'01_설정'!B14+MAX(0,(1-S2806/'01_설정'!B6))*'01_설정'!B15+MAX(0,(1-T2806/'01_설정'!B7))*'01_설정'!B16+MAX(0,(1-U2806/'01_설정'!B8))*'01_설정'!B17+O2806*'01_설정'!B11+Q2806*'01_설정'!B12+P2806*'01_설정'!B13+IF(Z2806="",0,Z2806))</f>
        <v/>
      </c>
      <c r="X2806" s="152">
        <f>IF(W2806="","",1+COUNTIFS($W$4:$W$3003,"&gt;"&amp;W2806)+COUNTIFS($W$4:W2806,W2806)-1)</f>
        <v/>
      </c>
      <c r="Y2806" s="175">
        <f>IF(OR(I2806="",'02_대상물건입력'!B19="",'02_대상물건입력'!B19&lt;=0),"",ABS(I2806-'02_대상물건입력'!B19)/'02_대상물건입력'!B19)</f>
        <v/>
      </c>
      <c r="Z2806" s="172">
        <f>IF(OR(Y2806="",'01_설정'!B31="",'01_설정'!B31&lt;=0,'01_설정'!B32="",'01_설정'!B32&lt;=0),"",MAX(0,(1-Y2806/'01_설정'!B32))*'01_설정'!B31)</f>
        <v/>
      </c>
    </row>
    <row r="2807" ht="17.25" customHeight="1">
      <c r="A2807" s="152">
        <f>IF(INDEX('04A_국토부원자료'!$A:$A,ROW()+1)="","",ROW()-3)</f>
        <v/>
      </c>
      <c r="B2807" s="48">
        <f>IFERROR(INDEX('04A_국토부원자료'!$A:$T,ROW()+1,MATCH("시군구",'04A_국토부원자료'!$A$4:$T$4,0)),"")</f>
        <v/>
      </c>
      <c r="C2807" s="48">
        <f>IF(B2807="","",IFERROR(INDEX('04A_국토부원자료'!$A:$T,ROW()+1,MATCH("번지",'04A_국토부원자료'!$A$4:$T$4,0)),""))</f>
        <v/>
      </c>
      <c r="D2807" s="48">
        <f>IF(B2807="","",IF(Q2807=1,'02_대상물건입력'!$B$8,IFERROR(INDEX('04A_국토부원자료'!$A:$T,ROW()+1,MATCH("단지명",'04A_국토부원자료'!$A$4:$T$4,0)),"")))</f>
        <v/>
      </c>
      <c r="E2807" s="172">
        <f>IFERROR(VALUE(SUBSTITUTE(INDEX('04A_국토부원자료'!$A:$T,ROW()+1,MATCH("전용면적(㎡)",'04A_국토부원자료'!$A$4:$T$4,0)),",","")),"")</f>
        <v/>
      </c>
      <c r="F28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07" s="51">
        <f>IFERROR(VALUE(SUBSTITUTE(INDEX('04A_국토부원자료'!$A:$T,ROW()+1,MATCH("거래금액(만원)",'04A_국토부원자료'!$A$4:$T$4,0)),",","")),"")</f>
        <v/>
      </c>
      <c r="H2807" s="174">
        <f>IF(G2807="","",G2807*10000)</f>
        <v/>
      </c>
      <c r="I2807" s="174">
        <f>IFERROR(IF(AND(H2807&gt;0,E2807&gt;0),H2807/E2807,""),"")</f>
        <v/>
      </c>
      <c r="J2807" s="152">
        <f>IFERROR(VALUE(SUBSTITUTE(INDEX('04A_국토부원자료'!$A:$T,ROW()+1,MATCH("층",'04A_국토부원자료'!$A$4:$T$4,0)),",","")),"")</f>
        <v/>
      </c>
      <c r="K2807" s="152">
        <f>IFERROR(VALUE(SUBSTITUTE(INDEX('04A_국토부원자료'!$A:$T,ROW()+1,MATCH("건축년도",'04A_국토부원자료'!$A$4:$T$4,0)),",","")),"")</f>
        <v/>
      </c>
      <c r="L2807" s="48">
        <f>IFERROR(INDEX('04A_국토부원자료'!$A:$T,ROW()+1,MATCH("도로명",'04A_국토부원자료'!$A$4:$T$4,0)),"")</f>
        <v/>
      </c>
      <c r="M2807" s="48">
        <f>IFERROR(INDEX('04A_국토부원자료'!$A:$T,ROW()+1,MATCH("거래유형",'04A_국토부원자료'!$A$4:$T$4,0)),"")</f>
        <v/>
      </c>
      <c r="N2807" s="152">
        <f>IF(B2807="","",IF('02_대상물건입력'!B5="",1,IF(ISNUMBER(SEARCH('02_대상물건입력'!B5,B2807)),1,0)))</f>
        <v/>
      </c>
      <c r="O2807" s="152">
        <f>IF(B2807="","",IF('02_대상물건입력'!B6="",1,IF(ISNUMBER(SEARCH('02_대상물건입력'!B6,B2807)),1,0)))</f>
        <v/>
      </c>
      <c r="P2807" s="152">
        <f>IF(L2807="","",IF('02_대상물건입력'!B15="",0,IF(ISNUMBER(SEARCH('02_대상물건입력'!B15,L2807)),1,0)))</f>
        <v/>
      </c>
      <c r="Q2807" s="152">
        <f>IF(OR(C2807="",L2807=""),0,IF(AND(TRIM(C2807)=TRIM(RIGHT(SUBSTITUTE(TRIM('02_대상물건입력'!$B$7)," ",REPT(" ",99)),99)),IF('02_대상물건입력'!B15="",TRUE(),ISNUMBER(SEARCH('02_대상물건입력'!B15,L2807)))),1,0))</f>
        <v/>
      </c>
      <c r="R2807" s="175">
        <f>IFERROR(ABS(E2807-'02_대상물건입력'!B11)/'02_대상물건입력'!B11,"")</f>
        <v/>
      </c>
      <c r="S2807" s="152">
        <f>IFERROR(ABS(J2807-'02_대상물건입력'!B10),"")</f>
        <v/>
      </c>
      <c r="T2807" s="152">
        <f>IFERROR(ABS('01_설정'!B4-F2807),"")</f>
        <v/>
      </c>
      <c r="U2807" s="152">
        <f>IFERROR(ABS(K2807-YEAR('02_대상물건입력'!B14)),"")</f>
        <v/>
      </c>
      <c r="V2807" s="152">
        <f>IF(B2807="","",IF(AND(E2807&gt;0,F2807&gt;0,H2807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2807=1,TRUE()),R2807&lt;='01_설정'!B5,S2807&lt;='01_설정'!B6,T2807&lt;='01_설정'!B7,U2807&lt;='01_설정'!B8),"Y",""))</f>
        <v/>
      </c>
      <c r="W2807" s="172">
        <f>IF(V2807&lt;&gt;"Y","",MAX(0,(1-R2807/'01_설정'!B5))*'01_설정'!B14+MAX(0,(1-S2807/'01_설정'!B6))*'01_설정'!B15+MAX(0,(1-T2807/'01_설정'!B7))*'01_설정'!B16+MAX(0,(1-U2807/'01_설정'!B8))*'01_설정'!B17+O2807*'01_설정'!B11+Q2807*'01_설정'!B12+P2807*'01_설정'!B13+IF(Z2807="",0,Z2807))</f>
        <v/>
      </c>
      <c r="X2807" s="152">
        <f>IF(W2807="","",1+COUNTIFS($W$4:$W$3003,"&gt;"&amp;W2807)+COUNTIFS($W$4:W2807,W2807)-1)</f>
        <v/>
      </c>
      <c r="Y2807" s="175">
        <f>IF(OR(I2807="",'02_대상물건입력'!B19="",'02_대상물건입력'!B19&lt;=0),"",ABS(I2807-'02_대상물건입력'!B19)/'02_대상물건입력'!B19)</f>
        <v/>
      </c>
      <c r="Z2807" s="172">
        <f>IF(OR(Y2807="",'01_설정'!B31="",'01_설정'!B31&lt;=0,'01_설정'!B32="",'01_설정'!B32&lt;=0),"",MAX(0,(1-Y2807/'01_설정'!B32))*'01_설정'!B31)</f>
        <v/>
      </c>
    </row>
    <row r="2808" ht="17.25" customHeight="1">
      <c r="A2808" s="152">
        <f>IF(INDEX('04A_국토부원자료'!$A:$A,ROW()+1)="","",ROW()-3)</f>
        <v/>
      </c>
      <c r="B2808" s="48">
        <f>IFERROR(INDEX('04A_국토부원자료'!$A:$T,ROW()+1,MATCH("시군구",'04A_국토부원자료'!$A$4:$T$4,0)),"")</f>
        <v/>
      </c>
      <c r="C2808" s="48">
        <f>IF(B2808="","",IFERROR(INDEX('04A_국토부원자료'!$A:$T,ROW()+1,MATCH("번지",'04A_국토부원자료'!$A$4:$T$4,0)),""))</f>
        <v/>
      </c>
      <c r="D2808" s="48">
        <f>IF(B2808="","",IF(Q2808=1,'02_대상물건입력'!$B$8,IFERROR(INDEX('04A_국토부원자료'!$A:$T,ROW()+1,MATCH("단지명",'04A_국토부원자료'!$A$4:$T$4,0)),"")))</f>
        <v/>
      </c>
      <c r="E2808" s="172">
        <f>IFERROR(VALUE(SUBSTITUTE(INDEX('04A_국토부원자료'!$A:$T,ROW()+1,MATCH("전용면적(㎡)",'04A_국토부원자료'!$A$4:$T$4,0)),",","")),"")</f>
        <v/>
      </c>
      <c r="F28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08" s="51">
        <f>IFERROR(VALUE(SUBSTITUTE(INDEX('04A_국토부원자료'!$A:$T,ROW()+1,MATCH("거래금액(만원)",'04A_국토부원자료'!$A$4:$T$4,0)),",","")),"")</f>
        <v/>
      </c>
      <c r="H2808" s="174">
        <f>IF(G2808="","",G2808*10000)</f>
        <v/>
      </c>
      <c r="I2808" s="174">
        <f>IFERROR(IF(AND(H2808&gt;0,E2808&gt;0),H2808/E2808,""),"")</f>
        <v/>
      </c>
      <c r="J2808" s="152">
        <f>IFERROR(VALUE(SUBSTITUTE(INDEX('04A_국토부원자료'!$A:$T,ROW()+1,MATCH("층",'04A_국토부원자료'!$A$4:$T$4,0)),",","")),"")</f>
        <v/>
      </c>
      <c r="K2808" s="152">
        <f>IFERROR(VALUE(SUBSTITUTE(INDEX('04A_국토부원자료'!$A:$T,ROW()+1,MATCH("건축년도",'04A_국토부원자료'!$A$4:$T$4,0)),",","")),"")</f>
        <v/>
      </c>
      <c r="L2808" s="48">
        <f>IFERROR(INDEX('04A_국토부원자료'!$A:$T,ROW()+1,MATCH("도로명",'04A_국토부원자료'!$A$4:$T$4,0)),"")</f>
        <v/>
      </c>
      <c r="M2808" s="48">
        <f>IFERROR(INDEX('04A_국토부원자료'!$A:$T,ROW()+1,MATCH("거래유형",'04A_국토부원자료'!$A$4:$T$4,0)),"")</f>
        <v/>
      </c>
      <c r="N2808" s="152">
        <f>IF(B2808="","",IF('02_대상물건입력'!B5="",1,IF(ISNUMBER(SEARCH('02_대상물건입력'!B5,B2808)),1,0)))</f>
        <v/>
      </c>
      <c r="O2808" s="152">
        <f>IF(B2808="","",IF('02_대상물건입력'!B6="",1,IF(ISNUMBER(SEARCH('02_대상물건입력'!B6,B2808)),1,0)))</f>
        <v/>
      </c>
      <c r="P2808" s="152">
        <f>IF(L2808="","",IF('02_대상물건입력'!B15="",0,IF(ISNUMBER(SEARCH('02_대상물건입력'!B15,L2808)),1,0)))</f>
        <v/>
      </c>
      <c r="Q2808" s="152">
        <f>IF(OR(C2808="",L2808=""),0,IF(AND(TRIM(C2808)=TRIM(RIGHT(SUBSTITUTE(TRIM('02_대상물건입력'!$B$7)," ",REPT(" ",99)),99)),IF('02_대상물건입력'!B15="",TRUE(),ISNUMBER(SEARCH('02_대상물건입력'!B15,L2808)))),1,0))</f>
        <v/>
      </c>
      <c r="R2808" s="175">
        <f>IFERROR(ABS(E2808-'02_대상물건입력'!B11)/'02_대상물건입력'!B11,"")</f>
        <v/>
      </c>
      <c r="S2808" s="152">
        <f>IFERROR(ABS(J2808-'02_대상물건입력'!B10),"")</f>
        <v/>
      </c>
      <c r="T2808" s="152">
        <f>IFERROR(ABS('01_설정'!B4-F2808),"")</f>
        <v/>
      </c>
      <c r="U2808" s="152">
        <f>IFERROR(ABS(K2808-YEAR('02_대상물건입력'!B14)),"")</f>
        <v/>
      </c>
      <c r="V2808" s="152">
        <f>IF(B2808="","",IF(AND(E2808&gt;0,F2808&gt;0,H2808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2808=1,TRUE()),R2808&lt;='01_설정'!B5,S2808&lt;='01_설정'!B6,T2808&lt;='01_설정'!B7,U2808&lt;='01_설정'!B8),"Y",""))</f>
        <v/>
      </c>
      <c r="W2808" s="172">
        <f>IF(V2808&lt;&gt;"Y","",MAX(0,(1-R2808/'01_설정'!B5))*'01_설정'!B14+MAX(0,(1-S2808/'01_설정'!B6))*'01_설정'!B15+MAX(0,(1-T2808/'01_설정'!B7))*'01_설정'!B16+MAX(0,(1-U2808/'01_설정'!B8))*'01_설정'!B17+O2808*'01_설정'!B11+Q2808*'01_설정'!B12+P2808*'01_설정'!B13+IF(Z2808="",0,Z2808))</f>
        <v/>
      </c>
      <c r="X2808" s="152">
        <f>IF(W2808="","",1+COUNTIFS($W$4:$W$3003,"&gt;"&amp;W2808)+COUNTIFS($W$4:W2808,W2808)-1)</f>
        <v/>
      </c>
      <c r="Y2808" s="175">
        <f>IF(OR(I2808="",'02_대상물건입력'!B19="",'02_대상물건입력'!B19&lt;=0),"",ABS(I2808-'02_대상물건입력'!B19)/'02_대상물건입력'!B19)</f>
        <v/>
      </c>
      <c r="Z2808" s="172">
        <f>IF(OR(Y2808="",'01_설정'!B31="",'01_설정'!B31&lt;=0,'01_설정'!B32="",'01_설정'!B32&lt;=0),"",MAX(0,(1-Y2808/'01_설정'!B32))*'01_설정'!B31)</f>
        <v/>
      </c>
    </row>
    <row r="2809" ht="17.25" customHeight="1">
      <c r="A2809" s="152">
        <f>IF(INDEX('04A_국토부원자료'!$A:$A,ROW()+1)="","",ROW()-3)</f>
        <v/>
      </c>
      <c r="B2809" s="48">
        <f>IFERROR(INDEX('04A_국토부원자료'!$A:$T,ROW()+1,MATCH("시군구",'04A_국토부원자료'!$A$4:$T$4,0)),"")</f>
        <v/>
      </c>
      <c r="C2809" s="48">
        <f>IF(B2809="","",IFERROR(INDEX('04A_국토부원자료'!$A:$T,ROW()+1,MATCH("번지",'04A_국토부원자료'!$A$4:$T$4,0)),""))</f>
        <v/>
      </c>
      <c r="D2809" s="48">
        <f>IF(B2809="","",IF(Q2809=1,'02_대상물건입력'!$B$8,IFERROR(INDEX('04A_국토부원자료'!$A:$T,ROW()+1,MATCH("단지명",'04A_국토부원자료'!$A$4:$T$4,0)),"")))</f>
        <v/>
      </c>
      <c r="E2809" s="172">
        <f>IFERROR(VALUE(SUBSTITUTE(INDEX('04A_국토부원자료'!$A:$T,ROW()+1,MATCH("전용면적(㎡)",'04A_국토부원자료'!$A$4:$T$4,0)),",","")),"")</f>
        <v/>
      </c>
      <c r="F28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09" s="51">
        <f>IFERROR(VALUE(SUBSTITUTE(INDEX('04A_국토부원자료'!$A:$T,ROW()+1,MATCH("거래금액(만원)",'04A_국토부원자료'!$A$4:$T$4,0)),",","")),"")</f>
        <v/>
      </c>
      <c r="H2809" s="174">
        <f>IF(G2809="","",G2809*10000)</f>
        <v/>
      </c>
      <c r="I2809" s="174">
        <f>IFERROR(IF(AND(H2809&gt;0,E2809&gt;0),H2809/E2809,""),"")</f>
        <v/>
      </c>
      <c r="J2809" s="152">
        <f>IFERROR(VALUE(SUBSTITUTE(INDEX('04A_국토부원자료'!$A:$T,ROW()+1,MATCH("층",'04A_국토부원자료'!$A$4:$T$4,0)),",","")),"")</f>
        <v/>
      </c>
      <c r="K2809" s="152">
        <f>IFERROR(VALUE(SUBSTITUTE(INDEX('04A_국토부원자료'!$A:$T,ROW()+1,MATCH("건축년도",'04A_국토부원자료'!$A$4:$T$4,0)),",","")),"")</f>
        <v/>
      </c>
      <c r="L2809" s="48">
        <f>IFERROR(INDEX('04A_국토부원자료'!$A:$T,ROW()+1,MATCH("도로명",'04A_국토부원자료'!$A$4:$T$4,0)),"")</f>
        <v/>
      </c>
      <c r="M2809" s="48">
        <f>IFERROR(INDEX('04A_국토부원자료'!$A:$T,ROW()+1,MATCH("거래유형",'04A_국토부원자료'!$A$4:$T$4,0)),"")</f>
        <v/>
      </c>
      <c r="N2809" s="152">
        <f>IF(B2809="","",IF('02_대상물건입력'!B5="",1,IF(ISNUMBER(SEARCH('02_대상물건입력'!B5,B2809)),1,0)))</f>
        <v/>
      </c>
      <c r="O2809" s="152">
        <f>IF(B2809="","",IF('02_대상물건입력'!B6="",1,IF(ISNUMBER(SEARCH('02_대상물건입력'!B6,B2809)),1,0)))</f>
        <v/>
      </c>
      <c r="P2809" s="152">
        <f>IF(L2809="","",IF('02_대상물건입력'!B15="",0,IF(ISNUMBER(SEARCH('02_대상물건입력'!B15,L2809)),1,0)))</f>
        <v/>
      </c>
      <c r="Q2809" s="152">
        <f>IF(OR(C2809="",L2809=""),0,IF(AND(TRIM(C2809)=TRIM(RIGHT(SUBSTITUTE(TRIM('02_대상물건입력'!$B$7)," ",REPT(" ",99)),99)),IF('02_대상물건입력'!B15="",TRUE(),ISNUMBER(SEARCH('02_대상물건입력'!B15,L2809)))),1,0))</f>
        <v/>
      </c>
      <c r="R2809" s="175">
        <f>IFERROR(ABS(E2809-'02_대상물건입력'!B11)/'02_대상물건입력'!B11,"")</f>
        <v/>
      </c>
      <c r="S2809" s="152">
        <f>IFERROR(ABS(J2809-'02_대상물건입력'!B10),"")</f>
        <v/>
      </c>
      <c r="T2809" s="152">
        <f>IFERROR(ABS('01_설정'!B4-F2809),"")</f>
        <v/>
      </c>
      <c r="U2809" s="152">
        <f>IFERROR(ABS(K2809-YEAR('02_대상물건입력'!B14)),"")</f>
        <v/>
      </c>
      <c r="V2809" s="152">
        <f>IF(B2809="","",IF(AND(E2809&gt;0,F2809&gt;0,H2809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2809=1,TRUE()),R2809&lt;='01_설정'!B5,S2809&lt;='01_설정'!B6,T2809&lt;='01_설정'!B7,U2809&lt;='01_설정'!B8),"Y",""))</f>
        <v/>
      </c>
      <c r="W2809" s="172">
        <f>IF(V2809&lt;&gt;"Y","",MAX(0,(1-R2809/'01_설정'!B5))*'01_설정'!B14+MAX(0,(1-S2809/'01_설정'!B6))*'01_설정'!B15+MAX(0,(1-T2809/'01_설정'!B7))*'01_설정'!B16+MAX(0,(1-U2809/'01_설정'!B8))*'01_설정'!B17+O2809*'01_설정'!B11+Q2809*'01_설정'!B12+P2809*'01_설정'!B13+IF(Z2809="",0,Z2809))</f>
        <v/>
      </c>
      <c r="X2809" s="152">
        <f>IF(W2809="","",1+COUNTIFS($W$4:$W$3003,"&gt;"&amp;W2809)+COUNTIFS($W$4:W2809,W2809)-1)</f>
        <v/>
      </c>
      <c r="Y2809" s="175">
        <f>IF(OR(I2809="",'02_대상물건입력'!B19="",'02_대상물건입력'!B19&lt;=0),"",ABS(I2809-'02_대상물건입력'!B19)/'02_대상물건입력'!B19)</f>
        <v/>
      </c>
      <c r="Z2809" s="172">
        <f>IF(OR(Y2809="",'01_설정'!B31="",'01_설정'!B31&lt;=0,'01_설정'!B32="",'01_설정'!B32&lt;=0),"",MAX(0,(1-Y2809/'01_설정'!B32))*'01_설정'!B31)</f>
        <v/>
      </c>
    </row>
    <row r="2810" ht="17.25" customHeight="1">
      <c r="A2810" s="152">
        <f>IF(INDEX('04A_국토부원자료'!$A:$A,ROW()+1)="","",ROW()-3)</f>
        <v/>
      </c>
      <c r="B2810" s="48">
        <f>IFERROR(INDEX('04A_국토부원자료'!$A:$T,ROW()+1,MATCH("시군구",'04A_국토부원자료'!$A$4:$T$4,0)),"")</f>
        <v/>
      </c>
      <c r="C2810" s="48">
        <f>IF(B2810="","",IFERROR(INDEX('04A_국토부원자료'!$A:$T,ROW()+1,MATCH("번지",'04A_국토부원자료'!$A$4:$T$4,0)),""))</f>
        <v/>
      </c>
      <c r="D2810" s="48">
        <f>IF(B2810="","",IF(Q2810=1,'02_대상물건입력'!$B$8,IFERROR(INDEX('04A_국토부원자료'!$A:$T,ROW()+1,MATCH("단지명",'04A_국토부원자료'!$A$4:$T$4,0)),"")))</f>
        <v/>
      </c>
      <c r="E2810" s="172">
        <f>IFERROR(VALUE(SUBSTITUTE(INDEX('04A_국토부원자료'!$A:$T,ROW()+1,MATCH("전용면적(㎡)",'04A_국토부원자료'!$A$4:$T$4,0)),",","")),"")</f>
        <v/>
      </c>
      <c r="F28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10" s="51">
        <f>IFERROR(VALUE(SUBSTITUTE(INDEX('04A_국토부원자료'!$A:$T,ROW()+1,MATCH("거래금액(만원)",'04A_국토부원자료'!$A$4:$T$4,0)),",","")),"")</f>
        <v/>
      </c>
      <c r="H2810" s="174">
        <f>IF(G2810="","",G2810*10000)</f>
        <v/>
      </c>
      <c r="I2810" s="174">
        <f>IFERROR(IF(AND(H2810&gt;0,E2810&gt;0),H2810/E2810,""),"")</f>
        <v/>
      </c>
      <c r="J2810" s="152">
        <f>IFERROR(VALUE(SUBSTITUTE(INDEX('04A_국토부원자료'!$A:$T,ROW()+1,MATCH("층",'04A_국토부원자료'!$A$4:$T$4,0)),",","")),"")</f>
        <v/>
      </c>
      <c r="K2810" s="152">
        <f>IFERROR(VALUE(SUBSTITUTE(INDEX('04A_국토부원자료'!$A:$T,ROW()+1,MATCH("건축년도",'04A_국토부원자료'!$A$4:$T$4,0)),",","")),"")</f>
        <v/>
      </c>
      <c r="L2810" s="48">
        <f>IFERROR(INDEX('04A_국토부원자료'!$A:$T,ROW()+1,MATCH("도로명",'04A_국토부원자료'!$A$4:$T$4,0)),"")</f>
        <v/>
      </c>
      <c r="M2810" s="48">
        <f>IFERROR(INDEX('04A_국토부원자료'!$A:$T,ROW()+1,MATCH("거래유형",'04A_국토부원자료'!$A$4:$T$4,0)),"")</f>
        <v/>
      </c>
      <c r="N2810" s="152">
        <f>IF(B2810="","",IF('02_대상물건입력'!B5="",1,IF(ISNUMBER(SEARCH('02_대상물건입력'!B5,B2810)),1,0)))</f>
        <v/>
      </c>
      <c r="O2810" s="152">
        <f>IF(B2810="","",IF('02_대상물건입력'!B6="",1,IF(ISNUMBER(SEARCH('02_대상물건입력'!B6,B2810)),1,0)))</f>
        <v/>
      </c>
      <c r="P2810" s="152">
        <f>IF(L2810="","",IF('02_대상물건입력'!B15="",0,IF(ISNUMBER(SEARCH('02_대상물건입력'!B15,L2810)),1,0)))</f>
        <v/>
      </c>
      <c r="Q2810" s="152">
        <f>IF(OR(C2810="",L2810=""),0,IF(AND(TRIM(C2810)=TRIM(RIGHT(SUBSTITUTE(TRIM('02_대상물건입력'!$B$7)," ",REPT(" ",99)),99)),IF('02_대상물건입력'!B15="",TRUE(),ISNUMBER(SEARCH('02_대상물건입력'!B15,L2810)))),1,0))</f>
        <v/>
      </c>
      <c r="R2810" s="175">
        <f>IFERROR(ABS(E2810-'02_대상물건입력'!B11)/'02_대상물건입력'!B11,"")</f>
        <v/>
      </c>
      <c r="S2810" s="152">
        <f>IFERROR(ABS(J2810-'02_대상물건입력'!B10),"")</f>
        <v/>
      </c>
      <c r="T2810" s="152">
        <f>IFERROR(ABS('01_설정'!B4-F2810),"")</f>
        <v/>
      </c>
      <c r="U2810" s="152">
        <f>IFERROR(ABS(K2810-YEAR('02_대상물건입력'!B14)),"")</f>
        <v/>
      </c>
      <c r="V2810" s="152">
        <f>IF(B2810="","",IF(AND(E2810&gt;0,F2810&gt;0,H2810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2810=1,TRUE()),R2810&lt;='01_설정'!B5,S2810&lt;='01_설정'!B6,T2810&lt;='01_설정'!B7,U2810&lt;='01_설정'!B8),"Y",""))</f>
        <v/>
      </c>
      <c r="W2810" s="172">
        <f>IF(V2810&lt;&gt;"Y","",MAX(0,(1-R2810/'01_설정'!B5))*'01_설정'!B14+MAX(0,(1-S2810/'01_설정'!B6))*'01_설정'!B15+MAX(0,(1-T2810/'01_설정'!B7))*'01_설정'!B16+MAX(0,(1-U2810/'01_설정'!B8))*'01_설정'!B17+O2810*'01_설정'!B11+Q2810*'01_설정'!B12+P2810*'01_설정'!B13+IF(Z2810="",0,Z2810))</f>
        <v/>
      </c>
      <c r="X2810" s="152">
        <f>IF(W2810="","",1+COUNTIFS($W$4:$W$3003,"&gt;"&amp;W2810)+COUNTIFS($W$4:W2810,W2810)-1)</f>
        <v/>
      </c>
      <c r="Y2810" s="175">
        <f>IF(OR(I2810="",'02_대상물건입력'!B19="",'02_대상물건입력'!B19&lt;=0),"",ABS(I2810-'02_대상물건입력'!B19)/'02_대상물건입력'!B19)</f>
        <v/>
      </c>
      <c r="Z2810" s="172">
        <f>IF(OR(Y2810="",'01_설정'!B31="",'01_설정'!B31&lt;=0,'01_설정'!B32="",'01_설정'!B32&lt;=0),"",MAX(0,(1-Y2810/'01_설정'!B32))*'01_설정'!B31)</f>
        <v/>
      </c>
    </row>
    <row r="2811" ht="17.25" customHeight="1">
      <c r="A2811" s="152">
        <f>IF(INDEX('04A_국토부원자료'!$A:$A,ROW()+1)="","",ROW()-3)</f>
        <v/>
      </c>
      <c r="B2811" s="48">
        <f>IFERROR(INDEX('04A_국토부원자료'!$A:$T,ROW()+1,MATCH("시군구",'04A_국토부원자료'!$A$4:$T$4,0)),"")</f>
        <v/>
      </c>
      <c r="C2811" s="48">
        <f>IF(B2811="","",IFERROR(INDEX('04A_국토부원자료'!$A:$T,ROW()+1,MATCH("번지",'04A_국토부원자료'!$A$4:$T$4,0)),""))</f>
        <v/>
      </c>
      <c r="D2811" s="48">
        <f>IF(B2811="","",IF(Q2811=1,'02_대상물건입력'!$B$8,IFERROR(INDEX('04A_국토부원자료'!$A:$T,ROW()+1,MATCH("단지명",'04A_국토부원자료'!$A$4:$T$4,0)),"")))</f>
        <v/>
      </c>
      <c r="E2811" s="172">
        <f>IFERROR(VALUE(SUBSTITUTE(INDEX('04A_국토부원자료'!$A:$T,ROW()+1,MATCH("전용면적(㎡)",'04A_국토부원자료'!$A$4:$T$4,0)),",","")),"")</f>
        <v/>
      </c>
      <c r="F28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11" s="51">
        <f>IFERROR(VALUE(SUBSTITUTE(INDEX('04A_국토부원자료'!$A:$T,ROW()+1,MATCH("거래금액(만원)",'04A_국토부원자료'!$A$4:$T$4,0)),",","")),"")</f>
        <v/>
      </c>
      <c r="H2811" s="174">
        <f>IF(G2811="","",G2811*10000)</f>
        <v/>
      </c>
      <c r="I2811" s="174">
        <f>IFERROR(IF(AND(H2811&gt;0,E2811&gt;0),H2811/E2811,""),"")</f>
        <v/>
      </c>
      <c r="J2811" s="152">
        <f>IFERROR(VALUE(SUBSTITUTE(INDEX('04A_국토부원자료'!$A:$T,ROW()+1,MATCH("층",'04A_국토부원자료'!$A$4:$T$4,0)),",","")),"")</f>
        <v/>
      </c>
      <c r="K2811" s="152">
        <f>IFERROR(VALUE(SUBSTITUTE(INDEX('04A_국토부원자료'!$A:$T,ROW()+1,MATCH("건축년도",'04A_국토부원자료'!$A$4:$T$4,0)),",","")),"")</f>
        <v/>
      </c>
      <c r="L2811" s="48">
        <f>IFERROR(INDEX('04A_국토부원자료'!$A:$T,ROW()+1,MATCH("도로명",'04A_국토부원자료'!$A$4:$T$4,0)),"")</f>
        <v/>
      </c>
      <c r="M2811" s="48">
        <f>IFERROR(INDEX('04A_국토부원자료'!$A:$T,ROW()+1,MATCH("거래유형",'04A_국토부원자료'!$A$4:$T$4,0)),"")</f>
        <v/>
      </c>
      <c r="N2811" s="152">
        <f>IF(B2811="","",IF('02_대상물건입력'!B5="",1,IF(ISNUMBER(SEARCH('02_대상물건입력'!B5,B2811)),1,0)))</f>
        <v/>
      </c>
      <c r="O2811" s="152">
        <f>IF(B2811="","",IF('02_대상물건입력'!B6="",1,IF(ISNUMBER(SEARCH('02_대상물건입력'!B6,B2811)),1,0)))</f>
        <v/>
      </c>
      <c r="P2811" s="152">
        <f>IF(L2811="","",IF('02_대상물건입력'!B15="",0,IF(ISNUMBER(SEARCH('02_대상물건입력'!B15,L2811)),1,0)))</f>
        <v/>
      </c>
      <c r="Q2811" s="152">
        <f>IF(OR(C2811="",L2811=""),0,IF(AND(TRIM(C2811)=TRIM(RIGHT(SUBSTITUTE(TRIM('02_대상물건입력'!$B$7)," ",REPT(" ",99)),99)),IF('02_대상물건입력'!B15="",TRUE(),ISNUMBER(SEARCH('02_대상물건입력'!B15,L2811)))),1,0))</f>
        <v/>
      </c>
      <c r="R2811" s="175">
        <f>IFERROR(ABS(E2811-'02_대상물건입력'!B11)/'02_대상물건입력'!B11,"")</f>
        <v/>
      </c>
      <c r="S2811" s="152">
        <f>IFERROR(ABS(J2811-'02_대상물건입력'!B10),"")</f>
        <v/>
      </c>
      <c r="T2811" s="152">
        <f>IFERROR(ABS('01_설정'!B4-F2811),"")</f>
        <v/>
      </c>
      <c r="U2811" s="152">
        <f>IFERROR(ABS(K2811-YEAR('02_대상물건입력'!B14)),"")</f>
        <v/>
      </c>
      <c r="V2811" s="152">
        <f>IF(B2811="","",IF(AND(E2811&gt;0,F2811&gt;0,H2811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2811=1,TRUE()),R2811&lt;='01_설정'!B5,S2811&lt;='01_설정'!B6,T2811&lt;='01_설정'!B7,U2811&lt;='01_설정'!B8),"Y",""))</f>
        <v/>
      </c>
      <c r="W2811" s="172">
        <f>IF(V2811&lt;&gt;"Y","",MAX(0,(1-R2811/'01_설정'!B5))*'01_설정'!B14+MAX(0,(1-S2811/'01_설정'!B6))*'01_설정'!B15+MAX(0,(1-T2811/'01_설정'!B7))*'01_설정'!B16+MAX(0,(1-U2811/'01_설정'!B8))*'01_설정'!B17+O2811*'01_설정'!B11+Q2811*'01_설정'!B12+P2811*'01_설정'!B13+IF(Z2811="",0,Z2811))</f>
        <v/>
      </c>
      <c r="X2811" s="152">
        <f>IF(W2811="","",1+COUNTIFS($W$4:$W$3003,"&gt;"&amp;W2811)+COUNTIFS($W$4:W2811,W2811)-1)</f>
        <v/>
      </c>
      <c r="Y2811" s="175">
        <f>IF(OR(I2811="",'02_대상물건입력'!B19="",'02_대상물건입력'!B19&lt;=0),"",ABS(I2811-'02_대상물건입력'!B19)/'02_대상물건입력'!B19)</f>
        <v/>
      </c>
      <c r="Z2811" s="172">
        <f>IF(OR(Y2811="",'01_설정'!B31="",'01_설정'!B31&lt;=0,'01_설정'!B32="",'01_설정'!B32&lt;=0),"",MAX(0,(1-Y2811/'01_설정'!B32))*'01_설정'!B31)</f>
        <v/>
      </c>
    </row>
    <row r="2812" ht="17.25" customHeight="1">
      <c r="A2812" s="152">
        <f>IF(INDEX('04A_국토부원자료'!$A:$A,ROW()+1)="","",ROW()-3)</f>
        <v/>
      </c>
      <c r="B2812" s="48">
        <f>IFERROR(INDEX('04A_국토부원자료'!$A:$T,ROW()+1,MATCH("시군구",'04A_국토부원자료'!$A$4:$T$4,0)),"")</f>
        <v/>
      </c>
      <c r="C2812" s="48">
        <f>IF(B2812="","",IFERROR(INDEX('04A_국토부원자료'!$A:$T,ROW()+1,MATCH("번지",'04A_국토부원자료'!$A$4:$T$4,0)),""))</f>
        <v/>
      </c>
      <c r="D2812" s="48">
        <f>IF(B2812="","",IF(Q2812=1,'02_대상물건입력'!$B$8,IFERROR(INDEX('04A_국토부원자료'!$A:$T,ROW()+1,MATCH("단지명",'04A_국토부원자료'!$A$4:$T$4,0)),"")))</f>
        <v/>
      </c>
      <c r="E2812" s="172">
        <f>IFERROR(VALUE(SUBSTITUTE(INDEX('04A_국토부원자료'!$A:$T,ROW()+1,MATCH("전용면적(㎡)",'04A_국토부원자료'!$A$4:$T$4,0)),",","")),"")</f>
        <v/>
      </c>
      <c r="F28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12" s="51">
        <f>IFERROR(VALUE(SUBSTITUTE(INDEX('04A_국토부원자료'!$A:$T,ROW()+1,MATCH("거래금액(만원)",'04A_국토부원자료'!$A$4:$T$4,0)),",","")),"")</f>
        <v/>
      </c>
      <c r="H2812" s="174">
        <f>IF(G2812="","",G2812*10000)</f>
        <v/>
      </c>
      <c r="I2812" s="174">
        <f>IFERROR(IF(AND(H2812&gt;0,E2812&gt;0),H2812/E2812,""),"")</f>
        <v/>
      </c>
      <c r="J2812" s="152">
        <f>IFERROR(VALUE(SUBSTITUTE(INDEX('04A_국토부원자료'!$A:$T,ROW()+1,MATCH("층",'04A_국토부원자료'!$A$4:$T$4,0)),",","")),"")</f>
        <v/>
      </c>
      <c r="K2812" s="152">
        <f>IFERROR(VALUE(SUBSTITUTE(INDEX('04A_국토부원자료'!$A:$T,ROW()+1,MATCH("건축년도",'04A_국토부원자료'!$A$4:$T$4,0)),",","")),"")</f>
        <v/>
      </c>
      <c r="L2812" s="48">
        <f>IFERROR(INDEX('04A_국토부원자료'!$A:$T,ROW()+1,MATCH("도로명",'04A_국토부원자료'!$A$4:$T$4,0)),"")</f>
        <v/>
      </c>
      <c r="M2812" s="48">
        <f>IFERROR(INDEX('04A_국토부원자료'!$A:$T,ROW()+1,MATCH("거래유형",'04A_국토부원자료'!$A$4:$T$4,0)),"")</f>
        <v/>
      </c>
      <c r="N2812" s="152">
        <f>IF(B2812="","",IF('02_대상물건입력'!B5="",1,IF(ISNUMBER(SEARCH('02_대상물건입력'!B5,B2812)),1,0)))</f>
        <v/>
      </c>
      <c r="O2812" s="152">
        <f>IF(B2812="","",IF('02_대상물건입력'!B6="",1,IF(ISNUMBER(SEARCH('02_대상물건입력'!B6,B2812)),1,0)))</f>
        <v/>
      </c>
      <c r="P2812" s="152">
        <f>IF(L2812="","",IF('02_대상물건입력'!B15="",0,IF(ISNUMBER(SEARCH('02_대상물건입력'!B15,L2812)),1,0)))</f>
        <v/>
      </c>
      <c r="Q2812" s="152">
        <f>IF(OR(C2812="",L2812=""),0,IF(AND(TRIM(C2812)=TRIM(RIGHT(SUBSTITUTE(TRIM('02_대상물건입력'!$B$7)," ",REPT(" ",99)),99)),IF('02_대상물건입력'!B15="",TRUE(),ISNUMBER(SEARCH('02_대상물건입력'!B15,L2812)))),1,0))</f>
        <v/>
      </c>
      <c r="R2812" s="175">
        <f>IFERROR(ABS(E2812-'02_대상물건입력'!B11)/'02_대상물건입력'!B11,"")</f>
        <v/>
      </c>
      <c r="S2812" s="152">
        <f>IFERROR(ABS(J2812-'02_대상물건입력'!B10),"")</f>
        <v/>
      </c>
      <c r="T2812" s="152">
        <f>IFERROR(ABS('01_설정'!B4-F2812),"")</f>
        <v/>
      </c>
      <c r="U2812" s="152">
        <f>IFERROR(ABS(K2812-YEAR('02_대상물건입력'!B14)),"")</f>
        <v/>
      </c>
      <c r="V2812" s="152">
        <f>IF(B2812="","",IF(AND(E2812&gt;0,F2812&gt;0,H2812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2812=1,TRUE()),R2812&lt;='01_설정'!B5,S2812&lt;='01_설정'!B6,T2812&lt;='01_설정'!B7,U2812&lt;='01_설정'!B8),"Y",""))</f>
        <v/>
      </c>
      <c r="W2812" s="172">
        <f>IF(V2812&lt;&gt;"Y","",MAX(0,(1-R2812/'01_설정'!B5))*'01_설정'!B14+MAX(0,(1-S2812/'01_설정'!B6))*'01_설정'!B15+MAX(0,(1-T2812/'01_설정'!B7))*'01_설정'!B16+MAX(0,(1-U2812/'01_설정'!B8))*'01_설정'!B17+O2812*'01_설정'!B11+Q2812*'01_설정'!B12+P2812*'01_설정'!B13+IF(Z2812="",0,Z2812))</f>
        <v/>
      </c>
      <c r="X2812" s="152">
        <f>IF(W2812="","",1+COUNTIFS($W$4:$W$3003,"&gt;"&amp;W2812)+COUNTIFS($W$4:W2812,W2812)-1)</f>
        <v/>
      </c>
      <c r="Y2812" s="175">
        <f>IF(OR(I2812="",'02_대상물건입력'!B19="",'02_대상물건입력'!B19&lt;=0),"",ABS(I2812-'02_대상물건입력'!B19)/'02_대상물건입력'!B19)</f>
        <v/>
      </c>
      <c r="Z2812" s="172">
        <f>IF(OR(Y2812="",'01_설정'!B31="",'01_설정'!B31&lt;=0,'01_설정'!B32="",'01_설정'!B32&lt;=0),"",MAX(0,(1-Y2812/'01_설정'!B32))*'01_설정'!B31)</f>
        <v/>
      </c>
    </row>
    <row r="2813" ht="17.25" customHeight="1">
      <c r="A2813" s="152">
        <f>IF(INDEX('04A_국토부원자료'!$A:$A,ROW()+1)="","",ROW()-3)</f>
        <v/>
      </c>
      <c r="B2813" s="48">
        <f>IFERROR(INDEX('04A_국토부원자료'!$A:$T,ROW()+1,MATCH("시군구",'04A_국토부원자료'!$A$4:$T$4,0)),"")</f>
        <v/>
      </c>
      <c r="C2813" s="48">
        <f>IF(B2813="","",IFERROR(INDEX('04A_국토부원자료'!$A:$T,ROW()+1,MATCH("번지",'04A_국토부원자료'!$A$4:$T$4,0)),""))</f>
        <v/>
      </c>
      <c r="D2813" s="48">
        <f>IF(B2813="","",IF(Q2813=1,'02_대상물건입력'!$B$8,IFERROR(INDEX('04A_국토부원자료'!$A:$T,ROW()+1,MATCH("단지명",'04A_국토부원자료'!$A$4:$T$4,0)),"")))</f>
        <v/>
      </c>
      <c r="E2813" s="172">
        <f>IFERROR(VALUE(SUBSTITUTE(INDEX('04A_국토부원자료'!$A:$T,ROW()+1,MATCH("전용면적(㎡)",'04A_국토부원자료'!$A$4:$T$4,0)),",","")),"")</f>
        <v/>
      </c>
      <c r="F28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13" s="51">
        <f>IFERROR(VALUE(SUBSTITUTE(INDEX('04A_국토부원자료'!$A:$T,ROW()+1,MATCH("거래금액(만원)",'04A_국토부원자료'!$A$4:$T$4,0)),",","")),"")</f>
        <v/>
      </c>
      <c r="H2813" s="174">
        <f>IF(G2813="","",G2813*10000)</f>
        <v/>
      </c>
      <c r="I2813" s="174">
        <f>IFERROR(IF(AND(H2813&gt;0,E2813&gt;0),H2813/E2813,""),"")</f>
        <v/>
      </c>
      <c r="J2813" s="152">
        <f>IFERROR(VALUE(SUBSTITUTE(INDEX('04A_국토부원자료'!$A:$T,ROW()+1,MATCH("층",'04A_국토부원자료'!$A$4:$T$4,0)),",","")),"")</f>
        <v/>
      </c>
      <c r="K2813" s="152">
        <f>IFERROR(VALUE(SUBSTITUTE(INDEX('04A_국토부원자료'!$A:$T,ROW()+1,MATCH("건축년도",'04A_국토부원자료'!$A$4:$T$4,0)),",","")),"")</f>
        <v/>
      </c>
      <c r="L2813" s="48">
        <f>IFERROR(INDEX('04A_국토부원자료'!$A:$T,ROW()+1,MATCH("도로명",'04A_국토부원자료'!$A$4:$T$4,0)),"")</f>
        <v/>
      </c>
      <c r="M2813" s="48">
        <f>IFERROR(INDEX('04A_국토부원자료'!$A:$T,ROW()+1,MATCH("거래유형",'04A_국토부원자료'!$A$4:$T$4,0)),"")</f>
        <v/>
      </c>
      <c r="N2813" s="152">
        <f>IF(B2813="","",IF('02_대상물건입력'!B5="",1,IF(ISNUMBER(SEARCH('02_대상물건입력'!B5,B2813)),1,0)))</f>
        <v/>
      </c>
      <c r="O2813" s="152">
        <f>IF(B2813="","",IF('02_대상물건입력'!B6="",1,IF(ISNUMBER(SEARCH('02_대상물건입력'!B6,B2813)),1,0)))</f>
        <v/>
      </c>
      <c r="P2813" s="152">
        <f>IF(L2813="","",IF('02_대상물건입력'!B15="",0,IF(ISNUMBER(SEARCH('02_대상물건입력'!B15,L2813)),1,0)))</f>
        <v/>
      </c>
      <c r="Q2813" s="152">
        <f>IF(OR(C2813="",L2813=""),0,IF(AND(TRIM(C2813)=TRIM(RIGHT(SUBSTITUTE(TRIM('02_대상물건입력'!$B$7)," ",REPT(" ",99)),99)),IF('02_대상물건입력'!B15="",TRUE(),ISNUMBER(SEARCH('02_대상물건입력'!B15,L2813)))),1,0))</f>
        <v/>
      </c>
      <c r="R2813" s="175">
        <f>IFERROR(ABS(E2813-'02_대상물건입력'!B11)/'02_대상물건입력'!B11,"")</f>
        <v/>
      </c>
      <c r="S2813" s="152">
        <f>IFERROR(ABS(J2813-'02_대상물건입력'!B10),"")</f>
        <v/>
      </c>
      <c r="T2813" s="152">
        <f>IFERROR(ABS('01_설정'!B4-F2813),"")</f>
        <v/>
      </c>
      <c r="U2813" s="152">
        <f>IFERROR(ABS(K2813-YEAR('02_대상물건입력'!B14)),"")</f>
        <v/>
      </c>
      <c r="V2813" s="152">
        <f>IF(B2813="","",IF(AND(E2813&gt;0,F2813&gt;0,H2813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2813=1,TRUE()),R2813&lt;='01_설정'!B5,S2813&lt;='01_설정'!B6,T2813&lt;='01_설정'!B7,U2813&lt;='01_설정'!B8),"Y",""))</f>
        <v/>
      </c>
      <c r="W2813" s="172">
        <f>IF(V2813&lt;&gt;"Y","",MAX(0,(1-R2813/'01_설정'!B5))*'01_설정'!B14+MAX(0,(1-S2813/'01_설정'!B6))*'01_설정'!B15+MAX(0,(1-T2813/'01_설정'!B7))*'01_설정'!B16+MAX(0,(1-U2813/'01_설정'!B8))*'01_설정'!B17+O2813*'01_설정'!B11+Q2813*'01_설정'!B12+P2813*'01_설정'!B13+IF(Z2813="",0,Z2813))</f>
        <v/>
      </c>
      <c r="X2813" s="152">
        <f>IF(W2813="","",1+COUNTIFS($W$4:$W$3003,"&gt;"&amp;W2813)+COUNTIFS($W$4:W2813,W2813)-1)</f>
        <v/>
      </c>
      <c r="Y2813" s="175">
        <f>IF(OR(I2813="",'02_대상물건입력'!B19="",'02_대상물건입력'!B19&lt;=0),"",ABS(I2813-'02_대상물건입력'!B19)/'02_대상물건입력'!B19)</f>
        <v/>
      </c>
      <c r="Z2813" s="172">
        <f>IF(OR(Y2813="",'01_설정'!B31="",'01_설정'!B31&lt;=0,'01_설정'!B32="",'01_설정'!B32&lt;=0),"",MAX(0,(1-Y2813/'01_설정'!B32))*'01_설정'!B31)</f>
        <v/>
      </c>
    </row>
    <row r="2814" ht="17.25" customHeight="1">
      <c r="A2814" s="152">
        <f>IF(INDEX('04A_국토부원자료'!$A:$A,ROW()+1)="","",ROW()-3)</f>
        <v/>
      </c>
      <c r="B2814" s="48">
        <f>IFERROR(INDEX('04A_국토부원자료'!$A:$T,ROW()+1,MATCH("시군구",'04A_국토부원자료'!$A$4:$T$4,0)),"")</f>
        <v/>
      </c>
      <c r="C2814" s="48">
        <f>IF(B2814="","",IFERROR(INDEX('04A_국토부원자료'!$A:$T,ROW()+1,MATCH("번지",'04A_국토부원자료'!$A$4:$T$4,0)),""))</f>
        <v/>
      </c>
      <c r="D2814" s="48">
        <f>IF(B2814="","",IF(Q2814=1,'02_대상물건입력'!$B$8,IFERROR(INDEX('04A_국토부원자료'!$A:$T,ROW()+1,MATCH("단지명",'04A_국토부원자료'!$A$4:$T$4,0)),"")))</f>
        <v/>
      </c>
      <c r="E2814" s="172">
        <f>IFERROR(VALUE(SUBSTITUTE(INDEX('04A_국토부원자료'!$A:$T,ROW()+1,MATCH("전용면적(㎡)",'04A_국토부원자료'!$A$4:$T$4,0)),",","")),"")</f>
        <v/>
      </c>
      <c r="F28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14" s="51">
        <f>IFERROR(VALUE(SUBSTITUTE(INDEX('04A_국토부원자료'!$A:$T,ROW()+1,MATCH("거래금액(만원)",'04A_국토부원자료'!$A$4:$T$4,0)),",","")),"")</f>
        <v/>
      </c>
      <c r="H2814" s="174">
        <f>IF(G2814="","",G2814*10000)</f>
        <v/>
      </c>
      <c r="I2814" s="174">
        <f>IFERROR(IF(AND(H2814&gt;0,E2814&gt;0),H2814/E2814,""),"")</f>
        <v/>
      </c>
      <c r="J2814" s="152">
        <f>IFERROR(VALUE(SUBSTITUTE(INDEX('04A_국토부원자료'!$A:$T,ROW()+1,MATCH("층",'04A_국토부원자료'!$A$4:$T$4,0)),",","")),"")</f>
        <v/>
      </c>
      <c r="K2814" s="152">
        <f>IFERROR(VALUE(SUBSTITUTE(INDEX('04A_국토부원자료'!$A:$T,ROW()+1,MATCH("건축년도",'04A_국토부원자료'!$A$4:$T$4,0)),",","")),"")</f>
        <v/>
      </c>
      <c r="L2814" s="48">
        <f>IFERROR(INDEX('04A_국토부원자료'!$A:$T,ROW()+1,MATCH("도로명",'04A_국토부원자료'!$A$4:$T$4,0)),"")</f>
        <v/>
      </c>
      <c r="M2814" s="48">
        <f>IFERROR(INDEX('04A_국토부원자료'!$A:$T,ROW()+1,MATCH("거래유형",'04A_국토부원자료'!$A$4:$T$4,0)),"")</f>
        <v/>
      </c>
      <c r="N2814" s="152">
        <f>IF(B2814="","",IF('02_대상물건입력'!B5="",1,IF(ISNUMBER(SEARCH('02_대상물건입력'!B5,B2814)),1,0)))</f>
        <v/>
      </c>
      <c r="O2814" s="152">
        <f>IF(B2814="","",IF('02_대상물건입력'!B6="",1,IF(ISNUMBER(SEARCH('02_대상물건입력'!B6,B2814)),1,0)))</f>
        <v/>
      </c>
      <c r="P2814" s="152">
        <f>IF(L2814="","",IF('02_대상물건입력'!B15="",0,IF(ISNUMBER(SEARCH('02_대상물건입력'!B15,L2814)),1,0)))</f>
        <v/>
      </c>
      <c r="Q2814" s="152">
        <f>IF(OR(C2814="",L2814=""),0,IF(AND(TRIM(C2814)=TRIM(RIGHT(SUBSTITUTE(TRIM('02_대상물건입력'!$B$7)," ",REPT(" ",99)),99)),IF('02_대상물건입력'!B15="",TRUE(),ISNUMBER(SEARCH('02_대상물건입력'!B15,L2814)))),1,0))</f>
        <v/>
      </c>
      <c r="R2814" s="175">
        <f>IFERROR(ABS(E2814-'02_대상물건입력'!B11)/'02_대상물건입력'!B11,"")</f>
        <v/>
      </c>
      <c r="S2814" s="152">
        <f>IFERROR(ABS(J2814-'02_대상물건입력'!B10),"")</f>
        <v/>
      </c>
      <c r="T2814" s="152">
        <f>IFERROR(ABS('01_설정'!B4-F2814),"")</f>
        <v/>
      </c>
      <c r="U2814" s="152">
        <f>IFERROR(ABS(K2814-YEAR('02_대상물건입력'!B14)),"")</f>
        <v/>
      </c>
      <c r="V2814" s="152">
        <f>IF(B2814="","",IF(AND(E2814&gt;0,F2814&gt;0,H2814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2814=1,TRUE()),R2814&lt;='01_설정'!B5,S2814&lt;='01_설정'!B6,T2814&lt;='01_설정'!B7,U2814&lt;='01_설정'!B8),"Y",""))</f>
        <v/>
      </c>
      <c r="W2814" s="172">
        <f>IF(V2814&lt;&gt;"Y","",MAX(0,(1-R2814/'01_설정'!B5))*'01_설정'!B14+MAX(0,(1-S2814/'01_설정'!B6))*'01_설정'!B15+MAX(0,(1-T2814/'01_설정'!B7))*'01_설정'!B16+MAX(0,(1-U2814/'01_설정'!B8))*'01_설정'!B17+O2814*'01_설정'!B11+Q2814*'01_설정'!B12+P2814*'01_설정'!B13+IF(Z2814="",0,Z2814))</f>
        <v/>
      </c>
      <c r="X2814" s="152">
        <f>IF(W2814="","",1+COUNTIFS($W$4:$W$3003,"&gt;"&amp;W2814)+COUNTIFS($W$4:W2814,W2814)-1)</f>
        <v/>
      </c>
      <c r="Y2814" s="175">
        <f>IF(OR(I2814="",'02_대상물건입력'!B19="",'02_대상물건입력'!B19&lt;=0),"",ABS(I2814-'02_대상물건입력'!B19)/'02_대상물건입력'!B19)</f>
        <v/>
      </c>
      <c r="Z2814" s="172">
        <f>IF(OR(Y2814="",'01_설정'!B31="",'01_설정'!B31&lt;=0,'01_설정'!B32="",'01_설정'!B32&lt;=0),"",MAX(0,(1-Y2814/'01_설정'!B32))*'01_설정'!B31)</f>
        <v/>
      </c>
    </row>
    <row r="2815" ht="17.25" customHeight="1">
      <c r="A2815" s="152">
        <f>IF(INDEX('04A_국토부원자료'!$A:$A,ROW()+1)="","",ROW()-3)</f>
        <v/>
      </c>
      <c r="B2815" s="48">
        <f>IFERROR(INDEX('04A_국토부원자료'!$A:$T,ROW()+1,MATCH("시군구",'04A_국토부원자료'!$A$4:$T$4,0)),"")</f>
        <v/>
      </c>
      <c r="C2815" s="48">
        <f>IF(B2815="","",IFERROR(INDEX('04A_국토부원자료'!$A:$T,ROW()+1,MATCH("번지",'04A_국토부원자료'!$A$4:$T$4,0)),""))</f>
        <v/>
      </c>
      <c r="D2815" s="48">
        <f>IF(B2815="","",IF(Q2815=1,'02_대상물건입력'!$B$8,IFERROR(INDEX('04A_국토부원자료'!$A:$T,ROW()+1,MATCH("단지명",'04A_국토부원자료'!$A$4:$T$4,0)),"")))</f>
        <v/>
      </c>
      <c r="E2815" s="172">
        <f>IFERROR(VALUE(SUBSTITUTE(INDEX('04A_국토부원자료'!$A:$T,ROW()+1,MATCH("전용면적(㎡)",'04A_국토부원자료'!$A$4:$T$4,0)),",","")),"")</f>
        <v/>
      </c>
      <c r="F28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15" s="51">
        <f>IFERROR(VALUE(SUBSTITUTE(INDEX('04A_국토부원자료'!$A:$T,ROW()+1,MATCH("거래금액(만원)",'04A_국토부원자료'!$A$4:$T$4,0)),",","")),"")</f>
        <v/>
      </c>
      <c r="H2815" s="174">
        <f>IF(G2815="","",G2815*10000)</f>
        <v/>
      </c>
      <c r="I2815" s="174">
        <f>IFERROR(IF(AND(H2815&gt;0,E2815&gt;0),H2815/E2815,""),"")</f>
        <v/>
      </c>
      <c r="J2815" s="152">
        <f>IFERROR(VALUE(SUBSTITUTE(INDEX('04A_국토부원자료'!$A:$T,ROW()+1,MATCH("층",'04A_국토부원자료'!$A$4:$T$4,0)),",","")),"")</f>
        <v/>
      </c>
      <c r="K2815" s="152">
        <f>IFERROR(VALUE(SUBSTITUTE(INDEX('04A_국토부원자료'!$A:$T,ROW()+1,MATCH("건축년도",'04A_국토부원자료'!$A$4:$T$4,0)),",","")),"")</f>
        <v/>
      </c>
      <c r="L2815" s="48">
        <f>IFERROR(INDEX('04A_국토부원자료'!$A:$T,ROW()+1,MATCH("도로명",'04A_국토부원자료'!$A$4:$T$4,0)),"")</f>
        <v/>
      </c>
      <c r="M2815" s="48">
        <f>IFERROR(INDEX('04A_국토부원자료'!$A:$T,ROW()+1,MATCH("거래유형",'04A_국토부원자료'!$A$4:$T$4,0)),"")</f>
        <v/>
      </c>
      <c r="N2815" s="152">
        <f>IF(B2815="","",IF('02_대상물건입력'!B5="",1,IF(ISNUMBER(SEARCH('02_대상물건입력'!B5,B2815)),1,0)))</f>
        <v/>
      </c>
      <c r="O2815" s="152">
        <f>IF(B2815="","",IF('02_대상물건입력'!B6="",1,IF(ISNUMBER(SEARCH('02_대상물건입력'!B6,B2815)),1,0)))</f>
        <v/>
      </c>
      <c r="P2815" s="152">
        <f>IF(L2815="","",IF('02_대상물건입력'!B15="",0,IF(ISNUMBER(SEARCH('02_대상물건입력'!B15,L2815)),1,0)))</f>
        <v/>
      </c>
      <c r="Q2815" s="152">
        <f>IF(OR(C2815="",L2815=""),0,IF(AND(TRIM(C2815)=TRIM(RIGHT(SUBSTITUTE(TRIM('02_대상물건입력'!$B$7)," ",REPT(" ",99)),99)),IF('02_대상물건입력'!B15="",TRUE(),ISNUMBER(SEARCH('02_대상물건입력'!B15,L2815)))),1,0))</f>
        <v/>
      </c>
      <c r="R2815" s="175">
        <f>IFERROR(ABS(E2815-'02_대상물건입력'!B11)/'02_대상물건입력'!B11,"")</f>
        <v/>
      </c>
      <c r="S2815" s="152">
        <f>IFERROR(ABS(J2815-'02_대상물건입력'!B10),"")</f>
        <v/>
      </c>
      <c r="T2815" s="152">
        <f>IFERROR(ABS('01_설정'!B4-F2815),"")</f>
        <v/>
      </c>
      <c r="U2815" s="152">
        <f>IFERROR(ABS(K2815-YEAR('02_대상물건입력'!B14)),"")</f>
        <v/>
      </c>
      <c r="V2815" s="152">
        <f>IF(B2815="","",IF(AND(E2815&gt;0,F2815&gt;0,H2815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2815=1,TRUE()),R2815&lt;='01_설정'!B5,S2815&lt;='01_설정'!B6,T2815&lt;='01_설정'!B7,U2815&lt;='01_설정'!B8),"Y",""))</f>
        <v/>
      </c>
      <c r="W2815" s="172">
        <f>IF(V2815&lt;&gt;"Y","",MAX(0,(1-R2815/'01_설정'!B5))*'01_설정'!B14+MAX(0,(1-S2815/'01_설정'!B6))*'01_설정'!B15+MAX(0,(1-T2815/'01_설정'!B7))*'01_설정'!B16+MAX(0,(1-U2815/'01_설정'!B8))*'01_설정'!B17+O2815*'01_설정'!B11+Q2815*'01_설정'!B12+P2815*'01_설정'!B13+IF(Z2815="",0,Z2815))</f>
        <v/>
      </c>
      <c r="X2815" s="152">
        <f>IF(W2815="","",1+COUNTIFS($W$4:$W$3003,"&gt;"&amp;W2815)+COUNTIFS($W$4:W2815,W2815)-1)</f>
        <v/>
      </c>
      <c r="Y2815" s="175">
        <f>IF(OR(I2815="",'02_대상물건입력'!B19="",'02_대상물건입력'!B19&lt;=0),"",ABS(I2815-'02_대상물건입력'!B19)/'02_대상물건입력'!B19)</f>
        <v/>
      </c>
      <c r="Z2815" s="172">
        <f>IF(OR(Y2815="",'01_설정'!B31="",'01_설정'!B31&lt;=0,'01_설정'!B32="",'01_설정'!B32&lt;=0),"",MAX(0,(1-Y2815/'01_설정'!B32))*'01_설정'!B31)</f>
        <v/>
      </c>
    </row>
    <row r="2816" ht="17.25" customHeight="1">
      <c r="A2816" s="152">
        <f>IF(INDEX('04A_국토부원자료'!$A:$A,ROW()+1)="","",ROW()-3)</f>
        <v/>
      </c>
      <c r="B2816" s="48">
        <f>IFERROR(INDEX('04A_국토부원자료'!$A:$T,ROW()+1,MATCH("시군구",'04A_국토부원자료'!$A$4:$T$4,0)),"")</f>
        <v/>
      </c>
      <c r="C2816" s="48">
        <f>IF(B2816="","",IFERROR(INDEX('04A_국토부원자료'!$A:$T,ROW()+1,MATCH("번지",'04A_국토부원자료'!$A$4:$T$4,0)),""))</f>
        <v/>
      </c>
      <c r="D2816" s="48">
        <f>IF(B2816="","",IF(Q2816=1,'02_대상물건입력'!$B$8,IFERROR(INDEX('04A_국토부원자료'!$A:$T,ROW()+1,MATCH("단지명",'04A_국토부원자료'!$A$4:$T$4,0)),"")))</f>
        <v/>
      </c>
      <c r="E2816" s="172">
        <f>IFERROR(VALUE(SUBSTITUTE(INDEX('04A_국토부원자료'!$A:$T,ROW()+1,MATCH("전용면적(㎡)",'04A_국토부원자료'!$A$4:$T$4,0)),",","")),"")</f>
        <v/>
      </c>
      <c r="F28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16" s="51">
        <f>IFERROR(VALUE(SUBSTITUTE(INDEX('04A_국토부원자료'!$A:$T,ROW()+1,MATCH("거래금액(만원)",'04A_국토부원자료'!$A$4:$T$4,0)),",","")),"")</f>
        <v/>
      </c>
      <c r="H2816" s="174">
        <f>IF(G2816="","",G2816*10000)</f>
        <v/>
      </c>
      <c r="I2816" s="174">
        <f>IFERROR(IF(AND(H2816&gt;0,E2816&gt;0),H2816/E2816,""),"")</f>
        <v/>
      </c>
      <c r="J2816" s="152">
        <f>IFERROR(VALUE(SUBSTITUTE(INDEX('04A_국토부원자료'!$A:$T,ROW()+1,MATCH("층",'04A_국토부원자료'!$A$4:$T$4,0)),",","")),"")</f>
        <v/>
      </c>
      <c r="K2816" s="152">
        <f>IFERROR(VALUE(SUBSTITUTE(INDEX('04A_국토부원자료'!$A:$T,ROW()+1,MATCH("건축년도",'04A_국토부원자료'!$A$4:$T$4,0)),",","")),"")</f>
        <v/>
      </c>
      <c r="L2816" s="48">
        <f>IFERROR(INDEX('04A_국토부원자료'!$A:$T,ROW()+1,MATCH("도로명",'04A_국토부원자료'!$A$4:$T$4,0)),"")</f>
        <v/>
      </c>
      <c r="M2816" s="48">
        <f>IFERROR(INDEX('04A_국토부원자료'!$A:$T,ROW()+1,MATCH("거래유형",'04A_국토부원자료'!$A$4:$T$4,0)),"")</f>
        <v/>
      </c>
      <c r="N2816" s="152">
        <f>IF(B2816="","",IF('02_대상물건입력'!B5="",1,IF(ISNUMBER(SEARCH('02_대상물건입력'!B5,B2816)),1,0)))</f>
        <v/>
      </c>
      <c r="O2816" s="152">
        <f>IF(B2816="","",IF('02_대상물건입력'!B6="",1,IF(ISNUMBER(SEARCH('02_대상물건입력'!B6,B2816)),1,0)))</f>
        <v/>
      </c>
      <c r="P2816" s="152">
        <f>IF(L2816="","",IF('02_대상물건입력'!B15="",0,IF(ISNUMBER(SEARCH('02_대상물건입력'!B15,L2816)),1,0)))</f>
        <v/>
      </c>
      <c r="Q2816" s="152">
        <f>IF(OR(C2816="",L2816=""),0,IF(AND(TRIM(C2816)=TRIM(RIGHT(SUBSTITUTE(TRIM('02_대상물건입력'!$B$7)," ",REPT(" ",99)),99)),IF('02_대상물건입력'!B15="",TRUE(),ISNUMBER(SEARCH('02_대상물건입력'!B15,L2816)))),1,0))</f>
        <v/>
      </c>
      <c r="R2816" s="175">
        <f>IFERROR(ABS(E2816-'02_대상물건입력'!B11)/'02_대상물건입력'!B11,"")</f>
        <v/>
      </c>
      <c r="S2816" s="152">
        <f>IFERROR(ABS(J2816-'02_대상물건입력'!B10),"")</f>
        <v/>
      </c>
      <c r="T2816" s="152">
        <f>IFERROR(ABS('01_설정'!B4-F2816),"")</f>
        <v/>
      </c>
      <c r="U2816" s="152">
        <f>IFERROR(ABS(K2816-YEAR('02_대상물건입력'!B14)),"")</f>
        <v/>
      </c>
      <c r="V2816" s="152">
        <f>IF(B2816="","",IF(AND(E2816&gt;0,F2816&gt;0,H2816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2816=1,TRUE()),R2816&lt;='01_설정'!B5,S2816&lt;='01_설정'!B6,T2816&lt;='01_설정'!B7,U2816&lt;='01_설정'!B8),"Y",""))</f>
        <v/>
      </c>
      <c r="W2816" s="172">
        <f>IF(V2816&lt;&gt;"Y","",MAX(0,(1-R2816/'01_설정'!B5))*'01_설정'!B14+MAX(0,(1-S2816/'01_설정'!B6))*'01_설정'!B15+MAX(0,(1-T2816/'01_설정'!B7))*'01_설정'!B16+MAX(0,(1-U2816/'01_설정'!B8))*'01_설정'!B17+O2816*'01_설정'!B11+Q2816*'01_설정'!B12+P2816*'01_설정'!B13+IF(Z2816="",0,Z2816))</f>
        <v/>
      </c>
      <c r="X2816" s="152">
        <f>IF(W2816="","",1+COUNTIFS($W$4:$W$3003,"&gt;"&amp;W2816)+COUNTIFS($W$4:W2816,W2816)-1)</f>
        <v/>
      </c>
      <c r="Y2816" s="175">
        <f>IF(OR(I2816="",'02_대상물건입력'!B19="",'02_대상물건입력'!B19&lt;=0),"",ABS(I2816-'02_대상물건입력'!B19)/'02_대상물건입력'!B19)</f>
        <v/>
      </c>
      <c r="Z2816" s="172">
        <f>IF(OR(Y2816="",'01_설정'!B31="",'01_설정'!B31&lt;=0,'01_설정'!B32="",'01_설정'!B32&lt;=0),"",MAX(0,(1-Y2816/'01_설정'!B32))*'01_설정'!B31)</f>
        <v/>
      </c>
    </row>
    <row r="2817" ht="17.25" customHeight="1">
      <c r="A2817" s="152">
        <f>IF(INDEX('04A_국토부원자료'!$A:$A,ROW()+1)="","",ROW()-3)</f>
        <v/>
      </c>
      <c r="B2817" s="48">
        <f>IFERROR(INDEX('04A_국토부원자료'!$A:$T,ROW()+1,MATCH("시군구",'04A_국토부원자료'!$A$4:$T$4,0)),"")</f>
        <v/>
      </c>
      <c r="C2817" s="48">
        <f>IF(B2817="","",IFERROR(INDEX('04A_국토부원자료'!$A:$T,ROW()+1,MATCH("번지",'04A_국토부원자료'!$A$4:$T$4,0)),""))</f>
        <v/>
      </c>
      <c r="D2817" s="48">
        <f>IF(B2817="","",IF(Q2817=1,'02_대상물건입력'!$B$8,IFERROR(INDEX('04A_국토부원자료'!$A:$T,ROW()+1,MATCH("단지명",'04A_국토부원자료'!$A$4:$T$4,0)),"")))</f>
        <v/>
      </c>
      <c r="E2817" s="172">
        <f>IFERROR(VALUE(SUBSTITUTE(INDEX('04A_국토부원자료'!$A:$T,ROW()+1,MATCH("전용면적(㎡)",'04A_국토부원자료'!$A$4:$T$4,0)),",","")),"")</f>
        <v/>
      </c>
      <c r="F28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17" s="51">
        <f>IFERROR(VALUE(SUBSTITUTE(INDEX('04A_국토부원자료'!$A:$T,ROW()+1,MATCH("거래금액(만원)",'04A_국토부원자료'!$A$4:$T$4,0)),",","")),"")</f>
        <v/>
      </c>
      <c r="H2817" s="174">
        <f>IF(G2817="","",G2817*10000)</f>
        <v/>
      </c>
      <c r="I2817" s="174">
        <f>IFERROR(IF(AND(H2817&gt;0,E2817&gt;0),H2817/E2817,""),"")</f>
        <v/>
      </c>
      <c r="J2817" s="152">
        <f>IFERROR(VALUE(SUBSTITUTE(INDEX('04A_국토부원자료'!$A:$T,ROW()+1,MATCH("층",'04A_국토부원자료'!$A$4:$T$4,0)),",","")),"")</f>
        <v/>
      </c>
      <c r="K2817" s="152">
        <f>IFERROR(VALUE(SUBSTITUTE(INDEX('04A_국토부원자료'!$A:$T,ROW()+1,MATCH("건축년도",'04A_국토부원자료'!$A$4:$T$4,0)),",","")),"")</f>
        <v/>
      </c>
      <c r="L2817" s="48">
        <f>IFERROR(INDEX('04A_국토부원자료'!$A:$T,ROW()+1,MATCH("도로명",'04A_국토부원자료'!$A$4:$T$4,0)),"")</f>
        <v/>
      </c>
      <c r="M2817" s="48">
        <f>IFERROR(INDEX('04A_국토부원자료'!$A:$T,ROW()+1,MATCH("거래유형",'04A_국토부원자료'!$A$4:$T$4,0)),"")</f>
        <v/>
      </c>
      <c r="N2817" s="152">
        <f>IF(B2817="","",IF('02_대상물건입력'!B5="",1,IF(ISNUMBER(SEARCH('02_대상물건입력'!B5,B2817)),1,0)))</f>
        <v/>
      </c>
      <c r="O2817" s="152">
        <f>IF(B2817="","",IF('02_대상물건입력'!B6="",1,IF(ISNUMBER(SEARCH('02_대상물건입력'!B6,B2817)),1,0)))</f>
        <v/>
      </c>
      <c r="P2817" s="152">
        <f>IF(L2817="","",IF('02_대상물건입력'!B15="",0,IF(ISNUMBER(SEARCH('02_대상물건입력'!B15,L2817)),1,0)))</f>
        <v/>
      </c>
      <c r="Q2817" s="152">
        <f>IF(OR(C2817="",L2817=""),0,IF(AND(TRIM(C2817)=TRIM(RIGHT(SUBSTITUTE(TRIM('02_대상물건입력'!$B$7)," ",REPT(" ",99)),99)),IF('02_대상물건입력'!B15="",TRUE(),ISNUMBER(SEARCH('02_대상물건입력'!B15,L2817)))),1,0))</f>
        <v/>
      </c>
      <c r="R2817" s="175">
        <f>IFERROR(ABS(E2817-'02_대상물건입력'!B11)/'02_대상물건입력'!B11,"")</f>
        <v/>
      </c>
      <c r="S2817" s="152">
        <f>IFERROR(ABS(J2817-'02_대상물건입력'!B10),"")</f>
        <v/>
      </c>
      <c r="T2817" s="152">
        <f>IFERROR(ABS('01_설정'!B4-F2817),"")</f>
        <v/>
      </c>
      <c r="U2817" s="152">
        <f>IFERROR(ABS(K2817-YEAR('02_대상물건입력'!B14)),"")</f>
        <v/>
      </c>
      <c r="V2817" s="152">
        <f>IF(B2817="","",IF(AND(E2817&gt;0,F2817&gt;0,H2817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2817=1,TRUE()),R2817&lt;='01_설정'!B5,S2817&lt;='01_설정'!B6,T2817&lt;='01_설정'!B7,U2817&lt;='01_설정'!B8),"Y",""))</f>
        <v/>
      </c>
      <c r="W2817" s="172">
        <f>IF(V2817&lt;&gt;"Y","",MAX(0,(1-R2817/'01_설정'!B5))*'01_설정'!B14+MAX(0,(1-S2817/'01_설정'!B6))*'01_설정'!B15+MAX(0,(1-T2817/'01_설정'!B7))*'01_설정'!B16+MAX(0,(1-U2817/'01_설정'!B8))*'01_설정'!B17+O2817*'01_설정'!B11+Q2817*'01_설정'!B12+P2817*'01_설정'!B13+IF(Z2817="",0,Z2817))</f>
        <v/>
      </c>
      <c r="X2817" s="152">
        <f>IF(W2817="","",1+COUNTIFS($W$4:$W$3003,"&gt;"&amp;W2817)+COUNTIFS($W$4:W2817,W2817)-1)</f>
        <v/>
      </c>
      <c r="Y2817" s="175">
        <f>IF(OR(I2817="",'02_대상물건입력'!B19="",'02_대상물건입력'!B19&lt;=0),"",ABS(I2817-'02_대상물건입력'!B19)/'02_대상물건입력'!B19)</f>
        <v/>
      </c>
      <c r="Z2817" s="172">
        <f>IF(OR(Y2817="",'01_설정'!B31="",'01_설정'!B31&lt;=0,'01_설정'!B32="",'01_설정'!B32&lt;=0),"",MAX(0,(1-Y2817/'01_설정'!B32))*'01_설정'!B31)</f>
        <v/>
      </c>
    </row>
    <row r="2818" ht="17.25" customHeight="1">
      <c r="A2818" s="152">
        <f>IF(INDEX('04A_국토부원자료'!$A:$A,ROW()+1)="","",ROW()-3)</f>
        <v/>
      </c>
      <c r="B2818" s="48">
        <f>IFERROR(INDEX('04A_국토부원자료'!$A:$T,ROW()+1,MATCH("시군구",'04A_국토부원자료'!$A$4:$T$4,0)),"")</f>
        <v/>
      </c>
      <c r="C2818" s="48">
        <f>IF(B2818="","",IFERROR(INDEX('04A_국토부원자료'!$A:$T,ROW()+1,MATCH("번지",'04A_국토부원자료'!$A$4:$T$4,0)),""))</f>
        <v/>
      </c>
      <c r="D2818" s="48">
        <f>IF(B2818="","",IF(Q2818=1,'02_대상물건입력'!$B$8,IFERROR(INDEX('04A_국토부원자료'!$A:$T,ROW()+1,MATCH("단지명",'04A_국토부원자료'!$A$4:$T$4,0)),"")))</f>
        <v/>
      </c>
      <c r="E2818" s="172">
        <f>IFERROR(VALUE(SUBSTITUTE(INDEX('04A_국토부원자료'!$A:$T,ROW()+1,MATCH("전용면적(㎡)",'04A_국토부원자료'!$A$4:$T$4,0)),",","")),"")</f>
        <v/>
      </c>
      <c r="F28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18" s="51">
        <f>IFERROR(VALUE(SUBSTITUTE(INDEX('04A_국토부원자료'!$A:$T,ROW()+1,MATCH("거래금액(만원)",'04A_국토부원자료'!$A$4:$T$4,0)),",","")),"")</f>
        <v/>
      </c>
      <c r="H2818" s="174">
        <f>IF(G2818="","",G2818*10000)</f>
        <v/>
      </c>
      <c r="I2818" s="174">
        <f>IFERROR(IF(AND(H2818&gt;0,E2818&gt;0),H2818/E2818,""),"")</f>
        <v/>
      </c>
      <c r="J2818" s="152">
        <f>IFERROR(VALUE(SUBSTITUTE(INDEX('04A_국토부원자료'!$A:$T,ROW()+1,MATCH("층",'04A_국토부원자료'!$A$4:$T$4,0)),",","")),"")</f>
        <v/>
      </c>
      <c r="K2818" s="152">
        <f>IFERROR(VALUE(SUBSTITUTE(INDEX('04A_국토부원자료'!$A:$T,ROW()+1,MATCH("건축년도",'04A_국토부원자료'!$A$4:$T$4,0)),",","")),"")</f>
        <v/>
      </c>
      <c r="L2818" s="48">
        <f>IFERROR(INDEX('04A_국토부원자료'!$A:$T,ROW()+1,MATCH("도로명",'04A_국토부원자료'!$A$4:$T$4,0)),"")</f>
        <v/>
      </c>
      <c r="M2818" s="48">
        <f>IFERROR(INDEX('04A_국토부원자료'!$A:$T,ROW()+1,MATCH("거래유형",'04A_국토부원자료'!$A$4:$T$4,0)),"")</f>
        <v/>
      </c>
      <c r="N2818" s="152">
        <f>IF(B2818="","",IF('02_대상물건입력'!B5="",1,IF(ISNUMBER(SEARCH('02_대상물건입력'!B5,B2818)),1,0)))</f>
        <v/>
      </c>
      <c r="O2818" s="152">
        <f>IF(B2818="","",IF('02_대상물건입력'!B6="",1,IF(ISNUMBER(SEARCH('02_대상물건입력'!B6,B2818)),1,0)))</f>
        <v/>
      </c>
      <c r="P2818" s="152">
        <f>IF(L2818="","",IF('02_대상물건입력'!B15="",0,IF(ISNUMBER(SEARCH('02_대상물건입력'!B15,L2818)),1,0)))</f>
        <v/>
      </c>
      <c r="Q2818" s="152">
        <f>IF(OR(C2818="",L2818=""),0,IF(AND(TRIM(C2818)=TRIM(RIGHT(SUBSTITUTE(TRIM('02_대상물건입력'!$B$7)," ",REPT(" ",99)),99)),IF('02_대상물건입력'!B15="",TRUE(),ISNUMBER(SEARCH('02_대상물건입력'!B15,L2818)))),1,0))</f>
        <v/>
      </c>
      <c r="R2818" s="175">
        <f>IFERROR(ABS(E2818-'02_대상물건입력'!B11)/'02_대상물건입력'!B11,"")</f>
        <v/>
      </c>
      <c r="S2818" s="152">
        <f>IFERROR(ABS(J2818-'02_대상물건입력'!B10),"")</f>
        <v/>
      </c>
      <c r="T2818" s="152">
        <f>IFERROR(ABS('01_설정'!B4-F2818),"")</f>
        <v/>
      </c>
      <c r="U2818" s="152">
        <f>IFERROR(ABS(K2818-YEAR('02_대상물건입력'!B14)),"")</f>
        <v/>
      </c>
      <c r="V2818" s="152">
        <f>IF(B2818="","",IF(AND(E2818&gt;0,F2818&gt;0,H2818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2818=1,TRUE()),R2818&lt;='01_설정'!B5,S2818&lt;='01_설정'!B6,T2818&lt;='01_설정'!B7,U2818&lt;='01_설정'!B8),"Y",""))</f>
        <v/>
      </c>
      <c r="W2818" s="172">
        <f>IF(V2818&lt;&gt;"Y","",MAX(0,(1-R2818/'01_설정'!B5))*'01_설정'!B14+MAX(0,(1-S2818/'01_설정'!B6))*'01_설정'!B15+MAX(0,(1-T2818/'01_설정'!B7))*'01_설정'!B16+MAX(0,(1-U2818/'01_설정'!B8))*'01_설정'!B17+O2818*'01_설정'!B11+Q2818*'01_설정'!B12+P2818*'01_설정'!B13+IF(Z2818="",0,Z2818))</f>
        <v/>
      </c>
      <c r="X2818" s="152">
        <f>IF(W2818="","",1+COUNTIFS($W$4:$W$3003,"&gt;"&amp;W2818)+COUNTIFS($W$4:W2818,W2818)-1)</f>
        <v/>
      </c>
      <c r="Y2818" s="175">
        <f>IF(OR(I2818="",'02_대상물건입력'!B19="",'02_대상물건입력'!B19&lt;=0),"",ABS(I2818-'02_대상물건입력'!B19)/'02_대상물건입력'!B19)</f>
        <v/>
      </c>
      <c r="Z2818" s="172">
        <f>IF(OR(Y2818="",'01_설정'!B31="",'01_설정'!B31&lt;=0,'01_설정'!B32="",'01_설정'!B32&lt;=0),"",MAX(0,(1-Y2818/'01_설정'!B32))*'01_설정'!B31)</f>
        <v/>
      </c>
    </row>
    <row r="2819" ht="17.25" customHeight="1">
      <c r="A2819" s="152">
        <f>IF(INDEX('04A_국토부원자료'!$A:$A,ROW()+1)="","",ROW()-3)</f>
        <v/>
      </c>
      <c r="B2819" s="48">
        <f>IFERROR(INDEX('04A_국토부원자료'!$A:$T,ROW()+1,MATCH("시군구",'04A_국토부원자료'!$A$4:$T$4,0)),"")</f>
        <v/>
      </c>
      <c r="C2819" s="48">
        <f>IF(B2819="","",IFERROR(INDEX('04A_국토부원자료'!$A:$T,ROW()+1,MATCH("번지",'04A_국토부원자료'!$A$4:$T$4,0)),""))</f>
        <v/>
      </c>
      <c r="D2819" s="48">
        <f>IF(B2819="","",IF(Q2819=1,'02_대상물건입력'!$B$8,IFERROR(INDEX('04A_국토부원자료'!$A:$T,ROW()+1,MATCH("단지명",'04A_국토부원자료'!$A$4:$T$4,0)),"")))</f>
        <v/>
      </c>
      <c r="E2819" s="172">
        <f>IFERROR(VALUE(SUBSTITUTE(INDEX('04A_국토부원자료'!$A:$T,ROW()+1,MATCH("전용면적(㎡)",'04A_국토부원자료'!$A$4:$T$4,0)),",","")),"")</f>
        <v/>
      </c>
      <c r="F28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19" s="51">
        <f>IFERROR(VALUE(SUBSTITUTE(INDEX('04A_국토부원자료'!$A:$T,ROW()+1,MATCH("거래금액(만원)",'04A_국토부원자료'!$A$4:$T$4,0)),",","")),"")</f>
        <v/>
      </c>
      <c r="H2819" s="174">
        <f>IF(G2819="","",G2819*10000)</f>
        <v/>
      </c>
      <c r="I2819" s="174">
        <f>IFERROR(IF(AND(H2819&gt;0,E2819&gt;0),H2819/E2819,""),"")</f>
        <v/>
      </c>
      <c r="J2819" s="152">
        <f>IFERROR(VALUE(SUBSTITUTE(INDEX('04A_국토부원자료'!$A:$T,ROW()+1,MATCH("층",'04A_국토부원자료'!$A$4:$T$4,0)),",","")),"")</f>
        <v/>
      </c>
      <c r="K2819" s="152">
        <f>IFERROR(VALUE(SUBSTITUTE(INDEX('04A_국토부원자료'!$A:$T,ROW()+1,MATCH("건축년도",'04A_국토부원자료'!$A$4:$T$4,0)),",","")),"")</f>
        <v/>
      </c>
      <c r="L2819" s="48">
        <f>IFERROR(INDEX('04A_국토부원자료'!$A:$T,ROW()+1,MATCH("도로명",'04A_국토부원자료'!$A$4:$T$4,0)),"")</f>
        <v/>
      </c>
      <c r="M2819" s="48">
        <f>IFERROR(INDEX('04A_국토부원자료'!$A:$T,ROW()+1,MATCH("거래유형",'04A_국토부원자료'!$A$4:$T$4,0)),"")</f>
        <v/>
      </c>
      <c r="N2819" s="152">
        <f>IF(B2819="","",IF('02_대상물건입력'!B5="",1,IF(ISNUMBER(SEARCH('02_대상물건입력'!B5,B2819)),1,0)))</f>
        <v/>
      </c>
      <c r="O2819" s="152">
        <f>IF(B2819="","",IF('02_대상물건입력'!B6="",1,IF(ISNUMBER(SEARCH('02_대상물건입력'!B6,B2819)),1,0)))</f>
        <v/>
      </c>
      <c r="P2819" s="152">
        <f>IF(L2819="","",IF('02_대상물건입력'!B15="",0,IF(ISNUMBER(SEARCH('02_대상물건입력'!B15,L2819)),1,0)))</f>
        <v/>
      </c>
      <c r="Q2819" s="152">
        <f>IF(OR(C2819="",L2819=""),0,IF(AND(TRIM(C2819)=TRIM(RIGHT(SUBSTITUTE(TRIM('02_대상물건입력'!$B$7)," ",REPT(" ",99)),99)),IF('02_대상물건입력'!B15="",TRUE(),ISNUMBER(SEARCH('02_대상물건입력'!B15,L2819)))),1,0))</f>
        <v/>
      </c>
      <c r="R2819" s="175">
        <f>IFERROR(ABS(E2819-'02_대상물건입력'!B11)/'02_대상물건입력'!B11,"")</f>
        <v/>
      </c>
      <c r="S2819" s="152">
        <f>IFERROR(ABS(J2819-'02_대상물건입력'!B10),"")</f>
        <v/>
      </c>
      <c r="T2819" s="152">
        <f>IFERROR(ABS('01_설정'!B4-F2819),"")</f>
        <v/>
      </c>
      <c r="U2819" s="152">
        <f>IFERROR(ABS(K2819-YEAR('02_대상물건입력'!B14)),"")</f>
        <v/>
      </c>
      <c r="V2819" s="152">
        <f>IF(B2819="","",IF(AND(E2819&gt;0,F2819&gt;0,H2819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2819=1,TRUE()),R2819&lt;='01_설정'!B5,S2819&lt;='01_설정'!B6,T2819&lt;='01_설정'!B7,U2819&lt;='01_설정'!B8),"Y",""))</f>
        <v/>
      </c>
      <c r="W2819" s="172">
        <f>IF(V2819&lt;&gt;"Y","",MAX(0,(1-R2819/'01_설정'!B5))*'01_설정'!B14+MAX(0,(1-S2819/'01_설정'!B6))*'01_설정'!B15+MAX(0,(1-T2819/'01_설정'!B7))*'01_설정'!B16+MAX(0,(1-U2819/'01_설정'!B8))*'01_설정'!B17+O2819*'01_설정'!B11+Q2819*'01_설정'!B12+P2819*'01_설정'!B13+IF(Z2819="",0,Z2819))</f>
        <v/>
      </c>
      <c r="X2819" s="152">
        <f>IF(W2819="","",1+COUNTIFS($W$4:$W$3003,"&gt;"&amp;W2819)+COUNTIFS($W$4:W2819,W2819)-1)</f>
        <v/>
      </c>
      <c r="Y2819" s="175">
        <f>IF(OR(I2819="",'02_대상물건입력'!B19="",'02_대상물건입력'!B19&lt;=0),"",ABS(I2819-'02_대상물건입력'!B19)/'02_대상물건입력'!B19)</f>
        <v/>
      </c>
      <c r="Z2819" s="172">
        <f>IF(OR(Y2819="",'01_설정'!B31="",'01_설정'!B31&lt;=0,'01_설정'!B32="",'01_설정'!B32&lt;=0),"",MAX(0,(1-Y2819/'01_설정'!B32))*'01_설정'!B31)</f>
        <v/>
      </c>
    </row>
    <row r="2820" ht="17.25" customHeight="1">
      <c r="A2820" s="152">
        <f>IF(INDEX('04A_국토부원자료'!$A:$A,ROW()+1)="","",ROW()-3)</f>
        <v/>
      </c>
      <c r="B2820" s="48">
        <f>IFERROR(INDEX('04A_국토부원자료'!$A:$T,ROW()+1,MATCH("시군구",'04A_국토부원자료'!$A$4:$T$4,0)),"")</f>
        <v/>
      </c>
      <c r="C2820" s="48">
        <f>IF(B2820="","",IFERROR(INDEX('04A_국토부원자료'!$A:$T,ROW()+1,MATCH("번지",'04A_국토부원자료'!$A$4:$T$4,0)),""))</f>
        <v/>
      </c>
      <c r="D2820" s="48">
        <f>IF(B2820="","",IF(Q2820=1,'02_대상물건입력'!$B$8,IFERROR(INDEX('04A_국토부원자료'!$A:$T,ROW()+1,MATCH("단지명",'04A_국토부원자료'!$A$4:$T$4,0)),"")))</f>
        <v/>
      </c>
      <c r="E2820" s="172">
        <f>IFERROR(VALUE(SUBSTITUTE(INDEX('04A_국토부원자료'!$A:$T,ROW()+1,MATCH("전용면적(㎡)",'04A_국토부원자료'!$A$4:$T$4,0)),",","")),"")</f>
        <v/>
      </c>
      <c r="F28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20" s="51">
        <f>IFERROR(VALUE(SUBSTITUTE(INDEX('04A_국토부원자료'!$A:$T,ROW()+1,MATCH("거래금액(만원)",'04A_국토부원자료'!$A$4:$T$4,0)),",","")),"")</f>
        <v/>
      </c>
      <c r="H2820" s="174">
        <f>IF(G2820="","",G2820*10000)</f>
        <v/>
      </c>
      <c r="I2820" s="174">
        <f>IFERROR(IF(AND(H2820&gt;0,E2820&gt;0),H2820/E2820,""),"")</f>
        <v/>
      </c>
      <c r="J2820" s="152">
        <f>IFERROR(VALUE(SUBSTITUTE(INDEX('04A_국토부원자료'!$A:$T,ROW()+1,MATCH("층",'04A_국토부원자료'!$A$4:$T$4,0)),",","")),"")</f>
        <v/>
      </c>
      <c r="K2820" s="152">
        <f>IFERROR(VALUE(SUBSTITUTE(INDEX('04A_국토부원자료'!$A:$T,ROW()+1,MATCH("건축년도",'04A_국토부원자료'!$A$4:$T$4,0)),",","")),"")</f>
        <v/>
      </c>
      <c r="L2820" s="48">
        <f>IFERROR(INDEX('04A_국토부원자료'!$A:$T,ROW()+1,MATCH("도로명",'04A_국토부원자료'!$A$4:$T$4,0)),"")</f>
        <v/>
      </c>
      <c r="M2820" s="48">
        <f>IFERROR(INDEX('04A_국토부원자료'!$A:$T,ROW()+1,MATCH("거래유형",'04A_국토부원자료'!$A$4:$T$4,0)),"")</f>
        <v/>
      </c>
      <c r="N2820" s="152">
        <f>IF(B2820="","",IF('02_대상물건입력'!B5="",1,IF(ISNUMBER(SEARCH('02_대상물건입력'!B5,B2820)),1,0)))</f>
        <v/>
      </c>
      <c r="O2820" s="152">
        <f>IF(B2820="","",IF('02_대상물건입력'!B6="",1,IF(ISNUMBER(SEARCH('02_대상물건입력'!B6,B2820)),1,0)))</f>
        <v/>
      </c>
      <c r="P2820" s="152">
        <f>IF(L2820="","",IF('02_대상물건입력'!B15="",0,IF(ISNUMBER(SEARCH('02_대상물건입력'!B15,L2820)),1,0)))</f>
        <v/>
      </c>
      <c r="Q2820" s="152">
        <f>IF(OR(C2820="",L2820=""),0,IF(AND(TRIM(C2820)=TRIM(RIGHT(SUBSTITUTE(TRIM('02_대상물건입력'!$B$7)," ",REPT(" ",99)),99)),IF('02_대상물건입력'!B15="",TRUE(),ISNUMBER(SEARCH('02_대상물건입력'!B15,L2820)))),1,0))</f>
        <v/>
      </c>
      <c r="R2820" s="175">
        <f>IFERROR(ABS(E2820-'02_대상물건입력'!B11)/'02_대상물건입력'!B11,"")</f>
        <v/>
      </c>
      <c r="S2820" s="152">
        <f>IFERROR(ABS(J2820-'02_대상물건입력'!B10),"")</f>
        <v/>
      </c>
      <c r="T2820" s="152">
        <f>IFERROR(ABS('01_설정'!B4-F2820),"")</f>
        <v/>
      </c>
      <c r="U2820" s="152">
        <f>IFERROR(ABS(K2820-YEAR('02_대상물건입력'!B14)),"")</f>
        <v/>
      </c>
      <c r="V2820" s="152">
        <f>IF(B2820="","",IF(AND(E2820&gt;0,F2820&gt;0,H2820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2820=1,TRUE()),R2820&lt;='01_설정'!B5,S2820&lt;='01_설정'!B6,T2820&lt;='01_설정'!B7,U2820&lt;='01_설정'!B8),"Y",""))</f>
        <v/>
      </c>
      <c r="W2820" s="172">
        <f>IF(V2820&lt;&gt;"Y","",MAX(0,(1-R2820/'01_설정'!B5))*'01_설정'!B14+MAX(0,(1-S2820/'01_설정'!B6))*'01_설정'!B15+MAX(0,(1-T2820/'01_설정'!B7))*'01_설정'!B16+MAX(0,(1-U2820/'01_설정'!B8))*'01_설정'!B17+O2820*'01_설정'!B11+Q2820*'01_설정'!B12+P2820*'01_설정'!B13+IF(Z2820="",0,Z2820))</f>
        <v/>
      </c>
      <c r="X2820" s="152">
        <f>IF(W2820="","",1+COUNTIFS($W$4:$W$3003,"&gt;"&amp;W2820)+COUNTIFS($W$4:W2820,W2820)-1)</f>
        <v/>
      </c>
      <c r="Y2820" s="175">
        <f>IF(OR(I2820="",'02_대상물건입력'!B19="",'02_대상물건입력'!B19&lt;=0),"",ABS(I2820-'02_대상물건입력'!B19)/'02_대상물건입력'!B19)</f>
        <v/>
      </c>
      <c r="Z2820" s="172">
        <f>IF(OR(Y2820="",'01_설정'!B31="",'01_설정'!B31&lt;=0,'01_설정'!B32="",'01_설정'!B32&lt;=0),"",MAX(0,(1-Y2820/'01_설정'!B32))*'01_설정'!B31)</f>
        <v/>
      </c>
    </row>
    <row r="2821" ht="17.25" customHeight="1">
      <c r="A2821" s="152">
        <f>IF(INDEX('04A_국토부원자료'!$A:$A,ROW()+1)="","",ROW()-3)</f>
        <v/>
      </c>
      <c r="B2821" s="48">
        <f>IFERROR(INDEX('04A_국토부원자료'!$A:$T,ROW()+1,MATCH("시군구",'04A_국토부원자료'!$A$4:$T$4,0)),"")</f>
        <v/>
      </c>
      <c r="C2821" s="48">
        <f>IF(B2821="","",IFERROR(INDEX('04A_국토부원자료'!$A:$T,ROW()+1,MATCH("번지",'04A_국토부원자료'!$A$4:$T$4,0)),""))</f>
        <v/>
      </c>
      <c r="D2821" s="48">
        <f>IF(B2821="","",IF(Q2821=1,'02_대상물건입력'!$B$8,IFERROR(INDEX('04A_국토부원자료'!$A:$T,ROW()+1,MATCH("단지명",'04A_국토부원자료'!$A$4:$T$4,0)),"")))</f>
        <v/>
      </c>
      <c r="E2821" s="172">
        <f>IFERROR(VALUE(SUBSTITUTE(INDEX('04A_국토부원자료'!$A:$T,ROW()+1,MATCH("전용면적(㎡)",'04A_국토부원자료'!$A$4:$T$4,0)),",","")),"")</f>
        <v/>
      </c>
      <c r="F28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21" s="51">
        <f>IFERROR(VALUE(SUBSTITUTE(INDEX('04A_국토부원자료'!$A:$T,ROW()+1,MATCH("거래금액(만원)",'04A_국토부원자료'!$A$4:$T$4,0)),",","")),"")</f>
        <v/>
      </c>
      <c r="H2821" s="174">
        <f>IF(G2821="","",G2821*10000)</f>
        <v/>
      </c>
      <c r="I2821" s="174">
        <f>IFERROR(IF(AND(H2821&gt;0,E2821&gt;0),H2821/E2821,""),"")</f>
        <v/>
      </c>
      <c r="J2821" s="152">
        <f>IFERROR(VALUE(SUBSTITUTE(INDEX('04A_국토부원자료'!$A:$T,ROW()+1,MATCH("층",'04A_국토부원자료'!$A$4:$T$4,0)),",","")),"")</f>
        <v/>
      </c>
      <c r="K2821" s="152">
        <f>IFERROR(VALUE(SUBSTITUTE(INDEX('04A_국토부원자료'!$A:$T,ROW()+1,MATCH("건축년도",'04A_국토부원자료'!$A$4:$T$4,0)),",","")),"")</f>
        <v/>
      </c>
      <c r="L2821" s="48">
        <f>IFERROR(INDEX('04A_국토부원자료'!$A:$T,ROW()+1,MATCH("도로명",'04A_국토부원자료'!$A$4:$T$4,0)),"")</f>
        <v/>
      </c>
      <c r="M2821" s="48">
        <f>IFERROR(INDEX('04A_국토부원자료'!$A:$T,ROW()+1,MATCH("거래유형",'04A_국토부원자료'!$A$4:$T$4,0)),"")</f>
        <v/>
      </c>
      <c r="N2821" s="152">
        <f>IF(B2821="","",IF('02_대상물건입력'!B5="",1,IF(ISNUMBER(SEARCH('02_대상물건입력'!B5,B2821)),1,0)))</f>
        <v/>
      </c>
      <c r="O2821" s="152">
        <f>IF(B2821="","",IF('02_대상물건입력'!B6="",1,IF(ISNUMBER(SEARCH('02_대상물건입력'!B6,B2821)),1,0)))</f>
        <v/>
      </c>
      <c r="P2821" s="152">
        <f>IF(L2821="","",IF('02_대상물건입력'!B15="",0,IF(ISNUMBER(SEARCH('02_대상물건입력'!B15,L2821)),1,0)))</f>
        <v/>
      </c>
      <c r="Q2821" s="152">
        <f>IF(OR(C2821="",L2821=""),0,IF(AND(TRIM(C2821)=TRIM(RIGHT(SUBSTITUTE(TRIM('02_대상물건입력'!$B$7)," ",REPT(" ",99)),99)),IF('02_대상물건입력'!B15="",TRUE(),ISNUMBER(SEARCH('02_대상물건입력'!B15,L2821)))),1,0))</f>
        <v/>
      </c>
      <c r="R2821" s="175">
        <f>IFERROR(ABS(E2821-'02_대상물건입력'!B11)/'02_대상물건입력'!B11,"")</f>
        <v/>
      </c>
      <c r="S2821" s="152">
        <f>IFERROR(ABS(J2821-'02_대상물건입력'!B10),"")</f>
        <v/>
      </c>
      <c r="T2821" s="152">
        <f>IFERROR(ABS('01_설정'!B4-F2821),"")</f>
        <v/>
      </c>
      <c r="U2821" s="152">
        <f>IFERROR(ABS(K2821-YEAR('02_대상물건입력'!B14)),"")</f>
        <v/>
      </c>
      <c r="V2821" s="152">
        <f>IF(B2821="","",IF(AND(E2821&gt;0,F2821&gt;0,H2821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2821=1,TRUE()),R2821&lt;='01_설정'!B5,S2821&lt;='01_설정'!B6,T2821&lt;='01_설정'!B7,U2821&lt;='01_설정'!B8),"Y",""))</f>
        <v/>
      </c>
      <c r="W2821" s="172">
        <f>IF(V2821&lt;&gt;"Y","",MAX(0,(1-R2821/'01_설정'!B5))*'01_설정'!B14+MAX(0,(1-S2821/'01_설정'!B6))*'01_설정'!B15+MAX(0,(1-T2821/'01_설정'!B7))*'01_설정'!B16+MAX(0,(1-U2821/'01_설정'!B8))*'01_설정'!B17+O2821*'01_설정'!B11+Q2821*'01_설정'!B12+P2821*'01_설정'!B13+IF(Z2821="",0,Z2821))</f>
        <v/>
      </c>
      <c r="X2821" s="152">
        <f>IF(W2821="","",1+COUNTIFS($W$4:$W$3003,"&gt;"&amp;W2821)+COUNTIFS($W$4:W2821,W2821)-1)</f>
        <v/>
      </c>
      <c r="Y2821" s="175">
        <f>IF(OR(I2821="",'02_대상물건입력'!B19="",'02_대상물건입력'!B19&lt;=0),"",ABS(I2821-'02_대상물건입력'!B19)/'02_대상물건입력'!B19)</f>
        <v/>
      </c>
      <c r="Z2821" s="172">
        <f>IF(OR(Y2821="",'01_설정'!B31="",'01_설정'!B31&lt;=0,'01_설정'!B32="",'01_설정'!B32&lt;=0),"",MAX(0,(1-Y2821/'01_설정'!B32))*'01_설정'!B31)</f>
        <v/>
      </c>
    </row>
    <row r="2822" ht="17.25" customHeight="1">
      <c r="A2822" s="152">
        <f>IF(INDEX('04A_국토부원자료'!$A:$A,ROW()+1)="","",ROW()-3)</f>
        <v/>
      </c>
      <c r="B2822" s="48">
        <f>IFERROR(INDEX('04A_국토부원자료'!$A:$T,ROW()+1,MATCH("시군구",'04A_국토부원자료'!$A$4:$T$4,0)),"")</f>
        <v/>
      </c>
      <c r="C2822" s="48">
        <f>IF(B2822="","",IFERROR(INDEX('04A_국토부원자료'!$A:$T,ROW()+1,MATCH("번지",'04A_국토부원자료'!$A$4:$T$4,0)),""))</f>
        <v/>
      </c>
      <c r="D2822" s="48">
        <f>IF(B2822="","",IF(Q2822=1,'02_대상물건입력'!$B$8,IFERROR(INDEX('04A_국토부원자료'!$A:$T,ROW()+1,MATCH("단지명",'04A_국토부원자료'!$A$4:$T$4,0)),"")))</f>
        <v/>
      </c>
      <c r="E2822" s="172">
        <f>IFERROR(VALUE(SUBSTITUTE(INDEX('04A_국토부원자료'!$A:$T,ROW()+1,MATCH("전용면적(㎡)",'04A_국토부원자료'!$A$4:$T$4,0)),",","")),"")</f>
        <v/>
      </c>
      <c r="F28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22" s="51">
        <f>IFERROR(VALUE(SUBSTITUTE(INDEX('04A_국토부원자료'!$A:$T,ROW()+1,MATCH("거래금액(만원)",'04A_국토부원자료'!$A$4:$T$4,0)),",","")),"")</f>
        <v/>
      </c>
      <c r="H2822" s="174">
        <f>IF(G2822="","",G2822*10000)</f>
        <v/>
      </c>
      <c r="I2822" s="174">
        <f>IFERROR(IF(AND(H2822&gt;0,E2822&gt;0),H2822/E2822,""),"")</f>
        <v/>
      </c>
      <c r="J2822" s="152">
        <f>IFERROR(VALUE(SUBSTITUTE(INDEX('04A_국토부원자료'!$A:$T,ROW()+1,MATCH("층",'04A_국토부원자료'!$A$4:$T$4,0)),",","")),"")</f>
        <v/>
      </c>
      <c r="K2822" s="152">
        <f>IFERROR(VALUE(SUBSTITUTE(INDEX('04A_국토부원자료'!$A:$T,ROW()+1,MATCH("건축년도",'04A_국토부원자료'!$A$4:$T$4,0)),",","")),"")</f>
        <v/>
      </c>
      <c r="L2822" s="48">
        <f>IFERROR(INDEX('04A_국토부원자료'!$A:$T,ROW()+1,MATCH("도로명",'04A_국토부원자료'!$A$4:$T$4,0)),"")</f>
        <v/>
      </c>
      <c r="M2822" s="48">
        <f>IFERROR(INDEX('04A_국토부원자료'!$A:$T,ROW()+1,MATCH("거래유형",'04A_국토부원자료'!$A$4:$T$4,0)),"")</f>
        <v/>
      </c>
      <c r="N2822" s="152">
        <f>IF(B2822="","",IF('02_대상물건입력'!B5="",1,IF(ISNUMBER(SEARCH('02_대상물건입력'!B5,B2822)),1,0)))</f>
        <v/>
      </c>
      <c r="O2822" s="152">
        <f>IF(B2822="","",IF('02_대상물건입력'!B6="",1,IF(ISNUMBER(SEARCH('02_대상물건입력'!B6,B2822)),1,0)))</f>
        <v/>
      </c>
      <c r="P2822" s="152">
        <f>IF(L2822="","",IF('02_대상물건입력'!B15="",0,IF(ISNUMBER(SEARCH('02_대상물건입력'!B15,L2822)),1,0)))</f>
        <v/>
      </c>
      <c r="Q2822" s="152">
        <f>IF(OR(C2822="",L2822=""),0,IF(AND(TRIM(C2822)=TRIM(RIGHT(SUBSTITUTE(TRIM('02_대상물건입력'!$B$7)," ",REPT(" ",99)),99)),IF('02_대상물건입력'!B15="",TRUE(),ISNUMBER(SEARCH('02_대상물건입력'!B15,L2822)))),1,0))</f>
        <v/>
      </c>
      <c r="R2822" s="175">
        <f>IFERROR(ABS(E2822-'02_대상물건입력'!B11)/'02_대상물건입력'!B11,"")</f>
        <v/>
      </c>
      <c r="S2822" s="152">
        <f>IFERROR(ABS(J2822-'02_대상물건입력'!B10),"")</f>
        <v/>
      </c>
      <c r="T2822" s="152">
        <f>IFERROR(ABS('01_설정'!B4-F2822),"")</f>
        <v/>
      </c>
      <c r="U2822" s="152">
        <f>IFERROR(ABS(K2822-YEAR('02_대상물건입력'!B14)),"")</f>
        <v/>
      </c>
      <c r="V2822" s="152">
        <f>IF(B2822="","",IF(AND(E2822&gt;0,F2822&gt;0,H2822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2822=1,TRUE()),R2822&lt;='01_설정'!B5,S2822&lt;='01_설정'!B6,T2822&lt;='01_설정'!B7,U2822&lt;='01_설정'!B8),"Y",""))</f>
        <v/>
      </c>
      <c r="W2822" s="172">
        <f>IF(V2822&lt;&gt;"Y","",MAX(0,(1-R2822/'01_설정'!B5))*'01_설정'!B14+MAX(0,(1-S2822/'01_설정'!B6))*'01_설정'!B15+MAX(0,(1-T2822/'01_설정'!B7))*'01_설정'!B16+MAX(0,(1-U2822/'01_설정'!B8))*'01_설정'!B17+O2822*'01_설정'!B11+Q2822*'01_설정'!B12+P2822*'01_설정'!B13+IF(Z2822="",0,Z2822))</f>
        <v/>
      </c>
      <c r="X2822" s="152">
        <f>IF(W2822="","",1+COUNTIFS($W$4:$W$3003,"&gt;"&amp;W2822)+COUNTIFS($W$4:W2822,W2822)-1)</f>
        <v/>
      </c>
      <c r="Y2822" s="175">
        <f>IF(OR(I2822="",'02_대상물건입력'!B19="",'02_대상물건입력'!B19&lt;=0),"",ABS(I2822-'02_대상물건입력'!B19)/'02_대상물건입력'!B19)</f>
        <v/>
      </c>
      <c r="Z2822" s="172">
        <f>IF(OR(Y2822="",'01_설정'!B31="",'01_설정'!B31&lt;=0,'01_설정'!B32="",'01_설정'!B32&lt;=0),"",MAX(0,(1-Y2822/'01_설정'!B32))*'01_설정'!B31)</f>
        <v/>
      </c>
    </row>
    <row r="2823" ht="17.25" customHeight="1">
      <c r="A2823" s="152">
        <f>IF(INDEX('04A_국토부원자료'!$A:$A,ROW()+1)="","",ROW()-3)</f>
        <v/>
      </c>
      <c r="B2823" s="48">
        <f>IFERROR(INDEX('04A_국토부원자료'!$A:$T,ROW()+1,MATCH("시군구",'04A_국토부원자료'!$A$4:$T$4,0)),"")</f>
        <v/>
      </c>
      <c r="C2823" s="48">
        <f>IF(B2823="","",IFERROR(INDEX('04A_국토부원자료'!$A:$T,ROW()+1,MATCH("번지",'04A_국토부원자료'!$A$4:$T$4,0)),""))</f>
        <v/>
      </c>
      <c r="D2823" s="48">
        <f>IF(B2823="","",IF(Q2823=1,'02_대상물건입력'!$B$8,IFERROR(INDEX('04A_국토부원자료'!$A:$T,ROW()+1,MATCH("단지명",'04A_국토부원자료'!$A$4:$T$4,0)),"")))</f>
        <v/>
      </c>
      <c r="E2823" s="172">
        <f>IFERROR(VALUE(SUBSTITUTE(INDEX('04A_국토부원자료'!$A:$T,ROW()+1,MATCH("전용면적(㎡)",'04A_국토부원자료'!$A$4:$T$4,0)),",","")),"")</f>
        <v/>
      </c>
      <c r="F28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23" s="51">
        <f>IFERROR(VALUE(SUBSTITUTE(INDEX('04A_국토부원자료'!$A:$T,ROW()+1,MATCH("거래금액(만원)",'04A_국토부원자료'!$A$4:$T$4,0)),",","")),"")</f>
        <v/>
      </c>
      <c r="H2823" s="174">
        <f>IF(G2823="","",G2823*10000)</f>
        <v/>
      </c>
      <c r="I2823" s="174">
        <f>IFERROR(IF(AND(H2823&gt;0,E2823&gt;0),H2823/E2823,""),"")</f>
        <v/>
      </c>
      <c r="J2823" s="152">
        <f>IFERROR(VALUE(SUBSTITUTE(INDEX('04A_국토부원자료'!$A:$T,ROW()+1,MATCH("층",'04A_국토부원자료'!$A$4:$T$4,0)),",","")),"")</f>
        <v/>
      </c>
      <c r="K2823" s="152">
        <f>IFERROR(VALUE(SUBSTITUTE(INDEX('04A_국토부원자료'!$A:$T,ROW()+1,MATCH("건축년도",'04A_국토부원자료'!$A$4:$T$4,0)),",","")),"")</f>
        <v/>
      </c>
      <c r="L2823" s="48">
        <f>IFERROR(INDEX('04A_국토부원자료'!$A:$T,ROW()+1,MATCH("도로명",'04A_국토부원자료'!$A$4:$T$4,0)),"")</f>
        <v/>
      </c>
      <c r="M2823" s="48">
        <f>IFERROR(INDEX('04A_국토부원자료'!$A:$T,ROW()+1,MATCH("거래유형",'04A_국토부원자료'!$A$4:$T$4,0)),"")</f>
        <v/>
      </c>
      <c r="N2823" s="152">
        <f>IF(B2823="","",IF('02_대상물건입력'!B5="",1,IF(ISNUMBER(SEARCH('02_대상물건입력'!B5,B2823)),1,0)))</f>
        <v/>
      </c>
      <c r="O2823" s="152">
        <f>IF(B2823="","",IF('02_대상물건입력'!B6="",1,IF(ISNUMBER(SEARCH('02_대상물건입력'!B6,B2823)),1,0)))</f>
        <v/>
      </c>
      <c r="P2823" s="152">
        <f>IF(L2823="","",IF('02_대상물건입력'!B15="",0,IF(ISNUMBER(SEARCH('02_대상물건입력'!B15,L2823)),1,0)))</f>
        <v/>
      </c>
      <c r="Q2823" s="152">
        <f>IF(OR(C2823="",L2823=""),0,IF(AND(TRIM(C2823)=TRIM(RIGHT(SUBSTITUTE(TRIM('02_대상물건입력'!$B$7)," ",REPT(" ",99)),99)),IF('02_대상물건입력'!B15="",TRUE(),ISNUMBER(SEARCH('02_대상물건입력'!B15,L2823)))),1,0))</f>
        <v/>
      </c>
      <c r="R2823" s="175">
        <f>IFERROR(ABS(E2823-'02_대상물건입력'!B11)/'02_대상물건입력'!B11,"")</f>
        <v/>
      </c>
      <c r="S2823" s="152">
        <f>IFERROR(ABS(J2823-'02_대상물건입력'!B10),"")</f>
        <v/>
      </c>
      <c r="T2823" s="152">
        <f>IFERROR(ABS('01_설정'!B4-F2823),"")</f>
        <v/>
      </c>
      <c r="U2823" s="152">
        <f>IFERROR(ABS(K2823-YEAR('02_대상물건입력'!B14)),"")</f>
        <v/>
      </c>
      <c r="V2823" s="152">
        <f>IF(B2823="","",IF(AND(E2823&gt;0,F2823&gt;0,H2823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2823=1,TRUE()),R2823&lt;='01_설정'!B5,S2823&lt;='01_설정'!B6,T2823&lt;='01_설정'!B7,U2823&lt;='01_설정'!B8),"Y",""))</f>
        <v/>
      </c>
      <c r="W2823" s="172">
        <f>IF(V2823&lt;&gt;"Y","",MAX(0,(1-R2823/'01_설정'!B5))*'01_설정'!B14+MAX(0,(1-S2823/'01_설정'!B6))*'01_설정'!B15+MAX(0,(1-T2823/'01_설정'!B7))*'01_설정'!B16+MAX(0,(1-U2823/'01_설정'!B8))*'01_설정'!B17+O2823*'01_설정'!B11+Q2823*'01_설정'!B12+P2823*'01_설정'!B13+IF(Z2823="",0,Z2823))</f>
        <v/>
      </c>
      <c r="X2823" s="152">
        <f>IF(W2823="","",1+COUNTIFS($W$4:$W$3003,"&gt;"&amp;W2823)+COUNTIFS($W$4:W2823,W2823)-1)</f>
        <v/>
      </c>
      <c r="Y2823" s="175">
        <f>IF(OR(I2823="",'02_대상물건입력'!B19="",'02_대상물건입력'!B19&lt;=0),"",ABS(I2823-'02_대상물건입력'!B19)/'02_대상물건입력'!B19)</f>
        <v/>
      </c>
      <c r="Z2823" s="172">
        <f>IF(OR(Y2823="",'01_설정'!B31="",'01_설정'!B31&lt;=0,'01_설정'!B32="",'01_설정'!B32&lt;=0),"",MAX(0,(1-Y2823/'01_설정'!B32))*'01_설정'!B31)</f>
        <v/>
      </c>
    </row>
    <row r="2824" ht="17.25" customHeight="1">
      <c r="A2824" s="152">
        <f>IF(INDEX('04A_국토부원자료'!$A:$A,ROW()+1)="","",ROW()-3)</f>
        <v/>
      </c>
      <c r="B2824" s="48">
        <f>IFERROR(INDEX('04A_국토부원자료'!$A:$T,ROW()+1,MATCH("시군구",'04A_국토부원자료'!$A$4:$T$4,0)),"")</f>
        <v/>
      </c>
      <c r="C2824" s="48">
        <f>IF(B2824="","",IFERROR(INDEX('04A_국토부원자료'!$A:$T,ROW()+1,MATCH("번지",'04A_국토부원자료'!$A$4:$T$4,0)),""))</f>
        <v/>
      </c>
      <c r="D2824" s="48">
        <f>IF(B2824="","",IF(Q2824=1,'02_대상물건입력'!$B$8,IFERROR(INDEX('04A_국토부원자료'!$A:$T,ROW()+1,MATCH("단지명",'04A_국토부원자료'!$A$4:$T$4,0)),"")))</f>
        <v/>
      </c>
      <c r="E2824" s="172">
        <f>IFERROR(VALUE(SUBSTITUTE(INDEX('04A_국토부원자료'!$A:$T,ROW()+1,MATCH("전용면적(㎡)",'04A_국토부원자료'!$A$4:$T$4,0)),",","")),"")</f>
        <v/>
      </c>
      <c r="F28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24" s="51">
        <f>IFERROR(VALUE(SUBSTITUTE(INDEX('04A_국토부원자료'!$A:$T,ROW()+1,MATCH("거래금액(만원)",'04A_국토부원자료'!$A$4:$T$4,0)),",","")),"")</f>
        <v/>
      </c>
      <c r="H2824" s="174">
        <f>IF(G2824="","",G2824*10000)</f>
        <v/>
      </c>
      <c r="I2824" s="174">
        <f>IFERROR(IF(AND(H2824&gt;0,E2824&gt;0),H2824/E2824,""),"")</f>
        <v/>
      </c>
      <c r="J2824" s="152">
        <f>IFERROR(VALUE(SUBSTITUTE(INDEX('04A_국토부원자료'!$A:$T,ROW()+1,MATCH("층",'04A_국토부원자료'!$A$4:$T$4,0)),",","")),"")</f>
        <v/>
      </c>
      <c r="K2824" s="152">
        <f>IFERROR(VALUE(SUBSTITUTE(INDEX('04A_국토부원자료'!$A:$T,ROW()+1,MATCH("건축년도",'04A_국토부원자료'!$A$4:$T$4,0)),",","")),"")</f>
        <v/>
      </c>
      <c r="L2824" s="48">
        <f>IFERROR(INDEX('04A_국토부원자료'!$A:$T,ROW()+1,MATCH("도로명",'04A_국토부원자료'!$A$4:$T$4,0)),"")</f>
        <v/>
      </c>
      <c r="M2824" s="48">
        <f>IFERROR(INDEX('04A_국토부원자료'!$A:$T,ROW()+1,MATCH("거래유형",'04A_국토부원자료'!$A$4:$T$4,0)),"")</f>
        <v/>
      </c>
      <c r="N2824" s="152">
        <f>IF(B2824="","",IF('02_대상물건입력'!B5="",1,IF(ISNUMBER(SEARCH('02_대상물건입력'!B5,B2824)),1,0)))</f>
        <v/>
      </c>
      <c r="O2824" s="152">
        <f>IF(B2824="","",IF('02_대상물건입력'!B6="",1,IF(ISNUMBER(SEARCH('02_대상물건입력'!B6,B2824)),1,0)))</f>
        <v/>
      </c>
      <c r="P2824" s="152">
        <f>IF(L2824="","",IF('02_대상물건입력'!B15="",0,IF(ISNUMBER(SEARCH('02_대상물건입력'!B15,L2824)),1,0)))</f>
        <v/>
      </c>
      <c r="Q2824" s="152">
        <f>IF(OR(C2824="",L2824=""),0,IF(AND(TRIM(C2824)=TRIM(RIGHT(SUBSTITUTE(TRIM('02_대상물건입력'!$B$7)," ",REPT(" ",99)),99)),IF('02_대상물건입력'!B15="",TRUE(),ISNUMBER(SEARCH('02_대상물건입력'!B15,L2824)))),1,0))</f>
        <v/>
      </c>
      <c r="R2824" s="175">
        <f>IFERROR(ABS(E2824-'02_대상물건입력'!B11)/'02_대상물건입력'!B11,"")</f>
        <v/>
      </c>
      <c r="S2824" s="152">
        <f>IFERROR(ABS(J2824-'02_대상물건입력'!B10),"")</f>
        <v/>
      </c>
      <c r="T2824" s="152">
        <f>IFERROR(ABS('01_설정'!B4-F2824),"")</f>
        <v/>
      </c>
      <c r="U2824" s="152">
        <f>IFERROR(ABS(K2824-YEAR('02_대상물건입력'!B14)),"")</f>
        <v/>
      </c>
      <c r="V2824" s="152">
        <f>IF(B2824="","",IF(AND(E2824&gt;0,F2824&gt;0,H2824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2824=1,TRUE()),R2824&lt;='01_설정'!B5,S2824&lt;='01_설정'!B6,T2824&lt;='01_설정'!B7,U2824&lt;='01_설정'!B8),"Y",""))</f>
        <v/>
      </c>
      <c r="W2824" s="172">
        <f>IF(V2824&lt;&gt;"Y","",MAX(0,(1-R2824/'01_설정'!B5))*'01_설정'!B14+MAX(0,(1-S2824/'01_설정'!B6))*'01_설정'!B15+MAX(0,(1-T2824/'01_설정'!B7))*'01_설정'!B16+MAX(0,(1-U2824/'01_설정'!B8))*'01_설정'!B17+O2824*'01_설정'!B11+Q2824*'01_설정'!B12+P2824*'01_설정'!B13+IF(Z2824="",0,Z2824))</f>
        <v/>
      </c>
      <c r="X2824" s="152">
        <f>IF(W2824="","",1+COUNTIFS($W$4:$W$3003,"&gt;"&amp;W2824)+COUNTIFS($W$4:W2824,W2824)-1)</f>
        <v/>
      </c>
      <c r="Y2824" s="175">
        <f>IF(OR(I2824="",'02_대상물건입력'!B19="",'02_대상물건입력'!B19&lt;=0),"",ABS(I2824-'02_대상물건입력'!B19)/'02_대상물건입력'!B19)</f>
        <v/>
      </c>
      <c r="Z2824" s="172">
        <f>IF(OR(Y2824="",'01_설정'!B31="",'01_설정'!B31&lt;=0,'01_설정'!B32="",'01_설정'!B32&lt;=0),"",MAX(0,(1-Y2824/'01_설정'!B32))*'01_설정'!B31)</f>
        <v/>
      </c>
    </row>
    <row r="2825" ht="17.25" customHeight="1">
      <c r="A2825" s="152">
        <f>IF(INDEX('04A_국토부원자료'!$A:$A,ROW()+1)="","",ROW()-3)</f>
        <v/>
      </c>
      <c r="B2825" s="48">
        <f>IFERROR(INDEX('04A_국토부원자료'!$A:$T,ROW()+1,MATCH("시군구",'04A_국토부원자료'!$A$4:$T$4,0)),"")</f>
        <v/>
      </c>
      <c r="C2825" s="48">
        <f>IF(B2825="","",IFERROR(INDEX('04A_국토부원자료'!$A:$T,ROW()+1,MATCH("번지",'04A_국토부원자료'!$A$4:$T$4,0)),""))</f>
        <v/>
      </c>
      <c r="D2825" s="48">
        <f>IF(B2825="","",IF(Q2825=1,'02_대상물건입력'!$B$8,IFERROR(INDEX('04A_국토부원자료'!$A:$T,ROW()+1,MATCH("단지명",'04A_국토부원자료'!$A$4:$T$4,0)),"")))</f>
        <v/>
      </c>
      <c r="E2825" s="172">
        <f>IFERROR(VALUE(SUBSTITUTE(INDEX('04A_국토부원자료'!$A:$T,ROW()+1,MATCH("전용면적(㎡)",'04A_국토부원자료'!$A$4:$T$4,0)),",","")),"")</f>
        <v/>
      </c>
      <c r="F28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25" s="51">
        <f>IFERROR(VALUE(SUBSTITUTE(INDEX('04A_국토부원자료'!$A:$T,ROW()+1,MATCH("거래금액(만원)",'04A_국토부원자료'!$A$4:$T$4,0)),",","")),"")</f>
        <v/>
      </c>
      <c r="H2825" s="174">
        <f>IF(G2825="","",G2825*10000)</f>
        <v/>
      </c>
      <c r="I2825" s="174">
        <f>IFERROR(IF(AND(H2825&gt;0,E2825&gt;0),H2825/E2825,""),"")</f>
        <v/>
      </c>
      <c r="J2825" s="152">
        <f>IFERROR(VALUE(SUBSTITUTE(INDEX('04A_국토부원자료'!$A:$T,ROW()+1,MATCH("층",'04A_국토부원자료'!$A$4:$T$4,0)),",","")),"")</f>
        <v/>
      </c>
      <c r="K2825" s="152">
        <f>IFERROR(VALUE(SUBSTITUTE(INDEX('04A_국토부원자료'!$A:$T,ROW()+1,MATCH("건축년도",'04A_국토부원자료'!$A$4:$T$4,0)),",","")),"")</f>
        <v/>
      </c>
      <c r="L2825" s="48">
        <f>IFERROR(INDEX('04A_국토부원자료'!$A:$T,ROW()+1,MATCH("도로명",'04A_국토부원자료'!$A$4:$T$4,0)),"")</f>
        <v/>
      </c>
      <c r="M2825" s="48">
        <f>IFERROR(INDEX('04A_국토부원자료'!$A:$T,ROW()+1,MATCH("거래유형",'04A_국토부원자료'!$A$4:$T$4,0)),"")</f>
        <v/>
      </c>
      <c r="N2825" s="152">
        <f>IF(B2825="","",IF('02_대상물건입력'!B5="",1,IF(ISNUMBER(SEARCH('02_대상물건입력'!B5,B2825)),1,0)))</f>
        <v/>
      </c>
      <c r="O2825" s="152">
        <f>IF(B2825="","",IF('02_대상물건입력'!B6="",1,IF(ISNUMBER(SEARCH('02_대상물건입력'!B6,B2825)),1,0)))</f>
        <v/>
      </c>
      <c r="P2825" s="152">
        <f>IF(L2825="","",IF('02_대상물건입력'!B15="",0,IF(ISNUMBER(SEARCH('02_대상물건입력'!B15,L2825)),1,0)))</f>
        <v/>
      </c>
      <c r="Q2825" s="152">
        <f>IF(OR(C2825="",L2825=""),0,IF(AND(TRIM(C2825)=TRIM(RIGHT(SUBSTITUTE(TRIM('02_대상물건입력'!$B$7)," ",REPT(" ",99)),99)),IF('02_대상물건입력'!B15="",TRUE(),ISNUMBER(SEARCH('02_대상물건입력'!B15,L2825)))),1,0))</f>
        <v/>
      </c>
      <c r="R2825" s="175">
        <f>IFERROR(ABS(E2825-'02_대상물건입력'!B11)/'02_대상물건입력'!B11,"")</f>
        <v/>
      </c>
      <c r="S2825" s="152">
        <f>IFERROR(ABS(J2825-'02_대상물건입력'!B10),"")</f>
        <v/>
      </c>
      <c r="T2825" s="152">
        <f>IFERROR(ABS('01_설정'!B4-F2825),"")</f>
        <v/>
      </c>
      <c r="U2825" s="152">
        <f>IFERROR(ABS(K2825-YEAR('02_대상물건입력'!B14)),"")</f>
        <v/>
      </c>
      <c r="V2825" s="152">
        <f>IF(B2825="","",IF(AND(E2825&gt;0,F2825&gt;0,H2825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2825=1,TRUE()),R2825&lt;='01_설정'!B5,S2825&lt;='01_설정'!B6,T2825&lt;='01_설정'!B7,U2825&lt;='01_설정'!B8),"Y",""))</f>
        <v/>
      </c>
      <c r="W2825" s="172">
        <f>IF(V2825&lt;&gt;"Y","",MAX(0,(1-R2825/'01_설정'!B5))*'01_설정'!B14+MAX(0,(1-S2825/'01_설정'!B6))*'01_설정'!B15+MAX(0,(1-T2825/'01_설정'!B7))*'01_설정'!B16+MAX(0,(1-U2825/'01_설정'!B8))*'01_설정'!B17+O2825*'01_설정'!B11+Q2825*'01_설정'!B12+P2825*'01_설정'!B13+IF(Z2825="",0,Z2825))</f>
        <v/>
      </c>
      <c r="X2825" s="152">
        <f>IF(W2825="","",1+COUNTIFS($W$4:$W$3003,"&gt;"&amp;W2825)+COUNTIFS($W$4:W2825,W2825)-1)</f>
        <v/>
      </c>
      <c r="Y2825" s="175">
        <f>IF(OR(I2825="",'02_대상물건입력'!B19="",'02_대상물건입력'!B19&lt;=0),"",ABS(I2825-'02_대상물건입력'!B19)/'02_대상물건입력'!B19)</f>
        <v/>
      </c>
      <c r="Z2825" s="172">
        <f>IF(OR(Y2825="",'01_설정'!B31="",'01_설정'!B31&lt;=0,'01_설정'!B32="",'01_설정'!B32&lt;=0),"",MAX(0,(1-Y2825/'01_설정'!B32))*'01_설정'!B31)</f>
        <v/>
      </c>
    </row>
    <row r="2826" ht="17.25" customHeight="1">
      <c r="A2826" s="152">
        <f>IF(INDEX('04A_국토부원자료'!$A:$A,ROW()+1)="","",ROW()-3)</f>
        <v/>
      </c>
      <c r="B2826" s="48">
        <f>IFERROR(INDEX('04A_국토부원자료'!$A:$T,ROW()+1,MATCH("시군구",'04A_국토부원자료'!$A$4:$T$4,0)),"")</f>
        <v/>
      </c>
      <c r="C2826" s="48">
        <f>IF(B2826="","",IFERROR(INDEX('04A_국토부원자료'!$A:$T,ROW()+1,MATCH("번지",'04A_국토부원자료'!$A$4:$T$4,0)),""))</f>
        <v/>
      </c>
      <c r="D2826" s="48">
        <f>IF(B2826="","",IF(Q2826=1,'02_대상물건입력'!$B$8,IFERROR(INDEX('04A_국토부원자료'!$A:$T,ROW()+1,MATCH("단지명",'04A_국토부원자료'!$A$4:$T$4,0)),"")))</f>
        <v/>
      </c>
      <c r="E2826" s="172">
        <f>IFERROR(VALUE(SUBSTITUTE(INDEX('04A_국토부원자료'!$A:$T,ROW()+1,MATCH("전용면적(㎡)",'04A_국토부원자료'!$A$4:$T$4,0)),",","")),"")</f>
        <v/>
      </c>
      <c r="F28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26" s="51">
        <f>IFERROR(VALUE(SUBSTITUTE(INDEX('04A_국토부원자료'!$A:$T,ROW()+1,MATCH("거래금액(만원)",'04A_국토부원자료'!$A$4:$T$4,0)),",","")),"")</f>
        <v/>
      </c>
      <c r="H2826" s="174">
        <f>IF(G2826="","",G2826*10000)</f>
        <v/>
      </c>
      <c r="I2826" s="174">
        <f>IFERROR(IF(AND(H2826&gt;0,E2826&gt;0),H2826/E2826,""),"")</f>
        <v/>
      </c>
      <c r="J2826" s="152">
        <f>IFERROR(VALUE(SUBSTITUTE(INDEX('04A_국토부원자료'!$A:$T,ROW()+1,MATCH("층",'04A_국토부원자료'!$A$4:$T$4,0)),",","")),"")</f>
        <v/>
      </c>
      <c r="K2826" s="152">
        <f>IFERROR(VALUE(SUBSTITUTE(INDEX('04A_국토부원자료'!$A:$T,ROW()+1,MATCH("건축년도",'04A_국토부원자료'!$A$4:$T$4,0)),",","")),"")</f>
        <v/>
      </c>
      <c r="L2826" s="48">
        <f>IFERROR(INDEX('04A_국토부원자료'!$A:$T,ROW()+1,MATCH("도로명",'04A_국토부원자료'!$A$4:$T$4,0)),"")</f>
        <v/>
      </c>
      <c r="M2826" s="48">
        <f>IFERROR(INDEX('04A_국토부원자료'!$A:$T,ROW()+1,MATCH("거래유형",'04A_국토부원자료'!$A$4:$T$4,0)),"")</f>
        <v/>
      </c>
      <c r="N2826" s="152">
        <f>IF(B2826="","",IF('02_대상물건입력'!B5="",1,IF(ISNUMBER(SEARCH('02_대상물건입력'!B5,B2826)),1,0)))</f>
        <v/>
      </c>
      <c r="O2826" s="152">
        <f>IF(B2826="","",IF('02_대상물건입력'!B6="",1,IF(ISNUMBER(SEARCH('02_대상물건입력'!B6,B2826)),1,0)))</f>
        <v/>
      </c>
      <c r="P2826" s="152">
        <f>IF(L2826="","",IF('02_대상물건입력'!B15="",0,IF(ISNUMBER(SEARCH('02_대상물건입력'!B15,L2826)),1,0)))</f>
        <v/>
      </c>
      <c r="Q2826" s="152">
        <f>IF(OR(C2826="",L2826=""),0,IF(AND(TRIM(C2826)=TRIM(RIGHT(SUBSTITUTE(TRIM('02_대상물건입력'!$B$7)," ",REPT(" ",99)),99)),IF('02_대상물건입력'!B15="",TRUE(),ISNUMBER(SEARCH('02_대상물건입력'!B15,L2826)))),1,0))</f>
        <v/>
      </c>
      <c r="R2826" s="175">
        <f>IFERROR(ABS(E2826-'02_대상물건입력'!B11)/'02_대상물건입력'!B11,"")</f>
        <v/>
      </c>
      <c r="S2826" s="152">
        <f>IFERROR(ABS(J2826-'02_대상물건입력'!B10),"")</f>
        <v/>
      </c>
      <c r="T2826" s="152">
        <f>IFERROR(ABS('01_설정'!B4-F2826),"")</f>
        <v/>
      </c>
      <c r="U2826" s="152">
        <f>IFERROR(ABS(K2826-YEAR('02_대상물건입력'!B14)),"")</f>
        <v/>
      </c>
      <c r="V2826" s="152">
        <f>IF(B2826="","",IF(AND(E2826&gt;0,F2826&gt;0,H2826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2826=1,TRUE()),R2826&lt;='01_설정'!B5,S2826&lt;='01_설정'!B6,T2826&lt;='01_설정'!B7,U2826&lt;='01_설정'!B8),"Y",""))</f>
        <v/>
      </c>
      <c r="W2826" s="172">
        <f>IF(V2826&lt;&gt;"Y","",MAX(0,(1-R2826/'01_설정'!B5))*'01_설정'!B14+MAX(0,(1-S2826/'01_설정'!B6))*'01_설정'!B15+MAX(0,(1-T2826/'01_설정'!B7))*'01_설정'!B16+MAX(0,(1-U2826/'01_설정'!B8))*'01_설정'!B17+O2826*'01_설정'!B11+Q2826*'01_설정'!B12+P2826*'01_설정'!B13+IF(Z2826="",0,Z2826))</f>
        <v/>
      </c>
      <c r="X2826" s="152">
        <f>IF(W2826="","",1+COUNTIFS($W$4:$W$3003,"&gt;"&amp;W2826)+COUNTIFS($W$4:W2826,W2826)-1)</f>
        <v/>
      </c>
      <c r="Y2826" s="175">
        <f>IF(OR(I2826="",'02_대상물건입력'!B19="",'02_대상물건입력'!B19&lt;=0),"",ABS(I2826-'02_대상물건입력'!B19)/'02_대상물건입력'!B19)</f>
        <v/>
      </c>
      <c r="Z2826" s="172">
        <f>IF(OR(Y2826="",'01_설정'!B31="",'01_설정'!B31&lt;=0,'01_설정'!B32="",'01_설정'!B32&lt;=0),"",MAX(0,(1-Y2826/'01_설정'!B32))*'01_설정'!B31)</f>
        <v/>
      </c>
    </row>
    <row r="2827" ht="17.25" customHeight="1">
      <c r="A2827" s="152">
        <f>IF(INDEX('04A_국토부원자료'!$A:$A,ROW()+1)="","",ROW()-3)</f>
        <v/>
      </c>
      <c r="B2827" s="48">
        <f>IFERROR(INDEX('04A_국토부원자료'!$A:$T,ROW()+1,MATCH("시군구",'04A_국토부원자료'!$A$4:$T$4,0)),"")</f>
        <v/>
      </c>
      <c r="C2827" s="48">
        <f>IF(B2827="","",IFERROR(INDEX('04A_국토부원자료'!$A:$T,ROW()+1,MATCH("번지",'04A_국토부원자료'!$A$4:$T$4,0)),""))</f>
        <v/>
      </c>
      <c r="D2827" s="48">
        <f>IF(B2827="","",IF(Q2827=1,'02_대상물건입력'!$B$8,IFERROR(INDEX('04A_국토부원자료'!$A:$T,ROW()+1,MATCH("단지명",'04A_국토부원자료'!$A$4:$T$4,0)),"")))</f>
        <v/>
      </c>
      <c r="E2827" s="172">
        <f>IFERROR(VALUE(SUBSTITUTE(INDEX('04A_국토부원자료'!$A:$T,ROW()+1,MATCH("전용면적(㎡)",'04A_국토부원자료'!$A$4:$T$4,0)),",","")),"")</f>
        <v/>
      </c>
      <c r="F28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27" s="51">
        <f>IFERROR(VALUE(SUBSTITUTE(INDEX('04A_국토부원자료'!$A:$T,ROW()+1,MATCH("거래금액(만원)",'04A_국토부원자료'!$A$4:$T$4,0)),",","")),"")</f>
        <v/>
      </c>
      <c r="H2827" s="174">
        <f>IF(G2827="","",G2827*10000)</f>
        <v/>
      </c>
      <c r="I2827" s="174">
        <f>IFERROR(IF(AND(H2827&gt;0,E2827&gt;0),H2827/E2827,""),"")</f>
        <v/>
      </c>
      <c r="J2827" s="152">
        <f>IFERROR(VALUE(SUBSTITUTE(INDEX('04A_국토부원자료'!$A:$T,ROW()+1,MATCH("층",'04A_국토부원자료'!$A$4:$T$4,0)),",","")),"")</f>
        <v/>
      </c>
      <c r="K2827" s="152">
        <f>IFERROR(VALUE(SUBSTITUTE(INDEX('04A_국토부원자료'!$A:$T,ROW()+1,MATCH("건축년도",'04A_국토부원자료'!$A$4:$T$4,0)),",","")),"")</f>
        <v/>
      </c>
      <c r="L2827" s="48">
        <f>IFERROR(INDEX('04A_국토부원자료'!$A:$T,ROW()+1,MATCH("도로명",'04A_국토부원자료'!$A$4:$T$4,0)),"")</f>
        <v/>
      </c>
      <c r="M2827" s="48">
        <f>IFERROR(INDEX('04A_국토부원자료'!$A:$T,ROW()+1,MATCH("거래유형",'04A_국토부원자료'!$A$4:$T$4,0)),"")</f>
        <v/>
      </c>
      <c r="N2827" s="152">
        <f>IF(B2827="","",IF('02_대상물건입력'!B5="",1,IF(ISNUMBER(SEARCH('02_대상물건입력'!B5,B2827)),1,0)))</f>
        <v/>
      </c>
      <c r="O2827" s="152">
        <f>IF(B2827="","",IF('02_대상물건입력'!B6="",1,IF(ISNUMBER(SEARCH('02_대상물건입력'!B6,B2827)),1,0)))</f>
        <v/>
      </c>
      <c r="P2827" s="152">
        <f>IF(L2827="","",IF('02_대상물건입력'!B15="",0,IF(ISNUMBER(SEARCH('02_대상물건입력'!B15,L2827)),1,0)))</f>
        <v/>
      </c>
      <c r="Q2827" s="152">
        <f>IF(OR(C2827="",L2827=""),0,IF(AND(TRIM(C2827)=TRIM(RIGHT(SUBSTITUTE(TRIM('02_대상물건입력'!$B$7)," ",REPT(" ",99)),99)),IF('02_대상물건입력'!B15="",TRUE(),ISNUMBER(SEARCH('02_대상물건입력'!B15,L2827)))),1,0))</f>
        <v/>
      </c>
      <c r="R2827" s="175">
        <f>IFERROR(ABS(E2827-'02_대상물건입력'!B11)/'02_대상물건입력'!B11,"")</f>
        <v/>
      </c>
      <c r="S2827" s="152">
        <f>IFERROR(ABS(J2827-'02_대상물건입력'!B10),"")</f>
        <v/>
      </c>
      <c r="T2827" s="152">
        <f>IFERROR(ABS('01_설정'!B4-F2827),"")</f>
        <v/>
      </c>
      <c r="U2827" s="152">
        <f>IFERROR(ABS(K2827-YEAR('02_대상물건입력'!B14)),"")</f>
        <v/>
      </c>
      <c r="V2827" s="152">
        <f>IF(B2827="","",IF(AND(E2827&gt;0,F2827&gt;0,H2827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2827=1,TRUE()),R2827&lt;='01_설정'!B5,S2827&lt;='01_설정'!B6,T2827&lt;='01_설정'!B7,U2827&lt;='01_설정'!B8),"Y",""))</f>
        <v/>
      </c>
      <c r="W2827" s="172">
        <f>IF(V2827&lt;&gt;"Y","",MAX(0,(1-R2827/'01_설정'!B5))*'01_설정'!B14+MAX(0,(1-S2827/'01_설정'!B6))*'01_설정'!B15+MAX(0,(1-T2827/'01_설정'!B7))*'01_설정'!B16+MAX(0,(1-U2827/'01_설정'!B8))*'01_설정'!B17+O2827*'01_설정'!B11+Q2827*'01_설정'!B12+P2827*'01_설정'!B13+IF(Z2827="",0,Z2827))</f>
        <v/>
      </c>
      <c r="X2827" s="152">
        <f>IF(W2827="","",1+COUNTIFS($W$4:$W$3003,"&gt;"&amp;W2827)+COUNTIFS($W$4:W2827,W2827)-1)</f>
        <v/>
      </c>
      <c r="Y2827" s="175">
        <f>IF(OR(I2827="",'02_대상물건입력'!B19="",'02_대상물건입력'!B19&lt;=0),"",ABS(I2827-'02_대상물건입력'!B19)/'02_대상물건입력'!B19)</f>
        <v/>
      </c>
      <c r="Z2827" s="172">
        <f>IF(OR(Y2827="",'01_설정'!B31="",'01_설정'!B31&lt;=0,'01_설정'!B32="",'01_설정'!B32&lt;=0),"",MAX(0,(1-Y2827/'01_설정'!B32))*'01_설정'!B31)</f>
        <v/>
      </c>
    </row>
    <row r="2828" ht="17.25" customHeight="1">
      <c r="A2828" s="152">
        <f>IF(INDEX('04A_국토부원자료'!$A:$A,ROW()+1)="","",ROW()-3)</f>
        <v/>
      </c>
      <c r="B2828" s="48">
        <f>IFERROR(INDEX('04A_국토부원자료'!$A:$T,ROW()+1,MATCH("시군구",'04A_국토부원자료'!$A$4:$T$4,0)),"")</f>
        <v/>
      </c>
      <c r="C2828" s="48">
        <f>IF(B2828="","",IFERROR(INDEX('04A_국토부원자료'!$A:$T,ROW()+1,MATCH("번지",'04A_국토부원자료'!$A$4:$T$4,0)),""))</f>
        <v/>
      </c>
      <c r="D2828" s="48">
        <f>IF(B2828="","",IF(Q2828=1,'02_대상물건입력'!$B$8,IFERROR(INDEX('04A_국토부원자료'!$A:$T,ROW()+1,MATCH("단지명",'04A_국토부원자료'!$A$4:$T$4,0)),"")))</f>
        <v/>
      </c>
      <c r="E2828" s="172">
        <f>IFERROR(VALUE(SUBSTITUTE(INDEX('04A_국토부원자료'!$A:$T,ROW()+1,MATCH("전용면적(㎡)",'04A_국토부원자료'!$A$4:$T$4,0)),",","")),"")</f>
        <v/>
      </c>
      <c r="F28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28" s="51">
        <f>IFERROR(VALUE(SUBSTITUTE(INDEX('04A_국토부원자료'!$A:$T,ROW()+1,MATCH("거래금액(만원)",'04A_국토부원자료'!$A$4:$T$4,0)),",","")),"")</f>
        <v/>
      </c>
      <c r="H2828" s="174">
        <f>IF(G2828="","",G2828*10000)</f>
        <v/>
      </c>
      <c r="I2828" s="174">
        <f>IFERROR(IF(AND(H2828&gt;0,E2828&gt;0),H2828/E2828,""),"")</f>
        <v/>
      </c>
      <c r="J2828" s="152">
        <f>IFERROR(VALUE(SUBSTITUTE(INDEX('04A_국토부원자료'!$A:$T,ROW()+1,MATCH("층",'04A_국토부원자료'!$A$4:$T$4,0)),",","")),"")</f>
        <v/>
      </c>
      <c r="K2828" s="152">
        <f>IFERROR(VALUE(SUBSTITUTE(INDEX('04A_국토부원자료'!$A:$T,ROW()+1,MATCH("건축년도",'04A_국토부원자료'!$A$4:$T$4,0)),",","")),"")</f>
        <v/>
      </c>
      <c r="L2828" s="48">
        <f>IFERROR(INDEX('04A_국토부원자료'!$A:$T,ROW()+1,MATCH("도로명",'04A_국토부원자료'!$A$4:$T$4,0)),"")</f>
        <v/>
      </c>
      <c r="M2828" s="48">
        <f>IFERROR(INDEX('04A_국토부원자료'!$A:$T,ROW()+1,MATCH("거래유형",'04A_국토부원자료'!$A$4:$T$4,0)),"")</f>
        <v/>
      </c>
      <c r="N2828" s="152">
        <f>IF(B2828="","",IF('02_대상물건입력'!B5="",1,IF(ISNUMBER(SEARCH('02_대상물건입력'!B5,B2828)),1,0)))</f>
        <v/>
      </c>
      <c r="O2828" s="152">
        <f>IF(B2828="","",IF('02_대상물건입력'!B6="",1,IF(ISNUMBER(SEARCH('02_대상물건입력'!B6,B2828)),1,0)))</f>
        <v/>
      </c>
      <c r="P2828" s="152">
        <f>IF(L2828="","",IF('02_대상물건입력'!B15="",0,IF(ISNUMBER(SEARCH('02_대상물건입력'!B15,L2828)),1,0)))</f>
        <v/>
      </c>
      <c r="Q2828" s="152">
        <f>IF(OR(C2828="",L2828=""),0,IF(AND(TRIM(C2828)=TRIM(RIGHT(SUBSTITUTE(TRIM('02_대상물건입력'!$B$7)," ",REPT(" ",99)),99)),IF('02_대상물건입력'!B15="",TRUE(),ISNUMBER(SEARCH('02_대상물건입력'!B15,L2828)))),1,0))</f>
        <v/>
      </c>
      <c r="R2828" s="175">
        <f>IFERROR(ABS(E2828-'02_대상물건입력'!B11)/'02_대상물건입력'!B11,"")</f>
        <v/>
      </c>
      <c r="S2828" s="152">
        <f>IFERROR(ABS(J2828-'02_대상물건입력'!B10),"")</f>
        <v/>
      </c>
      <c r="T2828" s="152">
        <f>IFERROR(ABS('01_설정'!B4-F2828),"")</f>
        <v/>
      </c>
      <c r="U2828" s="152">
        <f>IFERROR(ABS(K2828-YEAR('02_대상물건입력'!B14)),"")</f>
        <v/>
      </c>
      <c r="V2828" s="152">
        <f>IF(B2828="","",IF(AND(E2828&gt;0,F2828&gt;0,H2828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2828=1,TRUE()),R2828&lt;='01_설정'!B5,S2828&lt;='01_설정'!B6,T2828&lt;='01_설정'!B7,U2828&lt;='01_설정'!B8),"Y",""))</f>
        <v/>
      </c>
      <c r="W2828" s="172">
        <f>IF(V2828&lt;&gt;"Y","",MAX(0,(1-R2828/'01_설정'!B5))*'01_설정'!B14+MAX(0,(1-S2828/'01_설정'!B6))*'01_설정'!B15+MAX(0,(1-T2828/'01_설정'!B7))*'01_설정'!B16+MAX(0,(1-U2828/'01_설정'!B8))*'01_설정'!B17+O2828*'01_설정'!B11+Q2828*'01_설정'!B12+P2828*'01_설정'!B13+IF(Z2828="",0,Z2828))</f>
        <v/>
      </c>
      <c r="X2828" s="152">
        <f>IF(W2828="","",1+COUNTIFS($W$4:$W$3003,"&gt;"&amp;W2828)+COUNTIFS($W$4:W2828,W2828)-1)</f>
        <v/>
      </c>
      <c r="Y2828" s="175">
        <f>IF(OR(I2828="",'02_대상물건입력'!B19="",'02_대상물건입력'!B19&lt;=0),"",ABS(I2828-'02_대상물건입력'!B19)/'02_대상물건입력'!B19)</f>
        <v/>
      </c>
      <c r="Z2828" s="172">
        <f>IF(OR(Y2828="",'01_설정'!B31="",'01_설정'!B31&lt;=0,'01_설정'!B32="",'01_설정'!B32&lt;=0),"",MAX(0,(1-Y2828/'01_설정'!B32))*'01_설정'!B31)</f>
        <v/>
      </c>
    </row>
    <row r="2829" ht="17.25" customHeight="1">
      <c r="A2829" s="152">
        <f>IF(INDEX('04A_국토부원자료'!$A:$A,ROW()+1)="","",ROW()-3)</f>
        <v/>
      </c>
      <c r="B2829" s="48">
        <f>IFERROR(INDEX('04A_국토부원자료'!$A:$T,ROW()+1,MATCH("시군구",'04A_국토부원자료'!$A$4:$T$4,0)),"")</f>
        <v/>
      </c>
      <c r="C2829" s="48">
        <f>IF(B2829="","",IFERROR(INDEX('04A_국토부원자료'!$A:$T,ROW()+1,MATCH("번지",'04A_국토부원자료'!$A$4:$T$4,0)),""))</f>
        <v/>
      </c>
      <c r="D2829" s="48">
        <f>IF(B2829="","",IF(Q2829=1,'02_대상물건입력'!$B$8,IFERROR(INDEX('04A_국토부원자료'!$A:$T,ROW()+1,MATCH("단지명",'04A_국토부원자료'!$A$4:$T$4,0)),"")))</f>
        <v/>
      </c>
      <c r="E2829" s="172">
        <f>IFERROR(VALUE(SUBSTITUTE(INDEX('04A_국토부원자료'!$A:$T,ROW()+1,MATCH("전용면적(㎡)",'04A_국토부원자료'!$A$4:$T$4,0)),",","")),"")</f>
        <v/>
      </c>
      <c r="F28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29" s="51">
        <f>IFERROR(VALUE(SUBSTITUTE(INDEX('04A_국토부원자료'!$A:$T,ROW()+1,MATCH("거래금액(만원)",'04A_국토부원자료'!$A$4:$T$4,0)),",","")),"")</f>
        <v/>
      </c>
      <c r="H2829" s="174">
        <f>IF(G2829="","",G2829*10000)</f>
        <v/>
      </c>
      <c r="I2829" s="174">
        <f>IFERROR(IF(AND(H2829&gt;0,E2829&gt;0),H2829/E2829,""),"")</f>
        <v/>
      </c>
      <c r="J2829" s="152">
        <f>IFERROR(VALUE(SUBSTITUTE(INDEX('04A_국토부원자료'!$A:$T,ROW()+1,MATCH("층",'04A_국토부원자료'!$A$4:$T$4,0)),",","")),"")</f>
        <v/>
      </c>
      <c r="K2829" s="152">
        <f>IFERROR(VALUE(SUBSTITUTE(INDEX('04A_국토부원자료'!$A:$T,ROW()+1,MATCH("건축년도",'04A_국토부원자료'!$A$4:$T$4,0)),",","")),"")</f>
        <v/>
      </c>
      <c r="L2829" s="48">
        <f>IFERROR(INDEX('04A_국토부원자료'!$A:$T,ROW()+1,MATCH("도로명",'04A_국토부원자료'!$A$4:$T$4,0)),"")</f>
        <v/>
      </c>
      <c r="M2829" s="48">
        <f>IFERROR(INDEX('04A_국토부원자료'!$A:$T,ROW()+1,MATCH("거래유형",'04A_국토부원자료'!$A$4:$T$4,0)),"")</f>
        <v/>
      </c>
      <c r="N2829" s="152">
        <f>IF(B2829="","",IF('02_대상물건입력'!B5="",1,IF(ISNUMBER(SEARCH('02_대상물건입력'!B5,B2829)),1,0)))</f>
        <v/>
      </c>
      <c r="O2829" s="152">
        <f>IF(B2829="","",IF('02_대상물건입력'!B6="",1,IF(ISNUMBER(SEARCH('02_대상물건입력'!B6,B2829)),1,0)))</f>
        <v/>
      </c>
      <c r="P2829" s="152">
        <f>IF(L2829="","",IF('02_대상물건입력'!B15="",0,IF(ISNUMBER(SEARCH('02_대상물건입력'!B15,L2829)),1,0)))</f>
        <v/>
      </c>
      <c r="Q2829" s="152">
        <f>IF(OR(C2829="",L2829=""),0,IF(AND(TRIM(C2829)=TRIM(RIGHT(SUBSTITUTE(TRIM('02_대상물건입력'!$B$7)," ",REPT(" ",99)),99)),IF('02_대상물건입력'!B15="",TRUE(),ISNUMBER(SEARCH('02_대상물건입력'!B15,L2829)))),1,0))</f>
        <v/>
      </c>
      <c r="R2829" s="175">
        <f>IFERROR(ABS(E2829-'02_대상물건입력'!B11)/'02_대상물건입력'!B11,"")</f>
        <v/>
      </c>
      <c r="S2829" s="152">
        <f>IFERROR(ABS(J2829-'02_대상물건입력'!B10),"")</f>
        <v/>
      </c>
      <c r="T2829" s="152">
        <f>IFERROR(ABS('01_설정'!B4-F2829),"")</f>
        <v/>
      </c>
      <c r="U2829" s="152">
        <f>IFERROR(ABS(K2829-YEAR('02_대상물건입력'!B14)),"")</f>
        <v/>
      </c>
      <c r="V2829" s="152">
        <f>IF(B2829="","",IF(AND(E2829&gt;0,F2829&gt;0,H2829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2829=1,TRUE()),R2829&lt;='01_설정'!B5,S2829&lt;='01_설정'!B6,T2829&lt;='01_설정'!B7,U2829&lt;='01_설정'!B8),"Y",""))</f>
        <v/>
      </c>
      <c r="W2829" s="172">
        <f>IF(V2829&lt;&gt;"Y","",MAX(0,(1-R2829/'01_설정'!B5))*'01_설정'!B14+MAX(0,(1-S2829/'01_설정'!B6))*'01_설정'!B15+MAX(0,(1-T2829/'01_설정'!B7))*'01_설정'!B16+MAX(0,(1-U2829/'01_설정'!B8))*'01_설정'!B17+O2829*'01_설정'!B11+Q2829*'01_설정'!B12+P2829*'01_설정'!B13+IF(Z2829="",0,Z2829))</f>
        <v/>
      </c>
      <c r="X2829" s="152">
        <f>IF(W2829="","",1+COUNTIFS($W$4:$W$3003,"&gt;"&amp;W2829)+COUNTIFS($W$4:W2829,W2829)-1)</f>
        <v/>
      </c>
      <c r="Y2829" s="175">
        <f>IF(OR(I2829="",'02_대상물건입력'!B19="",'02_대상물건입력'!B19&lt;=0),"",ABS(I2829-'02_대상물건입력'!B19)/'02_대상물건입력'!B19)</f>
        <v/>
      </c>
      <c r="Z2829" s="172">
        <f>IF(OR(Y2829="",'01_설정'!B31="",'01_설정'!B31&lt;=0,'01_설정'!B32="",'01_설정'!B32&lt;=0),"",MAX(0,(1-Y2829/'01_설정'!B32))*'01_설정'!B31)</f>
        <v/>
      </c>
    </row>
    <row r="2830" ht="17.25" customHeight="1">
      <c r="A2830" s="152">
        <f>IF(INDEX('04A_국토부원자료'!$A:$A,ROW()+1)="","",ROW()-3)</f>
        <v/>
      </c>
      <c r="B2830" s="48">
        <f>IFERROR(INDEX('04A_국토부원자료'!$A:$T,ROW()+1,MATCH("시군구",'04A_국토부원자료'!$A$4:$T$4,0)),"")</f>
        <v/>
      </c>
      <c r="C2830" s="48">
        <f>IF(B2830="","",IFERROR(INDEX('04A_국토부원자료'!$A:$T,ROW()+1,MATCH("번지",'04A_국토부원자료'!$A$4:$T$4,0)),""))</f>
        <v/>
      </c>
      <c r="D2830" s="48">
        <f>IF(B2830="","",IF(Q2830=1,'02_대상물건입력'!$B$8,IFERROR(INDEX('04A_국토부원자료'!$A:$T,ROW()+1,MATCH("단지명",'04A_국토부원자료'!$A$4:$T$4,0)),"")))</f>
        <v/>
      </c>
      <c r="E2830" s="172">
        <f>IFERROR(VALUE(SUBSTITUTE(INDEX('04A_국토부원자료'!$A:$T,ROW()+1,MATCH("전용면적(㎡)",'04A_국토부원자료'!$A$4:$T$4,0)),",","")),"")</f>
        <v/>
      </c>
      <c r="F28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30" s="51">
        <f>IFERROR(VALUE(SUBSTITUTE(INDEX('04A_국토부원자료'!$A:$T,ROW()+1,MATCH("거래금액(만원)",'04A_국토부원자료'!$A$4:$T$4,0)),",","")),"")</f>
        <v/>
      </c>
      <c r="H2830" s="174">
        <f>IF(G2830="","",G2830*10000)</f>
        <v/>
      </c>
      <c r="I2830" s="174">
        <f>IFERROR(IF(AND(H2830&gt;0,E2830&gt;0),H2830/E2830,""),"")</f>
        <v/>
      </c>
      <c r="J2830" s="152">
        <f>IFERROR(VALUE(SUBSTITUTE(INDEX('04A_국토부원자료'!$A:$T,ROW()+1,MATCH("층",'04A_국토부원자료'!$A$4:$T$4,0)),",","")),"")</f>
        <v/>
      </c>
      <c r="K2830" s="152">
        <f>IFERROR(VALUE(SUBSTITUTE(INDEX('04A_국토부원자료'!$A:$T,ROW()+1,MATCH("건축년도",'04A_국토부원자료'!$A$4:$T$4,0)),",","")),"")</f>
        <v/>
      </c>
      <c r="L2830" s="48">
        <f>IFERROR(INDEX('04A_국토부원자료'!$A:$T,ROW()+1,MATCH("도로명",'04A_국토부원자료'!$A$4:$T$4,0)),"")</f>
        <v/>
      </c>
      <c r="M2830" s="48">
        <f>IFERROR(INDEX('04A_국토부원자료'!$A:$T,ROW()+1,MATCH("거래유형",'04A_국토부원자료'!$A$4:$T$4,0)),"")</f>
        <v/>
      </c>
      <c r="N2830" s="152">
        <f>IF(B2830="","",IF('02_대상물건입력'!B5="",1,IF(ISNUMBER(SEARCH('02_대상물건입력'!B5,B2830)),1,0)))</f>
        <v/>
      </c>
      <c r="O2830" s="152">
        <f>IF(B2830="","",IF('02_대상물건입력'!B6="",1,IF(ISNUMBER(SEARCH('02_대상물건입력'!B6,B2830)),1,0)))</f>
        <v/>
      </c>
      <c r="P2830" s="152">
        <f>IF(L2830="","",IF('02_대상물건입력'!B15="",0,IF(ISNUMBER(SEARCH('02_대상물건입력'!B15,L2830)),1,0)))</f>
        <v/>
      </c>
      <c r="Q2830" s="152">
        <f>IF(OR(C2830="",L2830=""),0,IF(AND(TRIM(C2830)=TRIM(RIGHT(SUBSTITUTE(TRIM('02_대상물건입력'!$B$7)," ",REPT(" ",99)),99)),IF('02_대상물건입력'!B15="",TRUE(),ISNUMBER(SEARCH('02_대상물건입력'!B15,L2830)))),1,0))</f>
        <v/>
      </c>
      <c r="R2830" s="175">
        <f>IFERROR(ABS(E2830-'02_대상물건입력'!B11)/'02_대상물건입력'!B11,"")</f>
        <v/>
      </c>
      <c r="S2830" s="152">
        <f>IFERROR(ABS(J2830-'02_대상물건입력'!B10),"")</f>
        <v/>
      </c>
      <c r="T2830" s="152">
        <f>IFERROR(ABS('01_설정'!B4-F2830),"")</f>
        <v/>
      </c>
      <c r="U2830" s="152">
        <f>IFERROR(ABS(K2830-YEAR('02_대상물건입력'!B14)),"")</f>
        <v/>
      </c>
      <c r="V2830" s="152">
        <f>IF(B2830="","",IF(AND(E2830&gt;0,F2830&gt;0,H2830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2830=1,TRUE()),R2830&lt;='01_설정'!B5,S2830&lt;='01_설정'!B6,T2830&lt;='01_설정'!B7,U2830&lt;='01_설정'!B8),"Y",""))</f>
        <v/>
      </c>
      <c r="W2830" s="172">
        <f>IF(V2830&lt;&gt;"Y","",MAX(0,(1-R2830/'01_설정'!B5))*'01_설정'!B14+MAX(0,(1-S2830/'01_설정'!B6))*'01_설정'!B15+MAX(0,(1-T2830/'01_설정'!B7))*'01_설정'!B16+MAX(0,(1-U2830/'01_설정'!B8))*'01_설정'!B17+O2830*'01_설정'!B11+Q2830*'01_설정'!B12+P2830*'01_설정'!B13+IF(Z2830="",0,Z2830))</f>
        <v/>
      </c>
      <c r="X2830" s="152">
        <f>IF(W2830="","",1+COUNTIFS($W$4:$W$3003,"&gt;"&amp;W2830)+COUNTIFS($W$4:W2830,W2830)-1)</f>
        <v/>
      </c>
      <c r="Y2830" s="175">
        <f>IF(OR(I2830="",'02_대상물건입력'!B19="",'02_대상물건입력'!B19&lt;=0),"",ABS(I2830-'02_대상물건입력'!B19)/'02_대상물건입력'!B19)</f>
        <v/>
      </c>
      <c r="Z2830" s="172">
        <f>IF(OR(Y2830="",'01_설정'!B31="",'01_설정'!B31&lt;=0,'01_설정'!B32="",'01_설정'!B32&lt;=0),"",MAX(0,(1-Y2830/'01_설정'!B32))*'01_설정'!B31)</f>
        <v/>
      </c>
    </row>
    <row r="2831" ht="17.25" customHeight="1">
      <c r="A2831" s="152">
        <f>IF(INDEX('04A_국토부원자료'!$A:$A,ROW()+1)="","",ROW()-3)</f>
        <v/>
      </c>
      <c r="B2831" s="48">
        <f>IFERROR(INDEX('04A_국토부원자료'!$A:$T,ROW()+1,MATCH("시군구",'04A_국토부원자료'!$A$4:$T$4,0)),"")</f>
        <v/>
      </c>
      <c r="C2831" s="48">
        <f>IF(B2831="","",IFERROR(INDEX('04A_국토부원자료'!$A:$T,ROW()+1,MATCH("번지",'04A_국토부원자료'!$A$4:$T$4,0)),""))</f>
        <v/>
      </c>
      <c r="D2831" s="48">
        <f>IF(B2831="","",IF(Q2831=1,'02_대상물건입력'!$B$8,IFERROR(INDEX('04A_국토부원자료'!$A:$T,ROW()+1,MATCH("단지명",'04A_국토부원자료'!$A$4:$T$4,0)),"")))</f>
        <v/>
      </c>
      <c r="E2831" s="172">
        <f>IFERROR(VALUE(SUBSTITUTE(INDEX('04A_국토부원자료'!$A:$T,ROW()+1,MATCH("전용면적(㎡)",'04A_국토부원자료'!$A$4:$T$4,0)),",","")),"")</f>
        <v/>
      </c>
      <c r="F28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31" s="51">
        <f>IFERROR(VALUE(SUBSTITUTE(INDEX('04A_국토부원자료'!$A:$T,ROW()+1,MATCH("거래금액(만원)",'04A_국토부원자료'!$A$4:$T$4,0)),",","")),"")</f>
        <v/>
      </c>
      <c r="H2831" s="174">
        <f>IF(G2831="","",G2831*10000)</f>
        <v/>
      </c>
      <c r="I2831" s="174">
        <f>IFERROR(IF(AND(H2831&gt;0,E2831&gt;0),H2831/E2831,""),"")</f>
        <v/>
      </c>
      <c r="J2831" s="152">
        <f>IFERROR(VALUE(SUBSTITUTE(INDEX('04A_국토부원자료'!$A:$T,ROW()+1,MATCH("층",'04A_국토부원자료'!$A$4:$T$4,0)),",","")),"")</f>
        <v/>
      </c>
      <c r="K2831" s="152">
        <f>IFERROR(VALUE(SUBSTITUTE(INDEX('04A_국토부원자료'!$A:$T,ROW()+1,MATCH("건축년도",'04A_국토부원자료'!$A$4:$T$4,0)),",","")),"")</f>
        <v/>
      </c>
      <c r="L2831" s="48">
        <f>IFERROR(INDEX('04A_국토부원자료'!$A:$T,ROW()+1,MATCH("도로명",'04A_국토부원자료'!$A$4:$T$4,0)),"")</f>
        <v/>
      </c>
      <c r="M2831" s="48">
        <f>IFERROR(INDEX('04A_국토부원자료'!$A:$T,ROW()+1,MATCH("거래유형",'04A_국토부원자료'!$A$4:$T$4,0)),"")</f>
        <v/>
      </c>
      <c r="N2831" s="152">
        <f>IF(B2831="","",IF('02_대상물건입력'!B5="",1,IF(ISNUMBER(SEARCH('02_대상물건입력'!B5,B2831)),1,0)))</f>
        <v/>
      </c>
      <c r="O2831" s="152">
        <f>IF(B2831="","",IF('02_대상물건입력'!B6="",1,IF(ISNUMBER(SEARCH('02_대상물건입력'!B6,B2831)),1,0)))</f>
        <v/>
      </c>
      <c r="P2831" s="152">
        <f>IF(L2831="","",IF('02_대상물건입력'!B15="",0,IF(ISNUMBER(SEARCH('02_대상물건입력'!B15,L2831)),1,0)))</f>
        <v/>
      </c>
      <c r="Q2831" s="152">
        <f>IF(OR(C2831="",L2831=""),0,IF(AND(TRIM(C2831)=TRIM(RIGHT(SUBSTITUTE(TRIM('02_대상물건입력'!$B$7)," ",REPT(" ",99)),99)),IF('02_대상물건입력'!B15="",TRUE(),ISNUMBER(SEARCH('02_대상물건입력'!B15,L2831)))),1,0))</f>
        <v/>
      </c>
      <c r="R2831" s="175">
        <f>IFERROR(ABS(E2831-'02_대상물건입력'!B11)/'02_대상물건입력'!B11,"")</f>
        <v/>
      </c>
      <c r="S2831" s="152">
        <f>IFERROR(ABS(J2831-'02_대상물건입력'!B10),"")</f>
        <v/>
      </c>
      <c r="T2831" s="152">
        <f>IFERROR(ABS('01_설정'!B4-F2831),"")</f>
        <v/>
      </c>
      <c r="U2831" s="152">
        <f>IFERROR(ABS(K2831-YEAR('02_대상물건입력'!B14)),"")</f>
        <v/>
      </c>
      <c r="V2831" s="152">
        <f>IF(B2831="","",IF(AND(E2831&gt;0,F2831&gt;0,H2831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2831=1,TRUE()),R2831&lt;='01_설정'!B5,S2831&lt;='01_설정'!B6,T2831&lt;='01_설정'!B7,U2831&lt;='01_설정'!B8),"Y",""))</f>
        <v/>
      </c>
      <c r="W2831" s="172">
        <f>IF(V2831&lt;&gt;"Y","",MAX(0,(1-R2831/'01_설정'!B5))*'01_설정'!B14+MAX(0,(1-S2831/'01_설정'!B6))*'01_설정'!B15+MAX(0,(1-T2831/'01_설정'!B7))*'01_설정'!B16+MAX(0,(1-U2831/'01_설정'!B8))*'01_설정'!B17+O2831*'01_설정'!B11+Q2831*'01_설정'!B12+P2831*'01_설정'!B13+IF(Z2831="",0,Z2831))</f>
        <v/>
      </c>
      <c r="X2831" s="152">
        <f>IF(W2831="","",1+COUNTIFS($W$4:$W$3003,"&gt;"&amp;W2831)+COUNTIFS($W$4:W2831,W2831)-1)</f>
        <v/>
      </c>
      <c r="Y2831" s="175">
        <f>IF(OR(I2831="",'02_대상물건입력'!B19="",'02_대상물건입력'!B19&lt;=0),"",ABS(I2831-'02_대상물건입력'!B19)/'02_대상물건입력'!B19)</f>
        <v/>
      </c>
      <c r="Z2831" s="172">
        <f>IF(OR(Y2831="",'01_설정'!B31="",'01_설정'!B31&lt;=0,'01_설정'!B32="",'01_설정'!B32&lt;=0),"",MAX(0,(1-Y2831/'01_설정'!B32))*'01_설정'!B31)</f>
        <v/>
      </c>
    </row>
    <row r="2832" ht="17.25" customHeight="1">
      <c r="A2832" s="152">
        <f>IF(INDEX('04A_국토부원자료'!$A:$A,ROW()+1)="","",ROW()-3)</f>
        <v/>
      </c>
      <c r="B2832" s="48">
        <f>IFERROR(INDEX('04A_국토부원자료'!$A:$T,ROW()+1,MATCH("시군구",'04A_국토부원자료'!$A$4:$T$4,0)),"")</f>
        <v/>
      </c>
      <c r="C2832" s="48">
        <f>IF(B2832="","",IFERROR(INDEX('04A_국토부원자료'!$A:$T,ROW()+1,MATCH("번지",'04A_국토부원자료'!$A$4:$T$4,0)),""))</f>
        <v/>
      </c>
      <c r="D2832" s="48">
        <f>IF(B2832="","",IF(Q2832=1,'02_대상물건입력'!$B$8,IFERROR(INDEX('04A_국토부원자료'!$A:$T,ROW()+1,MATCH("단지명",'04A_국토부원자료'!$A$4:$T$4,0)),"")))</f>
        <v/>
      </c>
      <c r="E2832" s="172">
        <f>IFERROR(VALUE(SUBSTITUTE(INDEX('04A_국토부원자료'!$A:$T,ROW()+1,MATCH("전용면적(㎡)",'04A_국토부원자료'!$A$4:$T$4,0)),",","")),"")</f>
        <v/>
      </c>
      <c r="F28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32" s="51">
        <f>IFERROR(VALUE(SUBSTITUTE(INDEX('04A_국토부원자료'!$A:$T,ROW()+1,MATCH("거래금액(만원)",'04A_국토부원자료'!$A$4:$T$4,0)),",","")),"")</f>
        <v/>
      </c>
      <c r="H2832" s="174">
        <f>IF(G2832="","",G2832*10000)</f>
        <v/>
      </c>
      <c r="I2832" s="174">
        <f>IFERROR(IF(AND(H2832&gt;0,E2832&gt;0),H2832/E2832,""),"")</f>
        <v/>
      </c>
      <c r="J2832" s="152">
        <f>IFERROR(VALUE(SUBSTITUTE(INDEX('04A_국토부원자료'!$A:$T,ROW()+1,MATCH("층",'04A_국토부원자료'!$A$4:$T$4,0)),",","")),"")</f>
        <v/>
      </c>
      <c r="K2832" s="152">
        <f>IFERROR(VALUE(SUBSTITUTE(INDEX('04A_국토부원자료'!$A:$T,ROW()+1,MATCH("건축년도",'04A_국토부원자료'!$A$4:$T$4,0)),",","")),"")</f>
        <v/>
      </c>
      <c r="L2832" s="48">
        <f>IFERROR(INDEX('04A_국토부원자료'!$A:$T,ROW()+1,MATCH("도로명",'04A_국토부원자료'!$A$4:$T$4,0)),"")</f>
        <v/>
      </c>
      <c r="M2832" s="48">
        <f>IFERROR(INDEX('04A_국토부원자료'!$A:$T,ROW()+1,MATCH("거래유형",'04A_국토부원자료'!$A$4:$T$4,0)),"")</f>
        <v/>
      </c>
      <c r="N2832" s="152">
        <f>IF(B2832="","",IF('02_대상물건입력'!B5="",1,IF(ISNUMBER(SEARCH('02_대상물건입력'!B5,B2832)),1,0)))</f>
        <v/>
      </c>
      <c r="O2832" s="152">
        <f>IF(B2832="","",IF('02_대상물건입력'!B6="",1,IF(ISNUMBER(SEARCH('02_대상물건입력'!B6,B2832)),1,0)))</f>
        <v/>
      </c>
      <c r="P2832" s="152">
        <f>IF(L2832="","",IF('02_대상물건입력'!B15="",0,IF(ISNUMBER(SEARCH('02_대상물건입력'!B15,L2832)),1,0)))</f>
        <v/>
      </c>
      <c r="Q2832" s="152">
        <f>IF(OR(C2832="",L2832=""),0,IF(AND(TRIM(C2832)=TRIM(RIGHT(SUBSTITUTE(TRIM('02_대상물건입력'!$B$7)," ",REPT(" ",99)),99)),IF('02_대상물건입력'!B15="",TRUE(),ISNUMBER(SEARCH('02_대상물건입력'!B15,L2832)))),1,0))</f>
        <v/>
      </c>
      <c r="R2832" s="175">
        <f>IFERROR(ABS(E2832-'02_대상물건입력'!B11)/'02_대상물건입력'!B11,"")</f>
        <v/>
      </c>
      <c r="S2832" s="152">
        <f>IFERROR(ABS(J2832-'02_대상물건입력'!B10),"")</f>
        <v/>
      </c>
      <c r="T2832" s="152">
        <f>IFERROR(ABS('01_설정'!B4-F2832),"")</f>
        <v/>
      </c>
      <c r="U2832" s="152">
        <f>IFERROR(ABS(K2832-YEAR('02_대상물건입력'!B14)),"")</f>
        <v/>
      </c>
      <c r="V2832" s="152">
        <f>IF(B2832="","",IF(AND(E2832&gt;0,F2832&gt;0,H2832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2832=1,TRUE()),R2832&lt;='01_설정'!B5,S2832&lt;='01_설정'!B6,T2832&lt;='01_설정'!B7,U2832&lt;='01_설정'!B8),"Y",""))</f>
        <v/>
      </c>
      <c r="W2832" s="172">
        <f>IF(V2832&lt;&gt;"Y","",MAX(0,(1-R2832/'01_설정'!B5))*'01_설정'!B14+MAX(0,(1-S2832/'01_설정'!B6))*'01_설정'!B15+MAX(0,(1-T2832/'01_설정'!B7))*'01_설정'!B16+MAX(0,(1-U2832/'01_설정'!B8))*'01_설정'!B17+O2832*'01_설정'!B11+Q2832*'01_설정'!B12+P2832*'01_설정'!B13+IF(Z2832="",0,Z2832))</f>
        <v/>
      </c>
      <c r="X2832" s="152">
        <f>IF(W2832="","",1+COUNTIFS($W$4:$W$3003,"&gt;"&amp;W2832)+COUNTIFS($W$4:W2832,W2832)-1)</f>
        <v/>
      </c>
      <c r="Y2832" s="175">
        <f>IF(OR(I2832="",'02_대상물건입력'!B19="",'02_대상물건입력'!B19&lt;=0),"",ABS(I2832-'02_대상물건입력'!B19)/'02_대상물건입력'!B19)</f>
        <v/>
      </c>
      <c r="Z2832" s="172">
        <f>IF(OR(Y2832="",'01_설정'!B31="",'01_설정'!B31&lt;=0,'01_설정'!B32="",'01_설정'!B32&lt;=0),"",MAX(0,(1-Y2832/'01_설정'!B32))*'01_설정'!B31)</f>
        <v/>
      </c>
    </row>
    <row r="2833" ht="17.25" customHeight="1">
      <c r="A2833" s="152">
        <f>IF(INDEX('04A_국토부원자료'!$A:$A,ROW()+1)="","",ROW()-3)</f>
        <v/>
      </c>
      <c r="B2833" s="48">
        <f>IFERROR(INDEX('04A_국토부원자료'!$A:$T,ROW()+1,MATCH("시군구",'04A_국토부원자료'!$A$4:$T$4,0)),"")</f>
        <v/>
      </c>
      <c r="C2833" s="48">
        <f>IF(B2833="","",IFERROR(INDEX('04A_국토부원자료'!$A:$T,ROW()+1,MATCH("번지",'04A_국토부원자료'!$A$4:$T$4,0)),""))</f>
        <v/>
      </c>
      <c r="D2833" s="48">
        <f>IF(B2833="","",IF(Q2833=1,'02_대상물건입력'!$B$8,IFERROR(INDEX('04A_국토부원자료'!$A:$T,ROW()+1,MATCH("단지명",'04A_국토부원자료'!$A$4:$T$4,0)),"")))</f>
        <v/>
      </c>
      <c r="E2833" s="172">
        <f>IFERROR(VALUE(SUBSTITUTE(INDEX('04A_국토부원자료'!$A:$T,ROW()+1,MATCH("전용면적(㎡)",'04A_국토부원자료'!$A$4:$T$4,0)),",","")),"")</f>
        <v/>
      </c>
      <c r="F28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33" s="51">
        <f>IFERROR(VALUE(SUBSTITUTE(INDEX('04A_국토부원자료'!$A:$T,ROW()+1,MATCH("거래금액(만원)",'04A_국토부원자료'!$A$4:$T$4,0)),",","")),"")</f>
        <v/>
      </c>
      <c r="H2833" s="174">
        <f>IF(G2833="","",G2833*10000)</f>
        <v/>
      </c>
      <c r="I2833" s="174">
        <f>IFERROR(IF(AND(H2833&gt;0,E2833&gt;0),H2833/E2833,""),"")</f>
        <v/>
      </c>
      <c r="J2833" s="152">
        <f>IFERROR(VALUE(SUBSTITUTE(INDEX('04A_국토부원자료'!$A:$T,ROW()+1,MATCH("층",'04A_국토부원자료'!$A$4:$T$4,0)),",","")),"")</f>
        <v/>
      </c>
      <c r="K2833" s="152">
        <f>IFERROR(VALUE(SUBSTITUTE(INDEX('04A_국토부원자료'!$A:$T,ROW()+1,MATCH("건축년도",'04A_국토부원자료'!$A$4:$T$4,0)),",","")),"")</f>
        <v/>
      </c>
      <c r="L2833" s="48">
        <f>IFERROR(INDEX('04A_국토부원자료'!$A:$T,ROW()+1,MATCH("도로명",'04A_국토부원자료'!$A$4:$T$4,0)),"")</f>
        <v/>
      </c>
      <c r="M2833" s="48">
        <f>IFERROR(INDEX('04A_국토부원자료'!$A:$T,ROW()+1,MATCH("거래유형",'04A_국토부원자료'!$A$4:$T$4,0)),"")</f>
        <v/>
      </c>
      <c r="N2833" s="152">
        <f>IF(B2833="","",IF('02_대상물건입력'!B5="",1,IF(ISNUMBER(SEARCH('02_대상물건입력'!B5,B2833)),1,0)))</f>
        <v/>
      </c>
      <c r="O2833" s="152">
        <f>IF(B2833="","",IF('02_대상물건입력'!B6="",1,IF(ISNUMBER(SEARCH('02_대상물건입력'!B6,B2833)),1,0)))</f>
        <v/>
      </c>
      <c r="P2833" s="152">
        <f>IF(L2833="","",IF('02_대상물건입력'!B15="",0,IF(ISNUMBER(SEARCH('02_대상물건입력'!B15,L2833)),1,0)))</f>
        <v/>
      </c>
      <c r="Q2833" s="152">
        <f>IF(OR(C2833="",L2833=""),0,IF(AND(TRIM(C2833)=TRIM(RIGHT(SUBSTITUTE(TRIM('02_대상물건입력'!$B$7)," ",REPT(" ",99)),99)),IF('02_대상물건입력'!B15="",TRUE(),ISNUMBER(SEARCH('02_대상물건입력'!B15,L2833)))),1,0))</f>
        <v/>
      </c>
      <c r="R2833" s="175">
        <f>IFERROR(ABS(E2833-'02_대상물건입력'!B11)/'02_대상물건입력'!B11,"")</f>
        <v/>
      </c>
      <c r="S2833" s="152">
        <f>IFERROR(ABS(J2833-'02_대상물건입력'!B10),"")</f>
        <v/>
      </c>
      <c r="T2833" s="152">
        <f>IFERROR(ABS('01_설정'!B4-F2833),"")</f>
        <v/>
      </c>
      <c r="U2833" s="152">
        <f>IFERROR(ABS(K2833-YEAR('02_대상물건입력'!B14)),"")</f>
        <v/>
      </c>
      <c r="V2833" s="152">
        <f>IF(B2833="","",IF(AND(E2833&gt;0,F2833&gt;0,H2833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2833=1,TRUE()),R2833&lt;='01_설정'!B5,S2833&lt;='01_설정'!B6,T2833&lt;='01_설정'!B7,U2833&lt;='01_설정'!B8),"Y",""))</f>
        <v/>
      </c>
      <c r="W2833" s="172">
        <f>IF(V2833&lt;&gt;"Y","",MAX(0,(1-R2833/'01_설정'!B5))*'01_설정'!B14+MAX(0,(1-S2833/'01_설정'!B6))*'01_설정'!B15+MAX(0,(1-T2833/'01_설정'!B7))*'01_설정'!B16+MAX(0,(1-U2833/'01_설정'!B8))*'01_설정'!B17+O2833*'01_설정'!B11+Q2833*'01_설정'!B12+P2833*'01_설정'!B13+IF(Z2833="",0,Z2833))</f>
        <v/>
      </c>
      <c r="X2833" s="152">
        <f>IF(W2833="","",1+COUNTIFS($W$4:$W$3003,"&gt;"&amp;W2833)+COUNTIFS($W$4:W2833,W2833)-1)</f>
        <v/>
      </c>
      <c r="Y2833" s="175">
        <f>IF(OR(I2833="",'02_대상물건입력'!B19="",'02_대상물건입력'!B19&lt;=0),"",ABS(I2833-'02_대상물건입력'!B19)/'02_대상물건입력'!B19)</f>
        <v/>
      </c>
      <c r="Z2833" s="172">
        <f>IF(OR(Y2833="",'01_설정'!B31="",'01_설정'!B31&lt;=0,'01_설정'!B32="",'01_설정'!B32&lt;=0),"",MAX(0,(1-Y2833/'01_설정'!B32))*'01_설정'!B31)</f>
        <v/>
      </c>
    </row>
    <row r="2834" ht="17.25" customHeight="1">
      <c r="A2834" s="152">
        <f>IF(INDEX('04A_국토부원자료'!$A:$A,ROW()+1)="","",ROW()-3)</f>
        <v/>
      </c>
      <c r="B2834" s="48">
        <f>IFERROR(INDEX('04A_국토부원자료'!$A:$T,ROW()+1,MATCH("시군구",'04A_국토부원자료'!$A$4:$T$4,0)),"")</f>
        <v/>
      </c>
      <c r="C2834" s="48">
        <f>IF(B2834="","",IFERROR(INDEX('04A_국토부원자료'!$A:$T,ROW()+1,MATCH("번지",'04A_국토부원자료'!$A$4:$T$4,0)),""))</f>
        <v/>
      </c>
      <c r="D2834" s="48">
        <f>IF(B2834="","",IF(Q2834=1,'02_대상물건입력'!$B$8,IFERROR(INDEX('04A_국토부원자료'!$A:$T,ROW()+1,MATCH("단지명",'04A_국토부원자료'!$A$4:$T$4,0)),"")))</f>
        <v/>
      </c>
      <c r="E2834" s="172">
        <f>IFERROR(VALUE(SUBSTITUTE(INDEX('04A_국토부원자료'!$A:$T,ROW()+1,MATCH("전용면적(㎡)",'04A_국토부원자료'!$A$4:$T$4,0)),",","")),"")</f>
        <v/>
      </c>
      <c r="F28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34" s="51">
        <f>IFERROR(VALUE(SUBSTITUTE(INDEX('04A_국토부원자료'!$A:$T,ROW()+1,MATCH("거래금액(만원)",'04A_국토부원자료'!$A$4:$T$4,0)),",","")),"")</f>
        <v/>
      </c>
      <c r="H2834" s="174">
        <f>IF(G2834="","",G2834*10000)</f>
        <v/>
      </c>
      <c r="I2834" s="174">
        <f>IFERROR(IF(AND(H2834&gt;0,E2834&gt;0),H2834/E2834,""),"")</f>
        <v/>
      </c>
      <c r="J2834" s="152">
        <f>IFERROR(VALUE(SUBSTITUTE(INDEX('04A_국토부원자료'!$A:$T,ROW()+1,MATCH("층",'04A_국토부원자료'!$A$4:$T$4,0)),",","")),"")</f>
        <v/>
      </c>
      <c r="K2834" s="152">
        <f>IFERROR(VALUE(SUBSTITUTE(INDEX('04A_국토부원자료'!$A:$T,ROW()+1,MATCH("건축년도",'04A_국토부원자료'!$A$4:$T$4,0)),",","")),"")</f>
        <v/>
      </c>
      <c r="L2834" s="48">
        <f>IFERROR(INDEX('04A_국토부원자료'!$A:$T,ROW()+1,MATCH("도로명",'04A_국토부원자료'!$A$4:$T$4,0)),"")</f>
        <v/>
      </c>
      <c r="M2834" s="48">
        <f>IFERROR(INDEX('04A_국토부원자료'!$A:$T,ROW()+1,MATCH("거래유형",'04A_국토부원자료'!$A$4:$T$4,0)),"")</f>
        <v/>
      </c>
      <c r="N2834" s="152">
        <f>IF(B2834="","",IF('02_대상물건입력'!B5="",1,IF(ISNUMBER(SEARCH('02_대상물건입력'!B5,B2834)),1,0)))</f>
        <v/>
      </c>
      <c r="O2834" s="152">
        <f>IF(B2834="","",IF('02_대상물건입력'!B6="",1,IF(ISNUMBER(SEARCH('02_대상물건입력'!B6,B2834)),1,0)))</f>
        <v/>
      </c>
      <c r="P2834" s="152">
        <f>IF(L2834="","",IF('02_대상물건입력'!B15="",0,IF(ISNUMBER(SEARCH('02_대상물건입력'!B15,L2834)),1,0)))</f>
        <v/>
      </c>
      <c r="Q2834" s="152">
        <f>IF(OR(C2834="",L2834=""),0,IF(AND(TRIM(C2834)=TRIM(RIGHT(SUBSTITUTE(TRIM('02_대상물건입력'!$B$7)," ",REPT(" ",99)),99)),IF('02_대상물건입력'!B15="",TRUE(),ISNUMBER(SEARCH('02_대상물건입력'!B15,L2834)))),1,0))</f>
        <v/>
      </c>
      <c r="R2834" s="175">
        <f>IFERROR(ABS(E2834-'02_대상물건입력'!B11)/'02_대상물건입력'!B11,"")</f>
        <v/>
      </c>
      <c r="S2834" s="152">
        <f>IFERROR(ABS(J2834-'02_대상물건입력'!B10),"")</f>
        <v/>
      </c>
      <c r="T2834" s="152">
        <f>IFERROR(ABS('01_설정'!B4-F2834),"")</f>
        <v/>
      </c>
      <c r="U2834" s="152">
        <f>IFERROR(ABS(K2834-YEAR('02_대상물건입력'!B14)),"")</f>
        <v/>
      </c>
      <c r="V2834" s="152">
        <f>IF(B2834="","",IF(AND(E2834&gt;0,F2834&gt;0,H2834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2834=1,TRUE()),R2834&lt;='01_설정'!B5,S2834&lt;='01_설정'!B6,T2834&lt;='01_설정'!B7,U2834&lt;='01_설정'!B8),"Y",""))</f>
        <v/>
      </c>
      <c r="W2834" s="172">
        <f>IF(V2834&lt;&gt;"Y","",MAX(0,(1-R2834/'01_설정'!B5))*'01_설정'!B14+MAX(0,(1-S2834/'01_설정'!B6))*'01_설정'!B15+MAX(0,(1-T2834/'01_설정'!B7))*'01_설정'!B16+MAX(0,(1-U2834/'01_설정'!B8))*'01_설정'!B17+O2834*'01_설정'!B11+Q2834*'01_설정'!B12+P2834*'01_설정'!B13+IF(Z2834="",0,Z2834))</f>
        <v/>
      </c>
      <c r="X2834" s="152">
        <f>IF(W2834="","",1+COUNTIFS($W$4:$W$3003,"&gt;"&amp;W2834)+COUNTIFS($W$4:W2834,W2834)-1)</f>
        <v/>
      </c>
      <c r="Y2834" s="175">
        <f>IF(OR(I2834="",'02_대상물건입력'!B19="",'02_대상물건입력'!B19&lt;=0),"",ABS(I2834-'02_대상물건입력'!B19)/'02_대상물건입력'!B19)</f>
        <v/>
      </c>
      <c r="Z2834" s="172">
        <f>IF(OR(Y2834="",'01_설정'!B31="",'01_설정'!B31&lt;=0,'01_설정'!B32="",'01_설정'!B32&lt;=0),"",MAX(0,(1-Y2834/'01_설정'!B32))*'01_설정'!B31)</f>
        <v/>
      </c>
    </row>
    <row r="2835" ht="17.25" customHeight="1">
      <c r="A2835" s="152">
        <f>IF(INDEX('04A_국토부원자료'!$A:$A,ROW()+1)="","",ROW()-3)</f>
        <v/>
      </c>
      <c r="B2835" s="48">
        <f>IFERROR(INDEX('04A_국토부원자료'!$A:$T,ROW()+1,MATCH("시군구",'04A_국토부원자료'!$A$4:$T$4,0)),"")</f>
        <v/>
      </c>
      <c r="C2835" s="48">
        <f>IF(B2835="","",IFERROR(INDEX('04A_국토부원자료'!$A:$T,ROW()+1,MATCH("번지",'04A_국토부원자료'!$A$4:$T$4,0)),""))</f>
        <v/>
      </c>
      <c r="D2835" s="48">
        <f>IF(B2835="","",IF(Q2835=1,'02_대상물건입력'!$B$8,IFERROR(INDEX('04A_국토부원자료'!$A:$T,ROW()+1,MATCH("단지명",'04A_국토부원자료'!$A$4:$T$4,0)),"")))</f>
        <v/>
      </c>
      <c r="E2835" s="172">
        <f>IFERROR(VALUE(SUBSTITUTE(INDEX('04A_국토부원자료'!$A:$T,ROW()+1,MATCH("전용면적(㎡)",'04A_국토부원자료'!$A$4:$T$4,0)),",","")),"")</f>
        <v/>
      </c>
      <c r="F28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35" s="51">
        <f>IFERROR(VALUE(SUBSTITUTE(INDEX('04A_국토부원자료'!$A:$T,ROW()+1,MATCH("거래금액(만원)",'04A_국토부원자료'!$A$4:$T$4,0)),",","")),"")</f>
        <v/>
      </c>
      <c r="H2835" s="174">
        <f>IF(G2835="","",G2835*10000)</f>
        <v/>
      </c>
      <c r="I2835" s="174">
        <f>IFERROR(IF(AND(H2835&gt;0,E2835&gt;0),H2835/E2835,""),"")</f>
        <v/>
      </c>
      <c r="J2835" s="152">
        <f>IFERROR(VALUE(SUBSTITUTE(INDEX('04A_국토부원자료'!$A:$T,ROW()+1,MATCH("층",'04A_국토부원자료'!$A$4:$T$4,0)),",","")),"")</f>
        <v/>
      </c>
      <c r="K2835" s="152">
        <f>IFERROR(VALUE(SUBSTITUTE(INDEX('04A_국토부원자료'!$A:$T,ROW()+1,MATCH("건축년도",'04A_국토부원자료'!$A$4:$T$4,0)),",","")),"")</f>
        <v/>
      </c>
      <c r="L2835" s="48">
        <f>IFERROR(INDEX('04A_국토부원자료'!$A:$T,ROW()+1,MATCH("도로명",'04A_국토부원자료'!$A$4:$T$4,0)),"")</f>
        <v/>
      </c>
      <c r="M2835" s="48">
        <f>IFERROR(INDEX('04A_국토부원자료'!$A:$T,ROW()+1,MATCH("거래유형",'04A_국토부원자료'!$A$4:$T$4,0)),"")</f>
        <v/>
      </c>
      <c r="N2835" s="152">
        <f>IF(B2835="","",IF('02_대상물건입력'!B5="",1,IF(ISNUMBER(SEARCH('02_대상물건입력'!B5,B2835)),1,0)))</f>
        <v/>
      </c>
      <c r="O2835" s="152">
        <f>IF(B2835="","",IF('02_대상물건입력'!B6="",1,IF(ISNUMBER(SEARCH('02_대상물건입력'!B6,B2835)),1,0)))</f>
        <v/>
      </c>
      <c r="P2835" s="152">
        <f>IF(L2835="","",IF('02_대상물건입력'!B15="",0,IF(ISNUMBER(SEARCH('02_대상물건입력'!B15,L2835)),1,0)))</f>
        <v/>
      </c>
      <c r="Q2835" s="152">
        <f>IF(OR(C2835="",L2835=""),0,IF(AND(TRIM(C2835)=TRIM(RIGHT(SUBSTITUTE(TRIM('02_대상물건입력'!$B$7)," ",REPT(" ",99)),99)),IF('02_대상물건입력'!B15="",TRUE(),ISNUMBER(SEARCH('02_대상물건입력'!B15,L2835)))),1,0))</f>
        <v/>
      </c>
      <c r="R2835" s="175">
        <f>IFERROR(ABS(E2835-'02_대상물건입력'!B11)/'02_대상물건입력'!B11,"")</f>
        <v/>
      </c>
      <c r="S2835" s="152">
        <f>IFERROR(ABS(J2835-'02_대상물건입력'!B10),"")</f>
        <v/>
      </c>
      <c r="T2835" s="152">
        <f>IFERROR(ABS('01_설정'!B4-F2835),"")</f>
        <v/>
      </c>
      <c r="U2835" s="152">
        <f>IFERROR(ABS(K2835-YEAR('02_대상물건입력'!B14)),"")</f>
        <v/>
      </c>
      <c r="V2835" s="152">
        <f>IF(B2835="","",IF(AND(E2835&gt;0,F2835&gt;0,H2835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2835=1,TRUE()),R2835&lt;='01_설정'!B5,S2835&lt;='01_설정'!B6,T2835&lt;='01_설정'!B7,U2835&lt;='01_설정'!B8),"Y",""))</f>
        <v/>
      </c>
      <c r="W2835" s="172">
        <f>IF(V2835&lt;&gt;"Y","",MAX(0,(1-R2835/'01_설정'!B5))*'01_설정'!B14+MAX(0,(1-S2835/'01_설정'!B6))*'01_설정'!B15+MAX(0,(1-T2835/'01_설정'!B7))*'01_설정'!B16+MAX(0,(1-U2835/'01_설정'!B8))*'01_설정'!B17+O2835*'01_설정'!B11+Q2835*'01_설정'!B12+P2835*'01_설정'!B13+IF(Z2835="",0,Z2835))</f>
        <v/>
      </c>
      <c r="X2835" s="152">
        <f>IF(W2835="","",1+COUNTIFS($W$4:$W$3003,"&gt;"&amp;W2835)+COUNTIFS($W$4:W2835,W2835)-1)</f>
        <v/>
      </c>
      <c r="Y2835" s="175">
        <f>IF(OR(I2835="",'02_대상물건입력'!B19="",'02_대상물건입력'!B19&lt;=0),"",ABS(I2835-'02_대상물건입력'!B19)/'02_대상물건입력'!B19)</f>
        <v/>
      </c>
      <c r="Z2835" s="172">
        <f>IF(OR(Y2835="",'01_설정'!B31="",'01_설정'!B31&lt;=0,'01_설정'!B32="",'01_설정'!B32&lt;=0),"",MAX(0,(1-Y2835/'01_설정'!B32))*'01_설정'!B31)</f>
        <v/>
      </c>
    </row>
    <row r="2836" ht="17.25" customHeight="1">
      <c r="A2836" s="152">
        <f>IF(INDEX('04A_국토부원자료'!$A:$A,ROW()+1)="","",ROW()-3)</f>
        <v/>
      </c>
      <c r="B2836" s="48">
        <f>IFERROR(INDEX('04A_국토부원자료'!$A:$T,ROW()+1,MATCH("시군구",'04A_국토부원자료'!$A$4:$T$4,0)),"")</f>
        <v/>
      </c>
      <c r="C2836" s="48">
        <f>IF(B2836="","",IFERROR(INDEX('04A_국토부원자료'!$A:$T,ROW()+1,MATCH("번지",'04A_국토부원자료'!$A$4:$T$4,0)),""))</f>
        <v/>
      </c>
      <c r="D2836" s="48">
        <f>IF(B2836="","",IF(Q2836=1,'02_대상물건입력'!$B$8,IFERROR(INDEX('04A_국토부원자료'!$A:$T,ROW()+1,MATCH("단지명",'04A_국토부원자료'!$A$4:$T$4,0)),"")))</f>
        <v/>
      </c>
      <c r="E2836" s="172">
        <f>IFERROR(VALUE(SUBSTITUTE(INDEX('04A_국토부원자료'!$A:$T,ROW()+1,MATCH("전용면적(㎡)",'04A_국토부원자료'!$A$4:$T$4,0)),",","")),"")</f>
        <v/>
      </c>
      <c r="F28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36" s="51">
        <f>IFERROR(VALUE(SUBSTITUTE(INDEX('04A_국토부원자료'!$A:$T,ROW()+1,MATCH("거래금액(만원)",'04A_국토부원자료'!$A$4:$T$4,0)),",","")),"")</f>
        <v/>
      </c>
      <c r="H2836" s="174">
        <f>IF(G2836="","",G2836*10000)</f>
        <v/>
      </c>
      <c r="I2836" s="174">
        <f>IFERROR(IF(AND(H2836&gt;0,E2836&gt;0),H2836/E2836,""),"")</f>
        <v/>
      </c>
      <c r="J2836" s="152">
        <f>IFERROR(VALUE(SUBSTITUTE(INDEX('04A_국토부원자료'!$A:$T,ROW()+1,MATCH("층",'04A_국토부원자료'!$A$4:$T$4,0)),",","")),"")</f>
        <v/>
      </c>
      <c r="K2836" s="152">
        <f>IFERROR(VALUE(SUBSTITUTE(INDEX('04A_국토부원자료'!$A:$T,ROW()+1,MATCH("건축년도",'04A_국토부원자료'!$A$4:$T$4,0)),",","")),"")</f>
        <v/>
      </c>
      <c r="L2836" s="48">
        <f>IFERROR(INDEX('04A_국토부원자료'!$A:$T,ROW()+1,MATCH("도로명",'04A_국토부원자료'!$A$4:$T$4,0)),"")</f>
        <v/>
      </c>
      <c r="M2836" s="48">
        <f>IFERROR(INDEX('04A_국토부원자료'!$A:$T,ROW()+1,MATCH("거래유형",'04A_국토부원자료'!$A$4:$T$4,0)),"")</f>
        <v/>
      </c>
      <c r="N2836" s="152">
        <f>IF(B2836="","",IF('02_대상물건입력'!B5="",1,IF(ISNUMBER(SEARCH('02_대상물건입력'!B5,B2836)),1,0)))</f>
        <v/>
      </c>
      <c r="O2836" s="152">
        <f>IF(B2836="","",IF('02_대상물건입력'!B6="",1,IF(ISNUMBER(SEARCH('02_대상물건입력'!B6,B2836)),1,0)))</f>
        <v/>
      </c>
      <c r="P2836" s="152">
        <f>IF(L2836="","",IF('02_대상물건입력'!B15="",0,IF(ISNUMBER(SEARCH('02_대상물건입력'!B15,L2836)),1,0)))</f>
        <v/>
      </c>
      <c r="Q2836" s="152">
        <f>IF(OR(C2836="",L2836=""),0,IF(AND(TRIM(C2836)=TRIM(RIGHT(SUBSTITUTE(TRIM('02_대상물건입력'!$B$7)," ",REPT(" ",99)),99)),IF('02_대상물건입력'!B15="",TRUE(),ISNUMBER(SEARCH('02_대상물건입력'!B15,L2836)))),1,0))</f>
        <v/>
      </c>
      <c r="R2836" s="175">
        <f>IFERROR(ABS(E2836-'02_대상물건입력'!B11)/'02_대상물건입력'!B11,"")</f>
        <v/>
      </c>
      <c r="S2836" s="152">
        <f>IFERROR(ABS(J2836-'02_대상물건입력'!B10),"")</f>
        <v/>
      </c>
      <c r="T2836" s="152">
        <f>IFERROR(ABS('01_설정'!B4-F2836),"")</f>
        <v/>
      </c>
      <c r="U2836" s="152">
        <f>IFERROR(ABS(K2836-YEAR('02_대상물건입력'!B14)),"")</f>
        <v/>
      </c>
      <c r="V2836" s="152">
        <f>IF(B2836="","",IF(AND(E2836&gt;0,F2836&gt;0,H2836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2836=1,TRUE()),R2836&lt;='01_설정'!B5,S2836&lt;='01_설정'!B6,T2836&lt;='01_설정'!B7,U2836&lt;='01_설정'!B8),"Y",""))</f>
        <v/>
      </c>
      <c r="W2836" s="172">
        <f>IF(V2836&lt;&gt;"Y","",MAX(0,(1-R2836/'01_설정'!B5))*'01_설정'!B14+MAX(0,(1-S2836/'01_설정'!B6))*'01_설정'!B15+MAX(0,(1-T2836/'01_설정'!B7))*'01_설정'!B16+MAX(0,(1-U2836/'01_설정'!B8))*'01_설정'!B17+O2836*'01_설정'!B11+Q2836*'01_설정'!B12+P2836*'01_설정'!B13+IF(Z2836="",0,Z2836))</f>
        <v/>
      </c>
      <c r="X2836" s="152">
        <f>IF(W2836="","",1+COUNTIFS($W$4:$W$3003,"&gt;"&amp;W2836)+COUNTIFS($W$4:W2836,W2836)-1)</f>
        <v/>
      </c>
      <c r="Y2836" s="175">
        <f>IF(OR(I2836="",'02_대상물건입력'!B19="",'02_대상물건입력'!B19&lt;=0),"",ABS(I2836-'02_대상물건입력'!B19)/'02_대상물건입력'!B19)</f>
        <v/>
      </c>
      <c r="Z2836" s="172">
        <f>IF(OR(Y2836="",'01_설정'!B31="",'01_설정'!B31&lt;=0,'01_설정'!B32="",'01_설정'!B32&lt;=0),"",MAX(0,(1-Y2836/'01_설정'!B32))*'01_설정'!B31)</f>
        <v/>
      </c>
    </row>
    <row r="2837" ht="17.25" customHeight="1">
      <c r="A2837" s="152">
        <f>IF(INDEX('04A_국토부원자료'!$A:$A,ROW()+1)="","",ROW()-3)</f>
        <v/>
      </c>
      <c r="B2837" s="48">
        <f>IFERROR(INDEX('04A_국토부원자료'!$A:$T,ROW()+1,MATCH("시군구",'04A_국토부원자료'!$A$4:$T$4,0)),"")</f>
        <v/>
      </c>
      <c r="C2837" s="48">
        <f>IF(B2837="","",IFERROR(INDEX('04A_국토부원자료'!$A:$T,ROW()+1,MATCH("번지",'04A_국토부원자료'!$A$4:$T$4,0)),""))</f>
        <v/>
      </c>
      <c r="D2837" s="48">
        <f>IF(B2837="","",IF(Q2837=1,'02_대상물건입력'!$B$8,IFERROR(INDEX('04A_국토부원자료'!$A:$T,ROW()+1,MATCH("단지명",'04A_국토부원자료'!$A$4:$T$4,0)),"")))</f>
        <v/>
      </c>
      <c r="E2837" s="172">
        <f>IFERROR(VALUE(SUBSTITUTE(INDEX('04A_국토부원자료'!$A:$T,ROW()+1,MATCH("전용면적(㎡)",'04A_국토부원자료'!$A$4:$T$4,0)),",","")),"")</f>
        <v/>
      </c>
      <c r="F28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37" s="51">
        <f>IFERROR(VALUE(SUBSTITUTE(INDEX('04A_국토부원자료'!$A:$T,ROW()+1,MATCH("거래금액(만원)",'04A_국토부원자료'!$A$4:$T$4,0)),",","")),"")</f>
        <v/>
      </c>
      <c r="H2837" s="174">
        <f>IF(G2837="","",G2837*10000)</f>
        <v/>
      </c>
      <c r="I2837" s="174">
        <f>IFERROR(IF(AND(H2837&gt;0,E2837&gt;0),H2837/E2837,""),"")</f>
        <v/>
      </c>
      <c r="J2837" s="152">
        <f>IFERROR(VALUE(SUBSTITUTE(INDEX('04A_국토부원자료'!$A:$T,ROW()+1,MATCH("층",'04A_국토부원자료'!$A$4:$T$4,0)),",","")),"")</f>
        <v/>
      </c>
      <c r="K2837" s="152">
        <f>IFERROR(VALUE(SUBSTITUTE(INDEX('04A_국토부원자료'!$A:$T,ROW()+1,MATCH("건축년도",'04A_국토부원자료'!$A$4:$T$4,0)),",","")),"")</f>
        <v/>
      </c>
      <c r="L2837" s="48">
        <f>IFERROR(INDEX('04A_국토부원자료'!$A:$T,ROW()+1,MATCH("도로명",'04A_국토부원자료'!$A$4:$T$4,0)),"")</f>
        <v/>
      </c>
      <c r="M2837" s="48">
        <f>IFERROR(INDEX('04A_국토부원자료'!$A:$T,ROW()+1,MATCH("거래유형",'04A_국토부원자료'!$A$4:$T$4,0)),"")</f>
        <v/>
      </c>
      <c r="N2837" s="152">
        <f>IF(B2837="","",IF('02_대상물건입력'!B5="",1,IF(ISNUMBER(SEARCH('02_대상물건입력'!B5,B2837)),1,0)))</f>
        <v/>
      </c>
      <c r="O2837" s="152">
        <f>IF(B2837="","",IF('02_대상물건입력'!B6="",1,IF(ISNUMBER(SEARCH('02_대상물건입력'!B6,B2837)),1,0)))</f>
        <v/>
      </c>
      <c r="P2837" s="152">
        <f>IF(L2837="","",IF('02_대상물건입력'!B15="",0,IF(ISNUMBER(SEARCH('02_대상물건입력'!B15,L2837)),1,0)))</f>
        <v/>
      </c>
      <c r="Q2837" s="152">
        <f>IF(OR(C2837="",L2837=""),0,IF(AND(TRIM(C2837)=TRIM(RIGHT(SUBSTITUTE(TRIM('02_대상물건입력'!$B$7)," ",REPT(" ",99)),99)),IF('02_대상물건입력'!B15="",TRUE(),ISNUMBER(SEARCH('02_대상물건입력'!B15,L2837)))),1,0))</f>
        <v/>
      </c>
      <c r="R2837" s="175">
        <f>IFERROR(ABS(E2837-'02_대상물건입력'!B11)/'02_대상물건입력'!B11,"")</f>
        <v/>
      </c>
      <c r="S2837" s="152">
        <f>IFERROR(ABS(J2837-'02_대상물건입력'!B10),"")</f>
        <v/>
      </c>
      <c r="T2837" s="152">
        <f>IFERROR(ABS('01_설정'!B4-F2837),"")</f>
        <v/>
      </c>
      <c r="U2837" s="152">
        <f>IFERROR(ABS(K2837-YEAR('02_대상물건입력'!B14)),"")</f>
        <v/>
      </c>
      <c r="V2837" s="152">
        <f>IF(B2837="","",IF(AND(E2837&gt;0,F2837&gt;0,H2837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2837=1,TRUE()),R2837&lt;='01_설정'!B5,S2837&lt;='01_설정'!B6,T2837&lt;='01_설정'!B7,U2837&lt;='01_설정'!B8),"Y",""))</f>
        <v/>
      </c>
      <c r="W2837" s="172">
        <f>IF(V2837&lt;&gt;"Y","",MAX(0,(1-R2837/'01_설정'!B5))*'01_설정'!B14+MAX(0,(1-S2837/'01_설정'!B6))*'01_설정'!B15+MAX(0,(1-T2837/'01_설정'!B7))*'01_설정'!B16+MAX(0,(1-U2837/'01_설정'!B8))*'01_설정'!B17+O2837*'01_설정'!B11+Q2837*'01_설정'!B12+P2837*'01_설정'!B13+IF(Z2837="",0,Z2837))</f>
        <v/>
      </c>
      <c r="X2837" s="152">
        <f>IF(W2837="","",1+COUNTIFS($W$4:$W$3003,"&gt;"&amp;W2837)+COUNTIFS($W$4:W2837,W2837)-1)</f>
        <v/>
      </c>
      <c r="Y2837" s="175">
        <f>IF(OR(I2837="",'02_대상물건입력'!B19="",'02_대상물건입력'!B19&lt;=0),"",ABS(I2837-'02_대상물건입력'!B19)/'02_대상물건입력'!B19)</f>
        <v/>
      </c>
      <c r="Z2837" s="172">
        <f>IF(OR(Y2837="",'01_설정'!B31="",'01_설정'!B31&lt;=0,'01_설정'!B32="",'01_설정'!B32&lt;=0),"",MAX(0,(1-Y2837/'01_설정'!B32))*'01_설정'!B31)</f>
        <v/>
      </c>
    </row>
    <row r="2838" ht="17.25" customHeight="1">
      <c r="A2838" s="152">
        <f>IF(INDEX('04A_국토부원자료'!$A:$A,ROW()+1)="","",ROW()-3)</f>
        <v/>
      </c>
      <c r="B2838" s="48">
        <f>IFERROR(INDEX('04A_국토부원자료'!$A:$T,ROW()+1,MATCH("시군구",'04A_국토부원자료'!$A$4:$T$4,0)),"")</f>
        <v/>
      </c>
      <c r="C2838" s="48">
        <f>IF(B2838="","",IFERROR(INDEX('04A_국토부원자료'!$A:$T,ROW()+1,MATCH("번지",'04A_국토부원자료'!$A$4:$T$4,0)),""))</f>
        <v/>
      </c>
      <c r="D2838" s="48">
        <f>IF(B2838="","",IF(Q2838=1,'02_대상물건입력'!$B$8,IFERROR(INDEX('04A_국토부원자료'!$A:$T,ROW()+1,MATCH("단지명",'04A_국토부원자료'!$A$4:$T$4,0)),"")))</f>
        <v/>
      </c>
      <c r="E2838" s="172">
        <f>IFERROR(VALUE(SUBSTITUTE(INDEX('04A_국토부원자료'!$A:$T,ROW()+1,MATCH("전용면적(㎡)",'04A_국토부원자료'!$A$4:$T$4,0)),",","")),"")</f>
        <v/>
      </c>
      <c r="F28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38" s="51">
        <f>IFERROR(VALUE(SUBSTITUTE(INDEX('04A_국토부원자료'!$A:$T,ROW()+1,MATCH("거래금액(만원)",'04A_국토부원자료'!$A$4:$T$4,0)),",","")),"")</f>
        <v/>
      </c>
      <c r="H2838" s="174">
        <f>IF(G2838="","",G2838*10000)</f>
        <v/>
      </c>
      <c r="I2838" s="174">
        <f>IFERROR(IF(AND(H2838&gt;0,E2838&gt;0),H2838/E2838,""),"")</f>
        <v/>
      </c>
      <c r="J2838" s="152">
        <f>IFERROR(VALUE(SUBSTITUTE(INDEX('04A_국토부원자료'!$A:$T,ROW()+1,MATCH("층",'04A_국토부원자료'!$A$4:$T$4,0)),",","")),"")</f>
        <v/>
      </c>
      <c r="K2838" s="152">
        <f>IFERROR(VALUE(SUBSTITUTE(INDEX('04A_국토부원자료'!$A:$T,ROW()+1,MATCH("건축년도",'04A_국토부원자료'!$A$4:$T$4,0)),",","")),"")</f>
        <v/>
      </c>
      <c r="L2838" s="48">
        <f>IFERROR(INDEX('04A_국토부원자료'!$A:$T,ROW()+1,MATCH("도로명",'04A_국토부원자료'!$A$4:$T$4,0)),"")</f>
        <v/>
      </c>
      <c r="M2838" s="48">
        <f>IFERROR(INDEX('04A_국토부원자료'!$A:$T,ROW()+1,MATCH("거래유형",'04A_국토부원자료'!$A$4:$T$4,0)),"")</f>
        <v/>
      </c>
      <c r="N2838" s="152">
        <f>IF(B2838="","",IF('02_대상물건입력'!B5="",1,IF(ISNUMBER(SEARCH('02_대상물건입력'!B5,B2838)),1,0)))</f>
        <v/>
      </c>
      <c r="O2838" s="152">
        <f>IF(B2838="","",IF('02_대상물건입력'!B6="",1,IF(ISNUMBER(SEARCH('02_대상물건입력'!B6,B2838)),1,0)))</f>
        <v/>
      </c>
      <c r="P2838" s="152">
        <f>IF(L2838="","",IF('02_대상물건입력'!B15="",0,IF(ISNUMBER(SEARCH('02_대상물건입력'!B15,L2838)),1,0)))</f>
        <v/>
      </c>
      <c r="Q2838" s="152">
        <f>IF(OR(C2838="",L2838=""),0,IF(AND(TRIM(C2838)=TRIM(RIGHT(SUBSTITUTE(TRIM('02_대상물건입력'!$B$7)," ",REPT(" ",99)),99)),IF('02_대상물건입력'!B15="",TRUE(),ISNUMBER(SEARCH('02_대상물건입력'!B15,L2838)))),1,0))</f>
        <v/>
      </c>
      <c r="R2838" s="175">
        <f>IFERROR(ABS(E2838-'02_대상물건입력'!B11)/'02_대상물건입력'!B11,"")</f>
        <v/>
      </c>
      <c r="S2838" s="152">
        <f>IFERROR(ABS(J2838-'02_대상물건입력'!B10),"")</f>
        <v/>
      </c>
      <c r="T2838" s="152">
        <f>IFERROR(ABS('01_설정'!B4-F2838),"")</f>
        <v/>
      </c>
      <c r="U2838" s="152">
        <f>IFERROR(ABS(K2838-YEAR('02_대상물건입력'!B14)),"")</f>
        <v/>
      </c>
      <c r="V2838" s="152">
        <f>IF(B2838="","",IF(AND(E2838&gt;0,F2838&gt;0,H2838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2838=1,TRUE()),R2838&lt;='01_설정'!B5,S2838&lt;='01_설정'!B6,T2838&lt;='01_설정'!B7,U2838&lt;='01_설정'!B8),"Y",""))</f>
        <v/>
      </c>
      <c r="W2838" s="172">
        <f>IF(V2838&lt;&gt;"Y","",MAX(0,(1-R2838/'01_설정'!B5))*'01_설정'!B14+MAX(0,(1-S2838/'01_설정'!B6))*'01_설정'!B15+MAX(0,(1-T2838/'01_설정'!B7))*'01_설정'!B16+MAX(0,(1-U2838/'01_설정'!B8))*'01_설정'!B17+O2838*'01_설정'!B11+Q2838*'01_설정'!B12+P2838*'01_설정'!B13+IF(Z2838="",0,Z2838))</f>
        <v/>
      </c>
      <c r="X2838" s="152">
        <f>IF(W2838="","",1+COUNTIFS($W$4:$W$3003,"&gt;"&amp;W2838)+COUNTIFS($W$4:W2838,W2838)-1)</f>
        <v/>
      </c>
      <c r="Y2838" s="175">
        <f>IF(OR(I2838="",'02_대상물건입력'!B19="",'02_대상물건입력'!B19&lt;=0),"",ABS(I2838-'02_대상물건입력'!B19)/'02_대상물건입력'!B19)</f>
        <v/>
      </c>
      <c r="Z2838" s="172">
        <f>IF(OR(Y2838="",'01_설정'!B31="",'01_설정'!B31&lt;=0,'01_설정'!B32="",'01_설정'!B32&lt;=0),"",MAX(0,(1-Y2838/'01_설정'!B32))*'01_설정'!B31)</f>
        <v/>
      </c>
    </row>
    <row r="2839" ht="17.25" customHeight="1">
      <c r="A2839" s="152">
        <f>IF(INDEX('04A_국토부원자료'!$A:$A,ROW()+1)="","",ROW()-3)</f>
        <v/>
      </c>
      <c r="B2839" s="48">
        <f>IFERROR(INDEX('04A_국토부원자료'!$A:$T,ROW()+1,MATCH("시군구",'04A_국토부원자료'!$A$4:$T$4,0)),"")</f>
        <v/>
      </c>
      <c r="C2839" s="48">
        <f>IF(B2839="","",IFERROR(INDEX('04A_국토부원자료'!$A:$T,ROW()+1,MATCH("번지",'04A_국토부원자료'!$A$4:$T$4,0)),""))</f>
        <v/>
      </c>
      <c r="D2839" s="48">
        <f>IF(B2839="","",IF(Q2839=1,'02_대상물건입력'!$B$8,IFERROR(INDEX('04A_국토부원자료'!$A:$T,ROW()+1,MATCH("단지명",'04A_국토부원자료'!$A$4:$T$4,0)),"")))</f>
        <v/>
      </c>
      <c r="E2839" s="172">
        <f>IFERROR(VALUE(SUBSTITUTE(INDEX('04A_국토부원자료'!$A:$T,ROW()+1,MATCH("전용면적(㎡)",'04A_국토부원자료'!$A$4:$T$4,0)),",","")),"")</f>
        <v/>
      </c>
      <c r="F28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39" s="51">
        <f>IFERROR(VALUE(SUBSTITUTE(INDEX('04A_국토부원자료'!$A:$T,ROW()+1,MATCH("거래금액(만원)",'04A_국토부원자료'!$A$4:$T$4,0)),",","")),"")</f>
        <v/>
      </c>
      <c r="H2839" s="174">
        <f>IF(G2839="","",G2839*10000)</f>
        <v/>
      </c>
      <c r="I2839" s="174">
        <f>IFERROR(IF(AND(H2839&gt;0,E2839&gt;0),H2839/E2839,""),"")</f>
        <v/>
      </c>
      <c r="J2839" s="152">
        <f>IFERROR(VALUE(SUBSTITUTE(INDEX('04A_국토부원자료'!$A:$T,ROW()+1,MATCH("층",'04A_국토부원자료'!$A$4:$T$4,0)),",","")),"")</f>
        <v/>
      </c>
      <c r="K2839" s="152">
        <f>IFERROR(VALUE(SUBSTITUTE(INDEX('04A_국토부원자료'!$A:$T,ROW()+1,MATCH("건축년도",'04A_국토부원자료'!$A$4:$T$4,0)),",","")),"")</f>
        <v/>
      </c>
      <c r="L2839" s="48">
        <f>IFERROR(INDEX('04A_국토부원자료'!$A:$T,ROW()+1,MATCH("도로명",'04A_국토부원자료'!$A$4:$T$4,0)),"")</f>
        <v/>
      </c>
      <c r="M2839" s="48">
        <f>IFERROR(INDEX('04A_국토부원자료'!$A:$T,ROW()+1,MATCH("거래유형",'04A_국토부원자료'!$A$4:$T$4,0)),"")</f>
        <v/>
      </c>
      <c r="N2839" s="152">
        <f>IF(B2839="","",IF('02_대상물건입력'!B5="",1,IF(ISNUMBER(SEARCH('02_대상물건입력'!B5,B2839)),1,0)))</f>
        <v/>
      </c>
      <c r="O2839" s="152">
        <f>IF(B2839="","",IF('02_대상물건입력'!B6="",1,IF(ISNUMBER(SEARCH('02_대상물건입력'!B6,B2839)),1,0)))</f>
        <v/>
      </c>
      <c r="P2839" s="152">
        <f>IF(L2839="","",IF('02_대상물건입력'!B15="",0,IF(ISNUMBER(SEARCH('02_대상물건입력'!B15,L2839)),1,0)))</f>
        <v/>
      </c>
      <c r="Q2839" s="152">
        <f>IF(OR(C2839="",L2839=""),0,IF(AND(TRIM(C2839)=TRIM(RIGHT(SUBSTITUTE(TRIM('02_대상물건입력'!$B$7)," ",REPT(" ",99)),99)),IF('02_대상물건입력'!B15="",TRUE(),ISNUMBER(SEARCH('02_대상물건입력'!B15,L2839)))),1,0))</f>
        <v/>
      </c>
      <c r="R2839" s="175">
        <f>IFERROR(ABS(E2839-'02_대상물건입력'!B11)/'02_대상물건입력'!B11,"")</f>
        <v/>
      </c>
      <c r="S2839" s="152">
        <f>IFERROR(ABS(J2839-'02_대상물건입력'!B10),"")</f>
        <v/>
      </c>
      <c r="T2839" s="152">
        <f>IFERROR(ABS('01_설정'!B4-F2839),"")</f>
        <v/>
      </c>
      <c r="U2839" s="152">
        <f>IFERROR(ABS(K2839-YEAR('02_대상물건입력'!B14)),"")</f>
        <v/>
      </c>
      <c r="V2839" s="152">
        <f>IF(B2839="","",IF(AND(E2839&gt;0,F2839&gt;0,H2839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2839=1,TRUE()),R2839&lt;='01_설정'!B5,S2839&lt;='01_설정'!B6,T2839&lt;='01_설정'!B7,U2839&lt;='01_설정'!B8),"Y",""))</f>
        <v/>
      </c>
      <c r="W2839" s="172">
        <f>IF(V2839&lt;&gt;"Y","",MAX(0,(1-R2839/'01_설정'!B5))*'01_설정'!B14+MAX(0,(1-S2839/'01_설정'!B6))*'01_설정'!B15+MAX(0,(1-T2839/'01_설정'!B7))*'01_설정'!B16+MAX(0,(1-U2839/'01_설정'!B8))*'01_설정'!B17+O2839*'01_설정'!B11+Q2839*'01_설정'!B12+P2839*'01_설정'!B13+IF(Z2839="",0,Z2839))</f>
        <v/>
      </c>
      <c r="X2839" s="152">
        <f>IF(W2839="","",1+COUNTIFS($W$4:$W$3003,"&gt;"&amp;W2839)+COUNTIFS($W$4:W2839,W2839)-1)</f>
        <v/>
      </c>
      <c r="Y2839" s="175">
        <f>IF(OR(I2839="",'02_대상물건입력'!B19="",'02_대상물건입력'!B19&lt;=0),"",ABS(I2839-'02_대상물건입력'!B19)/'02_대상물건입력'!B19)</f>
        <v/>
      </c>
      <c r="Z2839" s="172">
        <f>IF(OR(Y2839="",'01_설정'!B31="",'01_설정'!B31&lt;=0,'01_설정'!B32="",'01_설정'!B32&lt;=0),"",MAX(0,(1-Y2839/'01_설정'!B32))*'01_설정'!B31)</f>
        <v/>
      </c>
    </row>
    <row r="2840" ht="17.25" customHeight="1">
      <c r="A2840" s="152">
        <f>IF(INDEX('04A_국토부원자료'!$A:$A,ROW()+1)="","",ROW()-3)</f>
        <v/>
      </c>
      <c r="B2840" s="48">
        <f>IFERROR(INDEX('04A_국토부원자료'!$A:$T,ROW()+1,MATCH("시군구",'04A_국토부원자료'!$A$4:$T$4,0)),"")</f>
        <v/>
      </c>
      <c r="C2840" s="48">
        <f>IF(B2840="","",IFERROR(INDEX('04A_국토부원자료'!$A:$T,ROW()+1,MATCH("번지",'04A_국토부원자료'!$A$4:$T$4,0)),""))</f>
        <v/>
      </c>
      <c r="D2840" s="48">
        <f>IF(B2840="","",IF(Q2840=1,'02_대상물건입력'!$B$8,IFERROR(INDEX('04A_국토부원자료'!$A:$T,ROW()+1,MATCH("단지명",'04A_국토부원자료'!$A$4:$T$4,0)),"")))</f>
        <v/>
      </c>
      <c r="E2840" s="172">
        <f>IFERROR(VALUE(SUBSTITUTE(INDEX('04A_국토부원자료'!$A:$T,ROW()+1,MATCH("전용면적(㎡)",'04A_국토부원자료'!$A$4:$T$4,0)),",","")),"")</f>
        <v/>
      </c>
      <c r="F28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40" s="51">
        <f>IFERROR(VALUE(SUBSTITUTE(INDEX('04A_국토부원자료'!$A:$T,ROW()+1,MATCH("거래금액(만원)",'04A_국토부원자료'!$A$4:$T$4,0)),",","")),"")</f>
        <v/>
      </c>
      <c r="H2840" s="174">
        <f>IF(G2840="","",G2840*10000)</f>
        <v/>
      </c>
      <c r="I2840" s="174">
        <f>IFERROR(IF(AND(H2840&gt;0,E2840&gt;0),H2840/E2840,""),"")</f>
        <v/>
      </c>
      <c r="J2840" s="152">
        <f>IFERROR(VALUE(SUBSTITUTE(INDEX('04A_국토부원자료'!$A:$T,ROW()+1,MATCH("층",'04A_국토부원자료'!$A$4:$T$4,0)),",","")),"")</f>
        <v/>
      </c>
      <c r="K2840" s="152">
        <f>IFERROR(VALUE(SUBSTITUTE(INDEX('04A_국토부원자료'!$A:$T,ROW()+1,MATCH("건축년도",'04A_국토부원자료'!$A$4:$T$4,0)),",","")),"")</f>
        <v/>
      </c>
      <c r="L2840" s="48">
        <f>IFERROR(INDEX('04A_국토부원자료'!$A:$T,ROW()+1,MATCH("도로명",'04A_국토부원자료'!$A$4:$T$4,0)),"")</f>
        <v/>
      </c>
      <c r="M2840" s="48">
        <f>IFERROR(INDEX('04A_국토부원자료'!$A:$T,ROW()+1,MATCH("거래유형",'04A_국토부원자료'!$A$4:$T$4,0)),"")</f>
        <v/>
      </c>
      <c r="N2840" s="152">
        <f>IF(B2840="","",IF('02_대상물건입력'!B5="",1,IF(ISNUMBER(SEARCH('02_대상물건입력'!B5,B2840)),1,0)))</f>
        <v/>
      </c>
      <c r="O2840" s="152">
        <f>IF(B2840="","",IF('02_대상물건입력'!B6="",1,IF(ISNUMBER(SEARCH('02_대상물건입력'!B6,B2840)),1,0)))</f>
        <v/>
      </c>
      <c r="P2840" s="152">
        <f>IF(L2840="","",IF('02_대상물건입력'!B15="",0,IF(ISNUMBER(SEARCH('02_대상물건입력'!B15,L2840)),1,0)))</f>
        <v/>
      </c>
      <c r="Q2840" s="152">
        <f>IF(OR(C2840="",L2840=""),0,IF(AND(TRIM(C2840)=TRIM(RIGHT(SUBSTITUTE(TRIM('02_대상물건입력'!$B$7)," ",REPT(" ",99)),99)),IF('02_대상물건입력'!B15="",TRUE(),ISNUMBER(SEARCH('02_대상물건입력'!B15,L2840)))),1,0))</f>
        <v/>
      </c>
      <c r="R2840" s="175">
        <f>IFERROR(ABS(E2840-'02_대상물건입력'!B11)/'02_대상물건입력'!B11,"")</f>
        <v/>
      </c>
      <c r="S2840" s="152">
        <f>IFERROR(ABS(J2840-'02_대상물건입력'!B10),"")</f>
        <v/>
      </c>
      <c r="T2840" s="152">
        <f>IFERROR(ABS('01_설정'!B4-F2840),"")</f>
        <v/>
      </c>
      <c r="U2840" s="152">
        <f>IFERROR(ABS(K2840-YEAR('02_대상물건입력'!B14)),"")</f>
        <v/>
      </c>
      <c r="V2840" s="152">
        <f>IF(B2840="","",IF(AND(E2840&gt;0,F2840&gt;0,H2840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2840=1,TRUE()),R2840&lt;='01_설정'!B5,S2840&lt;='01_설정'!B6,T2840&lt;='01_설정'!B7,U2840&lt;='01_설정'!B8),"Y",""))</f>
        <v/>
      </c>
      <c r="W2840" s="172">
        <f>IF(V2840&lt;&gt;"Y","",MAX(0,(1-R2840/'01_설정'!B5))*'01_설정'!B14+MAX(0,(1-S2840/'01_설정'!B6))*'01_설정'!B15+MAX(0,(1-T2840/'01_설정'!B7))*'01_설정'!B16+MAX(0,(1-U2840/'01_설정'!B8))*'01_설정'!B17+O2840*'01_설정'!B11+Q2840*'01_설정'!B12+P2840*'01_설정'!B13+IF(Z2840="",0,Z2840))</f>
        <v/>
      </c>
      <c r="X2840" s="152">
        <f>IF(W2840="","",1+COUNTIFS($W$4:$W$3003,"&gt;"&amp;W2840)+COUNTIFS($W$4:W2840,W2840)-1)</f>
        <v/>
      </c>
      <c r="Y2840" s="175">
        <f>IF(OR(I2840="",'02_대상물건입력'!B19="",'02_대상물건입력'!B19&lt;=0),"",ABS(I2840-'02_대상물건입력'!B19)/'02_대상물건입력'!B19)</f>
        <v/>
      </c>
      <c r="Z2840" s="172">
        <f>IF(OR(Y2840="",'01_설정'!B31="",'01_설정'!B31&lt;=0,'01_설정'!B32="",'01_설정'!B32&lt;=0),"",MAX(0,(1-Y2840/'01_설정'!B32))*'01_설정'!B31)</f>
        <v/>
      </c>
    </row>
    <row r="2841" ht="17.25" customHeight="1">
      <c r="A2841" s="152">
        <f>IF(INDEX('04A_국토부원자료'!$A:$A,ROW()+1)="","",ROW()-3)</f>
        <v/>
      </c>
      <c r="B2841" s="48">
        <f>IFERROR(INDEX('04A_국토부원자료'!$A:$T,ROW()+1,MATCH("시군구",'04A_국토부원자료'!$A$4:$T$4,0)),"")</f>
        <v/>
      </c>
      <c r="C2841" s="48">
        <f>IF(B2841="","",IFERROR(INDEX('04A_국토부원자료'!$A:$T,ROW()+1,MATCH("번지",'04A_국토부원자료'!$A$4:$T$4,0)),""))</f>
        <v/>
      </c>
      <c r="D2841" s="48">
        <f>IF(B2841="","",IF(Q2841=1,'02_대상물건입력'!$B$8,IFERROR(INDEX('04A_국토부원자료'!$A:$T,ROW()+1,MATCH("단지명",'04A_국토부원자료'!$A$4:$T$4,0)),"")))</f>
        <v/>
      </c>
      <c r="E2841" s="172">
        <f>IFERROR(VALUE(SUBSTITUTE(INDEX('04A_국토부원자료'!$A:$T,ROW()+1,MATCH("전용면적(㎡)",'04A_국토부원자료'!$A$4:$T$4,0)),",","")),"")</f>
        <v/>
      </c>
      <c r="F28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41" s="51">
        <f>IFERROR(VALUE(SUBSTITUTE(INDEX('04A_국토부원자료'!$A:$T,ROW()+1,MATCH("거래금액(만원)",'04A_국토부원자료'!$A$4:$T$4,0)),",","")),"")</f>
        <v/>
      </c>
      <c r="H2841" s="174">
        <f>IF(G2841="","",G2841*10000)</f>
        <v/>
      </c>
      <c r="I2841" s="174">
        <f>IFERROR(IF(AND(H2841&gt;0,E2841&gt;0),H2841/E2841,""),"")</f>
        <v/>
      </c>
      <c r="J2841" s="152">
        <f>IFERROR(VALUE(SUBSTITUTE(INDEX('04A_국토부원자료'!$A:$T,ROW()+1,MATCH("층",'04A_국토부원자료'!$A$4:$T$4,0)),",","")),"")</f>
        <v/>
      </c>
      <c r="K2841" s="152">
        <f>IFERROR(VALUE(SUBSTITUTE(INDEX('04A_국토부원자료'!$A:$T,ROW()+1,MATCH("건축년도",'04A_국토부원자료'!$A$4:$T$4,0)),",","")),"")</f>
        <v/>
      </c>
      <c r="L2841" s="48">
        <f>IFERROR(INDEX('04A_국토부원자료'!$A:$T,ROW()+1,MATCH("도로명",'04A_국토부원자료'!$A$4:$T$4,0)),"")</f>
        <v/>
      </c>
      <c r="M2841" s="48">
        <f>IFERROR(INDEX('04A_국토부원자료'!$A:$T,ROW()+1,MATCH("거래유형",'04A_국토부원자료'!$A$4:$T$4,0)),"")</f>
        <v/>
      </c>
      <c r="N2841" s="152">
        <f>IF(B2841="","",IF('02_대상물건입력'!B5="",1,IF(ISNUMBER(SEARCH('02_대상물건입력'!B5,B2841)),1,0)))</f>
        <v/>
      </c>
      <c r="O2841" s="152">
        <f>IF(B2841="","",IF('02_대상물건입력'!B6="",1,IF(ISNUMBER(SEARCH('02_대상물건입력'!B6,B2841)),1,0)))</f>
        <v/>
      </c>
      <c r="P2841" s="152">
        <f>IF(L2841="","",IF('02_대상물건입력'!B15="",0,IF(ISNUMBER(SEARCH('02_대상물건입력'!B15,L2841)),1,0)))</f>
        <v/>
      </c>
      <c r="Q2841" s="152">
        <f>IF(OR(C2841="",L2841=""),0,IF(AND(TRIM(C2841)=TRIM(RIGHT(SUBSTITUTE(TRIM('02_대상물건입력'!$B$7)," ",REPT(" ",99)),99)),IF('02_대상물건입력'!B15="",TRUE(),ISNUMBER(SEARCH('02_대상물건입력'!B15,L2841)))),1,0))</f>
        <v/>
      </c>
      <c r="R2841" s="175">
        <f>IFERROR(ABS(E2841-'02_대상물건입력'!B11)/'02_대상물건입력'!B11,"")</f>
        <v/>
      </c>
      <c r="S2841" s="152">
        <f>IFERROR(ABS(J2841-'02_대상물건입력'!B10),"")</f>
        <v/>
      </c>
      <c r="T2841" s="152">
        <f>IFERROR(ABS('01_설정'!B4-F2841),"")</f>
        <v/>
      </c>
      <c r="U2841" s="152">
        <f>IFERROR(ABS(K2841-YEAR('02_대상물건입력'!B14)),"")</f>
        <v/>
      </c>
      <c r="V2841" s="152">
        <f>IF(B2841="","",IF(AND(E2841&gt;0,F2841&gt;0,H2841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2841=1,TRUE()),R2841&lt;='01_설정'!B5,S2841&lt;='01_설정'!B6,T2841&lt;='01_설정'!B7,U2841&lt;='01_설정'!B8),"Y",""))</f>
        <v/>
      </c>
      <c r="W2841" s="172">
        <f>IF(V2841&lt;&gt;"Y","",MAX(0,(1-R2841/'01_설정'!B5))*'01_설정'!B14+MAX(0,(1-S2841/'01_설정'!B6))*'01_설정'!B15+MAX(0,(1-T2841/'01_설정'!B7))*'01_설정'!B16+MAX(0,(1-U2841/'01_설정'!B8))*'01_설정'!B17+O2841*'01_설정'!B11+Q2841*'01_설정'!B12+P2841*'01_설정'!B13+IF(Z2841="",0,Z2841))</f>
        <v/>
      </c>
      <c r="X2841" s="152">
        <f>IF(W2841="","",1+COUNTIFS($W$4:$W$3003,"&gt;"&amp;W2841)+COUNTIFS($W$4:W2841,W2841)-1)</f>
        <v/>
      </c>
      <c r="Y2841" s="175">
        <f>IF(OR(I2841="",'02_대상물건입력'!B19="",'02_대상물건입력'!B19&lt;=0),"",ABS(I2841-'02_대상물건입력'!B19)/'02_대상물건입력'!B19)</f>
        <v/>
      </c>
      <c r="Z2841" s="172">
        <f>IF(OR(Y2841="",'01_설정'!B31="",'01_설정'!B31&lt;=0,'01_설정'!B32="",'01_설정'!B32&lt;=0),"",MAX(0,(1-Y2841/'01_설정'!B32))*'01_설정'!B31)</f>
        <v/>
      </c>
    </row>
    <row r="2842" ht="17.25" customHeight="1">
      <c r="A2842" s="152">
        <f>IF(INDEX('04A_국토부원자료'!$A:$A,ROW()+1)="","",ROW()-3)</f>
        <v/>
      </c>
      <c r="B2842" s="48">
        <f>IFERROR(INDEX('04A_국토부원자료'!$A:$T,ROW()+1,MATCH("시군구",'04A_국토부원자료'!$A$4:$T$4,0)),"")</f>
        <v/>
      </c>
      <c r="C2842" s="48">
        <f>IF(B2842="","",IFERROR(INDEX('04A_국토부원자료'!$A:$T,ROW()+1,MATCH("번지",'04A_국토부원자료'!$A$4:$T$4,0)),""))</f>
        <v/>
      </c>
      <c r="D2842" s="48">
        <f>IF(B2842="","",IF(Q2842=1,'02_대상물건입력'!$B$8,IFERROR(INDEX('04A_국토부원자료'!$A:$T,ROW()+1,MATCH("단지명",'04A_국토부원자료'!$A$4:$T$4,0)),"")))</f>
        <v/>
      </c>
      <c r="E2842" s="172">
        <f>IFERROR(VALUE(SUBSTITUTE(INDEX('04A_국토부원자료'!$A:$T,ROW()+1,MATCH("전용면적(㎡)",'04A_국토부원자료'!$A$4:$T$4,0)),",","")),"")</f>
        <v/>
      </c>
      <c r="F28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42" s="51">
        <f>IFERROR(VALUE(SUBSTITUTE(INDEX('04A_국토부원자료'!$A:$T,ROW()+1,MATCH("거래금액(만원)",'04A_국토부원자료'!$A$4:$T$4,0)),",","")),"")</f>
        <v/>
      </c>
      <c r="H2842" s="174">
        <f>IF(G2842="","",G2842*10000)</f>
        <v/>
      </c>
      <c r="I2842" s="174">
        <f>IFERROR(IF(AND(H2842&gt;0,E2842&gt;0),H2842/E2842,""),"")</f>
        <v/>
      </c>
      <c r="J2842" s="152">
        <f>IFERROR(VALUE(SUBSTITUTE(INDEX('04A_국토부원자료'!$A:$T,ROW()+1,MATCH("층",'04A_국토부원자료'!$A$4:$T$4,0)),",","")),"")</f>
        <v/>
      </c>
      <c r="K2842" s="152">
        <f>IFERROR(VALUE(SUBSTITUTE(INDEX('04A_국토부원자료'!$A:$T,ROW()+1,MATCH("건축년도",'04A_국토부원자료'!$A$4:$T$4,0)),",","")),"")</f>
        <v/>
      </c>
      <c r="L2842" s="48">
        <f>IFERROR(INDEX('04A_국토부원자료'!$A:$T,ROW()+1,MATCH("도로명",'04A_국토부원자료'!$A$4:$T$4,0)),"")</f>
        <v/>
      </c>
      <c r="M2842" s="48">
        <f>IFERROR(INDEX('04A_국토부원자료'!$A:$T,ROW()+1,MATCH("거래유형",'04A_국토부원자료'!$A$4:$T$4,0)),"")</f>
        <v/>
      </c>
      <c r="N2842" s="152">
        <f>IF(B2842="","",IF('02_대상물건입력'!B5="",1,IF(ISNUMBER(SEARCH('02_대상물건입력'!B5,B2842)),1,0)))</f>
        <v/>
      </c>
      <c r="O2842" s="152">
        <f>IF(B2842="","",IF('02_대상물건입력'!B6="",1,IF(ISNUMBER(SEARCH('02_대상물건입력'!B6,B2842)),1,0)))</f>
        <v/>
      </c>
      <c r="P2842" s="152">
        <f>IF(L2842="","",IF('02_대상물건입력'!B15="",0,IF(ISNUMBER(SEARCH('02_대상물건입력'!B15,L2842)),1,0)))</f>
        <v/>
      </c>
      <c r="Q2842" s="152">
        <f>IF(OR(C2842="",L2842=""),0,IF(AND(TRIM(C2842)=TRIM(RIGHT(SUBSTITUTE(TRIM('02_대상물건입력'!$B$7)," ",REPT(" ",99)),99)),IF('02_대상물건입력'!B15="",TRUE(),ISNUMBER(SEARCH('02_대상물건입력'!B15,L2842)))),1,0))</f>
        <v/>
      </c>
      <c r="R2842" s="175">
        <f>IFERROR(ABS(E2842-'02_대상물건입력'!B11)/'02_대상물건입력'!B11,"")</f>
        <v/>
      </c>
      <c r="S2842" s="152">
        <f>IFERROR(ABS(J2842-'02_대상물건입력'!B10),"")</f>
        <v/>
      </c>
      <c r="T2842" s="152">
        <f>IFERROR(ABS('01_설정'!B4-F2842),"")</f>
        <v/>
      </c>
      <c r="U2842" s="152">
        <f>IFERROR(ABS(K2842-YEAR('02_대상물건입력'!B14)),"")</f>
        <v/>
      </c>
      <c r="V2842" s="152">
        <f>IF(B2842="","",IF(AND(E2842&gt;0,F2842&gt;0,H2842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2842=1,TRUE()),R2842&lt;='01_설정'!B5,S2842&lt;='01_설정'!B6,T2842&lt;='01_설정'!B7,U2842&lt;='01_설정'!B8),"Y",""))</f>
        <v/>
      </c>
      <c r="W2842" s="172">
        <f>IF(V2842&lt;&gt;"Y","",MAX(0,(1-R2842/'01_설정'!B5))*'01_설정'!B14+MAX(0,(1-S2842/'01_설정'!B6))*'01_설정'!B15+MAX(0,(1-T2842/'01_설정'!B7))*'01_설정'!B16+MAX(0,(1-U2842/'01_설정'!B8))*'01_설정'!B17+O2842*'01_설정'!B11+Q2842*'01_설정'!B12+P2842*'01_설정'!B13+IF(Z2842="",0,Z2842))</f>
        <v/>
      </c>
      <c r="X2842" s="152">
        <f>IF(W2842="","",1+COUNTIFS($W$4:$W$3003,"&gt;"&amp;W2842)+COUNTIFS($W$4:W2842,W2842)-1)</f>
        <v/>
      </c>
      <c r="Y2842" s="175">
        <f>IF(OR(I2842="",'02_대상물건입력'!B19="",'02_대상물건입력'!B19&lt;=0),"",ABS(I2842-'02_대상물건입력'!B19)/'02_대상물건입력'!B19)</f>
        <v/>
      </c>
      <c r="Z2842" s="172">
        <f>IF(OR(Y2842="",'01_설정'!B31="",'01_설정'!B31&lt;=0,'01_설정'!B32="",'01_설정'!B32&lt;=0),"",MAX(0,(1-Y2842/'01_설정'!B32))*'01_설정'!B31)</f>
        <v/>
      </c>
    </row>
    <row r="2843" ht="17.25" customHeight="1">
      <c r="A2843" s="152">
        <f>IF(INDEX('04A_국토부원자료'!$A:$A,ROW()+1)="","",ROW()-3)</f>
        <v/>
      </c>
      <c r="B2843" s="48">
        <f>IFERROR(INDEX('04A_국토부원자료'!$A:$T,ROW()+1,MATCH("시군구",'04A_국토부원자료'!$A$4:$T$4,0)),"")</f>
        <v/>
      </c>
      <c r="C2843" s="48">
        <f>IF(B2843="","",IFERROR(INDEX('04A_국토부원자료'!$A:$T,ROW()+1,MATCH("번지",'04A_국토부원자료'!$A$4:$T$4,0)),""))</f>
        <v/>
      </c>
      <c r="D2843" s="48">
        <f>IF(B2843="","",IF(Q2843=1,'02_대상물건입력'!$B$8,IFERROR(INDEX('04A_국토부원자료'!$A:$T,ROW()+1,MATCH("단지명",'04A_국토부원자료'!$A$4:$T$4,0)),"")))</f>
        <v/>
      </c>
      <c r="E2843" s="172">
        <f>IFERROR(VALUE(SUBSTITUTE(INDEX('04A_국토부원자료'!$A:$T,ROW()+1,MATCH("전용면적(㎡)",'04A_국토부원자료'!$A$4:$T$4,0)),",","")),"")</f>
        <v/>
      </c>
      <c r="F28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43" s="51">
        <f>IFERROR(VALUE(SUBSTITUTE(INDEX('04A_국토부원자료'!$A:$T,ROW()+1,MATCH("거래금액(만원)",'04A_국토부원자료'!$A$4:$T$4,0)),",","")),"")</f>
        <v/>
      </c>
      <c r="H2843" s="174">
        <f>IF(G2843="","",G2843*10000)</f>
        <v/>
      </c>
      <c r="I2843" s="174">
        <f>IFERROR(IF(AND(H2843&gt;0,E2843&gt;0),H2843/E2843,""),"")</f>
        <v/>
      </c>
      <c r="J2843" s="152">
        <f>IFERROR(VALUE(SUBSTITUTE(INDEX('04A_국토부원자료'!$A:$T,ROW()+1,MATCH("층",'04A_국토부원자료'!$A$4:$T$4,0)),",","")),"")</f>
        <v/>
      </c>
      <c r="K2843" s="152">
        <f>IFERROR(VALUE(SUBSTITUTE(INDEX('04A_국토부원자료'!$A:$T,ROW()+1,MATCH("건축년도",'04A_국토부원자료'!$A$4:$T$4,0)),",","")),"")</f>
        <v/>
      </c>
      <c r="L2843" s="48">
        <f>IFERROR(INDEX('04A_국토부원자료'!$A:$T,ROW()+1,MATCH("도로명",'04A_국토부원자료'!$A$4:$T$4,0)),"")</f>
        <v/>
      </c>
      <c r="M2843" s="48">
        <f>IFERROR(INDEX('04A_국토부원자료'!$A:$T,ROW()+1,MATCH("거래유형",'04A_국토부원자료'!$A$4:$T$4,0)),"")</f>
        <v/>
      </c>
      <c r="N2843" s="152">
        <f>IF(B2843="","",IF('02_대상물건입력'!B5="",1,IF(ISNUMBER(SEARCH('02_대상물건입력'!B5,B2843)),1,0)))</f>
        <v/>
      </c>
      <c r="O2843" s="152">
        <f>IF(B2843="","",IF('02_대상물건입력'!B6="",1,IF(ISNUMBER(SEARCH('02_대상물건입력'!B6,B2843)),1,0)))</f>
        <v/>
      </c>
      <c r="P2843" s="152">
        <f>IF(L2843="","",IF('02_대상물건입력'!B15="",0,IF(ISNUMBER(SEARCH('02_대상물건입력'!B15,L2843)),1,0)))</f>
        <v/>
      </c>
      <c r="Q2843" s="152">
        <f>IF(OR(C2843="",L2843=""),0,IF(AND(TRIM(C2843)=TRIM(RIGHT(SUBSTITUTE(TRIM('02_대상물건입력'!$B$7)," ",REPT(" ",99)),99)),IF('02_대상물건입력'!B15="",TRUE(),ISNUMBER(SEARCH('02_대상물건입력'!B15,L2843)))),1,0))</f>
        <v/>
      </c>
      <c r="R2843" s="175">
        <f>IFERROR(ABS(E2843-'02_대상물건입력'!B11)/'02_대상물건입력'!B11,"")</f>
        <v/>
      </c>
      <c r="S2843" s="152">
        <f>IFERROR(ABS(J2843-'02_대상물건입력'!B10),"")</f>
        <v/>
      </c>
      <c r="T2843" s="152">
        <f>IFERROR(ABS('01_설정'!B4-F2843),"")</f>
        <v/>
      </c>
      <c r="U2843" s="152">
        <f>IFERROR(ABS(K2843-YEAR('02_대상물건입력'!B14)),"")</f>
        <v/>
      </c>
      <c r="V2843" s="152">
        <f>IF(B2843="","",IF(AND(E2843&gt;0,F2843&gt;0,H2843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2843=1,TRUE()),R2843&lt;='01_설정'!B5,S2843&lt;='01_설정'!B6,T2843&lt;='01_설정'!B7,U2843&lt;='01_설정'!B8),"Y",""))</f>
        <v/>
      </c>
      <c r="W2843" s="172">
        <f>IF(V2843&lt;&gt;"Y","",MAX(0,(1-R2843/'01_설정'!B5))*'01_설정'!B14+MAX(0,(1-S2843/'01_설정'!B6))*'01_설정'!B15+MAX(0,(1-T2843/'01_설정'!B7))*'01_설정'!B16+MAX(0,(1-U2843/'01_설정'!B8))*'01_설정'!B17+O2843*'01_설정'!B11+Q2843*'01_설정'!B12+P2843*'01_설정'!B13+IF(Z2843="",0,Z2843))</f>
        <v/>
      </c>
      <c r="X2843" s="152">
        <f>IF(W2843="","",1+COUNTIFS($W$4:$W$3003,"&gt;"&amp;W2843)+COUNTIFS($W$4:W2843,W2843)-1)</f>
        <v/>
      </c>
      <c r="Y2843" s="175">
        <f>IF(OR(I2843="",'02_대상물건입력'!B19="",'02_대상물건입력'!B19&lt;=0),"",ABS(I2843-'02_대상물건입력'!B19)/'02_대상물건입력'!B19)</f>
        <v/>
      </c>
      <c r="Z2843" s="172">
        <f>IF(OR(Y2843="",'01_설정'!B31="",'01_설정'!B31&lt;=0,'01_설정'!B32="",'01_설정'!B32&lt;=0),"",MAX(0,(1-Y2843/'01_설정'!B32))*'01_설정'!B31)</f>
        <v/>
      </c>
    </row>
    <row r="2844" ht="17.25" customHeight="1">
      <c r="A2844" s="152">
        <f>IF(INDEX('04A_국토부원자료'!$A:$A,ROW()+1)="","",ROW()-3)</f>
        <v/>
      </c>
      <c r="B2844" s="48">
        <f>IFERROR(INDEX('04A_국토부원자료'!$A:$T,ROW()+1,MATCH("시군구",'04A_국토부원자료'!$A$4:$T$4,0)),"")</f>
        <v/>
      </c>
      <c r="C2844" s="48">
        <f>IF(B2844="","",IFERROR(INDEX('04A_국토부원자료'!$A:$T,ROW()+1,MATCH("번지",'04A_국토부원자료'!$A$4:$T$4,0)),""))</f>
        <v/>
      </c>
      <c r="D2844" s="48">
        <f>IF(B2844="","",IF(Q2844=1,'02_대상물건입력'!$B$8,IFERROR(INDEX('04A_국토부원자료'!$A:$T,ROW()+1,MATCH("단지명",'04A_국토부원자료'!$A$4:$T$4,0)),"")))</f>
        <v/>
      </c>
      <c r="E2844" s="172">
        <f>IFERROR(VALUE(SUBSTITUTE(INDEX('04A_국토부원자료'!$A:$T,ROW()+1,MATCH("전용면적(㎡)",'04A_국토부원자료'!$A$4:$T$4,0)),",","")),"")</f>
        <v/>
      </c>
      <c r="F28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44" s="51">
        <f>IFERROR(VALUE(SUBSTITUTE(INDEX('04A_국토부원자료'!$A:$T,ROW()+1,MATCH("거래금액(만원)",'04A_국토부원자료'!$A$4:$T$4,0)),",","")),"")</f>
        <v/>
      </c>
      <c r="H2844" s="174">
        <f>IF(G2844="","",G2844*10000)</f>
        <v/>
      </c>
      <c r="I2844" s="174">
        <f>IFERROR(IF(AND(H2844&gt;0,E2844&gt;0),H2844/E2844,""),"")</f>
        <v/>
      </c>
      <c r="J2844" s="152">
        <f>IFERROR(VALUE(SUBSTITUTE(INDEX('04A_국토부원자료'!$A:$T,ROW()+1,MATCH("층",'04A_국토부원자료'!$A$4:$T$4,0)),",","")),"")</f>
        <v/>
      </c>
      <c r="K2844" s="152">
        <f>IFERROR(VALUE(SUBSTITUTE(INDEX('04A_국토부원자료'!$A:$T,ROW()+1,MATCH("건축년도",'04A_국토부원자료'!$A$4:$T$4,0)),",","")),"")</f>
        <v/>
      </c>
      <c r="L2844" s="48">
        <f>IFERROR(INDEX('04A_국토부원자료'!$A:$T,ROW()+1,MATCH("도로명",'04A_국토부원자료'!$A$4:$T$4,0)),"")</f>
        <v/>
      </c>
      <c r="M2844" s="48">
        <f>IFERROR(INDEX('04A_국토부원자료'!$A:$T,ROW()+1,MATCH("거래유형",'04A_국토부원자료'!$A$4:$T$4,0)),"")</f>
        <v/>
      </c>
      <c r="N2844" s="152">
        <f>IF(B2844="","",IF('02_대상물건입력'!B5="",1,IF(ISNUMBER(SEARCH('02_대상물건입력'!B5,B2844)),1,0)))</f>
        <v/>
      </c>
      <c r="O2844" s="152">
        <f>IF(B2844="","",IF('02_대상물건입력'!B6="",1,IF(ISNUMBER(SEARCH('02_대상물건입력'!B6,B2844)),1,0)))</f>
        <v/>
      </c>
      <c r="P2844" s="152">
        <f>IF(L2844="","",IF('02_대상물건입력'!B15="",0,IF(ISNUMBER(SEARCH('02_대상물건입력'!B15,L2844)),1,0)))</f>
        <v/>
      </c>
      <c r="Q2844" s="152">
        <f>IF(OR(C2844="",L2844=""),0,IF(AND(TRIM(C2844)=TRIM(RIGHT(SUBSTITUTE(TRIM('02_대상물건입력'!$B$7)," ",REPT(" ",99)),99)),IF('02_대상물건입력'!B15="",TRUE(),ISNUMBER(SEARCH('02_대상물건입력'!B15,L2844)))),1,0))</f>
        <v/>
      </c>
      <c r="R2844" s="175">
        <f>IFERROR(ABS(E2844-'02_대상물건입력'!B11)/'02_대상물건입력'!B11,"")</f>
        <v/>
      </c>
      <c r="S2844" s="152">
        <f>IFERROR(ABS(J2844-'02_대상물건입력'!B10),"")</f>
        <v/>
      </c>
      <c r="T2844" s="152">
        <f>IFERROR(ABS('01_설정'!B4-F2844),"")</f>
        <v/>
      </c>
      <c r="U2844" s="152">
        <f>IFERROR(ABS(K2844-YEAR('02_대상물건입력'!B14)),"")</f>
        <v/>
      </c>
      <c r="V2844" s="152">
        <f>IF(B2844="","",IF(AND(E2844&gt;0,F2844&gt;0,H2844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2844=1,TRUE()),R2844&lt;='01_설정'!B5,S2844&lt;='01_설정'!B6,T2844&lt;='01_설정'!B7,U2844&lt;='01_설정'!B8),"Y",""))</f>
        <v/>
      </c>
      <c r="W2844" s="172">
        <f>IF(V2844&lt;&gt;"Y","",MAX(0,(1-R2844/'01_설정'!B5))*'01_설정'!B14+MAX(0,(1-S2844/'01_설정'!B6))*'01_설정'!B15+MAX(0,(1-T2844/'01_설정'!B7))*'01_설정'!B16+MAX(0,(1-U2844/'01_설정'!B8))*'01_설정'!B17+O2844*'01_설정'!B11+Q2844*'01_설정'!B12+P2844*'01_설정'!B13+IF(Z2844="",0,Z2844))</f>
        <v/>
      </c>
      <c r="X2844" s="152">
        <f>IF(W2844="","",1+COUNTIFS($W$4:$W$3003,"&gt;"&amp;W2844)+COUNTIFS($W$4:W2844,W2844)-1)</f>
        <v/>
      </c>
      <c r="Y2844" s="175">
        <f>IF(OR(I2844="",'02_대상물건입력'!B19="",'02_대상물건입력'!B19&lt;=0),"",ABS(I2844-'02_대상물건입력'!B19)/'02_대상물건입력'!B19)</f>
        <v/>
      </c>
      <c r="Z2844" s="172">
        <f>IF(OR(Y2844="",'01_설정'!B31="",'01_설정'!B31&lt;=0,'01_설정'!B32="",'01_설정'!B32&lt;=0),"",MAX(0,(1-Y2844/'01_설정'!B32))*'01_설정'!B31)</f>
        <v/>
      </c>
    </row>
    <row r="2845" ht="17.25" customHeight="1">
      <c r="A2845" s="152">
        <f>IF(INDEX('04A_국토부원자료'!$A:$A,ROW()+1)="","",ROW()-3)</f>
        <v/>
      </c>
      <c r="B2845" s="48">
        <f>IFERROR(INDEX('04A_국토부원자료'!$A:$T,ROW()+1,MATCH("시군구",'04A_국토부원자료'!$A$4:$T$4,0)),"")</f>
        <v/>
      </c>
      <c r="C2845" s="48">
        <f>IF(B2845="","",IFERROR(INDEX('04A_국토부원자료'!$A:$T,ROW()+1,MATCH("번지",'04A_국토부원자료'!$A$4:$T$4,0)),""))</f>
        <v/>
      </c>
      <c r="D2845" s="48">
        <f>IF(B2845="","",IF(Q2845=1,'02_대상물건입력'!$B$8,IFERROR(INDEX('04A_국토부원자료'!$A:$T,ROW()+1,MATCH("단지명",'04A_국토부원자료'!$A$4:$T$4,0)),"")))</f>
        <v/>
      </c>
      <c r="E2845" s="172">
        <f>IFERROR(VALUE(SUBSTITUTE(INDEX('04A_국토부원자료'!$A:$T,ROW()+1,MATCH("전용면적(㎡)",'04A_국토부원자료'!$A$4:$T$4,0)),",","")),"")</f>
        <v/>
      </c>
      <c r="F28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45" s="51">
        <f>IFERROR(VALUE(SUBSTITUTE(INDEX('04A_국토부원자료'!$A:$T,ROW()+1,MATCH("거래금액(만원)",'04A_국토부원자료'!$A$4:$T$4,0)),",","")),"")</f>
        <v/>
      </c>
      <c r="H2845" s="174">
        <f>IF(G2845="","",G2845*10000)</f>
        <v/>
      </c>
      <c r="I2845" s="174">
        <f>IFERROR(IF(AND(H2845&gt;0,E2845&gt;0),H2845/E2845,""),"")</f>
        <v/>
      </c>
      <c r="J2845" s="152">
        <f>IFERROR(VALUE(SUBSTITUTE(INDEX('04A_국토부원자료'!$A:$T,ROW()+1,MATCH("층",'04A_국토부원자료'!$A$4:$T$4,0)),",","")),"")</f>
        <v/>
      </c>
      <c r="K2845" s="152">
        <f>IFERROR(VALUE(SUBSTITUTE(INDEX('04A_국토부원자료'!$A:$T,ROW()+1,MATCH("건축년도",'04A_국토부원자료'!$A$4:$T$4,0)),",","")),"")</f>
        <v/>
      </c>
      <c r="L2845" s="48">
        <f>IFERROR(INDEX('04A_국토부원자료'!$A:$T,ROW()+1,MATCH("도로명",'04A_국토부원자료'!$A$4:$T$4,0)),"")</f>
        <v/>
      </c>
      <c r="M2845" s="48">
        <f>IFERROR(INDEX('04A_국토부원자료'!$A:$T,ROW()+1,MATCH("거래유형",'04A_국토부원자료'!$A$4:$T$4,0)),"")</f>
        <v/>
      </c>
      <c r="N2845" s="152">
        <f>IF(B2845="","",IF('02_대상물건입력'!B5="",1,IF(ISNUMBER(SEARCH('02_대상물건입력'!B5,B2845)),1,0)))</f>
        <v/>
      </c>
      <c r="O2845" s="152">
        <f>IF(B2845="","",IF('02_대상물건입력'!B6="",1,IF(ISNUMBER(SEARCH('02_대상물건입력'!B6,B2845)),1,0)))</f>
        <v/>
      </c>
      <c r="P2845" s="152">
        <f>IF(L2845="","",IF('02_대상물건입력'!B15="",0,IF(ISNUMBER(SEARCH('02_대상물건입력'!B15,L2845)),1,0)))</f>
        <v/>
      </c>
      <c r="Q2845" s="152">
        <f>IF(OR(C2845="",L2845=""),0,IF(AND(TRIM(C2845)=TRIM(RIGHT(SUBSTITUTE(TRIM('02_대상물건입력'!$B$7)," ",REPT(" ",99)),99)),IF('02_대상물건입력'!B15="",TRUE(),ISNUMBER(SEARCH('02_대상물건입력'!B15,L2845)))),1,0))</f>
        <v/>
      </c>
      <c r="R2845" s="175">
        <f>IFERROR(ABS(E2845-'02_대상물건입력'!B11)/'02_대상물건입력'!B11,"")</f>
        <v/>
      </c>
      <c r="S2845" s="152">
        <f>IFERROR(ABS(J2845-'02_대상물건입력'!B10),"")</f>
        <v/>
      </c>
      <c r="T2845" s="152">
        <f>IFERROR(ABS('01_설정'!B4-F2845),"")</f>
        <v/>
      </c>
      <c r="U2845" s="152">
        <f>IFERROR(ABS(K2845-YEAR('02_대상물건입력'!B14)),"")</f>
        <v/>
      </c>
      <c r="V2845" s="152">
        <f>IF(B2845="","",IF(AND(E2845&gt;0,F2845&gt;0,H2845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2845=1,TRUE()),R2845&lt;='01_설정'!B5,S2845&lt;='01_설정'!B6,T2845&lt;='01_설정'!B7,U2845&lt;='01_설정'!B8),"Y",""))</f>
        <v/>
      </c>
      <c r="W2845" s="172">
        <f>IF(V2845&lt;&gt;"Y","",MAX(0,(1-R2845/'01_설정'!B5))*'01_설정'!B14+MAX(0,(1-S2845/'01_설정'!B6))*'01_설정'!B15+MAX(0,(1-T2845/'01_설정'!B7))*'01_설정'!B16+MAX(0,(1-U2845/'01_설정'!B8))*'01_설정'!B17+O2845*'01_설정'!B11+Q2845*'01_설정'!B12+P2845*'01_설정'!B13+IF(Z2845="",0,Z2845))</f>
        <v/>
      </c>
      <c r="X2845" s="152">
        <f>IF(W2845="","",1+COUNTIFS($W$4:$W$3003,"&gt;"&amp;W2845)+COUNTIFS($W$4:W2845,W2845)-1)</f>
        <v/>
      </c>
      <c r="Y2845" s="175">
        <f>IF(OR(I2845="",'02_대상물건입력'!B19="",'02_대상물건입력'!B19&lt;=0),"",ABS(I2845-'02_대상물건입력'!B19)/'02_대상물건입력'!B19)</f>
        <v/>
      </c>
      <c r="Z2845" s="172">
        <f>IF(OR(Y2845="",'01_설정'!B31="",'01_설정'!B31&lt;=0,'01_설정'!B32="",'01_설정'!B32&lt;=0),"",MAX(0,(1-Y2845/'01_설정'!B32))*'01_설정'!B31)</f>
        <v/>
      </c>
    </row>
    <row r="2846" ht="17.25" customHeight="1">
      <c r="A2846" s="152">
        <f>IF(INDEX('04A_국토부원자료'!$A:$A,ROW()+1)="","",ROW()-3)</f>
        <v/>
      </c>
      <c r="B2846" s="48">
        <f>IFERROR(INDEX('04A_국토부원자료'!$A:$T,ROW()+1,MATCH("시군구",'04A_국토부원자료'!$A$4:$T$4,0)),"")</f>
        <v/>
      </c>
      <c r="C2846" s="48">
        <f>IF(B2846="","",IFERROR(INDEX('04A_국토부원자료'!$A:$T,ROW()+1,MATCH("번지",'04A_국토부원자료'!$A$4:$T$4,0)),""))</f>
        <v/>
      </c>
      <c r="D2846" s="48">
        <f>IF(B2846="","",IF(Q2846=1,'02_대상물건입력'!$B$8,IFERROR(INDEX('04A_국토부원자료'!$A:$T,ROW()+1,MATCH("단지명",'04A_국토부원자료'!$A$4:$T$4,0)),"")))</f>
        <v/>
      </c>
      <c r="E2846" s="172">
        <f>IFERROR(VALUE(SUBSTITUTE(INDEX('04A_국토부원자료'!$A:$T,ROW()+1,MATCH("전용면적(㎡)",'04A_국토부원자료'!$A$4:$T$4,0)),",","")),"")</f>
        <v/>
      </c>
      <c r="F28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46" s="51">
        <f>IFERROR(VALUE(SUBSTITUTE(INDEX('04A_국토부원자료'!$A:$T,ROW()+1,MATCH("거래금액(만원)",'04A_국토부원자료'!$A$4:$T$4,0)),",","")),"")</f>
        <v/>
      </c>
      <c r="H2846" s="174">
        <f>IF(G2846="","",G2846*10000)</f>
        <v/>
      </c>
      <c r="I2846" s="174">
        <f>IFERROR(IF(AND(H2846&gt;0,E2846&gt;0),H2846/E2846,""),"")</f>
        <v/>
      </c>
      <c r="J2846" s="152">
        <f>IFERROR(VALUE(SUBSTITUTE(INDEX('04A_국토부원자료'!$A:$T,ROW()+1,MATCH("층",'04A_국토부원자료'!$A$4:$T$4,0)),",","")),"")</f>
        <v/>
      </c>
      <c r="K2846" s="152">
        <f>IFERROR(VALUE(SUBSTITUTE(INDEX('04A_국토부원자료'!$A:$T,ROW()+1,MATCH("건축년도",'04A_국토부원자료'!$A$4:$T$4,0)),",","")),"")</f>
        <v/>
      </c>
      <c r="L2846" s="48">
        <f>IFERROR(INDEX('04A_국토부원자료'!$A:$T,ROW()+1,MATCH("도로명",'04A_국토부원자료'!$A$4:$T$4,0)),"")</f>
        <v/>
      </c>
      <c r="M2846" s="48">
        <f>IFERROR(INDEX('04A_국토부원자료'!$A:$T,ROW()+1,MATCH("거래유형",'04A_국토부원자료'!$A$4:$T$4,0)),"")</f>
        <v/>
      </c>
      <c r="N2846" s="152">
        <f>IF(B2846="","",IF('02_대상물건입력'!B5="",1,IF(ISNUMBER(SEARCH('02_대상물건입력'!B5,B2846)),1,0)))</f>
        <v/>
      </c>
      <c r="O2846" s="152">
        <f>IF(B2846="","",IF('02_대상물건입력'!B6="",1,IF(ISNUMBER(SEARCH('02_대상물건입력'!B6,B2846)),1,0)))</f>
        <v/>
      </c>
      <c r="P2846" s="152">
        <f>IF(L2846="","",IF('02_대상물건입력'!B15="",0,IF(ISNUMBER(SEARCH('02_대상물건입력'!B15,L2846)),1,0)))</f>
        <v/>
      </c>
      <c r="Q2846" s="152">
        <f>IF(OR(C2846="",L2846=""),0,IF(AND(TRIM(C2846)=TRIM(RIGHT(SUBSTITUTE(TRIM('02_대상물건입력'!$B$7)," ",REPT(" ",99)),99)),IF('02_대상물건입력'!B15="",TRUE(),ISNUMBER(SEARCH('02_대상물건입력'!B15,L2846)))),1,0))</f>
        <v/>
      </c>
      <c r="R2846" s="175">
        <f>IFERROR(ABS(E2846-'02_대상물건입력'!B11)/'02_대상물건입력'!B11,"")</f>
        <v/>
      </c>
      <c r="S2846" s="152">
        <f>IFERROR(ABS(J2846-'02_대상물건입력'!B10),"")</f>
        <v/>
      </c>
      <c r="T2846" s="152">
        <f>IFERROR(ABS('01_설정'!B4-F2846),"")</f>
        <v/>
      </c>
      <c r="U2846" s="152">
        <f>IFERROR(ABS(K2846-YEAR('02_대상물건입력'!B14)),"")</f>
        <v/>
      </c>
      <c r="V2846" s="152">
        <f>IF(B2846="","",IF(AND(E2846&gt;0,F2846&gt;0,H2846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2846=1,TRUE()),R2846&lt;='01_설정'!B5,S2846&lt;='01_설정'!B6,T2846&lt;='01_설정'!B7,U2846&lt;='01_설정'!B8),"Y",""))</f>
        <v/>
      </c>
      <c r="W2846" s="172">
        <f>IF(V2846&lt;&gt;"Y","",MAX(0,(1-R2846/'01_설정'!B5))*'01_설정'!B14+MAX(0,(1-S2846/'01_설정'!B6))*'01_설정'!B15+MAX(0,(1-T2846/'01_설정'!B7))*'01_설정'!B16+MAX(0,(1-U2846/'01_설정'!B8))*'01_설정'!B17+O2846*'01_설정'!B11+Q2846*'01_설정'!B12+P2846*'01_설정'!B13+IF(Z2846="",0,Z2846))</f>
        <v/>
      </c>
      <c r="X2846" s="152">
        <f>IF(W2846="","",1+COUNTIFS($W$4:$W$3003,"&gt;"&amp;W2846)+COUNTIFS($W$4:W2846,W2846)-1)</f>
        <v/>
      </c>
      <c r="Y2846" s="175">
        <f>IF(OR(I2846="",'02_대상물건입력'!B19="",'02_대상물건입력'!B19&lt;=0),"",ABS(I2846-'02_대상물건입력'!B19)/'02_대상물건입력'!B19)</f>
        <v/>
      </c>
      <c r="Z2846" s="172">
        <f>IF(OR(Y2846="",'01_설정'!B31="",'01_설정'!B31&lt;=0,'01_설정'!B32="",'01_설정'!B32&lt;=0),"",MAX(0,(1-Y2846/'01_설정'!B32))*'01_설정'!B31)</f>
        <v/>
      </c>
    </row>
    <row r="2847" ht="17.25" customHeight="1">
      <c r="A2847" s="152">
        <f>IF(INDEX('04A_국토부원자료'!$A:$A,ROW()+1)="","",ROW()-3)</f>
        <v/>
      </c>
      <c r="B2847" s="48">
        <f>IFERROR(INDEX('04A_국토부원자료'!$A:$T,ROW()+1,MATCH("시군구",'04A_국토부원자료'!$A$4:$T$4,0)),"")</f>
        <v/>
      </c>
      <c r="C2847" s="48">
        <f>IF(B2847="","",IFERROR(INDEX('04A_국토부원자료'!$A:$T,ROW()+1,MATCH("번지",'04A_국토부원자료'!$A$4:$T$4,0)),""))</f>
        <v/>
      </c>
      <c r="D2847" s="48">
        <f>IF(B2847="","",IF(Q2847=1,'02_대상물건입력'!$B$8,IFERROR(INDEX('04A_국토부원자료'!$A:$T,ROW()+1,MATCH("단지명",'04A_국토부원자료'!$A$4:$T$4,0)),"")))</f>
        <v/>
      </c>
      <c r="E2847" s="172">
        <f>IFERROR(VALUE(SUBSTITUTE(INDEX('04A_국토부원자료'!$A:$T,ROW()+1,MATCH("전용면적(㎡)",'04A_국토부원자료'!$A$4:$T$4,0)),",","")),"")</f>
        <v/>
      </c>
      <c r="F28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47" s="51">
        <f>IFERROR(VALUE(SUBSTITUTE(INDEX('04A_국토부원자료'!$A:$T,ROW()+1,MATCH("거래금액(만원)",'04A_국토부원자료'!$A$4:$T$4,0)),",","")),"")</f>
        <v/>
      </c>
      <c r="H2847" s="174">
        <f>IF(G2847="","",G2847*10000)</f>
        <v/>
      </c>
      <c r="I2847" s="174">
        <f>IFERROR(IF(AND(H2847&gt;0,E2847&gt;0),H2847/E2847,""),"")</f>
        <v/>
      </c>
      <c r="J2847" s="152">
        <f>IFERROR(VALUE(SUBSTITUTE(INDEX('04A_국토부원자료'!$A:$T,ROW()+1,MATCH("층",'04A_국토부원자료'!$A$4:$T$4,0)),",","")),"")</f>
        <v/>
      </c>
      <c r="K2847" s="152">
        <f>IFERROR(VALUE(SUBSTITUTE(INDEX('04A_국토부원자료'!$A:$T,ROW()+1,MATCH("건축년도",'04A_국토부원자료'!$A$4:$T$4,0)),",","")),"")</f>
        <v/>
      </c>
      <c r="L2847" s="48">
        <f>IFERROR(INDEX('04A_국토부원자료'!$A:$T,ROW()+1,MATCH("도로명",'04A_국토부원자료'!$A$4:$T$4,0)),"")</f>
        <v/>
      </c>
      <c r="M2847" s="48">
        <f>IFERROR(INDEX('04A_국토부원자료'!$A:$T,ROW()+1,MATCH("거래유형",'04A_국토부원자료'!$A$4:$T$4,0)),"")</f>
        <v/>
      </c>
      <c r="N2847" s="152">
        <f>IF(B2847="","",IF('02_대상물건입력'!B5="",1,IF(ISNUMBER(SEARCH('02_대상물건입력'!B5,B2847)),1,0)))</f>
        <v/>
      </c>
      <c r="O2847" s="152">
        <f>IF(B2847="","",IF('02_대상물건입력'!B6="",1,IF(ISNUMBER(SEARCH('02_대상물건입력'!B6,B2847)),1,0)))</f>
        <v/>
      </c>
      <c r="P2847" s="152">
        <f>IF(L2847="","",IF('02_대상물건입력'!B15="",0,IF(ISNUMBER(SEARCH('02_대상물건입력'!B15,L2847)),1,0)))</f>
        <v/>
      </c>
      <c r="Q2847" s="152">
        <f>IF(OR(C2847="",L2847=""),0,IF(AND(TRIM(C2847)=TRIM(RIGHT(SUBSTITUTE(TRIM('02_대상물건입력'!$B$7)," ",REPT(" ",99)),99)),IF('02_대상물건입력'!B15="",TRUE(),ISNUMBER(SEARCH('02_대상물건입력'!B15,L2847)))),1,0))</f>
        <v/>
      </c>
      <c r="R2847" s="175">
        <f>IFERROR(ABS(E2847-'02_대상물건입력'!B11)/'02_대상물건입력'!B11,"")</f>
        <v/>
      </c>
      <c r="S2847" s="152">
        <f>IFERROR(ABS(J2847-'02_대상물건입력'!B10),"")</f>
        <v/>
      </c>
      <c r="T2847" s="152">
        <f>IFERROR(ABS('01_설정'!B4-F2847),"")</f>
        <v/>
      </c>
      <c r="U2847" s="152">
        <f>IFERROR(ABS(K2847-YEAR('02_대상물건입력'!B14)),"")</f>
        <v/>
      </c>
      <c r="V2847" s="152">
        <f>IF(B2847="","",IF(AND(E2847&gt;0,F2847&gt;0,H2847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2847=1,TRUE()),R2847&lt;='01_설정'!B5,S2847&lt;='01_설정'!B6,T2847&lt;='01_설정'!B7,U2847&lt;='01_설정'!B8),"Y",""))</f>
        <v/>
      </c>
      <c r="W2847" s="172">
        <f>IF(V2847&lt;&gt;"Y","",MAX(0,(1-R2847/'01_설정'!B5))*'01_설정'!B14+MAX(0,(1-S2847/'01_설정'!B6))*'01_설정'!B15+MAX(0,(1-T2847/'01_설정'!B7))*'01_설정'!B16+MAX(0,(1-U2847/'01_설정'!B8))*'01_설정'!B17+O2847*'01_설정'!B11+Q2847*'01_설정'!B12+P2847*'01_설정'!B13+IF(Z2847="",0,Z2847))</f>
        <v/>
      </c>
      <c r="X2847" s="152">
        <f>IF(W2847="","",1+COUNTIFS($W$4:$W$3003,"&gt;"&amp;W2847)+COUNTIFS($W$4:W2847,W2847)-1)</f>
        <v/>
      </c>
      <c r="Y2847" s="175">
        <f>IF(OR(I2847="",'02_대상물건입력'!B19="",'02_대상물건입력'!B19&lt;=0),"",ABS(I2847-'02_대상물건입력'!B19)/'02_대상물건입력'!B19)</f>
        <v/>
      </c>
      <c r="Z2847" s="172">
        <f>IF(OR(Y2847="",'01_설정'!B31="",'01_설정'!B31&lt;=0,'01_설정'!B32="",'01_설정'!B32&lt;=0),"",MAX(0,(1-Y2847/'01_설정'!B32))*'01_설정'!B31)</f>
        <v/>
      </c>
    </row>
    <row r="2848" ht="17.25" customHeight="1">
      <c r="A2848" s="152">
        <f>IF(INDEX('04A_국토부원자료'!$A:$A,ROW()+1)="","",ROW()-3)</f>
        <v/>
      </c>
      <c r="B2848" s="48">
        <f>IFERROR(INDEX('04A_국토부원자료'!$A:$T,ROW()+1,MATCH("시군구",'04A_국토부원자료'!$A$4:$T$4,0)),"")</f>
        <v/>
      </c>
      <c r="C2848" s="48">
        <f>IF(B2848="","",IFERROR(INDEX('04A_국토부원자료'!$A:$T,ROW()+1,MATCH("번지",'04A_국토부원자료'!$A$4:$T$4,0)),""))</f>
        <v/>
      </c>
      <c r="D2848" s="48">
        <f>IF(B2848="","",IF(Q2848=1,'02_대상물건입력'!$B$8,IFERROR(INDEX('04A_국토부원자료'!$A:$T,ROW()+1,MATCH("단지명",'04A_국토부원자료'!$A$4:$T$4,0)),"")))</f>
        <v/>
      </c>
      <c r="E2848" s="172">
        <f>IFERROR(VALUE(SUBSTITUTE(INDEX('04A_국토부원자료'!$A:$T,ROW()+1,MATCH("전용면적(㎡)",'04A_국토부원자료'!$A$4:$T$4,0)),",","")),"")</f>
        <v/>
      </c>
      <c r="F28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48" s="51">
        <f>IFERROR(VALUE(SUBSTITUTE(INDEX('04A_국토부원자료'!$A:$T,ROW()+1,MATCH("거래금액(만원)",'04A_국토부원자료'!$A$4:$T$4,0)),",","")),"")</f>
        <v/>
      </c>
      <c r="H2848" s="174">
        <f>IF(G2848="","",G2848*10000)</f>
        <v/>
      </c>
      <c r="I2848" s="174">
        <f>IFERROR(IF(AND(H2848&gt;0,E2848&gt;0),H2848/E2848,""),"")</f>
        <v/>
      </c>
      <c r="J2848" s="152">
        <f>IFERROR(VALUE(SUBSTITUTE(INDEX('04A_국토부원자료'!$A:$T,ROW()+1,MATCH("층",'04A_국토부원자료'!$A$4:$T$4,0)),",","")),"")</f>
        <v/>
      </c>
      <c r="K2848" s="152">
        <f>IFERROR(VALUE(SUBSTITUTE(INDEX('04A_국토부원자료'!$A:$T,ROW()+1,MATCH("건축년도",'04A_국토부원자료'!$A$4:$T$4,0)),",","")),"")</f>
        <v/>
      </c>
      <c r="L2848" s="48">
        <f>IFERROR(INDEX('04A_국토부원자료'!$A:$T,ROW()+1,MATCH("도로명",'04A_국토부원자료'!$A$4:$T$4,0)),"")</f>
        <v/>
      </c>
      <c r="M2848" s="48">
        <f>IFERROR(INDEX('04A_국토부원자료'!$A:$T,ROW()+1,MATCH("거래유형",'04A_국토부원자료'!$A$4:$T$4,0)),"")</f>
        <v/>
      </c>
      <c r="N2848" s="152">
        <f>IF(B2848="","",IF('02_대상물건입력'!B5="",1,IF(ISNUMBER(SEARCH('02_대상물건입력'!B5,B2848)),1,0)))</f>
        <v/>
      </c>
      <c r="O2848" s="152">
        <f>IF(B2848="","",IF('02_대상물건입력'!B6="",1,IF(ISNUMBER(SEARCH('02_대상물건입력'!B6,B2848)),1,0)))</f>
        <v/>
      </c>
      <c r="P2848" s="152">
        <f>IF(L2848="","",IF('02_대상물건입력'!B15="",0,IF(ISNUMBER(SEARCH('02_대상물건입력'!B15,L2848)),1,0)))</f>
        <v/>
      </c>
      <c r="Q2848" s="152">
        <f>IF(OR(C2848="",L2848=""),0,IF(AND(TRIM(C2848)=TRIM(RIGHT(SUBSTITUTE(TRIM('02_대상물건입력'!$B$7)," ",REPT(" ",99)),99)),IF('02_대상물건입력'!B15="",TRUE(),ISNUMBER(SEARCH('02_대상물건입력'!B15,L2848)))),1,0))</f>
        <v/>
      </c>
      <c r="R2848" s="175">
        <f>IFERROR(ABS(E2848-'02_대상물건입력'!B11)/'02_대상물건입력'!B11,"")</f>
        <v/>
      </c>
      <c r="S2848" s="152">
        <f>IFERROR(ABS(J2848-'02_대상물건입력'!B10),"")</f>
        <v/>
      </c>
      <c r="T2848" s="152">
        <f>IFERROR(ABS('01_설정'!B4-F2848),"")</f>
        <v/>
      </c>
      <c r="U2848" s="152">
        <f>IFERROR(ABS(K2848-YEAR('02_대상물건입력'!B14)),"")</f>
        <v/>
      </c>
      <c r="V2848" s="152">
        <f>IF(B2848="","",IF(AND(E2848&gt;0,F2848&gt;0,H2848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2848=1,TRUE()),R2848&lt;='01_설정'!B5,S2848&lt;='01_설정'!B6,T2848&lt;='01_설정'!B7,U2848&lt;='01_설정'!B8),"Y",""))</f>
        <v/>
      </c>
      <c r="W2848" s="172">
        <f>IF(V2848&lt;&gt;"Y","",MAX(0,(1-R2848/'01_설정'!B5))*'01_설정'!B14+MAX(0,(1-S2848/'01_설정'!B6))*'01_설정'!B15+MAX(0,(1-T2848/'01_설정'!B7))*'01_설정'!B16+MAX(0,(1-U2848/'01_설정'!B8))*'01_설정'!B17+O2848*'01_설정'!B11+Q2848*'01_설정'!B12+P2848*'01_설정'!B13+IF(Z2848="",0,Z2848))</f>
        <v/>
      </c>
      <c r="X2848" s="152">
        <f>IF(W2848="","",1+COUNTIFS($W$4:$W$3003,"&gt;"&amp;W2848)+COUNTIFS($W$4:W2848,W2848)-1)</f>
        <v/>
      </c>
      <c r="Y2848" s="175">
        <f>IF(OR(I2848="",'02_대상물건입력'!B19="",'02_대상물건입력'!B19&lt;=0),"",ABS(I2848-'02_대상물건입력'!B19)/'02_대상물건입력'!B19)</f>
        <v/>
      </c>
      <c r="Z2848" s="172">
        <f>IF(OR(Y2848="",'01_설정'!B31="",'01_설정'!B31&lt;=0,'01_설정'!B32="",'01_설정'!B32&lt;=0),"",MAX(0,(1-Y2848/'01_설정'!B32))*'01_설정'!B31)</f>
        <v/>
      </c>
    </row>
    <row r="2849" ht="17.25" customHeight="1">
      <c r="A2849" s="152">
        <f>IF(INDEX('04A_국토부원자료'!$A:$A,ROW()+1)="","",ROW()-3)</f>
        <v/>
      </c>
      <c r="B2849" s="48">
        <f>IFERROR(INDEX('04A_국토부원자료'!$A:$T,ROW()+1,MATCH("시군구",'04A_국토부원자료'!$A$4:$T$4,0)),"")</f>
        <v/>
      </c>
      <c r="C2849" s="48">
        <f>IF(B2849="","",IFERROR(INDEX('04A_국토부원자료'!$A:$T,ROW()+1,MATCH("번지",'04A_국토부원자료'!$A$4:$T$4,0)),""))</f>
        <v/>
      </c>
      <c r="D2849" s="48">
        <f>IF(B2849="","",IF(Q2849=1,'02_대상물건입력'!$B$8,IFERROR(INDEX('04A_국토부원자료'!$A:$T,ROW()+1,MATCH("단지명",'04A_국토부원자료'!$A$4:$T$4,0)),"")))</f>
        <v/>
      </c>
      <c r="E2849" s="172">
        <f>IFERROR(VALUE(SUBSTITUTE(INDEX('04A_국토부원자료'!$A:$T,ROW()+1,MATCH("전용면적(㎡)",'04A_국토부원자료'!$A$4:$T$4,0)),",","")),"")</f>
        <v/>
      </c>
      <c r="F28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49" s="51">
        <f>IFERROR(VALUE(SUBSTITUTE(INDEX('04A_국토부원자료'!$A:$T,ROW()+1,MATCH("거래금액(만원)",'04A_국토부원자료'!$A$4:$T$4,0)),",","")),"")</f>
        <v/>
      </c>
      <c r="H2849" s="174">
        <f>IF(G2849="","",G2849*10000)</f>
        <v/>
      </c>
      <c r="I2849" s="174">
        <f>IFERROR(IF(AND(H2849&gt;0,E2849&gt;0),H2849/E2849,""),"")</f>
        <v/>
      </c>
      <c r="J2849" s="152">
        <f>IFERROR(VALUE(SUBSTITUTE(INDEX('04A_국토부원자료'!$A:$T,ROW()+1,MATCH("층",'04A_국토부원자료'!$A$4:$T$4,0)),",","")),"")</f>
        <v/>
      </c>
      <c r="K2849" s="152">
        <f>IFERROR(VALUE(SUBSTITUTE(INDEX('04A_국토부원자료'!$A:$T,ROW()+1,MATCH("건축년도",'04A_국토부원자료'!$A$4:$T$4,0)),",","")),"")</f>
        <v/>
      </c>
      <c r="L2849" s="48">
        <f>IFERROR(INDEX('04A_국토부원자료'!$A:$T,ROW()+1,MATCH("도로명",'04A_국토부원자료'!$A$4:$T$4,0)),"")</f>
        <v/>
      </c>
      <c r="M2849" s="48">
        <f>IFERROR(INDEX('04A_국토부원자료'!$A:$T,ROW()+1,MATCH("거래유형",'04A_국토부원자료'!$A$4:$T$4,0)),"")</f>
        <v/>
      </c>
      <c r="N2849" s="152">
        <f>IF(B2849="","",IF('02_대상물건입력'!B5="",1,IF(ISNUMBER(SEARCH('02_대상물건입력'!B5,B2849)),1,0)))</f>
        <v/>
      </c>
      <c r="O2849" s="152">
        <f>IF(B2849="","",IF('02_대상물건입력'!B6="",1,IF(ISNUMBER(SEARCH('02_대상물건입력'!B6,B2849)),1,0)))</f>
        <v/>
      </c>
      <c r="P2849" s="152">
        <f>IF(L2849="","",IF('02_대상물건입력'!B15="",0,IF(ISNUMBER(SEARCH('02_대상물건입력'!B15,L2849)),1,0)))</f>
        <v/>
      </c>
      <c r="Q2849" s="152">
        <f>IF(OR(C2849="",L2849=""),0,IF(AND(TRIM(C2849)=TRIM(RIGHT(SUBSTITUTE(TRIM('02_대상물건입력'!$B$7)," ",REPT(" ",99)),99)),IF('02_대상물건입력'!B15="",TRUE(),ISNUMBER(SEARCH('02_대상물건입력'!B15,L2849)))),1,0))</f>
        <v/>
      </c>
      <c r="R2849" s="175">
        <f>IFERROR(ABS(E2849-'02_대상물건입력'!B11)/'02_대상물건입력'!B11,"")</f>
        <v/>
      </c>
      <c r="S2849" s="152">
        <f>IFERROR(ABS(J2849-'02_대상물건입력'!B10),"")</f>
        <v/>
      </c>
      <c r="T2849" s="152">
        <f>IFERROR(ABS('01_설정'!B4-F2849),"")</f>
        <v/>
      </c>
      <c r="U2849" s="152">
        <f>IFERROR(ABS(K2849-YEAR('02_대상물건입력'!B14)),"")</f>
        <v/>
      </c>
      <c r="V2849" s="152">
        <f>IF(B2849="","",IF(AND(E2849&gt;0,F2849&gt;0,H2849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2849=1,TRUE()),R2849&lt;='01_설정'!B5,S2849&lt;='01_설정'!B6,T2849&lt;='01_설정'!B7,U2849&lt;='01_설정'!B8),"Y",""))</f>
        <v/>
      </c>
      <c r="W2849" s="172">
        <f>IF(V2849&lt;&gt;"Y","",MAX(0,(1-R2849/'01_설정'!B5))*'01_설정'!B14+MAX(0,(1-S2849/'01_설정'!B6))*'01_설정'!B15+MAX(0,(1-T2849/'01_설정'!B7))*'01_설정'!B16+MAX(0,(1-U2849/'01_설정'!B8))*'01_설정'!B17+O2849*'01_설정'!B11+Q2849*'01_설정'!B12+P2849*'01_설정'!B13+IF(Z2849="",0,Z2849))</f>
        <v/>
      </c>
      <c r="X2849" s="152">
        <f>IF(W2849="","",1+COUNTIFS($W$4:$W$3003,"&gt;"&amp;W2849)+COUNTIFS($W$4:W2849,W2849)-1)</f>
        <v/>
      </c>
      <c r="Y2849" s="175">
        <f>IF(OR(I2849="",'02_대상물건입력'!B19="",'02_대상물건입력'!B19&lt;=0),"",ABS(I2849-'02_대상물건입력'!B19)/'02_대상물건입력'!B19)</f>
        <v/>
      </c>
      <c r="Z2849" s="172">
        <f>IF(OR(Y2849="",'01_설정'!B31="",'01_설정'!B31&lt;=0,'01_설정'!B32="",'01_설정'!B32&lt;=0),"",MAX(0,(1-Y2849/'01_설정'!B32))*'01_설정'!B31)</f>
        <v/>
      </c>
    </row>
    <row r="2850" ht="17.25" customHeight="1">
      <c r="A2850" s="152">
        <f>IF(INDEX('04A_국토부원자료'!$A:$A,ROW()+1)="","",ROW()-3)</f>
        <v/>
      </c>
      <c r="B2850" s="48">
        <f>IFERROR(INDEX('04A_국토부원자료'!$A:$T,ROW()+1,MATCH("시군구",'04A_국토부원자료'!$A$4:$T$4,0)),"")</f>
        <v/>
      </c>
      <c r="C2850" s="48">
        <f>IF(B2850="","",IFERROR(INDEX('04A_국토부원자료'!$A:$T,ROW()+1,MATCH("번지",'04A_국토부원자료'!$A$4:$T$4,0)),""))</f>
        <v/>
      </c>
      <c r="D2850" s="48">
        <f>IF(B2850="","",IF(Q2850=1,'02_대상물건입력'!$B$8,IFERROR(INDEX('04A_국토부원자료'!$A:$T,ROW()+1,MATCH("단지명",'04A_국토부원자료'!$A$4:$T$4,0)),"")))</f>
        <v/>
      </c>
      <c r="E2850" s="172">
        <f>IFERROR(VALUE(SUBSTITUTE(INDEX('04A_국토부원자료'!$A:$T,ROW()+1,MATCH("전용면적(㎡)",'04A_국토부원자료'!$A$4:$T$4,0)),",","")),"")</f>
        <v/>
      </c>
      <c r="F28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50" s="51">
        <f>IFERROR(VALUE(SUBSTITUTE(INDEX('04A_국토부원자료'!$A:$T,ROW()+1,MATCH("거래금액(만원)",'04A_국토부원자료'!$A$4:$T$4,0)),",","")),"")</f>
        <v/>
      </c>
      <c r="H2850" s="174">
        <f>IF(G2850="","",G2850*10000)</f>
        <v/>
      </c>
      <c r="I2850" s="174">
        <f>IFERROR(IF(AND(H2850&gt;0,E2850&gt;0),H2850/E2850,""),"")</f>
        <v/>
      </c>
      <c r="J2850" s="152">
        <f>IFERROR(VALUE(SUBSTITUTE(INDEX('04A_국토부원자료'!$A:$T,ROW()+1,MATCH("층",'04A_국토부원자료'!$A$4:$T$4,0)),",","")),"")</f>
        <v/>
      </c>
      <c r="K2850" s="152">
        <f>IFERROR(VALUE(SUBSTITUTE(INDEX('04A_국토부원자료'!$A:$T,ROW()+1,MATCH("건축년도",'04A_국토부원자료'!$A$4:$T$4,0)),",","")),"")</f>
        <v/>
      </c>
      <c r="L2850" s="48">
        <f>IFERROR(INDEX('04A_국토부원자료'!$A:$T,ROW()+1,MATCH("도로명",'04A_국토부원자료'!$A$4:$T$4,0)),"")</f>
        <v/>
      </c>
      <c r="M2850" s="48">
        <f>IFERROR(INDEX('04A_국토부원자료'!$A:$T,ROW()+1,MATCH("거래유형",'04A_국토부원자료'!$A$4:$T$4,0)),"")</f>
        <v/>
      </c>
      <c r="N2850" s="152">
        <f>IF(B2850="","",IF('02_대상물건입력'!B5="",1,IF(ISNUMBER(SEARCH('02_대상물건입력'!B5,B2850)),1,0)))</f>
        <v/>
      </c>
      <c r="O2850" s="152">
        <f>IF(B2850="","",IF('02_대상물건입력'!B6="",1,IF(ISNUMBER(SEARCH('02_대상물건입력'!B6,B2850)),1,0)))</f>
        <v/>
      </c>
      <c r="P2850" s="152">
        <f>IF(L2850="","",IF('02_대상물건입력'!B15="",0,IF(ISNUMBER(SEARCH('02_대상물건입력'!B15,L2850)),1,0)))</f>
        <v/>
      </c>
      <c r="Q2850" s="152">
        <f>IF(OR(C2850="",L2850=""),0,IF(AND(TRIM(C2850)=TRIM(RIGHT(SUBSTITUTE(TRIM('02_대상물건입력'!$B$7)," ",REPT(" ",99)),99)),IF('02_대상물건입력'!B15="",TRUE(),ISNUMBER(SEARCH('02_대상물건입력'!B15,L2850)))),1,0))</f>
        <v/>
      </c>
      <c r="R2850" s="175">
        <f>IFERROR(ABS(E2850-'02_대상물건입력'!B11)/'02_대상물건입력'!B11,"")</f>
        <v/>
      </c>
      <c r="S2850" s="152">
        <f>IFERROR(ABS(J2850-'02_대상물건입력'!B10),"")</f>
        <v/>
      </c>
      <c r="T2850" s="152">
        <f>IFERROR(ABS('01_설정'!B4-F2850),"")</f>
        <v/>
      </c>
      <c r="U2850" s="152">
        <f>IFERROR(ABS(K2850-YEAR('02_대상물건입력'!B14)),"")</f>
        <v/>
      </c>
      <c r="V2850" s="152">
        <f>IF(B2850="","",IF(AND(E2850&gt;0,F2850&gt;0,H2850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2850=1,TRUE()),R2850&lt;='01_설정'!B5,S2850&lt;='01_설정'!B6,T2850&lt;='01_설정'!B7,U2850&lt;='01_설정'!B8),"Y",""))</f>
        <v/>
      </c>
      <c r="W2850" s="172">
        <f>IF(V2850&lt;&gt;"Y","",MAX(0,(1-R2850/'01_설정'!B5))*'01_설정'!B14+MAX(0,(1-S2850/'01_설정'!B6))*'01_설정'!B15+MAX(0,(1-T2850/'01_설정'!B7))*'01_설정'!B16+MAX(0,(1-U2850/'01_설정'!B8))*'01_설정'!B17+O2850*'01_설정'!B11+Q2850*'01_설정'!B12+P2850*'01_설정'!B13+IF(Z2850="",0,Z2850))</f>
        <v/>
      </c>
      <c r="X2850" s="152">
        <f>IF(W2850="","",1+COUNTIFS($W$4:$W$3003,"&gt;"&amp;W2850)+COUNTIFS($W$4:W2850,W2850)-1)</f>
        <v/>
      </c>
      <c r="Y2850" s="175">
        <f>IF(OR(I2850="",'02_대상물건입력'!B19="",'02_대상물건입력'!B19&lt;=0),"",ABS(I2850-'02_대상물건입력'!B19)/'02_대상물건입력'!B19)</f>
        <v/>
      </c>
      <c r="Z2850" s="172">
        <f>IF(OR(Y2850="",'01_설정'!B31="",'01_설정'!B31&lt;=0,'01_설정'!B32="",'01_설정'!B32&lt;=0),"",MAX(0,(1-Y2850/'01_설정'!B32))*'01_설정'!B31)</f>
        <v/>
      </c>
    </row>
    <row r="2851" ht="17.25" customHeight="1">
      <c r="A2851" s="152">
        <f>IF(INDEX('04A_국토부원자료'!$A:$A,ROW()+1)="","",ROW()-3)</f>
        <v/>
      </c>
      <c r="B2851" s="48">
        <f>IFERROR(INDEX('04A_국토부원자료'!$A:$T,ROW()+1,MATCH("시군구",'04A_국토부원자료'!$A$4:$T$4,0)),"")</f>
        <v/>
      </c>
      <c r="C2851" s="48">
        <f>IF(B2851="","",IFERROR(INDEX('04A_국토부원자료'!$A:$T,ROW()+1,MATCH("번지",'04A_국토부원자료'!$A$4:$T$4,0)),""))</f>
        <v/>
      </c>
      <c r="D2851" s="48">
        <f>IF(B2851="","",IF(Q2851=1,'02_대상물건입력'!$B$8,IFERROR(INDEX('04A_국토부원자료'!$A:$T,ROW()+1,MATCH("단지명",'04A_국토부원자료'!$A$4:$T$4,0)),"")))</f>
        <v/>
      </c>
      <c r="E2851" s="172">
        <f>IFERROR(VALUE(SUBSTITUTE(INDEX('04A_국토부원자료'!$A:$T,ROW()+1,MATCH("전용면적(㎡)",'04A_국토부원자료'!$A$4:$T$4,0)),",","")),"")</f>
        <v/>
      </c>
      <c r="F28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51" s="51">
        <f>IFERROR(VALUE(SUBSTITUTE(INDEX('04A_국토부원자료'!$A:$T,ROW()+1,MATCH("거래금액(만원)",'04A_국토부원자료'!$A$4:$T$4,0)),",","")),"")</f>
        <v/>
      </c>
      <c r="H2851" s="174">
        <f>IF(G2851="","",G2851*10000)</f>
        <v/>
      </c>
      <c r="I2851" s="174">
        <f>IFERROR(IF(AND(H2851&gt;0,E2851&gt;0),H2851/E2851,""),"")</f>
        <v/>
      </c>
      <c r="J2851" s="152">
        <f>IFERROR(VALUE(SUBSTITUTE(INDEX('04A_국토부원자료'!$A:$T,ROW()+1,MATCH("층",'04A_국토부원자료'!$A$4:$T$4,0)),",","")),"")</f>
        <v/>
      </c>
      <c r="K2851" s="152">
        <f>IFERROR(VALUE(SUBSTITUTE(INDEX('04A_국토부원자료'!$A:$T,ROW()+1,MATCH("건축년도",'04A_국토부원자료'!$A$4:$T$4,0)),",","")),"")</f>
        <v/>
      </c>
      <c r="L2851" s="48">
        <f>IFERROR(INDEX('04A_국토부원자료'!$A:$T,ROW()+1,MATCH("도로명",'04A_국토부원자료'!$A$4:$T$4,0)),"")</f>
        <v/>
      </c>
      <c r="M2851" s="48">
        <f>IFERROR(INDEX('04A_국토부원자료'!$A:$T,ROW()+1,MATCH("거래유형",'04A_국토부원자료'!$A$4:$T$4,0)),"")</f>
        <v/>
      </c>
      <c r="N2851" s="152">
        <f>IF(B2851="","",IF('02_대상물건입력'!B5="",1,IF(ISNUMBER(SEARCH('02_대상물건입력'!B5,B2851)),1,0)))</f>
        <v/>
      </c>
      <c r="O2851" s="152">
        <f>IF(B2851="","",IF('02_대상물건입력'!B6="",1,IF(ISNUMBER(SEARCH('02_대상물건입력'!B6,B2851)),1,0)))</f>
        <v/>
      </c>
      <c r="P2851" s="152">
        <f>IF(L2851="","",IF('02_대상물건입력'!B15="",0,IF(ISNUMBER(SEARCH('02_대상물건입력'!B15,L2851)),1,0)))</f>
        <v/>
      </c>
      <c r="Q2851" s="152">
        <f>IF(OR(C2851="",L2851=""),0,IF(AND(TRIM(C2851)=TRIM(RIGHT(SUBSTITUTE(TRIM('02_대상물건입력'!$B$7)," ",REPT(" ",99)),99)),IF('02_대상물건입력'!B15="",TRUE(),ISNUMBER(SEARCH('02_대상물건입력'!B15,L2851)))),1,0))</f>
        <v/>
      </c>
      <c r="R2851" s="175">
        <f>IFERROR(ABS(E2851-'02_대상물건입력'!B11)/'02_대상물건입력'!B11,"")</f>
        <v/>
      </c>
      <c r="S2851" s="152">
        <f>IFERROR(ABS(J2851-'02_대상물건입력'!B10),"")</f>
        <v/>
      </c>
      <c r="T2851" s="152">
        <f>IFERROR(ABS('01_설정'!B4-F2851),"")</f>
        <v/>
      </c>
      <c r="U2851" s="152">
        <f>IFERROR(ABS(K2851-YEAR('02_대상물건입력'!B14)),"")</f>
        <v/>
      </c>
      <c r="V2851" s="152">
        <f>IF(B2851="","",IF(AND(E2851&gt;0,F2851&gt;0,H2851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2851=1,TRUE()),R2851&lt;='01_설정'!B5,S2851&lt;='01_설정'!B6,T2851&lt;='01_설정'!B7,U2851&lt;='01_설정'!B8),"Y",""))</f>
        <v/>
      </c>
      <c r="W2851" s="172">
        <f>IF(V2851&lt;&gt;"Y","",MAX(0,(1-R2851/'01_설정'!B5))*'01_설정'!B14+MAX(0,(1-S2851/'01_설정'!B6))*'01_설정'!B15+MAX(0,(1-T2851/'01_설정'!B7))*'01_설정'!B16+MAX(0,(1-U2851/'01_설정'!B8))*'01_설정'!B17+O2851*'01_설정'!B11+Q2851*'01_설정'!B12+P2851*'01_설정'!B13+IF(Z2851="",0,Z2851))</f>
        <v/>
      </c>
      <c r="X2851" s="152">
        <f>IF(W2851="","",1+COUNTIFS($W$4:$W$3003,"&gt;"&amp;W2851)+COUNTIFS($W$4:W2851,W2851)-1)</f>
        <v/>
      </c>
      <c r="Y2851" s="175">
        <f>IF(OR(I2851="",'02_대상물건입력'!B19="",'02_대상물건입력'!B19&lt;=0),"",ABS(I2851-'02_대상물건입력'!B19)/'02_대상물건입력'!B19)</f>
        <v/>
      </c>
      <c r="Z2851" s="172">
        <f>IF(OR(Y2851="",'01_설정'!B31="",'01_설정'!B31&lt;=0,'01_설정'!B32="",'01_설정'!B32&lt;=0),"",MAX(0,(1-Y2851/'01_설정'!B32))*'01_설정'!B31)</f>
        <v/>
      </c>
    </row>
    <row r="2852" ht="17.25" customHeight="1">
      <c r="A2852" s="152">
        <f>IF(INDEX('04A_국토부원자료'!$A:$A,ROW()+1)="","",ROW()-3)</f>
        <v/>
      </c>
      <c r="B2852" s="48">
        <f>IFERROR(INDEX('04A_국토부원자료'!$A:$T,ROW()+1,MATCH("시군구",'04A_국토부원자료'!$A$4:$T$4,0)),"")</f>
        <v/>
      </c>
      <c r="C2852" s="48">
        <f>IF(B2852="","",IFERROR(INDEX('04A_국토부원자료'!$A:$T,ROW()+1,MATCH("번지",'04A_국토부원자료'!$A$4:$T$4,0)),""))</f>
        <v/>
      </c>
      <c r="D2852" s="48">
        <f>IF(B2852="","",IF(Q2852=1,'02_대상물건입력'!$B$8,IFERROR(INDEX('04A_국토부원자료'!$A:$T,ROW()+1,MATCH("단지명",'04A_국토부원자료'!$A$4:$T$4,0)),"")))</f>
        <v/>
      </c>
      <c r="E2852" s="172">
        <f>IFERROR(VALUE(SUBSTITUTE(INDEX('04A_국토부원자료'!$A:$T,ROW()+1,MATCH("전용면적(㎡)",'04A_국토부원자료'!$A$4:$T$4,0)),",","")),"")</f>
        <v/>
      </c>
      <c r="F28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52" s="51">
        <f>IFERROR(VALUE(SUBSTITUTE(INDEX('04A_국토부원자료'!$A:$T,ROW()+1,MATCH("거래금액(만원)",'04A_국토부원자료'!$A$4:$T$4,0)),",","")),"")</f>
        <v/>
      </c>
      <c r="H2852" s="174">
        <f>IF(G2852="","",G2852*10000)</f>
        <v/>
      </c>
      <c r="I2852" s="174">
        <f>IFERROR(IF(AND(H2852&gt;0,E2852&gt;0),H2852/E2852,""),"")</f>
        <v/>
      </c>
      <c r="J2852" s="152">
        <f>IFERROR(VALUE(SUBSTITUTE(INDEX('04A_국토부원자료'!$A:$T,ROW()+1,MATCH("층",'04A_국토부원자료'!$A$4:$T$4,0)),",","")),"")</f>
        <v/>
      </c>
      <c r="K2852" s="152">
        <f>IFERROR(VALUE(SUBSTITUTE(INDEX('04A_국토부원자료'!$A:$T,ROW()+1,MATCH("건축년도",'04A_국토부원자료'!$A$4:$T$4,0)),",","")),"")</f>
        <v/>
      </c>
      <c r="L2852" s="48">
        <f>IFERROR(INDEX('04A_국토부원자료'!$A:$T,ROW()+1,MATCH("도로명",'04A_국토부원자료'!$A$4:$T$4,0)),"")</f>
        <v/>
      </c>
      <c r="M2852" s="48">
        <f>IFERROR(INDEX('04A_국토부원자료'!$A:$T,ROW()+1,MATCH("거래유형",'04A_국토부원자료'!$A$4:$T$4,0)),"")</f>
        <v/>
      </c>
      <c r="N2852" s="152">
        <f>IF(B2852="","",IF('02_대상물건입력'!B5="",1,IF(ISNUMBER(SEARCH('02_대상물건입력'!B5,B2852)),1,0)))</f>
        <v/>
      </c>
      <c r="O2852" s="152">
        <f>IF(B2852="","",IF('02_대상물건입력'!B6="",1,IF(ISNUMBER(SEARCH('02_대상물건입력'!B6,B2852)),1,0)))</f>
        <v/>
      </c>
      <c r="P2852" s="152">
        <f>IF(L2852="","",IF('02_대상물건입력'!B15="",0,IF(ISNUMBER(SEARCH('02_대상물건입력'!B15,L2852)),1,0)))</f>
        <v/>
      </c>
      <c r="Q2852" s="152">
        <f>IF(OR(C2852="",L2852=""),0,IF(AND(TRIM(C2852)=TRIM(RIGHT(SUBSTITUTE(TRIM('02_대상물건입력'!$B$7)," ",REPT(" ",99)),99)),IF('02_대상물건입력'!B15="",TRUE(),ISNUMBER(SEARCH('02_대상물건입력'!B15,L2852)))),1,0))</f>
        <v/>
      </c>
      <c r="R2852" s="175">
        <f>IFERROR(ABS(E2852-'02_대상물건입력'!B11)/'02_대상물건입력'!B11,"")</f>
        <v/>
      </c>
      <c r="S2852" s="152">
        <f>IFERROR(ABS(J2852-'02_대상물건입력'!B10),"")</f>
        <v/>
      </c>
      <c r="T2852" s="152">
        <f>IFERROR(ABS('01_설정'!B4-F2852),"")</f>
        <v/>
      </c>
      <c r="U2852" s="152">
        <f>IFERROR(ABS(K2852-YEAR('02_대상물건입력'!B14)),"")</f>
        <v/>
      </c>
      <c r="V2852" s="152">
        <f>IF(B2852="","",IF(AND(E2852&gt;0,F2852&gt;0,H2852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2852=1,TRUE()),R2852&lt;='01_설정'!B5,S2852&lt;='01_설정'!B6,T2852&lt;='01_설정'!B7,U2852&lt;='01_설정'!B8),"Y",""))</f>
        <v/>
      </c>
      <c r="W2852" s="172">
        <f>IF(V2852&lt;&gt;"Y","",MAX(0,(1-R2852/'01_설정'!B5))*'01_설정'!B14+MAX(0,(1-S2852/'01_설정'!B6))*'01_설정'!B15+MAX(0,(1-T2852/'01_설정'!B7))*'01_설정'!B16+MAX(0,(1-U2852/'01_설정'!B8))*'01_설정'!B17+O2852*'01_설정'!B11+Q2852*'01_설정'!B12+P2852*'01_설정'!B13+IF(Z2852="",0,Z2852))</f>
        <v/>
      </c>
      <c r="X2852" s="152">
        <f>IF(W2852="","",1+COUNTIFS($W$4:$W$3003,"&gt;"&amp;W2852)+COUNTIFS($W$4:W2852,W2852)-1)</f>
        <v/>
      </c>
      <c r="Y2852" s="175">
        <f>IF(OR(I2852="",'02_대상물건입력'!B19="",'02_대상물건입력'!B19&lt;=0),"",ABS(I2852-'02_대상물건입력'!B19)/'02_대상물건입력'!B19)</f>
        <v/>
      </c>
      <c r="Z2852" s="172">
        <f>IF(OR(Y2852="",'01_설정'!B31="",'01_설정'!B31&lt;=0,'01_설정'!B32="",'01_설정'!B32&lt;=0),"",MAX(0,(1-Y2852/'01_설정'!B32))*'01_설정'!B31)</f>
        <v/>
      </c>
    </row>
    <row r="2853" ht="17.25" customHeight="1">
      <c r="A2853" s="152">
        <f>IF(INDEX('04A_국토부원자료'!$A:$A,ROW()+1)="","",ROW()-3)</f>
        <v/>
      </c>
      <c r="B2853" s="48">
        <f>IFERROR(INDEX('04A_국토부원자료'!$A:$T,ROW()+1,MATCH("시군구",'04A_국토부원자료'!$A$4:$T$4,0)),"")</f>
        <v/>
      </c>
      <c r="C2853" s="48">
        <f>IF(B2853="","",IFERROR(INDEX('04A_국토부원자료'!$A:$T,ROW()+1,MATCH("번지",'04A_국토부원자료'!$A$4:$T$4,0)),""))</f>
        <v/>
      </c>
      <c r="D2853" s="48">
        <f>IF(B2853="","",IF(Q2853=1,'02_대상물건입력'!$B$8,IFERROR(INDEX('04A_국토부원자료'!$A:$T,ROW()+1,MATCH("단지명",'04A_국토부원자료'!$A$4:$T$4,0)),"")))</f>
        <v/>
      </c>
      <c r="E2853" s="172">
        <f>IFERROR(VALUE(SUBSTITUTE(INDEX('04A_국토부원자료'!$A:$T,ROW()+1,MATCH("전용면적(㎡)",'04A_국토부원자료'!$A$4:$T$4,0)),",","")),"")</f>
        <v/>
      </c>
      <c r="F28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53" s="51">
        <f>IFERROR(VALUE(SUBSTITUTE(INDEX('04A_국토부원자료'!$A:$T,ROW()+1,MATCH("거래금액(만원)",'04A_국토부원자료'!$A$4:$T$4,0)),",","")),"")</f>
        <v/>
      </c>
      <c r="H2853" s="174">
        <f>IF(G2853="","",G2853*10000)</f>
        <v/>
      </c>
      <c r="I2853" s="174">
        <f>IFERROR(IF(AND(H2853&gt;0,E2853&gt;0),H2853/E2853,""),"")</f>
        <v/>
      </c>
      <c r="J2853" s="152">
        <f>IFERROR(VALUE(SUBSTITUTE(INDEX('04A_국토부원자료'!$A:$T,ROW()+1,MATCH("층",'04A_국토부원자료'!$A$4:$T$4,0)),",","")),"")</f>
        <v/>
      </c>
      <c r="K2853" s="152">
        <f>IFERROR(VALUE(SUBSTITUTE(INDEX('04A_국토부원자료'!$A:$T,ROW()+1,MATCH("건축년도",'04A_국토부원자료'!$A$4:$T$4,0)),",","")),"")</f>
        <v/>
      </c>
      <c r="L2853" s="48">
        <f>IFERROR(INDEX('04A_국토부원자료'!$A:$T,ROW()+1,MATCH("도로명",'04A_국토부원자료'!$A$4:$T$4,0)),"")</f>
        <v/>
      </c>
      <c r="M2853" s="48">
        <f>IFERROR(INDEX('04A_국토부원자료'!$A:$T,ROW()+1,MATCH("거래유형",'04A_국토부원자료'!$A$4:$T$4,0)),"")</f>
        <v/>
      </c>
      <c r="N2853" s="152">
        <f>IF(B2853="","",IF('02_대상물건입력'!B5="",1,IF(ISNUMBER(SEARCH('02_대상물건입력'!B5,B2853)),1,0)))</f>
        <v/>
      </c>
      <c r="O2853" s="152">
        <f>IF(B2853="","",IF('02_대상물건입력'!B6="",1,IF(ISNUMBER(SEARCH('02_대상물건입력'!B6,B2853)),1,0)))</f>
        <v/>
      </c>
      <c r="P2853" s="152">
        <f>IF(L2853="","",IF('02_대상물건입력'!B15="",0,IF(ISNUMBER(SEARCH('02_대상물건입력'!B15,L2853)),1,0)))</f>
        <v/>
      </c>
      <c r="Q2853" s="152">
        <f>IF(OR(C2853="",L2853=""),0,IF(AND(TRIM(C2853)=TRIM(RIGHT(SUBSTITUTE(TRIM('02_대상물건입력'!$B$7)," ",REPT(" ",99)),99)),IF('02_대상물건입력'!B15="",TRUE(),ISNUMBER(SEARCH('02_대상물건입력'!B15,L2853)))),1,0))</f>
        <v/>
      </c>
      <c r="R2853" s="175">
        <f>IFERROR(ABS(E2853-'02_대상물건입력'!B11)/'02_대상물건입력'!B11,"")</f>
        <v/>
      </c>
      <c r="S2853" s="152">
        <f>IFERROR(ABS(J2853-'02_대상물건입력'!B10),"")</f>
        <v/>
      </c>
      <c r="T2853" s="152">
        <f>IFERROR(ABS('01_설정'!B4-F2853),"")</f>
        <v/>
      </c>
      <c r="U2853" s="152">
        <f>IFERROR(ABS(K2853-YEAR('02_대상물건입력'!B14)),"")</f>
        <v/>
      </c>
      <c r="V2853" s="152">
        <f>IF(B2853="","",IF(AND(E2853&gt;0,F2853&gt;0,H2853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2853=1,TRUE()),R2853&lt;='01_설정'!B5,S2853&lt;='01_설정'!B6,T2853&lt;='01_설정'!B7,U2853&lt;='01_설정'!B8),"Y",""))</f>
        <v/>
      </c>
      <c r="W2853" s="172">
        <f>IF(V2853&lt;&gt;"Y","",MAX(0,(1-R2853/'01_설정'!B5))*'01_설정'!B14+MAX(0,(1-S2853/'01_설정'!B6))*'01_설정'!B15+MAX(0,(1-T2853/'01_설정'!B7))*'01_설정'!B16+MAX(0,(1-U2853/'01_설정'!B8))*'01_설정'!B17+O2853*'01_설정'!B11+Q2853*'01_설정'!B12+P2853*'01_설정'!B13+IF(Z2853="",0,Z2853))</f>
        <v/>
      </c>
      <c r="X2853" s="152">
        <f>IF(W2853="","",1+COUNTIFS($W$4:$W$3003,"&gt;"&amp;W2853)+COUNTIFS($W$4:W2853,W2853)-1)</f>
        <v/>
      </c>
      <c r="Y2853" s="175">
        <f>IF(OR(I2853="",'02_대상물건입력'!B19="",'02_대상물건입력'!B19&lt;=0),"",ABS(I2853-'02_대상물건입력'!B19)/'02_대상물건입력'!B19)</f>
        <v/>
      </c>
      <c r="Z2853" s="172">
        <f>IF(OR(Y2853="",'01_설정'!B31="",'01_설정'!B31&lt;=0,'01_설정'!B32="",'01_설정'!B32&lt;=0),"",MAX(0,(1-Y2853/'01_설정'!B32))*'01_설정'!B31)</f>
        <v/>
      </c>
    </row>
    <row r="2854" ht="17.25" customHeight="1">
      <c r="A2854" s="152">
        <f>IF(INDEX('04A_국토부원자료'!$A:$A,ROW()+1)="","",ROW()-3)</f>
        <v/>
      </c>
      <c r="B2854" s="48">
        <f>IFERROR(INDEX('04A_국토부원자료'!$A:$T,ROW()+1,MATCH("시군구",'04A_국토부원자료'!$A$4:$T$4,0)),"")</f>
        <v/>
      </c>
      <c r="C2854" s="48">
        <f>IF(B2854="","",IFERROR(INDEX('04A_국토부원자료'!$A:$T,ROW()+1,MATCH("번지",'04A_국토부원자료'!$A$4:$T$4,0)),""))</f>
        <v/>
      </c>
      <c r="D2854" s="48">
        <f>IF(B2854="","",IF(Q2854=1,'02_대상물건입력'!$B$8,IFERROR(INDEX('04A_국토부원자료'!$A:$T,ROW()+1,MATCH("단지명",'04A_국토부원자료'!$A$4:$T$4,0)),"")))</f>
        <v/>
      </c>
      <c r="E2854" s="172">
        <f>IFERROR(VALUE(SUBSTITUTE(INDEX('04A_국토부원자료'!$A:$T,ROW()+1,MATCH("전용면적(㎡)",'04A_국토부원자료'!$A$4:$T$4,0)),",","")),"")</f>
        <v/>
      </c>
      <c r="F28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54" s="51">
        <f>IFERROR(VALUE(SUBSTITUTE(INDEX('04A_국토부원자료'!$A:$T,ROW()+1,MATCH("거래금액(만원)",'04A_국토부원자료'!$A$4:$T$4,0)),",","")),"")</f>
        <v/>
      </c>
      <c r="H2854" s="174">
        <f>IF(G2854="","",G2854*10000)</f>
        <v/>
      </c>
      <c r="I2854" s="174">
        <f>IFERROR(IF(AND(H2854&gt;0,E2854&gt;0),H2854/E2854,""),"")</f>
        <v/>
      </c>
      <c r="J2854" s="152">
        <f>IFERROR(VALUE(SUBSTITUTE(INDEX('04A_국토부원자료'!$A:$T,ROW()+1,MATCH("층",'04A_국토부원자료'!$A$4:$T$4,0)),",","")),"")</f>
        <v/>
      </c>
      <c r="K2854" s="152">
        <f>IFERROR(VALUE(SUBSTITUTE(INDEX('04A_국토부원자료'!$A:$T,ROW()+1,MATCH("건축년도",'04A_국토부원자료'!$A$4:$T$4,0)),",","")),"")</f>
        <v/>
      </c>
      <c r="L2854" s="48">
        <f>IFERROR(INDEX('04A_국토부원자료'!$A:$T,ROW()+1,MATCH("도로명",'04A_국토부원자료'!$A$4:$T$4,0)),"")</f>
        <v/>
      </c>
      <c r="M2854" s="48">
        <f>IFERROR(INDEX('04A_국토부원자료'!$A:$T,ROW()+1,MATCH("거래유형",'04A_국토부원자료'!$A$4:$T$4,0)),"")</f>
        <v/>
      </c>
      <c r="N2854" s="152">
        <f>IF(B2854="","",IF('02_대상물건입력'!B5="",1,IF(ISNUMBER(SEARCH('02_대상물건입력'!B5,B2854)),1,0)))</f>
        <v/>
      </c>
      <c r="O2854" s="152">
        <f>IF(B2854="","",IF('02_대상물건입력'!B6="",1,IF(ISNUMBER(SEARCH('02_대상물건입력'!B6,B2854)),1,0)))</f>
        <v/>
      </c>
      <c r="P2854" s="152">
        <f>IF(L2854="","",IF('02_대상물건입력'!B15="",0,IF(ISNUMBER(SEARCH('02_대상물건입력'!B15,L2854)),1,0)))</f>
        <v/>
      </c>
      <c r="Q2854" s="152">
        <f>IF(OR(C2854="",L2854=""),0,IF(AND(TRIM(C2854)=TRIM(RIGHT(SUBSTITUTE(TRIM('02_대상물건입력'!$B$7)," ",REPT(" ",99)),99)),IF('02_대상물건입력'!B15="",TRUE(),ISNUMBER(SEARCH('02_대상물건입력'!B15,L2854)))),1,0))</f>
        <v/>
      </c>
      <c r="R2854" s="175">
        <f>IFERROR(ABS(E2854-'02_대상물건입력'!B11)/'02_대상물건입력'!B11,"")</f>
        <v/>
      </c>
      <c r="S2854" s="152">
        <f>IFERROR(ABS(J2854-'02_대상물건입력'!B10),"")</f>
        <v/>
      </c>
      <c r="T2854" s="152">
        <f>IFERROR(ABS('01_설정'!B4-F2854),"")</f>
        <v/>
      </c>
      <c r="U2854" s="152">
        <f>IFERROR(ABS(K2854-YEAR('02_대상물건입력'!B14)),"")</f>
        <v/>
      </c>
      <c r="V2854" s="152">
        <f>IF(B2854="","",IF(AND(E2854&gt;0,F2854&gt;0,H2854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2854=1,TRUE()),R2854&lt;='01_설정'!B5,S2854&lt;='01_설정'!B6,T2854&lt;='01_설정'!B7,U2854&lt;='01_설정'!B8),"Y",""))</f>
        <v/>
      </c>
      <c r="W2854" s="172">
        <f>IF(V2854&lt;&gt;"Y","",MAX(0,(1-R2854/'01_설정'!B5))*'01_설정'!B14+MAX(0,(1-S2854/'01_설정'!B6))*'01_설정'!B15+MAX(0,(1-T2854/'01_설정'!B7))*'01_설정'!B16+MAX(0,(1-U2854/'01_설정'!B8))*'01_설정'!B17+O2854*'01_설정'!B11+Q2854*'01_설정'!B12+P2854*'01_설정'!B13+IF(Z2854="",0,Z2854))</f>
        <v/>
      </c>
      <c r="X2854" s="152">
        <f>IF(W2854="","",1+COUNTIFS($W$4:$W$3003,"&gt;"&amp;W2854)+COUNTIFS($W$4:W2854,W2854)-1)</f>
        <v/>
      </c>
      <c r="Y2854" s="175">
        <f>IF(OR(I2854="",'02_대상물건입력'!B19="",'02_대상물건입력'!B19&lt;=0),"",ABS(I2854-'02_대상물건입력'!B19)/'02_대상물건입력'!B19)</f>
        <v/>
      </c>
      <c r="Z2854" s="172">
        <f>IF(OR(Y2854="",'01_설정'!B31="",'01_설정'!B31&lt;=0,'01_설정'!B32="",'01_설정'!B32&lt;=0),"",MAX(0,(1-Y2854/'01_설정'!B32))*'01_설정'!B31)</f>
        <v/>
      </c>
    </row>
    <row r="2855" ht="17.25" customHeight="1">
      <c r="A2855" s="152">
        <f>IF(INDEX('04A_국토부원자료'!$A:$A,ROW()+1)="","",ROW()-3)</f>
        <v/>
      </c>
      <c r="B2855" s="48">
        <f>IFERROR(INDEX('04A_국토부원자료'!$A:$T,ROW()+1,MATCH("시군구",'04A_국토부원자료'!$A$4:$T$4,0)),"")</f>
        <v/>
      </c>
      <c r="C2855" s="48">
        <f>IF(B2855="","",IFERROR(INDEX('04A_국토부원자료'!$A:$T,ROW()+1,MATCH("번지",'04A_국토부원자료'!$A$4:$T$4,0)),""))</f>
        <v/>
      </c>
      <c r="D2855" s="48">
        <f>IF(B2855="","",IF(Q2855=1,'02_대상물건입력'!$B$8,IFERROR(INDEX('04A_국토부원자료'!$A:$T,ROW()+1,MATCH("단지명",'04A_국토부원자료'!$A$4:$T$4,0)),"")))</f>
        <v/>
      </c>
      <c r="E2855" s="172">
        <f>IFERROR(VALUE(SUBSTITUTE(INDEX('04A_국토부원자료'!$A:$T,ROW()+1,MATCH("전용면적(㎡)",'04A_국토부원자료'!$A$4:$T$4,0)),",","")),"")</f>
        <v/>
      </c>
      <c r="F28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55" s="51">
        <f>IFERROR(VALUE(SUBSTITUTE(INDEX('04A_국토부원자료'!$A:$T,ROW()+1,MATCH("거래금액(만원)",'04A_국토부원자료'!$A$4:$T$4,0)),",","")),"")</f>
        <v/>
      </c>
      <c r="H2855" s="174">
        <f>IF(G2855="","",G2855*10000)</f>
        <v/>
      </c>
      <c r="I2855" s="174">
        <f>IFERROR(IF(AND(H2855&gt;0,E2855&gt;0),H2855/E2855,""),"")</f>
        <v/>
      </c>
      <c r="J2855" s="152">
        <f>IFERROR(VALUE(SUBSTITUTE(INDEX('04A_국토부원자료'!$A:$T,ROW()+1,MATCH("층",'04A_국토부원자료'!$A$4:$T$4,0)),",","")),"")</f>
        <v/>
      </c>
      <c r="K2855" s="152">
        <f>IFERROR(VALUE(SUBSTITUTE(INDEX('04A_국토부원자료'!$A:$T,ROW()+1,MATCH("건축년도",'04A_국토부원자료'!$A$4:$T$4,0)),",","")),"")</f>
        <v/>
      </c>
      <c r="L2855" s="48">
        <f>IFERROR(INDEX('04A_국토부원자료'!$A:$T,ROW()+1,MATCH("도로명",'04A_국토부원자료'!$A$4:$T$4,0)),"")</f>
        <v/>
      </c>
      <c r="M2855" s="48">
        <f>IFERROR(INDEX('04A_국토부원자료'!$A:$T,ROW()+1,MATCH("거래유형",'04A_국토부원자료'!$A$4:$T$4,0)),"")</f>
        <v/>
      </c>
      <c r="N2855" s="152">
        <f>IF(B2855="","",IF('02_대상물건입력'!B5="",1,IF(ISNUMBER(SEARCH('02_대상물건입력'!B5,B2855)),1,0)))</f>
        <v/>
      </c>
      <c r="O2855" s="152">
        <f>IF(B2855="","",IF('02_대상물건입력'!B6="",1,IF(ISNUMBER(SEARCH('02_대상물건입력'!B6,B2855)),1,0)))</f>
        <v/>
      </c>
      <c r="P2855" s="152">
        <f>IF(L2855="","",IF('02_대상물건입력'!B15="",0,IF(ISNUMBER(SEARCH('02_대상물건입력'!B15,L2855)),1,0)))</f>
        <v/>
      </c>
      <c r="Q2855" s="152">
        <f>IF(OR(C2855="",L2855=""),0,IF(AND(TRIM(C2855)=TRIM(RIGHT(SUBSTITUTE(TRIM('02_대상물건입력'!$B$7)," ",REPT(" ",99)),99)),IF('02_대상물건입력'!B15="",TRUE(),ISNUMBER(SEARCH('02_대상물건입력'!B15,L2855)))),1,0))</f>
        <v/>
      </c>
      <c r="R2855" s="175">
        <f>IFERROR(ABS(E2855-'02_대상물건입력'!B11)/'02_대상물건입력'!B11,"")</f>
        <v/>
      </c>
      <c r="S2855" s="152">
        <f>IFERROR(ABS(J2855-'02_대상물건입력'!B10),"")</f>
        <v/>
      </c>
      <c r="T2855" s="152">
        <f>IFERROR(ABS('01_설정'!B4-F2855),"")</f>
        <v/>
      </c>
      <c r="U2855" s="152">
        <f>IFERROR(ABS(K2855-YEAR('02_대상물건입력'!B14)),"")</f>
        <v/>
      </c>
      <c r="V2855" s="152">
        <f>IF(B2855="","",IF(AND(E2855&gt;0,F2855&gt;0,H2855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2855=1,TRUE()),R2855&lt;='01_설정'!B5,S2855&lt;='01_설정'!B6,T2855&lt;='01_설정'!B7,U2855&lt;='01_설정'!B8),"Y",""))</f>
        <v/>
      </c>
      <c r="W2855" s="172">
        <f>IF(V2855&lt;&gt;"Y","",MAX(0,(1-R2855/'01_설정'!B5))*'01_설정'!B14+MAX(0,(1-S2855/'01_설정'!B6))*'01_설정'!B15+MAX(0,(1-T2855/'01_설정'!B7))*'01_설정'!B16+MAX(0,(1-U2855/'01_설정'!B8))*'01_설정'!B17+O2855*'01_설정'!B11+Q2855*'01_설정'!B12+P2855*'01_설정'!B13+IF(Z2855="",0,Z2855))</f>
        <v/>
      </c>
      <c r="X2855" s="152">
        <f>IF(W2855="","",1+COUNTIFS($W$4:$W$3003,"&gt;"&amp;W2855)+COUNTIFS($W$4:W2855,W2855)-1)</f>
        <v/>
      </c>
      <c r="Y2855" s="175">
        <f>IF(OR(I2855="",'02_대상물건입력'!B19="",'02_대상물건입력'!B19&lt;=0),"",ABS(I2855-'02_대상물건입력'!B19)/'02_대상물건입력'!B19)</f>
        <v/>
      </c>
      <c r="Z2855" s="172">
        <f>IF(OR(Y2855="",'01_설정'!B31="",'01_설정'!B31&lt;=0,'01_설정'!B32="",'01_설정'!B32&lt;=0),"",MAX(0,(1-Y2855/'01_설정'!B32))*'01_설정'!B31)</f>
        <v/>
      </c>
    </row>
    <row r="2856" ht="17.25" customHeight="1">
      <c r="A2856" s="152">
        <f>IF(INDEX('04A_국토부원자료'!$A:$A,ROW()+1)="","",ROW()-3)</f>
        <v/>
      </c>
      <c r="B2856" s="48">
        <f>IFERROR(INDEX('04A_국토부원자료'!$A:$T,ROW()+1,MATCH("시군구",'04A_국토부원자료'!$A$4:$T$4,0)),"")</f>
        <v/>
      </c>
      <c r="C2856" s="48">
        <f>IF(B2856="","",IFERROR(INDEX('04A_국토부원자료'!$A:$T,ROW()+1,MATCH("번지",'04A_국토부원자료'!$A$4:$T$4,0)),""))</f>
        <v/>
      </c>
      <c r="D2856" s="48">
        <f>IF(B2856="","",IF(Q2856=1,'02_대상물건입력'!$B$8,IFERROR(INDEX('04A_국토부원자료'!$A:$T,ROW()+1,MATCH("단지명",'04A_국토부원자료'!$A$4:$T$4,0)),"")))</f>
        <v/>
      </c>
      <c r="E2856" s="172">
        <f>IFERROR(VALUE(SUBSTITUTE(INDEX('04A_국토부원자료'!$A:$T,ROW()+1,MATCH("전용면적(㎡)",'04A_국토부원자료'!$A$4:$T$4,0)),",","")),"")</f>
        <v/>
      </c>
      <c r="F28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56" s="51">
        <f>IFERROR(VALUE(SUBSTITUTE(INDEX('04A_국토부원자료'!$A:$T,ROW()+1,MATCH("거래금액(만원)",'04A_국토부원자료'!$A$4:$T$4,0)),",","")),"")</f>
        <v/>
      </c>
      <c r="H2856" s="174">
        <f>IF(G2856="","",G2856*10000)</f>
        <v/>
      </c>
      <c r="I2856" s="174">
        <f>IFERROR(IF(AND(H2856&gt;0,E2856&gt;0),H2856/E2856,""),"")</f>
        <v/>
      </c>
      <c r="J2856" s="152">
        <f>IFERROR(VALUE(SUBSTITUTE(INDEX('04A_국토부원자료'!$A:$T,ROW()+1,MATCH("층",'04A_국토부원자료'!$A$4:$T$4,0)),",","")),"")</f>
        <v/>
      </c>
      <c r="K2856" s="152">
        <f>IFERROR(VALUE(SUBSTITUTE(INDEX('04A_국토부원자료'!$A:$T,ROW()+1,MATCH("건축년도",'04A_국토부원자료'!$A$4:$T$4,0)),",","")),"")</f>
        <v/>
      </c>
      <c r="L2856" s="48">
        <f>IFERROR(INDEX('04A_국토부원자료'!$A:$T,ROW()+1,MATCH("도로명",'04A_국토부원자료'!$A$4:$T$4,0)),"")</f>
        <v/>
      </c>
      <c r="M2856" s="48">
        <f>IFERROR(INDEX('04A_국토부원자료'!$A:$T,ROW()+1,MATCH("거래유형",'04A_국토부원자료'!$A$4:$T$4,0)),"")</f>
        <v/>
      </c>
      <c r="N2856" s="152">
        <f>IF(B2856="","",IF('02_대상물건입력'!B5="",1,IF(ISNUMBER(SEARCH('02_대상물건입력'!B5,B2856)),1,0)))</f>
        <v/>
      </c>
      <c r="O2856" s="152">
        <f>IF(B2856="","",IF('02_대상물건입력'!B6="",1,IF(ISNUMBER(SEARCH('02_대상물건입력'!B6,B2856)),1,0)))</f>
        <v/>
      </c>
      <c r="P2856" s="152">
        <f>IF(L2856="","",IF('02_대상물건입력'!B15="",0,IF(ISNUMBER(SEARCH('02_대상물건입력'!B15,L2856)),1,0)))</f>
        <v/>
      </c>
      <c r="Q2856" s="152">
        <f>IF(OR(C2856="",L2856=""),0,IF(AND(TRIM(C2856)=TRIM(RIGHT(SUBSTITUTE(TRIM('02_대상물건입력'!$B$7)," ",REPT(" ",99)),99)),IF('02_대상물건입력'!B15="",TRUE(),ISNUMBER(SEARCH('02_대상물건입력'!B15,L2856)))),1,0))</f>
        <v/>
      </c>
      <c r="R2856" s="175">
        <f>IFERROR(ABS(E2856-'02_대상물건입력'!B11)/'02_대상물건입력'!B11,"")</f>
        <v/>
      </c>
      <c r="S2856" s="152">
        <f>IFERROR(ABS(J2856-'02_대상물건입력'!B10),"")</f>
        <v/>
      </c>
      <c r="T2856" s="152">
        <f>IFERROR(ABS('01_설정'!B4-F2856),"")</f>
        <v/>
      </c>
      <c r="U2856" s="152">
        <f>IFERROR(ABS(K2856-YEAR('02_대상물건입력'!B14)),"")</f>
        <v/>
      </c>
      <c r="V2856" s="152">
        <f>IF(B2856="","",IF(AND(E2856&gt;0,F2856&gt;0,H2856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2856=1,TRUE()),R2856&lt;='01_설정'!B5,S2856&lt;='01_설정'!B6,T2856&lt;='01_설정'!B7,U2856&lt;='01_설정'!B8),"Y",""))</f>
        <v/>
      </c>
      <c r="W2856" s="172">
        <f>IF(V2856&lt;&gt;"Y","",MAX(0,(1-R2856/'01_설정'!B5))*'01_설정'!B14+MAX(0,(1-S2856/'01_설정'!B6))*'01_설정'!B15+MAX(0,(1-T2856/'01_설정'!B7))*'01_설정'!B16+MAX(0,(1-U2856/'01_설정'!B8))*'01_설정'!B17+O2856*'01_설정'!B11+Q2856*'01_설정'!B12+P2856*'01_설정'!B13+IF(Z2856="",0,Z2856))</f>
        <v/>
      </c>
      <c r="X2856" s="152">
        <f>IF(W2856="","",1+COUNTIFS($W$4:$W$3003,"&gt;"&amp;W2856)+COUNTIFS($W$4:W2856,W2856)-1)</f>
        <v/>
      </c>
      <c r="Y2856" s="175">
        <f>IF(OR(I2856="",'02_대상물건입력'!B19="",'02_대상물건입력'!B19&lt;=0),"",ABS(I2856-'02_대상물건입력'!B19)/'02_대상물건입력'!B19)</f>
        <v/>
      </c>
      <c r="Z2856" s="172">
        <f>IF(OR(Y2856="",'01_설정'!B31="",'01_설정'!B31&lt;=0,'01_설정'!B32="",'01_설정'!B32&lt;=0),"",MAX(0,(1-Y2856/'01_설정'!B32))*'01_설정'!B31)</f>
        <v/>
      </c>
    </row>
    <row r="2857" ht="17.25" customHeight="1">
      <c r="A2857" s="152">
        <f>IF(INDEX('04A_국토부원자료'!$A:$A,ROW()+1)="","",ROW()-3)</f>
        <v/>
      </c>
      <c r="B2857" s="48">
        <f>IFERROR(INDEX('04A_국토부원자료'!$A:$T,ROW()+1,MATCH("시군구",'04A_국토부원자료'!$A$4:$T$4,0)),"")</f>
        <v/>
      </c>
      <c r="C2857" s="48">
        <f>IF(B2857="","",IFERROR(INDEX('04A_국토부원자료'!$A:$T,ROW()+1,MATCH("번지",'04A_국토부원자료'!$A$4:$T$4,0)),""))</f>
        <v/>
      </c>
      <c r="D2857" s="48">
        <f>IF(B2857="","",IF(Q2857=1,'02_대상물건입력'!$B$8,IFERROR(INDEX('04A_국토부원자료'!$A:$T,ROW()+1,MATCH("단지명",'04A_국토부원자료'!$A$4:$T$4,0)),"")))</f>
        <v/>
      </c>
      <c r="E2857" s="172">
        <f>IFERROR(VALUE(SUBSTITUTE(INDEX('04A_국토부원자료'!$A:$T,ROW()+1,MATCH("전용면적(㎡)",'04A_국토부원자료'!$A$4:$T$4,0)),",","")),"")</f>
        <v/>
      </c>
      <c r="F28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57" s="51">
        <f>IFERROR(VALUE(SUBSTITUTE(INDEX('04A_국토부원자료'!$A:$T,ROW()+1,MATCH("거래금액(만원)",'04A_국토부원자료'!$A$4:$T$4,0)),",","")),"")</f>
        <v/>
      </c>
      <c r="H2857" s="174">
        <f>IF(G2857="","",G2857*10000)</f>
        <v/>
      </c>
      <c r="I2857" s="174">
        <f>IFERROR(IF(AND(H2857&gt;0,E2857&gt;0),H2857/E2857,""),"")</f>
        <v/>
      </c>
      <c r="J2857" s="152">
        <f>IFERROR(VALUE(SUBSTITUTE(INDEX('04A_국토부원자료'!$A:$T,ROW()+1,MATCH("층",'04A_국토부원자료'!$A$4:$T$4,0)),",","")),"")</f>
        <v/>
      </c>
      <c r="K2857" s="152">
        <f>IFERROR(VALUE(SUBSTITUTE(INDEX('04A_국토부원자료'!$A:$T,ROW()+1,MATCH("건축년도",'04A_국토부원자료'!$A$4:$T$4,0)),",","")),"")</f>
        <v/>
      </c>
      <c r="L2857" s="48">
        <f>IFERROR(INDEX('04A_국토부원자료'!$A:$T,ROW()+1,MATCH("도로명",'04A_국토부원자료'!$A$4:$T$4,0)),"")</f>
        <v/>
      </c>
      <c r="M2857" s="48">
        <f>IFERROR(INDEX('04A_국토부원자료'!$A:$T,ROW()+1,MATCH("거래유형",'04A_국토부원자료'!$A$4:$T$4,0)),"")</f>
        <v/>
      </c>
      <c r="N2857" s="152">
        <f>IF(B2857="","",IF('02_대상물건입력'!B5="",1,IF(ISNUMBER(SEARCH('02_대상물건입력'!B5,B2857)),1,0)))</f>
        <v/>
      </c>
      <c r="O2857" s="152">
        <f>IF(B2857="","",IF('02_대상물건입력'!B6="",1,IF(ISNUMBER(SEARCH('02_대상물건입력'!B6,B2857)),1,0)))</f>
        <v/>
      </c>
      <c r="P2857" s="152">
        <f>IF(L2857="","",IF('02_대상물건입력'!B15="",0,IF(ISNUMBER(SEARCH('02_대상물건입력'!B15,L2857)),1,0)))</f>
        <v/>
      </c>
      <c r="Q2857" s="152">
        <f>IF(OR(C2857="",L2857=""),0,IF(AND(TRIM(C2857)=TRIM(RIGHT(SUBSTITUTE(TRIM('02_대상물건입력'!$B$7)," ",REPT(" ",99)),99)),IF('02_대상물건입력'!B15="",TRUE(),ISNUMBER(SEARCH('02_대상물건입력'!B15,L2857)))),1,0))</f>
        <v/>
      </c>
      <c r="R2857" s="175">
        <f>IFERROR(ABS(E2857-'02_대상물건입력'!B11)/'02_대상물건입력'!B11,"")</f>
        <v/>
      </c>
      <c r="S2857" s="152">
        <f>IFERROR(ABS(J2857-'02_대상물건입력'!B10),"")</f>
        <v/>
      </c>
      <c r="T2857" s="152">
        <f>IFERROR(ABS('01_설정'!B4-F2857),"")</f>
        <v/>
      </c>
      <c r="U2857" s="152">
        <f>IFERROR(ABS(K2857-YEAR('02_대상물건입력'!B14)),"")</f>
        <v/>
      </c>
      <c r="V2857" s="152">
        <f>IF(B2857="","",IF(AND(E2857&gt;0,F2857&gt;0,H2857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2857=1,TRUE()),R2857&lt;='01_설정'!B5,S2857&lt;='01_설정'!B6,T2857&lt;='01_설정'!B7,U2857&lt;='01_설정'!B8),"Y",""))</f>
        <v/>
      </c>
      <c r="W2857" s="172">
        <f>IF(V2857&lt;&gt;"Y","",MAX(0,(1-R2857/'01_설정'!B5))*'01_설정'!B14+MAX(0,(1-S2857/'01_설정'!B6))*'01_설정'!B15+MAX(0,(1-T2857/'01_설정'!B7))*'01_설정'!B16+MAX(0,(1-U2857/'01_설정'!B8))*'01_설정'!B17+O2857*'01_설정'!B11+Q2857*'01_설정'!B12+P2857*'01_설정'!B13+IF(Z2857="",0,Z2857))</f>
        <v/>
      </c>
      <c r="X2857" s="152">
        <f>IF(W2857="","",1+COUNTIFS($W$4:$W$3003,"&gt;"&amp;W2857)+COUNTIFS($W$4:W2857,W2857)-1)</f>
        <v/>
      </c>
      <c r="Y2857" s="175">
        <f>IF(OR(I2857="",'02_대상물건입력'!B19="",'02_대상물건입력'!B19&lt;=0),"",ABS(I2857-'02_대상물건입력'!B19)/'02_대상물건입력'!B19)</f>
        <v/>
      </c>
      <c r="Z2857" s="172">
        <f>IF(OR(Y2857="",'01_설정'!B31="",'01_설정'!B31&lt;=0,'01_설정'!B32="",'01_설정'!B32&lt;=0),"",MAX(0,(1-Y2857/'01_설정'!B32))*'01_설정'!B31)</f>
        <v/>
      </c>
    </row>
    <row r="2858" ht="17.25" customHeight="1">
      <c r="A2858" s="152">
        <f>IF(INDEX('04A_국토부원자료'!$A:$A,ROW()+1)="","",ROW()-3)</f>
        <v/>
      </c>
      <c r="B2858" s="48">
        <f>IFERROR(INDEX('04A_국토부원자료'!$A:$T,ROW()+1,MATCH("시군구",'04A_국토부원자료'!$A$4:$T$4,0)),"")</f>
        <v/>
      </c>
      <c r="C2858" s="48">
        <f>IF(B2858="","",IFERROR(INDEX('04A_국토부원자료'!$A:$T,ROW()+1,MATCH("번지",'04A_국토부원자료'!$A$4:$T$4,0)),""))</f>
        <v/>
      </c>
      <c r="D2858" s="48">
        <f>IF(B2858="","",IF(Q2858=1,'02_대상물건입력'!$B$8,IFERROR(INDEX('04A_국토부원자료'!$A:$T,ROW()+1,MATCH("단지명",'04A_국토부원자료'!$A$4:$T$4,0)),"")))</f>
        <v/>
      </c>
      <c r="E2858" s="172">
        <f>IFERROR(VALUE(SUBSTITUTE(INDEX('04A_국토부원자료'!$A:$T,ROW()+1,MATCH("전용면적(㎡)",'04A_국토부원자료'!$A$4:$T$4,0)),",","")),"")</f>
        <v/>
      </c>
      <c r="F28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58" s="51">
        <f>IFERROR(VALUE(SUBSTITUTE(INDEX('04A_국토부원자료'!$A:$T,ROW()+1,MATCH("거래금액(만원)",'04A_국토부원자료'!$A$4:$T$4,0)),",","")),"")</f>
        <v/>
      </c>
      <c r="H2858" s="174">
        <f>IF(G2858="","",G2858*10000)</f>
        <v/>
      </c>
      <c r="I2858" s="174">
        <f>IFERROR(IF(AND(H2858&gt;0,E2858&gt;0),H2858/E2858,""),"")</f>
        <v/>
      </c>
      <c r="J2858" s="152">
        <f>IFERROR(VALUE(SUBSTITUTE(INDEX('04A_국토부원자료'!$A:$T,ROW()+1,MATCH("층",'04A_국토부원자료'!$A$4:$T$4,0)),",","")),"")</f>
        <v/>
      </c>
      <c r="K2858" s="152">
        <f>IFERROR(VALUE(SUBSTITUTE(INDEX('04A_국토부원자료'!$A:$T,ROW()+1,MATCH("건축년도",'04A_국토부원자료'!$A$4:$T$4,0)),",","")),"")</f>
        <v/>
      </c>
      <c r="L2858" s="48">
        <f>IFERROR(INDEX('04A_국토부원자료'!$A:$T,ROW()+1,MATCH("도로명",'04A_국토부원자료'!$A$4:$T$4,0)),"")</f>
        <v/>
      </c>
      <c r="M2858" s="48">
        <f>IFERROR(INDEX('04A_국토부원자료'!$A:$T,ROW()+1,MATCH("거래유형",'04A_국토부원자료'!$A$4:$T$4,0)),"")</f>
        <v/>
      </c>
      <c r="N2858" s="152">
        <f>IF(B2858="","",IF('02_대상물건입력'!B5="",1,IF(ISNUMBER(SEARCH('02_대상물건입력'!B5,B2858)),1,0)))</f>
        <v/>
      </c>
      <c r="O2858" s="152">
        <f>IF(B2858="","",IF('02_대상물건입력'!B6="",1,IF(ISNUMBER(SEARCH('02_대상물건입력'!B6,B2858)),1,0)))</f>
        <v/>
      </c>
      <c r="P2858" s="152">
        <f>IF(L2858="","",IF('02_대상물건입력'!B15="",0,IF(ISNUMBER(SEARCH('02_대상물건입력'!B15,L2858)),1,0)))</f>
        <v/>
      </c>
      <c r="Q2858" s="152">
        <f>IF(OR(C2858="",L2858=""),0,IF(AND(TRIM(C2858)=TRIM(RIGHT(SUBSTITUTE(TRIM('02_대상물건입력'!$B$7)," ",REPT(" ",99)),99)),IF('02_대상물건입력'!B15="",TRUE(),ISNUMBER(SEARCH('02_대상물건입력'!B15,L2858)))),1,0))</f>
        <v/>
      </c>
      <c r="R2858" s="175">
        <f>IFERROR(ABS(E2858-'02_대상물건입력'!B11)/'02_대상물건입력'!B11,"")</f>
        <v/>
      </c>
      <c r="S2858" s="152">
        <f>IFERROR(ABS(J2858-'02_대상물건입력'!B10),"")</f>
        <v/>
      </c>
      <c r="T2858" s="152">
        <f>IFERROR(ABS('01_설정'!B4-F2858),"")</f>
        <v/>
      </c>
      <c r="U2858" s="152">
        <f>IFERROR(ABS(K2858-YEAR('02_대상물건입력'!B14)),"")</f>
        <v/>
      </c>
      <c r="V2858" s="152">
        <f>IF(B2858="","",IF(AND(E2858&gt;0,F2858&gt;0,H2858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2858=1,TRUE()),R2858&lt;='01_설정'!B5,S2858&lt;='01_설정'!B6,T2858&lt;='01_설정'!B7,U2858&lt;='01_설정'!B8),"Y",""))</f>
        <v/>
      </c>
      <c r="W2858" s="172">
        <f>IF(V2858&lt;&gt;"Y","",MAX(0,(1-R2858/'01_설정'!B5))*'01_설정'!B14+MAX(0,(1-S2858/'01_설정'!B6))*'01_설정'!B15+MAX(0,(1-T2858/'01_설정'!B7))*'01_설정'!B16+MAX(0,(1-U2858/'01_설정'!B8))*'01_설정'!B17+O2858*'01_설정'!B11+Q2858*'01_설정'!B12+P2858*'01_설정'!B13+IF(Z2858="",0,Z2858))</f>
        <v/>
      </c>
      <c r="X2858" s="152">
        <f>IF(W2858="","",1+COUNTIFS($W$4:$W$3003,"&gt;"&amp;W2858)+COUNTIFS($W$4:W2858,W2858)-1)</f>
        <v/>
      </c>
      <c r="Y2858" s="175">
        <f>IF(OR(I2858="",'02_대상물건입력'!B19="",'02_대상물건입력'!B19&lt;=0),"",ABS(I2858-'02_대상물건입력'!B19)/'02_대상물건입력'!B19)</f>
        <v/>
      </c>
      <c r="Z2858" s="172">
        <f>IF(OR(Y2858="",'01_설정'!B31="",'01_설정'!B31&lt;=0,'01_설정'!B32="",'01_설정'!B32&lt;=0),"",MAX(0,(1-Y2858/'01_설정'!B32))*'01_설정'!B31)</f>
        <v/>
      </c>
    </row>
    <row r="2859" ht="17.25" customHeight="1">
      <c r="A2859" s="152">
        <f>IF(INDEX('04A_국토부원자료'!$A:$A,ROW()+1)="","",ROW()-3)</f>
        <v/>
      </c>
      <c r="B2859" s="48">
        <f>IFERROR(INDEX('04A_국토부원자료'!$A:$T,ROW()+1,MATCH("시군구",'04A_국토부원자료'!$A$4:$T$4,0)),"")</f>
        <v/>
      </c>
      <c r="C2859" s="48">
        <f>IF(B2859="","",IFERROR(INDEX('04A_국토부원자료'!$A:$T,ROW()+1,MATCH("번지",'04A_국토부원자료'!$A$4:$T$4,0)),""))</f>
        <v/>
      </c>
      <c r="D2859" s="48">
        <f>IF(B2859="","",IF(Q2859=1,'02_대상물건입력'!$B$8,IFERROR(INDEX('04A_국토부원자료'!$A:$T,ROW()+1,MATCH("단지명",'04A_국토부원자료'!$A$4:$T$4,0)),"")))</f>
        <v/>
      </c>
      <c r="E2859" s="172">
        <f>IFERROR(VALUE(SUBSTITUTE(INDEX('04A_국토부원자료'!$A:$T,ROW()+1,MATCH("전용면적(㎡)",'04A_국토부원자료'!$A$4:$T$4,0)),",","")),"")</f>
        <v/>
      </c>
      <c r="F28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59" s="51">
        <f>IFERROR(VALUE(SUBSTITUTE(INDEX('04A_국토부원자료'!$A:$T,ROW()+1,MATCH("거래금액(만원)",'04A_국토부원자료'!$A$4:$T$4,0)),",","")),"")</f>
        <v/>
      </c>
      <c r="H2859" s="174">
        <f>IF(G2859="","",G2859*10000)</f>
        <v/>
      </c>
      <c r="I2859" s="174">
        <f>IFERROR(IF(AND(H2859&gt;0,E2859&gt;0),H2859/E2859,""),"")</f>
        <v/>
      </c>
      <c r="J2859" s="152">
        <f>IFERROR(VALUE(SUBSTITUTE(INDEX('04A_국토부원자료'!$A:$T,ROW()+1,MATCH("층",'04A_국토부원자료'!$A$4:$T$4,0)),",","")),"")</f>
        <v/>
      </c>
      <c r="K2859" s="152">
        <f>IFERROR(VALUE(SUBSTITUTE(INDEX('04A_국토부원자료'!$A:$T,ROW()+1,MATCH("건축년도",'04A_국토부원자료'!$A$4:$T$4,0)),",","")),"")</f>
        <v/>
      </c>
      <c r="L2859" s="48">
        <f>IFERROR(INDEX('04A_국토부원자료'!$A:$T,ROW()+1,MATCH("도로명",'04A_국토부원자료'!$A$4:$T$4,0)),"")</f>
        <v/>
      </c>
      <c r="M2859" s="48">
        <f>IFERROR(INDEX('04A_국토부원자료'!$A:$T,ROW()+1,MATCH("거래유형",'04A_국토부원자료'!$A$4:$T$4,0)),"")</f>
        <v/>
      </c>
      <c r="N2859" s="152">
        <f>IF(B2859="","",IF('02_대상물건입력'!B5="",1,IF(ISNUMBER(SEARCH('02_대상물건입력'!B5,B2859)),1,0)))</f>
        <v/>
      </c>
      <c r="O2859" s="152">
        <f>IF(B2859="","",IF('02_대상물건입력'!B6="",1,IF(ISNUMBER(SEARCH('02_대상물건입력'!B6,B2859)),1,0)))</f>
        <v/>
      </c>
      <c r="P2859" s="152">
        <f>IF(L2859="","",IF('02_대상물건입력'!B15="",0,IF(ISNUMBER(SEARCH('02_대상물건입력'!B15,L2859)),1,0)))</f>
        <v/>
      </c>
      <c r="Q2859" s="152">
        <f>IF(OR(C2859="",L2859=""),0,IF(AND(TRIM(C2859)=TRIM(RIGHT(SUBSTITUTE(TRIM('02_대상물건입력'!$B$7)," ",REPT(" ",99)),99)),IF('02_대상물건입력'!B15="",TRUE(),ISNUMBER(SEARCH('02_대상물건입력'!B15,L2859)))),1,0))</f>
        <v/>
      </c>
      <c r="R2859" s="175">
        <f>IFERROR(ABS(E2859-'02_대상물건입력'!B11)/'02_대상물건입력'!B11,"")</f>
        <v/>
      </c>
      <c r="S2859" s="152">
        <f>IFERROR(ABS(J2859-'02_대상물건입력'!B10),"")</f>
        <v/>
      </c>
      <c r="T2859" s="152">
        <f>IFERROR(ABS('01_설정'!B4-F2859),"")</f>
        <v/>
      </c>
      <c r="U2859" s="152">
        <f>IFERROR(ABS(K2859-YEAR('02_대상물건입력'!B14)),"")</f>
        <v/>
      </c>
      <c r="V2859" s="152">
        <f>IF(B2859="","",IF(AND(E2859&gt;0,F2859&gt;0,H2859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2859=1,TRUE()),R2859&lt;='01_설정'!B5,S2859&lt;='01_설정'!B6,T2859&lt;='01_설정'!B7,U2859&lt;='01_설정'!B8),"Y",""))</f>
        <v/>
      </c>
      <c r="W2859" s="172">
        <f>IF(V2859&lt;&gt;"Y","",MAX(0,(1-R2859/'01_설정'!B5))*'01_설정'!B14+MAX(0,(1-S2859/'01_설정'!B6))*'01_설정'!B15+MAX(0,(1-T2859/'01_설정'!B7))*'01_설정'!B16+MAX(0,(1-U2859/'01_설정'!B8))*'01_설정'!B17+O2859*'01_설정'!B11+Q2859*'01_설정'!B12+P2859*'01_설정'!B13+IF(Z2859="",0,Z2859))</f>
        <v/>
      </c>
      <c r="X2859" s="152">
        <f>IF(W2859="","",1+COUNTIFS($W$4:$W$3003,"&gt;"&amp;W2859)+COUNTIFS($W$4:W2859,W2859)-1)</f>
        <v/>
      </c>
      <c r="Y2859" s="175">
        <f>IF(OR(I2859="",'02_대상물건입력'!B19="",'02_대상물건입력'!B19&lt;=0),"",ABS(I2859-'02_대상물건입력'!B19)/'02_대상물건입력'!B19)</f>
        <v/>
      </c>
      <c r="Z2859" s="172">
        <f>IF(OR(Y2859="",'01_설정'!B31="",'01_설정'!B31&lt;=0,'01_설정'!B32="",'01_설정'!B32&lt;=0),"",MAX(0,(1-Y2859/'01_설정'!B32))*'01_설정'!B31)</f>
        <v/>
      </c>
    </row>
    <row r="2860" ht="17.25" customHeight="1">
      <c r="A2860" s="152">
        <f>IF(INDEX('04A_국토부원자료'!$A:$A,ROW()+1)="","",ROW()-3)</f>
        <v/>
      </c>
      <c r="B2860" s="48">
        <f>IFERROR(INDEX('04A_국토부원자료'!$A:$T,ROW()+1,MATCH("시군구",'04A_국토부원자료'!$A$4:$T$4,0)),"")</f>
        <v/>
      </c>
      <c r="C2860" s="48">
        <f>IF(B2860="","",IFERROR(INDEX('04A_국토부원자료'!$A:$T,ROW()+1,MATCH("번지",'04A_국토부원자료'!$A$4:$T$4,0)),""))</f>
        <v/>
      </c>
      <c r="D2860" s="48">
        <f>IF(B2860="","",IF(Q2860=1,'02_대상물건입력'!$B$8,IFERROR(INDEX('04A_국토부원자료'!$A:$T,ROW()+1,MATCH("단지명",'04A_국토부원자료'!$A$4:$T$4,0)),"")))</f>
        <v/>
      </c>
      <c r="E2860" s="172">
        <f>IFERROR(VALUE(SUBSTITUTE(INDEX('04A_국토부원자료'!$A:$T,ROW()+1,MATCH("전용면적(㎡)",'04A_국토부원자료'!$A$4:$T$4,0)),",","")),"")</f>
        <v/>
      </c>
      <c r="F28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60" s="51">
        <f>IFERROR(VALUE(SUBSTITUTE(INDEX('04A_국토부원자료'!$A:$T,ROW()+1,MATCH("거래금액(만원)",'04A_국토부원자료'!$A$4:$T$4,0)),",","")),"")</f>
        <v/>
      </c>
      <c r="H2860" s="174">
        <f>IF(G2860="","",G2860*10000)</f>
        <v/>
      </c>
      <c r="I2860" s="174">
        <f>IFERROR(IF(AND(H2860&gt;0,E2860&gt;0),H2860/E2860,""),"")</f>
        <v/>
      </c>
      <c r="J2860" s="152">
        <f>IFERROR(VALUE(SUBSTITUTE(INDEX('04A_국토부원자료'!$A:$T,ROW()+1,MATCH("층",'04A_국토부원자료'!$A$4:$T$4,0)),",","")),"")</f>
        <v/>
      </c>
      <c r="K2860" s="152">
        <f>IFERROR(VALUE(SUBSTITUTE(INDEX('04A_국토부원자료'!$A:$T,ROW()+1,MATCH("건축년도",'04A_국토부원자료'!$A$4:$T$4,0)),",","")),"")</f>
        <v/>
      </c>
      <c r="L2860" s="48">
        <f>IFERROR(INDEX('04A_국토부원자료'!$A:$T,ROW()+1,MATCH("도로명",'04A_국토부원자료'!$A$4:$T$4,0)),"")</f>
        <v/>
      </c>
      <c r="M2860" s="48">
        <f>IFERROR(INDEX('04A_국토부원자료'!$A:$T,ROW()+1,MATCH("거래유형",'04A_국토부원자료'!$A$4:$T$4,0)),"")</f>
        <v/>
      </c>
      <c r="N2860" s="152">
        <f>IF(B2860="","",IF('02_대상물건입력'!B5="",1,IF(ISNUMBER(SEARCH('02_대상물건입력'!B5,B2860)),1,0)))</f>
        <v/>
      </c>
      <c r="O2860" s="152">
        <f>IF(B2860="","",IF('02_대상물건입력'!B6="",1,IF(ISNUMBER(SEARCH('02_대상물건입력'!B6,B2860)),1,0)))</f>
        <v/>
      </c>
      <c r="P2860" s="152">
        <f>IF(L2860="","",IF('02_대상물건입력'!B15="",0,IF(ISNUMBER(SEARCH('02_대상물건입력'!B15,L2860)),1,0)))</f>
        <v/>
      </c>
      <c r="Q2860" s="152">
        <f>IF(OR(C2860="",L2860=""),0,IF(AND(TRIM(C2860)=TRIM(RIGHT(SUBSTITUTE(TRIM('02_대상물건입력'!$B$7)," ",REPT(" ",99)),99)),IF('02_대상물건입력'!B15="",TRUE(),ISNUMBER(SEARCH('02_대상물건입력'!B15,L2860)))),1,0))</f>
        <v/>
      </c>
      <c r="R2860" s="175">
        <f>IFERROR(ABS(E2860-'02_대상물건입력'!B11)/'02_대상물건입력'!B11,"")</f>
        <v/>
      </c>
      <c r="S2860" s="152">
        <f>IFERROR(ABS(J2860-'02_대상물건입력'!B10),"")</f>
        <v/>
      </c>
      <c r="T2860" s="152">
        <f>IFERROR(ABS('01_설정'!B4-F2860),"")</f>
        <v/>
      </c>
      <c r="U2860" s="152">
        <f>IFERROR(ABS(K2860-YEAR('02_대상물건입력'!B14)),"")</f>
        <v/>
      </c>
      <c r="V2860" s="152">
        <f>IF(B2860="","",IF(AND(E2860&gt;0,F2860&gt;0,H2860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2860=1,TRUE()),R2860&lt;='01_설정'!B5,S2860&lt;='01_설정'!B6,T2860&lt;='01_설정'!B7,U2860&lt;='01_설정'!B8),"Y",""))</f>
        <v/>
      </c>
      <c r="W2860" s="172">
        <f>IF(V2860&lt;&gt;"Y","",MAX(0,(1-R2860/'01_설정'!B5))*'01_설정'!B14+MAX(0,(1-S2860/'01_설정'!B6))*'01_설정'!B15+MAX(0,(1-T2860/'01_설정'!B7))*'01_설정'!B16+MAX(0,(1-U2860/'01_설정'!B8))*'01_설정'!B17+O2860*'01_설정'!B11+Q2860*'01_설정'!B12+P2860*'01_설정'!B13+IF(Z2860="",0,Z2860))</f>
        <v/>
      </c>
      <c r="X2860" s="152">
        <f>IF(W2860="","",1+COUNTIFS($W$4:$W$3003,"&gt;"&amp;W2860)+COUNTIFS($W$4:W2860,W2860)-1)</f>
        <v/>
      </c>
      <c r="Y2860" s="175">
        <f>IF(OR(I2860="",'02_대상물건입력'!B19="",'02_대상물건입력'!B19&lt;=0),"",ABS(I2860-'02_대상물건입력'!B19)/'02_대상물건입력'!B19)</f>
        <v/>
      </c>
      <c r="Z2860" s="172">
        <f>IF(OR(Y2860="",'01_설정'!B31="",'01_설정'!B31&lt;=0,'01_설정'!B32="",'01_설정'!B32&lt;=0),"",MAX(0,(1-Y2860/'01_설정'!B32))*'01_설정'!B31)</f>
        <v/>
      </c>
    </row>
    <row r="2861" ht="17.25" customHeight="1">
      <c r="A2861" s="152">
        <f>IF(INDEX('04A_국토부원자료'!$A:$A,ROW()+1)="","",ROW()-3)</f>
        <v/>
      </c>
      <c r="B2861" s="48">
        <f>IFERROR(INDEX('04A_국토부원자료'!$A:$T,ROW()+1,MATCH("시군구",'04A_국토부원자료'!$A$4:$T$4,0)),"")</f>
        <v/>
      </c>
      <c r="C2861" s="48">
        <f>IF(B2861="","",IFERROR(INDEX('04A_국토부원자료'!$A:$T,ROW()+1,MATCH("번지",'04A_국토부원자료'!$A$4:$T$4,0)),""))</f>
        <v/>
      </c>
      <c r="D2861" s="48">
        <f>IF(B2861="","",IF(Q2861=1,'02_대상물건입력'!$B$8,IFERROR(INDEX('04A_국토부원자료'!$A:$T,ROW()+1,MATCH("단지명",'04A_국토부원자료'!$A$4:$T$4,0)),"")))</f>
        <v/>
      </c>
      <c r="E2861" s="172">
        <f>IFERROR(VALUE(SUBSTITUTE(INDEX('04A_국토부원자료'!$A:$T,ROW()+1,MATCH("전용면적(㎡)",'04A_국토부원자료'!$A$4:$T$4,0)),",","")),"")</f>
        <v/>
      </c>
      <c r="F28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61" s="51">
        <f>IFERROR(VALUE(SUBSTITUTE(INDEX('04A_국토부원자료'!$A:$T,ROW()+1,MATCH("거래금액(만원)",'04A_국토부원자료'!$A$4:$T$4,0)),",","")),"")</f>
        <v/>
      </c>
      <c r="H2861" s="174">
        <f>IF(G2861="","",G2861*10000)</f>
        <v/>
      </c>
      <c r="I2861" s="174">
        <f>IFERROR(IF(AND(H2861&gt;0,E2861&gt;0),H2861/E2861,""),"")</f>
        <v/>
      </c>
      <c r="J2861" s="152">
        <f>IFERROR(VALUE(SUBSTITUTE(INDEX('04A_국토부원자료'!$A:$T,ROW()+1,MATCH("층",'04A_국토부원자료'!$A$4:$T$4,0)),",","")),"")</f>
        <v/>
      </c>
      <c r="K2861" s="152">
        <f>IFERROR(VALUE(SUBSTITUTE(INDEX('04A_국토부원자료'!$A:$T,ROW()+1,MATCH("건축년도",'04A_국토부원자료'!$A$4:$T$4,0)),",","")),"")</f>
        <v/>
      </c>
      <c r="L2861" s="48">
        <f>IFERROR(INDEX('04A_국토부원자료'!$A:$T,ROW()+1,MATCH("도로명",'04A_국토부원자료'!$A$4:$T$4,0)),"")</f>
        <v/>
      </c>
      <c r="M2861" s="48">
        <f>IFERROR(INDEX('04A_국토부원자료'!$A:$T,ROW()+1,MATCH("거래유형",'04A_국토부원자료'!$A$4:$T$4,0)),"")</f>
        <v/>
      </c>
      <c r="N2861" s="152">
        <f>IF(B2861="","",IF('02_대상물건입력'!B5="",1,IF(ISNUMBER(SEARCH('02_대상물건입력'!B5,B2861)),1,0)))</f>
        <v/>
      </c>
      <c r="O2861" s="152">
        <f>IF(B2861="","",IF('02_대상물건입력'!B6="",1,IF(ISNUMBER(SEARCH('02_대상물건입력'!B6,B2861)),1,0)))</f>
        <v/>
      </c>
      <c r="P2861" s="152">
        <f>IF(L2861="","",IF('02_대상물건입력'!B15="",0,IF(ISNUMBER(SEARCH('02_대상물건입력'!B15,L2861)),1,0)))</f>
        <v/>
      </c>
      <c r="Q2861" s="152">
        <f>IF(OR(C2861="",L2861=""),0,IF(AND(TRIM(C2861)=TRIM(RIGHT(SUBSTITUTE(TRIM('02_대상물건입력'!$B$7)," ",REPT(" ",99)),99)),IF('02_대상물건입력'!B15="",TRUE(),ISNUMBER(SEARCH('02_대상물건입력'!B15,L2861)))),1,0))</f>
        <v/>
      </c>
      <c r="R2861" s="175">
        <f>IFERROR(ABS(E2861-'02_대상물건입력'!B11)/'02_대상물건입력'!B11,"")</f>
        <v/>
      </c>
      <c r="S2861" s="152">
        <f>IFERROR(ABS(J2861-'02_대상물건입력'!B10),"")</f>
        <v/>
      </c>
      <c r="T2861" s="152">
        <f>IFERROR(ABS('01_설정'!B4-F2861),"")</f>
        <v/>
      </c>
      <c r="U2861" s="152">
        <f>IFERROR(ABS(K2861-YEAR('02_대상물건입력'!B14)),"")</f>
        <v/>
      </c>
      <c r="V2861" s="152">
        <f>IF(B2861="","",IF(AND(E2861&gt;0,F2861&gt;0,H2861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2861=1,TRUE()),R2861&lt;='01_설정'!B5,S2861&lt;='01_설정'!B6,T2861&lt;='01_설정'!B7,U2861&lt;='01_설정'!B8),"Y",""))</f>
        <v/>
      </c>
      <c r="W2861" s="172">
        <f>IF(V2861&lt;&gt;"Y","",MAX(0,(1-R2861/'01_설정'!B5))*'01_설정'!B14+MAX(0,(1-S2861/'01_설정'!B6))*'01_설정'!B15+MAX(0,(1-T2861/'01_설정'!B7))*'01_설정'!B16+MAX(0,(1-U2861/'01_설정'!B8))*'01_설정'!B17+O2861*'01_설정'!B11+Q2861*'01_설정'!B12+P2861*'01_설정'!B13+IF(Z2861="",0,Z2861))</f>
        <v/>
      </c>
      <c r="X2861" s="152">
        <f>IF(W2861="","",1+COUNTIFS($W$4:$W$3003,"&gt;"&amp;W2861)+COUNTIFS($W$4:W2861,W2861)-1)</f>
        <v/>
      </c>
      <c r="Y2861" s="175">
        <f>IF(OR(I2861="",'02_대상물건입력'!B19="",'02_대상물건입력'!B19&lt;=0),"",ABS(I2861-'02_대상물건입력'!B19)/'02_대상물건입력'!B19)</f>
        <v/>
      </c>
      <c r="Z2861" s="172">
        <f>IF(OR(Y2861="",'01_설정'!B31="",'01_설정'!B31&lt;=0,'01_설정'!B32="",'01_설정'!B32&lt;=0),"",MAX(0,(1-Y2861/'01_설정'!B32))*'01_설정'!B31)</f>
        <v/>
      </c>
    </row>
    <row r="2862" ht="17.25" customHeight="1">
      <c r="A2862" s="152">
        <f>IF(INDEX('04A_국토부원자료'!$A:$A,ROW()+1)="","",ROW()-3)</f>
        <v/>
      </c>
      <c r="B2862" s="48">
        <f>IFERROR(INDEX('04A_국토부원자료'!$A:$T,ROW()+1,MATCH("시군구",'04A_국토부원자료'!$A$4:$T$4,0)),"")</f>
        <v/>
      </c>
      <c r="C2862" s="48">
        <f>IF(B2862="","",IFERROR(INDEX('04A_국토부원자료'!$A:$T,ROW()+1,MATCH("번지",'04A_국토부원자료'!$A$4:$T$4,0)),""))</f>
        <v/>
      </c>
      <c r="D2862" s="48">
        <f>IF(B2862="","",IF(Q2862=1,'02_대상물건입력'!$B$8,IFERROR(INDEX('04A_국토부원자료'!$A:$T,ROW()+1,MATCH("단지명",'04A_국토부원자료'!$A$4:$T$4,0)),"")))</f>
        <v/>
      </c>
      <c r="E2862" s="172">
        <f>IFERROR(VALUE(SUBSTITUTE(INDEX('04A_국토부원자료'!$A:$T,ROW()+1,MATCH("전용면적(㎡)",'04A_국토부원자료'!$A$4:$T$4,0)),",","")),"")</f>
        <v/>
      </c>
      <c r="F28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62" s="51">
        <f>IFERROR(VALUE(SUBSTITUTE(INDEX('04A_국토부원자료'!$A:$T,ROW()+1,MATCH("거래금액(만원)",'04A_국토부원자료'!$A$4:$T$4,0)),",","")),"")</f>
        <v/>
      </c>
      <c r="H2862" s="174">
        <f>IF(G2862="","",G2862*10000)</f>
        <v/>
      </c>
      <c r="I2862" s="174">
        <f>IFERROR(IF(AND(H2862&gt;0,E2862&gt;0),H2862/E2862,""),"")</f>
        <v/>
      </c>
      <c r="J2862" s="152">
        <f>IFERROR(VALUE(SUBSTITUTE(INDEX('04A_국토부원자료'!$A:$T,ROW()+1,MATCH("층",'04A_국토부원자료'!$A$4:$T$4,0)),",","")),"")</f>
        <v/>
      </c>
      <c r="K2862" s="152">
        <f>IFERROR(VALUE(SUBSTITUTE(INDEX('04A_국토부원자료'!$A:$T,ROW()+1,MATCH("건축년도",'04A_국토부원자료'!$A$4:$T$4,0)),",","")),"")</f>
        <v/>
      </c>
      <c r="L2862" s="48">
        <f>IFERROR(INDEX('04A_국토부원자료'!$A:$T,ROW()+1,MATCH("도로명",'04A_국토부원자료'!$A$4:$T$4,0)),"")</f>
        <v/>
      </c>
      <c r="M2862" s="48">
        <f>IFERROR(INDEX('04A_국토부원자료'!$A:$T,ROW()+1,MATCH("거래유형",'04A_국토부원자료'!$A$4:$T$4,0)),"")</f>
        <v/>
      </c>
      <c r="N2862" s="152">
        <f>IF(B2862="","",IF('02_대상물건입력'!B5="",1,IF(ISNUMBER(SEARCH('02_대상물건입력'!B5,B2862)),1,0)))</f>
        <v/>
      </c>
      <c r="O2862" s="152">
        <f>IF(B2862="","",IF('02_대상물건입력'!B6="",1,IF(ISNUMBER(SEARCH('02_대상물건입력'!B6,B2862)),1,0)))</f>
        <v/>
      </c>
      <c r="P2862" s="152">
        <f>IF(L2862="","",IF('02_대상물건입력'!B15="",0,IF(ISNUMBER(SEARCH('02_대상물건입력'!B15,L2862)),1,0)))</f>
        <v/>
      </c>
      <c r="Q2862" s="152">
        <f>IF(OR(C2862="",L2862=""),0,IF(AND(TRIM(C2862)=TRIM(RIGHT(SUBSTITUTE(TRIM('02_대상물건입력'!$B$7)," ",REPT(" ",99)),99)),IF('02_대상물건입력'!B15="",TRUE(),ISNUMBER(SEARCH('02_대상물건입력'!B15,L2862)))),1,0))</f>
        <v/>
      </c>
      <c r="R2862" s="175">
        <f>IFERROR(ABS(E2862-'02_대상물건입력'!B11)/'02_대상물건입력'!B11,"")</f>
        <v/>
      </c>
      <c r="S2862" s="152">
        <f>IFERROR(ABS(J2862-'02_대상물건입력'!B10),"")</f>
        <v/>
      </c>
      <c r="T2862" s="152">
        <f>IFERROR(ABS('01_설정'!B4-F2862),"")</f>
        <v/>
      </c>
      <c r="U2862" s="152">
        <f>IFERROR(ABS(K2862-YEAR('02_대상물건입력'!B14)),"")</f>
        <v/>
      </c>
      <c r="V2862" s="152">
        <f>IF(B2862="","",IF(AND(E2862&gt;0,F2862&gt;0,H2862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2862=1,TRUE()),R2862&lt;='01_설정'!B5,S2862&lt;='01_설정'!B6,T2862&lt;='01_설정'!B7,U2862&lt;='01_설정'!B8),"Y",""))</f>
        <v/>
      </c>
      <c r="W2862" s="172">
        <f>IF(V2862&lt;&gt;"Y","",MAX(0,(1-R2862/'01_설정'!B5))*'01_설정'!B14+MAX(0,(1-S2862/'01_설정'!B6))*'01_설정'!B15+MAX(0,(1-T2862/'01_설정'!B7))*'01_설정'!B16+MAX(0,(1-U2862/'01_설정'!B8))*'01_설정'!B17+O2862*'01_설정'!B11+Q2862*'01_설정'!B12+P2862*'01_설정'!B13+IF(Z2862="",0,Z2862))</f>
        <v/>
      </c>
      <c r="X2862" s="152">
        <f>IF(W2862="","",1+COUNTIFS($W$4:$W$3003,"&gt;"&amp;W2862)+COUNTIFS($W$4:W2862,W2862)-1)</f>
        <v/>
      </c>
      <c r="Y2862" s="175">
        <f>IF(OR(I2862="",'02_대상물건입력'!B19="",'02_대상물건입력'!B19&lt;=0),"",ABS(I2862-'02_대상물건입력'!B19)/'02_대상물건입력'!B19)</f>
        <v/>
      </c>
      <c r="Z2862" s="172">
        <f>IF(OR(Y2862="",'01_설정'!B31="",'01_설정'!B31&lt;=0,'01_설정'!B32="",'01_설정'!B32&lt;=0),"",MAX(0,(1-Y2862/'01_설정'!B32))*'01_설정'!B31)</f>
        <v/>
      </c>
    </row>
    <row r="2863" ht="17.25" customHeight="1">
      <c r="A2863" s="152">
        <f>IF(INDEX('04A_국토부원자료'!$A:$A,ROW()+1)="","",ROW()-3)</f>
        <v/>
      </c>
      <c r="B2863" s="48">
        <f>IFERROR(INDEX('04A_국토부원자료'!$A:$T,ROW()+1,MATCH("시군구",'04A_국토부원자료'!$A$4:$T$4,0)),"")</f>
        <v/>
      </c>
      <c r="C2863" s="48">
        <f>IF(B2863="","",IFERROR(INDEX('04A_국토부원자료'!$A:$T,ROW()+1,MATCH("번지",'04A_국토부원자료'!$A$4:$T$4,0)),""))</f>
        <v/>
      </c>
      <c r="D2863" s="48">
        <f>IF(B2863="","",IF(Q2863=1,'02_대상물건입력'!$B$8,IFERROR(INDEX('04A_국토부원자료'!$A:$T,ROW()+1,MATCH("단지명",'04A_국토부원자료'!$A$4:$T$4,0)),"")))</f>
        <v/>
      </c>
      <c r="E2863" s="172">
        <f>IFERROR(VALUE(SUBSTITUTE(INDEX('04A_국토부원자료'!$A:$T,ROW()+1,MATCH("전용면적(㎡)",'04A_국토부원자료'!$A$4:$T$4,0)),",","")),"")</f>
        <v/>
      </c>
      <c r="F28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63" s="51">
        <f>IFERROR(VALUE(SUBSTITUTE(INDEX('04A_국토부원자료'!$A:$T,ROW()+1,MATCH("거래금액(만원)",'04A_국토부원자료'!$A$4:$T$4,0)),",","")),"")</f>
        <v/>
      </c>
      <c r="H2863" s="174">
        <f>IF(G2863="","",G2863*10000)</f>
        <v/>
      </c>
      <c r="I2863" s="174">
        <f>IFERROR(IF(AND(H2863&gt;0,E2863&gt;0),H2863/E2863,""),"")</f>
        <v/>
      </c>
      <c r="J2863" s="152">
        <f>IFERROR(VALUE(SUBSTITUTE(INDEX('04A_국토부원자료'!$A:$T,ROW()+1,MATCH("층",'04A_국토부원자료'!$A$4:$T$4,0)),",","")),"")</f>
        <v/>
      </c>
      <c r="K2863" s="152">
        <f>IFERROR(VALUE(SUBSTITUTE(INDEX('04A_국토부원자료'!$A:$T,ROW()+1,MATCH("건축년도",'04A_국토부원자료'!$A$4:$T$4,0)),",","")),"")</f>
        <v/>
      </c>
      <c r="L2863" s="48">
        <f>IFERROR(INDEX('04A_국토부원자료'!$A:$T,ROW()+1,MATCH("도로명",'04A_국토부원자료'!$A$4:$T$4,0)),"")</f>
        <v/>
      </c>
      <c r="M2863" s="48">
        <f>IFERROR(INDEX('04A_국토부원자료'!$A:$T,ROW()+1,MATCH("거래유형",'04A_국토부원자료'!$A$4:$T$4,0)),"")</f>
        <v/>
      </c>
      <c r="N2863" s="152">
        <f>IF(B2863="","",IF('02_대상물건입력'!B5="",1,IF(ISNUMBER(SEARCH('02_대상물건입력'!B5,B2863)),1,0)))</f>
        <v/>
      </c>
      <c r="O2863" s="152">
        <f>IF(B2863="","",IF('02_대상물건입력'!B6="",1,IF(ISNUMBER(SEARCH('02_대상물건입력'!B6,B2863)),1,0)))</f>
        <v/>
      </c>
      <c r="P2863" s="152">
        <f>IF(L2863="","",IF('02_대상물건입력'!B15="",0,IF(ISNUMBER(SEARCH('02_대상물건입력'!B15,L2863)),1,0)))</f>
        <v/>
      </c>
      <c r="Q2863" s="152">
        <f>IF(OR(C2863="",L2863=""),0,IF(AND(TRIM(C2863)=TRIM(RIGHT(SUBSTITUTE(TRIM('02_대상물건입력'!$B$7)," ",REPT(" ",99)),99)),IF('02_대상물건입력'!B15="",TRUE(),ISNUMBER(SEARCH('02_대상물건입력'!B15,L2863)))),1,0))</f>
        <v/>
      </c>
      <c r="R2863" s="175">
        <f>IFERROR(ABS(E2863-'02_대상물건입력'!B11)/'02_대상물건입력'!B11,"")</f>
        <v/>
      </c>
      <c r="S2863" s="152">
        <f>IFERROR(ABS(J2863-'02_대상물건입력'!B10),"")</f>
        <v/>
      </c>
      <c r="T2863" s="152">
        <f>IFERROR(ABS('01_설정'!B4-F2863),"")</f>
        <v/>
      </c>
      <c r="U2863" s="152">
        <f>IFERROR(ABS(K2863-YEAR('02_대상물건입력'!B14)),"")</f>
        <v/>
      </c>
      <c r="V2863" s="152">
        <f>IF(B2863="","",IF(AND(E2863&gt;0,F2863&gt;0,H2863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2863=1,TRUE()),R2863&lt;='01_설정'!B5,S2863&lt;='01_설정'!B6,T2863&lt;='01_설정'!B7,U2863&lt;='01_설정'!B8),"Y",""))</f>
        <v/>
      </c>
      <c r="W2863" s="172">
        <f>IF(V2863&lt;&gt;"Y","",MAX(0,(1-R2863/'01_설정'!B5))*'01_설정'!B14+MAX(0,(1-S2863/'01_설정'!B6))*'01_설정'!B15+MAX(0,(1-T2863/'01_설정'!B7))*'01_설정'!B16+MAX(0,(1-U2863/'01_설정'!B8))*'01_설정'!B17+O2863*'01_설정'!B11+Q2863*'01_설정'!B12+P2863*'01_설정'!B13+IF(Z2863="",0,Z2863))</f>
        <v/>
      </c>
      <c r="X2863" s="152">
        <f>IF(W2863="","",1+COUNTIFS($W$4:$W$3003,"&gt;"&amp;W2863)+COUNTIFS($W$4:W2863,W2863)-1)</f>
        <v/>
      </c>
      <c r="Y2863" s="175">
        <f>IF(OR(I2863="",'02_대상물건입력'!B19="",'02_대상물건입력'!B19&lt;=0),"",ABS(I2863-'02_대상물건입력'!B19)/'02_대상물건입력'!B19)</f>
        <v/>
      </c>
      <c r="Z2863" s="172">
        <f>IF(OR(Y2863="",'01_설정'!B31="",'01_설정'!B31&lt;=0,'01_설정'!B32="",'01_설정'!B32&lt;=0),"",MAX(0,(1-Y2863/'01_설정'!B32))*'01_설정'!B31)</f>
        <v/>
      </c>
    </row>
    <row r="2864" ht="17.25" customHeight="1">
      <c r="A2864" s="152">
        <f>IF(INDEX('04A_국토부원자료'!$A:$A,ROW()+1)="","",ROW()-3)</f>
        <v/>
      </c>
      <c r="B2864" s="48">
        <f>IFERROR(INDEX('04A_국토부원자료'!$A:$T,ROW()+1,MATCH("시군구",'04A_국토부원자료'!$A$4:$T$4,0)),"")</f>
        <v/>
      </c>
      <c r="C2864" s="48">
        <f>IF(B2864="","",IFERROR(INDEX('04A_국토부원자료'!$A:$T,ROW()+1,MATCH("번지",'04A_국토부원자료'!$A$4:$T$4,0)),""))</f>
        <v/>
      </c>
      <c r="D2864" s="48">
        <f>IF(B2864="","",IF(Q2864=1,'02_대상물건입력'!$B$8,IFERROR(INDEX('04A_국토부원자료'!$A:$T,ROW()+1,MATCH("단지명",'04A_국토부원자료'!$A$4:$T$4,0)),"")))</f>
        <v/>
      </c>
      <c r="E2864" s="172">
        <f>IFERROR(VALUE(SUBSTITUTE(INDEX('04A_국토부원자료'!$A:$T,ROW()+1,MATCH("전용면적(㎡)",'04A_국토부원자료'!$A$4:$T$4,0)),",","")),"")</f>
        <v/>
      </c>
      <c r="F28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64" s="51">
        <f>IFERROR(VALUE(SUBSTITUTE(INDEX('04A_국토부원자료'!$A:$T,ROW()+1,MATCH("거래금액(만원)",'04A_국토부원자료'!$A$4:$T$4,0)),",","")),"")</f>
        <v/>
      </c>
      <c r="H2864" s="174">
        <f>IF(G2864="","",G2864*10000)</f>
        <v/>
      </c>
      <c r="I2864" s="174">
        <f>IFERROR(IF(AND(H2864&gt;0,E2864&gt;0),H2864/E2864,""),"")</f>
        <v/>
      </c>
      <c r="J2864" s="152">
        <f>IFERROR(VALUE(SUBSTITUTE(INDEX('04A_국토부원자료'!$A:$T,ROW()+1,MATCH("층",'04A_국토부원자료'!$A$4:$T$4,0)),",","")),"")</f>
        <v/>
      </c>
      <c r="K2864" s="152">
        <f>IFERROR(VALUE(SUBSTITUTE(INDEX('04A_국토부원자료'!$A:$T,ROW()+1,MATCH("건축년도",'04A_국토부원자료'!$A$4:$T$4,0)),",","")),"")</f>
        <v/>
      </c>
      <c r="L2864" s="48">
        <f>IFERROR(INDEX('04A_국토부원자료'!$A:$T,ROW()+1,MATCH("도로명",'04A_국토부원자료'!$A$4:$T$4,0)),"")</f>
        <v/>
      </c>
      <c r="M2864" s="48">
        <f>IFERROR(INDEX('04A_국토부원자료'!$A:$T,ROW()+1,MATCH("거래유형",'04A_국토부원자료'!$A$4:$T$4,0)),"")</f>
        <v/>
      </c>
      <c r="N2864" s="152">
        <f>IF(B2864="","",IF('02_대상물건입력'!B5="",1,IF(ISNUMBER(SEARCH('02_대상물건입력'!B5,B2864)),1,0)))</f>
        <v/>
      </c>
      <c r="O2864" s="152">
        <f>IF(B2864="","",IF('02_대상물건입력'!B6="",1,IF(ISNUMBER(SEARCH('02_대상물건입력'!B6,B2864)),1,0)))</f>
        <v/>
      </c>
      <c r="P2864" s="152">
        <f>IF(L2864="","",IF('02_대상물건입력'!B15="",0,IF(ISNUMBER(SEARCH('02_대상물건입력'!B15,L2864)),1,0)))</f>
        <v/>
      </c>
      <c r="Q2864" s="152">
        <f>IF(OR(C2864="",L2864=""),0,IF(AND(TRIM(C2864)=TRIM(RIGHT(SUBSTITUTE(TRIM('02_대상물건입력'!$B$7)," ",REPT(" ",99)),99)),IF('02_대상물건입력'!B15="",TRUE(),ISNUMBER(SEARCH('02_대상물건입력'!B15,L2864)))),1,0))</f>
        <v/>
      </c>
      <c r="R2864" s="175">
        <f>IFERROR(ABS(E2864-'02_대상물건입력'!B11)/'02_대상물건입력'!B11,"")</f>
        <v/>
      </c>
      <c r="S2864" s="152">
        <f>IFERROR(ABS(J2864-'02_대상물건입력'!B10),"")</f>
        <v/>
      </c>
      <c r="T2864" s="152">
        <f>IFERROR(ABS('01_설정'!B4-F2864),"")</f>
        <v/>
      </c>
      <c r="U2864" s="152">
        <f>IFERROR(ABS(K2864-YEAR('02_대상물건입력'!B14)),"")</f>
        <v/>
      </c>
      <c r="V2864" s="152">
        <f>IF(B2864="","",IF(AND(E2864&gt;0,F2864&gt;0,H2864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2864=1,TRUE()),R2864&lt;='01_설정'!B5,S2864&lt;='01_설정'!B6,T2864&lt;='01_설정'!B7,U2864&lt;='01_설정'!B8),"Y",""))</f>
        <v/>
      </c>
      <c r="W2864" s="172">
        <f>IF(V2864&lt;&gt;"Y","",MAX(0,(1-R2864/'01_설정'!B5))*'01_설정'!B14+MAX(0,(1-S2864/'01_설정'!B6))*'01_설정'!B15+MAX(0,(1-T2864/'01_설정'!B7))*'01_설정'!B16+MAX(0,(1-U2864/'01_설정'!B8))*'01_설정'!B17+O2864*'01_설정'!B11+Q2864*'01_설정'!B12+P2864*'01_설정'!B13+IF(Z2864="",0,Z2864))</f>
        <v/>
      </c>
      <c r="X2864" s="152">
        <f>IF(W2864="","",1+COUNTIFS($W$4:$W$3003,"&gt;"&amp;W2864)+COUNTIFS($W$4:W2864,W2864)-1)</f>
        <v/>
      </c>
      <c r="Y2864" s="175">
        <f>IF(OR(I2864="",'02_대상물건입력'!B19="",'02_대상물건입력'!B19&lt;=0),"",ABS(I2864-'02_대상물건입력'!B19)/'02_대상물건입력'!B19)</f>
        <v/>
      </c>
      <c r="Z2864" s="172">
        <f>IF(OR(Y2864="",'01_설정'!B31="",'01_설정'!B31&lt;=0,'01_설정'!B32="",'01_설정'!B32&lt;=0),"",MAX(0,(1-Y2864/'01_설정'!B32))*'01_설정'!B31)</f>
        <v/>
      </c>
    </row>
    <row r="2865" ht="17.25" customHeight="1">
      <c r="A2865" s="152">
        <f>IF(INDEX('04A_국토부원자료'!$A:$A,ROW()+1)="","",ROW()-3)</f>
        <v/>
      </c>
      <c r="B2865" s="48">
        <f>IFERROR(INDEX('04A_국토부원자료'!$A:$T,ROW()+1,MATCH("시군구",'04A_국토부원자료'!$A$4:$T$4,0)),"")</f>
        <v/>
      </c>
      <c r="C2865" s="48">
        <f>IF(B2865="","",IFERROR(INDEX('04A_국토부원자료'!$A:$T,ROW()+1,MATCH("번지",'04A_국토부원자료'!$A$4:$T$4,0)),""))</f>
        <v/>
      </c>
      <c r="D2865" s="48">
        <f>IF(B2865="","",IF(Q2865=1,'02_대상물건입력'!$B$8,IFERROR(INDEX('04A_국토부원자료'!$A:$T,ROW()+1,MATCH("단지명",'04A_국토부원자료'!$A$4:$T$4,0)),"")))</f>
        <v/>
      </c>
      <c r="E2865" s="172">
        <f>IFERROR(VALUE(SUBSTITUTE(INDEX('04A_국토부원자료'!$A:$T,ROW()+1,MATCH("전용면적(㎡)",'04A_국토부원자료'!$A$4:$T$4,0)),",","")),"")</f>
        <v/>
      </c>
      <c r="F28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65" s="51">
        <f>IFERROR(VALUE(SUBSTITUTE(INDEX('04A_국토부원자료'!$A:$T,ROW()+1,MATCH("거래금액(만원)",'04A_국토부원자료'!$A$4:$T$4,0)),",","")),"")</f>
        <v/>
      </c>
      <c r="H2865" s="174">
        <f>IF(G2865="","",G2865*10000)</f>
        <v/>
      </c>
      <c r="I2865" s="174">
        <f>IFERROR(IF(AND(H2865&gt;0,E2865&gt;0),H2865/E2865,""),"")</f>
        <v/>
      </c>
      <c r="J2865" s="152">
        <f>IFERROR(VALUE(SUBSTITUTE(INDEX('04A_국토부원자료'!$A:$T,ROW()+1,MATCH("층",'04A_국토부원자료'!$A$4:$T$4,0)),",","")),"")</f>
        <v/>
      </c>
      <c r="K2865" s="152">
        <f>IFERROR(VALUE(SUBSTITUTE(INDEX('04A_국토부원자료'!$A:$T,ROW()+1,MATCH("건축년도",'04A_국토부원자료'!$A$4:$T$4,0)),",","")),"")</f>
        <v/>
      </c>
      <c r="L2865" s="48">
        <f>IFERROR(INDEX('04A_국토부원자료'!$A:$T,ROW()+1,MATCH("도로명",'04A_국토부원자료'!$A$4:$T$4,0)),"")</f>
        <v/>
      </c>
      <c r="M2865" s="48">
        <f>IFERROR(INDEX('04A_국토부원자료'!$A:$T,ROW()+1,MATCH("거래유형",'04A_국토부원자료'!$A$4:$T$4,0)),"")</f>
        <v/>
      </c>
      <c r="N2865" s="152">
        <f>IF(B2865="","",IF('02_대상물건입력'!B5="",1,IF(ISNUMBER(SEARCH('02_대상물건입력'!B5,B2865)),1,0)))</f>
        <v/>
      </c>
      <c r="O2865" s="152">
        <f>IF(B2865="","",IF('02_대상물건입력'!B6="",1,IF(ISNUMBER(SEARCH('02_대상물건입력'!B6,B2865)),1,0)))</f>
        <v/>
      </c>
      <c r="P2865" s="152">
        <f>IF(L2865="","",IF('02_대상물건입력'!B15="",0,IF(ISNUMBER(SEARCH('02_대상물건입력'!B15,L2865)),1,0)))</f>
        <v/>
      </c>
      <c r="Q2865" s="152">
        <f>IF(OR(C2865="",L2865=""),0,IF(AND(TRIM(C2865)=TRIM(RIGHT(SUBSTITUTE(TRIM('02_대상물건입력'!$B$7)," ",REPT(" ",99)),99)),IF('02_대상물건입력'!B15="",TRUE(),ISNUMBER(SEARCH('02_대상물건입력'!B15,L2865)))),1,0))</f>
        <v/>
      </c>
      <c r="R2865" s="175">
        <f>IFERROR(ABS(E2865-'02_대상물건입력'!B11)/'02_대상물건입력'!B11,"")</f>
        <v/>
      </c>
      <c r="S2865" s="152">
        <f>IFERROR(ABS(J2865-'02_대상물건입력'!B10),"")</f>
        <v/>
      </c>
      <c r="T2865" s="152">
        <f>IFERROR(ABS('01_설정'!B4-F2865),"")</f>
        <v/>
      </c>
      <c r="U2865" s="152">
        <f>IFERROR(ABS(K2865-YEAR('02_대상물건입력'!B14)),"")</f>
        <v/>
      </c>
      <c r="V2865" s="152">
        <f>IF(B2865="","",IF(AND(E2865&gt;0,F2865&gt;0,H2865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2865=1,TRUE()),R2865&lt;='01_설정'!B5,S2865&lt;='01_설정'!B6,T2865&lt;='01_설정'!B7,U2865&lt;='01_설정'!B8),"Y",""))</f>
        <v/>
      </c>
      <c r="W2865" s="172">
        <f>IF(V2865&lt;&gt;"Y","",MAX(0,(1-R2865/'01_설정'!B5))*'01_설정'!B14+MAX(0,(1-S2865/'01_설정'!B6))*'01_설정'!B15+MAX(0,(1-T2865/'01_설정'!B7))*'01_설정'!B16+MAX(0,(1-U2865/'01_설정'!B8))*'01_설정'!B17+O2865*'01_설정'!B11+Q2865*'01_설정'!B12+P2865*'01_설정'!B13+IF(Z2865="",0,Z2865))</f>
        <v/>
      </c>
      <c r="X2865" s="152">
        <f>IF(W2865="","",1+COUNTIFS($W$4:$W$3003,"&gt;"&amp;W2865)+COUNTIFS($W$4:W2865,W2865)-1)</f>
        <v/>
      </c>
      <c r="Y2865" s="175">
        <f>IF(OR(I2865="",'02_대상물건입력'!B19="",'02_대상물건입력'!B19&lt;=0),"",ABS(I2865-'02_대상물건입력'!B19)/'02_대상물건입력'!B19)</f>
        <v/>
      </c>
      <c r="Z2865" s="172">
        <f>IF(OR(Y2865="",'01_설정'!B31="",'01_설정'!B31&lt;=0,'01_설정'!B32="",'01_설정'!B32&lt;=0),"",MAX(0,(1-Y2865/'01_설정'!B32))*'01_설정'!B31)</f>
        <v/>
      </c>
    </row>
    <row r="2866" ht="17.25" customHeight="1">
      <c r="A2866" s="152">
        <f>IF(INDEX('04A_국토부원자료'!$A:$A,ROW()+1)="","",ROW()-3)</f>
        <v/>
      </c>
      <c r="B2866" s="48">
        <f>IFERROR(INDEX('04A_국토부원자료'!$A:$T,ROW()+1,MATCH("시군구",'04A_국토부원자료'!$A$4:$T$4,0)),"")</f>
        <v/>
      </c>
      <c r="C2866" s="48">
        <f>IF(B2866="","",IFERROR(INDEX('04A_국토부원자료'!$A:$T,ROW()+1,MATCH("번지",'04A_국토부원자료'!$A$4:$T$4,0)),""))</f>
        <v/>
      </c>
      <c r="D2866" s="48">
        <f>IF(B2866="","",IF(Q2866=1,'02_대상물건입력'!$B$8,IFERROR(INDEX('04A_국토부원자료'!$A:$T,ROW()+1,MATCH("단지명",'04A_국토부원자료'!$A$4:$T$4,0)),"")))</f>
        <v/>
      </c>
      <c r="E2866" s="172">
        <f>IFERROR(VALUE(SUBSTITUTE(INDEX('04A_국토부원자료'!$A:$T,ROW()+1,MATCH("전용면적(㎡)",'04A_국토부원자료'!$A$4:$T$4,0)),",","")),"")</f>
        <v/>
      </c>
      <c r="F28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66" s="51">
        <f>IFERROR(VALUE(SUBSTITUTE(INDEX('04A_국토부원자료'!$A:$T,ROW()+1,MATCH("거래금액(만원)",'04A_국토부원자료'!$A$4:$T$4,0)),",","")),"")</f>
        <v/>
      </c>
      <c r="H2866" s="174">
        <f>IF(G2866="","",G2866*10000)</f>
        <v/>
      </c>
      <c r="I2866" s="174">
        <f>IFERROR(IF(AND(H2866&gt;0,E2866&gt;0),H2866/E2866,""),"")</f>
        <v/>
      </c>
      <c r="J2866" s="152">
        <f>IFERROR(VALUE(SUBSTITUTE(INDEX('04A_국토부원자료'!$A:$T,ROW()+1,MATCH("층",'04A_국토부원자료'!$A$4:$T$4,0)),",","")),"")</f>
        <v/>
      </c>
      <c r="K2866" s="152">
        <f>IFERROR(VALUE(SUBSTITUTE(INDEX('04A_국토부원자료'!$A:$T,ROW()+1,MATCH("건축년도",'04A_국토부원자료'!$A$4:$T$4,0)),",","")),"")</f>
        <v/>
      </c>
      <c r="L2866" s="48">
        <f>IFERROR(INDEX('04A_국토부원자료'!$A:$T,ROW()+1,MATCH("도로명",'04A_국토부원자료'!$A$4:$T$4,0)),"")</f>
        <v/>
      </c>
      <c r="M2866" s="48">
        <f>IFERROR(INDEX('04A_국토부원자료'!$A:$T,ROW()+1,MATCH("거래유형",'04A_국토부원자료'!$A$4:$T$4,0)),"")</f>
        <v/>
      </c>
      <c r="N2866" s="152">
        <f>IF(B2866="","",IF('02_대상물건입력'!B5="",1,IF(ISNUMBER(SEARCH('02_대상물건입력'!B5,B2866)),1,0)))</f>
        <v/>
      </c>
      <c r="O2866" s="152">
        <f>IF(B2866="","",IF('02_대상물건입력'!B6="",1,IF(ISNUMBER(SEARCH('02_대상물건입력'!B6,B2866)),1,0)))</f>
        <v/>
      </c>
      <c r="P2866" s="152">
        <f>IF(L2866="","",IF('02_대상물건입력'!B15="",0,IF(ISNUMBER(SEARCH('02_대상물건입력'!B15,L2866)),1,0)))</f>
        <v/>
      </c>
      <c r="Q2866" s="152">
        <f>IF(OR(C2866="",L2866=""),0,IF(AND(TRIM(C2866)=TRIM(RIGHT(SUBSTITUTE(TRIM('02_대상물건입력'!$B$7)," ",REPT(" ",99)),99)),IF('02_대상물건입력'!B15="",TRUE(),ISNUMBER(SEARCH('02_대상물건입력'!B15,L2866)))),1,0))</f>
        <v/>
      </c>
      <c r="R2866" s="175">
        <f>IFERROR(ABS(E2866-'02_대상물건입력'!B11)/'02_대상물건입력'!B11,"")</f>
        <v/>
      </c>
      <c r="S2866" s="152">
        <f>IFERROR(ABS(J2866-'02_대상물건입력'!B10),"")</f>
        <v/>
      </c>
      <c r="T2866" s="152">
        <f>IFERROR(ABS('01_설정'!B4-F2866),"")</f>
        <v/>
      </c>
      <c r="U2866" s="152">
        <f>IFERROR(ABS(K2866-YEAR('02_대상물건입력'!B14)),"")</f>
        <v/>
      </c>
      <c r="V2866" s="152">
        <f>IF(B2866="","",IF(AND(E2866&gt;0,F2866&gt;0,H2866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2866=1,TRUE()),R2866&lt;='01_설정'!B5,S2866&lt;='01_설정'!B6,T2866&lt;='01_설정'!B7,U2866&lt;='01_설정'!B8),"Y",""))</f>
        <v/>
      </c>
      <c r="W2866" s="172">
        <f>IF(V2866&lt;&gt;"Y","",MAX(0,(1-R2866/'01_설정'!B5))*'01_설정'!B14+MAX(0,(1-S2866/'01_설정'!B6))*'01_설정'!B15+MAX(0,(1-T2866/'01_설정'!B7))*'01_설정'!B16+MAX(0,(1-U2866/'01_설정'!B8))*'01_설정'!B17+O2866*'01_설정'!B11+Q2866*'01_설정'!B12+P2866*'01_설정'!B13+IF(Z2866="",0,Z2866))</f>
        <v/>
      </c>
      <c r="X2866" s="152">
        <f>IF(W2866="","",1+COUNTIFS($W$4:$W$3003,"&gt;"&amp;W2866)+COUNTIFS($W$4:W2866,W2866)-1)</f>
        <v/>
      </c>
      <c r="Y2866" s="175">
        <f>IF(OR(I2866="",'02_대상물건입력'!B19="",'02_대상물건입력'!B19&lt;=0),"",ABS(I2866-'02_대상물건입력'!B19)/'02_대상물건입력'!B19)</f>
        <v/>
      </c>
      <c r="Z2866" s="172">
        <f>IF(OR(Y2866="",'01_설정'!B31="",'01_설정'!B31&lt;=0,'01_설정'!B32="",'01_설정'!B32&lt;=0),"",MAX(0,(1-Y2866/'01_설정'!B32))*'01_설정'!B31)</f>
        <v/>
      </c>
    </row>
    <row r="2867" ht="17.25" customHeight="1">
      <c r="A2867" s="152">
        <f>IF(INDEX('04A_국토부원자료'!$A:$A,ROW()+1)="","",ROW()-3)</f>
        <v/>
      </c>
      <c r="B2867" s="48">
        <f>IFERROR(INDEX('04A_국토부원자료'!$A:$T,ROW()+1,MATCH("시군구",'04A_국토부원자료'!$A$4:$T$4,0)),"")</f>
        <v/>
      </c>
      <c r="C2867" s="48">
        <f>IF(B2867="","",IFERROR(INDEX('04A_국토부원자료'!$A:$T,ROW()+1,MATCH("번지",'04A_국토부원자료'!$A$4:$T$4,0)),""))</f>
        <v/>
      </c>
      <c r="D2867" s="48">
        <f>IF(B2867="","",IF(Q2867=1,'02_대상물건입력'!$B$8,IFERROR(INDEX('04A_국토부원자료'!$A:$T,ROW()+1,MATCH("단지명",'04A_국토부원자료'!$A$4:$T$4,0)),"")))</f>
        <v/>
      </c>
      <c r="E2867" s="172">
        <f>IFERROR(VALUE(SUBSTITUTE(INDEX('04A_국토부원자료'!$A:$T,ROW()+1,MATCH("전용면적(㎡)",'04A_국토부원자료'!$A$4:$T$4,0)),",","")),"")</f>
        <v/>
      </c>
      <c r="F28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67" s="51">
        <f>IFERROR(VALUE(SUBSTITUTE(INDEX('04A_국토부원자료'!$A:$T,ROW()+1,MATCH("거래금액(만원)",'04A_국토부원자료'!$A$4:$T$4,0)),",","")),"")</f>
        <v/>
      </c>
      <c r="H2867" s="174">
        <f>IF(G2867="","",G2867*10000)</f>
        <v/>
      </c>
      <c r="I2867" s="174">
        <f>IFERROR(IF(AND(H2867&gt;0,E2867&gt;0),H2867/E2867,""),"")</f>
        <v/>
      </c>
      <c r="J2867" s="152">
        <f>IFERROR(VALUE(SUBSTITUTE(INDEX('04A_국토부원자료'!$A:$T,ROW()+1,MATCH("층",'04A_국토부원자료'!$A$4:$T$4,0)),",","")),"")</f>
        <v/>
      </c>
      <c r="K2867" s="152">
        <f>IFERROR(VALUE(SUBSTITUTE(INDEX('04A_국토부원자료'!$A:$T,ROW()+1,MATCH("건축년도",'04A_국토부원자료'!$A$4:$T$4,0)),",","")),"")</f>
        <v/>
      </c>
      <c r="L2867" s="48">
        <f>IFERROR(INDEX('04A_국토부원자료'!$A:$T,ROW()+1,MATCH("도로명",'04A_국토부원자료'!$A$4:$T$4,0)),"")</f>
        <v/>
      </c>
      <c r="M2867" s="48">
        <f>IFERROR(INDEX('04A_국토부원자료'!$A:$T,ROW()+1,MATCH("거래유형",'04A_국토부원자료'!$A$4:$T$4,0)),"")</f>
        <v/>
      </c>
      <c r="N2867" s="152">
        <f>IF(B2867="","",IF('02_대상물건입력'!B5="",1,IF(ISNUMBER(SEARCH('02_대상물건입력'!B5,B2867)),1,0)))</f>
        <v/>
      </c>
      <c r="O2867" s="152">
        <f>IF(B2867="","",IF('02_대상물건입력'!B6="",1,IF(ISNUMBER(SEARCH('02_대상물건입력'!B6,B2867)),1,0)))</f>
        <v/>
      </c>
      <c r="P2867" s="152">
        <f>IF(L2867="","",IF('02_대상물건입력'!B15="",0,IF(ISNUMBER(SEARCH('02_대상물건입력'!B15,L2867)),1,0)))</f>
        <v/>
      </c>
      <c r="Q2867" s="152">
        <f>IF(OR(C2867="",L2867=""),0,IF(AND(TRIM(C2867)=TRIM(RIGHT(SUBSTITUTE(TRIM('02_대상물건입력'!$B$7)," ",REPT(" ",99)),99)),IF('02_대상물건입력'!B15="",TRUE(),ISNUMBER(SEARCH('02_대상물건입력'!B15,L2867)))),1,0))</f>
        <v/>
      </c>
      <c r="R2867" s="175">
        <f>IFERROR(ABS(E2867-'02_대상물건입력'!B11)/'02_대상물건입력'!B11,"")</f>
        <v/>
      </c>
      <c r="S2867" s="152">
        <f>IFERROR(ABS(J2867-'02_대상물건입력'!B10),"")</f>
        <v/>
      </c>
      <c r="T2867" s="152">
        <f>IFERROR(ABS('01_설정'!B4-F2867),"")</f>
        <v/>
      </c>
      <c r="U2867" s="152">
        <f>IFERROR(ABS(K2867-YEAR('02_대상물건입력'!B14)),"")</f>
        <v/>
      </c>
      <c r="V2867" s="152">
        <f>IF(B2867="","",IF(AND(E2867&gt;0,F2867&gt;0,H2867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2867=1,TRUE()),R2867&lt;='01_설정'!B5,S2867&lt;='01_설정'!B6,T2867&lt;='01_설정'!B7,U2867&lt;='01_설정'!B8),"Y",""))</f>
        <v/>
      </c>
      <c r="W2867" s="172">
        <f>IF(V2867&lt;&gt;"Y","",MAX(0,(1-R2867/'01_설정'!B5))*'01_설정'!B14+MAX(0,(1-S2867/'01_설정'!B6))*'01_설정'!B15+MAX(0,(1-T2867/'01_설정'!B7))*'01_설정'!B16+MAX(0,(1-U2867/'01_설정'!B8))*'01_설정'!B17+O2867*'01_설정'!B11+Q2867*'01_설정'!B12+P2867*'01_설정'!B13+IF(Z2867="",0,Z2867))</f>
        <v/>
      </c>
      <c r="X2867" s="152">
        <f>IF(W2867="","",1+COUNTIFS($W$4:$W$3003,"&gt;"&amp;W2867)+COUNTIFS($W$4:W2867,W2867)-1)</f>
        <v/>
      </c>
      <c r="Y2867" s="175">
        <f>IF(OR(I2867="",'02_대상물건입력'!B19="",'02_대상물건입력'!B19&lt;=0),"",ABS(I2867-'02_대상물건입력'!B19)/'02_대상물건입력'!B19)</f>
        <v/>
      </c>
      <c r="Z2867" s="172">
        <f>IF(OR(Y2867="",'01_설정'!B31="",'01_설정'!B31&lt;=0,'01_설정'!B32="",'01_설정'!B32&lt;=0),"",MAX(0,(1-Y2867/'01_설정'!B32))*'01_설정'!B31)</f>
        <v/>
      </c>
    </row>
    <row r="2868" ht="17.25" customHeight="1">
      <c r="A2868" s="152">
        <f>IF(INDEX('04A_국토부원자료'!$A:$A,ROW()+1)="","",ROW()-3)</f>
        <v/>
      </c>
      <c r="B2868" s="48">
        <f>IFERROR(INDEX('04A_국토부원자료'!$A:$T,ROW()+1,MATCH("시군구",'04A_국토부원자료'!$A$4:$T$4,0)),"")</f>
        <v/>
      </c>
      <c r="C2868" s="48">
        <f>IF(B2868="","",IFERROR(INDEX('04A_국토부원자료'!$A:$T,ROW()+1,MATCH("번지",'04A_국토부원자료'!$A$4:$T$4,0)),""))</f>
        <v/>
      </c>
      <c r="D2868" s="48">
        <f>IF(B2868="","",IF(Q2868=1,'02_대상물건입력'!$B$8,IFERROR(INDEX('04A_국토부원자료'!$A:$T,ROW()+1,MATCH("단지명",'04A_국토부원자료'!$A$4:$T$4,0)),"")))</f>
        <v/>
      </c>
      <c r="E2868" s="172">
        <f>IFERROR(VALUE(SUBSTITUTE(INDEX('04A_국토부원자료'!$A:$T,ROW()+1,MATCH("전용면적(㎡)",'04A_국토부원자료'!$A$4:$T$4,0)),",","")),"")</f>
        <v/>
      </c>
      <c r="F28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68" s="51">
        <f>IFERROR(VALUE(SUBSTITUTE(INDEX('04A_국토부원자료'!$A:$T,ROW()+1,MATCH("거래금액(만원)",'04A_국토부원자료'!$A$4:$T$4,0)),",","")),"")</f>
        <v/>
      </c>
      <c r="H2868" s="174">
        <f>IF(G2868="","",G2868*10000)</f>
        <v/>
      </c>
      <c r="I2868" s="174">
        <f>IFERROR(IF(AND(H2868&gt;0,E2868&gt;0),H2868/E2868,""),"")</f>
        <v/>
      </c>
      <c r="J2868" s="152">
        <f>IFERROR(VALUE(SUBSTITUTE(INDEX('04A_국토부원자료'!$A:$T,ROW()+1,MATCH("층",'04A_국토부원자료'!$A$4:$T$4,0)),",","")),"")</f>
        <v/>
      </c>
      <c r="K2868" s="152">
        <f>IFERROR(VALUE(SUBSTITUTE(INDEX('04A_국토부원자료'!$A:$T,ROW()+1,MATCH("건축년도",'04A_국토부원자료'!$A$4:$T$4,0)),",","")),"")</f>
        <v/>
      </c>
      <c r="L2868" s="48">
        <f>IFERROR(INDEX('04A_국토부원자료'!$A:$T,ROW()+1,MATCH("도로명",'04A_국토부원자료'!$A$4:$T$4,0)),"")</f>
        <v/>
      </c>
      <c r="M2868" s="48">
        <f>IFERROR(INDEX('04A_국토부원자료'!$A:$T,ROW()+1,MATCH("거래유형",'04A_국토부원자료'!$A$4:$T$4,0)),"")</f>
        <v/>
      </c>
      <c r="N2868" s="152">
        <f>IF(B2868="","",IF('02_대상물건입력'!B5="",1,IF(ISNUMBER(SEARCH('02_대상물건입력'!B5,B2868)),1,0)))</f>
        <v/>
      </c>
      <c r="O2868" s="152">
        <f>IF(B2868="","",IF('02_대상물건입력'!B6="",1,IF(ISNUMBER(SEARCH('02_대상물건입력'!B6,B2868)),1,0)))</f>
        <v/>
      </c>
      <c r="P2868" s="152">
        <f>IF(L2868="","",IF('02_대상물건입력'!B15="",0,IF(ISNUMBER(SEARCH('02_대상물건입력'!B15,L2868)),1,0)))</f>
        <v/>
      </c>
      <c r="Q2868" s="152">
        <f>IF(OR(C2868="",L2868=""),0,IF(AND(TRIM(C2868)=TRIM(RIGHT(SUBSTITUTE(TRIM('02_대상물건입력'!$B$7)," ",REPT(" ",99)),99)),IF('02_대상물건입력'!B15="",TRUE(),ISNUMBER(SEARCH('02_대상물건입력'!B15,L2868)))),1,0))</f>
        <v/>
      </c>
      <c r="R2868" s="175">
        <f>IFERROR(ABS(E2868-'02_대상물건입력'!B11)/'02_대상물건입력'!B11,"")</f>
        <v/>
      </c>
      <c r="S2868" s="152">
        <f>IFERROR(ABS(J2868-'02_대상물건입력'!B10),"")</f>
        <v/>
      </c>
      <c r="T2868" s="152">
        <f>IFERROR(ABS('01_설정'!B4-F2868),"")</f>
        <v/>
      </c>
      <c r="U2868" s="152">
        <f>IFERROR(ABS(K2868-YEAR('02_대상물건입력'!B14)),"")</f>
        <v/>
      </c>
      <c r="V2868" s="152">
        <f>IF(B2868="","",IF(AND(E2868&gt;0,F2868&gt;0,H2868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2868=1,TRUE()),R2868&lt;='01_설정'!B5,S2868&lt;='01_설정'!B6,T2868&lt;='01_설정'!B7,U2868&lt;='01_설정'!B8),"Y",""))</f>
        <v/>
      </c>
      <c r="W2868" s="172">
        <f>IF(V2868&lt;&gt;"Y","",MAX(0,(1-R2868/'01_설정'!B5))*'01_설정'!B14+MAX(0,(1-S2868/'01_설정'!B6))*'01_설정'!B15+MAX(0,(1-T2868/'01_설정'!B7))*'01_설정'!B16+MAX(0,(1-U2868/'01_설정'!B8))*'01_설정'!B17+O2868*'01_설정'!B11+Q2868*'01_설정'!B12+P2868*'01_설정'!B13+IF(Z2868="",0,Z2868))</f>
        <v/>
      </c>
      <c r="X2868" s="152">
        <f>IF(W2868="","",1+COUNTIFS($W$4:$W$3003,"&gt;"&amp;W2868)+COUNTIFS($W$4:W2868,W2868)-1)</f>
        <v/>
      </c>
      <c r="Y2868" s="175">
        <f>IF(OR(I2868="",'02_대상물건입력'!B19="",'02_대상물건입력'!B19&lt;=0),"",ABS(I2868-'02_대상물건입력'!B19)/'02_대상물건입력'!B19)</f>
        <v/>
      </c>
      <c r="Z2868" s="172">
        <f>IF(OR(Y2868="",'01_설정'!B31="",'01_설정'!B31&lt;=0,'01_설정'!B32="",'01_설정'!B32&lt;=0),"",MAX(0,(1-Y2868/'01_설정'!B32))*'01_설정'!B31)</f>
        <v/>
      </c>
    </row>
    <row r="2869" ht="17.25" customHeight="1">
      <c r="A2869" s="152">
        <f>IF(INDEX('04A_국토부원자료'!$A:$A,ROW()+1)="","",ROW()-3)</f>
        <v/>
      </c>
      <c r="B2869" s="48">
        <f>IFERROR(INDEX('04A_국토부원자료'!$A:$T,ROW()+1,MATCH("시군구",'04A_국토부원자료'!$A$4:$T$4,0)),"")</f>
        <v/>
      </c>
      <c r="C2869" s="48">
        <f>IF(B2869="","",IFERROR(INDEX('04A_국토부원자료'!$A:$T,ROW()+1,MATCH("번지",'04A_국토부원자료'!$A$4:$T$4,0)),""))</f>
        <v/>
      </c>
      <c r="D2869" s="48">
        <f>IF(B2869="","",IF(Q2869=1,'02_대상물건입력'!$B$8,IFERROR(INDEX('04A_국토부원자료'!$A:$T,ROW()+1,MATCH("단지명",'04A_국토부원자료'!$A$4:$T$4,0)),"")))</f>
        <v/>
      </c>
      <c r="E2869" s="172">
        <f>IFERROR(VALUE(SUBSTITUTE(INDEX('04A_국토부원자료'!$A:$T,ROW()+1,MATCH("전용면적(㎡)",'04A_국토부원자료'!$A$4:$T$4,0)),",","")),"")</f>
        <v/>
      </c>
      <c r="F28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69" s="51">
        <f>IFERROR(VALUE(SUBSTITUTE(INDEX('04A_국토부원자료'!$A:$T,ROW()+1,MATCH("거래금액(만원)",'04A_국토부원자료'!$A$4:$T$4,0)),",","")),"")</f>
        <v/>
      </c>
      <c r="H2869" s="174">
        <f>IF(G2869="","",G2869*10000)</f>
        <v/>
      </c>
      <c r="I2869" s="174">
        <f>IFERROR(IF(AND(H2869&gt;0,E2869&gt;0),H2869/E2869,""),"")</f>
        <v/>
      </c>
      <c r="J2869" s="152">
        <f>IFERROR(VALUE(SUBSTITUTE(INDEX('04A_국토부원자료'!$A:$T,ROW()+1,MATCH("층",'04A_국토부원자료'!$A$4:$T$4,0)),",","")),"")</f>
        <v/>
      </c>
      <c r="K2869" s="152">
        <f>IFERROR(VALUE(SUBSTITUTE(INDEX('04A_국토부원자료'!$A:$T,ROW()+1,MATCH("건축년도",'04A_국토부원자료'!$A$4:$T$4,0)),",","")),"")</f>
        <v/>
      </c>
      <c r="L2869" s="48">
        <f>IFERROR(INDEX('04A_국토부원자료'!$A:$T,ROW()+1,MATCH("도로명",'04A_국토부원자료'!$A$4:$T$4,0)),"")</f>
        <v/>
      </c>
      <c r="M2869" s="48">
        <f>IFERROR(INDEX('04A_국토부원자료'!$A:$T,ROW()+1,MATCH("거래유형",'04A_국토부원자료'!$A$4:$T$4,0)),"")</f>
        <v/>
      </c>
      <c r="N2869" s="152">
        <f>IF(B2869="","",IF('02_대상물건입력'!B5="",1,IF(ISNUMBER(SEARCH('02_대상물건입력'!B5,B2869)),1,0)))</f>
        <v/>
      </c>
      <c r="O2869" s="152">
        <f>IF(B2869="","",IF('02_대상물건입력'!B6="",1,IF(ISNUMBER(SEARCH('02_대상물건입력'!B6,B2869)),1,0)))</f>
        <v/>
      </c>
      <c r="P2869" s="152">
        <f>IF(L2869="","",IF('02_대상물건입력'!B15="",0,IF(ISNUMBER(SEARCH('02_대상물건입력'!B15,L2869)),1,0)))</f>
        <v/>
      </c>
      <c r="Q2869" s="152">
        <f>IF(OR(C2869="",L2869=""),0,IF(AND(TRIM(C2869)=TRIM(RIGHT(SUBSTITUTE(TRIM('02_대상물건입력'!$B$7)," ",REPT(" ",99)),99)),IF('02_대상물건입력'!B15="",TRUE(),ISNUMBER(SEARCH('02_대상물건입력'!B15,L2869)))),1,0))</f>
        <v/>
      </c>
      <c r="R2869" s="175">
        <f>IFERROR(ABS(E2869-'02_대상물건입력'!B11)/'02_대상물건입력'!B11,"")</f>
        <v/>
      </c>
      <c r="S2869" s="152">
        <f>IFERROR(ABS(J2869-'02_대상물건입력'!B10),"")</f>
        <v/>
      </c>
      <c r="T2869" s="152">
        <f>IFERROR(ABS('01_설정'!B4-F2869),"")</f>
        <v/>
      </c>
      <c r="U2869" s="152">
        <f>IFERROR(ABS(K2869-YEAR('02_대상물건입력'!B14)),"")</f>
        <v/>
      </c>
      <c r="V2869" s="152">
        <f>IF(B2869="","",IF(AND(E2869&gt;0,F2869&gt;0,H2869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2869=1,TRUE()),R2869&lt;='01_설정'!B5,S2869&lt;='01_설정'!B6,T2869&lt;='01_설정'!B7,U2869&lt;='01_설정'!B8),"Y",""))</f>
        <v/>
      </c>
      <c r="W2869" s="172">
        <f>IF(V2869&lt;&gt;"Y","",MAX(0,(1-R2869/'01_설정'!B5))*'01_설정'!B14+MAX(0,(1-S2869/'01_설정'!B6))*'01_설정'!B15+MAX(0,(1-T2869/'01_설정'!B7))*'01_설정'!B16+MAX(0,(1-U2869/'01_설정'!B8))*'01_설정'!B17+O2869*'01_설정'!B11+Q2869*'01_설정'!B12+P2869*'01_설정'!B13+IF(Z2869="",0,Z2869))</f>
        <v/>
      </c>
      <c r="X2869" s="152">
        <f>IF(W2869="","",1+COUNTIFS($W$4:$W$3003,"&gt;"&amp;W2869)+COUNTIFS($W$4:W2869,W2869)-1)</f>
        <v/>
      </c>
      <c r="Y2869" s="175">
        <f>IF(OR(I2869="",'02_대상물건입력'!B19="",'02_대상물건입력'!B19&lt;=0),"",ABS(I2869-'02_대상물건입력'!B19)/'02_대상물건입력'!B19)</f>
        <v/>
      </c>
      <c r="Z2869" s="172">
        <f>IF(OR(Y2869="",'01_설정'!B31="",'01_설정'!B31&lt;=0,'01_설정'!B32="",'01_설정'!B32&lt;=0),"",MAX(0,(1-Y2869/'01_설정'!B32))*'01_설정'!B31)</f>
        <v/>
      </c>
    </row>
    <row r="2870" ht="17.25" customHeight="1">
      <c r="A2870" s="152">
        <f>IF(INDEX('04A_국토부원자료'!$A:$A,ROW()+1)="","",ROW()-3)</f>
        <v/>
      </c>
      <c r="B2870" s="48">
        <f>IFERROR(INDEX('04A_국토부원자료'!$A:$T,ROW()+1,MATCH("시군구",'04A_국토부원자료'!$A$4:$T$4,0)),"")</f>
        <v/>
      </c>
      <c r="C2870" s="48">
        <f>IF(B2870="","",IFERROR(INDEX('04A_국토부원자료'!$A:$T,ROW()+1,MATCH("번지",'04A_국토부원자료'!$A$4:$T$4,0)),""))</f>
        <v/>
      </c>
      <c r="D2870" s="48">
        <f>IF(B2870="","",IF(Q2870=1,'02_대상물건입력'!$B$8,IFERROR(INDEX('04A_국토부원자료'!$A:$T,ROW()+1,MATCH("단지명",'04A_국토부원자료'!$A$4:$T$4,0)),"")))</f>
        <v/>
      </c>
      <c r="E2870" s="172">
        <f>IFERROR(VALUE(SUBSTITUTE(INDEX('04A_국토부원자료'!$A:$T,ROW()+1,MATCH("전용면적(㎡)",'04A_국토부원자료'!$A$4:$T$4,0)),",","")),"")</f>
        <v/>
      </c>
      <c r="F28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70" s="51">
        <f>IFERROR(VALUE(SUBSTITUTE(INDEX('04A_국토부원자료'!$A:$T,ROW()+1,MATCH("거래금액(만원)",'04A_국토부원자료'!$A$4:$T$4,0)),",","")),"")</f>
        <v/>
      </c>
      <c r="H2870" s="174">
        <f>IF(G2870="","",G2870*10000)</f>
        <v/>
      </c>
      <c r="I2870" s="174">
        <f>IFERROR(IF(AND(H2870&gt;0,E2870&gt;0),H2870/E2870,""),"")</f>
        <v/>
      </c>
      <c r="J2870" s="152">
        <f>IFERROR(VALUE(SUBSTITUTE(INDEX('04A_국토부원자료'!$A:$T,ROW()+1,MATCH("층",'04A_국토부원자료'!$A$4:$T$4,0)),",","")),"")</f>
        <v/>
      </c>
      <c r="K2870" s="152">
        <f>IFERROR(VALUE(SUBSTITUTE(INDEX('04A_국토부원자료'!$A:$T,ROW()+1,MATCH("건축년도",'04A_국토부원자료'!$A$4:$T$4,0)),",","")),"")</f>
        <v/>
      </c>
      <c r="L2870" s="48">
        <f>IFERROR(INDEX('04A_국토부원자료'!$A:$T,ROW()+1,MATCH("도로명",'04A_국토부원자료'!$A$4:$T$4,0)),"")</f>
        <v/>
      </c>
      <c r="M2870" s="48">
        <f>IFERROR(INDEX('04A_국토부원자료'!$A:$T,ROW()+1,MATCH("거래유형",'04A_국토부원자료'!$A$4:$T$4,0)),"")</f>
        <v/>
      </c>
      <c r="N2870" s="152">
        <f>IF(B2870="","",IF('02_대상물건입력'!B5="",1,IF(ISNUMBER(SEARCH('02_대상물건입력'!B5,B2870)),1,0)))</f>
        <v/>
      </c>
      <c r="O2870" s="152">
        <f>IF(B2870="","",IF('02_대상물건입력'!B6="",1,IF(ISNUMBER(SEARCH('02_대상물건입력'!B6,B2870)),1,0)))</f>
        <v/>
      </c>
      <c r="P2870" s="152">
        <f>IF(L2870="","",IF('02_대상물건입력'!B15="",0,IF(ISNUMBER(SEARCH('02_대상물건입력'!B15,L2870)),1,0)))</f>
        <v/>
      </c>
      <c r="Q2870" s="152">
        <f>IF(OR(C2870="",L2870=""),0,IF(AND(TRIM(C2870)=TRIM(RIGHT(SUBSTITUTE(TRIM('02_대상물건입력'!$B$7)," ",REPT(" ",99)),99)),IF('02_대상물건입력'!B15="",TRUE(),ISNUMBER(SEARCH('02_대상물건입력'!B15,L2870)))),1,0))</f>
        <v/>
      </c>
      <c r="R2870" s="175">
        <f>IFERROR(ABS(E2870-'02_대상물건입력'!B11)/'02_대상물건입력'!B11,"")</f>
        <v/>
      </c>
      <c r="S2870" s="152">
        <f>IFERROR(ABS(J2870-'02_대상물건입력'!B10),"")</f>
        <v/>
      </c>
      <c r="T2870" s="152">
        <f>IFERROR(ABS('01_설정'!B4-F2870),"")</f>
        <v/>
      </c>
      <c r="U2870" s="152">
        <f>IFERROR(ABS(K2870-YEAR('02_대상물건입력'!B14)),"")</f>
        <v/>
      </c>
      <c r="V2870" s="152">
        <f>IF(B2870="","",IF(AND(E2870&gt;0,F2870&gt;0,H2870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2870=1,TRUE()),R2870&lt;='01_설정'!B5,S2870&lt;='01_설정'!B6,T2870&lt;='01_설정'!B7,U2870&lt;='01_설정'!B8),"Y",""))</f>
        <v/>
      </c>
      <c r="W2870" s="172">
        <f>IF(V2870&lt;&gt;"Y","",MAX(0,(1-R2870/'01_설정'!B5))*'01_설정'!B14+MAX(0,(1-S2870/'01_설정'!B6))*'01_설정'!B15+MAX(0,(1-T2870/'01_설정'!B7))*'01_설정'!B16+MAX(0,(1-U2870/'01_설정'!B8))*'01_설정'!B17+O2870*'01_설정'!B11+Q2870*'01_설정'!B12+P2870*'01_설정'!B13+IF(Z2870="",0,Z2870))</f>
        <v/>
      </c>
      <c r="X2870" s="152">
        <f>IF(W2870="","",1+COUNTIFS($W$4:$W$3003,"&gt;"&amp;W2870)+COUNTIFS($W$4:W2870,W2870)-1)</f>
        <v/>
      </c>
      <c r="Y2870" s="175">
        <f>IF(OR(I2870="",'02_대상물건입력'!B19="",'02_대상물건입력'!B19&lt;=0),"",ABS(I2870-'02_대상물건입력'!B19)/'02_대상물건입력'!B19)</f>
        <v/>
      </c>
      <c r="Z2870" s="172">
        <f>IF(OR(Y2870="",'01_설정'!B31="",'01_설정'!B31&lt;=0,'01_설정'!B32="",'01_설정'!B32&lt;=0),"",MAX(0,(1-Y2870/'01_설정'!B32))*'01_설정'!B31)</f>
        <v/>
      </c>
    </row>
    <row r="2871" ht="17.25" customHeight="1">
      <c r="A2871" s="152">
        <f>IF(INDEX('04A_국토부원자료'!$A:$A,ROW()+1)="","",ROW()-3)</f>
        <v/>
      </c>
      <c r="B2871" s="48">
        <f>IFERROR(INDEX('04A_국토부원자료'!$A:$T,ROW()+1,MATCH("시군구",'04A_국토부원자료'!$A$4:$T$4,0)),"")</f>
        <v/>
      </c>
      <c r="C2871" s="48">
        <f>IF(B2871="","",IFERROR(INDEX('04A_국토부원자료'!$A:$T,ROW()+1,MATCH("번지",'04A_국토부원자료'!$A$4:$T$4,0)),""))</f>
        <v/>
      </c>
      <c r="D2871" s="48">
        <f>IF(B2871="","",IF(Q2871=1,'02_대상물건입력'!$B$8,IFERROR(INDEX('04A_국토부원자료'!$A:$T,ROW()+1,MATCH("단지명",'04A_국토부원자료'!$A$4:$T$4,0)),"")))</f>
        <v/>
      </c>
      <c r="E2871" s="172">
        <f>IFERROR(VALUE(SUBSTITUTE(INDEX('04A_국토부원자료'!$A:$T,ROW()+1,MATCH("전용면적(㎡)",'04A_국토부원자료'!$A$4:$T$4,0)),",","")),"")</f>
        <v/>
      </c>
      <c r="F28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71" s="51">
        <f>IFERROR(VALUE(SUBSTITUTE(INDEX('04A_국토부원자료'!$A:$T,ROW()+1,MATCH("거래금액(만원)",'04A_국토부원자료'!$A$4:$T$4,0)),",","")),"")</f>
        <v/>
      </c>
      <c r="H2871" s="174">
        <f>IF(G2871="","",G2871*10000)</f>
        <v/>
      </c>
      <c r="I2871" s="174">
        <f>IFERROR(IF(AND(H2871&gt;0,E2871&gt;0),H2871/E2871,""),"")</f>
        <v/>
      </c>
      <c r="J2871" s="152">
        <f>IFERROR(VALUE(SUBSTITUTE(INDEX('04A_국토부원자료'!$A:$T,ROW()+1,MATCH("층",'04A_국토부원자료'!$A$4:$T$4,0)),",","")),"")</f>
        <v/>
      </c>
      <c r="K2871" s="152">
        <f>IFERROR(VALUE(SUBSTITUTE(INDEX('04A_국토부원자료'!$A:$T,ROW()+1,MATCH("건축년도",'04A_국토부원자료'!$A$4:$T$4,0)),",","")),"")</f>
        <v/>
      </c>
      <c r="L2871" s="48">
        <f>IFERROR(INDEX('04A_국토부원자료'!$A:$T,ROW()+1,MATCH("도로명",'04A_국토부원자료'!$A$4:$T$4,0)),"")</f>
        <v/>
      </c>
      <c r="M2871" s="48">
        <f>IFERROR(INDEX('04A_국토부원자료'!$A:$T,ROW()+1,MATCH("거래유형",'04A_국토부원자료'!$A$4:$T$4,0)),"")</f>
        <v/>
      </c>
      <c r="N2871" s="152">
        <f>IF(B2871="","",IF('02_대상물건입력'!B5="",1,IF(ISNUMBER(SEARCH('02_대상물건입력'!B5,B2871)),1,0)))</f>
        <v/>
      </c>
      <c r="O2871" s="152">
        <f>IF(B2871="","",IF('02_대상물건입력'!B6="",1,IF(ISNUMBER(SEARCH('02_대상물건입력'!B6,B2871)),1,0)))</f>
        <v/>
      </c>
      <c r="P2871" s="152">
        <f>IF(L2871="","",IF('02_대상물건입력'!B15="",0,IF(ISNUMBER(SEARCH('02_대상물건입력'!B15,L2871)),1,0)))</f>
        <v/>
      </c>
      <c r="Q2871" s="152">
        <f>IF(OR(C2871="",L2871=""),0,IF(AND(TRIM(C2871)=TRIM(RIGHT(SUBSTITUTE(TRIM('02_대상물건입력'!$B$7)," ",REPT(" ",99)),99)),IF('02_대상물건입력'!B15="",TRUE(),ISNUMBER(SEARCH('02_대상물건입력'!B15,L2871)))),1,0))</f>
        <v/>
      </c>
      <c r="R2871" s="175">
        <f>IFERROR(ABS(E2871-'02_대상물건입력'!B11)/'02_대상물건입력'!B11,"")</f>
        <v/>
      </c>
      <c r="S2871" s="152">
        <f>IFERROR(ABS(J2871-'02_대상물건입력'!B10),"")</f>
        <v/>
      </c>
      <c r="T2871" s="152">
        <f>IFERROR(ABS('01_설정'!B4-F2871),"")</f>
        <v/>
      </c>
      <c r="U2871" s="152">
        <f>IFERROR(ABS(K2871-YEAR('02_대상물건입력'!B14)),"")</f>
        <v/>
      </c>
      <c r="V2871" s="152">
        <f>IF(B2871="","",IF(AND(E2871&gt;0,F2871&gt;0,H2871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2871=1,TRUE()),R2871&lt;='01_설정'!B5,S2871&lt;='01_설정'!B6,T2871&lt;='01_설정'!B7,U2871&lt;='01_설정'!B8),"Y",""))</f>
        <v/>
      </c>
      <c r="W2871" s="172">
        <f>IF(V2871&lt;&gt;"Y","",MAX(0,(1-R2871/'01_설정'!B5))*'01_설정'!B14+MAX(0,(1-S2871/'01_설정'!B6))*'01_설정'!B15+MAX(0,(1-T2871/'01_설정'!B7))*'01_설정'!B16+MAX(0,(1-U2871/'01_설정'!B8))*'01_설정'!B17+O2871*'01_설정'!B11+Q2871*'01_설정'!B12+P2871*'01_설정'!B13+IF(Z2871="",0,Z2871))</f>
        <v/>
      </c>
      <c r="X2871" s="152">
        <f>IF(W2871="","",1+COUNTIFS($W$4:$W$3003,"&gt;"&amp;W2871)+COUNTIFS($W$4:W2871,W2871)-1)</f>
        <v/>
      </c>
      <c r="Y2871" s="175">
        <f>IF(OR(I2871="",'02_대상물건입력'!B19="",'02_대상물건입력'!B19&lt;=0),"",ABS(I2871-'02_대상물건입력'!B19)/'02_대상물건입력'!B19)</f>
        <v/>
      </c>
      <c r="Z2871" s="172">
        <f>IF(OR(Y2871="",'01_설정'!B31="",'01_설정'!B31&lt;=0,'01_설정'!B32="",'01_설정'!B32&lt;=0),"",MAX(0,(1-Y2871/'01_설정'!B32))*'01_설정'!B31)</f>
        <v/>
      </c>
    </row>
    <row r="2872" ht="17.25" customHeight="1">
      <c r="A2872" s="152">
        <f>IF(INDEX('04A_국토부원자료'!$A:$A,ROW()+1)="","",ROW()-3)</f>
        <v/>
      </c>
      <c r="B2872" s="48">
        <f>IFERROR(INDEX('04A_국토부원자료'!$A:$T,ROW()+1,MATCH("시군구",'04A_국토부원자료'!$A$4:$T$4,0)),"")</f>
        <v/>
      </c>
      <c r="C2872" s="48">
        <f>IF(B2872="","",IFERROR(INDEX('04A_국토부원자료'!$A:$T,ROW()+1,MATCH("번지",'04A_국토부원자료'!$A$4:$T$4,0)),""))</f>
        <v/>
      </c>
      <c r="D2872" s="48">
        <f>IF(B2872="","",IF(Q2872=1,'02_대상물건입력'!$B$8,IFERROR(INDEX('04A_국토부원자료'!$A:$T,ROW()+1,MATCH("단지명",'04A_국토부원자료'!$A$4:$T$4,0)),"")))</f>
        <v/>
      </c>
      <c r="E2872" s="172">
        <f>IFERROR(VALUE(SUBSTITUTE(INDEX('04A_국토부원자료'!$A:$T,ROW()+1,MATCH("전용면적(㎡)",'04A_국토부원자료'!$A$4:$T$4,0)),",","")),"")</f>
        <v/>
      </c>
      <c r="F28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72" s="51">
        <f>IFERROR(VALUE(SUBSTITUTE(INDEX('04A_국토부원자료'!$A:$T,ROW()+1,MATCH("거래금액(만원)",'04A_국토부원자료'!$A$4:$T$4,0)),",","")),"")</f>
        <v/>
      </c>
      <c r="H2872" s="174">
        <f>IF(G2872="","",G2872*10000)</f>
        <v/>
      </c>
      <c r="I2872" s="174">
        <f>IFERROR(IF(AND(H2872&gt;0,E2872&gt;0),H2872/E2872,""),"")</f>
        <v/>
      </c>
      <c r="J2872" s="152">
        <f>IFERROR(VALUE(SUBSTITUTE(INDEX('04A_국토부원자료'!$A:$T,ROW()+1,MATCH("층",'04A_국토부원자료'!$A$4:$T$4,0)),",","")),"")</f>
        <v/>
      </c>
      <c r="K2872" s="152">
        <f>IFERROR(VALUE(SUBSTITUTE(INDEX('04A_국토부원자료'!$A:$T,ROW()+1,MATCH("건축년도",'04A_국토부원자료'!$A$4:$T$4,0)),",","")),"")</f>
        <v/>
      </c>
      <c r="L2872" s="48">
        <f>IFERROR(INDEX('04A_국토부원자료'!$A:$T,ROW()+1,MATCH("도로명",'04A_국토부원자료'!$A$4:$T$4,0)),"")</f>
        <v/>
      </c>
      <c r="M2872" s="48">
        <f>IFERROR(INDEX('04A_국토부원자료'!$A:$T,ROW()+1,MATCH("거래유형",'04A_국토부원자료'!$A$4:$T$4,0)),"")</f>
        <v/>
      </c>
      <c r="N2872" s="152">
        <f>IF(B2872="","",IF('02_대상물건입력'!B5="",1,IF(ISNUMBER(SEARCH('02_대상물건입력'!B5,B2872)),1,0)))</f>
        <v/>
      </c>
      <c r="O2872" s="152">
        <f>IF(B2872="","",IF('02_대상물건입력'!B6="",1,IF(ISNUMBER(SEARCH('02_대상물건입력'!B6,B2872)),1,0)))</f>
        <v/>
      </c>
      <c r="P2872" s="152">
        <f>IF(L2872="","",IF('02_대상물건입력'!B15="",0,IF(ISNUMBER(SEARCH('02_대상물건입력'!B15,L2872)),1,0)))</f>
        <v/>
      </c>
      <c r="Q2872" s="152">
        <f>IF(OR(C2872="",L2872=""),0,IF(AND(TRIM(C2872)=TRIM(RIGHT(SUBSTITUTE(TRIM('02_대상물건입력'!$B$7)," ",REPT(" ",99)),99)),IF('02_대상물건입력'!B15="",TRUE(),ISNUMBER(SEARCH('02_대상물건입력'!B15,L2872)))),1,0))</f>
        <v/>
      </c>
      <c r="R2872" s="175">
        <f>IFERROR(ABS(E2872-'02_대상물건입력'!B11)/'02_대상물건입력'!B11,"")</f>
        <v/>
      </c>
      <c r="S2872" s="152">
        <f>IFERROR(ABS(J2872-'02_대상물건입력'!B10),"")</f>
        <v/>
      </c>
      <c r="T2872" s="152">
        <f>IFERROR(ABS('01_설정'!B4-F2872),"")</f>
        <v/>
      </c>
      <c r="U2872" s="152">
        <f>IFERROR(ABS(K2872-YEAR('02_대상물건입력'!B14)),"")</f>
        <v/>
      </c>
      <c r="V2872" s="152">
        <f>IF(B2872="","",IF(AND(E2872&gt;0,F2872&gt;0,H2872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2872=1,TRUE()),R2872&lt;='01_설정'!B5,S2872&lt;='01_설정'!B6,T2872&lt;='01_설정'!B7,U2872&lt;='01_설정'!B8),"Y",""))</f>
        <v/>
      </c>
      <c r="W2872" s="172">
        <f>IF(V2872&lt;&gt;"Y","",MAX(0,(1-R2872/'01_설정'!B5))*'01_설정'!B14+MAX(0,(1-S2872/'01_설정'!B6))*'01_설정'!B15+MAX(0,(1-T2872/'01_설정'!B7))*'01_설정'!B16+MAX(0,(1-U2872/'01_설정'!B8))*'01_설정'!B17+O2872*'01_설정'!B11+Q2872*'01_설정'!B12+P2872*'01_설정'!B13+IF(Z2872="",0,Z2872))</f>
        <v/>
      </c>
      <c r="X2872" s="152">
        <f>IF(W2872="","",1+COUNTIFS($W$4:$W$3003,"&gt;"&amp;W2872)+COUNTIFS($W$4:W2872,W2872)-1)</f>
        <v/>
      </c>
      <c r="Y2872" s="175">
        <f>IF(OR(I2872="",'02_대상물건입력'!B19="",'02_대상물건입력'!B19&lt;=0),"",ABS(I2872-'02_대상물건입력'!B19)/'02_대상물건입력'!B19)</f>
        <v/>
      </c>
      <c r="Z2872" s="172">
        <f>IF(OR(Y2872="",'01_설정'!B31="",'01_설정'!B31&lt;=0,'01_설정'!B32="",'01_설정'!B32&lt;=0),"",MAX(0,(1-Y2872/'01_설정'!B32))*'01_설정'!B31)</f>
        <v/>
      </c>
    </row>
    <row r="2873" ht="17.25" customHeight="1">
      <c r="A2873" s="152">
        <f>IF(INDEX('04A_국토부원자료'!$A:$A,ROW()+1)="","",ROW()-3)</f>
        <v/>
      </c>
      <c r="B2873" s="48">
        <f>IFERROR(INDEX('04A_국토부원자료'!$A:$T,ROW()+1,MATCH("시군구",'04A_국토부원자료'!$A$4:$T$4,0)),"")</f>
        <v/>
      </c>
      <c r="C2873" s="48">
        <f>IF(B2873="","",IFERROR(INDEX('04A_국토부원자료'!$A:$T,ROW()+1,MATCH("번지",'04A_국토부원자료'!$A$4:$T$4,0)),""))</f>
        <v/>
      </c>
      <c r="D2873" s="48">
        <f>IF(B2873="","",IF(Q2873=1,'02_대상물건입력'!$B$8,IFERROR(INDEX('04A_국토부원자료'!$A:$T,ROW()+1,MATCH("단지명",'04A_국토부원자료'!$A$4:$T$4,0)),"")))</f>
        <v/>
      </c>
      <c r="E2873" s="172">
        <f>IFERROR(VALUE(SUBSTITUTE(INDEX('04A_국토부원자료'!$A:$T,ROW()+1,MATCH("전용면적(㎡)",'04A_국토부원자료'!$A$4:$T$4,0)),",","")),"")</f>
        <v/>
      </c>
      <c r="F28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73" s="51">
        <f>IFERROR(VALUE(SUBSTITUTE(INDEX('04A_국토부원자료'!$A:$T,ROW()+1,MATCH("거래금액(만원)",'04A_국토부원자료'!$A$4:$T$4,0)),",","")),"")</f>
        <v/>
      </c>
      <c r="H2873" s="174">
        <f>IF(G2873="","",G2873*10000)</f>
        <v/>
      </c>
      <c r="I2873" s="174">
        <f>IFERROR(IF(AND(H2873&gt;0,E2873&gt;0),H2873/E2873,""),"")</f>
        <v/>
      </c>
      <c r="J2873" s="152">
        <f>IFERROR(VALUE(SUBSTITUTE(INDEX('04A_국토부원자료'!$A:$T,ROW()+1,MATCH("층",'04A_국토부원자료'!$A$4:$T$4,0)),",","")),"")</f>
        <v/>
      </c>
      <c r="K2873" s="152">
        <f>IFERROR(VALUE(SUBSTITUTE(INDEX('04A_국토부원자료'!$A:$T,ROW()+1,MATCH("건축년도",'04A_국토부원자료'!$A$4:$T$4,0)),",","")),"")</f>
        <v/>
      </c>
      <c r="L2873" s="48">
        <f>IFERROR(INDEX('04A_국토부원자료'!$A:$T,ROW()+1,MATCH("도로명",'04A_국토부원자료'!$A$4:$T$4,0)),"")</f>
        <v/>
      </c>
      <c r="M2873" s="48">
        <f>IFERROR(INDEX('04A_국토부원자료'!$A:$T,ROW()+1,MATCH("거래유형",'04A_국토부원자료'!$A$4:$T$4,0)),"")</f>
        <v/>
      </c>
      <c r="N2873" s="152">
        <f>IF(B2873="","",IF('02_대상물건입력'!B5="",1,IF(ISNUMBER(SEARCH('02_대상물건입력'!B5,B2873)),1,0)))</f>
        <v/>
      </c>
      <c r="O2873" s="152">
        <f>IF(B2873="","",IF('02_대상물건입력'!B6="",1,IF(ISNUMBER(SEARCH('02_대상물건입력'!B6,B2873)),1,0)))</f>
        <v/>
      </c>
      <c r="P2873" s="152">
        <f>IF(L2873="","",IF('02_대상물건입력'!B15="",0,IF(ISNUMBER(SEARCH('02_대상물건입력'!B15,L2873)),1,0)))</f>
        <v/>
      </c>
      <c r="Q2873" s="152">
        <f>IF(OR(C2873="",L2873=""),0,IF(AND(TRIM(C2873)=TRIM(RIGHT(SUBSTITUTE(TRIM('02_대상물건입력'!$B$7)," ",REPT(" ",99)),99)),IF('02_대상물건입력'!B15="",TRUE(),ISNUMBER(SEARCH('02_대상물건입력'!B15,L2873)))),1,0))</f>
        <v/>
      </c>
      <c r="R2873" s="175">
        <f>IFERROR(ABS(E2873-'02_대상물건입력'!B11)/'02_대상물건입력'!B11,"")</f>
        <v/>
      </c>
      <c r="S2873" s="152">
        <f>IFERROR(ABS(J2873-'02_대상물건입력'!B10),"")</f>
        <v/>
      </c>
      <c r="T2873" s="152">
        <f>IFERROR(ABS('01_설정'!B4-F2873),"")</f>
        <v/>
      </c>
      <c r="U2873" s="152">
        <f>IFERROR(ABS(K2873-YEAR('02_대상물건입력'!B14)),"")</f>
        <v/>
      </c>
      <c r="V2873" s="152">
        <f>IF(B2873="","",IF(AND(E2873&gt;0,F2873&gt;0,H2873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2873=1,TRUE()),R2873&lt;='01_설정'!B5,S2873&lt;='01_설정'!B6,T2873&lt;='01_설정'!B7,U2873&lt;='01_설정'!B8),"Y",""))</f>
        <v/>
      </c>
      <c r="W2873" s="172">
        <f>IF(V2873&lt;&gt;"Y","",MAX(0,(1-R2873/'01_설정'!B5))*'01_설정'!B14+MAX(0,(1-S2873/'01_설정'!B6))*'01_설정'!B15+MAX(0,(1-T2873/'01_설정'!B7))*'01_설정'!B16+MAX(0,(1-U2873/'01_설정'!B8))*'01_설정'!B17+O2873*'01_설정'!B11+Q2873*'01_설정'!B12+P2873*'01_설정'!B13+IF(Z2873="",0,Z2873))</f>
        <v/>
      </c>
      <c r="X2873" s="152">
        <f>IF(W2873="","",1+COUNTIFS($W$4:$W$3003,"&gt;"&amp;W2873)+COUNTIFS($W$4:W2873,W2873)-1)</f>
        <v/>
      </c>
      <c r="Y2873" s="175">
        <f>IF(OR(I2873="",'02_대상물건입력'!B19="",'02_대상물건입력'!B19&lt;=0),"",ABS(I2873-'02_대상물건입력'!B19)/'02_대상물건입력'!B19)</f>
        <v/>
      </c>
      <c r="Z2873" s="172">
        <f>IF(OR(Y2873="",'01_설정'!B31="",'01_설정'!B31&lt;=0,'01_설정'!B32="",'01_설정'!B32&lt;=0),"",MAX(0,(1-Y2873/'01_설정'!B32))*'01_설정'!B31)</f>
        <v/>
      </c>
    </row>
    <row r="2874" ht="17.25" customHeight="1">
      <c r="A2874" s="152">
        <f>IF(INDEX('04A_국토부원자료'!$A:$A,ROW()+1)="","",ROW()-3)</f>
        <v/>
      </c>
      <c r="B2874" s="48">
        <f>IFERROR(INDEX('04A_국토부원자료'!$A:$T,ROW()+1,MATCH("시군구",'04A_국토부원자료'!$A$4:$T$4,0)),"")</f>
        <v/>
      </c>
      <c r="C2874" s="48">
        <f>IF(B2874="","",IFERROR(INDEX('04A_국토부원자료'!$A:$T,ROW()+1,MATCH("번지",'04A_국토부원자료'!$A$4:$T$4,0)),""))</f>
        <v/>
      </c>
      <c r="D2874" s="48">
        <f>IF(B2874="","",IF(Q2874=1,'02_대상물건입력'!$B$8,IFERROR(INDEX('04A_국토부원자료'!$A:$T,ROW()+1,MATCH("단지명",'04A_국토부원자료'!$A$4:$T$4,0)),"")))</f>
        <v/>
      </c>
      <c r="E2874" s="172">
        <f>IFERROR(VALUE(SUBSTITUTE(INDEX('04A_국토부원자료'!$A:$T,ROW()+1,MATCH("전용면적(㎡)",'04A_국토부원자료'!$A$4:$T$4,0)),",","")),"")</f>
        <v/>
      </c>
      <c r="F28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74" s="51">
        <f>IFERROR(VALUE(SUBSTITUTE(INDEX('04A_국토부원자료'!$A:$T,ROW()+1,MATCH("거래금액(만원)",'04A_국토부원자료'!$A$4:$T$4,0)),",","")),"")</f>
        <v/>
      </c>
      <c r="H2874" s="174">
        <f>IF(G2874="","",G2874*10000)</f>
        <v/>
      </c>
      <c r="I2874" s="174">
        <f>IFERROR(IF(AND(H2874&gt;0,E2874&gt;0),H2874/E2874,""),"")</f>
        <v/>
      </c>
      <c r="J2874" s="152">
        <f>IFERROR(VALUE(SUBSTITUTE(INDEX('04A_국토부원자료'!$A:$T,ROW()+1,MATCH("층",'04A_국토부원자료'!$A$4:$T$4,0)),",","")),"")</f>
        <v/>
      </c>
      <c r="K2874" s="152">
        <f>IFERROR(VALUE(SUBSTITUTE(INDEX('04A_국토부원자료'!$A:$T,ROW()+1,MATCH("건축년도",'04A_국토부원자료'!$A$4:$T$4,0)),",","")),"")</f>
        <v/>
      </c>
      <c r="L2874" s="48">
        <f>IFERROR(INDEX('04A_국토부원자료'!$A:$T,ROW()+1,MATCH("도로명",'04A_국토부원자료'!$A$4:$T$4,0)),"")</f>
        <v/>
      </c>
      <c r="M2874" s="48">
        <f>IFERROR(INDEX('04A_국토부원자료'!$A:$T,ROW()+1,MATCH("거래유형",'04A_국토부원자료'!$A$4:$T$4,0)),"")</f>
        <v/>
      </c>
      <c r="N2874" s="152">
        <f>IF(B2874="","",IF('02_대상물건입력'!B5="",1,IF(ISNUMBER(SEARCH('02_대상물건입력'!B5,B2874)),1,0)))</f>
        <v/>
      </c>
      <c r="O2874" s="152">
        <f>IF(B2874="","",IF('02_대상물건입력'!B6="",1,IF(ISNUMBER(SEARCH('02_대상물건입력'!B6,B2874)),1,0)))</f>
        <v/>
      </c>
      <c r="P2874" s="152">
        <f>IF(L2874="","",IF('02_대상물건입력'!B15="",0,IF(ISNUMBER(SEARCH('02_대상물건입력'!B15,L2874)),1,0)))</f>
        <v/>
      </c>
      <c r="Q2874" s="152">
        <f>IF(OR(C2874="",L2874=""),0,IF(AND(TRIM(C2874)=TRIM(RIGHT(SUBSTITUTE(TRIM('02_대상물건입력'!$B$7)," ",REPT(" ",99)),99)),IF('02_대상물건입력'!B15="",TRUE(),ISNUMBER(SEARCH('02_대상물건입력'!B15,L2874)))),1,0))</f>
        <v/>
      </c>
      <c r="R2874" s="175">
        <f>IFERROR(ABS(E2874-'02_대상물건입력'!B11)/'02_대상물건입력'!B11,"")</f>
        <v/>
      </c>
      <c r="S2874" s="152">
        <f>IFERROR(ABS(J2874-'02_대상물건입력'!B10),"")</f>
        <v/>
      </c>
      <c r="T2874" s="152">
        <f>IFERROR(ABS('01_설정'!B4-F2874),"")</f>
        <v/>
      </c>
      <c r="U2874" s="152">
        <f>IFERROR(ABS(K2874-YEAR('02_대상물건입력'!B14)),"")</f>
        <v/>
      </c>
      <c r="V2874" s="152">
        <f>IF(B2874="","",IF(AND(E2874&gt;0,F2874&gt;0,H2874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2874=1,TRUE()),R2874&lt;='01_설정'!B5,S2874&lt;='01_설정'!B6,T2874&lt;='01_설정'!B7,U2874&lt;='01_설정'!B8),"Y",""))</f>
        <v/>
      </c>
      <c r="W2874" s="172">
        <f>IF(V2874&lt;&gt;"Y","",MAX(0,(1-R2874/'01_설정'!B5))*'01_설정'!B14+MAX(0,(1-S2874/'01_설정'!B6))*'01_설정'!B15+MAX(0,(1-T2874/'01_설정'!B7))*'01_설정'!B16+MAX(0,(1-U2874/'01_설정'!B8))*'01_설정'!B17+O2874*'01_설정'!B11+Q2874*'01_설정'!B12+P2874*'01_설정'!B13+IF(Z2874="",0,Z2874))</f>
        <v/>
      </c>
      <c r="X2874" s="152">
        <f>IF(W2874="","",1+COUNTIFS($W$4:$W$3003,"&gt;"&amp;W2874)+COUNTIFS($W$4:W2874,W2874)-1)</f>
        <v/>
      </c>
      <c r="Y2874" s="175">
        <f>IF(OR(I2874="",'02_대상물건입력'!B19="",'02_대상물건입력'!B19&lt;=0),"",ABS(I2874-'02_대상물건입력'!B19)/'02_대상물건입력'!B19)</f>
        <v/>
      </c>
      <c r="Z2874" s="172">
        <f>IF(OR(Y2874="",'01_설정'!B31="",'01_설정'!B31&lt;=0,'01_설정'!B32="",'01_설정'!B32&lt;=0),"",MAX(0,(1-Y2874/'01_설정'!B32))*'01_설정'!B31)</f>
        <v/>
      </c>
    </row>
    <row r="2875" ht="17.25" customHeight="1">
      <c r="A2875" s="152">
        <f>IF(INDEX('04A_국토부원자료'!$A:$A,ROW()+1)="","",ROW()-3)</f>
        <v/>
      </c>
      <c r="B2875" s="48">
        <f>IFERROR(INDEX('04A_국토부원자료'!$A:$T,ROW()+1,MATCH("시군구",'04A_국토부원자료'!$A$4:$T$4,0)),"")</f>
        <v/>
      </c>
      <c r="C2875" s="48">
        <f>IF(B2875="","",IFERROR(INDEX('04A_국토부원자료'!$A:$T,ROW()+1,MATCH("번지",'04A_국토부원자료'!$A$4:$T$4,0)),""))</f>
        <v/>
      </c>
      <c r="D2875" s="48">
        <f>IF(B2875="","",IF(Q2875=1,'02_대상물건입력'!$B$8,IFERROR(INDEX('04A_국토부원자료'!$A:$T,ROW()+1,MATCH("단지명",'04A_국토부원자료'!$A$4:$T$4,0)),"")))</f>
        <v/>
      </c>
      <c r="E2875" s="172">
        <f>IFERROR(VALUE(SUBSTITUTE(INDEX('04A_국토부원자료'!$A:$T,ROW()+1,MATCH("전용면적(㎡)",'04A_국토부원자료'!$A$4:$T$4,0)),",","")),"")</f>
        <v/>
      </c>
      <c r="F28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75" s="51">
        <f>IFERROR(VALUE(SUBSTITUTE(INDEX('04A_국토부원자료'!$A:$T,ROW()+1,MATCH("거래금액(만원)",'04A_국토부원자료'!$A$4:$T$4,0)),",","")),"")</f>
        <v/>
      </c>
      <c r="H2875" s="174">
        <f>IF(G2875="","",G2875*10000)</f>
        <v/>
      </c>
      <c r="I2875" s="174">
        <f>IFERROR(IF(AND(H2875&gt;0,E2875&gt;0),H2875/E2875,""),"")</f>
        <v/>
      </c>
      <c r="J2875" s="152">
        <f>IFERROR(VALUE(SUBSTITUTE(INDEX('04A_국토부원자료'!$A:$T,ROW()+1,MATCH("층",'04A_국토부원자료'!$A$4:$T$4,0)),",","")),"")</f>
        <v/>
      </c>
      <c r="K2875" s="152">
        <f>IFERROR(VALUE(SUBSTITUTE(INDEX('04A_국토부원자료'!$A:$T,ROW()+1,MATCH("건축년도",'04A_국토부원자료'!$A$4:$T$4,0)),",","")),"")</f>
        <v/>
      </c>
      <c r="L2875" s="48">
        <f>IFERROR(INDEX('04A_국토부원자료'!$A:$T,ROW()+1,MATCH("도로명",'04A_국토부원자료'!$A$4:$T$4,0)),"")</f>
        <v/>
      </c>
      <c r="M2875" s="48">
        <f>IFERROR(INDEX('04A_국토부원자료'!$A:$T,ROW()+1,MATCH("거래유형",'04A_국토부원자료'!$A$4:$T$4,0)),"")</f>
        <v/>
      </c>
      <c r="N2875" s="152">
        <f>IF(B2875="","",IF('02_대상물건입력'!B5="",1,IF(ISNUMBER(SEARCH('02_대상물건입력'!B5,B2875)),1,0)))</f>
        <v/>
      </c>
      <c r="O2875" s="152">
        <f>IF(B2875="","",IF('02_대상물건입력'!B6="",1,IF(ISNUMBER(SEARCH('02_대상물건입력'!B6,B2875)),1,0)))</f>
        <v/>
      </c>
      <c r="P2875" s="152">
        <f>IF(L2875="","",IF('02_대상물건입력'!B15="",0,IF(ISNUMBER(SEARCH('02_대상물건입력'!B15,L2875)),1,0)))</f>
        <v/>
      </c>
      <c r="Q2875" s="152">
        <f>IF(OR(C2875="",L2875=""),0,IF(AND(TRIM(C2875)=TRIM(RIGHT(SUBSTITUTE(TRIM('02_대상물건입력'!$B$7)," ",REPT(" ",99)),99)),IF('02_대상물건입력'!B15="",TRUE(),ISNUMBER(SEARCH('02_대상물건입력'!B15,L2875)))),1,0))</f>
        <v/>
      </c>
      <c r="R2875" s="175">
        <f>IFERROR(ABS(E2875-'02_대상물건입력'!B11)/'02_대상물건입력'!B11,"")</f>
        <v/>
      </c>
      <c r="S2875" s="152">
        <f>IFERROR(ABS(J2875-'02_대상물건입력'!B10),"")</f>
        <v/>
      </c>
      <c r="T2875" s="152">
        <f>IFERROR(ABS('01_설정'!B4-F2875),"")</f>
        <v/>
      </c>
      <c r="U2875" s="152">
        <f>IFERROR(ABS(K2875-YEAR('02_대상물건입력'!B14)),"")</f>
        <v/>
      </c>
      <c r="V2875" s="152">
        <f>IF(B2875="","",IF(AND(E2875&gt;0,F2875&gt;0,H2875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2875=1,TRUE()),R2875&lt;='01_설정'!B5,S2875&lt;='01_설정'!B6,T2875&lt;='01_설정'!B7,U2875&lt;='01_설정'!B8),"Y",""))</f>
        <v/>
      </c>
      <c r="W2875" s="172">
        <f>IF(V2875&lt;&gt;"Y","",MAX(0,(1-R2875/'01_설정'!B5))*'01_설정'!B14+MAX(0,(1-S2875/'01_설정'!B6))*'01_설정'!B15+MAX(0,(1-T2875/'01_설정'!B7))*'01_설정'!B16+MAX(0,(1-U2875/'01_설정'!B8))*'01_설정'!B17+O2875*'01_설정'!B11+Q2875*'01_설정'!B12+P2875*'01_설정'!B13+IF(Z2875="",0,Z2875))</f>
        <v/>
      </c>
      <c r="X2875" s="152">
        <f>IF(W2875="","",1+COUNTIFS($W$4:$W$3003,"&gt;"&amp;W2875)+COUNTIFS($W$4:W2875,W2875)-1)</f>
        <v/>
      </c>
      <c r="Y2875" s="175">
        <f>IF(OR(I2875="",'02_대상물건입력'!B19="",'02_대상물건입력'!B19&lt;=0),"",ABS(I2875-'02_대상물건입력'!B19)/'02_대상물건입력'!B19)</f>
        <v/>
      </c>
      <c r="Z2875" s="172">
        <f>IF(OR(Y2875="",'01_설정'!B31="",'01_설정'!B31&lt;=0,'01_설정'!B32="",'01_설정'!B32&lt;=0),"",MAX(0,(1-Y2875/'01_설정'!B32))*'01_설정'!B31)</f>
        <v/>
      </c>
    </row>
    <row r="2876" ht="17.25" customHeight="1">
      <c r="A2876" s="152">
        <f>IF(INDEX('04A_국토부원자료'!$A:$A,ROW()+1)="","",ROW()-3)</f>
        <v/>
      </c>
      <c r="B2876" s="48">
        <f>IFERROR(INDEX('04A_국토부원자료'!$A:$T,ROW()+1,MATCH("시군구",'04A_국토부원자료'!$A$4:$T$4,0)),"")</f>
        <v/>
      </c>
      <c r="C2876" s="48">
        <f>IF(B2876="","",IFERROR(INDEX('04A_국토부원자료'!$A:$T,ROW()+1,MATCH("번지",'04A_국토부원자료'!$A$4:$T$4,0)),""))</f>
        <v/>
      </c>
      <c r="D2876" s="48">
        <f>IF(B2876="","",IF(Q2876=1,'02_대상물건입력'!$B$8,IFERROR(INDEX('04A_국토부원자료'!$A:$T,ROW()+1,MATCH("단지명",'04A_국토부원자료'!$A$4:$T$4,0)),"")))</f>
        <v/>
      </c>
      <c r="E2876" s="172">
        <f>IFERROR(VALUE(SUBSTITUTE(INDEX('04A_국토부원자료'!$A:$T,ROW()+1,MATCH("전용면적(㎡)",'04A_국토부원자료'!$A$4:$T$4,0)),",","")),"")</f>
        <v/>
      </c>
      <c r="F28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76" s="51">
        <f>IFERROR(VALUE(SUBSTITUTE(INDEX('04A_국토부원자료'!$A:$T,ROW()+1,MATCH("거래금액(만원)",'04A_국토부원자료'!$A$4:$T$4,0)),",","")),"")</f>
        <v/>
      </c>
      <c r="H2876" s="174">
        <f>IF(G2876="","",G2876*10000)</f>
        <v/>
      </c>
      <c r="I2876" s="174">
        <f>IFERROR(IF(AND(H2876&gt;0,E2876&gt;0),H2876/E2876,""),"")</f>
        <v/>
      </c>
      <c r="J2876" s="152">
        <f>IFERROR(VALUE(SUBSTITUTE(INDEX('04A_국토부원자료'!$A:$T,ROW()+1,MATCH("층",'04A_국토부원자료'!$A$4:$T$4,0)),",","")),"")</f>
        <v/>
      </c>
      <c r="K2876" s="152">
        <f>IFERROR(VALUE(SUBSTITUTE(INDEX('04A_국토부원자료'!$A:$T,ROW()+1,MATCH("건축년도",'04A_국토부원자료'!$A$4:$T$4,0)),",","")),"")</f>
        <v/>
      </c>
      <c r="L2876" s="48">
        <f>IFERROR(INDEX('04A_국토부원자료'!$A:$T,ROW()+1,MATCH("도로명",'04A_국토부원자료'!$A$4:$T$4,0)),"")</f>
        <v/>
      </c>
      <c r="M2876" s="48">
        <f>IFERROR(INDEX('04A_국토부원자료'!$A:$T,ROW()+1,MATCH("거래유형",'04A_국토부원자료'!$A$4:$T$4,0)),"")</f>
        <v/>
      </c>
      <c r="N2876" s="152">
        <f>IF(B2876="","",IF('02_대상물건입력'!B5="",1,IF(ISNUMBER(SEARCH('02_대상물건입력'!B5,B2876)),1,0)))</f>
        <v/>
      </c>
      <c r="O2876" s="152">
        <f>IF(B2876="","",IF('02_대상물건입력'!B6="",1,IF(ISNUMBER(SEARCH('02_대상물건입력'!B6,B2876)),1,0)))</f>
        <v/>
      </c>
      <c r="P2876" s="152">
        <f>IF(L2876="","",IF('02_대상물건입력'!B15="",0,IF(ISNUMBER(SEARCH('02_대상물건입력'!B15,L2876)),1,0)))</f>
        <v/>
      </c>
      <c r="Q2876" s="152">
        <f>IF(OR(C2876="",L2876=""),0,IF(AND(TRIM(C2876)=TRIM(RIGHT(SUBSTITUTE(TRIM('02_대상물건입력'!$B$7)," ",REPT(" ",99)),99)),IF('02_대상물건입력'!B15="",TRUE(),ISNUMBER(SEARCH('02_대상물건입력'!B15,L2876)))),1,0))</f>
        <v/>
      </c>
      <c r="R2876" s="175">
        <f>IFERROR(ABS(E2876-'02_대상물건입력'!B11)/'02_대상물건입력'!B11,"")</f>
        <v/>
      </c>
      <c r="S2876" s="152">
        <f>IFERROR(ABS(J2876-'02_대상물건입력'!B10),"")</f>
        <v/>
      </c>
      <c r="T2876" s="152">
        <f>IFERROR(ABS('01_설정'!B4-F2876),"")</f>
        <v/>
      </c>
      <c r="U2876" s="152">
        <f>IFERROR(ABS(K2876-YEAR('02_대상물건입력'!B14)),"")</f>
        <v/>
      </c>
      <c r="V2876" s="152">
        <f>IF(B2876="","",IF(AND(E2876&gt;0,F2876&gt;0,H2876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2876=1,TRUE()),R2876&lt;='01_설정'!B5,S2876&lt;='01_설정'!B6,T2876&lt;='01_설정'!B7,U2876&lt;='01_설정'!B8),"Y",""))</f>
        <v/>
      </c>
      <c r="W2876" s="172">
        <f>IF(V2876&lt;&gt;"Y","",MAX(0,(1-R2876/'01_설정'!B5))*'01_설정'!B14+MAX(0,(1-S2876/'01_설정'!B6))*'01_설정'!B15+MAX(0,(1-T2876/'01_설정'!B7))*'01_설정'!B16+MAX(0,(1-U2876/'01_설정'!B8))*'01_설정'!B17+O2876*'01_설정'!B11+Q2876*'01_설정'!B12+P2876*'01_설정'!B13+IF(Z2876="",0,Z2876))</f>
        <v/>
      </c>
      <c r="X2876" s="152">
        <f>IF(W2876="","",1+COUNTIFS($W$4:$W$3003,"&gt;"&amp;W2876)+COUNTIFS($W$4:W2876,W2876)-1)</f>
        <v/>
      </c>
      <c r="Y2876" s="175">
        <f>IF(OR(I2876="",'02_대상물건입력'!B19="",'02_대상물건입력'!B19&lt;=0),"",ABS(I2876-'02_대상물건입력'!B19)/'02_대상물건입력'!B19)</f>
        <v/>
      </c>
      <c r="Z2876" s="172">
        <f>IF(OR(Y2876="",'01_설정'!B31="",'01_설정'!B31&lt;=0,'01_설정'!B32="",'01_설정'!B32&lt;=0),"",MAX(0,(1-Y2876/'01_설정'!B32))*'01_설정'!B31)</f>
        <v/>
      </c>
    </row>
    <row r="2877" ht="17.25" customHeight="1">
      <c r="A2877" s="152">
        <f>IF(INDEX('04A_국토부원자료'!$A:$A,ROW()+1)="","",ROW()-3)</f>
        <v/>
      </c>
      <c r="B2877" s="48">
        <f>IFERROR(INDEX('04A_국토부원자료'!$A:$T,ROW()+1,MATCH("시군구",'04A_국토부원자료'!$A$4:$T$4,0)),"")</f>
        <v/>
      </c>
      <c r="C2877" s="48">
        <f>IF(B2877="","",IFERROR(INDEX('04A_국토부원자료'!$A:$T,ROW()+1,MATCH("번지",'04A_국토부원자료'!$A$4:$T$4,0)),""))</f>
        <v/>
      </c>
      <c r="D2877" s="48">
        <f>IF(B2877="","",IF(Q2877=1,'02_대상물건입력'!$B$8,IFERROR(INDEX('04A_국토부원자료'!$A:$T,ROW()+1,MATCH("단지명",'04A_국토부원자료'!$A$4:$T$4,0)),"")))</f>
        <v/>
      </c>
      <c r="E2877" s="172">
        <f>IFERROR(VALUE(SUBSTITUTE(INDEX('04A_국토부원자료'!$A:$T,ROW()+1,MATCH("전용면적(㎡)",'04A_국토부원자료'!$A$4:$T$4,0)),",","")),"")</f>
        <v/>
      </c>
      <c r="F28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77" s="51">
        <f>IFERROR(VALUE(SUBSTITUTE(INDEX('04A_국토부원자료'!$A:$T,ROW()+1,MATCH("거래금액(만원)",'04A_국토부원자료'!$A$4:$T$4,0)),",","")),"")</f>
        <v/>
      </c>
      <c r="H2877" s="174">
        <f>IF(G2877="","",G2877*10000)</f>
        <v/>
      </c>
      <c r="I2877" s="174">
        <f>IFERROR(IF(AND(H2877&gt;0,E2877&gt;0),H2877/E2877,""),"")</f>
        <v/>
      </c>
      <c r="J2877" s="152">
        <f>IFERROR(VALUE(SUBSTITUTE(INDEX('04A_국토부원자료'!$A:$T,ROW()+1,MATCH("층",'04A_국토부원자료'!$A$4:$T$4,0)),",","")),"")</f>
        <v/>
      </c>
      <c r="K2877" s="152">
        <f>IFERROR(VALUE(SUBSTITUTE(INDEX('04A_국토부원자료'!$A:$T,ROW()+1,MATCH("건축년도",'04A_국토부원자료'!$A$4:$T$4,0)),",","")),"")</f>
        <v/>
      </c>
      <c r="L2877" s="48">
        <f>IFERROR(INDEX('04A_국토부원자료'!$A:$T,ROW()+1,MATCH("도로명",'04A_국토부원자료'!$A$4:$T$4,0)),"")</f>
        <v/>
      </c>
      <c r="M2877" s="48">
        <f>IFERROR(INDEX('04A_국토부원자료'!$A:$T,ROW()+1,MATCH("거래유형",'04A_국토부원자료'!$A$4:$T$4,0)),"")</f>
        <v/>
      </c>
      <c r="N2877" s="152">
        <f>IF(B2877="","",IF('02_대상물건입력'!B5="",1,IF(ISNUMBER(SEARCH('02_대상물건입력'!B5,B2877)),1,0)))</f>
        <v/>
      </c>
      <c r="O2877" s="152">
        <f>IF(B2877="","",IF('02_대상물건입력'!B6="",1,IF(ISNUMBER(SEARCH('02_대상물건입력'!B6,B2877)),1,0)))</f>
        <v/>
      </c>
      <c r="P2877" s="152">
        <f>IF(L2877="","",IF('02_대상물건입력'!B15="",0,IF(ISNUMBER(SEARCH('02_대상물건입력'!B15,L2877)),1,0)))</f>
        <v/>
      </c>
      <c r="Q2877" s="152">
        <f>IF(OR(C2877="",L2877=""),0,IF(AND(TRIM(C2877)=TRIM(RIGHT(SUBSTITUTE(TRIM('02_대상물건입력'!$B$7)," ",REPT(" ",99)),99)),IF('02_대상물건입력'!B15="",TRUE(),ISNUMBER(SEARCH('02_대상물건입력'!B15,L2877)))),1,0))</f>
        <v/>
      </c>
      <c r="R2877" s="175">
        <f>IFERROR(ABS(E2877-'02_대상물건입력'!B11)/'02_대상물건입력'!B11,"")</f>
        <v/>
      </c>
      <c r="S2877" s="152">
        <f>IFERROR(ABS(J2877-'02_대상물건입력'!B10),"")</f>
        <v/>
      </c>
      <c r="T2877" s="152">
        <f>IFERROR(ABS('01_설정'!B4-F2877),"")</f>
        <v/>
      </c>
      <c r="U2877" s="152">
        <f>IFERROR(ABS(K2877-YEAR('02_대상물건입력'!B14)),"")</f>
        <v/>
      </c>
      <c r="V2877" s="152">
        <f>IF(B2877="","",IF(AND(E2877&gt;0,F2877&gt;0,H2877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2877=1,TRUE()),R2877&lt;='01_설정'!B5,S2877&lt;='01_설정'!B6,T2877&lt;='01_설정'!B7,U2877&lt;='01_설정'!B8),"Y",""))</f>
        <v/>
      </c>
      <c r="W2877" s="172">
        <f>IF(V2877&lt;&gt;"Y","",MAX(0,(1-R2877/'01_설정'!B5))*'01_설정'!B14+MAX(0,(1-S2877/'01_설정'!B6))*'01_설정'!B15+MAX(0,(1-T2877/'01_설정'!B7))*'01_설정'!B16+MAX(0,(1-U2877/'01_설정'!B8))*'01_설정'!B17+O2877*'01_설정'!B11+Q2877*'01_설정'!B12+P2877*'01_설정'!B13+IF(Z2877="",0,Z2877))</f>
        <v/>
      </c>
      <c r="X2877" s="152">
        <f>IF(W2877="","",1+COUNTIFS($W$4:$W$3003,"&gt;"&amp;W2877)+COUNTIFS($W$4:W2877,W2877)-1)</f>
        <v/>
      </c>
      <c r="Y2877" s="175">
        <f>IF(OR(I2877="",'02_대상물건입력'!B19="",'02_대상물건입력'!B19&lt;=0),"",ABS(I2877-'02_대상물건입력'!B19)/'02_대상물건입력'!B19)</f>
        <v/>
      </c>
      <c r="Z2877" s="172">
        <f>IF(OR(Y2877="",'01_설정'!B31="",'01_설정'!B31&lt;=0,'01_설정'!B32="",'01_설정'!B32&lt;=0),"",MAX(0,(1-Y2877/'01_설정'!B32))*'01_설정'!B31)</f>
        <v/>
      </c>
    </row>
    <row r="2878" ht="17.25" customHeight="1">
      <c r="A2878" s="152">
        <f>IF(INDEX('04A_국토부원자료'!$A:$A,ROW()+1)="","",ROW()-3)</f>
        <v/>
      </c>
      <c r="B2878" s="48">
        <f>IFERROR(INDEX('04A_국토부원자료'!$A:$T,ROW()+1,MATCH("시군구",'04A_국토부원자료'!$A$4:$T$4,0)),"")</f>
        <v/>
      </c>
      <c r="C2878" s="48">
        <f>IF(B2878="","",IFERROR(INDEX('04A_국토부원자료'!$A:$T,ROW()+1,MATCH("번지",'04A_국토부원자료'!$A$4:$T$4,0)),""))</f>
        <v/>
      </c>
      <c r="D2878" s="48">
        <f>IF(B2878="","",IF(Q2878=1,'02_대상물건입력'!$B$8,IFERROR(INDEX('04A_국토부원자료'!$A:$T,ROW()+1,MATCH("단지명",'04A_국토부원자료'!$A$4:$T$4,0)),"")))</f>
        <v/>
      </c>
      <c r="E2878" s="172">
        <f>IFERROR(VALUE(SUBSTITUTE(INDEX('04A_국토부원자료'!$A:$T,ROW()+1,MATCH("전용면적(㎡)",'04A_국토부원자료'!$A$4:$T$4,0)),",","")),"")</f>
        <v/>
      </c>
      <c r="F28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78" s="51">
        <f>IFERROR(VALUE(SUBSTITUTE(INDEX('04A_국토부원자료'!$A:$T,ROW()+1,MATCH("거래금액(만원)",'04A_국토부원자료'!$A$4:$T$4,0)),",","")),"")</f>
        <v/>
      </c>
      <c r="H2878" s="174">
        <f>IF(G2878="","",G2878*10000)</f>
        <v/>
      </c>
      <c r="I2878" s="174">
        <f>IFERROR(IF(AND(H2878&gt;0,E2878&gt;0),H2878/E2878,""),"")</f>
        <v/>
      </c>
      <c r="J2878" s="152">
        <f>IFERROR(VALUE(SUBSTITUTE(INDEX('04A_국토부원자료'!$A:$T,ROW()+1,MATCH("층",'04A_국토부원자료'!$A$4:$T$4,0)),",","")),"")</f>
        <v/>
      </c>
      <c r="K2878" s="152">
        <f>IFERROR(VALUE(SUBSTITUTE(INDEX('04A_국토부원자료'!$A:$T,ROW()+1,MATCH("건축년도",'04A_국토부원자료'!$A$4:$T$4,0)),",","")),"")</f>
        <v/>
      </c>
      <c r="L2878" s="48">
        <f>IFERROR(INDEX('04A_국토부원자료'!$A:$T,ROW()+1,MATCH("도로명",'04A_국토부원자료'!$A$4:$T$4,0)),"")</f>
        <v/>
      </c>
      <c r="M2878" s="48">
        <f>IFERROR(INDEX('04A_국토부원자료'!$A:$T,ROW()+1,MATCH("거래유형",'04A_국토부원자료'!$A$4:$T$4,0)),"")</f>
        <v/>
      </c>
      <c r="N2878" s="152">
        <f>IF(B2878="","",IF('02_대상물건입력'!B5="",1,IF(ISNUMBER(SEARCH('02_대상물건입력'!B5,B2878)),1,0)))</f>
        <v/>
      </c>
      <c r="O2878" s="152">
        <f>IF(B2878="","",IF('02_대상물건입력'!B6="",1,IF(ISNUMBER(SEARCH('02_대상물건입력'!B6,B2878)),1,0)))</f>
        <v/>
      </c>
      <c r="P2878" s="152">
        <f>IF(L2878="","",IF('02_대상물건입력'!B15="",0,IF(ISNUMBER(SEARCH('02_대상물건입력'!B15,L2878)),1,0)))</f>
        <v/>
      </c>
      <c r="Q2878" s="152">
        <f>IF(OR(C2878="",L2878=""),0,IF(AND(TRIM(C2878)=TRIM(RIGHT(SUBSTITUTE(TRIM('02_대상물건입력'!$B$7)," ",REPT(" ",99)),99)),IF('02_대상물건입력'!B15="",TRUE(),ISNUMBER(SEARCH('02_대상물건입력'!B15,L2878)))),1,0))</f>
        <v/>
      </c>
      <c r="R2878" s="175">
        <f>IFERROR(ABS(E2878-'02_대상물건입력'!B11)/'02_대상물건입력'!B11,"")</f>
        <v/>
      </c>
      <c r="S2878" s="152">
        <f>IFERROR(ABS(J2878-'02_대상물건입력'!B10),"")</f>
        <v/>
      </c>
      <c r="T2878" s="152">
        <f>IFERROR(ABS('01_설정'!B4-F2878),"")</f>
        <v/>
      </c>
      <c r="U2878" s="152">
        <f>IFERROR(ABS(K2878-YEAR('02_대상물건입력'!B14)),"")</f>
        <v/>
      </c>
      <c r="V2878" s="152">
        <f>IF(B2878="","",IF(AND(E2878&gt;0,F2878&gt;0,H2878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2878=1,TRUE()),R2878&lt;='01_설정'!B5,S2878&lt;='01_설정'!B6,T2878&lt;='01_설정'!B7,U2878&lt;='01_설정'!B8),"Y",""))</f>
        <v/>
      </c>
      <c r="W2878" s="172">
        <f>IF(V2878&lt;&gt;"Y","",MAX(0,(1-R2878/'01_설정'!B5))*'01_설정'!B14+MAX(0,(1-S2878/'01_설정'!B6))*'01_설정'!B15+MAX(0,(1-T2878/'01_설정'!B7))*'01_설정'!B16+MAX(0,(1-U2878/'01_설정'!B8))*'01_설정'!B17+O2878*'01_설정'!B11+Q2878*'01_설정'!B12+P2878*'01_설정'!B13+IF(Z2878="",0,Z2878))</f>
        <v/>
      </c>
      <c r="X2878" s="152">
        <f>IF(W2878="","",1+COUNTIFS($W$4:$W$3003,"&gt;"&amp;W2878)+COUNTIFS($W$4:W2878,W2878)-1)</f>
        <v/>
      </c>
      <c r="Y2878" s="175">
        <f>IF(OR(I2878="",'02_대상물건입력'!B19="",'02_대상물건입력'!B19&lt;=0),"",ABS(I2878-'02_대상물건입력'!B19)/'02_대상물건입력'!B19)</f>
        <v/>
      </c>
      <c r="Z2878" s="172">
        <f>IF(OR(Y2878="",'01_설정'!B31="",'01_설정'!B31&lt;=0,'01_설정'!B32="",'01_설정'!B32&lt;=0),"",MAX(0,(1-Y2878/'01_설정'!B32))*'01_설정'!B31)</f>
        <v/>
      </c>
    </row>
    <row r="2879" ht="17.25" customHeight="1">
      <c r="A2879" s="152">
        <f>IF(INDEX('04A_국토부원자료'!$A:$A,ROW()+1)="","",ROW()-3)</f>
        <v/>
      </c>
      <c r="B2879" s="48">
        <f>IFERROR(INDEX('04A_국토부원자료'!$A:$T,ROW()+1,MATCH("시군구",'04A_국토부원자료'!$A$4:$T$4,0)),"")</f>
        <v/>
      </c>
      <c r="C2879" s="48">
        <f>IF(B2879="","",IFERROR(INDEX('04A_국토부원자료'!$A:$T,ROW()+1,MATCH("번지",'04A_국토부원자료'!$A$4:$T$4,0)),""))</f>
        <v/>
      </c>
      <c r="D2879" s="48">
        <f>IF(B2879="","",IF(Q2879=1,'02_대상물건입력'!$B$8,IFERROR(INDEX('04A_국토부원자료'!$A:$T,ROW()+1,MATCH("단지명",'04A_국토부원자료'!$A$4:$T$4,0)),"")))</f>
        <v/>
      </c>
      <c r="E2879" s="172">
        <f>IFERROR(VALUE(SUBSTITUTE(INDEX('04A_국토부원자료'!$A:$T,ROW()+1,MATCH("전용면적(㎡)",'04A_국토부원자료'!$A$4:$T$4,0)),",","")),"")</f>
        <v/>
      </c>
      <c r="F28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79" s="51">
        <f>IFERROR(VALUE(SUBSTITUTE(INDEX('04A_국토부원자료'!$A:$T,ROW()+1,MATCH("거래금액(만원)",'04A_국토부원자료'!$A$4:$T$4,0)),",","")),"")</f>
        <v/>
      </c>
      <c r="H2879" s="174">
        <f>IF(G2879="","",G2879*10000)</f>
        <v/>
      </c>
      <c r="I2879" s="174">
        <f>IFERROR(IF(AND(H2879&gt;0,E2879&gt;0),H2879/E2879,""),"")</f>
        <v/>
      </c>
      <c r="J2879" s="152">
        <f>IFERROR(VALUE(SUBSTITUTE(INDEX('04A_국토부원자료'!$A:$T,ROW()+1,MATCH("층",'04A_국토부원자료'!$A$4:$T$4,0)),",","")),"")</f>
        <v/>
      </c>
      <c r="K2879" s="152">
        <f>IFERROR(VALUE(SUBSTITUTE(INDEX('04A_국토부원자료'!$A:$T,ROW()+1,MATCH("건축년도",'04A_국토부원자료'!$A$4:$T$4,0)),",","")),"")</f>
        <v/>
      </c>
      <c r="L2879" s="48">
        <f>IFERROR(INDEX('04A_국토부원자료'!$A:$T,ROW()+1,MATCH("도로명",'04A_국토부원자료'!$A$4:$T$4,0)),"")</f>
        <v/>
      </c>
      <c r="M2879" s="48">
        <f>IFERROR(INDEX('04A_국토부원자료'!$A:$T,ROW()+1,MATCH("거래유형",'04A_국토부원자료'!$A$4:$T$4,0)),"")</f>
        <v/>
      </c>
      <c r="N2879" s="152">
        <f>IF(B2879="","",IF('02_대상물건입력'!B5="",1,IF(ISNUMBER(SEARCH('02_대상물건입력'!B5,B2879)),1,0)))</f>
        <v/>
      </c>
      <c r="O2879" s="152">
        <f>IF(B2879="","",IF('02_대상물건입력'!B6="",1,IF(ISNUMBER(SEARCH('02_대상물건입력'!B6,B2879)),1,0)))</f>
        <v/>
      </c>
      <c r="P2879" s="152">
        <f>IF(L2879="","",IF('02_대상물건입력'!B15="",0,IF(ISNUMBER(SEARCH('02_대상물건입력'!B15,L2879)),1,0)))</f>
        <v/>
      </c>
      <c r="Q2879" s="152">
        <f>IF(OR(C2879="",L2879=""),0,IF(AND(TRIM(C2879)=TRIM(RIGHT(SUBSTITUTE(TRIM('02_대상물건입력'!$B$7)," ",REPT(" ",99)),99)),IF('02_대상물건입력'!B15="",TRUE(),ISNUMBER(SEARCH('02_대상물건입력'!B15,L2879)))),1,0))</f>
        <v/>
      </c>
      <c r="R2879" s="175">
        <f>IFERROR(ABS(E2879-'02_대상물건입력'!B11)/'02_대상물건입력'!B11,"")</f>
        <v/>
      </c>
      <c r="S2879" s="152">
        <f>IFERROR(ABS(J2879-'02_대상물건입력'!B10),"")</f>
        <v/>
      </c>
      <c r="T2879" s="152">
        <f>IFERROR(ABS('01_설정'!B4-F2879),"")</f>
        <v/>
      </c>
      <c r="U2879" s="152">
        <f>IFERROR(ABS(K2879-YEAR('02_대상물건입력'!B14)),"")</f>
        <v/>
      </c>
      <c r="V2879" s="152">
        <f>IF(B2879="","",IF(AND(E2879&gt;0,F2879&gt;0,H2879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2879=1,TRUE()),R2879&lt;='01_설정'!B5,S2879&lt;='01_설정'!B6,T2879&lt;='01_설정'!B7,U2879&lt;='01_설정'!B8),"Y",""))</f>
        <v/>
      </c>
      <c r="W2879" s="172">
        <f>IF(V2879&lt;&gt;"Y","",MAX(0,(1-R2879/'01_설정'!B5))*'01_설정'!B14+MAX(0,(1-S2879/'01_설정'!B6))*'01_설정'!B15+MAX(0,(1-T2879/'01_설정'!B7))*'01_설정'!B16+MAX(0,(1-U2879/'01_설정'!B8))*'01_설정'!B17+O2879*'01_설정'!B11+Q2879*'01_설정'!B12+P2879*'01_설정'!B13+IF(Z2879="",0,Z2879))</f>
        <v/>
      </c>
      <c r="X2879" s="152">
        <f>IF(W2879="","",1+COUNTIFS($W$4:$W$3003,"&gt;"&amp;W2879)+COUNTIFS($W$4:W2879,W2879)-1)</f>
        <v/>
      </c>
      <c r="Y2879" s="175">
        <f>IF(OR(I2879="",'02_대상물건입력'!B19="",'02_대상물건입력'!B19&lt;=0),"",ABS(I2879-'02_대상물건입력'!B19)/'02_대상물건입력'!B19)</f>
        <v/>
      </c>
      <c r="Z2879" s="172">
        <f>IF(OR(Y2879="",'01_설정'!B31="",'01_설정'!B31&lt;=0,'01_설정'!B32="",'01_설정'!B32&lt;=0),"",MAX(0,(1-Y2879/'01_설정'!B32))*'01_설정'!B31)</f>
        <v/>
      </c>
    </row>
    <row r="2880" ht="17.25" customHeight="1">
      <c r="A2880" s="152">
        <f>IF(INDEX('04A_국토부원자료'!$A:$A,ROW()+1)="","",ROW()-3)</f>
        <v/>
      </c>
      <c r="B2880" s="48">
        <f>IFERROR(INDEX('04A_국토부원자료'!$A:$T,ROW()+1,MATCH("시군구",'04A_국토부원자료'!$A$4:$T$4,0)),"")</f>
        <v/>
      </c>
      <c r="C2880" s="48">
        <f>IF(B2880="","",IFERROR(INDEX('04A_국토부원자료'!$A:$T,ROW()+1,MATCH("번지",'04A_국토부원자료'!$A$4:$T$4,0)),""))</f>
        <v/>
      </c>
      <c r="D2880" s="48">
        <f>IF(B2880="","",IF(Q2880=1,'02_대상물건입력'!$B$8,IFERROR(INDEX('04A_국토부원자료'!$A:$T,ROW()+1,MATCH("단지명",'04A_국토부원자료'!$A$4:$T$4,0)),"")))</f>
        <v/>
      </c>
      <c r="E2880" s="172">
        <f>IFERROR(VALUE(SUBSTITUTE(INDEX('04A_국토부원자료'!$A:$T,ROW()+1,MATCH("전용면적(㎡)",'04A_국토부원자료'!$A$4:$T$4,0)),",","")),"")</f>
        <v/>
      </c>
      <c r="F28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80" s="51">
        <f>IFERROR(VALUE(SUBSTITUTE(INDEX('04A_국토부원자료'!$A:$T,ROW()+1,MATCH("거래금액(만원)",'04A_국토부원자료'!$A$4:$T$4,0)),",","")),"")</f>
        <v/>
      </c>
      <c r="H2880" s="174">
        <f>IF(G2880="","",G2880*10000)</f>
        <v/>
      </c>
      <c r="I2880" s="174">
        <f>IFERROR(IF(AND(H2880&gt;0,E2880&gt;0),H2880/E2880,""),"")</f>
        <v/>
      </c>
      <c r="J2880" s="152">
        <f>IFERROR(VALUE(SUBSTITUTE(INDEX('04A_국토부원자료'!$A:$T,ROW()+1,MATCH("층",'04A_국토부원자료'!$A$4:$T$4,0)),",","")),"")</f>
        <v/>
      </c>
      <c r="K2880" s="152">
        <f>IFERROR(VALUE(SUBSTITUTE(INDEX('04A_국토부원자료'!$A:$T,ROW()+1,MATCH("건축년도",'04A_국토부원자료'!$A$4:$T$4,0)),",","")),"")</f>
        <v/>
      </c>
      <c r="L2880" s="48">
        <f>IFERROR(INDEX('04A_국토부원자료'!$A:$T,ROW()+1,MATCH("도로명",'04A_국토부원자료'!$A$4:$T$4,0)),"")</f>
        <v/>
      </c>
      <c r="M2880" s="48">
        <f>IFERROR(INDEX('04A_국토부원자료'!$A:$T,ROW()+1,MATCH("거래유형",'04A_국토부원자료'!$A$4:$T$4,0)),"")</f>
        <v/>
      </c>
      <c r="N2880" s="152">
        <f>IF(B2880="","",IF('02_대상물건입력'!B5="",1,IF(ISNUMBER(SEARCH('02_대상물건입력'!B5,B2880)),1,0)))</f>
        <v/>
      </c>
      <c r="O2880" s="152">
        <f>IF(B2880="","",IF('02_대상물건입력'!B6="",1,IF(ISNUMBER(SEARCH('02_대상물건입력'!B6,B2880)),1,0)))</f>
        <v/>
      </c>
      <c r="P2880" s="152">
        <f>IF(L2880="","",IF('02_대상물건입력'!B15="",0,IF(ISNUMBER(SEARCH('02_대상물건입력'!B15,L2880)),1,0)))</f>
        <v/>
      </c>
      <c r="Q2880" s="152">
        <f>IF(OR(C2880="",L2880=""),0,IF(AND(TRIM(C2880)=TRIM(RIGHT(SUBSTITUTE(TRIM('02_대상물건입력'!$B$7)," ",REPT(" ",99)),99)),IF('02_대상물건입력'!B15="",TRUE(),ISNUMBER(SEARCH('02_대상물건입력'!B15,L2880)))),1,0))</f>
        <v/>
      </c>
      <c r="R2880" s="175">
        <f>IFERROR(ABS(E2880-'02_대상물건입력'!B11)/'02_대상물건입력'!B11,"")</f>
        <v/>
      </c>
      <c r="S2880" s="152">
        <f>IFERROR(ABS(J2880-'02_대상물건입력'!B10),"")</f>
        <v/>
      </c>
      <c r="T2880" s="152">
        <f>IFERROR(ABS('01_설정'!B4-F2880),"")</f>
        <v/>
      </c>
      <c r="U2880" s="152">
        <f>IFERROR(ABS(K2880-YEAR('02_대상물건입력'!B14)),"")</f>
        <v/>
      </c>
      <c r="V2880" s="152">
        <f>IF(B2880="","",IF(AND(E2880&gt;0,F2880&gt;0,H2880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2880=1,TRUE()),R2880&lt;='01_설정'!B5,S2880&lt;='01_설정'!B6,T2880&lt;='01_설정'!B7,U2880&lt;='01_설정'!B8),"Y",""))</f>
        <v/>
      </c>
      <c r="W2880" s="172">
        <f>IF(V2880&lt;&gt;"Y","",MAX(0,(1-R2880/'01_설정'!B5))*'01_설정'!B14+MAX(0,(1-S2880/'01_설정'!B6))*'01_설정'!B15+MAX(0,(1-T2880/'01_설정'!B7))*'01_설정'!B16+MAX(0,(1-U2880/'01_설정'!B8))*'01_설정'!B17+O2880*'01_설정'!B11+Q2880*'01_설정'!B12+P2880*'01_설정'!B13+IF(Z2880="",0,Z2880))</f>
        <v/>
      </c>
      <c r="X2880" s="152">
        <f>IF(W2880="","",1+COUNTIFS($W$4:$W$3003,"&gt;"&amp;W2880)+COUNTIFS($W$4:W2880,W2880)-1)</f>
        <v/>
      </c>
      <c r="Y2880" s="175">
        <f>IF(OR(I2880="",'02_대상물건입력'!B19="",'02_대상물건입력'!B19&lt;=0),"",ABS(I2880-'02_대상물건입력'!B19)/'02_대상물건입력'!B19)</f>
        <v/>
      </c>
      <c r="Z2880" s="172">
        <f>IF(OR(Y2880="",'01_설정'!B31="",'01_설정'!B31&lt;=0,'01_설정'!B32="",'01_설정'!B32&lt;=0),"",MAX(0,(1-Y2880/'01_설정'!B32))*'01_설정'!B31)</f>
        <v/>
      </c>
    </row>
    <row r="2881" ht="17.25" customHeight="1">
      <c r="A2881" s="152">
        <f>IF(INDEX('04A_국토부원자료'!$A:$A,ROW()+1)="","",ROW()-3)</f>
        <v/>
      </c>
      <c r="B2881" s="48">
        <f>IFERROR(INDEX('04A_국토부원자료'!$A:$T,ROW()+1,MATCH("시군구",'04A_국토부원자료'!$A$4:$T$4,0)),"")</f>
        <v/>
      </c>
      <c r="C2881" s="48">
        <f>IF(B2881="","",IFERROR(INDEX('04A_국토부원자료'!$A:$T,ROW()+1,MATCH("번지",'04A_국토부원자료'!$A$4:$T$4,0)),""))</f>
        <v/>
      </c>
      <c r="D2881" s="48">
        <f>IF(B2881="","",IF(Q2881=1,'02_대상물건입력'!$B$8,IFERROR(INDEX('04A_국토부원자료'!$A:$T,ROW()+1,MATCH("단지명",'04A_국토부원자료'!$A$4:$T$4,0)),"")))</f>
        <v/>
      </c>
      <c r="E2881" s="172">
        <f>IFERROR(VALUE(SUBSTITUTE(INDEX('04A_국토부원자료'!$A:$T,ROW()+1,MATCH("전용면적(㎡)",'04A_국토부원자료'!$A$4:$T$4,0)),",","")),"")</f>
        <v/>
      </c>
      <c r="F28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81" s="51">
        <f>IFERROR(VALUE(SUBSTITUTE(INDEX('04A_국토부원자료'!$A:$T,ROW()+1,MATCH("거래금액(만원)",'04A_국토부원자료'!$A$4:$T$4,0)),",","")),"")</f>
        <v/>
      </c>
      <c r="H2881" s="174">
        <f>IF(G2881="","",G2881*10000)</f>
        <v/>
      </c>
      <c r="I2881" s="174">
        <f>IFERROR(IF(AND(H2881&gt;0,E2881&gt;0),H2881/E2881,""),"")</f>
        <v/>
      </c>
      <c r="J2881" s="152">
        <f>IFERROR(VALUE(SUBSTITUTE(INDEX('04A_국토부원자료'!$A:$T,ROW()+1,MATCH("층",'04A_국토부원자료'!$A$4:$T$4,0)),",","")),"")</f>
        <v/>
      </c>
      <c r="K2881" s="152">
        <f>IFERROR(VALUE(SUBSTITUTE(INDEX('04A_국토부원자료'!$A:$T,ROW()+1,MATCH("건축년도",'04A_국토부원자료'!$A$4:$T$4,0)),",","")),"")</f>
        <v/>
      </c>
      <c r="L2881" s="48">
        <f>IFERROR(INDEX('04A_국토부원자료'!$A:$T,ROW()+1,MATCH("도로명",'04A_국토부원자료'!$A$4:$T$4,0)),"")</f>
        <v/>
      </c>
      <c r="M2881" s="48">
        <f>IFERROR(INDEX('04A_국토부원자료'!$A:$T,ROW()+1,MATCH("거래유형",'04A_국토부원자료'!$A$4:$T$4,0)),"")</f>
        <v/>
      </c>
      <c r="N2881" s="152">
        <f>IF(B2881="","",IF('02_대상물건입력'!B5="",1,IF(ISNUMBER(SEARCH('02_대상물건입력'!B5,B2881)),1,0)))</f>
        <v/>
      </c>
      <c r="O2881" s="152">
        <f>IF(B2881="","",IF('02_대상물건입력'!B6="",1,IF(ISNUMBER(SEARCH('02_대상물건입력'!B6,B2881)),1,0)))</f>
        <v/>
      </c>
      <c r="P2881" s="152">
        <f>IF(L2881="","",IF('02_대상물건입력'!B15="",0,IF(ISNUMBER(SEARCH('02_대상물건입력'!B15,L2881)),1,0)))</f>
        <v/>
      </c>
      <c r="Q2881" s="152">
        <f>IF(OR(C2881="",L2881=""),0,IF(AND(TRIM(C2881)=TRIM(RIGHT(SUBSTITUTE(TRIM('02_대상물건입력'!$B$7)," ",REPT(" ",99)),99)),IF('02_대상물건입력'!B15="",TRUE(),ISNUMBER(SEARCH('02_대상물건입력'!B15,L2881)))),1,0))</f>
        <v/>
      </c>
      <c r="R2881" s="175">
        <f>IFERROR(ABS(E2881-'02_대상물건입력'!B11)/'02_대상물건입력'!B11,"")</f>
        <v/>
      </c>
      <c r="S2881" s="152">
        <f>IFERROR(ABS(J2881-'02_대상물건입력'!B10),"")</f>
        <v/>
      </c>
      <c r="T2881" s="152">
        <f>IFERROR(ABS('01_설정'!B4-F2881),"")</f>
        <v/>
      </c>
      <c r="U2881" s="152">
        <f>IFERROR(ABS(K2881-YEAR('02_대상물건입력'!B14)),"")</f>
        <v/>
      </c>
      <c r="V2881" s="152">
        <f>IF(B2881="","",IF(AND(E2881&gt;0,F2881&gt;0,H2881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2881=1,TRUE()),R2881&lt;='01_설정'!B5,S2881&lt;='01_설정'!B6,T2881&lt;='01_설정'!B7,U2881&lt;='01_설정'!B8),"Y",""))</f>
        <v/>
      </c>
      <c r="W2881" s="172">
        <f>IF(V2881&lt;&gt;"Y","",MAX(0,(1-R2881/'01_설정'!B5))*'01_설정'!B14+MAX(0,(1-S2881/'01_설정'!B6))*'01_설정'!B15+MAX(0,(1-T2881/'01_설정'!B7))*'01_설정'!B16+MAX(0,(1-U2881/'01_설정'!B8))*'01_설정'!B17+O2881*'01_설정'!B11+Q2881*'01_설정'!B12+P2881*'01_설정'!B13+IF(Z2881="",0,Z2881))</f>
        <v/>
      </c>
      <c r="X2881" s="152">
        <f>IF(W2881="","",1+COUNTIFS($W$4:$W$3003,"&gt;"&amp;W2881)+COUNTIFS($W$4:W2881,W2881)-1)</f>
        <v/>
      </c>
      <c r="Y2881" s="175">
        <f>IF(OR(I2881="",'02_대상물건입력'!B19="",'02_대상물건입력'!B19&lt;=0),"",ABS(I2881-'02_대상물건입력'!B19)/'02_대상물건입력'!B19)</f>
        <v/>
      </c>
      <c r="Z2881" s="172">
        <f>IF(OR(Y2881="",'01_설정'!B31="",'01_설정'!B31&lt;=0,'01_설정'!B32="",'01_설정'!B32&lt;=0),"",MAX(0,(1-Y2881/'01_설정'!B32))*'01_설정'!B31)</f>
        <v/>
      </c>
    </row>
    <row r="2882" ht="17.25" customHeight="1">
      <c r="A2882" s="152">
        <f>IF(INDEX('04A_국토부원자료'!$A:$A,ROW()+1)="","",ROW()-3)</f>
        <v/>
      </c>
      <c r="B2882" s="48">
        <f>IFERROR(INDEX('04A_국토부원자료'!$A:$T,ROW()+1,MATCH("시군구",'04A_국토부원자료'!$A$4:$T$4,0)),"")</f>
        <v/>
      </c>
      <c r="C2882" s="48">
        <f>IF(B2882="","",IFERROR(INDEX('04A_국토부원자료'!$A:$T,ROW()+1,MATCH("번지",'04A_국토부원자료'!$A$4:$T$4,0)),""))</f>
        <v/>
      </c>
      <c r="D2882" s="48">
        <f>IF(B2882="","",IF(Q2882=1,'02_대상물건입력'!$B$8,IFERROR(INDEX('04A_국토부원자료'!$A:$T,ROW()+1,MATCH("단지명",'04A_국토부원자료'!$A$4:$T$4,0)),"")))</f>
        <v/>
      </c>
      <c r="E2882" s="172">
        <f>IFERROR(VALUE(SUBSTITUTE(INDEX('04A_국토부원자료'!$A:$T,ROW()+1,MATCH("전용면적(㎡)",'04A_국토부원자료'!$A$4:$T$4,0)),",","")),"")</f>
        <v/>
      </c>
      <c r="F28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82" s="51">
        <f>IFERROR(VALUE(SUBSTITUTE(INDEX('04A_국토부원자료'!$A:$T,ROW()+1,MATCH("거래금액(만원)",'04A_국토부원자료'!$A$4:$T$4,0)),",","")),"")</f>
        <v/>
      </c>
      <c r="H2882" s="174">
        <f>IF(G2882="","",G2882*10000)</f>
        <v/>
      </c>
      <c r="I2882" s="174">
        <f>IFERROR(IF(AND(H2882&gt;0,E2882&gt;0),H2882/E2882,""),"")</f>
        <v/>
      </c>
      <c r="J2882" s="152">
        <f>IFERROR(VALUE(SUBSTITUTE(INDEX('04A_국토부원자료'!$A:$T,ROW()+1,MATCH("층",'04A_국토부원자료'!$A$4:$T$4,0)),",","")),"")</f>
        <v/>
      </c>
      <c r="K2882" s="152">
        <f>IFERROR(VALUE(SUBSTITUTE(INDEX('04A_국토부원자료'!$A:$T,ROW()+1,MATCH("건축년도",'04A_국토부원자료'!$A$4:$T$4,0)),",","")),"")</f>
        <v/>
      </c>
      <c r="L2882" s="48">
        <f>IFERROR(INDEX('04A_국토부원자료'!$A:$T,ROW()+1,MATCH("도로명",'04A_국토부원자료'!$A$4:$T$4,0)),"")</f>
        <v/>
      </c>
      <c r="M2882" s="48">
        <f>IFERROR(INDEX('04A_국토부원자료'!$A:$T,ROW()+1,MATCH("거래유형",'04A_국토부원자료'!$A$4:$T$4,0)),"")</f>
        <v/>
      </c>
      <c r="N2882" s="152">
        <f>IF(B2882="","",IF('02_대상물건입력'!B5="",1,IF(ISNUMBER(SEARCH('02_대상물건입력'!B5,B2882)),1,0)))</f>
        <v/>
      </c>
      <c r="O2882" s="152">
        <f>IF(B2882="","",IF('02_대상물건입력'!B6="",1,IF(ISNUMBER(SEARCH('02_대상물건입력'!B6,B2882)),1,0)))</f>
        <v/>
      </c>
      <c r="P2882" s="152">
        <f>IF(L2882="","",IF('02_대상물건입력'!B15="",0,IF(ISNUMBER(SEARCH('02_대상물건입력'!B15,L2882)),1,0)))</f>
        <v/>
      </c>
      <c r="Q2882" s="152">
        <f>IF(OR(C2882="",L2882=""),0,IF(AND(TRIM(C2882)=TRIM(RIGHT(SUBSTITUTE(TRIM('02_대상물건입력'!$B$7)," ",REPT(" ",99)),99)),IF('02_대상물건입력'!B15="",TRUE(),ISNUMBER(SEARCH('02_대상물건입력'!B15,L2882)))),1,0))</f>
        <v/>
      </c>
      <c r="R2882" s="175">
        <f>IFERROR(ABS(E2882-'02_대상물건입력'!B11)/'02_대상물건입력'!B11,"")</f>
        <v/>
      </c>
      <c r="S2882" s="152">
        <f>IFERROR(ABS(J2882-'02_대상물건입력'!B10),"")</f>
        <v/>
      </c>
      <c r="T2882" s="152">
        <f>IFERROR(ABS('01_설정'!B4-F2882),"")</f>
        <v/>
      </c>
      <c r="U2882" s="152">
        <f>IFERROR(ABS(K2882-YEAR('02_대상물건입력'!B14)),"")</f>
        <v/>
      </c>
      <c r="V2882" s="152">
        <f>IF(B2882="","",IF(AND(E2882&gt;0,F2882&gt;0,H2882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2882=1,TRUE()),R2882&lt;='01_설정'!B5,S2882&lt;='01_설정'!B6,T2882&lt;='01_설정'!B7,U2882&lt;='01_설정'!B8),"Y",""))</f>
        <v/>
      </c>
      <c r="W2882" s="172">
        <f>IF(V2882&lt;&gt;"Y","",MAX(0,(1-R2882/'01_설정'!B5))*'01_설정'!B14+MAX(0,(1-S2882/'01_설정'!B6))*'01_설정'!B15+MAX(0,(1-T2882/'01_설정'!B7))*'01_설정'!B16+MAX(0,(1-U2882/'01_설정'!B8))*'01_설정'!B17+O2882*'01_설정'!B11+Q2882*'01_설정'!B12+P2882*'01_설정'!B13+IF(Z2882="",0,Z2882))</f>
        <v/>
      </c>
      <c r="X2882" s="152">
        <f>IF(W2882="","",1+COUNTIFS($W$4:$W$3003,"&gt;"&amp;W2882)+COUNTIFS($W$4:W2882,W2882)-1)</f>
        <v/>
      </c>
      <c r="Y2882" s="175">
        <f>IF(OR(I2882="",'02_대상물건입력'!B19="",'02_대상물건입력'!B19&lt;=0),"",ABS(I2882-'02_대상물건입력'!B19)/'02_대상물건입력'!B19)</f>
        <v/>
      </c>
      <c r="Z2882" s="172">
        <f>IF(OR(Y2882="",'01_설정'!B31="",'01_설정'!B31&lt;=0,'01_설정'!B32="",'01_설정'!B32&lt;=0),"",MAX(0,(1-Y2882/'01_설정'!B32))*'01_설정'!B31)</f>
        <v/>
      </c>
    </row>
    <row r="2883" ht="17.25" customHeight="1">
      <c r="A2883" s="152">
        <f>IF(INDEX('04A_국토부원자료'!$A:$A,ROW()+1)="","",ROW()-3)</f>
        <v/>
      </c>
      <c r="B2883" s="48">
        <f>IFERROR(INDEX('04A_국토부원자료'!$A:$T,ROW()+1,MATCH("시군구",'04A_국토부원자료'!$A$4:$T$4,0)),"")</f>
        <v/>
      </c>
      <c r="C2883" s="48">
        <f>IF(B2883="","",IFERROR(INDEX('04A_국토부원자료'!$A:$T,ROW()+1,MATCH("번지",'04A_국토부원자료'!$A$4:$T$4,0)),""))</f>
        <v/>
      </c>
      <c r="D2883" s="48">
        <f>IF(B2883="","",IF(Q2883=1,'02_대상물건입력'!$B$8,IFERROR(INDEX('04A_국토부원자료'!$A:$T,ROW()+1,MATCH("단지명",'04A_국토부원자료'!$A$4:$T$4,0)),"")))</f>
        <v/>
      </c>
      <c r="E2883" s="172">
        <f>IFERROR(VALUE(SUBSTITUTE(INDEX('04A_국토부원자료'!$A:$T,ROW()+1,MATCH("전용면적(㎡)",'04A_국토부원자료'!$A$4:$T$4,0)),",","")),"")</f>
        <v/>
      </c>
      <c r="F28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83" s="51">
        <f>IFERROR(VALUE(SUBSTITUTE(INDEX('04A_국토부원자료'!$A:$T,ROW()+1,MATCH("거래금액(만원)",'04A_국토부원자료'!$A$4:$T$4,0)),",","")),"")</f>
        <v/>
      </c>
      <c r="H2883" s="174">
        <f>IF(G2883="","",G2883*10000)</f>
        <v/>
      </c>
      <c r="I2883" s="174">
        <f>IFERROR(IF(AND(H2883&gt;0,E2883&gt;0),H2883/E2883,""),"")</f>
        <v/>
      </c>
      <c r="J2883" s="152">
        <f>IFERROR(VALUE(SUBSTITUTE(INDEX('04A_국토부원자료'!$A:$T,ROW()+1,MATCH("층",'04A_국토부원자료'!$A$4:$T$4,0)),",","")),"")</f>
        <v/>
      </c>
      <c r="K2883" s="152">
        <f>IFERROR(VALUE(SUBSTITUTE(INDEX('04A_국토부원자료'!$A:$T,ROW()+1,MATCH("건축년도",'04A_국토부원자료'!$A$4:$T$4,0)),",","")),"")</f>
        <v/>
      </c>
      <c r="L2883" s="48">
        <f>IFERROR(INDEX('04A_국토부원자료'!$A:$T,ROW()+1,MATCH("도로명",'04A_국토부원자료'!$A$4:$T$4,0)),"")</f>
        <v/>
      </c>
      <c r="M2883" s="48">
        <f>IFERROR(INDEX('04A_국토부원자료'!$A:$T,ROW()+1,MATCH("거래유형",'04A_국토부원자료'!$A$4:$T$4,0)),"")</f>
        <v/>
      </c>
      <c r="N2883" s="152">
        <f>IF(B2883="","",IF('02_대상물건입력'!B5="",1,IF(ISNUMBER(SEARCH('02_대상물건입력'!B5,B2883)),1,0)))</f>
        <v/>
      </c>
      <c r="O2883" s="152">
        <f>IF(B2883="","",IF('02_대상물건입력'!B6="",1,IF(ISNUMBER(SEARCH('02_대상물건입력'!B6,B2883)),1,0)))</f>
        <v/>
      </c>
      <c r="P2883" s="152">
        <f>IF(L2883="","",IF('02_대상물건입력'!B15="",0,IF(ISNUMBER(SEARCH('02_대상물건입력'!B15,L2883)),1,0)))</f>
        <v/>
      </c>
      <c r="Q2883" s="152">
        <f>IF(OR(C2883="",L2883=""),0,IF(AND(TRIM(C2883)=TRIM(RIGHT(SUBSTITUTE(TRIM('02_대상물건입력'!$B$7)," ",REPT(" ",99)),99)),IF('02_대상물건입력'!B15="",TRUE(),ISNUMBER(SEARCH('02_대상물건입력'!B15,L2883)))),1,0))</f>
        <v/>
      </c>
      <c r="R2883" s="175">
        <f>IFERROR(ABS(E2883-'02_대상물건입력'!B11)/'02_대상물건입력'!B11,"")</f>
        <v/>
      </c>
      <c r="S2883" s="152">
        <f>IFERROR(ABS(J2883-'02_대상물건입력'!B10),"")</f>
        <v/>
      </c>
      <c r="T2883" s="152">
        <f>IFERROR(ABS('01_설정'!B4-F2883),"")</f>
        <v/>
      </c>
      <c r="U2883" s="152">
        <f>IFERROR(ABS(K2883-YEAR('02_대상물건입력'!B14)),"")</f>
        <v/>
      </c>
      <c r="V2883" s="152">
        <f>IF(B2883="","",IF(AND(E2883&gt;0,F2883&gt;0,H2883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2883=1,TRUE()),R2883&lt;='01_설정'!B5,S2883&lt;='01_설정'!B6,T2883&lt;='01_설정'!B7,U2883&lt;='01_설정'!B8),"Y",""))</f>
        <v/>
      </c>
      <c r="W2883" s="172">
        <f>IF(V2883&lt;&gt;"Y","",MAX(0,(1-R2883/'01_설정'!B5))*'01_설정'!B14+MAX(0,(1-S2883/'01_설정'!B6))*'01_설정'!B15+MAX(0,(1-T2883/'01_설정'!B7))*'01_설정'!B16+MAX(0,(1-U2883/'01_설정'!B8))*'01_설정'!B17+O2883*'01_설정'!B11+Q2883*'01_설정'!B12+P2883*'01_설정'!B13+IF(Z2883="",0,Z2883))</f>
        <v/>
      </c>
      <c r="X2883" s="152">
        <f>IF(W2883="","",1+COUNTIFS($W$4:$W$3003,"&gt;"&amp;W2883)+COUNTIFS($W$4:W2883,W2883)-1)</f>
        <v/>
      </c>
      <c r="Y2883" s="175">
        <f>IF(OR(I2883="",'02_대상물건입력'!B19="",'02_대상물건입력'!B19&lt;=0),"",ABS(I2883-'02_대상물건입력'!B19)/'02_대상물건입력'!B19)</f>
        <v/>
      </c>
      <c r="Z2883" s="172">
        <f>IF(OR(Y2883="",'01_설정'!B31="",'01_설정'!B31&lt;=0,'01_설정'!B32="",'01_설정'!B32&lt;=0),"",MAX(0,(1-Y2883/'01_설정'!B32))*'01_설정'!B31)</f>
        <v/>
      </c>
    </row>
    <row r="2884" ht="17.25" customHeight="1">
      <c r="A2884" s="152">
        <f>IF(INDEX('04A_국토부원자료'!$A:$A,ROW()+1)="","",ROW()-3)</f>
        <v/>
      </c>
      <c r="B2884" s="48">
        <f>IFERROR(INDEX('04A_국토부원자료'!$A:$T,ROW()+1,MATCH("시군구",'04A_국토부원자료'!$A$4:$T$4,0)),"")</f>
        <v/>
      </c>
      <c r="C2884" s="48">
        <f>IF(B2884="","",IFERROR(INDEX('04A_국토부원자료'!$A:$T,ROW()+1,MATCH("번지",'04A_국토부원자료'!$A$4:$T$4,0)),""))</f>
        <v/>
      </c>
      <c r="D2884" s="48">
        <f>IF(B2884="","",IF(Q2884=1,'02_대상물건입력'!$B$8,IFERROR(INDEX('04A_국토부원자료'!$A:$T,ROW()+1,MATCH("단지명",'04A_국토부원자료'!$A$4:$T$4,0)),"")))</f>
        <v/>
      </c>
      <c r="E2884" s="172">
        <f>IFERROR(VALUE(SUBSTITUTE(INDEX('04A_국토부원자료'!$A:$T,ROW()+1,MATCH("전용면적(㎡)",'04A_국토부원자료'!$A$4:$T$4,0)),",","")),"")</f>
        <v/>
      </c>
      <c r="F28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84" s="51">
        <f>IFERROR(VALUE(SUBSTITUTE(INDEX('04A_국토부원자료'!$A:$T,ROW()+1,MATCH("거래금액(만원)",'04A_국토부원자료'!$A$4:$T$4,0)),",","")),"")</f>
        <v/>
      </c>
      <c r="H2884" s="174">
        <f>IF(G2884="","",G2884*10000)</f>
        <v/>
      </c>
      <c r="I2884" s="174">
        <f>IFERROR(IF(AND(H2884&gt;0,E2884&gt;0),H2884/E2884,""),"")</f>
        <v/>
      </c>
      <c r="J2884" s="152">
        <f>IFERROR(VALUE(SUBSTITUTE(INDEX('04A_국토부원자료'!$A:$T,ROW()+1,MATCH("층",'04A_국토부원자료'!$A$4:$T$4,0)),",","")),"")</f>
        <v/>
      </c>
      <c r="K2884" s="152">
        <f>IFERROR(VALUE(SUBSTITUTE(INDEX('04A_국토부원자료'!$A:$T,ROW()+1,MATCH("건축년도",'04A_국토부원자료'!$A$4:$T$4,0)),",","")),"")</f>
        <v/>
      </c>
      <c r="L2884" s="48">
        <f>IFERROR(INDEX('04A_국토부원자료'!$A:$T,ROW()+1,MATCH("도로명",'04A_국토부원자료'!$A$4:$T$4,0)),"")</f>
        <v/>
      </c>
      <c r="M2884" s="48">
        <f>IFERROR(INDEX('04A_국토부원자료'!$A:$T,ROW()+1,MATCH("거래유형",'04A_국토부원자료'!$A$4:$T$4,0)),"")</f>
        <v/>
      </c>
      <c r="N2884" s="152">
        <f>IF(B2884="","",IF('02_대상물건입력'!B5="",1,IF(ISNUMBER(SEARCH('02_대상물건입력'!B5,B2884)),1,0)))</f>
        <v/>
      </c>
      <c r="O2884" s="152">
        <f>IF(B2884="","",IF('02_대상물건입력'!B6="",1,IF(ISNUMBER(SEARCH('02_대상물건입력'!B6,B2884)),1,0)))</f>
        <v/>
      </c>
      <c r="P2884" s="152">
        <f>IF(L2884="","",IF('02_대상물건입력'!B15="",0,IF(ISNUMBER(SEARCH('02_대상물건입력'!B15,L2884)),1,0)))</f>
        <v/>
      </c>
      <c r="Q2884" s="152">
        <f>IF(OR(C2884="",L2884=""),0,IF(AND(TRIM(C2884)=TRIM(RIGHT(SUBSTITUTE(TRIM('02_대상물건입력'!$B$7)," ",REPT(" ",99)),99)),IF('02_대상물건입력'!B15="",TRUE(),ISNUMBER(SEARCH('02_대상물건입력'!B15,L2884)))),1,0))</f>
        <v/>
      </c>
      <c r="R2884" s="175">
        <f>IFERROR(ABS(E2884-'02_대상물건입력'!B11)/'02_대상물건입력'!B11,"")</f>
        <v/>
      </c>
      <c r="S2884" s="152">
        <f>IFERROR(ABS(J2884-'02_대상물건입력'!B10),"")</f>
        <v/>
      </c>
      <c r="T2884" s="152">
        <f>IFERROR(ABS('01_설정'!B4-F2884),"")</f>
        <v/>
      </c>
      <c r="U2884" s="152">
        <f>IFERROR(ABS(K2884-YEAR('02_대상물건입력'!B14)),"")</f>
        <v/>
      </c>
      <c r="V2884" s="152">
        <f>IF(B2884="","",IF(AND(E2884&gt;0,F2884&gt;0,H2884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2884=1,TRUE()),R2884&lt;='01_설정'!B5,S2884&lt;='01_설정'!B6,T2884&lt;='01_설정'!B7,U2884&lt;='01_설정'!B8),"Y",""))</f>
        <v/>
      </c>
      <c r="W2884" s="172">
        <f>IF(V2884&lt;&gt;"Y","",MAX(0,(1-R2884/'01_설정'!B5))*'01_설정'!B14+MAX(0,(1-S2884/'01_설정'!B6))*'01_설정'!B15+MAX(0,(1-T2884/'01_설정'!B7))*'01_설정'!B16+MAX(0,(1-U2884/'01_설정'!B8))*'01_설정'!B17+O2884*'01_설정'!B11+Q2884*'01_설정'!B12+P2884*'01_설정'!B13+IF(Z2884="",0,Z2884))</f>
        <v/>
      </c>
      <c r="X2884" s="152">
        <f>IF(W2884="","",1+COUNTIFS($W$4:$W$3003,"&gt;"&amp;W2884)+COUNTIFS($W$4:W2884,W2884)-1)</f>
        <v/>
      </c>
      <c r="Y2884" s="175">
        <f>IF(OR(I2884="",'02_대상물건입력'!B19="",'02_대상물건입력'!B19&lt;=0),"",ABS(I2884-'02_대상물건입력'!B19)/'02_대상물건입력'!B19)</f>
        <v/>
      </c>
      <c r="Z2884" s="172">
        <f>IF(OR(Y2884="",'01_설정'!B31="",'01_설정'!B31&lt;=0,'01_설정'!B32="",'01_설정'!B32&lt;=0),"",MAX(0,(1-Y2884/'01_설정'!B32))*'01_설정'!B31)</f>
        <v/>
      </c>
    </row>
    <row r="2885" ht="17.25" customHeight="1">
      <c r="A2885" s="152">
        <f>IF(INDEX('04A_국토부원자료'!$A:$A,ROW()+1)="","",ROW()-3)</f>
        <v/>
      </c>
      <c r="B2885" s="48">
        <f>IFERROR(INDEX('04A_국토부원자료'!$A:$T,ROW()+1,MATCH("시군구",'04A_국토부원자료'!$A$4:$T$4,0)),"")</f>
        <v/>
      </c>
      <c r="C2885" s="48">
        <f>IF(B2885="","",IFERROR(INDEX('04A_국토부원자료'!$A:$T,ROW()+1,MATCH("번지",'04A_국토부원자료'!$A$4:$T$4,0)),""))</f>
        <v/>
      </c>
      <c r="D2885" s="48">
        <f>IF(B2885="","",IF(Q2885=1,'02_대상물건입력'!$B$8,IFERROR(INDEX('04A_국토부원자료'!$A:$T,ROW()+1,MATCH("단지명",'04A_국토부원자료'!$A$4:$T$4,0)),"")))</f>
        <v/>
      </c>
      <c r="E2885" s="172">
        <f>IFERROR(VALUE(SUBSTITUTE(INDEX('04A_국토부원자료'!$A:$T,ROW()+1,MATCH("전용면적(㎡)",'04A_국토부원자료'!$A$4:$T$4,0)),",","")),"")</f>
        <v/>
      </c>
      <c r="F28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85" s="51">
        <f>IFERROR(VALUE(SUBSTITUTE(INDEX('04A_국토부원자료'!$A:$T,ROW()+1,MATCH("거래금액(만원)",'04A_국토부원자료'!$A$4:$T$4,0)),",","")),"")</f>
        <v/>
      </c>
      <c r="H2885" s="174">
        <f>IF(G2885="","",G2885*10000)</f>
        <v/>
      </c>
      <c r="I2885" s="174">
        <f>IFERROR(IF(AND(H2885&gt;0,E2885&gt;0),H2885/E2885,""),"")</f>
        <v/>
      </c>
      <c r="J2885" s="152">
        <f>IFERROR(VALUE(SUBSTITUTE(INDEX('04A_국토부원자료'!$A:$T,ROW()+1,MATCH("층",'04A_국토부원자료'!$A$4:$T$4,0)),",","")),"")</f>
        <v/>
      </c>
      <c r="K2885" s="152">
        <f>IFERROR(VALUE(SUBSTITUTE(INDEX('04A_국토부원자료'!$A:$T,ROW()+1,MATCH("건축년도",'04A_국토부원자료'!$A$4:$T$4,0)),",","")),"")</f>
        <v/>
      </c>
      <c r="L2885" s="48">
        <f>IFERROR(INDEX('04A_국토부원자료'!$A:$T,ROW()+1,MATCH("도로명",'04A_국토부원자료'!$A$4:$T$4,0)),"")</f>
        <v/>
      </c>
      <c r="M2885" s="48">
        <f>IFERROR(INDEX('04A_국토부원자료'!$A:$T,ROW()+1,MATCH("거래유형",'04A_국토부원자료'!$A$4:$T$4,0)),"")</f>
        <v/>
      </c>
      <c r="N2885" s="152">
        <f>IF(B2885="","",IF('02_대상물건입력'!B5="",1,IF(ISNUMBER(SEARCH('02_대상물건입력'!B5,B2885)),1,0)))</f>
        <v/>
      </c>
      <c r="O2885" s="152">
        <f>IF(B2885="","",IF('02_대상물건입력'!B6="",1,IF(ISNUMBER(SEARCH('02_대상물건입력'!B6,B2885)),1,0)))</f>
        <v/>
      </c>
      <c r="P2885" s="152">
        <f>IF(L2885="","",IF('02_대상물건입력'!B15="",0,IF(ISNUMBER(SEARCH('02_대상물건입력'!B15,L2885)),1,0)))</f>
        <v/>
      </c>
      <c r="Q2885" s="152">
        <f>IF(OR(C2885="",L2885=""),0,IF(AND(TRIM(C2885)=TRIM(RIGHT(SUBSTITUTE(TRIM('02_대상물건입력'!$B$7)," ",REPT(" ",99)),99)),IF('02_대상물건입력'!B15="",TRUE(),ISNUMBER(SEARCH('02_대상물건입력'!B15,L2885)))),1,0))</f>
        <v/>
      </c>
      <c r="R2885" s="175">
        <f>IFERROR(ABS(E2885-'02_대상물건입력'!B11)/'02_대상물건입력'!B11,"")</f>
        <v/>
      </c>
      <c r="S2885" s="152">
        <f>IFERROR(ABS(J2885-'02_대상물건입력'!B10),"")</f>
        <v/>
      </c>
      <c r="T2885" s="152">
        <f>IFERROR(ABS('01_설정'!B4-F2885),"")</f>
        <v/>
      </c>
      <c r="U2885" s="152">
        <f>IFERROR(ABS(K2885-YEAR('02_대상물건입력'!B14)),"")</f>
        <v/>
      </c>
      <c r="V2885" s="152">
        <f>IF(B2885="","",IF(AND(E2885&gt;0,F2885&gt;0,H2885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2885=1,TRUE()),R2885&lt;='01_설정'!B5,S2885&lt;='01_설정'!B6,T2885&lt;='01_설정'!B7,U2885&lt;='01_설정'!B8),"Y",""))</f>
        <v/>
      </c>
      <c r="W2885" s="172">
        <f>IF(V2885&lt;&gt;"Y","",MAX(0,(1-R2885/'01_설정'!B5))*'01_설정'!B14+MAX(0,(1-S2885/'01_설정'!B6))*'01_설정'!B15+MAX(0,(1-T2885/'01_설정'!B7))*'01_설정'!B16+MAX(0,(1-U2885/'01_설정'!B8))*'01_설정'!B17+O2885*'01_설정'!B11+Q2885*'01_설정'!B12+P2885*'01_설정'!B13+IF(Z2885="",0,Z2885))</f>
        <v/>
      </c>
      <c r="X2885" s="152">
        <f>IF(W2885="","",1+COUNTIFS($W$4:$W$3003,"&gt;"&amp;W2885)+COUNTIFS($W$4:W2885,W2885)-1)</f>
        <v/>
      </c>
      <c r="Y2885" s="175">
        <f>IF(OR(I2885="",'02_대상물건입력'!B19="",'02_대상물건입력'!B19&lt;=0),"",ABS(I2885-'02_대상물건입력'!B19)/'02_대상물건입력'!B19)</f>
        <v/>
      </c>
      <c r="Z2885" s="172">
        <f>IF(OR(Y2885="",'01_설정'!B31="",'01_설정'!B31&lt;=0,'01_설정'!B32="",'01_설정'!B32&lt;=0),"",MAX(0,(1-Y2885/'01_설정'!B32))*'01_설정'!B31)</f>
        <v/>
      </c>
    </row>
    <row r="2886" ht="17.25" customHeight="1">
      <c r="A2886" s="152">
        <f>IF(INDEX('04A_국토부원자료'!$A:$A,ROW()+1)="","",ROW()-3)</f>
        <v/>
      </c>
      <c r="B2886" s="48">
        <f>IFERROR(INDEX('04A_국토부원자료'!$A:$T,ROW()+1,MATCH("시군구",'04A_국토부원자료'!$A$4:$T$4,0)),"")</f>
        <v/>
      </c>
      <c r="C2886" s="48">
        <f>IF(B2886="","",IFERROR(INDEX('04A_국토부원자료'!$A:$T,ROW()+1,MATCH("번지",'04A_국토부원자료'!$A$4:$T$4,0)),""))</f>
        <v/>
      </c>
      <c r="D2886" s="48">
        <f>IF(B2886="","",IF(Q2886=1,'02_대상물건입력'!$B$8,IFERROR(INDEX('04A_국토부원자료'!$A:$T,ROW()+1,MATCH("단지명",'04A_국토부원자료'!$A$4:$T$4,0)),"")))</f>
        <v/>
      </c>
      <c r="E2886" s="172">
        <f>IFERROR(VALUE(SUBSTITUTE(INDEX('04A_국토부원자료'!$A:$T,ROW()+1,MATCH("전용면적(㎡)",'04A_국토부원자료'!$A$4:$T$4,0)),",","")),"")</f>
        <v/>
      </c>
      <c r="F28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86" s="51">
        <f>IFERROR(VALUE(SUBSTITUTE(INDEX('04A_국토부원자료'!$A:$T,ROW()+1,MATCH("거래금액(만원)",'04A_국토부원자료'!$A$4:$T$4,0)),",","")),"")</f>
        <v/>
      </c>
      <c r="H2886" s="174">
        <f>IF(G2886="","",G2886*10000)</f>
        <v/>
      </c>
      <c r="I2886" s="174">
        <f>IFERROR(IF(AND(H2886&gt;0,E2886&gt;0),H2886/E2886,""),"")</f>
        <v/>
      </c>
      <c r="J2886" s="152">
        <f>IFERROR(VALUE(SUBSTITUTE(INDEX('04A_국토부원자료'!$A:$T,ROW()+1,MATCH("층",'04A_국토부원자료'!$A$4:$T$4,0)),",","")),"")</f>
        <v/>
      </c>
      <c r="K2886" s="152">
        <f>IFERROR(VALUE(SUBSTITUTE(INDEX('04A_국토부원자료'!$A:$T,ROW()+1,MATCH("건축년도",'04A_국토부원자료'!$A$4:$T$4,0)),",","")),"")</f>
        <v/>
      </c>
      <c r="L2886" s="48">
        <f>IFERROR(INDEX('04A_국토부원자료'!$A:$T,ROW()+1,MATCH("도로명",'04A_국토부원자료'!$A$4:$T$4,0)),"")</f>
        <v/>
      </c>
      <c r="M2886" s="48">
        <f>IFERROR(INDEX('04A_국토부원자료'!$A:$T,ROW()+1,MATCH("거래유형",'04A_국토부원자료'!$A$4:$T$4,0)),"")</f>
        <v/>
      </c>
      <c r="N2886" s="152">
        <f>IF(B2886="","",IF('02_대상물건입력'!B5="",1,IF(ISNUMBER(SEARCH('02_대상물건입력'!B5,B2886)),1,0)))</f>
        <v/>
      </c>
      <c r="O2886" s="152">
        <f>IF(B2886="","",IF('02_대상물건입력'!B6="",1,IF(ISNUMBER(SEARCH('02_대상물건입력'!B6,B2886)),1,0)))</f>
        <v/>
      </c>
      <c r="P2886" s="152">
        <f>IF(L2886="","",IF('02_대상물건입력'!B15="",0,IF(ISNUMBER(SEARCH('02_대상물건입력'!B15,L2886)),1,0)))</f>
        <v/>
      </c>
      <c r="Q2886" s="152">
        <f>IF(OR(C2886="",L2886=""),0,IF(AND(TRIM(C2886)=TRIM(RIGHT(SUBSTITUTE(TRIM('02_대상물건입력'!$B$7)," ",REPT(" ",99)),99)),IF('02_대상물건입력'!B15="",TRUE(),ISNUMBER(SEARCH('02_대상물건입력'!B15,L2886)))),1,0))</f>
        <v/>
      </c>
      <c r="R2886" s="175">
        <f>IFERROR(ABS(E2886-'02_대상물건입력'!B11)/'02_대상물건입력'!B11,"")</f>
        <v/>
      </c>
      <c r="S2886" s="152">
        <f>IFERROR(ABS(J2886-'02_대상물건입력'!B10),"")</f>
        <v/>
      </c>
      <c r="T2886" s="152">
        <f>IFERROR(ABS('01_설정'!B4-F2886),"")</f>
        <v/>
      </c>
      <c r="U2886" s="152">
        <f>IFERROR(ABS(K2886-YEAR('02_대상물건입력'!B14)),"")</f>
        <v/>
      </c>
      <c r="V2886" s="152">
        <f>IF(B2886="","",IF(AND(E2886&gt;0,F2886&gt;0,H2886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2886=1,TRUE()),R2886&lt;='01_설정'!B5,S2886&lt;='01_설정'!B6,T2886&lt;='01_설정'!B7,U2886&lt;='01_설정'!B8),"Y",""))</f>
        <v/>
      </c>
      <c r="W2886" s="172">
        <f>IF(V2886&lt;&gt;"Y","",MAX(0,(1-R2886/'01_설정'!B5))*'01_설정'!B14+MAX(0,(1-S2886/'01_설정'!B6))*'01_설정'!B15+MAX(0,(1-T2886/'01_설정'!B7))*'01_설정'!B16+MAX(0,(1-U2886/'01_설정'!B8))*'01_설정'!B17+O2886*'01_설정'!B11+Q2886*'01_설정'!B12+P2886*'01_설정'!B13+IF(Z2886="",0,Z2886))</f>
        <v/>
      </c>
      <c r="X2886" s="152">
        <f>IF(W2886="","",1+COUNTIFS($W$4:$W$3003,"&gt;"&amp;W2886)+COUNTIFS($W$4:W2886,W2886)-1)</f>
        <v/>
      </c>
      <c r="Y2886" s="175">
        <f>IF(OR(I2886="",'02_대상물건입력'!B19="",'02_대상물건입력'!B19&lt;=0),"",ABS(I2886-'02_대상물건입력'!B19)/'02_대상물건입력'!B19)</f>
        <v/>
      </c>
      <c r="Z2886" s="172">
        <f>IF(OR(Y2886="",'01_설정'!B31="",'01_설정'!B31&lt;=0,'01_설정'!B32="",'01_설정'!B32&lt;=0),"",MAX(0,(1-Y2886/'01_설정'!B32))*'01_설정'!B31)</f>
        <v/>
      </c>
    </row>
    <row r="2887" ht="17.25" customHeight="1">
      <c r="A2887" s="152">
        <f>IF(INDEX('04A_국토부원자료'!$A:$A,ROW()+1)="","",ROW()-3)</f>
        <v/>
      </c>
      <c r="B2887" s="48">
        <f>IFERROR(INDEX('04A_국토부원자료'!$A:$T,ROW()+1,MATCH("시군구",'04A_국토부원자료'!$A$4:$T$4,0)),"")</f>
        <v/>
      </c>
      <c r="C2887" s="48">
        <f>IF(B2887="","",IFERROR(INDEX('04A_국토부원자료'!$A:$T,ROW()+1,MATCH("번지",'04A_국토부원자료'!$A$4:$T$4,0)),""))</f>
        <v/>
      </c>
      <c r="D2887" s="48">
        <f>IF(B2887="","",IF(Q2887=1,'02_대상물건입력'!$B$8,IFERROR(INDEX('04A_국토부원자료'!$A:$T,ROW()+1,MATCH("단지명",'04A_국토부원자료'!$A$4:$T$4,0)),"")))</f>
        <v/>
      </c>
      <c r="E2887" s="172">
        <f>IFERROR(VALUE(SUBSTITUTE(INDEX('04A_국토부원자료'!$A:$T,ROW()+1,MATCH("전용면적(㎡)",'04A_국토부원자료'!$A$4:$T$4,0)),",","")),"")</f>
        <v/>
      </c>
      <c r="F28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87" s="51">
        <f>IFERROR(VALUE(SUBSTITUTE(INDEX('04A_국토부원자료'!$A:$T,ROW()+1,MATCH("거래금액(만원)",'04A_국토부원자료'!$A$4:$T$4,0)),",","")),"")</f>
        <v/>
      </c>
      <c r="H2887" s="174">
        <f>IF(G2887="","",G2887*10000)</f>
        <v/>
      </c>
      <c r="I2887" s="174">
        <f>IFERROR(IF(AND(H2887&gt;0,E2887&gt;0),H2887/E2887,""),"")</f>
        <v/>
      </c>
      <c r="J2887" s="152">
        <f>IFERROR(VALUE(SUBSTITUTE(INDEX('04A_국토부원자료'!$A:$T,ROW()+1,MATCH("층",'04A_국토부원자료'!$A$4:$T$4,0)),",","")),"")</f>
        <v/>
      </c>
      <c r="K2887" s="152">
        <f>IFERROR(VALUE(SUBSTITUTE(INDEX('04A_국토부원자료'!$A:$T,ROW()+1,MATCH("건축년도",'04A_국토부원자료'!$A$4:$T$4,0)),",","")),"")</f>
        <v/>
      </c>
      <c r="L2887" s="48">
        <f>IFERROR(INDEX('04A_국토부원자료'!$A:$T,ROW()+1,MATCH("도로명",'04A_국토부원자료'!$A$4:$T$4,0)),"")</f>
        <v/>
      </c>
      <c r="M2887" s="48">
        <f>IFERROR(INDEX('04A_국토부원자료'!$A:$T,ROW()+1,MATCH("거래유형",'04A_국토부원자료'!$A$4:$T$4,0)),"")</f>
        <v/>
      </c>
      <c r="N2887" s="152">
        <f>IF(B2887="","",IF('02_대상물건입력'!B5="",1,IF(ISNUMBER(SEARCH('02_대상물건입력'!B5,B2887)),1,0)))</f>
        <v/>
      </c>
      <c r="O2887" s="152">
        <f>IF(B2887="","",IF('02_대상물건입력'!B6="",1,IF(ISNUMBER(SEARCH('02_대상물건입력'!B6,B2887)),1,0)))</f>
        <v/>
      </c>
      <c r="P2887" s="152">
        <f>IF(L2887="","",IF('02_대상물건입력'!B15="",0,IF(ISNUMBER(SEARCH('02_대상물건입력'!B15,L2887)),1,0)))</f>
        <v/>
      </c>
      <c r="Q2887" s="152">
        <f>IF(OR(C2887="",L2887=""),0,IF(AND(TRIM(C2887)=TRIM(RIGHT(SUBSTITUTE(TRIM('02_대상물건입력'!$B$7)," ",REPT(" ",99)),99)),IF('02_대상물건입력'!B15="",TRUE(),ISNUMBER(SEARCH('02_대상물건입력'!B15,L2887)))),1,0))</f>
        <v/>
      </c>
      <c r="R2887" s="175">
        <f>IFERROR(ABS(E2887-'02_대상물건입력'!B11)/'02_대상물건입력'!B11,"")</f>
        <v/>
      </c>
      <c r="S2887" s="152">
        <f>IFERROR(ABS(J2887-'02_대상물건입력'!B10),"")</f>
        <v/>
      </c>
      <c r="T2887" s="152">
        <f>IFERROR(ABS('01_설정'!B4-F2887),"")</f>
        <v/>
      </c>
      <c r="U2887" s="152">
        <f>IFERROR(ABS(K2887-YEAR('02_대상물건입력'!B14)),"")</f>
        <v/>
      </c>
      <c r="V2887" s="152">
        <f>IF(B2887="","",IF(AND(E2887&gt;0,F2887&gt;0,H2887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2887=1,TRUE()),R2887&lt;='01_설정'!B5,S2887&lt;='01_설정'!B6,T2887&lt;='01_설정'!B7,U2887&lt;='01_설정'!B8),"Y",""))</f>
        <v/>
      </c>
      <c r="W2887" s="172">
        <f>IF(V2887&lt;&gt;"Y","",MAX(0,(1-R2887/'01_설정'!B5))*'01_설정'!B14+MAX(0,(1-S2887/'01_설정'!B6))*'01_설정'!B15+MAX(0,(1-T2887/'01_설정'!B7))*'01_설정'!B16+MAX(0,(1-U2887/'01_설정'!B8))*'01_설정'!B17+O2887*'01_설정'!B11+Q2887*'01_설정'!B12+P2887*'01_설정'!B13+IF(Z2887="",0,Z2887))</f>
        <v/>
      </c>
      <c r="X2887" s="152">
        <f>IF(W2887="","",1+COUNTIFS($W$4:$W$3003,"&gt;"&amp;W2887)+COUNTIFS($W$4:W2887,W2887)-1)</f>
        <v/>
      </c>
      <c r="Y2887" s="175">
        <f>IF(OR(I2887="",'02_대상물건입력'!B19="",'02_대상물건입력'!B19&lt;=0),"",ABS(I2887-'02_대상물건입력'!B19)/'02_대상물건입력'!B19)</f>
        <v/>
      </c>
      <c r="Z2887" s="172">
        <f>IF(OR(Y2887="",'01_설정'!B31="",'01_설정'!B31&lt;=0,'01_설정'!B32="",'01_설정'!B32&lt;=0),"",MAX(0,(1-Y2887/'01_설정'!B32))*'01_설정'!B31)</f>
        <v/>
      </c>
    </row>
    <row r="2888" ht="17.25" customHeight="1">
      <c r="A2888" s="152">
        <f>IF(INDEX('04A_국토부원자료'!$A:$A,ROW()+1)="","",ROW()-3)</f>
        <v/>
      </c>
      <c r="B2888" s="48">
        <f>IFERROR(INDEX('04A_국토부원자료'!$A:$T,ROW()+1,MATCH("시군구",'04A_국토부원자료'!$A$4:$T$4,0)),"")</f>
        <v/>
      </c>
      <c r="C2888" s="48">
        <f>IF(B2888="","",IFERROR(INDEX('04A_국토부원자료'!$A:$T,ROW()+1,MATCH("번지",'04A_국토부원자료'!$A$4:$T$4,0)),""))</f>
        <v/>
      </c>
      <c r="D2888" s="48">
        <f>IF(B2888="","",IF(Q2888=1,'02_대상물건입력'!$B$8,IFERROR(INDEX('04A_국토부원자료'!$A:$T,ROW()+1,MATCH("단지명",'04A_국토부원자료'!$A$4:$T$4,0)),"")))</f>
        <v/>
      </c>
      <c r="E2888" s="172">
        <f>IFERROR(VALUE(SUBSTITUTE(INDEX('04A_국토부원자료'!$A:$T,ROW()+1,MATCH("전용면적(㎡)",'04A_국토부원자료'!$A$4:$T$4,0)),",","")),"")</f>
        <v/>
      </c>
      <c r="F28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88" s="51">
        <f>IFERROR(VALUE(SUBSTITUTE(INDEX('04A_국토부원자료'!$A:$T,ROW()+1,MATCH("거래금액(만원)",'04A_국토부원자료'!$A$4:$T$4,0)),",","")),"")</f>
        <v/>
      </c>
      <c r="H2888" s="174">
        <f>IF(G2888="","",G2888*10000)</f>
        <v/>
      </c>
      <c r="I2888" s="174">
        <f>IFERROR(IF(AND(H2888&gt;0,E2888&gt;0),H2888/E2888,""),"")</f>
        <v/>
      </c>
      <c r="J2888" s="152">
        <f>IFERROR(VALUE(SUBSTITUTE(INDEX('04A_국토부원자료'!$A:$T,ROW()+1,MATCH("층",'04A_국토부원자료'!$A$4:$T$4,0)),",","")),"")</f>
        <v/>
      </c>
      <c r="K2888" s="152">
        <f>IFERROR(VALUE(SUBSTITUTE(INDEX('04A_국토부원자료'!$A:$T,ROW()+1,MATCH("건축년도",'04A_국토부원자료'!$A$4:$T$4,0)),",","")),"")</f>
        <v/>
      </c>
      <c r="L2888" s="48">
        <f>IFERROR(INDEX('04A_국토부원자료'!$A:$T,ROW()+1,MATCH("도로명",'04A_국토부원자료'!$A$4:$T$4,0)),"")</f>
        <v/>
      </c>
      <c r="M2888" s="48">
        <f>IFERROR(INDEX('04A_국토부원자료'!$A:$T,ROW()+1,MATCH("거래유형",'04A_국토부원자료'!$A$4:$T$4,0)),"")</f>
        <v/>
      </c>
      <c r="N2888" s="152">
        <f>IF(B2888="","",IF('02_대상물건입력'!B5="",1,IF(ISNUMBER(SEARCH('02_대상물건입력'!B5,B2888)),1,0)))</f>
        <v/>
      </c>
      <c r="O2888" s="152">
        <f>IF(B2888="","",IF('02_대상물건입력'!B6="",1,IF(ISNUMBER(SEARCH('02_대상물건입력'!B6,B2888)),1,0)))</f>
        <v/>
      </c>
      <c r="P2888" s="152">
        <f>IF(L2888="","",IF('02_대상물건입력'!B15="",0,IF(ISNUMBER(SEARCH('02_대상물건입력'!B15,L2888)),1,0)))</f>
        <v/>
      </c>
      <c r="Q2888" s="152">
        <f>IF(OR(C2888="",L2888=""),0,IF(AND(TRIM(C2888)=TRIM(RIGHT(SUBSTITUTE(TRIM('02_대상물건입력'!$B$7)," ",REPT(" ",99)),99)),IF('02_대상물건입력'!B15="",TRUE(),ISNUMBER(SEARCH('02_대상물건입력'!B15,L2888)))),1,0))</f>
        <v/>
      </c>
      <c r="R2888" s="175">
        <f>IFERROR(ABS(E2888-'02_대상물건입력'!B11)/'02_대상물건입력'!B11,"")</f>
        <v/>
      </c>
      <c r="S2888" s="152">
        <f>IFERROR(ABS(J2888-'02_대상물건입력'!B10),"")</f>
        <v/>
      </c>
      <c r="T2888" s="152">
        <f>IFERROR(ABS('01_설정'!B4-F2888),"")</f>
        <v/>
      </c>
      <c r="U2888" s="152">
        <f>IFERROR(ABS(K2888-YEAR('02_대상물건입력'!B14)),"")</f>
        <v/>
      </c>
      <c r="V2888" s="152">
        <f>IF(B2888="","",IF(AND(E2888&gt;0,F2888&gt;0,H2888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2888=1,TRUE()),R2888&lt;='01_설정'!B5,S2888&lt;='01_설정'!B6,T2888&lt;='01_설정'!B7,U2888&lt;='01_설정'!B8),"Y",""))</f>
        <v/>
      </c>
      <c r="W2888" s="172">
        <f>IF(V2888&lt;&gt;"Y","",MAX(0,(1-R2888/'01_설정'!B5))*'01_설정'!B14+MAX(0,(1-S2888/'01_설정'!B6))*'01_설정'!B15+MAX(0,(1-T2888/'01_설정'!B7))*'01_설정'!B16+MAX(0,(1-U2888/'01_설정'!B8))*'01_설정'!B17+O2888*'01_설정'!B11+Q2888*'01_설정'!B12+P2888*'01_설정'!B13+IF(Z2888="",0,Z2888))</f>
        <v/>
      </c>
      <c r="X2888" s="152">
        <f>IF(W2888="","",1+COUNTIFS($W$4:$W$3003,"&gt;"&amp;W2888)+COUNTIFS($W$4:W2888,W2888)-1)</f>
        <v/>
      </c>
      <c r="Y2888" s="175">
        <f>IF(OR(I2888="",'02_대상물건입력'!B19="",'02_대상물건입력'!B19&lt;=0),"",ABS(I2888-'02_대상물건입력'!B19)/'02_대상물건입력'!B19)</f>
        <v/>
      </c>
      <c r="Z2888" s="172">
        <f>IF(OR(Y2888="",'01_설정'!B31="",'01_설정'!B31&lt;=0,'01_설정'!B32="",'01_설정'!B32&lt;=0),"",MAX(0,(1-Y2888/'01_설정'!B32))*'01_설정'!B31)</f>
        <v/>
      </c>
    </row>
    <row r="2889" ht="17.25" customHeight="1">
      <c r="A2889" s="152">
        <f>IF(INDEX('04A_국토부원자료'!$A:$A,ROW()+1)="","",ROW()-3)</f>
        <v/>
      </c>
      <c r="B2889" s="48">
        <f>IFERROR(INDEX('04A_국토부원자료'!$A:$T,ROW()+1,MATCH("시군구",'04A_국토부원자료'!$A$4:$T$4,0)),"")</f>
        <v/>
      </c>
      <c r="C2889" s="48">
        <f>IF(B2889="","",IFERROR(INDEX('04A_국토부원자료'!$A:$T,ROW()+1,MATCH("번지",'04A_국토부원자료'!$A$4:$T$4,0)),""))</f>
        <v/>
      </c>
      <c r="D2889" s="48">
        <f>IF(B2889="","",IF(Q2889=1,'02_대상물건입력'!$B$8,IFERROR(INDEX('04A_국토부원자료'!$A:$T,ROW()+1,MATCH("단지명",'04A_국토부원자료'!$A$4:$T$4,0)),"")))</f>
        <v/>
      </c>
      <c r="E2889" s="172">
        <f>IFERROR(VALUE(SUBSTITUTE(INDEX('04A_국토부원자료'!$A:$T,ROW()+1,MATCH("전용면적(㎡)",'04A_국토부원자료'!$A$4:$T$4,0)),",","")),"")</f>
        <v/>
      </c>
      <c r="F28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89" s="51">
        <f>IFERROR(VALUE(SUBSTITUTE(INDEX('04A_국토부원자료'!$A:$T,ROW()+1,MATCH("거래금액(만원)",'04A_국토부원자료'!$A$4:$T$4,0)),",","")),"")</f>
        <v/>
      </c>
      <c r="H2889" s="174">
        <f>IF(G2889="","",G2889*10000)</f>
        <v/>
      </c>
      <c r="I2889" s="174">
        <f>IFERROR(IF(AND(H2889&gt;0,E2889&gt;0),H2889/E2889,""),"")</f>
        <v/>
      </c>
      <c r="J2889" s="152">
        <f>IFERROR(VALUE(SUBSTITUTE(INDEX('04A_국토부원자료'!$A:$T,ROW()+1,MATCH("층",'04A_국토부원자료'!$A$4:$T$4,0)),",","")),"")</f>
        <v/>
      </c>
      <c r="K2889" s="152">
        <f>IFERROR(VALUE(SUBSTITUTE(INDEX('04A_국토부원자료'!$A:$T,ROW()+1,MATCH("건축년도",'04A_국토부원자료'!$A$4:$T$4,0)),",","")),"")</f>
        <v/>
      </c>
      <c r="L2889" s="48">
        <f>IFERROR(INDEX('04A_국토부원자료'!$A:$T,ROW()+1,MATCH("도로명",'04A_국토부원자료'!$A$4:$T$4,0)),"")</f>
        <v/>
      </c>
      <c r="M2889" s="48">
        <f>IFERROR(INDEX('04A_국토부원자료'!$A:$T,ROW()+1,MATCH("거래유형",'04A_국토부원자료'!$A$4:$T$4,0)),"")</f>
        <v/>
      </c>
      <c r="N2889" s="152">
        <f>IF(B2889="","",IF('02_대상물건입력'!B5="",1,IF(ISNUMBER(SEARCH('02_대상물건입력'!B5,B2889)),1,0)))</f>
        <v/>
      </c>
      <c r="O2889" s="152">
        <f>IF(B2889="","",IF('02_대상물건입력'!B6="",1,IF(ISNUMBER(SEARCH('02_대상물건입력'!B6,B2889)),1,0)))</f>
        <v/>
      </c>
      <c r="P2889" s="152">
        <f>IF(L2889="","",IF('02_대상물건입력'!B15="",0,IF(ISNUMBER(SEARCH('02_대상물건입력'!B15,L2889)),1,0)))</f>
        <v/>
      </c>
      <c r="Q2889" s="152">
        <f>IF(OR(C2889="",L2889=""),0,IF(AND(TRIM(C2889)=TRIM(RIGHT(SUBSTITUTE(TRIM('02_대상물건입력'!$B$7)," ",REPT(" ",99)),99)),IF('02_대상물건입력'!B15="",TRUE(),ISNUMBER(SEARCH('02_대상물건입력'!B15,L2889)))),1,0))</f>
        <v/>
      </c>
      <c r="R2889" s="175">
        <f>IFERROR(ABS(E2889-'02_대상물건입력'!B11)/'02_대상물건입력'!B11,"")</f>
        <v/>
      </c>
      <c r="S2889" s="152">
        <f>IFERROR(ABS(J2889-'02_대상물건입력'!B10),"")</f>
        <v/>
      </c>
      <c r="T2889" s="152">
        <f>IFERROR(ABS('01_설정'!B4-F2889),"")</f>
        <v/>
      </c>
      <c r="U2889" s="152">
        <f>IFERROR(ABS(K2889-YEAR('02_대상물건입력'!B14)),"")</f>
        <v/>
      </c>
      <c r="V2889" s="152">
        <f>IF(B2889="","",IF(AND(E2889&gt;0,F2889&gt;0,H2889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2889=1,TRUE()),R2889&lt;='01_설정'!B5,S2889&lt;='01_설정'!B6,T2889&lt;='01_설정'!B7,U2889&lt;='01_설정'!B8),"Y",""))</f>
        <v/>
      </c>
      <c r="W2889" s="172">
        <f>IF(V2889&lt;&gt;"Y","",MAX(0,(1-R2889/'01_설정'!B5))*'01_설정'!B14+MAX(0,(1-S2889/'01_설정'!B6))*'01_설정'!B15+MAX(0,(1-T2889/'01_설정'!B7))*'01_설정'!B16+MAX(0,(1-U2889/'01_설정'!B8))*'01_설정'!B17+O2889*'01_설정'!B11+Q2889*'01_설정'!B12+P2889*'01_설정'!B13+IF(Z2889="",0,Z2889))</f>
        <v/>
      </c>
      <c r="X2889" s="152">
        <f>IF(W2889="","",1+COUNTIFS($W$4:$W$3003,"&gt;"&amp;W2889)+COUNTIFS($W$4:W2889,W2889)-1)</f>
        <v/>
      </c>
      <c r="Y2889" s="175">
        <f>IF(OR(I2889="",'02_대상물건입력'!B19="",'02_대상물건입력'!B19&lt;=0),"",ABS(I2889-'02_대상물건입력'!B19)/'02_대상물건입력'!B19)</f>
        <v/>
      </c>
      <c r="Z2889" s="172">
        <f>IF(OR(Y2889="",'01_설정'!B31="",'01_설정'!B31&lt;=0,'01_설정'!B32="",'01_설정'!B32&lt;=0),"",MAX(0,(1-Y2889/'01_설정'!B32))*'01_설정'!B31)</f>
        <v/>
      </c>
    </row>
    <row r="2890" ht="17.25" customHeight="1">
      <c r="A2890" s="152">
        <f>IF(INDEX('04A_국토부원자료'!$A:$A,ROW()+1)="","",ROW()-3)</f>
        <v/>
      </c>
      <c r="B2890" s="48">
        <f>IFERROR(INDEX('04A_국토부원자료'!$A:$T,ROW()+1,MATCH("시군구",'04A_국토부원자료'!$A$4:$T$4,0)),"")</f>
        <v/>
      </c>
      <c r="C2890" s="48">
        <f>IF(B2890="","",IFERROR(INDEX('04A_국토부원자료'!$A:$T,ROW()+1,MATCH("번지",'04A_국토부원자료'!$A$4:$T$4,0)),""))</f>
        <v/>
      </c>
      <c r="D2890" s="48">
        <f>IF(B2890="","",IF(Q2890=1,'02_대상물건입력'!$B$8,IFERROR(INDEX('04A_국토부원자료'!$A:$T,ROW()+1,MATCH("단지명",'04A_국토부원자료'!$A$4:$T$4,0)),"")))</f>
        <v/>
      </c>
      <c r="E2890" s="172">
        <f>IFERROR(VALUE(SUBSTITUTE(INDEX('04A_국토부원자료'!$A:$T,ROW()+1,MATCH("전용면적(㎡)",'04A_국토부원자료'!$A$4:$T$4,0)),",","")),"")</f>
        <v/>
      </c>
      <c r="F28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90" s="51">
        <f>IFERROR(VALUE(SUBSTITUTE(INDEX('04A_국토부원자료'!$A:$T,ROW()+1,MATCH("거래금액(만원)",'04A_국토부원자료'!$A$4:$T$4,0)),",","")),"")</f>
        <v/>
      </c>
      <c r="H2890" s="174">
        <f>IF(G2890="","",G2890*10000)</f>
        <v/>
      </c>
      <c r="I2890" s="174">
        <f>IFERROR(IF(AND(H2890&gt;0,E2890&gt;0),H2890/E2890,""),"")</f>
        <v/>
      </c>
      <c r="J2890" s="152">
        <f>IFERROR(VALUE(SUBSTITUTE(INDEX('04A_국토부원자료'!$A:$T,ROW()+1,MATCH("층",'04A_국토부원자료'!$A$4:$T$4,0)),",","")),"")</f>
        <v/>
      </c>
      <c r="K2890" s="152">
        <f>IFERROR(VALUE(SUBSTITUTE(INDEX('04A_국토부원자료'!$A:$T,ROW()+1,MATCH("건축년도",'04A_국토부원자료'!$A$4:$T$4,0)),",","")),"")</f>
        <v/>
      </c>
      <c r="L2890" s="48">
        <f>IFERROR(INDEX('04A_국토부원자료'!$A:$T,ROW()+1,MATCH("도로명",'04A_국토부원자료'!$A$4:$T$4,0)),"")</f>
        <v/>
      </c>
      <c r="M2890" s="48">
        <f>IFERROR(INDEX('04A_국토부원자료'!$A:$T,ROW()+1,MATCH("거래유형",'04A_국토부원자료'!$A$4:$T$4,0)),"")</f>
        <v/>
      </c>
      <c r="N2890" s="152">
        <f>IF(B2890="","",IF('02_대상물건입력'!B5="",1,IF(ISNUMBER(SEARCH('02_대상물건입력'!B5,B2890)),1,0)))</f>
        <v/>
      </c>
      <c r="O2890" s="152">
        <f>IF(B2890="","",IF('02_대상물건입력'!B6="",1,IF(ISNUMBER(SEARCH('02_대상물건입력'!B6,B2890)),1,0)))</f>
        <v/>
      </c>
      <c r="P2890" s="152">
        <f>IF(L2890="","",IF('02_대상물건입력'!B15="",0,IF(ISNUMBER(SEARCH('02_대상물건입력'!B15,L2890)),1,0)))</f>
        <v/>
      </c>
      <c r="Q2890" s="152">
        <f>IF(OR(C2890="",L2890=""),0,IF(AND(TRIM(C2890)=TRIM(RIGHT(SUBSTITUTE(TRIM('02_대상물건입력'!$B$7)," ",REPT(" ",99)),99)),IF('02_대상물건입력'!B15="",TRUE(),ISNUMBER(SEARCH('02_대상물건입력'!B15,L2890)))),1,0))</f>
        <v/>
      </c>
      <c r="R2890" s="175">
        <f>IFERROR(ABS(E2890-'02_대상물건입력'!B11)/'02_대상물건입력'!B11,"")</f>
        <v/>
      </c>
      <c r="S2890" s="152">
        <f>IFERROR(ABS(J2890-'02_대상물건입력'!B10),"")</f>
        <v/>
      </c>
      <c r="T2890" s="152">
        <f>IFERROR(ABS('01_설정'!B4-F2890),"")</f>
        <v/>
      </c>
      <c r="U2890" s="152">
        <f>IFERROR(ABS(K2890-YEAR('02_대상물건입력'!B14)),"")</f>
        <v/>
      </c>
      <c r="V2890" s="152">
        <f>IF(B2890="","",IF(AND(E2890&gt;0,F2890&gt;0,H2890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2890=1,TRUE()),R2890&lt;='01_설정'!B5,S2890&lt;='01_설정'!B6,T2890&lt;='01_설정'!B7,U2890&lt;='01_설정'!B8),"Y",""))</f>
        <v/>
      </c>
      <c r="W2890" s="172">
        <f>IF(V2890&lt;&gt;"Y","",MAX(0,(1-R2890/'01_설정'!B5))*'01_설정'!B14+MAX(0,(1-S2890/'01_설정'!B6))*'01_설정'!B15+MAX(0,(1-T2890/'01_설정'!B7))*'01_설정'!B16+MAX(0,(1-U2890/'01_설정'!B8))*'01_설정'!B17+O2890*'01_설정'!B11+Q2890*'01_설정'!B12+P2890*'01_설정'!B13+IF(Z2890="",0,Z2890))</f>
        <v/>
      </c>
      <c r="X2890" s="152">
        <f>IF(W2890="","",1+COUNTIFS($W$4:$W$3003,"&gt;"&amp;W2890)+COUNTIFS($W$4:W2890,W2890)-1)</f>
        <v/>
      </c>
      <c r="Y2890" s="175">
        <f>IF(OR(I2890="",'02_대상물건입력'!B19="",'02_대상물건입력'!B19&lt;=0),"",ABS(I2890-'02_대상물건입력'!B19)/'02_대상물건입력'!B19)</f>
        <v/>
      </c>
      <c r="Z2890" s="172">
        <f>IF(OR(Y2890="",'01_설정'!B31="",'01_설정'!B31&lt;=0,'01_설정'!B32="",'01_설정'!B32&lt;=0),"",MAX(0,(1-Y2890/'01_설정'!B32))*'01_설정'!B31)</f>
        <v/>
      </c>
    </row>
    <row r="2891" ht="17.25" customHeight="1">
      <c r="A2891" s="152">
        <f>IF(INDEX('04A_국토부원자료'!$A:$A,ROW()+1)="","",ROW()-3)</f>
        <v/>
      </c>
      <c r="B2891" s="48">
        <f>IFERROR(INDEX('04A_국토부원자료'!$A:$T,ROW()+1,MATCH("시군구",'04A_국토부원자료'!$A$4:$T$4,0)),"")</f>
        <v/>
      </c>
      <c r="C2891" s="48">
        <f>IF(B2891="","",IFERROR(INDEX('04A_국토부원자료'!$A:$T,ROW()+1,MATCH("번지",'04A_국토부원자료'!$A$4:$T$4,0)),""))</f>
        <v/>
      </c>
      <c r="D2891" s="48">
        <f>IF(B2891="","",IF(Q2891=1,'02_대상물건입력'!$B$8,IFERROR(INDEX('04A_국토부원자료'!$A:$T,ROW()+1,MATCH("단지명",'04A_국토부원자료'!$A$4:$T$4,0)),"")))</f>
        <v/>
      </c>
      <c r="E2891" s="172">
        <f>IFERROR(VALUE(SUBSTITUTE(INDEX('04A_국토부원자료'!$A:$T,ROW()+1,MATCH("전용면적(㎡)",'04A_국토부원자료'!$A$4:$T$4,0)),",","")),"")</f>
        <v/>
      </c>
      <c r="F28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91" s="51">
        <f>IFERROR(VALUE(SUBSTITUTE(INDEX('04A_국토부원자료'!$A:$T,ROW()+1,MATCH("거래금액(만원)",'04A_국토부원자료'!$A$4:$T$4,0)),",","")),"")</f>
        <v/>
      </c>
      <c r="H2891" s="174">
        <f>IF(G2891="","",G2891*10000)</f>
        <v/>
      </c>
      <c r="I2891" s="174">
        <f>IFERROR(IF(AND(H2891&gt;0,E2891&gt;0),H2891/E2891,""),"")</f>
        <v/>
      </c>
      <c r="J2891" s="152">
        <f>IFERROR(VALUE(SUBSTITUTE(INDEX('04A_국토부원자료'!$A:$T,ROW()+1,MATCH("층",'04A_국토부원자료'!$A$4:$T$4,0)),",","")),"")</f>
        <v/>
      </c>
      <c r="K2891" s="152">
        <f>IFERROR(VALUE(SUBSTITUTE(INDEX('04A_국토부원자료'!$A:$T,ROW()+1,MATCH("건축년도",'04A_국토부원자료'!$A$4:$T$4,0)),",","")),"")</f>
        <v/>
      </c>
      <c r="L2891" s="48">
        <f>IFERROR(INDEX('04A_국토부원자료'!$A:$T,ROW()+1,MATCH("도로명",'04A_국토부원자료'!$A$4:$T$4,0)),"")</f>
        <v/>
      </c>
      <c r="M2891" s="48">
        <f>IFERROR(INDEX('04A_국토부원자료'!$A:$T,ROW()+1,MATCH("거래유형",'04A_국토부원자료'!$A$4:$T$4,0)),"")</f>
        <v/>
      </c>
      <c r="N2891" s="152">
        <f>IF(B2891="","",IF('02_대상물건입력'!B5="",1,IF(ISNUMBER(SEARCH('02_대상물건입력'!B5,B2891)),1,0)))</f>
        <v/>
      </c>
      <c r="O2891" s="152">
        <f>IF(B2891="","",IF('02_대상물건입력'!B6="",1,IF(ISNUMBER(SEARCH('02_대상물건입력'!B6,B2891)),1,0)))</f>
        <v/>
      </c>
      <c r="P2891" s="152">
        <f>IF(L2891="","",IF('02_대상물건입력'!B15="",0,IF(ISNUMBER(SEARCH('02_대상물건입력'!B15,L2891)),1,0)))</f>
        <v/>
      </c>
      <c r="Q2891" s="152">
        <f>IF(OR(C2891="",L2891=""),0,IF(AND(TRIM(C2891)=TRIM(RIGHT(SUBSTITUTE(TRIM('02_대상물건입력'!$B$7)," ",REPT(" ",99)),99)),IF('02_대상물건입력'!B15="",TRUE(),ISNUMBER(SEARCH('02_대상물건입력'!B15,L2891)))),1,0))</f>
        <v/>
      </c>
      <c r="R2891" s="175">
        <f>IFERROR(ABS(E2891-'02_대상물건입력'!B11)/'02_대상물건입력'!B11,"")</f>
        <v/>
      </c>
      <c r="S2891" s="152">
        <f>IFERROR(ABS(J2891-'02_대상물건입력'!B10),"")</f>
        <v/>
      </c>
      <c r="T2891" s="152">
        <f>IFERROR(ABS('01_설정'!B4-F2891),"")</f>
        <v/>
      </c>
      <c r="U2891" s="152">
        <f>IFERROR(ABS(K2891-YEAR('02_대상물건입력'!B14)),"")</f>
        <v/>
      </c>
      <c r="V2891" s="152">
        <f>IF(B2891="","",IF(AND(E2891&gt;0,F2891&gt;0,H2891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2891=1,TRUE()),R2891&lt;='01_설정'!B5,S2891&lt;='01_설정'!B6,T2891&lt;='01_설정'!B7,U2891&lt;='01_설정'!B8),"Y",""))</f>
        <v/>
      </c>
      <c r="W2891" s="172">
        <f>IF(V2891&lt;&gt;"Y","",MAX(0,(1-R2891/'01_설정'!B5))*'01_설정'!B14+MAX(0,(1-S2891/'01_설정'!B6))*'01_설정'!B15+MAX(0,(1-T2891/'01_설정'!B7))*'01_설정'!B16+MAX(0,(1-U2891/'01_설정'!B8))*'01_설정'!B17+O2891*'01_설정'!B11+Q2891*'01_설정'!B12+P2891*'01_설정'!B13+IF(Z2891="",0,Z2891))</f>
        <v/>
      </c>
      <c r="X2891" s="152">
        <f>IF(W2891="","",1+COUNTIFS($W$4:$W$3003,"&gt;"&amp;W2891)+COUNTIFS($W$4:W2891,W2891)-1)</f>
        <v/>
      </c>
      <c r="Y2891" s="175">
        <f>IF(OR(I2891="",'02_대상물건입력'!B19="",'02_대상물건입력'!B19&lt;=0),"",ABS(I2891-'02_대상물건입력'!B19)/'02_대상물건입력'!B19)</f>
        <v/>
      </c>
      <c r="Z2891" s="172">
        <f>IF(OR(Y2891="",'01_설정'!B31="",'01_설정'!B31&lt;=0,'01_설정'!B32="",'01_설정'!B32&lt;=0),"",MAX(0,(1-Y2891/'01_설정'!B32))*'01_설정'!B31)</f>
        <v/>
      </c>
    </row>
    <row r="2892" ht="17.25" customHeight="1">
      <c r="A2892" s="152">
        <f>IF(INDEX('04A_국토부원자료'!$A:$A,ROW()+1)="","",ROW()-3)</f>
        <v/>
      </c>
      <c r="B2892" s="48">
        <f>IFERROR(INDEX('04A_국토부원자료'!$A:$T,ROW()+1,MATCH("시군구",'04A_국토부원자료'!$A$4:$T$4,0)),"")</f>
        <v/>
      </c>
      <c r="C2892" s="48">
        <f>IF(B2892="","",IFERROR(INDEX('04A_국토부원자료'!$A:$T,ROW()+1,MATCH("번지",'04A_국토부원자료'!$A$4:$T$4,0)),""))</f>
        <v/>
      </c>
      <c r="D2892" s="48">
        <f>IF(B2892="","",IF(Q2892=1,'02_대상물건입력'!$B$8,IFERROR(INDEX('04A_국토부원자료'!$A:$T,ROW()+1,MATCH("단지명",'04A_국토부원자료'!$A$4:$T$4,0)),"")))</f>
        <v/>
      </c>
      <c r="E2892" s="172">
        <f>IFERROR(VALUE(SUBSTITUTE(INDEX('04A_국토부원자료'!$A:$T,ROW()+1,MATCH("전용면적(㎡)",'04A_국토부원자료'!$A$4:$T$4,0)),",","")),"")</f>
        <v/>
      </c>
      <c r="F28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92" s="51">
        <f>IFERROR(VALUE(SUBSTITUTE(INDEX('04A_국토부원자료'!$A:$T,ROW()+1,MATCH("거래금액(만원)",'04A_국토부원자료'!$A$4:$T$4,0)),",","")),"")</f>
        <v/>
      </c>
      <c r="H2892" s="174">
        <f>IF(G2892="","",G2892*10000)</f>
        <v/>
      </c>
      <c r="I2892" s="174">
        <f>IFERROR(IF(AND(H2892&gt;0,E2892&gt;0),H2892/E2892,""),"")</f>
        <v/>
      </c>
      <c r="J2892" s="152">
        <f>IFERROR(VALUE(SUBSTITUTE(INDEX('04A_국토부원자료'!$A:$T,ROW()+1,MATCH("층",'04A_국토부원자료'!$A$4:$T$4,0)),",","")),"")</f>
        <v/>
      </c>
      <c r="K2892" s="152">
        <f>IFERROR(VALUE(SUBSTITUTE(INDEX('04A_국토부원자료'!$A:$T,ROW()+1,MATCH("건축년도",'04A_국토부원자료'!$A$4:$T$4,0)),",","")),"")</f>
        <v/>
      </c>
      <c r="L2892" s="48">
        <f>IFERROR(INDEX('04A_국토부원자료'!$A:$T,ROW()+1,MATCH("도로명",'04A_국토부원자료'!$A$4:$T$4,0)),"")</f>
        <v/>
      </c>
      <c r="M2892" s="48">
        <f>IFERROR(INDEX('04A_국토부원자료'!$A:$T,ROW()+1,MATCH("거래유형",'04A_국토부원자료'!$A$4:$T$4,0)),"")</f>
        <v/>
      </c>
      <c r="N2892" s="152">
        <f>IF(B2892="","",IF('02_대상물건입력'!B5="",1,IF(ISNUMBER(SEARCH('02_대상물건입력'!B5,B2892)),1,0)))</f>
        <v/>
      </c>
      <c r="O2892" s="152">
        <f>IF(B2892="","",IF('02_대상물건입력'!B6="",1,IF(ISNUMBER(SEARCH('02_대상물건입력'!B6,B2892)),1,0)))</f>
        <v/>
      </c>
      <c r="P2892" s="152">
        <f>IF(L2892="","",IF('02_대상물건입력'!B15="",0,IF(ISNUMBER(SEARCH('02_대상물건입력'!B15,L2892)),1,0)))</f>
        <v/>
      </c>
      <c r="Q2892" s="152">
        <f>IF(OR(C2892="",L2892=""),0,IF(AND(TRIM(C2892)=TRIM(RIGHT(SUBSTITUTE(TRIM('02_대상물건입력'!$B$7)," ",REPT(" ",99)),99)),IF('02_대상물건입력'!B15="",TRUE(),ISNUMBER(SEARCH('02_대상물건입력'!B15,L2892)))),1,0))</f>
        <v/>
      </c>
      <c r="R2892" s="175">
        <f>IFERROR(ABS(E2892-'02_대상물건입력'!B11)/'02_대상물건입력'!B11,"")</f>
        <v/>
      </c>
      <c r="S2892" s="152">
        <f>IFERROR(ABS(J2892-'02_대상물건입력'!B10),"")</f>
        <v/>
      </c>
      <c r="T2892" s="152">
        <f>IFERROR(ABS('01_설정'!B4-F2892),"")</f>
        <v/>
      </c>
      <c r="U2892" s="152">
        <f>IFERROR(ABS(K2892-YEAR('02_대상물건입력'!B14)),"")</f>
        <v/>
      </c>
      <c r="V2892" s="152">
        <f>IF(B2892="","",IF(AND(E2892&gt;0,F2892&gt;0,H2892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2892=1,TRUE()),R2892&lt;='01_설정'!B5,S2892&lt;='01_설정'!B6,T2892&lt;='01_설정'!B7,U2892&lt;='01_설정'!B8),"Y",""))</f>
        <v/>
      </c>
      <c r="W2892" s="172">
        <f>IF(V2892&lt;&gt;"Y","",MAX(0,(1-R2892/'01_설정'!B5))*'01_설정'!B14+MAX(0,(1-S2892/'01_설정'!B6))*'01_설정'!B15+MAX(0,(1-T2892/'01_설정'!B7))*'01_설정'!B16+MAX(0,(1-U2892/'01_설정'!B8))*'01_설정'!B17+O2892*'01_설정'!B11+Q2892*'01_설정'!B12+P2892*'01_설정'!B13+IF(Z2892="",0,Z2892))</f>
        <v/>
      </c>
      <c r="X2892" s="152">
        <f>IF(W2892="","",1+COUNTIFS($W$4:$W$3003,"&gt;"&amp;W2892)+COUNTIFS($W$4:W2892,W2892)-1)</f>
        <v/>
      </c>
      <c r="Y2892" s="175">
        <f>IF(OR(I2892="",'02_대상물건입력'!B19="",'02_대상물건입력'!B19&lt;=0),"",ABS(I2892-'02_대상물건입력'!B19)/'02_대상물건입력'!B19)</f>
        <v/>
      </c>
      <c r="Z2892" s="172">
        <f>IF(OR(Y2892="",'01_설정'!B31="",'01_설정'!B31&lt;=0,'01_설정'!B32="",'01_설정'!B32&lt;=0),"",MAX(0,(1-Y2892/'01_설정'!B32))*'01_설정'!B31)</f>
        <v/>
      </c>
    </row>
    <row r="2893" ht="17.25" customHeight="1">
      <c r="A2893" s="152">
        <f>IF(INDEX('04A_국토부원자료'!$A:$A,ROW()+1)="","",ROW()-3)</f>
        <v/>
      </c>
      <c r="B2893" s="48">
        <f>IFERROR(INDEX('04A_국토부원자료'!$A:$T,ROW()+1,MATCH("시군구",'04A_국토부원자료'!$A$4:$T$4,0)),"")</f>
        <v/>
      </c>
      <c r="C2893" s="48">
        <f>IF(B2893="","",IFERROR(INDEX('04A_국토부원자료'!$A:$T,ROW()+1,MATCH("번지",'04A_국토부원자료'!$A$4:$T$4,0)),""))</f>
        <v/>
      </c>
      <c r="D2893" s="48">
        <f>IF(B2893="","",IF(Q2893=1,'02_대상물건입력'!$B$8,IFERROR(INDEX('04A_국토부원자료'!$A:$T,ROW()+1,MATCH("단지명",'04A_국토부원자료'!$A$4:$T$4,0)),"")))</f>
        <v/>
      </c>
      <c r="E2893" s="172">
        <f>IFERROR(VALUE(SUBSTITUTE(INDEX('04A_국토부원자료'!$A:$T,ROW()+1,MATCH("전용면적(㎡)",'04A_국토부원자료'!$A$4:$T$4,0)),",","")),"")</f>
        <v/>
      </c>
      <c r="F28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93" s="51">
        <f>IFERROR(VALUE(SUBSTITUTE(INDEX('04A_국토부원자료'!$A:$T,ROW()+1,MATCH("거래금액(만원)",'04A_국토부원자료'!$A$4:$T$4,0)),",","")),"")</f>
        <v/>
      </c>
      <c r="H2893" s="174">
        <f>IF(G2893="","",G2893*10000)</f>
        <v/>
      </c>
      <c r="I2893" s="174">
        <f>IFERROR(IF(AND(H2893&gt;0,E2893&gt;0),H2893/E2893,""),"")</f>
        <v/>
      </c>
      <c r="J2893" s="152">
        <f>IFERROR(VALUE(SUBSTITUTE(INDEX('04A_국토부원자료'!$A:$T,ROW()+1,MATCH("층",'04A_국토부원자료'!$A$4:$T$4,0)),",","")),"")</f>
        <v/>
      </c>
      <c r="K2893" s="152">
        <f>IFERROR(VALUE(SUBSTITUTE(INDEX('04A_국토부원자료'!$A:$T,ROW()+1,MATCH("건축년도",'04A_국토부원자료'!$A$4:$T$4,0)),",","")),"")</f>
        <v/>
      </c>
      <c r="L2893" s="48">
        <f>IFERROR(INDEX('04A_국토부원자료'!$A:$T,ROW()+1,MATCH("도로명",'04A_국토부원자료'!$A$4:$T$4,0)),"")</f>
        <v/>
      </c>
      <c r="M2893" s="48">
        <f>IFERROR(INDEX('04A_국토부원자료'!$A:$T,ROW()+1,MATCH("거래유형",'04A_국토부원자료'!$A$4:$T$4,0)),"")</f>
        <v/>
      </c>
      <c r="N2893" s="152">
        <f>IF(B2893="","",IF('02_대상물건입력'!B5="",1,IF(ISNUMBER(SEARCH('02_대상물건입력'!B5,B2893)),1,0)))</f>
        <v/>
      </c>
      <c r="O2893" s="152">
        <f>IF(B2893="","",IF('02_대상물건입력'!B6="",1,IF(ISNUMBER(SEARCH('02_대상물건입력'!B6,B2893)),1,0)))</f>
        <v/>
      </c>
      <c r="P2893" s="152">
        <f>IF(L2893="","",IF('02_대상물건입력'!B15="",0,IF(ISNUMBER(SEARCH('02_대상물건입력'!B15,L2893)),1,0)))</f>
        <v/>
      </c>
      <c r="Q2893" s="152">
        <f>IF(OR(C2893="",L2893=""),0,IF(AND(TRIM(C2893)=TRIM(RIGHT(SUBSTITUTE(TRIM('02_대상물건입력'!$B$7)," ",REPT(" ",99)),99)),IF('02_대상물건입력'!B15="",TRUE(),ISNUMBER(SEARCH('02_대상물건입력'!B15,L2893)))),1,0))</f>
        <v/>
      </c>
      <c r="R2893" s="175">
        <f>IFERROR(ABS(E2893-'02_대상물건입력'!B11)/'02_대상물건입력'!B11,"")</f>
        <v/>
      </c>
      <c r="S2893" s="152">
        <f>IFERROR(ABS(J2893-'02_대상물건입력'!B10),"")</f>
        <v/>
      </c>
      <c r="T2893" s="152">
        <f>IFERROR(ABS('01_설정'!B4-F2893),"")</f>
        <v/>
      </c>
      <c r="U2893" s="152">
        <f>IFERROR(ABS(K2893-YEAR('02_대상물건입력'!B14)),"")</f>
        <v/>
      </c>
      <c r="V2893" s="152">
        <f>IF(B2893="","",IF(AND(E2893&gt;0,F2893&gt;0,H2893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2893=1,TRUE()),R2893&lt;='01_설정'!B5,S2893&lt;='01_설정'!B6,T2893&lt;='01_설정'!B7,U2893&lt;='01_설정'!B8),"Y",""))</f>
        <v/>
      </c>
      <c r="W2893" s="172">
        <f>IF(V2893&lt;&gt;"Y","",MAX(0,(1-R2893/'01_설정'!B5))*'01_설정'!B14+MAX(0,(1-S2893/'01_설정'!B6))*'01_설정'!B15+MAX(0,(1-T2893/'01_설정'!B7))*'01_설정'!B16+MAX(0,(1-U2893/'01_설정'!B8))*'01_설정'!B17+O2893*'01_설정'!B11+Q2893*'01_설정'!B12+P2893*'01_설정'!B13+IF(Z2893="",0,Z2893))</f>
        <v/>
      </c>
      <c r="X2893" s="152">
        <f>IF(W2893="","",1+COUNTIFS($W$4:$W$3003,"&gt;"&amp;W2893)+COUNTIFS($W$4:W2893,W2893)-1)</f>
        <v/>
      </c>
      <c r="Y2893" s="175">
        <f>IF(OR(I2893="",'02_대상물건입력'!B19="",'02_대상물건입력'!B19&lt;=0),"",ABS(I2893-'02_대상물건입력'!B19)/'02_대상물건입력'!B19)</f>
        <v/>
      </c>
      <c r="Z2893" s="172">
        <f>IF(OR(Y2893="",'01_설정'!B31="",'01_설정'!B31&lt;=0,'01_설정'!B32="",'01_설정'!B32&lt;=0),"",MAX(0,(1-Y2893/'01_설정'!B32))*'01_설정'!B31)</f>
        <v/>
      </c>
    </row>
    <row r="2894" ht="17.25" customHeight="1">
      <c r="A2894" s="152">
        <f>IF(INDEX('04A_국토부원자료'!$A:$A,ROW()+1)="","",ROW()-3)</f>
        <v/>
      </c>
      <c r="B2894" s="48">
        <f>IFERROR(INDEX('04A_국토부원자료'!$A:$T,ROW()+1,MATCH("시군구",'04A_국토부원자료'!$A$4:$T$4,0)),"")</f>
        <v/>
      </c>
      <c r="C2894" s="48">
        <f>IF(B2894="","",IFERROR(INDEX('04A_국토부원자료'!$A:$T,ROW()+1,MATCH("번지",'04A_국토부원자료'!$A$4:$T$4,0)),""))</f>
        <v/>
      </c>
      <c r="D2894" s="48">
        <f>IF(B2894="","",IF(Q2894=1,'02_대상물건입력'!$B$8,IFERROR(INDEX('04A_국토부원자료'!$A:$T,ROW()+1,MATCH("단지명",'04A_국토부원자료'!$A$4:$T$4,0)),"")))</f>
        <v/>
      </c>
      <c r="E2894" s="172">
        <f>IFERROR(VALUE(SUBSTITUTE(INDEX('04A_국토부원자료'!$A:$T,ROW()+1,MATCH("전용면적(㎡)",'04A_국토부원자료'!$A$4:$T$4,0)),",","")),"")</f>
        <v/>
      </c>
      <c r="F28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94" s="51">
        <f>IFERROR(VALUE(SUBSTITUTE(INDEX('04A_국토부원자료'!$A:$T,ROW()+1,MATCH("거래금액(만원)",'04A_국토부원자료'!$A$4:$T$4,0)),",","")),"")</f>
        <v/>
      </c>
      <c r="H2894" s="174">
        <f>IF(G2894="","",G2894*10000)</f>
        <v/>
      </c>
      <c r="I2894" s="174">
        <f>IFERROR(IF(AND(H2894&gt;0,E2894&gt;0),H2894/E2894,""),"")</f>
        <v/>
      </c>
      <c r="J2894" s="152">
        <f>IFERROR(VALUE(SUBSTITUTE(INDEX('04A_국토부원자료'!$A:$T,ROW()+1,MATCH("층",'04A_국토부원자료'!$A$4:$T$4,0)),",","")),"")</f>
        <v/>
      </c>
      <c r="K2894" s="152">
        <f>IFERROR(VALUE(SUBSTITUTE(INDEX('04A_국토부원자료'!$A:$T,ROW()+1,MATCH("건축년도",'04A_국토부원자료'!$A$4:$T$4,0)),",","")),"")</f>
        <v/>
      </c>
      <c r="L2894" s="48">
        <f>IFERROR(INDEX('04A_국토부원자료'!$A:$T,ROW()+1,MATCH("도로명",'04A_국토부원자료'!$A$4:$T$4,0)),"")</f>
        <v/>
      </c>
      <c r="M2894" s="48">
        <f>IFERROR(INDEX('04A_국토부원자료'!$A:$T,ROW()+1,MATCH("거래유형",'04A_국토부원자료'!$A$4:$T$4,0)),"")</f>
        <v/>
      </c>
      <c r="N2894" s="152">
        <f>IF(B2894="","",IF('02_대상물건입력'!B5="",1,IF(ISNUMBER(SEARCH('02_대상물건입력'!B5,B2894)),1,0)))</f>
        <v/>
      </c>
      <c r="O2894" s="152">
        <f>IF(B2894="","",IF('02_대상물건입력'!B6="",1,IF(ISNUMBER(SEARCH('02_대상물건입력'!B6,B2894)),1,0)))</f>
        <v/>
      </c>
      <c r="P2894" s="152">
        <f>IF(L2894="","",IF('02_대상물건입력'!B15="",0,IF(ISNUMBER(SEARCH('02_대상물건입력'!B15,L2894)),1,0)))</f>
        <v/>
      </c>
      <c r="Q2894" s="152">
        <f>IF(OR(C2894="",L2894=""),0,IF(AND(TRIM(C2894)=TRIM(RIGHT(SUBSTITUTE(TRIM('02_대상물건입력'!$B$7)," ",REPT(" ",99)),99)),IF('02_대상물건입력'!B15="",TRUE(),ISNUMBER(SEARCH('02_대상물건입력'!B15,L2894)))),1,0))</f>
        <v/>
      </c>
      <c r="R2894" s="175">
        <f>IFERROR(ABS(E2894-'02_대상물건입력'!B11)/'02_대상물건입력'!B11,"")</f>
        <v/>
      </c>
      <c r="S2894" s="152">
        <f>IFERROR(ABS(J2894-'02_대상물건입력'!B10),"")</f>
        <v/>
      </c>
      <c r="T2894" s="152">
        <f>IFERROR(ABS('01_설정'!B4-F2894),"")</f>
        <v/>
      </c>
      <c r="U2894" s="152">
        <f>IFERROR(ABS(K2894-YEAR('02_대상물건입력'!B14)),"")</f>
        <v/>
      </c>
      <c r="V2894" s="152">
        <f>IF(B2894="","",IF(AND(E2894&gt;0,F2894&gt;0,H2894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2894=1,TRUE()),R2894&lt;='01_설정'!B5,S2894&lt;='01_설정'!B6,T2894&lt;='01_설정'!B7,U2894&lt;='01_설정'!B8),"Y",""))</f>
        <v/>
      </c>
      <c r="W2894" s="172">
        <f>IF(V2894&lt;&gt;"Y","",MAX(0,(1-R2894/'01_설정'!B5))*'01_설정'!B14+MAX(0,(1-S2894/'01_설정'!B6))*'01_설정'!B15+MAX(0,(1-T2894/'01_설정'!B7))*'01_설정'!B16+MAX(0,(1-U2894/'01_설정'!B8))*'01_설정'!B17+O2894*'01_설정'!B11+Q2894*'01_설정'!B12+P2894*'01_설정'!B13+IF(Z2894="",0,Z2894))</f>
        <v/>
      </c>
      <c r="X2894" s="152">
        <f>IF(W2894="","",1+COUNTIFS($W$4:$W$3003,"&gt;"&amp;W2894)+COUNTIFS($W$4:W2894,W2894)-1)</f>
        <v/>
      </c>
      <c r="Y2894" s="175">
        <f>IF(OR(I2894="",'02_대상물건입력'!B19="",'02_대상물건입력'!B19&lt;=0),"",ABS(I2894-'02_대상물건입력'!B19)/'02_대상물건입력'!B19)</f>
        <v/>
      </c>
      <c r="Z2894" s="172">
        <f>IF(OR(Y2894="",'01_설정'!B31="",'01_설정'!B31&lt;=0,'01_설정'!B32="",'01_설정'!B32&lt;=0),"",MAX(0,(1-Y2894/'01_설정'!B32))*'01_설정'!B31)</f>
        <v/>
      </c>
    </row>
    <row r="2895" ht="17.25" customHeight="1">
      <c r="A2895" s="152">
        <f>IF(INDEX('04A_국토부원자료'!$A:$A,ROW()+1)="","",ROW()-3)</f>
        <v/>
      </c>
      <c r="B2895" s="48">
        <f>IFERROR(INDEX('04A_국토부원자료'!$A:$T,ROW()+1,MATCH("시군구",'04A_국토부원자료'!$A$4:$T$4,0)),"")</f>
        <v/>
      </c>
      <c r="C2895" s="48">
        <f>IF(B2895="","",IFERROR(INDEX('04A_국토부원자료'!$A:$T,ROW()+1,MATCH("번지",'04A_국토부원자료'!$A$4:$T$4,0)),""))</f>
        <v/>
      </c>
      <c r="D2895" s="48">
        <f>IF(B2895="","",IF(Q2895=1,'02_대상물건입력'!$B$8,IFERROR(INDEX('04A_국토부원자료'!$A:$T,ROW()+1,MATCH("단지명",'04A_국토부원자료'!$A$4:$T$4,0)),"")))</f>
        <v/>
      </c>
      <c r="E2895" s="172">
        <f>IFERROR(VALUE(SUBSTITUTE(INDEX('04A_국토부원자료'!$A:$T,ROW()+1,MATCH("전용면적(㎡)",'04A_국토부원자료'!$A$4:$T$4,0)),",","")),"")</f>
        <v/>
      </c>
      <c r="F28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95" s="51">
        <f>IFERROR(VALUE(SUBSTITUTE(INDEX('04A_국토부원자료'!$A:$T,ROW()+1,MATCH("거래금액(만원)",'04A_국토부원자료'!$A$4:$T$4,0)),",","")),"")</f>
        <v/>
      </c>
      <c r="H2895" s="174">
        <f>IF(G2895="","",G2895*10000)</f>
        <v/>
      </c>
      <c r="I2895" s="174">
        <f>IFERROR(IF(AND(H2895&gt;0,E2895&gt;0),H2895/E2895,""),"")</f>
        <v/>
      </c>
      <c r="J2895" s="152">
        <f>IFERROR(VALUE(SUBSTITUTE(INDEX('04A_국토부원자료'!$A:$T,ROW()+1,MATCH("층",'04A_국토부원자료'!$A$4:$T$4,0)),",","")),"")</f>
        <v/>
      </c>
      <c r="K2895" s="152">
        <f>IFERROR(VALUE(SUBSTITUTE(INDEX('04A_국토부원자료'!$A:$T,ROW()+1,MATCH("건축년도",'04A_국토부원자료'!$A$4:$T$4,0)),",","")),"")</f>
        <v/>
      </c>
      <c r="L2895" s="48">
        <f>IFERROR(INDEX('04A_국토부원자료'!$A:$T,ROW()+1,MATCH("도로명",'04A_국토부원자료'!$A$4:$T$4,0)),"")</f>
        <v/>
      </c>
      <c r="M2895" s="48">
        <f>IFERROR(INDEX('04A_국토부원자료'!$A:$T,ROW()+1,MATCH("거래유형",'04A_국토부원자료'!$A$4:$T$4,0)),"")</f>
        <v/>
      </c>
      <c r="N2895" s="152">
        <f>IF(B2895="","",IF('02_대상물건입력'!B5="",1,IF(ISNUMBER(SEARCH('02_대상물건입력'!B5,B2895)),1,0)))</f>
        <v/>
      </c>
      <c r="O2895" s="152">
        <f>IF(B2895="","",IF('02_대상물건입력'!B6="",1,IF(ISNUMBER(SEARCH('02_대상물건입력'!B6,B2895)),1,0)))</f>
        <v/>
      </c>
      <c r="P2895" s="152">
        <f>IF(L2895="","",IF('02_대상물건입력'!B15="",0,IF(ISNUMBER(SEARCH('02_대상물건입력'!B15,L2895)),1,0)))</f>
        <v/>
      </c>
      <c r="Q2895" s="152">
        <f>IF(OR(C2895="",L2895=""),0,IF(AND(TRIM(C2895)=TRIM(RIGHT(SUBSTITUTE(TRIM('02_대상물건입력'!$B$7)," ",REPT(" ",99)),99)),IF('02_대상물건입력'!B15="",TRUE(),ISNUMBER(SEARCH('02_대상물건입력'!B15,L2895)))),1,0))</f>
        <v/>
      </c>
      <c r="R2895" s="175">
        <f>IFERROR(ABS(E2895-'02_대상물건입력'!B11)/'02_대상물건입력'!B11,"")</f>
        <v/>
      </c>
      <c r="S2895" s="152">
        <f>IFERROR(ABS(J2895-'02_대상물건입력'!B10),"")</f>
        <v/>
      </c>
      <c r="T2895" s="152">
        <f>IFERROR(ABS('01_설정'!B4-F2895),"")</f>
        <v/>
      </c>
      <c r="U2895" s="152">
        <f>IFERROR(ABS(K2895-YEAR('02_대상물건입력'!B14)),"")</f>
        <v/>
      </c>
      <c r="V2895" s="152">
        <f>IF(B2895="","",IF(AND(E2895&gt;0,F2895&gt;0,H2895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2895=1,TRUE()),R2895&lt;='01_설정'!B5,S2895&lt;='01_설정'!B6,T2895&lt;='01_설정'!B7,U2895&lt;='01_설정'!B8),"Y",""))</f>
        <v/>
      </c>
      <c r="W2895" s="172">
        <f>IF(V2895&lt;&gt;"Y","",MAX(0,(1-R2895/'01_설정'!B5))*'01_설정'!B14+MAX(0,(1-S2895/'01_설정'!B6))*'01_설정'!B15+MAX(0,(1-T2895/'01_설정'!B7))*'01_설정'!B16+MAX(0,(1-U2895/'01_설정'!B8))*'01_설정'!B17+O2895*'01_설정'!B11+Q2895*'01_설정'!B12+P2895*'01_설정'!B13+IF(Z2895="",0,Z2895))</f>
        <v/>
      </c>
      <c r="X2895" s="152">
        <f>IF(W2895="","",1+COUNTIFS($W$4:$W$3003,"&gt;"&amp;W2895)+COUNTIFS($W$4:W2895,W2895)-1)</f>
        <v/>
      </c>
      <c r="Y2895" s="175">
        <f>IF(OR(I2895="",'02_대상물건입력'!B19="",'02_대상물건입력'!B19&lt;=0),"",ABS(I2895-'02_대상물건입력'!B19)/'02_대상물건입력'!B19)</f>
        <v/>
      </c>
      <c r="Z2895" s="172">
        <f>IF(OR(Y2895="",'01_설정'!B31="",'01_설정'!B31&lt;=0,'01_설정'!B32="",'01_설정'!B32&lt;=0),"",MAX(0,(1-Y2895/'01_설정'!B32))*'01_설정'!B31)</f>
        <v/>
      </c>
    </row>
    <row r="2896" ht="17.25" customHeight="1">
      <c r="A2896" s="152">
        <f>IF(INDEX('04A_국토부원자료'!$A:$A,ROW()+1)="","",ROW()-3)</f>
        <v/>
      </c>
      <c r="B2896" s="48">
        <f>IFERROR(INDEX('04A_국토부원자료'!$A:$T,ROW()+1,MATCH("시군구",'04A_국토부원자료'!$A$4:$T$4,0)),"")</f>
        <v/>
      </c>
      <c r="C2896" s="48">
        <f>IF(B2896="","",IFERROR(INDEX('04A_국토부원자료'!$A:$T,ROW()+1,MATCH("번지",'04A_국토부원자료'!$A$4:$T$4,0)),""))</f>
        <v/>
      </c>
      <c r="D2896" s="48">
        <f>IF(B2896="","",IF(Q2896=1,'02_대상물건입력'!$B$8,IFERROR(INDEX('04A_국토부원자료'!$A:$T,ROW()+1,MATCH("단지명",'04A_국토부원자료'!$A$4:$T$4,0)),"")))</f>
        <v/>
      </c>
      <c r="E2896" s="172">
        <f>IFERROR(VALUE(SUBSTITUTE(INDEX('04A_국토부원자료'!$A:$T,ROW()+1,MATCH("전용면적(㎡)",'04A_국토부원자료'!$A$4:$T$4,0)),",","")),"")</f>
        <v/>
      </c>
      <c r="F28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96" s="51">
        <f>IFERROR(VALUE(SUBSTITUTE(INDEX('04A_국토부원자료'!$A:$T,ROW()+1,MATCH("거래금액(만원)",'04A_국토부원자료'!$A$4:$T$4,0)),",","")),"")</f>
        <v/>
      </c>
      <c r="H2896" s="174">
        <f>IF(G2896="","",G2896*10000)</f>
        <v/>
      </c>
      <c r="I2896" s="174">
        <f>IFERROR(IF(AND(H2896&gt;0,E2896&gt;0),H2896/E2896,""),"")</f>
        <v/>
      </c>
      <c r="J2896" s="152">
        <f>IFERROR(VALUE(SUBSTITUTE(INDEX('04A_국토부원자료'!$A:$T,ROW()+1,MATCH("층",'04A_국토부원자료'!$A$4:$T$4,0)),",","")),"")</f>
        <v/>
      </c>
      <c r="K2896" s="152">
        <f>IFERROR(VALUE(SUBSTITUTE(INDEX('04A_국토부원자료'!$A:$T,ROW()+1,MATCH("건축년도",'04A_국토부원자료'!$A$4:$T$4,0)),",","")),"")</f>
        <v/>
      </c>
      <c r="L2896" s="48">
        <f>IFERROR(INDEX('04A_국토부원자료'!$A:$T,ROW()+1,MATCH("도로명",'04A_국토부원자료'!$A$4:$T$4,0)),"")</f>
        <v/>
      </c>
      <c r="M2896" s="48">
        <f>IFERROR(INDEX('04A_국토부원자료'!$A:$T,ROW()+1,MATCH("거래유형",'04A_국토부원자료'!$A$4:$T$4,0)),"")</f>
        <v/>
      </c>
      <c r="N2896" s="152">
        <f>IF(B2896="","",IF('02_대상물건입력'!B5="",1,IF(ISNUMBER(SEARCH('02_대상물건입력'!B5,B2896)),1,0)))</f>
        <v/>
      </c>
      <c r="O2896" s="152">
        <f>IF(B2896="","",IF('02_대상물건입력'!B6="",1,IF(ISNUMBER(SEARCH('02_대상물건입력'!B6,B2896)),1,0)))</f>
        <v/>
      </c>
      <c r="P2896" s="152">
        <f>IF(L2896="","",IF('02_대상물건입력'!B15="",0,IF(ISNUMBER(SEARCH('02_대상물건입력'!B15,L2896)),1,0)))</f>
        <v/>
      </c>
      <c r="Q2896" s="152">
        <f>IF(OR(C2896="",L2896=""),0,IF(AND(TRIM(C2896)=TRIM(RIGHT(SUBSTITUTE(TRIM('02_대상물건입력'!$B$7)," ",REPT(" ",99)),99)),IF('02_대상물건입력'!B15="",TRUE(),ISNUMBER(SEARCH('02_대상물건입력'!B15,L2896)))),1,0))</f>
        <v/>
      </c>
      <c r="R2896" s="175">
        <f>IFERROR(ABS(E2896-'02_대상물건입력'!B11)/'02_대상물건입력'!B11,"")</f>
        <v/>
      </c>
      <c r="S2896" s="152">
        <f>IFERROR(ABS(J2896-'02_대상물건입력'!B10),"")</f>
        <v/>
      </c>
      <c r="T2896" s="152">
        <f>IFERROR(ABS('01_설정'!B4-F2896),"")</f>
        <v/>
      </c>
      <c r="U2896" s="152">
        <f>IFERROR(ABS(K2896-YEAR('02_대상물건입력'!B14)),"")</f>
        <v/>
      </c>
      <c r="V2896" s="152">
        <f>IF(B2896="","",IF(AND(E2896&gt;0,F2896&gt;0,H2896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2896=1,TRUE()),R2896&lt;='01_설정'!B5,S2896&lt;='01_설정'!B6,T2896&lt;='01_설정'!B7,U2896&lt;='01_설정'!B8),"Y",""))</f>
        <v/>
      </c>
      <c r="W2896" s="172">
        <f>IF(V2896&lt;&gt;"Y","",MAX(0,(1-R2896/'01_설정'!B5))*'01_설정'!B14+MAX(0,(1-S2896/'01_설정'!B6))*'01_설정'!B15+MAX(0,(1-T2896/'01_설정'!B7))*'01_설정'!B16+MAX(0,(1-U2896/'01_설정'!B8))*'01_설정'!B17+O2896*'01_설정'!B11+Q2896*'01_설정'!B12+P2896*'01_설정'!B13+IF(Z2896="",0,Z2896))</f>
        <v/>
      </c>
      <c r="X2896" s="152">
        <f>IF(W2896="","",1+COUNTIFS($W$4:$W$3003,"&gt;"&amp;W2896)+COUNTIFS($W$4:W2896,W2896)-1)</f>
        <v/>
      </c>
      <c r="Y2896" s="175">
        <f>IF(OR(I2896="",'02_대상물건입력'!B19="",'02_대상물건입력'!B19&lt;=0),"",ABS(I2896-'02_대상물건입력'!B19)/'02_대상물건입력'!B19)</f>
        <v/>
      </c>
      <c r="Z2896" s="172">
        <f>IF(OR(Y2896="",'01_설정'!B31="",'01_설정'!B31&lt;=0,'01_설정'!B32="",'01_설정'!B32&lt;=0),"",MAX(0,(1-Y2896/'01_설정'!B32))*'01_설정'!B31)</f>
        <v/>
      </c>
    </row>
    <row r="2897" ht="17.25" customHeight="1">
      <c r="A2897" s="152">
        <f>IF(INDEX('04A_국토부원자료'!$A:$A,ROW()+1)="","",ROW()-3)</f>
        <v/>
      </c>
      <c r="B2897" s="48">
        <f>IFERROR(INDEX('04A_국토부원자료'!$A:$T,ROW()+1,MATCH("시군구",'04A_국토부원자료'!$A$4:$T$4,0)),"")</f>
        <v/>
      </c>
      <c r="C2897" s="48">
        <f>IF(B2897="","",IFERROR(INDEX('04A_국토부원자료'!$A:$T,ROW()+1,MATCH("번지",'04A_국토부원자료'!$A$4:$T$4,0)),""))</f>
        <v/>
      </c>
      <c r="D2897" s="48">
        <f>IF(B2897="","",IF(Q2897=1,'02_대상물건입력'!$B$8,IFERROR(INDEX('04A_국토부원자료'!$A:$T,ROW()+1,MATCH("단지명",'04A_국토부원자료'!$A$4:$T$4,0)),"")))</f>
        <v/>
      </c>
      <c r="E2897" s="172">
        <f>IFERROR(VALUE(SUBSTITUTE(INDEX('04A_국토부원자료'!$A:$T,ROW()+1,MATCH("전용면적(㎡)",'04A_국토부원자료'!$A$4:$T$4,0)),",","")),"")</f>
        <v/>
      </c>
      <c r="F28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97" s="51">
        <f>IFERROR(VALUE(SUBSTITUTE(INDEX('04A_국토부원자료'!$A:$T,ROW()+1,MATCH("거래금액(만원)",'04A_국토부원자료'!$A$4:$T$4,0)),",","")),"")</f>
        <v/>
      </c>
      <c r="H2897" s="174">
        <f>IF(G2897="","",G2897*10000)</f>
        <v/>
      </c>
      <c r="I2897" s="174">
        <f>IFERROR(IF(AND(H2897&gt;0,E2897&gt;0),H2897/E2897,""),"")</f>
        <v/>
      </c>
      <c r="J2897" s="152">
        <f>IFERROR(VALUE(SUBSTITUTE(INDEX('04A_국토부원자료'!$A:$T,ROW()+1,MATCH("층",'04A_국토부원자료'!$A$4:$T$4,0)),",","")),"")</f>
        <v/>
      </c>
      <c r="K2897" s="152">
        <f>IFERROR(VALUE(SUBSTITUTE(INDEX('04A_국토부원자료'!$A:$T,ROW()+1,MATCH("건축년도",'04A_국토부원자료'!$A$4:$T$4,0)),",","")),"")</f>
        <v/>
      </c>
      <c r="L2897" s="48">
        <f>IFERROR(INDEX('04A_국토부원자료'!$A:$T,ROW()+1,MATCH("도로명",'04A_국토부원자료'!$A$4:$T$4,0)),"")</f>
        <v/>
      </c>
      <c r="M2897" s="48">
        <f>IFERROR(INDEX('04A_국토부원자료'!$A:$T,ROW()+1,MATCH("거래유형",'04A_국토부원자료'!$A$4:$T$4,0)),"")</f>
        <v/>
      </c>
      <c r="N2897" s="152">
        <f>IF(B2897="","",IF('02_대상물건입력'!B5="",1,IF(ISNUMBER(SEARCH('02_대상물건입력'!B5,B2897)),1,0)))</f>
        <v/>
      </c>
      <c r="O2897" s="152">
        <f>IF(B2897="","",IF('02_대상물건입력'!B6="",1,IF(ISNUMBER(SEARCH('02_대상물건입력'!B6,B2897)),1,0)))</f>
        <v/>
      </c>
      <c r="P2897" s="152">
        <f>IF(L2897="","",IF('02_대상물건입력'!B15="",0,IF(ISNUMBER(SEARCH('02_대상물건입력'!B15,L2897)),1,0)))</f>
        <v/>
      </c>
      <c r="Q2897" s="152">
        <f>IF(OR(C2897="",L2897=""),0,IF(AND(TRIM(C2897)=TRIM(RIGHT(SUBSTITUTE(TRIM('02_대상물건입력'!$B$7)," ",REPT(" ",99)),99)),IF('02_대상물건입력'!B15="",TRUE(),ISNUMBER(SEARCH('02_대상물건입력'!B15,L2897)))),1,0))</f>
        <v/>
      </c>
      <c r="R2897" s="175">
        <f>IFERROR(ABS(E2897-'02_대상물건입력'!B11)/'02_대상물건입력'!B11,"")</f>
        <v/>
      </c>
      <c r="S2897" s="152">
        <f>IFERROR(ABS(J2897-'02_대상물건입력'!B10),"")</f>
        <v/>
      </c>
      <c r="T2897" s="152">
        <f>IFERROR(ABS('01_설정'!B4-F2897),"")</f>
        <v/>
      </c>
      <c r="U2897" s="152">
        <f>IFERROR(ABS(K2897-YEAR('02_대상물건입력'!B14)),"")</f>
        <v/>
      </c>
      <c r="V2897" s="152">
        <f>IF(B2897="","",IF(AND(E2897&gt;0,F2897&gt;0,H2897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2897=1,TRUE()),R2897&lt;='01_설정'!B5,S2897&lt;='01_설정'!B6,T2897&lt;='01_설정'!B7,U2897&lt;='01_설정'!B8),"Y",""))</f>
        <v/>
      </c>
      <c r="W2897" s="172">
        <f>IF(V2897&lt;&gt;"Y","",MAX(0,(1-R2897/'01_설정'!B5))*'01_설정'!B14+MAX(0,(1-S2897/'01_설정'!B6))*'01_설정'!B15+MAX(0,(1-T2897/'01_설정'!B7))*'01_설정'!B16+MAX(0,(1-U2897/'01_설정'!B8))*'01_설정'!B17+O2897*'01_설정'!B11+Q2897*'01_설정'!B12+P2897*'01_설정'!B13+IF(Z2897="",0,Z2897))</f>
        <v/>
      </c>
      <c r="X2897" s="152">
        <f>IF(W2897="","",1+COUNTIFS($W$4:$W$3003,"&gt;"&amp;W2897)+COUNTIFS($W$4:W2897,W2897)-1)</f>
        <v/>
      </c>
      <c r="Y2897" s="175">
        <f>IF(OR(I2897="",'02_대상물건입력'!B19="",'02_대상물건입력'!B19&lt;=0),"",ABS(I2897-'02_대상물건입력'!B19)/'02_대상물건입력'!B19)</f>
        <v/>
      </c>
      <c r="Z2897" s="172">
        <f>IF(OR(Y2897="",'01_설정'!B31="",'01_설정'!B31&lt;=0,'01_설정'!B32="",'01_설정'!B32&lt;=0),"",MAX(0,(1-Y2897/'01_설정'!B32))*'01_설정'!B31)</f>
        <v/>
      </c>
    </row>
    <row r="2898" ht="17.25" customHeight="1">
      <c r="A2898" s="152">
        <f>IF(INDEX('04A_국토부원자료'!$A:$A,ROW()+1)="","",ROW()-3)</f>
        <v/>
      </c>
      <c r="B2898" s="48">
        <f>IFERROR(INDEX('04A_국토부원자료'!$A:$T,ROW()+1,MATCH("시군구",'04A_국토부원자료'!$A$4:$T$4,0)),"")</f>
        <v/>
      </c>
      <c r="C2898" s="48">
        <f>IF(B2898="","",IFERROR(INDEX('04A_국토부원자료'!$A:$T,ROW()+1,MATCH("번지",'04A_국토부원자료'!$A$4:$T$4,0)),""))</f>
        <v/>
      </c>
      <c r="D2898" s="48">
        <f>IF(B2898="","",IF(Q2898=1,'02_대상물건입력'!$B$8,IFERROR(INDEX('04A_국토부원자료'!$A:$T,ROW()+1,MATCH("단지명",'04A_국토부원자료'!$A$4:$T$4,0)),"")))</f>
        <v/>
      </c>
      <c r="E2898" s="172">
        <f>IFERROR(VALUE(SUBSTITUTE(INDEX('04A_국토부원자료'!$A:$T,ROW()+1,MATCH("전용면적(㎡)",'04A_국토부원자료'!$A$4:$T$4,0)),",","")),"")</f>
        <v/>
      </c>
      <c r="F28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98" s="51">
        <f>IFERROR(VALUE(SUBSTITUTE(INDEX('04A_국토부원자료'!$A:$T,ROW()+1,MATCH("거래금액(만원)",'04A_국토부원자료'!$A$4:$T$4,0)),",","")),"")</f>
        <v/>
      </c>
      <c r="H2898" s="174">
        <f>IF(G2898="","",G2898*10000)</f>
        <v/>
      </c>
      <c r="I2898" s="174">
        <f>IFERROR(IF(AND(H2898&gt;0,E2898&gt;0),H2898/E2898,""),"")</f>
        <v/>
      </c>
      <c r="J2898" s="152">
        <f>IFERROR(VALUE(SUBSTITUTE(INDEX('04A_국토부원자료'!$A:$T,ROW()+1,MATCH("층",'04A_국토부원자료'!$A$4:$T$4,0)),",","")),"")</f>
        <v/>
      </c>
      <c r="K2898" s="152">
        <f>IFERROR(VALUE(SUBSTITUTE(INDEX('04A_국토부원자료'!$A:$T,ROW()+1,MATCH("건축년도",'04A_국토부원자료'!$A$4:$T$4,0)),",","")),"")</f>
        <v/>
      </c>
      <c r="L2898" s="48">
        <f>IFERROR(INDEX('04A_국토부원자료'!$A:$T,ROW()+1,MATCH("도로명",'04A_국토부원자료'!$A$4:$T$4,0)),"")</f>
        <v/>
      </c>
      <c r="M2898" s="48">
        <f>IFERROR(INDEX('04A_국토부원자료'!$A:$T,ROW()+1,MATCH("거래유형",'04A_국토부원자료'!$A$4:$T$4,0)),"")</f>
        <v/>
      </c>
      <c r="N2898" s="152">
        <f>IF(B2898="","",IF('02_대상물건입력'!B5="",1,IF(ISNUMBER(SEARCH('02_대상물건입력'!B5,B2898)),1,0)))</f>
        <v/>
      </c>
      <c r="O2898" s="152">
        <f>IF(B2898="","",IF('02_대상물건입력'!B6="",1,IF(ISNUMBER(SEARCH('02_대상물건입력'!B6,B2898)),1,0)))</f>
        <v/>
      </c>
      <c r="P2898" s="152">
        <f>IF(L2898="","",IF('02_대상물건입력'!B15="",0,IF(ISNUMBER(SEARCH('02_대상물건입력'!B15,L2898)),1,0)))</f>
        <v/>
      </c>
      <c r="Q2898" s="152">
        <f>IF(OR(C2898="",L2898=""),0,IF(AND(TRIM(C2898)=TRIM(RIGHT(SUBSTITUTE(TRIM('02_대상물건입력'!$B$7)," ",REPT(" ",99)),99)),IF('02_대상물건입력'!B15="",TRUE(),ISNUMBER(SEARCH('02_대상물건입력'!B15,L2898)))),1,0))</f>
        <v/>
      </c>
      <c r="R2898" s="175">
        <f>IFERROR(ABS(E2898-'02_대상물건입력'!B11)/'02_대상물건입력'!B11,"")</f>
        <v/>
      </c>
      <c r="S2898" s="152">
        <f>IFERROR(ABS(J2898-'02_대상물건입력'!B10),"")</f>
        <v/>
      </c>
      <c r="T2898" s="152">
        <f>IFERROR(ABS('01_설정'!B4-F2898),"")</f>
        <v/>
      </c>
      <c r="U2898" s="152">
        <f>IFERROR(ABS(K2898-YEAR('02_대상물건입력'!B14)),"")</f>
        <v/>
      </c>
      <c r="V2898" s="152">
        <f>IF(B2898="","",IF(AND(E2898&gt;0,F2898&gt;0,H2898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2898=1,TRUE()),R2898&lt;='01_설정'!B5,S2898&lt;='01_설정'!B6,T2898&lt;='01_설정'!B7,U2898&lt;='01_설정'!B8),"Y",""))</f>
        <v/>
      </c>
      <c r="W2898" s="172">
        <f>IF(V2898&lt;&gt;"Y","",MAX(0,(1-R2898/'01_설정'!B5))*'01_설정'!B14+MAX(0,(1-S2898/'01_설정'!B6))*'01_설정'!B15+MAX(0,(1-T2898/'01_설정'!B7))*'01_설정'!B16+MAX(0,(1-U2898/'01_설정'!B8))*'01_설정'!B17+O2898*'01_설정'!B11+Q2898*'01_설정'!B12+P2898*'01_설정'!B13+IF(Z2898="",0,Z2898))</f>
        <v/>
      </c>
      <c r="X2898" s="152">
        <f>IF(W2898="","",1+COUNTIFS($W$4:$W$3003,"&gt;"&amp;W2898)+COUNTIFS($W$4:W2898,W2898)-1)</f>
        <v/>
      </c>
      <c r="Y2898" s="175">
        <f>IF(OR(I2898="",'02_대상물건입력'!B19="",'02_대상물건입력'!B19&lt;=0),"",ABS(I2898-'02_대상물건입력'!B19)/'02_대상물건입력'!B19)</f>
        <v/>
      </c>
      <c r="Z2898" s="172">
        <f>IF(OR(Y2898="",'01_설정'!B31="",'01_설정'!B31&lt;=0,'01_설정'!B32="",'01_설정'!B32&lt;=0),"",MAX(0,(1-Y2898/'01_설정'!B32))*'01_설정'!B31)</f>
        <v/>
      </c>
    </row>
    <row r="2899" ht="17.25" customHeight="1">
      <c r="A2899" s="152">
        <f>IF(INDEX('04A_국토부원자료'!$A:$A,ROW()+1)="","",ROW()-3)</f>
        <v/>
      </c>
      <c r="B2899" s="48">
        <f>IFERROR(INDEX('04A_국토부원자료'!$A:$T,ROW()+1,MATCH("시군구",'04A_국토부원자료'!$A$4:$T$4,0)),"")</f>
        <v/>
      </c>
      <c r="C2899" s="48">
        <f>IF(B2899="","",IFERROR(INDEX('04A_국토부원자료'!$A:$T,ROW()+1,MATCH("번지",'04A_국토부원자료'!$A$4:$T$4,0)),""))</f>
        <v/>
      </c>
      <c r="D2899" s="48">
        <f>IF(B2899="","",IF(Q2899=1,'02_대상물건입력'!$B$8,IFERROR(INDEX('04A_국토부원자료'!$A:$T,ROW()+1,MATCH("단지명",'04A_국토부원자료'!$A$4:$T$4,0)),"")))</f>
        <v/>
      </c>
      <c r="E2899" s="172">
        <f>IFERROR(VALUE(SUBSTITUTE(INDEX('04A_국토부원자료'!$A:$T,ROW()+1,MATCH("전용면적(㎡)",'04A_국토부원자료'!$A$4:$T$4,0)),",","")),"")</f>
        <v/>
      </c>
      <c r="F28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899" s="51">
        <f>IFERROR(VALUE(SUBSTITUTE(INDEX('04A_국토부원자료'!$A:$T,ROW()+1,MATCH("거래금액(만원)",'04A_국토부원자료'!$A$4:$T$4,0)),",","")),"")</f>
        <v/>
      </c>
      <c r="H2899" s="174">
        <f>IF(G2899="","",G2899*10000)</f>
        <v/>
      </c>
      <c r="I2899" s="174">
        <f>IFERROR(IF(AND(H2899&gt;0,E2899&gt;0),H2899/E2899,""),"")</f>
        <v/>
      </c>
      <c r="J2899" s="152">
        <f>IFERROR(VALUE(SUBSTITUTE(INDEX('04A_국토부원자료'!$A:$T,ROW()+1,MATCH("층",'04A_국토부원자료'!$A$4:$T$4,0)),",","")),"")</f>
        <v/>
      </c>
      <c r="K2899" s="152">
        <f>IFERROR(VALUE(SUBSTITUTE(INDEX('04A_국토부원자료'!$A:$T,ROW()+1,MATCH("건축년도",'04A_국토부원자료'!$A$4:$T$4,0)),",","")),"")</f>
        <v/>
      </c>
      <c r="L2899" s="48">
        <f>IFERROR(INDEX('04A_국토부원자료'!$A:$T,ROW()+1,MATCH("도로명",'04A_국토부원자료'!$A$4:$T$4,0)),"")</f>
        <v/>
      </c>
      <c r="M2899" s="48">
        <f>IFERROR(INDEX('04A_국토부원자료'!$A:$T,ROW()+1,MATCH("거래유형",'04A_국토부원자료'!$A$4:$T$4,0)),"")</f>
        <v/>
      </c>
      <c r="N2899" s="152">
        <f>IF(B2899="","",IF('02_대상물건입력'!B5="",1,IF(ISNUMBER(SEARCH('02_대상물건입력'!B5,B2899)),1,0)))</f>
        <v/>
      </c>
      <c r="O2899" s="152">
        <f>IF(B2899="","",IF('02_대상물건입력'!B6="",1,IF(ISNUMBER(SEARCH('02_대상물건입력'!B6,B2899)),1,0)))</f>
        <v/>
      </c>
      <c r="P2899" s="152">
        <f>IF(L2899="","",IF('02_대상물건입력'!B15="",0,IF(ISNUMBER(SEARCH('02_대상물건입력'!B15,L2899)),1,0)))</f>
        <v/>
      </c>
      <c r="Q2899" s="152">
        <f>IF(OR(C2899="",L2899=""),0,IF(AND(TRIM(C2899)=TRIM(RIGHT(SUBSTITUTE(TRIM('02_대상물건입력'!$B$7)," ",REPT(" ",99)),99)),IF('02_대상물건입력'!B15="",TRUE(),ISNUMBER(SEARCH('02_대상물건입력'!B15,L2899)))),1,0))</f>
        <v/>
      </c>
      <c r="R2899" s="175">
        <f>IFERROR(ABS(E2899-'02_대상물건입력'!B11)/'02_대상물건입력'!B11,"")</f>
        <v/>
      </c>
      <c r="S2899" s="152">
        <f>IFERROR(ABS(J2899-'02_대상물건입력'!B10),"")</f>
        <v/>
      </c>
      <c r="T2899" s="152">
        <f>IFERROR(ABS('01_설정'!B4-F2899),"")</f>
        <v/>
      </c>
      <c r="U2899" s="152">
        <f>IFERROR(ABS(K2899-YEAR('02_대상물건입력'!B14)),"")</f>
        <v/>
      </c>
      <c r="V2899" s="152">
        <f>IF(B2899="","",IF(AND(E2899&gt;0,F2899&gt;0,H2899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2899=1,TRUE()),R2899&lt;='01_설정'!B5,S2899&lt;='01_설정'!B6,T2899&lt;='01_설정'!B7,U2899&lt;='01_설정'!B8),"Y",""))</f>
        <v/>
      </c>
      <c r="W2899" s="172">
        <f>IF(V2899&lt;&gt;"Y","",MAX(0,(1-R2899/'01_설정'!B5))*'01_설정'!B14+MAX(0,(1-S2899/'01_설정'!B6))*'01_설정'!B15+MAX(0,(1-T2899/'01_설정'!B7))*'01_설정'!B16+MAX(0,(1-U2899/'01_설정'!B8))*'01_설정'!B17+O2899*'01_설정'!B11+Q2899*'01_설정'!B12+P2899*'01_설정'!B13+IF(Z2899="",0,Z2899))</f>
        <v/>
      </c>
      <c r="X2899" s="152">
        <f>IF(W2899="","",1+COUNTIFS($W$4:$W$3003,"&gt;"&amp;W2899)+COUNTIFS($W$4:W2899,W2899)-1)</f>
        <v/>
      </c>
      <c r="Y2899" s="175">
        <f>IF(OR(I2899="",'02_대상물건입력'!B19="",'02_대상물건입력'!B19&lt;=0),"",ABS(I2899-'02_대상물건입력'!B19)/'02_대상물건입력'!B19)</f>
        <v/>
      </c>
      <c r="Z2899" s="172">
        <f>IF(OR(Y2899="",'01_설정'!B31="",'01_설정'!B31&lt;=0,'01_설정'!B32="",'01_설정'!B32&lt;=0),"",MAX(0,(1-Y2899/'01_설정'!B32))*'01_설정'!B31)</f>
        <v/>
      </c>
    </row>
    <row r="2900" ht="17.25" customHeight="1">
      <c r="A2900" s="152">
        <f>IF(INDEX('04A_국토부원자료'!$A:$A,ROW()+1)="","",ROW()-3)</f>
        <v/>
      </c>
      <c r="B2900" s="48">
        <f>IFERROR(INDEX('04A_국토부원자료'!$A:$T,ROW()+1,MATCH("시군구",'04A_국토부원자료'!$A$4:$T$4,0)),"")</f>
        <v/>
      </c>
      <c r="C2900" s="48">
        <f>IF(B2900="","",IFERROR(INDEX('04A_국토부원자료'!$A:$T,ROW()+1,MATCH("번지",'04A_국토부원자료'!$A$4:$T$4,0)),""))</f>
        <v/>
      </c>
      <c r="D2900" s="48">
        <f>IF(B2900="","",IF(Q2900=1,'02_대상물건입력'!$B$8,IFERROR(INDEX('04A_국토부원자료'!$A:$T,ROW()+1,MATCH("단지명",'04A_국토부원자료'!$A$4:$T$4,0)),"")))</f>
        <v/>
      </c>
      <c r="E2900" s="172">
        <f>IFERROR(VALUE(SUBSTITUTE(INDEX('04A_국토부원자료'!$A:$T,ROW()+1,MATCH("전용면적(㎡)",'04A_국토부원자료'!$A$4:$T$4,0)),",","")),"")</f>
        <v/>
      </c>
      <c r="F29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00" s="51">
        <f>IFERROR(VALUE(SUBSTITUTE(INDEX('04A_국토부원자료'!$A:$T,ROW()+1,MATCH("거래금액(만원)",'04A_국토부원자료'!$A$4:$T$4,0)),",","")),"")</f>
        <v/>
      </c>
      <c r="H2900" s="174">
        <f>IF(G2900="","",G2900*10000)</f>
        <v/>
      </c>
      <c r="I2900" s="174">
        <f>IFERROR(IF(AND(H2900&gt;0,E2900&gt;0),H2900/E2900,""),"")</f>
        <v/>
      </c>
      <c r="J2900" s="152">
        <f>IFERROR(VALUE(SUBSTITUTE(INDEX('04A_국토부원자료'!$A:$T,ROW()+1,MATCH("층",'04A_국토부원자료'!$A$4:$T$4,0)),",","")),"")</f>
        <v/>
      </c>
      <c r="K2900" s="152">
        <f>IFERROR(VALUE(SUBSTITUTE(INDEX('04A_국토부원자료'!$A:$T,ROW()+1,MATCH("건축년도",'04A_국토부원자료'!$A$4:$T$4,0)),",","")),"")</f>
        <v/>
      </c>
      <c r="L2900" s="48">
        <f>IFERROR(INDEX('04A_국토부원자료'!$A:$T,ROW()+1,MATCH("도로명",'04A_국토부원자료'!$A$4:$T$4,0)),"")</f>
        <v/>
      </c>
      <c r="M2900" s="48">
        <f>IFERROR(INDEX('04A_국토부원자료'!$A:$T,ROW()+1,MATCH("거래유형",'04A_국토부원자료'!$A$4:$T$4,0)),"")</f>
        <v/>
      </c>
      <c r="N2900" s="152">
        <f>IF(B2900="","",IF('02_대상물건입력'!B5="",1,IF(ISNUMBER(SEARCH('02_대상물건입력'!B5,B2900)),1,0)))</f>
        <v/>
      </c>
      <c r="O2900" s="152">
        <f>IF(B2900="","",IF('02_대상물건입력'!B6="",1,IF(ISNUMBER(SEARCH('02_대상물건입력'!B6,B2900)),1,0)))</f>
        <v/>
      </c>
      <c r="P2900" s="152">
        <f>IF(L2900="","",IF('02_대상물건입력'!B15="",0,IF(ISNUMBER(SEARCH('02_대상물건입력'!B15,L2900)),1,0)))</f>
        <v/>
      </c>
      <c r="Q2900" s="152">
        <f>IF(OR(C2900="",L2900=""),0,IF(AND(TRIM(C2900)=TRIM(RIGHT(SUBSTITUTE(TRIM('02_대상물건입력'!$B$7)," ",REPT(" ",99)),99)),IF('02_대상물건입력'!B15="",TRUE(),ISNUMBER(SEARCH('02_대상물건입력'!B15,L2900)))),1,0))</f>
        <v/>
      </c>
      <c r="R2900" s="175">
        <f>IFERROR(ABS(E2900-'02_대상물건입력'!B11)/'02_대상물건입력'!B11,"")</f>
        <v/>
      </c>
      <c r="S2900" s="152">
        <f>IFERROR(ABS(J2900-'02_대상물건입력'!B10),"")</f>
        <v/>
      </c>
      <c r="T2900" s="152">
        <f>IFERROR(ABS('01_설정'!B4-F2900),"")</f>
        <v/>
      </c>
      <c r="U2900" s="152">
        <f>IFERROR(ABS(K2900-YEAR('02_대상물건입력'!B14)),"")</f>
        <v/>
      </c>
      <c r="V2900" s="152">
        <f>IF(B2900="","",IF(AND(E2900&gt;0,F2900&gt;0,H2900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2900=1,TRUE()),R2900&lt;='01_설정'!B5,S2900&lt;='01_설정'!B6,T2900&lt;='01_설정'!B7,U2900&lt;='01_설정'!B8),"Y",""))</f>
        <v/>
      </c>
      <c r="W2900" s="172">
        <f>IF(V2900&lt;&gt;"Y","",MAX(0,(1-R2900/'01_설정'!B5))*'01_설정'!B14+MAX(0,(1-S2900/'01_설정'!B6))*'01_설정'!B15+MAX(0,(1-T2900/'01_설정'!B7))*'01_설정'!B16+MAX(0,(1-U2900/'01_설정'!B8))*'01_설정'!B17+O2900*'01_설정'!B11+Q2900*'01_설정'!B12+P2900*'01_설정'!B13+IF(Z2900="",0,Z2900))</f>
        <v/>
      </c>
      <c r="X2900" s="152">
        <f>IF(W2900="","",1+COUNTIFS($W$4:$W$3003,"&gt;"&amp;W2900)+COUNTIFS($W$4:W2900,W2900)-1)</f>
        <v/>
      </c>
      <c r="Y2900" s="175">
        <f>IF(OR(I2900="",'02_대상물건입력'!B19="",'02_대상물건입력'!B19&lt;=0),"",ABS(I2900-'02_대상물건입력'!B19)/'02_대상물건입력'!B19)</f>
        <v/>
      </c>
      <c r="Z2900" s="172">
        <f>IF(OR(Y2900="",'01_설정'!B31="",'01_설정'!B31&lt;=0,'01_설정'!B32="",'01_설정'!B32&lt;=0),"",MAX(0,(1-Y2900/'01_설정'!B32))*'01_설정'!B31)</f>
        <v/>
      </c>
    </row>
    <row r="2901" ht="17.25" customHeight="1">
      <c r="A2901" s="152">
        <f>IF(INDEX('04A_국토부원자료'!$A:$A,ROW()+1)="","",ROW()-3)</f>
        <v/>
      </c>
      <c r="B2901" s="48">
        <f>IFERROR(INDEX('04A_국토부원자료'!$A:$T,ROW()+1,MATCH("시군구",'04A_국토부원자료'!$A$4:$T$4,0)),"")</f>
        <v/>
      </c>
      <c r="C2901" s="48">
        <f>IF(B2901="","",IFERROR(INDEX('04A_국토부원자료'!$A:$T,ROW()+1,MATCH("번지",'04A_국토부원자료'!$A$4:$T$4,0)),""))</f>
        <v/>
      </c>
      <c r="D2901" s="48">
        <f>IF(B2901="","",IF(Q2901=1,'02_대상물건입력'!$B$8,IFERROR(INDEX('04A_국토부원자료'!$A:$T,ROW()+1,MATCH("단지명",'04A_국토부원자료'!$A$4:$T$4,0)),"")))</f>
        <v/>
      </c>
      <c r="E2901" s="172">
        <f>IFERROR(VALUE(SUBSTITUTE(INDEX('04A_국토부원자료'!$A:$T,ROW()+1,MATCH("전용면적(㎡)",'04A_국토부원자료'!$A$4:$T$4,0)),",","")),"")</f>
        <v/>
      </c>
      <c r="F29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01" s="51">
        <f>IFERROR(VALUE(SUBSTITUTE(INDEX('04A_국토부원자료'!$A:$T,ROW()+1,MATCH("거래금액(만원)",'04A_국토부원자료'!$A$4:$T$4,0)),",","")),"")</f>
        <v/>
      </c>
      <c r="H2901" s="174">
        <f>IF(G2901="","",G2901*10000)</f>
        <v/>
      </c>
      <c r="I2901" s="174">
        <f>IFERROR(IF(AND(H2901&gt;0,E2901&gt;0),H2901/E2901,""),"")</f>
        <v/>
      </c>
      <c r="J2901" s="152">
        <f>IFERROR(VALUE(SUBSTITUTE(INDEX('04A_국토부원자료'!$A:$T,ROW()+1,MATCH("층",'04A_국토부원자료'!$A$4:$T$4,0)),",","")),"")</f>
        <v/>
      </c>
      <c r="K2901" s="152">
        <f>IFERROR(VALUE(SUBSTITUTE(INDEX('04A_국토부원자료'!$A:$T,ROW()+1,MATCH("건축년도",'04A_국토부원자료'!$A$4:$T$4,0)),",","")),"")</f>
        <v/>
      </c>
      <c r="L2901" s="48">
        <f>IFERROR(INDEX('04A_국토부원자료'!$A:$T,ROW()+1,MATCH("도로명",'04A_국토부원자료'!$A$4:$T$4,0)),"")</f>
        <v/>
      </c>
      <c r="M2901" s="48">
        <f>IFERROR(INDEX('04A_국토부원자료'!$A:$T,ROW()+1,MATCH("거래유형",'04A_국토부원자료'!$A$4:$T$4,0)),"")</f>
        <v/>
      </c>
      <c r="N2901" s="152">
        <f>IF(B2901="","",IF('02_대상물건입력'!B5="",1,IF(ISNUMBER(SEARCH('02_대상물건입력'!B5,B2901)),1,0)))</f>
        <v/>
      </c>
      <c r="O2901" s="152">
        <f>IF(B2901="","",IF('02_대상물건입력'!B6="",1,IF(ISNUMBER(SEARCH('02_대상물건입력'!B6,B2901)),1,0)))</f>
        <v/>
      </c>
      <c r="P2901" s="152">
        <f>IF(L2901="","",IF('02_대상물건입력'!B15="",0,IF(ISNUMBER(SEARCH('02_대상물건입력'!B15,L2901)),1,0)))</f>
        <v/>
      </c>
      <c r="Q2901" s="152">
        <f>IF(OR(C2901="",L2901=""),0,IF(AND(TRIM(C2901)=TRIM(RIGHT(SUBSTITUTE(TRIM('02_대상물건입력'!$B$7)," ",REPT(" ",99)),99)),IF('02_대상물건입력'!B15="",TRUE(),ISNUMBER(SEARCH('02_대상물건입력'!B15,L2901)))),1,0))</f>
        <v/>
      </c>
      <c r="R2901" s="175">
        <f>IFERROR(ABS(E2901-'02_대상물건입력'!B11)/'02_대상물건입력'!B11,"")</f>
        <v/>
      </c>
      <c r="S2901" s="152">
        <f>IFERROR(ABS(J2901-'02_대상물건입력'!B10),"")</f>
        <v/>
      </c>
      <c r="T2901" s="152">
        <f>IFERROR(ABS('01_설정'!B4-F2901),"")</f>
        <v/>
      </c>
      <c r="U2901" s="152">
        <f>IFERROR(ABS(K2901-YEAR('02_대상물건입력'!B14)),"")</f>
        <v/>
      </c>
      <c r="V2901" s="152">
        <f>IF(B2901="","",IF(AND(E2901&gt;0,F2901&gt;0,H2901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2901=1,TRUE()),R2901&lt;='01_설정'!B5,S2901&lt;='01_설정'!B6,T2901&lt;='01_설정'!B7,U2901&lt;='01_설정'!B8),"Y",""))</f>
        <v/>
      </c>
      <c r="W2901" s="172">
        <f>IF(V2901&lt;&gt;"Y","",MAX(0,(1-R2901/'01_설정'!B5))*'01_설정'!B14+MAX(0,(1-S2901/'01_설정'!B6))*'01_설정'!B15+MAX(0,(1-T2901/'01_설정'!B7))*'01_설정'!B16+MAX(0,(1-U2901/'01_설정'!B8))*'01_설정'!B17+O2901*'01_설정'!B11+Q2901*'01_설정'!B12+P2901*'01_설정'!B13+IF(Z2901="",0,Z2901))</f>
        <v/>
      </c>
      <c r="X2901" s="152">
        <f>IF(W2901="","",1+COUNTIFS($W$4:$W$3003,"&gt;"&amp;W2901)+COUNTIFS($W$4:W2901,W2901)-1)</f>
        <v/>
      </c>
      <c r="Y2901" s="175">
        <f>IF(OR(I2901="",'02_대상물건입력'!B19="",'02_대상물건입력'!B19&lt;=0),"",ABS(I2901-'02_대상물건입력'!B19)/'02_대상물건입력'!B19)</f>
        <v/>
      </c>
      <c r="Z2901" s="172">
        <f>IF(OR(Y2901="",'01_설정'!B31="",'01_설정'!B31&lt;=0,'01_설정'!B32="",'01_설정'!B32&lt;=0),"",MAX(0,(1-Y2901/'01_설정'!B32))*'01_설정'!B31)</f>
        <v/>
      </c>
    </row>
    <row r="2902" ht="17.25" customHeight="1">
      <c r="A2902" s="152">
        <f>IF(INDEX('04A_국토부원자료'!$A:$A,ROW()+1)="","",ROW()-3)</f>
        <v/>
      </c>
      <c r="B2902" s="48">
        <f>IFERROR(INDEX('04A_국토부원자료'!$A:$T,ROW()+1,MATCH("시군구",'04A_국토부원자료'!$A$4:$T$4,0)),"")</f>
        <v/>
      </c>
      <c r="C2902" s="48">
        <f>IF(B2902="","",IFERROR(INDEX('04A_국토부원자료'!$A:$T,ROW()+1,MATCH("번지",'04A_국토부원자료'!$A$4:$T$4,0)),""))</f>
        <v/>
      </c>
      <c r="D2902" s="48">
        <f>IF(B2902="","",IF(Q2902=1,'02_대상물건입력'!$B$8,IFERROR(INDEX('04A_국토부원자료'!$A:$T,ROW()+1,MATCH("단지명",'04A_국토부원자료'!$A$4:$T$4,0)),"")))</f>
        <v/>
      </c>
      <c r="E2902" s="172">
        <f>IFERROR(VALUE(SUBSTITUTE(INDEX('04A_국토부원자료'!$A:$T,ROW()+1,MATCH("전용면적(㎡)",'04A_국토부원자료'!$A$4:$T$4,0)),",","")),"")</f>
        <v/>
      </c>
      <c r="F29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02" s="51">
        <f>IFERROR(VALUE(SUBSTITUTE(INDEX('04A_국토부원자료'!$A:$T,ROW()+1,MATCH("거래금액(만원)",'04A_국토부원자료'!$A$4:$T$4,0)),",","")),"")</f>
        <v/>
      </c>
      <c r="H2902" s="174">
        <f>IF(G2902="","",G2902*10000)</f>
        <v/>
      </c>
      <c r="I2902" s="174">
        <f>IFERROR(IF(AND(H2902&gt;0,E2902&gt;0),H2902/E2902,""),"")</f>
        <v/>
      </c>
      <c r="J2902" s="152">
        <f>IFERROR(VALUE(SUBSTITUTE(INDEX('04A_국토부원자료'!$A:$T,ROW()+1,MATCH("층",'04A_국토부원자료'!$A$4:$T$4,0)),",","")),"")</f>
        <v/>
      </c>
      <c r="K2902" s="152">
        <f>IFERROR(VALUE(SUBSTITUTE(INDEX('04A_국토부원자료'!$A:$T,ROW()+1,MATCH("건축년도",'04A_국토부원자료'!$A$4:$T$4,0)),",","")),"")</f>
        <v/>
      </c>
      <c r="L2902" s="48">
        <f>IFERROR(INDEX('04A_국토부원자료'!$A:$T,ROW()+1,MATCH("도로명",'04A_국토부원자료'!$A$4:$T$4,0)),"")</f>
        <v/>
      </c>
      <c r="M2902" s="48">
        <f>IFERROR(INDEX('04A_국토부원자료'!$A:$T,ROW()+1,MATCH("거래유형",'04A_국토부원자료'!$A$4:$T$4,0)),"")</f>
        <v/>
      </c>
      <c r="N2902" s="152">
        <f>IF(B2902="","",IF('02_대상물건입력'!B5="",1,IF(ISNUMBER(SEARCH('02_대상물건입력'!B5,B2902)),1,0)))</f>
        <v/>
      </c>
      <c r="O2902" s="152">
        <f>IF(B2902="","",IF('02_대상물건입력'!B6="",1,IF(ISNUMBER(SEARCH('02_대상물건입력'!B6,B2902)),1,0)))</f>
        <v/>
      </c>
      <c r="P2902" s="152">
        <f>IF(L2902="","",IF('02_대상물건입력'!B15="",0,IF(ISNUMBER(SEARCH('02_대상물건입력'!B15,L2902)),1,0)))</f>
        <v/>
      </c>
      <c r="Q2902" s="152">
        <f>IF(OR(C2902="",L2902=""),0,IF(AND(TRIM(C2902)=TRIM(RIGHT(SUBSTITUTE(TRIM('02_대상물건입력'!$B$7)," ",REPT(" ",99)),99)),IF('02_대상물건입력'!B15="",TRUE(),ISNUMBER(SEARCH('02_대상물건입력'!B15,L2902)))),1,0))</f>
        <v/>
      </c>
      <c r="R2902" s="175">
        <f>IFERROR(ABS(E2902-'02_대상물건입력'!B11)/'02_대상물건입력'!B11,"")</f>
        <v/>
      </c>
      <c r="S2902" s="152">
        <f>IFERROR(ABS(J2902-'02_대상물건입력'!B10),"")</f>
        <v/>
      </c>
      <c r="T2902" s="152">
        <f>IFERROR(ABS('01_설정'!B4-F2902),"")</f>
        <v/>
      </c>
      <c r="U2902" s="152">
        <f>IFERROR(ABS(K2902-YEAR('02_대상물건입력'!B14)),"")</f>
        <v/>
      </c>
      <c r="V2902" s="152">
        <f>IF(B2902="","",IF(AND(E2902&gt;0,F2902&gt;0,H2902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2902=1,TRUE()),R2902&lt;='01_설정'!B5,S2902&lt;='01_설정'!B6,T2902&lt;='01_설정'!B7,U2902&lt;='01_설정'!B8),"Y",""))</f>
        <v/>
      </c>
      <c r="W2902" s="172">
        <f>IF(V2902&lt;&gt;"Y","",MAX(0,(1-R2902/'01_설정'!B5))*'01_설정'!B14+MAX(0,(1-S2902/'01_설정'!B6))*'01_설정'!B15+MAX(0,(1-T2902/'01_설정'!B7))*'01_설정'!B16+MAX(0,(1-U2902/'01_설정'!B8))*'01_설정'!B17+O2902*'01_설정'!B11+Q2902*'01_설정'!B12+P2902*'01_설정'!B13+IF(Z2902="",0,Z2902))</f>
        <v/>
      </c>
      <c r="X2902" s="152">
        <f>IF(W2902="","",1+COUNTIFS($W$4:$W$3003,"&gt;"&amp;W2902)+COUNTIFS($W$4:W2902,W2902)-1)</f>
        <v/>
      </c>
      <c r="Y2902" s="175">
        <f>IF(OR(I2902="",'02_대상물건입력'!B19="",'02_대상물건입력'!B19&lt;=0),"",ABS(I2902-'02_대상물건입력'!B19)/'02_대상물건입력'!B19)</f>
        <v/>
      </c>
      <c r="Z2902" s="172">
        <f>IF(OR(Y2902="",'01_설정'!B31="",'01_설정'!B31&lt;=0,'01_설정'!B32="",'01_설정'!B32&lt;=0),"",MAX(0,(1-Y2902/'01_설정'!B32))*'01_설정'!B31)</f>
        <v/>
      </c>
    </row>
    <row r="2903" ht="17.25" customHeight="1">
      <c r="A2903" s="152">
        <f>IF(INDEX('04A_국토부원자료'!$A:$A,ROW()+1)="","",ROW()-3)</f>
        <v/>
      </c>
      <c r="B2903" s="48">
        <f>IFERROR(INDEX('04A_국토부원자료'!$A:$T,ROW()+1,MATCH("시군구",'04A_국토부원자료'!$A$4:$T$4,0)),"")</f>
        <v/>
      </c>
      <c r="C2903" s="48">
        <f>IF(B2903="","",IFERROR(INDEX('04A_국토부원자료'!$A:$T,ROW()+1,MATCH("번지",'04A_국토부원자료'!$A$4:$T$4,0)),""))</f>
        <v/>
      </c>
      <c r="D2903" s="48">
        <f>IF(B2903="","",IF(Q2903=1,'02_대상물건입력'!$B$8,IFERROR(INDEX('04A_국토부원자료'!$A:$T,ROW()+1,MATCH("단지명",'04A_국토부원자료'!$A$4:$T$4,0)),"")))</f>
        <v/>
      </c>
      <c r="E2903" s="172">
        <f>IFERROR(VALUE(SUBSTITUTE(INDEX('04A_국토부원자료'!$A:$T,ROW()+1,MATCH("전용면적(㎡)",'04A_국토부원자료'!$A$4:$T$4,0)),",","")),"")</f>
        <v/>
      </c>
      <c r="F29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03" s="51">
        <f>IFERROR(VALUE(SUBSTITUTE(INDEX('04A_국토부원자료'!$A:$T,ROW()+1,MATCH("거래금액(만원)",'04A_국토부원자료'!$A$4:$T$4,0)),",","")),"")</f>
        <v/>
      </c>
      <c r="H2903" s="174">
        <f>IF(G2903="","",G2903*10000)</f>
        <v/>
      </c>
      <c r="I2903" s="174">
        <f>IFERROR(IF(AND(H2903&gt;0,E2903&gt;0),H2903/E2903,""),"")</f>
        <v/>
      </c>
      <c r="J2903" s="152">
        <f>IFERROR(VALUE(SUBSTITUTE(INDEX('04A_국토부원자료'!$A:$T,ROW()+1,MATCH("층",'04A_국토부원자료'!$A$4:$T$4,0)),",","")),"")</f>
        <v/>
      </c>
      <c r="K2903" s="152">
        <f>IFERROR(VALUE(SUBSTITUTE(INDEX('04A_국토부원자료'!$A:$T,ROW()+1,MATCH("건축년도",'04A_국토부원자료'!$A$4:$T$4,0)),",","")),"")</f>
        <v/>
      </c>
      <c r="L2903" s="48">
        <f>IFERROR(INDEX('04A_국토부원자료'!$A:$T,ROW()+1,MATCH("도로명",'04A_국토부원자료'!$A$4:$T$4,0)),"")</f>
        <v/>
      </c>
      <c r="M2903" s="48">
        <f>IFERROR(INDEX('04A_국토부원자료'!$A:$T,ROW()+1,MATCH("거래유형",'04A_국토부원자료'!$A$4:$T$4,0)),"")</f>
        <v/>
      </c>
      <c r="N2903" s="152">
        <f>IF(B2903="","",IF('02_대상물건입력'!B5="",1,IF(ISNUMBER(SEARCH('02_대상물건입력'!B5,B2903)),1,0)))</f>
        <v/>
      </c>
      <c r="O2903" s="152">
        <f>IF(B2903="","",IF('02_대상물건입력'!B6="",1,IF(ISNUMBER(SEARCH('02_대상물건입력'!B6,B2903)),1,0)))</f>
        <v/>
      </c>
      <c r="P2903" s="152">
        <f>IF(L2903="","",IF('02_대상물건입력'!B15="",0,IF(ISNUMBER(SEARCH('02_대상물건입력'!B15,L2903)),1,0)))</f>
        <v/>
      </c>
      <c r="Q2903" s="152">
        <f>IF(OR(C2903="",L2903=""),0,IF(AND(TRIM(C2903)=TRIM(RIGHT(SUBSTITUTE(TRIM('02_대상물건입력'!$B$7)," ",REPT(" ",99)),99)),IF('02_대상물건입력'!B15="",TRUE(),ISNUMBER(SEARCH('02_대상물건입력'!B15,L2903)))),1,0))</f>
        <v/>
      </c>
      <c r="R2903" s="175">
        <f>IFERROR(ABS(E2903-'02_대상물건입력'!B11)/'02_대상물건입력'!B11,"")</f>
        <v/>
      </c>
      <c r="S2903" s="152">
        <f>IFERROR(ABS(J2903-'02_대상물건입력'!B10),"")</f>
        <v/>
      </c>
      <c r="T2903" s="152">
        <f>IFERROR(ABS('01_설정'!B4-F2903),"")</f>
        <v/>
      </c>
      <c r="U2903" s="152">
        <f>IFERROR(ABS(K2903-YEAR('02_대상물건입력'!B14)),"")</f>
        <v/>
      </c>
      <c r="V2903" s="152">
        <f>IF(B2903="","",IF(AND(E2903&gt;0,F2903&gt;0,H2903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2903=1,TRUE()),R2903&lt;='01_설정'!B5,S2903&lt;='01_설정'!B6,T2903&lt;='01_설정'!B7,U2903&lt;='01_설정'!B8),"Y",""))</f>
        <v/>
      </c>
      <c r="W2903" s="172">
        <f>IF(V2903&lt;&gt;"Y","",MAX(0,(1-R2903/'01_설정'!B5))*'01_설정'!B14+MAX(0,(1-S2903/'01_설정'!B6))*'01_설정'!B15+MAX(0,(1-T2903/'01_설정'!B7))*'01_설정'!B16+MAX(0,(1-U2903/'01_설정'!B8))*'01_설정'!B17+O2903*'01_설정'!B11+Q2903*'01_설정'!B12+P2903*'01_설정'!B13+IF(Z2903="",0,Z2903))</f>
        <v/>
      </c>
      <c r="X2903" s="152">
        <f>IF(W2903="","",1+COUNTIFS($W$4:$W$3003,"&gt;"&amp;W2903)+COUNTIFS($W$4:W2903,W2903)-1)</f>
        <v/>
      </c>
      <c r="Y2903" s="175">
        <f>IF(OR(I2903="",'02_대상물건입력'!B19="",'02_대상물건입력'!B19&lt;=0),"",ABS(I2903-'02_대상물건입력'!B19)/'02_대상물건입력'!B19)</f>
        <v/>
      </c>
      <c r="Z2903" s="172">
        <f>IF(OR(Y2903="",'01_설정'!B31="",'01_설정'!B31&lt;=0,'01_설정'!B32="",'01_설정'!B32&lt;=0),"",MAX(0,(1-Y2903/'01_설정'!B32))*'01_설정'!B31)</f>
        <v/>
      </c>
    </row>
    <row r="2904" ht="17.25" customHeight="1">
      <c r="A2904" s="152">
        <f>IF(INDEX('04A_국토부원자료'!$A:$A,ROW()+1)="","",ROW()-3)</f>
        <v/>
      </c>
      <c r="B2904" s="48">
        <f>IFERROR(INDEX('04A_국토부원자료'!$A:$T,ROW()+1,MATCH("시군구",'04A_국토부원자료'!$A$4:$T$4,0)),"")</f>
        <v/>
      </c>
      <c r="C2904" s="48">
        <f>IF(B2904="","",IFERROR(INDEX('04A_국토부원자료'!$A:$T,ROW()+1,MATCH("번지",'04A_국토부원자료'!$A$4:$T$4,0)),""))</f>
        <v/>
      </c>
      <c r="D2904" s="48">
        <f>IF(B2904="","",IF(Q2904=1,'02_대상물건입력'!$B$8,IFERROR(INDEX('04A_국토부원자료'!$A:$T,ROW()+1,MATCH("단지명",'04A_국토부원자료'!$A$4:$T$4,0)),"")))</f>
        <v/>
      </c>
      <c r="E2904" s="172">
        <f>IFERROR(VALUE(SUBSTITUTE(INDEX('04A_국토부원자료'!$A:$T,ROW()+1,MATCH("전용면적(㎡)",'04A_국토부원자료'!$A$4:$T$4,0)),",","")),"")</f>
        <v/>
      </c>
      <c r="F290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04" s="51">
        <f>IFERROR(VALUE(SUBSTITUTE(INDEX('04A_국토부원자료'!$A:$T,ROW()+1,MATCH("거래금액(만원)",'04A_국토부원자료'!$A$4:$T$4,0)),",","")),"")</f>
        <v/>
      </c>
      <c r="H2904" s="174">
        <f>IF(G2904="","",G2904*10000)</f>
        <v/>
      </c>
      <c r="I2904" s="174">
        <f>IFERROR(IF(AND(H2904&gt;0,E2904&gt;0),H2904/E2904,""),"")</f>
        <v/>
      </c>
      <c r="J2904" s="152">
        <f>IFERROR(VALUE(SUBSTITUTE(INDEX('04A_국토부원자료'!$A:$T,ROW()+1,MATCH("층",'04A_국토부원자료'!$A$4:$T$4,0)),",","")),"")</f>
        <v/>
      </c>
      <c r="K2904" s="152">
        <f>IFERROR(VALUE(SUBSTITUTE(INDEX('04A_국토부원자료'!$A:$T,ROW()+1,MATCH("건축년도",'04A_국토부원자료'!$A$4:$T$4,0)),",","")),"")</f>
        <v/>
      </c>
      <c r="L2904" s="48">
        <f>IFERROR(INDEX('04A_국토부원자료'!$A:$T,ROW()+1,MATCH("도로명",'04A_국토부원자료'!$A$4:$T$4,0)),"")</f>
        <v/>
      </c>
      <c r="M2904" s="48">
        <f>IFERROR(INDEX('04A_국토부원자료'!$A:$T,ROW()+1,MATCH("거래유형",'04A_국토부원자료'!$A$4:$T$4,0)),"")</f>
        <v/>
      </c>
      <c r="N2904" s="152">
        <f>IF(B2904="","",IF('02_대상물건입력'!B5="",1,IF(ISNUMBER(SEARCH('02_대상물건입력'!B5,B2904)),1,0)))</f>
        <v/>
      </c>
      <c r="O2904" s="152">
        <f>IF(B2904="","",IF('02_대상물건입력'!B6="",1,IF(ISNUMBER(SEARCH('02_대상물건입력'!B6,B2904)),1,0)))</f>
        <v/>
      </c>
      <c r="P2904" s="152">
        <f>IF(L2904="","",IF('02_대상물건입력'!B15="",0,IF(ISNUMBER(SEARCH('02_대상물건입력'!B15,L2904)),1,0)))</f>
        <v/>
      </c>
      <c r="Q2904" s="152">
        <f>IF(OR(C2904="",L2904=""),0,IF(AND(TRIM(C2904)=TRIM(RIGHT(SUBSTITUTE(TRIM('02_대상물건입력'!$B$7)," ",REPT(" ",99)),99)),IF('02_대상물건입력'!B15="",TRUE(),ISNUMBER(SEARCH('02_대상물건입력'!B15,L2904)))),1,0))</f>
        <v/>
      </c>
      <c r="R2904" s="175">
        <f>IFERROR(ABS(E2904-'02_대상물건입력'!B11)/'02_대상물건입력'!B11,"")</f>
        <v/>
      </c>
      <c r="S2904" s="152">
        <f>IFERROR(ABS(J2904-'02_대상물건입력'!B10),"")</f>
        <v/>
      </c>
      <c r="T2904" s="152">
        <f>IFERROR(ABS('01_설정'!B4-F2904),"")</f>
        <v/>
      </c>
      <c r="U2904" s="152">
        <f>IFERROR(ABS(K2904-YEAR('02_대상물건입력'!B14)),"")</f>
        <v/>
      </c>
      <c r="V2904" s="152">
        <f>IF(B2904="","",IF(AND(E2904&gt;0,F2904&gt;0,H2904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2904=1,TRUE()),R2904&lt;='01_설정'!B5,S2904&lt;='01_설정'!B6,T2904&lt;='01_설정'!B7,U2904&lt;='01_설정'!B8),"Y",""))</f>
        <v/>
      </c>
      <c r="W2904" s="172">
        <f>IF(V2904&lt;&gt;"Y","",MAX(0,(1-R2904/'01_설정'!B5))*'01_설정'!B14+MAX(0,(1-S2904/'01_설정'!B6))*'01_설정'!B15+MAX(0,(1-T2904/'01_설정'!B7))*'01_설정'!B16+MAX(0,(1-U2904/'01_설정'!B8))*'01_설정'!B17+O2904*'01_설정'!B11+Q2904*'01_설정'!B12+P2904*'01_설정'!B13+IF(Z2904="",0,Z2904))</f>
        <v/>
      </c>
      <c r="X2904" s="152">
        <f>IF(W2904="","",1+COUNTIFS($W$4:$W$3003,"&gt;"&amp;W2904)+COUNTIFS($W$4:W2904,W2904)-1)</f>
        <v/>
      </c>
      <c r="Y2904" s="175">
        <f>IF(OR(I2904="",'02_대상물건입력'!B19="",'02_대상물건입력'!B19&lt;=0),"",ABS(I2904-'02_대상물건입력'!B19)/'02_대상물건입력'!B19)</f>
        <v/>
      </c>
      <c r="Z2904" s="172">
        <f>IF(OR(Y2904="",'01_설정'!B31="",'01_설정'!B31&lt;=0,'01_설정'!B32="",'01_설정'!B32&lt;=0),"",MAX(0,(1-Y2904/'01_설정'!B32))*'01_설정'!B31)</f>
        <v/>
      </c>
    </row>
    <row r="2905" ht="17.25" customHeight="1">
      <c r="A2905" s="152">
        <f>IF(INDEX('04A_국토부원자료'!$A:$A,ROW()+1)="","",ROW()-3)</f>
        <v/>
      </c>
      <c r="B2905" s="48">
        <f>IFERROR(INDEX('04A_국토부원자료'!$A:$T,ROW()+1,MATCH("시군구",'04A_국토부원자료'!$A$4:$T$4,0)),"")</f>
        <v/>
      </c>
      <c r="C2905" s="48">
        <f>IF(B2905="","",IFERROR(INDEX('04A_국토부원자료'!$A:$T,ROW()+1,MATCH("번지",'04A_국토부원자료'!$A$4:$T$4,0)),""))</f>
        <v/>
      </c>
      <c r="D2905" s="48">
        <f>IF(B2905="","",IF(Q2905=1,'02_대상물건입력'!$B$8,IFERROR(INDEX('04A_국토부원자료'!$A:$T,ROW()+1,MATCH("단지명",'04A_국토부원자료'!$A$4:$T$4,0)),"")))</f>
        <v/>
      </c>
      <c r="E2905" s="172">
        <f>IFERROR(VALUE(SUBSTITUTE(INDEX('04A_국토부원자료'!$A:$T,ROW()+1,MATCH("전용면적(㎡)",'04A_국토부원자료'!$A$4:$T$4,0)),",","")),"")</f>
        <v/>
      </c>
      <c r="F290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05" s="51">
        <f>IFERROR(VALUE(SUBSTITUTE(INDEX('04A_국토부원자료'!$A:$T,ROW()+1,MATCH("거래금액(만원)",'04A_국토부원자료'!$A$4:$T$4,0)),",","")),"")</f>
        <v/>
      </c>
      <c r="H2905" s="174">
        <f>IF(G2905="","",G2905*10000)</f>
        <v/>
      </c>
      <c r="I2905" s="174">
        <f>IFERROR(IF(AND(H2905&gt;0,E2905&gt;0),H2905/E2905,""),"")</f>
        <v/>
      </c>
      <c r="J2905" s="152">
        <f>IFERROR(VALUE(SUBSTITUTE(INDEX('04A_국토부원자료'!$A:$T,ROW()+1,MATCH("층",'04A_국토부원자료'!$A$4:$T$4,0)),",","")),"")</f>
        <v/>
      </c>
      <c r="K2905" s="152">
        <f>IFERROR(VALUE(SUBSTITUTE(INDEX('04A_국토부원자료'!$A:$T,ROW()+1,MATCH("건축년도",'04A_국토부원자료'!$A$4:$T$4,0)),",","")),"")</f>
        <v/>
      </c>
      <c r="L2905" s="48">
        <f>IFERROR(INDEX('04A_국토부원자료'!$A:$T,ROW()+1,MATCH("도로명",'04A_국토부원자료'!$A$4:$T$4,0)),"")</f>
        <v/>
      </c>
      <c r="M2905" s="48">
        <f>IFERROR(INDEX('04A_국토부원자료'!$A:$T,ROW()+1,MATCH("거래유형",'04A_국토부원자료'!$A$4:$T$4,0)),"")</f>
        <v/>
      </c>
      <c r="N2905" s="152">
        <f>IF(B2905="","",IF('02_대상물건입력'!B5="",1,IF(ISNUMBER(SEARCH('02_대상물건입력'!B5,B2905)),1,0)))</f>
        <v/>
      </c>
      <c r="O2905" s="152">
        <f>IF(B2905="","",IF('02_대상물건입력'!B6="",1,IF(ISNUMBER(SEARCH('02_대상물건입력'!B6,B2905)),1,0)))</f>
        <v/>
      </c>
      <c r="P2905" s="152">
        <f>IF(L2905="","",IF('02_대상물건입력'!B15="",0,IF(ISNUMBER(SEARCH('02_대상물건입력'!B15,L2905)),1,0)))</f>
        <v/>
      </c>
      <c r="Q2905" s="152">
        <f>IF(OR(C2905="",L2905=""),0,IF(AND(TRIM(C2905)=TRIM(RIGHT(SUBSTITUTE(TRIM('02_대상물건입력'!$B$7)," ",REPT(" ",99)),99)),IF('02_대상물건입력'!B15="",TRUE(),ISNUMBER(SEARCH('02_대상물건입력'!B15,L2905)))),1,0))</f>
        <v/>
      </c>
      <c r="R2905" s="175">
        <f>IFERROR(ABS(E2905-'02_대상물건입력'!B11)/'02_대상물건입력'!B11,"")</f>
        <v/>
      </c>
      <c r="S2905" s="152">
        <f>IFERROR(ABS(J2905-'02_대상물건입력'!B10),"")</f>
        <v/>
      </c>
      <c r="T2905" s="152">
        <f>IFERROR(ABS('01_설정'!B4-F2905),"")</f>
        <v/>
      </c>
      <c r="U2905" s="152">
        <f>IFERROR(ABS(K2905-YEAR('02_대상물건입력'!B14)),"")</f>
        <v/>
      </c>
      <c r="V2905" s="152">
        <f>IF(B2905="","",IF(AND(E2905&gt;0,F2905&gt;0,H2905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2905=1,TRUE()),R2905&lt;='01_설정'!B5,S2905&lt;='01_설정'!B6,T2905&lt;='01_설정'!B7,U2905&lt;='01_설정'!B8),"Y",""))</f>
        <v/>
      </c>
      <c r="W2905" s="172">
        <f>IF(V2905&lt;&gt;"Y","",MAX(0,(1-R2905/'01_설정'!B5))*'01_설정'!B14+MAX(0,(1-S2905/'01_설정'!B6))*'01_설정'!B15+MAX(0,(1-T2905/'01_설정'!B7))*'01_설정'!B16+MAX(0,(1-U2905/'01_설정'!B8))*'01_설정'!B17+O2905*'01_설정'!B11+Q2905*'01_설정'!B12+P2905*'01_설정'!B13+IF(Z2905="",0,Z2905))</f>
        <v/>
      </c>
      <c r="X2905" s="152">
        <f>IF(W2905="","",1+COUNTIFS($W$4:$W$3003,"&gt;"&amp;W2905)+COUNTIFS($W$4:W2905,W2905)-1)</f>
        <v/>
      </c>
      <c r="Y2905" s="175">
        <f>IF(OR(I2905="",'02_대상물건입력'!B19="",'02_대상물건입력'!B19&lt;=0),"",ABS(I2905-'02_대상물건입력'!B19)/'02_대상물건입력'!B19)</f>
        <v/>
      </c>
      <c r="Z2905" s="172">
        <f>IF(OR(Y2905="",'01_설정'!B31="",'01_설정'!B31&lt;=0,'01_설정'!B32="",'01_설정'!B32&lt;=0),"",MAX(0,(1-Y2905/'01_설정'!B32))*'01_설정'!B31)</f>
        <v/>
      </c>
    </row>
    <row r="2906" ht="17.25" customHeight="1">
      <c r="A2906" s="152">
        <f>IF(INDEX('04A_국토부원자료'!$A:$A,ROW()+1)="","",ROW()-3)</f>
        <v/>
      </c>
      <c r="B2906" s="48">
        <f>IFERROR(INDEX('04A_국토부원자료'!$A:$T,ROW()+1,MATCH("시군구",'04A_국토부원자료'!$A$4:$T$4,0)),"")</f>
        <v/>
      </c>
      <c r="C2906" s="48">
        <f>IF(B2906="","",IFERROR(INDEX('04A_국토부원자료'!$A:$T,ROW()+1,MATCH("번지",'04A_국토부원자료'!$A$4:$T$4,0)),""))</f>
        <v/>
      </c>
      <c r="D2906" s="48">
        <f>IF(B2906="","",IF(Q2906=1,'02_대상물건입력'!$B$8,IFERROR(INDEX('04A_국토부원자료'!$A:$T,ROW()+1,MATCH("단지명",'04A_국토부원자료'!$A$4:$T$4,0)),"")))</f>
        <v/>
      </c>
      <c r="E2906" s="172">
        <f>IFERROR(VALUE(SUBSTITUTE(INDEX('04A_국토부원자료'!$A:$T,ROW()+1,MATCH("전용면적(㎡)",'04A_국토부원자료'!$A$4:$T$4,0)),",","")),"")</f>
        <v/>
      </c>
      <c r="F290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06" s="51">
        <f>IFERROR(VALUE(SUBSTITUTE(INDEX('04A_국토부원자료'!$A:$T,ROW()+1,MATCH("거래금액(만원)",'04A_국토부원자료'!$A$4:$T$4,0)),",","")),"")</f>
        <v/>
      </c>
      <c r="H2906" s="174">
        <f>IF(G2906="","",G2906*10000)</f>
        <v/>
      </c>
      <c r="I2906" s="174">
        <f>IFERROR(IF(AND(H2906&gt;0,E2906&gt;0),H2906/E2906,""),"")</f>
        <v/>
      </c>
      <c r="J2906" s="152">
        <f>IFERROR(VALUE(SUBSTITUTE(INDEX('04A_국토부원자료'!$A:$T,ROW()+1,MATCH("층",'04A_국토부원자료'!$A$4:$T$4,0)),",","")),"")</f>
        <v/>
      </c>
      <c r="K2906" s="152">
        <f>IFERROR(VALUE(SUBSTITUTE(INDEX('04A_국토부원자료'!$A:$T,ROW()+1,MATCH("건축년도",'04A_국토부원자료'!$A$4:$T$4,0)),",","")),"")</f>
        <v/>
      </c>
      <c r="L2906" s="48">
        <f>IFERROR(INDEX('04A_국토부원자료'!$A:$T,ROW()+1,MATCH("도로명",'04A_국토부원자료'!$A$4:$T$4,0)),"")</f>
        <v/>
      </c>
      <c r="M2906" s="48">
        <f>IFERROR(INDEX('04A_국토부원자료'!$A:$T,ROW()+1,MATCH("거래유형",'04A_국토부원자료'!$A$4:$T$4,0)),"")</f>
        <v/>
      </c>
      <c r="N2906" s="152">
        <f>IF(B2906="","",IF('02_대상물건입력'!B5="",1,IF(ISNUMBER(SEARCH('02_대상물건입력'!B5,B2906)),1,0)))</f>
        <v/>
      </c>
      <c r="O2906" s="152">
        <f>IF(B2906="","",IF('02_대상물건입력'!B6="",1,IF(ISNUMBER(SEARCH('02_대상물건입력'!B6,B2906)),1,0)))</f>
        <v/>
      </c>
      <c r="P2906" s="152">
        <f>IF(L2906="","",IF('02_대상물건입력'!B15="",0,IF(ISNUMBER(SEARCH('02_대상물건입력'!B15,L2906)),1,0)))</f>
        <v/>
      </c>
      <c r="Q2906" s="152">
        <f>IF(OR(C2906="",L2906=""),0,IF(AND(TRIM(C2906)=TRIM(RIGHT(SUBSTITUTE(TRIM('02_대상물건입력'!$B$7)," ",REPT(" ",99)),99)),IF('02_대상물건입력'!B15="",TRUE(),ISNUMBER(SEARCH('02_대상물건입력'!B15,L2906)))),1,0))</f>
        <v/>
      </c>
      <c r="R2906" s="175">
        <f>IFERROR(ABS(E2906-'02_대상물건입력'!B11)/'02_대상물건입력'!B11,"")</f>
        <v/>
      </c>
      <c r="S2906" s="152">
        <f>IFERROR(ABS(J2906-'02_대상물건입력'!B10),"")</f>
        <v/>
      </c>
      <c r="T2906" s="152">
        <f>IFERROR(ABS('01_설정'!B4-F2906),"")</f>
        <v/>
      </c>
      <c r="U2906" s="152">
        <f>IFERROR(ABS(K2906-YEAR('02_대상물건입력'!B14)),"")</f>
        <v/>
      </c>
      <c r="V2906" s="152">
        <f>IF(B2906="","",IF(AND(E2906&gt;0,F2906&gt;0,H2906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2906=1,TRUE()),R2906&lt;='01_설정'!B5,S2906&lt;='01_설정'!B6,T2906&lt;='01_설정'!B7,U2906&lt;='01_설정'!B8),"Y",""))</f>
        <v/>
      </c>
      <c r="W2906" s="172">
        <f>IF(V2906&lt;&gt;"Y","",MAX(0,(1-R2906/'01_설정'!B5))*'01_설정'!B14+MAX(0,(1-S2906/'01_설정'!B6))*'01_설정'!B15+MAX(0,(1-T2906/'01_설정'!B7))*'01_설정'!B16+MAX(0,(1-U2906/'01_설정'!B8))*'01_설정'!B17+O2906*'01_설정'!B11+Q2906*'01_설정'!B12+P2906*'01_설정'!B13+IF(Z2906="",0,Z2906))</f>
        <v/>
      </c>
      <c r="X2906" s="152">
        <f>IF(W2906="","",1+COUNTIFS($W$4:$W$3003,"&gt;"&amp;W2906)+COUNTIFS($W$4:W2906,W2906)-1)</f>
        <v/>
      </c>
      <c r="Y2906" s="175">
        <f>IF(OR(I2906="",'02_대상물건입력'!B19="",'02_대상물건입력'!B19&lt;=0),"",ABS(I2906-'02_대상물건입력'!B19)/'02_대상물건입력'!B19)</f>
        <v/>
      </c>
      <c r="Z2906" s="172">
        <f>IF(OR(Y2906="",'01_설정'!B31="",'01_설정'!B31&lt;=0,'01_설정'!B32="",'01_설정'!B32&lt;=0),"",MAX(0,(1-Y2906/'01_설정'!B32))*'01_설정'!B31)</f>
        <v/>
      </c>
    </row>
    <row r="2907" ht="17.25" customHeight="1">
      <c r="A2907" s="152">
        <f>IF(INDEX('04A_국토부원자료'!$A:$A,ROW()+1)="","",ROW()-3)</f>
        <v/>
      </c>
      <c r="B2907" s="48">
        <f>IFERROR(INDEX('04A_국토부원자료'!$A:$T,ROW()+1,MATCH("시군구",'04A_국토부원자료'!$A$4:$T$4,0)),"")</f>
        <v/>
      </c>
      <c r="C2907" s="48">
        <f>IF(B2907="","",IFERROR(INDEX('04A_국토부원자료'!$A:$T,ROW()+1,MATCH("번지",'04A_국토부원자료'!$A$4:$T$4,0)),""))</f>
        <v/>
      </c>
      <c r="D2907" s="48">
        <f>IF(B2907="","",IF(Q2907=1,'02_대상물건입력'!$B$8,IFERROR(INDEX('04A_국토부원자료'!$A:$T,ROW()+1,MATCH("단지명",'04A_국토부원자료'!$A$4:$T$4,0)),"")))</f>
        <v/>
      </c>
      <c r="E2907" s="172">
        <f>IFERROR(VALUE(SUBSTITUTE(INDEX('04A_국토부원자료'!$A:$T,ROW()+1,MATCH("전용면적(㎡)",'04A_국토부원자료'!$A$4:$T$4,0)),",","")),"")</f>
        <v/>
      </c>
      <c r="F290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07" s="51">
        <f>IFERROR(VALUE(SUBSTITUTE(INDEX('04A_국토부원자료'!$A:$T,ROW()+1,MATCH("거래금액(만원)",'04A_국토부원자료'!$A$4:$T$4,0)),",","")),"")</f>
        <v/>
      </c>
      <c r="H2907" s="174">
        <f>IF(G2907="","",G2907*10000)</f>
        <v/>
      </c>
      <c r="I2907" s="174">
        <f>IFERROR(IF(AND(H2907&gt;0,E2907&gt;0),H2907/E2907,""),"")</f>
        <v/>
      </c>
      <c r="J2907" s="152">
        <f>IFERROR(VALUE(SUBSTITUTE(INDEX('04A_국토부원자료'!$A:$T,ROW()+1,MATCH("층",'04A_국토부원자료'!$A$4:$T$4,0)),",","")),"")</f>
        <v/>
      </c>
      <c r="K2907" s="152">
        <f>IFERROR(VALUE(SUBSTITUTE(INDEX('04A_국토부원자료'!$A:$T,ROW()+1,MATCH("건축년도",'04A_국토부원자료'!$A$4:$T$4,0)),",","")),"")</f>
        <v/>
      </c>
      <c r="L2907" s="48">
        <f>IFERROR(INDEX('04A_국토부원자료'!$A:$T,ROW()+1,MATCH("도로명",'04A_국토부원자료'!$A$4:$T$4,0)),"")</f>
        <v/>
      </c>
      <c r="M2907" s="48">
        <f>IFERROR(INDEX('04A_국토부원자료'!$A:$T,ROW()+1,MATCH("거래유형",'04A_국토부원자료'!$A$4:$T$4,0)),"")</f>
        <v/>
      </c>
      <c r="N2907" s="152">
        <f>IF(B2907="","",IF('02_대상물건입력'!B5="",1,IF(ISNUMBER(SEARCH('02_대상물건입력'!B5,B2907)),1,0)))</f>
        <v/>
      </c>
      <c r="O2907" s="152">
        <f>IF(B2907="","",IF('02_대상물건입력'!B6="",1,IF(ISNUMBER(SEARCH('02_대상물건입력'!B6,B2907)),1,0)))</f>
        <v/>
      </c>
      <c r="P2907" s="152">
        <f>IF(L2907="","",IF('02_대상물건입력'!B15="",0,IF(ISNUMBER(SEARCH('02_대상물건입력'!B15,L2907)),1,0)))</f>
        <v/>
      </c>
      <c r="Q2907" s="152">
        <f>IF(OR(C2907="",L2907=""),0,IF(AND(TRIM(C2907)=TRIM(RIGHT(SUBSTITUTE(TRIM('02_대상물건입력'!$B$7)," ",REPT(" ",99)),99)),IF('02_대상물건입력'!B15="",TRUE(),ISNUMBER(SEARCH('02_대상물건입력'!B15,L2907)))),1,0))</f>
        <v/>
      </c>
      <c r="R2907" s="175">
        <f>IFERROR(ABS(E2907-'02_대상물건입력'!B11)/'02_대상물건입력'!B11,"")</f>
        <v/>
      </c>
      <c r="S2907" s="152">
        <f>IFERROR(ABS(J2907-'02_대상물건입력'!B10),"")</f>
        <v/>
      </c>
      <c r="T2907" s="152">
        <f>IFERROR(ABS('01_설정'!B4-F2907),"")</f>
        <v/>
      </c>
      <c r="U2907" s="152">
        <f>IFERROR(ABS(K2907-YEAR('02_대상물건입력'!B14)),"")</f>
        <v/>
      </c>
      <c r="V2907" s="152">
        <f>IF(B2907="","",IF(AND(E2907&gt;0,F2907&gt;0,H2907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2907=1,TRUE()),R2907&lt;='01_설정'!B5,S2907&lt;='01_설정'!B6,T2907&lt;='01_설정'!B7,U2907&lt;='01_설정'!B8),"Y",""))</f>
        <v/>
      </c>
      <c r="W2907" s="172">
        <f>IF(V2907&lt;&gt;"Y","",MAX(0,(1-R2907/'01_설정'!B5))*'01_설정'!B14+MAX(0,(1-S2907/'01_설정'!B6))*'01_설정'!B15+MAX(0,(1-T2907/'01_설정'!B7))*'01_설정'!B16+MAX(0,(1-U2907/'01_설정'!B8))*'01_설정'!B17+O2907*'01_설정'!B11+Q2907*'01_설정'!B12+P2907*'01_설정'!B13+IF(Z2907="",0,Z2907))</f>
        <v/>
      </c>
      <c r="X2907" s="152">
        <f>IF(W2907="","",1+COUNTIFS($W$4:$W$3003,"&gt;"&amp;W2907)+COUNTIFS($W$4:W2907,W2907)-1)</f>
        <v/>
      </c>
      <c r="Y2907" s="175">
        <f>IF(OR(I2907="",'02_대상물건입력'!B19="",'02_대상물건입력'!B19&lt;=0),"",ABS(I2907-'02_대상물건입력'!B19)/'02_대상물건입력'!B19)</f>
        <v/>
      </c>
      <c r="Z2907" s="172">
        <f>IF(OR(Y2907="",'01_설정'!B31="",'01_설정'!B31&lt;=0,'01_설정'!B32="",'01_설정'!B32&lt;=0),"",MAX(0,(1-Y2907/'01_설정'!B32))*'01_설정'!B31)</f>
        <v/>
      </c>
    </row>
    <row r="2908" ht="17.25" customHeight="1">
      <c r="A2908" s="152">
        <f>IF(INDEX('04A_국토부원자료'!$A:$A,ROW()+1)="","",ROW()-3)</f>
        <v/>
      </c>
      <c r="B2908" s="48">
        <f>IFERROR(INDEX('04A_국토부원자료'!$A:$T,ROW()+1,MATCH("시군구",'04A_국토부원자료'!$A$4:$T$4,0)),"")</f>
        <v/>
      </c>
      <c r="C2908" s="48">
        <f>IF(B2908="","",IFERROR(INDEX('04A_국토부원자료'!$A:$T,ROW()+1,MATCH("번지",'04A_국토부원자료'!$A$4:$T$4,0)),""))</f>
        <v/>
      </c>
      <c r="D2908" s="48">
        <f>IF(B2908="","",IF(Q2908=1,'02_대상물건입력'!$B$8,IFERROR(INDEX('04A_국토부원자료'!$A:$T,ROW()+1,MATCH("단지명",'04A_국토부원자료'!$A$4:$T$4,0)),"")))</f>
        <v/>
      </c>
      <c r="E2908" s="172">
        <f>IFERROR(VALUE(SUBSTITUTE(INDEX('04A_국토부원자료'!$A:$T,ROW()+1,MATCH("전용면적(㎡)",'04A_국토부원자료'!$A$4:$T$4,0)),",","")),"")</f>
        <v/>
      </c>
      <c r="F290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08" s="51">
        <f>IFERROR(VALUE(SUBSTITUTE(INDEX('04A_국토부원자료'!$A:$T,ROW()+1,MATCH("거래금액(만원)",'04A_국토부원자료'!$A$4:$T$4,0)),",","")),"")</f>
        <v/>
      </c>
      <c r="H2908" s="174">
        <f>IF(G2908="","",G2908*10000)</f>
        <v/>
      </c>
      <c r="I2908" s="174">
        <f>IFERROR(IF(AND(H2908&gt;0,E2908&gt;0),H2908/E2908,""),"")</f>
        <v/>
      </c>
      <c r="J2908" s="152">
        <f>IFERROR(VALUE(SUBSTITUTE(INDEX('04A_국토부원자료'!$A:$T,ROW()+1,MATCH("층",'04A_국토부원자료'!$A$4:$T$4,0)),",","")),"")</f>
        <v/>
      </c>
      <c r="K2908" s="152">
        <f>IFERROR(VALUE(SUBSTITUTE(INDEX('04A_국토부원자료'!$A:$T,ROW()+1,MATCH("건축년도",'04A_국토부원자료'!$A$4:$T$4,0)),",","")),"")</f>
        <v/>
      </c>
      <c r="L2908" s="48">
        <f>IFERROR(INDEX('04A_국토부원자료'!$A:$T,ROW()+1,MATCH("도로명",'04A_국토부원자료'!$A$4:$T$4,0)),"")</f>
        <v/>
      </c>
      <c r="M2908" s="48">
        <f>IFERROR(INDEX('04A_국토부원자료'!$A:$T,ROW()+1,MATCH("거래유형",'04A_국토부원자료'!$A$4:$T$4,0)),"")</f>
        <v/>
      </c>
      <c r="N2908" s="152">
        <f>IF(B2908="","",IF('02_대상물건입력'!B5="",1,IF(ISNUMBER(SEARCH('02_대상물건입력'!B5,B2908)),1,0)))</f>
        <v/>
      </c>
      <c r="O2908" s="152">
        <f>IF(B2908="","",IF('02_대상물건입력'!B6="",1,IF(ISNUMBER(SEARCH('02_대상물건입력'!B6,B2908)),1,0)))</f>
        <v/>
      </c>
      <c r="P2908" s="152">
        <f>IF(L2908="","",IF('02_대상물건입력'!B15="",0,IF(ISNUMBER(SEARCH('02_대상물건입력'!B15,L2908)),1,0)))</f>
        <v/>
      </c>
      <c r="Q2908" s="152">
        <f>IF(OR(C2908="",L2908=""),0,IF(AND(TRIM(C2908)=TRIM(RIGHT(SUBSTITUTE(TRIM('02_대상물건입력'!$B$7)," ",REPT(" ",99)),99)),IF('02_대상물건입력'!B15="",TRUE(),ISNUMBER(SEARCH('02_대상물건입력'!B15,L2908)))),1,0))</f>
        <v/>
      </c>
      <c r="R2908" s="175">
        <f>IFERROR(ABS(E2908-'02_대상물건입력'!B11)/'02_대상물건입력'!B11,"")</f>
        <v/>
      </c>
      <c r="S2908" s="152">
        <f>IFERROR(ABS(J2908-'02_대상물건입력'!B10),"")</f>
        <v/>
      </c>
      <c r="T2908" s="152">
        <f>IFERROR(ABS('01_설정'!B4-F2908),"")</f>
        <v/>
      </c>
      <c r="U2908" s="152">
        <f>IFERROR(ABS(K2908-YEAR('02_대상물건입력'!B14)),"")</f>
        <v/>
      </c>
      <c r="V2908" s="152">
        <f>IF(B2908="","",IF(AND(E2908&gt;0,F2908&gt;0,H2908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2908=1,TRUE()),R2908&lt;='01_설정'!B5,S2908&lt;='01_설정'!B6,T2908&lt;='01_설정'!B7,U2908&lt;='01_설정'!B8),"Y",""))</f>
        <v/>
      </c>
      <c r="W2908" s="172">
        <f>IF(V2908&lt;&gt;"Y","",MAX(0,(1-R2908/'01_설정'!B5))*'01_설정'!B14+MAX(0,(1-S2908/'01_설정'!B6))*'01_설정'!B15+MAX(0,(1-T2908/'01_설정'!B7))*'01_설정'!B16+MAX(0,(1-U2908/'01_설정'!B8))*'01_설정'!B17+O2908*'01_설정'!B11+Q2908*'01_설정'!B12+P2908*'01_설정'!B13+IF(Z2908="",0,Z2908))</f>
        <v/>
      </c>
      <c r="X2908" s="152">
        <f>IF(W2908="","",1+COUNTIFS($W$4:$W$3003,"&gt;"&amp;W2908)+COUNTIFS($W$4:W2908,W2908)-1)</f>
        <v/>
      </c>
      <c r="Y2908" s="175">
        <f>IF(OR(I2908="",'02_대상물건입력'!B19="",'02_대상물건입력'!B19&lt;=0),"",ABS(I2908-'02_대상물건입력'!B19)/'02_대상물건입력'!B19)</f>
        <v/>
      </c>
      <c r="Z2908" s="172">
        <f>IF(OR(Y2908="",'01_설정'!B31="",'01_설정'!B31&lt;=0,'01_설정'!B32="",'01_설정'!B32&lt;=0),"",MAX(0,(1-Y2908/'01_설정'!B32))*'01_설정'!B31)</f>
        <v/>
      </c>
    </row>
    <row r="2909" ht="17.25" customHeight="1">
      <c r="A2909" s="152">
        <f>IF(INDEX('04A_국토부원자료'!$A:$A,ROW()+1)="","",ROW()-3)</f>
        <v/>
      </c>
      <c r="B2909" s="48">
        <f>IFERROR(INDEX('04A_국토부원자료'!$A:$T,ROW()+1,MATCH("시군구",'04A_국토부원자료'!$A$4:$T$4,0)),"")</f>
        <v/>
      </c>
      <c r="C2909" s="48">
        <f>IF(B2909="","",IFERROR(INDEX('04A_국토부원자료'!$A:$T,ROW()+1,MATCH("번지",'04A_국토부원자료'!$A$4:$T$4,0)),""))</f>
        <v/>
      </c>
      <c r="D2909" s="48">
        <f>IF(B2909="","",IF(Q2909=1,'02_대상물건입력'!$B$8,IFERROR(INDEX('04A_국토부원자료'!$A:$T,ROW()+1,MATCH("단지명",'04A_국토부원자료'!$A$4:$T$4,0)),"")))</f>
        <v/>
      </c>
      <c r="E2909" s="172">
        <f>IFERROR(VALUE(SUBSTITUTE(INDEX('04A_국토부원자료'!$A:$T,ROW()+1,MATCH("전용면적(㎡)",'04A_국토부원자료'!$A$4:$T$4,0)),",","")),"")</f>
        <v/>
      </c>
      <c r="F290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09" s="51">
        <f>IFERROR(VALUE(SUBSTITUTE(INDEX('04A_국토부원자료'!$A:$T,ROW()+1,MATCH("거래금액(만원)",'04A_국토부원자료'!$A$4:$T$4,0)),",","")),"")</f>
        <v/>
      </c>
      <c r="H2909" s="174">
        <f>IF(G2909="","",G2909*10000)</f>
        <v/>
      </c>
      <c r="I2909" s="174">
        <f>IFERROR(IF(AND(H2909&gt;0,E2909&gt;0),H2909/E2909,""),"")</f>
        <v/>
      </c>
      <c r="J2909" s="152">
        <f>IFERROR(VALUE(SUBSTITUTE(INDEX('04A_국토부원자료'!$A:$T,ROW()+1,MATCH("층",'04A_국토부원자료'!$A$4:$T$4,0)),",","")),"")</f>
        <v/>
      </c>
      <c r="K2909" s="152">
        <f>IFERROR(VALUE(SUBSTITUTE(INDEX('04A_국토부원자료'!$A:$T,ROW()+1,MATCH("건축년도",'04A_국토부원자료'!$A$4:$T$4,0)),",","")),"")</f>
        <v/>
      </c>
      <c r="L2909" s="48">
        <f>IFERROR(INDEX('04A_국토부원자료'!$A:$T,ROW()+1,MATCH("도로명",'04A_국토부원자료'!$A$4:$T$4,0)),"")</f>
        <v/>
      </c>
      <c r="M2909" s="48">
        <f>IFERROR(INDEX('04A_국토부원자료'!$A:$T,ROW()+1,MATCH("거래유형",'04A_국토부원자료'!$A$4:$T$4,0)),"")</f>
        <v/>
      </c>
      <c r="N2909" s="152">
        <f>IF(B2909="","",IF('02_대상물건입력'!B5="",1,IF(ISNUMBER(SEARCH('02_대상물건입력'!B5,B2909)),1,0)))</f>
        <v/>
      </c>
      <c r="O2909" s="152">
        <f>IF(B2909="","",IF('02_대상물건입력'!B6="",1,IF(ISNUMBER(SEARCH('02_대상물건입력'!B6,B2909)),1,0)))</f>
        <v/>
      </c>
      <c r="P2909" s="152">
        <f>IF(L2909="","",IF('02_대상물건입력'!B15="",0,IF(ISNUMBER(SEARCH('02_대상물건입력'!B15,L2909)),1,0)))</f>
        <v/>
      </c>
      <c r="Q2909" s="152">
        <f>IF(OR(C2909="",L2909=""),0,IF(AND(TRIM(C2909)=TRIM(RIGHT(SUBSTITUTE(TRIM('02_대상물건입력'!$B$7)," ",REPT(" ",99)),99)),IF('02_대상물건입력'!B15="",TRUE(),ISNUMBER(SEARCH('02_대상물건입력'!B15,L2909)))),1,0))</f>
        <v/>
      </c>
      <c r="R2909" s="175">
        <f>IFERROR(ABS(E2909-'02_대상물건입력'!B11)/'02_대상물건입력'!B11,"")</f>
        <v/>
      </c>
      <c r="S2909" s="152">
        <f>IFERROR(ABS(J2909-'02_대상물건입력'!B10),"")</f>
        <v/>
      </c>
      <c r="T2909" s="152">
        <f>IFERROR(ABS('01_설정'!B4-F2909),"")</f>
        <v/>
      </c>
      <c r="U2909" s="152">
        <f>IFERROR(ABS(K2909-YEAR('02_대상물건입력'!B14)),"")</f>
        <v/>
      </c>
      <c r="V2909" s="152">
        <f>IF(B2909="","",IF(AND(E2909&gt;0,F2909&gt;0,H2909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2909=1,TRUE()),R2909&lt;='01_설정'!B5,S2909&lt;='01_설정'!B6,T2909&lt;='01_설정'!B7,U2909&lt;='01_설정'!B8),"Y",""))</f>
        <v/>
      </c>
      <c r="W2909" s="172">
        <f>IF(V2909&lt;&gt;"Y","",MAX(0,(1-R2909/'01_설정'!B5))*'01_설정'!B14+MAX(0,(1-S2909/'01_설정'!B6))*'01_설정'!B15+MAX(0,(1-T2909/'01_설정'!B7))*'01_설정'!B16+MAX(0,(1-U2909/'01_설정'!B8))*'01_설정'!B17+O2909*'01_설정'!B11+Q2909*'01_설정'!B12+P2909*'01_설정'!B13+IF(Z2909="",0,Z2909))</f>
        <v/>
      </c>
      <c r="X2909" s="152">
        <f>IF(W2909="","",1+COUNTIFS($W$4:$W$3003,"&gt;"&amp;W2909)+COUNTIFS($W$4:W2909,W2909)-1)</f>
        <v/>
      </c>
      <c r="Y2909" s="175">
        <f>IF(OR(I2909="",'02_대상물건입력'!B19="",'02_대상물건입력'!B19&lt;=0),"",ABS(I2909-'02_대상물건입력'!B19)/'02_대상물건입력'!B19)</f>
        <v/>
      </c>
      <c r="Z2909" s="172">
        <f>IF(OR(Y2909="",'01_설정'!B31="",'01_설정'!B31&lt;=0,'01_설정'!B32="",'01_설정'!B32&lt;=0),"",MAX(0,(1-Y2909/'01_설정'!B32))*'01_설정'!B31)</f>
        <v/>
      </c>
    </row>
    <row r="2910" ht="17.25" customHeight="1">
      <c r="A2910" s="152">
        <f>IF(INDEX('04A_국토부원자료'!$A:$A,ROW()+1)="","",ROW()-3)</f>
        <v/>
      </c>
      <c r="B2910" s="48">
        <f>IFERROR(INDEX('04A_국토부원자료'!$A:$T,ROW()+1,MATCH("시군구",'04A_국토부원자료'!$A$4:$T$4,0)),"")</f>
        <v/>
      </c>
      <c r="C2910" s="48">
        <f>IF(B2910="","",IFERROR(INDEX('04A_국토부원자료'!$A:$T,ROW()+1,MATCH("번지",'04A_국토부원자료'!$A$4:$T$4,0)),""))</f>
        <v/>
      </c>
      <c r="D2910" s="48">
        <f>IF(B2910="","",IF(Q2910=1,'02_대상물건입력'!$B$8,IFERROR(INDEX('04A_국토부원자료'!$A:$T,ROW()+1,MATCH("단지명",'04A_국토부원자료'!$A$4:$T$4,0)),"")))</f>
        <v/>
      </c>
      <c r="E2910" s="172">
        <f>IFERROR(VALUE(SUBSTITUTE(INDEX('04A_국토부원자료'!$A:$T,ROW()+1,MATCH("전용면적(㎡)",'04A_국토부원자료'!$A$4:$T$4,0)),",","")),"")</f>
        <v/>
      </c>
      <c r="F291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10" s="51">
        <f>IFERROR(VALUE(SUBSTITUTE(INDEX('04A_국토부원자료'!$A:$T,ROW()+1,MATCH("거래금액(만원)",'04A_국토부원자료'!$A$4:$T$4,0)),",","")),"")</f>
        <v/>
      </c>
      <c r="H2910" s="174">
        <f>IF(G2910="","",G2910*10000)</f>
        <v/>
      </c>
      <c r="I2910" s="174">
        <f>IFERROR(IF(AND(H2910&gt;0,E2910&gt;0),H2910/E2910,""),"")</f>
        <v/>
      </c>
      <c r="J2910" s="152">
        <f>IFERROR(VALUE(SUBSTITUTE(INDEX('04A_국토부원자료'!$A:$T,ROW()+1,MATCH("층",'04A_국토부원자료'!$A$4:$T$4,0)),",","")),"")</f>
        <v/>
      </c>
      <c r="K2910" s="152">
        <f>IFERROR(VALUE(SUBSTITUTE(INDEX('04A_국토부원자료'!$A:$T,ROW()+1,MATCH("건축년도",'04A_국토부원자료'!$A$4:$T$4,0)),",","")),"")</f>
        <v/>
      </c>
      <c r="L2910" s="48">
        <f>IFERROR(INDEX('04A_국토부원자료'!$A:$T,ROW()+1,MATCH("도로명",'04A_국토부원자료'!$A$4:$T$4,0)),"")</f>
        <v/>
      </c>
      <c r="M2910" s="48">
        <f>IFERROR(INDEX('04A_국토부원자료'!$A:$T,ROW()+1,MATCH("거래유형",'04A_국토부원자료'!$A$4:$T$4,0)),"")</f>
        <v/>
      </c>
      <c r="N2910" s="152">
        <f>IF(B2910="","",IF('02_대상물건입력'!B5="",1,IF(ISNUMBER(SEARCH('02_대상물건입력'!B5,B2910)),1,0)))</f>
        <v/>
      </c>
      <c r="O2910" s="152">
        <f>IF(B2910="","",IF('02_대상물건입력'!B6="",1,IF(ISNUMBER(SEARCH('02_대상물건입력'!B6,B2910)),1,0)))</f>
        <v/>
      </c>
      <c r="P2910" s="152">
        <f>IF(L2910="","",IF('02_대상물건입력'!B15="",0,IF(ISNUMBER(SEARCH('02_대상물건입력'!B15,L2910)),1,0)))</f>
        <v/>
      </c>
      <c r="Q2910" s="152">
        <f>IF(OR(C2910="",L2910=""),0,IF(AND(TRIM(C2910)=TRIM(RIGHT(SUBSTITUTE(TRIM('02_대상물건입력'!$B$7)," ",REPT(" ",99)),99)),IF('02_대상물건입력'!B15="",TRUE(),ISNUMBER(SEARCH('02_대상물건입력'!B15,L2910)))),1,0))</f>
        <v/>
      </c>
      <c r="R2910" s="175">
        <f>IFERROR(ABS(E2910-'02_대상물건입력'!B11)/'02_대상물건입력'!B11,"")</f>
        <v/>
      </c>
      <c r="S2910" s="152">
        <f>IFERROR(ABS(J2910-'02_대상물건입력'!B10),"")</f>
        <v/>
      </c>
      <c r="T2910" s="152">
        <f>IFERROR(ABS('01_설정'!B4-F2910),"")</f>
        <v/>
      </c>
      <c r="U2910" s="152">
        <f>IFERROR(ABS(K2910-YEAR('02_대상물건입력'!B14)),"")</f>
        <v/>
      </c>
      <c r="V2910" s="152">
        <f>IF(B2910="","",IF(AND(E2910&gt;0,F2910&gt;0,H2910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2910=1,TRUE()),R2910&lt;='01_설정'!B5,S2910&lt;='01_설정'!B6,T2910&lt;='01_설정'!B7,U2910&lt;='01_설정'!B8),"Y",""))</f>
        <v/>
      </c>
      <c r="W2910" s="172">
        <f>IF(V2910&lt;&gt;"Y","",MAX(0,(1-R2910/'01_설정'!B5))*'01_설정'!B14+MAX(0,(1-S2910/'01_설정'!B6))*'01_설정'!B15+MAX(0,(1-T2910/'01_설정'!B7))*'01_설정'!B16+MAX(0,(1-U2910/'01_설정'!B8))*'01_설정'!B17+O2910*'01_설정'!B11+Q2910*'01_설정'!B12+P2910*'01_설정'!B13+IF(Z2910="",0,Z2910))</f>
        <v/>
      </c>
      <c r="X2910" s="152">
        <f>IF(W2910="","",1+COUNTIFS($W$4:$W$3003,"&gt;"&amp;W2910)+COUNTIFS($W$4:W2910,W2910)-1)</f>
        <v/>
      </c>
      <c r="Y2910" s="175">
        <f>IF(OR(I2910="",'02_대상물건입력'!B19="",'02_대상물건입력'!B19&lt;=0),"",ABS(I2910-'02_대상물건입력'!B19)/'02_대상물건입력'!B19)</f>
        <v/>
      </c>
      <c r="Z2910" s="172">
        <f>IF(OR(Y2910="",'01_설정'!B31="",'01_설정'!B31&lt;=0,'01_설정'!B32="",'01_설정'!B32&lt;=0),"",MAX(0,(1-Y2910/'01_설정'!B32))*'01_설정'!B31)</f>
        <v/>
      </c>
    </row>
    <row r="2911" ht="17.25" customHeight="1">
      <c r="A2911" s="152">
        <f>IF(INDEX('04A_국토부원자료'!$A:$A,ROW()+1)="","",ROW()-3)</f>
        <v/>
      </c>
      <c r="B2911" s="48">
        <f>IFERROR(INDEX('04A_국토부원자료'!$A:$T,ROW()+1,MATCH("시군구",'04A_국토부원자료'!$A$4:$T$4,0)),"")</f>
        <v/>
      </c>
      <c r="C2911" s="48">
        <f>IF(B2911="","",IFERROR(INDEX('04A_국토부원자료'!$A:$T,ROW()+1,MATCH("번지",'04A_국토부원자료'!$A$4:$T$4,0)),""))</f>
        <v/>
      </c>
      <c r="D2911" s="48">
        <f>IF(B2911="","",IF(Q2911=1,'02_대상물건입력'!$B$8,IFERROR(INDEX('04A_국토부원자료'!$A:$T,ROW()+1,MATCH("단지명",'04A_국토부원자료'!$A$4:$T$4,0)),"")))</f>
        <v/>
      </c>
      <c r="E2911" s="172">
        <f>IFERROR(VALUE(SUBSTITUTE(INDEX('04A_국토부원자료'!$A:$T,ROW()+1,MATCH("전용면적(㎡)",'04A_국토부원자료'!$A$4:$T$4,0)),",","")),"")</f>
        <v/>
      </c>
      <c r="F291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11" s="51">
        <f>IFERROR(VALUE(SUBSTITUTE(INDEX('04A_국토부원자료'!$A:$T,ROW()+1,MATCH("거래금액(만원)",'04A_국토부원자료'!$A$4:$T$4,0)),",","")),"")</f>
        <v/>
      </c>
      <c r="H2911" s="174">
        <f>IF(G2911="","",G2911*10000)</f>
        <v/>
      </c>
      <c r="I2911" s="174">
        <f>IFERROR(IF(AND(H2911&gt;0,E2911&gt;0),H2911/E2911,""),"")</f>
        <v/>
      </c>
      <c r="J2911" s="152">
        <f>IFERROR(VALUE(SUBSTITUTE(INDEX('04A_국토부원자료'!$A:$T,ROW()+1,MATCH("층",'04A_국토부원자료'!$A$4:$T$4,0)),",","")),"")</f>
        <v/>
      </c>
      <c r="K2911" s="152">
        <f>IFERROR(VALUE(SUBSTITUTE(INDEX('04A_국토부원자료'!$A:$T,ROW()+1,MATCH("건축년도",'04A_국토부원자료'!$A$4:$T$4,0)),",","")),"")</f>
        <v/>
      </c>
      <c r="L2911" s="48">
        <f>IFERROR(INDEX('04A_국토부원자료'!$A:$T,ROW()+1,MATCH("도로명",'04A_국토부원자료'!$A$4:$T$4,0)),"")</f>
        <v/>
      </c>
      <c r="M2911" s="48">
        <f>IFERROR(INDEX('04A_국토부원자료'!$A:$T,ROW()+1,MATCH("거래유형",'04A_국토부원자료'!$A$4:$T$4,0)),"")</f>
        <v/>
      </c>
      <c r="N2911" s="152">
        <f>IF(B2911="","",IF('02_대상물건입력'!B5="",1,IF(ISNUMBER(SEARCH('02_대상물건입력'!B5,B2911)),1,0)))</f>
        <v/>
      </c>
      <c r="O2911" s="152">
        <f>IF(B2911="","",IF('02_대상물건입력'!B6="",1,IF(ISNUMBER(SEARCH('02_대상물건입력'!B6,B2911)),1,0)))</f>
        <v/>
      </c>
      <c r="P2911" s="152">
        <f>IF(L2911="","",IF('02_대상물건입력'!B15="",0,IF(ISNUMBER(SEARCH('02_대상물건입력'!B15,L2911)),1,0)))</f>
        <v/>
      </c>
      <c r="Q2911" s="152">
        <f>IF(OR(C2911="",L2911=""),0,IF(AND(TRIM(C2911)=TRIM(RIGHT(SUBSTITUTE(TRIM('02_대상물건입력'!$B$7)," ",REPT(" ",99)),99)),IF('02_대상물건입력'!B15="",TRUE(),ISNUMBER(SEARCH('02_대상물건입력'!B15,L2911)))),1,0))</f>
        <v/>
      </c>
      <c r="R2911" s="175">
        <f>IFERROR(ABS(E2911-'02_대상물건입력'!B11)/'02_대상물건입력'!B11,"")</f>
        <v/>
      </c>
      <c r="S2911" s="152">
        <f>IFERROR(ABS(J2911-'02_대상물건입력'!B10),"")</f>
        <v/>
      </c>
      <c r="T2911" s="152">
        <f>IFERROR(ABS('01_설정'!B4-F2911),"")</f>
        <v/>
      </c>
      <c r="U2911" s="152">
        <f>IFERROR(ABS(K2911-YEAR('02_대상물건입력'!B14)),"")</f>
        <v/>
      </c>
      <c r="V2911" s="152">
        <f>IF(B2911="","",IF(AND(E2911&gt;0,F2911&gt;0,H2911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2911=1,TRUE()),R2911&lt;='01_설정'!B5,S2911&lt;='01_설정'!B6,T2911&lt;='01_설정'!B7,U2911&lt;='01_설정'!B8),"Y",""))</f>
        <v/>
      </c>
      <c r="W2911" s="172">
        <f>IF(V2911&lt;&gt;"Y","",MAX(0,(1-R2911/'01_설정'!B5))*'01_설정'!B14+MAX(0,(1-S2911/'01_설정'!B6))*'01_설정'!B15+MAX(0,(1-T2911/'01_설정'!B7))*'01_설정'!B16+MAX(0,(1-U2911/'01_설정'!B8))*'01_설정'!B17+O2911*'01_설정'!B11+Q2911*'01_설정'!B12+P2911*'01_설정'!B13+IF(Z2911="",0,Z2911))</f>
        <v/>
      </c>
      <c r="X2911" s="152">
        <f>IF(W2911="","",1+COUNTIFS($W$4:$W$3003,"&gt;"&amp;W2911)+COUNTIFS($W$4:W2911,W2911)-1)</f>
        <v/>
      </c>
      <c r="Y2911" s="175">
        <f>IF(OR(I2911="",'02_대상물건입력'!B19="",'02_대상물건입력'!B19&lt;=0),"",ABS(I2911-'02_대상물건입력'!B19)/'02_대상물건입력'!B19)</f>
        <v/>
      </c>
      <c r="Z2911" s="172">
        <f>IF(OR(Y2911="",'01_설정'!B31="",'01_설정'!B31&lt;=0,'01_설정'!B32="",'01_설정'!B32&lt;=0),"",MAX(0,(1-Y2911/'01_설정'!B32))*'01_설정'!B31)</f>
        <v/>
      </c>
    </row>
    <row r="2912" ht="17.25" customHeight="1">
      <c r="A2912" s="152">
        <f>IF(INDEX('04A_국토부원자료'!$A:$A,ROW()+1)="","",ROW()-3)</f>
        <v/>
      </c>
      <c r="B2912" s="48">
        <f>IFERROR(INDEX('04A_국토부원자료'!$A:$T,ROW()+1,MATCH("시군구",'04A_국토부원자료'!$A$4:$T$4,0)),"")</f>
        <v/>
      </c>
      <c r="C2912" s="48">
        <f>IF(B2912="","",IFERROR(INDEX('04A_국토부원자료'!$A:$T,ROW()+1,MATCH("번지",'04A_국토부원자료'!$A$4:$T$4,0)),""))</f>
        <v/>
      </c>
      <c r="D2912" s="48">
        <f>IF(B2912="","",IF(Q2912=1,'02_대상물건입력'!$B$8,IFERROR(INDEX('04A_국토부원자료'!$A:$T,ROW()+1,MATCH("단지명",'04A_국토부원자료'!$A$4:$T$4,0)),"")))</f>
        <v/>
      </c>
      <c r="E2912" s="172">
        <f>IFERROR(VALUE(SUBSTITUTE(INDEX('04A_국토부원자료'!$A:$T,ROW()+1,MATCH("전용면적(㎡)",'04A_국토부원자료'!$A$4:$T$4,0)),",","")),"")</f>
        <v/>
      </c>
      <c r="F291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12" s="51">
        <f>IFERROR(VALUE(SUBSTITUTE(INDEX('04A_국토부원자료'!$A:$T,ROW()+1,MATCH("거래금액(만원)",'04A_국토부원자료'!$A$4:$T$4,0)),",","")),"")</f>
        <v/>
      </c>
      <c r="H2912" s="174">
        <f>IF(G2912="","",G2912*10000)</f>
        <v/>
      </c>
      <c r="I2912" s="174">
        <f>IFERROR(IF(AND(H2912&gt;0,E2912&gt;0),H2912/E2912,""),"")</f>
        <v/>
      </c>
      <c r="J2912" s="152">
        <f>IFERROR(VALUE(SUBSTITUTE(INDEX('04A_국토부원자료'!$A:$T,ROW()+1,MATCH("층",'04A_국토부원자료'!$A$4:$T$4,0)),",","")),"")</f>
        <v/>
      </c>
      <c r="K2912" s="152">
        <f>IFERROR(VALUE(SUBSTITUTE(INDEX('04A_국토부원자료'!$A:$T,ROW()+1,MATCH("건축년도",'04A_국토부원자료'!$A$4:$T$4,0)),",","")),"")</f>
        <v/>
      </c>
      <c r="L2912" s="48">
        <f>IFERROR(INDEX('04A_국토부원자료'!$A:$T,ROW()+1,MATCH("도로명",'04A_국토부원자료'!$A$4:$T$4,0)),"")</f>
        <v/>
      </c>
      <c r="M2912" s="48">
        <f>IFERROR(INDEX('04A_국토부원자료'!$A:$T,ROW()+1,MATCH("거래유형",'04A_국토부원자료'!$A$4:$T$4,0)),"")</f>
        <v/>
      </c>
      <c r="N2912" s="152">
        <f>IF(B2912="","",IF('02_대상물건입력'!B5="",1,IF(ISNUMBER(SEARCH('02_대상물건입력'!B5,B2912)),1,0)))</f>
        <v/>
      </c>
      <c r="O2912" s="152">
        <f>IF(B2912="","",IF('02_대상물건입력'!B6="",1,IF(ISNUMBER(SEARCH('02_대상물건입력'!B6,B2912)),1,0)))</f>
        <v/>
      </c>
      <c r="P2912" s="152">
        <f>IF(L2912="","",IF('02_대상물건입력'!B15="",0,IF(ISNUMBER(SEARCH('02_대상물건입력'!B15,L2912)),1,0)))</f>
        <v/>
      </c>
      <c r="Q2912" s="152">
        <f>IF(OR(C2912="",L2912=""),0,IF(AND(TRIM(C2912)=TRIM(RIGHT(SUBSTITUTE(TRIM('02_대상물건입력'!$B$7)," ",REPT(" ",99)),99)),IF('02_대상물건입력'!B15="",TRUE(),ISNUMBER(SEARCH('02_대상물건입력'!B15,L2912)))),1,0))</f>
        <v/>
      </c>
      <c r="R2912" s="175">
        <f>IFERROR(ABS(E2912-'02_대상물건입력'!B11)/'02_대상물건입력'!B11,"")</f>
        <v/>
      </c>
      <c r="S2912" s="152">
        <f>IFERROR(ABS(J2912-'02_대상물건입력'!B10),"")</f>
        <v/>
      </c>
      <c r="T2912" s="152">
        <f>IFERROR(ABS('01_설정'!B4-F2912),"")</f>
        <v/>
      </c>
      <c r="U2912" s="152">
        <f>IFERROR(ABS(K2912-YEAR('02_대상물건입력'!B14)),"")</f>
        <v/>
      </c>
      <c r="V2912" s="152">
        <f>IF(B2912="","",IF(AND(E2912&gt;0,F2912&gt;0,H2912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2912=1,TRUE()),R2912&lt;='01_설정'!B5,S2912&lt;='01_설정'!B6,T2912&lt;='01_설정'!B7,U2912&lt;='01_설정'!B8),"Y",""))</f>
        <v/>
      </c>
      <c r="W2912" s="172">
        <f>IF(V2912&lt;&gt;"Y","",MAX(0,(1-R2912/'01_설정'!B5))*'01_설정'!B14+MAX(0,(1-S2912/'01_설정'!B6))*'01_설정'!B15+MAX(0,(1-T2912/'01_설정'!B7))*'01_설정'!B16+MAX(0,(1-U2912/'01_설정'!B8))*'01_설정'!B17+O2912*'01_설정'!B11+Q2912*'01_설정'!B12+P2912*'01_설정'!B13+IF(Z2912="",0,Z2912))</f>
        <v/>
      </c>
      <c r="X2912" s="152">
        <f>IF(W2912="","",1+COUNTIFS($W$4:$W$3003,"&gt;"&amp;W2912)+COUNTIFS($W$4:W2912,W2912)-1)</f>
        <v/>
      </c>
      <c r="Y2912" s="175">
        <f>IF(OR(I2912="",'02_대상물건입력'!B19="",'02_대상물건입력'!B19&lt;=0),"",ABS(I2912-'02_대상물건입력'!B19)/'02_대상물건입력'!B19)</f>
        <v/>
      </c>
      <c r="Z2912" s="172">
        <f>IF(OR(Y2912="",'01_설정'!B31="",'01_설정'!B31&lt;=0,'01_설정'!B32="",'01_설정'!B32&lt;=0),"",MAX(0,(1-Y2912/'01_설정'!B32))*'01_설정'!B31)</f>
        <v/>
      </c>
    </row>
    <row r="2913" ht="17.25" customHeight="1">
      <c r="A2913" s="152">
        <f>IF(INDEX('04A_국토부원자료'!$A:$A,ROW()+1)="","",ROW()-3)</f>
        <v/>
      </c>
      <c r="B2913" s="48">
        <f>IFERROR(INDEX('04A_국토부원자료'!$A:$T,ROW()+1,MATCH("시군구",'04A_국토부원자료'!$A$4:$T$4,0)),"")</f>
        <v/>
      </c>
      <c r="C2913" s="48">
        <f>IF(B2913="","",IFERROR(INDEX('04A_국토부원자료'!$A:$T,ROW()+1,MATCH("번지",'04A_국토부원자료'!$A$4:$T$4,0)),""))</f>
        <v/>
      </c>
      <c r="D2913" s="48">
        <f>IF(B2913="","",IF(Q2913=1,'02_대상물건입력'!$B$8,IFERROR(INDEX('04A_국토부원자료'!$A:$T,ROW()+1,MATCH("단지명",'04A_국토부원자료'!$A$4:$T$4,0)),"")))</f>
        <v/>
      </c>
      <c r="E2913" s="172">
        <f>IFERROR(VALUE(SUBSTITUTE(INDEX('04A_국토부원자료'!$A:$T,ROW()+1,MATCH("전용면적(㎡)",'04A_국토부원자료'!$A$4:$T$4,0)),",","")),"")</f>
        <v/>
      </c>
      <c r="F291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13" s="51">
        <f>IFERROR(VALUE(SUBSTITUTE(INDEX('04A_국토부원자료'!$A:$T,ROW()+1,MATCH("거래금액(만원)",'04A_국토부원자료'!$A$4:$T$4,0)),",","")),"")</f>
        <v/>
      </c>
      <c r="H2913" s="174">
        <f>IF(G2913="","",G2913*10000)</f>
        <v/>
      </c>
      <c r="I2913" s="174">
        <f>IFERROR(IF(AND(H2913&gt;0,E2913&gt;0),H2913/E2913,""),"")</f>
        <v/>
      </c>
      <c r="J2913" s="152">
        <f>IFERROR(VALUE(SUBSTITUTE(INDEX('04A_국토부원자료'!$A:$T,ROW()+1,MATCH("층",'04A_국토부원자료'!$A$4:$T$4,0)),",","")),"")</f>
        <v/>
      </c>
      <c r="K2913" s="152">
        <f>IFERROR(VALUE(SUBSTITUTE(INDEX('04A_국토부원자료'!$A:$T,ROW()+1,MATCH("건축년도",'04A_국토부원자료'!$A$4:$T$4,0)),",","")),"")</f>
        <v/>
      </c>
      <c r="L2913" s="48">
        <f>IFERROR(INDEX('04A_국토부원자료'!$A:$T,ROW()+1,MATCH("도로명",'04A_국토부원자료'!$A$4:$T$4,0)),"")</f>
        <v/>
      </c>
      <c r="M2913" s="48">
        <f>IFERROR(INDEX('04A_국토부원자료'!$A:$T,ROW()+1,MATCH("거래유형",'04A_국토부원자료'!$A$4:$T$4,0)),"")</f>
        <v/>
      </c>
      <c r="N2913" s="152">
        <f>IF(B2913="","",IF('02_대상물건입력'!B5="",1,IF(ISNUMBER(SEARCH('02_대상물건입력'!B5,B2913)),1,0)))</f>
        <v/>
      </c>
      <c r="O2913" s="152">
        <f>IF(B2913="","",IF('02_대상물건입력'!B6="",1,IF(ISNUMBER(SEARCH('02_대상물건입력'!B6,B2913)),1,0)))</f>
        <v/>
      </c>
      <c r="P2913" s="152">
        <f>IF(L2913="","",IF('02_대상물건입력'!B15="",0,IF(ISNUMBER(SEARCH('02_대상물건입력'!B15,L2913)),1,0)))</f>
        <v/>
      </c>
      <c r="Q2913" s="152">
        <f>IF(OR(C2913="",L2913=""),0,IF(AND(TRIM(C2913)=TRIM(RIGHT(SUBSTITUTE(TRIM('02_대상물건입력'!$B$7)," ",REPT(" ",99)),99)),IF('02_대상물건입력'!B15="",TRUE(),ISNUMBER(SEARCH('02_대상물건입력'!B15,L2913)))),1,0))</f>
        <v/>
      </c>
      <c r="R2913" s="175">
        <f>IFERROR(ABS(E2913-'02_대상물건입력'!B11)/'02_대상물건입력'!B11,"")</f>
        <v/>
      </c>
      <c r="S2913" s="152">
        <f>IFERROR(ABS(J2913-'02_대상물건입력'!B10),"")</f>
        <v/>
      </c>
      <c r="T2913" s="152">
        <f>IFERROR(ABS('01_설정'!B4-F2913),"")</f>
        <v/>
      </c>
      <c r="U2913" s="152">
        <f>IFERROR(ABS(K2913-YEAR('02_대상물건입력'!B14)),"")</f>
        <v/>
      </c>
      <c r="V2913" s="152">
        <f>IF(B2913="","",IF(AND(E2913&gt;0,F2913&gt;0,H2913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2913=1,TRUE()),R2913&lt;='01_설정'!B5,S2913&lt;='01_설정'!B6,T2913&lt;='01_설정'!B7,U2913&lt;='01_설정'!B8),"Y",""))</f>
        <v/>
      </c>
      <c r="W2913" s="172">
        <f>IF(V2913&lt;&gt;"Y","",MAX(0,(1-R2913/'01_설정'!B5))*'01_설정'!B14+MAX(0,(1-S2913/'01_설정'!B6))*'01_설정'!B15+MAX(0,(1-T2913/'01_설정'!B7))*'01_설정'!B16+MAX(0,(1-U2913/'01_설정'!B8))*'01_설정'!B17+O2913*'01_설정'!B11+Q2913*'01_설정'!B12+P2913*'01_설정'!B13+IF(Z2913="",0,Z2913))</f>
        <v/>
      </c>
      <c r="X2913" s="152">
        <f>IF(W2913="","",1+COUNTIFS($W$4:$W$3003,"&gt;"&amp;W2913)+COUNTIFS($W$4:W2913,W2913)-1)</f>
        <v/>
      </c>
      <c r="Y2913" s="175">
        <f>IF(OR(I2913="",'02_대상물건입력'!B19="",'02_대상물건입력'!B19&lt;=0),"",ABS(I2913-'02_대상물건입력'!B19)/'02_대상물건입력'!B19)</f>
        <v/>
      </c>
      <c r="Z2913" s="172">
        <f>IF(OR(Y2913="",'01_설정'!B31="",'01_설정'!B31&lt;=0,'01_설정'!B32="",'01_설정'!B32&lt;=0),"",MAX(0,(1-Y2913/'01_설정'!B32))*'01_설정'!B31)</f>
        <v/>
      </c>
    </row>
    <row r="2914" ht="17.25" customHeight="1">
      <c r="A2914" s="152">
        <f>IF(INDEX('04A_국토부원자료'!$A:$A,ROW()+1)="","",ROW()-3)</f>
        <v/>
      </c>
      <c r="B2914" s="48">
        <f>IFERROR(INDEX('04A_국토부원자료'!$A:$T,ROW()+1,MATCH("시군구",'04A_국토부원자료'!$A$4:$T$4,0)),"")</f>
        <v/>
      </c>
      <c r="C2914" s="48">
        <f>IF(B2914="","",IFERROR(INDEX('04A_국토부원자료'!$A:$T,ROW()+1,MATCH("번지",'04A_국토부원자료'!$A$4:$T$4,0)),""))</f>
        <v/>
      </c>
      <c r="D2914" s="48">
        <f>IF(B2914="","",IF(Q2914=1,'02_대상물건입력'!$B$8,IFERROR(INDEX('04A_국토부원자료'!$A:$T,ROW()+1,MATCH("단지명",'04A_국토부원자료'!$A$4:$T$4,0)),"")))</f>
        <v/>
      </c>
      <c r="E2914" s="172">
        <f>IFERROR(VALUE(SUBSTITUTE(INDEX('04A_국토부원자료'!$A:$T,ROW()+1,MATCH("전용면적(㎡)",'04A_국토부원자료'!$A$4:$T$4,0)),",","")),"")</f>
        <v/>
      </c>
      <c r="F291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14" s="51">
        <f>IFERROR(VALUE(SUBSTITUTE(INDEX('04A_국토부원자료'!$A:$T,ROW()+1,MATCH("거래금액(만원)",'04A_국토부원자료'!$A$4:$T$4,0)),",","")),"")</f>
        <v/>
      </c>
      <c r="H2914" s="174">
        <f>IF(G2914="","",G2914*10000)</f>
        <v/>
      </c>
      <c r="I2914" s="174">
        <f>IFERROR(IF(AND(H2914&gt;0,E2914&gt;0),H2914/E2914,""),"")</f>
        <v/>
      </c>
      <c r="J2914" s="152">
        <f>IFERROR(VALUE(SUBSTITUTE(INDEX('04A_국토부원자료'!$A:$T,ROW()+1,MATCH("층",'04A_국토부원자료'!$A$4:$T$4,0)),",","")),"")</f>
        <v/>
      </c>
      <c r="K2914" s="152">
        <f>IFERROR(VALUE(SUBSTITUTE(INDEX('04A_국토부원자료'!$A:$T,ROW()+1,MATCH("건축년도",'04A_국토부원자료'!$A$4:$T$4,0)),",","")),"")</f>
        <v/>
      </c>
      <c r="L2914" s="48">
        <f>IFERROR(INDEX('04A_국토부원자료'!$A:$T,ROW()+1,MATCH("도로명",'04A_국토부원자료'!$A$4:$T$4,0)),"")</f>
        <v/>
      </c>
      <c r="M2914" s="48">
        <f>IFERROR(INDEX('04A_국토부원자료'!$A:$T,ROW()+1,MATCH("거래유형",'04A_국토부원자료'!$A$4:$T$4,0)),"")</f>
        <v/>
      </c>
      <c r="N2914" s="152">
        <f>IF(B2914="","",IF('02_대상물건입력'!B5="",1,IF(ISNUMBER(SEARCH('02_대상물건입력'!B5,B2914)),1,0)))</f>
        <v/>
      </c>
      <c r="O2914" s="152">
        <f>IF(B2914="","",IF('02_대상물건입력'!B6="",1,IF(ISNUMBER(SEARCH('02_대상물건입력'!B6,B2914)),1,0)))</f>
        <v/>
      </c>
      <c r="P2914" s="152">
        <f>IF(L2914="","",IF('02_대상물건입력'!B15="",0,IF(ISNUMBER(SEARCH('02_대상물건입력'!B15,L2914)),1,0)))</f>
        <v/>
      </c>
      <c r="Q2914" s="152">
        <f>IF(OR(C2914="",L2914=""),0,IF(AND(TRIM(C2914)=TRIM(RIGHT(SUBSTITUTE(TRIM('02_대상물건입력'!$B$7)," ",REPT(" ",99)),99)),IF('02_대상물건입력'!B15="",TRUE(),ISNUMBER(SEARCH('02_대상물건입력'!B15,L2914)))),1,0))</f>
        <v/>
      </c>
      <c r="R2914" s="175">
        <f>IFERROR(ABS(E2914-'02_대상물건입력'!B11)/'02_대상물건입력'!B11,"")</f>
        <v/>
      </c>
      <c r="S2914" s="152">
        <f>IFERROR(ABS(J2914-'02_대상물건입력'!B10),"")</f>
        <v/>
      </c>
      <c r="T2914" s="152">
        <f>IFERROR(ABS('01_설정'!B4-F2914),"")</f>
        <v/>
      </c>
      <c r="U2914" s="152">
        <f>IFERROR(ABS(K2914-YEAR('02_대상물건입력'!B14)),"")</f>
        <v/>
      </c>
      <c r="V2914" s="152">
        <f>IF(B2914="","",IF(AND(E2914&gt;0,F2914&gt;0,H2914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2914=1,TRUE()),R2914&lt;='01_설정'!B5,S2914&lt;='01_설정'!B6,T2914&lt;='01_설정'!B7,U2914&lt;='01_설정'!B8),"Y",""))</f>
        <v/>
      </c>
      <c r="W2914" s="172">
        <f>IF(V2914&lt;&gt;"Y","",MAX(0,(1-R2914/'01_설정'!B5))*'01_설정'!B14+MAX(0,(1-S2914/'01_설정'!B6))*'01_설정'!B15+MAX(0,(1-T2914/'01_설정'!B7))*'01_설정'!B16+MAX(0,(1-U2914/'01_설정'!B8))*'01_설정'!B17+O2914*'01_설정'!B11+Q2914*'01_설정'!B12+P2914*'01_설정'!B13+IF(Z2914="",0,Z2914))</f>
        <v/>
      </c>
      <c r="X2914" s="152">
        <f>IF(W2914="","",1+COUNTIFS($W$4:$W$3003,"&gt;"&amp;W2914)+COUNTIFS($W$4:W2914,W2914)-1)</f>
        <v/>
      </c>
      <c r="Y2914" s="175">
        <f>IF(OR(I2914="",'02_대상물건입력'!B19="",'02_대상물건입력'!B19&lt;=0),"",ABS(I2914-'02_대상물건입력'!B19)/'02_대상물건입력'!B19)</f>
        <v/>
      </c>
      <c r="Z2914" s="172">
        <f>IF(OR(Y2914="",'01_설정'!B31="",'01_설정'!B31&lt;=0,'01_설정'!B32="",'01_설정'!B32&lt;=0),"",MAX(0,(1-Y2914/'01_설정'!B32))*'01_설정'!B31)</f>
        <v/>
      </c>
    </row>
    <row r="2915" ht="17.25" customHeight="1">
      <c r="A2915" s="152">
        <f>IF(INDEX('04A_국토부원자료'!$A:$A,ROW()+1)="","",ROW()-3)</f>
        <v/>
      </c>
      <c r="B2915" s="48">
        <f>IFERROR(INDEX('04A_국토부원자료'!$A:$T,ROW()+1,MATCH("시군구",'04A_국토부원자료'!$A$4:$T$4,0)),"")</f>
        <v/>
      </c>
      <c r="C2915" s="48">
        <f>IF(B2915="","",IFERROR(INDEX('04A_국토부원자료'!$A:$T,ROW()+1,MATCH("번지",'04A_국토부원자료'!$A$4:$T$4,0)),""))</f>
        <v/>
      </c>
      <c r="D2915" s="48">
        <f>IF(B2915="","",IF(Q2915=1,'02_대상물건입력'!$B$8,IFERROR(INDEX('04A_국토부원자료'!$A:$T,ROW()+1,MATCH("단지명",'04A_국토부원자료'!$A$4:$T$4,0)),"")))</f>
        <v/>
      </c>
      <c r="E2915" s="172">
        <f>IFERROR(VALUE(SUBSTITUTE(INDEX('04A_국토부원자료'!$A:$T,ROW()+1,MATCH("전용면적(㎡)",'04A_국토부원자료'!$A$4:$T$4,0)),",","")),"")</f>
        <v/>
      </c>
      <c r="F291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15" s="51">
        <f>IFERROR(VALUE(SUBSTITUTE(INDEX('04A_국토부원자료'!$A:$T,ROW()+1,MATCH("거래금액(만원)",'04A_국토부원자료'!$A$4:$T$4,0)),",","")),"")</f>
        <v/>
      </c>
      <c r="H2915" s="174">
        <f>IF(G2915="","",G2915*10000)</f>
        <v/>
      </c>
      <c r="I2915" s="174">
        <f>IFERROR(IF(AND(H2915&gt;0,E2915&gt;0),H2915/E2915,""),"")</f>
        <v/>
      </c>
      <c r="J2915" s="152">
        <f>IFERROR(VALUE(SUBSTITUTE(INDEX('04A_국토부원자료'!$A:$T,ROW()+1,MATCH("층",'04A_국토부원자료'!$A$4:$T$4,0)),",","")),"")</f>
        <v/>
      </c>
      <c r="K2915" s="152">
        <f>IFERROR(VALUE(SUBSTITUTE(INDEX('04A_국토부원자료'!$A:$T,ROW()+1,MATCH("건축년도",'04A_국토부원자료'!$A$4:$T$4,0)),",","")),"")</f>
        <v/>
      </c>
      <c r="L2915" s="48">
        <f>IFERROR(INDEX('04A_국토부원자료'!$A:$T,ROW()+1,MATCH("도로명",'04A_국토부원자료'!$A$4:$T$4,0)),"")</f>
        <v/>
      </c>
      <c r="M2915" s="48">
        <f>IFERROR(INDEX('04A_국토부원자료'!$A:$T,ROW()+1,MATCH("거래유형",'04A_국토부원자료'!$A$4:$T$4,0)),"")</f>
        <v/>
      </c>
      <c r="N2915" s="152">
        <f>IF(B2915="","",IF('02_대상물건입력'!B5="",1,IF(ISNUMBER(SEARCH('02_대상물건입력'!B5,B2915)),1,0)))</f>
        <v/>
      </c>
      <c r="O2915" s="152">
        <f>IF(B2915="","",IF('02_대상물건입력'!B6="",1,IF(ISNUMBER(SEARCH('02_대상물건입력'!B6,B2915)),1,0)))</f>
        <v/>
      </c>
      <c r="P2915" s="152">
        <f>IF(L2915="","",IF('02_대상물건입력'!B15="",0,IF(ISNUMBER(SEARCH('02_대상물건입력'!B15,L2915)),1,0)))</f>
        <v/>
      </c>
      <c r="Q2915" s="152">
        <f>IF(OR(C2915="",L2915=""),0,IF(AND(TRIM(C2915)=TRIM(RIGHT(SUBSTITUTE(TRIM('02_대상물건입력'!$B$7)," ",REPT(" ",99)),99)),IF('02_대상물건입력'!B15="",TRUE(),ISNUMBER(SEARCH('02_대상물건입력'!B15,L2915)))),1,0))</f>
        <v/>
      </c>
      <c r="R2915" s="175">
        <f>IFERROR(ABS(E2915-'02_대상물건입력'!B11)/'02_대상물건입력'!B11,"")</f>
        <v/>
      </c>
      <c r="S2915" s="152">
        <f>IFERROR(ABS(J2915-'02_대상물건입력'!B10),"")</f>
        <v/>
      </c>
      <c r="T2915" s="152">
        <f>IFERROR(ABS('01_설정'!B4-F2915),"")</f>
        <v/>
      </c>
      <c r="U2915" s="152">
        <f>IFERROR(ABS(K2915-YEAR('02_대상물건입력'!B14)),"")</f>
        <v/>
      </c>
      <c r="V2915" s="152">
        <f>IF(B2915="","",IF(AND(E2915&gt;0,F2915&gt;0,H2915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2915=1,TRUE()),R2915&lt;='01_설정'!B5,S2915&lt;='01_설정'!B6,T2915&lt;='01_설정'!B7,U2915&lt;='01_설정'!B8),"Y",""))</f>
        <v/>
      </c>
      <c r="W2915" s="172">
        <f>IF(V2915&lt;&gt;"Y","",MAX(0,(1-R2915/'01_설정'!B5))*'01_설정'!B14+MAX(0,(1-S2915/'01_설정'!B6))*'01_설정'!B15+MAX(0,(1-T2915/'01_설정'!B7))*'01_설정'!B16+MAX(0,(1-U2915/'01_설정'!B8))*'01_설정'!B17+O2915*'01_설정'!B11+Q2915*'01_설정'!B12+P2915*'01_설정'!B13+IF(Z2915="",0,Z2915))</f>
        <v/>
      </c>
      <c r="X2915" s="152">
        <f>IF(W2915="","",1+COUNTIFS($W$4:$W$3003,"&gt;"&amp;W2915)+COUNTIFS($W$4:W2915,W2915)-1)</f>
        <v/>
      </c>
      <c r="Y2915" s="175">
        <f>IF(OR(I2915="",'02_대상물건입력'!B19="",'02_대상물건입력'!B19&lt;=0),"",ABS(I2915-'02_대상물건입력'!B19)/'02_대상물건입력'!B19)</f>
        <v/>
      </c>
      <c r="Z2915" s="172">
        <f>IF(OR(Y2915="",'01_설정'!B31="",'01_설정'!B31&lt;=0,'01_설정'!B32="",'01_설정'!B32&lt;=0),"",MAX(0,(1-Y2915/'01_설정'!B32))*'01_설정'!B31)</f>
        <v/>
      </c>
    </row>
    <row r="2916" ht="17.25" customHeight="1">
      <c r="A2916" s="152">
        <f>IF(INDEX('04A_국토부원자료'!$A:$A,ROW()+1)="","",ROW()-3)</f>
        <v/>
      </c>
      <c r="B2916" s="48">
        <f>IFERROR(INDEX('04A_국토부원자료'!$A:$T,ROW()+1,MATCH("시군구",'04A_국토부원자료'!$A$4:$T$4,0)),"")</f>
        <v/>
      </c>
      <c r="C2916" s="48">
        <f>IF(B2916="","",IFERROR(INDEX('04A_국토부원자료'!$A:$T,ROW()+1,MATCH("번지",'04A_국토부원자료'!$A$4:$T$4,0)),""))</f>
        <v/>
      </c>
      <c r="D2916" s="48">
        <f>IF(B2916="","",IF(Q2916=1,'02_대상물건입력'!$B$8,IFERROR(INDEX('04A_국토부원자료'!$A:$T,ROW()+1,MATCH("단지명",'04A_국토부원자료'!$A$4:$T$4,0)),"")))</f>
        <v/>
      </c>
      <c r="E2916" s="172">
        <f>IFERROR(VALUE(SUBSTITUTE(INDEX('04A_국토부원자료'!$A:$T,ROW()+1,MATCH("전용면적(㎡)",'04A_국토부원자료'!$A$4:$T$4,0)),",","")),"")</f>
        <v/>
      </c>
      <c r="F291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16" s="51">
        <f>IFERROR(VALUE(SUBSTITUTE(INDEX('04A_국토부원자료'!$A:$T,ROW()+1,MATCH("거래금액(만원)",'04A_국토부원자료'!$A$4:$T$4,0)),",","")),"")</f>
        <v/>
      </c>
      <c r="H2916" s="174">
        <f>IF(G2916="","",G2916*10000)</f>
        <v/>
      </c>
      <c r="I2916" s="174">
        <f>IFERROR(IF(AND(H2916&gt;0,E2916&gt;0),H2916/E2916,""),"")</f>
        <v/>
      </c>
      <c r="J2916" s="152">
        <f>IFERROR(VALUE(SUBSTITUTE(INDEX('04A_국토부원자료'!$A:$T,ROW()+1,MATCH("층",'04A_국토부원자료'!$A$4:$T$4,0)),",","")),"")</f>
        <v/>
      </c>
      <c r="K2916" s="152">
        <f>IFERROR(VALUE(SUBSTITUTE(INDEX('04A_국토부원자료'!$A:$T,ROW()+1,MATCH("건축년도",'04A_국토부원자료'!$A$4:$T$4,0)),",","")),"")</f>
        <v/>
      </c>
      <c r="L2916" s="48">
        <f>IFERROR(INDEX('04A_국토부원자료'!$A:$T,ROW()+1,MATCH("도로명",'04A_국토부원자료'!$A$4:$T$4,0)),"")</f>
        <v/>
      </c>
      <c r="M2916" s="48">
        <f>IFERROR(INDEX('04A_국토부원자료'!$A:$T,ROW()+1,MATCH("거래유형",'04A_국토부원자료'!$A$4:$T$4,0)),"")</f>
        <v/>
      </c>
      <c r="N2916" s="152">
        <f>IF(B2916="","",IF('02_대상물건입력'!B5="",1,IF(ISNUMBER(SEARCH('02_대상물건입력'!B5,B2916)),1,0)))</f>
        <v/>
      </c>
      <c r="O2916" s="152">
        <f>IF(B2916="","",IF('02_대상물건입력'!B6="",1,IF(ISNUMBER(SEARCH('02_대상물건입력'!B6,B2916)),1,0)))</f>
        <v/>
      </c>
      <c r="P2916" s="152">
        <f>IF(L2916="","",IF('02_대상물건입력'!B15="",0,IF(ISNUMBER(SEARCH('02_대상물건입력'!B15,L2916)),1,0)))</f>
        <v/>
      </c>
      <c r="Q2916" s="152">
        <f>IF(OR(C2916="",L2916=""),0,IF(AND(TRIM(C2916)=TRIM(RIGHT(SUBSTITUTE(TRIM('02_대상물건입력'!$B$7)," ",REPT(" ",99)),99)),IF('02_대상물건입력'!B15="",TRUE(),ISNUMBER(SEARCH('02_대상물건입력'!B15,L2916)))),1,0))</f>
        <v/>
      </c>
      <c r="R2916" s="175">
        <f>IFERROR(ABS(E2916-'02_대상물건입력'!B11)/'02_대상물건입력'!B11,"")</f>
        <v/>
      </c>
      <c r="S2916" s="152">
        <f>IFERROR(ABS(J2916-'02_대상물건입력'!B10),"")</f>
        <v/>
      </c>
      <c r="T2916" s="152">
        <f>IFERROR(ABS('01_설정'!B4-F2916),"")</f>
        <v/>
      </c>
      <c r="U2916" s="152">
        <f>IFERROR(ABS(K2916-YEAR('02_대상물건입력'!B14)),"")</f>
        <v/>
      </c>
      <c r="V2916" s="152">
        <f>IF(B2916="","",IF(AND(E2916&gt;0,F2916&gt;0,H2916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2916=1,TRUE()),R2916&lt;='01_설정'!B5,S2916&lt;='01_설정'!B6,T2916&lt;='01_설정'!B7,U2916&lt;='01_설정'!B8),"Y",""))</f>
        <v/>
      </c>
      <c r="W2916" s="172">
        <f>IF(V2916&lt;&gt;"Y","",MAX(0,(1-R2916/'01_설정'!B5))*'01_설정'!B14+MAX(0,(1-S2916/'01_설정'!B6))*'01_설정'!B15+MAX(0,(1-T2916/'01_설정'!B7))*'01_설정'!B16+MAX(0,(1-U2916/'01_설정'!B8))*'01_설정'!B17+O2916*'01_설정'!B11+Q2916*'01_설정'!B12+P2916*'01_설정'!B13+IF(Z2916="",0,Z2916))</f>
        <v/>
      </c>
      <c r="X2916" s="152">
        <f>IF(W2916="","",1+COUNTIFS($W$4:$W$3003,"&gt;"&amp;W2916)+COUNTIFS($W$4:W2916,W2916)-1)</f>
        <v/>
      </c>
      <c r="Y2916" s="175">
        <f>IF(OR(I2916="",'02_대상물건입력'!B19="",'02_대상물건입력'!B19&lt;=0),"",ABS(I2916-'02_대상물건입력'!B19)/'02_대상물건입력'!B19)</f>
        <v/>
      </c>
      <c r="Z2916" s="172">
        <f>IF(OR(Y2916="",'01_설정'!B31="",'01_설정'!B31&lt;=0,'01_설정'!B32="",'01_설정'!B32&lt;=0),"",MAX(0,(1-Y2916/'01_설정'!B32))*'01_설정'!B31)</f>
        <v/>
      </c>
    </row>
    <row r="2917" ht="17.25" customHeight="1">
      <c r="A2917" s="152">
        <f>IF(INDEX('04A_국토부원자료'!$A:$A,ROW()+1)="","",ROW()-3)</f>
        <v/>
      </c>
      <c r="B2917" s="48">
        <f>IFERROR(INDEX('04A_국토부원자료'!$A:$T,ROW()+1,MATCH("시군구",'04A_국토부원자료'!$A$4:$T$4,0)),"")</f>
        <v/>
      </c>
      <c r="C2917" s="48">
        <f>IF(B2917="","",IFERROR(INDEX('04A_국토부원자료'!$A:$T,ROW()+1,MATCH("번지",'04A_국토부원자료'!$A$4:$T$4,0)),""))</f>
        <v/>
      </c>
      <c r="D2917" s="48">
        <f>IF(B2917="","",IF(Q2917=1,'02_대상물건입력'!$B$8,IFERROR(INDEX('04A_국토부원자료'!$A:$T,ROW()+1,MATCH("단지명",'04A_국토부원자료'!$A$4:$T$4,0)),"")))</f>
        <v/>
      </c>
      <c r="E2917" s="172">
        <f>IFERROR(VALUE(SUBSTITUTE(INDEX('04A_국토부원자료'!$A:$T,ROW()+1,MATCH("전용면적(㎡)",'04A_국토부원자료'!$A$4:$T$4,0)),",","")),"")</f>
        <v/>
      </c>
      <c r="F291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17" s="51">
        <f>IFERROR(VALUE(SUBSTITUTE(INDEX('04A_국토부원자료'!$A:$T,ROW()+1,MATCH("거래금액(만원)",'04A_국토부원자료'!$A$4:$T$4,0)),",","")),"")</f>
        <v/>
      </c>
      <c r="H2917" s="174">
        <f>IF(G2917="","",G2917*10000)</f>
        <v/>
      </c>
      <c r="I2917" s="174">
        <f>IFERROR(IF(AND(H2917&gt;0,E2917&gt;0),H2917/E2917,""),"")</f>
        <v/>
      </c>
      <c r="J2917" s="152">
        <f>IFERROR(VALUE(SUBSTITUTE(INDEX('04A_국토부원자료'!$A:$T,ROW()+1,MATCH("층",'04A_국토부원자료'!$A$4:$T$4,0)),",","")),"")</f>
        <v/>
      </c>
      <c r="K2917" s="152">
        <f>IFERROR(VALUE(SUBSTITUTE(INDEX('04A_국토부원자료'!$A:$T,ROW()+1,MATCH("건축년도",'04A_국토부원자료'!$A$4:$T$4,0)),",","")),"")</f>
        <v/>
      </c>
      <c r="L2917" s="48">
        <f>IFERROR(INDEX('04A_국토부원자료'!$A:$T,ROW()+1,MATCH("도로명",'04A_국토부원자료'!$A$4:$T$4,0)),"")</f>
        <v/>
      </c>
      <c r="M2917" s="48">
        <f>IFERROR(INDEX('04A_국토부원자료'!$A:$T,ROW()+1,MATCH("거래유형",'04A_국토부원자료'!$A$4:$T$4,0)),"")</f>
        <v/>
      </c>
      <c r="N2917" s="152">
        <f>IF(B2917="","",IF('02_대상물건입력'!B5="",1,IF(ISNUMBER(SEARCH('02_대상물건입력'!B5,B2917)),1,0)))</f>
        <v/>
      </c>
      <c r="O2917" s="152">
        <f>IF(B2917="","",IF('02_대상물건입력'!B6="",1,IF(ISNUMBER(SEARCH('02_대상물건입력'!B6,B2917)),1,0)))</f>
        <v/>
      </c>
      <c r="P2917" s="152">
        <f>IF(L2917="","",IF('02_대상물건입력'!B15="",0,IF(ISNUMBER(SEARCH('02_대상물건입력'!B15,L2917)),1,0)))</f>
        <v/>
      </c>
      <c r="Q2917" s="152">
        <f>IF(OR(C2917="",L2917=""),0,IF(AND(TRIM(C2917)=TRIM(RIGHT(SUBSTITUTE(TRIM('02_대상물건입력'!$B$7)," ",REPT(" ",99)),99)),IF('02_대상물건입력'!B15="",TRUE(),ISNUMBER(SEARCH('02_대상물건입력'!B15,L2917)))),1,0))</f>
        <v/>
      </c>
      <c r="R2917" s="175">
        <f>IFERROR(ABS(E2917-'02_대상물건입력'!B11)/'02_대상물건입력'!B11,"")</f>
        <v/>
      </c>
      <c r="S2917" s="152">
        <f>IFERROR(ABS(J2917-'02_대상물건입력'!B10),"")</f>
        <v/>
      </c>
      <c r="T2917" s="152">
        <f>IFERROR(ABS('01_설정'!B4-F2917),"")</f>
        <v/>
      </c>
      <c r="U2917" s="152">
        <f>IFERROR(ABS(K2917-YEAR('02_대상물건입력'!B14)),"")</f>
        <v/>
      </c>
      <c r="V2917" s="152">
        <f>IF(B2917="","",IF(AND(E2917&gt;0,F2917&gt;0,H2917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2917=1,TRUE()),R2917&lt;='01_설정'!B5,S2917&lt;='01_설정'!B6,T2917&lt;='01_설정'!B7,U2917&lt;='01_설정'!B8),"Y",""))</f>
        <v/>
      </c>
      <c r="W2917" s="172">
        <f>IF(V2917&lt;&gt;"Y","",MAX(0,(1-R2917/'01_설정'!B5))*'01_설정'!B14+MAX(0,(1-S2917/'01_설정'!B6))*'01_설정'!B15+MAX(0,(1-T2917/'01_설정'!B7))*'01_설정'!B16+MAX(0,(1-U2917/'01_설정'!B8))*'01_설정'!B17+O2917*'01_설정'!B11+Q2917*'01_설정'!B12+P2917*'01_설정'!B13+IF(Z2917="",0,Z2917))</f>
        <v/>
      </c>
      <c r="X2917" s="152">
        <f>IF(W2917="","",1+COUNTIFS($W$4:$W$3003,"&gt;"&amp;W2917)+COUNTIFS($W$4:W2917,W2917)-1)</f>
        <v/>
      </c>
      <c r="Y2917" s="175">
        <f>IF(OR(I2917="",'02_대상물건입력'!B19="",'02_대상물건입력'!B19&lt;=0),"",ABS(I2917-'02_대상물건입력'!B19)/'02_대상물건입력'!B19)</f>
        <v/>
      </c>
      <c r="Z2917" s="172">
        <f>IF(OR(Y2917="",'01_설정'!B31="",'01_설정'!B31&lt;=0,'01_설정'!B32="",'01_설정'!B32&lt;=0),"",MAX(0,(1-Y2917/'01_설정'!B32))*'01_설정'!B31)</f>
        <v/>
      </c>
    </row>
    <row r="2918" ht="17.25" customHeight="1">
      <c r="A2918" s="152">
        <f>IF(INDEX('04A_국토부원자료'!$A:$A,ROW()+1)="","",ROW()-3)</f>
        <v/>
      </c>
      <c r="B2918" s="48">
        <f>IFERROR(INDEX('04A_국토부원자료'!$A:$T,ROW()+1,MATCH("시군구",'04A_국토부원자료'!$A$4:$T$4,0)),"")</f>
        <v/>
      </c>
      <c r="C2918" s="48">
        <f>IF(B2918="","",IFERROR(INDEX('04A_국토부원자료'!$A:$T,ROW()+1,MATCH("번지",'04A_국토부원자료'!$A$4:$T$4,0)),""))</f>
        <v/>
      </c>
      <c r="D2918" s="48">
        <f>IF(B2918="","",IF(Q2918=1,'02_대상물건입력'!$B$8,IFERROR(INDEX('04A_국토부원자료'!$A:$T,ROW()+1,MATCH("단지명",'04A_국토부원자료'!$A$4:$T$4,0)),"")))</f>
        <v/>
      </c>
      <c r="E2918" s="172">
        <f>IFERROR(VALUE(SUBSTITUTE(INDEX('04A_국토부원자료'!$A:$T,ROW()+1,MATCH("전용면적(㎡)",'04A_국토부원자료'!$A$4:$T$4,0)),",","")),"")</f>
        <v/>
      </c>
      <c r="F291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18" s="51">
        <f>IFERROR(VALUE(SUBSTITUTE(INDEX('04A_국토부원자료'!$A:$T,ROW()+1,MATCH("거래금액(만원)",'04A_국토부원자료'!$A$4:$T$4,0)),",","")),"")</f>
        <v/>
      </c>
      <c r="H2918" s="174">
        <f>IF(G2918="","",G2918*10000)</f>
        <v/>
      </c>
      <c r="I2918" s="174">
        <f>IFERROR(IF(AND(H2918&gt;0,E2918&gt;0),H2918/E2918,""),"")</f>
        <v/>
      </c>
      <c r="J2918" s="152">
        <f>IFERROR(VALUE(SUBSTITUTE(INDEX('04A_국토부원자료'!$A:$T,ROW()+1,MATCH("층",'04A_국토부원자료'!$A$4:$T$4,0)),",","")),"")</f>
        <v/>
      </c>
      <c r="K2918" s="152">
        <f>IFERROR(VALUE(SUBSTITUTE(INDEX('04A_국토부원자료'!$A:$T,ROW()+1,MATCH("건축년도",'04A_국토부원자료'!$A$4:$T$4,0)),",","")),"")</f>
        <v/>
      </c>
      <c r="L2918" s="48">
        <f>IFERROR(INDEX('04A_국토부원자료'!$A:$T,ROW()+1,MATCH("도로명",'04A_국토부원자료'!$A$4:$T$4,0)),"")</f>
        <v/>
      </c>
      <c r="M2918" s="48">
        <f>IFERROR(INDEX('04A_국토부원자료'!$A:$T,ROW()+1,MATCH("거래유형",'04A_국토부원자료'!$A$4:$T$4,0)),"")</f>
        <v/>
      </c>
      <c r="N2918" s="152">
        <f>IF(B2918="","",IF('02_대상물건입력'!B5="",1,IF(ISNUMBER(SEARCH('02_대상물건입력'!B5,B2918)),1,0)))</f>
        <v/>
      </c>
      <c r="O2918" s="152">
        <f>IF(B2918="","",IF('02_대상물건입력'!B6="",1,IF(ISNUMBER(SEARCH('02_대상물건입력'!B6,B2918)),1,0)))</f>
        <v/>
      </c>
      <c r="P2918" s="152">
        <f>IF(L2918="","",IF('02_대상물건입력'!B15="",0,IF(ISNUMBER(SEARCH('02_대상물건입력'!B15,L2918)),1,0)))</f>
        <v/>
      </c>
      <c r="Q2918" s="152">
        <f>IF(OR(C2918="",L2918=""),0,IF(AND(TRIM(C2918)=TRIM(RIGHT(SUBSTITUTE(TRIM('02_대상물건입력'!$B$7)," ",REPT(" ",99)),99)),IF('02_대상물건입력'!B15="",TRUE(),ISNUMBER(SEARCH('02_대상물건입력'!B15,L2918)))),1,0))</f>
        <v/>
      </c>
      <c r="R2918" s="175">
        <f>IFERROR(ABS(E2918-'02_대상물건입력'!B11)/'02_대상물건입력'!B11,"")</f>
        <v/>
      </c>
      <c r="S2918" s="152">
        <f>IFERROR(ABS(J2918-'02_대상물건입력'!B10),"")</f>
        <v/>
      </c>
      <c r="T2918" s="152">
        <f>IFERROR(ABS('01_설정'!B4-F2918),"")</f>
        <v/>
      </c>
      <c r="U2918" s="152">
        <f>IFERROR(ABS(K2918-YEAR('02_대상물건입력'!B14)),"")</f>
        <v/>
      </c>
      <c r="V2918" s="152">
        <f>IF(B2918="","",IF(AND(E2918&gt;0,F2918&gt;0,H2918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2918=1,TRUE()),R2918&lt;='01_설정'!B5,S2918&lt;='01_설정'!B6,T2918&lt;='01_설정'!B7,U2918&lt;='01_설정'!B8),"Y",""))</f>
        <v/>
      </c>
      <c r="W2918" s="172">
        <f>IF(V2918&lt;&gt;"Y","",MAX(0,(1-R2918/'01_설정'!B5))*'01_설정'!B14+MAX(0,(1-S2918/'01_설정'!B6))*'01_설정'!B15+MAX(0,(1-T2918/'01_설정'!B7))*'01_설정'!B16+MAX(0,(1-U2918/'01_설정'!B8))*'01_설정'!B17+O2918*'01_설정'!B11+Q2918*'01_설정'!B12+P2918*'01_설정'!B13+IF(Z2918="",0,Z2918))</f>
        <v/>
      </c>
      <c r="X2918" s="152">
        <f>IF(W2918="","",1+COUNTIFS($W$4:$W$3003,"&gt;"&amp;W2918)+COUNTIFS($W$4:W2918,W2918)-1)</f>
        <v/>
      </c>
      <c r="Y2918" s="175">
        <f>IF(OR(I2918="",'02_대상물건입력'!B19="",'02_대상물건입력'!B19&lt;=0),"",ABS(I2918-'02_대상물건입력'!B19)/'02_대상물건입력'!B19)</f>
        <v/>
      </c>
      <c r="Z2918" s="172">
        <f>IF(OR(Y2918="",'01_설정'!B31="",'01_설정'!B31&lt;=0,'01_설정'!B32="",'01_설정'!B32&lt;=0),"",MAX(0,(1-Y2918/'01_설정'!B32))*'01_설정'!B31)</f>
        <v/>
      </c>
    </row>
    <row r="2919" ht="17.25" customHeight="1">
      <c r="A2919" s="152">
        <f>IF(INDEX('04A_국토부원자료'!$A:$A,ROW()+1)="","",ROW()-3)</f>
        <v/>
      </c>
      <c r="B2919" s="48">
        <f>IFERROR(INDEX('04A_국토부원자료'!$A:$T,ROW()+1,MATCH("시군구",'04A_국토부원자료'!$A$4:$T$4,0)),"")</f>
        <v/>
      </c>
      <c r="C2919" s="48">
        <f>IF(B2919="","",IFERROR(INDEX('04A_국토부원자료'!$A:$T,ROW()+1,MATCH("번지",'04A_국토부원자료'!$A$4:$T$4,0)),""))</f>
        <v/>
      </c>
      <c r="D2919" s="48">
        <f>IF(B2919="","",IF(Q2919=1,'02_대상물건입력'!$B$8,IFERROR(INDEX('04A_국토부원자료'!$A:$T,ROW()+1,MATCH("단지명",'04A_국토부원자료'!$A$4:$T$4,0)),"")))</f>
        <v/>
      </c>
      <c r="E2919" s="172">
        <f>IFERROR(VALUE(SUBSTITUTE(INDEX('04A_국토부원자료'!$A:$T,ROW()+1,MATCH("전용면적(㎡)",'04A_국토부원자료'!$A$4:$T$4,0)),",","")),"")</f>
        <v/>
      </c>
      <c r="F291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19" s="51">
        <f>IFERROR(VALUE(SUBSTITUTE(INDEX('04A_국토부원자료'!$A:$T,ROW()+1,MATCH("거래금액(만원)",'04A_국토부원자료'!$A$4:$T$4,0)),",","")),"")</f>
        <v/>
      </c>
      <c r="H2919" s="174">
        <f>IF(G2919="","",G2919*10000)</f>
        <v/>
      </c>
      <c r="I2919" s="174">
        <f>IFERROR(IF(AND(H2919&gt;0,E2919&gt;0),H2919/E2919,""),"")</f>
        <v/>
      </c>
      <c r="J2919" s="152">
        <f>IFERROR(VALUE(SUBSTITUTE(INDEX('04A_국토부원자료'!$A:$T,ROW()+1,MATCH("층",'04A_국토부원자료'!$A$4:$T$4,0)),",","")),"")</f>
        <v/>
      </c>
      <c r="K2919" s="152">
        <f>IFERROR(VALUE(SUBSTITUTE(INDEX('04A_국토부원자료'!$A:$T,ROW()+1,MATCH("건축년도",'04A_국토부원자료'!$A$4:$T$4,0)),",","")),"")</f>
        <v/>
      </c>
      <c r="L2919" s="48">
        <f>IFERROR(INDEX('04A_국토부원자료'!$A:$T,ROW()+1,MATCH("도로명",'04A_국토부원자료'!$A$4:$T$4,0)),"")</f>
        <v/>
      </c>
      <c r="M2919" s="48">
        <f>IFERROR(INDEX('04A_국토부원자료'!$A:$T,ROW()+1,MATCH("거래유형",'04A_국토부원자료'!$A$4:$T$4,0)),"")</f>
        <v/>
      </c>
      <c r="N2919" s="152">
        <f>IF(B2919="","",IF('02_대상물건입력'!B5="",1,IF(ISNUMBER(SEARCH('02_대상물건입력'!B5,B2919)),1,0)))</f>
        <v/>
      </c>
      <c r="O2919" s="152">
        <f>IF(B2919="","",IF('02_대상물건입력'!B6="",1,IF(ISNUMBER(SEARCH('02_대상물건입력'!B6,B2919)),1,0)))</f>
        <v/>
      </c>
      <c r="P2919" s="152">
        <f>IF(L2919="","",IF('02_대상물건입력'!B15="",0,IF(ISNUMBER(SEARCH('02_대상물건입력'!B15,L2919)),1,0)))</f>
        <v/>
      </c>
      <c r="Q2919" s="152">
        <f>IF(OR(C2919="",L2919=""),0,IF(AND(TRIM(C2919)=TRIM(RIGHT(SUBSTITUTE(TRIM('02_대상물건입력'!$B$7)," ",REPT(" ",99)),99)),IF('02_대상물건입력'!B15="",TRUE(),ISNUMBER(SEARCH('02_대상물건입력'!B15,L2919)))),1,0))</f>
        <v/>
      </c>
      <c r="R2919" s="175">
        <f>IFERROR(ABS(E2919-'02_대상물건입력'!B11)/'02_대상물건입력'!B11,"")</f>
        <v/>
      </c>
      <c r="S2919" s="152">
        <f>IFERROR(ABS(J2919-'02_대상물건입력'!B10),"")</f>
        <v/>
      </c>
      <c r="T2919" s="152">
        <f>IFERROR(ABS('01_설정'!B4-F2919),"")</f>
        <v/>
      </c>
      <c r="U2919" s="152">
        <f>IFERROR(ABS(K2919-YEAR('02_대상물건입력'!B14)),"")</f>
        <v/>
      </c>
      <c r="V2919" s="152">
        <f>IF(B2919="","",IF(AND(E2919&gt;0,F2919&gt;0,H2919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2919=1,TRUE()),R2919&lt;='01_설정'!B5,S2919&lt;='01_설정'!B6,T2919&lt;='01_설정'!B7,U2919&lt;='01_설정'!B8),"Y",""))</f>
        <v/>
      </c>
      <c r="W2919" s="172">
        <f>IF(V2919&lt;&gt;"Y","",MAX(0,(1-R2919/'01_설정'!B5))*'01_설정'!B14+MAX(0,(1-S2919/'01_설정'!B6))*'01_설정'!B15+MAX(0,(1-T2919/'01_설정'!B7))*'01_설정'!B16+MAX(0,(1-U2919/'01_설정'!B8))*'01_설정'!B17+O2919*'01_설정'!B11+Q2919*'01_설정'!B12+P2919*'01_설정'!B13+IF(Z2919="",0,Z2919))</f>
        <v/>
      </c>
      <c r="X2919" s="152">
        <f>IF(W2919="","",1+COUNTIFS($W$4:$W$3003,"&gt;"&amp;W2919)+COUNTIFS($W$4:W2919,W2919)-1)</f>
        <v/>
      </c>
      <c r="Y2919" s="175">
        <f>IF(OR(I2919="",'02_대상물건입력'!B19="",'02_대상물건입력'!B19&lt;=0),"",ABS(I2919-'02_대상물건입력'!B19)/'02_대상물건입력'!B19)</f>
        <v/>
      </c>
      <c r="Z2919" s="172">
        <f>IF(OR(Y2919="",'01_설정'!B31="",'01_설정'!B31&lt;=0,'01_설정'!B32="",'01_설정'!B32&lt;=0),"",MAX(0,(1-Y2919/'01_설정'!B32))*'01_설정'!B31)</f>
        <v/>
      </c>
    </row>
    <row r="2920" ht="17.25" customHeight="1">
      <c r="A2920" s="152">
        <f>IF(INDEX('04A_국토부원자료'!$A:$A,ROW()+1)="","",ROW()-3)</f>
        <v/>
      </c>
      <c r="B2920" s="48">
        <f>IFERROR(INDEX('04A_국토부원자료'!$A:$T,ROW()+1,MATCH("시군구",'04A_국토부원자료'!$A$4:$T$4,0)),"")</f>
        <v/>
      </c>
      <c r="C2920" s="48">
        <f>IF(B2920="","",IFERROR(INDEX('04A_국토부원자료'!$A:$T,ROW()+1,MATCH("번지",'04A_국토부원자료'!$A$4:$T$4,0)),""))</f>
        <v/>
      </c>
      <c r="D2920" s="48">
        <f>IF(B2920="","",IF(Q2920=1,'02_대상물건입력'!$B$8,IFERROR(INDEX('04A_국토부원자료'!$A:$T,ROW()+1,MATCH("단지명",'04A_국토부원자료'!$A$4:$T$4,0)),"")))</f>
        <v/>
      </c>
      <c r="E2920" s="172">
        <f>IFERROR(VALUE(SUBSTITUTE(INDEX('04A_국토부원자료'!$A:$T,ROW()+1,MATCH("전용면적(㎡)",'04A_국토부원자료'!$A$4:$T$4,0)),",","")),"")</f>
        <v/>
      </c>
      <c r="F292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20" s="51">
        <f>IFERROR(VALUE(SUBSTITUTE(INDEX('04A_국토부원자료'!$A:$T,ROW()+1,MATCH("거래금액(만원)",'04A_국토부원자료'!$A$4:$T$4,0)),",","")),"")</f>
        <v/>
      </c>
      <c r="H2920" s="174">
        <f>IF(G2920="","",G2920*10000)</f>
        <v/>
      </c>
      <c r="I2920" s="174">
        <f>IFERROR(IF(AND(H2920&gt;0,E2920&gt;0),H2920/E2920,""),"")</f>
        <v/>
      </c>
      <c r="J2920" s="152">
        <f>IFERROR(VALUE(SUBSTITUTE(INDEX('04A_국토부원자료'!$A:$T,ROW()+1,MATCH("층",'04A_국토부원자료'!$A$4:$T$4,0)),",","")),"")</f>
        <v/>
      </c>
      <c r="K2920" s="152">
        <f>IFERROR(VALUE(SUBSTITUTE(INDEX('04A_국토부원자료'!$A:$T,ROW()+1,MATCH("건축년도",'04A_국토부원자료'!$A$4:$T$4,0)),",","")),"")</f>
        <v/>
      </c>
      <c r="L2920" s="48">
        <f>IFERROR(INDEX('04A_국토부원자료'!$A:$T,ROW()+1,MATCH("도로명",'04A_국토부원자료'!$A$4:$T$4,0)),"")</f>
        <v/>
      </c>
      <c r="M2920" s="48">
        <f>IFERROR(INDEX('04A_국토부원자료'!$A:$T,ROW()+1,MATCH("거래유형",'04A_국토부원자료'!$A$4:$T$4,0)),"")</f>
        <v/>
      </c>
      <c r="N2920" s="152">
        <f>IF(B2920="","",IF('02_대상물건입력'!B5="",1,IF(ISNUMBER(SEARCH('02_대상물건입력'!B5,B2920)),1,0)))</f>
        <v/>
      </c>
      <c r="O2920" s="152">
        <f>IF(B2920="","",IF('02_대상물건입력'!B6="",1,IF(ISNUMBER(SEARCH('02_대상물건입력'!B6,B2920)),1,0)))</f>
        <v/>
      </c>
      <c r="P2920" s="152">
        <f>IF(L2920="","",IF('02_대상물건입력'!B15="",0,IF(ISNUMBER(SEARCH('02_대상물건입력'!B15,L2920)),1,0)))</f>
        <v/>
      </c>
      <c r="Q2920" s="152">
        <f>IF(OR(C2920="",L2920=""),0,IF(AND(TRIM(C2920)=TRIM(RIGHT(SUBSTITUTE(TRIM('02_대상물건입력'!$B$7)," ",REPT(" ",99)),99)),IF('02_대상물건입력'!B15="",TRUE(),ISNUMBER(SEARCH('02_대상물건입력'!B15,L2920)))),1,0))</f>
        <v/>
      </c>
      <c r="R2920" s="175">
        <f>IFERROR(ABS(E2920-'02_대상물건입력'!B11)/'02_대상물건입력'!B11,"")</f>
        <v/>
      </c>
      <c r="S2920" s="152">
        <f>IFERROR(ABS(J2920-'02_대상물건입력'!B10),"")</f>
        <v/>
      </c>
      <c r="T2920" s="152">
        <f>IFERROR(ABS('01_설정'!B4-F2920),"")</f>
        <v/>
      </c>
      <c r="U2920" s="152">
        <f>IFERROR(ABS(K2920-YEAR('02_대상물건입력'!B14)),"")</f>
        <v/>
      </c>
      <c r="V2920" s="152">
        <f>IF(B2920="","",IF(AND(E2920&gt;0,F2920&gt;0,H2920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2920=1,TRUE()),R2920&lt;='01_설정'!B5,S2920&lt;='01_설정'!B6,T2920&lt;='01_설정'!B7,U2920&lt;='01_설정'!B8),"Y",""))</f>
        <v/>
      </c>
      <c r="W2920" s="172">
        <f>IF(V2920&lt;&gt;"Y","",MAX(0,(1-R2920/'01_설정'!B5))*'01_설정'!B14+MAX(0,(1-S2920/'01_설정'!B6))*'01_설정'!B15+MAX(0,(1-T2920/'01_설정'!B7))*'01_설정'!B16+MAX(0,(1-U2920/'01_설정'!B8))*'01_설정'!B17+O2920*'01_설정'!B11+Q2920*'01_설정'!B12+P2920*'01_설정'!B13+IF(Z2920="",0,Z2920))</f>
        <v/>
      </c>
      <c r="X2920" s="152">
        <f>IF(W2920="","",1+COUNTIFS($W$4:$W$3003,"&gt;"&amp;W2920)+COUNTIFS($W$4:W2920,W2920)-1)</f>
        <v/>
      </c>
      <c r="Y2920" s="175">
        <f>IF(OR(I2920="",'02_대상물건입력'!B19="",'02_대상물건입력'!B19&lt;=0),"",ABS(I2920-'02_대상물건입력'!B19)/'02_대상물건입력'!B19)</f>
        <v/>
      </c>
      <c r="Z2920" s="172">
        <f>IF(OR(Y2920="",'01_설정'!B31="",'01_설정'!B31&lt;=0,'01_설정'!B32="",'01_설정'!B32&lt;=0),"",MAX(0,(1-Y2920/'01_설정'!B32))*'01_설정'!B31)</f>
        <v/>
      </c>
    </row>
    <row r="2921" ht="17.25" customHeight="1">
      <c r="A2921" s="152">
        <f>IF(INDEX('04A_국토부원자료'!$A:$A,ROW()+1)="","",ROW()-3)</f>
        <v/>
      </c>
      <c r="B2921" s="48">
        <f>IFERROR(INDEX('04A_국토부원자료'!$A:$T,ROW()+1,MATCH("시군구",'04A_국토부원자료'!$A$4:$T$4,0)),"")</f>
        <v/>
      </c>
      <c r="C2921" s="48">
        <f>IF(B2921="","",IFERROR(INDEX('04A_국토부원자료'!$A:$T,ROW()+1,MATCH("번지",'04A_국토부원자료'!$A$4:$T$4,0)),""))</f>
        <v/>
      </c>
      <c r="D2921" s="48">
        <f>IF(B2921="","",IF(Q2921=1,'02_대상물건입력'!$B$8,IFERROR(INDEX('04A_국토부원자료'!$A:$T,ROW()+1,MATCH("단지명",'04A_국토부원자료'!$A$4:$T$4,0)),"")))</f>
        <v/>
      </c>
      <c r="E2921" s="172">
        <f>IFERROR(VALUE(SUBSTITUTE(INDEX('04A_국토부원자료'!$A:$T,ROW()+1,MATCH("전용면적(㎡)",'04A_국토부원자료'!$A$4:$T$4,0)),",","")),"")</f>
        <v/>
      </c>
      <c r="F292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21" s="51">
        <f>IFERROR(VALUE(SUBSTITUTE(INDEX('04A_국토부원자료'!$A:$T,ROW()+1,MATCH("거래금액(만원)",'04A_국토부원자료'!$A$4:$T$4,0)),",","")),"")</f>
        <v/>
      </c>
      <c r="H2921" s="174">
        <f>IF(G2921="","",G2921*10000)</f>
        <v/>
      </c>
      <c r="I2921" s="174">
        <f>IFERROR(IF(AND(H2921&gt;0,E2921&gt;0),H2921/E2921,""),"")</f>
        <v/>
      </c>
      <c r="J2921" s="152">
        <f>IFERROR(VALUE(SUBSTITUTE(INDEX('04A_국토부원자료'!$A:$T,ROW()+1,MATCH("층",'04A_국토부원자료'!$A$4:$T$4,0)),",","")),"")</f>
        <v/>
      </c>
      <c r="K2921" s="152">
        <f>IFERROR(VALUE(SUBSTITUTE(INDEX('04A_국토부원자료'!$A:$T,ROW()+1,MATCH("건축년도",'04A_국토부원자료'!$A$4:$T$4,0)),",","")),"")</f>
        <v/>
      </c>
      <c r="L2921" s="48">
        <f>IFERROR(INDEX('04A_국토부원자료'!$A:$T,ROW()+1,MATCH("도로명",'04A_국토부원자료'!$A$4:$T$4,0)),"")</f>
        <v/>
      </c>
      <c r="M2921" s="48">
        <f>IFERROR(INDEX('04A_국토부원자료'!$A:$T,ROW()+1,MATCH("거래유형",'04A_국토부원자료'!$A$4:$T$4,0)),"")</f>
        <v/>
      </c>
      <c r="N2921" s="152">
        <f>IF(B2921="","",IF('02_대상물건입력'!B5="",1,IF(ISNUMBER(SEARCH('02_대상물건입력'!B5,B2921)),1,0)))</f>
        <v/>
      </c>
      <c r="O2921" s="152">
        <f>IF(B2921="","",IF('02_대상물건입력'!B6="",1,IF(ISNUMBER(SEARCH('02_대상물건입력'!B6,B2921)),1,0)))</f>
        <v/>
      </c>
      <c r="P2921" s="152">
        <f>IF(L2921="","",IF('02_대상물건입력'!B15="",0,IF(ISNUMBER(SEARCH('02_대상물건입력'!B15,L2921)),1,0)))</f>
        <v/>
      </c>
      <c r="Q2921" s="152">
        <f>IF(OR(C2921="",L2921=""),0,IF(AND(TRIM(C2921)=TRIM(RIGHT(SUBSTITUTE(TRIM('02_대상물건입력'!$B$7)," ",REPT(" ",99)),99)),IF('02_대상물건입력'!B15="",TRUE(),ISNUMBER(SEARCH('02_대상물건입력'!B15,L2921)))),1,0))</f>
        <v/>
      </c>
      <c r="R2921" s="175">
        <f>IFERROR(ABS(E2921-'02_대상물건입력'!B11)/'02_대상물건입력'!B11,"")</f>
        <v/>
      </c>
      <c r="S2921" s="152">
        <f>IFERROR(ABS(J2921-'02_대상물건입력'!B10),"")</f>
        <v/>
      </c>
      <c r="T2921" s="152">
        <f>IFERROR(ABS('01_설정'!B4-F2921),"")</f>
        <v/>
      </c>
      <c r="U2921" s="152">
        <f>IFERROR(ABS(K2921-YEAR('02_대상물건입력'!B14)),"")</f>
        <v/>
      </c>
      <c r="V2921" s="152">
        <f>IF(B2921="","",IF(AND(E2921&gt;0,F2921&gt;0,H2921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2921=1,TRUE()),R2921&lt;='01_설정'!B5,S2921&lt;='01_설정'!B6,T2921&lt;='01_설정'!B7,U2921&lt;='01_설정'!B8),"Y",""))</f>
        <v/>
      </c>
      <c r="W2921" s="172">
        <f>IF(V2921&lt;&gt;"Y","",MAX(0,(1-R2921/'01_설정'!B5))*'01_설정'!B14+MAX(0,(1-S2921/'01_설정'!B6))*'01_설정'!B15+MAX(0,(1-T2921/'01_설정'!B7))*'01_설정'!B16+MAX(0,(1-U2921/'01_설정'!B8))*'01_설정'!B17+O2921*'01_설정'!B11+Q2921*'01_설정'!B12+P2921*'01_설정'!B13+IF(Z2921="",0,Z2921))</f>
        <v/>
      </c>
      <c r="X2921" s="152">
        <f>IF(W2921="","",1+COUNTIFS($W$4:$W$3003,"&gt;"&amp;W2921)+COUNTIFS($W$4:W2921,W2921)-1)</f>
        <v/>
      </c>
      <c r="Y2921" s="175">
        <f>IF(OR(I2921="",'02_대상물건입력'!B19="",'02_대상물건입력'!B19&lt;=0),"",ABS(I2921-'02_대상물건입력'!B19)/'02_대상물건입력'!B19)</f>
        <v/>
      </c>
      <c r="Z2921" s="172">
        <f>IF(OR(Y2921="",'01_설정'!B31="",'01_설정'!B31&lt;=0,'01_설정'!B32="",'01_설정'!B32&lt;=0),"",MAX(0,(1-Y2921/'01_설정'!B32))*'01_설정'!B31)</f>
        <v/>
      </c>
    </row>
    <row r="2922" ht="17.25" customHeight="1">
      <c r="A2922" s="152">
        <f>IF(INDEX('04A_국토부원자료'!$A:$A,ROW()+1)="","",ROW()-3)</f>
        <v/>
      </c>
      <c r="B2922" s="48">
        <f>IFERROR(INDEX('04A_국토부원자료'!$A:$T,ROW()+1,MATCH("시군구",'04A_국토부원자료'!$A$4:$T$4,0)),"")</f>
        <v/>
      </c>
      <c r="C2922" s="48">
        <f>IF(B2922="","",IFERROR(INDEX('04A_국토부원자료'!$A:$T,ROW()+1,MATCH("번지",'04A_국토부원자료'!$A$4:$T$4,0)),""))</f>
        <v/>
      </c>
      <c r="D2922" s="48">
        <f>IF(B2922="","",IF(Q2922=1,'02_대상물건입력'!$B$8,IFERROR(INDEX('04A_국토부원자료'!$A:$T,ROW()+1,MATCH("단지명",'04A_국토부원자료'!$A$4:$T$4,0)),"")))</f>
        <v/>
      </c>
      <c r="E2922" s="172">
        <f>IFERROR(VALUE(SUBSTITUTE(INDEX('04A_국토부원자료'!$A:$T,ROW()+1,MATCH("전용면적(㎡)",'04A_국토부원자료'!$A$4:$T$4,0)),",","")),"")</f>
        <v/>
      </c>
      <c r="F292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22" s="51">
        <f>IFERROR(VALUE(SUBSTITUTE(INDEX('04A_국토부원자료'!$A:$T,ROW()+1,MATCH("거래금액(만원)",'04A_국토부원자료'!$A$4:$T$4,0)),",","")),"")</f>
        <v/>
      </c>
      <c r="H2922" s="174">
        <f>IF(G2922="","",G2922*10000)</f>
        <v/>
      </c>
      <c r="I2922" s="174">
        <f>IFERROR(IF(AND(H2922&gt;0,E2922&gt;0),H2922/E2922,""),"")</f>
        <v/>
      </c>
      <c r="J2922" s="152">
        <f>IFERROR(VALUE(SUBSTITUTE(INDEX('04A_국토부원자료'!$A:$T,ROW()+1,MATCH("층",'04A_국토부원자료'!$A$4:$T$4,0)),",","")),"")</f>
        <v/>
      </c>
      <c r="K2922" s="152">
        <f>IFERROR(VALUE(SUBSTITUTE(INDEX('04A_국토부원자료'!$A:$T,ROW()+1,MATCH("건축년도",'04A_국토부원자료'!$A$4:$T$4,0)),",","")),"")</f>
        <v/>
      </c>
      <c r="L2922" s="48">
        <f>IFERROR(INDEX('04A_국토부원자료'!$A:$T,ROW()+1,MATCH("도로명",'04A_국토부원자료'!$A$4:$T$4,0)),"")</f>
        <v/>
      </c>
      <c r="M2922" s="48">
        <f>IFERROR(INDEX('04A_국토부원자료'!$A:$T,ROW()+1,MATCH("거래유형",'04A_국토부원자료'!$A$4:$T$4,0)),"")</f>
        <v/>
      </c>
      <c r="N2922" s="152">
        <f>IF(B2922="","",IF('02_대상물건입력'!B5="",1,IF(ISNUMBER(SEARCH('02_대상물건입력'!B5,B2922)),1,0)))</f>
        <v/>
      </c>
      <c r="O2922" s="152">
        <f>IF(B2922="","",IF('02_대상물건입력'!B6="",1,IF(ISNUMBER(SEARCH('02_대상물건입력'!B6,B2922)),1,0)))</f>
        <v/>
      </c>
      <c r="P2922" s="152">
        <f>IF(L2922="","",IF('02_대상물건입력'!B15="",0,IF(ISNUMBER(SEARCH('02_대상물건입력'!B15,L2922)),1,0)))</f>
        <v/>
      </c>
      <c r="Q2922" s="152">
        <f>IF(OR(C2922="",L2922=""),0,IF(AND(TRIM(C2922)=TRIM(RIGHT(SUBSTITUTE(TRIM('02_대상물건입력'!$B$7)," ",REPT(" ",99)),99)),IF('02_대상물건입력'!B15="",TRUE(),ISNUMBER(SEARCH('02_대상물건입력'!B15,L2922)))),1,0))</f>
        <v/>
      </c>
      <c r="R2922" s="175">
        <f>IFERROR(ABS(E2922-'02_대상물건입력'!B11)/'02_대상물건입력'!B11,"")</f>
        <v/>
      </c>
      <c r="S2922" s="152">
        <f>IFERROR(ABS(J2922-'02_대상물건입력'!B10),"")</f>
        <v/>
      </c>
      <c r="T2922" s="152">
        <f>IFERROR(ABS('01_설정'!B4-F2922),"")</f>
        <v/>
      </c>
      <c r="U2922" s="152">
        <f>IFERROR(ABS(K2922-YEAR('02_대상물건입력'!B14)),"")</f>
        <v/>
      </c>
      <c r="V2922" s="152">
        <f>IF(B2922="","",IF(AND(E2922&gt;0,F2922&gt;0,H2922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2922=1,TRUE()),R2922&lt;='01_설정'!B5,S2922&lt;='01_설정'!B6,T2922&lt;='01_설정'!B7,U2922&lt;='01_설정'!B8),"Y",""))</f>
        <v/>
      </c>
      <c r="W2922" s="172">
        <f>IF(V2922&lt;&gt;"Y","",MAX(0,(1-R2922/'01_설정'!B5))*'01_설정'!B14+MAX(0,(1-S2922/'01_설정'!B6))*'01_설정'!B15+MAX(0,(1-T2922/'01_설정'!B7))*'01_설정'!B16+MAX(0,(1-U2922/'01_설정'!B8))*'01_설정'!B17+O2922*'01_설정'!B11+Q2922*'01_설정'!B12+P2922*'01_설정'!B13+IF(Z2922="",0,Z2922))</f>
        <v/>
      </c>
      <c r="X2922" s="152">
        <f>IF(W2922="","",1+COUNTIFS($W$4:$W$3003,"&gt;"&amp;W2922)+COUNTIFS($W$4:W2922,W2922)-1)</f>
        <v/>
      </c>
      <c r="Y2922" s="175">
        <f>IF(OR(I2922="",'02_대상물건입력'!B19="",'02_대상물건입력'!B19&lt;=0),"",ABS(I2922-'02_대상물건입력'!B19)/'02_대상물건입력'!B19)</f>
        <v/>
      </c>
      <c r="Z2922" s="172">
        <f>IF(OR(Y2922="",'01_설정'!B31="",'01_설정'!B31&lt;=0,'01_설정'!B32="",'01_설정'!B32&lt;=0),"",MAX(0,(1-Y2922/'01_설정'!B32))*'01_설정'!B31)</f>
        <v/>
      </c>
    </row>
    <row r="2923" ht="17.25" customHeight="1">
      <c r="A2923" s="152">
        <f>IF(INDEX('04A_국토부원자료'!$A:$A,ROW()+1)="","",ROW()-3)</f>
        <v/>
      </c>
      <c r="B2923" s="48">
        <f>IFERROR(INDEX('04A_국토부원자료'!$A:$T,ROW()+1,MATCH("시군구",'04A_국토부원자료'!$A$4:$T$4,0)),"")</f>
        <v/>
      </c>
      <c r="C2923" s="48">
        <f>IF(B2923="","",IFERROR(INDEX('04A_국토부원자료'!$A:$T,ROW()+1,MATCH("번지",'04A_국토부원자료'!$A$4:$T$4,0)),""))</f>
        <v/>
      </c>
      <c r="D2923" s="48">
        <f>IF(B2923="","",IF(Q2923=1,'02_대상물건입력'!$B$8,IFERROR(INDEX('04A_국토부원자료'!$A:$T,ROW()+1,MATCH("단지명",'04A_국토부원자료'!$A$4:$T$4,0)),"")))</f>
        <v/>
      </c>
      <c r="E2923" s="172">
        <f>IFERROR(VALUE(SUBSTITUTE(INDEX('04A_국토부원자료'!$A:$T,ROW()+1,MATCH("전용면적(㎡)",'04A_국토부원자료'!$A$4:$T$4,0)),",","")),"")</f>
        <v/>
      </c>
      <c r="F292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23" s="51">
        <f>IFERROR(VALUE(SUBSTITUTE(INDEX('04A_국토부원자료'!$A:$T,ROW()+1,MATCH("거래금액(만원)",'04A_국토부원자료'!$A$4:$T$4,0)),",","")),"")</f>
        <v/>
      </c>
      <c r="H2923" s="174">
        <f>IF(G2923="","",G2923*10000)</f>
        <v/>
      </c>
      <c r="I2923" s="174">
        <f>IFERROR(IF(AND(H2923&gt;0,E2923&gt;0),H2923/E2923,""),"")</f>
        <v/>
      </c>
      <c r="J2923" s="152">
        <f>IFERROR(VALUE(SUBSTITUTE(INDEX('04A_국토부원자료'!$A:$T,ROW()+1,MATCH("층",'04A_국토부원자료'!$A$4:$T$4,0)),",","")),"")</f>
        <v/>
      </c>
      <c r="K2923" s="152">
        <f>IFERROR(VALUE(SUBSTITUTE(INDEX('04A_국토부원자료'!$A:$T,ROW()+1,MATCH("건축년도",'04A_국토부원자료'!$A$4:$T$4,0)),",","")),"")</f>
        <v/>
      </c>
      <c r="L2923" s="48">
        <f>IFERROR(INDEX('04A_국토부원자료'!$A:$T,ROW()+1,MATCH("도로명",'04A_국토부원자료'!$A$4:$T$4,0)),"")</f>
        <v/>
      </c>
      <c r="M2923" s="48">
        <f>IFERROR(INDEX('04A_국토부원자료'!$A:$T,ROW()+1,MATCH("거래유형",'04A_국토부원자료'!$A$4:$T$4,0)),"")</f>
        <v/>
      </c>
      <c r="N2923" s="152">
        <f>IF(B2923="","",IF('02_대상물건입력'!B5="",1,IF(ISNUMBER(SEARCH('02_대상물건입력'!B5,B2923)),1,0)))</f>
        <v/>
      </c>
      <c r="O2923" s="152">
        <f>IF(B2923="","",IF('02_대상물건입력'!B6="",1,IF(ISNUMBER(SEARCH('02_대상물건입력'!B6,B2923)),1,0)))</f>
        <v/>
      </c>
      <c r="P2923" s="152">
        <f>IF(L2923="","",IF('02_대상물건입력'!B15="",0,IF(ISNUMBER(SEARCH('02_대상물건입력'!B15,L2923)),1,0)))</f>
        <v/>
      </c>
      <c r="Q2923" s="152">
        <f>IF(OR(C2923="",L2923=""),0,IF(AND(TRIM(C2923)=TRIM(RIGHT(SUBSTITUTE(TRIM('02_대상물건입력'!$B$7)," ",REPT(" ",99)),99)),IF('02_대상물건입력'!B15="",TRUE(),ISNUMBER(SEARCH('02_대상물건입력'!B15,L2923)))),1,0))</f>
        <v/>
      </c>
      <c r="R2923" s="175">
        <f>IFERROR(ABS(E2923-'02_대상물건입력'!B11)/'02_대상물건입력'!B11,"")</f>
        <v/>
      </c>
      <c r="S2923" s="152">
        <f>IFERROR(ABS(J2923-'02_대상물건입력'!B10),"")</f>
        <v/>
      </c>
      <c r="T2923" s="152">
        <f>IFERROR(ABS('01_설정'!B4-F2923),"")</f>
        <v/>
      </c>
      <c r="U2923" s="152">
        <f>IFERROR(ABS(K2923-YEAR('02_대상물건입력'!B14)),"")</f>
        <v/>
      </c>
      <c r="V2923" s="152">
        <f>IF(B2923="","",IF(AND(E2923&gt;0,F2923&gt;0,H2923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2923=1,TRUE()),R2923&lt;='01_설정'!B5,S2923&lt;='01_설정'!B6,T2923&lt;='01_설정'!B7,U2923&lt;='01_설정'!B8),"Y",""))</f>
        <v/>
      </c>
      <c r="W2923" s="172">
        <f>IF(V2923&lt;&gt;"Y","",MAX(0,(1-R2923/'01_설정'!B5))*'01_설정'!B14+MAX(0,(1-S2923/'01_설정'!B6))*'01_설정'!B15+MAX(0,(1-T2923/'01_설정'!B7))*'01_설정'!B16+MAX(0,(1-U2923/'01_설정'!B8))*'01_설정'!B17+O2923*'01_설정'!B11+Q2923*'01_설정'!B12+P2923*'01_설정'!B13+IF(Z2923="",0,Z2923))</f>
        <v/>
      </c>
      <c r="X2923" s="152">
        <f>IF(W2923="","",1+COUNTIFS($W$4:$W$3003,"&gt;"&amp;W2923)+COUNTIFS($W$4:W2923,W2923)-1)</f>
        <v/>
      </c>
      <c r="Y2923" s="175">
        <f>IF(OR(I2923="",'02_대상물건입력'!B19="",'02_대상물건입력'!B19&lt;=0),"",ABS(I2923-'02_대상물건입력'!B19)/'02_대상물건입력'!B19)</f>
        <v/>
      </c>
      <c r="Z2923" s="172">
        <f>IF(OR(Y2923="",'01_설정'!B31="",'01_설정'!B31&lt;=0,'01_설정'!B32="",'01_설정'!B32&lt;=0),"",MAX(0,(1-Y2923/'01_설정'!B32))*'01_설정'!B31)</f>
        <v/>
      </c>
    </row>
    <row r="2924" ht="17.25" customHeight="1">
      <c r="A2924" s="152">
        <f>IF(INDEX('04A_국토부원자료'!$A:$A,ROW()+1)="","",ROW()-3)</f>
        <v/>
      </c>
      <c r="B2924" s="48">
        <f>IFERROR(INDEX('04A_국토부원자료'!$A:$T,ROW()+1,MATCH("시군구",'04A_국토부원자료'!$A$4:$T$4,0)),"")</f>
        <v/>
      </c>
      <c r="C2924" s="48">
        <f>IF(B2924="","",IFERROR(INDEX('04A_국토부원자료'!$A:$T,ROW()+1,MATCH("번지",'04A_국토부원자료'!$A$4:$T$4,0)),""))</f>
        <v/>
      </c>
      <c r="D2924" s="48">
        <f>IF(B2924="","",IF(Q2924=1,'02_대상물건입력'!$B$8,IFERROR(INDEX('04A_국토부원자료'!$A:$T,ROW()+1,MATCH("단지명",'04A_국토부원자료'!$A$4:$T$4,0)),"")))</f>
        <v/>
      </c>
      <c r="E2924" s="172">
        <f>IFERROR(VALUE(SUBSTITUTE(INDEX('04A_국토부원자료'!$A:$T,ROW()+1,MATCH("전용면적(㎡)",'04A_국토부원자료'!$A$4:$T$4,0)),",","")),"")</f>
        <v/>
      </c>
      <c r="F292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24" s="51">
        <f>IFERROR(VALUE(SUBSTITUTE(INDEX('04A_국토부원자료'!$A:$T,ROW()+1,MATCH("거래금액(만원)",'04A_국토부원자료'!$A$4:$T$4,0)),",","")),"")</f>
        <v/>
      </c>
      <c r="H2924" s="174">
        <f>IF(G2924="","",G2924*10000)</f>
        <v/>
      </c>
      <c r="I2924" s="174">
        <f>IFERROR(IF(AND(H2924&gt;0,E2924&gt;0),H2924/E2924,""),"")</f>
        <v/>
      </c>
      <c r="J2924" s="152">
        <f>IFERROR(VALUE(SUBSTITUTE(INDEX('04A_국토부원자료'!$A:$T,ROW()+1,MATCH("층",'04A_국토부원자료'!$A$4:$T$4,0)),",","")),"")</f>
        <v/>
      </c>
      <c r="K2924" s="152">
        <f>IFERROR(VALUE(SUBSTITUTE(INDEX('04A_국토부원자료'!$A:$T,ROW()+1,MATCH("건축년도",'04A_국토부원자료'!$A$4:$T$4,0)),",","")),"")</f>
        <v/>
      </c>
      <c r="L2924" s="48">
        <f>IFERROR(INDEX('04A_국토부원자료'!$A:$T,ROW()+1,MATCH("도로명",'04A_국토부원자료'!$A$4:$T$4,0)),"")</f>
        <v/>
      </c>
      <c r="M2924" s="48">
        <f>IFERROR(INDEX('04A_국토부원자료'!$A:$T,ROW()+1,MATCH("거래유형",'04A_국토부원자료'!$A$4:$T$4,0)),"")</f>
        <v/>
      </c>
      <c r="N2924" s="152">
        <f>IF(B2924="","",IF('02_대상물건입력'!B5="",1,IF(ISNUMBER(SEARCH('02_대상물건입력'!B5,B2924)),1,0)))</f>
        <v/>
      </c>
      <c r="O2924" s="152">
        <f>IF(B2924="","",IF('02_대상물건입력'!B6="",1,IF(ISNUMBER(SEARCH('02_대상물건입력'!B6,B2924)),1,0)))</f>
        <v/>
      </c>
      <c r="P2924" s="152">
        <f>IF(L2924="","",IF('02_대상물건입력'!B15="",0,IF(ISNUMBER(SEARCH('02_대상물건입력'!B15,L2924)),1,0)))</f>
        <v/>
      </c>
      <c r="Q2924" s="152">
        <f>IF(OR(C2924="",L2924=""),0,IF(AND(TRIM(C2924)=TRIM(RIGHT(SUBSTITUTE(TRIM('02_대상물건입력'!$B$7)," ",REPT(" ",99)),99)),IF('02_대상물건입력'!B15="",TRUE(),ISNUMBER(SEARCH('02_대상물건입력'!B15,L2924)))),1,0))</f>
        <v/>
      </c>
      <c r="R2924" s="175">
        <f>IFERROR(ABS(E2924-'02_대상물건입력'!B11)/'02_대상물건입력'!B11,"")</f>
        <v/>
      </c>
      <c r="S2924" s="152">
        <f>IFERROR(ABS(J2924-'02_대상물건입력'!B10),"")</f>
        <v/>
      </c>
      <c r="T2924" s="152">
        <f>IFERROR(ABS('01_설정'!B4-F2924),"")</f>
        <v/>
      </c>
      <c r="U2924" s="152">
        <f>IFERROR(ABS(K2924-YEAR('02_대상물건입력'!B14)),"")</f>
        <v/>
      </c>
      <c r="V2924" s="152">
        <f>IF(B2924="","",IF(AND(E2924&gt;0,F2924&gt;0,H2924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2924=1,TRUE()),R2924&lt;='01_설정'!B5,S2924&lt;='01_설정'!B6,T2924&lt;='01_설정'!B7,U2924&lt;='01_설정'!B8),"Y",""))</f>
        <v/>
      </c>
      <c r="W2924" s="172">
        <f>IF(V2924&lt;&gt;"Y","",MAX(0,(1-R2924/'01_설정'!B5))*'01_설정'!B14+MAX(0,(1-S2924/'01_설정'!B6))*'01_설정'!B15+MAX(0,(1-T2924/'01_설정'!B7))*'01_설정'!B16+MAX(0,(1-U2924/'01_설정'!B8))*'01_설정'!B17+O2924*'01_설정'!B11+Q2924*'01_설정'!B12+P2924*'01_설정'!B13+IF(Z2924="",0,Z2924))</f>
        <v/>
      </c>
      <c r="X2924" s="152">
        <f>IF(W2924="","",1+COUNTIFS($W$4:$W$3003,"&gt;"&amp;W2924)+COUNTIFS($W$4:W2924,W2924)-1)</f>
        <v/>
      </c>
      <c r="Y2924" s="175">
        <f>IF(OR(I2924="",'02_대상물건입력'!B19="",'02_대상물건입력'!B19&lt;=0),"",ABS(I2924-'02_대상물건입력'!B19)/'02_대상물건입력'!B19)</f>
        <v/>
      </c>
      <c r="Z2924" s="172">
        <f>IF(OR(Y2924="",'01_설정'!B31="",'01_설정'!B31&lt;=0,'01_설정'!B32="",'01_설정'!B32&lt;=0),"",MAX(0,(1-Y2924/'01_설정'!B32))*'01_설정'!B31)</f>
        <v/>
      </c>
    </row>
    <row r="2925" ht="17.25" customHeight="1">
      <c r="A2925" s="152">
        <f>IF(INDEX('04A_국토부원자료'!$A:$A,ROW()+1)="","",ROW()-3)</f>
        <v/>
      </c>
      <c r="B2925" s="48">
        <f>IFERROR(INDEX('04A_국토부원자료'!$A:$T,ROW()+1,MATCH("시군구",'04A_국토부원자료'!$A$4:$T$4,0)),"")</f>
        <v/>
      </c>
      <c r="C2925" s="48">
        <f>IF(B2925="","",IFERROR(INDEX('04A_국토부원자료'!$A:$T,ROW()+1,MATCH("번지",'04A_국토부원자료'!$A$4:$T$4,0)),""))</f>
        <v/>
      </c>
      <c r="D2925" s="48">
        <f>IF(B2925="","",IF(Q2925=1,'02_대상물건입력'!$B$8,IFERROR(INDEX('04A_국토부원자료'!$A:$T,ROW()+1,MATCH("단지명",'04A_국토부원자료'!$A$4:$T$4,0)),"")))</f>
        <v/>
      </c>
      <c r="E2925" s="172">
        <f>IFERROR(VALUE(SUBSTITUTE(INDEX('04A_국토부원자료'!$A:$T,ROW()+1,MATCH("전용면적(㎡)",'04A_국토부원자료'!$A$4:$T$4,0)),",","")),"")</f>
        <v/>
      </c>
      <c r="F292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25" s="51">
        <f>IFERROR(VALUE(SUBSTITUTE(INDEX('04A_국토부원자료'!$A:$T,ROW()+1,MATCH("거래금액(만원)",'04A_국토부원자료'!$A$4:$T$4,0)),",","")),"")</f>
        <v/>
      </c>
      <c r="H2925" s="174">
        <f>IF(G2925="","",G2925*10000)</f>
        <v/>
      </c>
      <c r="I2925" s="174">
        <f>IFERROR(IF(AND(H2925&gt;0,E2925&gt;0),H2925/E2925,""),"")</f>
        <v/>
      </c>
      <c r="J2925" s="152">
        <f>IFERROR(VALUE(SUBSTITUTE(INDEX('04A_국토부원자료'!$A:$T,ROW()+1,MATCH("층",'04A_국토부원자료'!$A$4:$T$4,0)),",","")),"")</f>
        <v/>
      </c>
      <c r="K2925" s="152">
        <f>IFERROR(VALUE(SUBSTITUTE(INDEX('04A_국토부원자료'!$A:$T,ROW()+1,MATCH("건축년도",'04A_국토부원자료'!$A$4:$T$4,0)),",","")),"")</f>
        <v/>
      </c>
      <c r="L2925" s="48">
        <f>IFERROR(INDEX('04A_국토부원자료'!$A:$T,ROW()+1,MATCH("도로명",'04A_국토부원자료'!$A$4:$T$4,0)),"")</f>
        <v/>
      </c>
      <c r="M2925" s="48">
        <f>IFERROR(INDEX('04A_국토부원자료'!$A:$T,ROW()+1,MATCH("거래유형",'04A_국토부원자료'!$A$4:$T$4,0)),"")</f>
        <v/>
      </c>
      <c r="N2925" s="152">
        <f>IF(B2925="","",IF('02_대상물건입력'!B5="",1,IF(ISNUMBER(SEARCH('02_대상물건입력'!B5,B2925)),1,0)))</f>
        <v/>
      </c>
      <c r="O2925" s="152">
        <f>IF(B2925="","",IF('02_대상물건입력'!B6="",1,IF(ISNUMBER(SEARCH('02_대상물건입력'!B6,B2925)),1,0)))</f>
        <v/>
      </c>
      <c r="P2925" s="152">
        <f>IF(L2925="","",IF('02_대상물건입력'!B15="",0,IF(ISNUMBER(SEARCH('02_대상물건입력'!B15,L2925)),1,0)))</f>
        <v/>
      </c>
      <c r="Q2925" s="152">
        <f>IF(OR(C2925="",L2925=""),0,IF(AND(TRIM(C2925)=TRIM(RIGHT(SUBSTITUTE(TRIM('02_대상물건입력'!$B$7)," ",REPT(" ",99)),99)),IF('02_대상물건입력'!B15="",TRUE(),ISNUMBER(SEARCH('02_대상물건입력'!B15,L2925)))),1,0))</f>
        <v/>
      </c>
      <c r="R2925" s="175">
        <f>IFERROR(ABS(E2925-'02_대상물건입력'!B11)/'02_대상물건입력'!B11,"")</f>
        <v/>
      </c>
      <c r="S2925" s="152">
        <f>IFERROR(ABS(J2925-'02_대상물건입력'!B10),"")</f>
        <v/>
      </c>
      <c r="T2925" s="152">
        <f>IFERROR(ABS('01_설정'!B4-F2925),"")</f>
        <v/>
      </c>
      <c r="U2925" s="152">
        <f>IFERROR(ABS(K2925-YEAR('02_대상물건입력'!B14)),"")</f>
        <v/>
      </c>
      <c r="V2925" s="152">
        <f>IF(B2925="","",IF(AND(E2925&gt;0,F2925&gt;0,H2925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2925=1,TRUE()),R2925&lt;='01_설정'!B5,S2925&lt;='01_설정'!B6,T2925&lt;='01_설정'!B7,U2925&lt;='01_설정'!B8),"Y",""))</f>
        <v/>
      </c>
      <c r="W2925" s="172">
        <f>IF(V2925&lt;&gt;"Y","",MAX(0,(1-R2925/'01_설정'!B5))*'01_설정'!B14+MAX(0,(1-S2925/'01_설정'!B6))*'01_설정'!B15+MAX(0,(1-T2925/'01_설정'!B7))*'01_설정'!B16+MAX(0,(1-U2925/'01_설정'!B8))*'01_설정'!B17+O2925*'01_설정'!B11+Q2925*'01_설정'!B12+P2925*'01_설정'!B13+IF(Z2925="",0,Z2925))</f>
        <v/>
      </c>
      <c r="X2925" s="152">
        <f>IF(W2925="","",1+COUNTIFS($W$4:$W$3003,"&gt;"&amp;W2925)+COUNTIFS($W$4:W2925,W2925)-1)</f>
        <v/>
      </c>
      <c r="Y2925" s="175">
        <f>IF(OR(I2925="",'02_대상물건입력'!B19="",'02_대상물건입력'!B19&lt;=0),"",ABS(I2925-'02_대상물건입력'!B19)/'02_대상물건입력'!B19)</f>
        <v/>
      </c>
      <c r="Z2925" s="172">
        <f>IF(OR(Y2925="",'01_설정'!B31="",'01_설정'!B31&lt;=0,'01_설정'!B32="",'01_설정'!B32&lt;=0),"",MAX(0,(1-Y2925/'01_설정'!B32))*'01_설정'!B31)</f>
        <v/>
      </c>
    </row>
    <row r="2926" ht="17.25" customHeight="1">
      <c r="A2926" s="152">
        <f>IF(INDEX('04A_국토부원자료'!$A:$A,ROW()+1)="","",ROW()-3)</f>
        <v/>
      </c>
      <c r="B2926" s="48">
        <f>IFERROR(INDEX('04A_국토부원자료'!$A:$T,ROW()+1,MATCH("시군구",'04A_국토부원자료'!$A$4:$T$4,0)),"")</f>
        <v/>
      </c>
      <c r="C2926" s="48">
        <f>IF(B2926="","",IFERROR(INDEX('04A_국토부원자료'!$A:$T,ROW()+1,MATCH("번지",'04A_국토부원자료'!$A$4:$T$4,0)),""))</f>
        <v/>
      </c>
      <c r="D2926" s="48">
        <f>IF(B2926="","",IF(Q2926=1,'02_대상물건입력'!$B$8,IFERROR(INDEX('04A_국토부원자료'!$A:$T,ROW()+1,MATCH("단지명",'04A_국토부원자료'!$A$4:$T$4,0)),"")))</f>
        <v/>
      </c>
      <c r="E2926" s="172">
        <f>IFERROR(VALUE(SUBSTITUTE(INDEX('04A_국토부원자료'!$A:$T,ROW()+1,MATCH("전용면적(㎡)",'04A_국토부원자료'!$A$4:$T$4,0)),",","")),"")</f>
        <v/>
      </c>
      <c r="F292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26" s="51">
        <f>IFERROR(VALUE(SUBSTITUTE(INDEX('04A_국토부원자료'!$A:$T,ROW()+1,MATCH("거래금액(만원)",'04A_국토부원자료'!$A$4:$T$4,0)),",","")),"")</f>
        <v/>
      </c>
      <c r="H2926" s="174">
        <f>IF(G2926="","",G2926*10000)</f>
        <v/>
      </c>
      <c r="I2926" s="174">
        <f>IFERROR(IF(AND(H2926&gt;0,E2926&gt;0),H2926/E2926,""),"")</f>
        <v/>
      </c>
      <c r="J2926" s="152">
        <f>IFERROR(VALUE(SUBSTITUTE(INDEX('04A_국토부원자료'!$A:$T,ROW()+1,MATCH("층",'04A_국토부원자료'!$A$4:$T$4,0)),",","")),"")</f>
        <v/>
      </c>
      <c r="K2926" s="152">
        <f>IFERROR(VALUE(SUBSTITUTE(INDEX('04A_국토부원자료'!$A:$T,ROW()+1,MATCH("건축년도",'04A_국토부원자료'!$A$4:$T$4,0)),",","")),"")</f>
        <v/>
      </c>
      <c r="L2926" s="48">
        <f>IFERROR(INDEX('04A_국토부원자료'!$A:$T,ROW()+1,MATCH("도로명",'04A_국토부원자료'!$A$4:$T$4,0)),"")</f>
        <v/>
      </c>
      <c r="M2926" s="48">
        <f>IFERROR(INDEX('04A_국토부원자료'!$A:$T,ROW()+1,MATCH("거래유형",'04A_국토부원자료'!$A$4:$T$4,0)),"")</f>
        <v/>
      </c>
      <c r="N2926" s="152">
        <f>IF(B2926="","",IF('02_대상물건입력'!B5="",1,IF(ISNUMBER(SEARCH('02_대상물건입력'!B5,B2926)),1,0)))</f>
        <v/>
      </c>
      <c r="O2926" s="152">
        <f>IF(B2926="","",IF('02_대상물건입력'!B6="",1,IF(ISNUMBER(SEARCH('02_대상물건입력'!B6,B2926)),1,0)))</f>
        <v/>
      </c>
      <c r="P2926" s="152">
        <f>IF(L2926="","",IF('02_대상물건입력'!B15="",0,IF(ISNUMBER(SEARCH('02_대상물건입력'!B15,L2926)),1,0)))</f>
        <v/>
      </c>
      <c r="Q2926" s="152">
        <f>IF(OR(C2926="",L2926=""),0,IF(AND(TRIM(C2926)=TRIM(RIGHT(SUBSTITUTE(TRIM('02_대상물건입력'!$B$7)," ",REPT(" ",99)),99)),IF('02_대상물건입력'!B15="",TRUE(),ISNUMBER(SEARCH('02_대상물건입력'!B15,L2926)))),1,0))</f>
        <v/>
      </c>
      <c r="R2926" s="175">
        <f>IFERROR(ABS(E2926-'02_대상물건입력'!B11)/'02_대상물건입력'!B11,"")</f>
        <v/>
      </c>
      <c r="S2926" s="152">
        <f>IFERROR(ABS(J2926-'02_대상물건입력'!B10),"")</f>
        <v/>
      </c>
      <c r="T2926" s="152">
        <f>IFERROR(ABS('01_설정'!B4-F2926),"")</f>
        <v/>
      </c>
      <c r="U2926" s="152">
        <f>IFERROR(ABS(K2926-YEAR('02_대상물건입력'!B14)),"")</f>
        <v/>
      </c>
      <c r="V2926" s="152">
        <f>IF(B2926="","",IF(AND(E2926&gt;0,F2926&gt;0,H2926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2926=1,TRUE()),R2926&lt;='01_설정'!B5,S2926&lt;='01_설정'!B6,T2926&lt;='01_설정'!B7,U2926&lt;='01_설정'!B8),"Y",""))</f>
        <v/>
      </c>
      <c r="W2926" s="172">
        <f>IF(V2926&lt;&gt;"Y","",MAX(0,(1-R2926/'01_설정'!B5))*'01_설정'!B14+MAX(0,(1-S2926/'01_설정'!B6))*'01_설정'!B15+MAX(0,(1-T2926/'01_설정'!B7))*'01_설정'!B16+MAX(0,(1-U2926/'01_설정'!B8))*'01_설정'!B17+O2926*'01_설정'!B11+Q2926*'01_설정'!B12+P2926*'01_설정'!B13+IF(Z2926="",0,Z2926))</f>
        <v/>
      </c>
      <c r="X2926" s="152">
        <f>IF(W2926="","",1+COUNTIFS($W$4:$W$3003,"&gt;"&amp;W2926)+COUNTIFS($W$4:W2926,W2926)-1)</f>
        <v/>
      </c>
      <c r="Y2926" s="175">
        <f>IF(OR(I2926="",'02_대상물건입력'!B19="",'02_대상물건입력'!B19&lt;=0),"",ABS(I2926-'02_대상물건입력'!B19)/'02_대상물건입력'!B19)</f>
        <v/>
      </c>
      <c r="Z2926" s="172">
        <f>IF(OR(Y2926="",'01_설정'!B31="",'01_설정'!B31&lt;=0,'01_설정'!B32="",'01_설정'!B32&lt;=0),"",MAX(0,(1-Y2926/'01_설정'!B32))*'01_설정'!B31)</f>
        <v/>
      </c>
    </row>
    <row r="2927" ht="17.25" customHeight="1">
      <c r="A2927" s="152">
        <f>IF(INDEX('04A_국토부원자료'!$A:$A,ROW()+1)="","",ROW()-3)</f>
        <v/>
      </c>
      <c r="B2927" s="48">
        <f>IFERROR(INDEX('04A_국토부원자료'!$A:$T,ROW()+1,MATCH("시군구",'04A_국토부원자료'!$A$4:$T$4,0)),"")</f>
        <v/>
      </c>
      <c r="C2927" s="48">
        <f>IF(B2927="","",IFERROR(INDEX('04A_국토부원자료'!$A:$T,ROW()+1,MATCH("번지",'04A_국토부원자료'!$A$4:$T$4,0)),""))</f>
        <v/>
      </c>
      <c r="D2927" s="48">
        <f>IF(B2927="","",IF(Q2927=1,'02_대상물건입력'!$B$8,IFERROR(INDEX('04A_국토부원자료'!$A:$T,ROW()+1,MATCH("단지명",'04A_국토부원자료'!$A$4:$T$4,0)),"")))</f>
        <v/>
      </c>
      <c r="E2927" s="172">
        <f>IFERROR(VALUE(SUBSTITUTE(INDEX('04A_국토부원자료'!$A:$T,ROW()+1,MATCH("전용면적(㎡)",'04A_국토부원자료'!$A$4:$T$4,0)),",","")),"")</f>
        <v/>
      </c>
      <c r="F292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27" s="51">
        <f>IFERROR(VALUE(SUBSTITUTE(INDEX('04A_국토부원자료'!$A:$T,ROW()+1,MATCH("거래금액(만원)",'04A_국토부원자료'!$A$4:$T$4,0)),",","")),"")</f>
        <v/>
      </c>
      <c r="H2927" s="174">
        <f>IF(G2927="","",G2927*10000)</f>
        <v/>
      </c>
      <c r="I2927" s="174">
        <f>IFERROR(IF(AND(H2927&gt;0,E2927&gt;0),H2927/E2927,""),"")</f>
        <v/>
      </c>
      <c r="J2927" s="152">
        <f>IFERROR(VALUE(SUBSTITUTE(INDEX('04A_국토부원자료'!$A:$T,ROW()+1,MATCH("층",'04A_국토부원자료'!$A$4:$T$4,0)),",","")),"")</f>
        <v/>
      </c>
      <c r="K2927" s="152">
        <f>IFERROR(VALUE(SUBSTITUTE(INDEX('04A_국토부원자료'!$A:$T,ROW()+1,MATCH("건축년도",'04A_국토부원자료'!$A$4:$T$4,0)),",","")),"")</f>
        <v/>
      </c>
      <c r="L2927" s="48">
        <f>IFERROR(INDEX('04A_국토부원자료'!$A:$T,ROW()+1,MATCH("도로명",'04A_국토부원자료'!$A$4:$T$4,0)),"")</f>
        <v/>
      </c>
      <c r="M2927" s="48">
        <f>IFERROR(INDEX('04A_국토부원자료'!$A:$T,ROW()+1,MATCH("거래유형",'04A_국토부원자료'!$A$4:$T$4,0)),"")</f>
        <v/>
      </c>
      <c r="N2927" s="152">
        <f>IF(B2927="","",IF('02_대상물건입력'!B5="",1,IF(ISNUMBER(SEARCH('02_대상물건입력'!B5,B2927)),1,0)))</f>
        <v/>
      </c>
      <c r="O2927" s="152">
        <f>IF(B2927="","",IF('02_대상물건입력'!B6="",1,IF(ISNUMBER(SEARCH('02_대상물건입력'!B6,B2927)),1,0)))</f>
        <v/>
      </c>
      <c r="P2927" s="152">
        <f>IF(L2927="","",IF('02_대상물건입력'!B15="",0,IF(ISNUMBER(SEARCH('02_대상물건입력'!B15,L2927)),1,0)))</f>
        <v/>
      </c>
      <c r="Q2927" s="152">
        <f>IF(OR(C2927="",L2927=""),0,IF(AND(TRIM(C2927)=TRIM(RIGHT(SUBSTITUTE(TRIM('02_대상물건입력'!$B$7)," ",REPT(" ",99)),99)),IF('02_대상물건입력'!B15="",TRUE(),ISNUMBER(SEARCH('02_대상물건입력'!B15,L2927)))),1,0))</f>
        <v/>
      </c>
      <c r="R2927" s="175">
        <f>IFERROR(ABS(E2927-'02_대상물건입력'!B11)/'02_대상물건입력'!B11,"")</f>
        <v/>
      </c>
      <c r="S2927" s="152">
        <f>IFERROR(ABS(J2927-'02_대상물건입력'!B10),"")</f>
        <v/>
      </c>
      <c r="T2927" s="152">
        <f>IFERROR(ABS('01_설정'!B4-F2927),"")</f>
        <v/>
      </c>
      <c r="U2927" s="152">
        <f>IFERROR(ABS(K2927-YEAR('02_대상물건입력'!B14)),"")</f>
        <v/>
      </c>
      <c r="V2927" s="152">
        <f>IF(B2927="","",IF(AND(E2927&gt;0,F2927&gt;0,H2927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2927=1,TRUE()),R2927&lt;='01_설정'!B5,S2927&lt;='01_설정'!B6,T2927&lt;='01_설정'!B7,U2927&lt;='01_설정'!B8),"Y",""))</f>
        <v/>
      </c>
      <c r="W2927" s="172">
        <f>IF(V2927&lt;&gt;"Y","",MAX(0,(1-R2927/'01_설정'!B5))*'01_설정'!B14+MAX(0,(1-S2927/'01_설정'!B6))*'01_설정'!B15+MAX(0,(1-T2927/'01_설정'!B7))*'01_설정'!B16+MAX(0,(1-U2927/'01_설정'!B8))*'01_설정'!B17+O2927*'01_설정'!B11+Q2927*'01_설정'!B12+P2927*'01_설정'!B13+IF(Z2927="",0,Z2927))</f>
        <v/>
      </c>
      <c r="X2927" s="152">
        <f>IF(W2927="","",1+COUNTIFS($W$4:$W$3003,"&gt;"&amp;W2927)+COUNTIFS($W$4:W2927,W2927)-1)</f>
        <v/>
      </c>
      <c r="Y2927" s="175">
        <f>IF(OR(I2927="",'02_대상물건입력'!B19="",'02_대상물건입력'!B19&lt;=0),"",ABS(I2927-'02_대상물건입력'!B19)/'02_대상물건입력'!B19)</f>
        <v/>
      </c>
      <c r="Z2927" s="172">
        <f>IF(OR(Y2927="",'01_설정'!B31="",'01_설정'!B31&lt;=0,'01_설정'!B32="",'01_설정'!B32&lt;=0),"",MAX(0,(1-Y2927/'01_설정'!B32))*'01_설정'!B31)</f>
        <v/>
      </c>
    </row>
    <row r="2928" ht="17.25" customHeight="1">
      <c r="A2928" s="152">
        <f>IF(INDEX('04A_국토부원자료'!$A:$A,ROW()+1)="","",ROW()-3)</f>
        <v/>
      </c>
      <c r="B2928" s="48">
        <f>IFERROR(INDEX('04A_국토부원자료'!$A:$T,ROW()+1,MATCH("시군구",'04A_국토부원자료'!$A$4:$T$4,0)),"")</f>
        <v/>
      </c>
      <c r="C2928" s="48">
        <f>IF(B2928="","",IFERROR(INDEX('04A_국토부원자료'!$A:$T,ROW()+1,MATCH("번지",'04A_국토부원자료'!$A$4:$T$4,0)),""))</f>
        <v/>
      </c>
      <c r="D2928" s="48">
        <f>IF(B2928="","",IF(Q2928=1,'02_대상물건입력'!$B$8,IFERROR(INDEX('04A_국토부원자료'!$A:$T,ROW()+1,MATCH("단지명",'04A_국토부원자료'!$A$4:$T$4,0)),"")))</f>
        <v/>
      </c>
      <c r="E2928" s="172">
        <f>IFERROR(VALUE(SUBSTITUTE(INDEX('04A_국토부원자료'!$A:$T,ROW()+1,MATCH("전용면적(㎡)",'04A_국토부원자료'!$A$4:$T$4,0)),",","")),"")</f>
        <v/>
      </c>
      <c r="F292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28" s="51">
        <f>IFERROR(VALUE(SUBSTITUTE(INDEX('04A_국토부원자료'!$A:$T,ROW()+1,MATCH("거래금액(만원)",'04A_국토부원자료'!$A$4:$T$4,0)),",","")),"")</f>
        <v/>
      </c>
      <c r="H2928" s="174">
        <f>IF(G2928="","",G2928*10000)</f>
        <v/>
      </c>
      <c r="I2928" s="174">
        <f>IFERROR(IF(AND(H2928&gt;0,E2928&gt;0),H2928/E2928,""),"")</f>
        <v/>
      </c>
      <c r="J2928" s="152">
        <f>IFERROR(VALUE(SUBSTITUTE(INDEX('04A_국토부원자료'!$A:$T,ROW()+1,MATCH("층",'04A_국토부원자료'!$A$4:$T$4,0)),",","")),"")</f>
        <v/>
      </c>
      <c r="K2928" s="152">
        <f>IFERROR(VALUE(SUBSTITUTE(INDEX('04A_국토부원자료'!$A:$T,ROW()+1,MATCH("건축년도",'04A_국토부원자료'!$A$4:$T$4,0)),",","")),"")</f>
        <v/>
      </c>
      <c r="L2928" s="48">
        <f>IFERROR(INDEX('04A_국토부원자료'!$A:$T,ROW()+1,MATCH("도로명",'04A_국토부원자료'!$A$4:$T$4,0)),"")</f>
        <v/>
      </c>
      <c r="M2928" s="48">
        <f>IFERROR(INDEX('04A_국토부원자료'!$A:$T,ROW()+1,MATCH("거래유형",'04A_국토부원자료'!$A$4:$T$4,0)),"")</f>
        <v/>
      </c>
      <c r="N2928" s="152">
        <f>IF(B2928="","",IF('02_대상물건입력'!B5="",1,IF(ISNUMBER(SEARCH('02_대상물건입력'!B5,B2928)),1,0)))</f>
        <v/>
      </c>
      <c r="O2928" s="152">
        <f>IF(B2928="","",IF('02_대상물건입력'!B6="",1,IF(ISNUMBER(SEARCH('02_대상물건입력'!B6,B2928)),1,0)))</f>
        <v/>
      </c>
      <c r="P2928" s="152">
        <f>IF(L2928="","",IF('02_대상물건입력'!B15="",0,IF(ISNUMBER(SEARCH('02_대상물건입력'!B15,L2928)),1,0)))</f>
        <v/>
      </c>
      <c r="Q2928" s="152">
        <f>IF(OR(C2928="",L2928=""),0,IF(AND(TRIM(C2928)=TRIM(RIGHT(SUBSTITUTE(TRIM('02_대상물건입력'!$B$7)," ",REPT(" ",99)),99)),IF('02_대상물건입력'!B15="",TRUE(),ISNUMBER(SEARCH('02_대상물건입력'!B15,L2928)))),1,0))</f>
        <v/>
      </c>
      <c r="R2928" s="175">
        <f>IFERROR(ABS(E2928-'02_대상물건입력'!B11)/'02_대상물건입력'!B11,"")</f>
        <v/>
      </c>
      <c r="S2928" s="152">
        <f>IFERROR(ABS(J2928-'02_대상물건입력'!B10),"")</f>
        <v/>
      </c>
      <c r="T2928" s="152">
        <f>IFERROR(ABS('01_설정'!B4-F2928),"")</f>
        <v/>
      </c>
      <c r="U2928" s="152">
        <f>IFERROR(ABS(K2928-YEAR('02_대상물건입력'!B14)),"")</f>
        <v/>
      </c>
      <c r="V2928" s="152">
        <f>IF(B2928="","",IF(AND(E2928&gt;0,F2928&gt;0,H2928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2928=1,TRUE()),R2928&lt;='01_설정'!B5,S2928&lt;='01_설정'!B6,T2928&lt;='01_설정'!B7,U2928&lt;='01_설정'!B8),"Y",""))</f>
        <v/>
      </c>
      <c r="W2928" s="172">
        <f>IF(V2928&lt;&gt;"Y","",MAX(0,(1-R2928/'01_설정'!B5))*'01_설정'!B14+MAX(0,(1-S2928/'01_설정'!B6))*'01_설정'!B15+MAX(0,(1-T2928/'01_설정'!B7))*'01_설정'!B16+MAX(0,(1-U2928/'01_설정'!B8))*'01_설정'!B17+O2928*'01_설정'!B11+Q2928*'01_설정'!B12+P2928*'01_설정'!B13+IF(Z2928="",0,Z2928))</f>
        <v/>
      </c>
      <c r="X2928" s="152">
        <f>IF(W2928="","",1+COUNTIFS($W$4:$W$3003,"&gt;"&amp;W2928)+COUNTIFS($W$4:W2928,W2928)-1)</f>
        <v/>
      </c>
      <c r="Y2928" s="175">
        <f>IF(OR(I2928="",'02_대상물건입력'!B19="",'02_대상물건입력'!B19&lt;=0),"",ABS(I2928-'02_대상물건입력'!B19)/'02_대상물건입력'!B19)</f>
        <v/>
      </c>
      <c r="Z2928" s="172">
        <f>IF(OR(Y2928="",'01_설정'!B31="",'01_설정'!B31&lt;=0,'01_설정'!B32="",'01_설정'!B32&lt;=0),"",MAX(0,(1-Y2928/'01_설정'!B32))*'01_설정'!B31)</f>
        <v/>
      </c>
    </row>
    <row r="2929" ht="17.25" customHeight="1">
      <c r="A2929" s="152">
        <f>IF(INDEX('04A_국토부원자료'!$A:$A,ROW()+1)="","",ROW()-3)</f>
        <v/>
      </c>
      <c r="B2929" s="48">
        <f>IFERROR(INDEX('04A_국토부원자료'!$A:$T,ROW()+1,MATCH("시군구",'04A_국토부원자료'!$A$4:$T$4,0)),"")</f>
        <v/>
      </c>
      <c r="C2929" s="48">
        <f>IF(B2929="","",IFERROR(INDEX('04A_국토부원자료'!$A:$T,ROW()+1,MATCH("번지",'04A_국토부원자료'!$A$4:$T$4,0)),""))</f>
        <v/>
      </c>
      <c r="D2929" s="48">
        <f>IF(B2929="","",IF(Q2929=1,'02_대상물건입력'!$B$8,IFERROR(INDEX('04A_국토부원자료'!$A:$T,ROW()+1,MATCH("단지명",'04A_국토부원자료'!$A$4:$T$4,0)),"")))</f>
        <v/>
      </c>
      <c r="E2929" s="172">
        <f>IFERROR(VALUE(SUBSTITUTE(INDEX('04A_국토부원자료'!$A:$T,ROW()+1,MATCH("전용면적(㎡)",'04A_국토부원자료'!$A$4:$T$4,0)),",","")),"")</f>
        <v/>
      </c>
      <c r="F292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29" s="51">
        <f>IFERROR(VALUE(SUBSTITUTE(INDEX('04A_국토부원자료'!$A:$T,ROW()+1,MATCH("거래금액(만원)",'04A_국토부원자료'!$A$4:$T$4,0)),",","")),"")</f>
        <v/>
      </c>
      <c r="H2929" s="174">
        <f>IF(G2929="","",G2929*10000)</f>
        <v/>
      </c>
      <c r="I2929" s="174">
        <f>IFERROR(IF(AND(H2929&gt;0,E2929&gt;0),H2929/E2929,""),"")</f>
        <v/>
      </c>
      <c r="J2929" s="152">
        <f>IFERROR(VALUE(SUBSTITUTE(INDEX('04A_국토부원자료'!$A:$T,ROW()+1,MATCH("층",'04A_국토부원자료'!$A$4:$T$4,0)),",","")),"")</f>
        <v/>
      </c>
      <c r="K2929" s="152">
        <f>IFERROR(VALUE(SUBSTITUTE(INDEX('04A_국토부원자료'!$A:$T,ROW()+1,MATCH("건축년도",'04A_국토부원자료'!$A$4:$T$4,0)),",","")),"")</f>
        <v/>
      </c>
      <c r="L2929" s="48">
        <f>IFERROR(INDEX('04A_국토부원자료'!$A:$T,ROW()+1,MATCH("도로명",'04A_국토부원자료'!$A$4:$T$4,0)),"")</f>
        <v/>
      </c>
      <c r="M2929" s="48">
        <f>IFERROR(INDEX('04A_국토부원자료'!$A:$T,ROW()+1,MATCH("거래유형",'04A_국토부원자료'!$A$4:$T$4,0)),"")</f>
        <v/>
      </c>
      <c r="N2929" s="152">
        <f>IF(B2929="","",IF('02_대상물건입력'!B5="",1,IF(ISNUMBER(SEARCH('02_대상물건입력'!B5,B2929)),1,0)))</f>
        <v/>
      </c>
      <c r="O2929" s="152">
        <f>IF(B2929="","",IF('02_대상물건입력'!B6="",1,IF(ISNUMBER(SEARCH('02_대상물건입력'!B6,B2929)),1,0)))</f>
        <v/>
      </c>
      <c r="P2929" s="152">
        <f>IF(L2929="","",IF('02_대상물건입력'!B15="",0,IF(ISNUMBER(SEARCH('02_대상물건입력'!B15,L2929)),1,0)))</f>
        <v/>
      </c>
      <c r="Q2929" s="152">
        <f>IF(OR(C2929="",L2929=""),0,IF(AND(TRIM(C2929)=TRIM(RIGHT(SUBSTITUTE(TRIM('02_대상물건입력'!$B$7)," ",REPT(" ",99)),99)),IF('02_대상물건입력'!B15="",TRUE(),ISNUMBER(SEARCH('02_대상물건입력'!B15,L2929)))),1,0))</f>
        <v/>
      </c>
      <c r="R2929" s="175">
        <f>IFERROR(ABS(E2929-'02_대상물건입력'!B11)/'02_대상물건입력'!B11,"")</f>
        <v/>
      </c>
      <c r="S2929" s="152">
        <f>IFERROR(ABS(J2929-'02_대상물건입력'!B10),"")</f>
        <v/>
      </c>
      <c r="T2929" s="152">
        <f>IFERROR(ABS('01_설정'!B4-F2929),"")</f>
        <v/>
      </c>
      <c r="U2929" s="152">
        <f>IFERROR(ABS(K2929-YEAR('02_대상물건입력'!B14)),"")</f>
        <v/>
      </c>
      <c r="V2929" s="152">
        <f>IF(B2929="","",IF(AND(E2929&gt;0,F2929&gt;0,H2929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2929=1,TRUE()),R2929&lt;='01_설정'!B5,S2929&lt;='01_설정'!B6,T2929&lt;='01_설정'!B7,U2929&lt;='01_설정'!B8),"Y",""))</f>
        <v/>
      </c>
      <c r="W2929" s="172">
        <f>IF(V2929&lt;&gt;"Y","",MAX(0,(1-R2929/'01_설정'!B5))*'01_설정'!B14+MAX(0,(1-S2929/'01_설정'!B6))*'01_설정'!B15+MAX(0,(1-T2929/'01_설정'!B7))*'01_설정'!B16+MAX(0,(1-U2929/'01_설정'!B8))*'01_설정'!B17+O2929*'01_설정'!B11+Q2929*'01_설정'!B12+P2929*'01_설정'!B13+IF(Z2929="",0,Z2929))</f>
        <v/>
      </c>
      <c r="X2929" s="152">
        <f>IF(W2929="","",1+COUNTIFS($W$4:$W$3003,"&gt;"&amp;W2929)+COUNTIFS($W$4:W2929,W2929)-1)</f>
        <v/>
      </c>
      <c r="Y2929" s="175">
        <f>IF(OR(I2929="",'02_대상물건입력'!B19="",'02_대상물건입력'!B19&lt;=0),"",ABS(I2929-'02_대상물건입력'!B19)/'02_대상물건입력'!B19)</f>
        <v/>
      </c>
      <c r="Z2929" s="172">
        <f>IF(OR(Y2929="",'01_설정'!B31="",'01_설정'!B31&lt;=0,'01_설정'!B32="",'01_설정'!B32&lt;=0),"",MAX(0,(1-Y2929/'01_설정'!B32))*'01_설정'!B31)</f>
        <v/>
      </c>
    </row>
    <row r="2930" ht="17.25" customHeight="1">
      <c r="A2930" s="152">
        <f>IF(INDEX('04A_국토부원자료'!$A:$A,ROW()+1)="","",ROW()-3)</f>
        <v/>
      </c>
      <c r="B2930" s="48">
        <f>IFERROR(INDEX('04A_국토부원자료'!$A:$T,ROW()+1,MATCH("시군구",'04A_국토부원자료'!$A$4:$T$4,0)),"")</f>
        <v/>
      </c>
      <c r="C2930" s="48">
        <f>IF(B2930="","",IFERROR(INDEX('04A_국토부원자료'!$A:$T,ROW()+1,MATCH("번지",'04A_국토부원자료'!$A$4:$T$4,0)),""))</f>
        <v/>
      </c>
      <c r="D2930" s="48">
        <f>IF(B2930="","",IF(Q2930=1,'02_대상물건입력'!$B$8,IFERROR(INDEX('04A_국토부원자료'!$A:$T,ROW()+1,MATCH("단지명",'04A_국토부원자료'!$A$4:$T$4,0)),"")))</f>
        <v/>
      </c>
      <c r="E2930" s="172">
        <f>IFERROR(VALUE(SUBSTITUTE(INDEX('04A_국토부원자료'!$A:$T,ROW()+1,MATCH("전용면적(㎡)",'04A_국토부원자료'!$A$4:$T$4,0)),",","")),"")</f>
        <v/>
      </c>
      <c r="F293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30" s="51">
        <f>IFERROR(VALUE(SUBSTITUTE(INDEX('04A_국토부원자료'!$A:$T,ROW()+1,MATCH("거래금액(만원)",'04A_국토부원자료'!$A$4:$T$4,0)),",","")),"")</f>
        <v/>
      </c>
      <c r="H2930" s="174">
        <f>IF(G2930="","",G2930*10000)</f>
        <v/>
      </c>
      <c r="I2930" s="174">
        <f>IFERROR(IF(AND(H2930&gt;0,E2930&gt;0),H2930/E2930,""),"")</f>
        <v/>
      </c>
      <c r="J2930" s="152">
        <f>IFERROR(VALUE(SUBSTITUTE(INDEX('04A_국토부원자료'!$A:$T,ROW()+1,MATCH("층",'04A_국토부원자료'!$A$4:$T$4,0)),",","")),"")</f>
        <v/>
      </c>
      <c r="K2930" s="152">
        <f>IFERROR(VALUE(SUBSTITUTE(INDEX('04A_국토부원자료'!$A:$T,ROW()+1,MATCH("건축년도",'04A_국토부원자료'!$A$4:$T$4,0)),",","")),"")</f>
        <v/>
      </c>
      <c r="L2930" s="48">
        <f>IFERROR(INDEX('04A_국토부원자료'!$A:$T,ROW()+1,MATCH("도로명",'04A_국토부원자료'!$A$4:$T$4,0)),"")</f>
        <v/>
      </c>
      <c r="M2930" s="48">
        <f>IFERROR(INDEX('04A_국토부원자료'!$A:$T,ROW()+1,MATCH("거래유형",'04A_국토부원자료'!$A$4:$T$4,0)),"")</f>
        <v/>
      </c>
      <c r="N2930" s="152">
        <f>IF(B2930="","",IF('02_대상물건입력'!B5="",1,IF(ISNUMBER(SEARCH('02_대상물건입력'!B5,B2930)),1,0)))</f>
        <v/>
      </c>
      <c r="O2930" s="152">
        <f>IF(B2930="","",IF('02_대상물건입력'!B6="",1,IF(ISNUMBER(SEARCH('02_대상물건입력'!B6,B2930)),1,0)))</f>
        <v/>
      </c>
      <c r="P2930" s="152">
        <f>IF(L2930="","",IF('02_대상물건입력'!B15="",0,IF(ISNUMBER(SEARCH('02_대상물건입력'!B15,L2930)),1,0)))</f>
        <v/>
      </c>
      <c r="Q2930" s="152">
        <f>IF(OR(C2930="",L2930=""),0,IF(AND(TRIM(C2930)=TRIM(RIGHT(SUBSTITUTE(TRIM('02_대상물건입력'!$B$7)," ",REPT(" ",99)),99)),IF('02_대상물건입력'!B15="",TRUE(),ISNUMBER(SEARCH('02_대상물건입력'!B15,L2930)))),1,0))</f>
        <v/>
      </c>
      <c r="R2930" s="175">
        <f>IFERROR(ABS(E2930-'02_대상물건입력'!B11)/'02_대상물건입력'!B11,"")</f>
        <v/>
      </c>
      <c r="S2930" s="152">
        <f>IFERROR(ABS(J2930-'02_대상물건입력'!B10),"")</f>
        <v/>
      </c>
      <c r="T2930" s="152">
        <f>IFERROR(ABS('01_설정'!B4-F2930),"")</f>
        <v/>
      </c>
      <c r="U2930" s="152">
        <f>IFERROR(ABS(K2930-YEAR('02_대상물건입력'!B14)),"")</f>
        <v/>
      </c>
      <c r="V2930" s="152">
        <f>IF(B2930="","",IF(AND(E2930&gt;0,F2930&gt;0,H2930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2930=1,TRUE()),R2930&lt;='01_설정'!B5,S2930&lt;='01_설정'!B6,T2930&lt;='01_설정'!B7,U2930&lt;='01_설정'!B8),"Y",""))</f>
        <v/>
      </c>
      <c r="W2930" s="172">
        <f>IF(V2930&lt;&gt;"Y","",MAX(0,(1-R2930/'01_설정'!B5))*'01_설정'!B14+MAX(0,(1-S2930/'01_설정'!B6))*'01_설정'!B15+MAX(0,(1-T2930/'01_설정'!B7))*'01_설정'!B16+MAX(0,(1-U2930/'01_설정'!B8))*'01_설정'!B17+O2930*'01_설정'!B11+Q2930*'01_설정'!B12+P2930*'01_설정'!B13+IF(Z2930="",0,Z2930))</f>
        <v/>
      </c>
      <c r="X2930" s="152">
        <f>IF(W2930="","",1+COUNTIFS($W$4:$W$3003,"&gt;"&amp;W2930)+COUNTIFS($W$4:W2930,W2930)-1)</f>
        <v/>
      </c>
      <c r="Y2930" s="175">
        <f>IF(OR(I2930="",'02_대상물건입력'!B19="",'02_대상물건입력'!B19&lt;=0),"",ABS(I2930-'02_대상물건입력'!B19)/'02_대상물건입력'!B19)</f>
        <v/>
      </c>
      <c r="Z2930" s="172">
        <f>IF(OR(Y2930="",'01_설정'!B31="",'01_설정'!B31&lt;=0,'01_설정'!B32="",'01_설정'!B32&lt;=0),"",MAX(0,(1-Y2930/'01_설정'!B32))*'01_설정'!B31)</f>
        <v/>
      </c>
    </row>
    <row r="2931" ht="17.25" customHeight="1">
      <c r="A2931" s="152">
        <f>IF(INDEX('04A_국토부원자료'!$A:$A,ROW()+1)="","",ROW()-3)</f>
        <v/>
      </c>
      <c r="B2931" s="48">
        <f>IFERROR(INDEX('04A_국토부원자료'!$A:$T,ROW()+1,MATCH("시군구",'04A_국토부원자료'!$A$4:$T$4,0)),"")</f>
        <v/>
      </c>
      <c r="C2931" s="48">
        <f>IF(B2931="","",IFERROR(INDEX('04A_국토부원자료'!$A:$T,ROW()+1,MATCH("번지",'04A_국토부원자료'!$A$4:$T$4,0)),""))</f>
        <v/>
      </c>
      <c r="D2931" s="48">
        <f>IF(B2931="","",IF(Q2931=1,'02_대상물건입력'!$B$8,IFERROR(INDEX('04A_국토부원자료'!$A:$T,ROW()+1,MATCH("단지명",'04A_국토부원자료'!$A$4:$T$4,0)),"")))</f>
        <v/>
      </c>
      <c r="E2931" s="172">
        <f>IFERROR(VALUE(SUBSTITUTE(INDEX('04A_국토부원자료'!$A:$T,ROW()+1,MATCH("전용면적(㎡)",'04A_국토부원자료'!$A$4:$T$4,0)),",","")),"")</f>
        <v/>
      </c>
      <c r="F293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31" s="51">
        <f>IFERROR(VALUE(SUBSTITUTE(INDEX('04A_국토부원자료'!$A:$T,ROW()+1,MATCH("거래금액(만원)",'04A_국토부원자료'!$A$4:$T$4,0)),",","")),"")</f>
        <v/>
      </c>
      <c r="H2931" s="174">
        <f>IF(G2931="","",G2931*10000)</f>
        <v/>
      </c>
      <c r="I2931" s="174">
        <f>IFERROR(IF(AND(H2931&gt;0,E2931&gt;0),H2931/E2931,""),"")</f>
        <v/>
      </c>
      <c r="J2931" s="152">
        <f>IFERROR(VALUE(SUBSTITUTE(INDEX('04A_국토부원자료'!$A:$T,ROW()+1,MATCH("층",'04A_국토부원자료'!$A$4:$T$4,0)),",","")),"")</f>
        <v/>
      </c>
      <c r="K2931" s="152">
        <f>IFERROR(VALUE(SUBSTITUTE(INDEX('04A_국토부원자료'!$A:$T,ROW()+1,MATCH("건축년도",'04A_국토부원자료'!$A$4:$T$4,0)),",","")),"")</f>
        <v/>
      </c>
      <c r="L2931" s="48">
        <f>IFERROR(INDEX('04A_국토부원자료'!$A:$T,ROW()+1,MATCH("도로명",'04A_국토부원자료'!$A$4:$T$4,0)),"")</f>
        <v/>
      </c>
      <c r="M2931" s="48">
        <f>IFERROR(INDEX('04A_국토부원자료'!$A:$T,ROW()+1,MATCH("거래유형",'04A_국토부원자료'!$A$4:$T$4,0)),"")</f>
        <v/>
      </c>
      <c r="N2931" s="152">
        <f>IF(B2931="","",IF('02_대상물건입력'!B5="",1,IF(ISNUMBER(SEARCH('02_대상물건입력'!B5,B2931)),1,0)))</f>
        <v/>
      </c>
      <c r="O2931" s="152">
        <f>IF(B2931="","",IF('02_대상물건입력'!B6="",1,IF(ISNUMBER(SEARCH('02_대상물건입력'!B6,B2931)),1,0)))</f>
        <v/>
      </c>
      <c r="P2931" s="152">
        <f>IF(L2931="","",IF('02_대상물건입력'!B15="",0,IF(ISNUMBER(SEARCH('02_대상물건입력'!B15,L2931)),1,0)))</f>
        <v/>
      </c>
      <c r="Q2931" s="152">
        <f>IF(OR(C2931="",L2931=""),0,IF(AND(TRIM(C2931)=TRIM(RIGHT(SUBSTITUTE(TRIM('02_대상물건입력'!$B$7)," ",REPT(" ",99)),99)),IF('02_대상물건입력'!B15="",TRUE(),ISNUMBER(SEARCH('02_대상물건입력'!B15,L2931)))),1,0))</f>
        <v/>
      </c>
      <c r="R2931" s="175">
        <f>IFERROR(ABS(E2931-'02_대상물건입력'!B11)/'02_대상물건입력'!B11,"")</f>
        <v/>
      </c>
      <c r="S2931" s="152">
        <f>IFERROR(ABS(J2931-'02_대상물건입력'!B10),"")</f>
        <v/>
      </c>
      <c r="T2931" s="152">
        <f>IFERROR(ABS('01_설정'!B4-F2931),"")</f>
        <v/>
      </c>
      <c r="U2931" s="152">
        <f>IFERROR(ABS(K2931-YEAR('02_대상물건입력'!B14)),"")</f>
        <v/>
      </c>
      <c r="V2931" s="152">
        <f>IF(B2931="","",IF(AND(E2931&gt;0,F2931&gt;0,H2931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2931=1,TRUE()),R2931&lt;='01_설정'!B5,S2931&lt;='01_설정'!B6,T2931&lt;='01_설정'!B7,U2931&lt;='01_설정'!B8),"Y",""))</f>
        <v/>
      </c>
      <c r="W2931" s="172">
        <f>IF(V2931&lt;&gt;"Y","",MAX(0,(1-R2931/'01_설정'!B5))*'01_설정'!B14+MAX(0,(1-S2931/'01_설정'!B6))*'01_설정'!B15+MAX(0,(1-T2931/'01_설정'!B7))*'01_설정'!B16+MAX(0,(1-U2931/'01_설정'!B8))*'01_설정'!B17+O2931*'01_설정'!B11+Q2931*'01_설정'!B12+P2931*'01_설정'!B13+IF(Z2931="",0,Z2931))</f>
        <v/>
      </c>
      <c r="X2931" s="152">
        <f>IF(W2931="","",1+COUNTIFS($W$4:$W$3003,"&gt;"&amp;W2931)+COUNTIFS($W$4:W2931,W2931)-1)</f>
        <v/>
      </c>
      <c r="Y2931" s="175">
        <f>IF(OR(I2931="",'02_대상물건입력'!B19="",'02_대상물건입력'!B19&lt;=0),"",ABS(I2931-'02_대상물건입력'!B19)/'02_대상물건입력'!B19)</f>
        <v/>
      </c>
      <c r="Z2931" s="172">
        <f>IF(OR(Y2931="",'01_설정'!B31="",'01_설정'!B31&lt;=0,'01_설정'!B32="",'01_설정'!B32&lt;=0),"",MAX(0,(1-Y2931/'01_설정'!B32))*'01_설정'!B31)</f>
        <v/>
      </c>
    </row>
    <row r="2932" ht="17.25" customHeight="1">
      <c r="A2932" s="152">
        <f>IF(INDEX('04A_국토부원자료'!$A:$A,ROW()+1)="","",ROW()-3)</f>
        <v/>
      </c>
      <c r="B2932" s="48">
        <f>IFERROR(INDEX('04A_국토부원자료'!$A:$T,ROW()+1,MATCH("시군구",'04A_국토부원자료'!$A$4:$T$4,0)),"")</f>
        <v/>
      </c>
      <c r="C2932" s="48">
        <f>IF(B2932="","",IFERROR(INDEX('04A_국토부원자료'!$A:$T,ROW()+1,MATCH("번지",'04A_국토부원자료'!$A$4:$T$4,0)),""))</f>
        <v/>
      </c>
      <c r="D2932" s="48">
        <f>IF(B2932="","",IF(Q2932=1,'02_대상물건입력'!$B$8,IFERROR(INDEX('04A_국토부원자료'!$A:$T,ROW()+1,MATCH("단지명",'04A_국토부원자료'!$A$4:$T$4,0)),"")))</f>
        <v/>
      </c>
      <c r="E2932" s="172">
        <f>IFERROR(VALUE(SUBSTITUTE(INDEX('04A_국토부원자료'!$A:$T,ROW()+1,MATCH("전용면적(㎡)",'04A_국토부원자료'!$A$4:$T$4,0)),",","")),"")</f>
        <v/>
      </c>
      <c r="F293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32" s="51">
        <f>IFERROR(VALUE(SUBSTITUTE(INDEX('04A_국토부원자료'!$A:$T,ROW()+1,MATCH("거래금액(만원)",'04A_국토부원자료'!$A$4:$T$4,0)),",","")),"")</f>
        <v/>
      </c>
      <c r="H2932" s="174">
        <f>IF(G2932="","",G2932*10000)</f>
        <v/>
      </c>
      <c r="I2932" s="174">
        <f>IFERROR(IF(AND(H2932&gt;0,E2932&gt;0),H2932/E2932,""),"")</f>
        <v/>
      </c>
      <c r="J2932" s="152">
        <f>IFERROR(VALUE(SUBSTITUTE(INDEX('04A_국토부원자료'!$A:$T,ROW()+1,MATCH("층",'04A_국토부원자료'!$A$4:$T$4,0)),",","")),"")</f>
        <v/>
      </c>
      <c r="K2932" s="152">
        <f>IFERROR(VALUE(SUBSTITUTE(INDEX('04A_국토부원자료'!$A:$T,ROW()+1,MATCH("건축년도",'04A_국토부원자료'!$A$4:$T$4,0)),",","")),"")</f>
        <v/>
      </c>
      <c r="L2932" s="48">
        <f>IFERROR(INDEX('04A_국토부원자료'!$A:$T,ROW()+1,MATCH("도로명",'04A_국토부원자료'!$A$4:$T$4,0)),"")</f>
        <v/>
      </c>
      <c r="M2932" s="48">
        <f>IFERROR(INDEX('04A_국토부원자료'!$A:$T,ROW()+1,MATCH("거래유형",'04A_국토부원자료'!$A$4:$T$4,0)),"")</f>
        <v/>
      </c>
      <c r="N2932" s="152">
        <f>IF(B2932="","",IF('02_대상물건입력'!B5="",1,IF(ISNUMBER(SEARCH('02_대상물건입력'!B5,B2932)),1,0)))</f>
        <v/>
      </c>
      <c r="O2932" s="152">
        <f>IF(B2932="","",IF('02_대상물건입력'!B6="",1,IF(ISNUMBER(SEARCH('02_대상물건입력'!B6,B2932)),1,0)))</f>
        <v/>
      </c>
      <c r="P2932" s="152">
        <f>IF(L2932="","",IF('02_대상물건입력'!B15="",0,IF(ISNUMBER(SEARCH('02_대상물건입력'!B15,L2932)),1,0)))</f>
        <v/>
      </c>
      <c r="Q2932" s="152">
        <f>IF(OR(C2932="",L2932=""),0,IF(AND(TRIM(C2932)=TRIM(RIGHT(SUBSTITUTE(TRIM('02_대상물건입력'!$B$7)," ",REPT(" ",99)),99)),IF('02_대상물건입력'!B15="",TRUE(),ISNUMBER(SEARCH('02_대상물건입력'!B15,L2932)))),1,0))</f>
        <v/>
      </c>
      <c r="R2932" s="175">
        <f>IFERROR(ABS(E2932-'02_대상물건입력'!B11)/'02_대상물건입력'!B11,"")</f>
        <v/>
      </c>
      <c r="S2932" s="152">
        <f>IFERROR(ABS(J2932-'02_대상물건입력'!B10),"")</f>
        <v/>
      </c>
      <c r="T2932" s="152">
        <f>IFERROR(ABS('01_설정'!B4-F2932),"")</f>
        <v/>
      </c>
      <c r="U2932" s="152">
        <f>IFERROR(ABS(K2932-YEAR('02_대상물건입력'!B14)),"")</f>
        <v/>
      </c>
      <c r="V2932" s="152">
        <f>IF(B2932="","",IF(AND(E2932&gt;0,F2932&gt;0,H2932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2932=1,TRUE()),R2932&lt;='01_설정'!B5,S2932&lt;='01_설정'!B6,T2932&lt;='01_설정'!B7,U2932&lt;='01_설정'!B8),"Y",""))</f>
        <v/>
      </c>
      <c r="W2932" s="172">
        <f>IF(V2932&lt;&gt;"Y","",MAX(0,(1-R2932/'01_설정'!B5))*'01_설정'!B14+MAX(0,(1-S2932/'01_설정'!B6))*'01_설정'!B15+MAX(0,(1-T2932/'01_설정'!B7))*'01_설정'!B16+MAX(0,(1-U2932/'01_설정'!B8))*'01_설정'!B17+O2932*'01_설정'!B11+Q2932*'01_설정'!B12+P2932*'01_설정'!B13+IF(Z2932="",0,Z2932))</f>
        <v/>
      </c>
      <c r="X2932" s="152">
        <f>IF(W2932="","",1+COUNTIFS($W$4:$W$3003,"&gt;"&amp;W2932)+COUNTIFS($W$4:W2932,W2932)-1)</f>
        <v/>
      </c>
      <c r="Y2932" s="175">
        <f>IF(OR(I2932="",'02_대상물건입력'!B19="",'02_대상물건입력'!B19&lt;=0),"",ABS(I2932-'02_대상물건입력'!B19)/'02_대상물건입력'!B19)</f>
        <v/>
      </c>
      <c r="Z2932" s="172">
        <f>IF(OR(Y2932="",'01_설정'!B31="",'01_설정'!B31&lt;=0,'01_설정'!B32="",'01_설정'!B32&lt;=0),"",MAX(0,(1-Y2932/'01_설정'!B32))*'01_설정'!B31)</f>
        <v/>
      </c>
    </row>
    <row r="2933" ht="17.25" customHeight="1">
      <c r="A2933" s="152">
        <f>IF(INDEX('04A_국토부원자료'!$A:$A,ROW()+1)="","",ROW()-3)</f>
        <v/>
      </c>
      <c r="B2933" s="48">
        <f>IFERROR(INDEX('04A_국토부원자료'!$A:$T,ROW()+1,MATCH("시군구",'04A_국토부원자료'!$A$4:$T$4,0)),"")</f>
        <v/>
      </c>
      <c r="C2933" s="48">
        <f>IF(B2933="","",IFERROR(INDEX('04A_국토부원자료'!$A:$T,ROW()+1,MATCH("번지",'04A_국토부원자료'!$A$4:$T$4,0)),""))</f>
        <v/>
      </c>
      <c r="D2933" s="48">
        <f>IF(B2933="","",IF(Q2933=1,'02_대상물건입력'!$B$8,IFERROR(INDEX('04A_국토부원자료'!$A:$T,ROW()+1,MATCH("단지명",'04A_국토부원자료'!$A$4:$T$4,0)),"")))</f>
        <v/>
      </c>
      <c r="E2933" s="172">
        <f>IFERROR(VALUE(SUBSTITUTE(INDEX('04A_국토부원자료'!$A:$T,ROW()+1,MATCH("전용면적(㎡)",'04A_국토부원자료'!$A$4:$T$4,0)),",","")),"")</f>
        <v/>
      </c>
      <c r="F293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33" s="51">
        <f>IFERROR(VALUE(SUBSTITUTE(INDEX('04A_국토부원자료'!$A:$T,ROW()+1,MATCH("거래금액(만원)",'04A_국토부원자료'!$A$4:$T$4,0)),",","")),"")</f>
        <v/>
      </c>
      <c r="H2933" s="174">
        <f>IF(G2933="","",G2933*10000)</f>
        <v/>
      </c>
      <c r="I2933" s="174">
        <f>IFERROR(IF(AND(H2933&gt;0,E2933&gt;0),H2933/E2933,""),"")</f>
        <v/>
      </c>
      <c r="J2933" s="152">
        <f>IFERROR(VALUE(SUBSTITUTE(INDEX('04A_국토부원자료'!$A:$T,ROW()+1,MATCH("층",'04A_국토부원자료'!$A$4:$T$4,0)),",","")),"")</f>
        <v/>
      </c>
      <c r="K2933" s="152">
        <f>IFERROR(VALUE(SUBSTITUTE(INDEX('04A_국토부원자료'!$A:$T,ROW()+1,MATCH("건축년도",'04A_국토부원자료'!$A$4:$T$4,0)),",","")),"")</f>
        <v/>
      </c>
      <c r="L2933" s="48">
        <f>IFERROR(INDEX('04A_국토부원자료'!$A:$T,ROW()+1,MATCH("도로명",'04A_국토부원자료'!$A$4:$T$4,0)),"")</f>
        <v/>
      </c>
      <c r="M2933" s="48">
        <f>IFERROR(INDEX('04A_국토부원자료'!$A:$T,ROW()+1,MATCH("거래유형",'04A_국토부원자료'!$A$4:$T$4,0)),"")</f>
        <v/>
      </c>
      <c r="N2933" s="152">
        <f>IF(B2933="","",IF('02_대상물건입력'!B5="",1,IF(ISNUMBER(SEARCH('02_대상물건입력'!B5,B2933)),1,0)))</f>
        <v/>
      </c>
      <c r="O2933" s="152">
        <f>IF(B2933="","",IF('02_대상물건입력'!B6="",1,IF(ISNUMBER(SEARCH('02_대상물건입력'!B6,B2933)),1,0)))</f>
        <v/>
      </c>
      <c r="P2933" s="152">
        <f>IF(L2933="","",IF('02_대상물건입력'!B15="",0,IF(ISNUMBER(SEARCH('02_대상물건입력'!B15,L2933)),1,0)))</f>
        <v/>
      </c>
      <c r="Q2933" s="152">
        <f>IF(OR(C2933="",L2933=""),0,IF(AND(TRIM(C2933)=TRIM(RIGHT(SUBSTITUTE(TRIM('02_대상물건입력'!$B$7)," ",REPT(" ",99)),99)),IF('02_대상물건입력'!B15="",TRUE(),ISNUMBER(SEARCH('02_대상물건입력'!B15,L2933)))),1,0))</f>
        <v/>
      </c>
      <c r="R2933" s="175">
        <f>IFERROR(ABS(E2933-'02_대상물건입력'!B11)/'02_대상물건입력'!B11,"")</f>
        <v/>
      </c>
      <c r="S2933" s="152">
        <f>IFERROR(ABS(J2933-'02_대상물건입력'!B10),"")</f>
        <v/>
      </c>
      <c r="T2933" s="152">
        <f>IFERROR(ABS('01_설정'!B4-F2933),"")</f>
        <v/>
      </c>
      <c r="U2933" s="152">
        <f>IFERROR(ABS(K2933-YEAR('02_대상물건입력'!B14)),"")</f>
        <v/>
      </c>
      <c r="V2933" s="152">
        <f>IF(B2933="","",IF(AND(E2933&gt;0,F2933&gt;0,H2933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2933=1,TRUE()),R2933&lt;='01_설정'!B5,S2933&lt;='01_설정'!B6,T2933&lt;='01_설정'!B7,U2933&lt;='01_설정'!B8),"Y",""))</f>
        <v/>
      </c>
      <c r="W2933" s="172">
        <f>IF(V2933&lt;&gt;"Y","",MAX(0,(1-R2933/'01_설정'!B5))*'01_설정'!B14+MAX(0,(1-S2933/'01_설정'!B6))*'01_설정'!B15+MAX(0,(1-T2933/'01_설정'!B7))*'01_설정'!B16+MAX(0,(1-U2933/'01_설정'!B8))*'01_설정'!B17+O2933*'01_설정'!B11+Q2933*'01_설정'!B12+P2933*'01_설정'!B13+IF(Z2933="",0,Z2933))</f>
        <v/>
      </c>
      <c r="X2933" s="152">
        <f>IF(W2933="","",1+COUNTIFS($W$4:$W$3003,"&gt;"&amp;W2933)+COUNTIFS($W$4:W2933,W2933)-1)</f>
        <v/>
      </c>
      <c r="Y2933" s="175">
        <f>IF(OR(I2933="",'02_대상물건입력'!B19="",'02_대상물건입력'!B19&lt;=0),"",ABS(I2933-'02_대상물건입력'!B19)/'02_대상물건입력'!B19)</f>
        <v/>
      </c>
      <c r="Z2933" s="172">
        <f>IF(OR(Y2933="",'01_설정'!B31="",'01_설정'!B31&lt;=0,'01_설정'!B32="",'01_설정'!B32&lt;=0),"",MAX(0,(1-Y2933/'01_설정'!B32))*'01_설정'!B31)</f>
        <v/>
      </c>
    </row>
    <row r="2934" ht="17.25" customHeight="1">
      <c r="A2934" s="152">
        <f>IF(INDEX('04A_국토부원자료'!$A:$A,ROW()+1)="","",ROW()-3)</f>
        <v/>
      </c>
      <c r="B2934" s="48">
        <f>IFERROR(INDEX('04A_국토부원자료'!$A:$T,ROW()+1,MATCH("시군구",'04A_국토부원자료'!$A$4:$T$4,0)),"")</f>
        <v/>
      </c>
      <c r="C2934" s="48">
        <f>IF(B2934="","",IFERROR(INDEX('04A_국토부원자료'!$A:$T,ROW()+1,MATCH("번지",'04A_국토부원자료'!$A$4:$T$4,0)),""))</f>
        <v/>
      </c>
      <c r="D2934" s="48">
        <f>IF(B2934="","",IF(Q2934=1,'02_대상물건입력'!$B$8,IFERROR(INDEX('04A_국토부원자료'!$A:$T,ROW()+1,MATCH("단지명",'04A_국토부원자료'!$A$4:$T$4,0)),"")))</f>
        <v/>
      </c>
      <c r="E2934" s="172">
        <f>IFERROR(VALUE(SUBSTITUTE(INDEX('04A_국토부원자료'!$A:$T,ROW()+1,MATCH("전용면적(㎡)",'04A_국토부원자료'!$A$4:$T$4,0)),",","")),"")</f>
        <v/>
      </c>
      <c r="F293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34" s="51">
        <f>IFERROR(VALUE(SUBSTITUTE(INDEX('04A_국토부원자료'!$A:$T,ROW()+1,MATCH("거래금액(만원)",'04A_국토부원자료'!$A$4:$T$4,0)),",","")),"")</f>
        <v/>
      </c>
      <c r="H2934" s="174">
        <f>IF(G2934="","",G2934*10000)</f>
        <v/>
      </c>
      <c r="I2934" s="174">
        <f>IFERROR(IF(AND(H2934&gt;0,E2934&gt;0),H2934/E2934,""),"")</f>
        <v/>
      </c>
      <c r="J2934" s="152">
        <f>IFERROR(VALUE(SUBSTITUTE(INDEX('04A_국토부원자료'!$A:$T,ROW()+1,MATCH("층",'04A_국토부원자료'!$A$4:$T$4,0)),",","")),"")</f>
        <v/>
      </c>
      <c r="K2934" s="152">
        <f>IFERROR(VALUE(SUBSTITUTE(INDEX('04A_국토부원자료'!$A:$T,ROW()+1,MATCH("건축년도",'04A_국토부원자료'!$A$4:$T$4,0)),",","")),"")</f>
        <v/>
      </c>
      <c r="L2934" s="48">
        <f>IFERROR(INDEX('04A_국토부원자료'!$A:$T,ROW()+1,MATCH("도로명",'04A_국토부원자료'!$A$4:$T$4,0)),"")</f>
        <v/>
      </c>
      <c r="M2934" s="48">
        <f>IFERROR(INDEX('04A_국토부원자료'!$A:$T,ROW()+1,MATCH("거래유형",'04A_국토부원자료'!$A$4:$T$4,0)),"")</f>
        <v/>
      </c>
      <c r="N2934" s="152">
        <f>IF(B2934="","",IF('02_대상물건입력'!B5="",1,IF(ISNUMBER(SEARCH('02_대상물건입력'!B5,B2934)),1,0)))</f>
        <v/>
      </c>
      <c r="O2934" s="152">
        <f>IF(B2934="","",IF('02_대상물건입력'!B6="",1,IF(ISNUMBER(SEARCH('02_대상물건입력'!B6,B2934)),1,0)))</f>
        <v/>
      </c>
      <c r="P2934" s="152">
        <f>IF(L2934="","",IF('02_대상물건입력'!B15="",0,IF(ISNUMBER(SEARCH('02_대상물건입력'!B15,L2934)),1,0)))</f>
        <v/>
      </c>
      <c r="Q2934" s="152">
        <f>IF(OR(C2934="",L2934=""),0,IF(AND(TRIM(C2934)=TRIM(RIGHT(SUBSTITUTE(TRIM('02_대상물건입력'!$B$7)," ",REPT(" ",99)),99)),IF('02_대상물건입력'!B15="",TRUE(),ISNUMBER(SEARCH('02_대상물건입력'!B15,L2934)))),1,0))</f>
        <v/>
      </c>
      <c r="R2934" s="175">
        <f>IFERROR(ABS(E2934-'02_대상물건입력'!B11)/'02_대상물건입력'!B11,"")</f>
        <v/>
      </c>
      <c r="S2934" s="152">
        <f>IFERROR(ABS(J2934-'02_대상물건입력'!B10),"")</f>
        <v/>
      </c>
      <c r="T2934" s="152">
        <f>IFERROR(ABS('01_설정'!B4-F2934),"")</f>
        <v/>
      </c>
      <c r="U2934" s="152">
        <f>IFERROR(ABS(K2934-YEAR('02_대상물건입력'!B14)),"")</f>
        <v/>
      </c>
      <c r="V2934" s="152">
        <f>IF(B2934="","",IF(AND(E2934&gt;0,F2934&gt;0,H2934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2934=1,TRUE()),R2934&lt;='01_설정'!B5,S2934&lt;='01_설정'!B6,T2934&lt;='01_설정'!B7,U2934&lt;='01_설정'!B8),"Y",""))</f>
        <v/>
      </c>
      <c r="W2934" s="172">
        <f>IF(V2934&lt;&gt;"Y","",MAX(0,(1-R2934/'01_설정'!B5))*'01_설정'!B14+MAX(0,(1-S2934/'01_설정'!B6))*'01_설정'!B15+MAX(0,(1-T2934/'01_설정'!B7))*'01_설정'!B16+MAX(0,(1-U2934/'01_설정'!B8))*'01_설정'!B17+O2934*'01_설정'!B11+Q2934*'01_설정'!B12+P2934*'01_설정'!B13+IF(Z2934="",0,Z2934))</f>
        <v/>
      </c>
      <c r="X2934" s="152">
        <f>IF(W2934="","",1+COUNTIFS($W$4:$W$3003,"&gt;"&amp;W2934)+COUNTIFS($W$4:W2934,W2934)-1)</f>
        <v/>
      </c>
      <c r="Y2934" s="175">
        <f>IF(OR(I2934="",'02_대상물건입력'!B19="",'02_대상물건입력'!B19&lt;=0),"",ABS(I2934-'02_대상물건입력'!B19)/'02_대상물건입력'!B19)</f>
        <v/>
      </c>
      <c r="Z2934" s="172">
        <f>IF(OR(Y2934="",'01_설정'!B31="",'01_설정'!B31&lt;=0,'01_설정'!B32="",'01_설정'!B32&lt;=0),"",MAX(0,(1-Y2934/'01_설정'!B32))*'01_설정'!B31)</f>
        <v/>
      </c>
    </row>
    <row r="2935" ht="17.25" customHeight="1">
      <c r="A2935" s="152">
        <f>IF(INDEX('04A_국토부원자료'!$A:$A,ROW()+1)="","",ROW()-3)</f>
        <v/>
      </c>
      <c r="B2935" s="48">
        <f>IFERROR(INDEX('04A_국토부원자료'!$A:$T,ROW()+1,MATCH("시군구",'04A_국토부원자료'!$A$4:$T$4,0)),"")</f>
        <v/>
      </c>
      <c r="C2935" s="48">
        <f>IF(B2935="","",IFERROR(INDEX('04A_국토부원자료'!$A:$T,ROW()+1,MATCH("번지",'04A_국토부원자료'!$A$4:$T$4,0)),""))</f>
        <v/>
      </c>
      <c r="D2935" s="48">
        <f>IF(B2935="","",IF(Q2935=1,'02_대상물건입력'!$B$8,IFERROR(INDEX('04A_국토부원자료'!$A:$T,ROW()+1,MATCH("단지명",'04A_국토부원자료'!$A$4:$T$4,0)),"")))</f>
        <v/>
      </c>
      <c r="E2935" s="172">
        <f>IFERROR(VALUE(SUBSTITUTE(INDEX('04A_국토부원자료'!$A:$T,ROW()+1,MATCH("전용면적(㎡)",'04A_국토부원자료'!$A$4:$T$4,0)),",","")),"")</f>
        <v/>
      </c>
      <c r="F293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35" s="51">
        <f>IFERROR(VALUE(SUBSTITUTE(INDEX('04A_국토부원자료'!$A:$T,ROW()+1,MATCH("거래금액(만원)",'04A_국토부원자료'!$A$4:$T$4,0)),",","")),"")</f>
        <v/>
      </c>
      <c r="H2935" s="174">
        <f>IF(G2935="","",G2935*10000)</f>
        <v/>
      </c>
      <c r="I2935" s="174">
        <f>IFERROR(IF(AND(H2935&gt;0,E2935&gt;0),H2935/E2935,""),"")</f>
        <v/>
      </c>
      <c r="J2935" s="152">
        <f>IFERROR(VALUE(SUBSTITUTE(INDEX('04A_국토부원자료'!$A:$T,ROW()+1,MATCH("층",'04A_국토부원자료'!$A$4:$T$4,0)),",","")),"")</f>
        <v/>
      </c>
      <c r="K2935" s="152">
        <f>IFERROR(VALUE(SUBSTITUTE(INDEX('04A_국토부원자료'!$A:$T,ROW()+1,MATCH("건축년도",'04A_국토부원자료'!$A$4:$T$4,0)),",","")),"")</f>
        <v/>
      </c>
      <c r="L2935" s="48">
        <f>IFERROR(INDEX('04A_국토부원자료'!$A:$T,ROW()+1,MATCH("도로명",'04A_국토부원자료'!$A$4:$T$4,0)),"")</f>
        <v/>
      </c>
      <c r="M2935" s="48">
        <f>IFERROR(INDEX('04A_국토부원자료'!$A:$T,ROW()+1,MATCH("거래유형",'04A_국토부원자료'!$A$4:$T$4,0)),"")</f>
        <v/>
      </c>
      <c r="N2935" s="152">
        <f>IF(B2935="","",IF('02_대상물건입력'!B5="",1,IF(ISNUMBER(SEARCH('02_대상물건입력'!B5,B2935)),1,0)))</f>
        <v/>
      </c>
      <c r="O2935" s="152">
        <f>IF(B2935="","",IF('02_대상물건입력'!B6="",1,IF(ISNUMBER(SEARCH('02_대상물건입력'!B6,B2935)),1,0)))</f>
        <v/>
      </c>
      <c r="P2935" s="152">
        <f>IF(L2935="","",IF('02_대상물건입력'!B15="",0,IF(ISNUMBER(SEARCH('02_대상물건입력'!B15,L2935)),1,0)))</f>
        <v/>
      </c>
      <c r="Q2935" s="152">
        <f>IF(OR(C2935="",L2935=""),0,IF(AND(TRIM(C2935)=TRIM(RIGHT(SUBSTITUTE(TRIM('02_대상물건입력'!$B$7)," ",REPT(" ",99)),99)),IF('02_대상물건입력'!B15="",TRUE(),ISNUMBER(SEARCH('02_대상물건입력'!B15,L2935)))),1,0))</f>
        <v/>
      </c>
      <c r="R2935" s="175">
        <f>IFERROR(ABS(E2935-'02_대상물건입력'!B11)/'02_대상물건입력'!B11,"")</f>
        <v/>
      </c>
      <c r="S2935" s="152">
        <f>IFERROR(ABS(J2935-'02_대상물건입력'!B10),"")</f>
        <v/>
      </c>
      <c r="T2935" s="152">
        <f>IFERROR(ABS('01_설정'!B4-F2935),"")</f>
        <v/>
      </c>
      <c r="U2935" s="152">
        <f>IFERROR(ABS(K2935-YEAR('02_대상물건입력'!B14)),"")</f>
        <v/>
      </c>
      <c r="V2935" s="152">
        <f>IF(B2935="","",IF(AND(E2935&gt;0,F2935&gt;0,H2935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2935=1,TRUE()),R2935&lt;='01_설정'!B5,S2935&lt;='01_설정'!B6,T2935&lt;='01_설정'!B7,U2935&lt;='01_설정'!B8),"Y",""))</f>
        <v/>
      </c>
      <c r="W2935" s="172">
        <f>IF(V2935&lt;&gt;"Y","",MAX(0,(1-R2935/'01_설정'!B5))*'01_설정'!B14+MAX(0,(1-S2935/'01_설정'!B6))*'01_설정'!B15+MAX(0,(1-T2935/'01_설정'!B7))*'01_설정'!B16+MAX(0,(1-U2935/'01_설정'!B8))*'01_설정'!B17+O2935*'01_설정'!B11+Q2935*'01_설정'!B12+P2935*'01_설정'!B13+IF(Z2935="",0,Z2935))</f>
        <v/>
      </c>
      <c r="X2935" s="152">
        <f>IF(W2935="","",1+COUNTIFS($W$4:$W$3003,"&gt;"&amp;W2935)+COUNTIFS($W$4:W2935,W2935)-1)</f>
        <v/>
      </c>
      <c r="Y2935" s="175">
        <f>IF(OR(I2935="",'02_대상물건입력'!B19="",'02_대상물건입력'!B19&lt;=0),"",ABS(I2935-'02_대상물건입력'!B19)/'02_대상물건입력'!B19)</f>
        <v/>
      </c>
      <c r="Z2935" s="172">
        <f>IF(OR(Y2935="",'01_설정'!B31="",'01_설정'!B31&lt;=0,'01_설정'!B32="",'01_설정'!B32&lt;=0),"",MAX(0,(1-Y2935/'01_설정'!B32))*'01_설정'!B31)</f>
        <v/>
      </c>
    </row>
    <row r="2936" ht="17.25" customHeight="1">
      <c r="A2936" s="152">
        <f>IF(INDEX('04A_국토부원자료'!$A:$A,ROW()+1)="","",ROW()-3)</f>
        <v/>
      </c>
      <c r="B2936" s="48">
        <f>IFERROR(INDEX('04A_국토부원자료'!$A:$T,ROW()+1,MATCH("시군구",'04A_국토부원자료'!$A$4:$T$4,0)),"")</f>
        <v/>
      </c>
      <c r="C2936" s="48">
        <f>IF(B2936="","",IFERROR(INDEX('04A_국토부원자료'!$A:$T,ROW()+1,MATCH("번지",'04A_국토부원자료'!$A$4:$T$4,0)),""))</f>
        <v/>
      </c>
      <c r="D2936" s="48">
        <f>IF(B2936="","",IF(Q2936=1,'02_대상물건입력'!$B$8,IFERROR(INDEX('04A_국토부원자료'!$A:$T,ROW()+1,MATCH("단지명",'04A_국토부원자료'!$A$4:$T$4,0)),"")))</f>
        <v/>
      </c>
      <c r="E2936" s="172">
        <f>IFERROR(VALUE(SUBSTITUTE(INDEX('04A_국토부원자료'!$A:$T,ROW()+1,MATCH("전용면적(㎡)",'04A_국토부원자료'!$A$4:$T$4,0)),",","")),"")</f>
        <v/>
      </c>
      <c r="F293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36" s="51">
        <f>IFERROR(VALUE(SUBSTITUTE(INDEX('04A_국토부원자료'!$A:$T,ROW()+1,MATCH("거래금액(만원)",'04A_국토부원자료'!$A$4:$T$4,0)),",","")),"")</f>
        <v/>
      </c>
      <c r="H2936" s="174">
        <f>IF(G2936="","",G2936*10000)</f>
        <v/>
      </c>
      <c r="I2936" s="174">
        <f>IFERROR(IF(AND(H2936&gt;0,E2936&gt;0),H2936/E2936,""),"")</f>
        <v/>
      </c>
      <c r="J2936" s="152">
        <f>IFERROR(VALUE(SUBSTITUTE(INDEX('04A_국토부원자료'!$A:$T,ROW()+1,MATCH("층",'04A_국토부원자료'!$A$4:$T$4,0)),",","")),"")</f>
        <v/>
      </c>
      <c r="K2936" s="152">
        <f>IFERROR(VALUE(SUBSTITUTE(INDEX('04A_국토부원자료'!$A:$T,ROW()+1,MATCH("건축년도",'04A_국토부원자료'!$A$4:$T$4,0)),",","")),"")</f>
        <v/>
      </c>
      <c r="L2936" s="48">
        <f>IFERROR(INDEX('04A_국토부원자료'!$A:$T,ROW()+1,MATCH("도로명",'04A_국토부원자료'!$A$4:$T$4,0)),"")</f>
        <v/>
      </c>
      <c r="M2936" s="48">
        <f>IFERROR(INDEX('04A_국토부원자료'!$A:$T,ROW()+1,MATCH("거래유형",'04A_국토부원자료'!$A$4:$T$4,0)),"")</f>
        <v/>
      </c>
      <c r="N2936" s="152">
        <f>IF(B2936="","",IF('02_대상물건입력'!B5="",1,IF(ISNUMBER(SEARCH('02_대상물건입력'!B5,B2936)),1,0)))</f>
        <v/>
      </c>
      <c r="O2936" s="152">
        <f>IF(B2936="","",IF('02_대상물건입력'!B6="",1,IF(ISNUMBER(SEARCH('02_대상물건입력'!B6,B2936)),1,0)))</f>
        <v/>
      </c>
      <c r="P2936" s="152">
        <f>IF(L2936="","",IF('02_대상물건입력'!B15="",0,IF(ISNUMBER(SEARCH('02_대상물건입력'!B15,L2936)),1,0)))</f>
        <v/>
      </c>
      <c r="Q2936" s="152">
        <f>IF(OR(C2936="",L2936=""),0,IF(AND(TRIM(C2936)=TRIM(RIGHT(SUBSTITUTE(TRIM('02_대상물건입력'!$B$7)," ",REPT(" ",99)),99)),IF('02_대상물건입력'!B15="",TRUE(),ISNUMBER(SEARCH('02_대상물건입력'!B15,L2936)))),1,0))</f>
        <v/>
      </c>
      <c r="R2936" s="175">
        <f>IFERROR(ABS(E2936-'02_대상물건입력'!B11)/'02_대상물건입력'!B11,"")</f>
        <v/>
      </c>
      <c r="S2936" s="152">
        <f>IFERROR(ABS(J2936-'02_대상물건입력'!B10),"")</f>
        <v/>
      </c>
      <c r="T2936" s="152">
        <f>IFERROR(ABS('01_설정'!B4-F2936),"")</f>
        <v/>
      </c>
      <c r="U2936" s="152">
        <f>IFERROR(ABS(K2936-YEAR('02_대상물건입력'!B14)),"")</f>
        <v/>
      </c>
      <c r="V2936" s="152">
        <f>IF(B2936="","",IF(AND(E2936&gt;0,F2936&gt;0,H2936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2936=1,TRUE()),R2936&lt;='01_설정'!B5,S2936&lt;='01_설정'!B6,T2936&lt;='01_설정'!B7,U2936&lt;='01_설정'!B8),"Y",""))</f>
        <v/>
      </c>
      <c r="W2936" s="172">
        <f>IF(V2936&lt;&gt;"Y","",MAX(0,(1-R2936/'01_설정'!B5))*'01_설정'!B14+MAX(0,(1-S2936/'01_설정'!B6))*'01_설정'!B15+MAX(0,(1-T2936/'01_설정'!B7))*'01_설정'!B16+MAX(0,(1-U2936/'01_설정'!B8))*'01_설정'!B17+O2936*'01_설정'!B11+Q2936*'01_설정'!B12+P2936*'01_설정'!B13+IF(Z2936="",0,Z2936))</f>
        <v/>
      </c>
      <c r="X2936" s="152">
        <f>IF(W2936="","",1+COUNTIFS($W$4:$W$3003,"&gt;"&amp;W2936)+COUNTIFS($W$4:W2936,W2936)-1)</f>
        <v/>
      </c>
      <c r="Y2936" s="175">
        <f>IF(OR(I2936="",'02_대상물건입력'!B19="",'02_대상물건입력'!B19&lt;=0),"",ABS(I2936-'02_대상물건입력'!B19)/'02_대상물건입력'!B19)</f>
        <v/>
      </c>
      <c r="Z2936" s="172">
        <f>IF(OR(Y2936="",'01_설정'!B31="",'01_설정'!B31&lt;=0,'01_설정'!B32="",'01_설정'!B32&lt;=0),"",MAX(0,(1-Y2936/'01_설정'!B32))*'01_설정'!B31)</f>
        <v/>
      </c>
    </row>
    <row r="2937" ht="17.25" customHeight="1">
      <c r="A2937" s="152">
        <f>IF(INDEX('04A_국토부원자료'!$A:$A,ROW()+1)="","",ROW()-3)</f>
        <v/>
      </c>
      <c r="B2937" s="48">
        <f>IFERROR(INDEX('04A_국토부원자료'!$A:$T,ROW()+1,MATCH("시군구",'04A_국토부원자료'!$A$4:$T$4,0)),"")</f>
        <v/>
      </c>
      <c r="C2937" s="48">
        <f>IF(B2937="","",IFERROR(INDEX('04A_국토부원자료'!$A:$T,ROW()+1,MATCH("번지",'04A_국토부원자료'!$A$4:$T$4,0)),""))</f>
        <v/>
      </c>
      <c r="D2937" s="48">
        <f>IF(B2937="","",IF(Q2937=1,'02_대상물건입력'!$B$8,IFERROR(INDEX('04A_국토부원자료'!$A:$T,ROW()+1,MATCH("단지명",'04A_국토부원자료'!$A$4:$T$4,0)),"")))</f>
        <v/>
      </c>
      <c r="E2937" s="172">
        <f>IFERROR(VALUE(SUBSTITUTE(INDEX('04A_국토부원자료'!$A:$T,ROW()+1,MATCH("전용면적(㎡)",'04A_국토부원자료'!$A$4:$T$4,0)),",","")),"")</f>
        <v/>
      </c>
      <c r="F293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37" s="51">
        <f>IFERROR(VALUE(SUBSTITUTE(INDEX('04A_국토부원자료'!$A:$T,ROW()+1,MATCH("거래금액(만원)",'04A_국토부원자료'!$A$4:$T$4,0)),",","")),"")</f>
        <v/>
      </c>
      <c r="H2937" s="174">
        <f>IF(G2937="","",G2937*10000)</f>
        <v/>
      </c>
      <c r="I2937" s="174">
        <f>IFERROR(IF(AND(H2937&gt;0,E2937&gt;0),H2937/E2937,""),"")</f>
        <v/>
      </c>
      <c r="J2937" s="152">
        <f>IFERROR(VALUE(SUBSTITUTE(INDEX('04A_국토부원자료'!$A:$T,ROW()+1,MATCH("층",'04A_국토부원자료'!$A$4:$T$4,0)),",","")),"")</f>
        <v/>
      </c>
      <c r="K2937" s="152">
        <f>IFERROR(VALUE(SUBSTITUTE(INDEX('04A_국토부원자료'!$A:$T,ROW()+1,MATCH("건축년도",'04A_국토부원자료'!$A$4:$T$4,0)),",","")),"")</f>
        <v/>
      </c>
      <c r="L2937" s="48">
        <f>IFERROR(INDEX('04A_국토부원자료'!$A:$T,ROW()+1,MATCH("도로명",'04A_국토부원자료'!$A$4:$T$4,0)),"")</f>
        <v/>
      </c>
      <c r="M2937" s="48">
        <f>IFERROR(INDEX('04A_국토부원자료'!$A:$T,ROW()+1,MATCH("거래유형",'04A_국토부원자료'!$A$4:$T$4,0)),"")</f>
        <v/>
      </c>
      <c r="N2937" s="152">
        <f>IF(B2937="","",IF('02_대상물건입력'!B5="",1,IF(ISNUMBER(SEARCH('02_대상물건입력'!B5,B2937)),1,0)))</f>
        <v/>
      </c>
      <c r="O2937" s="152">
        <f>IF(B2937="","",IF('02_대상물건입력'!B6="",1,IF(ISNUMBER(SEARCH('02_대상물건입력'!B6,B2937)),1,0)))</f>
        <v/>
      </c>
      <c r="P2937" s="152">
        <f>IF(L2937="","",IF('02_대상물건입력'!B15="",0,IF(ISNUMBER(SEARCH('02_대상물건입력'!B15,L2937)),1,0)))</f>
        <v/>
      </c>
      <c r="Q2937" s="152">
        <f>IF(OR(C2937="",L2937=""),0,IF(AND(TRIM(C2937)=TRIM(RIGHT(SUBSTITUTE(TRIM('02_대상물건입력'!$B$7)," ",REPT(" ",99)),99)),IF('02_대상물건입력'!B15="",TRUE(),ISNUMBER(SEARCH('02_대상물건입력'!B15,L2937)))),1,0))</f>
        <v/>
      </c>
      <c r="R2937" s="175">
        <f>IFERROR(ABS(E2937-'02_대상물건입력'!B11)/'02_대상물건입력'!B11,"")</f>
        <v/>
      </c>
      <c r="S2937" s="152">
        <f>IFERROR(ABS(J2937-'02_대상물건입력'!B10),"")</f>
        <v/>
      </c>
      <c r="T2937" s="152">
        <f>IFERROR(ABS('01_설정'!B4-F2937),"")</f>
        <v/>
      </c>
      <c r="U2937" s="152">
        <f>IFERROR(ABS(K2937-YEAR('02_대상물건입력'!B14)),"")</f>
        <v/>
      </c>
      <c r="V2937" s="152">
        <f>IF(B2937="","",IF(AND(E2937&gt;0,F2937&gt;0,H2937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2937=1,TRUE()),R2937&lt;='01_설정'!B5,S2937&lt;='01_설정'!B6,T2937&lt;='01_설정'!B7,U2937&lt;='01_설정'!B8),"Y",""))</f>
        <v/>
      </c>
      <c r="W2937" s="172">
        <f>IF(V2937&lt;&gt;"Y","",MAX(0,(1-R2937/'01_설정'!B5))*'01_설정'!B14+MAX(0,(1-S2937/'01_설정'!B6))*'01_설정'!B15+MAX(0,(1-T2937/'01_설정'!B7))*'01_설정'!B16+MAX(0,(1-U2937/'01_설정'!B8))*'01_설정'!B17+O2937*'01_설정'!B11+Q2937*'01_설정'!B12+P2937*'01_설정'!B13+IF(Z2937="",0,Z2937))</f>
        <v/>
      </c>
      <c r="X2937" s="152">
        <f>IF(W2937="","",1+COUNTIFS($W$4:$W$3003,"&gt;"&amp;W2937)+COUNTIFS($W$4:W2937,W2937)-1)</f>
        <v/>
      </c>
      <c r="Y2937" s="175">
        <f>IF(OR(I2937="",'02_대상물건입력'!B19="",'02_대상물건입력'!B19&lt;=0),"",ABS(I2937-'02_대상물건입력'!B19)/'02_대상물건입력'!B19)</f>
        <v/>
      </c>
      <c r="Z2937" s="172">
        <f>IF(OR(Y2937="",'01_설정'!B31="",'01_설정'!B31&lt;=0,'01_설정'!B32="",'01_설정'!B32&lt;=0),"",MAX(0,(1-Y2937/'01_설정'!B32))*'01_설정'!B31)</f>
        <v/>
      </c>
    </row>
    <row r="2938" ht="17.25" customHeight="1">
      <c r="A2938" s="152">
        <f>IF(INDEX('04A_국토부원자료'!$A:$A,ROW()+1)="","",ROW()-3)</f>
        <v/>
      </c>
      <c r="B2938" s="48">
        <f>IFERROR(INDEX('04A_국토부원자료'!$A:$T,ROW()+1,MATCH("시군구",'04A_국토부원자료'!$A$4:$T$4,0)),"")</f>
        <v/>
      </c>
      <c r="C2938" s="48">
        <f>IF(B2938="","",IFERROR(INDEX('04A_국토부원자료'!$A:$T,ROW()+1,MATCH("번지",'04A_국토부원자료'!$A$4:$T$4,0)),""))</f>
        <v/>
      </c>
      <c r="D2938" s="48">
        <f>IF(B2938="","",IF(Q2938=1,'02_대상물건입력'!$B$8,IFERROR(INDEX('04A_국토부원자료'!$A:$T,ROW()+1,MATCH("단지명",'04A_국토부원자료'!$A$4:$T$4,0)),"")))</f>
        <v/>
      </c>
      <c r="E2938" s="172">
        <f>IFERROR(VALUE(SUBSTITUTE(INDEX('04A_국토부원자료'!$A:$T,ROW()+1,MATCH("전용면적(㎡)",'04A_국토부원자료'!$A$4:$T$4,0)),",","")),"")</f>
        <v/>
      </c>
      <c r="F293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38" s="51">
        <f>IFERROR(VALUE(SUBSTITUTE(INDEX('04A_국토부원자료'!$A:$T,ROW()+1,MATCH("거래금액(만원)",'04A_국토부원자료'!$A$4:$T$4,0)),",","")),"")</f>
        <v/>
      </c>
      <c r="H2938" s="174">
        <f>IF(G2938="","",G2938*10000)</f>
        <v/>
      </c>
      <c r="I2938" s="174">
        <f>IFERROR(IF(AND(H2938&gt;0,E2938&gt;0),H2938/E2938,""),"")</f>
        <v/>
      </c>
      <c r="J2938" s="152">
        <f>IFERROR(VALUE(SUBSTITUTE(INDEX('04A_국토부원자료'!$A:$T,ROW()+1,MATCH("층",'04A_국토부원자료'!$A$4:$T$4,0)),",","")),"")</f>
        <v/>
      </c>
      <c r="K2938" s="152">
        <f>IFERROR(VALUE(SUBSTITUTE(INDEX('04A_국토부원자료'!$A:$T,ROW()+1,MATCH("건축년도",'04A_국토부원자료'!$A$4:$T$4,0)),",","")),"")</f>
        <v/>
      </c>
      <c r="L2938" s="48">
        <f>IFERROR(INDEX('04A_국토부원자료'!$A:$T,ROW()+1,MATCH("도로명",'04A_국토부원자료'!$A$4:$T$4,0)),"")</f>
        <v/>
      </c>
      <c r="M2938" s="48">
        <f>IFERROR(INDEX('04A_국토부원자료'!$A:$T,ROW()+1,MATCH("거래유형",'04A_국토부원자료'!$A$4:$T$4,0)),"")</f>
        <v/>
      </c>
      <c r="N2938" s="152">
        <f>IF(B2938="","",IF('02_대상물건입력'!B5="",1,IF(ISNUMBER(SEARCH('02_대상물건입력'!B5,B2938)),1,0)))</f>
        <v/>
      </c>
      <c r="O2938" s="152">
        <f>IF(B2938="","",IF('02_대상물건입력'!B6="",1,IF(ISNUMBER(SEARCH('02_대상물건입력'!B6,B2938)),1,0)))</f>
        <v/>
      </c>
      <c r="P2938" s="152">
        <f>IF(L2938="","",IF('02_대상물건입력'!B15="",0,IF(ISNUMBER(SEARCH('02_대상물건입력'!B15,L2938)),1,0)))</f>
        <v/>
      </c>
      <c r="Q2938" s="152">
        <f>IF(OR(C2938="",L2938=""),0,IF(AND(TRIM(C2938)=TRIM(RIGHT(SUBSTITUTE(TRIM('02_대상물건입력'!$B$7)," ",REPT(" ",99)),99)),IF('02_대상물건입력'!B15="",TRUE(),ISNUMBER(SEARCH('02_대상물건입력'!B15,L2938)))),1,0))</f>
        <v/>
      </c>
      <c r="R2938" s="175">
        <f>IFERROR(ABS(E2938-'02_대상물건입력'!B11)/'02_대상물건입력'!B11,"")</f>
        <v/>
      </c>
      <c r="S2938" s="152">
        <f>IFERROR(ABS(J2938-'02_대상물건입력'!B10),"")</f>
        <v/>
      </c>
      <c r="T2938" s="152">
        <f>IFERROR(ABS('01_설정'!B4-F2938),"")</f>
        <v/>
      </c>
      <c r="U2938" s="152">
        <f>IFERROR(ABS(K2938-YEAR('02_대상물건입력'!B14)),"")</f>
        <v/>
      </c>
      <c r="V2938" s="152">
        <f>IF(B2938="","",IF(AND(E2938&gt;0,F2938&gt;0,H2938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2938=1,TRUE()),R2938&lt;='01_설정'!B5,S2938&lt;='01_설정'!B6,T2938&lt;='01_설정'!B7,U2938&lt;='01_설정'!B8),"Y",""))</f>
        <v/>
      </c>
      <c r="W2938" s="172">
        <f>IF(V2938&lt;&gt;"Y","",MAX(0,(1-R2938/'01_설정'!B5))*'01_설정'!B14+MAX(0,(1-S2938/'01_설정'!B6))*'01_설정'!B15+MAX(0,(1-T2938/'01_설정'!B7))*'01_설정'!B16+MAX(0,(1-U2938/'01_설정'!B8))*'01_설정'!B17+O2938*'01_설정'!B11+Q2938*'01_설정'!B12+P2938*'01_설정'!B13+IF(Z2938="",0,Z2938))</f>
        <v/>
      </c>
      <c r="X2938" s="152">
        <f>IF(W2938="","",1+COUNTIFS($W$4:$W$3003,"&gt;"&amp;W2938)+COUNTIFS($W$4:W2938,W2938)-1)</f>
        <v/>
      </c>
      <c r="Y2938" s="175">
        <f>IF(OR(I2938="",'02_대상물건입력'!B19="",'02_대상물건입력'!B19&lt;=0),"",ABS(I2938-'02_대상물건입력'!B19)/'02_대상물건입력'!B19)</f>
        <v/>
      </c>
      <c r="Z2938" s="172">
        <f>IF(OR(Y2938="",'01_설정'!B31="",'01_설정'!B31&lt;=0,'01_설정'!B32="",'01_설정'!B32&lt;=0),"",MAX(0,(1-Y2938/'01_설정'!B32))*'01_설정'!B31)</f>
        <v/>
      </c>
    </row>
    <row r="2939" ht="17.25" customHeight="1">
      <c r="A2939" s="152">
        <f>IF(INDEX('04A_국토부원자료'!$A:$A,ROW()+1)="","",ROW()-3)</f>
        <v/>
      </c>
      <c r="B2939" s="48">
        <f>IFERROR(INDEX('04A_국토부원자료'!$A:$T,ROW()+1,MATCH("시군구",'04A_국토부원자료'!$A$4:$T$4,0)),"")</f>
        <v/>
      </c>
      <c r="C2939" s="48">
        <f>IF(B2939="","",IFERROR(INDEX('04A_국토부원자료'!$A:$T,ROW()+1,MATCH("번지",'04A_국토부원자료'!$A$4:$T$4,0)),""))</f>
        <v/>
      </c>
      <c r="D2939" s="48">
        <f>IF(B2939="","",IF(Q2939=1,'02_대상물건입력'!$B$8,IFERROR(INDEX('04A_국토부원자료'!$A:$T,ROW()+1,MATCH("단지명",'04A_국토부원자료'!$A$4:$T$4,0)),"")))</f>
        <v/>
      </c>
      <c r="E2939" s="172">
        <f>IFERROR(VALUE(SUBSTITUTE(INDEX('04A_국토부원자료'!$A:$T,ROW()+1,MATCH("전용면적(㎡)",'04A_국토부원자료'!$A$4:$T$4,0)),",","")),"")</f>
        <v/>
      </c>
      <c r="F293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39" s="51">
        <f>IFERROR(VALUE(SUBSTITUTE(INDEX('04A_국토부원자료'!$A:$T,ROW()+1,MATCH("거래금액(만원)",'04A_국토부원자료'!$A$4:$T$4,0)),",","")),"")</f>
        <v/>
      </c>
      <c r="H2939" s="174">
        <f>IF(G2939="","",G2939*10000)</f>
        <v/>
      </c>
      <c r="I2939" s="174">
        <f>IFERROR(IF(AND(H2939&gt;0,E2939&gt;0),H2939/E2939,""),"")</f>
        <v/>
      </c>
      <c r="J2939" s="152">
        <f>IFERROR(VALUE(SUBSTITUTE(INDEX('04A_국토부원자료'!$A:$T,ROW()+1,MATCH("층",'04A_국토부원자료'!$A$4:$T$4,0)),",","")),"")</f>
        <v/>
      </c>
      <c r="K2939" s="152">
        <f>IFERROR(VALUE(SUBSTITUTE(INDEX('04A_국토부원자료'!$A:$T,ROW()+1,MATCH("건축년도",'04A_국토부원자료'!$A$4:$T$4,0)),",","")),"")</f>
        <v/>
      </c>
      <c r="L2939" s="48">
        <f>IFERROR(INDEX('04A_국토부원자료'!$A:$T,ROW()+1,MATCH("도로명",'04A_국토부원자료'!$A$4:$T$4,0)),"")</f>
        <v/>
      </c>
      <c r="M2939" s="48">
        <f>IFERROR(INDEX('04A_국토부원자료'!$A:$T,ROW()+1,MATCH("거래유형",'04A_국토부원자료'!$A$4:$T$4,0)),"")</f>
        <v/>
      </c>
      <c r="N2939" s="152">
        <f>IF(B2939="","",IF('02_대상물건입력'!B5="",1,IF(ISNUMBER(SEARCH('02_대상물건입력'!B5,B2939)),1,0)))</f>
        <v/>
      </c>
      <c r="O2939" s="152">
        <f>IF(B2939="","",IF('02_대상물건입력'!B6="",1,IF(ISNUMBER(SEARCH('02_대상물건입력'!B6,B2939)),1,0)))</f>
        <v/>
      </c>
      <c r="P2939" s="152">
        <f>IF(L2939="","",IF('02_대상물건입력'!B15="",0,IF(ISNUMBER(SEARCH('02_대상물건입력'!B15,L2939)),1,0)))</f>
        <v/>
      </c>
      <c r="Q2939" s="152">
        <f>IF(OR(C2939="",L2939=""),0,IF(AND(TRIM(C2939)=TRIM(RIGHT(SUBSTITUTE(TRIM('02_대상물건입력'!$B$7)," ",REPT(" ",99)),99)),IF('02_대상물건입력'!B15="",TRUE(),ISNUMBER(SEARCH('02_대상물건입력'!B15,L2939)))),1,0))</f>
        <v/>
      </c>
      <c r="R2939" s="175">
        <f>IFERROR(ABS(E2939-'02_대상물건입력'!B11)/'02_대상물건입력'!B11,"")</f>
        <v/>
      </c>
      <c r="S2939" s="152">
        <f>IFERROR(ABS(J2939-'02_대상물건입력'!B10),"")</f>
        <v/>
      </c>
      <c r="T2939" s="152">
        <f>IFERROR(ABS('01_설정'!B4-F2939),"")</f>
        <v/>
      </c>
      <c r="U2939" s="152">
        <f>IFERROR(ABS(K2939-YEAR('02_대상물건입력'!B14)),"")</f>
        <v/>
      </c>
      <c r="V2939" s="152">
        <f>IF(B2939="","",IF(AND(E2939&gt;0,F2939&gt;0,H2939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2939=1,TRUE()),R2939&lt;='01_설정'!B5,S2939&lt;='01_설정'!B6,T2939&lt;='01_설정'!B7,U2939&lt;='01_설정'!B8),"Y",""))</f>
        <v/>
      </c>
      <c r="W2939" s="172">
        <f>IF(V2939&lt;&gt;"Y","",MAX(0,(1-R2939/'01_설정'!B5))*'01_설정'!B14+MAX(0,(1-S2939/'01_설정'!B6))*'01_설정'!B15+MAX(0,(1-T2939/'01_설정'!B7))*'01_설정'!B16+MAX(0,(1-U2939/'01_설정'!B8))*'01_설정'!B17+O2939*'01_설정'!B11+Q2939*'01_설정'!B12+P2939*'01_설정'!B13+IF(Z2939="",0,Z2939))</f>
        <v/>
      </c>
      <c r="X2939" s="152">
        <f>IF(W2939="","",1+COUNTIFS($W$4:$W$3003,"&gt;"&amp;W2939)+COUNTIFS($W$4:W2939,W2939)-1)</f>
        <v/>
      </c>
      <c r="Y2939" s="175">
        <f>IF(OR(I2939="",'02_대상물건입력'!B19="",'02_대상물건입력'!B19&lt;=0),"",ABS(I2939-'02_대상물건입력'!B19)/'02_대상물건입력'!B19)</f>
        <v/>
      </c>
      <c r="Z2939" s="172">
        <f>IF(OR(Y2939="",'01_설정'!B31="",'01_설정'!B31&lt;=0,'01_설정'!B32="",'01_설정'!B32&lt;=0),"",MAX(0,(1-Y2939/'01_설정'!B32))*'01_설정'!B31)</f>
        <v/>
      </c>
    </row>
    <row r="2940" ht="17.25" customHeight="1">
      <c r="A2940" s="152">
        <f>IF(INDEX('04A_국토부원자료'!$A:$A,ROW()+1)="","",ROW()-3)</f>
        <v/>
      </c>
      <c r="B2940" s="48">
        <f>IFERROR(INDEX('04A_국토부원자료'!$A:$T,ROW()+1,MATCH("시군구",'04A_국토부원자료'!$A$4:$T$4,0)),"")</f>
        <v/>
      </c>
      <c r="C2940" s="48">
        <f>IF(B2940="","",IFERROR(INDEX('04A_국토부원자료'!$A:$T,ROW()+1,MATCH("번지",'04A_국토부원자료'!$A$4:$T$4,0)),""))</f>
        <v/>
      </c>
      <c r="D2940" s="48">
        <f>IF(B2940="","",IF(Q2940=1,'02_대상물건입력'!$B$8,IFERROR(INDEX('04A_국토부원자료'!$A:$T,ROW()+1,MATCH("단지명",'04A_국토부원자료'!$A$4:$T$4,0)),"")))</f>
        <v/>
      </c>
      <c r="E2940" s="172">
        <f>IFERROR(VALUE(SUBSTITUTE(INDEX('04A_국토부원자료'!$A:$T,ROW()+1,MATCH("전용면적(㎡)",'04A_국토부원자료'!$A$4:$T$4,0)),",","")),"")</f>
        <v/>
      </c>
      <c r="F294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40" s="51">
        <f>IFERROR(VALUE(SUBSTITUTE(INDEX('04A_국토부원자료'!$A:$T,ROW()+1,MATCH("거래금액(만원)",'04A_국토부원자료'!$A$4:$T$4,0)),",","")),"")</f>
        <v/>
      </c>
      <c r="H2940" s="174">
        <f>IF(G2940="","",G2940*10000)</f>
        <v/>
      </c>
      <c r="I2940" s="174">
        <f>IFERROR(IF(AND(H2940&gt;0,E2940&gt;0),H2940/E2940,""),"")</f>
        <v/>
      </c>
      <c r="J2940" s="152">
        <f>IFERROR(VALUE(SUBSTITUTE(INDEX('04A_국토부원자료'!$A:$T,ROW()+1,MATCH("층",'04A_국토부원자료'!$A$4:$T$4,0)),",","")),"")</f>
        <v/>
      </c>
      <c r="K2940" s="152">
        <f>IFERROR(VALUE(SUBSTITUTE(INDEX('04A_국토부원자료'!$A:$T,ROW()+1,MATCH("건축년도",'04A_국토부원자료'!$A$4:$T$4,0)),",","")),"")</f>
        <v/>
      </c>
      <c r="L2940" s="48">
        <f>IFERROR(INDEX('04A_국토부원자료'!$A:$T,ROW()+1,MATCH("도로명",'04A_국토부원자료'!$A$4:$T$4,0)),"")</f>
        <v/>
      </c>
      <c r="M2940" s="48">
        <f>IFERROR(INDEX('04A_국토부원자료'!$A:$T,ROW()+1,MATCH("거래유형",'04A_국토부원자료'!$A$4:$T$4,0)),"")</f>
        <v/>
      </c>
      <c r="N2940" s="152">
        <f>IF(B2940="","",IF('02_대상물건입력'!B5="",1,IF(ISNUMBER(SEARCH('02_대상물건입력'!B5,B2940)),1,0)))</f>
        <v/>
      </c>
      <c r="O2940" s="152">
        <f>IF(B2940="","",IF('02_대상물건입력'!B6="",1,IF(ISNUMBER(SEARCH('02_대상물건입력'!B6,B2940)),1,0)))</f>
        <v/>
      </c>
      <c r="P2940" s="152">
        <f>IF(L2940="","",IF('02_대상물건입력'!B15="",0,IF(ISNUMBER(SEARCH('02_대상물건입력'!B15,L2940)),1,0)))</f>
        <v/>
      </c>
      <c r="Q2940" s="152">
        <f>IF(OR(C2940="",L2940=""),0,IF(AND(TRIM(C2940)=TRIM(RIGHT(SUBSTITUTE(TRIM('02_대상물건입력'!$B$7)," ",REPT(" ",99)),99)),IF('02_대상물건입력'!B15="",TRUE(),ISNUMBER(SEARCH('02_대상물건입력'!B15,L2940)))),1,0))</f>
        <v/>
      </c>
      <c r="R2940" s="175">
        <f>IFERROR(ABS(E2940-'02_대상물건입력'!B11)/'02_대상물건입력'!B11,"")</f>
        <v/>
      </c>
      <c r="S2940" s="152">
        <f>IFERROR(ABS(J2940-'02_대상물건입력'!B10),"")</f>
        <v/>
      </c>
      <c r="T2940" s="152">
        <f>IFERROR(ABS('01_설정'!B4-F2940),"")</f>
        <v/>
      </c>
      <c r="U2940" s="152">
        <f>IFERROR(ABS(K2940-YEAR('02_대상물건입력'!B14)),"")</f>
        <v/>
      </c>
      <c r="V2940" s="152">
        <f>IF(B2940="","",IF(AND(E2940&gt;0,F2940&gt;0,H2940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2940=1,TRUE()),R2940&lt;='01_설정'!B5,S2940&lt;='01_설정'!B6,T2940&lt;='01_설정'!B7,U2940&lt;='01_설정'!B8),"Y",""))</f>
        <v/>
      </c>
      <c r="W2940" s="172">
        <f>IF(V2940&lt;&gt;"Y","",MAX(0,(1-R2940/'01_설정'!B5))*'01_설정'!B14+MAX(0,(1-S2940/'01_설정'!B6))*'01_설정'!B15+MAX(0,(1-T2940/'01_설정'!B7))*'01_설정'!B16+MAX(0,(1-U2940/'01_설정'!B8))*'01_설정'!B17+O2940*'01_설정'!B11+Q2940*'01_설정'!B12+P2940*'01_설정'!B13+IF(Z2940="",0,Z2940))</f>
        <v/>
      </c>
      <c r="X2940" s="152">
        <f>IF(W2940="","",1+COUNTIFS($W$4:$W$3003,"&gt;"&amp;W2940)+COUNTIFS($W$4:W2940,W2940)-1)</f>
        <v/>
      </c>
      <c r="Y2940" s="175">
        <f>IF(OR(I2940="",'02_대상물건입력'!B19="",'02_대상물건입력'!B19&lt;=0),"",ABS(I2940-'02_대상물건입력'!B19)/'02_대상물건입력'!B19)</f>
        <v/>
      </c>
      <c r="Z2940" s="172">
        <f>IF(OR(Y2940="",'01_설정'!B31="",'01_설정'!B31&lt;=0,'01_설정'!B32="",'01_설정'!B32&lt;=0),"",MAX(0,(1-Y2940/'01_설정'!B32))*'01_설정'!B31)</f>
        <v/>
      </c>
    </row>
    <row r="2941" ht="17.25" customHeight="1">
      <c r="A2941" s="152">
        <f>IF(INDEX('04A_국토부원자료'!$A:$A,ROW()+1)="","",ROW()-3)</f>
        <v/>
      </c>
      <c r="B2941" s="48">
        <f>IFERROR(INDEX('04A_국토부원자료'!$A:$T,ROW()+1,MATCH("시군구",'04A_국토부원자료'!$A$4:$T$4,0)),"")</f>
        <v/>
      </c>
      <c r="C2941" s="48">
        <f>IF(B2941="","",IFERROR(INDEX('04A_국토부원자료'!$A:$T,ROW()+1,MATCH("번지",'04A_국토부원자료'!$A$4:$T$4,0)),""))</f>
        <v/>
      </c>
      <c r="D2941" s="48">
        <f>IF(B2941="","",IF(Q2941=1,'02_대상물건입력'!$B$8,IFERROR(INDEX('04A_국토부원자료'!$A:$T,ROW()+1,MATCH("단지명",'04A_국토부원자료'!$A$4:$T$4,0)),"")))</f>
        <v/>
      </c>
      <c r="E2941" s="172">
        <f>IFERROR(VALUE(SUBSTITUTE(INDEX('04A_국토부원자료'!$A:$T,ROW()+1,MATCH("전용면적(㎡)",'04A_국토부원자료'!$A$4:$T$4,0)),",","")),"")</f>
        <v/>
      </c>
      <c r="F294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41" s="51">
        <f>IFERROR(VALUE(SUBSTITUTE(INDEX('04A_국토부원자료'!$A:$T,ROW()+1,MATCH("거래금액(만원)",'04A_국토부원자료'!$A$4:$T$4,0)),",","")),"")</f>
        <v/>
      </c>
      <c r="H2941" s="174">
        <f>IF(G2941="","",G2941*10000)</f>
        <v/>
      </c>
      <c r="I2941" s="174">
        <f>IFERROR(IF(AND(H2941&gt;0,E2941&gt;0),H2941/E2941,""),"")</f>
        <v/>
      </c>
      <c r="J2941" s="152">
        <f>IFERROR(VALUE(SUBSTITUTE(INDEX('04A_국토부원자료'!$A:$T,ROW()+1,MATCH("층",'04A_국토부원자료'!$A$4:$T$4,0)),",","")),"")</f>
        <v/>
      </c>
      <c r="K2941" s="152">
        <f>IFERROR(VALUE(SUBSTITUTE(INDEX('04A_국토부원자료'!$A:$T,ROW()+1,MATCH("건축년도",'04A_국토부원자료'!$A$4:$T$4,0)),",","")),"")</f>
        <v/>
      </c>
      <c r="L2941" s="48">
        <f>IFERROR(INDEX('04A_국토부원자료'!$A:$T,ROW()+1,MATCH("도로명",'04A_국토부원자료'!$A$4:$T$4,0)),"")</f>
        <v/>
      </c>
      <c r="M2941" s="48">
        <f>IFERROR(INDEX('04A_국토부원자료'!$A:$T,ROW()+1,MATCH("거래유형",'04A_국토부원자료'!$A$4:$T$4,0)),"")</f>
        <v/>
      </c>
      <c r="N2941" s="152">
        <f>IF(B2941="","",IF('02_대상물건입력'!B5="",1,IF(ISNUMBER(SEARCH('02_대상물건입력'!B5,B2941)),1,0)))</f>
        <v/>
      </c>
      <c r="O2941" s="152">
        <f>IF(B2941="","",IF('02_대상물건입력'!B6="",1,IF(ISNUMBER(SEARCH('02_대상물건입력'!B6,B2941)),1,0)))</f>
        <v/>
      </c>
      <c r="P2941" s="152">
        <f>IF(L2941="","",IF('02_대상물건입력'!B15="",0,IF(ISNUMBER(SEARCH('02_대상물건입력'!B15,L2941)),1,0)))</f>
        <v/>
      </c>
      <c r="Q2941" s="152">
        <f>IF(OR(C2941="",L2941=""),0,IF(AND(TRIM(C2941)=TRIM(RIGHT(SUBSTITUTE(TRIM('02_대상물건입력'!$B$7)," ",REPT(" ",99)),99)),IF('02_대상물건입력'!B15="",TRUE(),ISNUMBER(SEARCH('02_대상물건입력'!B15,L2941)))),1,0))</f>
        <v/>
      </c>
      <c r="R2941" s="175">
        <f>IFERROR(ABS(E2941-'02_대상물건입력'!B11)/'02_대상물건입력'!B11,"")</f>
        <v/>
      </c>
      <c r="S2941" s="152">
        <f>IFERROR(ABS(J2941-'02_대상물건입력'!B10),"")</f>
        <v/>
      </c>
      <c r="T2941" s="152">
        <f>IFERROR(ABS('01_설정'!B4-F2941),"")</f>
        <v/>
      </c>
      <c r="U2941" s="152">
        <f>IFERROR(ABS(K2941-YEAR('02_대상물건입력'!B14)),"")</f>
        <v/>
      </c>
      <c r="V2941" s="152">
        <f>IF(B2941="","",IF(AND(E2941&gt;0,F2941&gt;0,H2941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2941=1,TRUE()),R2941&lt;='01_설정'!B5,S2941&lt;='01_설정'!B6,T2941&lt;='01_설정'!B7,U2941&lt;='01_설정'!B8),"Y",""))</f>
        <v/>
      </c>
      <c r="W2941" s="172">
        <f>IF(V2941&lt;&gt;"Y","",MAX(0,(1-R2941/'01_설정'!B5))*'01_설정'!B14+MAX(0,(1-S2941/'01_설정'!B6))*'01_설정'!B15+MAX(0,(1-T2941/'01_설정'!B7))*'01_설정'!B16+MAX(0,(1-U2941/'01_설정'!B8))*'01_설정'!B17+O2941*'01_설정'!B11+Q2941*'01_설정'!B12+P2941*'01_설정'!B13+IF(Z2941="",0,Z2941))</f>
        <v/>
      </c>
      <c r="X2941" s="152">
        <f>IF(W2941="","",1+COUNTIFS($W$4:$W$3003,"&gt;"&amp;W2941)+COUNTIFS($W$4:W2941,W2941)-1)</f>
        <v/>
      </c>
      <c r="Y2941" s="175">
        <f>IF(OR(I2941="",'02_대상물건입력'!B19="",'02_대상물건입력'!B19&lt;=0),"",ABS(I2941-'02_대상물건입력'!B19)/'02_대상물건입력'!B19)</f>
        <v/>
      </c>
      <c r="Z2941" s="172">
        <f>IF(OR(Y2941="",'01_설정'!B31="",'01_설정'!B31&lt;=0,'01_설정'!B32="",'01_설정'!B32&lt;=0),"",MAX(0,(1-Y2941/'01_설정'!B32))*'01_설정'!B31)</f>
        <v/>
      </c>
    </row>
    <row r="2942" ht="17.25" customHeight="1">
      <c r="A2942" s="152">
        <f>IF(INDEX('04A_국토부원자료'!$A:$A,ROW()+1)="","",ROW()-3)</f>
        <v/>
      </c>
      <c r="B2942" s="48">
        <f>IFERROR(INDEX('04A_국토부원자료'!$A:$T,ROW()+1,MATCH("시군구",'04A_국토부원자료'!$A$4:$T$4,0)),"")</f>
        <v/>
      </c>
      <c r="C2942" s="48">
        <f>IF(B2942="","",IFERROR(INDEX('04A_국토부원자료'!$A:$T,ROW()+1,MATCH("번지",'04A_국토부원자료'!$A$4:$T$4,0)),""))</f>
        <v/>
      </c>
      <c r="D2942" s="48">
        <f>IF(B2942="","",IF(Q2942=1,'02_대상물건입력'!$B$8,IFERROR(INDEX('04A_국토부원자료'!$A:$T,ROW()+1,MATCH("단지명",'04A_국토부원자료'!$A$4:$T$4,0)),"")))</f>
        <v/>
      </c>
      <c r="E2942" s="172">
        <f>IFERROR(VALUE(SUBSTITUTE(INDEX('04A_국토부원자료'!$A:$T,ROW()+1,MATCH("전용면적(㎡)",'04A_국토부원자료'!$A$4:$T$4,0)),",","")),"")</f>
        <v/>
      </c>
      <c r="F294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42" s="51">
        <f>IFERROR(VALUE(SUBSTITUTE(INDEX('04A_국토부원자료'!$A:$T,ROW()+1,MATCH("거래금액(만원)",'04A_국토부원자료'!$A$4:$T$4,0)),",","")),"")</f>
        <v/>
      </c>
      <c r="H2942" s="174">
        <f>IF(G2942="","",G2942*10000)</f>
        <v/>
      </c>
      <c r="I2942" s="174">
        <f>IFERROR(IF(AND(H2942&gt;0,E2942&gt;0),H2942/E2942,""),"")</f>
        <v/>
      </c>
      <c r="J2942" s="152">
        <f>IFERROR(VALUE(SUBSTITUTE(INDEX('04A_국토부원자료'!$A:$T,ROW()+1,MATCH("층",'04A_국토부원자료'!$A$4:$T$4,0)),",","")),"")</f>
        <v/>
      </c>
      <c r="K2942" s="152">
        <f>IFERROR(VALUE(SUBSTITUTE(INDEX('04A_국토부원자료'!$A:$T,ROW()+1,MATCH("건축년도",'04A_국토부원자료'!$A$4:$T$4,0)),",","")),"")</f>
        <v/>
      </c>
      <c r="L2942" s="48">
        <f>IFERROR(INDEX('04A_국토부원자료'!$A:$T,ROW()+1,MATCH("도로명",'04A_국토부원자료'!$A$4:$T$4,0)),"")</f>
        <v/>
      </c>
      <c r="M2942" s="48">
        <f>IFERROR(INDEX('04A_국토부원자료'!$A:$T,ROW()+1,MATCH("거래유형",'04A_국토부원자료'!$A$4:$T$4,0)),"")</f>
        <v/>
      </c>
      <c r="N2942" s="152">
        <f>IF(B2942="","",IF('02_대상물건입력'!B5="",1,IF(ISNUMBER(SEARCH('02_대상물건입력'!B5,B2942)),1,0)))</f>
        <v/>
      </c>
      <c r="O2942" s="152">
        <f>IF(B2942="","",IF('02_대상물건입력'!B6="",1,IF(ISNUMBER(SEARCH('02_대상물건입력'!B6,B2942)),1,0)))</f>
        <v/>
      </c>
      <c r="P2942" s="152">
        <f>IF(L2942="","",IF('02_대상물건입력'!B15="",0,IF(ISNUMBER(SEARCH('02_대상물건입력'!B15,L2942)),1,0)))</f>
        <v/>
      </c>
      <c r="Q2942" s="152">
        <f>IF(OR(C2942="",L2942=""),0,IF(AND(TRIM(C2942)=TRIM(RIGHT(SUBSTITUTE(TRIM('02_대상물건입력'!$B$7)," ",REPT(" ",99)),99)),IF('02_대상물건입력'!B15="",TRUE(),ISNUMBER(SEARCH('02_대상물건입력'!B15,L2942)))),1,0))</f>
        <v/>
      </c>
      <c r="R2942" s="175">
        <f>IFERROR(ABS(E2942-'02_대상물건입력'!B11)/'02_대상물건입력'!B11,"")</f>
        <v/>
      </c>
      <c r="S2942" s="152">
        <f>IFERROR(ABS(J2942-'02_대상물건입력'!B10),"")</f>
        <v/>
      </c>
      <c r="T2942" s="152">
        <f>IFERROR(ABS('01_설정'!B4-F2942),"")</f>
        <v/>
      </c>
      <c r="U2942" s="152">
        <f>IFERROR(ABS(K2942-YEAR('02_대상물건입력'!B14)),"")</f>
        <v/>
      </c>
      <c r="V2942" s="152">
        <f>IF(B2942="","",IF(AND(E2942&gt;0,F2942&gt;0,H2942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2942=1,TRUE()),R2942&lt;='01_설정'!B5,S2942&lt;='01_설정'!B6,T2942&lt;='01_설정'!B7,U2942&lt;='01_설정'!B8),"Y",""))</f>
        <v/>
      </c>
      <c r="W2942" s="172">
        <f>IF(V2942&lt;&gt;"Y","",MAX(0,(1-R2942/'01_설정'!B5))*'01_설정'!B14+MAX(0,(1-S2942/'01_설정'!B6))*'01_설정'!B15+MAX(0,(1-T2942/'01_설정'!B7))*'01_설정'!B16+MAX(0,(1-U2942/'01_설정'!B8))*'01_설정'!B17+O2942*'01_설정'!B11+Q2942*'01_설정'!B12+P2942*'01_설정'!B13+IF(Z2942="",0,Z2942))</f>
        <v/>
      </c>
      <c r="X2942" s="152">
        <f>IF(W2942="","",1+COUNTIFS($W$4:$W$3003,"&gt;"&amp;W2942)+COUNTIFS($W$4:W2942,W2942)-1)</f>
        <v/>
      </c>
      <c r="Y2942" s="175">
        <f>IF(OR(I2942="",'02_대상물건입력'!B19="",'02_대상물건입력'!B19&lt;=0),"",ABS(I2942-'02_대상물건입력'!B19)/'02_대상물건입력'!B19)</f>
        <v/>
      </c>
      <c r="Z2942" s="172">
        <f>IF(OR(Y2942="",'01_설정'!B31="",'01_설정'!B31&lt;=0,'01_설정'!B32="",'01_설정'!B32&lt;=0),"",MAX(0,(1-Y2942/'01_설정'!B32))*'01_설정'!B31)</f>
        <v/>
      </c>
    </row>
    <row r="2943" ht="17.25" customHeight="1">
      <c r="A2943" s="152">
        <f>IF(INDEX('04A_국토부원자료'!$A:$A,ROW()+1)="","",ROW()-3)</f>
        <v/>
      </c>
      <c r="B2943" s="48">
        <f>IFERROR(INDEX('04A_국토부원자료'!$A:$T,ROW()+1,MATCH("시군구",'04A_국토부원자료'!$A$4:$T$4,0)),"")</f>
        <v/>
      </c>
      <c r="C2943" s="48">
        <f>IF(B2943="","",IFERROR(INDEX('04A_국토부원자료'!$A:$T,ROW()+1,MATCH("번지",'04A_국토부원자료'!$A$4:$T$4,0)),""))</f>
        <v/>
      </c>
      <c r="D2943" s="48">
        <f>IF(B2943="","",IF(Q2943=1,'02_대상물건입력'!$B$8,IFERROR(INDEX('04A_국토부원자료'!$A:$T,ROW()+1,MATCH("단지명",'04A_국토부원자료'!$A$4:$T$4,0)),"")))</f>
        <v/>
      </c>
      <c r="E2943" s="172">
        <f>IFERROR(VALUE(SUBSTITUTE(INDEX('04A_국토부원자료'!$A:$T,ROW()+1,MATCH("전용면적(㎡)",'04A_국토부원자료'!$A$4:$T$4,0)),",","")),"")</f>
        <v/>
      </c>
      <c r="F294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43" s="51">
        <f>IFERROR(VALUE(SUBSTITUTE(INDEX('04A_국토부원자료'!$A:$T,ROW()+1,MATCH("거래금액(만원)",'04A_국토부원자료'!$A$4:$T$4,0)),",","")),"")</f>
        <v/>
      </c>
      <c r="H2943" s="174">
        <f>IF(G2943="","",G2943*10000)</f>
        <v/>
      </c>
      <c r="I2943" s="174">
        <f>IFERROR(IF(AND(H2943&gt;0,E2943&gt;0),H2943/E2943,""),"")</f>
        <v/>
      </c>
      <c r="J2943" s="152">
        <f>IFERROR(VALUE(SUBSTITUTE(INDEX('04A_국토부원자료'!$A:$T,ROW()+1,MATCH("층",'04A_국토부원자료'!$A$4:$T$4,0)),",","")),"")</f>
        <v/>
      </c>
      <c r="K2943" s="152">
        <f>IFERROR(VALUE(SUBSTITUTE(INDEX('04A_국토부원자료'!$A:$T,ROW()+1,MATCH("건축년도",'04A_국토부원자료'!$A$4:$T$4,0)),",","")),"")</f>
        <v/>
      </c>
      <c r="L2943" s="48">
        <f>IFERROR(INDEX('04A_국토부원자료'!$A:$T,ROW()+1,MATCH("도로명",'04A_국토부원자료'!$A$4:$T$4,0)),"")</f>
        <v/>
      </c>
      <c r="M2943" s="48">
        <f>IFERROR(INDEX('04A_국토부원자료'!$A:$T,ROW()+1,MATCH("거래유형",'04A_국토부원자료'!$A$4:$T$4,0)),"")</f>
        <v/>
      </c>
      <c r="N2943" s="152">
        <f>IF(B2943="","",IF('02_대상물건입력'!B5="",1,IF(ISNUMBER(SEARCH('02_대상물건입력'!B5,B2943)),1,0)))</f>
        <v/>
      </c>
      <c r="O2943" s="152">
        <f>IF(B2943="","",IF('02_대상물건입력'!B6="",1,IF(ISNUMBER(SEARCH('02_대상물건입력'!B6,B2943)),1,0)))</f>
        <v/>
      </c>
      <c r="P2943" s="152">
        <f>IF(L2943="","",IF('02_대상물건입력'!B15="",0,IF(ISNUMBER(SEARCH('02_대상물건입력'!B15,L2943)),1,0)))</f>
        <v/>
      </c>
      <c r="Q2943" s="152">
        <f>IF(OR(C2943="",L2943=""),0,IF(AND(TRIM(C2943)=TRIM(RIGHT(SUBSTITUTE(TRIM('02_대상물건입력'!$B$7)," ",REPT(" ",99)),99)),IF('02_대상물건입력'!B15="",TRUE(),ISNUMBER(SEARCH('02_대상물건입력'!B15,L2943)))),1,0))</f>
        <v/>
      </c>
      <c r="R2943" s="175">
        <f>IFERROR(ABS(E2943-'02_대상물건입력'!B11)/'02_대상물건입력'!B11,"")</f>
        <v/>
      </c>
      <c r="S2943" s="152">
        <f>IFERROR(ABS(J2943-'02_대상물건입력'!B10),"")</f>
        <v/>
      </c>
      <c r="T2943" s="152">
        <f>IFERROR(ABS('01_설정'!B4-F2943),"")</f>
        <v/>
      </c>
      <c r="U2943" s="152">
        <f>IFERROR(ABS(K2943-YEAR('02_대상물건입력'!B14)),"")</f>
        <v/>
      </c>
      <c r="V2943" s="152">
        <f>IF(B2943="","",IF(AND(E2943&gt;0,F2943&gt;0,H2943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2943=1,TRUE()),R2943&lt;='01_설정'!B5,S2943&lt;='01_설정'!B6,T2943&lt;='01_설정'!B7,U2943&lt;='01_설정'!B8),"Y",""))</f>
        <v/>
      </c>
      <c r="W2943" s="172">
        <f>IF(V2943&lt;&gt;"Y","",MAX(0,(1-R2943/'01_설정'!B5))*'01_설정'!B14+MAX(0,(1-S2943/'01_설정'!B6))*'01_설정'!B15+MAX(0,(1-T2943/'01_설정'!B7))*'01_설정'!B16+MAX(0,(1-U2943/'01_설정'!B8))*'01_설정'!B17+O2943*'01_설정'!B11+Q2943*'01_설정'!B12+P2943*'01_설정'!B13+IF(Z2943="",0,Z2943))</f>
        <v/>
      </c>
      <c r="X2943" s="152">
        <f>IF(W2943="","",1+COUNTIFS($W$4:$W$3003,"&gt;"&amp;W2943)+COUNTIFS($W$4:W2943,W2943)-1)</f>
        <v/>
      </c>
      <c r="Y2943" s="175">
        <f>IF(OR(I2943="",'02_대상물건입력'!B19="",'02_대상물건입력'!B19&lt;=0),"",ABS(I2943-'02_대상물건입력'!B19)/'02_대상물건입력'!B19)</f>
        <v/>
      </c>
      <c r="Z2943" s="172">
        <f>IF(OR(Y2943="",'01_설정'!B31="",'01_설정'!B31&lt;=0,'01_설정'!B32="",'01_설정'!B32&lt;=0),"",MAX(0,(1-Y2943/'01_설정'!B32))*'01_설정'!B31)</f>
        <v/>
      </c>
    </row>
    <row r="2944" ht="17.25" customHeight="1">
      <c r="A2944" s="152">
        <f>IF(INDEX('04A_국토부원자료'!$A:$A,ROW()+1)="","",ROW()-3)</f>
        <v/>
      </c>
      <c r="B2944" s="48">
        <f>IFERROR(INDEX('04A_국토부원자료'!$A:$T,ROW()+1,MATCH("시군구",'04A_국토부원자료'!$A$4:$T$4,0)),"")</f>
        <v/>
      </c>
      <c r="C2944" s="48">
        <f>IF(B2944="","",IFERROR(INDEX('04A_국토부원자료'!$A:$T,ROW()+1,MATCH("번지",'04A_국토부원자료'!$A$4:$T$4,0)),""))</f>
        <v/>
      </c>
      <c r="D2944" s="48">
        <f>IF(B2944="","",IF(Q2944=1,'02_대상물건입력'!$B$8,IFERROR(INDEX('04A_국토부원자료'!$A:$T,ROW()+1,MATCH("단지명",'04A_국토부원자료'!$A$4:$T$4,0)),"")))</f>
        <v/>
      </c>
      <c r="E2944" s="172">
        <f>IFERROR(VALUE(SUBSTITUTE(INDEX('04A_국토부원자료'!$A:$T,ROW()+1,MATCH("전용면적(㎡)",'04A_국토부원자료'!$A$4:$T$4,0)),",","")),"")</f>
        <v/>
      </c>
      <c r="F294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44" s="51">
        <f>IFERROR(VALUE(SUBSTITUTE(INDEX('04A_국토부원자료'!$A:$T,ROW()+1,MATCH("거래금액(만원)",'04A_국토부원자료'!$A$4:$T$4,0)),",","")),"")</f>
        <v/>
      </c>
      <c r="H2944" s="174">
        <f>IF(G2944="","",G2944*10000)</f>
        <v/>
      </c>
      <c r="I2944" s="174">
        <f>IFERROR(IF(AND(H2944&gt;0,E2944&gt;0),H2944/E2944,""),"")</f>
        <v/>
      </c>
      <c r="J2944" s="152">
        <f>IFERROR(VALUE(SUBSTITUTE(INDEX('04A_국토부원자료'!$A:$T,ROW()+1,MATCH("층",'04A_국토부원자료'!$A$4:$T$4,0)),",","")),"")</f>
        <v/>
      </c>
      <c r="K2944" s="152">
        <f>IFERROR(VALUE(SUBSTITUTE(INDEX('04A_국토부원자료'!$A:$T,ROW()+1,MATCH("건축년도",'04A_국토부원자료'!$A$4:$T$4,0)),",","")),"")</f>
        <v/>
      </c>
      <c r="L2944" s="48">
        <f>IFERROR(INDEX('04A_국토부원자료'!$A:$T,ROW()+1,MATCH("도로명",'04A_국토부원자료'!$A$4:$T$4,0)),"")</f>
        <v/>
      </c>
      <c r="M2944" s="48">
        <f>IFERROR(INDEX('04A_국토부원자료'!$A:$T,ROW()+1,MATCH("거래유형",'04A_국토부원자료'!$A$4:$T$4,0)),"")</f>
        <v/>
      </c>
      <c r="N2944" s="152">
        <f>IF(B2944="","",IF('02_대상물건입력'!B5="",1,IF(ISNUMBER(SEARCH('02_대상물건입력'!B5,B2944)),1,0)))</f>
        <v/>
      </c>
      <c r="O2944" s="152">
        <f>IF(B2944="","",IF('02_대상물건입력'!B6="",1,IF(ISNUMBER(SEARCH('02_대상물건입력'!B6,B2944)),1,0)))</f>
        <v/>
      </c>
      <c r="P2944" s="152">
        <f>IF(L2944="","",IF('02_대상물건입력'!B15="",0,IF(ISNUMBER(SEARCH('02_대상물건입력'!B15,L2944)),1,0)))</f>
        <v/>
      </c>
      <c r="Q2944" s="152">
        <f>IF(OR(C2944="",L2944=""),0,IF(AND(TRIM(C2944)=TRIM(RIGHT(SUBSTITUTE(TRIM('02_대상물건입력'!$B$7)," ",REPT(" ",99)),99)),IF('02_대상물건입력'!B15="",TRUE(),ISNUMBER(SEARCH('02_대상물건입력'!B15,L2944)))),1,0))</f>
        <v/>
      </c>
      <c r="R2944" s="175">
        <f>IFERROR(ABS(E2944-'02_대상물건입력'!B11)/'02_대상물건입력'!B11,"")</f>
        <v/>
      </c>
      <c r="S2944" s="152">
        <f>IFERROR(ABS(J2944-'02_대상물건입력'!B10),"")</f>
        <v/>
      </c>
      <c r="T2944" s="152">
        <f>IFERROR(ABS('01_설정'!B4-F2944),"")</f>
        <v/>
      </c>
      <c r="U2944" s="152">
        <f>IFERROR(ABS(K2944-YEAR('02_대상물건입력'!B14)),"")</f>
        <v/>
      </c>
      <c r="V2944" s="152">
        <f>IF(B2944="","",IF(AND(E2944&gt;0,F2944&gt;0,H2944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2944=1,TRUE()),R2944&lt;='01_설정'!B5,S2944&lt;='01_설정'!B6,T2944&lt;='01_설정'!B7,U2944&lt;='01_설정'!B8),"Y",""))</f>
        <v/>
      </c>
      <c r="W2944" s="172">
        <f>IF(V2944&lt;&gt;"Y","",MAX(0,(1-R2944/'01_설정'!B5))*'01_설정'!B14+MAX(0,(1-S2944/'01_설정'!B6))*'01_설정'!B15+MAX(0,(1-T2944/'01_설정'!B7))*'01_설정'!B16+MAX(0,(1-U2944/'01_설정'!B8))*'01_설정'!B17+O2944*'01_설정'!B11+Q2944*'01_설정'!B12+P2944*'01_설정'!B13+IF(Z2944="",0,Z2944))</f>
        <v/>
      </c>
      <c r="X2944" s="152">
        <f>IF(W2944="","",1+COUNTIFS($W$4:$W$3003,"&gt;"&amp;W2944)+COUNTIFS($W$4:W2944,W2944)-1)</f>
        <v/>
      </c>
      <c r="Y2944" s="175">
        <f>IF(OR(I2944="",'02_대상물건입력'!B19="",'02_대상물건입력'!B19&lt;=0),"",ABS(I2944-'02_대상물건입력'!B19)/'02_대상물건입력'!B19)</f>
        <v/>
      </c>
      <c r="Z2944" s="172">
        <f>IF(OR(Y2944="",'01_설정'!B31="",'01_설정'!B31&lt;=0,'01_설정'!B32="",'01_설정'!B32&lt;=0),"",MAX(0,(1-Y2944/'01_설정'!B32))*'01_설정'!B31)</f>
        <v/>
      </c>
    </row>
    <row r="2945" ht="17.25" customHeight="1">
      <c r="A2945" s="152">
        <f>IF(INDEX('04A_국토부원자료'!$A:$A,ROW()+1)="","",ROW()-3)</f>
        <v/>
      </c>
      <c r="B2945" s="48">
        <f>IFERROR(INDEX('04A_국토부원자료'!$A:$T,ROW()+1,MATCH("시군구",'04A_국토부원자료'!$A$4:$T$4,0)),"")</f>
        <v/>
      </c>
      <c r="C2945" s="48">
        <f>IF(B2945="","",IFERROR(INDEX('04A_국토부원자료'!$A:$T,ROW()+1,MATCH("번지",'04A_국토부원자료'!$A$4:$T$4,0)),""))</f>
        <v/>
      </c>
      <c r="D2945" s="48">
        <f>IF(B2945="","",IF(Q2945=1,'02_대상물건입력'!$B$8,IFERROR(INDEX('04A_국토부원자료'!$A:$T,ROW()+1,MATCH("단지명",'04A_국토부원자료'!$A$4:$T$4,0)),"")))</f>
        <v/>
      </c>
      <c r="E2945" s="172">
        <f>IFERROR(VALUE(SUBSTITUTE(INDEX('04A_국토부원자료'!$A:$T,ROW()+1,MATCH("전용면적(㎡)",'04A_국토부원자료'!$A$4:$T$4,0)),",","")),"")</f>
        <v/>
      </c>
      <c r="F294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45" s="51">
        <f>IFERROR(VALUE(SUBSTITUTE(INDEX('04A_국토부원자료'!$A:$T,ROW()+1,MATCH("거래금액(만원)",'04A_국토부원자료'!$A$4:$T$4,0)),",","")),"")</f>
        <v/>
      </c>
      <c r="H2945" s="174">
        <f>IF(G2945="","",G2945*10000)</f>
        <v/>
      </c>
      <c r="I2945" s="174">
        <f>IFERROR(IF(AND(H2945&gt;0,E2945&gt;0),H2945/E2945,""),"")</f>
        <v/>
      </c>
      <c r="J2945" s="152">
        <f>IFERROR(VALUE(SUBSTITUTE(INDEX('04A_국토부원자료'!$A:$T,ROW()+1,MATCH("층",'04A_국토부원자료'!$A$4:$T$4,0)),",","")),"")</f>
        <v/>
      </c>
      <c r="K2945" s="152">
        <f>IFERROR(VALUE(SUBSTITUTE(INDEX('04A_국토부원자료'!$A:$T,ROW()+1,MATCH("건축년도",'04A_국토부원자료'!$A$4:$T$4,0)),",","")),"")</f>
        <v/>
      </c>
      <c r="L2945" s="48">
        <f>IFERROR(INDEX('04A_국토부원자료'!$A:$T,ROW()+1,MATCH("도로명",'04A_국토부원자료'!$A$4:$T$4,0)),"")</f>
        <v/>
      </c>
      <c r="M2945" s="48">
        <f>IFERROR(INDEX('04A_국토부원자료'!$A:$T,ROW()+1,MATCH("거래유형",'04A_국토부원자료'!$A$4:$T$4,0)),"")</f>
        <v/>
      </c>
      <c r="N2945" s="152">
        <f>IF(B2945="","",IF('02_대상물건입력'!B5="",1,IF(ISNUMBER(SEARCH('02_대상물건입력'!B5,B2945)),1,0)))</f>
        <v/>
      </c>
      <c r="O2945" s="152">
        <f>IF(B2945="","",IF('02_대상물건입력'!B6="",1,IF(ISNUMBER(SEARCH('02_대상물건입력'!B6,B2945)),1,0)))</f>
        <v/>
      </c>
      <c r="P2945" s="152">
        <f>IF(L2945="","",IF('02_대상물건입력'!B15="",0,IF(ISNUMBER(SEARCH('02_대상물건입력'!B15,L2945)),1,0)))</f>
        <v/>
      </c>
      <c r="Q2945" s="152">
        <f>IF(OR(C2945="",L2945=""),0,IF(AND(TRIM(C2945)=TRIM(RIGHT(SUBSTITUTE(TRIM('02_대상물건입력'!$B$7)," ",REPT(" ",99)),99)),IF('02_대상물건입력'!B15="",TRUE(),ISNUMBER(SEARCH('02_대상물건입력'!B15,L2945)))),1,0))</f>
        <v/>
      </c>
      <c r="R2945" s="175">
        <f>IFERROR(ABS(E2945-'02_대상물건입력'!B11)/'02_대상물건입력'!B11,"")</f>
        <v/>
      </c>
      <c r="S2945" s="152">
        <f>IFERROR(ABS(J2945-'02_대상물건입력'!B10),"")</f>
        <v/>
      </c>
      <c r="T2945" s="152">
        <f>IFERROR(ABS('01_설정'!B4-F2945),"")</f>
        <v/>
      </c>
      <c r="U2945" s="152">
        <f>IFERROR(ABS(K2945-YEAR('02_대상물건입력'!B14)),"")</f>
        <v/>
      </c>
      <c r="V2945" s="152">
        <f>IF(B2945="","",IF(AND(E2945&gt;0,F2945&gt;0,H2945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2945=1,TRUE()),R2945&lt;='01_설정'!B5,S2945&lt;='01_설정'!B6,T2945&lt;='01_설정'!B7,U2945&lt;='01_설정'!B8),"Y",""))</f>
        <v/>
      </c>
      <c r="W2945" s="172">
        <f>IF(V2945&lt;&gt;"Y","",MAX(0,(1-R2945/'01_설정'!B5))*'01_설정'!B14+MAX(0,(1-S2945/'01_설정'!B6))*'01_설정'!B15+MAX(0,(1-T2945/'01_설정'!B7))*'01_설정'!B16+MAX(0,(1-U2945/'01_설정'!B8))*'01_설정'!B17+O2945*'01_설정'!B11+Q2945*'01_설정'!B12+P2945*'01_설정'!B13+IF(Z2945="",0,Z2945))</f>
        <v/>
      </c>
      <c r="X2945" s="152">
        <f>IF(W2945="","",1+COUNTIFS($W$4:$W$3003,"&gt;"&amp;W2945)+COUNTIFS($W$4:W2945,W2945)-1)</f>
        <v/>
      </c>
      <c r="Y2945" s="175">
        <f>IF(OR(I2945="",'02_대상물건입력'!B19="",'02_대상물건입력'!B19&lt;=0),"",ABS(I2945-'02_대상물건입력'!B19)/'02_대상물건입력'!B19)</f>
        <v/>
      </c>
      <c r="Z2945" s="172">
        <f>IF(OR(Y2945="",'01_설정'!B31="",'01_설정'!B31&lt;=0,'01_설정'!B32="",'01_설정'!B32&lt;=0),"",MAX(0,(1-Y2945/'01_설정'!B32))*'01_설정'!B31)</f>
        <v/>
      </c>
    </row>
    <row r="2946" ht="17.25" customHeight="1">
      <c r="A2946" s="152">
        <f>IF(INDEX('04A_국토부원자료'!$A:$A,ROW()+1)="","",ROW()-3)</f>
        <v/>
      </c>
      <c r="B2946" s="48">
        <f>IFERROR(INDEX('04A_국토부원자료'!$A:$T,ROW()+1,MATCH("시군구",'04A_국토부원자료'!$A$4:$T$4,0)),"")</f>
        <v/>
      </c>
      <c r="C2946" s="48">
        <f>IF(B2946="","",IFERROR(INDEX('04A_국토부원자료'!$A:$T,ROW()+1,MATCH("번지",'04A_국토부원자료'!$A$4:$T$4,0)),""))</f>
        <v/>
      </c>
      <c r="D2946" s="48">
        <f>IF(B2946="","",IF(Q2946=1,'02_대상물건입력'!$B$8,IFERROR(INDEX('04A_국토부원자료'!$A:$T,ROW()+1,MATCH("단지명",'04A_국토부원자료'!$A$4:$T$4,0)),"")))</f>
        <v/>
      </c>
      <c r="E2946" s="172">
        <f>IFERROR(VALUE(SUBSTITUTE(INDEX('04A_국토부원자료'!$A:$T,ROW()+1,MATCH("전용면적(㎡)",'04A_국토부원자료'!$A$4:$T$4,0)),",","")),"")</f>
        <v/>
      </c>
      <c r="F294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46" s="51">
        <f>IFERROR(VALUE(SUBSTITUTE(INDEX('04A_국토부원자료'!$A:$T,ROW()+1,MATCH("거래금액(만원)",'04A_국토부원자료'!$A$4:$T$4,0)),",","")),"")</f>
        <v/>
      </c>
      <c r="H2946" s="174">
        <f>IF(G2946="","",G2946*10000)</f>
        <v/>
      </c>
      <c r="I2946" s="174">
        <f>IFERROR(IF(AND(H2946&gt;0,E2946&gt;0),H2946/E2946,""),"")</f>
        <v/>
      </c>
      <c r="J2946" s="152">
        <f>IFERROR(VALUE(SUBSTITUTE(INDEX('04A_국토부원자료'!$A:$T,ROW()+1,MATCH("층",'04A_국토부원자료'!$A$4:$T$4,0)),",","")),"")</f>
        <v/>
      </c>
      <c r="K2946" s="152">
        <f>IFERROR(VALUE(SUBSTITUTE(INDEX('04A_국토부원자료'!$A:$T,ROW()+1,MATCH("건축년도",'04A_국토부원자료'!$A$4:$T$4,0)),",","")),"")</f>
        <v/>
      </c>
      <c r="L2946" s="48">
        <f>IFERROR(INDEX('04A_국토부원자료'!$A:$T,ROW()+1,MATCH("도로명",'04A_국토부원자료'!$A$4:$T$4,0)),"")</f>
        <v/>
      </c>
      <c r="M2946" s="48">
        <f>IFERROR(INDEX('04A_국토부원자료'!$A:$T,ROW()+1,MATCH("거래유형",'04A_국토부원자료'!$A$4:$T$4,0)),"")</f>
        <v/>
      </c>
      <c r="N2946" s="152">
        <f>IF(B2946="","",IF('02_대상물건입력'!B5="",1,IF(ISNUMBER(SEARCH('02_대상물건입력'!B5,B2946)),1,0)))</f>
        <v/>
      </c>
      <c r="O2946" s="152">
        <f>IF(B2946="","",IF('02_대상물건입력'!B6="",1,IF(ISNUMBER(SEARCH('02_대상물건입력'!B6,B2946)),1,0)))</f>
        <v/>
      </c>
      <c r="P2946" s="152">
        <f>IF(L2946="","",IF('02_대상물건입력'!B15="",0,IF(ISNUMBER(SEARCH('02_대상물건입력'!B15,L2946)),1,0)))</f>
        <v/>
      </c>
      <c r="Q2946" s="152">
        <f>IF(OR(C2946="",L2946=""),0,IF(AND(TRIM(C2946)=TRIM(RIGHT(SUBSTITUTE(TRIM('02_대상물건입력'!$B$7)," ",REPT(" ",99)),99)),IF('02_대상물건입력'!B15="",TRUE(),ISNUMBER(SEARCH('02_대상물건입력'!B15,L2946)))),1,0))</f>
        <v/>
      </c>
      <c r="R2946" s="175">
        <f>IFERROR(ABS(E2946-'02_대상물건입력'!B11)/'02_대상물건입력'!B11,"")</f>
        <v/>
      </c>
      <c r="S2946" s="152">
        <f>IFERROR(ABS(J2946-'02_대상물건입력'!B10),"")</f>
        <v/>
      </c>
      <c r="T2946" s="152">
        <f>IFERROR(ABS('01_설정'!B4-F2946),"")</f>
        <v/>
      </c>
      <c r="U2946" s="152">
        <f>IFERROR(ABS(K2946-YEAR('02_대상물건입력'!B14)),"")</f>
        <v/>
      </c>
      <c r="V2946" s="152">
        <f>IF(B2946="","",IF(AND(E2946&gt;0,F2946&gt;0,H2946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2946=1,TRUE()),R2946&lt;='01_설정'!B5,S2946&lt;='01_설정'!B6,T2946&lt;='01_설정'!B7,U2946&lt;='01_설정'!B8),"Y",""))</f>
        <v/>
      </c>
      <c r="W2946" s="172">
        <f>IF(V2946&lt;&gt;"Y","",MAX(0,(1-R2946/'01_설정'!B5))*'01_설정'!B14+MAX(0,(1-S2946/'01_설정'!B6))*'01_설정'!B15+MAX(0,(1-T2946/'01_설정'!B7))*'01_설정'!B16+MAX(0,(1-U2946/'01_설정'!B8))*'01_설정'!B17+O2946*'01_설정'!B11+Q2946*'01_설정'!B12+P2946*'01_설정'!B13+IF(Z2946="",0,Z2946))</f>
        <v/>
      </c>
      <c r="X2946" s="152">
        <f>IF(W2946="","",1+COUNTIFS($W$4:$W$3003,"&gt;"&amp;W2946)+COUNTIFS($W$4:W2946,W2946)-1)</f>
        <v/>
      </c>
      <c r="Y2946" s="175">
        <f>IF(OR(I2946="",'02_대상물건입력'!B19="",'02_대상물건입력'!B19&lt;=0),"",ABS(I2946-'02_대상물건입력'!B19)/'02_대상물건입력'!B19)</f>
        <v/>
      </c>
      <c r="Z2946" s="172">
        <f>IF(OR(Y2946="",'01_설정'!B31="",'01_설정'!B31&lt;=0,'01_설정'!B32="",'01_설정'!B32&lt;=0),"",MAX(0,(1-Y2946/'01_설정'!B32))*'01_설정'!B31)</f>
        <v/>
      </c>
    </row>
    <row r="2947" ht="17.25" customHeight="1">
      <c r="A2947" s="152">
        <f>IF(INDEX('04A_국토부원자료'!$A:$A,ROW()+1)="","",ROW()-3)</f>
        <v/>
      </c>
      <c r="B2947" s="48">
        <f>IFERROR(INDEX('04A_국토부원자료'!$A:$T,ROW()+1,MATCH("시군구",'04A_국토부원자료'!$A$4:$T$4,0)),"")</f>
        <v/>
      </c>
      <c r="C2947" s="48">
        <f>IF(B2947="","",IFERROR(INDEX('04A_국토부원자료'!$A:$T,ROW()+1,MATCH("번지",'04A_국토부원자료'!$A$4:$T$4,0)),""))</f>
        <v/>
      </c>
      <c r="D2947" s="48">
        <f>IF(B2947="","",IF(Q2947=1,'02_대상물건입력'!$B$8,IFERROR(INDEX('04A_국토부원자료'!$A:$T,ROW()+1,MATCH("단지명",'04A_국토부원자료'!$A$4:$T$4,0)),"")))</f>
        <v/>
      </c>
      <c r="E2947" s="172">
        <f>IFERROR(VALUE(SUBSTITUTE(INDEX('04A_국토부원자료'!$A:$T,ROW()+1,MATCH("전용면적(㎡)",'04A_국토부원자료'!$A$4:$T$4,0)),",","")),"")</f>
        <v/>
      </c>
      <c r="F294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47" s="51">
        <f>IFERROR(VALUE(SUBSTITUTE(INDEX('04A_국토부원자료'!$A:$T,ROW()+1,MATCH("거래금액(만원)",'04A_국토부원자료'!$A$4:$T$4,0)),",","")),"")</f>
        <v/>
      </c>
      <c r="H2947" s="174">
        <f>IF(G2947="","",G2947*10000)</f>
        <v/>
      </c>
      <c r="I2947" s="174">
        <f>IFERROR(IF(AND(H2947&gt;0,E2947&gt;0),H2947/E2947,""),"")</f>
        <v/>
      </c>
      <c r="J2947" s="152">
        <f>IFERROR(VALUE(SUBSTITUTE(INDEX('04A_국토부원자료'!$A:$T,ROW()+1,MATCH("층",'04A_국토부원자료'!$A$4:$T$4,0)),",","")),"")</f>
        <v/>
      </c>
      <c r="K2947" s="152">
        <f>IFERROR(VALUE(SUBSTITUTE(INDEX('04A_국토부원자료'!$A:$T,ROW()+1,MATCH("건축년도",'04A_국토부원자료'!$A$4:$T$4,0)),",","")),"")</f>
        <v/>
      </c>
      <c r="L2947" s="48">
        <f>IFERROR(INDEX('04A_국토부원자료'!$A:$T,ROW()+1,MATCH("도로명",'04A_국토부원자료'!$A$4:$T$4,0)),"")</f>
        <v/>
      </c>
      <c r="M2947" s="48">
        <f>IFERROR(INDEX('04A_국토부원자료'!$A:$T,ROW()+1,MATCH("거래유형",'04A_국토부원자료'!$A$4:$T$4,0)),"")</f>
        <v/>
      </c>
      <c r="N2947" s="152">
        <f>IF(B2947="","",IF('02_대상물건입력'!B5="",1,IF(ISNUMBER(SEARCH('02_대상물건입력'!B5,B2947)),1,0)))</f>
        <v/>
      </c>
      <c r="O2947" s="152">
        <f>IF(B2947="","",IF('02_대상물건입력'!B6="",1,IF(ISNUMBER(SEARCH('02_대상물건입력'!B6,B2947)),1,0)))</f>
        <v/>
      </c>
      <c r="P2947" s="152">
        <f>IF(L2947="","",IF('02_대상물건입력'!B15="",0,IF(ISNUMBER(SEARCH('02_대상물건입력'!B15,L2947)),1,0)))</f>
        <v/>
      </c>
      <c r="Q2947" s="152">
        <f>IF(OR(C2947="",L2947=""),0,IF(AND(TRIM(C2947)=TRIM(RIGHT(SUBSTITUTE(TRIM('02_대상물건입력'!$B$7)," ",REPT(" ",99)),99)),IF('02_대상물건입력'!B15="",TRUE(),ISNUMBER(SEARCH('02_대상물건입력'!B15,L2947)))),1,0))</f>
        <v/>
      </c>
      <c r="R2947" s="175">
        <f>IFERROR(ABS(E2947-'02_대상물건입력'!B11)/'02_대상물건입력'!B11,"")</f>
        <v/>
      </c>
      <c r="S2947" s="152">
        <f>IFERROR(ABS(J2947-'02_대상물건입력'!B10),"")</f>
        <v/>
      </c>
      <c r="T2947" s="152">
        <f>IFERROR(ABS('01_설정'!B4-F2947),"")</f>
        <v/>
      </c>
      <c r="U2947" s="152">
        <f>IFERROR(ABS(K2947-YEAR('02_대상물건입력'!B14)),"")</f>
        <v/>
      </c>
      <c r="V2947" s="152">
        <f>IF(B2947="","",IF(AND(E2947&gt;0,F2947&gt;0,H2947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2947=1,TRUE()),R2947&lt;='01_설정'!B5,S2947&lt;='01_설정'!B6,T2947&lt;='01_설정'!B7,U2947&lt;='01_설정'!B8),"Y",""))</f>
        <v/>
      </c>
      <c r="W2947" s="172">
        <f>IF(V2947&lt;&gt;"Y","",MAX(0,(1-R2947/'01_설정'!B5))*'01_설정'!B14+MAX(0,(1-S2947/'01_설정'!B6))*'01_설정'!B15+MAX(0,(1-T2947/'01_설정'!B7))*'01_설정'!B16+MAX(0,(1-U2947/'01_설정'!B8))*'01_설정'!B17+O2947*'01_설정'!B11+Q2947*'01_설정'!B12+P2947*'01_설정'!B13+IF(Z2947="",0,Z2947))</f>
        <v/>
      </c>
      <c r="X2947" s="152">
        <f>IF(W2947="","",1+COUNTIFS($W$4:$W$3003,"&gt;"&amp;W2947)+COUNTIFS($W$4:W2947,W2947)-1)</f>
        <v/>
      </c>
      <c r="Y2947" s="175">
        <f>IF(OR(I2947="",'02_대상물건입력'!B19="",'02_대상물건입력'!B19&lt;=0),"",ABS(I2947-'02_대상물건입력'!B19)/'02_대상물건입력'!B19)</f>
        <v/>
      </c>
      <c r="Z2947" s="172">
        <f>IF(OR(Y2947="",'01_설정'!B31="",'01_설정'!B31&lt;=0,'01_설정'!B32="",'01_설정'!B32&lt;=0),"",MAX(0,(1-Y2947/'01_설정'!B32))*'01_설정'!B31)</f>
        <v/>
      </c>
    </row>
    <row r="2948" ht="17.25" customHeight="1">
      <c r="A2948" s="152">
        <f>IF(INDEX('04A_국토부원자료'!$A:$A,ROW()+1)="","",ROW()-3)</f>
        <v/>
      </c>
      <c r="B2948" s="48">
        <f>IFERROR(INDEX('04A_국토부원자료'!$A:$T,ROW()+1,MATCH("시군구",'04A_국토부원자료'!$A$4:$T$4,0)),"")</f>
        <v/>
      </c>
      <c r="C2948" s="48">
        <f>IF(B2948="","",IFERROR(INDEX('04A_국토부원자료'!$A:$T,ROW()+1,MATCH("번지",'04A_국토부원자료'!$A$4:$T$4,0)),""))</f>
        <v/>
      </c>
      <c r="D2948" s="48">
        <f>IF(B2948="","",IF(Q2948=1,'02_대상물건입력'!$B$8,IFERROR(INDEX('04A_국토부원자료'!$A:$T,ROW()+1,MATCH("단지명",'04A_국토부원자료'!$A$4:$T$4,0)),"")))</f>
        <v/>
      </c>
      <c r="E2948" s="172">
        <f>IFERROR(VALUE(SUBSTITUTE(INDEX('04A_국토부원자료'!$A:$T,ROW()+1,MATCH("전용면적(㎡)",'04A_국토부원자료'!$A$4:$T$4,0)),",","")),"")</f>
        <v/>
      </c>
      <c r="F294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48" s="51">
        <f>IFERROR(VALUE(SUBSTITUTE(INDEX('04A_국토부원자료'!$A:$T,ROW()+1,MATCH("거래금액(만원)",'04A_국토부원자료'!$A$4:$T$4,0)),",","")),"")</f>
        <v/>
      </c>
      <c r="H2948" s="174">
        <f>IF(G2948="","",G2948*10000)</f>
        <v/>
      </c>
      <c r="I2948" s="174">
        <f>IFERROR(IF(AND(H2948&gt;0,E2948&gt;0),H2948/E2948,""),"")</f>
        <v/>
      </c>
      <c r="J2948" s="152">
        <f>IFERROR(VALUE(SUBSTITUTE(INDEX('04A_국토부원자료'!$A:$T,ROW()+1,MATCH("층",'04A_국토부원자료'!$A$4:$T$4,0)),",","")),"")</f>
        <v/>
      </c>
      <c r="K2948" s="152">
        <f>IFERROR(VALUE(SUBSTITUTE(INDEX('04A_국토부원자료'!$A:$T,ROW()+1,MATCH("건축년도",'04A_국토부원자료'!$A$4:$T$4,0)),",","")),"")</f>
        <v/>
      </c>
      <c r="L2948" s="48">
        <f>IFERROR(INDEX('04A_국토부원자료'!$A:$T,ROW()+1,MATCH("도로명",'04A_국토부원자료'!$A$4:$T$4,0)),"")</f>
        <v/>
      </c>
      <c r="M2948" s="48">
        <f>IFERROR(INDEX('04A_국토부원자료'!$A:$T,ROW()+1,MATCH("거래유형",'04A_국토부원자료'!$A$4:$T$4,0)),"")</f>
        <v/>
      </c>
      <c r="N2948" s="152">
        <f>IF(B2948="","",IF('02_대상물건입력'!B5="",1,IF(ISNUMBER(SEARCH('02_대상물건입력'!B5,B2948)),1,0)))</f>
        <v/>
      </c>
      <c r="O2948" s="152">
        <f>IF(B2948="","",IF('02_대상물건입력'!B6="",1,IF(ISNUMBER(SEARCH('02_대상물건입력'!B6,B2948)),1,0)))</f>
        <v/>
      </c>
      <c r="P2948" s="152">
        <f>IF(L2948="","",IF('02_대상물건입력'!B15="",0,IF(ISNUMBER(SEARCH('02_대상물건입력'!B15,L2948)),1,0)))</f>
        <v/>
      </c>
      <c r="Q2948" s="152">
        <f>IF(OR(C2948="",L2948=""),0,IF(AND(TRIM(C2948)=TRIM(RIGHT(SUBSTITUTE(TRIM('02_대상물건입력'!$B$7)," ",REPT(" ",99)),99)),IF('02_대상물건입력'!B15="",TRUE(),ISNUMBER(SEARCH('02_대상물건입력'!B15,L2948)))),1,0))</f>
        <v/>
      </c>
      <c r="R2948" s="175">
        <f>IFERROR(ABS(E2948-'02_대상물건입력'!B11)/'02_대상물건입력'!B11,"")</f>
        <v/>
      </c>
      <c r="S2948" s="152">
        <f>IFERROR(ABS(J2948-'02_대상물건입력'!B10),"")</f>
        <v/>
      </c>
      <c r="T2948" s="152">
        <f>IFERROR(ABS('01_설정'!B4-F2948),"")</f>
        <v/>
      </c>
      <c r="U2948" s="152">
        <f>IFERROR(ABS(K2948-YEAR('02_대상물건입력'!B14)),"")</f>
        <v/>
      </c>
      <c r="V2948" s="152">
        <f>IF(B2948="","",IF(AND(E2948&gt;0,F2948&gt;0,H2948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2948=1,TRUE()),R2948&lt;='01_설정'!B5,S2948&lt;='01_설정'!B6,T2948&lt;='01_설정'!B7,U2948&lt;='01_설정'!B8),"Y",""))</f>
        <v/>
      </c>
      <c r="W2948" s="172">
        <f>IF(V2948&lt;&gt;"Y","",MAX(0,(1-R2948/'01_설정'!B5))*'01_설정'!B14+MAX(0,(1-S2948/'01_설정'!B6))*'01_설정'!B15+MAX(0,(1-T2948/'01_설정'!B7))*'01_설정'!B16+MAX(0,(1-U2948/'01_설정'!B8))*'01_설정'!B17+O2948*'01_설정'!B11+Q2948*'01_설정'!B12+P2948*'01_설정'!B13+IF(Z2948="",0,Z2948))</f>
        <v/>
      </c>
      <c r="X2948" s="152">
        <f>IF(W2948="","",1+COUNTIFS($W$4:$W$3003,"&gt;"&amp;W2948)+COUNTIFS($W$4:W2948,W2948)-1)</f>
        <v/>
      </c>
      <c r="Y2948" s="175">
        <f>IF(OR(I2948="",'02_대상물건입력'!B19="",'02_대상물건입력'!B19&lt;=0),"",ABS(I2948-'02_대상물건입력'!B19)/'02_대상물건입력'!B19)</f>
        <v/>
      </c>
      <c r="Z2948" s="172">
        <f>IF(OR(Y2948="",'01_설정'!B31="",'01_설정'!B31&lt;=0,'01_설정'!B32="",'01_설정'!B32&lt;=0),"",MAX(0,(1-Y2948/'01_설정'!B32))*'01_설정'!B31)</f>
        <v/>
      </c>
    </row>
    <row r="2949" ht="17.25" customHeight="1">
      <c r="A2949" s="152">
        <f>IF(INDEX('04A_국토부원자료'!$A:$A,ROW()+1)="","",ROW()-3)</f>
        <v/>
      </c>
      <c r="B2949" s="48">
        <f>IFERROR(INDEX('04A_국토부원자료'!$A:$T,ROW()+1,MATCH("시군구",'04A_국토부원자료'!$A$4:$T$4,0)),"")</f>
        <v/>
      </c>
      <c r="C2949" s="48">
        <f>IF(B2949="","",IFERROR(INDEX('04A_국토부원자료'!$A:$T,ROW()+1,MATCH("번지",'04A_국토부원자료'!$A$4:$T$4,0)),""))</f>
        <v/>
      </c>
      <c r="D2949" s="48">
        <f>IF(B2949="","",IF(Q2949=1,'02_대상물건입력'!$B$8,IFERROR(INDEX('04A_국토부원자료'!$A:$T,ROW()+1,MATCH("단지명",'04A_국토부원자료'!$A$4:$T$4,0)),"")))</f>
        <v/>
      </c>
      <c r="E2949" s="172">
        <f>IFERROR(VALUE(SUBSTITUTE(INDEX('04A_국토부원자료'!$A:$T,ROW()+1,MATCH("전용면적(㎡)",'04A_국토부원자료'!$A$4:$T$4,0)),",","")),"")</f>
        <v/>
      </c>
      <c r="F294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49" s="51">
        <f>IFERROR(VALUE(SUBSTITUTE(INDEX('04A_국토부원자료'!$A:$T,ROW()+1,MATCH("거래금액(만원)",'04A_국토부원자료'!$A$4:$T$4,0)),",","")),"")</f>
        <v/>
      </c>
      <c r="H2949" s="174">
        <f>IF(G2949="","",G2949*10000)</f>
        <v/>
      </c>
      <c r="I2949" s="174">
        <f>IFERROR(IF(AND(H2949&gt;0,E2949&gt;0),H2949/E2949,""),"")</f>
        <v/>
      </c>
      <c r="J2949" s="152">
        <f>IFERROR(VALUE(SUBSTITUTE(INDEX('04A_국토부원자료'!$A:$T,ROW()+1,MATCH("층",'04A_국토부원자료'!$A$4:$T$4,0)),",","")),"")</f>
        <v/>
      </c>
      <c r="K2949" s="152">
        <f>IFERROR(VALUE(SUBSTITUTE(INDEX('04A_국토부원자료'!$A:$T,ROW()+1,MATCH("건축년도",'04A_국토부원자료'!$A$4:$T$4,0)),",","")),"")</f>
        <v/>
      </c>
      <c r="L2949" s="48">
        <f>IFERROR(INDEX('04A_국토부원자료'!$A:$T,ROW()+1,MATCH("도로명",'04A_국토부원자료'!$A$4:$T$4,0)),"")</f>
        <v/>
      </c>
      <c r="M2949" s="48">
        <f>IFERROR(INDEX('04A_국토부원자료'!$A:$T,ROW()+1,MATCH("거래유형",'04A_국토부원자료'!$A$4:$T$4,0)),"")</f>
        <v/>
      </c>
      <c r="N2949" s="152">
        <f>IF(B2949="","",IF('02_대상물건입력'!B5="",1,IF(ISNUMBER(SEARCH('02_대상물건입력'!B5,B2949)),1,0)))</f>
        <v/>
      </c>
      <c r="O2949" s="152">
        <f>IF(B2949="","",IF('02_대상물건입력'!B6="",1,IF(ISNUMBER(SEARCH('02_대상물건입력'!B6,B2949)),1,0)))</f>
        <v/>
      </c>
      <c r="P2949" s="152">
        <f>IF(L2949="","",IF('02_대상물건입력'!B15="",0,IF(ISNUMBER(SEARCH('02_대상물건입력'!B15,L2949)),1,0)))</f>
        <v/>
      </c>
      <c r="Q2949" s="152">
        <f>IF(OR(C2949="",L2949=""),0,IF(AND(TRIM(C2949)=TRIM(RIGHT(SUBSTITUTE(TRIM('02_대상물건입력'!$B$7)," ",REPT(" ",99)),99)),IF('02_대상물건입력'!B15="",TRUE(),ISNUMBER(SEARCH('02_대상물건입력'!B15,L2949)))),1,0))</f>
        <v/>
      </c>
      <c r="R2949" s="175">
        <f>IFERROR(ABS(E2949-'02_대상물건입력'!B11)/'02_대상물건입력'!B11,"")</f>
        <v/>
      </c>
      <c r="S2949" s="152">
        <f>IFERROR(ABS(J2949-'02_대상물건입력'!B10),"")</f>
        <v/>
      </c>
      <c r="T2949" s="152">
        <f>IFERROR(ABS('01_설정'!B4-F2949),"")</f>
        <v/>
      </c>
      <c r="U2949" s="152">
        <f>IFERROR(ABS(K2949-YEAR('02_대상물건입력'!B14)),"")</f>
        <v/>
      </c>
      <c r="V2949" s="152">
        <f>IF(B2949="","",IF(AND(E2949&gt;0,F2949&gt;0,H2949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2949=1,TRUE()),R2949&lt;='01_설정'!B5,S2949&lt;='01_설정'!B6,T2949&lt;='01_설정'!B7,U2949&lt;='01_설정'!B8),"Y",""))</f>
        <v/>
      </c>
      <c r="W2949" s="172">
        <f>IF(V2949&lt;&gt;"Y","",MAX(0,(1-R2949/'01_설정'!B5))*'01_설정'!B14+MAX(0,(1-S2949/'01_설정'!B6))*'01_설정'!B15+MAX(0,(1-T2949/'01_설정'!B7))*'01_설정'!B16+MAX(0,(1-U2949/'01_설정'!B8))*'01_설정'!B17+O2949*'01_설정'!B11+Q2949*'01_설정'!B12+P2949*'01_설정'!B13+IF(Z2949="",0,Z2949))</f>
        <v/>
      </c>
      <c r="X2949" s="152">
        <f>IF(W2949="","",1+COUNTIFS($W$4:$W$3003,"&gt;"&amp;W2949)+COUNTIFS($W$4:W2949,W2949)-1)</f>
        <v/>
      </c>
      <c r="Y2949" s="175">
        <f>IF(OR(I2949="",'02_대상물건입력'!B19="",'02_대상물건입력'!B19&lt;=0),"",ABS(I2949-'02_대상물건입력'!B19)/'02_대상물건입력'!B19)</f>
        <v/>
      </c>
      <c r="Z2949" s="172">
        <f>IF(OR(Y2949="",'01_설정'!B31="",'01_설정'!B31&lt;=0,'01_설정'!B32="",'01_설정'!B32&lt;=0),"",MAX(0,(1-Y2949/'01_설정'!B32))*'01_설정'!B31)</f>
        <v/>
      </c>
    </row>
    <row r="2950" ht="17.25" customHeight="1">
      <c r="A2950" s="152">
        <f>IF(INDEX('04A_국토부원자료'!$A:$A,ROW()+1)="","",ROW()-3)</f>
        <v/>
      </c>
      <c r="B2950" s="48">
        <f>IFERROR(INDEX('04A_국토부원자료'!$A:$T,ROW()+1,MATCH("시군구",'04A_국토부원자료'!$A$4:$T$4,0)),"")</f>
        <v/>
      </c>
      <c r="C2950" s="48">
        <f>IF(B2950="","",IFERROR(INDEX('04A_국토부원자료'!$A:$T,ROW()+1,MATCH("번지",'04A_국토부원자료'!$A$4:$T$4,0)),""))</f>
        <v/>
      </c>
      <c r="D2950" s="48">
        <f>IF(B2950="","",IF(Q2950=1,'02_대상물건입력'!$B$8,IFERROR(INDEX('04A_국토부원자료'!$A:$T,ROW()+1,MATCH("단지명",'04A_국토부원자료'!$A$4:$T$4,0)),"")))</f>
        <v/>
      </c>
      <c r="E2950" s="172">
        <f>IFERROR(VALUE(SUBSTITUTE(INDEX('04A_국토부원자료'!$A:$T,ROW()+1,MATCH("전용면적(㎡)",'04A_국토부원자료'!$A$4:$T$4,0)),",","")),"")</f>
        <v/>
      </c>
      <c r="F295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50" s="51">
        <f>IFERROR(VALUE(SUBSTITUTE(INDEX('04A_국토부원자료'!$A:$T,ROW()+1,MATCH("거래금액(만원)",'04A_국토부원자료'!$A$4:$T$4,0)),",","")),"")</f>
        <v/>
      </c>
      <c r="H2950" s="174">
        <f>IF(G2950="","",G2950*10000)</f>
        <v/>
      </c>
      <c r="I2950" s="174">
        <f>IFERROR(IF(AND(H2950&gt;0,E2950&gt;0),H2950/E2950,""),"")</f>
        <v/>
      </c>
      <c r="J2950" s="152">
        <f>IFERROR(VALUE(SUBSTITUTE(INDEX('04A_국토부원자료'!$A:$T,ROW()+1,MATCH("층",'04A_국토부원자료'!$A$4:$T$4,0)),",","")),"")</f>
        <v/>
      </c>
      <c r="K2950" s="152">
        <f>IFERROR(VALUE(SUBSTITUTE(INDEX('04A_국토부원자료'!$A:$T,ROW()+1,MATCH("건축년도",'04A_국토부원자료'!$A$4:$T$4,0)),",","")),"")</f>
        <v/>
      </c>
      <c r="L2950" s="48">
        <f>IFERROR(INDEX('04A_국토부원자료'!$A:$T,ROW()+1,MATCH("도로명",'04A_국토부원자료'!$A$4:$T$4,0)),"")</f>
        <v/>
      </c>
      <c r="M2950" s="48">
        <f>IFERROR(INDEX('04A_국토부원자료'!$A:$T,ROW()+1,MATCH("거래유형",'04A_국토부원자료'!$A$4:$T$4,0)),"")</f>
        <v/>
      </c>
      <c r="N2950" s="152">
        <f>IF(B2950="","",IF('02_대상물건입력'!B5="",1,IF(ISNUMBER(SEARCH('02_대상물건입력'!B5,B2950)),1,0)))</f>
        <v/>
      </c>
      <c r="O2950" s="152">
        <f>IF(B2950="","",IF('02_대상물건입력'!B6="",1,IF(ISNUMBER(SEARCH('02_대상물건입력'!B6,B2950)),1,0)))</f>
        <v/>
      </c>
      <c r="P2950" s="152">
        <f>IF(L2950="","",IF('02_대상물건입력'!B15="",0,IF(ISNUMBER(SEARCH('02_대상물건입력'!B15,L2950)),1,0)))</f>
        <v/>
      </c>
      <c r="Q2950" s="152">
        <f>IF(OR(C2950="",L2950=""),0,IF(AND(TRIM(C2950)=TRIM(RIGHT(SUBSTITUTE(TRIM('02_대상물건입력'!$B$7)," ",REPT(" ",99)),99)),IF('02_대상물건입력'!B15="",TRUE(),ISNUMBER(SEARCH('02_대상물건입력'!B15,L2950)))),1,0))</f>
        <v/>
      </c>
      <c r="R2950" s="175">
        <f>IFERROR(ABS(E2950-'02_대상물건입력'!B11)/'02_대상물건입력'!B11,"")</f>
        <v/>
      </c>
      <c r="S2950" s="152">
        <f>IFERROR(ABS(J2950-'02_대상물건입력'!B10),"")</f>
        <v/>
      </c>
      <c r="T2950" s="152">
        <f>IFERROR(ABS('01_설정'!B4-F2950),"")</f>
        <v/>
      </c>
      <c r="U2950" s="152">
        <f>IFERROR(ABS(K2950-YEAR('02_대상물건입력'!B14)),"")</f>
        <v/>
      </c>
      <c r="V2950" s="152">
        <f>IF(B2950="","",IF(AND(E2950&gt;0,F2950&gt;0,H2950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2950=1,TRUE()),R2950&lt;='01_설정'!B5,S2950&lt;='01_설정'!B6,T2950&lt;='01_설정'!B7,U2950&lt;='01_설정'!B8),"Y",""))</f>
        <v/>
      </c>
      <c r="W2950" s="172">
        <f>IF(V2950&lt;&gt;"Y","",MAX(0,(1-R2950/'01_설정'!B5))*'01_설정'!B14+MAX(0,(1-S2950/'01_설정'!B6))*'01_설정'!B15+MAX(0,(1-T2950/'01_설정'!B7))*'01_설정'!B16+MAX(0,(1-U2950/'01_설정'!B8))*'01_설정'!B17+O2950*'01_설정'!B11+Q2950*'01_설정'!B12+P2950*'01_설정'!B13+IF(Z2950="",0,Z2950))</f>
        <v/>
      </c>
      <c r="X2950" s="152">
        <f>IF(W2950="","",1+COUNTIFS($W$4:$W$3003,"&gt;"&amp;W2950)+COUNTIFS($W$4:W2950,W2950)-1)</f>
        <v/>
      </c>
      <c r="Y2950" s="175">
        <f>IF(OR(I2950="",'02_대상물건입력'!B19="",'02_대상물건입력'!B19&lt;=0),"",ABS(I2950-'02_대상물건입력'!B19)/'02_대상물건입력'!B19)</f>
        <v/>
      </c>
      <c r="Z2950" s="172">
        <f>IF(OR(Y2950="",'01_설정'!B31="",'01_설정'!B31&lt;=0,'01_설정'!B32="",'01_설정'!B32&lt;=0),"",MAX(0,(1-Y2950/'01_설정'!B32))*'01_설정'!B31)</f>
        <v/>
      </c>
    </row>
    <row r="2951" ht="17.25" customHeight="1">
      <c r="A2951" s="152">
        <f>IF(INDEX('04A_국토부원자료'!$A:$A,ROW()+1)="","",ROW()-3)</f>
        <v/>
      </c>
      <c r="B2951" s="48">
        <f>IFERROR(INDEX('04A_국토부원자료'!$A:$T,ROW()+1,MATCH("시군구",'04A_국토부원자료'!$A$4:$T$4,0)),"")</f>
        <v/>
      </c>
      <c r="C2951" s="48">
        <f>IF(B2951="","",IFERROR(INDEX('04A_국토부원자료'!$A:$T,ROW()+1,MATCH("번지",'04A_국토부원자료'!$A$4:$T$4,0)),""))</f>
        <v/>
      </c>
      <c r="D2951" s="48">
        <f>IF(B2951="","",IF(Q2951=1,'02_대상물건입력'!$B$8,IFERROR(INDEX('04A_국토부원자료'!$A:$T,ROW()+1,MATCH("단지명",'04A_국토부원자료'!$A$4:$T$4,0)),"")))</f>
        <v/>
      </c>
      <c r="E2951" s="172">
        <f>IFERROR(VALUE(SUBSTITUTE(INDEX('04A_국토부원자료'!$A:$T,ROW()+1,MATCH("전용면적(㎡)",'04A_국토부원자료'!$A$4:$T$4,0)),",","")),"")</f>
        <v/>
      </c>
      <c r="F295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51" s="51">
        <f>IFERROR(VALUE(SUBSTITUTE(INDEX('04A_국토부원자료'!$A:$T,ROW()+1,MATCH("거래금액(만원)",'04A_국토부원자료'!$A$4:$T$4,0)),",","")),"")</f>
        <v/>
      </c>
      <c r="H2951" s="174">
        <f>IF(G2951="","",G2951*10000)</f>
        <v/>
      </c>
      <c r="I2951" s="174">
        <f>IFERROR(IF(AND(H2951&gt;0,E2951&gt;0),H2951/E2951,""),"")</f>
        <v/>
      </c>
      <c r="J2951" s="152">
        <f>IFERROR(VALUE(SUBSTITUTE(INDEX('04A_국토부원자료'!$A:$T,ROW()+1,MATCH("층",'04A_국토부원자료'!$A$4:$T$4,0)),",","")),"")</f>
        <v/>
      </c>
      <c r="K2951" s="152">
        <f>IFERROR(VALUE(SUBSTITUTE(INDEX('04A_국토부원자료'!$A:$T,ROW()+1,MATCH("건축년도",'04A_국토부원자료'!$A$4:$T$4,0)),",","")),"")</f>
        <v/>
      </c>
      <c r="L2951" s="48">
        <f>IFERROR(INDEX('04A_국토부원자료'!$A:$T,ROW()+1,MATCH("도로명",'04A_국토부원자료'!$A$4:$T$4,0)),"")</f>
        <v/>
      </c>
      <c r="M2951" s="48">
        <f>IFERROR(INDEX('04A_국토부원자료'!$A:$T,ROW()+1,MATCH("거래유형",'04A_국토부원자료'!$A$4:$T$4,0)),"")</f>
        <v/>
      </c>
      <c r="N2951" s="152">
        <f>IF(B2951="","",IF('02_대상물건입력'!B5="",1,IF(ISNUMBER(SEARCH('02_대상물건입력'!B5,B2951)),1,0)))</f>
        <v/>
      </c>
      <c r="O2951" s="152">
        <f>IF(B2951="","",IF('02_대상물건입력'!B6="",1,IF(ISNUMBER(SEARCH('02_대상물건입력'!B6,B2951)),1,0)))</f>
        <v/>
      </c>
      <c r="P2951" s="152">
        <f>IF(L2951="","",IF('02_대상물건입력'!B15="",0,IF(ISNUMBER(SEARCH('02_대상물건입력'!B15,L2951)),1,0)))</f>
        <v/>
      </c>
      <c r="Q2951" s="152">
        <f>IF(OR(C2951="",L2951=""),0,IF(AND(TRIM(C2951)=TRIM(RIGHT(SUBSTITUTE(TRIM('02_대상물건입력'!$B$7)," ",REPT(" ",99)),99)),IF('02_대상물건입력'!B15="",TRUE(),ISNUMBER(SEARCH('02_대상물건입력'!B15,L2951)))),1,0))</f>
        <v/>
      </c>
      <c r="R2951" s="175">
        <f>IFERROR(ABS(E2951-'02_대상물건입력'!B11)/'02_대상물건입력'!B11,"")</f>
        <v/>
      </c>
      <c r="S2951" s="152">
        <f>IFERROR(ABS(J2951-'02_대상물건입력'!B10),"")</f>
        <v/>
      </c>
      <c r="T2951" s="152">
        <f>IFERROR(ABS('01_설정'!B4-F2951),"")</f>
        <v/>
      </c>
      <c r="U2951" s="152">
        <f>IFERROR(ABS(K2951-YEAR('02_대상물건입력'!B14)),"")</f>
        <v/>
      </c>
      <c r="V2951" s="152">
        <f>IF(B2951="","",IF(AND(E2951&gt;0,F2951&gt;0,H2951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2951=1,TRUE()),R2951&lt;='01_설정'!B5,S2951&lt;='01_설정'!B6,T2951&lt;='01_설정'!B7,U2951&lt;='01_설정'!B8),"Y",""))</f>
        <v/>
      </c>
      <c r="W2951" s="172">
        <f>IF(V2951&lt;&gt;"Y","",MAX(0,(1-R2951/'01_설정'!B5))*'01_설정'!B14+MAX(0,(1-S2951/'01_설정'!B6))*'01_설정'!B15+MAX(0,(1-T2951/'01_설정'!B7))*'01_설정'!B16+MAX(0,(1-U2951/'01_설정'!B8))*'01_설정'!B17+O2951*'01_설정'!B11+Q2951*'01_설정'!B12+P2951*'01_설정'!B13+IF(Z2951="",0,Z2951))</f>
        <v/>
      </c>
      <c r="X2951" s="152">
        <f>IF(W2951="","",1+COUNTIFS($W$4:$W$3003,"&gt;"&amp;W2951)+COUNTIFS($W$4:W2951,W2951)-1)</f>
        <v/>
      </c>
      <c r="Y2951" s="175">
        <f>IF(OR(I2951="",'02_대상물건입력'!B19="",'02_대상물건입력'!B19&lt;=0),"",ABS(I2951-'02_대상물건입력'!B19)/'02_대상물건입력'!B19)</f>
        <v/>
      </c>
      <c r="Z2951" s="172">
        <f>IF(OR(Y2951="",'01_설정'!B31="",'01_설정'!B31&lt;=0,'01_설정'!B32="",'01_설정'!B32&lt;=0),"",MAX(0,(1-Y2951/'01_설정'!B32))*'01_설정'!B31)</f>
        <v/>
      </c>
    </row>
    <row r="2952" ht="17.25" customHeight="1">
      <c r="A2952" s="152">
        <f>IF(INDEX('04A_국토부원자료'!$A:$A,ROW()+1)="","",ROW()-3)</f>
        <v/>
      </c>
      <c r="B2952" s="48">
        <f>IFERROR(INDEX('04A_국토부원자료'!$A:$T,ROW()+1,MATCH("시군구",'04A_국토부원자료'!$A$4:$T$4,0)),"")</f>
        <v/>
      </c>
      <c r="C2952" s="48">
        <f>IF(B2952="","",IFERROR(INDEX('04A_국토부원자료'!$A:$T,ROW()+1,MATCH("번지",'04A_국토부원자료'!$A$4:$T$4,0)),""))</f>
        <v/>
      </c>
      <c r="D2952" s="48">
        <f>IF(B2952="","",IF(Q2952=1,'02_대상물건입력'!$B$8,IFERROR(INDEX('04A_국토부원자료'!$A:$T,ROW()+1,MATCH("단지명",'04A_국토부원자료'!$A$4:$T$4,0)),"")))</f>
        <v/>
      </c>
      <c r="E2952" s="172">
        <f>IFERROR(VALUE(SUBSTITUTE(INDEX('04A_국토부원자료'!$A:$T,ROW()+1,MATCH("전용면적(㎡)",'04A_국토부원자료'!$A$4:$T$4,0)),",","")),"")</f>
        <v/>
      </c>
      <c r="F295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52" s="51">
        <f>IFERROR(VALUE(SUBSTITUTE(INDEX('04A_국토부원자료'!$A:$T,ROW()+1,MATCH("거래금액(만원)",'04A_국토부원자료'!$A$4:$T$4,0)),",","")),"")</f>
        <v/>
      </c>
      <c r="H2952" s="174">
        <f>IF(G2952="","",G2952*10000)</f>
        <v/>
      </c>
      <c r="I2952" s="174">
        <f>IFERROR(IF(AND(H2952&gt;0,E2952&gt;0),H2952/E2952,""),"")</f>
        <v/>
      </c>
      <c r="J2952" s="152">
        <f>IFERROR(VALUE(SUBSTITUTE(INDEX('04A_국토부원자료'!$A:$T,ROW()+1,MATCH("층",'04A_국토부원자료'!$A$4:$T$4,0)),",","")),"")</f>
        <v/>
      </c>
      <c r="K2952" s="152">
        <f>IFERROR(VALUE(SUBSTITUTE(INDEX('04A_국토부원자료'!$A:$T,ROW()+1,MATCH("건축년도",'04A_국토부원자료'!$A$4:$T$4,0)),",","")),"")</f>
        <v/>
      </c>
      <c r="L2952" s="48">
        <f>IFERROR(INDEX('04A_국토부원자료'!$A:$T,ROW()+1,MATCH("도로명",'04A_국토부원자료'!$A$4:$T$4,0)),"")</f>
        <v/>
      </c>
      <c r="M2952" s="48">
        <f>IFERROR(INDEX('04A_국토부원자료'!$A:$T,ROW()+1,MATCH("거래유형",'04A_국토부원자료'!$A$4:$T$4,0)),"")</f>
        <v/>
      </c>
      <c r="N2952" s="152">
        <f>IF(B2952="","",IF('02_대상물건입력'!B5="",1,IF(ISNUMBER(SEARCH('02_대상물건입력'!B5,B2952)),1,0)))</f>
        <v/>
      </c>
      <c r="O2952" s="152">
        <f>IF(B2952="","",IF('02_대상물건입력'!B6="",1,IF(ISNUMBER(SEARCH('02_대상물건입력'!B6,B2952)),1,0)))</f>
        <v/>
      </c>
      <c r="P2952" s="152">
        <f>IF(L2952="","",IF('02_대상물건입력'!B15="",0,IF(ISNUMBER(SEARCH('02_대상물건입력'!B15,L2952)),1,0)))</f>
        <v/>
      </c>
      <c r="Q2952" s="152">
        <f>IF(OR(C2952="",L2952=""),0,IF(AND(TRIM(C2952)=TRIM(RIGHT(SUBSTITUTE(TRIM('02_대상물건입력'!$B$7)," ",REPT(" ",99)),99)),IF('02_대상물건입력'!B15="",TRUE(),ISNUMBER(SEARCH('02_대상물건입력'!B15,L2952)))),1,0))</f>
        <v/>
      </c>
      <c r="R2952" s="175">
        <f>IFERROR(ABS(E2952-'02_대상물건입력'!B11)/'02_대상물건입력'!B11,"")</f>
        <v/>
      </c>
      <c r="S2952" s="152">
        <f>IFERROR(ABS(J2952-'02_대상물건입력'!B10),"")</f>
        <v/>
      </c>
      <c r="T2952" s="152">
        <f>IFERROR(ABS('01_설정'!B4-F2952),"")</f>
        <v/>
      </c>
      <c r="U2952" s="152">
        <f>IFERROR(ABS(K2952-YEAR('02_대상물건입력'!B14)),"")</f>
        <v/>
      </c>
      <c r="V2952" s="152">
        <f>IF(B2952="","",IF(AND(E2952&gt;0,F2952&gt;0,H2952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2952=1,TRUE()),R2952&lt;='01_설정'!B5,S2952&lt;='01_설정'!B6,T2952&lt;='01_설정'!B7,U2952&lt;='01_설정'!B8),"Y",""))</f>
        <v/>
      </c>
      <c r="W2952" s="172">
        <f>IF(V2952&lt;&gt;"Y","",MAX(0,(1-R2952/'01_설정'!B5))*'01_설정'!B14+MAX(0,(1-S2952/'01_설정'!B6))*'01_설정'!B15+MAX(0,(1-T2952/'01_설정'!B7))*'01_설정'!B16+MAX(0,(1-U2952/'01_설정'!B8))*'01_설정'!B17+O2952*'01_설정'!B11+Q2952*'01_설정'!B12+P2952*'01_설정'!B13+IF(Z2952="",0,Z2952))</f>
        <v/>
      </c>
      <c r="X2952" s="152">
        <f>IF(W2952="","",1+COUNTIFS($W$4:$W$3003,"&gt;"&amp;W2952)+COUNTIFS($W$4:W2952,W2952)-1)</f>
        <v/>
      </c>
      <c r="Y2952" s="175">
        <f>IF(OR(I2952="",'02_대상물건입력'!B19="",'02_대상물건입력'!B19&lt;=0),"",ABS(I2952-'02_대상물건입력'!B19)/'02_대상물건입력'!B19)</f>
        <v/>
      </c>
      <c r="Z2952" s="172">
        <f>IF(OR(Y2952="",'01_설정'!B31="",'01_설정'!B31&lt;=0,'01_설정'!B32="",'01_설정'!B32&lt;=0),"",MAX(0,(1-Y2952/'01_설정'!B32))*'01_설정'!B31)</f>
        <v/>
      </c>
    </row>
    <row r="2953" ht="17.25" customHeight="1">
      <c r="A2953" s="152">
        <f>IF(INDEX('04A_국토부원자료'!$A:$A,ROW()+1)="","",ROW()-3)</f>
        <v/>
      </c>
      <c r="B2953" s="48">
        <f>IFERROR(INDEX('04A_국토부원자료'!$A:$T,ROW()+1,MATCH("시군구",'04A_국토부원자료'!$A$4:$T$4,0)),"")</f>
        <v/>
      </c>
      <c r="C2953" s="48">
        <f>IF(B2953="","",IFERROR(INDEX('04A_국토부원자료'!$A:$T,ROW()+1,MATCH("번지",'04A_국토부원자료'!$A$4:$T$4,0)),""))</f>
        <v/>
      </c>
      <c r="D2953" s="48">
        <f>IF(B2953="","",IF(Q2953=1,'02_대상물건입력'!$B$8,IFERROR(INDEX('04A_국토부원자료'!$A:$T,ROW()+1,MATCH("단지명",'04A_국토부원자료'!$A$4:$T$4,0)),"")))</f>
        <v/>
      </c>
      <c r="E2953" s="172">
        <f>IFERROR(VALUE(SUBSTITUTE(INDEX('04A_국토부원자료'!$A:$T,ROW()+1,MATCH("전용면적(㎡)",'04A_국토부원자료'!$A$4:$T$4,0)),",","")),"")</f>
        <v/>
      </c>
      <c r="F295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53" s="51">
        <f>IFERROR(VALUE(SUBSTITUTE(INDEX('04A_국토부원자료'!$A:$T,ROW()+1,MATCH("거래금액(만원)",'04A_국토부원자료'!$A$4:$T$4,0)),",","")),"")</f>
        <v/>
      </c>
      <c r="H2953" s="174">
        <f>IF(G2953="","",G2953*10000)</f>
        <v/>
      </c>
      <c r="I2953" s="174">
        <f>IFERROR(IF(AND(H2953&gt;0,E2953&gt;0),H2953/E2953,""),"")</f>
        <v/>
      </c>
      <c r="J2953" s="152">
        <f>IFERROR(VALUE(SUBSTITUTE(INDEX('04A_국토부원자료'!$A:$T,ROW()+1,MATCH("층",'04A_국토부원자료'!$A$4:$T$4,0)),",","")),"")</f>
        <v/>
      </c>
      <c r="K2953" s="152">
        <f>IFERROR(VALUE(SUBSTITUTE(INDEX('04A_국토부원자료'!$A:$T,ROW()+1,MATCH("건축년도",'04A_국토부원자료'!$A$4:$T$4,0)),",","")),"")</f>
        <v/>
      </c>
      <c r="L2953" s="48">
        <f>IFERROR(INDEX('04A_국토부원자료'!$A:$T,ROW()+1,MATCH("도로명",'04A_국토부원자료'!$A$4:$T$4,0)),"")</f>
        <v/>
      </c>
      <c r="M2953" s="48">
        <f>IFERROR(INDEX('04A_국토부원자료'!$A:$T,ROW()+1,MATCH("거래유형",'04A_국토부원자료'!$A$4:$T$4,0)),"")</f>
        <v/>
      </c>
      <c r="N2953" s="152">
        <f>IF(B2953="","",IF('02_대상물건입력'!B5="",1,IF(ISNUMBER(SEARCH('02_대상물건입력'!B5,B2953)),1,0)))</f>
        <v/>
      </c>
      <c r="O2953" s="152">
        <f>IF(B2953="","",IF('02_대상물건입력'!B6="",1,IF(ISNUMBER(SEARCH('02_대상물건입력'!B6,B2953)),1,0)))</f>
        <v/>
      </c>
      <c r="P2953" s="152">
        <f>IF(L2953="","",IF('02_대상물건입력'!B15="",0,IF(ISNUMBER(SEARCH('02_대상물건입력'!B15,L2953)),1,0)))</f>
        <v/>
      </c>
      <c r="Q2953" s="152">
        <f>IF(OR(C2953="",L2953=""),0,IF(AND(TRIM(C2953)=TRIM(RIGHT(SUBSTITUTE(TRIM('02_대상물건입력'!$B$7)," ",REPT(" ",99)),99)),IF('02_대상물건입력'!B15="",TRUE(),ISNUMBER(SEARCH('02_대상물건입력'!B15,L2953)))),1,0))</f>
        <v/>
      </c>
      <c r="R2953" s="175">
        <f>IFERROR(ABS(E2953-'02_대상물건입력'!B11)/'02_대상물건입력'!B11,"")</f>
        <v/>
      </c>
      <c r="S2953" s="152">
        <f>IFERROR(ABS(J2953-'02_대상물건입력'!B10),"")</f>
        <v/>
      </c>
      <c r="T2953" s="152">
        <f>IFERROR(ABS('01_설정'!B4-F2953),"")</f>
        <v/>
      </c>
      <c r="U2953" s="152">
        <f>IFERROR(ABS(K2953-YEAR('02_대상물건입력'!B14)),"")</f>
        <v/>
      </c>
      <c r="V2953" s="152">
        <f>IF(B2953="","",IF(AND(E2953&gt;0,F2953&gt;0,H2953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2953=1,TRUE()),R2953&lt;='01_설정'!B5,S2953&lt;='01_설정'!B6,T2953&lt;='01_설정'!B7,U2953&lt;='01_설정'!B8),"Y",""))</f>
        <v/>
      </c>
      <c r="W2953" s="172">
        <f>IF(V2953&lt;&gt;"Y","",MAX(0,(1-R2953/'01_설정'!B5))*'01_설정'!B14+MAX(0,(1-S2953/'01_설정'!B6))*'01_설정'!B15+MAX(0,(1-T2953/'01_설정'!B7))*'01_설정'!B16+MAX(0,(1-U2953/'01_설정'!B8))*'01_설정'!B17+O2953*'01_설정'!B11+Q2953*'01_설정'!B12+P2953*'01_설정'!B13+IF(Z2953="",0,Z2953))</f>
        <v/>
      </c>
      <c r="X2953" s="152">
        <f>IF(W2953="","",1+COUNTIFS($W$4:$W$3003,"&gt;"&amp;W2953)+COUNTIFS($W$4:W2953,W2953)-1)</f>
        <v/>
      </c>
      <c r="Y2953" s="175">
        <f>IF(OR(I2953="",'02_대상물건입력'!B19="",'02_대상물건입력'!B19&lt;=0),"",ABS(I2953-'02_대상물건입력'!B19)/'02_대상물건입력'!B19)</f>
        <v/>
      </c>
      <c r="Z2953" s="172">
        <f>IF(OR(Y2953="",'01_설정'!B31="",'01_설정'!B31&lt;=0,'01_설정'!B32="",'01_설정'!B32&lt;=0),"",MAX(0,(1-Y2953/'01_설정'!B32))*'01_설정'!B31)</f>
        <v/>
      </c>
    </row>
    <row r="2954" ht="17.25" customHeight="1">
      <c r="A2954" s="152">
        <f>IF(INDEX('04A_국토부원자료'!$A:$A,ROW()+1)="","",ROW()-3)</f>
        <v/>
      </c>
      <c r="B2954" s="48">
        <f>IFERROR(INDEX('04A_국토부원자료'!$A:$T,ROW()+1,MATCH("시군구",'04A_국토부원자료'!$A$4:$T$4,0)),"")</f>
        <v/>
      </c>
      <c r="C2954" s="48">
        <f>IF(B2954="","",IFERROR(INDEX('04A_국토부원자료'!$A:$T,ROW()+1,MATCH("번지",'04A_국토부원자료'!$A$4:$T$4,0)),""))</f>
        <v/>
      </c>
      <c r="D2954" s="48">
        <f>IF(B2954="","",IF(Q2954=1,'02_대상물건입력'!$B$8,IFERROR(INDEX('04A_국토부원자료'!$A:$T,ROW()+1,MATCH("단지명",'04A_국토부원자료'!$A$4:$T$4,0)),"")))</f>
        <v/>
      </c>
      <c r="E2954" s="172">
        <f>IFERROR(VALUE(SUBSTITUTE(INDEX('04A_국토부원자료'!$A:$T,ROW()+1,MATCH("전용면적(㎡)",'04A_국토부원자료'!$A$4:$T$4,0)),",","")),"")</f>
        <v/>
      </c>
      <c r="F295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54" s="51">
        <f>IFERROR(VALUE(SUBSTITUTE(INDEX('04A_국토부원자료'!$A:$T,ROW()+1,MATCH("거래금액(만원)",'04A_국토부원자료'!$A$4:$T$4,0)),",","")),"")</f>
        <v/>
      </c>
      <c r="H2954" s="174">
        <f>IF(G2954="","",G2954*10000)</f>
        <v/>
      </c>
      <c r="I2954" s="174">
        <f>IFERROR(IF(AND(H2954&gt;0,E2954&gt;0),H2954/E2954,""),"")</f>
        <v/>
      </c>
      <c r="J2954" s="152">
        <f>IFERROR(VALUE(SUBSTITUTE(INDEX('04A_국토부원자료'!$A:$T,ROW()+1,MATCH("층",'04A_국토부원자료'!$A$4:$T$4,0)),",","")),"")</f>
        <v/>
      </c>
      <c r="K2954" s="152">
        <f>IFERROR(VALUE(SUBSTITUTE(INDEX('04A_국토부원자료'!$A:$T,ROW()+1,MATCH("건축년도",'04A_국토부원자료'!$A$4:$T$4,0)),",","")),"")</f>
        <v/>
      </c>
      <c r="L2954" s="48">
        <f>IFERROR(INDEX('04A_국토부원자료'!$A:$T,ROW()+1,MATCH("도로명",'04A_국토부원자료'!$A$4:$T$4,0)),"")</f>
        <v/>
      </c>
      <c r="M2954" s="48">
        <f>IFERROR(INDEX('04A_국토부원자료'!$A:$T,ROW()+1,MATCH("거래유형",'04A_국토부원자료'!$A$4:$T$4,0)),"")</f>
        <v/>
      </c>
      <c r="N2954" s="152">
        <f>IF(B2954="","",IF('02_대상물건입력'!B5="",1,IF(ISNUMBER(SEARCH('02_대상물건입력'!B5,B2954)),1,0)))</f>
        <v/>
      </c>
      <c r="O2954" s="152">
        <f>IF(B2954="","",IF('02_대상물건입력'!B6="",1,IF(ISNUMBER(SEARCH('02_대상물건입력'!B6,B2954)),1,0)))</f>
        <v/>
      </c>
      <c r="P2954" s="152">
        <f>IF(L2954="","",IF('02_대상물건입력'!B15="",0,IF(ISNUMBER(SEARCH('02_대상물건입력'!B15,L2954)),1,0)))</f>
        <v/>
      </c>
      <c r="Q2954" s="152">
        <f>IF(OR(C2954="",L2954=""),0,IF(AND(TRIM(C2954)=TRIM(RIGHT(SUBSTITUTE(TRIM('02_대상물건입력'!$B$7)," ",REPT(" ",99)),99)),IF('02_대상물건입력'!B15="",TRUE(),ISNUMBER(SEARCH('02_대상물건입력'!B15,L2954)))),1,0))</f>
        <v/>
      </c>
      <c r="R2954" s="175">
        <f>IFERROR(ABS(E2954-'02_대상물건입력'!B11)/'02_대상물건입력'!B11,"")</f>
        <v/>
      </c>
      <c r="S2954" s="152">
        <f>IFERROR(ABS(J2954-'02_대상물건입력'!B10),"")</f>
        <v/>
      </c>
      <c r="T2954" s="152">
        <f>IFERROR(ABS('01_설정'!B4-F2954),"")</f>
        <v/>
      </c>
      <c r="U2954" s="152">
        <f>IFERROR(ABS(K2954-YEAR('02_대상물건입력'!B14)),"")</f>
        <v/>
      </c>
      <c r="V2954" s="152">
        <f>IF(B2954="","",IF(AND(E2954&gt;0,F2954&gt;0,H2954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2954=1,TRUE()),R2954&lt;='01_설정'!B5,S2954&lt;='01_설정'!B6,T2954&lt;='01_설정'!B7,U2954&lt;='01_설정'!B8),"Y",""))</f>
        <v/>
      </c>
      <c r="W2954" s="172">
        <f>IF(V2954&lt;&gt;"Y","",MAX(0,(1-R2954/'01_설정'!B5))*'01_설정'!B14+MAX(0,(1-S2954/'01_설정'!B6))*'01_설정'!B15+MAX(0,(1-T2954/'01_설정'!B7))*'01_설정'!B16+MAX(0,(1-U2954/'01_설정'!B8))*'01_설정'!B17+O2954*'01_설정'!B11+Q2954*'01_설정'!B12+P2954*'01_설정'!B13+IF(Z2954="",0,Z2954))</f>
        <v/>
      </c>
      <c r="X2954" s="152">
        <f>IF(W2954="","",1+COUNTIFS($W$4:$W$3003,"&gt;"&amp;W2954)+COUNTIFS($W$4:W2954,W2954)-1)</f>
        <v/>
      </c>
      <c r="Y2954" s="175">
        <f>IF(OR(I2954="",'02_대상물건입력'!B19="",'02_대상물건입력'!B19&lt;=0),"",ABS(I2954-'02_대상물건입력'!B19)/'02_대상물건입력'!B19)</f>
        <v/>
      </c>
      <c r="Z2954" s="172">
        <f>IF(OR(Y2954="",'01_설정'!B31="",'01_설정'!B31&lt;=0,'01_설정'!B32="",'01_설정'!B32&lt;=0),"",MAX(0,(1-Y2954/'01_설정'!B32))*'01_설정'!B31)</f>
        <v/>
      </c>
    </row>
    <row r="2955" ht="17.25" customHeight="1">
      <c r="A2955" s="152">
        <f>IF(INDEX('04A_국토부원자료'!$A:$A,ROW()+1)="","",ROW()-3)</f>
        <v/>
      </c>
      <c r="B2955" s="48">
        <f>IFERROR(INDEX('04A_국토부원자료'!$A:$T,ROW()+1,MATCH("시군구",'04A_국토부원자료'!$A$4:$T$4,0)),"")</f>
        <v/>
      </c>
      <c r="C2955" s="48">
        <f>IF(B2955="","",IFERROR(INDEX('04A_국토부원자료'!$A:$T,ROW()+1,MATCH("번지",'04A_국토부원자료'!$A$4:$T$4,0)),""))</f>
        <v/>
      </c>
      <c r="D2955" s="48">
        <f>IF(B2955="","",IF(Q2955=1,'02_대상물건입력'!$B$8,IFERROR(INDEX('04A_국토부원자료'!$A:$T,ROW()+1,MATCH("단지명",'04A_국토부원자료'!$A$4:$T$4,0)),"")))</f>
        <v/>
      </c>
      <c r="E2955" s="172">
        <f>IFERROR(VALUE(SUBSTITUTE(INDEX('04A_국토부원자료'!$A:$T,ROW()+1,MATCH("전용면적(㎡)",'04A_국토부원자료'!$A$4:$T$4,0)),",","")),"")</f>
        <v/>
      </c>
      <c r="F295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55" s="51">
        <f>IFERROR(VALUE(SUBSTITUTE(INDEX('04A_국토부원자료'!$A:$T,ROW()+1,MATCH("거래금액(만원)",'04A_국토부원자료'!$A$4:$T$4,0)),",","")),"")</f>
        <v/>
      </c>
      <c r="H2955" s="174">
        <f>IF(G2955="","",G2955*10000)</f>
        <v/>
      </c>
      <c r="I2955" s="174">
        <f>IFERROR(IF(AND(H2955&gt;0,E2955&gt;0),H2955/E2955,""),"")</f>
        <v/>
      </c>
      <c r="J2955" s="152">
        <f>IFERROR(VALUE(SUBSTITUTE(INDEX('04A_국토부원자료'!$A:$T,ROW()+1,MATCH("층",'04A_국토부원자료'!$A$4:$T$4,0)),",","")),"")</f>
        <v/>
      </c>
      <c r="K2955" s="152">
        <f>IFERROR(VALUE(SUBSTITUTE(INDEX('04A_국토부원자료'!$A:$T,ROW()+1,MATCH("건축년도",'04A_국토부원자료'!$A$4:$T$4,0)),",","")),"")</f>
        <v/>
      </c>
      <c r="L2955" s="48">
        <f>IFERROR(INDEX('04A_국토부원자료'!$A:$T,ROW()+1,MATCH("도로명",'04A_국토부원자료'!$A$4:$T$4,0)),"")</f>
        <v/>
      </c>
      <c r="M2955" s="48">
        <f>IFERROR(INDEX('04A_국토부원자료'!$A:$T,ROW()+1,MATCH("거래유형",'04A_국토부원자료'!$A$4:$T$4,0)),"")</f>
        <v/>
      </c>
      <c r="N2955" s="152">
        <f>IF(B2955="","",IF('02_대상물건입력'!B5="",1,IF(ISNUMBER(SEARCH('02_대상물건입력'!B5,B2955)),1,0)))</f>
        <v/>
      </c>
      <c r="O2955" s="152">
        <f>IF(B2955="","",IF('02_대상물건입력'!B6="",1,IF(ISNUMBER(SEARCH('02_대상물건입력'!B6,B2955)),1,0)))</f>
        <v/>
      </c>
      <c r="P2955" s="152">
        <f>IF(L2955="","",IF('02_대상물건입력'!B15="",0,IF(ISNUMBER(SEARCH('02_대상물건입력'!B15,L2955)),1,0)))</f>
        <v/>
      </c>
      <c r="Q2955" s="152">
        <f>IF(OR(C2955="",L2955=""),0,IF(AND(TRIM(C2955)=TRIM(RIGHT(SUBSTITUTE(TRIM('02_대상물건입력'!$B$7)," ",REPT(" ",99)),99)),IF('02_대상물건입력'!B15="",TRUE(),ISNUMBER(SEARCH('02_대상물건입력'!B15,L2955)))),1,0))</f>
        <v/>
      </c>
      <c r="R2955" s="175">
        <f>IFERROR(ABS(E2955-'02_대상물건입력'!B11)/'02_대상물건입력'!B11,"")</f>
        <v/>
      </c>
      <c r="S2955" s="152">
        <f>IFERROR(ABS(J2955-'02_대상물건입력'!B10),"")</f>
        <v/>
      </c>
      <c r="T2955" s="152">
        <f>IFERROR(ABS('01_설정'!B4-F2955),"")</f>
        <v/>
      </c>
      <c r="U2955" s="152">
        <f>IFERROR(ABS(K2955-YEAR('02_대상물건입력'!B14)),"")</f>
        <v/>
      </c>
      <c r="V2955" s="152">
        <f>IF(B2955="","",IF(AND(E2955&gt;0,F2955&gt;0,H2955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2955=1,TRUE()),R2955&lt;='01_설정'!B5,S2955&lt;='01_설정'!B6,T2955&lt;='01_설정'!B7,U2955&lt;='01_설정'!B8),"Y",""))</f>
        <v/>
      </c>
      <c r="W2955" s="172">
        <f>IF(V2955&lt;&gt;"Y","",MAX(0,(1-R2955/'01_설정'!B5))*'01_설정'!B14+MAX(0,(1-S2955/'01_설정'!B6))*'01_설정'!B15+MAX(0,(1-T2955/'01_설정'!B7))*'01_설정'!B16+MAX(0,(1-U2955/'01_설정'!B8))*'01_설정'!B17+O2955*'01_설정'!B11+Q2955*'01_설정'!B12+P2955*'01_설정'!B13+IF(Z2955="",0,Z2955))</f>
        <v/>
      </c>
      <c r="X2955" s="152">
        <f>IF(W2955="","",1+COUNTIFS($W$4:$W$3003,"&gt;"&amp;W2955)+COUNTIFS($W$4:W2955,W2955)-1)</f>
        <v/>
      </c>
      <c r="Y2955" s="175">
        <f>IF(OR(I2955="",'02_대상물건입력'!B19="",'02_대상물건입력'!B19&lt;=0),"",ABS(I2955-'02_대상물건입력'!B19)/'02_대상물건입력'!B19)</f>
        <v/>
      </c>
      <c r="Z2955" s="172">
        <f>IF(OR(Y2955="",'01_설정'!B31="",'01_설정'!B31&lt;=0,'01_설정'!B32="",'01_설정'!B32&lt;=0),"",MAX(0,(1-Y2955/'01_설정'!B32))*'01_설정'!B31)</f>
        <v/>
      </c>
    </row>
    <row r="2956" ht="17.25" customHeight="1">
      <c r="A2956" s="152">
        <f>IF(INDEX('04A_국토부원자료'!$A:$A,ROW()+1)="","",ROW()-3)</f>
        <v/>
      </c>
      <c r="B2956" s="48">
        <f>IFERROR(INDEX('04A_국토부원자료'!$A:$T,ROW()+1,MATCH("시군구",'04A_국토부원자료'!$A$4:$T$4,0)),"")</f>
        <v/>
      </c>
      <c r="C2956" s="48">
        <f>IF(B2956="","",IFERROR(INDEX('04A_국토부원자료'!$A:$T,ROW()+1,MATCH("번지",'04A_국토부원자료'!$A$4:$T$4,0)),""))</f>
        <v/>
      </c>
      <c r="D2956" s="48">
        <f>IF(B2956="","",IF(Q2956=1,'02_대상물건입력'!$B$8,IFERROR(INDEX('04A_국토부원자료'!$A:$T,ROW()+1,MATCH("단지명",'04A_국토부원자료'!$A$4:$T$4,0)),"")))</f>
        <v/>
      </c>
      <c r="E2956" s="172">
        <f>IFERROR(VALUE(SUBSTITUTE(INDEX('04A_국토부원자료'!$A:$T,ROW()+1,MATCH("전용면적(㎡)",'04A_국토부원자료'!$A$4:$T$4,0)),",","")),"")</f>
        <v/>
      </c>
      <c r="F295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56" s="51">
        <f>IFERROR(VALUE(SUBSTITUTE(INDEX('04A_국토부원자료'!$A:$T,ROW()+1,MATCH("거래금액(만원)",'04A_국토부원자료'!$A$4:$T$4,0)),",","")),"")</f>
        <v/>
      </c>
      <c r="H2956" s="174">
        <f>IF(G2956="","",G2956*10000)</f>
        <v/>
      </c>
      <c r="I2956" s="174">
        <f>IFERROR(IF(AND(H2956&gt;0,E2956&gt;0),H2956/E2956,""),"")</f>
        <v/>
      </c>
      <c r="J2956" s="152">
        <f>IFERROR(VALUE(SUBSTITUTE(INDEX('04A_국토부원자료'!$A:$T,ROW()+1,MATCH("층",'04A_국토부원자료'!$A$4:$T$4,0)),",","")),"")</f>
        <v/>
      </c>
      <c r="K2956" s="152">
        <f>IFERROR(VALUE(SUBSTITUTE(INDEX('04A_국토부원자료'!$A:$T,ROW()+1,MATCH("건축년도",'04A_국토부원자료'!$A$4:$T$4,0)),",","")),"")</f>
        <v/>
      </c>
      <c r="L2956" s="48">
        <f>IFERROR(INDEX('04A_국토부원자료'!$A:$T,ROW()+1,MATCH("도로명",'04A_국토부원자료'!$A$4:$T$4,0)),"")</f>
        <v/>
      </c>
      <c r="M2956" s="48">
        <f>IFERROR(INDEX('04A_국토부원자료'!$A:$T,ROW()+1,MATCH("거래유형",'04A_국토부원자료'!$A$4:$T$4,0)),"")</f>
        <v/>
      </c>
      <c r="N2956" s="152">
        <f>IF(B2956="","",IF('02_대상물건입력'!B5="",1,IF(ISNUMBER(SEARCH('02_대상물건입력'!B5,B2956)),1,0)))</f>
        <v/>
      </c>
      <c r="O2956" s="152">
        <f>IF(B2956="","",IF('02_대상물건입력'!B6="",1,IF(ISNUMBER(SEARCH('02_대상물건입력'!B6,B2956)),1,0)))</f>
        <v/>
      </c>
      <c r="P2956" s="152">
        <f>IF(L2956="","",IF('02_대상물건입력'!B15="",0,IF(ISNUMBER(SEARCH('02_대상물건입력'!B15,L2956)),1,0)))</f>
        <v/>
      </c>
      <c r="Q2956" s="152">
        <f>IF(OR(C2956="",L2956=""),0,IF(AND(TRIM(C2956)=TRIM(RIGHT(SUBSTITUTE(TRIM('02_대상물건입력'!$B$7)," ",REPT(" ",99)),99)),IF('02_대상물건입력'!B15="",TRUE(),ISNUMBER(SEARCH('02_대상물건입력'!B15,L2956)))),1,0))</f>
        <v/>
      </c>
      <c r="R2956" s="175">
        <f>IFERROR(ABS(E2956-'02_대상물건입력'!B11)/'02_대상물건입력'!B11,"")</f>
        <v/>
      </c>
      <c r="S2956" s="152">
        <f>IFERROR(ABS(J2956-'02_대상물건입력'!B10),"")</f>
        <v/>
      </c>
      <c r="T2956" s="152">
        <f>IFERROR(ABS('01_설정'!B4-F2956),"")</f>
        <v/>
      </c>
      <c r="U2956" s="152">
        <f>IFERROR(ABS(K2956-YEAR('02_대상물건입력'!B14)),"")</f>
        <v/>
      </c>
      <c r="V2956" s="152">
        <f>IF(B2956="","",IF(AND(E2956&gt;0,F2956&gt;0,H2956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2956=1,TRUE()),R2956&lt;='01_설정'!B5,S2956&lt;='01_설정'!B6,T2956&lt;='01_설정'!B7,U2956&lt;='01_설정'!B8),"Y",""))</f>
        <v/>
      </c>
      <c r="W2956" s="172">
        <f>IF(V2956&lt;&gt;"Y","",MAX(0,(1-R2956/'01_설정'!B5))*'01_설정'!B14+MAX(0,(1-S2956/'01_설정'!B6))*'01_설정'!B15+MAX(0,(1-T2956/'01_설정'!B7))*'01_설정'!B16+MAX(0,(1-U2956/'01_설정'!B8))*'01_설정'!B17+O2956*'01_설정'!B11+Q2956*'01_설정'!B12+P2956*'01_설정'!B13+IF(Z2956="",0,Z2956))</f>
        <v/>
      </c>
      <c r="X2956" s="152">
        <f>IF(W2956="","",1+COUNTIFS($W$4:$W$3003,"&gt;"&amp;W2956)+COUNTIFS($W$4:W2956,W2956)-1)</f>
        <v/>
      </c>
      <c r="Y2956" s="175">
        <f>IF(OR(I2956="",'02_대상물건입력'!B19="",'02_대상물건입력'!B19&lt;=0),"",ABS(I2956-'02_대상물건입력'!B19)/'02_대상물건입력'!B19)</f>
        <v/>
      </c>
      <c r="Z2956" s="172">
        <f>IF(OR(Y2956="",'01_설정'!B31="",'01_설정'!B31&lt;=0,'01_설정'!B32="",'01_설정'!B32&lt;=0),"",MAX(0,(1-Y2956/'01_설정'!B32))*'01_설정'!B31)</f>
        <v/>
      </c>
    </row>
    <row r="2957" ht="17.25" customHeight="1">
      <c r="A2957" s="152">
        <f>IF(INDEX('04A_국토부원자료'!$A:$A,ROW()+1)="","",ROW()-3)</f>
        <v/>
      </c>
      <c r="B2957" s="48">
        <f>IFERROR(INDEX('04A_국토부원자료'!$A:$T,ROW()+1,MATCH("시군구",'04A_국토부원자료'!$A$4:$T$4,0)),"")</f>
        <v/>
      </c>
      <c r="C2957" s="48">
        <f>IF(B2957="","",IFERROR(INDEX('04A_국토부원자료'!$A:$T,ROW()+1,MATCH("번지",'04A_국토부원자료'!$A$4:$T$4,0)),""))</f>
        <v/>
      </c>
      <c r="D2957" s="48">
        <f>IF(B2957="","",IF(Q2957=1,'02_대상물건입력'!$B$8,IFERROR(INDEX('04A_국토부원자료'!$A:$T,ROW()+1,MATCH("단지명",'04A_국토부원자료'!$A$4:$T$4,0)),"")))</f>
        <v/>
      </c>
      <c r="E2957" s="172">
        <f>IFERROR(VALUE(SUBSTITUTE(INDEX('04A_국토부원자료'!$A:$T,ROW()+1,MATCH("전용면적(㎡)",'04A_국토부원자료'!$A$4:$T$4,0)),",","")),"")</f>
        <v/>
      </c>
      <c r="F295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57" s="51">
        <f>IFERROR(VALUE(SUBSTITUTE(INDEX('04A_국토부원자료'!$A:$T,ROW()+1,MATCH("거래금액(만원)",'04A_국토부원자료'!$A$4:$T$4,0)),",","")),"")</f>
        <v/>
      </c>
      <c r="H2957" s="174">
        <f>IF(G2957="","",G2957*10000)</f>
        <v/>
      </c>
      <c r="I2957" s="174">
        <f>IFERROR(IF(AND(H2957&gt;0,E2957&gt;0),H2957/E2957,""),"")</f>
        <v/>
      </c>
      <c r="J2957" s="152">
        <f>IFERROR(VALUE(SUBSTITUTE(INDEX('04A_국토부원자료'!$A:$T,ROW()+1,MATCH("층",'04A_국토부원자료'!$A$4:$T$4,0)),",","")),"")</f>
        <v/>
      </c>
      <c r="K2957" s="152">
        <f>IFERROR(VALUE(SUBSTITUTE(INDEX('04A_국토부원자료'!$A:$T,ROW()+1,MATCH("건축년도",'04A_국토부원자료'!$A$4:$T$4,0)),",","")),"")</f>
        <v/>
      </c>
      <c r="L2957" s="48">
        <f>IFERROR(INDEX('04A_국토부원자료'!$A:$T,ROW()+1,MATCH("도로명",'04A_국토부원자료'!$A$4:$T$4,0)),"")</f>
        <v/>
      </c>
      <c r="M2957" s="48">
        <f>IFERROR(INDEX('04A_국토부원자료'!$A:$T,ROW()+1,MATCH("거래유형",'04A_국토부원자료'!$A$4:$T$4,0)),"")</f>
        <v/>
      </c>
      <c r="N2957" s="152">
        <f>IF(B2957="","",IF('02_대상물건입력'!B5="",1,IF(ISNUMBER(SEARCH('02_대상물건입력'!B5,B2957)),1,0)))</f>
        <v/>
      </c>
      <c r="O2957" s="152">
        <f>IF(B2957="","",IF('02_대상물건입력'!B6="",1,IF(ISNUMBER(SEARCH('02_대상물건입력'!B6,B2957)),1,0)))</f>
        <v/>
      </c>
      <c r="P2957" s="152">
        <f>IF(L2957="","",IF('02_대상물건입력'!B15="",0,IF(ISNUMBER(SEARCH('02_대상물건입력'!B15,L2957)),1,0)))</f>
        <v/>
      </c>
      <c r="Q2957" s="152">
        <f>IF(OR(C2957="",L2957=""),0,IF(AND(TRIM(C2957)=TRIM(RIGHT(SUBSTITUTE(TRIM('02_대상물건입력'!$B$7)," ",REPT(" ",99)),99)),IF('02_대상물건입력'!B15="",TRUE(),ISNUMBER(SEARCH('02_대상물건입력'!B15,L2957)))),1,0))</f>
        <v/>
      </c>
      <c r="R2957" s="175">
        <f>IFERROR(ABS(E2957-'02_대상물건입력'!B11)/'02_대상물건입력'!B11,"")</f>
        <v/>
      </c>
      <c r="S2957" s="152">
        <f>IFERROR(ABS(J2957-'02_대상물건입력'!B10),"")</f>
        <v/>
      </c>
      <c r="T2957" s="152">
        <f>IFERROR(ABS('01_설정'!B4-F2957),"")</f>
        <v/>
      </c>
      <c r="U2957" s="152">
        <f>IFERROR(ABS(K2957-YEAR('02_대상물건입력'!B14)),"")</f>
        <v/>
      </c>
      <c r="V2957" s="152">
        <f>IF(B2957="","",IF(AND(E2957&gt;0,F2957&gt;0,H2957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2957=1,TRUE()),R2957&lt;='01_설정'!B5,S2957&lt;='01_설정'!B6,T2957&lt;='01_설정'!B7,U2957&lt;='01_설정'!B8),"Y",""))</f>
        <v/>
      </c>
      <c r="W2957" s="172">
        <f>IF(V2957&lt;&gt;"Y","",MAX(0,(1-R2957/'01_설정'!B5))*'01_설정'!B14+MAX(0,(1-S2957/'01_설정'!B6))*'01_설정'!B15+MAX(0,(1-T2957/'01_설정'!B7))*'01_설정'!B16+MAX(0,(1-U2957/'01_설정'!B8))*'01_설정'!B17+O2957*'01_설정'!B11+Q2957*'01_설정'!B12+P2957*'01_설정'!B13+IF(Z2957="",0,Z2957))</f>
        <v/>
      </c>
      <c r="X2957" s="152">
        <f>IF(W2957="","",1+COUNTIFS($W$4:$W$3003,"&gt;"&amp;W2957)+COUNTIFS($W$4:W2957,W2957)-1)</f>
        <v/>
      </c>
      <c r="Y2957" s="175">
        <f>IF(OR(I2957="",'02_대상물건입력'!B19="",'02_대상물건입력'!B19&lt;=0),"",ABS(I2957-'02_대상물건입력'!B19)/'02_대상물건입력'!B19)</f>
        <v/>
      </c>
      <c r="Z2957" s="172">
        <f>IF(OR(Y2957="",'01_설정'!B31="",'01_설정'!B31&lt;=0,'01_설정'!B32="",'01_설정'!B32&lt;=0),"",MAX(0,(1-Y2957/'01_설정'!B32))*'01_설정'!B31)</f>
        <v/>
      </c>
    </row>
    <row r="2958" ht="17.25" customHeight="1">
      <c r="A2958" s="152">
        <f>IF(INDEX('04A_국토부원자료'!$A:$A,ROW()+1)="","",ROW()-3)</f>
        <v/>
      </c>
      <c r="B2958" s="48">
        <f>IFERROR(INDEX('04A_국토부원자료'!$A:$T,ROW()+1,MATCH("시군구",'04A_국토부원자료'!$A$4:$T$4,0)),"")</f>
        <v/>
      </c>
      <c r="C2958" s="48">
        <f>IF(B2958="","",IFERROR(INDEX('04A_국토부원자료'!$A:$T,ROW()+1,MATCH("번지",'04A_국토부원자료'!$A$4:$T$4,0)),""))</f>
        <v/>
      </c>
      <c r="D2958" s="48">
        <f>IF(B2958="","",IF(Q2958=1,'02_대상물건입력'!$B$8,IFERROR(INDEX('04A_국토부원자료'!$A:$T,ROW()+1,MATCH("단지명",'04A_국토부원자료'!$A$4:$T$4,0)),"")))</f>
        <v/>
      </c>
      <c r="E2958" s="172">
        <f>IFERROR(VALUE(SUBSTITUTE(INDEX('04A_국토부원자료'!$A:$T,ROW()+1,MATCH("전용면적(㎡)",'04A_국토부원자료'!$A$4:$T$4,0)),",","")),"")</f>
        <v/>
      </c>
      <c r="F295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58" s="51">
        <f>IFERROR(VALUE(SUBSTITUTE(INDEX('04A_국토부원자료'!$A:$T,ROW()+1,MATCH("거래금액(만원)",'04A_국토부원자료'!$A$4:$T$4,0)),",","")),"")</f>
        <v/>
      </c>
      <c r="H2958" s="174">
        <f>IF(G2958="","",G2958*10000)</f>
        <v/>
      </c>
      <c r="I2958" s="174">
        <f>IFERROR(IF(AND(H2958&gt;0,E2958&gt;0),H2958/E2958,""),"")</f>
        <v/>
      </c>
      <c r="J2958" s="152">
        <f>IFERROR(VALUE(SUBSTITUTE(INDEX('04A_국토부원자료'!$A:$T,ROW()+1,MATCH("층",'04A_국토부원자료'!$A$4:$T$4,0)),",","")),"")</f>
        <v/>
      </c>
      <c r="K2958" s="152">
        <f>IFERROR(VALUE(SUBSTITUTE(INDEX('04A_국토부원자료'!$A:$T,ROW()+1,MATCH("건축년도",'04A_국토부원자료'!$A$4:$T$4,0)),",","")),"")</f>
        <v/>
      </c>
      <c r="L2958" s="48">
        <f>IFERROR(INDEX('04A_국토부원자료'!$A:$T,ROW()+1,MATCH("도로명",'04A_국토부원자료'!$A$4:$T$4,0)),"")</f>
        <v/>
      </c>
      <c r="M2958" s="48">
        <f>IFERROR(INDEX('04A_국토부원자료'!$A:$T,ROW()+1,MATCH("거래유형",'04A_국토부원자료'!$A$4:$T$4,0)),"")</f>
        <v/>
      </c>
      <c r="N2958" s="152">
        <f>IF(B2958="","",IF('02_대상물건입력'!B5="",1,IF(ISNUMBER(SEARCH('02_대상물건입력'!B5,B2958)),1,0)))</f>
        <v/>
      </c>
      <c r="O2958" s="152">
        <f>IF(B2958="","",IF('02_대상물건입력'!B6="",1,IF(ISNUMBER(SEARCH('02_대상물건입력'!B6,B2958)),1,0)))</f>
        <v/>
      </c>
      <c r="P2958" s="152">
        <f>IF(L2958="","",IF('02_대상물건입력'!B15="",0,IF(ISNUMBER(SEARCH('02_대상물건입력'!B15,L2958)),1,0)))</f>
        <v/>
      </c>
      <c r="Q2958" s="152">
        <f>IF(OR(C2958="",L2958=""),0,IF(AND(TRIM(C2958)=TRIM(RIGHT(SUBSTITUTE(TRIM('02_대상물건입력'!$B$7)," ",REPT(" ",99)),99)),IF('02_대상물건입력'!B15="",TRUE(),ISNUMBER(SEARCH('02_대상물건입력'!B15,L2958)))),1,0))</f>
        <v/>
      </c>
      <c r="R2958" s="175">
        <f>IFERROR(ABS(E2958-'02_대상물건입력'!B11)/'02_대상물건입력'!B11,"")</f>
        <v/>
      </c>
      <c r="S2958" s="152">
        <f>IFERROR(ABS(J2958-'02_대상물건입력'!B10),"")</f>
        <v/>
      </c>
      <c r="T2958" s="152">
        <f>IFERROR(ABS('01_설정'!B4-F2958),"")</f>
        <v/>
      </c>
      <c r="U2958" s="152">
        <f>IFERROR(ABS(K2958-YEAR('02_대상물건입력'!B14)),"")</f>
        <v/>
      </c>
      <c r="V2958" s="152">
        <f>IF(B2958="","",IF(AND(E2958&gt;0,F2958&gt;0,H2958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2958=1,TRUE()),R2958&lt;='01_설정'!B5,S2958&lt;='01_설정'!B6,T2958&lt;='01_설정'!B7,U2958&lt;='01_설정'!B8),"Y",""))</f>
        <v/>
      </c>
      <c r="W2958" s="172">
        <f>IF(V2958&lt;&gt;"Y","",MAX(0,(1-R2958/'01_설정'!B5))*'01_설정'!B14+MAX(0,(1-S2958/'01_설정'!B6))*'01_설정'!B15+MAX(0,(1-T2958/'01_설정'!B7))*'01_설정'!B16+MAX(0,(1-U2958/'01_설정'!B8))*'01_설정'!B17+O2958*'01_설정'!B11+Q2958*'01_설정'!B12+P2958*'01_설정'!B13+IF(Z2958="",0,Z2958))</f>
        <v/>
      </c>
      <c r="X2958" s="152">
        <f>IF(W2958="","",1+COUNTIFS($W$4:$W$3003,"&gt;"&amp;W2958)+COUNTIFS($W$4:W2958,W2958)-1)</f>
        <v/>
      </c>
      <c r="Y2958" s="175">
        <f>IF(OR(I2958="",'02_대상물건입력'!B19="",'02_대상물건입력'!B19&lt;=0),"",ABS(I2958-'02_대상물건입력'!B19)/'02_대상물건입력'!B19)</f>
        <v/>
      </c>
      <c r="Z2958" s="172">
        <f>IF(OR(Y2958="",'01_설정'!B31="",'01_설정'!B31&lt;=0,'01_설정'!B32="",'01_설정'!B32&lt;=0),"",MAX(0,(1-Y2958/'01_설정'!B32))*'01_설정'!B31)</f>
        <v/>
      </c>
    </row>
    <row r="2959" ht="17.25" customHeight="1">
      <c r="A2959" s="152">
        <f>IF(INDEX('04A_국토부원자료'!$A:$A,ROW()+1)="","",ROW()-3)</f>
        <v/>
      </c>
      <c r="B2959" s="48">
        <f>IFERROR(INDEX('04A_국토부원자료'!$A:$T,ROW()+1,MATCH("시군구",'04A_국토부원자료'!$A$4:$T$4,0)),"")</f>
        <v/>
      </c>
      <c r="C2959" s="48">
        <f>IF(B2959="","",IFERROR(INDEX('04A_국토부원자료'!$A:$T,ROW()+1,MATCH("번지",'04A_국토부원자료'!$A$4:$T$4,0)),""))</f>
        <v/>
      </c>
      <c r="D2959" s="48">
        <f>IF(B2959="","",IF(Q2959=1,'02_대상물건입력'!$B$8,IFERROR(INDEX('04A_국토부원자료'!$A:$T,ROW()+1,MATCH("단지명",'04A_국토부원자료'!$A$4:$T$4,0)),"")))</f>
        <v/>
      </c>
      <c r="E2959" s="172">
        <f>IFERROR(VALUE(SUBSTITUTE(INDEX('04A_국토부원자료'!$A:$T,ROW()+1,MATCH("전용면적(㎡)",'04A_국토부원자료'!$A$4:$T$4,0)),",","")),"")</f>
        <v/>
      </c>
      <c r="F295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59" s="51">
        <f>IFERROR(VALUE(SUBSTITUTE(INDEX('04A_국토부원자료'!$A:$T,ROW()+1,MATCH("거래금액(만원)",'04A_국토부원자료'!$A$4:$T$4,0)),",","")),"")</f>
        <v/>
      </c>
      <c r="H2959" s="174">
        <f>IF(G2959="","",G2959*10000)</f>
        <v/>
      </c>
      <c r="I2959" s="174">
        <f>IFERROR(IF(AND(H2959&gt;0,E2959&gt;0),H2959/E2959,""),"")</f>
        <v/>
      </c>
      <c r="J2959" s="152">
        <f>IFERROR(VALUE(SUBSTITUTE(INDEX('04A_국토부원자료'!$A:$T,ROW()+1,MATCH("층",'04A_국토부원자료'!$A$4:$T$4,0)),",","")),"")</f>
        <v/>
      </c>
      <c r="K2959" s="152">
        <f>IFERROR(VALUE(SUBSTITUTE(INDEX('04A_국토부원자료'!$A:$T,ROW()+1,MATCH("건축년도",'04A_국토부원자료'!$A$4:$T$4,0)),",","")),"")</f>
        <v/>
      </c>
      <c r="L2959" s="48">
        <f>IFERROR(INDEX('04A_국토부원자료'!$A:$T,ROW()+1,MATCH("도로명",'04A_국토부원자료'!$A$4:$T$4,0)),"")</f>
        <v/>
      </c>
      <c r="M2959" s="48">
        <f>IFERROR(INDEX('04A_국토부원자료'!$A:$T,ROW()+1,MATCH("거래유형",'04A_국토부원자료'!$A$4:$T$4,0)),"")</f>
        <v/>
      </c>
      <c r="N2959" s="152">
        <f>IF(B2959="","",IF('02_대상물건입력'!B5="",1,IF(ISNUMBER(SEARCH('02_대상물건입력'!B5,B2959)),1,0)))</f>
        <v/>
      </c>
      <c r="O2959" s="152">
        <f>IF(B2959="","",IF('02_대상물건입력'!B6="",1,IF(ISNUMBER(SEARCH('02_대상물건입력'!B6,B2959)),1,0)))</f>
        <v/>
      </c>
      <c r="P2959" s="152">
        <f>IF(L2959="","",IF('02_대상물건입력'!B15="",0,IF(ISNUMBER(SEARCH('02_대상물건입력'!B15,L2959)),1,0)))</f>
        <v/>
      </c>
      <c r="Q2959" s="152">
        <f>IF(OR(C2959="",L2959=""),0,IF(AND(TRIM(C2959)=TRIM(RIGHT(SUBSTITUTE(TRIM('02_대상물건입력'!$B$7)," ",REPT(" ",99)),99)),IF('02_대상물건입력'!B15="",TRUE(),ISNUMBER(SEARCH('02_대상물건입력'!B15,L2959)))),1,0))</f>
        <v/>
      </c>
      <c r="R2959" s="175">
        <f>IFERROR(ABS(E2959-'02_대상물건입력'!B11)/'02_대상물건입력'!B11,"")</f>
        <v/>
      </c>
      <c r="S2959" s="152">
        <f>IFERROR(ABS(J2959-'02_대상물건입력'!B10),"")</f>
        <v/>
      </c>
      <c r="T2959" s="152">
        <f>IFERROR(ABS('01_설정'!B4-F2959),"")</f>
        <v/>
      </c>
      <c r="U2959" s="152">
        <f>IFERROR(ABS(K2959-YEAR('02_대상물건입력'!B14)),"")</f>
        <v/>
      </c>
      <c r="V2959" s="152">
        <f>IF(B2959="","",IF(AND(E2959&gt;0,F2959&gt;0,H2959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2959=1,TRUE()),R2959&lt;='01_설정'!B5,S2959&lt;='01_설정'!B6,T2959&lt;='01_설정'!B7,U2959&lt;='01_설정'!B8),"Y",""))</f>
        <v/>
      </c>
      <c r="W2959" s="172">
        <f>IF(V2959&lt;&gt;"Y","",MAX(0,(1-R2959/'01_설정'!B5))*'01_설정'!B14+MAX(0,(1-S2959/'01_설정'!B6))*'01_설정'!B15+MAX(0,(1-T2959/'01_설정'!B7))*'01_설정'!B16+MAX(0,(1-U2959/'01_설정'!B8))*'01_설정'!B17+O2959*'01_설정'!B11+Q2959*'01_설정'!B12+P2959*'01_설정'!B13+IF(Z2959="",0,Z2959))</f>
        <v/>
      </c>
      <c r="X2959" s="152">
        <f>IF(W2959="","",1+COUNTIFS($W$4:$W$3003,"&gt;"&amp;W2959)+COUNTIFS($W$4:W2959,W2959)-1)</f>
        <v/>
      </c>
      <c r="Y2959" s="175">
        <f>IF(OR(I2959="",'02_대상물건입력'!B19="",'02_대상물건입력'!B19&lt;=0),"",ABS(I2959-'02_대상물건입력'!B19)/'02_대상물건입력'!B19)</f>
        <v/>
      </c>
      <c r="Z2959" s="172">
        <f>IF(OR(Y2959="",'01_설정'!B31="",'01_설정'!B31&lt;=0,'01_설정'!B32="",'01_설정'!B32&lt;=0),"",MAX(0,(1-Y2959/'01_설정'!B32))*'01_설정'!B31)</f>
        <v/>
      </c>
    </row>
    <row r="2960" ht="17.25" customHeight="1">
      <c r="A2960" s="152">
        <f>IF(INDEX('04A_국토부원자료'!$A:$A,ROW()+1)="","",ROW()-3)</f>
        <v/>
      </c>
      <c r="B2960" s="48">
        <f>IFERROR(INDEX('04A_국토부원자료'!$A:$T,ROW()+1,MATCH("시군구",'04A_국토부원자료'!$A$4:$T$4,0)),"")</f>
        <v/>
      </c>
      <c r="C2960" s="48">
        <f>IF(B2960="","",IFERROR(INDEX('04A_국토부원자료'!$A:$T,ROW()+1,MATCH("번지",'04A_국토부원자료'!$A$4:$T$4,0)),""))</f>
        <v/>
      </c>
      <c r="D2960" s="48">
        <f>IF(B2960="","",IF(Q2960=1,'02_대상물건입력'!$B$8,IFERROR(INDEX('04A_국토부원자료'!$A:$T,ROW()+1,MATCH("단지명",'04A_국토부원자료'!$A$4:$T$4,0)),"")))</f>
        <v/>
      </c>
      <c r="E2960" s="172">
        <f>IFERROR(VALUE(SUBSTITUTE(INDEX('04A_국토부원자료'!$A:$T,ROW()+1,MATCH("전용면적(㎡)",'04A_국토부원자료'!$A$4:$T$4,0)),",","")),"")</f>
        <v/>
      </c>
      <c r="F296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60" s="51">
        <f>IFERROR(VALUE(SUBSTITUTE(INDEX('04A_국토부원자료'!$A:$T,ROW()+1,MATCH("거래금액(만원)",'04A_국토부원자료'!$A$4:$T$4,0)),",","")),"")</f>
        <v/>
      </c>
      <c r="H2960" s="174">
        <f>IF(G2960="","",G2960*10000)</f>
        <v/>
      </c>
      <c r="I2960" s="174">
        <f>IFERROR(IF(AND(H2960&gt;0,E2960&gt;0),H2960/E2960,""),"")</f>
        <v/>
      </c>
      <c r="J2960" s="152">
        <f>IFERROR(VALUE(SUBSTITUTE(INDEX('04A_국토부원자료'!$A:$T,ROW()+1,MATCH("층",'04A_국토부원자료'!$A$4:$T$4,0)),",","")),"")</f>
        <v/>
      </c>
      <c r="K2960" s="152">
        <f>IFERROR(VALUE(SUBSTITUTE(INDEX('04A_국토부원자료'!$A:$T,ROW()+1,MATCH("건축년도",'04A_국토부원자료'!$A$4:$T$4,0)),",","")),"")</f>
        <v/>
      </c>
      <c r="L2960" s="48">
        <f>IFERROR(INDEX('04A_국토부원자료'!$A:$T,ROW()+1,MATCH("도로명",'04A_국토부원자료'!$A$4:$T$4,0)),"")</f>
        <v/>
      </c>
      <c r="M2960" s="48">
        <f>IFERROR(INDEX('04A_국토부원자료'!$A:$T,ROW()+1,MATCH("거래유형",'04A_국토부원자료'!$A$4:$T$4,0)),"")</f>
        <v/>
      </c>
      <c r="N2960" s="152">
        <f>IF(B2960="","",IF('02_대상물건입력'!B5="",1,IF(ISNUMBER(SEARCH('02_대상물건입력'!B5,B2960)),1,0)))</f>
        <v/>
      </c>
      <c r="O2960" s="152">
        <f>IF(B2960="","",IF('02_대상물건입력'!B6="",1,IF(ISNUMBER(SEARCH('02_대상물건입력'!B6,B2960)),1,0)))</f>
        <v/>
      </c>
      <c r="P2960" s="152">
        <f>IF(L2960="","",IF('02_대상물건입력'!B15="",0,IF(ISNUMBER(SEARCH('02_대상물건입력'!B15,L2960)),1,0)))</f>
        <v/>
      </c>
      <c r="Q2960" s="152">
        <f>IF(OR(C2960="",L2960=""),0,IF(AND(TRIM(C2960)=TRIM(RIGHT(SUBSTITUTE(TRIM('02_대상물건입력'!$B$7)," ",REPT(" ",99)),99)),IF('02_대상물건입력'!B15="",TRUE(),ISNUMBER(SEARCH('02_대상물건입력'!B15,L2960)))),1,0))</f>
        <v/>
      </c>
      <c r="R2960" s="175">
        <f>IFERROR(ABS(E2960-'02_대상물건입력'!B11)/'02_대상물건입력'!B11,"")</f>
        <v/>
      </c>
      <c r="S2960" s="152">
        <f>IFERROR(ABS(J2960-'02_대상물건입력'!B10),"")</f>
        <v/>
      </c>
      <c r="T2960" s="152">
        <f>IFERROR(ABS('01_설정'!B4-F2960),"")</f>
        <v/>
      </c>
      <c r="U2960" s="152">
        <f>IFERROR(ABS(K2960-YEAR('02_대상물건입력'!B14)),"")</f>
        <v/>
      </c>
      <c r="V2960" s="152">
        <f>IF(B2960="","",IF(AND(E2960&gt;0,F2960&gt;0,H2960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2960=1,TRUE()),R2960&lt;='01_설정'!B5,S2960&lt;='01_설정'!B6,T2960&lt;='01_설정'!B7,U2960&lt;='01_설정'!B8),"Y",""))</f>
        <v/>
      </c>
      <c r="W2960" s="172">
        <f>IF(V2960&lt;&gt;"Y","",MAX(0,(1-R2960/'01_설정'!B5))*'01_설정'!B14+MAX(0,(1-S2960/'01_설정'!B6))*'01_설정'!B15+MAX(0,(1-T2960/'01_설정'!B7))*'01_설정'!B16+MAX(0,(1-U2960/'01_설정'!B8))*'01_설정'!B17+O2960*'01_설정'!B11+Q2960*'01_설정'!B12+P2960*'01_설정'!B13+IF(Z2960="",0,Z2960))</f>
        <v/>
      </c>
      <c r="X2960" s="152">
        <f>IF(W2960="","",1+COUNTIFS($W$4:$W$3003,"&gt;"&amp;W2960)+COUNTIFS($W$4:W2960,W2960)-1)</f>
        <v/>
      </c>
      <c r="Y2960" s="175">
        <f>IF(OR(I2960="",'02_대상물건입력'!B19="",'02_대상물건입력'!B19&lt;=0),"",ABS(I2960-'02_대상물건입력'!B19)/'02_대상물건입력'!B19)</f>
        <v/>
      </c>
      <c r="Z2960" s="172">
        <f>IF(OR(Y2960="",'01_설정'!B31="",'01_설정'!B31&lt;=0,'01_설정'!B32="",'01_설정'!B32&lt;=0),"",MAX(0,(1-Y2960/'01_설정'!B32))*'01_설정'!B31)</f>
        <v/>
      </c>
    </row>
    <row r="2961" ht="17.25" customHeight="1">
      <c r="A2961" s="152">
        <f>IF(INDEX('04A_국토부원자료'!$A:$A,ROW()+1)="","",ROW()-3)</f>
        <v/>
      </c>
      <c r="B2961" s="48">
        <f>IFERROR(INDEX('04A_국토부원자료'!$A:$T,ROW()+1,MATCH("시군구",'04A_국토부원자료'!$A$4:$T$4,0)),"")</f>
        <v/>
      </c>
      <c r="C2961" s="48">
        <f>IF(B2961="","",IFERROR(INDEX('04A_국토부원자료'!$A:$T,ROW()+1,MATCH("번지",'04A_국토부원자료'!$A$4:$T$4,0)),""))</f>
        <v/>
      </c>
      <c r="D2961" s="48">
        <f>IF(B2961="","",IF(Q2961=1,'02_대상물건입력'!$B$8,IFERROR(INDEX('04A_국토부원자료'!$A:$T,ROW()+1,MATCH("단지명",'04A_국토부원자료'!$A$4:$T$4,0)),"")))</f>
        <v/>
      </c>
      <c r="E2961" s="172">
        <f>IFERROR(VALUE(SUBSTITUTE(INDEX('04A_국토부원자료'!$A:$T,ROW()+1,MATCH("전용면적(㎡)",'04A_국토부원자료'!$A$4:$T$4,0)),",","")),"")</f>
        <v/>
      </c>
      <c r="F296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61" s="51">
        <f>IFERROR(VALUE(SUBSTITUTE(INDEX('04A_국토부원자료'!$A:$T,ROW()+1,MATCH("거래금액(만원)",'04A_국토부원자료'!$A$4:$T$4,0)),",","")),"")</f>
        <v/>
      </c>
      <c r="H2961" s="174">
        <f>IF(G2961="","",G2961*10000)</f>
        <v/>
      </c>
      <c r="I2961" s="174">
        <f>IFERROR(IF(AND(H2961&gt;0,E2961&gt;0),H2961/E2961,""),"")</f>
        <v/>
      </c>
      <c r="J2961" s="152">
        <f>IFERROR(VALUE(SUBSTITUTE(INDEX('04A_국토부원자료'!$A:$T,ROW()+1,MATCH("층",'04A_국토부원자료'!$A$4:$T$4,0)),",","")),"")</f>
        <v/>
      </c>
      <c r="K2961" s="152">
        <f>IFERROR(VALUE(SUBSTITUTE(INDEX('04A_국토부원자료'!$A:$T,ROW()+1,MATCH("건축년도",'04A_국토부원자료'!$A$4:$T$4,0)),",","")),"")</f>
        <v/>
      </c>
      <c r="L2961" s="48">
        <f>IFERROR(INDEX('04A_국토부원자료'!$A:$T,ROW()+1,MATCH("도로명",'04A_국토부원자료'!$A$4:$T$4,0)),"")</f>
        <v/>
      </c>
      <c r="M2961" s="48">
        <f>IFERROR(INDEX('04A_국토부원자료'!$A:$T,ROW()+1,MATCH("거래유형",'04A_국토부원자료'!$A$4:$T$4,0)),"")</f>
        <v/>
      </c>
      <c r="N2961" s="152">
        <f>IF(B2961="","",IF('02_대상물건입력'!B5="",1,IF(ISNUMBER(SEARCH('02_대상물건입력'!B5,B2961)),1,0)))</f>
        <v/>
      </c>
      <c r="O2961" s="152">
        <f>IF(B2961="","",IF('02_대상물건입력'!B6="",1,IF(ISNUMBER(SEARCH('02_대상물건입력'!B6,B2961)),1,0)))</f>
        <v/>
      </c>
      <c r="P2961" s="152">
        <f>IF(L2961="","",IF('02_대상물건입력'!B15="",0,IF(ISNUMBER(SEARCH('02_대상물건입력'!B15,L2961)),1,0)))</f>
        <v/>
      </c>
      <c r="Q2961" s="152">
        <f>IF(OR(C2961="",L2961=""),0,IF(AND(TRIM(C2961)=TRIM(RIGHT(SUBSTITUTE(TRIM('02_대상물건입력'!$B$7)," ",REPT(" ",99)),99)),IF('02_대상물건입력'!B15="",TRUE(),ISNUMBER(SEARCH('02_대상물건입력'!B15,L2961)))),1,0))</f>
        <v/>
      </c>
      <c r="R2961" s="175">
        <f>IFERROR(ABS(E2961-'02_대상물건입력'!B11)/'02_대상물건입력'!B11,"")</f>
        <v/>
      </c>
      <c r="S2961" s="152">
        <f>IFERROR(ABS(J2961-'02_대상물건입력'!B10),"")</f>
        <v/>
      </c>
      <c r="T2961" s="152">
        <f>IFERROR(ABS('01_설정'!B4-F2961),"")</f>
        <v/>
      </c>
      <c r="U2961" s="152">
        <f>IFERROR(ABS(K2961-YEAR('02_대상물건입력'!B14)),"")</f>
        <v/>
      </c>
      <c r="V2961" s="152">
        <f>IF(B2961="","",IF(AND(E2961&gt;0,F2961&gt;0,H2961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2961=1,TRUE()),R2961&lt;='01_설정'!B5,S2961&lt;='01_설정'!B6,T2961&lt;='01_설정'!B7,U2961&lt;='01_설정'!B8),"Y",""))</f>
        <v/>
      </c>
      <c r="W2961" s="172">
        <f>IF(V2961&lt;&gt;"Y","",MAX(0,(1-R2961/'01_설정'!B5))*'01_설정'!B14+MAX(0,(1-S2961/'01_설정'!B6))*'01_설정'!B15+MAX(0,(1-T2961/'01_설정'!B7))*'01_설정'!B16+MAX(0,(1-U2961/'01_설정'!B8))*'01_설정'!B17+O2961*'01_설정'!B11+Q2961*'01_설정'!B12+P2961*'01_설정'!B13+IF(Z2961="",0,Z2961))</f>
        <v/>
      </c>
      <c r="X2961" s="152">
        <f>IF(W2961="","",1+COUNTIFS($W$4:$W$3003,"&gt;"&amp;W2961)+COUNTIFS($W$4:W2961,W2961)-1)</f>
        <v/>
      </c>
      <c r="Y2961" s="175">
        <f>IF(OR(I2961="",'02_대상물건입력'!B19="",'02_대상물건입력'!B19&lt;=0),"",ABS(I2961-'02_대상물건입력'!B19)/'02_대상물건입력'!B19)</f>
        <v/>
      </c>
      <c r="Z2961" s="172">
        <f>IF(OR(Y2961="",'01_설정'!B31="",'01_설정'!B31&lt;=0,'01_설정'!B32="",'01_설정'!B32&lt;=0),"",MAX(0,(1-Y2961/'01_설정'!B32))*'01_설정'!B31)</f>
        <v/>
      </c>
    </row>
    <row r="2962" ht="17.25" customHeight="1">
      <c r="A2962" s="152">
        <f>IF(INDEX('04A_국토부원자료'!$A:$A,ROW()+1)="","",ROW()-3)</f>
        <v/>
      </c>
      <c r="B2962" s="48">
        <f>IFERROR(INDEX('04A_국토부원자료'!$A:$T,ROW()+1,MATCH("시군구",'04A_국토부원자료'!$A$4:$T$4,0)),"")</f>
        <v/>
      </c>
      <c r="C2962" s="48">
        <f>IF(B2962="","",IFERROR(INDEX('04A_국토부원자료'!$A:$T,ROW()+1,MATCH("번지",'04A_국토부원자료'!$A$4:$T$4,0)),""))</f>
        <v/>
      </c>
      <c r="D2962" s="48">
        <f>IF(B2962="","",IF(Q2962=1,'02_대상물건입력'!$B$8,IFERROR(INDEX('04A_국토부원자료'!$A:$T,ROW()+1,MATCH("단지명",'04A_국토부원자료'!$A$4:$T$4,0)),"")))</f>
        <v/>
      </c>
      <c r="E2962" s="172">
        <f>IFERROR(VALUE(SUBSTITUTE(INDEX('04A_국토부원자료'!$A:$T,ROW()+1,MATCH("전용면적(㎡)",'04A_국토부원자료'!$A$4:$T$4,0)),",","")),"")</f>
        <v/>
      </c>
      <c r="F296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62" s="51">
        <f>IFERROR(VALUE(SUBSTITUTE(INDEX('04A_국토부원자료'!$A:$T,ROW()+1,MATCH("거래금액(만원)",'04A_국토부원자료'!$A$4:$T$4,0)),",","")),"")</f>
        <v/>
      </c>
      <c r="H2962" s="174">
        <f>IF(G2962="","",G2962*10000)</f>
        <v/>
      </c>
      <c r="I2962" s="174">
        <f>IFERROR(IF(AND(H2962&gt;0,E2962&gt;0),H2962/E2962,""),"")</f>
        <v/>
      </c>
      <c r="J2962" s="152">
        <f>IFERROR(VALUE(SUBSTITUTE(INDEX('04A_국토부원자료'!$A:$T,ROW()+1,MATCH("층",'04A_국토부원자료'!$A$4:$T$4,0)),",","")),"")</f>
        <v/>
      </c>
      <c r="K2962" s="152">
        <f>IFERROR(VALUE(SUBSTITUTE(INDEX('04A_국토부원자료'!$A:$T,ROW()+1,MATCH("건축년도",'04A_국토부원자료'!$A$4:$T$4,0)),",","")),"")</f>
        <v/>
      </c>
      <c r="L2962" s="48">
        <f>IFERROR(INDEX('04A_국토부원자료'!$A:$T,ROW()+1,MATCH("도로명",'04A_국토부원자료'!$A$4:$T$4,0)),"")</f>
        <v/>
      </c>
      <c r="M2962" s="48">
        <f>IFERROR(INDEX('04A_국토부원자료'!$A:$T,ROW()+1,MATCH("거래유형",'04A_국토부원자료'!$A$4:$T$4,0)),"")</f>
        <v/>
      </c>
      <c r="N2962" s="152">
        <f>IF(B2962="","",IF('02_대상물건입력'!B5="",1,IF(ISNUMBER(SEARCH('02_대상물건입력'!B5,B2962)),1,0)))</f>
        <v/>
      </c>
      <c r="O2962" s="152">
        <f>IF(B2962="","",IF('02_대상물건입력'!B6="",1,IF(ISNUMBER(SEARCH('02_대상물건입력'!B6,B2962)),1,0)))</f>
        <v/>
      </c>
      <c r="P2962" s="152">
        <f>IF(L2962="","",IF('02_대상물건입력'!B15="",0,IF(ISNUMBER(SEARCH('02_대상물건입력'!B15,L2962)),1,0)))</f>
        <v/>
      </c>
      <c r="Q2962" s="152">
        <f>IF(OR(C2962="",L2962=""),0,IF(AND(TRIM(C2962)=TRIM(RIGHT(SUBSTITUTE(TRIM('02_대상물건입력'!$B$7)," ",REPT(" ",99)),99)),IF('02_대상물건입력'!B15="",TRUE(),ISNUMBER(SEARCH('02_대상물건입력'!B15,L2962)))),1,0))</f>
        <v/>
      </c>
      <c r="R2962" s="175">
        <f>IFERROR(ABS(E2962-'02_대상물건입력'!B11)/'02_대상물건입력'!B11,"")</f>
        <v/>
      </c>
      <c r="S2962" s="152">
        <f>IFERROR(ABS(J2962-'02_대상물건입력'!B10),"")</f>
        <v/>
      </c>
      <c r="T2962" s="152">
        <f>IFERROR(ABS('01_설정'!B4-F2962),"")</f>
        <v/>
      </c>
      <c r="U2962" s="152">
        <f>IFERROR(ABS(K2962-YEAR('02_대상물건입력'!B14)),"")</f>
        <v/>
      </c>
      <c r="V2962" s="152">
        <f>IF(B2962="","",IF(AND(E2962&gt;0,F2962&gt;0,H2962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2962=1,TRUE()),R2962&lt;='01_설정'!B5,S2962&lt;='01_설정'!B6,T2962&lt;='01_설정'!B7,U2962&lt;='01_설정'!B8),"Y",""))</f>
        <v/>
      </c>
      <c r="W2962" s="172">
        <f>IF(V2962&lt;&gt;"Y","",MAX(0,(1-R2962/'01_설정'!B5))*'01_설정'!B14+MAX(0,(1-S2962/'01_설정'!B6))*'01_설정'!B15+MAX(0,(1-T2962/'01_설정'!B7))*'01_설정'!B16+MAX(0,(1-U2962/'01_설정'!B8))*'01_설정'!B17+O2962*'01_설정'!B11+Q2962*'01_설정'!B12+P2962*'01_설정'!B13+IF(Z2962="",0,Z2962))</f>
        <v/>
      </c>
      <c r="X2962" s="152">
        <f>IF(W2962="","",1+COUNTIFS($W$4:$W$3003,"&gt;"&amp;W2962)+COUNTIFS($W$4:W2962,W2962)-1)</f>
        <v/>
      </c>
      <c r="Y2962" s="175">
        <f>IF(OR(I2962="",'02_대상물건입력'!B19="",'02_대상물건입력'!B19&lt;=0),"",ABS(I2962-'02_대상물건입력'!B19)/'02_대상물건입력'!B19)</f>
        <v/>
      </c>
      <c r="Z2962" s="172">
        <f>IF(OR(Y2962="",'01_설정'!B31="",'01_설정'!B31&lt;=0,'01_설정'!B32="",'01_설정'!B32&lt;=0),"",MAX(0,(1-Y2962/'01_설정'!B32))*'01_설정'!B31)</f>
        <v/>
      </c>
    </row>
    <row r="2963" ht="17.25" customHeight="1">
      <c r="A2963" s="152">
        <f>IF(INDEX('04A_국토부원자료'!$A:$A,ROW()+1)="","",ROW()-3)</f>
        <v/>
      </c>
      <c r="B2963" s="48">
        <f>IFERROR(INDEX('04A_국토부원자료'!$A:$T,ROW()+1,MATCH("시군구",'04A_국토부원자료'!$A$4:$T$4,0)),"")</f>
        <v/>
      </c>
      <c r="C2963" s="48">
        <f>IF(B2963="","",IFERROR(INDEX('04A_국토부원자료'!$A:$T,ROW()+1,MATCH("번지",'04A_국토부원자료'!$A$4:$T$4,0)),""))</f>
        <v/>
      </c>
      <c r="D2963" s="48">
        <f>IF(B2963="","",IF(Q2963=1,'02_대상물건입력'!$B$8,IFERROR(INDEX('04A_국토부원자료'!$A:$T,ROW()+1,MATCH("단지명",'04A_국토부원자료'!$A$4:$T$4,0)),"")))</f>
        <v/>
      </c>
      <c r="E2963" s="172">
        <f>IFERROR(VALUE(SUBSTITUTE(INDEX('04A_국토부원자료'!$A:$T,ROW()+1,MATCH("전용면적(㎡)",'04A_국토부원자료'!$A$4:$T$4,0)),",","")),"")</f>
        <v/>
      </c>
      <c r="F296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63" s="51">
        <f>IFERROR(VALUE(SUBSTITUTE(INDEX('04A_국토부원자료'!$A:$T,ROW()+1,MATCH("거래금액(만원)",'04A_국토부원자료'!$A$4:$T$4,0)),",","")),"")</f>
        <v/>
      </c>
      <c r="H2963" s="174">
        <f>IF(G2963="","",G2963*10000)</f>
        <v/>
      </c>
      <c r="I2963" s="174">
        <f>IFERROR(IF(AND(H2963&gt;0,E2963&gt;0),H2963/E2963,""),"")</f>
        <v/>
      </c>
      <c r="J2963" s="152">
        <f>IFERROR(VALUE(SUBSTITUTE(INDEX('04A_국토부원자료'!$A:$T,ROW()+1,MATCH("층",'04A_국토부원자료'!$A$4:$T$4,0)),",","")),"")</f>
        <v/>
      </c>
      <c r="K2963" s="152">
        <f>IFERROR(VALUE(SUBSTITUTE(INDEX('04A_국토부원자료'!$A:$T,ROW()+1,MATCH("건축년도",'04A_국토부원자료'!$A$4:$T$4,0)),",","")),"")</f>
        <v/>
      </c>
      <c r="L2963" s="48">
        <f>IFERROR(INDEX('04A_국토부원자료'!$A:$T,ROW()+1,MATCH("도로명",'04A_국토부원자료'!$A$4:$T$4,0)),"")</f>
        <v/>
      </c>
      <c r="M2963" s="48">
        <f>IFERROR(INDEX('04A_국토부원자료'!$A:$T,ROW()+1,MATCH("거래유형",'04A_국토부원자료'!$A$4:$T$4,0)),"")</f>
        <v/>
      </c>
      <c r="N2963" s="152">
        <f>IF(B2963="","",IF('02_대상물건입력'!B5="",1,IF(ISNUMBER(SEARCH('02_대상물건입력'!B5,B2963)),1,0)))</f>
        <v/>
      </c>
      <c r="O2963" s="152">
        <f>IF(B2963="","",IF('02_대상물건입력'!B6="",1,IF(ISNUMBER(SEARCH('02_대상물건입력'!B6,B2963)),1,0)))</f>
        <v/>
      </c>
      <c r="P2963" s="152">
        <f>IF(L2963="","",IF('02_대상물건입력'!B15="",0,IF(ISNUMBER(SEARCH('02_대상물건입력'!B15,L2963)),1,0)))</f>
        <v/>
      </c>
      <c r="Q2963" s="152">
        <f>IF(OR(C2963="",L2963=""),0,IF(AND(TRIM(C2963)=TRIM(RIGHT(SUBSTITUTE(TRIM('02_대상물건입력'!$B$7)," ",REPT(" ",99)),99)),IF('02_대상물건입력'!B15="",TRUE(),ISNUMBER(SEARCH('02_대상물건입력'!B15,L2963)))),1,0))</f>
        <v/>
      </c>
      <c r="R2963" s="175">
        <f>IFERROR(ABS(E2963-'02_대상물건입력'!B11)/'02_대상물건입력'!B11,"")</f>
        <v/>
      </c>
      <c r="S2963" s="152">
        <f>IFERROR(ABS(J2963-'02_대상물건입력'!B10),"")</f>
        <v/>
      </c>
      <c r="T2963" s="152">
        <f>IFERROR(ABS('01_설정'!B4-F2963),"")</f>
        <v/>
      </c>
      <c r="U2963" s="152">
        <f>IFERROR(ABS(K2963-YEAR('02_대상물건입력'!B14)),"")</f>
        <v/>
      </c>
      <c r="V2963" s="152">
        <f>IF(B2963="","",IF(AND(E2963&gt;0,F2963&gt;0,H2963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2963=1,TRUE()),R2963&lt;='01_설정'!B5,S2963&lt;='01_설정'!B6,T2963&lt;='01_설정'!B7,U2963&lt;='01_설정'!B8),"Y",""))</f>
        <v/>
      </c>
      <c r="W2963" s="172">
        <f>IF(V2963&lt;&gt;"Y","",MAX(0,(1-R2963/'01_설정'!B5))*'01_설정'!B14+MAX(0,(1-S2963/'01_설정'!B6))*'01_설정'!B15+MAX(0,(1-T2963/'01_설정'!B7))*'01_설정'!B16+MAX(0,(1-U2963/'01_설정'!B8))*'01_설정'!B17+O2963*'01_설정'!B11+Q2963*'01_설정'!B12+P2963*'01_설정'!B13+IF(Z2963="",0,Z2963))</f>
        <v/>
      </c>
      <c r="X2963" s="152">
        <f>IF(W2963="","",1+COUNTIFS($W$4:$W$3003,"&gt;"&amp;W2963)+COUNTIFS($W$4:W2963,W2963)-1)</f>
        <v/>
      </c>
      <c r="Y2963" s="175">
        <f>IF(OR(I2963="",'02_대상물건입력'!B19="",'02_대상물건입력'!B19&lt;=0),"",ABS(I2963-'02_대상물건입력'!B19)/'02_대상물건입력'!B19)</f>
        <v/>
      </c>
      <c r="Z2963" s="172">
        <f>IF(OR(Y2963="",'01_설정'!B31="",'01_설정'!B31&lt;=0,'01_설정'!B32="",'01_설정'!B32&lt;=0),"",MAX(0,(1-Y2963/'01_설정'!B32))*'01_설정'!B31)</f>
        <v/>
      </c>
    </row>
    <row r="2964" ht="17.25" customHeight="1">
      <c r="A2964" s="152">
        <f>IF(INDEX('04A_국토부원자료'!$A:$A,ROW()+1)="","",ROW()-3)</f>
        <v/>
      </c>
      <c r="B2964" s="48">
        <f>IFERROR(INDEX('04A_국토부원자료'!$A:$T,ROW()+1,MATCH("시군구",'04A_국토부원자료'!$A$4:$T$4,0)),"")</f>
        <v/>
      </c>
      <c r="C2964" s="48">
        <f>IF(B2964="","",IFERROR(INDEX('04A_국토부원자료'!$A:$T,ROW()+1,MATCH("번지",'04A_국토부원자료'!$A$4:$T$4,0)),""))</f>
        <v/>
      </c>
      <c r="D2964" s="48">
        <f>IF(B2964="","",IF(Q2964=1,'02_대상물건입력'!$B$8,IFERROR(INDEX('04A_국토부원자료'!$A:$T,ROW()+1,MATCH("단지명",'04A_국토부원자료'!$A$4:$T$4,0)),"")))</f>
        <v/>
      </c>
      <c r="E2964" s="172">
        <f>IFERROR(VALUE(SUBSTITUTE(INDEX('04A_국토부원자료'!$A:$T,ROW()+1,MATCH("전용면적(㎡)",'04A_국토부원자료'!$A$4:$T$4,0)),",","")),"")</f>
        <v/>
      </c>
      <c r="F296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64" s="51">
        <f>IFERROR(VALUE(SUBSTITUTE(INDEX('04A_국토부원자료'!$A:$T,ROW()+1,MATCH("거래금액(만원)",'04A_국토부원자료'!$A$4:$T$4,0)),",","")),"")</f>
        <v/>
      </c>
      <c r="H2964" s="174">
        <f>IF(G2964="","",G2964*10000)</f>
        <v/>
      </c>
      <c r="I2964" s="174">
        <f>IFERROR(IF(AND(H2964&gt;0,E2964&gt;0),H2964/E2964,""),"")</f>
        <v/>
      </c>
      <c r="J2964" s="152">
        <f>IFERROR(VALUE(SUBSTITUTE(INDEX('04A_국토부원자료'!$A:$T,ROW()+1,MATCH("층",'04A_국토부원자료'!$A$4:$T$4,0)),",","")),"")</f>
        <v/>
      </c>
      <c r="K2964" s="152">
        <f>IFERROR(VALUE(SUBSTITUTE(INDEX('04A_국토부원자료'!$A:$T,ROW()+1,MATCH("건축년도",'04A_국토부원자료'!$A$4:$T$4,0)),",","")),"")</f>
        <v/>
      </c>
      <c r="L2964" s="48">
        <f>IFERROR(INDEX('04A_국토부원자료'!$A:$T,ROW()+1,MATCH("도로명",'04A_국토부원자료'!$A$4:$T$4,0)),"")</f>
        <v/>
      </c>
      <c r="M2964" s="48">
        <f>IFERROR(INDEX('04A_국토부원자료'!$A:$T,ROW()+1,MATCH("거래유형",'04A_국토부원자료'!$A$4:$T$4,0)),"")</f>
        <v/>
      </c>
      <c r="N2964" s="152">
        <f>IF(B2964="","",IF('02_대상물건입력'!B5="",1,IF(ISNUMBER(SEARCH('02_대상물건입력'!B5,B2964)),1,0)))</f>
        <v/>
      </c>
      <c r="O2964" s="152">
        <f>IF(B2964="","",IF('02_대상물건입력'!B6="",1,IF(ISNUMBER(SEARCH('02_대상물건입력'!B6,B2964)),1,0)))</f>
        <v/>
      </c>
      <c r="P2964" s="152">
        <f>IF(L2964="","",IF('02_대상물건입력'!B15="",0,IF(ISNUMBER(SEARCH('02_대상물건입력'!B15,L2964)),1,0)))</f>
        <v/>
      </c>
      <c r="Q2964" s="152">
        <f>IF(OR(C2964="",L2964=""),0,IF(AND(TRIM(C2964)=TRIM(RIGHT(SUBSTITUTE(TRIM('02_대상물건입력'!$B$7)," ",REPT(" ",99)),99)),IF('02_대상물건입력'!B15="",TRUE(),ISNUMBER(SEARCH('02_대상물건입력'!B15,L2964)))),1,0))</f>
        <v/>
      </c>
      <c r="R2964" s="175">
        <f>IFERROR(ABS(E2964-'02_대상물건입력'!B11)/'02_대상물건입력'!B11,"")</f>
        <v/>
      </c>
      <c r="S2964" s="152">
        <f>IFERROR(ABS(J2964-'02_대상물건입력'!B10),"")</f>
        <v/>
      </c>
      <c r="T2964" s="152">
        <f>IFERROR(ABS('01_설정'!B4-F2964),"")</f>
        <v/>
      </c>
      <c r="U2964" s="152">
        <f>IFERROR(ABS(K2964-YEAR('02_대상물건입력'!B14)),"")</f>
        <v/>
      </c>
      <c r="V2964" s="152">
        <f>IF(B2964="","",IF(AND(E2964&gt;0,F2964&gt;0,H2964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2964=1,TRUE()),R2964&lt;='01_설정'!B5,S2964&lt;='01_설정'!B6,T2964&lt;='01_설정'!B7,U2964&lt;='01_설정'!B8),"Y",""))</f>
        <v/>
      </c>
      <c r="W2964" s="172">
        <f>IF(V2964&lt;&gt;"Y","",MAX(0,(1-R2964/'01_설정'!B5))*'01_설정'!B14+MAX(0,(1-S2964/'01_설정'!B6))*'01_설정'!B15+MAX(0,(1-T2964/'01_설정'!B7))*'01_설정'!B16+MAX(0,(1-U2964/'01_설정'!B8))*'01_설정'!B17+O2964*'01_설정'!B11+Q2964*'01_설정'!B12+P2964*'01_설정'!B13+IF(Z2964="",0,Z2964))</f>
        <v/>
      </c>
      <c r="X2964" s="152">
        <f>IF(W2964="","",1+COUNTIFS($W$4:$W$3003,"&gt;"&amp;W2964)+COUNTIFS($W$4:W2964,W2964)-1)</f>
        <v/>
      </c>
      <c r="Y2964" s="175">
        <f>IF(OR(I2964="",'02_대상물건입력'!B19="",'02_대상물건입력'!B19&lt;=0),"",ABS(I2964-'02_대상물건입력'!B19)/'02_대상물건입력'!B19)</f>
        <v/>
      </c>
      <c r="Z2964" s="172">
        <f>IF(OR(Y2964="",'01_설정'!B31="",'01_설정'!B31&lt;=0,'01_설정'!B32="",'01_설정'!B32&lt;=0),"",MAX(0,(1-Y2964/'01_설정'!B32))*'01_설정'!B31)</f>
        <v/>
      </c>
    </row>
    <row r="2965" ht="17.25" customHeight="1">
      <c r="A2965" s="152">
        <f>IF(INDEX('04A_국토부원자료'!$A:$A,ROW()+1)="","",ROW()-3)</f>
        <v/>
      </c>
      <c r="B2965" s="48">
        <f>IFERROR(INDEX('04A_국토부원자료'!$A:$T,ROW()+1,MATCH("시군구",'04A_국토부원자료'!$A$4:$T$4,0)),"")</f>
        <v/>
      </c>
      <c r="C2965" s="48">
        <f>IF(B2965="","",IFERROR(INDEX('04A_국토부원자료'!$A:$T,ROW()+1,MATCH("번지",'04A_국토부원자료'!$A$4:$T$4,0)),""))</f>
        <v/>
      </c>
      <c r="D2965" s="48">
        <f>IF(B2965="","",IF(Q2965=1,'02_대상물건입력'!$B$8,IFERROR(INDEX('04A_국토부원자료'!$A:$T,ROW()+1,MATCH("단지명",'04A_국토부원자료'!$A$4:$T$4,0)),"")))</f>
        <v/>
      </c>
      <c r="E2965" s="172">
        <f>IFERROR(VALUE(SUBSTITUTE(INDEX('04A_국토부원자료'!$A:$T,ROW()+1,MATCH("전용면적(㎡)",'04A_국토부원자료'!$A$4:$T$4,0)),",","")),"")</f>
        <v/>
      </c>
      <c r="F296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65" s="51">
        <f>IFERROR(VALUE(SUBSTITUTE(INDEX('04A_국토부원자료'!$A:$T,ROW()+1,MATCH("거래금액(만원)",'04A_국토부원자료'!$A$4:$T$4,0)),",","")),"")</f>
        <v/>
      </c>
      <c r="H2965" s="174">
        <f>IF(G2965="","",G2965*10000)</f>
        <v/>
      </c>
      <c r="I2965" s="174">
        <f>IFERROR(IF(AND(H2965&gt;0,E2965&gt;0),H2965/E2965,""),"")</f>
        <v/>
      </c>
      <c r="J2965" s="152">
        <f>IFERROR(VALUE(SUBSTITUTE(INDEX('04A_국토부원자료'!$A:$T,ROW()+1,MATCH("층",'04A_국토부원자료'!$A$4:$T$4,0)),",","")),"")</f>
        <v/>
      </c>
      <c r="K2965" s="152">
        <f>IFERROR(VALUE(SUBSTITUTE(INDEX('04A_국토부원자료'!$A:$T,ROW()+1,MATCH("건축년도",'04A_국토부원자료'!$A$4:$T$4,0)),",","")),"")</f>
        <v/>
      </c>
      <c r="L2965" s="48">
        <f>IFERROR(INDEX('04A_국토부원자료'!$A:$T,ROW()+1,MATCH("도로명",'04A_국토부원자료'!$A$4:$T$4,0)),"")</f>
        <v/>
      </c>
      <c r="M2965" s="48">
        <f>IFERROR(INDEX('04A_국토부원자료'!$A:$T,ROW()+1,MATCH("거래유형",'04A_국토부원자료'!$A$4:$T$4,0)),"")</f>
        <v/>
      </c>
      <c r="N2965" s="152">
        <f>IF(B2965="","",IF('02_대상물건입력'!B5="",1,IF(ISNUMBER(SEARCH('02_대상물건입력'!B5,B2965)),1,0)))</f>
        <v/>
      </c>
      <c r="O2965" s="152">
        <f>IF(B2965="","",IF('02_대상물건입력'!B6="",1,IF(ISNUMBER(SEARCH('02_대상물건입력'!B6,B2965)),1,0)))</f>
        <v/>
      </c>
      <c r="P2965" s="152">
        <f>IF(L2965="","",IF('02_대상물건입력'!B15="",0,IF(ISNUMBER(SEARCH('02_대상물건입력'!B15,L2965)),1,0)))</f>
        <v/>
      </c>
      <c r="Q2965" s="152">
        <f>IF(OR(C2965="",L2965=""),0,IF(AND(TRIM(C2965)=TRIM(RIGHT(SUBSTITUTE(TRIM('02_대상물건입력'!$B$7)," ",REPT(" ",99)),99)),IF('02_대상물건입력'!B15="",TRUE(),ISNUMBER(SEARCH('02_대상물건입력'!B15,L2965)))),1,0))</f>
        <v/>
      </c>
      <c r="R2965" s="175">
        <f>IFERROR(ABS(E2965-'02_대상물건입력'!B11)/'02_대상물건입력'!B11,"")</f>
        <v/>
      </c>
      <c r="S2965" s="152">
        <f>IFERROR(ABS(J2965-'02_대상물건입력'!B10),"")</f>
        <v/>
      </c>
      <c r="T2965" s="152">
        <f>IFERROR(ABS('01_설정'!B4-F2965),"")</f>
        <v/>
      </c>
      <c r="U2965" s="152">
        <f>IFERROR(ABS(K2965-YEAR('02_대상물건입력'!B14)),"")</f>
        <v/>
      </c>
      <c r="V2965" s="152">
        <f>IF(B2965="","",IF(AND(E2965&gt;0,F2965&gt;0,H2965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2965=1,TRUE()),R2965&lt;='01_설정'!B5,S2965&lt;='01_설정'!B6,T2965&lt;='01_설정'!B7,U2965&lt;='01_설정'!B8),"Y",""))</f>
        <v/>
      </c>
      <c r="W2965" s="172">
        <f>IF(V2965&lt;&gt;"Y","",MAX(0,(1-R2965/'01_설정'!B5))*'01_설정'!B14+MAX(0,(1-S2965/'01_설정'!B6))*'01_설정'!B15+MAX(0,(1-T2965/'01_설정'!B7))*'01_설정'!B16+MAX(0,(1-U2965/'01_설정'!B8))*'01_설정'!B17+O2965*'01_설정'!B11+Q2965*'01_설정'!B12+P2965*'01_설정'!B13+IF(Z2965="",0,Z2965))</f>
        <v/>
      </c>
      <c r="X2965" s="152">
        <f>IF(W2965="","",1+COUNTIFS($W$4:$W$3003,"&gt;"&amp;W2965)+COUNTIFS($W$4:W2965,W2965)-1)</f>
        <v/>
      </c>
      <c r="Y2965" s="175">
        <f>IF(OR(I2965="",'02_대상물건입력'!B19="",'02_대상물건입력'!B19&lt;=0),"",ABS(I2965-'02_대상물건입력'!B19)/'02_대상물건입력'!B19)</f>
        <v/>
      </c>
      <c r="Z2965" s="172">
        <f>IF(OR(Y2965="",'01_설정'!B31="",'01_설정'!B31&lt;=0,'01_설정'!B32="",'01_설정'!B32&lt;=0),"",MAX(0,(1-Y2965/'01_설정'!B32))*'01_설정'!B31)</f>
        <v/>
      </c>
    </row>
    <row r="2966" ht="17.25" customHeight="1">
      <c r="A2966" s="152">
        <f>IF(INDEX('04A_국토부원자료'!$A:$A,ROW()+1)="","",ROW()-3)</f>
        <v/>
      </c>
      <c r="B2966" s="48">
        <f>IFERROR(INDEX('04A_국토부원자료'!$A:$T,ROW()+1,MATCH("시군구",'04A_국토부원자료'!$A$4:$T$4,0)),"")</f>
        <v/>
      </c>
      <c r="C2966" s="48">
        <f>IF(B2966="","",IFERROR(INDEX('04A_국토부원자료'!$A:$T,ROW()+1,MATCH("번지",'04A_국토부원자료'!$A$4:$T$4,0)),""))</f>
        <v/>
      </c>
      <c r="D2966" s="48">
        <f>IF(B2966="","",IF(Q2966=1,'02_대상물건입력'!$B$8,IFERROR(INDEX('04A_국토부원자료'!$A:$T,ROW()+1,MATCH("단지명",'04A_국토부원자료'!$A$4:$T$4,0)),"")))</f>
        <v/>
      </c>
      <c r="E2966" s="172">
        <f>IFERROR(VALUE(SUBSTITUTE(INDEX('04A_국토부원자료'!$A:$T,ROW()+1,MATCH("전용면적(㎡)",'04A_국토부원자료'!$A$4:$T$4,0)),",","")),"")</f>
        <v/>
      </c>
      <c r="F296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66" s="51">
        <f>IFERROR(VALUE(SUBSTITUTE(INDEX('04A_국토부원자료'!$A:$T,ROW()+1,MATCH("거래금액(만원)",'04A_국토부원자료'!$A$4:$T$4,0)),",","")),"")</f>
        <v/>
      </c>
      <c r="H2966" s="174">
        <f>IF(G2966="","",G2966*10000)</f>
        <v/>
      </c>
      <c r="I2966" s="174">
        <f>IFERROR(IF(AND(H2966&gt;0,E2966&gt;0),H2966/E2966,""),"")</f>
        <v/>
      </c>
      <c r="J2966" s="152">
        <f>IFERROR(VALUE(SUBSTITUTE(INDEX('04A_국토부원자료'!$A:$T,ROW()+1,MATCH("층",'04A_국토부원자료'!$A$4:$T$4,0)),",","")),"")</f>
        <v/>
      </c>
      <c r="K2966" s="152">
        <f>IFERROR(VALUE(SUBSTITUTE(INDEX('04A_국토부원자료'!$A:$T,ROW()+1,MATCH("건축년도",'04A_국토부원자료'!$A$4:$T$4,0)),",","")),"")</f>
        <v/>
      </c>
      <c r="L2966" s="48">
        <f>IFERROR(INDEX('04A_국토부원자료'!$A:$T,ROW()+1,MATCH("도로명",'04A_국토부원자료'!$A$4:$T$4,0)),"")</f>
        <v/>
      </c>
      <c r="M2966" s="48">
        <f>IFERROR(INDEX('04A_국토부원자료'!$A:$T,ROW()+1,MATCH("거래유형",'04A_국토부원자료'!$A$4:$T$4,0)),"")</f>
        <v/>
      </c>
      <c r="N2966" s="152">
        <f>IF(B2966="","",IF('02_대상물건입력'!B5="",1,IF(ISNUMBER(SEARCH('02_대상물건입력'!B5,B2966)),1,0)))</f>
        <v/>
      </c>
      <c r="O2966" s="152">
        <f>IF(B2966="","",IF('02_대상물건입력'!B6="",1,IF(ISNUMBER(SEARCH('02_대상물건입력'!B6,B2966)),1,0)))</f>
        <v/>
      </c>
      <c r="P2966" s="152">
        <f>IF(L2966="","",IF('02_대상물건입력'!B15="",0,IF(ISNUMBER(SEARCH('02_대상물건입력'!B15,L2966)),1,0)))</f>
        <v/>
      </c>
      <c r="Q2966" s="152">
        <f>IF(OR(C2966="",L2966=""),0,IF(AND(TRIM(C2966)=TRIM(RIGHT(SUBSTITUTE(TRIM('02_대상물건입력'!$B$7)," ",REPT(" ",99)),99)),IF('02_대상물건입력'!B15="",TRUE(),ISNUMBER(SEARCH('02_대상물건입력'!B15,L2966)))),1,0))</f>
        <v/>
      </c>
      <c r="R2966" s="175">
        <f>IFERROR(ABS(E2966-'02_대상물건입력'!B11)/'02_대상물건입력'!B11,"")</f>
        <v/>
      </c>
      <c r="S2966" s="152">
        <f>IFERROR(ABS(J2966-'02_대상물건입력'!B10),"")</f>
        <v/>
      </c>
      <c r="T2966" s="152">
        <f>IFERROR(ABS('01_설정'!B4-F2966),"")</f>
        <v/>
      </c>
      <c r="U2966" s="152">
        <f>IFERROR(ABS(K2966-YEAR('02_대상물건입력'!B14)),"")</f>
        <v/>
      </c>
      <c r="V2966" s="152">
        <f>IF(B2966="","",IF(AND(E2966&gt;0,F2966&gt;0,H2966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2966=1,TRUE()),R2966&lt;='01_설정'!B5,S2966&lt;='01_설정'!B6,T2966&lt;='01_설정'!B7,U2966&lt;='01_설정'!B8),"Y",""))</f>
        <v/>
      </c>
      <c r="W2966" s="172">
        <f>IF(V2966&lt;&gt;"Y","",MAX(0,(1-R2966/'01_설정'!B5))*'01_설정'!B14+MAX(0,(1-S2966/'01_설정'!B6))*'01_설정'!B15+MAX(0,(1-T2966/'01_설정'!B7))*'01_설정'!B16+MAX(0,(1-U2966/'01_설정'!B8))*'01_설정'!B17+O2966*'01_설정'!B11+Q2966*'01_설정'!B12+P2966*'01_설정'!B13+IF(Z2966="",0,Z2966))</f>
        <v/>
      </c>
      <c r="X2966" s="152">
        <f>IF(W2966="","",1+COUNTIFS($W$4:$W$3003,"&gt;"&amp;W2966)+COUNTIFS($W$4:W2966,W2966)-1)</f>
        <v/>
      </c>
      <c r="Y2966" s="175">
        <f>IF(OR(I2966="",'02_대상물건입력'!B19="",'02_대상물건입력'!B19&lt;=0),"",ABS(I2966-'02_대상물건입력'!B19)/'02_대상물건입력'!B19)</f>
        <v/>
      </c>
      <c r="Z2966" s="172">
        <f>IF(OR(Y2966="",'01_설정'!B31="",'01_설정'!B31&lt;=0,'01_설정'!B32="",'01_설정'!B32&lt;=0),"",MAX(0,(1-Y2966/'01_설정'!B32))*'01_설정'!B31)</f>
        <v/>
      </c>
    </row>
    <row r="2967" ht="17.25" customHeight="1">
      <c r="A2967" s="152">
        <f>IF(INDEX('04A_국토부원자료'!$A:$A,ROW()+1)="","",ROW()-3)</f>
        <v/>
      </c>
      <c r="B2967" s="48">
        <f>IFERROR(INDEX('04A_국토부원자료'!$A:$T,ROW()+1,MATCH("시군구",'04A_국토부원자료'!$A$4:$T$4,0)),"")</f>
        <v/>
      </c>
      <c r="C2967" s="48">
        <f>IF(B2967="","",IFERROR(INDEX('04A_국토부원자료'!$A:$T,ROW()+1,MATCH("번지",'04A_국토부원자료'!$A$4:$T$4,0)),""))</f>
        <v/>
      </c>
      <c r="D2967" s="48">
        <f>IF(B2967="","",IF(Q2967=1,'02_대상물건입력'!$B$8,IFERROR(INDEX('04A_국토부원자료'!$A:$T,ROW()+1,MATCH("단지명",'04A_국토부원자료'!$A$4:$T$4,0)),"")))</f>
        <v/>
      </c>
      <c r="E2967" s="172">
        <f>IFERROR(VALUE(SUBSTITUTE(INDEX('04A_국토부원자료'!$A:$T,ROW()+1,MATCH("전용면적(㎡)",'04A_국토부원자료'!$A$4:$T$4,0)),",","")),"")</f>
        <v/>
      </c>
      <c r="F296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67" s="51">
        <f>IFERROR(VALUE(SUBSTITUTE(INDEX('04A_국토부원자료'!$A:$T,ROW()+1,MATCH("거래금액(만원)",'04A_국토부원자료'!$A$4:$T$4,0)),",","")),"")</f>
        <v/>
      </c>
      <c r="H2967" s="174">
        <f>IF(G2967="","",G2967*10000)</f>
        <v/>
      </c>
      <c r="I2967" s="174">
        <f>IFERROR(IF(AND(H2967&gt;0,E2967&gt;0),H2967/E2967,""),"")</f>
        <v/>
      </c>
      <c r="J2967" s="152">
        <f>IFERROR(VALUE(SUBSTITUTE(INDEX('04A_국토부원자료'!$A:$T,ROW()+1,MATCH("층",'04A_국토부원자료'!$A$4:$T$4,0)),",","")),"")</f>
        <v/>
      </c>
      <c r="K2967" s="152">
        <f>IFERROR(VALUE(SUBSTITUTE(INDEX('04A_국토부원자료'!$A:$T,ROW()+1,MATCH("건축년도",'04A_국토부원자료'!$A$4:$T$4,0)),",","")),"")</f>
        <v/>
      </c>
      <c r="L2967" s="48">
        <f>IFERROR(INDEX('04A_국토부원자료'!$A:$T,ROW()+1,MATCH("도로명",'04A_국토부원자료'!$A$4:$T$4,0)),"")</f>
        <v/>
      </c>
      <c r="M2967" s="48">
        <f>IFERROR(INDEX('04A_국토부원자료'!$A:$T,ROW()+1,MATCH("거래유형",'04A_국토부원자료'!$A$4:$T$4,0)),"")</f>
        <v/>
      </c>
      <c r="N2967" s="152">
        <f>IF(B2967="","",IF('02_대상물건입력'!B5="",1,IF(ISNUMBER(SEARCH('02_대상물건입력'!B5,B2967)),1,0)))</f>
        <v/>
      </c>
      <c r="O2967" s="152">
        <f>IF(B2967="","",IF('02_대상물건입력'!B6="",1,IF(ISNUMBER(SEARCH('02_대상물건입력'!B6,B2967)),1,0)))</f>
        <v/>
      </c>
      <c r="P2967" s="152">
        <f>IF(L2967="","",IF('02_대상물건입력'!B15="",0,IF(ISNUMBER(SEARCH('02_대상물건입력'!B15,L2967)),1,0)))</f>
        <v/>
      </c>
      <c r="Q2967" s="152">
        <f>IF(OR(C2967="",L2967=""),0,IF(AND(TRIM(C2967)=TRIM(RIGHT(SUBSTITUTE(TRIM('02_대상물건입력'!$B$7)," ",REPT(" ",99)),99)),IF('02_대상물건입력'!B15="",TRUE(),ISNUMBER(SEARCH('02_대상물건입력'!B15,L2967)))),1,0))</f>
        <v/>
      </c>
      <c r="R2967" s="175">
        <f>IFERROR(ABS(E2967-'02_대상물건입력'!B11)/'02_대상물건입력'!B11,"")</f>
        <v/>
      </c>
      <c r="S2967" s="152">
        <f>IFERROR(ABS(J2967-'02_대상물건입력'!B10),"")</f>
        <v/>
      </c>
      <c r="T2967" s="152">
        <f>IFERROR(ABS('01_설정'!B4-F2967),"")</f>
        <v/>
      </c>
      <c r="U2967" s="152">
        <f>IFERROR(ABS(K2967-YEAR('02_대상물건입력'!B14)),"")</f>
        <v/>
      </c>
      <c r="V2967" s="152">
        <f>IF(B2967="","",IF(AND(E2967&gt;0,F2967&gt;0,H2967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2967=1,TRUE()),R2967&lt;='01_설정'!B5,S2967&lt;='01_설정'!B6,T2967&lt;='01_설정'!B7,U2967&lt;='01_설정'!B8),"Y",""))</f>
        <v/>
      </c>
      <c r="W2967" s="172">
        <f>IF(V2967&lt;&gt;"Y","",MAX(0,(1-R2967/'01_설정'!B5))*'01_설정'!B14+MAX(0,(1-S2967/'01_설정'!B6))*'01_설정'!B15+MAX(0,(1-T2967/'01_설정'!B7))*'01_설정'!B16+MAX(0,(1-U2967/'01_설정'!B8))*'01_설정'!B17+O2967*'01_설정'!B11+Q2967*'01_설정'!B12+P2967*'01_설정'!B13+IF(Z2967="",0,Z2967))</f>
        <v/>
      </c>
      <c r="X2967" s="152">
        <f>IF(W2967="","",1+COUNTIFS($W$4:$W$3003,"&gt;"&amp;W2967)+COUNTIFS($W$4:W2967,W2967)-1)</f>
        <v/>
      </c>
      <c r="Y2967" s="175">
        <f>IF(OR(I2967="",'02_대상물건입력'!B19="",'02_대상물건입력'!B19&lt;=0),"",ABS(I2967-'02_대상물건입력'!B19)/'02_대상물건입력'!B19)</f>
        <v/>
      </c>
      <c r="Z2967" s="172">
        <f>IF(OR(Y2967="",'01_설정'!B31="",'01_설정'!B31&lt;=0,'01_설정'!B32="",'01_설정'!B32&lt;=0),"",MAX(0,(1-Y2967/'01_설정'!B32))*'01_설정'!B31)</f>
        <v/>
      </c>
    </row>
    <row r="2968" ht="17.25" customHeight="1">
      <c r="A2968" s="152">
        <f>IF(INDEX('04A_국토부원자료'!$A:$A,ROW()+1)="","",ROW()-3)</f>
        <v/>
      </c>
      <c r="B2968" s="48">
        <f>IFERROR(INDEX('04A_국토부원자료'!$A:$T,ROW()+1,MATCH("시군구",'04A_국토부원자료'!$A$4:$T$4,0)),"")</f>
        <v/>
      </c>
      <c r="C2968" s="48">
        <f>IF(B2968="","",IFERROR(INDEX('04A_국토부원자료'!$A:$T,ROW()+1,MATCH("번지",'04A_국토부원자료'!$A$4:$T$4,0)),""))</f>
        <v/>
      </c>
      <c r="D2968" s="48">
        <f>IF(B2968="","",IF(Q2968=1,'02_대상물건입력'!$B$8,IFERROR(INDEX('04A_국토부원자료'!$A:$T,ROW()+1,MATCH("단지명",'04A_국토부원자료'!$A$4:$T$4,0)),"")))</f>
        <v/>
      </c>
      <c r="E2968" s="172">
        <f>IFERROR(VALUE(SUBSTITUTE(INDEX('04A_국토부원자료'!$A:$T,ROW()+1,MATCH("전용면적(㎡)",'04A_국토부원자료'!$A$4:$T$4,0)),",","")),"")</f>
        <v/>
      </c>
      <c r="F296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68" s="51">
        <f>IFERROR(VALUE(SUBSTITUTE(INDEX('04A_국토부원자료'!$A:$T,ROW()+1,MATCH("거래금액(만원)",'04A_국토부원자료'!$A$4:$T$4,0)),",","")),"")</f>
        <v/>
      </c>
      <c r="H2968" s="174">
        <f>IF(G2968="","",G2968*10000)</f>
        <v/>
      </c>
      <c r="I2968" s="174">
        <f>IFERROR(IF(AND(H2968&gt;0,E2968&gt;0),H2968/E2968,""),"")</f>
        <v/>
      </c>
      <c r="J2968" s="152">
        <f>IFERROR(VALUE(SUBSTITUTE(INDEX('04A_국토부원자료'!$A:$T,ROW()+1,MATCH("층",'04A_국토부원자료'!$A$4:$T$4,0)),",","")),"")</f>
        <v/>
      </c>
      <c r="K2968" s="152">
        <f>IFERROR(VALUE(SUBSTITUTE(INDEX('04A_국토부원자료'!$A:$T,ROW()+1,MATCH("건축년도",'04A_국토부원자료'!$A$4:$T$4,0)),",","")),"")</f>
        <v/>
      </c>
      <c r="L2968" s="48">
        <f>IFERROR(INDEX('04A_국토부원자료'!$A:$T,ROW()+1,MATCH("도로명",'04A_국토부원자료'!$A$4:$T$4,0)),"")</f>
        <v/>
      </c>
      <c r="M2968" s="48">
        <f>IFERROR(INDEX('04A_국토부원자료'!$A:$T,ROW()+1,MATCH("거래유형",'04A_국토부원자료'!$A$4:$T$4,0)),"")</f>
        <v/>
      </c>
      <c r="N2968" s="152">
        <f>IF(B2968="","",IF('02_대상물건입력'!B5="",1,IF(ISNUMBER(SEARCH('02_대상물건입력'!B5,B2968)),1,0)))</f>
        <v/>
      </c>
      <c r="O2968" s="152">
        <f>IF(B2968="","",IF('02_대상물건입력'!B6="",1,IF(ISNUMBER(SEARCH('02_대상물건입력'!B6,B2968)),1,0)))</f>
        <v/>
      </c>
      <c r="P2968" s="152">
        <f>IF(L2968="","",IF('02_대상물건입력'!B15="",0,IF(ISNUMBER(SEARCH('02_대상물건입력'!B15,L2968)),1,0)))</f>
        <v/>
      </c>
      <c r="Q2968" s="152">
        <f>IF(OR(C2968="",L2968=""),0,IF(AND(TRIM(C2968)=TRIM(RIGHT(SUBSTITUTE(TRIM('02_대상물건입력'!$B$7)," ",REPT(" ",99)),99)),IF('02_대상물건입력'!B15="",TRUE(),ISNUMBER(SEARCH('02_대상물건입력'!B15,L2968)))),1,0))</f>
        <v/>
      </c>
      <c r="R2968" s="175">
        <f>IFERROR(ABS(E2968-'02_대상물건입력'!B11)/'02_대상물건입력'!B11,"")</f>
        <v/>
      </c>
      <c r="S2968" s="152">
        <f>IFERROR(ABS(J2968-'02_대상물건입력'!B10),"")</f>
        <v/>
      </c>
      <c r="T2968" s="152">
        <f>IFERROR(ABS('01_설정'!B4-F2968),"")</f>
        <v/>
      </c>
      <c r="U2968" s="152">
        <f>IFERROR(ABS(K2968-YEAR('02_대상물건입력'!B14)),"")</f>
        <v/>
      </c>
      <c r="V2968" s="152">
        <f>IF(B2968="","",IF(AND(E2968&gt;0,F2968&gt;0,H2968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2968=1,TRUE()),R2968&lt;='01_설정'!B5,S2968&lt;='01_설정'!B6,T2968&lt;='01_설정'!B7,U2968&lt;='01_설정'!B8),"Y",""))</f>
        <v/>
      </c>
      <c r="W2968" s="172">
        <f>IF(V2968&lt;&gt;"Y","",MAX(0,(1-R2968/'01_설정'!B5))*'01_설정'!B14+MAX(0,(1-S2968/'01_설정'!B6))*'01_설정'!B15+MAX(0,(1-T2968/'01_설정'!B7))*'01_설정'!B16+MAX(0,(1-U2968/'01_설정'!B8))*'01_설정'!B17+O2968*'01_설정'!B11+Q2968*'01_설정'!B12+P2968*'01_설정'!B13+IF(Z2968="",0,Z2968))</f>
        <v/>
      </c>
      <c r="X2968" s="152">
        <f>IF(W2968="","",1+COUNTIFS($W$4:$W$3003,"&gt;"&amp;W2968)+COUNTIFS($W$4:W2968,W2968)-1)</f>
        <v/>
      </c>
      <c r="Y2968" s="175">
        <f>IF(OR(I2968="",'02_대상물건입력'!B19="",'02_대상물건입력'!B19&lt;=0),"",ABS(I2968-'02_대상물건입력'!B19)/'02_대상물건입력'!B19)</f>
        <v/>
      </c>
      <c r="Z2968" s="172">
        <f>IF(OR(Y2968="",'01_설정'!B31="",'01_설정'!B31&lt;=0,'01_설정'!B32="",'01_설정'!B32&lt;=0),"",MAX(0,(1-Y2968/'01_설정'!B32))*'01_설정'!B31)</f>
        <v/>
      </c>
    </row>
    <row r="2969" ht="17.25" customHeight="1">
      <c r="A2969" s="152">
        <f>IF(INDEX('04A_국토부원자료'!$A:$A,ROW()+1)="","",ROW()-3)</f>
        <v/>
      </c>
      <c r="B2969" s="48">
        <f>IFERROR(INDEX('04A_국토부원자료'!$A:$T,ROW()+1,MATCH("시군구",'04A_국토부원자료'!$A$4:$T$4,0)),"")</f>
        <v/>
      </c>
      <c r="C2969" s="48">
        <f>IF(B2969="","",IFERROR(INDEX('04A_국토부원자료'!$A:$T,ROW()+1,MATCH("번지",'04A_국토부원자료'!$A$4:$T$4,0)),""))</f>
        <v/>
      </c>
      <c r="D2969" s="48">
        <f>IF(B2969="","",IF(Q2969=1,'02_대상물건입력'!$B$8,IFERROR(INDEX('04A_국토부원자료'!$A:$T,ROW()+1,MATCH("단지명",'04A_국토부원자료'!$A$4:$T$4,0)),"")))</f>
        <v/>
      </c>
      <c r="E2969" s="172">
        <f>IFERROR(VALUE(SUBSTITUTE(INDEX('04A_국토부원자료'!$A:$T,ROW()+1,MATCH("전용면적(㎡)",'04A_국토부원자료'!$A$4:$T$4,0)),",","")),"")</f>
        <v/>
      </c>
      <c r="F296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69" s="51">
        <f>IFERROR(VALUE(SUBSTITUTE(INDEX('04A_국토부원자료'!$A:$T,ROW()+1,MATCH("거래금액(만원)",'04A_국토부원자료'!$A$4:$T$4,0)),",","")),"")</f>
        <v/>
      </c>
      <c r="H2969" s="174">
        <f>IF(G2969="","",G2969*10000)</f>
        <v/>
      </c>
      <c r="I2969" s="174">
        <f>IFERROR(IF(AND(H2969&gt;0,E2969&gt;0),H2969/E2969,""),"")</f>
        <v/>
      </c>
      <c r="J2969" s="152">
        <f>IFERROR(VALUE(SUBSTITUTE(INDEX('04A_국토부원자료'!$A:$T,ROW()+1,MATCH("층",'04A_국토부원자료'!$A$4:$T$4,0)),",","")),"")</f>
        <v/>
      </c>
      <c r="K2969" s="152">
        <f>IFERROR(VALUE(SUBSTITUTE(INDEX('04A_국토부원자료'!$A:$T,ROW()+1,MATCH("건축년도",'04A_국토부원자료'!$A$4:$T$4,0)),",","")),"")</f>
        <v/>
      </c>
      <c r="L2969" s="48">
        <f>IFERROR(INDEX('04A_국토부원자료'!$A:$T,ROW()+1,MATCH("도로명",'04A_국토부원자료'!$A$4:$T$4,0)),"")</f>
        <v/>
      </c>
      <c r="M2969" s="48">
        <f>IFERROR(INDEX('04A_국토부원자료'!$A:$T,ROW()+1,MATCH("거래유형",'04A_국토부원자료'!$A$4:$T$4,0)),"")</f>
        <v/>
      </c>
      <c r="N2969" s="152">
        <f>IF(B2969="","",IF('02_대상물건입력'!B5="",1,IF(ISNUMBER(SEARCH('02_대상물건입력'!B5,B2969)),1,0)))</f>
        <v/>
      </c>
      <c r="O2969" s="152">
        <f>IF(B2969="","",IF('02_대상물건입력'!B6="",1,IF(ISNUMBER(SEARCH('02_대상물건입력'!B6,B2969)),1,0)))</f>
        <v/>
      </c>
      <c r="P2969" s="152">
        <f>IF(L2969="","",IF('02_대상물건입력'!B15="",0,IF(ISNUMBER(SEARCH('02_대상물건입력'!B15,L2969)),1,0)))</f>
        <v/>
      </c>
      <c r="Q2969" s="152">
        <f>IF(OR(C2969="",L2969=""),0,IF(AND(TRIM(C2969)=TRIM(RIGHT(SUBSTITUTE(TRIM('02_대상물건입력'!$B$7)," ",REPT(" ",99)),99)),IF('02_대상물건입력'!B15="",TRUE(),ISNUMBER(SEARCH('02_대상물건입력'!B15,L2969)))),1,0))</f>
        <v/>
      </c>
      <c r="R2969" s="175">
        <f>IFERROR(ABS(E2969-'02_대상물건입력'!B11)/'02_대상물건입력'!B11,"")</f>
        <v/>
      </c>
      <c r="S2969" s="152">
        <f>IFERROR(ABS(J2969-'02_대상물건입력'!B10),"")</f>
        <v/>
      </c>
      <c r="T2969" s="152">
        <f>IFERROR(ABS('01_설정'!B4-F2969),"")</f>
        <v/>
      </c>
      <c r="U2969" s="152">
        <f>IFERROR(ABS(K2969-YEAR('02_대상물건입력'!B14)),"")</f>
        <v/>
      </c>
      <c r="V2969" s="152">
        <f>IF(B2969="","",IF(AND(E2969&gt;0,F2969&gt;0,H2969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2969=1,TRUE()),R2969&lt;='01_설정'!B5,S2969&lt;='01_설정'!B6,T2969&lt;='01_설정'!B7,U2969&lt;='01_설정'!B8),"Y",""))</f>
        <v/>
      </c>
      <c r="W2969" s="172">
        <f>IF(V2969&lt;&gt;"Y","",MAX(0,(1-R2969/'01_설정'!B5))*'01_설정'!B14+MAX(0,(1-S2969/'01_설정'!B6))*'01_설정'!B15+MAX(0,(1-T2969/'01_설정'!B7))*'01_설정'!B16+MAX(0,(1-U2969/'01_설정'!B8))*'01_설정'!B17+O2969*'01_설정'!B11+Q2969*'01_설정'!B12+P2969*'01_설정'!B13+IF(Z2969="",0,Z2969))</f>
        <v/>
      </c>
      <c r="X2969" s="152">
        <f>IF(W2969="","",1+COUNTIFS($W$4:$W$3003,"&gt;"&amp;W2969)+COUNTIFS($W$4:W2969,W2969)-1)</f>
        <v/>
      </c>
      <c r="Y2969" s="175">
        <f>IF(OR(I2969="",'02_대상물건입력'!B19="",'02_대상물건입력'!B19&lt;=0),"",ABS(I2969-'02_대상물건입력'!B19)/'02_대상물건입력'!B19)</f>
        <v/>
      </c>
      <c r="Z2969" s="172">
        <f>IF(OR(Y2969="",'01_설정'!B31="",'01_설정'!B31&lt;=0,'01_설정'!B32="",'01_설정'!B32&lt;=0),"",MAX(0,(1-Y2969/'01_설정'!B32))*'01_설정'!B31)</f>
        <v/>
      </c>
    </row>
    <row r="2970" ht="17.25" customHeight="1">
      <c r="A2970" s="152">
        <f>IF(INDEX('04A_국토부원자료'!$A:$A,ROW()+1)="","",ROW()-3)</f>
        <v/>
      </c>
      <c r="B2970" s="48">
        <f>IFERROR(INDEX('04A_국토부원자료'!$A:$T,ROW()+1,MATCH("시군구",'04A_국토부원자료'!$A$4:$T$4,0)),"")</f>
        <v/>
      </c>
      <c r="C2970" s="48">
        <f>IF(B2970="","",IFERROR(INDEX('04A_국토부원자료'!$A:$T,ROW()+1,MATCH("번지",'04A_국토부원자료'!$A$4:$T$4,0)),""))</f>
        <v/>
      </c>
      <c r="D2970" s="48">
        <f>IF(B2970="","",IF(Q2970=1,'02_대상물건입력'!$B$8,IFERROR(INDEX('04A_국토부원자료'!$A:$T,ROW()+1,MATCH("단지명",'04A_국토부원자료'!$A$4:$T$4,0)),"")))</f>
        <v/>
      </c>
      <c r="E2970" s="172">
        <f>IFERROR(VALUE(SUBSTITUTE(INDEX('04A_국토부원자료'!$A:$T,ROW()+1,MATCH("전용면적(㎡)",'04A_국토부원자료'!$A$4:$T$4,0)),",","")),"")</f>
        <v/>
      </c>
      <c r="F297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70" s="51">
        <f>IFERROR(VALUE(SUBSTITUTE(INDEX('04A_국토부원자료'!$A:$T,ROW()+1,MATCH("거래금액(만원)",'04A_국토부원자료'!$A$4:$T$4,0)),",","")),"")</f>
        <v/>
      </c>
      <c r="H2970" s="174">
        <f>IF(G2970="","",G2970*10000)</f>
        <v/>
      </c>
      <c r="I2970" s="174">
        <f>IFERROR(IF(AND(H2970&gt;0,E2970&gt;0),H2970/E2970,""),"")</f>
        <v/>
      </c>
      <c r="J2970" s="152">
        <f>IFERROR(VALUE(SUBSTITUTE(INDEX('04A_국토부원자료'!$A:$T,ROW()+1,MATCH("층",'04A_국토부원자료'!$A$4:$T$4,0)),",","")),"")</f>
        <v/>
      </c>
      <c r="K2970" s="152">
        <f>IFERROR(VALUE(SUBSTITUTE(INDEX('04A_국토부원자료'!$A:$T,ROW()+1,MATCH("건축년도",'04A_국토부원자료'!$A$4:$T$4,0)),",","")),"")</f>
        <v/>
      </c>
      <c r="L2970" s="48">
        <f>IFERROR(INDEX('04A_국토부원자료'!$A:$T,ROW()+1,MATCH("도로명",'04A_국토부원자료'!$A$4:$T$4,0)),"")</f>
        <v/>
      </c>
      <c r="M2970" s="48">
        <f>IFERROR(INDEX('04A_국토부원자료'!$A:$T,ROW()+1,MATCH("거래유형",'04A_국토부원자료'!$A$4:$T$4,0)),"")</f>
        <v/>
      </c>
      <c r="N2970" s="152">
        <f>IF(B2970="","",IF('02_대상물건입력'!B5="",1,IF(ISNUMBER(SEARCH('02_대상물건입력'!B5,B2970)),1,0)))</f>
        <v/>
      </c>
      <c r="O2970" s="152">
        <f>IF(B2970="","",IF('02_대상물건입력'!B6="",1,IF(ISNUMBER(SEARCH('02_대상물건입력'!B6,B2970)),1,0)))</f>
        <v/>
      </c>
      <c r="P2970" s="152">
        <f>IF(L2970="","",IF('02_대상물건입력'!B15="",0,IF(ISNUMBER(SEARCH('02_대상물건입력'!B15,L2970)),1,0)))</f>
        <v/>
      </c>
      <c r="Q2970" s="152">
        <f>IF(OR(C2970="",L2970=""),0,IF(AND(TRIM(C2970)=TRIM(RIGHT(SUBSTITUTE(TRIM('02_대상물건입력'!$B$7)," ",REPT(" ",99)),99)),IF('02_대상물건입력'!B15="",TRUE(),ISNUMBER(SEARCH('02_대상물건입력'!B15,L2970)))),1,0))</f>
        <v/>
      </c>
      <c r="R2970" s="175">
        <f>IFERROR(ABS(E2970-'02_대상물건입력'!B11)/'02_대상물건입력'!B11,"")</f>
        <v/>
      </c>
      <c r="S2970" s="152">
        <f>IFERROR(ABS(J2970-'02_대상물건입력'!B10),"")</f>
        <v/>
      </c>
      <c r="T2970" s="152">
        <f>IFERROR(ABS('01_설정'!B4-F2970),"")</f>
        <v/>
      </c>
      <c r="U2970" s="152">
        <f>IFERROR(ABS(K2970-YEAR('02_대상물건입력'!B14)),"")</f>
        <v/>
      </c>
      <c r="V2970" s="152">
        <f>IF(B2970="","",IF(AND(E2970&gt;0,F2970&gt;0,H2970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2970=1,TRUE()),R2970&lt;='01_설정'!B5,S2970&lt;='01_설정'!B6,T2970&lt;='01_설정'!B7,U2970&lt;='01_설정'!B8),"Y",""))</f>
        <v/>
      </c>
      <c r="W2970" s="172">
        <f>IF(V2970&lt;&gt;"Y","",MAX(0,(1-R2970/'01_설정'!B5))*'01_설정'!B14+MAX(0,(1-S2970/'01_설정'!B6))*'01_설정'!B15+MAX(0,(1-T2970/'01_설정'!B7))*'01_설정'!B16+MAX(0,(1-U2970/'01_설정'!B8))*'01_설정'!B17+O2970*'01_설정'!B11+Q2970*'01_설정'!B12+P2970*'01_설정'!B13+IF(Z2970="",0,Z2970))</f>
        <v/>
      </c>
      <c r="X2970" s="152">
        <f>IF(W2970="","",1+COUNTIFS($W$4:$W$3003,"&gt;"&amp;W2970)+COUNTIFS($W$4:W2970,W2970)-1)</f>
        <v/>
      </c>
      <c r="Y2970" s="175">
        <f>IF(OR(I2970="",'02_대상물건입력'!B19="",'02_대상물건입력'!B19&lt;=0),"",ABS(I2970-'02_대상물건입력'!B19)/'02_대상물건입력'!B19)</f>
        <v/>
      </c>
      <c r="Z2970" s="172">
        <f>IF(OR(Y2970="",'01_설정'!B31="",'01_설정'!B31&lt;=0,'01_설정'!B32="",'01_설정'!B32&lt;=0),"",MAX(0,(1-Y2970/'01_설정'!B32))*'01_설정'!B31)</f>
        <v/>
      </c>
    </row>
    <row r="2971" ht="17.25" customHeight="1">
      <c r="A2971" s="152">
        <f>IF(INDEX('04A_국토부원자료'!$A:$A,ROW()+1)="","",ROW()-3)</f>
        <v/>
      </c>
      <c r="B2971" s="48">
        <f>IFERROR(INDEX('04A_국토부원자료'!$A:$T,ROW()+1,MATCH("시군구",'04A_국토부원자료'!$A$4:$T$4,0)),"")</f>
        <v/>
      </c>
      <c r="C2971" s="48">
        <f>IF(B2971="","",IFERROR(INDEX('04A_국토부원자료'!$A:$T,ROW()+1,MATCH("번지",'04A_국토부원자료'!$A$4:$T$4,0)),""))</f>
        <v/>
      </c>
      <c r="D2971" s="48">
        <f>IF(B2971="","",IF(Q2971=1,'02_대상물건입력'!$B$8,IFERROR(INDEX('04A_국토부원자료'!$A:$T,ROW()+1,MATCH("단지명",'04A_국토부원자료'!$A$4:$T$4,0)),"")))</f>
        <v/>
      </c>
      <c r="E2971" s="172">
        <f>IFERROR(VALUE(SUBSTITUTE(INDEX('04A_국토부원자료'!$A:$T,ROW()+1,MATCH("전용면적(㎡)",'04A_국토부원자료'!$A$4:$T$4,0)),",","")),"")</f>
        <v/>
      </c>
      <c r="F297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71" s="51">
        <f>IFERROR(VALUE(SUBSTITUTE(INDEX('04A_국토부원자료'!$A:$T,ROW()+1,MATCH("거래금액(만원)",'04A_국토부원자료'!$A$4:$T$4,0)),",","")),"")</f>
        <v/>
      </c>
      <c r="H2971" s="174">
        <f>IF(G2971="","",G2971*10000)</f>
        <v/>
      </c>
      <c r="I2971" s="174">
        <f>IFERROR(IF(AND(H2971&gt;0,E2971&gt;0),H2971/E2971,""),"")</f>
        <v/>
      </c>
      <c r="J2971" s="152">
        <f>IFERROR(VALUE(SUBSTITUTE(INDEX('04A_국토부원자료'!$A:$T,ROW()+1,MATCH("층",'04A_국토부원자료'!$A$4:$T$4,0)),",","")),"")</f>
        <v/>
      </c>
      <c r="K2971" s="152">
        <f>IFERROR(VALUE(SUBSTITUTE(INDEX('04A_국토부원자료'!$A:$T,ROW()+1,MATCH("건축년도",'04A_국토부원자료'!$A$4:$T$4,0)),",","")),"")</f>
        <v/>
      </c>
      <c r="L2971" s="48">
        <f>IFERROR(INDEX('04A_국토부원자료'!$A:$T,ROW()+1,MATCH("도로명",'04A_국토부원자료'!$A$4:$T$4,0)),"")</f>
        <v/>
      </c>
      <c r="M2971" s="48">
        <f>IFERROR(INDEX('04A_국토부원자료'!$A:$T,ROW()+1,MATCH("거래유형",'04A_국토부원자료'!$A$4:$T$4,0)),"")</f>
        <v/>
      </c>
      <c r="N2971" s="152">
        <f>IF(B2971="","",IF('02_대상물건입력'!B5="",1,IF(ISNUMBER(SEARCH('02_대상물건입력'!B5,B2971)),1,0)))</f>
        <v/>
      </c>
      <c r="O2971" s="152">
        <f>IF(B2971="","",IF('02_대상물건입력'!B6="",1,IF(ISNUMBER(SEARCH('02_대상물건입력'!B6,B2971)),1,0)))</f>
        <v/>
      </c>
      <c r="P2971" s="152">
        <f>IF(L2971="","",IF('02_대상물건입력'!B15="",0,IF(ISNUMBER(SEARCH('02_대상물건입력'!B15,L2971)),1,0)))</f>
        <v/>
      </c>
      <c r="Q2971" s="152">
        <f>IF(OR(C2971="",L2971=""),0,IF(AND(TRIM(C2971)=TRIM(RIGHT(SUBSTITUTE(TRIM('02_대상물건입력'!$B$7)," ",REPT(" ",99)),99)),IF('02_대상물건입력'!B15="",TRUE(),ISNUMBER(SEARCH('02_대상물건입력'!B15,L2971)))),1,0))</f>
        <v/>
      </c>
      <c r="R2971" s="175">
        <f>IFERROR(ABS(E2971-'02_대상물건입력'!B11)/'02_대상물건입력'!B11,"")</f>
        <v/>
      </c>
      <c r="S2971" s="152">
        <f>IFERROR(ABS(J2971-'02_대상물건입력'!B10),"")</f>
        <v/>
      </c>
      <c r="T2971" s="152">
        <f>IFERROR(ABS('01_설정'!B4-F2971),"")</f>
        <v/>
      </c>
      <c r="U2971" s="152">
        <f>IFERROR(ABS(K2971-YEAR('02_대상물건입력'!B14)),"")</f>
        <v/>
      </c>
      <c r="V2971" s="152">
        <f>IF(B2971="","",IF(AND(E2971&gt;0,F2971&gt;0,H2971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2971=1,TRUE()),R2971&lt;='01_설정'!B5,S2971&lt;='01_설정'!B6,T2971&lt;='01_설정'!B7,U2971&lt;='01_설정'!B8),"Y",""))</f>
        <v/>
      </c>
      <c r="W2971" s="172">
        <f>IF(V2971&lt;&gt;"Y","",MAX(0,(1-R2971/'01_설정'!B5))*'01_설정'!B14+MAX(0,(1-S2971/'01_설정'!B6))*'01_설정'!B15+MAX(0,(1-T2971/'01_설정'!B7))*'01_설정'!B16+MAX(0,(1-U2971/'01_설정'!B8))*'01_설정'!B17+O2971*'01_설정'!B11+Q2971*'01_설정'!B12+P2971*'01_설정'!B13+IF(Z2971="",0,Z2971))</f>
        <v/>
      </c>
      <c r="X2971" s="152">
        <f>IF(W2971="","",1+COUNTIFS($W$4:$W$3003,"&gt;"&amp;W2971)+COUNTIFS($W$4:W2971,W2971)-1)</f>
        <v/>
      </c>
      <c r="Y2971" s="175">
        <f>IF(OR(I2971="",'02_대상물건입력'!B19="",'02_대상물건입력'!B19&lt;=0),"",ABS(I2971-'02_대상물건입력'!B19)/'02_대상물건입력'!B19)</f>
        <v/>
      </c>
      <c r="Z2971" s="172">
        <f>IF(OR(Y2971="",'01_설정'!B31="",'01_설정'!B31&lt;=0,'01_설정'!B32="",'01_설정'!B32&lt;=0),"",MAX(0,(1-Y2971/'01_설정'!B32))*'01_설정'!B31)</f>
        <v/>
      </c>
    </row>
    <row r="2972" ht="17.25" customHeight="1">
      <c r="A2972" s="152">
        <f>IF(INDEX('04A_국토부원자료'!$A:$A,ROW()+1)="","",ROW()-3)</f>
        <v/>
      </c>
      <c r="B2972" s="48">
        <f>IFERROR(INDEX('04A_국토부원자료'!$A:$T,ROW()+1,MATCH("시군구",'04A_국토부원자료'!$A$4:$T$4,0)),"")</f>
        <v/>
      </c>
      <c r="C2972" s="48">
        <f>IF(B2972="","",IFERROR(INDEX('04A_국토부원자료'!$A:$T,ROW()+1,MATCH("번지",'04A_국토부원자료'!$A$4:$T$4,0)),""))</f>
        <v/>
      </c>
      <c r="D2972" s="48">
        <f>IF(B2972="","",IF(Q2972=1,'02_대상물건입력'!$B$8,IFERROR(INDEX('04A_국토부원자료'!$A:$T,ROW()+1,MATCH("단지명",'04A_국토부원자료'!$A$4:$T$4,0)),"")))</f>
        <v/>
      </c>
      <c r="E2972" s="172">
        <f>IFERROR(VALUE(SUBSTITUTE(INDEX('04A_국토부원자료'!$A:$T,ROW()+1,MATCH("전용면적(㎡)",'04A_국토부원자료'!$A$4:$T$4,0)),",","")),"")</f>
        <v/>
      </c>
      <c r="F297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72" s="51">
        <f>IFERROR(VALUE(SUBSTITUTE(INDEX('04A_국토부원자료'!$A:$T,ROW()+1,MATCH("거래금액(만원)",'04A_국토부원자료'!$A$4:$T$4,0)),",","")),"")</f>
        <v/>
      </c>
      <c r="H2972" s="174">
        <f>IF(G2972="","",G2972*10000)</f>
        <v/>
      </c>
      <c r="I2972" s="174">
        <f>IFERROR(IF(AND(H2972&gt;0,E2972&gt;0),H2972/E2972,""),"")</f>
        <v/>
      </c>
      <c r="J2972" s="152">
        <f>IFERROR(VALUE(SUBSTITUTE(INDEX('04A_국토부원자료'!$A:$T,ROW()+1,MATCH("층",'04A_국토부원자료'!$A$4:$T$4,0)),",","")),"")</f>
        <v/>
      </c>
      <c r="K2972" s="152">
        <f>IFERROR(VALUE(SUBSTITUTE(INDEX('04A_국토부원자료'!$A:$T,ROW()+1,MATCH("건축년도",'04A_국토부원자료'!$A$4:$T$4,0)),",","")),"")</f>
        <v/>
      </c>
      <c r="L2972" s="48">
        <f>IFERROR(INDEX('04A_국토부원자료'!$A:$T,ROW()+1,MATCH("도로명",'04A_국토부원자료'!$A$4:$T$4,0)),"")</f>
        <v/>
      </c>
      <c r="M2972" s="48">
        <f>IFERROR(INDEX('04A_국토부원자료'!$A:$T,ROW()+1,MATCH("거래유형",'04A_국토부원자료'!$A$4:$T$4,0)),"")</f>
        <v/>
      </c>
      <c r="N2972" s="152">
        <f>IF(B2972="","",IF('02_대상물건입력'!B5="",1,IF(ISNUMBER(SEARCH('02_대상물건입력'!B5,B2972)),1,0)))</f>
        <v/>
      </c>
      <c r="O2972" s="152">
        <f>IF(B2972="","",IF('02_대상물건입력'!B6="",1,IF(ISNUMBER(SEARCH('02_대상물건입력'!B6,B2972)),1,0)))</f>
        <v/>
      </c>
      <c r="P2972" s="152">
        <f>IF(L2972="","",IF('02_대상물건입력'!B15="",0,IF(ISNUMBER(SEARCH('02_대상물건입력'!B15,L2972)),1,0)))</f>
        <v/>
      </c>
      <c r="Q2972" s="152">
        <f>IF(OR(C2972="",L2972=""),0,IF(AND(TRIM(C2972)=TRIM(RIGHT(SUBSTITUTE(TRIM('02_대상물건입력'!$B$7)," ",REPT(" ",99)),99)),IF('02_대상물건입력'!B15="",TRUE(),ISNUMBER(SEARCH('02_대상물건입력'!B15,L2972)))),1,0))</f>
        <v/>
      </c>
      <c r="R2972" s="175">
        <f>IFERROR(ABS(E2972-'02_대상물건입력'!B11)/'02_대상물건입력'!B11,"")</f>
        <v/>
      </c>
      <c r="S2972" s="152">
        <f>IFERROR(ABS(J2972-'02_대상물건입력'!B10),"")</f>
        <v/>
      </c>
      <c r="T2972" s="152">
        <f>IFERROR(ABS('01_설정'!B4-F2972),"")</f>
        <v/>
      </c>
      <c r="U2972" s="152">
        <f>IFERROR(ABS(K2972-YEAR('02_대상물건입력'!B14)),"")</f>
        <v/>
      </c>
      <c r="V2972" s="152">
        <f>IF(B2972="","",IF(AND(E2972&gt;0,F2972&gt;0,H2972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2972=1,TRUE()),R2972&lt;='01_설정'!B5,S2972&lt;='01_설정'!B6,T2972&lt;='01_설정'!B7,U2972&lt;='01_설정'!B8),"Y",""))</f>
        <v/>
      </c>
      <c r="W2972" s="172">
        <f>IF(V2972&lt;&gt;"Y","",MAX(0,(1-R2972/'01_설정'!B5))*'01_설정'!B14+MAX(0,(1-S2972/'01_설정'!B6))*'01_설정'!B15+MAX(0,(1-T2972/'01_설정'!B7))*'01_설정'!B16+MAX(0,(1-U2972/'01_설정'!B8))*'01_설정'!B17+O2972*'01_설정'!B11+Q2972*'01_설정'!B12+P2972*'01_설정'!B13+IF(Z2972="",0,Z2972))</f>
        <v/>
      </c>
      <c r="X2972" s="152">
        <f>IF(W2972="","",1+COUNTIFS($W$4:$W$3003,"&gt;"&amp;W2972)+COUNTIFS($W$4:W2972,W2972)-1)</f>
        <v/>
      </c>
      <c r="Y2972" s="175">
        <f>IF(OR(I2972="",'02_대상물건입력'!B19="",'02_대상물건입력'!B19&lt;=0),"",ABS(I2972-'02_대상물건입력'!B19)/'02_대상물건입력'!B19)</f>
        <v/>
      </c>
      <c r="Z2972" s="172">
        <f>IF(OR(Y2972="",'01_설정'!B31="",'01_설정'!B31&lt;=0,'01_설정'!B32="",'01_설정'!B32&lt;=0),"",MAX(0,(1-Y2972/'01_설정'!B32))*'01_설정'!B31)</f>
        <v/>
      </c>
    </row>
    <row r="2973" ht="17.25" customHeight="1">
      <c r="A2973" s="152">
        <f>IF(INDEX('04A_국토부원자료'!$A:$A,ROW()+1)="","",ROW()-3)</f>
        <v/>
      </c>
      <c r="B2973" s="48">
        <f>IFERROR(INDEX('04A_국토부원자료'!$A:$T,ROW()+1,MATCH("시군구",'04A_국토부원자료'!$A$4:$T$4,0)),"")</f>
        <v/>
      </c>
      <c r="C2973" s="48">
        <f>IF(B2973="","",IFERROR(INDEX('04A_국토부원자료'!$A:$T,ROW()+1,MATCH("번지",'04A_국토부원자료'!$A$4:$T$4,0)),""))</f>
        <v/>
      </c>
      <c r="D2973" s="48">
        <f>IF(B2973="","",IF(Q2973=1,'02_대상물건입력'!$B$8,IFERROR(INDEX('04A_국토부원자료'!$A:$T,ROW()+1,MATCH("단지명",'04A_국토부원자료'!$A$4:$T$4,0)),"")))</f>
        <v/>
      </c>
      <c r="E2973" s="172">
        <f>IFERROR(VALUE(SUBSTITUTE(INDEX('04A_국토부원자료'!$A:$T,ROW()+1,MATCH("전용면적(㎡)",'04A_국토부원자료'!$A$4:$T$4,0)),",","")),"")</f>
        <v/>
      </c>
      <c r="F297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73" s="51">
        <f>IFERROR(VALUE(SUBSTITUTE(INDEX('04A_국토부원자료'!$A:$T,ROW()+1,MATCH("거래금액(만원)",'04A_국토부원자료'!$A$4:$T$4,0)),",","")),"")</f>
        <v/>
      </c>
      <c r="H2973" s="174">
        <f>IF(G2973="","",G2973*10000)</f>
        <v/>
      </c>
      <c r="I2973" s="174">
        <f>IFERROR(IF(AND(H2973&gt;0,E2973&gt;0),H2973/E2973,""),"")</f>
        <v/>
      </c>
      <c r="J2973" s="152">
        <f>IFERROR(VALUE(SUBSTITUTE(INDEX('04A_국토부원자료'!$A:$T,ROW()+1,MATCH("층",'04A_국토부원자료'!$A$4:$T$4,0)),",","")),"")</f>
        <v/>
      </c>
      <c r="K2973" s="152">
        <f>IFERROR(VALUE(SUBSTITUTE(INDEX('04A_국토부원자료'!$A:$T,ROW()+1,MATCH("건축년도",'04A_국토부원자료'!$A$4:$T$4,0)),",","")),"")</f>
        <v/>
      </c>
      <c r="L2973" s="48">
        <f>IFERROR(INDEX('04A_국토부원자료'!$A:$T,ROW()+1,MATCH("도로명",'04A_국토부원자료'!$A$4:$T$4,0)),"")</f>
        <v/>
      </c>
      <c r="M2973" s="48">
        <f>IFERROR(INDEX('04A_국토부원자료'!$A:$T,ROW()+1,MATCH("거래유형",'04A_국토부원자료'!$A$4:$T$4,0)),"")</f>
        <v/>
      </c>
      <c r="N2973" s="152">
        <f>IF(B2973="","",IF('02_대상물건입력'!B5="",1,IF(ISNUMBER(SEARCH('02_대상물건입력'!B5,B2973)),1,0)))</f>
        <v/>
      </c>
      <c r="O2973" s="152">
        <f>IF(B2973="","",IF('02_대상물건입력'!B6="",1,IF(ISNUMBER(SEARCH('02_대상물건입력'!B6,B2973)),1,0)))</f>
        <v/>
      </c>
      <c r="P2973" s="152">
        <f>IF(L2973="","",IF('02_대상물건입력'!B15="",0,IF(ISNUMBER(SEARCH('02_대상물건입력'!B15,L2973)),1,0)))</f>
        <v/>
      </c>
      <c r="Q2973" s="152">
        <f>IF(OR(C2973="",L2973=""),0,IF(AND(TRIM(C2973)=TRIM(RIGHT(SUBSTITUTE(TRIM('02_대상물건입력'!$B$7)," ",REPT(" ",99)),99)),IF('02_대상물건입력'!B15="",TRUE(),ISNUMBER(SEARCH('02_대상물건입력'!B15,L2973)))),1,0))</f>
        <v/>
      </c>
      <c r="R2973" s="175">
        <f>IFERROR(ABS(E2973-'02_대상물건입력'!B11)/'02_대상물건입력'!B11,"")</f>
        <v/>
      </c>
      <c r="S2973" s="152">
        <f>IFERROR(ABS(J2973-'02_대상물건입력'!B10),"")</f>
        <v/>
      </c>
      <c r="T2973" s="152">
        <f>IFERROR(ABS('01_설정'!B4-F2973),"")</f>
        <v/>
      </c>
      <c r="U2973" s="152">
        <f>IFERROR(ABS(K2973-YEAR('02_대상물건입력'!B14)),"")</f>
        <v/>
      </c>
      <c r="V2973" s="152">
        <f>IF(B2973="","",IF(AND(E2973&gt;0,F2973&gt;0,H2973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2973=1,TRUE()),R2973&lt;='01_설정'!B5,S2973&lt;='01_설정'!B6,T2973&lt;='01_설정'!B7,U2973&lt;='01_설정'!B8),"Y",""))</f>
        <v/>
      </c>
      <c r="W2973" s="172">
        <f>IF(V2973&lt;&gt;"Y","",MAX(0,(1-R2973/'01_설정'!B5))*'01_설정'!B14+MAX(0,(1-S2973/'01_설정'!B6))*'01_설정'!B15+MAX(0,(1-T2973/'01_설정'!B7))*'01_설정'!B16+MAX(0,(1-U2973/'01_설정'!B8))*'01_설정'!B17+O2973*'01_설정'!B11+Q2973*'01_설정'!B12+P2973*'01_설정'!B13+IF(Z2973="",0,Z2973))</f>
        <v/>
      </c>
      <c r="X2973" s="152">
        <f>IF(W2973="","",1+COUNTIFS($W$4:$W$3003,"&gt;"&amp;W2973)+COUNTIFS($W$4:W2973,W2973)-1)</f>
        <v/>
      </c>
      <c r="Y2973" s="175">
        <f>IF(OR(I2973="",'02_대상물건입력'!B19="",'02_대상물건입력'!B19&lt;=0),"",ABS(I2973-'02_대상물건입력'!B19)/'02_대상물건입력'!B19)</f>
        <v/>
      </c>
      <c r="Z2973" s="172">
        <f>IF(OR(Y2973="",'01_설정'!B31="",'01_설정'!B31&lt;=0,'01_설정'!B32="",'01_설정'!B32&lt;=0),"",MAX(0,(1-Y2973/'01_설정'!B32))*'01_설정'!B31)</f>
        <v/>
      </c>
    </row>
    <row r="2974" ht="17.25" customHeight="1">
      <c r="A2974" s="152">
        <f>IF(INDEX('04A_국토부원자료'!$A:$A,ROW()+1)="","",ROW()-3)</f>
        <v/>
      </c>
      <c r="B2974" s="48">
        <f>IFERROR(INDEX('04A_국토부원자료'!$A:$T,ROW()+1,MATCH("시군구",'04A_국토부원자료'!$A$4:$T$4,0)),"")</f>
        <v/>
      </c>
      <c r="C2974" s="48">
        <f>IF(B2974="","",IFERROR(INDEX('04A_국토부원자료'!$A:$T,ROW()+1,MATCH("번지",'04A_국토부원자료'!$A$4:$T$4,0)),""))</f>
        <v/>
      </c>
      <c r="D2974" s="48">
        <f>IF(B2974="","",IF(Q2974=1,'02_대상물건입력'!$B$8,IFERROR(INDEX('04A_국토부원자료'!$A:$T,ROW()+1,MATCH("단지명",'04A_국토부원자료'!$A$4:$T$4,0)),"")))</f>
        <v/>
      </c>
      <c r="E2974" s="172">
        <f>IFERROR(VALUE(SUBSTITUTE(INDEX('04A_국토부원자료'!$A:$T,ROW()+1,MATCH("전용면적(㎡)",'04A_국토부원자료'!$A$4:$T$4,0)),",","")),"")</f>
        <v/>
      </c>
      <c r="F297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74" s="51">
        <f>IFERROR(VALUE(SUBSTITUTE(INDEX('04A_국토부원자료'!$A:$T,ROW()+1,MATCH("거래금액(만원)",'04A_국토부원자료'!$A$4:$T$4,0)),",","")),"")</f>
        <v/>
      </c>
      <c r="H2974" s="174">
        <f>IF(G2974="","",G2974*10000)</f>
        <v/>
      </c>
      <c r="I2974" s="174">
        <f>IFERROR(IF(AND(H2974&gt;0,E2974&gt;0),H2974/E2974,""),"")</f>
        <v/>
      </c>
      <c r="J2974" s="152">
        <f>IFERROR(VALUE(SUBSTITUTE(INDEX('04A_국토부원자료'!$A:$T,ROW()+1,MATCH("층",'04A_국토부원자료'!$A$4:$T$4,0)),",","")),"")</f>
        <v/>
      </c>
      <c r="K2974" s="152">
        <f>IFERROR(VALUE(SUBSTITUTE(INDEX('04A_국토부원자료'!$A:$T,ROW()+1,MATCH("건축년도",'04A_국토부원자료'!$A$4:$T$4,0)),",","")),"")</f>
        <v/>
      </c>
      <c r="L2974" s="48">
        <f>IFERROR(INDEX('04A_국토부원자료'!$A:$T,ROW()+1,MATCH("도로명",'04A_국토부원자료'!$A$4:$T$4,0)),"")</f>
        <v/>
      </c>
      <c r="M2974" s="48">
        <f>IFERROR(INDEX('04A_국토부원자료'!$A:$T,ROW()+1,MATCH("거래유형",'04A_국토부원자료'!$A$4:$T$4,0)),"")</f>
        <v/>
      </c>
      <c r="N2974" s="152">
        <f>IF(B2974="","",IF('02_대상물건입력'!B5="",1,IF(ISNUMBER(SEARCH('02_대상물건입력'!B5,B2974)),1,0)))</f>
        <v/>
      </c>
      <c r="O2974" s="152">
        <f>IF(B2974="","",IF('02_대상물건입력'!B6="",1,IF(ISNUMBER(SEARCH('02_대상물건입력'!B6,B2974)),1,0)))</f>
        <v/>
      </c>
      <c r="P2974" s="152">
        <f>IF(L2974="","",IF('02_대상물건입력'!B15="",0,IF(ISNUMBER(SEARCH('02_대상물건입력'!B15,L2974)),1,0)))</f>
        <v/>
      </c>
      <c r="Q2974" s="152">
        <f>IF(OR(C2974="",L2974=""),0,IF(AND(TRIM(C2974)=TRIM(RIGHT(SUBSTITUTE(TRIM('02_대상물건입력'!$B$7)," ",REPT(" ",99)),99)),IF('02_대상물건입력'!B15="",TRUE(),ISNUMBER(SEARCH('02_대상물건입력'!B15,L2974)))),1,0))</f>
        <v/>
      </c>
      <c r="R2974" s="175">
        <f>IFERROR(ABS(E2974-'02_대상물건입력'!B11)/'02_대상물건입력'!B11,"")</f>
        <v/>
      </c>
      <c r="S2974" s="152">
        <f>IFERROR(ABS(J2974-'02_대상물건입력'!B10),"")</f>
        <v/>
      </c>
      <c r="T2974" s="152">
        <f>IFERROR(ABS('01_설정'!B4-F2974),"")</f>
        <v/>
      </c>
      <c r="U2974" s="152">
        <f>IFERROR(ABS(K2974-YEAR('02_대상물건입력'!B14)),"")</f>
        <v/>
      </c>
      <c r="V2974" s="152">
        <f>IF(B2974="","",IF(AND(E2974&gt;0,F2974&gt;0,H2974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2974=1,TRUE()),R2974&lt;='01_설정'!B5,S2974&lt;='01_설정'!B6,T2974&lt;='01_설정'!B7,U2974&lt;='01_설정'!B8),"Y",""))</f>
        <v/>
      </c>
      <c r="W2974" s="172">
        <f>IF(V2974&lt;&gt;"Y","",MAX(0,(1-R2974/'01_설정'!B5))*'01_설정'!B14+MAX(0,(1-S2974/'01_설정'!B6))*'01_설정'!B15+MAX(0,(1-T2974/'01_설정'!B7))*'01_설정'!B16+MAX(0,(1-U2974/'01_설정'!B8))*'01_설정'!B17+O2974*'01_설정'!B11+Q2974*'01_설정'!B12+P2974*'01_설정'!B13+IF(Z2974="",0,Z2974))</f>
        <v/>
      </c>
      <c r="X2974" s="152">
        <f>IF(W2974="","",1+COUNTIFS($W$4:$W$3003,"&gt;"&amp;W2974)+COUNTIFS($W$4:W2974,W2974)-1)</f>
        <v/>
      </c>
      <c r="Y2974" s="175">
        <f>IF(OR(I2974="",'02_대상물건입력'!B19="",'02_대상물건입력'!B19&lt;=0),"",ABS(I2974-'02_대상물건입력'!B19)/'02_대상물건입력'!B19)</f>
        <v/>
      </c>
      <c r="Z2974" s="172">
        <f>IF(OR(Y2974="",'01_설정'!B31="",'01_설정'!B31&lt;=0,'01_설정'!B32="",'01_설정'!B32&lt;=0),"",MAX(0,(1-Y2974/'01_설정'!B32))*'01_설정'!B31)</f>
        <v/>
      </c>
    </row>
    <row r="2975" ht="17.25" customHeight="1">
      <c r="A2975" s="152">
        <f>IF(INDEX('04A_국토부원자료'!$A:$A,ROW()+1)="","",ROW()-3)</f>
        <v/>
      </c>
      <c r="B2975" s="48">
        <f>IFERROR(INDEX('04A_국토부원자료'!$A:$T,ROW()+1,MATCH("시군구",'04A_국토부원자료'!$A$4:$T$4,0)),"")</f>
        <v/>
      </c>
      <c r="C2975" s="48">
        <f>IF(B2975="","",IFERROR(INDEX('04A_국토부원자료'!$A:$T,ROW()+1,MATCH("번지",'04A_국토부원자료'!$A$4:$T$4,0)),""))</f>
        <v/>
      </c>
      <c r="D2975" s="48">
        <f>IF(B2975="","",IF(Q2975=1,'02_대상물건입력'!$B$8,IFERROR(INDEX('04A_국토부원자료'!$A:$T,ROW()+1,MATCH("단지명",'04A_국토부원자료'!$A$4:$T$4,0)),"")))</f>
        <v/>
      </c>
      <c r="E2975" s="172">
        <f>IFERROR(VALUE(SUBSTITUTE(INDEX('04A_국토부원자료'!$A:$T,ROW()+1,MATCH("전용면적(㎡)",'04A_국토부원자료'!$A$4:$T$4,0)),",","")),"")</f>
        <v/>
      </c>
      <c r="F297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75" s="51">
        <f>IFERROR(VALUE(SUBSTITUTE(INDEX('04A_국토부원자료'!$A:$T,ROW()+1,MATCH("거래금액(만원)",'04A_국토부원자료'!$A$4:$T$4,0)),",","")),"")</f>
        <v/>
      </c>
      <c r="H2975" s="174">
        <f>IF(G2975="","",G2975*10000)</f>
        <v/>
      </c>
      <c r="I2975" s="174">
        <f>IFERROR(IF(AND(H2975&gt;0,E2975&gt;0),H2975/E2975,""),"")</f>
        <v/>
      </c>
      <c r="J2975" s="152">
        <f>IFERROR(VALUE(SUBSTITUTE(INDEX('04A_국토부원자료'!$A:$T,ROW()+1,MATCH("층",'04A_국토부원자료'!$A$4:$T$4,0)),",","")),"")</f>
        <v/>
      </c>
      <c r="K2975" s="152">
        <f>IFERROR(VALUE(SUBSTITUTE(INDEX('04A_국토부원자료'!$A:$T,ROW()+1,MATCH("건축년도",'04A_국토부원자료'!$A$4:$T$4,0)),",","")),"")</f>
        <v/>
      </c>
      <c r="L2975" s="48">
        <f>IFERROR(INDEX('04A_국토부원자료'!$A:$T,ROW()+1,MATCH("도로명",'04A_국토부원자료'!$A$4:$T$4,0)),"")</f>
        <v/>
      </c>
      <c r="M2975" s="48">
        <f>IFERROR(INDEX('04A_국토부원자료'!$A:$T,ROW()+1,MATCH("거래유형",'04A_국토부원자료'!$A$4:$T$4,0)),"")</f>
        <v/>
      </c>
      <c r="N2975" s="152">
        <f>IF(B2975="","",IF('02_대상물건입력'!B5="",1,IF(ISNUMBER(SEARCH('02_대상물건입력'!B5,B2975)),1,0)))</f>
        <v/>
      </c>
      <c r="O2975" s="152">
        <f>IF(B2975="","",IF('02_대상물건입력'!B6="",1,IF(ISNUMBER(SEARCH('02_대상물건입력'!B6,B2975)),1,0)))</f>
        <v/>
      </c>
      <c r="P2975" s="152">
        <f>IF(L2975="","",IF('02_대상물건입력'!B15="",0,IF(ISNUMBER(SEARCH('02_대상물건입력'!B15,L2975)),1,0)))</f>
        <v/>
      </c>
      <c r="Q2975" s="152">
        <f>IF(OR(C2975="",L2975=""),0,IF(AND(TRIM(C2975)=TRIM(RIGHT(SUBSTITUTE(TRIM('02_대상물건입력'!$B$7)," ",REPT(" ",99)),99)),IF('02_대상물건입력'!B15="",TRUE(),ISNUMBER(SEARCH('02_대상물건입력'!B15,L2975)))),1,0))</f>
        <v/>
      </c>
      <c r="R2975" s="175">
        <f>IFERROR(ABS(E2975-'02_대상물건입력'!B11)/'02_대상물건입력'!B11,"")</f>
        <v/>
      </c>
      <c r="S2975" s="152">
        <f>IFERROR(ABS(J2975-'02_대상물건입력'!B10),"")</f>
        <v/>
      </c>
      <c r="T2975" s="152">
        <f>IFERROR(ABS('01_설정'!B4-F2975),"")</f>
        <v/>
      </c>
      <c r="U2975" s="152">
        <f>IFERROR(ABS(K2975-YEAR('02_대상물건입력'!B14)),"")</f>
        <v/>
      </c>
      <c r="V2975" s="152">
        <f>IF(B2975="","",IF(AND(E2975&gt;0,F2975&gt;0,H2975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2975=1,TRUE()),R2975&lt;='01_설정'!B5,S2975&lt;='01_설정'!B6,T2975&lt;='01_설정'!B7,U2975&lt;='01_설정'!B8),"Y",""))</f>
        <v/>
      </c>
      <c r="W2975" s="172">
        <f>IF(V2975&lt;&gt;"Y","",MAX(0,(1-R2975/'01_설정'!B5))*'01_설정'!B14+MAX(0,(1-S2975/'01_설정'!B6))*'01_설정'!B15+MAX(0,(1-T2975/'01_설정'!B7))*'01_설정'!B16+MAX(0,(1-U2975/'01_설정'!B8))*'01_설정'!B17+O2975*'01_설정'!B11+Q2975*'01_설정'!B12+P2975*'01_설정'!B13+IF(Z2975="",0,Z2975))</f>
        <v/>
      </c>
      <c r="X2975" s="152">
        <f>IF(W2975="","",1+COUNTIFS($W$4:$W$3003,"&gt;"&amp;W2975)+COUNTIFS($W$4:W2975,W2975)-1)</f>
        <v/>
      </c>
      <c r="Y2975" s="175">
        <f>IF(OR(I2975="",'02_대상물건입력'!B19="",'02_대상물건입력'!B19&lt;=0),"",ABS(I2975-'02_대상물건입력'!B19)/'02_대상물건입력'!B19)</f>
        <v/>
      </c>
      <c r="Z2975" s="172">
        <f>IF(OR(Y2975="",'01_설정'!B31="",'01_설정'!B31&lt;=0,'01_설정'!B32="",'01_설정'!B32&lt;=0),"",MAX(0,(1-Y2975/'01_설정'!B32))*'01_설정'!B31)</f>
        <v/>
      </c>
    </row>
    <row r="2976" ht="17.25" customHeight="1">
      <c r="A2976" s="152">
        <f>IF(INDEX('04A_국토부원자료'!$A:$A,ROW()+1)="","",ROW()-3)</f>
        <v/>
      </c>
      <c r="B2976" s="48">
        <f>IFERROR(INDEX('04A_국토부원자료'!$A:$T,ROW()+1,MATCH("시군구",'04A_국토부원자료'!$A$4:$T$4,0)),"")</f>
        <v/>
      </c>
      <c r="C2976" s="48">
        <f>IF(B2976="","",IFERROR(INDEX('04A_국토부원자료'!$A:$T,ROW()+1,MATCH("번지",'04A_국토부원자료'!$A$4:$T$4,0)),""))</f>
        <v/>
      </c>
      <c r="D2976" s="48">
        <f>IF(B2976="","",IF(Q2976=1,'02_대상물건입력'!$B$8,IFERROR(INDEX('04A_국토부원자료'!$A:$T,ROW()+1,MATCH("단지명",'04A_국토부원자료'!$A$4:$T$4,0)),"")))</f>
        <v/>
      </c>
      <c r="E2976" s="172">
        <f>IFERROR(VALUE(SUBSTITUTE(INDEX('04A_국토부원자료'!$A:$T,ROW()+1,MATCH("전용면적(㎡)",'04A_국토부원자료'!$A$4:$T$4,0)),",","")),"")</f>
        <v/>
      </c>
      <c r="F297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76" s="51">
        <f>IFERROR(VALUE(SUBSTITUTE(INDEX('04A_국토부원자료'!$A:$T,ROW()+1,MATCH("거래금액(만원)",'04A_국토부원자료'!$A$4:$T$4,0)),",","")),"")</f>
        <v/>
      </c>
      <c r="H2976" s="174">
        <f>IF(G2976="","",G2976*10000)</f>
        <v/>
      </c>
      <c r="I2976" s="174">
        <f>IFERROR(IF(AND(H2976&gt;0,E2976&gt;0),H2976/E2976,""),"")</f>
        <v/>
      </c>
      <c r="J2976" s="152">
        <f>IFERROR(VALUE(SUBSTITUTE(INDEX('04A_국토부원자료'!$A:$T,ROW()+1,MATCH("층",'04A_국토부원자료'!$A$4:$T$4,0)),",","")),"")</f>
        <v/>
      </c>
      <c r="K2976" s="152">
        <f>IFERROR(VALUE(SUBSTITUTE(INDEX('04A_국토부원자료'!$A:$T,ROW()+1,MATCH("건축년도",'04A_국토부원자료'!$A$4:$T$4,0)),",","")),"")</f>
        <v/>
      </c>
      <c r="L2976" s="48">
        <f>IFERROR(INDEX('04A_국토부원자료'!$A:$T,ROW()+1,MATCH("도로명",'04A_국토부원자료'!$A$4:$T$4,0)),"")</f>
        <v/>
      </c>
      <c r="M2976" s="48">
        <f>IFERROR(INDEX('04A_국토부원자료'!$A:$T,ROW()+1,MATCH("거래유형",'04A_국토부원자료'!$A$4:$T$4,0)),"")</f>
        <v/>
      </c>
      <c r="N2976" s="152">
        <f>IF(B2976="","",IF('02_대상물건입력'!B5="",1,IF(ISNUMBER(SEARCH('02_대상물건입력'!B5,B2976)),1,0)))</f>
        <v/>
      </c>
      <c r="O2976" s="152">
        <f>IF(B2976="","",IF('02_대상물건입력'!B6="",1,IF(ISNUMBER(SEARCH('02_대상물건입력'!B6,B2976)),1,0)))</f>
        <v/>
      </c>
      <c r="P2976" s="152">
        <f>IF(L2976="","",IF('02_대상물건입력'!B15="",0,IF(ISNUMBER(SEARCH('02_대상물건입력'!B15,L2976)),1,0)))</f>
        <v/>
      </c>
      <c r="Q2976" s="152">
        <f>IF(OR(C2976="",L2976=""),0,IF(AND(TRIM(C2976)=TRIM(RIGHT(SUBSTITUTE(TRIM('02_대상물건입력'!$B$7)," ",REPT(" ",99)),99)),IF('02_대상물건입력'!B15="",TRUE(),ISNUMBER(SEARCH('02_대상물건입력'!B15,L2976)))),1,0))</f>
        <v/>
      </c>
      <c r="R2976" s="175">
        <f>IFERROR(ABS(E2976-'02_대상물건입력'!B11)/'02_대상물건입력'!B11,"")</f>
        <v/>
      </c>
      <c r="S2976" s="152">
        <f>IFERROR(ABS(J2976-'02_대상물건입력'!B10),"")</f>
        <v/>
      </c>
      <c r="T2976" s="152">
        <f>IFERROR(ABS('01_설정'!B4-F2976),"")</f>
        <v/>
      </c>
      <c r="U2976" s="152">
        <f>IFERROR(ABS(K2976-YEAR('02_대상물건입력'!B14)),"")</f>
        <v/>
      </c>
      <c r="V2976" s="152">
        <f>IF(B2976="","",IF(AND(E2976&gt;0,F2976&gt;0,H2976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2976=1,TRUE()),R2976&lt;='01_설정'!B5,S2976&lt;='01_설정'!B6,T2976&lt;='01_설정'!B7,U2976&lt;='01_설정'!B8),"Y",""))</f>
        <v/>
      </c>
      <c r="W2976" s="172">
        <f>IF(V2976&lt;&gt;"Y","",MAX(0,(1-R2976/'01_설정'!B5))*'01_설정'!B14+MAX(0,(1-S2976/'01_설정'!B6))*'01_설정'!B15+MAX(0,(1-T2976/'01_설정'!B7))*'01_설정'!B16+MAX(0,(1-U2976/'01_설정'!B8))*'01_설정'!B17+O2976*'01_설정'!B11+Q2976*'01_설정'!B12+P2976*'01_설정'!B13+IF(Z2976="",0,Z2976))</f>
        <v/>
      </c>
      <c r="X2976" s="152">
        <f>IF(W2976="","",1+COUNTIFS($W$4:$W$3003,"&gt;"&amp;W2976)+COUNTIFS($W$4:W2976,W2976)-1)</f>
        <v/>
      </c>
      <c r="Y2976" s="175">
        <f>IF(OR(I2976="",'02_대상물건입력'!B19="",'02_대상물건입력'!B19&lt;=0),"",ABS(I2976-'02_대상물건입력'!B19)/'02_대상물건입력'!B19)</f>
        <v/>
      </c>
      <c r="Z2976" s="172">
        <f>IF(OR(Y2976="",'01_설정'!B31="",'01_설정'!B31&lt;=0,'01_설정'!B32="",'01_설정'!B32&lt;=0),"",MAX(0,(1-Y2976/'01_설정'!B32))*'01_설정'!B31)</f>
        <v/>
      </c>
    </row>
    <row r="2977" ht="17.25" customHeight="1">
      <c r="A2977" s="152">
        <f>IF(INDEX('04A_국토부원자료'!$A:$A,ROW()+1)="","",ROW()-3)</f>
        <v/>
      </c>
      <c r="B2977" s="48">
        <f>IFERROR(INDEX('04A_국토부원자료'!$A:$T,ROW()+1,MATCH("시군구",'04A_국토부원자료'!$A$4:$T$4,0)),"")</f>
        <v/>
      </c>
      <c r="C2977" s="48">
        <f>IF(B2977="","",IFERROR(INDEX('04A_국토부원자료'!$A:$T,ROW()+1,MATCH("번지",'04A_국토부원자료'!$A$4:$T$4,0)),""))</f>
        <v/>
      </c>
      <c r="D2977" s="48">
        <f>IF(B2977="","",IF(Q2977=1,'02_대상물건입력'!$B$8,IFERROR(INDEX('04A_국토부원자료'!$A:$T,ROW()+1,MATCH("단지명",'04A_국토부원자료'!$A$4:$T$4,0)),"")))</f>
        <v/>
      </c>
      <c r="E2977" s="172">
        <f>IFERROR(VALUE(SUBSTITUTE(INDEX('04A_국토부원자료'!$A:$T,ROW()+1,MATCH("전용면적(㎡)",'04A_국토부원자료'!$A$4:$T$4,0)),",","")),"")</f>
        <v/>
      </c>
      <c r="F297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77" s="51">
        <f>IFERROR(VALUE(SUBSTITUTE(INDEX('04A_국토부원자료'!$A:$T,ROW()+1,MATCH("거래금액(만원)",'04A_국토부원자료'!$A$4:$T$4,0)),",","")),"")</f>
        <v/>
      </c>
      <c r="H2977" s="174">
        <f>IF(G2977="","",G2977*10000)</f>
        <v/>
      </c>
      <c r="I2977" s="174">
        <f>IFERROR(IF(AND(H2977&gt;0,E2977&gt;0),H2977/E2977,""),"")</f>
        <v/>
      </c>
      <c r="J2977" s="152">
        <f>IFERROR(VALUE(SUBSTITUTE(INDEX('04A_국토부원자료'!$A:$T,ROW()+1,MATCH("층",'04A_국토부원자료'!$A$4:$T$4,0)),",","")),"")</f>
        <v/>
      </c>
      <c r="K2977" s="152">
        <f>IFERROR(VALUE(SUBSTITUTE(INDEX('04A_국토부원자료'!$A:$T,ROW()+1,MATCH("건축년도",'04A_국토부원자료'!$A$4:$T$4,0)),",","")),"")</f>
        <v/>
      </c>
      <c r="L2977" s="48">
        <f>IFERROR(INDEX('04A_국토부원자료'!$A:$T,ROW()+1,MATCH("도로명",'04A_국토부원자료'!$A$4:$T$4,0)),"")</f>
        <v/>
      </c>
      <c r="M2977" s="48">
        <f>IFERROR(INDEX('04A_국토부원자료'!$A:$T,ROW()+1,MATCH("거래유형",'04A_국토부원자료'!$A$4:$T$4,0)),"")</f>
        <v/>
      </c>
      <c r="N2977" s="152">
        <f>IF(B2977="","",IF('02_대상물건입력'!B5="",1,IF(ISNUMBER(SEARCH('02_대상물건입력'!B5,B2977)),1,0)))</f>
        <v/>
      </c>
      <c r="O2977" s="152">
        <f>IF(B2977="","",IF('02_대상물건입력'!B6="",1,IF(ISNUMBER(SEARCH('02_대상물건입력'!B6,B2977)),1,0)))</f>
        <v/>
      </c>
      <c r="P2977" s="152">
        <f>IF(L2977="","",IF('02_대상물건입력'!B15="",0,IF(ISNUMBER(SEARCH('02_대상물건입력'!B15,L2977)),1,0)))</f>
        <v/>
      </c>
      <c r="Q2977" s="152">
        <f>IF(OR(C2977="",L2977=""),0,IF(AND(TRIM(C2977)=TRIM(RIGHT(SUBSTITUTE(TRIM('02_대상물건입력'!$B$7)," ",REPT(" ",99)),99)),IF('02_대상물건입력'!B15="",TRUE(),ISNUMBER(SEARCH('02_대상물건입력'!B15,L2977)))),1,0))</f>
        <v/>
      </c>
      <c r="R2977" s="175">
        <f>IFERROR(ABS(E2977-'02_대상물건입력'!B11)/'02_대상물건입력'!B11,"")</f>
        <v/>
      </c>
      <c r="S2977" s="152">
        <f>IFERROR(ABS(J2977-'02_대상물건입력'!B10),"")</f>
        <v/>
      </c>
      <c r="T2977" s="152">
        <f>IFERROR(ABS('01_설정'!B4-F2977),"")</f>
        <v/>
      </c>
      <c r="U2977" s="152">
        <f>IFERROR(ABS(K2977-YEAR('02_대상물건입력'!B14)),"")</f>
        <v/>
      </c>
      <c r="V2977" s="152">
        <f>IF(B2977="","",IF(AND(E2977&gt;0,F2977&gt;0,H2977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2977=1,TRUE()),R2977&lt;='01_설정'!B5,S2977&lt;='01_설정'!B6,T2977&lt;='01_설정'!B7,U2977&lt;='01_설정'!B8),"Y",""))</f>
        <v/>
      </c>
      <c r="W2977" s="172">
        <f>IF(V2977&lt;&gt;"Y","",MAX(0,(1-R2977/'01_설정'!B5))*'01_설정'!B14+MAX(0,(1-S2977/'01_설정'!B6))*'01_설정'!B15+MAX(0,(1-T2977/'01_설정'!B7))*'01_설정'!B16+MAX(0,(1-U2977/'01_설정'!B8))*'01_설정'!B17+O2977*'01_설정'!B11+Q2977*'01_설정'!B12+P2977*'01_설정'!B13+IF(Z2977="",0,Z2977))</f>
        <v/>
      </c>
      <c r="X2977" s="152">
        <f>IF(W2977="","",1+COUNTIFS($W$4:$W$3003,"&gt;"&amp;W2977)+COUNTIFS($W$4:W2977,W2977)-1)</f>
        <v/>
      </c>
      <c r="Y2977" s="175">
        <f>IF(OR(I2977="",'02_대상물건입력'!B19="",'02_대상물건입력'!B19&lt;=0),"",ABS(I2977-'02_대상물건입력'!B19)/'02_대상물건입력'!B19)</f>
        <v/>
      </c>
      <c r="Z2977" s="172">
        <f>IF(OR(Y2977="",'01_설정'!B31="",'01_설정'!B31&lt;=0,'01_설정'!B32="",'01_설정'!B32&lt;=0),"",MAX(0,(1-Y2977/'01_설정'!B32))*'01_설정'!B31)</f>
        <v/>
      </c>
    </row>
    <row r="2978" ht="17.25" customHeight="1">
      <c r="A2978" s="152">
        <f>IF(INDEX('04A_국토부원자료'!$A:$A,ROW()+1)="","",ROW()-3)</f>
        <v/>
      </c>
      <c r="B2978" s="48">
        <f>IFERROR(INDEX('04A_국토부원자료'!$A:$T,ROW()+1,MATCH("시군구",'04A_국토부원자료'!$A$4:$T$4,0)),"")</f>
        <v/>
      </c>
      <c r="C2978" s="48">
        <f>IF(B2978="","",IFERROR(INDEX('04A_국토부원자료'!$A:$T,ROW()+1,MATCH("번지",'04A_국토부원자료'!$A$4:$T$4,0)),""))</f>
        <v/>
      </c>
      <c r="D2978" s="48">
        <f>IF(B2978="","",IF(Q2978=1,'02_대상물건입력'!$B$8,IFERROR(INDEX('04A_국토부원자료'!$A:$T,ROW()+1,MATCH("단지명",'04A_국토부원자료'!$A$4:$T$4,0)),"")))</f>
        <v/>
      </c>
      <c r="E2978" s="172">
        <f>IFERROR(VALUE(SUBSTITUTE(INDEX('04A_국토부원자료'!$A:$T,ROW()+1,MATCH("전용면적(㎡)",'04A_국토부원자료'!$A$4:$T$4,0)),",","")),"")</f>
        <v/>
      </c>
      <c r="F297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78" s="51">
        <f>IFERROR(VALUE(SUBSTITUTE(INDEX('04A_국토부원자료'!$A:$T,ROW()+1,MATCH("거래금액(만원)",'04A_국토부원자료'!$A$4:$T$4,0)),",","")),"")</f>
        <v/>
      </c>
      <c r="H2978" s="174">
        <f>IF(G2978="","",G2978*10000)</f>
        <v/>
      </c>
      <c r="I2978" s="174">
        <f>IFERROR(IF(AND(H2978&gt;0,E2978&gt;0),H2978/E2978,""),"")</f>
        <v/>
      </c>
      <c r="J2978" s="152">
        <f>IFERROR(VALUE(SUBSTITUTE(INDEX('04A_국토부원자료'!$A:$T,ROW()+1,MATCH("층",'04A_국토부원자료'!$A$4:$T$4,0)),",","")),"")</f>
        <v/>
      </c>
      <c r="K2978" s="152">
        <f>IFERROR(VALUE(SUBSTITUTE(INDEX('04A_국토부원자료'!$A:$T,ROW()+1,MATCH("건축년도",'04A_국토부원자료'!$A$4:$T$4,0)),",","")),"")</f>
        <v/>
      </c>
      <c r="L2978" s="48">
        <f>IFERROR(INDEX('04A_국토부원자료'!$A:$T,ROW()+1,MATCH("도로명",'04A_국토부원자료'!$A$4:$T$4,0)),"")</f>
        <v/>
      </c>
      <c r="M2978" s="48">
        <f>IFERROR(INDEX('04A_국토부원자료'!$A:$T,ROW()+1,MATCH("거래유형",'04A_국토부원자료'!$A$4:$T$4,0)),"")</f>
        <v/>
      </c>
      <c r="N2978" s="152">
        <f>IF(B2978="","",IF('02_대상물건입력'!B5="",1,IF(ISNUMBER(SEARCH('02_대상물건입력'!B5,B2978)),1,0)))</f>
        <v/>
      </c>
      <c r="O2978" s="152">
        <f>IF(B2978="","",IF('02_대상물건입력'!B6="",1,IF(ISNUMBER(SEARCH('02_대상물건입력'!B6,B2978)),1,0)))</f>
        <v/>
      </c>
      <c r="P2978" s="152">
        <f>IF(L2978="","",IF('02_대상물건입력'!B15="",0,IF(ISNUMBER(SEARCH('02_대상물건입력'!B15,L2978)),1,0)))</f>
        <v/>
      </c>
      <c r="Q2978" s="152">
        <f>IF(OR(C2978="",L2978=""),0,IF(AND(TRIM(C2978)=TRIM(RIGHT(SUBSTITUTE(TRIM('02_대상물건입력'!$B$7)," ",REPT(" ",99)),99)),IF('02_대상물건입력'!B15="",TRUE(),ISNUMBER(SEARCH('02_대상물건입력'!B15,L2978)))),1,0))</f>
        <v/>
      </c>
      <c r="R2978" s="175">
        <f>IFERROR(ABS(E2978-'02_대상물건입력'!B11)/'02_대상물건입력'!B11,"")</f>
        <v/>
      </c>
      <c r="S2978" s="152">
        <f>IFERROR(ABS(J2978-'02_대상물건입력'!B10),"")</f>
        <v/>
      </c>
      <c r="T2978" s="152">
        <f>IFERROR(ABS('01_설정'!B4-F2978),"")</f>
        <v/>
      </c>
      <c r="U2978" s="152">
        <f>IFERROR(ABS(K2978-YEAR('02_대상물건입력'!B14)),"")</f>
        <v/>
      </c>
      <c r="V2978" s="152">
        <f>IF(B2978="","",IF(AND(E2978&gt;0,F2978&gt;0,H2978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2978=1,TRUE()),R2978&lt;='01_설정'!B5,S2978&lt;='01_설정'!B6,T2978&lt;='01_설정'!B7,U2978&lt;='01_설정'!B8),"Y",""))</f>
        <v/>
      </c>
      <c r="W2978" s="172">
        <f>IF(V2978&lt;&gt;"Y","",MAX(0,(1-R2978/'01_설정'!B5))*'01_설정'!B14+MAX(0,(1-S2978/'01_설정'!B6))*'01_설정'!B15+MAX(0,(1-T2978/'01_설정'!B7))*'01_설정'!B16+MAX(0,(1-U2978/'01_설정'!B8))*'01_설정'!B17+O2978*'01_설정'!B11+Q2978*'01_설정'!B12+P2978*'01_설정'!B13+IF(Z2978="",0,Z2978))</f>
        <v/>
      </c>
      <c r="X2978" s="152">
        <f>IF(W2978="","",1+COUNTIFS($W$4:$W$3003,"&gt;"&amp;W2978)+COUNTIFS($W$4:W2978,W2978)-1)</f>
        <v/>
      </c>
      <c r="Y2978" s="175">
        <f>IF(OR(I2978="",'02_대상물건입력'!B19="",'02_대상물건입력'!B19&lt;=0),"",ABS(I2978-'02_대상물건입력'!B19)/'02_대상물건입력'!B19)</f>
        <v/>
      </c>
      <c r="Z2978" s="172">
        <f>IF(OR(Y2978="",'01_설정'!B31="",'01_설정'!B31&lt;=0,'01_설정'!B32="",'01_설정'!B32&lt;=0),"",MAX(0,(1-Y2978/'01_설정'!B32))*'01_설정'!B31)</f>
        <v/>
      </c>
    </row>
    <row r="2979" ht="17.25" customHeight="1">
      <c r="A2979" s="152">
        <f>IF(INDEX('04A_국토부원자료'!$A:$A,ROW()+1)="","",ROW()-3)</f>
        <v/>
      </c>
      <c r="B2979" s="48">
        <f>IFERROR(INDEX('04A_국토부원자료'!$A:$T,ROW()+1,MATCH("시군구",'04A_국토부원자료'!$A$4:$T$4,0)),"")</f>
        <v/>
      </c>
      <c r="C2979" s="48">
        <f>IF(B2979="","",IFERROR(INDEX('04A_국토부원자료'!$A:$T,ROW()+1,MATCH("번지",'04A_국토부원자료'!$A$4:$T$4,0)),""))</f>
        <v/>
      </c>
      <c r="D2979" s="48">
        <f>IF(B2979="","",IF(Q2979=1,'02_대상물건입력'!$B$8,IFERROR(INDEX('04A_국토부원자료'!$A:$T,ROW()+1,MATCH("단지명",'04A_국토부원자료'!$A$4:$T$4,0)),"")))</f>
        <v/>
      </c>
      <c r="E2979" s="172">
        <f>IFERROR(VALUE(SUBSTITUTE(INDEX('04A_국토부원자료'!$A:$T,ROW()+1,MATCH("전용면적(㎡)",'04A_국토부원자료'!$A$4:$T$4,0)),",","")),"")</f>
        <v/>
      </c>
      <c r="F297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79" s="51">
        <f>IFERROR(VALUE(SUBSTITUTE(INDEX('04A_국토부원자료'!$A:$T,ROW()+1,MATCH("거래금액(만원)",'04A_국토부원자료'!$A$4:$T$4,0)),",","")),"")</f>
        <v/>
      </c>
      <c r="H2979" s="174">
        <f>IF(G2979="","",G2979*10000)</f>
        <v/>
      </c>
      <c r="I2979" s="174">
        <f>IFERROR(IF(AND(H2979&gt;0,E2979&gt;0),H2979/E2979,""),"")</f>
        <v/>
      </c>
      <c r="J2979" s="152">
        <f>IFERROR(VALUE(SUBSTITUTE(INDEX('04A_국토부원자료'!$A:$T,ROW()+1,MATCH("층",'04A_국토부원자료'!$A$4:$T$4,0)),",","")),"")</f>
        <v/>
      </c>
      <c r="K2979" s="152">
        <f>IFERROR(VALUE(SUBSTITUTE(INDEX('04A_국토부원자료'!$A:$T,ROW()+1,MATCH("건축년도",'04A_국토부원자료'!$A$4:$T$4,0)),",","")),"")</f>
        <v/>
      </c>
      <c r="L2979" s="48">
        <f>IFERROR(INDEX('04A_국토부원자료'!$A:$T,ROW()+1,MATCH("도로명",'04A_국토부원자료'!$A$4:$T$4,0)),"")</f>
        <v/>
      </c>
      <c r="M2979" s="48">
        <f>IFERROR(INDEX('04A_국토부원자료'!$A:$T,ROW()+1,MATCH("거래유형",'04A_국토부원자료'!$A$4:$T$4,0)),"")</f>
        <v/>
      </c>
      <c r="N2979" s="152">
        <f>IF(B2979="","",IF('02_대상물건입력'!B5="",1,IF(ISNUMBER(SEARCH('02_대상물건입력'!B5,B2979)),1,0)))</f>
        <v/>
      </c>
      <c r="O2979" s="152">
        <f>IF(B2979="","",IF('02_대상물건입력'!B6="",1,IF(ISNUMBER(SEARCH('02_대상물건입력'!B6,B2979)),1,0)))</f>
        <v/>
      </c>
      <c r="P2979" s="152">
        <f>IF(L2979="","",IF('02_대상물건입력'!B15="",0,IF(ISNUMBER(SEARCH('02_대상물건입력'!B15,L2979)),1,0)))</f>
        <v/>
      </c>
      <c r="Q2979" s="152">
        <f>IF(OR(C2979="",L2979=""),0,IF(AND(TRIM(C2979)=TRIM(RIGHT(SUBSTITUTE(TRIM('02_대상물건입력'!$B$7)," ",REPT(" ",99)),99)),IF('02_대상물건입력'!B15="",TRUE(),ISNUMBER(SEARCH('02_대상물건입력'!B15,L2979)))),1,0))</f>
        <v/>
      </c>
      <c r="R2979" s="175">
        <f>IFERROR(ABS(E2979-'02_대상물건입력'!B11)/'02_대상물건입력'!B11,"")</f>
        <v/>
      </c>
      <c r="S2979" s="152">
        <f>IFERROR(ABS(J2979-'02_대상물건입력'!B10),"")</f>
        <v/>
      </c>
      <c r="T2979" s="152">
        <f>IFERROR(ABS('01_설정'!B4-F2979),"")</f>
        <v/>
      </c>
      <c r="U2979" s="152">
        <f>IFERROR(ABS(K2979-YEAR('02_대상물건입력'!B14)),"")</f>
        <v/>
      </c>
      <c r="V2979" s="152">
        <f>IF(B2979="","",IF(AND(E2979&gt;0,F2979&gt;0,H2979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2979=1,TRUE()),R2979&lt;='01_설정'!B5,S2979&lt;='01_설정'!B6,T2979&lt;='01_설정'!B7,U2979&lt;='01_설정'!B8),"Y",""))</f>
        <v/>
      </c>
      <c r="W2979" s="172">
        <f>IF(V2979&lt;&gt;"Y","",MAX(0,(1-R2979/'01_설정'!B5))*'01_설정'!B14+MAX(0,(1-S2979/'01_설정'!B6))*'01_설정'!B15+MAX(0,(1-T2979/'01_설정'!B7))*'01_설정'!B16+MAX(0,(1-U2979/'01_설정'!B8))*'01_설정'!B17+O2979*'01_설정'!B11+Q2979*'01_설정'!B12+P2979*'01_설정'!B13+IF(Z2979="",0,Z2979))</f>
        <v/>
      </c>
      <c r="X2979" s="152">
        <f>IF(W2979="","",1+COUNTIFS($W$4:$W$3003,"&gt;"&amp;W2979)+COUNTIFS($W$4:W2979,W2979)-1)</f>
        <v/>
      </c>
      <c r="Y2979" s="175">
        <f>IF(OR(I2979="",'02_대상물건입력'!B19="",'02_대상물건입력'!B19&lt;=0),"",ABS(I2979-'02_대상물건입력'!B19)/'02_대상물건입력'!B19)</f>
        <v/>
      </c>
      <c r="Z2979" s="172">
        <f>IF(OR(Y2979="",'01_설정'!B31="",'01_설정'!B31&lt;=0,'01_설정'!B32="",'01_설정'!B32&lt;=0),"",MAX(0,(1-Y2979/'01_설정'!B32))*'01_설정'!B31)</f>
        <v/>
      </c>
    </row>
    <row r="2980" ht="17.25" customHeight="1">
      <c r="A2980" s="152">
        <f>IF(INDEX('04A_국토부원자료'!$A:$A,ROW()+1)="","",ROW()-3)</f>
        <v/>
      </c>
      <c r="B2980" s="48">
        <f>IFERROR(INDEX('04A_국토부원자료'!$A:$T,ROW()+1,MATCH("시군구",'04A_국토부원자료'!$A$4:$T$4,0)),"")</f>
        <v/>
      </c>
      <c r="C2980" s="48">
        <f>IF(B2980="","",IFERROR(INDEX('04A_국토부원자료'!$A:$T,ROW()+1,MATCH("번지",'04A_국토부원자료'!$A$4:$T$4,0)),""))</f>
        <v/>
      </c>
      <c r="D2980" s="48">
        <f>IF(B2980="","",IF(Q2980=1,'02_대상물건입력'!$B$8,IFERROR(INDEX('04A_국토부원자료'!$A:$T,ROW()+1,MATCH("단지명",'04A_국토부원자료'!$A$4:$T$4,0)),"")))</f>
        <v/>
      </c>
      <c r="E2980" s="172">
        <f>IFERROR(VALUE(SUBSTITUTE(INDEX('04A_국토부원자료'!$A:$T,ROW()+1,MATCH("전용면적(㎡)",'04A_국토부원자료'!$A$4:$T$4,0)),",","")),"")</f>
        <v/>
      </c>
      <c r="F298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80" s="51">
        <f>IFERROR(VALUE(SUBSTITUTE(INDEX('04A_국토부원자료'!$A:$T,ROW()+1,MATCH("거래금액(만원)",'04A_국토부원자료'!$A$4:$T$4,0)),",","")),"")</f>
        <v/>
      </c>
      <c r="H2980" s="174">
        <f>IF(G2980="","",G2980*10000)</f>
        <v/>
      </c>
      <c r="I2980" s="174">
        <f>IFERROR(IF(AND(H2980&gt;0,E2980&gt;0),H2980/E2980,""),"")</f>
        <v/>
      </c>
      <c r="J2980" s="152">
        <f>IFERROR(VALUE(SUBSTITUTE(INDEX('04A_국토부원자료'!$A:$T,ROW()+1,MATCH("층",'04A_국토부원자료'!$A$4:$T$4,0)),",","")),"")</f>
        <v/>
      </c>
      <c r="K2980" s="152">
        <f>IFERROR(VALUE(SUBSTITUTE(INDEX('04A_국토부원자료'!$A:$T,ROW()+1,MATCH("건축년도",'04A_국토부원자료'!$A$4:$T$4,0)),",","")),"")</f>
        <v/>
      </c>
      <c r="L2980" s="48">
        <f>IFERROR(INDEX('04A_국토부원자료'!$A:$T,ROW()+1,MATCH("도로명",'04A_국토부원자료'!$A$4:$T$4,0)),"")</f>
        <v/>
      </c>
      <c r="M2980" s="48">
        <f>IFERROR(INDEX('04A_국토부원자료'!$A:$T,ROW()+1,MATCH("거래유형",'04A_국토부원자료'!$A$4:$T$4,0)),"")</f>
        <v/>
      </c>
      <c r="N2980" s="152">
        <f>IF(B2980="","",IF('02_대상물건입력'!B5="",1,IF(ISNUMBER(SEARCH('02_대상물건입력'!B5,B2980)),1,0)))</f>
        <v/>
      </c>
      <c r="O2980" s="152">
        <f>IF(B2980="","",IF('02_대상물건입력'!B6="",1,IF(ISNUMBER(SEARCH('02_대상물건입력'!B6,B2980)),1,0)))</f>
        <v/>
      </c>
      <c r="P2980" s="152">
        <f>IF(L2980="","",IF('02_대상물건입력'!B15="",0,IF(ISNUMBER(SEARCH('02_대상물건입력'!B15,L2980)),1,0)))</f>
        <v/>
      </c>
      <c r="Q2980" s="152">
        <f>IF(OR(C2980="",L2980=""),0,IF(AND(TRIM(C2980)=TRIM(RIGHT(SUBSTITUTE(TRIM('02_대상물건입력'!$B$7)," ",REPT(" ",99)),99)),IF('02_대상물건입력'!B15="",TRUE(),ISNUMBER(SEARCH('02_대상물건입력'!B15,L2980)))),1,0))</f>
        <v/>
      </c>
      <c r="R2980" s="175">
        <f>IFERROR(ABS(E2980-'02_대상물건입력'!B11)/'02_대상물건입력'!B11,"")</f>
        <v/>
      </c>
      <c r="S2980" s="152">
        <f>IFERROR(ABS(J2980-'02_대상물건입력'!B10),"")</f>
        <v/>
      </c>
      <c r="T2980" s="152">
        <f>IFERROR(ABS('01_설정'!B4-F2980),"")</f>
        <v/>
      </c>
      <c r="U2980" s="152">
        <f>IFERROR(ABS(K2980-YEAR('02_대상물건입력'!B14)),"")</f>
        <v/>
      </c>
      <c r="V2980" s="152">
        <f>IF(B2980="","",IF(AND(E2980&gt;0,F2980&gt;0,H2980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2980=1,TRUE()),R2980&lt;='01_설정'!B5,S2980&lt;='01_설정'!B6,T2980&lt;='01_설정'!B7,U2980&lt;='01_설정'!B8),"Y",""))</f>
        <v/>
      </c>
      <c r="W2980" s="172">
        <f>IF(V2980&lt;&gt;"Y","",MAX(0,(1-R2980/'01_설정'!B5))*'01_설정'!B14+MAX(0,(1-S2980/'01_설정'!B6))*'01_설정'!B15+MAX(0,(1-T2980/'01_설정'!B7))*'01_설정'!B16+MAX(0,(1-U2980/'01_설정'!B8))*'01_설정'!B17+O2980*'01_설정'!B11+Q2980*'01_설정'!B12+P2980*'01_설정'!B13+IF(Z2980="",0,Z2980))</f>
        <v/>
      </c>
      <c r="X2980" s="152">
        <f>IF(W2980="","",1+COUNTIFS($W$4:$W$3003,"&gt;"&amp;W2980)+COUNTIFS($W$4:W2980,W2980)-1)</f>
        <v/>
      </c>
      <c r="Y2980" s="175">
        <f>IF(OR(I2980="",'02_대상물건입력'!B19="",'02_대상물건입력'!B19&lt;=0),"",ABS(I2980-'02_대상물건입력'!B19)/'02_대상물건입력'!B19)</f>
        <v/>
      </c>
      <c r="Z2980" s="172">
        <f>IF(OR(Y2980="",'01_설정'!B31="",'01_설정'!B31&lt;=0,'01_설정'!B32="",'01_설정'!B32&lt;=0),"",MAX(0,(1-Y2980/'01_설정'!B32))*'01_설정'!B31)</f>
        <v/>
      </c>
    </row>
    <row r="2981" ht="17.25" customHeight="1">
      <c r="A2981" s="152">
        <f>IF(INDEX('04A_국토부원자료'!$A:$A,ROW()+1)="","",ROW()-3)</f>
        <v/>
      </c>
      <c r="B2981" s="48">
        <f>IFERROR(INDEX('04A_국토부원자료'!$A:$T,ROW()+1,MATCH("시군구",'04A_국토부원자료'!$A$4:$T$4,0)),"")</f>
        <v/>
      </c>
      <c r="C2981" s="48">
        <f>IF(B2981="","",IFERROR(INDEX('04A_국토부원자료'!$A:$T,ROW()+1,MATCH("번지",'04A_국토부원자료'!$A$4:$T$4,0)),""))</f>
        <v/>
      </c>
      <c r="D2981" s="48">
        <f>IF(B2981="","",IF(Q2981=1,'02_대상물건입력'!$B$8,IFERROR(INDEX('04A_국토부원자료'!$A:$T,ROW()+1,MATCH("단지명",'04A_국토부원자료'!$A$4:$T$4,0)),"")))</f>
        <v/>
      </c>
      <c r="E2981" s="172">
        <f>IFERROR(VALUE(SUBSTITUTE(INDEX('04A_국토부원자료'!$A:$T,ROW()+1,MATCH("전용면적(㎡)",'04A_국토부원자료'!$A$4:$T$4,0)),",","")),"")</f>
        <v/>
      </c>
      <c r="F298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81" s="51">
        <f>IFERROR(VALUE(SUBSTITUTE(INDEX('04A_국토부원자료'!$A:$T,ROW()+1,MATCH("거래금액(만원)",'04A_국토부원자료'!$A$4:$T$4,0)),",","")),"")</f>
        <v/>
      </c>
      <c r="H2981" s="174">
        <f>IF(G2981="","",G2981*10000)</f>
        <v/>
      </c>
      <c r="I2981" s="174">
        <f>IFERROR(IF(AND(H2981&gt;0,E2981&gt;0),H2981/E2981,""),"")</f>
        <v/>
      </c>
      <c r="J2981" s="152">
        <f>IFERROR(VALUE(SUBSTITUTE(INDEX('04A_국토부원자료'!$A:$T,ROW()+1,MATCH("층",'04A_국토부원자료'!$A$4:$T$4,0)),",","")),"")</f>
        <v/>
      </c>
      <c r="K2981" s="152">
        <f>IFERROR(VALUE(SUBSTITUTE(INDEX('04A_국토부원자료'!$A:$T,ROW()+1,MATCH("건축년도",'04A_국토부원자료'!$A$4:$T$4,0)),",","")),"")</f>
        <v/>
      </c>
      <c r="L2981" s="48">
        <f>IFERROR(INDEX('04A_국토부원자료'!$A:$T,ROW()+1,MATCH("도로명",'04A_국토부원자료'!$A$4:$T$4,0)),"")</f>
        <v/>
      </c>
      <c r="M2981" s="48">
        <f>IFERROR(INDEX('04A_국토부원자료'!$A:$T,ROW()+1,MATCH("거래유형",'04A_국토부원자료'!$A$4:$T$4,0)),"")</f>
        <v/>
      </c>
      <c r="N2981" s="152">
        <f>IF(B2981="","",IF('02_대상물건입력'!B5="",1,IF(ISNUMBER(SEARCH('02_대상물건입력'!B5,B2981)),1,0)))</f>
        <v/>
      </c>
      <c r="O2981" s="152">
        <f>IF(B2981="","",IF('02_대상물건입력'!B6="",1,IF(ISNUMBER(SEARCH('02_대상물건입력'!B6,B2981)),1,0)))</f>
        <v/>
      </c>
      <c r="P2981" s="152">
        <f>IF(L2981="","",IF('02_대상물건입력'!B15="",0,IF(ISNUMBER(SEARCH('02_대상물건입력'!B15,L2981)),1,0)))</f>
        <v/>
      </c>
      <c r="Q2981" s="152">
        <f>IF(OR(C2981="",L2981=""),0,IF(AND(TRIM(C2981)=TRIM(RIGHT(SUBSTITUTE(TRIM('02_대상물건입력'!$B$7)," ",REPT(" ",99)),99)),IF('02_대상물건입력'!B15="",TRUE(),ISNUMBER(SEARCH('02_대상물건입력'!B15,L2981)))),1,0))</f>
        <v/>
      </c>
      <c r="R2981" s="175">
        <f>IFERROR(ABS(E2981-'02_대상물건입력'!B11)/'02_대상물건입력'!B11,"")</f>
        <v/>
      </c>
      <c r="S2981" s="152">
        <f>IFERROR(ABS(J2981-'02_대상물건입력'!B10),"")</f>
        <v/>
      </c>
      <c r="T2981" s="152">
        <f>IFERROR(ABS('01_설정'!B4-F2981),"")</f>
        <v/>
      </c>
      <c r="U2981" s="152">
        <f>IFERROR(ABS(K2981-YEAR('02_대상물건입력'!B14)),"")</f>
        <v/>
      </c>
      <c r="V2981" s="152">
        <f>IF(B2981="","",IF(AND(E2981&gt;0,F2981&gt;0,H2981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2981=1,TRUE()),R2981&lt;='01_설정'!B5,S2981&lt;='01_설정'!B6,T2981&lt;='01_설정'!B7,U2981&lt;='01_설정'!B8),"Y",""))</f>
        <v/>
      </c>
      <c r="W2981" s="172">
        <f>IF(V2981&lt;&gt;"Y","",MAX(0,(1-R2981/'01_설정'!B5))*'01_설정'!B14+MAX(0,(1-S2981/'01_설정'!B6))*'01_설정'!B15+MAX(0,(1-T2981/'01_설정'!B7))*'01_설정'!B16+MAX(0,(1-U2981/'01_설정'!B8))*'01_설정'!B17+O2981*'01_설정'!B11+Q2981*'01_설정'!B12+P2981*'01_설정'!B13+IF(Z2981="",0,Z2981))</f>
        <v/>
      </c>
      <c r="X2981" s="152">
        <f>IF(W2981="","",1+COUNTIFS($W$4:$W$3003,"&gt;"&amp;W2981)+COUNTIFS($W$4:W2981,W2981)-1)</f>
        <v/>
      </c>
      <c r="Y2981" s="175">
        <f>IF(OR(I2981="",'02_대상물건입력'!B19="",'02_대상물건입력'!B19&lt;=0),"",ABS(I2981-'02_대상물건입력'!B19)/'02_대상물건입력'!B19)</f>
        <v/>
      </c>
      <c r="Z2981" s="172">
        <f>IF(OR(Y2981="",'01_설정'!B31="",'01_설정'!B31&lt;=0,'01_설정'!B32="",'01_설정'!B32&lt;=0),"",MAX(0,(1-Y2981/'01_설정'!B32))*'01_설정'!B31)</f>
        <v/>
      </c>
    </row>
    <row r="2982" ht="17.25" customHeight="1">
      <c r="A2982" s="152">
        <f>IF(INDEX('04A_국토부원자료'!$A:$A,ROW()+1)="","",ROW()-3)</f>
        <v/>
      </c>
      <c r="B2982" s="48">
        <f>IFERROR(INDEX('04A_국토부원자료'!$A:$T,ROW()+1,MATCH("시군구",'04A_국토부원자료'!$A$4:$T$4,0)),"")</f>
        <v/>
      </c>
      <c r="C2982" s="48">
        <f>IF(B2982="","",IFERROR(INDEX('04A_국토부원자료'!$A:$T,ROW()+1,MATCH("번지",'04A_국토부원자료'!$A$4:$T$4,0)),""))</f>
        <v/>
      </c>
      <c r="D2982" s="48">
        <f>IF(B2982="","",IF(Q2982=1,'02_대상물건입력'!$B$8,IFERROR(INDEX('04A_국토부원자료'!$A:$T,ROW()+1,MATCH("단지명",'04A_국토부원자료'!$A$4:$T$4,0)),"")))</f>
        <v/>
      </c>
      <c r="E2982" s="172">
        <f>IFERROR(VALUE(SUBSTITUTE(INDEX('04A_국토부원자료'!$A:$T,ROW()+1,MATCH("전용면적(㎡)",'04A_국토부원자료'!$A$4:$T$4,0)),",","")),"")</f>
        <v/>
      </c>
      <c r="F298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82" s="51">
        <f>IFERROR(VALUE(SUBSTITUTE(INDEX('04A_국토부원자료'!$A:$T,ROW()+1,MATCH("거래금액(만원)",'04A_국토부원자료'!$A$4:$T$4,0)),",","")),"")</f>
        <v/>
      </c>
      <c r="H2982" s="174">
        <f>IF(G2982="","",G2982*10000)</f>
        <v/>
      </c>
      <c r="I2982" s="174">
        <f>IFERROR(IF(AND(H2982&gt;0,E2982&gt;0),H2982/E2982,""),"")</f>
        <v/>
      </c>
      <c r="J2982" s="152">
        <f>IFERROR(VALUE(SUBSTITUTE(INDEX('04A_국토부원자료'!$A:$T,ROW()+1,MATCH("층",'04A_국토부원자료'!$A$4:$T$4,0)),",","")),"")</f>
        <v/>
      </c>
      <c r="K2982" s="152">
        <f>IFERROR(VALUE(SUBSTITUTE(INDEX('04A_국토부원자료'!$A:$T,ROW()+1,MATCH("건축년도",'04A_국토부원자료'!$A$4:$T$4,0)),",","")),"")</f>
        <v/>
      </c>
      <c r="L2982" s="48">
        <f>IFERROR(INDEX('04A_국토부원자료'!$A:$T,ROW()+1,MATCH("도로명",'04A_국토부원자료'!$A$4:$T$4,0)),"")</f>
        <v/>
      </c>
      <c r="M2982" s="48">
        <f>IFERROR(INDEX('04A_국토부원자료'!$A:$T,ROW()+1,MATCH("거래유형",'04A_국토부원자료'!$A$4:$T$4,0)),"")</f>
        <v/>
      </c>
      <c r="N2982" s="152">
        <f>IF(B2982="","",IF('02_대상물건입력'!B5="",1,IF(ISNUMBER(SEARCH('02_대상물건입력'!B5,B2982)),1,0)))</f>
        <v/>
      </c>
      <c r="O2982" s="152">
        <f>IF(B2982="","",IF('02_대상물건입력'!B6="",1,IF(ISNUMBER(SEARCH('02_대상물건입력'!B6,B2982)),1,0)))</f>
        <v/>
      </c>
      <c r="P2982" s="152">
        <f>IF(L2982="","",IF('02_대상물건입력'!B15="",0,IF(ISNUMBER(SEARCH('02_대상물건입력'!B15,L2982)),1,0)))</f>
        <v/>
      </c>
      <c r="Q2982" s="152">
        <f>IF(OR(C2982="",L2982=""),0,IF(AND(TRIM(C2982)=TRIM(RIGHT(SUBSTITUTE(TRIM('02_대상물건입력'!$B$7)," ",REPT(" ",99)),99)),IF('02_대상물건입력'!B15="",TRUE(),ISNUMBER(SEARCH('02_대상물건입력'!B15,L2982)))),1,0))</f>
        <v/>
      </c>
      <c r="R2982" s="175">
        <f>IFERROR(ABS(E2982-'02_대상물건입력'!B11)/'02_대상물건입력'!B11,"")</f>
        <v/>
      </c>
      <c r="S2982" s="152">
        <f>IFERROR(ABS(J2982-'02_대상물건입력'!B10),"")</f>
        <v/>
      </c>
      <c r="T2982" s="152">
        <f>IFERROR(ABS('01_설정'!B4-F2982),"")</f>
        <v/>
      </c>
      <c r="U2982" s="152">
        <f>IFERROR(ABS(K2982-YEAR('02_대상물건입력'!B14)),"")</f>
        <v/>
      </c>
      <c r="V2982" s="152">
        <f>IF(B2982="","",IF(AND(E2982&gt;0,F2982&gt;0,H2982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2982=1,TRUE()),R2982&lt;='01_설정'!B5,S2982&lt;='01_설정'!B6,T2982&lt;='01_설정'!B7,U2982&lt;='01_설정'!B8),"Y",""))</f>
        <v/>
      </c>
      <c r="W2982" s="172">
        <f>IF(V2982&lt;&gt;"Y","",MAX(0,(1-R2982/'01_설정'!B5))*'01_설정'!B14+MAX(0,(1-S2982/'01_설정'!B6))*'01_설정'!B15+MAX(0,(1-T2982/'01_설정'!B7))*'01_설정'!B16+MAX(0,(1-U2982/'01_설정'!B8))*'01_설정'!B17+O2982*'01_설정'!B11+Q2982*'01_설정'!B12+P2982*'01_설정'!B13+IF(Z2982="",0,Z2982))</f>
        <v/>
      </c>
      <c r="X2982" s="152">
        <f>IF(W2982="","",1+COUNTIFS($W$4:$W$3003,"&gt;"&amp;W2982)+COUNTIFS($W$4:W2982,W2982)-1)</f>
        <v/>
      </c>
      <c r="Y2982" s="175">
        <f>IF(OR(I2982="",'02_대상물건입력'!B19="",'02_대상물건입력'!B19&lt;=0),"",ABS(I2982-'02_대상물건입력'!B19)/'02_대상물건입력'!B19)</f>
        <v/>
      </c>
      <c r="Z2982" s="172">
        <f>IF(OR(Y2982="",'01_설정'!B31="",'01_설정'!B31&lt;=0,'01_설정'!B32="",'01_설정'!B32&lt;=0),"",MAX(0,(1-Y2982/'01_설정'!B32))*'01_설정'!B31)</f>
        <v/>
      </c>
    </row>
    <row r="2983" ht="17.25" customHeight="1">
      <c r="A2983" s="152">
        <f>IF(INDEX('04A_국토부원자료'!$A:$A,ROW()+1)="","",ROW()-3)</f>
        <v/>
      </c>
      <c r="B2983" s="48">
        <f>IFERROR(INDEX('04A_국토부원자료'!$A:$T,ROW()+1,MATCH("시군구",'04A_국토부원자료'!$A$4:$T$4,0)),"")</f>
        <v/>
      </c>
      <c r="C2983" s="48">
        <f>IF(B2983="","",IFERROR(INDEX('04A_국토부원자료'!$A:$T,ROW()+1,MATCH("번지",'04A_국토부원자료'!$A$4:$T$4,0)),""))</f>
        <v/>
      </c>
      <c r="D2983" s="48">
        <f>IF(B2983="","",IF(Q2983=1,'02_대상물건입력'!$B$8,IFERROR(INDEX('04A_국토부원자료'!$A:$T,ROW()+1,MATCH("단지명",'04A_국토부원자료'!$A$4:$T$4,0)),"")))</f>
        <v/>
      </c>
      <c r="E2983" s="172">
        <f>IFERROR(VALUE(SUBSTITUTE(INDEX('04A_국토부원자료'!$A:$T,ROW()+1,MATCH("전용면적(㎡)",'04A_국토부원자료'!$A$4:$T$4,0)),",","")),"")</f>
        <v/>
      </c>
      <c r="F298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83" s="51">
        <f>IFERROR(VALUE(SUBSTITUTE(INDEX('04A_국토부원자료'!$A:$T,ROW()+1,MATCH("거래금액(만원)",'04A_국토부원자료'!$A$4:$T$4,0)),",","")),"")</f>
        <v/>
      </c>
      <c r="H2983" s="174">
        <f>IF(G2983="","",G2983*10000)</f>
        <v/>
      </c>
      <c r="I2983" s="174">
        <f>IFERROR(IF(AND(H2983&gt;0,E2983&gt;0),H2983/E2983,""),"")</f>
        <v/>
      </c>
      <c r="J2983" s="152">
        <f>IFERROR(VALUE(SUBSTITUTE(INDEX('04A_국토부원자료'!$A:$T,ROW()+1,MATCH("층",'04A_국토부원자료'!$A$4:$T$4,0)),",","")),"")</f>
        <v/>
      </c>
      <c r="K2983" s="152">
        <f>IFERROR(VALUE(SUBSTITUTE(INDEX('04A_국토부원자료'!$A:$T,ROW()+1,MATCH("건축년도",'04A_국토부원자료'!$A$4:$T$4,0)),",","")),"")</f>
        <v/>
      </c>
      <c r="L2983" s="48">
        <f>IFERROR(INDEX('04A_국토부원자료'!$A:$T,ROW()+1,MATCH("도로명",'04A_국토부원자료'!$A$4:$T$4,0)),"")</f>
        <v/>
      </c>
      <c r="M2983" s="48">
        <f>IFERROR(INDEX('04A_국토부원자료'!$A:$T,ROW()+1,MATCH("거래유형",'04A_국토부원자료'!$A$4:$T$4,0)),"")</f>
        <v/>
      </c>
      <c r="N2983" s="152">
        <f>IF(B2983="","",IF('02_대상물건입력'!B5="",1,IF(ISNUMBER(SEARCH('02_대상물건입력'!B5,B2983)),1,0)))</f>
        <v/>
      </c>
      <c r="O2983" s="152">
        <f>IF(B2983="","",IF('02_대상물건입력'!B6="",1,IF(ISNUMBER(SEARCH('02_대상물건입력'!B6,B2983)),1,0)))</f>
        <v/>
      </c>
      <c r="P2983" s="152">
        <f>IF(L2983="","",IF('02_대상물건입력'!B15="",0,IF(ISNUMBER(SEARCH('02_대상물건입력'!B15,L2983)),1,0)))</f>
        <v/>
      </c>
      <c r="Q2983" s="152">
        <f>IF(OR(C2983="",L2983=""),0,IF(AND(TRIM(C2983)=TRIM(RIGHT(SUBSTITUTE(TRIM('02_대상물건입력'!$B$7)," ",REPT(" ",99)),99)),IF('02_대상물건입력'!B15="",TRUE(),ISNUMBER(SEARCH('02_대상물건입력'!B15,L2983)))),1,0))</f>
        <v/>
      </c>
      <c r="R2983" s="175">
        <f>IFERROR(ABS(E2983-'02_대상물건입력'!B11)/'02_대상물건입력'!B11,"")</f>
        <v/>
      </c>
      <c r="S2983" s="152">
        <f>IFERROR(ABS(J2983-'02_대상물건입력'!B10),"")</f>
        <v/>
      </c>
      <c r="T2983" s="152">
        <f>IFERROR(ABS('01_설정'!B4-F2983),"")</f>
        <v/>
      </c>
      <c r="U2983" s="152">
        <f>IFERROR(ABS(K2983-YEAR('02_대상물건입력'!B14)),"")</f>
        <v/>
      </c>
      <c r="V2983" s="152">
        <f>IF(B2983="","",IF(AND(E2983&gt;0,F2983&gt;0,H2983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2983=1,TRUE()),R2983&lt;='01_설정'!B5,S2983&lt;='01_설정'!B6,T2983&lt;='01_설정'!B7,U2983&lt;='01_설정'!B8),"Y",""))</f>
        <v/>
      </c>
      <c r="W2983" s="172">
        <f>IF(V2983&lt;&gt;"Y","",MAX(0,(1-R2983/'01_설정'!B5))*'01_설정'!B14+MAX(0,(1-S2983/'01_설정'!B6))*'01_설정'!B15+MAX(0,(1-T2983/'01_설정'!B7))*'01_설정'!B16+MAX(0,(1-U2983/'01_설정'!B8))*'01_설정'!B17+O2983*'01_설정'!B11+Q2983*'01_설정'!B12+P2983*'01_설정'!B13+IF(Z2983="",0,Z2983))</f>
        <v/>
      </c>
      <c r="X2983" s="152">
        <f>IF(W2983="","",1+COUNTIFS($W$4:$W$3003,"&gt;"&amp;W2983)+COUNTIFS($W$4:W2983,W2983)-1)</f>
        <v/>
      </c>
      <c r="Y2983" s="175">
        <f>IF(OR(I2983="",'02_대상물건입력'!B19="",'02_대상물건입력'!B19&lt;=0),"",ABS(I2983-'02_대상물건입력'!B19)/'02_대상물건입력'!B19)</f>
        <v/>
      </c>
      <c r="Z2983" s="172">
        <f>IF(OR(Y2983="",'01_설정'!B31="",'01_설정'!B31&lt;=0,'01_설정'!B32="",'01_설정'!B32&lt;=0),"",MAX(0,(1-Y2983/'01_설정'!B32))*'01_설정'!B31)</f>
        <v/>
      </c>
    </row>
    <row r="2984" ht="17.25" customHeight="1">
      <c r="A2984" s="152">
        <f>IF(INDEX('04A_국토부원자료'!$A:$A,ROW()+1)="","",ROW()-3)</f>
        <v/>
      </c>
      <c r="B2984" s="48">
        <f>IFERROR(INDEX('04A_국토부원자료'!$A:$T,ROW()+1,MATCH("시군구",'04A_국토부원자료'!$A$4:$T$4,0)),"")</f>
        <v/>
      </c>
      <c r="C2984" s="48">
        <f>IF(B2984="","",IFERROR(INDEX('04A_국토부원자료'!$A:$T,ROW()+1,MATCH("번지",'04A_국토부원자료'!$A$4:$T$4,0)),""))</f>
        <v/>
      </c>
      <c r="D2984" s="48">
        <f>IF(B2984="","",IF(Q2984=1,'02_대상물건입력'!$B$8,IFERROR(INDEX('04A_국토부원자료'!$A:$T,ROW()+1,MATCH("단지명",'04A_국토부원자료'!$A$4:$T$4,0)),"")))</f>
        <v/>
      </c>
      <c r="E2984" s="172">
        <f>IFERROR(VALUE(SUBSTITUTE(INDEX('04A_국토부원자료'!$A:$T,ROW()+1,MATCH("전용면적(㎡)",'04A_국토부원자료'!$A$4:$T$4,0)),",","")),"")</f>
        <v/>
      </c>
      <c r="F298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84" s="51">
        <f>IFERROR(VALUE(SUBSTITUTE(INDEX('04A_국토부원자료'!$A:$T,ROW()+1,MATCH("거래금액(만원)",'04A_국토부원자료'!$A$4:$T$4,0)),",","")),"")</f>
        <v/>
      </c>
      <c r="H2984" s="174">
        <f>IF(G2984="","",G2984*10000)</f>
        <v/>
      </c>
      <c r="I2984" s="174">
        <f>IFERROR(IF(AND(H2984&gt;0,E2984&gt;0),H2984/E2984,""),"")</f>
        <v/>
      </c>
      <c r="J2984" s="152">
        <f>IFERROR(VALUE(SUBSTITUTE(INDEX('04A_국토부원자료'!$A:$T,ROW()+1,MATCH("층",'04A_국토부원자료'!$A$4:$T$4,0)),",","")),"")</f>
        <v/>
      </c>
      <c r="K2984" s="152">
        <f>IFERROR(VALUE(SUBSTITUTE(INDEX('04A_국토부원자료'!$A:$T,ROW()+1,MATCH("건축년도",'04A_국토부원자료'!$A$4:$T$4,0)),",","")),"")</f>
        <v/>
      </c>
      <c r="L2984" s="48">
        <f>IFERROR(INDEX('04A_국토부원자료'!$A:$T,ROW()+1,MATCH("도로명",'04A_국토부원자료'!$A$4:$T$4,0)),"")</f>
        <v/>
      </c>
      <c r="M2984" s="48">
        <f>IFERROR(INDEX('04A_국토부원자료'!$A:$T,ROW()+1,MATCH("거래유형",'04A_국토부원자료'!$A$4:$T$4,0)),"")</f>
        <v/>
      </c>
      <c r="N2984" s="152">
        <f>IF(B2984="","",IF('02_대상물건입력'!B5="",1,IF(ISNUMBER(SEARCH('02_대상물건입력'!B5,B2984)),1,0)))</f>
        <v/>
      </c>
      <c r="O2984" s="152">
        <f>IF(B2984="","",IF('02_대상물건입력'!B6="",1,IF(ISNUMBER(SEARCH('02_대상물건입력'!B6,B2984)),1,0)))</f>
        <v/>
      </c>
      <c r="P2984" s="152">
        <f>IF(L2984="","",IF('02_대상물건입력'!B15="",0,IF(ISNUMBER(SEARCH('02_대상물건입력'!B15,L2984)),1,0)))</f>
        <v/>
      </c>
      <c r="Q2984" s="152">
        <f>IF(OR(C2984="",L2984=""),0,IF(AND(TRIM(C2984)=TRIM(RIGHT(SUBSTITUTE(TRIM('02_대상물건입력'!$B$7)," ",REPT(" ",99)),99)),IF('02_대상물건입력'!B15="",TRUE(),ISNUMBER(SEARCH('02_대상물건입력'!B15,L2984)))),1,0))</f>
        <v/>
      </c>
      <c r="R2984" s="175">
        <f>IFERROR(ABS(E2984-'02_대상물건입력'!B11)/'02_대상물건입력'!B11,"")</f>
        <v/>
      </c>
      <c r="S2984" s="152">
        <f>IFERROR(ABS(J2984-'02_대상물건입력'!B10),"")</f>
        <v/>
      </c>
      <c r="T2984" s="152">
        <f>IFERROR(ABS('01_설정'!B4-F2984),"")</f>
        <v/>
      </c>
      <c r="U2984" s="152">
        <f>IFERROR(ABS(K2984-YEAR('02_대상물건입력'!B14)),"")</f>
        <v/>
      </c>
      <c r="V2984" s="152">
        <f>IF(B2984="","",IF(AND(E2984&gt;0,F2984&gt;0,H2984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2984=1,TRUE()),R2984&lt;='01_설정'!B5,S2984&lt;='01_설정'!B6,T2984&lt;='01_설정'!B7,U2984&lt;='01_설정'!B8),"Y",""))</f>
        <v/>
      </c>
      <c r="W2984" s="172">
        <f>IF(V2984&lt;&gt;"Y","",MAX(0,(1-R2984/'01_설정'!B5))*'01_설정'!B14+MAX(0,(1-S2984/'01_설정'!B6))*'01_설정'!B15+MAX(0,(1-T2984/'01_설정'!B7))*'01_설정'!B16+MAX(0,(1-U2984/'01_설정'!B8))*'01_설정'!B17+O2984*'01_설정'!B11+Q2984*'01_설정'!B12+P2984*'01_설정'!B13+IF(Z2984="",0,Z2984))</f>
        <v/>
      </c>
      <c r="X2984" s="152">
        <f>IF(W2984="","",1+COUNTIFS($W$4:$W$3003,"&gt;"&amp;W2984)+COUNTIFS($W$4:W2984,W2984)-1)</f>
        <v/>
      </c>
      <c r="Y2984" s="175">
        <f>IF(OR(I2984="",'02_대상물건입력'!B19="",'02_대상물건입력'!B19&lt;=0),"",ABS(I2984-'02_대상물건입력'!B19)/'02_대상물건입력'!B19)</f>
        <v/>
      </c>
      <c r="Z2984" s="172">
        <f>IF(OR(Y2984="",'01_설정'!B31="",'01_설정'!B31&lt;=0,'01_설정'!B32="",'01_설정'!B32&lt;=0),"",MAX(0,(1-Y2984/'01_설정'!B32))*'01_설정'!B31)</f>
        <v/>
      </c>
    </row>
    <row r="2985" ht="17.25" customHeight="1">
      <c r="A2985" s="152">
        <f>IF(INDEX('04A_국토부원자료'!$A:$A,ROW()+1)="","",ROW()-3)</f>
        <v/>
      </c>
      <c r="B2985" s="48">
        <f>IFERROR(INDEX('04A_국토부원자료'!$A:$T,ROW()+1,MATCH("시군구",'04A_국토부원자료'!$A$4:$T$4,0)),"")</f>
        <v/>
      </c>
      <c r="C2985" s="48">
        <f>IF(B2985="","",IFERROR(INDEX('04A_국토부원자료'!$A:$T,ROW()+1,MATCH("번지",'04A_국토부원자료'!$A$4:$T$4,0)),""))</f>
        <v/>
      </c>
      <c r="D2985" s="48">
        <f>IF(B2985="","",IF(Q2985=1,'02_대상물건입력'!$B$8,IFERROR(INDEX('04A_국토부원자료'!$A:$T,ROW()+1,MATCH("단지명",'04A_국토부원자료'!$A$4:$T$4,0)),"")))</f>
        <v/>
      </c>
      <c r="E2985" s="172">
        <f>IFERROR(VALUE(SUBSTITUTE(INDEX('04A_국토부원자료'!$A:$T,ROW()+1,MATCH("전용면적(㎡)",'04A_국토부원자료'!$A$4:$T$4,0)),",","")),"")</f>
        <v/>
      </c>
      <c r="F298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85" s="51">
        <f>IFERROR(VALUE(SUBSTITUTE(INDEX('04A_국토부원자료'!$A:$T,ROW()+1,MATCH("거래금액(만원)",'04A_국토부원자료'!$A$4:$T$4,0)),",","")),"")</f>
        <v/>
      </c>
      <c r="H2985" s="174">
        <f>IF(G2985="","",G2985*10000)</f>
        <v/>
      </c>
      <c r="I2985" s="174">
        <f>IFERROR(IF(AND(H2985&gt;0,E2985&gt;0),H2985/E2985,""),"")</f>
        <v/>
      </c>
      <c r="J2985" s="152">
        <f>IFERROR(VALUE(SUBSTITUTE(INDEX('04A_국토부원자료'!$A:$T,ROW()+1,MATCH("층",'04A_국토부원자료'!$A$4:$T$4,0)),",","")),"")</f>
        <v/>
      </c>
      <c r="K2985" s="152">
        <f>IFERROR(VALUE(SUBSTITUTE(INDEX('04A_국토부원자료'!$A:$T,ROW()+1,MATCH("건축년도",'04A_국토부원자료'!$A$4:$T$4,0)),",","")),"")</f>
        <v/>
      </c>
      <c r="L2985" s="48">
        <f>IFERROR(INDEX('04A_국토부원자료'!$A:$T,ROW()+1,MATCH("도로명",'04A_국토부원자료'!$A$4:$T$4,0)),"")</f>
        <v/>
      </c>
      <c r="M2985" s="48">
        <f>IFERROR(INDEX('04A_국토부원자료'!$A:$T,ROW()+1,MATCH("거래유형",'04A_국토부원자료'!$A$4:$T$4,0)),"")</f>
        <v/>
      </c>
      <c r="N2985" s="152">
        <f>IF(B2985="","",IF('02_대상물건입력'!B5="",1,IF(ISNUMBER(SEARCH('02_대상물건입력'!B5,B2985)),1,0)))</f>
        <v/>
      </c>
      <c r="O2985" s="152">
        <f>IF(B2985="","",IF('02_대상물건입력'!B6="",1,IF(ISNUMBER(SEARCH('02_대상물건입력'!B6,B2985)),1,0)))</f>
        <v/>
      </c>
      <c r="P2985" s="152">
        <f>IF(L2985="","",IF('02_대상물건입력'!B15="",0,IF(ISNUMBER(SEARCH('02_대상물건입력'!B15,L2985)),1,0)))</f>
        <v/>
      </c>
      <c r="Q2985" s="152">
        <f>IF(OR(C2985="",L2985=""),0,IF(AND(TRIM(C2985)=TRIM(RIGHT(SUBSTITUTE(TRIM('02_대상물건입력'!$B$7)," ",REPT(" ",99)),99)),IF('02_대상물건입력'!B15="",TRUE(),ISNUMBER(SEARCH('02_대상물건입력'!B15,L2985)))),1,0))</f>
        <v/>
      </c>
      <c r="R2985" s="175">
        <f>IFERROR(ABS(E2985-'02_대상물건입력'!B11)/'02_대상물건입력'!B11,"")</f>
        <v/>
      </c>
      <c r="S2985" s="152">
        <f>IFERROR(ABS(J2985-'02_대상물건입력'!B10),"")</f>
        <v/>
      </c>
      <c r="T2985" s="152">
        <f>IFERROR(ABS('01_설정'!B4-F2985),"")</f>
        <v/>
      </c>
      <c r="U2985" s="152">
        <f>IFERROR(ABS(K2985-YEAR('02_대상물건입력'!B14)),"")</f>
        <v/>
      </c>
      <c r="V2985" s="152">
        <f>IF(B2985="","",IF(AND(E2985&gt;0,F2985&gt;0,H2985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2985=1,TRUE()),R2985&lt;='01_설정'!B5,S2985&lt;='01_설정'!B6,T2985&lt;='01_설정'!B7,U2985&lt;='01_설정'!B8),"Y",""))</f>
        <v/>
      </c>
      <c r="W2985" s="172">
        <f>IF(V2985&lt;&gt;"Y","",MAX(0,(1-R2985/'01_설정'!B5))*'01_설정'!B14+MAX(0,(1-S2985/'01_설정'!B6))*'01_설정'!B15+MAX(0,(1-T2985/'01_설정'!B7))*'01_설정'!B16+MAX(0,(1-U2985/'01_설정'!B8))*'01_설정'!B17+O2985*'01_설정'!B11+Q2985*'01_설정'!B12+P2985*'01_설정'!B13+IF(Z2985="",0,Z2985))</f>
        <v/>
      </c>
      <c r="X2985" s="152">
        <f>IF(W2985="","",1+COUNTIFS($W$4:$W$3003,"&gt;"&amp;W2985)+COUNTIFS($W$4:W2985,W2985)-1)</f>
        <v/>
      </c>
      <c r="Y2985" s="175">
        <f>IF(OR(I2985="",'02_대상물건입력'!B19="",'02_대상물건입력'!B19&lt;=0),"",ABS(I2985-'02_대상물건입력'!B19)/'02_대상물건입력'!B19)</f>
        <v/>
      </c>
      <c r="Z2985" s="172">
        <f>IF(OR(Y2985="",'01_설정'!B31="",'01_설정'!B31&lt;=0,'01_설정'!B32="",'01_설정'!B32&lt;=0),"",MAX(0,(1-Y2985/'01_설정'!B32))*'01_설정'!B31)</f>
        <v/>
      </c>
    </row>
    <row r="2986" ht="17.25" customHeight="1">
      <c r="A2986" s="152">
        <f>IF(INDEX('04A_국토부원자료'!$A:$A,ROW()+1)="","",ROW()-3)</f>
        <v/>
      </c>
      <c r="B2986" s="48">
        <f>IFERROR(INDEX('04A_국토부원자료'!$A:$T,ROW()+1,MATCH("시군구",'04A_국토부원자료'!$A$4:$T$4,0)),"")</f>
        <v/>
      </c>
      <c r="C2986" s="48">
        <f>IF(B2986="","",IFERROR(INDEX('04A_국토부원자료'!$A:$T,ROW()+1,MATCH("번지",'04A_국토부원자료'!$A$4:$T$4,0)),""))</f>
        <v/>
      </c>
      <c r="D2986" s="48">
        <f>IF(B2986="","",IF(Q2986=1,'02_대상물건입력'!$B$8,IFERROR(INDEX('04A_국토부원자료'!$A:$T,ROW()+1,MATCH("단지명",'04A_국토부원자료'!$A$4:$T$4,0)),"")))</f>
        <v/>
      </c>
      <c r="E2986" s="172">
        <f>IFERROR(VALUE(SUBSTITUTE(INDEX('04A_국토부원자료'!$A:$T,ROW()+1,MATCH("전용면적(㎡)",'04A_국토부원자료'!$A$4:$T$4,0)),",","")),"")</f>
        <v/>
      </c>
      <c r="F298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86" s="51">
        <f>IFERROR(VALUE(SUBSTITUTE(INDEX('04A_국토부원자료'!$A:$T,ROW()+1,MATCH("거래금액(만원)",'04A_국토부원자료'!$A$4:$T$4,0)),",","")),"")</f>
        <v/>
      </c>
      <c r="H2986" s="174">
        <f>IF(G2986="","",G2986*10000)</f>
        <v/>
      </c>
      <c r="I2986" s="174">
        <f>IFERROR(IF(AND(H2986&gt;0,E2986&gt;0),H2986/E2986,""),"")</f>
        <v/>
      </c>
      <c r="J2986" s="152">
        <f>IFERROR(VALUE(SUBSTITUTE(INDEX('04A_국토부원자료'!$A:$T,ROW()+1,MATCH("층",'04A_국토부원자료'!$A$4:$T$4,0)),",","")),"")</f>
        <v/>
      </c>
      <c r="K2986" s="152">
        <f>IFERROR(VALUE(SUBSTITUTE(INDEX('04A_국토부원자료'!$A:$T,ROW()+1,MATCH("건축년도",'04A_국토부원자료'!$A$4:$T$4,0)),",","")),"")</f>
        <v/>
      </c>
      <c r="L2986" s="48">
        <f>IFERROR(INDEX('04A_국토부원자료'!$A:$T,ROW()+1,MATCH("도로명",'04A_국토부원자료'!$A$4:$T$4,0)),"")</f>
        <v/>
      </c>
      <c r="M2986" s="48">
        <f>IFERROR(INDEX('04A_국토부원자료'!$A:$T,ROW()+1,MATCH("거래유형",'04A_국토부원자료'!$A$4:$T$4,0)),"")</f>
        <v/>
      </c>
      <c r="N2986" s="152">
        <f>IF(B2986="","",IF('02_대상물건입력'!B5="",1,IF(ISNUMBER(SEARCH('02_대상물건입력'!B5,B2986)),1,0)))</f>
        <v/>
      </c>
      <c r="O2986" s="152">
        <f>IF(B2986="","",IF('02_대상물건입력'!B6="",1,IF(ISNUMBER(SEARCH('02_대상물건입력'!B6,B2986)),1,0)))</f>
        <v/>
      </c>
      <c r="P2986" s="152">
        <f>IF(L2986="","",IF('02_대상물건입력'!B15="",0,IF(ISNUMBER(SEARCH('02_대상물건입력'!B15,L2986)),1,0)))</f>
        <v/>
      </c>
      <c r="Q2986" s="152">
        <f>IF(OR(C2986="",L2986=""),0,IF(AND(TRIM(C2986)=TRIM(RIGHT(SUBSTITUTE(TRIM('02_대상물건입력'!$B$7)," ",REPT(" ",99)),99)),IF('02_대상물건입력'!B15="",TRUE(),ISNUMBER(SEARCH('02_대상물건입력'!B15,L2986)))),1,0))</f>
        <v/>
      </c>
      <c r="R2986" s="175">
        <f>IFERROR(ABS(E2986-'02_대상물건입력'!B11)/'02_대상물건입력'!B11,"")</f>
        <v/>
      </c>
      <c r="S2986" s="152">
        <f>IFERROR(ABS(J2986-'02_대상물건입력'!B10),"")</f>
        <v/>
      </c>
      <c r="T2986" s="152">
        <f>IFERROR(ABS('01_설정'!B4-F2986),"")</f>
        <v/>
      </c>
      <c r="U2986" s="152">
        <f>IFERROR(ABS(K2986-YEAR('02_대상물건입력'!B14)),"")</f>
        <v/>
      </c>
      <c r="V2986" s="152">
        <f>IF(B2986="","",IF(AND(E2986&gt;0,F2986&gt;0,H2986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2986=1,TRUE()),R2986&lt;='01_설정'!B5,S2986&lt;='01_설정'!B6,T2986&lt;='01_설정'!B7,U2986&lt;='01_설정'!B8),"Y",""))</f>
        <v/>
      </c>
      <c r="W2986" s="172">
        <f>IF(V2986&lt;&gt;"Y","",MAX(0,(1-R2986/'01_설정'!B5))*'01_설정'!B14+MAX(0,(1-S2986/'01_설정'!B6))*'01_설정'!B15+MAX(0,(1-T2986/'01_설정'!B7))*'01_설정'!B16+MAX(0,(1-U2986/'01_설정'!B8))*'01_설정'!B17+O2986*'01_설정'!B11+Q2986*'01_설정'!B12+P2986*'01_설정'!B13+IF(Z2986="",0,Z2986))</f>
        <v/>
      </c>
      <c r="X2986" s="152">
        <f>IF(W2986="","",1+COUNTIFS($W$4:$W$3003,"&gt;"&amp;W2986)+COUNTIFS($W$4:W2986,W2986)-1)</f>
        <v/>
      </c>
      <c r="Y2986" s="175">
        <f>IF(OR(I2986="",'02_대상물건입력'!B19="",'02_대상물건입력'!B19&lt;=0),"",ABS(I2986-'02_대상물건입력'!B19)/'02_대상물건입력'!B19)</f>
        <v/>
      </c>
      <c r="Z2986" s="172">
        <f>IF(OR(Y2986="",'01_설정'!B31="",'01_설정'!B31&lt;=0,'01_설정'!B32="",'01_설정'!B32&lt;=0),"",MAX(0,(1-Y2986/'01_설정'!B32))*'01_설정'!B31)</f>
        <v/>
      </c>
    </row>
    <row r="2987" ht="17.25" customHeight="1">
      <c r="A2987" s="152">
        <f>IF(INDEX('04A_국토부원자료'!$A:$A,ROW()+1)="","",ROW()-3)</f>
        <v/>
      </c>
      <c r="B2987" s="48">
        <f>IFERROR(INDEX('04A_국토부원자료'!$A:$T,ROW()+1,MATCH("시군구",'04A_국토부원자료'!$A$4:$T$4,0)),"")</f>
        <v/>
      </c>
      <c r="C2987" s="48">
        <f>IF(B2987="","",IFERROR(INDEX('04A_국토부원자료'!$A:$T,ROW()+1,MATCH("번지",'04A_국토부원자료'!$A$4:$T$4,0)),""))</f>
        <v/>
      </c>
      <c r="D2987" s="48">
        <f>IF(B2987="","",IF(Q2987=1,'02_대상물건입력'!$B$8,IFERROR(INDEX('04A_국토부원자료'!$A:$T,ROW()+1,MATCH("단지명",'04A_국토부원자료'!$A$4:$T$4,0)),"")))</f>
        <v/>
      </c>
      <c r="E2987" s="172">
        <f>IFERROR(VALUE(SUBSTITUTE(INDEX('04A_국토부원자료'!$A:$T,ROW()+1,MATCH("전용면적(㎡)",'04A_국토부원자료'!$A$4:$T$4,0)),",","")),"")</f>
        <v/>
      </c>
      <c r="F298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87" s="51">
        <f>IFERROR(VALUE(SUBSTITUTE(INDEX('04A_국토부원자료'!$A:$T,ROW()+1,MATCH("거래금액(만원)",'04A_국토부원자료'!$A$4:$T$4,0)),",","")),"")</f>
        <v/>
      </c>
      <c r="H2987" s="174">
        <f>IF(G2987="","",G2987*10000)</f>
        <v/>
      </c>
      <c r="I2987" s="174">
        <f>IFERROR(IF(AND(H2987&gt;0,E2987&gt;0),H2987/E2987,""),"")</f>
        <v/>
      </c>
      <c r="J2987" s="152">
        <f>IFERROR(VALUE(SUBSTITUTE(INDEX('04A_국토부원자료'!$A:$T,ROW()+1,MATCH("층",'04A_국토부원자료'!$A$4:$T$4,0)),",","")),"")</f>
        <v/>
      </c>
      <c r="K2987" s="152">
        <f>IFERROR(VALUE(SUBSTITUTE(INDEX('04A_국토부원자료'!$A:$T,ROW()+1,MATCH("건축년도",'04A_국토부원자료'!$A$4:$T$4,0)),",","")),"")</f>
        <v/>
      </c>
      <c r="L2987" s="48">
        <f>IFERROR(INDEX('04A_국토부원자료'!$A:$T,ROW()+1,MATCH("도로명",'04A_국토부원자료'!$A$4:$T$4,0)),"")</f>
        <v/>
      </c>
      <c r="M2987" s="48">
        <f>IFERROR(INDEX('04A_국토부원자료'!$A:$T,ROW()+1,MATCH("거래유형",'04A_국토부원자료'!$A$4:$T$4,0)),"")</f>
        <v/>
      </c>
      <c r="N2987" s="152">
        <f>IF(B2987="","",IF('02_대상물건입력'!B5="",1,IF(ISNUMBER(SEARCH('02_대상물건입력'!B5,B2987)),1,0)))</f>
        <v/>
      </c>
      <c r="O2987" s="152">
        <f>IF(B2987="","",IF('02_대상물건입력'!B6="",1,IF(ISNUMBER(SEARCH('02_대상물건입력'!B6,B2987)),1,0)))</f>
        <v/>
      </c>
      <c r="P2987" s="152">
        <f>IF(L2987="","",IF('02_대상물건입력'!B15="",0,IF(ISNUMBER(SEARCH('02_대상물건입력'!B15,L2987)),1,0)))</f>
        <v/>
      </c>
      <c r="Q2987" s="152">
        <f>IF(OR(C2987="",L2987=""),0,IF(AND(TRIM(C2987)=TRIM(RIGHT(SUBSTITUTE(TRIM('02_대상물건입력'!$B$7)," ",REPT(" ",99)),99)),IF('02_대상물건입력'!B15="",TRUE(),ISNUMBER(SEARCH('02_대상물건입력'!B15,L2987)))),1,0))</f>
        <v/>
      </c>
      <c r="R2987" s="175">
        <f>IFERROR(ABS(E2987-'02_대상물건입력'!B11)/'02_대상물건입력'!B11,"")</f>
        <v/>
      </c>
      <c r="S2987" s="152">
        <f>IFERROR(ABS(J2987-'02_대상물건입력'!B10),"")</f>
        <v/>
      </c>
      <c r="T2987" s="152">
        <f>IFERROR(ABS('01_설정'!B4-F2987),"")</f>
        <v/>
      </c>
      <c r="U2987" s="152">
        <f>IFERROR(ABS(K2987-YEAR('02_대상물건입력'!B14)),"")</f>
        <v/>
      </c>
      <c r="V2987" s="152">
        <f>IF(B2987="","",IF(AND(E2987&gt;0,F2987&gt;0,H2987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2987=1,TRUE()),R2987&lt;='01_설정'!B5,S2987&lt;='01_설정'!B6,T2987&lt;='01_설정'!B7,U2987&lt;='01_설정'!B8),"Y",""))</f>
        <v/>
      </c>
      <c r="W2987" s="172">
        <f>IF(V2987&lt;&gt;"Y","",MAX(0,(1-R2987/'01_설정'!B5))*'01_설정'!B14+MAX(0,(1-S2987/'01_설정'!B6))*'01_설정'!B15+MAX(0,(1-T2987/'01_설정'!B7))*'01_설정'!B16+MAX(0,(1-U2987/'01_설정'!B8))*'01_설정'!B17+O2987*'01_설정'!B11+Q2987*'01_설정'!B12+P2987*'01_설정'!B13+IF(Z2987="",0,Z2987))</f>
        <v/>
      </c>
      <c r="X2987" s="152">
        <f>IF(W2987="","",1+COUNTIFS($W$4:$W$3003,"&gt;"&amp;W2987)+COUNTIFS($W$4:W2987,W2987)-1)</f>
        <v/>
      </c>
      <c r="Y2987" s="175">
        <f>IF(OR(I2987="",'02_대상물건입력'!B19="",'02_대상물건입력'!B19&lt;=0),"",ABS(I2987-'02_대상물건입력'!B19)/'02_대상물건입력'!B19)</f>
        <v/>
      </c>
      <c r="Z2987" s="172">
        <f>IF(OR(Y2987="",'01_설정'!B31="",'01_설정'!B31&lt;=0,'01_설정'!B32="",'01_설정'!B32&lt;=0),"",MAX(0,(1-Y2987/'01_설정'!B32))*'01_설정'!B31)</f>
        <v/>
      </c>
    </row>
    <row r="2988" ht="17.25" customHeight="1">
      <c r="A2988" s="152">
        <f>IF(INDEX('04A_국토부원자료'!$A:$A,ROW()+1)="","",ROW()-3)</f>
        <v/>
      </c>
      <c r="B2988" s="48">
        <f>IFERROR(INDEX('04A_국토부원자료'!$A:$T,ROW()+1,MATCH("시군구",'04A_국토부원자료'!$A$4:$T$4,0)),"")</f>
        <v/>
      </c>
      <c r="C2988" s="48">
        <f>IF(B2988="","",IFERROR(INDEX('04A_국토부원자료'!$A:$T,ROW()+1,MATCH("번지",'04A_국토부원자료'!$A$4:$T$4,0)),""))</f>
        <v/>
      </c>
      <c r="D2988" s="48">
        <f>IF(B2988="","",IF(Q2988=1,'02_대상물건입력'!$B$8,IFERROR(INDEX('04A_국토부원자료'!$A:$T,ROW()+1,MATCH("단지명",'04A_국토부원자료'!$A$4:$T$4,0)),"")))</f>
        <v/>
      </c>
      <c r="E2988" s="172">
        <f>IFERROR(VALUE(SUBSTITUTE(INDEX('04A_국토부원자료'!$A:$T,ROW()+1,MATCH("전용면적(㎡)",'04A_국토부원자료'!$A$4:$T$4,0)),",","")),"")</f>
        <v/>
      </c>
      <c r="F298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88" s="51">
        <f>IFERROR(VALUE(SUBSTITUTE(INDEX('04A_국토부원자료'!$A:$T,ROW()+1,MATCH("거래금액(만원)",'04A_국토부원자료'!$A$4:$T$4,0)),",","")),"")</f>
        <v/>
      </c>
      <c r="H2988" s="174">
        <f>IF(G2988="","",G2988*10000)</f>
        <v/>
      </c>
      <c r="I2988" s="174">
        <f>IFERROR(IF(AND(H2988&gt;0,E2988&gt;0),H2988/E2988,""),"")</f>
        <v/>
      </c>
      <c r="J2988" s="152">
        <f>IFERROR(VALUE(SUBSTITUTE(INDEX('04A_국토부원자료'!$A:$T,ROW()+1,MATCH("층",'04A_국토부원자료'!$A$4:$T$4,0)),",","")),"")</f>
        <v/>
      </c>
      <c r="K2988" s="152">
        <f>IFERROR(VALUE(SUBSTITUTE(INDEX('04A_국토부원자료'!$A:$T,ROW()+1,MATCH("건축년도",'04A_국토부원자료'!$A$4:$T$4,0)),",","")),"")</f>
        <v/>
      </c>
      <c r="L2988" s="48">
        <f>IFERROR(INDEX('04A_국토부원자료'!$A:$T,ROW()+1,MATCH("도로명",'04A_국토부원자료'!$A$4:$T$4,0)),"")</f>
        <v/>
      </c>
      <c r="M2988" s="48">
        <f>IFERROR(INDEX('04A_국토부원자료'!$A:$T,ROW()+1,MATCH("거래유형",'04A_국토부원자료'!$A$4:$T$4,0)),"")</f>
        <v/>
      </c>
      <c r="N2988" s="152">
        <f>IF(B2988="","",IF('02_대상물건입력'!B5="",1,IF(ISNUMBER(SEARCH('02_대상물건입력'!B5,B2988)),1,0)))</f>
        <v/>
      </c>
      <c r="O2988" s="152">
        <f>IF(B2988="","",IF('02_대상물건입력'!B6="",1,IF(ISNUMBER(SEARCH('02_대상물건입력'!B6,B2988)),1,0)))</f>
        <v/>
      </c>
      <c r="P2988" s="152">
        <f>IF(L2988="","",IF('02_대상물건입력'!B15="",0,IF(ISNUMBER(SEARCH('02_대상물건입력'!B15,L2988)),1,0)))</f>
        <v/>
      </c>
      <c r="Q2988" s="152">
        <f>IF(OR(C2988="",L2988=""),0,IF(AND(TRIM(C2988)=TRIM(RIGHT(SUBSTITUTE(TRIM('02_대상물건입력'!$B$7)," ",REPT(" ",99)),99)),IF('02_대상물건입력'!B15="",TRUE(),ISNUMBER(SEARCH('02_대상물건입력'!B15,L2988)))),1,0))</f>
        <v/>
      </c>
      <c r="R2988" s="175">
        <f>IFERROR(ABS(E2988-'02_대상물건입력'!B11)/'02_대상물건입력'!B11,"")</f>
        <v/>
      </c>
      <c r="S2988" s="152">
        <f>IFERROR(ABS(J2988-'02_대상물건입력'!B10),"")</f>
        <v/>
      </c>
      <c r="T2988" s="152">
        <f>IFERROR(ABS('01_설정'!B4-F2988),"")</f>
        <v/>
      </c>
      <c r="U2988" s="152">
        <f>IFERROR(ABS(K2988-YEAR('02_대상물건입력'!B14)),"")</f>
        <v/>
      </c>
      <c r="V2988" s="152">
        <f>IF(B2988="","",IF(AND(E2988&gt;0,F2988&gt;0,H2988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2988=1,TRUE()),R2988&lt;='01_설정'!B5,S2988&lt;='01_설정'!B6,T2988&lt;='01_설정'!B7,U2988&lt;='01_설정'!B8),"Y",""))</f>
        <v/>
      </c>
      <c r="W2988" s="172">
        <f>IF(V2988&lt;&gt;"Y","",MAX(0,(1-R2988/'01_설정'!B5))*'01_설정'!B14+MAX(0,(1-S2988/'01_설정'!B6))*'01_설정'!B15+MAX(0,(1-T2988/'01_설정'!B7))*'01_설정'!B16+MAX(0,(1-U2988/'01_설정'!B8))*'01_설정'!B17+O2988*'01_설정'!B11+Q2988*'01_설정'!B12+P2988*'01_설정'!B13+IF(Z2988="",0,Z2988))</f>
        <v/>
      </c>
      <c r="X2988" s="152">
        <f>IF(W2988="","",1+COUNTIFS($W$4:$W$3003,"&gt;"&amp;W2988)+COUNTIFS($W$4:W2988,W2988)-1)</f>
        <v/>
      </c>
      <c r="Y2988" s="175">
        <f>IF(OR(I2988="",'02_대상물건입력'!B19="",'02_대상물건입력'!B19&lt;=0),"",ABS(I2988-'02_대상물건입력'!B19)/'02_대상물건입력'!B19)</f>
        <v/>
      </c>
      <c r="Z2988" s="172">
        <f>IF(OR(Y2988="",'01_설정'!B31="",'01_설정'!B31&lt;=0,'01_설정'!B32="",'01_설정'!B32&lt;=0),"",MAX(0,(1-Y2988/'01_설정'!B32))*'01_설정'!B31)</f>
        <v/>
      </c>
    </row>
    <row r="2989" ht="17.25" customHeight="1">
      <c r="A2989" s="152">
        <f>IF(INDEX('04A_국토부원자료'!$A:$A,ROW()+1)="","",ROW()-3)</f>
        <v/>
      </c>
      <c r="B2989" s="48">
        <f>IFERROR(INDEX('04A_국토부원자료'!$A:$T,ROW()+1,MATCH("시군구",'04A_국토부원자료'!$A$4:$T$4,0)),"")</f>
        <v/>
      </c>
      <c r="C2989" s="48">
        <f>IF(B2989="","",IFERROR(INDEX('04A_국토부원자료'!$A:$T,ROW()+1,MATCH("번지",'04A_국토부원자료'!$A$4:$T$4,0)),""))</f>
        <v/>
      </c>
      <c r="D2989" s="48">
        <f>IF(B2989="","",IF(Q2989=1,'02_대상물건입력'!$B$8,IFERROR(INDEX('04A_국토부원자료'!$A:$T,ROW()+1,MATCH("단지명",'04A_국토부원자료'!$A$4:$T$4,0)),"")))</f>
        <v/>
      </c>
      <c r="E2989" s="172">
        <f>IFERROR(VALUE(SUBSTITUTE(INDEX('04A_국토부원자료'!$A:$T,ROW()+1,MATCH("전용면적(㎡)",'04A_국토부원자료'!$A$4:$T$4,0)),",","")),"")</f>
        <v/>
      </c>
      <c r="F298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89" s="51">
        <f>IFERROR(VALUE(SUBSTITUTE(INDEX('04A_국토부원자료'!$A:$T,ROW()+1,MATCH("거래금액(만원)",'04A_국토부원자료'!$A$4:$T$4,0)),",","")),"")</f>
        <v/>
      </c>
      <c r="H2989" s="174">
        <f>IF(G2989="","",G2989*10000)</f>
        <v/>
      </c>
      <c r="I2989" s="174">
        <f>IFERROR(IF(AND(H2989&gt;0,E2989&gt;0),H2989/E2989,""),"")</f>
        <v/>
      </c>
      <c r="J2989" s="152">
        <f>IFERROR(VALUE(SUBSTITUTE(INDEX('04A_국토부원자료'!$A:$T,ROW()+1,MATCH("층",'04A_국토부원자료'!$A$4:$T$4,0)),",","")),"")</f>
        <v/>
      </c>
      <c r="K2989" s="152">
        <f>IFERROR(VALUE(SUBSTITUTE(INDEX('04A_국토부원자료'!$A:$T,ROW()+1,MATCH("건축년도",'04A_국토부원자료'!$A$4:$T$4,0)),",","")),"")</f>
        <v/>
      </c>
      <c r="L2989" s="48">
        <f>IFERROR(INDEX('04A_국토부원자료'!$A:$T,ROW()+1,MATCH("도로명",'04A_국토부원자료'!$A$4:$T$4,0)),"")</f>
        <v/>
      </c>
      <c r="M2989" s="48">
        <f>IFERROR(INDEX('04A_국토부원자료'!$A:$T,ROW()+1,MATCH("거래유형",'04A_국토부원자료'!$A$4:$T$4,0)),"")</f>
        <v/>
      </c>
      <c r="N2989" s="152">
        <f>IF(B2989="","",IF('02_대상물건입력'!B5="",1,IF(ISNUMBER(SEARCH('02_대상물건입력'!B5,B2989)),1,0)))</f>
        <v/>
      </c>
      <c r="O2989" s="152">
        <f>IF(B2989="","",IF('02_대상물건입력'!B6="",1,IF(ISNUMBER(SEARCH('02_대상물건입력'!B6,B2989)),1,0)))</f>
        <v/>
      </c>
      <c r="P2989" s="152">
        <f>IF(L2989="","",IF('02_대상물건입력'!B15="",0,IF(ISNUMBER(SEARCH('02_대상물건입력'!B15,L2989)),1,0)))</f>
        <v/>
      </c>
      <c r="Q2989" s="152">
        <f>IF(OR(C2989="",L2989=""),0,IF(AND(TRIM(C2989)=TRIM(RIGHT(SUBSTITUTE(TRIM('02_대상물건입력'!$B$7)," ",REPT(" ",99)),99)),IF('02_대상물건입력'!B15="",TRUE(),ISNUMBER(SEARCH('02_대상물건입력'!B15,L2989)))),1,0))</f>
        <v/>
      </c>
      <c r="R2989" s="175">
        <f>IFERROR(ABS(E2989-'02_대상물건입력'!B11)/'02_대상물건입력'!B11,"")</f>
        <v/>
      </c>
      <c r="S2989" s="152">
        <f>IFERROR(ABS(J2989-'02_대상물건입력'!B10),"")</f>
        <v/>
      </c>
      <c r="T2989" s="152">
        <f>IFERROR(ABS('01_설정'!B4-F2989),"")</f>
        <v/>
      </c>
      <c r="U2989" s="152">
        <f>IFERROR(ABS(K2989-YEAR('02_대상물건입력'!B14)),"")</f>
        <v/>
      </c>
      <c r="V2989" s="152">
        <f>IF(B2989="","",IF(AND(E2989&gt;0,F2989&gt;0,H2989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2989=1,TRUE()),R2989&lt;='01_설정'!B5,S2989&lt;='01_설정'!B6,T2989&lt;='01_설정'!B7,U2989&lt;='01_설정'!B8),"Y",""))</f>
        <v/>
      </c>
      <c r="W2989" s="172">
        <f>IF(V2989&lt;&gt;"Y","",MAX(0,(1-R2989/'01_설정'!B5))*'01_설정'!B14+MAX(0,(1-S2989/'01_설정'!B6))*'01_설정'!B15+MAX(0,(1-T2989/'01_설정'!B7))*'01_설정'!B16+MAX(0,(1-U2989/'01_설정'!B8))*'01_설정'!B17+O2989*'01_설정'!B11+Q2989*'01_설정'!B12+P2989*'01_설정'!B13+IF(Z2989="",0,Z2989))</f>
        <v/>
      </c>
      <c r="X2989" s="152">
        <f>IF(W2989="","",1+COUNTIFS($W$4:$W$3003,"&gt;"&amp;W2989)+COUNTIFS($W$4:W2989,W2989)-1)</f>
        <v/>
      </c>
      <c r="Y2989" s="175">
        <f>IF(OR(I2989="",'02_대상물건입력'!B19="",'02_대상물건입력'!B19&lt;=0),"",ABS(I2989-'02_대상물건입력'!B19)/'02_대상물건입력'!B19)</f>
        <v/>
      </c>
      <c r="Z2989" s="172">
        <f>IF(OR(Y2989="",'01_설정'!B31="",'01_설정'!B31&lt;=0,'01_설정'!B32="",'01_설정'!B32&lt;=0),"",MAX(0,(1-Y2989/'01_설정'!B32))*'01_설정'!B31)</f>
        <v/>
      </c>
    </row>
    <row r="2990" ht="17.25" customHeight="1">
      <c r="A2990" s="152">
        <f>IF(INDEX('04A_국토부원자료'!$A:$A,ROW()+1)="","",ROW()-3)</f>
        <v/>
      </c>
      <c r="B2990" s="48">
        <f>IFERROR(INDEX('04A_국토부원자료'!$A:$T,ROW()+1,MATCH("시군구",'04A_국토부원자료'!$A$4:$T$4,0)),"")</f>
        <v/>
      </c>
      <c r="C2990" s="48">
        <f>IF(B2990="","",IFERROR(INDEX('04A_국토부원자료'!$A:$T,ROW()+1,MATCH("번지",'04A_국토부원자료'!$A$4:$T$4,0)),""))</f>
        <v/>
      </c>
      <c r="D2990" s="48">
        <f>IF(B2990="","",IF(Q2990=1,'02_대상물건입력'!$B$8,IFERROR(INDEX('04A_국토부원자료'!$A:$T,ROW()+1,MATCH("단지명",'04A_국토부원자료'!$A$4:$T$4,0)),"")))</f>
        <v/>
      </c>
      <c r="E2990" s="172">
        <f>IFERROR(VALUE(SUBSTITUTE(INDEX('04A_국토부원자료'!$A:$T,ROW()+1,MATCH("전용면적(㎡)",'04A_국토부원자료'!$A$4:$T$4,0)),",","")),"")</f>
        <v/>
      </c>
      <c r="F299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90" s="51">
        <f>IFERROR(VALUE(SUBSTITUTE(INDEX('04A_국토부원자료'!$A:$T,ROW()+1,MATCH("거래금액(만원)",'04A_국토부원자료'!$A$4:$T$4,0)),",","")),"")</f>
        <v/>
      </c>
      <c r="H2990" s="174">
        <f>IF(G2990="","",G2990*10000)</f>
        <v/>
      </c>
      <c r="I2990" s="174">
        <f>IFERROR(IF(AND(H2990&gt;0,E2990&gt;0),H2990/E2990,""),"")</f>
        <v/>
      </c>
      <c r="J2990" s="152">
        <f>IFERROR(VALUE(SUBSTITUTE(INDEX('04A_국토부원자료'!$A:$T,ROW()+1,MATCH("층",'04A_국토부원자료'!$A$4:$T$4,0)),",","")),"")</f>
        <v/>
      </c>
      <c r="K2990" s="152">
        <f>IFERROR(VALUE(SUBSTITUTE(INDEX('04A_국토부원자료'!$A:$T,ROW()+1,MATCH("건축년도",'04A_국토부원자료'!$A$4:$T$4,0)),",","")),"")</f>
        <v/>
      </c>
      <c r="L2990" s="48">
        <f>IFERROR(INDEX('04A_국토부원자료'!$A:$T,ROW()+1,MATCH("도로명",'04A_국토부원자료'!$A$4:$T$4,0)),"")</f>
        <v/>
      </c>
      <c r="M2990" s="48">
        <f>IFERROR(INDEX('04A_국토부원자료'!$A:$T,ROW()+1,MATCH("거래유형",'04A_국토부원자료'!$A$4:$T$4,0)),"")</f>
        <v/>
      </c>
      <c r="N2990" s="152">
        <f>IF(B2990="","",IF('02_대상물건입력'!B5="",1,IF(ISNUMBER(SEARCH('02_대상물건입력'!B5,B2990)),1,0)))</f>
        <v/>
      </c>
      <c r="O2990" s="152">
        <f>IF(B2990="","",IF('02_대상물건입력'!B6="",1,IF(ISNUMBER(SEARCH('02_대상물건입력'!B6,B2990)),1,0)))</f>
        <v/>
      </c>
      <c r="P2990" s="152">
        <f>IF(L2990="","",IF('02_대상물건입력'!B15="",0,IF(ISNUMBER(SEARCH('02_대상물건입력'!B15,L2990)),1,0)))</f>
        <v/>
      </c>
      <c r="Q2990" s="152">
        <f>IF(OR(C2990="",L2990=""),0,IF(AND(TRIM(C2990)=TRIM(RIGHT(SUBSTITUTE(TRIM('02_대상물건입력'!$B$7)," ",REPT(" ",99)),99)),IF('02_대상물건입력'!B15="",TRUE(),ISNUMBER(SEARCH('02_대상물건입력'!B15,L2990)))),1,0))</f>
        <v/>
      </c>
      <c r="R2990" s="175">
        <f>IFERROR(ABS(E2990-'02_대상물건입력'!B11)/'02_대상물건입력'!B11,"")</f>
        <v/>
      </c>
      <c r="S2990" s="152">
        <f>IFERROR(ABS(J2990-'02_대상물건입력'!B10),"")</f>
        <v/>
      </c>
      <c r="T2990" s="152">
        <f>IFERROR(ABS('01_설정'!B4-F2990),"")</f>
        <v/>
      </c>
      <c r="U2990" s="152">
        <f>IFERROR(ABS(K2990-YEAR('02_대상물건입력'!B14)),"")</f>
        <v/>
      </c>
      <c r="V2990" s="152">
        <f>IF(B2990="","",IF(AND(E2990&gt;0,F2990&gt;0,H2990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2990=1,TRUE()),R2990&lt;='01_설정'!B5,S2990&lt;='01_설정'!B6,T2990&lt;='01_설정'!B7,U2990&lt;='01_설정'!B8),"Y",""))</f>
        <v/>
      </c>
      <c r="W2990" s="172">
        <f>IF(V2990&lt;&gt;"Y","",MAX(0,(1-R2990/'01_설정'!B5))*'01_설정'!B14+MAX(0,(1-S2990/'01_설정'!B6))*'01_설정'!B15+MAX(0,(1-T2990/'01_설정'!B7))*'01_설정'!B16+MAX(0,(1-U2990/'01_설정'!B8))*'01_설정'!B17+O2990*'01_설정'!B11+Q2990*'01_설정'!B12+P2990*'01_설정'!B13+IF(Z2990="",0,Z2990))</f>
        <v/>
      </c>
      <c r="X2990" s="152">
        <f>IF(W2990="","",1+COUNTIFS($W$4:$W$3003,"&gt;"&amp;W2990)+COUNTIFS($W$4:W2990,W2990)-1)</f>
        <v/>
      </c>
      <c r="Y2990" s="175">
        <f>IF(OR(I2990="",'02_대상물건입력'!B19="",'02_대상물건입력'!B19&lt;=0),"",ABS(I2990-'02_대상물건입력'!B19)/'02_대상물건입력'!B19)</f>
        <v/>
      </c>
      <c r="Z2990" s="172">
        <f>IF(OR(Y2990="",'01_설정'!B31="",'01_설정'!B31&lt;=0,'01_설정'!B32="",'01_설정'!B32&lt;=0),"",MAX(0,(1-Y2990/'01_설정'!B32))*'01_설정'!B31)</f>
        <v/>
      </c>
    </row>
    <row r="2991" ht="17.25" customHeight="1">
      <c r="A2991" s="152">
        <f>IF(INDEX('04A_국토부원자료'!$A:$A,ROW()+1)="","",ROW()-3)</f>
        <v/>
      </c>
      <c r="B2991" s="48">
        <f>IFERROR(INDEX('04A_국토부원자료'!$A:$T,ROW()+1,MATCH("시군구",'04A_국토부원자료'!$A$4:$T$4,0)),"")</f>
        <v/>
      </c>
      <c r="C2991" s="48">
        <f>IF(B2991="","",IFERROR(INDEX('04A_국토부원자료'!$A:$T,ROW()+1,MATCH("번지",'04A_국토부원자료'!$A$4:$T$4,0)),""))</f>
        <v/>
      </c>
      <c r="D2991" s="48">
        <f>IF(B2991="","",IF(Q2991=1,'02_대상물건입력'!$B$8,IFERROR(INDEX('04A_국토부원자료'!$A:$T,ROW()+1,MATCH("단지명",'04A_국토부원자료'!$A$4:$T$4,0)),"")))</f>
        <v/>
      </c>
      <c r="E2991" s="172">
        <f>IFERROR(VALUE(SUBSTITUTE(INDEX('04A_국토부원자료'!$A:$T,ROW()+1,MATCH("전용면적(㎡)",'04A_국토부원자료'!$A$4:$T$4,0)),",","")),"")</f>
        <v/>
      </c>
      <c r="F299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91" s="51">
        <f>IFERROR(VALUE(SUBSTITUTE(INDEX('04A_국토부원자료'!$A:$T,ROW()+1,MATCH("거래금액(만원)",'04A_국토부원자료'!$A$4:$T$4,0)),",","")),"")</f>
        <v/>
      </c>
      <c r="H2991" s="174">
        <f>IF(G2991="","",G2991*10000)</f>
        <v/>
      </c>
      <c r="I2991" s="174">
        <f>IFERROR(IF(AND(H2991&gt;0,E2991&gt;0),H2991/E2991,""),"")</f>
        <v/>
      </c>
      <c r="J2991" s="152">
        <f>IFERROR(VALUE(SUBSTITUTE(INDEX('04A_국토부원자료'!$A:$T,ROW()+1,MATCH("층",'04A_국토부원자료'!$A$4:$T$4,0)),",","")),"")</f>
        <v/>
      </c>
      <c r="K2991" s="152">
        <f>IFERROR(VALUE(SUBSTITUTE(INDEX('04A_국토부원자료'!$A:$T,ROW()+1,MATCH("건축년도",'04A_국토부원자료'!$A$4:$T$4,0)),",","")),"")</f>
        <v/>
      </c>
      <c r="L2991" s="48">
        <f>IFERROR(INDEX('04A_국토부원자료'!$A:$T,ROW()+1,MATCH("도로명",'04A_국토부원자료'!$A$4:$T$4,0)),"")</f>
        <v/>
      </c>
      <c r="M2991" s="48">
        <f>IFERROR(INDEX('04A_국토부원자료'!$A:$T,ROW()+1,MATCH("거래유형",'04A_국토부원자료'!$A$4:$T$4,0)),"")</f>
        <v/>
      </c>
      <c r="N2991" s="152">
        <f>IF(B2991="","",IF('02_대상물건입력'!B5="",1,IF(ISNUMBER(SEARCH('02_대상물건입력'!B5,B2991)),1,0)))</f>
        <v/>
      </c>
      <c r="O2991" s="152">
        <f>IF(B2991="","",IF('02_대상물건입력'!B6="",1,IF(ISNUMBER(SEARCH('02_대상물건입력'!B6,B2991)),1,0)))</f>
        <v/>
      </c>
      <c r="P2991" s="152">
        <f>IF(L2991="","",IF('02_대상물건입력'!B15="",0,IF(ISNUMBER(SEARCH('02_대상물건입력'!B15,L2991)),1,0)))</f>
        <v/>
      </c>
      <c r="Q2991" s="152">
        <f>IF(OR(C2991="",L2991=""),0,IF(AND(TRIM(C2991)=TRIM(RIGHT(SUBSTITUTE(TRIM('02_대상물건입력'!$B$7)," ",REPT(" ",99)),99)),IF('02_대상물건입력'!B15="",TRUE(),ISNUMBER(SEARCH('02_대상물건입력'!B15,L2991)))),1,0))</f>
        <v/>
      </c>
      <c r="R2991" s="175">
        <f>IFERROR(ABS(E2991-'02_대상물건입력'!B11)/'02_대상물건입력'!B11,"")</f>
        <v/>
      </c>
      <c r="S2991" s="152">
        <f>IFERROR(ABS(J2991-'02_대상물건입력'!B10),"")</f>
        <v/>
      </c>
      <c r="T2991" s="152">
        <f>IFERROR(ABS('01_설정'!B4-F2991),"")</f>
        <v/>
      </c>
      <c r="U2991" s="152">
        <f>IFERROR(ABS(K2991-YEAR('02_대상물건입력'!B14)),"")</f>
        <v/>
      </c>
      <c r="V2991" s="152">
        <f>IF(B2991="","",IF(AND(E2991&gt;0,F2991&gt;0,H2991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2991=1,TRUE()),R2991&lt;='01_설정'!B5,S2991&lt;='01_설정'!B6,T2991&lt;='01_설정'!B7,U2991&lt;='01_설정'!B8),"Y",""))</f>
        <v/>
      </c>
      <c r="W2991" s="172">
        <f>IF(V2991&lt;&gt;"Y","",MAX(0,(1-R2991/'01_설정'!B5))*'01_설정'!B14+MAX(0,(1-S2991/'01_설정'!B6))*'01_설정'!B15+MAX(0,(1-T2991/'01_설정'!B7))*'01_설정'!B16+MAX(0,(1-U2991/'01_설정'!B8))*'01_설정'!B17+O2991*'01_설정'!B11+Q2991*'01_설정'!B12+P2991*'01_설정'!B13+IF(Z2991="",0,Z2991))</f>
        <v/>
      </c>
      <c r="X2991" s="152">
        <f>IF(W2991="","",1+COUNTIFS($W$4:$W$3003,"&gt;"&amp;W2991)+COUNTIFS($W$4:W2991,W2991)-1)</f>
        <v/>
      </c>
      <c r="Y2991" s="175">
        <f>IF(OR(I2991="",'02_대상물건입력'!B19="",'02_대상물건입력'!B19&lt;=0),"",ABS(I2991-'02_대상물건입력'!B19)/'02_대상물건입력'!B19)</f>
        <v/>
      </c>
      <c r="Z2991" s="172">
        <f>IF(OR(Y2991="",'01_설정'!B31="",'01_설정'!B31&lt;=0,'01_설정'!B32="",'01_설정'!B32&lt;=0),"",MAX(0,(1-Y2991/'01_설정'!B32))*'01_설정'!B31)</f>
        <v/>
      </c>
    </row>
    <row r="2992" ht="17.25" customHeight="1">
      <c r="A2992" s="152">
        <f>IF(INDEX('04A_국토부원자료'!$A:$A,ROW()+1)="","",ROW()-3)</f>
        <v/>
      </c>
      <c r="B2992" s="48">
        <f>IFERROR(INDEX('04A_국토부원자료'!$A:$T,ROW()+1,MATCH("시군구",'04A_국토부원자료'!$A$4:$T$4,0)),"")</f>
        <v/>
      </c>
      <c r="C2992" s="48">
        <f>IF(B2992="","",IFERROR(INDEX('04A_국토부원자료'!$A:$T,ROW()+1,MATCH("번지",'04A_국토부원자료'!$A$4:$T$4,0)),""))</f>
        <v/>
      </c>
      <c r="D2992" s="48">
        <f>IF(B2992="","",IF(Q2992=1,'02_대상물건입력'!$B$8,IFERROR(INDEX('04A_국토부원자료'!$A:$T,ROW()+1,MATCH("단지명",'04A_국토부원자료'!$A$4:$T$4,0)),"")))</f>
        <v/>
      </c>
      <c r="E2992" s="172">
        <f>IFERROR(VALUE(SUBSTITUTE(INDEX('04A_국토부원자료'!$A:$T,ROW()+1,MATCH("전용면적(㎡)",'04A_국토부원자료'!$A$4:$T$4,0)),",","")),"")</f>
        <v/>
      </c>
      <c r="F299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92" s="51">
        <f>IFERROR(VALUE(SUBSTITUTE(INDEX('04A_국토부원자료'!$A:$T,ROW()+1,MATCH("거래금액(만원)",'04A_국토부원자료'!$A$4:$T$4,0)),",","")),"")</f>
        <v/>
      </c>
      <c r="H2992" s="174">
        <f>IF(G2992="","",G2992*10000)</f>
        <v/>
      </c>
      <c r="I2992" s="174">
        <f>IFERROR(IF(AND(H2992&gt;0,E2992&gt;0),H2992/E2992,""),"")</f>
        <v/>
      </c>
      <c r="J2992" s="152">
        <f>IFERROR(VALUE(SUBSTITUTE(INDEX('04A_국토부원자료'!$A:$T,ROW()+1,MATCH("층",'04A_국토부원자료'!$A$4:$T$4,0)),",","")),"")</f>
        <v/>
      </c>
      <c r="K2992" s="152">
        <f>IFERROR(VALUE(SUBSTITUTE(INDEX('04A_국토부원자료'!$A:$T,ROW()+1,MATCH("건축년도",'04A_국토부원자료'!$A$4:$T$4,0)),",","")),"")</f>
        <v/>
      </c>
      <c r="L2992" s="48">
        <f>IFERROR(INDEX('04A_국토부원자료'!$A:$T,ROW()+1,MATCH("도로명",'04A_국토부원자료'!$A$4:$T$4,0)),"")</f>
        <v/>
      </c>
      <c r="M2992" s="48">
        <f>IFERROR(INDEX('04A_국토부원자료'!$A:$T,ROW()+1,MATCH("거래유형",'04A_국토부원자료'!$A$4:$T$4,0)),"")</f>
        <v/>
      </c>
      <c r="N2992" s="152">
        <f>IF(B2992="","",IF('02_대상물건입력'!B5="",1,IF(ISNUMBER(SEARCH('02_대상물건입력'!B5,B2992)),1,0)))</f>
        <v/>
      </c>
      <c r="O2992" s="152">
        <f>IF(B2992="","",IF('02_대상물건입력'!B6="",1,IF(ISNUMBER(SEARCH('02_대상물건입력'!B6,B2992)),1,0)))</f>
        <v/>
      </c>
      <c r="P2992" s="152">
        <f>IF(L2992="","",IF('02_대상물건입력'!B15="",0,IF(ISNUMBER(SEARCH('02_대상물건입력'!B15,L2992)),1,0)))</f>
        <v/>
      </c>
      <c r="Q2992" s="152">
        <f>IF(OR(C2992="",L2992=""),0,IF(AND(TRIM(C2992)=TRIM(RIGHT(SUBSTITUTE(TRIM('02_대상물건입력'!$B$7)," ",REPT(" ",99)),99)),IF('02_대상물건입력'!B15="",TRUE(),ISNUMBER(SEARCH('02_대상물건입력'!B15,L2992)))),1,0))</f>
        <v/>
      </c>
      <c r="R2992" s="175">
        <f>IFERROR(ABS(E2992-'02_대상물건입력'!B11)/'02_대상물건입력'!B11,"")</f>
        <v/>
      </c>
      <c r="S2992" s="152">
        <f>IFERROR(ABS(J2992-'02_대상물건입력'!B10),"")</f>
        <v/>
      </c>
      <c r="T2992" s="152">
        <f>IFERROR(ABS('01_설정'!B4-F2992),"")</f>
        <v/>
      </c>
      <c r="U2992" s="152">
        <f>IFERROR(ABS(K2992-YEAR('02_대상물건입력'!B14)),"")</f>
        <v/>
      </c>
      <c r="V2992" s="152">
        <f>IF(B2992="","",IF(AND(E2992&gt;0,F2992&gt;0,H2992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2992=1,TRUE()),R2992&lt;='01_설정'!B5,S2992&lt;='01_설정'!B6,T2992&lt;='01_설정'!B7,U2992&lt;='01_설정'!B8),"Y",""))</f>
        <v/>
      </c>
      <c r="W2992" s="172">
        <f>IF(V2992&lt;&gt;"Y","",MAX(0,(1-R2992/'01_설정'!B5))*'01_설정'!B14+MAX(0,(1-S2992/'01_설정'!B6))*'01_설정'!B15+MAX(0,(1-T2992/'01_설정'!B7))*'01_설정'!B16+MAX(0,(1-U2992/'01_설정'!B8))*'01_설정'!B17+O2992*'01_설정'!B11+Q2992*'01_설정'!B12+P2992*'01_설정'!B13+IF(Z2992="",0,Z2992))</f>
        <v/>
      </c>
      <c r="X2992" s="152">
        <f>IF(W2992="","",1+COUNTIFS($W$4:$W$3003,"&gt;"&amp;W2992)+COUNTIFS($W$4:W2992,W2992)-1)</f>
        <v/>
      </c>
      <c r="Y2992" s="175">
        <f>IF(OR(I2992="",'02_대상물건입력'!B19="",'02_대상물건입력'!B19&lt;=0),"",ABS(I2992-'02_대상물건입력'!B19)/'02_대상물건입력'!B19)</f>
        <v/>
      </c>
      <c r="Z2992" s="172">
        <f>IF(OR(Y2992="",'01_설정'!B31="",'01_설정'!B31&lt;=0,'01_설정'!B32="",'01_설정'!B32&lt;=0),"",MAX(0,(1-Y2992/'01_설정'!B32))*'01_설정'!B31)</f>
        <v/>
      </c>
    </row>
    <row r="2993" ht="17.25" customHeight="1">
      <c r="A2993" s="152">
        <f>IF(INDEX('04A_국토부원자료'!$A:$A,ROW()+1)="","",ROW()-3)</f>
        <v/>
      </c>
      <c r="B2993" s="48">
        <f>IFERROR(INDEX('04A_국토부원자료'!$A:$T,ROW()+1,MATCH("시군구",'04A_국토부원자료'!$A$4:$T$4,0)),"")</f>
        <v/>
      </c>
      <c r="C2993" s="48">
        <f>IF(B2993="","",IFERROR(INDEX('04A_국토부원자료'!$A:$T,ROW()+1,MATCH("번지",'04A_국토부원자료'!$A$4:$T$4,0)),""))</f>
        <v/>
      </c>
      <c r="D2993" s="48">
        <f>IF(B2993="","",IF(Q2993=1,'02_대상물건입력'!$B$8,IFERROR(INDEX('04A_국토부원자료'!$A:$T,ROW()+1,MATCH("단지명",'04A_국토부원자료'!$A$4:$T$4,0)),"")))</f>
        <v/>
      </c>
      <c r="E2993" s="172">
        <f>IFERROR(VALUE(SUBSTITUTE(INDEX('04A_국토부원자료'!$A:$T,ROW()+1,MATCH("전용면적(㎡)",'04A_국토부원자료'!$A$4:$T$4,0)),",","")),"")</f>
        <v/>
      </c>
      <c r="F299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93" s="51">
        <f>IFERROR(VALUE(SUBSTITUTE(INDEX('04A_국토부원자료'!$A:$T,ROW()+1,MATCH("거래금액(만원)",'04A_국토부원자료'!$A$4:$T$4,0)),",","")),"")</f>
        <v/>
      </c>
      <c r="H2993" s="174">
        <f>IF(G2993="","",G2993*10000)</f>
        <v/>
      </c>
      <c r="I2993" s="174">
        <f>IFERROR(IF(AND(H2993&gt;0,E2993&gt;0),H2993/E2993,""),"")</f>
        <v/>
      </c>
      <c r="J2993" s="152">
        <f>IFERROR(VALUE(SUBSTITUTE(INDEX('04A_국토부원자료'!$A:$T,ROW()+1,MATCH("층",'04A_국토부원자료'!$A$4:$T$4,0)),",","")),"")</f>
        <v/>
      </c>
      <c r="K2993" s="152">
        <f>IFERROR(VALUE(SUBSTITUTE(INDEX('04A_국토부원자료'!$A:$T,ROW()+1,MATCH("건축년도",'04A_국토부원자료'!$A$4:$T$4,0)),",","")),"")</f>
        <v/>
      </c>
      <c r="L2993" s="48">
        <f>IFERROR(INDEX('04A_국토부원자료'!$A:$T,ROW()+1,MATCH("도로명",'04A_국토부원자료'!$A$4:$T$4,0)),"")</f>
        <v/>
      </c>
      <c r="M2993" s="48">
        <f>IFERROR(INDEX('04A_국토부원자료'!$A:$T,ROW()+1,MATCH("거래유형",'04A_국토부원자료'!$A$4:$T$4,0)),"")</f>
        <v/>
      </c>
      <c r="N2993" s="152">
        <f>IF(B2993="","",IF('02_대상물건입력'!B5="",1,IF(ISNUMBER(SEARCH('02_대상물건입력'!B5,B2993)),1,0)))</f>
        <v/>
      </c>
      <c r="O2993" s="152">
        <f>IF(B2993="","",IF('02_대상물건입력'!B6="",1,IF(ISNUMBER(SEARCH('02_대상물건입력'!B6,B2993)),1,0)))</f>
        <v/>
      </c>
      <c r="P2993" s="152">
        <f>IF(L2993="","",IF('02_대상물건입력'!B15="",0,IF(ISNUMBER(SEARCH('02_대상물건입력'!B15,L2993)),1,0)))</f>
        <v/>
      </c>
      <c r="Q2993" s="152">
        <f>IF(OR(C2993="",L2993=""),0,IF(AND(TRIM(C2993)=TRIM(RIGHT(SUBSTITUTE(TRIM('02_대상물건입력'!$B$7)," ",REPT(" ",99)),99)),IF('02_대상물건입력'!B15="",TRUE(),ISNUMBER(SEARCH('02_대상물건입력'!B15,L2993)))),1,0))</f>
        <v/>
      </c>
      <c r="R2993" s="175">
        <f>IFERROR(ABS(E2993-'02_대상물건입력'!B11)/'02_대상물건입력'!B11,"")</f>
        <v/>
      </c>
      <c r="S2993" s="152">
        <f>IFERROR(ABS(J2993-'02_대상물건입력'!B10),"")</f>
        <v/>
      </c>
      <c r="T2993" s="152">
        <f>IFERROR(ABS('01_설정'!B4-F2993),"")</f>
        <v/>
      </c>
      <c r="U2993" s="152">
        <f>IFERROR(ABS(K2993-YEAR('02_대상물건입력'!B14)),"")</f>
        <v/>
      </c>
      <c r="V2993" s="152">
        <f>IF(B2993="","",IF(AND(E2993&gt;0,F2993&gt;0,H2993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2993=1,TRUE()),R2993&lt;='01_설정'!B5,S2993&lt;='01_설정'!B6,T2993&lt;='01_설정'!B7,U2993&lt;='01_설정'!B8),"Y",""))</f>
        <v/>
      </c>
      <c r="W2993" s="172">
        <f>IF(V2993&lt;&gt;"Y","",MAX(0,(1-R2993/'01_설정'!B5))*'01_설정'!B14+MAX(0,(1-S2993/'01_설정'!B6))*'01_설정'!B15+MAX(0,(1-T2993/'01_설정'!B7))*'01_설정'!B16+MAX(0,(1-U2993/'01_설정'!B8))*'01_설정'!B17+O2993*'01_설정'!B11+Q2993*'01_설정'!B12+P2993*'01_설정'!B13+IF(Z2993="",0,Z2993))</f>
        <v/>
      </c>
      <c r="X2993" s="152">
        <f>IF(W2993="","",1+COUNTIFS($W$4:$W$3003,"&gt;"&amp;W2993)+COUNTIFS($W$4:W2993,W2993)-1)</f>
        <v/>
      </c>
      <c r="Y2993" s="175">
        <f>IF(OR(I2993="",'02_대상물건입력'!B19="",'02_대상물건입력'!B19&lt;=0),"",ABS(I2993-'02_대상물건입력'!B19)/'02_대상물건입력'!B19)</f>
        <v/>
      </c>
      <c r="Z2993" s="172">
        <f>IF(OR(Y2993="",'01_설정'!B31="",'01_설정'!B31&lt;=0,'01_설정'!B32="",'01_설정'!B32&lt;=0),"",MAX(0,(1-Y2993/'01_설정'!B32))*'01_설정'!B31)</f>
        <v/>
      </c>
    </row>
    <row r="2994" ht="17.25" customHeight="1">
      <c r="A2994" s="152">
        <f>IF(INDEX('04A_국토부원자료'!$A:$A,ROW()+1)="","",ROW()-3)</f>
        <v/>
      </c>
      <c r="B2994" s="48">
        <f>IFERROR(INDEX('04A_국토부원자료'!$A:$T,ROW()+1,MATCH("시군구",'04A_국토부원자료'!$A$4:$T$4,0)),"")</f>
        <v/>
      </c>
      <c r="C2994" s="48">
        <f>IF(B2994="","",IFERROR(INDEX('04A_국토부원자료'!$A:$T,ROW()+1,MATCH("번지",'04A_국토부원자료'!$A$4:$T$4,0)),""))</f>
        <v/>
      </c>
      <c r="D2994" s="48">
        <f>IF(B2994="","",IF(Q2994=1,'02_대상물건입력'!$B$8,IFERROR(INDEX('04A_국토부원자료'!$A:$T,ROW()+1,MATCH("단지명",'04A_국토부원자료'!$A$4:$T$4,0)),"")))</f>
        <v/>
      </c>
      <c r="E2994" s="172">
        <f>IFERROR(VALUE(SUBSTITUTE(INDEX('04A_국토부원자료'!$A:$T,ROW()+1,MATCH("전용면적(㎡)",'04A_국토부원자료'!$A$4:$T$4,0)),",","")),"")</f>
        <v/>
      </c>
      <c r="F2994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94" s="51">
        <f>IFERROR(VALUE(SUBSTITUTE(INDEX('04A_국토부원자료'!$A:$T,ROW()+1,MATCH("거래금액(만원)",'04A_국토부원자료'!$A$4:$T$4,0)),",","")),"")</f>
        <v/>
      </c>
      <c r="H2994" s="174">
        <f>IF(G2994="","",G2994*10000)</f>
        <v/>
      </c>
      <c r="I2994" s="174">
        <f>IFERROR(IF(AND(H2994&gt;0,E2994&gt;0),H2994/E2994,""),"")</f>
        <v/>
      </c>
      <c r="J2994" s="152">
        <f>IFERROR(VALUE(SUBSTITUTE(INDEX('04A_국토부원자료'!$A:$T,ROW()+1,MATCH("층",'04A_국토부원자료'!$A$4:$T$4,0)),",","")),"")</f>
        <v/>
      </c>
      <c r="K2994" s="152">
        <f>IFERROR(VALUE(SUBSTITUTE(INDEX('04A_국토부원자료'!$A:$T,ROW()+1,MATCH("건축년도",'04A_국토부원자료'!$A$4:$T$4,0)),",","")),"")</f>
        <v/>
      </c>
      <c r="L2994" s="48">
        <f>IFERROR(INDEX('04A_국토부원자료'!$A:$T,ROW()+1,MATCH("도로명",'04A_국토부원자료'!$A$4:$T$4,0)),"")</f>
        <v/>
      </c>
      <c r="M2994" s="48">
        <f>IFERROR(INDEX('04A_국토부원자료'!$A:$T,ROW()+1,MATCH("거래유형",'04A_국토부원자료'!$A$4:$T$4,0)),"")</f>
        <v/>
      </c>
      <c r="N2994" s="152">
        <f>IF(B2994="","",IF('02_대상물건입력'!B5="",1,IF(ISNUMBER(SEARCH('02_대상물건입력'!B5,B2994)),1,0)))</f>
        <v/>
      </c>
      <c r="O2994" s="152">
        <f>IF(B2994="","",IF('02_대상물건입력'!B6="",1,IF(ISNUMBER(SEARCH('02_대상물건입력'!B6,B2994)),1,0)))</f>
        <v/>
      </c>
      <c r="P2994" s="152">
        <f>IF(L2994="","",IF('02_대상물건입력'!B15="",0,IF(ISNUMBER(SEARCH('02_대상물건입력'!B15,L2994)),1,0)))</f>
        <v/>
      </c>
      <c r="Q2994" s="152">
        <f>IF(OR(C2994="",L2994=""),0,IF(AND(TRIM(C2994)=TRIM(RIGHT(SUBSTITUTE(TRIM('02_대상물건입력'!$B$7)," ",REPT(" ",99)),99)),IF('02_대상물건입력'!B15="",TRUE(),ISNUMBER(SEARCH('02_대상물건입력'!B15,L2994)))),1,0))</f>
        <v/>
      </c>
      <c r="R2994" s="175">
        <f>IFERROR(ABS(E2994-'02_대상물건입력'!B11)/'02_대상물건입력'!B11,"")</f>
        <v/>
      </c>
      <c r="S2994" s="152">
        <f>IFERROR(ABS(J2994-'02_대상물건입력'!B10),"")</f>
        <v/>
      </c>
      <c r="T2994" s="152">
        <f>IFERROR(ABS('01_설정'!B4-F2994),"")</f>
        <v/>
      </c>
      <c r="U2994" s="152">
        <f>IFERROR(ABS(K2994-YEAR('02_대상물건입력'!B14)),"")</f>
        <v/>
      </c>
      <c r="V2994" s="152">
        <f>IF(B2994="","",IF(AND(E2994&gt;0,F2994&gt;0,H2994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2994=1,TRUE()),R2994&lt;='01_설정'!B5,S2994&lt;='01_설정'!B6,T2994&lt;='01_설정'!B7,U2994&lt;='01_설정'!B8),"Y",""))</f>
        <v/>
      </c>
      <c r="W2994" s="172">
        <f>IF(V2994&lt;&gt;"Y","",MAX(0,(1-R2994/'01_설정'!B5))*'01_설정'!B14+MAX(0,(1-S2994/'01_설정'!B6))*'01_설정'!B15+MAX(0,(1-T2994/'01_설정'!B7))*'01_설정'!B16+MAX(0,(1-U2994/'01_설정'!B8))*'01_설정'!B17+O2994*'01_설정'!B11+Q2994*'01_설정'!B12+P2994*'01_설정'!B13+IF(Z2994="",0,Z2994))</f>
        <v/>
      </c>
      <c r="X2994" s="152">
        <f>IF(W2994="","",1+COUNTIFS($W$4:$W$3003,"&gt;"&amp;W2994)+COUNTIFS($W$4:W2994,W2994)-1)</f>
        <v/>
      </c>
      <c r="Y2994" s="175">
        <f>IF(OR(I2994="",'02_대상물건입력'!B19="",'02_대상물건입력'!B19&lt;=0),"",ABS(I2994-'02_대상물건입력'!B19)/'02_대상물건입력'!B19)</f>
        <v/>
      </c>
      <c r="Z2994" s="172">
        <f>IF(OR(Y2994="",'01_설정'!B31="",'01_설정'!B31&lt;=0,'01_설정'!B32="",'01_설정'!B32&lt;=0),"",MAX(0,(1-Y2994/'01_설정'!B32))*'01_설정'!B31)</f>
        <v/>
      </c>
    </row>
    <row r="2995" ht="17.25" customHeight="1">
      <c r="A2995" s="152">
        <f>IF(INDEX('04A_국토부원자료'!$A:$A,ROW()+1)="","",ROW()-3)</f>
        <v/>
      </c>
      <c r="B2995" s="48">
        <f>IFERROR(INDEX('04A_국토부원자료'!$A:$T,ROW()+1,MATCH("시군구",'04A_국토부원자료'!$A$4:$T$4,0)),"")</f>
        <v/>
      </c>
      <c r="C2995" s="48">
        <f>IF(B2995="","",IFERROR(INDEX('04A_국토부원자료'!$A:$T,ROW()+1,MATCH("번지",'04A_국토부원자료'!$A$4:$T$4,0)),""))</f>
        <v/>
      </c>
      <c r="D2995" s="48">
        <f>IF(B2995="","",IF(Q2995=1,'02_대상물건입력'!$B$8,IFERROR(INDEX('04A_국토부원자료'!$A:$T,ROW()+1,MATCH("단지명",'04A_국토부원자료'!$A$4:$T$4,0)),"")))</f>
        <v/>
      </c>
      <c r="E2995" s="172">
        <f>IFERROR(VALUE(SUBSTITUTE(INDEX('04A_국토부원자료'!$A:$T,ROW()+1,MATCH("전용면적(㎡)",'04A_국토부원자료'!$A$4:$T$4,0)),",","")),"")</f>
        <v/>
      </c>
      <c r="F2995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95" s="51">
        <f>IFERROR(VALUE(SUBSTITUTE(INDEX('04A_국토부원자료'!$A:$T,ROW()+1,MATCH("거래금액(만원)",'04A_국토부원자료'!$A$4:$T$4,0)),",","")),"")</f>
        <v/>
      </c>
      <c r="H2995" s="174">
        <f>IF(G2995="","",G2995*10000)</f>
        <v/>
      </c>
      <c r="I2995" s="174">
        <f>IFERROR(IF(AND(H2995&gt;0,E2995&gt;0),H2995/E2995,""),"")</f>
        <v/>
      </c>
      <c r="J2995" s="152">
        <f>IFERROR(VALUE(SUBSTITUTE(INDEX('04A_국토부원자료'!$A:$T,ROW()+1,MATCH("층",'04A_국토부원자료'!$A$4:$T$4,0)),",","")),"")</f>
        <v/>
      </c>
      <c r="K2995" s="152">
        <f>IFERROR(VALUE(SUBSTITUTE(INDEX('04A_국토부원자료'!$A:$T,ROW()+1,MATCH("건축년도",'04A_국토부원자료'!$A$4:$T$4,0)),",","")),"")</f>
        <v/>
      </c>
      <c r="L2995" s="48">
        <f>IFERROR(INDEX('04A_국토부원자료'!$A:$T,ROW()+1,MATCH("도로명",'04A_국토부원자료'!$A$4:$T$4,0)),"")</f>
        <v/>
      </c>
      <c r="M2995" s="48">
        <f>IFERROR(INDEX('04A_국토부원자료'!$A:$T,ROW()+1,MATCH("거래유형",'04A_국토부원자료'!$A$4:$T$4,0)),"")</f>
        <v/>
      </c>
      <c r="N2995" s="152">
        <f>IF(B2995="","",IF('02_대상물건입력'!B5="",1,IF(ISNUMBER(SEARCH('02_대상물건입력'!B5,B2995)),1,0)))</f>
        <v/>
      </c>
      <c r="O2995" s="152">
        <f>IF(B2995="","",IF('02_대상물건입력'!B6="",1,IF(ISNUMBER(SEARCH('02_대상물건입력'!B6,B2995)),1,0)))</f>
        <v/>
      </c>
      <c r="P2995" s="152">
        <f>IF(L2995="","",IF('02_대상물건입력'!B15="",0,IF(ISNUMBER(SEARCH('02_대상물건입력'!B15,L2995)),1,0)))</f>
        <v/>
      </c>
      <c r="Q2995" s="152">
        <f>IF(OR(C2995="",L2995=""),0,IF(AND(TRIM(C2995)=TRIM(RIGHT(SUBSTITUTE(TRIM('02_대상물건입력'!$B$7)," ",REPT(" ",99)),99)),IF('02_대상물건입력'!B15="",TRUE(),ISNUMBER(SEARCH('02_대상물건입력'!B15,L2995)))),1,0))</f>
        <v/>
      </c>
      <c r="R2995" s="175">
        <f>IFERROR(ABS(E2995-'02_대상물건입력'!B11)/'02_대상물건입력'!B11,"")</f>
        <v/>
      </c>
      <c r="S2995" s="152">
        <f>IFERROR(ABS(J2995-'02_대상물건입력'!B10),"")</f>
        <v/>
      </c>
      <c r="T2995" s="152">
        <f>IFERROR(ABS('01_설정'!B4-F2995),"")</f>
        <v/>
      </c>
      <c r="U2995" s="152">
        <f>IFERROR(ABS(K2995-YEAR('02_대상물건입력'!B14)),"")</f>
        <v/>
      </c>
      <c r="V2995" s="152">
        <f>IF(B2995="","",IF(AND(E2995&gt;0,F2995&gt;0,H2995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2995=1,TRUE()),R2995&lt;='01_설정'!B5,S2995&lt;='01_설정'!B6,T2995&lt;='01_설정'!B7,U2995&lt;='01_설정'!B8),"Y",""))</f>
        <v/>
      </c>
      <c r="W2995" s="172">
        <f>IF(V2995&lt;&gt;"Y","",MAX(0,(1-R2995/'01_설정'!B5))*'01_설정'!B14+MAX(0,(1-S2995/'01_설정'!B6))*'01_설정'!B15+MAX(0,(1-T2995/'01_설정'!B7))*'01_설정'!B16+MAX(0,(1-U2995/'01_설정'!B8))*'01_설정'!B17+O2995*'01_설정'!B11+Q2995*'01_설정'!B12+P2995*'01_설정'!B13+IF(Z2995="",0,Z2995))</f>
        <v/>
      </c>
      <c r="X2995" s="152">
        <f>IF(W2995="","",1+COUNTIFS($W$4:$W$3003,"&gt;"&amp;W2995)+COUNTIFS($W$4:W2995,W2995)-1)</f>
        <v/>
      </c>
      <c r="Y2995" s="175">
        <f>IF(OR(I2995="",'02_대상물건입력'!B19="",'02_대상물건입력'!B19&lt;=0),"",ABS(I2995-'02_대상물건입력'!B19)/'02_대상물건입력'!B19)</f>
        <v/>
      </c>
      <c r="Z2995" s="172">
        <f>IF(OR(Y2995="",'01_설정'!B31="",'01_설정'!B31&lt;=0,'01_설정'!B32="",'01_설정'!B32&lt;=0),"",MAX(0,(1-Y2995/'01_설정'!B32))*'01_설정'!B31)</f>
        <v/>
      </c>
    </row>
    <row r="2996" ht="17.25" customHeight="1">
      <c r="A2996" s="152">
        <f>IF(INDEX('04A_국토부원자료'!$A:$A,ROW()+1)="","",ROW()-3)</f>
        <v/>
      </c>
      <c r="B2996" s="48">
        <f>IFERROR(INDEX('04A_국토부원자료'!$A:$T,ROW()+1,MATCH("시군구",'04A_국토부원자료'!$A$4:$T$4,0)),"")</f>
        <v/>
      </c>
      <c r="C2996" s="48">
        <f>IF(B2996="","",IFERROR(INDEX('04A_국토부원자료'!$A:$T,ROW()+1,MATCH("번지",'04A_국토부원자료'!$A$4:$T$4,0)),""))</f>
        <v/>
      </c>
      <c r="D2996" s="48">
        <f>IF(B2996="","",IF(Q2996=1,'02_대상물건입력'!$B$8,IFERROR(INDEX('04A_국토부원자료'!$A:$T,ROW()+1,MATCH("단지명",'04A_국토부원자료'!$A$4:$T$4,0)),"")))</f>
        <v/>
      </c>
      <c r="E2996" s="172">
        <f>IFERROR(VALUE(SUBSTITUTE(INDEX('04A_국토부원자료'!$A:$T,ROW()+1,MATCH("전용면적(㎡)",'04A_국토부원자료'!$A$4:$T$4,0)),",","")),"")</f>
        <v/>
      </c>
      <c r="F2996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96" s="51">
        <f>IFERROR(VALUE(SUBSTITUTE(INDEX('04A_국토부원자료'!$A:$T,ROW()+1,MATCH("거래금액(만원)",'04A_국토부원자료'!$A$4:$T$4,0)),",","")),"")</f>
        <v/>
      </c>
      <c r="H2996" s="174">
        <f>IF(G2996="","",G2996*10000)</f>
        <v/>
      </c>
      <c r="I2996" s="174">
        <f>IFERROR(IF(AND(H2996&gt;0,E2996&gt;0),H2996/E2996,""),"")</f>
        <v/>
      </c>
      <c r="J2996" s="152">
        <f>IFERROR(VALUE(SUBSTITUTE(INDEX('04A_국토부원자료'!$A:$T,ROW()+1,MATCH("층",'04A_국토부원자료'!$A$4:$T$4,0)),",","")),"")</f>
        <v/>
      </c>
      <c r="K2996" s="152">
        <f>IFERROR(VALUE(SUBSTITUTE(INDEX('04A_국토부원자료'!$A:$T,ROW()+1,MATCH("건축년도",'04A_국토부원자료'!$A$4:$T$4,0)),",","")),"")</f>
        <v/>
      </c>
      <c r="L2996" s="48">
        <f>IFERROR(INDEX('04A_국토부원자료'!$A:$T,ROW()+1,MATCH("도로명",'04A_국토부원자료'!$A$4:$T$4,0)),"")</f>
        <v/>
      </c>
      <c r="M2996" s="48">
        <f>IFERROR(INDEX('04A_국토부원자료'!$A:$T,ROW()+1,MATCH("거래유형",'04A_국토부원자료'!$A$4:$T$4,0)),"")</f>
        <v/>
      </c>
      <c r="N2996" s="152">
        <f>IF(B2996="","",IF('02_대상물건입력'!B5="",1,IF(ISNUMBER(SEARCH('02_대상물건입력'!B5,B2996)),1,0)))</f>
        <v/>
      </c>
      <c r="O2996" s="152">
        <f>IF(B2996="","",IF('02_대상물건입력'!B6="",1,IF(ISNUMBER(SEARCH('02_대상물건입력'!B6,B2996)),1,0)))</f>
        <v/>
      </c>
      <c r="P2996" s="152">
        <f>IF(L2996="","",IF('02_대상물건입력'!B15="",0,IF(ISNUMBER(SEARCH('02_대상물건입력'!B15,L2996)),1,0)))</f>
        <v/>
      </c>
      <c r="Q2996" s="152">
        <f>IF(OR(C2996="",L2996=""),0,IF(AND(TRIM(C2996)=TRIM(RIGHT(SUBSTITUTE(TRIM('02_대상물건입력'!$B$7)," ",REPT(" ",99)),99)),IF('02_대상물건입력'!B15="",TRUE(),ISNUMBER(SEARCH('02_대상물건입력'!B15,L2996)))),1,0))</f>
        <v/>
      </c>
      <c r="R2996" s="175">
        <f>IFERROR(ABS(E2996-'02_대상물건입력'!B11)/'02_대상물건입력'!B11,"")</f>
        <v/>
      </c>
      <c r="S2996" s="152">
        <f>IFERROR(ABS(J2996-'02_대상물건입력'!B10),"")</f>
        <v/>
      </c>
      <c r="T2996" s="152">
        <f>IFERROR(ABS('01_설정'!B4-F2996),"")</f>
        <v/>
      </c>
      <c r="U2996" s="152">
        <f>IFERROR(ABS(K2996-YEAR('02_대상물건입력'!B14)),"")</f>
        <v/>
      </c>
      <c r="V2996" s="152">
        <f>IF(B2996="","",IF(AND(E2996&gt;0,F2996&gt;0,H2996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2996=1,TRUE()),R2996&lt;='01_설정'!B5,S2996&lt;='01_설정'!B6,T2996&lt;='01_설정'!B7,U2996&lt;='01_설정'!B8),"Y",""))</f>
        <v/>
      </c>
      <c r="W2996" s="172">
        <f>IF(V2996&lt;&gt;"Y","",MAX(0,(1-R2996/'01_설정'!B5))*'01_설정'!B14+MAX(0,(1-S2996/'01_설정'!B6))*'01_설정'!B15+MAX(0,(1-T2996/'01_설정'!B7))*'01_설정'!B16+MAX(0,(1-U2996/'01_설정'!B8))*'01_설정'!B17+O2996*'01_설정'!B11+Q2996*'01_설정'!B12+P2996*'01_설정'!B13+IF(Z2996="",0,Z2996))</f>
        <v/>
      </c>
      <c r="X2996" s="152">
        <f>IF(W2996="","",1+COUNTIFS($W$4:$W$3003,"&gt;"&amp;W2996)+COUNTIFS($W$4:W2996,W2996)-1)</f>
        <v/>
      </c>
      <c r="Y2996" s="175">
        <f>IF(OR(I2996="",'02_대상물건입력'!B19="",'02_대상물건입력'!B19&lt;=0),"",ABS(I2996-'02_대상물건입력'!B19)/'02_대상물건입력'!B19)</f>
        <v/>
      </c>
      <c r="Z2996" s="172">
        <f>IF(OR(Y2996="",'01_설정'!B31="",'01_설정'!B31&lt;=0,'01_설정'!B32="",'01_설정'!B32&lt;=0),"",MAX(0,(1-Y2996/'01_설정'!B32))*'01_설정'!B31)</f>
        <v/>
      </c>
    </row>
    <row r="2997" ht="17.25" customHeight="1">
      <c r="A2997" s="152">
        <f>IF(INDEX('04A_국토부원자료'!$A:$A,ROW()+1)="","",ROW()-3)</f>
        <v/>
      </c>
      <c r="B2997" s="48">
        <f>IFERROR(INDEX('04A_국토부원자료'!$A:$T,ROW()+1,MATCH("시군구",'04A_국토부원자료'!$A$4:$T$4,0)),"")</f>
        <v/>
      </c>
      <c r="C2997" s="48">
        <f>IF(B2997="","",IFERROR(INDEX('04A_국토부원자료'!$A:$T,ROW()+1,MATCH("번지",'04A_국토부원자료'!$A$4:$T$4,0)),""))</f>
        <v/>
      </c>
      <c r="D2997" s="48">
        <f>IF(B2997="","",IF(Q2997=1,'02_대상물건입력'!$B$8,IFERROR(INDEX('04A_국토부원자료'!$A:$T,ROW()+1,MATCH("단지명",'04A_국토부원자료'!$A$4:$T$4,0)),"")))</f>
        <v/>
      </c>
      <c r="E2997" s="172">
        <f>IFERROR(VALUE(SUBSTITUTE(INDEX('04A_국토부원자료'!$A:$T,ROW()+1,MATCH("전용면적(㎡)",'04A_국토부원자료'!$A$4:$T$4,0)),",","")),"")</f>
        <v/>
      </c>
      <c r="F2997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97" s="51">
        <f>IFERROR(VALUE(SUBSTITUTE(INDEX('04A_국토부원자료'!$A:$T,ROW()+1,MATCH("거래금액(만원)",'04A_국토부원자료'!$A$4:$T$4,0)),",","")),"")</f>
        <v/>
      </c>
      <c r="H2997" s="174">
        <f>IF(G2997="","",G2997*10000)</f>
        <v/>
      </c>
      <c r="I2997" s="174">
        <f>IFERROR(IF(AND(H2997&gt;0,E2997&gt;0),H2997/E2997,""),"")</f>
        <v/>
      </c>
      <c r="J2997" s="152">
        <f>IFERROR(VALUE(SUBSTITUTE(INDEX('04A_국토부원자료'!$A:$T,ROW()+1,MATCH("층",'04A_국토부원자료'!$A$4:$T$4,0)),",","")),"")</f>
        <v/>
      </c>
      <c r="K2997" s="152">
        <f>IFERROR(VALUE(SUBSTITUTE(INDEX('04A_국토부원자료'!$A:$T,ROW()+1,MATCH("건축년도",'04A_국토부원자료'!$A$4:$T$4,0)),",","")),"")</f>
        <v/>
      </c>
      <c r="L2997" s="48">
        <f>IFERROR(INDEX('04A_국토부원자료'!$A:$T,ROW()+1,MATCH("도로명",'04A_국토부원자료'!$A$4:$T$4,0)),"")</f>
        <v/>
      </c>
      <c r="M2997" s="48">
        <f>IFERROR(INDEX('04A_국토부원자료'!$A:$T,ROW()+1,MATCH("거래유형",'04A_국토부원자료'!$A$4:$T$4,0)),"")</f>
        <v/>
      </c>
      <c r="N2997" s="152">
        <f>IF(B2997="","",IF('02_대상물건입력'!B5="",1,IF(ISNUMBER(SEARCH('02_대상물건입력'!B5,B2997)),1,0)))</f>
        <v/>
      </c>
      <c r="O2997" s="152">
        <f>IF(B2997="","",IF('02_대상물건입력'!B6="",1,IF(ISNUMBER(SEARCH('02_대상물건입력'!B6,B2997)),1,0)))</f>
        <v/>
      </c>
      <c r="P2997" s="152">
        <f>IF(L2997="","",IF('02_대상물건입력'!B15="",0,IF(ISNUMBER(SEARCH('02_대상물건입력'!B15,L2997)),1,0)))</f>
        <v/>
      </c>
      <c r="Q2997" s="152">
        <f>IF(OR(C2997="",L2997=""),0,IF(AND(TRIM(C2997)=TRIM(RIGHT(SUBSTITUTE(TRIM('02_대상물건입력'!$B$7)," ",REPT(" ",99)),99)),IF('02_대상물건입력'!B15="",TRUE(),ISNUMBER(SEARCH('02_대상물건입력'!B15,L2997)))),1,0))</f>
        <v/>
      </c>
      <c r="R2997" s="175">
        <f>IFERROR(ABS(E2997-'02_대상물건입력'!B11)/'02_대상물건입력'!B11,"")</f>
        <v/>
      </c>
      <c r="S2997" s="152">
        <f>IFERROR(ABS(J2997-'02_대상물건입력'!B10),"")</f>
        <v/>
      </c>
      <c r="T2997" s="152">
        <f>IFERROR(ABS('01_설정'!B4-F2997),"")</f>
        <v/>
      </c>
      <c r="U2997" s="152">
        <f>IFERROR(ABS(K2997-YEAR('02_대상물건입력'!B14)),"")</f>
        <v/>
      </c>
      <c r="V2997" s="152">
        <f>IF(B2997="","",IF(AND(E2997&gt;0,F2997&gt;0,H2997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2997=1,TRUE()),R2997&lt;='01_설정'!B5,S2997&lt;='01_설정'!B6,T2997&lt;='01_설정'!B7,U2997&lt;='01_설정'!B8),"Y",""))</f>
        <v/>
      </c>
      <c r="W2997" s="172">
        <f>IF(V2997&lt;&gt;"Y","",MAX(0,(1-R2997/'01_설정'!B5))*'01_설정'!B14+MAX(0,(1-S2997/'01_설정'!B6))*'01_설정'!B15+MAX(0,(1-T2997/'01_설정'!B7))*'01_설정'!B16+MAX(0,(1-U2997/'01_설정'!B8))*'01_설정'!B17+O2997*'01_설정'!B11+Q2997*'01_설정'!B12+P2997*'01_설정'!B13+IF(Z2997="",0,Z2997))</f>
        <v/>
      </c>
      <c r="X2997" s="152">
        <f>IF(W2997="","",1+COUNTIFS($W$4:$W$3003,"&gt;"&amp;W2997)+COUNTIFS($W$4:W2997,W2997)-1)</f>
        <v/>
      </c>
      <c r="Y2997" s="175">
        <f>IF(OR(I2997="",'02_대상물건입력'!B19="",'02_대상물건입력'!B19&lt;=0),"",ABS(I2997-'02_대상물건입력'!B19)/'02_대상물건입력'!B19)</f>
        <v/>
      </c>
      <c r="Z2997" s="172">
        <f>IF(OR(Y2997="",'01_설정'!B31="",'01_설정'!B31&lt;=0,'01_설정'!B32="",'01_설정'!B32&lt;=0),"",MAX(0,(1-Y2997/'01_설정'!B32))*'01_설정'!B31)</f>
        <v/>
      </c>
    </row>
    <row r="2998" ht="17.25" customHeight="1">
      <c r="A2998" s="152">
        <f>IF(INDEX('04A_국토부원자료'!$A:$A,ROW()+1)="","",ROW()-3)</f>
        <v/>
      </c>
      <c r="B2998" s="48">
        <f>IFERROR(INDEX('04A_국토부원자료'!$A:$T,ROW()+1,MATCH("시군구",'04A_국토부원자료'!$A$4:$T$4,0)),"")</f>
        <v/>
      </c>
      <c r="C2998" s="48">
        <f>IF(B2998="","",IFERROR(INDEX('04A_국토부원자료'!$A:$T,ROW()+1,MATCH("번지",'04A_국토부원자료'!$A$4:$T$4,0)),""))</f>
        <v/>
      </c>
      <c r="D2998" s="48">
        <f>IF(B2998="","",IF(Q2998=1,'02_대상물건입력'!$B$8,IFERROR(INDEX('04A_국토부원자료'!$A:$T,ROW()+1,MATCH("단지명",'04A_국토부원자료'!$A$4:$T$4,0)),"")))</f>
        <v/>
      </c>
      <c r="E2998" s="172">
        <f>IFERROR(VALUE(SUBSTITUTE(INDEX('04A_국토부원자료'!$A:$T,ROW()+1,MATCH("전용면적(㎡)",'04A_국토부원자료'!$A$4:$T$4,0)),",","")),"")</f>
        <v/>
      </c>
      <c r="F2998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98" s="51">
        <f>IFERROR(VALUE(SUBSTITUTE(INDEX('04A_국토부원자료'!$A:$T,ROW()+1,MATCH("거래금액(만원)",'04A_국토부원자료'!$A$4:$T$4,0)),",","")),"")</f>
        <v/>
      </c>
      <c r="H2998" s="174">
        <f>IF(G2998="","",G2998*10000)</f>
        <v/>
      </c>
      <c r="I2998" s="174">
        <f>IFERROR(IF(AND(H2998&gt;0,E2998&gt;0),H2998/E2998,""),"")</f>
        <v/>
      </c>
      <c r="J2998" s="152">
        <f>IFERROR(VALUE(SUBSTITUTE(INDEX('04A_국토부원자료'!$A:$T,ROW()+1,MATCH("층",'04A_국토부원자료'!$A$4:$T$4,0)),",","")),"")</f>
        <v/>
      </c>
      <c r="K2998" s="152">
        <f>IFERROR(VALUE(SUBSTITUTE(INDEX('04A_국토부원자료'!$A:$T,ROW()+1,MATCH("건축년도",'04A_국토부원자료'!$A$4:$T$4,0)),",","")),"")</f>
        <v/>
      </c>
      <c r="L2998" s="48">
        <f>IFERROR(INDEX('04A_국토부원자료'!$A:$T,ROW()+1,MATCH("도로명",'04A_국토부원자료'!$A$4:$T$4,0)),"")</f>
        <v/>
      </c>
      <c r="M2998" s="48">
        <f>IFERROR(INDEX('04A_국토부원자료'!$A:$T,ROW()+1,MATCH("거래유형",'04A_국토부원자료'!$A$4:$T$4,0)),"")</f>
        <v/>
      </c>
      <c r="N2998" s="152">
        <f>IF(B2998="","",IF('02_대상물건입력'!B5="",1,IF(ISNUMBER(SEARCH('02_대상물건입력'!B5,B2998)),1,0)))</f>
        <v/>
      </c>
      <c r="O2998" s="152">
        <f>IF(B2998="","",IF('02_대상물건입력'!B6="",1,IF(ISNUMBER(SEARCH('02_대상물건입력'!B6,B2998)),1,0)))</f>
        <v/>
      </c>
      <c r="P2998" s="152">
        <f>IF(L2998="","",IF('02_대상물건입력'!B15="",0,IF(ISNUMBER(SEARCH('02_대상물건입력'!B15,L2998)),1,0)))</f>
        <v/>
      </c>
      <c r="Q2998" s="152">
        <f>IF(OR(C2998="",L2998=""),0,IF(AND(TRIM(C2998)=TRIM(RIGHT(SUBSTITUTE(TRIM('02_대상물건입력'!$B$7)," ",REPT(" ",99)),99)),IF('02_대상물건입력'!B15="",TRUE(),ISNUMBER(SEARCH('02_대상물건입력'!B15,L2998)))),1,0))</f>
        <v/>
      </c>
      <c r="R2998" s="175">
        <f>IFERROR(ABS(E2998-'02_대상물건입력'!B11)/'02_대상물건입력'!B11,"")</f>
        <v/>
      </c>
      <c r="S2998" s="152">
        <f>IFERROR(ABS(J2998-'02_대상물건입력'!B10),"")</f>
        <v/>
      </c>
      <c r="T2998" s="152">
        <f>IFERROR(ABS('01_설정'!B4-F2998),"")</f>
        <v/>
      </c>
      <c r="U2998" s="152">
        <f>IFERROR(ABS(K2998-YEAR('02_대상물건입력'!B14)),"")</f>
        <v/>
      </c>
      <c r="V2998" s="152">
        <f>IF(B2998="","",IF(AND(E2998&gt;0,F2998&gt;0,H2998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2998=1,TRUE()),R2998&lt;='01_설정'!B5,S2998&lt;='01_설정'!B6,T2998&lt;='01_설정'!B7,U2998&lt;='01_설정'!B8),"Y",""))</f>
        <v/>
      </c>
      <c r="W2998" s="172">
        <f>IF(V2998&lt;&gt;"Y","",MAX(0,(1-R2998/'01_설정'!B5))*'01_설정'!B14+MAX(0,(1-S2998/'01_설정'!B6))*'01_설정'!B15+MAX(0,(1-T2998/'01_설정'!B7))*'01_설정'!B16+MAX(0,(1-U2998/'01_설정'!B8))*'01_설정'!B17+O2998*'01_설정'!B11+Q2998*'01_설정'!B12+P2998*'01_설정'!B13+IF(Z2998="",0,Z2998))</f>
        <v/>
      </c>
      <c r="X2998" s="152">
        <f>IF(W2998="","",1+COUNTIFS($W$4:$W$3003,"&gt;"&amp;W2998)+COUNTIFS($W$4:W2998,W2998)-1)</f>
        <v/>
      </c>
      <c r="Y2998" s="175">
        <f>IF(OR(I2998="",'02_대상물건입력'!B19="",'02_대상물건입력'!B19&lt;=0),"",ABS(I2998-'02_대상물건입력'!B19)/'02_대상물건입력'!B19)</f>
        <v/>
      </c>
      <c r="Z2998" s="172">
        <f>IF(OR(Y2998="",'01_설정'!B31="",'01_설정'!B31&lt;=0,'01_설정'!B32="",'01_설정'!B32&lt;=0),"",MAX(0,(1-Y2998/'01_설정'!B32))*'01_설정'!B31)</f>
        <v/>
      </c>
    </row>
    <row r="2999" ht="17.25" customHeight="1">
      <c r="A2999" s="152">
        <f>IF(INDEX('04A_국토부원자료'!$A:$A,ROW()+1)="","",ROW()-3)</f>
        <v/>
      </c>
      <c r="B2999" s="48">
        <f>IFERROR(INDEX('04A_국토부원자료'!$A:$T,ROW()+1,MATCH("시군구",'04A_국토부원자료'!$A$4:$T$4,0)),"")</f>
        <v/>
      </c>
      <c r="C2999" s="48">
        <f>IF(B2999="","",IFERROR(INDEX('04A_국토부원자료'!$A:$T,ROW()+1,MATCH("번지",'04A_국토부원자료'!$A$4:$T$4,0)),""))</f>
        <v/>
      </c>
      <c r="D2999" s="48">
        <f>IF(B2999="","",IF(Q2999=1,'02_대상물건입력'!$B$8,IFERROR(INDEX('04A_국토부원자료'!$A:$T,ROW()+1,MATCH("단지명",'04A_국토부원자료'!$A$4:$T$4,0)),"")))</f>
        <v/>
      </c>
      <c r="E2999" s="172">
        <f>IFERROR(VALUE(SUBSTITUTE(INDEX('04A_국토부원자료'!$A:$T,ROW()+1,MATCH("전용면적(㎡)",'04A_국토부원자료'!$A$4:$T$4,0)),",","")),"")</f>
        <v/>
      </c>
      <c r="F2999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2999" s="51">
        <f>IFERROR(VALUE(SUBSTITUTE(INDEX('04A_국토부원자료'!$A:$T,ROW()+1,MATCH("거래금액(만원)",'04A_국토부원자료'!$A$4:$T$4,0)),",","")),"")</f>
        <v/>
      </c>
      <c r="H2999" s="174">
        <f>IF(G2999="","",G2999*10000)</f>
        <v/>
      </c>
      <c r="I2999" s="174">
        <f>IFERROR(IF(AND(H2999&gt;0,E2999&gt;0),H2999/E2999,""),"")</f>
        <v/>
      </c>
      <c r="J2999" s="152">
        <f>IFERROR(VALUE(SUBSTITUTE(INDEX('04A_국토부원자료'!$A:$T,ROW()+1,MATCH("층",'04A_국토부원자료'!$A$4:$T$4,0)),",","")),"")</f>
        <v/>
      </c>
      <c r="K2999" s="152">
        <f>IFERROR(VALUE(SUBSTITUTE(INDEX('04A_국토부원자료'!$A:$T,ROW()+1,MATCH("건축년도",'04A_국토부원자료'!$A$4:$T$4,0)),",","")),"")</f>
        <v/>
      </c>
      <c r="L2999" s="48">
        <f>IFERROR(INDEX('04A_국토부원자료'!$A:$T,ROW()+1,MATCH("도로명",'04A_국토부원자료'!$A$4:$T$4,0)),"")</f>
        <v/>
      </c>
      <c r="M2999" s="48">
        <f>IFERROR(INDEX('04A_국토부원자료'!$A:$T,ROW()+1,MATCH("거래유형",'04A_국토부원자료'!$A$4:$T$4,0)),"")</f>
        <v/>
      </c>
      <c r="N2999" s="152">
        <f>IF(B2999="","",IF('02_대상물건입력'!B5="",1,IF(ISNUMBER(SEARCH('02_대상물건입력'!B5,B2999)),1,0)))</f>
        <v/>
      </c>
      <c r="O2999" s="152">
        <f>IF(B2999="","",IF('02_대상물건입력'!B6="",1,IF(ISNUMBER(SEARCH('02_대상물건입력'!B6,B2999)),1,0)))</f>
        <v/>
      </c>
      <c r="P2999" s="152">
        <f>IF(L2999="","",IF('02_대상물건입력'!B15="",0,IF(ISNUMBER(SEARCH('02_대상물건입력'!B15,L2999)),1,0)))</f>
        <v/>
      </c>
      <c r="Q2999" s="152">
        <f>IF(OR(C2999="",L2999=""),0,IF(AND(TRIM(C2999)=TRIM(RIGHT(SUBSTITUTE(TRIM('02_대상물건입력'!$B$7)," ",REPT(" ",99)),99)),IF('02_대상물건입력'!B15="",TRUE(),ISNUMBER(SEARCH('02_대상물건입력'!B15,L2999)))),1,0))</f>
        <v/>
      </c>
      <c r="R2999" s="175">
        <f>IFERROR(ABS(E2999-'02_대상물건입력'!B11)/'02_대상물건입력'!B11,"")</f>
        <v/>
      </c>
      <c r="S2999" s="152">
        <f>IFERROR(ABS(J2999-'02_대상물건입력'!B10),"")</f>
        <v/>
      </c>
      <c r="T2999" s="152">
        <f>IFERROR(ABS('01_설정'!B4-F2999),"")</f>
        <v/>
      </c>
      <c r="U2999" s="152">
        <f>IFERROR(ABS(K2999-YEAR('02_대상물건입력'!B14)),"")</f>
        <v/>
      </c>
      <c r="V2999" s="152">
        <f>IF(B2999="","",IF(AND(E2999&gt;0,F2999&gt;0,H2999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2999=1,TRUE()),R2999&lt;='01_설정'!B5,S2999&lt;='01_설정'!B6,T2999&lt;='01_설정'!B7,U2999&lt;='01_설정'!B8),"Y",""))</f>
        <v/>
      </c>
      <c r="W2999" s="172">
        <f>IF(V2999&lt;&gt;"Y","",MAX(0,(1-R2999/'01_설정'!B5))*'01_설정'!B14+MAX(0,(1-S2999/'01_설정'!B6))*'01_설정'!B15+MAX(0,(1-T2999/'01_설정'!B7))*'01_설정'!B16+MAX(0,(1-U2999/'01_설정'!B8))*'01_설정'!B17+O2999*'01_설정'!B11+Q2999*'01_설정'!B12+P2999*'01_설정'!B13+IF(Z2999="",0,Z2999))</f>
        <v/>
      </c>
      <c r="X2999" s="152">
        <f>IF(W2999="","",1+COUNTIFS($W$4:$W$3003,"&gt;"&amp;W2999)+COUNTIFS($W$4:W2999,W2999)-1)</f>
        <v/>
      </c>
      <c r="Y2999" s="175">
        <f>IF(OR(I2999="",'02_대상물건입력'!B19="",'02_대상물건입력'!B19&lt;=0),"",ABS(I2999-'02_대상물건입력'!B19)/'02_대상물건입력'!B19)</f>
        <v/>
      </c>
      <c r="Z2999" s="172">
        <f>IF(OR(Y2999="",'01_설정'!B31="",'01_설정'!B31&lt;=0,'01_설정'!B32="",'01_설정'!B32&lt;=0),"",MAX(0,(1-Y2999/'01_설정'!B32))*'01_설정'!B31)</f>
        <v/>
      </c>
    </row>
    <row r="3000" ht="17.25" customHeight="1">
      <c r="A3000" s="152">
        <f>IF(INDEX('04A_국토부원자료'!$A:$A,ROW()+1)="","",ROW()-3)</f>
        <v/>
      </c>
      <c r="B3000" s="48">
        <f>IFERROR(INDEX('04A_국토부원자료'!$A:$T,ROW()+1,MATCH("시군구",'04A_국토부원자료'!$A$4:$T$4,0)),"")</f>
        <v/>
      </c>
      <c r="C3000" s="48">
        <f>IF(B3000="","",IFERROR(INDEX('04A_국토부원자료'!$A:$T,ROW()+1,MATCH("번지",'04A_국토부원자료'!$A$4:$T$4,0)),""))</f>
        <v/>
      </c>
      <c r="D3000" s="48">
        <f>IF(B3000="","",IF(Q3000=1,'02_대상물건입력'!$B$8,IFERROR(INDEX('04A_국토부원자료'!$A:$T,ROW()+1,MATCH("단지명",'04A_국토부원자료'!$A$4:$T$4,0)),"")))</f>
        <v/>
      </c>
      <c r="E3000" s="172">
        <f>IFERROR(VALUE(SUBSTITUTE(INDEX('04A_국토부원자료'!$A:$T,ROW()+1,MATCH("전용면적(㎡)",'04A_국토부원자료'!$A$4:$T$4,0)),",","")),"")</f>
        <v/>
      </c>
      <c r="F3000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000" s="51">
        <f>IFERROR(VALUE(SUBSTITUTE(INDEX('04A_국토부원자료'!$A:$T,ROW()+1,MATCH("거래금액(만원)",'04A_국토부원자료'!$A$4:$T$4,0)),",","")),"")</f>
        <v/>
      </c>
      <c r="H3000" s="174">
        <f>IF(G3000="","",G3000*10000)</f>
        <v/>
      </c>
      <c r="I3000" s="174">
        <f>IFERROR(IF(AND(H3000&gt;0,E3000&gt;0),H3000/E3000,""),"")</f>
        <v/>
      </c>
      <c r="J3000" s="152">
        <f>IFERROR(VALUE(SUBSTITUTE(INDEX('04A_국토부원자료'!$A:$T,ROW()+1,MATCH("층",'04A_국토부원자료'!$A$4:$T$4,0)),",","")),"")</f>
        <v/>
      </c>
      <c r="K3000" s="152">
        <f>IFERROR(VALUE(SUBSTITUTE(INDEX('04A_국토부원자료'!$A:$T,ROW()+1,MATCH("건축년도",'04A_국토부원자료'!$A$4:$T$4,0)),",","")),"")</f>
        <v/>
      </c>
      <c r="L3000" s="48">
        <f>IFERROR(INDEX('04A_국토부원자료'!$A:$T,ROW()+1,MATCH("도로명",'04A_국토부원자료'!$A$4:$T$4,0)),"")</f>
        <v/>
      </c>
      <c r="M3000" s="48">
        <f>IFERROR(INDEX('04A_국토부원자료'!$A:$T,ROW()+1,MATCH("거래유형",'04A_국토부원자료'!$A$4:$T$4,0)),"")</f>
        <v/>
      </c>
      <c r="N3000" s="152">
        <f>IF(B3000="","",IF('02_대상물건입력'!B5="",1,IF(ISNUMBER(SEARCH('02_대상물건입력'!B5,B3000)),1,0)))</f>
        <v/>
      </c>
      <c r="O3000" s="152">
        <f>IF(B3000="","",IF('02_대상물건입력'!B6="",1,IF(ISNUMBER(SEARCH('02_대상물건입력'!B6,B3000)),1,0)))</f>
        <v/>
      </c>
      <c r="P3000" s="152">
        <f>IF(L3000="","",IF('02_대상물건입력'!B15="",0,IF(ISNUMBER(SEARCH('02_대상물건입력'!B15,L3000)),1,0)))</f>
        <v/>
      </c>
      <c r="Q3000" s="152">
        <f>IF(OR(C3000="",L3000=""),0,IF(AND(TRIM(C3000)=TRIM(RIGHT(SUBSTITUTE(TRIM('02_대상물건입력'!$B$7)," ",REPT(" ",99)),99)),IF('02_대상물건입력'!B15="",TRUE(),ISNUMBER(SEARCH('02_대상물건입력'!B15,L3000)))),1,0))</f>
        <v/>
      </c>
      <c r="R3000" s="175">
        <f>IFERROR(ABS(E3000-'02_대상물건입력'!B11)/'02_대상물건입력'!B11,"")</f>
        <v/>
      </c>
      <c r="S3000" s="152">
        <f>IFERROR(ABS(J3000-'02_대상물건입력'!B10),"")</f>
        <v/>
      </c>
      <c r="T3000" s="152">
        <f>IFERROR(ABS('01_설정'!B4-F3000),"")</f>
        <v/>
      </c>
      <c r="U3000" s="152">
        <f>IFERROR(ABS(K3000-YEAR('02_대상물건입력'!B14)),"")</f>
        <v/>
      </c>
      <c r="V3000" s="152">
        <f>IF(B3000="","",IF(AND(E3000&gt;0,F3000&gt;0,H3000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3000=1,TRUE()),R3000&lt;='01_설정'!B5,S3000&lt;='01_설정'!B6,T3000&lt;='01_설정'!B7,U3000&lt;='01_설정'!B8),"Y",""))</f>
        <v/>
      </c>
      <c r="W3000" s="172">
        <f>IF(V3000&lt;&gt;"Y","",MAX(0,(1-R3000/'01_설정'!B5))*'01_설정'!B14+MAX(0,(1-S3000/'01_설정'!B6))*'01_설정'!B15+MAX(0,(1-T3000/'01_설정'!B7))*'01_설정'!B16+MAX(0,(1-U3000/'01_설정'!B8))*'01_설정'!B17+O3000*'01_설정'!B11+Q3000*'01_설정'!B12+P3000*'01_설정'!B13+IF(Z3000="",0,Z3000))</f>
        <v/>
      </c>
      <c r="X3000" s="152">
        <f>IF(W3000="","",1+COUNTIFS($W$4:$W$3003,"&gt;"&amp;W3000)+COUNTIFS($W$4:W3000,W3000)-1)</f>
        <v/>
      </c>
      <c r="Y3000" s="175">
        <f>IF(OR(I3000="",'02_대상물건입력'!B19="",'02_대상물건입력'!B19&lt;=0),"",ABS(I3000-'02_대상물건입력'!B19)/'02_대상물건입력'!B19)</f>
        <v/>
      </c>
      <c r="Z3000" s="172">
        <f>IF(OR(Y3000="",'01_설정'!B31="",'01_설정'!B31&lt;=0,'01_설정'!B32="",'01_설정'!B32&lt;=0),"",MAX(0,(1-Y3000/'01_설정'!B32))*'01_설정'!B31)</f>
        <v/>
      </c>
    </row>
    <row r="3001" ht="17.25" customHeight="1">
      <c r="A3001" s="152">
        <f>IF(INDEX('04A_국토부원자료'!$A:$A,ROW()+1)="","",ROW()-3)</f>
        <v/>
      </c>
      <c r="B3001" s="48">
        <f>IFERROR(INDEX('04A_국토부원자료'!$A:$T,ROW()+1,MATCH("시군구",'04A_국토부원자료'!$A$4:$T$4,0)),"")</f>
        <v/>
      </c>
      <c r="C3001" s="48">
        <f>IF(B3001="","",IFERROR(INDEX('04A_국토부원자료'!$A:$T,ROW()+1,MATCH("번지",'04A_국토부원자료'!$A$4:$T$4,0)),""))</f>
        <v/>
      </c>
      <c r="D3001" s="48">
        <f>IF(B3001="","",IF(Q3001=1,'02_대상물건입력'!$B$8,IFERROR(INDEX('04A_국토부원자료'!$A:$T,ROW()+1,MATCH("단지명",'04A_국토부원자료'!$A$4:$T$4,0)),"")))</f>
        <v/>
      </c>
      <c r="E3001" s="172">
        <f>IFERROR(VALUE(SUBSTITUTE(INDEX('04A_국토부원자료'!$A:$T,ROW()+1,MATCH("전용면적(㎡)",'04A_국토부원자료'!$A$4:$T$4,0)),",","")),"")</f>
        <v/>
      </c>
      <c r="F3001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001" s="51">
        <f>IFERROR(VALUE(SUBSTITUTE(INDEX('04A_국토부원자료'!$A:$T,ROW()+1,MATCH("거래금액(만원)",'04A_국토부원자료'!$A$4:$T$4,0)),",","")),"")</f>
        <v/>
      </c>
      <c r="H3001" s="174">
        <f>IF(G3001="","",G3001*10000)</f>
        <v/>
      </c>
      <c r="I3001" s="174">
        <f>IFERROR(IF(AND(H3001&gt;0,E3001&gt;0),H3001/E3001,""),"")</f>
        <v/>
      </c>
      <c r="J3001" s="152">
        <f>IFERROR(VALUE(SUBSTITUTE(INDEX('04A_국토부원자료'!$A:$T,ROW()+1,MATCH("층",'04A_국토부원자료'!$A$4:$T$4,0)),",","")),"")</f>
        <v/>
      </c>
      <c r="K3001" s="152">
        <f>IFERROR(VALUE(SUBSTITUTE(INDEX('04A_국토부원자료'!$A:$T,ROW()+1,MATCH("건축년도",'04A_국토부원자료'!$A$4:$T$4,0)),",","")),"")</f>
        <v/>
      </c>
      <c r="L3001" s="48">
        <f>IFERROR(INDEX('04A_국토부원자료'!$A:$T,ROW()+1,MATCH("도로명",'04A_국토부원자료'!$A$4:$T$4,0)),"")</f>
        <v/>
      </c>
      <c r="M3001" s="48">
        <f>IFERROR(INDEX('04A_국토부원자료'!$A:$T,ROW()+1,MATCH("거래유형",'04A_국토부원자료'!$A$4:$T$4,0)),"")</f>
        <v/>
      </c>
      <c r="N3001" s="152">
        <f>IF(B3001="","",IF('02_대상물건입력'!B5="",1,IF(ISNUMBER(SEARCH('02_대상물건입력'!B5,B3001)),1,0)))</f>
        <v/>
      </c>
      <c r="O3001" s="152">
        <f>IF(B3001="","",IF('02_대상물건입력'!B6="",1,IF(ISNUMBER(SEARCH('02_대상물건입력'!B6,B3001)),1,0)))</f>
        <v/>
      </c>
      <c r="P3001" s="152">
        <f>IF(L3001="","",IF('02_대상물건입력'!B15="",0,IF(ISNUMBER(SEARCH('02_대상물건입력'!B15,L3001)),1,0)))</f>
        <v/>
      </c>
      <c r="Q3001" s="152">
        <f>IF(OR(C3001="",L3001=""),0,IF(AND(TRIM(C3001)=TRIM(RIGHT(SUBSTITUTE(TRIM('02_대상물건입력'!$B$7)," ",REPT(" ",99)),99)),IF('02_대상물건입력'!B15="",TRUE(),ISNUMBER(SEARCH('02_대상물건입력'!B15,L3001)))),1,0))</f>
        <v/>
      </c>
      <c r="R3001" s="175">
        <f>IFERROR(ABS(E3001-'02_대상물건입력'!B11)/'02_대상물건입력'!B11,"")</f>
        <v/>
      </c>
      <c r="S3001" s="152">
        <f>IFERROR(ABS(J3001-'02_대상물건입력'!B10),"")</f>
        <v/>
      </c>
      <c r="T3001" s="152">
        <f>IFERROR(ABS('01_설정'!B4-F3001),"")</f>
        <v/>
      </c>
      <c r="U3001" s="152">
        <f>IFERROR(ABS(K3001-YEAR('02_대상물건입력'!B14)),"")</f>
        <v/>
      </c>
      <c r="V3001" s="152">
        <f>IF(B3001="","",IF(AND(E3001&gt;0,F3001&gt;0,H3001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3001=1,TRUE()),R3001&lt;='01_설정'!B5,S3001&lt;='01_설정'!B6,T3001&lt;='01_설정'!B7,U3001&lt;='01_설정'!B8),"Y",""))</f>
        <v/>
      </c>
      <c r="W3001" s="172">
        <f>IF(V3001&lt;&gt;"Y","",MAX(0,(1-R3001/'01_설정'!B5))*'01_설정'!B14+MAX(0,(1-S3001/'01_설정'!B6))*'01_설정'!B15+MAX(0,(1-T3001/'01_설정'!B7))*'01_설정'!B16+MAX(0,(1-U3001/'01_설정'!B8))*'01_설정'!B17+O3001*'01_설정'!B11+Q3001*'01_설정'!B12+P3001*'01_설정'!B13+IF(Z3001="",0,Z3001))</f>
        <v/>
      </c>
      <c r="X3001" s="152">
        <f>IF(W3001="","",1+COUNTIFS($W$4:$W$3003,"&gt;"&amp;W3001)+COUNTIFS($W$4:W3001,W3001)-1)</f>
        <v/>
      </c>
      <c r="Y3001" s="175">
        <f>IF(OR(I3001="",'02_대상물건입력'!B19="",'02_대상물건입력'!B19&lt;=0),"",ABS(I3001-'02_대상물건입력'!B19)/'02_대상물건입력'!B19)</f>
        <v/>
      </c>
      <c r="Z3001" s="172">
        <f>IF(OR(Y3001="",'01_설정'!B31="",'01_설정'!B31&lt;=0,'01_설정'!B32="",'01_설정'!B32&lt;=0),"",MAX(0,(1-Y3001/'01_설정'!B32))*'01_설정'!B31)</f>
        <v/>
      </c>
    </row>
    <row r="3002" ht="17.25" customHeight="1">
      <c r="A3002" s="152">
        <f>IF(INDEX('04A_국토부원자료'!$A:$A,ROW()+1)="","",ROW()-3)</f>
        <v/>
      </c>
      <c r="B3002" s="48">
        <f>IFERROR(INDEX('04A_국토부원자료'!$A:$T,ROW()+1,MATCH("시군구",'04A_국토부원자료'!$A$4:$T$4,0)),"")</f>
        <v/>
      </c>
      <c r="C3002" s="48">
        <f>IF(B3002="","",IFERROR(INDEX('04A_국토부원자료'!$A:$T,ROW()+1,MATCH("번지",'04A_국토부원자료'!$A$4:$T$4,0)),""))</f>
        <v/>
      </c>
      <c r="D3002" s="48">
        <f>IF(B3002="","",IF(Q3002=1,'02_대상물건입력'!$B$8,IFERROR(INDEX('04A_국토부원자료'!$A:$T,ROW()+1,MATCH("단지명",'04A_국토부원자료'!$A$4:$T$4,0)),"")))</f>
        <v/>
      </c>
      <c r="E3002" s="172">
        <f>IFERROR(VALUE(SUBSTITUTE(INDEX('04A_국토부원자료'!$A:$T,ROW()+1,MATCH("전용면적(㎡)",'04A_국토부원자료'!$A$4:$T$4,0)),",","")),"")</f>
        <v/>
      </c>
      <c r="F3002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002" s="51">
        <f>IFERROR(VALUE(SUBSTITUTE(INDEX('04A_국토부원자료'!$A:$T,ROW()+1,MATCH("거래금액(만원)",'04A_국토부원자료'!$A$4:$T$4,0)),",","")),"")</f>
        <v/>
      </c>
      <c r="H3002" s="174">
        <f>IF(G3002="","",G3002*10000)</f>
        <v/>
      </c>
      <c r="I3002" s="174">
        <f>IFERROR(IF(AND(H3002&gt;0,E3002&gt;0),H3002/E3002,""),"")</f>
        <v/>
      </c>
      <c r="J3002" s="152">
        <f>IFERROR(VALUE(SUBSTITUTE(INDEX('04A_국토부원자료'!$A:$T,ROW()+1,MATCH("층",'04A_국토부원자료'!$A$4:$T$4,0)),",","")),"")</f>
        <v/>
      </c>
      <c r="K3002" s="152">
        <f>IFERROR(VALUE(SUBSTITUTE(INDEX('04A_국토부원자료'!$A:$T,ROW()+1,MATCH("건축년도",'04A_국토부원자료'!$A$4:$T$4,0)),",","")),"")</f>
        <v/>
      </c>
      <c r="L3002" s="48">
        <f>IFERROR(INDEX('04A_국토부원자료'!$A:$T,ROW()+1,MATCH("도로명",'04A_국토부원자료'!$A$4:$T$4,0)),"")</f>
        <v/>
      </c>
      <c r="M3002" s="48">
        <f>IFERROR(INDEX('04A_국토부원자료'!$A:$T,ROW()+1,MATCH("거래유형",'04A_국토부원자료'!$A$4:$T$4,0)),"")</f>
        <v/>
      </c>
      <c r="N3002" s="152">
        <f>IF(B3002="","",IF('02_대상물건입력'!B5="",1,IF(ISNUMBER(SEARCH('02_대상물건입력'!B5,B3002)),1,0)))</f>
        <v/>
      </c>
      <c r="O3002" s="152">
        <f>IF(B3002="","",IF('02_대상물건입력'!B6="",1,IF(ISNUMBER(SEARCH('02_대상물건입력'!B6,B3002)),1,0)))</f>
        <v/>
      </c>
      <c r="P3002" s="152">
        <f>IF(L3002="","",IF('02_대상물건입력'!B15="",0,IF(ISNUMBER(SEARCH('02_대상물건입력'!B15,L3002)),1,0)))</f>
        <v/>
      </c>
      <c r="Q3002" s="152">
        <f>IF(OR(C3002="",L3002=""),0,IF(AND(TRIM(C3002)=TRIM(RIGHT(SUBSTITUTE(TRIM('02_대상물건입력'!$B$7)," ",REPT(" ",99)),99)),IF('02_대상물건입력'!B15="",TRUE(),ISNUMBER(SEARCH('02_대상물건입력'!B15,L3002)))),1,0))</f>
        <v/>
      </c>
      <c r="R3002" s="175">
        <f>IFERROR(ABS(E3002-'02_대상물건입력'!B11)/'02_대상물건입력'!B11,"")</f>
        <v/>
      </c>
      <c r="S3002" s="152">
        <f>IFERROR(ABS(J3002-'02_대상물건입력'!B10),"")</f>
        <v/>
      </c>
      <c r="T3002" s="152">
        <f>IFERROR(ABS('01_설정'!B4-F3002),"")</f>
        <v/>
      </c>
      <c r="U3002" s="152">
        <f>IFERROR(ABS(K3002-YEAR('02_대상물건입력'!B14)),"")</f>
        <v/>
      </c>
      <c r="V3002" s="152">
        <f>IF(B3002="","",IF(AND(E3002&gt;0,F3002&gt;0,H3002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3002=1,TRUE()),R3002&lt;='01_설정'!B5,S3002&lt;='01_설정'!B6,T3002&lt;='01_설정'!B7,U3002&lt;='01_설정'!B8),"Y",""))</f>
        <v/>
      </c>
      <c r="W3002" s="172">
        <f>IF(V3002&lt;&gt;"Y","",MAX(0,(1-R3002/'01_설정'!B5))*'01_설정'!B14+MAX(0,(1-S3002/'01_설정'!B6))*'01_설정'!B15+MAX(0,(1-T3002/'01_설정'!B7))*'01_설정'!B16+MAX(0,(1-U3002/'01_설정'!B8))*'01_설정'!B17+O3002*'01_설정'!B11+Q3002*'01_설정'!B12+P3002*'01_설정'!B13+IF(Z3002="",0,Z3002))</f>
        <v/>
      </c>
      <c r="X3002" s="152">
        <f>IF(W3002="","",1+COUNTIFS($W$4:$W$3003,"&gt;"&amp;W3002)+COUNTIFS($W$4:W3002,W3002)-1)</f>
        <v/>
      </c>
      <c r="Y3002" s="175">
        <f>IF(OR(I3002="",'02_대상물건입력'!B19="",'02_대상물건입력'!B19&lt;=0),"",ABS(I3002-'02_대상물건입력'!B19)/'02_대상물건입력'!B19)</f>
        <v/>
      </c>
      <c r="Z3002" s="172">
        <f>IF(OR(Y3002="",'01_설정'!B31="",'01_설정'!B31&lt;=0,'01_설정'!B32="",'01_설정'!B32&lt;=0),"",MAX(0,(1-Y3002/'01_설정'!B32))*'01_설정'!B31)</f>
        <v/>
      </c>
    </row>
    <row r="3003" ht="17.25" customHeight="1">
      <c r="A3003" s="152">
        <f>IF(INDEX('04A_국토부원자료'!$A:$A,ROW()+1)="","",ROW()-3)</f>
        <v/>
      </c>
      <c r="B3003" s="48">
        <f>IFERROR(INDEX('04A_국토부원자료'!$A:$T,ROW()+1,MATCH("시군구",'04A_국토부원자료'!$A$4:$T$4,0)),"")</f>
        <v/>
      </c>
      <c r="C3003" s="48">
        <f>IF(B3003="","",IFERROR(INDEX('04A_국토부원자료'!$A:$T,ROW()+1,MATCH("번지",'04A_국토부원자료'!$A$4:$T$4,0)),""))</f>
        <v/>
      </c>
      <c r="D3003" s="48">
        <f>IF(B3003="","",IF(Q3003=1,'02_대상물건입력'!$B$8,IFERROR(INDEX('04A_국토부원자료'!$A:$T,ROW()+1,MATCH("단지명",'04A_국토부원자료'!$A$4:$T$4,0)),"")))</f>
        <v/>
      </c>
      <c r="E3003" s="172">
        <f>IFERROR(VALUE(SUBSTITUTE(INDEX('04A_국토부원자료'!$A:$T,ROW()+1,MATCH("전용면적(㎡)",'04A_국토부원자료'!$A$4:$T$4,0)),",","")),"")</f>
        <v/>
      </c>
      <c r="F3003" s="173">
        <f>IFERROR(IF(AND(INDEX('04A_국토부원자료'!$A:$T,ROW()+1,MATCH("계약년월",'04A_국토부원자료'!$A$4:$T$4,0))&lt;&gt;"",INDEX('04A_국토부원자료'!$A:$T,ROW()+1,MATCH("계약일",'04A_국토부원자료'!$A$4:$T$4,0))&lt;&gt;""),DATE(INT(VALUE(SUBSTITUTE(INDEX('04A_국토부원자료'!$A:$T,ROW()+1,MATCH("계약년월",'04A_국토부원자료'!$A$4:$T$4,0)),",",""))/100),MOD(VALUE(SUBSTITUTE(INDEX('04A_국토부원자료'!$A:$T,ROW()+1,MATCH("계약년월",'04A_국토부원자료'!$A$4:$T$4,0)),",","")),100),VALUE(SUBSTITUTE(INDEX('04A_국토부원자료'!$A:$T,ROW()+1,MATCH("계약일",'04A_국토부원자료'!$A$4:$T$4,0)),",",""))),""),"")</f>
        <v/>
      </c>
      <c r="G3003" s="51">
        <f>IFERROR(VALUE(SUBSTITUTE(INDEX('04A_국토부원자료'!$A:$T,ROW()+1,MATCH("거래금액(만원)",'04A_국토부원자료'!$A$4:$T$4,0)),",","")),"")</f>
        <v/>
      </c>
      <c r="H3003" s="174">
        <f>IF(G3003="","",G3003*10000)</f>
        <v/>
      </c>
      <c r="I3003" s="174">
        <f>IFERROR(IF(AND(H3003&gt;0,E3003&gt;0),H3003/E3003,""),"")</f>
        <v/>
      </c>
      <c r="J3003" s="152">
        <f>IFERROR(VALUE(SUBSTITUTE(INDEX('04A_국토부원자료'!$A:$T,ROW()+1,MATCH("층",'04A_국토부원자료'!$A$4:$T$4,0)),",","")),"")</f>
        <v/>
      </c>
      <c r="K3003" s="152">
        <f>IFERROR(VALUE(SUBSTITUTE(INDEX('04A_국토부원자료'!$A:$T,ROW()+1,MATCH("건축년도",'04A_국토부원자료'!$A$4:$T$4,0)),",","")),"")</f>
        <v/>
      </c>
      <c r="L3003" s="48">
        <f>IFERROR(INDEX('04A_국토부원자료'!$A:$T,ROW()+1,MATCH("도로명",'04A_국토부원자료'!$A$4:$T$4,0)),"")</f>
        <v/>
      </c>
      <c r="M3003" s="48">
        <f>IFERROR(INDEX('04A_국토부원자료'!$A:$T,ROW()+1,MATCH("거래유형",'04A_국토부원자료'!$A$4:$T$4,0)),"")</f>
        <v/>
      </c>
      <c r="N3003" s="152">
        <f>IF(B3003="","",IF('02_대상물건입력'!B5="",1,IF(ISNUMBER(SEARCH('02_대상물건입력'!B5,B3003)),1,0)))</f>
        <v/>
      </c>
      <c r="O3003" s="152">
        <f>IF(B3003="","",IF('02_대상물건입력'!B6="",1,IF(ISNUMBER(SEARCH('02_대상물건입력'!B6,B3003)),1,0)))</f>
        <v/>
      </c>
      <c r="P3003" s="152">
        <f>IF(L3003="","",IF('02_대상물건입력'!B15="",0,IF(ISNUMBER(SEARCH('02_대상물건입력'!B15,L3003)),1,0)))</f>
        <v/>
      </c>
      <c r="Q3003" s="152">
        <f>IF(OR(C3003="",L3003=""),0,IF(AND(TRIM(C3003)=TRIM(RIGHT(SUBSTITUTE(TRIM('02_대상물건입력'!$B$7)," ",REPT(" ",99)),99)),IF('02_대상물건입력'!B15="",TRUE(),ISNUMBER(SEARCH('02_대상물건입력'!B15,L3003)))),1,0))</f>
        <v/>
      </c>
      <c r="R3003" s="175">
        <f>IFERROR(ABS(E3003-'02_대상물건입력'!B11)/'02_대상물건입력'!B11,"")</f>
        <v/>
      </c>
      <c r="S3003" s="152">
        <f>IFERROR(ABS(J3003-'02_대상물건입력'!B10),"")</f>
        <v/>
      </c>
      <c r="T3003" s="152">
        <f>IFERROR(ABS('01_설정'!B4-F3003),"")</f>
        <v/>
      </c>
      <c r="U3003" s="152">
        <f>IFERROR(ABS(K3003-YEAR('02_대상물건입력'!B14)),"")</f>
        <v/>
      </c>
      <c r="V3003" s="152">
        <f>IF(B3003="","",IF(AND(E3003&gt;0,F3003&gt;0,H3003&gt;0,OR(IFERROR(INDEX('04A_국토부원자료'!$A:$T,ROW()+1,MATCH("해제사유발생일",'04A_국토부원자료'!$A$4:$T$4,0)),"")="",IFERROR(INDEX('04A_국토부원자료'!$A:$T,ROW()+1,MATCH("해제사유발생일",'04A_국토부원자료'!$A$4:$T$4,0)),"")="-"),IF('01_설정'!B10=1,N3003=1,TRUE()),R3003&lt;='01_설정'!B5,S3003&lt;='01_설정'!B6,T3003&lt;='01_설정'!B7,U3003&lt;='01_설정'!B8),"Y",""))</f>
        <v/>
      </c>
      <c r="W3003" s="172">
        <f>IF(V3003&lt;&gt;"Y","",MAX(0,(1-R3003/'01_설정'!B5))*'01_설정'!B14+MAX(0,(1-S3003/'01_설정'!B6))*'01_설정'!B15+MAX(0,(1-T3003/'01_설정'!B7))*'01_설정'!B16+MAX(0,(1-U3003/'01_설정'!B8))*'01_설정'!B17+O3003*'01_설정'!B11+Q3003*'01_설정'!B12+P3003*'01_설정'!B13+IF(Z3003="",0,Z3003))</f>
        <v/>
      </c>
      <c r="X3003" s="152">
        <f>IF(W3003="","",1+COUNTIFS($W$4:$W$3003,"&gt;"&amp;W3003)+COUNTIFS($W$4:W3003,W3003)-1)</f>
        <v/>
      </c>
      <c r="Y3003" s="175">
        <f>IF(OR(I3003="",'02_대상물건입력'!B19="",'02_대상물건입력'!B19&lt;=0),"",ABS(I3003-'02_대상물건입력'!B19)/'02_대상물건입력'!B19)</f>
        <v/>
      </c>
      <c r="Z3003" s="172">
        <f>IF(OR(Y3003="",'01_설정'!B31="",'01_설정'!B31&lt;=0,'01_설정'!B32="",'01_설정'!B32&lt;=0),"",MAX(0,(1-Y3003/'01_설정'!B32))*'01_설정'!B31)</f>
        <v/>
      </c>
    </row>
  </sheetData>
  <mergeCells count="1">
    <mergeCell ref="A1:X1"/>
  </mergeCells>
  <conditionalFormatting sqref="V4:V3003">
    <cfRule type="expression" priority="2" dxfId="0">
      <formula>$V4="Y"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5B9BD5"/>
    <outlinePr summaryBelow="1" summaryRight="1"/>
    <pageSetUpPr fitToPage="1"/>
  </sheetPr>
  <dimension ref="A1:S36"/>
  <sheetViews>
    <sheetView showGridLines="0" zoomScaleNormal="100" workbookViewId="0">
      <selection activeCell="A4" sqref="A4:R22"/>
    </sheetView>
  </sheetViews>
  <sheetFormatPr baseColWidth="8" defaultColWidth="8.6640625" defaultRowHeight="14.25" customHeight="1"/>
  <cols>
    <col width="9.33203125" customWidth="1" min="1" max="1"/>
    <col width="13.88671875" customWidth="1" min="2" max="2"/>
    <col width="28.6640625" customWidth="1" min="3" max="3"/>
    <col width="14.5546875" customWidth="1" min="4" max="4"/>
    <col width="31" customWidth="1" min="5" max="5"/>
    <col width="15.33203125" customWidth="1" min="6" max="6"/>
    <col width="12" customWidth="1" min="7" max="7"/>
    <col width="15.33203125" customWidth="1" min="8" max="8"/>
    <col width="14.109375" customWidth="1" min="9" max="9"/>
    <col width="8" customWidth="1" min="10" max="10"/>
    <col width="11.6640625" customWidth="1" min="11" max="11"/>
    <col width="18" customWidth="1" min="12" max="12"/>
    <col width="11.6640625" customWidth="1" min="13" max="13"/>
    <col width="13.88671875" customWidth="1" min="14" max="15"/>
    <col width="11.6640625" customWidth="1" min="16" max="16"/>
    <col width="13.88671875" customWidth="1" min="17" max="17"/>
    <col width="14" customWidth="1" min="18" max="19"/>
  </cols>
  <sheetData>
    <row r="1" ht="24" customHeight="1">
      <c r="A1" s="145" t="inlineStr">
        <is>
          <t>상위 유사 거래사례 자동선정</t>
        </is>
      </c>
    </row>
    <row r="2" ht="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33" customHeight="1">
      <c r="A3" s="55" t="inlineStr">
        <is>
          <t>순위</t>
        </is>
      </c>
      <c r="B3" s="56" t="inlineStr">
        <is>
          <t>후보인덱스</t>
        </is>
      </c>
      <c r="C3" s="56" t="inlineStr">
        <is>
          <t>시군구</t>
        </is>
      </c>
      <c r="D3" s="56" t="inlineStr">
        <is>
          <t>번지</t>
        </is>
      </c>
      <c r="E3" s="56" t="inlineStr">
        <is>
          <t>표시명</t>
        </is>
      </c>
      <c r="F3" s="56" t="inlineStr">
        <is>
          <t>전용면적(㎡)</t>
        </is>
      </c>
      <c r="G3" s="56" t="inlineStr">
        <is>
          <t>계약일</t>
        </is>
      </c>
      <c r="H3" s="56" t="inlineStr">
        <is>
          <t>거래금액(원)</t>
        </is>
      </c>
      <c r="I3" s="56" t="inlineStr">
        <is>
          <t>단가(원/㎡)</t>
        </is>
      </c>
      <c r="J3" s="56" t="inlineStr">
        <is>
          <t>층</t>
        </is>
      </c>
      <c r="K3" s="56" t="inlineStr">
        <is>
          <t>건축년도</t>
        </is>
      </c>
      <c r="L3" s="56" t="inlineStr">
        <is>
          <t>도로명</t>
        </is>
      </c>
      <c r="M3" s="56" t="inlineStr">
        <is>
          <t>거래유형</t>
        </is>
      </c>
      <c r="N3" s="56" t="inlineStr">
        <is>
          <t>동일법정동</t>
        </is>
      </c>
      <c r="O3" s="56" t="inlineStr">
        <is>
          <t>동일도로명</t>
        </is>
      </c>
      <c r="P3" s="56" t="inlineStr">
        <is>
          <t>동일건물</t>
        </is>
      </c>
      <c r="Q3" s="57" t="inlineStr">
        <is>
          <t>유사도점수</t>
        </is>
      </c>
      <c r="R3" s="57" t="inlineStr">
        <is>
          <t>예상단가차율</t>
        </is>
      </c>
      <c r="S3" s="57" t="inlineStr">
        <is>
          <t>예상단가점수</t>
        </is>
      </c>
    </row>
    <row r="4" ht="17.25" customHeight="1">
      <c r="A4" s="151" t="n">
        <v>1</v>
      </c>
      <c r="B4" s="152">
        <f>IF($A4&gt;COUNT('04B_정규화_자동필터'!$X$4:$X$3003),"",MATCH(A4,'04B_정규화_자동필터'!$X$4:$X$3003,0))</f>
        <v/>
      </c>
      <c r="C4" s="152">
        <f>IF($B4="","",INDEX('04B_정규화_자동필터'!$B$4:$B$3003,$B4))</f>
        <v/>
      </c>
      <c r="D4" s="152">
        <f>IF($B4="","",INDEX('04B_정규화_자동필터'!$C$4:$C$3003,$B4))</f>
        <v/>
      </c>
      <c r="E4" s="152">
        <f>IF($B4="","",INDEX('04B_정규화_자동필터'!$D$4:$D$3003,$B4))</f>
        <v/>
      </c>
      <c r="F4" s="172">
        <f>IF($B4="","",INDEX('04B_정규화_자동필터'!$E$4:$E$3003,$B4))</f>
        <v/>
      </c>
      <c r="G4" s="173">
        <f>IF($B4="","",INDEX('04B_정규화_자동필터'!$F$4:$F$3003,$B4))</f>
        <v/>
      </c>
      <c r="H4" s="174">
        <f>IF($B4="","",INDEX('04B_정규화_자동필터'!$H$4:$H$3003,$B4))</f>
        <v/>
      </c>
      <c r="I4" s="174">
        <f>IF($B4="","",INDEX('04B_정규화_자동필터'!$I$4:$I$3003,$B4))</f>
        <v/>
      </c>
      <c r="J4" s="152">
        <f>IF($B4="","",INDEX('04B_정규화_자동필터'!$J$4:$J$3003,$B4))</f>
        <v/>
      </c>
      <c r="K4" s="152">
        <f>IF($B4="","",INDEX('04B_정규화_자동필터'!$K$4:$K$3003,$B4))</f>
        <v/>
      </c>
      <c r="L4" s="152">
        <f>IF($B4="","",INDEX('04B_정규화_자동필터'!$L$4:$L$3003,$B4))</f>
        <v/>
      </c>
      <c r="M4" s="152">
        <f>IF($B4="","",INDEX('04B_정규화_자동필터'!$M$4:$M$3003,$B4))</f>
        <v/>
      </c>
      <c r="N4" s="152">
        <f>IF($B4="","",INDEX('04B_정규화_자동필터'!$O$4:$O$3003,$B4))</f>
        <v/>
      </c>
      <c r="O4" s="152">
        <f>IF($B4="","",INDEX('04B_정규화_자동필터'!$P$4:$P$3003,$B4))</f>
        <v/>
      </c>
      <c r="P4" s="152">
        <f>IF($B4="","",INDEX('04B_정규화_자동필터'!$Q$4:$Q$3003,$B4))</f>
        <v/>
      </c>
      <c r="Q4" s="172">
        <f>IF($B4="","",INDEX('04B_정규화_자동필터'!$W$4:$W$3003,$B4))</f>
        <v/>
      </c>
      <c r="R4" s="175">
        <f>IF($B4="","",INDEX('04B_정규화_자동필터'!$Y$4:$Y$3003,$B4))</f>
        <v/>
      </c>
      <c r="S4" s="172">
        <f>IF($B4="","",INDEX('04B_정규화_자동필터'!$Z$4:$Z$3003,$B4))</f>
        <v/>
      </c>
    </row>
    <row r="5" ht="17.25" customHeight="1">
      <c r="A5" s="151" t="n">
        <v>2</v>
      </c>
      <c r="B5" s="152">
        <f>IF($A5&gt;COUNT('04B_정규화_자동필터'!$X$4:$X$3003),"",MATCH(A5,'04B_정규화_자동필터'!$X$4:$X$3003,0))</f>
        <v/>
      </c>
      <c r="C5" s="152">
        <f>IF($B5="","",INDEX('04B_정규화_자동필터'!$B$4:$B$3003,$B5))</f>
        <v/>
      </c>
      <c r="D5" s="152">
        <f>IF($B5="","",INDEX('04B_정규화_자동필터'!$C$4:$C$3003,$B5))</f>
        <v/>
      </c>
      <c r="E5" s="152">
        <f>IF($B5="","",INDEX('04B_정규화_자동필터'!$D$4:$D$3003,$B5))</f>
        <v/>
      </c>
      <c r="F5" s="172">
        <f>IF($B5="","",INDEX('04B_정규화_자동필터'!$E$4:$E$3003,$B5))</f>
        <v/>
      </c>
      <c r="G5" s="173">
        <f>IF($B5="","",INDEX('04B_정규화_자동필터'!$F$4:$F$3003,$B5))</f>
        <v/>
      </c>
      <c r="H5" s="174">
        <f>IF($B5="","",INDEX('04B_정규화_자동필터'!$H$4:$H$3003,$B5))</f>
        <v/>
      </c>
      <c r="I5" s="174">
        <f>IF($B5="","",INDEX('04B_정규화_자동필터'!$I$4:$I$3003,$B5))</f>
        <v/>
      </c>
      <c r="J5" s="152">
        <f>IF($B5="","",INDEX('04B_정규화_자동필터'!$J$4:$J$3003,$B5))</f>
        <v/>
      </c>
      <c r="K5" s="152">
        <f>IF($B5="","",INDEX('04B_정규화_자동필터'!$K$4:$K$3003,$B5))</f>
        <v/>
      </c>
      <c r="L5" s="152">
        <f>IF($B5="","",INDEX('04B_정규화_자동필터'!$L$4:$L$3003,$B5))</f>
        <v/>
      </c>
      <c r="M5" s="152">
        <f>IF($B5="","",INDEX('04B_정규화_자동필터'!$M$4:$M$3003,$B5))</f>
        <v/>
      </c>
      <c r="N5" s="152">
        <f>IF($B5="","",INDEX('04B_정규화_자동필터'!$O$4:$O$3003,$B5))</f>
        <v/>
      </c>
      <c r="O5" s="152">
        <f>IF($B5="","",INDEX('04B_정규화_자동필터'!$P$4:$P$3003,$B5))</f>
        <v/>
      </c>
      <c r="P5" s="152">
        <f>IF($B5="","",INDEX('04B_정규화_자동필터'!$Q$4:$Q$3003,$B5))</f>
        <v/>
      </c>
      <c r="Q5" s="172">
        <f>IF($B5="","",INDEX('04B_정규화_자동필터'!$W$4:$W$3003,$B5))</f>
        <v/>
      </c>
      <c r="R5" s="175">
        <f>IF($B5="","",INDEX('04B_정규화_자동필터'!$Y$4:$Y$3003,$B5))</f>
        <v/>
      </c>
      <c r="S5" s="172">
        <f>IF($B5="","",INDEX('04B_정규화_자동필터'!$Z$4:$Z$3003,$B5))</f>
        <v/>
      </c>
    </row>
    <row r="6" ht="17.25" customHeight="1">
      <c r="A6" s="151" t="n">
        <v>3</v>
      </c>
      <c r="B6" s="152">
        <f>IF($A6&gt;COUNT('04B_정규화_자동필터'!$X$4:$X$3003),"",MATCH(A6,'04B_정규화_자동필터'!$X$4:$X$3003,0))</f>
        <v/>
      </c>
      <c r="C6" s="152">
        <f>IF($B6="","",INDEX('04B_정규화_자동필터'!$B$4:$B$3003,$B6))</f>
        <v/>
      </c>
      <c r="D6" s="152">
        <f>IF($B6="","",INDEX('04B_정규화_자동필터'!$C$4:$C$3003,$B6))</f>
        <v/>
      </c>
      <c r="E6" s="152">
        <f>IF($B6="","",INDEX('04B_정규화_자동필터'!$D$4:$D$3003,$B6))</f>
        <v/>
      </c>
      <c r="F6" s="172">
        <f>IF($B6="","",INDEX('04B_정규화_자동필터'!$E$4:$E$3003,$B6))</f>
        <v/>
      </c>
      <c r="G6" s="173">
        <f>IF($B6="","",INDEX('04B_정규화_자동필터'!$F$4:$F$3003,$B6))</f>
        <v/>
      </c>
      <c r="H6" s="174">
        <f>IF($B6="","",INDEX('04B_정규화_자동필터'!$H$4:$H$3003,$B6))</f>
        <v/>
      </c>
      <c r="I6" s="174">
        <f>IF($B6="","",INDEX('04B_정규화_자동필터'!$I$4:$I$3003,$B6))</f>
        <v/>
      </c>
      <c r="J6" s="152">
        <f>IF($B6="","",INDEX('04B_정규화_자동필터'!$J$4:$J$3003,$B6))</f>
        <v/>
      </c>
      <c r="K6" s="152">
        <f>IF($B6="","",INDEX('04B_정규화_자동필터'!$K$4:$K$3003,$B6))</f>
        <v/>
      </c>
      <c r="L6" s="152">
        <f>IF($B6="","",INDEX('04B_정규화_자동필터'!$L$4:$L$3003,$B6))</f>
        <v/>
      </c>
      <c r="M6" s="152">
        <f>IF($B6="","",INDEX('04B_정규화_자동필터'!$M$4:$M$3003,$B6))</f>
        <v/>
      </c>
      <c r="N6" s="152">
        <f>IF($B6="","",INDEX('04B_정규화_자동필터'!$O$4:$O$3003,$B6))</f>
        <v/>
      </c>
      <c r="O6" s="152">
        <f>IF($B6="","",INDEX('04B_정규화_자동필터'!$P$4:$P$3003,$B6))</f>
        <v/>
      </c>
      <c r="P6" s="152">
        <f>IF($B6="","",INDEX('04B_정규화_자동필터'!$Q$4:$Q$3003,$B6))</f>
        <v/>
      </c>
      <c r="Q6" s="172">
        <f>IF($B6="","",INDEX('04B_정규화_자동필터'!$W$4:$W$3003,$B6))</f>
        <v/>
      </c>
      <c r="R6" s="175">
        <f>IF($B6="","",INDEX('04B_정규화_자동필터'!$Y$4:$Y$3003,$B6))</f>
        <v/>
      </c>
      <c r="S6" s="172">
        <f>IF($B6="","",INDEX('04B_정규화_자동필터'!$Z$4:$Z$3003,$B6))</f>
        <v/>
      </c>
    </row>
    <row r="7" ht="17.25" customHeight="1">
      <c r="A7" s="151" t="n">
        <v>4</v>
      </c>
      <c r="B7" s="152">
        <f>IF($A7&gt;COUNT('04B_정규화_자동필터'!$X$4:$X$3003),"",MATCH(A7,'04B_정규화_자동필터'!$X$4:$X$3003,0))</f>
        <v/>
      </c>
      <c r="C7" s="152">
        <f>IF($B7="","",INDEX('04B_정규화_자동필터'!$B$4:$B$3003,$B7))</f>
        <v/>
      </c>
      <c r="D7" s="152">
        <f>IF($B7="","",INDEX('04B_정규화_자동필터'!$C$4:$C$3003,$B7))</f>
        <v/>
      </c>
      <c r="E7" s="152">
        <f>IF($B7="","",INDEX('04B_정규화_자동필터'!$D$4:$D$3003,$B7))</f>
        <v/>
      </c>
      <c r="F7" s="172">
        <f>IF($B7="","",INDEX('04B_정규화_자동필터'!$E$4:$E$3003,$B7))</f>
        <v/>
      </c>
      <c r="G7" s="173">
        <f>IF($B7="","",INDEX('04B_정규화_자동필터'!$F$4:$F$3003,$B7))</f>
        <v/>
      </c>
      <c r="H7" s="174">
        <f>IF($B7="","",INDEX('04B_정규화_자동필터'!$H$4:$H$3003,$B7))</f>
        <v/>
      </c>
      <c r="I7" s="174">
        <f>IF($B7="","",INDEX('04B_정규화_자동필터'!$I$4:$I$3003,$B7))</f>
        <v/>
      </c>
      <c r="J7" s="152">
        <f>IF($B7="","",INDEX('04B_정규화_자동필터'!$J$4:$J$3003,$B7))</f>
        <v/>
      </c>
      <c r="K7" s="152">
        <f>IF($B7="","",INDEX('04B_정규화_자동필터'!$K$4:$K$3003,$B7))</f>
        <v/>
      </c>
      <c r="L7" s="152">
        <f>IF($B7="","",INDEX('04B_정규화_자동필터'!$L$4:$L$3003,$B7))</f>
        <v/>
      </c>
      <c r="M7" s="152">
        <f>IF($B7="","",INDEX('04B_정규화_자동필터'!$M$4:$M$3003,$B7))</f>
        <v/>
      </c>
      <c r="N7" s="152">
        <f>IF($B7="","",INDEX('04B_정규화_자동필터'!$O$4:$O$3003,$B7))</f>
        <v/>
      </c>
      <c r="O7" s="152">
        <f>IF($B7="","",INDEX('04B_정규화_자동필터'!$P$4:$P$3003,$B7))</f>
        <v/>
      </c>
      <c r="P7" s="152">
        <f>IF($B7="","",INDEX('04B_정규화_자동필터'!$Q$4:$Q$3003,$B7))</f>
        <v/>
      </c>
      <c r="Q7" s="172">
        <f>IF($B7="","",INDEX('04B_정규화_자동필터'!$W$4:$W$3003,$B7))</f>
        <v/>
      </c>
      <c r="R7" s="175">
        <f>IF($B7="","",INDEX('04B_정규화_자동필터'!$Y$4:$Y$3003,$B7))</f>
        <v/>
      </c>
      <c r="S7" s="172">
        <f>IF($B7="","",INDEX('04B_정규화_자동필터'!$Z$4:$Z$3003,$B7))</f>
        <v/>
      </c>
    </row>
    <row r="8" ht="17.25" customHeight="1">
      <c r="A8" s="151" t="n">
        <v>5</v>
      </c>
      <c r="B8" s="152">
        <f>IF($A8&gt;COUNT('04B_정규화_자동필터'!$X$4:$X$3003),"",MATCH(A8,'04B_정규화_자동필터'!$X$4:$X$3003,0))</f>
        <v/>
      </c>
      <c r="C8" s="152">
        <f>IF($B8="","",INDEX('04B_정규화_자동필터'!$B$4:$B$3003,$B8))</f>
        <v/>
      </c>
      <c r="D8" s="152">
        <f>IF($B8="","",INDEX('04B_정규화_자동필터'!$C$4:$C$3003,$B8))</f>
        <v/>
      </c>
      <c r="E8" s="152">
        <f>IF($B8="","",INDEX('04B_정규화_자동필터'!$D$4:$D$3003,$B8))</f>
        <v/>
      </c>
      <c r="F8" s="172">
        <f>IF($B8="","",INDEX('04B_정규화_자동필터'!$E$4:$E$3003,$B8))</f>
        <v/>
      </c>
      <c r="G8" s="173">
        <f>IF($B8="","",INDEX('04B_정규화_자동필터'!$F$4:$F$3003,$B8))</f>
        <v/>
      </c>
      <c r="H8" s="174">
        <f>IF($B8="","",INDEX('04B_정규화_자동필터'!$H$4:$H$3003,$B8))</f>
        <v/>
      </c>
      <c r="I8" s="174">
        <f>IF($B8="","",INDEX('04B_정규화_자동필터'!$I$4:$I$3003,$B8))</f>
        <v/>
      </c>
      <c r="J8" s="152">
        <f>IF($B8="","",INDEX('04B_정규화_자동필터'!$J$4:$J$3003,$B8))</f>
        <v/>
      </c>
      <c r="K8" s="152">
        <f>IF($B8="","",INDEX('04B_정규화_자동필터'!$K$4:$K$3003,$B8))</f>
        <v/>
      </c>
      <c r="L8" s="152">
        <f>IF($B8="","",INDEX('04B_정규화_자동필터'!$L$4:$L$3003,$B8))</f>
        <v/>
      </c>
      <c r="M8" s="152">
        <f>IF($B8="","",INDEX('04B_정규화_자동필터'!$M$4:$M$3003,$B8))</f>
        <v/>
      </c>
      <c r="N8" s="152">
        <f>IF($B8="","",INDEX('04B_정규화_자동필터'!$O$4:$O$3003,$B8))</f>
        <v/>
      </c>
      <c r="O8" s="152">
        <f>IF($B8="","",INDEX('04B_정규화_자동필터'!$P$4:$P$3003,$B8))</f>
        <v/>
      </c>
      <c r="P8" s="152">
        <f>IF($B8="","",INDEX('04B_정규화_자동필터'!$Q$4:$Q$3003,$B8))</f>
        <v/>
      </c>
      <c r="Q8" s="172">
        <f>IF($B8="","",INDEX('04B_정규화_자동필터'!$W$4:$W$3003,$B8))</f>
        <v/>
      </c>
      <c r="R8" s="175">
        <f>IF($B8="","",INDEX('04B_정규화_자동필터'!$Y$4:$Y$3003,$B8))</f>
        <v/>
      </c>
      <c r="S8" s="172">
        <f>IF($B8="","",INDEX('04B_정규화_자동필터'!$Z$4:$Z$3003,$B8))</f>
        <v/>
      </c>
    </row>
    <row r="9" ht="17.25" customHeight="1">
      <c r="A9" s="151" t="n">
        <v>6</v>
      </c>
      <c r="B9" s="152">
        <f>IF($A9&gt;COUNT('04B_정규화_자동필터'!$X$4:$X$3003),"",MATCH(A9,'04B_정규화_자동필터'!$X$4:$X$3003,0))</f>
        <v/>
      </c>
      <c r="C9" s="152">
        <f>IF($B9="","",INDEX('04B_정규화_자동필터'!$B$4:$B$3003,$B9))</f>
        <v/>
      </c>
      <c r="D9" s="152">
        <f>IF($B9="","",INDEX('04B_정규화_자동필터'!$C$4:$C$3003,$B9))</f>
        <v/>
      </c>
      <c r="E9" s="152">
        <f>IF($B9="","",INDEX('04B_정규화_자동필터'!$D$4:$D$3003,$B9))</f>
        <v/>
      </c>
      <c r="F9" s="172">
        <f>IF($B9="","",INDEX('04B_정규화_자동필터'!$E$4:$E$3003,$B9))</f>
        <v/>
      </c>
      <c r="G9" s="173">
        <f>IF($B9="","",INDEX('04B_정규화_자동필터'!$F$4:$F$3003,$B9))</f>
        <v/>
      </c>
      <c r="H9" s="174">
        <f>IF($B9="","",INDEX('04B_정규화_자동필터'!$H$4:$H$3003,$B9))</f>
        <v/>
      </c>
      <c r="I9" s="174">
        <f>IF($B9="","",INDEX('04B_정규화_자동필터'!$I$4:$I$3003,$B9))</f>
        <v/>
      </c>
      <c r="J9" s="152">
        <f>IF($B9="","",INDEX('04B_정규화_자동필터'!$J$4:$J$3003,$B9))</f>
        <v/>
      </c>
      <c r="K9" s="152">
        <f>IF($B9="","",INDEX('04B_정규화_자동필터'!$K$4:$K$3003,$B9))</f>
        <v/>
      </c>
      <c r="L9" s="152">
        <f>IF($B9="","",INDEX('04B_정규화_자동필터'!$L$4:$L$3003,$B9))</f>
        <v/>
      </c>
      <c r="M9" s="152">
        <f>IF($B9="","",INDEX('04B_정규화_자동필터'!$M$4:$M$3003,$B9))</f>
        <v/>
      </c>
      <c r="N9" s="152">
        <f>IF($B9="","",INDEX('04B_정규화_자동필터'!$O$4:$O$3003,$B9))</f>
        <v/>
      </c>
      <c r="O9" s="152">
        <f>IF($B9="","",INDEX('04B_정규화_자동필터'!$P$4:$P$3003,$B9))</f>
        <v/>
      </c>
      <c r="P9" s="152">
        <f>IF($B9="","",INDEX('04B_정규화_자동필터'!$Q$4:$Q$3003,$B9))</f>
        <v/>
      </c>
      <c r="Q9" s="172">
        <f>IF($B9="","",INDEX('04B_정규화_자동필터'!$W$4:$W$3003,$B9))</f>
        <v/>
      </c>
      <c r="R9" s="175">
        <f>IF($B9="","",INDEX('04B_정규화_자동필터'!$Y$4:$Y$3003,$B9))</f>
        <v/>
      </c>
      <c r="S9" s="172">
        <f>IF($B9="","",INDEX('04B_정규화_자동필터'!$Z$4:$Z$3003,$B9))</f>
        <v/>
      </c>
    </row>
    <row r="10" ht="17.25" customHeight="1">
      <c r="A10" s="151" t="n">
        <v>7</v>
      </c>
      <c r="B10" s="152">
        <f>IF($A10&gt;COUNT('04B_정규화_자동필터'!$X$4:$X$3003),"",MATCH(A10,'04B_정규화_자동필터'!$X$4:$X$3003,0))</f>
        <v/>
      </c>
      <c r="C10" s="152">
        <f>IF($B10="","",INDEX('04B_정규화_자동필터'!$B$4:$B$3003,$B10))</f>
        <v/>
      </c>
      <c r="D10" s="152">
        <f>IF($B10="","",INDEX('04B_정규화_자동필터'!$C$4:$C$3003,$B10))</f>
        <v/>
      </c>
      <c r="E10" s="152">
        <f>IF($B10="","",INDEX('04B_정규화_자동필터'!$D$4:$D$3003,$B10))</f>
        <v/>
      </c>
      <c r="F10" s="172">
        <f>IF($B10="","",INDEX('04B_정규화_자동필터'!$E$4:$E$3003,$B10))</f>
        <v/>
      </c>
      <c r="G10" s="173">
        <f>IF($B10="","",INDEX('04B_정규화_자동필터'!$F$4:$F$3003,$B10))</f>
        <v/>
      </c>
      <c r="H10" s="174">
        <f>IF($B10="","",INDEX('04B_정규화_자동필터'!$H$4:$H$3003,$B10))</f>
        <v/>
      </c>
      <c r="I10" s="174">
        <f>IF($B10="","",INDEX('04B_정규화_자동필터'!$I$4:$I$3003,$B10))</f>
        <v/>
      </c>
      <c r="J10" s="152">
        <f>IF($B10="","",INDEX('04B_정규화_자동필터'!$J$4:$J$3003,$B10))</f>
        <v/>
      </c>
      <c r="K10" s="152">
        <f>IF($B10="","",INDEX('04B_정규화_자동필터'!$K$4:$K$3003,$B10))</f>
        <v/>
      </c>
      <c r="L10" s="152">
        <f>IF($B10="","",INDEX('04B_정규화_자동필터'!$L$4:$L$3003,$B10))</f>
        <v/>
      </c>
      <c r="M10" s="152">
        <f>IF($B10="","",INDEX('04B_정규화_자동필터'!$M$4:$M$3003,$B10))</f>
        <v/>
      </c>
      <c r="N10" s="152">
        <f>IF($B10="","",INDEX('04B_정규화_자동필터'!$O$4:$O$3003,$B10))</f>
        <v/>
      </c>
      <c r="O10" s="152">
        <f>IF($B10="","",INDEX('04B_정규화_자동필터'!$P$4:$P$3003,$B10))</f>
        <v/>
      </c>
      <c r="P10" s="152">
        <f>IF($B10="","",INDEX('04B_정규화_자동필터'!$Q$4:$Q$3003,$B10))</f>
        <v/>
      </c>
      <c r="Q10" s="172">
        <f>IF($B10="","",INDEX('04B_정규화_자동필터'!$W$4:$W$3003,$B10))</f>
        <v/>
      </c>
      <c r="R10" s="175">
        <f>IF($B10="","",INDEX('04B_정규화_자동필터'!$Y$4:$Y$3003,$B10))</f>
        <v/>
      </c>
      <c r="S10" s="172">
        <f>IF($B10="","",INDEX('04B_정규화_자동필터'!$Z$4:$Z$3003,$B10))</f>
        <v/>
      </c>
    </row>
    <row r="11" ht="17.25" customHeight="1">
      <c r="A11" s="151" t="n">
        <v>8</v>
      </c>
      <c r="B11" s="152">
        <f>IF($A11&gt;COUNT('04B_정규화_자동필터'!$X$4:$X$3003),"",MATCH(A11,'04B_정규화_자동필터'!$X$4:$X$3003,0))</f>
        <v/>
      </c>
      <c r="C11" s="152">
        <f>IF($B11="","",INDEX('04B_정규화_자동필터'!$B$4:$B$3003,$B11))</f>
        <v/>
      </c>
      <c r="D11" s="152">
        <f>IF($B11="","",INDEX('04B_정규화_자동필터'!$C$4:$C$3003,$B11))</f>
        <v/>
      </c>
      <c r="E11" s="152">
        <f>IF($B11="","",INDEX('04B_정규화_자동필터'!$D$4:$D$3003,$B11))</f>
        <v/>
      </c>
      <c r="F11" s="172">
        <f>IF($B11="","",INDEX('04B_정규화_자동필터'!$E$4:$E$3003,$B11))</f>
        <v/>
      </c>
      <c r="G11" s="173">
        <f>IF($B11="","",INDEX('04B_정규화_자동필터'!$F$4:$F$3003,$B11))</f>
        <v/>
      </c>
      <c r="H11" s="174">
        <f>IF($B11="","",INDEX('04B_정규화_자동필터'!$H$4:$H$3003,$B11))</f>
        <v/>
      </c>
      <c r="I11" s="174">
        <f>IF($B11="","",INDEX('04B_정규화_자동필터'!$I$4:$I$3003,$B11))</f>
        <v/>
      </c>
      <c r="J11" s="152">
        <f>IF($B11="","",INDEX('04B_정규화_자동필터'!$J$4:$J$3003,$B11))</f>
        <v/>
      </c>
      <c r="K11" s="152">
        <f>IF($B11="","",INDEX('04B_정규화_자동필터'!$K$4:$K$3003,$B11))</f>
        <v/>
      </c>
      <c r="L11" s="152">
        <f>IF($B11="","",INDEX('04B_정규화_자동필터'!$L$4:$L$3003,$B11))</f>
        <v/>
      </c>
      <c r="M11" s="152">
        <f>IF($B11="","",INDEX('04B_정규화_자동필터'!$M$4:$M$3003,$B11))</f>
        <v/>
      </c>
      <c r="N11" s="152">
        <f>IF($B11="","",INDEX('04B_정규화_자동필터'!$O$4:$O$3003,$B11))</f>
        <v/>
      </c>
      <c r="O11" s="152">
        <f>IF($B11="","",INDEX('04B_정규화_자동필터'!$P$4:$P$3003,$B11))</f>
        <v/>
      </c>
      <c r="P11" s="152">
        <f>IF($B11="","",INDEX('04B_정규화_자동필터'!$Q$4:$Q$3003,$B11))</f>
        <v/>
      </c>
      <c r="Q11" s="172">
        <f>IF($B11="","",INDEX('04B_정규화_자동필터'!$W$4:$W$3003,$B11))</f>
        <v/>
      </c>
      <c r="R11" s="175">
        <f>IF($B11="","",INDEX('04B_정규화_자동필터'!$Y$4:$Y$3003,$B11))</f>
        <v/>
      </c>
      <c r="S11" s="172">
        <f>IF($B11="","",INDEX('04B_정규화_자동필터'!$Z$4:$Z$3003,$B11))</f>
        <v/>
      </c>
    </row>
    <row r="12" ht="17.25" customHeight="1">
      <c r="A12" s="151" t="n">
        <v>9</v>
      </c>
      <c r="B12" s="152">
        <f>IF($A12&gt;COUNT('04B_정규화_자동필터'!$X$4:$X$3003),"",MATCH(A12,'04B_정규화_자동필터'!$X$4:$X$3003,0))</f>
        <v/>
      </c>
      <c r="C12" s="152">
        <f>IF($B12="","",INDEX('04B_정규화_자동필터'!$B$4:$B$3003,$B12))</f>
        <v/>
      </c>
      <c r="D12" s="152">
        <f>IF($B12="","",INDEX('04B_정규화_자동필터'!$C$4:$C$3003,$B12))</f>
        <v/>
      </c>
      <c r="E12" s="152">
        <f>IF($B12="","",INDEX('04B_정규화_자동필터'!$D$4:$D$3003,$B12))</f>
        <v/>
      </c>
      <c r="F12" s="172">
        <f>IF($B12="","",INDEX('04B_정규화_자동필터'!$E$4:$E$3003,$B12))</f>
        <v/>
      </c>
      <c r="G12" s="173">
        <f>IF($B12="","",INDEX('04B_정규화_자동필터'!$F$4:$F$3003,$B12))</f>
        <v/>
      </c>
      <c r="H12" s="174">
        <f>IF($B12="","",INDEX('04B_정규화_자동필터'!$H$4:$H$3003,$B12))</f>
        <v/>
      </c>
      <c r="I12" s="174">
        <f>IF($B12="","",INDEX('04B_정규화_자동필터'!$I$4:$I$3003,$B12))</f>
        <v/>
      </c>
      <c r="J12" s="152">
        <f>IF($B12="","",INDEX('04B_정규화_자동필터'!$J$4:$J$3003,$B12))</f>
        <v/>
      </c>
      <c r="K12" s="152">
        <f>IF($B12="","",INDEX('04B_정규화_자동필터'!$K$4:$K$3003,$B12))</f>
        <v/>
      </c>
      <c r="L12" s="152">
        <f>IF($B12="","",INDEX('04B_정규화_자동필터'!$L$4:$L$3003,$B12))</f>
        <v/>
      </c>
      <c r="M12" s="152">
        <f>IF($B12="","",INDEX('04B_정규화_자동필터'!$M$4:$M$3003,$B12))</f>
        <v/>
      </c>
      <c r="N12" s="152">
        <f>IF($B12="","",INDEX('04B_정규화_자동필터'!$O$4:$O$3003,$B12))</f>
        <v/>
      </c>
      <c r="O12" s="152">
        <f>IF($B12="","",INDEX('04B_정규화_자동필터'!$P$4:$P$3003,$B12))</f>
        <v/>
      </c>
      <c r="P12" s="152">
        <f>IF($B12="","",INDEX('04B_정규화_자동필터'!$Q$4:$Q$3003,$B12))</f>
        <v/>
      </c>
      <c r="Q12" s="172">
        <f>IF($B12="","",INDEX('04B_정규화_자동필터'!$W$4:$W$3003,$B12))</f>
        <v/>
      </c>
      <c r="R12" s="175">
        <f>IF($B12="","",INDEX('04B_정규화_자동필터'!$Y$4:$Y$3003,$B12))</f>
        <v/>
      </c>
      <c r="S12" s="172">
        <f>IF($B12="","",INDEX('04B_정규화_자동필터'!$Z$4:$Z$3003,$B12))</f>
        <v/>
      </c>
    </row>
    <row r="13" ht="17.25" customHeight="1">
      <c r="A13" s="151" t="n">
        <v>10</v>
      </c>
      <c r="B13" s="152">
        <f>IF($A13&gt;COUNT('04B_정규화_자동필터'!$X$4:$X$3003),"",MATCH(A13,'04B_정규화_자동필터'!$X$4:$X$3003,0))</f>
        <v/>
      </c>
      <c r="C13" s="152">
        <f>IF($B13="","",INDEX('04B_정규화_자동필터'!$B$4:$B$3003,$B13))</f>
        <v/>
      </c>
      <c r="D13" s="152">
        <f>IF($B13="","",INDEX('04B_정규화_자동필터'!$C$4:$C$3003,$B13))</f>
        <v/>
      </c>
      <c r="E13" s="152">
        <f>IF($B13="","",INDEX('04B_정규화_자동필터'!$D$4:$D$3003,$B13))</f>
        <v/>
      </c>
      <c r="F13" s="172">
        <f>IF($B13="","",INDEX('04B_정규화_자동필터'!$E$4:$E$3003,$B13))</f>
        <v/>
      </c>
      <c r="G13" s="173">
        <f>IF($B13="","",INDEX('04B_정규화_자동필터'!$F$4:$F$3003,$B13))</f>
        <v/>
      </c>
      <c r="H13" s="174">
        <f>IF($B13="","",INDEX('04B_정규화_자동필터'!$H$4:$H$3003,$B13))</f>
        <v/>
      </c>
      <c r="I13" s="174">
        <f>IF($B13="","",INDEX('04B_정규화_자동필터'!$I$4:$I$3003,$B13))</f>
        <v/>
      </c>
      <c r="J13" s="152">
        <f>IF($B13="","",INDEX('04B_정규화_자동필터'!$J$4:$J$3003,$B13))</f>
        <v/>
      </c>
      <c r="K13" s="152">
        <f>IF($B13="","",INDEX('04B_정규화_자동필터'!$K$4:$K$3003,$B13))</f>
        <v/>
      </c>
      <c r="L13" s="152">
        <f>IF($B13="","",INDEX('04B_정규화_자동필터'!$L$4:$L$3003,$B13))</f>
        <v/>
      </c>
      <c r="M13" s="152">
        <f>IF($B13="","",INDEX('04B_정규화_자동필터'!$M$4:$M$3003,$B13))</f>
        <v/>
      </c>
      <c r="N13" s="152">
        <f>IF($B13="","",INDEX('04B_정규화_자동필터'!$O$4:$O$3003,$B13))</f>
        <v/>
      </c>
      <c r="O13" s="152">
        <f>IF($B13="","",INDEX('04B_정규화_자동필터'!$P$4:$P$3003,$B13))</f>
        <v/>
      </c>
      <c r="P13" s="152">
        <f>IF($B13="","",INDEX('04B_정규화_자동필터'!$Q$4:$Q$3003,$B13))</f>
        <v/>
      </c>
      <c r="Q13" s="172">
        <f>IF($B13="","",INDEX('04B_정규화_자동필터'!$W$4:$W$3003,$B13))</f>
        <v/>
      </c>
      <c r="R13" s="175">
        <f>IF($B13="","",INDEX('04B_정규화_자동필터'!$Y$4:$Y$3003,$B13))</f>
        <v/>
      </c>
      <c r="S13" s="172">
        <f>IF($B13="","",INDEX('04B_정규화_자동필터'!$Z$4:$Z$3003,$B13))</f>
        <v/>
      </c>
    </row>
    <row r="14" ht="17.25" customHeight="1">
      <c r="A14" s="151" t="n">
        <v>11</v>
      </c>
      <c r="B14" s="152">
        <f>IF($A14&gt;COUNT('04B_정규화_자동필터'!$X$4:$X$3003),"",MATCH(A14,'04B_정규화_자동필터'!$X$4:$X$3003,0))</f>
        <v/>
      </c>
      <c r="C14" s="152">
        <f>IF($B14="","",INDEX('04B_정규화_자동필터'!$B$4:$B$3003,$B14))</f>
        <v/>
      </c>
      <c r="D14" s="152">
        <f>IF($B14="","",INDEX('04B_정규화_자동필터'!$C$4:$C$3003,$B14))</f>
        <v/>
      </c>
      <c r="E14" s="152">
        <f>IF($B14="","",INDEX('04B_정규화_자동필터'!$D$4:$D$3003,$B14))</f>
        <v/>
      </c>
      <c r="F14" s="172">
        <f>IF($B14="","",INDEX('04B_정규화_자동필터'!$E$4:$E$3003,$B14))</f>
        <v/>
      </c>
      <c r="G14" s="173">
        <f>IF($B14="","",INDEX('04B_정규화_자동필터'!$F$4:$F$3003,$B14))</f>
        <v/>
      </c>
      <c r="H14" s="174">
        <f>IF($B14="","",INDEX('04B_정규화_자동필터'!$H$4:$H$3003,$B14))</f>
        <v/>
      </c>
      <c r="I14" s="174">
        <f>IF($B14="","",INDEX('04B_정규화_자동필터'!$I$4:$I$3003,$B14))</f>
        <v/>
      </c>
      <c r="J14" s="152">
        <f>IF($B14="","",INDEX('04B_정규화_자동필터'!$J$4:$J$3003,$B14))</f>
        <v/>
      </c>
      <c r="K14" s="152">
        <f>IF($B14="","",INDEX('04B_정규화_자동필터'!$K$4:$K$3003,$B14))</f>
        <v/>
      </c>
      <c r="L14" s="152">
        <f>IF($B14="","",INDEX('04B_정규화_자동필터'!$L$4:$L$3003,$B14))</f>
        <v/>
      </c>
      <c r="M14" s="152">
        <f>IF($B14="","",INDEX('04B_정규화_자동필터'!$M$4:$M$3003,$B14))</f>
        <v/>
      </c>
      <c r="N14" s="152">
        <f>IF($B14="","",INDEX('04B_정규화_자동필터'!$O$4:$O$3003,$B14))</f>
        <v/>
      </c>
      <c r="O14" s="152">
        <f>IF($B14="","",INDEX('04B_정규화_자동필터'!$P$4:$P$3003,$B14))</f>
        <v/>
      </c>
      <c r="P14" s="152">
        <f>IF($B14="","",INDEX('04B_정규화_자동필터'!$Q$4:$Q$3003,$B14))</f>
        <v/>
      </c>
      <c r="Q14" s="172">
        <f>IF($B14="","",INDEX('04B_정규화_자동필터'!$W$4:$W$3003,$B14))</f>
        <v/>
      </c>
      <c r="R14" s="175">
        <f>IF($B14="","",INDEX('04B_정규화_자동필터'!$Y$4:$Y$3003,$B14))</f>
        <v/>
      </c>
      <c r="S14" s="172">
        <f>IF($B14="","",INDEX('04B_정규화_자동필터'!$Z$4:$Z$3003,$B14))</f>
        <v/>
      </c>
    </row>
    <row r="15" ht="17.25" customHeight="1">
      <c r="A15" s="151" t="n">
        <v>12</v>
      </c>
      <c r="B15" s="152">
        <f>IF($A15&gt;COUNT('04B_정규화_자동필터'!$X$4:$X$3003),"",MATCH(A15,'04B_정규화_자동필터'!$X$4:$X$3003,0))</f>
        <v/>
      </c>
      <c r="C15" s="152">
        <f>IF($B15="","",INDEX('04B_정규화_자동필터'!$B$4:$B$3003,$B15))</f>
        <v/>
      </c>
      <c r="D15" s="152">
        <f>IF($B15="","",INDEX('04B_정규화_자동필터'!$C$4:$C$3003,$B15))</f>
        <v/>
      </c>
      <c r="E15" s="152">
        <f>IF($B15="","",INDEX('04B_정규화_자동필터'!$D$4:$D$3003,$B15))</f>
        <v/>
      </c>
      <c r="F15" s="172">
        <f>IF($B15="","",INDEX('04B_정규화_자동필터'!$E$4:$E$3003,$B15))</f>
        <v/>
      </c>
      <c r="G15" s="173">
        <f>IF($B15="","",INDEX('04B_정규화_자동필터'!$F$4:$F$3003,$B15))</f>
        <v/>
      </c>
      <c r="H15" s="174">
        <f>IF($B15="","",INDEX('04B_정규화_자동필터'!$H$4:$H$3003,$B15))</f>
        <v/>
      </c>
      <c r="I15" s="174">
        <f>IF($B15="","",INDEX('04B_정규화_자동필터'!$I$4:$I$3003,$B15))</f>
        <v/>
      </c>
      <c r="J15" s="152">
        <f>IF($B15="","",INDEX('04B_정규화_자동필터'!$J$4:$J$3003,$B15))</f>
        <v/>
      </c>
      <c r="K15" s="152">
        <f>IF($B15="","",INDEX('04B_정규화_자동필터'!$K$4:$K$3003,$B15))</f>
        <v/>
      </c>
      <c r="L15" s="152">
        <f>IF($B15="","",INDEX('04B_정규화_자동필터'!$L$4:$L$3003,$B15))</f>
        <v/>
      </c>
      <c r="M15" s="152">
        <f>IF($B15="","",INDEX('04B_정규화_자동필터'!$M$4:$M$3003,$B15))</f>
        <v/>
      </c>
      <c r="N15" s="152">
        <f>IF($B15="","",INDEX('04B_정규화_자동필터'!$O$4:$O$3003,$B15))</f>
        <v/>
      </c>
      <c r="O15" s="152">
        <f>IF($B15="","",INDEX('04B_정규화_자동필터'!$P$4:$P$3003,$B15))</f>
        <v/>
      </c>
      <c r="P15" s="152">
        <f>IF($B15="","",INDEX('04B_정규화_자동필터'!$Q$4:$Q$3003,$B15))</f>
        <v/>
      </c>
      <c r="Q15" s="172">
        <f>IF($B15="","",INDEX('04B_정규화_자동필터'!$W$4:$W$3003,$B15))</f>
        <v/>
      </c>
      <c r="R15" s="175">
        <f>IF($B15="","",INDEX('04B_정규화_자동필터'!$Y$4:$Y$3003,$B15))</f>
        <v/>
      </c>
      <c r="S15" s="172">
        <f>IF($B15="","",INDEX('04B_정규화_자동필터'!$Z$4:$Z$3003,$B15))</f>
        <v/>
      </c>
    </row>
    <row r="16" ht="17.25" customHeight="1">
      <c r="A16" s="151" t="n">
        <v>13</v>
      </c>
      <c r="B16" s="152">
        <f>IF($A16&gt;COUNT('04B_정규화_자동필터'!$X$4:$X$3003),"",MATCH(A16,'04B_정규화_자동필터'!$X$4:$X$3003,0))</f>
        <v/>
      </c>
      <c r="C16" s="152">
        <f>IF($B16="","",INDEX('04B_정규화_자동필터'!$B$4:$B$3003,$B16))</f>
        <v/>
      </c>
      <c r="D16" s="152">
        <f>IF($B16="","",INDEX('04B_정규화_자동필터'!$C$4:$C$3003,$B16))</f>
        <v/>
      </c>
      <c r="E16" s="152">
        <f>IF($B16="","",INDEX('04B_정규화_자동필터'!$D$4:$D$3003,$B16))</f>
        <v/>
      </c>
      <c r="F16" s="172">
        <f>IF($B16="","",INDEX('04B_정규화_자동필터'!$E$4:$E$3003,$B16))</f>
        <v/>
      </c>
      <c r="G16" s="173">
        <f>IF($B16="","",INDEX('04B_정규화_자동필터'!$F$4:$F$3003,$B16))</f>
        <v/>
      </c>
      <c r="H16" s="174">
        <f>IF($B16="","",INDEX('04B_정규화_자동필터'!$H$4:$H$3003,$B16))</f>
        <v/>
      </c>
      <c r="I16" s="174">
        <f>IF($B16="","",INDEX('04B_정규화_자동필터'!$I$4:$I$3003,$B16))</f>
        <v/>
      </c>
      <c r="J16" s="152">
        <f>IF($B16="","",INDEX('04B_정규화_자동필터'!$J$4:$J$3003,$B16))</f>
        <v/>
      </c>
      <c r="K16" s="152">
        <f>IF($B16="","",INDEX('04B_정규화_자동필터'!$K$4:$K$3003,$B16))</f>
        <v/>
      </c>
      <c r="L16" s="152">
        <f>IF($B16="","",INDEX('04B_정규화_자동필터'!$L$4:$L$3003,$B16))</f>
        <v/>
      </c>
      <c r="M16" s="152">
        <f>IF($B16="","",INDEX('04B_정규화_자동필터'!$M$4:$M$3003,$B16))</f>
        <v/>
      </c>
      <c r="N16" s="152">
        <f>IF($B16="","",INDEX('04B_정규화_자동필터'!$O$4:$O$3003,$B16))</f>
        <v/>
      </c>
      <c r="O16" s="152">
        <f>IF($B16="","",INDEX('04B_정규화_자동필터'!$P$4:$P$3003,$B16))</f>
        <v/>
      </c>
      <c r="P16" s="152">
        <f>IF($B16="","",INDEX('04B_정규화_자동필터'!$Q$4:$Q$3003,$B16))</f>
        <v/>
      </c>
      <c r="Q16" s="172">
        <f>IF($B16="","",INDEX('04B_정규화_자동필터'!$W$4:$W$3003,$B16))</f>
        <v/>
      </c>
      <c r="R16" s="175">
        <f>IF($B16="","",INDEX('04B_정규화_자동필터'!$Y$4:$Y$3003,$B16))</f>
        <v/>
      </c>
      <c r="S16" s="172">
        <f>IF($B16="","",INDEX('04B_정규화_자동필터'!$Z$4:$Z$3003,$B16))</f>
        <v/>
      </c>
    </row>
    <row r="17" ht="17.25" customHeight="1">
      <c r="A17" s="151" t="n">
        <v>14</v>
      </c>
      <c r="B17" s="152">
        <f>IF($A17&gt;COUNT('04B_정규화_자동필터'!$X$4:$X$3003),"",MATCH(A17,'04B_정규화_자동필터'!$X$4:$X$3003,0))</f>
        <v/>
      </c>
      <c r="C17" s="152">
        <f>IF($B17="","",INDEX('04B_정규화_자동필터'!$B$4:$B$3003,$B17))</f>
        <v/>
      </c>
      <c r="D17" s="152">
        <f>IF($B17="","",INDEX('04B_정규화_자동필터'!$C$4:$C$3003,$B17))</f>
        <v/>
      </c>
      <c r="E17" s="152">
        <f>IF($B17="","",INDEX('04B_정규화_자동필터'!$D$4:$D$3003,$B17))</f>
        <v/>
      </c>
      <c r="F17" s="172">
        <f>IF($B17="","",INDEX('04B_정규화_자동필터'!$E$4:$E$3003,$B17))</f>
        <v/>
      </c>
      <c r="G17" s="173">
        <f>IF($B17="","",INDEX('04B_정규화_자동필터'!$F$4:$F$3003,$B17))</f>
        <v/>
      </c>
      <c r="H17" s="174">
        <f>IF($B17="","",INDEX('04B_정규화_자동필터'!$H$4:$H$3003,$B17))</f>
        <v/>
      </c>
      <c r="I17" s="174">
        <f>IF($B17="","",INDEX('04B_정규화_자동필터'!$I$4:$I$3003,$B17))</f>
        <v/>
      </c>
      <c r="J17" s="152">
        <f>IF($B17="","",INDEX('04B_정규화_자동필터'!$J$4:$J$3003,$B17))</f>
        <v/>
      </c>
      <c r="K17" s="152">
        <f>IF($B17="","",INDEX('04B_정규화_자동필터'!$K$4:$K$3003,$B17))</f>
        <v/>
      </c>
      <c r="L17" s="152">
        <f>IF($B17="","",INDEX('04B_정규화_자동필터'!$L$4:$L$3003,$B17))</f>
        <v/>
      </c>
      <c r="M17" s="152">
        <f>IF($B17="","",INDEX('04B_정규화_자동필터'!$M$4:$M$3003,$B17))</f>
        <v/>
      </c>
      <c r="N17" s="152">
        <f>IF($B17="","",INDEX('04B_정규화_자동필터'!$O$4:$O$3003,$B17))</f>
        <v/>
      </c>
      <c r="O17" s="152">
        <f>IF($B17="","",INDEX('04B_정규화_자동필터'!$P$4:$P$3003,$B17))</f>
        <v/>
      </c>
      <c r="P17" s="152">
        <f>IF($B17="","",INDEX('04B_정규화_자동필터'!$Q$4:$Q$3003,$B17))</f>
        <v/>
      </c>
      <c r="Q17" s="172">
        <f>IF($B17="","",INDEX('04B_정규화_자동필터'!$W$4:$W$3003,$B17))</f>
        <v/>
      </c>
      <c r="R17" s="175">
        <f>IF($B17="","",INDEX('04B_정규화_자동필터'!$Y$4:$Y$3003,$B17))</f>
        <v/>
      </c>
      <c r="S17" s="172">
        <f>IF($B17="","",INDEX('04B_정규화_자동필터'!$Z$4:$Z$3003,$B17))</f>
        <v/>
      </c>
    </row>
    <row r="18" ht="17.25" customHeight="1">
      <c r="A18" s="151" t="n">
        <v>15</v>
      </c>
      <c r="B18" s="152">
        <f>IF($A18&gt;COUNT('04B_정규화_자동필터'!$X$4:$X$3003),"",MATCH(A18,'04B_정규화_자동필터'!$X$4:$X$3003,0))</f>
        <v/>
      </c>
      <c r="C18" s="152">
        <f>IF($B18="","",INDEX('04B_정규화_자동필터'!$B$4:$B$3003,$B18))</f>
        <v/>
      </c>
      <c r="D18" s="152">
        <f>IF($B18="","",INDEX('04B_정규화_자동필터'!$C$4:$C$3003,$B18))</f>
        <v/>
      </c>
      <c r="E18" s="152">
        <f>IF($B18="","",INDEX('04B_정규화_자동필터'!$D$4:$D$3003,$B18))</f>
        <v/>
      </c>
      <c r="F18" s="172">
        <f>IF($B18="","",INDEX('04B_정규화_자동필터'!$E$4:$E$3003,$B18))</f>
        <v/>
      </c>
      <c r="G18" s="173">
        <f>IF($B18="","",INDEX('04B_정규화_자동필터'!$F$4:$F$3003,$B18))</f>
        <v/>
      </c>
      <c r="H18" s="174">
        <f>IF($B18="","",INDEX('04B_정규화_자동필터'!$H$4:$H$3003,$B18))</f>
        <v/>
      </c>
      <c r="I18" s="174">
        <f>IF($B18="","",INDEX('04B_정규화_자동필터'!$I$4:$I$3003,$B18))</f>
        <v/>
      </c>
      <c r="J18" s="152">
        <f>IF($B18="","",INDEX('04B_정규화_자동필터'!$J$4:$J$3003,$B18))</f>
        <v/>
      </c>
      <c r="K18" s="152">
        <f>IF($B18="","",INDEX('04B_정규화_자동필터'!$K$4:$K$3003,$B18))</f>
        <v/>
      </c>
      <c r="L18" s="152">
        <f>IF($B18="","",INDEX('04B_정규화_자동필터'!$L$4:$L$3003,$B18))</f>
        <v/>
      </c>
      <c r="M18" s="152">
        <f>IF($B18="","",INDEX('04B_정규화_자동필터'!$M$4:$M$3003,$B18))</f>
        <v/>
      </c>
      <c r="N18" s="152">
        <f>IF($B18="","",INDEX('04B_정규화_자동필터'!$O$4:$O$3003,$B18))</f>
        <v/>
      </c>
      <c r="O18" s="152">
        <f>IF($B18="","",INDEX('04B_정규화_자동필터'!$P$4:$P$3003,$B18))</f>
        <v/>
      </c>
      <c r="P18" s="152">
        <f>IF($B18="","",INDEX('04B_정규화_자동필터'!$Q$4:$Q$3003,$B18))</f>
        <v/>
      </c>
      <c r="Q18" s="172">
        <f>IF($B18="","",INDEX('04B_정규화_자동필터'!$W$4:$W$3003,$B18))</f>
        <v/>
      </c>
      <c r="R18" s="175">
        <f>IF($B18="","",INDEX('04B_정규화_자동필터'!$Y$4:$Y$3003,$B18))</f>
        <v/>
      </c>
      <c r="S18" s="172">
        <f>IF($B18="","",INDEX('04B_정규화_자동필터'!$Z$4:$Z$3003,$B18))</f>
        <v/>
      </c>
    </row>
    <row r="19" ht="17.25" customHeight="1">
      <c r="A19" s="151" t="n">
        <v>16</v>
      </c>
      <c r="B19" s="152">
        <f>IF($A19&gt;COUNT('04B_정규화_자동필터'!$X$4:$X$3003),"",MATCH(A19,'04B_정규화_자동필터'!$X$4:$X$3003,0))</f>
        <v/>
      </c>
      <c r="C19" s="152">
        <f>IF($B19="","",INDEX('04B_정규화_자동필터'!$B$4:$B$3003,$B19))</f>
        <v/>
      </c>
      <c r="D19" s="152">
        <f>IF($B19="","",INDEX('04B_정규화_자동필터'!$C$4:$C$3003,$B19))</f>
        <v/>
      </c>
      <c r="E19" s="152">
        <f>IF($B19="","",INDEX('04B_정규화_자동필터'!$D$4:$D$3003,$B19))</f>
        <v/>
      </c>
      <c r="F19" s="172">
        <f>IF($B19="","",INDEX('04B_정규화_자동필터'!$E$4:$E$3003,$B19))</f>
        <v/>
      </c>
      <c r="G19" s="173">
        <f>IF($B19="","",INDEX('04B_정규화_자동필터'!$F$4:$F$3003,$B19))</f>
        <v/>
      </c>
      <c r="H19" s="174">
        <f>IF($B19="","",INDEX('04B_정규화_자동필터'!$H$4:$H$3003,$B19))</f>
        <v/>
      </c>
      <c r="I19" s="174">
        <f>IF($B19="","",INDEX('04B_정규화_자동필터'!$I$4:$I$3003,$B19))</f>
        <v/>
      </c>
      <c r="J19" s="152">
        <f>IF($B19="","",INDEX('04B_정규화_자동필터'!$J$4:$J$3003,$B19))</f>
        <v/>
      </c>
      <c r="K19" s="152">
        <f>IF($B19="","",INDEX('04B_정규화_자동필터'!$K$4:$K$3003,$B19))</f>
        <v/>
      </c>
      <c r="L19" s="152">
        <f>IF($B19="","",INDEX('04B_정규화_자동필터'!$L$4:$L$3003,$B19))</f>
        <v/>
      </c>
      <c r="M19" s="152">
        <f>IF($B19="","",INDEX('04B_정규화_자동필터'!$M$4:$M$3003,$B19))</f>
        <v/>
      </c>
      <c r="N19" s="152">
        <f>IF($B19="","",INDEX('04B_정규화_자동필터'!$O$4:$O$3003,$B19))</f>
        <v/>
      </c>
      <c r="O19" s="152">
        <f>IF($B19="","",INDEX('04B_정규화_자동필터'!$P$4:$P$3003,$B19))</f>
        <v/>
      </c>
      <c r="P19" s="152">
        <f>IF($B19="","",INDEX('04B_정규화_자동필터'!$Q$4:$Q$3003,$B19))</f>
        <v/>
      </c>
      <c r="Q19" s="172">
        <f>IF($B19="","",INDEX('04B_정규화_자동필터'!$W$4:$W$3003,$B19))</f>
        <v/>
      </c>
      <c r="R19" s="175">
        <f>IF($B19="","",INDEX('04B_정규화_자동필터'!$Y$4:$Y$3003,$B19))</f>
        <v/>
      </c>
      <c r="S19" s="172">
        <f>IF($B19="","",INDEX('04B_정규화_자동필터'!$Z$4:$Z$3003,$B19))</f>
        <v/>
      </c>
    </row>
    <row r="20" ht="17.25" customHeight="1">
      <c r="A20" s="151" t="n">
        <v>17</v>
      </c>
      <c r="B20" s="152">
        <f>IF($A20&gt;COUNT('04B_정규화_자동필터'!$X$4:$X$3003),"",MATCH(A20,'04B_정규화_자동필터'!$X$4:$X$3003,0))</f>
        <v/>
      </c>
      <c r="C20" s="152">
        <f>IF($B20="","",INDEX('04B_정규화_자동필터'!$B$4:$B$3003,$B20))</f>
        <v/>
      </c>
      <c r="D20" s="152">
        <f>IF($B20="","",INDEX('04B_정규화_자동필터'!$C$4:$C$3003,$B20))</f>
        <v/>
      </c>
      <c r="E20" s="152">
        <f>IF($B20="","",INDEX('04B_정규화_자동필터'!$D$4:$D$3003,$B20))</f>
        <v/>
      </c>
      <c r="F20" s="172">
        <f>IF($B20="","",INDEX('04B_정규화_자동필터'!$E$4:$E$3003,$B20))</f>
        <v/>
      </c>
      <c r="G20" s="173">
        <f>IF($B20="","",INDEX('04B_정규화_자동필터'!$F$4:$F$3003,$B20))</f>
        <v/>
      </c>
      <c r="H20" s="174">
        <f>IF($B20="","",INDEX('04B_정규화_자동필터'!$H$4:$H$3003,$B20))</f>
        <v/>
      </c>
      <c r="I20" s="174">
        <f>IF($B20="","",INDEX('04B_정규화_자동필터'!$I$4:$I$3003,$B20))</f>
        <v/>
      </c>
      <c r="J20" s="152">
        <f>IF($B20="","",INDEX('04B_정규화_자동필터'!$J$4:$J$3003,$B20))</f>
        <v/>
      </c>
      <c r="K20" s="152">
        <f>IF($B20="","",INDEX('04B_정규화_자동필터'!$K$4:$K$3003,$B20))</f>
        <v/>
      </c>
      <c r="L20" s="152">
        <f>IF($B20="","",INDEX('04B_정규화_자동필터'!$L$4:$L$3003,$B20))</f>
        <v/>
      </c>
      <c r="M20" s="152">
        <f>IF($B20="","",INDEX('04B_정규화_자동필터'!$M$4:$M$3003,$B20))</f>
        <v/>
      </c>
      <c r="N20" s="152">
        <f>IF($B20="","",INDEX('04B_정규화_자동필터'!$O$4:$O$3003,$B20))</f>
        <v/>
      </c>
      <c r="O20" s="152">
        <f>IF($B20="","",INDEX('04B_정규화_자동필터'!$P$4:$P$3003,$B20))</f>
        <v/>
      </c>
      <c r="P20" s="152">
        <f>IF($B20="","",INDEX('04B_정규화_자동필터'!$Q$4:$Q$3003,$B20))</f>
        <v/>
      </c>
      <c r="Q20" s="172">
        <f>IF($B20="","",INDEX('04B_정규화_자동필터'!$W$4:$W$3003,$B20))</f>
        <v/>
      </c>
      <c r="R20" s="175">
        <f>IF($B20="","",INDEX('04B_정규화_자동필터'!$Y$4:$Y$3003,$B20))</f>
        <v/>
      </c>
      <c r="S20" s="172">
        <f>IF($B20="","",INDEX('04B_정규화_자동필터'!$Z$4:$Z$3003,$B20))</f>
        <v/>
      </c>
    </row>
    <row r="21" ht="17.25" customHeight="1">
      <c r="A21" s="151" t="n">
        <v>18</v>
      </c>
      <c r="B21" s="152">
        <f>IF($A21&gt;COUNT('04B_정규화_자동필터'!$X$4:$X$3003),"",MATCH(A21,'04B_정규화_자동필터'!$X$4:$X$3003,0))</f>
        <v/>
      </c>
      <c r="C21" s="152">
        <f>IF($B21="","",INDEX('04B_정규화_자동필터'!$B$4:$B$3003,$B21))</f>
        <v/>
      </c>
      <c r="D21" s="152">
        <f>IF($B21="","",INDEX('04B_정규화_자동필터'!$C$4:$C$3003,$B21))</f>
        <v/>
      </c>
      <c r="E21" s="152">
        <f>IF($B21="","",INDEX('04B_정규화_자동필터'!$D$4:$D$3003,$B21))</f>
        <v/>
      </c>
      <c r="F21" s="172">
        <f>IF($B21="","",INDEX('04B_정규화_자동필터'!$E$4:$E$3003,$B21))</f>
        <v/>
      </c>
      <c r="G21" s="173">
        <f>IF($B21="","",INDEX('04B_정규화_자동필터'!$F$4:$F$3003,$B21))</f>
        <v/>
      </c>
      <c r="H21" s="174">
        <f>IF($B21="","",INDEX('04B_정규화_자동필터'!$H$4:$H$3003,$B21))</f>
        <v/>
      </c>
      <c r="I21" s="174">
        <f>IF($B21="","",INDEX('04B_정규화_자동필터'!$I$4:$I$3003,$B21))</f>
        <v/>
      </c>
      <c r="J21" s="152">
        <f>IF($B21="","",INDEX('04B_정규화_자동필터'!$J$4:$J$3003,$B21))</f>
        <v/>
      </c>
      <c r="K21" s="152">
        <f>IF($B21="","",INDEX('04B_정규화_자동필터'!$K$4:$K$3003,$B21))</f>
        <v/>
      </c>
      <c r="L21" s="152">
        <f>IF($B21="","",INDEX('04B_정규화_자동필터'!$L$4:$L$3003,$B21))</f>
        <v/>
      </c>
      <c r="M21" s="152">
        <f>IF($B21="","",INDEX('04B_정규화_자동필터'!$M$4:$M$3003,$B21))</f>
        <v/>
      </c>
      <c r="N21" s="152">
        <f>IF($B21="","",INDEX('04B_정규화_자동필터'!$O$4:$O$3003,$B21))</f>
        <v/>
      </c>
      <c r="O21" s="152">
        <f>IF($B21="","",INDEX('04B_정규화_자동필터'!$P$4:$P$3003,$B21))</f>
        <v/>
      </c>
      <c r="P21" s="152">
        <f>IF($B21="","",INDEX('04B_정규화_자동필터'!$Q$4:$Q$3003,$B21))</f>
        <v/>
      </c>
      <c r="Q21" s="172">
        <f>IF($B21="","",INDEX('04B_정규화_자동필터'!$W$4:$W$3003,$B21))</f>
        <v/>
      </c>
      <c r="R21" s="175">
        <f>IF($B21="","",INDEX('04B_정규화_자동필터'!$Y$4:$Y$3003,$B21))</f>
        <v/>
      </c>
      <c r="S21" s="172">
        <f>IF($B21="","",INDEX('04B_정규화_자동필터'!$Z$4:$Z$3003,$B21))</f>
        <v/>
      </c>
    </row>
    <row r="22" ht="17.25" customHeight="1">
      <c r="A22" s="151" t="n">
        <v>19</v>
      </c>
      <c r="B22" s="152">
        <f>IF($A22&gt;COUNT('04B_정규화_자동필터'!$X$4:$X$3003),"",MATCH(A22,'04B_정규화_자동필터'!$X$4:$X$3003,0))</f>
        <v/>
      </c>
      <c r="C22" s="152">
        <f>IF($B22="","",INDEX('04B_정규화_자동필터'!$B$4:$B$3003,$B22))</f>
        <v/>
      </c>
      <c r="D22" s="152">
        <f>IF($B22="","",INDEX('04B_정규화_자동필터'!$C$4:$C$3003,$B22))</f>
        <v/>
      </c>
      <c r="E22" s="152">
        <f>IF($B22="","",INDEX('04B_정규화_자동필터'!$D$4:$D$3003,$B22))</f>
        <v/>
      </c>
      <c r="F22" s="172">
        <f>IF($B22="","",INDEX('04B_정규화_자동필터'!$E$4:$E$3003,$B22))</f>
        <v/>
      </c>
      <c r="G22" s="173">
        <f>IF($B22="","",INDEX('04B_정규화_자동필터'!$F$4:$F$3003,$B22))</f>
        <v/>
      </c>
      <c r="H22" s="174">
        <f>IF($B22="","",INDEX('04B_정규화_자동필터'!$H$4:$H$3003,$B22))</f>
        <v/>
      </c>
      <c r="I22" s="174">
        <f>IF($B22="","",INDEX('04B_정규화_자동필터'!$I$4:$I$3003,$B22))</f>
        <v/>
      </c>
      <c r="J22" s="152">
        <f>IF($B22="","",INDEX('04B_정규화_자동필터'!$J$4:$J$3003,$B22))</f>
        <v/>
      </c>
      <c r="K22" s="152">
        <f>IF($B22="","",INDEX('04B_정규화_자동필터'!$K$4:$K$3003,$B22))</f>
        <v/>
      </c>
      <c r="L22" s="152">
        <f>IF($B22="","",INDEX('04B_정규화_자동필터'!$L$4:$L$3003,$B22))</f>
        <v/>
      </c>
      <c r="M22" s="152">
        <f>IF($B22="","",INDEX('04B_정규화_자동필터'!$M$4:$M$3003,$B22))</f>
        <v/>
      </c>
      <c r="N22" s="152">
        <f>IF($B22="","",INDEX('04B_정규화_자동필터'!$O$4:$O$3003,$B22))</f>
        <v/>
      </c>
      <c r="O22" s="152">
        <f>IF($B22="","",INDEX('04B_정규화_자동필터'!$P$4:$P$3003,$B22))</f>
        <v/>
      </c>
      <c r="P22" s="152">
        <f>IF($B22="","",INDEX('04B_정규화_자동필터'!$Q$4:$Q$3003,$B22))</f>
        <v/>
      </c>
      <c r="Q22" s="172">
        <f>IF($B22="","",INDEX('04B_정규화_자동필터'!$W$4:$W$3003,$B22))</f>
        <v/>
      </c>
      <c r="R22" s="175">
        <f>IF($B22="","",INDEX('04B_정규화_자동필터'!$Y$4:$Y$3003,$B22))</f>
        <v/>
      </c>
      <c r="S22" s="172">
        <f>IF($B22="","",INDEX('04B_정규화_자동필터'!$Z$4:$Z$3003,$B22))</f>
        <v/>
      </c>
    </row>
    <row r="23" ht="17.25" customHeight="1">
      <c r="A23" s="151" t="n">
        <v>20</v>
      </c>
      <c r="B23" s="152">
        <f>IF($A23&gt;COUNT('04B_정규화_자동필터'!$X$4:$X$3003),"",MATCH(A23,'04B_정규화_자동필터'!$X$4:$X$3003,0))</f>
        <v/>
      </c>
      <c r="C23" s="152">
        <f>IF($B23="","",INDEX('04B_정규화_자동필터'!$B$4:$B$3003,$B23))</f>
        <v/>
      </c>
      <c r="D23" s="152">
        <f>IF($B23="","",INDEX('04B_정규화_자동필터'!$C$4:$C$3003,$B23))</f>
        <v/>
      </c>
      <c r="E23" s="152">
        <f>IF($B23="","",INDEX('04B_정규화_자동필터'!$D$4:$D$3003,$B23))</f>
        <v/>
      </c>
      <c r="F23" s="172">
        <f>IF($B23="","",INDEX('04B_정규화_자동필터'!$E$4:$E$3003,$B23))</f>
        <v/>
      </c>
      <c r="G23" s="173">
        <f>IF($B23="","",INDEX('04B_정규화_자동필터'!$F$4:$F$3003,$B23))</f>
        <v/>
      </c>
      <c r="H23" s="174">
        <f>IF($B23="","",INDEX('04B_정규화_자동필터'!$H$4:$H$3003,$B23))</f>
        <v/>
      </c>
      <c r="I23" s="174">
        <f>IF($B23="","",INDEX('04B_정규화_자동필터'!$I$4:$I$3003,$B23))</f>
        <v/>
      </c>
      <c r="J23" s="152">
        <f>IF($B23="","",INDEX('04B_정규화_자동필터'!$J$4:$J$3003,$B23))</f>
        <v/>
      </c>
      <c r="K23" s="152">
        <f>IF($B23="","",INDEX('04B_정규화_자동필터'!$K$4:$K$3003,$B23))</f>
        <v/>
      </c>
      <c r="L23" s="152">
        <f>IF($B23="","",INDEX('04B_정규화_자동필터'!$L$4:$L$3003,$B23))</f>
        <v/>
      </c>
      <c r="M23" s="152">
        <f>IF($B23="","",INDEX('04B_정규화_자동필터'!$M$4:$M$3003,$B23))</f>
        <v/>
      </c>
      <c r="N23" s="152">
        <f>IF($B23="","",INDEX('04B_정규화_자동필터'!$O$4:$O$3003,$B23))</f>
        <v/>
      </c>
      <c r="O23" s="152">
        <f>IF($B23="","",INDEX('04B_정규화_자동필터'!$P$4:$P$3003,$B23))</f>
        <v/>
      </c>
      <c r="P23" s="152">
        <f>IF($B23="","",INDEX('04B_정규화_자동필터'!$Q$4:$Q$3003,$B23))</f>
        <v/>
      </c>
      <c r="Q23" s="172">
        <f>IF($B23="","",INDEX('04B_정규화_자동필터'!$W$4:$W$3003,$B23))</f>
        <v/>
      </c>
      <c r="R23" s="175">
        <f>IF($B23="","",INDEX('04B_정규화_자동필터'!$Y$4:$Y$3003,$B23))</f>
        <v/>
      </c>
      <c r="S23" s="172">
        <f>IF($B23="","",INDEX('04B_정규화_자동필터'!$Z$4:$Z$3003,$B23))</f>
        <v/>
      </c>
    </row>
    <row r="24" ht="17.25" customHeight="1">
      <c r="A24" s="151" t="n">
        <v>21</v>
      </c>
      <c r="B24" s="152">
        <f>IF($A24&gt;COUNT('04B_정규화_자동필터'!$X$4:$X$3003),"",IFERROR(MATCH(A24,'04B_정규화_자동필터'!$X$4:$X$3003,0),""))</f>
        <v/>
      </c>
      <c r="C24" s="152">
        <f>IF($B24="","",INDEX('04B_정규화_자동필터'!$B$4:$B$3003,$B24))</f>
        <v/>
      </c>
      <c r="D24" s="152">
        <f>IF($B24="","",INDEX('04B_정규화_자동필터'!$C$4:$C$3003,$B24))</f>
        <v/>
      </c>
      <c r="E24" s="152">
        <f>IF($B24="","",INDEX('04B_정규화_자동필터'!$D$4:$D$3003,$B24))</f>
        <v/>
      </c>
      <c r="F24" s="172">
        <f>IF($B24="","",INDEX('04B_정규화_자동필터'!$E$4:$E$3003,$B24))</f>
        <v/>
      </c>
      <c r="G24" s="173">
        <f>IF($B24="","",INDEX('04B_정규화_자동필터'!$F$4:$F$3003,$B24))</f>
        <v/>
      </c>
      <c r="H24" s="174">
        <f>IF($B24="","",INDEX('04B_정규화_자동필터'!$H$4:$H$3003,$B24))</f>
        <v/>
      </c>
      <c r="I24" s="174">
        <f>IF($B24="","",INDEX('04B_정규화_자동필터'!$I$4:$I$3003,$B24))</f>
        <v/>
      </c>
      <c r="J24" s="152">
        <f>IF($B24="","",INDEX('04B_정규화_자동필터'!$J$4:$J$3003,$B24))</f>
        <v/>
      </c>
      <c r="K24" s="152">
        <f>IF($B24="","",INDEX('04B_정규화_자동필터'!$K$4:$K$3003,$B24))</f>
        <v/>
      </c>
      <c r="L24" s="152">
        <f>IF($B24="","",INDEX('04B_정규화_자동필터'!$L$4:$L$3003,$B24))</f>
        <v/>
      </c>
      <c r="M24" s="152">
        <f>IF($B24="","",INDEX('04B_정규화_자동필터'!$M$4:$M$3003,$B24))</f>
        <v/>
      </c>
      <c r="N24" s="152">
        <f>IF($B24="","",INDEX('04B_정규화_자동필터'!$O$4:$O$3003,$B24))</f>
        <v/>
      </c>
      <c r="O24" s="152">
        <f>IF($B24="","",INDEX('04B_정규화_자동필터'!$P$4:$P$3003,$B24))</f>
        <v/>
      </c>
      <c r="P24" s="152">
        <f>IF($B24="","",INDEX('04B_정규화_자동필터'!$Q$4:$Q$3003,$B24))</f>
        <v/>
      </c>
      <c r="Q24" s="172">
        <f>IF($B24="","",INDEX('04B_정규화_자동필터'!$W$4:$W$3003,$B24))</f>
        <v/>
      </c>
      <c r="R24" s="175">
        <f>IF($B24="","",INDEX('04B_정규화_자동필터'!$Y$4:$Y$3003,$B24))</f>
        <v/>
      </c>
      <c r="S24" s="172">
        <f>IF($B24="","",INDEX('04B_정규화_자동필터'!$Z$4:$Z$3003,$B24))</f>
        <v/>
      </c>
    </row>
    <row r="25" ht="17.25" customHeight="1">
      <c r="A25" s="151" t="n">
        <v>22</v>
      </c>
      <c r="B25" s="152">
        <f>IF($A25&gt;COUNT('04B_정규화_자동필터'!$X$4:$X$3003),"",IFERROR(MATCH(A25,'04B_정규화_자동필터'!$X$4:$X$3003,0),""))</f>
        <v/>
      </c>
      <c r="C25" s="152">
        <f>IF($B25="","",INDEX('04B_정규화_자동필터'!$B$4:$B$3003,$B25))</f>
        <v/>
      </c>
      <c r="D25" s="152">
        <f>IF($B25="","",INDEX('04B_정규화_자동필터'!$C$4:$C$3003,$B25))</f>
        <v/>
      </c>
      <c r="E25" s="152">
        <f>IF($B25="","",INDEX('04B_정규화_자동필터'!$D$4:$D$3003,$B25))</f>
        <v/>
      </c>
      <c r="F25" s="172">
        <f>IF($B25="","",INDEX('04B_정규화_자동필터'!$E$4:$E$3003,$B25))</f>
        <v/>
      </c>
      <c r="G25" s="173">
        <f>IF($B25="","",INDEX('04B_정규화_자동필터'!$F$4:$F$3003,$B25))</f>
        <v/>
      </c>
      <c r="H25" s="174">
        <f>IF($B25="","",INDEX('04B_정규화_자동필터'!$H$4:$H$3003,$B25))</f>
        <v/>
      </c>
      <c r="I25" s="174">
        <f>IF($B25="","",INDEX('04B_정규화_자동필터'!$I$4:$I$3003,$B25))</f>
        <v/>
      </c>
      <c r="J25" s="152">
        <f>IF($B25="","",INDEX('04B_정규화_자동필터'!$J$4:$J$3003,$B25))</f>
        <v/>
      </c>
      <c r="K25" s="152">
        <f>IF($B25="","",INDEX('04B_정규화_자동필터'!$K$4:$K$3003,$B25))</f>
        <v/>
      </c>
      <c r="L25" s="152">
        <f>IF($B25="","",INDEX('04B_정규화_자동필터'!$L$4:$L$3003,$B25))</f>
        <v/>
      </c>
      <c r="M25" s="152">
        <f>IF($B25="","",INDEX('04B_정규화_자동필터'!$M$4:$M$3003,$B25))</f>
        <v/>
      </c>
      <c r="N25" s="152">
        <f>IF($B25="","",INDEX('04B_정규화_자동필터'!$O$4:$O$3003,$B25))</f>
        <v/>
      </c>
      <c r="O25" s="152">
        <f>IF($B25="","",INDEX('04B_정규화_자동필터'!$P$4:$P$3003,$B25))</f>
        <v/>
      </c>
      <c r="P25" s="152">
        <f>IF($B25="","",INDEX('04B_정규화_자동필터'!$Q$4:$Q$3003,$B25))</f>
        <v/>
      </c>
      <c r="Q25" s="172">
        <f>IF($B25="","",INDEX('04B_정규화_자동필터'!$W$4:$W$3003,$B25))</f>
        <v/>
      </c>
      <c r="R25" s="175">
        <f>IF($B25="","",INDEX('04B_정규화_자동필터'!$Y$4:$Y$3003,$B25))</f>
        <v/>
      </c>
      <c r="S25" s="172">
        <f>IF($B25="","",INDEX('04B_정규화_자동필터'!$Z$4:$Z$3003,$B25))</f>
        <v/>
      </c>
    </row>
    <row r="26" ht="17.25" customHeight="1">
      <c r="A26" s="151" t="n">
        <v>23</v>
      </c>
      <c r="B26" s="152">
        <f>IF($A26&gt;COUNT('04B_정규화_자동필터'!$X$4:$X$3003),"",IFERROR(MATCH(A26,'04B_정규화_자동필터'!$X$4:$X$3003,0),""))</f>
        <v/>
      </c>
      <c r="C26" s="152">
        <f>IF($B26="","",INDEX('04B_정규화_자동필터'!$B$4:$B$3003,$B26))</f>
        <v/>
      </c>
      <c r="D26" s="152">
        <f>IF($B26="","",INDEX('04B_정규화_자동필터'!$C$4:$C$3003,$B26))</f>
        <v/>
      </c>
      <c r="E26" s="152">
        <f>IF($B26="","",INDEX('04B_정규화_자동필터'!$D$4:$D$3003,$B26))</f>
        <v/>
      </c>
      <c r="F26" s="172">
        <f>IF($B26="","",INDEX('04B_정규화_자동필터'!$E$4:$E$3003,$B26))</f>
        <v/>
      </c>
      <c r="G26" s="173">
        <f>IF($B26="","",INDEX('04B_정규화_자동필터'!$F$4:$F$3003,$B26))</f>
        <v/>
      </c>
      <c r="H26" s="174">
        <f>IF($B26="","",INDEX('04B_정규화_자동필터'!$H$4:$H$3003,$B26))</f>
        <v/>
      </c>
      <c r="I26" s="174">
        <f>IF($B26="","",INDEX('04B_정규화_자동필터'!$I$4:$I$3003,$B26))</f>
        <v/>
      </c>
      <c r="J26" s="152">
        <f>IF($B26="","",INDEX('04B_정규화_자동필터'!$J$4:$J$3003,$B26))</f>
        <v/>
      </c>
      <c r="K26" s="152">
        <f>IF($B26="","",INDEX('04B_정규화_자동필터'!$K$4:$K$3003,$B26))</f>
        <v/>
      </c>
      <c r="L26" s="152">
        <f>IF($B26="","",INDEX('04B_정규화_자동필터'!$L$4:$L$3003,$B26))</f>
        <v/>
      </c>
      <c r="M26" s="152">
        <f>IF($B26="","",INDEX('04B_정규화_자동필터'!$M$4:$M$3003,$B26))</f>
        <v/>
      </c>
      <c r="N26" s="152">
        <f>IF($B26="","",INDEX('04B_정규화_자동필터'!$O$4:$O$3003,$B26))</f>
        <v/>
      </c>
      <c r="O26" s="152">
        <f>IF($B26="","",INDEX('04B_정규화_자동필터'!$P$4:$P$3003,$B26))</f>
        <v/>
      </c>
      <c r="P26" s="152">
        <f>IF($B26="","",INDEX('04B_정규화_자동필터'!$Q$4:$Q$3003,$B26))</f>
        <v/>
      </c>
      <c r="Q26" s="172">
        <f>IF($B26="","",INDEX('04B_정규화_자동필터'!$W$4:$W$3003,$B26))</f>
        <v/>
      </c>
      <c r="R26" s="175">
        <f>IF($B26="","",INDEX('04B_정규화_자동필터'!$Y$4:$Y$3003,$B26))</f>
        <v/>
      </c>
      <c r="S26" s="172">
        <f>IF($B26="","",INDEX('04B_정규화_자동필터'!$Z$4:$Z$3003,$B26))</f>
        <v/>
      </c>
    </row>
    <row r="27" ht="17.25" customHeight="1">
      <c r="A27" s="151" t="n">
        <v>24</v>
      </c>
      <c r="B27" s="152">
        <f>IF($A27&gt;COUNT('04B_정규화_자동필터'!$X$4:$X$3003),"",IFERROR(MATCH(A27,'04B_정규화_자동필터'!$X$4:$X$3003,0),""))</f>
        <v/>
      </c>
      <c r="C27" s="152">
        <f>IF($B27="","",INDEX('04B_정규화_자동필터'!$B$4:$B$3003,$B27))</f>
        <v/>
      </c>
      <c r="D27" s="152">
        <f>IF($B27="","",INDEX('04B_정규화_자동필터'!$C$4:$C$3003,$B27))</f>
        <v/>
      </c>
      <c r="E27" s="152">
        <f>IF($B27="","",INDEX('04B_정규화_자동필터'!$D$4:$D$3003,$B27))</f>
        <v/>
      </c>
      <c r="F27" s="172">
        <f>IF($B27="","",INDEX('04B_정규화_자동필터'!$E$4:$E$3003,$B27))</f>
        <v/>
      </c>
      <c r="G27" s="173">
        <f>IF($B27="","",INDEX('04B_정규화_자동필터'!$F$4:$F$3003,$B27))</f>
        <v/>
      </c>
      <c r="H27" s="174">
        <f>IF($B27="","",INDEX('04B_정규화_자동필터'!$H$4:$H$3003,$B27))</f>
        <v/>
      </c>
      <c r="I27" s="174">
        <f>IF($B27="","",INDEX('04B_정규화_자동필터'!$I$4:$I$3003,$B27))</f>
        <v/>
      </c>
      <c r="J27" s="152">
        <f>IF($B27="","",INDEX('04B_정규화_자동필터'!$J$4:$J$3003,$B27))</f>
        <v/>
      </c>
      <c r="K27" s="152">
        <f>IF($B27="","",INDEX('04B_정규화_자동필터'!$K$4:$K$3003,$B27))</f>
        <v/>
      </c>
      <c r="L27" s="152">
        <f>IF($B27="","",INDEX('04B_정규화_자동필터'!$L$4:$L$3003,$B27))</f>
        <v/>
      </c>
      <c r="M27" s="152">
        <f>IF($B27="","",INDEX('04B_정규화_자동필터'!$M$4:$M$3003,$B27))</f>
        <v/>
      </c>
      <c r="N27" s="152">
        <f>IF($B27="","",INDEX('04B_정규화_자동필터'!$O$4:$O$3003,$B27))</f>
        <v/>
      </c>
      <c r="O27" s="152">
        <f>IF($B27="","",INDEX('04B_정규화_자동필터'!$P$4:$P$3003,$B27))</f>
        <v/>
      </c>
      <c r="P27" s="152">
        <f>IF($B27="","",INDEX('04B_정규화_자동필터'!$Q$4:$Q$3003,$B27))</f>
        <v/>
      </c>
      <c r="Q27" s="172">
        <f>IF($B27="","",INDEX('04B_정규화_자동필터'!$W$4:$W$3003,$B27))</f>
        <v/>
      </c>
      <c r="R27" s="175">
        <f>IF($B27="","",INDEX('04B_정규화_자동필터'!$Y$4:$Y$3003,$B27))</f>
        <v/>
      </c>
      <c r="S27" s="172">
        <f>IF($B27="","",INDEX('04B_정규화_자동필터'!$Z$4:$Z$3003,$B27))</f>
        <v/>
      </c>
    </row>
    <row r="28" ht="17.25" customHeight="1">
      <c r="A28" s="151" t="n">
        <v>25</v>
      </c>
      <c r="B28" s="152">
        <f>IF($A28&gt;COUNT('04B_정규화_자동필터'!$X$4:$X$3003),"",IFERROR(MATCH(A28,'04B_정규화_자동필터'!$X$4:$X$3003,0),""))</f>
        <v/>
      </c>
      <c r="C28" s="152">
        <f>IF($B28="","",INDEX('04B_정규화_자동필터'!$B$4:$B$3003,$B28))</f>
        <v/>
      </c>
      <c r="D28" s="152">
        <f>IF($B28="","",INDEX('04B_정규화_자동필터'!$C$4:$C$3003,$B28))</f>
        <v/>
      </c>
      <c r="E28" s="152">
        <f>IF($B28="","",INDEX('04B_정규화_자동필터'!$D$4:$D$3003,$B28))</f>
        <v/>
      </c>
      <c r="F28" s="172">
        <f>IF($B28="","",INDEX('04B_정규화_자동필터'!$E$4:$E$3003,$B28))</f>
        <v/>
      </c>
      <c r="G28" s="173">
        <f>IF($B28="","",INDEX('04B_정규화_자동필터'!$F$4:$F$3003,$B28))</f>
        <v/>
      </c>
      <c r="H28" s="174">
        <f>IF($B28="","",INDEX('04B_정규화_자동필터'!$H$4:$H$3003,$B28))</f>
        <v/>
      </c>
      <c r="I28" s="174">
        <f>IF($B28="","",INDEX('04B_정규화_자동필터'!$I$4:$I$3003,$B28))</f>
        <v/>
      </c>
      <c r="J28" s="152">
        <f>IF($B28="","",INDEX('04B_정규화_자동필터'!$J$4:$J$3003,$B28))</f>
        <v/>
      </c>
      <c r="K28" s="152">
        <f>IF($B28="","",INDEX('04B_정규화_자동필터'!$K$4:$K$3003,$B28))</f>
        <v/>
      </c>
      <c r="L28" s="152">
        <f>IF($B28="","",INDEX('04B_정규화_자동필터'!$L$4:$L$3003,$B28))</f>
        <v/>
      </c>
      <c r="M28" s="152">
        <f>IF($B28="","",INDEX('04B_정규화_자동필터'!$M$4:$M$3003,$B28))</f>
        <v/>
      </c>
      <c r="N28" s="152">
        <f>IF($B28="","",INDEX('04B_정규화_자동필터'!$O$4:$O$3003,$B28))</f>
        <v/>
      </c>
      <c r="O28" s="152">
        <f>IF($B28="","",INDEX('04B_정규화_자동필터'!$P$4:$P$3003,$B28))</f>
        <v/>
      </c>
      <c r="P28" s="152">
        <f>IF($B28="","",INDEX('04B_정규화_자동필터'!$Q$4:$Q$3003,$B28))</f>
        <v/>
      </c>
      <c r="Q28" s="172">
        <f>IF($B28="","",INDEX('04B_정규화_자동필터'!$W$4:$W$3003,$B28))</f>
        <v/>
      </c>
      <c r="R28" s="175">
        <f>IF($B28="","",INDEX('04B_정규화_자동필터'!$Y$4:$Y$3003,$B28))</f>
        <v/>
      </c>
      <c r="S28" s="172">
        <f>IF($B28="","",INDEX('04B_정규화_자동필터'!$Z$4:$Z$3003,$B28))</f>
        <v/>
      </c>
    </row>
    <row r="29" ht="17.25" customHeight="1">
      <c r="A29" s="151" t="n">
        <v>26</v>
      </c>
      <c r="B29" s="152">
        <f>IF($A29&gt;COUNT('04B_정규화_자동필터'!$X$4:$X$3003),"",IFERROR(MATCH(A29,'04B_정규화_자동필터'!$X$4:$X$3003,0),""))</f>
        <v/>
      </c>
      <c r="C29" s="152">
        <f>IF($B29="","",INDEX('04B_정규화_자동필터'!$B$4:$B$3003,$B29))</f>
        <v/>
      </c>
      <c r="D29" s="152">
        <f>IF($B29="","",INDEX('04B_정규화_자동필터'!$C$4:$C$3003,$B29))</f>
        <v/>
      </c>
      <c r="E29" s="152">
        <f>IF($B29="","",INDEX('04B_정규화_자동필터'!$D$4:$D$3003,$B29))</f>
        <v/>
      </c>
      <c r="F29" s="172">
        <f>IF($B29="","",INDEX('04B_정규화_자동필터'!$E$4:$E$3003,$B29))</f>
        <v/>
      </c>
      <c r="G29" s="173">
        <f>IF($B29="","",INDEX('04B_정규화_자동필터'!$F$4:$F$3003,$B29))</f>
        <v/>
      </c>
      <c r="H29" s="174">
        <f>IF($B29="","",INDEX('04B_정규화_자동필터'!$H$4:$H$3003,$B29))</f>
        <v/>
      </c>
      <c r="I29" s="174">
        <f>IF($B29="","",INDEX('04B_정규화_자동필터'!$I$4:$I$3003,$B29))</f>
        <v/>
      </c>
      <c r="J29" s="152">
        <f>IF($B29="","",INDEX('04B_정규화_자동필터'!$J$4:$J$3003,$B29))</f>
        <v/>
      </c>
      <c r="K29" s="152">
        <f>IF($B29="","",INDEX('04B_정규화_자동필터'!$K$4:$K$3003,$B29))</f>
        <v/>
      </c>
      <c r="L29" s="152">
        <f>IF($B29="","",INDEX('04B_정규화_자동필터'!$L$4:$L$3003,$B29))</f>
        <v/>
      </c>
      <c r="M29" s="152">
        <f>IF($B29="","",INDEX('04B_정규화_자동필터'!$M$4:$M$3003,$B29))</f>
        <v/>
      </c>
      <c r="N29" s="152">
        <f>IF($B29="","",INDEX('04B_정규화_자동필터'!$O$4:$O$3003,$B29))</f>
        <v/>
      </c>
      <c r="O29" s="152">
        <f>IF($B29="","",INDEX('04B_정규화_자동필터'!$P$4:$P$3003,$B29))</f>
        <v/>
      </c>
      <c r="P29" s="152">
        <f>IF($B29="","",INDEX('04B_정규화_자동필터'!$Q$4:$Q$3003,$B29))</f>
        <v/>
      </c>
      <c r="Q29" s="172">
        <f>IF($B29="","",INDEX('04B_정규화_자동필터'!$W$4:$W$3003,$B29))</f>
        <v/>
      </c>
      <c r="R29" s="175">
        <f>IF($B29="","",INDEX('04B_정규화_자동필터'!$Y$4:$Y$3003,$B29))</f>
        <v/>
      </c>
      <c r="S29" s="172">
        <f>IF($B29="","",INDEX('04B_정규화_자동필터'!$Z$4:$Z$3003,$B29))</f>
        <v/>
      </c>
    </row>
    <row r="30" ht="17.25" customHeight="1">
      <c r="A30" s="151" t="n">
        <v>27</v>
      </c>
      <c r="B30" s="152">
        <f>IF($A30&gt;COUNT('04B_정규화_자동필터'!$X$4:$X$3003),"",IFERROR(MATCH(A30,'04B_정규화_자동필터'!$X$4:$X$3003,0),""))</f>
        <v/>
      </c>
      <c r="C30" s="152">
        <f>IF($B30="","",INDEX('04B_정규화_자동필터'!$B$4:$B$3003,$B30))</f>
        <v/>
      </c>
      <c r="D30" s="152">
        <f>IF($B30="","",INDEX('04B_정규화_자동필터'!$C$4:$C$3003,$B30))</f>
        <v/>
      </c>
      <c r="E30" s="152">
        <f>IF($B30="","",INDEX('04B_정규화_자동필터'!$D$4:$D$3003,$B30))</f>
        <v/>
      </c>
      <c r="F30" s="172">
        <f>IF($B30="","",INDEX('04B_정규화_자동필터'!$E$4:$E$3003,$B30))</f>
        <v/>
      </c>
      <c r="G30" s="173">
        <f>IF($B30="","",INDEX('04B_정규화_자동필터'!$F$4:$F$3003,$B30))</f>
        <v/>
      </c>
      <c r="H30" s="174">
        <f>IF($B30="","",INDEX('04B_정규화_자동필터'!$H$4:$H$3003,$B30))</f>
        <v/>
      </c>
      <c r="I30" s="174">
        <f>IF($B30="","",INDEX('04B_정규화_자동필터'!$I$4:$I$3003,$B30))</f>
        <v/>
      </c>
      <c r="J30" s="152">
        <f>IF($B30="","",INDEX('04B_정규화_자동필터'!$J$4:$J$3003,$B30))</f>
        <v/>
      </c>
      <c r="K30" s="152">
        <f>IF($B30="","",INDEX('04B_정규화_자동필터'!$K$4:$K$3003,$B30))</f>
        <v/>
      </c>
      <c r="L30" s="152">
        <f>IF($B30="","",INDEX('04B_정규화_자동필터'!$L$4:$L$3003,$B30))</f>
        <v/>
      </c>
      <c r="M30" s="152">
        <f>IF($B30="","",INDEX('04B_정규화_자동필터'!$M$4:$M$3003,$B30))</f>
        <v/>
      </c>
      <c r="N30" s="152">
        <f>IF($B30="","",INDEX('04B_정규화_자동필터'!$O$4:$O$3003,$B30))</f>
        <v/>
      </c>
      <c r="O30" s="152">
        <f>IF($B30="","",INDEX('04B_정규화_자동필터'!$P$4:$P$3003,$B30))</f>
        <v/>
      </c>
      <c r="P30" s="152">
        <f>IF($B30="","",INDEX('04B_정규화_자동필터'!$Q$4:$Q$3003,$B30))</f>
        <v/>
      </c>
      <c r="Q30" s="172">
        <f>IF($B30="","",INDEX('04B_정규화_자동필터'!$W$4:$W$3003,$B30))</f>
        <v/>
      </c>
      <c r="R30" s="175">
        <f>IF($B30="","",INDEX('04B_정규화_자동필터'!$Y$4:$Y$3003,$B30))</f>
        <v/>
      </c>
      <c r="S30" s="172">
        <f>IF($B30="","",INDEX('04B_정규화_자동필터'!$Z$4:$Z$3003,$B30))</f>
        <v/>
      </c>
    </row>
    <row r="31" ht="17.25" customHeight="1">
      <c r="A31" s="151" t="n">
        <v>28</v>
      </c>
      <c r="B31" s="152">
        <f>IF($A31&gt;COUNT('04B_정규화_자동필터'!$X$4:$X$3003),"",IFERROR(MATCH(A31,'04B_정규화_자동필터'!$X$4:$X$3003,0),""))</f>
        <v/>
      </c>
      <c r="C31" s="152">
        <f>IF($B31="","",INDEX('04B_정규화_자동필터'!$B$4:$B$3003,$B31))</f>
        <v/>
      </c>
      <c r="D31" s="152">
        <f>IF($B31="","",INDEX('04B_정규화_자동필터'!$C$4:$C$3003,$B31))</f>
        <v/>
      </c>
      <c r="E31" s="152">
        <f>IF($B31="","",INDEX('04B_정규화_자동필터'!$D$4:$D$3003,$B31))</f>
        <v/>
      </c>
      <c r="F31" s="172">
        <f>IF($B31="","",INDEX('04B_정규화_자동필터'!$E$4:$E$3003,$B31))</f>
        <v/>
      </c>
      <c r="G31" s="173">
        <f>IF($B31="","",INDEX('04B_정규화_자동필터'!$F$4:$F$3003,$B31))</f>
        <v/>
      </c>
      <c r="H31" s="174">
        <f>IF($B31="","",INDEX('04B_정규화_자동필터'!$H$4:$H$3003,$B31))</f>
        <v/>
      </c>
      <c r="I31" s="174">
        <f>IF($B31="","",INDEX('04B_정규화_자동필터'!$I$4:$I$3003,$B31))</f>
        <v/>
      </c>
      <c r="J31" s="152">
        <f>IF($B31="","",INDEX('04B_정규화_자동필터'!$J$4:$J$3003,$B31))</f>
        <v/>
      </c>
      <c r="K31" s="152">
        <f>IF($B31="","",INDEX('04B_정규화_자동필터'!$K$4:$K$3003,$B31))</f>
        <v/>
      </c>
      <c r="L31" s="152">
        <f>IF($B31="","",INDEX('04B_정규화_자동필터'!$L$4:$L$3003,$B31))</f>
        <v/>
      </c>
      <c r="M31" s="152">
        <f>IF($B31="","",INDEX('04B_정규화_자동필터'!$M$4:$M$3003,$B31))</f>
        <v/>
      </c>
      <c r="N31" s="152">
        <f>IF($B31="","",INDEX('04B_정규화_자동필터'!$O$4:$O$3003,$B31))</f>
        <v/>
      </c>
      <c r="O31" s="152">
        <f>IF($B31="","",INDEX('04B_정규화_자동필터'!$P$4:$P$3003,$B31))</f>
        <v/>
      </c>
      <c r="P31" s="152">
        <f>IF($B31="","",INDEX('04B_정규화_자동필터'!$Q$4:$Q$3003,$B31))</f>
        <v/>
      </c>
      <c r="Q31" s="172">
        <f>IF($B31="","",INDEX('04B_정규화_자동필터'!$W$4:$W$3003,$B31))</f>
        <v/>
      </c>
      <c r="R31" s="175">
        <f>IF($B31="","",INDEX('04B_정규화_자동필터'!$Y$4:$Y$3003,$B31))</f>
        <v/>
      </c>
      <c r="S31" s="172">
        <f>IF($B31="","",INDEX('04B_정규화_자동필터'!$Z$4:$Z$3003,$B31))</f>
        <v/>
      </c>
    </row>
    <row r="32" ht="17.25" customHeight="1">
      <c r="A32" s="151" t="n">
        <v>29</v>
      </c>
      <c r="B32" s="152">
        <f>IF($A32&gt;COUNT('04B_정규화_자동필터'!$X$4:$X$3003),"",IFERROR(MATCH(A32,'04B_정규화_자동필터'!$X$4:$X$3003,0),""))</f>
        <v/>
      </c>
      <c r="C32" s="152">
        <f>IF($B32="","",INDEX('04B_정규화_자동필터'!$B$4:$B$3003,$B32))</f>
        <v/>
      </c>
      <c r="D32" s="152">
        <f>IF($B32="","",INDEX('04B_정규화_자동필터'!$C$4:$C$3003,$B32))</f>
        <v/>
      </c>
      <c r="E32" s="152">
        <f>IF($B32="","",INDEX('04B_정규화_자동필터'!$D$4:$D$3003,$B32))</f>
        <v/>
      </c>
      <c r="F32" s="172">
        <f>IF($B32="","",INDEX('04B_정규화_자동필터'!$E$4:$E$3003,$B32))</f>
        <v/>
      </c>
      <c r="G32" s="173">
        <f>IF($B32="","",INDEX('04B_정규화_자동필터'!$F$4:$F$3003,$B32))</f>
        <v/>
      </c>
      <c r="H32" s="174">
        <f>IF($B32="","",INDEX('04B_정규화_자동필터'!$H$4:$H$3003,$B32))</f>
        <v/>
      </c>
      <c r="I32" s="174">
        <f>IF($B32="","",INDEX('04B_정규화_자동필터'!$I$4:$I$3003,$B32))</f>
        <v/>
      </c>
      <c r="J32" s="152">
        <f>IF($B32="","",INDEX('04B_정규화_자동필터'!$J$4:$J$3003,$B32))</f>
        <v/>
      </c>
      <c r="K32" s="152">
        <f>IF($B32="","",INDEX('04B_정규화_자동필터'!$K$4:$K$3003,$B32))</f>
        <v/>
      </c>
      <c r="L32" s="152">
        <f>IF($B32="","",INDEX('04B_정규화_자동필터'!$L$4:$L$3003,$B32))</f>
        <v/>
      </c>
      <c r="M32" s="152">
        <f>IF($B32="","",INDEX('04B_정규화_자동필터'!$M$4:$M$3003,$B32))</f>
        <v/>
      </c>
      <c r="N32" s="152">
        <f>IF($B32="","",INDEX('04B_정규화_자동필터'!$O$4:$O$3003,$B32))</f>
        <v/>
      </c>
      <c r="O32" s="152">
        <f>IF($B32="","",INDEX('04B_정규화_자동필터'!$P$4:$P$3003,$B32))</f>
        <v/>
      </c>
      <c r="P32" s="152">
        <f>IF($B32="","",INDEX('04B_정규화_자동필터'!$Q$4:$Q$3003,$B32))</f>
        <v/>
      </c>
      <c r="Q32" s="172">
        <f>IF($B32="","",INDEX('04B_정규화_자동필터'!$W$4:$W$3003,$B32))</f>
        <v/>
      </c>
      <c r="R32" s="175">
        <f>IF($B32="","",INDEX('04B_정규화_자동필터'!$Y$4:$Y$3003,$B32))</f>
        <v/>
      </c>
      <c r="S32" s="172">
        <f>IF($B32="","",INDEX('04B_정규화_자동필터'!$Z$4:$Z$3003,$B32))</f>
        <v/>
      </c>
    </row>
    <row r="33" ht="17.25" customHeight="1">
      <c r="A33" s="151" t="n">
        <v>30</v>
      </c>
      <c r="B33" s="152">
        <f>IF($A33&gt;COUNT('04B_정규화_자동필터'!$X$4:$X$3003),"",IFERROR(MATCH(A33,'04B_정규화_자동필터'!$X$4:$X$3003,0),""))</f>
        <v/>
      </c>
      <c r="C33" s="152">
        <f>IF($B33="","",INDEX('04B_정규화_자동필터'!$B$4:$B$3003,$B33))</f>
        <v/>
      </c>
      <c r="D33" s="152">
        <f>IF($B33="","",INDEX('04B_정규화_자동필터'!$C$4:$C$3003,$B33))</f>
        <v/>
      </c>
      <c r="E33" s="152">
        <f>IF($B33="","",INDEX('04B_정규화_자동필터'!$D$4:$D$3003,$B33))</f>
        <v/>
      </c>
      <c r="F33" s="172">
        <f>IF($B33="","",INDEX('04B_정규화_자동필터'!$E$4:$E$3003,$B33))</f>
        <v/>
      </c>
      <c r="G33" s="173">
        <f>IF($B33="","",INDEX('04B_정규화_자동필터'!$F$4:$F$3003,$B33))</f>
        <v/>
      </c>
      <c r="H33" s="174">
        <f>IF($B33="","",INDEX('04B_정규화_자동필터'!$H$4:$H$3003,$B33))</f>
        <v/>
      </c>
      <c r="I33" s="174">
        <f>IF($B33="","",INDEX('04B_정규화_자동필터'!$I$4:$I$3003,$B33))</f>
        <v/>
      </c>
      <c r="J33" s="152">
        <f>IF($B33="","",INDEX('04B_정규화_자동필터'!$J$4:$J$3003,$B33))</f>
        <v/>
      </c>
      <c r="K33" s="152">
        <f>IF($B33="","",INDEX('04B_정규화_자동필터'!$K$4:$K$3003,$B33))</f>
        <v/>
      </c>
      <c r="L33" s="152">
        <f>IF($B33="","",INDEX('04B_정규화_자동필터'!$L$4:$L$3003,$B33))</f>
        <v/>
      </c>
      <c r="M33" s="152">
        <f>IF($B33="","",INDEX('04B_정규화_자동필터'!$M$4:$M$3003,$B33))</f>
        <v/>
      </c>
      <c r="N33" s="152">
        <f>IF($B33="","",INDEX('04B_정규화_자동필터'!$O$4:$O$3003,$B33))</f>
        <v/>
      </c>
      <c r="O33" s="152">
        <f>IF($B33="","",INDEX('04B_정규화_자동필터'!$P$4:$P$3003,$B33))</f>
        <v/>
      </c>
      <c r="P33" s="152">
        <f>IF($B33="","",INDEX('04B_정규화_자동필터'!$Q$4:$Q$3003,$B33))</f>
        <v/>
      </c>
      <c r="Q33" s="172">
        <f>IF($B33="","",INDEX('04B_정규화_자동필터'!$W$4:$W$3003,$B33))</f>
        <v/>
      </c>
      <c r="R33" s="175">
        <f>IF($B33="","",INDEX('04B_정규화_자동필터'!$Y$4:$Y$3003,$B33))</f>
        <v/>
      </c>
      <c r="S33" s="172">
        <f>IF($B33="","",INDEX('04B_정규화_자동필터'!$Z$4:$Z$3003,$B33))</f>
        <v/>
      </c>
    </row>
    <row r="36" ht="17.25" customHeight="1">
      <c r="A36" s="15" t="inlineStr">
        <is>
          <t>선정건수</t>
        </is>
      </c>
      <c r="B36" s="33">
        <f>COUNT(B4:INDEX(B:B,3+'01_설정'!B9))</f>
        <v/>
      </c>
      <c r="C36" s="1" t="n"/>
      <c r="D36" s="15" t="inlineStr">
        <is>
          <t>상위 반영 건수</t>
        </is>
      </c>
      <c r="E36" s="31">
        <f>'01_설정'!B9</f>
        <v/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</sheetData>
  <mergeCells count="1">
    <mergeCell ref="A1:Q1"/>
  </mergeCells>
  <pageMargins left="0.7" right="0.7" top="0.75" bottom="0.75" header="0.511811023622047" footer="0.511811023622047"/>
  <pageSetup orientation="landscape" paperSize="9" horizontalDpi="300" verticalDpi="30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Q53"/>
  <sheetViews>
    <sheetView tabSelected="1" topLeftCell="A9" zoomScaleNormal="100" workbookViewId="0">
      <selection activeCell="A50" sqref="A50"/>
    </sheetView>
  </sheetViews>
  <sheetFormatPr baseColWidth="8" defaultColWidth="8.6640625" defaultRowHeight="16.5" customHeight="1"/>
  <cols>
    <col width="16" customWidth="1" min="1" max="1"/>
    <col width="15.88671875" customWidth="1" min="2" max="3"/>
    <col width="10.88671875" customWidth="1" min="4" max="4"/>
    <col width="16" customWidth="1" min="5" max="5"/>
    <col width="7.44140625" customWidth="1" min="6" max="6"/>
    <col width="20.77734375" bestFit="1" customWidth="1" min="7" max="7"/>
    <col width="54.109375" customWidth="1" min="8" max="8"/>
    <col width="21.109375" customWidth="1" style="177" min="9" max="9"/>
    <col width="11.6640625" customWidth="1" min="10" max="10"/>
    <col width="11.6640625" customWidth="1" style="60" min="11" max="11"/>
    <col width="23.33203125" customWidth="1" style="60" min="12" max="12"/>
    <col width="13.5546875" customWidth="1" style="61" min="13" max="13"/>
    <col width="16" customWidth="1" style="170" min="14" max="14"/>
    <col width="11.44140625" customWidth="1" min="18" max="18"/>
    <col width="11.33203125" customWidth="1" min="19" max="19"/>
    <col width="6.5546875" customWidth="1" min="20" max="22"/>
    <col width="31.33203125" customWidth="1" min="23" max="23"/>
    <col width="9" customWidth="1" min="24" max="24"/>
    <col width="6.5546875" customWidth="1" min="25" max="25"/>
    <col width="11.33203125" customWidth="1" style="60" min="26" max="26"/>
    <col width="13.88671875" customWidth="1" min="27" max="27"/>
    <col width="27.44140625" customWidth="1" min="28" max="28"/>
    <col width="16" customWidth="1" style="60" min="29" max="29"/>
    <col width="17.5546875" customWidth="1" min="30" max="30"/>
    <col width="48.33203125" customWidth="1" min="31" max="31"/>
    <col width="14.6640625" customWidth="1" style="62" min="32" max="32"/>
    <col width="11.33203125" customWidth="1" min="33" max="33"/>
    <col width="12" customWidth="1" min="34" max="34"/>
    <col width="16.44140625" customWidth="1" style="62" min="35" max="35"/>
    <col width="17.6640625" customWidth="1" min="36" max="36"/>
    <col width="13.88671875" customWidth="1" min="37" max="37"/>
    <col width="17.109375" customWidth="1" min="38" max="38"/>
    <col width="12.88671875" customWidth="1" min="39" max="39"/>
    <col width="18" customWidth="1" min="40" max="42"/>
    <col width="12.88671875" customWidth="1" min="43" max="44"/>
    <col width="11.33203125" customWidth="1" min="45" max="45"/>
    <col width="11.33203125" customWidth="1" min="50" max="50"/>
    <col width="10.5546875" customWidth="1" min="51" max="52"/>
    <col width="13" customWidth="1" min="53" max="53"/>
    <col width="17.88671875" customWidth="1" min="54" max="54"/>
    <col width="11.33203125" customWidth="1" min="57" max="57"/>
    <col width="87.5546875" customWidth="1" min="58" max="58"/>
  </cols>
  <sheetData>
    <row r="1" ht="18" customHeight="1">
      <c r="A1" s="145" t="inlineStr">
        <is>
          <t>KAIS</t>
        </is>
      </c>
    </row>
    <row r="2" ht="16.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78" t="n"/>
      <c r="J2" s="1" t="n"/>
      <c r="K2" s="64" t="n"/>
      <c r="L2" s="64" t="n"/>
      <c r="M2" s="65" t="n"/>
      <c r="N2" s="171" t="n"/>
      <c r="O2" s="1" t="n"/>
      <c r="P2" s="1" t="n"/>
      <c r="Q2" s="1" t="n"/>
    </row>
    <row r="3" ht="17.25" customHeight="1">
      <c r="A3" s="55" t="inlineStr">
        <is>
          <t>상세물건번호</t>
        </is>
      </c>
      <c r="B3" s="56" t="inlineStr">
        <is>
          <t>시군구</t>
        </is>
      </c>
      <c r="C3" s="56" t="inlineStr">
        <is>
          <t>소재지</t>
        </is>
      </c>
      <c r="D3" s="56" t="inlineStr">
        <is>
          <t>지번</t>
        </is>
      </c>
      <c r="E3" s="56" t="inlineStr">
        <is>
          <t>상세물건구분</t>
        </is>
      </c>
      <c r="F3" s="56" t="inlineStr">
        <is>
          <t>지목</t>
        </is>
      </c>
      <c r="G3" s="56" t="inlineStr">
        <is>
          <t>용도지역</t>
        </is>
      </c>
      <c r="H3" s="56" t="inlineStr">
        <is>
          <t>기타주소</t>
        </is>
      </c>
      <c r="I3" s="179" t="inlineStr">
        <is>
          <t>거래시점</t>
        </is>
      </c>
      <c r="J3" s="56" t="inlineStr">
        <is>
          <t>전체면적</t>
        </is>
      </c>
      <c r="K3" s="56" t="inlineStr">
        <is>
          <t>전용면적</t>
        </is>
      </c>
      <c r="L3" s="56" t="inlineStr">
        <is>
          <t>물건금액</t>
        </is>
      </c>
      <c r="M3" s="56" t="inlineStr">
        <is>
          <t>단가</t>
        </is>
      </c>
      <c r="N3" s="180" t="inlineStr">
        <is>
          <t>사용승인일자</t>
        </is>
      </c>
      <c r="O3" s="56" t="n"/>
      <c r="P3" s="56" t="n"/>
      <c r="Q3" s="57" t="n"/>
    </row>
    <row r="4" ht="16.5" customHeight="1">
      <c r="A4" s="68" t="inlineStr">
        <is>
          <t>상세물건번호</t>
        </is>
      </c>
      <c r="B4" s="69" t="inlineStr">
        <is>
          <t>시군구</t>
        </is>
      </c>
      <c r="C4" s="69" t="inlineStr">
        <is>
          <t>소재지</t>
        </is>
      </c>
      <c r="D4" s="69" t="inlineStr">
        <is>
          <t>지번</t>
        </is>
      </c>
      <c r="E4" s="69" t="inlineStr">
        <is>
          <t>상세물건구분</t>
        </is>
      </c>
      <c r="F4" s="181" t="inlineStr">
        <is>
          <t>지목</t>
        </is>
      </c>
      <c r="G4" s="182" t="inlineStr">
        <is>
          <t>용도지역</t>
        </is>
      </c>
      <c r="H4" s="183" t="inlineStr">
        <is>
          <t>기타주소</t>
        </is>
      </c>
      <c r="I4" s="184" t="inlineStr">
        <is>
          <t>거래시점</t>
        </is>
      </c>
      <c r="J4" s="69" t="inlineStr">
        <is>
          <t>전체면적</t>
        </is>
      </c>
      <c r="K4" s="74" t="inlineStr">
        <is>
          <t>전용면적</t>
        </is>
      </c>
      <c r="L4" s="75" t="inlineStr">
        <is>
          <t>물건금액</t>
        </is>
      </c>
      <c r="M4" s="75" t="inlineStr">
        <is>
          <t>단가</t>
        </is>
      </c>
      <c r="N4" s="185" t="inlineStr">
        <is>
          <t>사용승인일자</t>
        </is>
      </c>
      <c r="O4" s="152" t="n"/>
      <c r="P4" s="152" t="n"/>
      <c r="Q4" s="172" t="n"/>
    </row>
    <row r="5" ht="16.5" customHeight="1">
      <c r="A5" s="151" t="n">
        <v>1</v>
      </c>
      <c r="B5" s="69" t="inlineStr">
        <is>
          <t>서울특별시 서초구</t>
        </is>
      </c>
      <c r="C5" s="77" t="inlineStr">
        <is>
          <t xml:space="preserve"> 서초동</t>
        </is>
      </c>
      <c r="D5" s="152" t="inlineStr">
        <is>
          <t>1454-29</t>
        </is>
      </c>
      <c r="E5" s="69" t="inlineStr">
        <is>
          <t>건물</t>
        </is>
      </c>
      <c r="F5" s="181" t="inlineStr">
        <is>
          <t>대</t>
        </is>
      </c>
      <c r="G5" s="182" t="inlineStr">
        <is>
          <t>제2종일반주거지역</t>
        </is>
      </c>
      <c r="H5" s="183" t="inlineStr">
        <is>
          <t>서초동한신아파트 101동 405호</t>
        </is>
      </c>
      <c r="I5" s="186" t="n">
        <v>45939</v>
      </c>
      <c r="J5" s="152" t="n">
        <v>115.3</v>
      </c>
      <c r="K5" s="79" t="n">
        <v>115.3</v>
      </c>
      <c r="L5" s="75" t="n">
        <v>2150000000</v>
      </c>
      <c r="M5" s="75" t="n">
        <v>18647007</v>
      </c>
      <c r="N5" s="185" t="n">
        <v>37239</v>
      </c>
      <c r="O5" s="152" t="n"/>
      <c r="P5" s="152" t="n"/>
      <c r="Q5" s="172" t="n"/>
    </row>
    <row r="6" ht="16.5" customHeight="1">
      <c r="A6" s="68" t="inlineStr">
        <is>
          <t>상세물건번호</t>
        </is>
      </c>
      <c r="B6" s="69" t="inlineStr">
        <is>
          <t>시군구</t>
        </is>
      </c>
      <c r="C6" s="69" t="inlineStr">
        <is>
          <t>소재지</t>
        </is>
      </c>
      <c r="D6" s="69" t="inlineStr">
        <is>
          <t>지번</t>
        </is>
      </c>
      <c r="E6" s="69" t="inlineStr">
        <is>
          <t>상세물건구분</t>
        </is>
      </c>
      <c r="F6" s="181" t="inlineStr">
        <is>
          <t>지목</t>
        </is>
      </c>
      <c r="G6" s="182" t="inlineStr">
        <is>
          <t>용도지역</t>
        </is>
      </c>
      <c r="H6" s="183" t="inlineStr">
        <is>
          <t>기타주소</t>
        </is>
      </c>
      <c r="I6" s="184" t="inlineStr">
        <is>
          <t>거래시점</t>
        </is>
      </c>
      <c r="J6" s="69" t="inlineStr">
        <is>
          <t>전체면적</t>
        </is>
      </c>
      <c r="K6" s="74" t="inlineStr">
        <is>
          <t>전용면적</t>
        </is>
      </c>
      <c r="L6" s="75" t="inlineStr">
        <is>
          <t>물건금액</t>
        </is>
      </c>
      <c r="M6" s="75" t="inlineStr">
        <is>
          <t>단가</t>
        </is>
      </c>
      <c r="N6" s="185" t="inlineStr">
        <is>
          <t>사용승인일자</t>
        </is>
      </c>
      <c r="O6" s="152" t="n"/>
      <c r="P6" s="152" t="n"/>
      <c r="Q6" s="172" t="n"/>
    </row>
    <row r="7" ht="16.5" customHeight="1">
      <c r="A7" s="151" t="n">
        <v>1</v>
      </c>
      <c r="B7" s="69" t="inlineStr">
        <is>
          <t>서울특별시 서초구</t>
        </is>
      </c>
      <c r="C7" s="77" t="inlineStr">
        <is>
          <t xml:space="preserve"> 서초동</t>
        </is>
      </c>
      <c r="D7" s="152" t="inlineStr">
        <is>
          <t>1454-29</t>
        </is>
      </c>
      <c r="E7" s="69" t="inlineStr">
        <is>
          <t>토지</t>
        </is>
      </c>
      <c r="F7" s="181" t="inlineStr">
        <is>
          <t>대</t>
        </is>
      </c>
      <c r="G7" s="182" t="inlineStr">
        <is>
          <t>제2종일반주거지역</t>
        </is>
      </c>
      <c r="H7" s="187" t="n"/>
      <c r="I7" s="186" t="n">
        <v>45939</v>
      </c>
      <c r="J7" s="81" t="n">
        <v>3174.6</v>
      </c>
      <c r="K7" s="79" t="n">
        <v>49.68</v>
      </c>
      <c r="L7" s="75" t="n">
        <v>2150000000</v>
      </c>
      <c r="M7" s="75" t="n"/>
      <c r="N7" s="185" t="n">
        <v>37239</v>
      </c>
      <c r="O7" s="152" t="n"/>
      <c r="P7" s="152" t="n"/>
      <c r="Q7" s="172" t="n"/>
    </row>
    <row r="8" ht="16.5" customHeight="1">
      <c r="A8" s="68" t="inlineStr">
        <is>
          <t>상세물건번호</t>
        </is>
      </c>
      <c r="B8" s="69" t="inlineStr">
        <is>
          <t>시군구</t>
        </is>
      </c>
      <c r="C8" s="69" t="inlineStr">
        <is>
          <t>소재지</t>
        </is>
      </c>
      <c r="D8" s="69" t="inlineStr">
        <is>
          <t>지번</t>
        </is>
      </c>
      <c r="E8" s="69" t="inlineStr">
        <is>
          <t>상세물건구분</t>
        </is>
      </c>
      <c r="F8" s="181" t="inlineStr">
        <is>
          <t>지목</t>
        </is>
      </c>
      <c r="G8" s="182" t="inlineStr">
        <is>
          <t>용도지역</t>
        </is>
      </c>
      <c r="H8" s="183" t="inlineStr">
        <is>
          <t>기타주소</t>
        </is>
      </c>
      <c r="I8" s="184" t="inlineStr">
        <is>
          <t>거래시점</t>
        </is>
      </c>
      <c r="J8" s="69" t="inlineStr">
        <is>
          <t>전체면적</t>
        </is>
      </c>
      <c r="K8" s="74" t="inlineStr">
        <is>
          <t>전용면적</t>
        </is>
      </c>
      <c r="L8" s="75" t="inlineStr">
        <is>
          <t>물건금액</t>
        </is>
      </c>
      <c r="M8" s="75" t="inlineStr">
        <is>
          <t>단가</t>
        </is>
      </c>
      <c r="N8" s="185" t="inlineStr">
        <is>
          <t>사용승인일자</t>
        </is>
      </c>
      <c r="O8" s="152" t="n"/>
      <c r="P8" s="152" t="n"/>
      <c r="Q8" s="172" t="n"/>
    </row>
    <row r="9" ht="16.5" customHeight="1">
      <c r="A9" s="82" t="n">
        <v>1</v>
      </c>
      <c r="B9" s="83" t="inlineStr">
        <is>
          <t>서울특별시 서초구</t>
        </is>
      </c>
      <c r="C9" s="83" t="inlineStr">
        <is>
          <t xml:space="preserve"> 서초동</t>
        </is>
      </c>
      <c r="D9" s="82" t="inlineStr">
        <is>
          <t>1454-32</t>
        </is>
      </c>
      <c r="E9" s="83" t="inlineStr">
        <is>
          <t>토지</t>
        </is>
      </c>
      <c r="F9" s="83" t="inlineStr">
        <is>
          <t>대</t>
        </is>
      </c>
      <c r="G9" s="83" t="n"/>
      <c r="H9" s="83" t="n"/>
      <c r="I9" s="188" t="n">
        <v>45939</v>
      </c>
      <c r="J9" s="85" t="n">
        <v>5334</v>
      </c>
      <c r="K9" s="86" t="n">
        <v>49.68</v>
      </c>
      <c r="L9" s="87" t="n">
        <v>2150000000</v>
      </c>
      <c r="M9" s="88" t="n"/>
      <c r="N9" s="189" t="n"/>
      <c r="O9" s="152" t="n"/>
      <c r="P9" s="152" t="n"/>
      <c r="Q9" s="172" t="n"/>
    </row>
    <row r="10" ht="16.5" customHeight="1">
      <c r="A10" s="90" t="n"/>
      <c r="B10" s="83" t="n"/>
      <c r="C10" s="91" t="n"/>
      <c r="D10" s="90" t="n"/>
      <c r="E10" s="83" t="n"/>
      <c r="F10" s="83" t="n"/>
      <c r="G10" s="83" t="n"/>
      <c r="H10" s="83" t="n"/>
      <c r="I10" s="190" t="n"/>
      <c r="J10" s="90" t="n"/>
      <c r="K10" s="93" t="n"/>
      <c r="L10" s="94" t="n"/>
      <c r="M10" s="88" t="n"/>
      <c r="N10" s="191" t="n"/>
      <c r="O10" s="90" t="n"/>
      <c r="P10" s="90" t="n"/>
      <c r="Q10" s="90" t="n"/>
    </row>
    <row r="11" ht="16.5" customHeight="1">
      <c r="A11" s="83" t="inlineStr">
        <is>
          <t>상세물건번호</t>
        </is>
      </c>
      <c r="B11" s="83" t="inlineStr">
        <is>
          <t>시군구</t>
        </is>
      </c>
      <c r="C11" s="83" t="inlineStr">
        <is>
          <t>소재지</t>
        </is>
      </c>
      <c r="D11" s="83" t="inlineStr">
        <is>
          <t>지번</t>
        </is>
      </c>
      <c r="E11" s="83" t="inlineStr">
        <is>
          <t>상세물건구분</t>
        </is>
      </c>
      <c r="F11" s="83" t="inlineStr">
        <is>
          <t>지목</t>
        </is>
      </c>
      <c r="G11" s="83" t="inlineStr">
        <is>
          <t>용도지역</t>
        </is>
      </c>
      <c r="H11" s="83" t="inlineStr">
        <is>
          <t>기타주소</t>
        </is>
      </c>
      <c r="I11" s="192" t="inlineStr">
        <is>
          <t>거래시점</t>
        </is>
      </c>
      <c r="J11" s="83" t="inlineStr">
        <is>
          <t>전체면적</t>
        </is>
      </c>
      <c r="K11" s="97" t="inlineStr">
        <is>
          <t>전용면적</t>
        </is>
      </c>
      <c r="L11" s="98" t="inlineStr">
        <is>
          <t>물건금액</t>
        </is>
      </c>
      <c r="M11" s="98" t="inlineStr">
        <is>
          <t>단가</t>
        </is>
      </c>
      <c r="N11" s="193" t="inlineStr">
        <is>
          <t>사용승인일자</t>
        </is>
      </c>
      <c r="O11" s="90" t="n"/>
      <c r="P11" s="90" t="n"/>
      <c r="Q11" s="90" t="n"/>
    </row>
    <row r="12" ht="16.5" customHeight="1">
      <c r="A12" s="90" t="n">
        <v>1</v>
      </c>
      <c r="B12" s="83" t="inlineStr">
        <is>
          <t>서울특별시 서초구</t>
        </is>
      </c>
      <c r="C12" s="91" t="inlineStr">
        <is>
          <t xml:space="preserve"> 서초동</t>
        </is>
      </c>
      <c r="D12" s="90" t="inlineStr">
        <is>
          <t>1620-20</t>
        </is>
      </c>
      <c r="E12" s="83" t="inlineStr">
        <is>
          <t>건물</t>
        </is>
      </c>
      <c r="F12" s="83" t="inlineStr">
        <is>
          <t>대</t>
        </is>
      </c>
      <c r="G12" s="83" t="inlineStr">
        <is>
          <t>제3종일반주거지역</t>
        </is>
      </c>
      <c r="H12" s="83" t="inlineStr">
        <is>
          <t>서초동롯데캐슬리버티 101동 205호</t>
        </is>
      </c>
      <c r="I12" s="190" t="n">
        <v>45721</v>
      </c>
      <c r="J12" s="90" t="n">
        <v>125.79</v>
      </c>
      <c r="K12" s="93" t="n">
        <v>125.79</v>
      </c>
      <c r="L12" s="94" t="n">
        <v>1975000000</v>
      </c>
      <c r="M12" s="88" t="n">
        <v>15700771</v>
      </c>
      <c r="N12" s="191" t="n">
        <v>38434</v>
      </c>
      <c r="O12" s="90" t="n"/>
      <c r="P12" s="90" t="n"/>
      <c r="Q12" s="90" t="n"/>
    </row>
    <row r="13" ht="16.5" customHeight="1">
      <c r="A13" s="83" t="inlineStr">
        <is>
          <t>상세물건번호</t>
        </is>
      </c>
      <c r="B13" s="83" t="inlineStr">
        <is>
          <t>시군구</t>
        </is>
      </c>
      <c r="C13" s="83" t="inlineStr">
        <is>
          <t>소재지</t>
        </is>
      </c>
      <c r="D13" s="83" t="inlineStr">
        <is>
          <t>지번</t>
        </is>
      </c>
      <c r="E13" s="83" t="inlineStr">
        <is>
          <t>상세물건구분</t>
        </is>
      </c>
      <c r="F13" s="83" t="inlineStr">
        <is>
          <t>지목</t>
        </is>
      </c>
      <c r="G13" s="83" t="inlineStr">
        <is>
          <t>용도지역</t>
        </is>
      </c>
      <c r="H13" s="83" t="inlineStr">
        <is>
          <t>기타주소</t>
        </is>
      </c>
      <c r="I13" s="192" t="inlineStr">
        <is>
          <t>거래시점</t>
        </is>
      </c>
      <c r="J13" s="83" t="inlineStr">
        <is>
          <t>전체면적</t>
        </is>
      </c>
      <c r="K13" s="97" t="inlineStr">
        <is>
          <t>전용면적</t>
        </is>
      </c>
      <c r="L13" s="98" t="inlineStr">
        <is>
          <t>물건금액</t>
        </is>
      </c>
      <c r="M13" s="98" t="inlineStr">
        <is>
          <t>단가</t>
        </is>
      </c>
      <c r="N13" s="193" t="inlineStr">
        <is>
          <t>사용승인일자</t>
        </is>
      </c>
      <c r="O13" s="90" t="n"/>
      <c r="P13" s="90" t="n"/>
      <c r="Q13" s="90" t="n"/>
    </row>
    <row r="14" ht="16.5" customHeight="1">
      <c r="A14" s="83" t="n">
        <v>1</v>
      </c>
      <c r="B14" s="83" t="inlineStr">
        <is>
          <t>서울특별시 서초구</t>
        </is>
      </c>
      <c r="C14" s="83" t="inlineStr">
        <is>
          <t xml:space="preserve"> 서초동</t>
        </is>
      </c>
      <c r="D14" s="82" t="inlineStr">
        <is>
          <t>1620-20</t>
        </is>
      </c>
      <c r="E14" s="83" t="inlineStr">
        <is>
          <t>토지</t>
        </is>
      </c>
      <c r="F14" s="83" t="inlineStr">
        <is>
          <t>대</t>
        </is>
      </c>
      <c r="G14" s="83" t="inlineStr">
        <is>
          <t>제3종일반주거지역</t>
        </is>
      </c>
      <c r="H14" s="83" t="n"/>
      <c r="I14" s="188" t="n">
        <v>45721</v>
      </c>
      <c r="J14" s="100" t="n">
        <v>7788.6</v>
      </c>
      <c r="K14" s="86" t="n">
        <v>64.18000000000001</v>
      </c>
      <c r="L14" s="87" t="n">
        <v>1975000000</v>
      </c>
      <c r="M14" s="88" t="n"/>
      <c r="N14" s="193" t="n">
        <v>38434</v>
      </c>
      <c r="O14" s="90" t="n"/>
      <c r="P14" s="90" t="n"/>
      <c r="Q14" s="90" t="n"/>
    </row>
    <row r="15" ht="16.5" customHeight="1">
      <c r="A15" s="90" t="n"/>
      <c r="B15" s="83" t="n"/>
      <c r="C15" s="91" t="n"/>
      <c r="D15" s="90" t="n"/>
      <c r="E15" s="83" t="n"/>
      <c r="F15" s="83" t="n"/>
      <c r="G15" s="83" t="n"/>
      <c r="H15" s="83" t="n"/>
      <c r="I15" s="190" t="n"/>
      <c r="J15" s="90" t="n"/>
      <c r="K15" s="93" t="n"/>
      <c r="L15" s="94" t="n"/>
      <c r="M15" s="88" t="n"/>
      <c r="N15" s="191" t="n"/>
      <c r="O15" s="90" t="n"/>
      <c r="P15" s="90" t="n"/>
      <c r="Q15" s="90" t="n"/>
    </row>
    <row r="16" ht="16.5" customHeight="1">
      <c r="A16" s="83" t="inlineStr">
        <is>
          <t>상세물건번호</t>
        </is>
      </c>
      <c r="B16" s="83" t="inlineStr">
        <is>
          <t>시군구</t>
        </is>
      </c>
      <c r="C16" s="83" t="inlineStr">
        <is>
          <t>소재지</t>
        </is>
      </c>
      <c r="D16" s="83" t="inlineStr">
        <is>
          <t>지번</t>
        </is>
      </c>
      <c r="E16" s="83" t="inlineStr">
        <is>
          <t>상세물건구분</t>
        </is>
      </c>
      <c r="F16" s="83" t="inlineStr">
        <is>
          <t>지목</t>
        </is>
      </c>
      <c r="G16" s="83" t="inlineStr">
        <is>
          <t>용도지역</t>
        </is>
      </c>
      <c r="H16" s="83" t="inlineStr">
        <is>
          <t>기타주소</t>
        </is>
      </c>
      <c r="I16" s="192" t="inlineStr">
        <is>
          <t>거래시점</t>
        </is>
      </c>
      <c r="J16" s="83" t="inlineStr">
        <is>
          <t>전체면적</t>
        </is>
      </c>
      <c r="K16" s="97" t="inlineStr">
        <is>
          <t>전용면적</t>
        </is>
      </c>
      <c r="L16" s="97" t="inlineStr">
        <is>
          <t>물건금액</t>
        </is>
      </c>
      <c r="M16" s="97" t="inlineStr">
        <is>
          <t>단가</t>
        </is>
      </c>
      <c r="N16" s="193" t="inlineStr">
        <is>
          <t>사용승인일자</t>
        </is>
      </c>
      <c r="O16" s="90" t="n"/>
      <c r="P16" s="90" t="n"/>
      <c r="Q16" s="90" t="n"/>
    </row>
    <row r="17" ht="16.5" customHeight="1">
      <c r="A17" s="90" t="n">
        <v>1</v>
      </c>
      <c r="B17" s="83" t="inlineStr">
        <is>
          <t>서울특별시 서초구</t>
        </is>
      </c>
      <c r="C17" s="83" t="inlineStr">
        <is>
          <t xml:space="preserve"> 서초동</t>
        </is>
      </c>
      <c r="D17" s="90" t="inlineStr">
        <is>
          <t>1507-38</t>
        </is>
      </c>
      <c r="E17" s="83" t="inlineStr">
        <is>
          <t>건물</t>
        </is>
      </c>
      <c r="F17" s="83" t="inlineStr">
        <is>
          <t>대</t>
        </is>
      </c>
      <c r="G17" s="83" t="inlineStr">
        <is>
          <t>제2종일반주거지역</t>
        </is>
      </c>
      <c r="H17" s="83" t="inlineStr">
        <is>
          <t>서초두산위브2 604호</t>
        </is>
      </c>
      <c r="I17" s="190" t="n">
        <v>45952</v>
      </c>
      <c r="J17" s="90" t="n">
        <v>111.07</v>
      </c>
      <c r="K17" s="93" t="n">
        <v>111.07</v>
      </c>
      <c r="L17" s="94" t="n">
        <v>1840000000</v>
      </c>
      <c r="M17" s="88" t="n">
        <v>16566129</v>
      </c>
      <c r="N17" s="191" t="n">
        <v>38596</v>
      </c>
      <c r="O17" s="90" t="n"/>
      <c r="P17" s="90" t="n"/>
      <c r="Q17" s="90" t="n"/>
    </row>
    <row r="18" ht="16.5" customHeight="1">
      <c r="A18" s="83" t="inlineStr">
        <is>
          <t>상세물건번호</t>
        </is>
      </c>
      <c r="B18" s="83" t="inlineStr">
        <is>
          <t>시군구</t>
        </is>
      </c>
      <c r="C18" s="83" t="inlineStr">
        <is>
          <t>소재지</t>
        </is>
      </c>
      <c r="D18" s="83" t="inlineStr">
        <is>
          <t>지번</t>
        </is>
      </c>
      <c r="E18" s="83" t="inlineStr">
        <is>
          <t>상세물건구분</t>
        </is>
      </c>
      <c r="F18" s="83" t="inlineStr">
        <is>
          <t>지목</t>
        </is>
      </c>
      <c r="G18" s="83" t="inlineStr">
        <is>
          <t>용도지역</t>
        </is>
      </c>
      <c r="H18" s="83" t="inlineStr">
        <is>
          <t>기타주소</t>
        </is>
      </c>
      <c r="I18" s="192" t="inlineStr">
        <is>
          <t>거래시점</t>
        </is>
      </c>
      <c r="J18" s="83" t="inlineStr">
        <is>
          <t>전체면적</t>
        </is>
      </c>
      <c r="K18" s="97" t="inlineStr">
        <is>
          <t>전용면적</t>
        </is>
      </c>
      <c r="L18" s="97" t="inlineStr">
        <is>
          <t>물건금액</t>
        </is>
      </c>
      <c r="M18" s="97" t="inlineStr">
        <is>
          <t>단가</t>
        </is>
      </c>
      <c r="N18" s="193" t="inlineStr">
        <is>
          <t>사용승인일자</t>
        </is>
      </c>
    </row>
    <row r="19" ht="16.5" customHeight="1">
      <c r="A19" s="83" t="n">
        <v>1</v>
      </c>
      <c r="B19" s="83" t="inlineStr">
        <is>
          <t>서울특별시 서초구</t>
        </is>
      </c>
      <c r="C19" s="83" t="inlineStr">
        <is>
          <t xml:space="preserve"> 서초동</t>
        </is>
      </c>
      <c r="D19" s="82" t="inlineStr">
        <is>
          <t>1507-38</t>
        </is>
      </c>
      <c r="E19" s="83" t="inlineStr">
        <is>
          <t>토지</t>
        </is>
      </c>
      <c r="F19" s="83" t="inlineStr">
        <is>
          <t>대</t>
        </is>
      </c>
      <c r="G19" s="83" t="inlineStr">
        <is>
          <t>제2종일반주거지역</t>
        </is>
      </c>
      <c r="H19" s="83" t="n"/>
      <c r="I19" s="188" t="n">
        <v>45952</v>
      </c>
      <c r="J19" s="100" t="n">
        <v>2412.4</v>
      </c>
      <c r="K19" s="86" t="n">
        <v>52.36</v>
      </c>
      <c r="L19" s="87" t="n">
        <v>1840000000</v>
      </c>
      <c r="M19" s="97" t="n"/>
      <c r="N19" s="193" t="n">
        <v>38596</v>
      </c>
    </row>
    <row r="20" ht="16.5" customHeight="1">
      <c r="A20" s="90" t="n"/>
      <c r="B20" s="83" t="n"/>
      <c r="C20" s="90" t="n"/>
      <c r="D20" s="90" t="n"/>
      <c r="E20" s="83" t="n"/>
      <c r="F20" s="83" t="n"/>
      <c r="G20" s="83" t="n"/>
      <c r="H20" s="83" t="n"/>
      <c r="I20" s="190" t="n"/>
      <c r="J20" s="90" t="n"/>
      <c r="K20" s="93" t="n"/>
      <c r="L20" s="94" t="n"/>
      <c r="M20" s="88" t="n"/>
      <c r="N20" s="191" t="n"/>
    </row>
    <row r="21" ht="16.5" customHeight="1">
      <c r="A21" s="101" t="inlineStr">
        <is>
          <t>상세물건번호</t>
        </is>
      </c>
      <c r="B21" s="101" t="inlineStr">
        <is>
          <t>시군구</t>
        </is>
      </c>
      <c r="C21" s="101" t="inlineStr">
        <is>
          <t>소재지</t>
        </is>
      </c>
      <c r="D21" s="101" t="inlineStr">
        <is>
          <t>지번</t>
        </is>
      </c>
      <c r="E21" s="101" t="inlineStr">
        <is>
          <t>상세물건구분</t>
        </is>
      </c>
      <c r="F21" s="101" t="inlineStr">
        <is>
          <t>지목</t>
        </is>
      </c>
      <c r="G21" s="101" t="inlineStr">
        <is>
          <t>용도지역</t>
        </is>
      </c>
      <c r="H21" s="101" t="inlineStr">
        <is>
          <t>기타주소</t>
        </is>
      </c>
      <c r="I21" s="194" t="inlineStr">
        <is>
          <t>거래시점</t>
        </is>
      </c>
      <c r="J21" s="101" t="inlineStr">
        <is>
          <t>전체면적</t>
        </is>
      </c>
      <c r="K21" s="103" t="inlineStr">
        <is>
          <t>전용면적</t>
        </is>
      </c>
      <c r="L21" s="103" t="inlineStr">
        <is>
          <t>물건금액</t>
        </is>
      </c>
      <c r="M21" s="103" t="inlineStr">
        <is>
          <t>단가</t>
        </is>
      </c>
      <c r="N21" s="195" t="inlineStr">
        <is>
          <t>사용승인일자</t>
        </is>
      </c>
    </row>
    <row r="22" ht="16.5" customHeight="1">
      <c r="A22" s="90" t="n">
        <v>1</v>
      </c>
      <c r="B22" s="83" t="inlineStr">
        <is>
          <t>서울특별시 서초구</t>
        </is>
      </c>
      <c r="C22" s="83" t="inlineStr">
        <is>
          <t xml:space="preserve"> 서초동</t>
        </is>
      </c>
      <c r="D22" s="90" t="inlineStr">
        <is>
          <t>1506-88</t>
        </is>
      </c>
      <c r="E22" s="83" t="inlineStr">
        <is>
          <t>건물</t>
        </is>
      </c>
      <c r="F22" s="83" t="inlineStr">
        <is>
          <t>대</t>
        </is>
      </c>
      <c r="G22" s="83" t="inlineStr">
        <is>
          <t>제2종일반주거지역</t>
        </is>
      </c>
      <c r="H22" s="83" t="inlineStr">
        <is>
          <t>서초 현대홈타운 101동 604호</t>
        </is>
      </c>
      <c r="I22" s="190" t="n">
        <v>45882</v>
      </c>
      <c r="J22" s="90" t="n">
        <v>134.19</v>
      </c>
      <c r="K22" s="93" t="n">
        <v>134.19</v>
      </c>
      <c r="L22" s="94" t="n">
        <v>2000000000</v>
      </c>
      <c r="M22" s="88" t="n">
        <v>14904240</v>
      </c>
      <c r="N22" s="191" t="n">
        <v>38483</v>
      </c>
    </row>
    <row r="23" ht="16.5" customHeight="1">
      <c r="A23" s="83" t="inlineStr">
        <is>
          <t>상세물건번호</t>
        </is>
      </c>
      <c r="B23" s="83" t="inlineStr">
        <is>
          <t>시군구</t>
        </is>
      </c>
      <c r="C23" s="83" t="inlineStr">
        <is>
          <t>소재지</t>
        </is>
      </c>
      <c r="D23" s="83" t="inlineStr">
        <is>
          <t>지번</t>
        </is>
      </c>
      <c r="E23" s="83" t="inlineStr">
        <is>
          <t>상세물건구분</t>
        </is>
      </c>
      <c r="F23" s="83" t="inlineStr">
        <is>
          <t>지목</t>
        </is>
      </c>
      <c r="G23" s="83" t="inlineStr">
        <is>
          <t>용도지역</t>
        </is>
      </c>
      <c r="H23" s="83" t="inlineStr">
        <is>
          <t>기타주소</t>
        </is>
      </c>
      <c r="I23" s="192" t="inlineStr">
        <is>
          <t>거래시점</t>
        </is>
      </c>
      <c r="J23" s="83" t="inlineStr">
        <is>
          <t>전체면적</t>
        </is>
      </c>
      <c r="K23" s="97" t="inlineStr">
        <is>
          <t>전용면적</t>
        </is>
      </c>
      <c r="L23" s="97" t="inlineStr">
        <is>
          <t>물건금액</t>
        </is>
      </c>
      <c r="M23" s="97" t="inlineStr">
        <is>
          <t>단가</t>
        </is>
      </c>
      <c r="N23" s="193" t="inlineStr">
        <is>
          <t>사용승인일자</t>
        </is>
      </c>
    </row>
    <row r="24" ht="16.5" customHeight="1">
      <c r="A24" s="83" t="n">
        <v>1</v>
      </c>
      <c r="B24" s="83" t="inlineStr">
        <is>
          <t>서울특별시 서초구</t>
        </is>
      </c>
      <c r="C24" s="83" t="inlineStr">
        <is>
          <t xml:space="preserve"> 서초동</t>
        </is>
      </c>
      <c r="D24" s="82" t="inlineStr">
        <is>
          <t>1506-88</t>
        </is>
      </c>
      <c r="E24" s="83" t="inlineStr">
        <is>
          <t>토지</t>
        </is>
      </c>
      <c r="F24" s="83" t="inlineStr">
        <is>
          <t>대</t>
        </is>
      </c>
      <c r="G24" s="83" t="inlineStr">
        <is>
          <t>제2종일반주거지역</t>
        </is>
      </c>
      <c r="H24" s="83" t="n"/>
      <c r="I24" s="188" t="n">
        <v>45882</v>
      </c>
      <c r="J24" s="100" t="n">
        <v>3882.1</v>
      </c>
      <c r="K24" s="86" t="n">
        <v>63.99</v>
      </c>
      <c r="L24" s="87" t="n">
        <v>2000000000</v>
      </c>
      <c r="M24" s="97" t="n"/>
      <c r="N24" s="193" t="n">
        <v>38483</v>
      </c>
    </row>
    <row r="25" ht="16.5" customHeight="1">
      <c r="A25" s="90" t="n"/>
      <c r="B25" s="83" t="n"/>
      <c r="C25" s="90" t="n"/>
      <c r="D25" s="90" t="n"/>
      <c r="E25" s="83" t="n"/>
      <c r="F25" s="83" t="n"/>
      <c r="G25" s="83" t="n"/>
      <c r="H25" s="83" t="n"/>
      <c r="I25" s="190" t="n"/>
      <c r="J25" s="90" t="n"/>
      <c r="K25" s="93" t="n"/>
      <c r="L25" s="94" t="n"/>
      <c r="M25" s="88" t="n"/>
      <c r="N25" s="191" t="n"/>
    </row>
    <row r="26" ht="16.5" customHeight="1">
      <c r="A26" s="101" t="n"/>
      <c r="B26" s="101" t="n"/>
      <c r="C26" s="101" t="n"/>
      <c r="D26" s="101" t="n"/>
      <c r="E26" s="101" t="n"/>
      <c r="F26" s="101" t="n"/>
      <c r="G26" s="101" t="n"/>
      <c r="H26" s="101" t="n"/>
      <c r="I26" s="194" t="n"/>
      <c r="J26" s="101" t="n"/>
      <c r="K26" s="103" t="n"/>
      <c r="L26" s="103" t="n"/>
      <c r="M26" s="103" t="n"/>
      <c r="N26" s="195" t="n"/>
    </row>
    <row r="27" ht="16.5" customHeight="1">
      <c r="A27" s="90" t="n"/>
      <c r="B27" s="83" t="n"/>
      <c r="C27" s="90" t="n"/>
      <c r="D27" s="90" t="n"/>
      <c r="E27" s="83" t="n"/>
      <c r="F27" s="83" t="n"/>
      <c r="G27" s="83" t="n"/>
      <c r="H27" s="90" t="n"/>
      <c r="I27" s="190" t="n"/>
      <c r="J27" s="90" t="n"/>
      <c r="K27" s="93" t="n"/>
      <c r="L27" s="94" t="n"/>
      <c r="M27" s="97" t="n"/>
      <c r="N27" s="191" t="n"/>
    </row>
    <row r="28" ht="16.5" customHeight="1">
      <c r="A28" s="83" t="inlineStr">
        <is>
          <t>상세물건번호</t>
        </is>
      </c>
      <c r="B28" s="83" t="inlineStr">
        <is>
          <t>시군구</t>
        </is>
      </c>
      <c r="C28" s="83" t="inlineStr">
        <is>
          <t>소재지</t>
        </is>
      </c>
      <c r="D28" s="83" t="inlineStr">
        <is>
          <t>지번</t>
        </is>
      </c>
      <c r="E28" s="83" t="inlineStr">
        <is>
          <t>상세물건구분</t>
        </is>
      </c>
      <c r="F28" s="83" t="inlineStr">
        <is>
          <t>지목</t>
        </is>
      </c>
      <c r="G28" s="83" t="inlineStr">
        <is>
          <t>용도지역</t>
        </is>
      </c>
      <c r="H28" s="83" t="inlineStr">
        <is>
          <t>기타주소</t>
        </is>
      </c>
      <c r="I28" s="192" t="inlineStr">
        <is>
          <t>거래시점</t>
        </is>
      </c>
      <c r="J28" s="83" t="inlineStr">
        <is>
          <t>전체면적</t>
        </is>
      </c>
      <c r="K28" s="97" t="inlineStr">
        <is>
          <t>전용면적</t>
        </is>
      </c>
      <c r="L28" s="97" t="inlineStr">
        <is>
          <t>물건금액</t>
        </is>
      </c>
      <c r="M28" s="97" t="inlineStr">
        <is>
          <t>단가</t>
        </is>
      </c>
      <c r="N28" s="193" t="inlineStr">
        <is>
          <t>사용승인일자</t>
        </is>
      </c>
    </row>
    <row r="29" ht="16.5" customHeight="1">
      <c r="A29" s="83" t="n">
        <v>1</v>
      </c>
      <c r="B29" s="83" t="inlineStr">
        <is>
          <t>서울특별시 서초구</t>
        </is>
      </c>
      <c r="C29" s="83" t="inlineStr">
        <is>
          <t xml:space="preserve"> 서초동</t>
        </is>
      </c>
      <c r="D29" s="82" t="inlineStr">
        <is>
          <t>1445-14</t>
        </is>
      </c>
      <c r="E29" s="83" t="inlineStr">
        <is>
          <t>건물</t>
        </is>
      </c>
      <c r="F29" s="83" t="inlineStr">
        <is>
          <t>대</t>
        </is>
      </c>
      <c r="G29" s="83" t="inlineStr">
        <is>
          <t>일반상업지역</t>
        </is>
      </c>
      <c r="H29" s="83" t="inlineStr">
        <is>
          <t>더샾서초 102동 2002호</t>
        </is>
      </c>
      <c r="I29" s="188" t="n">
        <v>45962</v>
      </c>
      <c r="J29" s="100" t="n">
        <v>152.95</v>
      </c>
      <c r="K29" s="86" t="n">
        <v>152.95</v>
      </c>
      <c r="L29" s="87" t="n">
        <v>2450000000</v>
      </c>
      <c r="M29" s="88" t="n">
        <v>16018306</v>
      </c>
      <c r="N29" s="193" t="n">
        <v>38736</v>
      </c>
    </row>
    <row r="30" ht="16.5" customHeight="1">
      <c r="A30" s="83" t="inlineStr">
        <is>
          <t>상세물건번호</t>
        </is>
      </c>
      <c r="B30" s="83" t="inlineStr">
        <is>
          <t>시군구</t>
        </is>
      </c>
      <c r="C30" s="83" t="inlineStr">
        <is>
          <t>소재지</t>
        </is>
      </c>
      <c r="D30" s="83" t="inlineStr">
        <is>
          <t>지번</t>
        </is>
      </c>
      <c r="E30" s="83" t="inlineStr">
        <is>
          <t>상세물건구분</t>
        </is>
      </c>
      <c r="F30" s="83" t="inlineStr">
        <is>
          <t>지목</t>
        </is>
      </c>
      <c r="G30" s="83" t="inlineStr">
        <is>
          <t>용도지역</t>
        </is>
      </c>
      <c r="H30" s="83" t="inlineStr">
        <is>
          <t>기타주소</t>
        </is>
      </c>
      <c r="I30" s="192" t="inlineStr">
        <is>
          <t>거래시점</t>
        </is>
      </c>
      <c r="J30" s="83" t="inlineStr">
        <is>
          <t>전체면적</t>
        </is>
      </c>
      <c r="K30" s="97" t="inlineStr">
        <is>
          <t>전용면적</t>
        </is>
      </c>
      <c r="L30" s="98" t="inlineStr">
        <is>
          <t>물건금액</t>
        </is>
      </c>
      <c r="M30" s="98" t="inlineStr">
        <is>
          <t>단가</t>
        </is>
      </c>
      <c r="N30" s="193" t="inlineStr">
        <is>
          <t>사용승인일자</t>
        </is>
      </c>
    </row>
    <row r="31" ht="16.5" customHeight="1">
      <c r="A31" s="101" t="n">
        <v>1</v>
      </c>
      <c r="B31" s="101" t="inlineStr">
        <is>
          <t>서울특별시 서초구</t>
        </is>
      </c>
      <c r="C31" s="101" t="inlineStr">
        <is>
          <t xml:space="preserve"> 서초동</t>
        </is>
      </c>
      <c r="D31" s="105" t="inlineStr">
        <is>
          <t>1445-14</t>
        </is>
      </c>
      <c r="E31" s="101" t="inlineStr">
        <is>
          <t>토지</t>
        </is>
      </c>
      <c r="F31" s="101" t="inlineStr">
        <is>
          <t>대</t>
        </is>
      </c>
      <c r="G31" s="101" t="inlineStr">
        <is>
          <t>일반상업지역</t>
        </is>
      </c>
      <c r="H31" s="101" t="n"/>
      <c r="I31" s="194" t="n">
        <v>45962</v>
      </c>
      <c r="J31" s="106" t="n">
        <v>2437.9</v>
      </c>
      <c r="K31" s="103" t="n">
        <v>32.92</v>
      </c>
      <c r="L31" s="107" t="n">
        <v>2450000000</v>
      </c>
      <c r="M31" s="103" t="n"/>
      <c r="N31" s="195" t="n">
        <v>38736</v>
      </c>
    </row>
    <row r="32" ht="16.5" customHeight="1">
      <c r="A32" s="90" t="n"/>
      <c r="B32" s="83" t="n"/>
      <c r="C32" s="90" t="n"/>
      <c r="D32" s="90" t="n"/>
      <c r="E32" s="83" t="n"/>
      <c r="F32" s="83" t="n"/>
      <c r="G32" s="83" t="n"/>
      <c r="H32" s="90" t="n"/>
      <c r="I32" s="190" t="n"/>
      <c r="J32" s="90" t="n"/>
      <c r="K32" s="93" t="n"/>
      <c r="L32" s="94" t="n"/>
      <c r="M32" s="97" t="n"/>
      <c r="N32" s="191" t="n"/>
    </row>
    <row r="33" ht="16.5" customHeight="1">
      <c r="A33" s="83" t="inlineStr">
        <is>
          <t>상세물건번호</t>
        </is>
      </c>
      <c r="B33" s="83" t="inlineStr">
        <is>
          <t>시군구</t>
        </is>
      </c>
      <c r="C33" s="83" t="inlineStr">
        <is>
          <t>소재지</t>
        </is>
      </c>
      <c r="D33" s="83" t="inlineStr">
        <is>
          <t>지번</t>
        </is>
      </c>
      <c r="E33" s="83" t="inlineStr">
        <is>
          <t>상세물건구분</t>
        </is>
      </c>
      <c r="F33" s="83" t="inlineStr">
        <is>
          <t>지목</t>
        </is>
      </c>
      <c r="G33" s="83" t="inlineStr">
        <is>
          <t>용도지역</t>
        </is>
      </c>
      <c r="H33" s="83" t="inlineStr">
        <is>
          <t>기타주소</t>
        </is>
      </c>
      <c r="I33" s="192" t="inlineStr">
        <is>
          <t>거래시점</t>
        </is>
      </c>
      <c r="J33" s="83" t="inlineStr">
        <is>
          <t>전체면적</t>
        </is>
      </c>
      <c r="K33" s="97" t="inlineStr">
        <is>
          <t>전용면적</t>
        </is>
      </c>
      <c r="L33" s="97" t="inlineStr">
        <is>
          <t>물건금액</t>
        </is>
      </c>
      <c r="M33" s="97" t="inlineStr">
        <is>
          <t>단가</t>
        </is>
      </c>
      <c r="N33" s="193" t="inlineStr">
        <is>
          <t>사용승인일자</t>
        </is>
      </c>
    </row>
    <row r="34" ht="16.5" customHeight="1">
      <c r="A34" s="83" t="n">
        <v>1</v>
      </c>
      <c r="B34" s="83" t="inlineStr">
        <is>
          <t>서울특별시 서초구</t>
        </is>
      </c>
      <c r="C34" s="83" t="inlineStr">
        <is>
          <t xml:space="preserve"> 서초동</t>
        </is>
      </c>
      <c r="D34" s="82" t="inlineStr">
        <is>
          <t>1583-10</t>
        </is>
      </c>
      <c r="E34" s="83" t="inlineStr">
        <is>
          <t>건물</t>
        </is>
      </c>
      <c r="F34" s="83" t="inlineStr">
        <is>
          <t>대</t>
        </is>
      </c>
      <c r="G34" s="83" t="inlineStr">
        <is>
          <t>제3종일반주거지역</t>
        </is>
      </c>
      <c r="H34" s="83" t="inlineStr">
        <is>
          <t>서초아트자이 102동 1401호</t>
        </is>
      </c>
      <c r="I34" s="188" t="n">
        <v>45996</v>
      </c>
      <c r="J34" s="83" t="n">
        <v>165.57</v>
      </c>
      <c r="K34" s="86" t="n">
        <v>165.57</v>
      </c>
      <c r="L34" s="87" t="n">
        <v>2850000000</v>
      </c>
      <c r="M34" s="88" t="n">
        <v>17213003</v>
      </c>
      <c r="N34" s="193" t="n">
        <v>39990</v>
      </c>
    </row>
    <row r="35" ht="16.5" customHeight="1">
      <c r="A35" s="83" t="inlineStr">
        <is>
          <t>상세물건번호</t>
        </is>
      </c>
      <c r="B35" s="83" t="inlineStr">
        <is>
          <t>시군구</t>
        </is>
      </c>
      <c r="C35" s="83" t="inlineStr">
        <is>
          <t>소재지</t>
        </is>
      </c>
      <c r="D35" s="83" t="inlineStr">
        <is>
          <t>지번</t>
        </is>
      </c>
      <c r="E35" s="83" t="inlineStr">
        <is>
          <t>상세물건구분</t>
        </is>
      </c>
      <c r="F35" s="83" t="inlineStr">
        <is>
          <t>지목</t>
        </is>
      </c>
      <c r="G35" s="83" t="inlineStr">
        <is>
          <t>용도지역</t>
        </is>
      </c>
      <c r="H35" s="83" t="inlineStr">
        <is>
          <t>기타주소</t>
        </is>
      </c>
      <c r="I35" s="192" t="inlineStr">
        <is>
          <t>거래시점</t>
        </is>
      </c>
      <c r="J35" s="83" t="inlineStr">
        <is>
          <t>전체면적</t>
        </is>
      </c>
      <c r="K35" s="97" t="inlineStr">
        <is>
          <t>전용면적</t>
        </is>
      </c>
      <c r="L35" s="98" t="inlineStr">
        <is>
          <t>물건금액</t>
        </is>
      </c>
      <c r="M35" s="98" t="inlineStr">
        <is>
          <t>단가</t>
        </is>
      </c>
      <c r="N35" s="193" t="inlineStr">
        <is>
          <t>사용승인일자</t>
        </is>
      </c>
    </row>
    <row r="36" ht="16.5" customHeight="1">
      <c r="A36" s="101" t="n">
        <v>1</v>
      </c>
      <c r="B36" s="101" t="inlineStr">
        <is>
          <t>서울특별시 서초구</t>
        </is>
      </c>
      <c r="C36" s="101" t="inlineStr">
        <is>
          <t xml:space="preserve"> 서초동</t>
        </is>
      </c>
      <c r="D36" s="105" t="inlineStr">
        <is>
          <t>1583-10</t>
        </is>
      </c>
      <c r="E36" s="101" t="inlineStr">
        <is>
          <t>토지</t>
        </is>
      </c>
      <c r="F36" s="101" t="inlineStr">
        <is>
          <t>대</t>
        </is>
      </c>
      <c r="G36" s="101" t="inlineStr">
        <is>
          <t>제3종일반주거지역</t>
        </is>
      </c>
      <c r="H36" s="101" t="n"/>
      <c r="I36" s="194" t="n">
        <v>45996</v>
      </c>
      <c r="J36" s="106" t="n">
        <v>9621.299999999999</v>
      </c>
      <c r="K36" s="103" t="n">
        <v>45.53</v>
      </c>
      <c r="L36" s="107" t="n">
        <v>2850000000</v>
      </c>
      <c r="M36" s="103" t="n"/>
      <c r="N36" s="195" t="n">
        <v>39990</v>
      </c>
    </row>
    <row r="37" ht="16.5" customHeight="1">
      <c r="A37" s="90" t="n"/>
      <c r="B37" s="83" t="n"/>
      <c r="C37" s="90" t="n"/>
      <c r="D37" s="90" t="n"/>
      <c r="E37" s="83" t="n"/>
      <c r="F37" s="83" t="n"/>
      <c r="G37" s="83" t="n"/>
      <c r="H37" s="90" t="n"/>
      <c r="I37" s="190" t="n"/>
      <c r="J37" s="90" t="n"/>
      <c r="K37" s="93" t="n"/>
      <c r="L37" s="94" t="n"/>
      <c r="M37" s="97" t="n"/>
      <c r="N37" s="191" t="n"/>
    </row>
    <row r="38" ht="16.5" customHeight="1">
      <c r="A38" s="83" t="inlineStr">
        <is>
          <t>상세물건번호</t>
        </is>
      </c>
      <c r="B38" s="83" t="inlineStr">
        <is>
          <t>시군구</t>
        </is>
      </c>
      <c r="C38" s="83" t="inlineStr">
        <is>
          <t>소재지</t>
        </is>
      </c>
      <c r="D38" s="83" t="inlineStr">
        <is>
          <t>지번</t>
        </is>
      </c>
      <c r="E38" s="83" t="inlineStr">
        <is>
          <t>상세물건구분</t>
        </is>
      </c>
      <c r="F38" s="83" t="inlineStr">
        <is>
          <t>지목</t>
        </is>
      </c>
      <c r="G38" s="83" t="inlineStr">
        <is>
          <t>용도지역</t>
        </is>
      </c>
      <c r="H38" s="83" t="inlineStr">
        <is>
          <t>기타주소</t>
        </is>
      </c>
      <c r="I38" s="192" t="inlineStr">
        <is>
          <t>거래시점</t>
        </is>
      </c>
      <c r="J38" s="83" t="inlineStr">
        <is>
          <t>전체면적</t>
        </is>
      </c>
      <c r="K38" s="97" t="inlineStr">
        <is>
          <t>전용면적</t>
        </is>
      </c>
      <c r="L38" s="97" t="inlineStr">
        <is>
          <t>물건금액</t>
        </is>
      </c>
      <c r="M38" s="97" t="inlineStr">
        <is>
          <t>단가</t>
        </is>
      </c>
      <c r="N38" s="193" t="inlineStr">
        <is>
          <t>사용승인일자</t>
        </is>
      </c>
    </row>
    <row r="39" ht="16.5" customHeight="1">
      <c r="A39" s="83" t="n">
        <v>1</v>
      </c>
      <c r="B39" s="83" t="inlineStr">
        <is>
          <t>서울특별시 서초구</t>
        </is>
      </c>
      <c r="C39" s="83" t="inlineStr">
        <is>
          <t xml:space="preserve"> 서초동</t>
        </is>
      </c>
      <c r="D39" s="82" t="inlineStr">
        <is>
          <t>1455-9</t>
        </is>
      </c>
      <c r="E39" s="83" t="inlineStr">
        <is>
          <t>건물</t>
        </is>
      </c>
      <c r="F39" s="83" t="inlineStr">
        <is>
          <t>대</t>
        </is>
      </c>
      <c r="G39" s="83" t="inlineStr">
        <is>
          <t>제2종일반주거지역</t>
        </is>
      </c>
      <c r="H39" s="83" t="inlineStr">
        <is>
          <t>경남아너스빌 101동 1102호</t>
        </is>
      </c>
      <c r="I39" s="188" t="n">
        <v>46020</v>
      </c>
      <c r="J39" s="83" t="n">
        <v>136.22</v>
      </c>
      <c r="K39" s="86" t="n">
        <v>136.22</v>
      </c>
      <c r="L39" s="87" t="n">
        <v>2300000000</v>
      </c>
      <c r="M39" s="88" t="n">
        <v>16883955</v>
      </c>
      <c r="N39" s="193" t="n">
        <v>38639</v>
      </c>
    </row>
    <row r="40" ht="16.5" customHeight="1">
      <c r="A40" s="83" t="inlineStr">
        <is>
          <t>상세물건번호</t>
        </is>
      </c>
      <c r="B40" s="83" t="inlineStr">
        <is>
          <t>시군구</t>
        </is>
      </c>
      <c r="C40" s="83" t="inlineStr">
        <is>
          <t>소재지</t>
        </is>
      </c>
      <c r="D40" s="83" t="inlineStr">
        <is>
          <t>지번</t>
        </is>
      </c>
      <c r="E40" s="83" t="inlineStr">
        <is>
          <t>상세물건구분</t>
        </is>
      </c>
      <c r="F40" s="83" t="inlineStr">
        <is>
          <t>지목</t>
        </is>
      </c>
      <c r="G40" s="83" t="inlineStr">
        <is>
          <t>용도지역</t>
        </is>
      </c>
      <c r="H40" s="83" t="inlineStr">
        <is>
          <t>기타주소</t>
        </is>
      </c>
      <c r="I40" s="192" t="inlineStr">
        <is>
          <t>거래시점</t>
        </is>
      </c>
      <c r="J40" s="83" t="inlineStr">
        <is>
          <t>전체면적</t>
        </is>
      </c>
      <c r="K40" s="97" t="inlineStr">
        <is>
          <t>전용면적</t>
        </is>
      </c>
      <c r="L40" s="98" t="inlineStr">
        <is>
          <t>물건금액</t>
        </is>
      </c>
      <c r="M40" s="98" t="inlineStr">
        <is>
          <t>단가</t>
        </is>
      </c>
      <c r="N40" s="193" t="inlineStr">
        <is>
          <t>사용승인일자</t>
        </is>
      </c>
    </row>
    <row r="41" ht="16.5" customHeight="1">
      <c r="A41" s="101" t="n">
        <v>1</v>
      </c>
      <c r="B41" s="101" t="inlineStr">
        <is>
          <t>서울특별시 서초구</t>
        </is>
      </c>
      <c r="C41" s="101" t="inlineStr">
        <is>
          <t xml:space="preserve"> 서초동</t>
        </is>
      </c>
      <c r="D41" s="105" t="inlineStr">
        <is>
          <t>1455-9</t>
        </is>
      </c>
      <c r="E41" s="101" t="inlineStr">
        <is>
          <t>토지</t>
        </is>
      </c>
      <c r="F41" s="101" t="inlineStr">
        <is>
          <t>대</t>
        </is>
      </c>
      <c r="G41" s="101" t="inlineStr">
        <is>
          <t>제2종일반주거지역</t>
        </is>
      </c>
      <c r="H41" s="101" t="n"/>
      <c r="I41" s="194" t="n">
        <v>46020</v>
      </c>
      <c r="J41" s="106" t="n">
        <v>3435.5</v>
      </c>
      <c r="K41" s="103" t="n">
        <v>61.92</v>
      </c>
      <c r="L41" s="107" t="n">
        <v>2300000000</v>
      </c>
      <c r="M41" s="103" t="n"/>
      <c r="N41" s="195" t="n">
        <v>38639</v>
      </c>
    </row>
    <row r="42" ht="16.5" customHeight="1">
      <c r="A42" s="90" t="n"/>
      <c r="B42" s="83" t="n"/>
      <c r="C42" s="90" t="n"/>
      <c r="D42" s="90" t="n"/>
      <c r="E42" s="83" t="n"/>
      <c r="F42" s="83" t="n"/>
      <c r="G42" s="83" t="n"/>
      <c r="H42" s="90" t="n"/>
      <c r="I42" s="190" t="n"/>
      <c r="J42" s="108" t="n"/>
      <c r="K42" s="93" t="n"/>
      <c r="L42" s="94" t="n"/>
      <c r="M42" s="97" t="n"/>
      <c r="N42" s="191" t="n"/>
    </row>
    <row r="43" ht="16.5" customHeight="1">
      <c r="A43" s="83" t="inlineStr">
        <is>
          <t>상세물건번호</t>
        </is>
      </c>
      <c r="B43" s="83" t="inlineStr">
        <is>
          <t>시군구</t>
        </is>
      </c>
      <c r="C43" s="83" t="inlineStr">
        <is>
          <t>소재지</t>
        </is>
      </c>
      <c r="D43" s="83" t="inlineStr">
        <is>
          <t>지번</t>
        </is>
      </c>
      <c r="E43" s="83" t="inlineStr">
        <is>
          <t>상세물건구분</t>
        </is>
      </c>
      <c r="F43" s="83" t="inlineStr">
        <is>
          <t>지목</t>
        </is>
      </c>
      <c r="G43" s="83" t="inlineStr">
        <is>
          <t>용도지역</t>
        </is>
      </c>
      <c r="H43" s="83" t="inlineStr">
        <is>
          <t>기타주소</t>
        </is>
      </c>
      <c r="I43" s="192" t="inlineStr">
        <is>
          <t>거래시점</t>
        </is>
      </c>
      <c r="J43" s="83" t="inlineStr">
        <is>
          <t>전체면적</t>
        </is>
      </c>
      <c r="K43" s="97" t="inlineStr">
        <is>
          <t>전용면적</t>
        </is>
      </c>
      <c r="L43" s="97" t="inlineStr">
        <is>
          <t>물건금액</t>
        </is>
      </c>
      <c r="M43" s="97" t="inlineStr">
        <is>
          <t>단가</t>
        </is>
      </c>
      <c r="N43" s="193" t="inlineStr">
        <is>
          <t>사용승인일자</t>
        </is>
      </c>
    </row>
    <row r="44" ht="16.5" customHeight="1">
      <c r="A44" s="83" t="n">
        <v>1</v>
      </c>
      <c r="B44" s="83" t="inlineStr">
        <is>
          <t>서울특별시 서초구</t>
        </is>
      </c>
      <c r="C44" s="83" t="inlineStr">
        <is>
          <t xml:space="preserve"> 서초동</t>
        </is>
      </c>
      <c r="D44" s="82" t="inlineStr">
        <is>
          <t>1445-14</t>
        </is>
      </c>
      <c r="E44" s="83" t="inlineStr">
        <is>
          <t>건물</t>
        </is>
      </c>
      <c r="F44" s="83" t="inlineStr">
        <is>
          <t>대</t>
        </is>
      </c>
      <c r="G44" s="83" t="inlineStr">
        <is>
          <t>일반상업지역</t>
        </is>
      </c>
      <c r="H44" s="83" t="inlineStr">
        <is>
          <t>더샾서초 102동 2002호</t>
        </is>
      </c>
      <c r="I44" s="188" t="n">
        <v>45962</v>
      </c>
      <c r="J44" s="83" t="n">
        <v>152.95</v>
      </c>
      <c r="K44" s="86" t="n">
        <v>152.95</v>
      </c>
      <c r="L44" s="87" t="n">
        <v>2450000000</v>
      </c>
      <c r="M44" s="88" t="n">
        <v>16018306</v>
      </c>
      <c r="N44" s="193" t="n">
        <v>38736</v>
      </c>
    </row>
    <row r="45" ht="16.5" customHeight="1">
      <c r="A45" s="83" t="inlineStr">
        <is>
          <t>상세물건번호</t>
        </is>
      </c>
      <c r="B45" s="83" t="inlineStr">
        <is>
          <t>시군구</t>
        </is>
      </c>
      <c r="C45" s="83" t="inlineStr">
        <is>
          <t>소재지</t>
        </is>
      </c>
      <c r="D45" s="83" t="inlineStr">
        <is>
          <t>지번</t>
        </is>
      </c>
      <c r="E45" s="83" t="inlineStr">
        <is>
          <t>상세물건구분</t>
        </is>
      </c>
      <c r="F45" s="83" t="inlineStr">
        <is>
          <t>지목</t>
        </is>
      </c>
      <c r="G45" s="83" t="inlineStr">
        <is>
          <t>용도지역</t>
        </is>
      </c>
      <c r="H45" s="83" t="inlineStr">
        <is>
          <t>기타주소</t>
        </is>
      </c>
      <c r="I45" s="192" t="inlineStr">
        <is>
          <t>거래시점</t>
        </is>
      </c>
      <c r="J45" s="83" t="inlineStr">
        <is>
          <t>전체면적</t>
        </is>
      </c>
      <c r="K45" s="97" t="inlineStr">
        <is>
          <t>전용면적</t>
        </is>
      </c>
      <c r="L45" s="98" t="inlineStr">
        <is>
          <t>물건금액</t>
        </is>
      </c>
      <c r="M45" s="98" t="inlineStr">
        <is>
          <t>단가</t>
        </is>
      </c>
      <c r="N45" s="193" t="inlineStr">
        <is>
          <t>사용승인일자</t>
        </is>
      </c>
    </row>
    <row r="46" ht="16.5" customHeight="1">
      <c r="A46" s="101" t="n">
        <v>1</v>
      </c>
      <c r="B46" s="101" t="inlineStr">
        <is>
          <t>서울특별시 서초구</t>
        </is>
      </c>
      <c r="C46" s="101" t="inlineStr">
        <is>
          <t xml:space="preserve"> 서초동</t>
        </is>
      </c>
      <c r="D46" s="105" t="inlineStr">
        <is>
          <t>1445-14</t>
        </is>
      </c>
      <c r="E46" s="101" t="inlineStr">
        <is>
          <t>토지</t>
        </is>
      </c>
      <c r="F46" s="101" t="inlineStr">
        <is>
          <t>대</t>
        </is>
      </c>
      <c r="G46" s="101" t="inlineStr">
        <is>
          <t>일반상업지역</t>
        </is>
      </c>
      <c r="H46" s="101" t="n"/>
      <c r="I46" s="194" t="n">
        <v>45962</v>
      </c>
      <c r="J46" s="106" t="n">
        <v>2437.9</v>
      </c>
      <c r="K46" s="103" t="n">
        <v>32.92</v>
      </c>
      <c r="L46" s="107" t="n">
        <v>2450000000</v>
      </c>
      <c r="M46" s="103" t="n"/>
      <c r="N46" s="195" t="n">
        <v>38736</v>
      </c>
    </row>
    <row r="47" ht="16.5" customHeight="1">
      <c r="A47" s="90" t="n"/>
      <c r="B47" s="83" t="n"/>
      <c r="C47" s="90" t="n"/>
      <c r="D47" s="90" t="n"/>
      <c r="E47" s="83" t="n"/>
      <c r="F47" s="83" t="n"/>
      <c r="G47" s="83" t="n"/>
      <c r="H47" s="90" t="n"/>
      <c r="I47" s="190" t="n"/>
      <c r="J47" s="108" t="n"/>
      <c r="K47" s="93" t="n"/>
      <c r="L47" s="94" t="n"/>
      <c r="M47" s="97" t="n"/>
      <c r="N47" s="191" t="n"/>
    </row>
    <row r="48" ht="16.5" customHeight="1">
      <c r="A48" s="83" t="inlineStr">
        <is>
          <t>상세물건번호</t>
        </is>
      </c>
      <c r="B48" s="83" t="inlineStr">
        <is>
          <t>시군구</t>
        </is>
      </c>
      <c r="C48" s="83" t="inlineStr">
        <is>
          <t>소재지</t>
        </is>
      </c>
      <c r="D48" s="83" t="inlineStr">
        <is>
          <t>지번</t>
        </is>
      </c>
      <c r="E48" s="83" t="inlineStr">
        <is>
          <t>상세물건구분</t>
        </is>
      </c>
      <c r="F48" s="83" t="inlineStr">
        <is>
          <t>지목</t>
        </is>
      </c>
      <c r="G48" s="83" t="inlineStr">
        <is>
          <t>용도지역</t>
        </is>
      </c>
      <c r="H48" s="83" t="inlineStr">
        <is>
          <t>기타주소</t>
        </is>
      </c>
      <c r="I48" s="192" t="inlineStr">
        <is>
          <t>거래시점</t>
        </is>
      </c>
      <c r="J48" s="83" t="inlineStr">
        <is>
          <t>전체면적</t>
        </is>
      </c>
      <c r="K48" s="97" t="inlineStr">
        <is>
          <t>전용면적</t>
        </is>
      </c>
      <c r="L48" s="97" t="inlineStr">
        <is>
          <t>물건금액</t>
        </is>
      </c>
      <c r="M48" s="97" t="inlineStr">
        <is>
          <t>단가</t>
        </is>
      </c>
      <c r="N48" s="193" t="inlineStr">
        <is>
          <t>사용승인일자</t>
        </is>
      </c>
    </row>
    <row r="49" ht="16.5" customHeight="1">
      <c r="A49" s="83" t="n">
        <v>1</v>
      </c>
      <c r="B49" s="83" t="inlineStr">
        <is>
          <t>서울특별시 서초구</t>
        </is>
      </c>
      <c r="C49" s="83" t="inlineStr">
        <is>
          <t xml:space="preserve"> 서초동</t>
        </is>
      </c>
      <c r="D49" s="82" t="inlineStr">
        <is>
          <t>1642-34</t>
        </is>
      </c>
      <c r="E49" s="83" t="inlineStr">
        <is>
          <t>건물</t>
        </is>
      </c>
      <c r="F49" s="83" t="inlineStr">
        <is>
          <t>대</t>
        </is>
      </c>
      <c r="G49" s="83" t="inlineStr">
        <is>
          <t>제2종일반주거지역</t>
        </is>
      </c>
      <c r="H49" s="83" t="inlineStr">
        <is>
          <t>래미안 서초7차 102동 504호</t>
        </is>
      </c>
      <c r="I49" s="188" t="n">
        <v>45880</v>
      </c>
      <c r="J49" s="83" t="n">
        <v>148.08</v>
      </c>
      <c r="K49" s="86" t="n">
        <v>148.08</v>
      </c>
      <c r="L49" s="87" t="n">
        <v>2450000000</v>
      </c>
      <c r="M49" s="88" t="n">
        <v>16545110</v>
      </c>
      <c r="N49" s="193" t="n">
        <v>38744</v>
      </c>
    </row>
    <row r="50" ht="16.5" customHeight="1">
      <c r="A50" s="83" t="inlineStr">
        <is>
          <t>상세물건번호</t>
        </is>
      </c>
      <c r="B50" s="83" t="inlineStr">
        <is>
          <t>시군구</t>
        </is>
      </c>
      <c r="C50" s="83" t="inlineStr">
        <is>
          <t>소재지</t>
        </is>
      </c>
      <c r="D50" s="83" t="inlineStr">
        <is>
          <t>지번</t>
        </is>
      </c>
      <c r="E50" s="83" t="inlineStr">
        <is>
          <t>상세물건구분</t>
        </is>
      </c>
      <c r="F50" s="83" t="inlineStr">
        <is>
          <t>지목</t>
        </is>
      </c>
      <c r="G50" s="83" t="inlineStr">
        <is>
          <t>용도지역</t>
        </is>
      </c>
      <c r="H50" s="83" t="inlineStr">
        <is>
          <t>기타주소</t>
        </is>
      </c>
      <c r="I50" s="192" t="inlineStr">
        <is>
          <t>거래시점</t>
        </is>
      </c>
      <c r="J50" s="83" t="inlineStr">
        <is>
          <t>전체면적</t>
        </is>
      </c>
      <c r="K50" s="97" t="inlineStr">
        <is>
          <t>전용면적</t>
        </is>
      </c>
      <c r="L50" s="98" t="inlineStr">
        <is>
          <t>물건금액</t>
        </is>
      </c>
      <c r="M50" s="98" t="inlineStr">
        <is>
          <t>단가</t>
        </is>
      </c>
      <c r="N50" s="193" t="inlineStr">
        <is>
          <t>사용승인일자</t>
        </is>
      </c>
    </row>
    <row r="51" ht="16.5" customHeight="1">
      <c r="A51" s="101" t="n">
        <v>1</v>
      </c>
      <c r="B51" s="101" t="inlineStr">
        <is>
          <t>서울특별시 서초구</t>
        </is>
      </c>
      <c r="C51" s="101" t="inlineStr">
        <is>
          <t xml:space="preserve"> 서초동</t>
        </is>
      </c>
      <c r="D51" s="105" t="inlineStr">
        <is>
          <t>1642-34</t>
        </is>
      </c>
      <c r="E51" s="101" t="inlineStr">
        <is>
          <t>토지</t>
        </is>
      </c>
      <c r="F51" s="101" t="inlineStr">
        <is>
          <t>대</t>
        </is>
      </c>
      <c r="G51" s="101" t="inlineStr">
        <is>
          <t>제2종일반주거지역</t>
        </is>
      </c>
      <c r="H51" s="101" t="n"/>
      <c r="I51" s="194" t="n">
        <v>45880</v>
      </c>
      <c r="J51" s="106" t="n">
        <v>5271.4</v>
      </c>
      <c r="K51" s="103" t="n">
        <v>71.62</v>
      </c>
      <c r="L51" s="107" t="n">
        <v>2450000000</v>
      </c>
      <c r="M51" s="103" t="n"/>
      <c r="N51" s="195" t="n">
        <v>38744</v>
      </c>
    </row>
    <row r="52" ht="16.5" customHeight="1">
      <c r="A52" s="90" t="n"/>
      <c r="B52" s="83" t="n"/>
      <c r="C52" s="90" t="n"/>
      <c r="D52" s="90" t="n"/>
      <c r="E52" s="83" t="n"/>
      <c r="F52" s="83" t="n"/>
      <c r="G52" s="83" t="n"/>
      <c r="H52" s="90" t="n"/>
      <c r="I52" s="190" t="n"/>
      <c r="J52" s="108" t="n"/>
      <c r="K52" s="93" t="n"/>
      <c r="L52" s="94" t="n"/>
      <c r="M52" s="97" t="n"/>
      <c r="N52" s="191" t="n"/>
    </row>
    <row r="53" ht="16.5" customHeight="1">
      <c r="A53" s="90" t="n"/>
      <c r="B53" s="90" t="n"/>
      <c r="C53" s="90" t="n"/>
      <c r="D53" s="90" t="n"/>
      <c r="E53" s="90" t="n"/>
      <c r="F53" s="90" t="n"/>
      <c r="G53" s="90" t="n"/>
      <c r="H53" s="90" t="n"/>
      <c r="I53" s="190" t="n"/>
      <c r="J53" s="90" t="n"/>
      <c r="K53" s="93" t="n"/>
      <c r="L53" s="93" t="n"/>
      <c r="M53" s="97" t="n"/>
      <c r="N53" s="191" t="n"/>
    </row>
  </sheetData>
  <mergeCells count="1">
    <mergeCell ref="A1:Q1"/>
  </mergeCells>
  <pageMargins left="0.7" right="0.7" top="0.75" bottom="0.75" header="0.511811023622047" footer="0.511811023622047"/>
  <pageSetup orientation="landscape" paperSize="9" fitToWidth="0" horizontalDpi="300" verticalDpi="300"/>
  <colBreaks count="4" manualBreakCount="4">
    <brk id="14" min="0" max="1048575" man="1"/>
    <brk id="36" min="0" max="1048575" man="1"/>
    <brk id="44" min="0" max="1048575" man="1"/>
    <brk id="45" min="0" max="1048575" man="1"/>
  </colBreaks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O10"/>
  <sheetViews>
    <sheetView zoomScale="85" zoomScaleNormal="85" workbookViewId="0">
      <selection activeCell="I16" sqref="I16"/>
    </sheetView>
  </sheetViews>
  <sheetFormatPr baseColWidth="8" defaultColWidth="8.6640625" defaultRowHeight="16.5" customHeight="1"/>
  <cols>
    <col width="16" customWidth="1" min="1" max="1"/>
    <col width="15.88671875" customWidth="1" min="2" max="3"/>
    <col width="7.44140625" customWidth="1" min="4" max="4"/>
    <col width="16" customWidth="1" min="5" max="5"/>
    <col width="29.44140625" customWidth="1" min="6" max="6"/>
    <col width="15.109375" customWidth="1" min="7" max="7"/>
    <col width="10.6640625" customWidth="1" min="8" max="8"/>
    <col width="14.44140625" customWidth="1" style="177" min="9" max="9"/>
    <col width="11.6640625" customWidth="1" min="10" max="10"/>
    <col width="27.109375" customWidth="1" style="60" min="11" max="11"/>
    <col width="16.6640625" customWidth="1" style="60" min="12" max="12"/>
    <col width="13.5546875" customWidth="1" style="61" min="13" max="13"/>
    <col width="37.33203125" customWidth="1" min="14" max="14"/>
    <col width="13.33203125" customWidth="1" min="15" max="15"/>
    <col width="11.88671875" customWidth="1" min="16" max="16"/>
    <col width="12.6640625" customWidth="1" min="17" max="17"/>
    <col width="15.109375" customWidth="1" min="18" max="18"/>
    <col width="11.33203125" customWidth="1" min="19" max="19"/>
    <col width="6.5546875" customWidth="1" min="20" max="20"/>
    <col width="9.6640625" customWidth="1" min="21" max="21"/>
    <col width="6.5546875" customWidth="1" min="22" max="22"/>
    <col width="31.33203125" customWidth="1" min="23" max="23"/>
    <col width="9" customWidth="1" min="24" max="24"/>
    <col width="6.5546875" customWidth="1" min="25" max="25"/>
    <col width="11.33203125" customWidth="1" style="60" min="26" max="26"/>
    <col width="13.88671875" customWidth="1" min="27" max="27"/>
    <col width="27.44140625" customWidth="1" min="28" max="28"/>
    <col width="16" customWidth="1" style="60" min="29" max="29"/>
    <col width="17.5546875" customWidth="1" min="30" max="30"/>
    <col width="48.33203125" customWidth="1" min="31" max="31"/>
    <col width="14.6640625" customWidth="1" style="62" min="32" max="32"/>
    <col width="11.33203125" customWidth="1" min="33" max="33"/>
    <col width="12" customWidth="1" min="34" max="34"/>
    <col width="16.44140625" customWidth="1" style="62" min="35" max="35"/>
    <col width="17.6640625" customWidth="1" min="36" max="36"/>
    <col width="13.88671875" customWidth="1" min="37" max="37"/>
    <col width="17.109375" customWidth="1" min="38" max="38"/>
    <col width="12.88671875" customWidth="1" min="39" max="39"/>
    <col width="18" customWidth="1" min="40" max="42"/>
    <col width="12.88671875" customWidth="1" min="43" max="44"/>
    <col width="11.33203125" customWidth="1" min="45" max="45"/>
    <col width="11.33203125" customWidth="1" min="50" max="50"/>
    <col width="10.5546875" customWidth="1" min="51" max="52"/>
    <col width="13" customWidth="1" min="53" max="53"/>
    <col width="17.88671875" customWidth="1" min="54" max="54"/>
    <col width="11.33203125" customWidth="1" min="57" max="57"/>
    <col width="87.5546875" customWidth="1" min="58" max="58"/>
  </cols>
  <sheetData>
    <row r="1" ht="18" customHeight="1">
      <c r="A1" s="150" t="inlineStr">
        <is>
          <t>KAPA</t>
        </is>
      </c>
      <c r="R1" s="62" t="n"/>
    </row>
    <row r="2" ht="15" customHeight="1">
      <c r="I2" s="60" t="n"/>
      <c r="O2" s="62" t="n"/>
      <c r="R2" s="62" t="n"/>
    </row>
    <row r="3" ht="59.25" customHeight="1">
      <c r="A3" s="109" t="inlineStr">
        <is>
          <t>Is Selected</t>
        </is>
      </c>
      <c r="B3" s="110" t="inlineStr">
        <is>
          <t>평가목적</t>
        </is>
      </c>
      <c r="C3" s="110" t="inlineStr">
        <is>
          <t>복사</t>
        </is>
      </c>
      <c r="D3" s="110" t="inlineStr">
        <is>
          <t>연도</t>
        </is>
      </c>
      <c r="E3" s="110" t="inlineStr">
        <is>
          <t>물건</t>
        </is>
      </c>
      <c r="F3" s="110" t="inlineStr">
        <is>
          <t>소재지</t>
        </is>
      </c>
      <c r="G3" s="110" t="inlineStr">
        <is>
          <t>지번(*)</t>
        </is>
      </c>
      <c r="H3" s="110" t="inlineStr">
        <is>
          <t>지번</t>
        </is>
      </c>
      <c r="I3" s="110" t="inlineStr">
        <is>
          <t>전용면적</t>
        </is>
      </c>
      <c r="J3" s="110" t="inlineStr">
        <is>
          <t>대지권면적</t>
        </is>
      </c>
      <c r="K3" s="110" t="inlineStr">
        <is>
          <t>건물명</t>
        </is>
      </c>
      <c r="L3" s="110" t="inlineStr">
        <is>
          <t>동층호</t>
        </is>
      </c>
      <c r="M3" s="111" t="inlineStr">
        <is>
          <t>지목/건물용도</t>
        </is>
      </c>
      <c r="N3" s="111" t="inlineStr">
        <is>
          <t>용도지역
/구조</t>
        </is>
      </c>
      <c r="O3" s="112" t="inlineStr">
        <is>
          <t>평가액/면적</t>
        </is>
      </c>
      <c r="P3" s="110" t="inlineStr">
        <is>
          <t>기준시점</t>
        </is>
      </c>
      <c r="Q3" s="111" t="inlineStr">
        <is>
          <t>평가액
(개별)</t>
        </is>
      </c>
      <c r="R3" s="112" t="inlineStr">
        <is>
          <t>감정평가총액</t>
        </is>
      </c>
      <c r="S3" s="113" t="inlineStr">
        <is>
          <t>(개별)공시연도</t>
        </is>
      </c>
      <c r="T3" s="110" t="inlineStr">
        <is>
          <t>사용승인일</t>
        </is>
      </c>
      <c r="U3" s="113" t="inlineStr">
        <is>
          <t>(개별)공시지가</t>
        </is>
      </c>
      <c r="V3" s="113" t="inlineStr">
        <is>
          <t>(개별)지목</t>
        </is>
      </c>
      <c r="W3" s="113" t="inlineStr">
        <is>
          <t>(개별)이용상황</t>
        </is>
      </c>
      <c r="X3" s="113" t="inlineStr">
        <is>
          <t>(개별)용도지역</t>
        </is>
      </c>
      <c r="Y3" s="113" t="inlineStr">
        <is>
          <t>(개별)도로교통</t>
        </is>
      </c>
      <c r="Z3" s="113" t="inlineStr">
        <is>
          <t>(개별)형상</t>
        </is>
      </c>
      <c r="AA3" s="113" t="inlineStr">
        <is>
          <t>(개별)지세</t>
        </is>
      </c>
      <c r="AB3" s="110" t="inlineStr">
        <is>
          <t>등록구분</t>
        </is>
      </c>
      <c r="AC3" s="110" t="inlineStr">
        <is>
          <t>건명</t>
        </is>
      </c>
      <c r="AD3" s="110" t="inlineStr">
        <is>
          <t>감정서</t>
        </is>
      </c>
      <c r="AE3" s="111" t="inlineStr">
        <is>
          <t>감정서
쪽수</t>
        </is>
      </c>
      <c r="AF3" s="111" t="inlineStr">
        <is>
          <t>거래
사례</t>
        </is>
      </c>
      <c r="AG3" s="111" t="inlineStr">
        <is>
          <t>토지등기</t>
        </is>
      </c>
      <c r="AH3" s="111" t="inlineStr">
        <is>
          <t>건물등기</t>
        </is>
      </c>
      <c r="AI3" s="111" t="inlineStr">
        <is>
          <t>토지대장</t>
        </is>
      </c>
      <c r="AJ3" s="111" t="inlineStr">
        <is>
          <t>건축물대장</t>
        </is>
      </c>
      <c r="AK3" s="111" t="inlineStr">
        <is>
          <t>토지이용계획</t>
        </is>
      </c>
      <c r="AL3" s="110" t="inlineStr">
        <is>
          <t>지적도</t>
        </is>
      </c>
      <c r="AM3" s="110" t="inlineStr">
        <is>
          <t>회원사</t>
        </is>
      </c>
      <c r="AN3" s="110" t="inlineStr">
        <is>
          <t>회원사명</t>
        </is>
      </c>
      <c r="AO3" s="110" t="inlineStr">
        <is>
          <t>비고</t>
        </is>
      </c>
    </row>
    <row r="4" ht="15" customHeight="1">
      <c r="A4" s="90" t="inlineStr">
        <is>
          <t>Unchecked</t>
        </is>
      </c>
      <c r="B4" s="91" t="inlineStr">
        <is>
          <t>시가참고</t>
        </is>
      </c>
      <c r="C4" s="90" t="n"/>
      <c r="D4" s="90" t="n">
        <v>2026</v>
      </c>
      <c r="E4" s="91" t="inlineStr">
        <is>
          <t>아파트</t>
        </is>
      </c>
      <c r="F4" s="91" t="inlineStr">
        <is>
          <t>서울특별시 서초구 서초동</t>
        </is>
      </c>
      <c r="G4" s="90" t="inlineStr">
        <is>
          <t xml:space="preserve">  1620-   2*</t>
        </is>
      </c>
      <c r="H4" s="90" t="inlineStr">
        <is>
          <t xml:space="preserve">  1620-  20</t>
        </is>
      </c>
      <c r="I4" s="93" t="n">
        <v>116.72</v>
      </c>
      <c r="J4" s="90" t="n">
        <v>59.55</v>
      </c>
      <c r="K4" s="91" t="inlineStr">
        <is>
          <t>서초동롯데캐슬리번티</t>
        </is>
      </c>
      <c r="L4" s="86" t="inlineStr">
        <is>
          <t>102 7 701</t>
        </is>
      </c>
      <c r="M4" s="91" t="inlineStr">
        <is>
          <t>아파트</t>
        </is>
      </c>
      <c r="N4" s="91" t="inlineStr">
        <is>
          <t>철근콘크리트구조 철근콘크리트구조</t>
        </is>
      </c>
      <c r="O4" s="94" t="n">
        <v>18077450</v>
      </c>
      <c r="P4" s="191" t="n">
        <v>46066</v>
      </c>
      <c r="Q4" s="114" t="n">
        <v>2110000000</v>
      </c>
      <c r="R4" s="94" t="n">
        <v>2110000000</v>
      </c>
      <c r="S4" s="90" t="n"/>
      <c r="T4" s="90" t="n">
        <v>20050323</v>
      </c>
      <c r="U4" s="114" t="n"/>
      <c r="V4" s="91" t="n"/>
      <c r="W4" s="91" t="n"/>
      <c r="X4" s="91" t="n"/>
      <c r="Y4" s="91" t="n"/>
      <c r="Z4" s="91" t="n"/>
      <c r="AA4" s="91" t="n"/>
      <c r="AB4" s="90" t="n"/>
      <c r="AC4" s="90" t="n"/>
      <c r="AD4" s="90" t="inlineStr">
        <is>
          <t>n</t>
        </is>
      </c>
      <c r="AE4" s="90" t="n"/>
      <c r="AF4" s="90" t="inlineStr">
        <is>
          <t>y</t>
        </is>
      </c>
      <c r="AG4" s="90" t="inlineStr">
        <is>
          <t>n</t>
        </is>
      </c>
      <c r="AH4" s="90" t="inlineStr">
        <is>
          <t>y</t>
        </is>
      </c>
      <c r="AI4" s="90" t="inlineStr">
        <is>
          <t>y</t>
        </is>
      </c>
      <c r="AJ4" s="90" t="inlineStr">
        <is>
          <t>n</t>
        </is>
      </c>
      <c r="AK4" s="90" t="inlineStr">
        <is>
          <t>y</t>
        </is>
      </c>
      <c r="AL4" s="90" t="inlineStr">
        <is>
          <t>y</t>
        </is>
      </c>
      <c r="AM4" s="90" t="n">
        <v>403750</v>
      </c>
      <c r="AN4" s="82" t="inlineStr">
        <is>
          <t>H***</t>
        </is>
      </c>
      <c r="AO4" s="91" t="inlineStr">
        <is>
          <t xml:space="preserve">  총동수 : 3, 총호수 : 132</t>
        </is>
      </c>
    </row>
    <row r="5" ht="15" customHeight="1">
      <c r="A5" s="90" t="inlineStr">
        <is>
          <t>Unchecked</t>
        </is>
      </c>
      <c r="B5" s="91" t="inlineStr">
        <is>
          <t>시가참고</t>
        </is>
      </c>
      <c r="C5" s="90" t="n"/>
      <c r="D5" s="90" t="n">
        <v>2026</v>
      </c>
      <c r="E5" s="91" t="inlineStr">
        <is>
          <t>아파트</t>
        </is>
      </c>
      <c r="F5" s="91" t="inlineStr">
        <is>
          <t>서울특별시 서초구 서초동</t>
        </is>
      </c>
      <c r="G5" s="90" t="inlineStr">
        <is>
          <t xml:space="preserve">  1620-   2*</t>
        </is>
      </c>
      <c r="H5" s="90" t="inlineStr">
        <is>
          <t xml:space="preserve">  1620-  20</t>
        </is>
      </c>
      <c r="I5" s="93" t="n">
        <v>116.72</v>
      </c>
      <c r="J5" s="90" t="n">
        <v>59.55</v>
      </c>
      <c r="K5" s="91" t="inlineStr">
        <is>
          <t>서초동롯데캐슬리버티</t>
        </is>
      </c>
      <c r="L5" s="115" t="inlineStr">
        <is>
          <t>102 7 701</t>
        </is>
      </c>
      <c r="M5" s="91" t="inlineStr">
        <is>
          <t>아파트</t>
        </is>
      </c>
      <c r="N5" s="91" t="inlineStr">
        <is>
          <t>철근콘크리트구조 철근콘크리트구조</t>
        </is>
      </c>
      <c r="O5" s="94" t="n">
        <v>17906100</v>
      </c>
      <c r="P5" s="191" t="n">
        <v>46066</v>
      </c>
      <c r="Q5" s="114" t="n">
        <v>2090000000</v>
      </c>
      <c r="R5" s="94" t="n">
        <v>2090000000</v>
      </c>
      <c r="S5" s="90" t="n"/>
      <c r="T5" s="90" t="n">
        <v>20050323</v>
      </c>
      <c r="U5" s="114" t="n"/>
      <c r="V5" s="91" t="n"/>
      <c r="W5" s="91" t="n"/>
      <c r="X5" s="91" t="n"/>
      <c r="Y5" s="91" t="n"/>
      <c r="Z5" s="91" t="n"/>
      <c r="AA5" s="91" t="n"/>
      <c r="AB5" s="91" t="n"/>
      <c r="AC5" s="90" t="n"/>
      <c r="AD5" s="90" t="inlineStr">
        <is>
          <t>n</t>
        </is>
      </c>
      <c r="AE5" s="90" t="n"/>
      <c r="AF5" s="90" t="inlineStr">
        <is>
          <t>y</t>
        </is>
      </c>
      <c r="AG5" s="90" t="inlineStr">
        <is>
          <t>n</t>
        </is>
      </c>
      <c r="AH5" s="90" t="inlineStr">
        <is>
          <t>y</t>
        </is>
      </c>
      <c r="AI5" s="90" t="inlineStr">
        <is>
          <t>y</t>
        </is>
      </c>
      <c r="AJ5" s="90" t="inlineStr">
        <is>
          <t>n</t>
        </is>
      </c>
      <c r="AK5" s="90" t="inlineStr">
        <is>
          <t>y</t>
        </is>
      </c>
      <c r="AL5" s="90" t="inlineStr">
        <is>
          <t>y</t>
        </is>
      </c>
      <c r="AM5" s="90" t="n">
        <v>314001</v>
      </c>
      <c r="AN5" s="91" t="inlineStr">
        <is>
          <t>감***</t>
        </is>
      </c>
      <c r="AO5" s="91" t="inlineStr">
        <is>
          <t xml:space="preserve">  총동수 : 3, 총호수 : 132</t>
        </is>
      </c>
    </row>
    <row r="6" ht="15" customHeight="1">
      <c r="A6" s="90" t="inlineStr">
        <is>
          <t>Unchecked</t>
        </is>
      </c>
      <c r="B6" s="91" t="inlineStr">
        <is>
          <t>시가참고</t>
        </is>
      </c>
      <c r="C6" s="90" t="n"/>
      <c r="D6" s="90" t="n">
        <v>2024</v>
      </c>
      <c r="E6" s="91" t="inlineStr">
        <is>
          <t>아파트</t>
        </is>
      </c>
      <c r="F6" s="91" t="inlineStr">
        <is>
          <t>서울특별시 서초구 서초동</t>
        </is>
      </c>
      <c r="G6" s="90" t="inlineStr">
        <is>
          <t xml:space="preserve">  1620-   2*</t>
        </is>
      </c>
      <c r="H6" s="90" t="inlineStr">
        <is>
          <t xml:space="preserve">  1620-  20</t>
        </is>
      </c>
      <c r="I6" s="93" t="n">
        <v>125.79</v>
      </c>
      <c r="J6" s="90" t="n">
        <v>64.18000000000001</v>
      </c>
      <c r="K6" s="91" t="inlineStr">
        <is>
          <t>서초동롯데캐슬리버티</t>
        </is>
      </c>
      <c r="L6" s="93" t="inlineStr">
        <is>
          <t>101동 1층 104</t>
        </is>
      </c>
      <c r="M6" s="91" t="inlineStr">
        <is>
          <t>아파트</t>
        </is>
      </c>
      <c r="N6" s="91" t="inlineStr">
        <is>
          <t>철근콘크리트구조 철근콘크리트구조</t>
        </is>
      </c>
      <c r="O6" s="94" t="n">
        <v>14468559</v>
      </c>
      <c r="P6" s="191" t="n">
        <v>45601</v>
      </c>
      <c r="Q6" s="114" t="n">
        <v>1820000000</v>
      </c>
      <c r="R6" s="94" t="n">
        <v>1820000000</v>
      </c>
      <c r="S6" s="90" t="n">
        <v>2024</v>
      </c>
      <c r="T6" s="90" t="n">
        <v>20050323</v>
      </c>
      <c r="U6" s="114" t="n">
        <v>12020000</v>
      </c>
      <c r="V6" s="91" t="inlineStr">
        <is>
          <t>대</t>
        </is>
      </c>
      <c r="W6" s="91" t="inlineStr">
        <is>
          <t>아파트</t>
        </is>
      </c>
      <c r="X6" s="90" t="inlineStr">
        <is>
          <t>3주</t>
        </is>
      </c>
      <c r="Y6" s="91" t="inlineStr">
        <is>
          <t>소로각지</t>
        </is>
      </c>
      <c r="Z6" s="91" t="inlineStr">
        <is>
          <t>세장형</t>
        </is>
      </c>
      <c r="AA6" s="91" t="inlineStr">
        <is>
          <t>평지</t>
        </is>
      </c>
      <c r="AB6" s="90" t="n"/>
      <c r="AC6" s="90" t="n"/>
      <c r="AD6" s="90" t="inlineStr">
        <is>
          <t>n</t>
        </is>
      </c>
      <c r="AE6" s="90" t="n"/>
      <c r="AF6" s="90" t="inlineStr">
        <is>
          <t>y</t>
        </is>
      </c>
      <c r="AG6" s="90" t="inlineStr">
        <is>
          <t>n</t>
        </is>
      </c>
      <c r="AH6" s="90" t="inlineStr">
        <is>
          <t>y</t>
        </is>
      </c>
      <c r="AI6" s="90" t="inlineStr">
        <is>
          <t>y</t>
        </is>
      </c>
      <c r="AJ6" s="90" t="inlineStr">
        <is>
          <t>n</t>
        </is>
      </c>
      <c r="AK6" s="90" t="inlineStr">
        <is>
          <t>y</t>
        </is>
      </c>
      <c r="AL6" s="90" t="inlineStr">
        <is>
          <t>y</t>
        </is>
      </c>
      <c r="AM6" s="90" t="n">
        <v>300012</v>
      </c>
      <c r="AN6" s="91" t="inlineStr">
        <is>
          <t>경***</t>
        </is>
      </c>
      <c r="AO6" s="90" t="inlineStr">
        <is>
          <t>1 총동수 : 3, 총호수 : 132</t>
        </is>
      </c>
    </row>
    <row r="7" ht="15" customHeight="1">
      <c r="A7" s="90" t="inlineStr">
        <is>
          <t>Unchecked</t>
        </is>
      </c>
      <c r="B7" s="91" t="inlineStr">
        <is>
          <t>조세</t>
        </is>
      </c>
      <c r="C7" s="90" t="n"/>
      <c r="D7" s="90" t="n">
        <v>2024</v>
      </c>
      <c r="E7" s="91" t="inlineStr">
        <is>
          <t>아파트</t>
        </is>
      </c>
      <c r="F7" s="91" t="inlineStr">
        <is>
          <t>서울특별시 서초구 서초동</t>
        </is>
      </c>
      <c r="G7" s="90" t="inlineStr">
        <is>
          <t xml:space="preserve">  1620-   2*</t>
        </is>
      </c>
      <c r="H7" s="90" t="inlineStr">
        <is>
          <t xml:space="preserve">  1620-  20</t>
        </is>
      </c>
      <c r="I7" s="93" t="n">
        <v>125.79</v>
      </c>
      <c r="J7" s="90" t="n">
        <v>64.18000000000001</v>
      </c>
      <c r="K7" s="91" t="inlineStr">
        <is>
          <t>서초동롯데캐슬리버티</t>
        </is>
      </c>
      <c r="L7" s="93" t="inlineStr">
        <is>
          <t>101동 1층 104호</t>
        </is>
      </c>
      <c r="M7" s="91" t="inlineStr">
        <is>
          <t>아파트</t>
        </is>
      </c>
      <c r="N7" s="91" t="inlineStr">
        <is>
          <t>철근콘크리트구조 철근콘크리트구조</t>
        </is>
      </c>
      <c r="O7" s="94" t="n">
        <v>14389061</v>
      </c>
      <c r="P7" s="191" t="n">
        <v>45601</v>
      </c>
      <c r="Q7" s="114" t="n">
        <v>1810000000</v>
      </c>
      <c r="R7" s="94" t="n">
        <v>1810000000</v>
      </c>
      <c r="S7" s="90" t="n">
        <v>2024</v>
      </c>
      <c r="T7" s="90" t="n">
        <v>20050322</v>
      </c>
      <c r="U7" s="114" t="n">
        <v>12020000</v>
      </c>
      <c r="V7" s="91" t="inlineStr">
        <is>
          <t>대</t>
        </is>
      </c>
      <c r="W7" s="91" t="inlineStr">
        <is>
          <t>아파트</t>
        </is>
      </c>
      <c r="X7" s="82" t="inlineStr">
        <is>
          <t>3주</t>
        </is>
      </c>
      <c r="Y7" s="91" t="inlineStr">
        <is>
          <t>소로각지</t>
        </is>
      </c>
      <c r="Z7" s="91" t="inlineStr">
        <is>
          <t>세장형</t>
        </is>
      </c>
      <c r="AA7" s="91" t="inlineStr">
        <is>
          <t>평지</t>
        </is>
      </c>
      <c r="AB7" s="90" t="n"/>
      <c r="AC7" s="90" t="n"/>
      <c r="AD7" s="90" t="inlineStr">
        <is>
          <t>n</t>
        </is>
      </c>
      <c r="AE7" s="90" t="n"/>
      <c r="AF7" s="90" t="inlineStr">
        <is>
          <t>y</t>
        </is>
      </c>
      <c r="AG7" s="90" t="inlineStr">
        <is>
          <t>n</t>
        </is>
      </c>
      <c r="AH7" s="90" t="inlineStr">
        <is>
          <t>y</t>
        </is>
      </c>
      <c r="AI7" s="90" t="inlineStr">
        <is>
          <t>y</t>
        </is>
      </c>
      <c r="AJ7" s="90" t="inlineStr">
        <is>
          <t>n</t>
        </is>
      </c>
      <c r="AK7" s="90" t="inlineStr">
        <is>
          <t>y</t>
        </is>
      </c>
      <c r="AL7" s="90" t="inlineStr">
        <is>
          <t>y</t>
        </is>
      </c>
      <c r="AM7" s="90" t="n">
        <v>311802</v>
      </c>
      <c r="AN7" s="91" t="inlineStr">
        <is>
          <t>국*****</t>
        </is>
      </c>
      <c r="AO7" s="91" t="inlineStr">
        <is>
          <t xml:space="preserve">  총동수 : 3, 총호수 : 132</t>
        </is>
      </c>
    </row>
    <row r="8" ht="15" customHeight="1">
      <c r="A8" s="90" t="n"/>
      <c r="B8" s="91" t="n"/>
      <c r="C8" s="90" t="n"/>
      <c r="D8" s="90" t="n"/>
      <c r="E8" s="91" t="n"/>
      <c r="F8" s="91" t="n"/>
      <c r="G8" s="90" t="n"/>
      <c r="H8" s="90" t="n"/>
      <c r="I8" s="93" t="n"/>
      <c r="J8" s="90" t="n"/>
      <c r="K8" s="91" t="n"/>
      <c r="L8" s="93" t="n"/>
      <c r="M8" s="91" t="n"/>
      <c r="N8" s="91" t="n"/>
      <c r="O8" s="94" t="n"/>
      <c r="P8" s="191" t="n"/>
      <c r="Q8" s="114" t="n"/>
      <c r="R8" s="94" t="n"/>
      <c r="S8" s="90" t="n"/>
      <c r="T8" s="90" t="n"/>
      <c r="U8" s="114" t="n"/>
      <c r="V8" s="91" t="n"/>
      <c r="W8" s="91" t="n"/>
      <c r="X8" s="91" t="n"/>
      <c r="Y8" s="91" t="n"/>
      <c r="Z8" s="91" t="n"/>
      <c r="AA8" s="91" t="n"/>
      <c r="AB8" s="90" t="n"/>
      <c r="AC8" s="90" t="n"/>
      <c r="AD8" s="90" t="n"/>
      <c r="AE8" s="90" t="n"/>
      <c r="AF8" s="90" t="n"/>
      <c r="AG8" s="90" t="n"/>
      <c r="AH8" s="90" t="n"/>
      <c r="AI8" s="90" t="n"/>
      <c r="AJ8" s="90" t="n"/>
      <c r="AK8" s="90" t="n"/>
      <c r="AL8" s="90" t="n"/>
      <c r="AM8" s="90" t="n"/>
      <c r="AN8" s="91" t="n"/>
      <c r="AO8" s="91" t="n"/>
    </row>
    <row r="9" ht="15" customHeight="1">
      <c r="A9" s="90" t="inlineStr">
        <is>
          <t>Unchecked</t>
        </is>
      </c>
      <c r="B9" s="83" t="inlineStr">
        <is>
          <t>법원경매</t>
        </is>
      </c>
      <c r="C9" s="90" t="n"/>
      <c r="D9" s="90" t="n">
        <v>2025</v>
      </c>
      <c r="E9" s="83" t="inlineStr">
        <is>
          <t>아파트</t>
        </is>
      </c>
      <c r="F9" s="83" t="inlineStr">
        <is>
          <t>서울특별시 서초구 서초동</t>
        </is>
      </c>
      <c r="G9" s="90" t="inlineStr">
        <is>
          <t xml:space="preserve">  1542-    *</t>
        </is>
      </c>
      <c r="H9" s="90" t="inlineStr">
        <is>
          <t xml:space="preserve">  1542-   6</t>
        </is>
      </c>
      <c r="I9" s="93" t="n">
        <v>136.25</v>
      </c>
      <c r="J9" s="90" t="n">
        <v>14.37</v>
      </c>
      <c r="K9" s="83" t="inlineStr">
        <is>
          <t>현대이에스에이2아파트</t>
        </is>
      </c>
      <c r="L9" s="93" t="inlineStr">
        <is>
          <t>13층 비1301호</t>
        </is>
      </c>
      <c r="M9" s="83" t="inlineStr">
        <is>
          <t>공동주택 공동주택, 업무시설</t>
        </is>
      </c>
      <c r="N9" s="83" t="inlineStr">
        <is>
          <t>철골철근콘크리트구조 철골철근콘크리트구조</t>
        </is>
      </c>
      <c r="O9" s="94" t="n">
        <v>15119266</v>
      </c>
      <c r="P9" s="191" t="n">
        <v>45901</v>
      </c>
      <c r="Q9" s="114" t="n">
        <v>2060000000</v>
      </c>
      <c r="R9" s="94" t="n">
        <v>2060000000</v>
      </c>
      <c r="S9" s="90" t="n">
        <v>2025</v>
      </c>
      <c r="T9" s="90" t="n">
        <v>20030129</v>
      </c>
      <c r="U9" s="114" t="n">
        <v>43180000</v>
      </c>
      <c r="V9" s="83" t="inlineStr">
        <is>
          <t>대</t>
        </is>
      </c>
      <c r="W9" s="83" t="inlineStr">
        <is>
          <t>상업기타</t>
        </is>
      </c>
      <c r="X9" s="83" t="inlineStr">
        <is>
          <t>일반상업</t>
        </is>
      </c>
      <c r="Y9" s="83" t="inlineStr">
        <is>
          <t>광대세각</t>
        </is>
      </c>
      <c r="Z9" s="83" t="inlineStr">
        <is>
          <t>가장형</t>
        </is>
      </c>
      <c r="AA9" s="83" t="inlineStr">
        <is>
          <t>평지</t>
        </is>
      </c>
      <c r="AB9" s="83" t="inlineStr">
        <is>
          <t>경매AUTO</t>
        </is>
      </c>
      <c r="AC9" s="90" t="n"/>
      <c r="AD9" s="90" t="inlineStr">
        <is>
          <t>y</t>
        </is>
      </c>
      <c r="AE9" s="90" t="n">
        <v>19</v>
      </c>
      <c r="AF9" s="90" t="inlineStr">
        <is>
          <t>y</t>
        </is>
      </c>
      <c r="AG9" s="90" t="inlineStr">
        <is>
          <t>n</t>
        </is>
      </c>
      <c r="AH9" s="90" t="inlineStr">
        <is>
          <t>y</t>
        </is>
      </c>
      <c r="AI9" s="90" t="inlineStr">
        <is>
          <t>y</t>
        </is>
      </c>
      <c r="AJ9" s="90" t="inlineStr">
        <is>
          <t>n</t>
        </is>
      </c>
      <c r="AK9" s="90" t="inlineStr">
        <is>
          <t>y</t>
        </is>
      </c>
      <c r="AL9" s="90" t="inlineStr">
        <is>
          <t>y</t>
        </is>
      </c>
      <c r="AM9" s="90" t="n">
        <v>309001</v>
      </c>
      <c r="AN9" s="83" t="inlineStr">
        <is>
          <t>지***</t>
        </is>
      </c>
      <c r="AO9" s="83" t="inlineStr">
        <is>
          <t xml:space="preserve"> 총동수 : 2, 총호수 : 174</t>
        </is>
      </c>
    </row>
    <row r="10" ht="16.5" customHeight="1">
      <c r="A10" t="inlineStr">
        <is>
          <t>Unchecked</t>
        </is>
      </c>
      <c r="B10" s="116" t="inlineStr">
        <is>
          <t>시가참고</t>
        </is>
      </c>
      <c r="D10" t="n">
        <v>2025</v>
      </c>
      <c r="E10" s="116" t="inlineStr">
        <is>
          <t>아파트</t>
        </is>
      </c>
      <c r="F10" s="116" t="inlineStr">
        <is>
          <t>서울특별시 서초구 서초동</t>
        </is>
      </c>
      <c r="G10" t="inlineStr">
        <is>
          <t xml:space="preserve">  1583-   1*</t>
        </is>
      </c>
      <c r="H10" t="inlineStr">
        <is>
          <t xml:space="preserve">  1583-  10</t>
        </is>
      </c>
      <c r="I10" s="177" t="n">
        <v>165.57</v>
      </c>
      <c r="J10" t="n">
        <v>45.53</v>
      </c>
      <c r="K10" s="117" t="inlineStr">
        <is>
          <t>서초아트자이</t>
        </is>
      </c>
      <c r="L10" s="60" t="inlineStr">
        <is>
          <t>101동 18층 1801호</t>
        </is>
      </c>
      <c r="M10" s="117" t="inlineStr">
        <is>
          <t>공동주택(아파트) 및 업무시설(오피스텔)</t>
        </is>
      </c>
      <c r="N10" s="116" t="inlineStr">
        <is>
          <t>철근콘크리트구조 철근콘크리트구조</t>
        </is>
      </c>
      <c r="O10" t="n">
        <v>15522136</v>
      </c>
      <c r="P10" s="170" t="n">
        <v>45713</v>
      </c>
      <c r="Q10" s="118" t="n">
        <v>2570000000</v>
      </c>
      <c r="R10" s="118" t="n">
        <v>2570000000</v>
      </c>
      <c r="S10" t="n">
        <v>2025</v>
      </c>
      <c r="T10" t="n">
        <v>20090626</v>
      </c>
      <c r="U10" s="118" t="n">
        <v>26400000</v>
      </c>
      <c r="V10" s="116" t="inlineStr">
        <is>
          <t>대</t>
        </is>
      </c>
      <c r="W10" s="116" t="inlineStr">
        <is>
          <t>상업기타</t>
        </is>
      </c>
      <c r="X10" s="116" t="inlineStr">
        <is>
          <t>일반상업</t>
        </is>
      </c>
      <c r="Y10" s="116" t="inlineStr">
        <is>
          <t>광대소각</t>
        </is>
      </c>
      <c r="Z10" s="117" t="inlineStr">
        <is>
          <t>사다리</t>
        </is>
      </c>
      <c r="AA10" s="116" t="inlineStr">
        <is>
          <t>평지</t>
        </is>
      </c>
      <c r="AD10" t="inlineStr">
        <is>
          <t>n</t>
        </is>
      </c>
      <c r="AF10" s="62" t="inlineStr">
        <is>
          <t>y</t>
        </is>
      </c>
      <c r="AG10" t="inlineStr">
        <is>
          <t>y</t>
        </is>
      </c>
      <c r="AH10" t="inlineStr">
        <is>
          <t>y</t>
        </is>
      </c>
      <c r="AI10" s="62" t="inlineStr">
        <is>
          <t>y</t>
        </is>
      </c>
      <c r="AJ10" t="inlineStr">
        <is>
          <t>n</t>
        </is>
      </c>
      <c r="AK10" t="inlineStr">
        <is>
          <t>y</t>
        </is>
      </c>
      <c r="AL10" t="inlineStr">
        <is>
          <t>y</t>
        </is>
      </c>
      <c r="AM10" t="n">
        <v>302303</v>
      </c>
      <c r="AN10" s="116" t="inlineStr">
        <is>
          <t>두******</t>
        </is>
      </c>
      <c r="AO10" s="116" t="inlineStr">
        <is>
          <t>비준가액(공용면적:155.1971㎡포함) 총동수 : 4, 총호수 : 164</t>
        </is>
      </c>
    </row>
  </sheetData>
  <mergeCells count="1">
    <mergeCell ref="A1:Q1"/>
  </mergeCells>
  <pageMargins left="0.7" right="0.7" top="0.75" bottom="0.75" header="0.511811023622047" footer="0.511811023622047"/>
  <pageSetup orientation="landscape" paperSize="9" fitToWidth="0" horizontalDpi="300" verticalDpi="300"/>
</worksheet>
</file>

<file path=xl/worksheets/sheet10.xml><?xml version="1.0" encoding="utf-8"?>
<worksheet xmlns="http://schemas.openxmlformats.org/spreadsheetml/2006/main">
  <sheetPr>
    <tabColor rgb="FF5B9BD5"/>
    <outlinePr summaryBelow="1" summaryRight="1"/>
    <pageSetUpPr/>
  </sheetPr>
  <dimension ref="A1:R1030"/>
  <sheetViews>
    <sheetView zoomScaleNormal="100" workbookViewId="0">
      <pane ySplit="3" topLeftCell="A4" activePane="bottomLeft" state="frozen"/>
      <selection pane="bottomLeft" activeCell="J9" sqref="J9"/>
    </sheetView>
  </sheetViews>
  <sheetFormatPr baseColWidth="8" defaultColWidth="8.6640625" defaultRowHeight="14.25" customHeight="1"/>
  <cols>
    <col width="8" customWidth="1" min="1" max="1"/>
    <col width="10" customWidth="1" min="2" max="2"/>
    <col width="28.6640625" customWidth="1" min="3" max="3"/>
    <col width="10" customWidth="1" min="4" max="4"/>
    <col width="32.5546875" customWidth="1" min="5" max="5"/>
    <col width="12" customWidth="1" min="6" max="7"/>
    <col width="16" customWidth="1" min="8" max="8"/>
    <col width="14" customWidth="1" min="9" max="9"/>
    <col width="13" customWidth="1" min="10" max="10"/>
    <col width="10" customWidth="1" min="11" max="12"/>
    <col width="12" customWidth="1" min="13" max="13"/>
    <col width="13.88671875" customWidth="1" min="14" max="15"/>
    <col width="11.6640625" customWidth="1" min="16" max="16"/>
    <col width="13.88671875" customWidth="1" min="17" max="17"/>
  </cols>
  <sheetData>
    <row r="1" ht="24" customHeight="1">
      <c r="A1" s="145" t="inlineStr">
        <is>
          <t>KAIS 거래사례 자동선정</t>
        </is>
      </c>
    </row>
    <row r="2" ht="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33" customHeight="1">
      <c r="A3" s="55" t="inlineStr">
        <is>
          <t>순위</t>
        </is>
      </c>
      <c r="B3" s="56" t="inlineStr">
        <is>
          <t>원본행</t>
        </is>
      </c>
      <c r="C3" s="56" t="inlineStr">
        <is>
          <t>시군구</t>
        </is>
      </c>
      <c r="D3" s="56" t="inlineStr">
        <is>
          <t>지번</t>
        </is>
      </c>
      <c r="E3" s="56" t="inlineStr">
        <is>
          <t>표시명</t>
        </is>
      </c>
      <c r="F3" s="56" t="inlineStr">
        <is>
          <t>전용면적(㎡)</t>
        </is>
      </c>
      <c r="G3" s="56" t="inlineStr">
        <is>
          <t>거래시점</t>
        </is>
      </c>
      <c r="H3" s="56" t="inlineStr">
        <is>
          <t>물건금액(원)</t>
        </is>
      </c>
      <c r="I3" s="56" t="inlineStr">
        <is>
          <t>단가(원/㎡)</t>
        </is>
      </c>
      <c r="J3" s="56" t="inlineStr">
        <is>
          <t>사용승인일자</t>
        </is>
      </c>
      <c r="K3" s="56" t="inlineStr">
        <is>
          <t>동일법정동</t>
        </is>
      </c>
      <c r="L3" s="56" t="inlineStr">
        <is>
          <t>동일건물</t>
        </is>
      </c>
      <c r="M3" s="56" t="inlineStr">
        <is>
          <t>유사도점수</t>
        </is>
      </c>
      <c r="N3" s="56" t="n"/>
      <c r="O3" s="56" t="n"/>
      <c r="P3" s="56" t="n"/>
      <c r="Q3" s="57" t="n"/>
    </row>
    <row r="4" ht="17.25" customHeight="1">
      <c r="A4" s="119" t="n">
        <v>1</v>
      </c>
      <c r="B4" s="152">
        <f>IF($A4&gt;COUNT($R$31:$R$1030),"",INDEX($A$31:$A$1030,MATCH($A4,$R$31:$R$1030,0)))</f>
        <v/>
      </c>
      <c r="C4" s="152">
        <f>IF($B4="","",INDEX($B$31:$B$1030,MATCH($A4,$R$31:$R$1030,0)))</f>
        <v/>
      </c>
      <c r="D4" s="152">
        <f>IF($B4="","",INDEX($C$31:$C$1030,MATCH($A4,$R$31:$R$1030,0)))</f>
        <v/>
      </c>
      <c r="E4" s="152">
        <f>IF($B4="","",INDEX($D$31:$D$1030,MATCH($A4,$R$31:$R$1030,0)))</f>
        <v/>
      </c>
      <c r="F4" s="172">
        <f>IF($B4="","",INDEX($E$31:$E$1030,MATCH($A4,$R$31:$R$1030,0)))</f>
        <v/>
      </c>
      <c r="G4" s="173">
        <f>IF($B4="","",INDEX($F$31:$F$1030,MATCH($A4,$R$31:$R$1030,0)))</f>
        <v/>
      </c>
      <c r="H4" s="51">
        <f>IF($B4="","",INDEX($G$31:$G$1030,MATCH($A4,$R$31:$R$1030,0)))</f>
        <v/>
      </c>
      <c r="I4" s="51">
        <f>IF($B4="","",INDEX($H$31:$H$1030,MATCH($A4,$R$31:$R$1030,0)))</f>
        <v/>
      </c>
      <c r="J4" s="173">
        <f>IF($B4="","",INDEX($I$31:$I$1030,MATCH($A4,$R$31:$R$1030,0)))</f>
        <v/>
      </c>
      <c r="K4" s="152">
        <f>IF($B4="","",INDEX($K$31:$K$1030,MATCH($A4,$R$31:$R$1030,0)))</f>
        <v/>
      </c>
      <c r="L4" s="152">
        <f>IF($B4="","",INDEX($L$31:$L$1030,MATCH($A4,$R$31:$R$1030,0)))</f>
        <v/>
      </c>
      <c r="M4" s="196">
        <f>IF($B4="","",INDEX($Q$31:$Q$1030,MATCH($A4,$R$31:$R$1030,0)))</f>
        <v/>
      </c>
      <c r="N4" s="152" t="n"/>
      <c r="O4" s="152" t="n"/>
      <c r="P4" s="152" t="n"/>
      <c r="Q4" s="197" t="n"/>
    </row>
    <row r="5" ht="17.25" customHeight="1">
      <c r="A5" s="119" t="n">
        <v>2</v>
      </c>
      <c r="B5" s="152">
        <f>IF($A5&gt;COUNT($R$31:$R$1030),"",INDEX($A$31:$A$1030,MATCH($A5,$R$31:$R$1030,0)))</f>
        <v/>
      </c>
      <c r="C5" s="152">
        <f>IF($B5="","",INDEX($B$31:$B$1030,MATCH($A5,$R$31:$R$1030,0)))</f>
        <v/>
      </c>
      <c r="D5" s="152">
        <f>IF($B5="","",INDEX($C$31:$C$1030,MATCH($A5,$R$31:$R$1030,0)))</f>
        <v/>
      </c>
      <c r="E5" s="152">
        <f>IF($B5="","",INDEX($D$31:$D$1030,MATCH($A5,$R$31:$R$1030,0)))</f>
        <v/>
      </c>
      <c r="F5" s="172">
        <f>IF($B5="","",INDEX($E$31:$E$1030,MATCH($A5,$R$31:$R$1030,0)))</f>
        <v/>
      </c>
      <c r="G5" s="173">
        <f>IF($B5="","",INDEX($F$31:$F$1030,MATCH($A5,$R$31:$R$1030,0)))</f>
        <v/>
      </c>
      <c r="H5" s="51">
        <f>IF($B5="","",INDEX($G$31:$G$1030,MATCH($A5,$R$31:$R$1030,0)))</f>
        <v/>
      </c>
      <c r="I5" s="51">
        <f>IF($B5="","",INDEX($H$31:$H$1030,MATCH($A5,$R$31:$R$1030,0)))</f>
        <v/>
      </c>
      <c r="J5" s="173">
        <f>IF($B5="","",INDEX($I$31:$I$1030,MATCH($A5,$R$31:$R$1030,0)))</f>
        <v/>
      </c>
      <c r="K5" s="152">
        <f>IF($B5="","",INDEX($K$31:$K$1030,MATCH($A5,$R$31:$R$1030,0)))</f>
        <v/>
      </c>
      <c r="L5" s="152">
        <f>IF($B5="","",INDEX($L$31:$L$1030,MATCH($A5,$R$31:$R$1030,0)))</f>
        <v/>
      </c>
      <c r="M5" s="196">
        <f>IF($B5="","",INDEX($Q$31:$Q$1030,MATCH($A5,$R$31:$R$1030,0)))</f>
        <v/>
      </c>
      <c r="N5" s="152" t="n"/>
      <c r="O5" s="152" t="n"/>
      <c r="P5" s="152" t="n"/>
      <c r="Q5" s="197" t="n"/>
    </row>
    <row r="6" ht="17.25" customHeight="1">
      <c r="A6" s="119" t="n">
        <v>3</v>
      </c>
      <c r="B6" s="152">
        <f>IF($A6&gt;COUNT($R$31:$R$1030),"",INDEX($A$31:$A$1030,MATCH($A6,$R$31:$R$1030,0)))</f>
        <v/>
      </c>
      <c r="C6" s="152">
        <f>IF($B6="","",INDEX($B$31:$B$1030,MATCH($A6,$R$31:$R$1030,0)))</f>
        <v/>
      </c>
      <c r="D6" s="152">
        <f>IF($B6="","",INDEX($C$31:$C$1030,MATCH($A6,$R$31:$R$1030,0)))</f>
        <v/>
      </c>
      <c r="E6" s="152">
        <f>IF($B6="","",INDEX($D$31:$D$1030,MATCH($A6,$R$31:$R$1030,0)))</f>
        <v/>
      </c>
      <c r="F6" s="172">
        <f>IF($B6="","",INDEX($E$31:$E$1030,MATCH($A6,$R$31:$R$1030,0)))</f>
        <v/>
      </c>
      <c r="G6" s="173">
        <f>IF($B6="","",INDEX($F$31:$F$1030,MATCH($A6,$R$31:$R$1030,0)))</f>
        <v/>
      </c>
      <c r="H6" s="51">
        <f>IF($B6="","",INDEX($G$31:$G$1030,MATCH($A6,$R$31:$R$1030,0)))</f>
        <v/>
      </c>
      <c r="I6" s="51">
        <f>IF($B6="","",INDEX($H$31:$H$1030,MATCH($A6,$R$31:$R$1030,0)))</f>
        <v/>
      </c>
      <c r="J6" s="173">
        <f>IF($B6="","",INDEX($I$31:$I$1030,MATCH($A6,$R$31:$R$1030,0)))</f>
        <v/>
      </c>
      <c r="K6" s="152">
        <f>IF($B6="","",INDEX($K$31:$K$1030,MATCH($A6,$R$31:$R$1030,0)))</f>
        <v/>
      </c>
      <c r="L6" s="152">
        <f>IF($B6="","",INDEX($L$31:$L$1030,MATCH($A6,$R$31:$R$1030,0)))</f>
        <v/>
      </c>
      <c r="M6" s="196">
        <f>IF($B6="","",INDEX($Q$31:$Q$1030,MATCH($A6,$R$31:$R$1030,0)))</f>
        <v/>
      </c>
      <c r="N6" s="152" t="n"/>
      <c r="O6" s="152" t="n"/>
      <c r="P6" s="152" t="n"/>
      <c r="Q6" s="197" t="n"/>
    </row>
    <row r="7" ht="17.25" customHeight="1">
      <c r="A7" s="119" t="n">
        <v>4</v>
      </c>
      <c r="B7" s="152">
        <f>IF($A7&gt;COUNT($R$31:$R$1030),"",INDEX($A$31:$A$1030,MATCH($A7,$R$31:$R$1030,0)))</f>
        <v/>
      </c>
      <c r="C7" s="152">
        <f>IF($B7="","",INDEX($B$31:$B$1030,MATCH($A7,$R$31:$R$1030,0)))</f>
        <v/>
      </c>
      <c r="D7" s="152">
        <f>IF($B7="","",INDEX($C$31:$C$1030,MATCH($A7,$R$31:$R$1030,0)))</f>
        <v/>
      </c>
      <c r="E7" s="152">
        <f>IF($B7="","",INDEX($D$31:$D$1030,MATCH($A7,$R$31:$R$1030,0)))</f>
        <v/>
      </c>
      <c r="F7" s="172">
        <f>IF($B7="","",INDEX($E$31:$E$1030,MATCH($A7,$R$31:$R$1030,0)))</f>
        <v/>
      </c>
      <c r="G7" s="173">
        <f>IF($B7="","",INDEX($F$31:$F$1030,MATCH($A7,$R$31:$R$1030,0)))</f>
        <v/>
      </c>
      <c r="H7" s="51">
        <f>IF($B7="","",INDEX($G$31:$G$1030,MATCH($A7,$R$31:$R$1030,0)))</f>
        <v/>
      </c>
      <c r="I7" s="51">
        <f>IF($B7="","",INDEX($H$31:$H$1030,MATCH($A7,$R$31:$R$1030,0)))</f>
        <v/>
      </c>
      <c r="J7" s="173">
        <f>IF($B7="","",INDEX($I$31:$I$1030,MATCH($A7,$R$31:$R$1030,0)))</f>
        <v/>
      </c>
      <c r="K7" s="152">
        <f>IF($B7="","",INDEX($K$31:$K$1030,MATCH($A7,$R$31:$R$1030,0)))</f>
        <v/>
      </c>
      <c r="L7" s="152">
        <f>IF($B7="","",INDEX($L$31:$L$1030,MATCH($A7,$R$31:$R$1030,0)))</f>
        <v/>
      </c>
      <c r="M7" s="196">
        <f>IF($B7="","",INDEX($Q$31:$Q$1030,MATCH($A7,$R$31:$R$1030,0)))</f>
        <v/>
      </c>
      <c r="N7" s="152" t="n"/>
      <c r="O7" s="152" t="n"/>
      <c r="P7" s="152" t="n"/>
      <c r="Q7" s="197" t="n"/>
    </row>
    <row r="8" ht="17.25" customHeight="1">
      <c r="A8" s="119" t="n">
        <v>5</v>
      </c>
      <c r="B8" s="152">
        <f>IF($A8&gt;COUNT($R$31:$R$1030),"",INDEX($A$31:$A$1030,MATCH($A8,$R$31:$R$1030,0)))</f>
        <v/>
      </c>
      <c r="C8" s="152">
        <f>IF($B8="","",INDEX($B$31:$B$1030,MATCH($A8,$R$31:$R$1030,0)))</f>
        <v/>
      </c>
      <c r="D8" s="152">
        <f>IF($B8="","",INDEX($C$31:$C$1030,MATCH($A8,$R$31:$R$1030,0)))</f>
        <v/>
      </c>
      <c r="E8" s="152">
        <f>IF($B8="","",INDEX($D$31:$D$1030,MATCH($A8,$R$31:$R$1030,0)))</f>
        <v/>
      </c>
      <c r="F8" s="172">
        <f>IF($B8="","",INDEX($E$31:$E$1030,MATCH($A8,$R$31:$R$1030,0)))</f>
        <v/>
      </c>
      <c r="G8" s="173">
        <f>IF($B8="","",INDEX($F$31:$F$1030,MATCH($A8,$R$31:$R$1030,0)))</f>
        <v/>
      </c>
      <c r="H8" s="51">
        <f>IF($B8="","",INDEX($G$31:$G$1030,MATCH($A8,$R$31:$R$1030,0)))</f>
        <v/>
      </c>
      <c r="I8" s="51">
        <f>IF($B8="","",INDEX($H$31:$H$1030,MATCH($A8,$R$31:$R$1030,0)))</f>
        <v/>
      </c>
      <c r="J8" s="173">
        <f>IF($B8="","",INDEX($I$31:$I$1030,MATCH($A8,$R$31:$R$1030,0)))</f>
        <v/>
      </c>
      <c r="K8" s="152">
        <f>IF($B8="","",INDEX($K$31:$K$1030,MATCH($A8,$R$31:$R$1030,0)))</f>
        <v/>
      </c>
      <c r="L8" s="152">
        <f>IF($B8="","",INDEX($L$31:$L$1030,MATCH($A8,$R$31:$R$1030,0)))</f>
        <v/>
      </c>
      <c r="M8" s="196">
        <f>IF($B8="","",INDEX($Q$31:$Q$1030,MATCH($A8,$R$31:$R$1030,0)))</f>
        <v/>
      </c>
      <c r="N8" s="152" t="n"/>
      <c r="O8" s="152" t="n"/>
      <c r="P8" s="152" t="n"/>
      <c r="Q8" s="197" t="n"/>
    </row>
    <row r="9" ht="17.25" customHeight="1">
      <c r="A9" s="119" t="n">
        <v>6</v>
      </c>
      <c r="B9" s="152">
        <f>IF($A9&gt;COUNT($R$31:$R$1030),"",INDEX($A$31:$A$1030,MATCH($A9,$R$31:$R$1030,0)))</f>
        <v/>
      </c>
      <c r="C9" s="152">
        <f>IF($B9="","",INDEX($B$31:$B$1030,MATCH($A9,$R$31:$R$1030,0)))</f>
        <v/>
      </c>
      <c r="D9" s="152">
        <f>IF($B9="","",INDEX($C$31:$C$1030,MATCH($A9,$R$31:$R$1030,0)))</f>
        <v/>
      </c>
      <c r="E9" s="152">
        <f>IF($B9="","",INDEX($D$31:$D$1030,MATCH($A9,$R$31:$R$1030,0)))</f>
        <v/>
      </c>
      <c r="F9" s="172">
        <f>IF($B9="","",INDEX($E$31:$E$1030,MATCH($A9,$R$31:$R$1030,0)))</f>
        <v/>
      </c>
      <c r="G9" s="173">
        <f>IF($B9="","",INDEX($F$31:$F$1030,MATCH($A9,$R$31:$R$1030,0)))</f>
        <v/>
      </c>
      <c r="H9" s="51">
        <f>IF($B9="","",INDEX($G$31:$G$1030,MATCH($A9,$R$31:$R$1030,0)))</f>
        <v/>
      </c>
      <c r="I9" s="51">
        <f>IF($B9="","",INDEX($H$31:$H$1030,MATCH($A9,$R$31:$R$1030,0)))</f>
        <v/>
      </c>
      <c r="J9" s="173">
        <f>IF($B9="","",INDEX($I$31:$I$1030,MATCH($A9,$R$31:$R$1030,0)))</f>
        <v/>
      </c>
      <c r="K9" s="152">
        <f>IF($B9="","",INDEX($K$31:$K$1030,MATCH($A9,$R$31:$R$1030,0)))</f>
        <v/>
      </c>
      <c r="L9" s="152">
        <f>IF($B9="","",INDEX($L$31:$L$1030,MATCH($A9,$R$31:$R$1030,0)))</f>
        <v/>
      </c>
      <c r="M9" s="196">
        <f>IF($B9="","",INDEX($Q$31:$Q$1030,MATCH($A9,$R$31:$R$1030,0)))</f>
        <v/>
      </c>
      <c r="N9" s="152" t="n"/>
      <c r="O9" s="152" t="n"/>
      <c r="P9" s="152" t="n"/>
      <c r="Q9" s="197" t="n"/>
    </row>
    <row r="10" ht="17.25" customHeight="1">
      <c r="A10" s="119" t="n">
        <v>7</v>
      </c>
      <c r="B10" s="152">
        <f>IF($A10&gt;COUNT($R$31:$R$1030),"",INDEX($A$31:$A$1030,MATCH($A10,$R$31:$R$1030,0)))</f>
        <v/>
      </c>
      <c r="C10" s="152">
        <f>IF($B10="","",INDEX($B$31:$B$1030,MATCH($A10,$R$31:$R$1030,0)))</f>
        <v/>
      </c>
      <c r="D10" s="152">
        <f>IF($B10="","",INDEX($C$31:$C$1030,MATCH($A10,$R$31:$R$1030,0)))</f>
        <v/>
      </c>
      <c r="E10" s="152">
        <f>IF($B10="","",INDEX($D$31:$D$1030,MATCH($A10,$R$31:$R$1030,0)))</f>
        <v/>
      </c>
      <c r="F10" s="172">
        <f>IF($B10="","",INDEX($E$31:$E$1030,MATCH($A10,$R$31:$R$1030,0)))</f>
        <v/>
      </c>
      <c r="G10" s="173">
        <f>IF($B10="","",INDEX($F$31:$F$1030,MATCH($A10,$R$31:$R$1030,0)))</f>
        <v/>
      </c>
      <c r="H10" s="51">
        <f>IF($B10="","",INDEX($G$31:$G$1030,MATCH($A10,$R$31:$R$1030,0)))</f>
        <v/>
      </c>
      <c r="I10" s="51">
        <f>IF($B10="","",INDEX($H$31:$H$1030,MATCH($A10,$R$31:$R$1030,0)))</f>
        <v/>
      </c>
      <c r="J10" s="173">
        <f>IF($B10="","",INDEX($I$31:$I$1030,MATCH($A10,$R$31:$R$1030,0)))</f>
        <v/>
      </c>
      <c r="K10" s="152">
        <f>IF($B10="","",INDEX($K$31:$K$1030,MATCH($A10,$R$31:$R$1030,0)))</f>
        <v/>
      </c>
      <c r="L10" s="152">
        <f>IF($B10="","",INDEX($L$31:$L$1030,MATCH($A10,$R$31:$R$1030,0)))</f>
        <v/>
      </c>
      <c r="M10" s="196">
        <f>IF($B10="","",INDEX($Q$31:$Q$1030,MATCH($A10,$R$31:$R$1030,0)))</f>
        <v/>
      </c>
      <c r="N10" s="152" t="n"/>
      <c r="O10" s="152" t="n"/>
      <c r="P10" s="152" t="n"/>
      <c r="Q10" s="197" t="n"/>
    </row>
    <row r="11" ht="17.25" customHeight="1">
      <c r="A11" s="119" t="n">
        <v>8</v>
      </c>
      <c r="B11" s="152">
        <f>IF($A11&gt;COUNT($R$31:$R$1030),"",INDEX($A$31:$A$1030,MATCH($A11,$R$31:$R$1030,0)))</f>
        <v/>
      </c>
      <c r="C11" s="152">
        <f>IF($B11="","",INDEX($B$31:$B$1030,MATCH($A11,$R$31:$R$1030,0)))</f>
        <v/>
      </c>
      <c r="D11" s="152">
        <f>IF($B11="","",INDEX($C$31:$C$1030,MATCH($A11,$R$31:$R$1030,0)))</f>
        <v/>
      </c>
      <c r="E11" s="152">
        <f>IF($B11="","",INDEX($D$31:$D$1030,MATCH($A11,$R$31:$R$1030,0)))</f>
        <v/>
      </c>
      <c r="F11" s="172">
        <f>IF($B11="","",INDEX($E$31:$E$1030,MATCH($A11,$R$31:$R$1030,0)))</f>
        <v/>
      </c>
      <c r="G11" s="173">
        <f>IF($B11="","",INDEX($F$31:$F$1030,MATCH($A11,$R$31:$R$1030,0)))</f>
        <v/>
      </c>
      <c r="H11" s="51">
        <f>IF($B11="","",INDEX($G$31:$G$1030,MATCH($A11,$R$31:$R$1030,0)))</f>
        <v/>
      </c>
      <c r="I11" s="51">
        <f>IF($B11="","",INDEX($H$31:$H$1030,MATCH($A11,$R$31:$R$1030,0)))</f>
        <v/>
      </c>
      <c r="J11" s="173">
        <f>IF($B11="","",INDEX($I$31:$I$1030,MATCH($A11,$R$31:$R$1030,0)))</f>
        <v/>
      </c>
      <c r="K11" s="152">
        <f>IF($B11="","",INDEX($K$31:$K$1030,MATCH($A11,$R$31:$R$1030,0)))</f>
        <v/>
      </c>
      <c r="L11" s="152">
        <f>IF($B11="","",INDEX($L$31:$L$1030,MATCH($A11,$R$31:$R$1030,0)))</f>
        <v/>
      </c>
      <c r="M11" s="196">
        <f>IF($B11="","",INDEX($Q$31:$Q$1030,MATCH($A11,$R$31:$R$1030,0)))</f>
        <v/>
      </c>
      <c r="N11" s="152" t="n"/>
      <c r="O11" s="152" t="n"/>
      <c r="P11" s="152" t="n"/>
      <c r="Q11" s="197" t="n"/>
    </row>
    <row r="12" ht="17.25" customHeight="1">
      <c r="A12" s="119" t="n">
        <v>9</v>
      </c>
      <c r="B12" s="152">
        <f>IF($A12&gt;COUNT($R$31:$R$1030),"",INDEX($A$31:$A$1030,MATCH($A12,$R$31:$R$1030,0)))</f>
        <v/>
      </c>
      <c r="C12" s="152">
        <f>IF($B12="","",INDEX($B$31:$B$1030,MATCH($A12,$R$31:$R$1030,0)))</f>
        <v/>
      </c>
      <c r="D12" s="152">
        <f>IF($B12="","",INDEX($C$31:$C$1030,MATCH($A12,$R$31:$R$1030,0)))</f>
        <v/>
      </c>
      <c r="E12" s="152">
        <f>IF($B12="","",INDEX($D$31:$D$1030,MATCH($A12,$R$31:$R$1030,0)))</f>
        <v/>
      </c>
      <c r="F12" s="172">
        <f>IF($B12="","",INDEX($E$31:$E$1030,MATCH($A12,$R$31:$R$1030,0)))</f>
        <v/>
      </c>
      <c r="G12" s="173">
        <f>IF($B12="","",INDEX($F$31:$F$1030,MATCH($A12,$R$31:$R$1030,0)))</f>
        <v/>
      </c>
      <c r="H12" s="51">
        <f>IF($B12="","",INDEX($G$31:$G$1030,MATCH($A12,$R$31:$R$1030,0)))</f>
        <v/>
      </c>
      <c r="I12" s="51">
        <f>IF($B12="","",INDEX($H$31:$H$1030,MATCH($A12,$R$31:$R$1030,0)))</f>
        <v/>
      </c>
      <c r="J12" s="173">
        <f>IF($B12="","",INDEX($I$31:$I$1030,MATCH($A12,$R$31:$R$1030,0)))</f>
        <v/>
      </c>
      <c r="K12" s="152">
        <f>IF($B12="","",INDEX($K$31:$K$1030,MATCH($A12,$R$31:$R$1030,0)))</f>
        <v/>
      </c>
      <c r="L12" s="152">
        <f>IF($B12="","",INDEX($L$31:$L$1030,MATCH($A12,$R$31:$R$1030,0)))</f>
        <v/>
      </c>
      <c r="M12" s="196">
        <f>IF($B12="","",INDEX($Q$31:$Q$1030,MATCH($A12,$R$31:$R$1030,0)))</f>
        <v/>
      </c>
      <c r="N12" s="152" t="n"/>
      <c r="O12" s="152" t="n"/>
      <c r="P12" s="152" t="n"/>
      <c r="Q12" s="197" t="n"/>
    </row>
    <row r="13" ht="17.25" customHeight="1">
      <c r="A13" s="119" t="n">
        <v>10</v>
      </c>
      <c r="B13" s="152">
        <f>IF($A13&gt;COUNT($R$31:$R$1030),"",INDEX($A$31:$A$1030,MATCH($A13,$R$31:$R$1030,0)))</f>
        <v/>
      </c>
      <c r="C13" s="152">
        <f>IF($B13="","",INDEX($B$31:$B$1030,MATCH($A13,$R$31:$R$1030,0)))</f>
        <v/>
      </c>
      <c r="D13" s="152">
        <f>IF($B13="","",INDEX($C$31:$C$1030,MATCH($A13,$R$31:$R$1030,0)))</f>
        <v/>
      </c>
      <c r="E13" s="152">
        <f>IF($B13="","",INDEX($D$31:$D$1030,MATCH($A13,$R$31:$R$1030,0)))</f>
        <v/>
      </c>
      <c r="F13" s="172">
        <f>IF($B13="","",INDEX($E$31:$E$1030,MATCH($A13,$R$31:$R$1030,0)))</f>
        <v/>
      </c>
      <c r="G13" s="173">
        <f>IF($B13="","",INDEX($F$31:$F$1030,MATCH($A13,$R$31:$R$1030,0)))</f>
        <v/>
      </c>
      <c r="H13" s="51">
        <f>IF($B13="","",INDEX($G$31:$G$1030,MATCH($A13,$R$31:$R$1030,0)))</f>
        <v/>
      </c>
      <c r="I13" s="51">
        <f>IF($B13="","",INDEX($H$31:$H$1030,MATCH($A13,$R$31:$R$1030,0)))</f>
        <v/>
      </c>
      <c r="J13" s="173">
        <f>IF($B13="","",INDEX($I$31:$I$1030,MATCH($A13,$R$31:$R$1030,0)))</f>
        <v/>
      </c>
      <c r="K13" s="152">
        <f>IF($B13="","",INDEX($K$31:$K$1030,MATCH($A13,$R$31:$R$1030,0)))</f>
        <v/>
      </c>
      <c r="L13" s="152">
        <f>IF($B13="","",INDEX($L$31:$L$1030,MATCH($A13,$R$31:$R$1030,0)))</f>
        <v/>
      </c>
      <c r="M13" s="196">
        <f>IF($B13="","",INDEX($Q$31:$Q$1030,MATCH($A13,$R$31:$R$1030,0)))</f>
        <v/>
      </c>
      <c r="N13" s="152" t="n"/>
      <c r="O13" s="152" t="n"/>
      <c r="P13" s="152" t="n"/>
      <c r="Q13" s="197" t="n"/>
    </row>
    <row r="14" ht="17.25" customHeight="1">
      <c r="A14" s="119" t="n"/>
      <c r="B14" s="152" t="n"/>
      <c r="C14" s="152" t="n"/>
      <c r="D14" s="152" t="n"/>
      <c r="E14" s="152" t="n"/>
      <c r="F14" s="172" t="n"/>
      <c r="G14" s="173" t="n"/>
      <c r="H14" s="174" t="n"/>
      <c r="I14" s="174" t="n"/>
      <c r="J14" s="152" t="n"/>
      <c r="K14" s="152" t="n"/>
      <c r="L14" s="152" t="n"/>
      <c r="M14" s="152" t="n"/>
      <c r="N14" s="152" t="n"/>
      <c r="O14" s="152" t="n"/>
      <c r="P14" s="152" t="n"/>
      <c r="Q14" s="197" t="n"/>
    </row>
    <row r="15" ht="17.25" customHeight="1">
      <c r="A15" s="119" t="n"/>
      <c r="B15" s="152" t="n"/>
      <c r="C15" s="152" t="n"/>
      <c r="D15" s="152" t="n"/>
      <c r="E15" s="152" t="n"/>
      <c r="F15" s="172" t="n"/>
      <c r="G15" s="173" t="n"/>
      <c r="H15" s="174" t="n"/>
      <c r="I15" s="174" t="n"/>
      <c r="J15" s="152" t="n"/>
      <c r="K15" s="152" t="n"/>
      <c r="L15" s="152" t="n"/>
      <c r="M15" s="152" t="n"/>
      <c r="N15" s="152" t="n"/>
      <c r="O15" s="152" t="n"/>
      <c r="P15" s="152" t="n"/>
      <c r="Q15" s="197" t="n"/>
    </row>
    <row r="16" ht="17.25" customHeight="1">
      <c r="A16" s="119" t="n"/>
      <c r="B16" s="152" t="n"/>
      <c r="C16" s="152" t="n"/>
      <c r="D16" s="152" t="n"/>
      <c r="E16" s="152" t="n"/>
      <c r="F16" s="172" t="n"/>
      <c r="G16" s="173" t="n"/>
      <c r="H16" s="174" t="n"/>
      <c r="I16" s="174" t="n"/>
      <c r="J16" s="152" t="n"/>
      <c r="K16" s="152" t="n"/>
      <c r="L16" s="152" t="n"/>
      <c r="M16" s="152" t="n"/>
      <c r="N16" s="152" t="n"/>
      <c r="O16" s="152" t="n"/>
      <c r="P16" s="152" t="n"/>
      <c r="Q16" s="197" t="n"/>
    </row>
    <row r="17" ht="17.25" customHeight="1">
      <c r="A17" s="119" t="n"/>
      <c r="B17" s="152" t="n"/>
      <c r="C17" s="152" t="n"/>
      <c r="D17" s="152" t="n"/>
      <c r="E17" s="152" t="n"/>
      <c r="F17" s="172" t="n"/>
      <c r="G17" s="173" t="n"/>
      <c r="H17" s="174" t="n"/>
      <c r="I17" s="174" t="n"/>
      <c r="J17" s="152" t="n"/>
      <c r="K17" s="152" t="n"/>
      <c r="L17" s="152" t="n"/>
      <c r="M17" s="152" t="n"/>
      <c r="N17" s="152" t="n"/>
      <c r="O17" s="152" t="n"/>
      <c r="P17" s="152" t="n"/>
      <c r="Q17" s="197" t="n"/>
    </row>
    <row r="18" ht="17.25" customHeight="1">
      <c r="A18" s="119" t="n"/>
      <c r="B18" s="152" t="n"/>
      <c r="C18" s="152" t="n"/>
      <c r="D18" s="152" t="n"/>
      <c r="E18" s="152" t="n"/>
      <c r="F18" s="172" t="n"/>
      <c r="G18" s="173" t="n"/>
      <c r="H18" s="174" t="n"/>
      <c r="I18" s="174" t="n"/>
      <c r="J18" s="152" t="n"/>
      <c r="K18" s="152" t="n"/>
      <c r="L18" s="152" t="n"/>
      <c r="M18" s="152" t="n"/>
      <c r="N18" s="152" t="n"/>
      <c r="O18" s="152" t="n"/>
      <c r="P18" s="152" t="n"/>
      <c r="Q18" s="197" t="n"/>
    </row>
    <row r="19" ht="17.25" customHeight="1">
      <c r="A19" s="119" t="n"/>
      <c r="B19" s="152" t="n"/>
      <c r="C19" s="152" t="n"/>
      <c r="D19" s="152" t="n"/>
      <c r="E19" s="152" t="n"/>
      <c r="F19" s="172" t="n"/>
      <c r="G19" s="173" t="n"/>
      <c r="H19" s="174" t="n"/>
      <c r="I19" s="174" t="n"/>
      <c r="J19" s="152" t="n"/>
      <c r="K19" s="152" t="n"/>
      <c r="L19" s="152" t="n"/>
      <c r="M19" s="152" t="n"/>
      <c r="N19" s="152" t="n"/>
      <c r="O19" s="152" t="n"/>
      <c r="P19" s="152" t="n"/>
      <c r="Q19" s="197" t="n"/>
    </row>
    <row r="20" ht="17.25" customHeight="1">
      <c r="A20" s="119" t="n"/>
      <c r="B20" s="152" t="n"/>
      <c r="C20" s="152" t="n"/>
      <c r="D20" s="152" t="n"/>
      <c r="E20" s="152" t="n"/>
      <c r="F20" s="172" t="n"/>
      <c r="G20" s="173" t="n"/>
      <c r="H20" s="174" t="n"/>
      <c r="I20" s="174" t="n"/>
      <c r="J20" s="152" t="n"/>
      <c r="K20" s="152" t="n"/>
      <c r="L20" s="152" t="n"/>
      <c r="M20" s="152" t="n"/>
      <c r="N20" s="152" t="n"/>
      <c r="O20" s="152" t="n"/>
      <c r="P20" s="152" t="n"/>
      <c r="Q20" s="197" t="n"/>
    </row>
    <row r="21" ht="17.25" customHeight="1">
      <c r="A21" s="119" t="n"/>
      <c r="B21" s="152" t="n"/>
      <c r="C21" s="152" t="n"/>
      <c r="D21" s="152" t="n"/>
      <c r="E21" s="152" t="n"/>
      <c r="F21" s="172" t="n"/>
      <c r="G21" s="173" t="n"/>
      <c r="H21" s="174" t="n"/>
      <c r="I21" s="174" t="n"/>
      <c r="J21" s="152" t="n"/>
      <c r="K21" s="152" t="n"/>
      <c r="L21" s="152" t="n"/>
      <c r="M21" s="152" t="n"/>
      <c r="N21" s="152" t="n"/>
      <c r="O21" s="152" t="n"/>
      <c r="P21" s="152" t="n"/>
      <c r="Q21" s="197" t="n"/>
    </row>
    <row r="22" ht="17.25" customHeight="1">
      <c r="A22" s="119" t="n"/>
      <c r="B22" s="152" t="n"/>
      <c r="C22" s="152" t="n"/>
      <c r="D22" s="152" t="n"/>
      <c r="E22" s="152" t="n"/>
      <c r="F22" s="172" t="n"/>
      <c r="G22" s="173" t="n"/>
      <c r="H22" s="174" t="n"/>
      <c r="I22" s="174" t="n"/>
      <c r="J22" s="152" t="n"/>
      <c r="K22" s="152" t="n"/>
      <c r="L22" s="152" t="n"/>
      <c r="M22" s="152" t="n"/>
      <c r="N22" s="152" t="n"/>
      <c r="O22" s="152" t="n"/>
      <c r="P22" s="152" t="n"/>
      <c r="Q22" s="197" t="n"/>
    </row>
    <row r="23" ht="17.25" customHeight="1">
      <c r="A23" s="122" t="n"/>
      <c r="B23" s="123" t="n"/>
      <c r="C23" s="123" t="n"/>
      <c r="D23" s="123" t="n"/>
      <c r="E23" s="123" t="n"/>
      <c r="F23" s="198" t="n"/>
      <c r="G23" s="199" t="n"/>
      <c r="H23" s="200" t="n"/>
      <c r="I23" s="200" t="n"/>
      <c r="J23" s="123" t="n"/>
      <c r="K23" s="123" t="n"/>
      <c r="L23" s="123" t="n"/>
      <c r="M23" s="123" t="n"/>
      <c r="N23" s="123" t="n"/>
      <c r="O23" s="123" t="n"/>
      <c r="P23" s="123" t="n"/>
      <c r="Q23" s="201" t="n"/>
    </row>
    <row r="24" ht="1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 ht="1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 ht="17.25" customHeight="1">
      <c r="A26" s="15" t="inlineStr">
        <is>
          <t>선정건수</t>
        </is>
      </c>
      <c r="B26" s="33">
        <f>COUNT(B4:B13)</f>
        <v/>
      </c>
      <c r="C26" s="1" t="n"/>
      <c r="D26" s="15" t="inlineStr">
        <is>
          <t>상위 반영 건수</t>
        </is>
      </c>
      <c r="E26" s="31">
        <f>'01_설정'!B9</f>
        <v/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 ht="15" customHeight="1"/>
    <row r="28" ht="16.5" customHeight="1">
      <c r="A28" s="128" t="inlineStr">
        <is>
          <t>※ 하단 Helper 영역은 자동 계산용입니다.</t>
        </is>
      </c>
    </row>
    <row r="29" hidden="1" ht="14.25" customHeight="1"/>
    <row r="30" hidden="1" ht="16.5" customHeight="1">
      <c r="A30" t="inlineStr">
        <is>
          <t>source_row</t>
        </is>
      </c>
      <c r="B30" s="128" t="inlineStr">
        <is>
          <t>시군구</t>
        </is>
      </c>
      <c r="C30" s="128" t="inlineStr">
        <is>
          <t>지번</t>
        </is>
      </c>
      <c r="D30" s="128" t="inlineStr">
        <is>
          <t>표시명</t>
        </is>
      </c>
      <c r="E30" s="128" t="inlineStr">
        <is>
          <t>전용면적</t>
        </is>
      </c>
      <c r="F30" s="128" t="inlineStr">
        <is>
          <t>거래시점</t>
        </is>
      </c>
      <c r="G30" s="128" t="inlineStr">
        <is>
          <t>물건금액</t>
        </is>
      </c>
      <c r="H30" s="128" t="inlineStr">
        <is>
          <t>단가</t>
        </is>
      </c>
      <c r="I30" s="128" t="inlineStr">
        <is>
          <t>사용승인일자</t>
        </is>
      </c>
      <c r="J30" s="128" t="inlineStr">
        <is>
          <t>동일시군구</t>
        </is>
      </c>
      <c r="K30" s="128" t="inlineStr">
        <is>
          <t>동일법정동</t>
        </is>
      </c>
      <c r="L30" s="128" t="inlineStr">
        <is>
          <t>동일건물</t>
        </is>
      </c>
      <c r="M30" s="128" t="inlineStr">
        <is>
          <t>면적차율</t>
        </is>
      </c>
      <c r="N30" s="128" t="inlineStr">
        <is>
          <t>경과일수</t>
        </is>
      </c>
      <c r="O30" s="128" t="inlineStr">
        <is>
          <t>건축연차차</t>
        </is>
      </c>
      <c r="P30" t="inlineStr">
        <is>
          <t>1차통과</t>
        </is>
      </c>
      <c r="Q30" s="128" t="inlineStr">
        <is>
          <t>유사도점수</t>
        </is>
      </c>
      <c r="R30" s="128" t="inlineStr">
        <is>
          <t>순위</t>
        </is>
      </c>
    </row>
    <row r="31" hidden="1" ht="16.5" customHeight="1">
      <c r="A31">
        <f>IF(COUNTA('05_KAIS'!$A4:$N4)=0,"",4)</f>
        <v/>
      </c>
      <c r="B31">
        <f>IF($A31="","",TRIM(INDEX('05_KAIS'!$B:$B,$A31)&amp;" "&amp;INDEX('05_KAIS'!$C:$C,$A31)))</f>
        <v/>
      </c>
      <c r="C31">
        <f>IF($A31="","",INDEX('05_KAIS'!$D:$D,$A31))</f>
        <v/>
      </c>
      <c r="D31">
        <f>IF($A31="","",INDEX('05_KAIS'!$H:$H,$A31))</f>
        <v/>
      </c>
      <c r="E31">
        <f>IF($A31="","",INDEX('05_KAIS'!$K:$K,$A31))</f>
        <v/>
      </c>
      <c r="F31" s="202">
        <f>IF($A31="","",INDEX('05_KAIS'!$I:$I,$A31))</f>
        <v/>
      </c>
      <c r="G31" s="118">
        <f>IF($A31="","",INDEX('05_KAIS'!$L:$L,$A31))</f>
        <v/>
      </c>
      <c r="H31" s="118">
        <f>IF($A31="","",IFERROR(INDEX('05_KAIS'!$M:$M,$A31),IF(AND(E31&gt;0,G31&gt;0),G31/E31,"")))</f>
        <v/>
      </c>
      <c r="I31" s="202">
        <f>IF($A31="","",INDEX('05_KAIS'!$N:$N,$A31))</f>
        <v/>
      </c>
      <c r="J31">
        <f>IF(B31="","",IF('02_대상물건입력'!$B$5="",1,IF(ISNUMBER(SEARCH('02_대상물건입력'!$B$5,B31)),1,0)))</f>
        <v/>
      </c>
      <c r="K31">
        <f>IF(B31="","",IF('02_대상물건입력'!$B$6="",1,IF(ISNUMBER(SEARCH('02_대상물건입력'!$B$6,B31)),1,0)))</f>
        <v/>
      </c>
      <c r="L31">
        <f>IF(D31="","",IF('02_대상물건입력'!$B$8="",0,IF(ISNUMBER(SEARCH('02_대상물건입력'!$B$8,D31)),1,0)))</f>
        <v/>
      </c>
      <c r="M31">
        <f>IFERROR(ABS(E31-'02_대상물건입력'!$B$11)/'02_대상물건입력'!$B$11,"")</f>
        <v/>
      </c>
      <c r="N31">
        <f>IFERROR(ABS('01_설정'!$B$4-F31),"")</f>
        <v/>
      </c>
      <c r="O31">
        <f>IFERROR(ABS(YEAR(I31)-YEAR('02_대상물건입력'!$B$14)),"")</f>
        <v/>
      </c>
      <c r="P31">
        <f>IF(AND(E31&gt;0,F31&gt;0,G31&gt;0,IF('01_설정'!$B$10=1,J31=1,TRUE()),M31&lt;='01_설정'!$B$5,N31&lt;='01_설정'!$B$7,O31&lt;='01_설정'!$B$8),"Y","")</f>
        <v/>
      </c>
      <c r="Q31">
        <f>IF(P31&lt;&gt;"Y","",MAX(0,(1-M31/'01_설정'!$B$5))*'01_설정'!$B$14+MAX(0,(1-N31/'01_설정'!$B$7))*'01_설정'!$B$16+MAX(0,(1-O31/'01_설정'!$B$8))*'01_설정'!$B$17+K31*'01_설정'!$B$11+L31*'01_설정'!$B$12)</f>
        <v/>
      </c>
      <c r="R31">
        <f>IF(Q31="","",1+COUNTIFS($Q$31:$Q$1030,"&gt;"&amp;Q31)+COUNTIFS($Q$31:Q31,Q31)-1)</f>
        <v/>
      </c>
    </row>
    <row r="32" hidden="1" ht="16.5" customHeight="1">
      <c r="A32">
        <f>IF(COUNTA('05_KAIS'!$A5:$N5)=0,"",5)</f>
        <v/>
      </c>
      <c r="B32">
        <f>IF($A32="","",TRIM(INDEX('05_KAIS'!$B:$B,$A32)&amp;" "&amp;INDEX('05_KAIS'!$C:$C,$A32)))</f>
        <v/>
      </c>
      <c r="C32">
        <f>IF($A32="","",INDEX('05_KAIS'!$D:$D,$A32))</f>
        <v/>
      </c>
      <c r="D32">
        <f>IF($A32="","",INDEX('05_KAIS'!$H:$H,$A32))</f>
        <v/>
      </c>
      <c r="E32">
        <f>IF($A32="","",INDEX('05_KAIS'!$K:$K,$A32))</f>
        <v/>
      </c>
      <c r="F32" s="202">
        <f>IF($A32="","",INDEX('05_KAIS'!$I:$I,$A32))</f>
        <v/>
      </c>
      <c r="G32" s="118">
        <f>IF($A32="","",INDEX('05_KAIS'!$L:$L,$A32))</f>
        <v/>
      </c>
      <c r="H32" s="118">
        <f>IF($A32="","",IFERROR(INDEX('05_KAIS'!$M:$M,$A32),IF(AND(E32&gt;0,G32&gt;0),G32/E32,"")))</f>
        <v/>
      </c>
      <c r="I32" s="202">
        <f>IF($A32="","",INDEX('05_KAIS'!$N:$N,$A32))</f>
        <v/>
      </c>
      <c r="J32">
        <f>IF(B32="","",IF('02_대상물건입력'!$B$5="",1,IF(ISNUMBER(SEARCH('02_대상물건입력'!$B$5,B32)),1,0)))</f>
        <v/>
      </c>
      <c r="K32">
        <f>IF(B32="","",IF('02_대상물건입력'!$B$6="",1,IF(ISNUMBER(SEARCH('02_대상물건입력'!$B$6,B32)),1,0)))</f>
        <v/>
      </c>
      <c r="L32">
        <f>IF(D32="","",IF('02_대상물건입력'!$B$8="",0,IF(ISNUMBER(SEARCH('02_대상물건입력'!$B$8,D32)),1,0)))</f>
        <v/>
      </c>
      <c r="M32">
        <f>IFERROR(ABS(E32-'02_대상물건입력'!$B$11)/'02_대상물건입력'!$B$11,"")</f>
        <v/>
      </c>
      <c r="N32">
        <f>IFERROR(ABS('01_설정'!$B$4-F32),"")</f>
        <v/>
      </c>
      <c r="O32">
        <f>IFERROR(ABS(YEAR(I32)-YEAR('02_대상물건입력'!$B$14)),"")</f>
        <v/>
      </c>
      <c r="P32">
        <f>IF(AND(E32&gt;0,F32&gt;0,G32&gt;0,IF('01_설정'!$B$10=1,J32=1,TRUE()),M32&lt;='01_설정'!$B$5,N32&lt;='01_설정'!$B$7,O32&lt;='01_설정'!$B$8),"Y","")</f>
        <v/>
      </c>
      <c r="Q32">
        <f>IF(P32&lt;&gt;"Y","",MAX(0,(1-M32/'01_설정'!$B$5))*'01_설정'!$B$14+MAX(0,(1-N32/'01_설정'!$B$7))*'01_설정'!$B$16+MAX(0,(1-O32/'01_설정'!$B$8))*'01_설정'!$B$17+K32*'01_설정'!$B$11+L32*'01_설정'!$B$12)</f>
        <v/>
      </c>
      <c r="R32">
        <f>IF(Q32="","",1+COUNTIFS($Q$31:$Q$1030,"&gt;"&amp;Q32)+COUNTIFS($Q$31:Q32,Q32)-1)</f>
        <v/>
      </c>
    </row>
    <row r="33" hidden="1" ht="16.5" customHeight="1">
      <c r="A33">
        <f>IF(COUNTA('05_KAIS'!$A6:$N6)=0,"",6)</f>
        <v/>
      </c>
      <c r="B33">
        <f>IF($A33="","",TRIM(INDEX('05_KAIS'!$B:$B,$A33)&amp;" "&amp;INDEX('05_KAIS'!$C:$C,$A33)))</f>
        <v/>
      </c>
      <c r="C33">
        <f>IF($A33="","",INDEX('05_KAIS'!$D:$D,$A33))</f>
        <v/>
      </c>
      <c r="D33">
        <f>IF($A33="","",INDEX('05_KAIS'!$H:$H,$A33))</f>
        <v/>
      </c>
      <c r="E33">
        <f>IF($A33="","",INDEX('05_KAIS'!$K:$K,$A33))</f>
        <v/>
      </c>
      <c r="F33" s="202">
        <f>IF($A33="","",INDEX('05_KAIS'!$I:$I,$A33))</f>
        <v/>
      </c>
      <c r="G33" s="118">
        <f>IF($A33="","",INDEX('05_KAIS'!$L:$L,$A33))</f>
        <v/>
      </c>
      <c r="H33" s="118">
        <f>IF($A33="","",IFERROR(INDEX('05_KAIS'!$M:$M,$A33),IF(AND(E33&gt;0,G33&gt;0),G33/E33,"")))</f>
        <v/>
      </c>
      <c r="I33" s="202">
        <f>IF($A33="","",INDEX('05_KAIS'!$N:$N,$A33))</f>
        <v/>
      </c>
      <c r="J33">
        <f>IF(B33="","",IF('02_대상물건입력'!$B$5="",1,IF(ISNUMBER(SEARCH('02_대상물건입력'!$B$5,B33)),1,0)))</f>
        <v/>
      </c>
      <c r="K33">
        <f>IF(B33="","",IF('02_대상물건입력'!$B$6="",1,IF(ISNUMBER(SEARCH('02_대상물건입력'!$B$6,B33)),1,0)))</f>
        <v/>
      </c>
      <c r="L33">
        <f>IF(D33="","",IF('02_대상물건입력'!$B$8="",0,IF(ISNUMBER(SEARCH('02_대상물건입력'!$B$8,D33)),1,0)))</f>
        <v/>
      </c>
      <c r="M33">
        <f>IFERROR(ABS(E33-'02_대상물건입력'!$B$11)/'02_대상물건입력'!$B$11,"")</f>
        <v/>
      </c>
      <c r="N33">
        <f>IFERROR(ABS('01_설정'!$B$4-F33),"")</f>
        <v/>
      </c>
      <c r="O33">
        <f>IFERROR(ABS(YEAR(I33)-YEAR('02_대상물건입력'!$B$14)),"")</f>
        <v/>
      </c>
      <c r="P33">
        <f>IF(AND(E33&gt;0,F33&gt;0,G33&gt;0,IF('01_설정'!$B$10=1,J33=1,TRUE()),M33&lt;='01_설정'!$B$5,N33&lt;='01_설정'!$B$7,O33&lt;='01_설정'!$B$8),"Y","")</f>
        <v/>
      </c>
      <c r="Q33">
        <f>IF(P33&lt;&gt;"Y","",MAX(0,(1-M33/'01_설정'!$B$5))*'01_설정'!$B$14+MAX(0,(1-N33/'01_설정'!$B$7))*'01_설정'!$B$16+MAX(0,(1-O33/'01_설정'!$B$8))*'01_설정'!$B$17+K33*'01_설정'!$B$11+L33*'01_설정'!$B$12)</f>
        <v/>
      </c>
      <c r="R33">
        <f>IF(Q33="","",1+COUNTIFS($Q$31:$Q$1030,"&gt;"&amp;Q33)+COUNTIFS($Q$31:Q33,Q33)-1)</f>
        <v/>
      </c>
    </row>
    <row r="34" hidden="1" ht="16.5" customHeight="1">
      <c r="A34">
        <f>IF(COUNTA('05_KAIS'!$A7:$N7)=0,"",7)</f>
        <v/>
      </c>
      <c r="B34">
        <f>IF($A34="","",TRIM(INDEX('05_KAIS'!$B:$B,$A34)&amp;" "&amp;INDEX('05_KAIS'!$C:$C,$A34)))</f>
        <v/>
      </c>
      <c r="C34">
        <f>IF($A34="","",INDEX('05_KAIS'!$D:$D,$A34))</f>
        <v/>
      </c>
      <c r="D34">
        <f>IF($A34="","",INDEX('05_KAIS'!$H:$H,$A34))</f>
        <v/>
      </c>
      <c r="E34">
        <f>IF($A34="","",INDEX('05_KAIS'!$K:$K,$A34))</f>
        <v/>
      </c>
      <c r="F34" s="202">
        <f>IF($A34="","",INDEX('05_KAIS'!$I:$I,$A34))</f>
        <v/>
      </c>
      <c r="G34" s="118">
        <f>IF($A34="","",INDEX('05_KAIS'!$L:$L,$A34))</f>
        <v/>
      </c>
      <c r="H34" s="118">
        <f>IF($A34="","",IFERROR(INDEX('05_KAIS'!$M:$M,$A34),IF(AND(E34&gt;0,G34&gt;0),G34/E34,"")))</f>
        <v/>
      </c>
      <c r="I34" s="202">
        <f>IF($A34="","",INDEX('05_KAIS'!$N:$N,$A34))</f>
        <v/>
      </c>
      <c r="J34">
        <f>IF(B34="","",IF('02_대상물건입력'!$B$5="",1,IF(ISNUMBER(SEARCH('02_대상물건입력'!$B$5,B34)),1,0)))</f>
        <v/>
      </c>
      <c r="K34">
        <f>IF(B34="","",IF('02_대상물건입력'!$B$6="",1,IF(ISNUMBER(SEARCH('02_대상물건입력'!$B$6,B34)),1,0)))</f>
        <v/>
      </c>
      <c r="L34">
        <f>IF(D34="","",IF('02_대상물건입력'!$B$8="",0,IF(ISNUMBER(SEARCH('02_대상물건입력'!$B$8,D34)),1,0)))</f>
        <v/>
      </c>
      <c r="M34">
        <f>IFERROR(ABS(E34-'02_대상물건입력'!$B$11)/'02_대상물건입력'!$B$11,"")</f>
        <v/>
      </c>
      <c r="N34">
        <f>IFERROR(ABS('01_설정'!$B$4-F34),"")</f>
        <v/>
      </c>
      <c r="O34">
        <f>IFERROR(ABS(YEAR(I34)-YEAR('02_대상물건입력'!$B$14)),"")</f>
        <v/>
      </c>
      <c r="P34">
        <f>IF(AND(E34&gt;0,F34&gt;0,G34&gt;0,IF('01_설정'!$B$10=1,J34=1,TRUE()),M34&lt;='01_설정'!$B$5,N34&lt;='01_설정'!$B$7,O34&lt;='01_설정'!$B$8),"Y","")</f>
        <v/>
      </c>
      <c r="Q34">
        <f>IF(P34&lt;&gt;"Y","",MAX(0,(1-M34/'01_설정'!$B$5))*'01_설정'!$B$14+MAX(0,(1-N34/'01_설정'!$B$7))*'01_설정'!$B$16+MAX(0,(1-O34/'01_설정'!$B$8))*'01_설정'!$B$17+K34*'01_설정'!$B$11+L34*'01_설정'!$B$12)</f>
        <v/>
      </c>
      <c r="R34">
        <f>IF(Q34="","",1+COUNTIFS($Q$31:$Q$1030,"&gt;"&amp;Q34)+COUNTIFS($Q$31:Q34,Q34)-1)</f>
        <v/>
      </c>
    </row>
    <row r="35" hidden="1" ht="16.5" customHeight="1">
      <c r="A35">
        <f>IF(COUNTA('05_KAIS'!$A8:$N8)=0,"",8)</f>
        <v/>
      </c>
      <c r="B35">
        <f>IF($A35="","",TRIM(INDEX('05_KAIS'!$B:$B,$A35)&amp;" "&amp;INDEX('05_KAIS'!$C:$C,$A35)))</f>
        <v/>
      </c>
      <c r="C35">
        <f>IF($A35="","",INDEX('05_KAIS'!$D:$D,$A35))</f>
        <v/>
      </c>
      <c r="D35">
        <f>IF($A35="","",INDEX('05_KAIS'!$H:$H,$A35))</f>
        <v/>
      </c>
      <c r="E35">
        <f>IF($A35="","",INDEX('05_KAIS'!$K:$K,$A35))</f>
        <v/>
      </c>
      <c r="F35" s="202">
        <f>IF($A35="","",INDEX('05_KAIS'!$I:$I,$A35))</f>
        <v/>
      </c>
      <c r="G35" s="118">
        <f>IF($A35="","",INDEX('05_KAIS'!$L:$L,$A35))</f>
        <v/>
      </c>
      <c r="H35" s="118">
        <f>IF($A35="","",IFERROR(INDEX('05_KAIS'!$M:$M,$A35),IF(AND(E35&gt;0,G35&gt;0),G35/E35,"")))</f>
        <v/>
      </c>
      <c r="I35" s="202">
        <f>IF($A35="","",INDEX('05_KAIS'!$N:$N,$A35))</f>
        <v/>
      </c>
      <c r="J35">
        <f>IF(B35="","",IF('02_대상물건입력'!$B$5="",1,IF(ISNUMBER(SEARCH('02_대상물건입력'!$B$5,B35)),1,0)))</f>
        <v/>
      </c>
      <c r="K35">
        <f>IF(B35="","",IF('02_대상물건입력'!$B$6="",1,IF(ISNUMBER(SEARCH('02_대상물건입력'!$B$6,B35)),1,0)))</f>
        <v/>
      </c>
      <c r="L35">
        <f>IF(D35="","",IF('02_대상물건입력'!$B$8="",0,IF(ISNUMBER(SEARCH('02_대상물건입력'!$B$8,D35)),1,0)))</f>
        <v/>
      </c>
      <c r="M35">
        <f>IFERROR(ABS(E35-'02_대상물건입력'!$B$11)/'02_대상물건입력'!$B$11,"")</f>
        <v/>
      </c>
      <c r="N35">
        <f>IFERROR(ABS('01_설정'!$B$4-F35),"")</f>
        <v/>
      </c>
      <c r="O35">
        <f>IFERROR(ABS(YEAR(I35)-YEAR('02_대상물건입력'!$B$14)),"")</f>
        <v/>
      </c>
      <c r="P35">
        <f>IF(AND(E35&gt;0,F35&gt;0,G35&gt;0,IF('01_설정'!$B$10=1,J35=1,TRUE()),M35&lt;='01_설정'!$B$5,N35&lt;='01_설정'!$B$7,O35&lt;='01_설정'!$B$8),"Y","")</f>
        <v/>
      </c>
      <c r="Q35">
        <f>IF(P35&lt;&gt;"Y","",MAX(0,(1-M35/'01_설정'!$B$5))*'01_설정'!$B$14+MAX(0,(1-N35/'01_설정'!$B$7))*'01_설정'!$B$16+MAX(0,(1-O35/'01_설정'!$B$8))*'01_설정'!$B$17+K35*'01_설정'!$B$11+L35*'01_설정'!$B$12)</f>
        <v/>
      </c>
      <c r="R35">
        <f>IF(Q35="","",1+COUNTIFS($Q$31:$Q$1030,"&gt;"&amp;Q35)+COUNTIFS($Q$31:Q35,Q35)-1)</f>
        <v/>
      </c>
    </row>
    <row r="36" hidden="1" ht="16.5" customHeight="1">
      <c r="A36">
        <f>IF(COUNTA('05_KAIS'!$A9:$N9)=0,"",9)</f>
        <v/>
      </c>
      <c r="B36">
        <f>IF($A36="","",TRIM(INDEX('05_KAIS'!$B:$B,$A36)&amp;" "&amp;INDEX('05_KAIS'!$C:$C,$A36)))</f>
        <v/>
      </c>
      <c r="C36">
        <f>IF($A36="","",INDEX('05_KAIS'!$D:$D,$A36))</f>
        <v/>
      </c>
      <c r="D36">
        <f>IF($A36="","",INDEX('05_KAIS'!$H:$H,$A36))</f>
        <v/>
      </c>
      <c r="E36">
        <f>IF($A36="","",INDEX('05_KAIS'!$K:$K,$A36))</f>
        <v/>
      </c>
      <c r="F36" s="202">
        <f>IF($A36="","",INDEX('05_KAIS'!$I:$I,$A36))</f>
        <v/>
      </c>
      <c r="G36" s="118">
        <f>IF($A36="","",INDEX('05_KAIS'!$L:$L,$A36))</f>
        <v/>
      </c>
      <c r="H36" s="118">
        <f>IF($A36="","",IFERROR(INDEX('05_KAIS'!$M:$M,$A36),IF(AND(E36&gt;0,G36&gt;0),G36/E36,"")))</f>
        <v/>
      </c>
      <c r="I36" s="202">
        <f>IF($A36="","",INDEX('05_KAIS'!$N:$N,$A36))</f>
        <v/>
      </c>
      <c r="J36">
        <f>IF(B36="","",IF('02_대상물건입력'!$B$5="",1,IF(ISNUMBER(SEARCH('02_대상물건입력'!$B$5,B36)),1,0)))</f>
        <v/>
      </c>
      <c r="K36">
        <f>IF(B36="","",IF('02_대상물건입력'!$B$6="",1,IF(ISNUMBER(SEARCH('02_대상물건입력'!$B$6,B36)),1,0)))</f>
        <v/>
      </c>
      <c r="L36">
        <f>IF(D36="","",IF('02_대상물건입력'!$B$8="",0,IF(ISNUMBER(SEARCH('02_대상물건입력'!$B$8,D36)),1,0)))</f>
        <v/>
      </c>
      <c r="M36">
        <f>IFERROR(ABS(E36-'02_대상물건입력'!$B$11)/'02_대상물건입력'!$B$11,"")</f>
        <v/>
      </c>
      <c r="N36">
        <f>IFERROR(ABS('01_설정'!$B$4-F36),"")</f>
        <v/>
      </c>
      <c r="O36">
        <f>IFERROR(ABS(YEAR(I36)-YEAR('02_대상물건입력'!$B$14)),"")</f>
        <v/>
      </c>
      <c r="P36">
        <f>IF(AND(E36&gt;0,F36&gt;0,G36&gt;0,IF('01_설정'!$B$10=1,J36=1,TRUE()),M36&lt;='01_설정'!$B$5,N36&lt;='01_설정'!$B$7,O36&lt;='01_설정'!$B$8),"Y","")</f>
        <v/>
      </c>
      <c r="Q36">
        <f>IF(P36&lt;&gt;"Y","",MAX(0,(1-M36/'01_설정'!$B$5))*'01_설정'!$B$14+MAX(0,(1-N36/'01_설정'!$B$7))*'01_설정'!$B$16+MAX(0,(1-O36/'01_설정'!$B$8))*'01_설정'!$B$17+K36*'01_설정'!$B$11+L36*'01_설정'!$B$12)</f>
        <v/>
      </c>
      <c r="R36">
        <f>IF(Q36="","",1+COUNTIFS($Q$31:$Q$1030,"&gt;"&amp;Q36)+COUNTIFS($Q$31:Q36,Q36)-1)</f>
        <v/>
      </c>
    </row>
    <row r="37" hidden="1" ht="16.5" customHeight="1">
      <c r="A37">
        <f>IF(COUNTA('05_KAIS'!$A10:$N10)=0,"",10)</f>
        <v/>
      </c>
      <c r="B37">
        <f>IF($A37="","",TRIM(INDEX('05_KAIS'!$B:$B,$A37)&amp;" "&amp;INDEX('05_KAIS'!$C:$C,$A37)))</f>
        <v/>
      </c>
      <c r="C37">
        <f>IF($A37="","",INDEX('05_KAIS'!$D:$D,$A37))</f>
        <v/>
      </c>
      <c r="D37">
        <f>IF($A37="","",INDEX('05_KAIS'!$H:$H,$A37))</f>
        <v/>
      </c>
      <c r="E37">
        <f>IF($A37="","",INDEX('05_KAIS'!$K:$K,$A37))</f>
        <v/>
      </c>
      <c r="F37" s="202">
        <f>IF($A37="","",INDEX('05_KAIS'!$I:$I,$A37))</f>
        <v/>
      </c>
      <c r="G37" s="118">
        <f>IF($A37="","",INDEX('05_KAIS'!$L:$L,$A37))</f>
        <v/>
      </c>
      <c r="H37" s="118">
        <f>IF($A37="","",IFERROR(INDEX('05_KAIS'!$M:$M,$A37),IF(AND(E37&gt;0,G37&gt;0),G37/E37,"")))</f>
        <v/>
      </c>
      <c r="I37" s="202">
        <f>IF($A37="","",INDEX('05_KAIS'!$N:$N,$A37))</f>
        <v/>
      </c>
      <c r="J37">
        <f>IF(B37="","",IF('02_대상물건입력'!$B$5="",1,IF(ISNUMBER(SEARCH('02_대상물건입력'!$B$5,B37)),1,0)))</f>
        <v/>
      </c>
      <c r="K37">
        <f>IF(B37="","",IF('02_대상물건입력'!$B$6="",1,IF(ISNUMBER(SEARCH('02_대상물건입력'!$B$6,B37)),1,0)))</f>
        <v/>
      </c>
      <c r="L37">
        <f>IF(D37="","",IF('02_대상물건입력'!$B$8="",0,IF(ISNUMBER(SEARCH('02_대상물건입력'!$B$8,D37)),1,0)))</f>
        <v/>
      </c>
      <c r="M37">
        <f>IFERROR(ABS(E37-'02_대상물건입력'!$B$11)/'02_대상물건입력'!$B$11,"")</f>
        <v/>
      </c>
      <c r="N37">
        <f>IFERROR(ABS('01_설정'!$B$4-F37),"")</f>
        <v/>
      </c>
      <c r="O37">
        <f>IFERROR(ABS(YEAR(I37)-YEAR('02_대상물건입력'!$B$14)),"")</f>
        <v/>
      </c>
      <c r="P37">
        <f>IF(AND(E37&gt;0,F37&gt;0,G37&gt;0,IF('01_설정'!$B$10=1,J37=1,TRUE()),M37&lt;='01_설정'!$B$5,N37&lt;='01_설정'!$B$7,O37&lt;='01_설정'!$B$8),"Y","")</f>
        <v/>
      </c>
      <c r="Q37">
        <f>IF(P37&lt;&gt;"Y","",MAX(0,(1-M37/'01_설정'!$B$5))*'01_설정'!$B$14+MAX(0,(1-N37/'01_설정'!$B$7))*'01_설정'!$B$16+MAX(0,(1-O37/'01_설정'!$B$8))*'01_설정'!$B$17+K37*'01_설정'!$B$11+L37*'01_설정'!$B$12)</f>
        <v/>
      </c>
      <c r="R37">
        <f>IF(Q37="","",1+COUNTIFS($Q$31:$Q$1030,"&gt;"&amp;Q37)+COUNTIFS($Q$31:Q37,Q37)-1)</f>
        <v/>
      </c>
    </row>
    <row r="38" hidden="1" ht="16.5" customHeight="1">
      <c r="A38">
        <f>IF(COUNTA('05_KAIS'!$A11:$N11)=0,"",11)</f>
        <v/>
      </c>
      <c r="B38">
        <f>IF($A38="","",TRIM(INDEX('05_KAIS'!$B:$B,$A38)&amp;" "&amp;INDEX('05_KAIS'!$C:$C,$A38)))</f>
        <v/>
      </c>
      <c r="C38">
        <f>IF($A38="","",INDEX('05_KAIS'!$D:$D,$A38))</f>
        <v/>
      </c>
      <c r="D38">
        <f>IF($A38="","",INDEX('05_KAIS'!$H:$H,$A38))</f>
        <v/>
      </c>
      <c r="E38">
        <f>IF($A38="","",INDEX('05_KAIS'!$K:$K,$A38))</f>
        <v/>
      </c>
      <c r="F38" s="202">
        <f>IF($A38="","",INDEX('05_KAIS'!$I:$I,$A38))</f>
        <v/>
      </c>
      <c r="G38" s="118">
        <f>IF($A38="","",INDEX('05_KAIS'!$L:$L,$A38))</f>
        <v/>
      </c>
      <c r="H38" s="118">
        <f>IF($A38="","",IFERROR(INDEX('05_KAIS'!$M:$M,$A38),IF(AND(E38&gt;0,G38&gt;0),G38/E38,"")))</f>
        <v/>
      </c>
      <c r="I38" s="202">
        <f>IF($A38="","",INDEX('05_KAIS'!$N:$N,$A38))</f>
        <v/>
      </c>
      <c r="J38">
        <f>IF(B38="","",IF('02_대상물건입력'!$B$5="",1,IF(ISNUMBER(SEARCH('02_대상물건입력'!$B$5,B38)),1,0)))</f>
        <v/>
      </c>
      <c r="K38">
        <f>IF(B38="","",IF('02_대상물건입력'!$B$6="",1,IF(ISNUMBER(SEARCH('02_대상물건입력'!$B$6,B38)),1,0)))</f>
        <v/>
      </c>
      <c r="L38">
        <f>IF(D38="","",IF('02_대상물건입력'!$B$8="",0,IF(ISNUMBER(SEARCH('02_대상물건입력'!$B$8,D38)),1,0)))</f>
        <v/>
      </c>
      <c r="M38">
        <f>IFERROR(ABS(E38-'02_대상물건입력'!$B$11)/'02_대상물건입력'!$B$11,"")</f>
        <v/>
      </c>
      <c r="N38">
        <f>IFERROR(ABS('01_설정'!$B$4-F38),"")</f>
        <v/>
      </c>
      <c r="O38">
        <f>IFERROR(ABS(YEAR(I38)-YEAR('02_대상물건입력'!$B$14)),"")</f>
        <v/>
      </c>
      <c r="P38">
        <f>IF(AND(E38&gt;0,F38&gt;0,G38&gt;0,IF('01_설정'!$B$10=1,J38=1,TRUE()),M38&lt;='01_설정'!$B$5,N38&lt;='01_설정'!$B$7,O38&lt;='01_설정'!$B$8),"Y","")</f>
        <v/>
      </c>
      <c r="Q38">
        <f>IF(P38&lt;&gt;"Y","",MAX(0,(1-M38/'01_설정'!$B$5))*'01_설정'!$B$14+MAX(0,(1-N38/'01_설정'!$B$7))*'01_설정'!$B$16+MAX(0,(1-O38/'01_설정'!$B$8))*'01_설정'!$B$17+K38*'01_설정'!$B$11+L38*'01_설정'!$B$12)</f>
        <v/>
      </c>
      <c r="R38">
        <f>IF(Q38="","",1+COUNTIFS($Q$31:$Q$1030,"&gt;"&amp;Q38)+COUNTIFS($Q$31:Q38,Q38)-1)</f>
        <v/>
      </c>
    </row>
    <row r="39" hidden="1" ht="16.5" customHeight="1">
      <c r="A39">
        <f>IF(COUNTA('05_KAIS'!$A12:$N12)=0,"",12)</f>
        <v/>
      </c>
      <c r="B39">
        <f>IF($A39="","",TRIM(INDEX('05_KAIS'!$B:$B,$A39)&amp;" "&amp;INDEX('05_KAIS'!$C:$C,$A39)))</f>
        <v/>
      </c>
      <c r="C39">
        <f>IF($A39="","",INDEX('05_KAIS'!$D:$D,$A39))</f>
        <v/>
      </c>
      <c r="D39">
        <f>IF($A39="","",INDEX('05_KAIS'!$H:$H,$A39))</f>
        <v/>
      </c>
      <c r="E39">
        <f>IF($A39="","",INDEX('05_KAIS'!$K:$K,$A39))</f>
        <v/>
      </c>
      <c r="F39" s="202">
        <f>IF($A39="","",INDEX('05_KAIS'!$I:$I,$A39))</f>
        <v/>
      </c>
      <c r="G39" s="118">
        <f>IF($A39="","",INDEX('05_KAIS'!$L:$L,$A39))</f>
        <v/>
      </c>
      <c r="H39" s="118">
        <f>IF($A39="","",IFERROR(INDEX('05_KAIS'!$M:$M,$A39),IF(AND(E39&gt;0,G39&gt;0),G39/E39,"")))</f>
        <v/>
      </c>
      <c r="I39" s="202">
        <f>IF($A39="","",INDEX('05_KAIS'!$N:$N,$A39))</f>
        <v/>
      </c>
      <c r="J39">
        <f>IF(B39="","",IF('02_대상물건입력'!$B$5="",1,IF(ISNUMBER(SEARCH('02_대상물건입력'!$B$5,B39)),1,0)))</f>
        <v/>
      </c>
      <c r="K39">
        <f>IF(B39="","",IF('02_대상물건입력'!$B$6="",1,IF(ISNUMBER(SEARCH('02_대상물건입력'!$B$6,B39)),1,0)))</f>
        <v/>
      </c>
      <c r="L39">
        <f>IF(D39="","",IF('02_대상물건입력'!$B$8="",0,IF(ISNUMBER(SEARCH('02_대상물건입력'!$B$8,D39)),1,0)))</f>
        <v/>
      </c>
      <c r="M39">
        <f>IFERROR(ABS(E39-'02_대상물건입력'!$B$11)/'02_대상물건입력'!$B$11,"")</f>
        <v/>
      </c>
      <c r="N39">
        <f>IFERROR(ABS('01_설정'!$B$4-F39),"")</f>
        <v/>
      </c>
      <c r="O39">
        <f>IFERROR(ABS(YEAR(I39)-YEAR('02_대상물건입력'!$B$14)),"")</f>
        <v/>
      </c>
      <c r="P39">
        <f>IF(AND(E39&gt;0,F39&gt;0,G39&gt;0,IF('01_설정'!$B$10=1,J39=1,TRUE()),M39&lt;='01_설정'!$B$5,N39&lt;='01_설정'!$B$7,O39&lt;='01_설정'!$B$8),"Y","")</f>
        <v/>
      </c>
      <c r="Q39">
        <f>IF(P39&lt;&gt;"Y","",MAX(0,(1-M39/'01_설정'!$B$5))*'01_설정'!$B$14+MAX(0,(1-N39/'01_설정'!$B$7))*'01_설정'!$B$16+MAX(0,(1-O39/'01_설정'!$B$8))*'01_설정'!$B$17+K39*'01_설정'!$B$11+L39*'01_설정'!$B$12)</f>
        <v/>
      </c>
      <c r="R39">
        <f>IF(Q39="","",1+COUNTIFS($Q$31:$Q$1030,"&gt;"&amp;Q39)+COUNTIFS($Q$31:Q39,Q39)-1)</f>
        <v/>
      </c>
    </row>
    <row r="40" hidden="1" ht="16.5" customHeight="1">
      <c r="A40">
        <f>IF(COUNTA('05_KAIS'!$A13:$N13)=0,"",13)</f>
        <v/>
      </c>
      <c r="B40">
        <f>IF($A40="","",TRIM(INDEX('05_KAIS'!$B:$B,$A40)&amp;" "&amp;INDEX('05_KAIS'!$C:$C,$A40)))</f>
        <v/>
      </c>
      <c r="C40">
        <f>IF($A40="","",INDEX('05_KAIS'!$D:$D,$A40))</f>
        <v/>
      </c>
      <c r="D40">
        <f>IF($A40="","",INDEX('05_KAIS'!$H:$H,$A40))</f>
        <v/>
      </c>
      <c r="E40">
        <f>IF($A40="","",INDEX('05_KAIS'!$K:$K,$A40))</f>
        <v/>
      </c>
      <c r="F40" s="202">
        <f>IF($A40="","",INDEX('05_KAIS'!$I:$I,$A40))</f>
        <v/>
      </c>
      <c r="G40" s="118">
        <f>IF($A40="","",INDEX('05_KAIS'!$L:$L,$A40))</f>
        <v/>
      </c>
      <c r="H40" s="118">
        <f>IF($A40="","",IFERROR(INDEX('05_KAIS'!$M:$M,$A40),IF(AND(E40&gt;0,G40&gt;0),G40/E40,"")))</f>
        <v/>
      </c>
      <c r="I40" s="202">
        <f>IF($A40="","",INDEX('05_KAIS'!$N:$N,$A40))</f>
        <v/>
      </c>
      <c r="J40">
        <f>IF(B40="","",IF('02_대상물건입력'!$B$5="",1,IF(ISNUMBER(SEARCH('02_대상물건입력'!$B$5,B40)),1,0)))</f>
        <v/>
      </c>
      <c r="K40">
        <f>IF(B40="","",IF('02_대상물건입력'!$B$6="",1,IF(ISNUMBER(SEARCH('02_대상물건입력'!$B$6,B40)),1,0)))</f>
        <v/>
      </c>
      <c r="L40">
        <f>IF(D40="","",IF('02_대상물건입력'!$B$8="",0,IF(ISNUMBER(SEARCH('02_대상물건입력'!$B$8,D40)),1,0)))</f>
        <v/>
      </c>
      <c r="M40">
        <f>IFERROR(ABS(E40-'02_대상물건입력'!$B$11)/'02_대상물건입력'!$B$11,"")</f>
        <v/>
      </c>
      <c r="N40">
        <f>IFERROR(ABS('01_설정'!$B$4-F40),"")</f>
        <v/>
      </c>
      <c r="O40">
        <f>IFERROR(ABS(YEAR(I40)-YEAR('02_대상물건입력'!$B$14)),"")</f>
        <v/>
      </c>
      <c r="P40">
        <f>IF(AND(E40&gt;0,F40&gt;0,G40&gt;0,IF('01_설정'!$B$10=1,J40=1,TRUE()),M40&lt;='01_설정'!$B$5,N40&lt;='01_설정'!$B$7,O40&lt;='01_설정'!$B$8),"Y","")</f>
        <v/>
      </c>
      <c r="Q40">
        <f>IF(P40&lt;&gt;"Y","",MAX(0,(1-M40/'01_설정'!$B$5))*'01_설정'!$B$14+MAX(0,(1-N40/'01_설정'!$B$7))*'01_설정'!$B$16+MAX(0,(1-O40/'01_설정'!$B$8))*'01_설정'!$B$17+K40*'01_설정'!$B$11+L40*'01_설정'!$B$12)</f>
        <v/>
      </c>
      <c r="R40">
        <f>IF(Q40="","",1+COUNTIFS($Q$31:$Q$1030,"&gt;"&amp;Q40)+COUNTIFS($Q$31:Q40,Q40)-1)</f>
        <v/>
      </c>
    </row>
    <row r="41" hidden="1" ht="16.5" customHeight="1">
      <c r="A41">
        <f>IF(COUNTA('05_KAIS'!$A14:$N14)=0,"",14)</f>
        <v/>
      </c>
      <c r="B41">
        <f>IF($A41="","",TRIM(INDEX('05_KAIS'!$B:$B,$A41)&amp;" "&amp;INDEX('05_KAIS'!$C:$C,$A41)))</f>
        <v/>
      </c>
      <c r="C41">
        <f>IF($A41="","",INDEX('05_KAIS'!$D:$D,$A41))</f>
        <v/>
      </c>
      <c r="D41">
        <f>IF($A41="","",INDEX('05_KAIS'!$H:$H,$A41))</f>
        <v/>
      </c>
      <c r="E41">
        <f>IF($A41="","",INDEX('05_KAIS'!$K:$K,$A41))</f>
        <v/>
      </c>
      <c r="F41" s="202">
        <f>IF($A41="","",INDEX('05_KAIS'!$I:$I,$A41))</f>
        <v/>
      </c>
      <c r="G41" s="118">
        <f>IF($A41="","",INDEX('05_KAIS'!$L:$L,$A41))</f>
        <v/>
      </c>
      <c r="H41" s="118">
        <f>IF($A41="","",IFERROR(INDEX('05_KAIS'!$M:$M,$A41),IF(AND(E41&gt;0,G41&gt;0),G41/E41,"")))</f>
        <v/>
      </c>
      <c r="I41" s="202">
        <f>IF($A41="","",INDEX('05_KAIS'!$N:$N,$A41))</f>
        <v/>
      </c>
      <c r="J41">
        <f>IF(B41="","",IF('02_대상물건입력'!$B$5="",1,IF(ISNUMBER(SEARCH('02_대상물건입력'!$B$5,B41)),1,0)))</f>
        <v/>
      </c>
      <c r="K41">
        <f>IF(B41="","",IF('02_대상물건입력'!$B$6="",1,IF(ISNUMBER(SEARCH('02_대상물건입력'!$B$6,B41)),1,0)))</f>
        <v/>
      </c>
      <c r="L41">
        <f>IF(D41="","",IF('02_대상물건입력'!$B$8="",0,IF(ISNUMBER(SEARCH('02_대상물건입력'!$B$8,D41)),1,0)))</f>
        <v/>
      </c>
      <c r="M41">
        <f>IFERROR(ABS(E41-'02_대상물건입력'!$B$11)/'02_대상물건입력'!$B$11,"")</f>
        <v/>
      </c>
      <c r="N41">
        <f>IFERROR(ABS('01_설정'!$B$4-F41),"")</f>
        <v/>
      </c>
      <c r="O41">
        <f>IFERROR(ABS(YEAR(I41)-YEAR('02_대상물건입력'!$B$14)),"")</f>
        <v/>
      </c>
      <c r="P41">
        <f>IF(AND(E41&gt;0,F41&gt;0,G41&gt;0,IF('01_설정'!$B$10=1,J41=1,TRUE()),M41&lt;='01_설정'!$B$5,N41&lt;='01_설정'!$B$7,O41&lt;='01_설정'!$B$8),"Y","")</f>
        <v/>
      </c>
      <c r="Q41">
        <f>IF(P41&lt;&gt;"Y","",MAX(0,(1-M41/'01_설정'!$B$5))*'01_설정'!$B$14+MAX(0,(1-N41/'01_설정'!$B$7))*'01_설정'!$B$16+MAX(0,(1-O41/'01_설정'!$B$8))*'01_설정'!$B$17+K41*'01_설정'!$B$11+L41*'01_설정'!$B$12)</f>
        <v/>
      </c>
      <c r="R41">
        <f>IF(Q41="","",1+COUNTIFS($Q$31:$Q$1030,"&gt;"&amp;Q41)+COUNTIFS($Q$31:Q41,Q41)-1)</f>
        <v/>
      </c>
    </row>
    <row r="42" hidden="1" ht="16.5" customHeight="1">
      <c r="A42">
        <f>IF(COUNTA('05_KAIS'!$A15:$N15)=0,"",15)</f>
        <v/>
      </c>
      <c r="B42">
        <f>IF($A42="","",TRIM(INDEX('05_KAIS'!$B:$B,$A42)&amp;" "&amp;INDEX('05_KAIS'!$C:$C,$A42)))</f>
        <v/>
      </c>
      <c r="C42">
        <f>IF($A42="","",INDEX('05_KAIS'!$D:$D,$A42))</f>
        <v/>
      </c>
      <c r="D42">
        <f>IF($A42="","",INDEX('05_KAIS'!$H:$H,$A42))</f>
        <v/>
      </c>
      <c r="E42">
        <f>IF($A42="","",INDEX('05_KAIS'!$K:$K,$A42))</f>
        <v/>
      </c>
      <c r="F42" s="202">
        <f>IF($A42="","",INDEX('05_KAIS'!$I:$I,$A42))</f>
        <v/>
      </c>
      <c r="G42" s="118">
        <f>IF($A42="","",INDEX('05_KAIS'!$L:$L,$A42))</f>
        <v/>
      </c>
      <c r="H42" s="118">
        <f>IF($A42="","",IFERROR(INDEX('05_KAIS'!$M:$M,$A42),IF(AND(E42&gt;0,G42&gt;0),G42/E42,"")))</f>
        <v/>
      </c>
      <c r="I42" s="202">
        <f>IF($A42="","",INDEX('05_KAIS'!$N:$N,$A42))</f>
        <v/>
      </c>
      <c r="J42">
        <f>IF(B42="","",IF('02_대상물건입력'!$B$5="",1,IF(ISNUMBER(SEARCH('02_대상물건입력'!$B$5,B42)),1,0)))</f>
        <v/>
      </c>
      <c r="K42">
        <f>IF(B42="","",IF('02_대상물건입력'!$B$6="",1,IF(ISNUMBER(SEARCH('02_대상물건입력'!$B$6,B42)),1,0)))</f>
        <v/>
      </c>
      <c r="L42">
        <f>IF(D42="","",IF('02_대상물건입력'!$B$8="",0,IF(ISNUMBER(SEARCH('02_대상물건입력'!$B$8,D42)),1,0)))</f>
        <v/>
      </c>
      <c r="M42">
        <f>IFERROR(ABS(E42-'02_대상물건입력'!$B$11)/'02_대상물건입력'!$B$11,"")</f>
        <v/>
      </c>
      <c r="N42">
        <f>IFERROR(ABS('01_설정'!$B$4-F42),"")</f>
        <v/>
      </c>
      <c r="O42">
        <f>IFERROR(ABS(YEAR(I42)-YEAR('02_대상물건입력'!$B$14)),"")</f>
        <v/>
      </c>
      <c r="P42">
        <f>IF(AND(E42&gt;0,F42&gt;0,G42&gt;0,IF('01_설정'!$B$10=1,J42=1,TRUE()),M42&lt;='01_설정'!$B$5,N42&lt;='01_설정'!$B$7,O42&lt;='01_설정'!$B$8),"Y","")</f>
        <v/>
      </c>
      <c r="Q42">
        <f>IF(P42&lt;&gt;"Y","",MAX(0,(1-M42/'01_설정'!$B$5))*'01_설정'!$B$14+MAX(0,(1-N42/'01_설정'!$B$7))*'01_설정'!$B$16+MAX(0,(1-O42/'01_설정'!$B$8))*'01_설정'!$B$17+K42*'01_설정'!$B$11+L42*'01_설정'!$B$12)</f>
        <v/>
      </c>
      <c r="R42">
        <f>IF(Q42="","",1+COUNTIFS($Q$31:$Q$1030,"&gt;"&amp;Q42)+COUNTIFS($Q$31:Q42,Q42)-1)</f>
        <v/>
      </c>
    </row>
    <row r="43" hidden="1" ht="16.5" customHeight="1">
      <c r="A43">
        <f>IF(COUNTA('05_KAIS'!$A16:$N16)=0,"",16)</f>
        <v/>
      </c>
      <c r="B43">
        <f>IF($A43="","",TRIM(INDEX('05_KAIS'!$B:$B,$A43)&amp;" "&amp;INDEX('05_KAIS'!$C:$C,$A43)))</f>
        <v/>
      </c>
      <c r="C43">
        <f>IF($A43="","",INDEX('05_KAIS'!$D:$D,$A43))</f>
        <v/>
      </c>
      <c r="D43">
        <f>IF($A43="","",INDEX('05_KAIS'!$H:$H,$A43))</f>
        <v/>
      </c>
      <c r="E43">
        <f>IF($A43="","",INDEX('05_KAIS'!$K:$K,$A43))</f>
        <v/>
      </c>
      <c r="F43" s="202">
        <f>IF($A43="","",INDEX('05_KAIS'!$I:$I,$A43))</f>
        <v/>
      </c>
      <c r="G43" s="118">
        <f>IF($A43="","",INDEX('05_KAIS'!$L:$L,$A43))</f>
        <v/>
      </c>
      <c r="H43" s="118">
        <f>IF($A43="","",IFERROR(INDEX('05_KAIS'!$M:$M,$A43),IF(AND(E43&gt;0,G43&gt;0),G43/E43,"")))</f>
        <v/>
      </c>
      <c r="I43" s="202">
        <f>IF($A43="","",INDEX('05_KAIS'!$N:$N,$A43))</f>
        <v/>
      </c>
      <c r="J43">
        <f>IF(B43="","",IF('02_대상물건입력'!$B$5="",1,IF(ISNUMBER(SEARCH('02_대상물건입력'!$B$5,B43)),1,0)))</f>
        <v/>
      </c>
      <c r="K43">
        <f>IF(B43="","",IF('02_대상물건입력'!$B$6="",1,IF(ISNUMBER(SEARCH('02_대상물건입력'!$B$6,B43)),1,0)))</f>
        <v/>
      </c>
      <c r="L43">
        <f>IF(D43="","",IF('02_대상물건입력'!$B$8="",0,IF(ISNUMBER(SEARCH('02_대상물건입력'!$B$8,D43)),1,0)))</f>
        <v/>
      </c>
      <c r="M43">
        <f>IFERROR(ABS(E43-'02_대상물건입력'!$B$11)/'02_대상물건입력'!$B$11,"")</f>
        <v/>
      </c>
      <c r="N43">
        <f>IFERROR(ABS('01_설정'!$B$4-F43),"")</f>
        <v/>
      </c>
      <c r="O43">
        <f>IFERROR(ABS(YEAR(I43)-YEAR('02_대상물건입력'!$B$14)),"")</f>
        <v/>
      </c>
      <c r="P43">
        <f>IF(AND(E43&gt;0,F43&gt;0,G43&gt;0,IF('01_설정'!$B$10=1,J43=1,TRUE()),M43&lt;='01_설정'!$B$5,N43&lt;='01_설정'!$B$7,O43&lt;='01_설정'!$B$8),"Y","")</f>
        <v/>
      </c>
      <c r="Q43">
        <f>IF(P43&lt;&gt;"Y","",MAX(0,(1-M43/'01_설정'!$B$5))*'01_설정'!$B$14+MAX(0,(1-N43/'01_설정'!$B$7))*'01_설정'!$B$16+MAX(0,(1-O43/'01_설정'!$B$8))*'01_설정'!$B$17+K43*'01_설정'!$B$11+L43*'01_설정'!$B$12)</f>
        <v/>
      </c>
      <c r="R43">
        <f>IF(Q43="","",1+COUNTIFS($Q$31:$Q$1030,"&gt;"&amp;Q43)+COUNTIFS($Q$31:Q43,Q43)-1)</f>
        <v/>
      </c>
    </row>
    <row r="44" hidden="1" ht="16.5" customHeight="1">
      <c r="A44">
        <f>IF(COUNTA('05_KAIS'!$A17:$N17)=0,"",17)</f>
        <v/>
      </c>
      <c r="B44">
        <f>IF($A44="","",TRIM(INDEX('05_KAIS'!$B:$B,$A44)&amp;" "&amp;INDEX('05_KAIS'!$C:$C,$A44)))</f>
        <v/>
      </c>
      <c r="C44">
        <f>IF($A44="","",INDEX('05_KAIS'!$D:$D,$A44))</f>
        <v/>
      </c>
      <c r="D44">
        <f>IF($A44="","",INDEX('05_KAIS'!$H:$H,$A44))</f>
        <v/>
      </c>
      <c r="E44">
        <f>IF($A44="","",INDEX('05_KAIS'!$K:$K,$A44))</f>
        <v/>
      </c>
      <c r="F44" s="202">
        <f>IF($A44="","",INDEX('05_KAIS'!$I:$I,$A44))</f>
        <v/>
      </c>
      <c r="G44" s="118">
        <f>IF($A44="","",INDEX('05_KAIS'!$L:$L,$A44))</f>
        <v/>
      </c>
      <c r="H44" s="118">
        <f>IF($A44="","",IFERROR(INDEX('05_KAIS'!$M:$M,$A44),IF(AND(E44&gt;0,G44&gt;0),G44/E44,"")))</f>
        <v/>
      </c>
      <c r="I44" s="202">
        <f>IF($A44="","",INDEX('05_KAIS'!$N:$N,$A44))</f>
        <v/>
      </c>
      <c r="J44">
        <f>IF(B44="","",IF('02_대상물건입력'!$B$5="",1,IF(ISNUMBER(SEARCH('02_대상물건입력'!$B$5,B44)),1,0)))</f>
        <v/>
      </c>
      <c r="K44">
        <f>IF(B44="","",IF('02_대상물건입력'!$B$6="",1,IF(ISNUMBER(SEARCH('02_대상물건입력'!$B$6,B44)),1,0)))</f>
        <v/>
      </c>
      <c r="L44">
        <f>IF(D44="","",IF('02_대상물건입력'!$B$8="",0,IF(ISNUMBER(SEARCH('02_대상물건입력'!$B$8,D44)),1,0)))</f>
        <v/>
      </c>
      <c r="M44">
        <f>IFERROR(ABS(E44-'02_대상물건입력'!$B$11)/'02_대상물건입력'!$B$11,"")</f>
        <v/>
      </c>
      <c r="N44">
        <f>IFERROR(ABS('01_설정'!$B$4-F44),"")</f>
        <v/>
      </c>
      <c r="O44">
        <f>IFERROR(ABS(YEAR(I44)-YEAR('02_대상물건입력'!$B$14)),"")</f>
        <v/>
      </c>
      <c r="P44">
        <f>IF(AND(E44&gt;0,F44&gt;0,G44&gt;0,IF('01_설정'!$B$10=1,J44=1,TRUE()),M44&lt;='01_설정'!$B$5,N44&lt;='01_설정'!$B$7,O44&lt;='01_설정'!$B$8),"Y","")</f>
        <v/>
      </c>
      <c r="Q44">
        <f>IF(P44&lt;&gt;"Y","",MAX(0,(1-M44/'01_설정'!$B$5))*'01_설정'!$B$14+MAX(0,(1-N44/'01_설정'!$B$7))*'01_설정'!$B$16+MAX(0,(1-O44/'01_설정'!$B$8))*'01_설정'!$B$17+K44*'01_설정'!$B$11+L44*'01_설정'!$B$12)</f>
        <v/>
      </c>
      <c r="R44">
        <f>IF(Q44="","",1+COUNTIFS($Q$31:$Q$1030,"&gt;"&amp;Q44)+COUNTIFS($Q$31:Q44,Q44)-1)</f>
        <v/>
      </c>
    </row>
    <row r="45" hidden="1" ht="16.5" customHeight="1">
      <c r="A45">
        <f>IF(COUNTA('05_KAIS'!$A19:$N19)=0,"",18)</f>
        <v/>
      </c>
      <c r="B45">
        <f>IF($A45="","",TRIM(INDEX('05_KAIS'!$B:$B,$A45)&amp;" "&amp;INDEX('05_KAIS'!$C:$C,$A45)))</f>
        <v/>
      </c>
      <c r="C45">
        <f>IF($A45="","",INDEX('05_KAIS'!$D:$D,$A45))</f>
        <v/>
      </c>
      <c r="D45">
        <f>IF($A45="","",INDEX('05_KAIS'!$H:$H,$A45))</f>
        <v/>
      </c>
      <c r="E45">
        <f>IF($A45="","",INDEX('05_KAIS'!$K:$K,$A45))</f>
        <v/>
      </c>
      <c r="F45" s="202">
        <f>IF($A45="","",INDEX('05_KAIS'!$I:$I,$A45))</f>
        <v/>
      </c>
      <c r="G45" s="118">
        <f>IF($A45="","",INDEX('05_KAIS'!$L:$L,$A45))</f>
        <v/>
      </c>
      <c r="H45" s="118">
        <f>IF($A45="","",IFERROR(INDEX('05_KAIS'!$M:$M,$A45),IF(AND(E45&gt;0,G45&gt;0),G45/E45,"")))</f>
        <v/>
      </c>
      <c r="I45" s="202">
        <f>IF($A45="","",INDEX('05_KAIS'!$N:$N,$A45))</f>
        <v/>
      </c>
      <c r="J45">
        <f>IF(B45="","",IF('02_대상물건입력'!$B$5="",1,IF(ISNUMBER(SEARCH('02_대상물건입력'!$B$5,B45)),1,0)))</f>
        <v/>
      </c>
      <c r="K45">
        <f>IF(B45="","",IF('02_대상물건입력'!$B$6="",1,IF(ISNUMBER(SEARCH('02_대상물건입력'!$B$6,B45)),1,0)))</f>
        <v/>
      </c>
      <c r="L45">
        <f>IF(D45="","",IF('02_대상물건입력'!$B$8="",0,IF(ISNUMBER(SEARCH('02_대상물건입력'!$B$8,D45)),1,0)))</f>
        <v/>
      </c>
      <c r="M45">
        <f>IFERROR(ABS(E45-'02_대상물건입력'!$B$11)/'02_대상물건입력'!$B$11,"")</f>
        <v/>
      </c>
      <c r="N45">
        <f>IFERROR(ABS('01_설정'!$B$4-F45),"")</f>
        <v/>
      </c>
      <c r="O45">
        <f>IFERROR(ABS(YEAR(I45)-YEAR('02_대상물건입력'!$B$14)),"")</f>
        <v/>
      </c>
      <c r="P45">
        <f>IF(AND(E45&gt;0,F45&gt;0,G45&gt;0,IF('01_설정'!$B$10=1,J45=1,TRUE()),M45&lt;='01_설정'!$B$5,N45&lt;='01_설정'!$B$7,O45&lt;='01_설정'!$B$8),"Y","")</f>
        <v/>
      </c>
      <c r="Q45">
        <f>IF(P45&lt;&gt;"Y","",MAX(0,(1-M45/'01_설정'!$B$5))*'01_설정'!$B$14+MAX(0,(1-N45/'01_설정'!$B$7))*'01_설정'!$B$16+MAX(0,(1-O45/'01_설정'!$B$8))*'01_설정'!$B$17+K45*'01_설정'!$B$11+L45*'01_설정'!$B$12)</f>
        <v/>
      </c>
      <c r="R45">
        <f>IF(Q45="","",1+COUNTIFS($Q$31:$Q$1030,"&gt;"&amp;Q45)+COUNTIFS($Q$31:Q45,Q45)-1)</f>
        <v/>
      </c>
    </row>
    <row r="46" hidden="1" ht="16.5" customHeight="1">
      <c r="A46">
        <f>IF(COUNTA('05_KAIS'!$A20:$N20)=0,"",19)</f>
        <v/>
      </c>
      <c r="B46">
        <f>IF($A46="","",TRIM(INDEX('05_KAIS'!$B:$B,$A46)&amp;" "&amp;INDEX('05_KAIS'!$C:$C,$A46)))</f>
        <v/>
      </c>
      <c r="C46">
        <f>IF($A46="","",INDEX('05_KAIS'!$D:$D,$A46))</f>
        <v/>
      </c>
      <c r="D46">
        <f>IF($A46="","",INDEX('05_KAIS'!$H:$H,$A46))</f>
        <v/>
      </c>
      <c r="E46">
        <f>IF($A46="","",INDEX('05_KAIS'!$K:$K,$A46))</f>
        <v/>
      </c>
      <c r="F46" s="202">
        <f>IF($A46="","",INDEX('05_KAIS'!$I:$I,$A46))</f>
        <v/>
      </c>
      <c r="G46" s="118">
        <f>IF($A46="","",INDEX('05_KAIS'!$L:$L,$A46))</f>
        <v/>
      </c>
      <c r="H46" s="118">
        <f>IF($A46="","",IFERROR(INDEX('05_KAIS'!$M:$M,$A46),IF(AND(E46&gt;0,G46&gt;0),G46/E46,"")))</f>
        <v/>
      </c>
      <c r="I46" s="202">
        <f>IF($A46="","",INDEX('05_KAIS'!$N:$N,$A46))</f>
        <v/>
      </c>
      <c r="J46">
        <f>IF(B46="","",IF('02_대상물건입력'!$B$5="",1,IF(ISNUMBER(SEARCH('02_대상물건입력'!$B$5,B46)),1,0)))</f>
        <v/>
      </c>
      <c r="K46">
        <f>IF(B46="","",IF('02_대상물건입력'!$B$6="",1,IF(ISNUMBER(SEARCH('02_대상물건입력'!$B$6,B46)),1,0)))</f>
        <v/>
      </c>
      <c r="L46">
        <f>IF(D46="","",IF('02_대상물건입력'!$B$8="",0,IF(ISNUMBER(SEARCH('02_대상물건입력'!$B$8,D46)),1,0)))</f>
        <v/>
      </c>
      <c r="M46">
        <f>IFERROR(ABS(E46-'02_대상물건입력'!$B$11)/'02_대상물건입력'!$B$11,"")</f>
        <v/>
      </c>
      <c r="N46">
        <f>IFERROR(ABS('01_설정'!$B$4-F46),"")</f>
        <v/>
      </c>
      <c r="O46">
        <f>IFERROR(ABS(YEAR(I46)-YEAR('02_대상물건입력'!$B$14)),"")</f>
        <v/>
      </c>
      <c r="P46">
        <f>IF(AND(E46&gt;0,F46&gt;0,G46&gt;0,IF('01_설정'!$B$10=1,J46=1,TRUE()),M46&lt;='01_설정'!$B$5,N46&lt;='01_설정'!$B$7,O46&lt;='01_설정'!$B$8),"Y","")</f>
        <v/>
      </c>
      <c r="Q46">
        <f>IF(P46&lt;&gt;"Y","",MAX(0,(1-M46/'01_설정'!$B$5))*'01_설정'!$B$14+MAX(0,(1-N46/'01_설정'!$B$7))*'01_설정'!$B$16+MAX(0,(1-O46/'01_설정'!$B$8))*'01_설정'!$B$17+K46*'01_설정'!$B$11+L46*'01_설정'!$B$12)</f>
        <v/>
      </c>
      <c r="R46">
        <f>IF(Q46="","",1+COUNTIFS($Q$31:$Q$1030,"&gt;"&amp;Q46)+COUNTIFS($Q$31:Q46,Q46)-1)</f>
        <v/>
      </c>
    </row>
    <row r="47" hidden="1" ht="16.5" customHeight="1">
      <c r="A47">
        <f>IF(COUNTA('05_KAIS'!$A21:$N21)=0,"",20)</f>
        <v/>
      </c>
      <c r="B47">
        <f>IF($A47="","",TRIM(INDEX('05_KAIS'!$B:$B,$A47)&amp;" "&amp;INDEX('05_KAIS'!$C:$C,$A47)))</f>
        <v/>
      </c>
      <c r="C47">
        <f>IF($A47="","",INDEX('05_KAIS'!$D:$D,$A47))</f>
        <v/>
      </c>
      <c r="D47">
        <f>IF($A47="","",INDEX('05_KAIS'!$H:$H,$A47))</f>
        <v/>
      </c>
      <c r="E47">
        <f>IF($A47="","",INDEX('05_KAIS'!$K:$K,$A47))</f>
        <v/>
      </c>
      <c r="F47" s="202">
        <f>IF($A47="","",INDEX('05_KAIS'!$I:$I,$A47))</f>
        <v/>
      </c>
      <c r="G47" s="118">
        <f>IF($A47="","",INDEX('05_KAIS'!$L:$L,$A47))</f>
        <v/>
      </c>
      <c r="H47" s="118">
        <f>IF($A47="","",IFERROR(INDEX('05_KAIS'!$M:$M,$A47),IF(AND(E47&gt;0,G47&gt;0),G47/E47,"")))</f>
        <v/>
      </c>
      <c r="I47" s="202">
        <f>IF($A47="","",INDEX('05_KAIS'!$N:$N,$A47))</f>
        <v/>
      </c>
      <c r="J47">
        <f>IF(B47="","",IF('02_대상물건입력'!$B$5="",1,IF(ISNUMBER(SEARCH('02_대상물건입력'!$B$5,B47)),1,0)))</f>
        <v/>
      </c>
      <c r="K47">
        <f>IF(B47="","",IF('02_대상물건입력'!$B$6="",1,IF(ISNUMBER(SEARCH('02_대상물건입력'!$B$6,B47)),1,0)))</f>
        <v/>
      </c>
      <c r="L47">
        <f>IF(D47="","",IF('02_대상물건입력'!$B$8="",0,IF(ISNUMBER(SEARCH('02_대상물건입력'!$B$8,D47)),1,0)))</f>
        <v/>
      </c>
      <c r="M47">
        <f>IFERROR(ABS(E47-'02_대상물건입력'!$B$11)/'02_대상물건입력'!$B$11,"")</f>
        <v/>
      </c>
      <c r="N47">
        <f>IFERROR(ABS('01_설정'!$B$4-F47),"")</f>
        <v/>
      </c>
      <c r="O47">
        <f>IFERROR(ABS(YEAR(I47)-YEAR('02_대상물건입력'!$B$14)),"")</f>
        <v/>
      </c>
      <c r="P47">
        <f>IF(AND(E47&gt;0,F47&gt;0,G47&gt;0,IF('01_설정'!$B$10=1,J47=1,TRUE()),M47&lt;='01_설정'!$B$5,N47&lt;='01_설정'!$B$7,O47&lt;='01_설정'!$B$8),"Y","")</f>
        <v/>
      </c>
      <c r="Q47">
        <f>IF(P47&lt;&gt;"Y","",MAX(0,(1-M47/'01_설정'!$B$5))*'01_설정'!$B$14+MAX(0,(1-N47/'01_설정'!$B$7))*'01_설정'!$B$16+MAX(0,(1-O47/'01_설정'!$B$8))*'01_설정'!$B$17+K47*'01_설정'!$B$11+L47*'01_설정'!$B$12)</f>
        <v/>
      </c>
      <c r="R47">
        <f>IF(Q47="","",1+COUNTIFS($Q$31:$Q$1030,"&gt;"&amp;Q47)+COUNTIFS($Q$31:Q47,Q47)-1)</f>
        <v/>
      </c>
    </row>
    <row r="48" hidden="1" ht="16.5" customHeight="1">
      <c r="A48">
        <f>IF(COUNTA('05_KAIS'!$A24:$N24)=0,"",21)</f>
        <v/>
      </c>
      <c r="B48">
        <f>IF($A48="","",TRIM(INDEX('05_KAIS'!$B:$B,$A48)&amp;" "&amp;INDEX('05_KAIS'!$C:$C,$A48)))</f>
        <v/>
      </c>
      <c r="C48">
        <f>IF($A48="","",INDEX('05_KAIS'!$D:$D,$A48))</f>
        <v/>
      </c>
      <c r="D48">
        <f>IF($A48="","",INDEX('05_KAIS'!$H:$H,$A48))</f>
        <v/>
      </c>
      <c r="E48">
        <f>IF($A48="","",INDEX('05_KAIS'!$K:$K,$A48))</f>
        <v/>
      </c>
      <c r="F48" s="202">
        <f>IF($A48="","",INDEX('05_KAIS'!$I:$I,$A48))</f>
        <v/>
      </c>
      <c r="G48" s="118">
        <f>IF($A48="","",INDEX('05_KAIS'!$L:$L,$A48))</f>
        <v/>
      </c>
      <c r="H48" s="118">
        <f>IF($A48="","",IFERROR(INDEX('05_KAIS'!$M:$M,$A48),IF(AND(E48&gt;0,G48&gt;0),G48/E48,"")))</f>
        <v/>
      </c>
      <c r="I48" s="202">
        <f>IF($A48="","",INDEX('05_KAIS'!$N:$N,$A48))</f>
        <v/>
      </c>
      <c r="J48">
        <f>IF(B48="","",IF('02_대상물건입력'!$B$5="",1,IF(ISNUMBER(SEARCH('02_대상물건입력'!$B$5,B48)),1,0)))</f>
        <v/>
      </c>
      <c r="K48">
        <f>IF(B48="","",IF('02_대상물건입력'!$B$6="",1,IF(ISNUMBER(SEARCH('02_대상물건입력'!$B$6,B48)),1,0)))</f>
        <v/>
      </c>
      <c r="L48">
        <f>IF(D48="","",IF('02_대상물건입력'!$B$8="",0,IF(ISNUMBER(SEARCH('02_대상물건입력'!$B$8,D48)),1,0)))</f>
        <v/>
      </c>
      <c r="M48">
        <f>IFERROR(ABS(E48-'02_대상물건입력'!$B$11)/'02_대상물건입력'!$B$11,"")</f>
        <v/>
      </c>
      <c r="N48">
        <f>IFERROR(ABS('01_설정'!$B$4-F48),"")</f>
        <v/>
      </c>
      <c r="O48">
        <f>IFERROR(ABS(YEAR(I48)-YEAR('02_대상물건입력'!$B$14)),"")</f>
        <v/>
      </c>
      <c r="P48">
        <f>IF(AND(E48&gt;0,F48&gt;0,G48&gt;0,IF('01_설정'!$B$10=1,J48=1,TRUE()),M48&lt;='01_설정'!$B$5,N48&lt;='01_설정'!$B$7,O48&lt;='01_설정'!$B$8),"Y","")</f>
        <v/>
      </c>
      <c r="Q48">
        <f>IF(P48&lt;&gt;"Y","",MAX(0,(1-M48/'01_설정'!$B$5))*'01_설정'!$B$14+MAX(0,(1-N48/'01_설정'!$B$7))*'01_설정'!$B$16+MAX(0,(1-O48/'01_설정'!$B$8))*'01_설정'!$B$17+K48*'01_설정'!$B$11+L48*'01_설정'!$B$12)</f>
        <v/>
      </c>
      <c r="R48">
        <f>IF(Q48="","",1+COUNTIFS($Q$31:$Q$1030,"&gt;"&amp;Q48)+COUNTIFS($Q$31:Q48,Q48)-1)</f>
        <v/>
      </c>
    </row>
    <row r="49" hidden="1" ht="16.5" customHeight="1">
      <c r="A49">
        <f>IF(COUNTA('05_KAIS'!$A25:$N25)=0,"",22)</f>
        <v/>
      </c>
      <c r="B49">
        <f>IF($A49="","",TRIM(INDEX('05_KAIS'!$B:$B,$A49)&amp;" "&amp;INDEX('05_KAIS'!$C:$C,$A49)))</f>
        <v/>
      </c>
      <c r="C49">
        <f>IF($A49="","",INDEX('05_KAIS'!$D:$D,$A49))</f>
        <v/>
      </c>
      <c r="D49">
        <f>IF($A49="","",INDEX('05_KAIS'!$H:$H,$A49))</f>
        <v/>
      </c>
      <c r="E49">
        <f>IF($A49="","",INDEX('05_KAIS'!$K:$K,$A49))</f>
        <v/>
      </c>
      <c r="F49" s="202">
        <f>IF($A49="","",INDEX('05_KAIS'!$I:$I,$A49))</f>
        <v/>
      </c>
      <c r="G49" s="118">
        <f>IF($A49="","",INDEX('05_KAIS'!$L:$L,$A49))</f>
        <v/>
      </c>
      <c r="H49" s="118">
        <f>IF($A49="","",IFERROR(INDEX('05_KAIS'!$M:$M,$A49),IF(AND(E49&gt;0,G49&gt;0),G49/E49,"")))</f>
        <v/>
      </c>
      <c r="I49" s="202">
        <f>IF($A49="","",INDEX('05_KAIS'!$N:$N,$A49))</f>
        <v/>
      </c>
      <c r="J49">
        <f>IF(B49="","",IF('02_대상물건입력'!$B$5="",1,IF(ISNUMBER(SEARCH('02_대상물건입력'!$B$5,B49)),1,0)))</f>
        <v/>
      </c>
      <c r="K49">
        <f>IF(B49="","",IF('02_대상물건입력'!$B$6="",1,IF(ISNUMBER(SEARCH('02_대상물건입력'!$B$6,B49)),1,0)))</f>
        <v/>
      </c>
      <c r="L49">
        <f>IF(D49="","",IF('02_대상물건입력'!$B$8="",0,IF(ISNUMBER(SEARCH('02_대상물건입력'!$B$8,D49)),1,0)))</f>
        <v/>
      </c>
      <c r="M49">
        <f>IFERROR(ABS(E49-'02_대상물건입력'!$B$11)/'02_대상물건입력'!$B$11,"")</f>
        <v/>
      </c>
      <c r="N49">
        <f>IFERROR(ABS('01_설정'!$B$4-F49),"")</f>
        <v/>
      </c>
      <c r="O49">
        <f>IFERROR(ABS(YEAR(I49)-YEAR('02_대상물건입력'!$B$14)),"")</f>
        <v/>
      </c>
      <c r="P49">
        <f>IF(AND(E49&gt;0,F49&gt;0,G49&gt;0,IF('01_설정'!$B$10=1,J49=1,TRUE()),M49&lt;='01_설정'!$B$5,N49&lt;='01_설정'!$B$7,O49&lt;='01_설정'!$B$8),"Y","")</f>
        <v/>
      </c>
      <c r="Q49">
        <f>IF(P49&lt;&gt;"Y","",MAX(0,(1-M49/'01_설정'!$B$5))*'01_설정'!$B$14+MAX(0,(1-N49/'01_설정'!$B$7))*'01_설정'!$B$16+MAX(0,(1-O49/'01_설정'!$B$8))*'01_설정'!$B$17+K49*'01_설정'!$B$11+L49*'01_설정'!$B$12)</f>
        <v/>
      </c>
      <c r="R49">
        <f>IF(Q49="","",1+COUNTIFS($Q$31:$Q$1030,"&gt;"&amp;Q49)+COUNTIFS($Q$31:Q49,Q49)-1)</f>
        <v/>
      </c>
    </row>
    <row r="50" hidden="1" ht="16.5" customHeight="1">
      <c r="A50">
        <f>IF(COUNTA('05_KAIS'!$A26:$N26)=0,"",23)</f>
        <v/>
      </c>
      <c r="B50">
        <f>IF($A50="","",TRIM(INDEX('05_KAIS'!$B:$B,$A50)&amp;" "&amp;INDEX('05_KAIS'!$C:$C,$A50)))</f>
        <v/>
      </c>
      <c r="C50">
        <f>IF($A50="","",INDEX('05_KAIS'!$D:$D,$A50))</f>
        <v/>
      </c>
      <c r="D50">
        <f>IF($A50="","",INDEX('05_KAIS'!$H:$H,$A50))</f>
        <v/>
      </c>
      <c r="E50">
        <f>IF($A50="","",INDEX('05_KAIS'!$K:$K,$A50))</f>
        <v/>
      </c>
      <c r="F50" s="202">
        <f>IF($A50="","",INDEX('05_KAIS'!$I:$I,$A50))</f>
        <v/>
      </c>
      <c r="G50" s="118">
        <f>IF($A50="","",INDEX('05_KAIS'!$L:$L,$A50))</f>
        <v/>
      </c>
      <c r="H50" s="118">
        <f>IF($A50="","",IFERROR(INDEX('05_KAIS'!$M:$M,$A50),IF(AND(E50&gt;0,G50&gt;0),G50/E50,"")))</f>
        <v/>
      </c>
      <c r="I50" s="202">
        <f>IF($A50="","",INDEX('05_KAIS'!$N:$N,$A50))</f>
        <v/>
      </c>
      <c r="J50">
        <f>IF(B50="","",IF('02_대상물건입력'!$B$5="",1,IF(ISNUMBER(SEARCH('02_대상물건입력'!$B$5,B50)),1,0)))</f>
        <v/>
      </c>
      <c r="K50">
        <f>IF(B50="","",IF('02_대상물건입력'!$B$6="",1,IF(ISNUMBER(SEARCH('02_대상물건입력'!$B$6,B50)),1,0)))</f>
        <v/>
      </c>
      <c r="L50">
        <f>IF(D50="","",IF('02_대상물건입력'!$B$8="",0,IF(ISNUMBER(SEARCH('02_대상물건입력'!$B$8,D50)),1,0)))</f>
        <v/>
      </c>
      <c r="M50">
        <f>IFERROR(ABS(E50-'02_대상물건입력'!$B$11)/'02_대상물건입력'!$B$11,"")</f>
        <v/>
      </c>
      <c r="N50">
        <f>IFERROR(ABS('01_설정'!$B$4-F50),"")</f>
        <v/>
      </c>
      <c r="O50">
        <f>IFERROR(ABS(YEAR(I50)-YEAR('02_대상물건입력'!$B$14)),"")</f>
        <v/>
      </c>
      <c r="P50">
        <f>IF(AND(E50&gt;0,F50&gt;0,G50&gt;0,IF('01_설정'!$B$10=1,J50=1,TRUE()),M50&lt;='01_설정'!$B$5,N50&lt;='01_설정'!$B$7,O50&lt;='01_설정'!$B$8),"Y","")</f>
        <v/>
      </c>
      <c r="Q50">
        <f>IF(P50&lt;&gt;"Y","",MAX(0,(1-M50/'01_설정'!$B$5))*'01_설정'!$B$14+MAX(0,(1-N50/'01_설정'!$B$7))*'01_설정'!$B$16+MAX(0,(1-O50/'01_설정'!$B$8))*'01_설정'!$B$17+K50*'01_설정'!$B$11+L50*'01_설정'!$B$12)</f>
        <v/>
      </c>
      <c r="R50">
        <f>IF(Q50="","",1+COUNTIFS($Q$31:$Q$1030,"&gt;"&amp;Q50)+COUNTIFS($Q$31:Q50,Q50)-1)</f>
        <v/>
      </c>
    </row>
    <row r="51" hidden="1" ht="16.5" customHeight="1">
      <c r="A51">
        <f>IF(COUNTA('05_KAIS'!$A29:$N29)=0,"",24)</f>
        <v/>
      </c>
      <c r="B51">
        <f>IF($A51="","",TRIM(INDEX('05_KAIS'!$B:$B,$A51)&amp;" "&amp;INDEX('05_KAIS'!$C:$C,$A51)))</f>
        <v/>
      </c>
      <c r="C51">
        <f>IF($A51="","",INDEX('05_KAIS'!$D:$D,$A51))</f>
        <v/>
      </c>
      <c r="D51">
        <f>IF($A51="","",INDEX('05_KAIS'!$H:$H,$A51))</f>
        <v/>
      </c>
      <c r="E51">
        <f>IF($A51="","",INDEX('05_KAIS'!$K:$K,$A51))</f>
        <v/>
      </c>
      <c r="F51" s="202">
        <f>IF($A51="","",INDEX('05_KAIS'!$I:$I,$A51))</f>
        <v/>
      </c>
      <c r="G51" s="118">
        <f>IF($A51="","",INDEX('05_KAIS'!$L:$L,$A51))</f>
        <v/>
      </c>
      <c r="H51" s="118">
        <f>IF($A51="","",IFERROR(INDEX('05_KAIS'!$M:$M,$A51),IF(AND(E51&gt;0,G51&gt;0),G51/E51,"")))</f>
        <v/>
      </c>
      <c r="I51" s="202">
        <f>IF($A51="","",INDEX('05_KAIS'!$N:$N,$A51))</f>
        <v/>
      </c>
      <c r="J51">
        <f>IF(B51="","",IF('02_대상물건입력'!$B$5="",1,IF(ISNUMBER(SEARCH('02_대상물건입력'!$B$5,B51)),1,0)))</f>
        <v/>
      </c>
      <c r="K51">
        <f>IF(B51="","",IF('02_대상물건입력'!$B$6="",1,IF(ISNUMBER(SEARCH('02_대상물건입력'!$B$6,B51)),1,0)))</f>
        <v/>
      </c>
      <c r="L51">
        <f>IF(D51="","",IF('02_대상물건입력'!$B$8="",0,IF(ISNUMBER(SEARCH('02_대상물건입력'!$B$8,D51)),1,0)))</f>
        <v/>
      </c>
      <c r="M51">
        <f>IFERROR(ABS(E51-'02_대상물건입력'!$B$11)/'02_대상물건입력'!$B$11,"")</f>
        <v/>
      </c>
      <c r="N51">
        <f>IFERROR(ABS('01_설정'!$B$4-F51),"")</f>
        <v/>
      </c>
      <c r="O51">
        <f>IFERROR(ABS(YEAR(I51)-YEAR('02_대상물건입력'!$B$14)),"")</f>
        <v/>
      </c>
      <c r="P51">
        <f>IF(AND(E51&gt;0,F51&gt;0,G51&gt;0,IF('01_설정'!$B$10=1,J51=1,TRUE()),M51&lt;='01_설정'!$B$5,N51&lt;='01_설정'!$B$7,O51&lt;='01_설정'!$B$8),"Y","")</f>
        <v/>
      </c>
      <c r="Q51">
        <f>IF(P51&lt;&gt;"Y","",MAX(0,(1-M51/'01_설정'!$B$5))*'01_설정'!$B$14+MAX(0,(1-N51/'01_설정'!$B$7))*'01_설정'!$B$16+MAX(0,(1-O51/'01_설정'!$B$8))*'01_설정'!$B$17+K51*'01_설정'!$B$11+L51*'01_설정'!$B$12)</f>
        <v/>
      </c>
      <c r="R51">
        <f>IF(Q51="","",1+COUNTIFS($Q$31:$Q$1030,"&gt;"&amp;Q51)+COUNTIFS($Q$31:Q51,Q51)-1)</f>
        <v/>
      </c>
    </row>
    <row r="52" hidden="1" ht="16.5" customHeight="1">
      <c r="A52">
        <f>IF(COUNTA('05_KAIS'!$A30:$N30)=0,"",25)</f>
        <v/>
      </c>
      <c r="B52">
        <f>IF($A52="","",TRIM(INDEX('05_KAIS'!$B:$B,$A52)&amp;" "&amp;INDEX('05_KAIS'!$C:$C,$A52)))</f>
        <v/>
      </c>
      <c r="C52">
        <f>IF($A52="","",INDEX('05_KAIS'!$D:$D,$A52))</f>
        <v/>
      </c>
      <c r="D52">
        <f>IF($A52="","",INDEX('05_KAIS'!$H:$H,$A52))</f>
        <v/>
      </c>
      <c r="E52">
        <f>IF($A52="","",INDEX('05_KAIS'!$K:$K,$A52))</f>
        <v/>
      </c>
      <c r="F52" s="202">
        <f>IF($A52="","",INDEX('05_KAIS'!$I:$I,$A52))</f>
        <v/>
      </c>
      <c r="G52" s="118">
        <f>IF($A52="","",INDEX('05_KAIS'!$L:$L,$A52))</f>
        <v/>
      </c>
      <c r="H52" s="118">
        <f>IF($A52="","",IFERROR(INDEX('05_KAIS'!$M:$M,$A52),IF(AND(E52&gt;0,G52&gt;0),G52/E52,"")))</f>
        <v/>
      </c>
      <c r="I52" s="202">
        <f>IF($A52="","",INDEX('05_KAIS'!$N:$N,$A52))</f>
        <v/>
      </c>
      <c r="J52">
        <f>IF(B52="","",IF('02_대상물건입력'!$B$5="",1,IF(ISNUMBER(SEARCH('02_대상물건입력'!$B$5,B52)),1,0)))</f>
        <v/>
      </c>
      <c r="K52">
        <f>IF(B52="","",IF('02_대상물건입력'!$B$6="",1,IF(ISNUMBER(SEARCH('02_대상물건입력'!$B$6,B52)),1,0)))</f>
        <v/>
      </c>
      <c r="L52">
        <f>IF(D52="","",IF('02_대상물건입력'!$B$8="",0,IF(ISNUMBER(SEARCH('02_대상물건입력'!$B$8,D52)),1,0)))</f>
        <v/>
      </c>
      <c r="M52">
        <f>IFERROR(ABS(E52-'02_대상물건입력'!$B$11)/'02_대상물건입력'!$B$11,"")</f>
        <v/>
      </c>
      <c r="N52">
        <f>IFERROR(ABS('01_설정'!$B$4-F52),"")</f>
        <v/>
      </c>
      <c r="O52">
        <f>IFERROR(ABS(YEAR(I52)-YEAR('02_대상물건입력'!$B$14)),"")</f>
        <v/>
      </c>
      <c r="P52">
        <f>IF(AND(E52&gt;0,F52&gt;0,G52&gt;0,IF('01_설정'!$B$10=1,J52=1,TRUE()),M52&lt;='01_설정'!$B$5,N52&lt;='01_설정'!$B$7,O52&lt;='01_설정'!$B$8),"Y","")</f>
        <v/>
      </c>
      <c r="Q52">
        <f>IF(P52&lt;&gt;"Y","",MAX(0,(1-M52/'01_설정'!$B$5))*'01_설정'!$B$14+MAX(0,(1-N52/'01_설정'!$B$7))*'01_설정'!$B$16+MAX(0,(1-O52/'01_설정'!$B$8))*'01_설정'!$B$17+K52*'01_설정'!$B$11+L52*'01_설정'!$B$12)</f>
        <v/>
      </c>
      <c r="R52">
        <f>IF(Q52="","",1+COUNTIFS($Q$31:$Q$1030,"&gt;"&amp;Q52)+COUNTIFS($Q$31:Q52,Q52)-1)</f>
        <v/>
      </c>
    </row>
    <row r="53" hidden="1" ht="16.5" customHeight="1">
      <c r="A53">
        <f>IF(COUNTA('05_KAIS'!$A31:$N31)=0,"",26)</f>
        <v/>
      </c>
      <c r="B53">
        <f>IF($A53="","",TRIM(INDEX('05_KAIS'!$B:$B,$A53)&amp;" "&amp;INDEX('05_KAIS'!$C:$C,$A53)))</f>
        <v/>
      </c>
      <c r="C53">
        <f>IF($A53="","",INDEX('05_KAIS'!$D:$D,$A53))</f>
        <v/>
      </c>
      <c r="D53">
        <f>IF($A53="","",INDEX('05_KAIS'!$H:$H,$A53))</f>
        <v/>
      </c>
      <c r="E53">
        <f>IF($A53="","",INDEX('05_KAIS'!$K:$K,$A53))</f>
        <v/>
      </c>
      <c r="F53" s="202">
        <f>IF($A53="","",INDEX('05_KAIS'!$I:$I,$A53))</f>
        <v/>
      </c>
      <c r="G53" s="118">
        <f>IF($A53="","",INDEX('05_KAIS'!$L:$L,$A53))</f>
        <v/>
      </c>
      <c r="H53" s="118">
        <f>IF($A53="","",IFERROR(INDEX('05_KAIS'!$M:$M,$A53),IF(AND(E53&gt;0,G53&gt;0),G53/E53,"")))</f>
        <v/>
      </c>
      <c r="I53" s="202">
        <f>IF($A53="","",INDEX('05_KAIS'!$N:$N,$A53))</f>
        <v/>
      </c>
      <c r="J53">
        <f>IF(B53="","",IF('02_대상물건입력'!$B$5="",1,IF(ISNUMBER(SEARCH('02_대상물건입력'!$B$5,B53)),1,0)))</f>
        <v/>
      </c>
      <c r="K53">
        <f>IF(B53="","",IF('02_대상물건입력'!$B$6="",1,IF(ISNUMBER(SEARCH('02_대상물건입력'!$B$6,B53)),1,0)))</f>
        <v/>
      </c>
      <c r="L53">
        <f>IF(D53="","",IF('02_대상물건입력'!$B$8="",0,IF(ISNUMBER(SEARCH('02_대상물건입력'!$B$8,D53)),1,0)))</f>
        <v/>
      </c>
      <c r="M53">
        <f>IFERROR(ABS(E53-'02_대상물건입력'!$B$11)/'02_대상물건입력'!$B$11,"")</f>
        <v/>
      </c>
      <c r="N53">
        <f>IFERROR(ABS('01_설정'!$B$4-F53),"")</f>
        <v/>
      </c>
      <c r="O53">
        <f>IFERROR(ABS(YEAR(I53)-YEAR('02_대상물건입력'!$B$14)),"")</f>
        <v/>
      </c>
      <c r="P53">
        <f>IF(AND(E53&gt;0,F53&gt;0,G53&gt;0,IF('01_설정'!$B$10=1,J53=1,TRUE()),M53&lt;='01_설정'!$B$5,N53&lt;='01_설정'!$B$7,O53&lt;='01_설정'!$B$8),"Y","")</f>
        <v/>
      </c>
      <c r="Q53">
        <f>IF(P53&lt;&gt;"Y","",MAX(0,(1-M53/'01_설정'!$B$5))*'01_설정'!$B$14+MAX(0,(1-N53/'01_설정'!$B$7))*'01_설정'!$B$16+MAX(0,(1-O53/'01_설정'!$B$8))*'01_설정'!$B$17+K53*'01_설정'!$B$11+L53*'01_설정'!$B$12)</f>
        <v/>
      </c>
      <c r="R53">
        <f>IF(Q53="","",1+COUNTIFS($Q$31:$Q$1030,"&gt;"&amp;Q53)+COUNTIFS($Q$31:Q53,Q53)-1)</f>
        <v/>
      </c>
    </row>
    <row r="54" hidden="1" ht="16.5" customHeight="1">
      <c r="A54">
        <f>IF(COUNTA('05_KAIS'!$A34:$N34)=0,"",27)</f>
        <v/>
      </c>
      <c r="B54">
        <f>IF($A54="","",TRIM(INDEX('05_KAIS'!$B:$B,$A54)&amp;" "&amp;INDEX('05_KAIS'!$C:$C,$A54)))</f>
        <v/>
      </c>
      <c r="C54">
        <f>IF($A54="","",INDEX('05_KAIS'!$D:$D,$A54))</f>
        <v/>
      </c>
      <c r="D54">
        <f>IF($A54="","",INDEX('05_KAIS'!$H:$H,$A54))</f>
        <v/>
      </c>
      <c r="E54">
        <f>IF($A54="","",INDEX('05_KAIS'!$K:$K,$A54))</f>
        <v/>
      </c>
      <c r="F54" s="202">
        <f>IF($A54="","",INDEX('05_KAIS'!$I:$I,$A54))</f>
        <v/>
      </c>
      <c r="G54" s="118">
        <f>IF($A54="","",INDEX('05_KAIS'!$L:$L,$A54))</f>
        <v/>
      </c>
      <c r="H54" s="118">
        <f>IF($A54="","",IFERROR(INDEX('05_KAIS'!$M:$M,$A54),IF(AND(E54&gt;0,G54&gt;0),G54/E54,"")))</f>
        <v/>
      </c>
      <c r="I54" s="202">
        <f>IF($A54="","",INDEX('05_KAIS'!$N:$N,$A54))</f>
        <v/>
      </c>
      <c r="J54">
        <f>IF(B54="","",IF('02_대상물건입력'!$B$5="",1,IF(ISNUMBER(SEARCH('02_대상물건입력'!$B$5,B54)),1,0)))</f>
        <v/>
      </c>
      <c r="K54">
        <f>IF(B54="","",IF('02_대상물건입력'!$B$6="",1,IF(ISNUMBER(SEARCH('02_대상물건입력'!$B$6,B54)),1,0)))</f>
        <v/>
      </c>
      <c r="L54">
        <f>IF(D54="","",IF('02_대상물건입력'!$B$8="",0,IF(ISNUMBER(SEARCH('02_대상물건입력'!$B$8,D54)),1,0)))</f>
        <v/>
      </c>
      <c r="M54">
        <f>IFERROR(ABS(E54-'02_대상물건입력'!$B$11)/'02_대상물건입력'!$B$11,"")</f>
        <v/>
      </c>
      <c r="N54">
        <f>IFERROR(ABS('01_설정'!$B$4-F54),"")</f>
        <v/>
      </c>
      <c r="O54">
        <f>IFERROR(ABS(YEAR(I54)-YEAR('02_대상물건입력'!$B$14)),"")</f>
        <v/>
      </c>
      <c r="P54">
        <f>IF(AND(E54&gt;0,F54&gt;0,G54&gt;0,IF('01_설정'!$B$10=1,J54=1,TRUE()),M54&lt;='01_설정'!$B$5,N54&lt;='01_설정'!$B$7,O54&lt;='01_설정'!$B$8),"Y","")</f>
        <v/>
      </c>
      <c r="Q54">
        <f>IF(P54&lt;&gt;"Y","",MAX(0,(1-M54/'01_설정'!$B$5))*'01_설정'!$B$14+MAX(0,(1-N54/'01_설정'!$B$7))*'01_설정'!$B$16+MAX(0,(1-O54/'01_설정'!$B$8))*'01_설정'!$B$17+K54*'01_설정'!$B$11+L54*'01_설정'!$B$12)</f>
        <v/>
      </c>
      <c r="R54">
        <f>IF(Q54="","",1+COUNTIFS($Q$31:$Q$1030,"&gt;"&amp;Q54)+COUNTIFS($Q$31:Q54,Q54)-1)</f>
        <v/>
      </c>
    </row>
    <row r="55" hidden="1" ht="16.5" customHeight="1">
      <c r="A55">
        <f>IF(COUNTA('05_KAIS'!$A35:$N35)=0,"",28)</f>
        <v/>
      </c>
      <c r="B55">
        <f>IF($A55="","",TRIM(INDEX('05_KAIS'!$B:$B,$A55)&amp;" "&amp;INDEX('05_KAIS'!$C:$C,$A55)))</f>
        <v/>
      </c>
      <c r="C55">
        <f>IF($A55="","",INDEX('05_KAIS'!$D:$D,$A55))</f>
        <v/>
      </c>
      <c r="D55">
        <f>IF($A55="","",INDEX('05_KAIS'!$H:$H,$A55))</f>
        <v/>
      </c>
      <c r="E55">
        <f>IF($A55="","",INDEX('05_KAIS'!$K:$K,$A55))</f>
        <v/>
      </c>
      <c r="F55" s="202">
        <f>IF($A55="","",INDEX('05_KAIS'!$I:$I,$A55))</f>
        <v/>
      </c>
      <c r="G55" s="118">
        <f>IF($A55="","",INDEX('05_KAIS'!$L:$L,$A55))</f>
        <v/>
      </c>
      <c r="H55" s="118">
        <f>IF($A55="","",IFERROR(INDEX('05_KAIS'!$M:$M,$A55),IF(AND(E55&gt;0,G55&gt;0),G55/E55,"")))</f>
        <v/>
      </c>
      <c r="I55" s="202">
        <f>IF($A55="","",INDEX('05_KAIS'!$N:$N,$A55))</f>
        <v/>
      </c>
      <c r="J55">
        <f>IF(B55="","",IF('02_대상물건입력'!$B$5="",1,IF(ISNUMBER(SEARCH('02_대상물건입력'!$B$5,B55)),1,0)))</f>
        <v/>
      </c>
      <c r="K55">
        <f>IF(B55="","",IF('02_대상물건입력'!$B$6="",1,IF(ISNUMBER(SEARCH('02_대상물건입력'!$B$6,B55)),1,0)))</f>
        <v/>
      </c>
      <c r="L55">
        <f>IF(D55="","",IF('02_대상물건입력'!$B$8="",0,IF(ISNUMBER(SEARCH('02_대상물건입력'!$B$8,D55)),1,0)))</f>
        <v/>
      </c>
      <c r="M55">
        <f>IFERROR(ABS(E55-'02_대상물건입력'!$B$11)/'02_대상물건입력'!$B$11,"")</f>
        <v/>
      </c>
      <c r="N55">
        <f>IFERROR(ABS('01_설정'!$B$4-F55),"")</f>
        <v/>
      </c>
      <c r="O55">
        <f>IFERROR(ABS(YEAR(I55)-YEAR('02_대상물건입력'!$B$14)),"")</f>
        <v/>
      </c>
      <c r="P55">
        <f>IF(AND(E55&gt;0,F55&gt;0,G55&gt;0,IF('01_설정'!$B$10=1,J55=1,TRUE()),M55&lt;='01_설정'!$B$5,N55&lt;='01_설정'!$B$7,O55&lt;='01_설정'!$B$8),"Y","")</f>
        <v/>
      </c>
      <c r="Q55">
        <f>IF(P55&lt;&gt;"Y","",MAX(0,(1-M55/'01_설정'!$B$5))*'01_설정'!$B$14+MAX(0,(1-N55/'01_설정'!$B$7))*'01_설정'!$B$16+MAX(0,(1-O55/'01_설정'!$B$8))*'01_설정'!$B$17+K55*'01_설정'!$B$11+L55*'01_설정'!$B$12)</f>
        <v/>
      </c>
      <c r="R55">
        <f>IF(Q55="","",1+COUNTIFS($Q$31:$Q$1030,"&gt;"&amp;Q55)+COUNTIFS($Q$31:Q55,Q55)-1)</f>
        <v/>
      </c>
    </row>
    <row r="56" hidden="1" ht="16.5" customHeight="1">
      <c r="A56">
        <f>IF(COUNTA('05_KAIS'!$A36:$N36)=0,"",29)</f>
        <v/>
      </c>
      <c r="B56">
        <f>IF($A56="","",TRIM(INDEX('05_KAIS'!$B:$B,$A56)&amp;" "&amp;INDEX('05_KAIS'!$C:$C,$A56)))</f>
        <v/>
      </c>
      <c r="C56">
        <f>IF($A56="","",INDEX('05_KAIS'!$D:$D,$A56))</f>
        <v/>
      </c>
      <c r="D56">
        <f>IF($A56="","",INDEX('05_KAIS'!$H:$H,$A56))</f>
        <v/>
      </c>
      <c r="E56">
        <f>IF($A56="","",INDEX('05_KAIS'!$K:$K,$A56))</f>
        <v/>
      </c>
      <c r="F56" s="202">
        <f>IF($A56="","",INDEX('05_KAIS'!$I:$I,$A56))</f>
        <v/>
      </c>
      <c r="G56" s="118">
        <f>IF($A56="","",INDEX('05_KAIS'!$L:$L,$A56))</f>
        <v/>
      </c>
      <c r="H56" s="118">
        <f>IF($A56="","",IFERROR(INDEX('05_KAIS'!$M:$M,$A56),IF(AND(E56&gt;0,G56&gt;0),G56/E56,"")))</f>
        <v/>
      </c>
      <c r="I56" s="202">
        <f>IF($A56="","",INDEX('05_KAIS'!$N:$N,$A56))</f>
        <v/>
      </c>
      <c r="J56">
        <f>IF(B56="","",IF('02_대상물건입력'!$B$5="",1,IF(ISNUMBER(SEARCH('02_대상물건입력'!$B$5,B56)),1,0)))</f>
        <v/>
      </c>
      <c r="K56">
        <f>IF(B56="","",IF('02_대상물건입력'!$B$6="",1,IF(ISNUMBER(SEARCH('02_대상물건입력'!$B$6,B56)),1,0)))</f>
        <v/>
      </c>
      <c r="L56">
        <f>IF(D56="","",IF('02_대상물건입력'!$B$8="",0,IF(ISNUMBER(SEARCH('02_대상물건입력'!$B$8,D56)),1,0)))</f>
        <v/>
      </c>
      <c r="M56">
        <f>IFERROR(ABS(E56-'02_대상물건입력'!$B$11)/'02_대상물건입력'!$B$11,"")</f>
        <v/>
      </c>
      <c r="N56">
        <f>IFERROR(ABS('01_설정'!$B$4-F56),"")</f>
        <v/>
      </c>
      <c r="O56">
        <f>IFERROR(ABS(YEAR(I56)-YEAR('02_대상물건입력'!$B$14)),"")</f>
        <v/>
      </c>
      <c r="P56">
        <f>IF(AND(E56&gt;0,F56&gt;0,G56&gt;0,IF('01_설정'!$B$10=1,J56=1,TRUE()),M56&lt;='01_설정'!$B$5,N56&lt;='01_설정'!$B$7,O56&lt;='01_설정'!$B$8),"Y","")</f>
        <v/>
      </c>
      <c r="Q56">
        <f>IF(P56&lt;&gt;"Y","",MAX(0,(1-M56/'01_설정'!$B$5))*'01_설정'!$B$14+MAX(0,(1-N56/'01_설정'!$B$7))*'01_설정'!$B$16+MAX(0,(1-O56/'01_설정'!$B$8))*'01_설정'!$B$17+K56*'01_설정'!$B$11+L56*'01_설정'!$B$12)</f>
        <v/>
      </c>
      <c r="R56">
        <f>IF(Q56="","",1+COUNTIFS($Q$31:$Q$1030,"&gt;"&amp;Q56)+COUNTIFS($Q$31:Q56,Q56)-1)</f>
        <v/>
      </c>
    </row>
    <row r="57" hidden="1" ht="16.5" customHeight="1">
      <c r="A57">
        <f>IF(COUNTA('05_KAIS'!$A39:$N39)=0,"",30)</f>
        <v/>
      </c>
      <c r="B57">
        <f>IF($A57="","",TRIM(INDEX('05_KAIS'!$B:$B,$A57)&amp;" "&amp;INDEX('05_KAIS'!$C:$C,$A57)))</f>
        <v/>
      </c>
      <c r="C57">
        <f>IF($A57="","",INDEX('05_KAIS'!$D:$D,$A57))</f>
        <v/>
      </c>
      <c r="D57">
        <f>IF($A57="","",INDEX('05_KAIS'!$H:$H,$A57))</f>
        <v/>
      </c>
      <c r="E57">
        <f>IF($A57="","",INDEX('05_KAIS'!$K:$K,$A57))</f>
        <v/>
      </c>
      <c r="F57" s="202">
        <f>IF($A57="","",INDEX('05_KAIS'!$I:$I,$A57))</f>
        <v/>
      </c>
      <c r="G57" s="118">
        <f>IF($A57="","",INDEX('05_KAIS'!$L:$L,$A57))</f>
        <v/>
      </c>
      <c r="H57" s="118">
        <f>IF($A57="","",IFERROR(INDEX('05_KAIS'!$M:$M,$A57),IF(AND(E57&gt;0,G57&gt;0),G57/E57,"")))</f>
        <v/>
      </c>
      <c r="I57" s="202">
        <f>IF($A57="","",INDEX('05_KAIS'!$N:$N,$A57))</f>
        <v/>
      </c>
      <c r="J57">
        <f>IF(B57="","",IF('02_대상물건입력'!$B$5="",1,IF(ISNUMBER(SEARCH('02_대상물건입력'!$B$5,B57)),1,0)))</f>
        <v/>
      </c>
      <c r="K57">
        <f>IF(B57="","",IF('02_대상물건입력'!$B$6="",1,IF(ISNUMBER(SEARCH('02_대상물건입력'!$B$6,B57)),1,0)))</f>
        <v/>
      </c>
      <c r="L57">
        <f>IF(D57="","",IF('02_대상물건입력'!$B$8="",0,IF(ISNUMBER(SEARCH('02_대상물건입력'!$B$8,D57)),1,0)))</f>
        <v/>
      </c>
      <c r="M57">
        <f>IFERROR(ABS(E57-'02_대상물건입력'!$B$11)/'02_대상물건입력'!$B$11,"")</f>
        <v/>
      </c>
      <c r="N57">
        <f>IFERROR(ABS('01_설정'!$B$4-F57),"")</f>
        <v/>
      </c>
      <c r="O57">
        <f>IFERROR(ABS(YEAR(I57)-YEAR('02_대상물건입력'!$B$14)),"")</f>
        <v/>
      </c>
      <c r="P57">
        <f>IF(AND(E57&gt;0,F57&gt;0,G57&gt;0,IF('01_설정'!$B$10=1,J57=1,TRUE()),M57&lt;='01_설정'!$B$5,N57&lt;='01_설정'!$B$7,O57&lt;='01_설정'!$B$8),"Y","")</f>
        <v/>
      </c>
      <c r="Q57">
        <f>IF(P57&lt;&gt;"Y","",MAX(0,(1-M57/'01_설정'!$B$5))*'01_설정'!$B$14+MAX(0,(1-N57/'01_설정'!$B$7))*'01_설정'!$B$16+MAX(0,(1-O57/'01_설정'!$B$8))*'01_설정'!$B$17+K57*'01_설정'!$B$11+L57*'01_설정'!$B$12)</f>
        <v/>
      </c>
      <c r="R57">
        <f>IF(Q57="","",1+COUNTIFS($Q$31:$Q$1030,"&gt;"&amp;Q57)+COUNTIFS($Q$31:Q57,Q57)-1)</f>
        <v/>
      </c>
    </row>
    <row r="58" hidden="1" ht="16.5" customHeight="1">
      <c r="A58">
        <f>IF(COUNTA('05_KAIS'!$A40:$N40)=0,"",31)</f>
        <v/>
      </c>
      <c r="B58">
        <f>IF($A58="","",TRIM(INDEX('05_KAIS'!$B:$B,$A58)&amp;" "&amp;INDEX('05_KAIS'!$C:$C,$A58)))</f>
        <v/>
      </c>
      <c r="C58">
        <f>IF($A58="","",INDEX('05_KAIS'!$D:$D,$A58))</f>
        <v/>
      </c>
      <c r="D58">
        <f>IF($A58="","",INDEX('05_KAIS'!$H:$H,$A58))</f>
        <v/>
      </c>
      <c r="E58">
        <f>IF($A58="","",INDEX('05_KAIS'!$K:$K,$A58))</f>
        <v/>
      </c>
      <c r="F58" s="202">
        <f>IF($A58="","",INDEX('05_KAIS'!$I:$I,$A58))</f>
        <v/>
      </c>
      <c r="G58" s="118">
        <f>IF($A58="","",INDEX('05_KAIS'!$L:$L,$A58))</f>
        <v/>
      </c>
      <c r="H58" s="118">
        <f>IF($A58="","",IFERROR(INDEX('05_KAIS'!$M:$M,$A58),IF(AND(E58&gt;0,G58&gt;0),G58/E58,"")))</f>
        <v/>
      </c>
      <c r="I58" s="202">
        <f>IF($A58="","",INDEX('05_KAIS'!$N:$N,$A58))</f>
        <v/>
      </c>
      <c r="J58">
        <f>IF(B58="","",IF('02_대상물건입력'!$B$5="",1,IF(ISNUMBER(SEARCH('02_대상물건입력'!$B$5,B58)),1,0)))</f>
        <v/>
      </c>
      <c r="K58">
        <f>IF(B58="","",IF('02_대상물건입력'!$B$6="",1,IF(ISNUMBER(SEARCH('02_대상물건입력'!$B$6,B58)),1,0)))</f>
        <v/>
      </c>
      <c r="L58">
        <f>IF(D58="","",IF('02_대상물건입력'!$B$8="",0,IF(ISNUMBER(SEARCH('02_대상물건입력'!$B$8,D58)),1,0)))</f>
        <v/>
      </c>
      <c r="M58">
        <f>IFERROR(ABS(E58-'02_대상물건입력'!$B$11)/'02_대상물건입력'!$B$11,"")</f>
        <v/>
      </c>
      <c r="N58">
        <f>IFERROR(ABS('01_설정'!$B$4-F58),"")</f>
        <v/>
      </c>
      <c r="O58">
        <f>IFERROR(ABS(YEAR(I58)-YEAR('02_대상물건입력'!$B$14)),"")</f>
        <v/>
      </c>
      <c r="P58">
        <f>IF(AND(E58&gt;0,F58&gt;0,G58&gt;0,IF('01_설정'!$B$10=1,J58=1,TRUE()),M58&lt;='01_설정'!$B$5,N58&lt;='01_설정'!$B$7,O58&lt;='01_설정'!$B$8),"Y","")</f>
        <v/>
      </c>
      <c r="Q58">
        <f>IF(P58&lt;&gt;"Y","",MAX(0,(1-M58/'01_설정'!$B$5))*'01_설정'!$B$14+MAX(0,(1-N58/'01_설정'!$B$7))*'01_설정'!$B$16+MAX(0,(1-O58/'01_설정'!$B$8))*'01_설정'!$B$17+K58*'01_설정'!$B$11+L58*'01_설정'!$B$12)</f>
        <v/>
      </c>
      <c r="R58">
        <f>IF(Q58="","",1+COUNTIFS($Q$31:$Q$1030,"&gt;"&amp;Q58)+COUNTIFS($Q$31:Q58,Q58)-1)</f>
        <v/>
      </c>
    </row>
    <row r="59" hidden="1" ht="16.5" customHeight="1">
      <c r="A59">
        <f>IF(COUNTA('05_KAIS'!$A41:$N41)=0,"",32)</f>
        <v/>
      </c>
      <c r="B59">
        <f>IF($A59="","",TRIM(INDEX('05_KAIS'!$B:$B,$A59)&amp;" "&amp;INDEX('05_KAIS'!$C:$C,$A59)))</f>
        <v/>
      </c>
      <c r="C59">
        <f>IF($A59="","",INDEX('05_KAIS'!$D:$D,$A59))</f>
        <v/>
      </c>
      <c r="D59">
        <f>IF($A59="","",INDEX('05_KAIS'!$H:$H,$A59))</f>
        <v/>
      </c>
      <c r="E59">
        <f>IF($A59="","",INDEX('05_KAIS'!$K:$K,$A59))</f>
        <v/>
      </c>
      <c r="F59" s="202">
        <f>IF($A59="","",INDEX('05_KAIS'!$I:$I,$A59))</f>
        <v/>
      </c>
      <c r="G59" s="118">
        <f>IF($A59="","",INDEX('05_KAIS'!$L:$L,$A59))</f>
        <v/>
      </c>
      <c r="H59" s="118">
        <f>IF($A59="","",IFERROR(INDEX('05_KAIS'!$M:$M,$A59),IF(AND(E59&gt;0,G59&gt;0),G59/E59,"")))</f>
        <v/>
      </c>
      <c r="I59" s="202">
        <f>IF($A59="","",INDEX('05_KAIS'!$N:$N,$A59))</f>
        <v/>
      </c>
      <c r="J59">
        <f>IF(B59="","",IF('02_대상물건입력'!$B$5="",1,IF(ISNUMBER(SEARCH('02_대상물건입력'!$B$5,B59)),1,0)))</f>
        <v/>
      </c>
      <c r="K59">
        <f>IF(B59="","",IF('02_대상물건입력'!$B$6="",1,IF(ISNUMBER(SEARCH('02_대상물건입력'!$B$6,B59)),1,0)))</f>
        <v/>
      </c>
      <c r="L59">
        <f>IF(D59="","",IF('02_대상물건입력'!$B$8="",0,IF(ISNUMBER(SEARCH('02_대상물건입력'!$B$8,D59)),1,0)))</f>
        <v/>
      </c>
      <c r="M59">
        <f>IFERROR(ABS(E59-'02_대상물건입력'!$B$11)/'02_대상물건입력'!$B$11,"")</f>
        <v/>
      </c>
      <c r="N59">
        <f>IFERROR(ABS('01_설정'!$B$4-F59),"")</f>
        <v/>
      </c>
      <c r="O59">
        <f>IFERROR(ABS(YEAR(I59)-YEAR('02_대상물건입력'!$B$14)),"")</f>
        <v/>
      </c>
      <c r="P59">
        <f>IF(AND(E59&gt;0,F59&gt;0,G59&gt;0,IF('01_설정'!$B$10=1,J59=1,TRUE()),M59&lt;='01_설정'!$B$5,N59&lt;='01_설정'!$B$7,O59&lt;='01_설정'!$B$8),"Y","")</f>
        <v/>
      </c>
      <c r="Q59">
        <f>IF(P59&lt;&gt;"Y","",MAX(0,(1-M59/'01_설정'!$B$5))*'01_설정'!$B$14+MAX(0,(1-N59/'01_설정'!$B$7))*'01_설정'!$B$16+MAX(0,(1-O59/'01_설정'!$B$8))*'01_설정'!$B$17+K59*'01_설정'!$B$11+L59*'01_설정'!$B$12)</f>
        <v/>
      </c>
      <c r="R59">
        <f>IF(Q59="","",1+COUNTIFS($Q$31:$Q$1030,"&gt;"&amp;Q59)+COUNTIFS($Q$31:Q59,Q59)-1)</f>
        <v/>
      </c>
    </row>
    <row r="60" hidden="1" ht="16.5" customHeight="1">
      <c r="A60">
        <f>IF(COUNTA('05_KAIS'!$A44:$N44)=0,"",33)</f>
        <v/>
      </c>
      <c r="B60">
        <f>IF($A60="","",TRIM(INDEX('05_KAIS'!$B:$B,$A60)&amp;" "&amp;INDEX('05_KAIS'!$C:$C,$A60)))</f>
        <v/>
      </c>
      <c r="C60">
        <f>IF($A60="","",INDEX('05_KAIS'!$D:$D,$A60))</f>
        <v/>
      </c>
      <c r="D60">
        <f>IF($A60="","",INDEX('05_KAIS'!$H:$H,$A60))</f>
        <v/>
      </c>
      <c r="E60">
        <f>IF($A60="","",INDEX('05_KAIS'!$K:$K,$A60))</f>
        <v/>
      </c>
      <c r="F60" s="202">
        <f>IF($A60="","",INDEX('05_KAIS'!$I:$I,$A60))</f>
        <v/>
      </c>
      <c r="G60" s="118">
        <f>IF($A60="","",INDEX('05_KAIS'!$L:$L,$A60))</f>
        <v/>
      </c>
      <c r="H60" s="118">
        <f>IF($A60="","",IFERROR(INDEX('05_KAIS'!$M:$M,$A60),IF(AND(E60&gt;0,G60&gt;0),G60/E60,"")))</f>
        <v/>
      </c>
      <c r="I60" s="202">
        <f>IF($A60="","",INDEX('05_KAIS'!$N:$N,$A60))</f>
        <v/>
      </c>
      <c r="J60">
        <f>IF(B60="","",IF('02_대상물건입력'!$B$5="",1,IF(ISNUMBER(SEARCH('02_대상물건입력'!$B$5,B60)),1,0)))</f>
        <v/>
      </c>
      <c r="K60">
        <f>IF(B60="","",IF('02_대상물건입력'!$B$6="",1,IF(ISNUMBER(SEARCH('02_대상물건입력'!$B$6,B60)),1,0)))</f>
        <v/>
      </c>
      <c r="L60">
        <f>IF(D60="","",IF('02_대상물건입력'!$B$8="",0,IF(ISNUMBER(SEARCH('02_대상물건입력'!$B$8,D60)),1,0)))</f>
        <v/>
      </c>
      <c r="M60">
        <f>IFERROR(ABS(E60-'02_대상물건입력'!$B$11)/'02_대상물건입력'!$B$11,"")</f>
        <v/>
      </c>
      <c r="N60">
        <f>IFERROR(ABS('01_설정'!$B$4-F60),"")</f>
        <v/>
      </c>
      <c r="O60">
        <f>IFERROR(ABS(YEAR(I60)-YEAR('02_대상물건입력'!$B$14)),"")</f>
        <v/>
      </c>
      <c r="P60">
        <f>IF(AND(E60&gt;0,F60&gt;0,G60&gt;0,IF('01_설정'!$B$10=1,J60=1,TRUE()),M60&lt;='01_설정'!$B$5,N60&lt;='01_설정'!$B$7,O60&lt;='01_설정'!$B$8),"Y","")</f>
        <v/>
      </c>
      <c r="Q60">
        <f>IF(P60&lt;&gt;"Y","",MAX(0,(1-M60/'01_설정'!$B$5))*'01_설정'!$B$14+MAX(0,(1-N60/'01_설정'!$B$7))*'01_설정'!$B$16+MAX(0,(1-O60/'01_설정'!$B$8))*'01_설정'!$B$17+K60*'01_설정'!$B$11+L60*'01_설정'!$B$12)</f>
        <v/>
      </c>
      <c r="R60">
        <f>IF(Q60="","",1+COUNTIFS($Q$31:$Q$1030,"&gt;"&amp;Q60)+COUNTIFS($Q$31:Q60,Q60)-1)</f>
        <v/>
      </c>
    </row>
    <row r="61" hidden="1" ht="16.5" customHeight="1">
      <c r="A61">
        <f>IF(COUNTA('05_KAIS'!$A45:$N45)=0,"",34)</f>
        <v/>
      </c>
      <c r="B61">
        <f>IF($A61="","",TRIM(INDEX('05_KAIS'!$B:$B,$A61)&amp;" "&amp;INDEX('05_KAIS'!$C:$C,$A61)))</f>
        <v/>
      </c>
      <c r="C61">
        <f>IF($A61="","",INDEX('05_KAIS'!$D:$D,$A61))</f>
        <v/>
      </c>
      <c r="D61">
        <f>IF($A61="","",INDEX('05_KAIS'!$H:$H,$A61))</f>
        <v/>
      </c>
      <c r="E61">
        <f>IF($A61="","",INDEX('05_KAIS'!$K:$K,$A61))</f>
        <v/>
      </c>
      <c r="F61" s="202">
        <f>IF($A61="","",INDEX('05_KAIS'!$I:$I,$A61))</f>
        <v/>
      </c>
      <c r="G61" s="118">
        <f>IF($A61="","",INDEX('05_KAIS'!$L:$L,$A61))</f>
        <v/>
      </c>
      <c r="H61" s="118">
        <f>IF($A61="","",IFERROR(INDEX('05_KAIS'!$M:$M,$A61),IF(AND(E61&gt;0,G61&gt;0),G61/E61,"")))</f>
        <v/>
      </c>
      <c r="I61" s="202">
        <f>IF($A61="","",INDEX('05_KAIS'!$N:$N,$A61))</f>
        <v/>
      </c>
      <c r="J61">
        <f>IF(B61="","",IF('02_대상물건입력'!$B$5="",1,IF(ISNUMBER(SEARCH('02_대상물건입력'!$B$5,B61)),1,0)))</f>
        <v/>
      </c>
      <c r="K61">
        <f>IF(B61="","",IF('02_대상물건입력'!$B$6="",1,IF(ISNUMBER(SEARCH('02_대상물건입력'!$B$6,B61)),1,0)))</f>
        <v/>
      </c>
      <c r="L61">
        <f>IF(D61="","",IF('02_대상물건입력'!$B$8="",0,IF(ISNUMBER(SEARCH('02_대상물건입력'!$B$8,D61)),1,0)))</f>
        <v/>
      </c>
      <c r="M61">
        <f>IFERROR(ABS(E61-'02_대상물건입력'!$B$11)/'02_대상물건입력'!$B$11,"")</f>
        <v/>
      </c>
      <c r="N61">
        <f>IFERROR(ABS('01_설정'!$B$4-F61),"")</f>
        <v/>
      </c>
      <c r="O61">
        <f>IFERROR(ABS(YEAR(I61)-YEAR('02_대상물건입력'!$B$14)),"")</f>
        <v/>
      </c>
      <c r="P61">
        <f>IF(AND(E61&gt;0,F61&gt;0,G61&gt;0,IF('01_설정'!$B$10=1,J61=1,TRUE()),M61&lt;='01_설정'!$B$5,N61&lt;='01_설정'!$B$7,O61&lt;='01_설정'!$B$8),"Y","")</f>
        <v/>
      </c>
      <c r="Q61">
        <f>IF(P61&lt;&gt;"Y","",MAX(0,(1-M61/'01_설정'!$B$5))*'01_설정'!$B$14+MAX(0,(1-N61/'01_설정'!$B$7))*'01_설정'!$B$16+MAX(0,(1-O61/'01_설정'!$B$8))*'01_설정'!$B$17+K61*'01_설정'!$B$11+L61*'01_설정'!$B$12)</f>
        <v/>
      </c>
      <c r="R61">
        <f>IF(Q61="","",1+COUNTIFS($Q$31:$Q$1030,"&gt;"&amp;Q61)+COUNTIFS($Q$31:Q61,Q61)-1)</f>
        <v/>
      </c>
    </row>
    <row r="62" hidden="1" ht="16.5" customHeight="1">
      <c r="A62">
        <f>IF(COUNTA('05_KAIS'!$A46:$N46)=0,"",35)</f>
        <v/>
      </c>
      <c r="B62">
        <f>IF($A62="","",TRIM(INDEX('05_KAIS'!$B:$B,$A62)&amp;" "&amp;INDEX('05_KAIS'!$C:$C,$A62)))</f>
        <v/>
      </c>
      <c r="C62">
        <f>IF($A62="","",INDEX('05_KAIS'!$D:$D,$A62))</f>
        <v/>
      </c>
      <c r="D62">
        <f>IF($A62="","",INDEX('05_KAIS'!$H:$H,$A62))</f>
        <v/>
      </c>
      <c r="E62">
        <f>IF($A62="","",INDEX('05_KAIS'!$K:$K,$A62))</f>
        <v/>
      </c>
      <c r="F62" s="202">
        <f>IF($A62="","",INDEX('05_KAIS'!$I:$I,$A62))</f>
        <v/>
      </c>
      <c r="G62" s="118">
        <f>IF($A62="","",INDEX('05_KAIS'!$L:$L,$A62))</f>
        <v/>
      </c>
      <c r="H62" s="118">
        <f>IF($A62="","",IFERROR(INDEX('05_KAIS'!$M:$M,$A62),IF(AND(E62&gt;0,G62&gt;0),G62/E62,"")))</f>
        <v/>
      </c>
      <c r="I62" s="202">
        <f>IF($A62="","",INDEX('05_KAIS'!$N:$N,$A62))</f>
        <v/>
      </c>
      <c r="J62">
        <f>IF(B62="","",IF('02_대상물건입력'!$B$5="",1,IF(ISNUMBER(SEARCH('02_대상물건입력'!$B$5,B62)),1,0)))</f>
        <v/>
      </c>
      <c r="K62">
        <f>IF(B62="","",IF('02_대상물건입력'!$B$6="",1,IF(ISNUMBER(SEARCH('02_대상물건입력'!$B$6,B62)),1,0)))</f>
        <v/>
      </c>
      <c r="L62">
        <f>IF(D62="","",IF('02_대상물건입력'!$B$8="",0,IF(ISNUMBER(SEARCH('02_대상물건입력'!$B$8,D62)),1,0)))</f>
        <v/>
      </c>
      <c r="M62">
        <f>IFERROR(ABS(E62-'02_대상물건입력'!$B$11)/'02_대상물건입력'!$B$11,"")</f>
        <v/>
      </c>
      <c r="N62">
        <f>IFERROR(ABS('01_설정'!$B$4-F62),"")</f>
        <v/>
      </c>
      <c r="O62">
        <f>IFERROR(ABS(YEAR(I62)-YEAR('02_대상물건입력'!$B$14)),"")</f>
        <v/>
      </c>
      <c r="P62">
        <f>IF(AND(E62&gt;0,F62&gt;0,G62&gt;0,IF('01_설정'!$B$10=1,J62=1,TRUE()),M62&lt;='01_설정'!$B$5,N62&lt;='01_설정'!$B$7,O62&lt;='01_설정'!$B$8),"Y","")</f>
        <v/>
      </c>
      <c r="Q62">
        <f>IF(P62&lt;&gt;"Y","",MAX(0,(1-M62/'01_설정'!$B$5))*'01_설정'!$B$14+MAX(0,(1-N62/'01_설정'!$B$7))*'01_설정'!$B$16+MAX(0,(1-O62/'01_설정'!$B$8))*'01_설정'!$B$17+K62*'01_설정'!$B$11+L62*'01_설정'!$B$12)</f>
        <v/>
      </c>
      <c r="R62">
        <f>IF(Q62="","",1+COUNTIFS($Q$31:$Q$1030,"&gt;"&amp;Q62)+COUNTIFS($Q$31:Q62,Q62)-1)</f>
        <v/>
      </c>
    </row>
    <row r="63" hidden="1" ht="16.5" customHeight="1">
      <c r="A63">
        <f>IF(COUNTA('05_KAIS'!$A49:$N49)=0,"",36)</f>
        <v/>
      </c>
      <c r="B63">
        <f>IF($A63="","",TRIM(INDEX('05_KAIS'!$B:$B,$A63)&amp;" "&amp;INDEX('05_KAIS'!$C:$C,$A63)))</f>
        <v/>
      </c>
      <c r="C63">
        <f>IF($A63="","",INDEX('05_KAIS'!$D:$D,$A63))</f>
        <v/>
      </c>
      <c r="D63">
        <f>IF($A63="","",INDEX('05_KAIS'!$H:$H,$A63))</f>
        <v/>
      </c>
      <c r="E63">
        <f>IF($A63="","",INDEX('05_KAIS'!$K:$K,$A63))</f>
        <v/>
      </c>
      <c r="F63" s="202">
        <f>IF($A63="","",INDEX('05_KAIS'!$I:$I,$A63))</f>
        <v/>
      </c>
      <c r="G63" s="118">
        <f>IF($A63="","",INDEX('05_KAIS'!$L:$L,$A63))</f>
        <v/>
      </c>
      <c r="H63" s="118">
        <f>IF($A63="","",IFERROR(INDEX('05_KAIS'!$M:$M,$A63),IF(AND(E63&gt;0,G63&gt;0),G63/E63,"")))</f>
        <v/>
      </c>
      <c r="I63" s="202">
        <f>IF($A63="","",INDEX('05_KAIS'!$N:$N,$A63))</f>
        <v/>
      </c>
      <c r="J63">
        <f>IF(B63="","",IF('02_대상물건입력'!$B$5="",1,IF(ISNUMBER(SEARCH('02_대상물건입력'!$B$5,B63)),1,0)))</f>
        <v/>
      </c>
      <c r="K63">
        <f>IF(B63="","",IF('02_대상물건입력'!$B$6="",1,IF(ISNUMBER(SEARCH('02_대상물건입력'!$B$6,B63)),1,0)))</f>
        <v/>
      </c>
      <c r="L63">
        <f>IF(D63="","",IF('02_대상물건입력'!$B$8="",0,IF(ISNUMBER(SEARCH('02_대상물건입력'!$B$8,D63)),1,0)))</f>
        <v/>
      </c>
      <c r="M63">
        <f>IFERROR(ABS(E63-'02_대상물건입력'!$B$11)/'02_대상물건입력'!$B$11,"")</f>
        <v/>
      </c>
      <c r="N63">
        <f>IFERROR(ABS('01_설정'!$B$4-F63),"")</f>
        <v/>
      </c>
      <c r="O63">
        <f>IFERROR(ABS(YEAR(I63)-YEAR('02_대상물건입력'!$B$14)),"")</f>
        <v/>
      </c>
      <c r="P63">
        <f>IF(AND(E63&gt;0,F63&gt;0,G63&gt;0,IF('01_설정'!$B$10=1,J63=1,TRUE()),M63&lt;='01_설정'!$B$5,N63&lt;='01_설정'!$B$7,O63&lt;='01_설정'!$B$8),"Y","")</f>
        <v/>
      </c>
      <c r="Q63">
        <f>IF(P63&lt;&gt;"Y","",MAX(0,(1-M63/'01_설정'!$B$5))*'01_설정'!$B$14+MAX(0,(1-N63/'01_설정'!$B$7))*'01_설정'!$B$16+MAX(0,(1-O63/'01_설정'!$B$8))*'01_설정'!$B$17+K63*'01_설정'!$B$11+L63*'01_설정'!$B$12)</f>
        <v/>
      </c>
      <c r="R63">
        <f>IF(Q63="","",1+COUNTIFS($Q$31:$Q$1030,"&gt;"&amp;Q63)+COUNTIFS($Q$31:Q63,Q63)-1)</f>
        <v/>
      </c>
    </row>
    <row r="64" hidden="1" ht="16.5" customHeight="1">
      <c r="A64">
        <f>IF(COUNTA('05_KAIS'!$A50:$N50)=0,"",37)</f>
        <v/>
      </c>
      <c r="B64">
        <f>IF($A64="","",TRIM(INDEX('05_KAIS'!$B:$B,$A64)&amp;" "&amp;INDEX('05_KAIS'!$C:$C,$A64)))</f>
        <v/>
      </c>
      <c r="C64">
        <f>IF($A64="","",INDEX('05_KAIS'!$D:$D,$A64))</f>
        <v/>
      </c>
      <c r="D64">
        <f>IF($A64="","",INDEX('05_KAIS'!$H:$H,$A64))</f>
        <v/>
      </c>
      <c r="E64">
        <f>IF($A64="","",INDEX('05_KAIS'!$K:$K,$A64))</f>
        <v/>
      </c>
      <c r="F64" s="202">
        <f>IF($A64="","",INDEX('05_KAIS'!$I:$I,$A64))</f>
        <v/>
      </c>
      <c r="G64" s="118">
        <f>IF($A64="","",INDEX('05_KAIS'!$L:$L,$A64))</f>
        <v/>
      </c>
      <c r="H64" s="118">
        <f>IF($A64="","",IFERROR(INDEX('05_KAIS'!$M:$M,$A64),IF(AND(E64&gt;0,G64&gt;0),G64/E64,"")))</f>
        <v/>
      </c>
      <c r="I64" s="202">
        <f>IF($A64="","",INDEX('05_KAIS'!$N:$N,$A64))</f>
        <v/>
      </c>
      <c r="J64">
        <f>IF(B64="","",IF('02_대상물건입력'!$B$5="",1,IF(ISNUMBER(SEARCH('02_대상물건입력'!$B$5,B64)),1,0)))</f>
        <v/>
      </c>
      <c r="K64">
        <f>IF(B64="","",IF('02_대상물건입력'!$B$6="",1,IF(ISNUMBER(SEARCH('02_대상물건입력'!$B$6,B64)),1,0)))</f>
        <v/>
      </c>
      <c r="L64">
        <f>IF(D64="","",IF('02_대상물건입력'!$B$8="",0,IF(ISNUMBER(SEARCH('02_대상물건입력'!$B$8,D64)),1,0)))</f>
        <v/>
      </c>
      <c r="M64">
        <f>IFERROR(ABS(E64-'02_대상물건입력'!$B$11)/'02_대상물건입력'!$B$11,"")</f>
        <v/>
      </c>
      <c r="N64">
        <f>IFERROR(ABS('01_설정'!$B$4-F64),"")</f>
        <v/>
      </c>
      <c r="O64">
        <f>IFERROR(ABS(YEAR(I64)-YEAR('02_대상물건입력'!$B$14)),"")</f>
        <v/>
      </c>
      <c r="P64">
        <f>IF(AND(E64&gt;0,F64&gt;0,G64&gt;0,IF('01_설정'!$B$10=1,J64=1,TRUE()),M64&lt;='01_설정'!$B$5,N64&lt;='01_설정'!$B$7,O64&lt;='01_설정'!$B$8),"Y","")</f>
        <v/>
      </c>
      <c r="Q64">
        <f>IF(P64&lt;&gt;"Y","",MAX(0,(1-M64/'01_설정'!$B$5))*'01_설정'!$B$14+MAX(0,(1-N64/'01_설정'!$B$7))*'01_설정'!$B$16+MAX(0,(1-O64/'01_설정'!$B$8))*'01_설정'!$B$17+K64*'01_설정'!$B$11+L64*'01_설정'!$B$12)</f>
        <v/>
      </c>
      <c r="R64">
        <f>IF(Q64="","",1+COUNTIFS($Q$31:$Q$1030,"&gt;"&amp;Q64)+COUNTIFS($Q$31:Q64,Q64)-1)</f>
        <v/>
      </c>
    </row>
    <row r="65" hidden="1" ht="16.5" customHeight="1">
      <c r="A65">
        <f>IF(COUNTA('05_KAIS'!$A51:$N51)=0,"",38)</f>
        <v/>
      </c>
      <c r="B65">
        <f>IF($A65="","",TRIM(INDEX('05_KAIS'!$B:$B,$A65)&amp;" "&amp;INDEX('05_KAIS'!$C:$C,$A65)))</f>
        <v/>
      </c>
      <c r="C65">
        <f>IF($A65="","",INDEX('05_KAIS'!$D:$D,$A65))</f>
        <v/>
      </c>
      <c r="D65">
        <f>IF($A65="","",INDEX('05_KAIS'!$H:$H,$A65))</f>
        <v/>
      </c>
      <c r="E65">
        <f>IF($A65="","",INDEX('05_KAIS'!$K:$K,$A65))</f>
        <v/>
      </c>
      <c r="F65" s="202">
        <f>IF($A65="","",INDEX('05_KAIS'!$I:$I,$A65))</f>
        <v/>
      </c>
      <c r="G65" s="118">
        <f>IF($A65="","",INDEX('05_KAIS'!$L:$L,$A65))</f>
        <v/>
      </c>
      <c r="H65" s="118">
        <f>IF($A65="","",IFERROR(INDEX('05_KAIS'!$M:$M,$A65),IF(AND(E65&gt;0,G65&gt;0),G65/E65,"")))</f>
        <v/>
      </c>
      <c r="I65" s="202">
        <f>IF($A65="","",INDEX('05_KAIS'!$N:$N,$A65))</f>
        <v/>
      </c>
      <c r="J65">
        <f>IF(B65="","",IF('02_대상물건입력'!$B$5="",1,IF(ISNUMBER(SEARCH('02_대상물건입력'!$B$5,B65)),1,0)))</f>
        <v/>
      </c>
      <c r="K65">
        <f>IF(B65="","",IF('02_대상물건입력'!$B$6="",1,IF(ISNUMBER(SEARCH('02_대상물건입력'!$B$6,B65)),1,0)))</f>
        <v/>
      </c>
      <c r="L65">
        <f>IF(D65="","",IF('02_대상물건입력'!$B$8="",0,IF(ISNUMBER(SEARCH('02_대상물건입력'!$B$8,D65)),1,0)))</f>
        <v/>
      </c>
      <c r="M65">
        <f>IFERROR(ABS(E65-'02_대상물건입력'!$B$11)/'02_대상물건입력'!$B$11,"")</f>
        <v/>
      </c>
      <c r="N65">
        <f>IFERROR(ABS('01_설정'!$B$4-F65),"")</f>
        <v/>
      </c>
      <c r="O65">
        <f>IFERROR(ABS(YEAR(I65)-YEAR('02_대상물건입력'!$B$14)),"")</f>
        <v/>
      </c>
      <c r="P65">
        <f>IF(AND(E65&gt;0,F65&gt;0,G65&gt;0,IF('01_설정'!$B$10=1,J65=1,TRUE()),M65&lt;='01_설정'!$B$5,N65&lt;='01_설정'!$B$7,O65&lt;='01_설정'!$B$8),"Y","")</f>
        <v/>
      </c>
      <c r="Q65">
        <f>IF(P65&lt;&gt;"Y","",MAX(0,(1-M65/'01_설정'!$B$5))*'01_설정'!$B$14+MAX(0,(1-N65/'01_설정'!$B$7))*'01_설정'!$B$16+MAX(0,(1-O65/'01_설정'!$B$8))*'01_설정'!$B$17+K65*'01_설정'!$B$11+L65*'01_설정'!$B$12)</f>
        <v/>
      </c>
      <c r="R65">
        <f>IF(Q65="","",1+COUNTIFS($Q$31:$Q$1030,"&gt;"&amp;Q65)+COUNTIFS($Q$31:Q65,Q65)-1)</f>
        <v/>
      </c>
    </row>
    <row r="66" hidden="1" ht="16.5" customHeight="1">
      <c r="A66">
        <f>IF(COUNTA('05_KAIS'!$A54:$N54)=0,"",39)</f>
        <v/>
      </c>
      <c r="B66">
        <f>IF($A66="","",TRIM(INDEX('05_KAIS'!$B:$B,$A66)&amp;" "&amp;INDEX('05_KAIS'!$C:$C,$A66)))</f>
        <v/>
      </c>
      <c r="C66">
        <f>IF($A66="","",INDEX('05_KAIS'!$D:$D,$A66))</f>
        <v/>
      </c>
      <c r="D66">
        <f>IF($A66="","",INDEX('05_KAIS'!$H:$H,$A66))</f>
        <v/>
      </c>
      <c r="E66">
        <f>IF($A66="","",INDEX('05_KAIS'!$K:$K,$A66))</f>
        <v/>
      </c>
      <c r="F66" s="202">
        <f>IF($A66="","",INDEX('05_KAIS'!$I:$I,$A66))</f>
        <v/>
      </c>
      <c r="G66" s="118">
        <f>IF($A66="","",INDEX('05_KAIS'!$L:$L,$A66))</f>
        <v/>
      </c>
      <c r="H66" s="118">
        <f>IF($A66="","",IFERROR(INDEX('05_KAIS'!$M:$M,$A66),IF(AND(E66&gt;0,G66&gt;0),G66/E66,"")))</f>
        <v/>
      </c>
      <c r="I66" s="202">
        <f>IF($A66="","",INDEX('05_KAIS'!$N:$N,$A66))</f>
        <v/>
      </c>
      <c r="J66">
        <f>IF(B66="","",IF('02_대상물건입력'!$B$5="",1,IF(ISNUMBER(SEARCH('02_대상물건입력'!$B$5,B66)),1,0)))</f>
        <v/>
      </c>
      <c r="K66">
        <f>IF(B66="","",IF('02_대상물건입력'!$B$6="",1,IF(ISNUMBER(SEARCH('02_대상물건입력'!$B$6,B66)),1,0)))</f>
        <v/>
      </c>
      <c r="L66">
        <f>IF(D66="","",IF('02_대상물건입력'!$B$8="",0,IF(ISNUMBER(SEARCH('02_대상물건입력'!$B$8,D66)),1,0)))</f>
        <v/>
      </c>
      <c r="M66">
        <f>IFERROR(ABS(E66-'02_대상물건입력'!$B$11)/'02_대상물건입력'!$B$11,"")</f>
        <v/>
      </c>
      <c r="N66">
        <f>IFERROR(ABS('01_설정'!$B$4-F66),"")</f>
        <v/>
      </c>
      <c r="O66">
        <f>IFERROR(ABS(YEAR(I66)-YEAR('02_대상물건입력'!$B$14)),"")</f>
        <v/>
      </c>
      <c r="P66">
        <f>IF(AND(E66&gt;0,F66&gt;0,G66&gt;0,IF('01_설정'!$B$10=1,J66=1,TRUE()),M66&lt;='01_설정'!$B$5,N66&lt;='01_설정'!$B$7,O66&lt;='01_설정'!$B$8),"Y","")</f>
        <v/>
      </c>
      <c r="Q66">
        <f>IF(P66&lt;&gt;"Y","",MAX(0,(1-M66/'01_설정'!$B$5))*'01_설정'!$B$14+MAX(0,(1-N66/'01_설정'!$B$7))*'01_설정'!$B$16+MAX(0,(1-O66/'01_설정'!$B$8))*'01_설정'!$B$17+K66*'01_설정'!$B$11+L66*'01_설정'!$B$12)</f>
        <v/>
      </c>
      <c r="R66">
        <f>IF(Q66="","",1+COUNTIFS($Q$31:$Q$1030,"&gt;"&amp;Q66)+COUNTIFS($Q$31:Q66,Q66)-1)</f>
        <v/>
      </c>
    </row>
    <row r="67" hidden="1" ht="16.5" customHeight="1">
      <c r="A67">
        <f>IF(COUNTA('05_KAIS'!$A55:$N55)=0,"",40)</f>
        <v/>
      </c>
      <c r="B67">
        <f>IF($A67="","",TRIM(INDEX('05_KAIS'!$B:$B,$A67)&amp;" "&amp;INDEX('05_KAIS'!$C:$C,$A67)))</f>
        <v/>
      </c>
      <c r="C67">
        <f>IF($A67="","",INDEX('05_KAIS'!$D:$D,$A67))</f>
        <v/>
      </c>
      <c r="D67">
        <f>IF($A67="","",INDEX('05_KAIS'!$H:$H,$A67))</f>
        <v/>
      </c>
      <c r="E67">
        <f>IF($A67="","",INDEX('05_KAIS'!$K:$K,$A67))</f>
        <v/>
      </c>
      <c r="F67" s="202">
        <f>IF($A67="","",INDEX('05_KAIS'!$I:$I,$A67))</f>
        <v/>
      </c>
      <c r="G67" s="118">
        <f>IF($A67="","",INDEX('05_KAIS'!$L:$L,$A67))</f>
        <v/>
      </c>
      <c r="H67" s="118">
        <f>IF($A67="","",IFERROR(INDEX('05_KAIS'!$M:$M,$A67),IF(AND(E67&gt;0,G67&gt;0),G67/E67,"")))</f>
        <v/>
      </c>
      <c r="I67" s="202">
        <f>IF($A67="","",INDEX('05_KAIS'!$N:$N,$A67))</f>
        <v/>
      </c>
      <c r="J67">
        <f>IF(B67="","",IF('02_대상물건입력'!$B$5="",1,IF(ISNUMBER(SEARCH('02_대상물건입력'!$B$5,B67)),1,0)))</f>
        <v/>
      </c>
      <c r="K67">
        <f>IF(B67="","",IF('02_대상물건입력'!$B$6="",1,IF(ISNUMBER(SEARCH('02_대상물건입력'!$B$6,B67)),1,0)))</f>
        <v/>
      </c>
      <c r="L67">
        <f>IF(D67="","",IF('02_대상물건입력'!$B$8="",0,IF(ISNUMBER(SEARCH('02_대상물건입력'!$B$8,D67)),1,0)))</f>
        <v/>
      </c>
      <c r="M67">
        <f>IFERROR(ABS(E67-'02_대상물건입력'!$B$11)/'02_대상물건입력'!$B$11,"")</f>
        <v/>
      </c>
      <c r="N67">
        <f>IFERROR(ABS('01_설정'!$B$4-F67),"")</f>
        <v/>
      </c>
      <c r="O67">
        <f>IFERROR(ABS(YEAR(I67)-YEAR('02_대상물건입력'!$B$14)),"")</f>
        <v/>
      </c>
      <c r="P67">
        <f>IF(AND(E67&gt;0,F67&gt;0,G67&gt;0,IF('01_설정'!$B$10=1,J67=1,TRUE()),M67&lt;='01_설정'!$B$5,N67&lt;='01_설정'!$B$7,O67&lt;='01_설정'!$B$8),"Y","")</f>
        <v/>
      </c>
      <c r="Q67">
        <f>IF(P67&lt;&gt;"Y","",MAX(0,(1-M67/'01_설정'!$B$5))*'01_설정'!$B$14+MAX(0,(1-N67/'01_설정'!$B$7))*'01_설정'!$B$16+MAX(0,(1-O67/'01_설정'!$B$8))*'01_설정'!$B$17+K67*'01_설정'!$B$11+L67*'01_설정'!$B$12)</f>
        <v/>
      </c>
      <c r="R67">
        <f>IF(Q67="","",1+COUNTIFS($Q$31:$Q$1030,"&gt;"&amp;Q67)+COUNTIFS($Q$31:Q67,Q67)-1)</f>
        <v/>
      </c>
    </row>
    <row r="68" hidden="1" ht="16.5" customHeight="1">
      <c r="A68">
        <f>IF(COUNTA('05_KAIS'!$A56:$N56)=0,"",41)</f>
        <v/>
      </c>
      <c r="B68">
        <f>IF($A68="","",TRIM(INDEX('05_KAIS'!$B:$B,$A68)&amp;" "&amp;INDEX('05_KAIS'!$C:$C,$A68)))</f>
        <v/>
      </c>
      <c r="C68">
        <f>IF($A68="","",INDEX('05_KAIS'!$D:$D,$A68))</f>
        <v/>
      </c>
      <c r="D68">
        <f>IF($A68="","",INDEX('05_KAIS'!$H:$H,$A68))</f>
        <v/>
      </c>
      <c r="E68">
        <f>IF($A68="","",INDEX('05_KAIS'!$K:$K,$A68))</f>
        <v/>
      </c>
      <c r="F68" s="202">
        <f>IF($A68="","",INDEX('05_KAIS'!$I:$I,$A68))</f>
        <v/>
      </c>
      <c r="G68" s="118">
        <f>IF($A68="","",INDEX('05_KAIS'!$L:$L,$A68))</f>
        <v/>
      </c>
      <c r="H68" s="118">
        <f>IF($A68="","",IFERROR(INDEX('05_KAIS'!$M:$M,$A68),IF(AND(E68&gt;0,G68&gt;0),G68/E68,"")))</f>
        <v/>
      </c>
      <c r="I68" s="202">
        <f>IF($A68="","",INDEX('05_KAIS'!$N:$N,$A68))</f>
        <v/>
      </c>
      <c r="J68">
        <f>IF(B68="","",IF('02_대상물건입력'!$B$5="",1,IF(ISNUMBER(SEARCH('02_대상물건입력'!$B$5,B68)),1,0)))</f>
        <v/>
      </c>
      <c r="K68">
        <f>IF(B68="","",IF('02_대상물건입력'!$B$6="",1,IF(ISNUMBER(SEARCH('02_대상물건입력'!$B$6,B68)),1,0)))</f>
        <v/>
      </c>
      <c r="L68">
        <f>IF(D68="","",IF('02_대상물건입력'!$B$8="",0,IF(ISNUMBER(SEARCH('02_대상물건입력'!$B$8,D68)),1,0)))</f>
        <v/>
      </c>
      <c r="M68">
        <f>IFERROR(ABS(E68-'02_대상물건입력'!$B$11)/'02_대상물건입력'!$B$11,"")</f>
        <v/>
      </c>
      <c r="N68">
        <f>IFERROR(ABS('01_설정'!$B$4-F68),"")</f>
        <v/>
      </c>
      <c r="O68">
        <f>IFERROR(ABS(YEAR(I68)-YEAR('02_대상물건입력'!$B$14)),"")</f>
        <v/>
      </c>
      <c r="P68">
        <f>IF(AND(E68&gt;0,F68&gt;0,G68&gt;0,IF('01_설정'!$B$10=1,J68=1,TRUE()),M68&lt;='01_설정'!$B$5,N68&lt;='01_설정'!$B$7,O68&lt;='01_설정'!$B$8),"Y","")</f>
        <v/>
      </c>
      <c r="Q68">
        <f>IF(P68&lt;&gt;"Y","",MAX(0,(1-M68/'01_설정'!$B$5))*'01_설정'!$B$14+MAX(0,(1-N68/'01_설정'!$B$7))*'01_설정'!$B$16+MAX(0,(1-O68/'01_설정'!$B$8))*'01_설정'!$B$17+K68*'01_설정'!$B$11+L68*'01_설정'!$B$12)</f>
        <v/>
      </c>
      <c r="R68">
        <f>IF(Q68="","",1+COUNTIFS($Q$31:$Q$1030,"&gt;"&amp;Q68)+COUNTIFS($Q$31:Q68,Q68)-1)</f>
        <v/>
      </c>
    </row>
    <row r="69" hidden="1" ht="16.5" customHeight="1">
      <c r="A69">
        <f>IF(COUNTA('05_KAIS'!$A57:$N57)=0,"",42)</f>
        <v/>
      </c>
      <c r="B69">
        <f>IF($A69="","",TRIM(INDEX('05_KAIS'!$B:$B,$A69)&amp;" "&amp;INDEX('05_KAIS'!$C:$C,$A69)))</f>
        <v/>
      </c>
      <c r="C69">
        <f>IF($A69="","",INDEX('05_KAIS'!$D:$D,$A69))</f>
        <v/>
      </c>
      <c r="D69">
        <f>IF($A69="","",INDEX('05_KAIS'!$H:$H,$A69))</f>
        <v/>
      </c>
      <c r="E69">
        <f>IF($A69="","",INDEX('05_KAIS'!$K:$K,$A69))</f>
        <v/>
      </c>
      <c r="F69" s="202">
        <f>IF($A69="","",INDEX('05_KAIS'!$I:$I,$A69))</f>
        <v/>
      </c>
      <c r="G69" s="118">
        <f>IF($A69="","",INDEX('05_KAIS'!$L:$L,$A69))</f>
        <v/>
      </c>
      <c r="H69" s="118">
        <f>IF($A69="","",IFERROR(INDEX('05_KAIS'!$M:$M,$A69),IF(AND(E69&gt;0,G69&gt;0),G69/E69,"")))</f>
        <v/>
      </c>
      <c r="I69" s="202">
        <f>IF($A69="","",INDEX('05_KAIS'!$N:$N,$A69))</f>
        <v/>
      </c>
      <c r="J69">
        <f>IF(B69="","",IF('02_대상물건입력'!$B$5="",1,IF(ISNUMBER(SEARCH('02_대상물건입력'!$B$5,B69)),1,0)))</f>
        <v/>
      </c>
      <c r="K69">
        <f>IF(B69="","",IF('02_대상물건입력'!$B$6="",1,IF(ISNUMBER(SEARCH('02_대상물건입력'!$B$6,B69)),1,0)))</f>
        <v/>
      </c>
      <c r="L69">
        <f>IF(D69="","",IF('02_대상물건입력'!$B$8="",0,IF(ISNUMBER(SEARCH('02_대상물건입력'!$B$8,D69)),1,0)))</f>
        <v/>
      </c>
      <c r="M69">
        <f>IFERROR(ABS(E69-'02_대상물건입력'!$B$11)/'02_대상물건입력'!$B$11,"")</f>
        <v/>
      </c>
      <c r="N69">
        <f>IFERROR(ABS('01_설정'!$B$4-F69),"")</f>
        <v/>
      </c>
      <c r="O69">
        <f>IFERROR(ABS(YEAR(I69)-YEAR('02_대상물건입력'!$B$14)),"")</f>
        <v/>
      </c>
      <c r="P69">
        <f>IF(AND(E69&gt;0,F69&gt;0,G69&gt;0,IF('01_설정'!$B$10=1,J69=1,TRUE()),M69&lt;='01_설정'!$B$5,N69&lt;='01_설정'!$B$7,O69&lt;='01_설정'!$B$8),"Y","")</f>
        <v/>
      </c>
      <c r="Q69">
        <f>IF(P69&lt;&gt;"Y","",MAX(0,(1-M69/'01_설정'!$B$5))*'01_설정'!$B$14+MAX(0,(1-N69/'01_설정'!$B$7))*'01_설정'!$B$16+MAX(0,(1-O69/'01_설정'!$B$8))*'01_설정'!$B$17+K69*'01_설정'!$B$11+L69*'01_설정'!$B$12)</f>
        <v/>
      </c>
      <c r="R69">
        <f>IF(Q69="","",1+COUNTIFS($Q$31:$Q$1030,"&gt;"&amp;Q69)+COUNTIFS($Q$31:Q69,Q69)-1)</f>
        <v/>
      </c>
    </row>
    <row r="70" hidden="1" ht="16.5" customHeight="1">
      <c r="A70">
        <f>IF(COUNTA('05_KAIS'!$A58:$N58)=0,"",43)</f>
        <v/>
      </c>
      <c r="B70">
        <f>IF($A70="","",TRIM(INDEX('05_KAIS'!$B:$B,$A70)&amp;" "&amp;INDEX('05_KAIS'!$C:$C,$A70)))</f>
        <v/>
      </c>
      <c r="C70">
        <f>IF($A70="","",INDEX('05_KAIS'!$D:$D,$A70))</f>
        <v/>
      </c>
      <c r="D70">
        <f>IF($A70="","",INDEX('05_KAIS'!$H:$H,$A70))</f>
        <v/>
      </c>
      <c r="E70">
        <f>IF($A70="","",INDEX('05_KAIS'!$K:$K,$A70))</f>
        <v/>
      </c>
      <c r="F70" s="202">
        <f>IF($A70="","",INDEX('05_KAIS'!$I:$I,$A70))</f>
        <v/>
      </c>
      <c r="G70" s="118">
        <f>IF($A70="","",INDEX('05_KAIS'!$L:$L,$A70))</f>
        <v/>
      </c>
      <c r="H70" s="118">
        <f>IF($A70="","",IFERROR(INDEX('05_KAIS'!$M:$M,$A70),IF(AND(E70&gt;0,G70&gt;0),G70/E70,"")))</f>
        <v/>
      </c>
      <c r="I70" s="202">
        <f>IF($A70="","",INDEX('05_KAIS'!$N:$N,$A70))</f>
        <v/>
      </c>
      <c r="J70">
        <f>IF(B70="","",IF('02_대상물건입력'!$B$5="",1,IF(ISNUMBER(SEARCH('02_대상물건입력'!$B$5,B70)),1,0)))</f>
        <v/>
      </c>
      <c r="K70">
        <f>IF(B70="","",IF('02_대상물건입력'!$B$6="",1,IF(ISNUMBER(SEARCH('02_대상물건입력'!$B$6,B70)),1,0)))</f>
        <v/>
      </c>
      <c r="L70">
        <f>IF(D70="","",IF('02_대상물건입력'!$B$8="",0,IF(ISNUMBER(SEARCH('02_대상물건입력'!$B$8,D70)),1,0)))</f>
        <v/>
      </c>
      <c r="M70">
        <f>IFERROR(ABS(E70-'02_대상물건입력'!$B$11)/'02_대상물건입력'!$B$11,"")</f>
        <v/>
      </c>
      <c r="N70">
        <f>IFERROR(ABS('01_설정'!$B$4-F70),"")</f>
        <v/>
      </c>
      <c r="O70">
        <f>IFERROR(ABS(YEAR(I70)-YEAR('02_대상물건입력'!$B$14)),"")</f>
        <v/>
      </c>
      <c r="P70">
        <f>IF(AND(E70&gt;0,F70&gt;0,G70&gt;0,IF('01_설정'!$B$10=1,J70=1,TRUE()),M70&lt;='01_설정'!$B$5,N70&lt;='01_설정'!$B$7,O70&lt;='01_설정'!$B$8),"Y","")</f>
        <v/>
      </c>
      <c r="Q70">
        <f>IF(P70&lt;&gt;"Y","",MAX(0,(1-M70/'01_설정'!$B$5))*'01_설정'!$B$14+MAX(0,(1-N70/'01_설정'!$B$7))*'01_설정'!$B$16+MAX(0,(1-O70/'01_설정'!$B$8))*'01_설정'!$B$17+K70*'01_설정'!$B$11+L70*'01_설정'!$B$12)</f>
        <v/>
      </c>
      <c r="R70">
        <f>IF(Q70="","",1+COUNTIFS($Q$31:$Q$1030,"&gt;"&amp;Q70)+COUNTIFS($Q$31:Q70,Q70)-1)</f>
        <v/>
      </c>
    </row>
    <row r="71" hidden="1" ht="16.5" customHeight="1">
      <c r="A71">
        <f>IF(COUNTA('05_KAIS'!$A59:$N59)=0,"",44)</f>
        <v/>
      </c>
      <c r="B71">
        <f>IF($A71="","",TRIM(INDEX('05_KAIS'!$B:$B,$A71)&amp;" "&amp;INDEX('05_KAIS'!$C:$C,$A71)))</f>
        <v/>
      </c>
      <c r="C71">
        <f>IF($A71="","",INDEX('05_KAIS'!$D:$D,$A71))</f>
        <v/>
      </c>
      <c r="D71">
        <f>IF($A71="","",INDEX('05_KAIS'!$H:$H,$A71))</f>
        <v/>
      </c>
      <c r="E71">
        <f>IF($A71="","",INDEX('05_KAIS'!$K:$K,$A71))</f>
        <v/>
      </c>
      <c r="F71" s="202">
        <f>IF($A71="","",INDEX('05_KAIS'!$I:$I,$A71))</f>
        <v/>
      </c>
      <c r="G71" s="118">
        <f>IF($A71="","",INDEX('05_KAIS'!$L:$L,$A71))</f>
        <v/>
      </c>
      <c r="H71" s="118">
        <f>IF($A71="","",IFERROR(INDEX('05_KAIS'!$M:$M,$A71),IF(AND(E71&gt;0,G71&gt;0),G71/E71,"")))</f>
        <v/>
      </c>
      <c r="I71" s="202">
        <f>IF($A71="","",INDEX('05_KAIS'!$N:$N,$A71))</f>
        <v/>
      </c>
      <c r="J71">
        <f>IF(B71="","",IF('02_대상물건입력'!$B$5="",1,IF(ISNUMBER(SEARCH('02_대상물건입력'!$B$5,B71)),1,0)))</f>
        <v/>
      </c>
      <c r="K71">
        <f>IF(B71="","",IF('02_대상물건입력'!$B$6="",1,IF(ISNUMBER(SEARCH('02_대상물건입력'!$B$6,B71)),1,0)))</f>
        <v/>
      </c>
      <c r="L71">
        <f>IF(D71="","",IF('02_대상물건입력'!$B$8="",0,IF(ISNUMBER(SEARCH('02_대상물건입력'!$B$8,D71)),1,0)))</f>
        <v/>
      </c>
      <c r="M71">
        <f>IFERROR(ABS(E71-'02_대상물건입력'!$B$11)/'02_대상물건입력'!$B$11,"")</f>
        <v/>
      </c>
      <c r="N71">
        <f>IFERROR(ABS('01_설정'!$B$4-F71),"")</f>
        <v/>
      </c>
      <c r="O71">
        <f>IFERROR(ABS(YEAR(I71)-YEAR('02_대상물건입력'!$B$14)),"")</f>
        <v/>
      </c>
      <c r="P71">
        <f>IF(AND(E71&gt;0,F71&gt;0,G71&gt;0,IF('01_설정'!$B$10=1,J71=1,TRUE()),M71&lt;='01_설정'!$B$5,N71&lt;='01_설정'!$B$7,O71&lt;='01_설정'!$B$8),"Y","")</f>
        <v/>
      </c>
      <c r="Q71">
        <f>IF(P71&lt;&gt;"Y","",MAX(0,(1-M71/'01_설정'!$B$5))*'01_설정'!$B$14+MAX(0,(1-N71/'01_설정'!$B$7))*'01_설정'!$B$16+MAX(0,(1-O71/'01_설정'!$B$8))*'01_설정'!$B$17+K71*'01_설정'!$B$11+L71*'01_설정'!$B$12)</f>
        <v/>
      </c>
      <c r="R71">
        <f>IF(Q71="","",1+COUNTIFS($Q$31:$Q$1030,"&gt;"&amp;Q71)+COUNTIFS($Q$31:Q71,Q71)-1)</f>
        <v/>
      </c>
    </row>
    <row r="72" hidden="1" ht="16.5" customHeight="1">
      <c r="A72">
        <f>IF(COUNTA('05_KAIS'!$A60:$N60)=0,"",45)</f>
        <v/>
      </c>
      <c r="B72">
        <f>IF($A72="","",TRIM(INDEX('05_KAIS'!$B:$B,$A72)&amp;" "&amp;INDEX('05_KAIS'!$C:$C,$A72)))</f>
        <v/>
      </c>
      <c r="C72">
        <f>IF($A72="","",INDEX('05_KAIS'!$D:$D,$A72))</f>
        <v/>
      </c>
      <c r="D72">
        <f>IF($A72="","",INDEX('05_KAIS'!$H:$H,$A72))</f>
        <v/>
      </c>
      <c r="E72">
        <f>IF($A72="","",INDEX('05_KAIS'!$K:$K,$A72))</f>
        <v/>
      </c>
      <c r="F72" s="202">
        <f>IF($A72="","",INDEX('05_KAIS'!$I:$I,$A72))</f>
        <v/>
      </c>
      <c r="G72" s="118">
        <f>IF($A72="","",INDEX('05_KAIS'!$L:$L,$A72))</f>
        <v/>
      </c>
      <c r="H72" s="118">
        <f>IF($A72="","",IFERROR(INDEX('05_KAIS'!$M:$M,$A72),IF(AND(E72&gt;0,G72&gt;0),G72/E72,"")))</f>
        <v/>
      </c>
      <c r="I72" s="202">
        <f>IF($A72="","",INDEX('05_KAIS'!$N:$N,$A72))</f>
        <v/>
      </c>
      <c r="J72">
        <f>IF(B72="","",IF('02_대상물건입력'!$B$5="",1,IF(ISNUMBER(SEARCH('02_대상물건입력'!$B$5,B72)),1,0)))</f>
        <v/>
      </c>
      <c r="K72">
        <f>IF(B72="","",IF('02_대상물건입력'!$B$6="",1,IF(ISNUMBER(SEARCH('02_대상물건입력'!$B$6,B72)),1,0)))</f>
        <v/>
      </c>
      <c r="L72">
        <f>IF(D72="","",IF('02_대상물건입력'!$B$8="",0,IF(ISNUMBER(SEARCH('02_대상물건입력'!$B$8,D72)),1,0)))</f>
        <v/>
      </c>
      <c r="M72">
        <f>IFERROR(ABS(E72-'02_대상물건입력'!$B$11)/'02_대상물건입력'!$B$11,"")</f>
        <v/>
      </c>
      <c r="N72">
        <f>IFERROR(ABS('01_설정'!$B$4-F72),"")</f>
        <v/>
      </c>
      <c r="O72">
        <f>IFERROR(ABS(YEAR(I72)-YEAR('02_대상물건입력'!$B$14)),"")</f>
        <v/>
      </c>
      <c r="P72">
        <f>IF(AND(E72&gt;0,F72&gt;0,G72&gt;0,IF('01_설정'!$B$10=1,J72=1,TRUE()),M72&lt;='01_설정'!$B$5,N72&lt;='01_설정'!$B$7,O72&lt;='01_설정'!$B$8),"Y","")</f>
        <v/>
      </c>
      <c r="Q72">
        <f>IF(P72&lt;&gt;"Y","",MAX(0,(1-M72/'01_설정'!$B$5))*'01_설정'!$B$14+MAX(0,(1-N72/'01_설정'!$B$7))*'01_설정'!$B$16+MAX(0,(1-O72/'01_설정'!$B$8))*'01_설정'!$B$17+K72*'01_설정'!$B$11+L72*'01_설정'!$B$12)</f>
        <v/>
      </c>
      <c r="R72">
        <f>IF(Q72="","",1+COUNTIFS($Q$31:$Q$1030,"&gt;"&amp;Q72)+COUNTIFS($Q$31:Q72,Q72)-1)</f>
        <v/>
      </c>
    </row>
    <row r="73" hidden="1" ht="16.5" customHeight="1">
      <c r="A73">
        <f>IF(COUNTA('05_KAIS'!$A61:$N61)=0,"",46)</f>
        <v/>
      </c>
      <c r="B73">
        <f>IF($A73="","",TRIM(INDEX('05_KAIS'!$B:$B,$A73)&amp;" "&amp;INDEX('05_KAIS'!$C:$C,$A73)))</f>
        <v/>
      </c>
      <c r="C73">
        <f>IF($A73="","",INDEX('05_KAIS'!$D:$D,$A73))</f>
        <v/>
      </c>
      <c r="D73">
        <f>IF($A73="","",INDEX('05_KAIS'!$H:$H,$A73))</f>
        <v/>
      </c>
      <c r="E73">
        <f>IF($A73="","",INDEX('05_KAIS'!$K:$K,$A73))</f>
        <v/>
      </c>
      <c r="F73" s="202">
        <f>IF($A73="","",INDEX('05_KAIS'!$I:$I,$A73))</f>
        <v/>
      </c>
      <c r="G73" s="118">
        <f>IF($A73="","",INDEX('05_KAIS'!$L:$L,$A73))</f>
        <v/>
      </c>
      <c r="H73" s="118">
        <f>IF($A73="","",IFERROR(INDEX('05_KAIS'!$M:$M,$A73),IF(AND(E73&gt;0,G73&gt;0),G73/E73,"")))</f>
        <v/>
      </c>
      <c r="I73" s="202">
        <f>IF($A73="","",INDEX('05_KAIS'!$N:$N,$A73))</f>
        <v/>
      </c>
      <c r="J73">
        <f>IF(B73="","",IF('02_대상물건입력'!$B$5="",1,IF(ISNUMBER(SEARCH('02_대상물건입력'!$B$5,B73)),1,0)))</f>
        <v/>
      </c>
      <c r="K73">
        <f>IF(B73="","",IF('02_대상물건입력'!$B$6="",1,IF(ISNUMBER(SEARCH('02_대상물건입력'!$B$6,B73)),1,0)))</f>
        <v/>
      </c>
      <c r="L73">
        <f>IF(D73="","",IF('02_대상물건입력'!$B$8="",0,IF(ISNUMBER(SEARCH('02_대상물건입력'!$B$8,D73)),1,0)))</f>
        <v/>
      </c>
      <c r="M73">
        <f>IFERROR(ABS(E73-'02_대상물건입력'!$B$11)/'02_대상물건입력'!$B$11,"")</f>
        <v/>
      </c>
      <c r="N73">
        <f>IFERROR(ABS('01_설정'!$B$4-F73),"")</f>
        <v/>
      </c>
      <c r="O73">
        <f>IFERROR(ABS(YEAR(I73)-YEAR('02_대상물건입력'!$B$14)),"")</f>
        <v/>
      </c>
      <c r="P73">
        <f>IF(AND(E73&gt;0,F73&gt;0,G73&gt;0,IF('01_설정'!$B$10=1,J73=1,TRUE()),M73&lt;='01_설정'!$B$5,N73&lt;='01_설정'!$B$7,O73&lt;='01_설정'!$B$8),"Y","")</f>
        <v/>
      </c>
      <c r="Q73">
        <f>IF(P73&lt;&gt;"Y","",MAX(0,(1-M73/'01_설정'!$B$5))*'01_설정'!$B$14+MAX(0,(1-N73/'01_설정'!$B$7))*'01_설정'!$B$16+MAX(0,(1-O73/'01_설정'!$B$8))*'01_설정'!$B$17+K73*'01_설정'!$B$11+L73*'01_설정'!$B$12)</f>
        <v/>
      </c>
      <c r="R73">
        <f>IF(Q73="","",1+COUNTIFS($Q$31:$Q$1030,"&gt;"&amp;Q73)+COUNTIFS($Q$31:Q73,Q73)-1)</f>
        <v/>
      </c>
    </row>
    <row r="74" hidden="1" ht="16.5" customHeight="1">
      <c r="A74">
        <f>IF(COUNTA('05_KAIS'!$A62:$N62)=0,"",47)</f>
        <v/>
      </c>
      <c r="B74">
        <f>IF($A74="","",TRIM(INDEX('05_KAIS'!$B:$B,$A74)&amp;" "&amp;INDEX('05_KAIS'!$C:$C,$A74)))</f>
        <v/>
      </c>
      <c r="C74">
        <f>IF($A74="","",INDEX('05_KAIS'!$D:$D,$A74))</f>
        <v/>
      </c>
      <c r="D74">
        <f>IF($A74="","",INDEX('05_KAIS'!$H:$H,$A74))</f>
        <v/>
      </c>
      <c r="E74">
        <f>IF($A74="","",INDEX('05_KAIS'!$K:$K,$A74))</f>
        <v/>
      </c>
      <c r="F74" s="202">
        <f>IF($A74="","",INDEX('05_KAIS'!$I:$I,$A74))</f>
        <v/>
      </c>
      <c r="G74" s="118">
        <f>IF($A74="","",INDEX('05_KAIS'!$L:$L,$A74))</f>
        <v/>
      </c>
      <c r="H74" s="118">
        <f>IF($A74="","",IFERROR(INDEX('05_KAIS'!$M:$M,$A74),IF(AND(E74&gt;0,G74&gt;0),G74/E74,"")))</f>
        <v/>
      </c>
      <c r="I74" s="202">
        <f>IF($A74="","",INDEX('05_KAIS'!$N:$N,$A74))</f>
        <v/>
      </c>
      <c r="J74">
        <f>IF(B74="","",IF('02_대상물건입력'!$B$5="",1,IF(ISNUMBER(SEARCH('02_대상물건입력'!$B$5,B74)),1,0)))</f>
        <v/>
      </c>
      <c r="K74">
        <f>IF(B74="","",IF('02_대상물건입력'!$B$6="",1,IF(ISNUMBER(SEARCH('02_대상물건입력'!$B$6,B74)),1,0)))</f>
        <v/>
      </c>
      <c r="L74">
        <f>IF(D74="","",IF('02_대상물건입력'!$B$8="",0,IF(ISNUMBER(SEARCH('02_대상물건입력'!$B$8,D74)),1,0)))</f>
        <v/>
      </c>
      <c r="M74">
        <f>IFERROR(ABS(E74-'02_대상물건입력'!$B$11)/'02_대상물건입력'!$B$11,"")</f>
        <v/>
      </c>
      <c r="N74">
        <f>IFERROR(ABS('01_설정'!$B$4-F74),"")</f>
        <v/>
      </c>
      <c r="O74">
        <f>IFERROR(ABS(YEAR(I74)-YEAR('02_대상물건입력'!$B$14)),"")</f>
        <v/>
      </c>
      <c r="P74">
        <f>IF(AND(E74&gt;0,F74&gt;0,G74&gt;0,IF('01_설정'!$B$10=1,J74=1,TRUE()),M74&lt;='01_설정'!$B$5,N74&lt;='01_설정'!$B$7,O74&lt;='01_설정'!$B$8),"Y","")</f>
        <v/>
      </c>
      <c r="Q74">
        <f>IF(P74&lt;&gt;"Y","",MAX(0,(1-M74/'01_설정'!$B$5))*'01_설정'!$B$14+MAX(0,(1-N74/'01_설정'!$B$7))*'01_설정'!$B$16+MAX(0,(1-O74/'01_설정'!$B$8))*'01_설정'!$B$17+K74*'01_설정'!$B$11+L74*'01_설정'!$B$12)</f>
        <v/>
      </c>
      <c r="R74">
        <f>IF(Q74="","",1+COUNTIFS($Q$31:$Q$1030,"&gt;"&amp;Q74)+COUNTIFS($Q$31:Q74,Q74)-1)</f>
        <v/>
      </c>
    </row>
    <row r="75" hidden="1" ht="16.5" customHeight="1">
      <c r="A75">
        <f>IF(COUNTA('05_KAIS'!$A63:$N63)=0,"",48)</f>
        <v/>
      </c>
      <c r="B75">
        <f>IF($A75="","",TRIM(INDEX('05_KAIS'!$B:$B,$A75)&amp;" "&amp;INDEX('05_KAIS'!$C:$C,$A75)))</f>
        <v/>
      </c>
      <c r="C75">
        <f>IF($A75="","",INDEX('05_KAIS'!$D:$D,$A75))</f>
        <v/>
      </c>
      <c r="D75">
        <f>IF($A75="","",INDEX('05_KAIS'!$H:$H,$A75))</f>
        <v/>
      </c>
      <c r="E75">
        <f>IF($A75="","",INDEX('05_KAIS'!$K:$K,$A75))</f>
        <v/>
      </c>
      <c r="F75" s="202">
        <f>IF($A75="","",INDEX('05_KAIS'!$I:$I,$A75))</f>
        <v/>
      </c>
      <c r="G75" s="118">
        <f>IF($A75="","",INDEX('05_KAIS'!$L:$L,$A75))</f>
        <v/>
      </c>
      <c r="H75" s="118">
        <f>IF($A75="","",IFERROR(INDEX('05_KAIS'!$M:$M,$A75),IF(AND(E75&gt;0,G75&gt;0),G75/E75,"")))</f>
        <v/>
      </c>
      <c r="I75" s="202">
        <f>IF($A75="","",INDEX('05_KAIS'!$N:$N,$A75))</f>
        <v/>
      </c>
      <c r="J75">
        <f>IF(B75="","",IF('02_대상물건입력'!$B$5="",1,IF(ISNUMBER(SEARCH('02_대상물건입력'!$B$5,B75)),1,0)))</f>
        <v/>
      </c>
      <c r="K75">
        <f>IF(B75="","",IF('02_대상물건입력'!$B$6="",1,IF(ISNUMBER(SEARCH('02_대상물건입력'!$B$6,B75)),1,0)))</f>
        <v/>
      </c>
      <c r="L75">
        <f>IF(D75="","",IF('02_대상물건입력'!$B$8="",0,IF(ISNUMBER(SEARCH('02_대상물건입력'!$B$8,D75)),1,0)))</f>
        <v/>
      </c>
      <c r="M75">
        <f>IFERROR(ABS(E75-'02_대상물건입력'!$B$11)/'02_대상물건입력'!$B$11,"")</f>
        <v/>
      </c>
      <c r="N75">
        <f>IFERROR(ABS('01_설정'!$B$4-F75),"")</f>
        <v/>
      </c>
      <c r="O75">
        <f>IFERROR(ABS(YEAR(I75)-YEAR('02_대상물건입력'!$B$14)),"")</f>
        <v/>
      </c>
      <c r="P75">
        <f>IF(AND(E75&gt;0,F75&gt;0,G75&gt;0,IF('01_설정'!$B$10=1,J75=1,TRUE()),M75&lt;='01_설정'!$B$5,N75&lt;='01_설정'!$B$7,O75&lt;='01_설정'!$B$8),"Y","")</f>
        <v/>
      </c>
      <c r="Q75">
        <f>IF(P75&lt;&gt;"Y","",MAX(0,(1-M75/'01_설정'!$B$5))*'01_설정'!$B$14+MAX(0,(1-N75/'01_설정'!$B$7))*'01_설정'!$B$16+MAX(0,(1-O75/'01_설정'!$B$8))*'01_설정'!$B$17+K75*'01_설정'!$B$11+L75*'01_설정'!$B$12)</f>
        <v/>
      </c>
      <c r="R75">
        <f>IF(Q75="","",1+COUNTIFS($Q$31:$Q$1030,"&gt;"&amp;Q75)+COUNTIFS($Q$31:Q75,Q75)-1)</f>
        <v/>
      </c>
    </row>
    <row r="76" hidden="1" ht="16.5" customHeight="1">
      <c r="A76">
        <f>IF(COUNTA('05_KAIS'!$A64:$N64)=0,"",49)</f>
        <v/>
      </c>
      <c r="B76">
        <f>IF($A76="","",TRIM(INDEX('05_KAIS'!$B:$B,$A76)&amp;" "&amp;INDEX('05_KAIS'!$C:$C,$A76)))</f>
        <v/>
      </c>
      <c r="C76">
        <f>IF($A76="","",INDEX('05_KAIS'!$D:$D,$A76))</f>
        <v/>
      </c>
      <c r="D76">
        <f>IF($A76="","",INDEX('05_KAIS'!$H:$H,$A76))</f>
        <v/>
      </c>
      <c r="E76">
        <f>IF($A76="","",INDEX('05_KAIS'!$K:$K,$A76))</f>
        <v/>
      </c>
      <c r="F76" s="202">
        <f>IF($A76="","",INDEX('05_KAIS'!$I:$I,$A76))</f>
        <v/>
      </c>
      <c r="G76" s="118">
        <f>IF($A76="","",INDEX('05_KAIS'!$L:$L,$A76))</f>
        <v/>
      </c>
      <c r="H76" s="118">
        <f>IF($A76="","",IFERROR(INDEX('05_KAIS'!$M:$M,$A76),IF(AND(E76&gt;0,G76&gt;0),G76/E76,"")))</f>
        <v/>
      </c>
      <c r="I76" s="202">
        <f>IF($A76="","",INDEX('05_KAIS'!$N:$N,$A76))</f>
        <v/>
      </c>
      <c r="J76">
        <f>IF(B76="","",IF('02_대상물건입력'!$B$5="",1,IF(ISNUMBER(SEARCH('02_대상물건입력'!$B$5,B76)),1,0)))</f>
        <v/>
      </c>
      <c r="K76">
        <f>IF(B76="","",IF('02_대상물건입력'!$B$6="",1,IF(ISNUMBER(SEARCH('02_대상물건입력'!$B$6,B76)),1,0)))</f>
        <v/>
      </c>
      <c r="L76">
        <f>IF(D76="","",IF('02_대상물건입력'!$B$8="",0,IF(ISNUMBER(SEARCH('02_대상물건입력'!$B$8,D76)),1,0)))</f>
        <v/>
      </c>
      <c r="M76">
        <f>IFERROR(ABS(E76-'02_대상물건입력'!$B$11)/'02_대상물건입력'!$B$11,"")</f>
        <v/>
      </c>
      <c r="N76">
        <f>IFERROR(ABS('01_설정'!$B$4-F76),"")</f>
        <v/>
      </c>
      <c r="O76">
        <f>IFERROR(ABS(YEAR(I76)-YEAR('02_대상물건입력'!$B$14)),"")</f>
        <v/>
      </c>
      <c r="P76">
        <f>IF(AND(E76&gt;0,F76&gt;0,G76&gt;0,IF('01_설정'!$B$10=1,J76=1,TRUE()),M76&lt;='01_설정'!$B$5,N76&lt;='01_설정'!$B$7,O76&lt;='01_설정'!$B$8),"Y","")</f>
        <v/>
      </c>
      <c r="Q76">
        <f>IF(P76&lt;&gt;"Y","",MAX(0,(1-M76/'01_설정'!$B$5))*'01_설정'!$B$14+MAX(0,(1-N76/'01_설정'!$B$7))*'01_설정'!$B$16+MAX(0,(1-O76/'01_설정'!$B$8))*'01_설정'!$B$17+K76*'01_설정'!$B$11+L76*'01_설정'!$B$12)</f>
        <v/>
      </c>
      <c r="R76">
        <f>IF(Q76="","",1+COUNTIFS($Q$31:$Q$1030,"&gt;"&amp;Q76)+COUNTIFS($Q$31:Q76,Q76)-1)</f>
        <v/>
      </c>
    </row>
    <row r="77" hidden="1" ht="16.5" customHeight="1">
      <c r="A77">
        <f>IF(COUNTA('05_KAIS'!$A65:$N65)=0,"",50)</f>
        <v/>
      </c>
      <c r="B77">
        <f>IF($A77="","",TRIM(INDEX('05_KAIS'!$B:$B,$A77)&amp;" "&amp;INDEX('05_KAIS'!$C:$C,$A77)))</f>
        <v/>
      </c>
      <c r="C77">
        <f>IF($A77="","",INDEX('05_KAIS'!$D:$D,$A77))</f>
        <v/>
      </c>
      <c r="D77">
        <f>IF($A77="","",INDEX('05_KAIS'!$H:$H,$A77))</f>
        <v/>
      </c>
      <c r="E77">
        <f>IF($A77="","",INDEX('05_KAIS'!$K:$K,$A77))</f>
        <v/>
      </c>
      <c r="F77" s="202">
        <f>IF($A77="","",INDEX('05_KAIS'!$I:$I,$A77))</f>
        <v/>
      </c>
      <c r="G77" s="118">
        <f>IF($A77="","",INDEX('05_KAIS'!$L:$L,$A77))</f>
        <v/>
      </c>
      <c r="H77" s="118">
        <f>IF($A77="","",IFERROR(INDEX('05_KAIS'!$M:$M,$A77),IF(AND(E77&gt;0,G77&gt;0),G77/E77,"")))</f>
        <v/>
      </c>
      <c r="I77" s="202">
        <f>IF($A77="","",INDEX('05_KAIS'!$N:$N,$A77))</f>
        <v/>
      </c>
      <c r="J77">
        <f>IF(B77="","",IF('02_대상물건입력'!$B$5="",1,IF(ISNUMBER(SEARCH('02_대상물건입력'!$B$5,B77)),1,0)))</f>
        <v/>
      </c>
      <c r="K77">
        <f>IF(B77="","",IF('02_대상물건입력'!$B$6="",1,IF(ISNUMBER(SEARCH('02_대상물건입력'!$B$6,B77)),1,0)))</f>
        <v/>
      </c>
      <c r="L77">
        <f>IF(D77="","",IF('02_대상물건입력'!$B$8="",0,IF(ISNUMBER(SEARCH('02_대상물건입력'!$B$8,D77)),1,0)))</f>
        <v/>
      </c>
      <c r="M77">
        <f>IFERROR(ABS(E77-'02_대상물건입력'!$B$11)/'02_대상물건입력'!$B$11,"")</f>
        <v/>
      </c>
      <c r="N77">
        <f>IFERROR(ABS('01_설정'!$B$4-F77),"")</f>
        <v/>
      </c>
      <c r="O77">
        <f>IFERROR(ABS(YEAR(I77)-YEAR('02_대상물건입력'!$B$14)),"")</f>
        <v/>
      </c>
      <c r="P77">
        <f>IF(AND(E77&gt;0,F77&gt;0,G77&gt;0,IF('01_설정'!$B$10=1,J77=1,TRUE()),M77&lt;='01_설정'!$B$5,N77&lt;='01_설정'!$B$7,O77&lt;='01_설정'!$B$8),"Y","")</f>
        <v/>
      </c>
      <c r="Q77">
        <f>IF(P77&lt;&gt;"Y","",MAX(0,(1-M77/'01_설정'!$B$5))*'01_설정'!$B$14+MAX(0,(1-N77/'01_설정'!$B$7))*'01_설정'!$B$16+MAX(0,(1-O77/'01_설정'!$B$8))*'01_설정'!$B$17+K77*'01_설정'!$B$11+L77*'01_설정'!$B$12)</f>
        <v/>
      </c>
      <c r="R77">
        <f>IF(Q77="","",1+COUNTIFS($Q$31:$Q$1030,"&gt;"&amp;Q77)+COUNTIFS($Q$31:Q77,Q77)-1)</f>
        <v/>
      </c>
    </row>
    <row r="78" hidden="1" ht="16.5" customHeight="1">
      <c r="A78">
        <f>IF(COUNTA('05_KAIS'!$A66:$N66)=0,"",51)</f>
        <v/>
      </c>
      <c r="B78">
        <f>IF($A78="","",TRIM(INDEX('05_KAIS'!$B:$B,$A78)&amp;" "&amp;INDEX('05_KAIS'!$C:$C,$A78)))</f>
        <v/>
      </c>
      <c r="C78">
        <f>IF($A78="","",INDEX('05_KAIS'!$D:$D,$A78))</f>
        <v/>
      </c>
      <c r="D78">
        <f>IF($A78="","",INDEX('05_KAIS'!$H:$H,$A78))</f>
        <v/>
      </c>
      <c r="E78">
        <f>IF($A78="","",INDEX('05_KAIS'!$K:$K,$A78))</f>
        <v/>
      </c>
      <c r="F78" s="202">
        <f>IF($A78="","",INDEX('05_KAIS'!$I:$I,$A78))</f>
        <v/>
      </c>
      <c r="G78" s="118">
        <f>IF($A78="","",INDEX('05_KAIS'!$L:$L,$A78))</f>
        <v/>
      </c>
      <c r="H78" s="118">
        <f>IF($A78="","",IFERROR(INDEX('05_KAIS'!$M:$M,$A78),IF(AND(E78&gt;0,G78&gt;0),G78/E78,"")))</f>
        <v/>
      </c>
      <c r="I78" s="202">
        <f>IF($A78="","",INDEX('05_KAIS'!$N:$N,$A78))</f>
        <v/>
      </c>
      <c r="J78">
        <f>IF(B78="","",IF('02_대상물건입력'!$B$5="",1,IF(ISNUMBER(SEARCH('02_대상물건입력'!$B$5,B78)),1,0)))</f>
        <v/>
      </c>
      <c r="K78">
        <f>IF(B78="","",IF('02_대상물건입력'!$B$6="",1,IF(ISNUMBER(SEARCH('02_대상물건입력'!$B$6,B78)),1,0)))</f>
        <v/>
      </c>
      <c r="L78">
        <f>IF(D78="","",IF('02_대상물건입력'!$B$8="",0,IF(ISNUMBER(SEARCH('02_대상물건입력'!$B$8,D78)),1,0)))</f>
        <v/>
      </c>
      <c r="M78">
        <f>IFERROR(ABS(E78-'02_대상물건입력'!$B$11)/'02_대상물건입력'!$B$11,"")</f>
        <v/>
      </c>
      <c r="N78">
        <f>IFERROR(ABS('01_설정'!$B$4-F78),"")</f>
        <v/>
      </c>
      <c r="O78">
        <f>IFERROR(ABS(YEAR(I78)-YEAR('02_대상물건입력'!$B$14)),"")</f>
        <v/>
      </c>
      <c r="P78">
        <f>IF(AND(E78&gt;0,F78&gt;0,G78&gt;0,IF('01_설정'!$B$10=1,J78=1,TRUE()),M78&lt;='01_설정'!$B$5,N78&lt;='01_설정'!$B$7,O78&lt;='01_설정'!$B$8),"Y","")</f>
        <v/>
      </c>
      <c r="Q78">
        <f>IF(P78&lt;&gt;"Y","",MAX(0,(1-M78/'01_설정'!$B$5))*'01_설정'!$B$14+MAX(0,(1-N78/'01_설정'!$B$7))*'01_설정'!$B$16+MAX(0,(1-O78/'01_설정'!$B$8))*'01_설정'!$B$17+K78*'01_설정'!$B$11+L78*'01_설정'!$B$12)</f>
        <v/>
      </c>
      <c r="R78">
        <f>IF(Q78="","",1+COUNTIFS($Q$31:$Q$1030,"&gt;"&amp;Q78)+COUNTIFS($Q$31:Q78,Q78)-1)</f>
        <v/>
      </c>
    </row>
    <row r="79" hidden="1" ht="16.5" customHeight="1">
      <c r="A79">
        <f>IF(COUNTA('05_KAIS'!$A67:$N67)=0,"",52)</f>
        <v/>
      </c>
      <c r="B79">
        <f>IF($A79="","",TRIM(INDEX('05_KAIS'!$B:$B,$A79)&amp;" "&amp;INDEX('05_KAIS'!$C:$C,$A79)))</f>
        <v/>
      </c>
      <c r="C79">
        <f>IF($A79="","",INDEX('05_KAIS'!$D:$D,$A79))</f>
        <v/>
      </c>
      <c r="D79">
        <f>IF($A79="","",INDEX('05_KAIS'!$H:$H,$A79))</f>
        <v/>
      </c>
      <c r="E79">
        <f>IF($A79="","",INDEX('05_KAIS'!$K:$K,$A79))</f>
        <v/>
      </c>
      <c r="F79" s="202">
        <f>IF($A79="","",INDEX('05_KAIS'!$I:$I,$A79))</f>
        <v/>
      </c>
      <c r="G79" s="118">
        <f>IF($A79="","",INDEX('05_KAIS'!$L:$L,$A79))</f>
        <v/>
      </c>
      <c r="H79" s="118">
        <f>IF($A79="","",IFERROR(INDEX('05_KAIS'!$M:$M,$A79),IF(AND(E79&gt;0,G79&gt;0),G79/E79,"")))</f>
        <v/>
      </c>
      <c r="I79" s="202">
        <f>IF($A79="","",INDEX('05_KAIS'!$N:$N,$A79))</f>
        <v/>
      </c>
      <c r="J79">
        <f>IF(B79="","",IF('02_대상물건입력'!$B$5="",1,IF(ISNUMBER(SEARCH('02_대상물건입력'!$B$5,B79)),1,0)))</f>
        <v/>
      </c>
      <c r="K79">
        <f>IF(B79="","",IF('02_대상물건입력'!$B$6="",1,IF(ISNUMBER(SEARCH('02_대상물건입력'!$B$6,B79)),1,0)))</f>
        <v/>
      </c>
      <c r="L79">
        <f>IF(D79="","",IF('02_대상물건입력'!$B$8="",0,IF(ISNUMBER(SEARCH('02_대상물건입력'!$B$8,D79)),1,0)))</f>
        <v/>
      </c>
      <c r="M79">
        <f>IFERROR(ABS(E79-'02_대상물건입력'!$B$11)/'02_대상물건입력'!$B$11,"")</f>
        <v/>
      </c>
      <c r="N79">
        <f>IFERROR(ABS('01_설정'!$B$4-F79),"")</f>
        <v/>
      </c>
      <c r="O79">
        <f>IFERROR(ABS(YEAR(I79)-YEAR('02_대상물건입력'!$B$14)),"")</f>
        <v/>
      </c>
      <c r="P79">
        <f>IF(AND(E79&gt;0,F79&gt;0,G79&gt;0,IF('01_설정'!$B$10=1,J79=1,TRUE()),M79&lt;='01_설정'!$B$5,N79&lt;='01_설정'!$B$7,O79&lt;='01_설정'!$B$8),"Y","")</f>
        <v/>
      </c>
      <c r="Q79">
        <f>IF(P79&lt;&gt;"Y","",MAX(0,(1-M79/'01_설정'!$B$5))*'01_설정'!$B$14+MAX(0,(1-N79/'01_설정'!$B$7))*'01_설정'!$B$16+MAX(0,(1-O79/'01_설정'!$B$8))*'01_설정'!$B$17+K79*'01_설정'!$B$11+L79*'01_설정'!$B$12)</f>
        <v/>
      </c>
      <c r="R79">
        <f>IF(Q79="","",1+COUNTIFS($Q$31:$Q$1030,"&gt;"&amp;Q79)+COUNTIFS($Q$31:Q79,Q79)-1)</f>
        <v/>
      </c>
    </row>
    <row r="80" hidden="1" ht="16.5" customHeight="1">
      <c r="A80">
        <f>IF(COUNTA('05_KAIS'!$A68:$N68)=0,"",53)</f>
        <v/>
      </c>
      <c r="B80">
        <f>IF($A80="","",TRIM(INDEX('05_KAIS'!$B:$B,$A80)&amp;" "&amp;INDEX('05_KAIS'!$C:$C,$A80)))</f>
        <v/>
      </c>
      <c r="C80">
        <f>IF($A80="","",INDEX('05_KAIS'!$D:$D,$A80))</f>
        <v/>
      </c>
      <c r="D80">
        <f>IF($A80="","",INDEX('05_KAIS'!$H:$H,$A80))</f>
        <v/>
      </c>
      <c r="E80">
        <f>IF($A80="","",INDEX('05_KAIS'!$K:$K,$A80))</f>
        <v/>
      </c>
      <c r="F80" s="202">
        <f>IF($A80="","",INDEX('05_KAIS'!$I:$I,$A80))</f>
        <v/>
      </c>
      <c r="G80" s="118">
        <f>IF($A80="","",INDEX('05_KAIS'!$L:$L,$A80))</f>
        <v/>
      </c>
      <c r="H80" s="118">
        <f>IF($A80="","",IFERROR(INDEX('05_KAIS'!$M:$M,$A80),IF(AND(E80&gt;0,G80&gt;0),G80/E80,"")))</f>
        <v/>
      </c>
      <c r="I80" s="202">
        <f>IF($A80="","",INDEX('05_KAIS'!$N:$N,$A80))</f>
        <v/>
      </c>
      <c r="J80">
        <f>IF(B80="","",IF('02_대상물건입력'!$B$5="",1,IF(ISNUMBER(SEARCH('02_대상물건입력'!$B$5,B80)),1,0)))</f>
        <v/>
      </c>
      <c r="K80">
        <f>IF(B80="","",IF('02_대상물건입력'!$B$6="",1,IF(ISNUMBER(SEARCH('02_대상물건입력'!$B$6,B80)),1,0)))</f>
        <v/>
      </c>
      <c r="L80">
        <f>IF(D80="","",IF('02_대상물건입력'!$B$8="",0,IF(ISNUMBER(SEARCH('02_대상물건입력'!$B$8,D80)),1,0)))</f>
        <v/>
      </c>
      <c r="M80">
        <f>IFERROR(ABS(E80-'02_대상물건입력'!$B$11)/'02_대상물건입력'!$B$11,"")</f>
        <v/>
      </c>
      <c r="N80">
        <f>IFERROR(ABS('01_설정'!$B$4-F80),"")</f>
        <v/>
      </c>
      <c r="O80">
        <f>IFERROR(ABS(YEAR(I80)-YEAR('02_대상물건입력'!$B$14)),"")</f>
        <v/>
      </c>
      <c r="P80">
        <f>IF(AND(E80&gt;0,F80&gt;0,G80&gt;0,IF('01_설정'!$B$10=1,J80=1,TRUE()),M80&lt;='01_설정'!$B$5,N80&lt;='01_설정'!$B$7,O80&lt;='01_설정'!$B$8),"Y","")</f>
        <v/>
      </c>
      <c r="Q80">
        <f>IF(P80&lt;&gt;"Y","",MAX(0,(1-M80/'01_설정'!$B$5))*'01_설정'!$B$14+MAX(0,(1-N80/'01_설정'!$B$7))*'01_설정'!$B$16+MAX(0,(1-O80/'01_설정'!$B$8))*'01_설정'!$B$17+K80*'01_설정'!$B$11+L80*'01_설정'!$B$12)</f>
        <v/>
      </c>
      <c r="R80">
        <f>IF(Q80="","",1+COUNTIFS($Q$31:$Q$1030,"&gt;"&amp;Q80)+COUNTIFS($Q$31:Q80,Q80)-1)</f>
        <v/>
      </c>
    </row>
    <row r="81" hidden="1" ht="16.5" customHeight="1">
      <c r="A81">
        <f>IF(COUNTA('05_KAIS'!$A69:$N69)=0,"",54)</f>
        <v/>
      </c>
      <c r="B81">
        <f>IF($A81="","",TRIM(INDEX('05_KAIS'!$B:$B,$A81)&amp;" "&amp;INDEX('05_KAIS'!$C:$C,$A81)))</f>
        <v/>
      </c>
      <c r="C81">
        <f>IF($A81="","",INDEX('05_KAIS'!$D:$D,$A81))</f>
        <v/>
      </c>
      <c r="D81">
        <f>IF($A81="","",INDEX('05_KAIS'!$H:$H,$A81))</f>
        <v/>
      </c>
      <c r="E81">
        <f>IF($A81="","",INDEX('05_KAIS'!$K:$K,$A81))</f>
        <v/>
      </c>
      <c r="F81" s="202">
        <f>IF($A81="","",INDEX('05_KAIS'!$I:$I,$A81))</f>
        <v/>
      </c>
      <c r="G81" s="118">
        <f>IF($A81="","",INDEX('05_KAIS'!$L:$L,$A81))</f>
        <v/>
      </c>
      <c r="H81" s="118">
        <f>IF($A81="","",IFERROR(INDEX('05_KAIS'!$M:$M,$A81),IF(AND(E81&gt;0,G81&gt;0),G81/E81,"")))</f>
        <v/>
      </c>
      <c r="I81" s="202">
        <f>IF($A81="","",INDEX('05_KAIS'!$N:$N,$A81))</f>
        <v/>
      </c>
      <c r="J81">
        <f>IF(B81="","",IF('02_대상물건입력'!$B$5="",1,IF(ISNUMBER(SEARCH('02_대상물건입력'!$B$5,B81)),1,0)))</f>
        <v/>
      </c>
      <c r="K81">
        <f>IF(B81="","",IF('02_대상물건입력'!$B$6="",1,IF(ISNUMBER(SEARCH('02_대상물건입력'!$B$6,B81)),1,0)))</f>
        <v/>
      </c>
      <c r="L81">
        <f>IF(D81="","",IF('02_대상물건입력'!$B$8="",0,IF(ISNUMBER(SEARCH('02_대상물건입력'!$B$8,D81)),1,0)))</f>
        <v/>
      </c>
      <c r="M81">
        <f>IFERROR(ABS(E81-'02_대상물건입력'!$B$11)/'02_대상물건입력'!$B$11,"")</f>
        <v/>
      </c>
      <c r="N81">
        <f>IFERROR(ABS('01_설정'!$B$4-F81),"")</f>
        <v/>
      </c>
      <c r="O81">
        <f>IFERROR(ABS(YEAR(I81)-YEAR('02_대상물건입력'!$B$14)),"")</f>
        <v/>
      </c>
      <c r="P81">
        <f>IF(AND(E81&gt;0,F81&gt;0,G81&gt;0,IF('01_설정'!$B$10=1,J81=1,TRUE()),M81&lt;='01_설정'!$B$5,N81&lt;='01_설정'!$B$7,O81&lt;='01_설정'!$B$8),"Y","")</f>
        <v/>
      </c>
      <c r="Q81">
        <f>IF(P81&lt;&gt;"Y","",MAX(0,(1-M81/'01_설정'!$B$5))*'01_설정'!$B$14+MAX(0,(1-N81/'01_설정'!$B$7))*'01_설정'!$B$16+MAX(0,(1-O81/'01_설정'!$B$8))*'01_설정'!$B$17+K81*'01_설정'!$B$11+L81*'01_설정'!$B$12)</f>
        <v/>
      </c>
      <c r="R81">
        <f>IF(Q81="","",1+COUNTIFS($Q$31:$Q$1030,"&gt;"&amp;Q81)+COUNTIFS($Q$31:Q81,Q81)-1)</f>
        <v/>
      </c>
    </row>
    <row r="82" hidden="1" ht="16.5" customHeight="1">
      <c r="A82">
        <f>IF(COUNTA('05_KAIS'!$A70:$N70)=0,"",55)</f>
        <v/>
      </c>
      <c r="B82">
        <f>IF($A82="","",TRIM(INDEX('05_KAIS'!$B:$B,$A82)&amp;" "&amp;INDEX('05_KAIS'!$C:$C,$A82)))</f>
        <v/>
      </c>
      <c r="C82">
        <f>IF($A82="","",INDEX('05_KAIS'!$D:$D,$A82))</f>
        <v/>
      </c>
      <c r="D82">
        <f>IF($A82="","",INDEX('05_KAIS'!$H:$H,$A82))</f>
        <v/>
      </c>
      <c r="E82">
        <f>IF($A82="","",INDEX('05_KAIS'!$K:$K,$A82))</f>
        <v/>
      </c>
      <c r="F82" s="202">
        <f>IF($A82="","",INDEX('05_KAIS'!$I:$I,$A82))</f>
        <v/>
      </c>
      <c r="G82" s="118">
        <f>IF($A82="","",INDEX('05_KAIS'!$L:$L,$A82))</f>
        <v/>
      </c>
      <c r="H82" s="118">
        <f>IF($A82="","",IFERROR(INDEX('05_KAIS'!$M:$M,$A82),IF(AND(E82&gt;0,G82&gt;0),G82/E82,"")))</f>
        <v/>
      </c>
      <c r="I82" s="202">
        <f>IF($A82="","",INDEX('05_KAIS'!$N:$N,$A82))</f>
        <v/>
      </c>
      <c r="J82">
        <f>IF(B82="","",IF('02_대상물건입력'!$B$5="",1,IF(ISNUMBER(SEARCH('02_대상물건입력'!$B$5,B82)),1,0)))</f>
        <v/>
      </c>
      <c r="K82">
        <f>IF(B82="","",IF('02_대상물건입력'!$B$6="",1,IF(ISNUMBER(SEARCH('02_대상물건입력'!$B$6,B82)),1,0)))</f>
        <v/>
      </c>
      <c r="L82">
        <f>IF(D82="","",IF('02_대상물건입력'!$B$8="",0,IF(ISNUMBER(SEARCH('02_대상물건입력'!$B$8,D82)),1,0)))</f>
        <v/>
      </c>
      <c r="M82">
        <f>IFERROR(ABS(E82-'02_대상물건입력'!$B$11)/'02_대상물건입력'!$B$11,"")</f>
        <v/>
      </c>
      <c r="N82">
        <f>IFERROR(ABS('01_설정'!$B$4-F82),"")</f>
        <v/>
      </c>
      <c r="O82">
        <f>IFERROR(ABS(YEAR(I82)-YEAR('02_대상물건입력'!$B$14)),"")</f>
        <v/>
      </c>
      <c r="P82">
        <f>IF(AND(E82&gt;0,F82&gt;0,G82&gt;0,IF('01_설정'!$B$10=1,J82=1,TRUE()),M82&lt;='01_설정'!$B$5,N82&lt;='01_설정'!$B$7,O82&lt;='01_설정'!$B$8),"Y","")</f>
        <v/>
      </c>
      <c r="Q82">
        <f>IF(P82&lt;&gt;"Y","",MAX(0,(1-M82/'01_설정'!$B$5))*'01_설정'!$B$14+MAX(0,(1-N82/'01_설정'!$B$7))*'01_설정'!$B$16+MAX(0,(1-O82/'01_설정'!$B$8))*'01_설정'!$B$17+K82*'01_설정'!$B$11+L82*'01_설정'!$B$12)</f>
        <v/>
      </c>
      <c r="R82">
        <f>IF(Q82="","",1+COUNTIFS($Q$31:$Q$1030,"&gt;"&amp;Q82)+COUNTIFS($Q$31:Q82,Q82)-1)</f>
        <v/>
      </c>
    </row>
    <row r="83" hidden="1" ht="16.5" customHeight="1">
      <c r="A83">
        <f>IF(COUNTA('05_KAIS'!$A71:$N71)=0,"",56)</f>
        <v/>
      </c>
      <c r="B83">
        <f>IF($A83="","",TRIM(INDEX('05_KAIS'!$B:$B,$A83)&amp;" "&amp;INDEX('05_KAIS'!$C:$C,$A83)))</f>
        <v/>
      </c>
      <c r="C83">
        <f>IF($A83="","",INDEX('05_KAIS'!$D:$D,$A83))</f>
        <v/>
      </c>
      <c r="D83">
        <f>IF($A83="","",INDEX('05_KAIS'!$H:$H,$A83))</f>
        <v/>
      </c>
      <c r="E83">
        <f>IF($A83="","",INDEX('05_KAIS'!$K:$K,$A83))</f>
        <v/>
      </c>
      <c r="F83" s="202">
        <f>IF($A83="","",INDEX('05_KAIS'!$I:$I,$A83))</f>
        <v/>
      </c>
      <c r="G83" s="118">
        <f>IF($A83="","",INDEX('05_KAIS'!$L:$L,$A83))</f>
        <v/>
      </c>
      <c r="H83" s="118">
        <f>IF($A83="","",IFERROR(INDEX('05_KAIS'!$M:$M,$A83),IF(AND(E83&gt;0,G83&gt;0),G83/E83,"")))</f>
        <v/>
      </c>
      <c r="I83" s="202">
        <f>IF($A83="","",INDEX('05_KAIS'!$N:$N,$A83))</f>
        <v/>
      </c>
      <c r="J83">
        <f>IF(B83="","",IF('02_대상물건입력'!$B$5="",1,IF(ISNUMBER(SEARCH('02_대상물건입력'!$B$5,B83)),1,0)))</f>
        <v/>
      </c>
      <c r="K83">
        <f>IF(B83="","",IF('02_대상물건입력'!$B$6="",1,IF(ISNUMBER(SEARCH('02_대상물건입력'!$B$6,B83)),1,0)))</f>
        <v/>
      </c>
      <c r="L83">
        <f>IF(D83="","",IF('02_대상물건입력'!$B$8="",0,IF(ISNUMBER(SEARCH('02_대상물건입력'!$B$8,D83)),1,0)))</f>
        <v/>
      </c>
      <c r="M83">
        <f>IFERROR(ABS(E83-'02_대상물건입력'!$B$11)/'02_대상물건입력'!$B$11,"")</f>
        <v/>
      </c>
      <c r="N83">
        <f>IFERROR(ABS('01_설정'!$B$4-F83),"")</f>
        <v/>
      </c>
      <c r="O83">
        <f>IFERROR(ABS(YEAR(I83)-YEAR('02_대상물건입력'!$B$14)),"")</f>
        <v/>
      </c>
      <c r="P83">
        <f>IF(AND(E83&gt;0,F83&gt;0,G83&gt;0,IF('01_설정'!$B$10=1,J83=1,TRUE()),M83&lt;='01_설정'!$B$5,N83&lt;='01_설정'!$B$7,O83&lt;='01_설정'!$B$8),"Y","")</f>
        <v/>
      </c>
      <c r="Q83">
        <f>IF(P83&lt;&gt;"Y","",MAX(0,(1-M83/'01_설정'!$B$5))*'01_설정'!$B$14+MAX(0,(1-N83/'01_설정'!$B$7))*'01_설정'!$B$16+MAX(0,(1-O83/'01_설정'!$B$8))*'01_설정'!$B$17+K83*'01_설정'!$B$11+L83*'01_설정'!$B$12)</f>
        <v/>
      </c>
      <c r="R83">
        <f>IF(Q83="","",1+COUNTIFS($Q$31:$Q$1030,"&gt;"&amp;Q83)+COUNTIFS($Q$31:Q83,Q83)-1)</f>
        <v/>
      </c>
    </row>
    <row r="84" hidden="1" ht="16.5" customHeight="1">
      <c r="A84">
        <f>IF(COUNTA('05_KAIS'!$A72:$N72)=0,"",57)</f>
        <v/>
      </c>
      <c r="B84">
        <f>IF($A84="","",TRIM(INDEX('05_KAIS'!$B:$B,$A84)&amp;" "&amp;INDEX('05_KAIS'!$C:$C,$A84)))</f>
        <v/>
      </c>
      <c r="C84">
        <f>IF($A84="","",INDEX('05_KAIS'!$D:$D,$A84))</f>
        <v/>
      </c>
      <c r="D84">
        <f>IF($A84="","",INDEX('05_KAIS'!$H:$H,$A84))</f>
        <v/>
      </c>
      <c r="E84">
        <f>IF($A84="","",INDEX('05_KAIS'!$K:$K,$A84))</f>
        <v/>
      </c>
      <c r="F84" s="202">
        <f>IF($A84="","",INDEX('05_KAIS'!$I:$I,$A84))</f>
        <v/>
      </c>
      <c r="G84" s="118">
        <f>IF($A84="","",INDEX('05_KAIS'!$L:$L,$A84))</f>
        <v/>
      </c>
      <c r="H84" s="118">
        <f>IF($A84="","",IFERROR(INDEX('05_KAIS'!$M:$M,$A84),IF(AND(E84&gt;0,G84&gt;0),G84/E84,"")))</f>
        <v/>
      </c>
      <c r="I84" s="202">
        <f>IF($A84="","",INDEX('05_KAIS'!$N:$N,$A84))</f>
        <v/>
      </c>
      <c r="J84">
        <f>IF(B84="","",IF('02_대상물건입력'!$B$5="",1,IF(ISNUMBER(SEARCH('02_대상물건입력'!$B$5,B84)),1,0)))</f>
        <v/>
      </c>
      <c r="K84">
        <f>IF(B84="","",IF('02_대상물건입력'!$B$6="",1,IF(ISNUMBER(SEARCH('02_대상물건입력'!$B$6,B84)),1,0)))</f>
        <v/>
      </c>
      <c r="L84">
        <f>IF(D84="","",IF('02_대상물건입력'!$B$8="",0,IF(ISNUMBER(SEARCH('02_대상물건입력'!$B$8,D84)),1,0)))</f>
        <v/>
      </c>
      <c r="M84">
        <f>IFERROR(ABS(E84-'02_대상물건입력'!$B$11)/'02_대상물건입력'!$B$11,"")</f>
        <v/>
      </c>
      <c r="N84">
        <f>IFERROR(ABS('01_설정'!$B$4-F84),"")</f>
        <v/>
      </c>
      <c r="O84">
        <f>IFERROR(ABS(YEAR(I84)-YEAR('02_대상물건입력'!$B$14)),"")</f>
        <v/>
      </c>
      <c r="P84">
        <f>IF(AND(E84&gt;0,F84&gt;0,G84&gt;0,IF('01_설정'!$B$10=1,J84=1,TRUE()),M84&lt;='01_설정'!$B$5,N84&lt;='01_설정'!$B$7,O84&lt;='01_설정'!$B$8),"Y","")</f>
        <v/>
      </c>
      <c r="Q84">
        <f>IF(P84&lt;&gt;"Y","",MAX(0,(1-M84/'01_설정'!$B$5))*'01_설정'!$B$14+MAX(0,(1-N84/'01_설정'!$B$7))*'01_설정'!$B$16+MAX(0,(1-O84/'01_설정'!$B$8))*'01_설정'!$B$17+K84*'01_설정'!$B$11+L84*'01_설정'!$B$12)</f>
        <v/>
      </c>
      <c r="R84">
        <f>IF(Q84="","",1+COUNTIFS($Q$31:$Q$1030,"&gt;"&amp;Q84)+COUNTIFS($Q$31:Q84,Q84)-1)</f>
        <v/>
      </c>
    </row>
    <row r="85" hidden="1" ht="16.5" customHeight="1">
      <c r="A85">
        <f>IF(COUNTA('05_KAIS'!$A73:$N73)=0,"",58)</f>
        <v/>
      </c>
      <c r="B85">
        <f>IF($A85="","",TRIM(INDEX('05_KAIS'!$B:$B,$A85)&amp;" "&amp;INDEX('05_KAIS'!$C:$C,$A85)))</f>
        <v/>
      </c>
      <c r="C85">
        <f>IF($A85="","",INDEX('05_KAIS'!$D:$D,$A85))</f>
        <v/>
      </c>
      <c r="D85">
        <f>IF($A85="","",INDEX('05_KAIS'!$H:$H,$A85))</f>
        <v/>
      </c>
      <c r="E85">
        <f>IF($A85="","",INDEX('05_KAIS'!$K:$K,$A85))</f>
        <v/>
      </c>
      <c r="F85" s="202">
        <f>IF($A85="","",INDEX('05_KAIS'!$I:$I,$A85))</f>
        <v/>
      </c>
      <c r="G85" s="118">
        <f>IF($A85="","",INDEX('05_KAIS'!$L:$L,$A85))</f>
        <v/>
      </c>
      <c r="H85" s="118">
        <f>IF($A85="","",IFERROR(INDEX('05_KAIS'!$M:$M,$A85),IF(AND(E85&gt;0,G85&gt;0),G85/E85,"")))</f>
        <v/>
      </c>
      <c r="I85" s="202">
        <f>IF($A85="","",INDEX('05_KAIS'!$N:$N,$A85))</f>
        <v/>
      </c>
      <c r="J85">
        <f>IF(B85="","",IF('02_대상물건입력'!$B$5="",1,IF(ISNUMBER(SEARCH('02_대상물건입력'!$B$5,B85)),1,0)))</f>
        <v/>
      </c>
      <c r="K85">
        <f>IF(B85="","",IF('02_대상물건입력'!$B$6="",1,IF(ISNUMBER(SEARCH('02_대상물건입력'!$B$6,B85)),1,0)))</f>
        <v/>
      </c>
      <c r="L85">
        <f>IF(D85="","",IF('02_대상물건입력'!$B$8="",0,IF(ISNUMBER(SEARCH('02_대상물건입력'!$B$8,D85)),1,0)))</f>
        <v/>
      </c>
      <c r="M85">
        <f>IFERROR(ABS(E85-'02_대상물건입력'!$B$11)/'02_대상물건입력'!$B$11,"")</f>
        <v/>
      </c>
      <c r="N85">
        <f>IFERROR(ABS('01_설정'!$B$4-F85),"")</f>
        <v/>
      </c>
      <c r="O85">
        <f>IFERROR(ABS(YEAR(I85)-YEAR('02_대상물건입력'!$B$14)),"")</f>
        <v/>
      </c>
      <c r="P85">
        <f>IF(AND(E85&gt;0,F85&gt;0,G85&gt;0,IF('01_설정'!$B$10=1,J85=1,TRUE()),M85&lt;='01_설정'!$B$5,N85&lt;='01_설정'!$B$7,O85&lt;='01_설정'!$B$8),"Y","")</f>
        <v/>
      </c>
      <c r="Q85">
        <f>IF(P85&lt;&gt;"Y","",MAX(0,(1-M85/'01_설정'!$B$5))*'01_설정'!$B$14+MAX(0,(1-N85/'01_설정'!$B$7))*'01_설정'!$B$16+MAX(0,(1-O85/'01_설정'!$B$8))*'01_설정'!$B$17+K85*'01_설정'!$B$11+L85*'01_설정'!$B$12)</f>
        <v/>
      </c>
      <c r="R85">
        <f>IF(Q85="","",1+COUNTIFS($Q$31:$Q$1030,"&gt;"&amp;Q85)+COUNTIFS($Q$31:Q85,Q85)-1)</f>
        <v/>
      </c>
    </row>
    <row r="86" hidden="1" ht="16.5" customHeight="1">
      <c r="A86">
        <f>IF(COUNTA('05_KAIS'!$A74:$N74)=0,"",59)</f>
        <v/>
      </c>
      <c r="B86">
        <f>IF($A86="","",TRIM(INDEX('05_KAIS'!$B:$B,$A86)&amp;" "&amp;INDEX('05_KAIS'!$C:$C,$A86)))</f>
        <v/>
      </c>
      <c r="C86">
        <f>IF($A86="","",INDEX('05_KAIS'!$D:$D,$A86))</f>
        <v/>
      </c>
      <c r="D86">
        <f>IF($A86="","",INDEX('05_KAIS'!$H:$H,$A86))</f>
        <v/>
      </c>
      <c r="E86">
        <f>IF($A86="","",INDEX('05_KAIS'!$K:$K,$A86))</f>
        <v/>
      </c>
      <c r="F86" s="202">
        <f>IF($A86="","",INDEX('05_KAIS'!$I:$I,$A86))</f>
        <v/>
      </c>
      <c r="G86" s="118">
        <f>IF($A86="","",INDEX('05_KAIS'!$L:$L,$A86))</f>
        <v/>
      </c>
      <c r="H86" s="118">
        <f>IF($A86="","",IFERROR(INDEX('05_KAIS'!$M:$M,$A86),IF(AND(E86&gt;0,G86&gt;0),G86/E86,"")))</f>
        <v/>
      </c>
      <c r="I86" s="202">
        <f>IF($A86="","",INDEX('05_KAIS'!$N:$N,$A86))</f>
        <v/>
      </c>
      <c r="J86">
        <f>IF(B86="","",IF('02_대상물건입력'!$B$5="",1,IF(ISNUMBER(SEARCH('02_대상물건입력'!$B$5,B86)),1,0)))</f>
        <v/>
      </c>
      <c r="K86">
        <f>IF(B86="","",IF('02_대상물건입력'!$B$6="",1,IF(ISNUMBER(SEARCH('02_대상물건입력'!$B$6,B86)),1,0)))</f>
        <v/>
      </c>
      <c r="L86">
        <f>IF(D86="","",IF('02_대상물건입력'!$B$8="",0,IF(ISNUMBER(SEARCH('02_대상물건입력'!$B$8,D86)),1,0)))</f>
        <v/>
      </c>
      <c r="M86">
        <f>IFERROR(ABS(E86-'02_대상물건입력'!$B$11)/'02_대상물건입력'!$B$11,"")</f>
        <v/>
      </c>
      <c r="N86">
        <f>IFERROR(ABS('01_설정'!$B$4-F86),"")</f>
        <v/>
      </c>
      <c r="O86">
        <f>IFERROR(ABS(YEAR(I86)-YEAR('02_대상물건입력'!$B$14)),"")</f>
        <v/>
      </c>
      <c r="P86">
        <f>IF(AND(E86&gt;0,F86&gt;0,G86&gt;0,IF('01_설정'!$B$10=1,J86=1,TRUE()),M86&lt;='01_설정'!$B$5,N86&lt;='01_설정'!$B$7,O86&lt;='01_설정'!$B$8),"Y","")</f>
        <v/>
      </c>
      <c r="Q86">
        <f>IF(P86&lt;&gt;"Y","",MAX(0,(1-M86/'01_설정'!$B$5))*'01_설정'!$B$14+MAX(0,(1-N86/'01_설정'!$B$7))*'01_설정'!$B$16+MAX(0,(1-O86/'01_설정'!$B$8))*'01_설정'!$B$17+K86*'01_설정'!$B$11+L86*'01_설정'!$B$12)</f>
        <v/>
      </c>
      <c r="R86">
        <f>IF(Q86="","",1+COUNTIFS($Q$31:$Q$1030,"&gt;"&amp;Q86)+COUNTIFS($Q$31:Q86,Q86)-1)</f>
        <v/>
      </c>
    </row>
    <row r="87" hidden="1" ht="16.5" customHeight="1">
      <c r="A87">
        <f>IF(COUNTA('05_KAIS'!$A75:$N75)=0,"",60)</f>
        <v/>
      </c>
      <c r="B87">
        <f>IF($A87="","",TRIM(INDEX('05_KAIS'!$B:$B,$A87)&amp;" "&amp;INDEX('05_KAIS'!$C:$C,$A87)))</f>
        <v/>
      </c>
      <c r="C87">
        <f>IF($A87="","",INDEX('05_KAIS'!$D:$D,$A87))</f>
        <v/>
      </c>
      <c r="D87">
        <f>IF($A87="","",INDEX('05_KAIS'!$H:$H,$A87))</f>
        <v/>
      </c>
      <c r="E87">
        <f>IF($A87="","",INDEX('05_KAIS'!$K:$K,$A87))</f>
        <v/>
      </c>
      <c r="F87" s="202">
        <f>IF($A87="","",INDEX('05_KAIS'!$I:$I,$A87))</f>
        <v/>
      </c>
      <c r="G87" s="118">
        <f>IF($A87="","",INDEX('05_KAIS'!$L:$L,$A87))</f>
        <v/>
      </c>
      <c r="H87" s="118">
        <f>IF($A87="","",IFERROR(INDEX('05_KAIS'!$M:$M,$A87),IF(AND(E87&gt;0,G87&gt;0),G87/E87,"")))</f>
        <v/>
      </c>
      <c r="I87" s="202">
        <f>IF($A87="","",INDEX('05_KAIS'!$N:$N,$A87))</f>
        <v/>
      </c>
      <c r="J87">
        <f>IF(B87="","",IF('02_대상물건입력'!$B$5="",1,IF(ISNUMBER(SEARCH('02_대상물건입력'!$B$5,B87)),1,0)))</f>
        <v/>
      </c>
      <c r="K87">
        <f>IF(B87="","",IF('02_대상물건입력'!$B$6="",1,IF(ISNUMBER(SEARCH('02_대상물건입력'!$B$6,B87)),1,0)))</f>
        <v/>
      </c>
      <c r="L87">
        <f>IF(D87="","",IF('02_대상물건입력'!$B$8="",0,IF(ISNUMBER(SEARCH('02_대상물건입력'!$B$8,D87)),1,0)))</f>
        <v/>
      </c>
      <c r="M87">
        <f>IFERROR(ABS(E87-'02_대상물건입력'!$B$11)/'02_대상물건입력'!$B$11,"")</f>
        <v/>
      </c>
      <c r="N87">
        <f>IFERROR(ABS('01_설정'!$B$4-F87),"")</f>
        <v/>
      </c>
      <c r="O87">
        <f>IFERROR(ABS(YEAR(I87)-YEAR('02_대상물건입력'!$B$14)),"")</f>
        <v/>
      </c>
      <c r="P87">
        <f>IF(AND(E87&gt;0,F87&gt;0,G87&gt;0,IF('01_설정'!$B$10=1,J87=1,TRUE()),M87&lt;='01_설정'!$B$5,N87&lt;='01_설정'!$B$7,O87&lt;='01_설정'!$B$8),"Y","")</f>
        <v/>
      </c>
      <c r="Q87">
        <f>IF(P87&lt;&gt;"Y","",MAX(0,(1-M87/'01_설정'!$B$5))*'01_설정'!$B$14+MAX(0,(1-N87/'01_설정'!$B$7))*'01_설정'!$B$16+MAX(0,(1-O87/'01_설정'!$B$8))*'01_설정'!$B$17+K87*'01_설정'!$B$11+L87*'01_설정'!$B$12)</f>
        <v/>
      </c>
      <c r="R87">
        <f>IF(Q87="","",1+COUNTIFS($Q$31:$Q$1030,"&gt;"&amp;Q87)+COUNTIFS($Q$31:Q87,Q87)-1)</f>
        <v/>
      </c>
    </row>
    <row r="88" hidden="1" ht="16.5" customHeight="1">
      <c r="A88">
        <f>IF(COUNTA('05_KAIS'!$A76:$N76)=0,"",61)</f>
        <v/>
      </c>
      <c r="B88">
        <f>IF($A88="","",TRIM(INDEX('05_KAIS'!$B:$B,$A88)&amp;" "&amp;INDEX('05_KAIS'!$C:$C,$A88)))</f>
        <v/>
      </c>
      <c r="C88">
        <f>IF($A88="","",INDEX('05_KAIS'!$D:$D,$A88))</f>
        <v/>
      </c>
      <c r="D88">
        <f>IF($A88="","",INDEX('05_KAIS'!$H:$H,$A88))</f>
        <v/>
      </c>
      <c r="E88">
        <f>IF($A88="","",INDEX('05_KAIS'!$K:$K,$A88))</f>
        <v/>
      </c>
      <c r="F88" s="202">
        <f>IF($A88="","",INDEX('05_KAIS'!$I:$I,$A88))</f>
        <v/>
      </c>
      <c r="G88" s="118">
        <f>IF($A88="","",INDEX('05_KAIS'!$L:$L,$A88))</f>
        <v/>
      </c>
      <c r="H88" s="118">
        <f>IF($A88="","",IFERROR(INDEX('05_KAIS'!$M:$M,$A88),IF(AND(E88&gt;0,G88&gt;0),G88/E88,"")))</f>
        <v/>
      </c>
      <c r="I88" s="202">
        <f>IF($A88="","",INDEX('05_KAIS'!$N:$N,$A88))</f>
        <v/>
      </c>
      <c r="J88">
        <f>IF(B88="","",IF('02_대상물건입력'!$B$5="",1,IF(ISNUMBER(SEARCH('02_대상물건입력'!$B$5,B88)),1,0)))</f>
        <v/>
      </c>
      <c r="K88">
        <f>IF(B88="","",IF('02_대상물건입력'!$B$6="",1,IF(ISNUMBER(SEARCH('02_대상물건입력'!$B$6,B88)),1,0)))</f>
        <v/>
      </c>
      <c r="L88">
        <f>IF(D88="","",IF('02_대상물건입력'!$B$8="",0,IF(ISNUMBER(SEARCH('02_대상물건입력'!$B$8,D88)),1,0)))</f>
        <v/>
      </c>
      <c r="M88">
        <f>IFERROR(ABS(E88-'02_대상물건입력'!$B$11)/'02_대상물건입력'!$B$11,"")</f>
        <v/>
      </c>
      <c r="N88">
        <f>IFERROR(ABS('01_설정'!$B$4-F88),"")</f>
        <v/>
      </c>
      <c r="O88">
        <f>IFERROR(ABS(YEAR(I88)-YEAR('02_대상물건입력'!$B$14)),"")</f>
        <v/>
      </c>
      <c r="P88">
        <f>IF(AND(E88&gt;0,F88&gt;0,G88&gt;0,IF('01_설정'!$B$10=1,J88=1,TRUE()),M88&lt;='01_설정'!$B$5,N88&lt;='01_설정'!$B$7,O88&lt;='01_설정'!$B$8),"Y","")</f>
        <v/>
      </c>
      <c r="Q88">
        <f>IF(P88&lt;&gt;"Y","",MAX(0,(1-M88/'01_설정'!$B$5))*'01_설정'!$B$14+MAX(0,(1-N88/'01_설정'!$B$7))*'01_설정'!$B$16+MAX(0,(1-O88/'01_설정'!$B$8))*'01_설정'!$B$17+K88*'01_설정'!$B$11+L88*'01_설정'!$B$12)</f>
        <v/>
      </c>
      <c r="R88">
        <f>IF(Q88="","",1+COUNTIFS($Q$31:$Q$1030,"&gt;"&amp;Q88)+COUNTIFS($Q$31:Q88,Q88)-1)</f>
        <v/>
      </c>
    </row>
    <row r="89" hidden="1" ht="16.5" customHeight="1">
      <c r="A89">
        <f>IF(COUNTA('05_KAIS'!$A77:$N77)=0,"",62)</f>
        <v/>
      </c>
      <c r="B89">
        <f>IF($A89="","",TRIM(INDEX('05_KAIS'!$B:$B,$A89)&amp;" "&amp;INDEX('05_KAIS'!$C:$C,$A89)))</f>
        <v/>
      </c>
      <c r="C89">
        <f>IF($A89="","",INDEX('05_KAIS'!$D:$D,$A89))</f>
        <v/>
      </c>
      <c r="D89">
        <f>IF($A89="","",INDEX('05_KAIS'!$H:$H,$A89))</f>
        <v/>
      </c>
      <c r="E89">
        <f>IF($A89="","",INDEX('05_KAIS'!$K:$K,$A89))</f>
        <v/>
      </c>
      <c r="F89" s="202">
        <f>IF($A89="","",INDEX('05_KAIS'!$I:$I,$A89))</f>
        <v/>
      </c>
      <c r="G89" s="118">
        <f>IF($A89="","",INDEX('05_KAIS'!$L:$L,$A89))</f>
        <v/>
      </c>
      <c r="H89" s="118">
        <f>IF($A89="","",IFERROR(INDEX('05_KAIS'!$M:$M,$A89),IF(AND(E89&gt;0,G89&gt;0),G89/E89,"")))</f>
        <v/>
      </c>
      <c r="I89" s="202">
        <f>IF($A89="","",INDEX('05_KAIS'!$N:$N,$A89))</f>
        <v/>
      </c>
      <c r="J89">
        <f>IF(B89="","",IF('02_대상물건입력'!$B$5="",1,IF(ISNUMBER(SEARCH('02_대상물건입력'!$B$5,B89)),1,0)))</f>
        <v/>
      </c>
      <c r="K89">
        <f>IF(B89="","",IF('02_대상물건입력'!$B$6="",1,IF(ISNUMBER(SEARCH('02_대상물건입력'!$B$6,B89)),1,0)))</f>
        <v/>
      </c>
      <c r="L89">
        <f>IF(D89="","",IF('02_대상물건입력'!$B$8="",0,IF(ISNUMBER(SEARCH('02_대상물건입력'!$B$8,D89)),1,0)))</f>
        <v/>
      </c>
      <c r="M89">
        <f>IFERROR(ABS(E89-'02_대상물건입력'!$B$11)/'02_대상물건입력'!$B$11,"")</f>
        <v/>
      </c>
      <c r="N89">
        <f>IFERROR(ABS('01_설정'!$B$4-F89),"")</f>
        <v/>
      </c>
      <c r="O89">
        <f>IFERROR(ABS(YEAR(I89)-YEAR('02_대상물건입력'!$B$14)),"")</f>
        <v/>
      </c>
      <c r="P89">
        <f>IF(AND(E89&gt;0,F89&gt;0,G89&gt;0,IF('01_설정'!$B$10=1,J89=1,TRUE()),M89&lt;='01_설정'!$B$5,N89&lt;='01_설정'!$B$7,O89&lt;='01_설정'!$B$8),"Y","")</f>
        <v/>
      </c>
      <c r="Q89">
        <f>IF(P89&lt;&gt;"Y","",MAX(0,(1-M89/'01_설정'!$B$5))*'01_설정'!$B$14+MAX(0,(1-N89/'01_설정'!$B$7))*'01_설정'!$B$16+MAX(0,(1-O89/'01_설정'!$B$8))*'01_설정'!$B$17+K89*'01_설정'!$B$11+L89*'01_설정'!$B$12)</f>
        <v/>
      </c>
      <c r="R89">
        <f>IF(Q89="","",1+COUNTIFS($Q$31:$Q$1030,"&gt;"&amp;Q89)+COUNTIFS($Q$31:Q89,Q89)-1)</f>
        <v/>
      </c>
    </row>
    <row r="90" hidden="1" ht="16.5" customHeight="1">
      <c r="A90">
        <f>IF(COUNTA('05_KAIS'!$A78:$N78)=0,"",63)</f>
        <v/>
      </c>
      <c r="B90">
        <f>IF($A90="","",TRIM(INDEX('05_KAIS'!$B:$B,$A90)&amp;" "&amp;INDEX('05_KAIS'!$C:$C,$A90)))</f>
        <v/>
      </c>
      <c r="C90">
        <f>IF($A90="","",INDEX('05_KAIS'!$D:$D,$A90))</f>
        <v/>
      </c>
      <c r="D90">
        <f>IF($A90="","",INDEX('05_KAIS'!$H:$H,$A90))</f>
        <v/>
      </c>
      <c r="E90">
        <f>IF($A90="","",INDEX('05_KAIS'!$K:$K,$A90))</f>
        <v/>
      </c>
      <c r="F90" s="202">
        <f>IF($A90="","",INDEX('05_KAIS'!$I:$I,$A90))</f>
        <v/>
      </c>
      <c r="G90" s="118">
        <f>IF($A90="","",INDEX('05_KAIS'!$L:$L,$A90))</f>
        <v/>
      </c>
      <c r="H90" s="118">
        <f>IF($A90="","",IFERROR(INDEX('05_KAIS'!$M:$M,$A90),IF(AND(E90&gt;0,G90&gt;0),G90/E90,"")))</f>
        <v/>
      </c>
      <c r="I90" s="202">
        <f>IF($A90="","",INDEX('05_KAIS'!$N:$N,$A90))</f>
        <v/>
      </c>
      <c r="J90">
        <f>IF(B90="","",IF('02_대상물건입력'!$B$5="",1,IF(ISNUMBER(SEARCH('02_대상물건입력'!$B$5,B90)),1,0)))</f>
        <v/>
      </c>
      <c r="K90">
        <f>IF(B90="","",IF('02_대상물건입력'!$B$6="",1,IF(ISNUMBER(SEARCH('02_대상물건입력'!$B$6,B90)),1,0)))</f>
        <v/>
      </c>
      <c r="L90">
        <f>IF(D90="","",IF('02_대상물건입력'!$B$8="",0,IF(ISNUMBER(SEARCH('02_대상물건입력'!$B$8,D90)),1,0)))</f>
        <v/>
      </c>
      <c r="M90">
        <f>IFERROR(ABS(E90-'02_대상물건입력'!$B$11)/'02_대상물건입력'!$B$11,"")</f>
        <v/>
      </c>
      <c r="N90">
        <f>IFERROR(ABS('01_설정'!$B$4-F90),"")</f>
        <v/>
      </c>
      <c r="O90">
        <f>IFERROR(ABS(YEAR(I90)-YEAR('02_대상물건입력'!$B$14)),"")</f>
        <v/>
      </c>
      <c r="P90">
        <f>IF(AND(E90&gt;0,F90&gt;0,G90&gt;0,IF('01_설정'!$B$10=1,J90=1,TRUE()),M90&lt;='01_설정'!$B$5,N90&lt;='01_설정'!$B$7,O90&lt;='01_설정'!$B$8),"Y","")</f>
        <v/>
      </c>
      <c r="Q90">
        <f>IF(P90&lt;&gt;"Y","",MAX(0,(1-M90/'01_설정'!$B$5))*'01_설정'!$B$14+MAX(0,(1-N90/'01_설정'!$B$7))*'01_설정'!$B$16+MAX(0,(1-O90/'01_설정'!$B$8))*'01_설정'!$B$17+K90*'01_설정'!$B$11+L90*'01_설정'!$B$12)</f>
        <v/>
      </c>
      <c r="R90">
        <f>IF(Q90="","",1+COUNTIFS($Q$31:$Q$1030,"&gt;"&amp;Q90)+COUNTIFS($Q$31:Q90,Q90)-1)</f>
        <v/>
      </c>
    </row>
    <row r="91" hidden="1" ht="16.5" customHeight="1">
      <c r="A91">
        <f>IF(COUNTA('05_KAIS'!$A79:$N79)=0,"",64)</f>
        <v/>
      </c>
      <c r="B91">
        <f>IF($A91="","",TRIM(INDEX('05_KAIS'!$B:$B,$A91)&amp;" "&amp;INDEX('05_KAIS'!$C:$C,$A91)))</f>
        <v/>
      </c>
      <c r="C91">
        <f>IF($A91="","",INDEX('05_KAIS'!$D:$D,$A91))</f>
        <v/>
      </c>
      <c r="D91">
        <f>IF($A91="","",INDEX('05_KAIS'!$H:$H,$A91))</f>
        <v/>
      </c>
      <c r="E91">
        <f>IF($A91="","",INDEX('05_KAIS'!$K:$K,$A91))</f>
        <v/>
      </c>
      <c r="F91" s="202">
        <f>IF($A91="","",INDEX('05_KAIS'!$I:$I,$A91))</f>
        <v/>
      </c>
      <c r="G91" s="118">
        <f>IF($A91="","",INDEX('05_KAIS'!$L:$L,$A91))</f>
        <v/>
      </c>
      <c r="H91" s="118">
        <f>IF($A91="","",IFERROR(INDEX('05_KAIS'!$M:$M,$A91),IF(AND(E91&gt;0,G91&gt;0),G91/E91,"")))</f>
        <v/>
      </c>
      <c r="I91" s="202">
        <f>IF($A91="","",INDEX('05_KAIS'!$N:$N,$A91))</f>
        <v/>
      </c>
      <c r="J91">
        <f>IF(B91="","",IF('02_대상물건입력'!$B$5="",1,IF(ISNUMBER(SEARCH('02_대상물건입력'!$B$5,B91)),1,0)))</f>
        <v/>
      </c>
      <c r="K91">
        <f>IF(B91="","",IF('02_대상물건입력'!$B$6="",1,IF(ISNUMBER(SEARCH('02_대상물건입력'!$B$6,B91)),1,0)))</f>
        <v/>
      </c>
      <c r="L91">
        <f>IF(D91="","",IF('02_대상물건입력'!$B$8="",0,IF(ISNUMBER(SEARCH('02_대상물건입력'!$B$8,D91)),1,0)))</f>
        <v/>
      </c>
      <c r="M91">
        <f>IFERROR(ABS(E91-'02_대상물건입력'!$B$11)/'02_대상물건입력'!$B$11,"")</f>
        <v/>
      </c>
      <c r="N91">
        <f>IFERROR(ABS('01_설정'!$B$4-F91),"")</f>
        <v/>
      </c>
      <c r="O91">
        <f>IFERROR(ABS(YEAR(I91)-YEAR('02_대상물건입력'!$B$14)),"")</f>
        <v/>
      </c>
      <c r="P91">
        <f>IF(AND(E91&gt;0,F91&gt;0,G91&gt;0,IF('01_설정'!$B$10=1,J91=1,TRUE()),M91&lt;='01_설정'!$B$5,N91&lt;='01_설정'!$B$7,O91&lt;='01_설정'!$B$8),"Y","")</f>
        <v/>
      </c>
      <c r="Q91">
        <f>IF(P91&lt;&gt;"Y","",MAX(0,(1-M91/'01_설정'!$B$5))*'01_설정'!$B$14+MAX(0,(1-N91/'01_설정'!$B$7))*'01_설정'!$B$16+MAX(0,(1-O91/'01_설정'!$B$8))*'01_설정'!$B$17+K91*'01_설정'!$B$11+L91*'01_설정'!$B$12)</f>
        <v/>
      </c>
      <c r="R91">
        <f>IF(Q91="","",1+COUNTIFS($Q$31:$Q$1030,"&gt;"&amp;Q91)+COUNTIFS($Q$31:Q91,Q91)-1)</f>
        <v/>
      </c>
    </row>
    <row r="92" hidden="1" ht="16.5" customHeight="1">
      <c r="A92">
        <f>IF(COUNTA('05_KAIS'!$A80:$N80)=0,"",65)</f>
        <v/>
      </c>
      <c r="B92">
        <f>IF($A92="","",TRIM(INDEX('05_KAIS'!$B:$B,$A92)&amp;" "&amp;INDEX('05_KAIS'!$C:$C,$A92)))</f>
        <v/>
      </c>
      <c r="C92">
        <f>IF($A92="","",INDEX('05_KAIS'!$D:$D,$A92))</f>
        <v/>
      </c>
      <c r="D92">
        <f>IF($A92="","",INDEX('05_KAIS'!$H:$H,$A92))</f>
        <v/>
      </c>
      <c r="E92">
        <f>IF($A92="","",INDEX('05_KAIS'!$K:$K,$A92))</f>
        <v/>
      </c>
      <c r="F92" s="202">
        <f>IF($A92="","",INDEX('05_KAIS'!$I:$I,$A92))</f>
        <v/>
      </c>
      <c r="G92" s="118">
        <f>IF($A92="","",INDEX('05_KAIS'!$L:$L,$A92))</f>
        <v/>
      </c>
      <c r="H92" s="118">
        <f>IF($A92="","",IFERROR(INDEX('05_KAIS'!$M:$M,$A92),IF(AND(E92&gt;0,G92&gt;0),G92/E92,"")))</f>
        <v/>
      </c>
      <c r="I92" s="202">
        <f>IF($A92="","",INDEX('05_KAIS'!$N:$N,$A92))</f>
        <v/>
      </c>
      <c r="J92">
        <f>IF(B92="","",IF('02_대상물건입력'!$B$5="",1,IF(ISNUMBER(SEARCH('02_대상물건입력'!$B$5,B92)),1,0)))</f>
        <v/>
      </c>
      <c r="K92">
        <f>IF(B92="","",IF('02_대상물건입력'!$B$6="",1,IF(ISNUMBER(SEARCH('02_대상물건입력'!$B$6,B92)),1,0)))</f>
        <v/>
      </c>
      <c r="L92">
        <f>IF(D92="","",IF('02_대상물건입력'!$B$8="",0,IF(ISNUMBER(SEARCH('02_대상물건입력'!$B$8,D92)),1,0)))</f>
        <v/>
      </c>
      <c r="M92">
        <f>IFERROR(ABS(E92-'02_대상물건입력'!$B$11)/'02_대상물건입력'!$B$11,"")</f>
        <v/>
      </c>
      <c r="N92">
        <f>IFERROR(ABS('01_설정'!$B$4-F92),"")</f>
        <v/>
      </c>
      <c r="O92">
        <f>IFERROR(ABS(YEAR(I92)-YEAR('02_대상물건입력'!$B$14)),"")</f>
        <v/>
      </c>
      <c r="P92">
        <f>IF(AND(E92&gt;0,F92&gt;0,G92&gt;0,IF('01_설정'!$B$10=1,J92=1,TRUE()),M92&lt;='01_설정'!$B$5,N92&lt;='01_설정'!$B$7,O92&lt;='01_설정'!$B$8),"Y","")</f>
        <v/>
      </c>
      <c r="Q92">
        <f>IF(P92&lt;&gt;"Y","",MAX(0,(1-M92/'01_설정'!$B$5))*'01_설정'!$B$14+MAX(0,(1-N92/'01_설정'!$B$7))*'01_설정'!$B$16+MAX(0,(1-O92/'01_설정'!$B$8))*'01_설정'!$B$17+K92*'01_설정'!$B$11+L92*'01_설정'!$B$12)</f>
        <v/>
      </c>
      <c r="R92">
        <f>IF(Q92="","",1+COUNTIFS($Q$31:$Q$1030,"&gt;"&amp;Q92)+COUNTIFS($Q$31:Q92,Q92)-1)</f>
        <v/>
      </c>
    </row>
    <row r="93" hidden="1" ht="16.5" customHeight="1">
      <c r="A93">
        <f>IF(COUNTA('05_KAIS'!$A81:$N81)=0,"",66)</f>
        <v/>
      </c>
      <c r="B93">
        <f>IF($A93="","",TRIM(INDEX('05_KAIS'!$B:$B,$A93)&amp;" "&amp;INDEX('05_KAIS'!$C:$C,$A93)))</f>
        <v/>
      </c>
      <c r="C93">
        <f>IF($A93="","",INDEX('05_KAIS'!$D:$D,$A93))</f>
        <v/>
      </c>
      <c r="D93">
        <f>IF($A93="","",INDEX('05_KAIS'!$H:$H,$A93))</f>
        <v/>
      </c>
      <c r="E93">
        <f>IF($A93="","",INDEX('05_KAIS'!$K:$K,$A93))</f>
        <v/>
      </c>
      <c r="F93" s="202">
        <f>IF($A93="","",INDEX('05_KAIS'!$I:$I,$A93))</f>
        <v/>
      </c>
      <c r="G93" s="118">
        <f>IF($A93="","",INDEX('05_KAIS'!$L:$L,$A93))</f>
        <v/>
      </c>
      <c r="H93" s="118">
        <f>IF($A93="","",IFERROR(INDEX('05_KAIS'!$M:$M,$A93),IF(AND(E93&gt;0,G93&gt;0),G93/E93,"")))</f>
        <v/>
      </c>
      <c r="I93" s="202">
        <f>IF($A93="","",INDEX('05_KAIS'!$N:$N,$A93))</f>
        <v/>
      </c>
      <c r="J93">
        <f>IF(B93="","",IF('02_대상물건입력'!$B$5="",1,IF(ISNUMBER(SEARCH('02_대상물건입력'!$B$5,B93)),1,0)))</f>
        <v/>
      </c>
      <c r="K93">
        <f>IF(B93="","",IF('02_대상물건입력'!$B$6="",1,IF(ISNUMBER(SEARCH('02_대상물건입력'!$B$6,B93)),1,0)))</f>
        <v/>
      </c>
      <c r="L93">
        <f>IF(D93="","",IF('02_대상물건입력'!$B$8="",0,IF(ISNUMBER(SEARCH('02_대상물건입력'!$B$8,D93)),1,0)))</f>
        <v/>
      </c>
      <c r="M93">
        <f>IFERROR(ABS(E93-'02_대상물건입력'!$B$11)/'02_대상물건입력'!$B$11,"")</f>
        <v/>
      </c>
      <c r="N93">
        <f>IFERROR(ABS('01_설정'!$B$4-F93),"")</f>
        <v/>
      </c>
      <c r="O93">
        <f>IFERROR(ABS(YEAR(I93)-YEAR('02_대상물건입력'!$B$14)),"")</f>
        <v/>
      </c>
      <c r="P93">
        <f>IF(AND(E93&gt;0,F93&gt;0,G93&gt;0,IF('01_설정'!$B$10=1,J93=1,TRUE()),M93&lt;='01_설정'!$B$5,N93&lt;='01_설정'!$B$7,O93&lt;='01_설정'!$B$8),"Y","")</f>
        <v/>
      </c>
      <c r="Q93">
        <f>IF(P93&lt;&gt;"Y","",MAX(0,(1-M93/'01_설정'!$B$5))*'01_설정'!$B$14+MAX(0,(1-N93/'01_설정'!$B$7))*'01_설정'!$B$16+MAX(0,(1-O93/'01_설정'!$B$8))*'01_설정'!$B$17+K93*'01_설정'!$B$11+L93*'01_설정'!$B$12)</f>
        <v/>
      </c>
      <c r="R93">
        <f>IF(Q93="","",1+COUNTIFS($Q$31:$Q$1030,"&gt;"&amp;Q93)+COUNTIFS($Q$31:Q93,Q93)-1)</f>
        <v/>
      </c>
    </row>
    <row r="94" hidden="1" ht="16.5" customHeight="1">
      <c r="A94">
        <f>IF(COUNTA('05_KAIS'!$A82:$N82)=0,"",67)</f>
        <v/>
      </c>
      <c r="B94">
        <f>IF($A94="","",TRIM(INDEX('05_KAIS'!$B:$B,$A94)&amp;" "&amp;INDEX('05_KAIS'!$C:$C,$A94)))</f>
        <v/>
      </c>
      <c r="C94">
        <f>IF($A94="","",INDEX('05_KAIS'!$D:$D,$A94))</f>
        <v/>
      </c>
      <c r="D94">
        <f>IF($A94="","",INDEX('05_KAIS'!$H:$H,$A94))</f>
        <v/>
      </c>
      <c r="E94">
        <f>IF($A94="","",INDEX('05_KAIS'!$K:$K,$A94))</f>
        <v/>
      </c>
      <c r="F94" s="202">
        <f>IF($A94="","",INDEX('05_KAIS'!$I:$I,$A94))</f>
        <v/>
      </c>
      <c r="G94" s="118">
        <f>IF($A94="","",INDEX('05_KAIS'!$L:$L,$A94))</f>
        <v/>
      </c>
      <c r="H94" s="118">
        <f>IF($A94="","",IFERROR(INDEX('05_KAIS'!$M:$M,$A94),IF(AND(E94&gt;0,G94&gt;0),G94/E94,"")))</f>
        <v/>
      </c>
      <c r="I94" s="202">
        <f>IF($A94="","",INDEX('05_KAIS'!$N:$N,$A94))</f>
        <v/>
      </c>
      <c r="J94">
        <f>IF(B94="","",IF('02_대상물건입력'!$B$5="",1,IF(ISNUMBER(SEARCH('02_대상물건입력'!$B$5,B94)),1,0)))</f>
        <v/>
      </c>
      <c r="K94">
        <f>IF(B94="","",IF('02_대상물건입력'!$B$6="",1,IF(ISNUMBER(SEARCH('02_대상물건입력'!$B$6,B94)),1,0)))</f>
        <v/>
      </c>
      <c r="L94">
        <f>IF(D94="","",IF('02_대상물건입력'!$B$8="",0,IF(ISNUMBER(SEARCH('02_대상물건입력'!$B$8,D94)),1,0)))</f>
        <v/>
      </c>
      <c r="M94">
        <f>IFERROR(ABS(E94-'02_대상물건입력'!$B$11)/'02_대상물건입력'!$B$11,"")</f>
        <v/>
      </c>
      <c r="N94">
        <f>IFERROR(ABS('01_설정'!$B$4-F94),"")</f>
        <v/>
      </c>
      <c r="O94">
        <f>IFERROR(ABS(YEAR(I94)-YEAR('02_대상물건입력'!$B$14)),"")</f>
        <v/>
      </c>
      <c r="P94">
        <f>IF(AND(E94&gt;0,F94&gt;0,G94&gt;0,IF('01_설정'!$B$10=1,J94=1,TRUE()),M94&lt;='01_설정'!$B$5,N94&lt;='01_설정'!$B$7,O94&lt;='01_설정'!$B$8),"Y","")</f>
        <v/>
      </c>
      <c r="Q94">
        <f>IF(P94&lt;&gt;"Y","",MAX(0,(1-M94/'01_설정'!$B$5))*'01_설정'!$B$14+MAX(0,(1-N94/'01_설정'!$B$7))*'01_설정'!$B$16+MAX(0,(1-O94/'01_설정'!$B$8))*'01_설정'!$B$17+K94*'01_설정'!$B$11+L94*'01_설정'!$B$12)</f>
        <v/>
      </c>
      <c r="R94">
        <f>IF(Q94="","",1+COUNTIFS($Q$31:$Q$1030,"&gt;"&amp;Q94)+COUNTIFS($Q$31:Q94,Q94)-1)</f>
        <v/>
      </c>
    </row>
    <row r="95" hidden="1" ht="16.5" customHeight="1">
      <c r="A95">
        <f>IF(COUNTA('05_KAIS'!$A83:$N83)=0,"",68)</f>
        <v/>
      </c>
      <c r="B95">
        <f>IF($A95="","",TRIM(INDEX('05_KAIS'!$B:$B,$A95)&amp;" "&amp;INDEX('05_KAIS'!$C:$C,$A95)))</f>
        <v/>
      </c>
      <c r="C95">
        <f>IF($A95="","",INDEX('05_KAIS'!$D:$D,$A95))</f>
        <v/>
      </c>
      <c r="D95">
        <f>IF($A95="","",INDEX('05_KAIS'!$H:$H,$A95))</f>
        <v/>
      </c>
      <c r="E95">
        <f>IF($A95="","",INDEX('05_KAIS'!$K:$K,$A95))</f>
        <v/>
      </c>
      <c r="F95" s="202">
        <f>IF($A95="","",INDEX('05_KAIS'!$I:$I,$A95))</f>
        <v/>
      </c>
      <c r="G95" s="118">
        <f>IF($A95="","",INDEX('05_KAIS'!$L:$L,$A95))</f>
        <v/>
      </c>
      <c r="H95" s="118">
        <f>IF($A95="","",IFERROR(INDEX('05_KAIS'!$M:$M,$A95),IF(AND(E95&gt;0,G95&gt;0),G95/E95,"")))</f>
        <v/>
      </c>
      <c r="I95" s="202">
        <f>IF($A95="","",INDEX('05_KAIS'!$N:$N,$A95))</f>
        <v/>
      </c>
      <c r="J95">
        <f>IF(B95="","",IF('02_대상물건입력'!$B$5="",1,IF(ISNUMBER(SEARCH('02_대상물건입력'!$B$5,B95)),1,0)))</f>
        <v/>
      </c>
      <c r="K95">
        <f>IF(B95="","",IF('02_대상물건입력'!$B$6="",1,IF(ISNUMBER(SEARCH('02_대상물건입력'!$B$6,B95)),1,0)))</f>
        <v/>
      </c>
      <c r="L95">
        <f>IF(D95="","",IF('02_대상물건입력'!$B$8="",0,IF(ISNUMBER(SEARCH('02_대상물건입력'!$B$8,D95)),1,0)))</f>
        <v/>
      </c>
      <c r="M95">
        <f>IFERROR(ABS(E95-'02_대상물건입력'!$B$11)/'02_대상물건입력'!$B$11,"")</f>
        <v/>
      </c>
      <c r="N95">
        <f>IFERROR(ABS('01_설정'!$B$4-F95),"")</f>
        <v/>
      </c>
      <c r="O95">
        <f>IFERROR(ABS(YEAR(I95)-YEAR('02_대상물건입력'!$B$14)),"")</f>
        <v/>
      </c>
      <c r="P95">
        <f>IF(AND(E95&gt;0,F95&gt;0,G95&gt;0,IF('01_설정'!$B$10=1,J95=1,TRUE()),M95&lt;='01_설정'!$B$5,N95&lt;='01_설정'!$B$7,O95&lt;='01_설정'!$B$8),"Y","")</f>
        <v/>
      </c>
      <c r="Q95">
        <f>IF(P95&lt;&gt;"Y","",MAX(0,(1-M95/'01_설정'!$B$5))*'01_설정'!$B$14+MAX(0,(1-N95/'01_설정'!$B$7))*'01_설정'!$B$16+MAX(0,(1-O95/'01_설정'!$B$8))*'01_설정'!$B$17+K95*'01_설정'!$B$11+L95*'01_설정'!$B$12)</f>
        <v/>
      </c>
      <c r="R95">
        <f>IF(Q95="","",1+COUNTIFS($Q$31:$Q$1030,"&gt;"&amp;Q95)+COUNTIFS($Q$31:Q95,Q95)-1)</f>
        <v/>
      </c>
    </row>
    <row r="96" hidden="1" ht="16.5" customHeight="1">
      <c r="A96">
        <f>IF(COUNTA('05_KAIS'!$A84:$N84)=0,"",69)</f>
        <v/>
      </c>
      <c r="B96">
        <f>IF($A96="","",TRIM(INDEX('05_KAIS'!$B:$B,$A96)&amp;" "&amp;INDEX('05_KAIS'!$C:$C,$A96)))</f>
        <v/>
      </c>
      <c r="C96">
        <f>IF($A96="","",INDEX('05_KAIS'!$D:$D,$A96))</f>
        <v/>
      </c>
      <c r="D96">
        <f>IF($A96="","",INDEX('05_KAIS'!$H:$H,$A96))</f>
        <v/>
      </c>
      <c r="E96">
        <f>IF($A96="","",INDEX('05_KAIS'!$K:$K,$A96))</f>
        <v/>
      </c>
      <c r="F96" s="202">
        <f>IF($A96="","",INDEX('05_KAIS'!$I:$I,$A96))</f>
        <v/>
      </c>
      <c r="G96" s="118">
        <f>IF($A96="","",INDEX('05_KAIS'!$L:$L,$A96))</f>
        <v/>
      </c>
      <c r="H96" s="118">
        <f>IF($A96="","",IFERROR(INDEX('05_KAIS'!$M:$M,$A96),IF(AND(E96&gt;0,G96&gt;0),G96/E96,"")))</f>
        <v/>
      </c>
      <c r="I96" s="202">
        <f>IF($A96="","",INDEX('05_KAIS'!$N:$N,$A96))</f>
        <v/>
      </c>
      <c r="J96">
        <f>IF(B96="","",IF('02_대상물건입력'!$B$5="",1,IF(ISNUMBER(SEARCH('02_대상물건입력'!$B$5,B96)),1,0)))</f>
        <v/>
      </c>
      <c r="K96">
        <f>IF(B96="","",IF('02_대상물건입력'!$B$6="",1,IF(ISNUMBER(SEARCH('02_대상물건입력'!$B$6,B96)),1,0)))</f>
        <v/>
      </c>
      <c r="L96">
        <f>IF(D96="","",IF('02_대상물건입력'!$B$8="",0,IF(ISNUMBER(SEARCH('02_대상물건입력'!$B$8,D96)),1,0)))</f>
        <v/>
      </c>
      <c r="M96">
        <f>IFERROR(ABS(E96-'02_대상물건입력'!$B$11)/'02_대상물건입력'!$B$11,"")</f>
        <v/>
      </c>
      <c r="N96">
        <f>IFERROR(ABS('01_설정'!$B$4-F96),"")</f>
        <v/>
      </c>
      <c r="O96">
        <f>IFERROR(ABS(YEAR(I96)-YEAR('02_대상물건입력'!$B$14)),"")</f>
        <v/>
      </c>
      <c r="P96">
        <f>IF(AND(E96&gt;0,F96&gt;0,G96&gt;0,IF('01_설정'!$B$10=1,J96=1,TRUE()),M96&lt;='01_설정'!$B$5,N96&lt;='01_설정'!$B$7,O96&lt;='01_설정'!$B$8),"Y","")</f>
        <v/>
      </c>
      <c r="Q96">
        <f>IF(P96&lt;&gt;"Y","",MAX(0,(1-M96/'01_설정'!$B$5))*'01_설정'!$B$14+MAX(0,(1-N96/'01_설정'!$B$7))*'01_설정'!$B$16+MAX(0,(1-O96/'01_설정'!$B$8))*'01_설정'!$B$17+K96*'01_설정'!$B$11+L96*'01_설정'!$B$12)</f>
        <v/>
      </c>
      <c r="R96">
        <f>IF(Q96="","",1+COUNTIFS($Q$31:$Q$1030,"&gt;"&amp;Q96)+COUNTIFS($Q$31:Q96,Q96)-1)</f>
        <v/>
      </c>
    </row>
    <row r="97" hidden="1" ht="16.5" customHeight="1">
      <c r="A97">
        <f>IF(COUNTA('05_KAIS'!$A85:$N85)=0,"",70)</f>
        <v/>
      </c>
      <c r="B97">
        <f>IF($A97="","",TRIM(INDEX('05_KAIS'!$B:$B,$A97)&amp;" "&amp;INDEX('05_KAIS'!$C:$C,$A97)))</f>
        <v/>
      </c>
      <c r="C97">
        <f>IF($A97="","",INDEX('05_KAIS'!$D:$D,$A97))</f>
        <v/>
      </c>
      <c r="D97">
        <f>IF($A97="","",INDEX('05_KAIS'!$H:$H,$A97))</f>
        <v/>
      </c>
      <c r="E97">
        <f>IF($A97="","",INDEX('05_KAIS'!$K:$K,$A97))</f>
        <v/>
      </c>
      <c r="F97" s="202">
        <f>IF($A97="","",INDEX('05_KAIS'!$I:$I,$A97))</f>
        <v/>
      </c>
      <c r="G97" s="118">
        <f>IF($A97="","",INDEX('05_KAIS'!$L:$L,$A97))</f>
        <v/>
      </c>
      <c r="H97" s="118">
        <f>IF($A97="","",IFERROR(INDEX('05_KAIS'!$M:$M,$A97),IF(AND(E97&gt;0,G97&gt;0),G97/E97,"")))</f>
        <v/>
      </c>
      <c r="I97" s="202">
        <f>IF($A97="","",INDEX('05_KAIS'!$N:$N,$A97))</f>
        <v/>
      </c>
      <c r="J97">
        <f>IF(B97="","",IF('02_대상물건입력'!$B$5="",1,IF(ISNUMBER(SEARCH('02_대상물건입력'!$B$5,B97)),1,0)))</f>
        <v/>
      </c>
      <c r="K97">
        <f>IF(B97="","",IF('02_대상물건입력'!$B$6="",1,IF(ISNUMBER(SEARCH('02_대상물건입력'!$B$6,B97)),1,0)))</f>
        <v/>
      </c>
      <c r="L97">
        <f>IF(D97="","",IF('02_대상물건입력'!$B$8="",0,IF(ISNUMBER(SEARCH('02_대상물건입력'!$B$8,D97)),1,0)))</f>
        <v/>
      </c>
      <c r="M97">
        <f>IFERROR(ABS(E97-'02_대상물건입력'!$B$11)/'02_대상물건입력'!$B$11,"")</f>
        <v/>
      </c>
      <c r="N97">
        <f>IFERROR(ABS('01_설정'!$B$4-F97),"")</f>
        <v/>
      </c>
      <c r="O97">
        <f>IFERROR(ABS(YEAR(I97)-YEAR('02_대상물건입력'!$B$14)),"")</f>
        <v/>
      </c>
      <c r="P97">
        <f>IF(AND(E97&gt;0,F97&gt;0,G97&gt;0,IF('01_설정'!$B$10=1,J97=1,TRUE()),M97&lt;='01_설정'!$B$5,N97&lt;='01_설정'!$B$7,O97&lt;='01_설정'!$B$8),"Y","")</f>
        <v/>
      </c>
      <c r="Q97">
        <f>IF(P97&lt;&gt;"Y","",MAX(0,(1-M97/'01_설정'!$B$5))*'01_설정'!$B$14+MAX(0,(1-N97/'01_설정'!$B$7))*'01_설정'!$B$16+MAX(0,(1-O97/'01_설정'!$B$8))*'01_설정'!$B$17+K97*'01_설정'!$B$11+L97*'01_설정'!$B$12)</f>
        <v/>
      </c>
      <c r="R97">
        <f>IF(Q97="","",1+COUNTIFS($Q$31:$Q$1030,"&gt;"&amp;Q97)+COUNTIFS($Q$31:Q97,Q97)-1)</f>
        <v/>
      </c>
    </row>
    <row r="98" hidden="1" ht="16.5" customHeight="1">
      <c r="A98">
        <f>IF(COUNTA('05_KAIS'!$A86:$N86)=0,"",71)</f>
        <v/>
      </c>
      <c r="B98">
        <f>IF($A98="","",TRIM(INDEX('05_KAIS'!$B:$B,$A98)&amp;" "&amp;INDEX('05_KAIS'!$C:$C,$A98)))</f>
        <v/>
      </c>
      <c r="C98">
        <f>IF($A98="","",INDEX('05_KAIS'!$D:$D,$A98))</f>
        <v/>
      </c>
      <c r="D98">
        <f>IF($A98="","",INDEX('05_KAIS'!$H:$H,$A98))</f>
        <v/>
      </c>
      <c r="E98">
        <f>IF($A98="","",INDEX('05_KAIS'!$K:$K,$A98))</f>
        <v/>
      </c>
      <c r="F98" s="202">
        <f>IF($A98="","",INDEX('05_KAIS'!$I:$I,$A98))</f>
        <v/>
      </c>
      <c r="G98" s="118">
        <f>IF($A98="","",INDEX('05_KAIS'!$L:$L,$A98))</f>
        <v/>
      </c>
      <c r="H98" s="118">
        <f>IF($A98="","",IFERROR(INDEX('05_KAIS'!$M:$M,$A98),IF(AND(E98&gt;0,G98&gt;0),G98/E98,"")))</f>
        <v/>
      </c>
      <c r="I98" s="202">
        <f>IF($A98="","",INDEX('05_KAIS'!$N:$N,$A98))</f>
        <v/>
      </c>
      <c r="J98">
        <f>IF(B98="","",IF('02_대상물건입력'!$B$5="",1,IF(ISNUMBER(SEARCH('02_대상물건입력'!$B$5,B98)),1,0)))</f>
        <v/>
      </c>
      <c r="K98">
        <f>IF(B98="","",IF('02_대상물건입력'!$B$6="",1,IF(ISNUMBER(SEARCH('02_대상물건입력'!$B$6,B98)),1,0)))</f>
        <v/>
      </c>
      <c r="L98">
        <f>IF(D98="","",IF('02_대상물건입력'!$B$8="",0,IF(ISNUMBER(SEARCH('02_대상물건입력'!$B$8,D98)),1,0)))</f>
        <v/>
      </c>
      <c r="M98">
        <f>IFERROR(ABS(E98-'02_대상물건입력'!$B$11)/'02_대상물건입력'!$B$11,"")</f>
        <v/>
      </c>
      <c r="N98">
        <f>IFERROR(ABS('01_설정'!$B$4-F98),"")</f>
        <v/>
      </c>
      <c r="O98">
        <f>IFERROR(ABS(YEAR(I98)-YEAR('02_대상물건입력'!$B$14)),"")</f>
        <v/>
      </c>
      <c r="P98">
        <f>IF(AND(E98&gt;0,F98&gt;0,G98&gt;0,IF('01_설정'!$B$10=1,J98=1,TRUE()),M98&lt;='01_설정'!$B$5,N98&lt;='01_설정'!$B$7,O98&lt;='01_설정'!$B$8),"Y","")</f>
        <v/>
      </c>
      <c r="Q98">
        <f>IF(P98&lt;&gt;"Y","",MAX(0,(1-M98/'01_설정'!$B$5))*'01_설정'!$B$14+MAX(0,(1-N98/'01_설정'!$B$7))*'01_설정'!$B$16+MAX(0,(1-O98/'01_설정'!$B$8))*'01_설정'!$B$17+K98*'01_설정'!$B$11+L98*'01_설정'!$B$12)</f>
        <v/>
      </c>
      <c r="R98">
        <f>IF(Q98="","",1+COUNTIFS($Q$31:$Q$1030,"&gt;"&amp;Q98)+COUNTIFS($Q$31:Q98,Q98)-1)</f>
        <v/>
      </c>
    </row>
    <row r="99" hidden="1" ht="16.5" customHeight="1">
      <c r="A99">
        <f>IF(COUNTA('05_KAIS'!$A87:$N87)=0,"",72)</f>
        <v/>
      </c>
      <c r="B99">
        <f>IF($A99="","",TRIM(INDEX('05_KAIS'!$B:$B,$A99)&amp;" "&amp;INDEX('05_KAIS'!$C:$C,$A99)))</f>
        <v/>
      </c>
      <c r="C99">
        <f>IF($A99="","",INDEX('05_KAIS'!$D:$D,$A99))</f>
        <v/>
      </c>
      <c r="D99">
        <f>IF($A99="","",INDEX('05_KAIS'!$H:$H,$A99))</f>
        <v/>
      </c>
      <c r="E99">
        <f>IF($A99="","",INDEX('05_KAIS'!$K:$K,$A99))</f>
        <v/>
      </c>
      <c r="F99" s="202">
        <f>IF($A99="","",INDEX('05_KAIS'!$I:$I,$A99))</f>
        <v/>
      </c>
      <c r="G99" s="118">
        <f>IF($A99="","",INDEX('05_KAIS'!$L:$L,$A99))</f>
        <v/>
      </c>
      <c r="H99" s="118">
        <f>IF($A99="","",IFERROR(INDEX('05_KAIS'!$M:$M,$A99),IF(AND(E99&gt;0,G99&gt;0),G99/E99,"")))</f>
        <v/>
      </c>
      <c r="I99" s="202">
        <f>IF($A99="","",INDEX('05_KAIS'!$N:$N,$A99))</f>
        <v/>
      </c>
      <c r="J99">
        <f>IF(B99="","",IF('02_대상물건입력'!$B$5="",1,IF(ISNUMBER(SEARCH('02_대상물건입력'!$B$5,B99)),1,0)))</f>
        <v/>
      </c>
      <c r="K99">
        <f>IF(B99="","",IF('02_대상물건입력'!$B$6="",1,IF(ISNUMBER(SEARCH('02_대상물건입력'!$B$6,B99)),1,0)))</f>
        <v/>
      </c>
      <c r="L99">
        <f>IF(D99="","",IF('02_대상물건입력'!$B$8="",0,IF(ISNUMBER(SEARCH('02_대상물건입력'!$B$8,D99)),1,0)))</f>
        <v/>
      </c>
      <c r="M99">
        <f>IFERROR(ABS(E99-'02_대상물건입력'!$B$11)/'02_대상물건입력'!$B$11,"")</f>
        <v/>
      </c>
      <c r="N99">
        <f>IFERROR(ABS('01_설정'!$B$4-F99),"")</f>
        <v/>
      </c>
      <c r="O99">
        <f>IFERROR(ABS(YEAR(I99)-YEAR('02_대상물건입력'!$B$14)),"")</f>
        <v/>
      </c>
      <c r="P99">
        <f>IF(AND(E99&gt;0,F99&gt;0,G99&gt;0,IF('01_설정'!$B$10=1,J99=1,TRUE()),M99&lt;='01_설정'!$B$5,N99&lt;='01_설정'!$B$7,O99&lt;='01_설정'!$B$8),"Y","")</f>
        <v/>
      </c>
      <c r="Q99">
        <f>IF(P99&lt;&gt;"Y","",MAX(0,(1-M99/'01_설정'!$B$5))*'01_설정'!$B$14+MAX(0,(1-N99/'01_설정'!$B$7))*'01_설정'!$B$16+MAX(0,(1-O99/'01_설정'!$B$8))*'01_설정'!$B$17+K99*'01_설정'!$B$11+L99*'01_설정'!$B$12)</f>
        <v/>
      </c>
      <c r="R99">
        <f>IF(Q99="","",1+COUNTIFS($Q$31:$Q$1030,"&gt;"&amp;Q99)+COUNTIFS($Q$31:Q99,Q99)-1)</f>
        <v/>
      </c>
    </row>
    <row r="100" hidden="1" ht="16.5" customHeight="1">
      <c r="A100">
        <f>IF(COUNTA('05_KAIS'!$A88:$N88)=0,"",73)</f>
        <v/>
      </c>
      <c r="B100">
        <f>IF($A100="","",TRIM(INDEX('05_KAIS'!$B:$B,$A100)&amp;" "&amp;INDEX('05_KAIS'!$C:$C,$A100)))</f>
        <v/>
      </c>
      <c r="C100">
        <f>IF($A100="","",INDEX('05_KAIS'!$D:$D,$A100))</f>
        <v/>
      </c>
      <c r="D100">
        <f>IF($A100="","",INDEX('05_KAIS'!$H:$H,$A100))</f>
        <v/>
      </c>
      <c r="E100">
        <f>IF($A100="","",INDEX('05_KAIS'!$K:$K,$A100))</f>
        <v/>
      </c>
      <c r="F100" s="202">
        <f>IF($A100="","",INDEX('05_KAIS'!$I:$I,$A100))</f>
        <v/>
      </c>
      <c r="G100" s="118">
        <f>IF($A100="","",INDEX('05_KAIS'!$L:$L,$A100))</f>
        <v/>
      </c>
      <c r="H100" s="118">
        <f>IF($A100="","",IFERROR(INDEX('05_KAIS'!$M:$M,$A100),IF(AND(E100&gt;0,G100&gt;0),G100/E100,"")))</f>
        <v/>
      </c>
      <c r="I100" s="202">
        <f>IF($A100="","",INDEX('05_KAIS'!$N:$N,$A100))</f>
        <v/>
      </c>
      <c r="J100">
        <f>IF(B100="","",IF('02_대상물건입력'!$B$5="",1,IF(ISNUMBER(SEARCH('02_대상물건입력'!$B$5,B100)),1,0)))</f>
        <v/>
      </c>
      <c r="K100">
        <f>IF(B100="","",IF('02_대상물건입력'!$B$6="",1,IF(ISNUMBER(SEARCH('02_대상물건입력'!$B$6,B100)),1,0)))</f>
        <v/>
      </c>
      <c r="L100">
        <f>IF(D100="","",IF('02_대상물건입력'!$B$8="",0,IF(ISNUMBER(SEARCH('02_대상물건입력'!$B$8,D100)),1,0)))</f>
        <v/>
      </c>
      <c r="M100">
        <f>IFERROR(ABS(E100-'02_대상물건입력'!$B$11)/'02_대상물건입력'!$B$11,"")</f>
        <v/>
      </c>
      <c r="N100">
        <f>IFERROR(ABS('01_설정'!$B$4-F100),"")</f>
        <v/>
      </c>
      <c r="O100">
        <f>IFERROR(ABS(YEAR(I100)-YEAR('02_대상물건입력'!$B$14)),"")</f>
        <v/>
      </c>
      <c r="P100">
        <f>IF(AND(E100&gt;0,F100&gt;0,G100&gt;0,IF('01_설정'!$B$10=1,J100=1,TRUE()),M100&lt;='01_설정'!$B$5,N100&lt;='01_설정'!$B$7,O100&lt;='01_설정'!$B$8),"Y","")</f>
        <v/>
      </c>
      <c r="Q100">
        <f>IF(P100&lt;&gt;"Y","",MAX(0,(1-M100/'01_설정'!$B$5))*'01_설정'!$B$14+MAX(0,(1-N100/'01_설정'!$B$7))*'01_설정'!$B$16+MAX(0,(1-O100/'01_설정'!$B$8))*'01_설정'!$B$17+K100*'01_설정'!$B$11+L100*'01_설정'!$B$12)</f>
        <v/>
      </c>
      <c r="R100">
        <f>IF(Q100="","",1+COUNTIFS($Q$31:$Q$1030,"&gt;"&amp;Q100)+COUNTIFS($Q$31:Q100,Q100)-1)</f>
        <v/>
      </c>
    </row>
    <row r="101" hidden="1" ht="16.5" customHeight="1">
      <c r="A101">
        <f>IF(COUNTA('05_KAIS'!$A89:$N89)=0,"",74)</f>
        <v/>
      </c>
      <c r="B101">
        <f>IF($A101="","",TRIM(INDEX('05_KAIS'!$B:$B,$A101)&amp;" "&amp;INDEX('05_KAIS'!$C:$C,$A101)))</f>
        <v/>
      </c>
      <c r="C101">
        <f>IF($A101="","",INDEX('05_KAIS'!$D:$D,$A101))</f>
        <v/>
      </c>
      <c r="D101">
        <f>IF($A101="","",INDEX('05_KAIS'!$H:$H,$A101))</f>
        <v/>
      </c>
      <c r="E101">
        <f>IF($A101="","",INDEX('05_KAIS'!$K:$K,$A101))</f>
        <v/>
      </c>
      <c r="F101" s="202">
        <f>IF($A101="","",INDEX('05_KAIS'!$I:$I,$A101))</f>
        <v/>
      </c>
      <c r="G101" s="118">
        <f>IF($A101="","",INDEX('05_KAIS'!$L:$L,$A101))</f>
        <v/>
      </c>
      <c r="H101" s="118">
        <f>IF($A101="","",IFERROR(INDEX('05_KAIS'!$M:$M,$A101),IF(AND(E101&gt;0,G101&gt;0),G101/E101,"")))</f>
        <v/>
      </c>
      <c r="I101" s="202">
        <f>IF($A101="","",INDEX('05_KAIS'!$N:$N,$A101))</f>
        <v/>
      </c>
      <c r="J101">
        <f>IF(B101="","",IF('02_대상물건입력'!$B$5="",1,IF(ISNUMBER(SEARCH('02_대상물건입력'!$B$5,B101)),1,0)))</f>
        <v/>
      </c>
      <c r="K101">
        <f>IF(B101="","",IF('02_대상물건입력'!$B$6="",1,IF(ISNUMBER(SEARCH('02_대상물건입력'!$B$6,B101)),1,0)))</f>
        <v/>
      </c>
      <c r="L101">
        <f>IF(D101="","",IF('02_대상물건입력'!$B$8="",0,IF(ISNUMBER(SEARCH('02_대상물건입력'!$B$8,D101)),1,0)))</f>
        <v/>
      </c>
      <c r="M101">
        <f>IFERROR(ABS(E101-'02_대상물건입력'!$B$11)/'02_대상물건입력'!$B$11,"")</f>
        <v/>
      </c>
      <c r="N101">
        <f>IFERROR(ABS('01_설정'!$B$4-F101),"")</f>
        <v/>
      </c>
      <c r="O101">
        <f>IFERROR(ABS(YEAR(I101)-YEAR('02_대상물건입력'!$B$14)),"")</f>
        <v/>
      </c>
      <c r="P101">
        <f>IF(AND(E101&gt;0,F101&gt;0,G101&gt;0,IF('01_설정'!$B$10=1,J101=1,TRUE()),M101&lt;='01_설정'!$B$5,N101&lt;='01_설정'!$B$7,O101&lt;='01_설정'!$B$8),"Y","")</f>
        <v/>
      </c>
      <c r="Q101">
        <f>IF(P101&lt;&gt;"Y","",MAX(0,(1-M101/'01_설정'!$B$5))*'01_설정'!$B$14+MAX(0,(1-N101/'01_설정'!$B$7))*'01_설정'!$B$16+MAX(0,(1-O101/'01_설정'!$B$8))*'01_설정'!$B$17+K101*'01_설정'!$B$11+L101*'01_설정'!$B$12)</f>
        <v/>
      </c>
      <c r="R101">
        <f>IF(Q101="","",1+COUNTIFS($Q$31:$Q$1030,"&gt;"&amp;Q101)+COUNTIFS($Q$31:Q101,Q101)-1)</f>
        <v/>
      </c>
    </row>
    <row r="102" hidden="1" ht="16.5" customHeight="1">
      <c r="A102">
        <f>IF(COUNTA('05_KAIS'!$A90:$N90)=0,"",75)</f>
        <v/>
      </c>
      <c r="B102">
        <f>IF($A102="","",TRIM(INDEX('05_KAIS'!$B:$B,$A102)&amp;" "&amp;INDEX('05_KAIS'!$C:$C,$A102)))</f>
        <v/>
      </c>
      <c r="C102">
        <f>IF($A102="","",INDEX('05_KAIS'!$D:$D,$A102))</f>
        <v/>
      </c>
      <c r="D102">
        <f>IF($A102="","",INDEX('05_KAIS'!$H:$H,$A102))</f>
        <v/>
      </c>
      <c r="E102">
        <f>IF($A102="","",INDEX('05_KAIS'!$K:$K,$A102))</f>
        <v/>
      </c>
      <c r="F102" s="202">
        <f>IF($A102="","",INDEX('05_KAIS'!$I:$I,$A102))</f>
        <v/>
      </c>
      <c r="G102" s="118">
        <f>IF($A102="","",INDEX('05_KAIS'!$L:$L,$A102))</f>
        <v/>
      </c>
      <c r="H102" s="118">
        <f>IF($A102="","",IFERROR(INDEX('05_KAIS'!$M:$M,$A102),IF(AND(E102&gt;0,G102&gt;0),G102/E102,"")))</f>
        <v/>
      </c>
      <c r="I102" s="202">
        <f>IF($A102="","",INDEX('05_KAIS'!$N:$N,$A102))</f>
        <v/>
      </c>
      <c r="J102">
        <f>IF(B102="","",IF('02_대상물건입력'!$B$5="",1,IF(ISNUMBER(SEARCH('02_대상물건입력'!$B$5,B102)),1,0)))</f>
        <v/>
      </c>
      <c r="K102">
        <f>IF(B102="","",IF('02_대상물건입력'!$B$6="",1,IF(ISNUMBER(SEARCH('02_대상물건입력'!$B$6,B102)),1,0)))</f>
        <v/>
      </c>
      <c r="L102">
        <f>IF(D102="","",IF('02_대상물건입력'!$B$8="",0,IF(ISNUMBER(SEARCH('02_대상물건입력'!$B$8,D102)),1,0)))</f>
        <v/>
      </c>
      <c r="M102">
        <f>IFERROR(ABS(E102-'02_대상물건입력'!$B$11)/'02_대상물건입력'!$B$11,"")</f>
        <v/>
      </c>
      <c r="N102">
        <f>IFERROR(ABS('01_설정'!$B$4-F102),"")</f>
        <v/>
      </c>
      <c r="O102">
        <f>IFERROR(ABS(YEAR(I102)-YEAR('02_대상물건입력'!$B$14)),"")</f>
        <v/>
      </c>
      <c r="P102">
        <f>IF(AND(E102&gt;0,F102&gt;0,G102&gt;0,IF('01_설정'!$B$10=1,J102=1,TRUE()),M102&lt;='01_설정'!$B$5,N102&lt;='01_설정'!$B$7,O102&lt;='01_설정'!$B$8),"Y","")</f>
        <v/>
      </c>
      <c r="Q102">
        <f>IF(P102&lt;&gt;"Y","",MAX(0,(1-M102/'01_설정'!$B$5))*'01_설정'!$B$14+MAX(0,(1-N102/'01_설정'!$B$7))*'01_설정'!$B$16+MAX(0,(1-O102/'01_설정'!$B$8))*'01_설정'!$B$17+K102*'01_설정'!$B$11+L102*'01_설정'!$B$12)</f>
        <v/>
      </c>
      <c r="R102">
        <f>IF(Q102="","",1+COUNTIFS($Q$31:$Q$1030,"&gt;"&amp;Q102)+COUNTIFS($Q$31:Q102,Q102)-1)</f>
        <v/>
      </c>
    </row>
    <row r="103" hidden="1" ht="16.5" customHeight="1">
      <c r="A103">
        <f>IF(COUNTA('05_KAIS'!$A91:$N91)=0,"",76)</f>
        <v/>
      </c>
      <c r="B103">
        <f>IF($A103="","",TRIM(INDEX('05_KAIS'!$B:$B,$A103)&amp;" "&amp;INDEX('05_KAIS'!$C:$C,$A103)))</f>
        <v/>
      </c>
      <c r="C103">
        <f>IF($A103="","",INDEX('05_KAIS'!$D:$D,$A103))</f>
        <v/>
      </c>
      <c r="D103">
        <f>IF($A103="","",INDEX('05_KAIS'!$H:$H,$A103))</f>
        <v/>
      </c>
      <c r="E103">
        <f>IF($A103="","",INDEX('05_KAIS'!$K:$K,$A103))</f>
        <v/>
      </c>
      <c r="F103" s="202">
        <f>IF($A103="","",INDEX('05_KAIS'!$I:$I,$A103))</f>
        <v/>
      </c>
      <c r="G103" s="118">
        <f>IF($A103="","",INDEX('05_KAIS'!$L:$L,$A103))</f>
        <v/>
      </c>
      <c r="H103" s="118">
        <f>IF($A103="","",IFERROR(INDEX('05_KAIS'!$M:$M,$A103),IF(AND(E103&gt;0,G103&gt;0),G103/E103,"")))</f>
        <v/>
      </c>
      <c r="I103" s="202">
        <f>IF($A103="","",INDEX('05_KAIS'!$N:$N,$A103))</f>
        <v/>
      </c>
      <c r="J103">
        <f>IF(B103="","",IF('02_대상물건입력'!$B$5="",1,IF(ISNUMBER(SEARCH('02_대상물건입력'!$B$5,B103)),1,0)))</f>
        <v/>
      </c>
      <c r="K103">
        <f>IF(B103="","",IF('02_대상물건입력'!$B$6="",1,IF(ISNUMBER(SEARCH('02_대상물건입력'!$B$6,B103)),1,0)))</f>
        <v/>
      </c>
      <c r="L103">
        <f>IF(D103="","",IF('02_대상물건입력'!$B$8="",0,IF(ISNUMBER(SEARCH('02_대상물건입력'!$B$8,D103)),1,0)))</f>
        <v/>
      </c>
      <c r="M103">
        <f>IFERROR(ABS(E103-'02_대상물건입력'!$B$11)/'02_대상물건입력'!$B$11,"")</f>
        <v/>
      </c>
      <c r="N103">
        <f>IFERROR(ABS('01_설정'!$B$4-F103),"")</f>
        <v/>
      </c>
      <c r="O103">
        <f>IFERROR(ABS(YEAR(I103)-YEAR('02_대상물건입력'!$B$14)),"")</f>
        <v/>
      </c>
      <c r="P103">
        <f>IF(AND(E103&gt;0,F103&gt;0,G103&gt;0,IF('01_설정'!$B$10=1,J103=1,TRUE()),M103&lt;='01_설정'!$B$5,N103&lt;='01_설정'!$B$7,O103&lt;='01_설정'!$B$8),"Y","")</f>
        <v/>
      </c>
      <c r="Q103">
        <f>IF(P103&lt;&gt;"Y","",MAX(0,(1-M103/'01_설정'!$B$5))*'01_설정'!$B$14+MAX(0,(1-N103/'01_설정'!$B$7))*'01_설정'!$B$16+MAX(0,(1-O103/'01_설정'!$B$8))*'01_설정'!$B$17+K103*'01_설정'!$B$11+L103*'01_설정'!$B$12)</f>
        <v/>
      </c>
      <c r="R103">
        <f>IF(Q103="","",1+COUNTIFS($Q$31:$Q$1030,"&gt;"&amp;Q103)+COUNTIFS($Q$31:Q103,Q103)-1)</f>
        <v/>
      </c>
    </row>
    <row r="104" hidden="1" ht="16.5" customHeight="1">
      <c r="A104">
        <f>IF(COUNTA('05_KAIS'!$A92:$N92)=0,"",77)</f>
        <v/>
      </c>
      <c r="B104">
        <f>IF($A104="","",TRIM(INDEX('05_KAIS'!$B:$B,$A104)&amp;" "&amp;INDEX('05_KAIS'!$C:$C,$A104)))</f>
        <v/>
      </c>
      <c r="C104">
        <f>IF($A104="","",INDEX('05_KAIS'!$D:$D,$A104))</f>
        <v/>
      </c>
      <c r="D104">
        <f>IF($A104="","",INDEX('05_KAIS'!$H:$H,$A104))</f>
        <v/>
      </c>
      <c r="E104">
        <f>IF($A104="","",INDEX('05_KAIS'!$K:$K,$A104))</f>
        <v/>
      </c>
      <c r="F104" s="202">
        <f>IF($A104="","",INDEX('05_KAIS'!$I:$I,$A104))</f>
        <v/>
      </c>
      <c r="G104" s="118">
        <f>IF($A104="","",INDEX('05_KAIS'!$L:$L,$A104))</f>
        <v/>
      </c>
      <c r="H104" s="118">
        <f>IF($A104="","",IFERROR(INDEX('05_KAIS'!$M:$M,$A104),IF(AND(E104&gt;0,G104&gt;0),G104/E104,"")))</f>
        <v/>
      </c>
      <c r="I104" s="202">
        <f>IF($A104="","",INDEX('05_KAIS'!$N:$N,$A104))</f>
        <v/>
      </c>
      <c r="J104">
        <f>IF(B104="","",IF('02_대상물건입력'!$B$5="",1,IF(ISNUMBER(SEARCH('02_대상물건입력'!$B$5,B104)),1,0)))</f>
        <v/>
      </c>
      <c r="K104">
        <f>IF(B104="","",IF('02_대상물건입력'!$B$6="",1,IF(ISNUMBER(SEARCH('02_대상물건입력'!$B$6,B104)),1,0)))</f>
        <v/>
      </c>
      <c r="L104">
        <f>IF(D104="","",IF('02_대상물건입력'!$B$8="",0,IF(ISNUMBER(SEARCH('02_대상물건입력'!$B$8,D104)),1,0)))</f>
        <v/>
      </c>
      <c r="M104">
        <f>IFERROR(ABS(E104-'02_대상물건입력'!$B$11)/'02_대상물건입력'!$B$11,"")</f>
        <v/>
      </c>
      <c r="N104">
        <f>IFERROR(ABS('01_설정'!$B$4-F104),"")</f>
        <v/>
      </c>
      <c r="O104">
        <f>IFERROR(ABS(YEAR(I104)-YEAR('02_대상물건입력'!$B$14)),"")</f>
        <v/>
      </c>
      <c r="P104">
        <f>IF(AND(E104&gt;0,F104&gt;0,G104&gt;0,IF('01_설정'!$B$10=1,J104=1,TRUE()),M104&lt;='01_설정'!$B$5,N104&lt;='01_설정'!$B$7,O104&lt;='01_설정'!$B$8),"Y","")</f>
        <v/>
      </c>
      <c r="Q104">
        <f>IF(P104&lt;&gt;"Y","",MAX(0,(1-M104/'01_설정'!$B$5))*'01_설정'!$B$14+MAX(0,(1-N104/'01_설정'!$B$7))*'01_설정'!$B$16+MAX(0,(1-O104/'01_설정'!$B$8))*'01_설정'!$B$17+K104*'01_설정'!$B$11+L104*'01_설정'!$B$12)</f>
        <v/>
      </c>
      <c r="R104">
        <f>IF(Q104="","",1+COUNTIFS($Q$31:$Q$1030,"&gt;"&amp;Q104)+COUNTIFS($Q$31:Q104,Q104)-1)</f>
        <v/>
      </c>
    </row>
    <row r="105" hidden="1" ht="16.5" customHeight="1">
      <c r="A105">
        <f>IF(COUNTA('05_KAIS'!$A93:$N93)=0,"",78)</f>
        <v/>
      </c>
      <c r="B105">
        <f>IF($A105="","",TRIM(INDEX('05_KAIS'!$B:$B,$A105)&amp;" "&amp;INDEX('05_KAIS'!$C:$C,$A105)))</f>
        <v/>
      </c>
      <c r="C105">
        <f>IF($A105="","",INDEX('05_KAIS'!$D:$D,$A105))</f>
        <v/>
      </c>
      <c r="D105">
        <f>IF($A105="","",INDEX('05_KAIS'!$H:$H,$A105))</f>
        <v/>
      </c>
      <c r="E105">
        <f>IF($A105="","",INDEX('05_KAIS'!$K:$K,$A105))</f>
        <v/>
      </c>
      <c r="F105" s="202">
        <f>IF($A105="","",INDEX('05_KAIS'!$I:$I,$A105))</f>
        <v/>
      </c>
      <c r="G105" s="118">
        <f>IF($A105="","",INDEX('05_KAIS'!$L:$L,$A105))</f>
        <v/>
      </c>
      <c r="H105" s="118">
        <f>IF($A105="","",IFERROR(INDEX('05_KAIS'!$M:$M,$A105),IF(AND(E105&gt;0,G105&gt;0),G105/E105,"")))</f>
        <v/>
      </c>
      <c r="I105" s="202">
        <f>IF($A105="","",INDEX('05_KAIS'!$N:$N,$A105))</f>
        <v/>
      </c>
      <c r="J105">
        <f>IF(B105="","",IF('02_대상물건입력'!$B$5="",1,IF(ISNUMBER(SEARCH('02_대상물건입력'!$B$5,B105)),1,0)))</f>
        <v/>
      </c>
      <c r="K105">
        <f>IF(B105="","",IF('02_대상물건입력'!$B$6="",1,IF(ISNUMBER(SEARCH('02_대상물건입력'!$B$6,B105)),1,0)))</f>
        <v/>
      </c>
      <c r="L105">
        <f>IF(D105="","",IF('02_대상물건입력'!$B$8="",0,IF(ISNUMBER(SEARCH('02_대상물건입력'!$B$8,D105)),1,0)))</f>
        <v/>
      </c>
      <c r="M105">
        <f>IFERROR(ABS(E105-'02_대상물건입력'!$B$11)/'02_대상물건입력'!$B$11,"")</f>
        <v/>
      </c>
      <c r="N105">
        <f>IFERROR(ABS('01_설정'!$B$4-F105),"")</f>
        <v/>
      </c>
      <c r="O105">
        <f>IFERROR(ABS(YEAR(I105)-YEAR('02_대상물건입력'!$B$14)),"")</f>
        <v/>
      </c>
      <c r="P105">
        <f>IF(AND(E105&gt;0,F105&gt;0,G105&gt;0,IF('01_설정'!$B$10=1,J105=1,TRUE()),M105&lt;='01_설정'!$B$5,N105&lt;='01_설정'!$B$7,O105&lt;='01_설정'!$B$8),"Y","")</f>
        <v/>
      </c>
      <c r="Q105">
        <f>IF(P105&lt;&gt;"Y","",MAX(0,(1-M105/'01_설정'!$B$5))*'01_설정'!$B$14+MAX(0,(1-N105/'01_설정'!$B$7))*'01_설정'!$B$16+MAX(0,(1-O105/'01_설정'!$B$8))*'01_설정'!$B$17+K105*'01_설정'!$B$11+L105*'01_설정'!$B$12)</f>
        <v/>
      </c>
      <c r="R105">
        <f>IF(Q105="","",1+COUNTIFS($Q$31:$Q$1030,"&gt;"&amp;Q105)+COUNTIFS($Q$31:Q105,Q105)-1)</f>
        <v/>
      </c>
    </row>
    <row r="106" hidden="1" ht="16.5" customHeight="1">
      <c r="A106">
        <f>IF(COUNTA('05_KAIS'!$A94:$N94)=0,"",79)</f>
        <v/>
      </c>
      <c r="B106">
        <f>IF($A106="","",TRIM(INDEX('05_KAIS'!$B:$B,$A106)&amp;" "&amp;INDEX('05_KAIS'!$C:$C,$A106)))</f>
        <v/>
      </c>
      <c r="C106">
        <f>IF($A106="","",INDEX('05_KAIS'!$D:$D,$A106))</f>
        <v/>
      </c>
      <c r="D106">
        <f>IF($A106="","",INDEX('05_KAIS'!$H:$H,$A106))</f>
        <v/>
      </c>
      <c r="E106">
        <f>IF($A106="","",INDEX('05_KAIS'!$K:$K,$A106))</f>
        <v/>
      </c>
      <c r="F106" s="202">
        <f>IF($A106="","",INDEX('05_KAIS'!$I:$I,$A106))</f>
        <v/>
      </c>
      <c r="G106" s="118">
        <f>IF($A106="","",INDEX('05_KAIS'!$L:$L,$A106))</f>
        <v/>
      </c>
      <c r="H106" s="118">
        <f>IF($A106="","",IFERROR(INDEX('05_KAIS'!$M:$M,$A106),IF(AND(E106&gt;0,G106&gt;0),G106/E106,"")))</f>
        <v/>
      </c>
      <c r="I106" s="202">
        <f>IF($A106="","",INDEX('05_KAIS'!$N:$N,$A106))</f>
        <v/>
      </c>
      <c r="J106">
        <f>IF(B106="","",IF('02_대상물건입력'!$B$5="",1,IF(ISNUMBER(SEARCH('02_대상물건입력'!$B$5,B106)),1,0)))</f>
        <v/>
      </c>
      <c r="K106">
        <f>IF(B106="","",IF('02_대상물건입력'!$B$6="",1,IF(ISNUMBER(SEARCH('02_대상물건입력'!$B$6,B106)),1,0)))</f>
        <v/>
      </c>
      <c r="L106">
        <f>IF(D106="","",IF('02_대상물건입력'!$B$8="",0,IF(ISNUMBER(SEARCH('02_대상물건입력'!$B$8,D106)),1,0)))</f>
        <v/>
      </c>
      <c r="M106">
        <f>IFERROR(ABS(E106-'02_대상물건입력'!$B$11)/'02_대상물건입력'!$B$11,"")</f>
        <v/>
      </c>
      <c r="N106">
        <f>IFERROR(ABS('01_설정'!$B$4-F106),"")</f>
        <v/>
      </c>
      <c r="O106">
        <f>IFERROR(ABS(YEAR(I106)-YEAR('02_대상물건입력'!$B$14)),"")</f>
        <v/>
      </c>
      <c r="P106">
        <f>IF(AND(E106&gt;0,F106&gt;0,G106&gt;0,IF('01_설정'!$B$10=1,J106=1,TRUE()),M106&lt;='01_설정'!$B$5,N106&lt;='01_설정'!$B$7,O106&lt;='01_설정'!$B$8),"Y","")</f>
        <v/>
      </c>
      <c r="Q106">
        <f>IF(P106&lt;&gt;"Y","",MAX(0,(1-M106/'01_설정'!$B$5))*'01_설정'!$B$14+MAX(0,(1-N106/'01_설정'!$B$7))*'01_설정'!$B$16+MAX(0,(1-O106/'01_설정'!$B$8))*'01_설정'!$B$17+K106*'01_설정'!$B$11+L106*'01_설정'!$B$12)</f>
        <v/>
      </c>
      <c r="R106">
        <f>IF(Q106="","",1+COUNTIFS($Q$31:$Q$1030,"&gt;"&amp;Q106)+COUNTIFS($Q$31:Q106,Q106)-1)</f>
        <v/>
      </c>
    </row>
    <row r="107" hidden="1" ht="16.5" customHeight="1">
      <c r="A107">
        <f>IF(COUNTA('05_KAIS'!$A95:$N95)=0,"",80)</f>
        <v/>
      </c>
      <c r="B107">
        <f>IF($A107="","",TRIM(INDEX('05_KAIS'!$B:$B,$A107)&amp;" "&amp;INDEX('05_KAIS'!$C:$C,$A107)))</f>
        <v/>
      </c>
      <c r="C107">
        <f>IF($A107="","",INDEX('05_KAIS'!$D:$D,$A107))</f>
        <v/>
      </c>
      <c r="D107">
        <f>IF($A107="","",INDEX('05_KAIS'!$H:$H,$A107))</f>
        <v/>
      </c>
      <c r="E107">
        <f>IF($A107="","",INDEX('05_KAIS'!$K:$K,$A107))</f>
        <v/>
      </c>
      <c r="F107" s="202">
        <f>IF($A107="","",INDEX('05_KAIS'!$I:$I,$A107))</f>
        <v/>
      </c>
      <c r="G107" s="118">
        <f>IF($A107="","",INDEX('05_KAIS'!$L:$L,$A107))</f>
        <v/>
      </c>
      <c r="H107" s="118">
        <f>IF($A107="","",IFERROR(INDEX('05_KAIS'!$M:$M,$A107),IF(AND(E107&gt;0,G107&gt;0),G107/E107,"")))</f>
        <v/>
      </c>
      <c r="I107" s="202">
        <f>IF($A107="","",INDEX('05_KAIS'!$N:$N,$A107))</f>
        <v/>
      </c>
      <c r="J107">
        <f>IF(B107="","",IF('02_대상물건입력'!$B$5="",1,IF(ISNUMBER(SEARCH('02_대상물건입력'!$B$5,B107)),1,0)))</f>
        <v/>
      </c>
      <c r="K107">
        <f>IF(B107="","",IF('02_대상물건입력'!$B$6="",1,IF(ISNUMBER(SEARCH('02_대상물건입력'!$B$6,B107)),1,0)))</f>
        <v/>
      </c>
      <c r="L107">
        <f>IF(D107="","",IF('02_대상물건입력'!$B$8="",0,IF(ISNUMBER(SEARCH('02_대상물건입력'!$B$8,D107)),1,0)))</f>
        <v/>
      </c>
      <c r="M107">
        <f>IFERROR(ABS(E107-'02_대상물건입력'!$B$11)/'02_대상물건입력'!$B$11,"")</f>
        <v/>
      </c>
      <c r="N107">
        <f>IFERROR(ABS('01_설정'!$B$4-F107),"")</f>
        <v/>
      </c>
      <c r="O107">
        <f>IFERROR(ABS(YEAR(I107)-YEAR('02_대상물건입력'!$B$14)),"")</f>
        <v/>
      </c>
      <c r="P107">
        <f>IF(AND(E107&gt;0,F107&gt;0,G107&gt;0,IF('01_설정'!$B$10=1,J107=1,TRUE()),M107&lt;='01_설정'!$B$5,N107&lt;='01_설정'!$B$7,O107&lt;='01_설정'!$B$8),"Y","")</f>
        <v/>
      </c>
      <c r="Q107">
        <f>IF(P107&lt;&gt;"Y","",MAX(0,(1-M107/'01_설정'!$B$5))*'01_설정'!$B$14+MAX(0,(1-N107/'01_설정'!$B$7))*'01_설정'!$B$16+MAX(0,(1-O107/'01_설정'!$B$8))*'01_설정'!$B$17+K107*'01_설정'!$B$11+L107*'01_설정'!$B$12)</f>
        <v/>
      </c>
      <c r="R107">
        <f>IF(Q107="","",1+COUNTIFS($Q$31:$Q$1030,"&gt;"&amp;Q107)+COUNTIFS($Q$31:Q107,Q107)-1)</f>
        <v/>
      </c>
    </row>
    <row r="108" hidden="1" ht="16.5" customHeight="1">
      <c r="A108">
        <f>IF(COUNTA('05_KAIS'!$A96:$N96)=0,"",81)</f>
        <v/>
      </c>
      <c r="B108">
        <f>IF($A108="","",TRIM(INDEX('05_KAIS'!$B:$B,$A108)&amp;" "&amp;INDEX('05_KAIS'!$C:$C,$A108)))</f>
        <v/>
      </c>
      <c r="C108">
        <f>IF($A108="","",INDEX('05_KAIS'!$D:$D,$A108))</f>
        <v/>
      </c>
      <c r="D108">
        <f>IF($A108="","",INDEX('05_KAIS'!$H:$H,$A108))</f>
        <v/>
      </c>
      <c r="E108">
        <f>IF($A108="","",INDEX('05_KAIS'!$K:$K,$A108))</f>
        <v/>
      </c>
      <c r="F108" s="202">
        <f>IF($A108="","",INDEX('05_KAIS'!$I:$I,$A108))</f>
        <v/>
      </c>
      <c r="G108" s="118">
        <f>IF($A108="","",INDEX('05_KAIS'!$L:$L,$A108))</f>
        <v/>
      </c>
      <c r="H108" s="118">
        <f>IF($A108="","",IFERROR(INDEX('05_KAIS'!$M:$M,$A108),IF(AND(E108&gt;0,G108&gt;0),G108/E108,"")))</f>
        <v/>
      </c>
      <c r="I108" s="202">
        <f>IF($A108="","",INDEX('05_KAIS'!$N:$N,$A108))</f>
        <v/>
      </c>
      <c r="J108">
        <f>IF(B108="","",IF('02_대상물건입력'!$B$5="",1,IF(ISNUMBER(SEARCH('02_대상물건입력'!$B$5,B108)),1,0)))</f>
        <v/>
      </c>
      <c r="K108">
        <f>IF(B108="","",IF('02_대상물건입력'!$B$6="",1,IF(ISNUMBER(SEARCH('02_대상물건입력'!$B$6,B108)),1,0)))</f>
        <v/>
      </c>
      <c r="L108">
        <f>IF(D108="","",IF('02_대상물건입력'!$B$8="",0,IF(ISNUMBER(SEARCH('02_대상물건입력'!$B$8,D108)),1,0)))</f>
        <v/>
      </c>
      <c r="M108">
        <f>IFERROR(ABS(E108-'02_대상물건입력'!$B$11)/'02_대상물건입력'!$B$11,"")</f>
        <v/>
      </c>
      <c r="N108">
        <f>IFERROR(ABS('01_설정'!$B$4-F108),"")</f>
        <v/>
      </c>
      <c r="O108">
        <f>IFERROR(ABS(YEAR(I108)-YEAR('02_대상물건입력'!$B$14)),"")</f>
        <v/>
      </c>
      <c r="P108">
        <f>IF(AND(E108&gt;0,F108&gt;0,G108&gt;0,IF('01_설정'!$B$10=1,J108=1,TRUE()),M108&lt;='01_설정'!$B$5,N108&lt;='01_설정'!$B$7,O108&lt;='01_설정'!$B$8),"Y","")</f>
        <v/>
      </c>
      <c r="Q108">
        <f>IF(P108&lt;&gt;"Y","",MAX(0,(1-M108/'01_설정'!$B$5))*'01_설정'!$B$14+MAX(0,(1-N108/'01_설정'!$B$7))*'01_설정'!$B$16+MAX(0,(1-O108/'01_설정'!$B$8))*'01_설정'!$B$17+K108*'01_설정'!$B$11+L108*'01_설정'!$B$12)</f>
        <v/>
      </c>
      <c r="R108">
        <f>IF(Q108="","",1+COUNTIFS($Q$31:$Q$1030,"&gt;"&amp;Q108)+COUNTIFS($Q$31:Q108,Q108)-1)</f>
        <v/>
      </c>
    </row>
    <row r="109" hidden="1" ht="16.5" customHeight="1">
      <c r="A109">
        <f>IF(COUNTA('05_KAIS'!$A97:$N97)=0,"",82)</f>
        <v/>
      </c>
      <c r="B109">
        <f>IF($A109="","",TRIM(INDEX('05_KAIS'!$B:$B,$A109)&amp;" "&amp;INDEX('05_KAIS'!$C:$C,$A109)))</f>
        <v/>
      </c>
      <c r="C109">
        <f>IF($A109="","",INDEX('05_KAIS'!$D:$D,$A109))</f>
        <v/>
      </c>
      <c r="D109">
        <f>IF($A109="","",INDEX('05_KAIS'!$H:$H,$A109))</f>
        <v/>
      </c>
      <c r="E109">
        <f>IF($A109="","",INDEX('05_KAIS'!$K:$K,$A109))</f>
        <v/>
      </c>
      <c r="F109" s="202">
        <f>IF($A109="","",INDEX('05_KAIS'!$I:$I,$A109))</f>
        <v/>
      </c>
      <c r="G109" s="118">
        <f>IF($A109="","",INDEX('05_KAIS'!$L:$L,$A109))</f>
        <v/>
      </c>
      <c r="H109" s="118">
        <f>IF($A109="","",IFERROR(INDEX('05_KAIS'!$M:$M,$A109),IF(AND(E109&gt;0,G109&gt;0),G109/E109,"")))</f>
        <v/>
      </c>
      <c r="I109" s="202">
        <f>IF($A109="","",INDEX('05_KAIS'!$N:$N,$A109))</f>
        <v/>
      </c>
      <c r="J109">
        <f>IF(B109="","",IF('02_대상물건입력'!$B$5="",1,IF(ISNUMBER(SEARCH('02_대상물건입력'!$B$5,B109)),1,0)))</f>
        <v/>
      </c>
      <c r="K109">
        <f>IF(B109="","",IF('02_대상물건입력'!$B$6="",1,IF(ISNUMBER(SEARCH('02_대상물건입력'!$B$6,B109)),1,0)))</f>
        <v/>
      </c>
      <c r="L109">
        <f>IF(D109="","",IF('02_대상물건입력'!$B$8="",0,IF(ISNUMBER(SEARCH('02_대상물건입력'!$B$8,D109)),1,0)))</f>
        <v/>
      </c>
      <c r="M109">
        <f>IFERROR(ABS(E109-'02_대상물건입력'!$B$11)/'02_대상물건입력'!$B$11,"")</f>
        <v/>
      </c>
      <c r="N109">
        <f>IFERROR(ABS('01_설정'!$B$4-F109),"")</f>
        <v/>
      </c>
      <c r="O109">
        <f>IFERROR(ABS(YEAR(I109)-YEAR('02_대상물건입력'!$B$14)),"")</f>
        <v/>
      </c>
      <c r="P109">
        <f>IF(AND(E109&gt;0,F109&gt;0,G109&gt;0,IF('01_설정'!$B$10=1,J109=1,TRUE()),M109&lt;='01_설정'!$B$5,N109&lt;='01_설정'!$B$7,O109&lt;='01_설정'!$B$8),"Y","")</f>
        <v/>
      </c>
      <c r="Q109">
        <f>IF(P109&lt;&gt;"Y","",MAX(0,(1-M109/'01_설정'!$B$5))*'01_설정'!$B$14+MAX(0,(1-N109/'01_설정'!$B$7))*'01_설정'!$B$16+MAX(0,(1-O109/'01_설정'!$B$8))*'01_설정'!$B$17+K109*'01_설정'!$B$11+L109*'01_설정'!$B$12)</f>
        <v/>
      </c>
      <c r="R109">
        <f>IF(Q109="","",1+COUNTIFS($Q$31:$Q$1030,"&gt;"&amp;Q109)+COUNTIFS($Q$31:Q109,Q109)-1)</f>
        <v/>
      </c>
    </row>
    <row r="110" hidden="1" ht="16.5" customHeight="1">
      <c r="A110">
        <f>IF(COUNTA('05_KAIS'!$A98:$N98)=0,"",83)</f>
        <v/>
      </c>
      <c r="B110">
        <f>IF($A110="","",TRIM(INDEX('05_KAIS'!$B:$B,$A110)&amp;" "&amp;INDEX('05_KAIS'!$C:$C,$A110)))</f>
        <v/>
      </c>
      <c r="C110">
        <f>IF($A110="","",INDEX('05_KAIS'!$D:$D,$A110))</f>
        <v/>
      </c>
      <c r="D110">
        <f>IF($A110="","",INDEX('05_KAIS'!$H:$H,$A110))</f>
        <v/>
      </c>
      <c r="E110">
        <f>IF($A110="","",INDEX('05_KAIS'!$K:$K,$A110))</f>
        <v/>
      </c>
      <c r="F110" s="202">
        <f>IF($A110="","",INDEX('05_KAIS'!$I:$I,$A110))</f>
        <v/>
      </c>
      <c r="G110" s="118">
        <f>IF($A110="","",INDEX('05_KAIS'!$L:$L,$A110))</f>
        <v/>
      </c>
      <c r="H110" s="118">
        <f>IF($A110="","",IFERROR(INDEX('05_KAIS'!$M:$M,$A110),IF(AND(E110&gt;0,G110&gt;0),G110/E110,"")))</f>
        <v/>
      </c>
      <c r="I110" s="202">
        <f>IF($A110="","",INDEX('05_KAIS'!$N:$N,$A110))</f>
        <v/>
      </c>
      <c r="J110">
        <f>IF(B110="","",IF('02_대상물건입력'!$B$5="",1,IF(ISNUMBER(SEARCH('02_대상물건입력'!$B$5,B110)),1,0)))</f>
        <v/>
      </c>
      <c r="K110">
        <f>IF(B110="","",IF('02_대상물건입력'!$B$6="",1,IF(ISNUMBER(SEARCH('02_대상물건입력'!$B$6,B110)),1,0)))</f>
        <v/>
      </c>
      <c r="L110">
        <f>IF(D110="","",IF('02_대상물건입력'!$B$8="",0,IF(ISNUMBER(SEARCH('02_대상물건입력'!$B$8,D110)),1,0)))</f>
        <v/>
      </c>
      <c r="M110">
        <f>IFERROR(ABS(E110-'02_대상물건입력'!$B$11)/'02_대상물건입력'!$B$11,"")</f>
        <v/>
      </c>
      <c r="N110">
        <f>IFERROR(ABS('01_설정'!$B$4-F110),"")</f>
        <v/>
      </c>
      <c r="O110">
        <f>IFERROR(ABS(YEAR(I110)-YEAR('02_대상물건입력'!$B$14)),"")</f>
        <v/>
      </c>
      <c r="P110">
        <f>IF(AND(E110&gt;0,F110&gt;0,G110&gt;0,IF('01_설정'!$B$10=1,J110=1,TRUE()),M110&lt;='01_설정'!$B$5,N110&lt;='01_설정'!$B$7,O110&lt;='01_설정'!$B$8),"Y","")</f>
        <v/>
      </c>
      <c r="Q110">
        <f>IF(P110&lt;&gt;"Y","",MAX(0,(1-M110/'01_설정'!$B$5))*'01_설정'!$B$14+MAX(0,(1-N110/'01_설정'!$B$7))*'01_설정'!$B$16+MAX(0,(1-O110/'01_설정'!$B$8))*'01_설정'!$B$17+K110*'01_설정'!$B$11+L110*'01_설정'!$B$12)</f>
        <v/>
      </c>
      <c r="R110">
        <f>IF(Q110="","",1+COUNTIFS($Q$31:$Q$1030,"&gt;"&amp;Q110)+COUNTIFS($Q$31:Q110,Q110)-1)</f>
        <v/>
      </c>
    </row>
    <row r="111" hidden="1" ht="16.5" customHeight="1">
      <c r="A111">
        <f>IF(COUNTA('05_KAIS'!$A99:$N99)=0,"",84)</f>
        <v/>
      </c>
      <c r="B111">
        <f>IF($A111="","",TRIM(INDEX('05_KAIS'!$B:$B,$A111)&amp;" "&amp;INDEX('05_KAIS'!$C:$C,$A111)))</f>
        <v/>
      </c>
      <c r="C111">
        <f>IF($A111="","",INDEX('05_KAIS'!$D:$D,$A111))</f>
        <v/>
      </c>
      <c r="D111">
        <f>IF($A111="","",INDEX('05_KAIS'!$H:$H,$A111))</f>
        <v/>
      </c>
      <c r="E111">
        <f>IF($A111="","",INDEX('05_KAIS'!$K:$K,$A111))</f>
        <v/>
      </c>
      <c r="F111" s="202">
        <f>IF($A111="","",INDEX('05_KAIS'!$I:$I,$A111))</f>
        <v/>
      </c>
      <c r="G111" s="118">
        <f>IF($A111="","",INDEX('05_KAIS'!$L:$L,$A111))</f>
        <v/>
      </c>
      <c r="H111" s="118">
        <f>IF($A111="","",IFERROR(INDEX('05_KAIS'!$M:$M,$A111),IF(AND(E111&gt;0,G111&gt;0),G111/E111,"")))</f>
        <v/>
      </c>
      <c r="I111" s="202">
        <f>IF($A111="","",INDEX('05_KAIS'!$N:$N,$A111))</f>
        <v/>
      </c>
      <c r="J111">
        <f>IF(B111="","",IF('02_대상물건입력'!$B$5="",1,IF(ISNUMBER(SEARCH('02_대상물건입력'!$B$5,B111)),1,0)))</f>
        <v/>
      </c>
      <c r="K111">
        <f>IF(B111="","",IF('02_대상물건입력'!$B$6="",1,IF(ISNUMBER(SEARCH('02_대상물건입력'!$B$6,B111)),1,0)))</f>
        <v/>
      </c>
      <c r="L111">
        <f>IF(D111="","",IF('02_대상물건입력'!$B$8="",0,IF(ISNUMBER(SEARCH('02_대상물건입력'!$B$8,D111)),1,0)))</f>
        <v/>
      </c>
      <c r="M111">
        <f>IFERROR(ABS(E111-'02_대상물건입력'!$B$11)/'02_대상물건입력'!$B$11,"")</f>
        <v/>
      </c>
      <c r="N111">
        <f>IFERROR(ABS('01_설정'!$B$4-F111),"")</f>
        <v/>
      </c>
      <c r="O111">
        <f>IFERROR(ABS(YEAR(I111)-YEAR('02_대상물건입력'!$B$14)),"")</f>
        <v/>
      </c>
      <c r="P111">
        <f>IF(AND(E111&gt;0,F111&gt;0,G111&gt;0,IF('01_설정'!$B$10=1,J111=1,TRUE()),M111&lt;='01_설정'!$B$5,N111&lt;='01_설정'!$B$7,O111&lt;='01_설정'!$B$8),"Y","")</f>
        <v/>
      </c>
      <c r="Q111">
        <f>IF(P111&lt;&gt;"Y","",MAX(0,(1-M111/'01_설정'!$B$5))*'01_설정'!$B$14+MAX(0,(1-N111/'01_설정'!$B$7))*'01_설정'!$B$16+MAX(0,(1-O111/'01_설정'!$B$8))*'01_설정'!$B$17+K111*'01_설정'!$B$11+L111*'01_설정'!$B$12)</f>
        <v/>
      </c>
      <c r="R111">
        <f>IF(Q111="","",1+COUNTIFS($Q$31:$Q$1030,"&gt;"&amp;Q111)+COUNTIFS($Q$31:Q111,Q111)-1)</f>
        <v/>
      </c>
    </row>
    <row r="112" hidden="1" ht="16.5" customHeight="1">
      <c r="A112">
        <f>IF(COUNTA('05_KAIS'!$A100:$N100)=0,"",85)</f>
        <v/>
      </c>
      <c r="B112">
        <f>IF($A112="","",TRIM(INDEX('05_KAIS'!$B:$B,$A112)&amp;" "&amp;INDEX('05_KAIS'!$C:$C,$A112)))</f>
        <v/>
      </c>
      <c r="C112">
        <f>IF($A112="","",INDEX('05_KAIS'!$D:$D,$A112))</f>
        <v/>
      </c>
      <c r="D112">
        <f>IF($A112="","",INDEX('05_KAIS'!$H:$H,$A112))</f>
        <v/>
      </c>
      <c r="E112">
        <f>IF($A112="","",INDEX('05_KAIS'!$K:$K,$A112))</f>
        <v/>
      </c>
      <c r="F112" s="202">
        <f>IF($A112="","",INDEX('05_KAIS'!$I:$I,$A112))</f>
        <v/>
      </c>
      <c r="G112" s="118">
        <f>IF($A112="","",INDEX('05_KAIS'!$L:$L,$A112))</f>
        <v/>
      </c>
      <c r="H112" s="118">
        <f>IF($A112="","",IFERROR(INDEX('05_KAIS'!$M:$M,$A112),IF(AND(E112&gt;0,G112&gt;0),G112/E112,"")))</f>
        <v/>
      </c>
      <c r="I112" s="202">
        <f>IF($A112="","",INDEX('05_KAIS'!$N:$N,$A112))</f>
        <v/>
      </c>
      <c r="J112">
        <f>IF(B112="","",IF('02_대상물건입력'!$B$5="",1,IF(ISNUMBER(SEARCH('02_대상물건입력'!$B$5,B112)),1,0)))</f>
        <v/>
      </c>
      <c r="K112">
        <f>IF(B112="","",IF('02_대상물건입력'!$B$6="",1,IF(ISNUMBER(SEARCH('02_대상물건입력'!$B$6,B112)),1,0)))</f>
        <v/>
      </c>
      <c r="L112">
        <f>IF(D112="","",IF('02_대상물건입력'!$B$8="",0,IF(ISNUMBER(SEARCH('02_대상물건입력'!$B$8,D112)),1,0)))</f>
        <v/>
      </c>
      <c r="M112">
        <f>IFERROR(ABS(E112-'02_대상물건입력'!$B$11)/'02_대상물건입력'!$B$11,"")</f>
        <v/>
      </c>
      <c r="N112">
        <f>IFERROR(ABS('01_설정'!$B$4-F112),"")</f>
        <v/>
      </c>
      <c r="O112">
        <f>IFERROR(ABS(YEAR(I112)-YEAR('02_대상물건입력'!$B$14)),"")</f>
        <v/>
      </c>
      <c r="P112">
        <f>IF(AND(E112&gt;0,F112&gt;0,G112&gt;0,IF('01_설정'!$B$10=1,J112=1,TRUE()),M112&lt;='01_설정'!$B$5,N112&lt;='01_설정'!$B$7,O112&lt;='01_설정'!$B$8),"Y","")</f>
        <v/>
      </c>
      <c r="Q112">
        <f>IF(P112&lt;&gt;"Y","",MAX(0,(1-M112/'01_설정'!$B$5))*'01_설정'!$B$14+MAX(0,(1-N112/'01_설정'!$B$7))*'01_설정'!$B$16+MAX(0,(1-O112/'01_설정'!$B$8))*'01_설정'!$B$17+K112*'01_설정'!$B$11+L112*'01_설정'!$B$12)</f>
        <v/>
      </c>
      <c r="R112">
        <f>IF(Q112="","",1+COUNTIFS($Q$31:$Q$1030,"&gt;"&amp;Q112)+COUNTIFS($Q$31:Q112,Q112)-1)</f>
        <v/>
      </c>
    </row>
    <row r="113" hidden="1" ht="16.5" customHeight="1">
      <c r="A113">
        <f>IF(COUNTA('05_KAIS'!$A101:$N101)=0,"",86)</f>
        <v/>
      </c>
      <c r="B113">
        <f>IF($A113="","",TRIM(INDEX('05_KAIS'!$B:$B,$A113)&amp;" "&amp;INDEX('05_KAIS'!$C:$C,$A113)))</f>
        <v/>
      </c>
      <c r="C113">
        <f>IF($A113="","",INDEX('05_KAIS'!$D:$D,$A113))</f>
        <v/>
      </c>
      <c r="D113">
        <f>IF($A113="","",INDEX('05_KAIS'!$H:$H,$A113))</f>
        <v/>
      </c>
      <c r="E113">
        <f>IF($A113="","",INDEX('05_KAIS'!$K:$K,$A113))</f>
        <v/>
      </c>
      <c r="F113" s="202">
        <f>IF($A113="","",INDEX('05_KAIS'!$I:$I,$A113))</f>
        <v/>
      </c>
      <c r="G113" s="118">
        <f>IF($A113="","",INDEX('05_KAIS'!$L:$L,$A113))</f>
        <v/>
      </c>
      <c r="H113" s="118">
        <f>IF($A113="","",IFERROR(INDEX('05_KAIS'!$M:$M,$A113),IF(AND(E113&gt;0,G113&gt;0),G113/E113,"")))</f>
        <v/>
      </c>
      <c r="I113" s="202">
        <f>IF($A113="","",INDEX('05_KAIS'!$N:$N,$A113))</f>
        <v/>
      </c>
      <c r="J113">
        <f>IF(B113="","",IF('02_대상물건입력'!$B$5="",1,IF(ISNUMBER(SEARCH('02_대상물건입력'!$B$5,B113)),1,0)))</f>
        <v/>
      </c>
      <c r="K113">
        <f>IF(B113="","",IF('02_대상물건입력'!$B$6="",1,IF(ISNUMBER(SEARCH('02_대상물건입력'!$B$6,B113)),1,0)))</f>
        <v/>
      </c>
      <c r="L113">
        <f>IF(D113="","",IF('02_대상물건입력'!$B$8="",0,IF(ISNUMBER(SEARCH('02_대상물건입력'!$B$8,D113)),1,0)))</f>
        <v/>
      </c>
      <c r="M113">
        <f>IFERROR(ABS(E113-'02_대상물건입력'!$B$11)/'02_대상물건입력'!$B$11,"")</f>
        <v/>
      </c>
      <c r="N113">
        <f>IFERROR(ABS('01_설정'!$B$4-F113),"")</f>
        <v/>
      </c>
      <c r="O113">
        <f>IFERROR(ABS(YEAR(I113)-YEAR('02_대상물건입력'!$B$14)),"")</f>
        <v/>
      </c>
      <c r="P113">
        <f>IF(AND(E113&gt;0,F113&gt;0,G113&gt;0,IF('01_설정'!$B$10=1,J113=1,TRUE()),M113&lt;='01_설정'!$B$5,N113&lt;='01_설정'!$B$7,O113&lt;='01_설정'!$B$8),"Y","")</f>
        <v/>
      </c>
      <c r="Q113">
        <f>IF(P113&lt;&gt;"Y","",MAX(0,(1-M113/'01_설정'!$B$5))*'01_설정'!$B$14+MAX(0,(1-N113/'01_설정'!$B$7))*'01_설정'!$B$16+MAX(0,(1-O113/'01_설정'!$B$8))*'01_설정'!$B$17+K113*'01_설정'!$B$11+L113*'01_설정'!$B$12)</f>
        <v/>
      </c>
      <c r="R113">
        <f>IF(Q113="","",1+COUNTIFS($Q$31:$Q$1030,"&gt;"&amp;Q113)+COUNTIFS($Q$31:Q113,Q113)-1)</f>
        <v/>
      </c>
    </row>
    <row r="114" hidden="1" ht="16.5" customHeight="1">
      <c r="A114">
        <f>IF(COUNTA('05_KAIS'!$A102:$N102)=0,"",87)</f>
        <v/>
      </c>
      <c r="B114">
        <f>IF($A114="","",TRIM(INDEX('05_KAIS'!$B:$B,$A114)&amp;" "&amp;INDEX('05_KAIS'!$C:$C,$A114)))</f>
        <v/>
      </c>
      <c r="C114">
        <f>IF($A114="","",INDEX('05_KAIS'!$D:$D,$A114))</f>
        <v/>
      </c>
      <c r="D114">
        <f>IF($A114="","",INDEX('05_KAIS'!$H:$H,$A114))</f>
        <v/>
      </c>
      <c r="E114">
        <f>IF($A114="","",INDEX('05_KAIS'!$K:$K,$A114))</f>
        <v/>
      </c>
      <c r="F114" s="202">
        <f>IF($A114="","",INDEX('05_KAIS'!$I:$I,$A114))</f>
        <v/>
      </c>
      <c r="G114" s="118">
        <f>IF($A114="","",INDEX('05_KAIS'!$L:$L,$A114))</f>
        <v/>
      </c>
      <c r="H114" s="118">
        <f>IF($A114="","",IFERROR(INDEX('05_KAIS'!$M:$M,$A114),IF(AND(E114&gt;0,G114&gt;0),G114/E114,"")))</f>
        <v/>
      </c>
      <c r="I114" s="202">
        <f>IF($A114="","",INDEX('05_KAIS'!$N:$N,$A114))</f>
        <v/>
      </c>
      <c r="J114">
        <f>IF(B114="","",IF('02_대상물건입력'!$B$5="",1,IF(ISNUMBER(SEARCH('02_대상물건입력'!$B$5,B114)),1,0)))</f>
        <v/>
      </c>
      <c r="K114">
        <f>IF(B114="","",IF('02_대상물건입력'!$B$6="",1,IF(ISNUMBER(SEARCH('02_대상물건입력'!$B$6,B114)),1,0)))</f>
        <v/>
      </c>
      <c r="L114">
        <f>IF(D114="","",IF('02_대상물건입력'!$B$8="",0,IF(ISNUMBER(SEARCH('02_대상물건입력'!$B$8,D114)),1,0)))</f>
        <v/>
      </c>
      <c r="M114">
        <f>IFERROR(ABS(E114-'02_대상물건입력'!$B$11)/'02_대상물건입력'!$B$11,"")</f>
        <v/>
      </c>
      <c r="N114">
        <f>IFERROR(ABS('01_설정'!$B$4-F114),"")</f>
        <v/>
      </c>
      <c r="O114">
        <f>IFERROR(ABS(YEAR(I114)-YEAR('02_대상물건입력'!$B$14)),"")</f>
        <v/>
      </c>
      <c r="P114">
        <f>IF(AND(E114&gt;0,F114&gt;0,G114&gt;0,IF('01_설정'!$B$10=1,J114=1,TRUE()),M114&lt;='01_설정'!$B$5,N114&lt;='01_설정'!$B$7,O114&lt;='01_설정'!$B$8),"Y","")</f>
        <v/>
      </c>
      <c r="Q114">
        <f>IF(P114&lt;&gt;"Y","",MAX(0,(1-M114/'01_설정'!$B$5))*'01_설정'!$B$14+MAX(0,(1-N114/'01_설정'!$B$7))*'01_설정'!$B$16+MAX(0,(1-O114/'01_설정'!$B$8))*'01_설정'!$B$17+K114*'01_설정'!$B$11+L114*'01_설정'!$B$12)</f>
        <v/>
      </c>
      <c r="R114">
        <f>IF(Q114="","",1+COUNTIFS($Q$31:$Q$1030,"&gt;"&amp;Q114)+COUNTIFS($Q$31:Q114,Q114)-1)</f>
        <v/>
      </c>
    </row>
    <row r="115" hidden="1" ht="16.5" customHeight="1">
      <c r="A115">
        <f>IF(COUNTA('05_KAIS'!$A103:$N103)=0,"",88)</f>
        <v/>
      </c>
      <c r="B115">
        <f>IF($A115="","",TRIM(INDEX('05_KAIS'!$B:$B,$A115)&amp;" "&amp;INDEX('05_KAIS'!$C:$C,$A115)))</f>
        <v/>
      </c>
      <c r="C115">
        <f>IF($A115="","",INDEX('05_KAIS'!$D:$D,$A115))</f>
        <v/>
      </c>
      <c r="D115">
        <f>IF($A115="","",INDEX('05_KAIS'!$H:$H,$A115))</f>
        <v/>
      </c>
      <c r="E115">
        <f>IF($A115="","",INDEX('05_KAIS'!$K:$K,$A115))</f>
        <v/>
      </c>
      <c r="F115" s="202">
        <f>IF($A115="","",INDEX('05_KAIS'!$I:$I,$A115))</f>
        <v/>
      </c>
      <c r="G115" s="118">
        <f>IF($A115="","",INDEX('05_KAIS'!$L:$L,$A115))</f>
        <v/>
      </c>
      <c r="H115" s="118">
        <f>IF($A115="","",IFERROR(INDEX('05_KAIS'!$M:$M,$A115),IF(AND(E115&gt;0,G115&gt;0),G115/E115,"")))</f>
        <v/>
      </c>
      <c r="I115" s="202">
        <f>IF($A115="","",INDEX('05_KAIS'!$N:$N,$A115))</f>
        <v/>
      </c>
      <c r="J115">
        <f>IF(B115="","",IF('02_대상물건입력'!$B$5="",1,IF(ISNUMBER(SEARCH('02_대상물건입력'!$B$5,B115)),1,0)))</f>
        <v/>
      </c>
      <c r="K115">
        <f>IF(B115="","",IF('02_대상물건입력'!$B$6="",1,IF(ISNUMBER(SEARCH('02_대상물건입력'!$B$6,B115)),1,0)))</f>
        <v/>
      </c>
      <c r="L115">
        <f>IF(D115="","",IF('02_대상물건입력'!$B$8="",0,IF(ISNUMBER(SEARCH('02_대상물건입력'!$B$8,D115)),1,0)))</f>
        <v/>
      </c>
      <c r="M115">
        <f>IFERROR(ABS(E115-'02_대상물건입력'!$B$11)/'02_대상물건입력'!$B$11,"")</f>
        <v/>
      </c>
      <c r="N115">
        <f>IFERROR(ABS('01_설정'!$B$4-F115),"")</f>
        <v/>
      </c>
      <c r="O115">
        <f>IFERROR(ABS(YEAR(I115)-YEAR('02_대상물건입력'!$B$14)),"")</f>
        <v/>
      </c>
      <c r="P115">
        <f>IF(AND(E115&gt;0,F115&gt;0,G115&gt;0,IF('01_설정'!$B$10=1,J115=1,TRUE()),M115&lt;='01_설정'!$B$5,N115&lt;='01_설정'!$B$7,O115&lt;='01_설정'!$B$8),"Y","")</f>
        <v/>
      </c>
      <c r="Q115">
        <f>IF(P115&lt;&gt;"Y","",MAX(0,(1-M115/'01_설정'!$B$5))*'01_설정'!$B$14+MAX(0,(1-N115/'01_설정'!$B$7))*'01_설정'!$B$16+MAX(0,(1-O115/'01_설정'!$B$8))*'01_설정'!$B$17+K115*'01_설정'!$B$11+L115*'01_설정'!$B$12)</f>
        <v/>
      </c>
      <c r="R115">
        <f>IF(Q115="","",1+COUNTIFS($Q$31:$Q$1030,"&gt;"&amp;Q115)+COUNTIFS($Q$31:Q115,Q115)-1)</f>
        <v/>
      </c>
    </row>
    <row r="116" hidden="1" ht="16.5" customHeight="1">
      <c r="A116">
        <f>IF(COUNTA('05_KAIS'!$A104:$N104)=0,"",89)</f>
        <v/>
      </c>
      <c r="B116">
        <f>IF($A116="","",TRIM(INDEX('05_KAIS'!$B:$B,$A116)&amp;" "&amp;INDEX('05_KAIS'!$C:$C,$A116)))</f>
        <v/>
      </c>
      <c r="C116">
        <f>IF($A116="","",INDEX('05_KAIS'!$D:$D,$A116))</f>
        <v/>
      </c>
      <c r="D116">
        <f>IF($A116="","",INDEX('05_KAIS'!$H:$H,$A116))</f>
        <v/>
      </c>
      <c r="E116">
        <f>IF($A116="","",INDEX('05_KAIS'!$K:$K,$A116))</f>
        <v/>
      </c>
      <c r="F116" s="202">
        <f>IF($A116="","",INDEX('05_KAIS'!$I:$I,$A116))</f>
        <v/>
      </c>
      <c r="G116" s="118">
        <f>IF($A116="","",INDEX('05_KAIS'!$L:$L,$A116))</f>
        <v/>
      </c>
      <c r="H116" s="118">
        <f>IF($A116="","",IFERROR(INDEX('05_KAIS'!$M:$M,$A116),IF(AND(E116&gt;0,G116&gt;0),G116/E116,"")))</f>
        <v/>
      </c>
      <c r="I116" s="202">
        <f>IF($A116="","",INDEX('05_KAIS'!$N:$N,$A116))</f>
        <v/>
      </c>
      <c r="J116">
        <f>IF(B116="","",IF('02_대상물건입력'!$B$5="",1,IF(ISNUMBER(SEARCH('02_대상물건입력'!$B$5,B116)),1,0)))</f>
        <v/>
      </c>
      <c r="K116">
        <f>IF(B116="","",IF('02_대상물건입력'!$B$6="",1,IF(ISNUMBER(SEARCH('02_대상물건입력'!$B$6,B116)),1,0)))</f>
        <v/>
      </c>
      <c r="L116">
        <f>IF(D116="","",IF('02_대상물건입력'!$B$8="",0,IF(ISNUMBER(SEARCH('02_대상물건입력'!$B$8,D116)),1,0)))</f>
        <v/>
      </c>
      <c r="M116">
        <f>IFERROR(ABS(E116-'02_대상물건입력'!$B$11)/'02_대상물건입력'!$B$11,"")</f>
        <v/>
      </c>
      <c r="N116">
        <f>IFERROR(ABS('01_설정'!$B$4-F116),"")</f>
        <v/>
      </c>
      <c r="O116">
        <f>IFERROR(ABS(YEAR(I116)-YEAR('02_대상물건입력'!$B$14)),"")</f>
        <v/>
      </c>
      <c r="P116">
        <f>IF(AND(E116&gt;0,F116&gt;0,G116&gt;0,IF('01_설정'!$B$10=1,J116=1,TRUE()),M116&lt;='01_설정'!$B$5,N116&lt;='01_설정'!$B$7,O116&lt;='01_설정'!$B$8),"Y","")</f>
        <v/>
      </c>
      <c r="Q116">
        <f>IF(P116&lt;&gt;"Y","",MAX(0,(1-M116/'01_설정'!$B$5))*'01_설정'!$B$14+MAX(0,(1-N116/'01_설정'!$B$7))*'01_설정'!$B$16+MAX(0,(1-O116/'01_설정'!$B$8))*'01_설정'!$B$17+K116*'01_설정'!$B$11+L116*'01_설정'!$B$12)</f>
        <v/>
      </c>
      <c r="R116">
        <f>IF(Q116="","",1+COUNTIFS($Q$31:$Q$1030,"&gt;"&amp;Q116)+COUNTIFS($Q$31:Q116,Q116)-1)</f>
        <v/>
      </c>
    </row>
    <row r="117" hidden="1" ht="16.5" customHeight="1">
      <c r="A117">
        <f>IF(COUNTA('05_KAIS'!$A105:$N105)=0,"",90)</f>
        <v/>
      </c>
      <c r="B117">
        <f>IF($A117="","",TRIM(INDEX('05_KAIS'!$B:$B,$A117)&amp;" "&amp;INDEX('05_KAIS'!$C:$C,$A117)))</f>
        <v/>
      </c>
      <c r="C117">
        <f>IF($A117="","",INDEX('05_KAIS'!$D:$D,$A117))</f>
        <v/>
      </c>
      <c r="D117">
        <f>IF($A117="","",INDEX('05_KAIS'!$H:$H,$A117))</f>
        <v/>
      </c>
      <c r="E117">
        <f>IF($A117="","",INDEX('05_KAIS'!$K:$K,$A117))</f>
        <v/>
      </c>
      <c r="F117" s="202">
        <f>IF($A117="","",INDEX('05_KAIS'!$I:$I,$A117))</f>
        <v/>
      </c>
      <c r="G117" s="118">
        <f>IF($A117="","",INDEX('05_KAIS'!$L:$L,$A117))</f>
        <v/>
      </c>
      <c r="H117" s="118">
        <f>IF($A117="","",IFERROR(INDEX('05_KAIS'!$M:$M,$A117),IF(AND(E117&gt;0,G117&gt;0),G117/E117,"")))</f>
        <v/>
      </c>
      <c r="I117" s="202">
        <f>IF($A117="","",INDEX('05_KAIS'!$N:$N,$A117))</f>
        <v/>
      </c>
      <c r="J117">
        <f>IF(B117="","",IF('02_대상물건입력'!$B$5="",1,IF(ISNUMBER(SEARCH('02_대상물건입력'!$B$5,B117)),1,0)))</f>
        <v/>
      </c>
      <c r="K117">
        <f>IF(B117="","",IF('02_대상물건입력'!$B$6="",1,IF(ISNUMBER(SEARCH('02_대상물건입력'!$B$6,B117)),1,0)))</f>
        <v/>
      </c>
      <c r="L117">
        <f>IF(D117="","",IF('02_대상물건입력'!$B$8="",0,IF(ISNUMBER(SEARCH('02_대상물건입력'!$B$8,D117)),1,0)))</f>
        <v/>
      </c>
      <c r="M117">
        <f>IFERROR(ABS(E117-'02_대상물건입력'!$B$11)/'02_대상물건입력'!$B$11,"")</f>
        <v/>
      </c>
      <c r="N117">
        <f>IFERROR(ABS('01_설정'!$B$4-F117),"")</f>
        <v/>
      </c>
      <c r="O117">
        <f>IFERROR(ABS(YEAR(I117)-YEAR('02_대상물건입력'!$B$14)),"")</f>
        <v/>
      </c>
      <c r="P117">
        <f>IF(AND(E117&gt;0,F117&gt;0,G117&gt;0,IF('01_설정'!$B$10=1,J117=1,TRUE()),M117&lt;='01_설정'!$B$5,N117&lt;='01_설정'!$B$7,O117&lt;='01_설정'!$B$8),"Y","")</f>
        <v/>
      </c>
      <c r="Q117">
        <f>IF(P117&lt;&gt;"Y","",MAX(0,(1-M117/'01_설정'!$B$5))*'01_설정'!$B$14+MAX(0,(1-N117/'01_설정'!$B$7))*'01_설정'!$B$16+MAX(0,(1-O117/'01_설정'!$B$8))*'01_설정'!$B$17+K117*'01_설정'!$B$11+L117*'01_설정'!$B$12)</f>
        <v/>
      </c>
      <c r="R117">
        <f>IF(Q117="","",1+COUNTIFS($Q$31:$Q$1030,"&gt;"&amp;Q117)+COUNTIFS($Q$31:Q117,Q117)-1)</f>
        <v/>
      </c>
    </row>
    <row r="118" hidden="1" ht="16.5" customHeight="1">
      <c r="A118">
        <f>IF(COUNTA('05_KAIS'!$A106:$N106)=0,"",91)</f>
        <v/>
      </c>
      <c r="B118">
        <f>IF($A118="","",TRIM(INDEX('05_KAIS'!$B:$B,$A118)&amp;" "&amp;INDEX('05_KAIS'!$C:$C,$A118)))</f>
        <v/>
      </c>
      <c r="C118">
        <f>IF($A118="","",INDEX('05_KAIS'!$D:$D,$A118))</f>
        <v/>
      </c>
      <c r="D118">
        <f>IF($A118="","",INDEX('05_KAIS'!$H:$H,$A118))</f>
        <v/>
      </c>
      <c r="E118">
        <f>IF($A118="","",INDEX('05_KAIS'!$K:$K,$A118))</f>
        <v/>
      </c>
      <c r="F118" s="202">
        <f>IF($A118="","",INDEX('05_KAIS'!$I:$I,$A118))</f>
        <v/>
      </c>
      <c r="G118" s="118">
        <f>IF($A118="","",INDEX('05_KAIS'!$L:$L,$A118))</f>
        <v/>
      </c>
      <c r="H118" s="118">
        <f>IF($A118="","",IFERROR(INDEX('05_KAIS'!$M:$M,$A118),IF(AND(E118&gt;0,G118&gt;0),G118/E118,"")))</f>
        <v/>
      </c>
      <c r="I118" s="202">
        <f>IF($A118="","",INDEX('05_KAIS'!$N:$N,$A118))</f>
        <v/>
      </c>
      <c r="J118">
        <f>IF(B118="","",IF('02_대상물건입력'!$B$5="",1,IF(ISNUMBER(SEARCH('02_대상물건입력'!$B$5,B118)),1,0)))</f>
        <v/>
      </c>
      <c r="K118">
        <f>IF(B118="","",IF('02_대상물건입력'!$B$6="",1,IF(ISNUMBER(SEARCH('02_대상물건입력'!$B$6,B118)),1,0)))</f>
        <v/>
      </c>
      <c r="L118">
        <f>IF(D118="","",IF('02_대상물건입력'!$B$8="",0,IF(ISNUMBER(SEARCH('02_대상물건입력'!$B$8,D118)),1,0)))</f>
        <v/>
      </c>
      <c r="M118">
        <f>IFERROR(ABS(E118-'02_대상물건입력'!$B$11)/'02_대상물건입력'!$B$11,"")</f>
        <v/>
      </c>
      <c r="N118">
        <f>IFERROR(ABS('01_설정'!$B$4-F118),"")</f>
        <v/>
      </c>
      <c r="O118">
        <f>IFERROR(ABS(YEAR(I118)-YEAR('02_대상물건입력'!$B$14)),"")</f>
        <v/>
      </c>
      <c r="P118">
        <f>IF(AND(E118&gt;0,F118&gt;0,G118&gt;0,IF('01_설정'!$B$10=1,J118=1,TRUE()),M118&lt;='01_설정'!$B$5,N118&lt;='01_설정'!$B$7,O118&lt;='01_설정'!$B$8),"Y","")</f>
        <v/>
      </c>
      <c r="Q118">
        <f>IF(P118&lt;&gt;"Y","",MAX(0,(1-M118/'01_설정'!$B$5))*'01_설정'!$B$14+MAX(0,(1-N118/'01_설정'!$B$7))*'01_설정'!$B$16+MAX(0,(1-O118/'01_설정'!$B$8))*'01_설정'!$B$17+K118*'01_설정'!$B$11+L118*'01_설정'!$B$12)</f>
        <v/>
      </c>
      <c r="R118">
        <f>IF(Q118="","",1+COUNTIFS($Q$31:$Q$1030,"&gt;"&amp;Q118)+COUNTIFS($Q$31:Q118,Q118)-1)</f>
        <v/>
      </c>
    </row>
    <row r="119" hidden="1" ht="16.5" customHeight="1">
      <c r="A119">
        <f>IF(COUNTA('05_KAIS'!$A107:$N107)=0,"",92)</f>
        <v/>
      </c>
      <c r="B119">
        <f>IF($A119="","",TRIM(INDEX('05_KAIS'!$B:$B,$A119)&amp;" "&amp;INDEX('05_KAIS'!$C:$C,$A119)))</f>
        <v/>
      </c>
      <c r="C119">
        <f>IF($A119="","",INDEX('05_KAIS'!$D:$D,$A119))</f>
        <v/>
      </c>
      <c r="D119">
        <f>IF($A119="","",INDEX('05_KAIS'!$H:$H,$A119))</f>
        <v/>
      </c>
      <c r="E119">
        <f>IF($A119="","",INDEX('05_KAIS'!$K:$K,$A119))</f>
        <v/>
      </c>
      <c r="F119" s="202">
        <f>IF($A119="","",INDEX('05_KAIS'!$I:$I,$A119))</f>
        <v/>
      </c>
      <c r="G119" s="118">
        <f>IF($A119="","",INDEX('05_KAIS'!$L:$L,$A119))</f>
        <v/>
      </c>
      <c r="H119" s="118">
        <f>IF($A119="","",IFERROR(INDEX('05_KAIS'!$M:$M,$A119),IF(AND(E119&gt;0,G119&gt;0),G119/E119,"")))</f>
        <v/>
      </c>
      <c r="I119" s="202">
        <f>IF($A119="","",INDEX('05_KAIS'!$N:$N,$A119))</f>
        <v/>
      </c>
      <c r="J119">
        <f>IF(B119="","",IF('02_대상물건입력'!$B$5="",1,IF(ISNUMBER(SEARCH('02_대상물건입력'!$B$5,B119)),1,0)))</f>
        <v/>
      </c>
      <c r="K119">
        <f>IF(B119="","",IF('02_대상물건입력'!$B$6="",1,IF(ISNUMBER(SEARCH('02_대상물건입력'!$B$6,B119)),1,0)))</f>
        <v/>
      </c>
      <c r="L119">
        <f>IF(D119="","",IF('02_대상물건입력'!$B$8="",0,IF(ISNUMBER(SEARCH('02_대상물건입력'!$B$8,D119)),1,0)))</f>
        <v/>
      </c>
      <c r="M119">
        <f>IFERROR(ABS(E119-'02_대상물건입력'!$B$11)/'02_대상물건입력'!$B$11,"")</f>
        <v/>
      </c>
      <c r="N119">
        <f>IFERROR(ABS('01_설정'!$B$4-F119),"")</f>
        <v/>
      </c>
      <c r="O119">
        <f>IFERROR(ABS(YEAR(I119)-YEAR('02_대상물건입력'!$B$14)),"")</f>
        <v/>
      </c>
      <c r="P119">
        <f>IF(AND(E119&gt;0,F119&gt;0,G119&gt;0,IF('01_설정'!$B$10=1,J119=1,TRUE()),M119&lt;='01_설정'!$B$5,N119&lt;='01_설정'!$B$7,O119&lt;='01_설정'!$B$8),"Y","")</f>
        <v/>
      </c>
      <c r="Q119">
        <f>IF(P119&lt;&gt;"Y","",MAX(0,(1-M119/'01_설정'!$B$5))*'01_설정'!$B$14+MAX(0,(1-N119/'01_설정'!$B$7))*'01_설정'!$B$16+MAX(0,(1-O119/'01_설정'!$B$8))*'01_설정'!$B$17+K119*'01_설정'!$B$11+L119*'01_설정'!$B$12)</f>
        <v/>
      </c>
      <c r="R119">
        <f>IF(Q119="","",1+COUNTIFS($Q$31:$Q$1030,"&gt;"&amp;Q119)+COUNTIFS($Q$31:Q119,Q119)-1)</f>
        <v/>
      </c>
    </row>
    <row r="120" hidden="1" ht="16.5" customHeight="1">
      <c r="A120">
        <f>IF(COUNTA('05_KAIS'!$A108:$N108)=0,"",93)</f>
        <v/>
      </c>
      <c r="B120">
        <f>IF($A120="","",TRIM(INDEX('05_KAIS'!$B:$B,$A120)&amp;" "&amp;INDEX('05_KAIS'!$C:$C,$A120)))</f>
        <v/>
      </c>
      <c r="C120">
        <f>IF($A120="","",INDEX('05_KAIS'!$D:$D,$A120))</f>
        <v/>
      </c>
      <c r="D120">
        <f>IF($A120="","",INDEX('05_KAIS'!$H:$H,$A120))</f>
        <v/>
      </c>
      <c r="E120">
        <f>IF($A120="","",INDEX('05_KAIS'!$K:$K,$A120))</f>
        <v/>
      </c>
      <c r="F120" s="202">
        <f>IF($A120="","",INDEX('05_KAIS'!$I:$I,$A120))</f>
        <v/>
      </c>
      <c r="G120" s="118">
        <f>IF($A120="","",INDEX('05_KAIS'!$L:$L,$A120))</f>
        <v/>
      </c>
      <c r="H120" s="118">
        <f>IF($A120="","",IFERROR(INDEX('05_KAIS'!$M:$M,$A120),IF(AND(E120&gt;0,G120&gt;0),G120/E120,"")))</f>
        <v/>
      </c>
      <c r="I120" s="202">
        <f>IF($A120="","",INDEX('05_KAIS'!$N:$N,$A120))</f>
        <v/>
      </c>
      <c r="J120">
        <f>IF(B120="","",IF('02_대상물건입력'!$B$5="",1,IF(ISNUMBER(SEARCH('02_대상물건입력'!$B$5,B120)),1,0)))</f>
        <v/>
      </c>
      <c r="K120">
        <f>IF(B120="","",IF('02_대상물건입력'!$B$6="",1,IF(ISNUMBER(SEARCH('02_대상물건입력'!$B$6,B120)),1,0)))</f>
        <v/>
      </c>
      <c r="L120">
        <f>IF(D120="","",IF('02_대상물건입력'!$B$8="",0,IF(ISNUMBER(SEARCH('02_대상물건입력'!$B$8,D120)),1,0)))</f>
        <v/>
      </c>
      <c r="M120">
        <f>IFERROR(ABS(E120-'02_대상물건입력'!$B$11)/'02_대상물건입력'!$B$11,"")</f>
        <v/>
      </c>
      <c r="N120">
        <f>IFERROR(ABS('01_설정'!$B$4-F120),"")</f>
        <v/>
      </c>
      <c r="O120">
        <f>IFERROR(ABS(YEAR(I120)-YEAR('02_대상물건입력'!$B$14)),"")</f>
        <v/>
      </c>
      <c r="P120">
        <f>IF(AND(E120&gt;0,F120&gt;0,G120&gt;0,IF('01_설정'!$B$10=1,J120=1,TRUE()),M120&lt;='01_설정'!$B$5,N120&lt;='01_설정'!$B$7,O120&lt;='01_설정'!$B$8),"Y","")</f>
        <v/>
      </c>
      <c r="Q120">
        <f>IF(P120&lt;&gt;"Y","",MAX(0,(1-M120/'01_설정'!$B$5))*'01_설정'!$B$14+MAX(0,(1-N120/'01_설정'!$B$7))*'01_설정'!$B$16+MAX(0,(1-O120/'01_설정'!$B$8))*'01_설정'!$B$17+K120*'01_설정'!$B$11+L120*'01_설정'!$B$12)</f>
        <v/>
      </c>
      <c r="R120">
        <f>IF(Q120="","",1+COUNTIFS($Q$31:$Q$1030,"&gt;"&amp;Q120)+COUNTIFS($Q$31:Q120,Q120)-1)</f>
        <v/>
      </c>
    </row>
    <row r="121" hidden="1" ht="16.5" customHeight="1">
      <c r="A121">
        <f>IF(COUNTA('05_KAIS'!$A109:$N109)=0,"",94)</f>
        <v/>
      </c>
      <c r="B121">
        <f>IF($A121="","",TRIM(INDEX('05_KAIS'!$B:$B,$A121)&amp;" "&amp;INDEX('05_KAIS'!$C:$C,$A121)))</f>
        <v/>
      </c>
      <c r="C121">
        <f>IF($A121="","",INDEX('05_KAIS'!$D:$D,$A121))</f>
        <v/>
      </c>
      <c r="D121">
        <f>IF($A121="","",INDEX('05_KAIS'!$H:$H,$A121))</f>
        <v/>
      </c>
      <c r="E121">
        <f>IF($A121="","",INDEX('05_KAIS'!$K:$K,$A121))</f>
        <v/>
      </c>
      <c r="F121" s="202">
        <f>IF($A121="","",INDEX('05_KAIS'!$I:$I,$A121))</f>
        <v/>
      </c>
      <c r="G121" s="118">
        <f>IF($A121="","",INDEX('05_KAIS'!$L:$L,$A121))</f>
        <v/>
      </c>
      <c r="H121" s="118">
        <f>IF($A121="","",IFERROR(INDEX('05_KAIS'!$M:$M,$A121),IF(AND(E121&gt;0,G121&gt;0),G121/E121,"")))</f>
        <v/>
      </c>
      <c r="I121" s="202">
        <f>IF($A121="","",INDEX('05_KAIS'!$N:$N,$A121))</f>
        <v/>
      </c>
      <c r="J121">
        <f>IF(B121="","",IF('02_대상물건입력'!$B$5="",1,IF(ISNUMBER(SEARCH('02_대상물건입력'!$B$5,B121)),1,0)))</f>
        <v/>
      </c>
      <c r="K121">
        <f>IF(B121="","",IF('02_대상물건입력'!$B$6="",1,IF(ISNUMBER(SEARCH('02_대상물건입력'!$B$6,B121)),1,0)))</f>
        <v/>
      </c>
      <c r="L121">
        <f>IF(D121="","",IF('02_대상물건입력'!$B$8="",0,IF(ISNUMBER(SEARCH('02_대상물건입력'!$B$8,D121)),1,0)))</f>
        <v/>
      </c>
      <c r="M121">
        <f>IFERROR(ABS(E121-'02_대상물건입력'!$B$11)/'02_대상물건입력'!$B$11,"")</f>
        <v/>
      </c>
      <c r="N121">
        <f>IFERROR(ABS('01_설정'!$B$4-F121),"")</f>
        <v/>
      </c>
      <c r="O121">
        <f>IFERROR(ABS(YEAR(I121)-YEAR('02_대상물건입력'!$B$14)),"")</f>
        <v/>
      </c>
      <c r="P121">
        <f>IF(AND(E121&gt;0,F121&gt;0,G121&gt;0,IF('01_설정'!$B$10=1,J121=1,TRUE()),M121&lt;='01_설정'!$B$5,N121&lt;='01_설정'!$B$7,O121&lt;='01_설정'!$B$8),"Y","")</f>
        <v/>
      </c>
      <c r="Q121">
        <f>IF(P121&lt;&gt;"Y","",MAX(0,(1-M121/'01_설정'!$B$5))*'01_설정'!$B$14+MAX(0,(1-N121/'01_설정'!$B$7))*'01_설정'!$B$16+MAX(0,(1-O121/'01_설정'!$B$8))*'01_설정'!$B$17+K121*'01_설정'!$B$11+L121*'01_설정'!$B$12)</f>
        <v/>
      </c>
      <c r="R121">
        <f>IF(Q121="","",1+COUNTIFS($Q$31:$Q$1030,"&gt;"&amp;Q121)+COUNTIFS($Q$31:Q121,Q121)-1)</f>
        <v/>
      </c>
    </row>
    <row r="122" hidden="1" ht="16.5" customHeight="1">
      <c r="A122">
        <f>IF(COUNTA('05_KAIS'!$A110:$N110)=0,"",95)</f>
        <v/>
      </c>
      <c r="B122">
        <f>IF($A122="","",TRIM(INDEX('05_KAIS'!$B:$B,$A122)&amp;" "&amp;INDEX('05_KAIS'!$C:$C,$A122)))</f>
        <v/>
      </c>
      <c r="C122">
        <f>IF($A122="","",INDEX('05_KAIS'!$D:$D,$A122))</f>
        <v/>
      </c>
      <c r="D122">
        <f>IF($A122="","",INDEX('05_KAIS'!$H:$H,$A122))</f>
        <v/>
      </c>
      <c r="E122">
        <f>IF($A122="","",INDEX('05_KAIS'!$K:$K,$A122))</f>
        <v/>
      </c>
      <c r="F122" s="202">
        <f>IF($A122="","",INDEX('05_KAIS'!$I:$I,$A122))</f>
        <v/>
      </c>
      <c r="G122" s="118">
        <f>IF($A122="","",INDEX('05_KAIS'!$L:$L,$A122))</f>
        <v/>
      </c>
      <c r="H122" s="118">
        <f>IF($A122="","",IFERROR(INDEX('05_KAIS'!$M:$M,$A122),IF(AND(E122&gt;0,G122&gt;0),G122/E122,"")))</f>
        <v/>
      </c>
      <c r="I122" s="202">
        <f>IF($A122="","",INDEX('05_KAIS'!$N:$N,$A122))</f>
        <v/>
      </c>
      <c r="J122">
        <f>IF(B122="","",IF('02_대상물건입력'!$B$5="",1,IF(ISNUMBER(SEARCH('02_대상물건입력'!$B$5,B122)),1,0)))</f>
        <v/>
      </c>
      <c r="K122">
        <f>IF(B122="","",IF('02_대상물건입력'!$B$6="",1,IF(ISNUMBER(SEARCH('02_대상물건입력'!$B$6,B122)),1,0)))</f>
        <v/>
      </c>
      <c r="L122">
        <f>IF(D122="","",IF('02_대상물건입력'!$B$8="",0,IF(ISNUMBER(SEARCH('02_대상물건입력'!$B$8,D122)),1,0)))</f>
        <v/>
      </c>
      <c r="M122">
        <f>IFERROR(ABS(E122-'02_대상물건입력'!$B$11)/'02_대상물건입력'!$B$11,"")</f>
        <v/>
      </c>
      <c r="N122">
        <f>IFERROR(ABS('01_설정'!$B$4-F122),"")</f>
        <v/>
      </c>
      <c r="O122">
        <f>IFERROR(ABS(YEAR(I122)-YEAR('02_대상물건입력'!$B$14)),"")</f>
        <v/>
      </c>
      <c r="P122">
        <f>IF(AND(E122&gt;0,F122&gt;0,G122&gt;0,IF('01_설정'!$B$10=1,J122=1,TRUE()),M122&lt;='01_설정'!$B$5,N122&lt;='01_설정'!$B$7,O122&lt;='01_설정'!$B$8),"Y","")</f>
        <v/>
      </c>
      <c r="Q122">
        <f>IF(P122&lt;&gt;"Y","",MAX(0,(1-M122/'01_설정'!$B$5))*'01_설정'!$B$14+MAX(0,(1-N122/'01_설정'!$B$7))*'01_설정'!$B$16+MAX(0,(1-O122/'01_설정'!$B$8))*'01_설정'!$B$17+K122*'01_설정'!$B$11+L122*'01_설정'!$B$12)</f>
        <v/>
      </c>
      <c r="R122">
        <f>IF(Q122="","",1+COUNTIFS($Q$31:$Q$1030,"&gt;"&amp;Q122)+COUNTIFS($Q$31:Q122,Q122)-1)</f>
        <v/>
      </c>
    </row>
    <row r="123" hidden="1" ht="16.5" customHeight="1">
      <c r="A123">
        <f>IF(COUNTA('05_KAIS'!$A111:$N111)=0,"",96)</f>
        <v/>
      </c>
      <c r="B123">
        <f>IF($A123="","",TRIM(INDEX('05_KAIS'!$B:$B,$A123)&amp;" "&amp;INDEX('05_KAIS'!$C:$C,$A123)))</f>
        <v/>
      </c>
      <c r="C123">
        <f>IF($A123="","",INDEX('05_KAIS'!$D:$D,$A123))</f>
        <v/>
      </c>
      <c r="D123">
        <f>IF($A123="","",INDEX('05_KAIS'!$H:$H,$A123))</f>
        <v/>
      </c>
      <c r="E123">
        <f>IF($A123="","",INDEX('05_KAIS'!$K:$K,$A123))</f>
        <v/>
      </c>
      <c r="F123" s="202">
        <f>IF($A123="","",INDEX('05_KAIS'!$I:$I,$A123))</f>
        <v/>
      </c>
      <c r="G123" s="118">
        <f>IF($A123="","",INDEX('05_KAIS'!$L:$L,$A123))</f>
        <v/>
      </c>
      <c r="H123" s="118">
        <f>IF($A123="","",IFERROR(INDEX('05_KAIS'!$M:$M,$A123),IF(AND(E123&gt;0,G123&gt;0),G123/E123,"")))</f>
        <v/>
      </c>
      <c r="I123" s="202">
        <f>IF($A123="","",INDEX('05_KAIS'!$N:$N,$A123))</f>
        <v/>
      </c>
      <c r="J123">
        <f>IF(B123="","",IF('02_대상물건입력'!$B$5="",1,IF(ISNUMBER(SEARCH('02_대상물건입력'!$B$5,B123)),1,0)))</f>
        <v/>
      </c>
      <c r="K123">
        <f>IF(B123="","",IF('02_대상물건입력'!$B$6="",1,IF(ISNUMBER(SEARCH('02_대상물건입력'!$B$6,B123)),1,0)))</f>
        <v/>
      </c>
      <c r="L123">
        <f>IF(D123="","",IF('02_대상물건입력'!$B$8="",0,IF(ISNUMBER(SEARCH('02_대상물건입력'!$B$8,D123)),1,0)))</f>
        <v/>
      </c>
      <c r="M123">
        <f>IFERROR(ABS(E123-'02_대상물건입력'!$B$11)/'02_대상물건입력'!$B$11,"")</f>
        <v/>
      </c>
      <c r="N123">
        <f>IFERROR(ABS('01_설정'!$B$4-F123),"")</f>
        <v/>
      </c>
      <c r="O123">
        <f>IFERROR(ABS(YEAR(I123)-YEAR('02_대상물건입력'!$B$14)),"")</f>
        <v/>
      </c>
      <c r="P123">
        <f>IF(AND(E123&gt;0,F123&gt;0,G123&gt;0,IF('01_설정'!$B$10=1,J123=1,TRUE()),M123&lt;='01_설정'!$B$5,N123&lt;='01_설정'!$B$7,O123&lt;='01_설정'!$B$8),"Y","")</f>
        <v/>
      </c>
      <c r="Q123">
        <f>IF(P123&lt;&gt;"Y","",MAX(0,(1-M123/'01_설정'!$B$5))*'01_설정'!$B$14+MAX(0,(1-N123/'01_설정'!$B$7))*'01_설정'!$B$16+MAX(0,(1-O123/'01_설정'!$B$8))*'01_설정'!$B$17+K123*'01_설정'!$B$11+L123*'01_설정'!$B$12)</f>
        <v/>
      </c>
      <c r="R123">
        <f>IF(Q123="","",1+COUNTIFS($Q$31:$Q$1030,"&gt;"&amp;Q123)+COUNTIFS($Q$31:Q123,Q123)-1)</f>
        <v/>
      </c>
    </row>
    <row r="124" hidden="1" ht="16.5" customHeight="1">
      <c r="A124">
        <f>IF(COUNTA('05_KAIS'!$A112:$N112)=0,"",97)</f>
        <v/>
      </c>
      <c r="B124">
        <f>IF($A124="","",TRIM(INDEX('05_KAIS'!$B:$B,$A124)&amp;" "&amp;INDEX('05_KAIS'!$C:$C,$A124)))</f>
        <v/>
      </c>
      <c r="C124">
        <f>IF($A124="","",INDEX('05_KAIS'!$D:$D,$A124))</f>
        <v/>
      </c>
      <c r="D124">
        <f>IF($A124="","",INDEX('05_KAIS'!$H:$H,$A124))</f>
        <v/>
      </c>
      <c r="E124">
        <f>IF($A124="","",INDEX('05_KAIS'!$K:$K,$A124))</f>
        <v/>
      </c>
      <c r="F124" s="202">
        <f>IF($A124="","",INDEX('05_KAIS'!$I:$I,$A124))</f>
        <v/>
      </c>
      <c r="G124" s="118">
        <f>IF($A124="","",INDEX('05_KAIS'!$L:$L,$A124))</f>
        <v/>
      </c>
      <c r="H124" s="118">
        <f>IF($A124="","",IFERROR(INDEX('05_KAIS'!$M:$M,$A124),IF(AND(E124&gt;0,G124&gt;0),G124/E124,"")))</f>
        <v/>
      </c>
      <c r="I124" s="202">
        <f>IF($A124="","",INDEX('05_KAIS'!$N:$N,$A124))</f>
        <v/>
      </c>
      <c r="J124">
        <f>IF(B124="","",IF('02_대상물건입력'!$B$5="",1,IF(ISNUMBER(SEARCH('02_대상물건입력'!$B$5,B124)),1,0)))</f>
        <v/>
      </c>
      <c r="K124">
        <f>IF(B124="","",IF('02_대상물건입력'!$B$6="",1,IF(ISNUMBER(SEARCH('02_대상물건입력'!$B$6,B124)),1,0)))</f>
        <v/>
      </c>
      <c r="L124">
        <f>IF(D124="","",IF('02_대상물건입력'!$B$8="",0,IF(ISNUMBER(SEARCH('02_대상물건입력'!$B$8,D124)),1,0)))</f>
        <v/>
      </c>
      <c r="M124">
        <f>IFERROR(ABS(E124-'02_대상물건입력'!$B$11)/'02_대상물건입력'!$B$11,"")</f>
        <v/>
      </c>
      <c r="N124">
        <f>IFERROR(ABS('01_설정'!$B$4-F124),"")</f>
        <v/>
      </c>
      <c r="O124">
        <f>IFERROR(ABS(YEAR(I124)-YEAR('02_대상물건입력'!$B$14)),"")</f>
        <v/>
      </c>
      <c r="P124">
        <f>IF(AND(E124&gt;0,F124&gt;0,G124&gt;0,IF('01_설정'!$B$10=1,J124=1,TRUE()),M124&lt;='01_설정'!$B$5,N124&lt;='01_설정'!$B$7,O124&lt;='01_설정'!$B$8),"Y","")</f>
        <v/>
      </c>
      <c r="Q124">
        <f>IF(P124&lt;&gt;"Y","",MAX(0,(1-M124/'01_설정'!$B$5))*'01_설정'!$B$14+MAX(0,(1-N124/'01_설정'!$B$7))*'01_설정'!$B$16+MAX(0,(1-O124/'01_설정'!$B$8))*'01_설정'!$B$17+K124*'01_설정'!$B$11+L124*'01_설정'!$B$12)</f>
        <v/>
      </c>
      <c r="R124">
        <f>IF(Q124="","",1+COUNTIFS($Q$31:$Q$1030,"&gt;"&amp;Q124)+COUNTIFS($Q$31:Q124,Q124)-1)</f>
        <v/>
      </c>
    </row>
    <row r="125" hidden="1" ht="16.5" customHeight="1">
      <c r="A125">
        <f>IF(COUNTA('05_KAIS'!$A113:$N113)=0,"",98)</f>
        <v/>
      </c>
      <c r="B125">
        <f>IF($A125="","",TRIM(INDEX('05_KAIS'!$B:$B,$A125)&amp;" "&amp;INDEX('05_KAIS'!$C:$C,$A125)))</f>
        <v/>
      </c>
      <c r="C125">
        <f>IF($A125="","",INDEX('05_KAIS'!$D:$D,$A125))</f>
        <v/>
      </c>
      <c r="D125">
        <f>IF($A125="","",INDEX('05_KAIS'!$H:$H,$A125))</f>
        <v/>
      </c>
      <c r="E125">
        <f>IF($A125="","",INDEX('05_KAIS'!$K:$K,$A125))</f>
        <v/>
      </c>
      <c r="F125" s="202">
        <f>IF($A125="","",INDEX('05_KAIS'!$I:$I,$A125))</f>
        <v/>
      </c>
      <c r="G125" s="118">
        <f>IF($A125="","",INDEX('05_KAIS'!$L:$L,$A125))</f>
        <v/>
      </c>
      <c r="H125" s="118">
        <f>IF($A125="","",IFERROR(INDEX('05_KAIS'!$M:$M,$A125),IF(AND(E125&gt;0,G125&gt;0),G125/E125,"")))</f>
        <v/>
      </c>
      <c r="I125" s="202">
        <f>IF($A125="","",INDEX('05_KAIS'!$N:$N,$A125))</f>
        <v/>
      </c>
      <c r="J125">
        <f>IF(B125="","",IF('02_대상물건입력'!$B$5="",1,IF(ISNUMBER(SEARCH('02_대상물건입력'!$B$5,B125)),1,0)))</f>
        <v/>
      </c>
      <c r="K125">
        <f>IF(B125="","",IF('02_대상물건입력'!$B$6="",1,IF(ISNUMBER(SEARCH('02_대상물건입력'!$B$6,B125)),1,0)))</f>
        <v/>
      </c>
      <c r="L125">
        <f>IF(D125="","",IF('02_대상물건입력'!$B$8="",0,IF(ISNUMBER(SEARCH('02_대상물건입력'!$B$8,D125)),1,0)))</f>
        <v/>
      </c>
      <c r="M125">
        <f>IFERROR(ABS(E125-'02_대상물건입력'!$B$11)/'02_대상물건입력'!$B$11,"")</f>
        <v/>
      </c>
      <c r="N125">
        <f>IFERROR(ABS('01_설정'!$B$4-F125),"")</f>
        <v/>
      </c>
      <c r="O125">
        <f>IFERROR(ABS(YEAR(I125)-YEAR('02_대상물건입력'!$B$14)),"")</f>
        <v/>
      </c>
      <c r="P125">
        <f>IF(AND(E125&gt;0,F125&gt;0,G125&gt;0,IF('01_설정'!$B$10=1,J125=1,TRUE()),M125&lt;='01_설정'!$B$5,N125&lt;='01_설정'!$B$7,O125&lt;='01_설정'!$B$8),"Y","")</f>
        <v/>
      </c>
      <c r="Q125">
        <f>IF(P125&lt;&gt;"Y","",MAX(0,(1-M125/'01_설정'!$B$5))*'01_설정'!$B$14+MAX(0,(1-N125/'01_설정'!$B$7))*'01_설정'!$B$16+MAX(0,(1-O125/'01_설정'!$B$8))*'01_설정'!$B$17+K125*'01_설정'!$B$11+L125*'01_설정'!$B$12)</f>
        <v/>
      </c>
      <c r="R125">
        <f>IF(Q125="","",1+COUNTIFS($Q$31:$Q$1030,"&gt;"&amp;Q125)+COUNTIFS($Q$31:Q125,Q125)-1)</f>
        <v/>
      </c>
    </row>
    <row r="126" hidden="1" ht="16.5" customHeight="1">
      <c r="A126">
        <f>IF(COUNTA('05_KAIS'!$A114:$N114)=0,"",99)</f>
        <v/>
      </c>
      <c r="B126">
        <f>IF($A126="","",TRIM(INDEX('05_KAIS'!$B:$B,$A126)&amp;" "&amp;INDEX('05_KAIS'!$C:$C,$A126)))</f>
        <v/>
      </c>
      <c r="C126">
        <f>IF($A126="","",INDEX('05_KAIS'!$D:$D,$A126))</f>
        <v/>
      </c>
      <c r="D126">
        <f>IF($A126="","",INDEX('05_KAIS'!$H:$H,$A126))</f>
        <v/>
      </c>
      <c r="E126">
        <f>IF($A126="","",INDEX('05_KAIS'!$K:$K,$A126))</f>
        <v/>
      </c>
      <c r="F126" s="202">
        <f>IF($A126="","",INDEX('05_KAIS'!$I:$I,$A126))</f>
        <v/>
      </c>
      <c r="G126" s="118">
        <f>IF($A126="","",INDEX('05_KAIS'!$L:$L,$A126))</f>
        <v/>
      </c>
      <c r="H126" s="118">
        <f>IF($A126="","",IFERROR(INDEX('05_KAIS'!$M:$M,$A126),IF(AND(E126&gt;0,G126&gt;0),G126/E126,"")))</f>
        <v/>
      </c>
      <c r="I126" s="202">
        <f>IF($A126="","",INDEX('05_KAIS'!$N:$N,$A126))</f>
        <v/>
      </c>
      <c r="J126">
        <f>IF(B126="","",IF('02_대상물건입력'!$B$5="",1,IF(ISNUMBER(SEARCH('02_대상물건입력'!$B$5,B126)),1,0)))</f>
        <v/>
      </c>
      <c r="K126">
        <f>IF(B126="","",IF('02_대상물건입력'!$B$6="",1,IF(ISNUMBER(SEARCH('02_대상물건입력'!$B$6,B126)),1,0)))</f>
        <v/>
      </c>
      <c r="L126">
        <f>IF(D126="","",IF('02_대상물건입력'!$B$8="",0,IF(ISNUMBER(SEARCH('02_대상물건입력'!$B$8,D126)),1,0)))</f>
        <v/>
      </c>
      <c r="M126">
        <f>IFERROR(ABS(E126-'02_대상물건입력'!$B$11)/'02_대상물건입력'!$B$11,"")</f>
        <v/>
      </c>
      <c r="N126">
        <f>IFERROR(ABS('01_설정'!$B$4-F126),"")</f>
        <v/>
      </c>
      <c r="O126">
        <f>IFERROR(ABS(YEAR(I126)-YEAR('02_대상물건입력'!$B$14)),"")</f>
        <v/>
      </c>
      <c r="P126">
        <f>IF(AND(E126&gt;0,F126&gt;0,G126&gt;0,IF('01_설정'!$B$10=1,J126=1,TRUE()),M126&lt;='01_설정'!$B$5,N126&lt;='01_설정'!$B$7,O126&lt;='01_설정'!$B$8),"Y","")</f>
        <v/>
      </c>
      <c r="Q126">
        <f>IF(P126&lt;&gt;"Y","",MAX(0,(1-M126/'01_설정'!$B$5))*'01_설정'!$B$14+MAX(0,(1-N126/'01_설정'!$B$7))*'01_설정'!$B$16+MAX(0,(1-O126/'01_설정'!$B$8))*'01_설정'!$B$17+K126*'01_설정'!$B$11+L126*'01_설정'!$B$12)</f>
        <v/>
      </c>
      <c r="R126">
        <f>IF(Q126="","",1+COUNTIFS($Q$31:$Q$1030,"&gt;"&amp;Q126)+COUNTIFS($Q$31:Q126,Q126)-1)</f>
        <v/>
      </c>
    </row>
    <row r="127" hidden="1" ht="16.5" customHeight="1">
      <c r="A127">
        <f>IF(COUNTA('05_KAIS'!$A115:$N115)=0,"",100)</f>
        <v/>
      </c>
      <c r="B127">
        <f>IF($A127="","",TRIM(INDEX('05_KAIS'!$B:$B,$A127)&amp;" "&amp;INDEX('05_KAIS'!$C:$C,$A127)))</f>
        <v/>
      </c>
      <c r="C127">
        <f>IF($A127="","",INDEX('05_KAIS'!$D:$D,$A127))</f>
        <v/>
      </c>
      <c r="D127">
        <f>IF($A127="","",INDEX('05_KAIS'!$H:$H,$A127))</f>
        <v/>
      </c>
      <c r="E127">
        <f>IF($A127="","",INDEX('05_KAIS'!$K:$K,$A127))</f>
        <v/>
      </c>
      <c r="F127" s="202">
        <f>IF($A127="","",INDEX('05_KAIS'!$I:$I,$A127))</f>
        <v/>
      </c>
      <c r="G127" s="118">
        <f>IF($A127="","",INDEX('05_KAIS'!$L:$L,$A127))</f>
        <v/>
      </c>
      <c r="H127" s="118">
        <f>IF($A127="","",IFERROR(INDEX('05_KAIS'!$M:$M,$A127),IF(AND(E127&gt;0,G127&gt;0),G127/E127,"")))</f>
        <v/>
      </c>
      <c r="I127" s="202">
        <f>IF($A127="","",INDEX('05_KAIS'!$N:$N,$A127))</f>
        <v/>
      </c>
      <c r="J127">
        <f>IF(B127="","",IF('02_대상물건입력'!$B$5="",1,IF(ISNUMBER(SEARCH('02_대상물건입력'!$B$5,B127)),1,0)))</f>
        <v/>
      </c>
      <c r="K127">
        <f>IF(B127="","",IF('02_대상물건입력'!$B$6="",1,IF(ISNUMBER(SEARCH('02_대상물건입력'!$B$6,B127)),1,0)))</f>
        <v/>
      </c>
      <c r="L127">
        <f>IF(D127="","",IF('02_대상물건입력'!$B$8="",0,IF(ISNUMBER(SEARCH('02_대상물건입력'!$B$8,D127)),1,0)))</f>
        <v/>
      </c>
      <c r="M127">
        <f>IFERROR(ABS(E127-'02_대상물건입력'!$B$11)/'02_대상물건입력'!$B$11,"")</f>
        <v/>
      </c>
      <c r="N127">
        <f>IFERROR(ABS('01_설정'!$B$4-F127),"")</f>
        <v/>
      </c>
      <c r="O127">
        <f>IFERROR(ABS(YEAR(I127)-YEAR('02_대상물건입력'!$B$14)),"")</f>
        <v/>
      </c>
      <c r="P127">
        <f>IF(AND(E127&gt;0,F127&gt;0,G127&gt;0,IF('01_설정'!$B$10=1,J127=1,TRUE()),M127&lt;='01_설정'!$B$5,N127&lt;='01_설정'!$B$7,O127&lt;='01_설정'!$B$8),"Y","")</f>
        <v/>
      </c>
      <c r="Q127">
        <f>IF(P127&lt;&gt;"Y","",MAX(0,(1-M127/'01_설정'!$B$5))*'01_설정'!$B$14+MAX(0,(1-N127/'01_설정'!$B$7))*'01_설정'!$B$16+MAX(0,(1-O127/'01_설정'!$B$8))*'01_설정'!$B$17+K127*'01_설정'!$B$11+L127*'01_설정'!$B$12)</f>
        <v/>
      </c>
      <c r="R127">
        <f>IF(Q127="","",1+COUNTIFS($Q$31:$Q$1030,"&gt;"&amp;Q127)+COUNTIFS($Q$31:Q127,Q127)-1)</f>
        <v/>
      </c>
    </row>
    <row r="128" hidden="1" ht="16.5" customHeight="1">
      <c r="A128">
        <f>IF(COUNTA('05_KAIS'!$A116:$N116)=0,"",101)</f>
        <v/>
      </c>
      <c r="B128">
        <f>IF($A128="","",TRIM(INDEX('05_KAIS'!$B:$B,$A128)&amp;" "&amp;INDEX('05_KAIS'!$C:$C,$A128)))</f>
        <v/>
      </c>
      <c r="C128">
        <f>IF($A128="","",INDEX('05_KAIS'!$D:$D,$A128))</f>
        <v/>
      </c>
      <c r="D128">
        <f>IF($A128="","",INDEX('05_KAIS'!$H:$H,$A128))</f>
        <v/>
      </c>
      <c r="E128">
        <f>IF($A128="","",INDEX('05_KAIS'!$K:$K,$A128))</f>
        <v/>
      </c>
      <c r="F128" s="202">
        <f>IF($A128="","",INDEX('05_KAIS'!$I:$I,$A128))</f>
        <v/>
      </c>
      <c r="G128" s="118">
        <f>IF($A128="","",INDEX('05_KAIS'!$L:$L,$A128))</f>
        <v/>
      </c>
      <c r="H128" s="118">
        <f>IF($A128="","",IFERROR(INDEX('05_KAIS'!$M:$M,$A128),IF(AND(E128&gt;0,G128&gt;0),G128/E128,"")))</f>
        <v/>
      </c>
      <c r="I128" s="202">
        <f>IF($A128="","",INDEX('05_KAIS'!$N:$N,$A128))</f>
        <v/>
      </c>
      <c r="J128">
        <f>IF(B128="","",IF('02_대상물건입력'!$B$5="",1,IF(ISNUMBER(SEARCH('02_대상물건입력'!$B$5,B128)),1,0)))</f>
        <v/>
      </c>
      <c r="K128">
        <f>IF(B128="","",IF('02_대상물건입력'!$B$6="",1,IF(ISNUMBER(SEARCH('02_대상물건입력'!$B$6,B128)),1,0)))</f>
        <v/>
      </c>
      <c r="L128">
        <f>IF(D128="","",IF('02_대상물건입력'!$B$8="",0,IF(ISNUMBER(SEARCH('02_대상물건입력'!$B$8,D128)),1,0)))</f>
        <v/>
      </c>
      <c r="M128">
        <f>IFERROR(ABS(E128-'02_대상물건입력'!$B$11)/'02_대상물건입력'!$B$11,"")</f>
        <v/>
      </c>
      <c r="N128">
        <f>IFERROR(ABS('01_설정'!$B$4-F128),"")</f>
        <v/>
      </c>
      <c r="O128">
        <f>IFERROR(ABS(YEAR(I128)-YEAR('02_대상물건입력'!$B$14)),"")</f>
        <v/>
      </c>
      <c r="P128">
        <f>IF(AND(E128&gt;0,F128&gt;0,G128&gt;0,IF('01_설정'!$B$10=1,J128=1,TRUE()),M128&lt;='01_설정'!$B$5,N128&lt;='01_설정'!$B$7,O128&lt;='01_설정'!$B$8),"Y","")</f>
        <v/>
      </c>
      <c r="Q128">
        <f>IF(P128&lt;&gt;"Y","",MAX(0,(1-M128/'01_설정'!$B$5))*'01_설정'!$B$14+MAX(0,(1-N128/'01_설정'!$B$7))*'01_설정'!$B$16+MAX(0,(1-O128/'01_설정'!$B$8))*'01_설정'!$B$17+K128*'01_설정'!$B$11+L128*'01_설정'!$B$12)</f>
        <v/>
      </c>
      <c r="R128">
        <f>IF(Q128="","",1+COUNTIFS($Q$31:$Q$1030,"&gt;"&amp;Q128)+COUNTIFS($Q$31:Q128,Q128)-1)</f>
        <v/>
      </c>
    </row>
    <row r="129" hidden="1" ht="16.5" customHeight="1">
      <c r="A129">
        <f>IF(COUNTA('05_KAIS'!$A117:$N117)=0,"",102)</f>
        <v/>
      </c>
      <c r="B129">
        <f>IF($A129="","",TRIM(INDEX('05_KAIS'!$B:$B,$A129)&amp;" "&amp;INDEX('05_KAIS'!$C:$C,$A129)))</f>
        <v/>
      </c>
      <c r="C129">
        <f>IF($A129="","",INDEX('05_KAIS'!$D:$D,$A129))</f>
        <v/>
      </c>
      <c r="D129">
        <f>IF($A129="","",INDEX('05_KAIS'!$H:$H,$A129))</f>
        <v/>
      </c>
      <c r="E129">
        <f>IF($A129="","",INDEX('05_KAIS'!$K:$K,$A129))</f>
        <v/>
      </c>
      <c r="F129" s="202">
        <f>IF($A129="","",INDEX('05_KAIS'!$I:$I,$A129))</f>
        <v/>
      </c>
      <c r="G129" s="118">
        <f>IF($A129="","",INDEX('05_KAIS'!$L:$L,$A129))</f>
        <v/>
      </c>
      <c r="H129" s="118">
        <f>IF($A129="","",IFERROR(INDEX('05_KAIS'!$M:$M,$A129),IF(AND(E129&gt;0,G129&gt;0),G129/E129,"")))</f>
        <v/>
      </c>
      <c r="I129" s="202">
        <f>IF($A129="","",INDEX('05_KAIS'!$N:$N,$A129))</f>
        <v/>
      </c>
      <c r="J129">
        <f>IF(B129="","",IF('02_대상물건입력'!$B$5="",1,IF(ISNUMBER(SEARCH('02_대상물건입력'!$B$5,B129)),1,0)))</f>
        <v/>
      </c>
      <c r="K129">
        <f>IF(B129="","",IF('02_대상물건입력'!$B$6="",1,IF(ISNUMBER(SEARCH('02_대상물건입력'!$B$6,B129)),1,0)))</f>
        <v/>
      </c>
      <c r="L129">
        <f>IF(D129="","",IF('02_대상물건입력'!$B$8="",0,IF(ISNUMBER(SEARCH('02_대상물건입력'!$B$8,D129)),1,0)))</f>
        <v/>
      </c>
      <c r="M129">
        <f>IFERROR(ABS(E129-'02_대상물건입력'!$B$11)/'02_대상물건입력'!$B$11,"")</f>
        <v/>
      </c>
      <c r="N129">
        <f>IFERROR(ABS('01_설정'!$B$4-F129),"")</f>
        <v/>
      </c>
      <c r="O129">
        <f>IFERROR(ABS(YEAR(I129)-YEAR('02_대상물건입력'!$B$14)),"")</f>
        <v/>
      </c>
      <c r="P129">
        <f>IF(AND(E129&gt;0,F129&gt;0,G129&gt;0,IF('01_설정'!$B$10=1,J129=1,TRUE()),M129&lt;='01_설정'!$B$5,N129&lt;='01_설정'!$B$7,O129&lt;='01_설정'!$B$8),"Y","")</f>
        <v/>
      </c>
      <c r="Q129">
        <f>IF(P129&lt;&gt;"Y","",MAX(0,(1-M129/'01_설정'!$B$5))*'01_설정'!$B$14+MAX(0,(1-N129/'01_설정'!$B$7))*'01_설정'!$B$16+MAX(0,(1-O129/'01_설정'!$B$8))*'01_설정'!$B$17+K129*'01_설정'!$B$11+L129*'01_설정'!$B$12)</f>
        <v/>
      </c>
      <c r="R129">
        <f>IF(Q129="","",1+COUNTIFS($Q$31:$Q$1030,"&gt;"&amp;Q129)+COUNTIFS($Q$31:Q129,Q129)-1)</f>
        <v/>
      </c>
    </row>
    <row r="130" hidden="1" ht="16.5" customHeight="1">
      <c r="A130">
        <f>IF(COUNTA('05_KAIS'!$A118:$N118)=0,"",103)</f>
        <v/>
      </c>
      <c r="B130">
        <f>IF($A130="","",TRIM(INDEX('05_KAIS'!$B:$B,$A130)&amp;" "&amp;INDEX('05_KAIS'!$C:$C,$A130)))</f>
        <v/>
      </c>
      <c r="C130">
        <f>IF($A130="","",INDEX('05_KAIS'!$D:$D,$A130))</f>
        <v/>
      </c>
      <c r="D130">
        <f>IF($A130="","",INDEX('05_KAIS'!$H:$H,$A130))</f>
        <v/>
      </c>
      <c r="E130">
        <f>IF($A130="","",INDEX('05_KAIS'!$K:$K,$A130))</f>
        <v/>
      </c>
      <c r="F130" s="202">
        <f>IF($A130="","",INDEX('05_KAIS'!$I:$I,$A130))</f>
        <v/>
      </c>
      <c r="G130" s="118">
        <f>IF($A130="","",INDEX('05_KAIS'!$L:$L,$A130))</f>
        <v/>
      </c>
      <c r="H130" s="118">
        <f>IF($A130="","",IFERROR(INDEX('05_KAIS'!$M:$M,$A130),IF(AND(E130&gt;0,G130&gt;0),G130/E130,"")))</f>
        <v/>
      </c>
      <c r="I130" s="202">
        <f>IF($A130="","",INDEX('05_KAIS'!$N:$N,$A130))</f>
        <v/>
      </c>
      <c r="J130">
        <f>IF(B130="","",IF('02_대상물건입력'!$B$5="",1,IF(ISNUMBER(SEARCH('02_대상물건입력'!$B$5,B130)),1,0)))</f>
        <v/>
      </c>
      <c r="K130">
        <f>IF(B130="","",IF('02_대상물건입력'!$B$6="",1,IF(ISNUMBER(SEARCH('02_대상물건입력'!$B$6,B130)),1,0)))</f>
        <v/>
      </c>
      <c r="L130">
        <f>IF(D130="","",IF('02_대상물건입력'!$B$8="",0,IF(ISNUMBER(SEARCH('02_대상물건입력'!$B$8,D130)),1,0)))</f>
        <v/>
      </c>
      <c r="M130">
        <f>IFERROR(ABS(E130-'02_대상물건입력'!$B$11)/'02_대상물건입력'!$B$11,"")</f>
        <v/>
      </c>
      <c r="N130">
        <f>IFERROR(ABS('01_설정'!$B$4-F130),"")</f>
        <v/>
      </c>
      <c r="O130">
        <f>IFERROR(ABS(YEAR(I130)-YEAR('02_대상물건입력'!$B$14)),"")</f>
        <v/>
      </c>
      <c r="P130">
        <f>IF(AND(E130&gt;0,F130&gt;0,G130&gt;0,IF('01_설정'!$B$10=1,J130=1,TRUE()),M130&lt;='01_설정'!$B$5,N130&lt;='01_설정'!$B$7,O130&lt;='01_설정'!$B$8),"Y","")</f>
        <v/>
      </c>
      <c r="Q130">
        <f>IF(P130&lt;&gt;"Y","",MAX(0,(1-M130/'01_설정'!$B$5))*'01_설정'!$B$14+MAX(0,(1-N130/'01_설정'!$B$7))*'01_설정'!$B$16+MAX(0,(1-O130/'01_설정'!$B$8))*'01_설정'!$B$17+K130*'01_설정'!$B$11+L130*'01_설정'!$B$12)</f>
        <v/>
      </c>
      <c r="R130">
        <f>IF(Q130="","",1+COUNTIFS($Q$31:$Q$1030,"&gt;"&amp;Q130)+COUNTIFS($Q$31:Q130,Q130)-1)</f>
        <v/>
      </c>
    </row>
    <row r="131" hidden="1" ht="16.5" customHeight="1">
      <c r="A131">
        <f>IF(COUNTA('05_KAIS'!$A119:$N119)=0,"",104)</f>
        <v/>
      </c>
      <c r="B131">
        <f>IF($A131="","",TRIM(INDEX('05_KAIS'!$B:$B,$A131)&amp;" "&amp;INDEX('05_KAIS'!$C:$C,$A131)))</f>
        <v/>
      </c>
      <c r="C131">
        <f>IF($A131="","",INDEX('05_KAIS'!$D:$D,$A131))</f>
        <v/>
      </c>
      <c r="D131">
        <f>IF($A131="","",INDEX('05_KAIS'!$H:$H,$A131))</f>
        <v/>
      </c>
      <c r="E131">
        <f>IF($A131="","",INDEX('05_KAIS'!$K:$K,$A131))</f>
        <v/>
      </c>
      <c r="F131" s="202">
        <f>IF($A131="","",INDEX('05_KAIS'!$I:$I,$A131))</f>
        <v/>
      </c>
      <c r="G131" s="118">
        <f>IF($A131="","",INDEX('05_KAIS'!$L:$L,$A131))</f>
        <v/>
      </c>
      <c r="H131" s="118">
        <f>IF($A131="","",IFERROR(INDEX('05_KAIS'!$M:$M,$A131),IF(AND(E131&gt;0,G131&gt;0),G131/E131,"")))</f>
        <v/>
      </c>
      <c r="I131" s="202">
        <f>IF($A131="","",INDEX('05_KAIS'!$N:$N,$A131))</f>
        <v/>
      </c>
      <c r="J131">
        <f>IF(B131="","",IF('02_대상물건입력'!$B$5="",1,IF(ISNUMBER(SEARCH('02_대상물건입력'!$B$5,B131)),1,0)))</f>
        <v/>
      </c>
      <c r="K131">
        <f>IF(B131="","",IF('02_대상물건입력'!$B$6="",1,IF(ISNUMBER(SEARCH('02_대상물건입력'!$B$6,B131)),1,0)))</f>
        <v/>
      </c>
      <c r="L131">
        <f>IF(D131="","",IF('02_대상물건입력'!$B$8="",0,IF(ISNUMBER(SEARCH('02_대상물건입력'!$B$8,D131)),1,0)))</f>
        <v/>
      </c>
      <c r="M131">
        <f>IFERROR(ABS(E131-'02_대상물건입력'!$B$11)/'02_대상물건입력'!$B$11,"")</f>
        <v/>
      </c>
      <c r="N131">
        <f>IFERROR(ABS('01_설정'!$B$4-F131),"")</f>
        <v/>
      </c>
      <c r="O131">
        <f>IFERROR(ABS(YEAR(I131)-YEAR('02_대상물건입력'!$B$14)),"")</f>
        <v/>
      </c>
      <c r="P131">
        <f>IF(AND(E131&gt;0,F131&gt;0,G131&gt;0,IF('01_설정'!$B$10=1,J131=1,TRUE()),M131&lt;='01_설정'!$B$5,N131&lt;='01_설정'!$B$7,O131&lt;='01_설정'!$B$8),"Y","")</f>
        <v/>
      </c>
      <c r="Q131">
        <f>IF(P131&lt;&gt;"Y","",MAX(0,(1-M131/'01_설정'!$B$5))*'01_설정'!$B$14+MAX(0,(1-N131/'01_설정'!$B$7))*'01_설정'!$B$16+MAX(0,(1-O131/'01_설정'!$B$8))*'01_설정'!$B$17+K131*'01_설정'!$B$11+L131*'01_설정'!$B$12)</f>
        <v/>
      </c>
      <c r="R131">
        <f>IF(Q131="","",1+COUNTIFS($Q$31:$Q$1030,"&gt;"&amp;Q131)+COUNTIFS($Q$31:Q131,Q131)-1)</f>
        <v/>
      </c>
    </row>
    <row r="132" hidden="1" ht="16.5" customHeight="1">
      <c r="A132">
        <f>IF(COUNTA('05_KAIS'!$A120:$N120)=0,"",105)</f>
        <v/>
      </c>
      <c r="B132">
        <f>IF($A132="","",TRIM(INDEX('05_KAIS'!$B:$B,$A132)&amp;" "&amp;INDEX('05_KAIS'!$C:$C,$A132)))</f>
        <v/>
      </c>
      <c r="C132">
        <f>IF($A132="","",INDEX('05_KAIS'!$D:$D,$A132))</f>
        <v/>
      </c>
      <c r="D132">
        <f>IF($A132="","",INDEX('05_KAIS'!$H:$H,$A132))</f>
        <v/>
      </c>
      <c r="E132">
        <f>IF($A132="","",INDEX('05_KAIS'!$K:$K,$A132))</f>
        <v/>
      </c>
      <c r="F132" s="202">
        <f>IF($A132="","",INDEX('05_KAIS'!$I:$I,$A132))</f>
        <v/>
      </c>
      <c r="G132" s="118">
        <f>IF($A132="","",INDEX('05_KAIS'!$L:$L,$A132))</f>
        <v/>
      </c>
      <c r="H132" s="118">
        <f>IF($A132="","",IFERROR(INDEX('05_KAIS'!$M:$M,$A132),IF(AND(E132&gt;0,G132&gt;0),G132/E132,"")))</f>
        <v/>
      </c>
      <c r="I132" s="202">
        <f>IF($A132="","",INDEX('05_KAIS'!$N:$N,$A132))</f>
        <v/>
      </c>
      <c r="J132">
        <f>IF(B132="","",IF('02_대상물건입력'!$B$5="",1,IF(ISNUMBER(SEARCH('02_대상물건입력'!$B$5,B132)),1,0)))</f>
        <v/>
      </c>
      <c r="K132">
        <f>IF(B132="","",IF('02_대상물건입력'!$B$6="",1,IF(ISNUMBER(SEARCH('02_대상물건입력'!$B$6,B132)),1,0)))</f>
        <v/>
      </c>
      <c r="L132">
        <f>IF(D132="","",IF('02_대상물건입력'!$B$8="",0,IF(ISNUMBER(SEARCH('02_대상물건입력'!$B$8,D132)),1,0)))</f>
        <v/>
      </c>
      <c r="M132">
        <f>IFERROR(ABS(E132-'02_대상물건입력'!$B$11)/'02_대상물건입력'!$B$11,"")</f>
        <v/>
      </c>
      <c r="N132">
        <f>IFERROR(ABS('01_설정'!$B$4-F132),"")</f>
        <v/>
      </c>
      <c r="O132">
        <f>IFERROR(ABS(YEAR(I132)-YEAR('02_대상물건입력'!$B$14)),"")</f>
        <v/>
      </c>
      <c r="P132">
        <f>IF(AND(E132&gt;0,F132&gt;0,G132&gt;0,IF('01_설정'!$B$10=1,J132=1,TRUE()),M132&lt;='01_설정'!$B$5,N132&lt;='01_설정'!$B$7,O132&lt;='01_설정'!$B$8),"Y","")</f>
        <v/>
      </c>
      <c r="Q132">
        <f>IF(P132&lt;&gt;"Y","",MAX(0,(1-M132/'01_설정'!$B$5))*'01_설정'!$B$14+MAX(0,(1-N132/'01_설정'!$B$7))*'01_설정'!$B$16+MAX(0,(1-O132/'01_설정'!$B$8))*'01_설정'!$B$17+K132*'01_설정'!$B$11+L132*'01_설정'!$B$12)</f>
        <v/>
      </c>
      <c r="R132">
        <f>IF(Q132="","",1+COUNTIFS($Q$31:$Q$1030,"&gt;"&amp;Q132)+COUNTIFS($Q$31:Q132,Q132)-1)</f>
        <v/>
      </c>
    </row>
    <row r="133" hidden="1" ht="16.5" customHeight="1">
      <c r="A133">
        <f>IF(COUNTA('05_KAIS'!$A121:$N121)=0,"",106)</f>
        <v/>
      </c>
      <c r="B133">
        <f>IF($A133="","",TRIM(INDEX('05_KAIS'!$B:$B,$A133)&amp;" "&amp;INDEX('05_KAIS'!$C:$C,$A133)))</f>
        <v/>
      </c>
      <c r="C133">
        <f>IF($A133="","",INDEX('05_KAIS'!$D:$D,$A133))</f>
        <v/>
      </c>
      <c r="D133">
        <f>IF($A133="","",INDEX('05_KAIS'!$H:$H,$A133))</f>
        <v/>
      </c>
      <c r="E133">
        <f>IF($A133="","",INDEX('05_KAIS'!$K:$K,$A133))</f>
        <v/>
      </c>
      <c r="F133" s="202">
        <f>IF($A133="","",INDEX('05_KAIS'!$I:$I,$A133))</f>
        <v/>
      </c>
      <c r="G133" s="118">
        <f>IF($A133="","",INDEX('05_KAIS'!$L:$L,$A133))</f>
        <v/>
      </c>
      <c r="H133" s="118">
        <f>IF($A133="","",IFERROR(INDEX('05_KAIS'!$M:$M,$A133),IF(AND(E133&gt;0,G133&gt;0),G133/E133,"")))</f>
        <v/>
      </c>
      <c r="I133" s="202">
        <f>IF($A133="","",INDEX('05_KAIS'!$N:$N,$A133))</f>
        <v/>
      </c>
      <c r="J133">
        <f>IF(B133="","",IF('02_대상물건입력'!$B$5="",1,IF(ISNUMBER(SEARCH('02_대상물건입력'!$B$5,B133)),1,0)))</f>
        <v/>
      </c>
      <c r="K133">
        <f>IF(B133="","",IF('02_대상물건입력'!$B$6="",1,IF(ISNUMBER(SEARCH('02_대상물건입력'!$B$6,B133)),1,0)))</f>
        <v/>
      </c>
      <c r="L133">
        <f>IF(D133="","",IF('02_대상물건입력'!$B$8="",0,IF(ISNUMBER(SEARCH('02_대상물건입력'!$B$8,D133)),1,0)))</f>
        <v/>
      </c>
      <c r="M133">
        <f>IFERROR(ABS(E133-'02_대상물건입력'!$B$11)/'02_대상물건입력'!$B$11,"")</f>
        <v/>
      </c>
      <c r="N133">
        <f>IFERROR(ABS('01_설정'!$B$4-F133),"")</f>
        <v/>
      </c>
      <c r="O133">
        <f>IFERROR(ABS(YEAR(I133)-YEAR('02_대상물건입력'!$B$14)),"")</f>
        <v/>
      </c>
      <c r="P133">
        <f>IF(AND(E133&gt;0,F133&gt;0,G133&gt;0,IF('01_설정'!$B$10=1,J133=1,TRUE()),M133&lt;='01_설정'!$B$5,N133&lt;='01_설정'!$B$7,O133&lt;='01_설정'!$B$8),"Y","")</f>
        <v/>
      </c>
      <c r="Q133">
        <f>IF(P133&lt;&gt;"Y","",MAX(0,(1-M133/'01_설정'!$B$5))*'01_설정'!$B$14+MAX(0,(1-N133/'01_설정'!$B$7))*'01_설정'!$B$16+MAX(0,(1-O133/'01_설정'!$B$8))*'01_설정'!$B$17+K133*'01_설정'!$B$11+L133*'01_설정'!$B$12)</f>
        <v/>
      </c>
      <c r="R133">
        <f>IF(Q133="","",1+COUNTIFS($Q$31:$Q$1030,"&gt;"&amp;Q133)+COUNTIFS($Q$31:Q133,Q133)-1)</f>
        <v/>
      </c>
    </row>
    <row r="134" hidden="1" ht="16.5" customHeight="1">
      <c r="A134">
        <f>IF(COUNTA('05_KAIS'!$A122:$N122)=0,"",107)</f>
        <v/>
      </c>
      <c r="B134">
        <f>IF($A134="","",TRIM(INDEX('05_KAIS'!$B:$B,$A134)&amp;" "&amp;INDEX('05_KAIS'!$C:$C,$A134)))</f>
        <v/>
      </c>
      <c r="C134">
        <f>IF($A134="","",INDEX('05_KAIS'!$D:$D,$A134))</f>
        <v/>
      </c>
      <c r="D134">
        <f>IF($A134="","",INDEX('05_KAIS'!$H:$H,$A134))</f>
        <v/>
      </c>
      <c r="E134">
        <f>IF($A134="","",INDEX('05_KAIS'!$K:$K,$A134))</f>
        <v/>
      </c>
      <c r="F134" s="202">
        <f>IF($A134="","",INDEX('05_KAIS'!$I:$I,$A134))</f>
        <v/>
      </c>
      <c r="G134" s="118">
        <f>IF($A134="","",INDEX('05_KAIS'!$L:$L,$A134))</f>
        <v/>
      </c>
      <c r="H134" s="118">
        <f>IF($A134="","",IFERROR(INDEX('05_KAIS'!$M:$M,$A134),IF(AND(E134&gt;0,G134&gt;0),G134/E134,"")))</f>
        <v/>
      </c>
      <c r="I134" s="202">
        <f>IF($A134="","",INDEX('05_KAIS'!$N:$N,$A134))</f>
        <v/>
      </c>
      <c r="J134">
        <f>IF(B134="","",IF('02_대상물건입력'!$B$5="",1,IF(ISNUMBER(SEARCH('02_대상물건입력'!$B$5,B134)),1,0)))</f>
        <v/>
      </c>
      <c r="K134">
        <f>IF(B134="","",IF('02_대상물건입력'!$B$6="",1,IF(ISNUMBER(SEARCH('02_대상물건입력'!$B$6,B134)),1,0)))</f>
        <v/>
      </c>
      <c r="L134">
        <f>IF(D134="","",IF('02_대상물건입력'!$B$8="",0,IF(ISNUMBER(SEARCH('02_대상물건입력'!$B$8,D134)),1,0)))</f>
        <v/>
      </c>
      <c r="M134">
        <f>IFERROR(ABS(E134-'02_대상물건입력'!$B$11)/'02_대상물건입력'!$B$11,"")</f>
        <v/>
      </c>
      <c r="N134">
        <f>IFERROR(ABS('01_설정'!$B$4-F134),"")</f>
        <v/>
      </c>
      <c r="O134">
        <f>IFERROR(ABS(YEAR(I134)-YEAR('02_대상물건입력'!$B$14)),"")</f>
        <v/>
      </c>
      <c r="P134">
        <f>IF(AND(E134&gt;0,F134&gt;0,G134&gt;0,IF('01_설정'!$B$10=1,J134=1,TRUE()),M134&lt;='01_설정'!$B$5,N134&lt;='01_설정'!$B$7,O134&lt;='01_설정'!$B$8),"Y","")</f>
        <v/>
      </c>
      <c r="Q134">
        <f>IF(P134&lt;&gt;"Y","",MAX(0,(1-M134/'01_설정'!$B$5))*'01_설정'!$B$14+MAX(0,(1-N134/'01_설정'!$B$7))*'01_설정'!$B$16+MAX(0,(1-O134/'01_설정'!$B$8))*'01_설정'!$B$17+K134*'01_설정'!$B$11+L134*'01_설정'!$B$12)</f>
        <v/>
      </c>
      <c r="R134">
        <f>IF(Q134="","",1+COUNTIFS($Q$31:$Q$1030,"&gt;"&amp;Q134)+COUNTIFS($Q$31:Q134,Q134)-1)</f>
        <v/>
      </c>
    </row>
    <row r="135" hidden="1" ht="16.5" customHeight="1">
      <c r="A135">
        <f>IF(COUNTA('05_KAIS'!$A123:$N123)=0,"",108)</f>
        <v/>
      </c>
      <c r="B135">
        <f>IF($A135="","",TRIM(INDEX('05_KAIS'!$B:$B,$A135)&amp;" "&amp;INDEX('05_KAIS'!$C:$C,$A135)))</f>
        <v/>
      </c>
      <c r="C135">
        <f>IF($A135="","",INDEX('05_KAIS'!$D:$D,$A135))</f>
        <v/>
      </c>
      <c r="D135">
        <f>IF($A135="","",INDEX('05_KAIS'!$H:$H,$A135))</f>
        <v/>
      </c>
      <c r="E135">
        <f>IF($A135="","",INDEX('05_KAIS'!$K:$K,$A135))</f>
        <v/>
      </c>
      <c r="F135" s="202">
        <f>IF($A135="","",INDEX('05_KAIS'!$I:$I,$A135))</f>
        <v/>
      </c>
      <c r="G135" s="118">
        <f>IF($A135="","",INDEX('05_KAIS'!$L:$L,$A135))</f>
        <v/>
      </c>
      <c r="H135" s="118">
        <f>IF($A135="","",IFERROR(INDEX('05_KAIS'!$M:$M,$A135),IF(AND(E135&gt;0,G135&gt;0),G135/E135,"")))</f>
        <v/>
      </c>
      <c r="I135" s="202">
        <f>IF($A135="","",INDEX('05_KAIS'!$N:$N,$A135))</f>
        <v/>
      </c>
      <c r="J135">
        <f>IF(B135="","",IF('02_대상물건입력'!$B$5="",1,IF(ISNUMBER(SEARCH('02_대상물건입력'!$B$5,B135)),1,0)))</f>
        <v/>
      </c>
      <c r="K135">
        <f>IF(B135="","",IF('02_대상물건입력'!$B$6="",1,IF(ISNUMBER(SEARCH('02_대상물건입력'!$B$6,B135)),1,0)))</f>
        <v/>
      </c>
      <c r="L135">
        <f>IF(D135="","",IF('02_대상물건입력'!$B$8="",0,IF(ISNUMBER(SEARCH('02_대상물건입력'!$B$8,D135)),1,0)))</f>
        <v/>
      </c>
      <c r="M135">
        <f>IFERROR(ABS(E135-'02_대상물건입력'!$B$11)/'02_대상물건입력'!$B$11,"")</f>
        <v/>
      </c>
      <c r="N135">
        <f>IFERROR(ABS('01_설정'!$B$4-F135),"")</f>
        <v/>
      </c>
      <c r="O135">
        <f>IFERROR(ABS(YEAR(I135)-YEAR('02_대상물건입력'!$B$14)),"")</f>
        <v/>
      </c>
      <c r="P135">
        <f>IF(AND(E135&gt;0,F135&gt;0,G135&gt;0,IF('01_설정'!$B$10=1,J135=1,TRUE()),M135&lt;='01_설정'!$B$5,N135&lt;='01_설정'!$B$7,O135&lt;='01_설정'!$B$8),"Y","")</f>
        <v/>
      </c>
      <c r="Q135">
        <f>IF(P135&lt;&gt;"Y","",MAX(0,(1-M135/'01_설정'!$B$5))*'01_설정'!$B$14+MAX(0,(1-N135/'01_설정'!$B$7))*'01_설정'!$B$16+MAX(0,(1-O135/'01_설정'!$B$8))*'01_설정'!$B$17+K135*'01_설정'!$B$11+L135*'01_설정'!$B$12)</f>
        <v/>
      </c>
      <c r="R135">
        <f>IF(Q135="","",1+COUNTIFS($Q$31:$Q$1030,"&gt;"&amp;Q135)+COUNTIFS($Q$31:Q135,Q135)-1)</f>
        <v/>
      </c>
    </row>
    <row r="136" hidden="1" ht="16.5" customHeight="1">
      <c r="A136">
        <f>IF(COUNTA('05_KAIS'!$A124:$N124)=0,"",109)</f>
        <v/>
      </c>
      <c r="B136">
        <f>IF($A136="","",TRIM(INDEX('05_KAIS'!$B:$B,$A136)&amp;" "&amp;INDEX('05_KAIS'!$C:$C,$A136)))</f>
        <v/>
      </c>
      <c r="C136">
        <f>IF($A136="","",INDEX('05_KAIS'!$D:$D,$A136))</f>
        <v/>
      </c>
      <c r="D136">
        <f>IF($A136="","",INDEX('05_KAIS'!$H:$H,$A136))</f>
        <v/>
      </c>
      <c r="E136">
        <f>IF($A136="","",INDEX('05_KAIS'!$K:$K,$A136))</f>
        <v/>
      </c>
      <c r="F136" s="202">
        <f>IF($A136="","",INDEX('05_KAIS'!$I:$I,$A136))</f>
        <v/>
      </c>
      <c r="G136" s="118">
        <f>IF($A136="","",INDEX('05_KAIS'!$L:$L,$A136))</f>
        <v/>
      </c>
      <c r="H136" s="118">
        <f>IF($A136="","",IFERROR(INDEX('05_KAIS'!$M:$M,$A136),IF(AND(E136&gt;0,G136&gt;0),G136/E136,"")))</f>
        <v/>
      </c>
      <c r="I136" s="202">
        <f>IF($A136="","",INDEX('05_KAIS'!$N:$N,$A136))</f>
        <v/>
      </c>
      <c r="J136">
        <f>IF(B136="","",IF('02_대상물건입력'!$B$5="",1,IF(ISNUMBER(SEARCH('02_대상물건입력'!$B$5,B136)),1,0)))</f>
        <v/>
      </c>
      <c r="K136">
        <f>IF(B136="","",IF('02_대상물건입력'!$B$6="",1,IF(ISNUMBER(SEARCH('02_대상물건입력'!$B$6,B136)),1,0)))</f>
        <v/>
      </c>
      <c r="L136">
        <f>IF(D136="","",IF('02_대상물건입력'!$B$8="",0,IF(ISNUMBER(SEARCH('02_대상물건입력'!$B$8,D136)),1,0)))</f>
        <v/>
      </c>
      <c r="M136">
        <f>IFERROR(ABS(E136-'02_대상물건입력'!$B$11)/'02_대상물건입력'!$B$11,"")</f>
        <v/>
      </c>
      <c r="N136">
        <f>IFERROR(ABS('01_설정'!$B$4-F136),"")</f>
        <v/>
      </c>
      <c r="O136">
        <f>IFERROR(ABS(YEAR(I136)-YEAR('02_대상물건입력'!$B$14)),"")</f>
        <v/>
      </c>
      <c r="P136">
        <f>IF(AND(E136&gt;0,F136&gt;0,G136&gt;0,IF('01_설정'!$B$10=1,J136=1,TRUE()),M136&lt;='01_설정'!$B$5,N136&lt;='01_설정'!$B$7,O136&lt;='01_설정'!$B$8),"Y","")</f>
        <v/>
      </c>
      <c r="Q136">
        <f>IF(P136&lt;&gt;"Y","",MAX(0,(1-M136/'01_설정'!$B$5))*'01_설정'!$B$14+MAX(0,(1-N136/'01_설정'!$B$7))*'01_설정'!$B$16+MAX(0,(1-O136/'01_설정'!$B$8))*'01_설정'!$B$17+K136*'01_설정'!$B$11+L136*'01_설정'!$B$12)</f>
        <v/>
      </c>
      <c r="R136">
        <f>IF(Q136="","",1+COUNTIFS($Q$31:$Q$1030,"&gt;"&amp;Q136)+COUNTIFS($Q$31:Q136,Q136)-1)</f>
        <v/>
      </c>
    </row>
    <row r="137" hidden="1" ht="16.5" customHeight="1">
      <c r="A137">
        <f>IF(COUNTA('05_KAIS'!$A125:$N125)=0,"",110)</f>
        <v/>
      </c>
      <c r="B137">
        <f>IF($A137="","",TRIM(INDEX('05_KAIS'!$B:$B,$A137)&amp;" "&amp;INDEX('05_KAIS'!$C:$C,$A137)))</f>
        <v/>
      </c>
      <c r="C137">
        <f>IF($A137="","",INDEX('05_KAIS'!$D:$D,$A137))</f>
        <v/>
      </c>
      <c r="D137">
        <f>IF($A137="","",INDEX('05_KAIS'!$H:$H,$A137))</f>
        <v/>
      </c>
      <c r="E137">
        <f>IF($A137="","",INDEX('05_KAIS'!$K:$K,$A137))</f>
        <v/>
      </c>
      <c r="F137" s="202">
        <f>IF($A137="","",INDEX('05_KAIS'!$I:$I,$A137))</f>
        <v/>
      </c>
      <c r="G137" s="118">
        <f>IF($A137="","",INDEX('05_KAIS'!$L:$L,$A137))</f>
        <v/>
      </c>
      <c r="H137" s="118">
        <f>IF($A137="","",IFERROR(INDEX('05_KAIS'!$M:$M,$A137),IF(AND(E137&gt;0,G137&gt;0),G137/E137,"")))</f>
        <v/>
      </c>
      <c r="I137" s="202">
        <f>IF($A137="","",INDEX('05_KAIS'!$N:$N,$A137))</f>
        <v/>
      </c>
      <c r="J137">
        <f>IF(B137="","",IF('02_대상물건입력'!$B$5="",1,IF(ISNUMBER(SEARCH('02_대상물건입력'!$B$5,B137)),1,0)))</f>
        <v/>
      </c>
      <c r="K137">
        <f>IF(B137="","",IF('02_대상물건입력'!$B$6="",1,IF(ISNUMBER(SEARCH('02_대상물건입력'!$B$6,B137)),1,0)))</f>
        <v/>
      </c>
      <c r="L137">
        <f>IF(D137="","",IF('02_대상물건입력'!$B$8="",0,IF(ISNUMBER(SEARCH('02_대상물건입력'!$B$8,D137)),1,0)))</f>
        <v/>
      </c>
      <c r="M137">
        <f>IFERROR(ABS(E137-'02_대상물건입력'!$B$11)/'02_대상물건입력'!$B$11,"")</f>
        <v/>
      </c>
      <c r="N137">
        <f>IFERROR(ABS('01_설정'!$B$4-F137),"")</f>
        <v/>
      </c>
      <c r="O137">
        <f>IFERROR(ABS(YEAR(I137)-YEAR('02_대상물건입력'!$B$14)),"")</f>
        <v/>
      </c>
      <c r="P137">
        <f>IF(AND(E137&gt;0,F137&gt;0,G137&gt;0,IF('01_설정'!$B$10=1,J137=1,TRUE()),M137&lt;='01_설정'!$B$5,N137&lt;='01_설정'!$B$7,O137&lt;='01_설정'!$B$8),"Y","")</f>
        <v/>
      </c>
      <c r="Q137">
        <f>IF(P137&lt;&gt;"Y","",MAX(0,(1-M137/'01_설정'!$B$5))*'01_설정'!$B$14+MAX(0,(1-N137/'01_설정'!$B$7))*'01_설정'!$B$16+MAX(0,(1-O137/'01_설정'!$B$8))*'01_설정'!$B$17+K137*'01_설정'!$B$11+L137*'01_설정'!$B$12)</f>
        <v/>
      </c>
      <c r="R137">
        <f>IF(Q137="","",1+COUNTIFS($Q$31:$Q$1030,"&gt;"&amp;Q137)+COUNTIFS($Q$31:Q137,Q137)-1)</f>
        <v/>
      </c>
    </row>
    <row r="138" hidden="1" ht="16.5" customHeight="1">
      <c r="A138">
        <f>IF(COUNTA('05_KAIS'!$A126:$N126)=0,"",111)</f>
        <v/>
      </c>
      <c r="B138">
        <f>IF($A138="","",TRIM(INDEX('05_KAIS'!$B:$B,$A138)&amp;" "&amp;INDEX('05_KAIS'!$C:$C,$A138)))</f>
        <v/>
      </c>
      <c r="C138">
        <f>IF($A138="","",INDEX('05_KAIS'!$D:$D,$A138))</f>
        <v/>
      </c>
      <c r="D138">
        <f>IF($A138="","",INDEX('05_KAIS'!$H:$H,$A138))</f>
        <v/>
      </c>
      <c r="E138">
        <f>IF($A138="","",INDEX('05_KAIS'!$K:$K,$A138))</f>
        <v/>
      </c>
      <c r="F138" s="202">
        <f>IF($A138="","",INDEX('05_KAIS'!$I:$I,$A138))</f>
        <v/>
      </c>
      <c r="G138" s="118">
        <f>IF($A138="","",INDEX('05_KAIS'!$L:$L,$A138))</f>
        <v/>
      </c>
      <c r="H138" s="118">
        <f>IF($A138="","",IFERROR(INDEX('05_KAIS'!$M:$M,$A138),IF(AND(E138&gt;0,G138&gt;0),G138/E138,"")))</f>
        <v/>
      </c>
      <c r="I138" s="202">
        <f>IF($A138="","",INDEX('05_KAIS'!$N:$N,$A138))</f>
        <v/>
      </c>
      <c r="J138">
        <f>IF(B138="","",IF('02_대상물건입력'!$B$5="",1,IF(ISNUMBER(SEARCH('02_대상물건입력'!$B$5,B138)),1,0)))</f>
        <v/>
      </c>
      <c r="K138">
        <f>IF(B138="","",IF('02_대상물건입력'!$B$6="",1,IF(ISNUMBER(SEARCH('02_대상물건입력'!$B$6,B138)),1,0)))</f>
        <v/>
      </c>
      <c r="L138">
        <f>IF(D138="","",IF('02_대상물건입력'!$B$8="",0,IF(ISNUMBER(SEARCH('02_대상물건입력'!$B$8,D138)),1,0)))</f>
        <v/>
      </c>
      <c r="M138">
        <f>IFERROR(ABS(E138-'02_대상물건입력'!$B$11)/'02_대상물건입력'!$B$11,"")</f>
        <v/>
      </c>
      <c r="N138">
        <f>IFERROR(ABS('01_설정'!$B$4-F138),"")</f>
        <v/>
      </c>
      <c r="O138">
        <f>IFERROR(ABS(YEAR(I138)-YEAR('02_대상물건입력'!$B$14)),"")</f>
        <v/>
      </c>
      <c r="P138">
        <f>IF(AND(E138&gt;0,F138&gt;0,G138&gt;0,IF('01_설정'!$B$10=1,J138=1,TRUE()),M138&lt;='01_설정'!$B$5,N138&lt;='01_설정'!$B$7,O138&lt;='01_설정'!$B$8),"Y","")</f>
        <v/>
      </c>
      <c r="Q138">
        <f>IF(P138&lt;&gt;"Y","",MAX(0,(1-M138/'01_설정'!$B$5))*'01_설정'!$B$14+MAX(0,(1-N138/'01_설정'!$B$7))*'01_설정'!$B$16+MAX(0,(1-O138/'01_설정'!$B$8))*'01_설정'!$B$17+K138*'01_설정'!$B$11+L138*'01_설정'!$B$12)</f>
        <v/>
      </c>
      <c r="R138">
        <f>IF(Q138="","",1+COUNTIFS($Q$31:$Q$1030,"&gt;"&amp;Q138)+COUNTIFS($Q$31:Q138,Q138)-1)</f>
        <v/>
      </c>
    </row>
    <row r="139" hidden="1" ht="16.5" customHeight="1">
      <c r="A139">
        <f>IF(COUNTA('05_KAIS'!$A127:$N127)=0,"",112)</f>
        <v/>
      </c>
      <c r="B139">
        <f>IF($A139="","",TRIM(INDEX('05_KAIS'!$B:$B,$A139)&amp;" "&amp;INDEX('05_KAIS'!$C:$C,$A139)))</f>
        <v/>
      </c>
      <c r="C139">
        <f>IF($A139="","",INDEX('05_KAIS'!$D:$D,$A139))</f>
        <v/>
      </c>
      <c r="D139">
        <f>IF($A139="","",INDEX('05_KAIS'!$H:$H,$A139))</f>
        <v/>
      </c>
      <c r="E139">
        <f>IF($A139="","",INDEX('05_KAIS'!$K:$K,$A139))</f>
        <v/>
      </c>
      <c r="F139" s="202">
        <f>IF($A139="","",INDEX('05_KAIS'!$I:$I,$A139))</f>
        <v/>
      </c>
      <c r="G139" s="118">
        <f>IF($A139="","",INDEX('05_KAIS'!$L:$L,$A139))</f>
        <v/>
      </c>
      <c r="H139" s="118">
        <f>IF($A139="","",IFERROR(INDEX('05_KAIS'!$M:$M,$A139),IF(AND(E139&gt;0,G139&gt;0),G139/E139,"")))</f>
        <v/>
      </c>
      <c r="I139" s="202">
        <f>IF($A139="","",INDEX('05_KAIS'!$N:$N,$A139))</f>
        <v/>
      </c>
      <c r="J139">
        <f>IF(B139="","",IF('02_대상물건입력'!$B$5="",1,IF(ISNUMBER(SEARCH('02_대상물건입력'!$B$5,B139)),1,0)))</f>
        <v/>
      </c>
      <c r="K139">
        <f>IF(B139="","",IF('02_대상물건입력'!$B$6="",1,IF(ISNUMBER(SEARCH('02_대상물건입력'!$B$6,B139)),1,0)))</f>
        <v/>
      </c>
      <c r="L139">
        <f>IF(D139="","",IF('02_대상물건입력'!$B$8="",0,IF(ISNUMBER(SEARCH('02_대상물건입력'!$B$8,D139)),1,0)))</f>
        <v/>
      </c>
      <c r="M139">
        <f>IFERROR(ABS(E139-'02_대상물건입력'!$B$11)/'02_대상물건입력'!$B$11,"")</f>
        <v/>
      </c>
      <c r="N139">
        <f>IFERROR(ABS('01_설정'!$B$4-F139),"")</f>
        <v/>
      </c>
      <c r="O139">
        <f>IFERROR(ABS(YEAR(I139)-YEAR('02_대상물건입력'!$B$14)),"")</f>
        <v/>
      </c>
      <c r="P139">
        <f>IF(AND(E139&gt;0,F139&gt;0,G139&gt;0,IF('01_설정'!$B$10=1,J139=1,TRUE()),M139&lt;='01_설정'!$B$5,N139&lt;='01_설정'!$B$7,O139&lt;='01_설정'!$B$8),"Y","")</f>
        <v/>
      </c>
      <c r="Q139">
        <f>IF(P139&lt;&gt;"Y","",MAX(0,(1-M139/'01_설정'!$B$5))*'01_설정'!$B$14+MAX(0,(1-N139/'01_설정'!$B$7))*'01_설정'!$B$16+MAX(0,(1-O139/'01_설정'!$B$8))*'01_설정'!$B$17+K139*'01_설정'!$B$11+L139*'01_설정'!$B$12)</f>
        <v/>
      </c>
      <c r="R139">
        <f>IF(Q139="","",1+COUNTIFS($Q$31:$Q$1030,"&gt;"&amp;Q139)+COUNTIFS($Q$31:Q139,Q139)-1)</f>
        <v/>
      </c>
    </row>
    <row r="140" hidden="1" ht="16.5" customHeight="1">
      <c r="A140">
        <f>IF(COUNTA('05_KAIS'!$A128:$N128)=0,"",113)</f>
        <v/>
      </c>
      <c r="B140">
        <f>IF($A140="","",TRIM(INDEX('05_KAIS'!$B:$B,$A140)&amp;" "&amp;INDEX('05_KAIS'!$C:$C,$A140)))</f>
        <v/>
      </c>
      <c r="C140">
        <f>IF($A140="","",INDEX('05_KAIS'!$D:$D,$A140))</f>
        <v/>
      </c>
      <c r="D140">
        <f>IF($A140="","",INDEX('05_KAIS'!$H:$H,$A140))</f>
        <v/>
      </c>
      <c r="E140">
        <f>IF($A140="","",INDEX('05_KAIS'!$K:$K,$A140))</f>
        <v/>
      </c>
      <c r="F140" s="202">
        <f>IF($A140="","",INDEX('05_KAIS'!$I:$I,$A140))</f>
        <v/>
      </c>
      <c r="G140" s="118">
        <f>IF($A140="","",INDEX('05_KAIS'!$L:$L,$A140))</f>
        <v/>
      </c>
      <c r="H140" s="118">
        <f>IF($A140="","",IFERROR(INDEX('05_KAIS'!$M:$M,$A140),IF(AND(E140&gt;0,G140&gt;0),G140/E140,"")))</f>
        <v/>
      </c>
      <c r="I140" s="202">
        <f>IF($A140="","",INDEX('05_KAIS'!$N:$N,$A140))</f>
        <v/>
      </c>
      <c r="J140">
        <f>IF(B140="","",IF('02_대상물건입력'!$B$5="",1,IF(ISNUMBER(SEARCH('02_대상물건입력'!$B$5,B140)),1,0)))</f>
        <v/>
      </c>
      <c r="K140">
        <f>IF(B140="","",IF('02_대상물건입력'!$B$6="",1,IF(ISNUMBER(SEARCH('02_대상물건입력'!$B$6,B140)),1,0)))</f>
        <v/>
      </c>
      <c r="L140">
        <f>IF(D140="","",IF('02_대상물건입력'!$B$8="",0,IF(ISNUMBER(SEARCH('02_대상물건입력'!$B$8,D140)),1,0)))</f>
        <v/>
      </c>
      <c r="M140">
        <f>IFERROR(ABS(E140-'02_대상물건입력'!$B$11)/'02_대상물건입력'!$B$11,"")</f>
        <v/>
      </c>
      <c r="N140">
        <f>IFERROR(ABS('01_설정'!$B$4-F140),"")</f>
        <v/>
      </c>
      <c r="O140">
        <f>IFERROR(ABS(YEAR(I140)-YEAR('02_대상물건입력'!$B$14)),"")</f>
        <v/>
      </c>
      <c r="P140">
        <f>IF(AND(E140&gt;0,F140&gt;0,G140&gt;0,IF('01_설정'!$B$10=1,J140=1,TRUE()),M140&lt;='01_설정'!$B$5,N140&lt;='01_설정'!$B$7,O140&lt;='01_설정'!$B$8),"Y","")</f>
        <v/>
      </c>
      <c r="Q140">
        <f>IF(P140&lt;&gt;"Y","",MAX(0,(1-M140/'01_설정'!$B$5))*'01_설정'!$B$14+MAX(0,(1-N140/'01_설정'!$B$7))*'01_설정'!$B$16+MAX(0,(1-O140/'01_설정'!$B$8))*'01_설정'!$B$17+K140*'01_설정'!$B$11+L140*'01_설정'!$B$12)</f>
        <v/>
      </c>
      <c r="R140">
        <f>IF(Q140="","",1+COUNTIFS($Q$31:$Q$1030,"&gt;"&amp;Q140)+COUNTIFS($Q$31:Q140,Q140)-1)</f>
        <v/>
      </c>
    </row>
    <row r="141" hidden="1" ht="16.5" customHeight="1">
      <c r="A141">
        <f>IF(COUNTA('05_KAIS'!$A129:$N129)=0,"",114)</f>
        <v/>
      </c>
      <c r="B141">
        <f>IF($A141="","",TRIM(INDEX('05_KAIS'!$B:$B,$A141)&amp;" "&amp;INDEX('05_KAIS'!$C:$C,$A141)))</f>
        <v/>
      </c>
      <c r="C141">
        <f>IF($A141="","",INDEX('05_KAIS'!$D:$D,$A141))</f>
        <v/>
      </c>
      <c r="D141">
        <f>IF($A141="","",INDEX('05_KAIS'!$H:$H,$A141))</f>
        <v/>
      </c>
      <c r="E141">
        <f>IF($A141="","",INDEX('05_KAIS'!$K:$K,$A141))</f>
        <v/>
      </c>
      <c r="F141" s="202">
        <f>IF($A141="","",INDEX('05_KAIS'!$I:$I,$A141))</f>
        <v/>
      </c>
      <c r="G141" s="118">
        <f>IF($A141="","",INDEX('05_KAIS'!$L:$L,$A141))</f>
        <v/>
      </c>
      <c r="H141" s="118">
        <f>IF($A141="","",IFERROR(INDEX('05_KAIS'!$M:$M,$A141),IF(AND(E141&gt;0,G141&gt;0),G141/E141,"")))</f>
        <v/>
      </c>
      <c r="I141" s="202">
        <f>IF($A141="","",INDEX('05_KAIS'!$N:$N,$A141))</f>
        <v/>
      </c>
      <c r="J141">
        <f>IF(B141="","",IF('02_대상물건입력'!$B$5="",1,IF(ISNUMBER(SEARCH('02_대상물건입력'!$B$5,B141)),1,0)))</f>
        <v/>
      </c>
      <c r="K141">
        <f>IF(B141="","",IF('02_대상물건입력'!$B$6="",1,IF(ISNUMBER(SEARCH('02_대상물건입력'!$B$6,B141)),1,0)))</f>
        <v/>
      </c>
      <c r="L141">
        <f>IF(D141="","",IF('02_대상물건입력'!$B$8="",0,IF(ISNUMBER(SEARCH('02_대상물건입력'!$B$8,D141)),1,0)))</f>
        <v/>
      </c>
      <c r="M141">
        <f>IFERROR(ABS(E141-'02_대상물건입력'!$B$11)/'02_대상물건입력'!$B$11,"")</f>
        <v/>
      </c>
      <c r="N141">
        <f>IFERROR(ABS('01_설정'!$B$4-F141),"")</f>
        <v/>
      </c>
      <c r="O141">
        <f>IFERROR(ABS(YEAR(I141)-YEAR('02_대상물건입력'!$B$14)),"")</f>
        <v/>
      </c>
      <c r="P141">
        <f>IF(AND(E141&gt;0,F141&gt;0,G141&gt;0,IF('01_설정'!$B$10=1,J141=1,TRUE()),M141&lt;='01_설정'!$B$5,N141&lt;='01_설정'!$B$7,O141&lt;='01_설정'!$B$8),"Y","")</f>
        <v/>
      </c>
      <c r="Q141">
        <f>IF(P141&lt;&gt;"Y","",MAX(0,(1-M141/'01_설정'!$B$5))*'01_설정'!$B$14+MAX(0,(1-N141/'01_설정'!$B$7))*'01_설정'!$B$16+MAX(0,(1-O141/'01_설정'!$B$8))*'01_설정'!$B$17+K141*'01_설정'!$B$11+L141*'01_설정'!$B$12)</f>
        <v/>
      </c>
      <c r="R141">
        <f>IF(Q141="","",1+COUNTIFS($Q$31:$Q$1030,"&gt;"&amp;Q141)+COUNTIFS($Q$31:Q141,Q141)-1)</f>
        <v/>
      </c>
    </row>
    <row r="142" hidden="1" ht="16.5" customHeight="1">
      <c r="A142">
        <f>IF(COUNTA('05_KAIS'!$A130:$N130)=0,"",115)</f>
        <v/>
      </c>
      <c r="B142">
        <f>IF($A142="","",TRIM(INDEX('05_KAIS'!$B:$B,$A142)&amp;" "&amp;INDEX('05_KAIS'!$C:$C,$A142)))</f>
        <v/>
      </c>
      <c r="C142">
        <f>IF($A142="","",INDEX('05_KAIS'!$D:$D,$A142))</f>
        <v/>
      </c>
      <c r="D142">
        <f>IF($A142="","",INDEX('05_KAIS'!$H:$H,$A142))</f>
        <v/>
      </c>
      <c r="E142">
        <f>IF($A142="","",INDEX('05_KAIS'!$K:$K,$A142))</f>
        <v/>
      </c>
      <c r="F142" s="202">
        <f>IF($A142="","",INDEX('05_KAIS'!$I:$I,$A142))</f>
        <v/>
      </c>
      <c r="G142" s="118">
        <f>IF($A142="","",INDEX('05_KAIS'!$L:$L,$A142))</f>
        <v/>
      </c>
      <c r="H142" s="118">
        <f>IF($A142="","",IFERROR(INDEX('05_KAIS'!$M:$M,$A142),IF(AND(E142&gt;0,G142&gt;0),G142/E142,"")))</f>
        <v/>
      </c>
      <c r="I142" s="202">
        <f>IF($A142="","",INDEX('05_KAIS'!$N:$N,$A142))</f>
        <v/>
      </c>
      <c r="J142">
        <f>IF(B142="","",IF('02_대상물건입력'!$B$5="",1,IF(ISNUMBER(SEARCH('02_대상물건입력'!$B$5,B142)),1,0)))</f>
        <v/>
      </c>
      <c r="K142">
        <f>IF(B142="","",IF('02_대상물건입력'!$B$6="",1,IF(ISNUMBER(SEARCH('02_대상물건입력'!$B$6,B142)),1,0)))</f>
        <v/>
      </c>
      <c r="L142">
        <f>IF(D142="","",IF('02_대상물건입력'!$B$8="",0,IF(ISNUMBER(SEARCH('02_대상물건입력'!$B$8,D142)),1,0)))</f>
        <v/>
      </c>
      <c r="M142">
        <f>IFERROR(ABS(E142-'02_대상물건입력'!$B$11)/'02_대상물건입력'!$B$11,"")</f>
        <v/>
      </c>
      <c r="N142">
        <f>IFERROR(ABS('01_설정'!$B$4-F142),"")</f>
        <v/>
      </c>
      <c r="O142">
        <f>IFERROR(ABS(YEAR(I142)-YEAR('02_대상물건입력'!$B$14)),"")</f>
        <v/>
      </c>
      <c r="P142">
        <f>IF(AND(E142&gt;0,F142&gt;0,G142&gt;0,IF('01_설정'!$B$10=1,J142=1,TRUE()),M142&lt;='01_설정'!$B$5,N142&lt;='01_설정'!$B$7,O142&lt;='01_설정'!$B$8),"Y","")</f>
        <v/>
      </c>
      <c r="Q142">
        <f>IF(P142&lt;&gt;"Y","",MAX(0,(1-M142/'01_설정'!$B$5))*'01_설정'!$B$14+MAX(0,(1-N142/'01_설정'!$B$7))*'01_설정'!$B$16+MAX(0,(1-O142/'01_설정'!$B$8))*'01_설정'!$B$17+K142*'01_설정'!$B$11+L142*'01_설정'!$B$12)</f>
        <v/>
      </c>
      <c r="R142">
        <f>IF(Q142="","",1+COUNTIFS($Q$31:$Q$1030,"&gt;"&amp;Q142)+COUNTIFS($Q$31:Q142,Q142)-1)</f>
        <v/>
      </c>
    </row>
    <row r="143" hidden="1" ht="16.5" customHeight="1">
      <c r="A143">
        <f>IF(COUNTA('05_KAIS'!$A131:$N131)=0,"",116)</f>
        <v/>
      </c>
      <c r="B143">
        <f>IF($A143="","",TRIM(INDEX('05_KAIS'!$B:$B,$A143)&amp;" "&amp;INDEX('05_KAIS'!$C:$C,$A143)))</f>
        <v/>
      </c>
      <c r="C143">
        <f>IF($A143="","",INDEX('05_KAIS'!$D:$D,$A143))</f>
        <v/>
      </c>
      <c r="D143">
        <f>IF($A143="","",INDEX('05_KAIS'!$H:$H,$A143))</f>
        <v/>
      </c>
      <c r="E143">
        <f>IF($A143="","",INDEX('05_KAIS'!$K:$K,$A143))</f>
        <v/>
      </c>
      <c r="F143" s="202">
        <f>IF($A143="","",INDEX('05_KAIS'!$I:$I,$A143))</f>
        <v/>
      </c>
      <c r="G143" s="118">
        <f>IF($A143="","",INDEX('05_KAIS'!$L:$L,$A143))</f>
        <v/>
      </c>
      <c r="H143" s="118">
        <f>IF($A143="","",IFERROR(INDEX('05_KAIS'!$M:$M,$A143),IF(AND(E143&gt;0,G143&gt;0),G143/E143,"")))</f>
        <v/>
      </c>
      <c r="I143" s="202">
        <f>IF($A143="","",INDEX('05_KAIS'!$N:$N,$A143))</f>
        <v/>
      </c>
      <c r="J143">
        <f>IF(B143="","",IF('02_대상물건입력'!$B$5="",1,IF(ISNUMBER(SEARCH('02_대상물건입력'!$B$5,B143)),1,0)))</f>
        <v/>
      </c>
      <c r="K143">
        <f>IF(B143="","",IF('02_대상물건입력'!$B$6="",1,IF(ISNUMBER(SEARCH('02_대상물건입력'!$B$6,B143)),1,0)))</f>
        <v/>
      </c>
      <c r="L143">
        <f>IF(D143="","",IF('02_대상물건입력'!$B$8="",0,IF(ISNUMBER(SEARCH('02_대상물건입력'!$B$8,D143)),1,0)))</f>
        <v/>
      </c>
      <c r="M143">
        <f>IFERROR(ABS(E143-'02_대상물건입력'!$B$11)/'02_대상물건입력'!$B$11,"")</f>
        <v/>
      </c>
      <c r="N143">
        <f>IFERROR(ABS('01_설정'!$B$4-F143),"")</f>
        <v/>
      </c>
      <c r="O143">
        <f>IFERROR(ABS(YEAR(I143)-YEAR('02_대상물건입력'!$B$14)),"")</f>
        <v/>
      </c>
      <c r="P143">
        <f>IF(AND(E143&gt;0,F143&gt;0,G143&gt;0,IF('01_설정'!$B$10=1,J143=1,TRUE()),M143&lt;='01_설정'!$B$5,N143&lt;='01_설정'!$B$7,O143&lt;='01_설정'!$B$8),"Y","")</f>
        <v/>
      </c>
      <c r="Q143">
        <f>IF(P143&lt;&gt;"Y","",MAX(0,(1-M143/'01_설정'!$B$5))*'01_설정'!$B$14+MAX(0,(1-N143/'01_설정'!$B$7))*'01_설정'!$B$16+MAX(0,(1-O143/'01_설정'!$B$8))*'01_설정'!$B$17+K143*'01_설정'!$B$11+L143*'01_설정'!$B$12)</f>
        <v/>
      </c>
      <c r="R143">
        <f>IF(Q143="","",1+COUNTIFS($Q$31:$Q$1030,"&gt;"&amp;Q143)+COUNTIFS($Q$31:Q143,Q143)-1)</f>
        <v/>
      </c>
    </row>
    <row r="144" hidden="1" ht="16.5" customHeight="1">
      <c r="A144">
        <f>IF(COUNTA('05_KAIS'!$A132:$N132)=0,"",117)</f>
        <v/>
      </c>
      <c r="B144">
        <f>IF($A144="","",TRIM(INDEX('05_KAIS'!$B:$B,$A144)&amp;" "&amp;INDEX('05_KAIS'!$C:$C,$A144)))</f>
        <v/>
      </c>
      <c r="C144">
        <f>IF($A144="","",INDEX('05_KAIS'!$D:$D,$A144))</f>
        <v/>
      </c>
      <c r="D144">
        <f>IF($A144="","",INDEX('05_KAIS'!$H:$H,$A144))</f>
        <v/>
      </c>
      <c r="E144">
        <f>IF($A144="","",INDEX('05_KAIS'!$K:$K,$A144))</f>
        <v/>
      </c>
      <c r="F144" s="202">
        <f>IF($A144="","",INDEX('05_KAIS'!$I:$I,$A144))</f>
        <v/>
      </c>
      <c r="G144" s="118">
        <f>IF($A144="","",INDEX('05_KAIS'!$L:$L,$A144))</f>
        <v/>
      </c>
      <c r="H144" s="118">
        <f>IF($A144="","",IFERROR(INDEX('05_KAIS'!$M:$M,$A144),IF(AND(E144&gt;0,G144&gt;0),G144/E144,"")))</f>
        <v/>
      </c>
      <c r="I144" s="202">
        <f>IF($A144="","",INDEX('05_KAIS'!$N:$N,$A144))</f>
        <v/>
      </c>
      <c r="J144">
        <f>IF(B144="","",IF('02_대상물건입력'!$B$5="",1,IF(ISNUMBER(SEARCH('02_대상물건입력'!$B$5,B144)),1,0)))</f>
        <v/>
      </c>
      <c r="K144">
        <f>IF(B144="","",IF('02_대상물건입력'!$B$6="",1,IF(ISNUMBER(SEARCH('02_대상물건입력'!$B$6,B144)),1,0)))</f>
        <v/>
      </c>
      <c r="L144">
        <f>IF(D144="","",IF('02_대상물건입력'!$B$8="",0,IF(ISNUMBER(SEARCH('02_대상물건입력'!$B$8,D144)),1,0)))</f>
        <v/>
      </c>
      <c r="M144">
        <f>IFERROR(ABS(E144-'02_대상물건입력'!$B$11)/'02_대상물건입력'!$B$11,"")</f>
        <v/>
      </c>
      <c r="N144">
        <f>IFERROR(ABS('01_설정'!$B$4-F144),"")</f>
        <v/>
      </c>
      <c r="O144">
        <f>IFERROR(ABS(YEAR(I144)-YEAR('02_대상물건입력'!$B$14)),"")</f>
        <v/>
      </c>
      <c r="P144">
        <f>IF(AND(E144&gt;0,F144&gt;0,G144&gt;0,IF('01_설정'!$B$10=1,J144=1,TRUE()),M144&lt;='01_설정'!$B$5,N144&lt;='01_설정'!$B$7,O144&lt;='01_설정'!$B$8),"Y","")</f>
        <v/>
      </c>
      <c r="Q144">
        <f>IF(P144&lt;&gt;"Y","",MAX(0,(1-M144/'01_설정'!$B$5))*'01_설정'!$B$14+MAX(0,(1-N144/'01_설정'!$B$7))*'01_설정'!$B$16+MAX(0,(1-O144/'01_설정'!$B$8))*'01_설정'!$B$17+K144*'01_설정'!$B$11+L144*'01_설정'!$B$12)</f>
        <v/>
      </c>
      <c r="R144">
        <f>IF(Q144="","",1+COUNTIFS($Q$31:$Q$1030,"&gt;"&amp;Q144)+COUNTIFS($Q$31:Q144,Q144)-1)</f>
        <v/>
      </c>
    </row>
    <row r="145" hidden="1" ht="16.5" customHeight="1">
      <c r="A145">
        <f>IF(COUNTA('05_KAIS'!$A133:$N133)=0,"",118)</f>
        <v/>
      </c>
      <c r="B145">
        <f>IF($A145="","",TRIM(INDEX('05_KAIS'!$B:$B,$A145)&amp;" "&amp;INDEX('05_KAIS'!$C:$C,$A145)))</f>
        <v/>
      </c>
      <c r="C145">
        <f>IF($A145="","",INDEX('05_KAIS'!$D:$D,$A145))</f>
        <v/>
      </c>
      <c r="D145">
        <f>IF($A145="","",INDEX('05_KAIS'!$H:$H,$A145))</f>
        <v/>
      </c>
      <c r="E145">
        <f>IF($A145="","",INDEX('05_KAIS'!$K:$K,$A145))</f>
        <v/>
      </c>
      <c r="F145" s="202">
        <f>IF($A145="","",INDEX('05_KAIS'!$I:$I,$A145))</f>
        <v/>
      </c>
      <c r="G145" s="118">
        <f>IF($A145="","",INDEX('05_KAIS'!$L:$L,$A145))</f>
        <v/>
      </c>
      <c r="H145" s="118">
        <f>IF($A145="","",IFERROR(INDEX('05_KAIS'!$M:$M,$A145),IF(AND(E145&gt;0,G145&gt;0),G145/E145,"")))</f>
        <v/>
      </c>
      <c r="I145" s="202">
        <f>IF($A145="","",INDEX('05_KAIS'!$N:$N,$A145))</f>
        <v/>
      </c>
      <c r="J145">
        <f>IF(B145="","",IF('02_대상물건입력'!$B$5="",1,IF(ISNUMBER(SEARCH('02_대상물건입력'!$B$5,B145)),1,0)))</f>
        <v/>
      </c>
      <c r="K145">
        <f>IF(B145="","",IF('02_대상물건입력'!$B$6="",1,IF(ISNUMBER(SEARCH('02_대상물건입력'!$B$6,B145)),1,0)))</f>
        <v/>
      </c>
      <c r="L145">
        <f>IF(D145="","",IF('02_대상물건입력'!$B$8="",0,IF(ISNUMBER(SEARCH('02_대상물건입력'!$B$8,D145)),1,0)))</f>
        <v/>
      </c>
      <c r="M145">
        <f>IFERROR(ABS(E145-'02_대상물건입력'!$B$11)/'02_대상물건입력'!$B$11,"")</f>
        <v/>
      </c>
      <c r="N145">
        <f>IFERROR(ABS('01_설정'!$B$4-F145),"")</f>
        <v/>
      </c>
      <c r="O145">
        <f>IFERROR(ABS(YEAR(I145)-YEAR('02_대상물건입력'!$B$14)),"")</f>
        <v/>
      </c>
      <c r="P145">
        <f>IF(AND(E145&gt;0,F145&gt;0,G145&gt;0,IF('01_설정'!$B$10=1,J145=1,TRUE()),M145&lt;='01_설정'!$B$5,N145&lt;='01_설정'!$B$7,O145&lt;='01_설정'!$B$8),"Y","")</f>
        <v/>
      </c>
      <c r="Q145">
        <f>IF(P145&lt;&gt;"Y","",MAX(0,(1-M145/'01_설정'!$B$5))*'01_설정'!$B$14+MAX(0,(1-N145/'01_설정'!$B$7))*'01_설정'!$B$16+MAX(0,(1-O145/'01_설정'!$B$8))*'01_설정'!$B$17+K145*'01_설정'!$B$11+L145*'01_설정'!$B$12)</f>
        <v/>
      </c>
      <c r="R145">
        <f>IF(Q145="","",1+COUNTIFS($Q$31:$Q$1030,"&gt;"&amp;Q145)+COUNTIFS($Q$31:Q145,Q145)-1)</f>
        <v/>
      </c>
    </row>
    <row r="146" hidden="1" ht="16.5" customHeight="1">
      <c r="A146">
        <f>IF(COUNTA('05_KAIS'!$A134:$N134)=0,"",119)</f>
        <v/>
      </c>
      <c r="B146">
        <f>IF($A146="","",TRIM(INDEX('05_KAIS'!$B:$B,$A146)&amp;" "&amp;INDEX('05_KAIS'!$C:$C,$A146)))</f>
        <v/>
      </c>
      <c r="C146">
        <f>IF($A146="","",INDEX('05_KAIS'!$D:$D,$A146))</f>
        <v/>
      </c>
      <c r="D146">
        <f>IF($A146="","",INDEX('05_KAIS'!$H:$H,$A146))</f>
        <v/>
      </c>
      <c r="E146">
        <f>IF($A146="","",INDEX('05_KAIS'!$K:$K,$A146))</f>
        <v/>
      </c>
      <c r="F146" s="202">
        <f>IF($A146="","",INDEX('05_KAIS'!$I:$I,$A146))</f>
        <v/>
      </c>
      <c r="G146" s="118">
        <f>IF($A146="","",INDEX('05_KAIS'!$L:$L,$A146))</f>
        <v/>
      </c>
      <c r="H146" s="118">
        <f>IF($A146="","",IFERROR(INDEX('05_KAIS'!$M:$M,$A146),IF(AND(E146&gt;0,G146&gt;0),G146/E146,"")))</f>
        <v/>
      </c>
      <c r="I146" s="202">
        <f>IF($A146="","",INDEX('05_KAIS'!$N:$N,$A146))</f>
        <v/>
      </c>
      <c r="J146">
        <f>IF(B146="","",IF('02_대상물건입력'!$B$5="",1,IF(ISNUMBER(SEARCH('02_대상물건입력'!$B$5,B146)),1,0)))</f>
        <v/>
      </c>
      <c r="K146">
        <f>IF(B146="","",IF('02_대상물건입력'!$B$6="",1,IF(ISNUMBER(SEARCH('02_대상물건입력'!$B$6,B146)),1,0)))</f>
        <v/>
      </c>
      <c r="L146">
        <f>IF(D146="","",IF('02_대상물건입력'!$B$8="",0,IF(ISNUMBER(SEARCH('02_대상물건입력'!$B$8,D146)),1,0)))</f>
        <v/>
      </c>
      <c r="M146">
        <f>IFERROR(ABS(E146-'02_대상물건입력'!$B$11)/'02_대상물건입력'!$B$11,"")</f>
        <v/>
      </c>
      <c r="N146">
        <f>IFERROR(ABS('01_설정'!$B$4-F146),"")</f>
        <v/>
      </c>
      <c r="O146">
        <f>IFERROR(ABS(YEAR(I146)-YEAR('02_대상물건입력'!$B$14)),"")</f>
        <v/>
      </c>
      <c r="P146">
        <f>IF(AND(E146&gt;0,F146&gt;0,G146&gt;0,IF('01_설정'!$B$10=1,J146=1,TRUE()),M146&lt;='01_설정'!$B$5,N146&lt;='01_설정'!$B$7,O146&lt;='01_설정'!$B$8),"Y","")</f>
        <v/>
      </c>
      <c r="Q146">
        <f>IF(P146&lt;&gt;"Y","",MAX(0,(1-M146/'01_설정'!$B$5))*'01_설정'!$B$14+MAX(0,(1-N146/'01_설정'!$B$7))*'01_설정'!$B$16+MAX(0,(1-O146/'01_설정'!$B$8))*'01_설정'!$B$17+K146*'01_설정'!$B$11+L146*'01_설정'!$B$12)</f>
        <v/>
      </c>
      <c r="R146">
        <f>IF(Q146="","",1+COUNTIFS($Q$31:$Q$1030,"&gt;"&amp;Q146)+COUNTIFS($Q$31:Q146,Q146)-1)</f>
        <v/>
      </c>
    </row>
    <row r="147" hidden="1" ht="16.5" customHeight="1">
      <c r="A147">
        <f>IF(COUNTA('05_KAIS'!$A135:$N135)=0,"",120)</f>
        <v/>
      </c>
      <c r="B147">
        <f>IF($A147="","",TRIM(INDEX('05_KAIS'!$B:$B,$A147)&amp;" "&amp;INDEX('05_KAIS'!$C:$C,$A147)))</f>
        <v/>
      </c>
      <c r="C147">
        <f>IF($A147="","",INDEX('05_KAIS'!$D:$D,$A147))</f>
        <v/>
      </c>
      <c r="D147">
        <f>IF($A147="","",INDEX('05_KAIS'!$H:$H,$A147))</f>
        <v/>
      </c>
      <c r="E147">
        <f>IF($A147="","",INDEX('05_KAIS'!$K:$K,$A147))</f>
        <v/>
      </c>
      <c r="F147" s="202">
        <f>IF($A147="","",INDEX('05_KAIS'!$I:$I,$A147))</f>
        <v/>
      </c>
      <c r="G147" s="118">
        <f>IF($A147="","",INDEX('05_KAIS'!$L:$L,$A147))</f>
        <v/>
      </c>
      <c r="H147" s="118">
        <f>IF($A147="","",IFERROR(INDEX('05_KAIS'!$M:$M,$A147),IF(AND(E147&gt;0,G147&gt;0),G147/E147,"")))</f>
        <v/>
      </c>
      <c r="I147" s="202">
        <f>IF($A147="","",INDEX('05_KAIS'!$N:$N,$A147))</f>
        <v/>
      </c>
      <c r="J147">
        <f>IF(B147="","",IF('02_대상물건입력'!$B$5="",1,IF(ISNUMBER(SEARCH('02_대상물건입력'!$B$5,B147)),1,0)))</f>
        <v/>
      </c>
      <c r="K147">
        <f>IF(B147="","",IF('02_대상물건입력'!$B$6="",1,IF(ISNUMBER(SEARCH('02_대상물건입력'!$B$6,B147)),1,0)))</f>
        <v/>
      </c>
      <c r="L147">
        <f>IF(D147="","",IF('02_대상물건입력'!$B$8="",0,IF(ISNUMBER(SEARCH('02_대상물건입력'!$B$8,D147)),1,0)))</f>
        <v/>
      </c>
      <c r="M147">
        <f>IFERROR(ABS(E147-'02_대상물건입력'!$B$11)/'02_대상물건입력'!$B$11,"")</f>
        <v/>
      </c>
      <c r="N147">
        <f>IFERROR(ABS('01_설정'!$B$4-F147),"")</f>
        <v/>
      </c>
      <c r="O147">
        <f>IFERROR(ABS(YEAR(I147)-YEAR('02_대상물건입력'!$B$14)),"")</f>
        <v/>
      </c>
      <c r="P147">
        <f>IF(AND(E147&gt;0,F147&gt;0,G147&gt;0,IF('01_설정'!$B$10=1,J147=1,TRUE()),M147&lt;='01_설정'!$B$5,N147&lt;='01_설정'!$B$7,O147&lt;='01_설정'!$B$8),"Y","")</f>
        <v/>
      </c>
      <c r="Q147">
        <f>IF(P147&lt;&gt;"Y","",MAX(0,(1-M147/'01_설정'!$B$5))*'01_설정'!$B$14+MAX(0,(1-N147/'01_설정'!$B$7))*'01_설정'!$B$16+MAX(0,(1-O147/'01_설정'!$B$8))*'01_설정'!$B$17+K147*'01_설정'!$B$11+L147*'01_설정'!$B$12)</f>
        <v/>
      </c>
      <c r="R147">
        <f>IF(Q147="","",1+COUNTIFS($Q$31:$Q$1030,"&gt;"&amp;Q147)+COUNTIFS($Q$31:Q147,Q147)-1)</f>
        <v/>
      </c>
    </row>
    <row r="148" hidden="1" ht="16.5" customHeight="1">
      <c r="A148">
        <f>IF(COUNTA('05_KAIS'!$A136:$N136)=0,"",121)</f>
        <v/>
      </c>
      <c r="B148">
        <f>IF($A148="","",TRIM(INDEX('05_KAIS'!$B:$B,$A148)&amp;" "&amp;INDEX('05_KAIS'!$C:$C,$A148)))</f>
        <v/>
      </c>
      <c r="C148">
        <f>IF($A148="","",INDEX('05_KAIS'!$D:$D,$A148))</f>
        <v/>
      </c>
      <c r="D148">
        <f>IF($A148="","",INDEX('05_KAIS'!$H:$H,$A148))</f>
        <v/>
      </c>
      <c r="E148">
        <f>IF($A148="","",INDEX('05_KAIS'!$K:$K,$A148))</f>
        <v/>
      </c>
      <c r="F148" s="202">
        <f>IF($A148="","",INDEX('05_KAIS'!$I:$I,$A148))</f>
        <v/>
      </c>
      <c r="G148" s="118">
        <f>IF($A148="","",INDEX('05_KAIS'!$L:$L,$A148))</f>
        <v/>
      </c>
      <c r="H148" s="118">
        <f>IF($A148="","",IFERROR(INDEX('05_KAIS'!$M:$M,$A148),IF(AND(E148&gt;0,G148&gt;0),G148/E148,"")))</f>
        <v/>
      </c>
      <c r="I148" s="202">
        <f>IF($A148="","",INDEX('05_KAIS'!$N:$N,$A148))</f>
        <v/>
      </c>
      <c r="J148">
        <f>IF(B148="","",IF('02_대상물건입력'!$B$5="",1,IF(ISNUMBER(SEARCH('02_대상물건입력'!$B$5,B148)),1,0)))</f>
        <v/>
      </c>
      <c r="K148">
        <f>IF(B148="","",IF('02_대상물건입력'!$B$6="",1,IF(ISNUMBER(SEARCH('02_대상물건입력'!$B$6,B148)),1,0)))</f>
        <v/>
      </c>
      <c r="L148">
        <f>IF(D148="","",IF('02_대상물건입력'!$B$8="",0,IF(ISNUMBER(SEARCH('02_대상물건입력'!$B$8,D148)),1,0)))</f>
        <v/>
      </c>
      <c r="M148">
        <f>IFERROR(ABS(E148-'02_대상물건입력'!$B$11)/'02_대상물건입력'!$B$11,"")</f>
        <v/>
      </c>
      <c r="N148">
        <f>IFERROR(ABS('01_설정'!$B$4-F148),"")</f>
        <v/>
      </c>
      <c r="O148">
        <f>IFERROR(ABS(YEAR(I148)-YEAR('02_대상물건입력'!$B$14)),"")</f>
        <v/>
      </c>
      <c r="P148">
        <f>IF(AND(E148&gt;0,F148&gt;0,G148&gt;0,IF('01_설정'!$B$10=1,J148=1,TRUE()),M148&lt;='01_설정'!$B$5,N148&lt;='01_설정'!$B$7,O148&lt;='01_설정'!$B$8),"Y","")</f>
        <v/>
      </c>
      <c r="Q148">
        <f>IF(P148&lt;&gt;"Y","",MAX(0,(1-M148/'01_설정'!$B$5))*'01_설정'!$B$14+MAX(0,(1-N148/'01_설정'!$B$7))*'01_설정'!$B$16+MAX(0,(1-O148/'01_설정'!$B$8))*'01_설정'!$B$17+K148*'01_설정'!$B$11+L148*'01_설정'!$B$12)</f>
        <v/>
      </c>
      <c r="R148">
        <f>IF(Q148="","",1+COUNTIFS($Q$31:$Q$1030,"&gt;"&amp;Q148)+COUNTIFS($Q$31:Q148,Q148)-1)</f>
        <v/>
      </c>
    </row>
    <row r="149" hidden="1" ht="16.5" customHeight="1">
      <c r="A149">
        <f>IF(COUNTA('05_KAIS'!$A137:$N137)=0,"",122)</f>
        <v/>
      </c>
      <c r="B149">
        <f>IF($A149="","",TRIM(INDEX('05_KAIS'!$B:$B,$A149)&amp;" "&amp;INDEX('05_KAIS'!$C:$C,$A149)))</f>
        <v/>
      </c>
      <c r="C149">
        <f>IF($A149="","",INDEX('05_KAIS'!$D:$D,$A149))</f>
        <v/>
      </c>
      <c r="D149">
        <f>IF($A149="","",INDEX('05_KAIS'!$H:$H,$A149))</f>
        <v/>
      </c>
      <c r="E149">
        <f>IF($A149="","",INDEX('05_KAIS'!$K:$K,$A149))</f>
        <v/>
      </c>
      <c r="F149" s="202">
        <f>IF($A149="","",INDEX('05_KAIS'!$I:$I,$A149))</f>
        <v/>
      </c>
      <c r="G149" s="118">
        <f>IF($A149="","",INDEX('05_KAIS'!$L:$L,$A149))</f>
        <v/>
      </c>
      <c r="H149" s="118">
        <f>IF($A149="","",IFERROR(INDEX('05_KAIS'!$M:$M,$A149),IF(AND(E149&gt;0,G149&gt;0),G149/E149,"")))</f>
        <v/>
      </c>
      <c r="I149" s="202">
        <f>IF($A149="","",INDEX('05_KAIS'!$N:$N,$A149))</f>
        <v/>
      </c>
      <c r="J149">
        <f>IF(B149="","",IF('02_대상물건입력'!$B$5="",1,IF(ISNUMBER(SEARCH('02_대상물건입력'!$B$5,B149)),1,0)))</f>
        <v/>
      </c>
      <c r="K149">
        <f>IF(B149="","",IF('02_대상물건입력'!$B$6="",1,IF(ISNUMBER(SEARCH('02_대상물건입력'!$B$6,B149)),1,0)))</f>
        <v/>
      </c>
      <c r="L149">
        <f>IF(D149="","",IF('02_대상물건입력'!$B$8="",0,IF(ISNUMBER(SEARCH('02_대상물건입력'!$B$8,D149)),1,0)))</f>
        <v/>
      </c>
      <c r="M149">
        <f>IFERROR(ABS(E149-'02_대상물건입력'!$B$11)/'02_대상물건입력'!$B$11,"")</f>
        <v/>
      </c>
      <c r="N149">
        <f>IFERROR(ABS('01_설정'!$B$4-F149),"")</f>
        <v/>
      </c>
      <c r="O149">
        <f>IFERROR(ABS(YEAR(I149)-YEAR('02_대상물건입력'!$B$14)),"")</f>
        <v/>
      </c>
      <c r="P149">
        <f>IF(AND(E149&gt;0,F149&gt;0,G149&gt;0,IF('01_설정'!$B$10=1,J149=1,TRUE()),M149&lt;='01_설정'!$B$5,N149&lt;='01_설정'!$B$7,O149&lt;='01_설정'!$B$8),"Y","")</f>
        <v/>
      </c>
      <c r="Q149">
        <f>IF(P149&lt;&gt;"Y","",MAX(0,(1-M149/'01_설정'!$B$5))*'01_설정'!$B$14+MAX(0,(1-N149/'01_설정'!$B$7))*'01_설정'!$B$16+MAX(0,(1-O149/'01_설정'!$B$8))*'01_설정'!$B$17+K149*'01_설정'!$B$11+L149*'01_설정'!$B$12)</f>
        <v/>
      </c>
      <c r="R149">
        <f>IF(Q149="","",1+COUNTIFS($Q$31:$Q$1030,"&gt;"&amp;Q149)+COUNTIFS($Q$31:Q149,Q149)-1)</f>
        <v/>
      </c>
    </row>
    <row r="150" hidden="1" ht="16.5" customHeight="1">
      <c r="A150">
        <f>IF(COUNTA('05_KAIS'!$A138:$N138)=0,"",123)</f>
        <v/>
      </c>
      <c r="B150">
        <f>IF($A150="","",TRIM(INDEX('05_KAIS'!$B:$B,$A150)&amp;" "&amp;INDEX('05_KAIS'!$C:$C,$A150)))</f>
        <v/>
      </c>
      <c r="C150">
        <f>IF($A150="","",INDEX('05_KAIS'!$D:$D,$A150))</f>
        <v/>
      </c>
      <c r="D150">
        <f>IF($A150="","",INDEX('05_KAIS'!$H:$H,$A150))</f>
        <v/>
      </c>
      <c r="E150">
        <f>IF($A150="","",INDEX('05_KAIS'!$K:$K,$A150))</f>
        <v/>
      </c>
      <c r="F150" s="202">
        <f>IF($A150="","",INDEX('05_KAIS'!$I:$I,$A150))</f>
        <v/>
      </c>
      <c r="G150" s="118">
        <f>IF($A150="","",INDEX('05_KAIS'!$L:$L,$A150))</f>
        <v/>
      </c>
      <c r="H150" s="118">
        <f>IF($A150="","",IFERROR(INDEX('05_KAIS'!$M:$M,$A150),IF(AND(E150&gt;0,G150&gt;0),G150/E150,"")))</f>
        <v/>
      </c>
      <c r="I150" s="202">
        <f>IF($A150="","",INDEX('05_KAIS'!$N:$N,$A150))</f>
        <v/>
      </c>
      <c r="J150">
        <f>IF(B150="","",IF('02_대상물건입력'!$B$5="",1,IF(ISNUMBER(SEARCH('02_대상물건입력'!$B$5,B150)),1,0)))</f>
        <v/>
      </c>
      <c r="K150">
        <f>IF(B150="","",IF('02_대상물건입력'!$B$6="",1,IF(ISNUMBER(SEARCH('02_대상물건입력'!$B$6,B150)),1,0)))</f>
        <v/>
      </c>
      <c r="L150">
        <f>IF(D150="","",IF('02_대상물건입력'!$B$8="",0,IF(ISNUMBER(SEARCH('02_대상물건입력'!$B$8,D150)),1,0)))</f>
        <v/>
      </c>
      <c r="M150">
        <f>IFERROR(ABS(E150-'02_대상물건입력'!$B$11)/'02_대상물건입력'!$B$11,"")</f>
        <v/>
      </c>
      <c r="N150">
        <f>IFERROR(ABS('01_설정'!$B$4-F150),"")</f>
        <v/>
      </c>
      <c r="O150">
        <f>IFERROR(ABS(YEAR(I150)-YEAR('02_대상물건입력'!$B$14)),"")</f>
        <v/>
      </c>
      <c r="P150">
        <f>IF(AND(E150&gt;0,F150&gt;0,G150&gt;0,IF('01_설정'!$B$10=1,J150=1,TRUE()),M150&lt;='01_설정'!$B$5,N150&lt;='01_설정'!$B$7,O150&lt;='01_설정'!$B$8),"Y","")</f>
        <v/>
      </c>
      <c r="Q150">
        <f>IF(P150&lt;&gt;"Y","",MAX(0,(1-M150/'01_설정'!$B$5))*'01_설정'!$B$14+MAX(0,(1-N150/'01_설정'!$B$7))*'01_설정'!$B$16+MAX(0,(1-O150/'01_설정'!$B$8))*'01_설정'!$B$17+K150*'01_설정'!$B$11+L150*'01_설정'!$B$12)</f>
        <v/>
      </c>
      <c r="R150">
        <f>IF(Q150="","",1+COUNTIFS($Q$31:$Q$1030,"&gt;"&amp;Q150)+COUNTIFS($Q$31:Q150,Q150)-1)</f>
        <v/>
      </c>
    </row>
    <row r="151" hidden="1" ht="16.5" customHeight="1">
      <c r="A151">
        <f>IF(COUNTA('05_KAIS'!$A139:$N139)=0,"",124)</f>
        <v/>
      </c>
      <c r="B151">
        <f>IF($A151="","",TRIM(INDEX('05_KAIS'!$B:$B,$A151)&amp;" "&amp;INDEX('05_KAIS'!$C:$C,$A151)))</f>
        <v/>
      </c>
      <c r="C151">
        <f>IF($A151="","",INDEX('05_KAIS'!$D:$D,$A151))</f>
        <v/>
      </c>
      <c r="D151">
        <f>IF($A151="","",INDEX('05_KAIS'!$H:$H,$A151))</f>
        <v/>
      </c>
      <c r="E151">
        <f>IF($A151="","",INDEX('05_KAIS'!$K:$K,$A151))</f>
        <v/>
      </c>
      <c r="F151" s="202">
        <f>IF($A151="","",INDEX('05_KAIS'!$I:$I,$A151))</f>
        <v/>
      </c>
      <c r="G151" s="118">
        <f>IF($A151="","",INDEX('05_KAIS'!$L:$L,$A151))</f>
        <v/>
      </c>
      <c r="H151" s="118">
        <f>IF($A151="","",IFERROR(INDEX('05_KAIS'!$M:$M,$A151),IF(AND(E151&gt;0,G151&gt;0),G151/E151,"")))</f>
        <v/>
      </c>
      <c r="I151" s="202">
        <f>IF($A151="","",INDEX('05_KAIS'!$N:$N,$A151))</f>
        <v/>
      </c>
      <c r="J151">
        <f>IF(B151="","",IF('02_대상물건입력'!$B$5="",1,IF(ISNUMBER(SEARCH('02_대상물건입력'!$B$5,B151)),1,0)))</f>
        <v/>
      </c>
      <c r="K151">
        <f>IF(B151="","",IF('02_대상물건입력'!$B$6="",1,IF(ISNUMBER(SEARCH('02_대상물건입력'!$B$6,B151)),1,0)))</f>
        <v/>
      </c>
      <c r="L151">
        <f>IF(D151="","",IF('02_대상물건입력'!$B$8="",0,IF(ISNUMBER(SEARCH('02_대상물건입력'!$B$8,D151)),1,0)))</f>
        <v/>
      </c>
      <c r="M151">
        <f>IFERROR(ABS(E151-'02_대상물건입력'!$B$11)/'02_대상물건입력'!$B$11,"")</f>
        <v/>
      </c>
      <c r="N151">
        <f>IFERROR(ABS('01_설정'!$B$4-F151),"")</f>
        <v/>
      </c>
      <c r="O151">
        <f>IFERROR(ABS(YEAR(I151)-YEAR('02_대상물건입력'!$B$14)),"")</f>
        <v/>
      </c>
      <c r="P151">
        <f>IF(AND(E151&gt;0,F151&gt;0,G151&gt;0,IF('01_설정'!$B$10=1,J151=1,TRUE()),M151&lt;='01_설정'!$B$5,N151&lt;='01_설정'!$B$7,O151&lt;='01_설정'!$B$8),"Y","")</f>
        <v/>
      </c>
      <c r="Q151">
        <f>IF(P151&lt;&gt;"Y","",MAX(0,(1-M151/'01_설정'!$B$5))*'01_설정'!$B$14+MAX(0,(1-N151/'01_설정'!$B$7))*'01_설정'!$B$16+MAX(0,(1-O151/'01_설정'!$B$8))*'01_설정'!$B$17+K151*'01_설정'!$B$11+L151*'01_설정'!$B$12)</f>
        <v/>
      </c>
      <c r="R151">
        <f>IF(Q151="","",1+COUNTIFS($Q$31:$Q$1030,"&gt;"&amp;Q151)+COUNTIFS($Q$31:Q151,Q151)-1)</f>
        <v/>
      </c>
    </row>
    <row r="152" hidden="1" ht="16.5" customHeight="1">
      <c r="A152">
        <f>IF(COUNTA('05_KAIS'!$A140:$N140)=0,"",125)</f>
        <v/>
      </c>
      <c r="B152">
        <f>IF($A152="","",TRIM(INDEX('05_KAIS'!$B:$B,$A152)&amp;" "&amp;INDEX('05_KAIS'!$C:$C,$A152)))</f>
        <v/>
      </c>
      <c r="C152">
        <f>IF($A152="","",INDEX('05_KAIS'!$D:$D,$A152))</f>
        <v/>
      </c>
      <c r="D152">
        <f>IF($A152="","",INDEX('05_KAIS'!$H:$H,$A152))</f>
        <v/>
      </c>
      <c r="E152">
        <f>IF($A152="","",INDEX('05_KAIS'!$K:$K,$A152))</f>
        <v/>
      </c>
      <c r="F152" s="202">
        <f>IF($A152="","",INDEX('05_KAIS'!$I:$I,$A152))</f>
        <v/>
      </c>
      <c r="G152" s="118">
        <f>IF($A152="","",INDEX('05_KAIS'!$L:$L,$A152))</f>
        <v/>
      </c>
      <c r="H152" s="118">
        <f>IF($A152="","",IFERROR(INDEX('05_KAIS'!$M:$M,$A152),IF(AND(E152&gt;0,G152&gt;0),G152/E152,"")))</f>
        <v/>
      </c>
      <c r="I152" s="202">
        <f>IF($A152="","",INDEX('05_KAIS'!$N:$N,$A152))</f>
        <v/>
      </c>
      <c r="J152">
        <f>IF(B152="","",IF('02_대상물건입력'!$B$5="",1,IF(ISNUMBER(SEARCH('02_대상물건입력'!$B$5,B152)),1,0)))</f>
        <v/>
      </c>
      <c r="K152">
        <f>IF(B152="","",IF('02_대상물건입력'!$B$6="",1,IF(ISNUMBER(SEARCH('02_대상물건입력'!$B$6,B152)),1,0)))</f>
        <v/>
      </c>
      <c r="L152">
        <f>IF(D152="","",IF('02_대상물건입력'!$B$8="",0,IF(ISNUMBER(SEARCH('02_대상물건입력'!$B$8,D152)),1,0)))</f>
        <v/>
      </c>
      <c r="M152">
        <f>IFERROR(ABS(E152-'02_대상물건입력'!$B$11)/'02_대상물건입력'!$B$11,"")</f>
        <v/>
      </c>
      <c r="N152">
        <f>IFERROR(ABS('01_설정'!$B$4-F152),"")</f>
        <v/>
      </c>
      <c r="O152">
        <f>IFERROR(ABS(YEAR(I152)-YEAR('02_대상물건입력'!$B$14)),"")</f>
        <v/>
      </c>
      <c r="P152">
        <f>IF(AND(E152&gt;0,F152&gt;0,G152&gt;0,IF('01_설정'!$B$10=1,J152=1,TRUE()),M152&lt;='01_설정'!$B$5,N152&lt;='01_설정'!$B$7,O152&lt;='01_설정'!$B$8),"Y","")</f>
        <v/>
      </c>
      <c r="Q152">
        <f>IF(P152&lt;&gt;"Y","",MAX(0,(1-M152/'01_설정'!$B$5))*'01_설정'!$B$14+MAX(0,(1-N152/'01_설정'!$B$7))*'01_설정'!$B$16+MAX(0,(1-O152/'01_설정'!$B$8))*'01_설정'!$B$17+K152*'01_설정'!$B$11+L152*'01_설정'!$B$12)</f>
        <v/>
      </c>
      <c r="R152">
        <f>IF(Q152="","",1+COUNTIFS($Q$31:$Q$1030,"&gt;"&amp;Q152)+COUNTIFS($Q$31:Q152,Q152)-1)</f>
        <v/>
      </c>
    </row>
    <row r="153" hidden="1" ht="16.5" customHeight="1">
      <c r="A153">
        <f>IF(COUNTA('05_KAIS'!$A141:$N141)=0,"",126)</f>
        <v/>
      </c>
      <c r="B153">
        <f>IF($A153="","",TRIM(INDEX('05_KAIS'!$B:$B,$A153)&amp;" "&amp;INDEX('05_KAIS'!$C:$C,$A153)))</f>
        <v/>
      </c>
      <c r="C153">
        <f>IF($A153="","",INDEX('05_KAIS'!$D:$D,$A153))</f>
        <v/>
      </c>
      <c r="D153">
        <f>IF($A153="","",INDEX('05_KAIS'!$H:$H,$A153))</f>
        <v/>
      </c>
      <c r="E153">
        <f>IF($A153="","",INDEX('05_KAIS'!$K:$K,$A153))</f>
        <v/>
      </c>
      <c r="F153" s="202">
        <f>IF($A153="","",INDEX('05_KAIS'!$I:$I,$A153))</f>
        <v/>
      </c>
      <c r="G153" s="118">
        <f>IF($A153="","",INDEX('05_KAIS'!$L:$L,$A153))</f>
        <v/>
      </c>
      <c r="H153" s="118">
        <f>IF($A153="","",IFERROR(INDEX('05_KAIS'!$M:$M,$A153),IF(AND(E153&gt;0,G153&gt;0),G153/E153,"")))</f>
        <v/>
      </c>
      <c r="I153" s="202">
        <f>IF($A153="","",INDEX('05_KAIS'!$N:$N,$A153))</f>
        <v/>
      </c>
      <c r="J153">
        <f>IF(B153="","",IF('02_대상물건입력'!$B$5="",1,IF(ISNUMBER(SEARCH('02_대상물건입력'!$B$5,B153)),1,0)))</f>
        <v/>
      </c>
      <c r="K153">
        <f>IF(B153="","",IF('02_대상물건입력'!$B$6="",1,IF(ISNUMBER(SEARCH('02_대상물건입력'!$B$6,B153)),1,0)))</f>
        <v/>
      </c>
      <c r="L153">
        <f>IF(D153="","",IF('02_대상물건입력'!$B$8="",0,IF(ISNUMBER(SEARCH('02_대상물건입력'!$B$8,D153)),1,0)))</f>
        <v/>
      </c>
      <c r="M153">
        <f>IFERROR(ABS(E153-'02_대상물건입력'!$B$11)/'02_대상물건입력'!$B$11,"")</f>
        <v/>
      </c>
      <c r="N153">
        <f>IFERROR(ABS('01_설정'!$B$4-F153),"")</f>
        <v/>
      </c>
      <c r="O153">
        <f>IFERROR(ABS(YEAR(I153)-YEAR('02_대상물건입력'!$B$14)),"")</f>
        <v/>
      </c>
      <c r="P153">
        <f>IF(AND(E153&gt;0,F153&gt;0,G153&gt;0,IF('01_설정'!$B$10=1,J153=1,TRUE()),M153&lt;='01_설정'!$B$5,N153&lt;='01_설정'!$B$7,O153&lt;='01_설정'!$B$8),"Y","")</f>
        <v/>
      </c>
      <c r="Q153">
        <f>IF(P153&lt;&gt;"Y","",MAX(0,(1-M153/'01_설정'!$B$5))*'01_설정'!$B$14+MAX(0,(1-N153/'01_설정'!$B$7))*'01_설정'!$B$16+MAX(0,(1-O153/'01_설정'!$B$8))*'01_설정'!$B$17+K153*'01_설정'!$B$11+L153*'01_설정'!$B$12)</f>
        <v/>
      </c>
      <c r="R153">
        <f>IF(Q153="","",1+COUNTIFS($Q$31:$Q$1030,"&gt;"&amp;Q153)+COUNTIFS($Q$31:Q153,Q153)-1)</f>
        <v/>
      </c>
    </row>
    <row r="154" hidden="1" ht="16.5" customHeight="1">
      <c r="A154">
        <f>IF(COUNTA('05_KAIS'!$A142:$N142)=0,"",127)</f>
        <v/>
      </c>
      <c r="B154">
        <f>IF($A154="","",TRIM(INDEX('05_KAIS'!$B:$B,$A154)&amp;" "&amp;INDEX('05_KAIS'!$C:$C,$A154)))</f>
        <v/>
      </c>
      <c r="C154">
        <f>IF($A154="","",INDEX('05_KAIS'!$D:$D,$A154))</f>
        <v/>
      </c>
      <c r="D154">
        <f>IF($A154="","",INDEX('05_KAIS'!$H:$H,$A154))</f>
        <v/>
      </c>
      <c r="E154">
        <f>IF($A154="","",INDEX('05_KAIS'!$K:$K,$A154))</f>
        <v/>
      </c>
      <c r="F154" s="202">
        <f>IF($A154="","",INDEX('05_KAIS'!$I:$I,$A154))</f>
        <v/>
      </c>
      <c r="G154" s="118">
        <f>IF($A154="","",INDEX('05_KAIS'!$L:$L,$A154))</f>
        <v/>
      </c>
      <c r="H154" s="118">
        <f>IF($A154="","",IFERROR(INDEX('05_KAIS'!$M:$M,$A154),IF(AND(E154&gt;0,G154&gt;0),G154/E154,"")))</f>
        <v/>
      </c>
      <c r="I154" s="202">
        <f>IF($A154="","",INDEX('05_KAIS'!$N:$N,$A154))</f>
        <v/>
      </c>
      <c r="J154">
        <f>IF(B154="","",IF('02_대상물건입력'!$B$5="",1,IF(ISNUMBER(SEARCH('02_대상물건입력'!$B$5,B154)),1,0)))</f>
        <v/>
      </c>
      <c r="K154">
        <f>IF(B154="","",IF('02_대상물건입력'!$B$6="",1,IF(ISNUMBER(SEARCH('02_대상물건입력'!$B$6,B154)),1,0)))</f>
        <v/>
      </c>
      <c r="L154">
        <f>IF(D154="","",IF('02_대상물건입력'!$B$8="",0,IF(ISNUMBER(SEARCH('02_대상물건입력'!$B$8,D154)),1,0)))</f>
        <v/>
      </c>
      <c r="M154">
        <f>IFERROR(ABS(E154-'02_대상물건입력'!$B$11)/'02_대상물건입력'!$B$11,"")</f>
        <v/>
      </c>
      <c r="N154">
        <f>IFERROR(ABS('01_설정'!$B$4-F154),"")</f>
        <v/>
      </c>
      <c r="O154">
        <f>IFERROR(ABS(YEAR(I154)-YEAR('02_대상물건입력'!$B$14)),"")</f>
        <v/>
      </c>
      <c r="P154">
        <f>IF(AND(E154&gt;0,F154&gt;0,G154&gt;0,IF('01_설정'!$B$10=1,J154=1,TRUE()),M154&lt;='01_설정'!$B$5,N154&lt;='01_설정'!$B$7,O154&lt;='01_설정'!$B$8),"Y","")</f>
        <v/>
      </c>
      <c r="Q154">
        <f>IF(P154&lt;&gt;"Y","",MAX(0,(1-M154/'01_설정'!$B$5))*'01_설정'!$B$14+MAX(0,(1-N154/'01_설정'!$B$7))*'01_설정'!$B$16+MAX(0,(1-O154/'01_설정'!$B$8))*'01_설정'!$B$17+K154*'01_설정'!$B$11+L154*'01_설정'!$B$12)</f>
        <v/>
      </c>
      <c r="R154">
        <f>IF(Q154="","",1+COUNTIFS($Q$31:$Q$1030,"&gt;"&amp;Q154)+COUNTIFS($Q$31:Q154,Q154)-1)</f>
        <v/>
      </c>
    </row>
    <row r="155" hidden="1" ht="16.5" customHeight="1">
      <c r="A155">
        <f>IF(COUNTA('05_KAIS'!$A143:$N143)=0,"",128)</f>
        <v/>
      </c>
      <c r="B155">
        <f>IF($A155="","",TRIM(INDEX('05_KAIS'!$B:$B,$A155)&amp;" "&amp;INDEX('05_KAIS'!$C:$C,$A155)))</f>
        <v/>
      </c>
      <c r="C155">
        <f>IF($A155="","",INDEX('05_KAIS'!$D:$D,$A155))</f>
        <v/>
      </c>
      <c r="D155">
        <f>IF($A155="","",INDEX('05_KAIS'!$H:$H,$A155))</f>
        <v/>
      </c>
      <c r="E155">
        <f>IF($A155="","",INDEX('05_KAIS'!$K:$K,$A155))</f>
        <v/>
      </c>
      <c r="F155" s="202">
        <f>IF($A155="","",INDEX('05_KAIS'!$I:$I,$A155))</f>
        <v/>
      </c>
      <c r="G155" s="118">
        <f>IF($A155="","",INDEX('05_KAIS'!$L:$L,$A155))</f>
        <v/>
      </c>
      <c r="H155" s="118">
        <f>IF($A155="","",IFERROR(INDEX('05_KAIS'!$M:$M,$A155),IF(AND(E155&gt;0,G155&gt;0),G155/E155,"")))</f>
        <v/>
      </c>
      <c r="I155" s="202">
        <f>IF($A155="","",INDEX('05_KAIS'!$N:$N,$A155))</f>
        <v/>
      </c>
      <c r="J155">
        <f>IF(B155="","",IF('02_대상물건입력'!$B$5="",1,IF(ISNUMBER(SEARCH('02_대상물건입력'!$B$5,B155)),1,0)))</f>
        <v/>
      </c>
      <c r="K155">
        <f>IF(B155="","",IF('02_대상물건입력'!$B$6="",1,IF(ISNUMBER(SEARCH('02_대상물건입력'!$B$6,B155)),1,0)))</f>
        <v/>
      </c>
      <c r="L155">
        <f>IF(D155="","",IF('02_대상물건입력'!$B$8="",0,IF(ISNUMBER(SEARCH('02_대상물건입력'!$B$8,D155)),1,0)))</f>
        <v/>
      </c>
      <c r="M155">
        <f>IFERROR(ABS(E155-'02_대상물건입력'!$B$11)/'02_대상물건입력'!$B$11,"")</f>
        <v/>
      </c>
      <c r="N155">
        <f>IFERROR(ABS('01_설정'!$B$4-F155),"")</f>
        <v/>
      </c>
      <c r="O155">
        <f>IFERROR(ABS(YEAR(I155)-YEAR('02_대상물건입력'!$B$14)),"")</f>
        <v/>
      </c>
      <c r="P155">
        <f>IF(AND(E155&gt;0,F155&gt;0,G155&gt;0,IF('01_설정'!$B$10=1,J155=1,TRUE()),M155&lt;='01_설정'!$B$5,N155&lt;='01_설정'!$B$7,O155&lt;='01_설정'!$B$8),"Y","")</f>
        <v/>
      </c>
      <c r="Q155">
        <f>IF(P155&lt;&gt;"Y","",MAX(0,(1-M155/'01_설정'!$B$5))*'01_설정'!$B$14+MAX(0,(1-N155/'01_설정'!$B$7))*'01_설정'!$B$16+MAX(0,(1-O155/'01_설정'!$B$8))*'01_설정'!$B$17+K155*'01_설정'!$B$11+L155*'01_설정'!$B$12)</f>
        <v/>
      </c>
      <c r="R155">
        <f>IF(Q155="","",1+COUNTIFS($Q$31:$Q$1030,"&gt;"&amp;Q155)+COUNTIFS($Q$31:Q155,Q155)-1)</f>
        <v/>
      </c>
    </row>
    <row r="156" hidden="1" ht="16.5" customHeight="1">
      <c r="A156">
        <f>IF(COUNTA('05_KAIS'!$A144:$N144)=0,"",129)</f>
        <v/>
      </c>
      <c r="B156">
        <f>IF($A156="","",TRIM(INDEX('05_KAIS'!$B:$B,$A156)&amp;" "&amp;INDEX('05_KAIS'!$C:$C,$A156)))</f>
        <v/>
      </c>
      <c r="C156">
        <f>IF($A156="","",INDEX('05_KAIS'!$D:$D,$A156))</f>
        <v/>
      </c>
      <c r="D156">
        <f>IF($A156="","",INDEX('05_KAIS'!$H:$H,$A156))</f>
        <v/>
      </c>
      <c r="E156">
        <f>IF($A156="","",INDEX('05_KAIS'!$K:$K,$A156))</f>
        <v/>
      </c>
      <c r="F156" s="202">
        <f>IF($A156="","",INDEX('05_KAIS'!$I:$I,$A156))</f>
        <v/>
      </c>
      <c r="G156" s="118">
        <f>IF($A156="","",INDEX('05_KAIS'!$L:$L,$A156))</f>
        <v/>
      </c>
      <c r="H156" s="118">
        <f>IF($A156="","",IFERROR(INDEX('05_KAIS'!$M:$M,$A156),IF(AND(E156&gt;0,G156&gt;0),G156/E156,"")))</f>
        <v/>
      </c>
      <c r="I156" s="202">
        <f>IF($A156="","",INDEX('05_KAIS'!$N:$N,$A156))</f>
        <v/>
      </c>
      <c r="J156">
        <f>IF(B156="","",IF('02_대상물건입력'!$B$5="",1,IF(ISNUMBER(SEARCH('02_대상물건입력'!$B$5,B156)),1,0)))</f>
        <v/>
      </c>
      <c r="K156">
        <f>IF(B156="","",IF('02_대상물건입력'!$B$6="",1,IF(ISNUMBER(SEARCH('02_대상물건입력'!$B$6,B156)),1,0)))</f>
        <v/>
      </c>
      <c r="L156">
        <f>IF(D156="","",IF('02_대상물건입력'!$B$8="",0,IF(ISNUMBER(SEARCH('02_대상물건입력'!$B$8,D156)),1,0)))</f>
        <v/>
      </c>
      <c r="M156">
        <f>IFERROR(ABS(E156-'02_대상물건입력'!$B$11)/'02_대상물건입력'!$B$11,"")</f>
        <v/>
      </c>
      <c r="N156">
        <f>IFERROR(ABS('01_설정'!$B$4-F156),"")</f>
        <v/>
      </c>
      <c r="O156">
        <f>IFERROR(ABS(YEAR(I156)-YEAR('02_대상물건입력'!$B$14)),"")</f>
        <v/>
      </c>
      <c r="P156">
        <f>IF(AND(E156&gt;0,F156&gt;0,G156&gt;0,IF('01_설정'!$B$10=1,J156=1,TRUE()),M156&lt;='01_설정'!$B$5,N156&lt;='01_설정'!$B$7,O156&lt;='01_설정'!$B$8),"Y","")</f>
        <v/>
      </c>
      <c r="Q156">
        <f>IF(P156&lt;&gt;"Y","",MAX(0,(1-M156/'01_설정'!$B$5))*'01_설정'!$B$14+MAX(0,(1-N156/'01_설정'!$B$7))*'01_설정'!$B$16+MAX(0,(1-O156/'01_설정'!$B$8))*'01_설정'!$B$17+K156*'01_설정'!$B$11+L156*'01_설정'!$B$12)</f>
        <v/>
      </c>
      <c r="R156">
        <f>IF(Q156="","",1+COUNTIFS($Q$31:$Q$1030,"&gt;"&amp;Q156)+COUNTIFS($Q$31:Q156,Q156)-1)</f>
        <v/>
      </c>
    </row>
    <row r="157" hidden="1" ht="16.5" customHeight="1">
      <c r="A157">
        <f>IF(COUNTA('05_KAIS'!$A145:$N145)=0,"",130)</f>
        <v/>
      </c>
      <c r="B157">
        <f>IF($A157="","",TRIM(INDEX('05_KAIS'!$B:$B,$A157)&amp;" "&amp;INDEX('05_KAIS'!$C:$C,$A157)))</f>
        <v/>
      </c>
      <c r="C157">
        <f>IF($A157="","",INDEX('05_KAIS'!$D:$D,$A157))</f>
        <v/>
      </c>
      <c r="D157">
        <f>IF($A157="","",INDEX('05_KAIS'!$H:$H,$A157))</f>
        <v/>
      </c>
      <c r="E157">
        <f>IF($A157="","",INDEX('05_KAIS'!$K:$K,$A157))</f>
        <v/>
      </c>
      <c r="F157" s="202">
        <f>IF($A157="","",INDEX('05_KAIS'!$I:$I,$A157))</f>
        <v/>
      </c>
      <c r="G157" s="118">
        <f>IF($A157="","",INDEX('05_KAIS'!$L:$L,$A157))</f>
        <v/>
      </c>
      <c r="H157" s="118">
        <f>IF($A157="","",IFERROR(INDEX('05_KAIS'!$M:$M,$A157),IF(AND(E157&gt;0,G157&gt;0),G157/E157,"")))</f>
        <v/>
      </c>
      <c r="I157" s="202">
        <f>IF($A157="","",INDEX('05_KAIS'!$N:$N,$A157))</f>
        <v/>
      </c>
      <c r="J157">
        <f>IF(B157="","",IF('02_대상물건입력'!$B$5="",1,IF(ISNUMBER(SEARCH('02_대상물건입력'!$B$5,B157)),1,0)))</f>
        <v/>
      </c>
      <c r="K157">
        <f>IF(B157="","",IF('02_대상물건입력'!$B$6="",1,IF(ISNUMBER(SEARCH('02_대상물건입력'!$B$6,B157)),1,0)))</f>
        <v/>
      </c>
      <c r="L157">
        <f>IF(D157="","",IF('02_대상물건입력'!$B$8="",0,IF(ISNUMBER(SEARCH('02_대상물건입력'!$B$8,D157)),1,0)))</f>
        <v/>
      </c>
      <c r="M157">
        <f>IFERROR(ABS(E157-'02_대상물건입력'!$B$11)/'02_대상물건입력'!$B$11,"")</f>
        <v/>
      </c>
      <c r="N157">
        <f>IFERROR(ABS('01_설정'!$B$4-F157),"")</f>
        <v/>
      </c>
      <c r="O157">
        <f>IFERROR(ABS(YEAR(I157)-YEAR('02_대상물건입력'!$B$14)),"")</f>
        <v/>
      </c>
      <c r="P157">
        <f>IF(AND(E157&gt;0,F157&gt;0,G157&gt;0,IF('01_설정'!$B$10=1,J157=1,TRUE()),M157&lt;='01_설정'!$B$5,N157&lt;='01_설정'!$B$7,O157&lt;='01_설정'!$B$8),"Y","")</f>
        <v/>
      </c>
      <c r="Q157">
        <f>IF(P157&lt;&gt;"Y","",MAX(0,(1-M157/'01_설정'!$B$5))*'01_설정'!$B$14+MAX(0,(1-N157/'01_설정'!$B$7))*'01_설정'!$B$16+MAX(0,(1-O157/'01_설정'!$B$8))*'01_설정'!$B$17+K157*'01_설정'!$B$11+L157*'01_설정'!$B$12)</f>
        <v/>
      </c>
      <c r="R157">
        <f>IF(Q157="","",1+COUNTIFS($Q$31:$Q$1030,"&gt;"&amp;Q157)+COUNTIFS($Q$31:Q157,Q157)-1)</f>
        <v/>
      </c>
    </row>
    <row r="158" hidden="1" ht="16.5" customHeight="1">
      <c r="A158">
        <f>IF(COUNTA('05_KAIS'!$A146:$N146)=0,"",131)</f>
        <v/>
      </c>
      <c r="B158">
        <f>IF($A158="","",TRIM(INDEX('05_KAIS'!$B:$B,$A158)&amp;" "&amp;INDEX('05_KAIS'!$C:$C,$A158)))</f>
        <v/>
      </c>
      <c r="C158">
        <f>IF($A158="","",INDEX('05_KAIS'!$D:$D,$A158))</f>
        <v/>
      </c>
      <c r="D158">
        <f>IF($A158="","",INDEX('05_KAIS'!$H:$H,$A158))</f>
        <v/>
      </c>
      <c r="E158">
        <f>IF($A158="","",INDEX('05_KAIS'!$K:$K,$A158))</f>
        <v/>
      </c>
      <c r="F158" s="202">
        <f>IF($A158="","",INDEX('05_KAIS'!$I:$I,$A158))</f>
        <v/>
      </c>
      <c r="G158" s="118">
        <f>IF($A158="","",INDEX('05_KAIS'!$L:$L,$A158))</f>
        <v/>
      </c>
      <c r="H158" s="118">
        <f>IF($A158="","",IFERROR(INDEX('05_KAIS'!$M:$M,$A158),IF(AND(E158&gt;0,G158&gt;0),G158/E158,"")))</f>
        <v/>
      </c>
      <c r="I158" s="202">
        <f>IF($A158="","",INDEX('05_KAIS'!$N:$N,$A158))</f>
        <v/>
      </c>
      <c r="J158">
        <f>IF(B158="","",IF('02_대상물건입력'!$B$5="",1,IF(ISNUMBER(SEARCH('02_대상물건입력'!$B$5,B158)),1,0)))</f>
        <v/>
      </c>
      <c r="K158">
        <f>IF(B158="","",IF('02_대상물건입력'!$B$6="",1,IF(ISNUMBER(SEARCH('02_대상물건입력'!$B$6,B158)),1,0)))</f>
        <v/>
      </c>
      <c r="L158">
        <f>IF(D158="","",IF('02_대상물건입력'!$B$8="",0,IF(ISNUMBER(SEARCH('02_대상물건입력'!$B$8,D158)),1,0)))</f>
        <v/>
      </c>
      <c r="M158">
        <f>IFERROR(ABS(E158-'02_대상물건입력'!$B$11)/'02_대상물건입력'!$B$11,"")</f>
        <v/>
      </c>
      <c r="N158">
        <f>IFERROR(ABS('01_설정'!$B$4-F158),"")</f>
        <v/>
      </c>
      <c r="O158">
        <f>IFERROR(ABS(YEAR(I158)-YEAR('02_대상물건입력'!$B$14)),"")</f>
        <v/>
      </c>
      <c r="P158">
        <f>IF(AND(E158&gt;0,F158&gt;0,G158&gt;0,IF('01_설정'!$B$10=1,J158=1,TRUE()),M158&lt;='01_설정'!$B$5,N158&lt;='01_설정'!$B$7,O158&lt;='01_설정'!$B$8),"Y","")</f>
        <v/>
      </c>
      <c r="Q158">
        <f>IF(P158&lt;&gt;"Y","",MAX(0,(1-M158/'01_설정'!$B$5))*'01_설정'!$B$14+MAX(0,(1-N158/'01_설정'!$B$7))*'01_설정'!$B$16+MAX(0,(1-O158/'01_설정'!$B$8))*'01_설정'!$B$17+K158*'01_설정'!$B$11+L158*'01_설정'!$B$12)</f>
        <v/>
      </c>
      <c r="R158">
        <f>IF(Q158="","",1+COUNTIFS($Q$31:$Q$1030,"&gt;"&amp;Q158)+COUNTIFS($Q$31:Q158,Q158)-1)</f>
        <v/>
      </c>
    </row>
    <row r="159" hidden="1" ht="16.5" customHeight="1">
      <c r="A159">
        <f>IF(COUNTA('05_KAIS'!$A147:$N147)=0,"",132)</f>
        <v/>
      </c>
      <c r="B159">
        <f>IF($A159="","",TRIM(INDEX('05_KAIS'!$B:$B,$A159)&amp;" "&amp;INDEX('05_KAIS'!$C:$C,$A159)))</f>
        <v/>
      </c>
      <c r="C159">
        <f>IF($A159="","",INDEX('05_KAIS'!$D:$D,$A159))</f>
        <v/>
      </c>
      <c r="D159">
        <f>IF($A159="","",INDEX('05_KAIS'!$H:$H,$A159))</f>
        <v/>
      </c>
      <c r="E159">
        <f>IF($A159="","",INDEX('05_KAIS'!$K:$K,$A159))</f>
        <v/>
      </c>
      <c r="F159" s="202">
        <f>IF($A159="","",INDEX('05_KAIS'!$I:$I,$A159))</f>
        <v/>
      </c>
      <c r="G159" s="118">
        <f>IF($A159="","",INDEX('05_KAIS'!$L:$L,$A159))</f>
        <v/>
      </c>
      <c r="H159" s="118">
        <f>IF($A159="","",IFERROR(INDEX('05_KAIS'!$M:$M,$A159),IF(AND(E159&gt;0,G159&gt;0),G159/E159,"")))</f>
        <v/>
      </c>
      <c r="I159" s="202">
        <f>IF($A159="","",INDEX('05_KAIS'!$N:$N,$A159))</f>
        <v/>
      </c>
      <c r="J159">
        <f>IF(B159="","",IF('02_대상물건입력'!$B$5="",1,IF(ISNUMBER(SEARCH('02_대상물건입력'!$B$5,B159)),1,0)))</f>
        <v/>
      </c>
      <c r="K159">
        <f>IF(B159="","",IF('02_대상물건입력'!$B$6="",1,IF(ISNUMBER(SEARCH('02_대상물건입력'!$B$6,B159)),1,0)))</f>
        <v/>
      </c>
      <c r="L159">
        <f>IF(D159="","",IF('02_대상물건입력'!$B$8="",0,IF(ISNUMBER(SEARCH('02_대상물건입력'!$B$8,D159)),1,0)))</f>
        <v/>
      </c>
      <c r="M159">
        <f>IFERROR(ABS(E159-'02_대상물건입력'!$B$11)/'02_대상물건입력'!$B$11,"")</f>
        <v/>
      </c>
      <c r="N159">
        <f>IFERROR(ABS('01_설정'!$B$4-F159),"")</f>
        <v/>
      </c>
      <c r="O159">
        <f>IFERROR(ABS(YEAR(I159)-YEAR('02_대상물건입력'!$B$14)),"")</f>
        <v/>
      </c>
      <c r="P159">
        <f>IF(AND(E159&gt;0,F159&gt;0,G159&gt;0,IF('01_설정'!$B$10=1,J159=1,TRUE()),M159&lt;='01_설정'!$B$5,N159&lt;='01_설정'!$B$7,O159&lt;='01_설정'!$B$8),"Y","")</f>
        <v/>
      </c>
      <c r="Q159">
        <f>IF(P159&lt;&gt;"Y","",MAX(0,(1-M159/'01_설정'!$B$5))*'01_설정'!$B$14+MAX(0,(1-N159/'01_설정'!$B$7))*'01_설정'!$B$16+MAX(0,(1-O159/'01_설정'!$B$8))*'01_설정'!$B$17+K159*'01_설정'!$B$11+L159*'01_설정'!$B$12)</f>
        <v/>
      </c>
      <c r="R159">
        <f>IF(Q159="","",1+COUNTIFS($Q$31:$Q$1030,"&gt;"&amp;Q159)+COUNTIFS($Q$31:Q159,Q159)-1)</f>
        <v/>
      </c>
    </row>
    <row r="160" hidden="1" ht="16.5" customHeight="1">
      <c r="A160">
        <f>IF(COUNTA('05_KAIS'!$A148:$N148)=0,"",133)</f>
        <v/>
      </c>
      <c r="B160">
        <f>IF($A160="","",TRIM(INDEX('05_KAIS'!$B:$B,$A160)&amp;" "&amp;INDEX('05_KAIS'!$C:$C,$A160)))</f>
        <v/>
      </c>
      <c r="C160">
        <f>IF($A160="","",INDEX('05_KAIS'!$D:$D,$A160))</f>
        <v/>
      </c>
      <c r="D160">
        <f>IF($A160="","",INDEX('05_KAIS'!$H:$H,$A160))</f>
        <v/>
      </c>
      <c r="E160">
        <f>IF($A160="","",INDEX('05_KAIS'!$K:$K,$A160))</f>
        <v/>
      </c>
      <c r="F160" s="202">
        <f>IF($A160="","",INDEX('05_KAIS'!$I:$I,$A160))</f>
        <v/>
      </c>
      <c r="G160" s="118">
        <f>IF($A160="","",INDEX('05_KAIS'!$L:$L,$A160))</f>
        <v/>
      </c>
      <c r="H160" s="118">
        <f>IF($A160="","",IFERROR(INDEX('05_KAIS'!$M:$M,$A160),IF(AND(E160&gt;0,G160&gt;0),G160/E160,"")))</f>
        <v/>
      </c>
      <c r="I160" s="202">
        <f>IF($A160="","",INDEX('05_KAIS'!$N:$N,$A160))</f>
        <v/>
      </c>
      <c r="J160">
        <f>IF(B160="","",IF('02_대상물건입력'!$B$5="",1,IF(ISNUMBER(SEARCH('02_대상물건입력'!$B$5,B160)),1,0)))</f>
        <v/>
      </c>
      <c r="K160">
        <f>IF(B160="","",IF('02_대상물건입력'!$B$6="",1,IF(ISNUMBER(SEARCH('02_대상물건입력'!$B$6,B160)),1,0)))</f>
        <v/>
      </c>
      <c r="L160">
        <f>IF(D160="","",IF('02_대상물건입력'!$B$8="",0,IF(ISNUMBER(SEARCH('02_대상물건입력'!$B$8,D160)),1,0)))</f>
        <v/>
      </c>
      <c r="M160">
        <f>IFERROR(ABS(E160-'02_대상물건입력'!$B$11)/'02_대상물건입력'!$B$11,"")</f>
        <v/>
      </c>
      <c r="N160">
        <f>IFERROR(ABS('01_설정'!$B$4-F160),"")</f>
        <v/>
      </c>
      <c r="O160">
        <f>IFERROR(ABS(YEAR(I160)-YEAR('02_대상물건입력'!$B$14)),"")</f>
        <v/>
      </c>
      <c r="P160">
        <f>IF(AND(E160&gt;0,F160&gt;0,G160&gt;0,IF('01_설정'!$B$10=1,J160=1,TRUE()),M160&lt;='01_설정'!$B$5,N160&lt;='01_설정'!$B$7,O160&lt;='01_설정'!$B$8),"Y","")</f>
        <v/>
      </c>
      <c r="Q160">
        <f>IF(P160&lt;&gt;"Y","",MAX(0,(1-M160/'01_설정'!$B$5))*'01_설정'!$B$14+MAX(0,(1-N160/'01_설정'!$B$7))*'01_설정'!$B$16+MAX(0,(1-O160/'01_설정'!$B$8))*'01_설정'!$B$17+K160*'01_설정'!$B$11+L160*'01_설정'!$B$12)</f>
        <v/>
      </c>
      <c r="R160">
        <f>IF(Q160="","",1+COUNTIFS($Q$31:$Q$1030,"&gt;"&amp;Q160)+COUNTIFS($Q$31:Q160,Q160)-1)</f>
        <v/>
      </c>
    </row>
    <row r="161" hidden="1" ht="16.5" customHeight="1">
      <c r="A161">
        <f>IF(COUNTA('05_KAIS'!$A149:$N149)=0,"",134)</f>
        <v/>
      </c>
      <c r="B161">
        <f>IF($A161="","",TRIM(INDEX('05_KAIS'!$B:$B,$A161)&amp;" "&amp;INDEX('05_KAIS'!$C:$C,$A161)))</f>
        <v/>
      </c>
      <c r="C161">
        <f>IF($A161="","",INDEX('05_KAIS'!$D:$D,$A161))</f>
        <v/>
      </c>
      <c r="D161">
        <f>IF($A161="","",INDEX('05_KAIS'!$H:$H,$A161))</f>
        <v/>
      </c>
      <c r="E161">
        <f>IF($A161="","",INDEX('05_KAIS'!$K:$K,$A161))</f>
        <v/>
      </c>
      <c r="F161" s="202">
        <f>IF($A161="","",INDEX('05_KAIS'!$I:$I,$A161))</f>
        <v/>
      </c>
      <c r="G161" s="118">
        <f>IF($A161="","",INDEX('05_KAIS'!$L:$L,$A161))</f>
        <v/>
      </c>
      <c r="H161" s="118">
        <f>IF($A161="","",IFERROR(INDEX('05_KAIS'!$M:$M,$A161),IF(AND(E161&gt;0,G161&gt;0),G161/E161,"")))</f>
        <v/>
      </c>
      <c r="I161" s="202">
        <f>IF($A161="","",INDEX('05_KAIS'!$N:$N,$A161))</f>
        <v/>
      </c>
      <c r="J161">
        <f>IF(B161="","",IF('02_대상물건입력'!$B$5="",1,IF(ISNUMBER(SEARCH('02_대상물건입력'!$B$5,B161)),1,0)))</f>
        <v/>
      </c>
      <c r="K161">
        <f>IF(B161="","",IF('02_대상물건입력'!$B$6="",1,IF(ISNUMBER(SEARCH('02_대상물건입력'!$B$6,B161)),1,0)))</f>
        <v/>
      </c>
      <c r="L161">
        <f>IF(D161="","",IF('02_대상물건입력'!$B$8="",0,IF(ISNUMBER(SEARCH('02_대상물건입력'!$B$8,D161)),1,0)))</f>
        <v/>
      </c>
      <c r="M161">
        <f>IFERROR(ABS(E161-'02_대상물건입력'!$B$11)/'02_대상물건입력'!$B$11,"")</f>
        <v/>
      </c>
      <c r="N161">
        <f>IFERROR(ABS('01_설정'!$B$4-F161),"")</f>
        <v/>
      </c>
      <c r="O161">
        <f>IFERROR(ABS(YEAR(I161)-YEAR('02_대상물건입력'!$B$14)),"")</f>
        <v/>
      </c>
      <c r="P161">
        <f>IF(AND(E161&gt;0,F161&gt;0,G161&gt;0,IF('01_설정'!$B$10=1,J161=1,TRUE()),M161&lt;='01_설정'!$B$5,N161&lt;='01_설정'!$B$7,O161&lt;='01_설정'!$B$8),"Y","")</f>
        <v/>
      </c>
      <c r="Q161">
        <f>IF(P161&lt;&gt;"Y","",MAX(0,(1-M161/'01_설정'!$B$5))*'01_설정'!$B$14+MAX(0,(1-N161/'01_설정'!$B$7))*'01_설정'!$B$16+MAX(0,(1-O161/'01_설정'!$B$8))*'01_설정'!$B$17+K161*'01_설정'!$B$11+L161*'01_설정'!$B$12)</f>
        <v/>
      </c>
      <c r="R161">
        <f>IF(Q161="","",1+COUNTIFS($Q$31:$Q$1030,"&gt;"&amp;Q161)+COUNTIFS($Q$31:Q161,Q161)-1)</f>
        <v/>
      </c>
    </row>
    <row r="162" hidden="1" ht="16.5" customHeight="1">
      <c r="A162">
        <f>IF(COUNTA('05_KAIS'!$A150:$N150)=0,"",135)</f>
        <v/>
      </c>
      <c r="B162">
        <f>IF($A162="","",TRIM(INDEX('05_KAIS'!$B:$B,$A162)&amp;" "&amp;INDEX('05_KAIS'!$C:$C,$A162)))</f>
        <v/>
      </c>
      <c r="C162">
        <f>IF($A162="","",INDEX('05_KAIS'!$D:$D,$A162))</f>
        <v/>
      </c>
      <c r="D162">
        <f>IF($A162="","",INDEX('05_KAIS'!$H:$H,$A162))</f>
        <v/>
      </c>
      <c r="E162">
        <f>IF($A162="","",INDEX('05_KAIS'!$K:$K,$A162))</f>
        <v/>
      </c>
      <c r="F162" s="202">
        <f>IF($A162="","",INDEX('05_KAIS'!$I:$I,$A162))</f>
        <v/>
      </c>
      <c r="G162" s="118">
        <f>IF($A162="","",INDEX('05_KAIS'!$L:$L,$A162))</f>
        <v/>
      </c>
      <c r="H162" s="118">
        <f>IF($A162="","",IFERROR(INDEX('05_KAIS'!$M:$M,$A162),IF(AND(E162&gt;0,G162&gt;0),G162/E162,"")))</f>
        <v/>
      </c>
      <c r="I162" s="202">
        <f>IF($A162="","",INDEX('05_KAIS'!$N:$N,$A162))</f>
        <v/>
      </c>
      <c r="J162">
        <f>IF(B162="","",IF('02_대상물건입력'!$B$5="",1,IF(ISNUMBER(SEARCH('02_대상물건입력'!$B$5,B162)),1,0)))</f>
        <v/>
      </c>
      <c r="K162">
        <f>IF(B162="","",IF('02_대상물건입력'!$B$6="",1,IF(ISNUMBER(SEARCH('02_대상물건입력'!$B$6,B162)),1,0)))</f>
        <v/>
      </c>
      <c r="L162">
        <f>IF(D162="","",IF('02_대상물건입력'!$B$8="",0,IF(ISNUMBER(SEARCH('02_대상물건입력'!$B$8,D162)),1,0)))</f>
        <v/>
      </c>
      <c r="M162">
        <f>IFERROR(ABS(E162-'02_대상물건입력'!$B$11)/'02_대상물건입력'!$B$11,"")</f>
        <v/>
      </c>
      <c r="N162">
        <f>IFERROR(ABS('01_설정'!$B$4-F162),"")</f>
        <v/>
      </c>
      <c r="O162">
        <f>IFERROR(ABS(YEAR(I162)-YEAR('02_대상물건입력'!$B$14)),"")</f>
        <v/>
      </c>
      <c r="P162">
        <f>IF(AND(E162&gt;0,F162&gt;0,G162&gt;0,IF('01_설정'!$B$10=1,J162=1,TRUE()),M162&lt;='01_설정'!$B$5,N162&lt;='01_설정'!$B$7,O162&lt;='01_설정'!$B$8),"Y","")</f>
        <v/>
      </c>
      <c r="Q162">
        <f>IF(P162&lt;&gt;"Y","",MAX(0,(1-M162/'01_설정'!$B$5))*'01_설정'!$B$14+MAX(0,(1-N162/'01_설정'!$B$7))*'01_설정'!$B$16+MAX(0,(1-O162/'01_설정'!$B$8))*'01_설정'!$B$17+K162*'01_설정'!$B$11+L162*'01_설정'!$B$12)</f>
        <v/>
      </c>
      <c r="R162">
        <f>IF(Q162="","",1+COUNTIFS($Q$31:$Q$1030,"&gt;"&amp;Q162)+COUNTIFS($Q$31:Q162,Q162)-1)</f>
        <v/>
      </c>
    </row>
    <row r="163" hidden="1" ht="16.5" customHeight="1">
      <c r="A163">
        <f>IF(COUNTA('05_KAIS'!$A151:$N151)=0,"",136)</f>
        <v/>
      </c>
      <c r="B163">
        <f>IF($A163="","",TRIM(INDEX('05_KAIS'!$B:$B,$A163)&amp;" "&amp;INDEX('05_KAIS'!$C:$C,$A163)))</f>
        <v/>
      </c>
      <c r="C163">
        <f>IF($A163="","",INDEX('05_KAIS'!$D:$D,$A163))</f>
        <v/>
      </c>
      <c r="D163">
        <f>IF($A163="","",INDEX('05_KAIS'!$H:$H,$A163))</f>
        <v/>
      </c>
      <c r="E163">
        <f>IF($A163="","",INDEX('05_KAIS'!$K:$K,$A163))</f>
        <v/>
      </c>
      <c r="F163" s="202">
        <f>IF($A163="","",INDEX('05_KAIS'!$I:$I,$A163))</f>
        <v/>
      </c>
      <c r="G163" s="118">
        <f>IF($A163="","",INDEX('05_KAIS'!$L:$L,$A163))</f>
        <v/>
      </c>
      <c r="H163" s="118">
        <f>IF($A163="","",IFERROR(INDEX('05_KAIS'!$M:$M,$A163),IF(AND(E163&gt;0,G163&gt;0),G163/E163,"")))</f>
        <v/>
      </c>
      <c r="I163" s="202">
        <f>IF($A163="","",INDEX('05_KAIS'!$N:$N,$A163))</f>
        <v/>
      </c>
      <c r="J163">
        <f>IF(B163="","",IF('02_대상물건입력'!$B$5="",1,IF(ISNUMBER(SEARCH('02_대상물건입력'!$B$5,B163)),1,0)))</f>
        <v/>
      </c>
      <c r="K163">
        <f>IF(B163="","",IF('02_대상물건입력'!$B$6="",1,IF(ISNUMBER(SEARCH('02_대상물건입력'!$B$6,B163)),1,0)))</f>
        <v/>
      </c>
      <c r="L163">
        <f>IF(D163="","",IF('02_대상물건입력'!$B$8="",0,IF(ISNUMBER(SEARCH('02_대상물건입력'!$B$8,D163)),1,0)))</f>
        <v/>
      </c>
      <c r="M163">
        <f>IFERROR(ABS(E163-'02_대상물건입력'!$B$11)/'02_대상물건입력'!$B$11,"")</f>
        <v/>
      </c>
      <c r="N163">
        <f>IFERROR(ABS('01_설정'!$B$4-F163),"")</f>
        <v/>
      </c>
      <c r="O163">
        <f>IFERROR(ABS(YEAR(I163)-YEAR('02_대상물건입력'!$B$14)),"")</f>
        <v/>
      </c>
      <c r="P163">
        <f>IF(AND(E163&gt;0,F163&gt;0,G163&gt;0,IF('01_설정'!$B$10=1,J163=1,TRUE()),M163&lt;='01_설정'!$B$5,N163&lt;='01_설정'!$B$7,O163&lt;='01_설정'!$B$8),"Y","")</f>
        <v/>
      </c>
      <c r="Q163">
        <f>IF(P163&lt;&gt;"Y","",MAX(0,(1-M163/'01_설정'!$B$5))*'01_설정'!$B$14+MAX(0,(1-N163/'01_설정'!$B$7))*'01_설정'!$B$16+MAX(0,(1-O163/'01_설정'!$B$8))*'01_설정'!$B$17+K163*'01_설정'!$B$11+L163*'01_설정'!$B$12)</f>
        <v/>
      </c>
      <c r="R163">
        <f>IF(Q163="","",1+COUNTIFS($Q$31:$Q$1030,"&gt;"&amp;Q163)+COUNTIFS($Q$31:Q163,Q163)-1)</f>
        <v/>
      </c>
    </row>
    <row r="164" hidden="1" ht="16.5" customHeight="1">
      <c r="A164">
        <f>IF(COUNTA('05_KAIS'!$A152:$N152)=0,"",137)</f>
        <v/>
      </c>
      <c r="B164">
        <f>IF($A164="","",TRIM(INDEX('05_KAIS'!$B:$B,$A164)&amp;" "&amp;INDEX('05_KAIS'!$C:$C,$A164)))</f>
        <v/>
      </c>
      <c r="C164">
        <f>IF($A164="","",INDEX('05_KAIS'!$D:$D,$A164))</f>
        <v/>
      </c>
      <c r="D164">
        <f>IF($A164="","",INDEX('05_KAIS'!$H:$H,$A164))</f>
        <v/>
      </c>
      <c r="E164">
        <f>IF($A164="","",INDEX('05_KAIS'!$K:$K,$A164))</f>
        <v/>
      </c>
      <c r="F164" s="202">
        <f>IF($A164="","",INDEX('05_KAIS'!$I:$I,$A164))</f>
        <v/>
      </c>
      <c r="G164" s="118">
        <f>IF($A164="","",INDEX('05_KAIS'!$L:$L,$A164))</f>
        <v/>
      </c>
      <c r="H164" s="118">
        <f>IF($A164="","",IFERROR(INDEX('05_KAIS'!$M:$M,$A164),IF(AND(E164&gt;0,G164&gt;0),G164/E164,"")))</f>
        <v/>
      </c>
      <c r="I164" s="202">
        <f>IF($A164="","",INDEX('05_KAIS'!$N:$N,$A164))</f>
        <v/>
      </c>
      <c r="J164">
        <f>IF(B164="","",IF('02_대상물건입력'!$B$5="",1,IF(ISNUMBER(SEARCH('02_대상물건입력'!$B$5,B164)),1,0)))</f>
        <v/>
      </c>
      <c r="K164">
        <f>IF(B164="","",IF('02_대상물건입력'!$B$6="",1,IF(ISNUMBER(SEARCH('02_대상물건입력'!$B$6,B164)),1,0)))</f>
        <v/>
      </c>
      <c r="L164">
        <f>IF(D164="","",IF('02_대상물건입력'!$B$8="",0,IF(ISNUMBER(SEARCH('02_대상물건입력'!$B$8,D164)),1,0)))</f>
        <v/>
      </c>
      <c r="M164">
        <f>IFERROR(ABS(E164-'02_대상물건입력'!$B$11)/'02_대상물건입력'!$B$11,"")</f>
        <v/>
      </c>
      <c r="N164">
        <f>IFERROR(ABS('01_설정'!$B$4-F164),"")</f>
        <v/>
      </c>
      <c r="O164">
        <f>IFERROR(ABS(YEAR(I164)-YEAR('02_대상물건입력'!$B$14)),"")</f>
        <v/>
      </c>
      <c r="P164">
        <f>IF(AND(E164&gt;0,F164&gt;0,G164&gt;0,IF('01_설정'!$B$10=1,J164=1,TRUE()),M164&lt;='01_설정'!$B$5,N164&lt;='01_설정'!$B$7,O164&lt;='01_설정'!$B$8),"Y","")</f>
        <v/>
      </c>
      <c r="Q164">
        <f>IF(P164&lt;&gt;"Y","",MAX(0,(1-M164/'01_설정'!$B$5))*'01_설정'!$B$14+MAX(0,(1-N164/'01_설정'!$B$7))*'01_설정'!$B$16+MAX(0,(1-O164/'01_설정'!$B$8))*'01_설정'!$B$17+K164*'01_설정'!$B$11+L164*'01_설정'!$B$12)</f>
        <v/>
      </c>
      <c r="R164">
        <f>IF(Q164="","",1+COUNTIFS($Q$31:$Q$1030,"&gt;"&amp;Q164)+COUNTIFS($Q$31:Q164,Q164)-1)</f>
        <v/>
      </c>
    </row>
    <row r="165" hidden="1" ht="16.5" customHeight="1">
      <c r="A165">
        <f>IF(COUNTA('05_KAIS'!$A153:$N153)=0,"",138)</f>
        <v/>
      </c>
      <c r="B165">
        <f>IF($A165="","",TRIM(INDEX('05_KAIS'!$B:$B,$A165)&amp;" "&amp;INDEX('05_KAIS'!$C:$C,$A165)))</f>
        <v/>
      </c>
      <c r="C165">
        <f>IF($A165="","",INDEX('05_KAIS'!$D:$D,$A165))</f>
        <v/>
      </c>
      <c r="D165">
        <f>IF($A165="","",INDEX('05_KAIS'!$H:$H,$A165))</f>
        <v/>
      </c>
      <c r="E165">
        <f>IF($A165="","",INDEX('05_KAIS'!$K:$K,$A165))</f>
        <v/>
      </c>
      <c r="F165" s="202">
        <f>IF($A165="","",INDEX('05_KAIS'!$I:$I,$A165))</f>
        <v/>
      </c>
      <c r="G165" s="118">
        <f>IF($A165="","",INDEX('05_KAIS'!$L:$L,$A165))</f>
        <v/>
      </c>
      <c r="H165" s="118">
        <f>IF($A165="","",IFERROR(INDEX('05_KAIS'!$M:$M,$A165),IF(AND(E165&gt;0,G165&gt;0),G165/E165,"")))</f>
        <v/>
      </c>
      <c r="I165" s="202">
        <f>IF($A165="","",INDEX('05_KAIS'!$N:$N,$A165))</f>
        <v/>
      </c>
      <c r="J165">
        <f>IF(B165="","",IF('02_대상물건입력'!$B$5="",1,IF(ISNUMBER(SEARCH('02_대상물건입력'!$B$5,B165)),1,0)))</f>
        <v/>
      </c>
      <c r="K165">
        <f>IF(B165="","",IF('02_대상물건입력'!$B$6="",1,IF(ISNUMBER(SEARCH('02_대상물건입력'!$B$6,B165)),1,0)))</f>
        <v/>
      </c>
      <c r="L165">
        <f>IF(D165="","",IF('02_대상물건입력'!$B$8="",0,IF(ISNUMBER(SEARCH('02_대상물건입력'!$B$8,D165)),1,0)))</f>
        <v/>
      </c>
      <c r="M165">
        <f>IFERROR(ABS(E165-'02_대상물건입력'!$B$11)/'02_대상물건입력'!$B$11,"")</f>
        <v/>
      </c>
      <c r="N165">
        <f>IFERROR(ABS('01_설정'!$B$4-F165),"")</f>
        <v/>
      </c>
      <c r="O165">
        <f>IFERROR(ABS(YEAR(I165)-YEAR('02_대상물건입력'!$B$14)),"")</f>
        <v/>
      </c>
      <c r="P165">
        <f>IF(AND(E165&gt;0,F165&gt;0,G165&gt;0,IF('01_설정'!$B$10=1,J165=1,TRUE()),M165&lt;='01_설정'!$B$5,N165&lt;='01_설정'!$B$7,O165&lt;='01_설정'!$B$8),"Y","")</f>
        <v/>
      </c>
      <c r="Q165">
        <f>IF(P165&lt;&gt;"Y","",MAX(0,(1-M165/'01_설정'!$B$5))*'01_설정'!$B$14+MAX(0,(1-N165/'01_설정'!$B$7))*'01_설정'!$B$16+MAX(0,(1-O165/'01_설정'!$B$8))*'01_설정'!$B$17+K165*'01_설정'!$B$11+L165*'01_설정'!$B$12)</f>
        <v/>
      </c>
      <c r="R165">
        <f>IF(Q165="","",1+COUNTIFS($Q$31:$Q$1030,"&gt;"&amp;Q165)+COUNTIFS($Q$31:Q165,Q165)-1)</f>
        <v/>
      </c>
    </row>
    <row r="166" hidden="1" ht="16.5" customHeight="1">
      <c r="A166">
        <f>IF(COUNTA('05_KAIS'!$A154:$N154)=0,"",139)</f>
        <v/>
      </c>
      <c r="B166">
        <f>IF($A166="","",TRIM(INDEX('05_KAIS'!$B:$B,$A166)&amp;" "&amp;INDEX('05_KAIS'!$C:$C,$A166)))</f>
        <v/>
      </c>
      <c r="C166">
        <f>IF($A166="","",INDEX('05_KAIS'!$D:$D,$A166))</f>
        <v/>
      </c>
      <c r="D166">
        <f>IF($A166="","",INDEX('05_KAIS'!$H:$H,$A166))</f>
        <v/>
      </c>
      <c r="E166">
        <f>IF($A166="","",INDEX('05_KAIS'!$K:$K,$A166))</f>
        <v/>
      </c>
      <c r="F166" s="202">
        <f>IF($A166="","",INDEX('05_KAIS'!$I:$I,$A166))</f>
        <v/>
      </c>
      <c r="G166" s="118">
        <f>IF($A166="","",INDEX('05_KAIS'!$L:$L,$A166))</f>
        <v/>
      </c>
      <c r="H166" s="118">
        <f>IF($A166="","",IFERROR(INDEX('05_KAIS'!$M:$M,$A166),IF(AND(E166&gt;0,G166&gt;0),G166/E166,"")))</f>
        <v/>
      </c>
      <c r="I166" s="202">
        <f>IF($A166="","",INDEX('05_KAIS'!$N:$N,$A166))</f>
        <v/>
      </c>
      <c r="J166">
        <f>IF(B166="","",IF('02_대상물건입력'!$B$5="",1,IF(ISNUMBER(SEARCH('02_대상물건입력'!$B$5,B166)),1,0)))</f>
        <v/>
      </c>
      <c r="K166">
        <f>IF(B166="","",IF('02_대상물건입력'!$B$6="",1,IF(ISNUMBER(SEARCH('02_대상물건입력'!$B$6,B166)),1,0)))</f>
        <v/>
      </c>
      <c r="L166">
        <f>IF(D166="","",IF('02_대상물건입력'!$B$8="",0,IF(ISNUMBER(SEARCH('02_대상물건입력'!$B$8,D166)),1,0)))</f>
        <v/>
      </c>
      <c r="M166">
        <f>IFERROR(ABS(E166-'02_대상물건입력'!$B$11)/'02_대상물건입력'!$B$11,"")</f>
        <v/>
      </c>
      <c r="N166">
        <f>IFERROR(ABS('01_설정'!$B$4-F166),"")</f>
        <v/>
      </c>
      <c r="O166">
        <f>IFERROR(ABS(YEAR(I166)-YEAR('02_대상물건입력'!$B$14)),"")</f>
        <v/>
      </c>
      <c r="P166">
        <f>IF(AND(E166&gt;0,F166&gt;0,G166&gt;0,IF('01_설정'!$B$10=1,J166=1,TRUE()),M166&lt;='01_설정'!$B$5,N166&lt;='01_설정'!$B$7,O166&lt;='01_설정'!$B$8),"Y","")</f>
        <v/>
      </c>
      <c r="Q166">
        <f>IF(P166&lt;&gt;"Y","",MAX(0,(1-M166/'01_설정'!$B$5))*'01_설정'!$B$14+MAX(0,(1-N166/'01_설정'!$B$7))*'01_설정'!$B$16+MAX(0,(1-O166/'01_설정'!$B$8))*'01_설정'!$B$17+K166*'01_설정'!$B$11+L166*'01_설정'!$B$12)</f>
        <v/>
      </c>
      <c r="R166">
        <f>IF(Q166="","",1+COUNTIFS($Q$31:$Q$1030,"&gt;"&amp;Q166)+COUNTIFS($Q$31:Q166,Q166)-1)</f>
        <v/>
      </c>
    </row>
    <row r="167" hidden="1" ht="16.5" customHeight="1">
      <c r="A167">
        <f>IF(COUNTA('05_KAIS'!$A155:$N155)=0,"",140)</f>
        <v/>
      </c>
      <c r="B167">
        <f>IF($A167="","",TRIM(INDEX('05_KAIS'!$B:$B,$A167)&amp;" "&amp;INDEX('05_KAIS'!$C:$C,$A167)))</f>
        <v/>
      </c>
      <c r="C167">
        <f>IF($A167="","",INDEX('05_KAIS'!$D:$D,$A167))</f>
        <v/>
      </c>
      <c r="D167">
        <f>IF($A167="","",INDEX('05_KAIS'!$H:$H,$A167))</f>
        <v/>
      </c>
      <c r="E167">
        <f>IF($A167="","",INDEX('05_KAIS'!$K:$K,$A167))</f>
        <v/>
      </c>
      <c r="F167" s="202">
        <f>IF($A167="","",INDEX('05_KAIS'!$I:$I,$A167))</f>
        <v/>
      </c>
      <c r="G167" s="118">
        <f>IF($A167="","",INDEX('05_KAIS'!$L:$L,$A167))</f>
        <v/>
      </c>
      <c r="H167" s="118">
        <f>IF($A167="","",IFERROR(INDEX('05_KAIS'!$M:$M,$A167),IF(AND(E167&gt;0,G167&gt;0),G167/E167,"")))</f>
        <v/>
      </c>
      <c r="I167" s="202">
        <f>IF($A167="","",INDEX('05_KAIS'!$N:$N,$A167))</f>
        <v/>
      </c>
      <c r="J167">
        <f>IF(B167="","",IF('02_대상물건입력'!$B$5="",1,IF(ISNUMBER(SEARCH('02_대상물건입력'!$B$5,B167)),1,0)))</f>
        <v/>
      </c>
      <c r="K167">
        <f>IF(B167="","",IF('02_대상물건입력'!$B$6="",1,IF(ISNUMBER(SEARCH('02_대상물건입력'!$B$6,B167)),1,0)))</f>
        <v/>
      </c>
      <c r="L167">
        <f>IF(D167="","",IF('02_대상물건입력'!$B$8="",0,IF(ISNUMBER(SEARCH('02_대상물건입력'!$B$8,D167)),1,0)))</f>
        <v/>
      </c>
      <c r="M167">
        <f>IFERROR(ABS(E167-'02_대상물건입력'!$B$11)/'02_대상물건입력'!$B$11,"")</f>
        <v/>
      </c>
      <c r="N167">
        <f>IFERROR(ABS('01_설정'!$B$4-F167),"")</f>
        <v/>
      </c>
      <c r="O167">
        <f>IFERROR(ABS(YEAR(I167)-YEAR('02_대상물건입력'!$B$14)),"")</f>
        <v/>
      </c>
      <c r="P167">
        <f>IF(AND(E167&gt;0,F167&gt;0,G167&gt;0,IF('01_설정'!$B$10=1,J167=1,TRUE()),M167&lt;='01_설정'!$B$5,N167&lt;='01_설정'!$B$7,O167&lt;='01_설정'!$B$8),"Y","")</f>
        <v/>
      </c>
      <c r="Q167">
        <f>IF(P167&lt;&gt;"Y","",MAX(0,(1-M167/'01_설정'!$B$5))*'01_설정'!$B$14+MAX(0,(1-N167/'01_설정'!$B$7))*'01_설정'!$B$16+MAX(0,(1-O167/'01_설정'!$B$8))*'01_설정'!$B$17+K167*'01_설정'!$B$11+L167*'01_설정'!$B$12)</f>
        <v/>
      </c>
      <c r="R167">
        <f>IF(Q167="","",1+COUNTIFS($Q$31:$Q$1030,"&gt;"&amp;Q167)+COUNTIFS($Q$31:Q167,Q167)-1)</f>
        <v/>
      </c>
    </row>
    <row r="168" hidden="1" ht="16.5" customHeight="1">
      <c r="A168">
        <f>IF(COUNTA('05_KAIS'!$A156:$N156)=0,"",141)</f>
        <v/>
      </c>
      <c r="B168">
        <f>IF($A168="","",TRIM(INDEX('05_KAIS'!$B:$B,$A168)&amp;" "&amp;INDEX('05_KAIS'!$C:$C,$A168)))</f>
        <v/>
      </c>
      <c r="C168">
        <f>IF($A168="","",INDEX('05_KAIS'!$D:$D,$A168))</f>
        <v/>
      </c>
      <c r="D168">
        <f>IF($A168="","",INDEX('05_KAIS'!$H:$H,$A168))</f>
        <v/>
      </c>
      <c r="E168">
        <f>IF($A168="","",INDEX('05_KAIS'!$K:$K,$A168))</f>
        <v/>
      </c>
      <c r="F168" s="202">
        <f>IF($A168="","",INDEX('05_KAIS'!$I:$I,$A168))</f>
        <v/>
      </c>
      <c r="G168" s="118">
        <f>IF($A168="","",INDEX('05_KAIS'!$L:$L,$A168))</f>
        <v/>
      </c>
      <c r="H168" s="118">
        <f>IF($A168="","",IFERROR(INDEX('05_KAIS'!$M:$M,$A168),IF(AND(E168&gt;0,G168&gt;0),G168/E168,"")))</f>
        <v/>
      </c>
      <c r="I168" s="202">
        <f>IF($A168="","",INDEX('05_KAIS'!$N:$N,$A168))</f>
        <v/>
      </c>
      <c r="J168">
        <f>IF(B168="","",IF('02_대상물건입력'!$B$5="",1,IF(ISNUMBER(SEARCH('02_대상물건입력'!$B$5,B168)),1,0)))</f>
        <v/>
      </c>
      <c r="K168">
        <f>IF(B168="","",IF('02_대상물건입력'!$B$6="",1,IF(ISNUMBER(SEARCH('02_대상물건입력'!$B$6,B168)),1,0)))</f>
        <v/>
      </c>
      <c r="L168">
        <f>IF(D168="","",IF('02_대상물건입력'!$B$8="",0,IF(ISNUMBER(SEARCH('02_대상물건입력'!$B$8,D168)),1,0)))</f>
        <v/>
      </c>
      <c r="M168">
        <f>IFERROR(ABS(E168-'02_대상물건입력'!$B$11)/'02_대상물건입력'!$B$11,"")</f>
        <v/>
      </c>
      <c r="N168">
        <f>IFERROR(ABS('01_설정'!$B$4-F168),"")</f>
        <v/>
      </c>
      <c r="O168">
        <f>IFERROR(ABS(YEAR(I168)-YEAR('02_대상물건입력'!$B$14)),"")</f>
        <v/>
      </c>
      <c r="P168">
        <f>IF(AND(E168&gt;0,F168&gt;0,G168&gt;0,IF('01_설정'!$B$10=1,J168=1,TRUE()),M168&lt;='01_설정'!$B$5,N168&lt;='01_설정'!$B$7,O168&lt;='01_설정'!$B$8),"Y","")</f>
        <v/>
      </c>
      <c r="Q168">
        <f>IF(P168&lt;&gt;"Y","",MAX(0,(1-M168/'01_설정'!$B$5))*'01_설정'!$B$14+MAX(0,(1-N168/'01_설정'!$B$7))*'01_설정'!$B$16+MAX(0,(1-O168/'01_설정'!$B$8))*'01_설정'!$B$17+K168*'01_설정'!$B$11+L168*'01_설정'!$B$12)</f>
        <v/>
      </c>
      <c r="R168">
        <f>IF(Q168="","",1+COUNTIFS($Q$31:$Q$1030,"&gt;"&amp;Q168)+COUNTIFS($Q$31:Q168,Q168)-1)</f>
        <v/>
      </c>
    </row>
    <row r="169" hidden="1" ht="16.5" customHeight="1">
      <c r="A169">
        <f>IF(COUNTA('05_KAIS'!$A157:$N157)=0,"",142)</f>
        <v/>
      </c>
      <c r="B169">
        <f>IF($A169="","",TRIM(INDEX('05_KAIS'!$B:$B,$A169)&amp;" "&amp;INDEX('05_KAIS'!$C:$C,$A169)))</f>
        <v/>
      </c>
      <c r="C169">
        <f>IF($A169="","",INDEX('05_KAIS'!$D:$D,$A169))</f>
        <v/>
      </c>
      <c r="D169">
        <f>IF($A169="","",INDEX('05_KAIS'!$H:$H,$A169))</f>
        <v/>
      </c>
      <c r="E169">
        <f>IF($A169="","",INDEX('05_KAIS'!$K:$K,$A169))</f>
        <v/>
      </c>
      <c r="F169" s="202">
        <f>IF($A169="","",INDEX('05_KAIS'!$I:$I,$A169))</f>
        <v/>
      </c>
      <c r="G169" s="118">
        <f>IF($A169="","",INDEX('05_KAIS'!$L:$L,$A169))</f>
        <v/>
      </c>
      <c r="H169" s="118">
        <f>IF($A169="","",IFERROR(INDEX('05_KAIS'!$M:$M,$A169),IF(AND(E169&gt;0,G169&gt;0),G169/E169,"")))</f>
        <v/>
      </c>
      <c r="I169" s="202">
        <f>IF($A169="","",INDEX('05_KAIS'!$N:$N,$A169))</f>
        <v/>
      </c>
      <c r="J169">
        <f>IF(B169="","",IF('02_대상물건입력'!$B$5="",1,IF(ISNUMBER(SEARCH('02_대상물건입력'!$B$5,B169)),1,0)))</f>
        <v/>
      </c>
      <c r="K169">
        <f>IF(B169="","",IF('02_대상물건입력'!$B$6="",1,IF(ISNUMBER(SEARCH('02_대상물건입력'!$B$6,B169)),1,0)))</f>
        <v/>
      </c>
      <c r="L169">
        <f>IF(D169="","",IF('02_대상물건입력'!$B$8="",0,IF(ISNUMBER(SEARCH('02_대상물건입력'!$B$8,D169)),1,0)))</f>
        <v/>
      </c>
      <c r="M169">
        <f>IFERROR(ABS(E169-'02_대상물건입력'!$B$11)/'02_대상물건입력'!$B$11,"")</f>
        <v/>
      </c>
      <c r="N169">
        <f>IFERROR(ABS('01_설정'!$B$4-F169),"")</f>
        <v/>
      </c>
      <c r="O169">
        <f>IFERROR(ABS(YEAR(I169)-YEAR('02_대상물건입력'!$B$14)),"")</f>
        <v/>
      </c>
      <c r="P169">
        <f>IF(AND(E169&gt;0,F169&gt;0,G169&gt;0,IF('01_설정'!$B$10=1,J169=1,TRUE()),M169&lt;='01_설정'!$B$5,N169&lt;='01_설정'!$B$7,O169&lt;='01_설정'!$B$8),"Y","")</f>
        <v/>
      </c>
      <c r="Q169">
        <f>IF(P169&lt;&gt;"Y","",MAX(0,(1-M169/'01_설정'!$B$5))*'01_설정'!$B$14+MAX(0,(1-N169/'01_설정'!$B$7))*'01_설정'!$B$16+MAX(0,(1-O169/'01_설정'!$B$8))*'01_설정'!$B$17+K169*'01_설정'!$B$11+L169*'01_설정'!$B$12)</f>
        <v/>
      </c>
      <c r="R169">
        <f>IF(Q169="","",1+COUNTIFS($Q$31:$Q$1030,"&gt;"&amp;Q169)+COUNTIFS($Q$31:Q169,Q169)-1)</f>
        <v/>
      </c>
    </row>
    <row r="170" hidden="1" ht="16.5" customHeight="1">
      <c r="A170">
        <f>IF(COUNTA('05_KAIS'!$A158:$N158)=0,"",143)</f>
        <v/>
      </c>
      <c r="B170">
        <f>IF($A170="","",TRIM(INDEX('05_KAIS'!$B:$B,$A170)&amp;" "&amp;INDEX('05_KAIS'!$C:$C,$A170)))</f>
        <v/>
      </c>
      <c r="C170">
        <f>IF($A170="","",INDEX('05_KAIS'!$D:$D,$A170))</f>
        <v/>
      </c>
      <c r="D170">
        <f>IF($A170="","",INDEX('05_KAIS'!$H:$H,$A170))</f>
        <v/>
      </c>
      <c r="E170">
        <f>IF($A170="","",INDEX('05_KAIS'!$K:$K,$A170))</f>
        <v/>
      </c>
      <c r="F170" s="202">
        <f>IF($A170="","",INDEX('05_KAIS'!$I:$I,$A170))</f>
        <v/>
      </c>
      <c r="G170" s="118">
        <f>IF($A170="","",INDEX('05_KAIS'!$L:$L,$A170))</f>
        <v/>
      </c>
      <c r="H170" s="118">
        <f>IF($A170="","",IFERROR(INDEX('05_KAIS'!$M:$M,$A170),IF(AND(E170&gt;0,G170&gt;0),G170/E170,"")))</f>
        <v/>
      </c>
      <c r="I170" s="202">
        <f>IF($A170="","",INDEX('05_KAIS'!$N:$N,$A170))</f>
        <v/>
      </c>
      <c r="J170">
        <f>IF(B170="","",IF('02_대상물건입력'!$B$5="",1,IF(ISNUMBER(SEARCH('02_대상물건입력'!$B$5,B170)),1,0)))</f>
        <v/>
      </c>
      <c r="K170">
        <f>IF(B170="","",IF('02_대상물건입력'!$B$6="",1,IF(ISNUMBER(SEARCH('02_대상물건입력'!$B$6,B170)),1,0)))</f>
        <v/>
      </c>
      <c r="L170">
        <f>IF(D170="","",IF('02_대상물건입력'!$B$8="",0,IF(ISNUMBER(SEARCH('02_대상물건입력'!$B$8,D170)),1,0)))</f>
        <v/>
      </c>
      <c r="M170">
        <f>IFERROR(ABS(E170-'02_대상물건입력'!$B$11)/'02_대상물건입력'!$B$11,"")</f>
        <v/>
      </c>
      <c r="N170">
        <f>IFERROR(ABS('01_설정'!$B$4-F170),"")</f>
        <v/>
      </c>
      <c r="O170">
        <f>IFERROR(ABS(YEAR(I170)-YEAR('02_대상물건입력'!$B$14)),"")</f>
        <v/>
      </c>
      <c r="P170">
        <f>IF(AND(E170&gt;0,F170&gt;0,G170&gt;0,IF('01_설정'!$B$10=1,J170=1,TRUE()),M170&lt;='01_설정'!$B$5,N170&lt;='01_설정'!$B$7,O170&lt;='01_설정'!$B$8),"Y","")</f>
        <v/>
      </c>
      <c r="Q170">
        <f>IF(P170&lt;&gt;"Y","",MAX(0,(1-M170/'01_설정'!$B$5))*'01_설정'!$B$14+MAX(0,(1-N170/'01_설정'!$B$7))*'01_설정'!$B$16+MAX(0,(1-O170/'01_설정'!$B$8))*'01_설정'!$B$17+K170*'01_설정'!$B$11+L170*'01_설정'!$B$12)</f>
        <v/>
      </c>
      <c r="R170">
        <f>IF(Q170="","",1+COUNTIFS($Q$31:$Q$1030,"&gt;"&amp;Q170)+COUNTIFS($Q$31:Q170,Q170)-1)</f>
        <v/>
      </c>
    </row>
    <row r="171" hidden="1" ht="16.5" customHeight="1">
      <c r="A171">
        <f>IF(COUNTA('05_KAIS'!$A159:$N159)=0,"",144)</f>
        <v/>
      </c>
      <c r="B171">
        <f>IF($A171="","",TRIM(INDEX('05_KAIS'!$B:$B,$A171)&amp;" "&amp;INDEX('05_KAIS'!$C:$C,$A171)))</f>
        <v/>
      </c>
      <c r="C171">
        <f>IF($A171="","",INDEX('05_KAIS'!$D:$D,$A171))</f>
        <v/>
      </c>
      <c r="D171">
        <f>IF($A171="","",INDEX('05_KAIS'!$H:$H,$A171))</f>
        <v/>
      </c>
      <c r="E171">
        <f>IF($A171="","",INDEX('05_KAIS'!$K:$K,$A171))</f>
        <v/>
      </c>
      <c r="F171" s="202">
        <f>IF($A171="","",INDEX('05_KAIS'!$I:$I,$A171))</f>
        <v/>
      </c>
      <c r="G171" s="118">
        <f>IF($A171="","",INDEX('05_KAIS'!$L:$L,$A171))</f>
        <v/>
      </c>
      <c r="H171" s="118">
        <f>IF($A171="","",IFERROR(INDEX('05_KAIS'!$M:$M,$A171),IF(AND(E171&gt;0,G171&gt;0),G171/E171,"")))</f>
        <v/>
      </c>
      <c r="I171" s="202">
        <f>IF($A171="","",INDEX('05_KAIS'!$N:$N,$A171))</f>
        <v/>
      </c>
      <c r="J171">
        <f>IF(B171="","",IF('02_대상물건입력'!$B$5="",1,IF(ISNUMBER(SEARCH('02_대상물건입력'!$B$5,B171)),1,0)))</f>
        <v/>
      </c>
      <c r="K171">
        <f>IF(B171="","",IF('02_대상물건입력'!$B$6="",1,IF(ISNUMBER(SEARCH('02_대상물건입력'!$B$6,B171)),1,0)))</f>
        <v/>
      </c>
      <c r="L171">
        <f>IF(D171="","",IF('02_대상물건입력'!$B$8="",0,IF(ISNUMBER(SEARCH('02_대상물건입력'!$B$8,D171)),1,0)))</f>
        <v/>
      </c>
      <c r="M171">
        <f>IFERROR(ABS(E171-'02_대상물건입력'!$B$11)/'02_대상물건입력'!$B$11,"")</f>
        <v/>
      </c>
      <c r="N171">
        <f>IFERROR(ABS('01_설정'!$B$4-F171),"")</f>
        <v/>
      </c>
      <c r="O171">
        <f>IFERROR(ABS(YEAR(I171)-YEAR('02_대상물건입력'!$B$14)),"")</f>
        <v/>
      </c>
      <c r="P171">
        <f>IF(AND(E171&gt;0,F171&gt;0,G171&gt;0,IF('01_설정'!$B$10=1,J171=1,TRUE()),M171&lt;='01_설정'!$B$5,N171&lt;='01_설정'!$B$7,O171&lt;='01_설정'!$B$8),"Y","")</f>
        <v/>
      </c>
      <c r="Q171">
        <f>IF(P171&lt;&gt;"Y","",MAX(0,(1-M171/'01_설정'!$B$5))*'01_설정'!$B$14+MAX(0,(1-N171/'01_설정'!$B$7))*'01_설정'!$B$16+MAX(0,(1-O171/'01_설정'!$B$8))*'01_설정'!$B$17+K171*'01_설정'!$B$11+L171*'01_설정'!$B$12)</f>
        <v/>
      </c>
      <c r="R171">
        <f>IF(Q171="","",1+COUNTIFS($Q$31:$Q$1030,"&gt;"&amp;Q171)+COUNTIFS($Q$31:Q171,Q171)-1)</f>
        <v/>
      </c>
    </row>
    <row r="172" hidden="1" ht="16.5" customHeight="1">
      <c r="A172">
        <f>IF(COUNTA('05_KAIS'!$A160:$N160)=0,"",145)</f>
        <v/>
      </c>
      <c r="B172">
        <f>IF($A172="","",TRIM(INDEX('05_KAIS'!$B:$B,$A172)&amp;" "&amp;INDEX('05_KAIS'!$C:$C,$A172)))</f>
        <v/>
      </c>
      <c r="C172">
        <f>IF($A172="","",INDEX('05_KAIS'!$D:$D,$A172))</f>
        <v/>
      </c>
      <c r="D172">
        <f>IF($A172="","",INDEX('05_KAIS'!$H:$H,$A172))</f>
        <v/>
      </c>
      <c r="E172">
        <f>IF($A172="","",INDEX('05_KAIS'!$K:$K,$A172))</f>
        <v/>
      </c>
      <c r="F172" s="202">
        <f>IF($A172="","",INDEX('05_KAIS'!$I:$I,$A172))</f>
        <v/>
      </c>
      <c r="G172" s="118">
        <f>IF($A172="","",INDEX('05_KAIS'!$L:$L,$A172))</f>
        <v/>
      </c>
      <c r="H172" s="118">
        <f>IF($A172="","",IFERROR(INDEX('05_KAIS'!$M:$M,$A172),IF(AND(E172&gt;0,G172&gt;0),G172/E172,"")))</f>
        <v/>
      </c>
      <c r="I172" s="202">
        <f>IF($A172="","",INDEX('05_KAIS'!$N:$N,$A172))</f>
        <v/>
      </c>
      <c r="J172">
        <f>IF(B172="","",IF('02_대상물건입력'!$B$5="",1,IF(ISNUMBER(SEARCH('02_대상물건입력'!$B$5,B172)),1,0)))</f>
        <v/>
      </c>
      <c r="K172">
        <f>IF(B172="","",IF('02_대상물건입력'!$B$6="",1,IF(ISNUMBER(SEARCH('02_대상물건입력'!$B$6,B172)),1,0)))</f>
        <v/>
      </c>
      <c r="L172">
        <f>IF(D172="","",IF('02_대상물건입력'!$B$8="",0,IF(ISNUMBER(SEARCH('02_대상물건입력'!$B$8,D172)),1,0)))</f>
        <v/>
      </c>
      <c r="M172">
        <f>IFERROR(ABS(E172-'02_대상물건입력'!$B$11)/'02_대상물건입력'!$B$11,"")</f>
        <v/>
      </c>
      <c r="N172">
        <f>IFERROR(ABS('01_설정'!$B$4-F172),"")</f>
        <v/>
      </c>
      <c r="O172">
        <f>IFERROR(ABS(YEAR(I172)-YEAR('02_대상물건입력'!$B$14)),"")</f>
        <v/>
      </c>
      <c r="P172">
        <f>IF(AND(E172&gt;0,F172&gt;0,G172&gt;0,IF('01_설정'!$B$10=1,J172=1,TRUE()),M172&lt;='01_설정'!$B$5,N172&lt;='01_설정'!$B$7,O172&lt;='01_설정'!$B$8),"Y","")</f>
        <v/>
      </c>
      <c r="Q172">
        <f>IF(P172&lt;&gt;"Y","",MAX(0,(1-M172/'01_설정'!$B$5))*'01_설정'!$B$14+MAX(0,(1-N172/'01_설정'!$B$7))*'01_설정'!$B$16+MAX(0,(1-O172/'01_설정'!$B$8))*'01_설정'!$B$17+K172*'01_설정'!$B$11+L172*'01_설정'!$B$12)</f>
        <v/>
      </c>
      <c r="R172">
        <f>IF(Q172="","",1+COUNTIFS($Q$31:$Q$1030,"&gt;"&amp;Q172)+COUNTIFS($Q$31:Q172,Q172)-1)</f>
        <v/>
      </c>
    </row>
    <row r="173" hidden="1" ht="16.5" customHeight="1">
      <c r="A173">
        <f>IF(COUNTA('05_KAIS'!$A161:$N161)=0,"",146)</f>
        <v/>
      </c>
      <c r="B173">
        <f>IF($A173="","",TRIM(INDEX('05_KAIS'!$B:$B,$A173)&amp;" "&amp;INDEX('05_KAIS'!$C:$C,$A173)))</f>
        <v/>
      </c>
      <c r="C173">
        <f>IF($A173="","",INDEX('05_KAIS'!$D:$D,$A173))</f>
        <v/>
      </c>
      <c r="D173">
        <f>IF($A173="","",INDEX('05_KAIS'!$H:$H,$A173))</f>
        <v/>
      </c>
      <c r="E173">
        <f>IF($A173="","",INDEX('05_KAIS'!$K:$K,$A173))</f>
        <v/>
      </c>
      <c r="F173" s="202">
        <f>IF($A173="","",INDEX('05_KAIS'!$I:$I,$A173))</f>
        <v/>
      </c>
      <c r="G173" s="118">
        <f>IF($A173="","",INDEX('05_KAIS'!$L:$L,$A173))</f>
        <v/>
      </c>
      <c r="H173" s="118">
        <f>IF($A173="","",IFERROR(INDEX('05_KAIS'!$M:$M,$A173),IF(AND(E173&gt;0,G173&gt;0),G173/E173,"")))</f>
        <v/>
      </c>
      <c r="I173" s="202">
        <f>IF($A173="","",INDEX('05_KAIS'!$N:$N,$A173))</f>
        <v/>
      </c>
      <c r="J173">
        <f>IF(B173="","",IF('02_대상물건입력'!$B$5="",1,IF(ISNUMBER(SEARCH('02_대상물건입력'!$B$5,B173)),1,0)))</f>
        <v/>
      </c>
      <c r="K173">
        <f>IF(B173="","",IF('02_대상물건입력'!$B$6="",1,IF(ISNUMBER(SEARCH('02_대상물건입력'!$B$6,B173)),1,0)))</f>
        <v/>
      </c>
      <c r="L173">
        <f>IF(D173="","",IF('02_대상물건입력'!$B$8="",0,IF(ISNUMBER(SEARCH('02_대상물건입력'!$B$8,D173)),1,0)))</f>
        <v/>
      </c>
      <c r="M173">
        <f>IFERROR(ABS(E173-'02_대상물건입력'!$B$11)/'02_대상물건입력'!$B$11,"")</f>
        <v/>
      </c>
      <c r="N173">
        <f>IFERROR(ABS('01_설정'!$B$4-F173),"")</f>
        <v/>
      </c>
      <c r="O173">
        <f>IFERROR(ABS(YEAR(I173)-YEAR('02_대상물건입력'!$B$14)),"")</f>
        <v/>
      </c>
      <c r="P173">
        <f>IF(AND(E173&gt;0,F173&gt;0,G173&gt;0,IF('01_설정'!$B$10=1,J173=1,TRUE()),M173&lt;='01_설정'!$B$5,N173&lt;='01_설정'!$B$7,O173&lt;='01_설정'!$B$8),"Y","")</f>
        <v/>
      </c>
      <c r="Q173">
        <f>IF(P173&lt;&gt;"Y","",MAX(0,(1-M173/'01_설정'!$B$5))*'01_설정'!$B$14+MAX(0,(1-N173/'01_설정'!$B$7))*'01_설정'!$B$16+MAX(0,(1-O173/'01_설정'!$B$8))*'01_설정'!$B$17+K173*'01_설정'!$B$11+L173*'01_설정'!$B$12)</f>
        <v/>
      </c>
      <c r="R173">
        <f>IF(Q173="","",1+COUNTIFS($Q$31:$Q$1030,"&gt;"&amp;Q173)+COUNTIFS($Q$31:Q173,Q173)-1)</f>
        <v/>
      </c>
    </row>
    <row r="174" hidden="1" ht="16.5" customHeight="1">
      <c r="A174">
        <f>IF(COUNTA('05_KAIS'!$A162:$N162)=0,"",147)</f>
        <v/>
      </c>
      <c r="B174">
        <f>IF($A174="","",TRIM(INDEX('05_KAIS'!$B:$B,$A174)&amp;" "&amp;INDEX('05_KAIS'!$C:$C,$A174)))</f>
        <v/>
      </c>
      <c r="C174">
        <f>IF($A174="","",INDEX('05_KAIS'!$D:$D,$A174))</f>
        <v/>
      </c>
      <c r="D174">
        <f>IF($A174="","",INDEX('05_KAIS'!$H:$H,$A174))</f>
        <v/>
      </c>
      <c r="E174">
        <f>IF($A174="","",INDEX('05_KAIS'!$K:$K,$A174))</f>
        <v/>
      </c>
      <c r="F174" s="202">
        <f>IF($A174="","",INDEX('05_KAIS'!$I:$I,$A174))</f>
        <v/>
      </c>
      <c r="G174" s="118">
        <f>IF($A174="","",INDEX('05_KAIS'!$L:$L,$A174))</f>
        <v/>
      </c>
      <c r="H174" s="118">
        <f>IF($A174="","",IFERROR(INDEX('05_KAIS'!$M:$M,$A174),IF(AND(E174&gt;0,G174&gt;0),G174/E174,"")))</f>
        <v/>
      </c>
      <c r="I174" s="202">
        <f>IF($A174="","",INDEX('05_KAIS'!$N:$N,$A174))</f>
        <v/>
      </c>
      <c r="J174">
        <f>IF(B174="","",IF('02_대상물건입력'!$B$5="",1,IF(ISNUMBER(SEARCH('02_대상물건입력'!$B$5,B174)),1,0)))</f>
        <v/>
      </c>
      <c r="K174">
        <f>IF(B174="","",IF('02_대상물건입력'!$B$6="",1,IF(ISNUMBER(SEARCH('02_대상물건입력'!$B$6,B174)),1,0)))</f>
        <v/>
      </c>
      <c r="L174">
        <f>IF(D174="","",IF('02_대상물건입력'!$B$8="",0,IF(ISNUMBER(SEARCH('02_대상물건입력'!$B$8,D174)),1,0)))</f>
        <v/>
      </c>
      <c r="M174">
        <f>IFERROR(ABS(E174-'02_대상물건입력'!$B$11)/'02_대상물건입력'!$B$11,"")</f>
        <v/>
      </c>
      <c r="N174">
        <f>IFERROR(ABS('01_설정'!$B$4-F174),"")</f>
        <v/>
      </c>
      <c r="O174">
        <f>IFERROR(ABS(YEAR(I174)-YEAR('02_대상물건입력'!$B$14)),"")</f>
        <v/>
      </c>
      <c r="P174">
        <f>IF(AND(E174&gt;0,F174&gt;0,G174&gt;0,IF('01_설정'!$B$10=1,J174=1,TRUE()),M174&lt;='01_설정'!$B$5,N174&lt;='01_설정'!$B$7,O174&lt;='01_설정'!$B$8),"Y","")</f>
        <v/>
      </c>
      <c r="Q174">
        <f>IF(P174&lt;&gt;"Y","",MAX(0,(1-M174/'01_설정'!$B$5))*'01_설정'!$B$14+MAX(0,(1-N174/'01_설정'!$B$7))*'01_설정'!$B$16+MAX(0,(1-O174/'01_설정'!$B$8))*'01_설정'!$B$17+K174*'01_설정'!$B$11+L174*'01_설정'!$B$12)</f>
        <v/>
      </c>
      <c r="R174">
        <f>IF(Q174="","",1+COUNTIFS($Q$31:$Q$1030,"&gt;"&amp;Q174)+COUNTIFS($Q$31:Q174,Q174)-1)</f>
        <v/>
      </c>
    </row>
    <row r="175" hidden="1" ht="16.5" customHeight="1">
      <c r="A175">
        <f>IF(COUNTA('05_KAIS'!$A163:$N163)=0,"",148)</f>
        <v/>
      </c>
      <c r="B175">
        <f>IF($A175="","",TRIM(INDEX('05_KAIS'!$B:$B,$A175)&amp;" "&amp;INDEX('05_KAIS'!$C:$C,$A175)))</f>
        <v/>
      </c>
      <c r="C175">
        <f>IF($A175="","",INDEX('05_KAIS'!$D:$D,$A175))</f>
        <v/>
      </c>
      <c r="D175">
        <f>IF($A175="","",INDEX('05_KAIS'!$H:$H,$A175))</f>
        <v/>
      </c>
      <c r="E175">
        <f>IF($A175="","",INDEX('05_KAIS'!$K:$K,$A175))</f>
        <v/>
      </c>
      <c r="F175" s="202">
        <f>IF($A175="","",INDEX('05_KAIS'!$I:$I,$A175))</f>
        <v/>
      </c>
      <c r="G175" s="118">
        <f>IF($A175="","",INDEX('05_KAIS'!$L:$L,$A175))</f>
        <v/>
      </c>
      <c r="H175" s="118">
        <f>IF($A175="","",IFERROR(INDEX('05_KAIS'!$M:$M,$A175),IF(AND(E175&gt;0,G175&gt;0),G175/E175,"")))</f>
        <v/>
      </c>
      <c r="I175" s="202">
        <f>IF($A175="","",INDEX('05_KAIS'!$N:$N,$A175))</f>
        <v/>
      </c>
      <c r="J175">
        <f>IF(B175="","",IF('02_대상물건입력'!$B$5="",1,IF(ISNUMBER(SEARCH('02_대상물건입력'!$B$5,B175)),1,0)))</f>
        <v/>
      </c>
      <c r="K175">
        <f>IF(B175="","",IF('02_대상물건입력'!$B$6="",1,IF(ISNUMBER(SEARCH('02_대상물건입력'!$B$6,B175)),1,0)))</f>
        <v/>
      </c>
      <c r="L175">
        <f>IF(D175="","",IF('02_대상물건입력'!$B$8="",0,IF(ISNUMBER(SEARCH('02_대상물건입력'!$B$8,D175)),1,0)))</f>
        <v/>
      </c>
      <c r="M175">
        <f>IFERROR(ABS(E175-'02_대상물건입력'!$B$11)/'02_대상물건입력'!$B$11,"")</f>
        <v/>
      </c>
      <c r="N175">
        <f>IFERROR(ABS('01_설정'!$B$4-F175),"")</f>
        <v/>
      </c>
      <c r="O175">
        <f>IFERROR(ABS(YEAR(I175)-YEAR('02_대상물건입력'!$B$14)),"")</f>
        <v/>
      </c>
      <c r="P175">
        <f>IF(AND(E175&gt;0,F175&gt;0,G175&gt;0,IF('01_설정'!$B$10=1,J175=1,TRUE()),M175&lt;='01_설정'!$B$5,N175&lt;='01_설정'!$B$7,O175&lt;='01_설정'!$B$8),"Y","")</f>
        <v/>
      </c>
      <c r="Q175">
        <f>IF(P175&lt;&gt;"Y","",MAX(0,(1-M175/'01_설정'!$B$5))*'01_설정'!$B$14+MAX(0,(1-N175/'01_설정'!$B$7))*'01_설정'!$B$16+MAX(0,(1-O175/'01_설정'!$B$8))*'01_설정'!$B$17+K175*'01_설정'!$B$11+L175*'01_설정'!$B$12)</f>
        <v/>
      </c>
      <c r="R175">
        <f>IF(Q175="","",1+COUNTIFS($Q$31:$Q$1030,"&gt;"&amp;Q175)+COUNTIFS($Q$31:Q175,Q175)-1)</f>
        <v/>
      </c>
    </row>
    <row r="176" hidden="1" ht="16.5" customHeight="1">
      <c r="A176">
        <f>IF(COUNTA('05_KAIS'!$A164:$N164)=0,"",149)</f>
        <v/>
      </c>
      <c r="B176">
        <f>IF($A176="","",TRIM(INDEX('05_KAIS'!$B:$B,$A176)&amp;" "&amp;INDEX('05_KAIS'!$C:$C,$A176)))</f>
        <v/>
      </c>
      <c r="C176">
        <f>IF($A176="","",INDEX('05_KAIS'!$D:$D,$A176))</f>
        <v/>
      </c>
      <c r="D176">
        <f>IF($A176="","",INDEX('05_KAIS'!$H:$H,$A176))</f>
        <v/>
      </c>
      <c r="E176">
        <f>IF($A176="","",INDEX('05_KAIS'!$K:$K,$A176))</f>
        <v/>
      </c>
      <c r="F176" s="202">
        <f>IF($A176="","",INDEX('05_KAIS'!$I:$I,$A176))</f>
        <v/>
      </c>
      <c r="G176" s="118">
        <f>IF($A176="","",INDEX('05_KAIS'!$L:$L,$A176))</f>
        <v/>
      </c>
      <c r="H176" s="118">
        <f>IF($A176="","",IFERROR(INDEX('05_KAIS'!$M:$M,$A176),IF(AND(E176&gt;0,G176&gt;0),G176/E176,"")))</f>
        <v/>
      </c>
      <c r="I176" s="202">
        <f>IF($A176="","",INDEX('05_KAIS'!$N:$N,$A176))</f>
        <v/>
      </c>
      <c r="J176">
        <f>IF(B176="","",IF('02_대상물건입력'!$B$5="",1,IF(ISNUMBER(SEARCH('02_대상물건입력'!$B$5,B176)),1,0)))</f>
        <v/>
      </c>
      <c r="K176">
        <f>IF(B176="","",IF('02_대상물건입력'!$B$6="",1,IF(ISNUMBER(SEARCH('02_대상물건입력'!$B$6,B176)),1,0)))</f>
        <v/>
      </c>
      <c r="L176">
        <f>IF(D176="","",IF('02_대상물건입력'!$B$8="",0,IF(ISNUMBER(SEARCH('02_대상물건입력'!$B$8,D176)),1,0)))</f>
        <v/>
      </c>
      <c r="M176">
        <f>IFERROR(ABS(E176-'02_대상물건입력'!$B$11)/'02_대상물건입력'!$B$11,"")</f>
        <v/>
      </c>
      <c r="N176">
        <f>IFERROR(ABS('01_설정'!$B$4-F176),"")</f>
        <v/>
      </c>
      <c r="O176">
        <f>IFERROR(ABS(YEAR(I176)-YEAR('02_대상물건입력'!$B$14)),"")</f>
        <v/>
      </c>
      <c r="P176">
        <f>IF(AND(E176&gt;0,F176&gt;0,G176&gt;0,IF('01_설정'!$B$10=1,J176=1,TRUE()),M176&lt;='01_설정'!$B$5,N176&lt;='01_설정'!$B$7,O176&lt;='01_설정'!$B$8),"Y","")</f>
        <v/>
      </c>
      <c r="Q176">
        <f>IF(P176&lt;&gt;"Y","",MAX(0,(1-M176/'01_설정'!$B$5))*'01_설정'!$B$14+MAX(0,(1-N176/'01_설정'!$B$7))*'01_설정'!$B$16+MAX(0,(1-O176/'01_설정'!$B$8))*'01_설정'!$B$17+K176*'01_설정'!$B$11+L176*'01_설정'!$B$12)</f>
        <v/>
      </c>
      <c r="R176">
        <f>IF(Q176="","",1+COUNTIFS($Q$31:$Q$1030,"&gt;"&amp;Q176)+COUNTIFS($Q$31:Q176,Q176)-1)</f>
        <v/>
      </c>
    </row>
    <row r="177" hidden="1" ht="16.5" customHeight="1">
      <c r="A177">
        <f>IF(COUNTA('05_KAIS'!$A165:$N165)=0,"",150)</f>
        <v/>
      </c>
      <c r="B177">
        <f>IF($A177="","",TRIM(INDEX('05_KAIS'!$B:$B,$A177)&amp;" "&amp;INDEX('05_KAIS'!$C:$C,$A177)))</f>
        <v/>
      </c>
      <c r="C177">
        <f>IF($A177="","",INDEX('05_KAIS'!$D:$D,$A177))</f>
        <v/>
      </c>
      <c r="D177">
        <f>IF($A177="","",INDEX('05_KAIS'!$H:$H,$A177))</f>
        <v/>
      </c>
      <c r="E177">
        <f>IF($A177="","",INDEX('05_KAIS'!$K:$K,$A177))</f>
        <v/>
      </c>
      <c r="F177" s="202">
        <f>IF($A177="","",INDEX('05_KAIS'!$I:$I,$A177))</f>
        <v/>
      </c>
      <c r="G177" s="118">
        <f>IF($A177="","",INDEX('05_KAIS'!$L:$L,$A177))</f>
        <v/>
      </c>
      <c r="H177" s="118">
        <f>IF($A177="","",IFERROR(INDEX('05_KAIS'!$M:$M,$A177),IF(AND(E177&gt;0,G177&gt;0),G177/E177,"")))</f>
        <v/>
      </c>
      <c r="I177" s="202">
        <f>IF($A177="","",INDEX('05_KAIS'!$N:$N,$A177))</f>
        <v/>
      </c>
      <c r="J177">
        <f>IF(B177="","",IF('02_대상물건입력'!$B$5="",1,IF(ISNUMBER(SEARCH('02_대상물건입력'!$B$5,B177)),1,0)))</f>
        <v/>
      </c>
      <c r="K177">
        <f>IF(B177="","",IF('02_대상물건입력'!$B$6="",1,IF(ISNUMBER(SEARCH('02_대상물건입력'!$B$6,B177)),1,0)))</f>
        <v/>
      </c>
      <c r="L177">
        <f>IF(D177="","",IF('02_대상물건입력'!$B$8="",0,IF(ISNUMBER(SEARCH('02_대상물건입력'!$B$8,D177)),1,0)))</f>
        <v/>
      </c>
      <c r="M177">
        <f>IFERROR(ABS(E177-'02_대상물건입력'!$B$11)/'02_대상물건입력'!$B$11,"")</f>
        <v/>
      </c>
      <c r="N177">
        <f>IFERROR(ABS('01_설정'!$B$4-F177),"")</f>
        <v/>
      </c>
      <c r="O177">
        <f>IFERROR(ABS(YEAR(I177)-YEAR('02_대상물건입력'!$B$14)),"")</f>
        <v/>
      </c>
      <c r="P177">
        <f>IF(AND(E177&gt;0,F177&gt;0,G177&gt;0,IF('01_설정'!$B$10=1,J177=1,TRUE()),M177&lt;='01_설정'!$B$5,N177&lt;='01_설정'!$B$7,O177&lt;='01_설정'!$B$8),"Y","")</f>
        <v/>
      </c>
      <c r="Q177">
        <f>IF(P177&lt;&gt;"Y","",MAX(0,(1-M177/'01_설정'!$B$5))*'01_설정'!$B$14+MAX(0,(1-N177/'01_설정'!$B$7))*'01_설정'!$B$16+MAX(0,(1-O177/'01_설정'!$B$8))*'01_설정'!$B$17+K177*'01_설정'!$B$11+L177*'01_설정'!$B$12)</f>
        <v/>
      </c>
      <c r="R177">
        <f>IF(Q177="","",1+COUNTIFS($Q$31:$Q$1030,"&gt;"&amp;Q177)+COUNTIFS($Q$31:Q177,Q177)-1)</f>
        <v/>
      </c>
    </row>
    <row r="178" hidden="1" ht="16.5" customHeight="1">
      <c r="A178">
        <f>IF(COUNTA('05_KAIS'!$A166:$N166)=0,"",151)</f>
        <v/>
      </c>
      <c r="B178">
        <f>IF($A178="","",TRIM(INDEX('05_KAIS'!$B:$B,$A178)&amp;" "&amp;INDEX('05_KAIS'!$C:$C,$A178)))</f>
        <v/>
      </c>
      <c r="C178">
        <f>IF($A178="","",INDEX('05_KAIS'!$D:$D,$A178))</f>
        <v/>
      </c>
      <c r="D178">
        <f>IF($A178="","",INDEX('05_KAIS'!$H:$H,$A178))</f>
        <v/>
      </c>
      <c r="E178">
        <f>IF($A178="","",INDEX('05_KAIS'!$K:$K,$A178))</f>
        <v/>
      </c>
      <c r="F178" s="202">
        <f>IF($A178="","",INDEX('05_KAIS'!$I:$I,$A178))</f>
        <v/>
      </c>
      <c r="G178" s="118">
        <f>IF($A178="","",INDEX('05_KAIS'!$L:$L,$A178))</f>
        <v/>
      </c>
      <c r="H178" s="118">
        <f>IF($A178="","",IFERROR(INDEX('05_KAIS'!$M:$M,$A178),IF(AND(E178&gt;0,G178&gt;0),G178/E178,"")))</f>
        <v/>
      </c>
      <c r="I178" s="202">
        <f>IF($A178="","",INDEX('05_KAIS'!$N:$N,$A178))</f>
        <v/>
      </c>
      <c r="J178">
        <f>IF(B178="","",IF('02_대상물건입력'!$B$5="",1,IF(ISNUMBER(SEARCH('02_대상물건입력'!$B$5,B178)),1,0)))</f>
        <v/>
      </c>
      <c r="K178">
        <f>IF(B178="","",IF('02_대상물건입력'!$B$6="",1,IF(ISNUMBER(SEARCH('02_대상물건입력'!$B$6,B178)),1,0)))</f>
        <v/>
      </c>
      <c r="L178">
        <f>IF(D178="","",IF('02_대상물건입력'!$B$8="",0,IF(ISNUMBER(SEARCH('02_대상물건입력'!$B$8,D178)),1,0)))</f>
        <v/>
      </c>
      <c r="M178">
        <f>IFERROR(ABS(E178-'02_대상물건입력'!$B$11)/'02_대상물건입력'!$B$11,"")</f>
        <v/>
      </c>
      <c r="N178">
        <f>IFERROR(ABS('01_설정'!$B$4-F178),"")</f>
        <v/>
      </c>
      <c r="O178">
        <f>IFERROR(ABS(YEAR(I178)-YEAR('02_대상물건입력'!$B$14)),"")</f>
        <v/>
      </c>
      <c r="P178">
        <f>IF(AND(E178&gt;0,F178&gt;0,G178&gt;0,IF('01_설정'!$B$10=1,J178=1,TRUE()),M178&lt;='01_설정'!$B$5,N178&lt;='01_설정'!$B$7,O178&lt;='01_설정'!$B$8),"Y","")</f>
        <v/>
      </c>
      <c r="Q178">
        <f>IF(P178&lt;&gt;"Y","",MAX(0,(1-M178/'01_설정'!$B$5))*'01_설정'!$B$14+MAX(0,(1-N178/'01_설정'!$B$7))*'01_설정'!$B$16+MAX(0,(1-O178/'01_설정'!$B$8))*'01_설정'!$B$17+K178*'01_설정'!$B$11+L178*'01_설정'!$B$12)</f>
        <v/>
      </c>
      <c r="R178">
        <f>IF(Q178="","",1+COUNTIFS($Q$31:$Q$1030,"&gt;"&amp;Q178)+COUNTIFS($Q$31:Q178,Q178)-1)</f>
        <v/>
      </c>
    </row>
    <row r="179" hidden="1" ht="16.5" customHeight="1">
      <c r="A179">
        <f>IF(COUNTA('05_KAIS'!$A167:$N167)=0,"",152)</f>
        <v/>
      </c>
      <c r="B179">
        <f>IF($A179="","",TRIM(INDEX('05_KAIS'!$B:$B,$A179)&amp;" "&amp;INDEX('05_KAIS'!$C:$C,$A179)))</f>
        <v/>
      </c>
      <c r="C179">
        <f>IF($A179="","",INDEX('05_KAIS'!$D:$D,$A179))</f>
        <v/>
      </c>
      <c r="D179">
        <f>IF($A179="","",INDEX('05_KAIS'!$H:$H,$A179))</f>
        <v/>
      </c>
      <c r="E179">
        <f>IF($A179="","",INDEX('05_KAIS'!$K:$K,$A179))</f>
        <v/>
      </c>
      <c r="F179" s="202">
        <f>IF($A179="","",INDEX('05_KAIS'!$I:$I,$A179))</f>
        <v/>
      </c>
      <c r="G179" s="118">
        <f>IF($A179="","",INDEX('05_KAIS'!$L:$L,$A179))</f>
        <v/>
      </c>
      <c r="H179" s="118">
        <f>IF($A179="","",IFERROR(INDEX('05_KAIS'!$M:$M,$A179),IF(AND(E179&gt;0,G179&gt;0),G179/E179,"")))</f>
        <v/>
      </c>
      <c r="I179" s="202">
        <f>IF($A179="","",INDEX('05_KAIS'!$N:$N,$A179))</f>
        <v/>
      </c>
      <c r="J179">
        <f>IF(B179="","",IF('02_대상물건입력'!$B$5="",1,IF(ISNUMBER(SEARCH('02_대상물건입력'!$B$5,B179)),1,0)))</f>
        <v/>
      </c>
      <c r="K179">
        <f>IF(B179="","",IF('02_대상물건입력'!$B$6="",1,IF(ISNUMBER(SEARCH('02_대상물건입력'!$B$6,B179)),1,0)))</f>
        <v/>
      </c>
      <c r="L179">
        <f>IF(D179="","",IF('02_대상물건입력'!$B$8="",0,IF(ISNUMBER(SEARCH('02_대상물건입력'!$B$8,D179)),1,0)))</f>
        <v/>
      </c>
      <c r="M179">
        <f>IFERROR(ABS(E179-'02_대상물건입력'!$B$11)/'02_대상물건입력'!$B$11,"")</f>
        <v/>
      </c>
      <c r="N179">
        <f>IFERROR(ABS('01_설정'!$B$4-F179),"")</f>
        <v/>
      </c>
      <c r="O179">
        <f>IFERROR(ABS(YEAR(I179)-YEAR('02_대상물건입력'!$B$14)),"")</f>
        <v/>
      </c>
      <c r="P179">
        <f>IF(AND(E179&gt;0,F179&gt;0,G179&gt;0,IF('01_설정'!$B$10=1,J179=1,TRUE()),M179&lt;='01_설정'!$B$5,N179&lt;='01_설정'!$B$7,O179&lt;='01_설정'!$B$8),"Y","")</f>
        <v/>
      </c>
      <c r="Q179">
        <f>IF(P179&lt;&gt;"Y","",MAX(0,(1-M179/'01_설정'!$B$5))*'01_설정'!$B$14+MAX(0,(1-N179/'01_설정'!$B$7))*'01_설정'!$B$16+MAX(0,(1-O179/'01_설정'!$B$8))*'01_설정'!$B$17+K179*'01_설정'!$B$11+L179*'01_설정'!$B$12)</f>
        <v/>
      </c>
      <c r="R179">
        <f>IF(Q179="","",1+COUNTIFS($Q$31:$Q$1030,"&gt;"&amp;Q179)+COUNTIFS($Q$31:Q179,Q179)-1)</f>
        <v/>
      </c>
    </row>
    <row r="180" hidden="1" ht="16.5" customHeight="1">
      <c r="A180">
        <f>IF(COUNTA('05_KAIS'!$A168:$N168)=0,"",153)</f>
        <v/>
      </c>
      <c r="B180">
        <f>IF($A180="","",TRIM(INDEX('05_KAIS'!$B:$B,$A180)&amp;" "&amp;INDEX('05_KAIS'!$C:$C,$A180)))</f>
        <v/>
      </c>
      <c r="C180">
        <f>IF($A180="","",INDEX('05_KAIS'!$D:$D,$A180))</f>
        <v/>
      </c>
      <c r="D180">
        <f>IF($A180="","",INDEX('05_KAIS'!$H:$H,$A180))</f>
        <v/>
      </c>
      <c r="E180">
        <f>IF($A180="","",INDEX('05_KAIS'!$K:$K,$A180))</f>
        <v/>
      </c>
      <c r="F180" s="202">
        <f>IF($A180="","",INDEX('05_KAIS'!$I:$I,$A180))</f>
        <v/>
      </c>
      <c r="G180" s="118">
        <f>IF($A180="","",INDEX('05_KAIS'!$L:$L,$A180))</f>
        <v/>
      </c>
      <c r="H180" s="118">
        <f>IF($A180="","",IFERROR(INDEX('05_KAIS'!$M:$M,$A180),IF(AND(E180&gt;0,G180&gt;0),G180/E180,"")))</f>
        <v/>
      </c>
      <c r="I180" s="202">
        <f>IF($A180="","",INDEX('05_KAIS'!$N:$N,$A180))</f>
        <v/>
      </c>
      <c r="J180">
        <f>IF(B180="","",IF('02_대상물건입력'!$B$5="",1,IF(ISNUMBER(SEARCH('02_대상물건입력'!$B$5,B180)),1,0)))</f>
        <v/>
      </c>
      <c r="K180">
        <f>IF(B180="","",IF('02_대상물건입력'!$B$6="",1,IF(ISNUMBER(SEARCH('02_대상물건입력'!$B$6,B180)),1,0)))</f>
        <v/>
      </c>
      <c r="L180">
        <f>IF(D180="","",IF('02_대상물건입력'!$B$8="",0,IF(ISNUMBER(SEARCH('02_대상물건입력'!$B$8,D180)),1,0)))</f>
        <v/>
      </c>
      <c r="M180">
        <f>IFERROR(ABS(E180-'02_대상물건입력'!$B$11)/'02_대상물건입력'!$B$11,"")</f>
        <v/>
      </c>
      <c r="N180">
        <f>IFERROR(ABS('01_설정'!$B$4-F180),"")</f>
        <v/>
      </c>
      <c r="O180">
        <f>IFERROR(ABS(YEAR(I180)-YEAR('02_대상물건입력'!$B$14)),"")</f>
        <v/>
      </c>
      <c r="P180">
        <f>IF(AND(E180&gt;0,F180&gt;0,G180&gt;0,IF('01_설정'!$B$10=1,J180=1,TRUE()),M180&lt;='01_설정'!$B$5,N180&lt;='01_설정'!$B$7,O180&lt;='01_설정'!$B$8),"Y","")</f>
        <v/>
      </c>
      <c r="Q180">
        <f>IF(P180&lt;&gt;"Y","",MAX(0,(1-M180/'01_설정'!$B$5))*'01_설정'!$B$14+MAX(0,(1-N180/'01_설정'!$B$7))*'01_설정'!$B$16+MAX(0,(1-O180/'01_설정'!$B$8))*'01_설정'!$B$17+K180*'01_설정'!$B$11+L180*'01_설정'!$B$12)</f>
        <v/>
      </c>
      <c r="R180">
        <f>IF(Q180="","",1+COUNTIFS($Q$31:$Q$1030,"&gt;"&amp;Q180)+COUNTIFS($Q$31:Q180,Q180)-1)</f>
        <v/>
      </c>
    </row>
    <row r="181" hidden="1" ht="16.5" customHeight="1">
      <c r="A181">
        <f>IF(COUNTA('05_KAIS'!$A169:$N169)=0,"",154)</f>
        <v/>
      </c>
      <c r="B181">
        <f>IF($A181="","",TRIM(INDEX('05_KAIS'!$B:$B,$A181)&amp;" "&amp;INDEX('05_KAIS'!$C:$C,$A181)))</f>
        <v/>
      </c>
      <c r="C181">
        <f>IF($A181="","",INDEX('05_KAIS'!$D:$D,$A181))</f>
        <v/>
      </c>
      <c r="D181">
        <f>IF($A181="","",INDEX('05_KAIS'!$H:$H,$A181))</f>
        <v/>
      </c>
      <c r="E181">
        <f>IF($A181="","",INDEX('05_KAIS'!$K:$K,$A181))</f>
        <v/>
      </c>
      <c r="F181" s="202">
        <f>IF($A181="","",INDEX('05_KAIS'!$I:$I,$A181))</f>
        <v/>
      </c>
      <c r="G181" s="118">
        <f>IF($A181="","",INDEX('05_KAIS'!$L:$L,$A181))</f>
        <v/>
      </c>
      <c r="H181" s="118">
        <f>IF($A181="","",IFERROR(INDEX('05_KAIS'!$M:$M,$A181),IF(AND(E181&gt;0,G181&gt;0),G181/E181,"")))</f>
        <v/>
      </c>
      <c r="I181" s="202">
        <f>IF($A181="","",INDEX('05_KAIS'!$N:$N,$A181))</f>
        <v/>
      </c>
      <c r="J181">
        <f>IF(B181="","",IF('02_대상물건입력'!$B$5="",1,IF(ISNUMBER(SEARCH('02_대상물건입력'!$B$5,B181)),1,0)))</f>
        <v/>
      </c>
      <c r="K181">
        <f>IF(B181="","",IF('02_대상물건입력'!$B$6="",1,IF(ISNUMBER(SEARCH('02_대상물건입력'!$B$6,B181)),1,0)))</f>
        <v/>
      </c>
      <c r="L181">
        <f>IF(D181="","",IF('02_대상물건입력'!$B$8="",0,IF(ISNUMBER(SEARCH('02_대상물건입력'!$B$8,D181)),1,0)))</f>
        <v/>
      </c>
      <c r="M181">
        <f>IFERROR(ABS(E181-'02_대상물건입력'!$B$11)/'02_대상물건입력'!$B$11,"")</f>
        <v/>
      </c>
      <c r="N181">
        <f>IFERROR(ABS('01_설정'!$B$4-F181),"")</f>
        <v/>
      </c>
      <c r="O181">
        <f>IFERROR(ABS(YEAR(I181)-YEAR('02_대상물건입력'!$B$14)),"")</f>
        <v/>
      </c>
      <c r="P181">
        <f>IF(AND(E181&gt;0,F181&gt;0,G181&gt;0,IF('01_설정'!$B$10=1,J181=1,TRUE()),M181&lt;='01_설정'!$B$5,N181&lt;='01_설정'!$B$7,O181&lt;='01_설정'!$B$8),"Y","")</f>
        <v/>
      </c>
      <c r="Q181">
        <f>IF(P181&lt;&gt;"Y","",MAX(0,(1-M181/'01_설정'!$B$5))*'01_설정'!$B$14+MAX(0,(1-N181/'01_설정'!$B$7))*'01_설정'!$B$16+MAX(0,(1-O181/'01_설정'!$B$8))*'01_설정'!$B$17+K181*'01_설정'!$B$11+L181*'01_설정'!$B$12)</f>
        <v/>
      </c>
      <c r="R181">
        <f>IF(Q181="","",1+COUNTIFS($Q$31:$Q$1030,"&gt;"&amp;Q181)+COUNTIFS($Q$31:Q181,Q181)-1)</f>
        <v/>
      </c>
    </row>
    <row r="182" hidden="1" ht="16.5" customHeight="1">
      <c r="A182">
        <f>IF(COUNTA('05_KAIS'!$A170:$N170)=0,"",155)</f>
        <v/>
      </c>
      <c r="B182">
        <f>IF($A182="","",TRIM(INDEX('05_KAIS'!$B:$B,$A182)&amp;" "&amp;INDEX('05_KAIS'!$C:$C,$A182)))</f>
        <v/>
      </c>
      <c r="C182">
        <f>IF($A182="","",INDEX('05_KAIS'!$D:$D,$A182))</f>
        <v/>
      </c>
      <c r="D182">
        <f>IF($A182="","",INDEX('05_KAIS'!$H:$H,$A182))</f>
        <v/>
      </c>
      <c r="E182">
        <f>IF($A182="","",INDEX('05_KAIS'!$K:$K,$A182))</f>
        <v/>
      </c>
      <c r="F182" s="202">
        <f>IF($A182="","",INDEX('05_KAIS'!$I:$I,$A182))</f>
        <v/>
      </c>
      <c r="G182" s="118">
        <f>IF($A182="","",INDEX('05_KAIS'!$L:$L,$A182))</f>
        <v/>
      </c>
      <c r="H182" s="118">
        <f>IF($A182="","",IFERROR(INDEX('05_KAIS'!$M:$M,$A182),IF(AND(E182&gt;0,G182&gt;0),G182/E182,"")))</f>
        <v/>
      </c>
      <c r="I182" s="202">
        <f>IF($A182="","",INDEX('05_KAIS'!$N:$N,$A182))</f>
        <v/>
      </c>
      <c r="J182">
        <f>IF(B182="","",IF('02_대상물건입력'!$B$5="",1,IF(ISNUMBER(SEARCH('02_대상물건입력'!$B$5,B182)),1,0)))</f>
        <v/>
      </c>
      <c r="K182">
        <f>IF(B182="","",IF('02_대상물건입력'!$B$6="",1,IF(ISNUMBER(SEARCH('02_대상물건입력'!$B$6,B182)),1,0)))</f>
        <v/>
      </c>
      <c r="L182">
        <f>IF(D182="","",IF('02_대상물건입력'!$B$8="",0,IF(ISNUMBER(SEARCH('02_대상물건입력'!$B$8,D182)),1,0)))</f>
        <v/>
      </c>
      <c r="M182">
        <f>IFERROR(ABS(E182-'02_대상물건입력'!$B$11)/'02_대상물건입력'!$B$11,"")</f>
        <v/>
      </c>
      <c r="N182">
        <f>IFERROR(ABS('01_설정'!$B$4-F182),"")</f>
        <v/>
      </c>
      <c r="O182">
        <f>IFERROR(ABS(YEAR(I182)-YEAR('02_대상물건입력'!$B$14)),"")</f>
        <v/>
      </c>
      <c r="P182">
        <f>IF(AND(E182&gt;0,F182&gt;0,G182&gt;0,IF('01_설정'!$B$10=1,J182=1,TRUE()),M182&lt;='01_설정'!$B$5,N182&lt;='01_설정'!$B$7,O182&lt;='01_설정'!$B$8),"Y","")</f>
        <v/>
      </c>
      <c r="Q182">
        <f>IF(P182&lt;&gt;"Y","",MAX(0,(1-M182/'01_설정'!$B$5))*'01_설정'!$B$14+MAX(0,(1-N182/'01_설정'!$B$7))*'01_설정'!$B$16+MAX(0,(1-O182/'01_설정'!$B$8))*'01_설정'!$B$17+K182*'01_설정'!$B$11+L182*'01_설정'!$B$12)</f>
        <v/>
      </c>
      <c r="R182">
        <f>IF(Q182="","",1+COUNTIFS($Q$31:$Q$1030,"&gt;"&amp;Q182)+COUNTIFS($Q$31:Q182,Q182)-1)</f>
        <v/>
      </c>
    </row>
    <row r="183" hidden="1" ht="16.5" customHeight="1">
      <c r="A183">
        <f>IF(COUNTA('05_KAIS'!$A171:$N171)=0,"",156)</f>
        <v/>
      </c>
      <c r="B183">
        <f>IF($A183="","",TRIM(INDEX('05_KAIS'!$B:$B,$A183)&amp;" "&amp;INDEX('05_KAIS'!$C:$C,$A183)))</f>
        <v/>
      </c>
      <c r="C183">
        <f>IF($A183="","",INDEX('05_KAIS'!$D:$D,$A183))</f>
        <v/>
      </c>
      <c r="D183">
        <f>IF($A183="","",INDEX('05_KAIS'!$H:$H,$A183))</f>
        <v/>
      </c>
      <c r="E183">
        <f>IF($A183="","",INDEX('05_KAIS'!$K:$K,$A183))</f>
        <v/>
      </c>
      <c r="F183" s="202">
        <f>IF($A183="","",INDEX('05_KAIS'!$I:$I,$A183))</f>
        <v/>
      </c>
      <c r="G183" s="118">
        <f>IF($A183="","",INDEX('05_KAIS'!$L:$L,$A183))</f>
        <v/>
      </c>
      <c r="H183" s="118">
        <f>IF($A183="","",IFERROR(INDEX('05_KAIS'!$M:$M,$A183),IF(AND(E183&gt;0,G183&gt;0),G183/E183,"")))</f>
        <v/>
      </c>
      <c r="I183" s="202">
        <f>IF($A183="","",INDEX('05_KAIS'!$N:$N,$A183))</f>
        <v/>
      </c>
      <c r="J183">
        <f>IF(B183="","",IF('02_대상물건입력'!$B$5="",1,IF(ISNUMBER(SEARCH('02_대상물건입력'!$B$5,B183)),1,0)))</f>
        <v/>
      </c>
      <c r="K183">
        <f>IF(B183="","",IF('02_대상물건입력'!$B$6="",1,IF(ISNUMBER(SEARCH('02_대상물건입력'!$B$6,B183)),1,0)))</f>
        <v/>
      </c>
      <c r="L183">
        <f>IF(D183="","",IF('02_대상물건입력'!$B$8="",0,IF(ISNUMBER(SEARCH('02_대상물건입력'!$B$8,D183)),1,0)))</f>
        <v/>
      </c>
      <c r="M183">
        <f>IFERROR(ABS(E183-'02_대상물건입력'!$B$11)/'02_대상물건입력'!$B$11,"")</f>
        <v/>
      </c>
      <c r="N183">
        <f>IFERROR(ABS('01_설정'!$B$4-F183),"")</f>
        <v/>
      </c>
      <c r="O183">
        <f>IFERROR(ABS(YEAR(I183)-YEAR('02_대상물건입력'!$B$14)),"")</f>
        <v/>
      </c>
      <c r="P183">
        <f>IF(AND(E183&gt;0,F183&gt;0,G183&gt;0,IF('01_설정'!$B$10=1,J183=1,TRUE()),M183&lt;='01_설정'!$B$5,N183&lt;='01_설정'!$B$7,O183&lt;='01_설정'!$B$8),"Y","")</f>
        <v/>
      </c>
      <c r="Q183">
        <f>IF(P183&lt;&gt;"Y","",MAX(0,(1-M183/'01_설정'!$B$5))*'01_설정'!$B$14+MAX(0,(1-N183/'01_설정'!$B$7))*'01_설정'!$B$16+MAX(0,(1-O183/'01_설정'!$B$8))*'01_설정'!$B$17+K183*'01_설정'!$B$11+L183*'01_설정'!$B$12)</f>
        <v/>
      </c>
      <c r="R183">
        <f>IF(Q183="","",1+COUNTIFS($Q$31:$Q$1030,"&gt;"&amp;Q183)+COUNTIFS($Q$31:Q183,Q183)-1)</f>
        <v/>
      </c>
    </row>
    <row r="184" hidden="1" ht="16.5" customHeight="1">
      <c r="A184">
        <f>IF(COUNTA('05_KAIS'!$A172:$N172)=0,"",157)</f>
        <v/>
      </c>
      <c r="B184">
        <f>IF($A184="","",TRIM(INDEX('05_KAIS'!$B:$B,$A184)&amp;" "&amp;INDEX('05_KAIS'!$C:$C,$A184)))</f>
        <v/>
      </c>
      <c r="C184">
        <f>IF($A184="","",INDEX('05_KAIS'!$D:$D,$A184))</f>
        <v/>
      </c>
      <c r="D184">
        <f>IF($A184="","",INDEX('05_KAIS'!$H:$H,$A184))</f>
        <v/>
      </c>
      <c r="E184">
        <f>IF($A184="","",INDEX('05_KAIS'!$K:$K,$A184))</f>
        <v/>
      </c>
      <c r="F184" s="202">
        <f>IF($A184="","",INDEX('05_KAIS'!$I:$I,$A184))</f>
        <v/>
      </c>
      <c r="G184" s="118">
        <f>IF($A184="","",INDEX('05_KAIS'!$L:$L,$A184))</f>
        <v/>
      </c>
      <c r="H184" s="118">
        <f>IF($A184="","",IFERROR(INDEX('05_KAIS'!$M:$M,$A184),IF(AND(E184&gt;0,G184&gt;0),G184/E184,"")))</f>
        <v/>
      </c>
      <c r="I184" s="202">
        <f>IF($A184="","",INDEX('05_KAIS'!$N:$N,$A184))</f>
        <v/>
      </c>
      <c r="J184">
        <f>IF(B184="","",IF('02_대상물건입력'!$B$5="",1,IF(ISNUMBER(SEARCH('02_대상물건입력'!$B$5,B184)),1,0)))</f>
        <v/>
      </c>
      <c r="K184">
        <f>IF(B184="","",IF('02_대상물건입력'!$B$6="",1,IF(ISNUMBER(SEARCH('02_대상물건입력'!$B$6,B184)),1,0)))</f>
        <v/>
      </c>
      <c r="L184">
        <f>IF(D184="","",IF('02_대상물건입력'!$B$8="",0,IF(ISNUMBER(SEARCH('02_대상물건입력'!$B$8,D184)),1,0)))</f>
        <v/>
      </c>
      <c r="M184">
        <f>IFERROR(ABS(E184-'02_대상물건입력'!$B$11)/'02_대상물건입력'!$B$11,"")</f>
        <v/>
      </c>
      <c r="N184">
        <f>IFERROR(ABS('01_설정'!$B$4-F184),"")</f>
        <v/>
      </c>
      <c r="O184">
        <f>IFERROR(ABS(YEAR(I184)-YEAR('02_대상물건입력'!$B$14)),"")</f>
        <v/>
      </c>
      <c r="P184">
        <f>IF(AND(E184&gt;0,F184&gt;0,G184&gt;0,IF('01_설정'!$B$10=1,J184=1,TRUE()),M184&lt;='01_설정'!$B$5,N184&lt;='01_설정'!$B$7,O184&lt;='01_설정'!$B$8),"Y","")</f>
        <v/>
      </c>
      <c r="Q184">
        <f>IF(P184&lt;&gt;"Y","",MAX(0,(1-M184/'01_설정'!$B$5))*'01_설정'!$B$14+MAX(0,(1-N184/'01_설정'!$B$7))*'01_설정'!$B$16+MAX(0,(1-O184/'01_설정'!$B$8))*'01_설정'!$B$17+K184*'01_설정'!$B$11+L184*'01_설정'!$B$12)</f>
        <v/>
      </c>
      <c r="R184">
        <f>IF(Q184="","",1+COUNTIFS($Q$31:$Q$1030,"&gt;"&amp;Q184)+COUNTIFS($Q$31:Q184,Q184)-1)</f>
        <v/>
      </c>
    </row>
    <row r="185" hidden="1" ht="16.5" customHeight="1">
      <c r="A185">
        <f>IF(COUNTA('05_KAIS'!$A173:$N173)=0,"",158)</f>
        <v/>
      </c>
      <c r="B185">
        <f>IF($A185="","",TRIM(INDEX('05_KAIS'!$B:$B,$A185)&amp;" "&amp;INDEX('05_KAIS'!$C:$C,$A185)))</f>
        <v/>
      </c>
      <c r="C185">
        <f>IF($A185="","",INDEX('05_KAIS'!$D:$D,$A185))</f>
        <v/>
      </c>
      <c r="D185">
        <f>IF($A185="","",INDEX('05_KAIS'!$H:$H,$A185))</f>
        <v/>
      </c>
      <c r="E185">
        <f>IF($A185="","",INDEX('05_KAIS'!$K:$K,$A185))</f>
        <v/>
      </c>
      <c r="F185" s="202">
        <f>IF($A185="","",INDEX('05_KAIS'!$I:$I,$A185))</f>
        <v/>
      </c>
      <c r="G185" s="118">
        <f>IF($A185="","",INDEX('05_KAIS'!$L:$L,$A185))</f>
        <v/>
      </c>
      <c r="H185" s="118">
        <f>IF($A185="","",IFERROR(INDEX('05_KAIS'!$M:$M,$A185),IF(AND(E185&gt;0,G185&gt;0),G185/E185,"")))</f>
        <v/>
      </c>
      <c r="I185" s="202">
        <f>IF($A185="","",INDEX('05_KAIS'!$N:$N,$A185))</f>
        <v/>
      </c>
      <c r="J185">
        <f>IF(B185="","",IF('02_대상물건입력'!$B$5="",1,IF(ISNUMBER(SEARCH('02_대상물건입력'!$B$5,B185)),1,0)))</f>
        <v/>
      </c>
      <c r="K185">
        <f>IF(B185="","",IF('02_대상물건입력'!$B$6="",1,IF(ISNUMBER(SEARCH('02_대상물건입력'!$B$6,B185)),1,0)))</f>
        <v/>
      </c>
      <c r="L185">
        <f>IF(D185="","",IF('02_대상물건입력'!$B$8="",0,IF(ISNUMBER(SEARCH('02_대상물건입력'!$B$8,D185)),1,0)))</f>
        <v/>
      </c>
      <c r="M185">
        <f>IFERROR(ABS(E185-'02_대상물건입력'!$B$11)/'02_대상물건입력'!$B$11,"")</f>
        <v/>
      </c>
      <c r="N185">
        <f>IFERROR(ABS('01_설정'!$B$4-F185),"")</f>
        <v/>
      </c>
      <c r="O185">
        <f>IFERROR(ABS(YEAR(I185)-YEAR('02_대상물건입력'!$B$14)),"")</f>
        <v/>
      </c>
      <c r="P185">
        <f>IF(AND(E185&gt;0,F185&gt;0,G185&gt;0,IF('01_설정'!$B$10=1,J185=1,TRUE()),M185&lt;='01_설정'!$B$5,N185&lt;='01_설정'!$B$7,O185&lt;='01_설정'!$B$8),"Y","")</f>
        <v/>
      </c>
      <c r="Q185">
        <f>IF(P185&lt;&gt;"Y","",MAX(0,(1-M185/'01_설정'!$B$5))*'01_설정'!$B$14+MAX(0,(1-N185/'01_설정'!$B$7))*'01_설정'!$B$16+MAX(0,(1-O185/'01_설정'!$B$8))*'01_설정'!$B$17+K185*'01_설정'!$B$11+L185*'01_설정'!$B$12)</f>
        <v/>
      </c>
      <c r="R185">
        <f>IF(Q185="","",1+COUNTIFS($Q$31:$Q$1030,"&gt;"&amp;Q185)+COUNTIFS($Q$31:Q185,Q185)-1)</f>
        <v/>
      </c>
    </row>
    <row r="186" hidden="1" ht="16.5" customHeight="1">
      <c r="A186">
        <f>IF(COUNTA('05_KAIS'!$A174:$N174)=0,"",159)</f>
        <v/>
      </c>
      <c r="B186">
        <f>IF($A186="","",TRIM(INDEX('05_KAIS'!$B:$B,$A186)&amp;" "&amp;INDEX('05_KAIS'!$C:$C,$A186)))</f>
        <v/>
      </c>
      <c r="C186">
        <f>IF($A186="","",INDEX('05_KAIS'!$D:$D,$A186))</f>
        <v/>
      </c>
      <c r="D186">
        <f>IF($A186="","",INDEX('05_KAIS'!$H:$H,$A186))</f>
        <v/>
      </c>
      <c r="E186">
        <f>IF($A186="","",INDEX('05_KAIS'!$K:$K,$A186))</f>
        <v/>
      </c>
      <c r="F186" s="202">
        <f>IF($A186="","",INDEX('05_KAIS'!$I:$I,$A186))</f>
        <v/>
      </c>
      <c r="G186" s="118">
        <f>IF($A186="","",INDEX('05_KAIS'!$L:$L,$A186))</f>
        <v/>
      </c>
      <c r="H186" s="118">
        <f>IF($A186="","",IFERROR(INDEX('05_KAIS'!$M:$M,$A186),IF(AND(E186&gt;0,G186&gt;0),G186/E186,"")))</f>
        <v/>
      </c>
      <c r="I186" s="202">
        <f>IF($A186="","",INDEX('05_KAIS'!$N:$N,$A186))</f>
        <v/>
      </c>
      <c r="J186">
        <f>IF(B186="","",IF('02_대상물건입력'!$B$5="",1,IF(ISNUMBER(SEARCH('02_대상물건입력'!$B$5,B186)),1,0)))</f>
        <v/>
      </c>
      <c r="K186">
        <f>IF(B186="","",IF('02_대상물건입력'!$B$6="",1,IF(ISNUMBER(SEARCH('02_대상물건입력'!$B$6,B186)),1,0)))</f>
        <v/>
      </c>
      <c r="L186">
        <f>IF(D186="","",IF('02_대상물건입력'!$B$8="",0,IF(ISNUMBER(SEARCH('02_대상물건입력'!$B$8,D186)),1,0)))</f>
        <v/>
      </c>
      <c r="M186">
        <f>IFERROR(ABS(E186-'02_대상물건입력'!$B$11)/'02_대상물건입력'!$B$11,"")</f>
        <v/>
      </c>
      <c r="N186">
        <f>IFERROR(ABS('01_설정'!$B$4-F186),"")</f>
        <v/>
      </c>
      <c r="O186">
        <f>IFERROR(ABS(YEAR(I186)-YEAR('02_대상물건입력'!$B$14)),"")</f>
        <v/>
      </c>
      <c r="P186">
        <f>IF(AND(E186&gt;0,F186&gt;0,G186&gt;0,IF('01_설정'!$B$10=1,J186=1,TRUE()),M186&lt;='01_설정'!$B$5,N186&lt;='01_설정'!$B$7,O186&lt;='01_설정'!$B$8),"Y","")</f>
        <v/>
      </c>
      <c r="Q186">
        <f>IF(P186&lt;&gt;"Y","",MAX(0,(1-M186/'01_설정'!$B$5))*'01_설정'!$B$14+MAX(0,(1-N186/'01_설정'!$B$7))*'01_설정'!$B$16+MAX(0,(1-O186/'01_설정'!$B$8))*'01_설정'!$B$17+K186*'01_설정'!$B$11+L186*'01_설정'!$B$12)</f>
        <v/>
      </c>
      <c r="R186">
        <f>IF(Q186="","",1+COUNTIFS($Q$31:$Q$1030,"&gt;"&amp;Q186)+COUNTIFS($Q$31:Q186,Q186)-1)</f>
        <v/>
      </c>
    </row>
    <row r="187" hidden="1" ht="16.5" customHeight="1">
      <c r="A187">
        <f>IF(COUNTA('05_KAIS'!$A175:$N175)=0,"",160)</f>
        <v/>
      </c>
      <c r="B187">
        <f>IF($A187="","",TRIM(INDEX('05_KAIS'!$B:$B,$A187)&amp;" "&amp;INDEX('05_KAIS'!$C:$C,$A187)))</f>
        <v/>
      </c>
      <c r="C187">
        <f>IF($A187="","",INDEX('05_KAIS'!$D:$D,$A187))</f>
        <v/>
      </c>
      <c r="D187">
        <f>IF($A187="","",INDEX('05_KAIS'!$H:$H,$A187))</f>
        <v/>
      </c>
      <c r="E187">
        <f>IF($A187="","",INDEX('05_KAIS'!$K:$K,$A187))</f>
        <v/>
      </c>
      <c r="F187" s="202">
        <f>IF($A187="","",INDEX('05_KAIS'!$I:$I,$A187))</f>
        <v/>
      </c>
      <c r="G187" s="118">
        <f>IF($A187="","",INDEX('05_KAIS'!$L:$L,$A187))</f>
        <v/>
      </c>
      <c r="H187" s="118">
        <f>IF($A187="","",IFERROR(INDEX('05_KAIS'!$M:$M,$A187),IF(AND(E187&gt;0,G187&gt;0),G187/E187,"")))</f>
        <v/>
      </c>
      <c r="I187" s="202">
        <f>IF($A187="","",INDEX('05_KAIS'!$N:$N,$A187))</f>
        <v/>
      </c>
      <c r="J187">
        <f>IF(B187="","",IF('02_대상물건입력'!$B$5="",1,IF(ISNUMBER(SEARCH('02_대상물건입력'!$B$5,B187)),1,0)))</f>
        <v/>
      </c>
      <c r="K187">
        <f>IF(B187="","",IF('02_대상물건입력'!$B$6="",1,IF(ISNUMBER(SEARCH('02_대상물건입력'!$B$6,B187)),1,0)))</f>
        <v/>
      </c>
      <c r="L187">
        <f>IF(D187="","",IF('02_대상물건입력'!$B$8="",0,IF(ISNUMBER(SEARCH('02_대상물건입력'!$B$8,D187)),1,0)))</f>
        <v/>
      </c>
      <c r="M187">
        <f>IFERROR(ABS(E187-'02_대상물건입력'!$B$11)/'02_대상물건입력'!$B$11,"")</f>
        <v/>
      </c>
      <c r="N187">
        <f>IFERROR(ABS('01_설정'!$B$4-F187),"")</f>
        <v/>
      </c>
      <c r="O187">
        <f>IFERROR(ABS(YEAR(I187)-YEAR('02_대상물건입력'!$B$14)),"")</f>
        <v/>
      </c>
      <c r="P187">
        <f>IF(AND(E187&gt;0,F187&gt;0,G187&gt;0,IF('01_설정'!$B$10=1,J187=1,TRUE()),M187&lt;='01_설정'!$B$5,N187&lt;='01_설정'!$B$7,O187&lt;='01_설정'!$B$8),"Y","")</f>
        <v/>
      </c>
      <c r="Q187">
        <f>IF(P187&lt;&gt;"Y","",MAX(0,(1-M187/'01_설정'!$B$5))*'01_설정'!$B$14+MAX(0,(1-N187/'01_설정'!$B$7))*'01_설정'!$B$16+MAX(0,(1-O187/'01_설정'!$B$8))*'01_설정'!$B$17+K187*'01_설정'!$B$11+L187*'01_설정'!$B$12)</f>
        <v/>
      </c>
      <c r="R187">
        <f>IF(Q187="","",1+COUNTIFS($Q$31:$Q$1030,"&gt;"&amp;Q187)+COUNTIFS($Q$31:Q187,Q187)-1)</f>
        <v/>
      </c>
    </row>
    <row r="188" hidden="1" ht="16.5" customHeight="1">
      <c r="A188">
        <f>IF(COUNTA('05_KAIS'!$A176:$N176)=0,"",161)</f>
        <v/>
      </c>
      <c r="B188">
        <f>IF($A188="","",TRIM(INDEX('05_KAIS'!$B:$B,$A188)&amp;" "&amp;INDEX('05_KAIS'!$C:$C,$A188)))</f>
        <v/>
      </c>
      <c r="C188">
        <f>IF($A188="","",INDEX('05_KAIS'!$D:$D,$A188))</f>
        <v/>
      </c>
      <c r="D188">
        <f>IF($A188="","",INDEX('05_KAIS'!$H:$H,$A188))</f>
        <v/>
      </c>
      <c r="E188">
        <f>IF($A188="","",INDEX('05_KAIS'!$K:$K,$A188))</f>
        <v/>
      </c>
      <c r="F188" s="202">
        <f>IF($A188="","",INDEX('05_KAIS'!$I:$I,$A188))</f>
        <v/>
      </c>
      <c r="G188" s="118">
        <f>IF($A188="","",INDEX('05_KAIS'!$L:$L,$A188))</f>
        <v/>
      </c>
      <c r="H188" s="118">
        <f>IF($A188="","",IFERROR(INDEX('05_KAIS'!$M:$M,$A188),IF(AND(E188&gt;0,G188&gt;0),G188/E188,"")))</f>
        <v/>
      </c>
      <c r="I188" s="202">
        <f>IF($A188="","",INDEX('05_KAIS'!$N:$N,$A188))</f>
        <v/>
      </c>
      <c r="J188">
        <f>IF(B188="","",IF('02_대상물건입력'!$B$5="",1,IF(ISNUMBER(SEARCH('02_대상물건입력'!$B$5,B188)),1,0)))</f>
        <v/>
      </c>
      <c r="K188">
        <f>IF(B188="","",IF('02_대상물건입력'!$B$6="",1,IF(ISNUMBER(SEARCH('02_대상물건입력'!$B$6,B188)),1,0)))</f>
        <v/>
      </c>
      <c r="L188">
        <f>IF(D188="","",IF('02_대상물건입력'!$B$8="",0,IF(ISNUMBER(SEARCH('02_대상물건입력'!$B$8,D188)),1,0)))</f>
        <v/>
      </c>
      <c r="M188">
        <f>IFERROR(ABS(E188-'02_대상물건입력'!$B$11)/'02_대상물건입력'!$B$11,"")</f>
        <v/>
      </c>
      <c r="N188">
        <f>IFERROR(ABS('01_설정'!$B$4-F188),"")</f>
        <v/>
      </c>
      <c r="O188">
        <f>IFERROR(ABS(YEAR(I188)-YEAR('02_대상물건입력'!$B$14)),"")</f>
        <v/>
      </c>
      <c r="P188">
        <f>IF(AND(E188&gt;0,F188&gt;0,G188&gt;0,IF('01_설정'!$B$10=1,J188=1,TRUE()),M188&lt;='01_설정'!$B$5,N188&lt;='01_설정'!$B$7,O188&lt;='01_설정'!$B$8),"Y","")</f>
        <v/>
      </c>
      <c r="Q188">
        <f>IF(P188&lt;&gt;"Y","",MAX(0,(1-M188/'01_설정'!$B$5))*'01_설정'!$B$14+MAX(0,(1-N188/'01_설정'!$B$7))*'01_설정'!$B$16+MAX(0,(1-O188/'01_설정'!$B$8))*'01_설정'!$B$17+K188*'01_설정'!$B$11+L188*'01_설정'!$B$12)</f>
        <v/>
      </c>
      <c r="R188">
        <f>IF(Q188="","",1+COUNTIFS($Q$31:$Q$1030,"&gt;"&amp;Q188)+COUNTIFS($Q$31:Q188,Q188)-1)</f>
        <v/>
      </c>
    </row>
    <row r="189" hidden="1" ht="16.5" customHeight="1">
      <c r="A189">
        <f>IF(COUNTA('05_KAIS'!$A177:$N177)=0,"",162)</f>
        <v/>
      </c>
      <c r="B189">
        <f>IF($A189="","",TRIM(INDEX('05_KAIS'!$B:$B,$A189)&amp;" "&amp;INDEX('05_KAIS'!$C:$C,$A189)))</f>
        <v/>
      </c>
      <c r="C189">
        <f>IF($A189="","",INDEX('05_KAIS'!$D:$D,$A189))</f>
        <v/>
      </c>
      <c r="D189">
        <f>IF($A189="","",INDEX('05_KAIS'!$H:$H,$A189))</f>
        <v/>
      </c>
      <c r="E189">
        <f>IF($A189="","",INDEX('05_KAIS'!$K:$K,$A189))</f>
        <v/>
      </c>
      <c r="F189" s="202">
        <f>IF($A189="","",INDEX('05_KAIS'!$I:$I,$A189))</f>
        <v/>
      </c>
      <c r="G189" s="118">
        <f>IF($A189="","",INDEX('05_KAIS'!$L:$L,$A189))</f>
        <v/>
      </c>
      <c r="H189" s="118">
        <f>IF($A189="","",IFERROR(INDEX('05_KAIS'!$M:$M,$A189),IF(AND(E189&gt;0,G189&gt;0),G189/E189,"")))</f>
        <v/>
      </c>
      <c r="I189" s="202">
        <f>IF($A189="","",INDEX('05_KAIS'!$N:$N,$A189))</f>
        <v/>
      </c>
      <c r="J189">
        <f>IF(B189="","",IF('02_대상물건입력'!$B$5="",1,IF(ISNUMBER(SEARCH('02_대상물건입력'!$B$5,B189)),1,0)))</f>
        <v/>
      </c>
      <c r="K189">
        <f>IF(B189="","",IF('02_대상물건입력'!$B$6="",1,IF(ISNUMBER(SEARCH('02_대상물건입력'!$B$6,B189)),1,0)))</f>
        <v/>
      </c>
      <c r="L189">
        <f>IF(D189="","",IF('02_대상물건입력'!$B$8="",0,IF(ISNUMBER(SEARCH('02_대상물건입력'!$B$8,D189)),1,0)))</f>
        <v/>
      </c>
      <c r="M189">
        <f>IFERROR(ABS(E189-'02_대상물건입력'!$B$11)/'02_대상물건입력'!$B$11,"")</f>
        <v/>
      </c>
      <c r="N189">
        <f>IFERROR(ABS('01_설정'!$B$4-F189),"")</f>
        <v/>
      </c>
      <c r="O189">
        <f>IFERROR(ABS(YEAR(I189)-YEAR('02_대상물건입력'!$B$14)),"")</f>
        <v/>
      </c>
      <c r="P189">
        <f>IF(AND(E189&gt;0,F189&gt;0,G189&gt;0,IF('01_설정'!$B$10=1,J189=1,TRUE()),M189&lt;='01_설정'!$B$5,N189&lt;='01_설정'!$B$7,O189&lt;='01_설정'!$B$8),"Y","")</f>
        <v/>
      </c>
      <c r="Q189">
        <f>IF(P189&lt;&gt;"Y","",MAX(0,(1-M189/'01_설정'!$B$5))*'01_설정'!$B$14+MAX(0,(1-N189/'01_설정'!$B$7))*'01_설정'!$B$16+MAX(0,(1-O189/'01_설정'!$B$8))*'01_설정'!$B$17+K189*'01_설정'!$B$11+L189*'01_설정'!$B$12)</f>
        <v/>
      </c>
      <c r="R189">
        <f>IF(Q189="","",1+COUNTIFS($Q$31:$Q$1030,"&gt;"&amp;Q189)+COUNTIFS($Q$31:Q189,Q189)-1)</f>
        <v/>
      </c>
    </row>
    <row r="190" hidden="1" ht="16.5" customHeight="1">
      <c r="A190">
        <f>IF(COUNTA('05_KAIS'!$A178:$N178)=0,"",163)</f>
        <v/>
      </c>
      <c r="B190">
        <f>IF($A190="","",TRIM(INDEX('05_KAIS'!$B:$B,$A190)&amp;" "&amp;INDEX('05_KAIS'!$C:$C,$A190)))</f>
        <v/>
      </c>
      <c r="C190">
        <f>IF($A190="","",INDEX('05_KAIS'!$D:$D,$A190))</f>
        <v/>
      </c>
      <c r="D190">
        <f>IF($A190="","",INDEX('05_KAIS'!$H:$H,$A190))</f>
        <v/>
      </c>
      <c r="E190">
        <f>IF($A190="","",INDEX('05_KAIS'!$K:$K,$A190))</f>
        <v/>
      </c>
      <c r="F190" s="202">
        <f>IF($A190="","",INDEX('05_KAIS'!$I:$I,$A190))</f>
        <v/>
      </c>
      <c r="G190" s="118">
        <f>IF($A190="","",INDEX('05_KAIS'!$L:$L,$A190))</f>
        <v/>
      </c>
      <c r="H190" s="118">
        <f>IF($A190="","",IFERROR(INDEX('05_KAIS'!$M:$M,$A190),IF(AND(E190&gt;0,G190&gt;0),G190/E190,"")))</f>
        <v/>
      </c>
      <c r="I190" s="202">
        <f>IF($A190="","",INDEX('05_KAIS'!$N:$N,$A190))</f>
        <v/>
      </c>
      <c r="J190">
        <f>IF(B190="","",IF('02_대상물건입력'!$B$5="",1,IF(ISNUMBER(SEARCH('02_대상물건입력'!$B$5,B190)),1,0)))</f>
        <v/>
      </c>
      <c r="K190">
        <f>IF(B190="","",IF('02_대상물건입력'!$B$6="",1,IF(ISNUMBER(SEARCH('02_대상물건입력'!$B$6,B190)),1,0)))</f>
        <v/>
      </c>
      <c r="L190">
        <f>IF(D190="","",IF('02_대상물건입력'!$B$8="",0,IF(ISNUMBER(SEARCH('02_대상물건입력'!$B$8,D190)),1,0)))</f>
        <v/>
      </c>
      <c r="M190">
        <f>IFERROR(ABS(E190-'02_대상물건입력'!$B$11)/'02_대상물건입력'!$B$11,"")</f>
        <v/>
      </c>
      <c r="N190">
        <f>IFERROR(ABS('01_설정'!$B$4-F190),"")</f>
        <v/>
      </c>
      <c r="O190">
        <f>IFERROR(ABS(YEAR(I190)-YEAR('02_대상물건입력'!$B$14)),"")</f>
        <v/>
      </c>
      <c r="P190">
        <f>IF(AND(E190&gt;0,F190&gt;0,G190&gt;0,IF('01_설정'!$B$10=1,J190=1,TRUE()),M190&lt;='01_설정'!$B$5,N190&lt;='01_설정'!$B$7,O190&lt;='01_설정'!$B$8),"Y","")</f>
        <v/>
      </c>
      <c r="Q190">
        <f>IF(P190&lt;&gt;"Y","",MAX(0,(1-M190/'01_설정'!$B$5))*'01_설정'!$B$14+MAX(0,(1-N190/'01_설정'!$B$7))*'01_설정'!$B$16+MAX(0,(1-O190/'01_설정'!$B$8))*'01_설정'!$B$17+K190*'01_설정'!$B$11+L190*'01_설정'!$B$12)</f>
        <v/>
      </c>
      <c r="R190">
        <f>IF(Q190="","",1+COUNTIFS($Q$31:$Q$1030,"&gt;"&amp;Q190)+COUNTIFS($Q$31:Q190,Q190)-1)</f>
        <v/>
      </c>
    </row>
    <row r="191" hidden="1" ht="16.5" customHeight="1">
      <c r="A191">
        <f>IF(COUNTA('05_KAIS'!$A179:$N179)=0,"",164)</f>
        <v/>
      </c>
      <c r="B191">
        <f>IF($A191="","",TRIM(INDEX('05_KAIS'!$B:$B,$A191)&amp;" "&amp;INDEX('05_KAIS'!$C:$C,$A191)))</f>
        <v/>
      </c>
      <c r="C191">
        <f>IF($A191="","",INDEX('05_KAIS'!$D:$D,$A191))</f>
        <v/>
      </c>
      <c r="D191">
        <f>IF($A191="","",INDEX('05_KAIS'!$H:$H,$A191))</f>
        <v/>
      </c>
      <c r="E191">
        <f>IF($A191="","",INDEX('05_KAIS'!$K:$K,$A191))</f>
        <v/>
      </c>
      <c r="F191" s="202">
        <f>IF($A191="","",INDEX('05_KAIS'!$I:$I,$A191))</f>
        <v/>
      </c>
      <c r="G191" s="118">
        <f>IF($A191="","",INDEX('05_KAIS'!$L:$L,$A191))</f>
        <v/>
      </c>
      <c r="H191" s="118">
        <f>IF($A191="","",IFERROR(INDEX('05_KAIS'!$M:$M,$A191),IF(AND(E191&gt;0,G191&gt;0),G191/E191,"")))</f>
        <v/>
      </c>
      <c r="I191" s="202">
        <f>IF($A191="","",INDEX('05_KAIS'!$N:$N,$A191))</f>
        <v/>
      </c>
      <c r="J191">
        <f>IF(B191="","",IF('02_대상물건입력'!$B$5="",1,IF(ISNUMBER(SEARCH('02_대상물건입력'!$B$5,B191)),1,0)))</f>
        <v/>
      </c>
      <c r="K191">
        <f>IF(B191="","",IF('02_대상물건입력'!$B$6="",1,IF(ISNUMBER(SEARCH('02_대상물건입력'!$B$6,B191)),1,0)))</f>
        <v/>
      </c>
      <c r="L191">
        <f>IF(D191="","",IF('02_대상물건입력'!$B$8="",0,IF(ISNUMBER(SEARCH('02_대상물건입력'!$B$8,D191)),1,0)))</f>
        <v/>
      </c>
      <c r="M191">
        <f>IFERROR(ABS(E191-'02_대상물건입력'!$B$11)/'02_대상물건입력'!$B$11,"")</f>
        <v/>
      </c>
      <c r="N191">
        <f>IFERROR(ABS('01_설정'!$B$4-F191),"")</f>
        <v/>
      </c>
      <c r="O191">
        <f>IFERROR(ABS(YEAR(I191)-YEAR('02_대상물건입력'!$B$14)),"")</f>
        <v/>
      </c>
      <c r="P191">
        <f>IF(AND(E191&gt;0,F191&gt;0,G191&gt;0,IF('01_설정'!$B$10=1,J191=1,TRUE()),M191&lt;='01_설정'!$B$5,N191&lt;='01_설정'!$B$7,O191&lt;='01_설정'!$B$8),"Y","")</f>
        <v/>
      </c>
      <c r="Q191">
        <f>IF(P191&lt;&gt;"Y","",MAX(0,(1-M191/'01_설정'!$B$5))*'01_설정'!$B$14+MAX(0,(1-N191/'01_설정'!$B$7))*'01_설정'!$B$16+MAX(0,(1-O191/'01_설정'!$B$8))*'01_설정'!$B$17+K191*'01_설정'!$B$11+L191*'01_설정'!$B$12)</f>
        <v/>
      </c>
      <c r="R191">
        <f>IF(Q191="","",1+COUNTIFS($Q$31:$Q$1030,"&gt;"&amp;Q191)+COUNTIFS($Q$31:Q191,Q191)-1)</f>
        <v/>
      </c>
    </row>
    <row r="192" hidden="1" ht="16.5" customHeight="1">
      <c r="A192">
        <f>IF(COUNTA('05_KAIS'!$A180:$N180)=0,"",165)</f>
        <v/>
      </c>
      <c r="B192">
        <f>IF($A192="","",TRIM(INDEX('05_KAIS'!$B:$B,$A192)&amp;" "&amp;INDEX('05_KAIS'!$C:$C,$A192)))</f>
        <v/>
      </c>
      <c r="C192">
        <f>IF($A192="","",INDEX('05_KAIS'!$D:$D,$A192))</f>
        <v/>
      </c>
      <c r="D192">
        <f>IF($A192="","",INDEX('05_KAIS'!$H:$H,$A192))</f>
        <v/>
      </c>
      <c r="E192">
        <f>IF($A192="","",INDEX('05_KAIS'!$K:$K,$A192))</f>
        <v/>
      </c>
      <c r="F192" s="202">
        <f>IF($A192="","",INDEX('05_KAIS'!$I:$I,$A192))</f>
        <v/>
      </c>
      <c r="G192" s="118">
        <f>IF($A192="","",INDEX('05_KAIS'!$L:$L,$A192))</f>
        <v/>
      </c>
      <c r="H192" s="118">
        <f>IF($A192="","",IFERROR(INDEX('05_KAIS'!$M:$M,$A192),IF(AND(E192&gt;0,G192&gt;0),G192/E192,"")))</f>
        <v/>
      </c>
      <c r="I192" s="202">
        <f>IF($A192="","",INDEX('05_KAIS'!$N:$N,$A192))</f>
        <v/>
      </c>
      <c r="J192">
        <f>IF(B192="","",IF('02_대상물건입력'!$B$5="",1,IF(ISNUMBER(SEARCH('02_대상물건입력'!$B$5,B192)),1,0)))</f>
        <v/>
      </c>
      <c r="K192">
        <f>IF(B192="","",IF('02_대상물건입력'!$B$6="",1,IF(ISNUMBER(SEARCH('02_대상물건입력'!$B$6,B192)),1,0)))</f>
        <v/>
      </c>
      <c r="L192">
        <f>IF(D192="","",IF('02_대상물건입력'!$B$8="",0,IF(ISNUMBER(SEARCH('02_대상물건입력'!$B$8,D192)),1,0)))</f>
        <v/>
      </c>
      <c r="M192">
        <f>IFERROR(ABS(E192-'02_대상물건입력'!$B$11)/'02_대상물건입력'!$B$11,"")</f>
        <v/>
      </c>
      <c r="N192">
        <f>IFERROR(ABS('01_설정'!$B$4-F192),"")</f>
        <v/>
      </c>
      <c r="O192">
        <f>IFERROR(ABS(YEAR(I192)-YEAR('02_대상물건입력'!$B$14)),"")</f>
        <v/>
      </c>
      <c r="P192">
        <f>IF(AND(E192&gt;0,F192&gt;0,G192&gt;0,IF('01_설정'!$B$10=1,J192=1,TRUE()),M192&lt;='01_설정'!$B$5,N192&lt;='01_설정'!$B$7,O192&lt;='01_설정'!$B$8),"Y","")</f>
        <v/>
      </c>
      <c r="Q192">
        <f>IF(P192&lt;&gt;"Y","",MAX(0,(1-M192/'01_설정'!$B$5))*'01_설정'!$B$14+MAX(0,(1-N192/'01_설정'!$B$7))*'01_설정'!$B$16+MAX(0,(1-O192/'01_설정'!$B$8))*'01_설정'!$B$17+K192*'01_설정'!$B$11+L192*'01_설정'!$B$12)</f>
        <v/>
      </c>
      <c r="R192">
        <f>IF(Q192="","",1+COUNTIFS($Q$31:$Q$1030,"&gt;"&amp;Q192)+COUNTIFS($Q$31:Q192,Q192)-1)</f>
        <v/>
      </c>
    </row>
    <row r="193" hidden="1" ht="16.5" customHeight="1">
      <c r="A193">
        <f>IF(COUNTA('05_KAIS'!$A181:$N181)=0,"",166)</f>
        <v/>
      </c>
      <c r="B193">
        <f>IF($A193="","",TRIM(INDEX('05_KAIS'!$B:$B,$A193)&amp;" "&amp;INDEX('05_KAIS'!$C:$C,$A193)))</f>
        <v/>
      </c>
      <c r="C193">
        <f>IF($A193="","",INDEX('05_KAIS'!$D:$D,$A193))</f>
        <v/>
      </c>
      <c r="D193">
        <f>IF($A193="","",INDEX('05_KAIS'!$H:$H,$A193))</f>
        <v/>
      </c>
      <c r="E193">
        <f>IF($A193="","",INDEX('05_KAIS'!$K:$K,$A193))</f>
        <v/>
      </c>
      <c r="F193" s="202">
        <f>IF($A193="","",INDEX('05_KAIS'!$I:$I,$A193))</f>
        <v/>
      </c>
      <c r="G193" s="118">
        <f>IF($A193="","",INDEX('05_KAIS'!$L:$L,$A193))</f>
        <v/>
      </c>
      <c r="H193" s="118">
        <f>IF($A193="","",IFERROR(INDEX('05_KAIS'!$M:$M,$A193),IF(AND(E193&gt;0,G193&gt;0),G193/E193,"")))</f>
        <v/>
      </c>
      <c r="I193" s="202">
        <f>IF($A193="","",INDEX('05_KAIS'!$N:$N,$A193))</f>
        <v/>
      </c>
      <c r="J193">
        <f>IF(B193="","",IF('02_대상물건입력'!$B$5="",1,IF(ISNUMBER(SEARCH('02_대상물건입력'!$B$5,B193)),1,0)))</f>
        <v/>
      </c>
      <c r="K193">
        <f>IF(B193="","",IF('02_대상물건입력'!$B$6="",1,IF(ISNUMBER(SEARCH('02_대상물건입력'!$B$6,B193)),1,0)))</f>
        <v/>
      </c>
      <c r="L193">
        <f>IF(D193="","",IF('02_대상물건입력'!$B$8="",0,IF(ISNUMBER(SEARCH('02_대상물건입력'!$B$8,D193)),1,0)))</f>
        <v/>
      </c>
      <c r="M193">
        <f>IFERROR(ABS(E193-'02_대상물건입력'!$B$11)/'02_대상물건입력'!$B$11,"")</f>
        <v/>
      </c>
      <c r="N193">
        <f>IFERROR(ABS('01_설정'!$B$4-F193),"")</f>
        <v/>
      </c>
      <c r="O193">
        <f>IFERROR(ABS(YEAR(I193)-YEAR('02_대상물건입력'!$B$14)),"")</f>
        <v/>
      </c>
      <c r="P193">
        <f>IF(AND(E193&gt;0,F193&gt;0,G193&gt;0,IF('01_설정'!$B$10=1,J193=1,TRUE()),M193&lt;='01_설정'!$B$5,N193&lt;='01_설정'!$B$7,O193&lt;='01_설정'!$B$8),"Y","")</f>
        <v/>
      </c>
      <c r="Q193">
        <f>IF(P193&lt;&gt;"Y","",MAX(0,(1-M193/'01_설정'!$B$5))*'01_설정'!$B$14+MAX(0,(1-N193/'01_설정'!$B$7))*'01_설정'!$B$16+MAX(0,(1-O193/'01_설정'!$B$8))*'01_설정'!$B$17+K193*'01_설정'!$B$11+L193*'01_설정'!$B$12)</f>
        <v/>
      </c>
      <c r="R193">
        <f>IF(Q193="","",1+COUNTIFS($Q$31:$Q$1030,"&gt;"&amp;Q193)+COUNTIFS($Q$31:Q193,Q193)-1)</f>
        <v/>
      </c>
    </row>
    <row r="194" hidden="1" ht="16.5" customHeight="1">
      <c r="A194">
        <f>IF(COUNTA('05_KAIS'!$A182:$N182)=0,"",167)</f>
        <v/>
      </c>
      <c r="B194">
        <f>IF($A194="","",TRIM(INDEX('05_KAIS'!$B:$B,$A194)&amp;" "&amp;INDEX('05_KAIS'!$C:$C,$A194)))</f>
        <v/>
      </c>
      <c r="C194">
        <f>IF($A194="","",INDEX('05_KAIS'!$D:$D,$A194))</f>
        <v/>
      </c>
      <c r="D194">
        <f>IF($A194="","",INDEX('05_KAIS'!$H:$H,$A194))</f>
        <v/>
      </c>
      <c r="E194">
        <f>IF($A194="","",INDEX('05_KAIS'!$K:$K,$A194))</f>
        <v/>
      </c>
      <c r="F194" s="202">
        <f>IF($A194="","",INDEX('05_KAIS'!$I:$I,$A194))</f>
        <v/>
      </c>
      <c r="G194" s="118">
        <f>IF($A194="","",INDEX('05_KAIS'!$L:$L,$A194))</f>
        <v/>
      </c>
      <c r="H194" s="118">
        <f>IF($A194="","",IFERROR(INDEX('05_KAIS'!$M:$M,$A194),IF(AND(E194&gt;0,G194&gt;0),G194/E194,"")))</f>
        <v/>
      </c>
      <c r="I194" s="202">
        <f>IF($A194="","",INDEX('05_KAIS'!$N:$N,$A194))</f>
        <v/>
      </c>
      <c r="J194">
        <f>IF(B194="","",IF('02_대상물건입력'!$B$5="",1,IF(ISNUMBER(SEARCH('02_대상물건입력'!$B$5,B194)),1,0)))</f>
        <v/>
      </c>
      <c r="K194">
        <f>IF(B194="","",IF('02_대상물건입력'!$B$6="",1,IF(ISNUMBER(SEARCH('02_대상물건입력'!$B$6,B194)),1,0)))</f>
        <v/>
      </c>
      <c r="L194">
        <f>IF(D194="","",IF('02_대상물건입력'!$B$8="",0,IF(ISNUMBER(SEARCH('02_대상물건입력'!$B$8,D194)),1,0)))</f>
        <v/>
      </c>
      <c r="M194">
        <f>IFERROR(ABS(E194-'02_대상물건입력'!$B$11)/'02_대상물건입력'!$B$11,"")</f>
        <v/>
      </c>
      <c r="N194">
        <f>IFERROR(ABS('01_설정'!$B$4-F194),"")</f>
        <v/>
      </c>
      <c r="O194">
        <f>IFERROR(ABS(YEAR(I194)-YEAR('02_대상물건입력'!$B$14)),"")</f>
        <v/>
      </c>
      <c r="P194">
        <f>IF(AND(E194&gt;0,F194&gt;0,G194&gt;0,IF('01_설정'!$B$10=1,J194=1,TRUE()),M194&lt;='01_설정'!$B$5,N194&lt;='01_설정'!$B$7,O194&lt;='01_설정'!$B$8),"Y","")</f>
        <v/>
      </c>
      <c r="Q194">
        <f>IF(P194&lt;&gt;"Y","",MAX(0,(1-M194/'01_설정'!$B$5))*'01_설정'!$B$14+MAX(0,(1-N194/'01_설정'!$B$7))*'01_설정'!$B$16+MAX(0,(1-O194/'01_설정'!$B$8))*'01_설정'!$B$17+K194*'01_설정'!$B$11+L194*'01_설정'!$B$12)</f>
        <v/>
      </c>
      <c r="R194">
        <f>IF(Q194="","",1+COUNTIFS($Q$31:$Q$1030,"&gt;"&amp;Q194)+COUNTIFS($Q$31:Q194,Q194)-1)</f>
        <v/>
      </c>
    </row>
    <row r="195" hidden="1" ht="16.5" customHeight="1">
      <c r="A195">
        <f>IF(COUNTA('05_KAIS'!$A183:$N183)=0,"",168)</f>
        <v/>
      </c>
      <c r="B195">
        <f>IF($A195="","",TRIM(INDEX('05_KAIS'!$B:$B,$A195)&amp;" "&amp;INDEX('05_KAIS'!$C:$C,$A195)))</f>
        <v/>
      </c>
      <c r="C195">
        <f>IF($A195="","",INDEX('05_KAIS'!$D:$D,$A195))</f>
        <v/>
      </c>
      <c r="D195">
        <f>IF($A195="","",INDEX('05_KAIS'!$H:$H,$A195))</f>
        <v/>
      </c>
      <c r="E195">
        <f>IF($A195="","",INDEX('05_KAIS'!$K:$K,$A195))</f>
        <v/>
      </c>
      <c r="F195" s="202">
        <f>IF($A195="","",INDEX('05_KAIS'!$I:$I,$A195))</f>
        <v/>
      </c>
      <c r="G195" s="118">
        <f>IF($A195="","",INDEX('05_KAIS'!$L:$L,$A195))</f>
        <v/>
      </c>
      <c r="H195" s="118">
        <f>IF($A195="","",IFERROR(INDEX('05_KAIS'!$M:$M,$A195),IF(AND(E195&gt;0,G195&gt;0),G195/E195,"")))</f>
        <v/>
      </c>
      <c r="I195" s="202">
        <f>IF($A195="","",INDEX('05_KAIS'!$N:$N,$A195))</f>
        <v/>
      </c>
      <c r="J195">
        <f>IF(B195="","",IF('02_대상물건입력'!$B$5="",1,IF(ISNUMBER(SEARCH('02_대상물건입력'!$B$5,B195)),1,0)))</f>
        <v/>
      </c>
      <c r="K195">
        <f>IF(B195="","",IF('02_대상물건입력'!$B$6="",1,IF(ISNUMBER(SEARCH('02_대상물건입력'!$B$6,B195)),1,0)))</f>
        <v/>
      </c>
      <c r="L195">
        <f>IF(D195="","",IF('02_대상물건입력'!$B$8="",0,IF(ISNUMBER(SEARCH('02_대상물건입력'!$B$8,D195)),1,0)))</f>
        <v/>
      </c>
      <c r="M195">
        <f>IFERROR(ABS(E195-'02_대상물건입력'!$B$11)/'02_대상물건입력'!$B$11,"")</f>
        <v/>
      </c>
      <c r="N195">
        <f>IFERROR(ABS('01_설정'!$B$4-F195),"")</f>
        <v/>
      </c>
      <c r="O195">
        <f>IFERROR(ABS(YEAR(I195)-YEAR('02_대상물건입력'!$B$14)),"")</f>
        <v/>
      </c>
      <c r="P195">
        <f>IF(AND(E195&gt;0,F195&gt;0,G195&gt;0,IF('01_설정'!$B$10=1,J195=1,TRUE()),M195&lt;='01_설정'!$B$5,N195&lt;='01_설정'!$B$7,O195&lt;='01_설정'!$B$8),"Y","")</f>
        <v/>
      </c>
      <c r="Q195">
        <f>IF(P195&lt;&gt;"Y","",MAX(0,(1-M195/'01_설정'!$B$5))*'01_설정'!$B$14+MAX(0,(1-N195/'01_설정'!$B$7))*'01_설정'!$B$16+MAX(0,(1-O195/'01_설정'!$B$8))*'01_설정'!$B$17+K195*'01_설정'!$B$11+L195*'01_설정'!$B$12)</f>
        <v/>
      </c>
      <c r="R195">
        <f>IF(Q195="","",1+COUNTIFS($Q$31:$Q$1030,"&gt;"&amp;Q195)+COUNTIFS($Q$31:Q195,Q195)-1)</f>
        <v/>
      </c>
    </row>
    <row r="196" hidden="1" ht="16.5" customHeight="1">
      <c r="A196">
        <f>IF(COUNTA('05_KAIS'!$A184:$N184)=0,"",169)</f>
        <v/>
      </c>
      <c r="B196">
        <f>IF($A196="","",TRIM(INDEX('05_KAIS'!$B:$B,$A196)&amp;" "&amp;INDEX('05_KAIS'!$C:$C,$A196)))</f>
        <v/>
      </c>
      <c r="C196">
        <f>IF($A196="","",INDEX('05_KAIS'!$D:$D,$A196))</f>
        <v/>
      </c>
      <c r="D196">
        <f>IF($A196="","",INDEX('05_KAIS'!$H:$H,$A196))</f>
        <v/>
      </c>
      <c r="E196">
        <f>IF($A196="","",INDEX('05_KAIS'!$K:$K,$A196))</f>
        <v/>
      </c>
      <c r="F196" s="202">
        <f>IF($A196="","",INDEX('05_KAIS'!$I:$I,$A196))</f>
        <v/>
      </c>
      <c r="G196" s="118">
        <f>IF($A196="","",INDEX('05_KAIS'!$L:$L,$A196))</f>
        <v/>
      </c>
      <c r="H196" s="118">
        <f>IF($A196="","",IFERROR(INDEX('05_KAIS'!$M:$M,$A196),IF(AND(E196&gt;0,G196&gt;0),G196/E196,"")))</f>
        <v/>
      </c>
      <c r="I196" s="202">
        <f>IF($A196="","",INDEX('05_KAIS'!$N:$N,$A196))</f>
        <v/>
      </c>
      <c r="J196">
        <f>IF(B196="","",IF('02_대상물건입력'!$B$5="",1,IF(ISNUMBER(SEARCH('02_대상물건입력'!$B$5,B196)),1,0)))</f>
        <v/>
      </c>
      <c r="K196">
        <f>IF(B196="","",IF('02_대상물건입력'!$B$6="",1,IF(ISNUMBER(SEARCH('02_대상물건입력'!$B$6,B196)),1,0)))</f>
        <v/>
      </c>
      <c r="L196">
        <f>IF(D196="","",IF('02_대상물건입력'!$B$8="",0,IF(ISNUMBER(SEARCH('02_대상물건입력'!$B$8,D196)),1,0)))</f>
        <v/>
      </c>
      <c r="M196">
        <f>IFERROR(ABS(E196-'02_대상물건입력'!$B$11)/'02_대상물건입력'!$B$11,"")</f>
        <v/>
      </c>
      <c r="N196">
        <f>IFERROR(ABS('01_설정'!$B$4-F196),"")</f>
        <v/>
      </c>
      <c r="O196">
        <f>IFERROR(ABS(YEAR(I196)-YEAR('02_대상물건입력'!$B$14)),"")</f>
        <v/>
      </c>
      <c r="P196">
        <f>IF(AND(E196&gt;0,F196&gt;0,G196&gt;0,IF('01_설정'!$B$10=1,J196=1,TRUE()),M196&lt;='01_설정'!$B$5,N196&lt;='01_설정'!$B$7,O196&lt;='01_설정'!$B$8),"Y","")</f>
        <v/>
      </c>
      <c r="Q196">
        <f>IF(P196&lt;&gt;"Y","",MAX(0,(1-M196/'01_설정'!$B$5))*'01_설정'!$B$14+MAX(0,(1-N196/'01_설정'!$B$7))*'01_설정'!$B$16+MAX(0,(1-O196/'01_설정'!$B$8))*'01_설정'!$B$17+K196*'01_설정'!$B$11+L196*'01_설정'!$B$12)</f>
        <v/>
      </c>
      <c r="R196">
        <f>IF(Q196="","",1+COUNTIFS($Q$31:$Q$1030,"&gt;"&amp;Q196)+COUNTIFS($Q$31:Q196,Q196)-1)</f>
        <v/>
      </c>
    </row>
    <row r="197" hidden="1" ht="16.5" customHeight="1">
      <c r="A197">
        <f>IF(COUNTA('05_KAIS'!$A185:$N185)=0,"",170)</f>
        <v/>
      </c>
      <c r="B197">
        <f>IF($A197="","",TRIM(INDEX('05_KAIS'!$B:$B,$A197)&amp;" "&amp;INDEX('05_KAIS'!$C:$C,$A197)))</f>
        <v/>
      </c>
      <c r="C197">
        <f>IF($A197="","",INDEX('05_KAIS'!$D:$D,$A197))</f>
        <v/>
      </c>
      <c r="D197">
        <f>IF($A197="","",INDEX('05_KAIS'!$H:$H,$A197))</f>
        <v/>
      </c>
      <c r="E197">
        <f>IF($A197="","",INDEX('05_KAIS'!$K:$K,$A197))</f>
        <v/>
      </c>
      <c r="F197" s="202">
        <f>IF($A197="","",INDEX('05_KAIS'!$I:$I,$A197))</f>
        <v/>
      </c>
      <c r="G197" s="118">
        <f>IF($A197="","",INDEX('05_KAIS'!$L:$L,$A197))</f>
        <v/>
      </c>
      <c r="H197" s="118">
        <f>IF($A197="","",IFERROR(INDEX('05_KAIS'!$M:$M,$A197),IF(AND(E197&gt;0,G197&gt;0),G197/E197,"")))</f>
        <v/>
      </c>
      <c r="I197" s="202">
        <f>IF($A197="","",INDEX('05_KAIS'!$N:$N,$A197))</f>
        <v/>
      </c>
      <c r="J197">
        <f>IF(B197="","",IF('02_대상물건입력'!$B$5="",1,IF(ISNUMBER(SEARCH('02_대상물건입력'!$B$5,B197)),1,0)))</f>
        <v/>
      </c>
      <c r="K197">
        <f>IF(B197="","",IF('02_대상물건입력'!$B$6="",1,IF(ISNUMBER(SEARCH('02_대상물건입력'!$B$6,B197)),1,0)))</f>
        <v/>
      </c>
      <c r="L197">
        <f>IF(D197="","",IF('02_대상물건입력'!$B$8="",0,IF(ISNUMBER(SEARCH('02_대상물건입력'!$B$8,D197)),1,0)))</f>
        <v/>
      </c>
      <c r="M197">
        <f>IFERROR(ABS(E197-'02_대상물건입력'!$B$11)/'02_대상물건입력'!$B$11,"")</f>
        <v/>
      </c>
      <c r="N197">
        <f>IFERROR(ABS('01_설정'!$B$4-F197),"")</f>
        <v/>
      </c>
      <c r="O197">
        <f>IFERROR(ABS(YEAR(I197)-YEAR('02_대상물건입력'!$B$14)),"")</f>
        <v/>
      </c>
      <c r="P197">
        <f>IF(AND(E197&gt;0,F197&gt;0,G197&gt;0,IF('01_설정'!$B$10=1,J197=1,TRUE()),M197&lt;='01_설정'!$B$5,N197&lt;='01_설정'!$B$7,O197&lt;='01_설정'!$B$8),"Y","")</f>
        <v/>
      </c>
      <c r="Q197">
        <f>IF(P197&lt;&gt;"Y","",MAX(0,(1-M197/'01_설정'!$B$5))*'01_설정'!$B$14+MAX(0,(1-N197/'01_설정'!$B$7))*'01_설정'!$B$16+MAX(0,(1-O197/'01_설정'!$B$8))*'01_설정'!$B$17+K197*'01_설정'!$B$11+L197*'01_설정'!$B$12)</f>
        <v/>
      </c>
      <c r="R197">
        <f>IF(Q197="","",1+COUNTIFS($Q$31:$Q$1030,"&gt;"&amp;Q197)+COUNTIFS($Q$31:Q197,Q197)-1)</f>
        <v/>
      </c>
    </row>
    <row r="198" hidden="1" ht="16.5" customHeight="1">
      <c r="A198">
        <f>IF(COUNTA('05_KAIS'!$A186:$N186)=0,"",171)</f>
        <v/>
      </c>
      <c r="B198">
        <f>IF($A198="","",TRIM(INDEX('05_KAIS'!$B:$B,$A198)&amp;" "&amp;INDEX('05_KAIS'!$C:$C,$A198)))</f>
        <v/>
      </c>
      <c r="C198">
        <f>IF($A198="","",INDEX('05_KAIS'!$D:$D,$A198))</f>
        <v/>
      </c>
      <c r="D198">
        <f>IF($A198="","",INDEX('05_KAIS'!$H:$H,$A198))</f>
        <v/>
      </c>
      <c r="E198">
        <f>IF($A198="","",INDEX('05_KAIS'!$K:$K,$A198))</f>
        <v/>
      </c>
      <c r="F198" s="202">
        <f>IF($A198="","",INDEX('05_KAIS'!$I:$I,$A198))</f>
        <v/>
      </c>
      <c r="G198" s="118">
        <f>IF($A198="","",INDEX('05_KAIS'!$L:$L,$A198))</f>
        <v/>
      </c>
      <c r="H198" s="118">
        <f>IF($A198="","",IFERROR(INDEX('05_KAIS'!$M:$M,$A198),IF(AND(E198&gt;0,G198&gt;0),G198/E198,"")))</f>
        <v/>
      </c>
      <c r="I198" s="202">
        <f>IF($A198="","",INDEX('05_KAIS'!$N:$N,$A198))</f>
        <v/>
      </c>
      <c r="J198">
        <f>IF(B198="","",IF('02_대상물건입력'!$B$5="",1,IF(ISNUMBER(SEARCH('02_대상물건입력'!$B$5,B198)),1,0)))</f>
        <v/>
      </c>
      <c r="K198">
        <f>IF(B198="","",IF('02_대상물건입력'!$B$6="",1,IF(ISNUMBER(SEARCH('02_대상물건입력'!$B$6,B198)),1,0)))</f>
        <v/>
      </c>
      <c r="L198">
        <f>IF(D198="","",IF('02_대상물건입력'!$B$8="",0,IF(ISNUMBER(SEARCH('02_대상물건입력'!$B$8,D198)),1,0)))</f>
        <v/>
      </c>
      <c r="M198">
        <f>IFERROR(ABS(E198-'02_대상물건입력'!$B$11)/'02_대상물건입력'!$B$11,"")</f>
        <v/>
      </c>
      <c r="N198">
        <f>IFERROR(ABS('01_설정'!$B$4-F198),"")</f>
        <v/>
      </c>
      <c r="O198">
        <f>IFERROR(ABS(YEAR(I198)-YEAR('02_대상물건입력'!$B$14)),"")</f>
        <v/>
      </c>
      <c r="P198">
        <f>IF(AND(E198&gt;0,F198&gt;0,G198&gt;0,IF('01_설정'!$B$10=1,J198=1,TRUE()),M198&lt;='01_설정'!$B$5,N198&lt;='01_설정'!$B$7,O198&lt;='01_설정'!$B$8),"Y","")</f>
        <v/>
      </c>
      <c r="Q198">
        <f>IF(P198&lt;&gt;"Y","",MAX(0,(1-M198/'01_설정'!$B$5))*'01_설정'!$B$14+MAX(0,(1-N198/'01_설정'!$B$7))*'01_설정'!$B$16+MAX(0,(1-O198/'01_설정'!$B$8))*'01_설정'!$B$17+K198*'01_설정'!$B$11+L198*'01_설정'!$B$12)</f>
        <v/>
      </c>
      <c r="R198">
        <f>IF(Q198="","",1+COUNTIFS($Q$31:$Q$1030,"&gt;"&amp;Q198)+COUNTIFS($Q$31:Q198,Q198)-1)</f>
        <v/>
      </c>
    </row>
    <row r="199" hidden="1" ht="16.5" customHeight="1">
      <c r="A199">
        <f>IF(COUNTA('05_KAIS'!$A187:$N187)=0,"",172)</f>
        <v/>
      </c>
      <c r="B199">
        <f>IF($A199="","",TRIM(INDEX('05_KAIS'!$B:$B,$A199)&amp;" "&amp;INDEX('05_KAIS'!$C:$C,$A199)))</f>
        <v/>
      </c>
      <c r="C199">
        <f>IF($A199="","",INDEX('05_KAIS'!$D:$D,$A199))</f>
        <v/>
      </c>
      <c r="D199">
        <f>IF($A199="","",INDEX('05_KAIS'!$H:$H,$A199))</f>
        <v/>
      </c>
      <c r="E199">
        <f>IF($A199="","",INDEX('05_KAIS'!$K:$K,$A199))</f>
        <v/>
      </c>
      <c r="F199" s="202">
        <f>IF($A199="","",INDEX('05_KAIS'!$I:$I,$A199))</f>
        <v/>
      </c>
      <c r="G199" s="118">
        <f>IF($A199="","",INDEX('05_KAIS'!$L:$L,$A199))</f>
        <v/>
      </c>
      <c r="H199" s="118">
        <f>IF($A199="","",IFERROR(INDEX('05_KAIS'!$M:$M,$A199),IF(AND(E199&gt;0,G199&gt;0),G199/E199,"")))</f>
        <v/>
      </c>
      <c r="I199" s="202">
        <f>IF($A199="","",INDEX('05_KAIS'!$N:$N,$A199))</f>
        <v/>
      </c>
      <c r="J199">
        <f>IF(B199="","",IF('02_대상물건입력'!$B$5="",1,IF(ISNUMBER(SEARCH('02_대상물건입력'!$B$5,B199)),1,0)))</f>
        <v/>
      </c>
      <c r="K199">
        <f>IF(B199="","",IF('02_대상물건입력'!$B$6="",1,IF(ISNUMBER(SEARCH('02_대상물건입력'!$B$6,B199)),1,0)))</f>
        <v/>
      </c>
      <c r="L199">
        <f>IF(D199="","",IF('02_대상물건입력'!$B$8="",0,IF(ISNUMBER(SEARCH('02_대상물건입력'!$B$8,D199)),1,0)))</f>
        <v/>
      </c>
      <c r="M199">
        <f>IFERROR(ABS(E199-'02_대상물건입력'!$B$11)/'02_대상물건입력'!$B$11,"")</f>
        <v/>
      </c>
      <c r="N199">
        <f>IFERROR(ABS('01_설정'!$B$4-F199),"")</f>
        <v/>
      </c>
      <c r="O199">
        <f>IFERROR(ABS(YEAR(I199)-YEAR('02_대상물건입력'!$B$14)),"")</f>
        <v/>
      </c>
      <c r="P199">
        <f>IF(AND(E199&gt;0,F199&gt;0,G199&gt;0,IF('01_설정'!$B$10=1,J199=1,TRUE()),M199&lt;='01_설정'!$B$5,N199&lt;='01_설정'!$B$7,O199&lt;='01_설정'!$B$8),"Y","")</f>
        <v/>
      </c>
      <c r="Q199">
        <f>IF(P199&lt;&gt;"Y","",MAX(0,(1-M199/'01_설정'!$B$5))*'01_설정'!$B$14+MAX(0,(1-N199/'01_설정'!$B$7))*'01_설정'!$B$16+MAX(0,(1-O199/'01_설정'!$B$8))*'01_설정'!$B$17+K199*'01_설정'!$B$11+L199*'01_설정'!$B$12)</f>
        <v/>
      </c>
      <c r="R199">
        <f>IF(Q199="","",1+COUNTIFS($Q$31:$Q$1030,"&gt;"&amp;Q199)+COUNTIFS($Q$31:Q199,Q199)-1)</f>
        <v/>
      </c>
    </row>
    <row r="200" hidden="1" ht="16.5" customHeight="1">
      <c r="A200">
        <f>IF(COUNTA('05_KAIS'!$A188:$N188)=0,"",173)</f>
        <v/>
      </c>
      <c r="B200">
        <f>IF($A200="","",TRIM(INDEX('05_KAIS'!$B:$B,$A200)&amp;" "&amp;INDEX('05_KAIS'!$C:$C,$A200)))</f>
        <v/>
      </c>
      <c r="C200">
        <f>IF($A200="","",INDEX('05_KAIS'!$D:$D,$A200))</f>
        <v/>
      </c>
      <c r="D200">
        <f>IF($A200="","",INDEX('05_KAIS'!$H:$H,$A200))</f>
        <v/>
      </c>
      <c r="E200">
        <f>IF($A200="","",INDEX('05_KAIS'!$K:$K,$A200))</f>
        <v/>
      </c>
      <c r="F200" s="202">
        <f>IF($A200="","",INDEX('05_KAIS'!$I:$I,$A200))</f>
        <v/>
      </c>
      <c r="G200" s="118">
        <f>IF($A200="","",INDEX('05_KAIS'!$L:$L,$A200))</f>
        <v/>
      </c>
      <c r="H200" s="118">
        <f>IF($A200="","",IFERROR(INDEX('05_KAIS'!$M:$M,$A200),IF(AND(E200&gt;0,G200&gt;0),G200/E200,"")))</f>
        <v/>
      </c>
      <c r="I200" s="202">
        <f>IF($A200="","",INDEX('05_KAIS'!$N:$N,$A200))</f>
        <v/>
      </c>
      <c r="J200">
        <f>IF(B200="","",IF('02_대상물건입력'!$B$5="",1,IF(ISNUMBER(SEARCH('02_대상물건입력'!$B$5,B200)),1,0)))</f>
        <v/>
      </c>
      <c r="K200">
        <f>IF(B200="","",IF('02_대상물건입력'!$B$6="",1,IF(ISNUMBER(SEARCH('02_대상물건입력'!$B$6,B200)),1,0)))</f>
        <v/>
      </c>
      <c r="L200">
        <f>IF(D200="","",IF('02_대상물건입력'!$B$8="",0,IF(ISNUMBER(SEARCH('02_대상물건입력'!$B$8,D200)),1,0)))</f>
        <v/>
      </c>
      <c r="M200">
        <f>IFERROR(ABS(E200-'02_대상물건입력'!$B$11)/'02_대상물건입력'!$B$11,"")</f>
        <v/>
      </c>
      <c r="N200">
        <f>IFERROR(ABS('01_설정'!$B$4-F200),"")</f>
        <v/>
      </c>
      <c r="O200">
        <f>IFERROR(ABS(YEAR(I200)-YEAR('02_대상물건입력'!$B$14)),"")</f>
        <v/>
      </c>
      <c r="P200">
        <f>IF(AND(E200&gt;0,F200&gt;0,G200&gt;0,IF('01_설정'!$B$10=1,J200=1,TRUE()),M200&lt;='01_설정'!$B$5,N200&lt;='01_설정'!$B$7,O200&lt;='01_설정'!$B$8),"Y","")</f>
        <v/>
      </c>
      <c r="Q200">
        <f>IF(P200&lt;&gt;"Y","",MAX(0,(1-M200/'01_설정'!$B$5))*'01_설정'!$B$14+MAX(0,(1-N200/'01_설정'!$B$7))*'01_설정'!$B$16+MAX(0,(1-O200/'01_설정'!$B$8))*'01_설정'!$B$17+K200*'01_설정'!$B$11+L200*'01_설정'!$B$12)</f>
        <v/>
      </c>
      <c r="R200">
        <f>IF(Q200="","",1+COUNTIFS($Q$31:$Q$1030,"&gt;"&amp;Q200)+COUNTIFS($Q$31:Q200,Q200)-1)</f>
        <v/>
      </c>
    </row>
    <row r="201" hidden="1" ht="16.5" customHeight="1">
      <c r="A201">
        <f>IF(COUNTA('05_KAIS'!$A189:$N189)=0,"",174)</f>
        <v/>
      </c>
      <c r="B201">
        <f>IF($A201="","",TRIM(INDEX('05_KAIS'!$B:$B,$A201)&amp;" "&amp;INDEX('05_KAIS'!$C:$C,$A201)))</f>
        <v/>
      </c>
      <c r="C201">
        <f>IF($A201="","",INDEX('05_KAIS'!$D:$D,$A201))</f>
        <v/>
      </c>
      <c r="D201">
        <f>IF($A201="","",INDEX('05_KAIS'!$H:$H,$A201))</f>
        <v/>
      </c>
      <c r="E201">
        <f>IF($A201="","",INDEX('05_KAIS'!$K:$K,$A201))</f>
        <v/>
      </c>
      <c r="F201" s="202">
        <f>IF($A201="","",INDEX('05_KAIS'!$I:$I,$A201))</f>
        <v/>
      </c>
      <c r="G201" s="118">
        <f>IF($A201="","",INDEX('05_KAIS'!$L:$L,$A201))</f>
        <v/>
      </c>
      <c r="H201" s="118">
        <f>IF($A201="","",IFERROR(INDEX('05_KAIS'!$M:$M,$A201),IF(AND(E201&gt;0,G201&gt;0),G201/E201,"")))</f>
        <v/>
      </c>
      <c r="I201" s="202">
        <f>IF($A201="","",INDEX('05_KAIS'!$N:$N,$A201))</f>
        <v/>
      </c>
      <c r="J201">
        <f>IF(B201="","",IF('02_대상물건입력'!$B$5="",1,IF(ISNUMBER(SEARCH('02_대상물건입력'!$B$5,B201)),1,0)))</f>
        <v/>
      </c>
      <c r="K201">
        <f>IF(B201="","",IF('02_대상물건입력'!$B$6="",1,IF(ISNUMBER(SEARCH('02_대상물건입력'!$B$6,B201)),1,0)))</f>
        <v/>
      </c>
      <c r="L201">
        <f>IF(D201="","",IF('02_대상물건입력'!$B$8="",0,IF(ISNUMBER(SEARCH('02_대상물건입력'!$B$8,D201)),1,0)))</f>
        <v/>
      </c>
      <c r="M201">
        <f>IFERROR(ABS(E201-'02_대상물건입력'!$B$11)/'02_대상물건입력'!$B$11,"")</f>
        <v/>
      </c>
      <c r="N201">
        <f>IFERROR(ABS('01_설정'!$B$4-F201),"")</f>
        <v/>
      </c>
      <c r="O201">
        <f>IFERROR(ABS(YEAR(I201)-YEAR('02_대상물건입력'!$B$14)),"")</f>
        <v/>
      </c>
      <c r="P201">
        <f>IF(AND(E201&gt;0,F201&gt;0,G201&gt;0,IF('01_설정'!$B$10=1,J201=1,TRUE()),M201&lt;='01_설정'!$B$5,N201&lt;='01_설정'!$B$7,O201&lt;='01_설정'!$B$8),"Y","")</f>
        <v/>
      </c>
      <c r="Q201">
        <f>IF(P201&lt;&gt;"Y","",MAX(0,(1-M201/'01_설정'!$B$5))*'01_설정'!$B$14+MAX(0,(1-N201/'01_설정'!$B$7))*'01_설정'!$B$16+MAX(0,(1-O201/'01_설정'!$B$8))*'01_설정'!$B$17+K201*'01_설정'!$B$11+L201*'01_설정'!$B$12)</f>
        <v/>
      </c>
      <c r="R201">
        <f>IF(Q201="","",1+COUNTIFS($Q$31:$Q$1030,"&gt;"&amp;Q201)+COUNTIFS($Q$31:Q201,Q201)-1)</f>
        <v/>
      </c>
    </row>
    <row r="202" hidden="1" ht="16.5" customHeight="1">
      <c r="A202">
        <f>IF(COUNTA('05_KAIS'!$A190:$N190)=0,"",175)</f>
        <v/>
      </c>
      <c r="B202">
        <f>IF($A202="","",TRIM(INDEX('05_KAIS'!$B:$B,$A202)&amp;" "&amp;INDEX('05_KAIS'!$C:$C,$A202)))</f>
        <v/>
      </c>
      <c r="C202">
        <f>IF($A202="","",INDEX('05_KAIS'!$D:$D,$A202))</f>
        <v/>
      </c>
      <c r="D202">
        <f>IF($A202="","",INDEX('05_KAIS'!$H:$H,$A202))</f>
        <v/>
      </c>
      <c r="E202">
        <f>IF($A202="","",INDEX('05_KAIS'!$K:$K,$A202))</f>
        <v/>
      </c>
      <c r="F202" s="202">
        <f>IF($A202="","",INDEX('05_KAIS'!$I:$I,$A202))</f>
        <v/>
      </c>
      <c r="G202" s="118">
        <f>IF($A202="","",INDEX('05_KAIS'!$L:$L,$A202))</f>
        <v/>
      </c>
      <c r="H202" s="118">
        <f>IF($A202="","",IFERROR(INDEX('05_KAIS'!$M:$M,$A202),IF(AND(E202&gt;0,G202&gt;0),G202/E202,"")))</f>
        <v/>
      </c>
      <c r="I202" s="202">
        <f>IF($A202="","",INDEX('05_KAIS'!$N:$N,$A202))</f>
        <v/>
      </c>
      <c r="J202">
        <f>IF(B202="","",IF('02_대상물건입력'!$B$5="",1,IF(ISNUMBER(SEARCH('02_대상물건입력'!$B$5,B202)),1,0)))</f>
        <v/>
      </c>
      <c r="K202">
        <f>IF(B202="","",IF('02_대상물건입력'!$B$6="",1,IF(ISNUMBER(SEARCH('02_대상물건입력'!$B$6,B202)),1,0)))</f>
        <v/>
      </c>
      <c r="L202">
        <f>IF(D202="","",IF('02_대상물건입력'!$B$8="",0,IF(ISNUMBER(SEARCH('02_대상물건입력'!$B$8,D202)),1,0)))</f>
        <v/>
      </c>
      <c r="M202">
        <f>IFERROR(ABS(E202-'02_대상물건입력'!$B$11)/'02_대상물건입력'!$B$11,"")</f>
        <v/>
      </c>
      <c r="N202">
        <f>IFERROR(ABS('01_설정'!$B$4-F202),"")</f>
        <v/>
      </c>
      <c r="O202">
        <f>IFERROR(ABS(YEAR(I202)-YEAR('02_대상물건입력'!$B$14)),"")</f>
        <v/>
      </c>
      <c r="P202">
        <f>IF(AND(E202&gt;0,F202&gt;0,G202&gt;0,IF('01_설정'!$B$10=1,J202=1,TRUE()),M202&lt;='01_설정'!$B$5,N202&lt;='01_설정'!$B$7,O202&lt;='01_설정'!$B$8),"Y","")</f>
        <v/>
      </c>
      <c r="Q202">
        <f>IF(P202&lt;&gt;"Y","",MAX(0,(1-M202/'01_설정'!$B$5))*'01_설정'!$B$14+MAX(0,(1-N202/'01_설정'!$B$7))*'01_설정'!$B$16+MAX(0,(1-O202/'01_설정'!$B$8))*'01_설정'!$B$17+K202*'01_설정'!$B$11+L202*'01_설정'!$B$12)</f>
        <v/>
      </c>
      <c r="R202">
        <f>IF(Q202="","",1+COUNTIFS($Q$31:$Q$1030,"&gt;"&amp;Q202)+COUNTIFS($Q$31:Q202,Q202)-1)</f>
        <v/>
      </c>
    </row>
    <row r="203" hidden="1" ht="16.5" customHeight="1">
      <c r="A203">
        <f>IF(COUNTA('05_KAIS'!$A191:$N191)=0,"",176)</f>
        <v/>
      </c>
      <c r="B203">
        <f>IF($A203="","",TRIM(INDEX('05_KAIS'!$B:$B,$A203)&amp;" "&amp;INDEX('05_KAIS'!$C:$C,$A203)))</f>
        <v/>
      </c>
      <c r="C203">
        <f>IF($A203="","",INDEX('05_KAIS'!$D:$D,$A203))</f>
        <v/>
      </c>
      <c r="D203">
        <f>IF($A203="","",INDEX('05_KAIS'!$H:$H,$A203))</f>
        <v/>
      </c>
      <c r="E203">
        <f>IF($A203="","",INDEX('05_KAIS'!$K:$K,$A203))</f>
        <v/>
      </c>
      <c r="F203" s="202">
        <f>IF($A203="","",INDEX('05_KAIS'!$I:$I,$A203))</f>
        <v/>
      </c>
      <c r="G203" s="118">
        <f>IF($A203="","",INDEX('05_KAIS'!$L:$L,$A203))</f>
        <v/>
      </c>
      <c r="H203" s="118">
        <f>IF($A203="","",IFERROR(INDEX('05_KAIS'!$M:$M,$A203),IF(AND(E203&gt;0,G203&gt;0),G203/E203,"")))</f>
        <v/>
      </c>
      <c r="I203" s="202">
        <f>IF($A203="","",INDEX('05_KAIS'!$N:$N,$A203))</f>
        <v/>
      </c>
      <c r="J203">
        <f>IF(B203="","",IF('02_대상물건입력'!$B$5="",1,IF(ISNUMBER(SEARCH('02_대상물건입력'!$B$5,B203)),1,0)))</f>
        <v/>
      </c>
      <c r="K203">
        <f>IF(B203="","",IF('02_대상물건입력'!$B$6="",1,IF(ISNUMBER(SEARCH('02_대상물건입력'!$B$6,B203)),1,0)))</f>
        <v/>
      </c>
      <c r="L203">
        <f>IF(D203="","",IF('02_대상물건입력'!$B$8="",0,IF(ISNUMBER(SEARCH('02_대상물건입력'!$B$8,D203)),1,0)))</f>
        <v/>
      </c>
      <c r="M203">
        <f>IFERROR(ABS(E203-'02_대상물건입력'!$B$11)/'02_대상물건입력'!$B$11,"")</f>
        <v/>
      </c>
      <c r="N203">
        <f>IFERROR(ABS('01_설정'!$B$4-F203),"")</f>
        <v/>
      </c>
      <c r="O203">
        <f>IFERROR(ABS(YEAR(I203)-YEAR('02_대상물건입력'!$B$14)),"")</f>
        <v/>
      </c>
      <c r="P203">
        <f>IF(AND(E203&gt;0,F203&gt;0,G203&gt;0,IF('01_설정'!$B$10=1,J203=1,TRUE()),M203&lt;='01_설정'!$B$5,N203&lt;='01_설정'!$B$7,O203&lt;='01_설정'!$B$8),"Y","")</f>
        <v/>
      </c>
      <c r="Q203">
        <f>IF(P203&lt;&gt;"Y","",MAX(0,(1-M203/'01_설정'!$B$5))*'01_설정'!$B$14+MAX(0,(1-N203/'01_설정'!$B$7))*'01_설정'!$B$16+MAX(0,(1-O203/'01_설정'!$B$8))*'01_설정'!$B$17+K203*'01_설정'!$B$11+L203*'01_설정'!$B$12)</f>
        <v/>
      </c>
      <c r="R203">
        <f>IF(Q203="","",1+COUNTIFS($Q$31:$Q$1030,"&gt;"&amp;Q203)+COUNTIFS($Q$31:Q203,Q203)-1)</f>
        <v/>
      </c>
    </row>
    <row r="204" hidden="1" ht="16.5" customHeight="1">
      <c r="A204">
        <f>IF(COUNTA('05_KAIS'!$A192:$N192)=0,"",177)</f>
        <v/>
      </c>
      <c r="B204">
        <f>IF($A204="","",TRIM(INDEX('05_KAIS'!$B:$B,$A204)&amp;" "&amp;INDEX('05_KAIS'!$C:$C,$A204)))</f>
        <v/>
      </c>
      <c r="C204">
        <f>IF($A204="","",INDEX('05_KAIS'!$D:$D,$A204))</f>
        <v/>
      </c>
      <c r="D204">
        <f>IF($A204="","",INDEX('05_KAIS'!$H:$H,$A204))</f>
        <v/>
      </c>
      <c r="E204">
        <f>IF($A204="","",INDEX('05_KAIS'!$K:$K,$A204))</f>
        <v/>
      </c>
      <c r="F204" s="202">
        <f>IF($A204="","",INDEX('05_KAIS'!$I:$I,$A204))</f>
        <v/>
      </c>
      <c r="G204" s="118">
        <f>IF($A204="","",INDEX('05_KAIS'!$L:$L,$A204))</f>
        <v/>
      </c>
      <c r="H204" s="118">
        <f>IF($A204="","",IFERROR(INDEX('05_KAIS'!$M:$M,$A204),IF(AND(E204&gt;0,G204&gt;0),G204/E204,"")))</f>
        <v/>
      </c>
      <c r="I204" s="202">
        <f>IF($A204="","",INDEX('05_KAIS'!$N:$N,$A204))</f>
        <v/>
      </c>
      <c r="J204">
        <f>IF(B204="","",IF('02_대상물건입력'!$B$5="",1,IF(ISNUMBER(SEARCH('02_대상물건입력'!$B$5,B204)),1,0)))</f>
        <v/>
      </c>
      <c r="K204">
        <f>IF(B204="","",IF('02_대상물건입력'!$B$6="",1,IF(ISNUMBER(SEARCH('02_대상물건입력'!$B$6,B204)),1,0)))</f>
        <v/>
      </c>
      <c r="L204">
        <f>IF(D204="","",IF('02_대상물건입력'!$B$8="",0,IF(ISNUMBER(SEARCH('02_대상물건입력'!$B$8,D204)),1,0)))</f>
        <v/>
      </c>
      <c r="M204">
        <f>IFERROR(ABS(E204-'02_대상물건입력'!$B$11)/'02_대상물건입력'!$B$11,"")</f>
        <v/>
      </c>
      <c r="N204">
        <f>IFERROR(ABS('01_설정'!$B$4-F204),"")</f>
        <v/>
      </c>
      <c r="O204">
        <f>IFERROR(ABS(YEAR(I204)-YEAR('02_대상물건입력'!$B$14)),"")</f>
        <v/>
      </c>
      <c r="P204">
        <f>IF(AND(E204&gt;0,F204&gt;0,G204&gt;0,IF('01_설정'!$B$10=1,J204=1,TRUE()),M204&lt;='01_설정'!$B$5,N204&lt;='01_설정'!$B$7,O204&lt;='01_설정'!$B$8),"Y","")</f>
        <v/>
      </c>
      <c r="Q204">
        <f>IF(P204&lt;&gt;"Y","",MAX(0,(1-M204/'01_설정'!$B$5))*'01_설정'!$B$14+MAX(0,(1-N204/'01_설정'!$B$7))*'01_설정'!$B$16+MAX(0,(1-O204/'01_설정'!$B$8))*'01_설정'!$B$17+K204*'01_설정'!$B$11+L204*'01_설정'!$B$12)</f>
        <v/>
      </c>
      <c r="R204">
        <f>IF(Q204="","",1+COUNTIFS($Q$31:$Q$1030,"&gt;"&amp;Q204)+COUNTIFS($Q$31:Q204,Q204)-1)</f>
        <v/>
      </c>
    </row>
    <row r="205" hidden="1" ht="16.5" customHeight="1">
      <c r="A205">
        <f>IF(COUNTA('05_KAIS'!$A193:$N193)=0,"",178)</f>
        <v/>
      </c>
      <c r="B205">
        <f>IF($A205="","",TRIM(INDEX('05_KAIS'!$B:$B,$A205)&amp;" "&amp;INDEX('05_KAIS'!$C:$C,$A205)))</f>
        <v/>
      </c>
      <c r="C205">
        <f>IF($A205="","",INDEX('05_KAIS'!$D:$D,$A205))</f>
        <v/>
      </c>
      <c r="D205">
        <f>IF($A205="","",INDEX('05_KAIS'!$H:$H,$A205))</f>
        <v/>
      </c>
      <c r="E205">
        <f>IF($A205="","",INDEX('05_KAIS'!$K:$K,$A205))</f>
        <v/>
      </c>
      <c r="F205" s="202">
        <f>IF($A205="","",INDEX('05_KAIS'!$I:$I,$A205))</f>
        <v/>
      </c>
      <c r="G205" s="118">
        <f>IF($A205="","",INDEX('05_KAIS'!$L:$L,$A205))</f>
        <v/>
      </c>
      <c r="H205" s="118">
        <f>IF($A205="","",IFERROR(INDEX('05_KAIS'!$M:$M,$A205),IF(AND(E205&gt;0,G205&gt;0),G205/E205,"")))</f>
        <v/>
      </c>
      <c r="I205" s="202">
        <f>IF($A205="","",INDEX('05_KAIS'!$N:$N,$A205))</f>
        <v/>
      </c>
      <c r="J205">
        <f>IF(B205="","",IF('02_대상물건입력'!$B$5="",1,IF(ISNUMBER(SEARCH('02_대상물건입력'!$B$5,B205)),1,0)))</f>
        <v/>
      </c>
      <c r="K205">
        <f>IF(B205="","",IF('02_대상물건입력'!$B$6="",1,IF(ISNUMBER(SEARCH('02_대상물건입력'!$B$6,B205)),1,0)))</f>
        <v/>
      </c>
      <c r="L205">
        <f>IF(D205="","",IF('02_대상물건입력'!$B$8="",0,IF(ISNUMBER(SEARCH('02_대상물건입력'!$B$8,D205)),1,0)))</f>
        <v/>
      </c>
      <c r="M205">
        <f>IFERROR(ABS(E205-'02_대상물건입력'!$B$11)/'02_대상물건입력'!$B$11,"")</f>
        <v/>
      </c>
      <c r="N205">
        <f>IFERROR(ABS('01_설정'!$B$4-F205),"")</f>
        <v/>
      </c>
      <c r="O205">
        <f>IFERROR(ABS(YEAR(I205)-YEAR('02_대상물건입력'!$B$14)),"")</f>
        <v/>
      </c>
      <c r="P205">
        <f>IF(AND(E205&gt;0,F205&gt;0,G205&gt;0,IF('01_설정'!$B$10=1,J205=1,TRUE()),M205&lt;='01_설정'!$B$5,N205&lt;='01_설정'!$B$7,O205&lt;='01_설정'!$B$8),"Y","")</f>
        <v/>
      </c>
      <c r="Q205">
        <f>IF(P205&lt;&gt;"Y","",MAX(0,(1-M205/'01_설정'!$B$5))*'01_설정'!$B$14+MAX(0,(1-N205/'01_설정'!$B$7))*'01_설정'!$B$16+MAX(0,(1-O205/'01_설정'!$B$8))*'01_설정'!$B$17+K205*'01_설정'!$B$11+L205*'01_설정'!$B$12)</f>
        <v/>
      </c>
      <c r="R205">
        <f>IF(Q205="","",1+COUNTIFS($Q$31:$Q$1030,"&gt;"&amp;Q205)+COUNTIFS($Q$31:Q205,Q205)-1)</f>
        <v/>
      </c>
    </row>
    <row r="206" hidden="1" ht="16.5" customHeight="1">
      <c r="A206">
        <f>IF(COUNTA('05_KAIS'!$A194:$N194)=0,"",179)</f>
        <v/>
      </c>
      <c r="B206">
        <f>IF($A206="","",TRIM(INDEX('05_KAIS'!$B:$B,$A206)&amp;" "&amp;INDEX('05_KAIS'!$C:$C,$A206)))</f>
        <v/>
      </c>
      <c r="C206">
        <f>IF($A206="","",INDEX('05_KAIS'!$D:$D,$A206))</f>
        <v/>
      </c>
      <c r="D206">
        <f>IF($A206="","",INDEX('05_KAIS'!$H:$H,$A206))</f>
        <v/>
      </c>
      <c r="E206">
        <f>IF($A206="","",INDEX('05_KAIS'!$K:$K,$A206))</f>
        <v/>
      </c>
      <c r="F206" s="202">
        <f>IF($A206="","",INDEX('05_KAIS'!$I:$I,$A206))</f>
        <v/>
      </c>
      <c r="G206" s="118">
        <f>IF($A206="","",INDEX('05_KAIS'!$L:$L,$A206))</f>
        <v/>
      </c>
      <c r="H206" s="118">
        <f>IF($A206="","",IFERROR(INDEX('05_KAIS'!$M:$M,$A206),IF(AND(E206&gt;0,G206&gt;0),G206/E206,"")))</f>
        <v/>
      </c>
      <c r="I206" s="202">
        <f>IF($A206="","",INDEX('05_KAIS'!$N:$N,$A206))</f>
        <v/>
      </c>
      <c r="J206">
        <f>IF(B206="","",IF('02_대상물건입력'!$B$5="",1,IF(ISNUMBER(SEARCH('02_대상물건입력'!$B$5,B206)),1,0)))</f>
        <v/>
      </c>
      <c r="K206">
        <f>IF(B206="","",IF('02_대상물건입력'!$B$6="",1,IF(ISNUMBER(SEARCH('02_대상물건입력'!$B$6,B206)),1,0)))</f>
        <v/>
      </c>
      <c r="L206">
        <f>IF(D206="","",IF('02_대상물건입력'!$B$8="",0,IF(ISNUMBER(SEARCH('02_대상물건입력'!$B$8,D206)),1,0)))</f>
        <v/>
      </c>
      <c r="M206">
        <f>IFERROR(ABS(E206-'02_대상물건입력'!$B$11)/'02_대상물건입력'!$B$11,"")</f>
        <v/>
      </c>
      <c r="N206">
        <f>IFERROR(ABS('01_설정'!$B$4-F206),"")</f>
        <v/>
      </c>
      <c r="O206">
        <f>IFERROR(ABS(YEAR(I206)-YEAR('02_대상물건입력'!$B$14)),"")</f>
        <v/>
      </c>
      <c r="P206">
        <f>IF(AND(E206&gt;0,F206&gt;0,G206&gt;0,IF('01_설정'!$B$10=1,J206=1,TRUE()),M206&lt;='01_설정'!$B$5,N206&lt;='01_설정'!$B$7,O206&lt;='01_설정'!$B$8),"Y","")</f>
        <v/>
      </c>
      <c r="Q206">
        <f>IF(P206&lt;&gt;"Y","",MAX(0,(1-M206/'01_설정'!$B$5))*'01_설정'!$B$14+MAX(0,(1-N206/'01_설정'!$B$7))*'01_설정'!$B$16+MAX(0,(1-O206/'01_설정'!$B$8))*'01_설정'!$B$17+K206*'01_설정'!$B$11+L206*'01_설정'!$B$12)</f>
        <v/>
      </c>
      <c r="R206">
        <f>IF(Q206="","",1+COUNTIFS($Q$31:$Q$1030,"&gt;"&amp;Q206)+COUNTIFS($Q$31:Q206,Q206)-1)</f>
        <v/>
      </c>
    </row>
    <row r="207" hidden="1" ht="16.5" customHeight="1">
      <c r="A207">
        <f>IF(COUNTA('05_KAIS'!$A195:$N195)=0,"",180)</f>
        <v/>
      </c>
      <c r="B207">
        <f>IF($A207="","",TRIM(INDEX('05_KAIS'!$B:$B,$A207)&amp;" "&amp;INDEX('05_KAIS'!$C:$C,$A207)))</f>
        <v/>
      </c>
      <c r="C207">
        <f>IF($A207="","",INDEX('05_KAIS'!$D:$D,$A207))</f>
        <v/>
      </c>
      <c r="D207">
        <f>IF($A207="","",INDEX('05_KAIS'!$H:$H,$A207))</f>
        <v/>
      </c>
      <c r="E207">
        <f>IF($A207="","",INDEX('05_KAIS'!$K:$K,$A207))</f>
        <v/>
      </c>
      <c r="F207" s="202">
        <f>IF($A207="","",INDEX('05_KAIS'!$I:$I,$A207))</f>
        <v/>
      </c>
      <c r="G207" s="118">
        <f>IF($A207="","",INDEX('05_KAIS'!$L:$L,$A207))</f>
        <v/>
      </c>
      <c r="H207" s="118">
        <f>IF($A207="","",IFERROR(INDEX('05_KAIS'!$M:$M,$A207),IF(AND(E207&gt;0,G207&gt;0),G207/E207,"")))</f>
        <v/>
      </c>
      <c r="I207" s="202">
        <f>IF($A207="","",INDEX('05_KAIS'!$N:$N,$A207))</f>
        <v/>
      </c>
      <c r="J207">
        <f>IF(B207="","",IF('02_대상물건입력'!$B$5="",1,IF(ISNUMBER(SEARCH('02_대상물건입력'!$B$5,B207)),1,0)))</f>
        <v/>
      </c>
      <c r="K207">
        <f>IF(B207="","",IF('02_대상물건입력'!$B$6="",1,IF(ISNUMBER(SEARCH('02_대상물건입력'!$B$6,B207)),1,0)))</f>
        <v/>
      </c>
      <c r="L207">
        <f>IF(D207="","",IF('02_대상물건입력'!$B$8="",0,IF(ISNUMBER(SEARCH('02_대상물건입력'!$B$8,D207)),1,0)))</f>
        <v/>
      </c>
      <c r="M207">
        <f>IFERROR(ABS(E207-'02_대상물건입력'!$B$11)/'02_대상물건입력'!$B$11,"")</f>
        <v/>
      </c>
      <c r="N207">
        <f>IFERROR(ABS('01_설정'!$B$4-F207),"")</f>
        <v/>
      </c>
      <c r="O207">
        <f>IFERROR(ABS(YEAR(I207)-YEAR('02_대상물건입력'!$B$14)),"")</f>
        <v/>
      </c>
      <c r="P207">
        <f>IF(AND(E207&gt;0,F207&gt;0,G207&gt;0,IF('01_설정'!$B$10=1,J207=1,TRUE()),M207&lt;='01_설정'!$B$5,N207&lt;='01_설정'!$B$7,O207&lt;='01_설정'!$B$8),"Y","")</f>
        <v/>
      </c>
      <c r="Q207">
        <f>IF(P207&lt;&gt;"Y","",MAX(0,(1-M207/'01_설정'!$B$5))*'01_설정'!$B$14+MAX(0,(1-N207/'01_설정'!$B$7))*'01_설정'!$B$16+MAX(0,(1-O207/'01_설정'!$B$8))*'01_설정'!$B$17+K207*'01_설정'!$B$11+L207*'01_설정'!$B$12)</f>
        <v/>
      </c>
      <c r="R207">
        <f>IF(Q207="","",1+COUNTIFS($Q$31:$Q$1030,"&gt;"&amp;Q207)+COUNTIFS($Q$31:Q207,Q207)-1)</f>
        <v/>
      </c>
    </row>
    <row r="208" hidden="1" ht="16.5" customHeight="1">
      <c r="A208">
        <f>IF(COUNTA('05_KAIS'!$A196:$N196)=0,"",181)</f>
        <v/>
      </c>
      <c r="B208">
        <f>IF($A208="","",TRIM(INDEX('05_KAIS'!$B:$B,$A208)&amp;" "&amp;INDEX('05_KAIS'!$C:$C,$A208)))</f>
        <v/>
      </c>
      <c r="C208">
        <f>IF($A208="","",INDEX('05_KAIS'!$D:$D,$A208))</f>
        <v/>
      </c>
      <c r="D208">
        <f>IF($A208="","",INDEX('05_KAIS'!$H:$H,$A208))</f>
        <v/>
      </c>
      <c r="E208">
        <f>IF($A208="","",INDEX('05_KAIS'!$K:$K,$A208))</f>
        <v/>
      </c>
      <c r="F208" s="202">
        <f>IF($A208="","",INDEX('05_KAIS'!$I:$I,$A208))</f>
        <v/>
      </c>
      <c r="G208" s="118">
        <f>IF($A208="","",INDEX('05_KAIS'!$L:$L,$A208))</f>
        <v/>
      </c>
      <c r="H208" s="118">
        <f>IF($A208="","",IFERROR(INDEX('05_KAIS'!$M:$M,$A208),IF(AND(E208&gt;0,G208&gt;0),G208/E208,"")))</f>
        <v/>
      </c>
      <c r="I208" s="202">
        <f>IF($A208="","",INDEX('05_KAIS'!$N:$N,$A208))</f>
        <v/>
      </c>
      <c r="J208">
        <f>IF(B208="","",IF('02_대상물건입력'!$B$5="",1,IF(ISNUMBER(SEARCH('02_대상물건입력'!$B$5,B208)),1,0)))</f>
        <v/>
      </c>
      <c r="K208">
        <f>IF(B208="","",IF('02_대상물건입력'!$B$6="",1,IF(ISNUMBER(SEARCH('02_대상물건입력'!$B$6,B208)),1,0)))</f>
        <v/>
      </c>
      <c r="L208">
        <f>IF(D208="","",IF('02_대상물건입력'!$B$8="",0,IF(ISNUMBER(SEARCH('02_대상물건입력'!$B$8,D208)),1,0)))</f>
        <v/>
      </c>
      <c r="M208">
        <f>IFERROR(ABS(E208-'02_대상물건입력'!$B$11)/'02_대상물건입력'!$B$11,"")</f>
        <v/>
      </c>
      <c r="N208">
        <f>IFERROR(ABS('01_설정'!$B$4-F208),"")</f>
        <v/>
      </c>
      <c r="O208">
        <f>IFERROR(ABS(YEAR(I208)-YEAR('02_대상물건입력'!$B$14)),"")</f>
        <v/>
      </c>
      <c r="P208">
        <f>IF(AND(E208&gt;0,F208&gt;0,G208&gt;0,IF('01_설정'!$B$10=1,J208=1,TRUE()),M208&lt;='01_설정'!$B$5,N208&lt;='01_설정'!$B$7,O208&lt;='01_설정'!$B$8),"Y","")</f>
        <v/>
      </c>
      <c r="Q208">
        <f>IF(P208&lt;&gt;"Y","",MAX(0,(1-M208/'01_설정'!$B$5))*'01_설정'!$B$14+MAX(0,(1-N208/'01_설정'!$B$7))*'01_설정'!$B$16+MAX(0,(1-O208/'01_설정'!$B$8))*'01_설정'!$B$17+K208*'01_설정'!$B$11+L208*'01_설정'!$B$12)</f>
        <v/>
      </c>
      <c r="R208">
        <f>IF(Q208="","",1+COUNTIFS($Q$31:$Q$1030,"&gt;"&amp;Q208)+COUNTIFS($Q$31:Q208,Q208)-1)</f>
        <v/>
      </c>
    </row>
    <row r="209" hidden="1" ht="16.5" customHeight="1">
      <c r="A209">
        <f>IF(COUNTA('05_KAIS'!$A197:$N197)=0,"",182)</f>
        <v/>
      </c>
      <c r="B209">
        <f>IF($A209="","",TRIM(INDEX('05_KAIS'!$B:$B,$A209)&amp;" "&amp;INDEX('05_KAIS'!$C:$C,$A209)))</f>
        <v/>
      </c>
      <c r="C209">
        <f>IF($A209="","",INDEX('05_KAIS'!$D:$D,$A209))</f>
        <v/>
      </c>
      <c r="D209">
        <f>IF($A209="","",INDEX('05_KAIS'!$H:$H,$A209))</f>
        <v/>
      </c>
      <c r="E209">
        <f>IF($A209="","",INDEX('05_KAIS'!$K:$K,$A209))</f>
        <v/>
      </c>
      <c r="F209" s="202">
        <f>IF($A209="","",INDEX('05_KAIS'!$I:$I,$A209))</f>
        <v/>
      </c>
      <c r="G209" s="118">
        <f>IF($A209="","",INDEX('05_KAIS'!$L:$L,$A209))</f>
        <v/>
      </c>
      <c r="H209" s="118">
        <f>IF($A209="","",IFERROR(INDEX('05_KAIS'!$M:$M,$A209),IF(AND(E209&gt;0,G209&gt;0),G209/E209,"")))</f>
        <v/>
      </c>
      <c r="I209" s="202">
        <f>IF($A209="","",INDEX('05_KAIS'!$N:$N,$A209))</f>
        <v/>
      </c>
      <c r="J209">
        <f>IF(B209="","",IF('02_대상물건입력'!$B$5="",1,IF(ISNUMBER(SEARCH('02_대상물건입력'!$B$5,B209)),1,0)))</f>
        <v/>
      </c>
      <c r="K209">
        <f>IF(B209="","",IF('02_대상물건입력'!$B$6="",1,IF(ISNUMBER(SEARCH('02_대상물건입력'!$B$6,B209)),1,0)))</f>
        <v/>
      </c>
      <c r="L209">
        <f>IF(D209="","",IF('02_대상물건입력'!$B$8="",0,IF(ISNUMBER(SEARCH('02_대상물건입력'!$B$8,D209)),1,0)))</f>
        <v/>
      </c>
      <c r="M209">
        <f>IFERROR(ABS(E209-'02_대상물건입력'!$B$11)/'02_대상물건입력'!$B$11,"")</f>
        <v/>
      </c>
      <c r="N209">
        <f>IFERROR(ABS('01_설정'!$B$4-F209),"")</f>
        <v/>
      </c>
      <c r="O209">
        <f>IFERROR(ABS(YEAR(I209)-YEAR('02_대상물건입력'!$B$14)),"")</f>
        <v/>
      </c>
      <c r="P209">
        <f>IF(AND(E209&gt;0,F209&gt;0,G209&gt;0,IF('01_설정'!$B$10=1,J209=1,TRUE()),M209&lt;='01_설정'!$B$5,N209&lt;='01_설정'!$B$7,O209&lt;='01_설정'!$B$8),"Y","")</f>
        <v/>
      </c>
      <c r="Q209">
        <f>IF(P209&lt;&gt;"Y","",MAX(0,(1-M209/'01_설정'!$B$5))*'01_설정'!$B$14+MAX(0,(1-N209/'01_설정'!$B$7))*'01_설정'!$B$16+MAX(0,(1-O209/'01_설정'!$B$8))*'01_설정'!$B$17+K209*'01_설정'!$B$11+L209*'01_설정'!$B$12)</f>
        <v/>
      </c>
      <c r="R209">
        <f>IF(Q209="","",1+COUNTIFS($Q$31:$Q$1030,"&gt;"&amp;Q209)+COUNTIFS($Q$31:Q209,Q209)-1)</f>
        <v/>
      </c>
    </row>
    <row r="210" hidden="1" ht="16.5" customHeight="1">
      <c r="A210">
        <f>IF(COUNTA('05_KAIS'!$A198:$N198)=0,"",183)</f>
        <v/>
      </c>
      <c r="B210">
        <f>IF($A210="","",TRIM(INDEX('05_KAIS'!$B:$B,$A210)&amp;" "&amp;INDEX('05_KAIS'!$C:$C,$A210)))</f>
        <v/>
      </c>
      <c r="C210">
        <f>IF($A210="","",INDEX('05_KAIS'!$D:$D,$A210))</f>
        <v/>
      </c>
      <c r="D210">
        <f>IF($A210="","",INDEX('05_KAIS'!$H:$H,$A210))</f>
        <v/>
      </c>
      <c r="E210">
        <f>IF($A210="","",INDEX('05_KAIS'!$K:$K,$A210))</f>
        <v/>
      </c>
      <c r="F210" s="202">
        <f>IF($A210="","",INDEX('05_KAIS'!$I:$I,$A210))</f>
        <v/>
      </c>
      <c r="G210" s="118">
        <f>IF($A210="","",INDEX('05_KAIS'!$L:$L,$A210))</f>
        <v/>
      </c>
      <c r="H210" s="118">
        <f>IF($A210="","",IFERROR(INDEX('05_KAIS'!$M:$M,$A210),IF(AND(E210&gt;0,G210&gt;0),G210/E210,"")))</f>
        <v/>
      </c>
      <c r="I210" s="202">
        <f>IF($A210="","",INDEX('05_KAIS'!$N:$N,$A210))</f>
        <v/>
      </c>
      <c r="J210">
        <f>IF(B210="","",IF('02_대상물건입력'!$B$5="",1,IF(ISNUMBER(SEARCH('02_대상물건입력'!$B$5,B210)),1,0)))</f>
        <v/>
      </c>
      <c r="K210">
        <f>IF(B210="","",IF('02_대상물건입력'!$B$6="",1,IF(ISNUMBER(SEARCH('02_대상물건입력'!$B$6,B210)),1,0)))</f>
        <v/>
      </c>
      <c r="L210">
        <f>IF(D210="","",IF('02_대상물건입력'!$B$8="",0,IF(ISNUMBER(SEARCH('02_대상물건입력'!$B$8,D210)),1,0)))</f>
        <v/>
      </c>
      <c r="M210">
        <f>IFERROR(ABS(E210-'02_대상물건입력'!$B$11)/'02_대상물건입력'!$B$11,"")</f>
        <v/>
      </c>
      <c r="N210">
        <f>IFERROR(ABS('01_설정'!$B$4-F210),"")</f>
        <v/>
      </c>
      <c r="O210">
        <f>IFERROR(ABS(YEAR(I210)-YEAR('02_대상물건입력'!$B$14)),"")</f>
        <v/>
      </c>
      <c r="P210">
        <f>IF(AND(E210&gt;0,F210&gt;0,G210&gt;0,IF('01_설정'!$B$10=1,J210=1,TRUE()),M210&lt;='01_설정'!$B$5,N210&lt;='01_설정'!$B$7,O210&lt;='01_설정'!$B$8),"Y","")</f>
        <v/>
      </c>
      <c r="Q210">
        <f>IF(P210&lt;&gt;"Y","",MAX(0,(1-M210/'01_설정'!$B$5))*'01_설정'!$B$14+MAX(0,(1-N210/'01_설정'!$B$7))*'01_설정'!$B$16+MAX(0,(1-O210/'01_설정'!$B$8))*'01_설정'!$B$17+K210*'01_설정'!$B$11+L210*'01_설정'!$B$12)</f>
        <v/>
      </c>
      <c r="R210">
        <f>IF(Q210="","",1+COUNTIFS($Q$31:$Q$1030,"&gt;"&amp;Q210)+COUNTIFS($Q$31:Q210,Q210)-1)</f>
        <v/>
      </c>
    </row>
    <row r="211" hidden="1" ht="16.5" customHeight="1">
      <c r="A211">
        <f>IF(COUNTA('05_KAIS'!$A199:$N199)=0,"",184)</f>
        <v/>
      </c>
      <c r="B211">
        <f>IF($A211="","",TRIM(INDEX('05_KAIS'!$B:$B,$A211)&amp;" "&amp;INDEX('05_KAIS'!$C:$C,$A211)))</f>
        <v/>
      </c>
      <c r="C211">
        <f>IF($A211="","",INDEX('05_KAIS'!$D:$D,$A211))</f>
        <v/>
      </c>
      <c r="D211">
        <f>IF($A211="","",INDEX('05_KAIS'!$H:$H,$A211))</f>
        <v/>
      </c>
      <c r="E211">
        <f>IF($A211="","",INDEX('05_KAIS'!$K:$K,$A211))</f>
        <v/>
      </c>
      <c r="F211" s="202">
        <f>IF($A211="","",INDEX('05_KAIS'!$I:$I,$A211))</f>
        <v/>
      </c>
      <c r="G211" s="118">
        <f>IF($A211="","",INDEX('05_KAIS'!$L:$L,$A211))</f>
        <v/>
      </c>
      <c r="H211" s="118">
        <f>IF($A211="","",IFERROR(INDEX('05_KAIS'!$M:$M,$A211),IF(AND(E211&gt;0,G211&gt;0),G211/E211,"")))</f>
        <v/>
      </c>
      <c r="I211" s="202">
        <f>IF($A211="","",INDEX('05_KAIS'!$N:$N,$A211))</f>
        <v/>
      </c>
      <c r="J211">
        <f>IF(B211="","",IF('02_대상물건입력'!$B$5="",1,IF(ISNUMBER(SEARCH('02_대상물건입력'!$B$5,B211)),1,0)))</f>
        <v/>
      </c>
      <c r="K211">
        <f>IF(B211="","",IF('02_대상물건입력'!$B$6="",1,IF(ISNUMBER(SEARCH('02_대상물건입력'!$B$6,B211)),1,0)))</f>
        <v/>
      </c>
      <c r="L211">
        <f>IF(D211="","",IF('02_대상물건입력'!$B$8="",0,IF(ISNUMBER(SEARCH('02_대상물건입력'!$B$8,D211)),1,0)))</f>
        <v/>
      </c>
      <c r="M211">
        <f>IFERROR(ABS(E211-'02_대상물건입력'!$B$11)/'02_대상물건입력'!$B$11,"")</f>
        <v/>
      </c>
      <c r="N211">
        <f>IFERROR(ABS('01_설정'!$B$4-F211),"")</f>
        <v/>
      </c>
      <c r="O211">
        <f>IFERROR(ABS(YEAR(I211)-YEAR('02_대상물건입력'!$B$14)),"")</f>
        <v/>
      </c>
      <c r="P211">
        <f>IF(AND(E211&gt;0,F211&gt;0,G211&gt;0,IF('01_설정'!$B$10=1,J211=1,TRUE()),M211&lt;='01_설정'!$B$5,N211&lt;='01_설정'!$B$7,O211&lt;='01_설정'!$B$8),"Y","")</f>
        <v/>
      </c>
      <c r="Q211">
        <f>IF(P211&lt;&gt;"Y","",MAX(0,(1-M211/'01_설정'!$B$5))*'01_설정'!$B$14+MAX(0,(1-N211/'01_설정'!$B$7))*'01_설정'!$B$16+MAX(0,(1-O211/'01_설정'!$B$8))*'01_설정'!$B$17+K211*'01_설정'!$B$11+L211*'01_설정'!$B$12)</f>
        <v/>
      </c>
      <c r="R211">
        <f>IF(Q211="","",1+COUNTIFS($Q$31:$Q$1030,"&gt;"&amp;Q211)+COUNTIFS($Q$31:Q211,Q211)-1)</f>
        <v/>
      </c>
    </row>
    <row r="212" hidden="1" ht="16.5" customHeight="1">
      <c r="A212">
        <f>IF(COUNTA('05_KAIS'!$A200:$N200)=0,"",185)</f>
        <v/>
      </c>
      <c r="B212">
        <f>IF($A212="","",TRIM(INDEX('05_KAIS'!$B:$B,$A212)&amp;" "&amp;INDEX('05_KAIS'!$C:$C,$A212)))</f>
        <v/>
      </c>
      <c r="C212">
        <f>IF($A212="","",INDEX('05_KAIS'!$D:$D,$A212))</f>
        <v/>
      </c>
      <c r="D212">
        <f>IF($A212="","",INDEX('05_KAIS'!$H:$H,$A212))</f>
        <v/>
      </c>
      <c r="E212">
        <f>IF($A212="","",INDEX('05_KAIS'!$K:$K,$A212))</f>
        <v/>
      </c>
      <c r="F212" s="202">
        <f>IF($A212="","",INDEX('05_KAIS'!$I:$I,$A212))</f>
        <v/>
      </c>
      <c r="G212" s="118">
        <f>IF($A212="","",INDEX('05_KAIS'!$L:$L,$A212))</f>
        <v/>
      </c>
      <c r="H212" s="118">
        <f>IF($A212="","",IFERROR(INDEX('05_KAIS'!$M:$M,$A212),IF(AND(E212&gt;0,G212&gt;0),G212/E212,"")))</f>
        <v/>
      </c>
      <c r="I212" s="202">
        <f>IF($A212="","",INDEX('05_KAIS'!$N:$N,$A212))</f>
        <v/>
      </c>
      <c r="J212">
        <f>IF(B212="","",IF('02_대상물건입력'!$B$5="",1,IF(ISNUMBER(SEARCH('02_대상물건입력'!$B$5,B212)),1,0)))</f>
        <v/>
      </c>
      <c r="K212">
        <f>IF(B212="","",IF('02_대상물건입력'!$B$6="",1,IF(ISNUMBER(SEARCH('02_대상물건입력'!$B$6,B212)),1,0)))</f>
        <v/>
      </c>
      <c r="L212">
        <f>IF(D212="","",IF('02_대상물건입력'!$B$8="",0,IF(ISNUMBER(SEARCH('02_대상물건입력'!$B$8,D212)),1,0)))</f>
        <v/>
      </c>
      <c r="M212">
        <f>IFERROR(ABS(E212-'02_대상물건입력'!$B$11)/'02_대상물건입력'!$B$11,"")</f>
        <v/>
      </c>
      <c r="N212">
        <f>IFERROR(ABS('01_설정'!$B$4-F212),"")</f>
        <v/>
      </c>
      <c r="O212">
        <f>IFERROR(ABS(YEAR(I212)-YEAR('02_대상물건입력'!$B$14)),"")</f>
        <v/>
      </c>
      <c r="P212">
        <f>IF(AND(E212&gt;0,F212&gt;0,G212&gt;0,IF('01_설정'!$B$10=1,J212=1,TRUE()),M212&lt;='01_설정'!$B$5,N212&lt;='01_설정'!$B$7,O212&lt;='01_설정'!$B$8),"Y","")</f>
        <v/>
      </c>
      <c r="Q212">
        <f>IF(P212&lt;&gt;"Y","",MAX(0,(1-M212/'01_설정'!$B$5))*'01_설정'!$B$14+MAX(0,(1-N212/'01_설정'!$B$7))*'01_설정'!$B$16+MAX(0,(1-O212/'01_설정'!$B$8))*'01_설정'!$B$17+K212*'01_설정'!$B$11+L212*'01_설정'!$B$12)</f>
        <v/>
      </c>
      <c r="R212">
        <f>IF(Q212="","",1+COUNTIFS($Q$31:$Q$1030,"&gt;"&amp;Q212)+COUNTIFS($Q$31:Q212,Q212)-1)</f>
        <v/>
      </c>
    </row>
    <row r="213" hidden="1" ht="16.5" customHeight="1">
      <c r="A213">
        <f>IF(COUNTA('05_KAIS'!$A201:$N201)=0,"",186)</f>
        <v/>
      </c>
      <c r="B213">
        <f>IF($A213="","",TRIM(INDEX('05_KAIS'!$B:$B,$A213)&amp;" "&amp;INDEX('05_KAIS'!$C:$C,$A213)))</f>
        <v/>
      </c>
      <c r="C213">
        <f>IF($A213="","",INDEX('05_KAIS'!$D:$D,$A213))</f>
        <v/>
      </c>
      <c r="D213">
        <f>IF($A213="","",INDEX('05_KAIS'!$H:$H,$A213))</f>
        <v/>
      </c>
      <c r="E213">
        <f>IF($A213="","",INDEX('05_KAIS'!$K:$K,$A213))</f>
        <v/>
      </c>
      <c r="F213" s="202">
        <f>IF($A213="","",INDEX('05_KAIS'!$I:$I,$A213))</f>
        <v/>
      </c>
      <c r="G213" s="118">
        <f>IF($A213="","",INDEX('05_KAIS'!$L:$L,$A213))</f>
        <v/>
      </c>
      <c r="H213" s="118">
        <f>IF($A213="","",IFERROR(INDEX('05_KAIS'!$M:$M,$A213),IF(AND(E213&gt;0,G213&gt;0),G213/E213,"")))</f>
        <v/>
      </c>
      <c r="I213" s="202">
        <f>IF($A213="","",INDEX('05_KAIS'!$N:$N,$A213))</f>
        <v/>
      </c>
      <c r="J213">
        <f>IF(B213="","",IF('02_대상물건입력'!$B$5="",1,IF(ISNUMBER(SEARCH('02_대상물건입력'!$B$5,B213)),1,0)))</f>
        <v/>
      </c>
      <c r="K213">
        <f>IF(B213="","",IF('02_대상물건입력'!$B$6="",1,IF(ISNUMBER(SEARCH('02_대상물건입력'!$B$6,B213)),1,0)))</f>
        <v/>
      </c>
      <c r="L213">
        <f>IF(D213="","",IF('02_대상물건입력'!$B$8="",0,IF(ISNUMBER(SEARCH('02_대상물건입력'!$B$8,D213)),1,0)))</f>
        <v/>
      </c>
      <c r="M213">
        <f>IFERROR(ABS(E213-'02_대상물건입력'!$B$11)/'02_대상물건입력'!$B$11,"")</f>
        <v/>
      </c>
      <c r="N213">
        <f>IFERROR(ABS('01_설정'!$B$4-F213),"")</f>
        <v/>
      </c>
      <c r="O213">
        <f>IFERROR(ABS(YEAR(I213)-YEAR('02_대상물건입력'!$B$14)),"")</f>
        <v/>
      </c>
      <c r="P213">
        <f>IF(AND(E213&gt;0,F213&gt;0,G213&gt;0,IF('01_설정'!$B$10=1,J213=1,TRUE()),M213&lt;='01_설정'!$B$5,N213&lt;='01_설정'!$B$7,O213&lt;='01_설정'!$B$8),"Y","")</f>
        <v/>
      </c>
      <c r="Q213">
        <f>IF(P213&lt;&gt;"Y","",MAX(0,(1-M213/'01_설정'!$B$5))*'01_설정'!$B$14+MAX(0,(1-N213/'01_설정'!$B$7))*'01_설정'!$B$16+MAX(0,(1-O213/'01_설정'!$B$8))*'01_설정'!$B$17+K213*'01_설정'!$B$11+L213*'01_설정'!$B$12)</f>
        <v/>
      </c>
      <c r="R213">
        <f>IF(Q213="","",1+COUNTIFS($Q$31:$Q$1030,"&gt;"&amp;Q213)+COUNTIFS($Q$31:Q213,Q213)-1)</f>
        <v/>
      </c>
    </row>
    <row r="214" hidden="1" ht="16.5" customHeight="1">
      <c r="A214">
        <f>IF(COUNTA('05_KAIS'!$A202:$N202)=0,"",187)</f>
        <v/>
      </c>
      <c r="B214">
        <f>IF($A214="","",TRIM(INDEX('05_KAIS'!$B:$B,$A214)&amp;" "&amp;INDEX('05_KAIS'!$C:$C,$A214)))</f>
        <v/>
      </c>
      <c r="C214">
        <f>IF($A214="","",INDEX('05_KAIS'!$D:$D,$A214))</f>
        <v/>
      </c>
      <c r="D214">
        <f>IF($A214="","",INDEX('05_KAIS'!$H:$H,$A214))</f>
        <v/>
      </c>
      <c r="E214">
        <f>IF($A214="","",INDEX('05_KAIS'!$K:$K,$A214))</f>
        <v/>
      </c>
      <c r="F214" s="202">
        <f>IF($A214="","",INDEX('05_KAIS'!$I:$I,$A214))</f>
        <v/>
      </c>
      <c r="G214" s="118">
        <f>IF($A214="","",INDEX('05_KAIS'!$L:$L,$A214))</f>
        <v/>
      </c>
      <c r="H214" s="118">
        <f>IF($A214="","",IFERROR(INDEX('05_KAIS'!$M:$M,$A214),IF(AND(E214&gt;0,G214&gt;0),G214/E214,"")))</f>
        <v/>
      </c>
      <c r="I214" s="202">
        <f>IF($A214="","",INDEX('05_KAIS'!$N:$N,$A214))</f>
        <v/>
      </c>
      <c r="J214">
        <f>IF(B214="","",IF('02_대상물건입력'!$B$5="",1,IF(ISNUMBER(SEARCH('02_대상물건입력'!$B$5,B214)),1,0)))</f>
        <v/>
      </c>
      <c r="K214">
        <f>IF(B214="","",IF('02_대상물건입력'!$B$6="",1,IF(ISNUMBER(SEARCH('02_대상물건입력'!$B$6,B214)),1,0)))</f>
        <v/>
      </c>
      <c r="L214">
        <f>IF(D214="","",IF('02_대상물건입력'!$B$8="",0,IF(ISNUMBER(SEARCH('02_대상물건입력'!$B$8,D214)),1,0)))</f>
        <v/>
      </c>
      <c r="M214">
        <f>IFERROR(ABS(E214-'02_대상물건입력'!$B$11)/'02_대상물건입력'!$B$11,"")</f>
        <v/>
      </c>
      <c r="N214">
        <f>IFERROR(ABS('01_설정'!$B$4-F214),"")</f>
        <v/>
      </c>
      <c r="O214">
        <f>IFERROR(ABS(YEAR(I214)-YEAR('02_대상물건입력'!$B$14)),"")</f>
        <v/>
      </c>
      <c r="P214">
        <f>IF(AND(E214&gt;0,F214&gt;0,G214&gt;0,IF('01_설정'!$B$10=1,J214=1,TRUE()),M214&lt;='01_설정'!$B$5,N214&lt;='01_설정'!$B$7,O214&lt;='01_설정'!$B$8),"Y","")</f>
        <v/>
      </c>
      <c r="Q214">
        <f>IF(P214&lt;&gt;"Y","",MAX(0,(1-M214/'01_설정'!$B$5))*'01_설정'!$B$14+MAX(0,(1-N214/'01_설정'!$B$7))*'01_설정'!$B$16+MAX(0,(1-O214/'01_설정'!$B$8))*'01_설정'!$B$17+K214*'01_설정'!$B$11+L214*'01_설정'!$B$12)</f>
        <v/>
      </c>
      <c r="R214">
        <f>IF(Q214="","",1+COUNTIFS($Q$31:$Q$1030,"&gt;"&amp;Q214)+COUNTIFS($Q$31:Q214,Q214)-1)</f>
        <v/>
      </c>
    </row>
    <row r="215" hidden="1" ht="16.5" customHeight="1">
      <c r="A215">
        <f>IF(COUNTA('05_KAIS'!$A203:$N203)=0,"",188)</f>
        <v/>
      </c>
      <c r="B215">
        <f>IF($A215="","",TRIM(INDEX('05_KAIS'!$B:$B,$A215)&amp;" "&amp;INDEX('05_KAIS'!$C:$C,$A215)))</f>
        <v/>
      </c>
      <c r="C215">
        <f>IF($A215="","",INDEX('05_KAIS'!$D:$D,$A215))</f>
        <v/>
      </c>
      <c r="D215">
        <f>IF($A215="","",INDEX('05_KAIS'!$H:$H,$A215))</f>
        <v/>
      </c>
      <c r="E215">
        <f>IF($A215="","",INDEX('05_KAIS'!$K:$K,$A215))</f>
        <v/>
      </c>
      <c r="F215" s="202">
        <f>IF($A215="","",INDEX('05_KAIS'!$I:$I,$A215))</f>
        <v/>
      </c>
      <c r="G215" s="118">
        <f>IF($A215="","",INDEX('05_KAIS'!$L:$L,$A215))</f>
        <v/>
      </c>
      <c r="H215" s="118">
        <f>IF($A215="","",IFERROR(INDEX('05_KAIS'!$M:$M,$A215),IF(AND(E215&gt;0,G215&gt;0),G215/E215,"")))</f>
        <v/>
      </c>
      <c r="I215" s="202">
        <f>IF($A215="","",INDEX('05_KAIS'!$N:$N,$A215))</f>
        <v/>
      </c>
      <c r="J215">
        <f>IF(B215="","",IF('02_대상물건입력'!$B$5="",1,IF(ISNUMBER(SEARCH('02_대상물건입력'!$B$5,B215)),1,0)))</f>
        <v/>
      </c>
      <c r="K215">
        <f>IF(B215="","",IF('02_대상물건입력'!$B$6="",1,IF(ISNUMBER(SEARCH('02_대상물건입력'!$B$6,B215)),1,0)))</f>
        <v/>
      </c>
      <c r="L215">
        <f>IF(D215="","",IF('02_대상물건입력'!$B$8="",0,IF(ISNUMBER(SEARCH('02_대상물건입력'!$B$8,D215)),1,0)))</f>
        <v/>
      </c>
      <c r="M215">
        <f>IFERROR(ABS(E215-'02_대상물건입력'!$B$11)/'02_대상물건입력'!$B$11,"")</f>
        <v/>
      </c>
      <c r="N215">
        <f>IFERROR(ABS('01_설정'!$B$4-F215),"")</f>
        <v/>
      </c>
      <c r="O215">
        <f>IFERROR(ABS(YEAR(I215)-YEAR('02_대상물건입력'!$B$14)),"")</f>
        <v/>
      </c>
      <c r="P215">
        <f>IF(AND(E215&gt;0,F215&gt;0,G215&gt;0,IF('01_설정'!$B$10=1,J215=1,TRUE()),M215&lt;='01_설정'!$B$5,N215&lt;='01_설정'!$B$7,O215&lt;='01_설정'!$B$8),"Y","")</f>
        <v/>
      </c>
      <c r="Q215">
        <f>IF(P215&lt;&gt;"Y","",MAX(0,(1-M215/'01_설정'!$B$5))*'01_설정'!$B$14+MAX(0,(1-N215/'01_설정'!$B$7))*'01_설정'!$B$16+MAX(0,(1-O215/'01_설정'!$B$8))*'01_설정'!$B$17+K215*'01_설정'!$B$11+L215*'01_설정'!$B$12)</f>
        <v/>
      </c>
      <c r="R215">
        <f>IF(Q215="","",1+COUNTIFS($Q$31:$Q$1030,"&gt;"&amp;Q215)+COUNTIFS($Q$31:Q215,Q215)-1)</f>
        <v/>
      </c>
    </row>
    <row r="216" hidden="1" ht="16.5" customHeight="1">
      <c r="A216">
        <f>IF(COUNTA('05_KAIS'!$A204:$N204)=0,"",189)</f>
        <v/>
      </c>
      <c r="B216">
        <f>IF($A216="","",TRIM(INDEX('05_KAIS'!$B:$B,$A216)&amp;" "&amp;INDEX('05_KAIS'!$C:$C,$A216)))</f>
        <v/>
      </c>
      <c r="C216">
        <f>IF($A216="","",INDEX('05_KAIS'!$D:$D,$A216))</f>
        <v/>
      </c>
      <c r="D216">
        <f>IF($A216="","",INDEX('05_KAIS'!$H:$H,$A216))</f>
        <v/>
      </c>
      <c r="E216">
        <f>IF($A216="","",INDEX('05_KAIS'!$K:$K,$A216))</f>
        <v/>
      </c>
      <c r="F216" s="202">
        <f>IF($A216="","",INDEX('05_KAIS'!$I:$I,$A216))</f>
        <v/>
      </c>
      <c r="G216" s="118">
        <f>IF($A216="","",INDEX('05_KAIS'!$L:$L,$A216))</f>
        <v/>
      </c>
      <c r="H216" s="118">
        <f>IF($A216="","",IFERROR(INDEX('05_KAIS'!$M:$M,$A216),IF(AND(E216&gt;0,G216&gt;0),G216/E216,"")))</f>
        <v/>
      </c>
      <c r="I216" s="202">
        <f>IF($A216="","",INDEX('05_KAIS'!$N:$N,$A216))</f>
        <v/>
      </c>
      <c r="J216">
        <f>IF(B216="","",IF('02_대상물건입력'!$B$5="",1,IF(ISNUMBER(SEARCH('02_대상물건입력'!$B$5,B216)),1,0)))</f>
        <v/>
      </c>
      <c r="K216">
        <f>IF(B216="","",IF('02_대상물건입력'!$B$6="",1,IF(ISNUMBER(SEARCH('02_대상물건입력'!$B$6,B216)),1,0)))</f>
        <v/>
      </c>
      <c r="L216">
        <f>IF(D216="","",IF('02_대상물건입력'!$B$8="",0,IF(ISNUMBER(SEARCH('02_대상물건입력'!$B$8,D216)),1,0)))</f>
        <v/>
      </c>
      <c r="M216">
        <f>IFERROR(ABS(E216-'02_대상물건입력'!$B$11)/'02_대상물건입력'!$B$11,"")</f>
        <v/>
      </c>
      <c r="N216">
        <f>IFERROR(ABS('01_설정'!$B$4-F216),"")</f>
        <v/>
      </c>
      <c r="O216">
        <f>IFERROR(ABS(YEAR(I216)-YEAR('02_대상물건입력'!$B$14)),"")</f>
        <v/>
      </c>
      <c r="P216">
        <f>IF(AND(E216&gt;0,F216&gt;0,G216&gt;0,IF('01_설정'!$B$10=1,J216=1,TRUE()),M216&lt;='01_설정'!$B$5,N216&lt;='01_설정'!$B$7,O216&lt;='01_설정'!$B$8),"Y","")</f>
        <v/>
      </c>
      <c r="Q216">
        <f>IF(P216&lt;&gt;"Y","",MAX(0,(1-M216/'01_설정'!$B$5))*'01_설정'!$B$14+MAX(0,(1-N216/'01_설정'!$B$7))*'01_설정'!$B$16+MAX(0,(1-O216/'01_설정'!$B$8))*'01_설정'!$B$17+K216*'01_설정'!$B$11+L216*'01_설정'!$B$12)</f>
        <v/>
      </c>
      <c r="R216">
        <f>IF(Q216="","",1+COUNTIFS($Q$31:$Q$1030,"&gt;"&amp;Q216)+COUNTIFS($Q$31:Q216,Q216)-1)</f>
        <v/>
      </c>
    </row>
    <row r="217" hidden="1" ht="16.5" customHeight="1">
      <c r="A217">
        <f>IF(COUNTA('05_KAIS'!$A205:$N205)=0,"",190)</f>
        <v/>
      </c>
      <c r="B217">
        <f>IF($A217="","",TRIM(INDEX('05_KAIS'!$B:$B,$A217)&amp;" "&amp;INDEX('05_KAIS'!$C:$C,$A217)))</f>
        <v/>
      </c>
      <c r="C217">
        <f>IF($A217="","",INDEX('05_KAIS'!$D:$D,$A217))</f>
        <v/>
      </c>
      <c r="D217">
        <f>IF($A217="","",INDEX('05_KAIS'!$H:$H,$A217))</f>
        <v/>
      </c>
      <c r="E217">
        <f>IF($A217="","",INDEX('05_KAIS'!$K:$K,$A217))</f>
        <v/>
      </c>
      <c r="F217" s="202">
        <f>IF($A217="","",INDEX('05_KAIS'!$I:$I,$A217))</f>
        <v/>
      </c>
      <c r="G217" s="118">
        <f>IF($A217="","",INDEX('05_KAIS'!$L:$L,$A217))</f>
        <v/>
      </c>
      <c r="H217" s="118">
        <f>IF($A217="","",IFERROR(INDEX('05_KAIS'!$M:$M,$A217),IF(AND(E217&gt;0,G217&gt;0),G217/E217,"")))</f>
        <v/>
      </c>
      <c r="I217" s="202">
        <f>IF($A217="","",INDEX('05_KAIS'!$N:$N,$A217))</f>
        <v/>
      </c>
      <c r="J217">
        <f>IF(B217="","",IF('02_대상물건입력'!$B$5="",1,IF(ISNUMBER(SEARCH('02_대상물건입력'!$B$5,B217)),1,0)))</f>
        <v/>
      </c>
      <c r="K217">
        <f>IF(B217="","",IF('02_대상물건입력'!$B$6="",1,IF(ISNUMBER(SEARCH('02_대상물건입력'!$B$6,B217)),1,0)))</f>
        <v/>
      </c>
      <c r="L217">
        <f>IF(D217="","",IF('02_대상물건입력'!$B$8="",0,IF(ISNUMBER(SEARCH('02_대상물건입력'!$B$8,D217)),1,0)))</f>
        <v/>
      </c>
      <c r="M217">
        <f>IFERROR(ABS(E217-'02_대상물건입력'!$B$11)/'02_대상물건입력'!$B$11,"")</f>
        <v/>
      </c>
      <c r="N217">
        <f>IFERROR(ABS('01_설정'!$B$4-F217),"")</f>
        <v/>
      </c>
      <c r="O217">
        <f>IFERROR(ABS(YEAR(I217)-YEAR('02_대상물건입력'!$B$14)),"")</f>
        <v/>
      </c>
      <c r="P217">
        <f>IF(AND(E217&gt;0,F217&gt;0,G217&gt;0,IF('01_설정'!$B$10=1,J217=1,TRUE()),M217&lt;='01_설정'!$B$5,N217&lt;='01_설정'!$B$7,O217&lt;='01_설정'!$B$8),"Y","")</f>
        <v/>
      </c>
      <c r="Q217">
        <f>IF(P217&lt;&gt;"Y","",MAX(0,(1-M217/'01_설정'!$B$5))*'01_설정'!$B$14+MAX(0,(1-N217/'01_설정'!$B$7))*'01_설정'!$B$16+MAX(0,(1-O217/'01_설정'!$B$8))*'01_설정'!$B$17+K217*'01_설정'!$B$11+L217*'01_설정'!$B$12)</f>
        <v/>
      </c>
      <c r="R217">
        <f>IF(Q217="","",1+COUNTIFS($Q$31:$Q$1030,"&gt;"&amp;Q217)+COUNTIFS($Q$31:Q217,Q217)-1)</f>
        <v/>
      </c>
    </row>
    <row r="218" hidden="1" ht="16.5" customHeight="1">
      <c r="A218">
        <f>IF(COUNTA('05_KAIS'!$A206:$N206)=0,"",191)</f>
        <v/>
      </c>
      <c r="B218">
        <f>IF($A218="","",TRIM(INDEX('05_KAIS'!$B:$B,$A218)&amp;" "&amp;INDEX('05_KAIS'!$C:$C,$A218)))</f>
        <v/>
      </c>
      <c r="C218">
        <f>IF($A218="","",INDEX('05_KAIS'!$D:$D,$A218))</f>
        <v/>
      </c>
      <c r="D218">
        <f>IF($A218="","",INDEX('05_KAIS'!$H:$H,$A218))</f>
        <v/>
      </c>
      <c r="E218">
        <f>IF($A218="","",INDEX('05_KAIS'!$K:$K,$A218))</f>
        <v/>
      </c>
      <c r="F218" s="202">
        <f>IF($A218="","",INDEX('05_KAIS'!$I:$I,$A218))</f>
        <v/>
      </c>
      <c r="G218" s="118">
        <f>IF($A218="","",INDEX('05_KAIS'!$L:$L,$A218))</f>
        <v/>
      </c>
      <c r="H218" s="118">
        <f>IF($A218="","",IFERROR(INDEX('05_KAIS'!$M:$M,$A218),IF(AND(E218&gt;0,G218&gt;0),G218/E218,"")))</f>
        <v/>
      </c>
      <c r="I218" s="202">
        <f>IF($A218="","",INDEX('05_KAIS'!$N:$N,$A218))</f>
        <v/>
      </c>
      <c r="J218">
        <f>IF(B218="","",IF('02_대상물건입력'!$B$5="",1,IF(ISNUMBER(SEARCH('02_대상물건입력'!$B$5,B218)),1,0)))</f>
        <v/>
      </c>
      <c r="K218">
        <f>IF(B218="","",IF('02_대상물건입력'!$B$6="",1,IF(ISNUMBER(SEARCH('02_대상물건입력'!$B$6,B218)),1,0)))</f>
        <v/>
      </c>
      <c r="L218">
        <f>IF(D218="","",IF('02_대상물건입력'!$B$8="",0,IF(ISNUMBER(SEARCH('02_대상물건입력'!$B$8,D218)),1,0)))</f>
        <v/>
      </c>
      <c r="M218">
        <f>IFERROR(ABS(E218-'02_대상물건입력'!$B$11)/'02_대상물건입력'!$B$11,"")</f>
        <v/>
      </c>
      <c r="N218">
        <f>IFERROR(ABS('01_설정'!$B$4-F218),"")</f>
        <v/>
      </c>
      <c r="O218">
        <f>IFERROR(ABS(YEAR(I218)-YEAR('02_대상물건입력'!$B$14)),"")</f>
        <v/>
      </c>
      <c r="P218">
        <f>IF(AND(E218&gt;0,F218&gt;0,G218&gt;0,IF('01_설정'!$B$10=1,J218=1,TRUE()),M218&lt;='01_설정'!$B$5,N218&lt;='01_설정'!$B$7,O218&lt;='01_설정'!$B$8),"Y","")</f>
        <v/>
      </c>
      <c r="Q218">
        <f>IF(P218&lt;&gt;"Y","",MAX(0,(1-M218/'01_설정'!$B$5))*'01_설정'!$B$14+MAX(0,(1-N218/'01_설정'!$B$7))*'01_설정'!$B$16+MAX(0,(1-O218/'01_설정'!$B$8))*'01_설정'!$B$17+K218*'01_설정'!$B$11+L218*'01_설정'!$B$12)</f>
        <v/>
      </c>
      <c r="R218">
        <f>IF(Q218="","",1+COUNTIFS($Q$31:$Q$1030,"&gt;"&amp;Q218)+COUNTIFS($Q$31:Q218,Q218)-1)</f>
        <v/>
      </c>
    </row>
    <row r="219" hidden="1" ht="16.5" customHeight="1">
      <c r="A219">
        <f>IF(COUNTA('05_KAIS'!$A207:$N207)=0,"",192)</f>
        <v/>
      </c>
      <c r="B219">
        <f>IF($A219="","",TRIM(INDEX('05_KAIS'!$B:$B,$A219)&amp;" "&amp;INDEX('05_KAIS'!$C:$C,$A219)))</f>
        <v/>
      </c>
      <c r="C219">
        <f>IF($A219="","",INDEX('05_KAIS'!$D:$D,$A219))</f>
        <v/>
      </c>
      <c r="D219">
        <f>IF($A219="","",INDEX('05_KAIS'!$H:$H,$A219))</f>
        <v/>
      </c>
      <c r="E219">
        <f>IF($A219="","",INDEX('05_KAIS'!$K:$K,$A219))</f>
        <v/>
      </c>
      <c r="F219" s="202">
        <f>IF($A219="","",INDEX('05_KAIS'!$I:$I,$A219))</f>
        <v/>
      </c>
      <c r="G219" s="118">
        <f>IF($A219="","",INDEX('05_KAIS'!$L:$L,$A219))</f>
        <v/>
      </c>
      <c r="H219" s="118">
        <f>IF($A219="","",IFERROR(INDEX('05_KAIS'!$M:$M,$A219),IF(AND(E219&gt;0,G219&gt;0),G219/E219,"")))</f>
        <v/>
      </c>
      <c r="I219" s="202">
        <f>IF($A219="","",INDEX('05_KAIS'!$N:$N,$A219))</f>
        <v/>
      </c>
      <c r="J219">
        <f>IF(B219="","",IF('02_대상물건입력'!$B$5="",1,IF(ISNUMBER(SEARCH('02_대상물건입력'!$B$5,B219)),1,0)))</f>
        <v/>
      </c>
      <c r="K219">
        <f>IF(B219="","",IF('02_대상물건입력'!$B$6="",1,IF(ISNUMBER(SEARCH('02_대상물건입력'!$B$6,B219)),1,0)))</f>
        <v/>
      </c>
      <c r="L219">
        <f>IF(D219="","",IF('02_대상물건입력'!$B$8="",0,IF(ISNUMBER(SEARCH('02_대상물건입력'!$B$8,D219)),1,0)))</f>
        <v/>
      </c>
      <c r="M219">
        <f>IFERROR(ABS(E219-'02_대상물건입력'!$B$11)/'02_대상물건입력'!$B$11,"")</f>
        <v/>
      </c>
      <c r="N219">
        <f>IFERROR(ABS('01_설정'!$B$4-F219),"")</f>
        <v/>
      </c>
      <c r="O219">
        <f>IFERROR(ABS(YEAR(I219)-YEAR('02_대상물건입력'!$B$14)),"")</f>
        <v/>
      </c>
      <c r="P219">
        <f>IF(AND(E219&gt;0,F219&gt;0,G219&gt;0,IF('01_설정'!$B$10=1,J219=1,TRUE()),M219&lt;='01_설정'!$B$5,N219&lt;='01_설정'!$B$7,O219&lt;='01_설정'!$B$8),"Y","")</f>
        <v/>
      </c>
      <c r="Q219">
        <f>IF(P219&lt;&gt;"Y","",MAX(0,(1-M219/'01_설정'!$B$5))*'01_설정'!$B$14+MAX(0,(1-N219/'01_설정'!$B$7))*'01_설정'!$B$16+MAX(0,(1-O219/'01_설정'!$B$8))*'01_설정'!$B$17+K219*'01_설정'!$B$11+L219*'01_설정'!$B$12)</f>
        <v/>
      </c>
      <c r="R219">
        <f>IF(Q219="","",1+COUNTIFS($Q$31:$Q$1030,"&gt;"&amp;Q219)+COUNTIFS($Q$31:Q219,Q219)-1)</f>
        <v/>
      </c>
    </row>
    <row r="220" hidden="1" ht="16.5" customHeight="1">
      <c r="A220">
        <f>IF(COUNTA('05_KAIS'!$A208:$N208)=0,"",193)</f>
        <v/>
      </c>
      <c r="B220">
        <f>IF($A220="","",TRIM(INDEX('05_KAIS'!$B:$B,$A220)&amp;" "&amp;INDEX('05_KAIS'!$C:$C,$A220)))</f>
        <v/>
      </c>
      <c r="C220">
        <f>IF($A220="","",INDEX('05_KAIS'!$D:$D,$A220))</f>
        <v/>
      </c>
      <c r="D220">
        <f>IF($A220="","",INDEX('05_KAIS'!$H:$H,$A220))</f>
        <v/>
      </c>
      <c r="E220">
        <f>IF($A220="","",INDEX('05_KAIS'!$K:$K,$A220))</f>
        <v/>
      </c>
      <c r="F220" s="202">
        <f>IF($A220="","",INDEX('05_KAIS'!$I:$I,$A220))</f>
        <v/>
      </c>
      <c r="G220" s="118">
        <f>IF($A220="","",INDEX('05_KAIS'!$L:$L,$A220))</f>
        <v/>
      </c>
      <c r="H220" s="118">
        <f>IF($A220="","",IFERROR(INDEX('05_KAIS'!$M:$M,$A220),IF(AND(E220&gt;0,G220&gt;0),G220/E220,"")))</f>
        <v/>
      </c>
      <c r="I220" s="202">
        <f>IF($A220="","",INDEX('05_KAIS'!$N:$N,$A220))</f>
        <v/>
      </c>
      <c r="J220">
        <f>IF(B220="","",IF('02_대상물건입력'!$B$5="",1,IF(ISNUMBER(SEARCH('02_대상물건입력'!$B$5,B220)),1,0)))</f>
        <v/>
      </c>
      <c r="K220">
        <f>IF(B220="","",IF('02_대상물건입력'!$B$6="",1,IF(ISNUMBER(SEARCH('02_대상물건입력'!$B$6,B220)),1,0)))</f>
        <v/>
      </c>
      <c r="L220">
        <f>IF(D220="","",IF('02_대상물건입력'!$B$8="",0,IF(ISNUMBER(SEARCH('02_대상물건입력'!$B$8,D220)),1,0)))</f>
        <v/>
      </c>
      <c r="M220">
        <f>IFERROR(ABS(E220-'02_대상물건입력'!$B$11)/'02_대상물건입력'!$B$11,"")</f>
        <v/>
      </c>
      <c r="N220">
        <f>IFERROR(ABS('01_설정'!$B$4-F220),"")</f>
        <v/>
      </c>
      <c r="O220">
        <f>IFERROR(ABS(YEAR(I220)-YEAR('02_대상물건입력'!$B$14)),"")</f>
        <v/>
      </c>
      <c r="P220">
        <f>IF(AND(E220&gt;0,F220&gt;0,G220&gt;0,IF('01_설정'!$B$10=1,J220=1,TRUE()),M220&lt;='01_설정'!$B$5,N220&lt;='01_설정'!$B$7,O220&lt;='01_설정'!$B$8),"Y","")</f>
        <v/>
      </c>
      <c r="Q220">
        <f>IF(P220&lt;&gt;"Y","",MAX(0,(1-M220/'01_설정'!$B$5))*'01_설정'!$B$14+MAX(0,(1-N220/'01_설정'!$B$7))*'01_설정'!$B$16+MAX(0,(1-O220/'01_설정'!$B$8))*'01_설정'!$B$17+K220*'01_설정'!$B$11+L220*'01_설정'!$B$12)</f>
        <v/>
      </c>
      <c r="R220">
        <f>IF(Q220="","",1+COUNTIFS($Q$31:$Q$1030,"&gt;"&amp;Q220)+COUNTIFS($Q$31:Q220,Q220)-1)</f>
        <v/>
      </c>
    </row>
    <row r="221" hidden="1" ht="16.5" customHeight="1">
      <c r="A221">
        <f>IF(COUNTA('05_KAIS'!$A209:$N209)=0,"",194)</f>
        <v/>
      </c>
      <c r="B221">
        <f>IF($A221="","",TRIM(INDEX('05_KAIS'!$B:$B,$A221)&amp;" "&amp;INDEX('05_KAIS'!$C:$C,$A221)))</f>
        <v/>
      </c>
      <c r="C221">
        <f>IF($A221="","",INDEX('05_KAIS'!$D:$D,$A221))</f>
        <v/>
      </c>
      <c r="D221">
        <f>IF($A221="","",INDEX('05_KAIS'!$H:$H,$A221))</f>
        <v/>
      </c>
      <c r="E221">
        <f>IF($A221="","",INDEX('05_KAIS'!$K:$K,$A221))</f>
        <v/>
      </c>
      <c r="F221" s="202">
        <f>IF($A221="","",INDEX('05_KAIS'!$I:$I,$A221))</f>
        <v/>
      </c>
      <c r="G221" s="118">
        <f>IF($A221="","",INDEX('05_KAIS'!$L:$L,$A221))</f>
        <v/>
      </c>
      <c r="H221" s="118">
        <f>IF($A221="","",IFERROR(INDEX('05_KAIS'!$M:$M,$A221),IF(AND(E221&gt;0,G221&gt;0),G221/E221,"")))</f>
        <v/>
      </c>
      <c r="I221" s="202">
        <f>IF($A221="","",INDEX('05_KAIS'!$N:$N,$A221))</f>
        <v/>
      </c>
      <c r="J221">
        <f>IF(B221="","",IF('02_대상물건입력'!$B$5="",1,IF(ISNUMBER(SEARCH('02_대상물건입력'!$B$5,B221)),1,0)))</f>
        <v/>
      </c>
      <c r="K221">
        <f>IF(B221="","",IF('02_대상물건입력'!$B$6="",1,IF(ISNUMBER(SEARCH('02_대상물건입력'!$B$6,B221)),1,0)))</f>
        <v/>
      </c>
      <c r="L221">
        <f>IF(D221="","",IF('02_대상물건입력'!$B$8="",0,IF(ISNUMBER(SEARCH('02_대상물건입력'!$B$8,D221)),1,0)))</f>
        <v/>
      </c>
      <c r="M221">
        <f>IFERROR(ABS(E221-'02_대상물건입력'!$B$11)/'02_대상물건입력'!$B$11,"")</f>
        <v/>
      </c>
      <c r="N221">
        <f>IFERROR(ABS('01_설정'!$B$4-F221),"")</f>
        <v/>
      </c>
      <c r="O221">
        <f>IFERROR(ABS(YEAR(I221)-YEAR('02_대상물건입력'!$B$14)),"")</f>
        <v/>
      </c>
      <c r="P221">
        <f>IF(AND(E221&gt;0,F221&gt;0,G221&gt;0,IF('01_설정'!$B$10=1,J221=1,TRUE()),M221&lt;='01_설정'!$B$5,N221&lt;='01_설정'!$B$7,O221&lt;='01_설정'!$B$8),"Y","")</f>
        <v/>
      </c>
      <c r="Q221">
        <f>IF(P221&lt;&gt;"Y","",MAX(0,(1-M221/'01_설정'!$B$5))*'01_설정'!$B$14+MAX(0,(1-N221/'01_설정'!$B$7))*'01_설정'!$B$16+MAX(0,(1-O221/'01_설정'!$B$8))*'01_설정'!$B$17+K221*'01_설정'!$B$11+L221*'01_설정'!$B$12)</f>
        <v/>
      </c>
      <c r="R221">
        <f>IF(Q221="","",1+COUNTIFS($Q$31:$Q$1030,"&gt;"&amp;Q221)+COUNTIFS($Q$31:Q221,Q221)-1)</f>
        <v/>
      </c>
    </row>
    <row r="222" hidden="1" ht="16.5" customHeight="1">
      <c r="A222">
        <f>IF(COUNTA('05_KAIS'!$A210:$N210)=0,"",195)</f>
        <v/>
      </c>
      <c r="B222">
        <f>IF($A222="","",TRIM(INDEX('05_KAIS'!$B:$B,$A222)&amp;" "&amp;INDEX('05_KAIS'!$C:$C,$A222)))</f>
        <v/>
      </c>
      <c r="C222">
        <f>IF($A222="","",INDEX('05_KAIS'!$D:$D,$A222))</f>
        <v/>
      </c>
      <c r="D222">
        <f>IF($A222="","",INDEX('05_KAIS'!$H:$H,$A222))</f>
        <v/>
      </c>
      <c r="E222">
        <f>IF($A222="","",INDEX('05_KAIS'!$K:$K,$A222))</f>
        <v/>
      </c>
      <c r="F222" s="202">
        <f>IF($A222="","",INDEX('05_KAIS'!$I:$I,$A222))</f>
        <v/>
      </c>
      <c r="G222" s="118">
        <f>IF($A222="","",INDEX('05_KAIS'!$L:$L,$A222))</f>
        <v/>
      </c>
      <c r="H222" s="118">
        <f>IF($A222="","",IFERROR(INDEX('05_KAIS'!$M:$M,$A222),IF(AND(E222&gt;0,G222&gt;0),G222/E222,"")))</f>
        <v/>
      </c>
      <c r="I222" s="202">
        <f>IF($A222="","",INDEX('05_KAIS'!$N:$N,$A222))</f>
        <v/>
      </c>
      <c r="J222">
        <f>IF(B222="","",IF('02_대상물건입력'!$B$5="",1,IF(ISNUMBER(SEARCH('02_대상물건입력'!$B$5,B222)),1,0)))</f>
        <v/>
      </c>
      <c r="K222">
        <f>IF(B222="","",IF('02_대상물건입력'!$B$6="",1,IF(ISNUMBER(SEARCH('02_대상물건입력'!$B$6,B222)),1,0)))</f>
        <v/>
      </c>
      <c r="L222">
        <f>IF(D222="","",IF('02_대상물건입력'!$B$8="",0,IF(ISNUMBER(SEARCH('02_대상물건입력'!$B$8,D222)),1,0)))</f>
        <v/>
      </c>
      <c r="M222">
        <f>IFERROR(ABS(E222-'02_대상물건입력'!$B$11)/'02_대상물건입력'!$B$11,"")</f>
        <v/>
      </c>
      <c r="N222">
        <f>IFERROR(ABS('01_설정'!$B$4-F222),"")</f>
        <v/>
      </c>
      <c r="O222">
        <f>IFERROR(ABS(YEAR(I222)-YEAR('02_대상물건입력'!$B$14)),"")</f>
        <v/>
      </c>
      <c r="P222">
        <f>IF(AND(E222&gt;0,F222&gt;0,G222&gt;0,IF('01_설정'!$B$10=1,J222=1,TRUE()),M222&lt;='01_설정'!$B$5,N222&lt;='01_설정'!$B$7,O222&lt;='01_설정'!$B$8),"Y","")</f>
        <v/>
      </c>
      <c r="Q222">
        <f>IF(P222&lt;&gt;"Y","",MAX(0,(1-M222/'01_설정'!$B$5))*'01_설정'!$B$14+MAX(0,(1-N222/'01_설정'!$B$7))*'01_설정'!$B$16+MAX(0,(1-O222/'01_설정'!$B$8))*'01_설정'!$B$17+K222*'01_설정'!$B$11+L222*'01_설정'!$B$12)</f>
        <v/>
      </c>
      <c r="R222">
        <f>IF(Q222="","",1+COUNTIFS($Q$31:$Q$1030,"&gt;"&amp;Q222)+COUNTIFS($Q$31:Q222,Q222)-1)</f>
        <v/>
      </c>
    </row>
    <row r="223" hidden="1" ht="16.5" customHeight="1">
      <c r="A223">
        <f>IF(COUNTA('05_KAIS'!$A211:$N211)=0,"",196)</f>
        <v/>
      </c>
      <c r="B223">
        <f>IF($A223="","",TRIM(INDEX('05_KAIS'!$B:$B,$A223)&amp;" "&amp;INDEX('05_KAIS'!$C:$C,$A223)))</f>
        <v/>
      </c>
      <c r="C223">
        <f>IF($A223="","",INDEX('05_KAIS'!$D:$D,$A223))</f>
        <v/>
      </c>
      <c r="D223">
        <f>IF($A223="","",INDEX('05_KAIS'!$H:$H,$A223))</f>
        <v/>
      </c>
      <c r="E223">
        <f>IF($A223="","",INDEX('05_KAIS'!$K:$K,$A223))</f>
        <v/>
      </c>
      <c r="F223" s="202">
        <f>IF($A223="","",INDEX('05_KAIS'!$I:$I,$A223))</f>
        <v/>
      </c>
      <c r="G223" s="118">
        <f>IF($A223="","",INDEX('05_KAIS'!$L:$L,$A223))</f>
        <v/>
      </c>
      <c r="H223" s="118">
        <f>IF($A223="","",IFERROR(INDEX('05_KAIS'!$M:$M,$A223),IF(AND(E223&gt;0,G223&gt;0),G223/E223,"")))</f>
        <v/>
      </c>
      <c r="I223" s="202">
        <f>IF($A223="","",INDEX('05_KAIS'!$N:$N,$A223))</f>
        <v/>
      </c>
      <c r="J223">
        <f>IF(B223="","",IF('02_대상물건입력'!$B$5="",1,IF(ISNUMBER(SEARCH('02_대상물건입력'!$B$5,B223)),1,0)))</f>
        <v/>
      </c>
      <c r="K223">
        <f>IF(B223="","",IF('02_대상물건입력'!$B$6="",1,IF(ISNUMBER(SEARCH('02_대상물건입력'!$B$6,B223)),1,0)))</f>
        <v/>
      </c>
      <c r="L223">
        <f>IF(D223="","",IF('02_대상물건입력'!$B$8="",0,IF(ISNUMBER(SEARCH('02_대상물건입력'!$B$8,D223)),1,0)))</f>
        <v/>
      </c>
      <c r="M223">
        <f>IFERROR(ABS(E223-'02_대상물건입력'!$B$11)/'02_대상물건입력'!$B$11,"")</f>
        <v/>
      </c>
      <c r="N223">
        <f>IFERROR(ABS('01_설정'!$B$4-F223),"")</f>
        <v/>
      </c>
      <c r="O223">
        <f>IFERROR(ABS(YEAR(I223)-YEAR('02_대상물건입력'!$B$14)),"")</f>
        <v/>
      </c>
      <c r="P223">
        <f>IF(AND(E223&gt;0,F223&gt;0,G223&gt;0,IF('01_설정'!$B$10=1,J223=1,TRUE()),M223&lt;='01_설정'!$B$5,N223&lt;='01_설정'!$B$7,O223&lt;='01_설정'!$B$8),"Y","")</f>
        <v/>
      </c>
      <c r="Q223">
        <f>IF(P223&lt;&gt;"Y","",MAX(0,(1-M223/'01_설정'!$B$5))*'01_설정'!$B$14+MAX(0,(1-N223/'01_설정'!$B$7))*'01_설정'!$B$16+MAX(0,(1-O223/'01_설정'!$B$8))*'01_설정'!$B$17+K223*'01_설정'!$B$11+L223*'01_설정'!$B$12)</f>
        <v/>
      </c>
      <c r="R223">
        <f>IF(Q223="","",1+COUNTIFS($Q$31:$Q$1030,"&gt;"&amp;Q223)+COUNTIFS($Q$31:Q223,Q223)-1)</f>
        <v/>
      </c>
    </row>
    <row r="224" hidden="1" ht="16.5" customHeight="1">
      <c r="A224">
        <f>IF(COUNTA('05_KAIS'!$A212:$N212)=0,"",197)</f>
        <v/>
      </c>
      <c r="B224">
        <f>IF($A224="","",TRIM(INDEX('05_KAIS'!$B:$B,$A224)&amp;" "&amp;INDEX('05_KAIS'!$C:$C,$A224)))</f>
        <v/>
      </c>
      <c r="C224">
        <f>IF($A224="","",INDEX('05_KAIS'!$D:$D,$A224))</f>
        <v/>
      </c>
      <c r="D224">
        <f>IF($A224="","",INDEX('05_KAIS'!$H:$H,$A224))</f>
        <v/>
      </c>
      <c r="E224">
        <f>IF($A224="","",INDEX('05_KAIS'!$K:$K,$A224))</f>
        <v/>
      </c>
      <c r="F224" s="202">
        <f>IF($A224="","",INDEX('05_KAIS'!$I:$I,$A224))</f>
        <v/>
      </c>
      <c r="G224" s="118">
        <f>IF($A224="","",INDEX('05_KAIS'!$L:$L,$A224))</f>
        <v/>
      </c>
      <c r="H224" s="118">
        <f>IF($A224="","",IFERROR(INDEX('05_KAIS'!$M:$M,$A224),IF(AND(E224&gt;0,G224&gt;0),G224/E224,"")))</f>
        <v/>
      </c>
      <c r="I224" s="202">
        <f>IF($A224="","",INDEX('05_KAIS'!$N:$N,$A224))</f>
        <v/>
      </c>
      <c r="J224">
        <f>IF(B224="","",IF('02_대상물건입력'!$B$5="",1,IF(ISNUMBER(SEARCH('02_대상물건입력'!$B$5,B224)),1,0)))</f>
        <v/>
      </c>
      <c r="K224">
        <f>IF(B224="","",IF('02_대상물건입력'!$B$6="",1,IF(ISNUMBER(SEARCH('02_대상물건입력'!$B$6,B224)),1,0)))</f>
        <v/>
      </c>
      <c r="L224">
        <f>IF(D224="","",IF('02_대상물건입력'!$B$8="",0,IF(ISNUMBER(SEARCH('02_대상물건입력'!$B$8,D224)),1,0)))</f>
        <v/>
      </c>
      <c r="M224">
        <f>IFERROR(ABS(E224-'02_대상물건입력'!$B$11)/'02_대상물건입력'!$B$11,"")</f>
        <v/>
      </c>
      <c r="N224">
        <f>IFERROR(ABS('01_설정'!$B$4-F224),"")</f>
        <v/>
      </c>
      <c r="O224">
        <f>IFERROR(ABS(YEAR(I224)-YEAR('02_대상물건입력'!$B$14)),"")</f>
        <v/>
      </c>
      <c r="P224">
        <f>IF(AND(E224&gt;0,F224&gt;0,G224&gt;0,IF('01_설정'!$B$10=1,J224=1,TRUE()),M224&lt;='01_설정'!$B$5,N224&lt;='01_설정'!$B$7,O224&lt;='01_설정'!$B$8),"Y","")</f>
        <v/>
      </c>
      <c r="Q224">
        <f>IF(P224&lt;&gt;"Y","",MAX(0,(1-M224/'01_설정'!$B$5))*'01_설정'!$B$14+MAX(0,(1-N224/'01_설정'!$B$7))*'01_설정'!$B$16+MAX(0,(1-O224/'01_설정'!$B$8))*'01_설정'!$B$17+K224*'01_설정'!$B$11+L224*'01_설정'!$B$12)</f>
        <v/>
      </c>
      <c r="R224">
        <f>IF(Q224="","",1+COUNTIFS($Q$31:$Q$1030,"&gt;"&amp;Q224)+COUNTIFS($Q$31:Q224,Q224)-1)</f>
        <v/>
      </c>
    </row>
    <row r="225" hidden="1" ht="16.5" customHeight="1">
      <c r="A225">
        <f>IF(COUNTA('05_KAIS'!$A213:$N213)=0,"",198)</f>
        <v/>
      </c>
      <c r="B225">
        <f>IF($A225="","",TRIM(INDEX('05_KAIS'!$B:$B,$A225)&amp;" "&amp;INDEX('05_KAIS'!$C:$C,$A225)))</f>
        <v/>
      </c>
      <c r="C225">
        <f>IF($A225="","",INDEX('05_KAIS'!$D:$D,$A225))</f>
        <v/>
      </c>
      <c r="D225">
        <f>IF($A225="","",INDEX('05_KAIS'!$H:$H,$A225))</f>
        <v/>
      </c>
      <c r="E225">
        <f>IF($A225="","",INDEX('05_KAIS'!$K:$K,$A225))</f>
        <v/>
      </c>
      <c r="F225" s="202">
        <f>IF($A225="","",INDEX('05_KAIS'!$I:$I,$A225))</f>
        <v/>
      </c>
      <c r="G225" s="118">
        <f>IF($A225="","",INDEX('05_KAIS'!$L:$L,$A225))</f>
        <v/>
      </c>
      <c r="H225" s="118">
        <f>IF($A225="","",IFERROR(INDEX('05_KAIS'!$M:$M,$A225),IF(AND(E225&gt;0,G225&gt;0),G225/E225,"")))</f>
        <v/>
      </c>
      <c r="I225" s="202">
        <f>IF($A225="","",INDEX('05_KAIS'!$N:$N,$A225))</f>
        <v/>
      </c>
      <c r="J225">
        <f>IF(B225="","",IF('02_대상물건입력'!$B$5="",1,IF(ISNUMBER(SEARCH('02_대상물건입력'!$B$5,B225)),1,0)))</f>
        <v/>
      </c>
      <c r="K225">
        <f>IF(B225="","",IF('02_대상물건입력'!$B$6="",1,IF(ISNUMBER(SEARCH('02_대상물건입력'!$B$6,B225)),1,0)))</f>
        <v/>
      </c>
      <c r="L225">
        <f>IF(D225="","",IF('02_대상물건입력'!$B$8="",0,IF(ISNUMBER(SEARCH('02_대상물건입력'!$B$8,D225)),1,0)))</f>
        <v/>
      </c>
      <c r="M225">
        <f>IFERROR(ABS(E225-'02_대상물건입력'!$B$11)/'02_대상물건입력'!$B$11,"")</f>
        <v/>
      </c>
      <c r="N225">
        <f>IFERROR(ABS('01_설정'!$B$4-F225),"")</f>
        <v/>
      </c>
      <c r="O225">
        <f>IFERROR(ABS(YEAR(I225)-YEAR('02_대상물건입력'!$B$14)),"")</f>
        <v/>
      </c>
      <c r="P225">
        <f>IF(AND(E225&gt;0,F225&gt;0,G225&gt;0,IF('01_설정'!$B$10=1,J225=1,TRUE()),M225&lt;='01_설정'!$B$5,N225&lt;='01_설정'!$B$7,O225&lt;='01_설정'!$B$8),"Y","")</f>
        <v/>
      </c>
      <c r="Q225">
        <f>IF(P225&lt;&gt;"Y","",MAX(0,(1-M225/'01_설정'!$B$5))*'01_설정'!$B$14+MAX(0,(1-N225/'01_설정'!$B$7))*'01_설정'!$B$16+MAX(0,(1-O225/'01_설정'!$B$8))*'01_설정'!$B$17+K225*'01_설정'!$B$11+L225*'01_설정'!$B$12)</f>
        <v/>
      </c>
      <c r="R225">
        <f>IF(Q225="","",1+COUNTIFS($Q$31:$Q$1030,"&gt;"&amp;Q225)+COUNTIFS($Q$31:Q225,Q225)-1)</f>
        <v/>
      </c>
    </row>
    <row r="226" hidden="1" ht="16.5" customHeight="1">
      <c r="A226">
        <f>IF(COUNTA('05_KAIS'!$A214:$N214)=0,"",199)</f>
        <v/>
      </c>
      <c r="B226">
        <f>IF($A226="","",TRIM(INDEX('05_KAIS'!$B:$B,$A226)&amp;" "&amp;INDEX('05_KAIS'!$C:$C,$A226)))</f>
        <v/>
      </c>
      <c r="C226">
        <f>IF($A226="","",INDEX('05_KAIS'!$D:$D,$A226))</f>
        <v/>
      </c>
      <c r="D226">
        <f>IF($A226="","",INDEX('05_KAIS'!$H:$H,$A226))</f>
        <v/>
      </c>
      <c r="E226">
        <f>IF($A226="","",INDEX('05_KAIS'!$K:$K,$A226))</f>
        <v/>
      </c>
      <c r="F226" s="202">
        <f>IF($A226="","",INDEX('05_KAIS'!$I:$I,$A226))</f>
        <v/>
      </c>
      <c r="G226" s="118">
        <f>IF($A226="","",INDEX('05_KAIS'!$L:$L,$A226))</f>
        <v/>
      </c>
      <c r="H226" s="118">
        <f>IF($A226="","",IFERROR(INDEX('05_KAIS'!$M:$M,$A226),IF(AND(E226&gt;0,G226&gt;0),G226/E226,"")))</f>
        <v/>
      </c>
      <c r="I226" s="202">
        <f>IF($A226="","",INDEX('05_KAIS'!$N:$N,$A226))</f>
        <v/>
      </c>
      <c r="J226">
        <f>IF(B226="","",IF('02_대상물건입력'!$B$5="",1,IF(ISNUMBER(SEARCH('02_대상물건입력'!$B$5,B226)),1,0)))</f>
        <v/>
      </c>
      <c r="K226">
        <f>IF(B226="","",IF('02_대상물건입력'!$B$6="",1,IF(ISNUMBER(SEARCH('02_대상물건입력'!$B$6,B226)),1,0)))</f>
        <v/>
      </c>
      <c r="L226">
        <f>IF(D226="","",IF('02_대상물건입력'!$B$8="",0,IF(ISNUMBER(SEARCH('02_대상물건입력'!$B$8,D226)),1,0)))</f>
        <v/>
      </c>
      <c r="M226">
        <f>IFERROR(ABS(E226-'02_대상물건입력'!$B$11)/'02_대상물건입력'!$B$11,"")</f>
        <v/>
      </c>
      <c r="N226">
        <f>IFERROR(ABS('01_설정'!$B$4-F226),"")</f>
        <v/>
      </c>
      <c r="O226">
        <f>IFERROR(ABS(YEAR(I226)-YEAR('02_대상물건입력'!$B$14)),"")</f>
        <v/>
      </c>
      <c r="P226">
        <f>IF(AND(E226&gt;0,F226&gt;0,G226&gt;0,IF('01_설정'!$B$10=1,J226=1,TRUE()),M226&lt;='01_설정'!$B$5,N226&lt;='01_설정'!$B$7,O226&lt;='01_설정'!$B$8),"Y","")</f>
        <v/>
      </c>
      <c r="Q226">
        <f>IF(P226&lt;&gt;"Y","",MAX(0,(1-M226/'01_설정'!$B$5))*'01_설정'!$B$14+MAX(0,(1-N226/'01_설정'!$B$7))*'01_설정'!$B$16+MAX(0,(1-O226/'01_설정'!$B$8))*'01_설정'!$B$17+K226*'01_설정'!$B$11+L226*'01_설정'!$B$12)</f>
        <v/>
      </c>
      <c r="R226">
        <f>IF(Q226="","",1+COUNTIFS($Q$31:$Q$1030,"&gt;"&amp;Q226)+COUNTIFS($Q$31:Q226,Q226)-1)</f>
        <v/>
      </c>
    </row>
    <row r="227" hidden="1" ht="16.5" customHeight="1">
      <c r="A227">
        <f>IF(COUNTA('05_KAIS'!$A215:$N215)=0,"",200)</f>
        <v/>
      </c>
      <c r="B227">
        <f>IF($A227="","",TRIM(INDEX('05_KAIS'!$B:$B,$A227)&amp;" "&amp;INDEX('05_KAIS'!$C:$C,$A227)))</f>
        <v/>
      </c>
      <c r="C227">
        <f>IF($A227="","",INDEX('05_KAIS'!$D:$D,$A227))</f>
        <v/>
      </c>
      <c r="D227">
        <f>IF($A227="","",INDEX('05_KAIS'!$H:$H,$A227))</f>
        <v/>
      </c>
      <c r="E227">
        <f>IF($A227="","",INDEX('05_KAIS'!$K:$K,$A227))</f>
        <v/>
      </c>
      <c r="F227" s="202">
        <f>IF($A227="","",INDEX('05_KAIS'!$I:$I,$A227))</f>
        <v/>
      </c>
      <c r="G227" s="118">
        <f>IF($A227="","",INDEX('05_KAIS'!$L:$L,$A227))</f>
        <v/>
      </c>
      <c r="H227" s="118">
        <f>IF($A227="","",IFERROR(INDEX('05_KAIS'!$M:$M,$A227),IF(AND(E227&gt;0,G227&gt;0),G227/E227,"")))</f>
        <v/>
      </c>
      <c r="I227" s="202">
        <f>IF($A227="","",INDEX('05_KAIS'!$N:$N,$A227))</f>
        <v/>
      </c>
      <c r="J227">
        <f>IF(B227="","",IF('02_대상물건입력'!$B$5="",1,IF(ISNUMBER(SEARCH('02_대상물건입력'!$B$5,B227)),1,0)))</f>
        <v/>
      </c>
      <c r="K227">
        <f>IF(B227="","",IF('02_대상물건입력'!$B$6="",1,IF(ISNUMBER(SEARCH('02_대상물건입력'!$B$6,B227)),1,0)))</f>
        <v/>
      </c>
      <c r="L227">
        <f>IF(D227="","",IF('02_대상물건입력'!$B$8="",0,IF(ISNUMBER(SEARCH('02_대상물건입력'!$B$8,D227)),1,0)))</f>
        <v/>
      </c>
      <c r="M227">
        <f>IFERROR(ABS(E227-'02_대상물건입력'!$B$11)/'02_대상물건입력'!$B$11,"")</f>
        <v/>
      </c>
      <c r="N227">
        <f>IFERROR(ABS('01_설정'!$B$4-F227),"")</f>
        <v/>
      </c>
      <c r="O227">
        <f>IFERROR(ABS(YEAR(I227)-YEAR('02_대상물건입력'!$B$14)),"")</f>
        <v/>
      </c>
      <c r="P227">
        <f>IF(AND(E227&gt;0,F227&gt;0,G227&gt;0,IF('01_설정'!$B$10=1,J227=1,TRUE()),M227&lt;='01_설정'!$B$5,N227&lt;='01_설정'!$B$7,O227&lt;='01_설정'!$B$8),"Y","")</f>
        <v/>
      </c>
      <c r="Q227">
        <f>IF(P227&lt;&gt;"Y","",MAX(0,(1-M227/'01_설정'!$B$5))*'01_설정'!$B$14+MAX(0,(1-N227/'01_설정'!$B$7))*'01_설정'!$B$16+MAX(0,(1-O227/'01_설정'!$B$8))*'01_설정'!$B$17+K227*'01_설정'!$B$11+L227*'01_설정'!$B$12)</f>
        <v/>
      </c>
      <c r="R227">
        <f>IF(Q227="","",1+COUNTIFS($Q$31:$Q$1030,"&gt;"&amp;Q227)+COUNTIFS($Q$31:Q227,Q227)-1)</f>
        <v/>
      </c>
    </row>
    <row r="228" hidden="1" ht="16.5" customHeight="1">
      <c r="A228">
        <f>IF(COUNTA('05_KAIS'!$A216:$N216)=0,"",201)</f>
        <v/>
      </c>
      <c r="B228">
        <f>IF($A228="","",TRIM(INDEX('05_KAIS'!$B:$B,$A228)&amp;" "&amp;INDEX('05_KAIS'!$C:$C,$A228)))</f>
        <v/>
      </c>
      <c r="C228">
        <f>IF($A228="","",INDEX('05_KAIS'!$D:$D,$A228))</f>
        <v/>
      </c>
      <c r="D228">
        <f>IF($A228="","",INDEX('05_KAIS'!$H:$H,$A228))</f>
        <v/>
      </c>
      <c r="E228">
        <f>IF($A228="","",INDEX('05_KAIS'!$K:$K,$A228))</f>
        <v/>
      </c>
      <c r="F228" s="202">
        <f>IF($A228="","",INDEX('05_KAIS'!$I:$I,$A228))</f>
        <v/>
      </c>
      <c r="G228" s="118">
        <f>IF($A228="","",INDEX('05_KAIS'!$L:$L,$A228))</f>
        <v/>
      </c>
      <c r="H228" s="118">
        <f>IF($A228="","",IFERROR(INDEX('05_KAIS'!$M:$M,$A228),IF(AND(E228&gt;0,G228&gt;0),G228/E228,"")))</f>
        <v/>
      </c>
      <c r="I228" s="202">
        <f>IF($A228="","",INDEX('05_KAIS'!$N:$N,$A228))</f>
        <v/>
      </c>
      <c r="J228">
        <f>IF(B228="","",IF('02_대상물건입력'!$B$5="",1,IF(ISNUMBER(SEARCH('02_대상물건입력'!$B$5,B228)),1,0)))</f>
        <v/>
      </c>
      <c r="K228">
        <f>IF(B228="","",IF('02_대상물건입력'!$B$6="",1,IF(ISNUMBER(SEARCH('02_대상물건입력'!$B$6,B228)),1,0)))</f>
        <v/>
      </c>
      <c r="L228">
        <f>IF(D228="","",IF('02_대상물건입력'!$B$8="",0,IF(ISNUMBER(SEARCH('02_대상물건입력'!$B$8,D228)),1,0)))</f>
        <v/>
      </c>
      <c r="M228">
        <f>IFERROR(ABS(E228-'02_대상물건입력'!$B$11)/'02_대상물건입력'!$B$11,"")</f>
        <v/>
      </c>
      <c r="N228">
        <f>IFERROR(ABS('01_설정'!$B$4-F228),"")</f>
        <v/>
      </c>
      <c r="O228">
        <f>IFERROR(ABS(YEAR(I228)-YEAR('02_대상물건입력'!$B$14)),"")</f>
        <v/>
      </c>
      <c r="P228">
        <f>IF(AND(E228&gt;0,F228&gt;0,G228&gt;0,IF('01_설정'!$B$10=1,J228=1,TRUE()),M228&lt;='01_설정'!$B$5,N228&lt;='01_설정'!$B$7,O228&lt;='01_설정'!$B$8),"Y","")</f>
        <v/>
      </c>
      <c r="Q228">
        <f>IF(P228&lt;&gt;"Y","",MAX(0,(1-M228/'01_설정'!$B$5))*'01_설정'!$B$14+MAX(0,(1-N228/'01_설정'!$B$7))*'01_설정'!$B$16+MAX(0,(1-O228/'01_설정'!$B$8))*'01_설정'!$B$17+K228*'01_설정'!$B$11+L228*'01_설정'!$B$12)</f>
        <v/>
      </c>
      <c r="R228">
        <f>IF(Q228="","",1+COUNTIFS($Q$31:$Q$1030,"&gt;"&amp;Q228)+COUNTIFS($Q$31:Q228,Q228)-1)</f>
        <v/>
      </c>
    </row>
    <row r="229" hidden="1" ht="16.5" customHeight="1">
      <c r="A229">
        <f>IF(COUNTA('05_KAIS'!$A217:$N217)=0,"",202)</f>
        <v/>
      </c>
      <c r="B229">
        <f>IF($A229="","",TRIM(INDEX('05_KAIS'!$B:$B,$A229)&amp;" "&amp;INDEX('05_KAIS'!$C:$C,$A229)))</f>
        <v/>
      </c>
      <c r="C229">
        <f>IF($A229="","",INDEX('05_KAIS'!$D:$D,$A229))</f>
        <v/>
      </c>
      <c r="D229">
        <f>IF($A229="","",INDEX('05_KAIS'!$H:$H,$A229))</f>
        <v/>
      </c>
      <c r="E229">
        <f>IF($A229="","",INDEX('05_KAIS'!$K:$K,$A229))</f>
        <v/>
      </c>
      <c r="F229" s="202">
        <f>IF($A229="","",INDEX('05_KAIS'!$I:$I,$A229))</f>
        <v/>
      </c>
      <c r="G229" s="118">
        <f>IF($A229="","",INDEX('05_KAIS'!$L:$L,$A229))</f>
        <v/>
      </c>
      <c r="H229" s="118">
        <f>IF($A229="","",IFERROR(INDEX('05_KAIS'!$M:$M,$A229),IF(AND(E229&gt;0,G229&gt;0),G229/E229,"")))</f>
        <v/>
      </c>
      <c r="I229" s="202">
        <f>IF($A229="","",INDEX('05_KAIS'!$N:$N,$A229))</f>
        <v/>
      </c>
      <c r="J229">
        <f>IF(B229="","",IF('02_대상물건입력'!$B$5="",1,IF(ISNUMBER(SEARCH('02_대상물건입력'!$B$5,B229)),1,0)))</f>
        <v/>
      </c>
      <c r="K229">
        <f>IF(B229="","",IF('02_대상물건입력'!$B$6="",1,IF(ISNUMBER(SEARCH('02_대상물건입력'!$B$6,B229)),1,0)))</f>
        <v/>
      </c>
      <c r="L229">
        <f>IF(D229="","",IF('02_대상물건입력'!$B$8="",0,IF(ISNUMBER(SEARCH('02_대상물건입력'!$B$8,D229)),1,0)))</f>
        <v/>
      </c>
      <c r="M229">
        <f>IFERROR(ABS(E229-'02_대상물건입력'!$B$11)/'02_대상물건입력'!$B$11,"")</f>
        <v/>
      </c>
      <c r="N229">
        <f>IFERROR(ABS('01_설정'!$B$4-F229),"")</f>
        <v/>
      </c>
      <c r="O229">
        <f>IFERROR(ABS(YEAR(I229)-YEAR('02_대상물건입력'!$B$14)),"")</f>
        <v/>
      </c>
      <c r="P229">
        <f>IF(AND(E229&gt;0,F229&gt;0,G229&gt;0,IF('01_설정'!$B$10=1,J229=1,TRUE()),M229&lt;='01_설정'!$B$5,N229&lt;='01_설정'!$B$7,O229&lt;='01_설정'!$B$8),"Y","")</f>
        <v/>
      </c>
      <c r="Q229">
        <f>IF(P229&lt;&gt;"Y","",MAX(0,(1-M229/'01_설정'!$B$5))*'01_설정'!$B$14+MAX(0,(1-N229/'01_설정'!$B$7))*'01_설정'!$B$16+MAX(0,(1-O229/'01_설정'!$B$8))*'01_설정'!$B$17+K229*'01_설정'!$B$11+L229*'01_설정'!$B$12)</f>
        <v/>
      </c>
      <c r="R229">
        <f>IF(Q229="","",1+COUNTIFS($Q$31:$Q$1030,"&gt;"&amp;Q229)+COUNTIFS($Q$31:Q229,Q229)-1)</f>
        <v/>
      </c>
    </row>
    <row r="230" hidden="1" ht="16.5" customHeight="1">
      <c r="A230">
        <f>IF(COUNTA('05_KAIS'!$A218:$N218)=0,"",203)</f>
        <v/>
      </c>
      <c r="B230">
        <f>IF($A230="","",TRIM(INDEX('05_KAIS'!$B:$B,$A230)&amp;" "&amp;INDEX('05_KAIS'!$C:$C,$A230)))</f>
        <v/>
      </c>
      <c r="C230">
        <f>IF($A230="","",INDEX('05_KAIS'!$D:$D,$A230))</f>
        <v/>
      </c>
      <c r="D230">
        <f>IF($A230="","",INDEX('05_KAIS'!$H:$H,$A230))</f>
        <v/>
      </c>
      <c r="E230">
        <f>IF($A230="","",INDEX('05_KAIS'!$K:$K,$A230))</f>
        <v/>
      </c>
      <c r="F230" s="202">
        <f>IF($A230="","",INDEX('05_KAIS'!$I:$I,$A230))</f>
        <v/>
      </c>
      <c r="G230" s="118">
        <f>IF($A230="","",INDEX('05_KAIS'!$L:$L,$A230))</f>
        <v/>
      </c>
      <c r="H230" s="118">
        <f>IF($A230="","",IFERROR(INDEX('05_KAIS'!$M:$M,$A230),IF(AND(E230&gt;0,G230&gt;0),G230/E230,"")))</f>
        <v/>
      </c>
      <c r="I230" s="202">
        <f>IF($A230="","",INDEX('05_KAIS'!$N:$N,$A230))</f>
        <v/>
      </c>
      <c r="J230">
        <f>IF(B230="","",IF('02_대상물건입력'!$B$5="",1,IF(ISNUMBER(SEARCH('02_대상물건입력'!$B$5,B230)),1,0)))</f>
        <v/>
      </c>
      <c r="K230">
        <f>IF(B230="","",IF('02_대상물건입력'!$B$6="",1,IF(ISNUMBER(SEARCH('02_대상물건입력'!$B$6,B230)),1,0)))</f>
        <v/>
      </c>
      <c r="L230">
        <f>IF(D230="","",IF('02_대상물건입력'!$B$8="",0,IF(ISNUMBER(SEARCH('02_대상물건입력'!$B$8,D230)),1,0)))</f>
        <v/>
      </c>
      <c r="M230">
        <f>IFERROR(ABS(E230-'02_대상물건입력'!$B$11)/'02_대상물건입력'!$B$11,"")</f>
        <v/>
      </c>
      <c r="N230">
        <f>IFERROR(ABS('01_설정'!$B$4-F230),"")</f>
        <v/>
      </c>
      <c r="O230">
        <f>IFERROR(ABS(YEAR(I230)-YEAR('02_대상물건입력'!$B$14)),"")</f>
        <v/>
      </c>
      <c r="P230">
        <f>IF(AND(E230&gt;0,F230&gt;0,G230&gt;0,IF('01_설정'!$B$10=1,J230=1,TRUE()),M230&lt;='01_설정'!$B$5,N230&lt;='01_설정'!$B$7,O230&lt;='01_설정'!$B$8),"Y","")</f>
        <v/>
      </c>
      <c r="Q230">
        <f>IF(P230&lt;&gt;"Y","",MAX(0,(1-M230/'01_설정'!$B$5))*'01_설정'!$B$14+MAX(0,(1-N230/'01_설정'!$B$7))*'01_설정'!$B$16+MAX(0,(1-O230/'01_설정'!$B$8))*'01_설정'!$B$17+K230*'01_설정'!$B$11+L230*'01_설정'!$B$12)</f>
        <v/>
      </c>
      <c r="R230">
        <f>IF(Q230="","",1+COUNTIFS($Q$31:$Q$1030,"&gt;"&amp;Q230)+COUNTIFS($Q$31:Q230,Q230)-1)</f>
        <v/>
      </c>
    </row>
    <row r="231" hidden="1" ht="16.5" customHeight="1">
      <c r="A231">
        <f>IF(COUNTA('05_KAIS'!$A219:$N219)=0,"",204)</f>
        <v/>
      </c>
      <c r="B231">
        <f>IF($A231="","",TRIM(INDEX('05_KAIS'!$B:$B,$A231)&amp;" "&amp;INDEX('05_KAIS'!$C:$C,$A231)))</f>
        <v/>
      </c>
      <c r="C231">
        <f>IF($A231="","",INDEX('05_KAIS'!$D:$D,$A231))</f>
        <v/>
      </c>
      <c r="D231">
        <f>IF($A231="","",INDEX('05_KAIS'!$H:$H,$A231))</f>
        <v/>
      </c>
      <c r="E231">
        <f>IF($A231="","",INDEX('05_KAIS'!$K:$K,$A231))</f>
        <v/>
      </c>
      <c r="F231" s="202">
        <f>IF($A231="","",INDEX('05_KAIS'!$I:$I,$A231))</f>
        <v/>
      </c>
      <c r="G231" s="118">
        <f>IF($A231="","",INDEX('05_KAIS'!$L:$L,$A231))</f>
        <v/>
      </c>
      <c r="H231" s="118">
        <f>IF($A231="","",IFERROR(INDEX('05_KAIS'!$M:$M,$A231),IF(AND(E231&gt;0,G231&gt;0),G231/E231,"")))</f>
        <v/>
      </c>
      <c r="I231" s="202">
        <f>IF($A231="","",INDEX('05_KAIS'!$N:$N,$A231))</f>
        <v/>
      </c>
      <c r="J231">
        <f>IF(B231="","",IF('02_대상물건입력'!$B$5="",1,IF(ISNUMBER(SEARCH('02_대상물건입력'!$B$5,B231)),1,0)))</f>
        <v/>
      </c>
      <c r="K231">
        <f>IF(B231="","",IF('02_대상물건입력'!$B$6="",1,IF(ISNUMBER(SEARCH('02_대상물건입력'!$B$6,B231)),1,0)))</f>
        <v/>
      </c>
      <c r="L231">
        <f>IF(D231="","",IF('02_대상물건입력'!$B$8="",0,IF(ISNUMBER(SEARCH('02_대상물건입력'!$B$8,D231)),1,0)))</f>
        <v/>
      </c>
      <c r="M231">
        <f>IFERROR(ABS(E231-'02_대상물건입력'!$B$11)/'02_대상물건입력'!$B$11,"")</f>
        <v/>
      </c>
      <c r="N231">
        <f>IFERROR(ABS('01_설정'!$B$4-F231),"")</f>
        <v/>
      </c>
      <c r="O231">
        <f>IFERROR(ABS(YEAR(I231)-YEAR('02_대상물건입력'!$B$14)),"")</f>
        <v/>
      </c>
      <c r="P231">
        <f>IF(AND(E231&gt;0,F231&gt;0,G231&gt;0,IF('01_설정'!$B$10=1,J231=1,TRUE()),M231&lt;='01_설정'!$B$5,N231&lt;='01_설정'!$B$7,O231&lt;='01_설정'!$B$8),"Y","")</f>
        <v/>
      </c>
      <c r="Q231">
        <f>IF(P231&lt;&gt;"Y","",MAX(0,(1-M231/'01_설정'!$B$5))*'01_설정'!$B$14+MAX(0,(1-N231/'01_설정'!$B$7))*'01_설정'!$B$16+MAX(0,(1-O231/'01_설정'!$B$8))*'01_설정'!$B$17+K231*'01_설정'!$B$11+L231*'01_설정'!$B$12)</f>
        <v/>
      </c>
      <c r="R231">
        <f>IF(Q231="","",1+COUNTIFS($Q$31:$Q$1030,"&gt;"&amp;Q231)+COUNTIFS($Q$31:Q231,Q231)-1)</f>
        <v/>
      </c>
    </row>
    <row r="232" hidden="1" ht="16.5" customHeight="1">
      <c r="A232">
        <f>IF(COUNTA('05_KAIS'!$A220:$N220)=0,"",205)</f>
        <v/>
      </c>
      <c r="B232">
        <f>IF($A232="","",TRIM(INDEX('05_KAIS'!$B:$B,$A232)&amp;" "&amp;INDEX('05_KAIS'!$C:$C,$A232)))</f>
        <v/>
      </c>
      <c r="C232">
        <f>IF($A232="","",INDEX('05_KAIS'!$D:$D,$A232))</f>
        <v/>
      </c>
      <c r="D232">
        <f>IF($A232="","",INDEX('05_KAIS'!$H:$H,$A232))</f>
        <v/>
      </c>
      <c r="E232">
        <f>IF($A232="","",INDEX('05_KAIS'!$K:$K,$A232))</f>
        <v/>
      </c>
      <c r="F232" s="202">
        <f>IF($A232="","",INDEX('05_KAIS'!$I:$I,$A232))</f>
        <v/>
      </c>
      <c r="G232" s="118">
        <f>IF($A232="","",INDEX('05_KAIS'!$L:$L,$A232))</f>
        <v/>
      </c>
      <c r="H232" s="118">
        <f>IF($A232="","",IFERROR(INDEX('05_KAIS'!$M:$M,$A232),IF(AND(E232&gt;0,G232&gt;0),G232/E232,"")))</f>
        <v/>
      </c>
      <c r="I232" s="202">
        <f>IF($A232="","",INDEX('05_KAIS'!$N:$N,$A232))</f>
        <v/>
      </c>
      <c r="J232">
        <f>IF(B232="","",IF('02_대상물건입력'!$B$5="",1,IF(ISNUMBER(SEARCH('02_대상물건입력'!$B$5,B232)),1,0)))</f>
        <v/>
      </c>
      <c r="K232">
        <f>IF(B232="","",IF('02_대상물건입력'!$B$6="",1,IF(ISNUMBER(SEARCH('02_대상물건입력'!$B$6,B232)),1,0)))</f>
        <v/>
      </c>
      <c r="L232">
        <f>IF(D232="","",IF('02_대상물건입력'!$B$8="",0,IF(ISNUMBER(SEARCH('02_대상물건입력'!$B$8,D232)),1,0)))</f>
        <v/>
      </c>
      <c r="M232">
        <f>IFERROR(ABS(E232-'02_대상물건입력'!$B$11)/'02_대상물건입력'!$B$11,"")</f>
        <v/>
      </c>
      <c r="N232">
        <f>IFERROR(ABS('01_설정'!$B$4-F232),"")</f>
        <v/>
      </c>
      <c r="O232">
        <f>IFERROR(ABS(YEAR(I232)-YEAR('02_대상물건입력'!$B$14)),"")</f>
        <v/>
      </c>
      <c r="P232">
        <f>IF(AND(E232&gt;0,F232&gt;0,G232&gt;0,IF('01_설정'!$B$10=1,J232=1,TRUE()),M232&lt;='01_설정'!$B$5,N232&lt;='01_설정'!$B$7,O232&lt;='01_설정'!$B$8),"Y","")</f>
        <v/>
      </c>
      <c r="Q232">
        <f>IF(P232&lt;&gt;"Y","",MAX(0,(1-M232/'01_설정'!$B$5))*'01_설정'!$B$14+MAX(0,(1-N232/'01_설정'!$B$7))*'01_설정'!$B$16+MAX(0,(1-O232/'01_설정'!$B$8))*'01_설정'!$B$17+K232*'01_설정'!$B$11+L232*'01_설정'!$B$12)</f>
        <v/>
      </c>
      <c r="R232">
        <f>IF(Q232="","",1+COUNTIFS($Q$31:$Q$1030,"&gt;"&amp;Q232)+COUNTIFS($Q$31:Q232,Q232)-1)</f>
        <v/>
      </c>
    </row>
    <row r="233" hidden="1" ht="16.5" customHeight="1">
      <c r="A233">
        <f>IF(COUNTA('05_KAIS'!$A221:$N221)=0,"",206)</f>
        <v/>
      </c>
      <c r="B233">
        <f>IF($A233="","",TRIM(INDEX('05_KAIS'!$B:$B,$A233)&amp;" "&amp;INDEX('05_KAIS'!$C:$C,$A233)))</f>
        <v/>
      </c>
      <c r="C233">
        <f>IF($A233="","",INDEX('05_KAIS'!$D:$D,$A233))</f>
        <v/>
      </c>
      <c r="D233">
        <f>IF($A233="","",INDEX('05_KAIS'!$H:$H,$A233))</f>
        <v/>
      </c>
      <c r="E233">
        <f>IF($A233="","",INDEX('05_KAIS'!$K:$K,$A233))</f>
        <v/>
      </c>
      <c r="F233" s="202">
        <f>IF($A233="","",INDEX('05_KAIS'!$I:$I,$A233))</f>
        <v/>
      </c>
      <c r="G233" s="118">
        <f>IF($A233="","",INDEX('05_KAIS'!$L:$L,$A233))</f>
        <v/>
      </c>
      <c r="H233" s="118">
        <f>IF($A233="","",IFERROR(INDEX('05_KAIS'!$M:$M,$A233),IF(AND(E233&gt;0,G233&gt;0),G233/E233,"")))</f>
        <v/>
      </c>
      <c r="I233" s="202">
        <f>IF($A233="","",INDEX('05_KAIS'!$N:$N,$A233))</f>
        <v/>
      </c>
      <c r="J233">
        <f>IF(B233="","",IF('02_대상물건입력'!$B$5="",1,IF(ISNUMBER(SEARCH('02_대상물건입력'!$B$5,B233)),1,0)))</f>
        <v/>
      </c>
      <c r="K233">
        <f>IF(B233="","",IF('02_대상물건입력'!$B$6="",1,IF(ISNUMBER(SEARCH('02_대상물건입력'!$B$6,B233)),1,0)))</f>
        <v/>
      </c>
      <c r="L233">
        <f>IF(D233="","",IF('02_대상물건입력'!$B$8="",0,IF(ISNUMBER(SEARCH('02_대상물건입력'!$B$8,D233)),1,0)))</f>
        <v/>
      </c>
      <c r="M233">
        <f>IFERROR(ABS(E233-'02_대상물건입력'!$B$11)/'02_대상물건입력'!$B$11,"")</f>
        <v/>
      </c>
      <c r="N233">
        <f>IFERROR(ABS('01_설정'!$B$4-F233),"")</f>
        <v/>
      </c>
      <c r="O233">
        <f>IFERROR(ABS(YEAR(I233)-YEAR('02_대상물건입력'!$B$14)),"")</f>
        <v/>
      </c>
      <c r="P233">
        <f>IF(AND(E233&gt;0,F233&gt;0,G233&gt;0,IF('01_설정'!$B$10=1,J233=1,TRUE()),M233&lt;='01_설정'!$B$5,N233&lt;='01_설정'!$B$7,O233&lt;='01_설정'!$B$8),"Y","")</f>
        <v/>
      </c>
      <c r="Q233">
        <f>IF(P233&lt;&gt;"Y","",MAX(0,(1-M233/'01_설정'!$B$5))*'01_설정'!$B$14+MAX(0,(1-N233/'01_설정'!$B$7))*'01_설정'!$B$16+MAX(0,(1-O233/'01_설정'!$B$8))*'01_설정'!$B$17+K233*'01_설정'!$B$11+L233*'01_설정'!$B$12)</f>
        <v/>
      </c>
      <c r="R233">
        <f>IF(Q233="","",1+COUNTIFS($Q$31:$Q$1030,"&gt;"&amp;Q233)+COUNTIFS($Q$31:Q233,Q233)-1)</f>
        <v/>
      </c>
    </row>
    <row r="234" hidden="1" ht="16.5" customHeight="1">
      <c r="A234">
        <f>IF(COUNTA('05_KAIS'!$A222:$N222)=0,"",207)</f>
        <v/>
      </c>
      <c r="B234">
        <f>IF($A234="","",TRIM(INDEX('05_KAIS'!$B:$B,$A234)&amp;" "&amp;INDEX('05_KAIS'!$C:$C,$A234)))</f>
        <v/>
      </c>
      <c r="C234">
        <f>IF($A234="","",INDEX('05_KAIS'!$D:$D,$A234))</f>
        <v/>
      </c>
      <c r="D234">
        <f>IF($A234="","",INDEX('05_KAIS'!$H:$H,$A234))</f>
        <v/>
      </c>
      <c r="E234">
        <f>IF($A234="","",INDEX('05_KAIS'!$K:$K,$A234))</f>
        <v/>
      </c>
      <c r="F234" s="202">
        <f>IF($A234="","",INDEX('05_KAIS'!$I:$I,$A234))</f>
        <v/>
      </c>
      <c r="G234" s="118">
        <f>IF($A234="","",INDEX('05_KAIS'!$L:$L,$A234))</f>
        <v/>
      </c>
      <c r="H234" s="118">
        <f>IF($A234="","",IFERROR(INDEX('05_KAIS'!$M:$M,$A234),IF(AND(E234&gt;0,G234&gt;0),G234/E234,"")))</f>
        <v/>
      </c>
      <c r="I234" s="202">
        <f>IF($A234="","",INDEX('05_KAIS'!$N:$N,$A234))</f>
        <v/>
      </c>
      <c r="J234">
        <f>IF(B234="","",IF('02_대상물건입력'!$B$5="",1,IF(ISNUMBER(SEARCH('02_대상물건입력'!$B$5,B234)),1,0)))</f>
        <v/>
      </c>
      <c r="K234">
        <f>IF(B234="","",IF('02_대상물건입력'!$B$6="",1,IF(ISNUMBER(SEARCH('02_대상물건입력'!$B$6,B234)),1,0)))</f>
        <v/>
      </c>
      <c r="L234">
        <f>IF(D234="","",IF('02_대상물건입력'!$B$8="",0,IF(ISNUMBER(SEARCH('02_대상물건입력'!$B$8,D234)),1,0)))</f>
        <v/>
      </c>
      <c r="M234">
        <f>IFERROR(ABS(E234-'02_대상물건입력'!$B$11)/'02_대상물건입력'!$B$11,"")</f>
        <v/>
      </c>
      <c r="N234">
        <f>IFERROR(ABS('01_설정'!$B$4-F234),"")</f>
        <v/>
      </c>
      <c r="O234">
        <f>IFERROR(ABS(YEAR(I234)-YEAR('02_대상물건입력'!$B$14)),"")</f>
        <v/>
      </c>
      <c r="P234">
        <f>IF(AND(E234&gt;0,F234&gt;0,G234&gt;0,IF('01_설정'!$B$10=1,J234=1,TRUE()),M234&lt;='01_설정'!$B$5,N234&lt;='01_설정'!$B$7,O234&lt;='01_설정'!$B$8),"Y","")</f>
        <v/>
      </c>
      <c r="Q234">
        <f>IF(P234&lt;&gt;"Y","",MAX(0,(1-M234/'01_설정'!$B$5))*'01_설정'!$B$14+MAX(0,(1-N234/'01_설정'!$B$7))*'01_설정'!$B$16+MAX(0,(1-O234/'01_설정'!$B$8))*'01_설정'!$B$17+K234*'01_설정'!$B$11+L234*'01_설정'!$B$12)</f>
        <v/>
      </c>
      <c r="R234">
        <f>IF(Q234="","",1+COUNTIFS($Q$31:$Q$1030,"&gt;"&amp;Q234)+COUNTIFS($Q$31:Q234,Q234)-1)</f>
        <v/>
      </c>
    </row>
    <row r="235" hidden="1" ht="16.5" customHeight="1">
      <c r="A235">
        <f>IF(COUNTA('05_KAIS'!$A223:$N223)=0,"",208)</f>
        <v/>
      </c>
      <c r="B235">
        <f>IF($A235="","",TRIM(INDEX('05_KAIS'!$B:$B,$A235)&amp;" "&amp;INDEX('05_KAIS'!$C:$C,$A235)))</f>
        <v/>
      </c>
      <c r="C235">
        <f>IF($A235="","",INDEX('05_KAIS'!$D:$D,$A235))</f>
        <v/>
      </c>
      <c r="D235">
        <f>IF($A235="","",INDEX('05_KAIS'!$H:$H,$A235))</f>
        <v/>
      </c>
      <c r="E235">
        <f>IF($A235="","",INDEX('05_KAIS'!$K:$K,$A235))</f>
        <v/>
      </c>
      <c r="F235" s="202">
        <f>IF($A235="","",INDEX('05_KAIS'!$I:$I,$A235))</f>
        <v/>
      </c>
      <c r="G235" s="118">
        <f>IF($A235="","",INDEX('05_KAIS'!$L:$L,$A235))</f>
        <v/>
      </c>
      <c r="H235" s="118">
        <f>IF($A235="","",IFERROR(INDEX('05_KAIS'!$M:$M,$A235),IF(AND(E235&gt;0,G235&gt;0),G235/E235,"")))</f>
        <v/>
      </c>
      <c r="I235" s="202">
        <f>IF($A235="","",INDEX('05_KAIS'!$N:$N,$A235))</f>
        <v/>
      </c>
      <c r="J235">
        <f>IF(B235="","",IF('02_대상물건입력'!$B$5="",1,IF(ISNUMBER(SEARCH('02_대상물건입력'!$B$5,B235)),1,0)))</f>
        <v/>
      </c>
      <c r="K235">
        <f>IF(B235="","",IF('02_대상물건입력'!$B$6="",1,IF(ISNUMBER(SEARCH('02_대상물건입력'!$B$6,B235)),1,0)))</f>
        <v/>
      </c>
      <c r="L235">
        <f>IF(D235="","",IF('02_대상물건입력'!$B$8="",0,IF(ISNUMBER(SEARCH('02_대상물건입력'!$B$8,D235)),1,0)))</f>
        <v/>
      </c>
      <c r="M235">
        <f>IFERROR(ABS(E235-'02_대상물건입력'!$B$11)/'02_대상물건입력'!$B$11,"")</f>
        <v/>
      </c>
      <c r="N235">
        <f>IFERROR(ABS('01_설정'!$B$4-F235),"")</f>
        <v/>
      </c>
      <c r="O235">
        <f>IFERROR(ABS(YEAR(I235)-YEAR('02_대상물건입력'!$B$14)),"")</f>
        <v/>
      </c>
      <c r="P235">
        <f>IF(AND(E235&gt;0,F235&gt;0,G235&gt;0,IF('01_설정'!$B$10=1,J235=1,TRUE()),M235&lt;='01_설정'!$B$5,N235&lt;='01_설정'!$B$7,O235&lt;='01_설정'!$B$8),"Y","")</f>
        <v/>
      </c>
      <c r="Q235">
        <f>IF(P235&lt;&gt;"Y","",MAX(0,(1-M235/'01_설정'!$B$5))*'01_설정'!$B$14+MAX(0,(1-N235/'01_설정'!$B$7))*'01_설정'!$B$16+MAX(0,(1-O235/'01_설정'!$B$8))*'01_설정'!$B$17+K235*'01_설정'!$B$11+L235*'01_설정'!$B$12)</f>
        <v/>
      </c>
      <c r="R235">
        <f>IF(Q235="","",1+COUNTIFS($Q$31:$Q$1030,"&gt;"&amp;Q235)+COUNTIFS($Q$31:Q235,Q235)-1)</f>
        <v/>
      </c>
    </row>
    <row r="236" hidden="1" ht="16.5" customHeight="1">
      <c r="A236">
        <f>IF(COUNTA('05_KAIS'!$A224:$N224)=0,"",209)</f>
        <v/>
      </c>
      <c r="B236">
        <f>IF($A236="","",TRIM(INDEX('05_KAIS'!$B:$B,$A236)&amp;" "&amp;INDEX('05_KAIS'!$C:$C,$A236)))</f>
        <v/>
      </c>
      <c r="C236">
        <f>IF($A236="","",INDEX('05_KAIS'!$D:$D,$A236))</f>
        <v/>
      </c>
      <c r="D236">
        <f>IF($A236="","",INDEX('05_KAIS'!$H:$H,$A236))</f>
        <v/>
      </c>
      <c r="E236">
        <f>IF($A236="","",INDEX('05_KAIS'!$K:$K,$A236))</f>
        <v/>
      </c>
      <c r="F236" s="202">
        <f>IF($A236="","",INDEX('05_KAIS'!$I:$I,$A236))</f>
        <v/>
      </c>
      <c r="G236" s="118">
        <f>IF($A236="","",INDEX('05_KAIS'!$L:$L,$A236))</f>
        <v/>
      </c>
      <c r="H236" s="118">
        <f>IF($A236="","",IFERROR(INDEX('05_KAIS'!$M:$M,$A236),IF(AND(E236&gt;0,G236&gt;0),G236/E236,"")))</f>
        <v/>
      </c>
      <c r="I236" s="202">
        <f>IF($A236="","",INDEX('05_KAIS'!$N:$N,$A236))</f>
        <v/>
      </c>
      <c r="J236">
        <f>IF(B236="","",IF('02_대상물건입력'!$B$5="",1,IF(ISNUMBER(SEARCH('02_대상물건입력'!$B$5,B236)),1,0)))</f>
        <v/>
      </c>
      <c r="K236">
        <f>IF(B236="","",IF('02_대상물건입력'!$B$6="",1,IF(ISNUMBER(SEARCH('02_대상물건입력'!$B$6,B236)),1,0)))</f>
        <v/>
      </c>
      <c r="L236">
        <f>IF(D236="","",IF('02_대상물건입력'!$B$8="",0,IF(ISNUMBER(SEARCH('02_대상물건입력'!$B$8,D236)),1,0)))</f>
        <v/>
      </c>
      <c r="M236">
        <f>IFERROR(ABS(E236-'02_대상물건입력'!$B$11)/'02_대상물건입력'!$B$11,"")</f>
        <v/>
      </c>
      <c r="N236">
        <f>IFERROR(ABS('01_설정'!$B$4-F236),"")</f>
        <v/>
      </c>
      <c r="O236">
        <f>IFERROR(ABS(YEAR(I236)-YEAR('02_대상물건입력'!$B$14)),"")</f>
        <v/>
      </c>
      <c r="P236">
        <f>IF(AND(E236&gt;0,F236&gt;0,G236&gt;0,IF('01_설정'!$B$10=1,J236=1,TRUE()),M236&lt;='01_설정'!$B$5,N236&lt;='01_설정'!$B$7,O236&lt;='01_설정'!$B$8),"Y","")</f>
        <v/>
      </c>
      <c r="Q236">
        <f>IF(P236&lt;&gt;"Y","",MAX(0,(1-M236/'01_설정'!$B$5))*'01_설정'!$B$14+MAX(0,(1-N236/'01_설정'!$B$7))*'01_설정'!$B$16+MAX(0,(1-O236/'01_설정'!$B$8))*'01_설정'!$B$17+K236*'01_설정'!$B$11+L236*'01_설정'!$B$12)</f>
        <v/>
      </c>
      <c r="R236">
        <f>IF(Q236="","",1+COUNTIFS($Q$31:$Q$1030,"&gt;"&amp;Q236)+COUNTIFS($Q$31:Q236,Q236)-1)</f>
        <v/>
      </c>
    </row>
    <row r="237" hidden="1" ht="16.5" customHeight="1">
      <c r="A237">
        <f>IF(COUNTA('05_KAIS'!$A225:$N225)=0,"",210)</f>
        <v/>
      </c>
      <c r="B237">
        <f>IF($A237="","",TRIM(INDEX('05_KAIS'!$B:$B,$A237)&amp;" "&amp;INDEX('05_KAIS'!$C:$C,$A237)))</f>
        <v/>
      </c>
      <c r="C237">
        <f>IF($A237="","",INDEX('05_KAIS'!$D:$D,$A237))</f>
        <v/>
      </c>
      <c r="D237">
        <f>IF($A237="","",INDEX('05_KAIS'!$H:$H,$A237))</f>
        <v/>
      </c>
      <c r="E237">
        <f>IF($A237="","",INDEX('05_KAIS'!$K:$K,$A237))</f>
        <v/>
      </c>
      <c r="F237" s="202">
        <f>IF($A237="","",INDEX('05_KAIS'!$I:$I,$A237))</f>
        <v/>
      </c>
      <c r="G237" s="118">
        <f>IF($A237="","",INDEX('05_KAIS'!$L:$L,$A237))</f>
        <v/>
      </c>
      <c r="H237" s="118">
        <f>IF($A237="","",IFERROR(INDEX('05_KAIS'!$M:$M,$A237),IF(AND(E237&gt;0,G237&gt;0),G237/E237,"")))</f>
        <v/>
      </c>
      <c r="I237" s="202">
        <f>IF($A237="","",INDEX('05_KAIS'!$N:$N,$A237))</f>
        <v/>
      </c>
      <c r="J237">
        <f>IF(B237="","",IF('02_대상물건입력'!$B$5="",1,IF(ISNUMBER(SEARCH('02_대상물건입력'!$B$5,B237)),1,0)))</f>
        <v/>
      </c>
      <c r="K237">
        <f>IF(B237="","",IF('02_대상물건입력'!$B$6="",1,IF(ISNUMBER(SEARCH('02_대상물건입력'!$B$6,B237)),1,0)))</f>
        <v/>
      </c>
      <c r="L237">
        <f>IF(D237="","",IF('02_대상물건입력'!$B$8="",0,IF(ISNUMBER(SEARCH('02_대상물건입력'!$B$8,D237)),1,0)))</f>
        <v/>
      </c>
      <c r="M237">
        <f>IFERROR(ABS(E237-'02_대상물건입력'!$B$11)/'02_대상물건입력'!$B$11,"")</f>
        <v/>
      </c>
      <c r="N237">
        <f>IFERROR(ABS('01_설정'!$B$4-F237),"")</f>
        <v/>
      </c>
      <c r="O237">
        <f>IFERROR(ABS(YEAR(I237)-YEAR('02_대상물건입력'!$B$14)),"")</f>
        <v/>
      </c>
      <c r="P237">
        <f>IF(AND(E237&gt;0,F237&gt;0,G237&gt;0,IF('01_설정'!$B$10=1,J237=1,TRUE()),M237&lt;='01_설정'!$B$5,N237&lt;='01_설정'!$B$7,O237&lt;='01_설정'!$B$8),"Y","")</f>
        <v/>
      </c>
      <c r="Q237">
        <f>IF(P237&lt;&gt;"Y","",MAX(0,(1-M237/'01_설정'!$B$5))*'01_설정'!$B$14+MAX(0,(1-N237/'01_설정'!$B$7))*'01_설정'!$B$16+MAX(0,(1-O237/'01_설정'!$B$8))*'01_설정'!$B$17+K237*'01_설정'!$B$11+L237*'01_설정'!$B$12)</f>
        <v/>
      </c>
      <c r="R237">
        <f>IF(Q237="","",1+COUNTIFS($Q$31:$Q$1030,"&gt;"&amp;Q237)+COUNTIFS($Q$31:Q237,Q237)-1)</f>
        <v/>
      </c>
    </row>
    <row r="238" hidden="1" ht="16.5" customHeight="1">
      <c r="A238">
        <f>IF(COUNTA('05_KAIS'!$A226:$N226)=0,"",211)</f>
        <v/>
      </c>
      <c r="B238">
        <f>IF($A238="","",TRIM(INDEX('05_KAIS'!$B:$B,$A238)&amp;" "&amp;INDEX('05_KAIS'!$C:$C,$A238)))</f>
        <v/>
      </c>
      <c r="C238">
        <f>IF($A238="","",INDEX('05_KAIS'!$D:$D,$A238))</f>
        <v/>
      </c>
      <c r="D238">
        <f>IF($A238="","",INDEX('05_KAIS'!$H:$H,$A238))</f>
        <v/>
      </c>
      <c r="E238">
        <f>IF($A238="","",INDEX('05_KAIS'!$K:$K,$A238))</f>
        <v/>
      </c>
      <c r="F238" s="202">
        <f>IF($A238="","",INDEX('05_KAIS'!$I:$I,$A238))</f>
        <v/>
      </c>
      <c r="G238" s="118">
        <f>IF($A238="","",INDEX('05_KAIS'!$L:$L,$A238))</f>
        <v/>
      </c>
      <c r="H238" s="118">
        <f>IF($A238="","",IFERROR(INDEX('05_KAIS'!$M:$M,$A238),IF(AND(E238&gt;0,G238&gt;0),G238/E238,"")))</f>
        <v/>
      </c>
      <c r="I238" s="202">
        <f>IF($A238="","",INDEX('05_KAIS'!$N:$N,$A238))</f>
        <v/>
      </c>
      <c r="J238">
        <f>IF(B238="","",IF('02_대상물건입력'!$B$5="",1,IF(ISNUMBER(SEARCH('02_대상물건입력'!$B$5,B238)),1,0)))</f>
        <v/>
      </c>
      <c r="K238">
        <f>IF(B238="","",IF('02_대상물건입력'!$B$6="",1,IF(ISNUMBER(SEARCH('02_대상물건입력'!$B$6,B238)),1,0)))</f>
        <v/>
      </c>
      <c r="L238">
        <f>IF(D238="","",IF('02_대상물건입력'!$B$8="",0,IF(ISNUMBER(SEARCH('02_대상물건입력'!$B$8,D238)),1,0)))</f>
        <v/>
      </c>
      <c r="M238">
        <f>IFERROR(ABS(E238-'02_대상물건입력'!$B$11)/'02_대상물건입력'!$B$11,"")</f>
        <v/>
      </c>
      <c r="N238">
        <f>IFERROR(ABS('01_설정'!$B$4-F238),"")</f>
        <v/>
      </c>
      <c r="O238">
        <f>IFERROR(ABS(YEAR(I238)-YEAR('02_대상물건입력'!$B$14)),"")</f>
        <v/>
      </c>
      <c r="P238">
        <f>IF(AND(E238&gt;0,F238&gt;0,G238&gt;0,IF('01_설정'!$B$10=1,J238=1,TRUE()),M238&lt;='01_설정'!$B$5,N238&lt;='01_설정'!$B$7,O238&lt;='01_설정'!$B$8),"Y","")</f>
        <v/>
      </c>
      <c r="Q238">
        <f>IF(P238&lt;&gt;"Y","",MAX(0,(1-M238/'01_설정'!$B$5))*'01_설정'!$B$14+MAX(0,(1-N238/'01_설정'!$B$7))*'01_설정'!$B$16+MAX(0,(1-O238/'01_설정'!$B$8))*'01_설정'!$B$17+K238*'01_설정'!$B$11+L238*'01_설정'!$B$12)</f>
        <v/>
      </c>
      <c r="R238">
        <f>IF(Q238="","",1+COUNTIFS($Q$31:$Q$1030,"&gt;"&amp;Q238)+COUNTIFS($Q$31:Q238,Q238)-1)</f>
        <v/>
      </c>
    </row>
    <row r="239" hidden="1" ht="16.5" customHeight="1">
      <c r="A239">
        <f>IF(COUNTA('05_KAIS'!$A227:$N227)=0,"",212)</f>
        <v/>
      </c>
      <c r="B239">
        <f>IF($A239="","",TRIM(INDEX('05_KAIS'!$B:$B,$A239)&amp;" "&amp;INDEX('05_KAIS'!$C:$C,$A239)))</f>
        <v/>
      </c>
      <c r="C239">
        <f>IF($A239="","",INDEX('05_KAIS'!$D:$D,$A239))</f>
        <v/>
      </c>
      <c r="D239">
        <f>IF($A239="","",INDEX('05_KAIS'!$H:$H,$A239))</f>
        <v/>
      </c>
      <c r="E239">
        <f>IF($A239="","",INDEX('05_KAIS'!$K:$K,$A239))</f>
        <v/>
      </c>
      <c r="F239" s="202">
        <f>IF($A239="","",INDEX('05_KAIS'!$I:$I,$A239))</f>
        <v/>
      </c>
      <c r="G239" s="118">
        <f>IF($A239="","",INDEX('05_KAIS'!$L:$L,$A239))</f>
        <v/>
      </c>
      <c r="H239" s="118">
        <f>IF($A239="","",IFERROR(INDEX('05_KAIS'!$M:$M,$A239),IF(AND(E239&gt;0,G239&gt;0),G239/E239,"")))</f>
        <v/>
      </c>
      <c r="I239" s="202">
        <f>IF($A239="","",INDEX('05_KAIS'!$N:$N,$A239))</f>
        <v/>
      </c>
      <c r="J239">
        <f>IF(B239="","",IF('02_대상물건입력'!$B$5="",1,IF(ISNUMBER(SEARCH('02_대상물건입력'!$B$5,B239)),1,0)))</f>
        <v/>
      </c>
      <c r="K239">
        <f>IF(B239="","",IF('02_대상물건입력'!$B$6="",1,IF(ISNUMBER(SEARCH('02_대상물건입력'!$B$6,B239)),1,0)))</f>
        <v/>
      </c>
      <c r="L239">
        <f>IF(D239="","",IF('02_대상물건입력'!$B$8="",0,IF(ISNUMBER(SEARCH('02_대상물건입력'!$B$8,D239)),1,0)))</f>
        <v/>
      </c>
      <c r="M239">
        <f>IFERROR(ABS(E239-'02_대상물건입력'!$B$11)/'02_대상물건입력'!$B$11,"")</f>
        <v/>
      </c>
      <c r="N239">
        <f>IFERROR(ABS('01_설정'!$B$4-F239),"")</f>
        <v/>
      </c>
      <c r="O239">
        <f>IFERROR(ABS(YEAR(I239)-YEAR('02_대상물건입력'!$B$14)),"")</f>
        <v/>
      </c>
      <c r="P239">
        <f>IF(AND(E239&gt;0,F239&gt;0,G239&gt;0,IF('01_설정'!$B$10=1,J239=1,TRUE()),M239&lt;='01_설정'!$B$5,N239&lt;='01_설정'!$B$7,O239&lt;='01_설정'!$B$8),"Y","")</f>
        <v/>
      </c>
      <c r="Q239">
        <f>IF(P239&lt;&gt;"Y","",MAX(0,(1-M239/'01_설정'!$B$5))*'01_설정'!$B$14+MAX(0,(1-N239/'01_설정'!$B$7))*'01_설정'!$B$16+MAX(0,(1-O239/'01_설정'!$B$8))*'01_설정'!$B$17+K239*'01_설정'!$B$11+L239*'01_설정'!$B$12)</f>
        <v/>
      </c>
      <c r="R239">
        <f>IF(Q239="","",1+COUNTIFS($Q$31:$Q$1030,"&gt;"&amp;Q239)+COUNTIFS($Q$31:Q239,Q239)-1)</f>
        <v/>
      </c>
    </row>
    <row r="240" hidden="1" ht="16.5" customHeight="1">
      <c r="A240">
        <f>IF(COUNTA('05_KAIS'!$A228:$N228)=0,"",213)</f>
        <v/>
      </c>
      <c r="B240">
        <f>IF($A240="","",TRIM(INDEX('05_KAIS'!$B:$B,$A240)&amp;" "&amp;INDEX('05_KAIS'!$C:$C,$A240)))</f>
        <v/>
      </c>
      <c r="C240">
        <f>IF($A240="","",INDEX('05_KAIS'!$D:$D,$A240))</f>
        <v/>
      </c>
      <c r="D240">
        <f>IF($A240="","",INDEX('05_KAIS'!$H:$H,$A240))</f>
        <v/>
      </c>
      <c r="E240">
        <f>IF($A240="","",INDEX('05_KAIS'!$K:$K,$A240))</f>
        <v/>
      </c>
      <c r="F240" s="202">
        <f>IF($A240="","",INDEX('05_KAIS'!$I:$I,$A240))</f>
        <v/>
      </c>
      <c r="G240" s="118">
        <f>IF($A240="","",INDEX('05_KAIS'!$L:$L,$A240))</f>
        <v/>
      </c>
      <c r="H240" s="118">
        <f>IF($A240="","",IFERROR(INDEX('05_KAIS'!$M:$M,$A240),IF(AND(E240&gt;0,G240&gt;0),G240/E240,"")))</f>
        <v/>
      </c>
      <c r="I240" s="202">
        <f>IF($A240="","",INDEX('05_KAIS'!$N:$N,$A240))</f>
        <v/>
      </c>
      <c r="J240">
        <f>IF(B240="","",IF('02_대상물건입력'!$B$5="",1,IF(ISNUMBER(SEARCH('02_대상물건입력'!$B$5,B240)),1,0)))</f>
        <v/>
      </c>
      <c r="K240">
        <f>IF(B240="","",IF('02_대상물건입력'!$B$6="",1,IF(ISNUMBER(SEARCH('02_대상물건입력'!$B$6,B240)),1,0)))</f>
        <v/>
      </c>
      <c r="L240">
        <f>IF(D240="","",IF('02_대상물건입력'!$B$8="",0,IF(ISNUMBER(SEARCH('02_대상물건입력'!$B$8,D240)),1,0)))</f>
        <v/>
      </c>
      <c r="M240">
        <f>IFERROR(ABS(E240-'02_대상물건입력'!$B$11)/'02_대상물건입력'!$B$11,"")</f>
        <v/>
      </c>
      <c r="N240">
        <f>IFERROR(ABS('01_설정'!$B$4-F240),"")</f>
        <v/>
      </c>
      <c r="O240">
        <f>IFERROR(ABS(YEAR(I240)-YEAR('02_대상물건입력'!$B$14)),"")</f>
        <v/>
      </c>
      <c r="P240">
        <f>IF(AND(E240&gt;0,F240&gt;0,G240&gt;0,IF('01_설정'!$B$10=1,J240=1,TRUE()),M240&lt;='01_설정'!$B$5,N240&lt;='01_설정'!$B$7,O240&lt;='01_설정'!$B$8),"Y","")</f>
        <v/>
      </c>
      <c r="Q240">
        <f>IF(P240&lt;&gt;"Y","",MAX(0,(1-M240/'01_설정'!$B$5))*'01_설정'!$B$14+MAX(0,(1-N240/'01_설정'!$B$7))*'01_설정'!$B$16+MAX(0,(1-O240/'01_설정'!$B$8))*'01_설정'!$B$17+K240*'01_설정'!$B$11+L240*'01_설정'!$B$12)</f>
        <v/>
      </c>
      <c r="R240">
        <f>IF(Q240="","",1+COUNTIFS($Q$31:$Q$1030,"&gt;"&amp;Q240)+COUNTIFS($Q$31:Q240,Q240)-1)</f>
        <v/>
      </c>
    </row>
    <row r="241" hidden="1" ht="16.5" customHeight="1">
      <c r="A241">
        <f>IF(COUNTA('05_KAIS'!$A229:$N229)=0,"",214)</f>
        <v/>
      </c>
      <c r="B241">
        <f>IF($A241="","",TRIM(INDEX('05_KAIS'!$B:$B,$A241)&amp;" "&amp;INDEX('05_KAIS'!$C:$C,$A241)))</f>
        <v/>
      </c>
      <c r="C241">
        <f>IF($A241="","",INDEX('05_KAIS'!$D:$D,$A241))</f>
        <v/>
      </c>
      <c r="D241">
        <f>IF($A241="","",INDEX('05_KAIS'!$H:$H,$A241))</f>
        <v/>
      </c>
      <c r="E241">
        <f>IF($A241="","",INDEX('05_KAIS'!$K:$K,$A241))</f>
        <v/>
      </c>
      <c r="F241" s="202">
        <f>IF($A241="","",INDEX('05_KAIS'!$I:$I,$A241))</f>
        <v/>
      </c>
      <c r="G241" s="118">
        <f>IF($A241="","",INDEX('05_KAIS'!$L:$L,$A241))</f>
        <v/>
      </c>
      <c r="H241" s="118">
        <f>IF($A241="","",IFERROR(INDEX('05_KAIS'!$M:$M,$A241),IF(AND(E241&gt;0,G241&gt;0),G241/E241,"")))</f>
        <v/>
      </c>
      <c r="I241" s="202">
        <f>IF($A241="","",INDEX('05_KAIS'!$N:$N,$A241))</f>
        <v/>
      </c>
      <c r="J241">
        <f>IF(B241="","",IF('02_대상물건입력'!$B$5="",1,IF(ISNUMBER(SEARCH('02_대상물건입력'!$B$5,B241)),1,0)))</f>
        <v/>
      </c>
      <c r="K241">
        <f>IF(B241="","",IF('02_대상물건입력'!$B$6="",1,IF(ISNUMBER(SEARCH('02_대상물건입력'!$B$6,B241)),1,0)))</f>
        <v/>
      </c>
      <c r="L241">
        <f>IF(D241="","",IF('02_대상물건입력'!$B$8="",0,IF(ISNUMBER(SEARCH('02_대상물건입력'!$B$8,D241)),1,0)))</f>
        <v/>
      </c>
      <c r="M241">
        <f>IFERROR(ABS(E241-'02_대상물건입력'!$B$11)/'02_대상물건입력'!$B$11,"")</f>
        <v/>
      </c>
      <c r="N241">
        <f>IFERROR(ABS('01_설정'!$B$4-F241),"")</f>
        <v/>
      </c>
      <c r="O241">
        <f>IFERROR(ABS(YEAR(I241)-YEAR('02_대상물건입력'!$B$14)),"")</f>
        <v/>
      </c>
      <c r="P241">
        <f>IF(AND(E241&gt;0,F241&gt;0,G241&gt;0,IF('01_설정'!$B$10=1,J241=1,TRUE()),M241&lt;='01_설정'!$B$5,N241&lt;='01_설정'!$B$7,O241&lt;='01_설정'!$B$8),"Y","")</f>
        <v/>
      </c>
      <c r="Q241">
        <f>IF(P241&lt;&gt;"Y","",MAX(0,(1-M241/'01_설정'!$B$5))*'01_설정'!$B$14+MAX(0,(1-N241/'01_설정'!$B$7))*'01_설정'!$B$16+MAX(0,(1-O241/'01_설정'!$B$8))*'01_설정'!$B$17+K241*'01_설정'!$B$11+L241*'01_설정'!$B$12)</f>
        <v/>
      </c>
      <c r="R241">
        <f>IF(Q241="","",1+COUNTIFS($Q$31:$Q$1030,"&gt;"&amp;Q241)+COUNTIFS($Q$31:Q241,Q241)-1)</f>
        <v/>
      </c>
    </row>
    <row r="242" hidden="1" ht="16.5" customHeight="1">
      <c r="A242">
        <f>IF(COUNTA('05_KAIS'!$A230:$N230)=0,"",215)</f>
        <v/>
      </c>
      <c r="B242">
        <f>IF($A242="","",TRIM(INDEX('05_KAIS'!$B:$B,$A242)&amp;" "&amp;INDEX('05_KAIS'!$C:$C,$A242)))</f>
        <v/>
      </c>
      <c r="C242">
        <f>IF($A242="","",INDEX('05_KAIS'!$D:$D,$A242))</f>
        <v/>
      </c>
      <c r="D242">
        <f>IF($A242="","",INDEX('05_KAIS'!$H:$H,$A242))</f>
        <v/>
      </c>
      <c r="E242">
        <f>IF($A242="","",INDEX('05_KAIS'!$K:$K,$A242))</f>
        <v/>
      </c>
      <c r="F242" s="202">
        <f>IF($A242="","",INDEX('05_KAIS'!$I:$I,$A242))</f>
        <v/>
      </c>
      <c r="G242" s="118">
        <f>IF($A242="","",INDEX('05_KAIS'!$L:$L,$A242))</f>
        <v/>
      </c>
      <c r="H242" s="118">
        <f>IF($A242="","",IFERROR(INDEX('05_KAIS'!$M:$M,$A242),IF(AND(E242&gt;0,G242&gt;0),G242/E242,"")))</f>
        <v/>
      </c>
      <c r="I242" s="202">
        <f>IF($A242="","",INDEX('05_KAIS'!$N:$N,$A242))</f>
        <v/>
      </c>
      <c r="J242">
        <f>IF(B242="","",IF('02_대상물건입력'!$B$5="",1,IF(ISNUMBER(SEARCH('02_대상물건입력'!$B$5,B242)),1,0)))</f>
        <v/>
      </c>
      <c r="K242">
        <f>IF(B242="","",IF('02_대상물건입력'!$B$6="",1,IF(ISNUMBER(SEARCH('02_대상물건입력'!$B$6,B242)),1,0)))</f>
        <v/>
      </c>
      <c r="L242">
        <f>IF(D242="","",IF('02_대상물건입력'!$B$8="",0,IF(ISNUMBER(SEARCH('02_대상물건입력'!$B$8,D242)),1,0)))</f>
        <v/>
      </c>
      <c r="M242">
        <f>IFERROR(ABS(E242-'02_대상물건입력'!$B$11)/'02_대상물건입력'!$B$11,"")</f>
        <v/>
      </c>
      <c r="N242">
        <f>IFERROR(ABS('01_설정'!$B$4-F242),"")</f>
        <v/>
      </c>
      <c r="O242">
        <f>IFERROR(ABS(YEAR(I242)-YEAR('02_대상물건입력'!$B$14)),"")</f>
        <v/>
      </c>
      <c r="P242">
        <f>IF(AND(E242&gt;0,F242&gt;0,G242&gt;0,IF('01_설정'!$B$10=1,J242=1,TRUE()),M242&lt;='01_설정'!$B$5,N242&lt;='01_설정'!$B$7,O242&lt;='01_설정'!$B$8),"Y","")</f>
        <v/>
      </c>
      <c r="Q242">
        <f>IF(P242&lt;&gt;"Y","",MAX(0,(1-M242/'01_설정'!$B$5))*'01_설정'!$B$14+MAX(0,(1-N242/'01_설정'!$B$7))*'01_설정'!$B$16+MAX(0,(1-O242/'01_설정'!$B$8))*'01_설정'!$B$17+K242*'01_설정'!$B$11+L242*'01_설정'!$B$12)</f>
        <v/>
      </c>
      <c r="R242">
        <f>IF(Q242="","",1+COUNTIFS($Q$31:$Q$1030,"&gt;"&amp;Q242)+COUNTIFS($Q$31:Q242,Q242)-1)</f>
        <v/>
      </c>
    </row>
    <row r="243" hidden="1" ht="16.5" customHeight="1">
      <c r="A243">
        <f>IF(COUNTA('05_KAIS'!$A231:$N231)=0,"",216)</f>
        <v/>
      </c>
      <c r="B243">
        <f>IF($A243="","",TRIM(INDEX('05_KAIS'!$B:$B,$A243)&amp;" "&amp;INDEX('05_KAIS'!$C:$C,$A243)))</f>
        <v/>
      </c>
      <c r="C243">
        <f>IF($A243="","",INDEX('05_KAIS'!$D:$D,$A243))</f>
        <v/>
      </c>
      <c r="D243">
        <f>IF($A243="","",INDEX('05_KAIS'!$H:$H,$A243))</f>
        <v/>
      </c>
      <c r="E243">
        <f>IF($A243="","",INDEX('05_KAIS'!$K:$K,$A243))</f>
        <v/>
      </c>
      <c r="F243" s="202">
        <f>IF($A243="","",INDEX('05_KAIS'!$I:$I,$A243))</f>
        <v/>
      </c>
      <c r="G243" s="118">
        <f>IF($A243="","",INDEX('05_KAIS'!$L:$L,$A243))</f>
        <v/>
      </c>
      <c r="H243" s="118">
        <f>IF($A243="","",IFERROR(INDEX('05_KAIS'!$M:$M,$A243),IF(AND(E243&gt;0,G243&gt;0),G243/E243,"")))</f>
        <v/>
      </c>
      <c r="I243" s="202">
        <f>IF($A243="","",INDEX('05_KAIS'!$N:$N,$A243))</f>
        <v/>
      </c>
      <c r="J243">
        <f>IF(B243="","",IF('02_대상물건입력'!$B$5="",1,IF(ISNUMBER(SEARCH('02_대상물건입력'!$B$5,B243)),1,0)))</f>
        <v/>
      </c>
      <c r="K243">
        <f>IF(B243="","",IF('02_대상물건입력'!$B$6="",1,IF(ISNUMBER(SEARCH('02_대상물건입력'!$B$6,B243)),1,0)))</f>
        <v/>
      </c>
      <c r="L243">
        <f>IF(D243="","",IF('02_대상물건입력'!$B$8="",0,IF(ISNUMBER(SEARCH('02_대상물건입력'!$B$8,D243)),1,0)))</f>
        <v/>
      </c>
      <c r="M243">
        <f>IFERROR(ABS(E243-'02_대상물건입력'!$B$11)/'02_대상물건입력'!$B$11,"")</f>
        <v/>
      </c>
      <c r="N243">
        <f>IFERROR(ABS('01_설정'!$B$4-F243),"")</f>
        <v/>
      </c>
      <c r="O243">
        <f>IFERROR(ABS(YEAR(I243)-YEAR('02_대상물건입력'!$B$14)),"")</f>
        <v/>
      </c>
      <c r="P243">
        <f>IF(AND(E243&gt;0,F243&gt;0,G243&gt;0,IF('01_설정'!$B$10=1,J243=1,TRUE()),M243&lt;='01_설정'!$B$5,N243&lt;='01_설정'!$B$7,O243&lt;='01_설정'!$B$8),"Y","")</f>
        <v/>
      </c>
      <c r="Q243">
        <f>IF(P243&lt;&gt;"Y","",MAX(0,(1-M243/'01_설정'!$B$5))*'01_설정'!$B$14+MAX(0,(1-N243/'01_설정'!$B$7))*'01_설정'!$B$16+MAX(0,(1-O243/'01_설정'!$B$8))*'01_설정'!$B$17+K243*'01_설정'!$B$11+L243*'01_설정'!$B$12)</f>
        <v/>
      </c>
      <c r="R243">
        <f>IF(Q243="","",1+COUNTIFS($Q$31:$Q$1030,"&gt;"&amp;Q243)+COUNTIFS($Q$31:Q243,Q243)-1)</f>
        <v/>
      </c>
    </row>
    <row r="244" hidden="1" ht="16.5" customHeight="1">
      <c r="A244">
        <f>IF(COUNTA('05_KAIS'!$A232:$N232)=0,"",217)</f>
        <v/>
      </c>
      <c r="B244">
        <f>IF($A244="","",TRIM(INDEX('05_KAIS'!$B:$B,$A244)&amp;" "&amp;INDEX('05_KAIS'!$C:$C,$A244)))</f>
        <v/>
      </c>
      <c r="C244">
        <f>IF($A244="","",INDEX('05_KAIS'!$D:$D,$A244))</f>
        <v/>
      </c>
      <c r="D244">
        <f>IF($A244="","",INDEX('05_KAIS'!$H:$H,$A244))</f>
        <v/>
      </c>
      <c r="E244">
        <f>IF($A244="","",INDEX('05_KAIS'!$K:$K,$A244))</f>
        <v/>
      </c>
      <c r="F244" s="202">
        <f>IF($A244="","",INDEX('05_KAIS'!$I:$I,$A244))</f>
        <v/>
      </c>
      <c r="G244" s="118">
        <f>IF($A244="","",INDEX('05_KAIS'!$L:$L,$A244))</f>
        <v/>
      </c>
      <c r="H244" s="118">
        <f>IF($A244="","",IFERROR(INDEX('05_KAIS'!$M:$M,$A244),IF(AND(E244&gt;0,G244&gt;0),G244/E244,"")))</f>
        <v/>
      </c>
      <c r="I244" s="202">
        <f>IF($A244="","",INDEX('05_KAIS'!$N:$N,$A244))</f>
        <v/>
      </c>
      <c r="J244">
        <f>IF(B244="","",IF('02_대상물건입력'!$B$5="",1,IF(ISNUMBER(SEARCH('02_대상물건입력'!$B$5,B244)),1,0)))</f>
        <v/>
      </c>
      <c r="K244">
        <f>IF(B244="","",IF('02_대상물건입력'!$B$6="",1,IF(ISNUMBER(SEARCH('02_대상물건입력'!$B$6,B244)),1,0)))</f>
        <v/>
      </c>
      <c r="L244">
        <f>IF(D244="","",IF('02_대상물건입력'!$B$8="",0,IF(ISNUMBER(SEARCH('02_대상물건입력'!$B$8,D244)),1,0)))</f>
        <v/>
      </c>
      <c r="M244">
        <f>IFERROR(ABS(E244-'02_대상물건입력'!$B$11)/'02_대상물건입력'!$B$11,"")</f>
        <v/>
      </c>
      <c r="N244">
        <f>IFERROR(ABS('01_설정'!$B$4-F244),"")</f>
        <v/>
      </c>
      <c r="O244">
        <f>IFERROR(ABS(YEAR(I244)-YEAR('02_대상물건입력'!$B$14)),"")</f>
        <v/>
      </c>
      <c r="P244">
        <f>IF(AND(E244&gt;0,F244&gt;0,G244&gt;0,IF('01_설정'!$B$10=1,J244=1,TRUE()),M244&lt;='01_설정'!$B$5,N244&lt;='01_설정'!$B$7,O244&lt;='01_설정'!$B$8),"Y","")</f>
        <v/>
      </c>
      <c r="Q244">
        <f>IF(P244&lt;&gt;"Y","",MAX(0,(1-M244/'01_설정'!$B$5))*'01_설정'!$B$14+MAX(0,(1-N244/'01_설정'!$B$7))*'01_설정'!$B$16+MAX(0,(1-O244/'01_설정'!$B$8))*'01_설정'!$B$17+K244*'01_설정'!$B$11+L244*'01_설정'!$B$12)</f>
        <v/>
      </c>
      <c r="R244">
        <f>IF(Q244="","",1+COUNTIFS($Q$31:$Q$1030,"&gt;"&amp;Q244)+COUNTIFS($Q$31:Q244,Q244)-1)</f>
        <v/>
      </c>
    </row>
    <row r="245" hidden="1" ht="16.5" customHeight="1">
      <c r="A245">
        <f>IF(COUNTA('05_KAIS'!$A233:$N233)=0,"",218)</f>
        <v/>
      </c>
      <c r="B245">
        <f>IF($A245="","",TRIM(INDEX('05_KAIS'!$B:$B,$A245)&amp;" "&amp;INDEX('05_KAIS'!$C:$C,$A245)))</f>
        <v/>
      </c>
      <c r="C245">
        <f>IF($A245="","",INDEX('05_KAIS'!$D:$D,$A245))</f>
        <v/>
      </c>
      <c r="D245">
        <f>IF($A245="","",INDEX('05_KAIS'!$H:$H,$A245))</f>
        <v/>
      </c>
      <c r="E245">
        <f>IF($A245="","",INDEX('05_KAIS'!$K:$K,$A245))</f>
        <v/>
      </c>
      <c r="F245" s="202">
        <f>IF($A245="","",INDEX('05_KAIS'!$I:$I,$A245))</f>
        <v/>
      </c>
      <c r="G245" s="118">
        <f>IF($A245="","",INDEX('05_KAIS'!$L:$L,$A245))</f>
        <v/>
      </c>
      <c r="H245" s="118">
        <f>IF($A245="","",IFERROR(INDEX('05_KAIS'!$M:$M,$A245),IF(AND(E245&gt;0,G245&gt;0),G245/E245,"")))</f>
        <v/>
      </c>
      <c r="I245" s="202">
        <f>IF($A245="","",INDEX('05_KAIS'!$N:$N,$A245))</f>
        <v/>
      </c>
      <c r="J245">
        <f>IF(B245="","",IF('02_대상물건입력'!$B$5="",1,IF(ISNUMBER(SEARCH('02_대상물건입력'!$B$5,B245)),1,0)))</f>
        <v/>
      </c>
      <c r="K245">
        <f>IF(B245="","",IF('02_대상물건입력'!$B$6="",1,IF(ISNUMBER(SEARCH('02_대상물건입력'!$B$6,B245)),1,0)))</f>
        <v/>
      </c>
      <c r="L245">
        <f>IF(D245="","",IF('02_대상물건입력'!$B$8="",0,IF(ISNUMBER(SEARCH('02_대상물건입력'!$B$8,D245)),1,0)))</f>
        <v/>
      </c>
      <c r="M245">
        <f>IFERROR(ABS(E245-'02_대상물건입력'!$B$11)/'02_대상물건입력'!$B$11,"")</f>
        <v/>
      </c>
      <c r="N245">
        <f>IFERROR(ABS('01_설정'!$B$4-F245),"")</f>
        <v/>
      </c>
      <c r="O245">
        <f>IFERROR(ABS(YEAR(I245)-YEAR('02_대상물건입력'!$B$14)),"")</f>
        <v/>
      </c>
      <c r="P245">
        <f>IF(AND(E245&gt;0,F245&gt;0,G245&gt;0,IF('01_설정'!$B$10=1,J245=1,TRUE()),M245&lt;='01_설정'!$B$5,N245&lt;='01_설정'!$B$7,O245&lt;='01_설정'!$B$8),"Y","")</f>
        <v/>
      </c>
      <c r="Q245">
        <f>IF(P245&lt;&gt;"Y","",MAX(0,(1-M245/'01_설정'!$B$5))*'01_설정'!$B$14+MAX(0,(1-N245/'01_설정'!$B$7))*'01_설정'!$B$16+MAX(0,(1-O245/'01_설정'!$B$8))*'01_설정'!$B$17+K245*'01_설정'!$B$11+L245*'01_설정'!$B$12)</f>
        <v/>
      </c>
      <c r="R245">
        <f>IF(Q245="","",1+COUNTIFS($Q$31:$Q$1030,"&gt;"&amp;Q245)+COUNTIFS($Q$31:Q245,Q245)-1)</f>
        <v/>
      </c>
    </row>
    <row r="246" hidden="1" ht="16.5" customHeight="1">
      <c r="A246">
        <f>IF(COUNTA('05_KAIS'!$A234:$N234)=0,"",219)</f>
        <v/>
      </c>
      <c r="B246">
        <f>IF($A246="","",TRIM(INDEX('05_KAIS'!$B:$B,$A246)&amp;" "&amp;INDEX('05_KAIS'!$C:$C,$A246)))</f>
        <v/>
      </c>
      <c r="C246">
        <f>IF($A246="","",INDEX('05_KAIS'!$D:$D,$A246))</f>
        <v/>
      </c>
      <c r="D246">
        <f>IF($A246="","",INDEX('05_KAIS'!$H:$H,$A246))</f>
        <v/>
      </c>
      <c r="E246">
        <f>IF($A246="","",INDEX('05_KAIS'!$K:$K,$A246))</f>
        <v/>
      </c>
      <c r="F246" s="202">
        <f>IF($A246="","",INDEX('05_KAIS'!$I:$I,$A246))</f>
        <v/>
      </c>
      <c r="G246" s="118">
        <f>IF($A246="","",INDEX('05_KAIS'!$L:$L,$A246))</f>
        <v/>
      </c>
      <c r="H246" s="118">
        <f>IF($A246="","",IFERROR(INDEX('05_KAIS'!$M:$M,$A246),IF(AND(E246&gt;0,G246&gt;0),G246/E246,"")))</f>
        <v/>
      </c>
      <c r="I246" s="202">
        <f>IF($A246="","",INDEX('05_KAIS'!$N:$N,$A246))</f>
        <v/>
      </c>
      <c r="J246">
        <f>IF(B246="","",IF('02_대상물건입력'!$B$5="",1,IF(ISNUMBER(SEARCH('02_대상물건입력'!$B$5,B246)),1,0)))</f>
        <v/>
      </c>
      <c r="K246">
        <f>IF(B246="","",IF('02_대상물건입력'!$B$6="",1,IF(ISNUMBER(SEARCH('02_대상물건입력'!$B$6,B246)),1,0)))</f>
        <v/>
      </c>
      <c r="L246">
        <f>IF(D246="","",IF('02_대상물건입력'!$B$8="",0,IF(ISNUMBER(SEARCH('02_대상물건입력'!$B$8,D246)),1,0)))</f>
        <v/>
      </c>
      <c r="M246">
        <f>IFERROR(ABS(E246-'02_대상물건입력'!$B$11)/'02_대상물건입력'!$B$11,"")</f>
        <v/>
      </c>
      <c r="N246">
        <f>IFERROR(ABS('01_설정'!$B$4-F246),"")</f>
        <v/>
      </c>
      <c r="O246">
        <f>IFERROR(ABS(YEAR(I246)-YEAR('02_대상물건입력'!$B$14)),"")</f>
        <v/>
      </c>
      <c r="P246">
        <f>IF(AND(E246&gt;0,F246&gt;0,G246&gt;0,IF('01_설정'!$B$10=1,J246=1,TRUE()),M246&lt;='01_설정'!$B$5,N246&lt;='01_설정'!$B$7,O246&lt;='01_설정'!$B$8),"Y","")</f>
        <v/>
      </c>
      <c r="Q246">
        <f>IF(P246&lt;&gt;"Y","",MAX(0,(1-M246/'01_설정'!$B$5))*'01_설정'!$B$14+MAX(0,(1-N246/'01_설정'!$B$7))*'01_설정'!$B$16+MAX(0,(1-O246/'01_설정'!$B$8))*'01_설정'!$B$17+K246*'01_설정'!$B$11+L246*'01_설정'!$B$12)</f>
        <v/>
      </c>
      <c r="R246">
        <f>IF(Q246="","",1+COUNTIFS($Q$31:$Q$1030,"&gt;"&amp;Q246)+COUNTIFS($Q$31:Q246,Q246)-1)</f>
        <v/>
      </c>
    </row>
    <row r="247" hidden="1" ht="16.5" customHeight="1">
      <c r="A247">
        <f>IF(COUNTA('05_KAIS'!$A235:$N235)=0,"",220)</f>
        <v/>
      </c>
      <c r="B247">
        <f>IF($A247="","",TRIM(INDEX('05_KAIS'!$B:$B,$A247)&amp;" "&amp;INDEX('05_KAIS'!$C:$C,$A247)))</f>
        <v/>
      </c>
      <c r="C247">
        <f>IF($A247="","",INDEX('05_KAIS'!$D:$D,$A247))</f>
        <v/>
      </c>
      <c r="D247">
        <f>IF($A247="","",INDEX('05_KAIS'!$H:$H,$A247))</f>
        <v/>
      </c>
      <c r="E247">
        <f>IF($A247="","",INDEX('05_KAIS'!$K:$K,$A247))</f>
        <v/>
      </c>
      <c r="F247" s="202">
        <f>IF($A247="","",INDEX('05_KAIS'!$I:$I,$A247))</f>
        <v/>
      </c>
      <c r="G247" s="118">
        <f>IF($A247="","",INDEX('05_KAIS'!$L:$L,$A247))</f>
        <v/>
      </c>
      <c r="H247" s="118">
        <f>IF($A247="","",IFERROR(INDEX('05_KAIS'!$M:$M,$A247),IF(AND(E247&gt;0,G247&gt;0),G247/E247,"")))</f>
        <v/>
      </c>
      <c r="I247" s="202">
        <f>IF($A247="","",INDEX('05_KAIS'!$N:$N,$A247))</f>
        <v/>
      </c>
      <c r="J247">
        <f>IF(B247="","",IF('02_대상물건입력'!$B$5="",1,IF(ISNUMBER(SEARCH('02_대상물건입력'!$B$5,B247)),1,0)))</f>
        <v/>
      </c>
      <c r="K247">
        <f>IF(B247="","",IF('02_대상물건입력'!$B$6="",1,IF(ISNUMBER(SEARCH('02_대상물건입력'!$B$6,B247)),1,0)))</f>
        <v/>
      </c>
      <c r="L247">
        <f>IF(D247="","",IF('02_대상물건입력'!$B$8="",0,IF(ISNUMBER(SEARCH('02_대상물건입력'!$B$8,D247)),1,0)))</f>
        <v/>
      </c>
      <c r="M247">
        <f>IFERROR(ABS(E247-'02_대상물건입력'!$B$11)/'02_대상물건입력'!$B$11,"")</f>
        <v/>
      </c>
      <c r="N247">
        <f>IFERROR(ABS('01_설정'!$B$4-F247),"")</f>
        <v/>
      </c>
      <c r="O247">
        <f>IFERROR(ABS(YEAR(I247)-YEAR('02_대상물건입력'!$B$14)),"")</f>
        <v/>
      </c>
      <c r="P247">
        <f>IF(AND(E247&gt;0,F247&gt;0,G247&gt;0,IF('01_설정'!$B$10=1,J247=1,TRUE()),M247&lt;='01_설정'!$B$5,N247&lt;='01_설정'!$B$7,O247&lt;='01_설정'!$B$8),"Y","")</f>
        <v/>
      </c>
      <c r="Q247">
        <f>IF(P247&lt;&gt;"Y","",MAX(0,(1-M247/'01_설정'!$B$5))*'01_설정'!$B$14+MAX(0,(1-N247/'01_설정'!$B$7))*'01_설정'!$B$16+MAX(0,(1-O247/'01_설정'!$B$8))*'01_설정'!$B$17+K247*'01_설정'!$B$11+L247*'01_설정'!$B$12)</f>
        <v/>
      </c>
      <c r="R247">
        <f>IF(Q247="","",1+COUNTIFS($Q$31:$Q$1030,"&gt;"&amp;Q247)+COUNTIFS($Q$31:Q247,Q247)-1)</f>
        <v/>
      </c>
    </row>
    <row r="248" hidden="1" ht="16.5" customHeight="1">
      <c r="A248">
        <f>IF(COUNTA('05_KAIS'!$A236:$N236)=0,"",221)</f>
        <v/>
      </c>
      <c r="B248">
        <f>IF($A248="","",TRIM(INDEX('05_KAIS'!$B:$B,$A248)&amp;" "&amp;INDEX('05_KAIS'!$C:$C,$A248)))</f>
        <v/>
      </c>
      <c r="C248">
        <f>IF($A248="","",INDEX('05_KAIS'!$D:$D,$A248))</f>
        <v/>
      </c>
      <c r="D248">
        <f>IF($A248="","",INDEX('05_KAIS'!$H:$H,$A248))</f>
        <v/>
      </c>
      <c r="E248">
        <f>IF($A248="","",INDEX('05_KAIS'!$K:$K,$A248))</f>
        <v/>
      </c>
      <c r="F248" s="202">
        <f>IF($A248="","",INDEX('05_KAIS'!$I:$I,$A248))</f>
        <v/>
      </c>
      <c r="G248" s="118">
        <f>IF($A248="","",INDEX('05_KAIS'!$L:$L,$A248))</f>
        <v/>
      </c>
      <c r="H248" s="118">
        <f>IF($A248="","",IFERROR(INDEX('05_KAIS'!$M:$M,$A248),IF(AND(E248&gt;0,G248&gt;0),G248/E248,"")))</f>
        <v/>
      </c>
      <c r="I248" s="202">
        <f>IF($A248="","",INDEX('05_KAIS'!$N:$N,$A248))</f>
        <v/>
      </c>
      <c r="J248">
        <f>IF(B248="","",IF('02_대상물건입력'!$B$5="",1,IF(ISNUMBER(SEARCH('02_대상물건입력'!$B$5,B248)),1,0)))</f>
        <v/>
      </c>
      <c r="K248">
        <f>IF(B248="","",IF('02_대상물건입력'!$B$6="",1,IF(ISNUMBER(SEARCH('02_대상물건입력'!$B$6,B248)),1,0)))</f>
        <v/>
      </c>
      <c r="L248">
        <f>IF(D248="","",IF('02_대상물건입력'!$B$8="",0,IF(ISNUMBER(SEARCH('02_대상물건입력'!$B$8,D248)),1,0)))</f>
        <v/>
      </c>
      <c r="M248">
        <f>IFERROR(ABS(E248-'02_대상물건입력'!$B$11)/'02_대상물건입력'!$B$11,"")</f>
        <v/>
      </c>
      <c r="N248">
        <f>IFERROR(ABS('01_설정'!$B$4-F248),"")</f>
        <v/>
      </c>
      <c r="O248">
        <f>IFERROR(ABS(YEAR(I248)-YEAR('02_대상물건입력'!$B$14)),"")</f>
        <v/>
      </c>
      <c r="P248">
        <f>IF(AND(E248&gt;0,F248&gt;0,G248&gt;0,IF('01_설정'!$B$10=1,J248=1,TRUE()),M248&lt;='01_설정'!$B$5,N248&lt;='01_설정'!$B$7,O248&lt;='01_설정'!$B$8),"Y","")</f>
        <v/>
      </c>
      <c r="Q248">
        <f>IF(P248&lt;&gt;"Y","",MAX(0,(1-M248/'01_설정'!$B$5))*'01_설정'!$B$14+MAX(0,(1-N248/'01_설정'!$B$7))*'01_설정'!$B$16+MAX(0,(1-O248/'01_설정'!$B$8))*'01_설정'!$B$17+K248*'01_설정'!$B$11+L248*'01_설정'!$B$12)</f>
        <v/>
      </c>
      <c r="R248">
        <f>IF(Q248="","",1+COUNTIFS($Q$31:$Q$1030,"&gt;"&amp;Q248)+COUNTIFS($Q$31:Q248,Q248)-1)</f>
        <v/>
      </c>
    </row>
    <row r="249" hidden="1" ht="16.5" customHeight="1">
      <c r="A249">
        <f>IF(COUNTA('05_KAIS'!$A237:$N237)=0,"",222)</f>
        <v/>
      </c>
      <c r="B249">
        <f>IF($A249="","",TRIM(INDEX('05_KAIS'!$B:$B,$A249)&amp;" "&amp;INDEX('05_KAIS'!$C:$C,$A249)))</f>
        <v/>
      </c>
      <c r="C249">
        <f>IF($A249="","",INDEX('05_KAIS'!$D:$D,$A249))</f>
        <v/>
      </c>
      <c r="D249">
        <f>IF($A249="","",INDEX('05_KAIS'!$H:$H,$A249))</f>
        <v/>
      </c>
      <c r="E249">
        <f>IF($A249="","",INDEX('05_KAIS'!$K:$K,$A249))</f>
        <v/>
      </c>
      <c r="F249" s="202">
        <f>IF($A249="","",INDEX('05_KAIS'!$I:$I,$A249))</f>
        <v/>
      </c>
      <c r="G249" s="118">
        <f>IF($A249="","",INDEX('05_KAIS'!$L:$L,$A249))</f>
        <v/>
      </c>
      <c r="H249" s="118">
        <f>IF($A249="","",IFERROR(INDEX('05_KAIS'!$M:$M,$A249),IF(AND(E249&gt;0,G249&gt;0),G249/E249,"")))</f>
        <v/>
      </c>
      <c r="I249" s="202">
        <f>IF($A249="","",INDEX('05_KAIS'!$N:$N,$A249))</f>
        <v/>
      </c>
      <c r="J249">
        <f>IF(B249="","",IF('02_대상물건입력'!$B$5="",1,IF(ISNUMBER(SEARCH('02_대상물건입력'!$B$5,B249)),1,0)))</f>
        <v/>
      </c>
      <c r="K249">
        <f>IF(B249="","",IF('02_대상물건입력'!$B$6="",1,IF(ISNUMBER(SEARCH('02_대상물건입력'!$B$6,B249)),1,0)))</f>
        <v/>
      </c>
      <c r="L249">
        <f>IF(D249="","",IF('02_대상물건입력'!$B$8="",0,IF(ISNUMBER(SEARCH('02_대상물건입력'!$B$8,D249)),1,0)))</f>
        <v/>
      </c>
      <c r="M249">
        <f>IFERROR(ABS(E249-'02_대상물건입력'!$B$11)/'02_대상물건입력'!$B$11,"")</f>
        <v/>
      </c>
      <c r="N249">
        <f>IFERROR(ABS('01_설정'!$B$4-F249),"")</f>
        <v/>
      </c>
      <c r="O249">
        <f>IFERROR(ABS(YEAR(I249)-YEAR('02_대상물건입력'!$B$14)),"")</f>
        <v/>
      </c>
      <c r="P249">
        <f>IF(AND(E249&gt;0,F249&gt;0,G249&gt;0,IF('01_설정'!$B$10=1,J249=1,TRUE()),M249&lt;='01_설정'!$B$5,N249&lt;='01_설정'!$B$7,O249&lt;='01_설정'!$B$8),"Y","")</f>
        <v/>
      </c>
      <c r="Q249">
        <f>IF(P249&lt;&gt;"Y","",MAX(0,(1-M249/'01_설정'!$B$5))*'01_설정'!$B$14+MAX(0,(1-N249/'01_설정'!$B$7))*'01_설정'!$B$16+MAX(0,(1-O249/'01_설정'!$B$8))*'01_설정'!$B$17+K249*'01_설정'!$B$11+L249*'01_설정'!$B$12)</f>
        <v/>
      </c>
      <c r="R249">
        <f>IF(Q249="","",1+COUNTIFS($Q$31:$Q$1030,"&gt;"&amp;Q249)+COUNTIFS($Q$31:Q249,Q249)-1)</f>
        <v/>
      </c>
    </row>
    <row r="250" hidden="1" ht="16.5" customHeight="1">
      <c r="A250">
        <f>IF(COUNTA('05_KAIS'!$A238:$N238)=0,"",223)</f>
        <v/>
      </c>
      <c r="B250">
        <f>IF($A250="","",TRIM(INDEX('05_KAIS'!$B:$B,$A250)&amp;" "&amp;INDEX('05_KAIS'!$C:$C,$A250)))</f>
        <v/>
      </c>
      <c r="C250">
        <f>IF($A250="","",INDEX('05_KAIS'!$D:$D,$A250))</f>
        <v/>
      </c>
      <c r="D250">
        <f>IF($A250="","",INDEX('05_KAIS'!$H:$H,$A250))</f>
        <v/>
      </c>
      <c r="E250">
        <f>IF($A250="","",INDEX('05_KAIS'!$K:$K,$A250))</f>
        <v/>
      </c>
      <c r="F250" s="202">
        <f>IF($A250="","",INDEX('05_KAIS'!$I:$I,$A250))</f>
        <v/>
      </c>
      <c r="G250" s="118">
        <f>IF($A250="","",INDEX('05_KAIS'!$L:$L,$A250))</f>
        <v/>
      </c>
      <c r="H250" s="118">
        <f>IF($A250="","",IFERROR(INDEX('05_KAIS'!$M:$M,$A250),IF(AND(E250&gt;0,G250&gt;0),G250/E250,"")))</f>
        <v/>
      </c>
      <c r="I250" s="202">
        <f>IF($A250="","",INDEX('05_KAIS'!$N:$N,$A250))</f>
        <v/>
      </c>
      <c r="J250">
        <f>IF(B250="","",IF('02_대상물건입력'!$B$5="",1,IF(ISNUMBER(SEARCH('02_대상물건입력'!$B$5,B250)),1,0)))</f>
        <v/>
      </c>
      <c r="K250">
        <f>IF(B250="","",IF('02_대상물건입력'!$B$6="",1,IF(ISNUMBER(SEARCH('02_대상물건입력'!$B$6,B250)),1,0)))</f>
        <v/>
      </c>
      <c r="L250">
        <f>IF(D250="","",IF('02_대상물건입력'!$B$8="",0,IF(ISNUMBER(SEARCH('02_대상물건입력'!$B$8,D250)),1,0)))</f>
        <v/>
      </c>
      <c r="M250">
        <f>IFERROR(ABS(E250-'02_대상물건입력'!$B$11)/'02_대상물건입력'!$B$11,"")</f>
        <v/>
      </c>
      <c r="N250">
        <f>IFERROR(ABS('01_설정'!$B$4-F250),"")</f>
        <v/>
      </c>
      <c r="O250">
        <f>IFERROR(ABS(YEAR(I250)-YEAR('02_대상물건입력'!$B$14)),"")</f>
        <v/>
      </c>
      <c r="P250">
        <f>IF(AND(E250&gt;0,F250&gt;0,G250&gt;0,IF('01_설정'!$B$10=1,J250=1,TRUE()),M250&lt;='01_설정'!$B$5,N250&lt;='01_설정'!$B$7,O250&lt;='01_설정'!$B$8),"Y","")</f>
        <v/>
      </c>
      <c r="Q250">
        <f>IF(P250&lt;&gt;"Y","",MAX(0,(1-M250/'01_설정'!$B$5))*'01_설정'!$B$14+MAX(0,(1-N250/'01_설정'!$B$7))*'01_설정'!$B$16+MAX(0,(1-O250/'01_설정'!$B$8))*'01_설정'!$B$17+K250*'01_설정'!$B$11+L250*'01_설정'!$B$12)</f>
        <v/>
      </c>
      <c r="R250">
        <f>IF(Q250="","",1+COUNTIFS($Q$31:$Q$1030,"&gt;"&amp;Q250)+COUNTIFS($Q$31:Q250,Q250)-1)</f>
        <v/>
      </c>
    </row>
    <row r="251" hidden="1" ht="16.5" customHeight="1">
      <c r="A251">
        <f>IF(COUNTA('05_KAIS'!$A239:$N239)=0,"",224)</f>
        <v/>
      </c>
      <c r="B251">
        <f>IF($A251="","",TRIM(INDEX('05_KAIS'!$B:$B,$A251)&amp;" "&amp;INDEX('05_KAIS'!$C:$C,$A251)))</f>
        <v/>
      </c>
      <c r="C251">
        <f>IF($A251="","",INDEX('05_KAIS'!$D:$D,$A251))</f>
        <v/>
      </c>
      <c r="D251">
        <f>IF($A251="","",INDEX('05_KAIS'!$H:$H,$A251))</f>
        <v/>
      </c>
      <c r="E251">
        <f>IF($A251="","",INDEX('05_KAIS'!$K:$K,$A251))</f>
        <v/>
      </c>
      <c r="F251" s="202">
        <f>IF($A251="","",INDEX('05_KAIS'!$I:$I,$A251))</f>
        <v/>
      </c>
      <c r="G251" s="118">
        <f>IF($A251="","",INDEX('05_KAIS'!$L:$L,$A251))</f>
        <v/>
      </c>
      <c r="H251" s="118">
        <f>IF($A251="","",IFERROR(INDEX('05_KAIS'!$M:$M,$A251),IF(AND(E251&gt;0,G251&gt;0),G251/E251,"")))</f>
        <v/>
      </c>
      <c r="I251" s="202">
        <f>IF($A251="","",INDEX('05_KAIS'!$N:$N,$A251))</f>
        <v/>
      </c>
      <c r="J251">
        <f>IF(B251="","",IF('02_대상물건입력'!$B$5="",1,IF(ISNUMBER(SEARCH('02_대상물건입력'!$B$5,B251)),1,0)))</f>
        <v/>
      </c>
      <c r="K251">
        <f>IF(B251="","",IF('02_대상물건입력'!$B$6="",1,IF(ISNUMBER(SEARCH('02_대상물건입력'!$B$6,B251)),1,0)))</f>
        <v/>
      </c>
      <c r="L251">
        <f>IF(D251="","",IF('02_대상물건입력'!$B$8="",0,IF(ISNUMBER(SEARCH('02_대상물건입력'!$B$8,D251)),1,0)))</f>
        <v/>
      </c>
      <c r="M251">
        <f>IFERROR(ABS(E251-'02_대상물건입력'!$B$11)/'02_대상물건입력'!$B$11,"")</f>
        <v/>
      </c>
      <c r="N251">
        <f>IFERROR(ABS('01_설정'!$B$4-F251),"")</f>
        <v/>
      </c>
      <c r="O251">
        <f>IFERROR(ABS(YEAR(I251)-YEAR('02_대상물건입력'!$B$14)),"")</f>
        <v/>
      </c>
      <c r="P251">
        <f>IF(AND(E251&gt;0,F251&gt;0,G251&gt;0,IF('01_설정'!$B$10=1,J251=1,TRUE()),M251&lt;='01_설정'!$B$5,N251&lt;='01_설정'!$B$7,O251&lt;='01_설정'!$B$8),"Y","")</f>
        <v/>
      </c>
      <c r="Q251">
        <f>IF(P251&lt;&gt;"Y","",MAX(0,(1-M251/'01_설정'!$B$5))*'01_설정'!$B$14+MAX(0,(1-N251/'01_설정'!$B$7))*'01_설정'!$B$16+MAX(0,(1-O251/'01_설정'!$B$8))*'01_설정'!$B$17+K251*'01_설정'!$B$11+L251*'01_설정'!$B$12)</f>
        <v/>
      </c>
      <c r="R251">
        <f>IF(Q251="","",1+COUNTIFS($Q$31:$Q$1030,"&gt;"&amp;Q251)+COUNTIFS($Q$31:Q251,Q251)-1)</f>
        <v/>
      </c>
    </row>
    <row r="252" hidden="1" ht="16.5" customHeight="1">
      <c r="A252">
        <f>IF(COUNTA('05_KAIS'!$A240:$N240)=0,"",225)</f>
        <v/>
      </c>
      <c r="B252">
        <f>IF($A252="","",TRIM(INDEX('05_KAIS'!$B:$B,$A252)&amp;" "&amp;INDEX('05_KAIS'!$C:$C,$A252)))</f>
        <v/>
      </c>
      <c r="C252">
        <f>IF($A252="","",INDEX('05_KAIS'!$D:$D,$A252))</f>
        <v/>
      </c>
      <c r="D252">
        <f>IF($A252="","",INDEX('05_KAIS'!$H:$H,$A252))</f>
        <v/>
      </c>
      <c r="E252">
        <f>IF($A252="","",INDEX('05_KAIS'!$K:$K,$A252))</f>
        <v/>
      </c>
      <c r="F252" s="202">
        <f>IF($A252="","",INDEX('05_KAIS'!$I:$I,$A252))</f>
        <v/>
      </c>
      <c r="G252" s="118">
        <f>IF($A252="","",INDEX('05_KAIS'!$L:$L,$A252))</f>
        <v/>
      </c>
      <c r="H252" s="118">
        <f>IF($A252="","",IFERROR(INDEX('05_KAIS'!$M:$M,$A252),IF(AND(E252&gt;0,G252&gt;0),G252/E252,"")))</f>
        <v/>
      </c>
      <c r="I252" s="202">
        <f>IF($A252="","",INDEX('05_KAIS'!$N:$N,$A252))</f>
        <v/>
      </c>
      <c r="J252">
        <f>IF(B252="","",IF('02_대상물건입력'!$B$5="",1,IF(ISNUMBER(SEARCH('02_대상물건입력'!$B$5,B252)),1,0)))</f>
        <v/>
      </c>
      <c r="K252">
        <f>IF(B252="","",IF('02_대상물건입력'!$B$6="",1,IF(ISNUMBER(SEARCH('02_대상물건입력'!$B$6,B252)),1,0)))</f>
        <v/>
      </c>
      <c r="L252">
        <f>IF(D252="","",IF('02_대상물건입력'!$B$8="",0,IF(ISNUMBER(SEARCH('02_대상물건입력'!$B$8,D252)),1,0)))</f>
        <v/>
      </c>
      <c r="M252">
        <f>IFERROR(ABS(E252-'02_대상물건입력'!$B$11)/'02_대상물건입력'!$B$11,"")</f>
        <v/>
      </c>
      <c r="N252">
        <f>IFERROR(ABS('01_설정'!$B$4-F252),"")</f>
        <v/>
      </c>
      <c r="O252">
        <f>IFERROR(ABS(YEAR(I252)-YEAR('02_대상물건입력'!$B$14)),"")</f>
        <v/>
      </c>
      <c r="P252">
        <f>IF(AND(E252&gt;0,F252&gt;0,G252&gt;0,IF('01_설정'!$B$10=1,J252=1,TRUE()),M252&lt;='01_설정'!$B$5,N252&lt;='01_설정'!$B$7,O252&lt;='01_설정'!$B$8),"Y","")</f>
        <v/>
      </c>
      <c r="Q252">
        <f>IF(P252&lt;&gt;"Y","",MAX(0,(1-M252/'01_설정'!$B$5))*'01_설정'!$B$14+MAX(0,(1-N252/'01_설정'!$B$7))*'01_설정'!$B$16+MAX(0,(1-O252/'01_설정'!$B$8))*'01_설정'!$B$17+K252*'01_설정'!$B$11+L252*'01_설정'!$B$12)</f>
        <v/>
      </c>
      <c r="R252">
        <f>IF(Q252="","",1+COUNTIFS($Q$31:$Q$1030,"&gt;"&amp;Q252)+COUNTIFS($Q$31:Q252,Q252)-1)</f>
        <v/>
      </c>
    </row>
    <row r="253" hidden="1" ht="16.5" customHeight="1">
      <c r="A253">
        <f>IF(COUNTA('05_KAIS'!$A241:$N241)=0,"",226)</f>
        <v/>
      </c>
      <c r="B253">
        <f>IF($A253="","",TRIM(INDEX('05_KAIS'!$B:$B,$A253)&amp;" "&amp;INDEX('05_KAIS'!$C:$C,$A253)))</f>
        <v/>
      </c>
      <c r="C253">
        <f>IF($A253="","",INDEX('05_KAIS'!$D:$D,$A253))</f>
        <v/>
      </c>
      <c r="D253">
        <f>IF($A253="","",INDEX('05_KAIS'!$H:$H,$A253))</f>
        <v/>
      </c>
      <c r="E253">
        <f>IF($A253="","",INDEX('05_KAIS'!$K:$K,$A253))</f>
        <v/>
      </c>
      <c r="F253" s="202">
        <f>IF($A253="","",INDEX('05_KAIS'!$I:$I,$A253))</f>
        <v/>
      </c>
      <c r="G253" s="118">
        <f>IF($A253="","",INDEX('05_KAIS'!$L:$L,$A253))</f>
        <v/>
      </c>
      <c r="H253" s="118">
        <f>IF($A253="","",IFERROR(INDEX('05_KAIS'!$M:$M,$A253),IF(AND(E253&gt;0,G253&gt;0),G253/E253,"")))</f>
        <v/>
      </c>
      <c r="I253" s="202">
        <f>IF($A253="","",INDEX('05_KAIS'!$N:$N,$A253))</f>
        <v/>
      </c>
      <c r="J253">
        <f>IF(B253="","",IF('02_대상물건입력'!$B$5="",1,IF(ISNUMBER(SEARCH('02_대상물건입력'!$B$5,B253)),1,0)))</f>
        <v/>
      </c>
      <c r="K253">
        <f>IF(B253="","",IF('02_대상물건입력'!$B$6="",1,IF(ISNUMBER(SEARCH('02_대상물건입력'!$B$6,B253)),1,0)))</f>
        <v/>
      </c>
      <c r="L253">
        <f>IF(D253="","",IF('02_대상물건입력'!$B$8="",0,IF(ISNUMBER(SEARCH('02_대상물건입력'!$B$8,D253)),1,0)))</f>
        <v/>
      </c>
      <c r="M253">
        <f>IFERROR(ABS(E253-'02_대상물건입력'!$B$11)/'02_대상물건입력'!$B$11,"")</f>
        <v/>
      </c>
      <c r="N253">
        <f>IFERROR(ABS('01_설정'!$B$4-F253),"")</f>
        <v/>
      </c>
      <c r="O253">
        <f>IFERROR(ABS(YEAR(I253)-YEAR('02_대상물건입력'!$B$14)),"")</f>
        <v/>
      </c>
      <c r="P253">
        <f>IF(AND(E253&gt;0,F253&gt;0,G253&gt;0,IF('01_설정'!$B$10=1,J253=1,TRUE()),M253&lt;='01_설정'!$B$5,N253&lt;='01_설정'!$B$7,O253&lt;='01_설정'!$B$8),"Y","")</f>
        <v/>
      </c>
      <c r="Q253">
        <f>IF(P253&lt;&gt;"Y","",MAX(0,(1-M253/'01_설정'!$B$5))*'01_설정'!$B$14+MAX(0,(1-N253/'01_설정'!$B$7))*'01_설정'!$B$16+MAX(0,(1-O253/'01_설정'!$B$8))*'01_설정'!$B$17+K253*'01_설정'!$B$11+L253*'01_설정'!$B$12)</f>
        <v/>
      </c>
      <c r="R253">
        <f>IF(Q253="","",1+COUNTIFS($Q$31:$Q$1030,"&gt;"&amp;Q253)+COUNTIFS($Q$31:Q253,Q253)-1)</f>
        <v/>
      </c>
    </row>
    <row r="254" hidden="1" ht="16.5" customHeight="1">
      <c r="A254">
        <f>IF(COUNTA('05_KAIS'!$A242:$N242)=0,"",227)</f>
        <v/>
      </c>
      <c r="B254">
        <f>IF($A254="","",TRIM(INDEX('05_KAIS'!$B:$B,$A254)&amp;" "&amp;INDEX('05_KAIS'!$C:$C,$A254)))</f>
        <v/>
      </c>
      <c r="C254">
        <f>IF($A254="","",INDEX('05_KAIS'!$D:$D,$A254))</f>
        <v/>
      </c>
      <c r="D254">
        <f>IF($A254="","",INDEX('05_KAIS'!$H:$H,$A254))</f>
        <v/>
      </c>
      <c r="E254">
        <f>IF($A254="","",INDEX('05_KAIS'!$K:$K,$A254))</f>
        <v/>
      </c>
      <c r="F254" s="202">
        <f>IF($A254="","",INDEX('05_KAIS'!$I:$I,$A254))</f>
        <v/>
      </c>
      <c r="G254" s="118">
        <f>IF($A254="","",INDEX('05_KAIS'!$L:$L,$A254))</f>
        <v/>
      </c>
      <c r="H254" s="118">
        <f>IF($A254="","",IFERROR(INDEX('05_KAIS'!$M:$M,$A254),IF(AND(E254&gt;0,G254&gt;0),G254/E254,"")))</f>
        <v/>
      </c>
      <c r="I254" s="202">
        <f>IF($A254="","",INDEX('05_KAIS'!$N:$N,$A254))</f>
        <v/>
      </c>
      <c r="J254">
        <f>IF(B254="","",IF('02_대상물건입력'!$B$5="",1,IF(ISNUMBER(SEARCH('02_대상물건입력'!$B$5,B254)),1,0)))</f>
        <v/>
      </c>
      <c r="K254">
        <f>IF(B254="","",IF('02_대상물건입력'!$B$6="",1,IF(ISNUMBER(SEARCH('02_대상물건입력'!$B$6,B254)),1,0)))</f>
        <v/>
      </c>
      <c r="L254">
        <f>IF(D254="","",IF('02_대상물건입력'!$B$8="",0,IF(ISNUMBER(SEARCH('02_대상물건입력'!$B$8,D254)),1,0)))</f>
        <v/>
      </c>
      <c r="M254">
        <f>IFERROR(ABS(E254-'02_대상물건입력'!$B$11)/'02_대상물건입력'!$B$11,"")</f>
        <v/>
      </c>
      <c r="N254">
        <f>IFERROR(ABS('01_설정'!$B$4-F254),"")</f>
        <v/>
      </c>
      <c r="O254">
        <f>IFERROR(ABS(YEAR(I254)-YEAR('02_대상물건입력'!$B$14)),"")</f>
        <v/>
      </c>
      <c r="P254">
        <f>IF(AND(E254&gt;0,F254&gt;0,G254&gt;0,IF('01_설정'!$B$10=1,J254=1,TRUE()),M254&lt;='01_설정'!$B$5,N254&lt;='01_설정'!$B$7,O254&lt;='01_설정'!$B$8),"Y","")</f>
        <v/>
      </c>
      <c r="Q254">
        <f>IF(P254&lt;&gt;"Y","",MAX(0,(1-M254/'01_설정'!$B$5))*'01_설정'!$B$14+MAX(0,(1-N254/'01_설정'!$B$7))*'01_설정'!$B$16+MAX(0,(1-O254/'01_설정'!$B$8))*'01_설정'!$B$17+K254*'01_설정'!$B$11+L254*'01_설정'!$B$12)</f>
        <v/>
      </c>
      <c r="R254">
        <f>IF(Q254="","",1+COUNTIFS($Q$31:$Q$1030,"&gt;"&amp;Q254)+COUNTIFS($Q$31:Q254,Q254)-1)</f>
        <v/>
      </c>
    </row>
    <row r="255" hidden="1" ht="16.5" customHeight="1">
      <c r="A255">
        <f>IF(COUNTA('05_KAIS'!$A243:$N243)=0,"",228)</f>
        <v/>
      </c>
      <c r="B255">
        <f>IF($A255="","",TRIM(INDEX('05_KAIS'!$B:$B,$A255)&amp;" "&amp;INDEX('05_KAIS'!$C:$C,$A255)))</f>
        <v/>
      </c>
      <c r="C255">
        <f>IF($A255="","",INDEX('05_KAIS'!$D:$D,$A255))</f>
        <v/>
      </c>
      <c r="D255">
        <f>IF($A255="","",INDEX('05_KAIS'!$H:$H,$A255))</f>
        <v/>
      </c>
      <c r="E255">
        <f>IF($A255="","",INDEX('05_KAIS'!$K:$K,$A255))</f>
        <v/>
      </c>
      <c r="F255" s="202">
        <f>IF($A255="","",INDEX('05_KAIS'!$I:$I,$A255))</f>
        <v/>
      </c>
      <c r="G255" s="118">
        <f>IF($A255="","",INDEX('05_KAIS'!$L:$L,$A255))</f>
        <v/>
      </c>
      <c r="H255" s="118">
        <f>IF($A255="","",IFERROR(INDEX('05_KAIS'!$M:$M,$A255),IF(AND(E255&gt;0,G255&gt;0),G255/E255,"")))</f>
        <v/>
      </c>
      <c r="I255" s="202">
        <f>IF($A255="","",INDEX('05_KAIS'!$N:$N,$A255))</f>
        <v/>
      </c>
      <c r="J255">
        <f>IF(B255="","",IF('02_대상물건입력'!$B$5="",1,IF(ISNUMBER(SEARCH('02_대상물건입력'!$B$5,B255)),1,0)))</f>
        <v/>
      </c>
      <c r="K255">
        <f>IF(B255="","",IF('02_대상물건입력'!$B$6="",1,IF(ISNUMBER(SEARCH('02_대상물건입력'!$B$6,B255)),1,0)))</f>
        <v/>
      </c>
      <c r="L255">
        <f>IF(D255="","",IF('02_대상물건입력'!$B$8="",0,IF(ISNUMBER(SEARCH('02_대상물건입력'!$B$8,D255)),1,0)))</f>
        <v/>
      </c>
      <c r="M255">
        <f>IFERROR(ABS(E255-'02_대상물건입력'!$B$11)/'02_대상물건입력'!$B$11,"")</f>
        <v/>
      </c>
      <c r="N255">
        <f>IFERROR(ABS('01_설정'!$B$4-F255),"")</f>
        <v/>
      </c>
      <c r="O255">
        <f>IFERROR(ABS(YEAR(I255)-YEAR('02_대상물건입력'!$B$14)),"")</f>
        <v/>
      </c>
      <c r="P255">
        <f>IF(AND(E255&gt;0,F255&gt;0,G255&gt;0,IF('01_설정'!$B$10=1,J255=1,TRUE()),M255&lt;='01_설정'!$B$5,N255&lt;='01_설정'!$B$7,O255&lt;='01_설정'!$B$8),"Y","")</f>
        <v/>
      </c>
      <c r="Q255">
        <f>IF(P255&lt;&gt;"Y","",MAX(0,(1-M255/'01_설정'!$B$5))*'01_설정'!$B$14+MAX(0,(1-N255/'01_설정'!$B$7))*'01_설정'!$B$16+MAX(0,(1-O255/'01_설정'!$B$8))*'01_설정'!$B$17+K255*'01_설정'!$B$11+L255*'01_설정'!$B$12)</f>
        <v/>
      </c>
      <c r="R255">
        <f>IF(Q255="","",1+COUNTIFS($Q$31:$Q$1030,"&gt;"&amp;Q255)+COUNTIFS($Q$31:Q255,Q255)-1)</f>
        <v/>
      </c>
    </row>
    <row r="256" hidden="1" ht="16.5" customHeight="1">
      <c r="A256">
        <f>IF(COUNTA('05_KAIS'!$A244:$N244)=0,"",229)</f>
        <v/>
      </c>
      <c r="B256">
        <f>IF($A256="","",TRIM(INDEX('05_KAIS'!$B:$B,$A256)&amp;" "&amp;INDEX('05_KAIS'!$C:$C,$A256)))</f>
        <v/>
      </c>
      <c r="C256">
        <f>IF($A256="","",INDEX('05_KAIS'!$D:$D,$A256))</f>
        <v/>
      </c>
      <c r="D256">
        <f>IF($A256="","",INDEX('05_KAIS'!$H:$H,$A256))</f>
        <v/>
      </c>
      <c r="E256">
        <f>IF($A256="","",INDEX('05_KAIS'!$K:$K,$A256))</f>
        <v/>
      </c>
      <c r="F256" s="202">
        <f>IF($A256="","",INDEX('05_KAIS'!$I:$I,$A256))</f>
        <v/>
      </c>
      <c r="G256" s="118">
        <f>IF($A256="","",INDEX('05_KAIS'!$L:$L,$A256))</f>
        <v/>
      </c>
      <c r="H256" s="118">
        <f>IF($A256="","",IFERROR(INDEX('05_KAIS'!$M:$M,$A256),IF(AND(E256&gt;0,G256&gt;0),G256/E256,"")))</f>
        <v/>
      </c>
      <c r="I256" s="202">
        <f>IF($A256="","",INDEX('05_KAIS'!$N:$N,$A256))</f>
        <v/>
      </c>
      <c r="J256">
        <f>IF(B256="","",IF('02_대상물건입력'!$B$5="",1,IF(ISNUMBER(SEARCH('02_대상물건입력'!$B$5,B256)),1,0)))</f>
        <v/>
      </c>
      <c r="K256">
        <f>IF(B256="","",IF('02_대상물건입력'!$B$6="",1,IF(ISNUMBER(SEARCH('02_대상물건입력'!$B$6,B256)),1,0)))</f>
        <v/>
      </c>
      <c r="L256">
        <f>IF(D256="","",IF('02_대상물건입력'!$B$8="",0,IF(ISNUMBER(SEARCH('02_대상물건입력'!$B$8,D256)),1,0)))</f>
        <v/>
      </c>
      <c r="M256">
        <f>IFERROR(ABS(E256-'02_대상물건입력'!$B$11)/'02_대상물건입력'!$B$11,"")</f>
        <v/>
      </c>
      <c r="N256">
        <f>IFERROR(ABS('01_설정'!$B$4-F256),"")</f>
        <v/>
      </c>
      <c r="O256">
        <f>IFERROR(ABS(YEAR(I256)-YEAR('02_대상물건입력'!$B$14)),"")</f>
        <v/>
      </c>
      <c r="P256">
        <f>IF(AND(E256&gt;0,F256&gt;0,G256&gt;0,IF('01_설정'!$B$10=1,J256=1,TRUE()),M256&lt;='01_설정'!$B$5,N256&lt;='01_설정'!$B$7,O256&lt;='01_설정'!$B$8),"Y","")</f>
        <v/>
      </c>
      <c r="Q256">
        <f>IF(P256&lt;&gt;"Y","",MAX(0,(1-M256/'01_설정'!$B$5))*'01_설정'!$B$14+MAX(0,(1-N256/'01_설정'!$B$7))*'01_설정'!$B$16+MAX(0,(1-O256/'01_설정'!$B$8))*'01_설정'!$B$17+K256*'01_설정'!$B$11+L256*'01_설정'!$B$12)</f>
        <v/>
      </c>
      <c r="R256">
        <f>IF(Q256="","",1+COUNTIFS($Q$31:$Q$1030,"&gt;"&amp;Q256)+COUNTIFS($Q$31:Q256,Q256)-1)</f>
        <v/>
      </c>
    </row>
    <row r="257" hidden="1" ht="16.5" customHeight="1">
      <c r="A257">
        <f>IF(COUNTA('05_KAIS'!$A245:$N245)=0,"",230)</f>
        <v/>
      </c>
      <c r="B257">
        <f>IF($A257="","",TRIM(INDEX('05_KAIS'!$B:$B,$A257)&amp;" "&amp;INDEX('05_KAIS'!$C:$C,$A257)))</f>
        <v/>
      </c>
      <c r="C257">
        <f>IF($A257="","",INDEX('05_KAIS'!$D:$D,$A257))</f>
        <v/>
      </c>
      <c r="D257">
        <f>IF($A257="","",INDEX('05_KAIS'!$H:$H,$A257))</f>
        <v/>
      </c>
      <c r="E257">
        <f>IF($A257="","",INDEX('05_KAIS'!$K:$K,$A257))</f>
        <v/>
      </c>
      <c r="F257" s="202">
        <f>IF($A257="","",INDEX('05_KAIS'!$I:$I,$A257))</f>
        <v/>
      </c>
      <c r="G257" s="118">
        <f>IF($A257="","",INDEX('05_KAIS'!$L:$L,$A257))</f>
        <v/>
      </c>
      <c r="H257" s="118">
        <f>IF($A257="","",IFERROR(INDEX('05_KAIS'!$M:$M,$A257),IF(AND(E257&gt;0,G257&gt;0),G257/E257,"")))</f>
        <v/>
      </c>
      <c r="I257" s="202">
        <f>IF($A257="","",INDEX('05_KAIS'!$N:$N,$A257))</f>
        <v/>
      </c>
      <c r="J257">
        <f>IF(B257="","",IF('02_대상물건입력'!$B$5="",1,IF(ISNUMBER(SEARCH('02_대상물건입력'!$B$5,B257)),1,0)))</f>
        <v/>
      </c>
      <c r="K257">
        <f>IF(B257="","",IF('02_대상물건입력'!$B$6="",1,IF(ISNUMBER(SEARCH('02_대상물건입력'!$B$6,B257)),1,0)))</f>
        <v/>
      </c>
      <c r="L257">
        <f>IF(D257="","",IF('02_대상물건입력'!$B$8="",0,IF(ISNUMBER(SEARCH('02_대상물건입력'!$B$8,D257)),1,0)))</f>
        <v/>
      </c>
      <c r="M257">
        <f>IFERROR(ABS(E257-'02_대상물건입력'!$B$11)/'02_대상물건입력'!$B$11,"")</f>
        <v/>
      </c>
      <c r="N257">
        <f>IFERROR(ABS('01_설정'!$B$4-F257),"")</f>
        <v/>
      </c>
      <c r="O257">
        <f>IFERROR(ABS(YEAR(I257)-YEAR('02_대상물건입력'!$B$14)),"")</f>
        <v/>
      </c>
      <c r="P257">
        <f>IF(AND(E257&gt;0,F257&gt;0,G257&gt;0,IF('01_설정'!$B$10=1,J257=1,TRUE()),M257&lt;='01_설정'!$B$5,N257&lt;='01_설정'!$B$7,O257&lt;='01_설정'!$B$8),"Y","")</f>
        <v/>
      </c>
      <c r="Q257">
        <f>IF(P257&lt;&gt;"Y","",MAX(0,(1-M257/'01_설정'!$B$5))*'01_설정'!$B$14+MAX(0,(1-N257/'01_설정'!$B$7))*'01_설정'!$B$16+MAX(0,(1-O257/'01_설정'!$B$8))*'01_설정'!$B$17+K257*'01_설정'!$B$11+L257*'01_설정'!$B$12)</f>
        <v/>
      </c>
      <c r="R257">
        <f>IF(Q257="","",1+COUNTIFS($Q$31:$Q$1030,"&gt;"&amp;Q257)+COUNTIFS($Q$31:Q257,Q257)-1)</f>
        <v/>
      </c>
    </row>
    <row r="258" hidden="1" ht="16.5" customHeight="1">
      <c r="A258">
        <f>IF(COUNTA('05_KAIS'!$A246:$N246)=0,"",231)</f>
        <v/>
      </c>
      <c r="B258">
        <f>IF($A258="","",TRIM(INDEX('05_KAIS'!$B:$B,$A258)&amp;" "&amp;INDEX('05_KAIS'!$C:$C,$A258)))</f>
        <v/>
      </c>
      <c r="C258">
        <f>IF($A258="","",INDEX('05_KAIS'!$D:$D,$A258))</f>
        <v/>
      </c>
      <c r="D258">
        <f>IF($A258="","",INDEX('05_KAIS'!$H:$H,$A258))</f>
        <v/>
      </c>
      <c r="E258">
        <f>IF($A258="","",INDEX('05_KAIS'!$K:$K,$A258))</f>
        <v/>
      </c>
      <c r="F258" s="202">
        <f>IF($A258="","",INDEX('05_KAIS'!$I:$I,$A258))</f>
        <v/>
      </c>
      <c r="G258" s="118">
        <f>IF($A258="","",INDEX('05_KAIS'!$L:$L,$A258))</f>
        <v/>
      </c>
      <c r="H258" s="118">
        <f>IF($A258="","",IFERROR(INDEX('05_KAIS'!$M:$M,$A258),IF(AND(E258&gt;0,G258&gt;0),G258/E258,"")))</f>
        <v/>
      </c>
      <c r="I258" s="202">
        <f>IF($A258="","",INDEX('05_KAIS'!$N:$N,$A258))</f>
        <v/>
      </c>
      <c r="J258">
        <f>IF(B258="","",IF('02_대상물건입력'!$B$5="",1,IF(ISNUMBER(SEARCH('02_대상물건입력'!$B$5,B258)),1,0)))</f>
        <v/>
      </c>
      <c r="K258">
        <f>IF(B258="","",IF('02_대상물건입력'!$B$6="",1,IF(ISNUMBER(SEARCH('02_대상물건입력'!$B$6,B258)),1,0)))</f>
        <v/>
      </c>
      <c r="L258">
        <f>IF(D258="","",IF('02_대상물건입력'!$B$8="",0,IF(ISNUMBER(SEARCH('02_대상물건입력'!$B$8,D258)),1,0)))</f>
        <v/>
      </c>
      <c r="M258">
        <f>IFERROR(ABS(E258-'02_대상물건입력'!$B$11)/'02_대상물건입력'!$B$11,"")</f>
        <v/>
      </c>
      <c r="N258">
        <f>IFERROR(ABS('01_설정'!$B$4-F258),"")</f>
        <v/>
      </c>
      <c r="O258">
        <f>IFERROR(ABS(YEAR(I258)-YEAR('02_대상물건입력'!$B$14)),"")</f>
        <v/>
      </c>
      <c r="P258">
        <f>IF(AND(E258&gt;0,F258&gt;0,G258&gt;0,IF('01_설정'!$B$10=1,J258=1,TRUE()),M258&lt;='01_설정'!$B$5,N258&lt;='01_설정'!$B$7,O258&lt;='01_설정'!$B$8),"Y","")</f>
        <v/>
      </c>
      <c r="Q258">
        <f>IF(P258&lt;&gt;"Y","",MAX(0,(1-M258/'01_설정'!$B$5))*'01_설정'!$B$14+MAX(0,(1-N258/'01_설정'!$B$7))*'01_설정'!$B$16+MAX(0,(1-O258/'01_설정'!$B$8))*'01_설정'!$B$17+K258*'01_설정'!$B$11+L258*'01_설정'!$B$12)</f>
        <v/>
      </c>
      <c r="R258">
        <f>IF(Q258="","",1+COUNTIFS($Q$31:$Q$1030,"&gt;"&amp;Q258)+COUNTIFS($Q$31:Q258,Q258)-1)</f>
        <v/>
      </c>
    </row>
    <row r="259" hidden="1" ht="16.5" customHeight="1">
      <c r="A259">
        <f>IF(COUNTA('05_KAIS'!$A247:$N247)=0,"",232)</f>
        <v/>
      </c>
      <c r="B259">
        <f>IF($A259="","",TRIM(INDEX('05_KAIS'!$B:$B,$A259)&amp;" "&amp;INDEX('05_KAIS'!$C:$C,$A259)))</f>
        <v/>
      </c>
      <c r="C259">
        <f>IF($A259="","",INDEX('05_KAIS'!$D:$D,$A259))</f>
        <v/>
      </c>
      <c r="D259">
        <f>IF($A259="","",INDEX('05_KAIS'!$H:$H,$A259))</f>
        <v/>
      </c>
      <c r="E259">
        <f>IF($A259="","",INDEX('05_KAIS'!$K:$K,$A259))</f>
        <v/>
      </c>
      <c r="F259" s="202">
        <f>IF($A259="","",INDEX('05_KAIS'!$I:$I,$A259))</f>
        <v/>
      </c>
      <c r="G259" s="118">
        <f>IF($A259="","",INDEX('05_KAIS'!$L:$L,$A259))</f>
        <v/>
      </c>
      <c r="H259" s="118">
        <f>IF($A259="","",IFERROR(INDEX('05_KAIS'!$M:$M,$A259),IF(AND(E259&gt;0,G259&gt;0),G259/E259,"")))</f>
        <v/>
      </c>
      <c r="I259" s="202">
        <f>IF($A259="","",INDEX('05_KAIS'!$N:$N,$A259))</f>
        <v/>
      </c>
      <c r="J259">
        <f>IF(B259="","",IF('02_대상물건입력'!$B$5="",1,IF(ISNUMBER(SEARCH('02_대상물건입력'!$B$5,B259)),1,0)))</f>
        <v/>
      </c>
      <c r="K259">
        <f>IF(B259="","",IF('02_대상물건입력'!$B$6="",1,IF(ISNUMBER(SEARCH('02_대상물건입력'!$B$6,B259)),1,0)))</f>
        <v/>
      </c>
      <c r="L259">
        <f>IF(D259="","",IF('02_대상물건입력'!$B$8="",0,IF(ISNUMBER(SEARCH('02_대상물건입력'!$B$8,D259)),1,0)))</f>
        <v/>
      </c>
      <c r="M259">
        <f>IFERROR(ABS(E259-'02_대상물건입력'!$B$11)/'02_대상물건입력'!$B$11,"")</f>
        <v/>
      </c>
      <c r="N259">
        <f>IFERROR(ABS('01_설정'!$B$4-F259),"")</f>
        <v/>
      </c>
      <c r="O259">
        <f>IFERROR(ABS(YEAR(I259)-YEAR('02_대상물건입력'!$B$14)),"")</f>
        <v/>
      </c>
      <c r="P259">
        <f>IF(AND(E259&gt;0,F259&gt;0,G259&gt;0,IF('01_설정'!$B$10=1,J259=1,TRUE()),M259&lt;='01_설정'!$B$5,N259&lt;='01_설정'!$B$7,O259&lt;='01_설정'!$B$8),"Y","")</f>
        <v/>
      </c>
      <c r="Q259">
        <f>IF(P259&lt;&gt;"Y","",MAX(0,(1-M259/'01_설정'!$B$5))*'01_설정'!$B$14+MAX(0,(1-N259/'01_설정'!$B$7))*'01_설정'!$B$16+MAX(0,(1-O259/'01_설정'!$B$8))*'01_설정'!$B$17+K259*'01_설정'!$B$11+L259*'01_설정'!$B$12)</f>
        <v/>
      </c>
      <c r="R259">
        <f>IF(Q259="","",1+COUNTIFS($Q$31:$Q$1030,"&gt;"&amp;Q259)+COUNTIFS($Q$31:Q259,Q259)-1)</f>
        <v/>
      </c>
    </row>
    <row r="260" hidden="1" ht="16.5" customHeight="1">
      <c r="A260">
        <f>IF(COUNTA('05_KAIS'!$A248:$N248)=0,"",233)</f>
        <v/>
      </c>
      <c r="B260">
        <f>IF($A260="","",TRIM(INDEX('05_KAIS'!$B:$B,$A260)&amp;" "&amp;INDEX('05_KAIS'!$C:$C,$A260)))</f>
        <v/>
      </c>
      <c r="C260">
        <f>IF($A260="","",INDEX('05_KAIS'!$D:$D,$A260))</f>
        <v/>
      </c>
      <c r="D260">
        <f>IF($A260="","",INDEX('05_KAIS'!$H:$H,$A260))</f>
        <v/>
      </c>
      <c r="E260">
        <f>IF($A260="","",INDEX('05_KAIS'!$K:$K,$A260))</f>
        <v/>
      </c>
      <c r="F260" s="202">
        <f>IF($A260="","",INDEX('05_KAIS'!$I:$I,$A260))</f>
        <v/>
      </c>
      <c r="G260" s="118">
        <f>IF($A260="","",INDEX('05_KAIS'!$L:$L,$A260))</f>
        <v/>
      </c>
      <c r="H260" s="118">
        <f>IF($A260="","",IFERROR(INDEX('05_KAIS'!$M:$M,$A260),IF(AND(E260&gt;0,G260&gt;0),G260/E260,"")))</f>
        <v/>
      </c>
      <c r="I260" s="202">
        <f>IF($A260="","",INDEX('05_KAIS'!$N:$N,$A260))</f>
        <v/>
      </c>
      <c r="J260">
        <f>IF(B260="","",IF('02_대상물건입력'!$B$5="",1,IF(ISNUMBER(SEARCH('02_대상물건입력'!$B$5,B260)),1,0)))</f>
        <v/>
      </c>
      <c r="K260">
        <f>IF(B260="","",IF('02_대상물건입력'!$B$6="",1,IF(ISNUMBER(SEARCH('02_대상물건입력'!$B$6,B260)),1,0)))</f>
        <v/>
      </c>
      <c r="L260">
        <f>IF(D260="","",IF('02_대상물건입력'!$B$8="",0,IF(ISNUMBER(SEARCH('02_대상물건입력'!$B$8,D260)),1,0)))</f>
        <v/>
      </c>
      <c r="M260">
        <f>IFERROR(ABS(E260-'02_대상물건입력'!$B$11)/'02_대상물건입력'!$B$11,"")</f>
        <v/>
      </c>
      <c r="N260">
        <f>IFERROR(ABS('01_설정'!$B$4-F260),"")</f>
        <v/>
      </c>
      <c r="O260">
        <f>IFERROR(ABS(YEAR(I260)-YEAR('02_대상물건입력'!$B$14)),"")</f>
        <v/>
      </c>
      <c r="P260">
        <f>IF(AND(E260&gt;0,F260&gt;0,G260&gt;0,IF('01_설정'!$B$10=1,J260=1,TRUE()),M260&lt;='01_설정'!$B$5,N260&lt;='01_설정'!$B$7,O260&lt;='01_설정'!$B$8),"Y","")</f>
        <v/>
      </c>
      <c r="Q260">
        <f>IF(P260&lt;&gt;"Y","",MAX(0,(1-M260/'01_설정'!$B$5))*'01_설정'!$B$14+MAX(0,(1-N260/'01_설정'!$B$7))*'01_설정'!$B$16+MAX(0,(1-O260/'01_설정'!$B$8))*'01_설정'!$B$17+K260*'01_설정'!$B$11+L260*'01_설정'!$B$12)</f>
        <v/>
      </c>
      <c r="R260">
        <f>IF(Q260="","",1+COUNTIFS($Q$31:$Q$1030,"&gt;"&amp;Q260)+COUNTIFS($Q$31:Q260,Q260)-1)</f>
        <v/>
      </c>
    </row>
    <row r="261" hidden="1" ht="16.5" customHeight="1">
      <c r="A261">
        <f>IF(COUNTA('05_KAIS'!$A249:$N249)=0,"",234)</f>
        <v/>
      </c>
      <c r="B261">
        <f>IF($A261="","",TRIM(INDEX('05_KAIS'!$B:$B,$A261)&amp;" "&amp;INDEX('05_KAIS'!$C:$C,$A261)))</f>
        <v/>
      </c>
      <c r="C261">
        <f>IF($A261="","",INDEX('05_KAIS'!$D:$D,$A261))</f>
        <v/>
      </c>
      <c r="D261">
        <f>IF($A261="","",INDEX('05_KAIS'!$H:$H,$A261))</f>
        <v/>
      </c>
      <c r="E261">
        <f>IF($A261="","",INDEX('05_KAIS'!$K:$K,$A261))</f>
        <v/>
      </c>
      <c r="F261" s="202">
        <f>IF($A261="","",INDEX('05_KAIS'!$I:$I,$A261))</f>
        <v/>
      </c>
      <c r="G261" s="118">
        <f>IF($A261="","",INDEX('05_KAIS'!$L:$L,$A261))</f>
        <v/>
      </c>
      <c r="H261" s="118">
        <f>IF($A261="","",IFERROR(INDEX('05_KAIS'!$M:$M,$A261),IF(AND(E261&gt;0,G261&gt;0),G261/E261,"")))</f>
        <v/>
      </c>
      <c r="I261" s="202">
        <f>IF($A261="","",INDEX('05_KAIS'!$N:$N,$A261))</f>
        <v/>
      </c>
      <c r="J261">
        <f>IF(B261="","",IF('02_대상물건입력'!$B$5="",1,IF(ISNUMBER(SEARCH('02_대상물건입력'!$B$5,B261)),1,0)))</f>
        <v/>
      </c>
      <c r="K261">
        <f>IF(B261="","",IF('02_대상물건입력'!$B$6="",1,IF(ISNUMBER(SEARCH('02_대상물건입력'!$B$6,B261)),1,0)))</f>
        <v/>
      </c>
      <c r="L261">
        <f>IF(D261="","",IF('02_대상물건입력'!$B$8="",0,IF(ISNUMBER(SEARCH('02_대상물건입력'!$B$8,D261)),1,0)))</f>
        <v/>
      </c>
      <c r="M261">
        <f>IFERROR(ABS(E261-'02_대상물건입력'!$B$11)/'02_대상물건입력'!$B$11,"")</f>
        <v/>
      </c>
      <c r="N261">
        <f>IFERROR(ABS('01_설정'!$B$4-F261),"")</f>
        <v/>
      </c>
      <c r="O261">
        <f>IFERROR(ABS(YEAR(I261)-YEAR('02_대상물건입력'!$B$14)),"")</f>
        <v/>
      </c>
      <c r="P261">
        <f>IF(AND(E261&gt;0,F261&gt;0,G261&gt;0,IF('01_설정'!$B$10=1,J261=1,TRUE()),M261&lt;='01_설정'!$B$5,N261&lt;='01_설정'!$B$7,O261&lt;='01_설정'!$B$8),"Y","")</f>
        <v/>
      </c>
      <c r="Q261">
        <f>IF(P261&lt;&gt;"Y","",MAX(0,(1-M261/'01_설정'!$B$5))*'01_설정'!$B$14+MAX(0,(1-N261/'01_설정'!$B$7))*'01_설정'!$B$16+MAX(0,(1-O261/'01_설정'!$B$8))*'01_설정'!$B$17+K261*'01_설정'!$B$11+L261*'01_설정'!$B$12)</f>
        <v/>
      </c>
      <c r="R261">
        <f>IF(Q261="","",1+COUNTIFS($Q$31:$Q$1030,"&gt;"&amp;Q261)+COUNTIFS($Q$31:Q261,Q261)-1)</f>
        <v/>
      </c>
    </row>
    <row r="262" hidden="1" ht="16.5" customHeight="1">
      <c r="A262">
        <f>IF(COUNTA('05_KAIS'!$A250:$N250)=0,"",235)</f>
        <v/>
      </c>
      <c r="B262">
        <f>IF($A262="","",TRIM(INDEX('05_KAIS'!$B:$B,$A262)&amp;" "&amp;INDEX('05_KAIS'!$C:$C,$A262)))</f>
        <v/>
      </c>
      <c r="C262">
        <f>IF($A262="","",INDEX('05_KAIS'!$D:$D,$A262))</f>
        <v/>
      </c>
      <c r="D262">
        <f>IF($A262="","",INDEX('05_KAIS'!$H:$H,$A262))</f>
        <v/>
      </c>
      <c r="E262">
        <f>IF($A262="","",INDEX('05_KAIS'!$K:$K,$A262))</f>
        <v/>
      </c>
      <c r="F262" s="202">
        <f>IF($A262="","",INDEX('05_KAIS'!$I:$I,$A262))</f>
        <v/>
      </c>
      <c r="G262" s="118">
        <f>IF($A262="","",INDEX('05_KAIS'!$L:$L,$A262))</f>
        <v/>
      </c>
      <c r="H262" s="118">
        <f>IF($A262="","",IFERROR(INDEX('05_KAIS'!$M:$M,$A262),IF(AND(E262&gt;0,G262&gt;0),G262/E262,"")))</f>
        <v/>
      </c>
      <c r="I262" s="202">
        <f>IF($A262="","",INDEX('05_KAIS'!$N:$N,$A262))</f>
        <v/>
      </c>
      <c r="J262">
        <f>IF(B262="","",IF('02_대상물건입력'!$B$5="",1,IF(ISNUMBER(SEARCH('02_대상물건입력'!$B$5,B262)),1,0)))</f>
        <v/>
      </c>
      <c r="K262">
        <f>IF(B262="","",IF('02_대상물건입력'!$B$6="",1,IF(ISNUMBER(SEARCH('02_대상물건입력'!$B$6,B262)),1,0)))</f>
        <v/>
      </c>
      <c r="L262">
        <f>IF(D262="","",IF('02_대상물건입력'!$B$8="",0,IF(ISNUMBER(SEARCH('02_대상물건입력'!$B$8,D262)),1,0)))</f>
        <v/>
      </c>
      <c r="M262">
        <f>IFERROR(ABS(E262-'02_대상물건입력'!$B$11)/'02_대상물건입력'!$B$11,"")</f>
        <v/>
      </c>
      <c r="N262">
        <f>IFERROR(ABS('01_설정'!$B$4-F262),"")</f>
        <v/>
      </c>
      <c r="O262">
        <f>IFERROR(ABS(YEAR(I262)-YEAR('02_대상물건입력'!$B$14)),"")</f>
        <v/>
      </c>
      <c r="P262">
        <f>IF(AND(E262&gt;0,F262&gt;0,G262&gt;0,IF('01_설정'!$B$10=1,J262=1,TRUE()),M262&lt;='01_설정'!$B$5,N262&lt;='01_설정'!$B$7,O262&lt;='01_설정'!$B$8),"Y","")</f>
        <v/>
      </c>
      <c r="Q262">
        <f>IF(P262&lt;&gt;"Y","",MAX(0,(1-M262/'01_설정'!$B$5))*'01_설정'!$B$14+MAX(0,(1-N262/'01_설정'!$B$7))*'01_설정'!$B$16+MAX(0,(1-O262/'01_설정'!$B$8))*'01_설정'!$B$17+K262*'01_설정'!$B$11+L262*'01_설정'!$B$12)</f>
        <v/>
      </c>
      <c r="R262">
        <f>IF(Q262="","",1+COUNTIFS($Q$31:$Q$1030,"&gt;"&amp;Q262)+COUNTIFS($Q$31:Q262,Q262)-1)</f>
        <v/>
      </c>
    </row>
    <row r="263" hidden="1" ht="16.5" customHeight="1">
      <c r="A263">
        <f>IF(COUNTA('05_KAIS'!$A251:$N251)=0,"",236)</f>
        <v/>
      </c>
      <c r="B263">
        <f>IF($A263="","",TRIM(INDEX('05_KAIS'!$B:$B,$A263)&amp;" "&amp;INDEX('05_KAIS'!$C:$C,$A263)))</f>
        <v/>
      </c>
      <c r="C263">
        <f>IF($A263="","",INDEX('05_KAIS'!$D:$D,$A263))</f>
        <v/>
      </c>
      <c r="D263">
        <f>IF($A263="","",INDEX('05_KAIS'!$H:$H,$A263))</f>
        <v/>
      </c>
      <c r="E263">
        <f>IF($A263="","",INDEX('05_KAIS'!$K:$K,$A263))</f>
        <v/>
      </c>
      <c r="F263" s="202">
        <f>IF($A263="","",INDEX('05_KAIS'!$I:$I,$A263))</f>
        <v/>
      </c>
      <c r="G263" s="118">
        <f>IF($A263="","",INDEX('05_KAIS'!$L:$L,$A263))</f>
        <v/>
      </c>
      <c r="H263" s="118">
        <f>IF($A263="","",IFERROR(INDEX('05_KAIS'!$M:$M,$A263),IF(AND(E263&gt;0,G263&gt;0),G263/E263,"")))</f>
        <v/>
      </c>
      <c r="I263" s="202">
        <f>IF($A263="","",INDEX('05_KAIS'!$N:$N,$A263))</f>
        <v/>
      </c>
      <c r="J263">
        <f>IF(B263="","",IF('02_대상물건입력'!$B$5="",1,IF(ISNUMBER(SEARCH('02_대상물건입력'!$B$5,B263)),1,0)))</f>
        <v/>
      </c>
      <c r="K263">
        <f>IF(B263="","",IF('02_대상물건입력'!$B$6="",1,IF(ISNUMBER(SEARCH('02_대상물건입력'!$B$6,B263)),1,0)))</f>
        <v/>
      </c>
      <c r="L263">
        <f>IF(D263="","",IF('02_대상물건입력'!$B$8="",0,IF(ISNUMBER(SEARCH('02_대상물건입력'!$B$8,D263)),1,0)))</f>
        <v/>
      </c>
      <c r="M263">
        <f>IFERROR(ABS(E263-'02_대상물건입력'!$B$11)/'02_대상물건입력'!$B$11,"")</f>
        <v/>
      </c>
      <c r="N263">
        <f>IFERROR(ABS('01_설정'!$B$4-F263),"")</f>
        <v/>
      </c>
      <c r="O263">
        <f>IFERROR(ABS(YEAR(I263)-YEAR('02_대상물건입력'!$B$14)),"")</f>
        <v/>
      </c>
      <c r="P263">
        <f>IF(AND(E263&gt;0,F263&gt;0,G263&gt;0,IF('01_설정'!$B$10=1,J263=1,TRUE()),M263&lt;='01_설정'!$B$5,N263&lt;='01_설정'!$B$7,O263&lt;='01_설정'!$B$8),"Y","")</f>
        <v/>
      </c>
      <c r="Q263">
        <f>IF(P263&lt;&gt;"Y","",MAX(0,(1-M263/'01_설정'!$B$5))*'01_설정'!$B$14+MAX(0,(1-N263/'01_설정'!$B$7))*'01_설정'!$B$16+MAX(0,(1-O263/'01_설정'!$B$8))*'01_설정'!$B$17+K263*'01_설정'!$B$11+L263*'01_설정'!$B$12)</f>
        <v/>
      </c>
      <c r="R263">
        <f>IF(Q263="","",1+COUNTIFS($Q$31:$Q$1030,"&gt;"&amp;Q263)+COUNTIFS($Q$31:Q263,Q263)-1)</f>
        <v/>
      </c>
    </row>
    <row r="264" hidden="1" ht="16.5" customHeight="1">
      <c r="A264">
        <f>IF(COUNTA('05_KAIS'!$A252:$N252)=0,"",237)</f>
        <v/>
      </c>
      <c r="B264">
        <f>IF($A264="","",TRIM(INDEX('05_KAIS'!$B:$B,$A264)&amp;" "&amp;INDEX('05_KAIS'!$C:$C,$A264)))</f>
        <v/>
      </c>
      <c r="C264">
        <f>IF($A264="","",INDEX('05_KAIS'!$D:$D,$A264))</f>
        <v/>
      </c>
      <c r="D264">
        <f>IF($A264="","",INDEX('05_KAIS'!$H:$H,$A264))</f>
        <v/>
      </c>
      <c r="E264">
        <f>IF($A264="","",INDEX('05_KAIS'!$K:$K,$A264))</f>
        <v/>
      </c>
      <c r="F264" s="202">
        <f>IF($A264="","",INDEX('05_KAIS'!$I:$I,$A264))</f>
        <v/>
      </c>
      <c r="G264" s="118">
        <f>IF($A264="","",INDEX('05_KAIS'!$L:$L,$A264))</f>
        <v/>
      </c>
      <c r="H264" s="118">
        <f>IF($A264="","",IFERROR(INDEX('05_KAIS'!$M:$M,$A264),IF(AND(E264&gt;0,G264&gt;0),G264/E264,"")))</f>
        <v/>
      </c>
      <c r="I264" s="202">
        <f>IF($A264="","",INDEX('05_KAIS'!$N:$N,$A264))</f>
        <v/>
      </c>
      <c r="J264">
        <f>IF(B264="","",IF('02_대상물건입력'!$B$5="",1,IF(ISNUMBER(SEARCH('02_대상물건입력'!$B$5,B264)),1,0)))</f>
        <v/>
      </c>
      <c r="K264">
        <f>IF(B264="","",IF('02_대상물건입력'!$B$6="",1,IF(ISNUMBER(SEARCH('02_대상물건입력'!$B$6,B264)),1,0)))</f>
        <v/>
      </c>
      <c r="L264">
        <f>IF(D264="","",IF('02_대상물건입력'!$B$8="",0,IF(ISNUMBER(SEARCH('02_대상물건입력'!$B$8,D264)),1,0)))</f>
        <v/>
      </c>
      <c r="M264">
        <f>IFERROR(ABS(E264-'02_대상물건입력'!$B$11)/'02_대상물건입력'!$B$11,"")</f>
        <v/>
      </c>
      <c r="N264">
        <f>IFERROR(ABS('01_설정'!$B$4-F264),"")</f>
        <v/>
      </c>
      <c r="O264">
        <f>IFERROR(ABS(YEAR(I264)-YEAR('02_대상물건입력'!$B$14)),"")</f>
        <v/>
      </c>
      <c r="P264">
        <f>IF(AND(E264&gt;0,F264&gt;0,G264&gt;0,IF('01_설정'!$B$10=1,J264=1,TRUE()),M264&lt;='01_설정'!$B$5,N264&lt;='01_설정'!$B$7,O264&lt;='01_설정'!$B$8),"Y","")</f>
        <v/>
      </c>
      <c r="Q264">
        <f>IF(P264&lt;&gt;"Y","",MAX(0,(1-M264/'01_설정'!$B$5))*'01_설정'!$B$14+MAX(0,(1-N264/'01_설정'!$B$7))*'01_설정'!$B$16+MAX(0,(1-O264/'01_설정'!$B$8))*'01_설정'!$B$17+K264*'01_설정'!$B$11+L264*'01_설정'!$B$12)</f>
        <v/>
      </c>
      <c r="R264">
        <f>IF(Q264="","",1+COUNTIFS($Q$31:$Q$1030,"&gt;"&amp;Q264)+COUNTIFS($Q$31:Q264,Q264)-1)</f>
        <v/>
      </c>
    </row>
    <row r="265" hidden="1" ht="16.5" customHeight="1">
      <c r="A265">
        <f>IF(COUNTA('05_KAIS'!$A253:$N253)=0,"",238)</f>
        <v/>
      </c>
      <c r="B265">
        <f>IF($A265="","",TRIM(INDEX('05_KAIS'!$B:$B,$A265)&amp;" "&amp;INDEX('05_KAIS'!$C:$C,$A265)))</f>
        <v/>
      </c>
      <c r="C265">
        <f>IF($A265="","",INDEX('05_KAIS'!$D:$D,$A265))</f>
        <v/>
      </c>
      <c r="D265">
        <f>IF($A265="","",INDEX('05_KAIS'!$H:$H,$A265))</f>
        <v/>
      </c>
      <c r="E265">
        <f>IF($A265="","",INDEX('05_KAIS'!$K:$K,$A265))</f>
        <v/>
      </c>
      <c r="F265" s="202">
        <f>IF($A265="","",INDEX('05_KAIS'!$I:$I,$A265))</f>
        <v/>
      </c>
      <c r="G265" s="118">
        <f>IF($A265="","",INDEX('05_KAIS'!$L:$L,$A265))</f>
        <v/>
      </c>
      <c r="H265" s="118">
        <f>IF($A265="","",IFERROR(INDEX('05_KAIS'!$M:$M,$A265),IF(AND(E265&gt;0,G265&gt;0),G265/E265,"")))</f>
        <v/>
      </c>
      <c r="I265" s="202">
        <f>IF($A265="","",INDEX('05_KAIS'!$N:$N,$A265))</f>
        <v/>
      </c>
      <c r="J265">
        <f>IF(B265="","",IF('02_대상물건입력'!$B$5="",1,IF(ISNUMBER(SEARCH('02_대상물건입력'!$B$5,B265)),1,0)))</f>
        <v/>
      </c>
      <c r="K265">
        <f>IF(B265="","",IF('02_대상물건입력'!$B$6="",1,IF(ISNUMBER(SEARCH('02_대상물건입력'!$B$6,B265)),1,0)))</f>
        <v/>
      </c>
      <c r="L265">
        <f>IF(D265="","",IF('02_대상물건입력'!$B$8="",0,IF(ISNUMBER(SEARCH('02_대상물건입력'!$B$8,D265)),1,0)))</f>
        <v/>
      </c>
      <c r="M265">
        <f>IFERROR(ABS(E265-'02_대상물건입력'!$B$11)/'02_대상물건입력'!$B$11,"")</f>
        <v/>
      </c>
      <c r="N265">
        <f>IFERROR(ABS('01_설정'!$B$4-F265),"")</f>
        <v/>
      </c>
      <c r="O265">
        <f>IFERROR(ABS(YEAR(I265)-YEAR('02_대상물건입력'!$B$14)),"")</f>
        <v/>
      </c>
      <c r="P265">
        <f>IF(AND(E265&gt;0,F265&gt;0,G265&gt;0,IF('01_설정'!$B$10=1,J265=1,TRUE()),M265&lt;='01_설정'!$B$5,N265&lt;='01_설정'!$B$7,O265&lt;='01_설정'!$B$8),"Y","")</f>
        <v/>
      </c>
      <c r="Q265">
        <f>IF(P265&lt;&gt;"Y","",MAX(0,(1-M265/'01_설정'!$B$5))*'01_설정'!$B$14+MAX(0,(1-N265/'01_설정'!$B$7))*'01_설정'!$B$16+MAX(0,(1-O265/'01_설정'!$B$8))*'01_설정'!$B$17+K265*'01_설정'!$B$11+L265*'01_설정'!$B$12)</f>
        <v/>
      </c>
      <c r="R265">
        <f>IF(Q265="","",1+COUNTIFS($Q$31:$Q$1030,"&gt;"&amp;Q265)+COUNTIFS($Q$31:Q265,Q265)-1)</f>
        <v/>
      </c>
    </row>
    <row r="266" hidden="1" ht="16.5" customHeight="1">
      <c r="A266">
        <f>IF(COUNTA('05_KAIS'!$A254:$N254)=0,"",239)</f>
        <v/>
      </c>
      <c r="B266">
        <f>IF($A266="","",TRIM(INDEX('05_KAIS'!$B:$B,$A266)&amp;" "&amp;INDEX('05_KAIS'!$C:$C,$A266)))</f>
        <v/>
      </c>
      <c r="C266">
        <f>IF($A266="","",INDEX('05_KAIS'!$D:$D,$A266))</f>
        <v/>
      </c>
      <c r="D266">
        <f>IF($A266="","",INDEX('05_KAIS'!$H:$H,$A266))</f>
        <v/>
      </c>
      <c r="E266">
        <f>IF($A266="","",INDEX('05_KAIS'!$K:$K,$A266))</f>
        <v/>
      </c>
      <c r="F266" s="202">
        <f>IF($A266="","",INDEX('05_KAIS'!$I:$I,$A266))</f>
        <v/>
      </c>
      <c r="G266" s="118">
        <f>IF($A266="","",INDEX('05_KAIS'!$L:$L,$A266))</f>
        <v/>
      </c>
      <c r="H266" s="118">
        <f>IF($A266="","",IFERROR(INDEX('05_KAIS'!$M:$M,$A266),IF(AND(E266&gt;0,G266&gt;0),G266/E266,"")))</f>
        <v/>
      </c>
      <c r="I266" s="202">
        <f>IF($A266="","",INDEX('05_KAIS'!$N:$N,$A266))</f>
        <v/>
      </c>
      <c r="J266">
        <f>IF(B266="","",IF('02_대상물건입력'!$B$5="",1,IF(ISNUMBER(SEARCH('02_대상물건입력'!$B$5,B266)),1,0)))</f>
        <v/>
      </c>
      <c r="K266">
        <f>IF(B266="","",IF('02_대상물건입력'!$B$6="",1,IF(ISNUMBER(SEARCH('02_대상물건입력'!$B$6,B266)),1,0)))</f>
        <v/>
      </c>
      <c r="L266">
        <f>IF(D266="","",IF('02_대상물건입력'!$B$8="",0,IF(ISNUMBER(SEARCH('02_대상물건입력'!$B$8,D266)),1,0)))</f>
        <v/>
      </c>
      <c r="M266">
        <f>IFERROR(ABS(E266-'02_대상물건입력'!$B$11)/'02_대상물건입력'!$B$11,"")</f>
        <v/>
      </c>
      <c r="N266">
        <f>IFERROR(ABS('01_설정'!$B$4-F266),"")</f>
        <v/>
      </c>
      <c r="O266">
        <f>IFERROR(ABS(YEAR(I266)-YEAR('02_대상물건입력'!$B$14)),"")</f>
        <v/>
      </c>
      <c r="P266">
        <f>IF(AND(E266&gt;0,F266&gt;0,G266&gt;0,IF('01_설정'!$B$10=1,J266=1,TRUE()),M266&lt;='01_설정'!$B$5,N266&lt;='01_설정'!$B$7,O266&lt;='01_설정'!$B$8),"Y","")</f>
        <v/>
      </c>
      <c r="Q266">
        <f>IF(P266&lt;&gt;"Y","",MAX(0,(1-M266/'01_설정'!$B$5))*'01_설정'!$B$14+MAX(0,(1-N266/'01_설정'!$B$7))*'01_설정'!$B$16+MAX(0,(1-O266/'01_설정'!$B$8))*'01_설정'!$B$17+K266*'01_설정'!$B$11+L266*'01_설정'!$B$12)</f>
        <v/>
      </c>
      <c r="R266">
        <f>IF(Q266="","",1+COUNTIFS($Q$31:$Q$1030,"&gt;"&amp;Q266)+COUNTIFS($Q$31:Q266,Q266)-1)</f>
        <v/>
      </c>
    </row>
    <row r="267" hidden="1" ht="16.5" customHeight="1">
      <c r="A267">
        <f>IF(COUNTA('05_KAIS'!$A255:$N255)=0,"",240)</f>
        <v/>
      </c>
      <c r="B267">
        <f>IF($A267="","",TRIM(INDEX('05_KAIS'!$B:$B,$A267)&amp;" "&amp;INDEX('05_KAIS'!$C:$C,$A267)))</f>
        <v/>
      </c>
      <c r="C267">
        <f>IF($A267="","",INDEX('05_KAIS'!$D:$D,$A267))</f>
        <v/>
      </c>
      <c r="D267">
        <f>IF($A267="","",INDEX('05_KAIS'!$H:$H,$A267))</f>
        <v/>
      </c>
      <c r="E267">
        <f>IF($A267="","",INDEX('05_KAIS'!$K:$K,$A267))</f>
        <v/>
      </c>
      <c r="F267" s="202">
        <f>IF($A267="","",INDEX('05_KAIS'!$I:$I,$A267))</f>
        <v/>
      </c>
      <c r="G267" s="118">
        <f>IF($A267="","",INDEX('05_KAIS'!$L:$L,$A267))</f>
        <v/>
      </c>
      <c r="H267" s="118">
        <f>IF($A267="","",IFERROR(INDEX('05_KAIS'!$M:$M,$A267),IF(AND(E267&gt;0,G267&gt;0),G267/E267,"")))</f>
        <v/>
      </c>
      <c r="I267" s="202">
        <f>IF($A267="","",INDEX('05_KAIS'!$N:$N,$A267))</f>
        <v/>
      </c>
      <c r="J267">
        <f>IF(B267="","",IF('02_대상물건입력'!$B$5="",1,IF(ISNUMBER(SEARCH('02_대상물건입력'!$B$5,B267)),1,0)))</f>
        <v/>
      </c>
      <c r="K267">
        <f>IF(B267="","",IF('02_대상물건입력'!$B$6="",1,IF(ISNUMBER(SEARCH('02_대상물건입력'!$B$6,B267)),1,0)))</f>
        <v/>
      </c>
      <c r="L267">
        <f>IF(D267="","",IF('02_대상물건입력'!$B$8="",0,IF(ISNUMBER(SEARCH('02_대상물건입력'!$B$8,D267)),1,0)))</f>
        <v/>
      </c>
      <c r="M267">
        <f>IFERROR(ABS(E267-'02_대상물건입력'!$B$11)/'02_대상물건입력'!$B$11,"")</f>
        <v/>
      </c>
      <c r="N267">
        <f>IFERROR(ABS('01_설정'!$B$4-F267),"")</f>
        <v/>
      </c>
      <c r="O267">
        <f>IFERROR(ABS(YEAR(I267)-YEAR('02_대상물건입력'!$B$14)),"")</f>
        <v/>
      </c>
      <c r="P267">
        <f>IF(AND(E267&gt;0,F267&gt;0,G267&gt;0,IF('01_설정'!$B$10=1,J267=1,TRUE()),M267&lt;='01_설정'!$B$5,N267&lt;='01_설정'!$B$7,O267&lt;='01_설정'!$B$8),"Y","")</f>
        <v/>
      </c>
      <c r="Q267">
        <f>IF(P267&lt;&gt;"Y","",MAX(0,(1-M267/'01_설정'!$B$5))*'01_설정'!$B$14+MAX(0,(1-N267/'01_설정'!$B$7))*'01_설정'!$B$16+MAX(0,(1-O267/'01_설정'!$B$8))*'01_설정'!$B$17+K267*'01_설정'!$B$11+L267*'01_설정'!$B$12)</f>
        <v/>
      </c>
      <c r="R267">
        <f>IF(Q267="","",1+COUNTIFS($Q$31:$Q$1030,"&gt;"&amp;Q267)+COUNTIFS($Q$31:Q267,Q267)-1)</f>
        <v/>
      </c>
    </row>
    <row r="268" hidden="1" ht="16.5" customHeight="1">
      <c r="A268">
        <f>IF(COUNTA('05_KAIS'!$A256:$N256)=0,"",241)</f>
        <v/>
      </c>
      <c r="B268">
        <f>IF($A268="","",TRIM(INDEX('05_KAIS'!$B:$B,$A268)&amp;" "&amp;INDEX('05_KAIS'!$C:$C,$A268)))</f>
        <v/>
      </c>
      <c r="C268">
        <f>IF($A268="","",INDEX('05_KAIS'!$D:$D,$A268))</f>
        <v/>
      </c>
      <c r="D268">
        <f>IF($A268="","",INDEX('05_KAIS'!$H:$H,$A268))</f>
        <v/>
      </c>
      <c r="E268">
        <f>IF($A268="","",INDEX('05_KAIS'!$K:$K,$A268))</f>
        <v/>
      </c>
      <c r="F268" s="202">
        <f>IF($A268="","",INDEX('05_KAIS'!$I:$I,$A268))</f>
        <v/>
      </c>
      <c r="G268" s="118">
        <f>IF($A268="","",INDEX('05_KAIS'!$L:$L,$A268))</f>
        <v/>
      </c>
      <c r="H268" s="118">
        <f>IF($A268="","",IFERROR(INDEX('05_KAIS'!$M:$M,$A268),IF(AND(E268&gt;0,G268&gt;0),G268/E268,"")))</f>
        <v/>
      </c>
      <c r="I268" s="202">
        <f>IF($A268="","",INDEX('05_KAIS'!$N:$N,$A268))</f>
        <v/>
      </c>
      <c r="J268">
        <f>IF(B268="","",IF('02_대상물건입력'!$B$5="",1,IF(ISNUMBER(SEARCH('02_대상물건입력'!$B$5,B268)),1,0)))</f>
        <v/>
      </c>
      <c r="K268">
        <f>IF(B268="","",IF('02_대상물건입력'!$B$6="",1,IF(ISNUMBER(SEARCH('02_대상물건입력'!$B$6,B268)),1,0)))</f>
        <v/>
      </c>
      <c r="L268">
        <f>IF(D268="","",IF('02_대상물건입력'!$B$8="",0,IF(ISNUMBER(SEARCH('02_대상물건입력'!$B$8,D268)),1,0)))</f>
        <v/>
      </c>
      <c r="M268">
        <f>IFERROR(ABS(E268-'02_대상물건입력'!$B$11)/'02_대상물건입력'!$B$11,"")</f>
        <v/>
      </c>
      <c r="N268">
        <f>IFERROR(ABS('01_설정'!$B$4-F268),"")</f>
        <v/>
      </c>
      <c r="O268">
        <f>IFERROR(ABS(YEAR(I268)-YEAR('02_대상물건입력'!$B$14)),"")</f>
        <v/>
      </c>
      <c r="P268">
        <f>IF(AND(E268&gt;0,F268&gt;0,G268&gt;0,IF('01_설정'!$B$10=1,J268=1,TRUE()),M268&lt;='01_설정'!$B$5,N268&lt;='01_설정'!$B$7,O268&lt;='01_설정'!$B$8),"Y","")</f>
        <v/>
      </c>
      <c r="Q268">
        <f>IF(P268&lt;&gt;"Y","",MAX(0,(1-M268/'01_설정'!$B$5))*'01_설정'!$B$14+MAX(0,(1-N268/'01_설정'!$B$7))*'01_설정'!$B$16+MAX(0,(1-O268/'01_설정'!$B$8))*'01_설정'!$B$17+K268*'01_설정'!$B$11+L268*'01_설정'!$B$12)</f>
        <v/>
      </c>
      <c r="R268">
        <f>IF(Q268="","",1+COUNTIFS($Q$31:$Q$1030,"&gt;"&amp;Q268)+COUNTIFS($Q$31:Q268,Q268)-1)</f>
        <v/>
      </c>
    </row>
    <row r="269" hidden="1" ht="16.5" customHeight="1">
      <c r="A269">
        <f>IF(COUNTA('05_KAIS'!$A257:$N257)=0,"",242)</f>
        <v/>
      </c>
      <c r="B269">
        <f>IF($A269="","",TRIM(INDEX('05_KAIS'!$B:$B,$A269)&amp;" "&amp;INDEX('05_KAIS'!$C:$C,$A269)))</f>
        <v/>
      </c>
      <c r="C269">
        <f>IF($A269="","",INDEX('05_KAIS'!$D:$D,$A269))</f>
        <v/>
      </c>
      <c r="D269">
        <f>IF($A269="","",INDEX('05_KAIS'!$H:$H,$A269))</f>
        <v/>
      </c>
      <c r="E269">
        <f>IF($A269="","",INDEX('05_KAIS'!$K:$K,$A269))</f>
        <v/>
      </c>
      <c r="F269" s="202">
        <f>IF($A269="","",INDEX('05_KAIS'!$I:$I,$A269))</f>
        <v/>
      </c>
      <c r="G269" s="118">
        <f>IF($A269="","",INDEX('05_KAIS'!$L:$L,$A269))</f>
        <v/>
      </c>
      <c r="H269" s="118">
        <f>IF($A269="","",IFERROR(INDEX('05_KAIS'!$M:$M,$A269),IF(AND(E269&gt;0,G269&gt;0),G269/E269,"")))</f>
        <v/>
      </c>
      <c r="I269" s="202">
        <f>IF($A269="","",INDEX('05_KAIS'!$N:$N,$A269))</f>
        <v/>
      </c>
      <c r="J269">
        <f>IF(B269="","",IF('02_대상물건입력'!$B$5="",1,IF(ISNUMBER(SEARCH('02_대상물건입력'!$B$5,B269)),1,0)))</f>
        <v/>
      </c>
      <c r="K269">
        <f>IF(B269="","",IF('02_대상물건입력'!$B$6="",1,IF(ISNUMBER(SEARCH('02_대상물건입력'!$B$6,B269)),1,0)))</f>
        <v/>
      </c>
      <c r="L269">
        <f>IF(D269="","",IF('02_대상물건입력'!$B$8="",0,IF(ISNUMBER(SEARCH('02_대상물건입력'!$B$8,D269)),1,0)))</f>
        <v/>
      </c>
      <c r="M269">
        <f>IFERROR(ABS(E269-'02_대상물건입력'!$B$11)/'02_대상물건입력'!$B$11,"")</f>
        <v/>
      </c>
      <c r="N269">
        <f>IFERROR(ABS('01_설정'!$B$4-F269),"")</f>
        <v/>
      </c>
      <c r="O269">
        <f>IFERROR(ABS(YEAR(I269)-YEAR('02_대상물건입력'!$B$14)),"")</f>
        <v/>
      </c>
      <c r="P269">
        <f>IF(AND(E269&gt;0,F269&gt;0,G269&gt;0,IF('01_설정'!$B$10=1,J269=1,TRUE()),M269&lt;='01_설정'!$B$5,N269&lt;='01_설정'!$B$7,O269&lt;='01_설정'!$B$8),"Y","")</f>
        <v/>
      </c>
      <c r="Q269">
        <f>IF(P269&lt;&gt;"Y","",MAX(0,(1-M269/'01_설정'!$B$5))*'01_설정'!$B$14+MAX(0,(1-N269/'01_설정'!$B$7))*'01_설정'!$B$16+MAX(0,(1-O269/'01_설정'!$B$8))*'01_설정'!$B$17+K269*'01_설정'!$B$11+L269*'01_설정'!$B$12)</f>
        <v/>
      </c>
      <c r="R269">
        <f>IF(Q269="","",1+COUNTIFS($Q$31:$Q$1030,"&gt;"&amp;Q269)+COUNTIFS($Q$31:Q269,Q269)-1)</f>
        <v/>
      </c>
    </row>
    <row r="270" hidden="1" ht="16.5" customHeight="1">
      <c r="A270">
        <f>IF(COUNTA('05_KAIS'!$A258:$N258)=0,"",243)</f>
        <v/>
      </c>
      <c r="B270">
        <f>IF($A270="","",TRIM(INDEX('05_KAIS'!$B:$B,$A270)&amp;" "&amp;INDEX('05_KAIS'!$C:$C,$A270)))</f>
        <v/>
      </c>
      <c r="C270">
        <f>IF($A270="","",INDEX('05_KAIS'!$D:$D,$A270))</f>
        <v/>
      </c>
      <c r="D270">
        <f>IF($A270="","",INDEX('05_KAIS'!$H:$H,$A270))</f>
        <v/>
      </c>
      <c r="E270">
        <f>IF($A270="","",INDEX('05_KAIS'!$K:$K,$A270))</f>
        <v/>
      </c>
      <c r="F270" s="202">
        <f>IF($A270="","",INDEX('05_KAIS'!$I:$I,$A270))</f>
        <v/>
      </c>
      <c r="G270" s="118">
        <f>IF($A270="","",INDEX('05_KAIS'!$L:$L,$A270))</f>
        <v/>
      </c>
      <c r="H270" s="118">
        <f>IF($A270="","",IFERROR(INDEX('05_KAIS'!$M:$M,$A270),IF(AND(E270&gt;0,G270&gt;0),G270/E270,"")))</f>
        <v/>
      </c>
      <c r="I270" s="202">
        <f>IF($A270="","",INDEX('05_KAIS'!$N:$N,$A270))</f>
        <v/>
      </c>
      <c r="J270">
        <f>IF(B270="","",IF('02_대상물건입력'!$B$5="",1,IF(ISNUMBER(SEARCH('02_대상물건입력'!$B$5,B270)),1,0)))</f>
        <v/>
      </c>
      <c r="K270">
        <f>IF(B270="","",IF('02_대상물건입력'!$B$6="",1,IF(ISNUMBER(SEARCH('02_대상물건입력'!$B$6,B270)),1,0)))</f>
        <v/>
      </c>
      <c r="L270">
        <f>IF(D270="","",IF('02_대상물건입력'!$B$8="",0,IF(ISNUMBER(SEARCH('02_대상물건입력'!$B$8,D270)),1,0)))</f>
        <v/>
      </c>
      <c r="M270">
        <f>IFERROR(ABS(E270-'02_대상물건입력'!$B$11)/'02_대상물건입력'!$B$11,"")</f>
        <v/>
      </c>
      <c r="N270">
        <f>IFERROR(ABS('01_설정'!$B$4-F270),"")</f>
        <v/>
      </c>
      <c r="O270">
        <f>IFERROR(ABS(YEAR(I270)-YEAR('02_대상물건입력'!$B$14)),"")</f>
        <v/>
      </c>
      <c r="P270">
        <f>IF(AND(E270&gt;0,F270&gt;0,G270&gt;0,IF('01_설정'!$B$10=1,J270=1,TRUE()),M270&lt;='01_설정'!$B$5,N270&lt;='01_설정'!$B$7,O270&lt;='01_설정'!$B$8),"Y","")</f>
        <v/>
      </c>
      <c r="Q270">
        <f>IF(P270&lt;&gt;"Y","",MAX(0,(1-M270/'01_설정'!$B$5))*'01_설정'!$B$14+MAX(0,(1-N270/'01_설정'!$B$7))*'01_설정'!$B$16+MAX(0,(1-O270/'01_설정'!$B$8))*'01_설정'!$B$17+K270*'01_설정'!$B$11+L270*'01_설정'!$B$12)</f>
        <v/>
      </c>
      <c r="R270">
        <f>IF(Q270="","",1+COUNTIFS($Q$31:$Q$1030,"&gt;"&amp;Q270)+COUNTIFS($Q$31:Q270,Q270)-1)</f>
        <v/>
      </c>
    </row>
    <row r="271" hidden="1" ht="16.5" customHeight="1">
      <c r="A271">
        <f>IF(COUNTA('05_KAIS'!$A259:$N259)=0,"",244)</f>
        <v/>
      </c>
      <c r="B271">
        <f>IF($A271="","",TRIM(INDEX('05_KAIS'!$B:$B,$A271)&amp;" "&amp;INDEX('05_KAIS'!$C:$C,$A271)))</f>
        <v/>
      </c>
      <c r="C271">
        <f>IF($A271="","",INDEX('05_KAIS'!$D:$D,$A271))</f>
        <v/>
      </c>
      <c r="D271">
        <f>IF($A271="","",INDEX('05_KAIS'!$H:$H,$A271))</f>
        <v/>
      </c>
      <c r="E271">
        <f>IF($A271="","",INDEX('05_KAIS'!$K:$K,$A271))</f>
        <v/>
      </c>
      <c r="F271" s="202">
        <f>IF($A271="","",INDEX('05_KAIS'!$I:$I,$A271))</f>
        <v/>
      </c>
      <c r="G271" s="118">
        <f>IF($A271="","",INDEX('05_KAIS'!$L:$L,$A271))</f>
        <v/>
      </c>
      <c r="H271" s="118">
        <f>IF($A271="","",IFERROR(INDEX('05_KAIS'!$M:$M,$A271),IF(AND(E271&gt;0,G271&gt;0),G271/E271,"")))</f>
        <v/>
      </c>
      <c r="I271" s="202">
        <f>IF($A271="","",INDEX('05_KAIS'!$N:$N,$A271))</f>
        <v/>
      </c>
      <c r="J271">
        <f>IF(B271="","",IF('02_대상물건입력'!$B$5="",1,IF(ISNUMBER(SEARCH('02_대상물건입력'!$B$5,B271)),1,0)))</f>
        <v/>
      </c>
      <c r="K271">
        <f>IF(B271="","",IF('02_대상물건입력'!$B$6="",1,IF(ISNUMBER(SEARCH('02_대상물건입력'!$B$6,B271)),1,0)))</f>
        <v/>
      </c>
      <c r="L271">
        <f>IF(D271="","",IF('02_대상물건입력'!$B$8="",0,IF(ISNUMBER(SEARCH('02_대상물건입력'!$B$8,D271)),1,0)))</f>
        <v/>
      </c>
      <c r="M271">
        <f>IFERROR(ABS(E271-'02_대상물건입력'!$B$11)/'02_대상물건입력'!$B$11,"")</f>
        <v/>
      </c>
      <c r="N271">
        <f>IFERROR(ABS('01_설정'!$B$4-F271),"")</f>
        <v/>
      </c>
      <c r="O271">
        <f>IFERROR(ABS(YEAR(I271)-YEAR('02_대상물건입력'!$B$14)),"")</f>
        <v/>
      </c>
      <c r="P271">
        <f>IF(AND(E271&gt;0,F271&gt;0,G271&gt;0,IF('01_설정'!$B$10=1,J271=1,TRUE()),M271&lt;='01_설정'!$B$5,N271&lt;='01_설정'!$B$7,O271&lt;='01_설정'!$B$8),"Y","")</f>
        <v/>
      </c>
      <c r="Q271">
        <f>IF(P271&lt;&gt;"Y","",MAX(0,(1-M271/'01_설정'!$B$5))*'01_설정'!$B$14+MAX(0,(1-N271/'01_설정'!$B$7))*'01_설정'!$B$16+MAX(0,(1-O271/'01_설정'!$B$8))*'01_설정'!$B$17+K271*'01_설정'!$B$11+L271*'01_설정'!$B$12)</f>
        <v/>
      </c>
      <c r="R271">
        <f>IF(Q271="","",1+COUNTIFS($Q$31:$Q$1030,"&gt;"&amp;Q271)+COUNTIFS($Q$31:Q271,Q271)-1)</f>
        <v/>
      </c>
    </row>
    <row r="272" hidden="1" ht="16.5" customHeight="1">
      <c r="A272">
        <f>IF(COUNTA('05_KAIS'!$A260:$N260)=0,"",245)</f>
        <v/>
      </c>
      <c r="B272">
        <f>IF($A272="","",TRIM(INDEX('05_KAIS'!$B:$B,$A272)&amp;" "&amp;INDEX('05_KAIS'!$C:$C,$A272)))</f>
        <v/>
      </c>
      <c r="C272">
        <f>IF($A272="","",INDEX('05_KAIS'!$D:$D,$A272))</f>
        <v/>
      </c>
      <c r="D272">
        <f>IF($A272="","",INDEX('05_KAIS'!$H:$H,$A272))</f>
        <v/>
      </c>
      <c r="E272">
        <f>IF($A272="","",INDEX('05_KAIS'!$K:$K,$A272))</f>
        <v/>
      </c>
      <c r="F272" s="202">
        <f>IF($A272="","",INDEX('05_KAIS'!$I:$I,$A272))</f>
        <v/>
      </c>
      <c r="G272" s="118">
        <f>IF($A272="","",INDEX('05_KAIS'!$L:$L,$A272))</f>
        <v/>
      </c>
      <c r="H272" s="118">
        <f>IF($A272="","",IFERROR(INDEX('05_KAIS'!$M:$M,$A272),IF(AND(E272&gt;0,G272&gt;0),G272/E272,"")))</f>
        <v/>
      </c>
      <c r="I272" s="202">
        <f>IF($A272="","",INDEX('05_KAIS'!$N:$N,$A272))</f>
        <v/>
      </c>
      <c r="J272">
        <f>IF(B272="","",IF('02_대상물건입력'!$B$5="",1,IF(ISNUMBER(SEARCH('02_대상물건입력'!$B$5,B272)),1,0)))</f>
        <v/>
      </c>
      <c r="K272">
        <f>IF(B272="","",IF('02_대상물건입력'!$B$6="",1,IF(ISNUMBER(SEARCH('02_대상물건입력'!$B$6,B272)),1,0)))</f>
        <v/>
      </c>
      <c r="L272">
        <f>IF(D272="","",IF('02_대상물건입력'!$B$8="",0,IF(ISNUMBER(SEARCH('02_대상물건입력'!$B$8,D272)),1,0)))</f>
        <v/>
      </c>
      <c r="M272">
        <f>IFERROR(ABS(E272-'02_대상물건입력'!$B$11)/'02_대상물건입력'!$B$11,"")</f>
        <v/>
      </c>
      <c r="N272">
        <f>IFERROR(ABS('01_설정'!$B$4-F272),"")</f>
        <v/>
      </c>
      <c r="O272">
        <f>IFERROR(ABS(YEAR(I272)-YEAR('02_대상물건입력'!$B$14)),"")</f>
        <v/>
      </c>
      <c r="P272">
        <f>IF(AND(E272&gt;0,F272&gt;0,G272&gt;0,IF('01_설정'!$B$10=1,J272=1,TRUE()),M272&lt;='01_설정'!$B$5,N272&lt;='01_설정'!$B$7,O272&lt;='01_설정'!$B$8),"Y","")</f>
        <v/>
      </c>
      <c r="Q272">
        <f>IF(P272&lt;&gt;"Y","",MAX(0,(1-M272/'01_설정'!$B$5))*'01_설정'!$B$14+MAX(0,(1-N272/'01_설정'!$B$7))*'01_설정'!$B$16+MAX(0,(1-O272/'01_설정'!$B$8))*'01_설정'!$B$17+K272*'01_설정'!$B$11+L272*'01_설정'!$B$12)</f>
        <v/>
      </c>
      <c r="R272">
        <f>IF(Q272="","",1+COUNTIFS($Q$31:$Q$1030,"&gt;"&amp;Q272)+COUNTIFS($Q$31:Q272,Q272)-1)</f>
        <v/>
      </c>
    </row>
    <row r="273" hidden="1" ht="16.5" customHeight="1">
      <c r="A273">
        <f>IF(COUNTA('05_KAIS'!$A261:$N261)=0,"",246)</f>
        <v/>
      </c>
      <c r="B273">
        <f>IF($A273="","",TRIM(INDEX('05_KAIS'!$B:$B,$A273)&amp;" "&amp;INDEX('05_KAIS'!$C:$C,$A273)))</f>
        <v/>
      </c>
      <c r="C273">
        <f>IF($A273="","",INDEX('05_KAIS'!$D:$D,$A273))</f>
        <v/>
      </c>
      <c r="D273">
        <f>IF($A273="","",INDEX('05_KAIS'!$H:$H,$A273))</f>
        <v/>
      </c>
      <c r="E273">
        <f>IF($A273="","",INDEX('05_KAIS'!$K:$K,$A273))</f>
        <v/>
      </c>
      <c r="F273" s="202">
        <f>IF($A273="","",INDEX('05_KAIS'!$I:$I,$A273))</f>
        <v/>
      </c>
      <c r="G273" s="118">
        <f>IF($A273="","",INDEX('05_KAIS'!$L:$L,$A273))</f>
        <v/>
      </c>
      <c r="H273" s="118">
        <f>IF($A273="","",IFERROR(INDEX('05_KAIS'!$M:$M,$A273),IF(AND(E273&gt;0,G273&gt;0),G273/E273,"")))</f>
        <v/>
      </c>
      <c r="I273" s="202">
        <f>IF($A273="","",INDEX('05_KAIS'!$N:$N,$A273))</f>
        <v/>
      </c>
      <c r="J273">
        <f>IF(B273="","",IF('02_대상물건입력'!$B$5="",1,IF(ISNUMBER(SEARCH('02_대상물건입력'!$B$5,B273)),1,0)))</f>
        <v/>
      </c>
      <c r="K273">
        <f>IF(B273="","",IF('02_대상물건입력'!$B$6="",1,IF(ISNUMBER(SEARCH('02_대상물건입력'!$B$6,B273)),1,0)))</f>
        <v/>
      </c>
      <c r="L273">
        <f>IF(D273="","",IF('02_대상물건입력'!$B$8="",0,IF(ISNUMBER(SEARCH('02_대상물건입력'!$B$8,D273)),1,0)))</f>
        <v/>
      </c>
      <c r="M273">
        <f>IFERROR(ABS(E273-'02_대상물건입력'!$B$11)/'02_대상물건입력'!$B$11,"")</f>
        <v/>
      </c>
      <c r="N273">
        <f>IFERROR(ABS('01_설정'!$B$4-F273),"")</f>
        <v/>
      </c>
      <c r="O273">
        <f>IFERROR(ABS(YEAR(I273)-YEAR('02_대상물건입력'!$B$14)),"")</f>
        <v/>
      </c>
      <c r="P273">
        <f>IF(AND(E273&gt;0,F273&gt;0,G273&gt;0,IF('01_설정'!$B$10=1,J273=1,TRUE()),M273&lt;='01_설정'!$B$5,N273&lt;='01_설정'!$B$7,O273&lt;='01_설정'!$B$8),"Y","")</f>
        <v/>
      </c>
      <c r="Q273">
        <f>IF(P273&lt;&gt;"Y","",MAX(0,(1-M273/'01_설정'!$B$5))*'01_설정'!$B$14+MAX(0,(1-N273/'01_설정'!$B$7))*'01_설정'!$B$16+MAX(0,(1-O273/'01_설정'!$B$8))*'01_설정'!$B$17+K273*'01_설정'!$B$11+L273*'01_설정'!$B$12)</f>
        <v/>
      </c>
      <c r="R273">
        <f>IF(Q273="","",1+COUNTIFS($Q$31:$Q$1030,"&gt;"&amp;Q273)+COUNTIFS($Q$31:Q273,Q273)-1)</f>
        <v/>
      </c>
    </row>
    <row r="274" hidden="1" ht="16.5" customHeight="1">
      <c r="A274">
        <f>IF(COUNTA('05_KAIS'!$A262:$N262)=0,"",247)</f>
        <v/>
      </c>
      <c r="B274">
        <f>IF($A274="","",TRIM(INDEX('05_KAIS'!$B:$B,$A274)&amp;" "&amp;INDEX('05_KAIS'!$C:$C,$A274)))</f>
        <v/>
      </c>
      <c r="C274">
        <f>IF($A274="","",INDEX('05_KAIS'!$D:$D,$A274))</f>
        <v/>
      </c>
      <c r="D274">
        <f>IF($A274="","",INDEX('05_KAIS'!$H:$H,$A274))</f>
        <v/>
      </c>
      <c r="E274">
        <f>IF($A274="","",INDEX('05_KAIS'!$K:$K,$A274))</f>
        <v/>
      </c>
      <c r="F274" s="202">
        <f>IF($A274="","",INDEX('05_KAIS'!$I:$I,$A274))</f>
        <v/>
      </c>
      <c r="G274" s="118">
        <f>IF($A274="","",INDEX('05_KAIS'!$L:$L,$A274))</f>
        <v/>
      </c>
      <c r="H274" s="118">
        <f>IF($A274="","",IFERROR(INDEX('05_KAIS'!$M:$M,$A274),IF(AND(E274&gt;0,G274&gt;0),G274/E274,"")))</f>
        <v/>
      </c>
      <c r="I274" s="202">
        <f>IF($A274="","",INDEX('05_KAIS'!$N:$N,$A274))</f>
        <v/>
      </c>
      <c r="J274">
        <f>IF(B274="","",IF('02_대상물건입력'!$B$5="",1,IF(ISNUMBER(SEARCH('02_대상물건입력'!$B$5,B274)),1,0)))</f>
        <v/>
      </c>
      <c r="K274">
        <f>IF(B274="","",IF('02_대상물건입력'!$B$6="",1,IF(ISNUMBER(SEARCH('02_대상물건입력'!$B$6,B274)),1,0)))</f>
        <v/>
      </c>
      <c r="L274">
        <f>IF(D274="","",IF('02_대상물건입력'!$B$8="",0,IF(ISNUMBER(SEARCH('02_대상물건입력'!$B$8,D274)),1,0)))</f>
        <v/>
      </c>
      <c r="M274">
        <f>IFERROR(ABS(E274-'02_대상물건입력'!$B$11)/'02_대상물건입력'!$B$11,"")</f>
        <v/>
      </c>
      <c r="N274">
        <f>IFERROR(ABS('01_설정'!$B$4-F274),"")</f>
        <v/>
      </c>
      <c r="O274">
        <f>IFERROR(ABS(YEAR(I274)-YEAR('02_대상물건입력'!$B$14)),"")</f>
        <v/>
      </c>
      <c r="P274">
        <f>IF(AND(E274&gt;0,F274&gt;0,G274&gt;0,IF('01_설정'!$B$10=1,J274=1,TRUE()),M274&lt;='01_설정'!$B$5,N274&lt;='01_설정'!$B$7,O274&lt;='01_설정'!$B$8),"Y","")</f>
        <v/>
      </c>
      <c r="Q274">
        <f>IF(P274&lt;&gt;"Y","",MAX(0,(1-M274/'01_설정'!$B$5))*'01_설정'!$B$14+MAX(0,(1-N274/'01_설정'!$B$7))*'01_설정'!$B$16+MAX(0,(1-O274/'01_설정'!$B$8))*'01_설정'!$B$17+K274*'01_설정'!$B$11+L274*'01_설정'!$B$12)</f>
        <v/>
      </c>
      <c r="R274">
        <f>IF(Q274="","",1+COUNTIFS($Q$31:$Q$1030,"&gt;"&amp;Q274)+COUNTIFS($Q$31:Q274,Q274)-1)</f>
        <v/>
      </c>
    </row>
    <row r="275" hidden="1" ht="16.5" customHeight="1">
      <c r="A275">
        <f>IF(COUNTA('05_KAIS'!$A263:$N263)=0,"",248)</f>
        <v/>
      </c>
      <c r="B275">
        <f>IF($A275="","",TRIM(INDEX('05_KAIS'!$B:$B,$A275)&amp;" "&amp;INDEX('05_KAIS'!$C:$C,$A275)))</f>
        <v/>
      </c>
      <c r="C275">
        <f>IF($A275="","",INDEX('05_KAIS'!$D:$D,$A275))</f>
        <v/>
      </c>
      <c r="D275">
        <f>IF($A275="","",INDEX('05_KAIS'!$H:$H,$A275))</f>
        <v/>
      </c>
      <c r="E275">
        <f>IF($A275="","",INDEX('05_KAIS'!$K:$K,$A275))</f>
        <v/>
      </c>
      <c r="F275" s="202">
        <f>IF($A275="","",INDEX('05_KAIS'!$I:$I,$A275))</f>
        <v/>
      </c>
      <c r="G275" s="118">
        <f>IF($A275="","",INDEX('05_KAIS'!$L:$L,$A275))</f>
        <v/>
      </c>
      <c r="H275" s="118">
        <f>IF($A275="","",IFERROR(INDEX('05_KAIS'!$M:$M,$A275),IF(AND(E275&gt;0,G275&gt;0),G275/E275,"")))</f>
        <v/>
      </c>
      <c r="I275" s="202">
        <f>IF($A275="","",INDEX('05_KAIS'!$N:$N,$A275))</f>
        <v/>
      </c>
      <c r="J275">
        <f>IF(B275="","",IF('02_대상물건입력'!$B$5="",1,IF(ISNUMBER(SEARCH('02_대상물건입력'!$B$5,B275)),1,0)))</f>
        <v/>
      </c>
      <c r="K275">
        <f>IF(B275="","",IF('02_대상물건입력'!$B$6="",1,IF(ISNUMBER(SEARCH('02_대상물건입력'!$B$6,B275)),1,0)))</f>
        <v/>
      </c>
      <c r="L275">
        <f>IF(D275="","",IF('02_대상물건입력'!$B$8="",0,IF(ISNUMBER(SEARCH('02_대상물건입력'!$B$8,D275)),1,0)))</f>
        <v/>
      </c>
      <c r="M275">
        <f>IFERROR(ABS(E275-'02_대상물건입력'!$B$11)/'02_대상물건입력'!$B$11,"")</f>
        <v/>
      </c>
      <c r="N275">
        <f>IFERROR(ABS('01_설정'!$B$4-F275),"")</f>
        <v/>
      </c>
      <c r="O275">
        <f>IFERROR(ABS(YEAR(I275)-YEAR('02_대상물건입력'!$B$14)),"")</f>
        <v/>
      </c>
      <c r="P275">
        <f>IF(AND(E275&gt;0,F275&gt;0,G275&gt;0,IF('01_설정'!$B$10=1,J275=1,TRUE()),M275&lt;='01_설정'!$B$5,N275&lt;='01_설정'!$B$7,O275&lt;='01_설정'!$B$8),"Y","")</f>
        <v/>
      </c>
      <c r="Q275">
        <f>IF(P275&lt;&gt;"Y","",MAX(0,(1-M275/'01_설정'!$B$5))*'01_설정'!$B$14+MAX(0,(1-N275/'01_설정'!$B$7))*'01_설정'!$B$16+MAX(0,(1-O275/'01_설정'!$B$8))*'01_설정'!$B$17+K275*'01_설정'!$B$11+L275*'01_설정'!$B$12)</f>
        <v/>
      </c>
      <c r="R275">
        <f>IF(Q275="","",1+COUNTIFS($Q$31:$Q$1030,"&gt;"&amp;Q275)+COUNTIFS($Q$31:Q275,Q275)-1)</f>
        <v/>
      </c>
    </row>
    <row r="276" hidden="1" ht="16.5" customHeight="1">
      <c r="A276">
        <f>IF(COUNTA('05_KAIS'!$A264:$N264)=0,"",249)</f>
        <v/>
      </c>
      <c r="B276">
        <f>IF($A276="","",TRIM(INDEX('05_KAIS'!$B:$B,$A276)&amp;" "&amp;INDEX('05_KAIS'!$C:$C,$A276)))</f>
        <v/>
      </c>
      <c r="C276">
        <f>IF($A276="","",INDEX('05_KAIS'!$D:$D,$A276))</f>
        <v/>
      </c>
      <c r="D276">
        <f>IF($A276="","",INDEX('05_KAIS'!$H:$H,$A276))</f>
        <v/>
      </c>
      <c r="E276">
        <f>IF($A276="","",INDEX('05_KAIS'!$K:$K,$A276))</f>
        <v/>
      </c>
      <c r="F276" s="202">
        <f>IF($A276="","",INDEX('05_KAIS'!$I:$I,$A276))</f>
        <v/>
      </c>
      <c r="G276" s="118">
        <f>IF($A276="","",INDEX('05_KAIS'!$L:$L,$A276))</f>
        <v/>
      </c>
      <c r="H276" s="118">
        <f>IF($A276="","",IFERROR(INDEX('05_KAIS'!$M:$M,$A276),IF(AND(E276&gt;0,G276&gt;0),G276/E276,"")))</f>
        <v/>
      </c>
      <c r="I276" s="202">
        <f>IF($A276="","",INDEX('05_KAIS'!$N:$N,$A276))</f>
        <v/>
      </c>
      <c r="J276">
        <f>IF(B276="","",IF('02_대상물건입력'!$B$5="",1,IF(ISNUMBER(SEARCH('02_대상물건입력'!$B$5,B276)),1,0)))</f>
        <v/>
      </c>
      <c r="K276">
        <f>IF(B276="","",IF('02_대상물건입력'!$B$6="",1,IF(ISNUMBER(SEARCH('02_대상물건입력'!$B$6,B276)),1,0)))</f>
        <v/>
      </c>
      <c r="L276">
        <f>IF(D276="","",IF('02_대상물건입력'!$B$8="",0,IF(ISNUMBER(SEARCH('02_대상물건입력'!$B$8,D276)),1,0)))</f>
        <v/>
      </c>
      <c r="M276">
        <f>IFERROR(ABS(E276-'02_대상물건입력'!$B$11)/'02_대상물건입력'!$B$11,"")</f>
        <v/>
      </c>
      <c r="N276">
        <f>IFERROR(ABS('01_설정'!$B$4-F276),"")</f>
        <v/>
      </c>
      <c r="O276">
        <f>IFERROR(ABS(YEAR(I276)-YEAR('02_대상물건입력'!$B$14)),"")</f>
        <v/>
      </c>
      <c r="P276">
        <f>IF(AND(E276&gt;0,F276&gt;0,G276&gt;0,IF('01_설정'!$B$10=1,J276=1,TRUE()),M276&lt;='01_설정'!$B$5,N276&lt;='01_설정'!$B$7,O276&lt;='01_설정'!$B$8),"Y","")</f>
        <v/>
      </c>
      <c r="Q276">
        <f>IF(P276&lt;&gt;"Y","",MAX(0,(1-M276/'01_설정'!$B$5))*'01_설정'!$B$14+MAX(0,(1-N276/'01_설정'!$B$7))*'01_설정'!$B$16+MAX(0,(1-O276/'01_설정'!$B$8))*'01_설정'!$B$17+K276*'01_설정'!$B$11+L276*'01_설정'!$B$12)</f>
        <v/>
      </c>
      <c r="R276">
        <f>IF(Q276="","",1+COUNTIFS($Q$31:$Q$1030,"&gt;"&amp;Q276)+COUNTIFS($Q$31:Q276,Q276)-1)</f>
        <v/>
      </c>
    </row>
    <row r="277" hidden="1" ht="16.5" customHeight="1">
      <c r="A277">
        <f>IF(COUNTA('05_KAIS'!$A265:$N265)=0,"",250)</f>
        <v/>
      </c>
      <c r="B277">
        <f>IF($A277="","",TRIM(INDEX('05_KAIS'!$B:$B,$A277)&amp;" "&amp;INDEX('05_KAIS'!$C:$C,$A277)))</f>
        <v/>
      </c>
      <c r="C277">
        <f>IF($A277="","",INDEX('05_KAIS'!$D:$D,$A277))</f>
        <v/>
      </c>
      <c r="D277">
        <f>IF($A277="","",INDEX('05_KAIS'!$H:$H,$A277))</f>
        <v/>
      </c>
      <c r="E277">
        <f>IF($A277="","",INDEX('05_KAIS'!$K:$K,$A277))</f>
        <v/>
      </c>
      <c r="F277" s="202">
        <f>IF($A277="","",INDEX('05_KAIS'!$I:$I,$A277))</f>
        <v/>
      </c>
      <c r="G277" s="118">
        <f>IF($A277="","",INDEX('05_KAIS'!$L:$L,$A277))</f>
        <v/>
      </c>
      <c r="H277" s="118">
        <f>IF($A277="","",IFERROR(INDEX('05_KAIS'!$M:$M,$A277),IF(AND(E277&gt;0,G277&gt;0),G277/E277,"")))</f>
        <v/>
      </c>
      <c r="I277" s="202">
        <f>IF($A277="","",INDEX('05_KAIS'!$N:$N,$A277))</f>
        <v/>
      </c>
      <c r="J277">
        <f>IF(B277="","",IF('02_대상물건입력'!$B$5="",1,IF(ISNUMBER(SEARCH('02_대상물건입력'!$B$5,B277)),1,0)))</f>
        <v/>
      </c>
      <c r="K277">
        <f>IF(B277="","",IF('02_대상물건입력'!$B$6="",1,IF(ISNUMBER(SEARCH('02_대상물건입력'!$B$6,B277)),1,0)))</f>
        <v/>
      </c>
      <c r="L277">
        <f>IF(D277="","",IF('02_대상물건입력'!$B$8="",0,IF(ISNUMBER(SEARCH('02_대상물건입력'!$B$8,D277)),1,0)))</f>
        <v/>
      </c>
      <c r="M277">
        <f>IFERROR(ABS(E277-'02_대상물건입력'!$B$11)/'02_대상물건입력'!$B$11,"")</f>
        <v/>
      </c>
      <c r="N277">
        <f>IFERROR(ABS('01_설정'!$B$4-F277),"")</f>
        <v/>
      </c>
      <c r="O277">
        <f>IFERROR(ABS(YEAR(I277)-YEAR('02_대상물건입력'!$B$14)),"")</f>
        <v/>
      </c>
      <c r="P277">
        <f>IF(AND(E277&gt;0,F277&gt;0,G277&gt;0,IF('01_설정'!$B$10=1,J277=1,TRUE()),M277&lt;='01_설정'!$B$5,N277&lt;='01_설정'!$B$7,O277&lt;='01_설정'!$B$8),"Y","")</f>
        <v/>
      </c>
      <c r="Q277">
        <f>IF(P277&lt;&gt;"Y","",MAX(0,(1-M277/'01_설정'!$B$5))*'01_설정'!$B$14+MAX(0,(1-N277/'01_설정'!$B$7))*'01_설정'!$B$16+MAX(0,(1-O277/'01_설정'!$B$8))*'01_설정'!$B$17+K277*'01_설정'!$B$11+L277*'01_설정'!$B$12)</f>
        <v/>
      </c>
      <c r="R277">
        <f>IF(Q277="","",1+COUNTIFS($Q$31:$Q$1030,"&gt;"&amp;Q277)+COUNTIFS($Q$31:Q277,Q277)-1)</f>
        <v/>
      </c>
    </row>
    <row r="278" hidden="1" ht="16.5" customHeight="1">
      <c r="A278">
        <f>IF(COUNTA('05_KAIS'!$A266:$N266)=0,"",251)</f>
        <v/>
      </c>
      <c r="B278">
        <f>IF($A278="","",TRIM(INDEX('05_KAIS'!$B:$B,$A278)&amp;" "&amp;INDEX('05_KAIS'!$C:$C,$A278)))</f>
        <v/>
      </c>
      <c r="C278">
        <f>IF($A278="","",INDEX('05_KAIS'!$D:$D,$A278))</f>
        <v/>
      </c>
      <c r="D278">
        <f>IF($A278="","",INDEX('05_KAIS'!$H:$H,$A278))</f>
        <v/>
      </c>
      <c r="E278">
        <f>IF($A278="","",INDEX('05_KAIS'!$K:$K,$A278))</f>
        <v/>
      </c>
      <c r="F278" s="202">
        <f>IF($A278="","",INDEX('05_KAIS'!$I:$I,$A278))</f>
        <v/>
      </c>
      <c r="G278" s="118">
        <f>IF($A278="","",INDEX('05_KAIS'!$L:$L,$A278))</f>
        <v/>
      </c>
      <c r="H278" s="118">
        <f>IF($A278="","",IFERROR(INDEX('05_KAIS'!$M:$M,$A278),IF(AND(E278&gt;0,G278&gt;0),G278/E278,"")))</f>
        <v/>
      </c>
      <c r="I278" s="202">
        <f>IF($A278="","",INDEX('05_KAIS'!$N:$N,$A278))</f>
        <v/>
      </c>
      <c r="J278">
        <f>IF(B278="","",IF('02_대상물건입력'!$B$5="",1,IF(ISNUMBER(SEARCH('02_대상물건입력'!$B$5,B278)),1,0)))</f>
        <v/>
      </c>
      <c r="K278">
        <f>IF(B278="","",IF('02_대상물건입력'!$B$6="",1,IF(ISNUMBER(SEARCH('02_대상물건입력'!$B$6,B278)),1,0)))</f>
        <v/>
      </c>
      <c r="L278">
        <f>IF(D278="","",IF('02_대상물건입력'!$B$8="",0,IF(ISNUMBER(SEARCH('02_대상물건입력'!$B$8,D278)),1,0)))</f>
        <v/>
      </c>
      <c r="M278">
        <f>IFERROR(ABS(E278-'02_대상물건입력'!$B$11)/'02_대상물건입력'!$B$11,"")</f>
        <v/>
      </c>
      <c r="N278">
        <f>IFERROR(ABS('01_설정'!$B$4-F278),"")</f>
        <v/>
      </c>
      <c r="O278">
        <f>IFERROR(ABS(YEAR(I278)-YEAR('02_대상물건입력'!$B$14)),"")</f>
        <v/>
      </c>
      <c r="P278">
        <f>IF(AND(E278&gt;0,F278&gt;0,G278&gt;0,IF('01_설정'!$B$10=1,J278=1,TRUE()),M278&lt;='01_설정'!$B$5,N278&lt;='01_설정'!$B$7,O278&lt;='01_설정'!$B$8),"Y","")</f>
        <v/>
      </c>
      <c r="Q278">
        <f>IF(P278&lt;&gt;"Y","",MAX(0,(1-M278/'01_설정'!$B$5))*'01_설정'!$B$14+MAX(0,(1-N278/'01_설정'!$B$7))*'01_설정'!$B$16+MAX(0,(1-O278/'01_설정'!$B$8))*'01_설정'!$B$17+K278*'01_설정'!$B$11+L278*'01_설정'!$B$12)</f>
        <v/>
      </c>
      <c r="R278">
        <f>IF(Q278="","",1+COUNTIFS($Q$31:$Q$1030,"&gt;"&amp;Q278)+COUNTIFS($Q$31:Q278,Q278)-1)</f>
        <v/>
      </c>
    </row>
    <row r="279" hidden="1" ht="16.5" customHeight="1">
      <c r="A279">
        <f>IF(COUNTA('05_KAIS'!$A267:$N267)=0,"",252)</f>
        <v/>
      </c>
      <c r="B279">
        <f>IF($A279="","",TRIM(INDEX('05_KAIS'!$B:$B,$A279)&amp;" "&amp;INDEX('05_KAIS'!$C:$C,$A279)))</f>
        <v/>
      </c>
      <c r="C279">
        <f>IF($A279="","",INDEX('05_KAIS'!$D:$D,$A279))</f>
        <v/>
      </c>
      <c r="D279">
        <f>IF($A279="","",INDEX('05_KAIS'!$H:$H,$A279))</f>
        <v/>
      </c>
      <c r="E279">
        <f>IF($A279="","",INDEX('05_KAIS'!$K:$K,$A279))</f>
        <v/>
      </c>
      <c r="F279" s="202">
        <f>IF($A279="","",INDEX('05_KAIS'!$I:$I,$A279))</f>
        <v/>
      </c>
      <c r="G279" s="118">
        <f>IF($A279="","",INDEX('05_KAIS'!$L:$L,$A279))</f>
        <v/>
      </c>
      <c r="H279" s="118">
        <f>IF($A279="","",IFERROR(INDEX('05_KAIS'!$M:$M,$A279),IF(AND(E279&gt;0,G279&gt;0),G279/E279,"")))</f>
        <v/>
      </c>
      <c r="I279" s="202">
        <f>IF($A279="","",INDEX('05_KAIS'!$N:$N,$A279))</f>
        <v/>
      </c>
      <c r="J279">
        <f>IF(B279="","",IF('02_대상물건입력'!$B$5="",1,IF(ISNUMBER(SEARCH('02_대상물건입력'!$B$5,B279)),1,0)))</f>
        <v/>
      </c>
      <c r="K279">
        <f>IF(B279="","",IF('02_대상물건입력'!$B$6="",1,IF(ISNUMBER(SEARCH('02_대상물건입력'!$B$6,B279)),1,0)))</f>
        <v/>
      </c>
      <c r="L279">
        <f>IF(D279="","",IF('02_대상물건입력'!$B$8="",0,IF(ISNUMBER(SEARCH('02_대상물건입력'!$B$8,D279)),1,0)))</f>
        <v/>
      </c>
      <c r="M279">
        <f>IFERROR(ABS(E279-'02_대상물건입력'!$B$11)/'02_대상물건입력'!$B$11,"")</f>
        <v/>
      </c>
      <c r="N279">
        <f>IFERROR(ABS('01_설정'!$B$4-F279),"")</f>
        <v/>
      </c>
      <c r="O279">
        <f>IFERROR(ABS(YEAR(I279)-YEAR('02_대상물건입력'!$B$14)),"")</f>
        <v/>
      </c>
      <c r="P279">
        <f>IF(AND(E279&gt;0,F279&gt;0,G279&gt;0,IF('01_설정'!$B$10=1,J279=1,TRUE()),M279&lt;='01_설정'!$B$5,N279&lt;='01_설정'!$B$7,O279&lt;='01_설정'!$B$8),"Y","")</f>
        <v/>
      </c>
      <c r="Q279">
        <f>IF(P279&lt;&gt;"Y","",MAX(0,(1-M279/'01_설정'!$B$5))*'01_설정'!$B$14+MAX(0,(1-N279/'01_설정'!$B$7))*'01_설정'!$B$16+MAX(0,(1-O279/'01_설정'!$B$8))*'01_설정'!$B$17+K279*'01_설정'!$B$11+L279*'01_설정'!$B$12)</f>
        <v/>
      </c>
      <c r="R279">
        <f>IF(Q279="","",1+COUNTIFS($Q$31:$Q$1030,"&gt;"&amp;Q279)+COUNTIFS($Q$31:Q279,Q279)-1)</f>
        <v/>
      </c>
    </row>
    <row r="280" hidden="1" ht="16.5" customHeight="1">
      <c r="A280">
        <f>IF(COUNTA('05_KAIS'!$A268:$N268)=0,"",253)</f>
        <v/>
      </c>
      <c r="B280">
        <f>IF($A280="","",TRIM(INDEX('05_KAIS'!$B:$B,$A280)&amp;" "&amp;INDEX('05_KAIS'!$C:$C,$A280)))</f>
        <v/>
      </c>
      <c r="C280">
        <f>IF($A280="","",INDEX('05_KAIS'!$D:$D,$A280))</f>
        <v/>
      </c>
      <c r="D280">
        <f>IF($A280="","",INDEX('05_KAIS'!$H:$H,$A280))</f>
        <v/>
      </c>
      <c r="E280">
        <f>IF($A280="","",INDEX('05_KAIS'!$K:$K,$A280))</f>
        <v/>
      </c>
      <c r="F280" s="202">
        <f>IF($A280="","",INDEX('05_KAIS'!$I:$I,$A280))</f>
        <v/>
      </c>
      <c r="G280" s="118">
        <f>IF($A280="","",INDEX('05_KAIS'!$L:$L,$A280))</f>
        <v/>
      </c>
      <c r="H280" s="118">
        <f>IF($A280="","",IFERROR(INDEX('05_KAIS'!$M:$M,$A280),IF(AND(E280&gt;0,G280&gt;0),G280/E280,"")))</f>
        <v/>
      </c>
      <c r="I280" s="202">
        <f>IF($A280="","",INDEX('05_KAIS'!$N:$N,$A280))</f>
        <v/>
      </c>
      <c r="J280">
        <f>IF(B280="","",IF('02_대상물건입력'!$B$5="",1,IF(ISNUMBER(SEARCH('02_대상물건입력'!$B$5,B280)),1,0)))</f>
        <v/>
      </c>
      <c r="K280">
        <f>IF(B280="","",IF('02_대상물건입력'!$B$6="",1,IF(ISNUMBER(SEARCH('02_대상물건입력'!$B$6,B280)),1,0)))</f>
        <v/>
      </c>
      <c r="L280">
        <f>IF(D280="","",IF('02_대상물건입력'!$B$8="",0,IF(ISNUMBER(SEARCH('02_대상물건입력'!$B$8,D280)),1,0)))</f>
        <v/>
      </c>
      <c r="M280">
        <f>IFERROR(ABS(E280-'02_대상물건입력'!$B$11)/'02_대상물건입력'!$B$11,"")</f>
        <v/>
      </c>
      <c r="N280">
        <f>IFERROR(ABS('01_설정'!$B$4-F280),"")</f>
        <v/>
      </c>
      <c r="O280">
        <f>IFERROR(ABS(YEAR(I280)-YEAR('02_대상물건입력'!$B$14)),"")</f>
        <v/>
      </c>
      <c r="P280">
        <f>IF(AND(E280&gt;0,F280&gt;0,G280&gt;0,IF('01_설정'!$B$10=1,J280=1,TRUE()),M280&lt;='01_설정'!$B$5,N280&lt;='01_설정'!$B$7,O280&lt;='01_설정'!$B$8),"Y","")</f>
        <v/>
      </c>
      <c r="Q280">
        <f>IF(P280&lt;&gt;"Y","",MAX(0,(1-M280/'01_설정'!$B$5))*'01_설정'!$B$14+MAX(0,(1-N280/'01_설정'!$B$7))*'01_설정'!$B$16+MAX(0,(1-O280/'01_설정'!$B$8))*'01_설정'!$B$17+K280*'01_설정'!$B$11+L280*'01_설정'!$B$12)</f>
        <v/>
      </c>
      <c r="R280">
        <f>IF(Q280="","",1+COUNTIFS($Q$31:$Q$1030,"&gt;"&amp;Q280)+COUNTIFS($Q$31:Q280,Q280)-1)</f>
        <v/>
      </c>
    </row>
    <row r="281" hidden="1" ht="16.5" customHeight="1">
      <c r="A281">
        <f>IF(COUNTA('05_KAIS'!$A269:$N269)=0,"",254)</f>
        <v/>
      </c>
      <c r="B281">
        <f>IF($A281="","",TRIM(INDEX('05_KAIS'!$B:$B,$A281)&amp;" "&amp;INDEX('05_KAIS'!$C:$C,$A281)))</f>
        <v/>
      </c>
      <c r="C281">
        <f>IF($A281="","",INDEX('05_KAIS'!$D:$D,$A281))</f>
        <v/>
      </c>
      <c r="D281">
        <f>IF($A281="","",INDEX('05_KAIS'!$H:$H,$A281))</f>
        <v/>
      </c>
      <c r="E281">
        <f>IF($A281="","",INDEX('05_KAIS'!$K:$K,$A281))</f>
        <v/>
      </c>
      <c r="F281" s="202">
        <f>IF($A281="","",INDEX('05_KAIS'!$I:$I,$A281))</f>
        <v/>
      </c>
      <c r="G281" s="118">
        <f>IF($A281="","",INDEX('05_KAIS'!$L:$L,$A281))</f>
        <v/>
      </c>
      <c r="H281" s="118">
        <f>IF($A281="","",IFERROR(INDEX('05_KAIS'!$M:$M,$A281),IF(AND(E281&gt;0,G281&gt;0),G281/E281,"")))</f>
        <v/>
      </c>
      <c r="I281" s="202">
        <f>IF($A281="","",INDEX('05_KAIS'!$N:$N,$A281))</f>
        <v/>
      </c>
      <c r="J281">
        <f>IF(B281="","",IF('02_대상물건입력'!$B$5="",1,IF(ISNUMBER(SEARCH('02_대상물건입력'!$B$5,B281)),1,0)))</f>
        <v/>
      </c>
      <c r="K281">
        <f>IF(B281="","",IF('02_대상물건입력'!$B$6="",1,IF(ISNUMBER(SEARCH('02_대상물건입력'!$B$6,B281)),1,0)))</f>
        <v/>
      </c>
      <c r="L281">
        <f>IF(D281="","",IF('02_대상물건입력'!$B$8="",0,IF(ISNUMBER(SEARCH('02_대상물건입력'!$B$8,D281)),1,0)))</f>
        <v/>
      </c>
      <c r="M281">
        <f>IFERROR(ABS(E281-'02_대상물건입력'!$B$11)/'02_대상물건입력'!$B$11,"")</f>
        <v/>
      </c>
      <c r="N281">
        <f>IFERROR(ABS('01_설정'!$B$4-F281),"")</f>
        <v/>
      </c>
      <c r="O281">
        <f>IFERROR(ABS(YEAR(I281)-YEAR('02_대상물건입력'!$B$14)),"")</f>
        <v/>
      </c>
      <c r="P281">
        <f>IF(AND(E281&gt;0,F281&gt;0,G281&gt;0,IF('01_설정'!$B$10=1,J281=1,TRUE()),M281&lt;='01_설정'!$B$5,N281&lt;='01_설정'!$B$7,O281&lt;='01_설정'!$B$8),"Y","")</f>
        <v/>
      </c>
      <c r="Q281">
        <f>IF(P281&lt;&gt;"Y","",MAX(0,(1-M281/'01_설정'!$B$5))*'01_설정'!$B$14+MAX(0,(1-N281/'01_설정'!$B$7))*'01_설정'!$B$16+MAX(0,(1-O281/'01_설정'!$B$8))*'01_설정'!$B$17+K281*'01_설정'!$B$11+L281*'01_설정'!$B$12)</f>
        <v/>
      </c>
      <c r="R281">
        <f>IF(Q281="","",1+COUNTIFS($Q$31:$Q$1030,"&gt;"&amp;Q281)+COUNTIFS($Q$31:Q281,Q281)-1)</f>
        <v/>
      </c>
    </row>
    <row r="282" hidden="1" ht="16.5" customHeight="1">
      <c r="A282">
        <f>IF(COUNTA('05_KAIS'!$A270:$N270)=0,"",255)</f>
        <v/>
      </c>
      <c r="B282">
        <f>IF($A282="","",TRIM(INDEX('05_KAIS'!$B:$B,$A282)&amp;" "&amp;INDEX('05_KAIS'!$C:$C,$A282)))</f>
        <v/>
      </c>
      <c r="C282">
        <f>IF($A282="","",INDEX('05_KAIS'!$D:$D,$A282))</f>
        <v/>
      </c>
      <c r="D282">
        <f>IF($A282="","",INDEX('05_KAIS'!$H:$H,$A282))</f>
        <v/>
      </c>
      <c r="E282">
        <f>IF($A282="","",INDEX('05_KAIS'!$K:$K,$A282))</f>
        <v/>
      </c>
      <c r="F282" s="202">
        <f>IF($A282="","",INDEX('05_KAIS'!$I:$I,$A282))</f>
        <v/>
      </c>
      <c r="G282" s="118">
        <f>IF($A282="","",INDEX('05_KAIS'!$L:$L,$A282))</f>
        <v/>
      </c>
      <c r="H282" s="118">
        <f>IF($A282="","",IFERROR(INDEX('05_KAIS'!$M:$M,$A282),IF(AND(E282&gt;0,G282&gt;0),G282/E282,"")))</f>
        <v/>
      </c>
      <c r="I282" s="202">
        <f>IF($A282="","",INDEX('05_KAIS'!$N:$N,$A282))</f>
        <v/>
      </c>
      <c r="J282">
        <f>IF(B282="","",IF('02_대상물건입력'!$B$5="",1,IF(ISNUMBER(SEARCH('02_대상물건입력'!$B$5,B282)),1,0)))</f>
        <v/>
      </c>
      <c r="K282">
        <f>IF(B282="","",IF('02_대상물건입력'!$B$6="",1,IF(ISNUMBER(SEARCH('02_대상물건입력'!$B$6,B282)),1,0)))</f>
        <v/>
      </c>
      <c r="L282">
        <f>IF(D282="","",IF('02_대상물건입력'!$B$8="",0,IF(ISNUMBER(SEARCH('02_대상물건입력'!$B$8,D282)),1,0)))</f>
        <v/>
      </c>
      <c r="M282">
        <f>IFERROR(ABS(E282-'02_대상물건입력'!$B$11)/'02_대상물건입력'!$B$11,"")</f>
        <v/>
      </c>
      <c r="N282">
        <f>IFERROR(ABS('01_설정'!$B$4-F282),"")</f>
        <v/>
      </c>
      <c r="O282">
        <f>IFERROR(ABS(YEAR(I282)-YEAR('02_대상물건입력'!$B$14)),"")</f>
        <v/>
      </c>
      <c r="P282">
        <f>IF(AND(E282&gt;0,F282&gt;0,G282&gt;0,IF('01_설정'!$B$10=1,J282=1,TRUE()),M282&lt;='01_설정'!$B$5,N282&lt;='01_설정'!$B$7,O282&lt;='01_설정'!$B$8),"Y","")</f>
        <v/>
      </c>
      <c r="Q282">
        <f>IF(P282&lt;&gt;"Y","",MAX(0,(1-M282/'01_설정'!$B$5))*'01_설정'!$B$14+MAX(0,(1-N282/'01_설정'!$B$7))*'01_설정'!$B$16+MAX(0,(1-O282/'01_설정'!$B$8))*'01_설정'!$B$17+K282*'01_설정'!$B$11+L282*'01_설정'!$B$12)</f>
        <v/>
      </c>
      <c r="R282">
        <f>IF(Q282="","",1+COUNTIFS($Q$31:$Q$1030,"&gt;"&amp;Q282)+COUNTIFS($Q$31:Q282,Q282)-1)</f>
        <v/>
      </c>
    </row>
    <row r="283" hidden="1" ht="16.5" customHeight="1">
      <c r="A283">
        <f>IF(COUNTA('05_KAIS'!$A271:$N271)=0,"",256)</f>
        <v/>
      </c>
      <c r="B283">
        <f>IF($A283="","",TRIM(INDEX('05_KAIS'!$B:$B,$A283)&amp;" "&amp;INDEX('05_KAIS'!$C:$C,$A283)))</f>
        <v/>
      </c>
      <c r="C283">
        <f>IF($A283="","",INDEX('05_KAIS'!$D:$D,$A283))</f>
        <v/>
      </c>
      <c r="D283">
        <f>IF($A283="","",INDEX('05_KAIS'!$H:$H,$A283))</f>
        <v/>
      </c>
      <c r="E283">
        <f>IF($A283="","",INDEX('05_KAIS'!$K:$K,$A283))</f>
        <v/>
      </c>
      <c r="F283" s="202">
        <f>IF($A283="","",INDEX('05_KAIS'!$I:$I,$A283))</f>
        <v/>
      </c>
      <c r="G283" s="118">
        <f>IF($A283="","",INDEX('05_KAIS'!$L:$L,$A283))</f>
        <v/>
      </c>
      <c r="H283" s="118">
        <f>IF($A283="","",IFERROR(INDEX('05_KAIS'!$M:$M,$A283),IF(AND(E283&gt;0,G283&gt;0),G283/E283,"")))</f>
        <v/>
      </c>
      <c r="I283" s="202">
        <f>IF($A283="","",INDEX('05_KAIS'!$N:$N,$A283))</f>
        <v/>
      </c>
      <c r="J283">
        <f>IF(B283="","",IF('02_대상물건입력'!$B$5="",1,IF(ISNUMBER(SEARCH('02_대상물건입력'!$B$5,B283)),1,0)))</f>
        <v/>
      </c>
      <c r="K283">
        <f>IF(B283="","",IF('02_대상물건입력'!$B$6="",1,IF(ISNUMBER(SEARCH('02_대상물건입력'!$B$6,B283)),1,0)))</f>
        <v/>
      </c>
      <c r="L283">
        <f>IF(D283="","",IF('02_대상물건입력'!$B$8="",0,IF(ISNUMBER(SEARCH('02_대상물건입력'!$B$8,D283)),1,0)))</f>
        <v/>
      </c>
      <c r="M283">
        <f>IFERROR(ABS(E283-'02_대상물건입력'!$B$11)/'02_대상물건입력'!$B$11,"")</f>
        <v/>
      </c>
      <c r="N283">
        <f>IFERROR(ABS('01_설정'!$B$4-F283),"")</f>
        <v/>
      </c>
      <c r="O283">
        <f>IFERROR(ABS(YEAR(I283)-YEAR('02_대상물건입력'!$B$14)),"")</f>
        <v/>
      </c>
      <c r="P283">
        <f>IF(AND(E283&gt;0,F283&gt;0,G283&gt;0,IF('01_설정'!$B$10=1,J283=1,TRUE()),M283&lt;='01_설정'!$B$5,N283&lt;='01_설정'!$B$7,O283&lt;='01_설정'!$B$8),"Y","")</f>
        <v/>
      </c>
      <c r="Q283">
        <f>IF(P283&lt;&gt;"Y","",MAX(0,(1-M283/'01_설정'!$B$5))*'01_설정'!$B$14+MAX(0,(1-N283/'01_설정'!$B$7))*'01_설정'!$B$16+MAX(0,(1-O283/'01_설정'!$B$8))*'01_설정'!$B$17+K283*'01_설정'!$B$11+L283*'01_설정'!$B$12)</f>
        <v/>
      </c>
      <c r="R283">
        <f>IF(Q283="","",1+COUNTIFS($Q$31:$Q$1030,"&gt;"&amp;Q283)+COUNTIFS($Q$31:Q283,Q283)-1)</f>
        <v/>
      </c>
    </row>
    <row r="284" hidden="1" ht="16.5" customHeight="1">
      <c r="A284">
        <f>IF(COUNTA('05_KAIS'!$A272:$N272)=0,"",257)</f>
        <v/>
      </c>
      <c r="B284">
        <f>IF($A284="","",TRIM(INDEX('05_KAIS'!$B:$B,$A284)&amp;" "&amp;INDEX('05_KAIS'!$C:$C,$A284)))</f>
        <v/>
      </c>
      <c r="C284">
        <f>IF($A284="","",INDEX('05_KAIS'!$D:$D,$A284))</f>
        <v/>
      </c>
      <c r="D284">
        <f>IF($A284="","",INDEX('05_KAIS'!$H:$H,$A284))</f>
        <v/>
      </c>
      <c r="E284">
        <f>IF($A284="","",INDEX('05_KAIS'!$K:$K,$A284))</f>
        <v/>
      </c>
      <c r="F284" s="202">
        <f>IF($A284="","",INDEX('05_KAIS'!$I:$I,$A284))</f>
        <v/>
      </c>
      <c r="G284" s="118">
        <f>IF($A284="","",INDEX('05_KAIS'!$L:$L,$A284))</f>
        <v/>
      </c>
      <c r="H284" s="118">
        <f>IF($A284="","",IFERROR(INDEX('05_KAIS'!$M:$M,$A284),IF(AND(E284&gt;0,G284&gt;0),G284/E284,"")))</f>
        <v/>
      </c>
      <c r="I284" s="202">
        <f>IF($A284="","",INDEX('05_KAIS'!$N:$N,$A284))</f>
        <v/>
      </c>
      <c r="J284">
        <f>IF(B284="","",IF('02_대상물건입력'!$B$5="",1,IF(ISNUMBER(SEARCH('02_대상물건입력'!$B$5,B284)),1,0)))</f>
        <v/>
      </c>
      <c r="K284">
        <f>IF(B284="","",IF('02_대상물건입력'!$B$6="",1,IF(ISNUMBER(SEARCH('02_대상물건입력'!$B$6,B284)),1,0)))</f>
        <v/>
      </c>
      <c r="L284">
        <f>IF(D284="","",IF('02_대상물건입력'!$B$8="",0,IF(ISNUMBER(SEARCH('02_대상물건입력'!$B$8,D284)),1,0)))</f>
        <v/>
      </c>
      <c r="M284">
        <f>IFERROR(ABS(E284-'02_대상물건입력'!$B$11)/'02_대상물건입력'!$B$11,"")</f>
        <v/>
      </c>
      <c r="N284">
        <f>IFERROR(ABS('01_설정'!$B$4-F284),"")</f>
        <v/>
      </c>
      <c r="O284">
        <f>IFERROR(ABS(YEAR(I284)-YEAR('02_대상물건입력'!$B$14)),"")</f>
        <v/>
      </c>
      <c r="P284">
        <f>IF(AND(E284&gt;0,F284&gt;0,G284&gt;0,IF('01_설정'!$B$10=1,J284=1,TRUE()),M284&lt;='01_설정'!$B$5,N284&lt;='01_설정'!$B$7,O284&lt;='01_설정'!$B$8),"Y","")</f>
        <v/>
      </c>
      <c r="Q284">
        <f>IF(P284&lt;&gt;"Y","",MAX(0,(1-M284/'01_설정'!$B$5))*'01_설정'!$B$14+MAX(0,(1-N284/'01_설정'!$B$7))*'01_설정'!$B$16+MAX(0,(1-O284/'01_설정'!$B$8))*'01_설정'!$B$17+K284*'01_설정'!$B$11+L284*'01_설정'!$B$12)</f>
        <v/>
      </c>
      <c r="R284">
        <f>IF(Q284="","",1+COUNTIFS($Q$31:$Q$1030,"&gt;"&amp;Q284)+COUNTIFS($Q$31:Q284,Q284)-1)</f>
        <v/>
      </c>
    </row>
    <row r="285" hidden="1" ht="16.5" customHeight="1">
      <c r="A285">
        <f>IF(COUNTA('05_KAIS'!$A273:$N273)=0,"",258)</f>
        <v/>
      </c>
      <c r="B285">
        <f>IF($A285="","",TRIM(INDEX('05_KAIS'!$B:$B,$A285)&amp;" "&amp;INDEX('05_KAIS'!$C:$C,$A285)))</f>
        <v/>
      </c>
      <c r="C285">
        <f>IF($A285="","",INDEX('05_KAIS'!$D:$D,$A285))</f>
        <v/>
      </c>
      <c r="D285">
        <f>IF($A285="","",INDEX('05_KAIS'!$H:$H,$A285))</f>
        <v/>
      </c>
      <c r="E285">
        <f>IF($A285="","",INDEX('05_KAIS'!$K:$K,$A285))</f>
        <v/>
      </c>
      <c r="F285" s="202">
        <f>IF($A285="","",INDEX('05_KAIS'!$I:$I,$A285))</f>
        <v/>
      </c>
      <c r="G285" s="118">
        <f>IF($A285="","",INDEX('05_KAIS'!$L:$L,$A285))</f>
        <v/>
      </c>
      <c r="H285" s="118">
        <f>IF($A285="","",IFERROR(INDEX('05_KAIS'!$M:$M,$A285),IF(AND(E285&gt;0,G285&gt;0),G285/E285,"")))</f>
        <v/>
      </c>
      <c r="I285" s="202">
        <f>IF($A285="","",INDEX('05_KAIS'!$N:$N,$A285))</f>
        <v/>
      </c>
      <c r="J285">
        <f>IF(B285="","",IF('02_대상물건입력'!$B$5="",1,IF(ISNUMBER(SEARCH('02_대상물건입력'!$B$5,B285)),1,0)))</f>
        <v/>
      </c>
      <c r="K285">
        <f>IF(B285="","",IF('02_대상물건입력'!$B$6="",1,IF(ISNUMBER(SEARCH('02_대상물건입력'!$B$6,B285)),1,0)))</f>
        <v/>
      </c>
      <c r="L285">
        <f>IF(D285="","",IF('02_대상물건입력'!$B$8="",0,IF(ISNUMBER(SEARCH('02_대상물건입력'!$B$8,D285)),1,0)))</f>
        <v/>
      </c>
      <c r="M285">
        <f>IFERROR(ABS(E285-'02_대상물건입력'!$B$11)/'02_대상물건입력'!$B$11,"")</f>
        <v/>
      </c>
      <c r="N285">
        <f>IFERROR(ABS('01_설정'!$B$4-F285),"")</f>
        <v/>
      </c>
      <c r="O285">
        <f>IFERROR(ABS(YEAR(I285)-YEAR('02_대상물건입력'!$B$14)),"")</f>
        <v/>
      </c>
      <c r="P285">
        <f>IF(AND(E285&gt;0,F285&gt;0,G285&gt;0,IF('01_설정'!$B$10=1,J285=1,TRUE()),M285&lt;='01_설정'!$B$5,N285&lt;='01_설정'!$B$7,O285&lt;='01_설정'!$B$8),"Y","")</f>
        <v/>
      </c>
      <c r="Q285">
        <f>IF(P285&lt;&gt;"Y","",MAX(0,(1-M285/'01_설정'!$B$5))*'01_설정'!$B$14+MAX(0,(1-N285/'01_설정'!$B$7))*'01_설정'!$B$16+MAX(0,(1-O285/'01_설정'!$B$8))*'01_설정'!$B$17+K285*'01_설정'!$B$11+L285*'01_설정'!$B$12)</f>
        <v/>
      </c>
      <c r="R285">
        <f>IF(Q285="","",1+COUNTIFS($Q$31:$Q$1030,"&gt;"&amp;Q285)+COUNTIFS($Q$31:Q285,Q285)-1)</f>
        <v/>
      </c>
    </row>
    <row r="286" hidden="1" ht="16.5" customHeight="1">
      <c r="A286">
        <f>IF(COUNTA('05_KAIS'!$A274:$N274)=0,"",259)</f>
        <v/>
      </c>
      <c r="B286">
        <f>IF($A286="","",TRIM(INDEX('05_KAIS'!$B:$B,$A286)&amp;" "&amp;INDEX('05_KAIS'!$C:$C,$A286)))</f>
        <v/>
      </c>
      <c r="C286">
        <f>IF($A286="","",INDEX('05_KAIS'!$D:$D,$A286))</f>
        <v/>
      </c>
      <c r="D286">
        <f>IF($A286="","",INDEX('05_KAIS'!$H:$H,$A286))</f>
        <v/>
      </c>
      <c r="E286">
        <f>IF($A286="","",INDEX('05_KAIS'!$K:$K,$A286))</f>
        <v/>
      </c>
      <c r="F286" s="202">
        <f>IF($A286="","",INDEX('05_KAIS'!$I:$I,$A286))</f>
        <v/>
      </c>
      <c r="G286" s="118">
        <f>IF($A286="","",INDEX('05_KAIS'!$L:$L,$A286))</f>
        <v/>
      </c>
      <c r="H286" s="118">
        <f>IF($A286="","",IFERROR(INDEX('05_KAIS'!$M:$M,$A286),IF(AND(E286&gt;0,G286&gt;0),G286/E286,"")))</f>
        <v/>
      </c>
      <c r="I286" s="202">
        <f>IF($A286="","",INDEX('05_KAIS'!$N:$N,$A286))</f>
        <v/>
      </c>
      <c r="J286">
        <f>IF(B286="","",IF('02_대상물건입력'!$B$5="",1,IF(ISNUMBER(SEARCH('02_대상물건입력'!$B$5,B286)),1,0)))</f>
        <v/>
      </c>
      <c r="K286">
        <f>IF(B286="","",IF('02_대상물건입력'!$B$6="",1,IF(ISNUMBER(SEARCH('02_대상물건입력'!$B$6,B286)),1,0)))</f>
        <v/>
      </c>
      <c r="L286">
        <f>IF(D286="","",IF('02_대상물건입력'!$B$8="",0,IF(ISNUMBER(SEARCH('02_대상물건입력'!$B$8,D286)),1,0)))</f>
        <v/>
      </c>
      <c r="M286">
        <f>IFERROR(ABS(E286-'02_대상물건입력'!$B$11)/'02_대상물건입력'!$B$11,"")</f>
        <v/>
      </c>
      <c r="N286">
        <f>IFERROR(ABS('01_설정'!$B$4-F286),"")</f>
        <v/>
      </c>
      <c r="O286">
        <f>IFERROR(ABS(YEAR(I286)-YEAR('02_대상물건입력'!$B$14)),"")</f>
        <v/>
      </c>
      <c r="P286">
        <f>IF(AND(E286&gt;0,F286&gt;0,G286&gt;0,IF('01_설정'!$B$10=1,J286=1,TRUE()),M286&lt;='01_설정'!$B$5,N286&lt;='01_설정'!$B$7,O286&lt;='01_설정'!$B$8),"Y","")</f>
        <v/>
      </c>
      <c r="Q286">
        <f>IF(P286&lt;&gt;"Y","",MAX(0,(1-M286/'01_설정'!$B$5))*'01_설정'!$B$14+MAX(0,(1-N286/'01_설정'!$B$7))*'01_설정'!$B$16+MAX(0,(1-O286/'01_설정'!$B$8))*'01_설정'!$B$17+K286*'01_설정'!$B$11+L286*'01_설정'!$B$12)</f>
        <v/>
      </c>
      <c r="R286">
        <f>IF(Q286="","",1+COUNTIFS($Q$31:$Q$1030,"&gt;"&amp;Q286)+COUNTIFS($Q$31:Q286,Q286)-1)</f>
        <v/>
      </c>
    </row>
    <row r="287" hidden="1" ht="16.5" customHeight="1">
      <c r="A287">
        <f>IF(COUNTA('05_KAIS'!$A275:$N275)=0,"",260)</f>
        <v/>
      </c>
      <c r="B287">
        <f>IF($A287="","",TRIM(INDEX('05_KAIS'!$B:$B,$A287)&amp;" "&amp;INDEX('05_KAIS'!$C:$C,$A287)))</f>
        <v/>
      </c>
      <c r="C287">
        <f>IF($A287="","",INDEX('05_KAIS'!$D:$D,$A287))</f>
        <v/>
      </c>
      <c r="D287">
        <f>IF($A287="","",INDEX('05_KAIS'!$H:$H,$A287))</f>
        <v/>
      </c>
      <c r="E287">
        <f>IF($A287="","",INDEX('05_KAIS'!$K:$K,$A287))</f>
        <v/>
      </c>
      <c r="F287" s="202">
        <f>IF($A287="","",INDEX('05_KAIS'!$I:$I,$A287))</f>
        <v/>
      </c>
      <c r="G287" s="118">
        <f>IF($A287="","",INDEX('05_KAIS'!$L:$L,$A287))</f>
        <v/>
      </c>
      <c r="H287" s="118">
        <f>IF($A287="","",IFERROR(INDEX('05_KAIS'!$M:$M,$A287),IF(AND(E287&gt;0,G287&gt;0),G287/E287,"")))</f>
        <v/>
      </c>
      <c r="I287" s="202">
        <f>IF($A287="","",INDEX('05_KAIS'!$N:$N,$A287))</f>
        <v/>
      </c>
      <c r="J287">
        <f>IF(B287="","",IF('02_대상물건입력'!$B$5="",1,IF(ISNUMBER(SEARCH('02_대상물건입력'!$B$5,B287)),1,0)))</f>
        <v/>
      </c>
      <c r="K287">
        <f>IF(B287="","",IF('02_대상물건입력'!$B$6="",1,IF(ISNUMBER(SEARCH('02_대상물건입력'!$B$6,B287)),1,0)))</f>
        <v/>
      </c>
      <c r="L287">
        <f>IF(D287="","",IF('02_대상물건입력'!$B$8="",0,IF(ISNUMBER(SEARCH('02_대상물건입력'!$B$8,D287)),1,0)))</f>
        <v/>
      </c>
      <c r="M287">
        <f>IFERROR(ABS(E287-'02_대상물건입력'!$B$11)/'02_대상물건입력'!$B$11,"")</f>
        <v/>
      </c>
      <c r="N287">
        <f>IFERROR(ABS('01_설정'!$B$4-F287),"")</f>
        <v/>
      </c>
      <c r="O287">
        <f>IFERROR(ABS(YEAR(I287)-YEAR('02_대상물건입력'!$B$14)),"")</f>
        <v/>
      </c>
      <c r="P287">
        <f>IF(AND(E287&gt;0,F287&gt;0,G287&gt;0,IF('01_설정'!$B$10=1,J287=1,TRUE()),M287&lt;='01_설정'!$B$5,N287&lt;='01_설정'!$B$7,O287&lt;='01_설정'!$B$8),"Y","")</f>
        <v/>
      </c>
      <c r="Q287">
        <f>IF(P287&lt;&gt;"Y","",MAX(0,(1-M287/'01_설정'!$B$5))*'01_설정'!$B$14+MAX(0,(1-N287/'01_설정'!$B$7))*'01_설정'!$B$16+MAX(0,(1-O287/'01_설정'!$B$8))*'01_설정'!$B$17+K287*'01_설정'!$B$11+L287*'01_설정'!$B$12)</f>
        <v/>
      </c>
      <c r="R287">
        <f>IF(Q287="","",1+COUNTIFS($Q$31:$Q$1030,"&gt;"&amp;Q287)+COUNTIFS($Q$31:Q287,Q287)-1)</f>
        <v/>
      </c>
    </row>
    <row r="288" hidden="1" ht="16.5" customHeight="1">
      <c r="A288">
        <f>IF(COUNTA('05_KAIS'!$A276:$N276)=0,"",261)</f>
        <v/>
      </c>
      <c r="B288">
        <f>IF($A288="","",TRIM(INDEX('05_KAIS'!$B:$B,$A288)&amp;" "&amp;INDEX('05_KAIS'!$C:$C,$A288)))</f>
        <v/>
      </c>
      <c r="C288">
        <f>IF($A288="","",INDEX('05_KAIS'!$D:$D,$A288))</f>
        <v/>
      </c>
      <c r="D288">
        <f>IF($A288="","",INDEX('05_KAIS'!$H:$H,$A288))</f>
        <v/>
      </c>
      <c r="E288">
        <f>IF($A288="","",INDEX('05_KAIS'!$K:$K,$A288))</f>
        <v/>
      </c>
      <c r="F288" s="202">
        <f>IF($A288="","",INDEX('05_KAIS'!$I:$I,$A288))</f>
        <v/>
      </c>
      <c r="G288" s="118">
        <f>IF($A288="","",INDEX('05_KAIS'!$L:$L,$A288))</f>
        <v/>
      </c>
      <c r="H288" s="118">
        <f>IF($A288="","",IFERROR(INDEX('05_KAIS'!$M:$M,$A288),IF(AND(E288&gt;0,G288&gt;0),G288/E288,"")))</f>
        <v/>
      </c>
      <c r="I288" s="202">
        <f>IF($A288="","",INDEX('05_KAIS'!$N:$N,$A288))</f>
        <v/>
      </c>
      <c r="J288">
        <f>IF(B288="","",IF('02_대상물건입력'!$B$5="",1,IF(ISNUMBER(SEARCH('02_대상물건입력'!$B$5,B288)),1,0)))</f>
        <v/>
      </c>
      <c r="K288">
        <f>IF(B288="","",IF('02_대상물건입력'!$B$6="",1,IF(ISNUMBER(SEARCH('02_대상물건입력'!$B$6,B288)),1,0)))</f>
        <v/>
      </c>
      <c r="L288">
        <f>IF(D288="","",IF('02_대상물건입력'!$B$8="",0,IF(ISNUMBER(SEARCH('02_대상물건입력'!$B$8,D288)),1,0)))</f>
        <v/>
      </c>
      <c r="M288">
        <f>IFERROR(ABS(E288-'02_대상물건입력'!$B$11)/'02_대상물건입력'!$B$11,"")</f>
        <v/>
      </c>
      <c r="N288">
        <f>IFERROR(ABS('01_설정'!$B$4-F288),"")</f>
        <v/>
      </c>
      <c r="O288">
        <f>IFERROR(ABS(YEAR(I288)-YEAR('02_대상물건입력'!$B$14)),"")</f>
        <v/>
      </c>
      <c r="P288">
        <f>IF(AND(E288&gt;0,F288&gt;0,G288&gt;0,IF('01_설정'!$B$10=1,J288=1,TRUE()),M288&lt;='01_설정'!$B$5,N288&lt;='01_설정'!$B$7,O288&lt;='01_설정'!$B$8),"Y","")</f>
        <v/>
      </c>
      <c r="Q288">
        <f>IF(P288&lt;&gt;"Y","",MAX(0,(1-M288/'01_설정'!$B$5))*'01_설정'!$B$14+MAX(0,(1-N288/'01_설정'!$B$7))*'01_설정'!$B$16+MAX(0,(1-O288/'01_설정'!$B$8))*'01_설정'!$B$17+K288*'01_설정'!$B$11+L288*'01_설정'!$B$12)</f>
        <v/>
      </c>
      <c r="R288">
        <f>IF(Q288="","",1+COUNTIFS($Q$31:$Q$1030,"&gt;"&amp;Q288)+COUNTIFS($Q$31:Q288,Q288)-1)</f>
        <v/>
      </c>
    </row>
    <row r="289" hidden="1" ht="16.5" customHeight="1">
      <c r="A289">
        <f>IF(COUNTA('05_KAIS'!$A277:$N277)=0,"",262)</f>
        <v/>
      </c>
      <c r="B289">
        <f>IF($A289="","",TRIM(INDEX('05_KAIS'!$B:$B,$A289)&amp;" "&amp;INDEX('05_KAIS'!$C:$C,$A289)))</f>
        <v/>
      </c>
      <c r="C289">
        <f>IF($A289="","",INDEX('05_KAIS'!$D:$D,$A289))</f>
        <v/>
      </c>
      <c r="D289">
        <f>IF($A289="","",INDEX('05_KAIS'!$H:$H,$A289))</f>
        <v/>
      </c>
      <c r="E289">
        <f>IF($A289="","",INDEX('05_KAIS'!$K:$K,$A289))</f>
        <v/>
      </c>
      <c r="F289" s="202">
        <f>IF($A289="","",INDEX('05_KAIS'!$I:$I,$A289))</f>
        <v/>
      </c>
      <c r="G289" s="118">
        <f>IF($A289="","",INDEX('05_KAIS'!$L:$L,$A289))</f>
        <v/>
      </c>
      <c r="H289" s="118">
        <f>IF($A289="","",IFERROR(INDEX('05_KAIS'!$M:$M,$A289),IF(AND(E289&gt;0,G289&gt;0),G289/E289,"")))</f>
        <v/>
      </c>
      <c r="I289" s="202">
        <f>IF($A289="","",INDEX('05_KAIS'!$N:$N,$A289))</f>
        <v/>
      </c>
      <c r="J289">
        <f>IF(B289="","",IF('02_대상물건입력'!$B$5="",1,IF(ISNUMBER(SEARCH('02_대상물건입력'!$B$5,B289)),1,0)))</f>
        <v/>
      </c>
      <c r="K289">
        <f>IF(B289="","",IF('02_대상물건입력'!$B$6="",1,IF(ISNUMBER(SEARCH('02_대상물건입력'!$B$6,B289)),1,0)))</f>
        <v/>
      </c>
      <c r="L289">
        <f>IF(D289="","",IF('02_대상물건입력'!$B$8="",0,IF(ISNUMBER(SEARCH('02_대상물건입력'!$B$8,D289)),1,0)))</f>
        <v/>
      </c>
      <c r="M289">
        <f>IFERROR(ABS(E289-'02_대상물건입력'!$B$11)/'02_대상물건입력'!$B$11,"")</f>
        <v/>
      </c>
      <c r="N289">
        <f>IFERROR(ABS('01_설정'!$B$4-F289),"")</f>
        <v/>
      </c>
      <c r="O289">
        <f>IFERROR(ABS(YEAR(I289)-YEAR('02_대상물건입력'!$B$14)),"")</f>
        <v/>
      </c>
      <c r="P289">
        <f>IF(AND(E289&gt;0,F289&gt;0,G289&gt;0,IF('01_설정'!$B$10=1,J289=1,TRUE()),M289&lt;='01_설정'!$B$5,N289&lt;='01_설정'!$B$7,O289&lt;='01_설정'!$B$8),"Y","")</f>
        <v/>
      </c>
      <c r="Q289">
        <f>IF(P289&lt;&gt;"Y","",MAX(0,(1-M289/'01_설정'!$B$5))*'01_설정'!$B$14+MAX(0,(1-N289/'01_설정'!$B$7))*'01_설정'!$B$16+MAX(0,(1-O289/'01_설정'!$B$8))*'01_설정'!$B$17+K289*'01_설정'!$B$11+L289*'01_설정'!$B$12)</f>
        <v/>
      </c>
      <c r="R289">
        <f>IF(Q289="","",1+COUNTIFS($Q$31:$Q$1030,"&gt;"&amp;Q289)+COUNTIFS($Q$31:Q289,Q289)-1)</f>
        <v/>
      </c>
    </row>
    <row r="290" hidden="1" ht="16.5" customHeight="1">
      <c r="A290">
        <f>IF(COUNTA('05_KAIS'!$A278:$N278)=0,"",263)</f>
        <v/>
      </c>
      <c r="B290">
        <f>IF($A290="","",TRIM(INDEX('05_KAIS'!$B:$B,$A290)&amp;" "&amp;INDEX('05_KAIS'!$C:$C,$A290)))</f>
        <v/>
      </c>
      <c r="C290">
        <f>IF($A290="","",INDEX('05_KAIS'!$D:$D,$A290))</f>
        <v/>
      </c>
      <c r="D290">
        <f>IF($A290="","",INDEX('05_KAIS'!$H:$H,$A290))</f>
        <v/>
      </c>
      <c r="E290">
        <f>IF($A290="","",INDEX('05_KAIS'!$K:$K,$A290))</f>
        <v/>
      </c>
      <c r="F290" s="202">
        <f>IF($A290="","",INDEX('05_KAIS'!$I:$I,$A290))</f>
        <v/>
      </c>
      <c r="G290" s="118">
        <f>IF($A290="","",INDEX('05_KAIS'!$L:$L,$A290))</f>
        <v/>
      </c>
      <c r="H290" s="118">
        <f>IF($A290="","",IFERROR(INDEX('05_KAIS'!$M:$M,$A290),IF(AND(E290&gt;0,G290&gt;0),G290/E290,"")))</f>
        <v/>
      </c>
      <c r="I290" s="202">
        <f>IF($A290="","",INDEX('05_KAIS'!$N:$N,$A290))</f>
        <v/>
      </c>
      <c r="J290">
        <f>IF(B290="","",IF('02_대상물건입력'!$B$5="",1,IF(ISNUMBER(SEARCH('02_대상물건입력'!$B$5,B290)),1,0)))</f>
        <v/>
      </c>
      <c r="K290">
        <f>IF(B290="","",IF('02_대상물건입력'!$B$6="",1,IF(ISNUMBER(SEARCH('02_대상물건입력'!$B$6,B290)),1,0)))</f>
        <v/>
      </c>
      <c r="L290">
        <f>IF(D290="","",IF('02_대상물건입력'!$B$8="",0,IF(ISNUMBER(SEARCH('02_대상물건입력'!$B$8,D290)),1,0)))</f>
        <v/>
      </c>
      <c r="M290">
        <f>IFERROR(ABS(E290-'02_대상물건입력'!$B$11)/'02_대상물건입력'!$B$11,"")</f>
        <v/>
      </c>
      <c r="N290">
        <f>IFERROR(ABS('01_설정'!$B$4-F290),"")</f>
        <v/>
      </c>
      <c r="O290">
        <f>IFERROR(ABS(YEAR(I290)-YEAR('02_대상물건입력'!$B$14)),"")</f>
        <v/>
      </c>
      <c r="P290">
        <f>IF(AND(E290&gt;0,F290&gt;0,G290&gt;0,IF('01_설정'!$B$10=1,J290=1,TRUE()),M290&lt;='01_설정'!$B$5,N290&lt;='01_설정'!$B$7,O290&lt;='01_설정'!$B$8),"Y","")</f>
        <v/>
      </c>
      <c r="Q290">
        <f>IF(P290&lt;&gt;"Y","",MAX(0,(1-M290/'01_설정'!$B$5))*'01_설정'!$B$14+MAX(0,(1-N290/'01_설정'!$B$7))*'01_설정'!$B$16+MAX(0,(1-O290/'01_설정'!$B$8))*'01_설정'!$B$17+K290*'01_설정'!$B$11+L290*'01_설정'!$B$12)</f>
        <v/>
      </c>
      <c r="R290">
        <f>IF(Q290="","",1+COUNTIFS($Q$31:$Q$1030,"&gt;"&amp;Q290)+COUNTIFS($Q$31:Q290,Q290)-1)</f>
        <v/>
      </c>
    </row>
    <row r="291" hidden="1" ht="16.5" customHeight="1">
      <c r="A291">
        <f>IF(COUNTA('05_KAIS'!$A279:$N279)=0,"",264)</f>
        <v/>
      </c>
      <c r="B291">
        <f>IF($A291="","",TRIM(INDEX('05_KAIS'!$B:$B,$A291)&amp;" "&amp;INDEX('05_KAIS'!$C:$C,$A291)))</f>
        <v/>
      </c>
      <c r="C291">
        <f>IF($A291="","",INDEX('05_KAIS'!$D:$D,$A291))</f>
        <v/>
      </c>
      <c r="D291">
        <f>IF($A291="","",INDEX('05_KAIS'!$H:$H,$A291))</f>
        <v/>
      </c>
      <c r="E291">
        <f>IF($A291="","",INDEX('05_KAIS'!$K:$K,$A291))</f>
        <v/>
      </c>
      <c r="F291" s="202">
        <f>IF($A291="","",INDEX('05_KAIS'!$I:$I,$A291))</f>
        <v/>
      </c>
      <c r="G291" s="118">
        <f>IF($A291="","",INDEX('05_KAIS'!$L:$L,$A291))</f>
        <v/>
      </c>
      <c r="H291" s="118">
        <f>IF($A291="","",IFERROR(INDEX('05_KAIS'!$M:$M,$A291),IF(AND(E291&gt;0,G291&gt;0),G291/E291,"")))</f>
        <v/>
      </c>
      <c r="I291" s="202">
        <f>IF($A291="","",INDEX('05_KAIS'!$N:$N,$A291))</f>
        <v/>
      </c>
      <c r="J291">
        <f>IF(B291="","",IF('02_대상물건입력'!$B$5="",1,IF(ISNUMBER(SEARCH('02_대상물건입력'!$B$5,B291)),1,0)))</f>
        <v/>
      </c>
      <c r="K291">
        <f>IF(B291="","",IF('02_대상물건입력'!$B$6="",1,IF(ISNUMBER(SEARCH('02_대상물건입력'!$B$6,B291)),1,0)))</f>
        <v/>
      </c>
      <c r="L291">
        <f>IF(D291="","",IF('02_대상물건입력'!$B$8="",0,IF(ISNUMBER(SEARCH('02_대상물건입력'!$B$8,D291)),1,0)))</f>
        <v/>
      </c>
      <c r="M291">
        <f>IFERROR(ABS(E291-'02_대상물건입력'!$B$11)/'02_대상물건입력'!$B$11,"")</f>
        <v/>
      </c>
      <c r="N291">
        <f>IFERROR(ABS('01_설정'!$B$4-F291),"")</f>
        <v/>
      </c>
      <c r="O291">
        <f>IFERROR(ABS(YEAR(I291)-YEAR('02_대상물건입력'!$B$14)),"")</f>
        <v/>
      </c>
      <c r="P291">
        <f>IF(AND(E291&gt;0,F291&gt;0,G291&gt;0,IF('01_설정'!$B$10=1,J291=1,TRUE()),M291&lt;='01_설정'!$B$5,N291&lt;='01_설정'!$B$7,O291&lt;='01_설정'!$B$8),"Y","")</f>
        <v/>
      </c>
      <c r="Q291">
        <f>IF(P291&lt;&gt;"Y","",MAX(0,(1-M291/'01_설정'!$B$5))*'01_설정'!$B$14+MAX(0,(1-N291/'01_설정'!$B$7))*'01_설정'!$B$16+MAX(0,(1-O291/'01_설정'!$B$8))*'01_설정'!$B$17+K291*'01_설정'!$B$11+L291*'01_설정'!$B$12)</f>
        <v/>
      </c>
      <c r="R291">
        <f>IF(Q291="","",1+COUNTIFS($Q$31:$Q$1030,"&gt;"&amp;Q291)+COUNTIFS($Q$31:Q291,Q291)-1)</f>
        <v/>
      </c>
    </row>
    <row r="292" hidden="1" ht="16.5" customHeight="1">
      <c r="A292">
        <f>IF(COUNTA('05_KAIS'!$A280:$N280)=0,"",265)</f>
        <v/>
      </c>
      <c r="B292">
        <f>IF($A292="","",TRIM(INDEX('05_KAIS'!$B:$B,$A292)&amp;" "&amp;INDEX('05_KAIS'!$C:$C,$A292)))</f>
        <v/>
      </c>
      <c r="C292">
        <f>IF($A292="","",INDEX('05_KAIS'!$D:$D,$A292))</f>
        <v/>
      </c>
      <c r="D292">
        <f>IF($A292="","",INDEX('05_KAIS'!$H:$H,$A292))</f>
        <v/>
      </c>
      <c r="E292">
        <f>IF($A292="","",INDEX('05_KAIS'!$K:$K,$A292))</f>
        <v/>
      </c>
      <c r="F292" s="202">
        <f>IF($A292="","",INDEX('05_KAIS'!$I:$I,$A292))</f>
        <v/>
      </c>
      <c r="G292" s="118">
        <f>IF($A292="","",INDEX('05_KAIS'!$L:$L,$A292))</f>
        <v/>
      </c>
      <c r="H292" s="118">
        <f>IF($A292="","",IFERROR(INDEX('05_KAIS'!$M:$M,$A292),IF(AND(E292&gt;0,G292&gt;0),G292/E292,"")))</f>
        <v/>
      </c>
      <c r="I292" s="202">
        <f>IF($A292="","",INDEX('05_KAIS'!$N:$N,$A292))</f>
        <v/>
      </c>
      <c r="J292">
        <f>IF(B292="","",IF('02_대상물건입력'!$B$5="",1,IF(ISNUMBER(SEARCH('02_대상물건입력'!$B$5,B292)),1,0)))</f>
        <v/>
      </c>
      <c r="K292">
        <f>IF(B292="","",IF('02_대상물건입력'!$B$6="",1,IF(ISNUMBER(SEARCH('02_대상물건입력'!$B$6,B292)),1,0)))</f>
        <v/>
      </c>
      <c r="L292">
        <f>IF(D292="","",IF('02_대상물건입력'!$B$8="",0,IF(ISNUMBER(SEARCH('02_대상물건입력'!$B$8,D292)),1,0)))</f>
        <v/>
      </c>
      <c r="M292">
        <f>IFERROR(ABS(E292-'02_대상물건입력'!$B$11)/'02_대상물건입력'!$B$11,"")</f>
        <v/>
      </c>
      <c r="N292">
        <f>IFERROR(ABS('01_설정'!$B$4-F292),"")</f>
        <v/>
      </c>
      <c r="O292">
        <f>IFERROR(ABS(YEAR(I292)-YEAR('02_대상물건입력'!$B$14)),"")</f>
        <v/>
      </c>
      <c r="P292">
        <f>IF(AND(E292&gt;0,F292&gt;0,G292&gt;0,IF('01_설정'!$B$10=1,J292=1,TRUE()),M292&lt;='01_설정'!$B$5,N292&lt;='01_설정'!$B$7,O292&lt;='01_설정'!$B$8),"Y","")</f>
        <v/>
      </c>
      <c r="Q292">
        <f>IF(P292&lt;&gt;"Y","",MAX(0,(1-M292/'01_설정'!$B$5))*'01_설정'!$B$14+MAX(0,(1-N292/'01_설정'!$B$7))*'01_설정'!$B$16+MAX(0,(1-O292/'01_설정'!$B$8))*'01_설정'!$B$17+K292*'01_설정'!$B$11+L292*'01_설정'!$B$12)</f>
        <v/>
      </c>
      <c r="R292">
        <f>IF(Q292="","",1+COUNTIFS($Q$31:$Q$1030,"&gt;"&amp;Q292)+COUNTIFS($Q$31:Q292,Q292)-1)</f>
        <v/>
      </c>
    </row>
    <row r="293" hidden="1" ht="16.5" customHeight="1">
      <c r="A293">
        <f>IF(COUNTA('05_KAIS'!$A281:$N281)=0,"",266)</f>
        <v/>
      </c>
      <c r="B293">
        <f>IF($A293="","",TRIM(INDEX('05_KAIS'!$B:$B,$A293)&amp;" "&amp;INDEX('05_KAIS'!$C:$C,$A293)))</f>
        <v/>
      </c>
      <c r="C293">
        <f>IF($A293="","",INDEX('05_KAIS'!$D:$D,$A293))</f>
        <v/>
      </c>
      <c r="D293">
        <f>IF($A293="","",INDEX('05_KAIS'!$H:$H,$A293))</f>
        <v/>
      </c>
      <c r="E293">
        <f>IF($A293="","",INDEX('05_KAIS'!$K:$K,$A293))</f>
        <v/>
      </c>
      <c r="F293" s="202">
        <f>IF($A293="","",INDEX('05_KAIS'!$I:$I,$A293))</f>
        <v/>
      </c>
      <c r="G293" s="118">
        <f>IF($A293="","",INDEX('05_KAIS'!$L:$L,$A293))</f>
        <v/>
      </c>
      <c r="H293" s="118">
        <f>IF($A293="","",IFERROR(INDEX('05_KAIS'!$M:$M,$A293),IF(AND(E293&gt;0,G293&gt;0),G293/E293,"")))</f>
        <v/>
      </c>
      <c r="I293" s="202">
        <f>IF($A293="","",INDEX('05_KAIS'!$N:$N,$A293))</f>
        <v/>
      </c>
      <c r="J293">
        <f>IF(B293="","",IF('02_대상물건입력'!$B$5="",1,IF(ISNUMBER(SEARCH('02_대상물건입력'!$B$5,B293)),1,0)))</f>
        <v/>
      </c>
      <c r="K293">
        <f>IF(B293="","",IF('02_대상물건입력'!$B$6="",1,IF(ISNUMBER(SEARCH('02_대상물건입력'!$B$6,B293)),1,0)))</f>
        <v/>
      </c>
      <c r="L293">
        <f>IF(D293="","",IF('02_대상물건입력'!$B$8="",0,IF(ISNUMBER(SEARCH('02_대상물건입력'!$B$8,D293)),1,0)))</f>
        <v/>
      </c>
      <c r="M293">
        <f>IFERROR(ABS(E293-'02_대상물건입력'!$B$11)/'02_대상물건입력'!$B$11,"")</f>
        <v/>
      </c>
      <c r="N293">
        <f>IFERROR(ABS('01_설정'!$B$4-F293),"")</f>
        <v/>
      </c>
      <c r="O293">
        <f>IFERROR(ABS(YEAR(I293)-YEAR('02_대상물건입력'!$B$14)),"")</f>
        <v/>
      </c>
      <c r="P293">
        <f>IF(AND(E293&gt;0,F293&gt;0,G293&gt;0,IF('01_설정'!$B$10=1,J293=1,TRUE()),M293&lt;='01_설정'!$B$5,N293&lt;='01_설정'!$B$7,O293&lt;='01_설정'!$B$8),"Y","")</f>
        <v/>
      </c>
      <c r="Q293">
        <f>IF(P293&lt;&gt;"Y","",MAX(0,(1-M293/'01_설정'!$B$5))*'01_설정'!$B$14+MAX(0,(1-N293/'01_설정'!$B$7))*'01_설정'!$B$16+MAX(0,(1-O293/'01_설정'!$B$8))*'01_설정'!$B$17+K293*'01_설정'!$B$11+L293*'01_설정'!$B$12)</f>
        <v/>
      </c>
      <c r="R293">
        <f>IF(Q293="","",1+COUNTIFS($Q$31:$Q$1030,"&gt;"&amp;Q293)+COUNTIFS($Q$31:Q293,Q293)-1)</f>
        <v/>
      </c>
    </row>
    <row r="294" hidden="1" ht="16.5" customHeight="1">
      <c r="A294">
        <f>IF(COUNTA('05_KAIS'!$A282:$N282)=0,"",267)</f>
        <v/>
      </c>
      <c r="B294">
        <f>IF($A294="","",TRIM(INDEX('05_KAIS'!$B:$B,$A294)&amp;" "&amp;INDEX('05_KAIS'!$C:$C,$A294)))</f>
        <v/>
      </c>
      <c r="C294">
        <f>IF($A294="","",INDEX('05_KAIS'!$D:$D,$A294))</f>
        <v/>
      </c>
      <c r="D294">
        <f>IF($A294="","",INDEX('05_KAIS'!$H:$H,$A294))</f>
        <v/>
      </c>
      <c r="E294">
        <f>IF($A294="","",INDEX('05_KAIS'!$K:$K,$A294))</f>
        <v/>
      </c>
      <c r="F294" s="202">
        <f>IF($A294="","",INDEX('05_KAIS'!$I:$I,$A294))</f>
        <v/>
      </c>
      <c r="G294" s="118">
        <f>IF($A294="","",INDEX('05_KAIS'!$L:$L,$A294))</f>
        <v/>
      </c>
      <c r="H294" s="118">
        <f>IF($A294="","",IFERROR(INDEX('05_KAIS'!$M:$M,$A294),IF(AND(E294&gt;0,G294&gt;0),G294/E294,"")))</f>
        <v/>
      </c>
      <c r="I294" s="202">
        <f>IF($A294="","",INDEX('05_KAIS'!$N:$N,$A294))</f>
        <v/>
      </c>
      <c r="J294">
        <f>IF(B294="","",IF('02_대상물건입력'!$B$5="",1,IF(ISNUMBER(SEARCH('02_대상물건입력'!$B$5,B294)),1,0)))</f>
        <v/>
      </c>
      <c r="K294">
        <f>IF(B294="","",IF('02_대상물건입력'!$B$6="",1,IF(ISNUMBER(SEARCH('02_대상물건입력'!$B$6,B294)),1,0)))</f>
        <v/>
      </c>
      <c r="L294">
        <f>IF(D294="","",IF('02_대상물건입력'!$B$8="",0,IF(ISNUMBER(SEARCH('02_대상물건입력'!$B$8,D294)),1,0)))</f>
        <v/>
      </c>
      <c r="M294">
        <f>IFERROR(ABS(E294-'02_대상물건입력'!$B$11)/'02_대상물건입력'!$B$11,"")</f>
        <v/>
      </c>
      <c r="N294">
        <f>IFERROR(ABS('01_설정'!$B$4-F294),"")</f>
        <v/>
      </c>
      <c r="O294">
        <f>IFERROR(ABS(YEAR(I294)-YEAR('02_대상물건입력'!$B$14)),"")</f>
        <v/>
      </c>
      <c r="P294">
        <f>IF(AND(E294&gt;0,F294&gt;0,G294&gt;0,IF('01_설정'!$B$10=1,J294=1,TRUE()),M294&lt;='01_설정'!$B$5,N294&lt;='01_설정'!$B$7,O294&lt;='01_설정'!$B$8),"Y","")</f>
        <v/>
      </c>
      <c r="Q294">
        <f>IF(P294&lt;&gt;"Y","",MAX(0,(1-M294/'01_설정'!$B$5))*'01_설정'!$B$14+MAX(0,(1-N294/'01_설정'!$B$7))*'01_설정'!$B$16+MAX(0,(1-O294/'01_설정'!$B$8))*'01_설정'!$B$17+K294*'01_설정'!$B$11+L294*'01_설정'!$B$12)</f>
        <v/>
      </c>
      <c r="R294">
        <f>IF(Q294="","",1+COUNTIFS($Q$31:$Q$1030,"&gt;"&amp;Q294)+COUNTIFS($Q$31:Q294,Q294)-1)</f>
        <v/>
      </c>
    </row>
    <row r="295" hidden="1" ht="16.5" customHeight="1">
      <c r="A295">
        <f>IF(COUNTA('05_KAIS'!$A283:$N283)=0,"",268)</f>
        <v/>
      </c>
      <c r="B295">
        <f>IF($A295="","",TRIM(INDEX('05_KAIS'!$B:$B,$A295)&amp;" "&amp;INDEX('05_KAIS'!$C:$C,$A295)))</f>
        <v/>
      </c>
      <c r="C295">
        <f>IF($A295="","",INDEX('05_KAIS'!$D:$D,$A295))</f>
        <v/>
      </c>
      <c r="D295">
        <f>IF($A295="","",INDEX('05_KAIS'!$H:$H,$A295))</f>
        <v/>
      </c>
      <c r="E295">
        <f>IF($A295="","",INDEX('05_KAIS'!$K:$K,$A295))</f>
        <v/>
      </c>
      <c r="F295" s="202">
        <f>IF($A295="","",INDEX('05_KAIS'!$I:$I,$A295))</f>
        <v/>
      </c>
      <c r="G295" s="118">
        <f>IF($A295="","",INDEX('05_KAIS'!$L:$L,$A295))</f>
        <v/>
      </c>
      <c r="H295" s="118">
        <f>IF($A295="","",IFERROR(INDEX('05_KAIS'!$M:$M,$A295),IF(AND(E295&gt;0,G295&gt;0),G295/E295,"")))</f>
        <v/>
      </c>
      <c r="I295" s="202">
        <f>IF($A295="","",INDEX('05_KAIS'!$N:$N,$A295))</f>
        <v/>
      </c>
      <c r="J295">
        <f>IF(B295="","",IF('02_대상물건입력'!$B$5="",1,IF(ISNUMBER(SEARCH('02_대상물건입력'!$B$5,B295)),1,0)))</f>
        <v/>
      </c>
      <c r="K295">
        <f>IF(B295="","",IF('02_대상물건입력'!$B$6="",1,IF(ISNUMBER(SEARCH('02_대상물건입력'!$B$6,B295)),1,0)))</f>
        <v/>
      </c>
      <c r="L295">
        <f>IF(D295="","",IF('02_대상물건입력'!$B$8="",0,IF(ISNUMBER(SEARCH('02_대상물건입력'!$B$8,D295)),1,0)))</f>
        <v/>
      </c>
      <c r="M295">
        <f>IFERROR(ABS(E295-'02_대상물건입력'!$B$11)/'02_대상물건입력'!$B$11,"")</f>
        <v/>
      </c>
      <c r="N295">
        <f>IFERROR(ABS('01_설정'!$B$4-F295),"")</f>
        <v/>
      </c>
      <c r="O295">
        <f>IFERROR(ABS(YEAR(I295)-YEAR('02_대상물건입력'!$B$14)),"")</f>
        <v/>
      </c>
      <c r="P295">
        <f>IF(AND(E295&gt;0,F295&gt;0,G295&gt;0,IF('01_설정'!$B$10=1,J295=1,TRUE()),M295&lt;='01_설정'!$B$5,N295&lt;='01_설정'!$B$7,O295&lt;='01_설정'!$B$8),"Y","")</f>
        <v/>
      </c>
      <c r="Q295">
        <f>IF(P295&lt;&gt;"Y","",MAX(0,(1-M295/'01_설정'!$B$5))*'01_설정'!$B$14+MAX(0,(1-N295/'01_설정'!$B$7))*'01_설정'!$B$16+MAX(0,(1-O295/'01_설정'!$B$8))*'01_설정'!$B$17+K295*'01_설정'!$B$11+L295*'01_설정'!$B$12)</f>
        <v/>
      </c>
      <c r="R295">
        <f>IF(Q295="","",1+COUNTIFS($Q$31:$Q$1030,"&gt;"&amp;Q295)+COUNTIFS($Q$31:Q295,Q295)-1)</f>
        <v/>
      </c>
    </row>
    <row r="296" hidden="1" ht="16.5" customHeight="1">
      <c r="A296">
        <f>IF(COUNTA('05_KAIS'!$A284:$N284)=0,"",269)</f>
        <v/>
      </c>
      <c r="B296">
        <f>IF($A296="","",TRIM(INDEX('05_KAIS'!$B:$B,$A296)&amp;" "&amp;INDEX('05_KAIS'!$C:$C,$A296)))</f>
        <v/>
      </c>
      <c r="C296">
        <f>IF($A296="","",INDEX('05_KAIS'!$D:$D,$A296))</f>
        <v/>
      </c>
      <c r="D296">
        <f>IF($A296="","",INDEX('05_KAIS'!$H:$H,$A296))</f>
        <v/>
      </c>
      <c r="E296">
        <f>IF($A296="","",INDEX('05_KAIS'!$K:$K,$A296))</f>
        <v/>
      </c>
      <c r="F296" s="202">
        <f>IF($A296="","",INDEX('05_KAIS'!$I:$I,$A296))</f>
        <v/>
      </c>
      <c r="G296" s="118">
        <f>IF($A296="","",INDEX('05_KAIS'!$L:$L,$A296))</f>
        <v/>
      </c>
      <c r="H296" s="118">
        <f>IF($A296="","",IFERROR(INDEX('05_KAIS'!$M:$M,$A296),IF(AND(E296&gt;0,G296&gt;0),G296/E296,"")))</f>
        <v/>
      </c>
      <c r="I296" s="202">
        <f>IF($A296="","",INDEX('05_KAIS'!$N:$N,$A296))</f>
        <v/>
      </c>
      <c r="J296">
        <f>IF(B296="","",IF('02_대상물건입력'!$B$5="",1,IF(ISNUMBER(SEARCH('02_대상물건입력'!$B$5,B296)),1,0)))</f>
        <v/>
      </c>
      <c r="K296">
        <f>IF(B296="","",IF('02_대상물건입력'!$B$6="",1,IF(ISNUMBER(SEARCH('02_대상물건입력'!$B$6,B296)),1,0)))</f>
        <v/>
      </c>
      <c r="L296">
        <f>IF(D296="","",IF('02_대상물건입력'!$B$8="",0,IF(ISNUMBER(SEARCH('02_대상물건입력'!$B$8,D296)),1,0)))</f>
        <v/>
      </c>
      <c r="M296">
        <f>IFERROR(ABS(E296-'02_대상물건입력'!$B$11)/'02_대상물건입력'!$B$11,"")</f>
        <v/>
      </c>
      <c r="N296">
        <f>IFERROR(ABS('01_설정'!$B$4-F296),"")</f>
        <v/>
      </c>
      <c r="O296">
        <f>IFERROR(ABS(YEAR(I296)-YEAR('02_대상물건입력'!$B$14)),"")</f>
        <v/>
      </c>
      <c r="P296">
        <f>IF(AND(E296&gt;0,F296&gt;0,G296&gt;0,IF('01_설정'!$B$10=1,J296=1,TRUE()),M296&lt;='01_설정'!$B$5,N296&lt;='01_설정'!$B$7,O296&lt;='01_설정'!$B$8),"Y","")</f>
        <v/>
      </c>
      <c r="Q296">
        <f>IF(P296&lt;&gt;"Y","",MAX(0,(1-M296/'01_설정'!$B$5))*'01_설정'!$B$14+MAX(0,(1-N296/'01_설정'!$B$7))*'01_설정'!$B$16+MAX(0,(1-O296/'01_설정'!$B$8))*'01_설정'!$B$17+K296*'01_설정'!$B$11+L296*'01_설정'!$B$12)</f>
        <v/>
      </c>
      <c r="R296">
        <f>IF(Q296="","",1+COUNTIFS($Q$31:$Q$1030,"&gt;"&amp;Q296)+COUNTIFS($Q$31:Q296,Q296)-1)</f>
        <v/>
      </c>
    </row>
    <row r="297" hidden="1" ht="16.5" customHeight="1">
      <c r="A297">
        <f>IF(COUNTA('05_KAIS'!$A285:$N285)=0,"",270)</f>
        <v/>
      </c>
      <c r="B297">
        <f>IF($A297="","",TRIM(INDEX('05_KAIS'!$B:$B,$A297)&amp;" "&amp;INDEX('05_KAIS'!$C:$C,$A297)))</f>
        <v/>
      </c>
      <c r="C297">
        <f>IF($A297="","",INDEX('05_KAIS'!$D:$D,$A297))</f>
        <v/>
      </c>
      <c r="D297">
        <f>IF($A297="","",INDEX('05_KAIS'!$H:$H,$A297))</f>
        <v/>
      </c>
      <c r="E297">
        <f>IF($A297="","",INDEX('05_KAIS'!$K:$K,$A297))</f>
        <v/>
      </c>
      <c r="F297" s="202">
        <f>IF($A297="","",INDEX('05_KAIS'!$I:$I,$A297))</f>
        <v/>
      </c>
      <c r="G297" s="118">
        <f>IF($A297="","",INDEX('05_KAIS'!$L:$L,$A297))</f>
        <v/>
      </c>
      <c r="H297" s="118">
        <f>IF($A297="","",IFERROR(INDEX('05_KAIS'!$M:$M,$A297),IF(AND(E297&gt;0,G297&gt;0),G297/E297,"")))</f>
        <v/>
      </c>
      <c r="I297" s="202">
        <f>IF($A297="","",INDEX('05_KAIS'!$N:$N,$A297))</f>
        <v/>
      </c>
      <c r="J297">
        <f>IF(B297="","",IF('02_대상물건입력'!$B$5="",1,IF(ISNUMBER(SEARCH('02_대상물건입력'!$B$5,B297)),1,0)))</f>
        <v/>
      </c>
      <c r="K297">
        <f>IF(B297="","",IF('02_대상물건입력'!$B$6="",1,IF(ISNUMBER(SEARCH('02_대상물건입력'!$B$6,B297)),1,0)))</f>
        <v/>
      </c>
      <c r="L297">
        <f>IF(D297="","",IF('02_대상물건입력'!$B$8="",0,IF(ISNUMBER(SEARCH('02_대상물건입력'!$B$8,D297)),1,0)))</f>
        <v/>
      </c>
      <c r="M297">
        <f>IFERROR(ABS(E297-'02_대상물건입력'!$B$11)/'02_대상물건입력'!$B$11,"")</f>
        <v/>
      </c>
      <c r="N297">
        <f>IFERROR(ABS('01_설정'!$B$4-F297),"")</f>
        <v/>
      </c>
      <c r="O297">
        <f>IFERROR(ABS(YEAR(I297)-YEAR('02_대상물건입력'!$B$14)),"")</f>
        <v/>
      </c>
      <c r="P297">
        <f>IF(AND(E297&gt;0,F297&gt;0,G297&gt;0,IF('01_설정'!$B$10=1,J297=1,TRUE()),M297&lt;='01_설정'!$B$5,N297&lt;='01_설정'!$B$7,O297&lt;='01_설정'!$B$8),"Y","")</f>
        <v/>
      </c>
      <c r="Q297">
        <f>IF(P297&lt;&gt;"Y","",MAX(0,(1-M297/'01_설정'!$B$5))*'01_설정'!$B$14+MAX(0,(1-N297/'01_설정'!$B$7))*'01_설정'!$B$16+MAX(0,(1-O297/'01_설정'!$B$8))*'01_설정'!$B$17+K297*'01_설정'!$B$11+L297*'01_설정'!$B$12)</f>
        <v/>
      </c>
      <c r="R297">
        <f>IF(Q297="","",1+COUNTIFS($Q$31:$Q$1030,"&gt;"&amp;Q297)+COUNTIFS($Q$31:Q297,Q297)-1)</f>
        <v/>
      </c>
    </row>
    <row r="298" hidden="1" ht="16.5" customHeight="1">
      <c r="A298">
        <f>IF(COUNTA('05_KAIS'!$A286:$N286)=0,"",271)</f>
        <v/>
      </c>
      <c r="B298">
        <f>IF($A298="","",TRIM(INDEX('05_KAIS'!$B:$B,$A298)&amp;" "&amp;INDEX('05_KAIS'!$C:$C,$A298)))</f>
        <v/>
      </c>
      <c r="C298">
        <f>IF($A298="","",INDEX('05_KAIS'!$D:$D,$A298))</f>
        <v/>
      </c>
      <c r="D298">
        <f>IF($A298="","",INDEX('05_KAIS'!$H:$H,$A298))</f>
        <v/>
      </c>
      <c r="E298">
        <f>IF($A298="","",INDEX('05_KAIS'!$K:$K,$A298))</f>
        <v/>
      </c>
      <c r="F298" s="202">
        <f>IF($A298="","",INDEX('05_KAIS'!$I:$I,$A298))</f>
        <v/>
      </c>
      <c r="G298" s="118">
        <f>IF($A298="","",INDEX('05_KAIS'!$L:$L,$A298))</f>
        <v/>
      </c>
      <c r="H298" s="118">
        <f>IF($A298="","",IFERROR(INDEX('05_KAIS'!$M:$M,$A298),IF(AND(E298&gt;0,G298&gt;0),G298/E298,"")))</f>
        <v/>
      </c>
      <c r="I298" s="202">
        <f>IF($A298="","",INDEX('05_KAIS'!$N:$N,$A298))</f>
        <v/>
      </c>
      <c r="J298">
        <f>IF(B298="","",IF('02_대상물건입력'!$B$5="",1,IF(ISNUMBER(SEARCH('02_대상물건입력'!$B$5,B298)),1,0)))</f>
        <v/>
      </c>
      <c r="K298">
        <f>IF(B298="","",IF('02_대상물건입력'!$B$6="",1,IF(ISNUMBER(SEARCH('02_대상물건입력'!$B$6,B298)),1,0)))</f>
        <v/>
      </c>
      <c r="L298">
        <f>IF(D298="","",IF('02_대상물건입력'!$B$8="",0,IF(ISNUMBER(SEARCH('02_대상물건입력'!$B$8,D298)),1,0)))</f>
        <v/>
      </c>
      <c r="M298">
        <f>IFERROR(ABS(E298-'02_대상물건입력'!$B$11)/'02_대상물건입력'!$B$11,"")</f>
        <v/>
      </c>
      <c r="N298">
        <f>IFERROR(ABS('01_설정'!$B$4-F298),"")</f>
        <v/>
      </c>
      <c r="O298">
        <f>IFERROR(ABS(YEAR(I298)-YEAR('02_대상물건입력'!$B$14)),"")</f>
        <v/>
      </c>
      <c r="P298">
        <f>IF(AND(E298&gt;0,F298&gt;0,G298&gt;0,IF('01_설정'!$B$10=1,J298=1,TRUE()),M298&lt;='01_설정'!$B$5,N298&lt;='01_설정'!$B$7,O298&lt;='01_설정'!$B$8),"Y","")</f>
        <v/>
      </c>
      <c r="Q298">
        <f>IF(P298&lt;&gt;"Y","",MAX(0,(1-M298/'01_설정'!$B$5))*'01_설정'!$B$14+MAX(0,(1-N298/'01_설정'!$B$7))*'01_설정'!$B$16+MAX(0,(1-O298/'01_설정'!$B$8))*'01_설정'!$B$17+K298*'01_설정'!$B$11+L298*'01_설정'!$B$12)</f>
        <v/>
      </c>
      <c r="R298">
        <f>IF(Q298="","",1+COUNTIFS($Q$31:$Q$1030,"&gt;"&amp;Q298)+COUNTIFS($Q$31:Q298,Q298)-1)</f>
        <v/>
      </c>
    </row>
    <row r="299" hidden="1" ht="16.5" customHeight="1">
      <c r="A299">
        <f>IF(COUNTA('05_KAIS'!$A287:$N287)=0,"",272)</f>
        <v/>
      </c>
      <c r="B299">
        <f>IF($A299="","",TRIM(INDEX('05_KAIS'!$B:$B,$A299)&amp;" "&amp;INDEX('05_KAIS'!$C:$C,$A299)))</f>
        <v/>
      </c>
      <c r="C299">
        <f>IF($A299="","",INDEX('05_KAIS'!$D:$D,$A299))</f>
        <v/>
      </c>
      <c r="D299">
        <f>IF($A299="","",INDEX('05_KAIS'!$H:$H,$A299))</f>
        <v/>
      </c>
      <c r="E299">
        <f>IF($A299="","",INDEX('05_KAIS'!$K:$K,$A299))</f>
        <v/>
      </c>
      <c r="F299" s="202">
        <f>IF($A299="","",INDEX('05_KAIS'!$I:$I,$A299))</f>
        <v/>
      </c>
      <c r="G299" s="118">
        <f>IF($A299="","",INDEX('05_KAIS'!$L:$L,$A299))</f>
        <v/>
      </c>
      <c r="H299" s="118">
        <f>IF($A299="","",IFERROR(INDEX('05_KAIS'!$M:$M,$A299),IF(AND(E299&gt;0,G299&gt;0),G299/E299,"")))</f>
        <v/>
      </c>
      <c r="I299" s="202">
        <f>IF($A299="","",INDEX('05_KAIS'!$N:$N,$A299))</f>
        <v/>
      </c>
      <c r="J299">
        <f>IF(B299="","",IF('02_대상물건입력'!$B$5="",1,IF(ISNUMBER(SEARCH('02_대상물건입력'!$B$5,B299)),1,0)))</f>
        <v/>
      </c>
      <c r="K299">
        <f>IF(B299="","",IF('02_대상물건입력'!$B$6="",1,IF(ISNUMBER(SEARCH('02_대상물건입력'!$B$6,B299)),1,0)))</f>
        <v/>
      </c>
      <c r="L299">
        <f>IF(D299="","",IF('02_대상물건입력'!$B$8="",0,IF(ISNUMBER(SEARCH('02_대상물건입력'!$B$8,D299)),1,0)))</f>
        <v/>
      </c>
      <c r="M299">
        <f>IFERROR(ABS(E299-'02_대상물건입력'!$B$11)/'02_대상물건입력'!$B$11,"")</f>
        <v/>
      </c>
      <c r="N299">
        <f>IFERROR(ABS('01_설정'!$B$4-F299),"")</f>
        <v/>
      </c>
      <c r="O299">
        <f>IFERROR(ABS(YEAR(I299)-YEAR('02_대상물건입력'!$B$14)),"")</f>
        <v/>
      </c>
      <c r="P299">
        <f>IF(AND(E299&gt;0,F299&gt;0,G299&gt;0,IF('01_설정'!$B$10=1,J299=1,TRUE()),M299&lt;='01_설정'!$B$5,N299&lt;='01_설정'!$B$7,O299&lt;='01_설정'!$B$8),"Y","")</f>
        <v/>
      </c>
      <c r="Q299">
        <f>IF(P299&lt;&gt;"Y","",MAX(0,(1-M299/'01_설정'!$B$5))*'01_설정'!$B$14+MAX(0,(1-N299/'01_설정'!$B$7))*'01_설정'!$B$16+MAX(0,(1-O299/'01_설정'!$B$8))*'01_설정'!$B$17+K299*'01_설정'!$B$11+L299*'01_설정'!$B$12)</f>
        <v/>
      </c>
      <c r="R299">
        <f>IF(Q299="","",1+COUNTIFS($Q$31:$Q$1030,"&gt;"&amp;Q299)+COUNTIFS($Q$31:Q299,Q299)-1)</f>
        <v/>
      </c>
    </row>
    <row r="300" hidden="1" ht="16.5" customHeight="1">
      <c r="A300">
        <f>IF(COUNTA('05_KAIS'!$A288:$N288)=0,"",273)</f>
        <v/>
      </c>
      <c r="B300">
        <f>IF($A300="","",TRIM(INDEX('05_KAIS'!$B:$B,$A300)&amp;" "&amp;INDEX('05_KAIS'!$C:$C,$A300)))</f>
        <v/>
      </c>
      <c r="C300">
        <f>IF($A300="","",INDEX('05_KAIS'!$D:$D,$A300))</f>
        <v/>
      </c>
      <c r="D300">
        <f>IF($A300="","",INDEX('05_KAIS'!$H:$H,$A300))</f>
        <v/>
      </c>
      <c r="E300">
        <f>IF($A300="","",INDEX('05_KAIS'!$K:$K,$A300))</f>
        <v/>
      </c>
      <c r="F300" s="202">
        <f>IF($A300="","",INDEX('05_KAIS'!$I:$I,$A300))</f>
        <v/>
      </c>
      <c r="G300" s="118">
        <f>IF($A300="","",INDEX('05_KAIS'!$L:$L,$A300))</f>
        <v/>
      </c>
      <c r="H300" s="118">
        <f>IF($A300="","",IFERROR(INDEX('05_KAIS'!$M:$M,$A300),IF(AND(E300&gt;0,G300&gt;0),G300/E300,"")))</f>
        <v/>
      </c>
      <c r="I300" s="202">
        <f>IF($A300="","",INDEX('05_KAIS'!$N:$N,$A300))</f>
        <v/>
      </c>
      <c r="J300">
        <f>IF(B300="","",IF('02_대상물건입력'!$B$5="",1,IF(ISNUMBER(SEARCH('02_대상물건입력'!$B$5,B300)),1,0)))</f>
        <v/>
      </c>
      <c r="K300">
        <f>IF(B300="","",IF('02_대상물건입력'!$B$6="",1,IF(ISNUMBER(SEARCH('02_대상물건입력'!$B$6,B300)),1,0)))</f>
        <v/>
      </c>
      <c r="L300">
        <f>IF(D300="","",IF('02_대상물건입력'!$B$8="",0,IF(ISNUMBER(SEARCH('02_대상물건입력'!$B$8,D300)),1,0)))</f>
        <v/>
      </c>
      <c r="M300">
        <f>IFERROR(ABS(E300-'02_대상물건입력'!$B$11)/'02_대상물건입력'!$B$11,"")</f>
        <v/>
      </c>
      <c r="N300">
        <f>IFERROR(ABS('01_설정'!$B$4-F300),"")</f>
        <v/>
      </c>
      <c r="O300">
        <f>IFERROR(ABS(YEAR(I300)-YEAR('02_대상물건입력'!$B$14)),"")</f>
        <v/>
      </c>
      <c r="P300">
        <f>IF(AND(E300&gt;0,F300&gt;0,G300&gt;0,IF('01_설정'!$B$10=1,J300=1,TRUE()),M300&lt;='01_설정'!$B$5,N300&lt;='01_설정'!$B$7,O300&lt;='01_설정'!$B$8),"Y","")</f>
        <v/>
      </c>
      <c r="Q300">
        <f>IF(P300&lt;&gt;"Y","",MAX(0,(1-M300/'01_설정'!$B$5))*'01_설정'!$B$14+MAX(0,(1-N300/'01_설정'!$B$7))*'01_설정'!$B$16+MAX(0,(1-O300/'01_설정'!$B$8))*'01_설정'!$B$17+K300*'01_설정'!$B$11+L300*'01_설정'!$B$12)</f>
        <v/>
      </c>
      <c r="R300">
        <f>IF(Q300="","",1+COUNTIFS($Q$31:$Q$1030,"&gt;"&amp;Q300)+COUNTIFS($Q$31:Q300,Q300)-1)</f>
        <v/>
      </c>
    </row>
    <row r="301" hidden="1" ht="16.5" customHeight="1">
      <c r="A301">
        <f>IF(COUNTA('05_KAIS'!$A289:$N289)=0,"",274)</f>
        <v/>
      </c>
      <c r="B301">
        <f>IF($A301="","",TRIM(INDEX('05_KAIS'!$B:$B,$A301)&amp;" "&amp;INDEX('05_KAIS'!$C:$C,$A301)))</f>
        <v/>
      </c>
      <c r="C301">
        <f>IF($A301="","",INDEX('05_KAIS'!$D:$D,$A301))</f>
        <v/>
      </c>
      <c r="D301">
        <f>IF($A301="","",INDEX('05_KAIS'!$H:$H,$A301))</f>
        <v/>
      </c>
      <c r="E301">
        <f>IF($A301="","",INDEX('05_KAIS'!$K:$K,$A301))</f>
        <v/>
      </c>
      <c r="F301" s="202">
        <f>IF($A301="","",INDEX('05_KAIS'!$I:$I,$A301))</f>
        <v/>
      </c>
      <c r="G301" s="118">
        <f>IF($A301="","",INDEX('05_KAIS'!$L:$L,$A301))</f>
        <v/>
      </c>
      <c r="H301" s="118">
        <f>IF($A301="","",IFERROR(INDEX('05_KAIS'!$M:$M,$A301),IF(AND(E301&gt;0,G301&gt;0),G301/E301,"")))</f>
        <v/>
      </c>
      <c r="I301" s="202">
        <f>IF($A301="","",INDEX('05_KAIS'!$N:$N,$A301))</f>
        <v/>
      </c>
      <c r="J301">
        <f>IF(B301="","",IF('02_대상물건입력'!$B$5="",1,IF(ISNUMBER(SEARCH('02_대상물건입력'!$B$5,B301)),1,0)))</f>
        <v/>
      </c>
      <c r="K301">
        <f>IF(B301="","",IF('02_대상물건입력'!$B$6="",1,IF(ISNUMBER(SEARCH('02_대상물건입력'!$B$6,B301)),1,0)))</f>
        <v/>
      </c>
      <c r="L301">
        <f>IF(D301="","",IF('02_대상물건입력'!$B$8="",0,IF(ISNUMBER(SEARCH('02_대상물건입력'!$B$8,D301)),1,0)))</f>
        <v/>
      </c>
      <c r="M301">
        <f>IFERROR(ABS(E301-'02_대상물건입력'!$B$11)/'02_대상물건입력'!$B$11,"")</f>
        <v/>
      </c>
      <c r="N301">
        <f>IFERROR(ABS('01_설정'!$B$4-F301),"")</f>
        <v/>
      </c>
      <c r="O301">
        <f>IFERROR(ABS(YEAR(I301)-YEAR('02_대상물건입력'!$B$14)),"")</f>
        <v/>
      </c>
      <c r="P301">
        <f>IF(AND(E301&gt;0,F301&gt;0,G301&gt;0,IF('01_설정'!$B$10=1,J301=1,TRUE()),M301&lt;='01_설정'!$B$5,N301&lt;='01_설정'!$B$7,O301&lt;='01_설정'!$B$8),"Y","")</f>
        <v/>
      </c>
      <c r="Q301">
        <f>IF(P301&lt;&gt;"Y","",MAX(0,(1-M301/'01_설정'!$B$5))*'01_설정'!$B$14+MAX(0,(1-N301/'01_설정'!$B$7))*'01_설정'!$B$16+MAX(0,(1-O301/'01_설정'!$B$8))*'01_설정'!$B$17+K301*'01_설정'!$B$11+L301*'01_설정'!$B$12)</f>
        <v/>
      </c>
      <c r="R301">
        <f>IF(Q301="","",1+COUNTIFS($Q$31:$Q$1030,"&gt;"&amp;Q301)+COUNTIFS($Q$31:Q301,Q301)-1)</f>
        <v/>
      </c>
    </row>
    <row r="302" hidden="1" ht="16.5" customHeight="1">
      <c r="A302">
        <f>IF(COUNTA('05_KAIS'!$A290:$N290)=0,"",275)</f>
        <v/>
      </c>
      <c r="B302">
        <f>IF($A302="","",TRIM(INDEX('05_KAIS'!$B:$B,$A302)&amp;" "&amp;INDEX('05_KAIS'!$C:$C,$A302)))</f>
        <v/>
      </c>
      <c r="C302">
        <f>IF($A302="","",INDEX('05_KAIS'!$D:$D,$A302))</f>
        <v/>
      </c>
      <c r="D302">
        <f>IF($A302="","",INDEX('05_KAIS'!$H:$H,$A302))</f>
        <v/>
      </c>
      <c r="E302">
        <f>IF($A302="","",INDEX('05_KAIS'!$K:$K,$A302))</f>
        <v/>
      </c>
      <c r="F302" s="202">
        <f>IF($A302="","",INDEX('05_KAIS'!$I:$I,$A302))</f>
        <v/>
      </c>
      <c r="G302" s="118">
        <f>IF($A302="","",INDEX('05_KAIS'!$L:$L,$A302))</f>
        <v/>
      </c>
      <c r="H302" s="118">
        <f>IF($A302="","",IFERROR(INDEX('05_KAIS'!$M:$M,$A302),IF(AND(E302&gt;0,G302&gt;0),G302/E302,"")))</f>
        <v/>
      </c>
      <c r="I302" s="202">
        <f>IF($A302="","",INDEX('05_KAIS'!$N:$N,$A302))</f>
        <v/>
      </c>
      <c r="J302">
        <f>IF(B302="","",IF('02_대상물건입력'!$B$5="",1,IF(ISNUMBER(SEARCH('02_대상물건입력'!$B$5,B302)),1,0)))</f>
        <v/>
      </c>
      <c r="K302">
        <f>IF(B302="","",IF('02_대상물건입력'!$B$6="",1,IF(ISNUMBER(SEARCH('02_대상물건입력'!$B$6,B302)),1,0)))</f>
        <v/>
      </c>
      <c r="L302">
        <f>IF(D302="","",IF('02_대상물건입력'!$B$8="",0,IF(ISNUMBER(SEARCH('02_대상물건입력'!$B$8,D302)),1,0)))</f>
        <v/>
      </c>
      <c r="M302">
        <f>IFERROR(ABS(E302-'02_대상물건입력'!$B$11)/'02_대상물건입력'!$B$11,"")</f>
        <v/>
      </c>
      <c r="N302">
        <f>IFERROR(ABS('01_설정'!$B$4-F302),"")</f>
        <v/>
      </c>
      <c r="O302">
        <f>IFERROR(ABS(YEAR(I302)-YEAR('02_대상물건입력'!$B$14)),"")</f>
        <v/>
      </c>
      <c r="P302">
        <f>IF(AND(E302&gt;0,F302&gt;0,G302&gt;0,IF('01_설정'!$B$10=1,J302=1,TRUE()),M302&lt;='01_설정'!$B$5,N302&lt;='01_설정'!$B$7,O302&lt;='01_설정'!$B$8),"Y","")</f>
        <v/>
      </c>
      <c r="Q302">
        <f>IF(P302&lt;&gt;"Y","",MAX(0,(1-M302/'01_설정'!$B$5))*'01_설정'!$B$14+MAX(0,(1-N302/'01_설정'!$B$7))*'01_설정'!$B$16+MAX(0,(1-O302/'01_설정'!$B$8))*'01_설정'!$B$17+K302*'01_설정'!$B$11+L302*'01_설정'!$B$12)</f>
        <v/>
      </c>
      <c r="R302">
        <f>IF(Q302="","",1+COUNTIFS($Q$31:$Q$1030,"&gt;"&amp;Q302)+COUNTIFS($Q$31:Q302,Q302)-1)</f>
        <v/>
      </c>
    </row>
    <row r="303" hidden="1" ht="16.5" customHeight="1">
      <c r="A303">
        <f>IF(COUNTA('05_KAIS'!$A291:$N291)=0,"",276)</f>
        <v/>
      </c>
      <c r="B303">
        <f>IF($A303="","",TRIM(INDEX('05_KAIS'!$B:$B,$A303)&amp;" "&amp;INDEX('05_KAIS'!$C:$C,$A303)))</f>
        <v/>
      </c>
      <c r="C303">
        <f>IF($A303="","",INDEX('05_KAIS'!$D:$D,$A303))</f>
        <v/>
      </c>
      <c r="D303">
        <f>IF($A303="","",INDEX('05_KAIS'!$H:$H,$A303))</f>
        <v/>
      </c>
      <c r="E303">
        <f>IF($A303="","",INDEX('05_KAIS'!$K:$K,$A303))</f>
        <v/>
      </c>
      <c r="F303" s="202">
        <f>IF($A303="","",INDEX('05_KAIS'!$I:$I,$A303))</f>
        <v/>
      </c>
      <c r="G303" s="118">
        <f>IF($A303="","",INDEX('05_KAIS'!$L:$L,$A303))</f>
        <v/>
      </c>
      <c r="H303" s="118">
        <f>IF($A303="","",IFERROR(INDEX('05_KAIS'!$M:$M,$A303),IF(AND(E303&gt;0,G303&gt;0),G303/E303,"")))</f>
        <v/>
      </c>
      <c r="I303" s="202">
        <f>IF($A303="","",INDEX('05_KAIS'!$N:$N,$A303))</f>
        <v/>
      </c>
      <c r="J303">
        <f>IF(B303="","",IF('02_대상물건입력'!$B$5="",1,IF(ISNUMBER(SEARCH('02_대상물건입력'!$B$5,B303)),1,0)))</f>
        <v/>
      </c>
      <c r="K303">
        <f>IF(B303="","",IF('02_대상물건입력'!$B$6="",1,IF(ISNUMBER(SEARCH('02_대상물건입력'!$B$6,B303)),1,0)))</f>
        <v/>
      </c>
      <c r="L303">
        <f>IF(D303="","",IF('02_대상물건입력'!$B$8="",0,IF(ISNUMBER(SEARCH('02_대상물건입력'!$B$8,D303)),1,0)))</f>
        <v/>
      </c>
      <c r="M303">
        <f>IFERROR(ABS(E303-'02_대상물건입력'!$B$11)/'02_대상물건입력'!$B$11,"")</f>
        <v/>
      </c>
      <c r="N303">
        <f>IFERROR(ABS('01_설정'!$B$4-F303),"")</f>
        <v/>
      </c>
      <c r="O303">
        <f>IFERROR(ABS(YEAR(I303)-YEAR('02_대상물건입력'!$B$14)),"")</f>
        <v/>
      </c>
      <c r="P303">
        <f>IF(AND(E303&gt;0,F303&gt;0,G303&gt;0,IF('01_설정'!$B$10=1,J303=1,TRUE()),M303&lt;='01_설정'!$B$5,N303&lt;='01_설정'!$B$7,O303&lt;='01_설정'!$B$8),"Y","")</f>
        <v/>
      </c>
      <c r="Q303">
        <f>IF(P303&lt;&gt;"Y","",MAX(0,(1-M303/'01_설정'!$B$5))*'01_설정'!$B$14+MAX(0,(1-N303/'01_설정'!$B$7))*'01_설정'!$B$16+MAX(0,(1-O303/'01_설정'!$B$8))*'01_설정'!$B$17+K303*'01_설정'!$B$11+L303*'01_설정'!$B$12)</f>
        <v/>
      </c>
      <c r="R303">
        <f>IF(Q303="","",1+COUNTIFS($Q$31:$Q$1030,"&gt;"&amp;Q303)+COUNTIFS($Q$31:Q303,Q303)-1)</f>
        <v/>
      </c>
    </row>
    <row r="304" hidden="1" ht="16.5" customHeight="1">
      <c r="A304">
        <f>IF(COUNTA('05_KAIS'!$A292:$N292)=0,"",277)</f>
        <v/>
      </c>
      <c r="B304">
        <f>IF($A304="","",TRIM(INDEX('05_KAIS'!$B:$B,$A304)&amp;" "&amp;INDEX('05_KAIS'!$C:$C,$A304)))</f>
        <v/>
      </c>
      <c r="C304">
        <f>IF($A304="","",INDEX('05_KAIS'!$D:$D,$A304))</f>
        <v/>
      </c>
      <c r="D304">
        <f>IF($A304="","",INDEX('05_KAIS'!$H:$H,$A304))</f>
        <v/>
      </c>
      <c r="E304">
        <f>IF($A304="","",INDEX('05_KAIS'!$K:$K,$A304))</f>
        <v/>
      </c>
      <c r="F304" s="202">
        <f>IF($A304="","",INDEX('05_KAIS'!$I:$I,$A304))</f>
        <v/>
      </c>
      <c r="G304" s="118">
        <f>IF($A304="","",INDEX('05_KAIS'!$L:$L,$A304))</f>
        <v/>
      </c>
      <c r="H304" s="118">
        <f>IF($A304="","",IFERROR(INDEX('05_KAIS'!$M:$M,$A304),IF(AND(E304&gt;0,G304&gt;0),G304/E304,"")))</f>
        <v/>
      </c>
      <c r="I304" s="202">
        <f>IF($A304="","",INDEX('05_KAIS'!$N:$N,$A304))</f>
        <v/>
      </c>
      <c r="J304">
        <f>IF(B304="","",IF('02_대상물건입력'!$B$5="",1,IF(ISNUMBER(SEARCH('02_대상물건입력'!$B$5,B304)),1,0)))</f>
        <v/>
      </c>
      <c r="K304">
        <f>IF(B304="","",IF('02_대상물건입력'!$B$6="",1,IF(ISNUMBER(SEARCH('02_대상물건입력'!$B$6,B304)),1,0)))</f>
        <v/>
      </c>
      <c r="L304">
        <f>IF(D304="","",IF('02_대상물건입력'!$B$8="",0,IF(ISNUMBER(SEARCH('02_대상물건입력'!$B$8,D304)),1,0)))</f>
        <v/>
      </c>
      <c r="M304">
        <f>IFERROR(ABS(E304-'02_대상물건입력'!$B$11)/'02_대상물건입력'!$B$11,"")</f>
        <v/>
      </c>
      <c r="N304">
        <f>IFERROR(ABS('01_설정'!$B$4-F304),"")</f>
        <v/>
      </c>
      <c r="O304">
        <f>IFERROR(ABS(YEAR(I304)-YEAR('02_대상물건입력'!$B$14)),"")</f>
        <v/>
      </c>
      <c r="P304">
        <f>IF(AND(E304&gt;0,F304&gt;0,G304&gt;0,IF('01_설정'!$B$10=1,J304=1,TRUE()),M304&lt;='01_설정'!$B$5,N304&lt;='01_설정'!$B$7,O304&lt;='01_설정'!$B$8),"Y","")</f>
        <v/>
      </c>
      <c r="Q304">
        <f>IF(P304&lt;&gt;"Y","",MAX(0,(1-M304/'01_설정'!$B$5))*'01_설정'!$B$14+MAX(0,(1-N304/'01_설정'!$B$7))*'01_설정'!$B$16+MAX(0,(1-O304/'01_설정'!$B$8))*'01_설정'!$B$17+K304*'01_설정'!$B$11+L304*'01_설정'!$B$12)</f>
        <v/>
      </c>
      <c r="R304">
        <f>IF(Q304="","",1+COUNTIFS($Q$31:$Q$1030,"&gt;"&amp;Q304)+COUNTIFS($Q$31:Q304,Q304)-1)</f>
        <v/>
      </c>
    </row>
    <row r="305" hidden="1" ht="16.5" customHeight="1">
      <c r="A305">
        <f>IF(COUNTA('05_KAIS'!$A293:$N293)=0,"",278)</f>
        <v/>
      </c>
      <c r="B305">
        <f>IF($A305="","",TRIM(INDEX('05_KAIS'!$B:$B,$A305)&amp;" "&amp;INDEX('05_KAIS'!$C:$C,$A305)))</f>
        <v/>
      </c>
      <c r="C305">
        <f>IF($A305="","",INDEX('05_KAIS'!$D:$D,$A305))</f>
        <v/>
      </c>
      <c r="D305">
        <f>IF($A305="","",INDEX('05_KAIS'!$H:$H,$A305))</f>
        <v/>
      </c>
      <c r="E305">
        <f>IF($A305="","",INDEX('05_KAIS'!$K:$K,$A305))</f>
        <v/>
      </c>
      <c r="F305" s="202">
        <f>IF($A305="","",INDEX('05_KAIS'!$I:$I,$A305))</f>
        <v/>
      </c>
      <c r="G305" s="118">
        <f>IF($A305="","",INDEX('05_KAIS'!$L:$L,$A305))</f>
        <v/>
      </c>
      <c r="H305" s="118">
        <f>IF($A305="","",IFERROR(INDEX('05_KAIS'!$M:$M,$A305),IF(AND(E305&gt;0,G305&gt;0),G305/E305,"")))</f>
        <v/>
      </c>
      <c r="I305" s="202">
        <f>IF($A305="","",INDEX('05_KAIS'!$N:$N,$A305))</f>
        <v/>
      </c>
      <c r="J305">
        <f>IF(B305="","",IF('02_대상물건입력'!$B$5="",1,IF(ISNUMBER(SEARCH('02_대상물건입력'!$B$5,B305)),1,0)))</f>
        <v/>
      </c>
      <c r="K305">
        <f>IF(B305="","",IF('02_대상물건입력'!$B$6="",1,IF(ISNUMBER(SEARCH('02_대상물건입력'!$B$6,B305)),1,0)))</f>
        <v/>
      </c>
      <c r="L305">
        <f>IF(D305="","",IF('02_대상물건입력'!$B$8="",0,IF(ISNUMBER(SEARCH('02_대상물건입력'!$B$8,D305)),1,0)))</f>
        <v/>
      </c>
      <c r="M305">
        <f>IFERROR(ABS(E305-'02_대상물건입력'!$B$11)/'02_대상물건입력'!$B$11,"")</f>
        <v/>
      </c>
      <c r="N305">
        <f>IFERROR(ABS('01_설정'!$B$4-F305),"")</f>
        <v/>
      </c>
      <c r="O305">
        <f>IFERROR(ABS(YEAR(I305)-YEAR('02_대상물건입력'!$B$14)),"")</f>
        <v/>
      </c>
      <c r="P305">
        <f>IF(AND(E305&gt;0,F305&gt;0,G305&gt;0,IF('01_설정'!$B$10=1,J305=1,TRUE()),M305&lt;='01_설정'!$B$5,N305&lt;='01_설정'!$B$7,O305&lt;='01_설정'!$B$8),"Y","")</f>
        <v/>
      </c>
      <c r="Q305">
        <f>IF(P305&lt;&gt;"Y","",MAX(0,(1-M305/'01_설정'!$B$5))*'01_설정'!$B$14+MAX(0,(1-N305/'01_설정'!$B$7))*'01_설정'!$B$16+MAX(0,(1-O305/'01_설정'!$B$8))*'01_설정'!$B$17+K305*'01_설정'!$B$11+L305*'01_설정'!$B$12)</f>
        <v/>
      </c>
      <c r="R305">
        <f>IF(Q305="","",1+COUNTIFS($Q$31:$Q$1030,"&gt;"&amp;Q305)+COUNTIFS($Q$31:Q305,Q305)-1)</f>
        <v/>
      </c>
    </row>
    <row r="306" hidden="1" ht="16.5" customHeight="1">
      <c r="A306">
        <f>IF(COUNTA('05_KAIS'!$A294:$N294)=0,"",279)</f>
        <v/>
      </c>
      <c r="B306">
        <f>IF($A306="","",TRIM(INDEX('05_KAIS'!$B:$B,$A306)&amp;" "&amp;INDEX('05_KAIS'!$C:$C,$A306)))</f>
        <v/>
      </c>
      <c r="C306">
        <f>IF($A306="","",INDEX('05_KAIS'!$D:$D,$A306))</f>
        <v/>
      </c>
      <c r="D306">
        <f>IF($A306="","",INDEX('05_KAIS'!$H:$H,$A306))</f>
        <v/>
      </c>
      <c r="E306">
        <f>IF($A306="","",INDEX('05_KAIS'!$K:$K,$A306))</f>
        <v/>
      </c>
      <c r="F306" s="202">
        <f>IF($A306="","",INDEX('05_KAIS'!$I:$I,$A306))</f>
        <v/>
      </c>
      <c r="G306" s="118">
        <f>IF($A306="","",INDEX('05_KAIS'!$L:$L,$A306))</f>
        <v/>
      </c>
      <c r="H306" s="118">
        <f>IF($A306="","",IFERROR(INDEX('05_KAIS'!$M:$M,$A306),IF(AND(E306&gt;0,G306&gt;0),G306/E306,"")))</f>
        <v/>
      </c>
      <c r="I306" s="202">
        <f>IF($A306="","",INDEX('05_KAIS'!$N:$N,$A306))</f>
        <v/>
      </c>
      <c r="J306">
        <f>IF(B306="","",IF('02_대상물건입력'!$B$5="",1,IF(ISNUMBER(SEARCH('02_대상물건입력'!$B$5,B306)),1,0)))</f>
        <v/>
      </c>
      <c r="K306">
        <f>IF(B306="","",IF('02_대상물건입력'!$B$6="",1,IF(ISNUMBER(SEARCH('02_대상물건입력'!$B$6,B306)),1,0)))</f>
        <v/>
      </c>
      <c r="L306">
        <f>IF(D306="","",IF('02_대상물건입력'!$B$8="",0,IF(ISNUMBER(SEARCH('02_대상물건입력'!$B$8,D306)),1,0)))</f>
        <v/>
      </c>
      <c r="M306">
        <f>IFERROR(ABS(E306-'02_대상물건입력'!$B$11)/'02_대상물건입력'!$B$11,"")</f>
        <v/>
      </c>
      <c r="N306">
        <f>IFERROR(ABS('01_설정'!$B$4-F306),"")</f>
        <v/>
      </c>
      <c r="O306">
        <f>IFERROR(ABS(YEAR(I306)-YEAR('02_대상물건입력'!$B$14)),"")</f>
        <v/>
      </c>
      <c r="P306">
        <f>IF(AND(E306&gt;0,F306&gt;0,G306&gt;0,IF('01_설정'!$B$10=1,J306=1,TRUE()),M306&lt;='01_설정'!$B$5,N306&lt;='01_설정'!$B$7,O306&lt;='01_설정'!$B$8),"Y","")</f>
        <v/>
      </c>
      <c r="Q306">
        <f>IF(P306&lt;&gt;"Y","",MAX(0,(1-M306/'01_설정'!$B$5))*'01_설정'!$B$14+MAX(0,(1-N306/'01_설정'!$B$7))*'01_설정'!$B$16+MAX(0,(1-O306/'01_설정'!$B$8))*'01_설정'!$B$17+K306*'01_설정'!$B$11+L306*'01_설정'!$B$12)</f>
        <v/>
      </c>
      <c r="R306">
        <f>IF(Q306="","",1+COUNTIFS($Q$31:$Q$1030,"&gt;"&amp;Q306)+COUNTIFS($Q$31:Q306,Q306)-1)</f>
        <v/>
      </c>
    </row>
    <row r="307" hidden="1" ht="16.5" customHeight="1">
      <c r="A307">
        <f>IF(COUNTA('05_KAIS'!$A295:$N295)=0,"",280)</f>
        <v/>
      </c>
      <c r="B307">
        <f>IF($A307="","",TRIM(INDEX('05_KAIS'!$B:$B,$A307)&amp;" "&amp;INDEX('05_KAIS'!$C:$C,$A307)))</f>
        <v/>
      </c>
      <c r="C307">
        <f>IF($A307="","",INDEX('05_KAIS'!$D:$D,$A307))</f>
        <v/>
      </c>
      <c r="D307">
        <f>IF($A307="","",INDEX('05_KAIS'!$H:$H,$A307))</f>
        <v/>
      </c>
      <c r="E307">
        <f>IF($A307="","",INDEX('05_KAIS'!$K:$K,$A307))</f>
        <v/>
      </c>
      <c r="F307" s="202">
        <f>IF($A307="","",INDEX('05_KAIS'!$I:$I,$A307))</f>
        <v/>
      </c>
      <c r="G307" s="118">
        <f>IF($A307="","",INDEX('05_KAIS'!$L:$L,$A307))</f>
        <v/>
      </c>
      <c r="H307" s="118">
        <f>IF($A307="","",IFERROR(INDEX('05_KAIS'!$M:$M,$A307),IF(AND(E307&gt;0,G307&gt;0),G307/E307,"")))</f>
        <v/>
      </c>
      <c r="I307" s="202">
        <f>IF($A307="","",INDEX('05_KAIS'!$N:$N,$A307))</f>
        <v/>
      </c>
      <c r="J307">
        <f>IF(B307="","",IF('02_대상물건입력'!$B$5="",1,IF(ISNUMBER(SEARCH('02_대상물건입력'!$B$5,B307)),1,0)))</f>
        <v/>
      </c>
      <c r="K307">
        <f>IF(B307="","",IF('02_대상물건입력'!$B$6="",1,IF(ISNUMBER(SEARCH('02_대상물건입력'!$B$6,B307)),1,0)))</f>
        <v/>
      </c>
      <c r="L307">
        <f>IF(D307="","",IF('02_대상물건입력'!$B$8="",0,IF(ISNUMBER(SEARCH('02_대상물건입력'!$B$8,D307)),1,0)))</f>
        <v/>
      </c>
      <c r="M307">
        <f>IFERROR(ABS(E307-'02_대상물건입력'!$B$11)/'02_대상물건입력'!$B$11,"")</f>
        <v/>
      </c>
      <c r="N307">
        <f>IFERROR(ABS('01_설정'!$B$4-F307),"")</f>
        <v/>
      </c>
      <c r="O307">
        <f>IFERROR(ABS(YEAR(I307)-YEAR('02_대상물건입력'!$B$14)),"")</f>
        <v/>
      </c>
      <c r="P307">
        <f>IF(AND(E307&gt;0,F307&gt;0,G307&gt;0,IF('01_설정'!$B$10=1,J307=1,TRUE()),M307&lt;='01_설정'!$B$5,N307&lt;='01_설정'!$B$7,O307&lt;='01_설정'!$B$8),"Y","")</f>
        <v/>
      </c>
      <c r="Q307">
        <f>IF(P307&lt;&gt;"Y","",MAX(0,(1-M307/'01_설정'!$B$5))*'01_설정'!$B$14+MAX(0,(1-N307/'01_설정'!$B$7))*'01_설정'!$B$16+MAX(0,(1-O307/'01_설정'!$B$8))*'01_설정'!$B$17+K307*'01_설정'!$B$11+L307*'01_설정'!$B$12)</f>
        <v/>
      </c>
      <c r="R307">
        <f>IF(Q307="","",1+COUNTIFS($Q$31:$Q$1030,"&gt;"&amp;Q307)+COUNTIFS($Q$31:Q307,Q307)-1)</f>
        <v/>
      </c>
    </row>
    <row r="308" hidden="1" ht="16.5" customHeight="1">
      <c r="A308">
        <f>IF(COUNTA('05_KAIS'!$A296:$N296)=0,"",281)</f>
        <v/>
      </c>
      <c r="B308">
        <f>IF($A308="","",TRIM(INDEX('05_KAIS'!$B:$B,$A308)&amp;" "&amp;INDEX('05_KAIS'!$C:$C,$A308)))</f>
        <v/>
      </c>
      <c r="C308">
        <f>IF($A308="","",INDEX('05_KAIS'!$D:$D,$A308))</f>
        <v/>
      </c>
      <c r="D308">
        <f>IF($A308="","",INDEX('05_KAIS'!$H:$H,$A308))</f>
        <v/>
      </c>
      <c r="E308">
        <f>IF($A308="","",INDEX('05_KAIS'!$K:$K,$A308))</f>
        <v/>
      </c>
      <c r="F308" s="202">
        <f>IF($A308="","",INDEX('05_KAIS'!$I:$I,$A308))</f>
        <v/>
      </c>
      <c r="G308" s="118">
        <f>IF($A308="","",INDEX('05_KAIS'!$L:$L,$A308))</f>
        <v/>
      </c>
      <c r="H308" s="118">
        <f>IF($A308="","",IFERROR(INDEX('05_KAIS'!$M:$M,$A308),IF(AND(E308&gt;0,G308&gt;0),G308/E308,"")))</f>
        <v/>
      </c>
      <c r="I308" s="202">
        <f>IF($A308="","",INDEX('05_KAIS'!$N:$N,$A308))</f>
        <v/>
      </c>
      <c r="J308">
        <f>IF(B308="","",IF('02_대상물건입력'!$B$5="",1,IF(ISNUMBER(SEARCH('02_대상물건입력'!$B$5,B308)),1,0)))</f>
        <v/>
      </c>
      <c r="K308">
        <f>IF(B308="","",IF('02_대상물건입력'!$B$6="",1,IF(ISNUMBER(SEARCH('02_대상물건입력'!$B$6,B308)),1,0)))</f>
        <v/>
      </c>
      <c r="L308">
        <f>IF(D308="","",IF('02_대상물건입력'!$B$8="",0,IF(ISNUMBER(SEARCH('02_대상물건입력'!$B$8,D308)),1,0)))</f>
        <v/>
      </c>
      <c r="M308">
        <f>IFERROR(ABS(E308-'02_대상물건입력'!$B$11)/'02_대상물건입력'!$B$11,"")</f>
        <v/>
      </c>
      <c r="N308">
        <f>IFERROR(ABS('01_설정'!$B$4-F308),"")</f>
        <v/>
      </c>
      <c r="O308">
        <f>IFERROR(ABS(YEAR(I308)-YEAR('02_대상물건입력'!$B$14)),"")</f>
        <v/>
      </c>
      <c r="P308">
        <f>IF(AND(E308&gt;0,F308&gt;0,G308&gt;0,IF('01_설정'!$B$10=1,J308=1,TRUE()),M308&lt;='01_설정'!$B$5,N308&lt;='01_설정'!$B$7,O308&lt;='01_설정'!$B$8),"Y","")</f>
        <v/>
      </c>
      <c r="Q308">
        <f>IF(P308&lt;&gt;"Y","",MAX(0,(1-M308/'01_설정'!$B$5))*'01_설정'!$B$14+MAX(0,(1-N308/'01_설정'!$B$7))*'01_설정'!$B$16+MAX(0,(1-O308/'01_설정'!$B$8))*'01_설정'!$B$17+K308*'01_설정'!$B$11+L308*'01_설정'!$B$12)</f>
        <v/>
      </c>
      <c r="R308">
        <f>IF(Q308="","",1+COUNTIFS($Q$31:$Q$1030,"&gt;"&amp;Q308)+COUNTIFS($Q$31:Q308,Q308)-1)</f>
        <v/>
      </c>
    </row>
    <row r="309" hidden="1" ht="16.5" customHeight="1">
      <c r="A309">
        <f>IF(COUNTA('05_KAIS'!$A297:$N297)=0,"",282)</f>
        <v/>
      </c>
      <c r="B309">
        <f>IF($A309="","",TRIM(INDEX('05_KAIS'!$B:$B,$A309)&amp;" "&amp;INDEX('05_KAIS'!$C:$C,$A309)))</f>
        <v/>
      </c>
      <c r="C309">
        <f>IF($A309="","",INDEX('05_KAIS'!$D:$D,$A309))</f>
        <v/>
      </c>
      <c r="D309">
        <f>IF($A309="","",INDEX('05_KAIS'!$H:$H,$A309))</f>
        <v/>
      </c>
      <c r="E309">
        <f>IF($A309="","",INDEX('05_KAIS'!$K:$K,$A309))</f>
        <v/>
      </c>
      <c r="F309" s="202">
        <f>IF($A309="","",INDEX('05_KAIS'!$I:$I,$A309))</f>
        <v/>
      </c>
      <c r="G309" s="118">
        <f>IF($A309="","",INDEX('05_KAIS'!$L:$L,$A309))</f>
        <v/>
      </c>
      <c r="H309" s="118">
        <f>IF($A309="","",IFERROR(INDEX('05_KAIS'!$M:$M,$A309),IF(AND(E309&gt;0,G309&gt;0),G309/E309,"")))</f>
        <v/>
      </c>
      <c r="I309" s="202">
        <f>IF($A309="","",INDEX('05_KAIS'!$N:$N,$A309))</f>
        <v/>
      </c>
      <c r="J309">
        <f>IF(B309="","",IF('02_대상물건입력'!$B$5="",1,IF(ISNUMBER(SEARCH('02_대상물건입력'!$B$5,B309)),1,0)))</f>
        <v/>
      </c>
      <c r="K309">
        <f>IF(B309="","",IF('02_대상물건입력'!$B$6="",1,IF(ISNUMBER(SEARCH('02_대상물건입력'!$B$6,B309)),1,0)))</f>
        <v/>
      </c>
      <c r="L309">
        <f>IF(D309="","",IF('02_대상물건입력'!$B$8="",0,IF(ISNUMBER(SEARCH('02_대상물건입력'!$B$8,D309)),1,0)))</f>
        <v/>
      </c>
      <c r="M309">
        <f>IFERROR(ABS(E309-'02_대상물건입력'!$B$11)/'02_대상물건입력'!$B$11,"")</f>
        <v/>
      </c>
      <c r="N309">
        <f>IFERROR(ABS('01_설정'!$B$4-F309),"")</f>
        <v/>
      </c>
      <c r="O309">
        <f>IFERROR(ABS(YEAR(I309)-YEAR('02_대상물건입력'!$B$14)),"")</f>
        <v/>
      </c>
      <c r="P309">
        <f>IF(AND(E309&gt;0,F309&gt;0,G309&gt;0,IF('01_설정'!$B$10=1,J309=1,TRUE()),M309&lt;='01_설정'!$B$5,N309&lt;='01_설정'!$B$7,O309&lt;='01_설정'!$B$8),"Y","")</f>
        <v/>
      </c>
      <c r="Q309">
        <f>IF(P309&lt;&gt;"Y","",MAX(0,(1-M309/'01_설정'!$B$5))*'01_설정'!$B$14+MAX(0,(1-N309/'01_설정'!$B$7))*'01_설정'!$B$16+MAX(0,(1-O309/'01_설정'!$B$8))*'01_설정'!$B$17+K309*'01_설정'!$B$11+L309*'01_설정'!$B$12)</f>
        <v/>
      </c>
      <c r="R309">
        <f>IF(Q309="","",1+COUNTIFS($Q$31:$Q$1030,"&gt;"&amp;Q309)+COUNTIFS($Q$31:Q309,Q309)-1)</f>
        <v/>
      </c>
    </row>
    <row r="310" hidden="1" ht="16.5" customHeight="1">
      <c r="A310">
        <f>IF(COUNTA('05_KAIS'!$A298:$N298)=0,"",283)</f>
        <v/>
      </c>
      <c r="B310">
        <f>IF($A310="","",TRIM(INDEX('05_KAIS'!$B:$B,$A310)&amp;" "&amp;INDEX('05_KAIS'!$C:$C,$A310)))</f>
        <v/>
      </c>
      <c r="C310">
        <f>IF($A310="","",INDEX('05_KAIS'!$D:$D,$A310))</f>
        <v/>
      </c>
      <c r="D310">
        <f>IF($A310="","",INDEX('05_KAIS'!$H:$H,$A310))</f>
        <v/>
      </c>
      <c r="E310">
        <f>IF($A310="","",INDEX('05_KAIS'!$K:$K,$A310))</f>
        <v/>
      </c>
      <c r="F310" s="202">
        <f>IF($A310="","",INDEX('05_KAIS'!$I:$I,$A310))</f>
        <v/>
      </c>
      <c r="G310" s="118">
        <f>IF($A310="","",INDEX('05_KAIS'!$L:$L,$A310))</f>
        <v/>
      </c>
      <c r="H310" s="118">
        <f>IF($A310="","",IFERROR(INDEX('05_KAIS'!$M:$M,$A310),IF(AND(E310&gt;0,G310&gt;0),G310/E310,"")))</f>
        <v/>
      </c>
      <c r="I310" s="202">
        <f>IF($A310="","",INDEX('05_KAIS'!$N:$N,$A310))</f>
        <v/>
      </c>
      <c r="J310">
        <f>IF(B310="","",IF('02_대상물건입력'!$B$5="",1,IF(ISNUMBER(SEARCH('02_대상물건입력'!$B$5,B310)),1,0)))</f>
        <v/>
      </c>
      <c r="K310">
        <f>IF(B310="","",IF('02_대상물건입력'!$B$6="",1,IF(ISNUMBER(SEARCH('02_대상물건입력'!$B$6,B310)),1,0)))</f>
        <v/>
      </c>
      <c r="L310">
        <f>IF(D310="","",IF('02_대상물건입력'!$B$8="",0,IF(ISNUMBER(SEARCH('02_대상물건입력'!$B$8,D310)),1,0)))</f>
        <v/>
      </c>
      <c r="M310">
        <f>IFERROR(ABS(E310-'02_대상물건입력'!$B$11)/'02_대상물건입력'!$B$11,"")</f>
        <v/>
      </c>
      <c r="N310">
        <f>IFERROR(ABS('01_설정'!$B$4-F310),"")</f>
        <v/>
      </c>
      <c r="O310">
        <f>IFERROR(ABS(YEAR(I310)-YEAR('02_대상물건입력'!$B$14)),"")</f>
        <v/>
      </c>
      <c r="P310">
        <f>IF(AND(E310&gt;0,F310&gt;0,G310&gt;0,IF('01_설정'!$B$10=1,J310=1,TRUE()),M310&lt;='01_설정'!$B$5,N310&lt;='01_설정'!$B$7,O310&lt;='01_설정'!$B$8),"Y","")</f>
        <v/>
      </c>
      <c r="Q310">
        <f>IF(P310&lt;&gt;"Y","",MAX(0,(1-M310/'01_설정'!$B$5))*'01_설정'!$B$14+MAX(0,(1-N310/'01_설정'!$B$7))*'01_설정'!$B$16+MAX(0,(1-O310/'01_설정'!$B$8))*'01_설정'!$B$17+K310*'01_설정'!$B$11+L310*'01_설정'!$B$12)</f>
        <v/>
      </c>
      <c r="R310">
        <f>IF(Q310="","",1+COUNTIFS($Q$31:$Q$1030,"&gt;"&amp;Q310)+COUNTIFS($Q$31:Q310,Q310)-1)</f>
        <v/>
      </c>
    </row>
    <row r="311" hidden="1" ht="16.5" customHeight="1">
      <c r="A311">
        <f>IF(COUNTA('05_KAIS'!$A299:$N299)=0,"",284)</f>
        <v/>
      </c>
      <c r="B311">
        <f>IF($A311="","",TRIM(INDEX('05_KAIS'!$B:$B,$A311)&amp;" "&amp;INDEX('05_KAIS'!$C:$C,$A311)))</f>
        <v/>
      </c>
      <c r="C311">
        <f>IF($A311="","",INDEX('05_KAIS'!$D:$D,$A311))</f>
        <v/>
      </c>
      <c r="D311">
        <f>IF($A311="","",INDEX('05_KAIS'!$H:$H,$A311))</f>
        <v/>
      </c>
      <c r="E311">
        <f>IF($A311="","",INDEX('05_KAIS'!$K:$K,$A311))</f>
        <v/>
      </c>
      <c r="F311" s="202">
        <f>IF($A311="","",INDEX('05_KAIS'!$I:$I,$A311))</f>
        <v/>
      </c>
      <c r="G311" s="118">
        <f>IF($A311="","",INDEX('05_KAIS'!$L:$L,$A311))</f>
        <v/>
      </c>
      <c r="H311" s="118">
        <f>IF($A311="","",IFERROR(INDEX('05_KAIS'!$M:$M,$A311),IF(AND(E311&gt;0,G311&gt;0),G311/E311,"")))</f>
        <v/>
      </c>
      <c r="I311" s="202">
        <f>IF($A311="","",INDEX('05_KAIS'!$N:$N,$A311))</f>
        <v/>
      </c>
      <c r="J311">
        <f>IF(B311="","",IF('02_대상물건입력'!$B$5="",1,IF(ISNUMBER(SEARCH('02_대상물건입력'!$B$5,B311)),1,0)))</f>
        <v/>
      </c>
      <c r="K311">
        <f>IF(B311="","",IF('02_대상물건입력'!$B$6="",1,IF(ISNUMBER(SEARCH('02_대상물건입력'!$B$6,B311)),1,0)))</f>
        <v/>
      </c>
      <c r="L311">
        <f>IF(D311="","",IF('02_대상물건입력'!$B$8="",0,IF(ISNUMBER(SEARCH('02_대상물건입력'!$B$8,D311)),1,0)))</f>
        <v/>
      </c>
      <c r="M311">
        <f>IFERROR(ABS(E311-'02_대상물건입력'!$B$11)/'02_대상물건입력'!$B$11,"")</f>
        <v/>
      </c>
      <c r="N311">
        <f>IFERROR(ABS('01_설정'!$B$4-F311),"")</f>
        <v/>
      </c>
      <c r="O311">
        <f>IFERROR(ABS(YEAR(I311)-YEAR('02_대상물건입력'!$B$14)),"")</f>
        <v/>
      </c>
      <c r="P311">
        <f>IF(AND(E311&gt;0,F311&gt;0,G311&gt;0,IF('01_설정'!$B$10=1,J311=1,TRUE()),M311&lt;='01_설정'!$B$5,N311&lt;='01_설정'!$B$7,O311&lt;='01_설정'!$B$8),"Y","")</f>
        <v/>
      </c>
      <c r="Q311">
        <f>IF(P311&lt;&gt;"Y","",MAX(0,(1-M311/'01_설정'!$B$5))*'01_설정'!$B$14+MAX(0,(1-N311/'01_설정'!$B$7))*'01_설정'!$B$16+MAX(0,(1-O311/'01_설정'!$B$8))*'01_설정'!$B$17+K311*'01_설정'!$B$11+L311*'01_설정'!$B$12)</f>
        <v/>
      </c>
      <c r="R311">
        <f>IF(Q311="","",1+COUNTIFS($Q$31:$Q$1030,"&gt;"&amp;Q311)+COUNTIFS($Q$31:Q311,Q311)-1)</f>
        <v/>
      </c>
    </row>
    <row r="312" hidden="1" ht="16.5" customHeight="1">
      <c r="A312">
        <f>IF(COUNTA('05_KAIS'!$A300:$N300)=0,"",285)</f>
        <v/>
      </c>
      <c r="B312">
        <f>IF($A312="","",TRIM(INDEX('05_KAIS'!$B:$B,$A312)&amp;" "&amp;INDEX('05_KAIS'!$C:$C,$A312)))</f>
        <v/>
      </c>
      <c r="C312">
        <f>IF($A312="","",INDEX('05_KAIS'!$D:$D,$A312))</f>
        <v/>
      </c>
      <c r="D312">
        <f>IF($A312="","",INDEX('05_KAIS'!$H:$H,$A312))</f>
        <v/>
      </c>
      <c r="E312">
        <f>IF($A312="","",INDEX('05_KAIS'!$K:$K,$A312))</f>
        <v/>
      </c>
      <c r="F312" s="202">
        <f>IF($A312="","",INDEX('05_KAIS'!$I:$I,$A312))</f>
        <v/>
      </c>
      <c r="G312" s="118">
        <f>IF($A312="","",INDEX('05_KAIS'!$L:$L,$A312))</f>
        <v/>
      </c>
      <c r="H312" s="118">
        <f>IF($A312="","",IFERROR(INDEX('05_KAIS'!$M:$M,$A312),IF(AND(E312&gt;0,G312&gt;0),G312/E312,"")))</f>
        <v/>
      </c>
      <c r="I312" s="202">
        <f>IF($A312="","",INDEX('05_KAIS'!$N:$N,$A312))</f>
        <v/>
      </c>
      <c r="J312">
        <f>IF(B312="","",IF('02_대상물건입력'!$B$5="",1,IF(ISNUMBER(SEARCH('02_대상물건입력'!$B$5,B312)),1,0)))</f>
        <v/>
      </c>
      <c r="K312">
        <f>IF(B312="","",IF('02_대상물건입력'!$B$6="",1,IF(ISNUMBER(SEARCH('02_대상물건입력'!$B$6,B312)),1,0)))</f>
        <v/>
      </c>
      <c r="L312">
        <f>IF(D312="","",IF('02_대상물건입력'!$B$8="",0,IF(ISNUMBER(SEARCH('02_대상물건입력'!$B$8,D312)),1,0)))</f>
        <v/>
      </c>
      <c r="M312">
        <f>IFERROR(ABS(E312-'02_대상물건입력'!$B$11)/'02_대상물건입력'!$B$11,"")</f>
        <v/>
      </c>
      <c r="N312">
        <f>IFERROR(ABS('01_설정'!$B$4-F312),"")</f>
        <v/>
      </c>
      <c r="O312">
        <f>IFERROR(ABS(YEAR(I312)-YEAR('02_대상물건입력'!$B$14)),"")</f>
        <v/>
      </c>
      <c r="P312">
        <f>IF(AND(E312&gt;0,F312&gt;0,G312&gt;0,IF('01_설정'!$B$10=1,J312=1,TRUE()),M312&lt;='01_설정'!$B$5,N312&lt;='01_설정'!$B$7,O312&lt;='01_설정'!$B$8),"Y","")</f>
        <v/>
      </c>
      <c r="Q312">
        <f>IF(P312&lt;&gt;"Y","",MAX(0,(1-M312/'01_설정'!$B$5))*'01_설정'!$B$14+MAX(0,(1-N312/'01_설정'!$B$7))*'01_설정'!$B$16+MAX(0,(1-O312/'01_설정'!$B$8))*'01_설정'!$B$17+K312*'01_설정'!$B$11+L312*'01_설정'!$B$12)</f>
        <v/>
      </c>
      <c r="R312">
        <f>IF(Q312="","",1+COUNTIFS($Q$31:$Q$1030,"&gt;"&amp;Q312)+COUNTIFS($Q$31:Q312,Q312)-1)</f>
        <v/>
      </c>
    </row>
    <row r="313" hidden="1" ht="16.5" customHeight="1">
      <c r="A313">
        <f>IF(COUNTA('05_KAIS'!$A301:$N301)=0,"",286)</f>
        <v/>
      </c>
      <c r="B313">
        <f>IF($A313="","",TRIM(INDEX('05_KAIS'!$B:$B,$A313)&amp;" "&amp;INDEX('05_KAIS'!$C:$C,$A313)))</f>
        <v/>
      </c>
      <c r="C313">
        <f>IF($A313="","",INDEX('05_KAIS'!$D:$D,$A313))</f>
        <v/>
      </c>
      <c r="D313">
        <f>IF($A313="","",INDEX('05_KAIS'!$H:$H,$A313))</f>
        <v/>
      </c>
      <c r="E313">
        <f>IF($A313="","",INDEX('05_KAIS'!$K:$K,$A313))</f>
        <v/>
      </c>
      <c r="F313" s="202">
        <f>IF($A313="","",INDEX('05_KAIS'!$I:$I,$A313))</f>
        <v/>
      </c>
      <c r="G313" s="118">
        <f>IF($A313="","",INDEX('05_KAIS'!$L:$L,$A313))</f>
        <v/>
      </c>
      <c r="H313" s="118">
        <f>IF($A313="","",IFERROR(INDEX('05_KAIS'!$M:$M,$A313),IF(AND(E313&gt;0,G313&gt;0),G313/E313,"")))</f>
        <v/>
      </c>
      <c r="I313" s="202">
        <f>IF($A313="","",INDEX('05_KAIS'!$N:$N,$A313))</f>
        <v/>
      </c>
      <c r="J313">
        <f>IF(B313="","",IF('02_대상물건입력'!$B$5="",1,IF(ISNUMBER(SEARCH('02_대상물건입력'!$B$5,B313)),1,0)))</f>
        <v/>
      </c>
      <c r="K313">
        <f>IF(B313="","",IF('02_대상물건입력'!$B$6="",1,IF(ISNUMBER(SEARCH('02_대상물건입력'!$B$6,B313)),1,0)))</f>
        <v/>
      </c>
      <c r="L313">
        <f>IF(D313="","",IF('02_대상물건입력'!$B$8="",0,IF(ISNUMBER(SEARCH('02_대상물건입력'!$B$8,D313)),1,0)))</f>
        <v/>
      </c>
      <c r="M313">
        <f>IFERROR(ABS(E313-'02_대상물건입력'!$B$11)/'02_대상물건입력'!$B$11,"")</f>
        <v/>
      </c>
      <c r="N313">
        <f>IFERROR(ABS('01_설정'!$B$4-F313),"")</f>
        <v/>
      </c>
      <c r="O313">
        <f>IFERROR(ABS(YEAR(I313)-YEAR('02_대상물건입력'!$B$14)),"")</f>
        <v/>
      </c>
      <c r="P313">
        <f>IF(AND(E313&gt;0,F313&gt;0,G313&gt;0,IF('01_설정'!$B$10=1,J313=1,TRUE()),M313&lt;='01_설정'!$B$5,N313&lt;='01_설정'!$B$7,O313&lt;='01_설정'!$B$8),"Y","")</f>
        <v/>
      </c>
      <c r="Q313">
        <f>IF(P313&lt;&gt;"Y","",MAX(0,(1-M313/'01_설정'!$B$5))*'01_설정'!$B$14+MAX(0,(1-N313/'01_설정'!$B$7))*'01_설정'!$B$16+MAX(0,(1-O313/'01_설정'!$B$8))*'01_설정'!$B$17+K313*'01_설정'!$B$11+L313*'01_설정'!$B$12)</f>
        <v/>
      </c>
      <c r="R313">
        <f>IF(Q313="","",1+COUNTIFS($Q$31:$Q$1030,"&gt;"&amp;Q313)+COUNTIFS($Q$31:Q313,Q313)-1)</f>
        <v/>
      </c>
    </row>
    <row r="314" hidden="1" ht="16.5" customHeight="1">
      <c r="A314">
        <f>IF(COUNTA('05_KAIS'!$A302:$N302)=0,"",287)</f>
        <v/>
      </c>
      <c r="B314">
        <f>IF($A314="","",TRIM(INDEX('05_KAIS'!$B:$B,$A314)&amp;" "&amp;INDEX('05_KAIS'!$C:$C,$A314)))</f>
        <v/>
      </c>
      <c r="C314">
        <f>IF($A314="","",INDEX('05_KAIS'!$D:$D,$A314))</f>
        <v/>
      </c>
      <c r="D314">
        <f>IF($A314="","",INDEX('05_KAIS'!$H:$H,$A314))</f>
        <v/>
      </c>
      <c r="E314">
        <f>IF($A314="","",INDEX('05_KAIS'!$K:$K,$A314))</f>
        <v/>
      </c>
      <c r="F314" s="202">
        <f>IF($A314="","",INDEX('05_KAIS'!$I:$I,$A314))</f>
        <v/>
      </c>
      <c r="G314" s="118">
        <f>IF($A314="","",INDEX('05_KAIS'!$L:$L,$A314))</f>
        <v/>
      </c>
      <c r="H314" s="118">
        <f>IF($A314="","",IFERROR(INDEX('05_KAIS'!$M:$M,$A314),IF(AND(E314&gt;0,G314&gt;0),G314/E314,"")))</f>
        <v/>
      </c>
      <c r="I314" s="202">
        <f>IF($A314="","",INDEX('05_KAIS'!$N:$N,$A314))</f>
        <v/>
      </c>
      <c r="J314">
        <f>IF(B314="","",IF('02_대상물건입력'!$B$5="",1,IF(ISNUMBER(SEARCH('02_대상물건입력'!$B$5,B314)),1,0)))</f>
        <v/>
      </c>
      <c r="K314">
        <f>IF(B314="","",IF('02_대상물건입력'!$B$6="",1,IF(ISNUMBER(SEARCH('02_대상물건입력'!$B$6,B314)),1,0)))</f>
        <v/>
      </c>
      <c r="L314">
        <f>IF(D314="","",IF('02_대상물건입력'!$B$8="",0,IF(ISNUMBER(SEARCH('02_대상물건입력'!$B$8,D314)),1,0)))</f>
        <v/>
      </c>
      <c r="M314">
        <f>IFERROR(ABS(E314-'02_대상물건입력'!$B$11)/'02_대상물건입력'!$B$11,"")</f>
        <v/>
      </c>
      <c r="N314">
        <f>IFERROR(ABS('01_설정'!$B$4-F314),"")</f>
        <v/>
      </c>
      <c r="O314">
        <f>IFERROR(ABS(YEAR(I314)-YEAR('02_대상물건입력'!$B$14)),"")</f>
        <v/>
      </c>
      <c r="P314">
        <f>IF(AND(E314&gt;0,F314&gt;0,G314&gt;0,IF('01_설정'!$B$10=1,J314=1,TRUE()),M314&lt;='01_설정'!$B$5,N314&lt;='01_설정'!$B$7,O314&lt;='01_설정'!$B$8),"Y","")</f>
        <v/>
      </c>
      <c r="Q314">
        <f>IF(P314&lt;&gt;"Y","",MAX(0,(1-M314/'01_설정'!$B$5))*'01_설정'!$B$14+MAX(0,(1-N314/'01_설정'!$B$7))*'01_설정'!$B$16+MAX(0,(1-O314/'01_설정'!$B$8))*'01_설정'!$B$17+K314*'01_설정'!$B$11+L314*'01_설정'!$B$12)</f>
        <v/>
      </c>
      <c r="R314">
        <f>IF(Q314="","",1+COUNTIFS($Q$31:$Q$1030,"&gt;"&amp;Q314)+COUNTIFS($Q$31:Q314,Q314)-1)</f>
        <v/>
      </c>
    </row>
    <row r="315" hidden="1" ht="16.5" customHeight="1">
      <c r="A315">
        <f>IF(COUNTA('05_KAIS'!$A303:$N303)=0,"",288)</f>
        <v/>
      </c>
      <c r="B315">
        <f>IF($A315="","",TRIM(INDEX('05_KAIS'!$B:$B,$A315)&amp;" "&amp;INDEX('05_KAIS'!$C:$C,$A315)))</f>
        <v/>
      </c>
      <c r="C315">
        <f>IF($A315="","",INDEX('05_KAIS'!$D:$D,$A315))</f>
        <v/>
      </c>
      <c r="D315">
        <f>IF($A315="","",INDEX('05_KAIS'!$H:$H,$A315))</f>
        <v/>
      </c>
      <c r="E315">
        <f>IF($A315="","",INDEX('05_KAIS'!$K:$K,$A315))</f>
        <v/>
      </c>
      <c r="F315" s="202">
        <f>IF($A315="","",INDEX('05_KAIS'!$I:$I,$A315))</f>
        <v/>
      </c>
      <c r="G315" s="118">
        <f>IF($A315="","",INDEX('05_KAIS'!$L:$L,$A315))</f>
        <v/>
      </c>
      <c r="H315" s="118">
        <f>IF($A315="","",IFERROR(INDEX('05_KAIS'!$M:$M,$A315),IF(AND(E315&gt;0,G315&gt;0),G315/E315,"")))</f>
        <v/>
      </c>
      <c r="I315" s="202">
        <f>IF($A315="","",INDEX('05_KAIS'!$N:$N,$A315))</f>
        <v/>
      </c>
      <c r="J315">
        <f>IF(B315="","",IF('02_대상물건입력'!$B$5="",1,IF(ISNUMBER(SEARCH('02_대상물건입력'!$B$5,B315)),1,0)))</f>
        <v/>
      </c>
      <c r="K315">
        <f>IF(B315="","",IF('02_대상물건입력'!$B$6="",1,IF(ISNUMBER(SEARCH('02_대상물건입력'!$B$6,B315)),1,0)))</f>
        <v/>
      </c>
      <c r="L315">
        <f>IF(D315="","",IF('02_대상물건입력'!$B$8="",0,IF(ISNUMBER(SEARCH('02_대상물건입력'!$B$8,D315)),1,0)))</f>
        <v/>
      </c>
      <c r="M315">
        <f>IFERROR(ABS(E315-'02_대상물건입력'!$B$11)/'02_대상물건입력'!$B$11,"")</f>
        <v/>
      </c>
      <c r="N315">
        <f>IFERROR(ABS('01_설정'!$B$4-F315),"")</f>
        <v/>
      </c>
      <c r="O315">
        <f>IFERROR(ABS(YEAR(I315)-YEAR('02_대상물건입력'!$B$14)),"")</f>
        <v/>
      </c>
      <c r="P315">
        <f>IF(AND(E315&gt;0,F315&gt;0,G315&gt;0,IF('01_설정'!$B$10=1,J315=1,TRUE()),M315&lt;='01_설정'!$B$5,N315&lt;='01_설정'!$B$7,O315&lt;='01_설정'!$B$8),"Y","")</f>
        <v/>
      </c>
      <c r="Q315">
        <f>IF(P315&lt;&gt;"Y","",MAX(0,(1-M315/'01_설정'!$B$5))*'01_설정'!$B$14+MAX(0,(1-N315/'01_설정'!$B$7))*'01_설정'!$B$16+MAX(0,(1-O315/'01_설정'!$B$8))*'01_설정'!$B$17+K315*'01_설정'!$B$11+L315*'01_설정'!$B$12)</f>
        <v/>
      </c>
      <c r="R315">
        <f>IF(Q315="","",1+COUNTIFS($Q$31:$Q$1030,"&gt;"&amp;Q315)+COUNTIFS($Q$31:Q315,Q315)-1)</f>
        <v/>
      </c>
    </row>
    <row r="316" hidden="1" ht="16.5" customHeight="1">
      <c r="A316">
        <f>IF(COUNTA('05_KAIS'!$A304:$N304)=0,"",289)</f>
        <v/>
      </c>
      <c r="B316">
        <f>IF($A316="","",TRIM(INDEX('05_KAIS'!$B:$B,$A316)&amp;" "&amp;INDEX('05_KAIS'!$C:$C,$A316)))</f>
        <v/>
      </c>
      <c r="C316">
        <f>IF($A316="","",INDEX('05_KAIS'!$D:$D,$A316))</f>
        <v/>
      </c>
      <c r="D316">
        <f>IF($A316="","",INDEX('05_KAIS'!$H:$H,$A316))</f>
        <v/>
      </c>
      <c r="E316">
        <f>IF($A316="","",INDEX('05_KAIS'!$K:$K,$A316))</f>
        <v/>
      </c>
      <c r="F316" s="202">
        <f>IF($A316="","",INDEX('05_KAIS'!$I:$I,$A316))</f>
        <v/>
      </c>
      <c r="G316" s="118">
        <f>IF($A316="","",INDEX('05_KAIS'!$L:$L,$A316))</f>
        <v/>
      </c>
      <c r="H316" s="118">
        <f>IF($A316="","",IFERROR(INDEX('05_KAIS'!$M:$M,$A316),IF(AND(E316&gt;0,G316&gt;0),G316/E316,"")))</f>
        <v/>
      </c>
      <c r="I316" s="202">
        <f>IF($A316="","",INDEX('05_KAIS'!$N:$N,$A316))</f>
        <v/>
      </c>
      <c r="J316">
        <f>IF(B316="","",IF('02_대상물건입력'!$B$5="",1,IF(ISNUMBER(SEARCH('02_대상물건입력'!$B$5,B316)),1,0)))</f>
        <v/>
      </c>
      <c r="K316">
        <f>IF(B316="","",IF('02_대상물건입력'!$B$6="",1,IF(ISNUMBER(SEARCH('02_대상물건입력'!$B$6,B316)),1,0)))</f>
        <v/>
      </c>
      <c r="L316">
        <f>IF(D316="","",IF('02_대상물건입력'!$B$8="",0,IF(ISNUMBER(SEARCH('02_대상물건입력'!$B$8,D316)),1,0)))</f>
        <v/>
      </c>
      <c r="M316">
        <f>IFERROR(ABS(E316-'02_대상물건입력'!$B$11)/'02_대상물건입력'!$B$11,"")</f>
        <v/>
      </c>
      <c r="N316">
        <f>IFERROR(ABS('01_설정'!$B$4-F316),"")</f>
        <v/>
      </c>
      <c r="O316">
        <f>IFERROR(ABS(YEAR(I316)-YEAR('02_대상물건입력'!$B$14)),"")</f>
        <v/>
      </c>
      <c r="P316">
        <f>IF(AND(E316&gt;0,F316&gt;0,G316&gt;0,IF('01_설정'!$B$10=1,J316=1,TRUE()),M316&lt;='01_설정'!$B$5,N316&lt;='01_설정'!$B$7,O316&lt;='01_설정'!$B$8),"Y","")</f>
        <v/>
      </c>
      <c r="Q316">
        <f>IF(P316&lt;&gt;"Y","",MAX(0,(1-M316/'01_설정'!$B$5))*'01_설정'!$B$14+MAX(0,(1-N316/'01_설정'!$B$7))*'01_설정'!$B$16+MAX(0,(1-O316/'01_설정'!$B$8))*'01_설정'!$B$17+K316*'01_설정'!$B$11+L316*'01_설정'!$B$12)</f>
        <v/>
      </c>
      <c r="R316">
        <f>IF(Q316="","",1+COUNTIFS($Q$31:$Q$1030,"&gt;"&amp;Q316)+COUNTIFS($Q$31:Q316,Q316)-1)</f>
        <v/>
      </c>
    </row>
    <row r="317" hidden="1" ht="16.5" customHeight="1">
      <c r="A317">
        <f>IF(COUNTA('05_KAIS'!$A305:$N305)=0,"",290)</f>
        <v/>
      </c>
      <c r="B317">
        <f>IF($A317="","",TRIM(INDEX('05_KAIS'!$B:$B,$A317)&amp;" "&amp;INDEX('05_KAIS'!$C:$C,$A317)))</f>
        <v/>
      </c>
      <c r="C317">
        <f>IF($A317="","",INDEX('05_KAIS'!$D:$D,$A317))</f>
        <v/>
      </c>
      <c r="D317">
        <f>IF($A317="","",INDEX('05_KAIS'!$H:$H,$A317))</f>
        <v/>
      </c>
      <c r="E317">
        <f>IF($A317="","",INDEX('05_KAIS'!$K:$K,$A317))</f>
        <v/>
      </c>
      <c r="F317" s="202">
        <f>IF($A317="","",INDEX('05_KAIS'!$I:$I,$A317))</f>
        <v/>
      </c>
      <c r="G317" s="118">
        <f>IF($A317="","",INDEX('05_KAIS'!$L:$L,$A317))</f>
        <v/>
      </c>
      <c r="H317" s="118">
        <f>IF($A317="","",IFERROR(INDEX('05_KAIS'!$M:$M,$A317),IF(AND(E317&gt;0,G317&gt;0),G317/E317,"")))</f>
        <v/>
      </c>
      <c r="I317" s="202">
        <f>IF($A317="","",INDEX('05_KAIS'!$N:$N,$A317))</f>
        <v/>
      </c>
      <c r="J317">
        <f>IF(B317="","",IF('02_대상물건입력'!$B$5="",1,IF(ISNUMBER(SEARCH('02_대상물건입력'!$B$5,B317)),1,0)))</f>
        <v/>
      </c>
      <c r="K317">
        <f>IF(B317="","",IF('02_대상물건입력'!$B$6="",1,IF(ISNUMBER(SEARCH('02_대상물건입력'!$B$6,B317)),1,0)))</f>
        <v/>
      </c>
      <c r="L317">
        <f>IF(D317="","",IF('02_대상물건입력'!$B$8="",0,IF(ISNUMBER(SEARCH('02_대상물건입력'!$B$8,D317)),1,0)))</f>
        <v/>
      </c>
      <c r="M317">
        <f>IFERROR(ABS(E317-'02_대상물건입력'!$B$11)/'02_대상물건입력'!$B$11,"")</f>
        <v/>
      </c>
      <c r="N317">
        <f>IFERROR(ABS('01_설정'!$B$4-F317),"")</f>
        <v/>
      </c>
      <c r="O317">
        <f>IFERROR(ABS(YEAR(I317)-YEAR('02_대상물건입력'!$B$14)),"")</f>
        <v/>
      </c>
      <c r="P317">
        <f>IF(AND(E317&gt;0,F317&gt;0,G317&gt;0,IF('01_설정'!$B$10=1,J317=1,TRUE()),M317&lt;='01_설정'!$B$5,N317&lt;='01_설정'!$B$7,O317&lt;='01_설정'!$B$8),"Y","")</f>
        <v/>
      </c>
      <c r="Q317">
        <f>IF(P317&lt;&gt;"Y","",MAX(0,(1-M317/'01_설정'!$B$5))*'01_설정'!$B$14+MAX(0,(1-N317/'01_설정'!$B$7))*'01_설정'!$B$16+MAX(0,(1-O317/'01_설정'!$B$8))*'01_설정'!$B$17+K317*'01_설정'!$B$11+L317*'01_설정'!$B$12)</f>
        <v/>
      </c>
      <c r="R317">
        <f>IF(Q317="","",1+COUNTIFS($Q$31:$Q$1030,"&gt;"&amp;Q317)+COUNTIFS($Q$31:Q317,Q317)-1)</f>
        <v/>
      </c>
    </row>
    <row r="318" hidden="1" ht="16.5" customHeight="1">
      <c r="A318">
        <f>IF(COUNTA('05_KAIS'!$A306:$N306)=0,"",291)</f>
        <v/>
      </c>
      <c r="B318">
        <f>IF($A318="","",TRIM(INDEX('05_KAIS'!$B:$B,$A318)&amp;" "&amp;INDEX('05_KAIS'!$C:$C,$A318)))</f>
        <v/>
      </c>
      <c r="C318">
        <f>IF($A318="","",INDEX('05_KAIS'!$D:$D,$A318))</f>
        <v/>
      </c>
      <c r="D318">
        <f>IF($A318="","",INDEX('05_KAIS'!$H:$H,$A318))</f>
        <v/>
      </c>
      <c r="E318">
        <f>IF($A318="","",INDEX('05_KAIS'!$K:$K,$A318))</f>
        <v/>
      </c>
      <c r="F318" s="202">
        <f>IF($A318="","",INDEX('05_KAIS'!$I:$I,$A318))</f>
        <v/>
      </c>
      <c r="G318" s="118">
        <f>IF($A318="","",INDEX('05_KAIS'!$L:$L,$A318))</f>
        <v/>
      </c>
      <c r="H318" s="118">
        <f>IF($A318="","",IFERROR(INDEX('05_KAIS'!$M:$M,$A318),IF(AND(E318&gt;0,G318&gt;0),G318/E318,"")))</f>
        <v/>
      </c>
      <c r="I318" s="202">
        <f>IF($A318="","",INDEX('05_KAIS'!$N:$N,$A318))</f>
        <v/>
      </c>
      <c r="J318">
        <f>IF(B318="","",IF('02_대상물건입력'!$B$5="",1,IF(ISNUMBER(SEARCH('02_대상물건입력'!$B$5,B318)),1,0)))</f>
        <v/>
      </c>
      <c r="K318">
        <f>IF(B318="","",IF('02_대상물건입력'!$B$6="",1,IF(ISNUMBER(SEARCH('02_대상물건입력'!$B$6,B318)),1,0)))</f>
        <v/>
      </c>
      <c r="L318">
        <f>IF(D318="","",IF('02_대상물건입력'!$B$8="",0,IF(ISNUMBER(SEARCH('02_대상물건입력'!$B$8,D318)),1,0)))</f>
        <v/>
      </c>
      <c r="M318">
        <f>IFERROR(ABS(E318-'02_대상물건입력'!$B$11)/'02_대상물건입력'!$B$11,"")</f>
        <v/>
      </c>
      <c r="N318">
        <f>IFERROR(ABS('01_설정'!$B$4-F318),"")</f>
        <v/>
      </c>
      <c r="O318">
        <f>IFERROR(ABS(YEAR(I318)-YEAR('02_대상물건입력'!$B$14)),"")</f>
        <v/>
      </c>
      <c r="P318">
        <f>IF(AND(E318&gt;0,F318&gt;0,G318&gt;0,IF('01_설정'!$B$10=1,J318=1,TRUE()),M318&lt;='01_설정'!$B$5,N318&lt;='01_설정'!$B$7,O318&lt;='01_설정'!$B$8),"Y","")</f>
        <v/>
      </c>
      <c r="Q318">
        <f>IF(P318&lt;&gt;"Y","",MAX(0,(1-M318/'01_설정'!$B$5))*'01_설정'!$B$14+MAX(0,(1-N318/'01_설정'!$B$7))*'01_설정'!$B$16+MAX(0,(1-O318/'01_설정'!$B$8))*'01_설정'!$B$17+K318*'01_설정'!$B$11+L318*'01_설정'!$B$12)</f>
        <v/>
      </c>
      <c r="R318">
        <f>IF(Q318="","",1+COUNTIFS($Q$31:$Q$1030,"&gt;"&amp;Q318)+COUNTIFS($Q$31:Q318,Q318)-1)</f>
        <v/>
      </c>
    </row>
    <row r="319" hidden="1" ht="16.5" customHeight="1">
      <c r="A319">
        <f>IF(COUNTA('05_KAIS'!$A307:$N307)=0,"",292)</f>
        <v/>
      </c>
      <c r="B319">
        <f>IF($A319="","",TRIM(INDEX('05_KAIS'!$B:$B,$A319)&amp;" "&amp;INDEX('05_KAIS'!$C:$C,$A319)))</f>
        <v/>
      </c>
      <c r="C319">
        <f>IF($A319="","",INDEX('05_KAIS'!$D:$D,$A319))</f>
        <v/>
      </c>
      <c r="D319">
        <f>IF($A319="","",INDEX('05_KAIS'!$H:$H,$A319))</f>
        <v/>
      </c>
      <c r="E319">
        <f>IF($A319="","",INDEX('05_KAIS'!$K:$K,$A319))</f>
        <v/>
      </c>
      <c r="F319" s="202">
        <f>IF($A319="","",INDEX('05_KAIS'!$I:$I,$A319))</f>
        <v/>
      </c>
      <c r="G319" s="118">
        <f>IF($A319="","",INDEX('05_KAIS'!$L:$L,$A319))</f>
        <v/>
      </c>
      <c r="H319" s="118">
        <f>IF($A319="","",IFERROR(INDEX('05_KAIS'!$M:$M,$A319),IF(AND(E319&gt;0,G319&gt;0),G319/E319,"")))</f>
        <v/>
      </c>
      <c r="I319" s="202">
        <f>IF($A319="","",INDEX('05_KAIS'!$N:$N,$A319))</f>
        <v/>
      </c>
      <c r="J319">
        <f>IF(B319="","",IF('02_대상물건입력'!$B$5="",1,IF(ISNUMBER(SEARCH('02_대상물건입력'!$B$5,B319)),1,0)))</f>
        <v/>
      </c>
      <c r="K319">
        <f>IF(B319="","",IF('02_대상물건입력'!$B$6="",1,IF(ISNUMBER(SEARCH('02_대상물건입력'!$B$6,B319)),1,0)))</f>
        <v/>
      </c>
      <c r="L319">
        <f>IF(D319="","",IF('02_대상물건입력'!$B$8="",0,IF(ISNUMBER(SEARCH('02_대상물건입력'!$B$8,D319)),1,0)))</f>
        <v/>
      </c>
      <c r="M319">
        <f>IFERROR(ABS(E319-'02_대상물건입력'!$B$11)/'02_대상물건입력'!$B$11,"")</f>
        <v/>
      </c>
      <c r="N319">
        <f>IFERROR(ABS('01_설정'!$B$4-F319),"")</f>
        <v/>
      </c>
      <c r="O319">
        <f>IFERROR(ABS(YEAR(I319)-YEAR('02_대상물건입력'!$B$14)),"")</f>
        <v/>
      </c>
      <c r="P319">
        <f>IF(AND(E319&gt;0,F319&gt;0,G319&gt;0,IF('01_설정'!$B$10=1,J319=1,TRUE()),M319&lt;='01_설정'!$B$5,N319&lt;='01_설정'!$B$7,O319&lt;='01_설정'!$B$8),"Y","")</f>
        <v/>
      </c>
      <c r="Q319">
        <f>IF(P319&lt;&gt;"Y","",MAX(0,(1-M319/'01_설정'!$B$5))*'01_설정'!$B$14+MAX(0,(1-N319/'01_설정'!$B$7))*'01_설정'!$B$16+MAX(0,(1-O319/'01_설정'!$B$8))*'01_설정'!$B$17+K319*'01_설정'!$B$11+L319*'01_설정'!$B$12)</f>
        <v/>
      </c>
      <c r="R319">
        <f>IF(Q319="","",1+COUNTIFS($Q$31:$Q$1030,"&gt;"&amp;Q319)+COUNTIFS($Q$31:Q319,Q319)-1)</f>
        <v/>
      </c>
    </row>
    <row r="320" hidden="1" ht="16.5" customHeight="1">
      <c r="A320">
        <f>IF(COUNTA('05_KAIS'!$A308:$N308)=0,"",293)</f>
        <v/>
      </c>
      <c r="B320">
        <f>IF($A320="","",TRIM(INDEX('05_KAIS'!$B:$B,$A320)&amp;" "&amp;INDEX('05_KAIS'!$C:$C,$A320)))</f>
        <v/>
      </c>
      <c r="C320">
        <f>IF($A320="","",INDEX('05_KAIS'!$D:$D,$A320))</f>
        <v/>
      </c>
      <c r="D320">
        <f>IF($A320="","",INDEX('05_KAIS'!$H:$H,$A320))</f>
        <v/>
      </c>
      <c r="E320">
        <f>IF($A320="","",INDEX('05_KAIS'!$K:$K,$A320))</f>
        <v/>
      </c>
      <c r="F320" s="202">
        <f>IF($A320="","",INDEX('05_KAIS'!$I:$I,$A320))</f>
        <v/>
      </c>
      <c r="G320" s="118">
        <f>IF($A320="","",INDEX('05_KAIS'!$L:$L,$A320))</f>
        <v/>
      </c>
      <c r="H320" s="118">
        <f>IF($A320="","",IFERROR(INDEX('05_KAIS'!$M:$M,$A320),IF(AND(E320&gt;0,G320&gt;0),G320/E320,"")))</f>
        <v/>
      </c>
      <c r="I320" s="202">
        <f>IF($A320="","",INDEX('05_KAIS'!$N:$N,$A320))</f>
        <v/>
      </c>
      <c r="J320">
        <f>IF(B320="","",IF('02_대상물건입력'!$B$5="",1,IF(ISNUMBER(SEARCH('02_대상물건입력'!$B$5,B320)),1,0)))</f>
        <v/>
      </c>
      <c r="K320">
        <f>IF(B320="","",IF('02_대상물건입력'!$B$6="",1,IF(ISNUMBER(SEARCH('02_대상물건입력'!$B$6,B320)),1,0)))</f>
        <v/>
      </c>
      <c r="L320">
        <f>IF(D320="","",IF('02_대상물건입력'!$B$8="",0,IF(ISNUMBER(SEARCH('02_대상물건입력'!$B$8,D320)),1,0)))</f>
        <v/>
      </c>
      <c r="M320">
        <f>IFERROR(ABS(E320-'02_대상물건입력'!$B$11)/'02_대상물건입력'!$B$11,"")</f>
        <v/>
      </c>
      <c r="N320">
        <f>IFERROR(ABS('01_설정'!$B$4-F320),"")</f>
        <v/>
      </c>
      <c r="O320">
        <f>IFERROR(ABS(YEAR(I320)-YEAR('02_대상물건입력'!$B$14)),"")</f>
        <v/>
      </c>
      <c r="P320">
        <f>IF(AND(E320&gt;0,F320&gt;0,G320&gt;0,IF('01_설정'!$B$10=1,J320=1,TRUE()),M320&lt;='01_설정'!$B$5,N320&lt;='01_설정'!$B$7,O320&lt;='01_설정'!$B$8),"Y","")</f>
        <v/>
      </c>
      <c r="Q320">
        <f>IF(P320&lt;&gt;"Y","",MAX(0,(1-M320/'01_설정'!$B$5))*'01_설정'!$B$14+MAX(0,(1-N320/'01_설정'!$B$7))*'01_설정'!$B$16+MAX(0,(1-O320/'01_설정'!$B$8))*'01_설정'!$B$17+K320*'01_설정'!$B$11+L320*'01_설정'!$B$12)</f>
        <v/>
      </c>
      <c r="R320">
        <f>IF(Q320="","",1+COUNTIFS($Q$31:$Q$1030,"&gt;"&amp;Q320)+COUNTIFS($Q$31:Q320,Q320)-1)</f>
        <v/>
      </c>
    </row>
    <row r="321" hidden="1" ht="16.5" customHeight="1">
      <c r="A321">
        <f>IF(COUNTA('05_KAIS'!$A309:$N309)=0,"",294)</f>
        <v/>
      </c>
      <c r="B321">
        <f>IF($A321="","",TRIM(INDEX('05_KAIS'!$B:$B,$A321)&amp;" "&amp;INDEX('05_KAIS'!$C:$C,$A321)))</f>
        <v/>
      </c>
      <c r="C321">
        <f>IF($A321="","",INDEX('05_KAIS'!$D:$D,$A321))</f>
        <v/>
      </c>
      <c r="D321">
        <f>IF($A321="","",INDEX('05_KAIS'!$H:$H,$A321))</f>
        <v/>
      </c>
      <c r="E321">
        <f>IF($A321="","",INDEX('05_KAIS'!$K:$K,$A321))</f>
        <v/>
      </c>
      <c r="F321" s="202">
        <f>IF($A321="","",INDEX('05_KAIS'!$I:$I,$A321))</f>
        <v/>
      </c>
      <c r="G321" s="118">
        <f>IF($A321="","",INDEX('05_KAIS'!$L:$L,$A321))</f>
        <v/>
      </c>
      <c r="H321" s="118">
        <f>IF($A321="","",IFERROR(INDEX('05_KAIS'!$M:$M,$A321),IF(AND(E321&gt;0,G321&gt;0),G321/E321,"")))</f>
        <v/>
      </c>
      <c r="I321" s="202">
        <f>IF($A321="","",INDEX('05_KAIS'!$N:$N,$A321))</f>
        <v/>
      </c>
      <c r="J321">
        <f>IF(B321="","",IF('02_대상물건입력'!$B$5="",1,IF(ISNUMBER(SEARCH('02_대상물건입력'!$B$5,B321)),1,0)))</f>
        <v/>
      </c>
      <c r="K321">
        <f>IF(B321="","",IF('02_대상물건입력'!$B$6="",1,IF(ISNUMBER(SEARCH('02_대상물건입력'!$B$6,B321)),1,0)))</f>
        <v/>
      </c>
      <c r="L321">
        <f>IF(D321="","",IF('02_대상물건입력'!$B$8="",0,IF(ISNUMBER(SEARCH('02_대상물건입력'!$B$8,D321)),1,0)))</f>
        <v/>
      </c>
      <c r="M321">
        <f>IFERROR(ABS(E321-'02_대상물건입력'!$B$11)/'02_대상물건입력'!$B$11,"")</f>
        <v/>
      </c>
      <c r="N321">
        <f>IFERROR(ABS('01_설정'!$B$4-F321),"")</f>
        <v/>
      </c>
      <c r="O321">
        <f>IFERROR(ABS(YEAR(I321)-YEAR('02_대상물건입력'!$B$14)),"")</f>
        <v/>
      </c>
      <c r="P321">
        <f>IF(AND(E321&gt;0,F321&gt;0,G321&gt;0,IF('01_설정'!$B$10=1,J321=1,TRUE()),M321&lt;='01_설정'!$B$5,N321&lt;='01_설정'!$B$7,O321&lt;='01_설정'!$B$8),"Y","")</f>
        <v/>
      </c>
      <c r="Q321">
        <f>IF(P321&lt;&gt;"Y","",MAX(0,(1-M321/'01_설정'!$B$5))*'01_설정'!$B$14+MAX(0,(1-N321/'01_설정'!$B$7))*'01_설정'!$B$16+MAX(0,(1-O321/'01_설정'!$B$8))*'01_설정'!$B$17+K321*'01_설정'!$B$11+L321*'01_설정'!$B$12)</f>
        <v/>
      </c>
      <c r="R321">
        <f>IF(Q321="","",1+COUNTIFS($Q$31:$Q$1030,"&gt;"&amp;Q321)+COUNTIFS($Q$31:Q321,Q321)-1)</f>
        <v/>
      </c>
    </row>
    <row r="322" hidden="1" ht="16.5" customHeight="1">
      <c r="A322">
        <f>IF(COUNTA('05_KAIS'!$A310:$N310)=0,"",295)</f>
        <v/>
      </c>
      <c r="B322">
        <f>IF($A322="","",TRIM(INDEX('05_KAIS'!$B:$B,$A322)&amp;" "&amp;INDEX('05_KAIS'!$C:$C,$A322)))</f>
        <v/>
      </c>
      <c r="C322">
        <f>IF($A322="","",INDEX('05_KAIS'!$D:$D,$A322))</f>
        <v/>
      </c>
      <c r="D322">
        <f>IF($A322="","",INDEX('05_KAIS'!$H:$H,$A322))</f>
        <v/>
      </c>
      <c r="E322">
        <f>IF($A322="","",INDEX('05_KAIS'!$K:$K,$A322))</f>
        <v/>
      </c>
      <c r="F322" s="202">
        <f>IF($A322="","",INDEX('05_KAIS'!$I:$I,$A322))</f>
        <v/>
      </c>
      <c r="G322" s="118">
        <f>IF($A322="","",INDEX('05_KAIS'!$L:$L,$A322))</f>
        <v/>
      </c>
      <c r="H322" s="118">
        <f>IF($A322="","",IFERROR(INDEX('05_KAIS'!$M:$M,$A322),IF(AND(E322&gt;0,G322&gt;0),G322/E322,"")))</f>
        <v/>
      </c>
      <c r="I322" s="202">
        <f>IF($A322="","",INDEX('05_KAIS'!$N:$N,$A322))</f>
        <v/>
      </c>
      <c r="J322">
        <f>IF(B322="","",IF('02_대상물건입력'!$B$5="",1,IF(ISNUMBER(SEARCH('02_대상물건입력'!$B$5,B322)),1,0)))</f>
        <v/>
      </c>
      <c r="K322">
        <f>IF(B322="","",IF('02_대상물건입력'!$B$6="",1,IF(ISNUMBER(SEARCH('02_대상물건입력'!$B$6,B322)),1,0)))</f>
        <v/>
      </c>
      <c r="L322">
        <f>IF(D322="","",IF('02_대상물건입력'!$B$8="",0,IF(ISNUMBER(SEARCH('02_대상물건입력'!$B$8,D322)),1,0)))</f>
        <v/>
      </c>
      <c r="M322">
        <f>IFERROR(ABS(E322-'02_대상물건입력'!$B$11)/'02_대상물건입력'!$B$11,"")</f>
        <v/>
      </c>
      <c r="N322">
        <f>IFERROR(ABS('01_설정'!$B$4-F322),"")</f>
        <v/>
      </c>
      <c r="O322">
        <f>IFERROR(ABS(YEAR(I322)-YEAR('02_대상물건입력'!$B$14)),"")</f>
        <v/>
      </c>
      <c r="P322">
        <f>IF(AND(E322&gt;0,F322&gt;0,G322&gt;0,IF('01_설정'!$B$10=1,J322=1,TRUE()),M322&lt;='01_설정'!$B$5,N322&lt;='01_설정'!$B$7,O322&lt;='01_설정'!$B$8),"Y","")</f>
        <v/>
      </c>
      <c r="Q322">
        <f>IF(P322&lt;&gt;"Y","",MAX(0,(1-M322/'01_설정'!$B$5))*'01_설정'!$B$14+MAX(0,(1-N322/'01_설정'!$B$7))*'01_설정'!$B$16+MAX(0,(1-O322/'01_설정'!$B$8))*'01_설정'!$B$17+K322*'01_설정'!$B$11+L322*'01_설정'!$B$12)</f>
        <v/>
      </c>
      <c r="R322">
        <f>IF(Q322="","",1+COUNTIFS($Q$31:$Q$1030,"&gt;"&amp;Q322)+COUNTIFS($Q$31:Q322,Q322)-1)</f>
        <v/>
      </c>
    </row>
    <row r="323" hidden="1" ht="16.5" customHeight="1">
      <c r="A323">
        <f>IF(COUNTA('05_KAIS'!$A311:$N311)=0,"",296)</f>
        <v/>
      </c>
      <c r="B323">
        <f>IF($A323="","",TRIM(INDEX('05_KAIS'!$B:$B,$A323)&amp;" "&amp;INDEX('05_KAIS'!$C:$C,$A323)))</f>
        <v/>
      </c>
      <c r="C323">
        <f>IF($A323="","",INDEX('05_KAIS'!$D:$D,$A323))</f>
        <v/>
      </c>
      <c r="D323">
        <f>IF($A323="","",INDEX('05_KAIS'!$H:$H,$A323))</f>
        <v/>
      </c>
      <c r="E323">
        <f>IF($A323="","",INDEX('05_KAIS'!$K:$K,$A323))</f>
        <v/>
      </c>
      <c r="F323" s="202">
        <f>IF($A323="","",INDEX('05_KAIS'!$I:$I,$A323))</f>
        <v/>
      </c>
      <c r="G323" s="118">
        <f>IF($A323="","",INDEX('05_KAIS'!$L:$L,$A323))</f>
        <v/>
      </c>
      <c r="H323" s="118">
        <f>IF($A323="","",IFERROR(INDEX('05_KAIS'!$M:$M,$A323),IF(AND(E323&gt;0,G323&gt;0),G323/E323,"")))</f>
        <v/>
      </c>
      <c r="I323" s="202">
        <f>IF($A323="","",INDEX('05_KAIS'!$N:$N,$A323))</f>
        <v/>
      </c>
      <c r="J323">
        <f>IF(B323="","",IF('02_대상물건입력'!$B$5="",1,IF(ISNUMBER(SEARCH('02_대상물건입력'!$B$5,B323)),1,0)))</f>
        <v/>
      </c>
      <c r="K323">
        <f>IF(B323="","",IF('02_대상물건입력'!$B$6="",1,IF(ISNUMBER(SEARCH('02_대상물건입력'!$B$6,B323)),1,0)))</f>
        <v/>
      </c>
      <c r="L323">
        <f>IF(D323="","",IF('02_대상물건입력'!$B$8="",0,IF(ISNUMBER(SEARCH('02_대상물건입력'!$B$8,D323)),1,0)))</f>
        <v/>
      </c>
      <c r="M323">
        <f>IFERROR(ABS(E323-'02_대상물건입력'!$B$11)/'02_대상물건입력'!$B$11,"")</f>
        <v/>
      </c>
      <c r="N323">
        <f>IFERROR(ABS('01_설정'!$B$4-F323),"")</f>
        <v/>
      </c>
      <c r="O323">
        <f>IFERROR(ABS(YEAR(I323)-YEAR('02_대상물건입력'!$B$14)),"")</f>
        <v/>
      </c>
      <c r="P323">
        <f>IF(AND(E323&gt;0,F323&gt;0,G323&gt;0,IF('01_설정'!$B$10=1,J323=1,TRUE()),M323&lt;='01_설정'!$B$5,N323&lt;='01_설정'!$B$7,O323&lt;='01_설정'!$B$8),"Y","")</f>
        <v/>
      </c>
      <c r="Q323">
        <f>IF(P323&lt;&gt;"Y","",MAX(0,(1-M323/'01_설정'!$B$5))*'01_설정'!$B$14+MAX(0,(1-N323/'01_설정'!$B$7))*'01_설정'!$B$16+MAX(0,(1-O323/'01_설정'!$B$8))*'01_설정'!$B$17+K323*'01_설정'!$B$11+L323*'01_설정'!$B$12)</f>
        <v/>
      </c>
      <c r="R323">
        <f>IF(Q323="","",1+COUNTIFS($Q$31:$Q$1030,"&gt;"&amp;Q323)+COUNTIFS($Q$31:Q323,Q323)-1)</f>
        <v/>
      </c>
    </row>
    <row r="324" hidden="1" ht="16.5" customHeight="1">
      <c r="A324">
        <f>IF(COUNTA('05_KAIS'!$A312:$N312)=0,"",297)</f>
        <v/>
      </c>
      <c r="B324">
        <f>IF($A324="","",TRIM(INDEX('05_KAIS'!$B:$B,$A324)&amp;" "&amp;INDEX('05_KAIS'!$C:$C,$A324)))</f>
        <v/>
      </c>
      <c r="C324">
        <f>IF($A324="","",INDEX('05_KAIS'!$D:$D,$A324))</f>
        <v/>
      </c>
      <c r="D324">
        <f>IF($A324="","",INDEX('05_KAIS'!$H:$H,$A324))</f>
        <v/>
      </c>
      <c r="E324">
        <f>IF($A324="","",INDEX('05_KAIS'!$K:$K,$A324))</f>
        <v/>
      </c>
      <c r="F324" s="202">
        <f>IF($A324="","",INDEX('05_KAIS'!$I:$I,$A324))</f>
        <v/>
      </c>
      <c r="G324" s="118">
        <f>IF($A324="","",INDEX('05_KAIS'!$L:$L,$A324))</f>
        <v/>
      </c>
      <c r="H324" s="118">
        <f>IF($A324="","",IFERROR(INDEX('05_KAIS'!$M:$M,$A324),IF(AND(E324&gt;0,G324&gt;0),G324/E324,"")))</f>
        <v/>
      </c>
      <c r="I324" s="202">
        <f>IF($A324="","",INDEX('05_KAIS'!$N:$N,$A324))</f>
        <v/>
      </c>
      <c r="J324">
        <f>IF(B324="","",IF('02_대상물건입력'!$B$5="",1,IF(ISNUMBER(SEARCH('02_대상물건입력'!$B$5,B324)),1,0)))</f>
        <v/>
      </c>
      <c r="K324">
        <f>IF(B324="","",IF('02_대상물건입력'!$B$6="",1,IF(ISNUMBER(SEARCH('02_대상물건입력'!$B$6,B324)),1,0)))</f>
        <v/>
      </c>
      <c r="L324">
        <f>IF(D324="","",IF('02_대상물건입력'!$B$8="",0,IF(ISNUMBER(SEARCH('02_대상물건입력'!$B$8,D324)),1,0)))</f>
        <v/>
      </c>
      <c r="M324">
        <f>IFERROR(ABS(E324-'02_대상물건입력'!$B$11)/'02_대상물건입력'!$B$11,"")</f>
        <v/>
      </c>
      <c r="N324">
        <f>IFERROR(ABS('01_설정'!$B$4-F324),"")</f>
        <v/>
      </c>
      <c r="O324">
        <f>IFERROR(ABS(YEAR(I324)-YEAR('02_대상물건입력'!$B$14)),"")</f>
        <v/>
      </c>
      <c r="P324">
        <f>IF(AND(E324&gt;0,F324&gt;0,G324&gt;0,IF('01_설정'!$B$10=1,J324=1,TRUE()),M324&lt;='01_설정'!$B$5,N324&lt;='01_설정'!$B$7,O324&lt;='01_설정'!$B$8),"Y","")</f>
        <v/>
      </c>
      <c r="Q324">
        <f>IF(P324&lt;&gt;"Y","",MAX(0,(1-M324/'01_설정'!$B$5))*'01_설정'!$B$14+MAX(0,(1-N324/'01_설정'!$B$7))*'01_설정'!$B$16+MAX(0,(1-O324/'01_설정'!$B$8))*'01_설정'!$B$17+K324*'01_설정'!$B$11+L324*'01_설정'!$B$12)</f>
        <v/>
      </c>
      <c r="R324">
        <f>IF(Q324="","",1+COUNTIFS($Q$31:$Q$1030,"&gt;"&amp;Q324)+COUNTIFS($Q$31:Q324,Q324)-1)</f>
        <v/>
      </c>
    </row>
    <row r="325" hidden="1" ht="16.5" customHeight="1">
      <c r="A325">
        <f>IF(COUNTA('05_KAIS'!$A313:$N313)=0,"",298)</f>
        <v/>
      </c>
      <c r="B325">
        <f>IF($A325="","",TRIM(INDEX('05_KAIS'!$B:$B,$A325)&amp;" "&amp;INDEX('05_KAIS'!$C:$C,$A325)))</f>
        <v/>
      </c>
      <c r="C325">
        <f>IF($A325="","",INDEX('05_KAIS'!$D:$D,$A325))</f>
        <v/>
      </c>
      <c r="D325">
        <f>IF($A325="","",INDEX('05_KAIS'!$H:$H,$A325))</f>
        <v/>
      </c>
      <c r="E325">
        <f>IF($A325="","",INDEX('05_KAIS'!$K:$K,$A325))</f>
        <v/>
      </c>
      <c r="F325" s="202">
        <f>IF($A325="","",INDEX('05_KAIS'!$I:$I,$A325))</f>
        <v/>
      </c>
      <c r="G325" s="118">
        <f>IF($A325="","",INDEX('05_KAIS'!$L:$L,$A325))</f>
        <v/>
      </c>
      <c r="H325" s="118">
        <f>IF($A325="","",IFERROR(INDEX('05_KAIS'!$M:$M,$A325),IF(AND(E325&gt;0,G325&gt;0),G325/E325,"")))</f>
        <v/>
      </c>
      <c r="I325" s="202">
        <f>IF($A325="","",INDEX('05_KAIS'!$N:$N,$A325))</f>
        <v/>
      </c>
      <c r="J325">
        <f>IF(B325="","",IF('02_대상물건입력'!$B$5="",1,IF(ISNUMBER(SEARCH('02_대상물건입력'!$B$5,B325)),1,0)))</f>
        <v/>
      </c>
      <c r="K325">
        <f>IF(B325="","",IF('02_대상물건입력'!$B$6="",1,IF(ISNUMBER(SEARCH('02_대상물건입력'!$B$6,B325)),1,0)))</f>
        <v/>
      </c>
      <c r="L325">
        <f>IF(D325="","",IF('02_대상물건입력'!$B$8="",0,IF(ISNUMBER(SEARCH('02_대상물건입력'!$B$8,D325)),1,0)))</f>
        <v/>
      </c>
      <c r="M325">
        <f>IFERROR(ABS(E325-'02_대상물건입력'!$B$11)/'02_대상물건입력'!$B$11,"")</f>
        <v/>
      </c>
      <c r="N325">
        <f>IFERROR(ABS('01_설정'!$B$4-F325),"")</f>
        <v/>
      </c>
      <c r="O325">
        <f>IFERROR(ABS(YEAR(I325)-YEAR('02_대상물건입력'!$B$14)),"")</f>
        <v/>
      </c>
      <c r="P325">
        <f>IF(AND(E325&gt;0,F325&gt;0,G325&gt;0,IF('01_설정'!$B$10=1,J325=1,TRUE()),M325&lt;='01_설정'!$B$5,N325&lt;='01_설정'!$B$7,O325&lt;='01_설정'!$B$8),"Y","")</f>
        <v/>
      </c>
      <c r="Q325">
        <f>IF(P325&lt;&gt;"Y","",MAX(0,(1-M325/'01_설정'!$B$5))*'01_설정'!$B$14+MAX(0,(1-N325/'01_설정'!$B$7))*'01_설정'!$B$16+MAX(0,(1-O325/'01_설정'!$B$8))*'01_설정'!$B$17+K325*'01_설정'!$B$11+L325*'01_설정'!$B$12)</f>
        <v/>
      </c>
      <c r="R325">
        <f>IF(Q325="","",1+COUNTIFS($Q$31:$Q$1030,"&gt;"&amp;Q325)+COUNTIFS($Q$31:Q325,Q325)-1)</f>
        <v/>
      </c>
    </row>
    <row r="326" hidden="1" ht="16.5" customHeight="1">
      <c r="A326">
        <f>IF(COUNTA('05_KAIS'!$A314:$N314)=0,"",299)</f>
        <v/>
      </c>
      <c r="B326">
        <f>IF($A326="","",TRIM(INDEX('05_KAIS'!$B:$B,$A326)&amp;" "&amp;INDEX('05_KAIS'!$C:$C,$A326)))</f>
        <v/>
      </c>
      <c r="C326">
        <f>IF($A326="","",INDEX('05_KAIS'!$D:$D,$A326))</f>
        <v/>
      </c>
      <c r="D326">
        <f>IF($A326="","",INDEX('05_KAIS'!$H:$H,$A326))</f>
        <v/>
      </c>
      <c r="E326">
        <f>IF($A326="","",INDEX('05_KAIS'!$K:$K,$A326))</f>
        <v/>
      </c>
      <c r="F326" s="202">
        <f>IF($A326="","",INDEX('05_KAIS'!$I:$I,$A326))</f>
        <v/>
      </c>
      <c r="G326" s="118">
        <f>IF($A326="","",INDEX('05_KAIS'!$L:$L,$A326))</f>
        <v/>
      </c>
      <c r="H326" s="118">
        <f>IF($A326="","",IFERROR(INDEX('05_KAIS'!$M:$M,$A326),IF(AND(E326&gt;0,G326&gt;0),G326/E326,"")))</f>
        <v/>
      </c>
      <c r="I326" s="202">
        <f>IF($A326="","",INDEX('05_KAIS'!$N:$N,$A326))</f>
        <v/>
      </c>
      <c r="J326">
        <f>IF(B326="","",IF('02_대상물건입력'!$B$5="",1,IF(ISNUMBER(SEARCH('02_대상물건입력'!$B$5,B326)),1,0)))</f>
        <v/>
      </c>
      <c r="K326">
        <f>IF(B326="","",IF('02_대상물건입력'!$B$6="",1,IF(ISNUMBER(SEARCH('02_대상물건입력'!$B$6,B326)),1,0)))</f>
        <v/>
      </c>
      <c r="L326">
        <f>IF(D326="","",IF('02_대상물건입력'!$B$8="",0,IF(ISNUMBER(SEARCH('02_대상물건입력'!$B$8,D326)),1,0)))</f>
        <v/>
      </c>
      <c r="M326">
        <f>IFERROR(ABS(E326-'02_대상물건입력'!$B$11)/'02_대상물건입력'!$B$11,"")</f>
        <v/>
      </c>
      <c r="N326">
        <f>IFERROR(ABS('01_설정'!$B$4-F326),"")</f>
        <v/>
      </c>
      <c r="O326">
        <f>IFERROR(ABS(YEAR(I326)-YEAR('02_대상물건입력'!$B$14)),"")</f>
        <v/>
      </c>
      <c r="P326">
        <f>IF(AND(E326&gt;0,F326&gt;0,G326&gt;0,IF('01_설정'!$B$10=1,J326=1,TRUE()),M326&lt;='01_설정'!$B$5,N326&lt;='01_설정'!$B$7,O326&lt;='01_설정'!$B$8),"Y","")</f>
        <v/>
      </c>
      <c r="Q326">
        <f>IF(P326&lt;&gt;"Y","",MAX(0,(1-M326/'01_설정'!$B$5))*'01_설정'!$B$14+MAX(0,(1-N326/'01_설정'!$B$7))*'01_설정'!$B$16+MAX(0,(1-O326/'01_설정'!$B$8))*'01_설정'!$B$17+K326*'01_설정'!$B$11+L326*'01_설정'!$B$12)</f>
        <v/>
      </c>
      <c r="R326">
        <f>IF(Q326="","",1+COUNTIFS($Q$31:$Q$1030,"&gt;"&amp;Q326)+COUNTIFS($Q$31:Q326,Q326)-1)</f>
        <v/>
      </c>
    </row>
    <row r="327" hidden="1" ht="16.5" customHeight="1">
      <c r="A327">
        <f>IF(COUNTA('05_KAIS'!$A315:$N315)=0,"",300)</f>
        <v/>
      </c>
      <c r="B327">
        <f>IF($A327="","",TRIM(INDEX('05_KAIS'!$B:$B,$A327)&amp;" "&amp;INDEX('05_KAIS'!$C:$C,$A327)))</f>
        <v/>
      </c>
      <c r="C327">
        <f>IF($A327="","",INDEX('05_KAIS'!$D:$D,$A327))</f>
        <v/>
      </c>
      <c r="D327">
        <f>IF($A327="","",INDEX('05_KAIS'!$H:$H,$A327))</f>
        <v/>
      </c>
      <c r="E327">
        <f>IF($A327="","",INDEX('05_KAIS'!$K:$K,$A327))</f>
        <v/>
      </c>
      <c r="F327" s="202">
        <f>IF($A327="","",INDEX('05_KAIS'!$I:$I,$A327))</f>
        <v/>
      </c>
      <c r="G327" s="118">
        <f>IF($A327="","",INDEX('05_KAIS'!$L:$L,$A327))</f>
        <v/>
      </c>
      <c r="H327" s="118">
        <f>IF($A327="","",IFERROR(INDEX('05_KAIS'!$M:$M,$A327),IF(AND(E327&gt;0,G327&gt;0),G327/E327,"")))</f>
        <v/>
      </c>
      <c r="I327" s="202">
        <f>IF($A327="","",INDEX('05_KAIS'!$N:$N,$A327))</f>
        <v/>
      </c>
      <c r="J327">
        <f>IF(B327="","",IF('02_대상물건입력'!$B$5="",1,IF(ISNUMBER(SEARCH('02_대상물건입력'!$B$5,B327)),1,0)))</f>
        <v/>
      </c>
      <c r="K327">
        <f>IF(B327="","",IF('02_대상물건입력'!$B$6="",1,IF(ISNUMBER(SEARCH('02_대상물건입력'!$B$6,B327)),1,0)))</f>
        <v/>
      </c>
      <c r="L327">
        <f>IF(D327="","",IF('02_대상물건입력'!$B$8="",0,IF(ISNUMBER(SEARCH('02_대상물건입력'!$B$8,D327)),1,0)))</f>
        <v/>
      </c>
      <c r="M327">
        <f>IFERROR(ABS(E327-'02_대상물건입력'!$B$11)/'02_대상물건입력'!$B$11,"")</f>
        <v/>
      </c>
      <c r="N327">
        <f>IFERROR(ABS('01_설정'!$B$4-F327),"")</f>
        <v/>
      </c>
      <c r="O327">
        <f>IFERROR(ABS(YEAR(I327)-YEAR('02_대상물건입력'!$B$14)),"")</f>
        <v/>
      </c>
      <c r="P327">
        <f>IF(AND(E327&gt;0,F327&gt;0,G327&gt;0,IF('01_설정'!$B$10=1,J327=1,TRUE()),M327&lt;='01_설정'!$B$5,N327&lt;='01_설정'!$B$7,O327&lt;='01_설정'!$B$8),"Y","")</f>
        <v/>
      </c>
      <c r="Q327">
        <f>IF(P327&lt;&gt;"Y","",MAX(0,(1-M327/'01_설정'!$B$5))*'01_설정'!$B$14+MAX(0,(1-N327/'01_설정'!$B$7))*'01_설정'!$B$16+MAX(0,(1-O327/'01_설정'!$B$8))*'01_설정'!$B$17+K327*'01_설정'!$B$11+L327*'01_설정'!$B$12)</f>
        <v/>
      </c>
      <c r="R327">
        <f>IF(Q327="","",1+COUNTIFS($Q$31:$Q$1030,"&gt;"&amp;Q327)+COUNTIFS($Q$31:Q327,Q327)-1)</f>
        <v/>
      </c>
    </row>
    <row r="328" hidden="1" ht="16.5" customHeight="1">
      <c r="A328">
        <f>IF(COUNTA('05_KAIS'!$A316:$N316)=0,"",301)</f>
        <v/>
      </c>
      <c r="B328">
        <f>IF($A328="","",TRIM(INDEX('05_KAIS'!$B:$B,$A328)&amp;" "&amp;INDEX('05_KAIS'!$C:$C,$A328)))</f>
        <v/>
      </c>
      <c r="C328">
        <f>IF($A328="","",INDEX('05_KAIS'!$D:$D,$A328))</f>
        <v/>
      </c>
      <c r="D328">
        <f>IF($A328="","",INDEX('05_KAIS'!$H:$H,$A328))</f>
        <v/>
      </c>
      <c r="E328">
        <f>IF($A328="","",INDEX('05_KAIS'!$K:$K,$A328))</f>
        <v/>
      </c>
      <c r="F328" s="202">
        <f>IF($A328="","",INDEX('05_KAIS'!$I:$I,$A328))</f>
        <v/>
      </c>
      <c r="G328" s="118">
        <f>IF($A328="","",INDEX('05_KAIS'!$L:$L,$A328))</f>
        <v/>
      </c>
      <c r="H328" s="118">
        <f>IF($A328="","",IFERROR(INDEX('05_KAIS'!$M:$M,$A328),IF(AND(E328&gt;0,G328&gt;0),G328/E328,"")))</f>
        <v/>
      </c>
      <c r="I328" s="202">
        <f>IF($A328="","",INDEX('05_KAIS'!$N:$N,$A328))</f>
        <v/>
      </c>
      <c r="J328">
        <f>IF(B328="","",IF('02_대상물건입력'!$B$5="",1,IF(ISNUMBER(SEARCH('02_대상물건입력'!$B$5,B328)),1,0)))</f>
        <v/>
      </c>
      <c r="K328">
        <f>IF(B328="","",IF('02_대상물건입력'!$B$6="",1,IF(ISNUMBER(SEARCH('02_대상물건입력'!$B$6,B328)),1,0)))</f>
        <v/>
      </c>
      <c r="L328">
        <f>IF(D328="","",IF('02_대상물건입력'!$B$8="",0,IF(ISNUMBER(SEARCH('02_대상물건입력'!$B$8,D328)),1,0)))</f>
        <v/>
      </c>
      <c r="M328">
        <f>IFERROR(ABS(E328-'02_대상물건입력'!$B$11)/'02_대상물건입력'!$B$11,"")</f>
        <v/>
      </c>
      <c r="N328">
        <f>IFERROR(ABS('01_설정'!$B$4-F328),"")</f>
        <v/>
      </c>
      <c r="O328">
        <f>IFERROR(ABS(YEAR(I328)-YEAR('02_대상물건입력'!$B$14)),"")</f>
        <v/>
      </c>
      <c r="P328">
        <f>IF(AND(E328&gt;0,F328&gt;0,G328&gt;0,IF('01_설정'!$B$10=1,J328=1,TRUE()),M328&lt;='01_설정'!$B$5,N328&lt;='01_설정'!$B$7,O328&lt;='01_설정'!$B$8),"Y","")</f>
        <v/>
      </c>
      <c r="Q328">
        <f>IF(P328&lt;&gt;"Y","",MAX(0,(1-M328/'01_설정'!$B$5))*'01_설정'!$B$14+MAX(0,(1-N328/'01_설정'!$B$7))*'01_설정'!$B$16+MAX(0,(1-O328/'01_설정'!$B$8))*'01_설정'!$B$17+K328*'01_설정'!$B$11+L328*'01_설정'!$B$12)</f>
        <v/>
      </c>
      <c r="R328">
        <f>IF(Q328="","",1+COUNTIFS($Q$31:$Q$1030,"&gt;"&amp;Q328)+COUNTIFS($Q$31:Q328,Q328)-1)</f>
        <v/>
      </c>
    </row>
    <row r="329" hidden="1" ht="16.5" customHeight="1">
      <c r="A329">
        <f>IF(COUNTA('05_KAIS'!$A317:$N317)=0,"",302)</f>
        <v/>
      </c>
      <c r="B329">
        <f>IF($A329="","",TRIM(INDEX('05_KAIS'!$B:$B,$A329)&amp;" "&amp;INDEX('05_KAIS'!$C:$C,$A329)))</f>
        <v/>
      </c>
      <c r="C329">
        <f>IF($A329="","",INDEX('05_KAIS'!$D:$D,$A329))</f>
        <v/>
      </c>
      <c r="D329">
        <f>IF($A329="","",INDEX('05_KAIS'!$H:$H,$A329))</f>
        <v/>
      </c>
      <c r="E329">
        <f>IF($A329="","",INDEX('05_KAIS'!$K:$K,$A329))</f>
        <v/>
      </c>
      <c r="F329" s="202">
        <f>IF($A329="","",INDEX('05_KAIS'!$I:$I,$A329))</f>
        <v/>
      </c>
      <c r="G329" s="118">
        <f>IF($A329="","",INDEX('05_KAIS'!$L:$L,$A329))</f>
        <v/>
      </c>
      <c r="H329" s="118">
        <f>IF($A329="","",IFERROR(INDEX('05_KAIS'!$M:$M,$A329),IF(AND(E329&gt;0,G329&gt;0),G329/E329,"")))</f>
        <v/>
      </c>
      <c r="I329" s="202">
        <f>IF($A329="","",INDEX('05_KAIS'!$N:$N,$A329))</f>
        <v/>
      </c>
      <c r="J329">
        <f>IF(B329="","",IF('02_대상물건입력'!$B$5="",1,IF(ISNUMBER(SEARCH('02_대상물건입력'!$B$5,B329)),1,0)))</f>
        <v/>
      </c>
      <c r="K329">
        <f>IF(B329="","",IF('02_대상물건입력'!$B$6="",1,IF(ISNUMBER(SEARCH('02_대상물건입력'!$B$6,B329)),1,0)))</f>
        <v/>
      </c>
      <c r="L329">
        <f>IF(D329="","",IF('02_대상물건입력'!$B$8="",0,IF(ISNUMBER(SEARCH('02_대상물건입력'!$B$8,D329)),1,0)))</f>
        <v/>
      </c>
      <c r="M329">
        <f>IFERROR(ABS(E329-'02_대상물건입력'!$B$11)/'02_대상물건입력'!$B$11,"")</f>
        <v/>
      </c>
      <c r="N329">
        <f>IFERROR(ABS('01_설정'!$B$4-F329),"")</f>
        <v/>
      </c>
      <c r="O329">
        <f>IFERROR(ABS(YEAR(I329)-YEAR('02_대상물건입력'!$B$14)),"")</f>
        <v/>
      </c>
      <c r="P329">
        <f>IF(AND(E329&gt;0,F329&gt;0,G329&gt;0,IF('01_설정'!$B$10=1,J329=1,TRUE()),M329&lt;='01_설정'!$B$5,N329&lt;='01_설정'!$B$7,O329&lt;='01_설정'!$B$8),"Y","")</f>
        <v/>
      </c>
      <c r="Q329">
        <f>IF(P329&lt;&gt;"Y","",MAX(0,(1-M329/'01_설정'!$B$5))*'01_설정'!$B$14+MAX(0,(1-N329/'01_설정'!$B$7))*'01_설정'!$B$16+MAX(0,(1-O329/'01_설정'!$B$8))*'01_설정'!$B$17+K329*'01_설정'!$B$11+L329*'01_설정'!$B$12)</f>
        <v/>
      </c>
      <c r="R329">
        <f>IF(Q329="","",1+COUNTIFS($Q$31:$Q$1030,"&gt;"&amp;Q329)+COUNTIFS($Q$31:Q329,Q329)-1)</f>
        <v/>
      </c>
    </row>
    <row r="330" hidden="1" ht="16.5" customHeight="1">
      <c r="A330">
        <f>IF(COUNTA('05_KAIS'!$A318:$N318)=0,"",303)</f>
        <v/>
      </c>
      <c r="B330">
        <f>IF($A330="","",TRIM(INDEX('05_KAIS'!$B:$B,$A330)&amp;" "&amp;INDEX('05_KAIS'!$C:$C,$A330)))</f>
        <v/>
      </c>
      <c r="C330">
        <f>IF($A330="","",INDEX('05_KAIS'!$D:$D,$A330))</f>
        <v/>
      </c>
      <c r="D330">
        <f>IF($A330="","",INDEX('05_KAIS'!$H:$H,$A330))</f>
        <v/>
      </c>
      <c r="E330">
        <f>IF($A330="","",INDEX('05_KAIS'!$K:$K,$A330))</f>
        <v/>
      </c>
      <c r="F330" s="202">
        <f>IF($A330="","",INDEX('05_KAIS'!$I:$I,$A330))</f>
        <v/>
      </c>
      <c r="G330" s="118">
        <f>IF($A330="","",INDEX('05_KAIS'!$L:$L,$A330))</f>
        <v/>
      </c>
      <c r="H330" s="118">
        <f>IF($A330="","",IFERROR(INDEX('05_KAIS'!$M:$M,$A330),IF(AND(E330&gt;0,G330&gt;0),G330/E330,"")))</f>
        <v/>
      </c>
      <c r="I330" s="202">
        <f>IF($A330="","",INDEX('05_KAIS'!$N:$N,$A330))</f>
        <v/>
      </c>
      <c r="J330">
        <f>IF(B330="","",IF('02_대상물건입력'!$B$5="",1,IF(ISNUMBER(SEARCH('02_대상물건입력'!$B$5,B330)),1,0)))</f>
        <v/>
      </c>
      <c r="K330">
        <f>IF(B330="","",IF('02_대상물건입력'!$B$6="",1,IF(ISNUMBER(SEARCH('02_대상물건입력'!$B$6,B330)),1,0)))</f>
        <v/>
      </c>
      <c r="L330">
        <f>IF(D330="","",IF('02_대상물건입력'!$B$8="",0,IF(ISNUMBER(SEARCH('02_대상물건입력'!$B$8,D330)),1,0)))</f>
        <v/>
      </c>
      <c r="M330">
        <f>IFERROR(ABS(E330-'02_대상물건입력'!$B$11)/'02_대상물건입력'!$B$11,"")</f>
        <v/>
      </c>
      <c r="N330">
        <f>IFERROR(ABS('01_설정'!$B$4-F330),"")</f>
        <v/>
      </c>
      <c r="O330">
        <f>IFERROR(ABS(YEAR(I330)-YEAR('02_대상물건입력'!$B$14)),"")</f>
        <v/>
      </c>
      <c r="P330">
        <f>IF(AND(E330&gt;0,F330&gt;0,G330&gt;0,IF('01_설정'!$B$10=1,J330=1,TRUE()),M330&lt;='01_설정'!$B$5,N330&lt;='01_설정'!$B$7,O330&lt;='01_설정'!$B$8),"Y","")</f>
        <v/>
      </c>
      <c r="Q330">
        <f>IF(P330&lt;&gt;"Y","",MAX(0,(1-M330/'01_설정'!$B$5))*'01_설정'!$B$14+MAX(0,(1-N330/'01_설정'!$B$7))*'01_설정'!$B$16+MAX(0,(1-O330/'01_설정'!$B$8))*'01_설정'!$B$17+K330*'01_설정'!$B$11+L330*'01_설정'!$B$12)</f>
        <v/>
      </c>
      <c r="R330">
        <f>IF(Q330="","",1+COUNTIFS($Q$31:$Q$1030,"&gt;"&amp;Q330)+COUNTIFS($Q$31:Q330,Q330)-1)</f>
        <v/>
      </c>
    </row>
    <row r="331" hidden="1" ht="16.5" customHeight="1">
      <c r="A331">
        <f>IF(COUNTA('05_KAIS'!$A319:$N319)=0,"",304)</f>
        <v/>
      </c>
      <c r="B331">
        <f>IF($A331="","",TRIM(INDEX('05_KAIS'!$B:$B,$A331)&amp;" "&amp;INDEX('05_KAIS'!$C:$C,$A331)))</f>
        <v/>
      </c>
      <c r="C331">
        <f>IF($A331="","",INDEX('05_KAIS'!$D:$D,$A331))</f>
        <v/>
      </c>
      <c r="D331">
        <f>IF($A331="","",INDEX('05_KAIS'!$H:$H,$A331))</f>
        <v/>
      </c>
      <c r="E331">
        <f>IF($A331="","",INDEX('05_KAIS'!$K:$K,$A331))</f>
        <v/>
      </c>
      <c r="F331" s="202">
        <f>IF($A331="","",INDEX('05_KAIS'!$I:$I,$A331))</f>
        <v/>
      </c>
      <c r="G331" s="118">
        <f>IF($A331="","",INDEX('05_KAIS'!$L:$L,$A331))</f>
        <v/>
      </c>
      <c r="H331" s="118">
        <f>IF($A331="","",IFERROR(INDEX('05_KAIS'!$M:$M,$A331),IF(AND(E331&gt;0,G331&gt;0),G331/E331,"")))</f>
        <v/>
      </c>
      <c r="I331" s="202">
        <f>IF($A331="","",INDEX('05_KAIS'!$N:$N,$A331))</f>
        <v/>
      </c>
      <c r="J331">
        <f>IF(B331="","",IF('02_대상물건입력'!$B$5="",1,IF(ISNUMBER(SEARCH('02_대상물건입력'!$B$5,B331)),1,0)))</f>
        <v/>
      </c>
      <c r="K331">
        <f>IF(B331="","",IF('02_대상물건입력'!$B$6="",1,IF(ISNUMBER(SEARCH('02_대상물건입력'!$B$6,B331)),1,0)))</f>
        <v/>
      </c>
      <c r="L331">
        <f>IF(D331="","",IF('02_대상물건입력'!$B$8="",0,IF(ISNUMBER(SEARCH('02_대상물건입력'!$B$8,D331)),1,0)))</f>
        <v/>
      </c>
      <c r="M331">
        <f>IFERROR(ABS(E331-'02_대상물건입력'!$B$11)/'02_대상물건입력'!$B$11,"")</f>
        <v/>
      </c>
      <c r="N331">
        <f>IFERROR(ABS('01_설정'!$B$4-F331),"")</f>
        <v/>
      </c>
      <c r="O331">
        <f>IFERROR(ABS(YEAR(I331)-YEAR('02_대상물건입력'!$B$14)),"")</f>
        <v/>
      </c>
      <c r="P331">
        <f>IF(AND(E331&gt;0,F331&gt;0,G331&gt;0,IF('01_설정'!$B$10=1,J331=1,TRUE()),M331&lt;='01_설정'!$B$5,N331&lt;='01_설정'!$B$7,O331&lt;='01_설정'!$B$8),"Y","")</f>
        <v/>
      </c>
      <c r="Q331">
        <f>IF(P331&lt;&gt;"Y","",MAX(0,(1-M331/'01_설정'!$B$5))*'01_설정'!$B$14+MAX(0,(1-N331/'01_설정'!$B$7))*'01_설정'!$B$16+MAX(0,(1-O331/'01_설정'!$B$8))*'01_설정'!$B$17+K331*'01_설정'!$B$11+L331*'01_설정'!$B$12)</f>
        <v/>
      </c>
      <c r="R331">
        <f>IF(Q331="","",1+COUNTIFS($Q$31:$Q$1030,"&gt;"&amp;Q331)+COUNTIFS($Q$31:Q331,Q331)-1)</f>
        <v/>
      </c>
    </row>
    <row r="332" hidden="1" ht="16.5" customHeight="1">
      <c r="A332">
        <f>IF(COUNTA('05_KAIS'!$A320:$N320)=0,"",305)</f>
        <v/>
      </c>
      <c r="B332">
        <f>IF($A332="","",TRIM(INDEX('05_KAIS'!$B:$B,$A332)&amp;" "&amp;INDEX('05_KAIS'!$C:$C,$A332)))</f>
        <v/>
      </c>
      <c r="C332">
        <f>IF($A332="","",INDEX('05_KAIS'!$D:$D,$A332))</f>
        <v/>
      </c>
      <c r="D332">
        <f>IF($A332="","",INDEX('05_KAIS'!$H:$H,$A332))</f>
        <v/>
      </c>
      <c r="E332">
        <f>IF($A332="","",INDEX('05_KAIS'!$K:$K,$A332))</f>
        <v/>
      </c>
      <c r="F332" s="202">
        <f>IF($A332="","",INDEX('05_KAIS'!$I:$I,$A332))</f>
        <v/>
      </c>
      <c r="G332" s="118">
        <f>IF($A332="","",INDEX('05_KAIS'!$L:$L,$A332))</f>
        <v/>
      </c>
      <c r="H332" s="118">
        <f>IF($A332="","",IFERROR(INDEX('05_KAIS'!$M:$M,$A332),IF(AND(E332&gt;0,G332&gt;0),G332/E332,"")))</f>
        <v/>
      </c>
      <c r="I332" s="202">
        <f>IF($A332="","",INDEX('05_KAIS'!$N:$N,$A332))</f>
        <v/>
      </c>
      <c r="J332">
        <f>IF(B332="","",IF('02_대상물건입력'!$B$5="",1,IF(ISNUMBER(SEARCH('02_대상물건입력'!$B$5,B332)),1,0)))</f>
        <v/>
      </c>
      <c r="K332">
        <f>IF(B332="","",IF('02_대상물건입력'!$B$6="",1,IF(ISNUMBER(SEARCH('02_대상물건입력'!$B$6,B332)),1,0)))</f>
        <v/>
      </c>
      <c r="L332">
        <f>IF(D332="","",IF('02_대상물건입력'!$B$8="",0,IF(ISNUMBER(SEARCH('02_대상물건입력'!$B$8,D332)),1,0)))</f>
        <v/>
      </c>
      <c r="M332">
        <f>IFERROR(ABS(E332-'02_대상물건입력'!$B$11)/'02_대상물건입력'!$B$11,"")</f>
        <v/>
      </c>
      <c r="N332">
        <f>IFERROR(ABS('01_설정'!$B$4-F332),"")</f>
        <v/>
      </c>
      <c r="O332">
        <f>IFERROR(ABS(YEAR(I332)-YEAR('02_대상물건입력'!$B$14)),"")</f>
        <v/>
      </c>
      <c r="P332">
        <f>IF(AND(E332&gt;0,F332&gt;0,G332&gt;0,IF('01_설정'!$B$10=1,J332=1,TRUE()),M332&lt;='01_설정'!$B$5,N332&lt;='01_설정'!$B$7,O332&lt;='01_설정'!$B$8),"Y","")</f>
        <v/>
      </c>
      <c r="Q332">
        <f>IF(P332&lt;&gt;"Y","",MAX(0,(1-M332/'01_설정'!$B$5))*'01_설정'!$B$14+MAX(0,(1-N332/'01_설정'!$B$7))*'01_설정'!$B$16+MAX(0,(1-O332/'01_설정'!$B$8))*'01_설정'!$B$17+K332*'01_설정'!$B$11+L332*'01_설정'!$B$12)</f>
        <v/>
      </c>
      <c r="R332">
        <f>IF(Q332="","",1+COUNTIFS($Q$31:$Q$1030,"&gt;"&amp;Q332)+COUNTIFS($Q$31:Q332,Q332)-1)</f>
        <v/>
      </c>
    </row>
    <row r="333" hidden="1" ht="16.5" customHeight="1">
      <c r="A333">
        <f>IF(COUNTA('05_KAIS'!$A321:$N321)=0,"",306)</f>
        <v/>
      </c>
      <c r="B333">
        <f>IF($A333="","",TRIM(INDEX('05_KAIS'!$B:$B,$A333)&amp;" "&amp;INDEX('05_KAIS'!$C:$C,$A333)))</f>
        <v/>
      </c>
      <c r="C333">
        <f>IF($A333="","",INDEX('05_KAIS'!$D:$D,$A333))</f>
        <v/>
      </c>
      <c r="D333">
        <f>IF($A333="","",INDEX('05_KAIS'!$H:$H,$A333))</f>
        <v/>
      </c>
      <c r="E333">
        <f>IF($A333="","",INDEX('05_KAIS'!$K:$K,$A333))</f>
        <v/>
      </c>
      <c r="F333" s="202">
        <f>IF($A333="","",INDEX('05_KAIS'!$I:$I,$A333))</f>
        <v/>
      </c>
      <c r="G333" s="118">
        <f>IF($A333="","",INDEX('05_KAIS'!$L:$L,$A333))</f>
        <v/>
      </c>
      <c r="H333" s="118">
        <f>IF($A333="","",IFERROR(INDEX('05_KAIS'!$M:$M,$A333),IF(AND(E333&gt;0,G333&gt;0),G333/E333,"")))</f>
        <v/>
      </c>
      <c r="I333" s="202">
        <f>IF($A333="","",INDEX('05_KAIS'!$N:$N,$A333))</f>
        <v/>
      </c>
      <c r="J333">
        <f>IF(B333="","",IF('02_대상물건입력'!$B$5="",1,IF(ISNUMBER(SEARCH('02_대상물건입력'!$B$5,B333)),1,0)))</f>
        <v/>
      </c>
      <c r="K333">
        <f>IF(B333="","",IF('02_대상물건입력'!$B$6="",1,IF(ISNUMBER(SEARCH('02_대상물건입력'!$B$6,B333)),1,0)))</f>
        <v/>
      </c>
      <c r="L333">
        <f>IF(D333="","",IF('02_대상물건입력'!$B$8="",0,IF(ISNUMBER(SEARCH('02_대상물건입력'!$B$8,D333)),1,0)))</f>
        <v/>
      </c>
      <c r="M333">
        <f>IFERROR(ABS(E333-'02_대상물건입력'!$B$11)/'02_대상물건입력'!$B$11,"")</f>
        <v/>
      </c>
      <c r="N333">
        <f>IFERROR(ABS('01_설정'!$B$4-F333),"")</f>
        <v/>
      </c>
      <c r="O333">
        <f>IFERROR(ABS(YEAR(I333)-YEAR('02_대상물건입력'!$B$14)),"")</f>
        <v/>
      </c>
      <c r="P333">
        <f>IF(AND(E333&gt;0,F333&gt;0,G333&gt;0,IF('01_설정'!$B$10=1,J333=1,TRUE()),M333&lt;='01_설정'!$B$5,N333&lt;='01_설정'!$B$7,O333&lt;='01_설정'!$B$8),"Y","")</f>
        <v/>
      </c>
      <c r="Q333">
        <f>IF(P333&lt;&gt;"Y","",MAX(0,(1-M333/'01_설정'!$B$5))*'01_설정'!$B$14+MAX(0,(1-N333/'01_설정'!$B$7))*'01_설정'!$B$16+MAX(0,(1-O333/'01_설정'!$B$8))*'01_설정'!$B$17+K333*'01_설정'!$B$11+L333*'01_설정'!$B$12)</f>
        <v/>
      </c>
      <c r="R333">
        <f>IF(Q333="","",1+COUNTIFS($Q$31:$Q$1030,"&gt;"&amp;Q333)+COUNTIFS($Q$31:Q333,Q333)-1)</f>
        <v/>
      </c>
    </row>
    <row r="334" hidden="1" ht="16.5" customHeight="1">
      <c r="A334">
        <f>IF(COUNTA('05_KAIS'!$A322:$N322)=0,"",307)</f>
        <v/>
      </c>
      <c r="B334">
        <f>IF($A334="","",TRIM(INDEX('05_KAIS'!$B:$B,$A334)&amp;" "&amp;INDEX('05_KAIS'!$C:$C,$A334)))</f>
        <v/>
      </c>
      <c r="C334">
        <f>IF($A334="","",INDEX('05_KAIS'!$D:$D,$A334))</f>
        <v/>
      </c>
      <c r="D334">
        <f>IF($A334="","",INDEX('05_KAIS'!$H:$H,$A334))</f>
        <v/>
      </c>
      <c r="E334">
        <f>IF($A334="","",INDEX('05_KAIS'!$K:$K,$A334))</f>
        <v/>
      </c>
      <c r="F334" s="202">
        <f>IF($A334="","",INDEX('05_KAIS'!$I:$I,$A334))</f>
        <v/>
      </c>
      <c r="G334" s="118">
        <f>IF($A334="","",INDEX('05_KAIS'!$L:$L,$A334))</f>
        <v/>
      </c>
      <c r="H334" s="118">
        <f>IF($A334="","",IFERROR(INDEX('05_KAIS'!$M:$M,$A334),IF(AND(E334&gt;0,G334&gt;0),G334/E334,"")))</f>
        <v/>
      </c>
      <c r="I334" s="202">
        <f>IF($A334="","",INDEX('05_KAIS'!$N:$N,$A334))</f>
        <v/>
      </c>
      <c r="J334">
        <f>IF(B334="","",IF('02_대상물건입력'!$B$5="",1,IF(ISNUMBER(SEARCH('02_대상물건입력'!$B$5,B334)),1,0)))</f>
        <v/>
      </c>
      <c r="K334">
        <f>IF(B334="","",IF('02_대상물건입력'!$B$6="",1,IF(ISNUMBER(SEARCH('02_대상물건입력'!$B$6,B334)),1,0)))</f>
        <v/>
      </c>
      <c r="L334">
        <f>IF(D334="","",IF('02_대상물건입력'!$B$8="",0,IF(ISNUMBER(SEARCH('02_대상물건입력'!$B$8,D334)),1,0)))</f>
        <v/>
      </c>
      <c r="M334">
        <f>IFERROR(ABS(E334-'02_대상물건입력'!$B$11)/'02_대상물건입력'!$B$11,"")</f>
        <v/>
      </c>
      <c r="N334">
        <f>IFERROR(ABS('01_설정'!$B$4-F334),"")</f>
        <v/>
      </c>
      <c r="O334">
        <f>IFERROR(ABS(YEAR(I334)-YEAR('02_대상물건입력'!$B$14)),"")</f>
        <v/>
      </c>
      <c r="P334">
        <f>IF(AND(E334&gt;0,F334&gt;0,G334&gt;0,IF('01_설정'!$B$10=1,J334=1,TRUE()),M334&lt;='01_설정'!$B$5,N334&lt;='01_설정'!$B$7,O334&lt;='01_설정'!$B$8),"Y","")</f>
        <v/>
      </c>
      <c r="Q334">
        <f>IF(P334&lt;&gt;"Y","",MAX(0,(1-M334/'01_설정'!$B$5))*'01_설정'!$B$14+MAX(0,(1-N334/'01_설정'!$B$7))*'01_설정'!$B$16+MAX(0,(1-O334/'01_설정'!$B$8))*'01_설정'!$B$17+K334*'01_설정'!$B$11+L334*'01_설정'!$B$12)</f>
        <v/>
      </c>
      <c r="R334">
        <f>IF(Q334="","",1+COUNTIFS($Q$31:$Q$1030,"&gt;"&amp;Q334)+COUNTIFS($Q$31:Q334,Q334)-1)</f>
        <v/>
      </c>
    </row>
    <row r="335" hidden="1" ht="16.5" customHeight="1">
      <c r="A335">
        <f>IF(COUNTA('05_KAIS'!$A323:$N323)=0,"",308)</f>
        <v/>
      </c>
      <c r="B335">
        <f>IF($A335="","",TRIM(INDEX('05_KAIS'!$B:$B,$A335)&amp;" "&amp;INDEX('05_KAIS'!$C:$C,$A335)))</f>
        <v/>
      </c>
      <c r="C335">
        <f>IF($A335="","",INDEX('05_KAIS'!$D:$D,$A335))</f>
        <v/>
      </c>
      <c r="D335">
        <f>IF($A335="","",INDEX('05_KAIS'!$H:$H,$A335))</f>
        <v/>
      </c>
      <c r="E335">
        <f>IF($A335="","",INDEX('05_KAIS'!$K:$K,$A335))</f>
        <v/>
      </c>
      <c r="F335" s="202">
        <f>IF($A335="","",INDEX('05_KAIS'!$I:$I,$A335))</f>
        <v/>
      </c>
      <c r="G335" s="118">
        <f>IF($A335="","",INDEX('05_KAIS'!$L:$L,$A335))</f>
        <v/>
      </c>
      <c r="H335" s="118">
        <f>IF($A335="","",IFERROR(INDEX('05_KAIS'!$M:$M,$A335),IF(AND(E335&gt;0,G335&gt;0),G335/E335,"")))</f>
        <v/>
      </c>
      <c r="I335" s="202">
        <f>IF($A335="","",INDEX('05_KAIS'!$N:$N,$A335))</f>
        <v/>
      </c>
      <c r="J335">
        <f>IF(B335="","",IF('02_대상물건입력'!$B$5="",1,IF(ISNUMBER(SEARCH('02_대상물건입력'!$B$5,B335)),1,0)))</f>
        <v/>
      </c>
      <c r="K335">
        <f>IF(B335="","",IF('02_대상물건입력'!$B$6="",1,IF(ISNUMBER(SEARCH('02_대상물건입력'!$B$6,B335)),1,0)))</f>
        <v/>
      </c>
      <c r="L335">
        <f>IF(D335="","",IF('02_대상물건입력'!$B$8="",0,IF(ISNUMBER(SEARCH('02_대상물건입력'!$B$8,D335)),1,0)))</f>
        <v/>
      </c>
      <c r="M335">
        <f>IFERROR(ABS(E335-'02_대상물건입력'!$B$11)/'02_대상물건입력'!$B$11,"")</f>
        <v/>
      </c>
      <c r="N335">
        <f>IFERROR(ABS('01_설정'!$B$4-F335),"")</f>
        <v/>
      </c>
      <c r="O335">
        <f>IFERROR(ABS(YEAR(I335)-YEAR('02_대상물건입력'!$B$14)),"")</f>
        <v/>
      </c>
      <c r="P335">
        <f>IF(AND(E335&gt;0,F335&gt;0,G335&gt;0,IF('01_설정'!$B$10=1,J335=1,TRUE()),M335&lt;='01_설정'!$B$5,N335&lt;='01_설정'!$B$7,O335&lt;='01_설정'!$B$8),"Y","")</f>
        <v/>
      </c>
      <c r="Q335">
        <f>IF(P335&lt;&gt;"Y","",MAX(0,(1-M335/'01_설정'!$B$5))*'01_설정'!$B$14+MAX(0,(1-N335/'01_설정'!$B$7))*'01_설정'!$B$16+MAX(0,(1-O335/'01_설정'!$B$8))*'01_설정'!$B$17+K335*'01_설정'!$B$11+L335*'01_설정'!$B$12)</f>
        <v/>
      </c>
      <c r="R335">
        <f>IF(Q335="","",1+COUNTIFS($Q$31:$Q$1030,"&gt;"&amp;Q335)+COUNTIFS($Q$31:Q335,Q335)-1)</f>
        <v/>
      </c>
    </row>
    <row r="336" hidden="1" ht="16.5" customHeight="1">
      <c r="A336">
        <f>IF(COUNTA('05_KAIS'!$A324:$N324)=0,"",309)</f>
        <v/>
      </c>
      <c r="B336">
        <f>IF($A336="","",TRIM(INDEX('05_KAIS'!$B:$B,$A336)&amp;" "&amp;INDEX('05_KAIS'!$C:$C,$A336)))</f>
        <v/>
      </c>
      <c r="C336">
        <f>IF($A336="","",INDEX('05_KAIS'!$D:$D,$A336))</f>
        <v/>
      </c>
      <c r="D336">
        <f>IF($A336="","",INDEX('05_KAIS'!$H:$H,$A336))</f>
        <v/>
      </c>
      <c r="E336">
        <f>IF($A336="","",INDEX('05_KAIS'!$K:$K,$A336))</f>
        <v/>
      </c>
      <c r="F336" s="202">
        <f>IF($A336="","",INDEX('05_KAIS'!$I:$I,$A336))</f>
        <v/>
      </c>
      <c r="G336" s="118">
        <f>IF($A336="","",INDEX('05_KAIS'!$L:$L,$A336))</f>
        <v/>
      </c>
      <c r="H336" s="118">
        <f>IF($A336="","",IFERROR(INDEX('05_KAIS'!$M:$M,$A336),IF(AND(E336&gt;0,G336&gt;0),G336/E336,"")))</f>
        <v/>
      </c>
      <c r="I336" s="202">
        <f>IF($A336="","",INDEX('05_KAIS'!$N:$N,$A336))</f>
        <v/>
      </c>
      <c r="J336">
        <f>IF(B336="","",IF('02_대상물건입력'!$B$5="",1,IF(ISNUMBER(SEARCH('02_대상물건입력'!$B$5,B336)),1,0)))</f>
        <v/>
      </c>
      <c r="K336">
        <f>IF(B336="","",IF('02_대상물건입력'!$B$6="",1,IF(ISNUMBER(SEARCH('02_대상물건입력'!$B$6,B336)),1,0)))</f>
        <v/>
      </c>
      <c r="L336">
        <f>IF(D336="","",IF('02_대상물건입력'!$B$8="",0,IF(ISNUMBER(SEARCH('02_대상물건입력'!$B$8,D336)),1,0)))</f>
        <v/>
      </c>
      <c r="M336">
        <f>IFERROR(ABS(E336-'02_대상물건입력'!$B$11)/'02_대상물건입력'!$B$11,"")</f>
        <v/>
      </c>
      <c r="N336">
        <f>IFERROR(ABS('01_설정'!$B$4-F336),"")</f>
        <v/>
      </c>
      <c r="O336">
        <f>IFERROR(ABS(YEAR(I336)-YEAR('02_대상물건입력'!$B$14)),"")</f>
        <v/>
      </c>
      <c r="P336">
        <f>IF(AND(E336&gt;0,F336&gt;0,G336&gt;0,IF('01_설정'!$B$10=1,J336=1,TRUE()),M336&lt;='01_설정'!$B$5,N336&lt;='01_설정'!$B$7,O336&lt;='01_설정'!$B$8),"Y","")</f>
        <v/>
      </c>
      <c r="Q336">
        <f>IF(P336&lt;&gt;"Y","",MAX(0,(1-M336/'01_설정'!$B$5))*'01_설정'!$B$14+MAX(0,(1-N336/'01_설정'!$B$7))*'01_설정'!$B$16+MAX(0,(1-O336/'01_설정'!$B$8))*'01_설정'!$B$17+K336*'01_설정'!$B$11+L336*'01_설정'!$B$12)</f>
        <v/>
      </c>
      <c r="R336">
        <f>IF(Q336="","",1+COUNTIFS($Q$31:$Q$1030,"&gt;"&amp;Q336)+COUNTIFS($Q$31:Q336,Q336)-1)</f>
        <v/>
      </c>
    </row>
    <row r="337" hidden="1" ht="16.5" customHeight="1">
      <c r="A337">
        <f>IF(COUNTA('05_KAIS'!$A325:$N325)=0,"",310)</f>
        <v/>
      </c>
      <c r="B337">
        <f>IF($A337="","",TRIM(INDEX('05_KAIS'!$B:$B,$A337)&amp;" "&amp;INDEX('05_KAIS'!$C:$C,$A337)))</f>
        <v/>
      </c>
      <c r="C337">
        <f>IF($A337="","",INDEX('05_KAIS'!$D:$D,$A337))</f>
        <v/>
      </c>
      <c r="D337">
        <f>IF($A337="","",INDEX('05_KAIS'!$H:$H,$A337))</f>
        <v/>
      </c>
      <c r="E337">
        <f>IF($A337="","",INDEX('05_KAIS'!$K:$K,$A337))</f>
        <v/>
      </c>
      <c r="F337" s="202">
        <f>IF($A337="","",INDEX('05_KAIS'!$I:$I,$A337))</f>
        <v/>
      </c>
      <c r="G337" s="118">
        <f>IF($A337="","",INDEX('05_KAIS'!$L:$L,$A337))</f>
        <v/>
      </c>
      <c r="H337" s="118">
        <f>IF($A337="","",IFERROR(INDEX('05_KAIS'!$M:$M,$A337),IF(AND(E337&gt;0,G337&gt;0),G337/E337,"")))</f>
        <v/>
      </c>
      <c r="I337" s="202">
        <f>IF($A337="","",INDEX('05_KAIS'!$N:$N,$A337))</f>
        <v/>
      </c>
      <c r="J337">
        <f>IF(B337="","",IF('02_대상물건입력'!$B$5="",1,IF(ISNUMBER(SEARCH('02_대상물건입력'!$B$5,B337)),1,0)))</f>
        <v/>
      </c>
      <c r="K337">
        <f>IF(B337="","",IF('02_대상물건입력'!$B$6="",1,IF(ISNUMBER(SEARCH('02_대상물건입력'!$B$6,B337)),1,0)))</f>
        <v/>
      </c>
      <c r="L337">
        <f>IF(D337="","",IF('02_대상물건입력'!$B$8="",0,IF(ISNUMBER(SEARCH('02_대상물건입력'!$B$8,D337)),1,0)))</f>
        <v/>
      </c>
      <c r="M337">
        <f>IFERROR(ABS(E337-'02_대상물건입력'!$B$11)/'02_대상물건입력'!$B$11,"")</f>
        <v/>
      </c>
      <c r="N337">
        <f>IFERROR(ABS('01_설정'!$B$4-F337),"")</f>
        <v/>
      </c>
      <c r="O337">
        <f>IFERROR(ABS(YEAR(I337)-YEAR('02_대상물건입력'!$B$14)),"")</f>
        <v/>
      </c>
      <c r="P337">
        <f>IF(AND(E337&gt;0,F337&gt;0,G337&gt;0,IF('01_설정'!$B$10=1,J337=1,TRUE()),M337&lt;='01_설정'!$B$5,N337&lt;='01_설정'!$B$7,O337&lt;='01_설정'!$B$8),"Y","")</f>
        <v/>
      </c>
      <c r="Q337">
        <f>IF(P337&lt;&gt;"Y","",MAX(0,(1-M337/'01_설정'!$B$5))*'01_설정'!$B$14+MAX(0,(1-N337/'01_설정'!$B$7))*'01_설정'!$B$16+MAX(0,(1-O337/'01_설정'!$B$8))*'01_설정'!$B$17+K337*'01_설정'!$B$11+L337*'01_설정'!$B$12)</f>
        <v/>
      </c>
      <c r="R337">
        <f>IF(Q337="","",1+COUNTIFS($Q$31:$Q$1030,"&gt;"&amp;Q337)+COUNTIFS($Q$31:Q337,Q337)-1)</f>
        <v/>
      </c>
    </row>
    <row r="338" hidden="1" ht="16.5" customHeight="1">
      <c r="A338">
        <f>IF(COUNTA('05_KAIS'!$A326:$N326)=0,"",311)</f>
        <v/>
      </c>
      <c r="B338">
        <f>IF($A338="","",TRIM(INDEX('05_KAIS'!$B:$B,$A338)&amp;" "&amp;INDEX('05_KAIS'!$C:$C,$A338)))</f>
        <v/>
      </c>
      <c r="C338">
        <f>IF($A338="","",INDEX('05_KAIS'!$D:$D,$A338))</f>
        <v/>
      </c>
      <c r="D338">
        <f>IF($A338="","",INDEX('05_KAIS'!$H:$H,$A338))</f>
        <v/>
      </c>
      <c r="E338">
        <f>IF($A338="","",INDEX('05_KAIS'!$K:$K,$A338))</f>
        <v/>
      </c>
      <c r="F338" s="202">
        <f>IF($A338="","",INDEX('05_KAIS'!$I:$I,$A338))</f>
        <v/>
      </c>
      <c r="G338" s="118">
        <f>IF($A338="","",INDEX('05_KAIS'!$L:$L,$A338))</f>
        <v/>
      </c>
      <c r="H338" s="118">
        <f>IF($A338="","",IFERROR(INDEX('05_KAIS'!$M:$M,$A338),IF(AND(E338&gt;0,G338&gt;0),G338/E338,"")))</f>
        <v/>
      </c>
      <c r="I338" s="202">
        <f>IF($A338="","",INDEX('05_KAIS'!$N:$N,$A338))</f>
        <v/>
      </c>
      <c r="J338">
        <f>IF(B338="","",IF('02_대상물건입력'!$B$5="",1,IF(ISNUMBER(SEARCH('02_대상물건입력'!$B$5,B338)),1,0)))</f>
        <v/>
      </c>
      <c r="K338">
        <f>IF(B338="","",IF('02_대상물건입력'!$B$6="",1,IF(ISNUMBER(SEARCH('02_대상물건입력'!$B$6,B338)),1,0)))</f>
        <v/>
      </c>
      <c r="L338">
        <f>IF(D338="","",IF('02_대상물건입력'!$B$8="",0,IF(ISNUMBER(SEARCH('02_대상물건입력'!$B$8,D338)),1,0)))</f>
        <v/>
      </c>
      <c r="M338">
        <f>IFERROR(ABS(E338-'02_대상물건입력'!$B$11)/'02_대상물건입력'!$B$11,"")</f>
        <v/>
      </c>
      <c r="N338">
        <f>IFERROR(ABS('01_설정'!$B$4-F338),"")</f>
        <v/>
      </c>
      <c r="O338">
        <f>IFERROR(ABS(YEAR(I338)-YEAR('02_대상물건입력'!$B$14)),"")</f>
        <v/>
      </c>
      <c r="P338">
        <f>IF(AND(E338&gt;0,F338&gt;0,G338&gt;0,IF('01_설정'!$B$10=1,J338=1,TRUE()),M338&lt;='01_설정'!$B$5,N338&lt;='01_설정'!$B$7,O338&lt;='01_설정'!$B$8),"Y","")</f>
        <v/>
      </c>
      <c r="Q338">
        <f>IF(P338&lt;&gt;"Y","",MAX(0,(1-M338/'01_설정'!$B$5))*'01_설정'!$B$14+MAX(0,(1-N338/'01_설정'!$B$7))*'01_설정'!$B$16+MAX(0,(1-O338/'01_설정'!$B$8))*'01_설정'!$B$17+K338*'01_설정'!$B$11+L338*'01_설정'!$B$12)</f>
        <v/>
      </c>
      <c r="R338">
        <f>IF(Q338="","",1+COUNTIFS($Q$31:$Q$1030,"&gt;"&amp;Q338)+COUNTIFS($Q$31:Q338,Q338)-1)</f>
        <v/>
      </c>
    </row>
    <row r="339" hidden="1" ht="16.5" customHeight="1">
      <c r="A339">
        <f>IF(COUNTA('05_KAIS'!$A327:$N327)=0,"",312)</f>
        <v/>
      </c>
      <c r="B339">
        <f>IF($A339="","",TRIM(INDEX('05_KAIS'!$B:$B,$A339)&amp;" "&amp;INDEX('05_KAIS'!$C:$C,$A339)))</f>
        <v/>
      </c>
      <c r="C339">
        <f>IF($A339="","",INDEX('05_KAIS'!$D:$D,$A339))</f>
        <v/>
      </c>
      <c r="D339">
        <f>IF($A339="","",INDEX('05_KAIS'!$H:$H,$A339))</f>
        <v/>
      </c>
      <c r="E339">
        <f>IF($A339="","",INDEX('05_KAIS'!$K:$K,$A339))</f>
        <v/>
      </c>
      <c r="F339" s="202">
        <f>IF($A339="","",INDEX('05_KAIS'!$I:$I,$A339))</f>
        <v/>
      </c>
      <c r="G339" s="118">
        <f>IF($A339="","",INDEX('05_KAIS'!$L:$L,$A339))</f>
        <v/>
      </c>
      <c r="H339" s="118">
        <f>IF($A339="","",IFERROR(INDEX('05_KAIS'!$M:$M,$A339),IF(AND(E339&gt;0,G339&gt;0),G339/E339,"")))</f>
        <v/>
      </c>
      <c r="I339" s="202">
        <f>IF($A339="","",INDEX('05_KAIS'!$N:$N,$A339))</f>
        <v/>
      </c>
      <c r="J339">
        <f>IF(B339="","",IF('02_대상물건입력'!$B$5="",1,IF(ISNUMBER(SEARCH('02_대상물건입력'!$B$5,B339)),1,0)))</f>
        <v/>
      </c>
      <c r="K339">
        <f>IF(B339="","",IF('02_대상물건입력'!$B$6="",1,IF(ISNUMBER(SEARCH('02_대상물건입력'!$B$6,B339)),1,0)))</f>
        <v/>
      </c>
      <c r="L339">
        <f>IF(D339="","",IF('02_대상물건입력'!$B$8="",0,IF(ISNUMBER(SEARCH('02_대상물건입력'!$B$8,D339)),1,0)))</f>
        <v/>
      </c>
      <c r="M339">
        <f>IFERROR(ABS(E339-'02_대상물건입력'!$B$11)/'02_대상물건입력'!$B$11,"")</f>
        <v/>
      </c>
      <c r="N339">
        <f>IFERROR(ABS('01_설정'!$B$4-F339),"")</f>
        <v/>
      </c>
      <c r="O339">
        <f>IFERROR(ABS(YEAR(I339)-YEAR('02_대상물건입력'!$B$14)),"")</f>
        <v/>
      </c>
      <c r="P339">
        <f>IF(AND(E339&gt;0,F339&gt;0,G339&gt;0,IF('01_설정'!$B$10=1,J339=1,TRUE()),M339&lt;='01_설정'!$B$5,N339&lt;='01_설정'!$B$7,O339&lt;='01_설정'!$B$8),"Y","")</f>
        <v/>
      </c>
      <c r="Q339">
        <f>IF(P339&lt;&gt;"Y","",MAX(0,(1-M339/'01_설정'!$B$5))*'01_설정'!$B$14+MAX(0,(1-N339/'01_설정'!$B$7))*'01_설정'!$B$16+MAX(0,(1-O339/'01_설정'!$B$8))*'01_설정'!$B$17+K339*'01_설정'!$B$11+L339*'01_설정'!$B$12)</f>
        <v/>
      </c>
      <c r="R339">
        <f>IF(Q339="","",1+COUNTIFS($Q$31:$Q$1030,"&gt;"&amp;Q339)+COUNTIFS($Q$31:Q339,Q339)-1)</f>
        <v/>
      </c>
    </row>
    <row r="340" hidden="1" ht="16.5" customHeight="1">
      <c r="A340">
        <f>IF(COUNTA('05_KAIS'!$A328:$N328)=0,"",313)</f>
        <v/>
      </c>
      <c r="B340">
        <f>IF($A340="","",TRIM(INDEX('05_KAIS'!$B:$B,$A340)&amp;" "&amp;INDEX('05_KAIS'!$C:$C,$A340)))</f>
        <v/>
      </c>
      <c r="C340">
        <f>IF($A340="","",INDEX('05_KAIS'!$D:$D,$A340))</f>
        <v/>
      </c>
      <c r="D340">
        <f>IF($A340="","",INDEX('05_KAIS'!$H:$H,$A340))</f>
        <v/>
      </c>
      <c r="E340">
        <f>IF($A340="","",INDEX('05_KAIS'!$K:$K,$A340))</f>
        <v/>
      </c>
      <c r="F340" s="202">
        <f>IF($A340="","",INDEX('05_KAIS'!$I:$I,$A340))</f>
        <v/>
      </c>
      <c r="G340" s="118">
        <f>IF($A340="","",INDEX('05_KAIS'!$L:$L,$A340))</f>
        <v/>
      </c>
      <c r="H340" s="118">
        <f>IF($A340="","",IFERROR(INDEX('05_KAIS'!$M:$M,$A340),IF(AND(E340&gt;0,G340&gt;0),G340/E340,"")))</f>
        <v/>
      </c>
      <c r="I340" s="202">
        <f>IF($A340="","",INDEX('05_KAIS'!$N:$N,$A340))</f>
        <v/>
      </c>
      <c r="J340">
        <f>IF(B340="","",IF('02_대상물건입력'!$B$5="",1,IF(ISNUMBER(SEARCH('02_대상물건입력'!$B$5,B340)),1,0)))</f>
        <v/>
      </c>
      <c r="K340">
        <f>IF(B340="","",IF('02_대상물건입력'!$B$6="",1,IF(ISNUMBER(SEARCH('02_대상물건입력'!$B$6,B340)),1,0)))</f>
        <v/>
      </c>
      <c r="L340">
        <f>IF(D340="","",IF('02_대상물건입력'!$B$8="",0,IF(ISNUMBER(SEARCH('02_대상물건입력'!$B$8,D340)),1,0)))</f>
        <v/>
      </c>
      <c r="M340">
        <f>IFERROR(ABS(E340-'02_대상물건입력'!$B$11)/'02_대상물건입력'!$B$11,"")</f>
        <v/>
      </c>
      <c r="N340">
        <f>IFERROR(ABS('01_설정'!$B$4-F340),"")</f>
        <v/>
      </c>
      <c r="O340">
        <f>IFERROR(ABS(YEAR(I340)-YEAR('02_대상물건입력'!$B$14)),"")</f>
        <v/>
      </c>
      <c r="P340">
        <f>IF(AND(E340&gt;0,F340&gt;0,G340&gt;0,IF('01_설정'!$B$10=1,J340=1,TRUE()),M340&lt;='01_설정'!$B$5,N340&lt;='01_설정'!$B$7,O340&lt;='01_설정'!$B$8),"Y","")</f>
        <v/>
      </c>
      <c r="Q340">
        <f>IF(P340&lt;&gt;"Y","",MAX(0,(1-M340/'01_설정'!$B$5))*'01_설정'!$B$14+MAX(0,(1-N340/'01_설정'!$B$7))*'01_설정'!$B$16+MAX(0,(1-O340/'01_설정'!$B$8))*'01_설정'!$B$17+K340*'01_설정'!$B$11+L340*'01_설정'!$B$12)</f>
        <v/>
      </c>
      <c r="R340">
        <f>IF(Q340="","",1+COUNTIFS($Q$31:$Q$1030,"&gt;"&amp;Q340)+COUNTIFS($Q$31:Q340,Q340)-1)</f>
        <v/>
      </c>
    </row>
    <row r="341" hidden="1" ht="16.5" customHeight="1">
      <c r="A341">
        <f>IF(COUNTA('05_KAIS'!$A329:$N329)=0,"",314)</f>
        <v/>
      </c>
      <c r="B341">
        <f>IF($A341="","",TRIM(INDEX('05_KAIS'!$B:$B,$A341)&amp;" "&amp;INDEX('05_KAIS'!$C:$C,$A341)))</f>
        <v/>
      </c>
      <c r="C341">
        <f>IF($A341="","",INDEX('05_KAIS'!$D:$D,$A341))</f>
        <v/>
      </c>
      <c r="D341">
        <f>IF($A341="","",INDEX('05_KAIS'!$H:$H,$A341))</f>
        <v/>
      </c>
      <c r="E341">
        <f>IF($A341="","",INDEX('05_KAIS'!$K:$K,$A341))</f>
        <v/>
      </c>
      <c r="F341" s="202">
        <f>IF($A341="","",INDEX('05_KAIS'!$I:$I,$A341))</f>
        <v/>
      </c>
      <c r="G341" s="118">
        <f>IF($A341="","",INDEX('05_KAIS'!$L:$L,$A341))</f>
        <v/>
      </c>
      <c r="H341" s="118">
        <f>IF($A341="","",IFERROR(INDEX('05_KAIS'!$M:$M,$A341),IF(AND(E341&gt;0,G341&gt;0),G341/E341,"")))</f>
        <v/>
      </c>
      <c r="I341" s="202">
        <f>IF($A341="","",INDEX('05_KAIS'!$N:$N,$A341))</f>
        <v/>
      </c>
      <c r="J341">
        <f>IF(B341="","",IF('02_대상물건입력'!$B$5="",1,IF(ISNUMBER(SEARCH('02_대상물건입력'!$B$5,B341)),1,0)))</f>
        <v/>
      </c>
      <c r="K341">
        <f>IF(B341="","",IF('02_대상물건입력'!$B$6="",1,IF(ISNUMBER(SEARCH('02_대상물건입력'!$B$6,B341)),1,0)))</f>
        <v/>
      </c>
      <c r="L341">
        <f>IF(D341="","",IF('02_대상물건입력'!$B$8="",0,IF(ISNUMBER(SEARCH('02_대상물건입력'!$B$8,D341)),1,0)))</f>
        <v/>
      </c>
      <c r="M341">
        <f>IFERROR(ABS(E341-'02_대상물건입력'!$B$11)/'02_대상물건입력'!$B$11,"")</f>
        <v/>
      </c>
      <c r="N341">
        <f>IFERROR(ABS('01_설정'!$B$4-F341),"")</f>
        <v/>
      </c>
      <c r="O341">
        <f>IFERROR(ABS(YEAR(I341)-YEAR('02_대상물건입력'!$B$14)),"")</f>
        <v/>
      </c>
      <c r="P341">
        <f>IF(AND(E341&gt;0,F341&gt;0,G341&gt;0,IF('01_설정'!$B$10=1,J341=1,TRUE()),M341&lt;='01_설정'!$B$5,N341&lt;='01_설정'!$B$7,O341&lt;='01_설정'!$B$8),"Y","")</f>
        <v/>
      </c>
      <c r="Q341">
        <f>IF(P341&lt;&gt;"Y","",MAX(0,(1-M341/'01_설정'!$B$5))*'01_설정'!$B$14+MAX(0,(1-N341/'01_설정'!$B$7))*'01_설정'!$B$16+MAX(0,(1-O341/'01_설정'!$B$8))*'01_설정'!$B$17+K341*'01_설정'!$B$11+L341*'01_설정'!$B$12)</f>
        <v/>
      </c>
      <c r="R341">
        <f>IF(Q341="","",1+COUNTIFS($Q$31:$Q$1030,"&gt;"&amp;Q341)+COUNTIFS($Q$31:Q341,Q341)-1)</f>
        <v/>
      </c>
    </row>
    <row r="342" hidden="1" ht="16.5" customHeight="1">
      <c r="A342">
        <f>IF(COUNTA('05_KAIS'!$A330:$N330)=0,"",315)</f>
        <v/>
      </c>
      <c r="B342">
        <f>IF($A342="","",TRIM(INDEX('05_KAIS'!$B:$B,$A342)&amp;" "&amp;INDEX('05_KAIS'!$C:$C,$A342)))</f>
        <v/>
      </c>
      <c r="C342">
        <f>IF($A342="","",INDEX('05_KAIS'!$D:$D,$A342))</f>
        <v/>
      </c>
      <c r="D342">
        <f>IF($A342="","",INDEX('05_KAIS'!$H:$H,$A342))</f>
        <v/>
      </c>
      <c r="E342">
        <f>IF($A342="","",INDEX('05_KAIS'!$K:$K,$A342))</f>
        <v/>
      </c>
      <c r="F342" s="202">
        <f>IF($A342="","",INDEX('05_KAIS'!$I:$I,$A342))</f>
        <v/>
      </c>
      <c r="G342" s="118">
        <f>IF($A342="","",INDEX('05_KAIS'!$L:$L,$A342))</f>
        <v/>
      </c>
      <c r="H342" s="118">
        <f>IF($A342="","",IFERROR(INDEX('05_KAIS'!$M:$M,$A342),IF(AND(E342&gt;0,G342&gt;0),G342/E342,"")))</f>
        <v/>
      </c>
      <c r="I342" s="202">
        <f>IF($A342="","",INDEX('05_KAIS'!$N:$N,$A342))</f>
        <v/>
      </c>
      <c r="J342">
        <f>IF(B342="","",IF('02_대상물건입력'!$B$5="",1,IF(ISNUMBER(SEARCH('02_대상물건입력'!$B$5,B342)),1,0)))</f>
        <v/>
      </c>
      <c r="K342">
        <f>IF(B342="","",IF('02_대상물건입력'!$B$6="",1,IF(ISNUMBER(SEARCH('02_대상물건입력'!$B$6,B342)),1,0)))</f>
        <v/>
      </c>
      <c r="L342">
        <f>IF(D342="","",IF('02_대상물건입력'!$B$8="",0,IF(ISNUMBER(SEARCH('02_대상물건입력'!$B$8,D342)),1,0)))</f>
        <v/>
      </c>
      <c r="M342">
        <f>IFERROR(ABS(E342-'02_대상물건입력'!$B$11)/'02_대상물건입력'!$B$11,"")</f>
        <v/>
      </c>
      <c r="N342">
        <f>IFERROR(ABS('01_설정'!$B$4-F342),"")</f>
        <v/>
      </c>
      <c r="O342">
        <f>IFERROR(ABS(YEAR(I342)-YEAR('02_대상물건입력'!$B$14)),"")</f>
        <v/>
      </c>
      <c r="P342">
        <f>IF(AND(E342&gt;0,F342&gt;0,G342&gt;0,IF('01_설정'!$B$10=1,J342=1,TRUE()),M342&lt;='01_설정'!$B$5,N342&lt;='01_설정'!$B$7,O342&lt;='01_설정'!$B$8),"Y","")</f>
        <v/>
      </c>
      <c r="Q342">
        <f>IF(P342&lt;&gt;"Y","",MAX(0,(1-M342/'01_설정'!$B$5))*'01_설정'!$B$14+MAX(0,(1-N342/'01_설정'!$B$7))*'01_설정'!$B$16+MAX(0,(1-O342/'01_설정'!$B$8))*'01_설정'!$B$17+K342*'01_설정'!$B$11+L342*'01_설정'!$B$12)</f>
        <v/>
      </c>
      <c r="R342">
        <f>IF(Q342="","",1+COUNTIFS($Q$31:$Q$1030,"&gt;"&amp;Q342)+COUNTIFS($Q$31:Q342,Q342)-1)</f>
        <v/>
      </c>
    </row>
    <row r="343" hidden="1" ht="16.5" customHeight="1">
      <c r="A343">
        <f>IF(COUNTA('05_KAIS'!$A331:$N331)=0,"",316)</f>
        <v/>
      </c>
      <c r="B343">
        <f>IF($A343="","",TRIM(INDEX('05_KAIS'!$B:$B,$A343)&amp;" "&amp;INDEX('05_KAIS'!$C:$C,$A343)))</f>
        <v/>
      </c>
      <c r="C343">
        <f>IF($A343="","",INDEX('05_KAIS'!$D:$D,$A343))</f>
        <v/>
      </c>
      <c r="D343">
        <f>IF($A343="","",INDEX('05_KAIS'!$H:$H,$A343))</f>
        <v/>
      </c>
      <c r="E343">
        <f>IF($A343="","",INDEX('05_KAIS'!$K:$K,$A343))</f>
        <v/>
      </c>
      <c r="F343" s="202">
        <f>IF($A343="","",INDEX('05_KAIS'!$I:$I,$A343))</f>
        <v/>
      </c>
      <c r="G343" s="118">
        <f>IF($A343="","",INDEX('05_KAIS'!$L:$L,$A343))</f>
        <v/>
      </c>
      <c r="H343" s="118">
        <f>IF($A343="","",IFERROR(INDEX('05_KAIS'!$M:$M,$A343),IF(AND(E343&gt;0,G343&gt;0),G343/E343,"")))</f>
        <v/>
      </c>
      <c r="I343" s="202">
        <f>IF($A343="","",INDEX('05_KAIS'!$N:$N,$A343))</f>
        <v/>
      </c>
      <c r="J343">
        <f>IF(B343="","",IF('02_대상물건입력'!$B$5="",1,IF(ISNUMBER(SEARCH('02_대상물건입력'!$B$5,B343)),1,0)))</f>
        <v/>
      </c>
      <c r="K343">
        <f>IF(B343="","",IF('02_대상물건입력'!$B$6="",1,IF(ISNUMBER(SEARCH('02_대상물건입력'!$B$6,B343)),1,0)))</f>
        <v/>
      </c>
      <c r="L343">
        <f>IF(D343="","",IF('02_대상물건입력'!$B$8="",0,IF(ISNUMBER(SEARCH('02_대상물건입력'!$B$8,D343)),1,0)))</f>
        <v/>
      </c>
      <c r="M343">
        <f>IFERROR(ABS(E343-'02_대상물건입력'!$B$11)/'02_대상물건입력'!$B$11,"")</f>
        <v/>
      </c>
      <c r="N343">
        <f>IFERROR(ABS('01_설정'!$B$4-F343),"")</f>
        <v/>
      </c>
      <c r="O343">
        <f>IFERROR(ABS(YEAR(I343)-YEAR('02_대상물건입력'!$B$14)),"")</f>
        <v/>
      </c>
      <c r="P343">
        <f>IF(AND(E343&gt;0,F343&gt;0,G343&gt;0,IF('01_설정'!$B$10=1,J343=1,TRUE()),M343&lt;='01_설정'!$B$5,N343&lt;='01_설정'!$B$7,O343&lt;='01_설정'!$B$8),"Y","")</f>
        <v/>
      </c>
      <c r="Q343">
        <f>IF(P343&lt;&gt;"Y","",MAX(0,(1-M343/'01_설정'!$B$5))*'01_설정'!$B$14+MAX(0,(1-N343/'01_설정'!$B$7))*'01_설정'!$B$16+MAX(0,(1-O343/'01_설정'!$B$8))*'01_설정'!$B$17+K343*'01_설정'!$B$11+L343*'01_설정'!$B$12)</f>
        <v/>
      </c>
      <c r="R343">
        <f>IF(Q343="","",1+COUNTIFS($Q$31:$Q$1030,"&gt;"&amp;Q343)+COUNTIFS($Q$31:Q343,Q343)-1)</f>
        <v/>
      </c>
    </row>
    <row r="344" hidden="1" ht="16.5" customHeight="1">
      <c r="A344">
        <f>IF(COUNTA('05_KAIS'!$A332:$N332)=0,"",317)</f>
        <v/>
      </c>
      <c r="B344">
        <f>IF($A344="","",TRIM(INDEX('05_KAIS'!$B:$B,$A344)&amp;" "&amp;INDEX('05_KAIS'!$C:$C,$A344)))</f>
        <v/>
      </c>
      <c r="C344">
        <f>IF($A344="","",INDEX('05_KAIS'!$D:$D,$A344))</f>
        <v/>
      </c>
      <c r="D344">
        <f>IF($A344="","",INDEX('05_KAIS'!$H:$H,$A344))</f>
        <v/>
      </c>
      <c r="E344">
        <f>IF($A344="","",INDEX('05_KAIS'!$K:$K,$A344))</f>
        <v/>
      </c>
      <c r="F344" s="202">
        <f>IF($A344="","",INDEX('05_KAIS'!$I:$I,$A344))</f>
        <v/>
      </c>
      <c r="G344" s="118">
        <f>IF($A344="","",INDEX('05_KAIS'!$L:$L,$A344))</f>
        <v/>
      </c>
      <c r="H344" s="118">
        <f>IF($A344="","",IFERROR(INDEX('05_KAIS'!$M:$M,$A344),IF(AND(E344&gt;0,G344&gt;0),G344/E344,"")))</f>
        <v/>
      </c>
      <c r="I344" s="202">
        <f>IF($A344="","",INDEX('05_KAIS'!$N:$N,$A344))</f>
        <v/>
      </c>
      <c r="J344">
        <f>IF(B344="","",IF('02_대상물건입력'!$B$5="",1,IF(ISNUMBER(SEARCH('02_대상물건입력'!$B$5,B344)),1,0)))</f>
        <v/>
      </c>
      <c r="K344">
        <f>IF(B344="","",IF('02_대상물건입력'!$B$6="",1,IF(ISNUMBER(SEARCH('02_대상물건입력'!$B$6,B344)),1,0)))</f>
        <v/>
      </c>
      <c r="L344">
        <f>IF(D344="","",IF('02_대상물건입력'!$B$8="",0,IF(ISNUMBER(SEARCH('02_대상물건입력'!$B$8,D344)),1,0)))</f>
        <v/>
      </c>
      <c r="M344">
        <f>IFERROR(ABS(E344-'02_대상물건입력'!$B$11)/'02_대상물건입력'!$B$11,"")</f>
        <v/>
      </c>
      <c r="N344">
        <f>IFERROR(ABS('01_설정'!$B$4-F344),"")</f>
        <v/>
      </c>
      <c r="O344">
        <f>IFERROR(ABS(YEAR(I344)-YEAR('02_대상물건입력'!$B$14)),"")</f>
        <v/>
      </c>
      <c r="P344">
        <f>IF(AND(E344&gt;0,F344&gt;0,G344&gt;0,IF('01_설정'!$B$10=1,J344=1,TRUE()),M344&lt;='01_설정'!$B$5,N344&lt;='01_설정'!$B$7,O344&lt;='01_설정'!$B$8),"Y","")</f>
        <v/>
      </c>
      <c r="Q344">
        <f>IF(P344&lt;&gt;"Y","",MAX(0,(1-M344/'01_설정'!$B$5))*'01_설정'!$B$14+MAX(0,(1-N344/'01_설정'!$B$7))*'01_설정'!$B$16+MAX(0,(1-O344/'01_설정'!$B$8))*'01_설정'!$B$17+K344*'01_설정'!$B$11+L344*'01_설정'!$B$12)</f>
        <v/>
      </c>
      <c r="R344">
        <f>IF(Q344="","",1+COUNTIFS($Q$31:$Q$1030,"&gt;"&amp;Q344)+COUNTIFS($Q$31:Q344,Q344)-1)</f>
        <v/>
      </c>
    </row>
    <row r="345" hidden="1" ht="16.5" customHeight="1">
      <c r="A345">
        <f>IF(COUNTA('05_KAIS'!$A333:$N333)=0,"",318)</f>
        <v/>
      </c>
      <c r="B345">
        <f>IF($A345="","",TRIM(INDEX('05_KAIS'!$B:$B,$A345)&amp;" "&amp;INDEX('05_KAIS'!$C:$C,$A345)))</f>
        <v/>
      </c>
      <c r="C345">
        <f>IF($A345="","",INDEX('05_KAIS'!$D:$D,$A345))</f>
        <v/>
      </c>
      <c r="D345">
        <f>IF($A345="","",INDEX('05_KAIS'!$H:$H,$A345))</f>
        <v/>
      </c>
      <c r="E345">
        <f>IF($A345="","",INDEX('05_KAIS'!$K:$K,$A345))</f>
        <v/>
      </c>
      <c r="F345" s="202">
        <f>IF($A345="","",INDEX('05_KAIS'!$I:$I,$A345))</f>
        <v/>
      </c>
      <c r="G345" s="118">
        <f>IF($A345="","",INDEX('05_KAIS'!$L:$L,$A345))</f>
        <v/>
      </c>
      <c r="H345" s="118">
        <f>IF($A345="","",IFERROR(INDEX('05_KAIS'!$M:$M,$A345),IF(AND(E345&gt;0,G345&gt;0),G345/E345,"")))</f>
        <v/>
      </c>
      <c r="I345" s="202">
        <f>IF($A345="","",INDEX('05_KAIS'!$N:$N,$A345))</f>
        <v/>
      </c>
      <c r="J345">
        <f>IF(B345="","",IF('02_대상물건입력'!$B$5="",1,IF(ISNUMBER(SEARCH('02_대상물건입력'!$B$5,B345)),1,0)))</f>
        <v/>
      </c>
      <c r="K345">
        <f>IF(B345="","",IF('02_대상물건입력'!$B$6="",1,IF(ISNUMBER(SEARCH('02_대상물건입력'!$B$6,B345)),1,0)))</f>
        <v/>
      </c>
      <c r="L345">
        <f>IF(D345="","",IF('02_대상물건입력'!$B$8="",0,IF(ISNUMBER(SEARCH('02_대상물건입력'!$B$8,D345)),1,0)))</f>
        <v/>
      </c>
      <c r="M345">
        <f>IFERROR(ABS(E345-'02_대상물건입력'!$B$11)/'02_대상물건입력'!$B$11,"")</f>
        <v/>
      </c>
      <c r="N345">
        <f>IFERROR(ABS('01_설정'!$B$4-F345),"")</f>
        <v/>
      </c>
      <c r="O345">
        <f>IFERROR(ABS(YEAR(I345)-YEAR('02_대상물건입력'!$B$14)),"")</f>
        <v/>
      </c>
      <c r="P345">
        <f>IF(AND(E345&gt;0,F345&gt;0,G345&gt;0,IF('01_설정'!$B$10=1,J345=1,TRUE()),M345&lt;='01_설정'!$B$5,N345&lt;='01_설정'!$B$7,O345&lt;='01_설정'!$B$8),"Y","")</f>
        <v/>
      </c>
      <c r="Q345">
        <f>IF(P345&lt;&gt;"Y","",MAX(0,(1-M345/'01_설정'!$B$5))*'01_설정'!$B$14+MAX(0,(1-N345/'01_설정'!$B$7))*'01_설정'!$B$16+MAX(0,(1-O345/'01_설정'!$B$8))*'01_설정'!$B$17+K345*'01_설정'!$B$11+L345*'01_설정'!$B$12)</f>
        <v/>
      </c>
      <c r="R345">
        <f>IF(Q345="","",1+COUNTIFS($Q$31:$Q$1030,"&gt;"&amp;Q345)+COUNTIFS($Q$31:Q345,Q345)-1)</f>
        <v/>
      </c>
    </row>
    <row r="346" hidden="1" ht="16.5" customHeight="1">
      <c r="A346">
        <f>IF(COUNTA('05_KAIS'!$A334:$N334)=0,"",319)</f>
        <v/>
      </c>
      <c r="B346">
        <f>IF($A346="","",TRIM(INDEX('05_KAIS'!$B:$B,$A346)&amp;" "&amp;INDEX('05_KAIS'!$C:$C,$A346)))</f>
        <v/>
      </c>
      <c r="C346">
        <f>IF($A346="","",INDEX('05_KAIS'!$D:$D,$A346))</f>
        <v/>
      </c>
      <c r="D346">
        <f>IF($A346="","",INDEX('05_KAIS'!$H:$H,$A346))</f>
        <v/>
      </c>
      <c r="E346">
        <f>IF($A346="","",INDEX('05_KAIS'!$K:$K,$A346))</f>
        <v/>
      </c>
      <c r="F346" s="202">
        <f>IF($A346="","",INDEX('05_KAIS'!$I:$I,$A346))</f>
        <v/>
      </c>
      <c r="G346" s="118">
        <f>IF($A346="","",INDEX('05_KAIS'!$L:$L,$A346))</f>
        <v/>
      </c>
      <c r="H346" s="118">
        <f>IF($A346="","",IFERROR(INDEX('05_KAIS'!$M:$M,$A346),IF(AND(E346&gt;0,G346&gt;0),G346/E346,"")))</f>
        <v/>
      </c>
      <c r="I346" s="202">
        <f>IF($A346="","",INDEX('05_KAIS'!$N:$N,$A346))</f>
        <v/>
      </c>
      <c r="J346">
        <f>IF(B346="","",IF('02_대상물건입력'!$B$5="",1,IF(ISNUMBER(SEARCH('02_대상물건입력'!$B$5,B346)),1,0)))</f>
        <v/>
      </c>
      <c r="K346">
        <f>IF(B346="","",IF('02_대상물건입력'!$B$6="",1,IF(ISNUMBER(SEARCH('02_대상물건입력'!$B$6,B346)),1,0)))</f>
        <v/>
      </c>
      <c r="L346">
        <f>IF(D346="","",IF('02_대상물건입력'!$B$8="",0,IF(ISNUMBER(SEARCH('02_대상물건입력'!$B$8,D346)),1,0)))</f>
        <v/>
      </c>
      <c r="M346">
        <f>IFERROR(ABS(E346-'02_대상물건입력'!$B$11)/'02_대상물건입력'!$B$11,"")</f>
        <v/>
      </c>
      <c r="N346">
        <f>IFERROR(ABS('01_설정'!$B$4-F346),"")</f>
        <v/>
      </c>
      <c r="O346">
        <f>IFERROR(ABS(YEAR(I346)-YEAR('02_대상물건입력'!$B$14)),"")</f>
        <v/>
      </c>
      <c r="P346">
        <f>IF(AND(E346&gt;0,F346&gt;0,G346&gt;0,IF('01_설정'!$B$10=1,J346=1,TRUE()),M346&lt;='01_설정'!$B$5,N346&lt;='01_설정'!$B$7,O346&lt;='01_설정'!$B$8),"Y","")</f>
        <v/>
      </c>
      <c r="Q346">
        <f>IF(P346&lt;&gt;"Y","",MAX(0,(1-M346/'01_설정'!$B$5))*'01_설정'!$B$14+MAX(0,(1-N346/'01_설정'!$B$7))*'01_설정'!$B$16+MAX(0,(1-O346/'01_설정'!$B$8))*'01_설정'!$B$17+K346*'01_설정'!$B$11+L346*'01_설정'!$B$12)</f>
        <v/>
      </c>
      <c r="R346">
        <f>IF(Q346="","",1+COUNTIFS($Q$31:$Q$1030,"&gt;"&amp;Q346)+COUNTIFS($Q$31:Q346,Q346)-1)</f>
        <v/>
      </c>
    </row>
    <row r="347" hidden="1" ht="16.5" customHeight="1">
      <c r="A347">
        <f>IF(COUNTA('05_KAIS'!$A335:$N335)=0,"",320)</f>
        <v/>
      </c>
      <c r="B347">
        <f>IF($A347="","",TRIM(INDEX('05_KAIS'!$B:$B,$A347)&amp;" "&amp;INDEX('05_KAIS'!$C:$C,$A347)))</f>
        <v/>
      </c>
      <c r="C347">
        <f>IF($A347="","",INDEX('05_KAIS'!$D:$D,$A347))</f>
        <v/>
      </c>
      <c r="D347">
        <f>IF($A347="","",INDEX('05_KAIS'!$H:$H,$A347))</f>
        <v/>
      </c>
      <c r="E347">
        <f>IF($A347="","",INDEX('05_KAIS'!$K:$K,$A347))</f>
        <v/>
      </c>
      <c r="F347" s="202">
        <f>IF($A347="","",INDEX('05_KAIS'!$I:$I,$A347))</f>
        <v/>
      </c>
      <c r="G347" s="118">
        <f>IF($A347="","",INDEX('05_KAIS'!$L:$L,$A347))</f>
        <v/>
      </c>
      <c r="H347" s="118">
        <f>IF($A347="","",IFERROR(INDEX('05_KAIS'!$M:$M,$A347),IF(AND(E347&gt;0,G347&gt;0),G347/E347,"")))</f>
        <v/>
      </c>
      <c r="I347" s="202">
        <f>IF($A347="","",INDEX('05_KAIS'!$N:$N,$A347))</f>
        <v/>
      </c>
      <c r="J347">
        <f>IF(B347="","",IF('02_대상물건입력'!$B$5="",1,IF(ISNUMBER(SEARCH('02_대상물건입력'!$B$5,B347)),1,0)))</f>
        <v/>
      </c>
      <c r="K347">
        <f>IF(B347="","",IF('02_대상물건입력'!$B$6="",1,IF(ISNUMBER(SEARCH('02_대상물건입력'!$B$6,B347)),1,0)))</f>
        <v/>
      </c>
      <c r="L347">
        <f>IF(D347="","",IF('02_대상물건입력'!$B$8="",0,IF(ISNUMBER(SEARCH('02_대상물건입력'!$B$8,D347)),1,0)))</f>
        <v/>
      </c>
      <c r="M347">
        <f>IFERROR(ABS(E347-'02_대상물건입력'!$B$11)/'02_대상물건입력'!$B$11,"")</f>
        <v/>
      </c>
      <c r="N347">
        <f>IFERROR(ABS('01_설정'!$B$4-F347),"")</f>
        <v/>
      </c>
      <c r="O347">
        <f>IFERROR(ABS(YEAR(I347)-YEAR('02_대상물건입력'!$B$14)),"")</f>
        <v/>
      </c>
      <c r="P347">
        <f>IF(AND(E347&gt;0,F347&gt;0,G347&gt;0,IF('01_설정'!$B$10=1,J347=1,TRUE()),M347&lt;='01_설정'!$B$5,N347&lt;='01_설정'!$B$7,O347&lt;='01_설정'!$B$8),"Y","")</f>
        <v/>
      </c>
      <c r="Q347">
        <f>IF(P347&lt;&gt;"Y","",MAX(0,(1-M347/'01_설정'!$B$5))*'01_설정'!$B$14+MAX(0,(1-N347/'01_설정'!$B$7))*'01_설정'!$B$16+MAX(0,(1-O347/'01_설정'!$B$8))*'01_설정'!$B$17+K347*'01_설정'!$B$11+L347*'01_설정'!$B$12)</f>
        <v/>
      </c>
      <c r="R347">
        <f>IF(Q347="","",1+COUNTIFS($Q$31:$Q$1030,"&gt;"&amp;Q347)+COUNTIFS($Q$31:Q347,Q347)-1)</f>
        <v/>
      </c>
    </row>
    <row r="348" hidden="1" ht="16.5" customHeight="1">
      <c r="A348">
        <f>IF(COUNTA('05_KAIS'!$A336:$N336)=0,"",321)</f>
        <v/>
      </c>
      <c r="B348">
        <f>IF($A348="","",TRIM(INDEX('05_KAIS'!$B:$B,$A348)&amp;" "&amp;INDEX('05_KAIS'!$C:$C,$A348)))</f>
        <v/>
      </c>
      <c r="C348">
        <f>IF($A348="","",INDEX('05_KAIS'!$D:$D,$A348))</f>
        <v/>
      </c>
      <c r="D348">
        <f>IF($A348="","",INDEX('05_KAIS'!$H:$H,$A348))</f>
        <v/>
      </c>
      <c r="E348">
        <f>IF($A348="","",INDEX('05_KAIS'!$K:$K,$A348))</f>
        <v/>
      </c>
      <c r="F348" s="202">
        <f>IF($A348="","",INDEX('05_KAIS'!$I:$I,$A348))</f>
        <v/>
      </c>
      <c r="G348" s="118">
        <f>IF($A348="","",INDEX('05_KAIS'!$L:$L,$A348))</f>
        <v/>
      </c>
      <c r="H348" s="118">
        <f>IF($A348="","",IFERROR(INDEX('05_KAIS'!$M:$M,$A348),IF(AND(E348&gt;0,G348&gt;0),G348/E348,"")))</f>
        <v/>
      </c>
      <c r="I348" s="202">
        <f>IF($A348="","",INDEX('05_KAIS'!$N:$N,$A348))</f>
        <v/>
      </c>
      <c r="J348">
        <f>IF(B348="","",IF('02_대상물건입력'!$B$5="",1,IF(ISNUMBER(SEARCH('02_대상물건입력'!$B$5,B348)),1,0)))</f>
        <v/>
      </c>
      <c r="K348">
        <f>IF(B348="","",IF('02_대상물건입력'!$B$6="",1,IF(ISNUMBER(SEARCH('02_대상물건입력'!$B$6,B348)),1,0)))</f>
        <v/>
      </c>
      <c r="L348">
        <f>IF(D348="","",IF('02_대상물건입력'!$B$8="",0,IF(ISNUMBER(SEARCH('02_대상물건입력'!$B$8,D348)),1,0)))</f>
        <v/>
      </c>
      <c r="M348">
        <f>IFERROR(ABS(E348-'02_대상물건입력'!$B$11)/'02_대상물건입력'!$B$11,"")</f>
        <v/>
      </c>
      <c r="N348">
        <f>IFERROR(ABS('01_설정'!$B$4-F348),"")</f>
        <v/>
      </c>
      <c r="O348">
        <f>IFERROR(ABS(YEAR(I348)-YEAR('02_대상물건입력'!$B$14)),"")</f>
        <v/>
      </c>
      <c r="P348">
        <f>IF(AND(E348&gt;0,F348&gt;0,G348&gt;0,IF('01_설정'!$B$10=1,J348=1,TRUE()),M348&lt;='01_설정'!$B$5,N348&lt;='01_설정'!$B$7,O348&lt;='01_설정'!$B$8),"Y","")</f>
        <v/>
      </c>
      <c r="Q348">
        <f>IF(P348&lt;&gt;"Y","",MAX(0,(1-M348/'01_설정'!$B$5))*'01_설정'!$B$14+MAX(0,(1-N348/'01_설정'!$B$7))*'01_설정'!$B$16+MAX(0,(1-O348/'01_설정'!$B$8))*'01_설정'!$B$17+K348*'01_설정'!$B$11+L348*'01_설정'!$B$12)</f>
        <v/>
      </c>
      <c r="R348">
        <f>IF(Q348="","",1+COUNTIFS($Q$31:$Q$1030,"&gt;"&amp;Q348)+COUNTIFS($Q$31:Q348,Q348)-1)</f>
        <v/>
      </c>
    </row>
    <row r="349" hidden="1" ht="16.5" customHeight="1">
      <c r="A349">
        <f>IF(COUNTA('05_KAIS'!$A337:$N337)=0,"",322)</f>
        <v/>
      </c>
      <c r="B349">
        <f>IF($A349="","",TRIM(INDEX('05_KAIS'!$B:$B,$A349)&amp;" "&amp;INDEX('05_KAIS'!$C:$C,$A349)))</f>
        <v/>
      </c>
      <c r="C349">
        <f>IF($A349="","",INDEX('05_KAIS'!$D:$D,$A349))</f>
        <v/>
      </c>
      <c r="D349">
        <f>IF($A349="","",INDEX('05_KAIS'!$H:$H,$A349))</f>
        <v/>
      </c>
      <c r="E349">
        <f>IF($A349="","",INDEX('05_KAIS'!$K:$K,$A349))</f>
        <v/>
      </c>
      <c r="F349" s="202">
        <f>IF($A349="","",INDEX('05_KAIS'!$I:$I,$A349))</f>
        <v/>
      </c>
      <c r="G349" s="118">
        <f>IF($A349="","",INDEX('05_KAIS'!$L:$L,$A349))</f>
        <v/>
      </c>
      <c r="H349" s="118">
        <f>IF($A349="","",IFERROR(INDEX('05_KAIS'!$M:$M,$A349),IF(AND(E349&gt;0,G349&gt;0),G349/E349,"")))</f>
        <v/>
      </c>
      <c r="I349" s="202">
        <f>IF($A349="","",INDEX('05_KAIS'!$N:$N,$A349))</f>
        <v/>
      </c>
      <c r="J349">
        <f>IF(B349="","",IF('02_대상물건입력'!$B$5="",1,IF(ISNUMBER(SEARCH('02_대상물건입력'!$B$5,B349)),1,0)))</f>
        <v/>
      </c>
      <c r="K349">
        <f>IF(B349="","",IF('02_대상물건입력'!$B$6="",1,IF(ISNUMBER(SEARCH('02_대상물건입력'!$B$6,B349)),1,0)))</f>
        <v/>
      </c>
      <c r="L349">
        <f>IF(D349="","",IF('02_대상물건입력'!$B$8="",0,IF(ISNUMBER(SEARCH('02_대상물건입력'!$B$8,D349)),1,0)))</f>
        <v/>
      </c>
      <c r="M349">
        <f>IFERROR(ABS(E349-'02_대상물건입력'!$B$11)/'02_대상물건입력'!$B$11,"")</f>
        <v/>
      </c>
      <c r="N349">
        <f>IFERROR(ABS('01_설정'!$B$4-F349),"")</f>
        <v/>
      </c>
      <c r="O349">
        <f>IFERROR(ABS(YEAR(I349)-YEAR('02_대상물건입력'!$B$14)),"")</f>
        <v/>
      </c>
      <c r="P349">
        <f>IF(AND(E349&gt;0,F349&gt;0,G349&gt;0,IF('01_설정'!$B$10=1,J349=1,TRUE()),M349&lt;='01_설정'!$B$5,N349&lt;='01_설정'!$B$7,O349&lt;='01_설정'!$B$8),"Y","")</f>
        <v/>
      </c>
      <c r="Q349">
        <f>IF(P349&lt;&gt;"Y","",MAX(0,(1-M349/'01_설정'!$B$5))*'01_설정'!$B$14+MAX(0,(1-N349/'01_설정'!$B$7))*'01_설정'!$B$16+MAX(0,(1-O349/'01_설정'!$B$8))*'01_설정'!$B$17+K349*'01_설정'!$B$11+L349*'01_설정'!$B$12)</f>
        <v/>
      </c>
      <c r="R349">
        <f>IF(Q349="","",1+COUNTIFS($Q$31:$Q$1030,"&gt;"&amp;Q349)+COUNTIFS($Q$31:Q349,Q349)-1)</f>
        <v/>
      </c>
    </row>
    <row r="350" hidden="1" ht="16.5" customHeight="1">
      <c r="A350">
        <f>IF(COUNTA('05_KAIS'!$A338:$N338)=0,"",323)</f>
        <v/>
      </c>
      <c r="B350">
        <f>IF($A350="","",TRIM(INDEX('05_KAIS'!$B:$B,$A350)&amp;" "&amp;INDEX('05_KAIS'!$C:$C,$A350)))</f>
        <v/>
      </c>
      <c r="C350">
        <f>IF($A350="","",INDEX('05_KAIS'!$D:$D,$A350))</f>
        <v/>
      </c>
      <c r="D350">
        <f>IF($A350="","",INDEX('05_KAIS'!$H:$H,$A350))</f>
        <v/>
      </c>
      <c r="E350">
        <f>IF($A350="","",INDEX('05_KAIS'!$K:$K,$A350))</f>
        <v/>
      </c>
      <c r="F350" s="202">
        <f>IF($A350="","",INDEX('05_KAIS'!$I:$I,$A350))</f>
        <v/>
      </c>
      <c r="G350" s="118">
        <f>IF($A350="","",INDEX('05_KAIS'!$L:$L,$A350))</f>
        <v/>
      </c>
      <c r="H350" s="118">
        <f>IF($A350="","",IFERROR(INDEX('05_KAIS'!$M:$M,$A350),IF(AND(E350&gt;0,G350&gt;0),G350/E350,"")))</f>
        <v/>
      </c>
      <c r="I350" s="202">
        <f>IF($A350="","",INDEX('05_KAIS'!$N:$N,$A350))</f>
        <v/>
      </c>
      <c r="J350">
        <f>IF(B350="","",IF('02_대상물건입력'!$B$5="",1,IF(ISNUMBER(SEARCH('02_대상물건입력'!$B$5,B350)),1,0)))</f>
        <v/>
      </c>
      <c r="K350">
        <f>IF(B350="","",IF('02_대상물건입력'!$B$6="",1,IF(ISNUMBER(SEARCH('02_대상물건입력'!$B$6,B350)),1,0)))</f>
        <v/>
      </c>
      <c r="L350">
        <f>IF(D350="","",IF('02_대상물건입력'!$B$8="",0,IF(ISNUMBER(SEARCH('02_대상물건입력'!$B$8,D350)),1,0)))</f>
        <v/>
      </c>
      <c r="M350">
        <f>IFERROR(ABS(E350-'02_대상물건입력'!$B$11)/'02_대상물건입력'!$B$11,"")</f>
        <v/>
      </c>
      <c r="N350">
        <f>IFERROR(ABS('01_설정'!$B$4-F350),"")</f>
        <v/>
      </c>
      <c r="O350">
        <f>IFERROR(ABS(YEAR(I350)-YEAR('02_대상물건입력'!$B$14)),"")</f>
        <v/>
      </c>
      <c r="P350">
        <f>IF(AND(E350&gt;0,F350&gt;0,G350&gt;0,IF('01_설정'!$B$10=1,J350=1,TRUE()),M350&lt;='01_설정'!$B$5,N350&lt;='01_설정'!$B$7,O350&lt;='01_설정'!$B$8),"Y","")</f>
        <v/>
      </c>
      <c r="Q350">
        <f>IF(P350&lt;&gt;"Y","",MAX(0,(1-M350/'01_설정'!$B$5))*'01_설정'!$B$14+MAX(0,(1-N350/'01_설정'!$B$7))*'01_설정'!$B$16+MAX(0,(1-O350/'01_설정'!$B$8))*'01_설정'!$B$17+K350*'01_설정'!$B$11+L350*'01_설정'!$B$12)</f>
        <v/>
      </c>
      <c r="R350">
        <f>IF(Q350="","",1+COUNTIFS($Q$31:$Q$1030,"&gt;"&amp;Q350)+COUNTIFS($Q$31:Q350,Q350)-1)</f>
        <v/>
      </c>
    </row>
    <row r="351" hidden="1" ht="16.5" customHeight="1">
      <c r="A351">
        <f>IF(COUNTA('05_KAIS'!$A339:$N339)=0,"",324)</f>
        <v/>
      </c>
      <c r="B351">
        <f>IF($A351="","",TRIM(INDEX('05_KAIS'!$B:$B,$A351)&amp;" "&amp;INDEX('05_KAIS'!$C:$C,$A351)))</f>
        <v/>
      </c>
      <c r="C351">
        <f>IF($A351="","",INDEX('05_KAIS'!$D:$D,$A351))</f>
        <v/>
      </c>
      <c r="D351">
        <f>IF($A351="","",INDEX('05_KAIS'!$H:$H,$A351))</f>
        <v/>
      </c>
      <c r="E351">
        <f>IF($A351="","",INDEX('05_KAIS'!$K:$K,$A351))</f>
        <v/>
      </c>
      <c r="F351" s="202">
        <f>IF($A351="","",INDEX('05_KAIS'!$I:$I,$A351))</f>
        <v/>
      </c>
      <c r="G351" s="118">
        <f>IF($A351="","",INDEX('05_KAIS'!$L:$L,$A351))</f>
        <v/>
      </c>
      <c r="H351" s="118">
        <f>IF($A351="","",IFERROR(INDEX('05_KAIS'!$M:$M,$A351),IF(AND(E351&gt;0,G351&gt;0),G351/E351,"")))</f>
        <v/>
      </c>
      <c r="I351" s="202">
        <f>IF($A351="","",INDEX('05_KAIS'!$N:$N,$A351))</f>
        <v/>
      </c>
      <c r="J351">
        <f>IF(B351="","",IF('02_대상물건입력'!$B$5="",1,IF(ISNUMBER(SEARCH('02_대상물건입력'!$B$5,B351)),1,0)))</f>
        <v/>
      </c>
      <c r="K351">
        <f>IF(B351="","",IF('02_대상물건입력'!$B$6="",1,IF(ISNUMBER(SEARCH('02_대상물건입력'!$B$6,B351)),1,0)))</f>
        <v/>
      </c>
      <c r="L351">
        <f>IF(D351="","",IF('02_대상물건입력'!$B$8="",0,IF(ISNUMBER(SEARCH('02_대상물건입력'!$B$8,D351)),1,0)))</f>
        <v/>
      </c>
      <c r="M351">
        <f>IFERROR(ABS(E351-'02_대상물건입력'!$B$11)/'02_대상물건입력'!$B$11,"")</f>
        <v/>
      </c>
      <c r="N351">
        <f>IFERROR(ABS('01_설정'!$B$4-F351),"")</f>
        <v/>
      </c>
      <c r="O351">
        <f>IFERROR(ABS(YEAR(I351)-YEAR('02_대상물건입력'!$B$14)),"")</f>
        <v/>
      </c>
      <c r="P351">
        <f>IF(AND(E351&gt;0,F351&gt;0,G351&gt;0,IF('01_설정'!$B$10=1,J351=1,TRUE()),M351&lt;='01_설정'!$B$5,N351&lt;='01_설정'!$B$7,O351&lt;='01_설정'!$B$8),"Y","")</f>
        <v/>
      </c>
      <c r="Q351">
        <f>IF(P351&lt;&gt;"Y","",MAX(0,(1-M351/'01_설정'!$B$5))*'01_설정'!$B$14+MAX(0,(1-N351/'01_설정'!$B$7))*'01_설정'!$B$16+MAX(0,(1-O351/'01_설정'!$B$8))*'01_설정'!$B$17+K351*'01_설정'!$B$11+L351*'01_설정'!$B$12)</f>
        <v/>
      </c>
      <c r="R351">
        <f>IF(Q351="","",1+COUNTIFS($Q$31:$Q$1030,"&gt;"&amp;Q351)+COUNTIFS($Q$31:Q351,Q351)-1)</f>
        <v/>
      </c>
    </row>
    <row r="352" hidden="1" ht="16.5" customHeight="1">
      <c r="A352">
        <f>IF(COUNTA('05_KAIS'!$A340:$N340)=0,"",325)</f>
        <v/>
      </c>
      <c r="B352">
        <f>IF($A352="","",TRIM(INDEX('05_KAIS'!$B:$B,$A352)&amp;" "&amp;INDEX('05_KAIS'!$C:$C,$A352)))</f>
        <v/>
      </c>
      <c r="C352">
        <f>IF($A352="","",INDEX('05_KAIS'!$D:$D,$A352))</f>
        <v/>
      </c>
      <c r="D352">
        <f>IF($A352="","",INDEX('05_KAIS'!$H:$H,$A352))</f>
        <v/>
      </c>
      <c r="E352">
        <f>IF($A352="","",INDEX('05_KAIS'!$K:$K,$A352))</f>
        <v/>
      </c>
      <c r="F352" s="202">
        <f>IF($A352="","",INDEX('05_KAIS'!$I:$I,$A352))</f>
        <v/>
      </c>
      <c r="G352" s="118">
        <f>IF($A352="","",INDEX('05_KAIS'!$L:$L,$A352))</f>
        <v/>
      </c>
      <c r="H352" s="118">
        <f>IF($A352="","",IFERROR(INDEX('05_KAIS'!$M:$M,$A352),IF(AND(E352&gt;0,G352&gt;0),G352/E352,"")))</f>
        <v/>
      </c>
      <c r="I352" s="202">
        <f>IF($A352="","",INDEX('05_KAIS'!$N:$N,$A352))</f>
        <v/>
      </c>
      <c r="J352">
        <f>IF(B352="","",IF('02_대상물건입력'!$B$5="",1,IF(ISNUMBER(SEARCH('02_대상물건입력'!$B$5,B352)),1,0)))</f>
        <v/>
      </c>
      <c r="K352">
        <f>IF(B352="","",IF('02_대상물건입력'!$B$6="",1,IF(ISNUMBER(SEARCH('02_대상물건입력'!$B$6,B352)),1,0)))</f>
        <v/>
      </c>
      <c r="L352">
        <f>IF(D352="","",IF('02_대상물건입력'!$B$8="",0,IF(ISNUMBER(SEARCH('02_대상물건입력'!$B$8,D352)),1,0)))</f>
        <v/>
      </c>
      <c r="M352">
        <f>IFERROR(ABS(E352-'02_대상물건입력'!$B$11)/'02_대상물건입력'!$B$11,"")</f>
        <v/>
      </c>
      <c r="N352">
        <f>IFERROR(ABS('01_설정'!$B$4-F352),"")</f>
        <v/>
      </c>
      <c r="O352">
        <f>IFERROR(ABS(YEAR(I352)-YEAR('02_대상물건입력'!$B$14)),"")</f>
        <v/>
      </c>
      <c r="P352">
        <f>IF(AND(E352&gt;0,F352&gt;0,G352&gt;0,IF('01_설정'!$B$10=1,J352=1,TRUE()),M352&lt;='01_설정'!$B$5,N352&lt;='01_설정'!$B$7,O352&lt;='01_설정'!$B$8),"Y","")</f>
        <v/>
      </c>
      <c r="Q352">
        <f>IF(P352&lt;&gt;"Y","",MAX(0,(1-M352/'01_설정'!$B$5))*'01_설정'!$B$14+MAX(0,(1-N352/'01_설정'!$B$7))*'01_설정'!$B$16+MAX(0,(1-O352/'01_설정'!$B$8))*'01_설정'!$B$17+K352*'01_설정'!$B$11+L352*'01_설정'!$B$12)</f>
        <v/>
      </c>
      <c r="R352">
        <f>IF(Q352="","",1+COUNTIFS($Q$31:$Q$1030,"&gt;"&amp;Q352)+COUNTIFS($Q$31:Q352,Q352)-1)</f>
        <v/>
      </c>
    </row>
    <row r="353" hidden="1" ht="16.5" customHeight="1">
      <c r="A353">
        <f>IF(COUNTA('05_KAIS'!$A341:$N341)=0,"",326)</f>
        <v/>
      </c>
      <c r="B353">
        <f>IF($A353="","",TRIM(INDEX('05_KAIS'!$B:$B,$A353)&amp;" "&amp;INDEX('05_KAIS'!$C:$C,$A353)))</f>
        <v/>
      </c>
      <c r="C353">
        <f>IF($A353="","",INDEX('05_KAIS'!$D:$D,$A353))</f>
        <v/>
      </c>
      <c r="D353">
        <f>IF($A353="","",INDEX('05_KAIS'!$H:$H,$A353))</f>
        <v/>
      </c>
      <c r="E353">
        <f>IF($A353="","",INDEX('05_KAIS'!$K:$K,$A353))</f>
        <v/>
      </c>
      <c r="F353" s="202">
        <f>IF($A353="","",INDEX('05_KAIS'!$I:$I,$A353))</f>
        <v/>
      </c>
      <c r="G353" s="118">
        <f>IF($A353="","",INDEX('05_KAIS'!$L:$L,$A353))</f>
        <v/>
      </c>
      <c r="H353" s="118">
        <f>IF($A353="","",IFERROR(INDEX('05_KAIS'!$M:$M,$A353),IF(AND(E353&gt;0,G353&gt;0),G353/E353,"")))</f>
        <v/>
      </c>
      <c r="I353" s="202">
        <f>IF($A353="","",INDEX('05_KAIS'!$N:$N,$A353))</f>
        <v/>
      </c>
      <c r="J353">
        <f>IF(B353="","",IF('02_대상물건입력'!$B$5="",1,IF(ISNUMBER(SEARCH('02_대상물건입력'!$B$5,B353)),1,0)))</f>
        <v/>
      </c>
      <c r="K353">
        <f>IF(B353="","",IF('02_대상물건입력'!$B$6="",1,IF(ISNUMBER(SEARCH('02_대상물건입력'!$B$6,B353)),1,0)))</f>
        <v/>
      </c>
      <c r="L353">
        <f>IF(D353="","",IF('02_대상물건입력'!$B$8="",0,IF(ISNUMBER(SEARCH('02_대상물건입력'!$B$8,D353)),1,0)))</f>
        <v/>
      </c>
      <c r="M353">
        <f>IFERROR(ABS(E353-'02_대상물건입력'!$B$11)/'02_대상물건입력'!$B$11,"")</f>
        <v/>
      </c>
      <c r="N353">
        <f>IFERROR(ABS('01_설정'!$B$4-F353),"")</f>
        <v/>
      </c>
      <c r="O353">
        <f>IFERROR(ABS(YEAR(I353)-YEAR('02_대상물건입력'!$B$14)),"")</f>
        <v/>
      </c>
      <c r="P353">
        <f>IF(AND(E353&gt;0,F353&gt;0,G353&gt;0,IF('01_설정'!$B$10=1,J353=1,TRUE()),M353&lt;='01_설정'!$B$5,N353&lt;='01_설정'!$B$7,O353&lt;='01_설정'!$B$8),"Y","")</f>
        <v/>
      </c>
      <c r="Q353">
        <f>IF(P353&lt;&gt;"Y","",MAX(0,(1-M353/'01_설정'!$B$5))*'01_설정'!$B$14+MAX(0,(1-N353/'01_설정'!$B$7))*'01_설정'!$B$16+MAX(0,(1-O353/'01_설정'!$B$8))*'01_설정'!$B$17+K353*'01_설정'!$B$11+L353*'01_설정'!$B$12)</f>
        <v/>
      </c>
      <c r="R353">
        <f>IF(Q353="","",1+COUNTIFS($Q$31:$Q$1030,"&gt;"&amp;Q353)+COUNTIFS($Q$31:Q353,Q353)-1)</f>
        <v/>
      </c>
    </row>
    <row r="354" hidden="1" ht="16.5" customHeight="1">
      <c r="A354">
        <f>IF(COUNTA('05_KAIS'!$A342:$N342)=0,"",327)</f>
        <v/>
      </c>
      <c r="B354">
        <f>IF($A354="","",TRIM(INDEX('05_KAIS'!$B:$B,$A354)&amp;" "&amp;INDEX('05_KAIS'!$C:$C,$A354)))</f>
        <v/>
      </c>
      <c r="C354">
        <f>IF($A354="","",INDEX('05_KAIS'!$D:$D,$A354))</f>
        <v/>
      </c>
      <c r="D354">
        <f>IF($A354="","",INDEX('05_KAIS'!$H:$H,$A354))</f>
        <v/>
      </c>
      <c r="E354">
        <f>IF($A354="","",INDEX('05_KAIS'!$K:$K,$A354))</f>
        <v/>
      </c>
      <c r="F354" s="202">
        <f>IF($A354="","",INDEX('05_KAIS'!$I:$I,$A354))</f>
        <v/>
      </c>
      <c r="G354" s="118">
        <f>IF($A354="","",INDEX('05_KAIS'!$L:$L,$A354))</f>
        <v/>
      </c>
      <c r="H354" s="118">
        <f>IF($A354="","",IFERROR(INDEX('05_KAIS'!$M:$M,$A354),IF(AND(E354&gt;0,G354&gt;0),G354/E354,"")))</f>
        <v/>
      </c>
      <c r="I354" s="202">
        <f>IF($A354="","",INDEX('05_KAIS'!$N:$N,$A354))</f>
        <v/>
      </c>
      <c r="J354">
        <f>IF(B354="","",IF('02_대상물건입력'!$B$5="",1,IF(ISNUMBER(SEARCH('02_대상물건입력'!$B$5,B354)),1,0)))</f>
        <v/>
      </c>
      <c r="K354">
        <f>IF(B354="","",IF('02_대상물건입력'!$B$6="",1,IF(ISNUMBER(SEARCH('02_대상물건입력'!$B$6,B354)),1,0)))</f>
        <v/>
      </c>
      <c r="L354">
        <f>IF(D354="","",IF('02_대상물건입력'!$B$8="",0,IF(ISNUMBER(SEARCH('02_대상물건입력'!$B$8,D354)),1,0)))</f>
        <v/>
      </c>
      <c r="M354">
        <f>IFERROR(ABS(E354-'02_대상물건입력'!$B$11)/'02_대상물건입력'!$B$11,"")</f>
        <v/>
      </c>
      <c r="N354">
        <f>IFERROR(ABS('01_설정'!$B$4-F354),"")</f>
        <v/>
      </c>
      <c r="O354">
        <f>IFERROR(ABS(YEAR(I354)-YEAR('02_대상물건입력'!$B$14)),"")</f>
        <v/>
      </c>
      <c r="P354">
        <f>IF(AND(E354&gt;0,F354&gt;0,G354&gt;0,IF('01_설정'!$B$10=1,J354=1,TRUE()),M354&lt;='01_설정'!$B$5,N354&lt;='01_설정'!$B$7,O354&lt;='01_설정'!$B$8),"Y","")</f>
        <v/>
      </c>
      <c r="Q354">
        <f>IF(P354&lt;&gt;"Y","",MAX(0,(1-M354/'01_설정'!$B$5))*'01_설정'!$B$14+MAX(0,(1-N354/'01_설정'!$B$7))*'01_설정'!$B$16+MAX(0,(1-O354/'01_설정'!$B$8))*'01_설정'!$B$17+K354*'01_설정'!$B$11+L354*'01_설정'!$B$12)</f>
        <v/>
      </c>
      <c r="R354">
        <f>IF(Q354="","",1+COUNTIFS($Q$31:$Q$1030,"&gt;"&amp;Q354)+COUNTIFS($Q$31:Q354,Q354)-1)</f>
        <v/>
      </c>
    </row>
    <row r="355" hidden="1" ht="16.5" customHeight="1">
      <c r="A355">
        <f>IF(COUNTA('05_KAIS'!$A343:$N343)=0,"",328)</f>
        <v/>
      </c>
      <c r="B355">
        <f>IF($A355="","",TRIM(INDEX('05_KAIS'!$B:$B,$A355)&amp;" "&amp;INDEX('05_KAIS'!$C:$C,$A355)))</f>
        <v/>
      </c>
      <c r="C355">
        <f>IF($A355="","",INDEX('05_KAIS'!$D:$D,$A355))</f>
        <v/>
      </c>
      <c r="D355">
        <f>IF($A355="","",INDEX('05_KAIS'!$H:$H,$A355))</f>
        <v/>
      </c>
      <c r="E355">
        <f>IF($A355="","",INDEX('05_KAIS'!$K:$K,$A355))</f>
        <v/>
      </c>
      <c r="F355" s="202">
        <f>IF($A355="","",INDEX('05_KAIS'!$I:$I,$A355))</f>
        <v/>
      </c>
      <c r="G355" s="118">
        <f>IF($A355="","",INDEX('05_KAIS'!$L:$L,$A355))</f>
        <v/>
      </c>
      <c r="H355" s="118">
        <f>IF($A355="","",IFERROR(INDEX('05_KAIS'!$M:$M,$A355),IF(AND(E355&gt;0,G355&gt;0),G355/E355,"")))</f>
        <v/>
      </c>
      <c r="I355" s="202">
        <f>IF($A355="","",INDEX('05_KAIS'!$N:$N,$A355))</f>
        <v/>
      </c>
      <c r="J355">
        <f>IF(B355="","",IF('02_대상물건입력'!$B$5="",1,IF(ISNUMBER(SEARCH('02_대상물건입력'!$B$5,B355)),1,0)))</f>
        <v/>
      </c>
      <c r="K355">
        <f>IF(B355="","",IF('02_대상물건입력'!$B$6="",1,IF(ISNUMBER(SEARCH('02_대상물건입력'!$B$6,B355)),1,0)))</f>
        <v/>
      </c>
      <c r="L355">
        <f>IF(D355="","",IF('02_대상물건입력'!$B$8="",0,IF(ISNUMBER(SEARCH('02_대상물건입력'!$B$8,D355)),1,0)))</f>
        <v/>
      </c>
      <c r="M355">
        <f>IFERROR(ABS(E355-'02_대상물건입력'!$B$11)/'02_대상물건입력'!$B$11,"")</f>
        <v/>
      </c>
      <c r="N355">
        <f>IFERROR(ABS('01_설정'!$B$4-F355),"")</f>
        <v/>
      </c>
      <c r="O355">
        <f>IFERROR(ABS(YEAR(I355)-YEAR('02_대상물건입력'!$B$14)),"")</f>
        <v/>
      </c>
      <c r="P355">
        <f>IF(AND(E355&gt;0,F355&gt;0,G355&gt;0,IF('01_설정'!$B$10=1,J355=1,TRUE()),M355&lt;='01_설정'!$B$5,N355&lt;='01_설정'!$B$7,O355&lt;='01_설정'!$B$8),"Y","")</f>
        <v/>
      </c>
      <c r="Q355">
        <f>IF(P355&lt;&gt;"Y","",MAX(0,(1-M355/'01_설정'!$B$5))*'01_설정'!$B$14+MAX(0,(1-N355/'01_설정'!$B$7))*'01_설정'!$B$16+MAX(0,(1-O355/'01_설정'!$B$8))*'01_설정'!$B$17+K355*'01_설정'!$B$11+L355*'01_설정'!$B$12)</f>
        <v/>
      </c>
      <c r="R355">
        <f>IF(Q355="","",1+COUNTIFS($Q$31:$Q$1030,"&gt;"&amp;Q355)+COUNTIFS($Q$31:Q355,Q355)-1)</f>
        <v/>
      </c>
    </row>
    <row r="356" hidden="1" ht="16.5" customHeight="1">
      <c r="A356">
        <f>IF(COUNTA('05_KAIS'!$A344:$N344)=0,"",329)</f>
        <v/>
      </c>
      <c r="B356">
        <f>IF($A356="","",TRIM(INDEX('05_KAIS'!$B:$B,$A356)&amp;" "&amp;INDEX('05_KAIS'!$C:$C,$A356)))</f>
        <v/>
      </c>
      <c r="C356">
        <f>IF($A356="","",INDEX('05_KAIS'!$D:$D,$A356))</f>
        <v/>
      </c>
      <c r="D356">
        <f>IF($A356="","",INDEX('05_KAIS'!$H:$H,$A356))</f>
        <v/>
      </c>
      <c r="E356">
        <f>IF($A356="","",INDEX('05_KAIS'!$K:$K,$A356))</f>
        <v/>
      </c>
      <c r="F356" s="202">
        <f>IF($A356="","",INDEX('05_KAIS'!$I:$I,$A356))</f>
        <v/>
      </c>
      <c r="G356" s="118">
        <f>IF($A356="","",INDEX('05_KAIS'!$L:$L,$A356))</f>
        <v/>
      </c>
      <c r="H356" s="118">
        <f>IF($A356="","",IFERROR(INDEX('05_KAIS'!$M:$M,$A356),IF(AND(E356&gt;0,G356&gt;0),G356/E356,"")))</f>
        <v/>
      </c>
      <c r="I356" s="202">
        <f>IF($A356="","",INDEX('05_KAIS'!$N:$N,$A356))</f>
        <v/>
      </c>
      <c r="J356">
        <f>IF(B356="","",IF('02_대상물건입력'!$B$5="",1,IF(ISNUMBER(SEARCH('02_대상물건입력'!$B$5,B356)),1,0)))</f>
        <v/>
      </c>
      <c r="K356">
        <f>IF(B356="","",IF('02_대상물건입력'!$B$6="",1,IF(ISNUMBER(SEARCH('02_대상물건입력'!$B$6,B356)),1,0)))</f>
        <v/>
      </c>
      <c r="L356">
        <f>IF(D356="","",IF('02_대상물건입력'!$B$8="",0,IF(ISNUMBER(SEARCH('02_대상물건입력'!$B$8,D356)),1,0)))</f>
        <v/>
      </c>
      <c r="M356">
        <f>IFERROR(ABS(E356-'02_대상물건입력'!$B$11)/'02_대상물건입력'!$B$11,"")</f>
        <v/>
      </c>
      <c r="N356">
        <f>IFERROR(ABS('01_설정'!$B$4-F356),"")</f>
        <v/>
      </c>
      <c r="O356">
        <f>IFERROR(ABS(YEAR(I356)-YEAR('02_대상물건입력'!$B$14)),"")</f>
        <v/>
      </c>
      <c r="P356">
        <f>IF(AND(E356&gt;0,F356&gt;0,G356&gt;0,IF('01_설정'!$B$10=1,J356=1,TRUE()),M356&lt;='01_설정'!$B$5,N356&lt;='01_설정'!$B$7,O356&lt;='01_설정'!$B$8),"Y","")</f>
        <v/>
      </c>
      <c r="Q356">
        <f>IF(P356&lt;&gt;"Y","",MAX(0,(1-M356/'01_설정'!$B$5))*'01_설정'!$B$14+MAX(0,(1-N356/'01_설정'!$B$7))*'01_설정'!$B$16+MAX(0,(1-O356/'01_설정'!$B$8))*'01_설정'!$B$17+K356*'01_설정'!$B$11+L356*'01_설정'!$B$12)</f>
        <v/>
      </c>
      <c r="R356">
        <f>IF(Q356="","",1+COUNTIFS($Q$31:$Q$1030,"&gt;"&amp;Q356)+COUNTIFS($Q$31:Q356,Q356)-1)</f>
        <v/>
      </c>
    </row>
    <row r="357" hidden="1" ht="16.5" customHeight="1">
      <c r="A357">
        <f>IF(COUNTA('05_KAIS'!$A345:$N345)=0,"",330)</f>
        <v/>
      </c>
      <c r="B357">
        <f>IF($A357="","",TRIM(INDEX('05_KAIS'!$B:$B,$A357)&amp;" "&amp;INDEX('05_KAIS'!$C:$C,$A357)))</f>
        <v/>
      </c>
      <c r="C357">
        <f>IF($A357="","",INDEX('05_KAIS'!$D:$D,$A357))</f>
        <v/>
      </c>
      <c r="D357">
        <f>IF($A357="","",INDEX('05_KAIS'!$H:$H,$A357))</f>
        <v/>
      </c>
      <c r="E357">
        <f>IF($A357="","",INDEX('05_KAIS'!$K:$K,$A357))</f>
        <v/>
      </c>
      <c r="F357" s="202">
        <f>IF($A357="","",INDEX('05_KAIS'!$I:$I,$A357))</f>
        <v/>
      </c>
      <c r="G357" s="118">
        <f>IF($A357="","",INDEX('05_KAIS'!$L:$L,$A357))</f>
        <v/>
      </c>
      <c r="H357" s="118">
        <f>IF($A357="","",IFERROR(INDEX('05_KAIS'!$M:$M,$A357),IF(AND(E357&gt;0,G357&gt;0),G357/E357,"")))</f>
        <v/>
      </c>
      <c r="I357" s="202">
        <f>IF($A357="","",INDEX('05_KAIS'!$N:$N,$A357))</f>
        <v/>
      </c>
      <c r="J357">
        <f>IF(B357="","",IF('02_대상물건입력'!$B$5="",1,IF(ISNUMBER(SEARCH('02_대상물건입력'!$B$5,B357)),1,0)))</f>
        <v/>
      </c>
      <c r="K357">
        <f>IF(B357="","",IF('02_대상물건입력'!$B$6="",1,IF(ISNUMBER(SEARCH('02_대상물건입력'!$B$6,B357)),1,0)))</f>
        <v/>
      </c>
      <c r="L357">
        <f>IF(D357="","",IF('02_대상물건입력'!$B$8="",0,IF(ISNUMBER(SEARCH('02_대상물건입력'!$B$8,D357)),1,0)))</f>
        <v/>
      </c>
      <c r="M357">
        <f>IFERROR(ABS(E357-'02_대상물건입력'!$B$11)/'02_대상물건입력'!$B$11,"")</f>
        <v/>
      </c>
      <c r="N357">
        <f>IFERROR(ABS('01_설정'!$B$4-F357),"")</f>
        <v/>
      </c>
      <c r="O357">
        <f>IFERROR(ABS(YEAR(I357)-YEAR('02_대상물건입력'!$B$14)),"")</f>
        <v/>
      </c>
      <c r="P357">
        <f>IF(AND(E357&gt;0,F357&gt;0,G357&gt;0,IF('01_설정'!$B$10=1,J357=1,TRUE()),M357&lt;='01_설정'!$B$5,N357&lt;='01_설정'!$B$7,O357&lt;='01_설정'!$B$8),"Y","")</f>
        <v/>
      </c>
      <c r="Q357">
        <f>IF(P357&lt;&gt;"Y","",MAX(0,(1-M357/'01_설정'!$B$5))*'01_설정'!$B$14+MAX(0,(1-N357/'01_설정'!$B$7))*'01_설정'!$B$16+MAX(0,(1-O357/'01_설정'!$B$8))*'01_설정'!$B$17+K357*'01_설정'!$B$11+L357*'01_설정'!$B$12)</f>
        <v/>
      </c>
      <c r="R357">
        <f>IF(Q357="","",1+COUNTIFS($Q$31:$Q$1030,"&gt;"&amp;Q357)+COUNTIFS($Q$31:Q357,Q357)-1)</f>
        <v/>
      </c>
    </row>
    <row r="358" hidden="1" ht="16.5" customHeight="1">
      <c r="A358">
        <f>IF(COUNTA('05_KAIS'!$A346:$N346)=0,"",331)</f>
        <v/>
      </c>
      <c r="B358">
        <f>IF($A358="","",TRIM(INDEX('05_KAIS'!$B:$B,$A358)&amp;" "&amp;INDEX('05_KAIS'!$C:$C,$A358)))</f>
        <v/>
      </c>
      <c r="C358">
        <f>IF($A358="","",INDEX('05_KAIS'!$D:$D,$A358))</f>
        <v/>
      </c>
      <c r="D358">
        <f>IF($A358="","",INDEX('05_KAIS'!$H:$H,$A358))</f>
        <v/>
      </c>
      <c r="E358">
        <f>IF($A358="","",INDEX('05_KAIS'!$K:$K,$A358))</f>
        <v/>
      </c>
      <c r="F358" s="202">
        <f>IF($A358="","",INDEX('05_KAIS'!$I:$I,$A358))</f>
        <v/>
      </c>
      <c r="G358" s="118">
        <f>IF($A358="","",INDEX('05_KAIS'!$L:$L,$A358))</f>
        <v/>
      </c>
      <c r="H358" s="118">
        <f>IF($A358="","",IFERROR(INDEX('05_KAIS'!$M:$M,$A358),IF(AND(E358&gt;0,G358&gt;0),G358/E358,"")))</f>
        <v/>
      </c>
      <c r="I358" s="202">
        <f>IF($A358="","",INDEX('05_KAIS'!$N:$N,$A358))</f>
        <v/>
      </c>
      <c r="J358">
        <f>IF(B358="","",IF('02_대상물건입력'!$B$5="",1,IF(ISNUMBER(SEARCH('02_대상물건입력'!$B$5,B358)),1,0)))</f>
        <v/>
      </c>
      <c r="K358">
        <f>IF(B358="","",IF('02_대상물건입력'!$B$6="",1,IF(ISNUMBER(SEARCH('02_대상물건입력'!$B$6,B358)),1,0)))</f>
        <v/>
      </c>
      <c r="L358">
        <f>IF(D358="","",IF('02_대상물건입력'!$B$8="",0,IF(ISNUMBER(SEARCH('02_대상물건입력'!$B$8,D358)),1,0)))</f>
        <v/>
      </c>
      <c r="M358">
        <f>IFERROR(ABS(E358-'02_대상물건입력'!$B$11)/'02_대상물건입력'!$B$11,"")</f>
        <v/>
      </c>
      <c r="N358">
        <f>IFERROR(ABS('01_설정'!$B$4-F358),"")</f>
        <v/>
      </c>
      <c r="O358">
        <f>IFERROR(ABS(YEAR(I358)-YEAR('02_대상물건입력'!$B$14)),"")</f>
        <v/>
      </c>
      <c r="P358">
        <f>IF(AND(E358&gt;0,F358&gt;0,G358&gt;0,IF('01_설정'!$B$10=1,J358=1,TRUE()),M358&lt;='01_설정'!$B$5,N358&lt;='01_설정'!$B$7,O358&lt;='01_설정'!$B$8),"Y","")</f>
        <v/>
      </c>
      <c r="Q358">
        <f>IF(P358&lt;&gt;"Y","",MAX(0,(1-M358/'01_설정'!$B$5))*'01_설정'!$B$14+MAX(0,(1-N358/'01_설정'!$B$7))*'01_설정'!$B$16+MAX(0,(1-O358/'01_설정'!$B$8))*'01_설정'!$B$17+K358*'01_설정'!$B$11+L358*'01_설정'!$B$12)</f>
        <v/>
      </c>
      <c r="R358">
        <f>IF(Q358="","",1+COUNTIFS($Q$31:$Q$1030,"&gt;"&amp;Q358)+COUNTIFS($Q$31:Q358,Q358)-1)</f>
        <v/>
      </c>
    </row>
    <row r="359" hidden="1" ht="16.5" customHeight="1">
      <c r="A359">
        <f>IF(COUNTA('05_KAIS'!$A347:$N347)=0,"",332)</f>
        <v/>
      </c>
      <c r="B359">
        <f>IF($A359="","",TRIM(INDEX('05_KAIS'!$B:$B,$A359)&amp;" "&amp;INDEX('05_KAIS'!$C:$C,$A359)))</f>
        <v/>
      </c>
      <c r="C359">
        <f>IF($A359="","",INDEX('05_KAIS'!$D:$D,$A359))</f>
        <v/>
      </c>
      <c r="D359">
        <f>IF($A359="","",INDEX('05_KAIS'!$H:$H,$A359))</f>
        <v/>
      </c>
      <c r="E359">
        <f>IF($A359="","",INDEX('05_KAIS'!$K:$K,$A359))</f>
        <v/>
      </c>
      <c r="F359" s="202">
        <f>IF($A359="","",INDEX('05_KAIS'!$I:$I,$A359))</f>
        <v/>
      </c>
      <c r="G359" s="118">
        <f>IF($A359="","",INDEX('05_KAIS'!$L:$L,$A359))</f>
        <v/>
      </c>
      <c r="H359" s="118">
        <f>IF($A359="","",IFERROR(INDEX('05_KAIS'!$M:$M,$A359),IF(AND(E359&gt;0,G359&gt;0),G359/E359,"")))</f>
        <v/>
      </c>
      <c r="I359" s="202">
        <f>IF($A359="","",INDEX('05_KAIS'!$N:$N,$A359))</f>
        <v/>
      </c>
      <c r="J359">
        <f>IF(B359="","",IF('02_대상물건입력'!$B$5="",1,IF(ISNUMBER(SEARCH('02_대상물건입력'!$B$5,B359)),1,0)))</f>
        <v/>
      </c>
      <c r="K359">
        <f>IF(B359="","",IF('02_대상물건입력'!$B$6="",1,IF(ISNUMBER(SEARCH('02_대상물건입력'!$B$6,B359)),1,0)))</f>
        <v/>
      </c>
      <c r="L359">
        <f>IF(D359="","",IF('02_대상물건입력'!$B$8="",0,IF(ISNUMBER(SEARCH('02_대상물건입력'!$B$8,D359)),1,0)))</f>
        <v/>
      </c>
      <c r="M359">
        <f>IFERROR(ABS(E359-'02_대상물건입력'!$B$11)/'02_대상물건입력'!$B$11,"")</f>
        <v/>
      </c>
      <c r="N359">
        <f>IFERROR(ABS('01_설정'!$B$4-F359),"")</f>
        <v/>
      </c>
      <c r="O359">
        <f>IFERROR(ABS(YEAR(I359)-YEAR('02_대상물건입력'!$B$14)),"")</f>
        <v/>
      </c>
      <c r="P359">
        <f>IF(AND(E359&gt;0,F359&gt;0,G359&gt;0,IF('01_설정'!$B$10=1,J359=1,TRUE()),M359&lt;='01_설정'!$B$5,N359&lt;='01_설정'!$B$7,O359&lt;='01_설정'!$B$8),"Y","")</f>
        <v/>
      </c>
      <c r="Q359">
        <f>IF(P359&lt;&gt;"Y","",MAX(0,(1-M359/'01_설정'!$B$5))*'01_설정'!$B$14+MAX(0,(1-N359/'01_설정'!$B$7))*'01_설정'!$B$16+MAX(0,(1-O359/'01_설정'!$B$8))*'01_설정'!$B$17+K359*'01_설정'!$B$11+L359*'01_설정'!$B$12)</f>
        <v/>
      </c>
      <c r="R359">
        <f>IF(Q359="","",1+COUNTIFS($Q$31:$Q$1030,"&gt;"&amp;Q359)+COUNTIFS($Q$31:Q359,Q359)-1)</f>
        <v/>
      </c>
    </row>
    <row r="360" hidden="1" ht="16.5" customHeight="1">
      <c r="A360">
        <f>IF(COUNTA('05_KAIS'!$A348:$N348)=0,"",333)</f>
        <v/>
      </c>
      <c r="B360">
        <f>IF($A360="","",TRIM(INDEX('05_KAIS'!$B:$B,$A360)&amp;" "&amp;INDEX('05_KAIS'!$C:$C,$A360)))</f>
        <v/>
      </c>
      <c r="C360">
        <f>IF($A360="","",INDEX('05_KAIS'!$D:$D,$A360))</f>
        <v/>
      </c>
      <c r="D360">
        <f>IF($A360="","",INDEX('05_KAIS'!$H:$H,$A360))</f>
        <v/>
      </c>
      <c r="E360">
        <f>IF($A360="","",INDEX('05_KAIS'!$K:$K,$A360))</f>
        <v/>
      </c>
      <c r="F360" s="202">
        <f>IF($A360="","",INDEX('05_KAIS'!$I:$I,$A360))</f>
        <v/>
      </c>
      <c r="G360" s="118">
        <f>IF($A360="","",INDEX('05_KAIS'!$L:$L,$A360))</f>
        <v/>
      </c>
      <c r="H360" s="118">
        <f>IF($A360="","",IFERROR(INDEX('05_KAIS'!$M:$M,$A360),IF(AND(E360&gt;0,G360&gt;0),G360/E360,"")))</f>
        <v/>
      </c>
      <c r="I360" s="202">
        <f>IF($A360="","",INDEX('05_KAIS'!$N:$N,$A360))</f>
        <v/>
      </c>
      <c r="J360">
        <f>IF(B360="","",IF('02_대상물건입력'!$B$5="",1,IF(ISNUMBER(SEARCH('02_대상물건입력'!$B$5,B360)),1,0)))</f>
        <v/>
      </c>
      <c r="K360">
        <f>IF(B360="","",IF('02_대상물건입력'!$B$6="",1,IF(ISNUMBER(SEARCH('02_대상물건입력'!$B$6,B360)),1,0)))</f>
        <v/>
      </c>
      <c r="L360">
        <f>IF(D360="","",IF('02_대상물건입력'!$B$8="",0,IF(ISNUMBER(SEARCH('02_대상물건입력'!$B$8,D360)),1,0)))</f>
        <v/>
      </c>
      <c r="M360">
        <f>IFERROR(ABS(E360-'02_대상물건입력'!$B$11)/'02_대상물건입력'!$B$11,"")</f>
        <v/>
      </c>
      <c r="N360">
        <f>IFERROR(ABS('01_설정'!$B$4-F360),"")</f>
        <v/>
      </c>
      <c r="O360">
        <f>IFERROR(ABS(YEAR(I360)-YEAR('02_대상물건입력'!$B$14)),"")</f>
        <v/>
      </c>
      <c r="P360">
        <f>IF(AND(E360&gt;0,F360&gt;0,G360&gt;0,IF('01_설정'!$B$10=1,J360=1,TRUE()),M360&lt;='01_설정'!$B$5,N360&lt;='01_설정'!$B$7,O360&lt;='01_설정'!$B$8),"Y","")</f>
        <v/>
      </c>
      <c r="Q360">
        <f>IF(P360&lt;&gt;"Y","",MAX(0,(1-M360/'01_설정'!$B$5))*'01_설정'!$B$14+MAX(0,(1-N360/'01_설정'!$B$7))*'01_설정'!$B$16+MAX(0,(1-O360/'01_설정'!$B$8))*'01_설정'!$B$17+K360*'01_설정'!$B$11+L360*'01_설정'!$B$12)</f>
        <v/>
      </c>
      <c r="R360">
        <f>IF(Q360="","",1+COUNTIFS($Q$31:$Q$1030,"&gt;"&amp;Q360)+COUNTIFS($Q$31:Q360,Q360)-1)</f>
        <v/>
      </c>
    </row>
    <row r="361" hidden="1" ht="16.5" customHeight="1">
      <c r="A361">
        <f>IF(COUNTA('05_KAIS'!$A349:$N349)=0,"",334)</f>
        <v/>
      </c>
      <c r="B361">
        <f>IF($A361="","",TRIM(INDEX('05_KAIS'!$B:$B,$A361)&amp;" "&amp;INDEX('05_KAIS'!$C:$C,$A361)))</f>
        <v/>
      </c>
      <c r="C361">
        <f>IF($A361="","",INDEX('05_KAIS'!$D:$D,$A361))</f>
        <v/>
      </c>
      <c r="D361">
        <f>IF($A361="","",INDEX('05_KAIS'!$H:$H,$A361))</f>
        <v/>
      </c>
      <c r="E361">
        <f>IF($A361="","",INDEX('05_KAIS'!$K:$K,$A361))</f>
        <v/>
      </c>
      <c r="F361" s="202">
        <f>IF($A361="","",INDEX('05_KAIS'!$I:$I,$A361))</f>
        <v/>
      </c>
      <c r="G361" s="118">
        <f>IF($A361="","",INDEX('05_KAIS'!$L:$L,$A361))</f>
        <v/>
      </c>
      <c r="H361" s="118">
        <f>IF($A361="","",IFERROR(INDEX('05_KAIS'!$M:$M,$A361),IF(AND(E361&gt;0,G361&gt;0),G361/E361,"")))</f>
        <v/>
      </c>
      <c r="I361" s="202">
        <f>IF($A361="","",INDEX('05_KAIS'!$N:$N,$A361))</f>
        <v/>
      </c>
      <c r="J361">
        <f>IF(B361="","",IF('02_대상물건입력'!$B$5="",1,IF(ISNUMBER(SEARCH('02_대상물건입력'!$B$5,B361)),1,0)))</f>
        <v/>
      </c>
      <c r="K361">
        <f>IF(B361="","",IF('02_대상물건입력'!$B$6="",1,IF(ISNUMBER(SEARCH('02_대상물건입력'!$B$6,B361)),1,0)))</f>
        <v/>
      </c>
      <c r="L361">
        <f>IF(D361="","",IF('02_대상물건입력'!$B$8="",0,IF(ISNUMBER(SEARCH('02_대상물건입력'!$B$8,D361)),1,0)))</f>
        <v/>
      </c>
      <c r="M361">
        <f>IFERROR(ABS(E361-'02_대상물건입력'!$B$11)/'02_대상물건입력'!$B$11,"")</f>
        <v/>
      </c>
      <c r="N361">
        <f>IFERROR(ABS('01_설정'!$B$4-F361),"")</f>
        <v/>
      </c>
      <c r="O361">
        <f>IFERROR(ABS(YEAR(I361)-YEAR('02_대상물건입력'!$B$14)),"")</f>
        <v/>
      </c>
      <c r="P361">
        <f>IF(AND(E361&gt;0,F361&gt;0,G361&gt;0,IF('01_설정'!$B$10=1,J361=1,TRUE()),M361&lt;='01_설정'!$B$5,N361&lt;='01_설정'!$B$7,O361&lt;='01_설정'!$B$8),"Y","")</f>
        <v/>
      </c>
      <c r="Q361">
        <f>IF(P361&lt;&gt;"Y","",MAX(0,(1-M361/'01_설정'!$B$5))*'01_설정'!$B$14+MAX(0,(1-N361/'01_설정'!$B$7))*'01_설정'!$B$16+MAX(0,(1-O361/'01_설정'!$B$8))*'01_설정'!$B$17+K361*'01_설정'!$B$11+L361*'01_설정'!$B$12)</f>
        <v/>
      </c>
      <c r="R361">
        <f>IF(Q361="","",1+COUNTIFS($Q$31:$Q$1030,"&gt;"&amp;Q361)+COUNTIFS($Q$31:Q361,Q361)-1)</f>
        <v/>
      </c>
    </row>
    <row r="362" hidden="1" ht="16.5" customHeight="1">
      <c r="A362">
        <f>IF(COUNTA('05_KAIS'!$A350:$N350)=0,"",335)</f>
        <v/>
      </c>
      <c r="B362">
        <f>IF($A362="","",TRIM(INDEX('05_KAIS'!$B:$B,$A362)&amp;" "&amp;INDEX('05_KAIS'!$C:$C,$A362)))</f>
        <v/>
      </c>
      <c r="C362">
        <f>IF($A362="","",INDEX('05_KAIS'!$D:$D,$A362))</f>
        <v/>
      </c>
      <c r="D362">
        <f>IF($A362="","",INDEX('05_KAIS'!$H:$H,$A362))</f>
        <v/>
      </c>
      <c r="E362">
        <f>IF($A362="","",INDEX('05_KAIS'!$K:$K,$A362))</f>
        <v/>
      </c>
      <c r="F362" s="202">
        <f>IF($A362="","",INDEX('05_KAIS'!$I:$I,$A362))</f>
        <v/>
      </c>
      <c r="G362" s="118">
        <f>IF($A362="","",INDEX('05_KAIS'!$L:$L,$A362))</f>
        <v/>
      </c>
      <c r="H362" s="118">
        <f>IF($A362="","",IFERROR(INDEX('05_KAIS'!$M:$M,$A362),IF(AND(E362&gt;0,G362&gt;0),G362/E362,"")))</f>
        <v/>
      </c>
      <c r="I362" s="202">
        <f>IF($A362="","",INDEX('05_KAIS'!$N:$N,$A362))</f>
        <v/>
      </c>
      <c r="J362">
        <f>IF(B362="","",IF('02_대상물건입력'!$B$5="",1,IF(ISNUMBER(SEARCH('02_대상물건입력'!$B$5,B362)),1,0)))</f>
        <v/>
      </c>
      <c r="K362">
        <f>IF(B362="","",IF('02_대상물건입력'!$B$6="",1,IF(ISNUMBER(SEARCH('02_대상물건입력'!$B$6,B362)),1,0)))</f>
        <v/>
      </c>
      <c r="L362">
        <f>IF(D362="","",IF('02_대상물건입력'!$B$8="",0,IF(ISNUMBER(SEARCH('02_대상물건입력'!$B$8,D362)),1,0)))</f>
        <v/>
      </c>
      <c r="M362">
        <f>IFERROR(ABS(E362-'02_대상물건입력'!$B$11)/'02_대상물건입력'!$B$11,"")</f>
        <v/>
      </c>
      <c r="N362">
        <f>IFERROR(ABS('01_설정'!$B$4-F362),"")</f>
        <v/>
      </c>
      <c r="O362">
        <f>IFERROR(ABS(YEAR(I362)-YEAR('02_대상물건입력'!$B$14)),"")</f>
        <v/>
      </c>
      <c r="P362">
        <f>IF(AND(E362&gt;0,F362&gt;0,G362&gt;0,IF('01_설정'!$B$10=1,J362=1,TRUE()),M362&lt;='01_설정'!$B$5,N362&lt;='01_설정'!$B$7,O362&lt;='01_설정'!$B$8),"Y","")</f>
        <v/>
      </c>
      <c r="Q362">
        <f>IF(P362&lt;&gt;"Y","",MAX(0,(1-M362/'01_설정'!$B$5))*'01_설정'!$B$14+MAX(0,(1-N362/'01_설정'!$B$7))*'01_설정'!$B$16+MAX(0,(1-O362/'01_설정'!$B$8))*'01_설정'!$B$17+K362*'01_설정'!$B$11+L362*'01_설정'!$B$12)</f>
        <v/>
      </c>
      <c r="R362">
        <f>IF(Q362="","",1+COUNTIFS($Q$31:$Q$1030,"&gt;"&amp;Q362)+COUNTIFS($Q$31:Q362,Q362)-1)</f>
        <v/>
      </c>
    </row>
    <row r="363" hidden="1" ht="16.5" customHeight="1">
      <c r="A363">
        <f>IF(COUNTA('05_KAIS'!$A351:$N351)=0,"",336)</f>
        <v/>
      </c>
      <c r="B363">
        <f>IF($A363="","",TRIM(INDEX('05_KAIS'!$B:$B,$A363)&amp;" "&amp;INDEX('05_KAIS'!$C:$C,$A363)))</f>
        <v/>
      </c>
      <c r="C363">
        <f>IF($A363="","",INDEX('05_KAIS'!$D:$D,$A363))</f>
        <v/>
      </c>
      <c r="D363">
        <f>IF($A363="","",INDEX('05_KAIS'!$H:$H,$A363))</f>
        <v/>
      </c>
      <c r="E363">
        <f>IF($A363="","",INDEX('05_KAIS'!$K:$K,$A363))</f>
        <v/>
      </c>
      <c r="F363" s="202">
        <f>IF($A363="","",INDEX('05_KAIS'!$I:$I,$A363))</f>
        <v/>
      </c>
      <c r="G363" s="118">
        <f>IF($A363="","",INDEX('05_KAIS'!$L:$L,$A363))</f>
        <v/>
      </c>
      <c r="H363" s="118">
        <f>IF($A363="","",IFERROR(INDEX('05_KAIS'!$M:$M,$A363),IF(AND(E363&gt;0,G363&gt;0),G363/E363,"")))</f>
        <v/>
      </c>
      <c r="I363" s="202">
        <f>IF($A363="","",INDEX('05_KAIS'!$N:$N,$A363))</f>
        <v/>
      </c>
      <c r="J363">
        <f>IF(B363="","",IF('02_대상물건입력'!$B$5="",1,IF(ISNUMBER(SEARCH('02_대상물건입력'!$B$5,B363)),1,0)))</f>
        <v/>
      </c>
      <c r="K363">
        <f>IF(B363="","",IF('02_대상물건입력'!$B$6="",1,IF(ISNUMBER(SEARCH('02_대상물건입력'!$B$6,B363)),1,0)))</f>
        <v/>
      </c>
      <c r="L363">
        <f>IF(D363="","",IF('02_대상물건입력'!$B$8="",0,IF(ISNUMBER(SEARCH('02_대상물건입력'!$B$8,D363)),1,0)))</f>
        <v/>
      </c>
      <c r="M363">
        <f>IFERROR(ABS(E363-'02_대상물건입력'!$B$11)/'02_대상물건입력'!$B$11,"")</f>
        <v/>
      </c>
      <c r="N363">
        <f>IFERROR(ABS('01_설정'!$B$4-F363),"")</f>
        <v/>
      </c>
      <c r="O363">
        <f>IFERROR(ABS(YEAR(I363)-YEAR('02_대상물건입력'!$B$14)),"")</f>
        <v/>
      </c>
      <c r="P363">
        <f>IF(AND(E363&gt;0,F363&gt;0,G363&gt;0,IF('01_설정'!$B$10=1,J363=1,TRUE()),M363&lt;='01_설정'!$B$5,N363&lt;='01_설정'!$B$7,O363&lt;='01_설정'!$B$8),"Y","")</f>
        <v/>
      </c>
      <c r="Q363">
        <f>IF(P363&lt;&gt;"Y","",MAX(0,(1-M363/'01_설정'!$B$5))*'01_설정'!$B$14+MAX(0,(1-N363/'01_설정'!$B$7))*'01_설정'!$B$16+MAX(0,(1-O363/'01_설정'!$B$8))*'01_설정'!$B$17+K363*'01_설정'!$B$11+L363*'01_설정'!$B$12)</f>
        <v/>
      </c>
      <c r="R363">
        <f>IF(Q363="","",1+COUNTIFS($Q$31:$Q$1030,"&gt;"&amp;Q363)+COUNTIFS($Q$31:Q363,Q363)-1)</f>
        <v/>
      </c>
    </row>
    <row r="364" hidden="1" ht="16.5" customHeight="1">
      <c r="A364">
        <f>IF(COUNTA('05_KAIS'!$A352:$N352)=0,"",337)</f>
        <v/>
      </c>
      <c r="B364">
        <f>IF($A364="","",TRIM(INDEX('05_KAIS'!$B:$B,$A364)&amp;" "&amp;INDEX('05_KAIS'!$C:$C,$A364)))</f>
        <v/>
      </c>
      <c r="C364">
        <f>IF($A364="","",INDEX('05_KAIS'!$D:$D,$A364))</f>
        <v/>
      </c>
      <c r="D364">
        <f>IF($A364="","",INDEX('05_KAIS'!$H:$H,$A364))</f>
        <v/>
      </c>
      <c r="E364">
        <f>IF($A364="","",INDEX('05_KAIS'!$K:$K,$A364))</f>
        <v/>
      </c>
      <c r="F364" s="202">
        <f>IF($A364="","",INDEX('05_KAIS'!$I:$I,$A364))</f>
        <v/>
      </c>
      <c r="G364" s="118">
        <f>IF($A364="","",INDEX('05_KAIS'!$L:$L,$A364))</f>
        <v/>
      </c>
      <c r="H364" s="118">
        <f>IF($A364="","",IFERROR(INDEX('05_KAIS'!$M:$M,$A364),IF(AND(E364&gt;0,G364&gt;0),G364/E364,"")))</f>
        <v/>
      </c>
      <c r="I364" s="202">
        <f>IF($A364="","",INDEX('05_KAIS'!$N:$N,$A364))</f>
        <v/>
      </c>
      <c r="J364">
        <f>IF(B364="","",IF('02_대상물건입력'!$B$5="",1,IF(ISNUMBER(SEARCH('02_대상물건입력'!$B$5,B364)),1,0)))</f>
        <v/>
      </c>
      <c r="K364">
        <f>IF(B364="","",IF('02_대상물건입력'!$B$6="",1,IF(ISNUMBER(SEARCH('02_대상물건입력'!$B$6,B364)),1,0)))</f>
        <v/>
      </c>
      <c r="L364">
        <f>IF(D364="","",IF('02_대상물건입력'!$B$8="",0,IF(ISNUMBER(SEARCH('02_대상물건입력'!$B$8,D364)),1,0)))</f>
        <v/>
      </c>
      <c r="M364">
        <f>IFERROR(ABS(E364-'02_대상물건입력'!$B$11)/'02_대상물건입력'!$B$11,"")</f>
        <v/>
      </c>
      <c r="N364">
        <f>IFERROR(ABS('01_설정'!$B$4-F364),"")</f>
        <v/>
      </c>
      <c r="O364">
        <f>IFERROR(ABS(YEAR(I364)-YEAR('02_대상물건입력'!$B$14)),"")</f>
        <v/>
      </c>
      <c r="P364">
        <f>IF(AND(E364&gt;0,F364&gt;0,G364&gt;0,IF('01_설정'!$B$10=1,J364=1,TRUE()),M364&lt;='01_설정'!$B$5,N364&lt;='01_설정'!$B$7,O364&lt;='01_설정'!$B$8),"Y","")</f>
        <v/>
      </c>
      <c r="Q364">
        <f>IF(P364&lt;&gt;"Y","",MAX(0,(1-M364/'01_설정'!$B$5))*'01_설정'!$B$14+MAX(0,(1-N364/'01_설정'!$B$7))*'01_설정'!$B$16+MAX(0,(1-O364/'01_설정'!$B$8))*'01_설정'!$B$17+K364*'01_설정'!$B$11+L364*'01_설정'!$B$12)</f>
        <v/>
      </c>
      <c r="R364">
        <f>IF(Q364="","",1+COUNTIFS($Q$31:$Q$1030,"&gt;"&amp;Q364)+COUNTIFS($Q$31:Q364,Q364)-1)</f>
        <v/>
      </c>
    </row>
    <row r="365" hidden="1" ht="16.5" customHeight="1">
      <c r="A365">
        <f>IF(COUNTA('05_KAIS'!$A353:$N353)=0,"",338)</f>
        <v/>
      </c>
      <c r="B365">
        <f>IF($A365="","",TRIM(INDEX('05_KAIS'!$B:$B,$A365)&amp;" "&amp;INDEX('05_KAIS'!$C:$C,$A365)))</f>
        <v/>
      </c>
      <c r="C365">
        <f>IF($A365="","",INDEX('05_KAIS'!$D:$D,$A365))</f>
        <v/>
      </c>
      <c r="D365">
        <f>IF($A365="","",INDEX('05_KAIS'!$H:$H,$A365))</f>
        <v/>
      </c>
      <c r="E365">
        <f>IF($A365="","",INDEX('05_KAIS'!$K:$K,$A365))</f>
        <v/>
      </c>
      <c r="F365" s="202">
        <f>IF($A365="","",INDEX('05_KAIS'!$I:$I,$A365))</f>
        <v/>
      </c>
      <c r="G365" s="118">
        <f>IF($A365="","",INDEX('05_KAIS'!$L:$L,$A365))</f>
        <v/>
      </c>
      <c r="H365" s="118">
        <f>IF($A365="","",IFERROR(INDEX('05_KAIS'!$M:$M,$A365),IF(AND(E365&gt;0,G365&gt;0),G365/E365,"")))</f>
        <v/>
      </c>
      <c r="I365" s="202">
        <f>IF($A365="","",INDEX('05_KAIS'!$N:$N,$A365))</f>
        <v/>
      </c>
      <c r="J365">
        <f>IF(B365="","",IF('02_대상물건입력'!$B$5="",1,IF(ISNUMBER(SEARCH('02_대상물건입력'!$B$5,B365)),1,0)))</f>
        <v/>
      </c>
      <c r="K365">
        <f>IF(B365="","",IF('02_대상물건입력'!$B$6="",1,IF(ISNUMBER(SEARCH('02_대상물건입력'!$B$6,B365)),1,0)))</f>
        <v/>
      </c>
      <c r="L365">
        <f>IF(D365="","",IF('02_대상물건입력'!$B$8="",0,IF(ISNUMBER(SEARCH('02_대상물건입력'!$B$8,D365)),1,0)))</f>
        <v/>
      </c>
      <c r="M365">
        <f>IFERROR(ABS(E365-'02_대상물건입력'!$B$11)/'02_대상물건입력'!$B$11,"")</f>
        <v/>
      </c>
      <c r="N365">
        <f>IFERROR(ABS('01_설정'!$B$4-F365),"")</f>
        <v/>
      </c>
      <c r="O365">
        <f>IFERROR(ABS(YEAR(I365)-YEAR('02_대상물건입력'!$B$14)),"")</f>
        <v/>
      </c>
      <c r="P365">
        <f>IF(AND(E365&gt;0,F365&gt;0,G365&gt;0,IF('01_설정'!$B$10=1,J365=1,TRUE()),M365&lt;='01_설정'!$B$5,N365&lt;='01_설정'!$B$7,O365&lt;='01_설정'!$B$8),"Y","")</f>
        <v/>
      </c>
      <c r="Q365">
        <f>IF(P365&lt;&gt;"Y","",MAX(0,(1-M365/'01_설정'!$B$5))*'01_설정'!$B$14+MAX(0,(1-N365/'01_설정'!$B$7))*'01_설정'!$B$16+MAX(0,(1-O365/'01_설정'!$B$8))*'01_설정'!$B$17+K365*'01_설정'!$B$11+L365*'01_설정'!$B$12)</f>
        <v/>
      </c>
      <c r="R365">
        <f>IF(Q365="","",1+COUNTIFS($Q$31:$Q$1030,"&gt;"&amp;Q365)+COUNTIFS($Q$31:Q365,Q365)-1)</f>
        <v/>
      </c>
    </row>
    <row r="366" hidden="1" ht="16.5" customHeight="1">
      <c r="A366">
        <f>IF(COUNTA('05_KAIS'!$A354:$N354)=0,"",339)</f>
        <v/>
      </c>
      <c r="B366">
        <f>IF($A366="","",TRIM(INDEX('05_KAIS'!$B:$B,$A366)&amp;" "&amp;INDEX('05_KAIS'!$C:$C,$A366)))</f>
        <v/>
      </c>
      <c r="C366">
        <f>IF($A366="","",INDEX('05_KAIS'!$D:$D,$A366))</f>
        <v/>
      </c>
      <c r="D366">
        <f>IF($A366="","",INDEX('05_KAIS'!$H:$H,$A366))</f>
        <v/>
      </c>
      <c r="E366">
        <f>IF($A366="","",INDEX('05_KAIS'!$K:$K,$A366))</f>
        <v/>
      </c>
      <c r="F366" s="202">
        <f>IF($A366="","",INDEX('05_KAIS'!$I:$I,$A366))</f>
        <v/>
      </c>
      <c r="G366" s="118">
        <f>IF($A366="","",INDEX('05_KAIS'!$L:$L,$A366))</f>
        <v/>
      </c>
      <c r="H366" s="118">
        <f>IF($A366="","",IFERROR(INDEX('05_KAIS'!$M:$M,$A366),IF(AND(E366&gt;0,G366&gt;0),G366/E366,"")))</f>
        <v/>
      </c>
      <c r="I366" s="202">
        <f>IF($A366="","",INDEX('05_KAIS'!$N:$N,$A366))</f>
        <v/>
      </c>
      <c r="J366">
        <f>IF(B366="","",IF('02_대상물건입력'!$B$5="",1,IF(ISNUMBER(SEARCH('02_대상물건입력'!$B$5,B366)),1,0)))</f>
        <v/>
      </c>
      <c r="K366">
        <f>IF(B366="","",IF('02_대상물건입력'!$B$6="",1,IF(ISNUMBER(SEARCH('02_대상물건입력'!$B$6,B366)),1,0)))</f>
        <v/>
      </c>
      <c r="L366">
        <f>IF(D366="","",IF('02_대상물건입력'!$B$8="",0,IF(ISNUMBER(SEARCH('02_대상물건입력'!$B$8,D366)),1,0)))</f>
        <v/>
      </c>
      <c r="M366">
        <f>IFERROR(ABS(E366-'02_대상물건입력'!$B$11)/'02_대상물건입력'!$B$11,"")</f>
        <v/>
      </c>
      <c r="N366">
        <f>IFERROR(ABS('01_설정'!$B$4-F366),"")</f>
        <v/>
      </c>
      <c r="O366">
        <f>IFERROR(ABS(YEAR(I366)-YEAR('02_대상물건입력'!$B$14)),"")</f>
        <v/>
      </c>
      <c r="P366">
        <f>IF(AND(E366&gt;0,F366&gt;0,G366&gt;0,IF('01_설정'!$B$10=1,J366=1,TRUE()),M366&lt;='01_설정'!$B$5,N366&lt;='01_설정'!$B$7,O366&lt;='01_설정'!$B$8),"Y","")</f>
        <v/>
      </c>
      <c r="Q366">
        <f>IF(P366&lt;&gt;"Y","",MAX(0,(1-M366/'01_설정'!$B$5))*'01_설정'!$B$14+MAX(0,(1-N366/'01_설정'!$B$7))*'01_설정'!$B$16+MAX(0,(1-O366/'01_설정'!$B$8))*'01_설정'!$B$17+K366*'01_설정'!$B$11+L366*'01_설정'!$B$12)</f>
        <v/>
      </c>
      <c r="R366">
        <f>IF(Q366="","",1+COUNTIFS($Q$31:$Q$1030,"&gt;"&amp;Q366)+COUNTIFS($Q$31:Q366,Q366)-1)</f>
        <v/>
      </c>
    </row>
    <row r="367" hidden="1" ht="16.5" customHeight="1">
      <c r="A367">
        <f>IF(COUNTA('05_KAIS'!$A355:$N355)=0,"",340)</f>
        <v/>
      </c>
      <c r="B367">
        <f>IF($A367="","",TRIM(INDEX('05_KAIS'!$B:$B,$A367)&amp;" "&amp;INDEX('05_KAIS'!$C:$C,$A367)))</f>
        <v/>
      </c>
      <c r="C367">
        <f>IF($A367="","",INDEX('05_KAIS'!$D:$D,$A367))</f>
        <v/>
      </c>
      <c r="D367">
        <f>IF($A367="","",INDEX('05_KAIS'!$H:$H,$A367))</f>
        <v/>
      </c>
      <c r="E367">
        <f>IF($A367="","",INDEX('05_KAIS'!$K:$K,$A367))</f>
        <v/>
      </c>
      <c r="F367" s="202">
        <f>IF($A367="","",INDEX('05_KAIS'!$I:$I,$A367))</f>
        <v/>
      </c>
      <c r="G367" s="118">
        <f>IF($A367="","",INDEX('05_KAIS'!$L:$L,$A367))</f>
        <v/>
      </c>
      <c r="H367" s="118">
        <f>IF($A367="","",IFERROR(INDEX('05_KAIS'!$M:$M,$A367),IF(AND(E367&gt;0,G367&gt;0),G367/E367,"")))</f>
        <v/>
      </c>
      <c r="I367" s="202">
        <f>IF($A367="","",INDEX('05_KAIS'!$N:$N,$A367))</f>
        <v/>
      </c>
      <c r="J367">
        <f>IF(B367="","",IF('02_대상물건입력'!$B$5="",1,IF(ISNUMBER(SEARCH('02_대상물건입력'!$B$5,B367)),1,0)))</f>
        <v/>
      </c>
      <c r="K367">
        <f>IF(B367="","",IF('02_대상물건입력'!$B$6="",1,IF(ISNUMBER(SEARCH('02_대상물건입력'!$B$6,B367)),1,0)))</f>
        <v/>
      </c>
      <c r="L367">
        <f>IF(D367="","",IF('02_대상물건입력'!$B$8="",0,IF(ISNUMBER(SEARCH('02_대상물건입력'!$B$8,D367)),1,0)))</f>
        <v/>
      </c>
      <c r="M367">
        <f>IFERROR(ABS(E367-'02_대상물건입력'!$B$11)/'02_대상물건입력'!$B$11,"")</f>
        <v/>
      </c>
      <c r="N367">
        <f>IFERROR(ABS('01_설정'!$B$4-F367),"")</f>
        <v/>
      </c>
      <c r="O367">
        <f>IFERROR(ABS(YEAR(I367)-YEAR('02_대상물건입력'!$B$14)),"")</f>
        <v/>
      </c>
      <c r="P367">
        <f>IF(AND(E367&gt;0,F367&gt;0,G367&gt;0,IF('01_설정'!$B$10=1,J367=1,TRUE()),M367&lt;='01_설정'!$B$5,N367&lt;='01_설정'!$B$7,O367&lt;='01_설정'!$B$8),"Y","")</f>
        <v/>
      </c>
      <c r="Q367">
        <f>IF(P367&lt;&gt;"Y","",MAX(0,(1-M367/'01_설정'!$B$5))*'01_설정'!$B$14+MAX(0,(1-N367/'01_설정'!$B$7))*'01_설정'!$B$16+MAX(0,(1-O367/'01_설정'!$B$8))*'01_설정'!$B$17+K367*'01_설정'!$B$11+L367*'01_설정'!$B$12)</f>
        <v/>
      </c>
      <c r="R367">
        <f>IF(Q367="","",1+COUNTIFS($Q$31:$Q$1030,"&gt;"&amp;Q367)+COUNTIFS($Q$31:Q367,Q367)-1)</f>
        <v/>
      </c>
    </row>
    <row r="368" hidden="1" ht="16.5" customHeight="1">
      <c r="A368">
        <f>IF(COUNTA('05_KAIS'!$A356:$N356)=0,"",341)</f>
        <v/>
      </c>
      <c r="B368">
        <f>IF($A368="","",TRIM(INDEX('05_KAIS'!$B:$B,$A368)&amp;" "&amp;INDEX('05_KAIS'!$C:$C,$A368)))</f>
        <v/>
      </c>
      <c r="C368">
        <f>IF($A368="","",INDEX('05_KAIS'!$D:$D,$A368))</f>
        <v/>
      </c>
      <c r="D368">
        <f>IF($A368="","",INDEX('05_KAIS'!$H:$H,$A368))</f>
        <v/>
      </c>
      <c r="E368">
        <f>IF($A368="","",INDEX('05_KAIS'!$K:$K,$A368))</f>
        <v/>
      </c>
      <c r="F368" s="202">
        <f>IF($A368="","",INDEX('05_KAIS'!$I:$I,$A368))</f>
        <v/>
      </c>
      <c r="G368" s="118">
        <f>IF($A368="","",INDEX('05_KAIS'!$L:$L,$A368))</f>
        <v/>
      </c>
      <c r="H368" s="118">
        <f>IF($A368="","",IFERROR(INDEX('05_KAIS'!$M:$M,$A368),IF(AND(E368&gt;0,G368&gt;0),G368/E368,"")))</f>
        <v/>
      </c>
      <c r="I368" s="202">
        <f>IF($A368="","",INDEX('05_KAIS'!$N:$N,$A368))</f>
        <v/>
      </c>
      <c r="J368">
        <f>IF(B368="","",IF('02_대상물건입력'!$B$5="",1,IF(ISNUMBER(SEARCH('02_대상물건입력'!$B$5,B368)),1,0)))</f>
        <v/>
      </c>
      <c r="K368">
        <f>IF(B368="","",IF('02_대상물건입력'!$B$6="",1,IF(ISNUMBER(SEARCH('02_대상물건입력'!$B$6,B368)),1,0)))</f>
        <v/>
      </c>
      <c r="L368">
        <f>IF(D368="","",IF('02_대상물건입력'!$B$8="",0,IF(ISNUMBER(SEARCH('02_대상물건입력'!$B$8,D368)),1,0)))</f>
        <v/>
      </c>
      <c r="M368">
        <f>IFERROR(ABS(E368-'02_대상물건입력'!$B$11)/'02_대상물건입력'!$B$11,"")</f>
        <v/>
      </c>
      <c r="N368">
        <f>IFERROR(ABS('01_설정'!$B$4-F368),"")</f>
        <v/>
      </c>
      <c r="O368">
        <f>IFERROR(ABS(YEAR(I368)-YEAR('02_대상물건입력'!$B$14)),"")</f>
        <v/>
      </c>
      <c r="P368">
        <f>IF(AND(E368&gt;0,F368&gt;0,G368&gt;0,IF('01_설정'!$B$10=1,J368=1,TRUE()),M368&lt;='01_설정'!$B$5,N368&lt;='01_설정'!$B$7,O368&lt;='01_설정'!$B$8),"Y","")</f>
        <v/>
      </c>
      <c r="Q368">
        <f>IF(P368&lt;&gt;"Y","",MAX(0,(1-M368/'01_설정'!$B$5))*'01_설정'!$B$14+MAX(0,(1-N368/'01_설정'!$B$7))*'01_설정'!$B$16+MAX(0,(1-O368/'01_설정'!$B$8))*'01_설정'!$B$17+K368*'01_설정'!$B$11+L368*'01_설정'!$B$12)</f>
        <v/>
      </c>
      <c r="R368">
        <f>IF(Q368="","",1+COUNTIFS($Q$31:$Q$1030,"&gt;"&amp;Q368)+COUNTIFS($Q$31:Q368,Q368)-1)</f>
        <v/>
      </c>
    </row>
    <row r="369" hidden="1" ht="16.5" customHeight="1">
      <c r="A369">
        <f>IF(COUNTA('05_KAIS'!$A357:$N357)=0,"",342)</f>
        <v/>
      </c>
      <c r="B369">
        <f>IF($A369="","",TRIM(INDEX('05_KAIS'!$B:$B,$A369)&amp;" "&amp;INDEX('05_KAIS'!$C:$C,$A369)))</f>
        <v/>
      </c>
      <c r="C369">
        <f>IF($A369="","",INDEX('05_KAIS'!$D:$D,$A369))</f>
        <v/>
      </c>
      <c r="D369">
        <f>IF($A369="","",INDEX('05_KAIS'!$H:$H,$A369))</f>
        <v/>
      </c>
      <c r="E369">
        <f>IF($A369="","",INDEX('05_KAIS'!$K:$K,$A369))</f>
        <v/>
      </c>
      <c r="F369" s="202">
        <f>IF($A369="","",INDEX('05_KAIS'!$I:$I,$A369))</f>
        <v/>
      </c>
      <c r="G369" s="118">
        <f>IF($A369="","",INDEX('05_KAIS'!$L:$L,$A369))</f>
        <v/>
      </c>
      <c r="H369" s="118">
        <f>IF($A369="","",IFERROR(INDEX('05_KAIS'!$M:$M,$A369),IF(AND(E369&gt;0,G369&gt;0),G369/E369,"")))</f>
        <v/>
      </c>
      <c r="I369" s="202">
        <f>IF($A369="","",INDEX('05_KAIS'!$N:$N,$A369))</f>
        <v/>
      </c>
      <c r="J369">
        <f>IF(B369="","",IF('02_대상물건입력'!$B$5="",1,IF(ISNUMBER(SEARCH('02_대상물건입력'!$B$5,B369)),1,0)))</f>
        <v/>
      </c>
      <c r="K369">
        <f>IF(B369="","",IF('02_대상물건입력'!$B$6="",1,IF(ISNUMBER(SEARCH('02_대상물건입력'!$B$6,B369)),1,0)))</f>
        <v/>
      </c>
      <c r="L369">
        <f>IF(D369="","",IF('02_대상물건입력'!$B$8="",0,IF(ISNUMBER(SEARCH('02_대상물건입력'!$B$8,D369)),1,0)))</f>
        <v/>
      </c>
      <c r="M369">
        <f>IFERROR(ABS(E369-'02_대상물건입력'!$B$11)/'02_대상물건입력'!$B$11,"")</f>
        <v/>
      </c>
      <c r="N369">
        <f>IFERROR(ABS('01_설정'!$B$4-F369),"")</f>
        <v/>
      </c>
      <c r="O369">
        <f>IFERROR(ABS(YEAR(I369)-YEAR('02_대상물건입력'!$B$14)),"")</f>
        <v/>
      </c>
      <c r="P369">
        <f>IF(AND(E369&gt;0,F369&gt;0,G369&gt;0,IF('01_설정'!$B$10=1,J369=1,TRUE()),M369&lt;='01_설정'!$B$5,N369&lt;='01_설정'!$B$7,O369&lt;='01_설정'!$B$8),"Y","")</f>
        <v/>
      </c>
      <c r="Q369">
        <f>IF(P369&lt;&gt;"Y","",MAX(0,(1-M369/'01_설정'!$B$5))*'01_설정'!$B$14+MAX(0,(1-N369/'01_설정'!$B$7))*'01_설정'!$B$16+MAX(0,(1-O369/'01_설정'!$B$8))*'01_설정'!$B$17+K369*'01_설정'!$B$11+L369*'01_설정'!$B$12)</f>
        <v/>
      </c>
      <c r="R369">
        <f>IF(Q369="","",1+COUNTIFS($Q$31:$Q$1030,"&gt;"&amp;Q369)+COUNTIFS($Q$31:Q369,Q369)-1)</f>
        <v/>
      </c>
    </row>
    <row r="370" hidden="1" ht="16.5" customHeight="1">
      <c r="A370">
        <f>IF(COUNTA('05_KAIS'!$A358:$N358)=0,"",343)</f>
        <v/>
      </c>
      <c r="B370">
        <f>IF($A370="","",TRIM(INDEX('05_KAIS'!$B:$B,$A370)&amp;" "&amp;INDEX('05_KAIS'!$C:$C,$A370)))</f>
        <v/>
      </c>
      <c r="C370">
        <f>IF($A370="","",INDEX('05_KAIS'!$D:$D,$A370))</f>
        <v/>
      </c>
      <c r="D370">
        <f>IF($A370="","",INDEX('05_KAIS'!$H:$H,$A370))</f>
        <v/>
      </c>
      <c r="E370">
        <f>IF($A370="","",INDEX('05_KAIS'!$K:$K,$A370))</f>
        <v/>
      </c>
      <c r="F370" s="202">
        <f>IF($A370="","",INDEX('05_KAIS'!$I:$I,$A370))</f>
        <v/>
      </c>
      <c r="G370" s="118">
        <f>IF($A370="","",INDEX('05_KAIS'!$L:$L,$A370))</f>
        <v/>
      </c>
      <c r="H370" s="118">
        <f>IF($A370="","",IFERROR(INDEX('05_KAIS'!$M:$M,$A370),IF(AND(E370&gt;0,G370&gt;0),G370/E370,"")))</f>
        <v/>
      </c>
      <c r="I370" s="202">
        <f>IF($A370="","",INDEX('05_KAIS'!$N:$N,$A370))</f>
        <v/>
      </c>
      <c r="J370">
        <f>IF(B370="","",IF('02_대상물건입력'!$B$5="",1,IF(ISNUMBER(SEARCH('02_대상물건입력'!$B$5,B370)),1,0)))</f>
        <v/>
      </c>
      <c r="K370">
        <f>IF(B370="","",IF('02_대상물건입력'!$B$6="",1,IF(ISNUMBER(SEARCH('02_대상물건입력'!$B$6,B370)),1,0)))</f>
        <v/>
      </c>
      <c r="L370">
        <f>IF(D370="","",IF('02_대상물건입력'!$B$8="",0,IF(ISNUMBER(SEARCH('02_대상물건입력'!$B$8,D370)),1,0)))</f>
        <v/>
      </c>
      <c r="M370">
        <f>IFERROR(ABS(E370-'02_대상물건입력'!$B$11)/'02_대상물건입력'!$B$11,"")</f>
        <v/>
      </c>
      <c r="N370">
        <f>IFERROR(ABS('01_설정'!$B$4-F370),"")</f>
        <v/>
      </c>
      <c r="O370">
        <f>IFERROR(ABS(YEAR(I370)-YEAR('02_대상물건입력'!$B$14)),"")</f>
        <v/>
      </c>
      <c r="P370">
        <f>IF(AND(E370&gt;0,F370&gt;0,G370&gt;0,IF('01_설정'!$B$10=1,J370=1,TRUE()),M370&lt;='01_설정'!$B$5,N370&lt;='01_설정'!$B$7,O370&lt;='01_설정'!$B$8),"Y","")</f>
        <v/>
      </c>
      <c r="Q370">
        <f>IF(P370&lt;&gt;"Y","",MAX(0,(1-M370/'01_설정'!$B$5))*'01_설정'!$B$14+MAX(0,(1-N370/'01_설정'!$B$7))*'01_설정'!$B$16+MAX(0,(1-O370/'01_설정'!$B$8))*'01_설정'!$B$17+K370*'01_설정'!$B$11+L370*'01_설정'!$B$12)</f>
        <v/>
      </c>
      <c r="R370">
        <f>IF(Q370="","",1+COUNTIFS($Q$31:$Q$1030,"&gt;"&amp;Q370)+COUNTIFS($Q$31:Q370,Q370)-1)</f>
        <v/>
      </c>
    </row>
    <row r="371" hidden="1" ht="16.5" customHeight="1">
      <c r="A371">
        <f>IF(COUNTA('05_KAIS'!$A359:$N359)=0,"",344)</f>
        <v/>
      </c>
      <c r="B371">
        <f>IF($A371="","",TRIM(INDEX('05_KAIS'!$B:$B,$A371)&amp;" "&amp;INDEX('05_KAIS'!$C:$C,$A371)))</f>
        <v/>
      </c>
      <c r="C371">
        <f>IF($A371="","",INDEX('05_KAIS'!$D:$D,$A371))</f>
        <v/>
      </c>
      <c r="D371">
        <f>IF($A371="","",INDEX('05_KAIS'!$H:$H,$A371))</f>
        <v/>
      </c>
      <c r="E371">
        <f>IF($A371="","",INDEX('05_KAIS'!$K:$K,$A371))</f>
        <v/>
      </c>
      <c r="F371" s="202">
        <f>IF($A371="","",INDEX('05_KAIS'!$I:$I,$A371))</f>
        <v/>
      </c>
      <c r="G371" s="118">
        <f>IF($A371="","",INDEX('05_KAIS'!$L:$L,$A371))</f>
        <v/>
      </c>
      <c r="H371" s="118">
        <f>IF($A371="","",IFERROR(INDEX('05_KAIS'!$M:$M,$A371),IF(AND(E371&gt;0,G371&gt;0),G371/E371,"")))</f>
        <v/>
      </c>
      <c r="I371" s="202">
        <f>IF($A371="","",INDEX('05_KAIS'!$N:$N,$A371))</f>
        <v/>
      </c>
      <c r="J371">
        <f>IF(B371="","",IF('02_대상물건입력'!$B$5="",1,IF(ISNUMBER(SEARCH('02_대상물건입력'!$B$5,B371)),1,0)))</f>
        <v/>
      </c>
      <c r="K371">
        <f>IF(B371="","",IF('02_대상물건입력'!$B$6="",1,IF(ISNUMBER(SEARCH('02_대상물건입력'!$B$6,B371)),1,0)))</f>
        <v/>
      </c>
      <c r="L371">
        <f>IF(D371="","",IF('02_대상물건입력'!$B$8="",0,IF(ISNUMBER(SEARCH('02_대상물건입력'!$B$8,D371)),1,0)))</f>
        <v/>
      </c>
      <c r="M371">
        <f>IFERROR(ABS(E371-'02_대상물건입력'!$B$11)/'02_대상물건입력'!$B$11,"")</f>
        <v/>
      </c>
      <c r="N371">
        <f>IFERROR(ABS('01_설정'!$B$4-F371),"")</f>
        <v/>
      </c>
      <c r="O371">
        <f>IFERROR(ABS(YEAR(I371)-YEAR('02_대상물건입력'!$B$14)),"")</f>
        <v/>
      </c>
      <c r="P371">
        <f>IF(AND(E371&gt;0,F371&gt;0,G371&gt;0,IF('01_설정'!$B$10=1,J371=1,TRUE()),M371&lt;='01_설정'!$B$5,N371&lt;='01_설정'!$B$7,O371&lt;='01_설정'!$B$8),"Y","")</f>
        <v/>
      </c>
      <c r="Q371">
        <f>IF(P371&lt;&gt;"Y","",MAX(0,(1-M371/'01_설정'!$B$5))*'01_설정'!$B$14+MAX(0,(1-N371/'01_설정'!$B$7))*'01_설정'!$B$16+MAX(0,(1-O371/'01_설정'!$B$8))*'01_설정'!$B$17+K371*'01_설정'!$B$11+L371*'01_설정'!$B$12)</f>
        <v/>
      </c>
      <c r="R371">
        <f>IF(Q371="","",1+COUNTIFS($Q$31:$Q$1030,"&gt;"&amp;Q371)+COUNTIFS($Q$31:Q371,Q371)-1)</f>
        <v/>
      </c>
    </row>
    <row r="372" hidden="1" ht="16.5" customHeight="1">
      <c r="A372">
        <f>IF(COUNTA('05_KAIS'!$A360:$N360)=0,"",345)</f>
        <v/>
      </c>
      <c r="B372">
        <f>IF($A372="","",TRIM(INDEX('05_KAIS'!$B:$B,$A372)&amp;" "&amp;INDEX('05_KAIS'!$C:$C,$A372)))</f>
        <v/>
      </c>
      <c r="C372">
        <f>IF($A372="","",INDEX('05_KAIS'!$D:$D,$A372))</f>
        <v/>
      </c>
      <c r="D372">
        <f>IF($A372="","",INDEX('05_KAIS'!$H:$H,$A372))</f>
        <v/>
      </c>
      <c r="E372">
        <f>IF($A372="","",INDEX('05_KAIS'!$K:$K,$A372))</f>
        <v/>
      </c>
      <c r="F372" s="202">
        <f>IF($A372="","",INDEX('05_KAIS'!$I:$I,$A372))</f>
        <v/>
      </c>
      <c r="G372" s="118">
        <f>IF($A372="","",INDEX('05_KAIS'!$L:$L,$A372))</f>
        <v/>
      </c>
      <c r="H372" s="118">
        <f>IF($A372="","",IFERROR(INDEX('05_KAIS'!$M:$M,$A372),IF(AND(E372&gt;0,G372&gt;0),G372/E372,"")))</f>
        <v/>
      </c>
      <c r="I372" s="202">
        <f>IF($A372="","",INDEX('05_KAIS'!$N:$N,$A372))</f>
        <v/>
      </c>
      <c r="J372">
        <f>IF(B372="","",IF('02_대상물건입력'!$B$5="",1,IF(ISNUMBER(SEARCH('02_대상물건입력'!$B$5,B372)),1,0)))</f>
        <v/>
      </c>
      <c r="K372">
        <f>IF(B372="","",IF('02_대상물건입력'!$B$6="",1,IF(ISNUMBER(SEARCH('02_대상물건입력'!$B$6,B372)),1,0)))</f>
        <v/>
      </c>
      <c r="L372">
        <f>IF(D372="","",IF('02_대상물건입력'!$B$8="",0,IF(ISNUMBER(SEARCH('02_대상물건입력'!$B$8,D372)),1,0)))</f>
        <v/>
      </c>
      <c r="M372">
        <f>IFERROR(ABS(E372-'02_대상물건입력'!$B$11)/'02_대상물건입력'!$B$11,"")</f>
        <v/>
      </c>
      <c r="N372">
        <f>IFERROR(ABS('01_설정'!$B$4-F372),"")</f>
        <v/>
      </c>
      <c r="O372">
        <f>IFERROR(ABS(YEAR(I372)-YEAR('02_대상물건입력'!$B$14)),"")</f>
        <v/>
      </c>
      <c r="P372">
        <f>IF(AND(E372&gt;0,F372&gt;0,G372&gt;0,IF('01_설정'!$B$10=1,J372=1,TRUE()),M372&lt;='01_설정'!$B$5,N372&lt;='01_설정'!$B$7,O372&lt;='01_설정'!$B$8),"Y","")</f>
        <v/>
      </c>
      <c r="Q372">
        <f>IF(P372&lt;&gt;"Y","",MAX(0,(1-M372/'01_설정'!$B$5))*'01_설정'!$B$14+MAX(0,(1-N372/'01_설정'!$B$7))*'01_설정'!$B$16+MAX(0,(1-O372/'01_설정'!$B$8))*'01_설정'!$B$17+K372*'01_설정'!$B$11+L372*'01_설정'!$B$12)</f>
        <v/>
      </c>
      <c r="R372">
        <f>IF(Q372="","",1+COUNTIFS($Q$31:$Q$1030,"&gt;"&amp;Q372)+COUNTIFS($Q$31:Q372,Q372)-1)</f>
        <v/>
      </c>
    </row>
    <row r="373" hidden="1" ht="16.5" customHeight="1">
      <c r="A373">
        <f>IF(COUNTA('05_KAIS'!$A361:$N361)=0,"",346)</f>
        <v/>
      </c>
      <c r="B373">
        <f>IF($A373="","",TRIM(INDEX('05_KAIS'!$B:$B,$A373)&amp;" "&amp;INDEX('05_KAIS'!$C:$C,$A373)))</f>
        <v/>
      </c>
      <c r="C373">
        <f>IF($A373="","",INDEX('05_KAIS'!$D:$D,$A373))</f>
        <v/>
      </c>
      <c r="D373">
        <f>IF($A373="","",INDEX('05_KAIS'!$H:$H,$A373))</f>
        <v/>
      </c>
      <c r="E373">
        <f>IF($A373="","",INDEX('05_KAIS'!$K:$K,$A373))</f>
        <v/>
      </c>
      <c r="F373" s="202">
        <f>IF($A373="","",INDEX('05_KAIS'!$I:$I,$A373))</f>
        <v/>
      </c>
      <c r="G373" s="118">
        <f>IF($A373="","",INDEX('05_KAIS'!$L:$L,$A373))</f>
        <v/>
      </c>
      <c r="H373" s="118">
        <f>IF($A373="","",IFERROR(INDEX('05_KAIS'!$M:$M,$A373),IF(AND(E373&gt;0,G373&gt;0),G373/E373,"")))</f>
        <v/>
      </c>
      <c r="I373" s="202">
        <f>IF($A373="","",INDEX('05_KAIS'!$N:$N,$A373))</f>
        <v/>
      </c>
      <c r="J373">
        <f>IF(B373="","",IF('02_대상물건입력'!$B$5="",1,IF(ISNUMBER(SEARCH('02_대상물건입력'!$B$5,B373)),1,0)))</f>
        <v/>
      </c>
      <c r="K373">
        <f>IF(B373="","",IF('02_대상물건입력'!$B$6="",1,IF(ISNUMBER(SEARCH('02_대상물건입력'!$B$6,B373)),1,0)))</f>
        <v/>
      </c>
      <c r="L373">
        <f>IF(D373="","",IF('02_대상물건입력'!$B$8="",0,IF(ISNUMBER(SEARCH('02_대상물건입력'!$B$8,D373)),1,0)))</f>
        <v/>
      </c>
      <c r="M373">
        <f>IFERROR(ABS(E373-'02_대상물건입력'!$B$11)/'02_대상물건입력'!$B$11,"")</f>
        <v/>
      </c>
      <c r="N373">
        <f>IFERROR(ABS('01_설정'!$B$4-F373),"")</f>
        <v/>
      </c>
      <c r="O373">
        <f>IFERROR(ABS(YEAR(I373)-YEAR('02_대상물건입력'!$B$14)),"")</f>
        <v/>
      </c>
      <c r="P373">
        <f>IF(AND(E373&gt;0,F373&gt;0,G373&gt;0,IF('01_설정'!$B$10=1,J373=1,TRUE()),M373&lt;='01_설정'!$B$5,N373&lt;='01_설정'!$B$7,O373&lt;='01_설정'!$B$8),"Y","")</f>
        <v/>
      </c>
      <c r="Q373">
        <f>IF(P373&lt;&gt;"Y","",MAX(0,(1-M373/'01_설정'!$B$5))*'01_설정'!$B$14+MAX(0,(1-N373/'01_설정'!$B$7))*'01_설정'!$B$16+MAX(0,(1-O373/'01_설정'!$B$8))*'01_설정'!$B$17+K373*'01_설정'!$B$11+L373*'01_설정'!$B$12)</f>
        <v/>
      </c>
      <c r="R373">
        <f>IF(Q373="","",1+COUNTIFS($Q$31:$Q$1030,"&gt;"&amp;Q373)+COUNTIFS($Q$31:Q373,Q373)-1)</f>
        <v/>
      </c>
    </row>
    <row r="374" hidden="1" ht="16.5" customHeight="1">
      <c r="A374">
        <f>IF(COUNTA('05_KAIS'!$A362:$N362)=0,"",347)</f>
        <v/>
      </c>
      <c r="B374">
        <f>IF($A374="","",TRIM(INDEX('05_KAIS'!$B:$B,$A374)&amp;" "&amp;INDEX('05_KAIS'!$C:$C,$A374)))</f>
        <v/>
      </c>
      <c r="C374">
        <f>IF($A374="","",INDEX('05_KAIS'!$D:$D,$A374))</f>
        <v/>
      </c>
      <c r="D374">
        <f>IF($A374="","",INDEX('05_KAIS'!$H:$H,$A374))</f>
        <v/>
      </c>
      <c r="E374">
        <f>IF($A374="","",INDEX('05_KAIS'!$K:$K,$A374))</f>
        <v/>
      </c>
      <c r="F374" s="202">
        <f>IF($A374="","",INDEX('05_KAIS'!$I:$I,$A374))</f>
        <v/>
      </c>
      <c r="G374" s="118">
        <f>IF($A374="","",INDEX('05_KAIS'!$L:$L,$A374))</f>
        <v/>
      </c>
      <c r="H374" s="118">
        <f>IF($A374="","",IFERROR(INDEX('05_KAIS'!$M:$M,$A374),IF(AND(E374&gt;0,G374&gt;0),G374/E374,"")))</f>
        <v/>
      </c>
      <c r="I374" s="202">
        <f>IF($A374="","",INDEX('05_KAIS'!$N:$N,$A374))</f>
        <v/>
      </c>
      <c r="J374">
        <f>IF(B374="","",IF('02_대상물건입력'!$B$5="",1,IF(ISNUMBER(SEARCH('02_대상물건입력'!$B$5,B374)),1,0)))</f>
        <v/>
      </c>
      <c r="K374">
        <f>IF(B374="","",IF('02_대상물건입력'!$B$6="",1,IF(ISNUMBER(SEARCH('02_대상물건입력'!$B$6,B374)),1,0)))</f>
        <v/>
      </c>
      <c r="L374">
        <f>IF(D374="","",IF('02_대상물건입력'!$B$8="",0,IF(ISNUMBER(SEARCH('02_대상물건입력'!$B$8,D374)),1,0)))</f>
        <v/>
      </c>
      <c r="M374">
        <f>IFERROR(ABS(E374-'02_대상물건입력'!$B$11)/'02_대상물건입력'!$B$11,"")</f>
        <v/>
      </c>
      <c r="N374">
        <f>IFERROR(ABS('01_설정'!$B$4-F374),"")</f>
        <v/>
      </c>
      <c r="O374">
        <f>IFERROR(ABS(YEAR(I374)-YEAR('02_대상물건입력'!$B$14)),"")</f>
        <v/>
      </c>
      <c r="P374">
        <f>IF(AND(E374&gt;0,F374&gt;0,G374&gt;0,IF('01_설정'!$B$10=1,J374=1,TRUE()),M374&lt;='01_설정'!$B$5,N374&lt;='01_설정'!$B$7,O374&lt;='01_설정'!$B$8),"Y","")</f>
        <v/>
      </c>
      <c r="Q374">
        <f>IF(P374&lt;&gt;"Y","",MAX(0,(1-M374/'01_설정'!$B$5))*'01_설정'!$B$14+MAX(0,(1-N374/'01_설정'!$B$7))*'01_설정'!$B$16+MAX(0,(1-O374/'01_설정'!$B$8))*'01_설정'!$B$17+K374*'01_설정'!$B$11+L374*'01_설정'!$B$12)</f>
        <v/>
      </c>
      <c r="R374">
        <f>IF(Q374="","",1+COUNTIFS($Q$31:$Q$1030,"&gt;"&amp;Q374)+COUNTIFS($Q$31:Q374,Q374)-1)</f>
        <v/>
      </c>
    </row>
    <row r="375" hidden="1" ht="16.5" customHeight="1">
      <c r="A375">
        <f>IF(COUNTA('05_KAIS'!$A363:$N363)=0,"",348)</f>
        <v/>
      </c>
      <c r="B375">
        <f>IF($A375="","",TRIM(INDEX('05_KAIS'!$B:$B,$A375)&amp;" "&amp;INDEX('05_KAIS'!$C:$C,$A375)))</f>
        <v/>
      </c>
      <c r="C375">
        <f>IF($A375="","",INDEX('05_KAIS'!$D:$D,$A375))</f>
        <v/>
      </c>
      <c r="D375">
        <f>IF($A375="","",INDEX('05_KAIS'!$H:$H,$A375))</f>
        <v/>
      </c>
      <c r="E375">
        <f>IF($A375="","",INDEX('05_KAIS'!$K:$K,$A375))</f>
        <v/>
      </c>
      <c r="F375" s="202">
        <f>IF($A375="","",INDEX('05_KAIS'!$I:$I,$A375))</f>
        <v/>
      </c>
      <c r="G375" s="118">
        <f>IF($A375="","",INDEX('05_KAIS'!$L:$L,$A375))</f>
        <v/>
      </c>
      <c r="H375" s="118">
        <f>IF($A375="","",IFERROR(INDEX('05_KAIS'!$M:$M,$A375),IF(AND(E375&gt;0,G375&gt;0),G375/E375,"")))</f>
        <v/>
      </c>
      <c r="I375" s="202">
        <f>IF($A375="","",INDEX('05_KAIS'!$N:$N,$A375))</f>
        <v/>
      </c>
      <c r="J375">
        <f>IF(B375="","",IF('02_대상물건입력'!$B$5="",1,IF(ISNUMBER(SEARCH('02_대상물건입력'!$B$5,B375)),1,0)))</f>
        <v/>
      </c>
      <c r="K375">
        <f>IF(B375="","",IF('02_대상물건입력'!$B$6="",1,IF(ISNUMBER(SEARCH('02_대상물건입력'!$B$6,B375)),1,0)))</f>
        <v/>
      </c>
      <c r="L375">
        <f>IF(D375="","",IF('02_대상물건입력'!$B$8="",0,IF(ISNUMBER(SEARCH('02_대상물건입력'!$B$8,D375)),1,0)))</f>
        <v/>
      </c>
      <c r="M375">
        <f>IFERROR(ABS(E375-'02_대상물건입력'!$B$11)/'02_대상물건입력'!$B$11,"")</f>
        <v/>
      </c>
      <c r="N375">
        <f>IFERROR(ABS('01_설정'!$B$4-F375),"")</f>
        <v/>
      </c>
      <c r="O375">
        <f>IFERROR(ABS(YEAR(I375)-YEAR('02_대상물건입력'!$B$14)),"")</f>
        <v/>
      </c>
      <c r="P375">
        <f>IF(AND(E375&gt;0,F375&gt;0,G375&gt;0,IF('01_설정'!$B$10=1,J375=1,TRUE()),M375&lt;='01_설정'!$B$5,N375&lt;='01_설정'!$B$7,O375&lt;='01_설정'!$B$8),"Y","")</f>
        <v/>
      </c>
      <c r="Q375">
        <f>IF(P375&lt;&gt;"Y","",MAX(0,(1-M375/'01_설정'!$B$5))*'01_설정'!$B$14+MAX(0,(1-N375/'01_설정'!$B$7))*'01_설정'!$B$16+MAX(0,(1-O375/'01_설정'!$B$8))*'01_설정'!$B$17+K375*'01_설정'!$B$11+L375*'01_설정'!$B$12)</f>
        <v/>
      </c>
      <c r="R375">
        <f>IF(Q375="","",1+COUNTIFS($Q$31:$Q$1030,"&gt;"&amp;Q375)+COUNTIFS($Q$31:Q375,Q375)-1)</f>
        <v/>
      </c>
    </row>
    <row r="376" hidden="1" ht="16.5" customHeight="1">
      <c r="A376">
        <f>IF(COUNTA('05_KAIS'!$A364:$N364)=0,"",349)</f>
        <v/>
      </c>
      <c r="B376">
        <f>IF($A376="","",TRIM(INDEX('05_KAIS'!$B:$B,$A376)&amp;" "&amp;INDEX('05_KAIS'!$C:$C,$A376)))</f>
        <v/>
      </c>
      <c r="C376">
        <f>IF($A376="","",INDEX('05_KAIS'!$D:$D,$A376))</f>
        <v/>
      </c>
      <c r="D376">
        <f>IF($A376="","",INDEX('05_KAIS'!$H:$H,$A376))</f>
        <v/>
      </c>
      <c r="E376">
        <f>IF($A376="","",INDEX('05_KAIS'!$K:$K,$A376))</f>
        <v/>
      </c>
      <c r="F376" s="202">
        <f>IF($A376="","",INDEX('05_KAIS'!$I:$I,$A376))</f>
        <v/>
      </c>
      <c r="G376" s="118">
        <f>IF($A376="","",INDEX('05_KAIS'!$L:$L,$A376))</f>
        <v/>
      </c>
      <c r="H376" s="118">
        <f>IF($A376="","",IFERROR(INDEX('05_KAIS'!$M:$M,$A376),IF(AND(E376&gt;0,G376&gt;0),G376/E376,"")))</f>
        <v/>
      </c>
      <c r="I376" s="202">
        <f>IF($A376="","",INDEX('05_KAIS'!$N:$N,$A376))</f>
        <v/>
      </c>
      <c r="J376">
        <f>IF(B376="","",IF('02_대상물건입력'!$B$5="",1,IF(ISNUMBER(SEARCH('02_대상물건입력'!$B$5,B376)),1,0)))</f>
        <v/>
      </c>
      <c r="K376">
        <f>IF(B376="","",IF('02_대상물건입력'!$B$6="",1,IF(ISNUMBER(SEARCH('02_대상물건입력'!$B$6,B376)),1,0)))</f>
        <v/>
      </c>
      <c r="L376">
        <f>IF(D376="","",IF('02_대상물건입력'!$B$8="",0,IF(ISNUMBER(SEARCH('02_대상물건입력'!$B$8,D376)),1,0)))</f>
        <v/>
      </c>
      <c r="M376">
        <f>IFERROR(ABS(E376-'02_대상물건입력'!$B$11)/'02_대상물건입력'!$B$11,"")</f>
        <v/>
      </c>
      <c r="N376">
        <f>IFERROR(ABS('01_설정'!$B$4-F376),"")</f>
        <v/>
      </c>
      <c r="O376">
        <f>IFERROR(ABS(YEAR(I376)-YEAR('02_대상물건입력'!$B$14)),"")</f>
        <v/>
      </c>
      <c r="P376">
        <f>IF(AND(E376&gt;0,F376&gt;0,G376&gt;0,IF('01_설정'!$B$10=1,J376=1,TRUE()),M376&lt;='01_설정'!$B$5,N376&lt;='01_설정'!$B$7,O376&lt;='01_설정'!$B$8),"Y","")</f>
        <v/>
      </c>
      <c r="Q376">
        <f>IF(P376&lt;&gt;"Y","",MAX(0,(1-M376/'01_설정'!$B$5))*'01_설정'!$B$14+MAX(0,(1-N376/'01_설정'!$B$7))*'01_설정'!$B$16+MAX(0,(1-O376/'01_설정'!$B$8))*'01_설정'!$B$17+K376*'01_설정'!$B$11+L376*'01_설정'!$B$12)</f>
        <v/>
      </c>
      <c r="R376">
        <f>IF(Q376="","",1+COUNTIFS($Q$31:$Q$1030,"&gt;"&amp;Q376)+COUNTIFS($Q$31:Q376,Q376)-1)</f>
        <v/>
      </c>
    </row>
    <row r="377" hidden="1" ht="16.5" customHeight="1">
      <c r="A377">
        <f>IF(COUNTA('05_KAIS'!$A365:$N365)=0,"",350)</f>
        <v/>
      </c>
      <c r="B377">
        <f>IF($A377="","",TRIM(INDEX('05_KAIS'!$B:$B,$A377)&amp;" "&amp;INDEX('05_KAIS'!$C:$C,$A377)))</f>
        <v/>
      </c>
      <c r="C377">
        <f>IF($A377="","",INDEX('05_KAIS'!$D:$D,$A377))</f>
        <v/>
      </c>
      <c r="D377">
        <f>IF($A377="","",INDEX('05_KAIS'!$H:$H,$A377))</f>
        <v/>
      </c>
      <c r="E377">
        <f>IF($A377="","",INDEX('05_KAIS'!$K:$K,$A377))</f>
        <v/>
      </c>
      <c r="F377" s="202">
        <f>IF($A377="","",INDEX('05_KAIS'!$I:$I,$A377))</f>
        <v/>
      </c>
      <c r="G377" s="118">
        <f>IF($A377="","",INDEX('05_KAIS'!$L:$L,$A377))</f>
        <v/>
      </c>
      <c r="H377" s="118">
        <f>IF($A377="","",IFERROR(INDEX('05_KAIS'!$M:$M,$A377),IF(AND(E377&gt;0,G377&gt;0),G377/E377,"")))</f>
        <v/>
      </c>
      <c r="I377" s="202">
        <f>IF($A377="","",INDEX('05_KAIS'!$N:$N,$A377))</f>
        <v/>
      </c>
      <c r="J377">
        <f>IF(B377="","",IF('02_대상물건입력'!$B$5="",1,IF(ISNUMBER(SEARCH('02_대상물건입력'!$B$5,B377)),1,0)))</f>
        <v/>
      </c>
      <c r="K377">
        <f>IF(B377="","",IF('02_대상물건입력'!$B$6="",1,IF(ISNUMBER(SEARCH('02_대상물건입력'!$B$6,B377)),1,0)))</f>
        <v/>
      </c>
      <c r="L377">
        <f>IF(D377="","",IF('02_대상물건입력'!$B$8="",0,IF(ISNUMBER(SEARCH('02_대상물건입력'!$B$8,D377)),1,0)))</f>
        <v/>
      </c>
      <c r="M377">
        <f>IFERROR(ABS(E377-'02_대상물건입력'!$B$11)/'02_대상물건입력'!$B$11,"")</f>
        <v/>
      </c>
      <c r="N377">
        <f>IFERROR(ABS('01_설정'!$B$4-F377),"")</f>
        <v/>
      </c>
      <c r="O377">
        <f>IFERROR(ABS(YEAR(I377)-YEAR('02_대상물건입력'!$B$14)),"")</f>
        <v/>
      </c>
      <c r="P377">
        <f>IF(AND(E377&gt;0,F377&gt;0,G377&gt;0,IF('01_설정'!$B$10=1,J377=1,TRUE()),M377&lt;='01_설정'!$B$5,N377&lt;='01_설정'!$B$7,O377&lt;='01_설정'!$B$8),"Y","")</f>
        <v/>
      </c>
      <c r="Q377">
        <f>IF(P377&lt;&gt;"Y","",MAX(0,(1-M377/'01_설정'!$B$5))*'01_설정'!$B$14+MAX(0,(1-N377/'01_설정'!$B$7))*'01_설정'!$B$16+MAX(0,(1-O377/'01_설정'!$B$8))*'01_설정'!$B$17+K377*'01_설정'!$B$11+L377*'01_설정'!$B$12)</f>
        <v/>
      </c>
      <c r="R377">
        <f>IF(Q377="","",1+COUNTIFS($Q$31:$Q$1030,"&gt;"&amp;Q377)+COUNTIFS($Q$31:Q377,Q377)-1)</f>
        <v/>
      </c>
    </row>
    <row r="378" hidden="1" ht="16.5" customHeight="1">
      <c r="A378">
        <f>IF(COUNTA('05_KAIS'!$A366:$N366)=0,"",351)</f>
        <v/>
      </c>
      <c r="B378">
        <f>IF($A378="","",TRIM(INDEX('05_KAIS'!$B:$B,$A378)&amp;" "&amp;INDEX('05_KAIS'!$C:$C,$A378)))</f>
        <v/>
      </c>
      <c r="C378">
        <f>IF($A378="","",INDEX('05_KAIS'!$D:$D,$A378))</f>
        <v/>
      </c>
      <c r="D378">
        <f>IF($A378="","",INDEX('05_KAIS'!$H:$H,$A378))</f>
        <v/>
      </c>
      <c r="E378">
        <f>IF($A378="","",INDEX('05_KAIS'!$K:$K,$A378))</f>
        <v/>
      </c>
      <c r="F378" s="202">
        <f>IF($A378="","",INDEX('05_KAIS'!$I:$I,$A378))</f>
        <v/>
      </c>
      <c r="G378" s="118">
        <f>IF($A378="","",INDEX('05_KAIS'!$L:$L,$A378))</f>
        <v/>
      </c>
      <c r="H378" s="118">
        <f>IF($A378="","",IFERROR(INDEX('05_KAIS'!$M:$M,$A378),IF(AND(E378&gt;0,G378&gt;0),G378/E378,"")))</f>
        <v/>
      </c>
      <c r="I378" s="202">
        <f>IF($A378="","",INDEX('05_KAIS'!$N:$N,$A378))</f>
        <v/>
      </c>
      <c r="J378">
        <f>IF(B378="","",IF('02_대상물건입력'!$B$5="",1,IF(ISNUMBER(SEARCH('02_대상물건입력'!$B$5,B378)),1,0)))</f>
        <v/>
      </c>
      <c r="K378">
        <f>IF(B378="","",IF('02_대상물건입력'!$B$6="",1,IF(ISNUMBER(SEARCH('02_대상물건입력'!$B$6,B378)),1,0)))</f>
        <v/>
      </c>
      <c r="L378">
        <f>IF(D378="","",IF('02_대상물건입력'!$B$8="",0,IF(ISNUMBER(SEARCH('02_대상물건입력'!$B$8,D378)),1,0)))</f>
        <v/>
      </c>
      <c r="M378">
        <f>IFERROR(ABS(E378-'02_대상물건입력'!$B$11)/'02_대상물건입력'!$B$11,"")</f>
        <v/>
      </c>
      <c r="N378">
        <f>IFERROR(ABS('01_설정'!$B$4-F378),"")</f>
        <v/>
      </c>
      <c r="O378">
        <f>IFERROR(ABS(YEAR(I378)-YEAR('02_대상물건입력'!$B$14)),"")</f>
        <v/>
      </c>
      <c r="P378">
        <f>IF(AND(E378&gt;0,F378&gt;0,G378&gt;0,IF('01_설정'!$B$10=1,J378=1,TRUE()),M378&lt;='01_설정'!$B$5,N378&lt;='01_설정'!$B$7,O378&lt;='01_설정'!$B$8),"Y","")</f>
        <v/>
      </c>
      <c r="Q378">
        <f>IF(P378&lt;&gt;"Y","",MAX(0,(1-M378/'01_설정'!$B$5))*'01_설정'!$B$14+MAX(0,(1-N378/'01_설정'!$B$7))*'01_설정'!$B$16+MAX(0,(1-O378/'01_설정'!$B$8))*'01_설정'!$B$17+K378*'01_설정'!$B$11+L378*'01_설정'!$B$12)</f>
        <v/>
      </c>
      <c r="R378">
        <f>IF(Q378="","",1+COUNTIFS($Q$31:$Q$1030,"&gt;"&amp;Q378)+COUNTIFS($Q$31:Q378,Q378)-1)</f>
        <v/>
      </c>
    </row>
    <row r="379" hidden="1" ht="16.5" customHeight="1">
      <c r="A379">
        <f>IF(COUNTA('05_KAIS'!$A367:$N367)=0,"",352)</f>
        <v/>
      </c>
      <c r="B379">
        <f>IF($A379="","",TRIM(INDEX('05_KAIS'!$B:$B,$A379)&amp;" "&amp;INDEX('05_KAIS'!$C:$C,$A379)))</f>
        <v/>
      </c>
      <c r="C379">
        <f>IF($A379="","",INDEX('05_KAIS'!$D:$D,$A379))</f>
        <v/>
      </c>
      <c r="D379">
        <f>IF($A379="","",INDEX('05_KAIS'!$H:$H,$A379))</f>
        <v/>
      </c>
      <c r="E379">
        <f>IF($A379="","",INDEX('05_KAIS'!$K:$K,$A379))</f>
        <v/>
      </c>
      <c r="F379" s="202">
        <f>IF($A379="","",INDEX('05_KAIS'!$I:$I,$A379))</f>
        <v/>
      </c>
      <c r="G379" s="118">
        <f>IF($A379="","",INDEX('05_KAIS'!$L:$L,$A379))</f>
        <v/>
      </c>
      <c r="H379" s="118">
        <f>IF($A379="","",IFERROR(INDEX('05_KAIS'!$M:$M,$A379),IF(AND(E379&gt;0,G379&gt;0),G379/E379,"")))</f>
        <v/>
      </c>
      <c r="I379" s="202">
        <f>IF($A379="","",INDEX('05_KAIS'!$N:$N,$A379))</f>
        <v/>
      </c>
      <c r="J379">
        <f>IF(B379="","",IF('02_대상물건입력'!$B$5="",1,IF(ISNUMBER(SEARCH('02_대상물건입력'!$B$5,B379)),1,0)))</f>
        <v/>
      </c>
      <c r="K379">
        <f>IF(B379="","",IF('02_대상물건입력'!$B$6="",1,IF(ISNUMBER(SEARCH('02_대상물건입력'!$B$6,B379)),1,0)))</f>
        <v/>
      </c>
      <c r="L379">
        <f>IF(D379="","",IF('02_대상물건입력'!$B$8="",0,IF(ISNUMBER(SEARCH('02_대상물건입력'!$B$8,D379)),1,0)))</f>
        <v/>
      </c>
      <c r="M379">
        <f>IFERROR(ABS(E379-'02_대상물건입력'!$B$11)/'02_대상물건입력'!$B$11,"")</f>
        <v/>
      </c>
      <c r="N379">
        <f>IFERROR(ABS('01_설정'!$B$4-F379),"")</f>
        <v/>
      </c>
      <c r="O379">
        <f>IFERROR(ABS(YEAR(I379)-YEAR('02_대상물건입력'!$B$14)),"")</f>
        <v/>
      </c>
      <c r="P379">
        <f>IF(AND(E379&gt;0,F379&gt;0,G379&gt;0,IF('01_설정'!$B$10=1,J379=1,TRUE()),M379&lt;='01_설정'!$B$5,N379&lt;='01_설정'!$B$7,O379&lt;='01_설정'!$B$8),"Y","")</f>
        <v/>
      </c>
      <c r="Q379">
        <f>IF(P379&lt;&gt;"Y","",MAX(0,(1-M379/'01_설정'!$B$5))*'01_설정'!$B$14+MAX(0,(1-N379/'01_설정'!$B$7))*'01_설정'!$B$16+MAX(0,(1-O379/'01_설정'!$B$8))*'01_설정'!$B$17+K379*'01_설정'!$B$11+L379*'01_설정'!$B$12)</f>
        <v/>
      </c>
      <c r="R379">
        <f>IF(Q379="","",1+COUNTIFS($Q$31:$Q$1030,"&gt;"&amp;Q379)+COUNTIFS($Q$31:Q379,Q379)-1)</f>
        <v/>
      </c>
    </row>
    <row r="380" hidden="1" ht="16.5" customHeight="1">
      <c r="A380">
        <f>IF(COUNTA('05_KAIS'!$A368:$N368)=0,"",353)</f>
        <v/>
      </c>
      <c r="B380">
        <f>IF($A380="","",TRIM(INDEX('05_KAIS'!$B:$B,$A380)&amp;" "&amp;INDEX('05_KAIS'!$C:$C,$A380)))</f>
        <v/>
      </c>
      <c r="C380">
        <f>IF($A380="","",INDEX('05_KAIS'!$D:$D,$A380))</f>
        <v/>
      </c>
      <c r="D380">
        <f>IF($A380="","",INDEX('05_KAIS'!$H:$H,$A380))</f>
        <v/>
      </c>
      <c r="E380">
        <f>IF($A380="","",INDEX('05_KAIS'!$K:$K,$A380))</f>
        <v/>
      </c>
      <c r="F380" s="202">
        <f>IF($A380="","",INDEX('05_KAIS'!$I:$I,$A380))</f>
        <v/>
      </c>
      <c r="G380" s="118">
        <f>IF($A380="","",INDEX('05_KAIS'!$L:$L,$A380))</f>
        <v/>
      </c>
      <c r="H380" s="118">
        <f>IF($A380="","",IFERROR(INDEX('05_KAIS'!$M:$M,$A380),IF(AND(E380&gt;0,G380&gt;0),G380/E380,"")))</f>
        <v/>
      </c>
      <c r="I380" s="202">
        <f>IF($A380="","",INDEX('05_KAIS'!$N:$N,$A380))</f>
        <v/>
      </c>
      <c r="J380">
        <f>IF(B380="","",IF('02_대상물건입력'!$B$5="",1,IF(ISNUMBER(SEARCH('02_대상물건입력'!$B$5,B380)),1,0)))</f>
        <v/>
      </c>
      <c r="K380">
        <f>IF(B380="","",IF('02_대상물건입력'!$B$6="",1,IF(ISNUMBER(SEARCH('02_대상물건입력'!$B$6,B380)),1,0)))</f>
        <v/>
      </c>
      <c r="L380">
        <f>IF(D380="","",IF('02_대상물건입력'!$B$8="",0,IF(ISNUMBER(SEARCH('02_대상물건입력'!$B$8,D380)),1,0)))</f>
        <v/>
      </c>
      <c r="M380">
        <f>IFERROR(ABS(E380-'02_대상물건입력'!$B$11)/'02_대상물건입력'!$B$11,"")</f>
        <v/>
      </c>
      <c r="N380">
        <f>IFERROR(ABS('01_설정'!$B$4-F380),"")</f>
        <v/>
      </c>
      <c r="O380">
        <f>IFERROR(ABS(YEAR(I380)-YEAR('02_대상물건입력'!$B$14)),"")</f>
        <v/>
      </c>
      <c r="P380">
        <f>IF(AND(E380&gt;0,F380&gt;0,G380&gt;0,IF('01_설정'!$B$10=1,J380=1,TRUE()),M380&lt;='01_설정'!$B$5,N380&lt;='01_설정'!$B$7,O380&lt;='01_설정'!$B$8),"Y","")</f>
        <v/>
      </c>
      <c r="Q380">
        <f>IF(P380&lt;&gt;"Y","",MAX(0,(1-M380/'01_설정'!$B$5))*'01_설정'!$B$14+MAX(0,(1-N380/'01_설정'!$B$7))*'01_설정'!$B$16+MAX(0,(1-O380/'01_설정'!$B$8))*'01_설정'!$B$17+K380*'01_설정'!$B$11+L380*'01_설정'!$B$12)</f>
        <v/>
      </c>
      <c r="R380">
        <f>IF(Q380="","",1+COUNTIFS($Q$31:$Q$1030,"&gt;"&amp;Q380)+COUNTIFS($Q$31:Q380,Q380)-1)</f>
        <v/>
      </c>
    </row>
    <row r="381" hidden="1" ht="16.5" customHeight="1">
      <c r="A381">
        <f>IF(COUNTA('05_KAIS'!$A369:$N369)=0,"",354)</f>
        <v/>
      </c>
      <c r="B381">
        <f>IF($A381="","",TRIM(INDEX('05_KAIS'!$B:$B,$A381)&amp;" "&amp;INDEX('05_KAIS'!$C:$C,$A381)))</f>
        <v/>
      </c>
      <c r="C381">
        <f>IF($A381="","",INDEX('05_KAIS'!$D:$D,$A381))</f>
        <v/>
      </c>
      <c r="D381">
        <f>IF($A381="","",INDEX('05_KAIS'!$H:$H,$A381))</f>
        <v/>
      </c>
      <c r="E381">
        <f>IF($A381="","",INDEX('05_KAIS'!$K:$K,$A381))</f>
        <v/>
      </c>
      <c r="F381" s="202">
        <f>IF($A381="","",INDEX('05_KAIS'!$I:$I,$A381))</f>
        <v/>
      </c>
      <c r="G381" s="118">
        <f>IF($A381="","",INDEX('05_KAIS'!$L:$L,$A381))</f>
        <v/>
      </c>
      <c r="H381" s="118">
        <f>IF($A381="","",IFERROR(INDEX('05_KAIS'!$M:$M,$A381),IF(AND(E381&gt;0,G381&gt;0),G381/E381,"")))</f>
        <v/>
      </c>
      <c r="I381" s="202">
        <f>IF($A381="","",INDEX('05_KAIS'!$N:$N,$A381))</f>
        <v/>
      </c>
      <c r="J381">
        <f>IF(B381="","",IF('02_대상물건입력'!$B$5="",1,IF(ISNUMBER(SEARCH('02_대상물건입력'!$B$5,B381)),1,0)))</f>
        <v/>
      </c>
      <c r="K381">
        <f>IF(B381="","",IF('02_대상물건입력'!$B$6="",1,IF(ISNUMBER(SEARCH('02_대상물건입력'!$B$6,B381)),1,0)))</f>
        <v/>
      </c>
      <c r="L381">
        <f>IF(D381="","",IF('02_대상물건입력'!$B$8="",0,IF(ISNUMBER(SEARCH('02_대상물건입력'!$B$8,D381)),1,0)))</f>
        <v/>
      </c>
      <c r="M381">
        <f>IFERROR(ABS(E381-'02_대상물건입력'!$B$11)/'02_대상물건입력'!$B$11,"")</f>
        <v/>
      </c>
      <c r="N381">
        <f>IFERROR(ABS('01_설정'!$B$4-F381),"")</f>
        <v/>
      </c>
      <c r="O381">
        <f>IFERROR(ABS(YEAR(I381)-YEAR('02_대상물건입력'!$B$14)),"")</f>
        <v/>
      </c>
      <c r="P381">
        <f>IF(AND(E381&gt;0,F381&gt;0,G381&gt;0,IF('01_설정'!$B$10=1,J381=1,TRUE()),M381&lt;='01_설정'!$B$5,N381&lt;='01_설정'!$B$7,O381&lt;='01_설정'!$B$8),"Y","")</f>
        <v/>
      </c>
      <c r="Q381">
        <f>IF(P381&lt;&gt;"Y","",MAX(0,(1-M381/'01_설정'!$B$5))*'01_설정'!$B$14+MAX(0,(1-N381/'01_설정'!$B$7))*'01_설정'!$B$16+MAX(0,(1-O381/'01_설정'!$B$8))*'01_설정'!$B$17+K381*'01_설정'!$B$11+L381*'01_설정'!$B$12)</f>
        <v/>
      </c>
      <c r="R381">
        <f>IF(Q381="","",1+COUNTIFS($Q$31:$Q$1030,"&gt;"&amp;Q381)+COUNTIFS($Q$31:Q381,Q381)-1)</f>
        <v/>
      </c>
    </row>
    <row r="382" hidden="1" ht="16.5" customHeight="1">
      <c r="A382">
        <f>IF(COUNTA('05_KAIS'!$A370:$N370)=0,"",355)</f>
        <v/>
      </c>
      <c r="B382">
        <f>IF($A382="","",TRIM(INDEX('05_KAIS'!$B:$B,$A382)&amp;" "&amp;INDEX('05_KAIS'!$C:$C,$A382)))</f>
        <v/>
      </c>
      <c r="C382">
        <f>IF($A382="","",INDEX('05_KAIS'!$D:$D,$A382))</f>
        <v/>
      </c>
      <c r="D382">
        <f>IF($A382="","",INDEX('05_KAIS'!$H:$H,$A382))</f>
        <v/>
      </c>
      <c r="E382">
        <f>IF($A382="","",INDEX('05_KAIS'!$K:$K,$A382))</f>
        <v/>
      </c>
      <c r="F382" s="202">
        <f>IF($A382="","",INDEX('05_KAIS'!$I:$I,$A382))</f>
        <v/>
      </c>
      <c r="G382" s="118">
        <f>IF($A382="","",INDEX('05_KAIS'!$L:$L,$A382))</f>
        <v/>
      </c>
      <c r="H382" s="118">
        <f>IF($A382="","",IFERROR(INDEX('05_KAIS'!$M:$M,$A382),IF(AND(E382&gt;0,G382&gt;0),G382/E382,"")))</f>
        <v/>
      </c>
      <c r="I382" s="202">
        <f>IF($A382="","",INDEX('05_KAIS'!$N:$N,$A382))</f>
        <v/>
      </c>
      <c r="J382">
        <f>IF(B382="","",IF('02_대상물건입력'!$B$5="",1,IF(ISNUMBER(SEARCH('02_대상물건입력'!$B$5,B382)),1,0)))</f>
        <v/>
      </c>
      <c r="K382">
        <f>IF(B382="","",IF('02_대상물건입력'!$B$6="",1,IF(ISNUMBER(SEARCH('02_대상물건입력'!$B$6,B382)),1,0)))</f>
        <v/>
      </c>
      <c r="L382">
        <f>IF(D382="","",IF('02_대상물건입력'!$B$8="",0,IF(ISNUMBER(SEARCH('02_대상물건입력'!$B$8,D382)),1,0)))</f>
        <v/>
      </c>
      <c r="M382">
        <f>IFERROR(ABS(E382-'02_대상물건입력'!$B$11)/'02_대상물건입력'!$B$11,"")</f>
        <v/>
      </c>
      <c r="N382">
        <f>IFERROR(ABS('01_설정'!$B$4-F382),"")</f>
        <v/>
      </c>
      <c r="O382">
        <f>IFERROR(ABS(YEAR(I382)-YEAR('02_대상물건입력'!$B$14)),"")</f>
        <v/>
      </c>
      <c r="P382">
        <f>IF(AND(E382&gt;0,F382&gt;0,G382&gt;0,IF('01_설정'!$B$10=1,J382=1,TRUE()),M382&lt;='01_설정'!$B$5,N382&lt;='01_설정'!$B$7,O382&lt;='01_설정'!$B$8),"Y","")</f>
        <v/>
      </c>
      <c r="Q382">
        <f>IF(P382&lt;&gt;"Y","",MAX(0,(1-M382/'01_설정'!$B$5))*'01_설정'!$B$14+MAX(0,(1-N382/'01_설정'!$B$7))*'01_설정'!$B$16+MAX(0,(1-O382/'01_설정'!$B$8))*'01_설정'!$B$17+K382*'01_설정'!$B$11+L382*'01_설정'!$B$12)</f>
        <v/>
      </c>
      <c r="R382">
        <f>IF(Q382="","",1+COUNTIFS($Q$31:$Q$1030,"&gt;"&amp;Q382)+COUNTIFS($Q$31:Q382,Q382)-1)</f>
        <v/>
      </c>
    </row>
    <row r="383" hidden="1" ht="16.5" customHeight="1">
      <c r="A383">
        <f>IF(COUNTA('05_KAIS'!$A371:$N371)=0,"",356)</f>
        <v/>
      </c>
      <c r="B383">
        <f>IF($A383="","",TRIM(INDEX('05_KAIS'!$B:$B,$A383)&amp;" "&amp;INDEX('05_KAIS'!$C:$C,$A383)))</f>
        <v/>
      </c>
      <c r="C383">
        <f>IF($A383="","",INDEX('05_KAIS'!$D:$D,$A383))</f>
        <v/>
      </c>
      <c r="D383">
        <f>IF($A383="","",INDEX('05_KAIS'!$H:$H,$A383))</f>
        <v/>
      </c>
      <c r="E383">
        <f>IF($A383="","",INDEX('05_KAIS'!$K:$K,$A383))</f>
        <v/>
      </c>
      <c r="F383" s="202">
        <f>IF($A383="","",INDEX('05_KAIS'!$I:$I,$A383))</f>
        <v/>
      </c>
      <c r="G383" s="118">
        <f>IF($A383="","",INDEX('05_KAIS'!$L:$L,$A383))</f>
        <v/>
      </c>
      <c r="H383" s="118">
        <f>IF($A383="","",IFERROR(INDEX('05_KAIS'!$M:$M,$A383),IF(AND(E383&gt;0,G383&gt;0),G383/E383,"")))</f>
        <v/>
      </c>
      <c r="I383" s="202">
        <f>IF($A383="","",INDEX('05_KAIS'!$N:$N,$A383))</f>
        <v/>
      </c>
      <c r="J383">
        <f>IF(B383="","",IF('02_대상물건입력'!$B$5="",1,IF(ISNUMBER(SEARCH('02_대상물건입력'!$B$5,B383)),1,0)))</f>
        <v/>
      </c>
      <c r="K383">
        <f>IF(B383="","",IF('02_대상물건입력'!$B$6="",1,IF(ISNUMBER(SEARCH('02_대상물건입력'!$B$6,B383)),1,0)))</f>
        <v/>
      </c>
      <c r="L383">
        <f>IF(D383="","",IF('02_대상물건입력'!$B$8="",0,IF(ISNUMBER(SEARCH('02_대상물건입력'!$B$8,D383)),1,0)))</f>
        <v/>
      </c>
      <c r="M383">
        <f>IFERROR(ABS(E383-'02_대상물건입력'!$B$11)/'02_대상물건입력'!$B$11,"")</f>
        <v/>
      </c>
      <c r="N383">
        <f>IFERROR(ABS('01_설정'!$B$4-F383),"")</f>
        <v/>
      </c>
      <c r="O383">
        <f>IFERROR(ABS(YEAR(I383)-YEAR('02_대상물건입력'!$B$14)),"")</f>
        <v/>
      </c>
      <c r="P383">
        <f>IF(AND(E383&gt;0,F383&gt;0,G383&gt;0,IF('01_설정'!$B$10=1,J383=1,TRUE()),M383&lt;='01_설정'!$B$5,N383&lt;='01_설정'!$B$7,O383&lt;='01_설정'!$B$8),"Y","")</f>
        <v/>
      </c>
      <c r="Q383">
        <f>IF(P383&lt;&gt;"Y","",MAX(0,(1-M383/'01_설정'!$B$5))*'01_설정'!$B$14+MAX(0,(1-N383/'01_설정'!$B$7))*'01_설정'!$B$16+MAX(0,(1-O383/'01_설정'!$B$8))*'01_설정'!$B$17+K383*'01_설정'!$B$11+L383*'01_설정'!$B$12)</f>
        <v/>
      </c>
      <c r="R383">
        <f>IF(Q383="","",1+COUNTIFS($Q$31:$Q$1030,"&gt;"&amp;Q383)+COUNTIFS($Q$31:Q383,Q383)-1)</f>
        <v/>
      </c>
    </row>
    <row r="384" hidden="1" ht="16.5" customHeight="1">
      <c r="A384">
        <f>IF(COUNTA('05_KAIS'!$A372:$N372)=0,"",357)</f>
        <v/>
      </c>
      <c r="B384">
        <f>IF($A384="","",TRIM(INDEX('05_KAIS'!$B:$B,$A384)&amp;" "&amp;INDEX('05_KAIS'!$C:$C,$A384)))</f>
        <v/>
      </c>
      <c r="C384">
        <f>IF($A384="","",INDEX('05_KAIS'!$D:$D,$A384))</f>
        <v/>
      </c>
      <c r="D384">
        <f>IF($A384="","",INDEX('05_KAIS'!$H:$H,$A384))</f>
        <v/>
      </c>
      <c r="E384">
        <f>IF($A384="","",INDEX('05_KAIS'!$K:$K,$A384))</f>
        <v/>
      </c>
      <c r="F384" s="202">
        <f>IF($A384="","",INDEX('05_KAIS'!$I:$I,$A384))</f>
        <v/>
      </c>
      <c r="G384" s="118">
        <f>IF($A384="","",INDEX('05_KAIS'!$L:$L,$A384))</f>
        <v/>
      </c>
      <c r="H384" s="118">
        <f>IF($A384="","",IFERROR(INDEX('05_KAIS'!$M:$M,$A384),IF(AND(E384&gt;0,G384&gt;0),G384/E384,"")))</f>
        <v/>
      </c>
      <c r="I384" s="202">
        <f>IF($A384="","",INDEX('05_KAIS'!$N:$N,$A384))</f>
        <v/>
      </c>
      <c r="J384">
        <f>IF(B384="","",IF('02_대상물건입력'!$B$5="",1,IF(ISNUMBER(SEARCH('02_대상물건입력'!$B$5,B384)),1,0)))</f>
        <v/>
      </c>
      <c r="K384">
        <f>IF(B384="","",IF('02_대상물건입력'!$B$6="",1,IF(ISNUMBER(SEARCH('02_대상물건입력'!$B$6,B384)),1,0)))</f>
        <v/>
      </c>
      <c r="L384">
        <f>IF(D384="","",IF('02_대상물건입력'!$B$8="",0,IF(ISNUMBER(SEARCH('02_대상물건입력'!$B$8,D384)),1,0)))</f>
        <v/>
      </c>
      <c r="M384">
        <f>IFERROR(ABS(E384-'02_대상물건입력'!$B$11)/'02_대상물건입력'!$B$11,"")</f>
        <v/>
      </c>
      <c r="N384">
        <f>IFERROR(ABS('01_설정'!$B$4-F384),"")</f>
        <v/>
      </c>
      <c r="O384">
        <f>IFERROR(ABS(YEAR(I384)-YEAR('02_대상물건입력'!$B$14)),"")</f>
        <v/>
      </c>
      <c r="P384">
        <f>IF(AND(E384&gt;0,F384&gt;0,G384&gt;0,IF('01_설정'!$B$10=1,J384=1,TRUE()),M384&lt;='01_설정'!$B$5,N384&lt;='01_설정'!$B$7,O384&lt;='01_설정'!$B$8),"Y","")</f>
        <v/>
      </c>
      <c r="Q384">
        <f>IF(P384&lt;&gt;"Y","",MAX(0,(1-M384/'01_설정'!$B$5))*'01_설정'!$B$14+MAX(0,(1-N384/'01_설정'!$B$7))*'01_설정'!$B$16+MAX(0,(1-O384/'01_설정'!$B$8))*'01_설정'!$B$17+K384*'01_설정'!$B$11+L384*'01_설정'!$B$12)</f>
        <v/>
      </c>
      <c r="R384">
        <f>IF(Q384="","",1+COUNTIFS($Q$31:$Q$1030,"&gt;"&amp;Q384)+COUNTIFS($Q$31:Q384,Q384)-1)</f>
        <v/>
      </c>
    </row>
    <row r="385" hidden="1" ht="16.5" customHeight="1">
      <c r="A385">
        <f>IF(COUNTA('05_KAIS'!$A373:$N373)=0,"",358)</f>
        <v/>
      </c>
      <c r="B385">
        <f>IF($A385="","",TRIM(INDEX('05_KAIS'!$B:$B,$A385)&amp;" "&amp;INDEX('05_KAIS'!$C:$C,$A385)))</f>
        <v/>
      </c>
      <c r="C385">
        <f>IF($A385="","",INDEX('05_KAIS'!$D:$D,$A385))</f>
        <v/>
      </c>
      <c r="D385">
        <f>IF($A385="","",INDEX('05_KAIS'!$H:$H,$A385))</f>
        <v/>
      </c>
      <c r="E385">
        <f>IF($A385="","",INDEX('05_KAIS'!$K:$K,$A385))</f>
        <v/>
      </c>
      <c r="F385" s="202">
        <f>IF($A385="","",INDEX('05_KAIS'!$I:$I,$A385))</f>
        <v/>
      </c>
      <c r="G385" s="118">
        <f>IF($A385="","",INDEX('05_KAIS'!$L:$L,$A385))</f>
        <v/>
      </c>
      <c r="H385" s="118">
        <f>IF($A385="","",IFERROR(INDEX('05_KAIS'!$M:$M,$A385),IF(AND(E385&gt;0,G385&gt;0),G385/E385,"")))</f>
        <v/>
      </c>
      <c r="I385" s="202">
        <f>IF($A385="","",INDEX('05_KAIS'!$N:$N,$A385))</f>
        <v/>
      </c>
      <c r="J385">
        <f>IF(B385="","",IF('02_대상물건입력'!$B$5="",1,IF(ISNUMBER(SEARCH('02_대상물건입력'!$B$5,B385)),1,0)))</f>
        <v/>
      </c>
      <c r="K385">
        <f>IF(B385="","",IF('02_대상물건입력'!$B$6="",1,IF(ISNUMBER(SEARCH('02_대상물건입력'!$B$6,B385)),1,0)))</f>
        <v/>
      </c>
      <c r="L385">
        <f>IF(D385="","",IF('02_대상물건입력'!$B$8="",0,IF(ISNUMBER(SEARCH('02_대상물건입력'!$B$8,D385)),1,0)))</f>
        <v/>
      </c>
      <c r="M385">
        <f>IFERROR(ABS(E385-'02_대상물건입력'!$B$11)/'02_대상물건입력'!$B$11,"")</f>
        <v/>
      </c>
      <c r="N385">
        <f>IFERROR(ABS('01_설정'!$B$4-F385),"")</f>
        <v/>
      </c>
      <c r="O385">
        <f>IFERROR(ABS(YEAR(I385)-YEAR('02_대상물건입력'!$B$14)),"")</f>
        <v/>
      </c>
      <c r="P385">
        <f>IF(AND(E385&gt;0,F385&gt;0,G385&gt;0,IF('01_설정'!$B$10=1,J385=1,TRUE()),M385&lt;='01_설정'!$B$5,N385&lt;='01_설정'!$B$7,O385&lt;='01_설정'!$B$8),"Y","")</f>
        <v/>
      </c>
      <c r="Q385">
        <f>IF(P385&lt;&gt;"Y","",MAX(0,(1-M385/'01_설정'!$B$5))*'01_설정'!$B$14+MAX(0,(1-N385/'01_설정'!$B$7))*'01_설정'!$B$16+MAX(0,(1-O385/'01_설정'!$B$8))*'01_설정'!$B$17+K385*'01_설정'!$B$11+L385*'01_설정'!$B$12)</f>
        <v/>
      </c>
      <c r="R385">
        <f>IF(Q385="","",1+COUNTIFS($Q$31:$Q$1030,"&gt;"&amp;Q385)+COUNTIFS($Q$31:Q385,Q385)-1)</f>
        <v/>
      </c>
    </row>
    <row r="386" hidden="1" ht="16.5" customHeight="1">
      <c r="A386">
        <f>IF(COUNTA('05_KAIS'!$A374:$N374)=0,"",359)</f>
        <v/>
      </c>
      <c r="B386">
        <f>IF($A386="","",TRIM(INDEX('05_KAIS'!$B:$B,$A386)&amp;" "&amp;INDEX('05_KAIS'!$C:$C,$A386)))</f>
        <v/>
      </c>
      <c r="C386">
        <f>IF($A386="","",INDEX('05_KAIS'!$D:$D,$A386))</f>
        <v/>
      </c>
      <c r="D386">
        <f>IF($A386="","",INDEX('05_KAIS'!$H:$H,$A386))</f>
        <v/>
      </c>
      <c r="E386">
        <f>IF($A386="","",INDEX('05_KAIS'!$K:$K,$A386))</f>
        <v/>
      </c>
      <c r="F386" s="202">
        <f>IF($A386="","",INDEX('05_KAIS'!$I:$I,$A386))</f>
        <v/>
      </c>
      <c r="G386" s="118">
        <f>IF($A386="","",INDEX('05_KAIS'!$L:$L,$A386))</f>
        <v/>
      </c>
      <c r="H386" s="118">
        <f>IF($A386="","",IFERROR(INDEX('05_KAIS'!$M:$M,$A386),IF(AND(E386&gt;0,G386&gt;0),G386/E386,"")))</f>
        <v/>
      </c>
      <c r="I386" s="202">
        <f>IF($A386="","",INDEX('05_KAIS'!$N:$N,$A386))</f>
        <v/>
      </c>
      <c r="J386">
        <f>IF(B386="","",IF('02_대상물건입력'!$B$5="",1,IF(ISNUMBER(SEARCH('02_대상물건입력'!$B$5,B386)),1,0)))</f>
        <v/>
      </c>
      <c r="K386">
        <f>IF(B386="","",IF('02_대상물건입력'!$B$6="",1,IF(ISNUMBER(SEARCH('02_대상물건입력'!$B$6,B386)),1,0)))</f>
        <v/>
      </c>
      <c r="L386">
        <f>IF(D386="","",IF('02_대상물건입력'!$B$8="",0,IF(ISNUMBER(SEARCH('02_대상물건입력'!$B$8,D386)),1,0)))</f>
        <v/>
      </c>
      <c r="M386">
        <f>IFERROR(ABS(E386-'02_대상물건입력'!$B$11)/'02_대상물건입력'!$B$11,"")</f>
        <v/>
      </c>
      <c r="N386">
        <f>IFERROR(ABS('01_설정'!$B$4-F386),"")</f>
        <v/>
      </c>
      <c r="O386">
        <f>IFERROR(ABS(YEAR(I386)-YEAR('02_대상물건입력'!$B$14)),"")</f>
        <v/>
      </c>
      <c r="P386">
        <f>IF(AND(E386&gt;0,F386&gt;0,G386&gt;0,IF('01_설정'!$B$10=1,J386=1,TRUE()),M386&lt;='01_설정'!$B$5,N386&lt;='01_설정'!$B$7,O386&lt;='01_설정'!$B$8),"Y","")</f>
        <v/>
      </c>
      <c r="Q386">
        <f>IF(P386&lt;&gt;"Y","",MAX(0,(1-M386/'01_설정'!$B$5))*'01_설정'!$B$14+MAX(0,(1-N386/'01_설정'!$B$7))*'01_설정'!$B$16+MAX(0,(1-O386/'01_설정'!$B$8))*'01_설정'!$B$17+K386*'01_설정'!$B$11+L386*'01_설정'!$B$12)</f>
        <v/>
      </c>
      <c r="R386">
        <f>IF(Q386="","",1+COUNTIFS($Q$31:$Q$1030,"&gt;"&amp;Q386)+COUNTIFS($Q$31:Q386,Q386)-1)</f>
        <v/>
      </c>
    </row>
    <row r="387" hidden="1" ht="16.5" customHeight="1">
      <c r="A387">
        <f>IF(COUNTA('05_KAIS'!$A375:$N375)=0,"",360)</f>
        <v/>
      </c>
      <c r="B387">
        <f>IF($A387="","",TRIM(INDEX('05_KAIS'!$B:$B,$A387)&amp;" "&amp;INDEX('05_KAIS'!$C:$C,$A387)))</f>
        <v/>
      </c>
      <c r="C387">
        <f>IF($A387="","",INDEX('05_KAIS'!$D:$D,$A387))</f>
        <v/>
      </c>
      <c r="D387">
        <f>IF($A387="","",INDEX('05_KAIS'!$H:$H,$A387))</f>
        <v/>
      </c>
      <c r="E387">
        <f>IF($A387="","",INDEX('05_KAIS'!$K:$K,$A387))</f>
        <v/>
      </c>
      <c r="F387" s="202">
        <f>IF($A387="","",INDEX('05_KAIS'!$I:$I,$A387))</f>
        <v/>
      </c>
      <c r="G387" s="118">
        <f>IF($A387="","",INDEX('05_KAIS'!$L:$L,$A387))</f>
        <v/>
      </c>
      <c r="H387" s="118">
        <f>IF($A387="","",IFERROR(INDEX('05_KAIS'!$M:$M,$A387),IF(AND(E387&gt;0,G387&gt;0),G387/E387,"")))</f>
        <v/>
      </c>
      <c r="I387" s="202">
        <f>IF($A387="","",INDEX('05_KAIS'!$N:$N,$A387))</f>
        <v/>
      </c>
      <c r="J387">
        <f>IF(B387="","",IF('02_대상물건입력'!$B$5="",1,IF(ISNUMBER(SEARCH('02_대상물건입력'!$B$5,B387)),1,0)))</f>
        <v/>
      </c>
      <c r="K387">
        <f>IF(B387="","",IF('02_대상물건입력'!$B$6="",1,IF(ISNUMBER(SEARCH('02_대상물건입력'!$B$6,B387)),1,0)))</f>
        <v/>
      </c>
      <c r="L387">
        <f>IF(D387="","",IF('02_대상물건입력'!$B$8="",0,IF(ISNUMBER(SEARCH('02_대상물건입력'!$B$8,D387)),1,0)))</f>
        <v/>
      </c>
      <c r="M387">
        <f>IFERROR(ABS(E387-'02_대상물건입력'!$B$11)/'02_대상물건입력'!$B$11,"")</f>
        <v/>
      </c>
      <c r="N387">
        <f>IFERROR(ABS('01_설정'!$B$4-F387),"")</f>
        <v/>
      </c>
      <c r="O387">
        <f>IFERROR(ABS(YEAR(I387)-YEAR('02_대상물건입력'!$B$14)),"")</f>
        <v/>
      </c>
      <c r="P387">
        <f>IF(AND(E387&gt;0,F387&gt;0,G387&gt;0,IF('01_설정'!$B$10=1,J387=1,TRUE()),M387&lt;='01_설정'!$B$5,N387&lt;='01_설정'!$B$7,O387&lt;='01_설정'!$B$8),"Y","")</f>
        <v/>
      </c>
      <c r="Q387">
        <f>IF(P387&lt;&gt;"Y","",MAX(0,(1-M387/'01_설정'!$B$5))*'01_설정'!$B$14+MAX(0,(1-N387/'01_설정'!$B$7))*'01_설정'!$B$16+MAX(0,(1-O387/'01_설정'!$B$8))*'01_설정'!$B$17+K387*'01_설정'!$B$11+L387*'01_설정'!$B$12)</f>
        <v/>
      </c>
      <c r="R387">
        <f>IF(Q387="","",1+COUNTIFS($Q$31:$Q$1030,"&gt;"&amp;Q387)+COUNTIFS($Q$31:Q387,Q387)-1)</f>
        <v/>
      </c>
    </row>
    <row r="388" hidden="1" ht="16.5" customHeight="1">
      <c r="A388">
        <f>IF(COUNTA('05_KAIS'!$A376:$N376)=0,"",361)</f>
        <v/>
      </c>
      <c r="B388">
        <f>IF($A388="","",TRIM(INDEX('05_KAIS'!$B:$B,$A388)&amp;" "&amp;INDEX('05_KAIS'!$C:$C,$A388)))</f>
        <v/>
      </c>
      <c r="C388">
        <f>IF($A388="","",INDEX('05_KAIS'!$D:$D,$A388))</f>
        <v/>
      </c>
      <c r="D388">
        <f>IF($A388="","",INDEX('05_KAIS'!$H:$H,$A388))</f>
        <v/>
      </c>
      <c r="E388">
        <f>IF($A388="","",INDEX('05_KAIS'!$K:$K,$A388))</f>
        <v/>
      </c>
      <c r="F388" s="202">
        <f>IF($A388="","",INDEX('05_KAIS'!$I:$I,$A388))</f>
        <v/>
      </c>
      <c r="G388" s="118">
        <f>IF($A388="","",INDEX('05_KAIS'!$L:$L,$A388))</f>
        <v/>
      </c>
      <c r="H388" s="118">
        <f>IF($A388="","",IFERROR(INDEX('05_KAIS'!$M:$M,$A388),IF(AND(E388&gt;0,G388&gt;0),G388/E388,"")))</f>
        <v/>
      </c>
      <c r="I388" s="202">
        <f>IF($A388="","",INDEX('05_KAIS'!$N:$N,$A388))</f>
        <v/>
      </c>
      <c r="J388">
        <f>IF(B388="","",IF('02_대상물건입력'!$B$5="",1,IF(ISNUMBER(SEARCH('02_대상물건입력'!$B$5,B388)),1,0)))</f>
        <v/>
      </c>
      <c r="K388">
        <f>IF(B388="","",IF('02_대상물건입력'!$B$6="",1,IF(ISNUMBER(SEARCH('02_대상물건입력'!$B$6,B388)),1,0)))</f>
        <v/>
      </c>
      <c r="L388">
        <f>IF(D388="","",IF('02_대상물건입력'!$B$8="",0,IF(ISNUMBER(SEARCH('02_대상물건입력'!$B$8,D388)),1,0)))</f>
        <v/>
      </c>
      <c r="M388">
        <f>IFERROR(ABS(E388-'02_대상물건입력'!$B$11)/'02_대상물건입력'!$B$11,"")</f>
        <v/>
      </c>
      <c r="N388">
        <f>IFERROR(ABS('01_설정'!$B$4-F388),"")</f>
        <v/>
      </c>
      <c r="O388">
        <f>IFERROR(ABS(YEAR(I388)-YEAR('02_대상물건입력'!$B$14)),"")</f>
        <v/>
      </c>
      <c r="P388">
        <f>IF(AND(E388&gt;0,F388&gt;0,G388&gt;0,IF('01_설정'!$B$10=1,J388=1,TRUE()),M388&lt;='01_설정'!$B$5,N388&lt;='01_설정'!$B$7,O388&lt;='01_설정'!$B$8),"Y","")</f>
        <v/>
      </c>
      <c r="Q388">
        <f>IF(P388&lt;&gt;"Y","",MAX(0,(1-M388/'01_설정'!$B$5))*'01_설정'!$B$14+MAX(0,(1-N388/'01_설정'!$B$7))*'01_설정'!$B$16+MAX(0,(1-O388/'01_설정'!$B$8))*'01_설정'!$B$17+K388*'01_설정'!$B$11+L388*'01_설정'!$B$12)</f>
        <v/>
      </c>
      <c r="R388">
        <f>IF(Q388="","",1+COUNTIFS($Q$31:$Q$1030,"&gt;"&amp;Q388)+COUNTIFS($Q$31:Q388,Q388)-1)</f>
        <v/>
      </c>
    </row>
    <row r="389" hidden="1" ht="16.5" customHeight="1">
      <c r="A389">
        <f>IF(COUNTA('05_KAIS'!$A377:$N377)=0,"",362)</f>
        <v/>
      </c>
      <c r="B389">
        <f>IF($A389="","",TRIM(INDEX('05_KAIS'!$B:$B,$A389)&amp;" "&amp;INDEX('05_KAIS'!$C:$C,$A389)))</f>
        <v/>
      </c>
      <c r="C389">
        <f>IF($A389="","",INDEX('05_KAIS'!$D:$D,$A389))</f>
        <v/>
      </c>
      <c r="D389">
        <f>IF($A389="","",INDEX('05_KAIS'!$H:$H,$A389))</f>
        <v/>
      </c>
      <c r="E389">
        <f>IF($A389="","",INDEX('05_KAIS'!$K:$K,$A389))</f>
        <v/>
      </c>
      <c r="F389" s="202">
        <f>IF($A389="","",INDEX('05_KAIS'!$I:$I,$A389))</f>
        <v/>
      </c>
      <c r="G389" s="118">
        <f>IF($A389="","",INDEX('05_KAIS'!$L:$L,$A389))</f>
        <v/>
      </c>
      <c r="H389" s="118">
        <f>IF($A389="","",IFERROR(INDEX('05_KAIS'!$M:$M,$A389),IF(AND(E389&gt;0,G389&gt;0),G389/E389,"")))</f>
        <v/>
      </c>
      <c r="I389" s="202">
        <f>IF($A389="","",INDEX('05_KAIS'!$N:$N,$A389))</f>
        <v/>
      </c>
      <c r="J389">
        <f>IF(B389="","",IF('02_대상물건입력'!$B$5="",1,IF(ISNUMBER(SEARCH('02_대상물건입력'!$B$5,B389)),1,0)))</f>
        <v/>
      </c>
      <c r="K389">
        <f>IF(B389="","",IF('02_대상물건입력'!$B$6="",1,IF(ISNUMBER(SEARCH('02_대상물건입력'!$B$6,B389)),1,0)))</f>
        <v/>
      </c>
      <c r="L389">
        <f>IF(D389="","",IF('02_대상물건입력'!$B$8="",0,IF(ISNUMBER(SEARCH('02_대상물건입력'!$B$8,D389)),1,0)))</f>
        <v/>
      </c>
      <c r="M389">
        <f>IFERROR(ABS(E389-'02_대상물건입력'!$B$11)/'02_대상물건입력'!$B$11,"")</f>
        <v/>
      </c>
      <c r="N389">
        <f>IFERROR(ABS('01_설정'!$B$4-F389),"")</f>
        <v/>
      </c>
      <c r="O389">
        <f>IFERROR(ABS(YEAR(I389)-YEAR('02_대상물건입력'!$B$14)),"")</f>
        <v/>
      </c>
      <c r="P389">
        <f>IF(AND(E389&gt;0,F389&gt;0,G389&gt;0,IF('01_설정'!$B$10=1,J389=1,TRUE()),M389&lt;='01_설정'!$B$5,N389&lt;='01_설정'!$B$7,O389&lt;='01_설정'!$B$8),"Y","")</f>
        <v/>
      </c>
      <c r="Q389">
        <f>IF(P389&lt;&gt;"Y","",MAX(0,(1-M389/'01_설정'!$B$5))*'01_설정'!$B$14+MAX(0,(1-N389/'01_설정'!$B$7))*'01_설정'!$B$16+MAX(0,(1-O389/'01_설정'!$B$8))*'01_설정'!$B$17+K389*'01_설정'!$B$11+L389*'01_설정'!$B$12)</f>
        <v/>
      </c>
      <c r="R389">
        <f>IF(Q389="","",1+COUNTIFS($Q$31:$Q$1030,"&gt;"&amp;Q389)+COUNTIFS($Q$31:Q389,Q389)-1)</f>
        <v/>
      </c>
    </row>
    <row r="390" hidden="1" ht="16.5" customHeight="1">
      <c r="A390">
        <f>IF(COUNTA('05_KAIS'!$A378:$N378)=0,"",363)</f>
        <v/>
      </c>
      <c r="B390">
        <f>IF($A390="","",TRIM(INDEX('05_KAIS'!$B:$B,$A390)&amp;" "&amp;INDEX('05_KAIS'!$C:$C,$A390)))</f>
        <v/>
      </c>
      <c r="C390">
        <f>IF($A390="","",INDEX('05_KAIS'!$D:$D,$A390))</f>
        <v/>
      </c>
      <c r="D390">
        <f>IF($A390="","",INDEX('05_KAIS'!$H:$H,$A390))</f>
        <v/>
      </c>
      <c r="E390">
        <f>IF($A390="","",INDEX('05_KAIS'!$K:$K,$A390))</f>
        <v/>
      </c>
      <c r="F390" s="202">
        <f>IF($A390="","",INDEX('05_KAIS'!$I:$I,$A390))</f>
        <v/>
      </c>
      <c r="G390" s="118">
        <f>IF($A390="","",INDEX('05_KAIS'!$L:$L,$A390))</f>
        <v/>
      </c>
      <c r="H390" s="118">
        <f>IF($A390="","",IFERROR(INDEX('05_KAIS'!$M:$M,$A390),IF(AND(E390&gt;0,G390&gt;0),G390/E390,"")))</f>
        <v/>
      </c>
      <c r="I390" s="202">
        <f>IF($A390="","",INDEX('05_KAIS'!$N:$N,$A390))</f>
        <v/>
      </c>
      <c r="J390">
        <f>IF(B390="","",IF('02_대상물건입력'!$B$5="",1,IF(ISNUMBER(SEARCH('02_대상물건입력'!$B$5,B390)),1,0)))</f>
        <v/>
      </c>
      <c r="K390">
        <f>IF(B390="","",IF('02_대상물건입력'!$B$6="",1,IF(ISNUMBER(SEARCH('02_대상물건입력'!$B$6,B390)),1,0)))</f>
        <v/>
      </c>
      <c r="L390">
        <f>IF(D390="","",IF('02_대상물건입력'!$B$8="",0,IF(ISNUMBER(SEARCH('02_대상물건입력'!$B$8,D390)),1,0)))</f>
        <v/>
      </c>
      <c r="M390">
        <f>IFERROR(ABS(E390-'02_대상물건입력'!$B$11)/'02_대상물건입력'!$B$11,"")</f>
        <v/>
      </c>
      <c r="N390">
        <f>IFERROR(ABS('01_설정'!$B$4-F390),"")</f>
        <v/>
      </c>
      <c r="O390">
        <f>IFERROR(ABS(YEAR(I390)-YEAR('02_대상물건입력'!$B$14)),"")</f>
        <v/>
      </c>
      <c r="P390">
        <f>IF(AND(E390&gt;0,F390&gt;0,G390&gt;0,IF('01_설정'!$B$10=1,J390=1,TRUE()),M390&lt;='01_설정'!$B$5,N390&lt;='01_설정'!$B$7,O390&lt;='01_설정'!$B$8),"Y","")</f>
        <v/>
      </c>
      <c r="Q390">
        <f>IF(P390&lt;&gt;"Y","",MAX(0,(1-M390/'01_설정'!$B$5))*'01_설정'!$B$14+MAX(0,(1-N390/'01_설정'!$B$7))*'01_설정'!$B$16+MAX(0,(1-O390/'01_설정'!$B$8))*'01_설정'!$B$17+K390*'01_설정'!$B$11+L390*'01_설정'!$B$12)</f>
        <v/>
      </c>
      <c r="R390">
        <f>IF(Q390="","",1+COUNTIFS($Q$31:$Q$1030,"&gt;"&amp;Q390)+COUNTIFS($Q$31:Q390,Q390)-1)</f>
        <v/>
      </c>
    </row>
    <row r="391" hidden="1" ht="16.5" customHeight="1">
      <c r="A391">
        <f>IF(COUNTA('05_KAIS'!$A379:$N379)=0,"",364)</f>
        <v/>
      </c>
      <c r="B391">
        <f>IF($A391="","",TRIM(INDEX('05_KAIS'!$B:$B,$A391)&amp;" "&amp;INDEX('05_KAIS'!$C:$C,$A391)))</f>
        <v/>
      </c>
      <c r="C391">
        <f>IF($A391="","",INDEX('05_KAIS'!$D:$D,$A391))</f>
        <v/>
      </c>
      <c r="D391">
        <f>IF($A391="","",INDEX('05_KAIS'!$H:$H,$A391))</f>
        <v/>
      </c>
      <c r="E391">
        <f>IF($A391="","",INDEX('05_KAIS'!$K:$K,$A391))</f>
        <v/>
      </c>
      <c r="F391" s="202">
        <f>IF($A391="","",INDEX('05_KAIS'!$I:$I,$A391))</f>
        <v/>
      </c>
      <c r="G391" s="118">
        <f>IF($A391="","",INDEX('05_KAIS'!$L:$L,$A391))</f>
        <v/>
      </c>
      <c r="H391" s="118">
        <f>IF($A391="","",IFERROR(INDEX('05_KAIS'!$M:$M,$A391),IF(AND(E391&gt;0,G391&gt;0),G391/E391,"")))</f>
        <v/>
      </c>
      <c r="I391" s="202">
        <f>IF($A391="","",INDEX('05_KAIS'!$N:$N,$A391))</f>
        <v/>
      </c>
      <c r="J391">
        <f>IF(B391="","",IF('02_대상물건입력'!$B$5="",1,IF(ISNUMBER(SEARCH('02_대상물건입력'!$B$5,B391)),1,0)))</f>
        <v/>
      </c>
      <c r="K391">
        <f>IF(B391="","",IF('02_대상물건입력'!$B$6="",1,IF(ISNUMBER(SEARCH('02_대상물건입력'!$B$6,B391)),1,0)))</f>
        <v/>
      </c>
      <c r="L391">
        <f>IF(D391="","",IF('02_대상물건입력'!$B$8="",0,IF(ISNUMBER(SEARCH('02_대상물건입력'!$B$8,D391)),1,0)))</f>
        <v/>
      </c>
      <c r="M391">
        <f>IFERROR(ABS(E391-'02_대상물건입력'!$B$11)/'02_대상물건입력'!$B$11,"")</f>
        <v/>
      </c>
      <c r="N391">
        <f>IFERROR(ABS('01_설정'!$B$4-F391),"")</f>
        <v/>
      </c>
      <c r="O391">
        <f>IFERROR(ABS(YEAR(I391)-YEAR('02_대상물건입력'!$B$14)),"")</f>
        <v/>
      </c>
      <c r="P391">
        <f>IF(AND(E391&gt;0,F391&gt;0,G391&gt;0,IF('01_설정'!$B$10=1,J391=1,TRUE()),M391&lt;='01_설정'!$B$5,N391&lt;='01_설정'!$B$7,O391&lt;='01_설정'!$B$8),"Y","")</f>
        <v/>
      </c>
      <c r="Q391">
        <f>IF(P391&lt;&gt;"Y","",MAX(0,(1-M391/'01_설정'!$B$5))*'01_설정'!$B$14+MAX(0,(1-N391/'01_설정'!$B$7))*'01_설정'!$B$16+MAX(0,(1-O391/'01_설정'!$B$8))*'01_설정'!$B$17+K391*'01_설정'!$B$11+L391*'01_설정'!$B$12)</f>
        <v/>
      </c>
      <c r="R391">
        <f>IF(Q391="","",1+COUNTIFS($Q$31:$Q$1030,"&gt;"&amp;Q391)+COUNTIFS($Q$31:Q391,Q391)-1)</f>
        <v/>
      </c>
    </row>
    <row r="392" hidden="1" ht="16.5" customHeight="1">
      <c r="A392">
        <f>IF(COUNTA('05_KAIS'!$A380:$N380)=0,"",365)</f>
        <v/>
      </c>
      <c r="B392">
        <f>IF($A392="","",TRIM(INDEX('05_KAIS'!$B:$B,$A392)&amp;" "&amp;INDEX('05_KAIS'!$C:$C,$A392)))</f>
        <v/>
      </c>
      <c r="C392">
        <f>IF($A392="","",INDEX('05_KAIS'!$D:$D,$A392))</f>
        <v/>
      </c>
      <c r="D392">
        <f>IF($A392="","",INDEX('05_KAIS'!$H:$H,$A392))</f>
        <v/>
      </c>
      <c r="E392">
        <f>IF($A392="","",INDEX('05_KAIS'!$K:$K,$A392))</f>
        <v/>
      </c>
      <c r="F392" s="202">
        <f>IF($A392="","",INDEX('05_KAIS'!$I:$I,$A392))</f>
        <v/>
      </c>
      <c r="G392" s="118">
        <f>IF($A392="","",INDEX('05_KAIS'!$L:$L,$A392))</f>
        <v/>
      </c>
      <c r="H392" s="118">
        <f>IF($A392="","",IFERROR(INDEX('05_KAIS'!$M:$M,$A392),IF(AND(E392&gt;0,G392&gt;0),G392/E392,"")))</f>
        <v/>
      </c>
      <c r="I392" s="202">
        <f>IF($A392="","",INDEX('05_KAIS'!$N:$N,$A392))</f>
        <v/>
      </c>
      <c r="J392">
        <f>IF(B392="","",IF('02_대상물건입력'!$B$5="",1,IF(ISNUMBER(SEARCH('02_대상물건입력'!$B$5,B392)),1,0)))</f>
        <v/>
      </c>
      <c r="K392">
        <f>IF(B392="","",IF('02_대상물건입력'!$B$6="",1,IF(ISNUMBER(SEARCH('02_대상물건입력'!$B$6,B392)),1,0)))</f>
        <v/>
      </c>
      <c r="L392">
        <f>IF(D392="","",IF('02_대상물건입력'!$B$8="",0,IF(ISNUMBER(SEARCH('02_대상물건입력'!$B$8,D392)),1,0)))</f>
        <v/>
      </c>
      <c r="M392">
        <f>IFERROR(ABS(E392-'02_대상물건입력'!$B$11)/'02_대상물건입력'!$B$11,"")</f>
        <v/>
      </c>
      <c r="N392">
        <f>IFERROR(ABS('01_설정'!$B$4-F392),"")</f>
        <v/>
      </c>
      <c r="O392">
        <f>IFERROR(ABS(YEAR(I392)-YEAR('02_대상물건입력'!$B$14)),"")</f>
        <v/>
      </c>
      <c r="P392">
        <f>IF(AND(E392&gt;0,F392&gt;0,G392&gt;0,IF('01_설정'!$B$10=1,J392=1,TRUE()),M392&lt;='01_설정'!$B$5,N392&lt;='01_설정'!$B$7,O392&lt;='01_설정'!$B$8),"Y","")</f>
        <v/>
      </c>
      <c r="Q392">
        <f>IF(P392&lt;&gt;"Y","",MAX(0,(1-M392/'01_설정'!$B$5))*'01_설정'!$B$14+MAX(0,(1-N392/'01_설정'!$B$7))*'01_설정'!$B$16+MAX(0,(1-O392/'01_설정'!$B$8))*'01_설정'!$B$17+K392*'01_설정'!$B$11+L392*'01_설정'!$B$12)</f>
        <v/>
      </c>
      <c r="R392">
        <f>IF(Q392="","",1+COUNTIFS($Q$31:$Q$1030,"&gt;"&amp;Q392)+COUNTIFS($Q$31:Q392,Q392)-1)</f>
        <v/>
      </c>
    </row>
    <row r="393" hidden="1" ht="16.5" customHeight="1">
      <c r="A393">
        <f>IF(COUNTA('05_KAIS'!$A381:$N381)=0,"",366)</f>
        <v/>
      </c>
      <c r="B393">
        <f>IF($A393="","",TRIM(INDEX('05_KAIS'!$B:$B,$A393)&amp;" "&amp;INDEX('05_KAIS'!$C:$C,$A393)))</f>
        <v/>
      </c>
      <c r="C393">
        <f>IF($A393="","",INDEX('05_KAIS'!$D:$D,$A393))</f>
        <v/>
      </c>
      <c r="D393">
        <f>IF($A393="","",INDEX('05_KAIS'!$H:$H,$A393))</f>
        <v/>
      </c>
      <c r="E393">
        <f>IF($A393="","",INDEX('05_KAIS'!$K:$K,$A393))</f>
        <v/>
      </c>
      <c r="F393" s="202">
        <f>IF($A393="","",INDEX('05_KAIS'!$I:$I,$A393))</f>
        <v/>
      </c>
      <c r="G393" s="118">
        <f>IF($A393="","",INDEX('05_KAIS'!$L:$L,$A393))</f>
        <v/>
      </c>
      <c r="H393" s="118">
        <f>IF($A393="","",IFERROR(INDEX('05_KAIS'!$M:$M,$A393),IF(AND(E393&gt;0,G393&gt;0),G393/E393,"")))</f>
        <v/>
      </c>
      <c r="I393" s="202">
        <f>IF($A393="","",INDEX('05_KAIS'!$N:$N,$A393))</f>
        <v/>
      </c>
      <c r="J393">
        <f>IF(B393="","",IF('02_대상물건입력'!$B$5="",1,IF(ISNUMBER(SEARCH('02_대상물건입력'!$B$5,B393)),1,0)))</f>
        <v/>
      </c>
      <c r="K393">
        <f>IF(B393="","",IF('02_대상물건입력'!$B$6="",1,IF(ISNUMBER(SEARCH('02_대상물건입력'!$B$6,B393)),1,0)))</f>
        <v/>
      </c>
      <c r="L393">
        <f>IF(D393="","",IF('02_대상물건입력'!$B$8="",0,IF(ISNUMBER(SEARCH('02_대상물건입력'!$B$8,D393)),1,0)))</f>
        <v/>
      </c>
      <c r="M393">
        <f>IFERROR(ABS(E393-'02_대상물건입력'!$B$11)/'02_대상물건입력'!$B$11,"")</f>
        <v/>
      </c>
      <c r="N393">
        <f>IFERROR(ABS('01_설정'!$B$4-F393),"")</f>
        <v/>
      </c>
      <c r="O393">
        <f>IFERROR(ABS(YEAR(I393)-YEAR('02_대상물건입력'!$B$14)),"")</f>
        <v/>
      </c>
      <c r="P393">
        <f>IF(AND(E393&gt;0,F393&gt;0,G393&gt;0,IF('01_설정'!$B$10=1,J393=1,TRUE()),M393&lt;='01_설정'!$B$5,N393&lt;='01_설정'!$B$7,O393&lt;='01_설정'!$B$8),"Y","")</f>
        <v/>
      </c>
      <c r="Q393">
        <f>IF(P393&lt;&gt;"Y","",MAX(0,(1-M393/'01_설정'!$B$5))*'01_설정'!$B$14+MAX(0,(1-N393/'01_설정'!$B$7))*'01_설정'!$B$16+MAX(0,(1-O393/'01_설정'!$B$8))*'01_설정'!$B$17+K393*'01_설정'!$B$11+L393*'01_설정'!$B$12)</f>
        <v/>
      </c>
      <c r="R393">
        <f>IF(Q393="","",1+COUNTIFS($Q$31:$Q$1030,"&gt;"&amp;Q393)+COUNTIFS($Q$31:Q393,Q393)-1)</f>
        <v/>
      </c>
    </row>
    <row r="394" hidden="1" ht="16.5" customHeight="1">
      <c r="A394">
        <f>IF(COUNTA('05_KAIS'!$A382:$N382)=0,"",367)</f>
        <v/>
      </c>
      <c r="B394">
        <f>IF($A394="","",TRIM(INDEX('05_KAIS'!$B:$B,$A394)&amp;" "&amp;INDEX('05_KAIS'!$C:$C,$A394)))</f>
        <v/>
      </c>
      <c r="C394">
        <f>IF($A394="","",INDEX('05_KAIS'!$D:$D,$A394))</f>
        <v/>
      </c>
      <c r="D394">
        <f>IF($A394="","",INDEX('05_KAIS'!$H:$H,$A394))</f>
        <v/>
      </c>
      <c r="E394">
        <f>IF($A394="","",INDEX('05_KAIS'!$K:$K,$A394))</f>
        <v/>
      </c>
      <c r="F394" s="202">
        <f>IF($A394="","",INDEX('05_KAIS'!$I:$I,$A394))</f>
        <v/>
      </c>
      <c r="G394" s="118">
        <f>IF($A394="","",INDEX('05_KAIS'!$L:$L,$A394))</f>
        <v/>
      </c>
      <c r="H394" s="118">
        <f>IF($A394="","",IFERROR(INDEX('05_KAIS'!$M:$M,$A394),IF(AND(E394&gt;0,G394&gt;0),G394/E394,"")))</f>
        <v/>
      </c>
      <c r="I394" s="202">
        <f>IF($A394="","",INDEX('05_KAIS'!$N:$N,$A394))</f>
        <v/>
      </c>
      <c r="J394">
        <f>IF(B394="","",IF('02_대상물건입력'!$B$5="",1,IF(ISNUMBER(SEARCH('02_대상물건입력'!$B$5,B394)),1,0)))</f>
        <v/>
      </c>
      <c r="K394">
        <f>IF(B394="","",IF('02_대상물건입력'!$B$6="",1,IF(ISNUMBER(SEARCH('02_대상물건입력'!$B$6,B394)),1,0)))</f>
        <v/>
      </c>
      <c r="L394">
        <f>IF(D394="","",IF('02_대상물건입력'!$B$8="",0,IF(ISNUMBER(SEARCH('02_대상물건입력'!$B$8,D394)),1,0)))</f>
        <v/>
      </c>
      <c r="M394">
        <f>IFERROR(ABS(E394-'02_대상물건입력'!$B$11)/'02_대상물건입력'!$B$11,"")</f>
        <v/>
      </c>
      <c r="N394">
        <f>IFERROR(ABS('01_설정'!$B$4-F394),"")</f>
        <v/>
      </c>
      <c r="O394">
        <f>IFERROR(ABS(YEAR(I394)-YEAR('02_대상물건입력'!$B$14)),"")</f>
        <v/>
      </c>
      <c r="P394">
        <f>IF(AND(E394&gt;0,F394&gt;0,G394&gt;0,IF('01_설정'!$B$10=1,J394=1,TRUE()),M394&lt;='01_설정'!$B$5,N394&lt;='01_설정'!$B$7,O394&lt;='01_설정'!$B$8),"Y","")</f>
        <v/>
      </c>
      <c r="Q394">
        <f>IF(P394&lt;&gt;"Y","",MAX(0,(1-M394/'01_설정'!$B$5))*'01_설정'!$B$14+MAX(0,(1-N394/'01_설정'!$B$7))*'01_설정'!$B$16+MAX(0,(1-O394/'01_설정'!$B$8))*'01_설정'!$B$17+K394*'01_설정'!$B$11+L394*'01_설정'!$B$12)</f>
        <v/>
      </c>
      <c r="R394">
        <f>IF(Q394="","",1+COUNTIFS($Q$31:$Q$1030,"&gt;"&amp;Q394)+COUNTIFS($Q$31:Q394,Q394)-1)</f>
        <v/>
      </c>
    </row>
    <row r="395" hidden="1" ht="16.5" customHeight="1">
      <c r="A395">
        <f>IF(COUNTA('05_KAIS'!$A383:$N383)=0,"",368)</f>
        <v/>
      </c>
      <c r="B395">
        <f>IF($A395="","",TRIM(INDEX('05_KAIS'!$B:$B,$A395)&amp;" "&amp;INDEX('05_KAIS'!$C:$C,$A395)))</f>
        <v/>
      </c>
      <c r="C395">
        <f>IF($A395="","",INDEX('05_KAIS'!$D:$D,$A395))</f>
        <v/>
      </c>
      <c r="D395">
        <f>IF($A395="","",INDEX('05_KAIS'!$H:$H,$A395))</f>
        <v/>
      </c>
      <c r="E395">
        <f>IF($A395="","",INDEX('05_KAIS'!$K:$K,$A395))</f>
        <v/>
      </c>
      <c r="F395" s="202">
        <f>IF($A395="","",INDEX('05_KAIS'!$I:$I,$A395))</f>
        <v/>
      </c>
      <c r="G395" s="118">
        <f>IF($A395="","",INDEX('05_KAIS'!$L:$L,$A395))</f>
        <v/>
      </c>
      <c r="H395" s="118">
        <f>IF($A395="","",IFERROR(INDEX('05_KAIS'!$M:$M,$A395),IF(AND(E395&gt;0,G395&gt;0),G395/E395,"")))</f>
        <v/>
      </c>
      <c r="I395" s="202">
        <f>IF($A395="","",INDEX('05_KAIS'!$N:$N,$A395))</f>
        <v/>
      </c>
      <c r="J395">
        <f>IF(B395="","",IF('02_대상물건입력'!$B$5="",1,IF(ISNUMBER(SEARCH('02_대상물건입력'!$B$5,B395)),1,0)))</f>
        <v/>
      </c>
      <c r="K395">
        <f>IF(B395="","",IF('02_대상물건입력'!$B$6="",1,IF(ISNUMBER(SEARCH('02_대상물건입력'!$B$6,B395)),1,0)))</f>
        <v/>
      </c>
      <c r="L395">
        <f>IF(D395="","",IF('02_대상물건입력'!$B$8="",0,IF(ISNUMBER(SEARCH('02_대상물건입력'!$B$8,D395)),1,0)))</f>
        <v/>
      </c>
      <c r="M395">
        <f>IFERROR(ABS(E395-'02_대상물건입력'!$B$11)/'02_대상물건입력'!$B$11,"")</f>
        <v/>
      </c>
      <c r="N395">
        <f>IFERROR(ABS('01_설정'!$B$4-F395),"")</f>
        <v/>
      </c>
      <c r="O395">
        <f>IFERROR(ABS(YEAR(I395)-YEAR('02_대상물건입력'!$B$14)),"")</f>
        <v/>
      </c>
      <c r="P395">
        <f>IF(AND(E395&gt;0,F395&gt;0,G395&gt;0,IF('01_설정'!$B$10=1,J395=1,TRUE()),M395&lt;='01_설정'!$B$5,N395&lt;='01_설정'!$B$7,O395&lt;='01_설정'!$B$8),"Y","")</f>
        <v/>
      </c>
      <c r="Q395">
        <f>IF(P395&lt;&gt;"Y","",MAX(0,(1-M395/'01_설정'!$B$5))*'01_설정'!$B$14+MAX(0,(1-N395/'01_설정'!$B$7))*'01_설정'!$B$16+MAX(0,(1-O395/'01_설정'!$B$8))*'01_설정'!$B$17+K395*'01_설정'!$B$11+L395*'01_설정'!$B$12)</f>
        <v/>
      </c>
      <c r="R395">
        <f>IF(Q395="","",1+COUNTIFS($Q$31:$Q$1030,"&gt;"&amp;Q395)+COUNTIFS($Q$31:Q395,Q395)-1)</f>
        <v/>
      </c>
    </row>
    <row r="396" hidden="1" ht="16.5" customHeight="1">
      <c r="A396">
        <f>IF(COUNTA('05_KAIS'!$A384:$N384)=0,"",369)</f>
        <v/>
      </c>
      <c r="B396">
        <f>IF($A396="","",TRIM(INDEX('05_KAIS'!$B:$B,$A396)&amp;" "&amp;INDEX('05_KAIS'!$C:$C,$A396)))</f>
        <v/>
      </c>
      <c r="C396">
        <f>IF($A396="","",INDEX('05_KAIS'!$D:$D,$A396))</f>
        <v/>
      </c>
      <c r="D396">
        <f>IF($A396="","",INDEX('05_KAIS'!$H:$H,$A396))</f>
        <v/>
      </c>
      <c r="E396">
        <f>IF($A396="","",INDEX('05_KAIS'!$K:$K,$A396))</f>
        <v/>
      </c>
      <c r="F396" s="202">
        <f>IF($A396="","",INDEX('05_KAIS'!$I:$I,$A396))</f>
        <v/>
      </c>
      <c r="G396" s="118">
        <f>IF($A396="","",INDEX('05_KAIS'!$L:$L,$A396))</f>
        <v/>
      </c>
      <c r="H396" s="118">
        <f>IF($A396="","",IFERROR(INDEX('05_KAIS'!$M:$M,$A396),IF(AND(E396&gt;0,G396&gt;0),G396/E396,"")))</f>
        <v/>
      </c>
      <c r="I396" s="202">
        <f>IF($A396="","",INDEX('05_KAIS'!$N:$N,$A396))</f>
        <v/>
      </c>
      <c r="J396">
        <f>IF(B396="","",IF('02_대상물건입력'!$B$5="",1,IF(ISNUMBER(SEARCH('02_대상물건입력'!$B$5,B396)),1,0)))</f>
        <v/>
      </c>
      <c r="K396">
        <f>IF(B396="","",IF('02_대상물건입력'!$B$6="",1,IF(ISNUMBER(SEARCH('02_대상물건입력'!$B$6,B396)),1,0)))</f>
        <v/>
      </c>
      <c r="L396">
        <f>IF(D396="","",IF('02_대상물건입력'!$B$8="",0,IF(ISNUMBER(SEARCH('02_대상물건입력'!$B$8,D396)),1,0)))</f>
        <v/>
      </c>
      <c r="M396">
        <f>IFERROR(ABS(E396-'02_대상물건입력'!$B$11)/'02_대상물건입력'!$B$11,"")</f>
        <v/>
      </c>
      <c r="N396">
        <f>IFERROR(ABS('01_설정'!$B$4-F396),"")</f>
        <v/>
      </c>
      <c r="O396">
        <f>IFERROR(ABS(YEAR(I396)-YEAR('02_대상물건입력'!$B$14)),"")</f>
        <v/>
      </c>
      <c r="P396">
        <f>IF(AND(E396&gt;0,F396&gt;0,G396&gt;0,IF('01_설정'!$B$10=1,J396=1,TRUE()),M396&lt;='01_설정'!$B$5,N396&lt;='01_설정'!$B$7,O396&lt;='01_설정'!$B$8),"Y","")</f>
        <v/>
      </c>
      <c r="Q396">
        <f>IF(P396&lt;&gt;"Y","",MAX(0,(1-M396/'01_설정'!$B$5))*'01_설정'!$B$14+MAX(0,(1-N396/'01_설정'!$B$7))*'01_설정'!$B$16+MAX(0,(1-O396/'01_설정'!$B$8))*'01_설정'!$B$17+K396*'01_설정'!$B$11+L396*'01_설정'!$B$12)</f>
        <v/>
      </c>
      <c r="R396">
        <f>IF(Q396="","",1+COUNTIFS($Q$31:$Q$1030,"&gt;"&amp;Q396)+COUNTIFS($Q$31:Q396,Q396)-1)</f>
        <v/>
      </c>
    </row>
    <row r="397" hidden="1" ht="16.5" customHeight="1">
      <c r="A397">
        <f>IF(COUNTA('05_KAIS'!$A385:$N385)=0,"",370)</f>
        <v/>
      </c>
      <c r="B397">
        <f>IF($A397="","",TRIM(INDEX('05_KAIS'!$B:$B,$A397)&amp;" "&amp;INDEX('05_KAIS'!$C:$C,$A397)))</f>
        <v/>
      </c>
      <c r="C397">
        <f>IF($A397="","",INDEX('05_KAIS'!$D:$D,$A397))</f>
        <v/>
      </c>
      <c r="D397">
        <f>IF($A397="","",INDEX('05_KAIS'!$H:$H,$A397))</f>
        <v/>
      </c>
      <c r="E397">
        <f>IF($A397="","",INDEX('05_KAIS'!$K:$K,$A397))</f>
        <v/>
      </c>
      <c r="F397" s="202">
        <f>IF($A397="","",INDEX('05_KAIS'!$I:$I,$A397))</f>
        <v/>
      </c>
      <c r="G397" s="118">
        <f>IF($A397="","",INDEX('05_KAIS'!$L:$L,$A397))</f>
        <v/>
      </c>
      <c r="H397" s="118">
        <f>IF($A397="","",IFERROR(INDEX('05_KAIS'!$M:$M,$A397),IF(AND(E397&gt;0,G397&gt;0),G397/E397,"")))</f>
        <v/>
      </c>
      <c r="I397" s="202">
        <f>IF($A397="","",INDEX('05_KAIS'!$N:$N,$A397))</f>
        <v/>
      </c>
      <c r="J397">
        <f>IF(B397="","",IF('02_대상물건입력'!$B$5="",1,IF(ISNUMBER(SEARCH('02_대상물건입력'!$B$5,B397)),1,0)))</f>
        <v/>
      </c>
      <c r="K397">
        <f>IF(B397="","",IF('02_대상물건입력'!$B$6="",1,IF(ISNUMBER(SEARCH('02_대상물건입력'!$B$6,B397)),1,0)))</f>
        <v/>
      </c>
      <c r="L397">
        <f>IF(D397="","",IF('02_대상물건입력'!$B$8="",0,IF(ISNUMBER(SEARCH('02_대상물건입력'!$B$8,D397)),1,0)))</f>
        <v/>
      </c>
      <c r="M397">
        <f>IFERROR(ABS(E397-'02_대상물건입력'!$B$11)/'02_대상물건입력'!$B$11,"")</f>
        <v/>
      </c>
      <c r="N397">
        <f>IFERROR(ABS('01_설정'!$B$4-F397),"")</f>
        <v/>
      </c>
      <c r="O397">
        <f>IFERROR(ABS(YEAR(I397)-YEAR('02_대상물건입력'!$B$14)),"")</f>
        <v/>
      </c>
      <c r="P397">
        <f>IF(AND(E397&gt;0,F397&gt;0,G397&gt;0,IF('01_설정'!$B$10=1,J397=1,TRUE()),M397&lt;='01_설정'!$B$5,N397&lt;='01_설정'!$B$7,O397&lt;='01_설정'!$B$8),"Y","")</f>
        <v/>
      </c>
      <c r="Q397">
        <f>IF(P397&lt;&gt;"Y","",MAX(0,(1-M397/'01_설정'!$B$5))*'01_설정'!$B$14+MAX(0,(1-N397/'01_설정'!$B$7))*'01_설정'!$B$16+MAX(0,(1-O397/'01_설정'!$B$8))*'01_설정'!$B$17+K397*'01_설정'!$B$11+L397*'01_설정'!$B$12)</f>
        <v/>
      </c>
      <c r="R397">
        <f>IF(Q397="","",1+COUNTIFS($Q$31:$Q$1030,"&gt;"&amp;Q397)+COUNTIFS($Q$31:Q397,Q397)-1)</f>
        <v/>
      </c>
    </row>
    <row r="398" hidden="1" ht="16.5" customHeight="1">
      <c r="A398">
        <f>IF(COUNTA('05_KAIS'!$A386:$N386)=0,"",371)</f>
        <v/>
      </c>
      <c r="B398">
        <f>IF($A398="","",TRIM(INDEX('05_KAIS'!$B:$B,$A398)&amp;" "&amp;INDEX('05_KAIS'!$C:$C,$A398)))</f>
        <v/>
      </c>
      <c r="C398">
        <f>IF($A398="","",INDEX('05_KAIS'!$D:$D,$A398))</f>
        <v/>
      </c>
      <c r="D398">
        <f>IF($A398="","",INDEX('05_KAIS'!$H:$H,$A398))</f>
        <v/>
      </c>
      <c r="E398">
        <f>IF($A398="","",INDEX('05_KAIS'!$K:$K,$A398))</f>
        <v/>
      </c>
      <c r="F398" s="202">
        <f>IF($A398="","",INDEX('05_KAIS'!$I:$I,$A398))</f>
        <v/>
      </c>
      <c r="G398" s="118">
        <f>IF($A398="","",INDEX('05_KAIS'!$L:$L,$A398))</f>
        <v/>
      </c>
      <c r="H398" s="118">
        <f>IF($A398="","",IFERROR(INDEX('05_KAIS'!$M:$M,$A398),IF(AND(E398&gt;0,G398&gt;0),G398/E398,"")))</f>
        <v/>
      </c>
      <c r="I398" s="202">
        <f>IF($A398="","",INDEX('05_KAIS'!$N:$N,$A398))</f>
        <v/>
      </c>
      <c r="J398">
        <f>IF(B398="","",IF('02_대상물건입력'!$B$5="",1,IF(ISNUMBER(SEARCH('02_대상물건입력'!$B$5,B398)),1,0)))</f>
        <v/>
      </c>
      <c r="K398">
        <f>IF(B398="","",IF('02_대상물건입력'!$B$6="",1,IF(ISNUMBER(SEARCH('02_대상물건입력'!$B$6,B398)),1,0)))</f>
        <v/>
      </c>
      <c r="L398">
        <f>IF(D398="","",IF('02_대상물건입력'!$B$8="",0,IF(ISNUMBER(SEARCH('02_대상물건입력'!$B$8,D398)),1,0)))</f>
        <v/>
      </c>
      <c r="M398">
        <f>IFERROR(ABS(E398-'02_대상물건입력'!$B$11)/'02_대상물건입력'!$B$11,"")</f>
        <v/>
      </c>
      <c r="N398">
        <f>IFERROR(ABS('01_설정'!$B$4-F398),"")</f>
        <v/>
      </c>
      <c r="O398">
        <f>IFERROR(ABS(YEAR(I398)-YEAR('02_대상물건입력'!$B$14)),"")</f>
        <v/>
      </c>
      <c r="P398">
        <f>IF(AND(E398&gt;0,F398&gt;0,G398&gt;0,IF('01_설정'!$B$10=1,J398=1,TRUE()),M398&lt;='01_설정'!$B$5,N398&lt;='01_설정'!$B$7,O398&lt;='01_설정'!$B$8),"Y","")</f>
        <v/>
      </c>
      <c r="Q398">
        <f>IF(P398&lt;&gt;"Y","",MAX(0,(1-M398/'01_설정'!$B$5))*'01_설정'!$B$14+MAX(0,(1-N398/'01_설정'!$B$7))*'01_설정'!$B$16+MAX(0,(1-O398/'01_설정'!$B$8))*'01_설정'!$B$17+K398*'01_설정'!$B$11+L398*'01_설정'!$B$12)</f>
        <v/>
      </c>
      <c r="R398">
        <f>IF(Q398="","",1+COUNTIFS($Q$31:$Q$1030,"&gt;"&amp;Q398)+COUNTIFS($Q$31:Q398,Q398)-1)</f>
        <v/>
      </c>
    </row>
    <row r="399" hidden="1" ht="16.5" customHeight="1">
      <c r="A399">
        <f>IF(COUNTA('05_KAIS'!$A387:$N387)=0,"",372)</f>
        <v/>
      </c>
      <c r="B399">
        <f>IF($A399="","",TRIM(INDEX('05_KAIS'!$B:$B,$A399)&amp;" "&amp;INDEX('05_KAIS'!$C:$C,$A399)))</f>
        <v/>
      </c>
      <c r="C399">
        <f>IF($A399="","",INDEX('05_KAIS'!$D:$D,$A399))</f>
        <v/>
      </c>
      <c r="D399">
        <f>IF($A399="","",INDEX('05_KAIS'!$H:$H,$A399))</f>
        <v/>
      </c>
      <c r="E399">
        <f>IF($A399="","",INDEX('05_KAIS'!$K:$K,$A399))</f>
        <v/>
      </c>
      <c r="F399" s="202">
        <f>IF($A399="","",INDEX('05_KAIS'!$I:$I,$A399))</f>
        <v/>
      </c>
      <c r="G399" s="118">
        <f>IF($A399="","",INDEX('05_KAIS'!$L:$L,$A399))</f>
        <v/>
      </c>
      <c r="H399" s="118">
        <f>IF($A399="","",IFERROR(INDEX('05_KAIS'!$M:$M,$A399),IF(AND(E399&gt;0,G399&gt;0),G399/E399,"")))</f>
        <v/>
      </c>
      <c r="I399" s="202">
        <f>IF($A399="","",INDEX('05_KAIS'!$N:$N,$A399))</f>
        <v/>
      </c>
      <c r="J399">
        <f>IF(B399="","",IF('02_대상물건입력'!$B$5="",1,IF(ISNUMBER(SEARCH('02_대상물건입력'!$B$5,B399)),1,0)))</f>
        <v/>
      </c>
      <c r="K399">
        <f>IF(B399="","",IF('02_대상물건입력'!$B$6="",1,IF(ISNUMBER(SEARCH('02_대상물건입력'!$B$6,B399)),1,0)))</f>
        <v/>
      </c>
      <c r="L399">
        <f>IF(D399="","",IF('02_대상물건입력'!$B$8="",0,IF(ISNUMBER(SEARCH('02_대상물건입력'!$B$8,D399)),1,0)))</f>
        <v/>
      </c>
      <c r="M399">
        <f>IFERROR(ABS(E399-'02_대상물건입력'!$B$11)/'02_대상물건입력'!$B$11,"")</f>
        <v/>
      </c>
      <c r="N399">
        <f>IFERROR(ABS('01_설정'!$B$4-F399),"")</f>
        <v/>
      </c>
      <c r="O399">
        <f>IFERROR(ABS(YEAR(I399)-YEAR('02_대상물건입력'!$B$14)),"")</f>
        <v/>
      </c>
      <c r="P399">
        <f>IF(AND(E399&gt;0,F399&gt;0,G399&gt;0,IF('01_설정'!$B$10=1,J399=1,TRUE()),M399&lt;='01_설정'!$B$5,N399&lt;='01_설정'!$B$7,O399&lt;='01_설정'!$B$8),"Y","")</f>
        <v/>
      </c>
      <c r="Q399">
        <f>IF(P399&lt;&gt;"Y","",MAX(0,(1-M399/'01_설정'!$B$5))*'01_설정'!$B$14+MAX(0,(1-N399/'01_설정'!$B$7))*'01_설정'!$B$16+MAX(0,(1-O399/'01_설정'!$B$8))*'01_설정'!$B$17+K399*'01_설정'!$B$11+L399*'01_설정'!$B$12)</f>
        <v/>
      </c>
      <c r="R399">
        <f>IF(Q399="","",1+COUNTIFS($Q$31:$Q$1030,"&gt;"&amp;Q399)+COUNTIFS($Q$31:Q399,Q399)-1)</f>
        <v/>
      </c>
    </row>
    <row r="400" hidden="1" ht="16.5" customHeight="1">
      <c r="A400">
        <f>IF(COUNTA('05_KAIS'!$A388:$N388)=0,"",373)</f>
        <v/>
      </c>
      <c r="B400">
        <f>IF($A400="","",TRIM(INDEX('05_KAIS'!$B:$B,$A400)&amp;" "&amp;INDEX('05_KAIS'!$C:$C,$A400)))</f>
        <v/>
      </c>
      <c r="C400">
        <f>IF($A400="","",INDEX('05_KAIS'!$D:$D,$A400))</f>
        <v/>
      </c>
      <c r="D400">
        <f>IF($A400="","",INDEX('05_KAIS'!$H:$H,$A400))</f>
        <v/>
      </c>
      <c r="E400">
        <f>IF($A400="","",INDEX('05_KAIS'!$K:$K,$A400))</f>
        <v/>
      </c>
      <c r="F400" s="202">
        <f>IF($A400="","",INDEX('05_KAIS'!$I:$I,$A400))</f>
        <v/>
      </c>
      <c r="G400" s="118">
        <f>IF($A400="","",INDEX('05_KAIS'!$L:$L,$A400))</f>
        <v/>
      </c>
      <c r="H400" s="118">
        <f>IF($A400="","",IFERROR(INDEX('05_KAIS'!$M:$M,$A400),IF(AND(E400&gt;0,G400&gt;0),G400/E400,"")))</f>
        <v/>
      </c>
      <c r="I400" s="202">
        <f>IF($A400="","",INDEX('05_KAIS'!$N:$N,$A400))</f>
        <v/>
      </c>
      <c r="J400">
        <f>IF(B400="","",IF('02_대상물건입력'!$B$5="",1,IF(ISNUMBER(SEARCH('02_대상물건입력'!$B$5,B400)),1,0)))</f>
        <v/>
      </c>
      <c r="K400">
        <f>IF(B400="","",IF('02_대상물건입력'!$B$6="",1,IF(ISNUMBER(SEARCH('02_대상물건입력'!$B$6,B400)),1,0)))</f>
        <v/>
      </c>
      <c r="L400">
        <f>IF(D400="","",IF('02_대상물건입력'!$B$8="",0,IF(ISNUMBER(SEARCH('02_대상물건입력'!$B$8,D400)),1,0)))</f>
        <v/>
      </c>
      <c r="M400">
        <f>IFERROR(ABS(E400-'02_대상물건입력'!$B$11)/'02_대상물건입력'!$B$11,"")</f>
        <v/>
      </c>
      <c r="N400">
        <f>IFERROR(ABS('01_설정'!$B$4-F400),"")</f>
        <v/>
      </c>
      <c r="O400">
        <f>IFERROR(ABS(YEAR(I400)-YEAR('02_대상물건입력'!$B$14)),"")</f>
        <v/>
      </c>
      <c r="P400">
        <f>IF(AND(E400&gt;0,F400&gt;0,G400&gt;0,IF('01_설정'!$B$10=1,J400=1,TRUE()),M400&lt;='01_설정'!$B$5,N400&lt;='01_설정'!$B$7,O400&lt;='01_설정'!$B$8),"Y","")</f>
        <v/>
      </c>
      <c r="Q400">
        <f>IF(P400&lt;&gt;"Y","",MAX(0,(1-M400/'01_설정'!$B$5))*'01_설정'!$B$14+MAX(0,(1-N400/'01_설정'!$B$7))*'01_설정'!$B$16+MAX(0,(1-O400/'01_설정'!$B$8))*'01_설정'!$B$17+K400*'01_설정'!$B$11+L400*'01_설정'!$B$12)</f>
        <v/>
      </c>
      <c r="R400">
        <f>IF(Q400="","",1+COUNTIFS($Q$31:$Q$1030,"&gt;"&amp;Q400)+COUNTIFS($Q$31:Q400,Q400)-1)</f>
        <v/>
      </c>
    </row>
    <row r="401" hidden="1" ht="16.5" customHeight="1">
      <c r="A401">
        <f>IF(COUNTA('05_KAIS'!$A389:$N389)=0,"",374)</f>
        <v/>
      </c>
      <c r="B401">
        <f>IF($A401="","",TRIM(INDEX('05_KAIS'!$B:$B,$A401)&amp;" "&amp;INDEX('05_KAIS'!$C:$C,$A401)))</f>
        <v/>
      </c>
      <c r="C401">
        <f>IF($A401="","",INDEX('05_KAIS'!$D:$D,$A401))</f>
        <v/>
      </c>
      <c r="D401">
        <f>IF($A401="","",INDEX('05_KAIS'!$H:$H,$A401))</f>
        <v/>
      </c>
      <c r="E401">
        <f>IF($A401="","",INDEX('05_KAIS'!$K:$K,$A401))</f>
        <v/>
      </c>
      <c r="F401" s="202">
        <f>IF($A401="","",INDEX('05_KAIS'!$I:$I,$A401))</f>
        <v/>
      </c>
      <c r="G401" s="118">
        <f>IF($A401="","",INDEX('05_KAIS'!$L:$L,$A401))</f>
        <v/>
      </c>
      <c r="H401" s="118">
        <f>IF($A401="","",IFERROR(INDEX('05_KAIS'!$M:$M,$A401),IF(AND(E401&gt;0,G401&gt;0),G401/E401,"")))</f>
        <v/>
      </c>
      <c r="I401" s="202">
        <f>IF($A401="","",INDEX('05_KAIS'!$N:$N,$A401))</f>
        <v/>
      </c>
      <c r="J401">
        <f>IF(B401="","",IF('02_대상물건입력'!$B$5="",1,IF(ISNUMBER(SEARCH('02_대상물건입력'!$B$5,B401)),1,0)))</f>
        <v/>
      </c>
      <c r="K401">
        <f>IF(B401="","",IF('02_대상물건입력'!$B$6="",1,IF(ISNUMBER(SEARCH('02_대상물건입력'!$B$6,B401)),1,0)))</f>
        <v/>
      </c>
      <c r="L401">
        <f>IF(D401="","",IF('02_대상물건입력'!$B$8="",0,IF(ISNUMBER(SEARCH('02_대상물건입력'!$B$8,D401)),1,0)))</f>
        <v/>
      </c>
      <c r="M401">
        <f>IFERROR(ABS(E401-'02_대상물건입력'!$B$11)/'02_대상물건입력'!$B$11,"")</f>
        <v/>
      </c>
      <c r="N401">
        <f>IFERROR(ABS('01_설정'!$B$4-F401),"")</f>
        <v/>
      </c>
      <c r="O401">
        <f>IFERROR(ABS(YEAR(I401)-YEAR('02_대상물건입력'!$B$14)),"")</f>
        <v/>
      </c>
      <c r="P401">
        <f>IF(AND(E401&gt;0,F401&gt;0,G401&gt;0,IF('01_설정'!$B$10=1,J401=1,TRUE()),M401&lt;='01_설정'!$B$5,N401&lt;='01_설정'!$B$7,O401&lt;='01_설정'!$B$8),"Y","")</f>
        <v/>
      </c>
      <c r="Q401">
        <f>IF(P401&lt;&gt;"Y","",MAX(0,(1-M401/'01_설정'!$B$5))*'01_설정'!$B$14+MAX(0,(1-N401/'01_설정'!$B$7))*'01_설정'!$B$16+MAX(0,(1-O401/'01_설정'!$B$8))*'01_설정'!$B$17+K401*'01_설정'!$B$11+L401*'01_설정'!$B$12)</f>
        <v/>
      </c>
      <c r="R401">
        <f>IF(Q401="","",1+COUNTIFS($Q$31:$Q$1030,"&gt;"&amp;Q401)+COUNTIFS($Q$31:Q401,Q401)-1)</f>
        <v/>
      </c>
    </row>
    <row r="402" hidden="1" ht="16.5" customHeight="1">
      <c r="A402">
        <f>IF(COUNTA('05_KAIS'!$A390:$N390)=0,"",375)</f>
        <v/>
      </c>
      <c r="B402">
        <f>IF($A402="","",TRIM(INDEX('05_KAIS'!$B:$B,$A402)&amp;" "&amp;INDEX('05_KAIS'!$C:$C,$A402)))</f>
        <v/>
      </c>
      <c r="C402">
        <f>IF($A402="","",INDEX('05_KAIS'!$D:$D,$A402))</f>
        <v/>
      </c>
      <c r="D402">
        <f>IF($A402="","",INDEX('05_KAIS'!$H:$H,$A402))</f>
        <v/>
      </c>
      <c r="E402">
        <f>IF($A402="","",INDEX('05_KAIS'!$K:$K,$A402))</f>
        <v/>
      </c>
      <c r="F402" s="202">
        <f>IF($A402="","",INDEX('05_KAIS'!$I:$I,$A402))</f>
        <v/>
      </c>
      <c r="G402" s="118">
        <f>IF($A402="","",INDEX('05_KAIS'!$L:$L,$A402))</f>
        <v/>
      </c>
      <c r="H402" s="118">
        <f>IF($A402="","",IFERROR(INDEX('05_KAIS'!$M:$M,$A402),IF(AND(E402&gt;0,G402&gt;0),G402/E402,"")))</f>
        <v/>
      </c>
      <c r="I402" s="202">
        <f>IF($A402="","",INDEX('05_KAIS'!$N:$N,$A402))</f>
        <v/>
      </c>
      <c r="J402">
        <f>IF(B402="","",IF('02_대상물건입력'!$B$5="",1,IF(ISNUMBER(SEARCH('02_대상물건입력'!$B$5,B402)),1,0)))</f>
        <v/>
      </c>
      <c r="K402">
        <f>IF(B402="","",IF('02_대상물건입력'!$B$6="",1,IF(ISNUMBER(SEARCH('02_대상물건입력'!$B$6,B402)),1,0)))</f>
        <v/>
      </c>
      <c r="L402">
        <f>IF(D402="","",IF('02_대상물건입력'!$B$8="",0,IF(ISNUMBER(SEARCH('02_대상물건입력'!$B$8,D402)),1,0)))</f>
        <v/>
      </c>
      <c r="M402">
        <f>IFERROR(ABS(E402-'02_대상물건입력'!$B$11)/'02_대상물건입력'!$B$11,"")</f>
        <v/>
      </c>
      <c r="N402">
        <f>IFERROR(ABS('01_설정'!$B$4-F402),"")</f>
        <v/>
      </c>
      <c r="O402">
        <f>IFERROR(ABS(YEAR(I402)-YEAR('02_대상물건입력'!$B$14)),"")</f>
        <v/>
      </c>
      <c r="P402">
        <f>IF(AND(E402&gt;0,F402&gt;0,G402&gt;0,IF('01_설정'!$B$10=1,J402=1,TRUE()),M402&lt;='01_설정'!$B$5,N402&lt;='01_설정'!$B$7,O402&lt;='01_설정'!$B$8),"Y","")</f>
        <v/>
      </c>
      <c r="Q402">
        <f>IF(P402&lt;&gt;"Y","",MAX(0,(1-M402/'01_설정'!$B$5))*'01_설정'!$B$14+MAX(0,(1-N402/'01_설정'!$B$7))*'01_설정'!$B$16+MAX(0,(1-O402/'01_설정'!$B$8))*'01_설정'!$B$17+K402*'01_설정'!$B$11+L402*'01_설정'!$B$12)</f>
        <v/>
      </c>
      <c r="R402">
        <f>IF(Q402="","",1+COUNTIFS($Q$31:$Q$1030,"&gt;"&amp;Q402)+COUNTIFS($Q$31:Q402,Q402)-1)</f>
        <v/>
      </c>
    </row>
    <row r="403" hidden="1" ht="16.5" customHeight="1">
      <c r="A403">
        <f>IF(COUNTA('05_KAIS'!$A391:$N391)=0,"",376)</f>
        <v/>
      </c>
      <c r="B403">
        <f>IF($A403="","",TRIM(INDEX('05_KAIS'!$B:$B,$A403)&amp;" "&amp;INDEX('05_KAIS'!$C:$C,$A403)))</f>
        <v/>
      </c>
      <c r="C403">
        <f>IF($A403="","",INDEX('05_KAIS'!$D:$D,$A403))</f>
        <v/>
      </c>
      <c r="D403">
        <f>IF($A403="","",INDEX('05_KAIS'!$H:$H,$A403))</f>
        <v/>
      </c>
      <c r="E403">
        <f>IF($A403="","",INDEX('05_KAIS'!$K:$K,$A403))</f>
        <v/>
      </c>
      <c r="F403" s="202">
        <f>IF($A403="","",INDEX('05_KAIS'!$I:$I,$A403))</f>
        <v/>
      </c>
      <c r="G403" s="118">
        <f>IF($A403="","",INDEX('05_KAIS'!$L:$L,$A403))</f>
        <v/>
      </c>
      <c r="H403" s="118">
        <f>IF($A403="","",IFERROR(INDEX('05_KAIS'!$M:$M,$A403),IF(AND(E403&gt;0,G403&gt;0),G403/E403,"")))</f>
        <v/>
      </c>
      <c r="I403" s="202">
        <f>IF($A403="","",INDEX('05_KAIS'!$N:$N,$A403))</f>
        <v/>
      </c>
      <c r="J403">
        <f>IF(B403="","",IF('02_대상물건입력'!$B$5="",1,IF(ISNUMBER(SEARCH('02_대상물건입력'!$B$5,B403)),1,0)))</f>
        <v/>
      </c>
      <c r="K403">
        <f>IF(B403="","",IF('02_대상물건입력'!$B$6="",1,IF(ISNUMBER(SEARCH('02_대상물건입력'!$B$6,B403)),1,0)))</f>
        <v/>
      </c>
      <c r="L403">
        <f>IF(D403="","",IF('02_대상물건입력'!$B$8="",0,IF(ISNUMBER(SEARCH('02_대상물건입력'!$B$8,D403)),1,0)))</f>
        <v/>
      </c>
      <c r="M403">
        <f>IFERROR(ABS(E403-'02_대상물건입력'!$B$11)/'02_대상물건입력'!$B$11,"")</f>
        <v/>
      </c>
      <c r="N403">
        <f>IFERROR(ABS('01_설정'!$B$4-F403),"")</f>
        <v/>
      </c>
      <c r="O403">
        <f>IFERROR(ABS(YEAR(I403)-YEAR('02_대상물건입력'!$B$14)),"")</f>
        <v/>
      </c>
      <c r="P403">
        <f>IF(AND(E403&gt;0,F403&gt;0,G403&gt;0,IF('01_설정'!$B$10=1,J403=1,TRUE()),M403&lt;='01_설정'!$B$5,N403&lt;='01_설정'!$B$7,O403&lt;='01_설정'!$B$8),"Y","")</f>
        <v/>
      </c>
      <c r="Q403">
        <f>IF(P403&lt;&gt;"Y","",MAX(0,(1-M403/'01_설정'!$B$5))*'01_설정'!$B$14+MAX(0,(1-N403/'01_설정'!$B$7))*'01_설정'!$B$16+MAX(0,(1-O403/'01_설정'!$B$8))*'01_설정'!$B$17+K403*'01_설정'!$B$11+L403*'01_설정'!$B$12)</f>
        <v/>
      </c>
      <c r="R403">
        <f>IF(Q403="","",1+COUNTIFS($Q$31:$Q$1030,"&gt;"&amp;Q403)+COUNTIFS($Q$31:Q403,Q403)-1)</f>
        <v/>
      </c>
    </row>
    <row r="404" hidden="1" ht="16.5" customHeight="1">
      <c r="A404">
        <f>IF(COUNTA('05_KAIS'!$A392:$N392)=0,"",377)</f>
        <v/>
      </c>
      <c r="B404">
        <f>IF($A404="","",TRIM(INDEX('05_KAIS'!$B:$B,$A404)&amp;" "&amp;INDEX('05_KAIS'!$C:$C,$A404)))</f>
        <v/>
      </c>
      <c r="C404">
        <f>IF($A404="","",INDEX('05_KAIS'!$D:$D,$A404))</f>
        <v/>
      </c>
      <c r="D404">
        <f>IF($A404="","",INDEX('05_KAIS'!$H:$H,$A404))</f>
        <v/>
      </c>
      <c r="E404">
        <f>IF($A404="","",INDEX('05_KAIS'!$K:$K,$A404))</f>
        <v/>
      </c>
      <c r="F404" s="202">
        <f>IF($A404="","",INDEX('05_KAIS'!$I:$I,$A404))</f>
        <v/>
      </c>
      <c r="G404" s="118">
        <f>IF($A404="","",INDEX('05_KAIS'!$L:$L,$A404))</f>
        <v/>
      </c>
      <c r="H404" s="118">
        <f>IF($A404="","",IFERROR(INDEX('05_KAIS'!$M:$M,$A404),IF(AND(E404&gt;0,G404&gt;0),G404/E404,"")))</f>
        <v/>
      </c>
      <c r="I404" s="202">
        <f>IF($A404="","",INDEX('05_KAIS'!$N:$N,$A404))</f>
        <v/>
      </c>
      <c r="J404">
        <f>IF(B404="","",IF('02_대상물건입력'!$B$5="",1,IF(ISNUMBER(SEARCH('02_대상물건입력'!$B$5,B404)),1,0)))</f>
        <v/>
      </c>
      <c r="K404">
        <f>IF(B404="","",IF('02_대상물건입력'!$B$6="",1,IF(ISNUMBER(SEARCH('02_대상물건입력'!$B$6,B404)),1,0)))</f>
        <v/>
      </c>
      <c r="L404">
        <f>IF(D404="","",IF('02_대상물건입력'!$B$8="",0,IF(ISNUMBER(SEARCH('02_대상물건입력'!$B$8,D404)),1,0)))</f>
        <v/>
      </c>
      <c r="M404">
        <f>IFERROR(ABS(E404-'02_대상물건입력'!$B$11)/'02_대상물건입력'!$B$11,"")</f>
        <v/>
      </c>
      <c r="N404">
        <f>IFERROR(ABS('01_설정'!$B$4-F404),"")</f>
        <v/>
      </c>
      <c r="O404">
        <f>IFERROR(ABS(YEAR(I404)-YEAR('02_대상물건입력'!$B$14)),"")</f>
        <v/>
      </c>
      <c r="P404">
        <f>IF(AND(E404&gt;0,F404&gt;0,G404&gt;0,IF('01_설정'!$B$10=1,J404=1,TRUE()),M404&lt;='01_설정'!$B$5,N404&lt;='01_설정'!$B$7,O404&lt;='01_설정'!$B$8),"Y","")</f>
        <v/>
      </c>
      <c r="Q404">
        <f>IF(P404&lt;&gt;"Y","",MAX(0,(1-M404/'01_설정'!$B$5))*'01_설정'!$B$14+MAX(0,(1-N404/'01_설정'!$B$7))*'01_설정'!$B$16+MAX(0,(1-O404/'01_설정'!$B$8))*'01_설정'!$B$17+K404*'01_설정'!$B$11+L404*'01_설정'!$B$12)</f>
        <v/>
      </c>
      <c r="R404">
        <f>IF(Q404="","",1+COUNTIFS($Q$31:$Q$1030,"&gt;"&amp;Q404)+COUNTIFS($Q$31:Q404,Q404)-1)</f>
        <v/>
      </c>
    </row>
    <row r="405" hidden="1" ht="16.5" customHeight="1">
      <c r="A405">
        <f>IF(COUNTA('05_KAIS'!$A393:$N393)=0,"",378)</f>
        <v/>
      </c>
      <c r="B405">
        <f>IF($A405="","",TRIM(INDEX('05_KAIS'!$B:$B,$A405)&amp;" "&amp;INDEX('05_KAIS'!$C:$C,$A405)))</f>
        <v/>
      </c>
      <c r="C405">
        <f>IF($A405="","",INDEX('05_KAIS'!$D:$D,$A405))</f>
        <v/>
      </c>
      <c r="D405">
        <f>IF($A405="","",INDEX('05_KAIS'!$H:$H,$A405))</f>
        <v/>
      </c>
      <c r="E405">
        <f>IF($A405="","",INDEX('05_KAIS'!$K:$K,$A405))</f>
        <v/>
      </c>
      <c r="F405" s="202">
        <f>IF($A405="","",INDEX('05_KAIS'!$I:$I,$A405))</f>
        <v/>
      </c>
      <c r="G405" s="118">
        <f>IF($A405="","",INDEX('05_KAIS'!$L:$L,$A405))</f>
        <v/>
      </c>
      <c r="H405" s="118">
        <f>IF($A405="","",IFERROR(INDEX('05_KAIS'!$M:$M,$A405),IF(AND(E405&gt;0,G405&gt;0),G405/E405,"")))</f>
        <v/>
      </c>
      <c r="I405" s="202">
        <f>IF($A405="","",INDEX('05_KAIS'!$N:$N,$A405))</f>
        <v/>
      </c>
      <c r="J405">
        <f>IF(B405="","",IF('02_대상물건입력'!$B$5="",1,IF(ISNUMBER(SEARCH('02_대상물건입력'!$B$5,B405)),1,0)))</f>
        <v/>
      </c>
      <c r="K405">
        <f>IF(B405="","",IF('02_대상물건입력'!$B$6="",1,IF(ISNUMBER(SEARCH('02_대상물건입력'!$B$6,B405)),1,0)))</f>
        <v/>
      </c>
      <c r="L405">
        <f>IF(D405="","",IF('02_대상물건입력'!$B$8="",0,IF(ISNUMBER(SEARCH('02_대상물건입력'!$B$8,D405)),1,0)))</f>
        <v/>
      </c>
      <c r="M405">
        <f>IFERROR(ABS(E405-'02_대상물건입력'!$B$11)/'02_대상물건입력'!$B$11,"")</f>
        <v/>
      </c>
      <c r="N405">
        <f>IFERROR(ABS('01_설정'!$B$4-F405),"")</f>
        <v/>
      </c>
      <c r="O405">
        <f>IFERROR(ABS(YEAR(I405)-YEAR('02_대상물건입력'!$B$14)),"")</f>
        <v/>
      </c>
      <c r="P405">
        <f>IF(AND(E405&gt;0,F405&gt;0,G405&gt;0,IF('01_설정'!$B$10=1,J405=1,TRUE()),M405&lt;='01_설정'!$B$5,N405&lt;='01_설정'!$B$7,O405&lt;='01_설정'!$B$8),"Y","")</f>
        <v/>
      </c>
      <c r="Q405">
        <f>IF(P405&lt;&gt;"Y","",MAX(0,(1-M405/'01_설정'!$B$5))*'01_설정'!$B$14+MAX(0,(1-N405/'01_설정'!$B$7))*'01_설정'!$B$16+MAX(0,(1-O405/'01_설정'!$B$8))*'01_설정'!$B$17+K405*'01_설정'!$B$11+L405*'01_설정'!$B$12)</f>
        <v/>
      </c>
      <c r="R405">
        <f>IF(Q405="","",1+COUNTIFS($Q$31:$Q$1030,"&gt;"&amp;Q405)+COUNTIFS($Q$31:Q405,Q405)-1)</f>
        <v/>
      </c>
    </row>
    <row r="406" hidden="1" ht="16.5" customHeight="1">
      <c r="A406">
        <f>IF(COUNTA('05_KAIS'!$A394:$N394)=0,"",379)</f>
        <v/>
      </c>
      <c r="B406">
        <f>IF($A406="","",TRIM(INDEX('05_KAIS'!$B:$B,$A406)&amp;" "&amp;INDEX('05_KAIS'!$C:$C,$A406)))</f>
        <v/>
      </c>
      <c r="C406">
        <f>IF($A406="","",INDEX('05_KAIS'!$D:$D,$A406))</f>
        <v/>
      </c>
      <c r="D406">
        <f>IF($A406="","",INDEX('05_KAIS'!$H:$H,$A406))</f>
        <v/>
      </c>
      <c r="E406">
        <f>IF($A406="","",INDEX('05_KAIS'!$K:$K,$A406))</f>
        <v/>
      </c>
      <c r="F406" s="202">
        <f>IF($A406="","",INDEX('05_KAIS'!$I:$I,$A406))</f>
        <v/>
      </c>
      <c r="G406" s="118">
        <f>IF($A406="","",INDEX('05_KAIS'!$L:$L,$A406))</f>
        <v/>
      </c>
      <c r="H406" s="118">
        <f>IF($A406="","",IFERROR(INDEX('05_KAIS'!$M:$M,$A406),IF(AND(E406&gt;0,G406&gt;0),G406/E406,"")))</f>
        <v/>
      </c>
      <c r="I406" s="202">
        <f>IF($A406="","",INDEX('05_KAIS'!$N:$N,$A406))</f>
        <v/>
      </c>
      <c r="J406">
        <f>IF(B406="","",IF('02_대상물건입력'!$B$5="",1,IF(ISNUMBER(SEARCH('02_대상물건입력'!$B$5,B406)),1,0)))</f>
        <v/>
      </c>
      <c r="K406">
        <f>IF(B406="","",IF('02_대상물건입력'!$B$6="",1,IF(ISNUMBER(SEARCH('02_대상물건입력'!$B$6,B406)),1,0)))</f>
        <v/>
      </c>
      <c r="L406">
        <f>IF(D406="","",IF('02_대상물건입력'!$B$8="",0,IF(ISNUMBER(SEARCH('02_대상물건입력'!$B$8,D406)),1,0)))</f>
        <v/>
      </c>
      <c r="M406">
        <f>IFERROR(ABS(E406-'02_대상물건입력'!$B$11)/'02_대상물건입력'!$B$11,"")</f>
        <v/>
      </c>
      <c r="N406">
        <f>IFERROR(ABS('01_설정'!$B$4-F406),"")</f>
        <v/>
      </c>
      <c r="O406">
        <f>IFERROR(ABS(YEAR(I406)-YEAR('02_대상물건입력'!$B$14)),"")</f>
        <v/>
      </c>
      <c r="P406">
        <f>IF(AND(E406&gt;0,F406&gt;0,G406&gt;0,IF('01_설정'!$B$10=1,J406=1,TRUE()),M406&lt;='01_설정'!$B$5,N406&lt;='01_설정'!$B$7,O406&lt;='01_설정'!$B$8),"Y","")</f>
        <v/>
      </c>
      <c r="Q406">
        <f>IF(P406&lt;&gt;"Y","",MAX(0,(1-M406/'01_설정'!$B$5))*'01_설정'!$B$14+MAX(0,(1-N406/'01_설정'!$B$7))*'01_설정'!$B$16+MAX(0,(1-O406/'01_설정'!$B$8))*'01_설정'!$B$17+K406*'01_설정'!$B$11+L406*'01_설정'!$B$12)</f>
        <v/>
      </c>
      <c r="R406">
        <f>IF(Q406="","",1+COUNTIFS($Q$31:$Q$1030,"&gt;"&amp;Q406)+COUNTIFS($Q$31:Q406,Q406)-1)</f>
        <v/>
      </c>
    </row>
    <row r="407" hidden="1" ht="16.5" customHeight="1">
      <c r="A407">
        <f>IF(COUNTA('05_KAIS'!$A395:$N395)=0,"",380)</f>
        <v/>
      </c>
      <c r="B407">
        <f>IF($A407="","",TRIM(INDEX('05_KAIS'!$B:$B,$A407)&amp;" "&amp;INDEX('05_KAIS'!$C:$C,$A407)))</f>
        <v/>
      </c>
      <c r="C407">
        <f>IF($A407="","",INDEX('05_KAIS'!$D:$D,$A407))</f>
        <v/>
      </c>
      <c r="D407">
        <f>IF($A407="","",INDEX('05_KAIS'!$H:$H,$A407))</f>
        <v/>
      </c>
      <c r="E407">
        <f>IF($A407="","",INDEX('05_KAIS'!$K:$K,$A407))</f>
        <v/>
      </c>
      <c r="F407" s="202">
        <f>IF($A407="","",INDEX('05_KAIS'!$I:$I,$A407))</f>
        <v/>
      </c>
      <c r="G407" s="118">
        <f>IF($A407="","",INDEX('05_KAIS'!$L:$L,$A407))</f>
        <v/>
      </c>
      <c r="H407" s="118">
        <f>IF($A407="","",IFERROR(INDEX('05_KAIS'!$M:$M,$A407),IF(AND(E407&gt;0,G407&gt;0),G407/E407,"")))</f>
        <v/>
      </c>
      <c r="I407" s="202">
        <f>IF($A407="","",INDEX('05_KAIS'!$N:$N,$A407))</f>
        <v/>
      </c>
      <c r="J407">
        <f>IF(B407="","",IF('02_대상물건입력'!$B$5="",1,IF(ISNUMBER(SEARCH('02_대상물건입력'!$B$5,B407)),1,0)))</f>
        <v/>
      </c>
      <c r="K407">
        <f>IF(B407="","",IF('02_대상물건입력'!$B$6="",1,IF(ISNUMBER(SEARCH('02_대상물건입력'!$B$6,B407)),1,0)))</f>
        <v/>
      </c>
      <c r="L407">
        <f>IF(D407="","",IF('02_대상물건입력'!$B$8="",0,IF(ISNUMBER(SEARCH('02_대상물건입력'!$B$8,D407)),1,0)))</f>
        <v/>
      </c>
      <c r="M407">
        <f>IFERROR(ABS(E407-'02_대상물건입력'!$B$11)/'02_대상물건입력'!$B$11,"")</f>
        <v/>
      </c>
      <c r="N407">
        <f>IFERROR(ABS('01_설정'!$B$4-F407),"")</f>
        <v/>
      </c>
      <c r="O407">
        <f>IFERROR(ABS(YEAR(I407)-YEAR('02_대상물건입력'!$B$14)),"")</f>
        <v/>
      </c>
      <c r="P407">
        <f>IF(AND(E407&gt;0,F407&gt;0,G407&gt;0,IF('01_설정'!$B$10=1,J407=1,TRUE()),M407&lt;='01_설정'!$B$5,N407&lt;='01_설정'!$B$7,O407&lt;='01_설정'!$B$8),"Y","")</f>
        <v/>
      </c>
      <c r="Q407">
        <f>IF(P407&lt;&gt;"Y","",MAX(0,(1-M407/'01_설정'!$B$5))*'01_설정'!$B$14+MAX(0,(1-N407/'01_설정'!$B$7))*'01_설정'!$B$16+MAX(0,(1-O407/'01_설정'!$B$8))*'01_설정'!$B$17+K407*'01_설정'!$B$11+L407*'01_설정'!$B$12)</f>
        <v/>
      </c>
      <c r="R407">
        <f>IF(Q407="","",1+COUNTIFS($Q$31:$Q$1030,"&gt;"&amp;Q407)+COUNTIFS($Q$31:Q407,Q407)-1)</f>
        <v/>
      </c>
    </row>
    <row r="408" hidden="1" ht="16.5" customHeight="1">
      <c r="A408">
        <f>IF(COUNTA('05_KAIS'!$A396:$N396)=0,"",381)</f>
        <v/>
      </c>
      <c r="B408">
        <f>IF($A408="","",TRIM(INDEX('05_KAIS'!$B:$B,$A408)&amp;" "&amp;INDEX('05_KAIS'!$C:$C,$A408)))</f>
        <v/>
      </c>
      <c r="C408">
        <f>IF($A408="","",INDEX('05_KAIS'!$D:$D,$A408))</f>
        <v/>
      </c>
      <c r="D408">
        <f>IF($A408="","",INDEX('05_KAIS'!$H:$H,$A408))</f>
        <v/>
      </c>
      <c r="E408">
        <f>IF($A408="","",INDEX('05_KAIS'!$K:$K,$A408))</f>
        <v/>
      </c>
      <c r="F408" s="202">
        <f>IF($A408="","",INDEX('05_KAIS'!$I:$I,$A408))</f>
        <v/>
      </c>
      <c r="G408" s="118">
        <f>IF($A408="","",INDEX('05_KAIS'!$L:$L,$A408))</f>
        <v/>
      </c>
      <c r="H408" s="118">
        <f>IF($A408="","",IFERROR(INDEX('05_KAIS'!$M:$M,$A408),IF(AND(E408&gt;0,G408&gt;0),G408/E408,"")))</f>
        <v/>
      </c>
      <c r="I408" s="202">
        <f>IF($A408="","",INDEX('05_KAIS'!$N:$N,$A408))</f>
        <v/>
      </c>
      <c r="J408">
        <f>IF(B408="","",IF('02_대상물건입력'!$B$5="",1,IF(ISNUMBER(SEARCH('02_대상물건입력'!$B$5,B408)),1,0)))</f>
        <v/>
      </c>
      <c r="K408">
        <f>IF(B408="","",IF('02_대상물건입력'!$B$6="",1,IF(ISNUMBER(SEARCH('02_대상물건입력'!$B$6,B408)),1,0)))</f>
        <v/>
      </c>
      <c r="L408">
        <f>IF(D408="","",IF('02_대상물건입력'!$B$8="",0,IF(ISNUMBER(SEARCH('02_대상물건입력'!$B$8,D408)),1,0)))</f>
        <v/>
      </c>
      <c r="M408">
        <f>IFERROR(ABS(E408-'02_대상물건입력'!$B$11)/'02_대상물건입력'!$B$11,"")</f>
        <v/>
      </c>
      <c r="N408">
        <f>IFERROR(ABS('01_설정'!$B$4-F408),"")</f>
        <v/>
      </c>
      <c r="O408">
        <f>IFERROR(ABS(YEAR(I408)-YEAR('02_대상물건입력'!$B$14)),"")</f>
        <v/>
      </c>
      <c r="P408">
        <f>IF(AND(E408&gt;0,F408&gt;0,G408&gt;0,IF('01_설정'!$B$10=1,J408=1,TRUE()),M408&lt;='01_설정'!$B$5,N408&lt;='01_설정'!$B$7,O408&lt;='01_설정'!$B$8),"Y","")</f>
        <v/>
      </c>
      <c r="Q408">
        <f>IF(P408&lt;&gt;"Y","",MAX(0,(1-M408/'01_설정'!$B$5))*'01_설정'!$B$14+MAX(0,(1-N408/'01_설정'!$B$7))*'01_설정'!$B$16+MAX(0,(1-O408/'01_설정'!$B$8))*'01_설정'!$B$17+K408*'01_설정'!$B$11+L408*'01_설정'!$B$12)</f>
        <v/>
      </c>
      <c r="R408">
        <f>IF(Q408="","",1+COUNTIFS($Q$31:$Q$1030,"&gt;"&amp;Q408)+COUNTIFS($Q$31:Q408,Q408)-1)</f>
        <v/>
      </c>
    </row>
    <row r="409" hidden="1" ht="16.5" customHeight="1">
      <c r="A409">
        <f>IF(COUNTA('05_KAIS'!$A397:$N397)=0,"",382)</f>
        <v/>
      </c>
      <c r="B409">
        <f>IF($A409="","",TRIM(INDEX('05_KAIS'!$B:$B,$A409)&amp;" "&amp;INDEX('05_KAIS'!$C:$C,$A409)))</f>
        <v/>
      </c>
      <c r="C409">
        <f>IF($A409="","",INDEX('05_KAIS'!$D:$D,$A409))</f>
        <v/>
      </c>
      <c r="D409">
        <f>IF($A409="","",INDEX('05_KAIS'!$H:$H,$A409))</f>
        <v/>
      </c>
      <c r="E409">
        <f>IF($A409="","",INDEX('05_KAIS'!$K:$K,$A409))</f>
        <v/>
      </c>
      <c r="F409" s="202">
        <f>IF($A409="","",INDEX('05_KAIS'!$I:$I,$A409))</f>
        <v/>
      </c>
      <c r="G409" s="118">
        <f>IF($A409="","",INDEX('05_KAIS'!$L:$L,$A409))</f>
        <v/>
      </c>
      <c r="H409" s="118">
        <f>IF($A409="","",IFERROR(INDEX('05_KAIS'!$M:$M,$A409),IF(AND(E409&gt;0,G409&gt;0),G409/E409,"")))</f>
        <v/>
      </c>
      <c r="I409" s="202">
        <f>IF($A409="","",INDEX('05_KAIS'!$N:$N,$A409))</f>
        <v/>
      </c>
      <c r="J409">
        <f>IF(B409="","",IF('02_대상물건입력'!$B$5="",1,IF(ISNUMBER(SEARCH('02_대상물건입력'!$B$5,B409)),1,0)))</f>
        <v/>
      </c>
      <c r="K409">
        <f>IF(B409="","",IF('02_대상물건입력'!$B$6="",1,IF(ISNUMBER(SEARCH('02_대상물건입력'!$B$6,B409)),1,0)))</f>
        <v/>
      </c>
      <c r="L409">
        <f>IF(D409="","",IF('02_대상물건입력'!$B$8="",0,IF(ISNUMBER(SEARCH('02_대상물건입력'!$B$8,D409)),1,0)))</f>
        <v/>
      </c>
      <c r="M409">
        <f>IFERROR(ABS(E409-'02_대상물건입력'!$B$11)/'02_대상물건입력'!$B$11,"")</f>
        <v/>
      </c>
      <c r="N409">
        <f>IFERROR(ABS('01_설정'!$B$4-F409),"")</f>
        <v/>
      </c>
      <c r="O409">
        <f>IFERROR(ABS(YEAR(I409)-YEAR('02_대상물건입력'!$B$14)),"")</f>
        <v/>
      </c>
      <c r="P409">
        <f>IF(AND(E409&gt;0,F409&gt;0,G409&gt;0,IF('01_설정'!$B$10=1,J409=1,TRUE()),M409&lt;='01_설정'!$B$5,N409&lt;='01_설정'!$B$7,O409&lt;='01_설정'!$B$8),"Y","")</f>
        <v/>
      </c>
      <c r="Q409">
        <f>IF(P409&lt;&gt;"Y","",MAX(0,(1-M409/'01_설정'!$B$5))*'01_설정'!$B$14+MAX(0,(1-N409/'01_설정'!$B$7))*'01_설정'!$B$16+MAX(0,(1-O409/'01_설정'!$B$8))*'01_설정'!$B$17+K409*'01_설정'!$B$11+L409*'01_설정'!$B$12)</f>
        <v/>
      </c>
      <c r="R409">
        <f>IF(Q409="","",1+COUNTIFS($Q$31:$Q$1030,"&gt;"&amp;Q409)+COUNTIFS($Q$31:Q409,Q409)-1)</f>
        <v/>
      </c>
    </row>
    <row r="410" hidden="1" ht="16.5" customHeight="1">
      <c r="A410">
        <f>IF(COUNTA('05_KAIS'!$A398:$N398)=0,"",383)</f>
        <v/>
      </c>
      <c r="B410">
        <f>IF($A410="","",TRIM(INDEX('05_KAIS'!$B:$B,$A410)&amp;" "&amp;INDEX('05_KAIS'!$C:$C,$A410)))</f>
        <v/>
      </c>
      <c r="C410">
        <f>IF($A410="","",INDEX('05_KAIS'!$D:$D,$A410))</f>
        <v/>
      </c>
      <c r="D410">
        <f>IF($A410="","",INDEX('05_KAIS'!$H:$H,$A410))</f>
        <v/>
      </c>
      <c r="E410">
        <f>IF($A410="","",INDEX('05_KAIS'!$K:$K,$A410))</f>
        <v/>
      </c>
      <c r="F410" s="202">
        <f>IF($A410="","",INDEX('05_KAIS'!$I:$I,$A410))</f>
        <v/>
      </c>
      <c r="G410" s="118">
        <f>IF($A410="","",INDEX('05_KAIS'!$L:$L,$A410))</f>
        <v/>
      </c>
      <c r="H410" s="118">
        <f>IF($A410="","",IFERROR(INDEX('05_KAIS'!$M:$M,$A410),IF(AND(E410&gt;0,G410&gt;0),G410/E410,"")))</f>
        <v/>
      </c>
      <c r="I410" s="202">
        <f>IF($A410="","",INDEX('05_KAIS'!$N:$N,$A410))</f>
        <v/>
      </c>
      <c r="J410">
        <f>IF(B410="","",IF('02_대상물건입력'!$B$5="",1,IF(ISNUMBER(SEARCH('02_대상물건입력'!$B$5,B410)),1,0)))</f>
        <v/>
      </c>
      <c r="K410">
        <f>IF(B410="","",IF('02_대상물건입력'!$B$6="",1,IF(ISNUMBER(SEARCH('02_대상물건입력'!$B$6,B410)),1,0)))</f>
        <v/>
      </c>
      <c r="L410">
        <f>IF(D410="","",IF('02_대상물건입력'!$B$8="",0,IF(ISNUMBER(SEARCH('02_대상물건입력'!$B$8,D410)),1,0)))</f>
        <v/>
      </c>
      <c r="M410">
        <f>IFERROR(ABS(E410-'02_대상물건입력'!$B$11)/'02_대상물건입력'!$B$11,"")</f>
        <v/>
      </c>
      <c r="N410">
        <f>IFERROR(ABS('01_설정'!$B$4-F410),"")</f>
        <v/>
      </c>
      <c r="O410">
        <f>IFERROR(ABS(YEAR(I410)-YEAR('02_대상물건입력'!$B$14)),"")</f>
        <v/>
      </c>
      <c r="P410">
        <f>IF(AND(E410&gt;0,F410&gt;0,G410&gt;0,IF('01_설정'!$B$10=1,J410=1,TRUE()),M410&lt;='01_설정'!$B$5,N410&lt;='01_설정'!$B$7,O410&lt;='01_설정'!$B$8),"Y","")</f>
        <v/>
      </c>
      <c r="Q410">
        <f>IF(P410&lt;&gt;"Y","",MAX(0,(1-M410/'01_설정'!$B$5))*'01_설정'!$B$14+MAX(0,(1-N410/'01_설정'!$B$7))*'01_설정'!$B$16+MAX(0,(1-O410/'01_설정'!$B$8))*'01_설정'!$B$17+K410*'01_설정'!$B$11+L410*'01_설정'!$B$12)</f>
        <v/>
      </c>
      <c r="R410">
        <f>IF(Q410="","",1+COUNTIFS($Q$31:$Q$1030,"&gt;"&amp;Q410)+COUNTIFS($Q$31:Q410,Q410)-1)</f>
        <v/>
      </c>
    </row>
    <row r="411" hidden="1" ht="16.5" customHeight="1">
      <c r="A411">
        <f>IF(COUNTA('05_KAIS'!$A399:$N399)=0,"",384)</f>
        <v/>
      </c>
      <c r="B411">
        <f>IF($A411="","",TRIM(INDEX('05_KAIS'!$B:$B,$A411)&amp;" "&amp;INDEX('05_KAIS'!$C:$C,$A411)))</f>
        <v/>
      </c>
      <c r="C411">
        <f>IF($A411="","",INDEX('05_KAIS'!$D:$D,$A411))</f>
        <v/>
      </c>
      <c r="D411">
        <f>IF($A411="","",INDEX('05_KAIS'!$H:$H,$A411))</f>
        <v/>
      </c>
      <c r="E411">
        <f>IF($A411="","",INDEX('05_KAIS'!$K:$K,$A411))</f>
        <v/>
      </c>
      <c r="F411" s="202">
        <f>IF($A411="","",INDEX('05_KAIS'!$I:$I,$A411))</f>
        <v/>
      </c>
      <c r="G411" s="118">
        <f>IF($A411="","",INDEX('05_KAIS'!$L:$L,$A411))</f>
        <v/>
      </c>
      <c r="H411" s="118">
        <f>IF($A411="","",IFERROR(INDEX('05_KAIS'!$M:$M,$A411),IF(AND(E411&gt;0,G411&gt;0),G411/E411,"")))</f>
        <v/>
      </c>
      <c r="I411" s="202">
        <f>IF($A411="","",INDEX('05_KAIS'!$N:$N,$A411))</f>
        <v/>
      </c>
      <c r="J411">
        <f>IF(B411="","",IF('02_대상물건입력'!$B$5="",1,IF(ISNUMBER(SEARCH('02_대상물건입력'!$B$5,B411)),1,0)))</f>
        <v/>
      </c>
      <c r="K411">
        <f>IF(B411="","",IF('02_대상물건입력'!$B$6="",1,IF(ISNUMBER(SEARCH('02_대상물건입력'!$B$6,B411)),1,0)))</f>
        <v/>
      </c>
      <c r="L411">
        <f>IF(D411="","",IF('02_대상물건입력'!$B$8="",0,IF(ISNUMBER(SEARCH('02_대상물건입력'!$B$8,D411)),1,0)))</f>
        <v/>
      </c>
      <c r="M411">
        <f>IFERROR(ABS(E411-'02_대상물건입력'!$B$11)/'02_대상물건입력'!$B$11,"")</f>
        <v/>
      </c>
      <c r="N411">
        <f>IFERROR(ABS('01_설정'!$B$4-F411),"")</f>
        <v/>
      </c>
      <c r="O411">
        <f>IFERROR(ABS(YEAR(I411)-YEAR('02_대상물건입력'!$B$14)),"")</f>
        <v/>
      </c>
      <c r="P411">
        <f>IF(AND(E411&gt;0,F411&gt;0,G411&gt;0,IF('01_설정'!$B$10=1,J411=1,TRUE()),M411&lt;='01_설정'!$B$5,N411&lt;='01_설정'!$B$7,O411&lt;='01_설정'!$B$8),"Y","")</f>
        <v/>
      </c>
      <c r="Q411">
        <f>IF(P411&lt;&gt;"Y","",MAX(0,(1-M411/'01_설정'!$B$5))*'01_설정'!$B$14+MAX(0,(1-N411/'01_설정'!$B$7))*'01_설정'!$B$16+MAX(0,(1-O411/'01_설정'!$B$8))*'01_설정'!$B$17+K411*'01_설정'!$B$11+L411*'01_설정'!$B$12)</f>
        <v/>
      </c>
      <c r="R411">
        <f>IF(Q411="","",1+COUNTIFS($Q$31:$Q$1030,"&gt;"&amp;Q411)+COUNTIFS($Q$31:Q411,Q411)-1)</f>
        <v/>
      </c>
    </row>
    <row r="412" hidden="1" ht="16.5" customHeight="1">
      <c r="A412">
        <f>IF(COUNTA('05_KAIS'!$A400:$N400)=0,"",385)</f>
        <v/>
      </c>
      <c r="B412">
        <f>IF($A412="","",TRIM(INDEX('05_KAIS'!$B:$B,$A412)&amp;" "&amp;INDEX('05_KAIS'!$C:$C,$A412)))</f>
        <v/>
      </c>
      <c r="C412">
        <f>IF($A412="","",INDEX('05_KAIS'!$D:$D,$A412))</f>
        <v/>
      </c>
      <c r="D412">
        <f>IF($A412="","",INDEX('05_KAIS'!$H:$H,$A412))</f>
        <v/>
      </c>
      <c r="E412">
        <f>IF($A412="","",INDEX('05_KAIS'!$K:$K,$A412))</f>
        <v/>
      </c>
      <c r="F412" s="202">
        <f>IF($A412="","",INDEX('05_KAIS'!$I:$I,$A412))</f>
        <v/>
      </c>
      <c r="G412" s="118">
        <f>IF($A412="","",INDEX('05_KAIS'!$L:$L,$A412))</f>
        <v/>
      </c>
      <c r="H412" s="118">
        <f>IF($A412="","",IFERROR(INDEX('05_KAIS'!$M:$M,$A412),IF(AND(E412&gt;0,G412&gt;0),G412/E412,"")))</f>
        <v/>
      </c>
      <c r="I412" s="202">
        <f>IF($A412="","",INDEX('05_KAIS'!$N:$N,$A412))</f>
        <v/>
      </c>
      <c r="J412">
        <f>IF(B412="","",IF('02_대상물건입력'!$B$5="",1,IF(ISNUMBER(SEARCH('02_대상물건입력'!$B$5,B412)),1,0)))</f>
        <v/>
      </c>
      <c r="K412">
        <f>IF(B412="","",IF('02_대상물건입력'!$B$6="",1,IF(ISNUMBER(SEARCH('02_대상물건입력'!$B$6,B412)),1,0)))</f>
        <v/>
      </c>
      <c r="L412">
        <f>IF(D412="","",IF('02_대상물건입력'!$B$8="",0,IF(ISNUMBER(SEARCH('02_대상물건입력'!$B$8,D412)),1,0)))</f>
        <v/>
      </c>
      <c r="M412">
        <f>IFERROR(ABS(E412-'02_대상물건입력'!$B$11)/'02_대상물건입력'!$B$11,"")</f>
        <v/>
      </c>
      <c r="N412">
        <f>IFERROR(ABS('01_설정'!$B$4-F412),"")</f>
        <v/>
      </c>
      <c r="O412">
        <f>IFERROR(ABS(YEAR(I412)-YEAR('02_대상물건입력'!$B$14)),"")</f>
        <v/>
      </c>
      <c r="P412">
        <f>IF(AND(E412&gt;0,F412&gt;0,G412&gt;0,IF('01_설정'!$B$10=1,J412=1,TRUE()),M412&lt;='01_설정'!$B$5,N412&lt;='01_설정'!$B$7,O412&lt;='01_설정'!$B$8),"Y","")</f>
        <v/>
      </c>
      <c r="Q412">
        <f>IF(P412&lt;&gt;"Y","",MAX(0,(1-M412/'01_설정'!$B$5))*'01_설정'!$B$14+MAX(0,(1-N412/'01_설정'!$B$7))*'01_설정'!$B$16+MAX(0,(1-O412/'01_설정'!$B$8))*'01_설정'!$B$17+K412*'01_설정'!$B$11+L412*'01_설정'!$B$12)</f>
        <v/>
      </c>
      <c r="R412">
        <f>IF(Q412="","",1+COUNTIFS($Q$31:$Q$1030,"&gt;"&amp;Q412)+COUNTIFS($Q$31:Q412,Q412)-1)</f>
        <v/>
      </c>
    </row>
    <row r="413" hidden="1" ht="16.5" customHeight="1">
      <c r="A413">
        <f>IF(COUNTA('05_KAIS'!$A401:$N401)=0,"",386)</f>
        <v/>
      </c>
      <c r="B413">
        <f>IF($A413="","",TRIM(INDEX('05_KAIS'!$B:$B,$A413)&amp;" "&amp;INDEX('05_KAIS'!$C:$C,$A413)))</f>
        <v/>
      </c>
      <c r="C413">
        <f>IF($A413="","",INDEX('05_KAIS'!$D:$D,$A413))</f>
        <v/>
      </c>
      <c r="D413">
        <f>IF($A413="","",INDEX('05_KAIS'!$H:$H,$A413))</f>
        <v/>
      </c>
      <c r="E413">
        <f>IF($A413="","",INDEX('05_KAIS'!$K:$K,$A413))</f>
        <v/>
      </c>
      <c r="F413" s="202">
        <f>IF($A413="","",INDEX('05_KAIS'!$I:$I,$A413))</f>
        <v/>
      </c>
      <c r="G413" s="118">
        <f>IF($A413="","",INDEX('05_KAIS'!$L:$L,$A413))</f>
        <v/>
      </c>
      <c r="H413" s="118">
        <f>IF($A413="","",IFERROR(INDEX('05_KAIS'!$M:$M,$A413),IF(AND(E413&gt;0,G413&gt;0),G413/E413,"")))</f>
        <v/>
      </c>
      <c r="I413" s="202">
        <f>IF($A413="","",INDEX('05_KAIS'!$N:$N,$A413))</f>
        <v/>
      </c>
      <c r="J413">
        <f>IF(B413="","",IF('02_대상물건입력'!$B$5="",1,IF(ISNUMBER(SEARCH('02_대상물건입력'!$B$5,B413)),1,0)))</f>
        <v/>
      </c>
      <c r="K413">
        <f>IF(B413="","",IF('02_대상물건입력'!$B$6="",1,IF(ISNUMBER(SEARCH('02_대상물건입력'!$B$6,B413)),1,0)))</f>
        <v/>
      </c>
      <c r="L413">
        <f>IF(D413="","",IF('02_대상물건입력'!$B$8="",0,IF(ISNUMBER(SEARCH('02_대상물건입력'!$B$8,D413)),1,0)))</f>
        <v/>
      </c>
      <c r="M413">
        <f>IFERROR(ABS(E413-'02_대상물건입력'!$B$11)/'02_대상물건입력'!$B$11,"")</f>
        <v/>
      </c>
      <c r="N413">
        <f>IFERROR(ABS('01_설정'!$B$4-F413),"")</f>
        <v/>
      </c>
      <c r="O413">
        <f>IFERROR(ABS(YEAR(I413)-YEAR('02_대상물건입력'!$B$14)),"")</f>
        <v/>
      </c>
      <c r="P413">
        <f>IF(AND(E413&gt;0,F413&gt;0,G413&gt;0,IF('01_설정'!$B$10=1,J413=1,TRUE()),M413&lt;='01_설정'!$B$5,N413&lt;='01_설정'!$B$7,O413&lt;='01_설정'!$B$8),"Y","")</f>
        <v/>
      </c>
      <c r="Q413">
        <f>IF(P413&lt;&gt;"Y","",MAX(0,(1-M413/'01_설정'!$B$5))*'01_설정'!$B$14+MAX(0,(1-N413/'01_설정'!$B$7))*'01_설정'!$B$16+MAX(0,(1-O413/'01_설정'!$B$8))*'01_설정'!$B$17+K413*'01_설정'!$B$11+L413*'01_설정'!$B$12)</f>
        <v/>
      </c>
      <c r="R413">
        <f>IF(Q413="","",1+COUNTIFS($Q$31:$Q$1030,"&gt;"&amp;Q413)+COUNTIFS($Q$31:Q413,Q413)-1)</f>
        <v/>
      </c>
    </row>
    <row r="414" hidden="1" ht="16.5" customHeight="1">
      <c r="A414">
        <f>IF(COUNTA('05_KAIS'!$A402:$N402)=0,"",387)</f>
        <v/>
      </c>
      <c r="B414">
        <f>IF($A414="","",TRIM(INDEX('05_KAIS'!$B:$B,$A414)&amp;" "&amp;INDEX('05_KAIS'!$C:$C,$A414)))</f>
        <v/>
      </c>
      <c r="C414">
        <f>IF($A414="","",INDEX('05_KAIS'!$D:$D,$A414))</f>
        <v/>
      </c>
      <c r="D414">
        <f>IF($A414="","",INDEX('05_KAIS'!$H:$H,$A414))</f>
        <v/>
      </c>
      <c r="E414">
        <f>IF($A414="","",INDEX('05_KAIS'!$K:$K,$A414))</f>
        <v/>
      </c>
      <c r="F414" s="202">
        <f>IF($A414="","",INDEX('05_KAIS'!$I:$I,$A414))</f>
        <v/>
      </c>
      <c r="G414" s="118">
        <f>IF($A414="","",INDEX('05_KAIS'!$L:$L,$A414))</f>
        <v/>
      </c>
      <c r="H414" s="118">
        <f>IF($A414="","",IFERROR(INDEX('05_KAIS'!$M:$M,$A414),IF(AND(E414&gt;0,G414&gt;0),G414/E414,"")))</f>
        <v/>
      </c>
      <c r="I414" s="202">
        <f>IF($A414="","",INDEX('05_KAIS'!$N:$N,$A414))</f>
        <v/>
      </c>
      <c r="J414">
        <f>IF(B414="","",IF('02_대상물건입력'!$B$5="",1,IF(ISNUMBER(SEARCH('02_대상물건입력'!$B$5,B414)),1,0)))</f>
        <v/>
      </c>
      <c r="K414">
        <f>IF(B414="","",IF('02_대상물건입력'!$B$6="",1,IF(ISNUMBER(SEARCH('02_대상물건입력'!$B$6,B414)),1,0)))</f>
        <v/>
      </c>
      <c r="L414">
        <f>IF(D414="","",IF('02_대상물건입력'!$B$8="",0,IF(ISNUMBER(SEARCH('02_대상물건입력'!$B$8,D414)),1,0)))</f>
        <v/>
      </c>
      <c r="M414">
        <f>IFERROR(ABS(E414-'02_대상물건입력'!$B$11)/'02_대상물건입력'!$B$11,"")</f>
        <v/>
      </c>
      <c r="N414">
        <f>IFERROR(ABS('01_설정'!$B$4-F414),"")</f>
        <v/>
      </c>
      <c r="O414">
        <f>IFERROR(ABS(YEAR(I414)-YEAR('02_대상물건입력'!$B$14)),"")</f>
        <v/>
      </c>
      <c r="P414">
        <f>IF(AND(E414&gt;0,F414&gt;0,G414&gt;0,IF('01_설정'!$B$10=1,J414=1,TRUE()),M414&lt;='01_설정'!$B$5,N414&lt;='01_설정'!$B$7,O414&lt;='01_설정'!$B$8),"Y","")</f>
        <v/>
      </c>
      <c r="Q414">
        <f>IF(P414&lt;&gt;"Y","",MAX(0,(1-M414/'01_설정'!$B$5))*'01_설정'!$B$14+MAX(0,(1-N414/'01_설정'!$B$7))*'01_설정'!$B$16+MAX(0,(1-O414/'01_설정'!$B$8))*'01_설정'!$B$17+K414*'01_설정'!$B$11+L414*'01_설정'!$B$12)</f>
        <v/>
      </c>
      <c r="R414">
        <f>IF(Q414="","",1+COUNTIFS($Q$31:$Q$1030,"&gt;"&amp;Q414)+COUNTIFS($Q$31:Q414,Q414)-1)</f>
        <v/>
      </c>
    </row>
    <row r="415" hidden="1" ht="16.5" customHeight="1">
      <c r="A415">
        <f>IF(COUNTA('05_KAIS'!$A403:$N403)=0,"",388)</f>
        <v/>
      </c>
      <c r="B415">
        <f>IF($A415="","",TRIM(INDEX('05_KAIS'!$B:$B,$A415)&amp;" "&amp;INDEX('05_KAIS'!$C:$C,$A415)))</f>
        <v/>
      </c>
      <c r="C415">
        <f>IF($A415="","",INDEX('05_KAIS'!$D:$D,$A415))</f>
        <v/>
      </c>
      <c r="D415">
        <f>IF($A415="","",INDEX('05_KAIS'!$H:$H,$A415))</f>
        <v/>
      </c>
      <c r="E415">
        <f>IF($A415="","",INDEX('05_KAIS'!$K:$K,$A415))</f>
        <v/>
      </c>
      <c r="F415" s="202">
        <f>IF($A415="","",INDEX('05_KAIS'!$I:$I,$A415))</f>
        <v/>
      </c>
      <c r="G415" s="118">
        <f>IF($A415="","",INDEX('05_KAIS'!$L:$L,$A415))</f>
        <v/>
      </c>
      <c r="H415" s="118">
        <f>IF($A415="","",IFERROR(INDEX('05_KAIS'!$M:$M,$A415),IF(AND(E415&gt;0,G415&gt;0),G415/E415,"")))</f>
        <v/>
      </c>
      <c r="I415" s="202">
        <f>IF($A415="","",INDEX('05_KAIS'!$N:$N,$A415))</f>
        <v/>
      </c>
      <c r="J415">
        <f>IF(B415="","",IF('02_대상물건입력'!$B$5="",1,IF(ISNUMBER(SEARCH('02_대상물건입력'!$B$5,B415)),1,0)))</f>
        <v/>
      </c>
      <c r="K415">
        <f>IF(B415="","",IF('02_대상물건입력'!$B$6="",1,IF(ISNUMBER(SEARCH('02_대상물건입력'!$B$6,B415)),1,0)))</f>
        <v/>
      </c>
      <c r="L415">
        <f>IF(D415="","",IF('02_대상물건입력'!$B$8="",0,IF(ISNUMBER(SEARCH('02_대상물건입력'!$B$8,D415)),1,0)))</f>
        <v/>
      </c>
      <c r="M415">
        <f>IFERROR(ABS(E415-'02_대상물건입력'!$B$11)/'02_대상물건입력'!$B$11,"")</f>
        <v/>
      </c>
      <c r="N415">
        <f>IFERROR(ABS('01_설정'!$B$4-F415),"")</f>
        <v/>
      </c>
      <c r="O415">
        <f>IFERROR(ABS(YEAR(I415)-YEAR('02_대상물건입력'!$B$14)),"")</f>
        <v/>
      </c>
      <c r="P415">
        <f>IF(AND(E415&gt;0,F415&gt;0,G415&gt;0,IF('01_설정'!$B$10=1,J415=1,TRUE()),M415&lt;='01_설정'!$B$5,N415&lt;='01_설정'!$B$7,O415&lt;='01_설정'!$B$8),"Y","")</f>
        <v/>
      </c>
      <c r="Q415">
        <f>IF(P415&lt;&gt;"Y","",MAX(0,(1-M415/'01_설정'!$B$5))*'01_설정'!$B$14+MAX(0,(1-N415/'01_설정'!$B$7))*'01_설정'!$B$16+MAX(0,(1-O415/'01_설정'!$B$8))*'01_설정'!$B$17+K415*'01_설정'!$B$11+L415*'01_설정'!$B$12)</f>
        <v/>
      </c>
      <c r="R415">
        <f>IF(Q415="","",1+COUNTIFS($Q$31:$Q$1030,"&gt;"&amp;Q415)+COUNTIFS($Q$31:Q415,Q415)-1)</f>
        <v/>
      </c>
    </row>
    <row r="416" hidden="1" ht="16.5" customHeight="1">
      <c r="A416">
        <f>IF(COUNTA('05_KAIS'!$A404:$N404)=0,"",389)</f>
        <v/>
      </c>
      <c r="B416">
        <f>IF($A416="","",TRIM(INDEX('05_KAIS'!$B:$B,$A416)&amp;" "&amp;INDEX('05_KAIS'!$C:$C,$A416)))</f>
        <v/>
      </c>
      <c r="C416">
        <f>IF($A416="","",INDEX('05_KAIS'!$D:$D,$A416))</f>
        <v/>
      </c>
      <c r="D416">
        <f>IF($A416="","",INDEX('05_KAIS'!$H:$H,$A416))</f>
        <v/>
      </c>
      <c r="E416">
        <f>IF($A416="","",INDEX('05_KAIS'!$K:$K,$A416))</f>
        <v/>
      </c>
      <c r="F416" s="202">
        <f>IF($A416="","",INDEX('05_KAIS'!$I:$I,$A416))</f>
        <v/>
      </c>
      <c r="G416" s="118">
        <f>IF($A416="","",INDEX('05_KAIS'!$L:$L,$A416))</f>
        <v/>
      </c>
      <c r="H416" s="118">
        <f>IF($A416="","",IFERROR(INDEX('05_KAIS'!$M:$M,$A416),IF(AND(E416&gt;0,G416&gt;0),G416/E416,"")))</f>
        <v/>
      </c>
      <c r="I416" s="202">
        <f>IF($A416="","",INDEX('05_KAIS'!$N:$N,$A416))</f>
        <v/>
      </c>
      <c r="J416">
        <f>IF(B416="","",IF('02_대상물건입력'!$B$5="",1,IF(ISNUMBER(SEARCH('02_대상물건입력'!$B$5,B416)),1,0)))</f>
        <v/>
      </c>
      <c r="K416">
        <f>IF(B416="","",IF('02_대상물건입력'!$B$6="",1,IF(ISNUMBER(SEARCH('02_대상물건입력'!$B$6,B416)),1,0)))</f>
        <v/>
      </c>
      <c r="L416">
        <f>IF(D416="","",IF('02_대상물건입력'!$B$8="",0,IF(ISNUMBER(SEARCH('02_대상물건입력'!$B$8,D416)),1,0)))</f>
        <v/>
      </c>
      <c r="M416">
        <f>IFERROR(ABS(E416-'02_대상물건입력'!$B$11)/'02_대상물건입력'!$B$11,"")</f>
        <v/>
      </c>
      <c r="N416">
        <f>IFERROR(ABS('01_설정'!$B$4-F416),"")</f>
        <v/>
      </c>
      <c r="O416">
        <f>IFERROR(ABS(YEAR(I416)-YEAR('02_대상물건입력'!$B$14)),"")</f>
        <v/>
      </c>
      <c r="P416">
        <f>IF(AND(E416&gt;0,F416&gt;0,G416&gt;0,IF('01_설정'!$B$10=1,J416=1,TRUE()),M416&lt;='01_설정'!$B$5,N416&lt;='01_설정'!$B$7,O416&lt;='01_설정'!$B$8),"Y","")</f>
        <v/>
      </c>
      <c r="Q416">
        <f>IF(P416&lt;&gt;"Y","",MAX(0,(1-M416/'01_설정'!$B$5))*'01_설정'!$B$14+MAX(0,(1-N416/'01_설정'!$B$7))*'01_설정'!$B$16+MAX(0,(1-O416/'01_설정'!$B$8))*'01_설정'!$B$17+K416*'01_설정'!$B$11+L416*'01_설정'!$B$12)</f>
        <v/>
      </c>
      <c r="R416">
        <f>IF(Q416="","",1+COUNTIFS($Q$31:$Q$1030,"&gt;"&amp;Q416)+COUNTIFS($Q$31:Q416,Q416)-1)</f>
        <v/>
      </c>
    </row>
    <row r="417" hidden="1" ht="16.5" customHeight="1">
      <c r="A417">
        <f>IF(COUNTA('05_KAIS'!$A405:$N405)=0,"",390)</f>
        <v/>
      </c>
      <c r="B417">
        <f>IF($A417="","",TRIM(INDEX('05_KAIS'!$B:$B,$A417)&amp;" "&amp;INDEX('05_KAIS'!$C:$C,$A417)))</f>
        <v/>
      </c>
      <c r="C417">
        <f>IF($A417="","",INDEX('05_KAIS'!$D:$D,$A417))</f>
        <v/>
      </c>
      <c r="D417">
        <f>IF($A417="","",INDEX('05_KAIS'!$H:$H,$A417))</f>
        <v/>
      </c>
      <c r="E417">
        <f>IF($A417="","",INDEX('05_KAIS'!$K:$K,$A417))</f>
        <v/>
      </c>
      <c r="F417" s="202">
        <f>IF($A417="","",INDEX('05_KAIS'!$I:$I,$A417))</f>
        <v/>
      </c>
      <c r="G417" s="118">
        <f>IF($A417="","",INDEX('05_KAIS'!$L:$L,$A417))</f>
        <v/>
      </c>
      <c r="H417" s="118">
        <f>IF($A417="","",IFERROR(INDEX('05_KAIS'!$M:$M,$A417),IF(AND(E417&gt;0,G417&gt;0),G417/E417,"")))</f>
        <v/>
      </c>
      <c r="I417" s="202">
        <f>IF($A417="","",INDEX('05_KAIS'!$N:$N,$A417))</f>
        <v/>
      </c>
      <c r="J417">
        <f>IF(B417="","",IF('02_대상물건입력'!$B$5="",1,IF(ISNUMBER(SEARCH('02_대상물건입력'!$B$5,B417)),1,0)))</f>
        <v/>
      </c>
      <c r="K417">
        <f>IF(B417="","",IF('02_대상물건입력'!$B$6="",1,IF(ISNUMBER(SEARCH('02_대상물건입력'!$B$6,B417)),1,0)))</f>
        <v/>
      </c>
      <c r="L417">
        <f>IF(D417="","",IF('02_대상물건입력'!$B$8="",0,IF(ISNUMBER(SEARCH('02_대상물건입력'!$B$8,D417)),1,0)))</f>
        <v/>
      </c>
      <c r="M417">
        <f>IFERROR(ABS(E417-'02_대상물건입력'!$B$11)/'02_대상물건입력'!$B$11,"")</f>
        <v/>
      </c>
      <c r="N417">
        <f>IFERROR(ABS('01_설정'!$B$4-F417),"")</f>
        <v/>
      </c>
      <c r="O417">
        <f>IFERROR(ABS(YEAR(I417)-YEAR('02_대상물건입력'!$B$14)),"")</f>
        <v/>
      </c>
      <c r="P417">
        <f>IF(AND(E417&gt;0,F417&gt;0,G417&gt;0,IF('01_설정'!$B$10=1,J417=1,TRUE()),M417&lt;='01_설정'!$B$5,N417&lt;='01_설정'!$B$7,O417&lt;='01_설정'!$B$8),"Y","")</f>
        <v/>
      </c>
      <c r="Q417">
        <f>IF(P417&lt;&gt;"Y","",MAX(0,(1-M417/'01_설정'!$B$5))*'01_설정'!$B$14+MAX(0,(1-N417/'01_설정'!$B$7))*'01_설정'!$B$16+MAX(0,(1-O417/'01_설정'!$B$8))*'01_설정'!$B$17+K417*'01_설정'!$B$11+L417*'01_설정'!$B$12)</f>
        <v/>
      </c>
      <c r="R417">
        <f>IF(Q417="","",1+COUNTIFS($Q$31:$Q$1030,"&gt;"&amp;Q417)+COUNTIFS($Q$31:Q417,Q417)-1)</f>
        <v/>
      </c>
    </row>
    <row r="418" hidden="1" ht="16.5" customHeight="1">
      <c r="A418">
        <f>IF(COUNTA('05_KAIS'!$A406:$N406)=0,"",391)</f>
        <v/>
      </c>
      <c r="B418">
        <f>IF($A418="","",TRIM(INDEX('05_KAIS'!$B:$B,$A418)&amp;" "&amp;INDEX('05_KAIS'!$C:$C,$A418)))</f>
        <v/>
      </c>
      <c r="C418">
        <f>IF($A418="","",INDEX('05_KAIS'!$D:$D,$A418))</f>
        <v/>
      </c>
      <c r="D418">
        <f>IF($A418="","",INDEX('05_KAIS'!$H:$H,$A418))</f>
        <v/>
      </c>
      <c r="E418">
        <f>IF($A418="","",INDEX('05_KAIS'!$K:$K,$A418))</f>
        <v/>
      </c>
      <c r="F418" s="202">
        <f>IF($A418="","",INDEX('05_KAIS'!$I:$I,$A418))</f>
        <v/>
      </c>
      <c r="G418" s="118">
        <f>IF($A418="","",INDEX('05_KAIS'!$L:$L,$A418))</f>
        <v/>
      </c>
      <c r="H418" s="118">
        <f>IF($A418="","",IFERROR(INDEX('05_KAIS'!$M:$M,$A418),IF(AND(E418&gt;0,G418&gt;0),G418/E418,"")))</f>
        <v/>
      </c>
      <c r="I418" s="202">
        <f>IF($A418="","",INDEX('05_KAIS'!$N:$N,$A418))</f>
        <v/>
      </c>
      <c r="J418">
        <f>IF(B418="","",IF('02_대상물건입력'!$B$5="",1,IF(ISNUMBER(SEARCH('02_대상물건입력'!$B$5,B418)),1,0)))</f>
        <v/>
      </c>
      <c r="K418">
        <f>IF(B418="","",IF('02_대상물건입력'!$B$6="",1,IF(ISNUMBER(SEARCH('02_대상물건입력'!$B$6,B418)),1,0)))</f>
        <v/>
      </c>
      <c r="L418">
        <f>IF(D418="","",IF('02_대상물건입력'!$B$8="",0,IF(ISNUMBER(SEARCH('02_대상물건입력'!$B$8,D418)),1,0)))</f>
        <v/>
      </c>
      <c r="M418">
        <f>IFERROR(ABS(E418-'02_대상물건입력'!$B$11)/'02_대상물건입력'!$B$11,"")</f>
        <v/>
      </c>
      <c r="N418">
        <f>IFERROR(ABS('01_설정'!$B$4-F418),"")</f>
        <v/>
      </c>
      <c r="O418">
        <f>IFERROR(ABS(YEAR(I418)-YEAR('02_대상물건입력'!$B$14)),"")</f>
        <v/>
      </c>
      <c r="P418">
        <f>IF(AND(E418&gt;0,F418&gt;0,G418&gt;0,IF('01_설정'!$B$10=1,J418=1,TRUE()),M418&lt;='01_설정'!$B$5,N418&lt;='01_설정'!$B$7,O418&lt;='01_설정'!$B$8),"Y","")</f>
        <v/>
      </c>
      <c r="Q418">
        <f>IF(P418&lt;&gt;"Y","",MAX(0,(1-M418/'01_설정'!$B$5))*'01_설정'!$B$14+MAX(0,(1-N418/'01_설정'!$B$7))*'01_설정'!$B$16+MAX(0,(1-O418/'01_설정'!$B$8))*'01_설정'!$B$17+K418*'01_설정'!$B$11+L418*'01_설정'!$B$12)</f>
        <v/>
      </c>
      <c r="R418">
        <f>IF(Q418="","",1+COUNTIFS($Q$31:$Q$1030,"&gt;"&amp;Q418)+COUNTIFS($Q$31:Q418,Q418)-1)</f>
        <v/>
      </c>
    </row>
    <row r="419" hidden="1" ht="16.5" customHeight="1">
      <c r="A419">
        <f>IF(COUNTA('05_KAIS'!$A407:$N407)=0,"",392)</f>
        <v/>
      </c>
      <c r="B419">
        <f>IF($A419="","",TRIM(INDEX('05_KAIS'!$B:$B,$A419)&amp;" "&amp;INDEX('05_KAIS'!$C:$C,$A419)))</f>
        <v/>
      </c>
      <c r="C419">
        <f>IF($A419="","",INDEX('05_KAIS'!$D:$D,$A419))</f>
        <v/>
      </c>
      <c r="D419">
        <f>IF($A419="","",INDEX('05_KAIS'!$H:$H,$A419))</f>
        <v/>
      </c>
      <c r="E419">
        <f>IF($A419="","",INDEX('05_KAIS'!$K:$K,$A419))</f>
        <v/>
      </c>
      <c r="F419" s="202">
        <f>IF($A419="","",INDEX('05_KAIS'!$I:$I,$A419))</f>
        <v/>
      </c>
      <c r="G419" s="118">
        <f>IF($A419="","",INDEX('05_KAIS'!$L:$L,$A419))</f>
        <v/>
      </c>
      <c r="H419" s="118">
        <f>IF($A419="","",IFERROR(INDEX('05_KAIS'!$M:$M,$A419),IF(AND(E419&gt;0,G419&gt;0),G419/E419,"")))</f>
        <v/>
      </c>
      <c r="I419" s="202">
        <f>IF($A419="","",INDEX('05_KAIS'!$N:$N,$A419))</f>
        <v/>
      </c>
      <c r="J419">
        <f>IF(B419="","",IF('02_대상물건입력'!$B$5="",1,IF(ISNUMBER(SEARCH('02_대상물건입력'!$B$5,B419)),1,0)))</f>
        <v/>
      </c>
      <c r="K419">
        <f>IF(B419="","",IF('02_대상물건입력'!$B$6="",1,IF(ISNUMBER(SEARCH('02_대상물건입력'!$B$6,B419)),1,0)))</f>
        <v/>
      </c>
      <c r="L419">
        <f>IF(D419="","",IF('02_대상물건입력'!$B$8="",0,IF(ISNUMBER(SEARCH('02_대상물건입력'!$B$8,D419)),1,0)))</f>
        <v/>
      </c>
      <c r="M419">
        <f>IFERROR(ABS(E419-'02_대상물건입력'!$B$11)/'02_대상물건입력'!$B$11,"")</f>
        <v/>
      </c>
      <c r="N419">
        <f>IFERROR(ABS('01_설정'!$B$4-F419),"")</f>
        <v/>
      </c>
      <c r="O419">
        <f>IFERROR(ABS(YEAR(I419)-YEAR('02_대상물건입력'!$B$14)),"")</f>
        <v/>
      </c>
      <c r="P419">
        <f>IF(AND(E419&gt;0,F419&gt;0,G419&gt;0,IF('01_설정'!$B$10=1,J419=1,TRUE()),M419&lt;='01_설정'!$B$5,N419&lt;='01_설정'!$B$7,O419&lt;='01_설정'!$B$8),"Y","")</f>
        <v/>
      </c>
      <c r="Q419">
        <f>IF(P419&lt;&gt;"Y","",MAX(0,(1-M419/'01_설정'!$B$5))*'01_설정'!$B$14+MAX(0,(1-N419/'01_설정'!$B$7))*'01_설정'!$B$16+MAX(0,(1-O419/'01_설정'!$B$8))*'01_설정'!$B$17+K419*'01_설정'!$B$11+L419*'01_설정'!$B$12)</f>
        <v/>
      </c>
      <c r="R419">
        <f>IF(Q419="","",1+COUNTIFS($Q$31:$Q$1030,"&gt;"&amp;Q419)+COUNTIFS($Q$31:Q419,Q419)-1)</f>
        <v/>
      </c>
    </row>
    <row r="420" hidden="1" ht="16.5" customHeight="1">
      <c r="A420">
        <f>IF(COUNTA('05_KAIS'!$A408:$N408)=0,"",393)</f>
        <v/>
      </c>
      <c r="B420">
        <f>IF($A420="","",TRIM(INDEX('05_KAIS'!$B:$B,$A420)&amp;" "&amp;INDEX('05_KAIS'!$C:$C,$A420)))</f>
        <v/>
      </c>
      <c r="C420">
        <f>IF($A420="","",INDEX('05_KAIS'!$D:$D,$A420))</f>
        <v/>
      </c>
      <c r="D420">
        <f>IF($A420="","",INDEX('05_KAIS'!$H:$H,$A420))</f>
        <v/>
      </c>
      <c r="E420">
        <f>IF($A420="","",INDEX('05_KAIS'!$K:$K,$A420))</f>
        <v/>
      </c>
      <c r="F420" s="202">
        <f>IF($A420="","",INDEX('05_KAIS'!$I:$I,$A420))</f>
        <v/>
      </c>
      <c r="G420" s="118">
        <f>IF($A420="","",INDEX('05_KAIS'!$L:$L,$A420))</f>
        <v/>
      </c>
      <c r="H420" s="118">
        <f>IF($A420="","",IFERROR(INDEX('05_KAIS'!$M:$M,$A420),IF(AND(E420&gt;0,G420&gt;0),G420/E420,"")))</f>
        <v/>
      </c>
      <c r="I420" s="202">
        <f>IF($A420="","",INDEX('05_KAIS'!$N:$N,$A420))</f>
        <v/>
      </c>
      <c r="J420">
        <f>IF(B420="","",IF('02_대상물건입력'!$B$5="",1,IF(ISNUMBER(SEARCH('02_대상물건입력'!$B$5,B420)),1,0)))</f>
        <v/>
      </c>
      <c r="K420">
        <f>IF(B420="","",IF('02_대상물건입력'!$B$6="",1,IF(ISNUMBER(SEARCH('02_대상물건입력'!$B$6,B420)),1,0)))</f>
        <v/>
      </c>
      <c r="L420">
        <f>IF(D420="","",IF('02_대상물건입력'!$B$8="",0,IF(ISNUMBER(SEARCH('02_대상물건입력'!$B$8,D420)),1,0)))</f>
        <v/>
      </c>
      <c r="M420">
        <f>IFERROR(ABS(E420-'02_대상물건입력'!$B$11)/'02_대상물건입력'!$B$11,"")</f>
        <v/>
      </c>
      <c r="N420">
        <f>IFERROR(ABS('01_설정'!$B$4-F420),"")</f>
        <v/>
      </c>
      <c r="O420">
        <f>IFERROR(ABS(YEAR(I420)-YEAR('02_대상물건입력'!$B$14)),"")</f>
        <v/>
      </c>
      <c r="P420">
        <f>IF(AND(E420&gt;0,F420&gt;0,G420&gt;0,IF('01_설정'!$B$10=1,J420=1,TRUE()),M420&lt;='01_설정'!$B$5,N420&lt;='01_설정'!$B$7,O420&lt;='01_설정'!$B$8),"Y","")</f>
        <v/>
      </c>
      <c r="Q420">
        <f>IF(P420&lt;&gt;"Y","",MAX(0,(1-M420/'01_설정'!$B$5))*'01_설정'!$B$14+MAX(0,(1-N420/'01_설정'!$B$7))*'01_설정'!$B$16+MAX(0,(1-O420/'01_설정'!$B$8))*'01_설정'!$B$17+K420*'01_설정'!$B$11+L420*'01_설정'!$B$12)</f>
        <v/>
      </c>
      <c r="R420">
        <f>IF(Q420="","",1+COUNTIFS($Q$31:$Q$1030,"&gt;"&amp;Q420)+COUNTIFS($Q$31:Q420,Q420)-1)</f>
        <v/>
      </c>
    </row>
    <row r="421" hidden="1" ht="16.5" customHeight="1">
      <c r="A421">
        <f>IF(COUNTA('05_KAIS'!$A409:$N409)=0,"",394)</f>
        <v/>
      </c>
      <c r="B421">
        <f>IF($A421="","",TRIM(INDEX('05_KAIS'!$B:$B,$A421)&amp;" "&amp;INDEX('05_KAIS'!$C:$C,$A421)))</f>
        <v/>
      </c>
      <c r="C421">
        <f>IF($A421="","",INDEX('05_KAIS'!$D:$D,$A421))</f>
        <v/>
      </c>
      <c r="D421">
        <f>IF($A421="","",INDEX('05_KAIS'!$H:$H,$A421))</f>
        <v/>
      </c>
      <c r="E421">
        <f>IF($A421="","",INDEX('05_KAIS'!$K:$K,$A421))</f>
        <v/>
      </c>
      <c r="F421" s="202">
        <f>IF($A421="","",INDEX('05_KAIS'!$I:$I,$A421))</f>
        <v/>
      </c>
      <c r="G421" s="118">
        <f>IF($A421="","",INDEX('05_KAIS'!$L:$L,$A421))</f>
        <v/>
      </c>
      <c r="H421" s="118">
        <f>IF($A421="","",IFERROR(INDEX('05_KAIS'!$M:$M,$A421),IF(AND(E421&gt;0,G421&gt;0),G421/E421,"")))</f>
        <v/>
      </c>
      <c r="I421" s="202">
        <f>IF($A421="","",INDEX('05_KAIS'!$N:$N,$A421))</f>
        <v/>
      </c>
      <c r="J421">
        <f>IF(B421="","",IF('02_대상물건입력'!$B$5="",1,IF(ISNUMBER(SEARCH('02_대상물건입력'!$B$5,B421)),1,0)))</f>
        <v/>
      </c>
      <c r="K421">
        <f>IF(B421="","",IF('02_대상물건입력'!$B$6="",1,IF(ISNUMBER(SEARCH('02_대상물건입력'!$B$6,B421)),1,0)))</f>
        <v/>
      </c>
      <c r="L421">
        <f>IF(D421="","",IF('02_대상물건입력'!$B$8="",0,IF(ISNUMBER(SEARCH('02_대상물건입력'!$B$8,D421)),1,0)))</f>
        <v/>
      </c>
      <c r="M421">
        <f>IFERROR(ABS(E421-'02_대상물건입력'!$B$11)/'02_대상물건입력'!$B$11,"")</f>
        <v/>
      </c>
      <c r="N421">
        <f>IFERROR(ABS('01_설정'!$B$4-F421),"")</f>
        <v/>
      </c>
      <c r="O421">
        <f>IFERROR(ABS(YEAR(I421)-YEAR('02_대상물건입력'!$B$14)),"")</f>
        <v/>
      </c>
      <c r="P421">
        <f>IF(AND(E421&gt;0,F421&gt;0,G421&gt;0,IF('01_설정'!$B$10=1,J421=1,TRUE()),M421&lt;='01_설정'!$B$5,N421&lt;='01_설정'!$B$7,O421&lt;='01_설정'!$B$8),"Y","")</f>
        <v/>
      </c>
      <c r="Q421">
        <f>IF(P421&lt;&gt;"Y","",MAX(0,(1-M421/'01_설정'!$B$5))*'01_설정'!$B$14+MAX(0,(1-N421/'01_설정'!$B$7))*'01_설정'!$B$16+MAX(0,(1-O421/'01_설정'!$B$8))*'01_설정'!$B$17+K421*'01_설정'!$B$11+L421*'01_설정'!$B$12)</f>
        <v/>
      </c>
      <c r="R421">
        <f>IF(Q421="","",1+COUNTIFS($Q$31:$Q$1030,"&gt;"&amp;Q421)+COUNTIFS($Q$31:Q421,Q421)-1)</f>
        <v/>
      </c>
    </row>
    <row r="422" hidden="1" ht="16.5" customHeight="1">
      <c r="A422">
        <f>IF(COUNTA('05_KAIS'!$A410:$N410)=0,"",395)</f>
        <v/>
      </c>
      <c r="B422">
        <f>IF($A422="","",TRIM(INDEX('05_KAIS'!$B:$B,$A422)&amp;" "&amp;INDEX('05_KAIS'!$C:$C,$A422)))</f>
        <v/>
      </c>
      <c r="C422">
        <f>IF($A422="","",INDEX('05_KAIS'!$D:$D,$A422))</f>
        <v/>
      </c>
      <c r="D422">
        <f>IF($A422="","",INDEX('05_KAIS'!$H:$H,$A422))</f>
        <v/>
      </c>
      <c r="E422">
        <f>IF($A422="","",INDEX('05_KAIS'!$K:$K,$A422))</f>
        <v/>
      </c>
      <c r="F422" s="202">
        <f>IF($A422="","",INDEX('05_KAIS'!$I:$I,$A422))</f>
        <v/>
      </c>
      <c r="G422" s="118">
        <f>IF($A422="","",INDEX('05_KAIS'!$L:$L,$A422))</f>
        <v/>
      </c>
      <c r="H422" s="118">
        <f>IF($A422="","",IFERROR(INDEX('05_KAIS'!$M:$M,$A422),IF(AND(E422&gt;0,G422&gt;0),G422/E422,"")))</f>
        <v/>
      </c>
      <c r="I422" s="202">
        <f>IF($A422="","",INDEX('05_KAIS'!$N:$N,$A422))</f>
        <v/>
      </c>
      <c r="J422">
        <f>IF(B422="","",IF('02_대상물건입력'!$B$5="",1,IF(ISNUMBER(SEARCH('02_대상물건입력'!$B$5,B422)),1,0)))</f>
        <v/>
      </c>
      <c r="K422">
        <f>IF(B422="","",IF('02_대상물건입력'!$B$6="",1,IF(ISNUMBER(SEARCH('02_대상물건입력'!$B$6,B422)),1,0)))</f>
        <v/>
      </c>
      <c r="L422">
        <f>IF(D422="","",IF('02_대상물건입력'!$B$8="",0,IF(ISNUMBER(SEARCH('02_대상물건입력'!$B$8,D422)),1,0)))</f>
        <v/>
      </c>
      <c r="M422">
        <f>IFERROR(ABS(E422-'02_대상물건입력'!$B$11)/'02_대상물건입력'!$B$11,"")</f>
        <v/>
      </c>
      <c r="N422">
        <f>IFERROR(ABS('01_설정'!$B$4-F422),"")</f>
        <v/>
      </c>
      <c r="O422">
        <f>IFERROR(ABS(YEAR(I422)-YEAR('02_대상물건입력'!$B$14)),"")</f>
        <v/>
      </c>
      <c r="P422">
        <f>IF(AND(E422&gt;0,F422&gt;0,G422&gt;0,IF('01_설정'!$B$10=1,J422=1,TRUE()),M422&lt;='01_설정'!$B$5,N422&lt;='01_설정'!$B$7,O422&lt;='01_설정'!$B$8),"Y","")</f>
        <v/>
      </c>
      <c r="Q422">
        <f>IF(P422&lt;&gt;"Y","",MAX(0,(1-M422/'01_설정'!$B$5))*'01_설정'!$B$14+MAX(0,(1-N422/'01_설정'!$B$7))*'01_설정'!$B$16+MAX(0,(1-O422/'01_설정'!$B$8))*'01_설정'!$B$17+K422*'01_설정'!$B$11+L422*'01_설정'!$B$12)</f>
        <v/>
      </c>
      <c r="R422">
        <f>IF(Q422="","",1+COUNTIFS($Q$31:$Q$1030,"&gt;"&amp;Q422)+COUNTIFS($Q$31:Q422,Q422)-1)</f>
        <v/>
      </c>
    </row>
    <row r="423" hidden="1" ht="16.5" customHeight="1">
      <c r="A423">
        <f>IF(COUNTA('05_KAIS'!$A411:$N411)=0,"",396)</f>
        <v/>
      </c>
      <c r="B423">
        <f>IF($A423="","",TRIM(INDEX('05_KAIS'!$B:$B,$A423)&amp;" "&amp;INDEX('05_KAIS'!$C:$C,$A423)))</f>
        <v/>
      </c>
      <c r="C423">
        <f>IF($A423="","",INDEX('05_KAIS'!$D:$D,$A423))</f>
        <v/>
      </c>
      <c r="D423">
        <f>IF($A423="","",INDEX('05_KAIS'!$H:$H,$A423))</f>
        <v/>
      </c>
      <c r="E423">
        <f>IF($A423="","",INDEX('05_KAIS'!$K:$K,$A423))</f>
        <v/>
      </c>
      <c r="F423" s="202">
        <f>IF($A423="","",INDEX('05_KAIS'!$I:$I,$A423))</f>
        <v/>
      </c>
      <c r="G423" s="118">
        <f>IF($A423="","",INDEX('05_KAIS'!$L:$L,$A423))</f>
        <v/>
      </c>
      <c r="H423" s="118">
        <f>IF($A423="","",IFERROR(INDEX('05_KAIS'!$M:$M,$A423),IF(AND(E423&gt;0,G423&gt;0),G423/E423,"")))</f>
        <v/>
      </c>
      <c r="I423" s="202">
        <f>IF($A423="","",INDEX('05_KAIS'!$N:$N,$A423))</f>
        <v/>
      </c>
      <c r="J423">
        <f>IF(B423="","",IF('02_대상물건입력'!$B$5="",1,IF(ISNUMBER(SEARCH('02_대상물건입력'!$B$5,B423)),1,0)))</f>
        <v/>
      </c>
      <c r="K423">
        <f>IF(B423="","",IF('02_대상물건입력'!$B$6="",1,IF(ISNUMBER(SEARCH('02_대상물건입력'!$B$6,B423)),1,0)))</f>
        <v/>
      </c>
      <c r="L423">
        <f>IF(D423="","",IF('02_대상물건입력'!$B$8="",0,IF(ISNUMBER(SEARCH('02_대상물건입력'!$B$8,D423)),1,0)))</f>
        <v/>
      </c>
      <c r="M423">
        <f>IFERROR(ABS(E423-'02_대상물건입력'!$B$11)/'02_대상물건입력'!$B$11,"")</f>
        <v/>
      </c>
      <c r="N423">
        <f>IFERROR(ABS('01_설정'!$B$4-F423),"")</f>
        <v/>
      </c>
      <c r="O423">
        <f>IFERROR(ABS(YEAR(I423)-YEAR('02_대상물건입력'!$B$14)),"")</f>
        <v/>
      </c>
      <c r="P423">
        <f>IF(AND(E423&gt;0,F423&gt;0,G423&gt;0,IF('01_설정'!$B$10=1,J423=1,TRUE()),M423&lt;='01_설정'!$B$5,N423&lt;='01_설정'!$B$7,O423&lt;='01_설정'!$B$8),"Y","")</f>
        <v/>
      </c>
      <c r="Q423">
        <f>IF(P423&lt;&gt;"Y","",MAX(0,(1-M423/'01_설정'!$B$5))*'01_설정'!$B$14+MAX(0,(1-N423/'01_설정'!$B$7))*'01_설정'!$B$16+MAX(0,(1-O423/'01_설정'!$B$8))*'01_설정'!$B$17+K423*'01_설정'!$B$11+L423*'01_설정'!$B$12)</f>
        <v/>
      </c>
      <c r="R423">
        <f>IF(Q423="","",1+COUNTIFS($Q$31:$Q$1030,"&gt;"&amp;Q423)+COUNTIFS($Q$31:Q423,Q423)-1)</f>
        <v/>
      </c>
    </row>
    <row r="424" hidden="1" ht="16.5" customHeight="1">
      <c r="A424">
        <f>IF(COUNTA('05_KAIS'!$A412:$N412)=0,"",397)</f>
        <v/>
      </c>
      <c r="B424">
        <f>IF($A424="","",TRIM(INDEX('05_KAIS'!$B:$B,$A424)&amp;" "&amp;INDEX('05_KAIS'!$C:$C,$A424)))</f>
        <v/>
      </c>
      <c r="C424">
        <f>IF($A424="","",INDEX('05_KAIS'!$D:$D,$A424))</f>
        <v/>
      </c>
      <c r="D424">
        <f>IF($A424="","",INDEX('05_KAIS'!$H:$H,$A424))</f>
        <v/>
      </c>
      <c r="E424">
        <f>IF($A424="","",INDEX('05_KAIS'!$K:$K,$A424))</f>
        <v/>
      </c>
      <c r="F424" s="202">
        <f>IF($A424="","",INDEX('05_KAIS'!$I:$I,$A424))</f>
        <v/>
      </c>
      <c r="G424" s="118">
        <f>IF($A424="","",INDEX('05_KAIS'!$L:$L,$A424))</f>
        <v/>
      </c>
      <c r="H424" s="118">
        <f>IF($A424="","",IFERROR(INDEX('05_KAIS'!$M:$M,$A424),IF(AND(E424&gt;0,G424&gt;0),G424/E424,"")))</f>
        <v/>
      </c>
      <c r="I424" s="202">
        <f>IF($A424="","",INDEX('05_KAIS'!$N:$N,$A424))</f>
        <v/>
      </c>
      <c r="J424">
        <f>IF(B424="","",IF('02_대상물건입력'!$B$5="",1,IF(ISNUMBER(SEARCH('02_대상물건입력'!$B$5,B424)),1,0)))</f>
        <v/>
      </c>
      <c r="K424">
        <f>IF(B424="","",IF('02_대상물건입력'!$B$6="",1,IF(ISNUMBER(SEARCH('02_대상물건입력'!$B$6,B424)),1,0)))</f>
        <v/>
      </c>
      <c r="L424">
        <f>IF(D424="","",IF('02_대상물건입력'!$B$8="",0,IF(ISNUMBER(SEARCH('02_대상물건입력'!$B$8,D424)),1,0)))</f>
        <v/>
      </c>
      <c r="M424">
        <f>IFERROR(ABS(E424-'02_대상물건입력'!$B$11)/'02_대상물건입력'!$B$11,"")</f>
        <v/>
      </c>
      <c r="N424">
        <f>IFERROR(ABS('01_설정'!$B$4-F424),"")</f>
        <v/>
      </c>
      <c r="O424">
        <f>IFERROR(ABS(YEAR(I424)-YEAR('02_대상물건입력'!$B$14)),"")</f>
        <v/>
      </c>
      <c r="P424">
        <f>IF(AND(E424&gt;0,F424&gt;0,G424&gt;0,IF('01_설정'!$B$10=1,J424=1,TRUE()),M424&lt;='01_설정'!$B$5,N424&lt;='01_설정'!$B$7,O424&lt;='01_설정'!$B$8),"Y","")</f>
        <v/>
      </c>
      <c r="Q424">
        <f>IF(P424&lt;&gt;"Y","",MAX(0,(1-M424/'01_설정'!$B$5))*'01_설정'!$B$14+MAX(0,(1-N424/'01_설정'!$B$7))*'01_설정'!$B$16+MAX(0,(1-O424/'01_설정'!$B$8))*'01_설정'!$B$17+K424*'01_설정'!$B$11+L424*'01_설정'!$B$12)</f>
        <v/>
      </c>
      <c r="R424">
        <f>IF(Q424="","",1+COUNTIFS($Q$31:$Q$1030,"&gt;"&amp;Q424)+COUNTIFS($Q$31:Q424,Q424)-1)</f>
        <v/>
      </c>
    </row>
    <row r="425" hidden="1" ht="16.5" customHeight="1">
      <c r="A425">
        <f>IF(COUNTA('05_KAIS'!$A413:$N413)=0,"",398)</f>
        <v/>
      </c>
      <c r="B425">
        <f>IF($A425="","",TRIM(INDEX('05_KAIS'!$B:$B,$A425)&amp;" "&amp;INDEX('05_KAIS'!$C:$C,$A425)))</f>
        <v/>
      </c>
      <c r="C425">
        <f>IF($A425="","",INDEX('05_KAIS'!$D:$D,$A425))</f>
        <v/>
      </c>
      <c r="D425">
        <f>IF($A425="","",INDEX('05_KAIS'!$H:$H,$A425))</f>
        <v/>
      </c>
      <c r="E425">
        <f>IF($A425="","",INDEX('05_KAIS'!$K:$K,$A425))</f>
        <v/>
      </c>
      <c r="F425" s="202">
        <f>IF($A425="","",INDEX('05_KAIS'!$I:$I,$A425))</f>
        <v/>
      </c>
      <c r="G425" s="118">
        <f>IF($A425="","",INDEX('05_KAIS'!$L:$L,$A425))</f>
        <v/>
      </c>
      <c r="H425" s="118">
        <f>IF($A425="","",IFERROR(INDEX('05_KAIS'!$M:$M,$A425),IF(AND(E425&gt;0,G425&gt;0),G425/E425,"")))</f>
        <v/>
      </c>
      <c r="I425" s="202">
        <f>IF($A425="","",INDEX('05_KAIS'!$N:$N,$A425))</f>
        <v/>
      </c>
      <c r="J425">
        <f>IF(B425="","",IF('02_대상물건입력'!$B$5="",1,IF(ISNUMBER(SEARCH('02_대상물건입력'!$B$5,B425)),1,0)))</f>
        <v/>
      </c>
      <c r="K425">
        <f>IF(B425="","",IF('02_대상물건입력'!$B$6="",1,IF(ISNUMBER(SEARCH('02_대상물건입력'!$B$6,B425)),1,0)))</f>
        <v/>
      </c>
      <c r="L425">
        <f>IF(D425="","",IF('02_대상물건입력'!$B$8="",0,IF(ISNUMBER(SEARCH('02_대상물건입력'!$B$8,D425)),1,0)))</f>
        <v/>
      </c>
      <c r="M425">
        <f>IFERROR(ABS(E425-'02_대상물건입력'!$B$11)/'02_대상물건입력'!$B$11,"")</f>
        <v/>
      </c>
      <c r="N425">
        <f>IFERROR(ABS('01_설정'!$B$4-F425),"")</f>
        <v/>
      </c>
      <c r="O425">
        <f>IFERROR(ABS(YEAR(I425)-YEAR('02_대상물건입력'!$B$14)),"")</f>
        <v/>
      </c>
      <c r="P425">
        <f>IF(AND(E425&gt;0,F425&gt;0,G425&gt;0,IF('01_설정'!$B$10=1,J425=1,TRUE()),M425&lt;='01_설정'!$B$5,N425&lt;='01_설정'!$B$7,O425&lt;='01_설정'!$B$8),"Y","")</f>
        <v/>
      </c>
      <c r="Q425">
        <f>IF(P425&lt;&gt;"Y","",MAX(0,(1-M425/'01_설정'!$B$5))*'01_설정'!$B$14+MAX(0,(1-N425/'01_설정'!$B$7))*'01_설정'!$B$16+MAX(0,(1-O425/'01_설정'!$B$8))*'01_설정'!$B$17+K425*'01_설정'!$B$11+L425*'01_설정'!$B$12)</f>
        <v/>
      </c>
      <c r="R425">
        <f>IF(Q425="","",1+COUNTIFS($Q$31:$Q$1030,"&gt;"&amp;Q425)+COUNTIFS($Q$31:Q425,Q425)-1)</f>
        <v/>
      </c>
    </row>
    <row r="426" hidden="1" ht="16.5" customHeight="1">
      <c r="A426">
        <f>IF(COUNTA('05_KAIS'!$A414:$N414)=0,"",399)</f>
        <v/>
      </c>
      <c r="B426">
        <f>IF($A426="","",TRIM(INDEX('05_KAIS'!$B:$B,$A426)&amp;" "&amp;INDEX('05_KAIS'!$C:$C,$A426)))</f>
        <v/>
      </c>
      <c r="C426">
        <f>IF($A426="","",INDEX('05_KAIS'!$D:$D,$A426))</f>
        <v/>
      </c>
      <c r="D426">
        <f>IF($A426="","",INDEX('05_KAIS'!$H:$H,$A426))</f>
        <v/>
      </c>
      <c r="E426">
        <f>IF($A426="","",INDEX('05_KAIS'!$K:$K,$A426))</f>
        <v/>
      </c>
      <c r="F426" s="202">
        <f>IF($A426="","",INDEX('05_KAIS'!$I:$I,$A426))</f>
        <v/>
      </c>
      <c r="G426" s="118">
        <f>IF($A426="","",INDEX('05_KAIS'!$L:$L,$A426))</f>
        <v/>
      </c>
      <c r="H426" s="118">
        <f>IF($A426="","",IFERROR(INDEX('05_KAIS'!$M:$M,$A426),IF(AND(E426&gt;0,G426&gt;0),G426/E426,"")))</f>
        <v/>
      </c>
      <c r="I426" s="202">
        <f>IF($A426="","",INDEX('05_KAIS'!$N:$N,$A426))</f>
        <v/>
      </c>
      <c r="J426">
        <f>IF(B426="","",IF('02_대상물건입력'!$B$5="",1,IF(ISNUMBER(SEARCH('02_대상물건입력'!$B$5,B426)),1,0)))</f>
        <v/>
      </c>
      <c r="K426">
        <f>IF(B426="","",IF('02_대상물건입력'!$B$6="",1,IF(ISNUMBER(SEARCH('02_대상물건입력'!$B$6,B426)),1,0)))</f>
        <v/>
      </c>
      <c r="L426">
        <f>IF(D426="","",IF('02_대상물건입력'!$B$8="",0,IF(ISNUMBER(SEARCH('02_대상물건입력'!$B$8,D426)),1,0)))</f>
        <v/>
      </c>
      <c r="M426">
        <f>IFERROR(ABS(E426-'02_대상물건입력'!$B$11)/'02_대상물건입력'!$B$11,"")</f>
        <v/>
      </c>
      <c r="N426">
        <f>IFERROR(ABS('01_설정'!$B$4-F426),"")</f>
        <v/>
      </c>
      <c r="O426">
        <f>IFERROR(ABS(YEAR(I426)-YEAR('02_대상물건입력'!$B$14)),"")</f>
        <v/>
      </c>
      <c r="P426">
        <f>IF(AND(E426&gt;0,F426&gt;0,G426&gt;0,IF('01_설정'!$B$10=1,J426=1,TRUE()),M426&lt;='01_설정'!$B$5,N426&lt;='01_설정'!$B$7,O426&lt;='01_설정'!$B$8),"Y","")</f>
        <v/>
      </c>
      <c r="Q426">
        <f>IF(P426&lt;&gt;"Y","",MAX(0,(1-M426/'01_설정'!$B$5))*'01_설정'!$B$14+MAX(0,(1-N426/'01_설정'!$B$7))*'01_설정'!$B$16+MAX(0,(1-O426/'01_설정'!$B$8))*'01_설정'!$B$17+K426*'01_설정'!$B$11+L426*'01_설정'!$B$12)</f>
        <v/>
      </c>
      <c r="R426">
        <f>IF(Q426="","",1+COUNTIFS($Q$31:$Q$1030,"&gt;"&amp;Q426)+COUNTIFS($Q$31:Q426,Q426)-1)</f>
        <v/>
      </c>
    </row>
    <row r="427" hidden="1" ht="16.5" customHeight="1">
      <c r="A427">
        <f>IF(COUNTA('05_KAIS'!$A415:$N415)=0,"",400)</f>
        <v/>
      </c>
      <c r="B427">
        <f>IF($A427="","",TRIM(INDEX('05_KAIS'!$B:$B,$A427)&amp;" "&amp;INDEX('05_KAIS'!$C:$C,$A427)))</f>
        <v/>
      </c>
      <c r="C427">
        <f>IF($A427="","",INDEX('05_KAIS'!$D:$D,$A427))</f>
        <v/>
      </c>
      <c r="D427">
        <f>IF($A427="","",INDEX('05_KAIS'!$H:$H,$A427))</f>
        <v/>
      </c>
      <c r="E427">
        <f>IF($A427="","",INDEX('05_KAIS'!$K:$K,$A427))</f>
        <v/>
      </c>
      <c r="F427" s="202">
        <f>IF($A427="","",INDEX('05_KAIS'!$I:$I,$A427))</f>
        <v/>
      </c>
      <c r="G427" s="118">
        <f>IF($A427="","",INDEX('05_KAIS'!$L:$L,$A427))</f>
        <v/>
      </c>
      <c r="H427" s="118">
        <f>IF($A427="","",IFERROR(INDEX('05_KAIS'!$M:$M,$A427),IF(AND(E427&gt;0,G427&gt;0),G427/E427,"")))</f>
        <v/>
      </c>
      <c r="I427" s="202">
        <f>IF($A427="","",INDEX('05_KAIS'!$N:$N,$A427))</f>
        <v/>
      </c>
      <c r="J427">
        <f>IF(B427="","",IF('02_대상물건입력'!$B$5="",1,IF(ISNUMBER(SEARCH('02_대상물건입력'!$B$5,B427)),1,0)))</f>
        <v/>
      </c>
      <c r="K427">
        <f>IF(B427="","",IF('02_대상물건입력'!$B$6="",1,IF(ISNUMBER(SEARCH('02_대상물건입력'!$B$6,B427)),1,0)))</f>
        <v/>
      </c>
      <c r="L427">
        <f>IF(D427="","",IF('02_대상물건입력'!$B$8="",0,IF(ISNUMBER(SEARCH('02_대상물건입력'!$B$8,D427)),1,0)))</f>
        <v/>
      </c>
      <c r="M427">
        <f>IFERROR(ABS(E427-'02_대상물건입력'!$B$11)/'02_대상물건입력'!$B$11,"")</f>
        <v/>
      </c>
      <c r="N427">
        <f>IFERROR(ABS('01_설정'!$B$4-F427),"")</f>
        <v/>
      </c>
      <c r="O427">
        <f>IFERROR(ABS(YEAR(I427)-YEAR('02_대상물건입력'!$B$14)),"")</f>
        <v/>
      </c>
      <c r="P427">
        <f>IF(AND(E427&gt;0,F427&gt;0,G427&gt;0,IF('01_설정'!$B$10=1,J427=1,TRUE()),M427&lt;='01_설정'!$B$5,N427&lt;='01_설정'!$B$7,O427&lt;='01_설정'!$B$8),"Y","")</f>
        <v/>
      </c>
      <c r="Q427">
        <f>IF(P427&lt;&gt;"Y","",MAX(0,(1-M427/'01_설정'!$B$5))*'01_설정'!$B$14+MAX(0,(1-N427/'01_설정'!$B$7))*'01_설정'!$B$16+MAX(0,(1-O427/'01_설정'!$B$8))*'01_설정'!$B$17+K427*'01_설정'!$B$11+L427*'01_설정'!$B$12)</f>
        <v/>
      </c>
      <c r="R427">
        <f>IF(Q427="","",1+COUNTIFS($Q$31:$Q$1030,"&gt;"&amp;Q427)+COUNTIFS($Q$31:Q427,Q427)-1)</f>
        <v/>
      </c>
    </row>
    <row r="428" hidden="1" ht="16.5" customHeight="1">
      <c r="A428">
        <f>IF(COUNTA('05_KAIS'!$A416:$N416)=0,"",401)</f>
        <v/>
      </c>
      <c r="B428">
        <f>IF($A428="","",TRIM(INDEX('05_KAIS'!$B:$B,$A428)&amp;" "&amp;INDEX('05_KAIS'!$C:$C,$A428)))</f>
        <v/>
      </c>
      <c r="C428">
        <f>IF($A428="","",INDEX('05_KAIS'!$D:$D,$A428))</f>
        <v/>
      </c>
      <c r="D428">
        <f>IF($A428="","",INDEX('05_KAIS'!$H:$H,$A428))</f>
        <v/>
      </c>
      <c r="E428">
        <f>IF($A428="","",INDEX('05_KAIS'!$K:$K,$A428))</f>
        <v/>
      </c>
      <c r="F428" s="202">
        <f>IF($A428="","",INDEX('05_KAIS'!$I:$I,$A428))</f>
        <v/>
      </c>
      <c r="G428" s="118">
        <f>IF($A428="","",INDEX('05_KAIS'!$L:$L,$A428))</f>
        <v/>
      </c>
      <c r="H428" s="118">
        <f>IF($A428="","",IFERROR(INDEX('05_KAIS'!$M:$M,$A428),IF(AND(E428&gt;0,G428&gt;0),G428/E428,"")))</f>
        <v/>
      </c>
      <c r="I428" s="202">
        <f>IF($A428="","",INDEX('05_KAIS'!$N:$N,$A428))</f>
        <v/>
      </c>
      <c r="J428">
        <f>IF(B428="","",IF('02_대상물건입력'!$B$5="",1,IF(ISNUMBER(SEARCH('02_대상물건입력'!$B$5,B428)),1,0)))</f>
        <v/>
      </c>
      <c r="K428">
        <f>IF(B428="","",IF('02_대상물건입력'!$B$6="",1,IF(ISNUMBER(SEARCH('02_대상물건입력'!$B$6,B428)),1,0)))</f>
        <v/>
      </c>
      <c r="L428">
        <f>IF(D428="","",IF('02_대상물건입력'!$B$8="",0,IF(ISNUMBER(SEARCH('02_대상물건입력'!$B$8,D428)),1,0)))</f>
        <v/>
      </c>
      <c r="M428">
        <f>IFERROR(ABS(E428-'02_대상물건입력'!$B$11)/'02_대상물건입력'!$B$11,"")</f>
        <v/>
      </c>
      <c r="N428">
        <f>IFERROR(ABS('01_설정'!$B$4-F428),"")</f>
        <v/>
      </c>
      <c r="O428">
        <f>IFERROR(ABS(YEAR(I428)-YEAR('02_대상물건입력'!$B$14)),"")</f>
        <v/>
      </c>
      <c r="P428">
        <f>IF(AND(E428&gt;0,F428&gt;0,G428&gt;0,IF('01_설정'!$B$10=1,J428=1,TRUE()),M428&lt;='01_설정'!$B$5,N428&lt;='01_설정'!$B$7,O428&lt;='01_설정'!$B$8),"Y","")</f>
        <v/>
      </c>
      <c r="Q428">
        <f>IF(P428&lt;&gt;"Y","",MAX(0,(1-M428/'01_설정'!$B$5))*'01_설정'!$B$14+MAX(0,(1-N428/'01_설정'!$B$7))*'01_설정'!$B$16+MAX(0,(1-O428/'01_설정'!$B$8))*'01_설정'!$B$17+K428*'01_설정'!$B$11+L428*'01_설정'!$B$12)</f>
        <v/>
      </c>
      <c r="R428">
        <f>IF(Q428="","",1+COUNTIFS($Q$31:$Q$1030,"&gt;"&amp;Q428)+COUNTIFS($Q$31:Q428,Q428)-1)</f>
        <v/>
      </c>
    </row>
    <row r="429" hidden="1" ht="16.5" customHeight="1">
      <c r="A429">
        <f>IF(COUNTA('05_KAIS'!$A417:$N417)=0,"",402)</f>
        <v/>
      </c>
      <c r="B429">
        <f>IF($A429="","",TRIM(INDEX('05_KAIS'!$B:$B,$A429)&amp;" "&amp;INDEX('05_KAIS'!$C:$C,$A429)))</f>
        <v/>
      </c>
      <c r="C429">
        <f>IF($A429="","",INDEX('05_KAIS'!$D:$D,$A429))</f>
        <v/>
      </c>
      <c r="D429">
        <f>IF($A429="","",INDEX('05_KAIS'!$H:$H,$A429))</f>
        <v/>
      </c>
      <c r="E429">
        <f>IF($A429="","",INDEX('05_KAIS'!$K:$K,$A429))</f>
        <v/>
      </c>
      <c r="F429" s="202">
        <f>IF($A429="","",INDEX('05_KAIS'!$I:$I,$A429))</f>
        <v/>
      </c>
      <c r="G429" s="118">
        <f>IF($A429="","",INDEX('05_KAIS'!$L:$L,$A429))</f>
        <v/>
      </c>
      <c r="H429" s="118">
        <f>IF($A429="","",IFERROR(INDEX('05_KAIS'!$M:$M,$A429),IF(AND(E429&gt;0,G429&gt;0),G429/E429,"")))</f>
        <v/>
      </c>
      <c r="I429" s="202">
        <f>IF($A429="","",INDEX('05_KAIS'!$N:$N,$A429))</f>
        <v/>
      </c>
      <c r="J429">
        <f>IF(B429="","",IF('02_대상물건입력'!$B$5="",1,IF(ISNUMBER(SEARCH('02_대상물건입력'!$B$5,B429)),1,0)))</f>
        <v/>
      </c>
      <c r="K429">
        <f>IF(B429="","",IF('02_대상물건입력'!$B$6="",1,IF(ISNUMBER(SEARCH('02_대상물건입력'!$B$6,B429)),1,0)))</f>
        <v/>
      </c>
      <c r="L429">
        <f>IF(D429="","",IF('02_대상물건입력'!$B$8="",0,IF(ISNUMBER(SEARCH('02_대상물건입력'!$B$8,D429)),1,0)))</f>
        <v/>
      </c>
      <c r="M429">
        <f>IFERROR(ABS(E429-'02_대상물건입력'!$B$11)/'02_대상물건입력'!$B$11,"")</f>
        <v/>
      </c>
      <c r="N429">
        <f>IFERROR(ABS('01_설정'!$B$4-F429),"")</f>
        <v/>
      </c>
      <c r="O429">
        <f>IFERROR(ABS(YEAR(I429)-YEAR('02_대상물건입력'!$B$14)),"")</f>
        <v/>
      </c>
      <c r="P429">
        <f>IF(AND(E429&gt;0,F429&gt;0,G429&gt;0,IF('01_설정'!$B$10=1,J429=1,TRUE()),M429&lt;='01_설정'!$B$5,N429&lt;='01_설정'!$B$7,O429&lt;='01_설정'!$B$8),"Y","")</f>
        <v/>
      </c>
      <c r="Q429">
        <f>IF(P429&lt;&gt;"Y","",MAX(0,(1-M429/'01_설정'!$B$5))*'01_설정'!$B$14+MAX(0,(1-N429/'01_설정'!$B$7))*'01_설정'!$B$16+MAX(0,(1-O429/'01_설정'!$B$8))*'01_설정'!$B$17+K429*'01_설정'!$B$11+L429*'01_설정'!$B$12)</f>
        <v/>
      </c>
      <c r="R429">
        <f>IF(Q429="","",1+COUNTIFS($Q$31:$Q$1030,"&gt;"&amp;Q429)+COUNTIFS($Q$31:Q429,Q429)-1)</f>
        <v/>
      </c>
    </row>
    <row r="430" hidden="1" ht="16.5" customHeight="1">
      <c r="A430">
        <f>IF(COUNTA('05_KAIS'!$A418:$N418)=0,"",403)</f>
        <v/>
      </c>
      <c r="B430">
        <f>IF($A430="","",TRIM(INDEX('05_KAIS'!$B:$B,$A430)&amp;" "&amp;INDEX('05_KAIS'!$C:$C,$A430)))</f>
        <v/>
      </c>
      <c r="C430">
        <f>IF($A430="","",INDEX('05_KAIS'!$D:$D,$A430))</f>
        <v/>
      </c>
      <c r="D430">
        <f>IF($A430="","",INDEX('05_KAIS'!$H:$H,$A430))</f>
        <v/>
      </c>
      <c r="E430">
        <f>IF($A430="","",INDEX('05_KAIS'!$K:$K,$A430))</f>
        <v/>
      </c>
      <c r="F430" s="202">
        <f>IF($A430="","",INDEX('05_KAIS'!$I:$I,$A430))</f>
        <v/>
      </c>
      <c r="G430" s="118">
        <f>IF($A430="","",INDEX('05_KAIS'!$L:$L,$A430))</f>
        <v/>
      </c>
      <c r="H430" s="118">
        <f>IF($A430="","",IFERROR(INDEX('05_KAIS'!$M:$M,$A430),IF(AND(E430&gt;0,G430&gt;0),G430/E430,"")))</f>
        <v/>
      </c>
      <c r="I430" s="202">
        <f>IF($A430="","",INDEX('05_KAIS'!$N:$N,$A430))</f>
        <v/>
      </c>
      <c r="J430">
        <f>IF(B430="","",IF('02_대상물건입력'!$B$5="",1,IF(ISNUMBER(SEARCH('02_대상물건입력'!$B$5,B430)),1,0)))</f>
        <v/>
      </c>
      <c r="K430">
        <f>IF(B430="","",IF('02_대상물건입력'!$B$6="",1,IF(ISNUMBER(SEARCH('02_대상물건입력'!$B$6,B430)),1,0)))</f>
        <v/>
      </c>
      <c r="L430">
        <f>IF(D430="","",IF('02_대상물건입력'!$B$8="",0,IF(ISNUMBER(SEARCH('02_대상물건입력'!$B$8,D430)),1,0)))</f>
        <v/>
      </c>
      <c r="M430">
        <f>IFERROR(ABS(E430-'02_대상물건입력'!$B$11)/'02_대상물건입력'!$B$11,"")</f>
        <v/>
      </c>
      <c r="N430">
        <f>IFERROR(ABS('01_설정'!$B$4-F430),"")</f>
        <v/>
      </c>
      <c r="O430">
        <f>IFERROR(ABS(YEAR(I430)-YEAR('02_대상물건입력'!$B$14)),"")</f>
        <v/>
      </c>
      <c r="P430">
        <f>IF(AND(E430&gt;0,F430&gt;0,G430&gt;0,IF('01_설정'!$B$10=1,J430=1,TRUE()),M430&lt;='01_설정'!$B$5,N430&lt;='01_설정'!$B$7,O430&lt;='01_설정'!$B$8),"Y","")</f>
        <v/>
      </c>
      <c r="Q430">
        <f>IF(P430&lt;&gt;"Y","",MAX(0,(1-M430/'01_설정'!$B$5))*'01_설정'!$B$14+MAX(0,(1-N430/'01_설정'!$B$7))*'01_설정'!$B$16+MAX(0,(1-O430/'01_설정'!$B$8))*'01_설정'!$B$17+K430*'01_설정'!$B$11+L430*'01_설정'!$B$12)</f>
        <v/>
      </c>
      <c r="R430">
        <f>IF(Q430="","",1+COUNTIFS($Q$31:$Q$1030,"&gt;"&amp;Q430)+COUNTIFS($Q$31:Q430,Q430)-1)</f>
        <v/>
      </c>
    </row>
    <row r="431" hidden="1" ht="16.5" customHeight="1">
      <c r="A431">
        <f>IF(COUNTA('05_KAIS'!$A419:$N419)=0,"",404)</f>
        <v/>
      </c>
      <c r="B431">
        <f>IF($A431="","",TRIM(INDEX('05_KAIS'!$B:$B,$A431)&amp;" "&amp;INDEX('05_KAIS'!$C:$C,$A431)))</f>
        <v/>
      </c>
      <c r="C431">
        <f>IF($A431="","",INDEX('05_KAIS'!$D:$D,$A431))</f>
        <v/>
      </c>
      <c r="D431">
        <f>IF($A431="","",INDEX('05_KAIS'!$H:$H,$A431))</f>
        <v/>
      </c>
      <c r="E431">
        <f>IF($A431="","",INDEX('05_KAIS'!$K:$K,$A431))</f>
        <v/>
      </c>
      <c r="F431" s="202">
        <f>IF($A431="","",INDEX('05_KAIS'!$I:$I,$A431))</f>
        <v/>
      </c>
      <c r="G431" s="118">
        <f>IF($A431="","",INDEX('05_KAIS'!$L:$L,$A431))</f>
        <v/>
      </c>
      <c r="H431" s="118">
        <f>IF($A431="","",IFERROR(INDEX('05_KAIS'!$M:$M,$A431),IF(AND(E431&gt;0,G431&gt;0),G431/E431,"")))</f>
        <v/>
      </c>
      <c r="I431" s="202">
        <f>IF($A431="","",INDEX('05_KAIS'!$N:$N,$A431))</f>
        <v/>
      </c>
      <c r="J431">
        <f>IF(B431="","",IF('02_대상물건입력'!$B$5="",1,IF(ISNUMBER(SEARCH('02_대상물건입력'!$B$5,B431)),1,0)))</f>
        <v/>
      </c>
      <c r="K431">
        <f>IF(B431="","",IF('02_대상물건입력'!$B$6="",1,IF(ISNUMBER(SEARCH('02_대상물건입력'!$B$6,B431)),1,0)))</f>
        <v/>
      </c>
      <c r="L431">
        <f>IF(D431="","",IF('02_대상물건입력'!$B$8="",0,IF(ISNUMBER(SEARCH('02_대상물건입력'!$B$8,D431)),1,0)))</f>
        <v/>
      </c>
      <c r="M431">
        <f>IFERROR(ABS(E431-'02_대상물건입력'!$B$11)/'02_대상물건입력'!$B$11,"")</f>
        <v/>
      </c>
      <c r="N431">
        <f>IFERROR(ABS('01_설정'!$B$4-F431),"")</f>
        <v/>
      </c>
      <c r="O431">
        <f>IFERROR(ABS(YEAR(I431)-YEAR('02_대상물건입력'!$B$14)),"")</f>
        <v/>
      </c>
      <c r="P431">
        <f>IF(AND(E431&gt;0,F431&gt;0,G431&gt;0,IF('01_설정'!$B$10=1,J431=1,TRUE()),M431&lt;='01_설정'!$B$5,N431&lt;='01_설정'!$B$7,O431&lt;='01_설정'!$B$8),"Y","")</f>
        <v/>
      </c>
      <c r="Q431">
        <f>IF(P431&lt;&gt;"Y","",MAX(0,(1-M431/'01_설정'!$B$5))*'01_설정'!$B$14+MAX(0,(1-N431/'01_설정'!$B$7))*'01_설정'!$B$16+MAX(0,(1-O431/'01_설정'!$B$8))*'01_설정'!$B$17+K431*'01_설정'!$B$11+L431*'01_설정'!$B$12)</f>
        <v/>
      </c>
      <c r="R431">
        <f>IF(Q431="","",1+COUNTIFS($Q$31:$Q$1030,"&gt;"&amp;Q431)+COUNTIFS($Q$31:Q431,Q431)-1)</f>
        <v/>
      </c>
    </row>
    <row r="432" hidden="1" ht="16.5" customHeight="1">
      <c r="A432">
        <f>IF(COUNTA('05_KAIS'!$A420:$N420)=0,"",405)</f>
        <v/>
      </c>
      <c r="B432">
        <f>IF($A432="","",TRIM(INDEX('05_KAIS'!$B:$B,$A432)&amp;" "&amp;INDEX('05_KAIS'!$C:$C,$A432)))</f>
        <v/>
      </c>
      <c r="C432">
        <f>IF($A432="","",INDEX('05_KAIS'!$D:$D,$A432))</f>
        <v/>
      </c>
      <c r="D432">
        <f>IF($A432="","",INDEX('05_KAIS'!$H:$H,$A432))</f>
        <v/>
      </c>
      <c r="E432">
        <f>IF($A432="","",INDEX('05_KAIS'!$K:$K,$A432))</f>
        <v/>
      </c>
      <c r="F432" s="202">
        <f>IF($A432="","",INDEX('05_KAIS'!$I:$I,$A432))</f>
        <v/>
      </c>
      <c r="G432" s="118">
        <f>IF($A432="","",INDEX('05_KAIS'!$L:$L,$A432))</f>
        <v/>
      </c>
      <c r="H432" s="118">
        <f>IF($A432="","",IFERROR(INDEX('05_KAIS'!$M:$M,$A432),IF(AND(E432&gt;0,G432&gt;0),G432/E432,"")))</f>
        <v/>
      </c>
      <c r="I432" s="202">
        <f>IF($A432="","",INDEX('05_KAIS'!$N:$N,$A432))</f>
        <v/>
      </c>
      <c r="J432">
        <f>IF(B432="","",IF('02_대상물건입력'!$B$5="",1,IF(ISNUMBER(SEARCH('02_대상물건입력'!$B$5,B432)),1,0)))</f>
        <v/>
      </c>
      <c r="K432">
        <f>IF(B432="","",IF('02_대상물건입력'!$B$6="",1,IF(ISNUMBER(SEARCH('02_대상물건입력'!$B$6,B432)),1,0)))</f>
        <v/>
      </c>
      <c r="L432">
        <f>IF(D432="","",IF('02_대상물건입력'!$B$8="",0,IF(ISNUMBER(SEARCH('02_대상물건입력'!$B$8,D432)),1,0)))</f>
        <v/>
      </c>
      <c r="M432">
        <f>IFERROR(ABS(E432-'02_대상물건입력'!$B$11)/'02_대상물건입력'!$B$11,"")</f>
        <v/>
      </c>
      <c r="N432">
        <f>IFERROR(ABS('01_설정'!$B$4-F432),"")</f>
        <v/>
      </c>
      <c r="O432">
        <f>IFERROR(ABS(YEAR(I432)-YEAR('02_대상물건입력'!$B$14)),"")</f>
        <v/>
      </c>
      <c r="P432">
        <f>IF(AND(E432&gt;0,F432&gt;0,G432&gt;0,IF('01_설정'!$B$10=1,J432=1,TRUE()),M432&lt;='01_설정'!$B$5,N432&lt;='01_설정'!$B$7,O432&lt;='01_설정'!$B$8),"Y","")</f>
        <v/>
      </c>
      <c r="Q432">
        <f>IF(P432&lt;&gt;"Y","",MAX(0,(1-M432/'01_설정'!$B$5))*'01_설정'!$B$14+MAX(0,(1-N432/'01_설정'!$B$7))*'01_설정'!$B$16+MAX(0,(1-O432/'01_설정'!$B$8))*'01_설정'!$B$17+K432*'01_설정'!$B$11+L432*'01_설정'!$B$12)</f>
        <v/>
      </c>
      <c r="R432">
        <f>IF(Q432="","",1+COUNTIFS($Q$31:$Q$1030,"&gt;"&amp;Q432)+COUNTIFS($Q$31:Q432,Q432)-1)</f>
        <v/>
      </c>
    </row>
    <row r="433" hidden="1" ht="16.5" customHeight="1">
      <c r="A433">
        <f>IF(COUNTA('05_KAIS'!$A421:$N421)=0,"",406)</f>
        <v/>
      </c>
      <c r="B433">
        <f>IF($A433="","",TRIM(INDEX('05_KAIS'!$B:$B,$A433)&amp;" "&amp;INDEX('05_KAIS'!$C:$C,$A433)))</f>
        <v/>
      </c>
      <c r="C433">
        <f>IF($A433="","",INDEX('05_KAIS'!$D:$D,$A433))</f>
        <v/>
      </c>
      <c r="D433">
        <f>IF($A433="","",INDEX('05_KAIS'!$H:$H,$A433))</f>
        <v/>
      </c>
      <c r="E433">
        <f>IF($A433="","",INDEX('05_KAIS'!$K:$K,$A433))</f>
        <v/>
      </c>
      <c r="F433" s="202">
        <f>IF($A433="","",INDEX('05_KAIS'!$I:$I,$A433))</f>
        <v/>
      </c>
      <c r="G433" s="118">
        <f>IF($A433="","",INDEX('05_KAIS'!$L:$L,$A433))</f>
        <v/>
      </c>
      <c r="H433" s="118">
        <f>IF($A433="","",IFERROR(INDEX('05_KAIS'!$M:$M,$A433),IF(AND(E433&gt;0,G433&gt;0),G433/E433,"")))</f>
        <v/>
      </c>
      <c r="I433" s="202">
        <f>IF($A433="","",INDEX('05_KAIS'!$N:$N,$A433))</f>
        <v/>
      </c>
      <c r="J433">
        <f>IF(B433="","",IF('02_대상물건입력'!$B$5="",1,IF(ISNUMBER(SEARCH('02_대상물건입력'!$B$5,B433)),1,0)))</f>
        <v/>
      </c>
      <c r="K433">
        <f>IF(B433="","",IF('02_대상물건입력'!$B$6="",1,IF(ISNUMBER(SEARCH('02_대상물건입력'!$B$6,B433)),1,0)))</f>
        <v/>
      </c>
      <c r="L433">
        <f>IF(D433="","",IF('02_대상물건입력'!$B$8="",0,IF(ISNUMBER(SEARCH('02_대상물건입력'!$B$8,D433)),1,0)))</f>
        <v/>
      </c>
      <c r="M433">
        <f>IFERROR(ABS(E433-'02_대상물건입력'!$B$11)/'02_대상물건입력'!$B$11,"")</f>
        <v/>
      </c>
      <c r="N433">
        <f>IFERROR(ABS('01_설정'!$B$4-F433),"")</f>
        <v/>
      </c>
      <c r="O433">
        <f>IFERROR(ABS(YEAR(I433)-YEAR('02_대상물건입력'!$B$14)),"")</f>
        <v/>
      </c>
      <c r="P433">
        <f>IF(AND(E433&gt;0,F433&gt;0,G433&gt;0,IF('01_설정'!$B$10=1,J433=1,TRUE()),M433&lt;='01_설정'!$B$5,N433&lt;='01_설정'!$B$7,O433&lt;='01_설정'!$B$8),"Y","")</f>
        <v/>
      </c>
      <c r="Q433">
        <f>IF(P433&lt;&gt;"Y","",MAX(0,(1-M433/'01_설정'!$B$5))*'01_설정'!$B$14+MAX(0,(1-N433/'01_설정'!$B$7))*'01_설정'!$B$16+MAX(0,(1-O433/'01_설정'!$B$8))*'01_설정'!$B$17+K433*'01_설정'!$B$11+L433*'01_설정'!$B$12)</f>
        <v/>
      </c>
      <c r="R433">
        <f>IF(Q433="","",1+COUNTIFS($Q$31:$Q$1030,"&gt;"&amp;Q433)+COUNTIFS($Q$31:Q433,Q433)-1)</f>
        <v/>
      </c>
    </row>
    <row r="434" hidden="1" ht="16.5" customHeight="1">
      <c r="A434">
        <f>IF(COUNTA('05_KAIS'!$A422:$N422)=0,"",407)</f>
        <v/>
      </c>
      <c r="B434">
        <f>IF($A434="","",TRIM(INDEX('05_KAIS'!$B:$B,$A434)&amp;" "&amp;INDEX('05_KAIS'!$C:$C,$A434)))</f>
        <v/>
      </c>
      <c r="C434">
        <f>IF($A434="","",INDEX('05_KAIS'!$D:$D,$A434))</f>
        <v/>
      </c>
      <c r="D434">
        <f>IF($A434="","",INDEX('05_KAIS'!$H:$H,$A434))</f>
        <v/>
      </c>
      <c r="E434">
        <f>IF($A434="","",INDEX('05_KAIS'!$K:$K,$A434))</f>
        <v/>
      </c>
      <c r="F434" s="202">
        <f>IF($A434="","",INDEX('05_KAIS'!$I:$I,$A434))</f>
        <v/>
      </c>
      <c r="G434" s="118">
        <f>IF($A434="","",INDEX('05_KAIS'!$L:$L,$A434))</f>
        <v/>
      </c>
      <c r="H434" s="118">
        <f>IF($A434="","",IFERROR(INDEX('05_KAIS'!$M:$M,$A434),IF(AND(E434&gt;0,G434&gt;0),G434/E434,"")))</f>
        <v/>
      </c>
      <c r="I434" s="202">
        <f>IF($A434="","",INDEX('05_KAIS'!$N:$N,$A434))</f>
        <v/>
      </c>
      <c r="J434">
        <f>IF(B434="","",IF('02_대상물건입력'!$B$5="",1,IF(ISNUMBER(SEARCH('02_대상물건입력'!$B$5,B434)),1,0)))</f>
        <v/>
      </c>
      <c r="K434">
        <f>IF(B434="","",IF('02_대상물건입력'!$B$6="",1,IF(ISNUMBER(SEARCH('02_대상물건입력'!$B$6,B434)),1,0)))</f>
        <v/>
      </c>
      <c r="L434">
        <f>IF(D434="","",IF('02_대상물건입력'!$B$8="",0,IF(ISNUMBER(SEARCH('02_대상물건입력'!$B$8,D434)),1,0)))</f>
        <v/>
      </c>
      <c r="M434">
        <f>IFERROR(ABS(E434-'02_대상물건입력'!$B$11)/'02_대상물건입력'!$B$11,"")</f>
        <v/>
      </c>
      <c r="N434">
        <f>IFERROR(ABS('01_설정'!$B$4-F434),"")</f>
        <v/>
      </c>
      <c r="O434">
        <f>IFERROR(ABS(YEAR(I434)-YEAR('02_대상물건입력'!$B$14)),"")</f>
        <v/>
      </c>
      <c r="P434">
        <f>IF(AND(E434&gt;0,F434&gt;0,G434&gt;0,IF('01_설정'!$B$10=1,J434=1,TRUE()),M434&lt;='01_설정'!$B$5,N434&lt;='01_설정'!$B$7,O434&lt;='01_설정'!$B$8),"Y","")</f>
        <v/>
      </c>
      <c r="Q434">
        <f>IF(P434&lt;&gt;"Y","",MAX(0,(1-M434/'01_설정'!$B$5))*'01_설정'!$B$14+MAX(0,(1-N434/'01_설정'!$B$7))*'01_설정'!$B$16+MAX(0,(1-O434/'01_설정'!$B$8))*'01_설정'!$B$17+K434*'01_설정'!$B$11+L434*'01_설정'!$B$12)</f>
        <v/>
      </c>
      <c r="R434">
        <f>IF(Q434="","",1+COUNTIFS($Q$31:$Q$1030,"&gt;"&amp;Q434)+COUNTIFS($Q$31:Q434,Q434)-1)</f>
        <v/>
      </c>
    </row>
    <row r="435" hidden="1" ht="16.5" customHeight="1">
      <c r="A435">
        <f>IF(COUNTA('05_KAIS'!$A423:$N423)=0,"",408)</f>
        <v/>
      </c>
      <c r="B435">
        <f>IF($A435="","",TRIM(INDEX('05_KAIS'!$B:$B,$A435)&amp;" "&amp;INDEX('05_KAIS'!$C:$C,$A435)))</f>
        <v/>
      </c>
      <c r="C435">
        <f>IF($A435="","",INDEX('05_KAIS'!$D:$D,$A435))</f>
        <v/>
      </c>
      <c r="D435">
        <f>IF($A435="","",INDEX('05_KAIS'!$H:$H,$A435))</f>
        <v/>
      </c>
      <c r="E435">
        <f>IF($A435="","",INDEX('05_KAIS'!$K:$K,$A435))</f>
        <v/>
      </c>
      <c r="F435" s="202">
        <f>IF($A435="","",INDEX('05_KAIS'!$I:$I,$A435))</f>
        <v/>
      </c>
      <c r="G435" s="118">
        <f>IF($A435="","",INDEX('05_KAIS'!$L:$L,$A435))</f>
        <v/>
      </c>
      <c r="H435" s="118">
        <f>IF($A435="","",IFERROR(INDEX('05_KAIS'!$M:$M,$A435),IF(AND(E435&gt;0,G435&gt;0),G435/E435,"")))</f>
        <v/>
      </c>
      <c r="I435" s="202">
        <f>IF($A435="","",INDEX('05_KAIS'!$N:$N,$A435))</f>
        <v/>
      </c>
      <c r="J435">
        <f>IF(B435="","",IF('02_대상물건입력'!$B$5="",1,IF(ISNUMBER(SEARCH('02_대상물건입력'!$B$5,B435)),1,0)))</f>
        <v/>
      </c>
      <c r="K435">
        <f>IF(B435="","",IF('02_대상물건입력'!$B$6="",1,IF(ISNUMBER(SEARCH('02_대상물건입력'!$B$6,B435)),1,0)))</f>
        <v/>
      </c>
      <c r="L435">
        <f>IF(D435="","",IF('02_대상물건입력'!$B$8="",0,IF(ISNUMBER(SEARCH('02_대상물건입력'!$B$8,D435)),1,0)))</f>
        <v/>
      </c>
      <c r="M435">
        <f>IFERROR(ABS(E435-'02_대상물건입력'!$B$11)/'02_대상물건입력'!$B$11,"")</f>
        <v/>
      </c>
      <c r="N435">
        <f>IFERROR(ABS('01_설정'!$B$4-F435),"")</f>
        <v/>
      </c>
      <c r="O435">
        <f>IFERROR(ABS(YEAR(I435)-YEAR('02_대상물건입력'!$B$14)),"")</f>
        <v/>
      </c>
      <c r="P435">
        <f>IF(AND(E435&gt;0,F435&gt;0,G435&gt;0,IF('01_설정'!$B$10=1,J435=1,TRUE()),M435&lt;='01_설정'!$B$5,N435&lt;='01_설정'!$B$7,O435&lt;='01_설정'!$B$8),"Y","")</f>
        <v/>
      </c>
      <c r="Q435">
        <f>IF(P435&lt;&gt;"Y","",MAX(0,(1-M435/'01_설정'!$B$5))*'01_설정'!$B$14+MAX(0,(1-N435/'01_설정'!$B$7))*'01_설정'!$B$16+MAX(0,(1-O435/'01_설정'!$B$8))*'01_설정'!$B$17+K435*'01_설정'!$B$11+L435*'01_설정'!$B$12)</f>
        <v/>
      </c>
      <c r="R435">
        <f>IF(Q435="","",1+COUNTIFS($Q$31:$Q$1030,"&gt;"&amp;Q435)+COUNTIFS($Q$31:Q435,Q435)-1)</f>
        <v/>
      </c>
    </row>
    <row r="436" hidden="1" ht="16.5" customHeight="1">
      <c r="A436">
        <f>IF(COUNTA('05_KAIS'!$A424:$N424)=0,"",409)</f>
        <v/>
      </c>
      <c r="B436">
        <f>IF($A436="","",TRIM(INDEX('05_KAIS'!$B:$B,$A436)&amp;" "&amp;INDEX('05_KAIS'!$C:$C,$A436)))</f>
        <v/>
      </c>
      <c r="C436">
        <f>IF($A436="","",INDEX('05_KAIS'!$D:$D,$A436))</f>
        <v/>
      </c>
      <c r="D436">
        <f>IF($A436="","",INDEX('05_KAIS'!$H:$H,$A436))</f>
        <v/>
      </c>
      <c r="E436">
        <f>IF($A436="","",INDEX('05_KAIS'!$K:$K,$A436))</f>
        <v/>
      </c>
      <c r="F436" s="202">
        <f>IF($A436="","",INDEX('05_KAIS'!$I:$I,$A436))</f>
        <v/>
      </c>
      <c r="G436" s="118">
        <f>IF($A436="","",INDEX('05_KAIS'!$L:$L,$A436))</f>
        <v/>
      </c>
      <c r="H436" s="118">
        <f>IF($A436="","",IFERROR(INDEX('05_KAIS'!$M:$M,$A436),IF(AND(E436&gt;0,G436&gt;0),G436/E436,"")))</f>
        <v/>
      </c>
      <c r="I436" s="202">
        <f>IF($A436="","",INDEX('05_KAIS'!$N:$N,$A436))</f>
        <v/>
      </c>
      <c r="J436">
        <f>IF(B436="","",IF('02_대상물건입력'!$B$5="",1,IF(ISNUMBER(SEARCH('02_대상물건입력'!$B$5,B436)),1,0)))</f>
        <v/>
      </c>
      <c r="K436">
        <f>IF(B436="","",IF('02_대상물건입력'!$B$6="",1,IF(ISNUMBER(SEARCH('02_대상물건입력'!$B$6,B436)),1,0)))</f>
        <v/>
      </c>
      <c r="L436">
        <f>IF(D436="","",IF('02_대상물건입력'!$B$8="",0,IF(ISNUMBER(SEARCH('02_대상물건입력'!$B$8,D436)),1,0)))</f>
        <v/>
      </c>
      <c r="M436">
        <f>IFERROR(ABS(E436-'02_대상물건입력'!$B$11)/'02_대상물건입력'!$B$11,"")</f>
        <v/>
      </c>
      <c r="N436">
        <f>IFERROR(ABS('01_설정'!$B$4-F436),"")</f>
        <v/>
      </c>
      <c r="O436">
        <f>IFERROR(ABS(YEAR(I436)-YEAR('02_대상물건입력'!$B$14)),"")</f>
        <v/>
      </c>
      <c r="P436">
        <f>IF(AND(E436&gt;0,F436&gt;0,G436&gt;0,IF('01_설정'!$B$10=1,J436=1,TRUE()),M436&lt;='01_설정'!$B$5,N436&lt;='01_설정'!$B$7,O436&lt;='01_설정'!$B$8),"Y","")</f>
        <v/>
      </c>
      <c r="Q436">
        <f>IF(P436&lt;&gt;"Y","",MAX(0,(1-M436/'01_설정'!$B$5))*'01_설정'!$B$14+MAX(0,(1-N436/'01_설정'!$B$7))*'01_설정'!$B$16+MAX(0,(1-O436/'01_설정'!$B$8))*'01_설정'!$B$17+K436*'01_설정'!$B$11+L436*'01_설정'!$B$12)</f>
        <v/>
      </c>
      <c r="R436">
        <f>IF(Q436="","",1+COUNTIFS($Q$31:$Q$1030,"&gt;"&amp;Q436)+COUNTIFS($Q$31:Q436,Q436)-1)</f>
        <v/>
      </c>
    </row>
    <row r="437" hidden="1" ht="16.5" customHeight="1">
      <c r="A437">
        <f>IF(COUNTA('05_KAIS'!$A425:$N425)=0,"",410)</f>
        <v/>
      </c>
      <c r="B437">
        <f>IF($A437="","",TRIM(INDEX('05_KAIS'!$B:$B,$A437)&amp;" "&amp;INDEX('05_KAIS'!$C:$C,$A437)))</f>
        <v/>
      </c>
      <c r="C437">
        <f>IF($A437="","",INDEX('05_KAIS'!$D:$D,$A437))</f>
        <v/>
      </c>
      <c r="D437">
        <f>IF($A437="","",INDEX('05_KAIS'!$H:$H,$A437))</f>
        <v/>
      </c>
      <c r="E437">
        <f>IF($A437="","",INDEX('05_KAIS'!$K:$K,$A437))</f>
        <v/>
      </c>
      <c r="F437" s="202">
        <f>IF($A437="","",INDEX('05_KAIS'!$I:$I,$A437))</f>
        <v/>
      </c>
      <c r="G437" s="118">
        <f>IF($A437="","",INDEX('05_KAIS'!$L:$L,$A437))</f>
        <v/>
      </c>
      <c r="H437" s="118">
        <f>IF($A437="","",IFERROR(INDEX('05_KAIS'!$M:$M,$A437),IF(AND(E437&gt;0,G437&gt;0),G437/E437,"")))</f>
        <v/>
      </c>
      <c r="I437" s="202">
        <f>IF($A437="","",INDEX('05_KAIS'!$N:$N,$A437))</f>
        <v/>
      </c>
      <c r="J437">
        <f>IF(B437="","",IF('02_대상물건입력'!$B$5="",1,IF(ISNUMBER(SEARCH('02_대상물건입력'!$B$5,B437)),1,0)))</f>
        <v/>
      </c>
      <c r="K437">
        <f>IF(B437="","",IF('02_대상물건입력'!$B$6="",1,IF(ISNUMBER(SEARCH('02_대상물건입력'!$B$6,B437)),1,0)))</f>
        <v/>
      </c>
      <c r="L437">
        <f>IF(D437="","",IF('02_대상물건입력'!$B$8="",0,IF(ISNUMBER(SEARCH('02_대상물건입력'!$B$8,D437)),1,0)))</f>
        <v/>
      </c>
      <c r="M437">
        <f>IFERROR(ABS(E437-'02_대상물건입력'!$B$11)/'02_대상물건입력'!$B$11,"")</f>
        <v/>
      </c>
      <c r="N437">
        <f>IFERROR(ABS('01_설정'!$B$4-F437),"")</f>
        <v/>
      </c>
      <c r="O437">
        <f>IFERROR(ABS(YEAR(I437)-YEAR('02_대상물건입력'!$B$14)),"")</f>
        <v/>
      </c>
      <c r="P437">
        <f>IF(AND(E437&gt;0,F437&gt;0,G437&gt;0,IF('01_설정'!$B$10=1,J437=1,TRUE()),M437&lt;='01_설정'!$B$5,N437&lt;='01_설정'!$B$7,O437&lt;='01_설정'!$B$8),"Y","")</f>
        <v/>
      </c>
      <c r="Q437">
        <f>IF(P437&lt;&gt;"Y","",MAX(0,(1-M437/'01_설정'!$B$5))*'01_설정'!$B$14+MAX(0,(1-N437/'01_설정'!$B$7))*'01_설정'!$B$16+MAX(0,(1-O437/'01_설정'!$B$8))*'01_설정'!$B$17+K437*'01_설정'!$B$11+L437*'01_설정'!$B$12)</f>
        <v/>
      </c>
      <c r="R437">
        <f>IF(Q437="","",1+COUNTIFS($Q$31:$Q$1030,"&gt;"&amp;Q437)+COUNTIFS($Q$31:Q437,Q437)-1)</f>
        <v/>
      </c>
    </row>
    <row r="438" hidden="1" ht="16.5" customHeight="1">
      <c r="A438">
        <f>IF(COUNTA('05_KAIS'!$A426:$N426)=0,"",411)</f>
        <v/>
      </c>
      <c r="B438">
        <f>IF($A438="","",TRIM(INDEX('05_KAIS'!$B:$B,$A438)&amp;" "&amp;INDEX('05_KAIS'!$C:$C,$A438)))</f>
        <v/>
      </c>
      <c r="C438">
        <f>IF($A438="","",INDEX('05_KAIS'!$D:$D,$A438))</f>
        <v/>
      </c>
      <c r="D438">
        <f>IF($A438="","",INDEX('05_KAIS'!$H:$H,$A438))</f>
        <v/>
      </c>
      <c r="E438">
        <f>IF($A438="","",INDEX('05_KAIS'!$K:$K,$A438))</f>
        <v/>
      </c>
      <c r="F438" s="202">
        <f>IF($A438="","",INDEX('05_KAIS'!$I:$I,$A438))</f>
        <v/>
      </c>
      <c r="G438" s="118">
        <f>IF($A438="","",INDEX('05_KAIS'!$L:$L,$A438))</f>
        <v/>
      </c>
      <c r="H438" s="118">
        <f>IF($A438="","",IFERROR(INDEX('05_KAIS'!$M:$M,$A438),IF(AND(E438&gt;0,G438&gt;0),G438/E438,"")))</f>
        <v/>
      </c>
      <c r="I438" s="202">
        <f>IF($A438="","",INDEX('05_KAIS'!$N:$N,$A438))</f>
        <v/>
      </c>
      <c r="J438">
        <f>IF(B438="","",IF('02_대상물건입력'!$B$5="",1,IF(ISNUMBER(SEARCH('02_대상물건입력'!$B$5,B438)),1,0)))</f>
        <v/>
      </c>
      <c r="K438">
        <f>IF(B438="","",IF('02_대상물건입력'!$B$6="",1,IF(ISNUMBER(SEARCH('02_대상물건입력'!$B$6,B438)),1,0)))</f>
        <v/>
      </c>
      <c r="L438">
        <f>IF(D438="","",IF('02_대상물건입력'!$B$8="",0,IF(ISNUMBER(SEARCH('02_대상물건입력'!$B$8,D438)),1,0)))</f>
        <v/>
      </c>
      <c r="M438">
        <f>IFERROR(ABS(E438-'02_대상물건입력'!$B$11)/'02_대상물건입력'!$B$11,"")</f>
        <v/>
      </c>
      <c r="N438">
        <f>IFERROR(ABS('01_설정'!$B$4-F438),"")</f>
        <v/>
      </c>
      <c r="O438">
        <f>IFERROR(ABS(YEAR(I438)-YEAR('02_대상물건입력'!$B$14)),"")</f>
        <v/>
      </c>
      <c r="P438">
        <f>IF(AND(E438&gt;0,F438&gt;0,G438&gt;0,IF('01_설정'!$B$10=1,J438=1,TRUE()),M438&lt;='01_설정'!$B$5,N438&lt;='01_설정'!$B$7,O438&lt;='01_설정'!$B$8),"Y","")</f>
        <v/>
      </c>
      <c r="Q438">
        <f>IF(P438&lt;&gt;"Y","",MAX(0,(1-M438/'01_설정'!$B$5))*'01_설정'!$B$14+MAX(0,(1-N438/'01_설정'!$B$7))*'01_설정'!$B$16+MAX(0,(1-O438/'01_설정'!$B$8))*'01_설정'!$B$17+K438*'01_설정'!$B$11+L438*'01_설정'!$B$12)</f>
        <v/>
      </c>
      <c r="R438">
        <f>IF(Q438="","",1+COUNTIFS($Q$31:$Q$1030,"&gt;"&amp;Q438)+COUNTIFS($Q$31:Q438,Q438)-1)</f>
        <v/>
      </c>
    </row>
    <row r="439" hidden="1" ht="16.5" customHeight="1">
      <c r="A439">
        <f>IF(COUNTA('05_KAIS'!$A427:$N427)=0,"",412)</f>
        <v/>
      </c>
      <c r="B439">
        <f>IF($A439="","",TRIM(INDEX('05_KAIS'!$B:$B,$A439)&amp;" "&amp;INDEX('05_KAIS'!$C:$C,$A439)))</f>
        <v/>
      </c>
      <c r="C439">
        <f>IF($A439="","",INDEX('05_KAIS'!$D:$D,$A439))</f>
        <v/>
      </c>
      <c r="D439">
        <f>IF($A439="","",INDEX('05_KAIS'!$H:$H,$A439))</f>
        <v/>
      </c>
      <c r="E439">
        <f>IF($A439="","",INDEX('05_KAIS'!$K:$K,$A439))</f>
        <v/>
      </c>
      <c r="F439" s="202">
        <f>IF($A439="","",INDEX('05_KAIS'!$I:$I,$A439))</f>
        <v/>
      </c>
      <c r="G439" s="118">
        <f>IF($A439="","",INDEX('05_KAIS'!$L:$L,$A439))</f>
        <v/>
      </c>
      <c r="H439" s="118">
        <f>IF($A439="","",IFERROR(INDEX('05_KAIS'!$M:$M,$A439),IF(AND(E439&gt;0,G439&gt;0),G439/E439,"")))</f>
        <v/>
      </c>
      <c r="I439" s="202">
        <f>IF($A439="","",INDEX('05_KAIS'!$N:$N,$A439))</f>
        <v/>
      </c>
      <c r="J439">
        <f>IF(B439="","",IF('02_대상물건입력'!$B$5="",1,IF(ISNUMBER(SEARCH('02_대상물건입력'!$B$5,B439)),1,0)))</f>
        <v/>
      </c>
      <c r="K439">
        <f>IF(B439="","",IF('02_대상물건입력'!$B$6="",1,IF(ISNUMBER(SEARCH('02_대상물건입력'!$B$6,B439)),1,0)))</f>
        <v/>
      </c>
      <c r="L439">
        <f>IF(D439="","",IF('02_대상물건입력'!$B$8="",0,IF(ISNUMBER(SEARCH('02_대상물건입력'!$B$8,D439)),1,0)))</f>
        <v/>
      </c>
      <c r="M439">
        <f>IFERROR(ABS(E439-'02_대상물건입력'!$B$11)/'02_대상물건입력'!$B$11,"")</f>
        <v/>
      </c>
      <c r="N439">
        <f>IFERROR(ABS('01_설정'!$B$4-F439),"")</f>
        <v/>
      </c>
      <c r="O439">
        <f>IFERROR(ABS(YEAR(I439)-YEAR('02_대상물건입력'!$B$14)),"")</f>
        <v/>
      </c>
      <c r="P439">
        <f>IF(AND(E439&gt;0,F439&gt;0,G439&gt;0,IF('01_설정'!$B$10=1,J439=1,TRUE()),M439&lt;='01_설정'!$B$5,N439&lt;='01_설정'!$B$7,O439&lt;='01_설정'!$B$8),"Y","")</f>
        <v/>
      </c>
      <c r="Q439">
        <f>IF(P439&lt;&gt;"Y","",MAX(0,(1-M439/'01_설정'!$B$5))*'01_설정'!$B$14+MAX(0,(1-N439/'01_설정'!$B$7))*'01_설정'!$B$16+MAX(0,(1-O439/'01_설정'!$B$8))*'01_설정'!$B$17+K439*'01_설정'!$B$11+L439*'01_설정'!$B$12)</f>
        <v/>
      </c>
      <c r="R439">
        <f>IF(Q439="","",1+COUNTIFS($Q$31:$Q$1030,"&gt;"&amp;Q439)+COUNTIFS($Q$31:Q439,Q439)-1)</f>
        <v/>
      </c>
    </row>
    <row r="440" hidden="1" ht="16.5" customHeight="1">
      <c r="A440">
        <f>IF(COUNTA('05_KAIS'!$A428:$N428)=0,"",413)</f>
        <v/>
      </c>
      <c r="B440">
        <f>IF($A440="","",TRIM(INDEX('05_KAIS'!$B:$B,$A440)&amp;" "&amp;INDEX('05_KAIS'!$C:$C,$A440)))</f>
        <v/>
      </c>
      <c r="C440">
        <f>IF($A440="","",INDEX('05_KAIS'!$D:$D,$A440))</f>
        <v/>
      </c>
      <c r="D440">
        <f>IF($A440="","",INDEX('05_KAIS'!$H:$H,$A440))</f>
        <v/>
      </c>
      <c r="E440">
        <f>IF($A440="","",INDEX('05_KAIS'!$K:$K,$A440))</f>
        <v/>
      </c>
      <c r="F440" s="202">
        <f>IF($A440="","",INDEX('05_KAIS'!$I:$I,$A440))</f>
        <v/>
      </c>
      <c r="G440" s="118">
        <f>IF($A440="","",INDEX('05_KAIS'!$L:$L,$A440))</f>
        <v/>
      </c>
      <c r="H440" s="118">
        <f>IF($A440="","",IFERROR(INDEX('05_KAIS'!$M:$M,$A440),IF(AND(E440&gt;0,G440&gt;0),G440/E440,"")))</f>
        <v/>
      </c>
      <c r="I440" s="202">
        <f>IF($A440="","",INDEX('05_KAIS'!$N:$N,$A440))</f>
        <v/>
      </c>
      <c r="J440">
        <f>IF(B440="","",IF('02_대상물건입력'!$B$5="",1,IF(ISNUMBER(SEARCH('02_대상물건입력'!$B$5,B440)),1,0)))</f>
        <v/>
      </c>
      <c r="K440">
        <f>IF(B440="","",IF('02_대상물건입력'!$B$6="",1,IF(ISNUMBER(SEARCH('02_대상물건입력'!$B$6,B440)),1,0)))</f>
        <v/>
      </c>
      <c r="L440">
        <f>IF(D440="","",IF('02_대상물건입력'!$B$8="",0,IF(ISNUMBER(SEARCH('02_대상물건입력'!$B$8,D440)),1,0)))</f>
        <v/>
      </c>
      <c r="M440">
        <f>IFERROR(ABS(E440-'02_대상물건입력'!$B$11)/'02_대상물건입력'!$B$11,"")</f>
        <v/>
      </c>
      <c r="N440">
        <f>IFERROR(ABS('01_설정'!$B$4-F440),"")</f>
        <v/>
      </c>
      <c r="O440">
        <f>IFERROR(ABS(YEAR(I440)-YEAR('02_대상물건입력'!$B$14)),"")</f>
        <v/>
      </c>
      <c r="P440">
        <f>IF(AND(E440&gt;0,F440&gt;0,G440&gt;0,IF('01_설정'!$B$10=1,J440=1,TRUE()),M440&lt;='01_설정'!$B$5,N440&lt;='01_설정'!$B$7,O440&lt;='01_설정'!$B$8),"Y","")</f>
        <v/>
      </c>
      <c r="Q440">
        <f>IF(P440&lt;&gt;"Y","",MAX(0,(1-M440/'01_설정'!$B$5))*'01_설정'!$B$14+MAX(0,(1-N440/'01_설정'!$B$7))*'01_설정'!$B$16+MAX(0,(1-O440/'01_설정'!$B$8))*'01_설정'!$B$17+K440*'01_설정'!$B$11+L440*'01_설정'!$B$12)</f>
        <v/>
      </c>
      <c r="R440">
        <f>IF(Q440="","",1+COUNTIFS($Q$31:$Q$1030,"&gt;"&amp;Q440)+COUNTIFS($Q$31:Q440,Q440)-1)</f>
        <v/>
      </c>
    </row>
    <row r="441" hidden="1" ht="16.5" customHeight="1">
      <c r="A441">
        <f>IF(COUNTA('05_KAIS'!$A429:$N429)=0,"",414)</f>
        <v/>
      </c>
      <c r="B441">
        <f>IF($A441="","",TRIM(INDEX('05_KAIS'!$B:$B,$A441)&amp;" "&amp;INDEX('05_KAIS'!$C:$C,$A441)))</f>
        <v/>
      </c>
      <c r="C441">
        <f>IF($A441="","",INDEX('05_KAIS'!$D:$D,$A441))</f>
        <v/>
      </c>
      <c r="D441">
        <f>IF($A441="","",INDEX('05_KAIS'!$H:$H,$A441))</f>
        <v/>
      </c>
      <c r="E441">
        <f>IF($A441="","",INDEX('05_KAIS'!$K:$K,$A441))</f>
        <v/>
      </c>
      <c r="F441" s="202">
        <f>IF($A441="","",INDEX('05_KAIS'!$I:$I,$A441))</f>
        <v/>
      </c>
      <c r="G441" s="118">
        <f>IF($A441="","",INDEX('05_KAIS'!$L:$L,$A441))</f>
        <v/>
      </c>
      <c r="H441" s="118">
        <f>IF($A441="","",IFERROR(INDEX('05_KAIS'!$M:$M,$A441),IF(AND(E441&gt;0,G441&gt;0),G441/E441,"")))</f>
        <v/>
      </c>
      <c r="I441" s="202">
        <f>IF($A441="","",INDEX('05_KAIS'!$N:$N,$A441))</f>
        <v/>
      </c>
      <c r="J441">
        <f>IF(B441="","",IF('02_대상물건입력'!$B$5="",1,IF(ISNUMBER(SEARCH('02_대상물건입력'!$B$5,B441)),1,0)))</f>
        <v/>
      </c>
      <c r="K441">
        <f>IF(B441="","",IF('02_대상물건입력'!$B$6="",1,IF(ISNUMBER(SEARCH('02_대상물건입력'!$B$6,B441)),1,0)))</f>
        <v/>
      </c>
      <c r="L441">
        <f>IF(D441="","",IF('02_대상물건입력'!$B$8="",0,IF(ISNUMBER(SEARCH('02_대상물건입력'!$B$8,D441)),1,0)))</f>
        <v/>
      </c>
      <c r="M441">
        <f>IFERROR(ABS(E441-'02_대상물건입력'!$B$11)/'02_대상물건입력'!$B$11,"")</f>
        <v/>
      </c>
      <c r="N441">
        <f>IFERROR(ABS('01_설정'!$B$4-F441),"")</f>
        <v/>
      </c>
      <c r="O441">
        <f>IFERROR(ABS(YEAR(I441)-YEAR('02_대상물건입력'!$B$14)),"")</f>
        <v/>
      </c>
      <c r="P441">
        <f>IF(AND(E441&gt;0,F441&gt;0,G441&gt;0,IF('01_설정'!$B$10=1,J441=1,TRUE()),M441&lt;='01_설정'!$B$5,N441&lt;='01_설정'!$B$7,O441&lt;='01_설정'!$B$8),"Y","")</f>
        <v/>
      </c>
      <c r="Q441">
        <f>IF(P441&lt;&gt;"Y","",MAX(0,(1-M441/'01_설정'!$B$5))*'01_설정'!$B$14+MAX(0,(1-N441/'01_설정'!$B$7))*'01_설정'!$B$16+MAX(0,(1-O441/'01_설정'!$B$8))*'01_설정'!$B$17+K441*'01_설정'!$B$11+L441*'01_설정'!$B$12)</f>
        <v/>
      </c>
      <c r="R441">
        <f>IF(Q441="","",1+COUNTIFS($Q$31:$Q$1030,"&gt;"&amp;Q441)+COUNTIFS($Q$31:Q441,Q441)-1)</f>
        <v/>
      </c>
    </row>
    <row r="442" hidden="1" ht="16.5" customHeight="1">
      <c r="A442">
        <f>IF(COUNTA('05_KAIS'!$A430:$N430)=0,"",415)</f>
        <v/>
      </c>
      <c r="B442">
        <f>IF($A442="","",TRIM(INDEX('05_KAIS'!$B:$B,$A442)&amp;" "&amp;INDEX('05_KAIS'!$C:$C,$A442)))</f>
        <v/>
      </c>
      <c r="C442">
        <f>IF($A442="","",INDEX('05_KAIS'!$D:$D,$A442))</f>
        <v/>
      </c>
      <c r="D442">
        <f>IF($A442="","",INDEX('05_KAIS'!$H:$H,$A442))</f>
        <v/>
      </c>
      <c r="E442">
        <f>IF($A442="","",INDEX('05_KAIS'!$K:$K,$A442))</f>
        <v/>
      </c>
      <c r="F442" s="202">
        <f>IF($A442="","",INDEX('05_KAIS'!$I:$I,$A442))</f>
        <v/>
      </c>
      <c r="G442" s="118">
        <f>IF($A442="","",INDEX('05_KAIS'!$L:$L,$A442))</f>
        <v/>
      </c>
      <c r="H442" s="118">
        <f>IF($A442="","",IFERROR(INDEX('05_KAIS'!$M:$M,$A442),IF(AND(E442&gt;0,G442&gt;0),G442/E442,"")))</f>
        <v/>
      </c>
      <c r="I442" s="202">
        <f>IF($A442="","",INDEX('05_KAIS'!$N:$N,$A442))</f>
        <v/>
      </c>
      <c r="J442">
        <f>IF(B442="","",IF('02_대상물건입력'!$B$5="",1,IF(ISNUMBER(SEARCH('02_대상물건입력'!$B$5,B442)),1,0)))</f>
        <v/>
      </c>
      <c r="K442">
        <f>IF(B442="","",IF('02_대상물건입력'!$B$6="",1,IF(ISNUMBER(SEARCH('02_대상물건입력'!$B$6,B442)),1,0)))</f>
        <v/>
      </c>
      <c r="L442">
        <f>IF(D442="","",IF('02_대상물건입력'!$B$8="",0,IF(ISNUMBER(SEARCH('02_대상물건입력'!$B$8,D442)),1,0)))</f>
        <v/>
      </c>
      <c r="M442">
        <f>IFERROR(ABS(E442-'02_대상물건입력'!$B$11)/'02_대상물건입력'!$B$11,"")</f>
        <v/>
      </c>
      <c r="N442">
        <f>IFERROR(ABS('01_설정'!$B$4-F442),"")</f>
        <v/>
      </c>
      <c r="O442">
        <f>IFERROR(ABS(YEAR(I442)-YEAR('02_대상물건입력'!$B$14)),"")</f>
        <v/>
      </c>
      <c r="P442">
        <f>IF(AND(E442&gt;0,F442&gt;0,G442&gt;0,IF('01_설정'!$B$10=1,J442=1,TRUE()),M442&lt;='01_설정'!$B$5,N442&lt;='01_설정'!$B$7,O442&lt;='01_설정'!$B$8),"Y","")</f>
        <v/>
      </c>
      <c r="Q442">
        <f>IF(P442&lt;&gt;"Y","",MAX(0,(1-M442/'01_설정'!$B$5))*'01_설정'!$B$14+MAX(0,(1-N442/'01_설정'!$B$7))*'01_설정'!$B$16+MAX(0,(1-O442/'01_설정'!$B$8))*'01_설정'!$B$17+K442*'01_설정'!$B$11+L442*'01_설정'!$B$12)</f>
        <v/>
      </c>
      <c r="R442">
        <f>IF(Q442="","",1+COUNTIFS($Q$31:$Q$1030,"&gt;"&amp;Q442)+COUNTIFS($Q$31:Q442,Q442)-1)</f>
        <v/>
      </c>
    </row>
    <row r="443" hidden="1" ht="16.5" customHeight="1">
      <c r="A443">
        <f>IF(COUNTA('05_KAIS'!$A431:$N431)=0,"",416)</f>
        <v/>
      </c>
      <c r="B443">
        <f>IF($A443="","",TRIM(INDEX('05_KAIS'!$B:$B,$A443)&amp;" "&amp;INDEX('05_KAIS'!$C:$C,$A443)))</f>
        <v/>
      </c>
      <c r="C443">
        <f>IF($A443="","",INDEX('05_KAIS'!$D:$D,$A443))</f>
        <v/>
      </c>
      <c r="D443">
        <f>IF($A443="","",INDEX('05_KAIS'!$H:$H,$A443))</f>
        <v/>
      </c>
      <c r="E443">
        <f>IF($A443="","",INDEX('05_KAIS'!$K:$K,$A443))</f>
        <v/>
      </c>
      <c r="F443" s="202">
        <f>IF($A443="","",INDEX('05_KAIS'!$I:$I,$A443))</f>
        <v/>
      </c>
      <c r="G443" s="118">
        <f>IF($A443="","",INDEX('05_KAIS'!$L:$L,$A443))</f>
        <v/>
      </c>
      <c r="H443" s="118">
        <f>IF($A443="","",IFERROR(INDEX('05_KAIS'!$M:$M,$A443),IF(AND(E443&gt;0,G443&gt;0),G443/E443,"")))</f>
        <v/>
      </c>
      <c r="I443" s="202">
        <f>IF($A443="","",INDEX('05_KAIS'!$N:$N,$A443))</f>
        <v/>
      </c>
      <c r="J443">
        <f>IF(B443="","",IF('02_대상물건입력'!$B$5="",1,IF(ISNUMBER(SEARCH('02_대상물건입력'!$B$5,B443)),1,0)))</f>
        <v/>
      </c>
      <c r="K443">
        <f>IF(B443="","",IF('02_대상물건입력'!$B$6="",1,IF(ISNUMBER(SEARCH('02_대상물건입력'!$B$6,B443)),1,0)))</f>
        <v/>
      </c>
      <c r="L443">
        <f>IF(D443="","",IF('02_대상물건입력'!$B$8="",0,IF(ISNUMBER(SEARCH('02_대상물건입력'!$B$8,D443)),1,0)))</f>
        <v/>
      </c>
      <c r="M443">
        <f>IFERROR(ABS(E443-'02_대상물건입력'!$B$11)/'02_대상물건입력'!$B$11,"")</f>
        <v/>
      </c>
      <c r="N443">
        <f>IFERROR(ABS('01_설정'!$B$4-F443),"")</f>
        <v/>
      </c>
      <c r="O443">
        <f>IFERROR(ABS(YEAR(I443)-YEAR('02_대상물건입력'!$B$14)),"")</f>
        <v/>
      </c>
      <c r="P443">
        <f>IF(AND(E443&gt;0,F443&gt;0,G443&gt;0,IF('01_설정'!$B$10=1,J443=1,TRUE()),M443&lt;='01_설정'!$B$5,N443&lt;='01_설정'!$B$7,O443&lt;='01_설정'!$B$8),"Y","")</f>
        <v/>
      </c>
      <c r="Q443">
        <f>IF(P443&lt;&gt;"Y","",MAX(0,(1-M443/'01_설정'!$B$5))*'01_설정'!$B$14+MAX(0,(1-N443/'01_설정'!$B$7))*'01_설정'!$B$16+MAX(0,(1-O443/'01_설정'!$B$8))*'01_설정'!$B$17+K443*'01_설정'!$B$11+L443*'01_설정'!$B$12)</f>
        <v/>
      </c>
      <c r="R443">
        <f>IF(Q443="","",1+COUNTIFS($Q$31:$Q$1030,"&gt;"&amp;Q443)+COUNTIFS($Q$31:Q443,Q443)-1)</f>
        <v/>
      </c>
    </row>
    <row r="444" hidden="1" ht="16.5" customHeight="1">
      <c r="A444">
        <f>IF(COUNTA('05_KAIS'!$A432:$N432)=0,"",417)</f>
        <v/>
      </c>
      <c r="B444">
        <f>IF($A444="","",TRIM(INDEX('05_KAIS'!$B:$B,$A444)&amp;" "&amp;INDEX('05_KAIS'!$C:$C,$A444)))</f>
        <v/>
      </c>
      <c r="C444">
        <f>IF($A444="","",INDEX('05_KAIS'!$D:$D,$A444))</f>
        <v/>
      </c>
      <c r="D444">
        <f>IF($A444="","",INDEX('05_KAIS'!$H:$H,$A444))</f>
        <v/>
      </c>
      <c r="E444">
        <f>IF($A444="","",INDEX('05_KAIS'!$K:$K,$A444))</f>
        <v/>
      </c>
      <c r="F444" s="202">
        <f>IF($A444="","",INDEX('05_KAIS'!$I:$I,$A444))</f>
        <v/>
      </c>
      <c r="G444" s="118">
        <f>IF($A444="","",INDEX('05_KAIS'!$L:$L,$A444))</f>
        <v/>
      </c>
      <c r="H444" s="118">
        <f>IF($A444="","",IFERROR(INDEX('05_KAIS'!$M:$M,$A444),IF(AND(E444&gt;0,G444&gt;0),G444/E444,"")))</f>
        <v/>
      </c>
      <c r="I444" s="202">
        <f>IF($A444="","",INDEX('05_KAIS'!$N:$N,$A444))</f>
        <v/>
      </c>
      <c r="J444">
        <f>IF(B444="","",IF('02_대상물건입력'!$B$5="",1,IF(ISNUMBER(SEARCH('02_대상물건입력'!$B$5,B444)),1,0)))</f>
        <v/>
      </c>
      <c r="K444">
        <f>IF(B444="","",IF('02_대상물건입력'!$B$6="",1,IF(ISNUMBER(SEARCH('02_대상물건입력'!$B$6,B444)),1,0)))</f>
        <v/>
      </c>
      <c r="L444">
        <f>IF(D444="","",IF('02_대상물건입력'!$B$8="",0,IF(ISNUMBER(SEARCH('02_대상물건입력'!$B$8,D444)),1,0)))</f>
        <v/>
      </c>
      <c r="M444">
        <f>IFERROR(ABS(E444-'02_대상물건입력'!$B$11)/'02_대상물건입력'!$B$11,"")</f>
        <v/>
      </c>
      <c r="N444">
        <f>IFERROR(ABS('01_설정'!$B$4-F444),"")</f>
        <v/>
      </c>
      <c r="O444">
        <f>IFERROR(ABS(YEAR(I444)-YEAR('02_대상물건입력'!$B$14)),"")</f>
        <v/>
      </c>
      <c r="P444">
        <f>IF(AND(E444&gt;0,F444&gt;0,G444&gt;0,IF('01_설정'!$B$10=1,J444=1,TRUE()),M444&lt;='01_설정'!$B$5,N444&lt;='01_설정'!$B$7,O444&lt;='01_설정'!$B$8),"Y","")</f>
        <v/>
      </c>
      <c r="Q444">
        <f>IF(P444&lt;&gt;"Y","",MAX(0,(1-M444/'01_설정'!$B$5))*'01_설정'!$B$14+MAX(0,(1-N444/'01_설정'!$B$7))*'01_설정'!$B$16+MAX(0,(1-O444/'01_설정'!$B$8))*'01_설정'!$B$17+K444*'01_설정'!$B$11+L444*'01_설정'!$B$12)</f>
        <v/>
      </c>
      <c r="R444">
        <f>IF(Q444="","",1+COUNTIFS($Q$31:$Q$1030,"&gt;"&amp;Q444)+COUNTIFS($Q$31:Q444,Q444)-1)</f>
        <v/>
      </c>
    </row>
    <row r="445" hidden="1" ht="16.5" customHeight="1">
      <c r="A445">
        <f>IF(COUNTA('05_KAIS'!$A433:$N433)=0,"",418)</f>
        <v/>
      </c>
      <c r="B445">
        <f>IF($A445="","",TRIM(INDEX('05_KAIS'!$B:$B,$A445)&amp;" "&amp;INDEX('05_KAIS'!$C:$C,$A445)))</f>
        <v/>
      </c>
      <c r="C445">
        <f>IF($A445="","",INDEX('05_KAIS'!$D:$D,$A445))</f>
        <v/>
      </c>
      <c r="D445">
        <f>IF($A445="","",INDEX('05_KAIS'!$H:$H,$A445))</f>
        <v/>
      </c>
      <c r="E445">
        <f>IF($A445="","",INDEX('05_KAIS'!$K:$K,$A445))</f>
        <v/>
      </c>
      <c r="F445" s="202">
        <f>IF($A445="","",INDEX('05_KAIS'!$I:$I,$A445))</f>
        <v/>
      </c>
      <c r="G445" s="118">
        <f>IF($A445="","",INDEX('05_KAIS'!$L:$L,$A445))</f>
        <v/>
      </c>
      <c r="H445" s="118">
        <f>IF($A445="","",IFERROR(INDEX('05_KAIS'!$M:$M,$A445),IF(AND(E445&gt;0,G445&gt;0),G445/E445,"")))</f>
        <v/>
      </c>
      <c r="I445" s="202">
        <f>IF($A445="","",INDEX('05_KAIS'!$N:$N,$A445))</f>
        <v/>
      </c>
      <c r="J445">
        <f>IF(B445="","",IF('02_대상물건입력'!$B$5="",1,IF(ISNUMBER(SEARCH('02_대상물건입력'!$B$5,B445)),1,0)))</f>
        <v/>
      </c>
      <c r="K445">
        <f>IF(B445="","",IF('02_대상물건입력'!$B$6="",1,IF(ISNUMBER(SEARCH('02_대상물건입력'!$B$6,B445)),1,0)))</f>
        <v/>
      </c>
      <c r="L445">
        <f>IF(D445="","",IF('02_대상물건입력'!$B$8="",0,IF(ISNUMBER(SEARCH('02_대상물건입력'!$B$8,D445)),1,0)))</f>
        <v/>
      </c>
      <c r="M445">
        <f>IFERROR(ABS(E445-'02_대상물건입력'!$B$11)/'02_대상물건입력'!$B$11,"")</f>
        <v/>
      </c>
      <c r="N445">
        <f>IFERROR(ABS('01_설정'!$B$4-F445),"")</f>
        <v/>
      </c>
      <c r="O445">
        <f>IFERROR(ABS(YEAR(I445)-YEAR('02_대상물건입력'!$B$14)),"")</f>
        <v/>
      </c>
      <c r="P445">
        <f>IF(AND(E445&gt;0,F445&gt;0,G445&gt;0,IF('01_설정'!$B$10=1,J445=1,TRUE()),M445&lt;='01_설정'!$B$5,N445&lt;='01_설정'!$B$7,O445&lt;='01_설정'!$B$8),"Y","")</f>
        <v/>
      </c>
      <c r="Q445">
        <f>IF(P445&lt;&gt;"Y","",MAX(0,(1-M445/'01_설정'!$B$5))*'01_설정'!$B$14+MAX(0,(1-N445/'01_설정'!$B$7))*'01_설정'!$B$16+MAX(0,(1-O445/'01_설정'!$B$8))*'01_설정'!$B$17+K445*'01_설정'!$B$11+L445*'01_설정'!$B$12)</f>
        <v/>
      </c>
      <c r="R445">
        <f>IF(Q445="","",1+COUNTIFS($Q$31:$Q$1030,"&gt;"&amp;Q445)+COUNTIFS($Q$31:Q445,Q445)-1)</f>
        <v/>
      </c>
    </row>
    <row r="446" hidden="1" ht="16.5" customHeight="1">
      <c r="A446">
        <f>IF(COUNTA('05_KAIS'!$A434:$N434)=0,"",419)</f>
        <v/>
      </c>
      <c r="B446">
        <f>IF($A446="","",TRIM(INDEX('05_KAIS'!$B:$B,$A446)&amp;" "&amp;INDEX('05_KAIS'!$C:$C,$A446)))</f>
        <v/>
      </c>
      <c r="C446">
        <f>IF($A446="","",INDEX('05_KAIS'!$D:$D,$A446))</f>
        <v/>
      </c>
      <c r="D446">
        <f>IF($A446="","",INDEX('05_KAIS'!$H:$H,$A446))</f>
        <v/>
      </c>
      <c r="E446">
        <f>IF($A446="","",INDEX('05_KAIS'!$K:$K,$A446))</f>
        <v/>
      </c>
      <c r="F446" s="202">
        <f>IF($A446="","",INDEX('05_KAIS'!$I:$I,$A446))</f>
        <v/>
      </c>
      <c r="G446" s="118">
        <f>IF($A446="","",INDEX('05_KAIS'!$L:$L,$A446))</f>
        <v/>
      </c>
      <c r="H446" s="118">
        <f>IF($A446="","",IFERROR(INDEX('05_KAIS'!$M:$M,$A446),IF(AND(E446&gt;0,G446&gt;0),G446/E446,"")))</f>
        <v/>
      </c>
      <c r="I446" s="202">
        <f>IF($A446="","",INDEX('05_KAIS'!$N:$N,$A446))</f>
        <v/>
      </c>
      <c r="J446">
        <f>IF(B446="","",IF('02_대상물건입력'!$B$5="",1,IF(ISNUMBER(SEARCH('02_대상물건입력'!$B$5,B446)),1,0)))</f>
        <v/>
      </c>
      <c r="K446">
        <f>IF(B446="","",IF('02_대상물건입력'!$B$6="",1,IF(ISNUMBER(SEARCH('02_대상물건입력'!$B$6,B446)),1,0)))</f>
        <v/>
      </c>
      <c r="L446">
        <f>IF(D446="","",IF('02_대상물건입력'!$B$8="",0,IF(ISNUMBER(SEARCH('02_대상물건입력'!$B$8,D446)),1,0)))</f>
        <v/>
      </c>
      <c r="M446">
        <f>IFERROR(ABS(E446-'02_대상물건입력'!$B$11)/'02_대상물건입력'!$B$11,"")</f>
        <v/>
      </c>
      <c r="N446">
        <f>IFERROR(ABS('01_설정'!$B$4-F446),"")</f>
        <v/>
      </c>
      <c r="O446">
        <f>IFERROR(ABS(YEAR(I446)-YEAR('02_대상물건입력'!$B$14)),"")</f>
        <v/>
      </c>
      <c r="P446">
        <f>IF(AND(E446&gt;0,F446&gt;0,G446&gt;0,IF('01_설정'!$B$10=1,J446=1,TRUE()),M446&lt;='01_설정'!$B$5,N446&lt;='01_설정'!$B$7,O446&lt;='01_설정'!$B$8),"Y","")</f>
        <v/>
      </c>
      <c r="Q446">
        <f>IF(P446&lt;&gt;"Y","",MAX(0,(1-M446/'01_설정'!$B$5))*'01_설정'!$B$14+MAX(0,(1-N446/'01_설정'!$B$7))*'01_설정'!$B$16+MAX(0,(1-O446/'01_설정'!$B$8))*'01_설정'!$B$17+K446*'01_설정'!$B$11+L446*'01_설정'!$B$12)</f>
        <v/>
      </c>
      <c r="R446">
        <f>IF(Q446="","",1+COUNTIFS($Q$31:$Q$1030,"&gt;"&amp;Q446)+COUNTIFS($Q$31:Q446,Q446)-1)</f>
        <v/>
      </c>
    </row>
    <row r="447" hidden="1" ht="16.5" customHeight="1">
      <c r="A447">
        <f>IF(COUNTA('05_KAIS'!$A435:$N435)=0,"",420)</f>
        <v/>
      </c>
      <c r="B447">
        <f>IF($A447="","",TRIM(INDEX('05_KAIS'!$B:$B,$A447)&amp;" "&amp;INDEX('05_KAIS'!$C:$C,$A447)))</f>
        <v/>
      </c>
      <c r="C447">
        <f>IF($A447="","",INDEX('05_KAIS'!$D:$D,$A447))</f>
        <v/>
      </c>
      <c r="D447">
        <f>IF($A447="","",INDEX('05_KAIS'!$H:$H,$A447))</f>
        <v/>
      </c>
      <c r="E447">
        <f>IF($A447="","",INDEX('05_KAIS'!$K:$K,$A447))</f>
        <v/>
      </c>
      <c r="F447" s="202">
        <f>IF($A447="","",INDEX('05_KAIS'!$I:$I,$A447))</f>
        <v/>
      </c>
      <c r="G447" s="118">
        <f>IF($A447="","",INDEX('05_KAIS'!$L:$L,$A447))</f>
        <v/>
      </c>
      <c r="H447" s="118">
        <f>IF($A447="","",IFERROR(INDEX('05_KAIS'!$M:$M,$A447),IF(AND(E447&gt;0,G447&gt;0),G447/E447,"")))</f>
        <v/>
      </c>
      <c r="I447" s="202">
        <f>IF($A447="","",INDEX('05_KAIS'!$N:$N,$A447))</f>
        <v/>
      </c>
      <c r="J447">
        <f>IF(B447="","",IF('02_대상물건입력'!$B$5="",1,IF(ISNUMBER(SEARCH('02_대상물건입력'!$B$5,B447)),1,0)))</f>
        <v/>
      </c>
      <c r="K447">
        <f>IF(B447="","",IF('02_대상물건입력'!$B$6="",1,IF(ISNUMBER(SEARCH('02_대상물건입력'!$B$6,B447)),1,0)))</f>
        <v/>
      </c>
      <c r="L447">
        <f>IF(D447="","",IF('02_대상물건입력'!$B$8="",0,IF(ISNUMBER(SEARCH('02_대상물건입력'!$B$8,D447)),1,0)))</f>
        <v/>
      </c>
      <c r="M447">
        <f>IFERROR(ABS(E447-'02_대상물건입력'!$B$11)/'02_대상물건입력'!$B$11,"")</f>
        <v/>
      </c>
      <c r="N447">
        <f>IFERROR(ABS('01_설정'!$B$4-F447),"")</f>
        <v/>
      </c>
      <c r="O447">
        <f>IFERROR(ABS(YEAR(I447)-YEAR('02_대상물건입력'!$B$14)),"")</f>
        <v/>
      </c>
      <c r="P447">
        <f>IF(AND(E447&gt;0,F447&gt;0,G447&gt;0,IF('01_설정'!$B$10=1,J447=1,TRUE()),M447&lt;='01_설정'!$B$5,N447&lt;='01_설정'!$B$7,O447&lt;='01_설정'!$B$8),"Y","")</f>
        <v/>
      </c>
      <c r="Q447">
        <f>IF(P447&lt;&gt;"Y","",MAX(0,(1-M447/'01_설정'!$B$5))*'01_설정'!$B$14+MAX(0,(1-N447/'01_설정'!$B$7))*'01_설정'!$B$16+MAX(0,(1-O447/'01_설정'!$B$8))*'01_설정'!$B$17+K447*'01_설정'!$B$11+L447*'01_설정'!$B$12)</f>
        <v/>
      </c>
      <c r="R447">
        <f>IF(Q447="","",1+COUNTIFS($Q$31:$Q$1030,"&gt;"&amp;Q447)+COUNTIFS($Q$31:Q447,Q447)-1)</f>
        <v/>
      </c>
    </row>
    <row r="448" hidden="1" ht="16.5" customHeight="1">
      <c r="A448">
        <f>IF(COUNTA('05_KAIS'!$A436:$N436)=0,"",421)</f>
        <v/>
      </c>
      <c r="B448">
        <f>IF($A448="","",TRIM(INDEX('05_KAIS'!$B:$B,$A448)&amp;" "&amp;INDEX('05_KAIS'!$C:$C,$A448)))</f>
        <v/>
      </c>
      <c r="C448">
        <f>IF($A448="","",INDEX('05_KAIS'!$D:$D,$A448))</f>
        <v/>
      </c>
      <c r="D448">
        <f>IF($A448="","",INDEX('05_KAIS'!$H:$H,$A448))</f>
        <v/>
      </c>
      <c r="E448">
        <f>IF($A448="","",INDEX('05_KAIS'!$K:$K,$A448))</f>
        <v/>
      </c>
      <c r="F448" s="202">
        <f>IF($A448="","",INDEX('05_KAIS'!$I:$I,$A448))</f>
        <v/>
      </c>
      <c r="G448" s="118">
        <f>IF($A448="","",INDEX('05_KAIS'!$L:$L,$A448))</f>
        <v/>
      </c>
      <c r="H448" s="118">
        <f>IF($A448="","",IFERROR(INDEX('05_KAIS'!$M:$M,$A448),IF(AND(E448&gt;0,G448&gt;0),G448/E448,"")))</f>
        <v/>
      </c>
      <c r="I448" s="202">
        <f>IF($A448="","",INDEX('05_KAIS'!$N:$N,$A448))</f>
        <v/>
      </c>
      <c r="J448">
        <f>IF(B448="","",IF('02_대상물건입력'!$B$5="",1,IF(ISNUMBER(SEARCH('02_대상물건입력'!$B$5,B448)),1,0)))</f>
        <v/>
      </c>
      <c r="K448">
        <f>IF(B448="","",IF('02_대상물건입력'!$B$6="",1,IF(ISNUMBER(SEARCH('02_대상물건입력'!$B$6,B448)),1,0)))</f>
        <v/>
      </c>
      <c r="L448">
        <f>IF(D448="","",IF('02_대상물건입력'!$B$8="",0,IF(ISNUMBER(SEARCH('02_대상물건입력'!$B$8,D448)),1,0)))</f>
        <v/>
      </c>
      <c r="M448">
        <f>IFERROR(ABS(E448-'02_대상물건입력'!$B$11)/'02_대상물건입력'!$B$11,"")</f>
        <v/>
      </c>
      <c r="N448">
        <f>IFERROR(ABS('01_설정'!$B$4-F448),"")</f>
        <v/>
      </c>
      <c r="O448">
        <f>IFERROR(ABS(YEAR(I448)-YEAR('02_대상물건입력'!$B$14)),"")</f>
        <v/>
      </c>
      <c r="P448">
        <f>IF(AND(E448&gt;0,F448&gt;0,G448&gt;0,IF('01_설정'!$B$10=1,J448=1,TRUE()),M448&lt;='01_설정'!$B$5,N448&lt;='01_설정'!$B$7,O448&lt;='01_설정'!$B$8),"Y","")</f>
        <v/>
      </c>
      <c r="Q448">
        <f>IF(P448&lt;&gt;"Y","",MAX(0,(1-M448/'01_설정'!$B$5))*'01_설정'!$B$14+MAX(0,(1-N448/'01_설정'!$B$7))*'01_설정'!$B$16+MAX(0,(1-O448/'01_설정'!$B$8))*'01_설정'!$B$17+K448*'01_설정'!$B$11+L448*'01_설정'!$B$12)</f>
        <v/>
      </c>
      <c r="R448">
        <f>IF(Q448="","",1+COUNTIFS($Q$31:$Q$1030,"&gt;"&amp;Q448)+COUNTIFS($Q$31:Q448,Q448)-1)</f>
        <v/>
      </c>
    </row>
    <row r="449" hidden="1" ht="16.5" customHeight="1">
      <c r="A449">
        <f>IF(COUNTA('05_KAIS'!$A437:$N437)=0,"",422)</f>
        <v/>
      </c>
      <c r="B449">
        <f>IF($A449="","",TRIM(INDEX('05_KAIS'!$B:$B,$A449)&amp;" "&amp;INDEX('05_KAIS'!$C:$C,$A449)))</f>
        <v/>
      </c>
      <c r="C449">
        <f>IF($A449="","",INDEX('05_KAIS'!$D:$D,$A449))</f>
        <v/>
      </c>
      <c r="D449">
        <f>IF($A449="","",INDEX('05_KAIS'!$H:$H,$A449))</f>
        <v/>
      </c>
      <c r="E449">
        <f>IF($A449="","",INDEX('05_KAIS'!$K:$K,$A449))</f>
        <v/>
      </c>
      <c r="F449" s="202">
        <f>IF($A449="","",INDEX('05_KAIS'!$I:$I,$A449))</f>
        <v/>
      </c>
      <c r="G449" s="118">
        <f>IF($A449="","",INDEX('05_KAIS'!$L:$L,$A449))</f>
        <v/>
      </c>
      <c r="H449" s="118">
        <f>IF($A449="","",IFERROR(INDEX('05_KAIS'!$M:$M,$A449),IF(AND(E449&gt;0,G449&gt;0),G449/E449,"")))</f>
        <v/>
      </c>
      <c r="I449" s="202">
        <f>IF($A449="","",INDEX('05_KAIS'!$N:$N,$A449))</f>
        <v/>
      </c>
      <c r="J449">
        <f>IF(B449="","",IF('02_대상물건입력'!$B$5="",1,IF(ISNUMBER(SEARCH('02_대상물건입력'!$B$5,B449)),1,0)))</f>
        <v/>
      </c>
      <c r="K449">
        <f>IF(B449="","",IF('02_대상물건입력'!$B$6="",1,IF(ISNUMBER(SEARCH('02_대상물건입력'!$B$6,B449)),1,0)))</f>
        <v/>
      </c>
      <c r="L449">
        <f>IF(D449="","",IF('02_대상물건입력'!$B$8="",0,IF(ISNUMBER(SEARCH('02_대상물건입력'!$B$8,D449)),1,0)))</f>
        <v/>
      </c>
      <c r="M449">
        <f>IFERROR(ABS(E449-'02_대상물건입력'!$B$11)/'02_대상물건입력'!$B$11,"")</f>
        <v/>
      </c>
      <c r="N449">
        <f>IFERROR(ABS('01_설정'!$B$4-F449),"")</f>
        <v/>
      </c>
      <c r="O449">
        <f>IFERROR(ABS(YEAR(I449)-YEAR('02_대상물건입력'!$B$14)),"")</f>
        <v/>
      </c>
      <c r="P449">
        <f>IF(AND(E449&gt;0,F449&gt;0,G449&gt;0,IF('01_설정'!$B$10=1,J449=1,TRUE()),M449&lt;='01_설정'!$B$5,N449&lt;='01_설정'!$B$7,O449&lt;='01_설정'!$B$8),"Y","")</f>
        <v/>
      </c>
      <c r="Q449">
        <f>IF(P449&lt;&gt;"Y","",MAX(0,(1-M449/'01_설정'!$B$5))*'01_설정'!$B$14+MAX(0,(1-N449/'01_설정'!$B$7))*'01_설정'!$B$16+MAX(0,(1-O449/'01_설정'!$B$8))*'01_설정'!$B$17+K449*'01_설정'!$B$11+L449*'01_설정'!$B$12)</f>
        <v/>
      </c>
      <c r="R449">
        <f>IF(Q449="","",1+COUNTIFS($Q$31:$Q$1030,"&gt;"&amp;Q449)+COUNTIFS($Q$31:Q449,Q449)-1)</f>
        <v/>
      </c>
    </row>
    <row r="450" hidden="1" ht="16.5" customHeight="1">
      <c r="A450">
        <f>IF(COUNTA('05_KAIS'!$A438:$N438)=0,"",423)</f>
        <v/>
      </c>
      <c r="B450">
        <f>IF($A450="","",TRIM(INDEX('05_KAIS'!$B:$B,$A450)&amp;" "&amp;INDEX('05_KAIS'!$C:$C,$A450)))</f>
        <v/>
      </c>
      <c r="C450">
        <f>IF($A450="","",INDEX('05_KAIS'!$D:$D,$A450))</f>
        <v/>
      </c>
      <c r="D450">
        <f>IF($A450="","",INDEX('05_KAIS'!$H:$H,$A450))</f>
        <v/>
      </c>
      <c r="E450">
        <f>IF($A450="","",INDEX('05_KAIS'!$K:$K,$A450))</f>
        <v/>
      </c>
      <c r="F450" s="202">
        <f>IF($A450="","",INDEX('05_KAIS'!$I:$I,$A450))</f>
        <v/>
      </c>
      <c r="G450" s="118">
        <f>IF($A450="","",INDEX('05_KAIS'!$L:$L,$A450))</f>
        <v/>
      </c>
      <c r="H450" s="118">
        <f>IF($A450="","",IFERROR(INDEX('05_KAIS'!$M:$M,$A450),IF(AND(E450&gt;0,G450&gt;0),G450/E450,"")))</f>
        <v/>
      </c>
      <c r="I450" s="202">
        <f>IF($A450="","",INDEX('05_KAIS'!$N:$N,$A450))</f>
        <v/>
      </c>
      <c r="J450">
        <f>IF(B450="","",IF('02_대상물건입력'!$B$5="",1,IF(ISNUMBER(SEARCH('02_대상물건입력'!$B$5,B450)),1,0)))</f>
        <v/>
      </c>
      <c r="K450">
        <f>IF(B450="","",IF('02_대상물건입력'!$B$6="",1,IF(ISNUMBER(SEARCH('02_대상물건입력'!$B$6,B450)),1,0)))</f>
        <v/>
      </c>
      <c r="L450">
        <f>IF(D450="","",IF('02_대상물건입력'!$B$8="",0,IF(ISNUMBER(SEARCH('02_대상물건입력'!$B$8,D450)),1,0)))</f>
        <v/>
      </c>
      <c r="M450">
        <f>IFERROR(ABS(E450-'02_대상물건입력'!$B$11)/'02_대상물건입력'!$B$11,"")</f>
        <v/>
      </c>
      <c r="N450">
        <f>IFERROR(ABS('01_설정'!$B$4-F450),"")</f>
        <v/>
      </c>
      <c r="O450">
        <f>IFERROR(ABS(YEAR(I450)-YEAR('02_대상물건입력'!$B$14)),"")</f>
        <v/>
      </c>
      <c r="P450">
        <f>IF(AND(E450&gt;0,F450&gt;0,G450&gt;0,IF('01_설정'!$B$10=1,J450=1,TRUE()),M450&lt;='01_설정'!$B$5,N450&lt;='01_설정'!$B$7,O450&lt;='01_설정'!$B$8),"Y","")</f>
        <v/>
      </c>
      <c r="Q450">
        <f>IF(P450&lt;&gt;"Y","",MAX(0,(1-M450/'01_설정'!$B$5))*'01_설정'!$B$14+MAX(0,(1-N450/'01_설정'!$B$7))*'01_설정'!$B$16+MAX(0,(1-O450/'01_설정'!$B$8))*'01_설정'!$B$17+K450*'01_설정'!$B$11+L450*'01_설정'!$B$12)</f>
        <v/>
      </c>
      <c r="R450">
        <f>IF(Q450="","",1+COUNTIFS($Q$31:$Q$1030,"&gt;"&amp;Q450)+COUNTIFS($Q$31:Q450,Q450)-1)</f>
        <v/>
      </c>
    </row>
    <row r="451" hidden="1" ht="16.5" customHeight="1">
      <c r="A451">
        <f>IF(COUNTA('05_KAIS'!$A439:$N439)=0,"",424)</f>
        <v/>
      </c>
      <c r="B451">
        <f>IF($A451="","",TRIM(INDEX('05_KAIS'!$B:$B,$A451)&amp;" "&amp;INDEX('05_KAIS'!$C:$C,$A451)))</f>
        <v/>
      </c>
      <c r="C451">
        <f>IF($A451="","",INDEX('05_KAIS'!$D:$D,$A451))</f>
        <v/>
      </c>
      <c r="D451">
        <f>IF($A451="","",INDEX('05_KAIS'!$H:$H,$A451))</f>
        <v/>
      </c>
      <c r="E451">
        <f>IF($A451="","",INDEX('05_KAIS'!$K:$K,$A451))</f>
        <v/>
      </c>
      <c r="F451" s="202">
        <f>IF($A451="","",INDEX('05_KAIS'!$I:$I,$A451))</f>
        <v/>
      </c>
      <c r="G451" s="118">
        <f>IF($A451="","",INDEX('05_KAIS'!$L:$L,$A451))</f>
        <v/>
      </c>
      <c r="H451" s="118">
        <f>IF($A451="","",IFERROR(INDEX('05_KAIS'!$M:$M,$A451),IF(AND(E451&gt;0,G451&gt;0),G451/E451,"")))</f>
        <v/>
      </c>
      <c r="I451" s="202">
        <f>IF($A451="","",INDEX('05_KAIS'!$N:$N,$A451))</f>
        <v/>
      </c>
      <c r="J451">
        <f>IF(B451="","",IF('02_대상물건입력'!$B$5="",1,IF(ISNUMBER(SEARCH('02_대상물건입력'!$B$5,B451)),1,0)))</f>
        <v/>
      </c>
      <c r="K451">
        <f>IF(B451="","",IF('02_대상물건입력'!$B$6="",1,IF(ISNUMBER(SEARCH('02_대상물건입력'!$B$6,B451)),1,0)))</f>
        <v/>
      </c>
      <c r="L451">
        <f>IF(D451="","",IF('02_대상물건입력'!$B$8="",0,IF(ISNUMBER(SEARCH('02_대상물건입력'!$B$8,D451)),1,0)))</f>
        <v/>
      </c>
      <c r="M451">
        <f>IFERROR(ABS(E451-'02_대상물건입력'!$B$11)/'02_대상물건입력'!$B$11,"")</f>
        <v/>
      </c>
      <c r="N451">
        <f>IFERROR(ABS('01_설정'!$B$4-F451),"")</f>
        <v/>
      </c>
      <c r="O451">
        <f>IFERROR(ABS(YEAR(I451)-YEAR('02_대상물건입력'!$B$14)),"")</f>
        <v/>
      </c>
      <c r="P451">
        <f>IF(AND(E451&gt;0,F451&gt;0,G451&gt;0,IF('01_설정'!$B$10=1,J451=1,TRUE()),M451&lt;='01_설정'!$B$5,N451&lt;='01_설정'!$B$7,O451&lt;='01_설정'!$B$8),"Y","")</f>
        <v/>
      </c>
      <c r="Q451">
        <f>IF(P451&lt;&gt;"Y","",MAX(0,(1-M451/'01_설정'!$B$5))*'01_설정'!$B$14+MAX(0,(1-N451/'01_설정'!$B$7))*'01_설정'!$B$16+MAX(0,(1-O451/'01_설정'!$B$8))*'01_설정'!$B$17+K451*'01_설정'!$B$11+L451*'01_설정'!$B$12)</f>
        <v/>
      </c>
      <c r="R451">
        <f>IF(Q451="","",1+COUNTIFS($Q$31:$Q$1030,"&gt;"&amp;Q451)+COUNTIFS($Q$31:Q451,Q451)-1)</f>
        <v/>
      </c>
    </row>
    <row r="452" hidden="1" ht="16.5" customHeight="1">
      <c r="A452">
        <f>IF(COUNTA('05_KAIS'!$A440:$N440)=0,"",425)</f>
        <v/>
      </c>
      <c r="B452">
        <f>IF($A452="","",TRIM(INDEX('05_KAIS'!$B:$B,$A452)&amp;" "&amp;INDEX('05_KAIS'!$C:$C,$A452)))</f>
        <v/>
      </c>
      <c r="C452">
        <f>IF($A452="","",INDEX('05_KAIS'!$D:$D,$A452))</f>
        <v/>
      </c>
      <c r="D452">
        <f>IF($A452="","",INDEX('05_KAIS'!$H:$H,$A452))</f>
        <v/>
      </c>
      <c r="E452">
        <f>IF($A452="","",INDEX('05_KAIS'!$K:$K,$A452))</f>
        <v/>
      </c>
      <c r="F452" s="202">
        <f>IF($A452="","",INDEX('05_KAIS'!$I:$I,$A452))</f>
        <v/>
      </c>
      <c r="G452" s="118">
        <f>IF($A452="","",INDEX('05_KAIS'!$L:$L,$A452))</f>
        <v/>
      </c>
      <c r="H452" s="118">
        <f>IF($A452="","",IFERROR(INDEX('05_KAIS'!$M:$M,$A452),IF(AND(E452&gt;0,G452&gt;0),G452/E452,"")))</f>
        <v/>
      </c>
      <c r="I452" s="202">
        <f>IF($A452="","",INDEX('05_KAIS'!$N:$N,$A452))</f>
        <v/>
      </c>
      <c r="J452">
        <f>IF(B452="","",IF('02_대상물건입력'!$B$5="",1,IF(ISNUMBER(SEARCH('02_대상물건입력'!$B$5,B452)),1,0)))</f>
        <v/>
      </c>
      <c r="K452">
        <f>IF(B452="","",IF('02_대상물건입력'!$B$6="",1,IF(ISNUMBER(SEARCH('02_대상물건입력'!$B$6,B452)),1,0)))</f>
        <v/>
      </c>
      <c r="L452">
        <f>IF(D452="","",IF('02_대상물건입력'!$B$8="",0,IF(ISNUMBER(SEARCH('02_대상물건입력'!$B$8,D452)),1,0)))</f>
        <v/>
      </c>
      <c r="M452">
        <f>IFERROR(ABS(E452-'02_대상물건입력'!$B$11)/'02_대상물건입력'!$B$11,"")</f>
        <v/>
      </c>
      <c r="N452">
        <f>IFERROR(ABS('01_설정'!$B$4-F452),"")</f>
        <v/>
      </c>
      <c r="O452">
        <f>IFERROR(ABS(YEAR(I452)-YEAR('02_대상물건입력'!$B$14)),"")</f>
        <v/>
      </c>
      <c r="P452">
        <f>IF(AND(E452&gt;0,F452&gt;0,G452&gt;0,IF('01_설정'!$B$10=1,J452=1,TRUE()),M452&lt;='01_설정'!$B$5,N452&lt;='01_설정'!$B$7,O452&lt;='01_설정'!$B$8),"Y","")</f>
        <v/>
      </c>
      <c r="Q452">
        <f>IF(P452&lt;&gt;"Y","",MAX(0,(1-M452/'01_설정'!$B$5))*'01_설정'!$B$14+MAX(0,(1-N452/'01_설정'!$B$7))*'01_설정'!$B$16+MAX(0,(1-O452/'01_설정'!$B$8))*'01_설정'!$B$17+K452*'01_설정'!$B$11+L452*'01_설정'!$B$12)</f>
        <v/>
      </c>
      <c r="R452">
        <f>IF(Q452="","",1+COUNTIFS($Q$31:$Q$1030,"&gt;"&amp;Q452)+COUNTIFS($Q$31:Q452,Q452)-1)</f>
        <v/>
      </c>
    </row>
    <row r="453" hidden="1" ht="16.5" customHeight="1">
      <c r="A453">
        <f>IF(COUNTA('05_KAIS'!$A441:$N441)=0,"",426)</f>
        <v/>
      </c>
      <c r="B453">
        <f>IF($A453="","",TRIM(INDEX('05_KAIS'!$B:$B,$A453)&amp;" "&amp;INDEX('05_KAIS'!$C:$C,$A453)))</f>
        <v/>
      </c>
      <c r="C453">
        <f>IF($A453="","",INDEX('05_KAIS'!$D:$D,$A453))</f>
        <v/>
      </c>
      <c r="D453">
        <f>IF($A453="","",INDEX('05_KAIS'!$H:$H,$A453))</f>
        <v/>
      </c>
      <c r="E453">
        <f>IF($A453="","",INDEX('05_KAIS'!$K:$K,$A453))</f>
        <v/>
      </c>
      <c r="F453" s="202">
        <f>IF($A453="","",INDEX('05_KAIS'!$I:$I,$A453))</f>
        <v/>
      </c>
      <c r="G453" s="118">
        <f>IF($A453="","",INDEX('05_KAIS'!$L:$L,$A453))</f>
        <v/>
      </c>
      <c r="H453" s="118">
        <f>IF($A453="","",IFERROR(INDEX('05_KAIS'!$M:$M,$A453),IF(AND(E453&gt;0,G453&gt;0),G453/E453,"")))</f>
        <v/>
      </c>
      <c r="I453" s="202">
        <f>IF($A453="","",INDEX('05_KAIS'!$N:$N,$A453))</f>
        <v/>
      </c>
      <c r="J453">
        <f>IF(B453="","",IF('02_대상물건입력'!$B$5="",1,IF(ISNUMBER(SEARCH('02_대상물건입력'!$B$5,B453)),1,0)))</f>
        <v/>
      </c>
      <c r="K453">
        <f>IF(B453="","",IF('02_대상물건입력'!$B$6="",1,IF(ISNUMBER(SEARCH('02_대상물건입력'!$B$6,B453)),1,0)))</f>
        <v/>
      </c>
      <c r="L453">
        <f>IF(D453="","",IF('02_대상물건입력'!$B$8="",0,IF(ISNUMBER(SEARCH('02_대상물건입력'!$B$8,D453)),1,0)))</f>
        <v/>
      </c>
      <c r="M453">
        <f>IFERROR(ABS(E453-'02_대상물건입력'!$B$11)/'02_대상물건입력'!$B$11,"")</f>
        <v/>
      </c>
      <c r="N453">
        <f>IFERROR(ABS('01_설정'!$B$4-F453),"")</f>
        <v/>
      </c>
      <c r="O453">
        <f>IFERROR(ABS(YEAR(I453)-YEAR('02_대상물건입력'!$B$14)),"")</f>
        <v/>
      </c>
      <c r="P453">
        <f>IF(AND(E453&gt;0,F453&gt;0,G453&gt;0,IF('01_설정'!$B$10=1,J453=1,TRUE()),M453&lt;='01_설정'!$B$5,N453&lt;='01_설정'!$B$7,O453&lt;='01_설정'!$B$8),"Y","")</f>
        <v/>
      </c>
      <c r="Q453">
        <f>IF(P453&lt;&gt;"Y","",MAX(0,(1-M453/'01_설정'!$B$5))*'01_설정'!$B$14+MAX(0,(1-N453/'01_설정'!$B$7))*'01_설정'!$B$16+MAX(0,(1-O453/'01_설정'!$B$8))*'01_설정'!$B$17+K453*'01_설정'!$B$11+L453*'01_설정'!$B$12)</f>
        <v/>
      </c>
      <c r="R453">
        <f>IF(Q453="","",1+COUNTIFS($Q$31:$Q$1030,"&gt;"&amp;Q453)+COUNTIFS($Q$31:Q453,Q453)-1)</f>
        <v/>
      </c>
    </row>
    <row r="454" hidden="1" ht="16.5" customHeight="1">
      <c r="A454">
        <f>IF(COUNTA('05_KAIS'!$A442:$N442)=0,"",427)</f>
        <v/>
      </c>
      <c r="B454">
        <f>IF($A454="","",TRIM(INDEX('05_KAIS'!$B:$B,$A454)&amp;" "&amp;INDEX('05_KAIS'!$C:$C,$A454)))</f>
        <v/>
      </c>
      <c r="C454">
        <f>IF($A454="","",INDEX('05_KAIS'!$D:$D,$A454))</f>
        <v/>
      </c>
      <c r="D454">
        <f>IF($A454="","",INDEX('05_KAIS'!$H:$H,$A454))</f>
        <v/>
      </c>
      <c r="E454">
        <f>IF($A454="","",INDEX('05_KAIS'!$K:$K,$A454))</f>
        <v/>
      </c>
      <c r="F454" s="202">
        <f>IF($A454="","",INDEX('05_KAIS'!$I:$I,$A454))</f>
        <v/>
      </c>
      <c r="G454" s="118">
        <f>IF($A454="","",INDEX('05_KAIS'!$L:$L,$A454))</f>
        <v/>
      </c>
      <c r="H454" s="118">
        <f>IF($A454="","",IFERROR(INDEX('05_KAIS'!$M:$M,$A454),IF(AND(E454&gt;0,G454&gt;0),G454/E454,"")))</f>
        <v/>
      </c>
      <c r="I454" s="202">
        <f>IF($A454="","",INDEX('05_KAIS'!$N:$N,$A454))</f>
        <v/>
      </c>
      <c r="J454">
        <f>IF(B454="","",IF('02_대상물건입력'!$B$5="",1,IF(ISNUMBER(SEARCH('02_대상물건입력'!$B$5,B454)),1,0)))</f>
        <v/>
      </c>
      <c r="K454">
        <f>IF(B454="","",IF('02_대상물건입력'!$B$6="",1,IF(ISNUMBER(SEARCH('02_대상물건입력'!$B$6,B454)),1,0)))</f>
        <v/>
      </c>
      <c r="L454">
        <f>IF(D454="","",IF('02_대상물건입력'!$B$8="",0,IF(ISNUMBER(SEARCH('02_대상물건입력'!$B$8,D454)),1,0)))</f>
        <v/>
      </c>
      <c r="M454">
        <f>IFERROR(ABS(E454-'02_대상물건입력'!$B$11)/'02_대상물건입력'!$B$11,"")</f>
        <v/>
      </c>
      <c r="N454">
        <f>IFERROR(ABS('01_설정'!$B$4-F454),"")</f>
        <v/>
      </c>
      <c r="O454">
        <f>IFERROR(ABS(YEAR(I454)-YEAR('02_대상물건입력'!$B$14)),"")</f>
        <v/>
      </c>
      <c r="P454">
        <f>IF(AND(E454&gt;0,F454&gt;0,G454&gt;0,IF('01_설정'!$B$10=1,J454=1,TRUE()),M454&lt;='01_설정'!$B$5,N454&lt;='01_설정'!$B$7,O454&lt;='01_설정'!$B$8),"Y","")</f>
        <v/>
      </c>
      <c r="Q454">
        <f>IF(P454&lt;&gt;"Y","",MAX(0,(1-M454/'01_설정'!$B$5))*'01_설정'!$B$14+MAX(0,(1-N454/'01_설정'!$B$7))*'01_설정'!$B$16+MAX(0,(1-O454/'01_설정'!$B$8))*'01_설정'!$B$17+K454*'01_설정'!$B$11+L454*'01_설정'!$B$12)</f>
        <v/>
      </c>
      <c r="R454">
        <f>IF(Q454="","",1+COUNTIFS($Q$31:$Q$1030,"&gt;"&amp;Q454)+COUNTIFS($Q$31:Q454,Q454)-1)</f>
        <v/>
      </c>
    </row>
    <row r="455" hidden="1" ht="16.5" customHeight="1">
      <c r="A455">
        <f>IF(COUNTA('05_KAIS'!$A443:$N443)=0,"",428)</f>
        <v/>
      </c>
      <c r="B455">
        <f>IF($A455="","",TRIM(INDEX('05_KAIS'!$B:$B,$A455)&amp;" "&amp;INDEX('05_KAIS'!$C:$C,$A455)))</f>
        <v/>
      </c>
      <c r="C455">
        <f>IF($A455="","",INDEX('05_KAIS'!$D:$D,$A455))</f>
        <v/>
      </c>
      <c r="D455">
        <f>IF($A455="","",INDEX('05_KAIS'!$H:$H,$A455))</f>
        <v/>
      </c>
      <c r="E455">
        <f>IF($A455="","",INDEX('05_KAIS'!$K:$K,$A455))</f>
        <v/>
      </c>
      <c r="F455" s="202">
        <f>IF($A455="","",INDEX('05_KAIS'!$I:$I,$A455))</f>
        <v/>
      </c>
      <c r="G455" s="118">
        <f>IF($A455="","",INDEX('05_KAIS'!$L:$L,$A455))</f>
        <v/>
      </c>
      <c r="H455" s="118">
        <f>IF($A455="","",IFERROR(INDEX('05_KAIS'!$M:$M,$A455),IF(AND(E455&gt;0,G455&gt;0),G455/E455,"")))</f>
        <v/>
      </c>
      <c r="I455" s="202">
        <f>IF($A455="","",INDEX('05_KAIS'!$N:$N,$A455))</f>
        <v/>
      </c>
      <c r="J455">
        <f>IF(B455="","",IF('02_대상물건입력'!$B$5="",1,IF(ISNUMBER(SEARCH('02_대상물건입력'!$B$5,B455)),1,0)))</f>
        <v/>
      </c>
      <c r="K455">
        <f>IF(B455="","",IF('02_대상물건입력'!$B$6="",1,IF(ISNUMBER(SEARCH('02_대상물건입력'!$B$6,B455)),1,0)))</f>
        <v/>
      </c>
      <c r="L455">
        <f>IF(D455="","",IF('02_대상물건입력'!$B$8="",0,IF(ISNUMBER(SEARCH('02_대상물건입력'!$B$8,D455)),1,0)))</f>
        <v/>
      </c>
      <c r="M455">
        <f>IFERROR(ABS(E455-'02_대상물건입력'!$B$11)/'02_대상물건입력'!$B$11,"")</f>
        <v/>
      </c>
      <c r="N455">
        <f>IFERROR(ABS('01_설정'!$B$4-F455),"")</f>
        <v/>
      </c>
      <c r="O455">
        <f>IFERROR(ABS(YEAR(I455)-YEAR('02_대상물건입력'!$B$14)),"")</f>
        <v/>
      </c>
      <c r="P455">
        <f>IF(AND(E455&gt;0,F455&gt;0,G455&gt;0,IF('01_설정'!$B$10=1,J455=1,TRUE()),M455&lt;='01_설정'!$B$5,N455&lt;='01_설정'!$B$7,O455&lt;='01_설정'!$B$8),"Y","")</f>
        <v/>
      </c>
      <c r="Q455">
        <f>IF(P455&lt;&gt;"Y","",MAX(0,(1-M455/'01_설정'!$B$5))*'01_설정'!$B$14+MAX(0,(1-N455/'01_설정'!$B$7))*'01_설정'!$B$16+MAX(0,(1-O455/'01_설정'!$B$8))*'01_설정'!$B$17+K455*'01_설정'!$B$11+L455*'01_설정'!$B$12)</f>
        <v/>
      </c>
      <c r="R455">
        <f>IF(Q455="","",1+COUNTIFS($Q$31:$Q$1030,"&gt;"&amp;Q455)+COUNTIFS($Q$31:Q455,Q455)-1)</f>
        <v/>
      </c>
    </row>
    <row r="456" hidden="1" ht="16.5" customHeight="1">
      <c r="A456">
        <f>IF(COUNTA('05_KAIS'!$A444:$N444)=0,"",429)</f>
        <v/>
      </c>
      <c r="B456">
        <f>IF($A456="","",TRIM(INDEX('05_KAIS'!$B:$B,$A456)&amp;" "&amp;INDEX('05_KAIS'!$C:$C,$A456)))</f>
        <v/>
      </c>
      <c r="C456">
        <f>IF($A456="","",INDEX('05_KAIS'!$D:$D,$A456))</f>
        <v/>
      </c>
      <c r="D456">
        <f>IF($A456="","",INDEX('05_KAIS'!$H:$H,$A456))</f>
        <v/>
      </c>
      <c r="E456">
        <f>IF($A456="","",INDEX('05_KAIS'!$K:$K,$A456))</f>
        <v/>
      </c>
      <c r="F456" s="202">
        <f>IF($A456="","",INDEX('05_KAIS'!$I:$I,$A456))</f>
        <v/>
      </c>
      <c r="G456" s="118">
        <f>IF($A456="","",INDEX('05_KAIS'!$L:$L,$A456))</f>
        <v/>
      </c>
      <c r="H456" s="118">
        <f>IF($A456="","",IFERROR(INDEX('05_KAIS'!$M:$M,$A456),IF(AND(E456&gt;0,G456&gt;0),G456/E456,"")))</f>
        <v/>
      </c>
      <c r="I456" s="202">
        <f>IF($A456="","",INDEX('05_KAIS'!$N:$N,$A456))</f>
        <v/>
      </c>
      <c r="J456">
        <f>IF(B456="","",IF('02_대상물건입력'!$B$5="",1,IF(ISNUMBER(SEARCH('02_대상물건입력'!$B$5,B456)),1,0)))</f>
        <v/>
      </c>
      <c r="K456">
        <f>IF(B456="","",IF('02_대상물건입력'!$B$6="",1,IF(ISNUMBER(SEARCH('02_대상물건입력'!$B$6,B456)),1,0)))</f>
        <v/>
      </c>
      <c r="L456">
        <f>IF(D456="","",IF('02_대상물건입력'!$B$8="",0,IF(ISNUMBER(SEARCH('02_대상물건입력'!$B$8,D456)),1,0)))</f>
        <v/>
      </c>
      <c r="M456">
        <f>IFERROR(ABS(E456-'02_대상물건입력'!$B$11)/'02_대상물건입력'!$B$11,"")</f>
        <v/>
      </c>
      <c r="N456">
        <f>IFERROR(ABS('01_설정'!$B$4-F456),"")</f>
        <v/>
      </c>
      <c r="O456">
        <f>IFERROR(ABS(YEAR(I456)-YEAR('02_대상물건입력'!$B$14)),"")</f>
        <v/>
      </c>
      <c r="P456">
        <f>IF(AND(E456&gt;0,F456&gt;0,G456&gt;0,IF('01_설정'!$B$10=1,J456=1,TRUE()),M456&lt;='01_설정'!$B$5,N456&lt;='01_설정'!$B$7,O456&lt;='01_설정'!$B$8),"Y","")</f>
        <v/>
      </c>
      <c r="Q456">
        <f>IF(P456&lt;&gt;"Y","",MAX(0,(1-M456/'01_설정'!$B$5))*'01_설정'!$B$14+MAX(0,(1-N456/'01_설정'!$B$7))*'01_설정'!$B$16+MAX(0,(1-O456/'01_설정'!$B$8))*'01_설정'!$B$17+K456*'01_설정'!$B$11+L456*'01_설정'!$B$12)</f>
        <v/>
      </c>
      <c r="R456">
        <f>IF(Q456="","",1+COUNTIFS($Q$31:$Q$1030,"&gt;"&amp;Q456)+COUNTIFS($Q$31:Q456,Q456)-1)</f>
        <v/>
      </c>
    </row>
    <row r="457" hidden="1" ht="16.5" customHeight="1">
      <c r="A457">
        <f>IF(COUNTA('05_KAIS'!$A445:$N445)=0,"",430)</f>
        <v/>
      </c>
      <c r="B457">
        <f>IF($A457="","",TRIM(INDEX('05_KAIS'!$B:$B,$A457)&amp;" "&amp;INDEX('05_KAIS'!$C:$C,$A457)))</f>
        <v/>
      </c>
      <c r="C457">
        <f>IF($A457="","",INDEX('05_KAIS'!$D:$D,$A457))</f>
        <v/>
      </c>
      <c r="D457">
        <f>IF($A457="","",INDEX('05_KAIS'!$H:$H,$A457))</f>
        <v/>
      </c>
      <c r="E457">
        <f>IF($A457="","",INDEX('05_KAIS'!$K:$K,$A457))</f>
        <v/>
      </c>
      <c r="F457" s="202">
        <f>IF($A457="","",INDEX('05_KAIS'!$I:$I,$A457))</f>
        <v/>
      </c>
      <c r="G457" s="118">
        <f>IF($A457="","",INDEX('05_KAIS'!$L:$L,$A457))</f>
        <v/>
      </c>
      <c r="H457" s="118">
        <f>IF($A457="","",IFERROR(INDEX('05_KAIS'!$M:$M,$A457),IF(AND(E457&gt;0,G457&gt;0),G457/E457,"")))</f>
        <v/>
      </c>
      <c r="I457" s="202">
        <f>IF($A457="","",INDEX('05_KAIS'!$N:$N,$A457))</f>
        <v/>
      </c>
      <c r="J457">
        <f>IF(B457="","",IF('02_대상물건입력'!$B$5="",1,IF(ISNUMBER(SEARCH('02_대상물건입력'!$B$5,B457)),1,0)))</f>
        <v/>
      </c>
      <c r="K457">
        <f>IF(B457="","",IF('02_대상물건입력'!$B$6="",1,IF(ISNUMBER(SEARCH('02_대상물건입력'!$B$6,B457)),1,0)))</f>
        <v/>
      </c>
      <c r="L457">
        <f>IF(D457="","",IF('02_대상물건입력'!$B$8="",0,IF(ISNUMBER(SEARCH('02_대상물건입력'!$B$8,D457)),1,0)))</f>
        <v/>
      </c>
      <c r="M457">
        <f>IFERROR(ABS(E457-'02_대상물건입력'!$B$11)/'02_대상물건입력'!$B$11,"")</f>
        <v/>
      </c>
      <c r="N457">
        <f>IFERROR(ABS('01_설정'!$B$4-F457),"")</f>
        <v/>
      </c>
      <c r="O457">
        <f>IFERROR(ABS(YEAR(I457)-YEAR('02_대상물건입력'!$B$14)),"")</f>
        <v/>
      </c>
      <c r="P457">
        <f>IF(AND(E457&gt;0,F457&gt;0,G457&gt;0,IF('01_설정'!$B$10=1,J457=1,TRUE()),M457&lt;='01_설정'!$B$5,N457&lt;='01_설정'!$B$7,O457&lt;='01_설정'!$B$8),"Y","")</f>
        <v/>
      </c>
      <c r="Q457">
        <f>IF(P457&lt;&gt;"Y","",MAX(0,(1-M457/'01_설정'!$B$5))*'01_설정'!$B$14+MAX(0,(1-N457/'01_설정'!$B$7))*'01_설정'!$B$16+MAX(0,(1-O457/'01_설정'!$B$8))*'01_설정'!$B$17+K457*'01_설정'!$B$11+L457*'01_설정'!$B$12)</f>
        <v/>
      </c>
      <c r="R457">
        <f>IF(Q457="","",1+COUNTIFS($Q$31:$Q$1030,"&gt;"&amp;Q457)+COUNTIFS($Q$31:Q457,Q457)-1)</f>
        <v/>
      </c>
    </row>
    <row r="458" hidden="1" ht="16.5" customHeight="1">
      <c r="A458">
        <f>IF(COUNTA('05_KAIS'!$A446:$N446)=0,"",431)</f>
        <v/>
      </c>
      <c r="B458">
        <f>IF($A458="","",TRIM(INDEX('05_KAIS'!$B:$B,$A458)&amp;" "&amp;INDEX('05_KAIS'!$C:$C,$A458)))</f>
        <v/>
      </c>
      <c r="C458">
        <f>IF($A458="","",INDEX('05_KAIS'!$D:$D,$A458))</f>
        <v/>
      </c>
      <c r="D458">
        <f>IF($A458="","",INDEX('05_KAIS'!$H:$H,$A458))</f>
        <v/>
      </c>
      <c r="E458">
        <f>IF($A458="","",INDEX('05_KAIS'!$K:$K,$A458))</f>
        <v/>
      </c>
      <c r="F458" s="202">
        <f>IF($A458="","",INDEX('05_KAIS'!$I:$I,$A458))</f>
        <v/>
      </c>
      <c r="G458" s="118">
        <f>IF($A458="","",INDEX('05_KAIS'!$L:$L,$A458))</f>
        <v/>
      </c>
      <c r="H458" s="118">
        <f>IF($A458="","",IFERROR(INDEX('05_KAIS'!$M:$M,$A458),IF(AND(E458&gt;0,G458&gt;0),G458/E458,"")))</f>
        <v/>
      </c>
      <c r="I458" s="202">
        <f>IF($A458="","",INDEX('05_KAIS'!$N:$N,$A458))</f>
        <v/>
      </c>
      <c r="J458">
        <f>IF(B458="","",IF('02_대상물건입력'!$B$5="",1,IF(ISNUMBER(SEARCH('02_대상물건입력'!$B$5,B458)),1,0)))</f>
        <v/>
      </c>
      <c r="K458">
        <f>IF(B458="","",IF('02_대상물건입력'!$B$6="",1,IF(ISNUMBER(SEARCH('02_대상물건입력'!$B$6,B458)),1,0)))</f>
        <v/>
      </c>
      <c r="L458">
        <f>IF(D458="","",IF('02_대상물건입력'!$B$8="",0,IF(ISNUMBER(SEARCH('02_대상물건입력'!$B$8,D458)),1,0)))</f>
        <v/>
      </c>
      <c r="M458">
        <f>IFERROR(ABS(E458-'02_대상물건입력'!$B$11)/'02_대상물건입력'!$B$11,"")</f>
        <v/>
      </c>
      <c r="N458">
        <f>IFERROR(ABS('01_설정'!$B$4-F458),"")</f>
        <v/>
      </c>
      <c r="O458">
        <f>IFERROR(ABS(YEAR(I458)-YEAR('02_대상물건입력'!$B$14)),"")</f>
        <v/>
      </c>
      <c r="P458">
        <f>IF(AND(E458&gt;0,F458&gt;0,G458&gt;0,IF('01_설정'!$B$10=1,J458=1,TRUE()),M458&lt;='01_설정'!$B$5,N458&lt;='01_설정'!$B$7,O458&lt;='01_설정'!$B$8),"Y","")</f>
        <v/>
      </c>
      <c r="Q458">
        <f>IF(P458&lt;&gt;"Y","",MAX(0,(1-M458/'01_설정'!$B$5))*'01_설정'!$B$14+MAX(0,(1-N458/'01_설정'!$B$7))*'01_설정'!$B$16+MAX(0,(1-O458/'01_설정'!$B$8))*'01_설정'!$B$17+K458*'01_설정'!$B$11+L458*'01_설정'!$B$12)</f>
        <v/>
      </c>
      <c r="R458">
        <f>IF(Q458="","",1+COUNTIFS($Q$31:$Q$1030,"&gt;"&amp;Q458)+COUNTIFS($Q$31:Q458,Q458)-1)</f>
        <v/>
      </c>
    </row>
    <row r="459" hidden="1" ht="16.5" customHeight="1">
      <c r="A459">
        <f>IF(COUNTA('05_KAIS'!$A447:$N447)=0,"",432)</f>
        <v/>
      </c>
      <c r="B459">
        <f>IF($A459="","",TRIM(INDEX('05_KAIS'!$B:$B,$A459)&amp;" "&amp;INDEX('05_KAIS'!$C:$C,$A459)))</f>
        <v/>
      </c>
      <c r="C459">
        <f>IF($A459="","",INDEX('05_KAIS'!$D:$D,$A459))</f>
        <v/>
      </c>
      <c r="D459">
        <f>IF($A459="","",INDEX('05_KAIS'!$H:$H,$A459))</f>
        <v/>
      </c>
      <c r="E459">
        <f>IF($A459="","",INDEX('05_KAIS'!$K:$K,$A459))</f>
        <v/>
      </c>
      <c r="F459" s="202">
        <f>IF($A459="","",INDEX('05_KAIS'!$I:$I,$A459))</f>
        <v/>
      </c>
      <c r="G459" s="118">
        <f>IF($A459="","",INDEX('05_KAIS'!$L:$L,$A459))</f>
        <v/>
      </c>
      <c r="H459" s="118">
        <f>IF($A459="","",IFERROR(INDEX('05_KAIS'!$M:$M,$A459),IF(AND(E459&gt;0,G459&gt;0),G459/E459,"")))</f>
        <v/>
      </c>
      <c r="I459" s="202">
        <f>IF($A459="","",INDEX('05_KAIS'!$N:$N,$A459))</f>
        <v/>
      </c>
      <c r="J459">
        <f>IF(B459="","",IF('02_대상물건입력'!$B$5="",1,IF(ISNUMBER(SEARCH('02_대상물건입력'!$B$5,B459)),1,0)))</f>
        <v/>
      </c>
      <c r="K459">
        <f>IF(B459="","",IF('02_대상물건입력'!$B$6="",1,IF(ISNUMBER(SEARCH('02_대상물건입력'!$B$6,B459)),1,0)))</f>
        <v/>
      </c>
      <c r="L459">
        <f>IF(D459="","",IF('02_대상물건입력'!$B$8="",0,IF(ISNUMBER(SEARCH('02_대상물건입력'!$B$8,D459)),1,0)))</f>
        <v/>
      </c>
      <c r="M459">
        <f>IFERROR(ABS(E459-'02_대상물건입력'!$B$11)/'02_대상물건입력'!$B$11,"")</f>
        <v/>
      </c>
      <c r="N459">
        <f>IFERROR(ABS('01_설정'!$B$4-F459),"")</f>
        <v/>
      </c>
      <c r="O459">
        <f>IFERROR(ABS(YEAR(I459)-YEAR('02_대상물건입력'!$B$14)),"")</f>
        <v/>
      </c>
      <c r="P459">
        <f>IF(AND(E459&gt;0,F459&gt;0,G459&gt;0,IF('01_설정'!$B$10=1,J459=1,TRUE()),M459&lt;='01_설정'!$B$5,N459&lt;='01_설정'!$B$7,O459&lt;='01_설정'!$B$8),"Y","")</f>
        <v/>
      </c>
      <c r="Q459">
        <f>IF(P459&lt;&gt;"Y","",MAX(0,(1-M459/'01_설정'!$B$5))*'01_설정'!$B$14+MAX(0,(1-N459/'01_설정'!$B$7))*'01_설정'!$B$16+MAX(0,(1-O459/'01_설정'!$B$8))*'01_설정'!$B$17+K459*'01_설정'!$B$11+L459*'01_설정'!$B$12)</f>
        <v/>
      </c>
      <c r="R459">
        <f>IF(Q459="","",1+COUNTIFS($Q$31:$Q$1030,"&gt;"&amp;Q459)+COUNTIFS($Q$31:Q459,Q459)-1)</f>
        <v/>
      </c>
    </row>
    <row r="460" hidden="1" ht="16.5" customHeight="1">
      <c r="A460">
        <f>IF(COUNTA('05_KAIS'!$A448:$N448)=0,"",433)</f>
        <v/>
      </c>
      <c r="B460">
        <f>IF($A460="","",TRIM(INDEX('05_KAIS'!$B:$B,$A460)&amp;" "&amp;INDEX('05_KAIS'!$C:$C,$A460)))</f>
        <v/>
      </c>
      <c r="C460">
        <f>IF($A460="","",INDEX('05_KAIS'!$D:$D,$A460))</f>
        <v/>
      </c>
      <c r="D460">
        <f>IF($A460="","",INDEX('05_KAIS'!$H:$H,$A460))</f>
        <v/>
      </c>
      <c r="E460">
        <f>IF($A460="","",INDEX('05_KAIS'!$K:$K,$A460))</f>
        <v/>
      </c>
      <c r="F460" s="202">
        <f>IF($A460="","",INDEX('05_KAIS'!$I:$I,$A460))</f>
        <v/>
      </c>
      <c r="G460" s="118">
        <f>IF($A460="","",INDEX('05_KAIS'!$L:$L,$A460))</f>
        <v/>
      </c>
      <c r="H460" s="118">
        <f>IF($A460="","",IFERROR(INDEX('05_KAIS'!$M:$M,$A460),IF(AND(E460&gt;0,G460&gt;0),G460/E460,"")))</f>
        <v/>
      </c>
      <c r="I460" s="202">
        <f>IF($A460="","",INDEX('05_KAIS'!$N:$N,$A460))</f>
        <v/>
      </c>
      <c r="J460">
        <f>IF(B460="","",IF('02_대상물건입력'!$B$5="",1,IF(ISNUMBER(SEARCH('02_대상물건입력'!$B$5,B460)),1,0)))</f>
        <v/>
      </c>
      <c r="K460">
        <f>IF(B460="","",IF('02_대상물건입력'!$B$6="",1,IF(ISNUMBER(SEARCH('02_대상물건입력'!$B$6,B460)),1,0)))</f>
        <v/>
      </c>
      <c r="L460">
        <f>IF(D460="","",IF('02_대상물건입력'!$B$8="",0,IF(ISNUMBER(SEARCH('02_대상물건입력'!$B$8,D460)),1,0)))</f>
        <v/>
      </c>
      <c r="M460">
        <f>IFERROR(ABS(E460-'02_대상물건입력'!$B$11)/'02_대상물건입력'!$B$11,"")</f>
        <v/>
      </c>
      <c r="N460">
        <f>IFERROR(ABS('01_설정'!$B$4-F460),"")</f>
        <v/>
      </c>
      <c r="O460">
        <f>IFERROR(ABS(YEAR(I460)-YEAR('02_대상물건입력'!$B$14)),"")</f>
        <v/>
      </c>
      <c r="P460">
        <f>IF(AND(E460&gt;0,F460&gt;0,G460&gt;0,IF('01_설정'!$B$10=1,J460=1,TRUE()),M460&lt;='01_설정'!$B$5,N460&lt;='01_설정'!$B$7,O460&lt;='01_설정'!$B$8),"Y","")</f>
        <v/>
      </c>
      <c r="Q460">
        <f>IF(P460&lt;&gt;"Y","",MAX(0,(1-M460/'01_설정'!$B$5))*'01_설정'!$B$14+MAX(0,(1-N460/'01_설정'!$B$7))*'01_설정'!$B$16+MAX(0,(1-O460/'01_설정'!$B$8))*'01_설정'!$B$17+K460*'01_설정'!$B$11+L460*'01_설정'!$B$12)</f>
        <v/>
      </c>
      <c r="R460">
        <f>IF(Q460="","",1+COUNTIFS($Q$31:$Q$1030,"&gt;"&amp;Q460)+COUNTIFS($Q$31:Q460,Q460)-1)</f>
        <v/>
      </c>
    </row>
    <row r="461" hidden="1" ht="16.5" customHeight="1">
      <c r="A461">
        <f>IF(COUNTA('05_KAIS'!$A449:$N449)=0,"",434)</f>
        <v/>
      </c>
      <c r="B461">
        <f>IF($A461="","",TRIM(INDEX('05_KAIS'!$B:$B,$A461)&amp;" "&amp;INDEX('05_KAIS'!$C:$C,$A461)))</f>
        <v/>
      </c>
      <c r="C461">
        <f>IF($A461="","",INDEX('05_KAIS'!$D:$D,$A461))</f>
        <v/>
      </c>
      <c r="D461">
        <f>IF($A461="","",INDEX('05_KAIS'!$H:$H,$A461))</f>
        <v/>
      </c>
      <c r="E461">
        <f>IF($A461="","",INDEX('05_KAIS'!$K:$K,$A461))</f>
        <v/>
      </c>
      <c r="F461" s="202">
        <f>IF($A461="","",INDEX('05_KAIS'!$I:$I,$A461))</f>
        <v/>
      </c>
      <c r="G461" s="118">
        <f>IF($A461="","",INDEX('05_KAIS'!$L:$L,$A461))</f>
        <v/>
      </c>
      <c r="H461" s="118">
        <f>IF($A461="","",IFERROR(INDEX('05_KAIS'!$M:$M,$A461),IF(AND(E461&gt;0,G461&gt;0),G461/E461,"")))</f>
        <v/>
      </c>
      <c r="I461" s="202">
        <f>IF($A461="","",INDEX('05_KAIS'!$N:$N,$A461))</f>
        <v/>
      </c>
      <c r="J461">
        <f>IF(B461="","",IF('02_대상물건입력'!$B$5="",1,IF(ISNUMBER(SEARCH('02_대상물건입력'!$B$5,B461)),1,0)))</f>
        <v/>
      </c>
      <c r="K461">
        <f>IF(B461="","",IF('02_대상물건입력'!$B$6="",1,IF(ISNUMBER(SEARCH('02_대상물건입력'!$B$6,B461)),1,0)))</f>
        <v/>
      </c>
      <c r="L461">
        <f>IF(D461="","",IF('02_대상물건입력'!$B$8="",0,IF(ISNUMBER(SEARCH('02_대상물건입력'!$B$8,D461)),1,0)))</f>
        <v/>
      </c>
      <c r="M461">
        <f>IFERROR(ABS(E461-'02_대상물건입력'!$B$11)/'02_대상물건입력'!$B$11,"")</f>
        <v/>
      </c>
      <c r="N461">
        <f>IFERROR(ABS('01_설정'!$B$4-F461),"")</f>
        <v/>
      </c>
      <c r="O461">
        <f>IFERROR(ABS(YEAR(I461)-YEAR('02_대상물건입력'!$B$14)),"")</f>
        <v/>
      </c>
      <c r="P461">
        <f>IF(AND(E461&gt;0,F461&gt;0,G461&gt;0,IF('01_설정'!$B$10=1,J461=1,TRUE()),M461&lt;='01_설정'!$B$5,N461&lt;='01_설정'!$B$7,O461&lt;='01_설정'!$B$8),"Y","")</f>
        <v/>
      </c>
      <c r="Q461">
        <f>IF(P461&lt;&gt;"Y","",MAX(0,(1-M461/'01_설정'!$B$5))*'01_설정'!$B$14+MAX(0,(1-N461/'01_설정'!$B$7))*'01_설정'!$B$16+MAX(0,(1-O461/'01_설정'!$B$8))*'01_설정'!$B$17+K461*'01_설정'!$B$11+L461*'01_설정'!$B$12)</f>
        <v/>
      </c>
      <c r="R461">
        <f>IF(Q461="","",1+COUNTIFS($Q$31:$Q$1030,"&gt;"&amp;Q461)+COUNTIFS($Q$31:Q461,Q461)-1)</f>
        <v/>
      </c>
    </row>
    <row r="462" hidden="1" ht="16.5" customHeight="1">
      <c r="A462">
        <f>IF(COUNTA('05_KAIS'!$A450:$N450)=0,"",435)</f>
        <v/>
      </c>
      <c r="B462">
        <f>IF($A462="","",TRIM(INDEX('05_KAIS'!$B:$B,$A462)&amp;" "&amp;INDEX('05_KAIS'!$C:$C,$A462)))</f>
        <v/>
      </c>
      <c r="C462">
        <f>IF($A462="","",INDEX('05_KAIS'!$D:$D,$A462))</f>
        <v/>
      </c>
      <c r="D462">
        <f>IF($A462="","",INDEX('05_KAIS'!$H:$H,$A462))</f>
        <v/>
      </c>
      <c r="E462">
        <f>IF($A462="","",INDEX('05_KAIS'!$K:$K,$A462))</f>
        <v/>
      </c>
      <c r="F462" s="202">
        <f>IF($A462="","",INDEX('05_KAIS'!$I:$I,$A462))</f>
        <v/>
      </c>
      <c r="G462" s="118">
        <f>IF($A462="","",INDEX('05_KAIS'!$L:$L,$A462))</f>
        <v/>
      </c>
      <c r="H462" s="118">
        <f>IF($A462="","",IFERROR(INDEX('05_KAIS'!$M:$M,$A462),IF(AND(E462&gt;0,G462&gt;0),G462/E462,"")))</f>
        <v/>
      </c>
      <c r="I462" s="202">
        <f>IF($A462="","",INDEX('05_KAIS'!$N:$N,$A462))</f>
        <v/>
      </c>
      <c r="J462">
        <f>IF(B462="","",IF('02_대상물건입력'!$B$5="",1,IF(ISNUMBER(SEARCH('02_대상물건입력'!$B$5,B462)),1,0)))</f>
        <v/>
      </c>
      <c r="K462">
        <f>IF(B462="","",IF('02_대상물건입력'!$B$6="",1,IF(ISNUMBER(SEARCH('02_대상물건입력'!$B$6,B462)),1,0)))</f>
        <v/>
      </c>
      <c r="L462">
        <f>IF(D462="","",IF('02_대상물건입력'!$B$8="",0,IF(ISNUMBER(SEARCH('02_대상물건입력'!$B$8,D462)),1,0)))</f>
        <v/>
      </c>
      <c r="M462">
        <f>IFERROR(ABS(E462-'02_대상물건입력'!$B$11)/'02_대상물건입력'!$B$11,"")</f>
        <v/>
      </c>
      <c r="N462">
        <f>IFERROR(ABS('01_설정'!$B$4-F462),"")</f>
        <v/>
      </c>
      <c r="O462">
        <f>IFERROR(ABS(YEAR(I462)-YEAR('02_대상물건입력'!$B$14)),"")</f>
        <v/>
      </c>
      <c r="P462">
        <f>IF(AND(E462&gt;0,F462&gt;0,G462&gt;0,IF('01_설정'!$B$10=1,J462=1,TRUE()),M462&lt;='01_설정'!$B$5,N462&lt;='01_설정'!$B$7,O462&lt;='01_설정'!$B$8),"Y","")</f>
        <v/>
      </c>
      <c r="Q462">
        <f>IF(P462&lt;&gt;"Y","",MAX(0,(1-M462/'01_설정'!$B$5))*'01_설정'!$B$14+MAX(0,(1-N462/'01_설정'!$B$7))*'01_설정'!$B$16+MAX(0,(1-O462/'01_설정'!$B$8))*'01_설정'!$B$17+K462*'01_설정'!$B$11+L462*'01_설정'!$B$12)</f>
        <v/>
      </c>
      <c r="R462">
        <f>IF(Q462="","",1+COUNTIFS($Q$31:$Q$1030,"&gt;"&amp;Q462)+COUNTIFS($Q$31:Q462,Q462)-1)</f>
        <v/>
      </c>
    </row>
    <row r="463" hidden="1" ht="16.5" customHeight="1">
      <c r="A463">
        <f>IF(COUNTA('05_KAIS'!$A451:$N451)=0,"",436)</f>
        <v/>
      </c>
      <c r="B463">
        <f>IF($A463="","",TRIM(INDEX('05_KAIS'!$B:$B,$A463)&amp;" "&amp;INDEX('05_KAIS'!$C:$C,$A463)))</f>
        <v/>
      </c>
      <c r="C463">
        <f>IF($A463="","",INDEX('05_KAIS'!$D:$D,$A463))</f>
        <v/>
      </c>
      <c r="D463">
        <f>IF($A463="","",INDEX('05_KAIS'!$H:$H,$A463))</f>
        <v/>
      </c>
      <c r="E463">
        <f>IF($A463="","",INDEX('05_KAIS'!$K:$K,$A463))</f>
        <v/>
      </c>
      <c r="F463" s="202">
        <f>IF($A463="","",INDEX('05_KAIS'!$I:$I,$A463))</f>
        <v/>
      </c>
      <c r="G463" s="118">
        <f>IF($A463="","",INDEX('05_KAIS'!$L:$L,$A463))</f>
        <v/>
      </c>
      <c r="H463" s="118">
        <f>IF($A463="","",IFERROR(INDEX('05_KAIS'!$M:$M,$A463),IF(AND(E463&gt;0,G463&gt;0),G463/E463,"")))</f>
        <v/>
      </c>
      <c r="I463" s="202">
        <f>IF($A463="","",INDEX('05_KAIS'!$N:$N,$A463))</f>
        <v/>
      </c>
      <c r="J463">
        <f>IF(B463="","",IF('02_대상물건입력'!$B$5="",1,IF(ISNUMBER(SEARCH('02_대상물건입력'!$B$5,B463)),1,0)))</f>
        <v/>
      </c>
      <c r="K463">
        <f>IF(B463="","",IF('02_대상물건입력'!$B$6="",1,IF(ISNUMBER(SEARCH('02_대상물건입력'!$B$6,B463)),1,0)))</f>
        <v/>
      </c>
      <c r="L463">
        <f>IF(D463="","",IF('02_대상물건입력'!$B$8="",0,IF(ISNUMBER(SEARCH('02_대상물건입력'!$B$8,D463)),1,0)))</f>
        <v/>
      </c>
      <c r="M463">
        <f>IFERROR(ABS(E463-'02_대상물건입력'!$B$11)/'02_대상물건입력'!$B$11,"")</f>
        <v/>
      </c>
      <c r="N463">
        <f>IFERROR(ABS('01_설정'!$B$4-F463),"")</f>
        <v/>
      </c>
      <c r="O463">
        <f>IFERROR(ABS(YEAR(I463)-YEAR('02_대상물건입력'!$B$14)),"")</f>
        <v/>
      </c>
      <c r="P463">
        <f>IF(AND(E463&gt;0,F463&gt;0,G463&gt;0,IF('01_설정'!$B$10=1,J463=1,TRUE()),M463&lt;='01_설정'!$B$5,N463&lt;='01_설정'!$B$7,O463&lt;='01_설정'!$B$8),"Y","")</f>
        <v/>
      </c>
      <c r="Q463">
        <f>IF(P463&lt;&gt;"Y","",MAX(0,(1-M463/'01_설정'!$B$5))*'01_설정'!$B$14+MAX(0,(1-N463/'01_설정'!$B$7))*'01_설정'!$B$16+MAX(0,(1-O463/'01_설정'!$B$8))*'01_설정'!$B$17+K463*'01_설정'!$B$11+L463*'01_설정'!$B$12)</f>
        <v/>
      </c>
      <c r="R463">
        <f>IF(Q463="","",1+COUNTIFS($Q$31:$Q$1030,"&gt;"&amp;Q463)+COUNTIFS($Q$31:Q463,Q463)-1)</f>
        <v/>
      </c>
    </row>
    <row r="464" hidden="1" ht="16.5" customHeight="1">
      <c r="A464">
        <f>IF(COUNTA('05_KAIS'!$A452:$N452)=0,"",437)</f>
        <v/>
      </c>
      <c r="B464">
        <f>IF($A464="","",TRIM(INDEX('05_KAIS'!$B:$B,$A464)&amp;" "&amp;INDEX('05_KAIS'!$C:$C,$A464)))</f>
        <v/>
      </c>
      <c r="C464">
        <f>IF($A464="","",INDEX('05_KAIS'!$D:$D,$A464))</f>
        <v/>
      </c>
      <c r="D464">
        <f>IF($A464="","",INDEX('05_KAIS'!$H:$H,$A464))</f>
        <v/>
      </c>
      <c r="E464">
        <f>IF($A464="","",INDEX('05_KAIS'!$K:$K,$A464))</f>
        <v/>
      </c>
      <c r="F464" s="202">
        <f>IF($A464="","",INDEX('05_KAIS'!$I:$I,$A464))</f>
        <v/>
      </c>
      <c r="G464" s="118">
        <f>IF($A464="","",INDEX('05_KAIS'!$L:$L,$A464))</f>
        <v/>
      </c>
      <c r="H464" s="118">
        <f>IF($A464="","",IFERROR(INDEX('05_KAIS'!$M:$M,$A464),IF(AND(E464&gt;0,G464&gt;0),G464/E464,"")))</f>
        <v/>
      </c>
      <c r="I464" s="202">
        <f>IF($A464="","",INDEX('05_KAIS'!$N:$N,$A464))</f>
        <v/>
      </c>
      <c r="J464">
        <f>IF(B464="","",IF('02_대상물건입력'!$B$5="",1,IF(ISNUMBER(SEARCH('02_대상물건입력'!$B$5,B464)),1,0)))</f>
        <v/>
      </c>
      <c r="K464">
        <f>IF(B464="","",IF('02_대상물건입력'!$B$6="",1,IF(ISNUMBER(SEARCH('02_대상물건입력'!$B$6,B464)),1,0)))</f>
        <v/>
      </c>
      <c r="L464">
        <f>IF(D464="","",IF('02_대상물건입력'!$B$8="",0,IF(ISNUMBER(SEARCH('02_대상물건입력'!$B$8,D464)),1,0)))</f>
        <v/>
      </c>
      <c r="M464">
        <f>IFERROR(ABS(E464-'02_대상물건입력'!$B$11)/'02_대상물건입력'!$B$11,"")</f>
        <v/>
      </c>
      <c r="N464">
        <f>IFERROR(ABS('01_설정'!$B$4-F464),"")</f>
        <v/>
      </c>
      <c r="O464">
        <f>IFERROR(ABS(YEAR(I464)-YEAR('02_대상물건입력'!$B$14)),"")</f>
        <v/>
      </c>
      <c r="P464">
        <f>IF(AND(E464&gt;0,F464&gt;0,G464&gt;0,IF('01_설정'!$B$10=1,J464=1,TRUE()),M464&lt;='01_설정'!$B$5,N464&lt;='01_설정'!$B$7,O464&lt;='01_설정'!$B$8),"Y","")</f>
        <v/>
      </c>
      <c r="Q464">
        <f>IF(P464&lt;&gt;"Y","",MAX(0,(1-M464/'01_설정'!$B$5))*'01_설정'!$B$14+MAX(0,(1-N464/'01_설정'!$B$7))*'01_설정'!$B$16+MAX(0,(1-O464/'01_설정'!$B$8))*'01_설정'!$B$17+K464*'01_설정'!$B$11+L464*'01_설정'!$B$12)</f>
        <v/>
      </c>
      <c r="R464">
        <f>IF(Q464="","",1+COUNTIFS($Q$31:$Q$1030,"&gt;"&amp;Q464)+COUNTIFS($Q$31:Q464,Q464)-1)</f>
        <v/>
      </c>
    </row>
    <row r="465" hidden="1" ht="16.5" customHeight="1">
      <c r="A465">
        <f>IF(COUNTA('05_KAIS'!$A453:$N453)=0,"",438)</f>
        <v/>
      </c>
      <c r="B465">
        <f>IF($A465="","",TRIM(INDEX('05_KAIS'!$B:$B,$A465)&amp;" "&amp;INDEX('05_KAIS'!$C:$C,$A465)))</f>
        <v/>
      </c>
      <c r="C465">
        <f>IF($A465="","",INDEX('05_KAIS'!$D:$D,$A465))</f>
        <v/>
      </c>
      <c r="D465">
        <f>IF($A465="","",INDEX('05_KAIS'!$H:$H,$A465))</f>
        <v/>
      </c>
      <c r="E465">
        <f>IF($A465="","",INDEX('05_KAIS'!$K:$K,$A465))</f>
        <v/>
      </c>
      <c r="F465" s="202">
        <f>IF($A465="","",INDEX('05_KAIS'!$I:$I,$A465))</f>
        <v/>
      </c>
      <c r="G465" s="118">
        <f>IF($A465="","",INDEX('05_KAIS'!$L:$L,$A465))</f>
        <v/>
      </c>
      <c r="H465" s="118">
        <f>IF($A465="","",IFERROR(INDEX('05_KAIS'!$M:$M,$A465),IF(AND(E465&gt;0,G465&gt;0),G465/E465,"")))</f>
        <v/>
      </c>
      <c r="I465" s="202">
        <f>IF($A465="","",INDEX('05_KAIS'!$N:$N,$A465))</f>
        <v/>
      </c>
      <c r="J465">
        <f>IF(B465="","",IF('02_대상물건입력'!$B$5="",1,IF(ISNUMBER(SEARCH('02_대상물건입력'!$B$5,B465)),1,0)))</f>
        <v/>
      </c>
      <c r="K465">
        <f>IF(B465="","",IF('02_대상물건입력'!$B$6="",1,IF(ISNUMBER(SEARCH('02_대상물건입력'!$B$6,B465)),1,0)))</f>
        <v/>
      </c>
      <c r="L465">
        <f>IF(D465="","",IF('02_대상물건입력'!$B$8="",0,IF(ISNUMBER(SEARCH('02_대상물건입력'!$B$8,D465)),1,0)))</f>
        <v/>
      </c>
      <c r="M465">
        <f>IFERROR(ABS(E465-'02_대상물건입력'!$B$11)/'02_대상물건입력'!$B$11,"")</f>
        <v/>
      </c>
      <c r="N465">
        <f>IFERROR(ABS('01_설정'!$B$4-F465),"")</f>
        <v/>
      </c>
      <c r="O465">
        <f>IFERROR(ABS(YEAR(I465)-YEAR('02_대상물건입력'!$B$14)),"")</f>
        <v/>
      </c>
      <c r="P465">
        <f>IF(AND(E465&gt;0,F465&gt;0,G465&gt;0,IF('01_설정'!$B$10=1,J465=1,TRUE()),M465&lt;='01_설정'!$B$5,N465&lt;='01_설정'!$B$7,O465&lt;='01_설정'!$B$8),"Y","")</f>
        <v/>
      </c>
      <c r="Q465">
        <f>IF(P465&lt;&gt;"Y","",MAX(0,(1-M465/'01_설정'!$B$5))*'01_설정'!$B$14+MAX(0,(1-N465/'01_설정'!$B$7))*'01_설정'!$B$16+MAX(0,(1-O465/'01_설정'!$B$8))*'01_설정'!$B$17+K465*'01_설정'!$B$11+L465*'01_설정'!$B$12)</f>
        <v/>
      </c>
      <c r="R465">
        <f>IF(Q465="","",1+COUNTIFS($Q$31:$Q$1030,"&gt;"&amp;Q465)+COUNTIFS($Q$31:Q465,Q465)-1)</f>
        <v/>
      </c>
    </row>
    <row r="466" hidden="1" ht="16.5" customHeight="1">
      <c r="A466">
        <f>IF(COUNTA('05_KAIS'!$A454:$N454)=0,"",439)</f>
        <v/>
      </c>
      <c r="B466">
        <f>IF($A466="","",TRIM(INDEX('05_KAIS'!$B:$B,$A466)&amp;" "&amp;INDEX('05_KAIS'!$C:$C,$A466)))</f>
        <v/>
      </c>
      <c r="C466">
        <f>IF($A466="","",INDEX('05_KAIS'!$D:$D,$A466))</f>
        <v/>
      </c>
      <c r="D466">
        <f>IF($A466="","",INDEX('05_KAIS'!$H:$H,$A466))</f>
        <v/>
      </c>
      <c r="E466">
        <f>IF($A466="","",INDEX('05_KAIS'!$K:$K,$A466))</f>
        <v/>
      </c>
      <c r="F466" s="202">
        <f>IF($A466="","",INDEX('05_KAIS'!$I:$I,$A466))</f>
        <v/>
      </c>
      <c r="G466" s="118">
        <f>IF($A466="","",INDEX('05_KAIS'!$L:$L,$A466))</f>
        <v/>
      </c>
      <c r="H466" s="118">
        <f>IF($A466="","",IFERROR(INDEX('05_KAIS'!$M:$M,$A466),IF(AND(E466&gt;0,G466&gt;0),G466/E466,"")))</f>
        <v/>
      </c>
      <c r="I466" s="202">
        <f>IF($A466="","",INDEX('05_KAIS'!$N:$N,$A466))</f>
        <v/>
      </c>
      <c r="J466">
        <f>IF(B466="","",IF('02_대상물건입력'!$B$5="",1,IF(ISNUMBER(SEARCH('02_대상물건입력'!$B$5,B466)),1,0)))</f>
        <v/>
      </c>
      <c r="K466">
        <f>IF(B466="","",IF('02_대상물건입력'!$B$6="",1,IF(ISNUMBER(SEARCH('02_대상물건입력'!$B$6,B466)),1,0)))</f>
        <v/>
      </c>
      <c r="L466">
        <f>IF(D466="","",IF('02_대상물건입력'!$B$8="",0,IF(ISNUMBER(SEARCH('02_대상물건입력'!$B$8,D466)),1,0)))</f>
        <v/>
      </c>
      <c r="M466">
        <f>IFERROR(ABS(E466-'02_대상물건입력'!$B$11)/'02_대상물건입력'!$B$11,"")</f>
        <v/>
      </c>
      <c r="N466">
        <f>IFERROR(ABS('01_설정'!$B$4-F466),"")</f>
        <v/>
      </c>
      <c r="O466">
        <f>IFERROR(ABS(YEAR(I466)-YEAR('02_대상물건입력'!$B$14)),"")</f>
        <v/>
      </c>
      <c r="P466">
        <f>IF(AND(E466&gt;0,F466&gt;0,G466&gt;0,IF('01_설정'!$B$10=1,J466=1,TRUE()),M466&lt;='01_설정'!$B$5,N466&lt;='01_설정'!$B$7,O466&lt;='01_설정'!$B$8),"Y","")</f>
        <v/>
      </c>
      <c r="Q466">
        <f>IF(P466&lt;&gt;"Y","",MAX(0,(1-M466/'01_설정'!$B$5))*'01_설정'!$B$14+MAX(0,(1-N466/'01_설정'!$B$7))*'01_설정'!$B$16+MAX(0,(1-O466/'01_설정'!$B$8))*'01_설정'!$B$17+K466*'01_설정'!$B$11+L466*'01_설정'!$B$12)</f>
        <v/>
      </c>
      <c r="R466">
        <f>IF(Q466="","",1+COUNTIFS($Q$31:$Q$1030,"&gt;"&amp;Q466)+COUNTIFS($Q$31:Q466,Q466)-1)</f>
        <v/>
      </c>
    </row>
    <row r="467" hidden="1" ht="16.5" customHeight="1">
      <c r="A467">
        <f>IF(COUNTA('05_KAIS'!$A455:$N455)=0,"",440)</f>
        <v/>
      </c>
      <c r="B467">
        <f>IF($A467="","",TRIM(INDEX('05_KAIS'!$B:$B,$A467)&amp;" "&amp;INDEX('05_KAIS'!$C:$C,$A467)))</f>
        <v/>
      </c>
      <c r="C467">
        <f>IF($A467="","",INDEX('05_KAIS'!$D:$D,$A467))</f>
        <v/>
      </c>
      <c r="D467">
        <f>IF($A467="","",INDEX('05_KAIS'!$H:$H,$A467))</f>
        <v/>
      </c>
      <c r="E467">
        <f>IF($A467="","",INDEX('05_KAIS'!$K:$K,$A467))</f>
        <v/>
      </c>
      <c r="F467" s="202">
        <f>IF($A467="","",INDEX('05_KAIS'!$I:$I,$A467))</f>
        <v/>
      </c>
      <c r="G467" s="118">
        <f>IF($A467="","",INDEX('05_KAIS'!$L:$L,$A467))</f>
        <v/>
      </c>
      <c r="H467" s="118">
        <f>IF($A467="","",IFERROR(INDEX('05_KAIS'!$M:$M,$A467),IF(AND(E467&gt;0,G467&gt;0),G467/E467,"")))</f>
        <v/>
      </c>
      <c r="I467" s="202">
        <f>IF($A467="","",INDEX('05_KAIS'!$N:$N,$A467))</f>
        <v/>
      </c>
      <c r="J467">
        <f>IF(B467="","",IF('02_대상물건입력'!$B$5="",1,IF(ISNUMBER(SEARCH('02_대상물건입력'!$B$5,B467)),1,0)))</f>
        <v/>
      </c>
      <c r="K467">
        <f>IF(B467="","",IF('02_대상물건입력'!$B$6="",1,IF(ISNUMBER(SEARCH('02_대상물건입력'!$B$6,B467)),1,0)))</f>
        <v/>
      </c>
      <c r="L467">
        <f>IF(D467="","",IF('02_대상물건입력'!$B$8="",0,IF(ISNUMBER(SEARCH('02_대상물건입력'!$B$8,D467)),1,0)))</f>
        <v/>
      </c>
      <c r="M467">
        <f>IFERROR(ABS(E467-'02_대상물건입력'!$B$11)/'02_대상물건입력'!$B$11,"")</f>
        <v/>
      </c>
      <c r="N467">
        <f>IFERROR(ABS('01_설정'!$B$4-F467),"")</f>
        <v/>
      </c>
      <c r="O467">
        <f>IFERROR(ABS(YEAR(I467)-YEAR('02_대상물건입력'!$B$14)),"")</f>
        <v/>
      </c>
      <c r="P467">
        <f>IF(AND(E467&gt;0,F467&gt;0,G467&gt;0,IF('01_설정'!$B$10=1,J467=1,TRUE()),M467&lt;='01_설정'!$B$5,N467&lt;='01_설정'!$B$7,O467&lt;='01_설정'!$B$8),"Y","")</f>
        <v/>
      </c>
      <c r="Q467">
        <f>IF(P467&lt;&gt;"Y","",MAX(0,(1-M467/'01_설정'!$B$5))*'01_설정'!$B$14+MAX(0,(1-N467/'01_설정'!$B$7))*'01_설정'!$B$16+MAX(0,(1-O467/'01_설정'!$B$8))*'01_설정'!$B$17+K467*'01_설정'!$B$11+L467*'01_설정'!$B$12)</f>
        <v/>
      </c>
      <c r="R467">
        <f>IF(Q467="","",1+COUNTIFS($Q$31:$Q$1030,"&gt;"&amp;Q467)+COUNTIFS($Q$31:Q467,Q467)-1)</f>
        <v/>
      </c>
    </row>
    <row r="468" hidden="1" ht="16.5" customHeight="1">
      <c r="A468">
        <f>IF(COUNTA('05_KAIS'!$A456:$N456)=0,"",441)</f>
        <v/>
      </c>
      <c r="B468">
        <f>IF($A468="","",TRIM(INDEX('05_KAIS'!$B:$B,$A468)&amp;" "&amp;INDEX('05_KAIS'!$C:$C,$A468)))</f>
        <v/>
      </c>
      <c r="C468">
        <f>IF($A468="","",INDEX('05_KAIS'!$D:$D,$A468))</f>
        <v/>
      </c>
      <c r="D468">
        <f>IF($A468="","",INDEX('05_KAIS'!$H:$H,$A468))</f>
        <v/>
      </c>
      <c r="E468">
        <f>IF($A468="","",INDEX('05_KAIS'!$K:$K,$A468))</f>
        <v/>
      </c>
      <c r="F468" s="202">
        <f>IF($A468="","",INDEX('05_KAIS'!$I:$I,$A468))</f>
        <v/>
      </c>
      <c r="G468" s="118">
        <f>IF($A468="","",INDEX('05_KAIS'!$L:$L,$A468))</f>
        <v/>
      </c>
      <c r="H468" s="118">
        <f>IF($A468="","",IFERROR(INDEX('05_KAIS'!$M:$M,$A468),IF(AND(E468&gt;0,G468&gt;0),G468/E468,"")))</f>
        <v/>
      </c>
      <c r="I468" s="202">
        <f>IF($A468="","",INDEX('05_KAIS'!$N:$N,$A468))</f>
        <v/>
      </c>
      <c r="J468">
        <f>IF(B468="","",IF('02_대상물건입력'!$B$5="",1,IF(ISNUMBER(SEARCH('02_대상물건입력'!$B$5,B468)),1,0)))</f>
        <v/>
      </c>
      <c r="K468">
        <f>IF(B468="","",IF('02_대상물건입력'!$B$6="",1,IF(ISNUMBER(SEARCH('02_대상물건입력'!$B$6,B468)),1,0)))</f>
        <v/>
      </c>
      <c r="L468">
        <f>IF(D468="","",IF('02_대상물건입력'!$B$8="",0,IF(ISNUMBER(SEARCH('02_대상물건입력'!$B$8,D468)),1,0)))</f>
        <v/>
      </c>
      <c r="M468">
        <f>IFERROR(ABS(E468-'02_대상물건입력'!$B$11)/'02_대상물건입력'!$B$11,"")</f>
        <v/>
      </c>
      <c r="N468">
        <f>IFERROR(ABS('01_설정'!$B$4-F468),"")</f>
        <v/>
      </c>
      <c r="O468">
        <f>IFERROR(ABS(YEAR(I468)-YEAR('02_대상물건입력'!$B$14)),"")</f>
        <v/>
      </c>
      <c r="P468">
        <f>IF(AND(E468&gt;0,F468&gt;0,G468&gt;0,IF('01_설정'!$B$10=1,J468=1,TRUE()),M468&lt;='01_설정'!$B$5,N468&lt;='01_설정'!$B$7,O468&lt;='01_설정'!$B$8),"Y","")</f>
        <v/>
      </c>
      <c r="Q468">
        <f>IF(P468&lt;&gt;"Y","",MAX(0,(1-M468/'01_설정'!$B$5))*'01_설정'!$B$14+MAX(0,(1-N468/'01_설정'!$B$7))*'01_설정'!$B$16+MAX(0,(1-O468/'01_설정'!$B$8))*'01_설정'!$B$17+K468*'01_설정'!$B$11+L468*'01_설정'!$B$12)</f>
        <v/>
      </c>
      <c r="R468">
        <f>IF(Q468="","",1+COUNTIFS($Q$31:$Q$1030,"&gt;"&amp;Q468)+COUNTIFS($Q$31:Q468,Q468)-1)</f>
        <v/>
      </c>
    </row>
    <row r="469" hidden="1" ht="16.5" customHeight="1">
      <c r="A469">
        <f>IF(COUNTA('05_KAIS'!$A457:$N457)=0,"",442)</f>
        <v/>
      </c>
      <c r="B469">
        <f>IF($A469="","",TRIM(INDEX('05_KAIS'!$B:$B,$A469)&amp;" "&amp;INDEX('05_KAIS'!$C:$C,$A469)))</f>
        <v/>
      </c>
      <c r="C469">
        <f>IF($A469="","",INDEX('05_KAIS'!$D:$D,$A469))</f>
        <v/>
      </c>
      <c r="D469">
        <f>IF($A469="","",INDEX('05_KAIS'!$H:$H,$A469))</f>
        <v/>
      </c>
      <c r="E469">
        <f>IF($A469="","",INDEX('05_KAIS'!$K:$K,$A469))</f>
        <v/>
      </c>
      <c r="F469" s="202">
        <f>IF($A469="","",INDEX('05_KAIS'!$I:$I,$A469))</f>
        <v/>
      </c>
      <c r="G469" s="118">
        <f>IF($A469="","",INDEX('05_KAIS'!$L:$L,$A469))</f>
        <v/>
      </c>
      <c r="H469" s="118">
        <f>IF($A469="","",IFERROR(INDEX('05_KAIS'!$M:$M,$A469),IF(AND(E469&gt;0,G469&gt;0),G469/E469,"")))</f>
        <v/>
      </c>
      <c r="I469" s="202">
        <f>IF($A469="","",INDEX('05_KAIS'!$N:$N,$A469))</f>
        <v/>
      </c>
      <c r="J469">
        <f>IF(B469="","",IF('02_대상물건입력'!$B$5="",1,IF(ISNUMBER(SEARCH('02_대상물건입력'!$B$5,B469)),1,0)))</f>
        <v/>
      </c>
      <c r="K469">
        <f>IF(B469="","",IF('02_대상물건입력'!$B$6="",1,IF(ISNUMBER(SEARCH('02_대상물건입력'!$B$6,B469)),1,0)))</f>
        <v/>
      </c>
      <c r="L469">
        <f>IF(D469="","",IF('02_대상물건입력'!$B$8="",0,IF(ISNUMBER(SEARCH('02_대상물건입력'!$B$8,D469)),1,0)))</f>
        <v/>
      </c>
      <c r="M469">
        <f>IFERROR(ABS(E469-'02_대상물건입력'!$B$11)/'02_대상물건입력'!$B$11,"")</f>
        <v/>
      </c>
      <c r="N469">
        <f>IFERROR(ABS('01_설정'!$B$4-F469),"")</f>
        <v/>
      </c>
      <c r="O469">
        <f>IFERROR(ABS(YEAR(I469)-YEAR('02_대상물건입력'!$B$14)),"")</f>
        <v/>
      </c>
      <c r="P469">
        <f>IF(AND(E469&gt;0,F469&gt;0,G469&gt;0,IF('01_설정'!$B$10=1,J469=1,TRUE()),M469&lt;='01_설정'!$B$5,N469&lt;='01_설정'!$B$7,O469&lt;='01_설정'!$B$8),"Y","")</f>
        <v/>
      </c>
      <c r="Q469">
        <f>IF(P469&lt;&gt;"Y","",MAX(0,(1-M469/'01_설정'!$B$5))*'01_설정'!$B$14+MAX(0,(1-N469/'01_설정'!$B$7))*'01_설정'!$B$16+MAX(0,(1-O469/'01_설정'!$B$8))*'01_설정'!$B$17+K469*'01_설정'!$B$11+L469*'01_설정'!$B$12)</f>
        <v/>
      </c>
      <c r="R469">
        <f>IF(Q469="","",1+COUNTIFS($Q$31:$Q$1030,"&gt;"&amp;Q469)+COUNTIFS($Q$31:Q469,Q469)-1)</f>
        <v/>
      </c>
    </row>
    <row r="470" hidden="1" ht="16.5" customHeight="1">
      <c r="A470">
        <f>IF(COUNTA('05_KAIS'!$A458:$N458)=0,"",443)</f>
        <v/>
      </c>
      <c r="B470">
        <f>IF($A470="","",TRIM(INDEX('05_KAIS'!$B:$B,$A470)&amp;" "&amp;INDEX('05_KAIS'!$C:$C,$A470)))</f>
        <v/>
      </c>
      <c r="C470">
        <f>IF($A470="","",INDEX('05_KAIS'!$D:$D,$A470))</f>
        <v/>
      </c>
      <c r="D470">
        <f>IF($A470="","",INDEX('05_KAIS'!$H:$H,$A470))</f>
        <v/>
      </c>
      <c r="E470">
        <f>IF($A470="","",INDEX('05_KAIS'!$K:$K,$A470))</f>
        <v/>
      </c>
      <c r="F470" s="202">
        <f>IF($A470="","",INDEX('05_KAIS'!$I:$I,$A470))</f>
        <v/>
      </c>
      <c r="G470" s="118">
        <f>IF($A470="","",INDEX('05_KAIS'!$L:$L,$A470))</f>
        <v/>
      </c>
      <c r="H470" s="118">
        <f>IF($A470="","",IFERROR(INDEX('05_KAIS'!$M:$M,$A470),IF(AND(E470&gt;0,G470&gt;0),G470/E470,"")))</f>
        <v/>
      </c>
      <c r="I470" s="202">
        <f>IF($A470="","",INDEX('05_KAIS'!$N:$N,$A470))</f>
        <v/>
      </c>
      <c r="J470">
        <f>IF(B470="","",IF('02_대상물건입력'!$B$5="",1,IF(ISNUMBER(SEARCH('02_대상물건입력'!$B$5,B470)),1,0)))</f>
        <v/>
      </c>
      <c r="K470">
        <f>IF(B470="","",IF('02_대상물건입력'!$B$6="",1,IF(ISNUMBER(SEARCH('02_대상물건입력'!$B$6,B470)),1,0)))</f>
        <v/>
      </c>
      <c r="L470">
        <f>IF(D470="","",IF('02_대상물건입력'!$B$8="",0,IF(ISNUMBER(SEARCH('02_대상물건입력'!$B$8,D470)),1,0)))</f>
        <v/>
      </c>
      <c r="M470">
        <f>IFERROR(ABS(E470-'02_대상물건입력'!$B$11)/'02_대상물건입력'!$B$11,"")</f>
        <v/>
      </c>
      <c r="N470">
        <f>IFERROR(ABS('01_설정'!$B$4-F470),"")</f>
        <v/>
      </c>
      <c r="O470">
        <f>IFERROR(ABS(YEAR(I470)-YEAR('02_대상물건입력'!$B$14)),"")</f>
        <v/>
      </c>
      <c r="P470">
        <f>IF(AND(E470&gt;0,F470&gt;0,G470&gt;0,IF('01_설정'!$B$10=1,J470=1,TRUE()),M470&lt;='01_설정'!$B$5,N470&lt;='01_설정'!$B$7,O470&lt;='01_설정'!$B$8),"Y","")</f>
        <v/>
      </c>
      <c r="Q470">
        <f>IF(P470&lt;&gt;"Y","",MAX(0,(1-M470/'01_설정'!$B$5))*'01_설정'!$B$14+MAX(0,(1-N470/'01_설정'!$B$7))*'01_설정'!$B$16+MAX(0,(1-O470/'01_설정'!$B$8))*'01_설정'!$B$17+K470*'01_설정'!$B$11+L470*'01_설정'!$B$12)</f>
        <v/>
      </c>
      <c r="R470">
        <f>IF(Q470="","",1+COUNTIFS($Q$31:$Q$1030,"&gt;"&amp;Q470)+COUNTIFS($Q$31:Q470,Q470)-1)</f>
        <v/>
      </c>
    </row>
    <row r="471" hidden="1" ht="16.5" customHeight="1">
      <c r="A471">
        <f>IF(COUNTA('05_KAIS'!$A459:$N459)=0,"",444)</f>
        <v/>
      </c>
      <c r="B471">
        <f>IF($A471="","",TRIM(INDEX('05_KAIS'!$B:$B,$A471)&amp;" "&amp;INDEX('05_KAIS'!$C:$C,$A471)))</f>
        <v/>
      </c>
      <c r="C471">
        <f>IF($A471="","",INDEX('05_KAIS'!$D:$D,$A471))</f>
        <v/>
      </c>
      <c r="D471">
        <f>IF($A471="","",INDEX('05_KAIS'!$H:$H,$A471))</f>
        <v/>
      </c>
      <c r="E471">
        <f>IF($A471="","",INDEX('05_KAIS'!$K:$K,$A471))</f>
        <v/>
      </c>
      <c r="F471" s="202">
        <f>IF($A471="","",INDEX('05_KAIS'!$I:$I,$A471))</f>
        <v/>
      </c>
      <c r="G471" s="118">
        <f>IF($A471="","",INDEX('05_KAIS'!$L:$L,$A471))</f>
        <v/>
      </c>
      <c r="H471" s="118">
        <f>IF($A471="","",IFERROR(INDEX('05_KAIS'!$M:$M,$A471),IF(AND(E471&gt;0,G471&gt;0),G471/E471,"")))</f>
        <v/>
      </c>
      <c r="I471" s="202">
        <f>IF($A471="","",INDEX('05_KAIS'!$N:$N,$A471))</f>
        <v/>
      </c>
      <c r="J471">
        <f>IF(B471="","",IF('02_대상물건입력'!$B$5="",1,IF(ISNUMBER(SEARCH('02_대상물건입력'!$B$5,B471)),1,0)))</f>
        <v/>
      </c>
      <c r="K471">
        <f>IF(B471="","",IF('02_대상물건입력'!$B$6="",1,IF(ISNUMBER(SEARCH('02_대상물건입력'!$B$6,B471)),1,0)))</f>
        <v/>
      </c>
      <c r="L471">
        <f>IF(D471="","",IF('02_대상물건입력'!$B$8="",0,IF(ISNUMBER(SEARCH('02_대상물건입력'!$B$8,D471)),1,0)))</f>
        <v/>
      </c>
      <c r="M471">
        <f>IFERROR(ABS(E471-'02_대상물건입력'!$B$11)/'02_대상물건입력'!$B$11,"")</f>
        <v/>
      </c>
      <c r="N471">
        <f>IFERROR(ABS('01_설정'!$B$4-F471),"")</f>
        <v/>
      </c>
      <c r="O471">
        <f>IFERROR(ABS(YEAR(I471)-YEAR('02_대상물건입력'!$B$14)),"")</f>
        <v/>
      </c>
      <c r="P471">
        <f>IF(AND(E471&gt;0,F471&gt;0,G471&gt;0,IF('01_설정'!$B$10=1,J471=1,TRUE()),M471&lt;='01_설정'!$B$5,N471&lt;='01_설정'!$B$7,O471&lt;='01_설정'!$B$8),"Y","")</f>
        <v/>
      </c>
      <c r="Q471">
        <f>IF(P471&lt;&gt;"Y","",MAX(0,(1-M471/'01_설정'!$B$5))*'01_설정'!$B$14+MAX(0,(1-N471/'01_설정'!$B$7))*'01_설정'!$B$16+MAX(0,(1-O471/'01_설정'!$B$8))*'01_설정'!$B$17+K471*'01_설정'!$B$11+L471*'01_설정'!$B$12)</f>
        <v/>
      </c>
      <c r="R471">
        <f>IF(Q471="","",1+COUNTIFS($Q$31:$Q$1030,"&gt;"&amp;Q471)+COUNTIFS($Q$31:Q471,Q471)-1)</f>
        <v/>
      </c>
    </row>
    <row r="472" hidden="1" ht="16.5" customHeight="1">
      <c r="A472">
        <f>IF(COUNTA('05_KAIS'!$A460:$N460)=0,"",445)</f>
        <v/>
      </c>
      <c r="B472">
        <f>IF($A472="","",TRIM(INDEX('05_KAIS'!$B:$B,$A472)&amp;" "&amp;INDEX('05_KAIS'!$C:$C,$A472)))</f>
        <v/>
      </c>
      <c r="C472">
        <f>IF($A472="","",INDEX('05_KAIS'!$D:$D,$A472))</f>
        <v/>
      </c>
      <c r="D472">
        <f>IF($A472="","",INDEX('05_KAIS'!$H:$H,$A472))</f>
        <v/>
      </c>
      <c r="E472">
        <f>IF($A472="","",INDEX('05_KAIS'!$K:$K,$A472))</f>
        <v/>
      </c>
      <c r="F472" s="202">
        <f>IF($A472="","",INDEX('05_KAIS'!$I:$I,$A472))</f>
        <v/>
      </c>
      <c r="G472" s="118">
        <f>IF($A472="","",INDEX('05_KAIS'!$L:$L,$A472))</f>
        <v/>
      </c>
      <c r="H472" s="118">
        <f>IF($A472="","",IFERROR(INDEX('05_KAIS'!$M:$M,$A472),IF(AND(E472&gt;0,G472&gt;0),G472/E472,"")))</f>
        <v/>
      </c>
      <c r="I472" s="202">
        <f>IF($A472="","",INDEX('05_KAIS'!$N:$N,$A472))</f>
        <v/>
      </c>
      <c r="J472">
        <f>IF(B472="","",IF('02_대상물건입력'!$B$5="",1,IF(ISNUMBER(SEARCH('02_대상물건입력'!$B$5,B472)),1,0)))</f>
        <v/>
      </c>
      <c r="K472">
        <f>IF(B472="","",IF('02_대상물건입력'!$B$6="",1,IF(ISNUMBER(SEARCH('02_대상물건입력'!$B$6,B472)),1,0)))</f>
        <v/>
      </c>
      <c r="L472">
        <f>IF(D472="","",IF('02_대상물건입력'!$B$8="",0,IF(ISNUMBER(SEARCH('02_대상물건입력'!$B$8,D472)),1,0)))</f>
        <v/>
      </c>
      <c r="M472">
        <f>IFERROR(ABS(E472-'02_대상물건입력'!$B$11)/'02_대상물건입력'!$B$11,"")</f>
        <v/>
      </c>
      <c r="N472">
        <f>IFERROR(ABS('01_설정'!$B$4-F472),"")</f>
        <v/>
      </c>
      <c r="O472">
        <f>IFERROR(ABS(YEAR(I472)-YEAR('02_대상물건입력'!$B$14)),"")</f>
        <v/>
      </c>
      <c r="P472">
        <f>IF(AND(E472&gt;0,F472&gt;0,G472&gt;0,IF('01_설정'!$B$10=1,J472=1,TRUE()),M472&lt;='01_설정'!$B$5,N472&lt;='01_설정'!$B$7,O472&lt;='01_설정'!$B$8),"Y","")</f>
        <v/>
      </c>
      <c r="Q472">
        <f>IF(P472&lt;&gt;"Y","",MAX(0,(1-M472/'01_설정'!$B$5))*'01_설정'!$B$14+MAX(0,(1-N472/'01_설정'!$B$7))*'01_설정'!$B$16+MAX(0,(1-O472/'01_설정'!$B$8))*'01_설정'!$B$17+K472*'01_설정'!$B$11+L472*'01_설정'!$B$12)</f>
        <v/>
      </c>
      <c r="R472">
        <f>IF(Q472="","",1+COUNTIFS($Q$31:$Q$1030,"&gt;"&amp;Q472)+COUNTIFS($Q$31:Q472,Q472)-1)</f>
        <v/>
      </c>
    </row>
    <row r="473" hidden="1" ht="16.5" customHeight="1">
      <c r="A473">
        <f>IF(COUNTA('05_KAIS'!$A461:$N461)=0,"",446)</f>
        <v/>
      </c>
      <c r="B473">
        <f>IF($A473="","",TRIM(INDEX('05_KAIS'!$B:$B,$A473)&amp;" "&amp;INDEX('05_KAIS'!$C:$C,$A473)))</f>
        <v/>
      </c>
      <c r="C473">
        <f>IF($A473="","",INDEX('05_KAIS'!$D:$D,$A473))</f>
        <v/>
      </c>
      <c r="D473">
        <f>IF($A473="","",INDEX('05_KAIS'!$H:$H,$A473))</f>
        <v/>
      </c>
      <c r="E473">
        <f>IF($A473="","",INDEX('05_KAIS'!$K:$K,$A473))</f>
        <v/>
      </c>
      <c r="F473" s="202">
        <f>IF($A473="","",INDEX('05_KAIS'!$I:$I,$A473))</f>
        <v/>
      </c>
      <c r="G473" s="118">
        <f>IF($A473="","",INDEX('05_KAIS'!$L:$L,$A473))</f>
        <v/>
      </c>
      <c r="H473" s="118">
        <f>IF($A473="","",IFERROR(INDEX('05_KAIS'!$M:$M,$A473),IF(AND(E473&gt;0,G473&gt;0),G473/E473,"")))</f>
        <v/>
      </c>
      <c r="I473" s="202">
        <f>IF($A473="","",INDEX('05_KAIS'!$N:$N,$A473))</f>
        <v/>
      </c>
      <c r="J473">
        <f>IF(B473="","",IF('02_대상물건입력'!$B$5="",1,IF(ISNUMBER(SEARCH('02_대상물건입력'!$B$5,B473)),1,0)))</f>
        <v/>
      </c>
      <c r="K473">
        <f>IF(B473="","",IF('02_대상물건입력'!$B$6="",1,IF(ISNUMBER(SEARCH('02_대상물건입력'!$B$6,B473)),1,0)))</f>
        <v/>
      </c>
      <c r="L473">
        <f>IF(D473="","",IF('02_대상물건입력'!$B$8="",0,IF(ISNUMBER(SEARCH('02_대상물건입력'!$B$8,D473)),1,0)))</f>
        <v/>
      </c>
      <c r="M473">
        <f>IFERROR(ABS(E473-'02_대상물건입력'!$B$11)/'02_대상물건입력'!$B$11,"")</f>
        <v/>
      </c>
      <c r="N473">
        <f>IFERROR(ABS('01_설정'!$B$4-F473),"")</f>
        <v/>
      </c>
      <c r="O473">
        <f>IFERROR(ABS(YEAR(I473)-YEAR('02_대상물건입력'!$B$14)),"")</f>
        <v/>
      </c>
      <c r="P473">
        <f>IF(AND(E473&gt;0,F473&gt;0,G473&gt;0,IF('01_설정'!$B$10=1,J473=1,TRUE()),M473&lt;='01_설정'!$B$5,N473&lt;='01_설정'!$B$7,O473&lt;='01_설정'!$B$8),"Y","")</f>
        <v/>
      </c>
      <c r="Q473">
        <f>IF(P473&lt;&gt;"Y","",MAX(0,(1-M473/'01_설정'!$B$5))*'01_설정'!$B$14+MAX(0,(1-N473/'01_설정'!$B$7))*'01_설정'!$B$16+MAX(0,(1-O473/'01_설정'!$B$8))*'01_설정'!$B$17+K473*'01_설정'!$B$11+L473*'01_설정'!$B$12)</f>
        <v/>
      </c>
      <c r="R473">
        <f>IF(Q473="","",1+COUNTIFS($Q$31:$Q$1030,"&gt;"&amp;Q473)+COUNTIFS($Q$31:Q473,Q473)-1)</f>
        <v/>
      </c>
    </row>
    <row r="474" hidden="1" ht="16.5" customHeight="1">
      <c r="A474">
        <f>IF(COUNTA('05_KAIS'!$A462:$N462)=0,"",447)</f>
        <v/>
      </c>
      <c r="B474">
        <f>IF($A474="","",TRIM(INDEX('05_KAIS'!$B:$B,$A474)&amp;" "&amp;INDEX('05_KAIS'!$C:$C,$A474)))</f>
        <v/>
      </c>
      <c r="C474">
        <f>IF($A474="","",INDEX('05_KAIS'!$D:$D,$A474))</f>
        <v/>
      </c>
      <c r="D474">
        <f>IF($A474="","",INDEX('05_KAIS'!$H:$H,$A474))</f>
        <v/>
      </c>
      <c r="E474">
        <f>IF($A474="","",INDEX('05_KAIS'!$K:$K,$A474))</f>
        <v/>
      </c>
      <c r="F474" s="202">
        <f>IF($A474="","",INDEX('05_KAIS'!$I:$I,$A474))</f>
        <v/>
      </c>
      <c r="G474" s="118">
        <f>IF($A474="","",INDEX('05_KAIS'!$L:$L,$A474))</f>
        <v/>
      </c>
      <c r="H474" s="118">
        <f>IF($A474="","",IFERROR(INDEX('05_KAIS'!$M:$M,$A474),IF(AND(E474&gt;0,G474&gt;0),G474/E474,"")))</f>
        <v/>
      </c>
      <c r="I474" s="202">
        <f>IF($A474="","",INDEX('05_KAIS'!$N:$N,$A474))</f>
        <v/>
      </c>
      <c r="J474">
        <f>IF(B474="","",IF('02_대상물건입력'!$B$5="",1,IF(ISNUMBER(SEARCH('02_대상물건입력'!$B$5,B474)),1,0)))</f>
        <v/>
      </c>
      <c r="K474">
        <f>IF(B474="","",IF('02_대상물건입력'!$B$6="",1,IF(ISNUMBER(SEARCH('02_대상물건입력'!$B$6,B474)),1,0)))</f>
        <v/>
      </c>
      <c r="L474">
        <f>IF(D474="","",IF('02_대상물건입력'!$B$8="",0,IF(ISNUMBER(SEARCH('02_대상물건입력'!$B$8,D474)),1,0)))</f>
        <v/>
      </c>
      <c r="M474">
        <f>IFERROR(ABS(E474-'02_대상물건입력'!$B$11)/'02_대상물건입력'!$B$11,"")</f>
        <v/>
      </c>
      <c r="N474">
        <f>IFERROR(ABS('01_설정'!$B$4-F474),"")</f>
        <v/>
      </c>
      <c r="O474">
        <f>IFERROR(ABS(YEAR(I474)-YEAR('02_대상물건입력'!$B$14)),"")</f>
        <v/>
      </c>
      <c r="P474">
        <f>IF(AND(E474&gt;0,F474&gt;0,G474&gt;0,IF('01_설정'!$B$10=1,J474=1,TRUE()),M474&lt;='01_설정'!$B$5,N474&lt;='01_설정'!$B$7,O474&lt;='01_설정'!$B$8),"Y","")</f>
        <v/>
      </c>
      <c r="Q474">
        <f>IF(P474&lt;&gt;"Y","",MAX(0,(1-M474/'01_설정'!$B$5))*'01_설정'!$B$14+MAX(0,(1-N474/'01_설정'!$B$7))*'01_설정'!$B$16+MAX(0,(1-O474/'01_설정'!$B$8))*'01_설정'!$B$17+K474*'01_설정'!$B$11+L474*'01_설정'!$B$12)</f>
        <v/>
      </c>
      <c r="R474">
        <f>IF(Q474="","",1+COUNTIFS($Q$31:$Q$1030,"&gt;"&amp;Q474)+COUNTIFS($Q$31:Q474,Q474)-1)</f>
        <v/>
      </c>
    </row>
    <row r="475" hidden="1" ht="16.5" customHeight="1">
      <c r="A475">
        <f>IF(COUNTA('05_KAIS'!$A463:$N463)=0,"",448)</f>
        <v/>
      </c>
      <c r="B475">
        <f>IF($A475="","",TRIM(INDEX('05_KAIS'!$B:$B,$A475)&amp;" "&amp;INDEX('05_KAIS'!$C:$C,$A475)))</f>
        <v/>
      </c>
      <c r="C475">
        <f>IF($A475="","",INDEX('05_KAIS'!$D:$D,$A475))</f>
        <v/>
      </c>
      <c r="D475">
        <f>IF($A475="","",INDEX('05_KAIS'!$H:$H,$A475))</f>
        <v/>
      </c>
      <c r="E475">
        <f>IF($A475="","",INDEX('05_KAIS'!$K:$K,$A475))</f>
        <v/>
      </c>
      <c r="F475" s="202">
        <f>IF($A475="","",INDEX('05_KAIS'!$I:$I,$A475))</f>
        <v/>
      </c>
      <c r="G475" s="118">
        <f>IF($A475="","",INDEX('05_KAIS'!$L:$L,$A475))</f>
        <v/>
      </c>
      <c r="H475" s="118">
        <f>IF($A475="","",IFERROR(INDEX('05_KAIS'!$M:$M,$A475),IF(AND(E475&gt;0,G475&gt;0),G475/E475,"")))</f>
        <v/>
      </c>
      <c r="I475" s="202">
        <f>IF($A475="","",INDEX('05_KAIS'!$N:$N,$A475))</f>
        <v/>
      </c>
      <c r="J475">
        <f>IF(B475="","",IF('02_대상물건입력'!$B$5="",1,IF(ISNUMBER(SEARCH('02_대상물건입력'!$B$5,B475)),1,0)))</f>
        <v/>
      </c>
      <c r="K475">
        <f>IF(B475="","",IF('02_대상물건입력'!$B$6="",1,IF(ISNUMBER(SEARCH('02_대상물건입력'!$B$6,B475)),1,0)))</f>
        <v/>
      </c>
      <c r="L475">
        <f>IF(D475="","",IF('02_대상물건입력'!$B$8="",0,IF(ISNUMBER(SEARCH('02_대상물건입력'!$B$8,D475)),1,0)))</f>
        <v/>
      </c>
      <c r="M475">
        <f>IFERROR(ABS(E475-'02_대상물건입력'!$B$11)/'02_대상물건입력'!$B$11,"")</f>
        <v/>
      </c>
      <c r="N475">
        <f>IFERROR(ABS('01_설정'!$B$4-F475),"")</f>
        <v/>
      </c>
      <c r="O475">
        <f>IFERROR(ABS(YEAR(I475)-YEAR('02_대상물건입력'!$B$14)),"")</f>
        <v/>
      </c>
      <c r="P475">
        <f>IF(AND(E475&gt;0,F475&gt;0,G475&gt;0,IF('01_설정'!$B$10=1,J475=1,TRUE()),M475&lt;='01_설정'!$B$5,N475&lt;='01_설정'!$B$7,O475&lt;='01_설정'!$B$8),"Y","")</f>
        <v/>
      </c>
      <c r="Q475">
        <f>IF(P475&lt;&gt;"Y","",MAX(0,(1-M475/'01_설정'!$B$5))*'01_설정'!$B$14+MAX(0,(1-N475/'01_설정'!$B$7))*'01_설정'!$B$16+MAX(0,(1-O475/'01_설정'!$B$8))*'01_설정'!$B$17+K475*'01_설정'!$B$11+L475*'01_설정'!$B$12)</f>
        <v/>
      </c>
      <c r="R475">
        <f>IF(Q475="","",1+COUNTIFS($Q$31:$Q$1030,"&gt;"&amp;Q475)+COUNTIFS($Q$31:Q475,Q475)-1)</f>
        <v/>
      </c>
    </row>
    <row r="476" hidden="1" ht="16.5" customHeight="1">
      <c r="A476">
        <f>IF(COUNTA('05_KAIS'!$A464:$N464)=0,"",449)</f>
        <v/>
      </c>
      <c r="B476">
        <f>IF($A476="","",TRIM(INDEX('05_KAIS'!$B:$B,$A476)&amp;" "&amp;INDEX('05_KAIS'!$C:$C,$A476)))</f>
        <v/>
      </c>
      <c r="C476">
        <f>IF($A476="","",INDEX('05_KAIS'!$D:$D,$A476))</f>
        <v/>
      </c>
      <c r="D476">
        <f>IF($A476="","",INDEX('05_KAIS'!$H:$H,$A476))</f>
        <v/>
      </c>
      <c r="E476">
        <f>IF($A476="","",INDEX('05_KAIS'!$K:$K,$A476))</f>
        <v/>
      </c>
      <c r="F476" s="202">
        <f>IF($A476="","",INDEX('05_KAIS'!$I:$I,$A476))</f>
        <v/>
      </c>
      <c r="G476" s="118">
        <f>IF($A476="","",INDEX('05_KAIS'!$L:$L,$A476))</f>
        <v/>
      </c>
      <c r="H476" s="118">
        <f>IF($A476="","",IFERROR(INDEX('05_KAIS'!$M:$M,$A476),IF(AND(E476&gt;0,G476&gt;0),G476/E476,"")))</f>
        <v/>
      </c>
      <c r="I476" s="202">
        <f>IF($A476="","",INDEX('05_KAIS'!$N:$N,$A476))</f>
        <v/>
      </c>
      <c r="J476">
        <f>IF(B476="","",IF('02_대상물건입력'!$B$5="",1,IF(ISNUMBER(SEARCH('02_대상물건입력'!$B$5,B476)),1,0)))</f>
        <v/>
      </c>
      <c r="K476">
        <f>IF(B476="","",IF('02_대상물건입력'!$B$6="",1,IF(ISNUMBER(SEARCH('02_대상물건입력'!$B$6,B476)),1,0)))</f>
        <v/>
      </c>
      <c r="L476">
        <f>IF(D476="","",IF('02_대상물건입력'!$B$8="",0,IF(ISNUMBER(SEARCH('02_대상물건입력'!$B$8,D476)),1,0)))</f>
        <v/>
      </c>
      <c r="M476">
        <f>IFERROR(ABS(E476-'02_대상물건입력'!$B$11)/'02_대상물건입력'!$B$11,"")</f>
        <v/>
      </c>
      <c r="N476">
        <f>IFERROR(ABS('01_설정'!$B$4-F476),"")</f>
        <v/>
      </c>
      <c r="O476">
        <f>IFERROR(ABS(YEAR(I476)-YEAR('02_대상물건입력'!$B$14)),"")</f>
        <v/>
      </c>
      <c r="P476">
        <f>IF(AND(E476&gt;0,F476&gt;0,G476&gt;0,IF('01_설정'!$B$10=1,J476=1,TRUE()),M476&lt;='01_설정'!$B$5,N476&lt;='01_설정'!$B$7,O476&lt;='01_설정'!$B$8),"Y","")</f>
        <v/>
      </c>
      <c r="Q476">
        <f>IF(P476&lt;&gt;"Y","",MAX(0,(1-M476/'01_설정'!$B$5))*'01_설정'!$B$14+MAX(0,(1-N476/'01_설정'!$B$7))*'01_설정'!$B$16+MAX(0,(1-O476/'01_설정'!$B$8))*'01_설정'!$B$17+K476*'01_설정'!$B$11+L476*'01_설정'!$B$12)</f>
        <v/>
      </c>
      <c r="R476">
        <f>IF(Q476="","",1+COUNTIFS($Q$31:$Q$1030,"&gt;"&amp;Q476)+COUNTIFS($Q$31:Q476,Q476)-1)</f>
        <v/>
      </c>
    </row>
    <row r="477" hidden="1" ht="16.5" customHeight="1">
      <c r="A477">
        <f>IF(COUNTA('05_KAIS'!$A465:$N465)=0,"",450)</f>
        <v/>
      </c>
      <c r="B477">
        <f>IF($A477="","",TRIM(INDEX('05_KAIS'!$B:$B,$A477)&amp;" "&amp;INDEX('05_KAIS'!$C:$C,$A477)))</f>
        <v/>
      </c>
      <c r="C477">
        <f>IF($A477="","",INDEX('05_KAIS'!$D:$D,$A477))</f>
        <v/>
      </c>
      <c r="D477">
        <f>IF($A477="","",INDEX('05_KAIS'!$H:$H,$A477))</f>
        <v/>
      </c>
      <c r="E477">
        <f>IF($A477="","",INDEX('05_KAIS'!$K:$K,$A477))</f>
        <v/>
      </c>
      <c r="F477" s="202">
        <f>IF($A477="","",INDEX('05_KAIS'!$I:$I,$A477))</f>
        <v/>
      </c>
      <c r="G477" s="118">
        <f>IF($A477="","",INDEX('05_KAIS'!$L:$L,$A477))</f>
        <v/>
      </c>
      <c r="H477" s="118">
        <f>IF($A477="","",IFERROR(INDEX('05_KAIS'!$M:$M,$A477),IF(AND(E477&gt;0,G477&gt;0),G477/E477,"")))</f>
        <v/>
      </c>
      <c r="I477" s="202">
        <f>IF($A477="","",INDEX('05_KAIS'!$N:$N,$A477))</f>
        <v/>
      </c>
      <c r="J477">
        <f>IF(B477="","",IF('02_대상물건입력'!$B$5="",1,IF(ISNUMBER(SEARCH('02_대상물건입력'!$B$5,B477)),1,0)))</f>
        <v/>
      </c>
      <c r="K477">
        <f>IF(B477="","",IF('02_대상물건입력'!$B$6="",1,IF(ISNUMBER(SEARCH('02_대상물건입력'!$B$6,B477)),1,0)))</f>
        <v/>
      </c>
      <c r="L477">
        <f>IF(D477="","",IF('02_대상물건입력'!$B$8="",0,IF(ISNUMBER(SEARCH('02_대상물건입력'!$B$8,D477)),1,0)))</f>
        <v/>
      </c>
      <c r="M477">
        <f>IFERROR(ABS(E477-'02_대상물건입력'!$B$11)/'02_대상물건입력'!$B$11,"")</f>
        <v/>
      </c>
      <c r="N477">
        <f>IFERROR(ABS('01_설정'!$B$4-F477),"")</f>
        <v/>
      </c>
      <c r="O477">
        <f>IFERROR(ABS(YEAR(I477)-YEAR('02_대상물건입력'!$B$14)),"")</f>
        <v/>
      </c>
      <c r="P477">
        <f>IF(AND(E477&gt;0,F477&gt;0,G477&gt;0,IF('01_설정'!$B$10=1,J477=1,TRUE()),M477&lt;='01_설정'!$B$5,N477&lt;='01_설정'!$B$7,O477&lt;='01_설정'!$B$8),"Y","")</f>
        <v/>
      </c>
      <c r="Q477">
        <f>IF(P477&lt;&gt;"Y","",MAX(0,(1-M477/'01_설정'!$B$5))*'01_설정'!$B$14+MAX(0,(1-N477/'01_설정'!$B$7))*'01_설정'!$B$16+MAX(0,(1-O477/'01_설정'!$B$8))*'01_설정'!$B$17+K477*'01_설정'!$B$11+L477*'01_설정'!$B$12)</f>
        <v/>
      </c>
      <c r="R477">
        <f>IF(Q477="","",1+COUNTIFS($Q$31:$Q$1030,"&gt;"&amp;Q477)+COUNTIFS($Q$31:Q477,Q477)-1)</f>
        <v/>
      </c>
    </row>
    <row r="478" hidden="1" ht="16.5" customHeight="1">
      <c r="A478">
        <f>IF(COUNTA('05_KAIS'!$A466:$N466)=0,"",451)</f>
        <v/>
      </c>
      <c r="B478">
        <f>IF($A478="","",TRIM(INDEX('05_KAIS'!$B:$B,$A478)&amp;" "&amp;INDEX('05_KAIS'!$C:$C,$A478)))</f>
        <v/>
      </c>
      <c r="C478">
        <f>IF($A478="","",INDEX('05_KAIS'!$D:$D,$A478))</f>
        <v/>
      </c>
      <c r="D478">
        <f>IF($A478="","",INDEX('05_KAIS'!$H:$H,$A478))</f>
        <v/>
      </c>
      <c r="E478">
        <f>IF($A478="","",INDEX('05_KAIS'!$K:$K,$A478))</f>
        <v/>
      </c>
      <c r="F478" s="202">
        <f>IF($A478="","",INDEX('05_KAIS'!$I:$I,$A478))</f>
        <v/>
      </c>
      <c r="G478" s="118">
        <f>IF($A478="","",INDEX('05_KAIS'!$L:$L,$A478))</f>
        <v/>
      </c>
      <c r="H478" s="118">
        <f>IF($A478="","",IFERROR(INDEX('05_KAIS'!$M:$M,$A478),IF(AND(E478&gt;0,G478&gt;0),G478/E478,"")))</f>
        <v/>
      </c>
      <c r="I478" s="202">
        <f>IF($A478="","",INDEX('05_KAIS'!$N:$N,$A478))</f>
        <v/>
      </c>
      <c r="J478">
        <f>IF(B478="","",IF('02_대상물건입력'!$B$5="",1,IF(ISNUMBER(SEARCH('02_대상물건입력'!$B$5,B478)),1,0)))</f>
        <v/>
      </c>
      <c r="K478">
        <f>IF(B478="","",IF('02_대상물건입력'!$B$6="",1,IF(ISNUMBER(SEARCH('02_대상물건입력'!$B$6,B478)),1,0)))</f>
        <v/>
      </c>
      <c r="L478">
        <f>IF(D478="","",IF('02_대상물건입력'!$B$8="",0,IF(ISNUMBER(SEARCH('02_대상물건입력'!$B$8,D478)),1,0)))</f>
        <v/>
      </c>
      <c r="M478">
        <f>IFERROR(ABS(E478-'02_대상물건입력'!$B$11)/'02_대상물건입력'!$B$11,"")</f>
        <v/>
      </c>
      <c r="N478">
        <f>IFERROR(ABS('01_설정'!$B$4-F478),"")</f>
        <v/>
      </c>
      <c r="O478">
        <f>IFERROR(ABS(YEAR(I478)-YEAR('02_대상물건입력'!$B$14)),"")</f>
        <v/>
      </c>
      <c r="P478">
        <f>IF(AND(E478&gt;0,F478&gt;0,G478&gt;0,IF('01_설정'!$B$10=1,J478=1,TRUE()),M478&lt;='01_설정'!$B$5,N478&lt;='01_설정'!$B$7,O478&lt;='01_설정'!$B$8),"Y","")</f>
        <v/>
      </c>
      <c r="Q478">
        <f>IF(P478&lt;&gt;"Y","",MAX(0,(1-M478/'01_설정'!$B$5))*'01_설정'!$B$14+MAX(0,(1-N478/'01_설정'!$B$7))*'01_설정'!$B$16+MAX(0,(1-O478/'01_설정'!$B$8))*'01_설정'!$B$17+K478*'01_설정'!$B$11+L478*'01_설정'!$B$12)</f>
        <v/>
      </c>
      <c r="R478">
        <f>IF(Q478="","",1+COUNTIFS($Q$31:$Q$1030,"&gt;"&amp;Q478)+COUNTIFS($Q$31:Q478,Q478)-1)</f>
        <v/>
      </c>
    </row>
    <row r="479" hidden="1" ht="16.5" customHeight="1">
      <c r="A479">
        <f>IF(COUNTA('05_KAIS'!$A467:$N467)=0,"",452)</f>
        <v/>
      </c>
      <c r="B479">
        <f>IF($A479="","",TRIM(INDEX('05_KAIS'!$B:$B,$A479)&amp;" "&amp;INDEX('05_KAIS'!$C:$C,$A479)))</f>
        <v/>
      </c>
      <c r="C479">
        <f>IF($A479="","",INDEX('05_KAIS'!$D:$D,$A479))</f>
        <v/>
      </c>
      <c r="D479">
        <f>IF($A479="","",INDEX('05_KAIS'!$H:$H,$A479))</f>
        <v/>
      </c>
      <c r="E479">
        <f>IF($A479="","",INDEX('05_KAIS'!$K:$K,$A479))</f>
        <v/>
      </c>
      <c r="F479" s="202">
        <f>IF($A479="","",INDEX('05_KAIS'!$I:$I,$A479))</f>
        <v/>
      </c>
      <c r="G479" s="118">
        <f>IF($A479="","",INDEX('05_KAIS'!$L:$L,$A479))</f>
        <v/>
      </c>
      <c r="H479" s="118">
        <f>IF($A479="","",IFERROR(INDEX('05_KAIS'!$M:$M,$A479),IF(AND(E479&gt;0,G479&gt;0),G479/E479,"")))</f>
        <v/>
      </c>
      <c r="I479" s="202">
        <f>IF($A479="","",INDEX('05_KAIS'!$N:$N,$A479))</f>
        <v/>
      </c>
      <c r="J479">
        <f>IF(B479="","",IF('02_대상물건입력'!$B$5="",1,IF(ISNUMBER(SEARCH('02_대상물건입력'!$B$5,B479)),1,0)))</f>
        <v/>
      </c>
      <c r="K479">
        <f>IF(B479="","",IF('02_대상물건입력'!$B$6="",1,IF(ISNUMBER(SEARCH('02_대상물건입력'!$B$6,B479)),1,0)))</f>
        <v/>
      </c>
      <c r="L479">
        <f>IF(D479="","",IF('02_대상물건입력'!$B$8="",0,IF(ISNUMBER(SEARCH('02_대상물건입력'!$B$8,D479)),1,0)))</f>
        <v/>
      </c>
      <c r="M479">
        <f>IFERROR(ABS(E479-'02_대상물건입력'!$B$11)/'02_대상물건입력'!$B$11,"")</f>
        <v/>
      </c>
      <c r="N479">
        <f>IFERROR(ABS('01_설정'!$B$4-F479),"")</f>
        <v/>
      </c>
      <c r="O479">
        <f>IFERROR(ABS(YEAR(I479)-YEAR('02_대상물건입력'!$B$14)),"")</f>
        <v/>
      </c>
      <c r="P479">
        <f>IF(AND(E479&gt;0,F479&gt;0,G479&gt;0,IF('01_설정'!$B$10=1,J479=1,TRUE()),M479&lt;='01_설정'!$B$5,N479&lt;='01_설정'!$B$7,O479&lt;='01_설정'!$B$8),"Y","")</f>
        <v/>
      </c>
      <c r="Q479">
        <f>IF(P479&lt;&gt;"Y","",MAX(0,(1-M479/'01_설정'!$B$5))*'01_설정'!$B$14+MAX(0,(1-N479/'01_설정'!$B$7))*'01_설정'!$B$16+MAX(0,(1-O479/'01_설정'!$B$8))*'01_설정'!$B$17+K479*'01_설정'!$B$11+L479*'01_설정'!$B$12)</f>
        <v/>
      </c>
      <c r="R479">
        <f>IF(Q479="","",1+COUNTIFS($Q$31:$Q$1030,"&gt;"&amp;Q479)+COUNTIFS($Q$31:Q479,Q479)-1)</f>
        <v/>
      </c>
    </row>
    <row r="480" hidden="1" ht="16.5" customHeight="1">
      <c r="A480">
        <f>IF(COUNTA('05_KAIS'!$A468:$N468)=0,"",453)</f>
        <v/>
      </c>
      <c r="B480">
        <f>IF($A480="","",TRIM(INDEX('05_KAIS'!$B:$B,$A480)&amp;" "&amp;INDEX('05_KAIS'!$C:$C,$A480)))</f>
        <v/>
      </c>
      <c r="C480">
        <f>IF($A480="","",INDEX('05_KAIS'!$D:$D,$A480))</f>
        <v/>
      </c>
      <c r="D480">
        <f>IF($A480="","",INDEX('05_KAIS'!$H:$H,$A480))</f>
        <v/>
      </c>
      <c r="E480">
        <f>IF($A480="","",INDEX('05_KAIS'!$K:$K,$A480))</f>
        <v/>
      </c>
      <c r="F480" s="202">
        <f>IF($A480="","",INDEX('05_KAIS'!$I:$I,$A480))</f>
        <v/>
      </c>
      <c r="G480" s="118">
        <f>IF($A480="","",INDEX('05_KAIS'!$L:$L,$A480))</f>
        <v/>
      </c>
      <c r="H480" s="118">
        <f>IF($A480="","",IFERROR(INDEX('05_KAIS'!$M:$M,$A480),IF(AND(E480&gt;0,G480&gt;0),G480/E480,"")))</f>
        <v/>
      </c>
      <c r="I480" s="202">
        <f>IF($A480="","",INDEX('05_KAIS'!$N:$N,$A480))</f>
        <v/>
      </c>
      <c r="J480">
        <f>IF(B480="","",IF('02_대상물건입력'!$B$5="",1,IF(ISNUMBER(SEARCH('02_대상물건입력'!$B$5,B480)),1,0)))</f>
        <v/>
      </c>
      <c r="K480">
        <f>IF(B480="","",IF('02_대상물건입력'!$B$6="",1,IF(ISNUMBER(SEARCH('02_대상물건입력'!$B$6,B480)),1,0)))</f>
        <v/>
      </c>
      <c r="L480">
        <f>IF(D480="","",IF('02_대상물건입력'!$B$8="",0,IF(ISNUMBER(SEARCH('02_대상물건입력'!$B$8,D480)),1,0)))</f>
        <v/>
      </c>
      <c r="M480">
        <f>IFERROR(ABS(E480-'02_대상물건입력'!$B$11)/'02_대상물건입력'!$B$11,"")</f>
        <v/>
      </c>
      <c r="N480">
        <f>IFERROR(ABS('01_설정'!$B$4-F480),"")</f>
        <v/>
      </c>
      <c r="O480">
        <f>IFERROR(ABS(YEAR(I480)-YEAR('02_대상물건입력'!$B$14)),"")</f>
        <v/>
      </c>
      <c r="P480">
        <f>IF(AND(E480&gt;0,F480&gt;0,G480&gt;0,IF('01_설정'!$B$10=1,J480=1,TRUE()),M480&lt;='01_설정'!$B$5,N480&lt;='01_설정'!$B$7,O480&lt;='01_설정'!$B$8),"Y","")</f>
        <v/>
      </c>
      <c r="Q480">
        <f>IF(P480&lt;&gt;"Y","",MAX(0,(1-M480/'01_설정'!$B$5))*'01_설정'!$B$14+MAX(0,(1-N480/'01_설정'!$B$7))*'01_설정'!$B$16+MAX(0,(1-O480/'01_설정'!$B$8))*'01_설정'!$B$17+K480*'01_설정'!$B$11+L480*'01_설정'!$B$12)</f>
        <v/>
      </c>
      <c r="R480">
        <f>IF(Q480="","",1+COUNTIFS($Q$31:$Q$1030,"&gt;"&amp;Q480)+COUNTIFS($Q$31:Q480,Q480)-1)</f>
        <v/>
      </c>
    </row>
    <row r="481" hidden="1" ht="16.5" customHeight="1">
      <c r="A481">
        <f>IF(COUNTA('05_KAIS'!$A469:$N469)=0,"",454)</f>
        <v/>
      </c>
      <c r="B481">
        <f>IF($A481="","",TRIM(INDEX('05_KAIS'!$B:$B,$A481)&amp;" "&amp;INDEX('05_KAIS'!$C:$C,$A481)))</f>
        <v/>
      </c>
      <c r="C481">
        <f>IF($A481="","",INDEX('05_KAIS'!$D:$D,$A481))</f>
        <v/>
      </c>
      <c r="D481">
        <f>IF($A481="","",INDEX('05_KAIS'!$H:$H,$A481))</f>
        <v/>
      </c>
      <c r="E481">
        <f>IF($A481="","",INDEX('05_KAIS'!$K:$K,$A481))</f>
        <v/>
      </c>
      <c r="F481" s="202">
        <f>IF($A481="","",INDEX('05_KAIS'!$I:$I,$A481))</f>
        <v/>
      </c>
      <c r="G481" s="118">
        <f>IF($A481="","",INDEX('05_KAIS'!$L:$L,$A481))</f>
        <v/>
      </c>
      <c r="H481" s="118">
        <f>IF($A481="","",IFERROR(INDEX('05_KAIS'!$M:$M,$A481),IF(AND(E481&gt;0,G481&gt;0),G481/E481,"")))</f>
        <v/>
      </c>
      <c r="I481" s="202">
        <f>IF($A481="","",INDEX('05_KAIS'!$N:$N,$A481))</f>
        <v/>
      </c>
      <c r="J481">
        <f>IF(B481="","",IF('02_대상물건입력'!$B$5="",1,IF(ISNUMBER(SEARCH('02_대상물건입력'!$B$5,B481)),1,0)))</f>
        <v/>
      </c>
      <c r="K481">
        <f>IF(B481="","",IF('02_대상물건입력'!$B$6="",1,IF(ISNUMBER(SEARCH('02_대상물건입력'!$B$6,B481)),1,0)))</f>
        <v/>
      </c>
      <c r="L481">
        <f>IF(D481="","",IF('02_대상물건입력'!$B$8="",0,IF(ISNUMBER(SEARCH('02_대상물건입력'!$B$8,D481)),1,0)))</f>
        <v/>
      </c>
      <c r="M481">
        <f>IFERROR(ABS(E481-'02_대상물건입력'!$B$11)/'02_대상물건입력'!$B$11,"")</f>
        <v/>
      </c>
      <c r="N481">
        <f>IFERROR(ABS('01_설정'!$B$4-F481),"")</f>
        <v/>
      </c>
      <c r="O481">
        <f>IFERROR(ABS(YEAR(I481)-YEAR('02_대상물건입력'!$B$14)),"")</f>
        <v/>
      </c>
      <c r="P481">
        <f>IF(AND(E481&gt;0,F481&gt;0,G481&gt;0,IF('01_설정'!$B$10=1,J481=1,TRUE()),M481&lt;='01_설정'!$B$5,N481&lt;='01_설정'!$B$7,O481&lt;='01_설정'!$B$8),"Y","")</f>
        <v/>
      </c>
      <c r="Q481">
        <f>IF(P481&lt;&gt;"Y","",MAX(0,(1-M481/'01_설정'!$B$5))*'01_설정'!$B$14+MAX(0,(1-N481/'01_설정'!$B$7))*'01_설정'!$B$16+MAX(0,(1-O481/'01_설정'!$B$8))*'01_설정'!$B$17+K481*'01_설정'!$B$11+L481*'01_설정'!$B$12)</f>
        <v/>
      </c>
      <c r="R481">
        <f>IF(Q481="","",1+COUNTIFS($Q$31:$Q$1030,"&gt;"&amp;Q481)+COUNTIFS($Q$31:Q481,Q481)-1)</f>
        <v/>
      </c>
    </row>
    <row r="482" hidden="1" ht="16.5" customHeight="1">
      <c r="A482">
        <f>IF(COUNTA('05_KAIS'!$A470:$N470)=0,"",455)</f>
        <v/>
      </c>
      <c r="B482">
        <f>IF($A482="","",TRIM(INDEX('05_KAIS'!$B:$B,$A482)&amp;" "&amp;INDEX('05_KAIS'!$C:$C,$A482)))</f>
        <v/>
      </c>
      <c r="C482">
        <f>IF($A482="","",INDEX('05_KAIS'!$D:$D,$A482))</f>
        <v/>
      </c>
      <c r="D482">
        <f>IF($A482="","",INDEX('05_KAIS'!$H:$H,$A482))</f>
        <v/>
      </c>
      <c r="E482">
        <f>IF($A482="","",INDEX('05_KAIS'!$K:$K,$A482))</f>
        <v/>
      </c>
      <c r="F482" s="202">
        <f>IF($A482="","",INDEX('05_KAIS'!$I:$I,$A482))</f>
        <v/>
      </c>
      <c r="G482" s="118">
        <f>IF($A482="","",INDEX('05_KAIS'!$L:$L,$A482))</f>
        <v/>
      </c>
      <c r="H482" s="118">
        <f>IF($A482="","",IFERROR(INDEX('05_KAIS'!$M:$M,$A482),IF(AND(E482&gt;0,G482&gt;0),G482/E482,"")))</f>
        <v/>
      </c>
      <c r="I482" s="202">
        <f>IF($A482="","",INDEX('05_KAIS'!$N:$N,$A482))</f>
        <v/>
      </c>
      <c r="J482">
        <f>IF(B482="","",IF('02_대상물건입력'!$B$5="",1,IF(ISNUMBER(SEARCH('02_대상물건입력'!$B$5,B482)),1,0)))</f>
        <v/>
      </c>
      <c r="K482">
        <f>IF(B482="","",IF('02_대상물건입력'!$B$6="",1,IF(ISNUMBER(SEARCH('02_대상물건입력'!$B$6,B482)),1,0)))</f>
        <v/>
      </c>
      <c r="L482">
        <f>IF(D482="","",IF('02_대상물건입력'!$B$8="",0,IF(ISNUMBER(SEARCH('02_대상물건입력'!$B$8,D482)),1,0)))</f>
        <v/>
      </c>
      <c r="M482">
        <f>IFERROR(ABS(E482-'02_대상물건입력'!$B$11)/'02_대상물건입력'!$B$11,"")</f>
        <v/>
      </c>
      <c r="N482">
        <f>IFERROR(ABS('01_설정'!$B$4-F482),"")</f>
        <v/>
      </c>
      <c r="O482">
        <f>IFERROR(ABS(YEAR(I482)-YEAR('02_대상물건입력'!$B$14)),"")</f>
        <v/>
      </c>
      <c r="P482">
        <f>IF(AND(E482&gt;0,F482&gt;0,G482&gt;0,IF('01_설정'!$B$10=1,J482=1,TRUE()),M482&lt;='01_설정'!$B$5,N482&lt;='01_설정'!$B$7,O482&lt;='01_설정'!$B$8),"Y","")</f>
        <v/>
      </c>
      <c r="Q482">
        <f>IF(P482&lt;&gt;"Y","",MAX(0,(1-M482/'01_설정'!$B$5))*'01_설정'!$B$14+MAX(0,(1-N482/'01_설정'!$B$7))*'01_설정'!$B$16+MAX(0,(1-O482/'01_설정'!$B$8))*'01_설정'!$B$17+K482*'01_설정'!$B$11+L482*'01_설정'!$B$12)</f>
        <v/>
      </c>
      <c r="R482">
        <f>IF(Q482="","",1+COUNTIFS($Q$31:$Q$1030,"&gt;"&amp;Q482)+COUNTIFS($Q$31:Q482,Q482)-1)</f>
        <v/>
      </c>
    </row>
    <row r="483" hidden="1" ht="16.5" customHeight="1">
      <c r="A483">
        <f>IF(COUNTA('05_KAIS'!$A471:$N471)=0,"",456)</f>
        <v/>
      </c>
      <c r="B483">
        <f>IF($A483="","",TRIM(INDEX('05_KAIS'!$B:$B,$A483)&amp;" "&amp;INDEX('05_KAIS'!$C:$C,$A483)))</f>
        <v/>
      </c>
      <c r="C483">
        <f>IF($A483="","",INDEX('05_KAIS'!$D:$D,$A483))</f>
        <v/>
      </c>
      <c r="D483">
        <f>IF($A483="","",INDEX('05_KAIS'!$H:$H,$A483))</f>
        <v/>
      </c>
      <c r="E483">
        <f>IF($A483="","",INDEX('05_KAIS'!$K:$K,$A483))</f>
        <v/>
      </c>
      <c r="F483" s="202">
        <f>IF($A483="","",INDEX('05_KAIS'!$I:$I,$A483))</f>
        <v/>
      </c>
      <c r="G483" s="118">
        <f>IF($A483="","",INDEX('05_KAIS'!$L:$L,$A483))</f>
        <v/>
      </c>
      <c r="H483" s="118">
        <f>IF($A483="","",IFERROR(INDEX('05_KAIS'!$M:$M,$A483),IF(AND(E483&gt;0,G483&gt;0),G483/E483,"")))</f>
        <v/>
      </c>
      <c r="I483" s="202">
        <f>IF($A483="","",INDEX('05_KAIS'!$N:$N,$A483))</f>
        <v/>
      </c>
      <c r="J483">
        <f>IF(B483="","",IF('02_대상물건입력'!$B$5="",1,IF(ISNUMBER(SEARCH('02_대상물건입력'!$B$5,B483)),1,0)))</f>
        <v/>
      </c>
      <c r="K483">
        <f>IF(B483="","",IF('02_대상물건입력'!$B$6="",1,IF(ISNUMBER(SEARCH('02_대상물건입력'!$B$6,B483)),1,0)))</f>
        <v/>
      </c>
      <c r="L483">
        <f>IF(D483="","",IF('02_대상물건입력'!$B$8="",0,IF(ISNUMBER(SEARCH('02_대상물건입력'!$B$8,D483)),1,0)))</f>
        <v/>
      </c>
      <c r="M483">
        <f>IFERROR(ABS(E483-'02_대상물건입력'!$B$11)/'02_대상물건입력'!$B$11,"")</f>
        <v/>
      </c>
      <c r="N483">
        <f>IFERROR(ABS('01_설정'!$B$4-F483),"")</f>
        <v/>
      </c>
      <c r="O483">
        <f>IFERROR(ABS(YEAR(I483)-YEAR('02_대상물건입력'!$B$14)),"")</f>
        <v/>
      </c>
      <c r="P483">
        <f>IF(AND(E483&gt;0,F483&gt;0,G483&gt;0,IF('01_설정'!$B$10=1,J483=1,TRUE()),M483&lt;='01_설정'!$B$5,N483&lt;='01_설정'!$B$7,O483&lt;='01_설정'!$B$8),"Y","")</f>
        <v/>
      </c>
      <c r="Q483">
        <f>IF(P483&lt;&gt;"Y","",MAX(0,(1-M483/'01_설정'!$B$5))*'01_설정'!$B$14+MAX(0,(1-N483/'01_설정'!$B$7))*'01_설정'!$B$16+MAX(0,(1-O483/'01_설정'!$B$8))*'01_설정'!$B$17+K483*'01_설정'!$B$11+L483*'01_설정'!$B$12)</f>
        <v/>
      </c>
      <c r="R483">
        <f>IF(Q483="","",1+COUNTIFS($Q$31:$Q$1030,"&gt;"&amp;Q483)+COUNTIFS($Q$31:Q483,Q483)-1)</f>
        <v/>
      </c>
    </row>
    <row r="484" hidden="1" ht="16.5" customHeight="1">
      <c r="A484">
        <f>IF(COUNTA('05_KAIS'!$A472:$N472)=0,"",457)</f>
        <v/>
      </c>
      <c r="B484">
        <f>IF($A484="","",TRIM(INDEX('05_KAIS'!$B:$B,$A484)&amp;" "&amp;INDEX('05_KAIS'!$C:$C,$A484)))</f>
        <v/>
      </c>
      <c r="C484">
        <f>IF($A484="","",INDEX('05_KAIS'!$D:$D,$A484))</f>
        <v/>
      </c>
      <c r="D484">
        <f>IF($A484="","",INDEX('05_KAIS'!$H:$H,$A484))</f>
        <v/>
      </c>
      <c r="E484">
        <f>IF($A484="","",INDEX('05_KAIS'!$K:$K,$A484))</f>
        <v/>
      </c>
      <c r="F484" s="202">
        <f>IF($A484="","",INDEX('05_KAIS'!$I:$I,$A484))</f>
        <v/>
      </c>
      <c r="G484" s="118">
        <f>IF($A484="","",INDEX('05_KAIS'!$L:$L,$A484))</f>
        <v/>
      </c>
      <c r="H484" s="118">
        <f>IF($A484="","",IFERROR(INDEX('05_KAIS'!$M:$M,$A484),IF(AND(E484&gt;0,G484&gt;0),G484/E484,"")))</f>
        <v/>
      </c>
      <c r="I484" s="202">
        <f>IF($A484="","",INDEX('05_KAIS'!$N:$N,$A484))</f>
        <v/>
      </c>
      <c r="J484">
        <f>IF(B484="","",IF('02_대상물건입력'!$B$5="",1,IF(ISNUMBER(SEARCH('02_대상물건입력'!$B$5,B484)),1,0)))</f>
        <v/>
      </c>
      <c r="K484">
        <f>IF(B484="","",IF('02_대상물건입력'!$B$6="",1,IF(ISNUMBER(SEARCH('02_대상물건입력'!$B$6,B484)),1,0)))</f>
        <v/>
      </c>
      <c r="L484">
        <f>IF(D484="","",IF('02_대상물건입력'!$B$8="",0,IF(ISNUMBER(SEARCH('02_대상물건입력'!$B$8,D484)),1,0)))</f>
        <v/>
      </c>
      <c r="M484">
        <f>IFERROR(ABS(E484-'02_대상물건입력'!$B$11)/'02_대상물건입력'!$B$11,"")</f>
        <v/>
      </c>
      <c r="N484">
        <f>IFERROR(ABS('01_설정'!$B$4-F484),"")</f>
        <v/>
      </c>
      <c r="O484">
        <f>IFERROR(ABS(YEAR(I484)-YEAR('02_대상물건입력'!$B$14)),"")</f>
        <v/>
      </c>
      <c r="P484">
        <f>IF(AND(E484&gt;0,F484&gt;0,G484&gt;0,IF('01_설정'!$B$10=1,J484=1,TRUE()),M484&lt;='01_설정'!$B$5,N484&lt;='01_설정'!$B$7,O484&lt;='01_설정'!$B$8),"Y","")</f>
        <v/>
      </c>
      <c r="Q484">
        <f>IF(P484&lt;&gt;"Y","",MAX(0,(1-M484/'01_설정'!$B$5))*'01_설정'!$B$14+MAX(0,(1-N484/'01_설정'!$B$7))*'01_설정'!$B$16+MAX(0,(1-O484/'01_설정'!$B$8))*'01_설정'!$B$17+K484*'01_설정'!$B$11+L484*'01_설정'!$B$12)</f>
        <v/>
      </c>
      <c r="R484">
        <f>IF(Q484="","",1+COUNTIFS($Q$31:$Q$1030,"&gt;"&amp;Q484)+COUNTIFS($Q$31:Q484,Q484)-1)</f>
        <v/>
      </c>
    </row>
    <row r="485" hidden="1" ht="16.5" customHeight="1">
      <c r="A485">
        <f>IF(COUNTA('05_KAIS'!$A473:$N473)=0,"",458)</f>
        <v/>
      </c>
      <c r="B485">
        <f>IF($A485="","",TRIM(INDEX('05_KAIS'!$B:$B,$A485)&amp;" "&amp;INDEX('05_KAIS'!$C:$C,$A485)))</f>
        <v/>
      </c>
      <c r="C485">
        <f>IF($A485="","",INDEX('05_KAIS'!$D:$D,$A485))</f>
        <v/>
      </c>
      <c r="D485">
        <f>IF($A485="","",INDEX('05_KAIS'!$H:$H,$A485))</f>
        <v/>
      </c>
      <c r="E485">
        <f>IF($A485="","",INDEX('05_KAIS'!$K:$K,$A485))</f>
        <v/>
      </c>
      <c r="F485" s="202">
        <f>IF($A485="","",INDEX('05_KAIS'!$I:$I,$A485))</f>
        <v/>
      </c>
      <c r="G485" s="118">
        <f>IF($A485="","",INDEX('05_KAIS'!$L:$L,$A485))</f>
        <v/>
      </c>
      <c r="H485" s="118">
        <f>IF($A485="","",IFERROR(INDEX('05_KAIS'!$M:$M,$A485),IF(AND(E485&gt;0,G485&gt;0),G485/E485,"")))</f>
        <v/>
      </c>
      <c r="I485" s="202">
        <f>IF($A485="","",INDEX('05_KAIS'!$N:$N,$A485))</f>
        <v/>
      </c>
      <c r="J485">
        <f>IF(B485="","",IF('02_대상물건입력'!$B$5="",1,IF(ISNUMBER(SEARCH('02_대상물건입력'!$B$5,B485)),1,0)))</f>
        <v/>
      </c>
      <c r="K485">
        <f>IF(B485="","",IF('02_대상물건입력'!$B$6="",1,IF(ISNUMBER(SEARCH('02_대상물건입력'!$B$6,B485)),1,0)))</f>
        <v/>
      </c>
      <c r="L485">
        <f>IF(D485="","",IF('02_대상물건입력'!$B$8="",0,IF(ISNUMBER(SEARCH('02_대상물건입력'!$B$8,D485)),1,0)))</f>
        <v/>
      </c>
      <c r="M485">
        <f>IFERROR(ABS(E485-'02_대상물건입력'!$B$11)/'02_대상물건입력'!$B$11,"")</f>
        <v/>
      </c>
      <c r="N485">
        <f>IFERROR(ABS('01_설정'!$B$4-F485),"")</f>
        <v/>
      </c>
      <c r="O485">
        <f>IFERROR(ABS(YEAR(I485)-YEAR('02_대상물건입력'!$B$14)),"")</f>
        <v/>
      </c>
      <c r="P485">
        <f>IF(AND(E485&gt;0,F485&gt;0,G485&gt;0,IF('01_설정'!$B$10=1,J485=1,TRUE()),M485&lt;='01_설정'!$B$5,N485&lt;='01_설정'!$B$7,O485&lt;='01_설정'!$B$8),"Y","")</f>
        <v/>
      </c>
      <c r="Q485">
        <f>IF(P485&lt;&gt;"Y","",MAX(0,(1-M485/'01_설정'!$B$5))*'01_설정'!$B$14+MAX(0,(1-N485/'01_설정'!$B$7))*'01_설정'!$B$16+MAX(0,(1-O485/'01_설정'!$B$8))*'01_설정'!$B$17+K485*'01_설정'!$B$11+L485*'01_설정'!$B$12)</f>
        <v/>
      </c>
      <c r="R485">
        <f>IF(Q485="","",1+COUNTIFS($Q$31:$Q$1030,"&gt;"&amp;Q485)+COUNTIFS($Q$31:Q485,Q485)-1)</f>
        <v/>
      </c>
    </row>
    <row r="486" hidden="1" ht="16.5" customHeight="1">
      <c r="A486">
        <f>IF(COUNTA('05_KAIS'!$A474:$N474)=0,"",459)</f>
        <v/>
      </c>
      <c r="B486">
        <f>IF($A486="","",TRIM(INDEX('05_KAIS'!$B:$B,$A486)&amp;" "&amp;INDEX('05_KAIS'!$C:$C,$A486)))</f>
        <v/>
      </c>
      <c r="C486">
        <f>IF($A486="","",INDEX('05_KAIS'!$D:$D,$A486))</f>
        <v/>
      </c>
      <c r="D486">
        <f>IF($A486="","",INDEX('05_KAIS'!$H:$H,$A486))</f>
        <v/>
      </c>
      <c r="E486">
        <f>IF($A486="","",INDEX('05_KAIS'!$K:$K,$A486))</f>
        <v/>
      </c>
      <c r="F486" s="202">
        <f>IF($A486="","",INDEX('05_KAIS'!$I:$I,$A486))</f>
        <v/>
      </c>
      <c r="G486" s="118">
        <f>IF($A486="","",INDEX('05_KAIS'!$L:$L,$A486))</f>
        <v/>
      </c>
      <c r="H486" s="118">
        <f>IF($A486="","",IFERROR(INDEX('05_KAIS'!$M:$M,$A486),IF(AND(E486&gt;0,G486&gt;0),G486/E486,"")))</f>
        <v/>
      </c>
      <c r="I486" s="202">
        <f>IF($A486="","",INDEX('05_KAIS'!$N:$N,$A486))</f>
        <v/>
      </c>
      <c r="J486">
        <f>IF(B486="","",IF('02_대상물건입력'!$B$5="",1,IF(ISNUMBER(SEARCH('02_대상물건입력'!$B$5,B486)),1,0)))</f>
        <v/>
      </c>
      <c r="K486">
        <f>IF(B486="","",IF('02_대상물건입력'!$B$6="",1,IF(ISNUMBER(SEARCH('02_대상물건입력'!$B$6,B486)),1,0)))</f>
        <v/>
      </c>
      <c r="L486">
        <f>IF(D486="","",IF('02_대상물건입력'!$B$8="",0,IF(ISNUMBER(SEARCH('02_대상물건입력'!$B$8,D486)),1,0)))</f>
        <v/>
      </c>
      <c r="M486">
        <f>IFERROR(ABS(E486-'02_대상물건입력'!$B$11)/'02_대상물건입력'!$B$11,"")</f>
        <v/>
      </c>
      <c r="N486">
        <f>IFERROR(ABS('01_설정'!$B$4-F486),"")</f>
        <v/>
      </c>
      <c r="O486">
        <f>IFERROR(ABS(YEAR(I486)-YEAR('02_대상물건입력'!$B$14)),"")</f>
        <v/>
      </c>
      <c r="P486">
        <f>IF(AND(E486&gt;0,F486&gt;0,G486&gt;0,IF('01_설정'!$B$10=1,J486=1,TRUE()),M486&lt;='01_설정'!$B$5,N486&lt;='01_설정'!$B$7,O486&lt;='01_설정'!$B$8),"Y","")</f>
        <v/>
      </c>
      <c r="Q486">
        <f>IF(P486&lt;&gt;"Y","",MAX(0,(1-M486/'01_설정'!$B$5))*'01_설정'!$B$14+MAX(0,(1-N486/'01_설정'!$B$7))*'01_설정'!$B$16+MAX(0,(1-O486/'01_설정'!$B$8))*'01_설정'!$B$17+K486*'01_설정'!$B$11+L486*'01_설정'!$B$12)</f>
        <v/>
      </c>
      <c r="R486">
        <f>IF(Q486="","",1+COUNTIFS($Q$31:$Q$1030,"&gt;"&amp;Q486)+COUNTIFS($Q$31:Q486,Q486)-1)</f>
        <v/>
      </c>
    </row>
    <row r="487" hidden="1" ht="16.5" customHeight="1">
      <c r="A487">
        <f>IF(COUNTA('05_KAIS'!$A475:$N475)=0,"",460)</f>
        <v/>
      </c>
      <c r="B487">
        <f>IF($A487="","",TRIM(INDEX('05_KAIS'!$B:$B,$A487)&amp;" "&amp;INDEX('05_KAIS'!$C:$C,$A487)))</f>
        <v/>
      </c>
      <c r="C487">
        <f>IF($A487="","",INDEX('05_KAIS'!$D:$D,$A487))</f>
        <v/>
      </c>
      <c r="D487">
        <f>IF($A487="","",INDEX('05_KAIS'!$H:$H,$A487))</f>
        <v/>
      </c>
      <c r="E487">
        <f>IF($A487="","",INDEX('05_KAIS'!$K:$K,$A487))</f>
        <v/>
      </c>
      <c r="F487" s="202">
        <f>IF($A487="","",INDEX('05_KAIS'!$I:$I,$A487))</f>
        <v/>
      </c>
      <c r="G487" s="118">
        <f>IF($A487="","",INDEX('05_KAIS'!$L:$L,$A487))</f>
        <v/>
      </c>
      <c r="H487" s="118">
        <f>IF($A487="","",IFERROR(INDEX('05_KAIS'!$M:$M,$A487),IF(AND(E487&gt;0,G487&gt;0),G487/E487,"")))</f>
        <v/>
      </c>
      <c r="I487" s="202">
        <f>IF($A487="","",INDEX('05_KAIS'!$N:$N,$A487))</f>
        <v/>
      </c>
      <c r="J487">
        <f>IF(B487="","",IF('02_대상물건입력'!$B$5="",1,IF(ISNUMBER(SEARCH('02_대상물건입력'!$B$5,B487)),1,0)))</f>
        <v/>
      </c>
      <c r="K487">
        <f>IF(B487="","",IF('02_대상물건입력'!$B$6="",1,IF(ISNUMBER(SEARCH('02_대상물건입력'!$B$6,B487)),1,0)))</f>
        <v/>
      </c>
      <c r="L487">
        <f>IF(D487="","",IF('02_대상물건입력'!$B$8="",0,IF(ISNUMBER(SEARCH('02_대상물건입력'!$B$8,D487)),1,0)))</f>
        <v/>
      </c>
      <c r="M487">
        <f>IFERROR(ABS(E487-'02_대상물건입력'!$B$11)/'02_대상물건입력'!$B$11,"")</f>
        <v/>
      </c>
      <c r="N487">
        <f>IFERROR(ABS('01_설정'!$B$4-F487),"")</f>
        <v/>
      </c>
      <c r="O487">
        <f>IFERROR(ABS(YEAR(I487)-YEAR('02_대상물건입력'!$B$14)),"")</f>
        <v/>
      </c>
      <c r="P487">
        <f>IF(AND(E487&gt;0,F487&gt;0,G487&gt;0,IF('01_설정'!$B$10=1,J487=1,TRUE()),M487&lt;='01_설정'!$B$5,N487&lt;='01_설정'!$B$7,O487&lt;='01_설정'!$B$8),"Y","")</f>
        <v/>
      </c>
      <c r="Q487">
        <f>IF(P487&lt;&gt;"Y","",MAX(0,(1-M487/'01_설정'!$B$5))*'01_설정'!$B$14+MAX(0,(1-N487/'01_설정'!$B$7))*'01_설정'!$B$16+MAX(0,(1-O487/'01_설정'!$B$8))*'01_설정'!$B$17+K487*'01_설정'!$B$11+L487*'01_설정'!$B$12)</f>
        <v/>
      </c>
      <c r="R487">
        <f>IF(Q487="","",1+COUNTIFS($Q$31:$Q$1030,"&gt;"&amp;Q487)+COUNTIFS($Q$31:Q487,Q487)-1)</f>
        <v/>
      </c>
    </row>
    <row r="488" hidden="1" ht="16.5" customHeight="1">
      <c r="A488">
        <f>IF(COUNTA('05_KAIS'!$A476:$N476)=0,"",461)</f>
        <v/>
      </c>
      <c r="B488">
        <f>IF($A488="","",TRIM(INDEX('05_KAIS'!$B:$B,$A488)&amp;" "&amp;INDEX('05_KAIS'!$C:$C,$A488)))</f>
        <v/>
      </c>
      <c r="C488">
        <f>IF($A488="","",INDEX('05_KAIS'!$D:$D,$A488))</f>
        <v/>
      </c>
      <c r="D488">
        <f>IF($A488="","",INDEX('05_KAIS'!$H:$H,$A488))</f>
        <v/>
      </c>
      <c r="E488">
        <f>IF($A488="","",INDEX('05_KAIS'!$K:$K,$A488))</f>
        <v/>
      </c>
      <c r="F488" s="202">
        <f>IF($A488="","",INDEX('05_KAIS'!$I:$I,$A488))</f>
        <v/>
      </c>
      <c r="G488" s="118">
        <f>IF($A488="","",INDEX('05_KAIS'!$L:$L,$A488))</f>
        <v/>
      </c>
      <c r="H488" s="118">
        <f>IF($A488="","",IFERROR(INDEX('05_KAIS'!$M:$M,$A488),IF(AND(E488&gt;0,G488&gt;0),G488/E488,"")))</f>
        <v/>
      </c>
      <c r="I488" s="202">
        <f>IF($A488="","",INDEX('05_KAIS'!$N:$N,$A488))</f>
        <v/>
      </c>
      <c r="J488">
        <f>IF(B488="","",IF('02_대상물건입력'!$B$5="",1,IF(ISNUMBER(SEARCH('02_대상물건입력'!$B$5,B488)),1,0)))</f>
        <v/>
      </c>
      <c r="K488">
        <f>IF(B488="","",IF('02_대상물건입력'!$B$6="",1,IF(ISNUMBER(SEARCH('02_대상물건입력'!$B$6,B488)),1,0)))</f>
        <v/>
      </c>
      <c r="L488">
        <f>IF(D488="","",IF('02_대상물건입력'!$B$8="",0,IF(ISNUMBER(SEARCH('02_대상물건입력'!$B$8,D488)),1,0)))</f>
        <v/>
      </c>
      <c r="M488">
        <f>IFERROR(ABS(E488-'02_대상물건입력'!$B$11)/'02_대상물건입력'!$B$11,"")</f>
        <v/>
      </c>
      <c r="N488">
        <f>IFERROR(ABS('01_설정'!$B$4-F488),"")</f>
        <v/>
      </c>
      <c r="O488">
        <f>IFERROR(ABS(YEAR(I488)-YEAR('02_대상물건입력'!$B$14)),"")</f>
        <v/>
      </c>
      <c r="P488">
        <f>IF(AND(E488&gt;0,F488&gt;0,G488&gt;0,IF('01_설정'!$B$10=1,J488=1,TRUE()),M488&lt;='01_설정'!$B$5,N488&lt;='01_설정'!$B$7,O488&lt;='01_설정'!$B$8),"Y","")</f>
        <v/>
      </c>
      <c r="Q488">
        <f>IF(P488&lt;&gt;"Y","",MAX(0,(1-M488/'01_설정'!$B$5))*'01_설정'!$B$14+MAX(0,(1-N488/'01_설정'!$B$7))*'01_설정'!$B$16+MAX(0,(1-O488/'01_설정'!$B$8))*'01_설정'!$B$17+K488*'01_설정'!$B$11+L488*'01_설정'!$B$12)</f>
        <v/>
      </c>
      <c r="R488">
        <f>IF(Q488="","",1+COUNTIFS($Q$31:$Q$1030,"&gt;"&amp;Q488)+COUNTIFS($Q$31:Q488,Q488)-1)</f>
        <v/>
      </c>
    </row>
    <row r="489" hidden="1" ht="16.5" customHeight="1">
      <c r="A489">
        <f>IF(COUNTA('05_KAIS'!$A477:$N477)=0,"",462)</f>
        <v/>
      </c>
      <c r="B489">
        <f>IF($A489="","",TRIM(INDEX('05_KAIS'!$B:$B,$A489)&amp;" "&amp;INDEX('05_KAIS'!$C:$C,$A489)))</f>
        <v/>
      </c>
      <c r="C489">
        <f>IF($A489="","",INDEX('05_KAIS'!$D:$D,$A489))</f>
        <v/>
      </c>
      <c r="D489">
        <f>IF($A489="","",INDEX('05_KAIS'!$H:$H,$A489))</f>
        <v/>
      </c>
      <c r="E489">
        <f>IF($A489="","",INDEX('05_KAIS'!$K:$K,$A489))</f>
        <v/>
      </c>
      <c r="F489" s="202">
        <f>IF($A489="","",INDEX('05_KAIS'!$I:$I,$A489))</f>
        <v/>
      </c>
      <c r="G489" s="118">
        <f>IF($A489="","",INDEX('05_KAIS'!$L:$L,$A489))</f>
        <v/>
      </c>
      <c r="H489" s="118">
        <f>IF($A489="","",IFERROR(INDEX('05_KAIS'!$M:$M,$A489),IF(AND(E489&gt;0,G489&gt;0),G489/E489,"")))</f>
        <v/>
      </c>
      <c r="I489" s="202">
        <f>IF($A489="","",INDEX('05_KAIS'!$N:$N,$A489))</f>
        <v/>
      </c>
      <c r="J489">
        <f>IF(B489="","",IF('02_대상물건입력'!$B$5="",1,IF(ISNUMBER(SEARCH('02_대상물건입력'!$B$5,B489)),1,0)))</f>
        <v/>
      </c>
      <c r="K489">
        <f>IF(B489="","",IF('02_대상물건입력'!$B$6="",1,IF(ISNUMBER(SEARCH('02_대상물건입력'!$B$6,B489)),1,0)))</f>
        <v/>
      </c>
      <c r="L489">
        <f>IF(D489="","",IF('02_대상물건입력'!$B$8="",0,IF(ISNUMBER(SEARCH('02_대상물건입력'!$B$8,D489)),1,0)))</f>
        <v/>
      </c>
      <c r="M489">
        <f>IFERROR(ABS(E489-'02_대상물건입력'!$B$11)/'02_대상물건입력'!$B$11,"")</f>
        <v/>
      </c>
      <c r="N489">
        <f>IFERROR(ABS('01_설정'!$B$4-F489),"")</f>
        <v/>
      </c>
      <c r="O489">
        <f>IFERROR(ABS(YEAR(I489)-YEAR('02_대상물건입력'!$B$14)),"")</f>
        <v/>
      </c>
      <c r="P489">
        <f>IF(AND(E489&gt;0,F489&gt;0,G489&gt;0,IF('01_설정'!$B$10=1,J489=1,TRUE()),M489&lt;='01_설정'!$B$5,N489&lt;='01_설정'!$B$7,O489&lt;='01_설정'!$B$8),"Y","")</f>
        <v/>
      </c>
      <c r="Q489">
        <f>IF(P489&lt;&gt;"Y","",MAX(0,(1-M489/'01_설정'!$B$5))*'01_설정'!$B$14+MAX(0,(1-N489/'01_설정'!$B$7))*'01_설정'!$B$16+MAX(0,(1-O489/'01_설정'!$B$8))*'01_설정'!$B$17+K489*'01_설정'!$B$11+L489*'01_설정'!$B$12)</f>
        <v/>
      </c>
      <c r="R489">
        <f>IF(Q489="","",1+COUNTIFS($Q$31:$Q$1030,"&gt;"&amp;Q489)+COUNTIFS($Q$31:Q489,Q489)-1)</f>
        <v/>
      </c>
    </row>
    <row r="490" hidden="1" ht="16.5" customHeight="1">
      <c r="A490">
        <f>IF(COUNTA('05_KAIS'!$A478:$N478)=0,"",463)</f>
        <v/>
      </c>
      <c r="B490">
        <f>IF($A490="","",TRIM(INDEX('05_KAIS'!$B:$B,$A490)&amp;" "&amp;INDEX('05_KAIS'!$C:$C,$A490)))</f>
        <v/>
      </c>
      <c r="C490">
        <f>IF($A490="","",INDEX('05_KAIS'!$D:$D,$A490))</f>
        <v/>
      </c>
      <c r="D490">
        <f>IF($A490="","",INDEX('05_KAIS'!$H:$H,$A490))</f>
        <v/>
      </c>
      <c r="E490">
        <f>IF($A490="","",INDEX('05_KAIS'!$K:$K,$A490))</f>
        <v/>
      </c>
      <c r="F490" s="202">
        <f>IF($A490="","",INDEX('05_KAIS'!$I:$I,$A490))</f>
        <v/>
      </c>
      <c r="G490" s="118">
        <f>IF($A490="","",INDEX('05_KAIS'!$L:$L,$A490))</f>
        <v/>
      </c>
      <c r="H490" s="118">
        <f>IF($A490="","",IFERROR(INDEX('05_KAIS'!$M:$M,$A490),IF(AND(E490&gt;0,G490&gt;0),G490/E490,"")))</f>
        <v/>
      </c>
      <c r="I490" s="202">
        <f>IF($A490="","",INDEX('05_KAIS'!$N:$N,$A490))</f>
        <v/>
      </c>
      <c r="J490">
        <f>IF(B490="","",IF('02_대상물건입력'!$B$5="",1,IF(ISNUMBER(SEARCH('02_대상물건입력'!$B$5,B490)),1,0)))</f>
        <v/>
      </c>
      <c r="K490">
        <f>IF(B490="","",IF('02_대상물건입력'!$B$6="",1,IF(ISNUMBER(SEARCH('02_대상물건입력'!$B$6,B490)),1,0)))</f>
        <v/>
      </c>
      <c r="L490">
        <f>IF(D490="","",IF('02_대상물건입력'!$B$8="",0,IF(ISNUMBER(SEARCH('02_대상물건입력'!$B$8,D490)),1,0)))</f>
        <v/>
      </c>
      <c r="M490">
        <f>IFERROR(ABS(E490-'02_대상물건입력'!$B$11)/'02_대상물건입력'!$B$11,"")</f>
        <v/>
      </c>
      <c r="N490">
        <f>IFERROR(ABS('01_설정'!$B$4-F490),"")</f>
        <v/>
      </c>
      <c r="O490">
        <f>IFERROR(ABS(YEAR(I490)-YEAR('02_대상물건입력'!$B$14)),"")</f>
        <v/>
      </c>
      <c r="P490">
        <f>IF(AND(E490&gt;0,F490&gt;0,G490&gt;0,IF('01_설정'!$B$10=1,J490=1,TRUE()),M490&lt;='01_설정'!$B$5,N490&lt;='01_설정'!$B$7,O490&lt;='01_설정'!$B$8),"Y","")</f>
        <v/>
      </c>
      <c r="Q490">
        <f>IF(P490&lt;&gt;"Y","",MAX(0,(1-M490/'01_설정'!$B$5))*'01_설정'!$B$14+MAX(0,(1-N490/'01_설정'!$B$7))*'01_설정'!$B$16+MAX(0,(1-O490/'01_설정'!$B$8))*'01_설정'!$B$17+K490*'01_설정'!$B$11+L490*'01_설정'!$B$12)</f>
        <v/>
      </c>
      <c r="R490">
        <f>IF(Q490="","",1+COUNTIFS($Q$31:$Q$1030,"&gt;"&amp;Q490)+COUNTIFS($Q$31:Q490,Q490)-1)</f>
        <v/>
      </c>
    </row>
    <row r="491" hidden="1" ht="16.5" customHeight="1">
      <c r="A491">
        <f>IF(COUNTA('05_KAIS'!$A479:$N479)=0,"",464)</f>
        <v/>
      </c>
      <c r="B491">
        <f>IF($A491="","",TRIM(INDEX('05_KAIS'!$B:$B,$A491)&amp;" "&amp;INDEX('05_KAIS'!$C:$C,$A491)))</f>
        <v/>
      </c>
      <c r="C491">
        <f>IF($A491="","",INDEX('05_KAIS'!$D:$D,$A491))</f>
        <v/>
      </c>
      <c r="D491">
        <f>IF($A491="","",INDEX('05_KAIS'!$H:$H,$A491))</f>
        <v/>
      </c>
      <c r="E491">
        <f>IF($A491="","",INDEX('05_KAIS'!$K:$K,$A491))</f>
        <v/>
      </c>
      <c r="F491" s="202">
        <f>IF($A491="","",INDEX('05_KAIS'!$I:$I,$A491))</f>
        <v/>
      </c>
      <c r="G491" s="118">
        <f>IF($A491="","",INDEX('05_KAIS'!$L:$L,$A491))</f>
        <v/>
      </c>
      <c r="H491" s="118">
        <f>IF($A491="","",IFERROR(INDEX('05_KAIS'!$M:$M,$A491),IF(AND(E491&gt;0,G491&gt;0),G491/E491,"")))</f>
        <v/>
      </c>
      <c r="I491" s="202">
        <f>IF($A491="","",INDEX('05_KAIS'!$N:$N,$A491))</f>
        <v/>
      </c>
      <c r="J491">
        <f>IF(B491="","",IF('02_대상물건입력'!$B$5="",1,IF(ISNUMBER(SEARCH('02_대상물건입력'!$B$5,B491)),1,0)))</f>
        <v/>
      </c>
      <c r="K491">
        <f>IF(B491="","",IF('02_대상물건입력'!$B$6="",1,IF(ISNUMBER(SEARCH('02_대상물건입력'!$B$6,B491)),1,0)))</f>
        <v/>
      </c>
      <c r="L491">
        <f>IF(D491="","",IF('02_대상물건입력'!$B$8="",0,IF(ISNUMBER(SEARCH('02_대상물건입력'!$B$8,D491)),1,0)))</f>
        <v/>
      </c>
      <c r="M491">
        <f>IFERROR(ABS(E491-'02_대상물건입력'!$B$11)/'02_대상물건입력'!$B$11,"")</f>
        <v/>
      </c>
      <c r="N491">
        <f>IFERROR(ABS('01_설정'!$B$4-F491),"")</f>
        <v/>
      </c>
      <c r="O491">
        <f>IFERROR(ABS(YEAR(I491)-YEAR('02_대상물건입력'!$B$14)),"")</f>
        <v/>
      </c>
      <c r="P491">
        <f>IF(AND(E491&gt;0,F491&gt;0,G491&gt;0,IF('01_설정'!$B$10=1,J491=1,TRUE()),M491&lt;='01_설정'!$B$5,N491&lt;='01_설정'!$B$7,O491&lt;='01_설정'!$B$8),"Y","")</f>
        <v/>
      </c>
      <c r="Q491">
        <f>IF(P491&lt;&gt;"Y","",MAX(0,(1-M491/'01_설정'!$B$5))*'01_설정'!$B$14+MAX(0,(1-N491/'01_설정'!$B$7))*'01_설정'!$B$16+MAX(0,(1-O491/'01_설정'!$B$8))*'01_설정'!$B$17+K491*'01_설정'!$B$11+L491*'01_설정'!$B$12)</f>
        <v/>
      </c>
      <c r="R491">
        <f>IF(Q491="","",1+COUNTIFS($Q$31:$Q$1030,"&gt;"&amp;Q491)+COUNTIFS($Q$31:Q491,Q491)-1)</f>
        <v/>
      </c>
    </row>
    <row r="492" hidden="1" ht="16.5" customHeight="1">
      <c r="A492">
        <f>IF(COUNTA('05_KAIS'!$A480:$N480)=0,"",465)</f>
        <v/>
      </c>
      <c r="B492">
        <f>IF($A492="","",TRIM(INDEX('05_KAIS'!$B:$B,$A492)&amp;" "&amp;INDEX('05_KAIS'!$C:$C,$A492)))</f>
        <v/>
      </c>
      <c r="C492">
        <f>IF($A492="","",INDEX('05_KAIS'!$D:$D,$A492))</f>
        <v/>
      </c>
      <c r="D492">
        <f>IF($A492="","",INDEX('05_KAIS'!$H:$H,$A492))</f>
        <v/>
      </c>
      <c r="E492">
        <f>IF($A492="","",INDEX('05_KAIS'!$K:$K,$A492))</f>
        <v/>
      </c>
      <c r="F492" s="202">
        <f>IF($A492="","",INDEX('05_KAIS'!$I:$I,$A492))</f>
        <v/>
      </c>
      <c r="G492" s="118">
        <f>IF($A492="","",INDEX('05_KAIS'!$L:$L,$A492))</f>
        <v/>
      </c>
      <c r="H492" s="118">
        <f>IF($A492="","",IFERROR(INDEX('05_KAIS'!$M:$M,$A492),IF(AND(E492&gt;0,G492&gt;0),G492/E492,"")))</f>
        <v/>
      </c>
      <c r="I492" s="202">
        <f>IF($A492="","",INDEX('05_KAIS'!$N:$N,$A492))</f>
        <v/>
      </c>
      <c r="J492">
        <f>IF(B492="","",IF('02_대상물건입력'!$B$5="",1,IF(ISNUMBER(SEARCH('02_대상물건입력'!$B$5,B492)),1,0)))</f>
        <v/>
      </c>
      <c r="K492">
        <f>IF(B492="","",IF('02_대상물건입력'!$B$6="",1,IF(ISNUMBER(SEARCH('02_대상물건입력'!$B$6,B492)),1,0)))</f>
        <v/>
      </c>
      <c r="L492">
        <f>IF(D492="","",IF('02_대상물건입력'!$B$8="",0,IF(ISNUMBER(SEARCH('02_대상물건입력'!$B$8,D492)),1,0)))</f>
        <v/>
      </c>
      <c r="M492">
        <f>IFERROR(ABS(E492-'02_대상물건입력'!$B$11)/'02_대상물건입력'!$B$11,"")</f>
        <v/>
      </c>
      <c r="N492">
        <f>IFERROR(ABS('01_설정'!$B$4-F492),"")</f>
        <v/>
      </c>
      <c r="O492">
        <f>IFERROR(ABS(YEAR(I492)-YEAR('02_대상물건입력'!$B$14)),"")</f>
        <v/>
      </c>
      <c r="P492">
        <f>IF(AND(E492&gt;0,F492&gt;0,G492&gt;0,IF('01_설정'!$B$10=1,J492=1,TRUE()),M492&lt;='01_설정'!$B$5,N492&lt;='01_설정'!$B$7,O492&lt;='01_설정'!$B$8),"Y","")</f>
        <v/>
      </c>
      <c r="Q492">
        <f>IF(P492&lt;&gt;"Y","",MAX(0,(1-M492/'01_설정'!$B$5))*'01_설정'!$B$14+MAX(0,(1-N492/'01_설정'!$B$7))*'01_설정'!$B$16+MAX(0,(1-O492/'01_설정'!$B$8))*'01_설정'!$B$17+K492*'01_설정'!$B$11+L492*'01_설정'!$B$12)</f>
        <v/>
      </c>
      <c r="R492">
        <f>IF(Q492="","",1+COUNTIFS($Q$31:$Q$1030,"&gt;"&amp;Q492)+COUNTIFS($Q$31:Q492,Q492)-1)</f>
        <v/>
      </c>
    </row>
    <row r="493" hidden="1" ht="16.5" customHeight="1">
      <c r="A493">
        <f>IF(COUNTA('05_KAIS'!$A481:$N481)=0,"",466)</f>
        <v/>
      </c>
      <c r="B493">
        <f>IF($A493="","",TRIM(INDEX('05_KAIS'!$B:$B,$A493)&amp;" "&amp;INDEX('05_KAIS'!$C:$C,$A493)))</f>
        <v/>
      </c>
      <c r="C493">
        <f>IF($A493="","",INDEX('05_KAIS'!$D:$D,$A493))</f>
        <v/>
      </c>
      <c r="D493">
        <f>IF($A493="","",INDEX('05_KAIS'!$H:$H,$A493))</f>
        <v/>
      </c>
      <c r="E493">
        <f>IF($A493="","",INDEX('05_KAIS'!$K:$K,$A493))</f>
        <v/>
      </c>
      <c r="F493" s="202">
        <f>IF($A493="","",INDEX('05_KAIS'!$I:$I,$A493))</f>
        <v/>
      </c>
      <c r="G493" s="118">
        <f>IF($A493="","",INDEX('05_KAIS'!$L:$L,$A493))</f>
        <v/>
      </c>
      <c r="H493" s="118">
        <f>IF($A493="","",IFERROR(INDEX('05_KAIS'!$M:$M,$A493),IF(AND(E493&gt;0,G493&gt;0),G493/E493,"")))</f>
        <v/>
      </c>
      <c r="I493" s="202">
        <f>IF($A493="","",INDEX('05_KAIS'!$N:$N,$A493))</f>
        <v/>
      </c>
      <c r="J493">
        <f>IF(B493="","",IF('02_대상물건입력'!$B$5="",1,IF(ISNUMBER(SEARCH('02_대상물건입력'!$B$5,B493)),1,0)))</f>
        <v/>
      </c>
      <c r="K493">
        <f>IF(B493="","",IF('02_대상물건입력'!$B$6="",1,IF(ISNUMBER(SEARCH('02_대상물건입력'!$B$6,B493)),1,0)))</f>
        <v/>
      </c>
      <c r="L493">
        <f>IF(D493="","",IF('02_대상물건입력'!$B$8="",0,IF(ISNUMBER(SEARCH('02_대상물건입력'!$B$8,D493)),1,0)))</f>
        <v/>
      </c>
      <c r="M493">
        <f>IFERROR(ABS(E493-'02_대상물건입력'!$B$11)/'02_대상물건입력'!$B$11,"")</f>
        <v/>
      </c>
      <c r="N493">
        <f>IFERROR(ABS('01_설정'!$B$4-F493),"")</f>
        <v/>
      </c>
      <c r="O493">
        <f>IFERROR(ABS(YEAR(I493)-YEAR('02_대상물건입력'!$B$14)),"")</f>
        <v/>
      </c>
      <c r="P493">
        <f>IF(AND(E493&gt;0,F493&gt;0,G493&gt;0,IF('01_설정'!$B$10=1,J493=1,TRUE()),M493&lt;='01_설정'!$B$5,N493&lt;='01_설정'!$B$7,O493&lt;='01_설정'!$B$8),"Y","")</f>
        <v/>
      </c>
      <c r="Q493">
        <f>IF(P493&lt;&gt;"Y","",MAX(0,(1-M493/'01_설정'!$B$5))*'01_설정'!$B$14+MAX(0,(1-N493/'01_설정'!$B$7))*'01_설정'!$B$16+MAX(0,(1-O493/'01_설정'!$B$8))*'01_설정'!$B$17+K493*'01_설정'!$B$11+L493*'01_설정'!$B$12)</f>
        <v/>
      </c>
      <c r="R493">
        <f>IF(Q493="","",1+COUNTIFS($Q$31:$Q$1030,"&gt;"&amp;Q493)+COUNTIFS($Q$31:Q493,Q493)-1)</f>
        <v/>
      </c>
    </row>
    <row r="494" hidden="1" ht="16.5" customHeight="1">
      <c r="A494">
        <f>IF(COUNTA('05_KAIS'!$A482:$N482)=0,"",467)</f>
        <v/>
      </c>
      <c r="B494">
        <f>IF($A494="","",TRIM(INDEX('05_KAIS'!$B:$B,$A494)&amp;" "&amp;INDEX('05_KAIS'!$C:$C,$A494)))</f>
        <v/>
      </c>
      <c r="C494">
        <f>IF($A494="","",INDEX('05_KAIS'!$D:$D,$A494))</f>
        <v/>
      </c>
      <c r="D494">
        <f>IF($A494="","",INDEX('05_KAIS'!$H:$H,$A494))</f>
        <v/>
      </c>
      <c r="E494">
        <f>IF($A494="","",INDEX('05_KAIS'!$K:$K,$A494))</f>
        <v/>
      </c>
      <c r="F494" s="202">
        <f>IF($A494="","",INDEX('05_KAIS'!$I:$I,$A494))</f>
        <v/>
      </c>
      <c r="G494" s="118">
        <f>IF($A494="","",INDEX('05_KAIS'!$L:$L,$A494))</f>
        <v/>
      </c>
      <c r="H494" s="118">
        <f>IF($A494="","",IFERROR(INDEX('05_KAIS'!$M:$M,$A494),IF(AND(E494&gt;0,G494&gt;0),G494/E494,"")))</f>
        <v/>
      </c>
      <c r="I494" s="202">
        <f>IF($A494="","",INDEX('05_KAIS'!$N:$N,$A494))</f>
        <v/>
      </c>
      <c r="J494">
        <f>IF(B494="","",IF('02_대상물건입력'!$B$5="",1,IF(ISNUMBER(SEARCH('02_대상물건입력'!$B$5,B494)),1,0)))</f>
        <v/>
      </c>
      <c r="K494">
        <f>IF(B494="","",IF('02_대상물건입력'!$B$6="",1,IF(ISNUMBER(SEARCH('02_대상물건입력'!$B$6,B494)),1,0)))</f>
        <v/>
      </c>
      <c r="L494">
        <f>IF(D494="","",IF('02_대상물건입력'!$B$8="",0,IF(ISNUMBER(SEARCH('02_대상물건입력'!$B$8,D494)),1,0)))</f>
        <v/>
      </c>
      <c r="M494">
        <f>IFERROR(ABS(E494-'02_대상물건입력'!$B$11)/'02_대상물건입력'!$B$11,"")</f>
        <v/>
      </c>
      <c r="N494">
        <f>IFERROR(ABS('01_설정'!$B$4-F494),"")</f>
        <v/>
      </c>
      <c r="O494">
        <f>IFERROR(ABS(YEAR(I494)-YEAR('02_대상물건입력'!$B$14)),"")</f>
        <v/>
      </c>
      <c r="P494">
        <f>IF(AND(E494&gt;0,F494&gt;0,G494&gt;0,IF('01_설정'!$B$10=1,J494=1,TRUE()),M494&lt;='01_설정'!$B$5,N494&lt;='01_설정'!$B$7,O494&lt;='01_설정'!$B$8),"Y","")</f>
        <v/>
      </c>
      <c r="Q494">
        <f>IF(P494&lt;&gt;"Y","",MAX(0,(1-M494/'01_설정'!$B$5))*'01_설정'!$B$14+MAX(0,(1-N494/'01_설정'!$B$7))*'01_설정'!$B$16+MAX(0,(1-O494/'01_설정'!$B$8))*'01_설정'!$B$17+K494*'01_설정'!$B$11+L494*'01_설정'!$B$12)</f>
        <v/>
      </c>
      <c r="R494">
        <f>IF(Q494="","",1+COUNTIFS($Q$31:$Q$1030,"&gt;"&amp;Q494)+COUNTIFS($Q$31:Q494,Q494)-1)</f>
        <v/>
      </c>
    </row>
    <row r="495" hidden="1" ht="16.5" customHeight="1">
      <c r="A495">
        <f>IF(COUNTA('05_KAIS'!$A483:$N483)=0,"",468)</f>
        <v/>
      </c>
      <c r="B495">
        <f>IF($A495="","",TRIM(INDEX('05_KAIS'!$B:$B,$A495)&amp;" "&amp;INDEX('05_KAIS'!$C:$C,$A495)))</f>
        <v/>
      </c>
      <c r="C495">
        <f>IF($A495="","",INDEX('05_KAIS'!$D:$D,$A495))</f>
        <v/>
      </c>
      <c r="D495">
        <f>IF($A495="","",INDEX('05_KAIS'!$H:$H,$A495))</f>
        <v/>
      </c>
      <c r="E495">
        <f>IF($A495="","",INDEX('05_KAIS'!$K:$K,$A495))</f>
        <v/>
      </c>
      <c r="F495" s="202">
        <f>IF($A495="","",INDEX('05_KAIS'!$I:$I,$A495))</f>
        <v/>
      </c>
      <c r="G495" s="118">
        <f>IF($A495="","",INDEX('05_KAIS'!$L:$L,$A495))</f>
        <v/>
      </c>
      <c r="H495" s="118">
        <f>IF($A495="","",IFERROR(INDEX('05_KAIS'!$M:$M,$A495),IF(AND(E495&gt;0,G495&gt;0),G495/E495,"")))</f>
        <v/>
      </c>
      <c r="I495" s="202">
        <f>IF($A495="","",INDEX('05_KAIS'!$N:$N,$A495))</f>
        <v/>
      </c>
      <c r="J495">
        <f>IF(B495="","",IF('02_대상물건입력'!$B$5="",1,IF(ISNUMBER(SEARCH('02_대상물건입력'!$B$5,B495)),1,0)))</f>
        <v/>
      </c>
      <c r="K495">
        <f>IF(B495="","",IF('02_대상물건입력'!$B$6="",1,IF(ISNUMBER(SEARCH('02_대상물건입력'!$B$6,B495)),1,0)))</f>
        <v/>
      </c>
      <c r="L495">
        <f>IF(D495="","",IF('02_대상물건입력'!$B$8="",0,IF(ISNUMBER(SEARCH('02_대상물건입력'!$B$8,D495)),1,0)))</f>
        <v/>
      </c>
      <c r="M495">
        <f>IFERROR(ABS(E495-'02_대상물건입력'!$B$11)/'02_대상물건입력'!$B$11,"")</f>
        <v/>
      </c>
      <c r="N495">
        <f>IFERROR(ABS('01_설정'!$B$4-F495),"")</f>
        <v/>
      </c>
      <c r="O495">
        <f>IFERROR(ABS(YEAR(I495)-YEAR('02_대상물건입력'!$B$14)),"")</f>
        <v/>
      </c>
      <c r="P495">
        <f>IF(AND(E495&gt;0,F495&gt;0,G495&gt;0,IF('01_설정'!$B$10=1,J495=1,TRUE()),M495&lt;='01_설정'!$B$5,N495&lt;='01_설정'!$B$7,O495&lt;='01_설정'!$B$8),"Y","")</f>
        <v/>
      </c>
      <c r="Q495">
        <f>IF(P495&lt;&gt;"Y","",MAX(0,(1-M495/'01_설정'!$B$5))*'01_설정'!$B$14+MAX(0,(1-N495/'01_설정'!$B$7))*'01_설정'!$B$16+MAX(0,(1-O495/'01_설정'!$B$8))*'01_설정'!$B$17+K495*'01_설정'!$B$11+L495*'01_설정'!$B$12)</f>
        <v/>
      </c>
      <c r="R495">
        <f>IF(Q495="","",1+COUNTIFS($Q$31:$Q$1030,"&gt;"&amp;Q495)+COUNTIFS($Q$31:Q495,Q495)-1)</f>
        <v/>
      </c>
    </row>
    <row r="496" hidden="1" ht="16.5" customHeight="1">
      <c r="A496">
        <f>IF(COUNTA('05_KAIS'!$A484:$N484)=0,"",469)</f>
        <v/>
      </c>
      <c r="B496">
        <f>IF($A496="","",TRIM(INDEX('05_KAIS'!$B:$B,$A496)&amp;" "&amp;INDEX('05_KAIS'!$C:$C,$A496)))</f>
        <v/>
      </c>
      <c r="C496">
        <f>IF($A496="","",INDEX('05_KAIS'!$D:$D,$A496))</f>
        <v/>
      </c>
      <c r="D496">
        <f>IF($A496="","",INDEX('05_KAIS'!$H:$H,$A496))</f>
        <v/>
      </c>
      <c r="E496">
        <f>IF($A496="","",INDEX('05_KAIS'!$K:$K,$A496))</f>
        <v/>
      </c>
      <c r="F496" s="202">
        <f>IF($A496="","",INDEX('05_KAIS'!$I:$I,$A496))</f>
        <v/>
      </c>
      <c r="G496" s="118">
        <f>IF($A496="","",INDEX('05_KAIS'!$L:$L,$A496))</f>
        <v/>
      </c>
      <c r="H496" s="118">
        <f>IF($A496="","",IFERROR(INDEX('05_KAIS'!$M:$M,$A496),IF(AND(E496&gt;0,G496&gt;0),G496/E496,"")))</f>
        <v/>
      </c>
      <c r="I496" s="202">
        <f>IF($A496="","",INDEX('05_KAIS'!$N:$N,$A496))</f>
        <v/>
      </c>
      <c r="J496">
        <f>IF(B496="","",IF('02_대상물건입력'!$B$5="",1,IF(ISNUMBER(SEARCH('02_대상물건입력'!$B$5,B496)),1,0)))</f>
        <v/>
      </c>
      <c r="K496">
        <f>IF(B496="","",IF('02_대상물건입력'!$B$6="",1,IF(ISNUMBER(SEARCH('02_대상물건입력'!$B$6,B496)),1,0)))</f>
        <v/>
      </c>
      <c r="L496">
        <f>IF(D496="","",IF('02_대상물건입력'!$B$8="",0,IF(ISNUMBER(SEARCH('02_대상물건입력'!$B$8,D496)),1,0)))</f>
        <v/>
      </c>
      <c r="M496">
        <f>IFERROR(ABS(E496-'02_대상물건입력'!$B$11)/'02_대상물건입력'!$B$11,"")</f>
        <v/>
      </c>
      <c r="N496">
        <f>IFERROR(ABS('01_설정'!$B$4-F496),"")</f>
        <v/>
      </c>
      <c r="O496">
        <f>IFERROR(ABS(YEAR(I496)-YEAR('02_대상물건입력'!$B$14)),"")</f>
        <v/>
      </c>
      <c r="P496">
        <f>IF(AND(E496&gt;0,F496&gt;0,G496&gt;0,IF('01_설정'!$B$10=1,J496=1,TRUE()),M496&lt;='01_설정'!$B$5,N496&lt;='01_설정'!$B$7,O496&lt;='01_설정'!$B$8),"Y","")</f>
        <v/>
      </c>
      <c r="Q496">
        <f>IF(P496&lt;&gt;"Y","",MAX(0,(1-M496/'01_설정'!$B$5))*'01_설정'!$B$14+MAX(0,(1-N496/'01_설정'!$B$7))*'01_설정'!$B$16+MAX(0,(1-O496/'01_설정'!$B$8))*'01_설정'!$B$17+K496*'01_설정'!$B$11+L496*'01_설정'!$B$12)</f>
        <v/>
      </c>
      <c r="R496">
        <f>IF(Q496="","",1+COUNTIFS($Q$31:$Q$1030,"&gt;"&amp;Q496)+COUNTIFS($Q$31:Q496,Q496)-1)</f>
        <v/>
      </c>
    </row>
    <row r="497" hidden="1" ht="16.5" customHeight="1">
      <c r="A497">
        <f>IF(COUNTA('05_KAIS'!$A485:$N485)=0,"",470)</f>
        <v/>
      </c>
      <c r="B497">
        <f>IF($A497="","",TRIM(INDEX('05_KAIS'!$B:$B,$A497)&amp;" "&amp;INDEX('05_KAIS'!$C:$C,$A497)))</f>
        <v/>
      </c>
      <c r="C497">
        <f>IF($A497="","",INDEX('05_KAIS'!$D:$D,$A497))</f>
        <v/>
      </c>
      <c r="D497">
        <f>IF($A497="","",INDEX('05_KAIS'!$H:$H,$A497))</f>
        <v/>
      </c>
      <c r="E497">
        <f>IF($A497="","",INDEX('05_KAIS'!$K:$K,$A497))</f>
        <v/>
      </c>
      <c r="F497" s="202">
        <f>IF($A497="","",INDEX('05_KAIS'!$I:$I,$A497))</f>
        <v/>
      </c>
      <c r="G497" s="118">
        <f>IF($A497="","",INDEX('05_KAIS'!$L:$L,$A497))</f>
        <v/>
      </c>
      <c r="H497" s="118">
        <f>IF($A497="","",IFERROR(INDEX('05_KAIS'!$M:$M,$A497),IF(AND(E497&gt;0,G497&gt;0),G497/E497,"")))</f>
        <v/>
      </c>
      <c r="I497" s="202">
        <f>IF($A497="","",INDEX('05_KAIS'!$N:$N,$A497))</f>
        <v/>
      </c>
      <c r="J497">
        <f>IF(B497="","",IF('02_대상물건입력'!$B$5="",1,IF(ISNUMBER(SEARCH('02_대상물건입력'!$B$5,B497)),1,0)))</f>
        <v/>
      </c>
      <c r="K497">
        <f>IF(B497="","",IF('02_대상물건입력'!$B$6="",1,IF(ISNUMBER(SEARCH('02_대상물건입력'!$B$6,B497)),1,0)))</f>
        <v/>
      </c>
      <c r="L497">
        <f>IF(D497="","",IF('02_대상물건입력'!$B$8="",0,IF(ISNUMBER(SEARCH('02_대상물건입력'!$B$8,D497)),1,0)))</f>
        <v/>
      </c>
      <c r="M497">
        <f>IFERROR(ABS(E497-'02_대상물건입력'!$B$11)/'02_대상물건입력'!$B$11,"")</f>
        <v/>
      </c>
      <c r="N497">
        <f>IFERROR(ABS('01_설정'!$B$4-F497),"")</f>
        <v/>
      </c>
      <c r="O497">
        <f>IFERROR(ABS(YEAR(I497)-YEAR('02_대상물건입력'!$B$14)),"")</f>
        <v/>
      </c>
      <c r="P497">
        <f>IF(AND(E497&gt;0,F497&gt;0,G497&gt;0,IF('01_설정'!$B$10=1,J497=1,TRUE()),M497&lt;='01_설정'!$B$5,N497&lt;='01_설정'!$B$7,O497&lt;='01_설정'!$B$8),"Y","")</f>
        <v/>
      </c>
      <c r="Q497">
        <f>IF(P497&lt;&gt;"Y","",MAX(0,(1-M497/'01_설정'!$B$5))*'01_설정'!$B$14+MAX(0,(1-N497/'01_설정'!$B$7))*'01_설정'!$B$16+MAX(0,(1-O497/'01_설정'!$B$8))*'01_설정'!$B$17+K497*'01_설정'!$B$11+L497*'01_설정'!$B$12)</f>
        <v/>
      </c>
      <c r="R497">
        <f>IF(Q497="","",1+COUNTIFS($Q$31:$Q$1030,"&gt;"&amp;Q497)+COUNTIFS($Q$31:Q497,Q497)-1)</f>
        <v/>
      </c>
    </row>
    <row r="498" hidden="1" ht="16.5" customHeight="1">
      <c r="A498">
        <f>IF(COUNTA('05_KAIS'!$A486:$N486)=0,"",471)</f>
        <v/>
      </c>
      <c r="B498">
        <f>IF($A498="","",TRIM(INDEX('05_KAIS'!$B:$B,$A498)&amp;" "&amp;INDEX('05_KAIS'!$C:$C,$A498)))</f>
        <v/>
      </c>
      <c r="C498">
        <f>IF($A498="","",INDEX('05_KAIS'!$D:$D,$A498))</f>
        <v/>
      </c>
      <c r="D498">
        <f>IF($A498="","",INDEX('05_KAIS'!$H:$H,$A498))</f>
        <v/>
      </c>
      <c r="E498">
        <f>IF($A498="","",INDEX('05_KAIS'!$K:$K,$A498))</f>
        <v/>
      </c>
      <c r="F498" s="202">
        <f>IF($A498="","",INDEX('05_KAIS'!$I:$I,$A498))</f>
        <v/>
      </c>
      <c r="G498" s="118">
        <f>IF($A498="","",INDEX('05_KAIS'!$L:$L,$A498))</f>
        <v/>
      </c>
      <c r="H498" s="118">
        <f>IF($A498="","",IFERROR(INDEX('05_KAIS'!$M:$M,$A498),IF(AND(E498&gt;0,G498&gt;0),G498/E498,"")))</f>
        <v/>
      </c>
      <c r="I498" s="202">
        <f>IF($A498="","",INDEX('05_KAIS'!$N:$N,$A498))</f>
        <v/>
      </c>
      <c r="J498">
        <f>IF(B498="","",IF('02_대상물건입력'!$B$5="",1,IF(ISNUMBER(SEARCH('02_대상물건입력'!$B$5,B498)),1,0)))</f>
        <v/>
      </c>
      <c r="K498">
        <f>IF(B498="","",IF('02_대상물건입력'!$B$6="",1,IF(ISNUMBER(SEARCH('02_대상물건입력'!$B$6,B498)),1,0)))</f>
        <v/>
      </c>
      <c r="L498">
        <f>IF(D498="","",IF('02_대상물건입력'!$B$8="",0,IF(ISNUMBER(SEARCH('02_대상물건입력'!$B$8,D498)),1,0)))</f>
        <v/>
      </c>
      <c r="M498">
        <f>IFERROR(ABS(E498-'02_대상물건입력'!$B$11)/'02_대상물건입력'!$B$11,"")</f>
        <v/>
      </c>
      <c r="N498">
        <f>IFERROR(ABS('01_설정'!$B$4-F498),"")</f>
        <v/>
      </c>
      <c r="O498">
        <f>IFERROR(ABS(YEAR(I498)-YEAR('02_대상물건입력'!$B$14)),"")</f>
        <v/>
      </c>
      <c r="P498">
        <f>IF(AND(E498&gt;0,F498&gt;0,G498&gt;0,IF('01_설정'!$B$10=1,J498=1,TRUE()),M498&lt;='01_설정'!$B$5,N498&lt;='01_설정'!$B$7,O498&lt;='01_설정'!$B$8),"Y","")</f>
        <v/>
      </c>
      <c r="Q498">
        <f>IF(P498&lt;&gt;"Y","",MAX(0,(1-M498/'01_설정'!$B$5))*'01_설정'!$B$14+MAX(0,(1-N498/'01_설정'!$B$7))*'01_설정'!$B$16+MAX(0,(1-O498/'01_설정'!$B$8))*'01_설정'!$B$17+K498*'01_설정'!$B$11+L498*'01_설정'!$B$12)</f>
        <v/>
      </c>
      <c r="R498">
        <f>IF(Q498="","",1+COUNTIFS($Q$31:$Q$1030,"&gt;"&amp;Q498)+COUNTIFS($Q$31:Q498,Q498)-1)</f>
        <v/>
      </c>
    </row>
    <row r="499" hidden="1" ht="16.5" customHeight="1">
      <c r="A499">
        <f>IF(COUNTA('05_KAIS'!$A487:$N487)=0,"",472)</f>
        <v/>
      </c>
      <c r="B499">
        <f>IF($A499="","",TRIM(INDEX('05_KAIS'!$B:$B,$A499)&amp;" "&amp;INDEX('05_KAIS'!$C:$C,$A499)))</f>
        <v/>
      </c>
      <c r="C499">
        <f>IF($A499="","",INDEX('05_KAIS'!$D:$D,$A499))</f>
        <v/>
      </c>
      <c r="D499">
        <f>IF($A499="","",INDEX('05_KAIS'!$H:$H,$A499))</f>
        <v/>
      </c>
      <c r="E499">
        <f>IF($A499="","",INDEX('05_KAIS'!$K:$K,$A499))</f>
        <v/>
      </c>
      <c r="F499" s="202">
        <f>IF($A499="","",INDEX('05_KAIS'!$I:$I,$A499))</f>
        <v/>
      </c>
      <c r="G499" s="118">
        <f>IF($A499="","",INDEX('05_KAIS'!$L:$L,$A499))</f>
        <v/>
      </c>
      <c r="H499" s="118">
        <f>IF($A499="","",IFERROR(INDEX('05_KAIS'!$M:$M,$A499),IF(AND(E499&gt;0,G499&gt;0),G499/E499,"")))</f>
        <v/>
      </c>
      <c r="I499" s="202">
        <f>IF($A499="","",INDEX('05_KAIS'!$N:$N,$A499))</f>
        <v/>
      </c>
      <c r="J499">
        <f>IF(B499="","",IF('02_대상물건입력'!$B$5="",1,IF(ISNUMBER(SEARCH('02_대상물건입력'!$B$5,B499)),1,0)))</f>
        <v/>
      </c>
      <c r="K499">
        <f>IF(B499="","",IF('02_대상물건입력'!$B$6="",1,IF(ISNUMBER(SEARCH('02_대상물건입력'!$B$6,B499)),1,0)))</f>
        <v/>
      </c>
      <c r="L499">
        <f>IF(D499="","",IF('02_대상물건입력'!$B$8="",0,IF(ISNUMBER(SEARCH('02_대상물건입력'!$B$8,D499)),1,0)))</f>
        <v/>
      </c>
      <c r="M499">
        <f>IFERROR(ABS(E499-'02_대상물건입력'!$B$11)/'02_대상물건입력'!$B$11,"")</f>
        <v/>
      </c>
      <c r="N499">
        <f>IFERROR(ABS('01_설정'!$B$4-F499),"")</f>
        <v/>
      </c>
      <c r="O499">
        <f>IFERROR(ABS(YEAR(I499)-YEAR('02_대상물건입력'!$B$14)),"")</f>
        <v/>
      </c>
      <c r="P499">
        <f>IF(AND(E499&gt;0,F499&gt;0,G499&gt;0,IF('01_설정'!$B$10=1,J499=1,TRUE()),M499&lt;='01_설정'!$B$5,N499&lt;='01_설정'!$B$7,O499&lt;='01_설정'!$B$8),"Y","")</f>
        <v/>
      </c>
      <c r="Q499">
        <f>IF(P499&lt;&gt;"Y","",MAX(0,(1-M499/'01_설정'!$B$5))*'01_설정'!$B$14+MAX(0,(1-N499/'01_설정'!$B$7))*'01_설정'!$B$16+MAX(0,(1-O499/'01_설정'!$B$8))*'01_설정'!$B$17+K499*'01_설정'!$B$11+L499*'01_설정'!$B$12)</f>
        <v/>
      </c>
      <c r="R499">
        <f>IF(Q499="","",1+COUNTIFS($Q$31:$Q$1030,"&gt;"&amp;Q499)+COUNTIFS($Q$31:Q499,Q499)-1)</f>
        <v/>
      </c>
    </row>
    <row r="500" hidden="1" ht="16.5" customHeight="1">
      <c r="A500">
        <f>IF(COUNTA('05_KAIS'!$A488:$N488)=0,"",473)</f>
        <v/>
      </c>
      <c r="B500">
        <f>IF($A500="","",TRIM(INDEX('05_KAIS'!$B:$B,$A500)&amp;" "&amp;INDEX('05_KAIS'!$C:$C,$A500)))</f>
        <v/>
      </c>
      <c r="C500">
        <f>IF($A500="","",INDEX('05_KAIS'!$D:$D,$A500))</f>
        <v/>
      </c>
      <c r="D500">
        <f>IF($A500="","",INDEX('05_KAIS'!$H:$H,$A500))</f>
        <v/>
      </c>
      <c r="E500">
        <f>IF($A500="","",INDEX('05_KAIS'!$K:$K,$A500))</f>
        <v/>
      </c>
      <c r="F500" s="202">
        <f>IF($A500="","",INDEX('05_KAIS'!$I:$I,$A500))</f>
        <v/>
      </c>
      <c r="G500" s="118">
        <f>IF($A500="","",INDEX('05_KAIS'!$L:$L,$A500))</f>
        <v/>
      </c>
      <c r="H500" s="118">
        <f>IF($A500="","",IFERROR(INDEX('05_KAIS'!$M:$M,$A500),IF(AND(E500&gt;0,G500&gt;0),G500/E500,"")))</f>
        <v/>
      </c>
      <c r="I500" s="202">
        <f>IF($A500="","",INDEX('05_KAIS'!$N:$N,$A500))</f>
        <v/>
      </c>
      <c r="J500">
        <f>IF(B500="","",IF('02_대상물건입력'!$B$5="",1,IF(ISNUMBER(SEARCH('02_대상물건입력'!$B$5,B500)),1,0)))</f>
        <v/>
      </c>
      <c r="K500">
        <f>IF(B500="","",IF('02_대상물건입력'!$B$6="",1,IF(ISNUMBER(SEARCH('02_대상물건입력'!$B$6,B500)),1,0)))</f>
        <v/>
      </c>
      <c r="L500">
        <f>IF(D500="","",IF('02_대상물건입력'!$B$8="",0,IF(ISNUMBER(SEARCH('02_대상물건입력'!$B$8,D500)),1,0)))</f>
        <v/>
      </c>
      <c r="M500">
        <f>IFERROR(ABS(E500-'02_대상물건입력'!$B$11)/'02_대상물건입력'!$B$11,"")</f>
        <v/>
      </c>
      <c r="N500">
        <f>IFERROR(ABS('01_설정'!$B$4-F500),"")</f>
        <v/>
      </c>
      <c r="O500">
        <f>IFERROR(ABS(YEAR(I500)-YEAR('02_대상물건입력'!$B$14)),"")</f>
        <v/>
      </c>
      <c r="P500">
        <f>IF(AND(E500&gt;0,F500&gt;0,G500&gt;0,IF('01_설정'!$B$10=1,J500=1,TRUE()),M500&lt;='01_설정'!$B$5,N500&lt;='01_설정'!$B$7,O500&lt;='01_설정'!$B$8),"Y","")</f>
        <v/>
      </c>
      <c r="Q500">
        <f>IF(P500&lt;&gt;"Y","",MAX(0,(1-M500/'01_설정'!$B$5))*'01_설정'!$B$14+MAX(0,(1-N500/'01_설정'!$B$7))*'01_설정'!$B$16+MAX(0,(1-O500/'01_설정'!$B$8))*'01_설정'!$B$17+K500*'01_설정'!$B$11+L500*'01_설정'!$B$12)</f>
        <v/>
      </c>
      <c r="R500">
        <f>IF(Q500="","",1+COUNTIFS($Q$31:$Q$1030,"&gt;"&amp;Q500)+COUNTIFS($Q$31:Q500,Q500)-1)</f>
        <v/>
      </c>
    </row>
    <row r="501" hidden="1" ht="16.5" customHeight="1">
      <c r="A501">
        <f>IF(COUNTA('05_KAIS'!$A489:$N489)=0,"",474)</f>
        <v/>
      </c>
      <c r="B501">
        <f>IF($A501="","",TRIM(INDEX('05_KAIS'!$B:$B,$A501)&amp;" "&amp;INDEX('05_KAIS'!$C:$C,$A501)))</f>
        <v/>
      </c>
      <c r="C501">
        <f>IF($A501="","",INDEX('05_KAIS'!$D:$D,$A501))</f>
        <v/>
      </c>
      <c r="D501">
        <f>IF($A501="","",INDEX('05_KAIS'!$H:$H,$A501))</f>
        <v/>
      </c>
      <c r="E501">
        <f>IF($A501="","",INDEX('05_KAIS'!$K:$K,$A501))</f>
        <v/>
      </c>
      <c r="F501" s="202">
        <f>IF($A501="","",INDEX('05_KAIS'!$I:$I,$A501))</f>
        <v/>
      </c>
      <c r="G501" s="118">
        <f>IF($A501="","",INDEX('05_KAIS'!$L:$L,$A501))</f>
        <v/>
      </c>
      <c r="H501" s="118">
        <f>IF($A501="","",IFERROR(INDEX('05_KAIS'!$M:$M,$A501),IF(AND(E501&gt;0,G501&gt;0),G501/E501,"")))</f>
        <v/>
      </c>
      <c r="I501" s="202">
        <f>IF($A501="","",INDEX('05_KAIS'!$N:$N,$A501))</f>
        <v/>
      </c>
      <c r="J501">
        <f>IF(B501="","",IF('02_대상물건입력'!$B$5="",1,IF(ISNUMBER(SEARCH('02_대상물건입력'!$B$5,B501)),1,0)))</f>
        <v/>
      </c>
      <c r="K501">
        <f>IF(B501="","",IF('02_대상물건입력'!$B$6="",1,IF(ISNUMBER(SEARCH('02_대상물건입력'!$B$6,B501)),1,0)))</f>
        <v/>
      </c>
      <c r="L501">
        <f>IF(D501="","",IF('02_대상물건입력'!$B$8="",0,IF(ISNUMBER(SEARCH('02_대상물건입력'!$B$8,D501)),1,0)))</f>
        <v/>
      </c>
      <c r="M501">
        <f>IFERROR(ABS(E501-'02_대상물건입력'!$B$11)/'02_대상물건입력'!$B$11,"")</f>
        <v/>
      </c>
      <c r="N501">
        <f>IFERROR(ABS('01_설정'!$B$4-F501),"")</f>
        <v/>
      </c>
      <c r="O501">
        <f>IFERROR(ABS(YEAR(I501)-YEAR('02_대상물건입력'!$B$14)),"")</f>
        <v/>
      </c>
      <c r="P501">
        <f>IF(AND(E501&gt;0,F501&gt;0,G501&gt;0,IF('01_설정'!$B$10=1,J501=1,TRUE()),M501&lt;='01_설정'!$B$5,N501&lt;='01_설정'!$B$7,O501&lt;='01_설정'!$B$8),"Y","")</f>
        <v/>
      </c>
      <c r="Q501">
        <f>IF(P501&lt;&gt;"Y","",MAX(0,(1-M501/'01_설정'!$B$5))*'01_설정'!$B$14+MAX(0,(1-N501/'01_설정'!$B$7))*'01_설정'!$B$16+MAX(0,(1-O501/'01_설정'!$B$8))*'01_설정'!$B$17+K501*'01_설정'!$B$11+L501*'01_설정'!$B$12)</f>
        <v/>
      </c>
      <c r="R501">
        <f>IF(Q501="","",1+COUNTIFS($Q$31:$Q$1030,"&gt;"&amp;Q501)+COUNTIFS($Q$31:Q501,Q501)-1)</f>
        <v/>
      </c>
    </row>
    <row r="502" hidden="1" ht="16.5" customHeight="1">
      <c r="A502">
        <f>IF(COUNTA('05_KAIS'!$A490:$N490)=0,"",475)</f>
        <v/>
      </c>
      <c r="B502">
        <f>IF($A502="","",TRIM(INDEX('05_KAIS'!$B:$B,$A502)&amp;" "&amp;INDEX('05_KAIS'!$C:$C,$A502)))</f>
        <v/>
      </c>
      <c r="C502">
        <f>IF($A502="","",INDEX('05_KAIS'!$D:$D,$A502))</f>
        <v/>
      </c>
      <c r="D502">
        <f>IF($A502="","",INDEX('05_KAIS'!$H:$H,$A502))</f>
        <v/>
      </c>
      <c r="E502">
        <f>IF($A502="","",INDEX('05_KAIS'!$K:$K,$A502))</f>
        <v/>
      </c>
      <c r="F502" s="202">
        <f>IF($A502="","",INDEX('05_KAIS'!$I:$I,$A502))</f>
        <v/>
      </c>
      <c r="G502" s="118">
        <f>IF($A502="","",INDEX('05_KAIS'!$L:$L,$A502))</f>
        <v/>
      </c>
      <c r="H502" s="118">
        <f>IF($A502="","",IFERROR(INDEX('05_KAIS'!$M:$M,$A502),IF(AND(E502&gt;0,G502&gt;0),G502/E502,"")))</f>
        <v/>
      </c>
      <c r="I502" s="202">
        <f>IF($A502="","",INDEX('05_KAIS'!$N:$N,$A502))</f>
        <v/>
      </c>
      <c r="J502">
        <f>IF(B502="","",IF('02_대상물건입력'!$B$5="",1,IF(ISNUMBER(SEARCH('02_대상물건입력'!$B$5,B502)),1,0)))</f>
        <v/>
      </c>
      <c r="K502">
        <f>IF(B502="","",IF('02_대상물건입력'!$B$6="",1,IF(ISNUMBER(SEARCH('02_대상물건입력'!$B$6,B502)),1,0)))</f>
        <v/>
      </c>
      <c r="L502">
        <f>IF(D502="","",IF('02_대상물건입력'!$B$8="",0,IF(ISNUMBER(SEARCH('02_대상물건입력'!$B$8,D502)),1,0)))</f>
        <v/>
      </c>
      <c r="M502">
        <f>IFERROR(ABS(E502-'02_대상물건입력'!$B$11)/'02_대상물건입력'!$B$11,"")</f>
        <v/>
      </c>
      <c r="N502">
        <f>IFERROR(ABS('01_설정'!$B$4-F502),"")</f>
        <v/>
      </c>
      <c r="O502">
        <f>IFERROR(ABS(YEAR(I502)-YEAR('02_대상물건입력'!$B$14)),"")</f>
        <v/>
      </c>
      <c r="P502">
        <f>IF(AND(E502&gt;0,F502&gt;0,G502&gt;0,IF('01_설정'!$B$10=1,J502=1,TRUE()),M502&lt;='01_설정'!$B$5,N502&lt;='01_설정'!$B$7,O502&lt;='01_설정'!$B$8),"Y","")</f>
        <v/>
      </c>
      <c r="Q502">
        <f>IF(P502&lt;&gt;"Y","",MAX(0,(1-M502/'01_설정'!$B$5))*'01_설정'!$B$14+MAX(0,(1-N502/'01_설정'!$B$7))*'01_설정'!$B$16+MAX(0,(1-O502/'01_설정'!$B$8))*'01_설정'!$B$17+K502*'01_설정'!$B$11+L502*'01_설정'!$B$12)</f>
        <v/>
      </c>
      <c r="R502">
        <f>IF(Q502="","",1+COUNTIFS($Q$31:$Q$1030,"&gt;"&amp;Q502)+COUNTIFS($Q$31:Q502,Q502)-1)</f>
        <v/>
      </c>
    </row>
    <row r="503" hidden="1" ht="16.5" customHeight="1">
      <c r="A503">
        <f>IF(COUNTA('05_KAIS'!$A491:$N491)=0,"",476)</f>
        <v/>
      </c>
      <c r="B503">
        <f>IF($A503="","",TRIM(INDEX('05_KAIS'!$B:$B,$A503)&amp;" "&amp;INDEX('05_KAIS'!$C:$C,$A503)))</f>
        <v/>
      </c>
      <c r="C503">
        <f>IF($A503="","",INDEX('05_KAIS'!$D:$D,$A503))</f>
        <v/>
      </c>
      <c r="D503">
        <f>IF($A503="","",INDEX('05_KAIS'!$H:$H,$A503))</f>
        <v/>
      </c>
      <c r="E503">
        <f>IF($A503="","",INDEX('05_KAIS'!$K:$K,$A503))</f>
        <v/>
      </c>
      <c r="F503" s="202">
        <f>IF($A503="","",INDEX('05_KAIS'!$I:$I,$A503))</f>
        <v/>
      </c>
      <c r="G503" s="118">
        <f>IF($A503="","",INDEX('05_KAIS'!$L:$L,$A503))</f>
        <v/>
      </c>
      <c r="H503" s="118">
        <f>IF($A503="","",IFERROR(INDEX('05_KAIS'!$M:$M,$A503),IF(AND(E503&gt;0,G503&gt;0),G503/E503,"")))</f>
        <v/>
      </c>
      <c r="I503" s="202">
        <f>IF($A503="","",INDEX('05_KAIS'!$N:$N,$A503))</f>
        <v/>
      </c>
      <c r="J503">
        <f>IF(B503="","",IF('02_대상물건입력'!$B$5="",1,IF(ISNUMBER(SEARCH('02_대상물건입력'!$B$5,B503)),1,0)))</f>
        <v/>
      </c>
      <c r="K503">
        <f>IF(B503="","",IF('02_대상물건입력'!$B$6="",1,IF(ISNUMBER(SEARCH('02_대상물건입력'!$B$6,B503)),1,0)))</f>
        <v/>
      </c>
      <c r="L503">
        <f>IF(D503="","",IF('02_대상물건입력'!$B$8="",0,IF(ISNUMBER(SEARCH('02_대상물건입력'!$B$8,D503)),1,0)))</f>
        <v/>
      </c>
      <c r="M503">
        <f>IFERROR(ABS(E503-'02_대상물건입력'!$B$11)/'02_대상물건입력'!$B$11,"")</f>
        <v/>
      </c>
      <c r="N503">
        <f>IFERROR(ABS('01_설정'!$B$4-F503),"")</f>
        <v/>
      </c>
      <c r="O503">
        <f>IFERROR(ABS(YEAR(I503)-YEAR('02_대상물건입력'!$B$14)),"")</f>
        <v/>
      </c>
      <c r="P503">
        <f>IF(AND(E503&gt;0,F503&gt;0,G503&gt;0,IF('01_설정'!$B$10=1,J503=1,TRUE()),M503&lt;='01_설정'!$B$5,N503&lt;='01_설정'!$B$7,O503&lt;='01_설정'!$B$8),"Y","")</f>
        <v/>
      </c>
      <c r="Q503">
        <f>IF(P503&lt;&gt;"Y","",MAX(0,(1-M503/'01_설정'!$B$5))*'01_설정'!$B$14+MAX(0,(1-N503/'01_설정'!$B$7))*'01_설정'!$B$16+MAX(0,(1-O503/'01_설정'!$B$8))*'01_설정'!$B$17+K503*'01_설정'!$B$11+L503*'01_설정'!$B$12)</f>
        <v/>
      </c>
      <c r="R503">
        <f>IF(Q503="","",1+COUNTIFS($Q$31:$Q$1030,"&gt;"&amp;Q503)+COUNTIFS($Q$31:Q503,Q503)-1)</f>
        <v/>
      </c>
    </row>
    <row r="504" hidden="1" ht="16.5" customHeight="1">
      <c r="A504">
        <f>IF(COUNTA('05_KAIS'!$A492:$N492)=0,"",477)</f>
        <v/>
      </c>
      <c r="B504">
        <f>IF($A504="","",TRIM(INDEX('05_KAIS'!$B:$B,$A504)&amp;" "&amp;INDEX('05_KAIS'!$C:$C,$A504)))</f>
        <v/>
      </c>
      <c r="C504">
        <f>IF($A504="","",INDEX('05_KAIS'!$D:$D,$A504))</f>
        <v/>
      </c>
      <c r="D504">
        <f>IF($A504="","",INDEX('05_KAIS'!$H:$H,$A504))</f>
        <v/>
      </c>
      <c r="E504">
        <f>IF($A504="","",INDEX('05_KAIS'!$K:$K,$A504))</f>
        <v/>
      </c>
      <c r="F504" s="202">
        <f>IF($A504="","",INDEX('05_KAIS'!$I:$I,$A504))</f>
        <v/>
      </c>
      <c r="G504" s="118">
        <f>IF($A504="","",INDEX('05_KAIS'!$L:$L,$A504))</f>
        <v/>
      </c>
      <c r="H504" s="118">
        <f>IF($A504="","",IFERROR(INDEX('05_KAIS'!$M:$M,$A504),IF(AND(E504&gt;0,G504&gt;0),G504/E504,"")))</f>
        <v/>
      </c>
      <c r="I504" s="202">
        <f>IF($A504="","",INDEX('05_KAIS'!$N:$N,$A504))</f>
        <v/>
      </c>
      <c r="J504">
        <f>IF(B504="","",IF('02_대상물건입력'!$B$5="",1,IF(ISNUMBER(SEARCH('02_대상물건입력'!$B$5,B504)),1,0)))</f>
        <v/>
      </c>
      <c r="K504">
        <f>IF(B504="","",IF('02_대상물건입력'!$B$6="",1,IF(ISNUMBER(SEARCH('02_대상물건입력'!$B$6,B504)),1,0)))</f>
        <v/>
      </c>
      <c r="L504">
        <f>IF(D504="","",IF('02_대상물건입력'!$B$8="",0,IF(ISNUMBER(SEARCH('02_대상물건입력'!$B$8,D504)),1,0)))</f>
        <v/>
      </c>
      <c r="M504">
        <f>IFERROR(ABS(E504-'02_대상물건입력'!$B$11)/'02_대상물건입력'!$B$11,"")</f>
        <v/>
      </c>
      <c r="N504">
        <f>IFERROR(ABS('01_설정'!$B$4-F504),"")</f>
        <v/>
      </c>
      <c r="O504">
        <f>IFERROR(ABS(YEAR(I504)-YEAR('02_대상물건입력'!$B$14)),"")</f>
        <v/>
      </c>
      <c r="P504">
        <f>IF(AND(E504&gt;0,F504&gt;0,G504&gt;0,IF('01_설정'!$B$10=1,J504=1,TRUE()),M504&lt;='01_설정'!$B$5,N504&lt;='01_설정'!$B$7,O504&lt;='01_설정'!$B$8),"Y","")</f>
        <v/>
      </c>
      <c r="Q504">
        <f>IF(P504&lt;&gt;"Y","",MAX(0,(1-M504/'01_설정'!$B$5))*'01_설정'!$B$14+MAX(0,(1-N504/'01_설정'!$B$7))*'01_설정'!$B$16+MAX(0,(1-O504/'01_설정'!$B$8))*'01_설정'!$B$17+K504*'01_설정'!$B$11+L504*'01_설정'!$B$12)</f>
        <v/>
      </c>
      <c r="R504">
        <f>IF(Q504="","",1+COUNTIFS($Q$31:$Q$1030,"&gt;"&amp;Q504)+COUNTIFS($Q$31:Q504,Q504)-1)</f>
        <v/>
      </c>
    </row>
    <row r="505" hidden="1" ht="16.5" customHeight="1">
      <c r="A505">
        <f>IF(COUNTA('05_KAIS'!$A493:$N493)=0,"",478)</f>
        <v/>
      </c>
      <c r="B505">
        <f>IF($A505="","",TRIM(INDEX('05_KAIS'!$B:$B,$A505)&amp;" "&amp;INDEX('05_KAIS'!$C:$C,$A505)))</f>
        <v/>
      </c>
      <c r="C505">
        <f>IF($A505="","",INDEX('05_KAIS'!$D:$D,$A505))</f>
        <v/>
      </c>
      <c r="D505">
        <f>IF($A505="","",INDEX('05_KAIS'!$H:$H,$A505))</f>
        <v/>
      </c>
      <c r="E505">
        <f>IF($A505="","",INDEX('05_KAIS'!$K:$K,$A505))</f>
        <v/>
      </c>
      <c r="F505" s="202">
        <f>IF($A505="","",INDEX('05_KAIS'!$I:$I,$A505))</f>
        <v/>
      </c>
      <c r="G505" s="118">
        <f>IF($A505="","",INDEX('05_KAIS'!$L:$L,$A505))</f>
        <v/>
      </c>
      <c r="H505" s="118">
        <f>IF($A505="","",IFERROR(INDEX('05_KAIS'!$M:$M,$A505),IF(AND(E505&gt;0,G505&gt;0),G505/E505,"")))</f>
        <v/>
      </c>
      <c r="I505" s="202">
        <f>IF($A505="","",INDEX('05_KAIS'!$N:$N,$A505))</f>
        <v/>
      </c>
      <c r="J505">
        <f>IF(B505="","",IF('02_대상물건입력'!$B$5="",1,IF(ISNUMBER(SEARCH('02_대상물건입력'!$B$5,B505)),1,0)))</f>
        <v/>
      </c>
      <c r="K505">
        <f>IF(B505="","",IF('02_대상물건입력'!$B$6="",1,IF(ISNUMBER(SEARCH('02_대상물건입력'!$B$6,B505)),1,0)))</f>
        <v/>
      </c>
      <c r="L505">
        <f>IF(D505="","",IF('02_대상물건입력'!$B$8="",0,IF(ISNUMBER(SEARCH('02_대상물건입력'!$B$8,D505)),1,0)))</f>
        <v/>
      </c>
      <c r="M505">
        <f>IFERROR(ABS(E505-'02_대상물건입력'!$B$11)/'02_대상물건입력'!$B$11,"")</f>
        <v/>
      </c>
      <c r="N505">
        <f>IFERROR(ABS('01_설정'!$B$4-F505),"")</f>
        <v/>
      </c>
      <c r="O505">
        <f>IFERROR(ABS(YEAR(I505)-YEAR('02_대상물건입력'!$B$14)),"")</f>
        <v/>
      </c>
      <c r="P505">
        <f>IF(AND(E505&gt;0,F505&gt;0,G505&gt;0,IF('01_설정'!$B$10=1,J505=1,TRUE()),M505&lt;='01_설정'!$B$5,N505&lt;='01_설정'!$B$7,O505&lt;='01_설정'!$B$8),"Y","")</f>
        <v/>
      </c>
      <c r="Q505">
        <f>IF(P505&lt;&gt;"Y","",MAX(0,(1-M505/'01_설정'!$B$5))*'01_설정'!$B$14+MAX(0,(1-N505/'01_설정'!$B$7))*'01_설정'!$B$16+MAX(0,(1-O505/'01_설정'!$B$8))*'01_설정'!$B$17+K505*'01_설정'!$B$11+L505*'01_설정'!$B$12)</f>
        <v/>
      </c>
      <c r="R505">
        <f>IF(Q505="","",1+COUNTIFS($Q$31:$Q$1030,"&gt;"&amp;Q505)+COUNTIFS($Q$31:Q505,Q505)-1)</f>
        <v/>
      </c>
    </row>
    <row r="506" hidden="1" ht="16.5" customHeight="1">
      <c r="A506">
        <f>IF(COUNTA('05_KAIS'!$A494:$N494)=0,"",479)</f>
        <v/>
      </c>
      <c r="B506">
        <f>IF($A506="","",TRIM(INDEX('05_KAIS'!$B:$B,$A506)&amp;" "&amp;INDEX('05_KAIS'!$C:$C,$A506)))</f>
        <v/>
      </c>
      <c r="C506">
        <f>IF($A506="","",INDEX('05_KAIS'!$D:$D,$A506))</f>
        <v/>
      </c>
      <c r="D506">
        <f>IF($A506="","",INDEX('05_KAIS'!$H:$H,$A506))</f>
        <v/>
      </c>
      <c r="E506">
        <f>IF($A506="","",INDEX('05_KAIS'!$K:$K,$A506))</f>
        <v/>
      </c>
      <c r="F506" s="202">
        <f>IF($A506="","",INDEX('05_KAIS'!$I:$I,$A506))</f>
        <v/>
      </c>
      <c r="G506" s="118">
        <f>IF($A506="","",INDEX('05_KAIS'!$L:$L,$A506))</f>
        <v/>
      </c>
      <c r="H506" s="118">
        <f>IF($A506="","",IFERROR(INDEX('05_KAIS'!$M:$M,$A506),IF(AND(E506&gt;0,G506&gt;0),G506/E506,"")))</f>
        <v/>
      </c>
      <c r="I506" s="202">
        <f>IF($A506="","",INDEX('05_KAIS'!$N:$N,$A506))</f>
        <v/>
      </c>
      <c r="J506">
        <f>IF(B506="","",IF('02_대상물건입력'!$B$5="",1,IF(ISNUMBER(SEARCH('02_대상물건입력'!$B$5,B506)),1,0)))</f>
        <v/>
      </c>
      <c r="K506">
        <f>IF(B506="","",IF('02_대상물건입력'!$B$6="",1,IF(ISNUMBER(SEARCH('02_대상물건입력'!$B$6,B506)),1,0)))</f>
        <v/>
      </c>
      <c r="L506">
        <f>IF(D506="","",IF('02_대상물건입력'!$B$8="",0,IF(ISNUMBER(SEARCH('02_대상물건입력'!$B$8,D506)),1,0)))</f>
        <v/>
      </c>
      <c r="M506">
        <f>IFERROR(ABS(E506-'02_대상물건입력'!$B$11)/'02_대상물건입력'!$B$11,"")</f>
        <v/>
      </c>
      <c r="N506">
        <f>IFERROR(ABS('01_설정'!$B$4-F506),"")</f>
        <v/>
      </c>
      <c r="O506">
        <f>IFERROR(ABS(YEAR(I506)-YEAR('02_대상물건입력'!$B$14)),"")</f>
        <v/>
      </c>
      <c r="P506">
        <f>IF(AND(E506&gt;0,F506&gt;0,G506&gt;0,IF('01_설정'!$B$10=1,J506=1,TRUE()),M506&lt;='01_설정'!$B$5,N506&lt;='01_설정'!$B$7,O506&lt;='01_설정'!$B$8),"Y","")</f>
        <v/>
      </c>
      <c r="Q506">
        <f>IF(P506&lt;&gt;"Y","",MAX(0,(1-M506/'01_설정'!$B$5))*'01_설정'!$B$14+MAX(0,(1-N506/'01_설정'!$B$7))*'01_설정'!$B$16+MAX(0,(1-O506/'01_설정'!$B$8))*'01_설정'!$B$17+K506*'01_설정'!$B$11+L506*'01_설정'!$B$12)</f>
        <v/>
      </c>
      <c r="R506">
        <f>IF(Q506="","",1+COUNTIFS($Q$31:$Q$1030,"&gt;"&amp;Q506)+COUNTIFS($Q$31:Q506,Q506)-1)</f>
        <v/>
      </c>
    </row>
    <row r="507" hidden="1" ht="16.5" customHeight="1">
      <c r="A507">
        <f>IF(COUNTA('05_KAIS'!$A495:$N495)=0,"",480)</f>
        <v/>
      </c>
      <c r="B507">
        <f>IF($A507="","",TRIM(INDEX('05_KAIS'!$B:$B,$A507)&amp;" "&amp;INDEX('05_KAIS'!$C:$C,$A507)))</f>
        <v/>
      </c>
      <c r="C507">
        <f>IF($A507="","",INDEX('05_KAIS'!$D:$D,$A507))</f>
        <v/>
      </c>
      <c r="D507">
        <f>IF($A507="","",INDEX('05_KAIS'!$H:$H,$A507))</f>
        <v/>
      </c>
      <c r="E507">
        <f>IF($A507="","",INDEX('05_KAIS'!$K:$K,$A507))</f>
        <v/>
      </c>
      <c r="F507" s="202">
        <f>IF($A507="","",INDEX('05_KAIS'!$I:$I,$A507))</f>
        <v/>
      </c>
      <c r="G507" s="118">
        <f>IF($A507="","",INDEX('05_KAIS'!$L:$L,$A507))</f>
        <v/>
      </c>
      <c r="H507" s="118">
        <f>IF($A507="","",IFERROR(INDEX('05_KAIS'!$M:$M,$A507),IF(AND(E507&gt;0,G507&gt;0),G507/E507,"")))</f>
        <v/>
      </c>
      <c r="I507" s="202">
        <f>IF($A507="","",INDEX('05_KAIS'!$N:$N,$A507))</f>
        <v/>
      </c>
      <c r="J507">
        <f>IF(B507="","",IF('02_대상물건입력'!$B$5="",1,IF(ISNUMBER(SEARCH('02_대상물건입력'!$B$5,B507)),1,0)))</f>
        <v/>
      </c>
      <c r="K507">
        <f>IF(B507="","",IF('02_대상물건입력'!$B$6="",1,IF(ISNUMBER(SEARCH('02_대상물건입력'!$B$6,B507)),1,0)))</f>
        <v/>
      </c>
      <c r="L507">
        <f>IF(D507="","",IF('02_대상물건입력'!$B$8="",0,IF(ISNUMBER(SEARCH('02_대상물건입력'!$B$8,D507)),1,0)))</f>
        <v/>
      </c>
      <c r="M507">
        <f>IFERROR(ABS(E507-'02_대상물건입력'!$B$11)/'02_대상물건입력'!$B$11,"")</f>
        <v/>
      </c>
      <c r="N507">
        <f>IFERROR(ABS('01_설정'!$B$4-F507),"")</f>
        <v/>
      </c>
      <c r="O507">
        <f>IFERROR(ABS(YEAR(I507)-YEAR('02_대상물건입력'!$B$14)),"")</f>
        <v/>
      </c>
      <c r="P507">
        <f>IF(AND(E507&gt;0,F507&gt;0,G507&gt;0,IF('01_설정'!$B$10=1,J507=1,TRUE()),M507&lt;='01_설정'!$B$5,N507&lt;='01_설정'!$B$7,O507&lt;='01_설정'!$B$8),"Y","")</f>
        <v/>
      </c>
      <c r="Q507">
        <f>IF(P507&lt;&gt;"Y","",MAX(0,(1-M507/'01_설정'!$B$5))*'01_설정'!$B$14+MAX(0,(1-N507/'01_설정'!$B$7))*'01_설정'!$B$16+MAX(0,(1-O507/'01_설정'!$B$8))*'01_설정'!$B$17+K507*'01_설정'!$B$11+L507*'01_설정'!$B$12)</f>
        <v/>
      </c>
      <c r="R507">
        <f>IF(Q507="","",1+COUNTIFS($Q$31:$Q$1030,"&gt;"&amp;Q507)+COUNTIFS($Q$31:Q507,Q507)-1)</f>
        <v/>
      </c>
    </row>
    <row r="508" hidden="1" ht="16.5" customHeight="1">
      <c r="A508">
        <f>IF(COUNTA('05_KAIS'!$A496:$N496)=0,"",481)</f>
        <v/>
      </c>
      <c r="B508">
        <f>IF($A508="","",TRIM(INDEX('05_KAIS'!$B:$B,$A508)&amp;" "&amp;INDEX('05_KAIS'!$C:$C,$A508)))</f>
        <v/>
      </c>
      <c r="C508">
        <f>IF($A508="","",INDEX('05_KAIS'!$D:$D,$A508))</f>
        <v/>
      </c>
      <c r="D508">
        <f>IF($A508="","",INDEX('05_KAIS'!$H:$H,$A508))</f>
        <v/>
      </c>
      <c r="E508">
        <f>IF($A508="","",INDEX('05_KAIS'!$K:$K,$A508))</f>
        <v/>
      </c>
      <c r="F508" s="202">
        <f>IF($A508="","",INDEX('05_KAIS'!$I:$I,$A508))</f>
        <v/>
      </c>
      <c r="G508" s="118">
        <f>IF($A508="","",INDEX('05_KAIS'!$L:$L,$A508))</f>
        <v/>
      </c>
      <c r="H508" s="118">
        <f>IF($A508="","",IFERROR(INDEX('05_KAIS'!$M:$M,$A508),IF(AND(E508&gt;0,G508&gt;0),G508/E508,"")))</f>
        <v/>
      </c>
      <c r="I508" s="202">
        <f>IF($A508="","",INDEX('05_KAIS'!$N:$N,$A508))</f>
        <v/>
      </c>
      <c r="J508">
        <f>IF(B508="","",IF('02_대상물건입력'!$B$5="",1,IF(ISNUMBER(SEARCH('02_대상물건입력'!$B$5,B508)),1,0)))</f>
        <v/>
      </c>
      <c r="K508">
        <f>IF(B508="","",IF('02_대상물건입력'!$B$6="",1,IF(ISNUMBER(SEARCH('02_대상물건입력'!$B$6,B508)),1,0)))</f>
        <v/>
      </c>
      <c r="L508">
        <f>IF(D508="","",IF('02_대상물건입력'!$B$8="",0,IF(ISNUMBER(SEARCH('02_대상물건입력'!$B$8,D508)),1,0)))</f>
        <v/>
      </c>
      <c r="M508">
        <f>IFERROR(ABS(E508-'02_대상물건입력'!$B$11)/'02_대상물건입력'!$B$11,"")</f>
        <v/>
      </c>
      <c r="N508">
        <f>IFERROR(ABS('01_설정'!$B$4-F508),"")</f>
        <v/>
      </c>
      <c r="O508">
        <f>IFERROR(ABS(YEAR(I508)-YEAR('02_대상물건입력'!$B$14)),"")</f>
        <v/>
      </c>
      <c r="P508">
        <f>IF(AND(E508&gt;0,F508&gt;0,G508&gt;0,IF('01_설정'!$B$10=1,J508=1,TRUE()),M508&lt;='01_설정'!$B$5,N508&lt;='01_설정'!$B$7,O508&lt;='01_설정'!$B$8),"Y","")</f>
        <v/>
      </c>
      <c r="Q508">
        <f>IF(P508&lt;&gt;"Y","",MAX(0,(1-M508/'01_설정'!$B$5))*'01_설정'!$B$14+MAX(0,(1-N508/'01_설정'!$B$7))*'01_설정'!$B$16+MAX(0,(1-O508/'01_설정'!$B$8))*'01_설정'!$B$17+K508*'01_설정'!$B$11+L508*'01_설정'!$B$12)</f>
        <v/>
      </c>
      <c r="R508">
        <f>IF(Q508="","",1+COUNTIFS($Q$31:$Q$1030,"&gt;"&amp;Q508)+COUNTIFS($Q$31:Q508,Q508)-1)</f>
        <v/>
      </c>
    </row>
    <row r="509" hidden="1" ht="16.5" customHeight="1">
      <c r="A509">
        <f>IF(COUNTA('05_KAIS'!$A497:$N497)=0,"",482)</f>
        <v/>
      </c>
      <c r="B509">
        <f>IF($A509="","",TRIM(INDEX('05_KAIS'!$B:$B,$A509)&amp;" "&amp;INDEX('05_KAIS'!$C:$C,$A509)))</f>
        <v/>
      </c>
      <c r="C509">
        <f>IF($A509="","",INDEX('05_KAIS'!$D:$D,$A509))</f>
        <v/>
      </c>
      <c r="D509">
        <f>IF($A509="","",INDEX('05_KAIS'!$H:$H,$A509))</f>
        <v/>
      </c>
      <c r="E509">
        <f>IF($A509="","",INDEX('05_KAIS'!$K:$K,$A509))</f>
        <v/>
      </c>
      <c r="F509" s="202">
        <f>IF($A509="","",INDEX('05_KAIS'!$I:$I,$A509))</f>
        <v/>
      </c>
      <c r="G509" s="118">
        <f>IF($A509="","",INDEX('05_KAIS'!$L:$L,$A509))</f>
        <v/>
      </c>
      <c r="H509" s="118">
        <f>IF($A509="","",IFERROR(INDEX('05_KAIS'!$M:$M,$A509),IF(AND(E509&gt;0,G509&gt;0),G509/E509,"")))</f>
        <v/>
      </c>
      <c r="I509" s="202">
        <f>IF($A509="","",INDEX('05_KAIS'!$N:$N,$A509))</f>
        <v/>
      </c>
      <c r="J509">
        <f>IF(B509="","",IF('02_대상물건입력'!$B$5="",1,IF(ISNUMBER(SEARCH('02_대상물건입력'!$B$5,B509)),1,0)))</f>
        <v/>
      </c>
      <c r="K509">
        <f>IF(B509="","",IF('02_대상물건입력'!$B$6="",1,IF(ISNUMBER(SEARCH('02_대상물건입력'!$B$6,B509)),1,0)))</f>
        <v/>
      </c>
      <c r="L509">
        <f>IF(D509="","",IF('02_대상물건입력'!$B$8="",0,IF(ISNUMBER(SEARCH('02_대상물건입력'!$B$8,D509)),1,0)))</f>
        <v/>
      </c>
      <c r="M509">
        <f>IFERROR(ABS(E509-'02_대상물건입력'!$B$11)/'02_대상물건입력'!$B$11,"")</f>
        <v/>
      </c>
      <c r="N509">
        <f>IFERROR(ABS('01_설정'!$B$4-F509),"")</f>
        <v/>
      </c>
      <c r="O509">
        <f>IFERROR(ABS(YEAR(I509)-YEAR('02_대상물건입력'!$B$14)),"")</f>
        <v/>
      </c>
      <c r="P509">
        <f>IF(AND(E509&gt;0,F509&gt;0,G509&gt;0,IF('01_설정'!$B$10=1,J509=1,TRUE()),M509&lt;='01_설정'!$B$5,N509&lt;='01_설정'!$B$7,O509&lt;='01_설정'!$B$8),"Y","")</f>
        <v/>
      </c>
      <c r="Q509">
        <f>IF(P509&lt;&gt;"Y","",MAX(0,(1-M509/'01_설정'!$B$5))*'01_설정'!$B$14+MAX(0,(1-N509/'01_설정'!$B$7))*'01_설정'!$B$16+MAX(0,(1-O509/'01_설정'!$B$8))*'01_설정'!$B$17+K509*'01_설정'!$B$11+L509*'01_설정'!$B$12)</f>
        <v/>
      </c>
      <c r="R509">
        <f>IF(Q509="","",1+COUNTIFS($Q$31:$Q$1030,"&gt;"&amp;Q509)+COUNTIFS($Q$31:Q509,Q509)-1)</f>
        <v/>
      </c>
    </row>
    <row r="510" hidden="1" ht="16.5" customHeight="1">
      <c r="A510">
        <f>IF(COUNTA('05_KAIS'!$A498:$N498)=0,"",483)</f>
        <v/>
      </c>
      <c r="B510">
        <f>IF($A510="","",TRIM(INDEX('05_KAIS'!$B:$B,$A510)&amp;" "&amp;INDEX('05_KAIS'!$C:$C,$A510)))</f>
        <v/>
      </c>
      <c r="C510">
        <f>IF($A510="","",INDEX('05_KAIS'!$D:$D,$A510))</f>
        <v/>
      </c>
      <c r="D510">
        <f>IF($A510="","",INDEX('05_KAIS'!$H:$H,$A510))</f>
        <v/>
      </c>
      <c r="E510">
        <f>IF($A510="","",INDEX('05_KAIS'!$K:$K,$A510))</f>
        <v/>
      </c>
      <c r="F510" s="202">
        <f>IF($A510="","",INDEX('05_KAIS'!$I:$I,$A510))</f>
        <v/>
      </c>
      <c r="G510" s="118">
        <f>IF($A510="","",INDEX('05_KAIS'!$L:$L,$A510))</f>
        <v/>
      </c>
      <c r="H510" s="118">
        <f>IF($A510="","",IFERROR(INDEX('05_KAIS'!$M:$M,$A510),IF(AND(E510&gt;0,G510&gt;0),G510/E510,"")))</f>
        <v/>
      </c>
      <c r="I510" s="202">
        <f>IF($A510="","",INDEX('05_KAIS'!$N:$N,$A510))</f>
        <v/>
      </c>
      <c r="J510">
        <f>IF(B510="","",IF('02_대상물건입력'!$B$5="",1,IF(ISNUMBER(SEARCH('02_대상물건입력'!$B$5,B510)),1,0)))</f>
        <v/>
      </c>
      <c r="K510">
        <f>IF(B510="","",IF('02_대상물건입력'!$B$6="",1,IF(ISNUMBER(SEARCH('02_대상물건입력'!$B$6,B510)),1,0)))</f>
        <v/>
      </c>
      <c r="L510">
        <f>IF(D510="","",IF('02_대상물건입력'!$B$8="",0,IF(ISNUMBER(SEARCH('02_대상물건입력'!$B$8,D510)),1,0)))</f>
        <v/>
      </c>
      <c r="M510">
        <f>IFERROR(ABS(E510-'02_대상물건입력'!$B$11)/'02_대상물건입력'!$B$11,"")</f>
        <v/>
      </c>
      <c r="N510">
        <f>IFERROR(ABS('01_설정'!$B$4-F510),"")</f>
        <v/>
      </c>
      <c r="O510">
        <f>IFERROR(ABS(YEAR(I510)-YEAR('02_대상물건입력'!$B$14)),"")</f>
        <v/>
      </c>
      <c r="P510">
        <f>IF(AND(E510&gt;0,F510&gt;0,G510&gt;0,IF('01_설정'!$B$10=1,J510=1,TRUE()),M510&lt;='01_설정'!$B$5,N510&lt;='01_설정'!$B$7,O510&lt;='01_설정'!$B$8),"Y","")</f>
        <v/>
      </c>
      <c r="Q510">
        <f>IF(P510&lt;&gt;"Y","",MAX(0,(1-M510/'01_설정'!$B$5))*'01_설정'!$B$14+MAX(0,(1-N510/'01_설정'!$B$7))*'01_설정'!$B$16+MAX(0,(1-O510/'01_설정'!$B$8))*'01_설정'!$B$17+K510*'01_설정'!$B$11+L510*'01_설정'!$B$12)</f>
        <v/>
      </c>
      <c r="R510">
        <f>IF(Q510="","",1+COUNTIFS($Q$31:$Q$1030,"&gt;"&amp;Q510)+COUNTIFS($Q$31:Q510,Q510)-1)</f>
        <v/>
      </c>
    </row>
    <row r="511" hidden="1" ht="16.5" customHeight="1">
      <c r="A511">
        <f>IF(COUNTA('05_KAIS'!$A499:$N499)=0,"",484)</f>
        <v/>
      </c>
      <c r="B511">
        <f>IF($A511="","",TRIM(INDEX('05_KAIS'!$B:$B,$A511)&amp;" "&amp;INDEX('05_KAIS'!$C:$C,$A511)))</f>
        <v/>
      </c>
      <c r="C511">
        <f>IF($A511="","",INDEX('05_KAIS'!$D:$D,$A511))</f>
        <v/>
      </c>
      <c r="D511">
        <f>IF($A511="","",INDEX('05_KAIS'!$H:$H,$A511))</f>
        <v/>
      </c>
      <c r="E511">
        <f>IF($A511="","",INDEX('05_KAIS'!$K:$K,$A511))</f>
        <v/>
      </c>
      <c r="F511" s="202">
        <f>IF($A511="","",INDEX('05_KAIS'!$I:$I,$A511))</f>
        <v/>
      </c>
      <c r="G511" s="118">
        <f>IF($A511="","",INDEX('05_KAIS'!$L:$L,$A511))</f>
        <v/>
      </c>
      <c r="H511" s="118">
        <f>IF($A511="","",IFERROR(INDEX('05_KAIS'!$M:$M,$A511),IF(AND(E511&gt;0,G511&gt;0),G511/E511,"")))</f>
        <v/>
      </c>
      <c r="I511" s="202">
        <f>IF($A511="","",INDEX('05_KAIS'!$N:$N,$A511))</f>
        <v/>
      </c>
      <c r="J511">
        <f>IF(B511="","",IF('02_대상물건입력'!$B$5="",1,IF(ISNUMBER(SEARCH('02_대상물건입력'!$B$5,B511)),1,0)))</f>
        <v/>
      </c>
      <c r="K511">
        <f>IF(B511="","",IF('02_대상물건입력'!$B$6="",1,IF(ISNUMBER(SEARCH('02_대상물건입력'!$B$6,B511)),1,0)))</f>
        <v/>
      </c>
      <c r="L511">
        <f>IF(D511="","",IF('02_대상물건입력'!$B$8="",0,IF(ISNUMBER(SEARCH('02_대상물건입력'!$B$8,D511)),1,0)))</f>
        <v/>
      </c>
      <c r="M511">
        <f>IFERROR(ABS(E511-'02_대상물건입력'!$B$11)/'02_대상물건입력'!$B$11,"")</f>
        <v/>
      </c>
      <c r="N511">
        <f>IFERROR(ABS('01_설정'!$B$4-F511),"")</f>
        <v/>
      </c>
      <c r="O511">
        <f>IFERROR(ABS(YEAR(I511)-YEAR('02_대상물건입력'!$B$14)),"")</f>
        <v/>
      </c>
      <c r="P511">
        <f>IF(AND(E511&gt;0,F511&gt;0,G511&gt;0,IF('01_설정'!$B$10=1,J511=1,TRUE()),M511&lt;='01_설정'!$B$5,N511&lt;='01_설정'!$B$7,O511&lt;='01_설정'!$B$8),"Y","")</f>
        <v/>
      </c>
      <c r="Q511">
        <f>IF(P511&lt;&gt;"Y","",MAX(0,(1-M511/'01_설정'!$B$5))*'01_설정'!$B$14+MAX(0,(1-N511/'01_설정'!$B$7))*'01_설정'!$B$16+MAX(0,(1-O511/'01_설정'!$B$8))*'01_설정'!$B$17+K511*'01_설정'!$B$11+L511*'01_설정'!$B$12)</f>
        <v/>
      </c>
      <c r="R511">
        <f>IF(Q511="","",1+COUNTIFS($Q$31:$Q$1030,"&gt;"&amp;Q511)+COUNTIFS($Q$31:Q511,Q511)-1)</f>
        <v/>
      </c>
    </row>
    <row r="512" hidden="1" ht="16.5" customHeight="1">
      <c r="A512">
        <f>IF(COUNTA('05_KAIS'!$A500:$N500)=0,"",485)</f>
        <v/>
      </c>
      <c r="B512">
        <f>IF($A512="","",TRIM(INDEX('05_KAIS'!$B:$B,$A512)&amp;" "&amp;INDEX('05_KAIS'!$C:$C,$A512)))</f>
        <v/>
      </c>
      <c r="C512">
        <f>IF($A512="","",INDEX('05_KAIS'!$D:$D,$A512))</f>
        <v/>
      </c>
      <c r="D512">
        <f>IF($A512="","",INDEX('05_KAIS'!$H:$H,$A512))</f>
        <v/>
      </c>
      <c r="E512">
        <f>IF($A512="","",INDEX('05_KAIS'!$K:$K,$A512))</f>
        <v/>
      </c>
      <c r="F512" s="202">
        <f>IF($A512="","",INDEX('05_KAIS'!$I:$I,$A512))</f>
        <v/>
      </c>
      <c r="G512" s="118">
        <f>IF($A512="","",INDEX('05_KAIS'!$L:$L,$A512))</f>
        <v/>
      </c>
      <c r="H512" s="118">
        <f>IF($A512="","",IFERROR(INDEX('05_KAIS'!$M:$M,$A512),IF(AND(E512&gt;0,G512&gt;0),G512/E512,"")))</f>
        <v/>
      </c>
      <c r="I512" s="202">
        <f>IF($A512="","",INDEX('05_KAIS'!$N:$N,$A512))</f>
        <v/>
      </c>
      <c r="J512">
        <f>IF(B512="","",IF('02_대상물건입력'!$B$5="",1,IF(ISNUMBER(SEARCH('02_대상물건입력'!$B$5,B512)),1,0)))</f>
        <v/>
      </c>
      <c r="K512">
        <f>IF(B512="","",IF('02_대상물건입력'!$B$6="",1,IF(ISNUMBER(SEARCH('02_대상물건입력'!$B$6,B512)),1,0)))</f>
        <v/>
      </c>
      <c r="L512">
        <f>IF(D512="","",IF('02_대상물건입력'!$B$8="",0,IF(ISNUMBER(SEARCH('02_대상물건입력'!$B$8,D512)),1,0)))</f>
        <v/>
      </c>
      <c r="M512">
        <f>IFERROR(ABS(E512-'02_대상물건입력'!$B$11)/'02_대상물건입력'!$B$11,"")</f>
        <v/>
      </c>
      <c r="N512">
        <f>IFERROR(ABS('01_설정'!$B$4-F512),"")</f>
        <v/>
      </c>
      <c r="O512">
        <f>IFERROR(ABS(YEAR(I512)-YEAR('02_대상물건입력'!$B$14)),"")</f>
        <v/>
      </c>
      <c r="P512">
        <f>IF(AND(E512&gt;0,F512&gt;0,G512&gt;0,IF('01_설정'!$B$10=1,J512=1,TRUE()),M512&lt;='01_설정'!$B$5,N512&lt;='01_설정'!$B$7,O512&lt;='01_설정'!$B$8),"Y","")</f>
        <v/>
      </c>
      <c r="Q512">
        <f>IF(P512&lt;&gt;"Y","",MAX(0,(1-M512/'01_설정'!$B$5))*'01_설정'!$B$14+MAX(0,(1-N512/'01_설정'!$B$7))*'01_설정'!$B$16+MAX(0,(1-O512/'01_설정'!$B$8))*'01_설정'!$B$17+K512*'01_설정'!$B$11+L512*'01_설정'!$B$12)</f>
        <v/>
      </c>
      <c r="R512">
        <f>IF(Q512="","",1+COUNTIFS($Q$31:$Q$1030,"&gt;"&amp;Q512)+COUNTIFS($Q$31:Q512,Q512)-1)</f>
        <v/>
      </c>
    </row>
    <row r="513" hidden="1" ht="16.5" customHeight="1">
      <c r="A513">
        <f>IF(COUNTA('05_KAIS'!$A501:$N501)=0,"",486)</f>
        <v/>
      </c>
      <c r="B513">
        <f>IF($A513="","",TRIM(INDEX('05_KAIS'!$B:$B,$A513)&amp;" "&amp;INDEX('05_KAIS'!$C:$C,$A513)))</f>
        <v/>
      </c>
      <c r="C513">
        <f>IF($A513="","",INDEX('05_KAIS'!$D:$D,$A513))</f>
        <v/>
      </c>
      <c r="D513">
        <f>IF($A513="","",INDEX('05_KAIS'!$H:$H,$A513))</f>
        <v/>
      </c>
      <c r="E513">
        <f>IF($A513="","",INDEX('05_KAIS'!$K:$K,$A513))</f>
        <v/>
      </c>
      <c r="F513" s="202">
        <f>IF($A513="","",INDEX('05_KAIS'!$I:$I,$A513))</f>
        <v/>
      </c>
      <c r="G513" s="118">
        <f>IF($A513="","",INDEX('05_KAIS'!$L:$L,$A513))</f>
        <v/>
      </c>
      <c r="H513" s="118">
        <f>IF($A513="","",IFERROR(INDEX('05_KAIS'!$M:$M,$A513),IF(AND(E513&gt;0,G513&gt;0),G513/E513,"")))</f>
        <v/>
      </c>
      <c r="I513" s="202">
        <f>IF($A513="","",INDEX('05_KAIS'!$N:$N,$A513))</f>
        <v/>
      </c>
      <c r="J513">
        <f>IF(B513="","",IF('02_대상물건입력'!$B$5="",1,IF(ISNUMBER(SEARCH('02_대상물건입력'!$B$5,B513)),1,0)))</f>
        <v/>
      </c>
      <c r="K513">
        <f>IF(B513="","",IF('02_대상물건입력'!$B$6="",1,IF(ISNUMBER(SEARCH('02_대상물건입력'!$B$6,B513)),1,0)))</f>
        <v/>
      </c>
      <c r="L513">
        <f>IF(D513="","",IF('02_대상물건입력'!$B$8="",0,IF(ISNUMBER(SEARCH('02_대상물건입력'!$B$8,D513)),1,0)))</f>
        <v/>
      </c>
      <c r="M513">
        <f>IFERROR(ABS(E513-'02_대상물건입력'!$B$11)/'02_대상물건입력'!$B$11,"")</f>
        <v/>
      </c>
      <c r="N513">
        <f>IFERROR(ABS('01_설정'!$B$4-F513),"")</f>
        <v/>
      </c>
      <c r="O513">
        <f>IFERROR(ABS(YEAR(I513)-YEAR('02_대상물건입력'!$B$14)),"")</f>
        <v/>
      </c>
      <c r="P513">
        <f>IF(AND(E513&gt;0,F513&gt;0,G513&gt;0,IF('01_설정'!$B$10=1,J513=1,TRUE()),M513&lt;='01_설정'!$B$5,N513&lt;='01_설정'!$B$7,O513&lt;='01_설정'!$B$8),"Y","")</f>
        <v/>
      </c>
      <c r="Q513">
        <f>IF(P513&lt;&gt;"Y","",MAX(0,(1-M513/'01_설정'!$B$5))*'01_설정'!$B$14+MAX(0,(1-N513/'01_설정'!$B$7))*'01_설정'!$B$16+MAX(0,(1-O513/'01_설정'!$B$8))*'01_설정'!$B$17+K513*'01_설정'!$B$11+L513*'01_설정'!$B$12)</f>
        <v/>
      </c>
      <c r="R513">
        <f>IF(Q513="","",1+COUNTIFS($Q$31:$Q$1030,"&gt;"&amp;Q513)+COUNTIFS($Q$31:Q513,Q513)-1)</f>
        <v/>
      </c>
    </row>
    <row r="514" hidden="1" ht="16.5" customHeight="1">
      <c r="A514">
        <f>IF(COUNTA('05_KAIS'!$A502:$N502)=0,"",487)</f>
        <v/>
      </c>
      <c r="B514">
        <f>IF($A514="","",TRIM(INDEX('05_KAIS'!$B:$B,$A514)&amp;" "&amp;INDEX('05_KAIS'!$C:$C,$A514)))</f>
        <v/>
      </c>
      <c r="C514">
        <f>IF($A514="","",INDEX('05_KAIS'!$D:$D,$A514))</f>
        <v/>
      </c>
      <c r="D514">
        <f>IF($A514="","",INDEX('05_KAIS'!$H:$H,$A514))</f>
        <v/>
      </c>
      <c r="E514">
        <f>IF($A514="","",INDEX('05_KAIS'!$K:$K,$A514))</f>
        <v/>
      </c>
      <c r="F514" s="202">
        <f>IF($A514="","",INDEX('05_KAIS'!$I:$I,$A514))</f>
        <v/>
      </c>
      <c r="G514" s="118">
        <f>IF($A514="","",INDEX('05_KAIS'!$L:$L,$A514))</f>
        <v/>
      </c>
      <c r="H514" s="118">
        <f>IF($A514="","",IFERROR(INDEX('05_KAIS'!$M:$M,$A514),IF(AND(E514&gt;0,G514&gt;0),G514/E514,"")))</f>
        <v/>
      </c>
      <c r="I514" s="202">
        <f>IF($A514="","",INDEX('05_KAIS'!$N:$N,$A514))</f>
        <v/>
      </c>
      <c r="J514">
        <f>IF(B514="","",IF('02_대상물건입력'!$B$5="",1,IF(ISNUMBER(SEARCH('02_대상물건입력'!$B$5,B514)),1,0)))</f>
        <v/>
      </c>
      <c r="K514">
        <f>IF(B514="","",IF('02_대상물건입력'!$B$6="",1,IF(ISNUMBER(SEARCH('02_대상물건입력'!$B$6,B514)),1,0)))</f>
        <v/>
      </c>
      <c r="L514">
        <f>IF(D514="","",IF('02_대상물건입력'!$B$8="",0,IF(ISNUMBER(SEARCH('02_대상물건입력'!$B$8,D514)),1,0)))</f>
        <v/>
      </c>
      <c r="M514">
        <f>IFERROR(ABS(E514-'02_대상물건입력'!$B$11)/'02_대상물건입력'!$B$11,"")</f>
        <v/>
      </c>
      <c r="N514">
        <f>IFERROR(ABS('01_설정'!$B$4-F514),"")</f>
        <v/>
      </c>
      <c r="O514">
        <f>IFERROR(ABS(YEAR(I514)-YEAR('02_대상물건입력'!$B$14)),"")</f>
        <v/>
      </c>
      <c r="P514">
        <f>IF(AND(E514&gt;0,F514&gt;0,G514&gt;0,IF('01_설정'!$B$10=1,J514=1,TRUE()),M514&lt;='01_설정'!$B$5,N514&lt;='01_설정'!$B$7,O514&lt;='01_설정'!$B$8),"Y","")</f>
        <v/>
      </c>
      <c r="Q514">
        <f>IF(P514&lt;&gt;"Y","",MAX(0,(1-M514/'01_설정'!$B$5))*'01_설정'!$B$14+MAX(0,(1-N514/'01_설정'!$B$7))*'01_설정'!$B$16+MAX(0,(1-O514/'01_설정'!$B$8))*'01_설정'!$B$17+K514*'01_설정'!$B$11+L514*'01_설정'!$B$12)</f>
        <v/>
      </c>
      <c r="R514">
        <f>IF(Q514="","",1+COUNTIFS($Q$31:$Q$1030,"&gt;"&amp;Q514)+COUNTIFS($Q$31:Q514,Q514)-1)</f>
        <v/>
      </c>
    </row>
    <row r="515" hidden="1" ht="16.5" customHeight="1">
      <c r="A515">
        <f>IF(COUNTA('05_KAIS'!$A503:$N503)=0,"",488)</f>
        <v/>
      </c>
      <c r="B515">
        <f>IF($A515="","",TRIM(INDEX('05_KAIS'!$B:$B,$A515)&amp;" "&amp;INDEX('05_KAIS'!$C:$C,$A515)))</f>
        <v/>
      </c>
      <c r="C515">
        <f>IF($A515="","",INDEX('05_KAIS'!$D:$D,$A515))</f>
        <v/>
      </c>
      <c r="D515">
        <f>IF($A515="","",INDEX('05_KAIS'!$H:$H,$A515))</f>
        <v/>
      </c>
      <c r="E515">
        <f>IF($A515="","",INDEX('05_KAIS'!$K:$K,$A515))</f>
        <v/>
      </c>
      <c r="F515" s="202">
        <f>IF($A515="","",INDEX('05_KAIS'!$I:$I,$A515))</f>
        <v/>
      </c>
      <c r="G515" s="118">
        <f>IF($A515="","",INDEX('05_KAIS'!$L:$L,$A515))</f>
        <v/>
      </c>
      <c r="H515" s="118">
        <f>IF($A515="","",IFERROR(INDEX('05_KAIS'!$M:$M,$A515),IF(AND(E515&gt;0,G515&gt;0),G515/E515,"")))</f>
        <v/>
      </c>
      <c r="I515" s="202">
        <f>IF($A515="","",INDEX('05_KAIS'!$N:$N,$A515))</f>
        <v/>
      </c>
      <c r="J515">
        <f>IF(B515="","",IF('02_대상물건입력'!$B$5="",1,IF(ISNUMBER(SEARCH('02_대상물건입력'!$B$5,B515)),1,0)))</f>
        <v/>
      </c>
      <c r="K515">
        <f>IF(B515="","",IF('02_대상물건입력'!$B$6="",1,IF(ISNUMBER(SEARCH('02_대상물건입력'!$B$6,B515)),1,0)))</f>
        <v/>
      </c>
      <c r="L515">
        <f>IF(D515="","",IF('02_대상물건입력'!$B$8="",0,IF(ISNUMBER(SEARCH('02_대상물건입력'!$B$8,D515)),1,0)))</f>
        <v/>
      </c>
      <c r="M515">
        <f>IFERROR(ABS(E515-'02_대상물건입력'!$B$11)/'02_대상물건입력'!$B$11,"")</f>
        <v/>
      </c>
      <c r="N515">
        <f>IFERROR(ABS('01_설정'!$B$4-F515),"")</f>
        <v/>
      </c>
      <c r="O515">
        <f>IFERROR(ABS(YEAR(I515)-YEAR('02_대상물건입력'!$B$14)),"")</f>
        <v/>
      </c>
      <c r="P515">
        <f>IF(AND(E515&gt;0,F515&gt;0,G515&gt;0,IF('01_설정'!$B$10=1,J515=1,TRUE()),M515&lt;='01_설정'!$B$5,N515&lt;='01_설정'!$B$7,O515&lt;='01_설정'!$B$8),"Y","")</f>
        <v/>
      </c>
      <c r="Q515">
        <f>IF(P515&lt;&gt;"Y","",MAX(0,(1-M515/'01_설정'!$B$5))*'01_설정'!$B$14+MAX(0,(1-N515/'01_설정'!$B$7))*'01_설정'!$B$16+MAX(0,(1-O515/'01_설정'!$B$8))*'01_설정'!$B$17+K515*'01_설정'!$B$11+L515*'01_설정'!$B$12)</f>
        <v/>
      </c>
      <c r="R515">
        <f>IF(Q515="","",1+COUNTIFS($Q$31:$Q$1030,"&gt;"&amp;Q515)+COUNTIFS($Q$31:Q515,Q515)-1)</f>
        <v/>
      </c>
    </row>
    <row r="516" hidden="1" ht="16.5" customHeight="1">
      <c r="A516">
        <f>IF(COUNTA('05_KAIS'!$A504:$N504)=0,"",489)</f>
        <v/>
      </c>
      <c r="B516">
        <f>IF($A516="","",TRIM(INDEX('05_KAIS'!$B:$B,$A516)&amp;" "&amp;INDEX('05_KAIS'!$C:$C,$A516)))</f>
        <v/>
      </c>
      <c r="C516">
        <f>IF($A516="","",INDEX('05_KAIS'!$D:$D,$A516))</f>
        <v/>
      </c>
      <c r="D516">
        <f>IF($A516="","",INDEX('05_KAIS'!$H:$H,$A516))</f>
        <v/>
      </c>
      <c r="E516">
        <f>IF($A516="","",INDEX('05_KAIS'!$K:$K,$A516))</f>
        <v/>
      </c>
      <c r="F516" s="202">
        <f>IF($A516="","",INDEX('05_KAIS'!$I:$I,$A516))</f>
        <v/>
      </c>
      <c r="G516" s="118">
        <f>IF($A516="","",INDEX('05_KAIS'!$L:$L,$A516))</f>
        <v/>
      </c>
      <c r="H516" s="118">
        <f>IF($A516="","",IFERROR(INDEX('05_KAIS'!$M:$M,$A516),IF(AND(E516&gt;0,G516&gt;0),G516/E516,"")))</f>
        <v/>
      </c>
      <c r="I516" s="202">
        <f>IF($A516="","",INDEX('05_KAIS'!$N:$N,$A516))</f>
        <v/>
      </c>
      <c r="J516">
        <f>IF(B516="","",IF('02_대상물건입력'!$B$5="",1,IF(ISNUMBER(SEARCH('02_대상물건입력'!$B$5,B516)),1,0)))</f>
        <v/>
      </c>
      <c r="K516">
        <f>IF(B516="","",IF('02_대상물건입력'!$B$6="",1,IF(ISNUMBER(SEARCH('02_대상물건입력'!$B$6,B516)),1,0)))</f>
        <v/>
      </c>
      <c r="L516">
        <f>IF(D516="","",IF('02_대상물건입력'!$B$8="",0,IF(ISNUMBER(SEARCH('02_대상물건입력'!$B$8,D516)),1,0)))</f>
        <v/>
      </c>
      <c r="M516">
        <f>IFERROR(ABS(E516-'02_대상물건입력'!$B$11)/'02_대상물건입력'!$B$11,"")</f>
        <v/>
      </c>
      <c r="N516">
        <f>IFERROR(ABS('01_설정'!$B$4-F516),"")</f>
        <v/>
      </c>
      <c r="O516">
        <f>IFERROR(ABS(YEAR(I516)-YEAR('02_대상물건입력'!$B$14)),"")</f>
        <v/>
      </c>
      <c r="P516">
        <f>IF(AND(E516&gt;0,F516&gt;0,G516&gt;0,IF('01_설정'!$B$10=1,J516=1,TRUE()),M516&lt;='01_설정'!$B$5,N516&lt;='01_설정'!$B$7,O516&lt;='01_설정'!$B$8),"Y","")</f>
        <v/>
      </c>
      <c r="Q516">
        <f>IF(P516&lt;&gt;"Y","",MAX(0,(1-M516/'01_설정'!$B$5))*'01_설정'!$B$14+MAX(0,(1-N516/'01_설정'!$B$7))*'01_설정'!$B$16+MAX(0,(1-O516/'01_설정'!$B$8))*'01_설정'!$B$17+K516*'01_설정'!$B$11+L516*'01_설정'!$B$12)</f>
        <v/>
      </c>
      <c r="R516">
        <f>IF(Q516="","",1+COUNTIFS($Q$31:$Q$1030,"&gt;"&amp;Q516)+COUNTIFS($Q$31:Q516,Q516)-1)</f>
        <v/>
      </c>
    </row>
    <row r="517" hidden="1" ht="16.5" customHeight="1">
      <c r="A517">
        <f>IF(COUNTA('05_KAIS'!$A505:$N505)=0,"",490)</f>
        <v/>
      </c>
      <c r="B517">
        <f>IF($A517="","",TRIM(INDEX('05_KAIS'!$B:$B,$A517)&amp;" "&amp;INDEX('05_KAIS'!$C:$C,$A517)))</f>
        <v/>
      </c>
      <c r="C517">
        <f>IF($A517="","",INDEX('05_KAIS'!$D:$D,$A517))</f>
        <v/>
      </c>
      <c r="D517">
        <f>IF($A517="","",INDEX('05_KAIS'!$H:$H,$A517))</f>
        <v/>
      </c>
      <c r="E517">
        <f>IF($A517="","",INDEX('05_KAIS'!$K:$K,$A517))</f>
        <v/>
      </c>
      <c r="F517" s="202">
        <f>IF($A517="","",INDEX('05_KAIS'!$I:$I,$A517))</f>
        <v/>
      </c>
      <c r="G517" s="118">
        <f>IF($A517="","",INDEX('05_KAIS'!$L:$L,$A517))</f>
        <v/>
      </c>
      <c r="H517" s="118">
        <f>IF($A517="","",IFERROR(INDEX('05_KAIS'!$M:$M,$A517),IF(AND(E517&gt;0,G517&gt;0),G517/E517,"")))</f>
        <v/>
      </c>
      <c r="I517" s="202">
        <f>IF($A517="","",INDEX('05_KAIS'!$N:$N,$A517))</f>
        <v/>
      </c>
      <c r="J517">
        <f>IF(B517="","",IF('02_대상물건입력'!$B$5="",1,IF(ISNUMBER(SEARCH('02_대상물건입력'!$B$5,B517)),1,0)))</f>
        <v/>
      </c>
      <c r="K517">
        <f>IF(B517="","",IF('02_대상물건입력'!$B$6="",1,IF(ISNUMBER(SEARCH('02_대상물건입력'!$B$6,B517)),1,0)))</f>
        <v/>
      </c>
      <c r="L517">
        <f>IF(D517="","",IF('02_대상물건입력'!$B$8="",0,IF(ISNUMBER(SEARCH('02_대상물건입력'!$B$8,D517)),1,0)))</f>
        <v/>
      </c>
      <c r="M517">
        <f>IFERROR(ABS(E517-'02_대상물건입력'!$B$11)/'02_대상물건입력'!$B$11,"")</f>
        <v/>
      </c>
      <c r="N517">
        <f>IFERROR(ABS('01_설정'!$B$4-F517),"")</f>
        <v/>
      </c>
      <c r="O517">
        <f>IFERROR(ABS(YEAR(I517)-YEAR('02_대상물건입력'!$B$14)),"")</f>
        <v/>
      </c>
      <c r="P517">
        <f>IF(AND(E517&gt;0,F517&gt;0,G517&gt;0,IF('01_설정'!$B$10=1,J517=1,TRUE()),M517&lt;='01_설정'!$B$5,N517&lt;='01_설정'!$B$7,O517&lt;='01_설정'!$B$8),"Y","")</f>
        <v/>
      </c>
      <c r="Q517">
        <f>IF(P517&lt;&gt;"Y","",MAX(0,(1-M517/'01_설정'!$B$5))*'01_설정'!$B$14+MAX(0,(1-N517/'01_설정'!$B$7))*'01_설정'!$B$16+MAX(0,(1-O517/'01_설정'!$B$8))*'01_설정'!$B$17+K517*'01_설정'!$B$11+L517*'01_설정'!$B$12)</f>
        <v/>
      </c>
      <c r="R517">
        <f>IF(Q517="","",1+COUNTIFS($Q$31:$Q$1030,"&gt;"&amp;Q517)+COUNTIFS($Q$31:Q517,Q517)-1)</f>
        <v/>
      </c>
    </row>
    <row r="518" hidden="1" ht="16.5" customHeight="1">
      <c r="A518">
        <f>IF(COUNTA('05_KAIS'!$A506:$N506)=0,"",491)</f>
        <v/>
      </c>
      <c r="B518">
        <f>IF($A518="","",TRIM(INDEX('05_KAIS'!$B:$B,$A518)&amp;" "&amp;INDEX('05_KAIS'!$C:$C,$A518)))</f>
        <v/>
      </c>
      <c r="C518">
        <f>IF($A518="","",INDEX('05_KAIS'!$D:$D,$A518))</f>
        <v/>
      </c>
      <c r="D518">
        <f>IF($A518="","",INDEX('05_KAIS'!$H:$H,$A518))</f>
        <v/>
      </c>
      <c r="E518">
        <f>IF($A518="","",INDEX('05_KAIS'!$K:$K,$A518))</f>
        <v/>
      </c>
      <c r="F518" s="202">
        <f>IF($A518="","",INDEX('05_KAIS'!$I:$I,$A518))</f>
        <v/>
      </c>
      <c r="G518" s="118">
        <f>IF($A518="","",INDEX('05_KAIS'!$L:$L,$A518))</f>
        <v/>
      </c>
      <c r="H518" s="118">
        <f>IF($A518="","",IFERROR(INDEX('05_KAIS'!$M:$M,$A518),IF(AND(E518&gt;0,G518&gt;0),G518/E518,"")))</f>
        <v/>
      </c>
      <c r="I518" s="202">
        <f>IF($A518="","",INDEX('05_KAIS'!$N:$N,$A518))</f>
        <v/>
      </c>
      <c r="J518">
        <f>IF(B518="","",IF('02_대상물건입력'!$B$5="",1,IF(ISNUMBER(SEARCH('02_대상물건입력'!$B$5,B518)),1,0)))</f>
        <v/>
      </c>
      <c r="K518">
        <f>IF(B518="","",IF('02_대상물건입력'!$B$6="",1,IF(ISNUMBER(SEARCH('02_대상물건입력'!$B$6,B518)),1,0)))</f>
        <v/>
      </c>
      <c r="L518">
        <f>IF(D518="","",IF('02_대상물건입력'!$B$8="",0,IF(ISNUMBER(SEARCH('02_대상물건입력'!$B$8,D518)),1,0)))</f>
        <v/>
      </c>
      <c r="M518">
        <f>IFERROR(ABS(E518-'02_대상물건입력'!$B$11)/'02_대상물건입력'!$B$11,"")</f>
        <v/>
      </c>
      <c r="N518">
        <f>IFERROR(ABS('01_설정'!$B$4-F518),"")</f>
        <v/>
      </c>
      <c r="O518">
        <f>IFERROR(ABS(YEAR(I518)-YEAR('02_대상물건입력'!$B$14)),"")</f>
        <v/>
      </c>
      <c r="P518">
        <f>IF(AND(E518&gt;0,F518&gt;0,G518&gt;0,IF('01_설정'!$B$10=1,J518=1,TRUE()),M518&lt;='01_설정'!$B$5,N518&lt;='01_설정'!$B$7,O518&lt;='01_설정'!$B$8),"Y","")</f>
        <v/>
      </c>
      <c r="Q518">
        <f>IF(P518&lt;&gt;"Y","",MAX(0,(1-M518/'01_설정'!$B$5))*'01_설정'!$B$14+MAX(0,(1-N518/'01_설정'!$B$7))*'01_설정'!$B$16+MAX(0,(1-O518/'01_설정'!$B$8))*'01_설정'!$B$17+K518*'01_설정'!$B$11+L518*'01_설정'!$B$12)</f>
        <v/>
      </c>
      <c r="R518">
        <f>IF(Q518="","",1+COUNTIFS($Q$31:$Q$1030,"&gt;"&amp;Q518)+COUNTIFS($Q$31:Q518,Q518)-1)</f>
        <v/>
      </c>
    </row>
    <row r="519" hidden="1" ht="16.5" customHeight="1">
      <c r="A519">
        <f>IF(COUNTA('05_KAIS'!$A507:$N507)=0,"",492)</f>
        <v/>
      </c>
      <c r="B519">
        <f>IF($A519="","",TRIM(INDEX('05_KAIS'!$B:$B,$A519)&amp;" "&amp;INDEX('05_KAIS'!$C:$C,$A519)))</f>
        <v/>
      </c>
      <c r="C519">
        <f>IF($A519="","",INDEX('05_KAIS'!$D:$D,$A519))</f>
        <v/>
      </c>
      <c r="D519">
        <f>IF($A519="","",INDEX('05_KAIS'!$H:$H,$A519))</f>
        <v/>
      </c>
      <c r="E519">
        <f>IF($A519="","",INDEX('05_KAIS'!$K:$K,$A519))</f>
        <v/>
      </c>
      <c r="F519" s="202">
        <f>IF($A519="","",INDEX('05_KAIS'!$I:$I,$A519))</f>
        <v/>
      </c>
      <c r="G519" s="118">
        <f>IF($A519="","",INDEX('05_KAIS'!$L:$L,$A519))</f>
        <v/>
      </c>
      <c r="H519" s="118">
        <f>IF($A519="","",IFERROR(INDEX('05_KAIS'!$M:$M,$A519),IF(AND(E519&gt;0,G519&gt;0),G519/E519,"")))</f>
        <v/>
      </c>
      <c r="I519" s="202">
        <f>IF($A519="","",INDEX('05_KAIS'!$N:$N,$A519))</f>
        <v/>
      </c>
      <c r="J519">
        <f>IF(B519="","",IF('02_대상물건입력'!$B$5="",1,IF(ISNUMBER(SEARCH('02_대상물건입력'!$B$5,B519)),1,0)))</f>
        <v/>
      </c>
      <c r="K519">
        <f>IF(B519="","",IF('02_대상물건입력'!$B$6="",1,IF(ISNUMBER(SEARCH('02_대상물건입력'!$B$6,B519)),1,0)))</f>
        <v/>
      </c>
      <c r="L519">
        <f>IF(D519="","",IF('02_대상물건입력'!$B$8="",0,IF(ISNUMBER(SEARCH('02_대상물건입력'!$B$8,D519)),1,0)))</f>
        <v/>
      </c>
      <c r="M519">
        <f>IFERROR(ABS(E519-'02_대상물건입력'!$B$11)/'02_대상물건입력'!$B$11,"")</f>
        <v/>
      </c>
      <c r="N519">
        <f>IFERROR(ABS('01_설정'!$B$4-F519),"")</f>
        <v/>
      </c>
      <c r="O519">
        <f>IFERROR(ABS(YEAR(I519)-YEAR('02_대상물건입력'!$B$14)),"")</f>
        <v/>
      </c>
      <c r="P519">
        <f>IF(AND(E519&gt;0,F519&gt;0,G519&gt;0,IF('01_설정'!$B$10=1,J519=1,TRUE()),M519&lt;='01_설정'!$B$5,N519&lt;='01_설정'!$B$7,O519&lt;='01_설정'!$B$8),"Y","")</f>
        <v/>
      </c>
      <c r="Q519">
        <f>IF(P519&lt;&gt;"Y","",MAX(0,(1-M519/'01_설정'!$B$5))*'01_설정'!$B$14+MAX(0,(1-N519/'01_설정'!$B$7))*'01_설정'!$B$16+MAX(0,(1-O519/'01_설정'!$B$8))*'01_설정'!$B$17+K519*'01_설정'!$B$11+L519*'01_설정'!$B$12)</f>
        <v/>
      </c>
      <c r="R519">
        <f>IF(Q519="","",1+COUNTIFS($Q$31:$Q$1030,"&gt;"&amp;Q519)+COUNTIFS($Q$31:Q519,Q519)-1)</f>
        <v/>
      </c>
    </row>
    <row r="520" hidden="1" ht="16.5" customHeight="1">
      <c r="A520">
        <f>IF(COUNTA('05_KAIS'!$A508:$N508)=0,"",493)</f>
        <v/>
      </c>
      <c r="B520">
        <f>IF($A520="","",TRIM(INDEX('05_KAIS'!$B:$B,$A520)&amp;" "&amp;INDEX('05_KAIS'!$C:$C,$A520)))</f>
        <v/>
      </c>
      <c r="C520">
        <f>IF($A520="","",INDEX('05_KAIS'!$D:$D,$A520))</f>
        <v/>
      </c>
      <c r="D520">
        <f>IF($A520="","",INDEX('05_KAIS'!$H:$H,$A520))</f>
        <v/>
      </c>
      <c r="E520">
        <f>IF($A520="","",INDEX('05_KAIS'!$K:$K,$A520))</f>
        <v/>
      </c>
      <c r="F520" s="202">
        <f>IF($A520="","",INDEX('05_KAIS'!$I:$I,$A520))</f>
        <v/>
      </c>
      <c r="G520" s="118">
        <f>IF($A520="","",INDEX('05_KAIS'!$L:$L,$A520))</f>
        <v/>
      </c>
      <c r="H520" s="118">
        <f>IF($A520="","",IFERROR(INDEX('05_KAIS'!$M:$M,$A520),IF(AND(E520&gt;0,G520&gt;0),G520/E520,"")))</f>
        <v/>
      </c>
      <c r="I520" s="202">
        <f>IF($A520="","",INDEX('05_KAIS'!$N:$N,$A520))</f>
        <v/>
      </c>
      <c r="J520">
        <f>IF(B520="","",IF('02_대상물건입력'!$B$5="",1,IF(ISNUMBER(SEARCH('02_대상물건입력'!$B$5,B520)),1,0)))</f>
        <v/>
      </c>
      <c r="K520">
        <f>IF(B520="","",IF('02_대상물건입력'!$B$6="",1,IF(ISNUMBER(SEARCH('02_대상물건입력'!$B$6,B520)),1,0)))</f>
        <v/>
      </c>
      <c r="L520">
        <f>IF(D520="","",IF('02_대상물건입력'!$B$8="",0,IF(ISNUMBER(SEARCH('02_대상물건입력'!$B$8,D520)),1,0)))</f>
        <v/>
      </c>
      <c r="M520">
        <f>IFERROR(ABS(E520-'02_대상물건입력'!$B$11)/'02_대상물건입력'!$B$11,"")</f>
        <v/>
      </c>
      <c r="N520">
        <f>IFERROR(ABS('01_설정'!$B$4-F520),"")</f>
        <v/>
      </c>
      <c r="O520">
        <f>IFERROR(ABS(YEAR(I520)-YEAR('02_대상물건입력'!$B$14)),"")</f>
        <v/>
      </c>
      <c r="P520">
        <f>IF(AND(E520&gt;0,F520&gt;0,G520&gt;0,IF('01_설정'!$B$10=1,J520=1,TRUE()),M520&lt;='01_설정'!$B$5,N520&lt;='01_설정'!$B$7,O520&lt;='01_설정'!$B$8),"Y","")</f>
        <v/>
      </c>
      <c r="Q520">
        <f>IF(P520&lt;&gt;"Y","",MAX(0,(1-M520/'01_설정'!$B$5))*'01_설정'!$B$14+MAX(0,(1-N520/'01_설정'!$B$7))*'01_설정'!$B$16+MAX(0,(1-O520/'01_설정'!$B$8))*'01_설정'!$B$17+K520*'01_설정'!$B$11+L520*'01_설정'!$B$12)</f>
        <v/>
      </c>
      <c r="R520">
        <f>IF(Q520="","",1+COUNTIFS($Q$31:$Q$1030,"&gt;"&amp;Q520)+COUNTIFS($Q$31:Q520,Q520)-1)</f>
        <v/>
      </c>
    </row>
    <row r="521" hidden="1" ht="16.5" customHeight="1">
      <c r="A521">
        <f>IF(COUNTA('05_KAIS'!$A509:$N509)=0,"",494)</f>
        <v/>
      </c>
      <c r="B521">
        <f>IF($A521="","",TRIM(INDEX('05_KAIS'!$B:$B,$A521)&amp;" "&amp;INDEX('05_KAIS'!$C:$C,$A521)))</f>
        <v/>
      </c>
      <c r="C521">
        <f>IF($A521="","",INDEX('05_KAIS'!$D:$D,$A521))</f>
        <v/>
      </c>
      <c r="D521">
        <f>IF($A521="","",INDEX('05_KAIS'!$H:$H,$A521))</f>
        <v/>
      </c>
      <c r="E521">
        <f>IF($A521="","",INDEX('05_KAIS'!$K:$K,$A521))</f>
        <v/>
      </c>
      <c r="F521" s="202">
        <f>IF($A521="","",INDEX('05_KAIS'!$I:$I,$A521))</f>
        <v/>
      </c>
      <c r="G521" s="118">
        <f>IF($A521="","",INDEX('05_KAIS'!$L:$L,$A521))</f>
        <v/>
      </c>
      <c r="H521" s="118">
        <f>IF($A521="","",IFERROR(INDEX('05_KAIS'!$M:$M,$A521),IF(AND(E521&gt;0,G521&gt;0),G521/E521,"")))</f>
        <v/>
      </c>
      <c r="I521" s="202">
        <f>IF($A521="","",INDEX('05_KAIS'!$N:$N,$A521))</f>
        <v/>
      </c>
      <c r="J521">
        <f>IF(B521="","",IF('02_대상물건입력'!$B$5="",1,IF(ISNUMBER(SEARCH('02_대상물건입력'!$B$5,B521)),1,0)))</f>
        <v/>
      </c>
      <c r="K521">
        <f>IF(B521="","",IF('02_대상물건입력'!$B$6="",1,IF(ISNUMBER(SEARCH('02_대상물건입력'!$B$6,B521)),1,0)))</f>
        <v/>
      </c>
      <c r="L521">
        <f>IF(D521="","",IF('02_대상물건입력'!$B$8="",0,IF(ISNUMBER(SEARCH('02_대상물건입력'!$B$8,D521)),1,0)))</f>
        <v/>
      </c>
      <c r="M521">
        <f>IFERROR(ABS(E521-'02_대상물건입력'!$B$11)/'02_대상물건입력'!$B$11,"")</f>
        <v/>
      </c>
      <c r="N521">
        <f>IFERROR(ABS('01_설정'!$B$4-F521),"")</f>
        <v/>
      </c>
      <c r="O521">
        <f>IFERROR(ABS(YEAR(I521)-YEAR('02_대상물건입력'!$B$14)),"")</f>
        <v/>
      </c>
      <c r="P521">
        <f>IF(AND(E521&gt;0,F521&gt;0,G521&gt;0,IF('01_설정'!$B$10=1,J521=1,TRUE()),M521&lt;='01_설정'!$B$5,N521&lt;='01_설정'!$B$7,O521&lt;='01_설정'!$B$8),"Y","")</f>
        <v/>
      </c>
      <c r="Q521">
        <f>IF(P521&lt;&gt;"Y","",MAX(0,(1-M521/'01_설정'!$B$5))*'01_설정'!$B$14+MAX(0,(1-N521/'01_설정'!$B$7))*'01_설정'!$B$16+MAX(0,(1-O521/'01_설정'!$B$8))*'01_설정'!$B$17+K521*'01_설정'!$B$11+L521*'01_설정'!$B$12)</f>
        <v/>
      </c>
      <c r="R521">
        <f>IF(Q521="","",1+COUNTIFS($Q$31:$Q$1030,"&gt;"&amp;Q521)+COUNTIFS($Q$31:Q521,Q521)-1)</f>
        <v/>
      </c>
    </row>
    <row r="522" hidden="1" ht="16.5" customHeight="1">
      <c r="A522">
        <f>IF(COUNTA('05_KAIS'!$A510:$N510)=0,"",495)</f>
        <v/>
      </c>
      <c r="B522">
        <f>IF($A522="","",TRIM(INDEX('05_KAIS'!$B:$B,$A522)&amp;" "&amp;INDEX('05_KAIS'!$C:$C,$A522)))</f>
        <v/>
      </c>
      <c r="C522">
        <f>IF($A522="","",INDEX('05_KAIS'!$D:$D,$A522))</f>
        <v/>
      </c>
      <c r="D522">
        <f>IF($A522="","",INDEX('05_KAIS'!$H:$H,$A522))</f>
        <v/>
      </c>
      <c r="E522">
        <f>IF($A522="","",INDEX('05_KAIS'!$K:$K,$A522))</f>
        <v/>
      </c>
      <c r="F522" s="202">
        <f>IF($A522="","",INDEX('05_KAIS'!$I:$I,$A522))</f>
        <v/>
      </c>
      <c r="G522" s="118">
        <f>IF($A522="","",INDEX('05_KAIS'!$L:$L,$A522))</f>
        <v/>
      </c>
      <c r="H522" s="118">
        <f>IF($A522="","",IFERROR(INDEX('05_KAIS'!$M:$M,$A522),IF(AND(E522&gt;0,G522&gt;0),G522/E522,"")))</f>
        <v/>
      </c>
      <c r="I522" s="202">
        <f>IF($A522="","",INDEX('05_KAIS'!$N:$N,$A522))</f>
        <v/>
      </c>
      <c r="J522">
        <f>IF(B522="","",IF('02_대상물건입력'!$B$5="",1,IF(ISNUMBER(SEARCH('02_대상물건입력'!$B$5,B522)),1,0)))</f>
        <v/>
      </c>
      <c r="K522">
        <f>IF(B522="","",IF('02_대상물건입력'!$B$6="",1,IF(ISNUMBER(SEARCH('02_대상물건입력'!$B$6,B522)),1,0)))</f>
        <v/>
      </c>
      <c r="L522">
        <f>IF(D522="","",IF('02_대상물건입력'!$B$8="",0,IF(ISNUMBER(SEARCH('02_대상물건입력'!$B$8,D522)),1,0)))</f>
        <v/>
      </c>
      <c r="M522">
        <f>IFERROR(ABS(E522-'02_대상물건입력'!$B$11)/'02_대상물건입력'!$B$11,"")</f>
        <v/>
      </c>
      <c r="N522">
        <f>IFERROR(ABS('01_설정'!$B$4-F522),"")</f>
        <v/>
      </c>
      <c r="O522">
        <f>IFERROR(ABS(YEAR(I522)-YEAR('02_대상물건입력'!$B$14)),"")</f>
        <v/>
      </c>
      <c r="P522">
        <f>IF(AND(E522&gt;0,F522&gt;0,G522&gt;0,IF('01_설정'!$B$10=1,J522=1,TRUE()),M522&lt;='01_설정'!$B$5,N522&lt;='01_설정'!$B$7,O522&lt;='01_설정'!$B$8),"Y","")</f>
        <v/>
      </c>
      <c r="Q522">
        <f>IF(P522&lt;&gt;"Y","",MAX(0,(1-M522/'01_설정'!$B$5))*'01_설정'!$B$14+MAX(0,(1-N522/'01_설정'!$B$7))*'01_설정'!$B$16+MAX(0,(1-O522/'01_설정'!$B$8))*'01_설정'!$B$17+K522*'01_설정'!$B$11+L522*'01_설정'!$B$12)</f>
        <v/>
      </c>
      <c r="R522">
        <f>IF(Q522="","",1+COUNTIFS($Q$31:$Q$1030,"&gt;"&amp;Q522)+COUNTIFS($Q$31:Q522,Q522)-1)</f>
        <v/>
      </c>
    </row>
    <row r="523" hidden="1" ht="16.5" customHeight="1">
      <c r="A523">
        <f>IF(COUNTA('05_KAIS'!$A511:$N511)=0,"",496)</f>
        <v/>
      </c>
      <c r="B523">
        <f>IF($A523="","",TRIM(INDEX('05_KAIS'!$B:$B,$A523)&amp;" "&amp;INDEX('05_KAIS'!$C:$C,$A523)))</f>
        <v/>
      </c>
      <c r="C523">
        <f>IF($A523="","",INDEX('05_KAIS'!$D:$D,$A523))</f>
        <v/>
      </c>
      <c r="D523">
        <f>IF($A523="","",INDEX('05_KAIS'!$H:$H,$A523))</f>
        <v/>
      </c>
      <c r="E523">
        <f>IF($A523="","",INDEX('05_KAIS'!$K:$K,$A523))</f>
        <v/>
      </c>
      <c r="F523" s="202">
        <f>IF($A523="","",INDEX('05_KAIS'!$I:$I,$A523))</f>
        <v/>
      </c>
      <c r="G523" s="118">
        <f>IF($A523="","",INDEX('05_KAIS'!$L:$L,$A523))</f>
        <v/>
      </c>
      <c r="H523" s="118">
        <f>IF($A523="","",IFERROR(INDEX('05_KAIS'!$M:$M,$A523),IF(AND(E523&gt;0,G523&gt;0),G523/E523,"")))</f>
        <v/>
      </c>
      <c r="I523" s="202">
        <f>IF($A523="","",INDEX('05_KAIS'!$N:$N,$A523))</f>
        <v/>
      </c>
      <c r="J523">
        <f>IF(B523="","",IF('02_대상물건입력'!$B$5="",1,IF(ISNUMBER(SEARCH('02_대상물건입력'!$B$5,B523)),1,0)))</f>
        <v/>
      </c>
      <c r="K523">
        <f>IF(B523="","",IF('02_대상물건입력'!$B$6="",1,IF(ISNUMBER(SEARCH('02_대상물건입력'!$B$6,B523)),1,0)))</f>
        <v/>
      </c>
      <c r="L523">
        <f>IF(D523="","",IF('02_대상물건입력'!$B$8="",0,IF(ISNUMBER(SEARCH('02_대상물건입력'!$B$8,D523)),1,0)))</f>
        <v/>
      </c>
      <c r="M523">
        <f>IFERROR(ABS(E523-'02_대상물건입력'!$B$11)/'02_대상물건입력'!$B$11,"")</f>
        <v/>
      </c>
      <c r="N523">
        <f>IFERROR(ABS('01_설정'!$B$4-F523),"")</f>
        <v/>
      </c>
      <c r="O523">
        <f>IFERROR(ABS(YEAR(I523)-YEAR('02_대상물건입력'!$B$14)),"")</f>
        <v/>
      </c>
      <c r="P523">
        <f>IF(AND(E523&gt;0,F523&gt;0,G523&gt;0,IF('01_설정'!$B$10=1,J523=1,TRUE()),M523&lt;='01_설정'!$B$5,N523&lt;='01_설정'!$B$7,O523&lt;='01_설정'!$B$8),"Y","")</f>
        <v/>
      </c>
      <c r="Q523">
        <f>IF(P523&lt;&gt;"Y","",MAX(0,(1-M523/'01_설정'!$B$5))*'01_설정'!$B$14+MAX(0,(1-N523/'01_설정'!$B$7))*'01_설정'!$B$16+MAX(0,(1-O523/'01_설정'!$B$8))*'01_설정'!$B$17+K523*'01_설정'!$B$11+L523*'01_설정'!$B$12)</f>
        <v/>
      </c>
      <c r="R523">
        <f>IF(Q523="","",1+COUNTIFS($Q$31:$Q$1030,"&gt;"&amp;Q523)+COUNTIFS($Q$31:Q523,Q523)-1)</f>
        <v/>
      </c>
    </row>
    <row r="524" hidden="1" ht="16.5" customHeight="1">
      <c r="A524">
        <f>IF(COUNTA('05_KAIS'!$A512:$N512)=0,"",497)</f>
        <v/>
      </c>
      <c r="B524">
        <f>IF($A524="","",TRIM(INDEX('05_KAIS'!$B:$B,$A524)&amp;" "&amp;INDEX('05_KAIS'!$C:$C,$A524)))</f>
        <v/>
      </c>
      <c r="C524">
        <f>IF($A524="","",INDEX('05_KAIS'!$D:$D,$A524))</f>
        <v/>
      </c>
      <c r="D524">
        <f>IF($A524="","",INDEX('05_KAIS'!$H:$H,$A524))</f>
        <v/>
      </c>
      <c r="E524">
        <f>IF($A524="","",INDEX('05_KAIS'!$K:$K,$A524))</f>
        <v/>
      </c>
      <c r="F524" s="202">
        <f>IF($A524="","",INDEX('05_KAIS'!$I:$I,$A524))</f>
        <v/>
      </c>
      <c r="G524" s="118">
        <f>IF($A524="","",INDEX('05_KAIS'!$L:$L,$A524))</f>
        <v/>
      </c>
      <c r="H524" s="118">
        <f>IF($A524="","",IFERROR(INDEX('05_KAIS'!$M:$M,$A524),IF(AND(E524&gt;0,G524&gt;0),G524/E524,"")))</f>
        <v/>
      </c>
      <c r="I524" s="202">
        <f>IF($A524="","",INDEX('05_KAIS'!$N:$N,$A524))</f>
        <v/>
      </c>
      <c r="J524">
        <f>IF(B524="","",IF('02_대상물건입력'!$B$5="",1,IF(ISNUMBER(SEARCH('02_대상물건입력'!$B$5,B524)),1,0)))</f>
        <v/>
      </c>
      <c r="K524">
        <f>IF(B524="","",IF('02_대상물건입력'!$B$6="",1,IF(ISNUMBER(SEARCH('02_대상물건입력'!$B$6,B524)),1,0)))</f>
        <v/>
      </c>
      <c r="L524">
        <f>IF(D524="","",IF('02_대상물건입력'!$B$8="",0,IF(ISNUMBER(SEARCH('02_대상물건입력'!$B$8,D524)),1,0)))</f>
        <v/>
      </c>
      <c r="M524">
        <f>IFERROR(ABS(E524-'02_대상물건입력'!$B$11)/'02_대상물건입력'!$B$11,"")</f>
        <v/>
      </c>
      <c r="N524">
        <f>IFERROR(ABS('01_설정'!$B$4-F524),"")</f>
        <v/>
      </c>
      <c r="O524">
        <f>IFERROR(ABS(YEAR(I524)-YEAR('02_대상물건입력'!$B$14)),"")</f>
        <v/>
      </c>
      <c r="P524">
        <f>IF(AND(E524&gt;0,F524&gt;0,G524&gt;0,IF('01_설정'!$B$10=1,J524=1,TRUE()),M524&lt;='01_설정'!$B$5,N524&lt;='01_설정'!$B$7,O524&lt;='01_설정'!$B$8),"Y","")</f>
        <v/>
      </c>
      <c r="Q524">
        <f>IF(P524&lt;&gt;"Y","",MAX(0,(1-M524/'01_설정'!$B$5))*'01_설정'!$B$14+MAX(0,(1-N524/'01_설정'!$B$7))*'01_설정'!$B$16+MAX(0,(1-O524/'01_설정'!$B$8))*'01_설정'!$B$17+K524*'01_설정'!$B$11+L524*'01_설정'!$B$12)</f>
        <v/>
      </c>
      <c r="R524">
        <f>IF(Q524="","",1+COUNTIFS($Q$31:$Q$1030,"&gt;"&amp;Q524)+COUNTIFS($Q$31:Q524,Q524)-1)</f>
        <v/>
      </c>
    </row>
    <row r="525" hidden="1" ht="16.5" customHeight="1">
      <c r="A525">
        <f>IF(COUNTA('05_KAIS'!$A513:$N513)=0,"",498)</f>
        <v/>
      </c>
      <c r="B525">
        <f>IF($A525="","",TRIM(INDEX('05_KAIS'!$B:$B,$A525)&amp;" "&amp;INDEX('05_KAIS'!$C:$C,$A525)))</f>
        <v/>
      </c>
      <c r="C525">
        <f>IF($A525="","",INDEX('05_KAIS'!$D:$D,$A525))</f>
        <v/>
      </c>
      <c r="D525">
        <f>IF($A525="","",INDEX('05_KAIS'!$H:$H,$A525))</f>
        <v/>
      </c>
      <c r="E525">
        <f>IF($A525="","",INDEX('05_KAIS'!$K:$K,$A525))</f>
        <v/>
      </c>
      <c r="F525" s="202">
        <f>IF($A525="","",INDEX('05_KAIS'!$I:$I,$A525))</f>
        <v/>
      </c>
      <c r="G525" s="118">
        <f>IF($A525="","",INDEX('05_KAIS'!$L:$L,$A525))</f>
        <v/>
      </c>
      <c r="H525" s="118">
        <f>IF($A525="","",IFERROR(INDEX('05_KAIS'!$M:$M,$A525),IF(AND(E525&gt;0,G525&gt;0),G525/E525,"")))</f>
        <v/>
      </c>
      <c r="I525" s="202">
        <f>IF($A525="","",INDEX('05_KAIS'!$N:$N,$A525))</f>
        <v/>
      </c>
      <c r="J525">
        <f>IF(B525="","",IF('02_대상물건입력'!$B$5="",1,IF(ISNUMBER(SEARCH('02_대상물건입력'!$B$5,B525)),1,0)))</f>
        <v/>
      </c>
      <c r="K525">
        <f>IF(B525="","",IF('02_대상물건입력'!$B$6="",1,IF(ISNUMBER(SEARCH('02_대상물건입력'!$B$6,B525)),1,0)))</f>
        <v/>
      </c>
      <c r="L525">
        <f>IF(D525="","",IF('02_대상물건입력'!$B$8="",0,IF(ISNUMBER(SEARCH('02_대상물건입력'!$B$8,D525)),1,0)))</f>
        <v/>
      </c>
      <c r="M525">
        <f>IFERROR(ABS(E525-'02_대상물건입력'!$B$11)/'02_대상물건입력'!$B$11,"")</f>
        <v/>
      </c>
      <c r="N525">
        <f>IFERROR(ABS('01_설정'!$B$4-F525),"")</f>
        <v/>
      </c>
      <c r="O525">
        <f>IFERROR(ABS(YEAR(I525)-YEAR('02_대상물건입력'!$B$14)),"")</f>
        <v/>
      </c>
      <c r="P525">
        <f>IF(AND(E525&gt;0,F525&gt;0,G525&gt;0,IF('01_설정'!$B$10=1,J525=1,TRUE()),M525&lt;='01_설정'!$B$5,N525&lt;='01_설정'!$B$7,O525&lt;='01_설정'!$B$8),"Y","")</f>
        <v/>
      </c>
      <c r="Q525">
        <f>IF(P525&lt;&gt;"Y","",MAX(0,(1-M525/'01_설정'!$B$5))*'01_설정'!$B$14+MAX(0,(1-N525/'01_설정'!$B$7))*'01_설정'!$B$16+MAX(0,(1-O525/'01_설정'!$B$8))*'01_설정'!$B$17+K525*'01_설정'!$B$11+L525*'01_설정'!$B$12)</f>
        <v/>
      </c>
      <c r="R525">
        <f>IF(Q525="","",1+COUNTIFS($Q$31:$Q$1030,"&gt;"&amp;Q525)+COUNTIFS($Q$31:Q525,Q525)-1)</f>
        <v/>
      </c>
    </row>
    <row r="526" hidden="1" ht="16.5" customHeight="1">
      <c r="A526">
        <f>IF(COUNTA('05_KAIS'!$A514:$N514)=0,"",499)</f>
        <v/>
      </c>
      <c r="B526">
        <f>IF($A526="","",TRIM(INDEX('05_KAIS'!$B:$B,$A526)&amp;" "&amp;INDEX('05_KAIS'!$C:$C,$A526)))</f>
        <v/>
      </c>
      <c r="C526">
        <f>IF($A526="","",INDEX('05_KAIS'!$D:$D,$A526))</f>
        <v/>
      </c>
      <c r="D526">
        <f>IF($A526="","",INDEX('05_KAIS'!$H:$H,$A526))</f>
        <v/>
      </c>
      <c r="E526">
        <f>IF($A526="","",INDEX('05_KAIS'!$K:$K,$A526))</f>
        <v/>
      </c>
      <c r="F526" s="202">
        <f>IF($A526="","",INDEX('05_KAIS'!$I:$I,$A526))</f>
        <v/>
      </c>
      <c r="G526" s="118">
        <f>IF($A526="","",INDEX('05_KAIS'!$L:$L,$A526))</f>
        <v/>
      </c>
      <c r="H526" s="118">
        <f>IF($A526="","",IFERROR(INDEX('05_KAIS'!$M:$M,$A526),IF(AND(E526&gt;0,G526&gt;0),G526/E526,"")))</f>
        <v/>
      </c>
      <c r="I526" s="202">
        <f>IF($A526="","",INDEX('05_KAIS'!$N:$N,$A526))</f>
        <v/>
      </c>
      <c r="J526">
        <f>IF(B526="","",IF('02_대상물건입력'!$B$5="",1,IF(ISNUMBER(SEARCH('02_대상물건입력'!$B$5,B526)),1,0)))</f>
        <v/>
      </c>
      <c r="K526">
        <f>IF(B526="","",IF('02_대상물건입력'!$B$6="",1,IF(ISNUMBER(SEARCH('02_대상물건입력'!$B$6,B526)),1,0)))</f>
        <v/>
      </c>
      <c r="L526">
        <f>IF(D526="","",IF('02_대상물건입력'!$B$8="",0,IF(ISNUMBER(SEARCH('02_대상물건입력'!$B$8,D526)),1,0)))</f>
        <v/>
      </c>
      <c r="M526">
        <f>IFERROR(ABS(E526-'02_대상물건입력'!$B$11)/'02_대상물건입력'!$B$11,"")</f>
        <v/>
      </c>
      <c r="N526">
        <f>IFERROR(ABS('01_설정'!$B$4-F526),"")</f>
        <v/>
      </c>
      <c r="O526">
        <f>IFERROR(ABS(YEAR(I526)-YEAR('02_대상물건입력'!$B$14)),"")</f>
        <v/>
      </c>
      <c r="P526">
        <f>IF(AND(E526&gt;0,F526&gt;0,G526&gt;0,IF('01_설정'!$B$10=1,J526=1,TRUE()),M526&lt;='01_설정'!$B$5,N526&lt;='01_설정'!$B$7,O526&lt;='01_설정'!$B$8),"Y","")</f>
        <v/>
      </c>
      <c r="Q526">
        <f>IF(P526&lt;&gt;"Y","",MAX(0,(1-M526/'01_설정'!$B$5))*'01_설정'!$B$14+MAX(0,(1-N526/'01_설정'!$B$7))*'01_설정'!$B$16+MAX(0,(1-O526/'01_설정'!$B$8))*'01_설정'!$B$17+K526*'01_설정'!$B$11+L526*'01_설정'!$B$12)</f>
        <v/>
      </c>
      <c r="R526">
        <f>IF(Q526="","",1+COUNTIFS($Q$31:$Q$1030,"&gt;"&amp;Q526)+COUNTIFS($Q$31:Q526,Q526)-1)</f>
        <v/>
      </c>
    </row>
    <row r="527" hidden="1" ht="16.5" customHeight="1">
      <c r="A527">
        <f>IF(COUNTA('05_KAIS'!$A515:$N515)=0,"",500)</f>
        <v/>
      </c>
      <c r="B527">
        <f>IF($A527="","",TRIM(INDEX('05_KAIS'!$B:$B,$A527)&amp;" "&amp;INDEX('05_KAIS'!$C:$C,$A527)))</f>
        <v/>
      </c>
      <c r="C527">
        <f>IF($A527="","",INDEX('05_KAIS'!$D:$D,$A527))</f>
        <v/>
      </c>
      <c r="D527">
        <f>IF($A527="","",INDEX('05_KAIS'!$H:$H,$A527))</f>
        <v/>
      </c>
      <c r="E527">
        <f>IF($A527="","",INDEX('05_KAIS'!$K:$K,$A527))</f>
        <v/>
      </c>
      <c r="F527" s="202">
        <f>IF($A527="","",INDEX('05_KAIS'!$I:$I,$A527))</f>
        <v/>
      </c>
      <c r="G527" s="118">
        <f>IF($A527="","",INDEX('05_KAIS'!$L:$L,$A527))</f>
        <v/>
      </c>
      <c r="H527" s="118">
        <f>IF($A527="","",IFERROR(INDEX('05_KAIS'!$M:$M,$A527),IF(AND(E527&gt;0,G527&gt;0),G527/E527,"")))</f>
        <v/>
      </c>
      <c r="I527" s="202">
        <f>IF($A527="","",INDEX('05_KAIS'!$N:$N,$A527))</f>
        <v/>
      </c>
      <c r="J527">
        <f>IF(B527="","",IF('02_대상물건입력'!$B$5="",1,IF(ISNUMBER(SEARCH('02_대상물건입력'!$B$5,B527)),1,0)))</f>
        <v/>
      </c>
      <c r="K527">
        <f>IF(B527="","",IF('02_대상물건입력'!$B$6="",1,IF(ISNUMBER(SEARCH('02_대상물건입력'!$B$6,B527)),1,0)))</f>
        <v/>
      </c>
      <c r="L527">
        <f>IF(D527="","",IF('02_대상물건입력'!$B$8="",0,IF(ISNUMBER(SEARCH('02_대상물건입력'!$B$8,D527)),1,0)))</f>
        <v/>
      </c>
      <c r="M527">
        <f>IFERROR(ABS(E527-'02_대상물건입력'!$B$11)/'02_대상물건입력'!$B$11,"")</f>
        <v/>
      </c>
      <c r="N527">
        <f>IFERROR(ABS('01_설정'!$B$4-F527),"")</f>
        <v/>
      </c>
      <c r="O527">
        <f>IFERROR(ABS(YEAR(I527)-YEAR('02_대상물건입력'!$B$14)),"")</f>
        <v/>
      </c>
      <c r="P527">
        <f>IF(AND(E527&gt;0,F527&gt;0,G527&gt;0,IF('01_설정'!$B$10=1,J527=1,TRUE()),M527&lt;='01_설정'!$B$5,N527&lt;='01_설정'!$B$7,O527&lt;='01_설정'!$B$8),"Y","")</f>
        <v/>
      </c>
      <c r="Q527">
        <f>IF(P527&lt;&gt;"Y","",MAX(0,(1-M527/'01_설정'!$B$5))*'01_설정'!$B$14+MAX(0,(1-N527/'01_설정'!$B$7))*'01_설정'!$B$16+MAX(0,(1-O527/'01_설정'!$B$8))*'01_설정'!$B$17+K527*'01_설정'!$B$11+L527*'01_설정'!$B$12)</f>
        <v/>
      </c>
      <c r="R527">
        <f>IF(Q527="","",1+COUNTIFS($Q$31:$Q$1030,"&gt;"&amp;Q527)+COUNTIFS($Q$31:Q527,Q527)-1)</f>
        <v/>
      </c>
    </row>
    <row r="528" hidden="1" ht="16.5" customHeight="1">
      <c r="A528">
        <f>IF(COUNTA('05_KAIS'!$A516:$N516)=0,"",501)</f>
        <v/>
      </c>
      <c r="B528">
        <f>IF($A528="","",TRIM(INDEX('05_KAIS'!$B:$B,$A528)&amp;" "&amp;INDEX('05_KAIS'!$C:$C,$A528)))</f>
        <v/>
      </c>
      <c r="C528">
        <f>IF($A528="","",INDEX('05_KAIS'!$D:$D,$A528))</f>
        <v/>
      </c>
      <c r="D528">
        <f>IF($A528="","",INDEX('05_KAIS'!$H:$H,$A528))</f>
        <v/>
      </c>
      <c r="E528">
        <f>IF($A528="","",INDEX('05_KAIS'!$K:$K,$A528))</f>
        <v/>
      </c>
      <c r="F528" s="202">
        <f>IF($A528="","",INDEX('05_KAIS'!$I:$I,$A528))</f>
        <v/>
      </c>
      <c r="G528" s="118">
        <f>IF($A528="","",INDEX('05_KAIS'!$L:$L,$A528))</f>
        <v/>
      </c>
      <c r="H528" s="118">
        <f>IF($A528="","",IFERROR(INDEX('05_KAIS'!$M:$M,$A528),IF(AND(E528&gt;0,G528&gt;0),G528/E528,"")))</f>
        <v/>
      </c>
      <c r="I528" s="202">
        <f>IF($A528="","",INDEX('05_KAIS'!$N:$N,$A528))</f>
        <v/>
      </c>
      <c r="J528">
        <f>IF(B528="","",IF('02_대상물건입력'!$B$5="",1,IF(ISNUMBER(SEARCH('02_대상물건입력'!$B$5,B528)),1,0)))</f>
        <v/>
      </c>
      <c r="K528">
        <f>IF(B528="","",IF('02_대상물건입력'!$B$6="",1,IF(ISNUMBER(SEARCH('02_대상물건입력'!$B$6,B528)),1,0)))</f>
        <v/>
      </c>
      <c r="L528">
        <f>IF(D528="","",IF('02_대상물건입력'!$B$8="",0,IF(ISNUMBER(SEARCH('02_대상물건입력'!$B$8,D528)),1,0)))</f>
        <v/>
      </c>
      <c r="M528">
        <f>IFERROR(ABS(E528-'02_대상물건입력'!$B$11)/'02_대상물건입력'!$B$11,"")</f>
        <v/>
      </c>
      <c r="N528">
        <f>IFERROR(ABS('01_설정'!$B$4-F528),"")</f>
        <v/>
      </c>
      <c r="O528">
        <f>IFERROR(ABS(YEAR(I528)-YEAR('02_대상물건입력'!$B$14)),"")</f>
        <v/>
      </c>
      <c r="P528">
        <f>IF(AND(E528&gt;0,F528&gt;0,G528&gt;0,IF('01_설정'!$B$10=1,J528=1,TRUE()),M528&lt;='01_설정'!$B$5,N528&lt;='01_설정'!$B$7,O528&lt;='01_설정'!$B$8),"Y","")</f>
        <v/>
      </c>
      <c r="Q528">
        <f>IF(P528&lt;&gt;"Y","",MAX(0,(1-M528/'01_설정'!$B$5))*'01_설정'!$B$14+MAX(0,(1-N528/'01_설정'!$B$7))*'01_설정'!$B$16+MAX(0,(1-O528/'01_설정'!$B$8))*'01_설정'!$B$17+K528*'01_설정'!$B$11+L528*'01_설정'!$B$12)</f>
        <v/>
      </c>
      <c r="R528">
        <f>IF(Q528="","",1+COUNTIFS($Q$31:$Q$1030,"&gt;"&amp;Q528)+COUNTIFS($Q$31:Q528,Q528)-1)</f>
        <v/>
      </c>
    </row>
    <row r="529" hidden="1" ht="16.5" customHeight="1">
      <c r="A529">
        <f>IF(COUNTA('05_KAIS'!$A517:$N517)=0,"",502)</f>
        <v/>
      </c>
      <c r="B529">
        <f>IF($A529="","",TRIM(INDEX('05_KAIS'!$B:$B,$A529)&amp;" "&amp;INDEX('05_KAIS'!$C:$C,$A529)))</f>
        <v/>
      </c>
      <c r="C529">
        <f>IF($A529="","",INDEX('05_KAIS'!$D:$D,$A529))</f>
        <v/>
      </c>
      <c r="D529">
        <f>IF($A529="","",INDEX('05_KAIS'!$H:$H,$A529))</f>
        <v/>
      </c>
      <c r="E529">
        <f>IF($A529="","",INDEX('05_KAIS'!$K:$K,$A529))</f>
        <v/>
      </c>
      <c r="F529" s="202">
        <f>IF($A529="","",INDEX('05_KAIS'!$I:$I,$A529))</f>
        <v/>
      </c>
      <c r="G529" s="118">
        <f>IF($A529="","",INDEX('05_KAIS'!$L:$L,$A529))</f>
        <v/>
      </c>
      <c r="H529" s="118">
        <f>IF($A529="","",IFERROR(INDEX('05_KAIS'!$M:$M,$A529),IF(AND(E529&gt;0,G529&gt;0),G529/E529,"")))</f>
        <v/>
      </c>
      <c r="I529" s="202">
        <f>IF($A529="","",INDEX('05_KAIS'!$N:$N,$A529))</f>
        <v/>
      </c>
      <c r="J529">
        <f>IF(B529="","",IF('02_대상물건입력'!$B$5="",1,IF(ISNUMBER(SEARCH('02_대상물건입력'!$B$5,B529)),1,0)))</f>
        <v/>
      </c>
      <c r="K529">
        <f>IF(B529="","",IF('02_대상물건입력'!$B$6="",1,IF(ISNUMBER(SEARCH('02_대상물건입력'!$B$6,B529)),1,0)))</f>
        <v/>
      </c>
      <c r="L529">
        <f>IF(D529="","",IF('02_대상물건입력'!$B$8="",0,IF(ISNUMBER(SEARCH('02_대상물건입력'!$B$8,D529)),1,0)))</f>
        <v/>
      </c>
      <c r="M529">
        <f>IFERROR(ABS(E529-'02_대상물건입력'!$B$11)/'02_대상물건입력'!$B$11,"")</f>
        <v/>
      </c>
      <c r="N529">
        <f>IFERROR(ABS('01_설정'!$B$4-F529),"")</f>
        <v/>
      </c>
      <c r="O529">
        <f>IFERROR(ABS(YEAR(I529)-YEAR('02_대상물건입력'!$B$14)),"")</f>
        <v/>
      </c>
      <c r="P529">
        <f>IF(AND(E529&gt;0,F529&gt;0,G529&gt;0,IF('01_설정'!$B$10=1,J529=1,TRUE()),M529&lt;='01_설정'!$B$5,N529&lt;='01_설정'!$B$7,O529&lt;='01_설정'!$B$8),"Y","")</f>
        <v/>
      </c>
      <c r="Q529">
        <f>IF(P529&lt;&gt;"Y","",MAX(0,(1-M529/'01_설정'!$B$5))*'01_설정'!$B$14+MAX(0,(1-N529/'01_설정'!$B$7))*'01_설정'!$B$16+MAX(0,(1-O529/'01_설정'!$B$8))*'01_설정'!$B$17+K529*'01_설정'!$B$11+L529*'01_설정'!$B$12)</f>
        <v/>
      </c>
      <c r="R529">
        <f>IF(Q529="","",1+COUNTIFS($Q$31:$Q$1030,"&gt;"&amp;Q529)+COUNTIFS($Q$31:Q529,Q529)-1)</f>
        <v/>
      </c>
    </row>
    <row r="530" hidden="1" ht="16.5" customHeight="1">
      <c r="A530">
        <f>IF(COUNTA('05_KAIS'!$A518:$N518)=0,"",503)</f>
        <v/>
      </c>
      <c r="B530">
        <f>IF($A530="","",TRIM(INDEX('05_KAIS'!$B:$B,$A530)&amp;" "&amp;INDEX('05_KAIS'!$C:$C,$A530)))</f>
        <v/>
      </c>
      <c r="C530">
        <f>IF($A530="","",INDEX('05_KAIS'!$D:$D,$A530))</f>
        <v/>
      </c>
      <c r="D530">
        <f>IF($A530="","",INDEX('05_KAIS'!$H:$H,$A530))</f>
        <v/>
      </c>
      <c r="E530">
        <f>IF($A530="","",INDEX('05_KAIS'!$K:$K,$A530))</f>
        <v/>
      </c>
      <c r="F530" s="202">
        <f>IF($A530="","",INDEX('05_KAIS'!$I:$I,$A530))</f>
        <v/>
      </c>
      <c r="G530" s="118">
        <f>IF($A530="","",INDEX('05_KAIS'!$L:$L,$A530))</f>
        <v/>
      </c>
      <c r="H530" s="118">
        <f>IF($A530="","",IFERROR(INDEX('05_KAIS'!$M:$M,$A530),IF(AND(E530&gt;0,G530&gt;0),G530/E530,"")))</f>
        <v/>
      </c>
      <c r="I530" s="202">
        <f>IF($A530="","",INDEX('05_KAIS'!$N:$N,$A530))</f>
        <v/>
      </c>
      <c r="J530">
        <f>IF(B530="","",IF('02_대상물건입력'!$B$5="",1,IF(ISNUMBER(SEARCH('02_대상물건입력'!$B$5,B530)),1,0)))</f>
        <v/>
      </c>
      <c r="K530">
        <f>IF(B530="","",IF('02_대상물건입력'!$B$6="",1,IF(ISNUMBER(SEARCH('02_대상물건입력'!$B$6,B530)),1,0)))</f>
        <v/>
      </c>
      <c r="L530">
        <f>IF(D530="","",IF('02_대상물건입력'!$B$8="",0,IF(ISNUMBER(SEARCH('02_대상물건입력'!$B$8,D530)),1,0)))</f>
        <v/>
      </c>
      <c r="M530">
        <f>IFERROR(ABS(E530-'02_대상물건입력'!$B$11)/'02_대상물건입력'!$B$11,"")</f>
        <v/>
      </c>
      <c r="N530">
        <f>IFERROR(ABS('01_설정'!$B$4-F530),"")</f>
        <v/>
      </c>
      <c r="O530">
        <f>IFERROR(ABS(YEAR(I530)-YEAR('02_대상물건입력'!$B$14)),"")</f>
        <v/>
      </c>
      <c r="P530">
        <f>IF(AND(E530&gt;0,F530&gt;0,G530&gt;0,IF('01_설정'!$B$10=1,J530=1,TRUE()),M530&lt;='01_설정'!$B$5,N530&lt;='01_설정'!$B$7,O530&lt;='01_설정'!$B$8),"Y","")</f>
        <v/>
      </c>
      <c r="Q530">
        <f>IF(P530&lt;&gt;"Y","",MAX(0,(1-M530/'01_설정'!$B$5))*'01_설정'!$B$14+MAX(0,(1-N530/'01_설정'!$B$7))*'01_설정'!$B$16+MAX(0,(1-O530/'01_설정'!$B$8))*'01_설정'!$B$17+K530*'01_설정'!$B$11+L530*'01_설정'!$B$12)</f>
        <v/>
      </c>
      <c r="R530">
        <f>IF(Q530="","",1+COUNTIFS($Q$31:$Q$1030,"&gt;"&amp;Q530)+COUNTIFS($Q$31:Q530,Q530)-1)</f>
        <v/>
      </c>
    </row>
    <row r="531" hidden="1" ht="16.5" customHeight="1">
      <c r="A531">
        <f>IF(COUNTA('05_KAIS'!$A519:$N519)=0,"",504)</f>
        <v/>
      </c>
      <c r="B531">
        <f>IF($A531="","",TRIM(INDEX('05_KAIS'!$B:$B,$A531)&amp;" "&amp;INDEX('05_KAIS'!$C:$C,$A531)))</f>
        <v/>
      </c>
      <c r="C531">
        <f>IF($A531="","",INDEX('05_KAIS'!$D:$D,$A531))</f>
        <v/>
      </c>
      <c r="D531">
        <f>IF($A531="","",INDEX('05_KAIS'!$H:$H,$A531))</f>
        <v/>
      </c>
      <c r="E531">
        <f>IF($A531="","",INDEX('05_KAIS'!$K:$K,$A531))</f>
        <v/>
      </c>
      <c r="F531" s="202">
        <f>IF($A531="","",INDEX('05_KAIS'!$I:$I,$A531))</f>
        <v/>
      </c>
      <c r="G531" s="118">
        <f>IF($A531="","",INDEX('05_KAIS'!$L:$L,$A531))</f>
        <v/>
      </c>
      <c r="H531" s="118">
        <f>IF($A531="","",IFERROR(INDEX('05_KAIS'!$M:$M,$A531),IF(AND(E531&gt;0,G531&gt;0),G531/E531,"")))</f>
        <v/>
      </c>
      <c r="I531" s="202">
        <f>IF($A531="","",INDEX('05_KAIS'!$N:$N,$A531))</f>
        <v/>
      </c>
      <c r="J531">
        <f>IF(B531="","",IF('02_대상물건입력'!$B$5="",1,IF(ISNUMBER(SEARCH('02_대상물건입력'!$B$5,B531)),1,0)))</f>
        <v/>
      </c>
      <c r="K531">
        <f>IF(B531="","",IF('02_대상물건입력'!$B$6="",1,IF(ISNUMBER(SEARCH('02_대상물건입력'!$B$6,B531)),1,0)))</f>
        <v/>
      </c>
      <c r="L531">
        <f>IF(D531="","",IF('02_대상물건입력'!$B$8="",0,IF(ISNUMBER(SEARCH('02_대상물건입력'!$B$8,D531)),1,0)))</f>
        <v/>
      </c>
      <c r="M531">
        <f>IFERROR(ABS(E531-'02_대상물건입력'!$B$11)/'02_대상물건입력'!$B$11,"")</f>
        <v/>
      </c>
      <c r="N531">
        <f>IFERROR(ABS('01_설정'!$B$4-F531),"")</f>
        <v/>
      </c>
      <c r="O531">
        <f>IFERROR(ABS(YEAR(I531)-YEAR('02_대상물건입력'!$B$14)),"")</f>
        <v/>
      </c>
      <c r="P531">
        <f>IF(AND(E531&gt;0,F531&gt;0,G531&gt;0,IF('01_설정'!$B$10=1,J531=1,TRUE()),M531&lt;='01_설정'!$B$5,N531&lt;='01_설정'!$B$7,O531&lt;='01_설정'!$B$8),"Y","")</f>
        <v/>
      </c>
      <c r="Q531">
        <f>IF(P531&lt;&gt;"Y","",MAX(0,(1-M531/'01_설정'!$B$5))*'01_설정'!$B$14+MAX(0,(1-N531/'01_설정'!$B$7))*'01_설정'!$B$16+MAX(0,(1-O531/'01_설정'!$B$8))*'01_설정'!$B$17+K531*'01_설정'!$B$11+L531*'01_설정'!$B$12)</f>
        <v/>
      </c>
      <c r="R531">
        <f>IF(Q531="","",1+COUNTIFS($Q$31:$Q$1030,"&gt;"&amp;Q531)+COUNTIFS($Q$31:Q531,Q531)-1)</f>
        <v/>
      </c>
    </row>
    <row r="532" hidden="1" ht="16.5" customHeight="1">
      <c r="A532">
        <f>IF(COUNTA('05_KAIS'!$A520:$N520)=0,"",505)</f>
        <v/>
      </c>
      <c r="B532">
        <f>IF($A532="","",TRIM(INDEX('05_KAIS'!$B:$B,$A532)&amp;" "&amp;INDEX('05_KAIS'!$C:$C,$A532)))</f>
        <v/>
      </c>
      <c r="C532">
        <f>IF($A532="","",INDEX('05_KAIS'!$D:$D,$A532))</f>
        <v/>
      </c>
      <c r="D532">
        <f>IF($A532="","",INDEX('05_KAIS'!$H:$H,$A532))</f>
        <v/>
      </c>
      <c r="E532">
        <f>IF($A532="","",INDEX('05_KAIS'!$K:$K,$A532))</f>
        <v/>
      </c>
      <c r="F532" s="202">
        <f>IF($A532="","",INDEX('05_KAIS'!$I:$I,$A532))</f>
        <v/>
      </c>
      <c r="G532" s="118">
        <f>IF($A532="","",INDEX('05_KAIS'!$L:$L,$A532))</f>
        <v/>
      </c>
      <c r="H532" s="118">
        <f>IF($A532="","",IFERROR(INDEX('05_KAIS'!$M:$M,$A532),IF(AND(E532&gt;0,G532&gt;0),G532/E532,"")))</f>
        <v/>
      </c>
      <c r="I532" s="202">
        <f>IF($A532="","",INDEX('05_KAIS'!$N:$N,$A532))</f>
        <v/>
      </c>
      <c r="J532">
        <f>IF(B532="","",IF('02_대상물건입력'!$B$5="",1,IF(ISNUMBER(SEARCH('02_대상물건입력'!$B$5,B532)),1,0)))</f>
        <v/>
      </c>
      <c r="K532">
        <f>IF(B532="","",IF('02_대상물건입력'!$B$6="",1,IF(ISNUMBER(SEARCH('02_대상물건입력'!$B$6,B532)),1,0)))</f>
        <v/>
      </c>
      <c r="L532">
        <f>IF(D532="","",IF('02_대상물건입력'!$B$8="",0,IF(ISNUMBER(SEARCH('02_대상물건입력'!$B$8,D532)),1,0)))</f>
        <v/>
      </c>
      <c r="M532">
        <f>IFERROR(ABS(E532-'02_대상물건입력'!$B$11)/'02_대상물건입력'!$B$11,"")</f>
        <v/>
      </c>
      <c r="N532">
        <f>IFERROR(ABS('01_설정'!$B$4-F532),"")</f>
        <v/>
      </c>
      <c r="O532">
        <f>IFERROR(ABS(YEAR(I532)-YEAR('02_대상물건입력'!$B$14)),"")</f>
        <v/>
      </c>
      <c r="P532">
        <f>IF(AND(E532&gt;0,F532&gt;0,G532&gt;0,IF('01_설정'!$B$10=1,J532=1,TRUE()),M532&lt;='01_설정'!$B$5,N532&lt;='01_설정'!$B$7,O532&lt;='01_설정'!$B$8),"Y","")</f>
        <v/>
      </c>
      <c r="Q532">
        <f>IF(P532&lt;&gt;"Y","",MAX(0,(1-M532/'01_설정'!$B$5))*'01_설정'!$B$14+MAX(0,(1-N532/'01_설정'!$B$7))*'01_설정'!$B$16+MAX(0,(1-O532/'01_설정'!$B$8))*'01_설정'!$B$17+K532*'01_설정'!$B$11+L532*'01_설정'!$B$12)</f>
        <v/>
      </c>
      <c r="R532">
        <f>IF(Q532="","",1+COUNTIFS($Q$31:$Q$1030,"&gt;"&amp;Q532)+COUNTIFS($Q$31:Q532,Q532)-1)</f>
        <v/>
      </c>
    </row>
    <row r="533" hidden="1" ht="16.5" customHeight="1">
      <c r="A533">
        <f>IF(COUNTA('05_KAIS'!$A521:$N521)=0,"",506)</f>
        <v/>
      </c>
      <c r="B533">
        <f>IF($A533="","",TRIM(INDEX('05_KAIS'!$B:$B,$A533)&amp;" "&amp;INDEX('05_KAIS'!$C:$C,$A533)))</f>
        <v/>
      </c>
      <c r="C533">
        <f>IF($A533="","",INDEX('05_KAIS'!$D:$D,$A533))</f>
        <v/>
      </c>
      <c r="D533">
        <f>IF($A533="","",INDEX('05_KAIS'!$H:$H,$A533))</f>
        <v/>
      </c>
      <c r="E533">
        <f>IF($A533="","",INDEX('05_KAIS'!$K:$K,$A533))</f>
        <v/>
      </c>
      <c r="F533" s="202">
        <f>IF($A533="","",INDEX('05_KAIS'!$I:$I,$A533))</f>
        <v/>
      </c>
      <c r="G533" s="118">
        <f>IF($A533="","",INDEX('05_KAIS'!$L:$L,$A533))</f>
        <v/>
      </c>
      <c r="H533" s="118">
        <f>IF($A533="","",IFERROR(INDEX('05_KAIS'!$M:$M,$A533),IF(AND(E533&gt;0,G533&gt;0),G533/E533,"")))</f>
        <v/>
      </c>
      <c r="I533" s="202">
        <f>IF($A533="","",INDEX('05_KAIS'!$N:$N,$A533))</f>
        <v/>
      </c>
      <c r="J533">
        <f>IF(B533="","",IF('02_대상물건입력'!$B$5="",1,IF(ISNUMBER(SEARCH('02_대상물건입력'!$B$5,B533)),1,0)))</f>
        <v/>
      </c>
      <c r="K533">
        <f>IF(B533="","",IF('02_대상물건입력'!$B$6="",1,IF(ISNUMBER(SEARCH('02_대상물건입력'!$B$6,B533)),1,0)))</f>
        <v/>
      </c>
      <c r="L533">
        <f>IF(D533="","",IF('02_대상물건입력'!$B$8="",0,IF(ISNUMBER(SEARCH('02_대상물건입력'!$B$8,D533)),1,0)))</f>
        <v/>
      </c>
      <c r="M533">
        <f>IFERROR(ABS(E533-'02_대상물건입력'!$B$11)/'02_대상물건입력'!$B$11,"")</f>
        <v/>
      </c>
      <c r="N533">
        <f>IFERROR(ABS('01_설정'!$B$4-F533),"")</f>
        <v/>
      </c>
      <c r="O533">
        <f>IFERROR(ABS(YEAR(I533)-YEAR('02_대상물건입력'!$B$14)),"")</f>
        <v/>
      </c>
      <c r="P533">
        <f>IF(AND(E533&gt;0,F533&gt;0,G533&gt;0,IF('01_설정'!$B$10=1,J533=1,TRUE()),M533&lt;='01_설정'!$B$5,N533&lt;='01_설정'!$B$7,O533&lt;='01_설정'!$B$8),"Y","")</f>
        <v/>
      </c>
      <c r="Q533">
        <f>IF(P533&lt;&gt;"Y","",MAX(0,(1-M533/'01_설정'!$B$5))*'01_설정'!$B$14+MAX(0,(1-N533/'01_설정'!$B$7))*'01_설정'!$B$16+MAX(0,(1-O533/'01_설정'!$B$8))*'01_설정'!$B$17+K533*'01_설정'!$B$11+L533*'01_설정'!$B$12)</f>
        <v/>
      </c>
      <c r="R533">
        <f>IF(Q533="","",1+COUNTIFS($Q$31:$Q$1030,"&gt;"&amp;Q533)+COUNTIFS($Q$31:Q533,Q533)-1)</f>
        <v/>
      </c>
    </row>
    <row r="534" hidden="1" ht="16.5" customHeight="1">
      <c r="A534">
        <f>IF(COUNTA('05_KAIS'!$A522:$N522)=0,"",507)</f>
        <v/>
      </c>
      <c r="B534">
        <f>IF($A534="","",TRIM(INDEX('05_KAIS'!$B:$B,$A534)&amp;" "&amp;INDEX('05_KAIS'!$C:$C,$A534)))</f>
        <v/>
      </c>
      <c r="C534">
        <f>IF($A534="","",INDEX('05_KAIS'!$D:$D,$A534))</f>
        <v/>
      </c>
      <c r="D534">
        <f>IF($A534="","",INDEX('05_KAIS'!$H:$H,$A534))</f>
        <v/>
      </c>
      <c r="E534">
        <f>IF($A534="","",INDEX('05_KAIS'!$K:$K,$A534))</f>
        <v/>
      </c>
      <c r="F534" s="202">
        <f>IF($A534="","",INDEX('05_KAIS'!$I:$I,$A534))</f>
        <v/>
      </c>
      <c r="G534" s="118">
        <f>IF($A534="","",INDEX('05_KAIS'!$L:$L,$A534))</f>
        <v/>
      </c>
      <c r="H534" s="118">
        <f>IF($A534="","",IFERROR(INDEX('05_KAIS'!$M:$M,$A534),IF(AND(E534&gt;0,G534&gt;0),G534/E534,"")))</f>
        <v/>
      </c>
      <c r="I534" s="202">
        <f>IF($A534="","",INDEX('05_KAIS'!$N:$N,$A534))</f>
        <v/>
      </c>
      <c r="J534">
        <f>IF(B534="","",IF('02_대상물건입력'!$B$5="",1,IF(ISNUMBER(SEARCH('02_대상물건입력'!$B$5,B534)),1,0)))</f>
        <v/>
      </c>
      <c r="K534">
        <f>IF(B534="","",IF('02_대상물건입력'!$B$6="",1,IF(ISNUMBER(SEARCH('02_대상물건입력'!$B$6,B534)),1,0)))</f>
        <v/>
      </c>
      <c r="L534">
        <f>IF(D534="","",IF('02_대상물건입력'!$B$8="",0,IF(ISNUMBER(SEARCH('02_대상물건입력'!$B$8,D534)),1,0)))</f>
        <v/>
      </c>
      <c r="M534">
        <f>IFERROR(ABS(E534-'02_대상물건입력'!$B$11)/'02_대상물건입력'!$B$11,"")</f>
        <v/>
      </c>
      <c r="N534">
        <f>IFERROR(ABS('01_설정'!$B$4-F534),"")</f>
        <v/>
      </c>
      <c r="O534">
        <f>IFERROR(ABS(YEAR(I534)-YEAR('02_대상물건입력'!$B$14)),"")</f>
        <v/>
      </c>
      <c r="P534">
        <f>IF(AND(E534&gt;0,F534&gt;0,G534&gt;0,IF('01_설정'!$B$10=1,J534=1,TRUE()),M534&lt;='01_설정'!$B$5,N534&lt;='01_설정'!$B$7,O534&lt;='01_설정'!$B$8),"Y","")</f>
        <v/>
      </c>
      <c r="Q534">
        <f>IF(P534&lt;&gt;"Y","",MAX(0,(1-M534/'01_설정'!$B$5))*'01_설정'!$B$14+MAX(0,(1-N534/'01_설정'!$B$7))*'01_설정'!$B$16+MAX(0,(1-O534/'01_설정'!$B$8))*'01_설정'!$B$17+K534*'01_설정'!$B$11+L534*'01_설정'!$B$12)</f>
        <v/>
      </c>
      <c r="R534">
        <f>IF(Q534="","",1+COUNTIFS($Q$31:$Q$1030,"&gt;"&amp;Q534)+COUNTIFS($Q$31:Q534,Q534)-1)</f>
        <v/>
      </c>
    </row>
    <row r="535" hidden="1" ht="16.5" customHeight="1">
      <c r="A535">
        <f>IF(COUNTA('05_KAIS'!$A523:$N523)=0,"",508)</f>
        <v/>
      </c>
      <c r="B535">
        <f>IF($A535="","",TRIM(INDEX('05_KAIS'!$B:$B,$A535)&amp;" "&amp;INDEX('05_KAIS'!$C:$C,$A535)))</f>
        <v/>
      </c>
      <c r="C535">
        <f>IF($A535="","",INDEX('05_KAIS'!$D:$D,$A535))</f>
        <v/>
      </c>
      <c r="D535">
        <f>IF($A535="","",INDEX('05_KAIS'!$H:$H,$A535))</f>
        <v/>
      </c>
      <c r="E535">
        <f>IF($A535="","",INDEX('05_KAIS'!$K:$K,$A535))</f>
        <v/>
      </c>
      <c r="F535" s="202">
        <f>IF($A535="","",INDEX('05_KAIS'!$I:$I,$A535))</f>
        <v/>
      </c>
      <c r="G535" s="118">
        <f>IF($A535="","",INDEX('05_KAIS'!$L:$L,$A535))</f>
        <v/>
      </c>
      <c r="H535" s="118">
        <f>IF($A535="","",IFERROR(INDEX('05_KAIS'!$M:$M,$A535),IF(AND(E535&gt;0,G535&gt;0),G535/E535,"")))</f>
        <v/>
      </c>
      <c r="I535" s="202">
        <f>IF($A535="","",INDEX('05_KAIS'!$N:$N,$A535))</f>
        <v/>
      </c>
      <c r="J535">
        <f>IF(B535="","",IF('02_대상물건입력'!$B$5="",1,IF(ISNUMBER(SEARCH('02_대상물건입력'!$B$5,B535)),1,0)))</f>
        <v/>
      </c>
      <c r="K535">
        <f>IF(B535="","",IF('02_대상물건입력'!$B$6="",1,IF(ISNUMBER(SEARCH('02_대상물건입력'!$B$6,B535)),1,0)))</f>
        <v/>
      </c>
      <c r="L535">
        <f>IF(D535="","",IF('02_대상물건입력'!$B$8="",0,IF(ISNUMBER(SEARCH('02_대상물건입력'!$B$8,D535)),1,0)))</f>
        <v/>
      </c>
      <c r="M535">
        <f>IFERROR(ABS(E535-'02_대상물건입력'!$B$11)/'02_대상물건입력'!$B$11,"")</f>
        <v/>
      </c>
      <c r="N535">
        <f>IFERROR(ABS('01_설정'!$B$4-F535),"")</f>
        <v/>
      </c>
      <c r="O535">
        <f>IFERROR(ABS(YEAR(I535)-YEAR('02_대상물건입력'!$B$14)),"")</f>
        <v/>
      </c>
      <c r="P535">
        <f>IF(AND(E535&gt;0,F535&gt;0,G535&gt;0,IF('01_설정'!$B$10=1,J535=1,TRUE()),M535&lt;='01_설정'!$B$5,N535&lt;='01_설정'!$B$7,O535&lt;='01_설정'!$B$8),"Y","")</f>
        <v/>
      </c>
      <c r="Q535">
        <f>IF(P535&lt;&gt;"Y","",MAX(0,(1-M535/'01_설정'!$B$5))*'01_설정'!$B$14+MAX(0,(1-N535/'01_설정'!$B$7))*'01_설정'!$B$16+MAX(0,(1-O535/'01_설정'!$B$8))*'01_설정'!$B$17+K535*'01_설정'!$B$11+L535*'01_설정'!$B$12)</f>
        <v/>
      </c>
      <c r="R535">
        <f>IF(Q535="","",1+COUNTIFS($Q$31:$Q$1030,"&gt;"&amp;Q535)+COUNTIFS($Q$31:Q535,Q535)-1)</f>
        <v/>
      </c>
    </row>
    <row r="536" hidden="1" ht="16.5" customHeight="1">
      <c r="A536">
        <f>IF(COUNTA('05_KAIS'!$A524:$N524)=0,"",509)</f>
        <v/>
      </c>
      <c r="B536">
        <f>IF($A536="","",TRIM(INDEX('05_KAIS'!$B:$B,$A536)&amp;" "&amp;INDEX('05_KAIS'!$C:$C,$A536)))</f>
        <v/>
      </c>
      <c r="C536">
        <f>IF($A536="","",INDEX('05_KAIS'!$D:$D,$A536))</f>
        <v/>
      </c>
      <c r="D536">
        <f>IF($A536="","",INDEX('05_KAIS'!$H:$H,$A536))</f>
        <v/>
      </c>
      <c r="E536">
        <f>IF($A536="","",INDEX('05_KAIS'!$K:$K,$A536))</f>
        <v/>
      </c>
      <c r="F536" s="202">
        <f>IF($A536="","",INDEX('05_KAIS'!$I:$I,$A536))</f>
        <v/>
      </c>
      <c r="G536" s="118">
        <f>IF($A536="","",INDEX('05_KAIS'!$L:$L,$A536))</f>
        <v/>
      </c>
      <c r="H536" s="118">
        <f>IF($A536="","",IFERROR(INDEX('05_KAIS'!$M:$M,$A536),IF(AND(E536&gt;0,G536&gt;0),G536/E536,"")))</f>
        <v/>
      </c>
      <c r="I536" s="202">
        <f>IF($A536="","",INDEX('05_KAIS'!$N:$N,$A536))</f>
        <v/>
      </c>
      <c r="J536">
        <f>IF(B536="","",IF('02_대상물건입력'!$B$5="",1,IF(ISNUMBER(SEARCH('02_대상물건입력'!$B$5,B536)),1,0)))</f>
        <v/>
      </c>
      <c r="K536">
        <f>IF(B536="","",IF('02_대상물건입력'!$B$6="",1,IF(ISNUMBER(SEARCH('02_대상물건입력'!$B$6,B536)),1,0)))</f>
        <v/>
      </c>
      <c r="L536">
        <f>IF(D536="","",IF('02_대상물건입력'!$B$8="",0,IF(ISNUMBER(SEARCH('02_대상물건입력'!$B$8,D536)),1,0)))</f>
        <v/>
      </c>
      <c r="M536">
        <f>IFERROR(ABS(E536-'02_대상물건입력'!$B$11)/'02_대상물건입력'!$B$11,"")</f>
        <v/>
      </c>
      <c r="N536">
        <f>IFERROR(ABS('01_설정'!$B$4-F536),"")</f>
        <v/>
      </c>
      <c r="O536">
        <f>IFERROR(ABS(YEAR(I536)-YEAR('02_대상물건입력'!$B$14)),"")</f>
        <v/>
      </c>
      <c r="P536">
        <f>IF(AND(E536&gt;0,F536&gt;0,G536&gt;0,IF('01_설정'!$B$10=1,J536=1,TRUE()),M536&lt;='01_설정'!$B$5,N536&lt;='01_설정'!$B$7,O536&lt;='01_설정'!$B$8),"Y","")</f>
        <v/>
      </c>
      <c r="Q536">
        <f>IF(P536&lt;&gt;"Y","",MAX(0,(1-M536/'01_설정'!$B$5))*'01_설정'!$B$14+MAX(0,(1-N536/'01_설정'!$B$7))*'01_설정'!$B$16+MAX(0,(1-O536/'01_설정'!$B$8))*'01_설정'!$B$17+K536*'01_설정'!$B$11+L536*'01_설정'!$B$12)</f>
        <v/>
      </c>
      <c r="R536">
        <f>IF(Q536="","",1+COUNTIFS($Q$31:$Q$1030,"&gt;"&amp;Q536)+COUNTIFS($Q$31:Q536,Q536)-1)</f>
        <v/>
      </c>
    </row>
    <row r="537" hidden="1" ht="16.5" customHeight="1">
      <c r="A537">
        <f>IF(COUNTA('05_KAIS'!$A525:$N525)=0,"",510)</f>
        <v/>
      </c>
      <c r="B537">
        <f>IF($A537="","",TRIM(INDEX('05_KAIS'!$B:$B,$A537)&amp;" "&amp;INDEX('05_KAIS'!$C:$C,$A537)))</f>
        <v/>
      </c>
      <c r="C537">
        <f>IF($A537="","",INDEX('05_KAIS'!$D:$D,$A537))</f>
        <v/>
      </c>
      <c r="D537">
        <f>IF($A537="","",INDEX('05_KAIS'!$H:$H,$A537))</f>
        <v/>
      </c>
      <c r="E537">
        <f>IF($A537="","",INDEX('05_KAIS'!$K:$K,$A537))</f>
        <v/>
      </c>
      <c r="F537" s="202">
        <f>IF($A537="","",INDEX('05_KAIS'!$I:$I,$A537))</f>
        <v/>
      </c>
      <c r="G537" s="118">
        <f>IF($A537="","",INDEX('05_KAIS'!$L:$L,$A537))</f>
        <v/>
      </c>
      <c r="H537" s="118">
        <f>IF($A537="","",IFERROR(INDEX('05_KAIS'!$M:$M,$A537),IF(AND(E537&gt;0,G537&gt;0),G537/E537,"")))</f>
        <v/>
      </c>
      <c r="I537" s="202">
        <f>IF($A537="","",INDEX('05_KAIS'!$N:$N,$A537))</f>
        <v/>
      </c>
      <c r="J537">
        <f>IF(B537="","",IF('02_대상물건입력'!$B$5="",1,IF(ISNUMBER(SEARCH('02_대상물건입력'!$B$5,B537)),1,0)))</f>
        <v/>
      </c>
      <c r="K537">
        <f>IF(B537="","",IF('02_대상물건입력'!$B$6="",1,IF(ISNUMBER(SEARCH('02_대상물건입력'!$B$6,B537)),1,0)))</f>
        <v/>
      </c>
      <c r="L537">
        <f>IF(D537="","",IF('02_대상물건입력'!$B$8="",0,IF(ISNUMBER(SEARCH('02_대상물건입력'!$B$8,D537)),1,0)))</f>
        <v/>
      </c>
      <c r="M537">
        <f>IFERROR(ABS(E537-'02_대상물건입력'!$B$11)/'02_대상물건입력'!$B$11,"")</f>
        <v/>
      </c>
      <c r="N537">
        <f>IFERROR(ABS('01_설정'!$B$4-F537),"")</f>
        <v/>
      </c>
      <c r="O537">
        <f>IFERROR(ABS(YEAR(I537)-YEAR('02_대상물건입력'!$B$14)),"")</f>
        <v/>
      </c>
      <c r="P537">
        <f>IF(AND(E537&gt;0,F537&gt;0,G537&gt;0,IF('01_설정'!$B$10=1,J537=1,TRUE()),M537&lt;='01_설정'!$B$5,N537&lt;='01_설정'!$B$7,O537&lt;='01_설정'!$B$8),"Y","")</f>
        <v/>
      </c>
      <c r="Q537">
        <f>IF(P537&lt;&gt;"Y","",MAX(0,(1-M537/'01_설정'!$B$5))*'01_설정'!$B$14+MAX(0,(1-N537/'01_설정'!$B$7))*'01_설정'!$B$16+MAX(0,(1-O537/'01_설정'!$B$8))*'01_설정'!$B$17+K537*'01_설정'!$B$11+L537*'01_설정'!$B$12)</f>
        <v/>
      </c>
      <c r="R537">
        <f>IF(Q537="","",1+COUNTIFS($Q$31:$Q$1030,"&gt;"&amp;Q537)+COUNTIFS($Q$31:Q537,Q537)-1)</f>
        <v/>
      </c>
    </row>
    <row r="538" hidden="1" ht="16.5" customHeight="1">
      <c r="A538">
        <f>IF(COUNTA('05_KAIS'!$A526:$N526)=0,"",511)</f>
        <v/>
      </c>
      <c r="B538">
        <f>IF($A538="","",TRIM(INDEX('05_KAIS'!$B:$B,$A538)&amp;" "&amp;INDEX('05_KAIS'!$C:$C,$A538)))</f>
        <v/>
      </c>
      <c r="C538">
        <f>IF($A538="","",INDEX('05_KAIS'!$D:$D,$A538))</f>
        <v/>
      </c>
      <c r="D538">
        <f>IF($A538="","",INDEX('05_KAIS'!$H:$H,$A538))</f>
        <v/>
      </c>
      <c r="E538">
        <f>IF($A538="","",INDEX('05_KAIS'!$K:$K,$A538))</f>
        <v/>
      </c>
      <c r="F538" s="202">
        <f>IF($A538="","",INDEX('05_KAIS'!$I:$I,$A538))</f>
        <v/>
      </c>
      <c r="G538" s="118">
        <f>IF($A538="","",INDEX('05_KAIS'!$L:$L,$A538))</f>
        <v/>
      </c>
      <c r="H538" s="118">
        <f>IF($A538="","",IFERROR(INDEX('05_KAIS'!$M:$M,$A538),IF(AND(E538&gt;0,G538&gt;0),G538/E538,"")))</f>
        <v/>
      </c>
      <c r="I538" s="202">
        <f>IF($A538="","",INDEX('05_KAIS'!$N:$N,$A538))</f>
        <v/>
      </c>
      <c r="J538">
        <f>IF(B538="","",IF('02_대상물건입력'!$B$5="",1,IF(ISNUMBER(SEARCH('02_대상물건입력'!$B$5,B538)),1,0)))</f>
        <v/>
      </c>
      <c r="K538">
        <f>IF(B538="","",IF('02_대상물건입력'!$B$6="",1,IF(ISNUMBER(SEARCH('02_대상물건입력'!$B$6,B538)),1,0)))</f>
        <v/>
      </c>
      <c r="L538">
        <f>IF(D538="","",IF('02_대상물건입력'!$B$8="",0,IF(ISNUMBER(SEARCH('02_대상물건입력'!$B$8,D538)),1,0)))</f>
        <v/>
      </c>
      <c r="M538">
        <f>IFERROR(ABS(E538-'02_대상물건입력'!$B$11)/'02_대상물건입력'!$B$11,"")</f>
        <v/>
      </c>
      <c r="N538">
        <f>IFERROR(ABS('01_설정'!$B$4-F538),"")</f>
        <v/>
      </c>
      <c r="O538">
        <f>IFERROR(ABS(YEAR(I538)-YEAR('02_대상물건입력'!$B$14)),"")</f>
        <v/>
      </c>
      <c r="P538">
        <f>IF(AND(E538&gt;0,F538&gt;0,G538&gt;0,IF('01_설정'!$B$10=1,J538=1,TRUE()),M538&lt;='01_설정'!$B$5,N538&lt;='01_설정'!$B$7,O538&lt;='01_설정'!$B$8),"Y","")</f>
        <v/>
      </c>
      <c r="Q538">
        <f>IF(P538&lt;&gt;"Y","",MAX(0,(1-M538/'01_설정'!$B$5))*'01_설정'!$B$14+MAX(0,(1-N538/'01_설정'!$B$7))*'01_설정'!$B$16+MAX(0,(1-O538/'01_설정'!$B$8))*'01_설정'!$B$17+K538*'01_설정'!$B$11+L538*'01_설정'!$B$12)</f>
        <v/>
      </c>
      <c r="R538">
        <f>IF(Q538="","",1+COUNTIFS($Q$31:$Q$1030,"&gt;"&amp;Q538)+COUNTIFS($Q$31:Q538,Q538)-1)</f>
        <v/>
      </c>
    </row>
    <row r="539" hidden="1" ht="16.5" customHeight="1">
      <c r="A539">
        <f>IF(COUNTA('05_KAIS'!$A527:$N527)=0,"",512)</f>
        <v/>
      </c>
      <c r="B539">
        <f>IF($A539="","",TRIM(INDEX('05_KAIS'!$B:$B,$A539)&amp;" "&amp;INDEX('05_KAIS'!$C:$C,$A539)))</f>
        <v/>
      </c>
      <c r="C539">
        <f>IF($A539="","",INDEX('05_KAIS'!$D:$D,$A539))</f>
        <v/>
      </c>
      <c r="D539">
        <f>IF($A539="","",INDEX('05_KAIS'!$H:$H,$A539))</f>
        <v/>
      </c>
      <c r="E539">
        <f>IF($A539="","",INDEX('05_KAIS'!$K:$K,$A539))</f>
        <v/>
      </c>
      <c r="F539" s="202">
        <f>IF($A539="","",INDEX('05_KAIS'!$I:$I,$A539))</f>
        <v/>
      </c>
      <c r="G539" s="118">
        <f>IF($A539="","",INDEX('05_KAIS'!$L:$L,$A539))</f>
        <v/>
      </c>
      <c r="H539" s="118">
        <f>IF($A539="","",IFERROR(INDEX('05_KAIS'!$M:$M,$A539),IF(AND(E539&gt;0,G539&gt;0),G539/E539,"")))</f>
        <v/>
      </c>
      <c r="I539" s="202">
        <f>IF($A539="","",INDEX('05_KAIS'!$N:$N,$A539))</f>
        <v/>
      </c>
      <c r="J539">
        <f>IF(B539="","",IF('02_대상물건입력'!$B$5="",1,IF(ISNUMBER(SEARCH('02_대상물건입력'!$B$5,B539)),1,0)))</f>
        <v/>
      </c>
      <c r="K539">
        <f>IF(B539="","",IF('02_대상물건입력'!$B$6="",1,IF(ISNUMBER(SEARCH('02_대상물건입력'!$B$6,B539)),1,0)))</f>
        <v/>
      </c>
      <c r="L539">
        <f>IF(D539="","",IF('02_대상물건입력'!$B$8="",0,IF(ISNUMBER(SEARCH('02_대상물건입력'!$B$8,D539)),1,0)))</f>
        <v/>
      </c>
      <c r="M539">
        <f>IFERROR(ABS(E539-'02_대상물건입력'!$B$11)/'02_대상물건입력'!$B$11,"")</f>
        <v/>
      </c>
      <c r="N539">
        <f>IFERROR(ABS('01_설정'!$B$4-F539),"")</f>
        <v/>
      </c>
      <c r="O539">
        <f>IFERROR(ABS(YEAR(I539)-YEAR('02_대상물건입력'!$B$14)),"")</f>
        <v/>
      </c>
      <c r="P539">
        <f>IF(AND(E539&gt;0,F539&gt;0,G539&gt;0,IF('01_설정'!$B$10=1,J539=1,TRUE()),M539&lt;='01_설정'!$B$5,N539&lt;='01_설정'!$B$7,O539&lt;='01_설정'!$B$8),"Y","")</f>
        <v/>
      </c>
      <c r="Q539">
        <f>IF(P539&lt;&gt;"Y","",MAX(0,(1-M539/'01_설정'!$B$5))*'01_설정'!$B$14+MAX(0,(1-N539/'01_설정'!$B$7))*'01_설정'!$B$16+MAX(0,(1-O539/'01_설정'!$B$8))*'01_설정'!$B$17+K539*'01_설정'!$B$11+L539*'01_설정'!$B$12)</f>
        <v/>
      </c>
      <c r="R539">
        <f>IF(Q539="","",1+COUNTIFS($Q$31:$Q$1030,"&gt;"&amp;Q539)+COUNTIFS($Q$31:Q539,Q539)-1)</f>
        <v/>
      </c>
    </row>
    <row r="540" hidden="1" ht="16.5" customHeight="1">
      <c r="A540">
        <f>IF(COUNTA('05_KAIS'!$A528:$N528)=0,"",513)</f>
        <v/>
      </c>
      <c r="B540">
        <f>IF($A540="","",TRIM(INDEX('05_KAIS'!$B:$B,$A540)&amp;" "&amp;INDEX('05_KAIS'!$C:$C,$A540)))</f>
        <v/>
      </c>
      <c r="C540">
        <f>IF($A540="","",INDEX('05_KAIS'!$D:$D,$A540))</f>
        <v/>
      </c>
      <c r="D540">
        <f>IF($A540="","",INDEX('05_KAIS'!$H:$H,$A540))</f>
        <v/>
      </c>
      <c r="E540">
        <f>IF($A540="","",INDEX('05_KAIS'!$K:$K,$A540))</f>
        <v/>
      </c>
      <c r="F540" s="202">
        <f>IF($A540="","",INDEX('05_KAIS'!$I:$I,$A540))</f>
        <v/>
      </c>
      <c r="G540" s="118">
        <f>IF($A540="","",INDEX('05_KAIS'!$L:$L,$A540))</f>
        <v/>
      </c>
      <c r="H540" s="118">
        <f>IF($A540="","",IFERROR(INDEX('05_KAIS'!$M:$M,$A540),IF(AND(E540&gt;0,G540&gt;0),G540/E540,"")))</f>
        <v/>
      </c>
      <c r="I540" s="202">
        <f>IF($A540="","",INDEX('05_KAIS'!$N:$N,$A540))</f>
        <v/>
      </c>
      <c r="J540">
        <f>IF(B540="","",IF('02_대상물건입력'!$B$5="",1,IF(ISNUMBER(SEARCH('02_대상물건입력'!$B$5,B540)),1,0)))</f>
        <v/>
      </c>
      <c r="K540">
        <f>IF(B540="","",IF('02_대상물건입력'!$B$6="",1,IF(ISNUMBER(SEARCH('02_대상물건입력'!$B$6,B540)),1,0)))</f>
        <v/>
      </c>
      <c r="L540">
        <f>IF(D540="","",IF('02_대상물건입력'!$B$8="",0,IF(ISNUMBER(SEARCH('02_대상물건입력'!$B$8,D540)),1,0)))</f>
        <v/>
      </c>
      <c r="M540">
        <f>IFERROR(ABS(E540-'02_대상물건입력'!$B$11)/'02_대상물건입력'!$B$11,"")</f>
        <v/>
      </c>
      <c r="N540">
        <f>IFERROR(ABS('01_설정'!$B$4-F540),"")</f>
        <v/>
      </c>
      <c r="O540">
        <f>IFERROR(ABS(YEAR(I540)-YEAR('02_대상물건입력'!$B$14)),"")</f>
        <v/>
      </c>
      <c r="P540">
        <f>IF(AND(E540&gt;0,F540&gt;0,G540&gt;0,IF('01_설정'!$B$10=1,J540=1,TRUE()),M540&lt;='01_설정'!$B$5,N540&lt;='01_설정'!$B$7,O540&lt;='01_설정'!$B$8),"Y","")</f>
        <v/>
      </c>
      <c r="Q540">
        <f>IF(P540&lt;&gt;"Y","",MAX(0,(1-M540/'01_설정'!$B$5))*'01_설정'!$B$14+MAX(0,(1-N540/'01_설정'!$B$7))*'01_설정'!$B$16+MAX(0,(1-O540/'01_설정'!$B$8))*'01_설정'!$B$17+K540*'01_설정'!$B$11+L540*'01_설정'!$B$12)</f>
        <v/>
      </c>
      <c r="R540">
        <f>IF(Q540="","",1+COUNTIFS($Q$31:$Q$1030,"&gt;"&amp;Q540)+COUNTIFS($Q$31:Q540,Q540)-1)</f>
        <v/>
      </c>
    </row>
    <row r="541" hidden="1" ht="16.5" customHeight="1">
      <c r="A541">
        <f>IF(COUNTA('05_KAIS'!$A529:$N529)=0,"",514)</f>
        <v/>
      </c>
      <c r="B541">
        <f>IF($A541="","",TRIM(INDEX('05_KAIS'!$B:$B,$A541)&amp;" "&amp;INDEX('05_KAIS'!$C:$C,$A541)))</f>
        <v/>
      </c>
      <c r="C541">
        <f>IF($A541="","",INDEX('05_KAIS'!$D:$D,$A541))</f>
        <v/>
      </c>
      <c r="D541">
        <f>IF($A541="","",INDEX('05_KAIS'!$H:$H,$A541))</f>
        <v/>
      </c>
      <c r="E541">
        <f>IF($A541="","",INDEX('05_KAIS'!$K:$K,$A541))</f>
        <v/>
      </c>
      <c r="F541" s="202">
        <f>IF($A541="","",INDEX('05_KAIS'!$I:$I,$A541))</f>
        <v/>
      </c>
      <c r="G541" s="118">
        <f>IF($A541="","",INDEX('05_KAIS'!$L:$L,$A541))</f>
        <v/>
      </c>
      <c r="H541" s="118">
        <f>IF($A541="","",IFERROR(INDEX('05_KAIS'!$M:$M,$A541),IF(AND(E541&gt;0,G541&gt;0),G541/E541,"")))</f>
        <v/>
      </c>
      <c r="I541" s="202">
        <f>IF($A541="","",INDEX('05_KAIS'!$N:$N,$A541))</f>
        <v/>
      </c>
      <c r="J541">
        <f>IF(B541="","",IF('02_대상물건입력'!$B$5="",1,IF(ISNUMBER(SEARCH('02_대상물건입력'!$B$5,B541)),1,0)))</f>
        <v/>
      </c>
      <c r="K541">
        <f>IF(B541="","",IF('02_대상물건입력'!$B$6="",1,IF(ISNUMBER(SEARCH('02_대상물건입력'!$B$6,B541)),1,0)))</f>
        <v/>
      </c>
      <c r="L541">
        <f>IF(D541="","",IF('02_대상물건입력'!$B$8="",0,IF(ISNUMBER(SEARCH('02_대상물건입력'!$B$8,D541)),1,0)))</f>
        <v/>
      </c>
      <c r="M541">
        <f>IFERROR(ABS(E541-'02_대상물건입력'!$B$11)/'02_대상물건입력'!$B$11,"")</f>
        <v/>
      </c>
      <c r="N541">
        <f>IFERROR(ABS('01_설정'!$B$4-F541),"")</f>
        <v/>
      </c>
      <c r="O541">
        <f>IFERROR(ABS(YEAR(I541)-YEAR('02_대상물건입력'!$B$14)),"")</f>
        <v/>
      </c>
      <c r="P541">
        <f>IF(AND(E541&gt;0,F541&gt;0,G541&gt;0,IF('01_설정'!$B$10=1,J541=1,TRUE()),M541&lt;='01_설정'!$B$5,N541&lt;='01_설정'!$B$7,O541&lt;='01_설정'!$B$8),"Y","")</f>
        <v/>
      </c>
      <c r="Q541">
        <f>IF(P541&lt;&gt;"Y","",MAX(0,(1-M541/'01_설정'!$B$5))*'01_설정'!$B$14+MAX(0,(1-N541/'01_설정'!$B$7))*'01_설정'!$B$16+MAX(0,(1-O541/'01_설정'!$B$8))*'01_설정'!$B$17+K541*'01_설정'!$B$11+L541*'01_설정'!$B$12)</f>
        <v/>
      </c>
      <c r="R541">
        <f>IF(Q541="","",1+COUNTIFS($Q$31:$Q$1030,"&gt;"&amp;Q541)+COUNTIFS($Q$31:Q541,Q541)-1)</f>
        <v/>
      </c>
    </row>
    <row r="542" hidden="1" ht="16.5" customHeight="1">
      <c r="A542">
        <f>IF(COUNTA('05_KAIS'!$A530:$N530)=0,"",515)</f>
        <v/>
      </c>
      <c r="B542">
        <f>IF($A542="","",TRIM(INDEX('05_KAIS'!$B:$B,$A542)&amp;" "&amp;INDEX('05_KAIS'!$C:$C,$A542)))</f>
        <v/>
      </c>
      <c r="C542">
        <f>IF($A542="","",INDEX('05_KAIS'!$D:$D,$A542))</f>
        <v/>
      </c>
      <c r="D542">
        <f>IF($A542="","",INDEX('05_KAIS'!$H:$H,$A542))</f>
        <v/>
      </c>
      <c r="E542">
        <f>IF($A542="","",INDEX('05_KAIS'!$K:$K,$A542))</f>
        <v/>
      </c>
      <c r="F542" s="202">
        <f>IF($A542="","",INDEX('05_KAIS'!$I:$I,$A542))</f>
        <v/>
      </c>
      <c r="G542" s="118">
        <f>IF($A542="","",INDEX('05_KAIS'!$L:$L,$A542))</f>
        <v/>
      </c>
      <c r="H542" s="118">
        <f>IF($A542="","",IFERROR(INDEX('05_KAIS'!$M:$M,$A542),IF(AND(E542&gt;0,G542&gt;0),G542/E542,"")))</f>
        <v/>
      </c>
      <c r="I542" s="202">
        <f>IF($A542="","",INDEX('05_KAIS'!$N:$N,$A542))</f>
        <v/>
      </c>
      <c r="J542">
        <f>IF(B542="","",IF('02_대상물건입력'!$B$5="",1,IF(ISNUMBER(SEARCH('02_대상물건입력'!$B$5,B542)),1,0)))</f>
        <v/>
      </c>
      <c r="K542">
        <f>IF(B542="","",IF('02_대상물건입력'!$B$6="",1,IF(ISNUMBER(SEARCH('02_대상물건입력'!$B$6,B542)),1,0)))</f>
        <v/>
      </c>
      <c r="L542">
        <f>IF(D542="","",IF('02_대상물건입력'!$B$8="",0,IF(ISNUMBER(SEARCH('02_대상물건입력'!$B$8,D542)),1,0)))</f>
        <v/>
      </c>
      <c r="M542">
        <f>IFERROR(ABS(E542-'02_대상물건입력'!$B$11)/'02_대상물건입력'!$B$11,"")</f>
        <v/>
      </c>
      <c r="N542">
        <f>IFERROR(ABS('01_설정'!$B$4-F542),"")</f>
        <v/>
      </c>
      <c r="O542">
        <f>IFERROR(ABS(YEAR(I542)-YEAR('02_대상물건입력'!$B$14)),"")</f>
        <v/>
      </c>
      <c r="P542">
        <f>IF(AND(E542&gt;0,F542&gt;0,G542&gt;0,IF('01_설정'!$B$10=1,J542=1,TRUE()),M542&lt;='01_설정'!$B$5,N542&lt;='01_설정'!$B$7,O542&lt;='01_설정'!$B$8),"Y","")</f>
        <v/>
      </c>
      <c r="Q542">
        <f>IF(P542&lt;&gt;"Y","",MAX(0,(1-M542/'01_설정'!$B$5))*'01_설정'!$B$14+MAX(0,(1-N542/'01_설정'!$B$7))*'01_설정'!$B$16+MAX(0,(1-O542/'01_설정'!$B$8))*'01_설정'!$B$17+K542*'01_설정'!$B$11+L542*'01_설정'!$B$12)</f>
        <v/>
      </c>
      <c r="R542">
        <f>IF(Q542="","",1+COUNTIFS($Q$31:$Q$1030,"&gt;"&amp;Q542)+COUNTIFS($Q$31:Q542,Q542)-1)</f>
        <v/>
      </c>
    </row>
    <row r="543" hidden="1" ht="16.5" customHeight="1">
      <c r="A543">
        <f>IF(COUNTA('05_KAIS'!$A531:$N531)=0,"",516)</f>
        <v/>
      </c>
      <c r="B543">
        <f>IF($A543="","",TRIM(INDEX('05_KAIS'!$B:$B,$A543)&amp;" "&amp;INDEX('05_KAIS'!$C:$C,$A543)))</f>
        <v/>
      </c>
      <c r="C543">
        <f>IF($A543="","",INDEX('05_KAIS'!$D:$D,$A543))</f>
        <v/>
      </c>
      <c r="D543">
        <f>IF($A543="","",INDEX('05_KAIS'!$H:$H,$A543))</f>
        <v/>
      </c>
      <c r="E543">
        <f>IF($A543="","",INDEX('05_KAIS'!$K:$K,$A543))</f>
        <v/>
      </c>
      <c r="F543" s="202">
        <f>IF($A543="","",INDEX('05_KAIS'!$I:$I,$A543))</f>
        <v/>
      </c>
      <c r="G543" s="118">
        <f>IF($A543="","",INDEX('05_KAIS'!$L:$L,$A543))</f>
        <v/>
      </c>
      <c r="H543" s="118">
        <f>IF($A543="","",IFERROR(INDEX('05_KAIS'!$M:$M,$A543),IF(AND(E543&gt;0,G543&gt;0),G543/E543,"")))</f>
        <v/>
      </c>
      <c r="I543" s="202">
        <f>IF($A543="","",INDEX('05_KAIS'!$N:$N,$A543))</f>
        <v/>
      </c>
      <c r="J543">
        <f>IF(B543="","",IF('02_대상물건입력'!$B$5="",1,IF(ISNUMBER(SEARCH('02_대상물건입력'!$B$5,B543)),1,0)))</f>
        <v/>
      </c>
      <c r="K543">
        <f>IF(B543="","",IF('02_대상물건입력'!$B$6="",1,IF(ISNUMBER(SEARCH('02_대상물건입력'!$B$6,B543)),1,0)))</f>
        <v/>
      </c>
      <c r="L543">
        <f>IF(D543="","",IF('02_대상물건입력'!$B$8="",0,IF(ISNUMBER(SEARCH('02_대상물건입력'!$B$8,D543)),1,0)))</f>
        <v/>
      </c>
      <c r="M543">
        <f>IFERROR(ABS(E543-'02_대상물건입력'!$B$11)/'02_대상물건입력'!$B$11,"")</f>
        <v/>
      </c>
      <c r="N543">
        <f>IFERROR(ABS('01_설정'!$B$4-F543),"")</f>
        <v/>
      </c>
      <c r="O543">
        <f>IFERROR(ABS(YEAR(I543)-YEAR('02_대상물건입력'!$B$14)),"")</f>
        <v/>
      </c>
      <c r="P543">
        <f>IF(AND(E543&gt;0,F543&gt;0,G543&gt;0,IF('01_설정'!$B$10=1,J543=1,TRUE()),M543&lt;='01_설정'!$B$5,N543&lt;='01_설정'!$B$7,O543&lt;='01_설정'!$B$8),"Y","")</f>
        <v/>
      </c>
      <c r="Q543">
        <f>IF(P543&lt;&gt;"Y","",MAX(0,(1-M543/'01_설정'!$B$5))*'01_설정'!$B$14+MAX(0,(1-N543/'01_설정'!$B$7))*'01_설정'!$B$16+MAX(0,(1-O543/'01_설정'!$B$8))*'01_설정'!$B$17+K543*'01_설정'!$B$11+L543*'01_설정'!$B$12)</f>
        <v/>
      </c>
      <c r="R543">
        <f>IF(Q543="","",1+COUNTIFS($Q$31:$Q$1030,"&gt;"&amp;Q543)+COUNTIFS($Q$31:Q543,Q543)-1)</f>
        <v/>
      </c>
    </row>
    <row r="544" hidden="1" ht="16.5" customHeight="1">
      <c r="A544">
        <f>IF(COUNTA('05_KAIS'!$A532:$N532)=0,"",517)</f>
        <v/>
      </c>
      <c r="B544">
        <f>IF($A544="","",TRIM(INDEX('05_KAIS'!$B:$B,$A544)&amp;" "&amp;INDEX('05_KAIS'!$C:$C,$A544)))</f>
        <v/>
      </c>
      <c r="C544">
        <f>IF($A544="","",INDEX('05_KAIS'!$D:$D,$A544))</f>
        <v/>
      </c>
      <c r="D544">
        <f>IF($A544="","",INDEX('05_KAIS'!$H:$H,$A544))</f>
        <v/>
      </c>
      <c r="E544">
        <f>IF($A544="","",INDEX('05_KAIS'!$K:$K,$A544))</f>
        <v/>
      </c>
      <c r="F544" s="202">
        <f>IF($A544="","",INDEX('05_KAIS'!$I:$I,$A544))</f>
        <v/>
      </c>
      <c r="G544" s="118">
        <f>IF($A544="","",INDEX('05_KAIS'!$L:$L,$A544))</f>
        <v/>
      </c>
      <c r="H544" s="118">
        <f>IF($A544="","",IFERROR(INDEX('05_KAIS'!$M:$M,$A544),IF(AND(E544&gt;0,G544&gt;0),G544/E544,"")))</f>
        <v/>
      </c>
      <c r="I544" s="202">
        <f>IF($A544="","",INDEX('05_KAIS'!$N:$N,$A544))</f>
        <v/>
      </c>
      <c r="J544">
        <f>IF(B544="","",IF('02_대상물건입력'!$B$5="",1,IF(ISNUMBER(SEARCH('02_대상물건입력'!$B$5,B544)),1,0)))</f>
        <v/>
      </c>
      <c r="K544">
        <f>IF(B544="","",IF('02_대상물건입력'!$B$6="",1,IF(ISNUMBER(SEARCH('02_대상물건입력'!$B$6,B544)),1,0)))</f>
        <v/>
      </c>
      <c r="L544">
        <f>IF(D544="","",IF('02_대상물건입력'!$B$8="",0,IF(ISNUMBER(SEARCH('02_대상물건입력'!$B$8,D544)),1,0)))</f>
        <v/>
      </c>
      <c r="M544">
        <f>IFERROR(ABS(E544-'02_대상물건입력'!$B$11)/'02_대상물건입력'!$B$11,"")</f>
        <v/>
      </c>
      <c r="N544">
        <f>IFERROR(ABS('01_설정'!$B$4-F544),"")</f>
        <v/>
      </c>
      <c r="O544">
        <f>IFERROR(ABS(YEAR(I544)-YEAR('02_대상물건입력'!$B$14)),"")</f>
        <v/>
      </c>
      <c r="P544">
        <f>IF(AND(E544&gt;0,F544&gt;0,G544&gt;0,IF('01_설정'!$B$10=1,J544=1,TRUE()),M544&lt;='01_설정'!$B$5,N544&lt;='01_설정'!$B$7,O544&lt;='01_설정'!$B$8),"Y","")</f>
        <v/>
      </c>
      <c r="Q544">
        <f>IF(P544&lt;&gt;"Y","",MAX(0,(1-M544/'01_설정'!$B$5))*'01_설정'!$B$14+MAX(0,(1-N544/'01_설정'!$B$7))*'01_설정'!$B$16+MAX(0,(1-O544/'01_설정'!$B$8))*'01_설정'!$B$17+K544*'01_설정'!$B$11+L544*'01_설정'!$B$12)</f>
        <v/>
      </c>
      <c r="R544">
        <f>IF(Q544="","",1+COUNTIFS($Q$31:$Q$1030,"&gt;"&amp;Q544)+COUNTIFS($Q$31:Q544,Q544)-1)</f>
        <v/>
      </c>
    </row>
    <row r="545" hidden="1" ht="16.5" customHeight="1">
      <c r="A545">
        <f>IF(COUNTA('05_KAIS'!$A533:$N533)=0,"",518)</f>
        <v/>
      </c>
      <c r="B545">
        <f>IF($A545="","",TRIM(INDEX('05_KAIS'!$B:$B,$A545)&amp;" "&amp;INDEX('05_KAIS'!$C:$C,$A545)))</f>
        <v/>
      </c>
      <c r="C545">
        <f>IF($A545="","",INDEX('05_KAIS'!$D:$D,$A545))</f>
        <v/>
      </c>
      <c r="D545">
        <f>IF($A545="","",INDEX('05_KAIS'!$H:$H,$A545))</f>
        <v/>
      </c>
      <c r="E545">
        <f>IF($A545="","",INDEX('05_KAIS'!$K:$K,$A545))</f>
        <v/>
      </c>
      <c r="F545" s="202">
        <f>IF($A545="","",INDEX('05_KAIS'!$I:$I,$A545))</f>
        <v/>
      </c>
      <c r="G545" s="118">
        <f>IF($A545="","",INDEX('05_KAIS'!$L:$L,$A545))</f>
        <v/>
      </c>
      <c r="H545" s="118">
        <f>IF($A545="","",IFERROR(INDEX('05_KAIS'!$M:$M,$A545),IF(AND(E545&gt;0,G545&gt;0),G545/E545,"")))</f>
        <v/>
      </c>
      <c r="I545" s="202">
        <f>IF($A545="","",INDEX('05_KAIS'!$N:$N,$A545))</f>
        <v/>
      </c>
      <c r="J545">
        <f>IF(B545="","",IF('02_대상물건입력'!$B$5="",1,IF(ISNUMBER(SEARCH('02_대상물건입력'!$B$5,B545)),1,0)))</f>
        <v/>
      </c>
      <c r="K545">
        <f>IF(B545="","",IF('02_대상물건입력'!$B$6="",1,IF(ISNUMBER(SEARCH('02_대상물건입력'!$B$6,B545)),1,0)))</f>
        <v/>
      </c>
      <c r="L545">
        <f>IF(D545="","",IF('02_대상물건입력'!$B$8="",0,IF(ISNUMBER(SEARCH('02_대상물건입력'!$B$8,D545)),1,0)))</f>
        <v/>
      </c>
      <c r="M545">
        <f>IFERROR(ABS(E545-'02_대상물건입력'!$B$11)/'02_대상물건입력'!$B$11,"")</f>
        <v/>
      </c>
      <c r="N545">
        <f>IFERROR(ABS('01_설정'!$B$4-F545),"")</f>
        <v/>
      </c>
      <c r="O545">
        <f>IFERROR(ABS(YEAR(I545)-YEAR('02_대상물건입력'!$B$14)),"")</f>
        <v/>
      </c>
      <c r="P545">
        <f>IF(AND(E545&gt;0,F545&gt;0,G545&gt;0,IF('01_설정'!$B$10=1,J545=1,TRUE()),M545&lt;='01_설정'!$B$5,N545&lt;='01_설정'!$B$7,O545&lt;='01_설정'!$B$8),"Y","")</f>
        <v/>
      </c>
      <c r="Q545">
        <f>IF(P545&lt;&gt;"Y","",MAX(0,(1-M545/'01_설정'!$B$5))*'01_설정'!$B$14+MAX(0,(1-N545/'01_설정'!$B$7))*'01_설정'!$B$16+MAX(0,(1-O545/'01_설정'!$B$8))*'01_설정'!$B$17+K545*'01_설정'!$B$11+L545*'01_설정'!$B$12)</f>
        <v/>
      </c>
      <c r="R545">
        <f>IF(Q545="","",1+COUNTIFS($Q$31:$Q$1030,"&gt;"&amp;Q545)+COUNTIFS($Q$31:Q545,Q545)-1)</f>
        <v/>
      </c>
    </row>
    <row r="546" hidden="1" ht="16.5" customHeight="1">
      <c r="A546">
        <f>IF(COUNTA('05_KAIS'!$A534:$N534)=0,"",519)</f>
        <v/>
      </c>
      <c r="B546">
        <f>IF($A546="","",TRIM(INDEX('05_KAIS'!$B:$B,$A546)&amp;" "&amp;INDEX('05_KAIS'!$C:$C,$A546)))</f>
        <v/>
      </c>
      <c r="C546">
        <f>IF($A546="","",INDEX('05_KAIS'!$D:$D,$A546))</f>
        <v/>
      </c>
      <c r="D546">
        <f>IF($A546="","",INDEX('05_KAIS'!$H:$H,$A546))</f>
        <v/>
      </c>
      <c r="E546">
        <f>IF($A546="","",INDEX('05_KAIS'!$K:$K,$A546))</f>
        <v/>
      </c>
      <c r="F546" s="202">
        <f>IF($A546="","",INDEX('05_KAIS'!$I:$I,$A546))</f>
        <v/>
      </c>
      <c r="G546" s="118">
        <f>IF($A546="","",INDEX('05_KAIS'!$L:$L,$A546))</f>
        <v/>
      </c>
      <c r="H546" s="118">
        <f>IF($A546="","",IFERROR(INDEX('05_KAIS'!$M:$M,$A546),IF(AND(E546&gt;0,G546&gt;0),G546/E546,"")))</f>
        <v/>
      </c>
      <c r="I546" s="202">
        <f>IF($A546="","",INDEX('05_KAIS'!$N:$N,$A546))</f>
        <v/>
      </c>
      <c r="J546">
        <f>IF(B546="","",IF('02_대상물건입력'!$B$5="",1,IF(ISNUMBER(SEARCH('02_대상물건입력'!$B$5,B546)),1,0)))</f>
        <v/>
      </c>
      <c r="K546">
        <f>IF(B546="","",IF('02_대상물건입력'!$B$6="",1,IF(ISNUMBER(SEARCH('02_대상물건입력'!$B$6,B546)),1,0)))</f>
        <v/>
      </c>
      <c r="L546">
        <f>IF(D546="","",IF('02_대상물건입력'!$B$8="",0,IF(ISNUMBER(SEARCH('02_대상물건입력'!$B$8,D546)),1,0)))</f>
        <v/>
      </c>
      <c r="M546">
        <f>IFERROR(ABS(E546-'02_대상물건입력'!$B$11)/'02_대상물건입력'!$B$11,"")</f>
        <v/>
      </c>
      <c r="N546">
        <f>IFERROR(ABS('01_설정'!$B$4-F546),"")</f>
        <v/>
      </c>
      <c r="O546">
        <f>IFERROR(ABS(YEAR(I546)-YEAR('02_대상물건입력'!$B$14)),"")</f>
        <v/>
      </c>
      <c r="P546">
        <f>IF(AND(E546&gt;0,F546&gt;0,G546&gt;0,IF('01_설정'!$B$10=1,J546=1,TRUE()),M546&lt;='01_설정'!$B$5,N546&lt;='01_설정'!$B$7,O546&lt;='01_설정'!$B$8),"Y","")</f>
        <v/>
      </c>
      <c r="Q546">
        <f>IF(P546&lt;&gt;"Y","",MAX(0,(1-M546/'01_설정'!$B$5))*'01_설정'!$B$14+MAX(0,(1-N546/'01_설정'!$B$7))*'01_설정'!$B$16+MAX(0,(1-O546/'01_설정'!$B$8))*'01_설정'!$B$17+K546*'01_설정'!$B$11+L546*'01_설정'!$B$12)</f>
        <v/>
      </c>
      <c r="R546">
        <f>IF(Q546="","",1+COUNTIFS($Q$31:$Q$1030,"&gt;"&amp;Q546)+COUNTIFS($Q$31:Q546,Q546)-1)</f>
        <v/>
      </c>
    </row>
    <row r="547" hidden="1" ht="16.5" customHeight="1">
      <c r="A547">
        <f>IF(COUNTA('05_KAIS'!$A535:$N535)=0,"",520)</f>
        <v/>
      </c>
      <c r="B547">
        <f>IF($A547="","",TRIM(INDEX('05_KAIS'!$B:$B,$A547)&amp;" "&amp;INDEX('05_KAIS'!$C:$C,$A547)))</f>
        <v/>
      </c>
      <c r="C547">
        <f>IF($A547="","",INDEX('05_KAIS'!$D:$D,$A547))</f>
        <v/>
      </c>
      <c r="D547">
        <f>IF($A547="","",INDEX('05_KAIS'!$H:$H,$A547))</f>
        <v/>
      </c>
      <c r="E547">
        <f>IF($A547="","",INDEX('05_KAIS'!$K:$K,$A547))</f>
        <v/>
      </c>
      <c r="F547" s="202">
        <f>IF($A547="","",INDEX('05_KAIS'!$I:$I,$A547))</f>
        <v/>
      </c>
      <c r="G547" s="118">
        <f>IF($A547="","",INDEX('05_KAIS'!$L:$L,$A547))</f>
        <v/>
      </c>
      <c r="H547" s="118">
        <f>IF($A547="","",IFERROR(INDEX('05_KAIS'!$M:$M,$A547),IF(AND(E547&gt;0,G547&gt;0),G547/E547,"")))</f>
        <v/>
      </c>
      <c r="I547" s="202">
        <f>IF($A547="","",INDEX('05_KAIS'!$N:$N,$A547))</f>
        <v/>
      </c>
      <c r="J547">
        <f>IF(B547="","",IF('02_대상물건입력'!$B$5="",1,IF(ISNUMBER(SEARCH('02_대상물건입력'!$B$5,B547)),1,0)))</f>
        <v/>
      </c>
      <c r="K547">
        <f>IF(B547="","",IF('02_대상물건입력'!$B$6="",1,IF(ISNUMBER(SEARCH('02_대상물건입력'!$B$6,B547)),1,0)))</f>
        <v/>
      </c>
      <c r="L547">
        <f>IF(D547="","",IF('02_대상물건입력'!$B$8="",0,IF(ISNUMBER(SEARCH('02_대상물건입력'!$B$8,D547)),1,0)))</f>
        <v/>
      </c>
      <c r="M547">
        <f>IFERROR(ABS(E547-'02_대상물건입력'!$B$11)/'02_대상물건입력'!$B$11,"")</f>
        <v/>
      </c>
      <c r="N547">
        <f>IFERROR(ABS('01_설정'!$B$4-F547),"")</f>
        <v/>
      </c>
      <c r="O547">
        <f>IFERROR(ABS(YEAR(I547)-YEAR('02_대상물건입력'!$B$14)),"")</f>
        <v/>
      </c>
      <c r="P547">
        <f>IF(AND(E547&gt;0,F547&gt;0,G547&gt;0,IF('01_설정'!$B$10=1,J547=1,TRUE()),M547&lt;='01_설정'!$B$5,N547&lt;='01_설정'!$B$7,O547&lt;='01_설정'!$B$8),"Y","")</f>
        <v/>
      </c>
      <c r="Q547">
        <f>IF(P547&lt;&gt;"Y","",MAX(0,(1-M547/'01_설정'!$B$5))*'01_설정'!$B$14+MAX(0,(1-N547/'01_설정'!$B$7))*'01_설정'!$B$16+MAX(0,(1-O547/'01_설정'!$B$8))*'01_설정'!$B$17+K547*'01_설정'!$B$11+L547*'01_설정'!$B$12)</f>
        <v/>
      </c>
      <c r="R547">
        <f>IF(Q547="","",1+COUNTIFS($Q$31:$Q$1030,"&gt;"&amp;Q547)+COUNTIFS($Q$31:Q547,Q547)-1)</f>
        <v/>
      </c>
    </row>
    <row r="548" hidden="1" ht="16.5" customHeight="1">
      <c r="A548">
        <f>IF(COUNTA('05_KAIS'!$A536:$N536)=0,"",521)</f>
        <v/>
      </c>
      <c r="B548">
        <f>IF($A548="","",TRIM(INDEX('05_KAIS'!$B:$B,$A548)&amp;" "&amp;INDEX('05_KAIS'!$C:$C,$A548)))</f>
        <v/>
      </c>
      <c r="C548">
        <f>IF($A548="","",INDEX('05_KAIS'!$D:$D,$A548))</f>
        <v/>
      </c>
      <c r="D548">
        <f>IF($A548="","",INDEX('05_KAIS'!$H:$H,$A548))</f>
        <v/>
      </c>
      <c r="E548">
        <f>IF($A548="","",INDEX('05_KAIS'!$K:$K,$A548))</f>
        <v/>
      </c>
      <c r="F548" s="202">
        <f>IF($A548="","",INDEX('05_KAIS'!$I:$I,$A548))</f>
        <v/>
      </c>
      <c r="G548" s="118">
        <f>IF($A548="","",INDEX('05_KAIS'!$L:$L,$A548))</f>
        <v/>
      </c>
      <c r="H548" s="118">
        <f>IF($A548="","",IFERROR(INDEX('05_KAIS'!$M:$M,$A548),IF(AND(E548&gt;0,G548&gt;0),G548/E548,"")))</f>
        <v/>
      </c>
      <c r="I548" s="202">
        <f>IF($A548="","",INDEX('05_KAIS'!$N:$N,$A548))</f>
        <v/>
      </c>
      <c r="J548">
        <f>IF(B548="","",IF('02_대상물건입력'!$B$5="",1,IF(ISNUMBER(SEARCH('02_대상물건입력'!$B$5,B548)),1,0)))</f>
        <v/>
      </c>
      <c r="K548">
        <f>IF(B548="","",IF('02_대상물건입력'!$B$6="",1,IF(ISNUMBER(SEARCH('02_대상물건입력'!$B$6,B548)),1,0)))</f>
        <v/>
      </c>
      <c r="L548">
        <f>IF(D548="","",IF('02_대상물건입력'!$B$8="",0,IF(ISNUMBER(SEARCH('02_대상물건입력'!$B$8,D548)),1,0)))</f>
        <v/>
      </c>
      <c r="M548">
        <f>IFERROR(ABS(E548-'02_대상물건입력'!$B$11)/'02_대상물건입력'!$B$11,"")</f>
        <v/>
      </c>
      <c r="N548">
        <f>IFERROR(ABS('01_설정'!$B$4-F548),"")</f>
        <v/>
      </c>
      <c r="O548">
        <f>IFERROR(ABS(YEAR(I548)-YEAR('02_대상물건입력'!$B$14)),"")</f>
        <v/>
      </c>
      <c r="P548">
        <f>IF(AND(E548&gt;0,F548&gt;0,G548&gt;0,IF('01_설정'!$B$10=1,J548=1,TRUE()),M548&lt;='01_설정'!$B$5,N548&lt;='01_설정'!$B$7,O548&lt;='01_설정'!$B$8),"Y","")</f>
        <v/>
      </c>
      <c r="Q548">
        <f>IF(P548&lt;&gt;"Y","",MAX(0,(1-M548/'01_설정'!$B$5))*'01_설정'!$B$14+MAX(0,(1-N548/'01_설정'!$B$7))*'01_설정'!$B$16+MAX(0,(1-O548/'01_설정'!$B$8))*'01_설정'!$B$17+K548*'01_설정'!$B$11+L548*'01_설정'!$B$12)</f>
        <v/>
      </c>
      <c r="R548">
        <f>IF(Q548="","",1+COUNTIFS($Q$31:$Q$1030,"&gt;"&amp;Q548)+COUNTIFS($Q$31:Q548,Q548)-1)</f>
        <v/>
      </c>
    </row>
    <row r="549" hidden="1" ht="16.5" customHeight="1">
      <c r="A549">
        <f>IF(COUNTA('05_KAIS'!$A537:$N537)=0,"",522)</f>
        <v/>
      </c>
      <c r="B549">
        <f>IF($A549="","",TRIM(INDEX('05_KAIS'!$B:$B,$A549)&amp;" "&amp;INDEX('05_KAIS'!$C:$C,$A549)))</f>
        <v/>
      </c>
      <c r="C549">
        <f>IF($A549="","",INDEX('05_KAIS'!$D:$D,$A549))</f>
        <v/>
      </c>
      <c r="D549">
        <f>IF($A549="","",INDEX('05_KAIS'!$H:$H,$A549))</f>
        <v/>
      </c>
      <c r="E549">
        <f>IF($A549="","",INDEX('05_KAIS'!$K:$K,$A549))</f>
        <v/>
      </c>
      <c r="F549" s="202">
        <f>IF($A549="","",INDEX('05_KAIS'!$I:$I,$A549))</f>
        <v/>
      </c>
      <c r="G549" s="118">
        <f>IF($A549="","",INDEX('05_KAIS'!$L:$L,$A549))</f>
        <v/>
      </c>
      <c r="H549" s="118">
        <f>IF($A549="","",IFERROR(INDEX('05_KAIS'!$M:$M,$A549),IF(AND(E549&gt;0,G549&gt;0),G549/E549,"")))</f>
        <v/>
      </c>
      <c r="I549" s="202">
        <f>IF($A549="","",INDEX('05_KAIS'!$N:$N,$A549))</f>
        <v/>
      </c>
      <c r="J549">
        <f>IF(B549="","",IF('02_대상물건입력'!$B$5="",1,IF(ISNUMBER(SEARCH('02_대상물건입력'!$B$5,B549)),1,0)))</f>
        <v/>
      </c>
      <c r="K549">
        <f>IF(B549="","",IF('02_대상물건입력'!$B$6="",1,IF(ISNUMBER(SEARCH('02_대상물건입력'!$B$6,B549)),1,0)))</f>
        <v/>
      </c>
      <c r="L549">
        <f>IF(D549="","",IF('02_대상물건입력'!$B$8="",0,IF(ISNUMBER(SEARCH('02_대상물건입력'!$B$8,D549)),1,0)))</f>
        <v/>
      </c>
      <c r="M549">
        <f>IFERROR(ABS(E549-'02_대상물건입력'!$B$11)/'02_대상물건입력'!$B$11,"")</f>
        <v/>
      </c>
      <c r="N549">
        <f>IFERROR(ABS('01_설정'!$B$4-F549),"")</f>
        <v/>
      </c>
      <c r="O549">
        <f>IFERROR(ABS(YEAR(I549)-YEAR('02_대상물건입력'!$B$14)),"")</f>
        <v/>
      </c>
      <c r="P549">
        <f>IF(AND(E549&gt;0,F549&gt;0,G549&gt;0,IF('01_설정'!$B$10=1,J549=1,TRUE()),M549&lt;='01_설정'!$B$5,N549&lt;='01_설정'!$B$7,O549&lt;='01_설정'!$B$8),"Y","")</f>
        <v/>
      </c>
      <c r="Q549">
        <f>IF(P549&lt;&gt;"Y","",MAX(0,(1-M549/'01_설정'!$B$5))*'01_설정'!$B$14+MAX(0,(1-N549/'01_설정'!$B$7))*'01_설정'!$B$16+MAX(0,(1-O549/'01_설정'!$B$8))*'01_설정'!$B$17+K549*'01_설정'!$B$11+L549*'01_설정'!$B$12)</f>
        <v/>
      </c>
      <c r="R549">
        <f>IF(Q549="","",1+COUNTIFS($Q$31:$Q$1030,"&gt;"&amp;Q549)+COUNTIFS($Q$31:Q549,Q549)-1)</f>
        <v/>
      </c>
    </row>
    <row r="550" hidden="1" ht="16.5" customHeight="1">
      <c r="A550">
        <f>IF(COUNTA('05_KAIS'!$A538:$N538)=0,"",523)</f>
        <v/>
      </c>
      <c r="B550">
        <f>IF($A550="","",TRIM(INDEX('05_KAIS'!$B:$B,$A550)&amp;" "&amp;INDEX('05_KAIS'!$C:$C,$A550)))</f>
        <v/>
      </c>
      <c r="C550">
        <f>IF($A550="","",INDEX('05_KAIS'!$D:$D,$A550))</f>
        <v/>
      </c>
      <c r="D550">
        <f>IF($A550="","",INDEX('05_KAIS'!$H:$H,$A550))</f>
        <v/>
      </c>
      <c r="E550">
        <f>IF($A550="","",INDEX('05_KAIS'!$K:$K,$A550))</f>
        <v/>
      </c>
      <c r="F550" s="202">
        <f>IF($A550="","",INDEX('05_KAIS'!$I:$I,$A550))</f>
        <v/>
      </c>
      <c r="G550" s="118">
        <f>IF($A550="","",INDEX('05_KAIS'!$L:$L,$A550))</f>
        <v/>
      </c>
      <c r="H550" s="118">
        <f>IF($A550="","",IFERROR(INDEX('05_KAIS'!$M:$M,$A550),IF(AND(E550&gt;0,G550&gt;0),G550/E550,"")))</f>
        <v/>
      </c>
      <c r="I550" s="202">
        <f>IF($A550="","",INDEX('05_KAIS'!$N:$N,$A550))</f>
        <v/>
      </c>
      <c r="J550">
        <f>IF(B550="","",IF('02_대상물건입력'!$B$5="",1,IF(ISNUMBER(SEARCH('02_대상물건입력'!$B$5,B550)),1,0)))</f>
        <v/>
      </c>
      <c r="K550">
        <f>IF(B550="","",IF('02_대상물건입력'!$B$6="",1,IF(ISNUMBER(SEARCH('02_대상물건입력'!$B$6,B550)),1,0)))</f>
        <v/>
      </c>
      <c r="L550">
        <f>IF(D550="","",IF('02_대상물건입력'!$B$8="",0,IF(ISNUMBER(SEARCH('02_대상물건입력'!$B$8,D550)),1,0)))</f>
        <v/>
      </c>
      <c r="M550">
        <f>IFERROR(ABS(E550-'02_대상물건입력'!$B$11)/'02_대상물건입력'!$B$11,"")</f>
        <v/>
      </c>
      <c r="N550">
        <f>IFERROR(ABS('01_설정'!$B$4-F550),"")</f>
        <v/>
      </c>
      <c r="O550">
        <f>IFERROR(ABS(YEAR(I550)-YEAR('02_대상물건입력'!$B$14)),"")</f>
        <v/>
      </c>
      <c r="P550">
        <f>IF(AND(E550&gt;0,F550&gt;0,G550&gt;0,IF('01_설정'!$B$10=1,J550=1,TRUE()),M550&lt;='01_설정'!$B$5,N550&lt;='01_설정'!$B$7,O550&lt;='01_설정'!$B$8),"Y","")</f>
        <v/>
      </c>
      <c r="Q550">
        <f>IF(P550&lt;&gt;"Y","",MAX(0,(1-M550/'01_설정'!$B$5))*'01_설정'!$B$14+MAX(0,(1-N550/'01_설정'!$B$7))*'01_설정'!$B$16+MAX(0,(1-O550/'01_설정'!$B$8))*'01_설정'!$B$17+K550*'01_설정'!$B$11+L550*'01_설정'!$B$12)</f>
        <v/>
      </c>
      <c r="R550">
        <f>IF(Q550="","",1+COUNTIFS($Q$31:$Q$1030,"&gt;"&amp;Q550)+COUNTIFS($Q$31:Q550,Q550)-1)</f>
        <v/>
      </c>
    </row>
    <row r="551" hidden="1" ht="16.5" customHeight="1">
      <c r="A551">
        <f>IF(COUNTA('05_KAIS'!$A539:$N539)=0,"",524)</f>
        <v/>
      </c>
      <c r="B551">
        <f>IF($A551="","",TRIM(INDEX('05_KAIS'!$B:$B,$A551)&amp;" "&amp;INDEX('05_KAIS'!$C:$C,$A551)))</f>
        <v/>
      </c>
      <c r="C551">
        <f>IF($A551="","",INDEX('05_KAIS'!$D:$D,$A551))</f>
        <v/>
      </c>
      <c r="D551">
        <f>IF($A551="","",INDEX('05_KAIS'!$H:$H,$A551))</f>
        <v/>
      </c>
      <c r="E551">
        <f>IF($A551="","",INDEX('05_KAIS'!$K:$K,$A551))</f>
        <v/>
      </c>
      <c r="F551" s="202">
        <f>IF($A551="","",INDEX('05_KAIS'!$I:$I,$A551))</f>
        <v/>
      </c>
      <c r="G551" s="118">
        <f>IF($A551="","",INDEX('05_KAIS'!$L:$L,$A551))</f>
        <v/>
      </c>
      <c r="H551" s="118">
        <f>IF($A551="","",IFERROR(INDEX('05_KAIS'!$M:$M,$A551),IF(AND(E551&gt;0,G551&gt;0),G551/E551,"")))</f>
        <v/>
      </c>
      <c r="I551" s="202">
        <f>IF($A551="","",INDEX('05_KAIS'!$N:$N,$A551))</f>
        <v/>
      </c>
      <c r="J551">
        <f>IF(B551="","",IF('02_대상물건입력'!$B$5="",1,IF(ISNUMBER(SEARCH('02_대상물건입력'!$B$5,B551)),1,0)))</f>
        <v/>
      </c>
      <c r="K551">
        <f>IF(B551="","",IF('02_대상물건입력'!$B$6="",1,IF(ISNUMBER(SEARCH('02_대상물건입력'!$B$6,B551)),1,0)))</f>
        <v/>
      </c>
      <c r="L551">
        <f>IF(D551="","",IF('02_대상물건입력'!$B$8="",0,IF(ISNUMBER(SEARCH('02_대상물건입력'!$B$8,D551)),1,0)))</f>
        <v/>
      </c>
      <c r="M551">
        <f>IFERROR(ABS(E551-'02_대상물건입력'!$B$11)/'02_대상물건입력'!$B$11,"")</f>
        <v/>
      </c>
      <c r="N551">
        <f>IFERROR(ABS('01_설정'!$B$4-F551),"")</f>
        <v/>
      </c>
      <c r="O551">
        <f>IFERROR(ABS(YEAR(I551)-YEAR('02_대상물건입력'!$B$14)),"")</f>
        <v/>
      </c>
      <c r="P551">
        <f>IF(AND(E551&gt;0,F551&gt;0,G551&gt;0,IF('01_설정'!$B$10=1,J551=1,TRUE()),M551&lt;='01_설정'!$B$5,N551&lt;='01_설정'!$B$7,O551&lt;='01_설정'!$B$8),"Y","")</f>
        <v/>
      </c>
      <c r="Q551">
        <f>IF(P551&lt;&gt;"Y","",MAX(0,(1-M551/'01_설정'!$B$5))*'01_설정'!$B$14+MAX(0,(1-N551/'01_설정'!$B$7))*'01_설정'!$B$16+MAX(0,(1-O551/'01_설정'!$B$8))*'01_설정'!$B$17+K551*'01_설정'!$B$11+L551*'01_설정'!$B$12)</f>
        <v/>
      </c>
      <c r="R551">
        <f>IF(Q551="","",1+COUNTIFS($Q$31:$Q$1030,"&gt;"&amp;Q551)+COUNTIFS($Q$31:Q551,Q551)-1)</f>
        <v/>
      </c>
    </row>
    <row r="552" hidden="1" ht="16.5" customHeight="1">
      <c r="A552">
        <f>IF(COUNTA('05_KAIS'!$A540:$N540)=0,"",525)</f>
        <v/>
      </c>
      <c r="B552">
        <f>IF($A552="","",TRIM(INDEX('05_KAIS'!$B:$B,$A552)&amp;" "&amp;INDEX('05_KAIS'!$C:$C,$A552)))</f>
        <v/>
      </c>
      <c r="C552">
        <f>IF($A552="","",INDEX('05_KAIS'!$D:$D,$A552))</f>
        <v/>
      </c>
      <c r="D552">
        <f>IF($A552="","",INDEX('05_KAIS'!$H:$H,$A552))</f>
        <v/>
      </c>
      <c r="E552">
        <f>IF($A552="","",INDEX('05_KAIS'!$K:$K,$A552))</f>
        <v/>
      </c>
      <c r="F552" s="202">
        <f>IF($A552="","",INDEX('05_KAIS'!$I:$I,$A552))</f>
        <v/>
      </c>
      <c r="G552" s="118">
        <f>IF($A552="","",INDEX('05_KAIS'!$L:$L,$A552))</f>
        <v/>
      </c>
      <c r="H552" s="118">
        <f>IF($A552="","",IFERROR(INDEX('05_KAIS'!$M:$M,$A552),IF(AND(E552&gt;0,G552&gt;0),G552/E552,"")))</f>
        <v/>
      </c>
      <c r="I552" s="202">
        <f>IF($A552="","",INDEX('05_KAIS'!$N:$N,$A552))</f>
        <v/>
      </c>
      <c r="J552">
        <f>IF(B552="","",IF('02_대상물건입력'!$B$5="",1,IF(ISNUMBER(SEARCH('02_대상물건입력'!$B$5,B552)),1,0)))</f>
        <v/>
      </c>
      <c r="K552">
        <f>IF(B552="","",IF('02_대상물건입력'!$B$6="",1,IF(ISNUMBER(SEARCH('02_대상물건입력'!$B$6,B552)),1,0)))</f>
        <v/>
      </c>
      <c r="L552">
        <f>IF(D552="","",IF('02_대상물건입력'!$B$8="",0,IF(ISNUMBER(SEARCH('02_대상물건입력'!$B$8,D552)),1,0)))</f>
        <v/>
      </c>
      <c r="M552">
        <f>IFERROR(ABS(E552-'02_대상물건입력'!$B$11)/'02_대상물건입력'!$B$11,"")</f>
        <v/>
      </c>
      <c r="N552">
        <f>IFERROR(ABS('01_설정'!$B$4-F552),"")</f>
        <v/>
      </c>
      <c r="O552">
        <f>IFERROR(ABS(YEAR(I552)-YEAR('02_대상물건입력'!$B$14)),"")</f>
        <v/>
      </c>
      <c r="P552">
        <f>IF(AND(E552&gt;0,F552&gt;0,G552&gt;0,IF('01_설정'!$B$10=1,J552=1,TRUE()),M552&lt;='01_설정'!$B$5,N552&lt;='01_설정'!$B$7,O552&lt;='01_설정'!$B$8),"Y","")</f>
        <v/>
      </c>
      <c r="Q552">
        <f>IF(P552&lt;&gt;"Y","",MAX(0,(1-M552/'01_설정'!$B$5))*'01_설정'!$B$14+MAX(0,(1-N552/'01_설정'!$B$7))*'01_설정'!$B$16+MAX(0,(1-O552/'01_설정'!$B$8))*'01_설정'!$B$17+K552*'01_설정'!$B$11+L552*'01_설정'!$B$12)</f>
        <v/>
      </c>
      <c r="R552">
        <f>IF(Q552="","",1+COUNTIFS($Q$31:$Q$1030,"&gt;"&amp;Q552)+COUNTIFS($Q$31:Q552,Q552)-1)</f>
        <v/>
      </c>
    </row>
    <row r="553" hidden="1" ht="16.5" customHeight="1">
      <c r="A553">
        <f>IF(COUNTA('05_KAIS'!$A541:$N541)=0,"",526)</f>
        <v/>
      </c>
      <c r="B553">
        <f>IF($A553="","",TRIM(INDEX('05_KAIS'!$B:$B,$A553)&amp;" "&amp;INDEX('05_KAIS'!$C:$C,$A553)))</f>
        <v/>
      </c>
      <c r="C553">
        <f>IF($A553="","",INDEX('05_KAIS'!$D:$D,$A553))</f>
        <v/>
      </c>
      <c r="D553">
        <f>IF($A553="","",INDEX('05_KAIS'!$H:$H,$A553))</f>
        <v/>
      </c>
      <c r="E553">
        <f>IF($A553="","",INDEX('05_KAIS'!$K:$K,$A553))</f>
        <v/>
      </c>
      <c r="F553" s="202">
        <f>IF($A553="","",INDEX('05_KAIS'!$I:$I,$A553))</f>
        <v/>
      </c>
      <c r="G553" s="118">
        <f>IF($A553="","",INDEX('05_KAIS'!$L:$L,$A553))</f>
        <v/>
      </c>
      <c r="H553" s="118">
        <f>IF($A553="","",IFERROR(INDEX('05_KAIS'!$M:$M,$A553),IF(AND(E553&gt;0,G553&gt;0),G553/E553,"")))</f>
        <v/>
      </c>
      <c r="I553" s="202">
        <f>IF($A553="","",INDEX('05_KAIS'!$N:$N,$A553))</f>
        <v/>
      </c>
      <c r="J553">
        <f>IF(B553="","",IF('02_대상물건입력'!$B$5="",1,IF(ISNUMBER(SEARCH('02_대상물건입력'!$B$5,B553)),1,0)))</f>
        <v/>
      </c>
      <c r="K553">
        <f>IF(B553="","",IF('02_대상물건입력'!$B$6="",1,IF(ISNUMBER(SEARCH('02_대상물건입력'!$B$6,B553)),1,0)))</f>
        <v/>
      </c>
      <c r="L553">
        <f>IF(D553="","",IF('02_대상물건입력'!$B$8="",0,IF(ISNUMBER(SEARCH('02_대상물건입력'!$B$8,D553)),1,0)))</f>
        <v/>
      </c>
      <c r="M553">
        <f>IFERROR(ABS(E553-'02_대상물건입력'!$B$11)/'02_대상물건입력'!$B$11,"")</f>
        <v/>
      </c>
      <c r="N553">
        <f>IFERROR(ABS('01_설정'!$B$4-F553),"")</f>
        <v/>
      </c>
      <c r="O553">
        <f>IFERROR(ABS(YEAR(I553)-YEAR('02_대상물건입력'!$B$14)),"")</f>
        <v/>
      </c>
      <c r="P553">
        <f>IF(AND(E553&gt;0,F553&gt;0,G553&gt;0,IF('01_설정'!$B$10=1,J553=1,TRUE()),M553&lt;='01_설정'!$B$5,N553&lt;='01_설정'!$B$7,O553&lt;='01_설정'!$B$8),"Y","")</f>
        <v/>
      </c>
      <c r="Q553">
        <f>IF(P553&lt;&gt;"Y","",MAX(0,(1-M553/'01_설정'!$B$5))*'01_설정'!$B$14+MAX(0,(1-N553/'01_설정'!$B$7))*'01_설정'!$B$16+MAX(0,(1-O553/'01_설정'!$B$8))*'01_설정'!$B$17+K553*'01_설정'!$B$11+L553*'01_설정'!$B$12)</f>
        <v/>
      </c>
      <c r="R553">
        <f>IF(Q553="","",1+COUNTIFS($Q$31:$Q$1030,"&gt;"&amp;Q553)+COUNTIFS($Q$31:Q553,Q553)-1)</f>
        <v/>
      </c>
    </row>
    <row r="554" hidden="1" ht="16.5" customHeight="1">
      <c r="A554">
        <f>IF(COUNTA('05_KAIS'!$A542:$N542)=0,"",527)</f>
        <v/>
      </c>
      <c r="B554">
        <f>IF($A554="","",TRIM(INDEX('05_KAIS'!$B:$B,$A554)&amp;" "&amp;INDEX('05_KAIS'!$C:$C,$A554)))</f>
        <v/>
      </c>
      <c r="C554">
        <f>IF($A554="","",INDEX('05_KAIS'!$D:$D,$A554))</f>
        <v/>
      </c>
      <c r="D554">
        <f>IF($A554="","",INDEX('05_KAIS'!$H:$H,$A554))</f>
        <v/>
      </c>
      <c r="E554">
        <f>IF($A554="","",INDEX('05_KAIS'!$K:$K,$A554))</f>
        <v/>
      </c>
      <c r="F554" s="202">
        <f>IF($A554="","",INDEX('05_KAIS'!$I:$I,$A554))</f>
        <v/>
      </c>
      <c r="G554" s="118">
        <f>IF($A554="","",INDEX('05_KAIS'!$L:$L,$A554))</f>
        <v/>
      </c>
      <c r="H554" s="118">
        <f>IF($A554="","",IFERROR(INDEX('05_KAIS'!$M:$M,$A554),IF(AND(E554&gt;0,G554&gt;0),G554/E554,"")))</f>
        <v/>
      </c>
      <c r="I554" s="202">
        <f>IF($A554="","",INDEX('05_KAIS'!$N:$N,$A554))</f>
        <v/>
      </c>
      <c r="J554">
        <f>IF(B554="","",IF('02_대상물건입력'!$B$5="",1,IF(ISNUMBER(SEARCH('02_대상물건입력'!$B$5,B554)),1,0)))</f>
        <v/>
      </c>
      <c r="K554">
        <f>IF(B554="","",IF('02_대상물건입력'!$B$6="",1,IF(ISNUMBER(SEARCH('02_대상물건입력'!$B$6,B554)),1,0)))</f>
        <v/>
      </c>
      <c r="L554">
        <f>IF(D554="","",IF('02_대상물건입력'!$B$8="",0,IF(ISNUMBER(SEARCH('02_대상물건입력'!$B$8,D554)),1,0)))</f>
        <v/>
      </c>
      <c r="M554">
        <f>IFERROR(ABS(E554-'02_대상물건입력'!$B$11)/'02_대상물건입력'!$B$11,"")</f>
        <v/>
      </c>
      <c r="N554">
        <f>IFERROR(ABS('01_설정'!$B$4-F554),"")</f>
        <v/>
      </c>
      <c r="O554">
        <f>IFERROR(ABS(YEAR(I554)-YEAR('02_대상물건입력'!$B$14)),"")</f>
        <v/>
      </c>
      <c r="P554">
        <f>IF(AND(E554&gt;0,F554&gt;0,G554&gt;0,IF('01_설정'!$B$10=1,J554=1,TRUE()),M554&lt;='01_설정'!$B$5,N554&lt;='01_설정'!$B$7,O554&lt;='01_설정'!$B$8),"Y","")</f>
        <v/>
      </c>
      <c r="Q554">
        <f>IF(P554&lt;&gt;"Y","",MAX(0,(1-M554/'01_설정'!$B$5))*'01_설정'!$B$14+MAX(0,(1-N554/'01_설정'!$B$7))*'01_설정'!$B$16+MAX(0,(1-O554/'01_설정'!$B$8))*'01_설정'!$B$17+K554*'01_설정'!$B$11+L554*'01_설정'!$B$12)</f>
        <v/>
      </c>
      <c r="R554">
        <f>IF(Q554="","",1+COUNTIFS($Q$31:$Q$1030,"&gt;"&amp;Q554)+COUNTIFS($Q$31:Q554,Q554)-1)</f>
        <v/>
      </c>
    </row>
    <row r="555" hidden="1" ht="16.5" customHeight="1">
      <c r="A555">
        <f>IF(COUNTA('05_KAIS'!$A543:$N543)=0,"",528)</f>
        <v/>
      </c>
      <c r="B555">
        <f>IF($A555="","",TRIM(INDEX('05_KAIS'!$B:$B,$A555)&amp;" "&amp;INDEX('05_KAIS'!$C:$C,$A555)))</f>
        <v/>
      </c>
      <c r="C555">
        <f>IF($A555="","",INDEX('05_KAIS'!$D:$D,$A555))</f>
        <v/>
      </c>
      <c r="D555">
        <f>IF($A555="","",INDEX('05_KAIS'!$H:$H,$A555))</f>
        <v/>
      </c>
      <c r="E555">
        <f>IF($A555="","",INDEX('05_KAIS'!$K:$K,$A555))</f>
        <v/>
      </c>
      <c r="F555" s="202">
        <f>IF($A555="","",INDEX('05_KAIS'!$I:$I,$A555))</f>
        <v/>
      </c>
      <c r="G555" s="118">
        <f>IF($A555="","",INDEX('05_KAIS'!$L:$L,$A555))</f>
        <v/>
      </c>
      <c r="H555" s="118">
        <f>IF($A555="","",IFERROR(INDEX('05_KAIS'!$M:$M,$A555),IF(AND(E555&gt;0,G555&gt;0),G555/E555,"")))</f>
        <v/>
      </c>
      <c r="I555" s="202">
        <f>IF($A555="","",INDEX('05_KAIS'!$N:$N,$A555))</f>
        <v/>
      </c>
      <c r="J555">
        <f>IF(B555="","",IF('02_대상물건입력'!$B$5="",1,IF(ISNUMBER(SEARCH('02_대상물건입력'!$B$5,B555)),1,0)))</f>
        <v/>
      </c>
      <c r="K555">
        <f>IF(B555="","",IF('02_대상물건입력'!$B$6="",1,IF(ISNUMBER(SEARCH('02_대상물건입력'!$B$6,B555)),1,0)))</f>
        <v/>
      </c>
      <c r="L555">
        <f>IF(D555="","",IF('02_대상물건입력'!$B$8="",0,IF(ISNUMBER(SEARCH('02_대상물건입력'!$B$8,D555)),1,0)))</f>
        <v/>
      </c>
      <c r="M555">
        <f>IFERROR(ABS(E555-'02_대상물건입력'!$B$11)/'02_대상물건입력'!$B$11,"")</f>
        <v/>
      </c>
      <c r="N555">
        <f>IFERROR(ABS('01_설정'!$B$4-F555),"")</f>
        <v/>
      </c>
      <c r="O555">
        <f>IFERROR(ABS(YEAR(I555)-YEAR('02_대상물건입력'!$B$14)),"")</f>
        <v/>
      </c>
      <c r="P555">
        <f>IF(AND(E555&gt;0,F555&gt;0,G555&gt;0,IF('01_설정'!$B$10=1,J555=1,TRUE()),M555&lt;='01_설정'!$B$5,N555&lt;='01_설정'!$B$7,O555&lt;='01_설정'!$B$8),"Y","")</f>
        <v/>
      </c>
      <c r="Q555">
        <f>IF(P555&lt;&gt;"Y","",MAX(0,(1-M555/'01_설정'!$B$5))*'01_설정'!$B$14+MAX(0,(1-N555/'01_설정'!$B$7))*'01_설정'!$B$16+MAX(0,(1-O555/'01_설정'!$B$8))*'01_설정'!$B$17+K555*'01_설정'!$B$11+L555*'01_설정'!$B$12)</f>
        <v/>
      </c>
      <c r="R555">
        <f>IF(Q555="","",1+COUNTIFS($Q$31:$Q$1030,"&gt;"&amp;Q555)+COUNTIFS($Q$31:Q555,Q555)-1)</f>
        <v/>
      </c>
    </row>
    <row r="556" hidden="1" ht="16.5" customHeight="1">
      <c r="A556">
        <f>IF(COUNTA('05_KAIS'!$A544:$N544)=0,"",529)</f>
        <v/>
      </c>
      <c r="B556">
        <f>IF($A556="","",TRIM(INDEX('05_KAIS'!$B:$B,$A556)&amp;" "&amp;INDEX('05_KAIS'!$C:$C,$A556)))</f>
        <v/>
      </c>
      <c r="C556">
        <f>IF($A556="","",INDEX('05_KAIS'!$D:$D,$A556))</f>
        <v/>
      </c>
      <c r="D556">
        <f>IF($A556="","",INDEX('05_KAIS'!$H:$H,$A556))</f>
        <v/>
      </c>
      <c r="E556">
        <f>IF($A556="","",INDEX('05_KAIS'!$K:$K,$A556))</f>
        <v/>
      </c>
      <c r="F556" s="202">
        <f>IF($A556="","",INDEX('05_KAIS'!$I:$I,$A556))</f>
        <v/>
      </c>
      <c r="G556" s="118">
        <f>IF($A556="","",INDEX('05_KAIS'!$L:$L,$A556))</f>
        <v/>
      </c>
      <c r="H556" s="118">
        <f>IF($A556="","",IFERROR(INDEX('05_KAIS'!$M:$M,$A556),IF(AND(E556&gt;0,G556&gt;0),G556/E556,"")))</f>
        <v/>
      </c>
      <c r="I556" s="202">
        <f>IF($A556="","",INDEX('05_KAIS'!$N:$N,$A556))</f>
        <v/>
      </c>
      <c r="J556">
        <f>IF(B556="","",IF('02_대상물건입력'!$B$5="",1,IF(ISNUMBER(SEARCH('02_대상물건입력'!$B$5,B556)),1,0)))</f>
        <v/>
      </c>
      <c r="K556">
        <f>IF(B556="","",IF('02_대상물건입력'!$B$6="",1,IF(ISNUMBER(SEARCH('02_대상물건입력'!$B$6,B556)),1,0)))</f>
        <v/>
      </c>
      <c r="L556">
        <f>IF(D556="","",IF('02_대상물건입력'!$B$8="",0,IF(ISNUMBER(SEARCH('02_대상물건입력'!$B$8,D556)),1,0)))</f>
        <v/>
      </c>
      <c r="M556">
        <f>IFERROR(ABS(E556-'02_대상물건입력'!$B$11)/'02_대상물건입력'!$B$11,"")</f>
        <v/>
      </c>
      <c r="N556">
        <f>IFERROR(ABS('01_설정'!$B$4-F556),"")</f>
        <v/>
      </c>
      <c r="O556">
        <f>IFERROR(ABS(YEAR(I556)-YEAR('02_대상물건입력'!$B$14)),"")</f>
        <v/>
      </c>
      <c r="P556">
        <f>IF(AND(E556&gt;0,F556&gt;0,G556&gt;0,IF('01_설정'!$B$10=1,J556=1,TRUE()),M556&lt;='01_설정'!$B$5,N556&lt;='01_설정'!$B$7,O556&lt;='01_설정'!$B$8),"Y","")</f>
        <v/>
      </c>
      <c r="Q556">
        <f>IF(P556&lt;&gt;"Y","",MAX(0,(1-M556/'01_설정'!$B$5))*'01_설정'!$B$14+MAX(0,(1-N556/'01_설정'!$B$7))*'01_설정'!$B$16+MAX(0,(1-O556/'01_설정'!$B$8))*'01_설정'!$B$17+K556*'01_설정'!$B$11+L556*'01_설정'!$B$12)</f>
        <v/>
      </c>
      <c r="R556">
        <f>IF(Q556="","",1+COUNTIFS($Q$31:$Q$1030,"&gt;"&amp;Q556)+COUNTIFS($Q$31:Q556,Q556)-1)</f>
        <v/>
      </c>
    </row>
    <row r="557" hidden="1" ht="16.5" customHeight="1">
      <c r="A557">
        <f>IF(COUNTA('05_KAIS'!$A545:$N545)=0,"",530)</f>
        <v/>
      </c>
      <c r="B557">
        <f>IF($A557="","",TRIM(INDEX('05_KAIS'!$B:$B,$A557)&amp;" "&amp;INDEX('05_KAIS'!$C:$C,$A557)))</f>
        <v/>
      </c>
      <c r="C557">
        <f>IF($A557="","",INDEX('05_KAIS'!$D:$D,$A557))</f>
        <v/>
      </c>
      <c r="D557">
        <f>IF($A557="","",INDEX('05_KAIS'!$H:$H,$A557))</f>
        <v/>
      </c>
      <c r="E557">
        <f>IF($A557="","",INDEX('05_KAIS'!$K:$K,$A557))</f>
        <v/>
      </c>
      <c r="F557" s="202">
        <f>IF($A557="","",INDEX('05_KAIS'!$I:$I,$A557))</f>
        <v/>
      </c>
      <c r="G557" s="118">
        <f>IF($A557="","",INDEX('05_KAIS'!$L:$L,$A557))</f>
        <v/>
      </c>
      <c r="H557" s="118">
        <f>IF($A557="","",IFERROR(INDEX('05_KAIS'!$M:$M,$A557),IF(AND(E557&gt;0,G557&gt;0),G557/E557,"")))</f>
        <v/>
      </c>
      <c r="I557" s="202">
        <f>IF($A557="","",INDEX('05_KAIS'!$N:$N,$A557))</f>
        <v/>
      </c>
      <c r="J557">
        <f>IF(B557="","",IF('02_대상물건입력'!$B$5="",1,IF(ISNUMBER(SEARCH('02_대상물건입력'!$B$5,B557)),1,0)))</f>
        <v/>
      </c>
      <c r="K557">
        <f>IF(B557="","",IF('02_대상물건입력'!$B$6="",1,IF(ISNUMBER(SEARCH('02_대상물건입력'!$B$6,B557)),1,0)))</f>
        <v/>
      </c>
      <c r="L557">
        <f>IF(D557="","",IF('02_대상물건입력'!$B$8="",0,IF(ISNUMBER(SEARCH('02_대상물건입력'!$B$8,D557)),1,0)))</f>
        <v/>
      </c>
      <c r="M557">
        <f>IFERROR(ABS(E557-'02_대상물건입력'!$B$11)/'02_대상물건입력'!$B$11,"")</f>
        <v/>
      </c>
      <c r="N557">
        <f>IFERROR(ABS('01_설정'!$B$4-F557),"")</f>
        <v/>
      </c>
      <c r="O557">
        <f>IFERROR(ABS(YEAR(I557)-YEAR('02_대상물건입력'!$B$14)),"")</f>
        <v/>
      </c>
      <c r="P557">
        <f>IF(AND(E557&gt;0,F557&gt;0,G557&gt;0,IF('01_설정'!$B$10=1,J557=1,TRUE()),M557&lt;='01_설정'!$B$5,N557&lt;='01_설정'!$B$7,O557&lt;='01_설정'!$B$8),"Y","")</f>
        <v/>
      </c>
      <c r="Q557">
        <f>IF(P557&lt;&gt;"Y","",MAX(0,(1-M557/'01_설정'!$B$5))*'01_설정'!$B$14+MAX(0,(1-N557/'01_설정'!$B$7))*'01_설정'!$B$16+MAX(0,(1-O557/'01_설정'!$B$8))*'01_설정'!$B$17+K557*'01_설정'!$B$11+L557*'01_설정'!$B$12)</f>
        <v/>
      </c>
      <c r="R557">
        <f>IF(Q557="","",1+COUNTIFS($Q$31:$Q$1030,"&gt;"&amp;Q557)+COUNTIFS($Q$31:Q557,Q557)-1)</f>
        <v/>
      </c>
    </row>
    <row r="558" hidden="1" ht="16.5" customHeight="1">
      <c r="A558">
        <f>IF(COUNTA('05_KAIS'!$A546:$N546)=0,"",531)</f>
        <v/>
      </c>
      <c r="B558">
        <f>IF($A558="","",TRIM(INDEX('05_KAIS'!$B:$B,$A558)&amp;" "&amp;INDEX('05_KAIS'!$C:$C,$A558)))</f>
        <v/>
      </c>
      <c r="C558">
        <f>IF($A558="","",INDEX('05_KAIS'!$D:$D,$A558))</f>
        <v/>
      </c>
      <c r="D558">
        <f>IF($A558="","",INDEX('05_KAIS'!$H:$H,$A558))</f>
        <v/>
      </c>
      <c r="E558">
        <f>IF($A558="","",INDEX('05_KAIS'!$K:$K,$A558))</f>
        <v/>
      </c>
      <c r="F558" s="202">
        <f>IF($A558="","",INDEX('05_KAIS'!$I:$I,$A558))</f>
        <v/>
      </c>
      <c r="G558" s="118">
        <f>IF($A558="","",INDEX('05_KAIS'!$L:$L,$A558))</f>
        <v/>
      </c>
      <c r="H558" s="118">
        <f>IF($A558="","",IFERROR(INDEX('05_KAIS'!$M:$M,$A558),IF(AND(E558&gt;0,G558&gt;0),G558/E558,"")))</f>
        <v/>
      </c>
      <c r="I558" s="202">
        <f>IF($A558="","",INDEX('05_KAIS'!$N:$N,$A558))</f>
        <v/>
      </c>
      <c r="J558">
        <f>IF(B558="","",IF('02_대상물건입력'!$B$5="",1,IF(ISNUMBER(SEARCH('02_대상물건입력'!$B$5,B558)),1,0)))</f>
        <v/>
      </c>
      <c r="K558">
        <f>IF(B558="","",IF('02_대상물건입력'!$B$6="",1,IF(ISNUMBER(SEARCH('02_대상물건입력'!$B$6,B558)),1,0)))</f>
        <v/>
      </c>
      <c r="L558">
        <f>IF(D558="","",IF('02_대상물건입력'!$B$8="",0,IF(ISNUMBER(SEARCH('02_대상물건입력'!$B$8,D558)),1,0)))</f>
        <v/>
      </c>
      <c r="M558">
        <f>IFERROR(ABS(E558-'02_대상물건입력'!$B$11)/'02_대상물건입력'!$B$11,"")</f>
        <v/>
      </c>
      <c r="N558">
        <f>IFERROR(ABS('01_설정'!$B$4-F558),"")</f>
        <v/>
      </c>
      <c r="O558">
        <f>IFERROR(ABS(YEAR(I558)-YEAR('02_대상물건입력'!$B$14)),"")</f>
        <v/>
      </c>
      <c r="P558">
        <f>IF(AND(E558&gt;0,F558&gt;0,G558&gt;0,IF('01_설정'!$B$10=1,J558=1,TRUE()),M558&lt;='01_설정'!$B$5,N558&lt;='01_설정'!$B$7,O558&lt;='01_설정'!$B$8),"Y","")</f>
        <v/>
      </c>
      <c r="Q558">
        <f>IF(P558&lt;&gt;"Y","",MAX(0,(1-M558/'01_설정'!$B$5))*'01_설정'!$B$14+MAX(0,(1-N558/'01_설정'!$B$7))*'01_설정'!$B$16+MAX(0,(1-O558/'01_설정'!$B$8))*'01_설정'!$B$17+K558*'01_설정'!$B$11+L558*'01_설정'!$B$12)</f>
        <v/>
      </c>
      <c r="R558">
        <f>IF(Q558="","",1+COUNTIFS($Q$31:$Q$1030,"&gt;"&amp;Q558)+COUNTIFS($Q$31:Q558,Q558)-1)</f>
        <v/>
      </c>
    </row>
    <row r="559" hidden="1" ht="16.5" customHeight="1">
      <c r="A559">
        <f>IF(COUNTA('05_KAIS'!$A547:$N547)=0,"",532)</f>
        <v/>
      </c>
      <c r="B559">
        <f>IF($A559="","",TRIM(INDEX('05_KAIS'!$B:$B,$A559)&amp;" "&amp;INDEX('05_KAIS'!$C:$C,$A559)))</f>
        <v/>
      </c>
      <c r="C559">
        <f>IF($A559="","",INDEX('05_KAIS'!$D:$D,$A559))</f>
        <v/>
      </c>
      <c r="D559">
        <f>IF($A559="","",INDEX('05_KAIS'!$H:$H,$A559))</f>
        <v/>
      </c>
      <c r="E559">
        <f>IF($A559="","",INDEX('05_KAIS'!$K:$K,$A559))</f>
        <v/>
      </c>
      <c r="F559" s="202">
        <f>IF($A559="","",INDEX('05_KAIS'!$I:$I,$A559))</f>
        <v/>
      </c>
      <c r="G559" s="118">
        <f>IF($A559="","",INDEX('05_KAIS'!$L:$L,$A559))</f>
        <v/>
      </c>
      <c r="H559" s="118">
        <f>IF($A559="","",IFERROR(INDEX('05_KAIS'!$M:$M,$A559),IF(AND(E559&gt;0,G559&gt;0),G559/E559,"")))</f>
        <v/>
      </c>
      <c r="I559" s="202">
        <f>IF($A559="","",INDEX('05_KAIS'!$N:$N,$A559))</f>
        <v/>
      </c>
      <c r="J559">
        <f>IF(B559="","",IF('02_대상물건입력'!$B$5="",1,IF(ISNUMBER(SEARCH('02_대상물건입력'!$B$5,B559)),1,0)))</f>
        <v/>
      </c>
      <c r="K559">
        <f>IF(B559="","",IF('02_대상물건입력'!$B$6="",1,IF(ISNUMBER(SEARCH('02_대상물건입력'!$B$6,B559)),1,0)))</f>
        <v/>
      </c>
      <c r="L559">
        <f>IF(D559="","",IF('02_대상물건입력'!$B$8="",0,IF(ISNUMBER(SEARCH('02_대상물건입력'!$B$8,D559)),1,0)))</f>
        <v/>
      </c>
      <c r="M559">
        <f>IFERROR(ABS(E559-'02_대상물건입력'!$B$11)/'02_대상물건입력'!$B$11,"")</f>
        <v/>
      </c>
      <c r="N559">
        <f>IFERROR(ABS('01_설정'!$B$4-F559),"")</f>
        <v/>
      </c>
      <c r="O559">
        <f>IFERROR(ABS(YEAR(I559)-YEAR('02_대상물건입력'!$B$14)),"")</f>
        <v/>
      </c>
      <c r="P559">
        <f>IF(AND(E559&gt;0,F559&gt;0,G559&gt;0,IF('01_설정'!$B$10=1,J559=1,TRUE()),M559&lt;='01_설정'!$B$5,N559&lt;='01_설정'!$B$7,O559&lt;='01_설정'!$B$8),"Y","")</f>
        <v/>
      </c>
      <c r="Q559">
        <f>IF(P559&lt;&gt;"Y","",MAX(0,(1-M559/'01_설정'!$B$5))*'01_설정'!$B$14+MAX(0,(1-N559/'01_설정'!$B$7))*'01_설정'!$B$16+MAX(0,(1-O559/'01_설정'!$B$8))*'01_설정'!$B$17+K559*'01_설정'!$B$11+L559*'01_설정'!$B$12)</f>
        <v/>
      </c>
      <c r="R559">
        <f>IF(Q559="","",1+COUNTIFS($Q$31:$Q$1030,"&gt;"&amp;Q559)+COUNTIFS($Q$31:Q559,Q559)-1)</f>
        <v/>
      </c>
    </row>
    <row r="560" hidden="1" ht="16.5" customHeight="1">
      <c r="A560">
        <f>IF(COUNTA('05_KAIS'!$A548:$N548)=0,"",533)</f>
        <v/>
      </c>
      <c r="B560">
        <f>IF($A560="","",TRIM(INDEX('05_KAIS'!$B:$B,$A560)&amp;" "&amp;INDEX('05_KAIS'!$C:$C,$A560)))</f>
        <v/>
      </c>
      <c r="C560">
        <f>IF($A560="","",INDEX('05_KAIS'!$D:$D,$A560))</f>
        <v/>
      </c>
      <c r="D560">
        <f>IF($A560="","",INDEX('05_KAIS'!$H:$H,$A560))</f>
        <v/>
      </c>
      <c r="E560">
        <f>IF($A560="","",INDEX('05_KAIS'!$K:$K,$A560))</f>
        <v/>
      </c>
      <c r="F560" s="202">
        <f>IF($A560="","",INDEX('05_KAIS'!$I:$I,$A560))</f>
        <v/>
      </c>
      <c r="G560" s="118">
        <f>IF($A560="","",INDEX('05_KAIS'!$L:$L,$A560))</f>
        <v/>
      </c>
      <c r="H560" s="118">
        <f>IF($A560="","",IFERROR(INDEX('05_KAIS'!$M:$M,$A560),IF(AND(E560&gt;0,G560&gt;0),G560/E560,"")))</f>
        <v/>
      </c>
      <c r="I560" s="202">
        <f>IF($A560="","",INDEX('05_KAIS'!$N:$N,$A560))</f>
        <v/>
      </c>
      <c r="J560">
        <f>IF(B560="","",IF('02_대상물건입력'!$B$5="",1,IF(ISNUMBER(SEARCH('02_대상물건입력'!$B$5,B560)),1,0)))</f>
        <v/>
      </c>
      <c r="K560">
        <f>IF(B560="","",IF('02_대상물건입력'!$B$6="",1,IF(ISNUMBER(SEARCH('02_대상물건입력'!$B$6,B560)),1,0)))</f>
        <v/>
      </c>
      <c r="L560">
        <f>IF(D560="","",IF('02_대상물건입력'!$B$8="",0,IF(ISNUMBER(SEARCH('02_대상물건입력'!$B$8,D560)),1,0)))</f>
        <v/>
      </c>
      <c r="M560">
        <f>IFERROR(ABS(E560-'02_대상물건입력'!$B$11)/'02_대상물건입력'!$B$11,"")</f>
        <v/>
      </c>
      <c r="N560">
        <f>IFERROR(ABS('01_설정'!$B$4-F560),"")</f>
        <v/>
      </c>
      <c r="O560">
        <f>IFERROR(ABS(YEAR(I560)-YEAR('02_대상물건입력'!$B$14)),"")</f>
        <v/>
      </c>
      <c r="P560">
        <f>IF(AND(E560&gt;0,F560&gt;0,G560&gt;0,IF('01_설정'!$B$10=1,J560=1,TRUE()),M560&lt;='01_설정'!$B$5,N560&lt;='01_설정'!$B$7,O560&lt;='01_설정'!$B$8),"Y","")</f>
        <v/>
      </c>
      <c r="Q560">
        <f>IF(P560&lt;&gt;"Y","",MAX(0,(1-M560/'01_설정'!$B$5))*'01_설정'!$B$14+MAX(0,(1-N560/'01_설정'!$B$7))*'01_설정'!$B$16+MAX(0,(1-O560/'01_설정'!$B$8))*'01_설정'!$B$17+K560*'01_설정'!$B$11+L560*'01_설정'!$B$12)</f>
        <v/>
      </c>
      <c r="R560">
        <f>IF(Q560="","",1+COUNTIFS($Q$31:$Q$1030,"&gt;"&amp;Q560)+COUNTIFS($Q$31:Q560,Q560)-1)</f>
        <v/>
      </c>
    </row>
    <row r="561" hidden="1" ht="16.5" customHeight="1">
      <c r="A561">
        <f>IF(COUNTA('05_KAIS'!$A549:$N549)=0,"",534)</f>
        <v/>
      </c>
      <c r="B561">
        <f>IF($A561="","",TRIM(INDEX('05_KAIS'!$B:$B,$A561)&amp;" "&amp;INDEX('05_KAIS'!$C:$C,$A561)))</f>
        <v/>
      </c>
      <c r="C561">
        <f>IF($A561="","",INDEX('05_KAIS'!$D:$D,$A561))</f>
        <v/>
      </c>
      <c r="D561">
        <f>IF($A561="","",INDEX('05_KAIS'!$H:$H,$A561))</f>
        <v/>
      </c>
      <c r="E561">
        <f>IF($A561="","",INDEX('05_KAIS'!$K:$K,$A561))</f>
        <v/>
      </c>
      <c r="F561" s="202">
        <f>IF($A561="","",INDEX('05_KAIS'!$I:$I,$A561))</f>
        <v/>
      </c>
      <c r="G561" s="118">
        <f>IF($A561="","",INDEX('05_KAIS'!$L:$L,$A561))</f>
        <v/>
      </c>
      <c r="H561" s="118">
        <f>IF($A561="","",IFERROR(INDEX('05_KAIS'!$M:$M,$A561),IF(AND(E561&gt;0,G561&gt;0),G561/E561,"")))</f>
        <v/>
      </c>
      <c r="I561" s="202">
        <f>IF($A561="","",INDEX('05_KAIS'!$N:$N,$A561))</f>
        <v/>
      </c>
      <c r="J561">
        <f>IF(B561="","",IF('02_대상물건입력'!$B$5="",1,IF(ISNUMBER(SEARCH('02_대상물건입력'!$B$5,B561)),1,0)))</f>
        <v/>
      </c>
      <c r="K561">
        <f>IF(B561="","",IF('02_대상물건입력'!$B$6="",1,IF(ISNUMBER(SEARCH('02_대상물건입력'!$B$6,B561)),1,0)))</f>
        <v/>
      </c>
      <c r="L561">
        <f>IF(D561="","",IF('02_대상물건입력'!$B$8="",0,IF(ISNUMBER(SEARCH('02_대상물건입력'!$B$8,D561)),1,0)))</f>
        <v/>
      </c>
      <c r="M561">
        <f>IFERROR(ABS(E561-'02_대상물건입력'!$B$11)/'02_대상물건입력'!$B$11,"")</f>
        <v/>
      </c>
      <c r="N561">
        <f>IFERROR(ABS('01_설정'!$B$4-F561),"")</f>
        <v/>
      </c>
      <c r="O561">
        <f>IFERROR(ABS(YEAR(I561)-YEAR('02_대상물건입력'!$B$14)),"")</f>
        <v/>
      </c>
      <c r="P561">
        <f>IF(AND(E561&gt;0,F561&gt;0,G561&gt;0,IF('01_설정'!$B$10=1,J561=1,TRUE()),M561&lt;='01_설정'!$B$5,N561&lt;='01_설정'!$B$7,O561&lt;='01_설정'!$B$8),"Y","")</f>
        <v/>
      </c>
      <c r="Q561">
        <f>IF(P561&lt;&gt;"Y","",MAX(0,(1-M561/'01_설정'!$B$5))*'01_설정'!$B$14+MAX(0,(1-N561/'01_설정'!$B$7))*'01_설정'!$B$16+MAX(0,(1-O561/'01_설정'!$B$8))*'01_설정'!$B$17+K561*'01_설정'!$B$11+L561*'01_설정'!$B$12)</f>
        <v/>
      </c>
      <c r="R561">
        <f>IF(Q561="","",1+COUNTIFS($Q$31:$Q$1030,"&gt;"&amp;Q561)+COUNTIFS($Q$31:Q561,Q561)-1)</f>
        <v/>
      </c>
    </row>
    <row r="562" hidden="1" ht="16.5" customHeight="1">
      <c r="A562">
        <f>IF(COUNTA('05_KAIS'!$A550:$N550)=0,"",535)</f>
        <v/>
      </c>
      <c r="B562">
        <f>IF($A562="","",TRIM(INDEX('05_KAIS'!$B:$B,$A562)&amp;" "&amp;INDEX('05_KAIS'!$C:$C,$A562)))</f>
        <v/>
      </c>
      <c r="C562">
        <f>IF($A562="","",INDEX('05_KAIS'!$D:$D,$A562))</f>
        <v/>
      </c>
      <c r="D562">
        <f>IF($A562="","",INDEX('05_KAIS'!$H:$H,$A562))</f>
        <v/>
      </c>
      <c r="E562">
        <f>IF($A562="","",INDEX('05_KAIS'!$K:$K,$A562))</f>
        <v/>
      </c>
      <c r="F562" s="202">
        <f>IF($A562="","",INDEX('05_KAIS'!$I:$I,$A562))</f>
        <v/>
      </c>
      <c r="G562" s="118">
        <f>IF($A562="","",INDEX('05_KAIS'!$L:$L,$A562))</f>
        <v/>
      </c>
      <c r="H562" s="118">
        <f>IF($A562="","",IFERROR(INDEX('05_KAIS'!$M:$M,$A562),IF(AND(E562&gt;0,G562&gt;0),G562/E562,"")))</f>
        <v/>
      </c>
      <c r="I562" s="202">
        <f>IF($A562="","",INDEX('05_KAIS'!$N:$N,$A562))</f>
        <v/>
      </c>
      <c r="J562">
        <f>IF(B562="","",IF('02_대상물건입력'!$B$5="",1,IF(ISNUMBER(SEARCH('02_대상물건입력'!$B$5,B562)),1,0)))</f>
        <v/>
      </c>
      <c r="K562">
        <f>IF(B562="","",IF('02_대상물건입력'!$B$6="",1,IF(ISNUMBER(SEARCH('02_대상물건입력'!$B$6,B562)),1,0)))</f>
        <v/>
      </c>
      <c r="L562">
        <f>IF(D562="","",IF('02_대상물건입력'!$B$8="",0,IF(ISNUMBER(SEARCH('02_대상물건입력'!$B$8,D562)),1,0)))</f>
        <v/>
      </c>
      <c r="M562">
        <f>IFERROR(ABS(E562-'02_대상물건입력'!$B$11)/'02_대상물건입력'!$B$11,"")</f>
        <v/>
      </c>
      <c r="N562">
        <f>IFERROR(ABS('01_설정'!$B$4-F562),"")</f>
        <v/>
      </c>
      <c r="O562">
        <f>IFERROR(ABS(YEAR(I562)-YEAR('02_대상물건입력'!$B$14)),"")</f>
        <v/>
      </c>
      <c r="P562">
        <f>IF(AND(E562&gt;0,F562&gt;0,G562&gt;0,IF('01_설정'!$B$10=1,J562=1,TRUE()),M562&lt;='01_설정'!$B$5,N562&lt;='01_설정'!$B$7,O562&lt;='01_설정'!$B$8),"Y","")</f>
        <v/>
      </c>
      <c r="Q562">
        <f>IF(P562&lt;&gt;"Y","",MAX(0,(1-M562/'01_설정'!$B$5))*'01_설정'!$B$14+MAX(0,(1-N562/'01_설정'!$B$7))*'01_설정'!$B$16+MAX(0,(1-O562/'01_설정'!$B$8))*'01_설정'!$B$17+K562*'01_설정'!$B$11+L562*'01_설정'!$B$12)</f>
        <v/>
      </c>
      <c r="R562">
        <f>IF(Q562="","",1+COUNTIFS($Q$31:$Q$1030,"&gt;"&amp;Q562)+COUNTIFS($Q$31:Q562,Q562)-1)</f>
        <v/>
      </c>
    </row>
    <row r="563" hidden="1" ht="16.5" customHeight="1">
      <c r="A563">
        <f>IF(COUNTA('05_KAIS'!$A551:$N551)=0,"",536)</f>
        <v/>
      </c>
      <c r="B563">
        <f>IF($A563="","",TRIM(INDEX('05_KAIS'!$B:$B,$A563)&amp;" "&amp;INDEX('05_KAIS'!$C:$C,$A563)))</f>
        <v/>
      </c>
      <c r="C563">
        <f>IF($A563="","",INDEX('05_KAIS'!$D:$D,$A563))</f>
        <v/>
      </c>
      <c r="D563">
        <f>IF($A563="","",INDEX('05_KAIS'!$H:$H,$A563))</f>
        <v/>
      </c>
      <c r="E563">
        <f>IF($A563="","",INDEX('05_KAIS'!$K:$K,$A563))</f>
        <v/>
      </c>
      <c r="F563" s="202">
        <f>IF($A563="","",INDEX('05_KAIS'!$I:$I,$A563))</f>
        <v/>
      </c>
      <c r="G563" s="118">
        <f>IF($A563="","",INDEX('05_KAIS'!$L:$L,$A563))</f>
        <v/>
      </c>
      <c r="H563" s="118">
        <f>IF($A563="","",IFERROR(INDEX('05_KAIS'!$M:$M,$A563),IF(AND(E563&gt;0,G563&gt;0),G563/E563,"")))</f>
        <v/>
      </c>
      <c r="I563" s="202">
        <f>IF($A563="","",INDEX('05_KAIS'!$N:$N,$A563))</f>
        <v/>
      </c>
      <c r="J563">
        <f>IF(B563="","",IF('02_대상물건입력'!$B$5="",1,IF(ISNUMBER(SEARCH('02_대상물건입력'!$B$5,B563)),1,0)))</f>
        <v/>
      </c>
      <c r="K563">
        <f>IF(B563="","",IF('02_대상물건입력'!$B$6="",1,IF(ISNUMBER(SEARCH('02_대상물건입력'!$B$6,B563)),1,0)))</f>
        <v/>
      </c>
      <c r="L563">
        <f>IF(D563="","",IF('02_대상물건입력'!$B$8="",0,IF(ISNUMBER(SEARCH('02_대상물건입력'!$B$8,D563)),1,0)))</f>
        <v/>
      </c>
      <c r="M563">
        <f>IFERROR(ABS(E563-'02_대상물건입력'!$B$11)/'02_대상물건입력'!$B$11,"")</f>
        <v/>
      </c>
      <c r="N563">
        <f>IFERROR(ABS('01_설정'!$B$4-F563),"")</f>
        <v/>
      </c>
      <c r="O563">
        <f>IFERROR(ABS(YEAR(I563)-YEAR('02_대상물건입력'!$B$14)),"")</f>
        <v/>
      </c>
      <c r="P563">
        <f>IF(AND(E563&gt;0,F563&gt;0,G563&gt;0,IF('01_설정'!$B$10=1,J563=1,TRUE()),M563&lt;='01_설정'!$B$5,N563&lt;='01_설정'!$B$7,O563&lt;='01_설정'!$B$8),"Y","")</f>
        <v/>
      </c>
      <c r="Q563">
        <f>IF(P563&lt;&gt;"Y","",MAX(0,(1-M563/'01_설정'!$B$5))*'01_설정'!$B$14+MAX(0,(1-N563/'01_설정'!$B$7))*'01_설정'!$B$16+MAX(0,(1-O563/'01_설정'!$B$8))*'01_설정'!$B$17+K563*'01_설정'!$B$11+L563*'01_설정'!$B$12)</f>
        <v/>
      </c>
      <c r="R563">
        <f>IF(Q563="","",1+COUNTIFS($Q$31:$Q$1030,"&gt;"&amp;Q563)+COUNTIFS($Q$31:Q563,Q563)-1)</f>
        <v/>
      </c>
    </row>
    <row r="564" hidden="1" ht="16.5" customHeight="1">
      <c r="A564">
        <f>IF(COUNTA('05_KAIS'!$A552:$N552)=0,"",537)</f>
        <v/>
      </c>
      <c r="B564">
        <f>IF($A564="","",TRIM(INDEX('05_KAIS'!$B:$B,$A564)&amp;" "&amp;INDEX('05_KAIS'!$C:$C,$A564)))</f>
        <v/>
      </c>
      <c r="C564">
        <f>IF($A564="","",INDEX('05_KAIS'!$D:$D,$A564))</f>
        <v/>
      </c>
      <c r="D564">
        <f>IF($A564="","",INDEX('05_KAIS'!$H:$H,$A564))</f>
        <v/>
      </c>
      <c r="E564">
        <f>IF($A564="","",INDEX('05_KAIS'!$K:$K,$A564))</f>
        <v/>
      </c>
      <c r="F564" s="202">
        <f>IF($A564="","",INDEX('05_KAIS'!$I:$I,$A564))</f>
        <v/>
      </c>
      <c r="G564" s="118">
        <f>IF($A564="","",INDEX('05_KAIS'!$L:$L,$A564))</f>
        <v/>
      </c>
      <c r="H564" s="118">
        <f>IF($A564="","",IFERROR(INDEX('05_KAIS'!$M:$M,$A564),IF(AND(E564&gt;0,G564&gt;0),G564/E564,"")))</f>
        <v/>
      </c>
      <c r="I564" s="202">
        <f>IF($A564="","",INDEX('05_KAIS'!$N:$N,$A564))</f>
        <v/>
      </c>
      <c r="J564">
        <f>IF(B564="","",IF('02_대상물건입력'!$B$5="",1,IF(ISNUMBER(SEARCH('02_대상물건입력'!$B$5,B564)),1,0)))</f>
        <v/>
      </c>
      <c r="K564">
        <f>IF(B564="","",IF('02_대상물건입력'!$B$6="",1,IF(ISNUMBER(SEARCH('02_대상물건입력'!$B$6,B564)),1,0)))</f>
        <v/>
      </c>
      <c r="L564">
        <f>IF(D564="","",IF('02_대상물건입력'!$B$8="",0,IF(ISNUMBER(SEARCH('02_대상물건입력'!$B$8,D564)),1,0)))</f>
        <v/>
      </c>
      <c r="M564">
        <f>IFERROR(ABS(E564-'02_대상물건입력'!$B$11)/'02_대상물건입력'!$B$11,"")</f>
        <v/>
      </c>
      <c r="N564">
        <f>IFERROR(ABS('01_설정'!$B$4-F564),"")</f>
        <v/>
      </c>
      <c r="O564">
        <f>IFERROR(ABS(YEAR(I564)-YEAR('02_대상물건입력'!$B$14)),"")</f>
        <v/>
      </c>
      <c r="P564">
        <f>IF(AND(E564&gt;0,F564&gt;0,G564&gt;0,IF('01_설정'!$B$10=1,J564=1,TRUE()),M564&lt;='01_설정'!$B$5,N564&lt;='01_설정'!$B$7,O564&lt;='01_설정'!$B$8),"Y","")</f>
        <v/>
      </c>
      <c r="Q564">
        <f>IF(P564&lt;&gt;"Y","",MAX(0,(1-M564/'01_설정'!$B$5))*'01_설정'!$B$14+MAX(0,(1-N564/'01_설정'!$B$7))*'01_설정'!$B$16+MAX(0,(1-O564/'01_설정'!$B$8))*'01_설정'!$B$17+K564*'01_설정'!$B$11+L564*'01_설정'!$B$12)</f>
        <v/>
      </c>
      <c r="R564">
        <f>IF(Q564="","",1+COUNTIFS($Q$31:$Q$1030,"&gt;"&amp;Q564)+COUNTIFS($Q$31:Q564,Q564)-1)</f>
        <v/>
      </c>
    </row>
    <row r="565" hidden="1" ht="16.5" customHeight="1">
      <c r="A565">
        <f>IF(COUNTA('05_KAIS'!$A553:$N553)=0,"",538)</f>
        <v/>
      </c>
      <c r="B565">
        <f>IF($A565="","",TRIM(INDEX('05_KAIS'!$B:$B,$A565)&amp;" "&amp;INDEX('05_KAIS'!$C:$C,$A565)))</f>
        <v/>
      </c>
      <c r="C565">
        <f>IF($A565="","",INDEX('05_KAIS'!$D:$D,$A565))</f>
        <v/>
      </c>
      <c r="D565">
        <f>IF($A565="","",INDEX('05_KAIS'!$H:$H,$A565))</f>
        <v/>
      </c>
      <c r="E565">
        <f>IF($A565="","",INDEX('05_KAIS'!$K:$K,$A565))</f>
        <v/>
      </c>
      <c r="F565" s="202">
        <f>IF($A565="","",INDEX('05_KAIS'!$I:$I,$A565))</f>
        <v/>
      </c>
      <c r="G565" s="118">
        <f>IF($A565="","",INDEX('05_KAIS'!$L:$L,$A565))</f>
        <v/>
      </c>
      <c r="H565" s="118">
        <f>IF($A565="","",IFERROR(INDEX('05_KAIS'!$M:$M,$A565),IF(AND(E565&gt;0,G565&gt;0),G565/E565,"")))</f>
        <v/>
      </c>
      <c r="I565" s="202">
        <f>IF($A565="","",INDEX('05_KAIS'!$N:$N,$A565))</f>
        <v/>
      </c>
      <c r="J565">
        <f>IF(B565="","",IF('02_대상물건입력'!$B$5="",1,IF(ISNUMBER(SEARCH('02_대상물건입력'!$B$5,B565)),1,0)))</f>
        <v/>
      </c>
      <c r="K565">
        <f>IF(B565="","",IF('02_대상물건입력'!$B$6="",1,IF(ISNUMBER(SEARCH('02_대상물건입력'!$B$6,B565)),1,0)))</f>
        <v/>
      </c>
      <c r="L565">
        <f>IF(D565="","",IF('02_대상물건입력'!$B$8="",0,IF(ISNUMBER(SEARCH('02_대상물건입력'!$B$8,D565)),1,0)))</f>
        <v/>
      </c>
      <c r="M565">
        <f>IFERROR(ABS(E565-'02_대상물건입력'!$B$11)/'02_대상물건입력'!$B$11,"")</f>
        <v/>
      </c>
      <c r="N565">
        <f>IFERROR(ABS('01_설정'!$B$4-F565),"")</f>
        <v/>
      </c>
      <c r="O565">
        <f>IFERROR(ABS(YEAR(I565)-YEAR('02_대상물건입력'!$B$14)),"")</f>
        <v/>
      </c>
      <c r="P565">
        <f>IF(AND(E565&gt;0,F565&gt;0,G565&gt;0,IF('01_설정'!$B$10=1,J565=1,TRUE()),M565&lt;='01_설정'!$B$5,N565&lt;='01_설정'!$B$7,O565&lt;='01_설정'!$B$8),"Y","")</f>
        <v/>
      </c>
      <c r="Q565">
        <f>IF(P565&lt;&gt;"Y","",MAX(0,(1-M565/'01_설정'!$B$5))*'01_설정'!$B$14+MAX(0,(1-N565/'01_설정'!$B$7))*'01_설정'!$B$16+MAX(0,(1-O565/'01_설정'!$B$8))*'01_설정'!$B$17+K565*'01_설정'!$B$11+L565*'01_설정'!$B$12)</f>
        <v/>
      </c>
      <c r="R565">
        <f>IF(Q565="","",1+COUNTIFS($Q$31:$Q$1030,"&gt;"&amp;Q565)+COUNTIFS($Q$31:Q565,Q565)-1)</f>
        <v/>
      </c>
    </row>
    <row r="566" hidden="1" ht="16.5" customHeight="1">
      <c r="A566">
        <f>IF(COUNTA('05_KAIS'!$A554:$N554)=0,"",539)</f>
        <v/>
      </c>
      <c r="B566">
        <f>IF($A566="","",TRIM(INDEX('05_KAIS'!$B:$B,$A566)&amp;" "&amp;INDEX('05_KAIS'!$C:$C,$A566)))</f>
        <v/>
      </c>
      <c r="C566">
        <f>IF($A566="","",INDEX('05_KAIS'!$D:$D,$A566))</f>
        <v/>
      </c>
      <c r="D566">
        <f>IF($A566="","",INDEX('05_KAIS'!$H:$H,$A566))</f>
        <v/>
      </c>
      <c r="E566">
        <f>IF($A566="","",INDEX('05_KAIS'!$K:$K,$A566))</f>
        <v/>
      </c>
      <c r="F566" s="202">
        <f>IF($A566="","",INDEX('05_KAIS'!$I:$I,$A566))</f>
        <v/>
      </c>
      <c r="G566" s="118">
        <f>IF($A566="","",INDEX('05_KAIS'!$L:$L,$A566))</f>
        <v/>
      </c>
      <c r="H566" s="118">
        <f>IF($A566="","",IFERROR(INDEX('05_KAIS'!$M:$M,$A566),IF(AND(E566&gt;0,G566&gt;0),G566/E566,"")))</f>
        <v/>
      </c>
      <c r="I566" s="202">
        <f>IF($A566="","",INDEX('05_KAIS'!$N:$N,$A566))</f>
        <v/>
      </c>
      <c r="J566">
        <f>IF(B566="","",IF('02_대상물건입력'!$B$5="",1,IF(ISNUMBER(SEARCH('02_대상물건입력'!$B$5,B566)),1,0)))</f>
        <v/>
      </c>
      <c r="K566">
        <f>IF(B566="","",IF('02_대상물건입력'!$B$6="",1,IF(ISNUMBER(SEARCH('02_대상물건입력'!$B$6,B566)),1,0)))</f>
        <v/>
      </c>
      <c r="L566">
        <f>IF(D566="","",IF('02_대상물건입력'!$B$8="",0,IF(ISNUMBER(SEARCH('02_대상물건입력'!$B$8,D566)),1,0)))</f>
        <v/>
      </c>
      <c r="M566">
        <f>IFERROR(ABS(E566-'02_대상물건입력'!$B$11)/'02_대상물건입력'!$B$11,"")</f>
        <v/>
      </c>
      <c r="N566">
        <f>IFERROR(ABS('01_설정'!$B$4-F566),"")</f>
        <v/>
      </c>
      <c r="O566">
        <f>IFERROR(ABS(YEAR(I566)-YEAR('02_대상물건입력'!$B$14)),"")</f>
        <v/>
      </c>
      <c r="P566">
        <f>IF(AND(E566&gt;0,F566&gt;0,G566&gt;0,IF('01_설정'!$B$10=1,J566=1,TRUE()),M566&lt;='01_설정'!$B$5,N566&lt;='01_설정'!$B$7,O566&lt;='01_설정'!$B$8),"Y","")</f>
        <v/>
      </c>
      <c r="Q566">
        <f>IF(P566&lt;&gt;"Y","",MAX(0,(1-M566/'01_설정'!$B$5))*'01_설정'!$B$14+MAX(0,(1-N566/'01_설정'!$B$7))*'01_설정'!$B$16+MAX(0,(1-O566/'01_설정'!$B$8))*'01_설정'!$B$17+K566*'01_설정'!$B$11+L566*'01_설정'!$B$12)</f>
        <v/>
      </c>
      <c r="R566">
        <f>IF(Q566="","",1+COUNTIFS($Q$31:$Q$1030,"&gt;"&amp;Q566)+COUNTIFS($Q$31:Q566,Q566)-1)</f>
        <v/>
      </c>
    </row>
    <row r="567" hidden="1" ht="16.5" customHeight="1">
      <c r="A567">
        <f>IF(COUNTA('05_KAIS'!$A555:$N555)=0,"",540)</f>
        <v/>
      </c>
      <c r="B567">
        <f>IF($A567="","",TRIM(INDEX('05_KAIS'!$B:$B,$A567)&amp;" "&amp;INDEX('05_KAIS'!$C:$C,$A567)))</f>
        <v/>
      </c>
      <c r="C567">
        <f>IF($A567="","",INDEX('05_KAIS'!$D:$D,$A567))</f>
        <v/>
      </c>
      <c r="D567">
        <f>IF($A567="","",INDEX('05_KAIS'!$H:$H,$A567))</f>
        <v/>
      </c>
      <c r="E567">
        <f>IF($A567="","",INDEX('05_KAIS'!$K:$K,$A567))</f>
        <v/>
      </c>
      <c r="F567" s="202">
        <f>IF($A567="","",INDEX('05_KAIS'!$I:$I,$A567))</f>
        <v/>
      </c>
      <c r="G567" s="118">
        <f>IF($A567="","",INDEX('05_KAIS'!$L:$L,$A567))</f>
        <v/>
      </c>
      <c r="H567" s="118">
        <f>IF($A567="","",IFERROR(INDEX('05_KAIS'!$M:$M,$A567),IF(AND(E567&gt;0,G567&gt;0),G567/E567,"")))</f>
        <v/>
      </c>
      <c r="I567" s="202">
        <f>IF($A567="","",INDEX('05_KAIS'!$N:$N,$A567))</f>
        <v/>
      </c>
      <c r="J567">
        <f>IF(B567="","",IF('02_대상물건입력'!$B$5="",1,IF(ISNUMBER(SEARCH('02_대상물건입력'!$B$5,B567)),1,0)))</f>
        <v/>
      </c>
      <c r="K567">
        <f>IF(B567="","",IF('02_대상물건입력'!$B$6="",1,IF(ISNUMBER(SEARCH('02_대상물건입력'!$B$6,B567)),1,0)))</f>
        <v/>
      </c>
      <c r="L567">
        <f>IF(D567="","",IF('02_대상물건입력'!$B$8="",0,IF(ISNUMBER(SEARCH('02_대상물건입력'!$B$8,D567)),1,0)))</f>
        <v/>
      </c>
      <c r="M567">
        <f>IFERROR(ABS(E567-'02_대상물건입력'!$B$11)/'02_대상물건입력'!$B$11,"")</f>
        <v/>
      </c>
      <c r="N567">
        <f>IFERROR(ABS('01_설정'!$B$4-F567),"")</f>
        <v/>
      </c>
      <c r="O567">
        <f>IFERROR(ABS(YEAR(I567)-YEAR('02_대상물건입력'!$B$14)),"")</f>
        <v/>
      </c>
      <c r="P567">
        <f>IF(AND(E567&gt;0,F567&gt;0,G567&gt;0,IF('01_설정'!$B$10=1,J567=1,TRUE()),M567&lt;='01_설정'!$B$5,N567&lt;='01_설정'!$B$7,O567&lt;='01_설정'!$B$8),"Y","")</f>
        <v/>
      </c>
      <c r="Q567">
        <f>IF(P567&lt;&gt;"Y","",MAX(0,(1-M567/'01_설정'!$B$5))*'01_설정'!$B$14+MAX(0,(1-N567/'01_설정'!$B$7))*'01_설정'!$B$16+MAX(0,(1-O567/'01_설정'!$B$8))*'01_설정'!$B$17+K567*'01_설정'!$B$11+L567*'01_설정'!$B$12)</f>
        <v/>
      </c>
      <c r="R567">
        <f>IF(Q567="","",1+COUNTIFS($Q$31:$Q$1030,"&gt;"&amp;Q567)+COUNTIFS($Q$31:Q567,Q567)-1)</f>
        <v/>
      </c>
    </row>
    <row r="568" hidden="1" ht="16.5" customHeight="1">
      <c r="A568">
        <f>IF(COUNTA('05_KAIS'!$A556:$N556)=0,"",541)</f>
        <v/>
      </c>
      <c r="B568">
        <f>IF($A568="","",TRIM(INDEX('05_KAIS'!$B:$B,$A568)&amp;" "&amp;INDEX('05_KAIS'!$C:$C,$A568)))</f>
        <v/>
      </c>
      <c r="C568">
        <f>IF($A568="","",INDEX('05_KAIS'!$D:$D,$A568))</f>
        <v/>
      </c>
      <c r="D568">
        <f>IF($A568="","",INDEX('05_KAIS'!$H:$H,$A568))</f>
        <v/>
      </c>
      <c r="E568">
        <f>IF($A568="","",INDEX('05_KAIS'!$K:$K,$A568))</f>
        <v/>
      </c>
      <c r="F568" s="202">
        <f>IF($A568="","",INDEX('05_KAIS'!$I:$I,$A568))</f>
        <v/>
      </c>
      <c r="G568" s="118">
        <f>IF($A568="","",INDEX('05_KAIS'!$L:$L,$A568))</f>
        <v/>
      </c>
      <c r="H568" s="118">
        <f>IF($A568="","",IFERROR(INDEX('05_KAIS'!$M:$M,$A568),IF(AND(E568&gt;0,G568&gt;0),G568/E568,"")))</f>
        <v/>
      </c>
      <c r="I568" s="202">
        <f>IF($A568="","",INDEX('05_KAIS'!$N:$N,$A568))</f>
        <v/>
      </c>
      <c r="J568">
        <f>IF(B568="","",IF('02_대상물건입력'!$B$5="",1,IF(ISNUMBER(SEARCH('02_대상물건입력'!$B$5,B568)),1,0)))</f>
        <v/>
      </c>
      <c r="K568">
        <f>IF(B568="","",IF('02_대상물건입력'!$B$6="",1,IF(ISNUMBER(SEARCH('02_대상물건입력'!$B$6,B568)),1,0)))</f>
        <v/>
      </c>
      <c r="L568">
        <f>IF(D568="","",IF('02_대상물건입력'!$B$8="",0,IF(ISNUMBER(SEARCH('02_대상물건입력'!$B$8,D568)),1,0)))</f>
        <v/>
      </c>
      <c r="M568">
        <f>IFERROR(ABS(E568-'02_대상물건입력'!$B$11)/'02_대상물건입력'!$B$11,"")</f>
        <v/>
      </c>
      <c r="N568">
        <f>IFERROR(ABS('01_설정'!$B$4-F568),"")</f>
        <v/>
      </c>
      <c r="O568">
        <f>IFERROR(ABS(YEAR(I568)-YEAR('02_대상물건입력'!$B$14)),"")</f>
        <v/>
      </c>
      <c r="P568">
        <f>IF(AND(E568&gt;0,F568&gt;0,G568&gt;0,IF('01_설정'!$B$10=1,J568=1,TRUE()),M568&lt;='01_설정'!$B$5,N568&lt;='01_설정'!$B$7,O568&lt;='01_설정'!$B$8),"Y","")</f>
        <v/>
      </c>
      <c r="Q568">
        <f>IF(P568&lt;&gt;"Y","",MAX(0,(1-M568/'01_설정'!$B$5))*'01_설정'!$B$14+MAX(0,(1-N568/'01_설정'!$B$7))*'01_설정'!$B$16+MAX(0,(1-O568/'01_설정'!$B$8))*'01_설정'!$B$17+K568*'01_설정'!$B$11+L568*'01_설정'!$B$12)</f>
        <v/>
      </c>
      <c r="R568">
        <f>IF(Q568="","",1+COUNTIFS($Q$31:$Q$1030,"&gt;"&amp;Q568)+COUNTIFS($Q$31:Q568,Q568)-1)</f>
        <v/>
      </c>
    </row>
    <row r="569" hidden="1" ht="16.5" customHeight="1">
      <c r="A569">
        <f>IF(COUNTA('05_KAIS'!$A557:$N557)=0,"",542)</f>
        <v/>
      </c>
      <c r="B569">
        <f>IF($A569="","",TRIM(INDEX('05_KAIS'!$B:$B,$A569)&amp;" "&amp;INDEX('05_KAIS'!$C:$C,$A569)))</f>
        <v/>
      </c>
      <c r="C569">
        <f>IF($A569="","",INDEX('05_KAIS'!$D:$D,$A569))</f>
        <v/>
      </c>
      <c r="D569">
        <f>IF($A569="","",INDEX('05_KAIS'!$H:$H,$A569))</f>
        <v/>
      </c>
      <c r="E569">
        <f>IF($A569="","",INDEX('05_KAIS'!$K:$K,$A569))</f>
        <v/>
      </c>
      <c r="F569" s="202">
        <f>IF($A569="","",INDEX('05_KAIS'!$I:$I,$A569))</f>
        <v/>
      </c>
      <c r="G569" s="118">
        <f>IF($A569="","",INDEX('05_KAIS'!$L:$L,$A569))</f>
        <v/>
      </c>
      <c r="H569" s="118">
        <f>IF($A569="","",IFERROR(INDEX('05_KAIS'!$M:$M,$A569),IF(AND(E569&gt;0,G569&gt;0),G569/E569,"")))</f>
        <v/>
      </c>
      <c r="I569" s="202">
        <f>IF($A569="","",INDEX('05_KAIS'!$N:$N,$A569))</f>
        <v/>
      </c>
      <c r="J569">
        <f>IF(B569="","",IF('02_대상물건입력'!$B$5="",1,IF(ISNUMBER(SEARCH('02_대상물건입력'!$B$5,B569)),1,0)))</f>
        <v/>
      </c>
      <c r="K569">
        <f>IF(B569="","",IF('02_대상물건입력'!$B$6="",1,IF(ISNUMBER(SEARCH('02_대상물건입력'!$B$6,B569)),1,0)))</f>
        <v/>
      </c>
      <c r="L569">
        <f>IF(D569="","",IF('02_대상물건입력'!$B$8="",0,IF(ISNUMBER(SEARCH('02_대상물건입력'!$B$8,D569)),1,0)))</f>
        <v/>
      </c>
      <c r="M569">
        <f>IFERROR(ABS(E569-'02_대상물건입력'!$B$11)/'02_대상물건입력'!$B$11,"")</f>
        <v/>
      </c>
      <c r="N569">
        <f>IFERROR(ABS('01_설정'!$B$4-F569),"")</f>
        <v/>
      </c>
      <c r="O569">
        <f>IFERROR(ABS(YEAR(I569)-YEAR('02_대상물건입력'!$B$14)),"")</f>
        <v/>
      </c>
      <c r="P569">
        <f>IF(AND(E569&gt;0,F569&gt;0,G569&gt;0,IF('01_설정'!$B$10=1,J569=1,TRUE()),M569&lt;='01_설정'!$B$5,N569&lt;='01_설정'!$B$7,O569&lt;='01_설정'!$B$8),"Y","")</f>
        <v/>
      </c>
      <c r="Q569">
        <f>IF(P569&lt;&gt;"Y","",MAX(0,(1-M569/'01_설정'!$B$5))*'01_설정'!$B$14+MAX(0,(1-N569/'01_설정'!$B$7))*'01_설정'!$B$16+MAX(0,(1-O569/'01_설정'!$B$8))*'01_설정'!$B$17+K569*'01_설정'!$B$11+L569*'01_설정'!$B$12)</f>
        <v/>
      </c>
      <c r="R569">
        <f>IF(Q569="","",1+COUNTIFS($Q$31:$Q$1030,"&gt;"&amp;Q569)+COUNTIFS($Q$31:Q569,Q569)-1)</f>
        <v/>
      </c>
    </row>
    <row r="570" hidden="1" ht="16.5" customHeight="1">
      <c r="A570">
        <f>IF(COUNTA('05_KAIS'!$A558:$N558)=0,"",543)</f>
        <v/>
      </c>
      <c r="B570">
        <f>IF($A570="","",TRIM(INDEX('05_KAIS'!$B:$B,$A570)&amp;" "&amp;INDEX('05_KAIS'!$C:$C,$A570)))</f>
        <v/>
      </c>
      <c r="C570">
        <f>IF($A570="","",INDEX('05_KAIS'!$D:$D,$A570))</f>
        <v/>
      </c>
      <c r="D570">
        <f>IF($A570="","",INDEX('05_KAIS'!$H:$H,$A570))</f>
        <v/>
      </c>
      <c r="E570">
        <f>IF($A570="","",INDEX('05_KAIS'!$K:$K,$A570))</f>
        <v/>
      </c>
      <c r="F570" s="202">
        <f>IF($A570="","",INDEX('05_KAIS'!$I:$I,$A570))</f>
        <v/>
      </c>
      <c r="G570" s="118">
        <f>IF($A570="","",INDEX('05_KAIS'!$L:$L,$A570))</f>
        <v/>
      </c>
      <c r="H570" s="118">
        <f>IF($A570="","",IFERROR(INDEX('05_KAIS'!$M:$M,$A570),IF(AND(E570&gt;0,G570&gt;0),G570/E570,"")))</f>
        <v/>
      </c>
      <c r="I570" s="202">
        <f>IF($A570="","",INDEX('05_KAIS'!$N:$N,$A570))</f>
        <v/>
      </c>
      <c r="J570">
        <f>IF(B570="","",IF('02_대상물건입력'!$B$5="",1,IF(ISNUMBER(SEARCH('02_대상물건입력'!$B$5,B570)),1,0)))</f>
        <v/>
      </c>
      <c r="K570">
        <f>IF(B570="","",IF('02_대상물건입력'!$B$6="",1,IF(ISNUMBER(SEARCH('02_대상물건입력'!$B$6,B570)),1,0)))</f>
        <v/>
      </c>
      <c r="L570">
        <f>IF(D570="","",IF('02_대상물건입력'!$B$8="",0,IF(ISNUMBER(SEARCH('02_대상물건입력'!$B$8,D570)),1,0)))</f>
        <v/>
      </c>
      <c r="M570">
        <f>IFERROR(ABS(E570-'02_대상물건입력'!$B$11)/'02_대상물건입력'!$B$11,"")</f>
        <v/>
      </c>
      <c r="N570">
        <f>IFERROR(ABS('01_설정'!$B$4-F570),"")</f>
        <v/>
      </c>
      <c r="O570">
        <f>IFERROR(ABS(YEAR(I570)-YEAR('02_대상물건입력'!$B$14)),"")</f>
        <v/>
      </c>
      <c r="P570">
        <f>IF(AND(E570&gt;0,F570&gt;0,G570&gt;0,IF('01_설정'!$B$10=1,J570=1,TRUE()),M570&lt;='01_설정'!$B$5,N570&lt;='01_설정'!$B$7,O570&lt;='01_설정'!$B$8),"Y","")</f>
        <v/>
      </c>
      <c r="Q570">
        <f>IF(P570&lt;&gt;"Y","",MAX(0,(1-M570/'01_설정'!$B$5))*'01_설정'!$B$14+MAX(0,(1-N570/'01_설정'!$B$7))*'01_설정'!$B$16+MAX(0,(1-O570/'01_설정'!$B$8))*'01_설정'!$B$17+K570*'01_설정'!$B$11+L570*'01_설정'!$B$12)</f>
        <v/>
      </c>
      <c r="R570">
        <f>IF(Q570="","",1+COUNTIFS($Q$31:$Q$1030,"&gt;"&amp;Q570)+COUNTIFS($Q$31:Q570,Q570)-1)</f>
        <v/>
      </c>
    </row>
    <row r="571" hidden="1" ht="16.5" customHeight="1">
      <c r="A571">
        <f>IF(COUNTA('05_KAIS'!$A559:$N559)=0,"",544)</f>
        <v/>
      </c>
      <c r="B571">
        <f>IF($A571="","",TRIM(INDEX('05_KAIS'!$B:$B,$A571)&amp;" "&amp;INDEX('05_KAIS'!$C:$C,$A571)))</f>
        <v/>
      </c>
      <c r="C571">
        <f>IF($A571="","",INDEX('05_KAIS'!$D:$D,$A571))</f>
        <v/>
      </c>
      <c r="D571">
        <f>IF($A571="","",INDEX('05_KAIS'!$H:$H,$A571))</f>
        <v/>
      </c>
      <c r="E571">
        <f>IF($A571="","",INDEX('05_KAIS'!$K:$K,$A571))</f>
        <v/>
      </c>
      <c r="F571" s="202">
        <f>IF($A571="","",INDEX('05_KAIS'!$I:$I,$A571))</f>
        <v/>
      </c>
      <c r="G571" s="118">
        <f>IF($A571="","",INDEX('05_KAIS'!$L:$L,$A571))</f>
        <v/>
      </c>
      <c r="H571" s="118">
        <f>IF($A571="","",IFERROR(INDEX('05_KAIS'!$M:$M,$A571),IF(AND(E571&gt;0,G571&gt;0),G571/E571,"")))</f>
        <v/>
      </c>
      <c r="I571" s="202">
        <f>IF($A571="","",INDEX('05_KAIS'!$N:$N,$A571))</f>
        <v/>
      </c>
      <c r="J571">
        <f>IF(B571="","",IF('02_대상물건입력'!$B$5="",1,IF(ISNUMBER(SEARCH('02_대상물건입력'!$B$5,B571)),1,0)))</f>
        <v/>
      </c>
      <c r="K571">
        <f>IF(B571="","",IF('02_대상물건입력'!$B$6="",1,IF(ISNUMBER(SEARCH('02_대상물건입력'!$B$6,B571)),1,0)))</f>
        <v/>
      </c>
      <c r="L571">
        <f>IF(D571="","",IF('02_대상물건입력'!$B$8="",0,IF(ISNUMBER(SEARCH('02_대상물건입력'!$B$8,D571)),1,0)))</f>
        <v/>
      </c>
      <c r="M571">
        <f>IFERROR(ABS(E571-'02_대상물건입력'!$B$11)/'02_대상물건입력'!$B$11,"")</f>
        <v/>
      </c>
      <c r="N571">
        <f>IFERROR(ABS('01_설정'!$B$4-F571),"")</f>
        <v/>
      </c>
      <c r="O571">
        <f>IFERROR(ABS(YEAR(I571)-YEAR('02_대상물건입력'!$B$14)),"")</f>
        <v/>
      </c>
      <c r="P571">
        <f>IF(AND(E571&gt;0,F571&gt;0,G571&gt;0,IF('01_설정'!$B$10=1,J571=1,TRUE()),M571&lt;='01_설정'!$B$5,N571&lt;='01_설정'!$B$7,O571&lt;='01_설정'!$B$8),"Y","")</f>
        <v/>
      </c>
      <c r="Q571">
        <f>IF(P571&lt;&gt;"Y","",MAX(0,(1-M571/'01_설정'!$B$5))*'01_설정'!$B$14+MAX(0,(1-N571/'01_설정'!$B$7))*'01_설정'!$B$16+MAX(0,(1-O571/'01_설정'!$B$8))*'01_설정'!$B$17+K571*'01_설정'!$B$11+L571*'01_설정'!$B$12)</f>
        <v/>
      </c>
      <c r="R571">
        <f>IF(Q571="","",1+COUNTIFS($Q$31:$Q$1030,"&gt;"&amp;Q571)+COUNTIFS($Q$31:Q571,Q571)-1)</f>
        <v/>
      </c>
    </row>
    <row r="572" hidden="1" ht="16.5" customHeight="1">
      <c r="A572">
        <f>IF(COUNTA('05_KAIS'!$A560:$N560)=0,"",545)</f>
        <v/>
      </c>
      <c r="B572">
        <f>IF($A572="","",TRIM(INDEX('05_KAIS'!$B:$B,$A572)&amp;" "&amp;INDEX('05_KAIS'!$C:$C,$A572)))</f>
        <v/>
      </c>
      <c r="C572">
        <f>IF($A572="","",INDEX('05_KAIS'!$D:$D,$A572))</f>
        <v/>
      </c>
      <c r="D572">
        <f>IF($A572="","",INDEX('05_KAIS'!$H:$H,$A572))</f>
        <v/>
      </c>
      <c r="E572">
        <f>IF($A572="","",INDEX('05_KAIS'!$K:$K,$A572))</f>
        <v/>
      </c>
      <c r="F572" s="202">
        <f>IF($A572="","",INDEX('05_KAIS'!$I:$I,$A572))</f>
        <v/>
      </c>
      <c r="G572" s="118">
        <f>IF($A572="","",INDEX('05_KAIS'!$L:$L,$A572))</f>
        <v/>
      </c>
      <c r="H572" s="118">
        <f>IF($A572="","",IFERROR(INDEX('05_KAIS'!$M:$M,$A572),IF(AND(E572&gt;0,G572&gt;0),G572/E572,"")))</f>
        <v/>
      </c>
      <c r="I572" s="202">
        <f>IF($A572="","",INDEX('05_KAIS'!$N:$N,$A572))</f>
        <v/>
      </c>
      <c r="J572">
        <f>IF(B572="","",IF('02_대상물건입력'!$B$5="",1,IF(ISNUMBER(SEARCH('02_대상물건입력'!$B$5,B572)),1,0)))</f>
        <v/>
      </c>
      <c r="K572">
        <f>IF(B572="","",IF('02_대상물건입력'!$B$6="",1,IF(ISNUMBER(SEARCH('02_대상물건입력'!$B$6,B572)),1,0)))</f>
        <v/>
      </c>
      <c r="L572">
        <f>IF(D572="","",IF('02_대상물건입력'!$B$8="",0,IF(ISNUMBER(SEARCH('02_대상물건입력'!$B$8,D572)),1,0)))</f>
        <v/>
      </c>
      <c r="M572">
        <f>IFERROR(ABS(E572-'02_대상물건입력'!$B$11)/'02_대상물건입력'!$B$11,"")</f>
        <v/>
      </c>
      <c r="N572">
        <f>IFERROR(ABS('01_설정'!$B$4-F572),"")</f>
        <v/>
      </c>
      <c r="O572">
        <f>IFERROR(ABS(YEAR(I572)-YEAR('02_대상물건입력'!$B$14)),"")</f>
        <v/>
      </c>
      <c r="P572">
        <f>IF(AND(E572&gt;0,F572&gt;0,G572&gt;0,IF('01_설정'!$B$10=1,J572=1,TRUE()),M572&lt;='01_설정'!$B$5,N572&lt;='01_설정'!$B$7,O572&lt;='01_설정'!$B$8),"Y","")</f>
        <v/>
      </c>
      <c r="Q572">
        <f>IF(P572&lt;&gt;"Y","",MAX(0,(1-M572/'01_설정'!$B$5))*'01_설정'!$B$14+MAX(0,(1-N572/'01_설정'!$B$7))*'01_설정'!$B$16+MAX(0,(1-O572/'01_설정'!$B$8))*'01_설정'!$B$17+K572*'01_설정'!$B$11+L572*'01_설정'!$B$12)</f>
        <v/>
      </c>
      <c r="R572">
        <f>IF(Q572="","",1+COUNTIFS($Q$31:$Q$1030,"&gt;"&amp;Q572)+COUNTIFS($Q$31:Q572,Q572)-1)</f>
        <v/>
      </c>
    </row>
    <row r="573" hidden="1" ht="16.5" customHeight="1">
      <c r="A573">
        <f>IF(COUNTA('05_KAIS'!$A561:$N561)=0,"",546)</f>
        <v/>
      </c>
      <c r="B573">
        <f>IF($A573="","",TRIM(INDEX('05_KAIS'!$B:$B,$A573)&amp;" "&amp;INDEX('05_KAIS'!$C:$C,$A573)))</f>
        <v/>
      </c>
      <c r="C573">
        <f>IF($A573="","",INDEX('05_KAIS'!$D:$D,$A573))</f>
        <v/>
      </c>
      <c r="D573">
        <f>IF($A573="","",INDEX('05_KAIS'!$H:$H,$A573))</f>
        <v/>
      </c>
      <c r="E573">
        <f>IF($A573="","",INDEX('05_KAIS'!$K:$K,$A573))</f>
        <v/>
      </c>
      <c r="F573" s="202">
        <f>IF($A573="","",INDEX('05_KAIS'!$I:$I,$A573))</f>
        <v/>
      </c>
      <c r="G573" s="118">
        <f>IF($A573="","",INDEX('05_KAIS'!$L:$L,$A573))</f>
        <v/>
      </c>
      <c r="H573" s="118">
        <f>IF($A573="","",IFERROR(INDEX('05_KAIS'!$M:$M,$A573),IF(AND(E573&gt;0,G573&gt;0),G573/E573,"")))</f>
        <v/>
      </c>
      <c r="I573" s="202">
        <f>IF($A573="","",INDEX('05_KAIS'!$N:$N,$A573))</f>
        <v/>
      </c>
      <c r="J573">
        <f>IF(B573="","",IF('02_대상물건입력'!$B$5="",1,IF(ISNUMBER(SEARCH('02_대상물건입력'!$B$5,B573)),1,0)))</f>
        <v/>
      </c>
      <c r="K573">
        <f>IF(B573="","",IF('02_대상물건입력'!$B$6="",1,IF(ISNUMBER(SEARCH('02_대상물건입력'!$B$6,B573)),1,0)))</f>
        <v/>
      </c>
      <c r="L573">
        <f>IF(D573="","",IF('02_대상물건입력'!$B$8="",0,IF(ISNUMBER(SEARCH('02_대상물건입력'!$B$8,D573)),1,0)))</f>
        <v/>
      </c>
      <c r="M573">
        <f>IFERROR(ABS(E573-'02_대상물건입력'!$B$11)/'02_대상물건입력'!$B$11,"")</f>
        <v/>
      </c>
      <c r="N573">
        <f>IFERROR(ABS('01_설정'!$B$4-F573),"")</f>
        <v/>
      </c>
      <c r="O573">
        <f>IFERROR(ABS(YEAR(I573)-YEAR('02_대상물건입력'!$B$14)),"")</f>
        <v/>
      </c>
      <c r="P573">
        <f>IF(AND(E573&gt;0,F573&gt;0,G573&gt;0,IF('01_설정'!$B$10=1,J573=1,TRUE()),M573&lt;='01_설정'!$B$5,N573&lt;='01_설정'!$B$7,O573&lt;='01_설정'!$B$8),"Y","")</f>
        <v/>
      </c>
      <c r="Q573">
        <f>IF(P573&lt;&gt;"Y","",MAX(0,(1-M573/'01_설정'!$B$5))*'01_설정'!$B$14+MAX(0,(1-N573/'01_설정'!$B$7))*'01_설정'!$B$16+MAX(0,(1-O573/'01_설정'!$B$8))*'01_설정'!$B$17+K573*'01_설정'!$B$11+L573*'01_설정'!$B$12)</f>
        <v/>
      </c>
      <c r="R573">
        <f>IF(Q573="","",1+COUNTIFS($Q$31:$Q$1030,"&gt;"&amp;Q573)+COUNTIFS($Q$31:Q573,Q573)-1)</f>
        <v/>
      </c>
    </row>
    <row r="574" hidden="1" ht="16.5" customHeight="1">
      <c r="A574">
        <f>IF(COUNTA('05_KAIS'!$A562:$N562)=0,"",547)</f>
        <v/>
      </c>
      <c r="B574">
        <f>IF($A574="","",TRIM(INDEX('05_KAIS'!$B:$B,$A574)&amp;" "&amp;INDEX('05_KAIS'!$C:$C,$A574)))</f>
        <v/>
      </c>
      <c r="C574">
        <f>IF($A574="","",INDEX('05_KAIS'!$D:$D,$A574))</f>
        <v/>
      </c>
      <c r="D574">
        <f>IF($A574="","",INDEX('05_KAIS'!$H:$H,$A574))</f>
        <v/>
      </c>
      <c r="E574">
        <f>IF($A574="","",INDEX('05_KAIS'!$K:$K,$A574))</f>
        <v/>
      </c>
      <c r="F574" s="202">
        <f>IF($A574="","",INDEX('05_KAIS'!$I:$I,$A574))</f>
        <v/>
      </c>
      <c r="G574" s="118">
        <f>IF($A574="","",INDEX('05_KAIS'!$L:$L,$A574))</f>
        <v/>
      </c>
      <c r="H574" s="118">
        <f>IF($A574="","",IFERROR(INDEX('05_KAIS'!$M:$M,$A574),IF(AND(E574&gt;0,G574&gt;0),G574/E574,"")))</f>
        <v/>
      </c>
      <c r="I574" s="202">
        <f>IF($A574="","",INDEX('05_KAIS'!$N:$N,$A574))</f>
        <v/>
      </c>
      <c r="J574">
        <f>IF(B574="","",IF('02_대상물건입력'!$B$5="",1,IF(ISNUMBER(SEARCH('02_대상물건입력'!$B$5,B574)),1,0)))</f>
        <v/>
      </c>
      <c r="K574">
        <f>IF(B574="","",IF('02_대상물건입력'!$B$6="",1,IF(ISNUMBER(SEARCH('02_대상물건입력'!$B$6,B574)),1,0)))</f>
        <v/>
      </c>
      <c r="L574">
        <f>IF(D574="","",IF('02_대상물건입력'!$B$8="",0,IF(ISNUMBER(SEARCH('02_대상물건입력'!$B$8,D574)),1,0)))</f>
        <v/>
      </c>
      <c r="M574">
        <f>IFERROR(ABS(E574-'02_대상물건입력'!$B$11)/'02_대상물건입력'!$B$11,"")</f>
        <v/>
      </c>
      <c r="N574">
        <f>IFERROR(ABS('01_설정'!$B$4-F574),"")</f>
        <v/>
      </c>
      <c r="O574">
        <f>IFERROR(ABS(YEAR(I574)-YEAR('02_대상물건입력'!$B$14)),"")</f>
        <v/>
      </c>
      <c r="P574">
        <f>IF(AND(E574&gt;0,F574&gt;0,G574&gt;0,IF('01_설정'!$B$10=1,J574=1,TRUE()),M574&lt;='01_설정'!$B$5,N574&lt;='01_설정'!$B$7,O574&lt;='01_설정'!$B$8),"Y","")</f>
        <v/>
      </c>
      <c r="Q574">
        <f>IF(P574&lt;&gt;"Y","",MAX(0,(1-M574/'01_설정'!$B$5))*'01_설정'!$B$14+MAX(0,(1-N574/'01_설정'!$B$7))*'01_설정'!$B$16+MAX(0,(1-O574/'01_설정'!$B$8))*'01_설정'!$B$17+K574*'01_설정'!$B$11+L574*'01_설정'!$B$12)</f>
        <v/>
      </c>
      <c r="R574">
        <f>IF(Q574="","",1+COUNTIFS($Q$31:$Q$1030,"&gt;"&amp;Q574)+COUNTIFS($Q$31:Q574,Q574)-1)</f>
        <v/>
      </c>
    </row>
    <row r="575" hidden="1" ht="16.5" customHeight="1">
      <c r="A575">
        <f>IF(COUNTA('05_KAIS'!$A563:$N563)=0,"",548)</f>
        <v/>
      </c>
      <c r="B575">
        <f>IF($A575="","",TRIM(INDEX('05_KAIS'!$B:$B,$A575)&amp;" "&amp;INDEX('05_KAIS'!$C:$C,$A575)))</f>
        <v/>
      </c>
      <c r="C575">
        <f>IF($A575="","",INDEX('05_KAIS'!$D:$D,$A575))</f>
        <v/>
      </c>
      <c r="D575">
        <f>IF($A575="","",INDEX('05_KAIS'!$H:$H,$A575))</f>
        <v/>
      </c>
      <c r="E575">
        <f>IF($A575="","",INDEX('05_KAIS'!$K:$K,$A575))</f>
        <v/>
      </c>
      <c r="F575" s="202">
        <f>IF($A575="","",INDEX('05_KAIS'!$I:$I,$A575))</f>
        <v/>
      </c>
      <c r="G575" s="118">
        <f>IF($A575="","",INDEX('05_KAIS'!$L:$L,$A575))</f>
        <v/>
      </c>
      <c r="H575" s="118">
        <f>IF($A575="","",IFERROR(INDEX('05_KAIS'!$M:$M,$A575),IF(AND(E575&gt;0,G575&gt;0),G575/E575,"")))</f>
        <v/>
      </c>
      <c r="I575" s="202">
        <f>IF($A575="","",INDEX('05_KAIS'!$N:$N,$A575))</f>
        <v/>
      </c>
      <c r="J575">
        <f>IF(B575="","",IF('02_대상물건입력'!$B$5="",1,IF(ISNUMBER(SEARCH('02_대상물건입력'!$B$5,B575)),1,0)))</f>
        <v/>
      </c>
      <c r="K575">
        <f>IF(B575="","",IF('02_대상물건입력'!$B$6="",1,IF(ISNUMBER(SEARCH('02_대상물건입력'!$B$6,B575)),1,0)))</f>
        <v/>
      </c>
      <c r="L575">
        <f>IF(D575="","",IF('02_대상물건입력'!$B$8="",0,IF(ISNUMBER(SEARCH('02_대상물건입력'!$B$8,D575)),1,0)))</f>
        <v/>
      </c>
      <c r="M575">
        <f>IFERROR(ABS(E575-'02_대상물건입력'!$B$11)/'02_대상물건입력'!$B$11,"")</f>
        <v/>
      </c>
      <c r="N575">
        <f>IFERROR(ABS('01_설정'!$B$4-F575),"")</f>
        <v/>
      </c>
      <c r="O575">
        <f>IFERROR(ABS(YEAR(I575)-YEAR('02_대상물건입력'!$B$14)),"")</f>
        <v/>
      </c>
      <c r="P575">
        <f>IF(AND(E575&gt;0,F575&gt;0,G575&gt;0,IF('01_설정'!$B$10=1,J575=1,TRUE()),M575&lt;='01_설정'!$B$5,N575&lt;='01_설정'!$B$7,O575&lt;='01_설정'!$B$8),"Y","")</f>
        <v/>
      </c>
      <c r="Q575">
        <f>IF(P575&lt;&gt;"Y","",MAX(0,(1-M575/'01_설정'!$B$5))*'01_설정'!$B$14+MAX(0,(1-N575/'01_설정'!$B$7))*'01_설정'!$B$16+MAX(0,(1-O575/'01_설정'!$B$8))*'01_설정'!$B$17+K575*'01_설정'!$B$11+L575*'01_설정'!$B$12)</f>
        <v/>
      </c>
      <c r="R575">
        <f>IF(Q575="","",1+COUNTIFS($Q$31:$Q$1030,"&gt;"&amp;Q575)+COUNTIFS($Q$31:Q575,Q575)-1)</f>
        <v/>
      </c>
    </row>
    <row r="576" hidden="1" ht="16.5" customHeight="1">
      <c r="A576">
        <f>IF(COUNTA('05_KAIS'!$A564:$N564)=0,"",549)</f>
        <v/>
      </c>
      <c r="B576">
        <f>IF($A576="","",TRIM(INDEX('05_KAIS'!$B:$B,$A576)&amp;" "&amp;INDEX('05_KAIS'!$C:$C,$A576)))</f>
        <v/>
      </c>
      <c r="C576">
        <f>IF($A576="","",INDEX('05_KAIS'!$D:$D,$A576))</f>
        <v/>
      </c>
      <c r="D576">
        <f>IF($A576="","",INDEX('05_KAIS'!$H:$H,$A576))</f>
        <v/>
      </c>
      <c r="E576">
        <f>IF($A576="","",INDEX('05_KAIS'!$K:$K,$A576))</f>
        <v/>
      </c>
      <c r="F576" s="202">
        <f>IF($A576="","",INDEX('05_KAIS'!$I:$I,$A576))</f>
        <v/>
      </c>
      <c r="G576" s="118">
        <f>IF($A576="","",INDEX('05_KAIS'!$L:$L,$A576))</f>
        <v/>
      </c>
      <c r="H576" s="118">
        <f>IF($A576="","",IFERROR(INDEX('05_KAIS'!$M:$M,$A576),IF(AND(E576&gt;0,G576&gt;0),G576/E576,"")))</f>
        <v/>
      </c>
      <c r="I576" s="202">
        <f>IF($A576="","",INDEX('05_KAIS'!$N:$N,$A576))</f>
        <v/>
      </c>
      <c r="J576">
        <f>IF(B576="","",IF('02_대상물건입력'!$B$5="",1,IF(ISNUMBER(SEARCH('02_대상물건입력'!$B$5,B576)),1,0)))</f>
        <v/>
      </c>
      <c r="K576">
        <f>IF(B576="","",IF('02_대상물건입력'!$B$6="",1,IF(ISNUMBER(SEARCH('02_대상물건입력'!$B$6,B576)),1,0)))</f>
        <v/>
      </c>
      <c r="L576">
        <f>IF(D576="","",IF('02_대상물건입력'!$B$8="",0,IF(ISNUMBER(SEARCH('02_대상물건입력'!$B$8,D576)),1,0)))</f>
        <v/>
      </c>
      <c r="M576">
        <f>IFERROR(ABS(E576-'02_대상물건입력'!$B$11)/'02_대상물건입력'!$B$11,"")</f>
        <v/>
      </c>
      <c r="N576">
        <f>IFERROR(ABS('01_설정'!$B$4-F576),"")</f>
        <v/>
      </c>
      <c r="O576">
        <f>IFERROR(ABS(YEAR(I576)-YEAR('02_대상물건입력'!$B$14)),"")</f>
        <v/>
      </c>
      <c r="P576">
        <f>IF(AND(E576&gt;0,F576&gt;0,G576&gt;0,IF('01_설정'!$B$10=1,J576=1,TRUE()),M576&lt;='01_설정'!$B$5,N576&lt;='01_설정'!$B$7,O576&lt;='01_설정'!$B$8),"Y","")</f>
        <v/>
      </c>
      <c r="Q576">
        <f>IF(P576&lt;&gt;"Y","",MAX(0,(1-M576/'01_설정'!$B$5))*'01_설정'!$B$14+MAX(0,(1-N576/'01_설정'!$B$7))*'01_설정'!$B$16+MAX(0,(1-O576/'01_설정'!$B$8))*'01_설정'!$B$17+K576*'01_설정'!$B$11+L576*'01_설정'!$B$12)</f>
        <v/>
      </c>
      <c r="R576">
        <f>IF(Q576="","",1+COUNTIFS($Q$31:$Q$1030,"&gt;"&amp;Q576)+COUNTIFS($Q$31:Q576,Q576)-1)</f>
        <v/>
      </c>
    </row>
    <row r="577" hidden="1" ht="16.5" customHeight="1">
      <c r="A577">
        <f>IF(COUNTA('05_KAIS'!$A565:$N565)=0,"",550)</f>
        <v/>
      </c>
      <c r="B577">
        <f>IF($A577="","",TRIM(INDEX('05_KAIS'!$B:$B,$A577)&amp;" "&amp;INDEX('05_KAIS'!$C:$C,$A577)))</f>
        <v/>
      </c>
      <c r="C577">
        <f>IF($A577="","",INDEX('05_KAIS'!$D:$D,$A577))</f>
        <v/>
      </c>
      <c r="D577">
        <f>IF($A577="","",INDEX('05_KAIS'!$H:$H,$A577))</f>
        <v/>
      </c>
      <c r="E577">
        <f>IF($A577="","",INDEX('05_KAIS'!$K:$K,$A577))</f>
        <v/>
      </c>
      <c r="F577" s="202">
        <f>IF($A577="","",INDEX('05_KAIS'!$I:$I,$A577))</f>
        <v/>
      </c>
      <c r="G577" s="118">
        <f>IF($A577="","",INDEX('05_KAIS'!$L:$L,$A577))</f>
        <v/>
      </c>
      <c r="H577" s="118">
        <f>IF($A577="","",IFERROR(INDEX('05_KAIS'!$M:$M,$A577),IF(AND(E577&gt;0,G577&gt;0),G577/E577,"")))</f>
        <v/>
      </c>
      <c r="I577" s="202">
        <f>IF($A577="","",INDEX('05_KAIS'!$N:$N,$A577))</f>
        <v/>
      </c>
      <c r="J577">
        <f>IF(B577="","",IF('02_대상물건입력'!$B$5="",1,IF(ISNUMBER(SEARCH('02_대상물건입력'!$B$5,B577)),1,0)))</f>
        <v/>
      </c>
      <c r="K577">
        <f>IF(B577="","",IF('02_대상물건입력'!$B$6="",1,IF(ISNUMBER(SEARCH('02_대상물건입력'!$B$6,B577)),1,0)))</f>
        <v/>
      </c>
      <c r="L577">
        <f>IF(D577="","",IF('02_대상물건입력'!$B$8="",0,IF(ISNUMBER(SEARCH('02_대상물건입력'!$B$8,D577)),1,0)))</f>
        <v/>
      </c>
      <c r="M577">
        <f>IFERROR(ABS(E577-'02_대상물건입력'!$B$11)/'02_대상물건입력'!$B$11,"")</f>
        <v/>
      </c>
      <c r="N577">
        <f>IFERROR(ABS('01_설정'!$B$4-F577),"")</f>
        <v/>
      </c>
      <c r="O577">
        <f>IFERROR(ABS(YEAR(I577)-YEAR('02_대상물건입력'!$B$14)),"")</f>
        <v/>
      </c>
      <c r="P577">
        <f>IF(AND(E577&gt;0,F577&gt;0,G577&gt;0,IF('01_설정'!$B$10=1,J577=1,TRUE()),M577&lt;='01_설정'!$B$5,N577&lt;='01_설정'!$B$7,O577&lt;='01_설정'!$B$8),"Y","")</f>
        <v/>
      </c>
      <c r="Q577">
        <f>IF(P577&lt;&gt;"Y","",MAX(0,(1-M577/'01_설정'!$B$5))*'01_설정'!$B$14+MAX(0,(1-N577/'01_설정'!$B$7))*'01_설정'!$B$16+MAX(0,(1-O577/'01_설정'!$B$8))*'01_설정'!$B$17+K577*'01_설정'!$B$11+L577*'01_설정'!$B$12)</f>
        <v/>
      </c>
      <c r="R577">
        <f>IF(Q577="","",1+COUNTIFS($Q$31:$Q$1030,"&gt;"&amp;Q577)+COUNTIFS($Q$31:Q577,Q577)-1)</f>
        <v/>
      </c>
    </row>
    <row r="578" hidden="1" ht="16.5" customHeight="1">
      <c r="A578">
        <f>IF(COUNTA('05_KAIS'!$A566:$N566)=0,"",551)</f>
        <v/>
      </c>
      <c r="B578">
        <f>IF($A578="","",TRIM(INDEX('05_KAIS'!$B:$B,$A578)&amp;" "&amp;INDEX('05_KAIS'!$C:$C,$A578)))</f>
        <v/>
      </c>
      <c r="C578">
        <f>IF($A578="","",INDEX('05_KAIS'!$D:$D,$A578))</f>
        <v/>
      </c>
      <c r="D578">
        <f>IF($A578="","",INDEX('05_KAIS'!$H:$H,$A578))</f>
        <v/>
      </c>
      <c r="E578">
        <f>IF($A578="","",INDEX('05_KAIS'!$K:$K,$A578))</f>
        <v/>
      </c>
      <c r="F578" s="202">
        <f>IF($A578="","",INDEX('05_KAIS'!$I:$I,$A578))</f>
        <v/>
      </c>
      <c r="G578" s="118">
        <f>IF($A578="","",INDEX('05_KAIS'!$L:$L,$A578))</f>
        <v/>
      </c>
      <c r="H578" s="118">
        <f>IF($A578="","",IFERROR(INDEX('05_KAIS'!$M:$M,$A578),IF(AND(E578&gt;0,G578&gt;0),G578/E578,"")))</f>
        <v/>
      </c>
      <c r="I578" s="202">
        <f>IF($A578="","",INDEX('05_KAIS'!$N:$N,$A578))</f>
        <v/>
      </c>
      <c r="J578">
        <f>IF(B578="","",IF('02_대상물건입력'!$B$5="",1,IF(ISNUMBER(SEARCH('02_대상물건입력'!$B$5,B578)),1,0)))</f>
        <v/>
      </c>
      <c r="K578">
        <f>IF(B578="","",IF('02_대상물건입력'!$B$6="",1,IF(ISNUMBER(SEARCH('02_대상물건입력'!$B$6,B578)),1,0)))</f>
        <v/>
      </c>
      <c r="L578">
        <f>IF(D578="","",IF('02_대상물건입력'!$B$8="",0,IF(ISNUMBER(SEARCH('02_대상물건입력'!$B$8,D578)),1,0)))</f>
        <v/>
      </c>
      <c r="M578">
        <f>IFERROR(ABS(E578-'02_대상물건입력'!$B$11)/'02_대상물건입력'!$B$11,"")</f>
        <v/>
      </c>
      <c r="N578">
        <f>IFERROR(ABS('01_설정'!$B$4-F578),"")</f>
        <v/>
      </c>
      <c r="O578">
        <f>IFERROR(ABS(YEAR(I578)-YEAR('02_대상물건입력'!$B$14)),"")</f>
        <v/>
      </c>
      <c r="P578">
        <f>IF(AND(E578&gt;0,F578&gt;0,G578&gt;0,IF('01_설정'!$B$10=1,J578=1,TRUE()),M578&lt;='01_설정'!$B$5,N578&lt;='01_설정'!$B$7,O578&lt;='01_설정'!$B$8),"Y","")</f>
        <v/>
      </c>
      <c r="Q578">
        <f>IF(P578&lt;&gt;"Y","",MAX(0,(1-M578/'01_설정'!$B$5))*'01_설정'!$B$14+MAX(0,(1-N578/'01_설정'!$B$7))*'01_설정'!$B$16+MAX(0,(1-O578/'01_설정'!$B$8))*'01_설정'!$B$17+K578*'01_설정'!$B$11+L578*'01_설정'!$B$12)</f>
        <v/>
      </c>
      <c r="R578">
        <f>IF(Q578="","",1+COUNTIFS($Q$31:$Q$1030,"&gt;"&amp;Q578)+COUNTIFS($Q$31:Q578,Q578)-1)</f>
        <v/>
      </c>
    </row>
    <row r="579" hidden="1" ht="16.5" customHeight="1">
      <c r="A579">
        <f>IF(COUNTA('05_KAIS'!$A567:$N567)=0,"",552)</f>
        <v/>
      </c>
      <c r="B579">
        <f>IF($A579="","",TRIM(INDEX('05_KAIS'!$B:$B,$A579)&amp;" "&amp;INDEX('05_KAIS'!$C:$C,$A579)))</f>
        <v/>
      </c>
      <c r="C579">
        <f>IF($A579="","",INDEX('05_KAIS'!$D:$D,$A579))</f>
        <v/>
      </c>
      <c r="D579">
        <f>IF($A579="","",INDEX('05_KAIS'!$H:$H,$A579))</f>
        <v/>
      </c>
      <c r="E579">
        <f>IF($A579="","",INDEX('05_KAIS'!$K:$K,$A579))</f>
        <v/>
      </c>
      <c r="F579" s="202">
        <f>IF($A579="","",INDEX('05_KAIS'!$I:$I,$A579))</f>
        <v/>
      </c>
      <c r="G579" s="118">
        <f>IF($A579="","",INDEX('05_KAIS'!$L:$L,$A579))</f>
        <v/>
      </c>
      <c r="H579" s="118">
        <f>IF($A579="","",IFERROR(INDEX('05_KAIS'!$M:$M,$A579),IF(AND(E579&gt;0,G579&gt;0),G579/E579,"")))</f>
        <v/>
      </c>
      <c r="I579" s="202">
        <f>IF($A579="","",INDEX('05_KAIS'!$N:$N,$A579))</f>
        <v/>
      </c>
      <c r="J579">
        <f>IF(B579="","",IF('02_대상물건입력'!$B$5="",1,IF(ISNUMBER(SEARCH('02_대상물건입력'!$B$5,B579)),1,0)))</f>
        <v/>
      </c>
      <c r="K579">
        <f>IF(B579="","",IF('02_대상물건입력'!$B$6="",1,IF(ISNUMBER(SEARCH('02_대상물건입력'!$B$6,B579)),1,0)))</f>
        <v/>
      </c>
      <c r="L579">
        <f>IF(D579="","",IF('02_대상물건입력'!$B$8="",0,IF(ISNUMBER(SEARCH('02_대상물건입력'!$B$8,D579)),1,0)))</f>
        <v/>
      </c>
      <c r="M579">
        <f>IFERROR(ABS(E579-'02_대상물건입력'!$B$11)/'02_대상물건입력'!$B$11,"")</f>
        <v/>
      </c>
      <c r="N579">
        <f>IFERROR(ABS('01_설정'!$B$4-F579),"")</f>
        <v/>
      </c>
      <c r="O579">
        <f>IFERROR(ABS(YEAR(I579)-YEAR('02_대상물건입력'!$B$14)),"")</f>
        <v/>
      </c>
      <c r="P579">
        <f>IF(AND(E579&gt;0,F579&gt;0,G579&gt;0,IF('01_설정'!$B$10=1,J579=1,TRUE()),M579&lt;='01_설정'!$B$5,N579&lt;='01_설정'!$B$7,O579&lt;='01_설정'!$B$8),"Y","")</f>
        <v/>
      </c>
      <c r="Q579">
        <f>IF(P579&lt;&gt;"Y","",MAX(0,(1-M579/'01_설정'!$B$5))*'01_설정'!$B$14+MAX(0,(1-N579/'01_설정'!$B$7))*'01_설정'!$B$16+MAX(0,(1-O579/'01_설정'!$B$8))*'01_설정'!$B$17+K579*'01_설정'!$B$11+L579*'01_설정'!$B$12)</f>
        <v/>
      </c>
      <c r="R579">
        <f>IF(Q579="","",1+COUNTIFS($Q$31:$Q$1030,"&gt;"&amp;Q579)+COUNTIFS($Q$31:Q579,Q579)-1)</f>
        <v/>
      </c>
    </row>
    <row r="580" hidden="1" ht="16.5" customHeight="1">
      <c r="A580">
        <f>IF(COUNTA('05_KAIS'!$A568:$N568)=0,"",553)</f>
        <v/>
      </c>
      <c r="B580">
        <f>IF($A580="","",TRIM(INDEX('05_KAIS'!$B:$B,$A580)&amp;" "&amp;INDEX('05_KAIS'!$C:$C,$A580)))</f>
        <v/>
      </c>
      <c r="C580">
        <f>IF($A580="","",INDEX('05_KAIS'!$D:$D,$A580))</f>
        <v/>
      </c>
      <c r="D580">
        <f>IF($A580="","",INDEX('05_KAIS'!$H:$H,$A580))</f>
        <v/>
      </c>
      <c r="E580">
        <f>IF($A580="","",INDEX('05_KAIS'!$K:$K,$A580))</f>
        <v/>
      </c>
      <c r="F580" s="202">
        <f>IF($A580="","",INDEX('05_KAIS'!$I:$I,$A580))</f>
        <v/>
      </c>
      <c r="G580" s="118">
        <f>IF($A580="","",INDEX('05_KAIS'!$L:$L,$A580))</f>
        <v/>
      </c>
      <c r="H580" s="118">
        <f>IF($A580="","",IFERROR(INDEX('05_KAIS'!$M:$M,$A580),IF(AND(E580&gt;0,G580&gt;0),G580/E580,"")))</f>
        <v/>
      </c>
      <c r="I580" s="202">
        <f>IF($A580="","",INDEX('05_KAIS'!$N:$N,$A580))</f>
        <v/>
      </c>
      <c r="J580">
        <f>IF(B580="","",IF('02_대상물건입력'!$B$5="",1,IF(ISNUMBER(SEARCH('02_대상물건입력'!$B$5,B580)),1,0)))</f>
        <v/>
      </c>
      <c r="K580">
        <f>IF(B580="","",IF('02_대상물건입력'!$B$6="",1,IF(ISNUMBER(SEARCH('02_대상물건입력'!$B$6,B580)),1,0)))</f>
        <v/>
      </c>
      <c r="L580">
        <f>IF(D580="","",IF('02_대상물건입력'!$B$8="",0,IF(ISNUMBER(SEARCH('02_대상물건입력'!$B$8,D580)),1,0)))</f>
        <v/>
      </c>
      <c r="M580">
        <f>IFERROR(ABS(E580-'02_대상물건입력'!$B$11)/'02_대상물건입력'!$B$11,"")</f>
        <v/>
      </c>
      <c r="N580">
        <f>IFERROR(ABS('01_설정'!$B$4-F580),"")</f>
        <v/>
      </c>
      <c r="O580">
        <f>IFERROR(ABS(YEAR(I580)-YEAR('02_대상물건입력'!$B$14)),"")</f>
        <v/>
      </c>
      <c r="P580">
        <f>IF(AND(E580&gt;0,F580&gt;0,G580&gt;0,IF('01_설정'!$B$10=1,J580=1,TRUE()),M580&lt;='01_설정'!$B$5,N580&lt;='01_설정'!$B$7,O580&lt;='01_설정'!$B$8),"Y","")</f>
        <v/>
      </c>
      <c r="Q580">
        <f>IF(P580&lt;&gt;"Y","",MAX(0,(1-M580/'01_설정'!$B$5))*'01_설정'!$B$14+MAX(0,(1-N580/'01_설정'!$B$7))*'01_설정'!$B$16+MAX(0,(1-O580/'01_설정'!$B$8))*'01_설정'!$B$17+K580*'01_설정'!$B$11+L580*'01_설정'!$B$12)</f>
        <v/>
      </c>
      <c r="R580">
        <f>IF(Q580="","",1+COUNTIFS($Q$31:$Q$1030,"&gt;"&amp;Q580)+COUNTIFS($Q$31:Q580,Q580)-1)</f>
        <v/>
      </c>
    </row>
    <row r="581" hidden="1" ht="16.5" customHeight="1">
      <c r="A581">
        <f>IF(COUNTA('05_KAIS'!$A569:$N569)=0,"",554)</f>
        <v/>
      </c>
      <c r="B581">
        <f>IF($A581="","",TRIM(INDEX('05_KAIS'!$B:$B,$A581)&amp;" "&amp;INDEX('05_KAIS'!$C:$C,$A581)))</f>
        <v/>
      </c>
      <c r="C581">
        <f>IF($A581="","",INDEX('05_KAIS'!$D:$D,$A581))</f>
        <v/>
      </c>
      <c r="D581">
        <f>IF($A581="","",INDEX('05_KAIS'!$H:$H,$A581))</f>
        <v/>
      </c>
      <c r="E581">
        <f>IF($A581="","",INDEX('05_KAIS'!$K:$K,$A581))</f>
        <v/>
      </c>
      <c r="F581" s="202">
        <f>IF($A581="","",INDEX('05_KAIS'!$I:$I,$A581))</f>
        <v/>
      </c>
      <c r="G581" s="118">
        <f>IF($A581="","",INDEX('05_KAIS'!$L:$L,$A581))</f>
        <v/>
      </c>
      <c r="H581" s="118">
        <f>IF($A581="","",IFERROR(INDEX('05_KAIS'!$M:$M,$A581),IF(AND(E581&gt;0,G581&gt;0),G581/E581,"")))</f>
        <v/>
      </c>
      <c r="I581" s="202">
        <f>IF($A581="","",INDEX('05_KAIS'!$N:$N,$A581))</f>
        <v/>
      </c>
      <c r="J581">
        <f>IF(B581="","",IF('02_대상물건입력'!$B$5="",1,IF(ISNUMBER(SEARCH('02_대상물건입력'!$B$5,B581)),1,0)))</f>
        <v/>
      </c>
      <c r="K581">
        <f>IF(B581="","",IF('02_대상물건입력'!$B$6="",1,IF(ISNUMBER(SEARCH('02_대상물건입력'!$B$6,B581)),1,0)))</f>
        <v/>
      </c>
      <c r="L581">
        <f>IF(D581="","",IF('02_대상물건입력'!$B$8="",0,IF(ISNUMBER(SEARCH('02_대상물건입력'!$B$8,D581)),1,0)))</f>
        <v/>
      </c>
      <c r="M581">
        <f>IFERROR(ABS(E581-'02_대상물건입력'!$B$11)/'02_대상물건입력'!$B$11,"")</f>
        <v/>
      </c>
      <c r="N581">
        <f>IFERROR(ABS('01_설정'!$B$4-F581),"")</f>
        <v/>
      </c>
      <c r="O581">
        <f>IFERROR(ABS(YEAR(I581)-YEAR('02_대상물건입력'!$B$14)),"")</f>
        <v/>
      </c>
      <c r="P581">
        <f>IF(AND(E581&gt;0,F581&gt;0,G581&gt;0,IF('01_설정'!$B$10=1,J581=1,TRUE()),M581&lt;='01_설정'!$B$5,N581&lt;='01_설정'!$B$7,O581&lt;='01_설정'!$B$8),"Y","")</f>
        <v/>
      </c>
      <c r="Q581">
        <f>IF(P581&lt;&gt;"Y","",MAX(0,(1-M581/'01_설정'!$B$5))*'01_설정'!$B$14+MAX(0,(1-N581/'01_설정'!$B$7))*'01_설정'!$B$16+MAX(0,(1-O581/'01_설정'!$B$8))*'01_설정'!$B$17+K581*'01_설정'!$B$11+L581*'01_설정'!$B$12)</f>
        <v/>
      </c>
      <c r="R581">
        <f>IF(Q581="","",1+COUNTIFS($Q$31:$Q$1030,"&gt;"&amp;Q581)+COUNTIFS($Q$31:Q581,Q581)-1)</f>
        <v/>
      </c>
    </row>
    <row r="582" hidden="1" ht="16.5" customHeight="1">
      <c r="A582">
        <f>IF(COUNTA('05_KAIS'!$A570:$N570)=0,"",555)</f>
        <v/>
      </c>
      <c r="B582">
        <f>IF($A582="","",TRIM(INDEX('05_KAIS'!$B:$B,$A582)&amp;" "&amp;INDEX('05_KAIS'!$C:$C,$A582)))</f>
        <v/>
      </c>
      <c r="C582">
        <f>IF($A582="","",INDEX('05_KAIS'!$D:$D,$A582))</f>
        <v/>
      </c>
      <c r="D582">
        <f>IF($A582="","",INDEX('05_KAIS'!$H:$H,$A582))</f>
        <v/>
      </c>
      <c r="E582">
        <f>IF($A582="","",INDEX('05_KAIS'!$K:$K,$A582))</f>
        <v/>
      </c>
      <c r="F582" s="202">
        <f>IF($A582="","",INDEX('05_KAIS'!$I:$I,$A582))</f>
        <v/>
      </c>
      <c r="G582" s="118">
        <f>IF($A582="","",INDEX('05_KAIS'!$L:$L,$A582))</f>
        <v/>
      </c>
      <c r="H582" s="118">
        <f>IF($A582="","",IFERROR(INDEX('05_KAIS'!$M:$M,$A582),IF(AND(E582&gt;0,G582&gt;0),G582/E582,"")))</f>
        <v/>
      </c>
      <c r="I582" s="202">
        <f>IF($A582="","",INDEX('05_KAIS'!$N:$N,$A582))</f>
        <v/>
      </c>
      <c r="J582">
        <f>IF(B582="","",IF('02_대상물건입력'!$B$5="",1,IF(ISNUMBER(SEARCH('02_대상물건입력'!$B$5,B582)),1,0)))</f>
        <v/>
      </c>
      <c r="K582">
        <f>IF(B582="","",IF('02_대상물건입력'!$B$6="",1,IF(ISNUMBER(SEARCH('02_대상물건입력'!$B$6,B582)),1,0)))</f>
        <v/>
      </c>
      <c r="L582">
        <f>IF(D582="","",IF('02_대상물건입력'!$B$8="",0,IF(ISNUMBER(SEARCH('02_대상물건입력'!$B$8,D582)),1,0)))</f>
        <v/>
      </c>
      <c r="M582">
        <f>IFERROR(ABS(E582-'02_대상물건입력'!$B$11)/'02_대상물건입력'!$B$11,"")</f>
        <v/>
      </c>
      <c r="N582">
        <f>IFERROR(ABS('01_설정'!$B$4-F582),"")</f>
        <v/>
      </c>
      <c r="O582">
        <f>IFERROR(ABS(YEAR(I582)-YEAR('02_대상물건입력'!$B$14)),"")</f>
        <v/>
      </c>
      <c r="P582">
        <f>IF(AND(E582&gt;0,F582&gt;0,G582&gt;0,IF('01_설정'!$B$10=1,J582=1,TRUE()),M582&lt;='01_설정'!$B$5,N582&lt;='01_설정'!$B$7,O582&lt;='01_설정'!$B$8),"Y","")</f>
        <v/>
      </c>
      <c r="Q582">
        <f>IF(P582&lt;&gt;"Y","",MAX(0,(1-M582/'01_설정'!$B$5))*'01_설정'!$B$14+MAX(0,(1-N582/'01_설정'!$B$7))*'01_설정'!$B$16+MAX(0,(1-O582/'01_설정'!$B$8))*'01_설정'!$B$17+K582*'01_설정'!$B$11+L582*'01_설정'!$B$12)</f>
        <v/>
      </c>
      <c r="R582">
        <f>IF(Q582="","",1+COUNTIFS($Q$31:$Q$1030,"&gt;"&amp;Q582)+COUNTIFS($Q$31:Q582,Q582)-1)</f>
        <v/>
      </c>
    </row>
    <row r="583" hidden="1" ht="16.5" customHeight="1">
      <c r="A583">
        <f>IF(COUNTA('05_KAIS'!$A571:$N571)=0,"",556)</f>
        <v/>
      </c>
      <c r="B583">
        <f>IF($A583="","",TRIM(INDEX('05_KAIS'!$B:$B,$A583)&amp;" "&amp;INDEX('05_KAIS'!$C:$C,$A583)))</f>
        <v/>
      </c>
      <c r="C583">
        <f>IF($A583="","",INDEX('05_KAIS'!$D:$D,$A583))</f>
        <v/>
      </c>
      <c r="D583">
        <f>IF($A583="","",INDEX('05_KAIS'!$H:$H,$A583))</f>
        <v/>
      </c>
      <c r="E583">
        <f>IF($A583="","",INDEX('05_KAIS'!$K:$K,$A583))</f>
        <v/>
      </c>
      <c r="F583" s="202">
        <f>IF($A583="","",INDEX('05_KAIS'!$I:$I,$A583))</f>
        <v/>
      </c>
      <c r="G583" s="118">
        <f>IF($A583="","",INDEX('05_KAIS'!$L:$L,$A583))</f>
        <v/>
      </c>
      <c r="H583" s="118">
        <f>IF($A583="","",IFERROR(INDEX('05_KAIS'!$M:$M,$A583),IF(AND(E583&gt;0,G583&gt;0),G583/E583,"")))</f>
        <v/>
      </c>
      <c r="I583" s="202">
        <f>IF($A583="","",INDEX('05_KAIS'!$N:$N,$A583))</f>
        <v/>
      </c>
      <c r="J583">
        <f>IF(B583="","",IF('02_대상물건입력'!$B$5="",1,IF(ISNUMBER(SEARCH('02_대상물건입력'!$B$5,B583)),1,0)))</f>
        <v/>
      </c>
      <c r="K583">
        <f>IF(B583="","",IF('02_대상물건입력'!$B$6="",1,IF(ISNUMBER(SEARCH('02_대상물건입력'!$B$6,B583)),1,0)))</f>
        <v/>
      </c>
      <c r="L583">
        <f>IF(D583="","",IF('02_대상물건입력'!$B$8="",0,IF(ISNUMBER(SEARCH('02_대상물건입력'!$B$8,D583)),1,0)))</f>
        <v/>
      </c>
      <c r="M583">
        <f>IFERROR(ABS(E583-'02_대상물건입력'!$B$11)/'02_대상물건입력'!$B$11,"")</f>
        <v/>
      </c>
      <c r="N583">
        <f>IFERROR(ABS('01_설정'!$B$4-F583),"")</f>
        <v/>
      </c>
      <c r="O583">
        <f>IFERROR(ABS(YEAR(I583)-YEAR('02_대상물건입력'!$B$14)),"")</f>
        <v/>
      </c>
      <c r="P583">
        <f>IF(AND(E583&gt;0,F583&gt;0,G583&gt;0,IF('01_설정'!$B$10=1,J583=1,TRUE()),M583&lt;='01_설정'!$B$5,N583&lt;='01_설정'!$B$7,O583&lt;='01_설정'!$B$8),"Y","")</f>
        <v/>
      </c>
      <c r="Q583">
        <f>IF(P583&lt;&gt;"Y","",MAX(0,(1-M583/'01_설정'!$B$5))*'01_설정'!$B$14+MAX(0,(1-N583/'01_설정'!$B$7))*'01_설정'!$B$16+MAX(0,(1-O583/'01_설정'!$B$8))*'01_설정'!$B$17+K583*'01_설정'!$B$11+L583*'01_설정'!$B$12)</f>
        <v/>
      </c>
      <c r="R583">
        <f>IF(Q583="","",1+COUNTIFS($Q$31:$Q$1030,"&gt;"&amp;Q583)+COUNTIFS($Q$31:Q583,Q583)-1)</f>
        <v/>
      </c>
    </row>
    <row r="584" hidden="1" ht="16.5" customHeight="1">
      <c r="A584">
        <f>IF(COUNTA('05_KAIS'!$A572:$N572)=0,"",557)</f>
        <v/>
      </c>
      <c r="B584">
        <f>IF($A584="","",TRIM(INDEX('05_KAIS'!$B:$B,$A584)&amp;" "&amp;INDEX('05_KAIS'!$C:$C,$A584)))</f>
        <v/>
      </c>
      <c r="C584">
        <f>IF($A584="","",INDEX('05_KAIS'!$D:$D,$A584))</f>
        <v/>
      </c>
      <c r="D584">
        <f>IF($A584="","",INDEX('05_KAIS'!$H:$H,$A584))</f>
        <v/>
      </c>
      <c r="E584">
        <f>IF($A584="","",INDEX('05_KAIS'!$K:$K,$A584))</f>
        <v/>
      </c>
      <c r="F584" s="202">
        <f>IF($A584="","",INDEX('05_KAIS'!$I:$I,$A584))</f>
        <v/>
      </c>
      <c r="G584" s="118">
        <f>IF($A584="","",INDEX('05_KAIS'!$L:$L,$A584))</f>
        <v/>
      </c>
      <c r="H584" s="118">
        <f>IF($A584="","",IFERROR(INDEX('05_KAIS'!$M:$M,$A584),IF(AND(E584&gt;0,G584&gt;0),G584/E584,"")))</f>
        <v/>
      </c>
      <c r="I584" s="202">
        <f>IF($A584="","",INDEX('05_KAIS'!$N:$N,$A584))</f>
        <v/>
      </c>
      <c r="J584">
        <f>IF(B584="","",IF('02_대상물건입력'!$B$5="",1,IF(ISNUMBER(SEARCH('02_대상물건입력'!$B$5,B584)),1,0)))</f>
        <v/>
      </c>
      <c r="K584">
        <f>IF(B584="","",IF('02_대상물건입력'!$B$6="",1,IF(ISNUMBER(SEARCH('02_대상물건입력'!$B$6,B584)),1,0)))</f>
        <v/>
      </c>
      <c r="L584">
        <f>IF(D584="","",IF('02_대상물건입력'!$B$8="",0,IF(ISNUMBER(SEARCH('02_대상물건입력'!$B$8,D584)),1,0)))</f>
        <v/>
      </c>
      <c r="M584">
        <f>IFERROR(ABS(E584-'02_대상물건입력'!$B$11)/'02_대상물건입력'!$B$11,"")</f>
        <v/>
      </c>
      <c r="N584">
        <f>IFERROR(ABS('01_설정'!$B$4-F584),"")</f>
        <v/>
      </c>
      <c r="O584">
        <f>IFERROR(ABS(YEAR(I584)-YEAR('02_대상물건입력'!$B$14)),"")</f>
        <v/>
      </c>
      <c r="P584">
        <f>IF(AND(E584&gt;0,F584&gt;0,G584&gt;0,IF('01_설정'!$B$10=1,J584=1,TRUE()),M584&lt;='01_설정'!$B$5,N584&lt;='01_설정'!$B$7,O584&lt;='01_설정'!$B$8),"Y","")</f>
        <v/>
      </c>
      <c r="Q584">
        <f>IF(P584&lt;&gt;"Y","",MAX(0,(1-M584/'01_설정'!$B$5))*'01_설정'!$B$14+MAX(0,(1-N584/'01_설정'!$B$7))*'01_설정'!$B$16+MAX(0,(1-O584/'01_설정'!$B$8))*'01_설정'!$B$17+K584*'01_설정'!$B$11+L584*'01_설정'!$B$12)</f>
        <v/>
      </c>
      <c r="R584">
        <f>IF(Q584="","",1+COUNTIFS($Q$31:$Q$1030,"&gt;"&amp;Q584)+COUNTIFS($Q$31:Q584,Q584)-1)</f>
        <v/>
      </c>
    </row>
    <row r="585" hidden="1" ht="16.5" customHeight="1">
      <c r="A585">
        <f>IF(COUNTA('05_KAIS'!$A573:$N573)=0,"",558)</f>
        <v/>
      </c>
      <c r="B585">
        <f>IF($A585="","",TRIM(INDEX('05_KAIS'!$B:$B,$A585)&amp;" "&amp;INDEX('05_KAIS'!$C:$C,$A585)))</f>
        <v/>
      </c>
      <c r="C585">
        <f>IF($A585="","",INDEX('05_KAIS'!$D:$D,$A585))</f>
        <v/>
      </c>
      <c r="D585">
        <f>IF($A585="","",INDEX('05_KAIS'!$H:$H,$A585))</f>
        <v/>
      </c>
      <c r="E585">
        <f>IF($A585="","",INDEX('05_KAIS'!$K:$K,$A585))</f>
        <v/>
      </c>
      <c r="F585" s="202">
        <f>IF($A585="","",INDEX('05_KAIS'!$I:$I,$A585))</f>
        <v/>
      </c>
      <c r="G585" s="118">
        <f>IF($A585="","",INDEX('05_KAIS'!$L:$L,$A585))</f>
        <v/>
      </c>
      <c r="H585" s="118">
        <f>IF($A585="","",IFERROR(INDEX('05_KAIS'!$M:$M,$A585),IF(AND(E585&gt;0,G585&gt;0),G585/E585,"")))</f>
        <v/>
      </c>
      <c r="I585" s="202">
        <f>IF($A585="","",INDEX('05_KAIS'!$N:$N,$A585))</f>
        <v/>
      </c>
      <c r="J585">
        <f>IF(B585="","",IF('02_대상물건입력'!$B$5="",1,IF(ISNUMBER(SEARCH('02_대상물건입력'!$B$5,B585)),1,0)))</f>
        <v/>
      </c>
      <c r="K585">
        <f>IF(B585="","",IF('02_대상물건입력'!$B$6="",1,IF(ISNUMBER(SEARCH('02_대상물건입력'!$B$6,B585)),1,0)))</f>
        <v/>
      </c>
      <c r="L585">
        <f>IF(D585="","",IF('02_대상물건입력'!$B$8="",0,IF(ISNUMBER(SEARCH('02_대상물건입력'!$B$8,D585)),1,0)))</f>
        <v/>
      </c>
      <c r="M585">
        <f>IFERROR(ABS(E585-'02_대상물건입력'!$B$11)/'02_대상물건입력'!$B$11,"")</f>
        <v/>
      </c>
      <c r="N585">
        <f>IFERROR(ABS('01_설정'!$B$4-F585),"")</f>
        <v/>
      </c>
      <c r="O585">
        <f>IFERROR(ABS(YEAR(I585)-YEAR('02_대상물건입력'!$B$14)),"")</f>
        <v/>
      </c>
      <c r="P585">
        <f>IF(AND(E585&gt;0,F585&gt;0,G585&gt;0,IF('01_설정'!$B$10=1,J585=1,TRUE()),M585&lt;='01_설정'!$B$5,N585&lt;='01_설정'!$B$7,O585&lt;='01_설정'!$B$8),"Y","")</f>
        <v/>
      </c>
      <c r="Q585">
        <f>IF(P585&lt;&gt;"Y","",MAX(0,(1-M585/'01_설정'!$B$5))*'01_설정'!$B$14+MAX(0,(1-N585/'01_설정'!$B$7))*'01_설정'!$B$16+MAX(0,(1-O585/'01_설정'!$B$8))*'01_설정'!$B$17+K585*'01_설정'!$B$11+L585*'01_설정'!$B$12)</f>
        <v/>
      </c>
      <c r="R585">
        <f>IF(Q585="","",1+COUNTIFS($Q$31:$Q$1030,"&gt;"&amp;Q585)+COUNTIFS($Q$31:Q585,Q585)-1)</f>
        <v/>
      </c>
    </row>
    <row r="586" hidden="1" ht="16.5" customHeight="1">
      <c r="A586">
        <f>IF(COUNTA('05_KAIS'!$A574:$N574)=0,"",559)</f>
        <v/>
      </c>
      <c r="B586">
        <f>IF($A586="","",TRIM(INDEX('05_KAIS'!$B:$B,$A586)&amp;" "&amp;INDEX('05_KAIS'!$C:$C,$A586)))</f>
        <v/>
      </c>
      <c r="C586">
        <f>IF($A586="","",INDEX('05_KAIS'!$D:$D,$A586))</f>
        <v/>
      </c>
      <c r="D586">
        <f>IF($A586="","",INDEX('05_KAIS'!$H:$H,$A586))</f>
        <v/>
      </c>
      <c r="E586">
        <f>IF($A586="","",INDEX('05_KAIS'!$K:$K,$A586))</f>
        <v/>
      </c>
      <c r="F586" s="202">
        <f>IF($A586="","",INDEX('05_KAIS'!$I:$I,$A586))</f>
        <v/>
      </c>
      <c r="G586" s="118">
        <f>IF($A586="","",INDEX('05_KAIS'!$L:$L,$A586))</f>
        <v/>
      </c>
      <c r="H586" s="118">
        <f>IF($A586="","",IFERROR(INDEX('05_KAIS'!$M:$M,$A586),IF(AND(E586&gt;0,G586&gt;0),G586/E586,"")))</f>
        <v/>
      </c>
      <c r="I586" s="202">
        <f>IF($A586="","",INDEX('05_KAIS'!$N:$N,$A586))</f>
        <v/>
      </c>
      <c r="J586">
        <f>IF(B586="","",IF('02_대상물건입력'!$B$5="",1,IF(ISNUMBER(SEARCH('02_대상물건입력'!$B$5,B586)),1,0)))</f>
        <v/>
      </c>
      <c r="K586">
        <f>IF(B586="","",IF('02_대상물건입력'!$B$6="",1,IF(ISNUMBER(SEARCH('02_대상물건입력'!$B$6,B586)),1,0)))</f>
        <v/>
      </c>
      <c r="L586">
        <f>IF(D586="","",IF('02_대상물건입력'!$B$8="",0,IF(ISNUMBER(SEARCH('02_대상물건입력'!$B$8,D586)),1,0)))</f>
        <v/>
      </c>
      <c r="M586">
        <f>IFERROR(ABS(E586-'02_대상물건입력'!$B$11)/'02_대상물건입력'!$B$11,"")</f>
        <v/>
      </c>
      <c r="N586">
        <f>IFERROR(ABS('01_설정'!$B$4-F586),"")</f>
        <v/>
      </c>
      <c r="O586">
        <f>IFERROR(ABS(YEAR(I586)-YEAR('02_대상물건입력'!$B$14)),"")</f>
        <v/>
      </c>
      <c r="P586">
        <f>IF(AND(E586&gt;0,F586&gt;0,G586&gt;0,IF('01_설정'!$B$10=1,J586=1,TRUE()),M586&lt;='01_설정'!$B$5,N586&lt;='01_설정'!$B$7,O586&lt;='01_설정'!$B$8),"Y","")</f>
        <v/>
      </c>
      <c r="Q586">
        <f>IF(P586&lt;&gt;"Y","",MAX(0,(1-M586/'01_설정'!$B$5))*'01_설정'!$B$14+MAX(0,(1-N586/'01_설정'!$B$7))*'01_설정'!$B$16+MAX(0,(1-O586/'01_설정'!$B$8))*'01_설정'!$B$17+K586*'01_설정'!$B$11+L586*'01_설정'!$B$12)</f>
        <v/>
      </c>
      <c r="R586">
        <f>IF(Q586="","",1+COUNTIFS($Q$31:$Q$1030,"&gt;"&amp;Q586)+COUNTIFS($Q$31:Q586,Q586)-1)</f>
        <v/>
      </c>
    </row>
    <row r="587" hidden="1" ht="16.5" customHeight="1">
      <c r="A587">
        <f>IF(COUNTA('05_KAIS'!$A575:$N575)=0,"",560)</f>
        <v/>
      </c>
      <c r="B587">
        <f>IF($A587="","",TRIM(INDEX('05_KAIS'!$B:$B,$A587)&amp;" "&amp;INDEX('05_KAIS'!$C:$C,$A587)))</f>
        <v/>
      </c>
      <c r="C587">
        <f>IF($A587="","",INDEX('05_KAIS'!$D:$D,$A587))</f>
        <v/>
      </c>
      <c r="D587">
        <f>IF($A587="","",INDEX('05_KAIS'!$H:$H,$A587))</f>
        <v/>
      </c>
      <c r="E587">
        <f>IF($A587="","",INDEX('05_KAIS'!$K:$K,$A587))</f>
        <v/>
      </c>
      <c r="F587" s="202">
        <f>IF($A587="","",INDEX('05_KAIS'!$I:$I,$A587))</f>
        <v/>
      </c>
      <c r="G587" s="118">
        <f>IF($A587="","",INDEX('05_KAIS'!$L:$L,$A587))</f>
        <v/>
      </c>
      <c r="H587" s="118">
        <f>IF($A587="","",IFERROR(INDEX('05_KAIS'!$M:$M,$A587),IF(AND(E587&gt;0,G587&gt;0),G587/E587,"")))</f>
        <v/>
      </c>
      <c r="I587" s="202">
        <f>IF($A587="","",INDEX('05_KAIS'!$N:$N,$A587))</f>
        <v/>
      </c>
      <c r="J587">
        <f>IF(B587="","",IF('02_대상물건입력'!$B$5="",1,IF(ISNUMBER(SEARCH('02_대상물건입력'!$B$5,B587)),1,0)))</f>
        <v/>
      </c>
      <c r="K587">
        <f>IF(B587="","",IF('02_대상물건입력'!$B$6="",1,IF(ISNUMBER(SEARCH('02_대상물건입력'!$B$6,B587)),1,0)))</f>
        <v/>
      </c>
      <c r="L587">
        <f>IF(D587="","",IF('02_대상물건입력'!$B$8="",0,IF(ISNUMBER(SEARCH('02_대상물건입력'!$B$8,D587)),1,0)))</f>
        <v/>
      </c>
      <c r="M587">
        <f>IFERROR(ABS(E587-'02_대상물건입력'!$B$11)/'02_대상물건입력'!$B$11,"")</f>
        <v/>
      </c>
      <c r="N587">
        <f>IFERROR(ABS('01_설정'!$B$4-F587),"")</f>
        <v/>
      </c>
      <c r="O587">
        <f>IFERROR(ABS(YEAR(I587)-YEAR('02_대상물건입력'!$B$14)),"")</f>
        <v/>
      </c>
      <c r="P587">
        <f>IF(AND(E587&gt;0,F587&gt;0,G587&gt;0,IF('01_설정'!$B$10=1,J587=1,TRUE()),M587&lt;='01_설정'!$B$5,N587&lt;='01_설정'!$B$7,O587&lt;='01_설정'!$B$8),"Y","")</f>
        <v/>
      </c>
      <c r="Q587">
        <f>IF(P587&lt;&gt;"Y","",MAX(0,(1-M587/'01_설정'!$B$5))*'01_설정'!$B$14+MAX(0,(1-N587/'01_설정'!$B$7))*'01_설정'!$B$16+MAX(0,(1-O587/'01_설정'!$B$8))*'01_설정'!$B$17+K587*'01_설정'!$B$11+L587*'01_설정'!$B$12)</f>
        <v/>
      </c>
      <c r="R587">
        <f>IF(Q587="","",1+COUNTIFS($Q$31:$Q$1030,"&gt;"&amp;Q587)+COUNTIFS($Q$31:Q587,Q587)-1)</f>
        <v/>
      </c>
    </row>
    <row r="588" hidden="1" ht="16.5" customHeight="1">
      <c r="A588">
        <f>IF(COUNTA('05_KAIS'!$A576:$N576)=0,"",561)</f>
        <v/>
      </c>
      <c r="B588">
        <f>IF($A588="","",TRIM(INDEX('05_KAIS'!$B:$B,$A588)&amp;" "&amp;INDEX('05_KAIS'!$C:$C,$A588)))</f>
        <v/>
      </c>
      <c r="C588">
        <f>IF($A588="","",INDEX('05_KAIS'!$D:$D,$A588))</f>
        <v/>
      </c>
      <c r="D588">
        <f>IF($A588="","",INDEX('05_KAIS'!$H:$H,$A588))</f>
        <v/>
      </c>
      <c r="E588">
        <f>IF($A588="","",INDEX('05_KAIS'!$K:$K,$A588))</f>
        <v/>
      </c>
      <c r="F588" s="202">
        <f>IF($A588="","",INDEX('05_KAIS'!$I:$I,$A588))</f>
        <v/>
      </c>
      <c r="G588" s="118">
        <f>IF($A588="","",INDEX('05_KAIS'!$L:$L,$A588))</f>
        <v/>
      </c>
      <c r="H588" s="118">
        <f>IF($A588="","",IFERROR(INDEX('05_KAIS'!$M:$M,$A588),IF(AND(E588&gt;0,G588&gt;0),G588/E588,"")))</f>
        <v/>
      </c>
      <c r="I588" s="202">
        <f>IF($A588="","",INDEX('05_KAIS'!$N:$N,$A588))</f>
        <v/>
      </c>
      <c r="J588">
        <f>IF(B588="","",IF('02_대상물건입력'!$B$5="",1,IF(ISNUMBER(SEARCH('02_대상물건입력'!$B$5,B588)),1,0)))</f>
        <v/>
      </c>
      <c r="K588">
        <f>IF(B588="","",IF('02_대상물건입력'!$B$6="",1,IF(ISNUMBER(SEARCH('02_대상물건입력'!$B$6,B588)),1,0)))</f>
        <v/>
      </c>
      <c r="L588">
        <f>IF(D588="","",IF('02_대상물건입력'!$B$8="",0,IF(ISNUMBER(SEARCH('02_대상물건입력'!$B$8,D588)),1,0)))</f>
        <v/>
      </c>
      <c r="M588">
        <f>IFERROR(ABS(E588-'02_대상물건입력'!$B$11)/'02_대상물건입력'!$B$11,"")</f>
        <v/>
      </c>
      <c r="N588">
        <f>IFERROR(ABS('01_설정'!$B$4-F588),"")</f>
        <v/>
      </c>
      <c r="O588">
        <f>IFERROR(ABS(YEAR(I588)-YEAR('02_대상물건입력'!$B$14)),"")</f>
        <v/>
      </c>
      <c r="P588">
        <f>IF(AND(E588&gt;0,F588&gt;0,G588&gt;0,IF('01_설정'!$B$10=1,J588=1,TRUE()),M588&lt;='01_설정'!$B$5,N588&lt;='01_설정'!$B$7,O588&lt;='01_설정'!$B$8),"Y","")</f>
        <v/>
      </c>
      <c r="Q588">
        <f>IF(P588&lt;&gt;"Y","",MAX(0,(1-M588/'01_설정'!$B$5))*'01_설정'!$B$14+MAX(0,(1-N588/'01_설정'!$B$7))*'01_설정'!$B$16+MAX(0,(1-O588/'01_설정'!$B$8))*'01_설정'!$B$17+K588*'01_설정'!$B$11+L588*'01_설정'!$B$12)</f>
        <v/>
      </c>
      <c r="R588">
        <f>IF(Q588="","",1+COUNTIFS($Q$31:$Q$1030,"&gt;"&amp;Q588)+COUNTIFS($Q$31:Q588,Q588)-1)</f>
        <v/>
      </c>
    </row>
    <row r="589" hidden="1" ht="16.5" customHeight="1">
      <c r="A589">
        <f>IF(COUNTA('05_KAIS'!$A577:$N577)=0,"",562)</f>
        <v/>
      </c>
      <c r="B589">
        <f>IF($A589="","",TRIM(INDEX('05_KAIS'!$B:$B,$A589)&amp;" "&amp;INDEX('05_KAIS'!$C:$C,$A589)))</f>
        <v/>
      </c>
      <c r="C589">
        <f>IF($A589="","",INDEX('05_KAIS'!$D:$D,$A589))</f>
        <v/>
      </c>
      <c r="D589">
        <f>IF($A589="","",INDEX('05_KAIS'!$H:$H,$A589))</f>
        <v/>
      </c>
      <c r="E589">
        <f>IF($A589="","",INDEX('05_KAIS'!$K:$K,$A589))</f>
        <v/>
      </c>
      <c r="F589" s="202">
        <f>IF($A589="","",INDEX('05_KAIS'!$I:$I,$A589))</f>
        <v/>
      </c>
      <c r="G589" s="118">
        <f>IF($A589="","",INDEX('05_KAIS'!$L:$L,$A589))</f>
        <v/>
      </c>
      <c r="H589" s="118">
        <f>IF($A589="","",IFERROR(INDEX('05_KAIS'!$M:$M,$A589),IF(AND(E589&gt;0,G589&gt;0),G589/E589,"")))</f>
        <v/>
      </c>
      <c r="I589" s="202">
        <f>IF($A589="","",INDEX('05_KAIS'!$N:$N,$A589))</f>
        <v/>
      </c>
      <c r="J589">
        <f>IF(B589="","",IF('02_대상물건입력'!$B$5="",1,IF(ISNUMBER(SEARCH('02_대상물건입력'!$B$5,B589)),1,0)))</f>
        <v/>
      </c>
      <c r="K589">
        <f>IF(B589="","",IF('02_대상물건입력'!$B$6="",1,IF(ISNUMBER(SEARCH('02_대상물건입력'!$B$6,B589)),1,0)))</f>
        <v/>
      </c>
      <c r="L589">
        <f>IF(D589="","",IF('02_대상물건입력'!$B$8="",0,IF(ISNUMBER(SEARCH('02_대상물건입력'!$B$8,D589)),1,0)))</f>
        <v/>
      </c>
      <c r="M589">
        <f>IFERROR(ABS(E589-'02_대상물건입력'!$B$11)/'02_대상물건입력'!$B$11,"")</f>
        <v/>
      </c>
      <c r="N589">
        <f>IFERROR(ABS('01_설정'!$B$4-F589),"")</f>
        <v/>
      </c>
      <c r="O589">
        <f>IFERROR(ABS(YEAR(I589)-YEAR('02_대상물건입력'!$B$14)),"")</f>
        <v/>
      </c>
      <c r="P589">
        <f>IF(AND(E589&gt;0,F589&gt;0,G589&gt;0,IF('01_설정'!$B$10=1,J589=1,TRUE()),M589&lt;='01_설정'!$B$5,N589&lt;='01_설정'!$B$7,O589&lt;='01_설정'!$B$8),"Y","")</f>
        <v/>
      </c>
      <c r="Q589">
        <f>IF(P589&lt;&gt;"Y","",MAX(0,(1-M589/'01_설정'!$B$5))*'01_설정'!$B$14+MAX(0,(1-N589/'01_설정'!$B$7))*'01_설정'!$B$16+MAX(0,(1-O589/'01_설정'!$B$8))*'01_설정'!$B$17+K589*'01_설정'!$B$11+L589*'01_설정'!$B$12)</f>
        <v/>
      </c>
      <c r="R589">
        <f>IF(Q589="","",1+COUNTIFS($Q$31:$Q$1030,"&gt;"&amp;Q589)+COUNTIFS($Q$31:Q589,Q589)-1)</f>
        <v/>
      </c>
    </row>
    <row r="590" hidden="1" ht="16.5" customHeight="1">
      <c r="A590">
        <f>IF(COUNTA('05_KAIS'!$A578:$N578)=0,"",563)</f>
        <v/>
      </c>
      <c r="B590">
        <f>IF($A590="","",TRIM(INDEX('05_KAIS'!$B:$B,$A590)&amp;" "&amp;INDEX('05_KAIS'!$C:$C,$A590)))</f>
        <v/>
      </c>
      <c r="C590">
        <f>IF($A590="","",INDEX('05_KAIS'!$D:$D,$A590))</f>
        <v/>
      </c>
      <c r="D590">
        <f>IF($A590="","",INDEX('05_KAIS'!$H:$H,$A590))</f>
        <v/>
      </c>
      <c r="E590">
        <f>IF($A590="","",INDEX('05_KAIS'!$K:$K,$A590))</f>
        <v/>
      </c>
      <c r="F590" s="202">
        <f>IF($A590="","",INDEX('05_KAIS'!$I:$I,$A590))</f>
        <v/>
      </c>
      <c r="G590" s="118">
        <f>IF($A590="","",INDEX('05_KAIS'!$L:$L,$A590))</f>
        <v/>
      </c>
      <c r="H590" s="118">
        <f>IF($A590="","",IFERROR(INDEX('05_KAIS'!$M:$M,$A590),IF(AND(E590&gt;0,G590&gt;0),G590/E590,"")))</f>
        <v/>
      </c>
      <c r="I590" s="202">
        <f>IF($A590="","",INDEX('05_KAIS'!$N:$N,$A590))</f>
        <v/>
      </c>
      <c r="J590">
        <f>IF(B590="","",IF('02_대상물건입력'!$B$5="",1,IF(ISNUMBER(SEARCH('02_대상물건입력'!$B$5,B590)),1,0)))</f>
        <v/>
      </c>
      <c r="K590">
        <f>IF(B590="","",IF('02_대상물건입력'!$B$6="",1,IF(ISNUMBER(SEARCH('02_대상물건입력'!$B$6,B590)),1,0)))</f>
        <v/>
      </c>
      <c r="L590">
        <f>IF(D590="","",IF('02_대상물건입력'!$B$8="",0,IF(ISNUMBER(SEARCH('02_대상물건입력'!$B$8,D590)),1,0)))</f>
        <v/>
      </c>
      <c r="M590">
        <f>IFERROR(ABS(E590-'02_대상물건입력'!$B$11)/'02_대상물건입력'!$B$11,"")</f>
        <v/>
      </c>
      <c r="N590">
        <f>IFERROR(ABS('01_설정'!$B$4-F590),"")</f>
        <v/>
      </c>
      <c r="O590">
        <f>IFERROR(ABS(YEAR(I590)-YEAR('02_대상물건입력'!$B$14)),"")</f>
        <v/>
      </c>
      <c r="P590">
        <f>IF(AND(E590&gt;0,F590&gt;0,G590&gt;0,IF('01_설정'!$B$10=1,J590=1,TRUE()),M590&lt;='01_설정'!$B$5,N590&lt;='01_설정'!$B$7,O590&lt;='01_설정'!$B$8),"Y","")</f>
        <v/>
      </c>
      <c r="Q590">
        <f>IF(P590&lt;&gt;"Y","",MAX(0,(1-M590/'01_설정'!$B$5))*'01_설정'!$B$14+MAX(0,(1-N590/'01_설정'!$B$7))*'01_설정'!$B$16+MAX(0,(1-O590/'01_설정'!$B$8))*'01_설정'!$B$17+K590*'01_설정'!$B$11+L590*'01_설정'!$B$12)</f>
        <v/>
      </c>
      <c r="R590">
        <f>IF(Q590="","",1+COUNTIFS($Q$31:$Q$1030,"&gt;"&amp;Q590)+COUNTIFS($Q$31:Q590,Q590)-1)</f>
        <v/>
      </c>
    </row>
    <row r="591" hidden="1" ht="16.5" customHeight="1">
      <c r="A591">
        <f>IF(COUNTA('05_KAIS'!$A579:$N579)=0,"",564)</f>
        <v/>
      </c>
      <c r="B591">
        <f>IF($A591="","",TRIM(INDEX('05_KAIS'!$B:$B,$A591)&amp;" "&amp;INDEX('05_KAIS'!$C:$C,$A591)))</f>
        <v/>
      </c>
      <c r="C591">
        <f>IF($A591="","",INDEX('05_KAIS'!$D:$D,$A591))</f>
        <v/>
      </c>
      <c r="D591">
        <f>IF($A591="","",INDEX('05_KAIS'!$H:$H,$A591))</f>
        <v/>
      </c>
      <c r="E591">
        <f>IF($A591="","",INDEX('05_KAIS'!$K:$K,$A591))</f>
        <v/>
      </c>
      <c r="F591" s="202">
        <f>IF($A591="","",INDEX('05_KAIS'!$I:$I,$A591))</f>
        <v/>
      </c>
      <c r="G591" s="118">
        <f>IF($A591="","",INDEX('05_KAIS'!$L:$L,$A591))</f>
        <v/>
      </c>
      <c r="H591" s="118">
        <f>IF($A591="","",IFERROR(INDEX('05_KAIS'!$M:$M,$A591),IF(AND(E591&gt;0,G591&gt;0),G591/E591,"")))</f>
        <v/>
      </c>
      <c r="I591" s="202">
        <f>IF($A591="","",INDEX('05_KAIS'!$N:$N,$A591))</f>
        <v/>
      </c>
      <c r="J591">
        <f>IF(B591="","",IF('02_대상물건입력'!$B$5="",1,IF(ISNUMBER(SEARCH('02_대상물건입력'!$B$5,B591)),1,0)))</f>
        <v/>
      </c>
      <c r="K591">
        <f>IF(B591="","",IF('02_대상물건입력'!$B$6="",1,IF(ISNUMBER(SEARCH('02_대상물건입력'!$B$6,B591)),1,0)))</f>
        <v/>
      </c>
      <c r="L591">
        <f>IF(D591="","",IF('02_대상물건입력'!$B$8="",0,IF(ISNUMBER(SEARCH('02_대상물건입력'!$B$8,D591)),1,0)))</f>
        <v/>
      </c>
      <c r="M591">
        <f>IFERROR(ABS(E591-'02_대상물건입력'!$B$11)/'02_대상물건입력'!$B$11,"")</f>
        <v/>
      </c>
      <c r="N591">
        <f>IFERROR(ABS('01_설정'!$B$4-F591),"")</f>
        <v/>
      </c>
      <c r="O591">
        <f>IFERROR(ABS(YEAR(I591)-YEAR('02_대상물건입력'!$B$14)),"")</f>
        <v/>
      </c>
      <c r="P591">
        <f>IF(AND(E591&gt;0,F591&gt;0,G591&gt;0,IF('01_설정'!$B$10=1,J591=1,TRUE()),M591&lt;='01_설정'!$B$5,N591&lt;='01_설정'!$B$7,O591&lt;='01_설정'!$B$8),"Y","")</f>
        <v/>
      </c>
      <c r="Q591">
        <f>IF(P591&lt;&gt;"Y","",MAX(0,(1-M591/'01_설정'!$B$5))*'01_설정'!$B$14+MAX(0,(1-N591/'01_설정'!$B$7))*'01_설정'!$B$16+MAX(0,(1-O591/'01_설정'!$B$8))*'01_설정'!$B$17+K591*'01_설정'!$B$11+L591*'01_설정'!$B$12)</f>
        <v/>
      </c>
      <c r="R591">
        <f>IF(Q591="","",1+COUNTIFS($Q$31:$Q$1030,"&gt;"&amp;Q591)+COUNTIFS($Q$31:Q591,Q591)-1)</f>
        <v/>
      </c>
    </row>
    <row r="592" hidden="1" ht="16.5" customHeight="1">
      <c r="A592">
        <f>IF(COUNTA('05_KAIS'!$A580:$N580)=0,"",565)</f>
        <v/>
      </c>
      <c r="B592">
        <f>IF($A592="","",TRIM(INDEX('05_KAIS'!$B:$B,$A592)&amp;" "&amp;INDEX('05_KAIS'!$C:$C,$A592)))</f>
        <v/>
      </c>
      <c r="C592">
        <f>IF($A592="","",INDEX('05_KAIS'!$D:$D,$A592))</f>
        <v/>
      </c>
      <c r="D592">
        <f>IF($A592="","",INDEX('05_KAIS'!$H:$H,$A592))</f>
        <v/>
      </c>
      <c r="E592">
        <f>IF($A592="","",INDEX('05_KAIS'!$K:$K,$A592))</f>
        <v/>
      </c>
      <c r="F592" s="202">
        <f>IF($A592="","",INDEX('05_KAIS'!$I:$I,$A592))</f>
        <v/>
      </c>
      <c r="G592" s="118">
        <f>IF($A592="","",INDEX('05_KAIS'!$L:$L,$A592))</f>
        <v/>
      </c>
      <c r="H592" s="118">
        <f>IF($A592="","",IFERROR(INDEX('05_KAIS'!$M:$M,$A592),IF(AND(E592&gt;0,G592&gt;0),G592/E592,"")))</f>
        <v/>
      </c>
      <c r="I592" s="202">
        <f>IF($A592="","",INDEX('05_KAIS'!$N:$N,$A592))</f>
        <v/>
      </c>
      <c r="J592">
        <f>IF(B592="","",IF('02_대상물건입력'!$B$5="",1,IF(ISNUMBER(SEARCH('02_대상물건입력'!$B$5,B592)),1,0)))</f>
        <v/>
      </c>
      <c r="K592">
        <f>IF(B592="","",IF('02_대상물건입력'!$B$6="",1,IF(ISNUMBER(SEARCH('02_대상물건입력'!$B$6,B592)),1,0)))</f>
        <v/>
      </c>
      <c r="L592">
        <f>IF(D592="","",IF('02_대상물건입력'!$B$8="",0,IF(ISNUMBER(SEARCH('02_대상물건입력'!$B$8,D592)),1,0)))</f>
        <v/>
      </c>
      <c r="M592">
        <f>IFERROR(ABS(E592-'02_대상물건입력'!$B$11)/'02_대상물건입력'!$B$11,"")</f>
        <v/>
      </c>
      <c r="N592">
        <f>IFERROR(ABS('01_설정'!$B$4-F592),"")</f>
        <v/>
      </c>
      <c r="O592">
        <f>IFERROR(ABS(YEAR(I592)-YEAR('02_대상물건입력'!$B$14)),"")</f>
        <v/>
      </c>
      <c r="P592">
        <f>IF(AND(E592&gt;0,F592&gt;0,G592&gt;0,IF('01_설정'!$B$10=1,J592=1,TRUE()),M592&lt;='01_설정'!$B$5,N592&lt;='01_설정'!$B$7,O592&lt;='01_설정'!$B$8),"Y","")</f>
        <v/>
      </c>
      <c r="Q592">
        <f>IF(P592&lt;&gt;"Y","",MAX(0,(1-M592/'01_설정'!$B$5))*'01_설정'!$B$14+MAX(0,(1-N592/'01_설정'!$B$7))*'01_설정'!$B$16+MAX(0,(1-O592/'01_설정'!$B$8))*'01_설정'!$B$17+K592*'01_설정'!$B$11+L592*'01_설정'!$B$12)</f>
        <v/>
      </c>
      <c r="R592">
        <f>IF(Q592="","",1+COUNTIFS($Q$31:$Q$1030,"&gt;"&amp;Q592)+COUNTIFS($Q$31:Q592,Q592)-1)</f>
        <v/>
      </c>
    </row>
    <row r="593" hidden="1" ht="16.5" customHeight="1">
      <c r="A593">
        <f>IF(COUNTA('05_KAIS'!$A581:$N581)=0,"",566)</f>
        <v/>
      </c>
      <c r="B593">
        <f>IF($A593="","",TRIM(INDEX('05_KAIS'!$B:$B,$A593)&amp;" "&amp;INDEX('05_KAIS'!$C:$C,$A593)))</f>
        <v/>
      </c>
      <c r="C593">
        <f>IF($A593="","",INDEX('05_KAIS'!$D:$D,$A593))</f>
        <v/>
      </c>
      <c r="D593">
        <f>IF($A593="","",INDEX('05_KAIS'!$H:$H,$A593))</f>
        <v/>
      </c>
      <c r="E593">
        <f>IF($A593="","",INDEX('05_KAIS'!$K:$K,$A593))</f>
        <v/>
      </c>
      <c r="F593" s="202">
        <f>IF($A593="","",INDEX('05_KAIS'!$I:$I,$A593))</f>
        <v/>
      </c>
      <c r="G593" s="118">
        <f>IF($A593="","",INDEX('05_KAIS'!$L:$L,$A593))</f>
        <v/>
      </c>
      <c r="H593" s="118">
        <f>IF($A593="","",IFERROR(INDEX('05_KAIS'!$M:$M,$A593),IF(AND(E593&gt;0,G593&gt;0),G593/E593,"")))</f>
        <v/>
      </c>
      <c r="I593" s="202">
        <f>IF($A593="","",INDEX('05_KAIS'!$N:$N,$A593))</f>
        <v/>
      </c>
      <c r="J593">
        <f>IF(B593="","",IF('02_대상물건입력'!$B$5="",1,IF(ISNUMBER(SEARCH('02_대상물건입력'!$B$5,B593)),1,0)))</f>
        <v/>
      </c>
      <c r="K593">
        <f>IF(B593="","",IF('02_대상물건입력'!$B$6="",1,IF(ISNUMBER(SEARCH('02_대상물건입력'!$B$6,B593)),1,0)))</f>
        <v/>
      </c>
      <c r="L593">
        <f>IF(D593="","",IF('02_대상물건입력'!$B$8="",0,IF(ISNUMBER(SEARCH('02_대상물건입력'!$B$8,D593)),1,0)))</f>
        <v/>
      </c>
      <c r="M593">
        <f>IFERROR(ABS(E593-'02_대상물건입력'!$B$11)/'02_대상물건입력'!$B$11,"")</f>
        <v/>
      </c>
      <c r="N593">
        <f>IFERROR(ABS('01_설정'!$B$4-F593),"")</f>
        <v/>
      </c>
      <c r="O593">
        <f>IFERROR(ABS(YEAR(I593)-YEAR('02_대상물건입력'!$B$14)),"")</f>
        <v/>
      </c>
      <c r="P593">
        <f>IF(AND(E593&gt;0,F593&gt;0,G593&gt;0,IF('01_설정'!$B$10=1,J593=1,TRUE()),M593&lt;='01_설정'!$B$5,N593&lt;='01_설정'!$B$7,O593&lt;='01_설정'!$B$8),"Y","")</f>
        <v/>
      </c>
      <c r="Q593">
        <f>IF(P593&lt;&gt;"Y","",MAX(0,(1-M593/'01_설정'!$B$5))*'01_설정'!$B$14+MAX(0,(1-N593/'01_설정'!$B$7))*'01_설정'!$B$16+MAX(0,(1-O593/'01_설정'!$B$8))*'01_설정'!$B$17+K593*'01_설정'!$B$11+L593*'01_설정'!$B$12)</f>
        <v/>
      </c>
      <c r="R593">
        <f>IF(Q593="","",1+COUNTIFS($Q$31:$Q$1030,"&gt;"&amp;Q593)+COUNTIFS($Q$31:Q593,Q593)-1)</f>
        <v/>
      </c>
    </row>
    <row r="594" hidden="1" ht="16.5" customHeight="1">
      <c r="A594">
        <f>IF(COUNTA('05_KAIS'!$A582:$N582)=0,"",567)</f>
        <v/>
      </c>
      <c r="B594">
        <f>IF($A594="","",TRIM(INDEX('05_KAIS'!$B:$B,$A594)&amp;" "&amp;INDEX('05_KAIS'!$C:$C,$A594)))</f>
        <v/>
      </c>
      <c r="C594">
        <f>IF($A594="","",INDEX('05_KAIS'!$D:$D,$A594))</f>
        <v/>
      </c>
      <c r="D594">
        <f>IF($A594="","",INDEX('05_KAIS'!$H:$H,$A594))</f>
        <v/>
      </c>
      <c r="E594">
        <f>IF($A594="","",INDEX('05_KAIS'!$K:$K,$A594))</f>
        <v/>
      </c>
      <c r="F594" s="202">
        <f>IF($A594="","",INDEX('05_KAIS'!$I:$I,$A594))</f>
        <v/>
      </c>
      <c r="G594" s="118">
        <f>IF($A594="","",INDEX('05_KAIS'!$L:$L,$A594))</f>
        <v/>
      </c>
      <c r="H594" s="118">
        <f>IF($A594="","",IFERROR(INDEX('05_KAIS'!$M:$M,$A594),IF(AND(E594&gt;0,G594&gt;0),G594/E594,"")))</f>
        <v/>
      </c>
      <c r="I594" s="202">
        <f>IF($A594="","",INDEX('05_KAIS'!$N:$N,$A594))</f>
        <v/>
      </c>
      <c r="J594">
        <f>IF(B594="","",IF('02_대상물건입력'!$B$5="",1,IF(ISNUMBER(SEARCH('02_대상물건입력'!$B$5,B594)),1,0)))</f>
        <v/>
      </c>
      <c r="K594">
        <f>IF(B594="","",IF('02_대상물건입력'!$B$6="",1,IF(ISNUMBER(SEARCH('02_대상물건입력'!$B$6,B594)),1,0)))</f>
        <v/>
      </c>
      <c r="L594">
        <f>IF(D594="","",IF('02_대상물건입력'!$B$8="",0,IF(ISNUMBER(SEARCH('02_대상물건입력'!$B$8,D594)),1,0)))</f>
        <v/>
      </c>
      <c r="M594">
        <f>IFERROR(ABS(E594-'02_대상물건입력'!$B$11)/'02_대상물건입력'!$B$11,"")</f>
        <v/>
      </c>
      <c r="N594">
        <f>IFERROR(ABS('01_설정'!$B$4-F594),"")</f>
        <v/>
      </c>
      <c r="O594">
        <f>IFERROR(ABS(YEAR(I594)-YEAR('02_대상물건입력'!$B$14)),"")</f>
        <v/>
      </c>
      <c r="P594">
        <f>IF(AND(E594&gt;0,F594&gt;0,G594&gt;0,IF('01_설정'!$B$10=1,J594=1,TRUE()),M594&lt;='01_설정'!$B$5,N594&lt;='01_설정'!$B$7,O594&lt;='01_설정'!$B$8),"Y","")</f>
        <v/>
      </c>
      <c r="Q594">
        <f>IF(P594&lt;&gt;"Y","",MAX(0,(1-M594/'01_설정'!$B$5))*'01_설정'!$B$14+MAX(0,(1-N594/'01_설정'!$B$7))*'01_설정'!$B$16+MAX(0,(1-O594/'01_설정'!$B$8))*'01_설정'!$B$17+K594*'01_설정'!$B$11+L594*'01_설정'!$B$12)</f>
        <v/>
      </c>
      <c r="R594">
        <f>IF(Q594="","",1+COUNTIFS($Q$31:$Q$1030,"&gt;"&amp;Q594)+COUNTIFS($Q$31:Q594,Q594)-1)</f>
        <v/>
      </c>
    </row>
    <row r="595" hidden="1" ht="16.5" customHeight="1">
      <c r="A595">
        <f>IF(COUNTA('05_KAIS'!$A583:$N583)=0,"",568)</f>
        <v/>
      </c>
      <c r="B595">
        <f>IF($A595="","",TRIM(INDEX('05_KAIS'!$B:$B,$A595)&amp;" "&amp;INDEX('05_KAIS'!$C:$C,$A595)))</f>
        <v/>
      </c>
      <c r="C595">
        <f>IF($A595="","",INDEX('05_KAIS'!$D:$D,$A595))</f>
        <v/>
      </c>
      <c r="D595">
        <f>IF($A595="","",INDEX('05_KAIS'!$H:$H,$A595))</f>
        <v/>
      </c>
      <c r="E595">
        <f>IF($A595="","",INDEX('05_KAIS'!$K:$K,$A595))</f>
        <v/>
      </c>
      <c r="F595" s="202">
        <f>IF($A595="","",INDEX('05_KAIS'!$I:$I,$A595))</f>
        <v/>
      </c>
      <c r="G595" s="118">
        <f>IF($A595="","",INDEX('05_KAIS'!$L:$L,$A595))</f>
        <v/>
      </c>
      <c r="H595" s="118">
        <f>IF($A595="","",IFERROR(INDEX('05_KAIS'!$M:$M,$A595),IF(AND(E595&gt;0,G595&gt;0),G595/E595,"")))</f>
        <v/>
      </c>
      <c r="I595" s="202">
        <f>IF($A595="","",INDEX('05_KAIS'!$N:$N,$A595))</f>
        <v/>
      </c>
      <c r="J595">
        <f>IF(B595="","",IF('02_대상물건입력'!$B$5="",1,IF(ISNUMBER(SEARCH('02_대상물건입력'!$B$5,B595)),1,0)))</f>
        <v/>
      </c>
      <c r="K595">
        <f>IF(B595="","",IF('02_대상물건입력'!$B$6="",1,IF(ISNUMBER(SEARCH('02_대상물건입력'!$B$6,B595)),1,0)))</f>
        <v/>
      </c>
      <c r="L595">
        <f>IF(D595="","",IF('02_대상물건입력'!$B$8="",0,IF(ISNUMBER(SEARCH('02_대상물건입력'!$B$8,D595)),1,0)))</f>
        <v/>
      </c>
      <c r="M595">
        <f>IFERROR(ABS(E595-'02_대상물건입력'!$B$11)/'02_대상물건입력'!$B$11,"")</f>
        <v/>
      </c>
      <c r="N595">
        <f>IFERROR(ABS('01_설정'!$B$4-F595),"")</f>
        <v/>
      </c>
      <c r="O595">
        <f>IFERROR(ABS(YEAR(I595)-YEAR('02_대상물건입력'!$B$14)),"")</f>
        <v/>
      </c>
      <c r="P595">
        <f>IF(AND(E595&gt;0,F595&gt;0,G595&gt;0,IF('01_설정'!$B$10=1,J595=1,TRUE()),M595&lt;='01_설정'!$B$5,N595&lt;='01_설정'!$B$7,O595&lt;='01_설정'!$B$8),"Y","")</f>
        <v/>
      </c>
      <c r="Q595">
        <f>IF(P595&lt;&gt;"Y","",MAX(0,(1-M595/'01_설정'!$B$5))*'01_설정'!$B$14+MAX(0,(1-N595/'01_설정'!$B$7))*'01_설정'!$B$16+MAX(0,(1-O595/'01_설정'!$B$8))*'01_설정'!$B$17+K595*'01_설정'!$B$11+L595*'01_설정'!$B$12)</f>
        <v/>
      </c>
      <c r="R595">
        <f>IF(Q595="","",1+COUNTIFS($Q$31:$Q$1030,"&gt;"&amp;Q595)+COUNTIFS($Q$31:Q595,Q595)-1)</f>
        <v/>
      </c>
    </row>
    <row r="596" hidden="1" ht="16.5" customHeight="1">
      <c r="A596">
        <f>IF(COUNTA('05_KAIS'!$A584:$N584)=0,"",569)</f>
        <v/>
      </c>
      <c r="B596">
        <f>IF($A596="","",TRIM(INDEX('05_KAIS'!$B:$B,$A596)&amp;" "&amp;INDEX('05_KAIS'!$C:$C,$A596)))</f>
        <v/>
      </c>
      <c r="C596">
        <f>IF($A596="","",INDEX('05_KAIS'!$D:$D,$A596))</f>
        <v/>
      </c>
      <c r="D596">
        <f>IF($A596="","",INDEX('05_KAIS'!$H:$H,$A596))</f>
        <v/>
      </c>
      <c r="E596">
        <f>IF($A596="","",INDEX('05_KAIS'!$K:$K,$A596))</f>
        <v/>
      </c>
      <c r="F596" s="202">
        <f>IF($A596="","",INDEX('05_KAIS'!$I:$I,$A596))</f>
        <v/>
      </c>
      <c r="G596" s="118">
        <f>IF($A596="","",INDEX('05_KAIS'!$L:$L,$A596))</f>
        <v/>
      </c>
      <c r="H596" s="118">
        <f>IF($A596="","",IFERROR(INDEX('05_KAIS'!$M:$M,$A596),IF(AND(E596&gt;0,G596&gt;0),G596/E596,"")))</f>
        <v/>
      </c>
      <c r="I596" s="202">
        <f>IF($A596="","",INDEX('05_KAIS'!$N:$N,$A596))</f>
        <v/>
      </c>
      <c r="J596">
        <f>IF(B596="","",IF('02_대상물건입력'!$B$5="",1,IF(ISNUMBER(SEARCH('02_대상물건입력'!$B$5,B596)),1,0)))</f>
        <v/>
      </c>
      <c r="K596">
        <f>IF(B596="","",IF('02_대상물건입력'!$B$6="",1,IF(ISNUMBER(SEARCH('02_대상물건입력'!$B$6,B596)),1,0)))</f>
        <v/>
      </c>
      <c r="L596">
        <f>IF(D596="","",IF('02_대상물건입력'!$B$8="",0,IF(ISNUMBER(SEARCH('02_대상물건입력'!$B$8,D596)),1,0)))</f>
        <v/>
      </c>
      <c r="M596">
        <f>IFERROR(ABS(E596-'02_대상물건입력'!$B$11)/'02_대상물건입력'!$B$11,"")</f>
        <v/>
      </c>
      <c r="N596">
        <f>IFERROR(ABS('01_설정'!$B$4-F596),"")</f>
        <v/>
      </c>
      <c r="O596">
        <f>IFERROR(ABS(YEAR(I596)-YEAR('02_대상물건입력'!$B$14)),"")</f>
        <v/>
      </c>
      <c r="P596">
        <f>IF(AND(E596&gt;0,F596&gt;0,G596&gt;0,IF('01_설정'!$B$10=1,J596=1,TRUE()),M596&lt;='01_설정'!$B$5,N596&lt;='01_설정'!$B$7,O596&lt;='01_설정'!$B$8),"Y","")</f>
        <v/>
      </c>
      <c r="Q596">
        <f>IF(P596&lt;&gt;"Y","",MAX(0,(1-M596/'01_설정'!$B$5))*'01_설정'!$B$14+MAX(0,(1-N596/'01_설정'!$B$7))*'01_설정'!$B$16+MAX(0,(1-O596/'01_설정'!$B$8))*'01_설정'!$B$17+K596*'01_설정'!$B$11+L596*'01_설정'!$B$12)</f>
        <v/>
      </c>
      <c r="R596">
        <f>IF(Q596="","",1+COUNTIFS($Q$31:$Q$1030,"&gt;"&amp;Q596)+COUNTIFS($Q$31:Q596,Q596)-1)</f>
        <v/>
      </c>
    </row>
    <row r="597" hidden="1" ht="16.5" customHeight="1">
      <c r="A597">
        <f>IF(COUNTA('05_KAIS'!$A585:$N585)=0,"",570)</f>
        <v/>
      </c>
      <c r="B597">
        <f>IF($A597="","",TRIM(INDEX('05_KAIS'!$B:$B,$A597)&amp;" "&amp;INDEX('05_KAIS'!$C:$C,$A597)))</f>
        <v/>
      </c>
      <c r="C597">
        <f>IF($A597="","",INDEX('05_KAIS'!$D:$D,$A597))</f>
        <v/>
      </c>
      <c r="D597">
        <f>IF($A597="","",INDEX('05_KAIS'!$H:$H,$A597))</f>
        <v/>
      </c>
      <c r="E597">
        <f>IF($A597="","",INDEX('05_KAIS'!$K:$K,$A597))</f>
        <v/>
      </c>
      <c r="F597" s="202">
        <f>IF($A597="","",INDEX('05_KAIS'!$I:$I,$A597))</f>
        <v/>
      </c>
      <c r="G597" s="118">
        <f>IF($A597="","",INDEX('05_KAIS'!$L:$L,$A597))</f>
        <v/>
      </c>
      <c r="H597" s="118">
        <f>IF($A597="","",IFERROR(INDEX('05_KAIS'!$M:$M,$A597),IF(AND(E597&gt;0,G597&gt;0),G597/E597,"")))</f>
        <v/>
      </c>
      <c r="I597" s="202">
        <f>IF($A597="","",INDEX('05_KAIS'!$N:$N,$A597))</f>
        <v/>
      </c>
      <c r="J597">
        <f>IF(B597="","",IF('02_대상물건입력'!$B$5="",1,IF(ISNUMBER(SEARCH('02_대상물건입력'!$B$5,B597)),1,0)))</f>
        <v/>
      </c>
      <c r="K597">
        <f>IF(B597="","",IF('02_대상물건입력'!$B$6="",1,IF(ISNUMBER(SEARCH('02_대상물건입력'!$B$6,B597)),1,0)))</f>
        <v/>
      </c>
      <c r="L597">
        <f>IF(D597="","",IF('02_대상물건입력'!$B$8="",0,IF(ISNUMBER(SEARCH('02_대상물건입력'!$B$8,D597)),1,0)))</f>
        <v/>
      </c>
      <c r="M597">
        <f>IFERROR(ABS(E597-'02_대상물건입력'!$B$11)/'02_대상물건입력'!$B$11,"")</f>
        <v/>
      </c>
      <c r="N597">
        <f>IFERROR(ABS('01_설정'!$B$4-F597),"")</f>
        <v/>
      </c>
      <c r="O597">
        <f>IFERROR(ABS(YEAR(I597)-YEAR('02_대상물건입력'!$B$14)),"")</f>
        <v/>
      </c>
      <c r="P597">
        <f>IF(AND(E597&gt;0,F597&gt;0,G597&gt;0,IF('01_설정'!$B$10=1,J597=1,TRUE()),M597&lt;='01_설정'!$B$5,N597&lt;='01_설정'!$B$7,O597&lt;='01_설정'!$B$8),"Y","")</f>
        <v/>
      </c>
      <c r="Q597">
        <f>IF(P597&lt;&gt;"Y","",MAX(0,(1-M597/'01_설정'!$B$5))*'01_설정'!$B$14+MAX(0,(1-N597/'01_설정'!$B$7))*'01_설정'!$B$16+MAX(0,(1-O597/'01_설정'!$B$8))*'01_설정'!$B$17+K597*'01_설정'!$B$11+L597*'01_설정'!$B$12)</f>
        <v/>
      </c>
      <c r="R597">
        <f>IF(Q597="","",1+COUNTIFS($Q$31:$Q$1030,"&gt;"&amp;Q597)+COUNTIFS($Q$31:Q597,Q597)-1)</f>
        <v/>
      </c>
    </row>
    <row r="598" hidden="1" ht="16.5" customHeight="1">
      <c r="A598">
        <f>IF(COUNTA('05_KAIS'!$A586:$N586)=0,"",571)</f>
        <v/>
      </c>
      <c r="B598">
        <f>IF($A598="","",TRIM(INDEX('05_KAIS'!$B:$B,$A598)&amp;" "&amp;INDEX('05_KAIS'!$C:$C,$A598)))</f>
        <v/>
      </c>
      <c r="C598">
        <f>IF($A598="","",INDEX('05_KAIS'!$D:$D,$A598))</f>
        <v/>
      </c>
      <c r="D598">
        <f>IF($A598="","",INDEX('05_KAIS'!$H:$H,$A598))</f>
        <v/>
      </c>
      <c r="E598">
        <f>IF($A598="","",INDEX('05_KAIS'!$K:$K,$A598))</f>
        <v/>
      </c>
      <c r="F598" s="202">
        <f>IF($A598="","",INDEX('05_KAIS'!$I:$I,$A598))</f>
        <v/>
      </c>
      <c r="G598" s="118">
        <f>IF($A598="","",INDEX('05_KAIS'!$L:$L,$A598))</f>
        <v/>
      </c>
      <c r="H598" s="118">
        <f>IF($A598="","",IFERROR(INDEX('05_KAIS'!$M:$M,$A598),IF(AND(E598&gt;0,G598&gt;0),G598/E598,"")))</f>
        <v/>
      </c>
      <c r="I598" s="202">
        <f>IF($A598="","",INDEX('05_KAIS'!$N:$N,$A598))</f>
        <v/>
      </c>
      <c r="J598">
        <f>IF(B598="","",IF('02_대상물건입력'!$B$5="",1,IF(ISNUMBER(SEARCH('02_대상물건입력'!$B$5,B598)),1,0)))</f>
        <v/>
      </c>
      <c r="K598">
        <f>IF(B598="","",IF('02_대상물건입력'!$B$6="",1,IF(ISNUMBER(SEARCH('02_대상물건입력'!$B$6,B598)),1,0)))</f>
        <v/>
      </c>
      <c r="L598">
        <f>IF(D598="","",IF('02_대상물건입력'!$B$8="",0,IF(ISNUMBER(SEARCH('02_대상물건입력'!$B$8,D598)),1,0)))</f>
        <v/>
      </c>
      <c r="M598">
        <f>IFERROR(ABS(E598-'02_대상물건입력'!$B$11)/'02_대상물건입력'!$B$11,"")</f>
        <v/>
      </c>
      <c r="N598">
        <f>IFERROR(ABS('01_설정'!$B$4-F598),"")</f>
        <v/>
      </c>
      <c r="O598">
        <f>IFERROR(ABS(YEAR(I598)-YEAR('02_대상물건입력'!$B$14)),"")</f>
        <v/>
      </c>
      <c r="P598">
        <f>IF(AND(E598&gt;0,F598&gt;0,G598&gt;0,IF('01_설정'!$B$10=1,J598=1,TRUE()),M598&lt;='01_설정'!$B$5,N598&lt;='01_설정'!$B$7,O598&lt;='01_설정'!$B$8),"Y","")</f>
        <v/>
      </c>
      <c r="Q598">
        <f>IF(P598&lt;&gt;"Y","",MAX(0,(1-M598/'01_설정'!$B$5))*'01_설정'!$B$14+MAX(0,(1-N598/'01_설정'!$B$7))*'01_설정'!$B$16+MAX(0,(1-O598/'01_설정'!$B$8))*'01_설정'!$B$17+K598*'01_설정'!$B$11+L598*'01_설정'!$B$12)</f>
        <v/>
      </c>
      <c r="R598">
        <f>IF(Q598="","",1+COUNTIFS($Q$31:$Q$1030,"&gt;"&amp;Q598)+COUNTIFS($Q$31:Q598,Q598)-1)</f>
        <v/>
      </c>
    </row>
    <row r="599" hidden="1" ht="16.5" customHeight="1">
      <c r="A599">
        <f>IF(COUNTA('05_KAIS'!$A587:$N587)=0,"",572)</f>
        <v/>
      </c>
      <c r="B599">
        <f>IF($A599="","",TRIM(INDEX('05_KAIS'!$B:$B,$A599)&amp;" "&amp;INDEX('05_KAIS'!$C:$C,$A599)))</f>
        <v/>
      </c>
      <c r="C599">
        <f>IF($A599="","",INDEX('05_KAIS'!$D:$D,$A599))</f>
        <v/>
      </c>
      <c r="D599">
        <f>IF($A599="","",INDEX('05_KAIS'!$H:$H,$A599))</f>
        <v/>
      </c>
      <c r="E599">
        <f>IF($A599="","",INDEX('05_KAIS'!$K:$K,$A599))</f>
        <v/>
      </c>
      <c r="F599" s="202">
        <f>IF($A599="","",INDEX('05_KAIS'!$I:$I,$A599))</f>
        <v/>
      </c>
      <c r="G599" s="118">
        <f>IF($A599="","",INDEX('05_KAIS'!$L:$L,$A599))</f>
        <v/>
      </c>
      <c r="H599" s="118">
        <f>IF($A599="","",IFERROR(INDEX('05_KAIS'!$M:$M,$A599),IF(AND(E599&gt;0,G599&gt;0),G599/E599,"")))</f>
        <v/>
      </c>
      <c r="I599" s="202">
        <f>IF($A599="","",INDEX('05_KAIS'!$N:$N,$A599))</f>
        <v/>
      </c>
      <c r="J599">
        <f>IF(B599="","",IF('02_대상물건입력'!$B$5="",1,IF(ISNUMBER(SEARCH('02_대상물건입력'!$B$5,B599)),1,0)))</f>
        <v/>
      </c>
      <c r="K599">
        <f>IF(B599="","",IF('02_대상물건입력'!$B$6="",1,IF(ISNUMBER(SEARCH('02_대상물건입력'!$B$6,B599)),1,0)))</f>
        <v/>
      </c>
      <c r="L599">
        <f>IF(D599="","",IF('02_대상물건입력'!$B$8="",0,IF(ISNUMBER(SEARCH('02_대상물건입력'!$B$8,D599)),1,0)))</f>
        <v/>
      </c>
      <c r="M599">
        <f>IFERROR(ABS(E599-'02_대상물건입력'!$B$11)/'02_대상물건입력'!$B$11,"")</f>
        <v/>
      </c>
      <c r="N599">
        <f>IFERROR(ABS('01_설정'!$B$4-F599),"")</f>
        <v/>
      </c>
      <c r="O599">
        <f>IFERROR(ABS(YEAR(I599)-YEAR('02_대상물건입력'!$B$14)),"")</f>
        <v/>
      </c>
      <c r="P599">
        <f>IF(AND(E599&gt;0,F599&gt;0,G599&gt;0,IF('01_설정'!$B$10=1,J599=1,TRUE()),M599&lt;='01_설정'!$B$5,N599&lt;='01_설정'!$B$7,O599&lt;='01_설정'!$B$8),"Y","")</f>
        <v/>
      </c>
      <c r="Q599">
        <f>IF(P599&lt;&gt;"Y","",MAX(0,(1-M599/'01_설정'!$B$5))*'01_설정'!$B$14+MAX(0,(1-N599/'01_설정'!$B$7))*'01_설정'!$B$16+MAX(0,(1-O599/'01_설정'!$B$8))*'01_설정'!$B$17+K599*'01_설정'!$B$11+L599*'01_설정'!$B$12)</f>
        <v/>
      </c>
      <c r="R599">
        <f>IF(Q599="","",1+COUNTIFS($Q$31:$Q$1030,"&gt;"&amp;Q599)+COUNTIFS($Q$31:Q599,Q599)-1)</f>
        <v/>
      </c>
    </row>
    <row r="600" hidden="1" ht="16.5" customHeight="1">
      <c r="A600">
        <f>IF(COUNTA('05_KAIS'!$A588:$N588)=0,"",573)</f>
        <v/>
      </c>
      <c r="B600">
        <f>IF($A600="","",TRIM(INDEX('05_KAIS'!$B:$B,$A600)&amp;" "&amp;INDEX('05_KAIS'!$C:$C,$A600)))</f>
        <v/>
      </c>
      <c r="C600">
        <f>IF($A600="","",INDEX('05_KAIS'!$D:$D,$A600))</f>
        <v/>
      </c>
      <c r="D600">
        <f>IF($A600="","",INDEX('05_KAIS'!$H:$H,$A600))</f>
        <v/>
      </c>
      <c r="E600">
        <f>IF($A600="","",INDEX('05_KAIS'!$K:$K,$A600))</f>
        <v/>
      </c>
      <c r="F600" s="202">
        <f>IF($A600="","",INDEX('05_KAIS'!$I:$I,$A600))</f>
        <v/>
      </c>
      <c r="G600" s="118">
        <f>IF($A600="","",INDEX('05_KAIS'!$L:$L,$A600))</f>
        <v/>
      </c>
      <c r="H600" s="118">
        <f>IF($A600="","",IFERROR(INDEX('05_KAIS'!$M:$M,$A600),IF(AND(E600&gt;0,G600&gt;0),G600/E600,"")))</f>
        <v/>
      </c>
      <c r="I600" s="202">
        <f>IF($A600="","",INDEX('05_KAIS'!$N:$N,$A600))</f>
        <v/>
      </c>
      <c r="J600">
        <f>IF(B600="","",IF('02_대상물건입력'!$B$5="",1,IF(ISNUMBER(SEARCH('02_대상물건입력'!$B$5,B600)),1,0)))</f>
        <v/>
      </c>
      <c r="K600">
        <f>IF(B600="","",IF('02_대상물건입력'!$B$6="",1,IF(ISNUMBER(SEARCH('02_대상물건입력'!$B$6,B600)),1,0)))</f>
        <v/>
      </c>
      <c r="L600">
        <f>IF(D600="","",IF('02_대상물건입력'!$B$8="",0,IF(ISNUMBER(SEARCH('02_대상물건입력'!$B$8,D600)),1,0)))</f>
        <v/>
      </c>
      <c r="M600">
        <f>IFERROR(ABS(E600-'02_대상물건입력'!$B$11)/'02_대상물건입력'!$B$11,"")</f>
        <v/>
      </c>
      <c r="N600">
        <f>IFERROR(ABS('01_설정'!$B$4-F600),"")</f>
        <v/>
      </c>
      <c r="O600">
        <f>IFERROR(ABS(YEAR(I600)-YEAR('02_대상물건입력'!$B$14)),"")</f>
        <v/>
      </c>
      <c r="P600">
        <f>IF(AND(E600&gt;0,F600&gt;0,G600&gt;0,IF('01_설정'!$B$10=1,J600=1,TRUE()),M600&lt;='01_설정'!$B$5,N600&lt;='01_설정'!$B$7,O600&lt;='01_설정'!$B$8),"Y","")</f>
        <v/>
      </c>
      <c r="Q600">
        <f>IF(P600&lt;&gt;"Y","",MAX(0,(1-M600/'01_설정'!$B$5))*'01_설정'!$B$14+MAX(0,(1-N600/'01_설정'!$B$7))*'01_설정'!$B$16+MAX(0,(1-O600/'01_설정'!$B$8))*'01_설정'!$B$17+K600*'01_설정'!$B$11+L600*'01_설정'!$B$12)</f>
        <v/>
      </c>
      <c r="R600">
        <f>IF(Q600="","",1+COUNTIFS($Q$31:$Q$1030,"&gt;"&amp;Q600)+COUNTIFS($Q$31:Q600,Q600)-1)</f>
        <v/>
      </c>
    </row>
    <row r="601" hidden="1" ht="16.5" customHeight="1">
      <c r="A601">
        <f>IF(COUNTA('05_KAIS'!$A589:$N589)=0,"",574)</f>
        <v/>
      </c>
      <c r="B601">
        <f>IF($A601="","",TRIM(INDEX('05_KAIS'!$B:$B,$A601)&amp;" "&amp;INDEX('05_KAIS'!$C:$C,$A601)))</f>
        <v/>
      </c>
      <c r="C601">
        <f>IF($A601="","",INDEX('05_KAIS'!$D:$D,$A601))</f>
        <v/>
      </c>
      <c r="D601">
        <f>IF($A601="","",INDEX('05_KAIS'!$H:$H,$A601))</f>
        <v/>
      </c>
      <c r="E601">
        <f>IF($A601="","",INDEX('05_KAIS'!$K:$K,$A601))</f>
        <v/>
      </c>
      <c r="F601" s="202">
        <f>IF($A601="","",INDEX('05_KAIS'!$I:$I,$A601))</f>
        <v/>
      </c>
      <c r="G601" s="118">
        <f>IF($A601="","",INDEX('05_KAIS'!$L:$L,$A601))</f>
        <v/>
      </c>
      <c r="H601" s="118">
        <f>IF($A601="","",IFERROR(INDEX('05_KAIS'!$M:$M,$A601),IF(AND(E601&gt;0,G601&gt;0),G601/E601,"")))</f>
        <v/>
      </c>
      <c r="I601" s="202">
        <f>IF($A601="","",INDEX('05_KAIS'!$N:$N,$A601))</f>
        <v/>
      </c>
      <c r="J601">
        <f>IF(B601="","",IF('02_대상물건입력'!$B$5="",1,IF(ISNUMBER(SEARCH('02_대상물건입력'!$B$5,B601)),1,0)))</f>
        <v/>
      </c>
      <c r="K601">
        <f>IF(B601="","",IF('02_대상물건입력'!$B$6="",1,IF(ISNUMBER(SEARCH('02_대상물건입력'!$B$6,B601)),1,0)))</f>
        <v/>
      </c>
      <c r="L601">
        <f>IF(D601="","",IF('02_대상물건입력'!$B$8="",0,IF(ISNUMBER(SEARCH('02_대상물건입력'!$B$8,D601)),1,0)))</f>
        <v/>
      </c>
      <c r="M601">
        <f>IFERROR(ABS(E601-'02_대상물건입력'!$B$11)/'02_대상물건입력'!$B$11,"")</f>
        <v/>
      </c>
      <c r="N601">
        <f>IFERROR(ABS('01_설정'!$B$4-F601),"")</f>
        <v/>
      </c>
      <c r="O601">
        <f>IFERROR(ABS(YEAR(I601)-YEAR('02_대상물건입력'!$B$14)),"")</f>
        <v/>
      </c>
      <c r="P601">
        <f>IF(AND(E601&gt;0,F601&gt;0,G601&gt;0,IF('01_설정'!$B$10=1,J601=1,TRUE()),M601&lt;='01_설정'!$B$5,N601&lt;='01_설정'!$B$7,O601&lt;='01_설정'!$B$8),"Y","")</f>
        <v/>
      </c>
      <c r="Q601">
        <f>IF(P601&lt;&gt;"Y","",MAX(0,(1-M601/'01_설정'!$B$5))*'01_설정'!$B$14+MAX(0,(1-N601/'01_설정'!$B$7))*'01_설정'!$B$16+MAX(0,(1-O601/'01_설정'!$B$8))*'01_설정'!$B$17+K601*'01_설정'!$B$11+L601*'01_설정'!$B$12)</f>
        <v/>
      </c>
      <c r="R601">
        <f>IF(Q601="","",1+COUNTIFS($Q$31:$Q$1030,"&gt;"&amp;Q601)+COUNTIFS($Q$31:Q601,Q601)-1)</f>
        <v/>
      </c>
    </row>
    <row r="602" hidden="1" ht="16.5" customHeight="1">
      <c r="A602">
        <f>IF(COUNTA('05_KAIS'!$A590:$N590)=0,"",575)</f>
        <v/>
      </c>
      <c r="B602">
        <f>IF($A602="","",TRIM(INDEX('05_KAIS'!$B:$B,$A602)&amp;" "&amp;INDEX('05_KAIS'!$C:$C,$A602)))</f>
        <v/>
      </c>
      <c r="C602">
        <f>IF($A602="","",INDEX('05_KAIS'!$D:$D,$A602))</f>
        <v/>
      </c>
      <c r="D602">
        <f>IF($A602="","",INDEX('05_KAIS'!$H:$H,$A602))</f>
        <v/>
      </c>
      <c r="E602">
        <f>IF($A602="","",INDEX('05_KAIS'!$K:$K,$A602))</f>
        <v/>
      </c>
      <c r="F602" s="202">
        <f>IF($A602="","",INDEX('05_KAIS'!$I:$I,$A602))</f>
        <v/>
      </c>
      <c r="G602" s="118">
        <f>IF($A602="","",INDEX('05_KAIS'!$L:$L,$A602))</f>
        <v/>
      </c>
      <c r="H602" s="118">
        <f>IF($A602="","",IFERROR(INDEX('05_KAIS'!$M:$M,$A602),IF(AND(E602&gt;0,G602&gt;0),G602/E602,"")))</f>
        <v/>
      </c>
      <c r="I602" s="202">
        <f>IF($A602="","",INDEX('05_KAIS'!$N:$N,$A602))</f>
        <v/>
      </c>
      <c r="J602">
        <f>IF(B602="","",IF('02_대상물건입력'!$B$5="",1,IF(ISNUMBER(SEARCH('02_대상물건입력'!$B$5,B602)),1,0)))</f>
        <v/>
      </c>
      <c r="K602">
        <f>IF(B602="","",IF('02_대상물건입력'!$B$6="",1,IF(ISNUMBER(SEARCH('02_대상물건입력'!$B$6,B602)),1,0)))</f>
        <v/>
      </c>
      <c r="L602">
        <f>IF(D602="","",IF('02_대상물건입력'!$B$8="",0,IF(ISNUMBER(SEARCH('02_대상물건입력'!$B$8,D602)),1,0)))</f>
        <v/>
      </c>
      <c r="M602">
        <f>IFERROR(ABS(E602-'02_대상물건입력'!$B$11)/'02_대상물건입력'!$B$11,"")</f>
        <v/>
      </c>
      <c r="N602">
        <f>IFERROR(ABS('01_설정'!$B$4-F602),"")</f>
        <v/>
      </c>
      <c r="O602">
        <f>IFERROR(ABS(YEAR(I602)-YEAR('02_대상물건입력'!$B$14)),"")</f>
        <v/>
      </c>
      <c r="P602">
        <f>IF(AND(E602&gt;0,F602&gt;0,G602&gt;0,IF('01_설정'!$B$10=1,J602=1,TRUE()),M602&lt;='01_설정'!$B$5,N602&lt;='01_설정'!$B$7,O602&lt;='01_설정'!$B$8),"Y","")</f>
        <v/>
      </c>
      <c r="Q602">
        <f>IF(P602&lt;&gt;"Y","",MAX(0,(1-M602/'01_설정'!$B$5))*'01_설정'!$B$14+MAX(0,(1-N602/'01_설정'!$B$7))*'01_설정'!$B$16+MAX(0,(1-O602/'01_설정'!$B$8))*'01_설정'!$B$17+K602*'01_설정'!$B$11+L602*'01_설정'!$B$12)</f>
        <v/>
      </c>
      <c r="R602">
        <f>IF(Q602="","",1+COUNTIFS($Q$31:$Q$1030,"&gt;"&amp;Q602)+COUNTIFS($Q$31:Q602,Q602)-1)</f>
        <v/>
      </c>
    </row>
    <row r="603" hidden="1" ht="16.5" customHeight="1">
      <c r="A603">
        <f>IF(COUNTA('05_KAIS'!$A591:$N591)=0,"",576)</f>
        <v/>
      </c>
      <c r="B603">
        <f>IF($A603="","",TRIM(INDEX('05_KAIS'!$B:$B,$A603)&amp;" "&amp;INDEX('05_KAIS'!$C:$C,$A603)))</f>
        <v/>
      </c>
      <c r="C603">
        <f>IF($A603="","",INDEX('05_KAIS'!$D:$D,$A603))</f>
        <v/>
      </c>
      <c r="D603">
        <f>IF($A603="","",INDEX('05_KAIS'!$H:$H,$A603))</f>
        <v/>
      </c>
      <c r="E603">
        <f>IF($A603="","",INDEX('05_KAIS'!$K:$K,$A603))</f>
        <v/>
      </c>
      <c r="F603" s="202">
        <f>IF($A603="","",INDEX('05_KAIS'!$I:$I,$A603))</f>
        <v/>
      </c>
      <c r="G603" s="118">
        <f>IF($A603="","",INDEX('05_KAIS'!$L:$L,$A603))</f>
        <v/>
      </c>
      <c r="H603" s="118">
        <f>IF($A603="","",IFERROR(INDEX('05_KAIS'!$M:$M,$A603),IF(AND(E603&gt;0,G603&gt;0),G603/E603,"")))</f>
        <v/>
      </c>
      <c r="I603" s="202">
        <f>IF($A603="","",INDEX('05_KAIS'!$N:$N,$A603))</f>
        <v/>
      </c>
      <c r="J603">
        <f>IF(B603="","",IF('02_대상물건입력'!$B$5="",1,IF(ISNUMBER(SEARCH('02_대상물건입력'!$B$5,B603)),1,0)))</f>
        <v/>
      </c>
      <c r="K603">
        <f>IF(B603="","",IF('02_대상물건입력'!$B$6="",1,IF(ISNUMBER(SEARCH('02_대상물건입력'!$B$6,B603)),1,0)))</f>
        <v/>
      </c>
      <c r="L603">
        <f>IF(D603="","",IF('02_대상물건입력'!$B$8="",0,IF(ISNUMBER(SEARCH('02_대상물건입력'!$B$8,D603)),1,0)))</f>
        <v/>
      </c>
      <c r="M603">
        <f>IFERROR(ABS(E603-'02_대상물건입력'!$B$11)/'02_대상물건입력'!$B$11,"")</f>
        <v/>
      </c>
      <c r="N603">
        <f>IFERROR(ABS('01_설정'!$B$4-F603),"")</f>
        <v/>
      </c>
      <c r="O603">
        <f>IFERROR(ABS(YEAR(I603)-YEAR('02_대상물건입력'!$B$14)),"")</f>
        <v/>
      </c>
      <c r="P603">
        <f>IF(AND(E603&gt;0,F603&gt;0,G603&gt;0,IF('01_설정'!$B$10=1,J603=1,TRUE()),M603&lt;='01_설정'!$B$5,N603&lt;='01_설정'!$B$7,O603&lt;='01_설정'!$B$8),"Y","")</f>
        <v/>
      </c>
      <c r="Q603">
        <f>IF(P603&lt;&gt;"Y","",MAX(0,(1-M603/'01_설정'!$B$5))*'01_설정'!$B$14+MAX(0,(1-N603/'01_설정'!$B$7))*'01_설정'!$B$16+MAX(0,(1-O603/'01_설정'!$B$8))*'01_설정'!$B$17+K603*'01_설정'!$B$11+L603*'01_설정'!$B$12)</f>
        <v/>
      </c>
      <c r="R603">
        <f>IF(Q603="","",1+COUNTIFS($Q$31:$Q$1030,"&gt;"&amp;Q603)+COUNTIFS($Q$31:Q603,Q603)-1)</f>
        <v/>
      </c>
    </row>
    <row r="604" hidden="1" ht="16.5" customHeight="1">
      <c r="A604">
        <f>IF(COUNTA('05_KAIS'!$A592:$N592)=0,"",577)</f>
        <v/>
      </c>
      <c r="B604">
        <f>IF($A604="","",TRIM(INDEX('05_KAIS'!$B:$B,$A604)&amp;" "&amp;INDEX('05_KAIS'!$C:$C,$A604)))</f>
        <v/>
      </c>
      <c r="C604">
        <f>IF($A604="","",INDEX('05_KAIS'!$D:$D,$A604))</f>
        <v/>
      </c>
      <c r="D604">
        <f>IF($A604="","",INDEX('05_KAIS'!$H:$H,$A604))</f>
        <v/>
      </c>
      <c r="E604">
        <f>IF($A604="","",INDEX('05_KAIS'!$K:$K,$A604))</f>
        <v/>
      </c>
      <c r="F604" s="202">
        <f>IF($A604="","",INDEX('05_KAIS'!$I:$I,$A604))</f>
        <v/>
      </c>
      <c r="G604" s="118">
        <f>IF($A604="","",INDEX('05_KAIS'!$L:$L,$A604))</f>
        <v/>
      </c>
      <c r="H604" s="118">
        <f>IF($A604="","",IFERROR(INDEX('05_KAIS'!$M:$M,$A604),IF(AND(E604&gt;0,G604&gt;0),G604/E604,"")))</f>
        <v/>
      </c>
      <c r="I604" s="202">
        <f>IF($A604="","",INDEX('05_KAIS'!$N:$N,$A604))</f>
        <v/>
      </c>
      <c r="J604">
        <f>IF(B604="","",IF('02_대상물건입력'!$B$5="",1,IF(ISNUMBER(SEARCH('02_대상물건입력'!$B$5,B604)),1,0)))</f>
        <v/>
      </c>
      <c r="K604">
        <f>IF(B604="","",IF('02_대상물건입력'!$B$6="",1,IF(ISNUMBER(SEARCH('02_대상물건입력'!$B$6,B604)),1,0)))</f>
        <v/>
      </c>
      <c r="L604">
        <f>IF(D604="","",IF('02_대상물건입력'!$B$8="",0,IF(ISNUMBER(SEARCH('02_대상물건입력'!$B$8,D604)),1,0)))</f>
        <v/>
      </c>
      <c r="M604">
        <f>IFERROR(ABS(E604-'02_대상물건입력'!$B$11)/'02_대상물건입력'!$B$11,"")</f>
        <v/>
      </c>
      <c r="N604">
        <f>IFERROR(ABS('01_설정'!$B$4-F604),"")</f>
        <v/>
      </c>
      <c r="O604">
        <f>IFERROR(ABS(YEAR(I604)-YEAR('02_대상물건입력'!$B$14)),"")</f>
        <v/>
      </c>
      <c r="P604">
        <f>IF(AND(E604&gt;0,F604&gt;0,G604&gt;0,IF('01_설정'!$B$10=1,J604=1,TRUE()),M604&lt;='01_설정'!$B$5,N604&lt;='01_설정'!$B$7,O604&lt;='01_설정'!$B$8),"Y","")</f>
        <v/>
      </c>
      <c r="Q604">
        <f>IF(P604&lt;&gt;"Y","",MAX(0,(1-M604/'01_설정'!$B$5))*'01_설정'!$B$14+MAX(0,(1-N604/'01_설정'!$B$7))*'01_설정'!$B$16+MAX(0,(1-O604/'01_설정'!$B$8))*'01_설정'!$B$17+K604*'01_설정'!$B$11+L604*'01_설정'!$B$12)</f>
        <v/>
      </c>
      <c r="R604">
        <f>IF(Q604="","",1+COUNTIFS($Q$31:$Q$1030,"&gt;"&amp;Q604)+COUNTIFS($Q$31:Q604,Q604)-1)</f>
        <v/>
      </c>
    </row>
    <row r="605" hidden="1" ht="16.5" customHeight="1">
      <c r="A605">
        <f>IF(COUNTA('05_KAIS'!$A593:$N593)=0,"",578)</f>
        <v/>
      </c>
      <c r="B605">
        <f>IF($A605="","",TRIM(INDEX('05_KAIS'!$B:$B,$A605)&amp;" "&amp;INDEX('05_KAIS'!$C:$C,$A605)))</f>
        <v/>
      </c>
      <c r="C605">
        <f>IF($A605="","",INDEX('05_KAIS'!$D:$D,$A605))</f>
        <v/>
      </c>
      <c r="D605">
        <f>IF($A605="","",INDEX('05_KAIS'!$H:$H,$A605))</f>
        <v/>
      </c>
      <c r="E605">
        <f>IF($A605="","",INDEX('05_KAIS'!$K:$K,$A605))</f>
        <v/>
      </c>
      <c r="F605" s="202">
        <f>IF($A605="","",INDEX('05_KAIS'!$I:$I,$A605))</f>
        <v/>
      </c>
      <c r="G605" s="118">
        <f>IF($A605="","",INDEX('05_KAIS'!$L:$L,$A605))</f>
        <v/>
      </c>
      <c r="H605" s="118">
        <f>IF($A605="","",IFERROR(INDEX('05_KAIS'!$M:$M,$A605),IF(AND(E605&gt;0,G605&gt;0),G605/E605,"")))</f>
        <v/>
      </c>
      <c r="I605" s="202">
        <f>IF($A605="","",INDEX('05_KAIS'!$N:$N,$A605))</f>
        <v/>
      </c>
      <c r="J605">
        <f>IF(B605="","",IF('02_대상물건입력'!$B$5="",1,IF(ISNUMBER(SEARCH('02_대상물건입력'!$B$5,B605)),1,0)))</f>
        <v/>
      </c>
      <c r="K605">
        <f>IF(B605="","",IF('02_대상물건입력'!$B$6="",1,IF(ISNUMBER(SEARCH('02_대상물건입력'!$B$6,B605)),1,0)))</f>
        <v/>
      </c>
      <c r="L605">
        <f>IF(D605="","",IF('02_대상물건입력'!$B$8="",0,IF(ISNUMBER(SEARCH('02_대상물건입력'!$B$8,D605)),1,0)))</f>
        <v/>
      </c>
      <c r="M605">
        <f>IFERROR(ABS(E605-'02_대상물건입력'!$B$11)/'02_대상물건입력'!$B$11,"")</f>
        <v/>
      </c>
      <c r="N605">
        <f>IFERROR(ABS('01_설정'!$B$4-F605),"")</f>
        <v/>
      </c>
      <c r="O605">
        <f>IFERROR(ABS(YEAR(I605)-YEAR('02_대상물건입력'!$B$14)),"")</f>
        <v/>
      </c>
      <c r="P605">
        <f>IF(AND(E605&gt;0,F605&gt;0,G605&gt;0,IF('01_설정'!$B$10=1,J605=1,TRUE()),M605&lt;='01_설정'!$B$5,N605&lt;='01_설정'!$B$7,O605&lt;='01_설정'!$B$8),"Y","")</f>
        <v/>
      </c>
      <c r="Q605">
        <f>IF(P605&lt;&gt;"Y","",MAX(0,(1-M605/'01_설정'!$B$5))*'01_설정'!$B$14+MAX(0,(1-N605/'01_설정'!$B$7))*'01_설정'!$B$16+MAX(0,(1-O605/'01_설정'!$B$8))*'01_설정'!$B$17+K605*'01_설정'!$B$11+L605*'01_설정'!$B$12)</f>
        <v/>
      </c>
      <c r="R605">
        <f>IF(Q605="","",1+COUNTIFS($Q$31:$Q$1030,"&gt;"&amp;Q605)+COUNTIFS($Q$31:Q605,Q605)-1)</f>
        <v/>
      </c>
    </row>
    <row r="606" hidden="1" ht="16.5" customHeight="1">
      <c r="A606">
        <f>IF(COUNTA('05_KAIS'!$A594:$N594)=0,"",579)</f>
        <v/>
      </c>
      <c r="B606">
        <f>IF($A606="","",TRIM(INDEX('05_KAIS'!$B:$B,$A606)&amp;" "&amp;INDEX('05_KAIS'!$C:$C,$A606)))</f>
        <v/>
      </c>
      <c r="C606">
        <f>IF($A606="","",INDEX('05_KAIS'!$D:$D,$A606))</f>
        <v/>
      </c>
      <c r="D606">
        <f>IF($A606="","",INDEX('05_KAIS'!$H:$H,$A606))</f>
        <v/>
      </c>
      <c r="E606">
        <f>IF($A606="","",INDEX('05_KAIS'!$K:$K,$A606))</f>
        <v/>
      </c>
      <c r="F606" s="202">
        <f>IF($A606="","",INDEX('05_KAIS'!$I:$I,$A606))</f>
        <v/>
      </c>
      <c r="G606" s="118">
        <f>IF($A606="","",INDEX('05_KAIS'!$L:$L,$A606))</f>
        <v/>
      </c>
      <c r="H606" s="118">
        <f>IF($A606="","",IFERROR(INDEX('05_KAIS'!$M:$M,$A606),IF(AND(E606&gt;0,G606&gt;0),G606/E606,"")))</f>
        <v/>
      </c>
      <c r="I606" s="202">
        <f>IF($A606="","",INDEX('05_KAIS'!$N:$N,$A606))</f>
        <v/>
      </c>
      <c r="J606">
        <f>IF(B606="","",IF('02_대상물건입력'!$B$5="",1,IF(ISNUMBER(SEARCH('02_대상물건입력'!$B$5,B606)),1,0)))</f>
        <v/>
      </c>
      <c r="K606">
        <f>IF(B606="","",IF('02_대상물건입력'!$B$6="",1,IF(ISNUMBER(SEARCH('02_대상물건입력'!$B$6,B606)),1,0)))</f>
        <v/>
      </c>
      <c r="L606">
        <f>IF(D606="","",IF('02_대상물건입력'!$B$8="",0,IF(ISNUMBER(SEARCH('02_대상물건입력'!$B$8,D606)),1,0)))</f>
        <v/>
      </c>
      <c r="M606">
        <f>IFERROR(ABS(E606-'02_대상물건입력'!$B$11)/'02_대상물건입력'!$B$11,"")</f>
        <v/>
      </c>
      <c r="N606">
        <f>IFERROR(ABS('01_설정'!$B$4-F606),"")</f>
        <v/>
      </c>
      <c r="O606">
        <f>IFERROR(ABS(YEAR(I606)-YEAR('02_대상물건입력'!$B$14)),"")</f>
        <v/>
      </c>
      <c r="P606">
        <f>IF(AND(E606&gt;0,F606&gt;0,G606&gt;0,IF('01_설정'!$B$10=1,J606=1,TRUE()),M606&lt;='01_설정'!$B$5,N606&lt;='01_설정'!$B$7,O606&lt;='01_설정'!$B$8),"Y","")</f>
        <v/>
      </c>
      <c r="Q606">
        <f>IF(P606&lt;&gt;"Y","",MAX(0,(1-M606/'01_설정'!$B$5))*'01_설정'!$B$14+MAX(0,(1-N606/'01_설정'!$B$7))*'01_설정'!$B$16+MAX(0,(1-O606/'01_설정'!$B$8))*'01_설정'!$B$17+K606*'01_설정'!$B$11+L606*'01_설정'!$B$12)</f>
        <v/>
      </c>
      <c r="R606">
        <f>IF(Q606="","",1+COUNTIFS($Q$31:$Q$1030,"&gt;"&amp;Q606)+COUNTIFS($Q$31:Q606,Q606)-1)</f>
        <v/>
      </c>
    </row>
    <row r="607" hidden="1" ht="16.5" customHeight="1">
      <c r="A607">
        <f>IF(COUNTA('05_KAIS'!$A595:$N595)=0,"",580)</f>
        <v/>
      </c>
      <c r="B607">
        <f>IF($A607="","",TRIM(INDEX('05_KAIS'!$B:$B,$A607)&amp;" "&amp;INDEX('05_KAIS'!$C:$C,$A607)))</f>
        <v/>
      </c>
      <c r="C607">
        <f>IF($A607="","",INDEX('05_KAIS'!$D:$D,$A607))</f>
        <v/>
      </c>
      <c r="D607">
        <f>IF($A607="","",INDEX('05_KAIS'!$H:$H,$A607))</f>
        <v/>
      </c>
      <c r="E607">
        <f>IF($A607="","",INDEX('05_KAIS'!$K:$K,$A607))</f>
        <v/>
      </c>
      <c r="F607" s="202">
        <f>IF($A607="","",INDEX('05_KAIS'!$I:$I,$A607))</f>
        <v/>
      </c>
      <c r="G607" s="118">
        <f>IF($A607="","",INDEX('05_KAIS'!$L:$L,$A607))</f>
        <v/>
      </c>
      <c r="H607" s="118">
        <f>IF($A607="","",IFERROR(INDEX('05_KAIS'!$M:$M,$A607),IF(AND(E607&gt;0,G607&gt;0),G607/E607,"")))</f>
        <v/>
      </c>
      <c r="I607" s="202">
        <f>IF($A607="","",INDEX('05_KAIS'!$N:$N,$A607))</f>
        <v/>
      </c>
      <c r="J607">
        <f>IF(B607="","",IF('02_대상물건입력'!$B$5="",1,IF(ISNUMBER(SEARCH('02_대상물건입력'!$B$5,B607)),1,0)))</f>
        <v/>
      </c>
      <c r="K607">
        <f>IF(B607="","",IF('02_대상물건입력'!$B$6="",1,IF(ISNUMBER(SEARCH('02_대상물건입력'!$B$6,B607)),1,0)))</f>
        <v/>
      </c>
      <c r="L607">
        <f>IF(D607="","",IF('02_대상물건입력'!$B$8="",0,IF(ISNUMBER(SEARCH('02_대상물건입력'!$B$8,D607)),1,0)))</f>
        <v/>
      </c>
      <c r="M607">
        <f>IFERROR(ABS(E607-'02_대상물건입력'!$B$11)/'02_대상물건입력'!$B$11,"")</f>
        <v/>
      </c>
      <c r="N607">
        <f>IFERROR(ABS('01_설정'!$B$4-F607),"")</f>
        <v/>
      </c>
      <c r="O607">
        <f>IFERROR(ABS(YEAR(I607)-YEAR('02_대상물건입력'!$B$14)),"")</f>
        <v/>
      </c>
      <c r="P607">
        <f>IF(AND(E607&gt;0,F607&gt;0,G607&gt;0,IF('01_설정'!$B$10=1,J607=1,TRUE()),M607&lt;='01_설정'!$B$5,N607&lt;='01_설정'!$B$7,O607&lt;='01_설정'!$B$8),"Y","")</f>
        <v/>
      </c>
      <c r="Q607">
        <f>IF(P607&lt;&gt;"Y","",MAX(0,(1-M607/'01_설정'!$B$5))*'01_설정'!$B$14+MAX(0,(1-N607/'01_설정'!$B$7))*'01_설정'!$B$16+MAX(0,(1-O607/'01_설정'!$B$8))*'01_설정'!$B$17+K607*'01_설정'!$B$11+L607*'01_설정'!$B$12)</f>
        <v/>
      </c>
      <c r="R607">
        <f>IF(Q607="","",1+COUNTIFS($Q$31:$Q$1030,"&gt;"&amp;Q607)+COUNTIFS($Q$31:Q607,Q607)-1)</f>
        <v/>
      </c>
    </row>
    <row r="608" hidden="1" ht="16.5" customHeight="1">
      <c r="A608">
        <f>IF(COUNTA('05_KAIS'!$A596:$N596)=0,"",581)</f>
        <v/>
      </c>
      <c r="B608">
        <f>IF($A608="","",TRIM(INDEX('05_KAIS'!$B:$B,$A608)&amp;" "&amp;INDEX('05_KAIS'!$C:$C,$A608)))</f>
        <v/>
      </c>
      <c r="C608">
        <f>IF($A608="","",INDEX('05_KAIS'!$D:$D,$A608))</f>
        <v/>
      </c>
      <c r="D608">
        <f>IF($A608="","",INDEX('05_KAIS'!$H:$H,$A608))</f>
        <v/>
      </c>
      <c r="E608">
        <f>IF($A608="","",INDEX('05_KAIS'!$K:$K,$A608))</f>
        <v/>
      </c>
      <c r="F608" s="202">
        <f>IF($A608="","",INDEX('05_KAIS'!$I:$I,$A608))</f>
        <v/>
      </c>
      <c r="G608" s="118">
        <f>IF($A608="","",INDEX('05_KAIS'!$L:$L,$A608))</f>
        <v/>
      </c>
      <c r="H608" s="118">
        <f>IF($A608="","",IFERROR(INDEX('05_KAIS'!$M:$M,$A608),IF(AND(E608&gt;0,G608&gt;0),G608/E608,"")))</f>
        <v/>
      </c>
      <c r="I608" s="202">
        <f>IF($A608="","",INDEX('05_KAIS'!$N:$N,$A608))</f>
        <v/>
      </c>
      <c r="J608">
        <f>IF(B608="","",IF('02_대상물건입력'!$B$5="",1,IF(ISNUMBER(SEARCH('02_대상물건입력'!$B$5,B608)),1,0)))</f>
        <v/>
      </c>
      <c r="K608">
        <f>IF(B608="","",IF('02_대상물건입력'!$B$6="",1,IF(ISNUMBER(SEARCH('02_대상물건입력'!$B$6,B608)),1,0)))</f>
        <v/>
      </c>
      <c r="L608">
        <f>IF(D608="","",IF('02_대상물건입력'!$B$8="",0,IF(ISNUMBER(SEARCH('02_대상물건입력'!$B$8,D608)),1,0)))</f>
        <v/>
      </c>
      <c r="M608">
        <f>IFERROR(ABS(E608-'02_대상물건입력'!$B$11)/'02_대상물건입력'!$B$11,"")</f>
        <v/>
      </c>
      <c r="N608">
        <f>IFERROR(ABS('01_설정'!$B$4-F608),"")</f>
        <v/>
      </c>
      <c r="O608">
        <f>IFERROR(ABS(YEAR(I608)-YEAR('02_대상물건입력'!$B$14)),"")</f>
        <v/>
      </c>
      <c r="P608">
        <f>IF(AND(E608&gt;0,F608&gt;0,G608&gt;0,IF('01_설정'!$B$10=1,J608=1,TRUE()),M608&lt;='01_설정'!$B$5,N608&lt;='01_설정'!$B$7,O608&lt;='01_설정'!$B$8),"Y","")</f>
        <v/>
      </c>
      <c r="Q608">
        <f>IF(P608&lt;&gt;"Y","",MAX(0,(1-M608/'01_설정'!$B$5))*'01_설정'!$B$14+MAX(0,(1-N608/'01_설정'!$B$7))*'01_설정'!$B$16+MAX(0,(1-O608/'01_설정'!$B$8))*'01_설정'!$B$17+K608*'01_설정'!$B$11+L608*'01_설정'!$B$12)</f>
        <v/>
      </c>
      <c r="R608">
        <f>IF(Q608="","",1+COUNTIFS($Q$31:$Q$1030,"&gt;"&amp;Q608)+COUNTIFS($Q$31:Q608,Q608)-1)</f>
        <v/>
      </c>
    </row>
    <row r="609" hidden="1" ht="16.5" customHeight="1">
      <c r="A609">
        <f>IF(COUNTA('05_KAIS'!$A597:$N597)=0,"",582)</f>
        <v/>
      </c>
      <c r="B609">
        <f>IF($A609="","",TRIM(INDEX('05_KAIS'!$B:$B,$A609)&amp;" "&amp;INDEX('05_KAIS'!$C:$C,$A609)))</f>
        <v/>
      </c>
      <c r="C609">
        <f>IF($A609="","",INDEX('05_KAIS'!$D:$D,$A609))</f>
        <v/>
      </c>
      <c r="D609">
        <f>IF($A609="","",INDEX('05_KAIS'!$H:$H,$A609))</f>
        <v/>
      </c>
      <c r="E609">
        <f>IF($A609="","",INDEX('05_KAIS'!$K:$K,$A609))</f>
        <v/>
      </c>
      <c r="F609" s="202">
        <f>IF($A609="","",INDEX('05_KAIS'!$I:$I,$A609))</f>
        <v/>
      </c>
      <c r="G609" s="118">
        <f>IF($A609="","",INDEX('05_KAIS'!$L:$L,$A609))</f>
        <v/>
      </c>
      <c r="H609" s="118">
        <f>IF($A609="","",IFERROR(INDEX('05_KAIS'!$M:$M,$A609),IF(AND(E609&gt;0,G609&gt;0),G609/E609,"")))</f>
        <v/>
      </c>
      <c r="I609" s="202">
        <f>IF($A609="","",INDEX('05_KAIS'!$N:$N,$A609))</f>
        <v/>
      </c>
      <c r="J609">
        <f>IF(B609="","",IF('02_대상물건입력'!$B$5="",1,IF(ISNUMBER(SEARCH('02_대상물건입력'!$B$5,B609)),1,0)))</f>
        <v/>
      </c>
      <c r="K609">
        <f>IF(B609="","",IF('02_대상물건입력'!$B$6="",1,IF(ISNUMBER(SEARCH('02_대상물건입력'!$B$6,B609)),1,0)))</f>
        <v/>
      </c>
      <c r="L609">
        <f>IF(D609="","",IF('02_대상물건입력'!$B$8="",0,IF(ISNUMBER(SEARCH('02_대상물건입력'!$B$8,D609)),1,0)))</f>
        <v/>
      </c>
      <c r="M609">
        <f>IFERROR(ABS(E609-'02_대상물건입력'!$B$11)/'02_대상물건입력'!$B$11,"")</f>
        <v/>
      </c>
      <c r="N609">
        <f>IFERROR(ABS('01_설정'!$B$4-F609),"")</f>
        <v/>
      </c>
      <c r="O609">
        <f>IFERROR(ABS(YEAR(I609)-YEAR('02_대상물건입력'!$B$14)),"")</f>
        <v/>
      </c>
      <c r="P609">
        <f>IF(AND(E609&gt;0,F609&gt;0,G609&gt;0,IF('01_설정'!$B$10=1,J609=1,TRUE()),M609&lt;='01_설정'!$B$5,N609&lt;='01_설정'!$B$7,O609&lt;='01_설정'!$B$8),"Y","")</f>
        <v/>
      </c>
      <c r="Q609">
        <f>IF(P609&lt;&gt;"Y","",MAX(0,(1-M609/'01_설정'!$B$5))*'01_설정'!$B$14+MAX(0,(1-N609/'01_설정'!$B$7))*'01_설정'!$B$16+MAX(0,(1-O609/'01_설정'!$B$8))*'01_설정'!$B$17+K609*'01_설정'!$B$11+L609*'01_설정'!$B$12)</f>
        <v/>
      </c>
      <c r="R609">
        <f>IF(Q609="","",1+COUNTIFS($Q$31:$Q$1030,"&gt;"&amp;Q609)+COUNTIFS($Q$31:Q609,Q609)-1)</f>
        <v/>
      </c>
    </row>
    <row r="610" hidden="1" ht="16.5" customHeight="1">
      <c r="A610">
        <f>IF(COUNTA('05_KAIS'!$A598:$N598)=0,"",583)</f>
        <v/>
      </c>
      <c r="B610">
        <f>IF($A610="","",TRIM(INDEX('05_KAIS'!$B:$B,$A610)&amp;" "&amp;INDEX('05_KAIS'!$C:$C,$A610)))</f>
        <v/>
      </c>
      <c r="C610">
        <f>IF($A610="","",INDEX('05_KAIS'!$D:$D,$A610))</f>
        <v/>
      </c>
      <c r="D610">
        <f>IF($A610="","",INDEX('05_KAIS'!$H:$H,$A610))</f>
        <v/>
      </c>
      <c r="E610">
        <f>IF($A610="","",INDEX('05_KAIS'!$K:$K,$A610))</f>
        <v/>
      </c>
      <c r="F610" s="202">
        <f>IF($A610="","",INDEX('05_KAIS'!$I:$I,$A610))</f>
        <v/>
      </c>
      <c r="G610" s="118">
        <f>IF($A610="","",INDEX('05_KAIS'!$L:$L,$A610))</f>
        <v/>
      </c>
      <c r="H610" s="118">
        <f>IF($A610="","",IFERROR(INDEX('05_KAIS'!$M:$M,$A610),IF(AND(E610&gt;0,G610&gt;0),G610/E610,"")))</f>
        <v/>
      </c>
      <c r="I610" s="202">
        <f>IF($A610="","",INDEX('05_KAIS'!$N:$N,$A610))</f>
        <v/>
      </c>
      <c r="J610">
        <f>IF(B610="","",IF('02_대상물건입력'!$B$5="",1,IF(ISNUMBER(SEARCH('02_대상물건입력'!$B$5,B610)),1,0)))</f>
        <v/>
      </c>
      <c r="K610">
        <f>IF(B610="","",IF('02_대상물건입력'!$B$6="",1,IF(ISNUMBER(SEARCH('02_대상물건입력'!$B$6,B610)),1,0)))</f>
        <v/>
      </c>
      <c r="L610">
        <f>IF(D610="","",IF('02_대상물건입력'!$B$8="",0,IF(ISNUMBER(SEARCH('02_대상물건입력'!$B$8,D610)),1,0)))</f>
        <v/>
      </c>
      <c r="M610">
        <f>IFERROR(ABS(E610-'02_대상물건입력'!$B$11)/'02_대상물건입력'!$B$11,"")</f>
        <v/>
      </c>
      <c r="N610">
        <f>IFERROR(ABS('01_설정'!$B$4-F610),"")</f>
        <v/>
      </c>
      <c r="O610">
        <f>IFERROR(ABS(YEAR(I610)-YEAR('02_대상물건입력'!$B$14)),"")</f>
        <v/>
      </c>
      <c r="P610">
        <f>IF(AND(E610&gt;0,F610&gt;0,G610&gt;0,IF('01_설정'!$B$10=1,J610=1,TRUE()),M610&lt;='01_설정'!$B$5,N610&lt;='01_설정'!$B$7,O610&lt;='01_설정'!$B$8),"Y","")</f>
        <v/>
      </c>
      <c r="Q610">
        <f>IF(P610&lt;&gt;"Y","",MAX(0,(1-M610/'01_설정'!$B$5))*'01_설정'!$B$14+MAX(0,(1-N610/'01_설정'!$B$7))*'01_설정'!$B$16+MAX(0,(1-O610/'01_설정'!$B$8))*'01_설정'!$B$17+K610*'01_설정'!$B$11+L610*'01_설정'!$B$12)</f>
        <v/>
      </c>
      <c r="R610">
        <f>IF(Q610="","",1+COUNTIFS($Q$31:$Q$1030,"&gt;"&amp;Q610)+COUNTIFS($Q$31:Q610,Q610)-1)</f>
        <v/>
      </c>
    </row>
    <row r="611" hidden="1" ht="16.5" customHeight="1">
      <c r="A611">
        <f>IF(COUNTA('05_KAIS'!$A599:$N599)=0,"",584)</f>
        <v/>
      </c>
      <c r="B611">
        <f>IF($A611="","",TRIM(INDEX('05_KAIS'!$B:$B,$A611)&amp;" "&amp;INDEX('05_KAIS'!$C:$C,$A611)))</f>
        <v/>
      </c>
      <c r="C611">
        <f>IF($A611="","",INDEX('05_KAIS'!$D:$D,$A611))</f>
        <v/>
      </c>
      <c r="D611">
        <f>IF($A611="","",INDEX('05_KAIS'!$H:$H,$A611))</f>
        <v/>
      </c>
      <c r="E611">
        <f>IF($A611="","",INDEX('05_KAIS'!$K:$K,$A611))</f>
        <v/>
      </c>
      <c r="F611" s="202">
        <f>IF($A611="","",INDEX('05_KAIS'!$I:$I,$A611))</f>
        <v/>
      </c>
      <c r="G611" s="118">
        <f>IF($A611="","",INDEX('05_KAIS'!$L:$L,$A611))</f>
        <v/>
      </c>
      <c r="H611" s="118">
        <f>IF($A611="","",IFERROR(INDEX('05_KAIS'!$M:$M,$A611),IF(AND(E611&gt;0,G611&gt;0),G611/E611,"")))</f>
        <v/>
      </c>
      <c r="I611" s="202">
        <f>IF($A611="","",INDEX('05_KAIS'!$N:$N,$A611))</f>
        <v/>
      </c>
      <c r="J611">
        <f>IF(B611="","",IF('02_대상물건입력'!$B$5="",1,IF(ISNUMBER(SEARCH('02_대상물건입력'!$B$5,B611)),1,0)))</f>
        <v/>
      </c>
      <c r="K611">
        <f>IF(B611="","",IF('02_대상물건입력'!$B$6="",1,IF(ISNUMBER(SEARCH('02_대상물건입력'!$B$6,B611)),1,0)))</f>
        <v/>
      </c>
      <c r="L611">
        <f>IF(D611="","",IF('02_대상물건입력'!$B$8="",0,IF(ISNUMBER(SEARCH('02_대상물건입력'!$B$8,D611)),1,0)))</f>
        <v/>
      </c>
      <c r="M611">
        <f>IFERROR(ABS(E611-'02_대상물건입력'!$B$11)/'02_대상물건입력'!$B$11,"")</f>
        <v/>
      </c>
      <c r="N611">
        <f>IFERROR(ABS('01_설정'!$B$4-F611),"")</f>
        <v/>
      </c>
      <c r="O611">
        <f>IFERROR(ABS(YEAR(I611)-YEAR('02_대상물건입력'!$B$14)),"")</f>
        <v/>
      </c>
      <c r="P611">
        <f>IF(AND(E611&gt;0,F611&gt;0,G611&gt;0,IF('01_설정'!$B$10=1,J611=1,TRUE()),M611&lt;='01_설정'!$B$5,N611&lt;='01_설정'!$B$7,O611&lt;='01_설정'!$B$8),"Y","")</f>
        <v/>
      </c>
      <c r="Q611">
        <f>IF(P611&lt;&gt;"Y","",MAX(0,(1-M611/'01_설정'!$B$5))*'01_설정'!$B$14+MAX(0,(1-N611/'01_설정'!$B$7))*'01_설정'!$B$16+MAX(0,(1-O611/'01_설정'!$B$8))*'01_설정'!$B$17+K611*'01_설정'!$B$11+L611*'01_설정'!$B$12)</f>
        <v/>
      </c>
      <c r="R611">
        <f>IF(Q611="","",1+COUNTIFS($Q$31:$Q$1030,"&gt;"&amp;Q611)+COUNTIFS($Q$31:Q611,Q611)-1)</f>
        <v/>
      </c>
    </row>
    <row r="612" hidden="1" ht="16.5" customHeight="1">
      <c r="A612">
        <f>IF(COUNTA('05_KAIS'!$A600:$N600)=0,"",585)</f>
        <v/>
      </c>
      <c r="B612">
        <f>IF($A612="","",TRIM(INDEX('05_KAIS'!$B:$B,$A612)&amp;" "&amp;INDEX('05_KAIS'!$C:$C,$A612)))</f>
        <v/>
      </c>
      <c r="C612">
        <f>IF($A612="","",INDEX('05_KAIS'!$D:$D,$A612))</f>
        <v/>
      </c>
      <c r="D612">
        <f>IF($A612="","",INDEX('05_KAIS'!$H:$H,$A612))</f>
        <v/>
      </c>
      <c r="E612">
        <f>IF($A612="","",INDEX('05_KAIS'!$K:$K,$A612))</f>
        <v/>
      </c>
      <c r="F612" s="202">
        <f>IF($A612="","",INDEX('05_KAIS'!$I:$I,$A612))</f>
        <v/>
      </c>
      <c r="G612" s="118">
        <f>IF($A612="","",INDEX('05_KAIS'!$L:$L,$A612))</f>
        <v/>
      </c>
      <c r="H612" s="118">
        <f>IF($A612="","",IFERROR(INDEX('05_KAIS'!$M:$M,$A612),IF(AND(E612&gt;0,G612&gt;0),G612/E612,"")))</f>
        <v/>
      </c>
      <c r="I612" s="202">
        <f>IF($A612="","",INDEX('05_KAIS'!$N:$N,$A612))</f>
        <v/>
      </c>
      <c r="J612">
        <f>IF(B612="","",IF('02_대상물건입력'!$B$5="",1,IF(ISNUMBER(SEARCH('02_대상물건입력'!$B$5,B612)),1,0)))</f>
        <v/>
      </c>
      <c r="K612">
        <f>IF(B612="","",IF('02_대상물건입력'!$B$6="",1,IF(ISNUMBER(SEARCH('02_대상물건입력'!$B$6,B612)),1,0)))</f>
        <v/>
      </c>
      <c r="L612">
        <f>IF(D612="","",IF('02_대상물건입력'!$B$8="",0,IF(ISNUMBER(SEARCH('02_대상물건입력'!$B$8,D612)),1,0)))</f>
        <v/>
      </c>
      <c r="M612">
        <f>IFERROR(ABS(E612-'02_대상물건입력'!$B$11)/'02_대상물건입력'!$B$11,"")</f>
        <v/>
      </c>
      <c r="N612">
        <f>IFERROR(ABS('01_설정'!$B$4-F612),"")</f>
        <v/>
      </c>
      <c r="O612">
        <f>IFERROR(ABS(YEAR(I612)-YEAR('02_대상물건입력'!$B$14)),"")</f>
        <v/>
      </c>
      <c r="P612">
        <f>IF(AND(E612&gt;0,F612&gt;0,G612&gt;0,IF('01_설정'!$B$10=1,J612=1,TRUE()),M612&lt;='01_설정'!$B$5,N612&lt;='01_설정'!$B$7,O612&lt;='01_설정'!$B$8),"Y","")</f>
        <v/>
      </c>
      <c r="Q612">
        <f>IF(P612&lt;&gt;"Y","",MAX(0,(1-M612/'01_설정'!$B$5))*'01_설정'!$B$14+MAX(0,(1-N612/'01_설정'!$B$7))*'01_설정'!$B$16+MAX(0,(1-O612/'01_설정'!$B$8))*'01_설정'!$B$17+K612*'01_설정'!$B$11+L612*'01_설정'!$B$12)</f>
        <v/>
      </c>
      <c r="R612">
        <f>IF(Q612="","",1+COUNTIFS($Q$31:$Q$1030,"&gt;"&amp;Q612)+COUNTIFS($Q$31:Q612,Q612)-1)</f>
        <v/>
      </c>
    </row>
    <row r="613" hidden="1" ht="16.5" customHeight="1">
      <c r="A613">
        <f>IF(COUNTA('05_KAIS'!$A601:$N601)=0,"",586)</f>
        <v/>
      </c>
      <c r="B613">
        <f>IF($A613="","",TRIM(INDEX('05_KAIS'!$B:$B,$A613)&amp;" "&amp;INDEX('05_KAIS'!$C:$C,$A613)))</f>
        <v/>
      </c>
      <c r="C613">
        <f>IF($A613="","",INDEX('05_KAIS'!$D:$D,$A613))</f>
        <v/>
      </c>
      <c r="D613">
        <f>IF($A613="","",INDEX('05_KAIS'!$H:$H,$A613))</f>
        <v/>
      </c>
      <c r="E613">
        <f>IF($A613="","",INDEX('05_KAIS'!$K:$K,$A613))</f>
        <v/>
      </c>
      <c r="F613" s="202">
        <f>IF($A613="","",INDEX('05_KAIS'!$I:$I,$A613))</f>
        <v/>
      </c>
      <c r="G613" s="118">
        <f>IF($A613="","",INDEX('05_KAIS'!$L:$L,$A613))</f>
        <v/>
      </c>
      <c r="H613" s="118">
        <f>IF($A613="","",IFERROR(INDEX('05_KAIS'!$M:$M,$A613),IF(AND(E613&gt;0,G613&gt;0),G613/E613,"")))</f>
        <v/>
      </c>
      <c r="I613" s="202">
        <f>IF($A613="","",INDEX('05_KAIS'!$N:$N,$A613))</f>
        <v/>
      </c>
      <c r="J613">
        <f>IF(B613="","",IF('02_대상물건입력'!$B$5="",1,IF(ISNUMBER(SEARCH('02_대상물건입력'!$B$5,B613)),1,0)))</f>
        <v/>
      </c>
      <c r="K613">
        <f>IF(B613="","",IF('02_대상물건입력'!$B$6="",1,IF(ISNUMBER(SEARCH('02_대상물건입력'!$B$6,B613)),1,0)))</f>
        <v/>
      </c>
      <c r="L613">
        <f>IF(D613="","",IF('02_대상물건입력'!$B$8="",0,IF(ISNUMBER(SEARCH('02_대상물건입력'!$B$8,D613)),1,0)))</f>
        <v/>
      </c>
      <c r="M613">
        <f>IFERROR(ABS(E613-'02_대상물건입력'!$B$11)/'02_대상물건입력'!$B$11,"")</f>
        <v/>
      </c>
      <c r="N613">
        <f>IFERROR(ABS('01_설정'!$B$4-F613),"")</f>
        <v/>
      </c>
      <c r="O613">
        <f>IFERROR(ABS(YEAR(I613)-YEAR('02_대상물건입력'!$B$14)),"")</f>
        <v/>
      </c>
      <c r="P613">
        <f>IF(AND(E613&gt;0,F613&gt;0,G613&gt;0,IF('01_설정'!$B$10=1,J613=1,TRUE()),M613&lt;='01_설정'!$B$5,N613&lt;='01_설정'!$B$7,O613&lt;='01_설정'!$B$8),"Y","")</f>
        <v/>
      </c>
      <c r="Q613">
        <f>IF(P613&lt;&gt;"Y","",MAX(0,(1-M613/'01_설정'!$B$5))*'01_설정'!$B$14+MAX(0,(1-N613/'01_설정'!$B$7))*'01_설정'!$B$16+MAX(0,(1-O613/'01_설정'!$B$8))*'01_설정'!$B$17+K613*'01_설정'!$B$11+L613*'01_설정'!$B$12)</f>
        <v/>
      </c>
      <c r="R613">
        <f>IF(Q613="","",1+COUNTIFS($Q$31:$Q$1030,"&gt;"&amp;Q613)+COUNTIFS($Q$31:Q613,Q613)-1)</f>
        <v/>
      </c>
    </row>
    <row r="614" hidden="1" ht="16.5" customHeight="1">
      <c r="A614">
        <f>IF(COUNTA('05_KAIS'!$A602:$N602)=0,"",587)</f>
        <v/>
      </c>
      <c r="B614">
        <f>IF($A614="","",TRIM(INDEX('05_KAIS'!$B:$B,$A614)&amp;" "&amp;INDEX('05_KAIS'!$C:$C,$A614)))</f>
        <v/>
      </c>
      <c r="C614">
        <f>IF($A614="","",INDEX('05_KAIS'!$D:$D,$A614))</f>
        <v/>
      </c>
      <c r="D614">
        <f>IF($A614="","",INDEX('05_KAIS'!$H:$H,$A614))</f>
        <v/>
      </c>
      <c r="E614">
        <f>IF($A614="","",INDEX('05_KAIS'!$K:$K,$A614))</f>
        <v/>
      </c>
      <c r="F614" s="202">
        <f>IF($A614="","",INDEX('05_KAIS'!$I:$I,$A614))</f>
        <v/>
      </c>
      <c r="G614" s="118">
        <f>IF($A614="","",INDEX('05_KAIS'!$L:$L,$A614))</f>
        <v/>
      </c>
      <c r="H614" s="118">
        <f>IF($A614="","",IFERROR(INDEX('05_KAIS'!$M:$M,$A614),IF(AND(E614&gt;0,G614&gt;0),G614/E614,"")))</f>
        <v/>
      </c>
      <c r="I614" s="202">
        <f>IF($A614="","",INDEX('05_KAIS'!$N:$N,$A614))</f>
        <v/>
      </c>
      <c r="J614">
        <f>IF(B614="","",IF('02_대상물건입력'!$B$5="",1,IF(ISNUMBER(SEARCH('02_대상물건입력'!$B$5,B614)),1,0)))</f>
        <v/>
      </c>
      <c r="K614">
        <f>IF(B614="","",IF('02_대상물건입력'!$B$6="",1,IF(ISNUMBER(SEARCH('02_대상물건입력'!$B$6,B614)),1,0)))</f>
        <v/>
      </c>
      <c r="L614">
        <f>IF(D614="","",IF('02_대상물건입력'!$B$8="",0,IF(ISNUMBER(SEARCH('02_대상물건입력'!$B$8,D614)),1,0)))</f>
        <v/>
      </c>
      <c r="M614">
        <f>IFERROR(ABS(E614-'02_대상물건입력'!$B$11)/'02_대상물건입력'!$B$11,"")</f>
        <v/>
      </c>
      <c r="N614">
        <f>IFERROR(ABS('01_설정'!$B$4-F614),"")</f>
        <v/>
      </c>
      <c r="O614">
        <f>IFERROR(ABS(YEAR(I614)-YEAR('02_대상물건입력'!$B$14)),"")</f>
        <v/>
      </c>
      <c r="P614">
        <f>IF(AND(E614&gt;0,F614&gt;0,G614&gt;0,IF('01_설정'!$B$10=1,J614=1,TRUE()),M614&lt;='01_설정'!$B$5,N614&lt;='01_설정'!$B$7,O614&lt;='01_설정'!$B$8),"Y","")</f>
        <v/>
      </c>
      <c r="Q614">
        <f>IF(P614&lt;&gt;"Y","",MAX(0,(1-M614/'01_설정'!$B$5))*'01_설정'!$B$14+MAX(0,(1-N614/'01_설정'!$B$7))*'01_설정'!$B$16+MAX(0,(1-O614/'01_설정'!$B$8))*'01_설정'!$B$17+K614*'01_설정'!$B$11+L614*'01_설정'!$B$12)</f>
        <v/>
      </c>
      <c r="R614">
        <f>IF(Q614="","",1+COUNTIFS($Q$31:$Q$1030,"&gt;"&amp;Q614)+COUNTIFS($Q$31:Q614,Q614)-1)</f>
        <v/>
      </c>
    </row>
    <row r="615" hidden="1" ht="16.5" customHeight="1">
      <c r="A615">
        <f>IF(COUNTA('05_KAIS'!$A603:$N603)=0,"",588)</f>
        <v/>
      </c>
      <c r="B615">
        <f>IF($A615="","",TRIM(INDEX('05_KAIS'!$B:$B,$A615)&amp;" "&amp;INDEX('05_KAIS'!$C:$C,$A615)))</f>
        <v/>
      </c>
      <c r="C615">
        <f>IF($A615="","",INDEX('05_KAIS'!$D:$D,$A615))</f>
        <v/>
      </c>
      <c r="D615">
        <f>IF($A615="","",INDEX('05_KAIS'!$H:$H,$A615))</f>
        <v/>
      </c>
      <c r="E615">
        <f>IF($A615="","",INDEX('05_KAIS'!$K:$K,$A615))</f>
        <v/>
      </c>
      <c r="F615" s="202">
        <f>IF($A615="","",INDEX('05_KAIS'!$I:$I,$A615))</f>
        <v/>
      </c>
      <c r="G615" s="118">
        <f>IF($A615="","",INDEX('05_KAIS'!$L:$L,$A615))</f>
        <v/>
      </c>
      <c r="H615" s="118">
        <f>IF($A615="","",IFERROR(INDEX('05_KAIS'!$M:$M,$A615),IF(AND(E615&gt;0,G615&gt;0),G615/E615,"")))</f>
        <v/>
      </c>
      <c r="I615" s="202">
        <f>IF($A615="","",INDEX('05_KAIS'!$N:$N,$A615))</f>
        <v/>
      </c>
      <c r="J615">
        <f>IF(B615="","",IF('02_대상물건입력'!$B$5="",1,IF(ISNUMBER(SEARCH('02_대상물건입력'!$B$5,B615)),1,0)))</f>
        <v/>
      </c>
      <c r="K615">
        <f>IF(B615="","",IF('02_대상물건입력'!$B$6="",1,IF(ISNUMBER(SEARCH('02_대상물건입력'!$B$6,B615)),1,0)))</f>
        <v/>
      </c>
      <c r="L615">
        <f>IF(D615="","",IF('02_대상물건입력'!$B$8="",0,IF(ISNUMBER(SEARCH('02_대상물건입력'!$B$8,D615)),1,0)))</f>
        <v/>
      </c>
      <c r="M615">
        <f>IFERROR(ABS(E615-'02_대상물건입력'!$B$11)/'02_대상물건입력'!$B$11,"")</f>
        <v/>
      </c>
      <c r="N615">
        <f>IFERROR(ABS('01_설정'!$B$4-F615),"")</f>
        <v/>
      </c>
      <c r="O615">
        <f>IFERROR(ABS(YEAR(I615)-YEAR('02_대상물건입력'!$B$14)),"")</f>
        <v/>
      </c>
      <c r="P615">
        <f>IF(AND(E615&gt;0,F615&gt;0,G615&gt;0,IF('01_설정'!$B$10=1,J615=1,TRUE()),M615&lt;='01_설정'!$B$5,N615&lt;='01_설정'!$B$7,O615&lt;='01_설정'!$B$8),"Y","")</f>
        <v/>
      </c>
      <c r="Q615">
        <f>IF(P615&lt;&gt;"Y","",MAX(0,(1-M615/'01_설정'!$B$5))*'01_설정'!$B$14+MAX(0,(1-N615/'01_설정'!$B$7))*'01_설정'!$B$16+MAX(0,(1-O615/'01_설정'!$B$8))*'01_설정'!$B$17+K615*'01_설정'!$B$11+L615*'01_설정'!$B$12)</f>
        <v/>
      </c>
      <c r="R615">
        <f>IF(Q615="","",1+COUNTIFS($Q$31:$Q$1030,"&gt;"&amp;Q615)+COUNTIFS($Q$31:Q615,Q615)-1)</f>
        <v/>
      </c>
    </row>
    <row r="616" hidden="1" ht="16.5" customHeight="1">
      <c r="A616">
        <f>IF(COUNTA('05_KAIS'!$A604:$N604)=0,"",589)</f>
        <v/>
      </c>
      <c r="B616">
        <f>IF($A616="","",TRIM(INDEX('05_KAIS'!$B:$B,$A616)&amp;" "&amp;INDEX('05_KAIS'!$C:$C,$A616)))</f>
        <v/>
      </c>
      <c r="C616">
        <f>IF($A616="","",INDEX('05_KAIS'!$D:$D,$A616))</f>
        <v/>
      </c>
      <c r="D616">
        <f>IF($A616="","",INDEX('05_KAIS'!$H:$H,$A616))</f>
        <v/>
      </c>
      <c r="E616">
        <f>IF($A616="","",INDEX('05_KAIS'!$K:$K,$A616))</f>
        <v/>
      </c>
      <c r="F616" s="202">
        <f>IF($A616="","",INDEX('05_KAIS'!$I:$I,$A616))</f>
        <v/>
      </c>
      <c r="G616" s="118">
        <f>IF($A616="","",INDEX('05_KAIS'!$L:$L,$A616))</f>
        <v/>
      </c>
      <c r="H616" s="118">
        <f>IF($A616="","",IFERROR(INDEX('05_KAIS'!$M:$M,$A616),IF(AND(E616&gt;0,G616&gt;0),G616/E616,"")))</f>
        <v/>
      </c>
      <c r="I616" s="202">
        <f>IF($A616="","",INDEX('05_KAIS'!$N:$N,$A616))</f>
        <v/>
      </c>
      <c r="J616">
        <f>IF(B616="","",IF('02_대상물건입력'!$B$5="",1,IF(ISNUMBER(SEARCH('02_대상물건입력'!$B$5,B616)),1,0)))</f>
        <v/>
      </c>
      <c r="K616">
        <f>IF(B616="","",IF('02_대상물건입력'!$B$6="",1,IF(ISNUMBER(SEARCH('02_대상물건입력'!$B$6,B616)),1,0)))</f>
        <v/>
      </c>
      <c r="L616">
        <f>IF(D616="","",IF('02_대상물건입력'!$B$8="",0,IF(ISNUMBER(SEARCH('02_대상물건입력'!$B$8,D616)),1,0)))</f>
        <v/>
      </c>
      <c r="M616">
        <f>IFERROR(ABS(E616-'02_대상물건입력'!$B$11)/'02_대상물건입력'!$B$11,"")</f>
        <v/>
      </c>
      <c r="N616">
        <f>IFERROR(ABS('01_설정'!$B$4-F616),"")</f>
        <v/>
      </c>
      <c r="O616">
        <f>IFERROR(ABS(YEAR(I616)-YEAR('02_대상물건입력'!$B$14)),"")</f>
        <v/>
      </c>
      <c r="P616">
        <f>IF(AND(E616&gt;0,F616&gt;0,G616&gt;0,IF('01_설정'!$B$10=1,J616=1,TRUE()),M616&lt;='01_설정'!$B$5,N616&lt;='01_설정'!$B$7,O616&lt;='01_설정'!$B$8),"Y","")</f>
        <v/>
      </c>
      <c r="Q616">
        <f>IF(P616&lt;&gt;"Y","",MAX(0,(1-M616/'01_설정'!$B$5))*'01_설정'!$B$14+MAX(0,(1-N616/'01_설정'!$B$7))*'01_설정'!$B$16+MAX(0,(1-O616/'01_설정'!$B$8))*'01_설정'!$B$17+K616*'01_설정'!$B$11+L616*'01_설정'!$B$12)</f>
        <v/>
      </c>
      <c r="R616">
        <f>IF(Q616="","",1+COUNTIFS($Q$31:$Q$1030,"&gt;"&amp;Q616)+COUNTIFS($Q$31:Q616,Q616)-1)</f>
        <v/>
      </c>
    </row>
    <row r="617" hidden="1" ht="16.5" customHeight="1">
      <c r="A617">
        <f>IF(COUNTA('05_KAIS'!$A605:$N605)=0,"",590)</f>
        <v/>
      </c>
      <c r="B617">
        <f>IF($A617="","",TRIM(INDEX('05_KAIS'!$B:$B,$A617)&amp;" "&amp;INDEX('05_KAIS'!$C:$C,$A617)))</f>
        <v/>
      </c>
      <c r="C617">
        <f>IF($A617="","",INDEX('05_KAIS'!$D:$D,$A617))</f>
        <v/>
      </c>
      <c r="D617">
        <f>IF($A617="","",INDEX('05_KAIS'!$H:$H,$A617))</f>
        <v/>
      </c>
      <c r="E617">
        <f>IF($A617="","",INDEX('05_KAIS'!$K:$K,$A617))</f>
        <v/>
      </c>
      <c r="F617" s="202">
        <f>IF($A617="","",INDEX('05_KAIS'!$I:$I,$A617))</f>
        <v/>
      </c>
      <c r="G617" s="118">
        <f>IF($A617="","",INDEX('05_KAIS'!$L:$L,$A617))</f>
        <v/>
      </c>
      <c r="H617" s="118">
        <f>IF($A617="","",IFERROR(INDEX('05_KAIS'!$M:$M,$A617),IF(AND(E617&gt;0,G617&gt;0),G617/E617,"")))</f>
        <v/>
      </c>
      <c r="I617" s="202">
        <f>IF($A617="","",INDEX('05_KAIS'!$N:$N,$A617))</f>
        <v/>
      </c>
      <c r="J617">
        <f>IF(B617="","",IF('02_대상물건입력'!$B$5="",1,IF(ISNUMBER(SEARCH('02_대상물건입력'!$B$5,B617)),1,0)))</f>
        <v/>
      </c>
      <c r="K617">
        <f>IF(B617="","",IF('02_대상물건입력'!$B$6="",1,IF(ISNUMBER(SEARCH('02_대상물건입력'!$B$6,B617)),1,0)))</f>
        <v/>
      </c>
      <c r="L617">
        <f>IF(D617="","",IF('02_대상물건입력'!$B$8="",0,IF(ISNUMBER(SEARCH('02_대상물건입력'!$B$8,D617)),1,0)))</f>
        <v/>
      </c>
      <c r="M617">
        <f>IFERROR(ABS(E617-'02_대상물건입력'!$B$11)/'02_대상물건입력'!$B$11,"")</f>
        <v/>
      </c>
      <c r="N617">
        <f>IFERROR(ABS('01_설정'!$B$4-F617),"")</f>
        <v/>
      </c>
      <c r="O617">
        <f>IFERROR(ABS(YEAR(I617)-YEAR('02_대상물건입력'!$B$14)),"")</f>
        <v/>
      </c>
      <c r="P617">
        <f>IF(AND(E617&gt;0,F617&gt;0,G617&gt;0,IF('01_설정'!$B$10=1,J617=1,TRUE()),M617&lt;='01_설정'!$B$5,N617&lt;='01_설정'!$B$7,O617&lt;='01_설정'!$B$8),"Y","")</f>
        <v/>
      </c>
      <c r="Q617">
        <f>IF(P617&lt;&gt;"Y","",MAX(0,(1-M617/'01_설정'!$B$5))*'01_설정'!$B$14+MAX(0,(1-N617/'01_설정'!$B$7))*'01_설정'!$B$16+MAX(0,(1-O617/'01_설정'!$B$8))*'01_설정'!$B$17+K617*'01_설정'!$B$11+L617*'01_설정'!$B$12)</f>
        <v/>
      </c>
      <c r="R617">
        <f>IF(Q617="","",1+COUNTIFS($Q$31:$Q$1030,"&gt;"&amp;Q617)+COUNTIFS($Q$31:Q617,Q617)-1)</f>
        <v/>
      </c>
    </row>
    <row r="618" hidden="1" ht="16.5" customHeight="1">
      <c r="A618">
        <f>IF(COUNTA('05_KAIS'!$A606:$N606)=0,"",591)</f>
        <v/>
      </c>
      <c r="B618">
        <f>IF($A618="","",TRIM(INDEX('05_KAIS'!$B:$B,$A618)&amp;" "&amp;INDEX('05_KAIS'!$C:$C,$A618)))</f>
        <v/>
      </c>
      <c r="C618">
        <f>IF($A618="","",INDEX('05_KAIS'!$D:$D,$A618))</f>
        <v/>
      </c>
      <c r="D618">
        <f>IF($A618="","",INDEX('05_KAIS'!$H:$H,$A618))</f>
        <v/>
      </c>
      <c r="E618">
        <f>IF($A618="","",INDEX('05_KAIS'!$K:$K,$A618))</f>
        <v/>
      </c>
      <c r="F618" s="202">
        <f>IF($A618="","",INDEX('05_KAIS'!$I:$I,$A618))</f>
        <v/>
      </c>
      <c r="G618" s="118">
        <f>IF($A618="","",INDEX('05_KAIS'!$L:$L,$A618))</f>
        <v/>
      </c>
      <c r="H618" s="118">
        <f>IF($A618="","",IFERROR(INDEX('05_KAIS'!$M:$M,$A618),IF(AND(E618&gt;0,G618&gt;0),G618/E618,"")))</f>
        <v/>
      </c>
      <c r="I618" s="202">
        <f>IF($A618="","",INDEX('05_KAIS'!$N:$N,$A618))</f>
        <v/>
      </c>
      <c r="J618">
        <f>IF(B618="","",IF('02_대상물건입력'!$B$5="",1,IF(ISNUMBER(SEARCH('02_대상물건입력'!$B$5,B618)),1,0)))</f>
        <v/>
      </c>
      <c r="K618">
        <f>IF(B618="","",IF('02_대상물건입력'!$B$6="",1,IF(ISNUMBER(SEARCH('02_대상물건입력'!$B$6,B618)),1,0)))</f>
        <v/>
      </c>
      <c r="L618">
        <f>IF(D618="","",IF('02_대상물건입력'!$B$8="",0,IF(ISNUMBER(SEARCH('02_대상물건입력'!$B$8,D618)),1,0)))</f>
        <v/>
      </c>
      <c r="M618">
        <f>IFERROR(ABS(E618-'02_대상물건입력'!$B$11)/'02_대상물건입력'!$B$11,"")</f>
        <v/>
      </c>
      <c r="N618">
        <f>IFERROR(ABS('01_설정'!$B$4-F618),"")</f>
        <v/>
      </c>
      <c r="O618">
        <f>IFERROR(ABS(YEAR(I618)-YEAR('02_대상물건입력'!$B$14)),"")</f>
        <v/>
      </c>
      <c r="P618">
        <f>IF(AND(E618&gt;0,F618&gt;0,G618&gt;0,IF('01_설정'!$B$10=1,J618=1,TRUE()),M618&lt;='01_설정'!$B$5,N618&lt;='01_설정'!$B$7,O618&lt;='01_설정'!$B$8),"Y","")</f>
        <v/>
      </c>
      <c r="Q618">
        <f>IF(P618&lt;&gt;"Y","",MAX(0,(1-M618/'01_설정'!$B$5))*'01_설정'!$B$14+MAX(0,(1-N618/'01_설정'!$B$7))*'01_설정'!$B$16+MAX(0,(1-O618/'01_설정'!$B$8))*'01_설정'!$B$17+K618*'01_설정'!$B$11+L618*'01_설정'!$B$12)</f>
        <v/>
      </c>
      <c r="R618">
        <f>IF(Q618="","",1+COUNTIFS($Q$31:$Q$1030,"&gt;"&amp;Q618)+COUNTIFS($Q$31:Q618,Q618)-1)</f>
        <v/>
      </c>
    </row>
    <row r="619" hidden="1" ht="16.5" customHeight="1">
      <c r="A619">
        <f>IF(COUNTA('05_KAIS'!$A607:$N607)=0,"",592)</f>
        <v/>
      </c>
      <c r="B619">
        <f>IF($A619="","",TRIM(INDEX('05_KAIS'!$B:$B,$A619)&amp;" "&amp;INDEX('05_KAIS'!$C:$C,$A619)))</f>
        <v/>
      </c>
      <c r="C619">
        <f>IF($A619="","",INDEX('05_KAIS'!$D:$D,$A619))</f>
        <v/>
      </c>
      <c r="D619">
        <f>IF($A619="","",INDEX('05_KAIS'!$H:$H,$A619))</f>
        <v/>
      </c>
      <c r="E619">
        <f>IF($A619="","",INDEX('05_KAIS'!$K:$K,$A619))</f>
        <v/>
      </c>
      <c r="F619" s="202">
        <f>IF($A619="","",INDEX('05_KAIS'!$I:$I,$A619))</f>
        <v/>
      </c>
      <c r="G619" s="118">
        <f>IF($A619="","",INDEX('05_KAIS'!$L:$L,$A619))</f>
        <v/>
      </c>
      <c r="H619" s="118">
        <f>IF($A619="","",IFERROR(INDEX('05_KAIS'!$M:$M,$A619),IF(AND(E619&gt;0,G619&gt;0),G619/E619,"")))</f>
        <v/>
      </c>
      <c r="I619" s="202">
        <f>IF($A619="","",INDEX('05_KAIS'!$N:$N,$A619))</f>
        <v/>
      </c>
      <c r="J619">
        <f>IF(B619="","",IF('02_대상물건입력'!$B$5="",1,IF(ISNUMBER(SEARCH('02_대상물건입력'!$B$5,B619)),1,0)))</f>
        <v/>
      </c>
      <c r="K619">
        <f>IF(B619="","",IF('02_대상물건입력'!$B$6="",1,IF(ISNUMBER(SEARCH('02_대상물건입력'!$B$6,B619)),1,0)))</f>
        <v/>
      </c>
      <c r="L619">
        <f>IF(D619="","",IF('02_대상물건입력'!$B$8="",0,IF(ISNUMBER(SEARCH('02_대상물건입력'!$B$8,D619)),1,0)))</f>
        <v/>
      </c>
      <c r="M619">
        <f>IFERROR(ABS(E619-'02_대상물건입력'!$B$11)/'02_대상물건입력'!$B$11,"")</f>
        <v/>
      </c>
      <c r="N619">
        <f>IFERROR(ABS('01_설정'!$B$4-F619),"")</f>
        <v/>
      </c>
      <c r="O619">
        <f>IFERROR(ABS(YEAR(I619)-YEAR('02_대상물건입력'!$B$14)),"")</f>
        <v/>
      </c>
      <c r="P619">
        <f>IF(AND(E619&gt;0,F619&gt;0,G619&gt;0,IF('01_설정'!$B$10=1,J619=1,TRUE()),M619&lt;='01_설정'!$B$5,N619&lt;='01_설정'!$B$7,O619&lt;='01_설정'!$B$8),"Y","")</f>
        <v/>
      </c>
      <c r="Q619">
        <f>IF(P619&lt;&gt;"Y","",MAX(0,(1-M619/'01_설정'!$B$5))*'01_설정'!$B$14+MAX(0,(1-N619/'01_설정'!$B$7))*'01_설정'!$B$16+MAX(0,(1-O619/'01_설정'!$B$8))*'01_설정'!$B$17+K619*'01_설정'!$B$11+L619*'01_설정'!$B$12)</f>
        <v/>
      </c>
      <c r="R619">
        <f>IF(Q619="","",1+COUNTIFS($Q$31:$Q$1030,"&gt;"&amp;Q619)+COUNTIFS($Q$31:Q619,Q619)-1)</f>
        <v/>
      </c>
    </row>
    <row r="620" hidden="1" ht="16.5" customHeight="1">
      <c r="A620">
        <f>IF(COUNTA('05_KAIS'!$A608:$N608)=0,"",593)</f>
        <v/>
      </c>
      <c r="B620">
        <f>IF($A620="","",TRIM(INDEX('05_KAIS'!$B:$B,$A620)&amp;" "&amp;INDEX('05_KAIS'!$C:$C,$A620)))</f>
        <v/>
      </c>
      <c r="C620">
        <f>IF($A620="","",INDEX('05_KAIS'!$D:$D,$A620))</f>
        <v/>
      </c>
      <c r="D620">
        <f>IF($A620="","",INDEX('05_KAIS'!$H:$H,$A620))</f>
        <v/>
      </c>
      <c r="E620">
        <f>IF($A620="","",INDEX('05_KAIS'!$K:$K,$A620))</f>
        <v/>
      </c>
      <c r="F620" s="202">
        <f>IF($A620="","",INDEX('05_KAIS'!$I:$I,$A620))</f>
        <v/>
      </c>
      <c r="G620" s="118">
        <f>IF($A620="","",INDEX('05_KAIS'!$L:$L,$A620))</f>
        <v/>
      </c>
      <c r="H620" s="118">
        <f>IF($A620="","",IFERROR(INDEX('05_KAIS'!$M:$M,$A620),IF(AND(E620&gt;0,G620&gt;0),G620/E620,"")))</f>
        <v/>
      </c>
      <c r="I620" s="202">
        <f>IF($A620="","",INDEX('05_KAIS'!$N:$N,$A620))</f>
        <v/>
      </c>
      <c r="J620">
        <f>IF(B620="","",IF('02_대상물건입력'!$B$5="",1,IF(ISNUMBER(SEARCH('02_대상물건입력'!$B$5,B620)),1,0)))</f>
        <v/>
      </c>
      <c r="K620">
        <f>IF(B620="","",IF('02_대상물건입력'!$B$6="",1,IF(ISNUMBER(SEARCH('02_대상물건입력'!$B$6,B620)),1,0)))</f>
        <v/>
      </c>
      <c r="L620">
        <f>IF(D620="","",IF('02_대상물건입력'!$B$8="",0,IF(ISNUMBER(SEARCH('02_대상물건입력'!$B$8,D620)),1,0)))</f>
        <v/>
      </c>
      <c r="M620">
        <f>IFERROR(ABS(E620-'02_대상물건입력'!$B$11)/'02_대상물건입력'!$B$11,"")</f>
        <v/>
      </c>
      <c r="N620">
        <f>IFERROR(ABS('01_설정'!$B$4-F620),"")</f>
        <v/>
      </c>
      <c r="O620">
        <f>IFERROR(ABS(YEAR(I620)-YEAR('02_대상물건입력'!$B$14)),"")</f>
        <v/>
      </c>
      <c r="P620">
        <f>IF(AND(E620&gt;0,F620&gt;0,G620&gt;0,IF('01_설정'!$B$10=1,J620=1,TRUE()),M620&lt;='01_설정'!$B$5,N620&lt;='01_설정'!$B$7,O620&lt;='01_설정'!$B$8),"Y","")</f>
        <v/>
      </c>
      <c r="Q620">
        <f>IF(P620&lt;&gt;"Y","",MAX(0,(1-M620/'01_설정'!$B$5))*'01_설정'!$B$14+MAX(0,(1-N620/'01_설정'!$B$7))*'01_설정'!$B$16+MAX(0,(1-O620/'01_설정'!$B$8))*'01_설정'!$B$17+K620*'01_설정'!$B$11+L620*'01_설정'!$B$12)</f>
        <v/>
      </c>
      <c r="R620">
        <f>IF(Q620="","",1+COUNTIFS($Q$31:$Q$1030,"&gt;"&amp;Q620)+COUNTIFS($Q$31:Q620,Q620)-1)</f>
        <v/>
      </c>
    </row>
    <row r="621" hidden="1" ht="16.5" customHeight="1">
      <c r="A621">
        <f>IF(COUNTA('05_KAIS'!$A609:$N609)=0,"",594)</f>
        <v/>
      </c>
      <c r="B621">
        <f>IF($A621="","",TRIM(INDEX('05_KAIS'!$B:$B,$A621)&amp;" "&amp;INDEX('05_KAIS'!$C:$C,$A621)))</f>
        <v/>
      </c>
      <c r="C621">
        <f>IF($A621="","",INDEX('05_KAIS'!$D:$D,$A621))</f>
        <v/>
      </c>
      <c r="D621">
        <f>IF($A621="","",INDEX('05_KAIS'!$H:$H,$A621))</f>
        <v/>
      </c>
      <c r="E621">
        <f>IF($A621="","",INDEX('05_KAIS'!$K:$K,$A621))</f>
        <v/>
      </c>
      <c r="F621" s="202">
        <f>IF($A621="","",INDEX('05_KAIS'!$I:$I,$A621))</f>
        <v/>
      </c>
      <c r="G621" s="118">
        <f>IF($A621="","",INDEX('05_KAIS'!$L:$L,$A621))</f>
        <v/>
      </c>
      <c r="H621" s="118">
        <f>IF($A621="","",IFERROR(INDEX('05_KAIS'!$M:$M,$A621),IF(AND(E621&gt;0,G621&gt;0),G621/E621,"")))</f>
        <v/>
      </c>
      <c r="I621" s="202">
        <f>IF($A621="","",INDEX('05_KAIS'!$N:$N,$A621))</f>
        <v/>
      </c>
      <c r="J621">
        <f>IF(B621="","",IF('02_대상물건입력'!$B$5="",1,IF(ISNUMBER(SEARCH('02_대상물건입력'!$B$5,B621)),1,0)))</f>
        <v/>
      </c>
      <c r="K621">
        <f>IF(B621="","",IF('02_대상물건입력'!$B$6="",1,IF(ISNUMBER(SEARCH('02_대상물건입력'!$B$6,B621)),1,0)))</f>
        <v/>
      </c>
      <c r="L621">
        <f>IF(D621="","",IF('02_대상물건입력'!$B$8="",0,IF(ISNUMBER(SEARCH('02_대상물건입력'!$B$8,D621)),1,0)))</f>
        <v/>
      </c>
      <c r="M621">
        <f>IFERROR(ABS(E621-'02_대상물건입력'!$B$11)/'02_대상물건입력'!$B$11,"")</f>
        <v/>
      </c>
      <c r="N621">
        <f>IFERROR(ABS('01_설정'!$B$4-F621),"")</f>
        <v/>
      </c>
      <c r="O621">
        <f>IFERROR(ABS(YEAR(I621)-YEAR('02_대상물건입력'!$B$14)),"")</f>
        <v/>
      </c>
      <c r="P621">
        <f>IF(AND(E621&gt;0,F621&gt;0,G621&gt;0,IF('01_설정'!$B$10=1,J621=1,TRUE()),M621&lt;='01_설정'!$B$5,N621&lt;='01_설정'!$B$7,O621&lt;='01_설정'!$B$8),"Y","")</f>
        <v/>
      </c>
      <c r="Q621">
        <f>IF(P621&lt;&gt;"Y","",MAX(0,(1-M621/'01_설정'!$B$5))*'01_설정'!$B$14+MAX(0,(1-N621/'01_설정'!$B$7))*'01_설정'!$B$16+MAX(0,(1-O621/'01_설정'!$B$8))*'01_설정'!$B$17+K621*'01_설정'!$B$11+L621*'01_설정'!$B$12)</f>
        <v/>
      </c>
      <c r="R621">
        <f>IF(Q621="","",1+COUNTIFS($Q$31:$Q$1030,"&gt;"&amp;Q621)+COUNTIFS($Q$31:Q621,Q621)-1)</f>
        <v/>
      </c>
    </row>
    <row r="622" hidden="1" ht="16.5" customHeight="1">
      <c r="A622">
        <f>IF(COUNTA('05_KAIS'!$A610:$N610)=0,"",595)</f>
        <v/>
      </c>
      <c r="B622">
        <f>IF($A622="","",TRIM(INDEX('05_KAIS'!$B:$B,$A622)&amp;" "&amp;INDEX('05_KAIS'!$C:$C,$A622)))</f>
        <v/>
      </c>
      <c r="C622">
        <f>IF($A622="","",INDEX('05_KAIS'!$D:$D,$A622))</f>
        <v/>
      </c>
      <c r="D622">
        <f>IF($A622="","",INDEX('05_KAIS'!$H:$H,$A622))</f>
        <v/>
      </c>
      <c r="E622">
        <f>IF($A622="","",INDEX('05_KAIS'!$K:$K,$A622))</f>
        <v/>
      </c>
      <c r="F622" s="202">
        <f>IF($A622="","",INDEX('05_KAIS'!$I:$I,$A622))</f>
        <v/>
      </c>
      <c r="G622" s="118">
        <f>IF($A622="","",INDEX('05_KAIS'!$L:$L,$A622))</f>
        <v/>
      </c>
      <c r="H622" s="118">
        <f>IF($A622="","",IFERROR(INDEX('05_KAIS'!$M:$M,$A622),IF(AND(E622&gt;0,G622&gt;0),G622/E622,"")))</f>
        <v/>
      </c>
      <c r="I622" s="202">
        <f>IF($A622="","",INDEX('05_KAIS'!$N:$N,$A622))</f>
        <v/>
      </c>
      <c r="J622">
        <f>IF(B622="","",IF('02_대상물건입력'!$B$5="",1,IF(ISNUMBER(SEARCH('02_대상물건입력'!$B$5,B622)),1,0)))</f>
        <v/>
      </c>
      <c r="K622">
        <f>IF(B622="","",IF('02_대상물건입력'!$B$6="",1,IF(ISNUMBER(SEARCH('02_대상물건입력'!$B$6,B622)),1,0)))</f>
        <v/>
      </c>
      <c r="L622">
        <f>IF(D622="","",IF('02_대상물건입력'!$B$8="",0,IF(ISNUMBER(SEARCH('02_대상물건입력'!$B$8,D622)),1,0)))</f>
        <v/>
      </c>
      <c r="M622">
        <f>IFERROR(ABS(E622-'02_대상물건입력'!$B$11)/'02_대상물건입력'!$B$11,"")</f>
        <v/>
      </c>
      <c r="N622">
        <f>IFERROR(ABS('01_설정'!$B$4-F622),"")</f>
        <v/>
      </c>
      <c r="O622">
        <f>IFERROR(ABS(YEAR(I622)-YEAR('02_대상물건입력'!$B$14)),"")</f>
        <v/>
      </c>
      <c r="P622">
        <f>IF(AND(E622&gt;0,F622&gt;0,G622&gt;0,IF('01_설정'!$B$10=1,J622=1,TRUE()),M622&lt;='01_설정'!$B$5,N622&lt;='01_설정'!$B$7,O622&lt;='01_설정'!$B$8),"Y","")</f>
        <v/>
      </c>
      <c r="Q622">
        <f>IF(P622&lt;&gt;"Y","",MAX(0,(1-M622/'01_설정'!$B$5))*'01_설정'!$B$14+MAX(0,(1-N622/'01_설정'!$B$7))*'01_설정'!$B$16+MAX(0,(1-O622/'01_설정'!$B$8))*'01_설정'!$B$17+K622*'01_설정'!$B$11+L622*'01_설정'!$B$12)</f>
        <v/>
      </c>
      <c r="R622">
        <f>IF(Q622="","",1+COUNTIFS($Q$31:$Q$1030,"&gt;"&amp;Q622)+COUNTIFS($Q$31:Q622,Q622)-1)</f>
        <v/>
      </c>
    </row>
    <row r="623" hidden="1" ht="16.5" customHeight="1">
      <c r="A623">
        <f>IF(COUNTA('05_KAIS'!$A611:$N611)=0,"",596)</f>
        <v/>
      </c>
      <c r="B623">
        <f>IF($A623="","",TRIM(INDEX('05_KAIS'!$B:$B,$A623)&amp;" "&amp;INDEX('05_KAIS'!$C:$C,$A623)))</f>
        <v/>
      </c>
      <c r="C623">
        <f>IF($A623="","",INDEX('05_KAIS'!$D:$D,$A623))</f>
        <v/>
      </c>
      <c r="D623">
        <f>IF($A623="","",INDEX('05_KAIS'!$H:$H,$A623))</f>
        <v/>
      </c>
      <c r="E623">
        <f>IF($A623="","",INDEX('05_KAIS'!$K:$K,$A623))</f>
        <v/>
      </c>
      <c r="F623" s="202">
        <f>IF($A623="","",INDEX('05_KAIS'!$I:$I,$A623))</f>
        <v/>
      </c>
      <c r="G623" s="118">
        <f>IF($A623="","",INDEX('05_KAIS'!$L:$L,$A623))</f>
        <v/>
      </c>
      <c r="H623" s="118">
        <f>IF($A623="","",IFERROR(INDEX('05_KAIS'!$M:$M,$A623),IF(AND(E623&gt;0,G623&gt;0),G623/E623,"")))</f>
        <v/>
      </c>
      <c r="I623" s="202">
        <f>IF($A623="","",INDEX('05_KAIS'!$N:$N,$A623))</f>
        <v/>
      </c>
      <c r="J623">
        <f>IF(B623="","",IF('02_대상물건입력'!$B$5="",1,IF(ISNUMBER(SEARCH('02_대상물건입력'!$B$5,B623)),1,0)))</f>
        <v/>
      </c>
      <c r="K623">
        <f>IF(B623="","",IF('02_대상물건입력'!$B$6="",1,IF(ISNUMBER(SEARCH('02_대상물건입력'!$B$6,B623)),1,0)))</f>
        <v/>
      </c>
      <c r="L623">
        <f>IF(D623="","",IF('02_대상물건입력'!$B$8="",0,IF(ISNUMBER(SEARCH('02_대상물건입력'!$B$8,D623)),1,0)))</f>
        <v/>
      </c>
      <c r="M623">
        <f>IFERROR(ABS(E623-'02_대상물건입력'!$B$11)/'02_대상물건입력'!$B$11,"")</f>
        <v/>
      </c>
      <c r="N623">
        <f>IFERROR(ABS('01_설정'!$B$4-F623),"")</f>
        <v/>
      </c>
      <c r="O623">
        <f>IFERROR(ABS(YEAR(I623)-YEAR('02_대상물건입력'!$B$14)),"")</f>
        <v/>
      </c>
      <c r="P623">
        <f>IF(AND(E623&gt;0,F623&gt;0,G623&gt;0,IF('01_설정'!$B$10=1,J623=1,TRUE()),M623&lt;='01_설정'!$B$5,N623&lt;='01_설정'!$B$7,O623&lt;='01_설정'!$B$8),"Y","")</f>
        <v/>
      </c>
      <c r="Q623">
        <f>IF(P623&lt;&gt;"Y","",MAX(0,(1-M623/'01_설정'!$B$5))*'01_설정'!$B$14+MAX(0,(1-N623/'01_설정'!$B$7))*'01_설정'!$B$16+MAX(0,(1-O623/'01_설정'!$B$8))*'01_설정'!$B$17+K623*'01_설정'!$B$11+L623*'01_설정'!$B$12)</f>
        <v/>
      </c>
      <c r="R623">
        <f>IF(Q623="","",1+COUNTIFS($Q$31:$Q$1030,"&gt;"&amp;Q623)+COUNTIFS($Q$31:Q623,Q623)-1)</f>
        <v/>
      </c>
    </row>
    <row r="624" hidden="1" ht="16.5" customHeight="1">
      <c r="A624">
        <f>IF(COUNTA('05_KAIS'!$A612:$N612)=0,"",597)</f>
        <v/>
      </c>
      <c r="B624">
        <f>IF($A624="","",TRIM(INDEX('05_KAIS'!$B:$B,$A624)&amp;" "&amp;INDEX('05_KAIS'!$C:$C,$A624)))</f>
        <v/>
      </c>
      <c r="C624">
        <f>IF($A624="","",INDEX('05_KAIS'!$D:$D,$A624))</f>
        <v/>
      </c>
      <c r="D624">
        <f>IF($A624="","",INDEX('05_KAIS'!$H:$H,$A624))</f>
        <v/>
      </c>
      <c r="E624">
        <f>IF($A624="","",INDEX('05_KAIS'!$K:$K,$A624))</f>
        <v/>
      </c>
      <c r="F624" s="202">
        <f>IF($A624="","",INDEX('05_KAIS'!$I:$I,$A624))</f>
        <v/>
      </c>
      <c r="G624" s="118">
        <f>IF($A624="","",INDEX('05_KAIS'!$L:$L,$A624))</f>
        <v/>
      </c>
      <c r="H624" s="118">
        <f>IF($A624="","",IFERROR(INDEX('05_KAIS'!$M:$M,$A624),IF(AND(E624&gt;0,G624&gt;0),G624/E624,"")))</f>
        <v/>
      </c>
      <c r="I624" s="202">
        <f>IF($A624="","",INDEX('05_KAIS'!$N:$N,$A624))</f>
        <v/>
      </c>
      <c r="J624">
        <f>IF(B624="","",IF('02_대상물건입력'!$B$5="",1,IF(ISNUMBER(SEARCH('02_대상물건입력'!$B$5,B624)),1,0)))</f>
        <v/>
      </c>
      <c r="K624">
        <f>IF(B624="","",IF('02_대상물건입력'!$B$6="",1,IF(ISNUMBER(SEARCH('02_대상물건입력'!$B$6,B624)),1,0)))</f>
        <v/>
      </c>
      <c r="L624">
        <f>IF(D624="","",IF('02_대상물건입력'!$B$8="",0,IF(ISNUMBER(SEARCH('02_대상물건입력'!$B$8,D624)),1,0)))</f>
        <v/>
      </c>
      <c r="M624">
        <f>IFERROR(ABS(E624-'02_대상물건입력'!$B$11)/'02_대상물건입력'!$B$11,"")</f>
        <v/>
      </c>
      <c r="N624">
        <f>IFERROR(ABS('01_설정'!$B$4-F624),"")</f>
        <v/>
      </c>
      <c r="O624">
        <f>IFERROR(ABS(YEAR(I624)-YEAR('02_대상물건입력'!$B$14)),"")</f>
        <v/>
      </c>
      <c r="P624">
        <f>IF(AND(E624&gt;0,F624&gt;0,G624&gt;0,IF('01_설정'!$B$10=1,J624=1,TRUE()),M624&lt;='01_설정'!$B$5,N624&lt;='01_설정'!$B$7,O624&lt;='01_설정'!$B$8),"Y","")</f>
        <v/>
      </c>
      <c r="Q624">
        <f>IF(P624&lt;&gt;"Y","",MAX(0,(1-M624/'01_설정'!$B$5))*'01_설정'!$B$14+MAX(0,(1-N624/'01_설정'!$B$7))*'01_설정'!$B$16+MAX(0,(1-O624/'01_설정'!$B$8))*'01_설정'!$B$17+K624*'01_설정'!$B$11+L624*'01_설정'!$B$12)</f>
        <v/>
      </c>
      <c r="R624">
        <f>IF(Q624="","",1+COUNTIFS($Q$31:$Q$1030,"&gt;"&amp;Q624)+COUNTIFS($Q$31:Q624,Q624)-1)</f>
        <v/>
      </c>
    </row>
    <row r="625" hidden="1" ht="16.5" customHeight="1">
      <c r="A625">
        <f>IF(COUNTA('05_KAIS'!$A613:$N613)=0,"",598)</f>
        <v/>
      </c>
      <c r="B625">
        <f>IF($A625="","",TRIM(INDEX('05_KAIS'!$B:$B,$A625)&amp;" "&amp;INDEX('05_KAIS'!$C:$C,$A625)))</f>
        <v/>
      </c>
      <c r="C625">
        <f>IF($A625="","",INDEX('05_KAIS'!$D:$D,$A625))</f>
        <v/>
      </c>
      <c r="D625">
        <f>IF($A625="","",INDEX('05_KAIS'!$H:$H,$A625))</f>
        <v/>
      </c>
      <c r="E625">
        <f>IF($A625="","",INDEX('05_KAIS'!$K:$K,$A625))</f>
        <v/>
      </c>
      <c r="F625" s="202">
        <f>IF($A625="","",INDEX('05_KAIS'!$I:$I,$A625))</f>
        <v/>
      </c>
      <c r="G625" s="118">
        <f>IF($A625="","",INDEX('05_KAIS'!$L:$L,$A625))</f>
        <v/>
      </c>
      <c r="H625" s="118">
        <f>IF($A625="","",IFERROR(INDEX('05_KAIS'!$M:$M,$A625),IF(AND(E625&gt;0,G625&gt;0),G625/E625,"")))</f>
        <v/>
      </c>
      <c r="I625" s="202">
        <f>IF($A625="","",INDEX('05_KAIS'!$N:$N,$A625))</f>
        <v/>
      </c>
      <c r="J625">
        <f>IF(B625="","",IF('02_대상물건입력'!$B$5="",1,IF(ISNUMBER(SEARCH('02_대상물건입력'!$B$5,B625)),1,0)))</f>
        <v/>
      </c>
      <c r="K625">
        <f>IF(B625="","",IF('02_대상물건입력'!$B$6="",1,IF(ISNUMBER(SEARCH('02_대상물건입력'!$B$6,B625)),1,0)))</f>
        <v/>
      </c>
      <c r="L625">
        <f>IF(D625="","",IF('02_대상물건입력'!$B$8="",0,IF(ISNUMBER(SEARCH('02_대상물건입력'!$B$8,D625)),1,0)))</f>
        <v/>
      </c>
      <c r="M625">
        <f>IFERROR(ABS(E625-'02_대상물건입력'!$B$11)/'02_대상물건입력'!$B$11,"")</f>
        <v/>
      </c>
      <c r="N625">
        <f>IFERROR(ABS('01_설정'!$B$4-F625),"")</f>
        <v/>
      </c>
      <c r="O625">
        <f>IFERROR(ABS(YEAR(I625)-YEAR('02_대상물건입력'!$B$14)),"")</f>
        <v/>
      </c>
      <c r="P625">
        <f>IF(AND(E625&gt;0,F625&gt;0,G625&gt;0,IF('01_설정'!$B$10=1,J625=1,TRUE()),M625&lt;='01_설정'!$B$5,N625&lt;='01_설정'!$B$7,O625&lt;='01_설정'!$B$8),"Y","")</f>
        <v/>
      </c>
      <c r="Q625">
        <f>IF(P625&lt;&gt;"Y","",MAX(0,(1-M625/'01_설정'!$B$5))*'01_설정'!$B$14+MAX(0,(1-N625/'01_설정'!$B$7))*'01_설정'!$B$16+MAX(0,(1-O625/'01_설정'!$B$8))*'01_설정'!$B$17+K625*'01_설정'!$B$11+L625*'01_설정'!$B$12)</f>
        <v/>
      </c>
      <c r="R625">
        <f>IF(Q625="","",1+COUNTIFS($Q$31:$Q$1030,"&gt;"&amp;Q625)+COUNTIFS($Q$31:Q625,Q625)-1)</f>
        <v/>
      </c>
    </row>
    <row r="626" hidden="1" ht="16.5" customHeight="1">
      <c r="A626">
        <f>IF(COUNTA('05_KAIS'!$A614:$N614)=0,"",599)</f>
        <v/>
      </c>
      <c r="B626">
        <f>IF($A626="","",TRIM(INDEX('05_KAIS'!$B:$B,$A626)&amp;" "&amp;INDEX('05_KAIS'!$C:$C,$A626)))</f>
        <v/>
      </c>
      <c r="C626">
        <f>IF($A626="","",INDEX('05_KAIS'!$D:$D,$A626))</f>
        <v/>
      </c>
      <c r="D626">
        <f>IF($A626="","",INDEX('05_KAIS'!$H:$H,$A626))</f>
        <v/>
      </c>
      <c r="E626">
        <f>IF($A626="","",INDEX('05_KAIS'!$K:$K,$A626))</f>
        <v/>
      </c>
      <c r="F626" s="202">
        <f>IF($A626="","",INDEX('05_KAIS'!$I:$I,$A626))</f>
        <v/>
      </c>
      <c r="G626" s="118">
        <f>IF($A626="","",INDEX('05_KAIS'!$L:$L,$A626))</f>
        <v/>
      </c>
      <c r="H626" s="118">
        <f>IF($A626="","",IFERROR(INDEX('05_KAIS'!$M:$M,$A626),IF(AND(E626&gt;0,G626&gt;0),G626/E626,"")))</f>
        <v/>
      </c>
      <c r="I626" s="202">
        <f>IF($A626="","",INDEX('05_KAIS'!$N:$N,$A626))</f>
        <v/>
      </c>
      <c r="J626">
        <f>IF(B626="","",IF('02_대상물건입력'!$B$5="",1,IF(ISNUMBER(SEARCH('02_대상물건입력'!$B$5,B626)),1,0)))</f>
        <v/>
      </c>
      <c r="K626">
        <f>IF(B626="","",IF('02_대상물건입력'!$B$6="",1,IF(ISNUMBER(SEARCH('02_대상물건입력'!$B$6,B626)),1,0)))</f>
        <v/>
      </c>
      <c r="L626">
        <f>IF(D626="","",IF('02_대상물건입력'!$B$8="",0,IF(ISNUMBER(SEARCH('02_대상물건입력'!$B$8,D626)),1,0)))</f>
        <v/>
      </c>
      <c r="M626">
        <f>IFERROR(ABS(E626-'02_대상물건입력'!$B$11)/'02_대상물건입력'!$B$11,"")</f>
        <v/>
      </c>
      <c r="N626">
        <f>IFERROR(ABS('01_설정'!$B$4-F626),"")</f>
        <v/>
      </c>
      <c r="O626">
        <f>IFERROR(ABS(YEAR(I626)-YEAR('02_대상물건입력'!$B$14)),"")</f>
        <v/>
      </c>
      <c r="P626">
        <f>IF(AND(E626&gt;0,F626&gt;0,G626&gt;0,IF('01_설정'!$B$10=1,J626=1,TRUE()),M626&lt;='01_설정'!$B$5,N626&lt;='01_설정'!$B$7,O626&lt;='01_설정'!$B$8),"Y","")</f>
        <v/>
      </c>
      <c r="Q626">
        <f>IF(P626&lt;&gt;"Y","",MAX(0,(1-M626/'01_설정'!$B$5))*'01_설정'!$B$14+MAX(0,(1-N626/'01_설정'!$B$7))*'01_설정'!$B$16+MAX(0,(1-O626/'01_설정'!$B$8))*'01_설정'!$B$17+K626*'01_설정'!$B$11+L626*'01_설정'!$B$12)</f>
        <v/>
      </c>
      <c r="R626">
        <f>IF(Q626="","",1+COUNTIFS($Q$31:$Q$1030,"&gt;"&amp;Q626)+COUNTIFS($Q$31:Q626,Q626)-1)</f>
        <v/>
      </c>
    </row>
    <row r="627" hidden="1" ht="16.5" customHeight="1">
      <c r="A627">
        <f>IF(COUNTA('05_KAIS'!$A615:$N615)=0,"",600)</f>
        <v/>
      </c>
      <c r="B627">
        <f>IF($A627="","",TRIM(INDEX('05_KAIS'!$B:$B,$A627)&amp;" "&amp;INDEX('05_KAIS'!$C:$C,$A627)))</f>
        <v/>
      </c>
      <c r="C627">
        <f>IF($A627="","",INDEX('05_KAIS'!$D:$D,$A627))</f>
        <v/>
      </c>
      <c r="D627">
        <f>IF($A627="","",INDEX('05_KAIS'!$H:$H,$A627))</f>
        <v/>
      </c>
      <c r="E627">
        <f>IF($A627="","",INDEX('05_KAIS'!$K:$K,$A627))</f>
        <v/>
      </c>
      <c r="F627" s="202">
        <f>IF($A627="","",INDEX('05_KAIS'!$I:$I,$A627))</f>
        <v/>
      </c>
      <c r="G627" s="118">
        <f>IF($A627="","",INDEX('05_KAIS'!$L:$L,$A627))</f>
        <v/>
      </c>
      <c r="H627" s="118">
        <f>IF($A627="","",IFERROR(INDEX('05_KAIS'!$M:$M,$A627),IF(AND(E627&gt;0,G627&gt;0),G627/E627,"")))</f>
        <v/>
      </c>
      <c r="I627" s="202">
        <f>IF($A627="","",INDEX('05_KAIS'!$N:$N,$A627))</f>
        <v/>
      </c>
      <c r="J627">
        <f>IF(B627="","",IF('02_대상물건입력'!$B$5="",1,IF(ISNUMBER(SEARCH('02_대상물건입력'!$B$5,B627)),1,0)))</f>
        <v/>
      </c>
      <c r="K627">
        <f>IF(B627="","",IF('02_대상물건입력'!$B$6="",1,IF(ISNUMBER(SEARCH('02_대상물건입력'!$B$6,B627)),1,0)))</f>
        <v/>
      </c>
      <c r="L627">
        <f>IF(D627="","",IF('02_대상물건입력'!$B$8="",0,IF(ISNUMBER(SEARCH('02_대상물건입력'!$B$8,D627)),1,0)))</f>
        <v/>
      </c>
      <c r="M627">
        <f>IFERROR(ABS(E627-'02_대상물건입력'!$B$11)/'02_대상물건입력'!$B$11,"")</f>
        <v/>
      </c>
      <c r="N627">
        <f>IFERROR(ABS('01_설정'!$B$4-F627),"")</f>
        <v/>
      </c>
      <c r="O627">
        <f>IFERROR(ABS(YEAR(I627)-YEAR('02_대상물건입력'!$B$14)),"")</f>
        <v/>
      </c>
      <c r="P627">
        <f>IF(AND(E627&gt;0,F627&gt;0,G627&gt;0,IF('01_설정'!$B$10=1,J627=1,TRUE()),M627&lt;='01_설정'!$B$5,N627&lt;='01_설정'!$B$7,O627&lt;='01_설정'!$B$8),"Y","")</f>
        <v/>
      </c>
      <c r="Q627">
        <f>IF(P627&lt;&gt;"Y","",MAX(0,(1-M627/'01_설정'!$B$5))*'01_설정'!$B$14+MAX(0,(1-N627/'01_설정'!$B$7))*'01_설정'!$B$16+MAX(0,(1-O627/'01_설정'!$B$8))*'01_설정'!$B$17+K627*'01_설정'!$B$11+L627*'01_설정'!$B$12)</f>
        <v/>
      </c>
      <c r="R627">
        <f>IF(Q627="","",1+COUNTIFS($Q$31:$Q$1030,"&gt;"&amp;Q627)+COUNTIFS($Q$31:Q627,Q627)-1)</f>
        <v/>
      </c>
    </row>
    <row r="628" hidden="1" ht="16.5" customHeight="1">
      <c r="A628">
        <f>IF(COUNTA('05_KAIS'!$A616:$N616)=0,"",601)</f>
        <v/>
      </c>
      <c r="B628">
        <f>IF($A628="","",TRIM(INDEX('05_KAIS'!$B:$B,$A628)&amp;" "&amp;INDEX('05_KAIS'!$C:$C,$A628)))</f>
        <v/>
      </c>
      <c r="C628">
        <f>IF($A628="","",INDEX('05_KAIS'!$D:$D,$A628))</f>
        <v/>
      </c>
      <c r="D628">
        <f>IF($A628="","",INDEX('05_KAIS'!$H:$H,$A628))</f>
        <v/>
      </c>
      <c r="E628">
        <f>IF($A628="","",INDEX('05_KAIS'!$K:$K,$A628))</f>
        <v/>
      </c>
      <c r="F628" s="202">
        <f>IF($A628="","",INDEX('05_KAIS'!$I:$I,$A628))</f>
        <v/>
      </c>
      <c r="G628" s="118">
        <f>IF($A628="","",INDEX('05_KAIS'!$L:$L,$A628))</f>
        <v/>
      </c>
      <c r="H628" s="118">
        <f>IF($A628="","",IFERROR(INDEX('05_KAIS'!$M:$M,$A628),IF(AND(E628&gt;0,G628&gt;0),G628/E628,"")))</f>
        <v/>
      </c>
      <c r="I628" s="202">
        <f>IF($A628="","",INDEX('05_KAIS'!$N:$N,$A628))</f>
        <v/>
      </c>
      <c r="J628">
        <f>IF(B628="","",IF('02_대상물건입력'!$B$5="",1,IF(ISNUMBER(SEARCH('02_대상물건입력'!$B$5,B628)),1,0)))</f>
        <v/>
      </c>
      <c r="K628">
        <f>IF(B628="","",IF('02_대상물건입력'!$B$6="",1,IF(ISNUMBER(SEARCH('02_대상물건입력'!$B$6,B628)),1,0)))</f>
        <v/>
      </c>
      <c r="L628">
        <f>IF(D628="","",IF('02_대상물건입력'!$B$8="",0,IF(ISNUMBER(SEARCH('02_대상물건입력'!$B$8,D628)),1,0)))</f>
        <v/>
      </c>
      <c r="M628">
        <f>IFERROR(ABS(E628-'02_대상물건입력'!$B$11)/'02_대상물건입력'!$B$11,"")</f>
        <v/>
      </c>
      <c r="N628">
        <f>IFERROR(ABS('01_설정'!$B$4-F628),"")</f>
        <v/>
      </c>
      <c r="O628">
        <f>IFERROR(ABS(YEAR(I628)-YEAR('02_대상물건입력'!$B$14)),"")</f>
        <v/>
      </c>
      <c r="P628">
        <f>IF(AND(E628&gt;0,F628&gt;0,G628&gt;0,IF('01_설정'!$B$10=1,J628=1,TRUE()),M628&lt;='01_설정'!$B$5,N628&lt;='01_설정'!$B$7,O628&lt;='01_설정'!$B$8),"Y","")</f>
        <v/>
      </c>
      <c r="Q628">
        <f>IF(P628&lt;&gt;"Y","",MAX(0,(1-M628/'01_설정'!$B$5))*'01_설정'!$B$14+MAX(0,(1-N628/'01_설정'!$B$7))*'01_설정'!$B$16+MAX(0,(1-O628/'01_설정'!$B$8))*'01_설정'!$B$17+K628*'01_설정'!$B$11+L628*'01_설정'!$B$12)</f>
        <v/>
      </c>
      <c r="R628">
        <f>IF(Q628="","",1+COUNTIFS($Q$31:$Q$1030,"&gt;"&amp;Q628)+COUNTIFS($Q$31:Q628,Q628)-1)</f>
        <v/>
      </c>
    </row>
    <row r="629" hidden="1" ht="16.5" customHeight="1">
      <c r="A629">
        <f>IF(COUNTA('05_KAIS'!$A617:$N617)=0,"",602)</f>
        <v/>
      </c>
      <c r="B629">
        <f>IF($A629="","",TRIM(INDEX('05_KAIS'!$B:$B,$A629)&amp;" "&amp;INDEX('05_KAIS'!$C:$C,$A629)))</f>
        <v/>
      </c>
      <c r="C629">
        <f>IF($A629="","",INDEX('05_KAIS'!$D:$D,$A629))</f>
        <v/>
      </c>
      <c r="D629">
        <f>IF($A629="","",INDEX('05_KAIS'!$H:$H,$A629))</f>
        <v/>
      </c>
      <c r="E629">
        <f>IF($A629="","",INDEX('05_KAIS'!$K:$K,$A629))</f>
        <v/>
      </c>
      <c r="F629" s="202">
        <f>IF($A629="","",INDEX('05_KAIS'!$I:$I,$A629))</f>
        <v/>
      </c>
      <c r="G629" s="118">
        <f>IF($A629="","",INDEX('05_KAIS'!$L:$L,$A629))</f>
        <v/>
      </c>
      <c r="H629" s="118">
        <f>IF($A629="","",IFERROR(INDEX('05_KAIS'!$M:$M,$A629),IF(AND(E629&gt;0,G629&gt;0),G629/E629,"")))</f>
        <v/>
      </c>
      <c r="I629" s="202">
        <f>IF($A629="","",INDEX('05_KAIS'!$N:$N,$A629))</f>
        <v/>
      </c>
      <c r="J629">
        <f>IF(B629="","",IF('02_대상물건입력'!$B$5="",1,IF(ISNUMBER(SEARCH('02_대상물건입력'!$B$5,B629)),1,0)))</f>
        <v/>
      </c>
      <c r="K629">
        <f>IF(B629="","",IF('02_대상물건입력'!$B$6="",1,IF(ISNUMBER(SEARCH('02_대상물건입력'!$B$6,B629)),1,0)))</f>
        <v/>
      </c>
      <c r="L629">
        <f>IF(D629="","",IF('02_대상물건입력'!$B$8="",0,IF(ISNUMBER(SEARCH('02_대상물건입력'!$B$8,D629)),1,0)))</f>
        <v/>
      </c>
      <c r="M629">
        <f>IFERROR(ABS(E629-'02_대상물건입력'!$B$11)/'02_대상물건입력'!$B$11,"")</f>
        <v/>
      </c>
      <c r="N629">
        <f>IFERROR(ABS('01_설정'!$B$4-F629),"")</f>
        <v/>
      </c>
      <c r="O629">
        <f>IFERROR(ABS(YEAR(I629)-YEAR('02_대상물건입력'!$B$14)),"")</f>
        <v/>
      </c>
      <c r="P629">
        <f>IF(AND(E629&gt;0,F629&gt;0,G629&gt;0,IF('01_설정'!$B$10=1,J629=1,TRUE()),M629&lt;='01_설정'!$B$5,N629&lt;='01_설정'!$B$7,O629&lt;='01_설정'!$B$8),"Y","")</f>
        <v/>
      </c>
      <c r="Q629">
        <f>IF(P629&lt;&gt;"Y","",MAX(0,(1-M629/'01_설정'!$B$5))*'01_설정'!$B$14+MAX(0,(1-N629/'01_설정'!$B$7))*'01_설정'!$B$16+MAX(0,(1-O629/'01_설정'!$B$8))*'01_설정'!$B$17+K629*'01_설정'!$B$11+L629*'01_설정'!$B$12)</f>
        <v/>
      </c>
      <c r="R629">
        <f>IF(Q629="","",1+COUNTIFS($Q$31:$Q$1030,"&gt;"&amp;Q629)+COUNTIFS($Q$31:Q629,Q629)-1)</f>
        <v/>
      </c>
    </row>
    <row r="630" hidden="1" ht="16.5" customHeight="1">
      <c r="A630">
        <f>IF(COUNTA('05_KAIS'!$A618:$N618)=0,"",603)</f>
        <v/>
      </c>
      <c r="B630">
        <f>IF($A630="","",TRIM(INDEX('05_KAIS'!$B:$B,$A630)&amp;" "&amp;INDEX('05_KAIS'!$C:$C,$A630)))</f>
        <v/>
      </c>
      <c r="C630">
        <f>IF($A630="","",INDEX('05_KAIS'!$D:$D,$A630))</f>
        <v/>
      </c>
      <c r="D630">
        <f>IF($A630="","",INDEX('05_KAIS'!$H:$H,$A630))</f>
        <v/>
      </c>
      <c r="E630">
        <f>IF($A630="","",INDEX('05_KAIS'!$K:$K,$A630))</f>
        <v/>
      </c>
      <c r="F630" s="202">
        <f>IF($A630="","",INDEX('05_KAIS'!$I:$I,$A630))</f>
        <v/>
      </c>
      <c r="G630" s="118">
        <f>IF($A630="","",INDEX('05_KAIS'!$L:$L,$A630))</f>
        <v/>
      </c>
      <c r="H630" s="118">
        <f>IF($A630="","",IFERROR(INDEX('05_KAIS'!$M:$M,$A630),IF(AND(E630&gt;0,G630&gt;0),G630/E630,"")))</f>
        <v/>
      </c>
      <c r="I630" s="202">
        <f>IF($A630="","",INDEX('05_KAIS'!$N:$N,$A630))</f>
        <v/>
      </c>
      <c r="J630">
        <f>IF(B630="","",IF('02_대상물건입력'!$B$5="",1,IF(ISNUMBER(SEARCH('02_대상물건입력'!$B$5,B630)),1,0)))</f>
        <v/>
      </c>
      <c r="K630">
        <f>IF(B630="","",IF('02_대상물건입력'!$B$6="",1,IF(ISNUMBER(SEARCH('02_대상물건입력'!$B$6,B630)),1,0)))</f>
        <v/>
      </c>
      <c r="L630">
        <f>IF(D630="","",IF('02_대상물건입력'!$B$8="",0,IF(ISNUMBER(SEARCH('02_대상물건입력'!$B$8,D630)),1,0)))</f>
        <v/>
      </c>
      <c r="M630">
        <f>IFERROR(ABS(E630-'02_대상물건입력'!$B$11)/'02_대상물건입력'!$B$11,"")</f>
        <v/>
      </c>
      <c r="N630">
        <f>IFERROR(ABS('01_설정'!$B$4-F630),"")</f>
        <v/>
      </c>
      <c r="O630">
        <f>IFERROR(ABS(YEAR(I630)-YEAR('02_대상물건입력'!$B$14)),"")</f>
        <v/>
      </c>
      <c r="P630">
        <f>IF(AND(E630&gt;0,F630&gt;0,G630&gt;0,IF('01_설정'!$B$10=1,J630=1,TRUE()),M630&lt;='01_설정'!$B$5,N630&lt;='01_설정'!$B$7,O630&lt;='01_설정'!$B$8),"Y","")</f>
        <v/>
      </c>
      <c r="Q630">
        <f>IF(P630&lt;&gt;"Y","",MAX(0,(1-M630/'01_설정'!$B$5))*'01_설정'!$B$14+MAX(0,(1-N630/'01_설정'!$B$7))*'01_설정'!$B$16+MAX(0,(1-O630/'01_설정'!$B$8))*'01_설정'!$B$17+K630*'01_설정'!$B$11+L630*'01_설정'!$B$12)</f>
        <v/>
      </c>
      <c r="R630">
        <f>IF(Q630="","",1+COUNTIFS($Q$31:$Q$1030,"&gt;"&amp;Q630)+COUNTIFS($Q$31:Q630,Q630)-1)</f>
        <v/>
      </c>
    </row>
    <row r="631" hidden="1" ht="16.5" customHeight="1">
      <c r="A631">
        <f>IF(COUNTA('05_KAIS'!$A619:$N619)=0,"",604)</f>
        <v/>
      </c>
      <c r="B631">
        <f>IF($A631="","",TRIM(INDEX('05_KAIS'!$B:$B,$A631)&amp;" "&amp;INDEX('05_KAIS'!$C:$C,$A631)))</f>
        <v/>
      </c>
      <c r="C631">
        <f>IF($A631="","",INDEX('05_KAIS'!$D:$D,$A631))</f>
        <v/>
      </c>
      <c r="D631">
        <f>IF($A631="","",INDEX('05_KAIS'!$H:$H,$A631))</f>
        <v/>
      </c>
      <c r="E631">
        <f>IF($A631="","",INDEX('05_KAIS'!$K:$K,$A631))</f>
        <v/>
      </c>
      <c r="F631" s="202">
        <f>IF($A631="","",INDEX('05_KAIS'!$I:$I,$A631))</f>
        <v/>
      </c>
      <c r="G631" s="118">
        <f>IF($A631="","",INDEX('05_KAIS'!$L:$L,$A631))</f>
        <v/>
      </c>
      <c r="H631" s="118">
        <f>IF($A631="","",IFERROR(INDEX('05_KAIS'!$M:$M,$A631),IF(AND(E631&gt;0,G631&gt;0),G631/E631,"")))</f>
        <v/>
      </c>
      <c r="I631" s="202">
        <f>IF($A631="","",INDEX('05_KAIS'!$N:$N,$A631))</f>
        <v/>
      </c>
      <c r="J631">
        <f>IF(B631="","",IF('02_대상물건입력'!$B$5="",1,IF(ISNUMBER(SEARCH('02_대상물건입력'!$B$5,B631)),1,0)))</f>
        <v/>
      </c>
      <c r="K631">
        <f>IF(B631="","",IF('02_대상물건입력'!$B$6="",1,IF(ISNUMBER(SEARCH('02_대상물건입력'!$B$6,B631)),1,0)))</f>
        <v/>
      </c>
      <c r="L631">
        <f>IF(D631="","",IF('02_대상물건입력'!$B$8="",0,IF(ISNUMBER(SEARCH('02_대상물건입력'!$B$8,D631)),1,0)))</f>
        <v/>
      </c>
      <c r="M631">
        <f>IFERROR(ABS(E631-'02_대상물건입력'!$B$11)/'02_대상물건입력'!$B$11,"")</f>
        <v/>
      </c>
      <c r="N631">
        <f>IFERROR(ABS('01_설정'!$B$4-F631),"")</f>
        <v/>
      </c>
      <c r="O631">
        <f>IFERROR(ABS(YEAR(I631)-YEAR('02_대상물건입력'!$B$14)),"")</f>
        <v/>
      </c>
      <c r="P631">
        <f>IF(AND(E631&gt;0,F631&gt;0,G631&gt;0,IF('01_설정'!$B$10=1,J631=1,TRUE()),M631&lt;='01_설정'!$B$5,N631&lt;='01_설정'!$B$7,O631&lt;='01_설정'!$B$8),"Y","")</f>
        <v/>
      </c>
      <c r="Q631">
        <f>IF(P631&lt;&gt;"Y","",MAX(0,(1-M631/'01_설정'!$B$5))*'01_설정'!$B$14+MAX(0,(1-N631/'01_설정'!$B$7))*'01_설정'!$B$16+MAX(0,(1-O631/'01_설정'!$B$8))*'01_설정'!$B$17+K631*'01_설정'!$B$11+L631*'01_설정'!$B$12)</f>
        <v/>
      </c>
      <c r="R631">
        <f>IF(Q631="","",1+COUNTIFS($Q$31:$Q$1030,"&gt;"&amp;Q631)+COUNTIFS($Q$31:Q631,Q631)-1)</f>
        <v/>
      </c>
    </row>
    <row r="632" hidden="1" ht="16.5" customHeight="1">
      <c r="A632">
        <f>IF(COUNTA('05_KAIS'!$A620:$N620)=0,"",605)</f>
        <v/>
      </c>
      <c r="B632">
        <f>IF($A632="","",TRIM(INDEX('05_KAIS'!$B:$B,$A632)&amp;" "&amp;INDEX('05_KAIS'!$C:$C,$A632)))</f>
        <v/>
      </c>
      <c r="C632">
        <f>IF($A632="","",INDEX('05_KAIS'!$D:$D,$A632))</f>
        <v/>
      </c>
      <c r="D632">
        <f>IF($A632="","",INDEX('05_KAIS'!$H:$H,$A632))</f>
        <v/>
      </c>
      <c r="E632">
        <f>IF($A632="","",INDEX('05_KAIS'!$K:$K,$A632))</f>
        <v/>
      </c>
      <c r="F632" s="202">
        <f>IF($A632="","",INDEX('05_KAIS'!$I:$I,$A632))</f>
        <v/>
      </c>
      <c r="G632" s="118">
        <f>IF($A632="","",INDEX('05_KAIS'!$L:$L,$A632))</f>
        <v/>
      </c>
      <c r="H632" s="118">
        <f>IF($A632="","",IFERROR(INDEX('05_KAIS'!$M:$M,$A632),IF(AND(E632&gt;0,G632&gt;0),G632/E632,"")))</f>
        <v/>
      </c>
      <c r="I632" s="202">
        <f>IF($A632="","",INDEX('05_KAIS'!$N:$N,$A632))</f>
        <v/>
      </c>
      <c r="J632">
        <f>IF(B632="","",IF('02_대상물건입력'!$B$5="",1,IF(ISNUMBER(SEARCH('02_대상물건입력'!$B$5,B632)),1,0)))</f>
        <v/>
      </c>
      <c r="K632">
        <f>IF(B632="","",IF('02_대상물건입력'!$B$6="",1,IF(ISNUMBER(SEARCH('02_대상물건입력'!$B$6,B632)),1,0)))</f>
        <v/>
      </c>
      <c r="L632">
        <f>IF(D632="","",IF('02_대상물건입력'!$B$8="",0,IF(ISNUMBER(SEARCH('02_대상물건입력'!$B$8,D632)),1,0)))</f>
        <v/>
      </c>
      <c r="M632">
        <f>IFERROR(ABS(E632-'02_대상물건입력'!$B$11)/'02_대상물건입력'!$B$11,"")</f>
        <v/>
      </c>
      <c r="N632">
        <f>IFERROR(ABS('01_설정'!$B$4-F632),"")</f>
        <v/>
      </c>
      <c r="O632">
        <f>IFERROR(ABS(YEAR(I632)-YEAR('02_대상물건입력'!$B$14)),"")</f>
        <v/>
      </c>
      <c r="P632">
        <f>IF(AND(E632&gt;0,F632&gt;0,G632&gt;0,IF('01_설정'!$B$10=1,J632=1,TRUE()),M632&lt;='01_설정'!$B$5,N632&lt;='01_설정'!$B$7,O632&lt;='01_설정'!$B$8),"Y","")</f>
        <v/>
      </c>
      <c r="Q632">
        <f>IF(P632&lt;&gt;"Y","",MAX(0,(1-M632/'01_설정'!$B$5))*'01_설정'!$B$14+MAX(0,(1-N632/'01_설정'!$B$7))*'01_설정'!$B$16+MAX(0,(1-O632/'01_설정'!$B$8))*'01_설정'!$B$17+K632*'01_설정'!$B$11+L632*'01_설정'!$B$12)</f>
        <v/>
      </c>
      <c r="R632">
        <f>IF(Q632="","",1+COUNTIFS($Q$31:$Q$1030,"&gt;"&amp;Q632)+COUNTIFS($Q$31:Q632,Q632)-1)</f>
        <v/>
      </c>
    </row>
    <row r="633" hidden="1" ht="16.5" customHeight="1">
      <c r="A633">
        <f>IF(COUNTA('05_KAIS'!$A621:$N621)=0,"",606)</f>
        <v/>
      </c>
      <c r="B633">
        <f>IF($A633="","",TRIM(INDEX('05_KAIS'!$B:$B,$A633)&amp;" "&amp;INDEX('05_KAIS'!$C:$C,$A633)))</f>
        <v/>
      </c>
      <c r="C633">
        <f>IF($A633="","",INDEX('05_KAIS'!$D:$D,$A633))</f>
        <v/>
      </c>
      <c r="D633">
        <f>IF($A633="","",INDEX('05_KAIS'!$H:$H,$A633))</f>
        <v/>
      </c>
      <c r="E633">
        <f>IF($A633="","",INDEX('05_KAIS'!$K:$K,$A633))</f>
        <v/>
      </c>
      <c r="F633" s="202">
        <f>IF($A633="","",INDEX('05_KAIS'!$I:$I,$A633))</f>
        <v/>
      </c>
      <c r="G633" s="118">
        <f>IF($A633="","",INDEX('05_KAIS'!$L:$L,$A633))</f>
        <v/>
      </c>
      <c r="H633" s="118">
        <f>IF($A633="","",IFERROR(INDEX('05_KAIS'!$M:$M,$A633),IF(AND(E633&gt;0,G633&gt;0),G633/E633,"")))</f>
        <v/>
      </c>
      <c r="I633" s="202">
        <f>IF($A633="","",INDEX('05_KAIS'!$N:$N,$A633))</f>
        <v/>
      </c>
      <c r="J633">
        <f>IF(B633="","",IF('02_대상물건입력'!$B$5="",1,IF(ISNUMBER(SEARCH('02_대상물건입력'!$B$5,B633)),1,0)))</f>
        <v/>
      </c>
      <c r="K633">
        <f>IF(B633="","",IF('02_대상물건입력'!$B$6="",1,IF(ISNUMBER(SEARCH('02_대상물건입력'!$B$6,B633)),1,0)))</f>
        <v/>
      </c>
      <c r="L633">
        <f>IF(D633="","",IF('02_대상물건입력'!$B$8="",0,IF(ISNUMBER(SEARCH('02_대상물건입력'!$B$8,D633)),1,0)))</f>
        <v/>
      </c>
      <c r="M633">
        <f>IFERROR(ABS(E633-'02_대상물건입력'!$B$11)/'02_대상물건입력'!$B$11,"")</f>
        <v/>
      </c>
      <c r="N633">
        <f>IFERROR(ABS('01_설정'!$B$4-F633),"")</f>
        <v/>
      </c>
      <c r="O633">
        <f>IFERROR(ABS(YEAR(I633)-YEAR('02_대상물건입력'!$B$14)),"")</f>
        <v/>
      </c>
      <c r="P633">
        <f>IF(AND(E633&gt;0,F633&gt;0,G633&gt;0,IF('01_설정'!$B$10=1,J633=1,TRUE()),M633&lt;='01_설정'!$B$5,N633&lt;='01_설정'!$B$7,O633&lt;='01_설정'!$B$8),"Y","")</f>
        <v/>
      </c>
      <c r="Q633">
        <f>IF(P633&lt;&gt;"Y","",MAX(0,(1-M633/'01_설정'!$B$5))*'01_설정'!$B$14+MAX(0,(1-N633/'01_설정'!$B$7))*'01_설정'!$B$16+MAX(0,(1-O633/'01_설정'!$B$8))*'01_설정'!$B$17+K633*'01_설정'!$B$11+L633*'01_설정'!$B$12)</f>
        <v/>
      </c>
      <c r="R633">
        <f>IF(Q633="","",1+COUNTIFS($Q$31:$Q$1030,"&gt;"&amp;Q633)+COUNTIFS($Q$31:Q633,Q633)-1)</f>
        <v/>
      </c>
    </row>
    <row r="634" hidden="1" ht="16.5" customHeight="1">
      <c r="A634">
        <f>IF(COUNTA('05_KAIS'!$A622:$N622)=0,"",607)</f>
        <v/>
      </c>
      <c r="B634">
        <f>IF($A634="","",TRIM(INDEX('05_KAIS'!$B:$B,$A634)&amp;" "&amp;INDEX('05_KAIS'!$C:$C,$A634)))</f>
        <v/>
      </c>
      <c r="C634">
        <f>IF($A634="","",INDEX('05_KAIS'!$D:$D,$A634))</f>
        <v/>
      </c>
      <c r="D634">
        <f>IF($A634="","",INDEX('05_KAIS'!$H:$H,$A634))</f>
        <v/>
      </c>
      <c r="E634">
        <f>IF($A634="","",INDEX('05_KAIS'!$K:$K,$A634))</f>
        <v/>
      </c>
      <c r="F634" s="202">
        <f>IF($A634="","",INDEX('05_KAIS'!$I:$I,$A634))</f>
        <v/>
      </c>
      <c r="G634" s="118">
        <f>IF($A634="","",INDEX('05_KAIS'!$L:$L,$A634))</f>
        <v/>
      </c>
      <c r="H634" s="118">
        <f>IF($A634="","",IFERROR(INDEX('05_KAIS'!$M:$M,$A634),IF(AND(E634&gt;0,G634&gt;0),G634/E634,"")))</f>
        <v/>
      </c>
      <c r="I634" s="202">
        <f>IF($A634="","",INDEX('05_KAIS'!$N:$N,$A634))</f>
        <v/>
      </c>
      <c r="J634">
        <f>IF(B634="","",IF('02_대상물건입력'!$B$5="",1,IF(ISNUMBER(SEARCH('02_대상물건입력'!$B$5,B634)),1,0)))</f>
        <v/>
      </c>
      <c r="K634">
        <f>IF(B634="","",IF('02_대상물건입력'!$B$6="",1,IF(ISNUMBER(SEARCH('02_대상물건입력'!$B$6,B634)),1,0)))</f>
        <v/>
      </c>
      <c r="L634">
        <f>IF(D634="","",IF('02_대상물건입력'!$B$8="",0,IF(ISNUMBER(SEARCH('02_대상물건입력'!$B$8,D634)),1,0)))</f>
        <v/>
      </c>
      <c r="M634">
        <f>IFERROR(ABS(E634-'02_대상물건입력'!$B$11)/'02_대상물건입력'!$B$11,"")</f>
        <v/>
      </c>
      <c r="N634">
        <f>IFERROR(ABS('01_설정'!$B$4-F634),"")</f>
        <v/>
      </c>
      <c r="O634">
        <f>IFERROR(ABS(YEAR(I634)-YEAR('02_대상물건입력'!$B$14)),"")</f>
        <v/>
      </c>
      <c r="P634">
        <f>IF(AND(E634&gt;0,F634&gt;0,G634&gt;0,IF('01_설정'!$B$10=1,J634=1,TRUE()),M634&lt;='01_설정'!$B$5,N634&lt;='01_설정'!$B$7,O634&lt;='01_설정'!$B$8),"Y","")</f>
        <v/>
      </c>
      <c r="Q634">
        <f>IF(P634&lt;&gt;"Y","",MAX(0,(1-M634/'01_설정'!$B$5))*'01_설정'!$B$14+MAX(0,(1-N634/'01_설정'!$B$7))*'01_설정'!$B$16+MAX(0,(1-O634/'01_설정'!$B$8))*'01_설정'!$B$17+K634*'01_설정'!$B$11+L634*'01_설정'!$B$12)</f>
        <v/>
      </c>
      <c r="R634">
        <f>IF(Q634="","",1+COUNTIFS($Q$31:$Q$1030,"&gt;"&amp;Q634)+COUNTIFS($Q$31:Q634,Q634)-1)</f>
        <v/>
      </c>
    </row>
    <row r="635" hidden="1" ht="16.5" customHeight="1">
      <c r="A635">
        <f>IF(COUNTA('05_KAIS'!$A623:$N623)=0,"",608)</f>
        <v/>
      </c>
      <c r="B635">
        <f>IF($A635="","",TRIM(INDEX('05_KAIS'!$B:$B,$A635)&amp;" "&amp;INDEX('05_KAIS'!$C:$C,$A635)))</f>
        <v/>
      </c>
      <c r="C635">
        <f>IF($A635="","",INDEX('05_KAIS'!$D:$D,$A635))</f>
        <v/>
      </c>
      <c r="D635">
        <f>IF($A635="","",INDEX('05_KAIS'!$H:$H,$A635))</f>
        <v/>
      </c>
      <c r="E635">
        <f>IF($A635="","",INDEX('05_KAIS'!$K:$K,$A635))</f>
        <v/>
      </c>
      <c r="F635" s="202">
        <f>IF($A635="","",INDEX('05_KAIS'!$I:$I,$A635))</f>
        <v/>
      </c>
      <c r="G635" s="118">
        <f>IF($A635="","",INDEX('05_KAIS'!$L:$L,$A635))</f>
        <v/>
      </c>
      <c r="H635" s="118">
        <f>IF($A635="","",IFERROR(INDEX('05_KAIS'!$M:$M,$A635),IF(AND(E635&gt;0,G635&gt;0),G635/E635,"")))</f>
        <v/>
      </c>
      <c r="I635" s="202">
        <f>IF($A635="","",INDEX('05_KAIS'!$N:$N,$A635))</f>
        <v/>
      </c>
      <c r="J635">
        <f>IF(B635="","",IF('02_대상물건입력'!$B$5="",1,IF(ISNUMBER(SEARCH('02_대상물건입력'!$B$5,B635)),1,0)))</f>
        <v/>
      </c>
      <c r="K635">
        <f>IF(B635="","",IF('02_대상물건입력'!$B$6="",1,IF(ISNUMBER(SEARCH('02_대상물건입력'!$B$6,B635)),1,0)))</f>
        <v/>
      </c>
      <c r="L635">
        <f>IF(D635="","",IF('02_대상물건입력'!$B$8="",0,IF(ISNUMBER(SEARCH('02_대상물건입력'!$B$8,D635)),1,0)))</f>
        <v/>
      </c>
      <c r="M635">
        <f>IFERROR(ABS(E635-'02_대상물건입력'!$B$11)/'02_대상물건입력'!$B$11,"")</f>
        <v/>
      </c>
      <c r="N635">
        <f>IFERROR(ABS('01_설정'!$B$4-F635),"")</f>
        <v/>
      </c>
      <c r="O635">
        <f>IFERROR(ABS(YEAR(I635)-YEAR('02_대상물건입력'!$B$14)),"")</f>
        <v/>
      </c>
      <c r="P635">
        <f>IF(AND(E635&gt;0,F635&gt;0,G635&gt;0,IF('01_설정'!$B$10=1,J635=1,TRUE()),M635&lt;='01_설정'!$B$5,N635&lt;='01_설정'!$B$7,O635&lt;='01_설정'!$B$8),"Y","")</f>
        <v/>
      </c>
      <c r="Q635">
        <f>IF(P635&lt;&gt;"Y","",MAX(0,(1-M635/'01_설정'!$B$5))*'01_설정'!$B$14+MAX(0,(1-N635/'01_설정'!$B$7))*'01_설정'!$B$16+MAX(0,(1-O635/'01_설정'!$B$8))*'01_설정'!$B$17+K635*'01_설정'!$B$11+L635*'01_설정'!$B$12)</f>
        <v/>
      </c>
      <c r="R635">
        <f>IF(Q635="","",1+COUNTIFS($Q$31:$Q$1030,"&gt;"&amp;Q635)+COUNTIFS($Q$31:Q635,Q635)-1)</f>
        <v/>
      </c>
    </row>
    <row r="636" hidden="1" ht="16.5" customHeight="1">
      <c r="A636">
        <f>IF(COUNTA('05_KAIS'!$A624:$N624)=0,"",609)</f>
        <v/>
      </c>
      <c r="B636">
        <f>IF($A636="","",TRIM(INDEX('05_KAIS'!$B:$B,$A636)&amp;" "&amp;INDEX('05_KAIS'!$C:$C,$A636)))</f>
        <v/>
      </c>
      <c r="C636">
        <f>IF($A636="","",INDEX('05_KAIS'!$D:$D,$A636))</f>
        <v/>
      </c>
      <c r="D636">
        <f>IF($A636="","",INDEX('05_KAIS'!$H:$H,$A636))</f>
        <v/>
      </c>
      <c r="E636">
        <f>IF($A636="","",INDEX('05_KAIS'!$K:$K,$A636))</f>
        <v/>
      </c>
      <c r="F636" s="202">
        <f>IF($A636="","",INDEX('05_KAIS'!$I:$I,$A636))</f>
        <v/>
      </c>
      <c r="G636" s="118">
        <f>IF($A636="","",INDEX('05_KAIS'!$L:$L,$A636))</f>
        <v/>
      </c>
      <c r="H636" s="118">
        <f>IF($A636="","",IFERROR(INDEX('05_KAIS'!$M:$M,$A636),IF(AND(E636&gt;0,G636&gt;0),G636/E636,"")))</f>
        <v/>
      </c>
      <c r="I636" s="202">
        <f>IF($A636="","",INDEX('05_KAIS'!$N:$N,$A636))</f>
        <v/>
      </c>
      <c r="J636">
        <f>IF(B636="","",IF('02_대상물건입력'!$B$5="",1,IF(ISNUMBER(SEARCH('02_대상물건입력'!$B$5,B636)),1,0)))</f>
        <v/>
      </c>
      <c r="K636">
        <f>IF(B636="","",IF('02_대상물건입력'!$B$6="",1,IF(ISNUMBER(SEARCH('02_대상물건입력'!$B$6,B636)),1,0)))</f>
        <v/>
      </c>
      <c r="L636">
        <f>IF(D636="","",IF('02_대상물건입력'!$B$8="",0,IF(ISNUMBER(SEARCH('02_대상물건입력'!$B$8,D636)),1,0)))</f>
        <v/>
      </c>
      <c r="M636">
        <f>IFERROR(ABS(E636-'02_대상물건입력'!$B$11)/'02_대상물건입력'!$B$11,"")</f>
        <v/>
      </c>
      <c r="N636">
        <f>IFERROR(ABS('01_설정'!$B$4-F636),"")</f>
        <v/>
      </c>
      <c r="O636">
        <f>IFERROR(ABS(YEAR(I636)-YEAR('02_대상물건입력'!$B$14)),"")</f>
        <v/>
      </c>
      <c r="P636">
        <f>IF(AND(E636&gt;0,F636&gt;0,G636&gt;0,IF('01_설정'!$B$10=1,J636=1,TRUE()),M636&lt;='01_설정'!$B$5,N636&lt;='01_설정'!$B$7,O636&lt;='01_설정'!$B$8),"Y","")</f>
        <v/>
      </c>
      <c r="Q636">
        <f>IF(P636&lt;&gt;"Y","",MAX(0,(1-M636/'01_설정'!$B$5))*'01_설정'!$B$14+MAX(0,(1-N636/'01_설정'!$B$7))*'01_설정'!$B$16+MAX(0,(1-O636/'01_설정'!$B$8))*'01_설정'!$B$17+K636*'01_설정'!$B$11+L636*'01_설정'!$B$12)</f>
        <v/>
      </c>
      <c r="R636">
        <f>IF(Q636="","",1+COUNTIFS($Q$31:$Q$1030,"&gt;"&amp;Q636)+COUNTIFS($Q$31:Q636,Q636)-1)</f>
        <v/>
      </c>
    </row>
    <row r="637" hidden="1" ht="16.5" customHeight="1">
      <c r="A637">
        <f>IF(COUNTA('05_KAIS'!$A625:$N625)=0,"",610)</f>
        <v/>
      </c>
      <c r="B637">
        <f>IF($A637="","",TRIM(INDEX('05_KAIS'!$B:$B,$A637)&amp;" "&amp;INDEX('05_KAIS'!$C:$C,$A637)))</f>
        <v/>
      </c>
      <c r="C637">
        <f>IF($A637="","",INDEX('05_KAIS'!$D:$D,$A637))</f>
        <v/>
      </c>
      <c r="D637">
        <f>IF($A637="","",INDEX('05_KAIS'!$H:$H,$A637))</f>
        <v/>
      </c>
      <c r="E637">
        <f>IF($A637="","",INDEX('05_KAIS'!$K:$K,$A637))</f>
        <v/>
      </c>
      <c r="F637" s="202">
        <f>IF($A637="","",INDEX('05_KAIS'!$I:$I,$A637))</f>
        <v/>
      </c>
      <c r="G637" s="118">
        <f>IF($A637="","",INDEX('05_KAIS'!$L:$L,$A637))</f>
        <v/>
      </c>
      <c r="H637" s="118">
        <f>IF($A637="","",IFERROR(INDEX('05_KAIS'!$M:$M,$A637),IF(AND(E637&gt;0,G637&gt;0),G637/E637,"")))</f>
        <v/>
      </c>
      <c r="I637" s="202">
        <f>IF($A637="","",INDEX('05_KAIS'!$N:$N,$A637))</f>
        <v/>
      </c>
      <c r="J637">
        <f>IF(B637="","",IF('02_대상물건입력'!$B$5="",1,IF(ISNUMBER(SEARCH('02_대상물건입력'!$B$5,B637)),1,0)))</f>
        <v/>
      </c>
      <c r="K637">
        <f>IF(B637="","",IF('02_대상물건입력'!$B$6="",1,IF(ISNUMBER(SEARCH('02_대상물건입력'!$B$6,B637)),1,0)))</f>
        <v/>
      </c>
      <c r="L637">
        <f>IF(D637="","",IF('02_대상물건입력'!$B$8="",0,IF(ISNUMBER(SEARCH('02_대상물건입력'!$B$8,D637)),1,0)))</f>
        <v/>
      </c>
      <c r="M637">
        <f>IFERROR(ABS(E637-'02_대상물건입력'!$B$11)/'02_대상물건입력'!$B$11,"")</f>
        <v/>
      </c>
      <c r="N637">
        <f>IFERROR(ABS('01_설정'!$B$4-F637),"")</f>
        <v/>
      </c>
      <c r="O637">
        <f>IFERROR(ABS(YEAR(I637)-YEAR('02_대상물건입력'!$B$14)),"")</f>
        <v/>
      </c>
      <c r="P637">
        <f>IF(AND(E637&gt;0,F637&gt;0,G637&gt;0,IF('01_설정'!$B$10=1,J637=1,TRUE()),M637&lt;='01_설정'!$B$5,N637&lt;='01_설정'!$B$7,O637&lt;='01_설정'!$B$8),"Y","")</f>
        <v/>
      </c>
      <c r="Q637">
        <f>IF(P637&lt;&gt;"Y","",MAX(0,(1-M637/'01_설정'!$B$5))*'01_설정'!$B$14+MAX(0,(1-N637/'01_설정'!$B$7))*'01_설정'!$B$16+MAX(0,(1-O637/'01_설정'!$B$8))*'01_설정'!$B$17+K637*'01_설정'!$B$11+L637*'01_설정'!$B$12)</f>
        <v/>
      </c>
      <c r="R637">
        <f>IF(Q637="","",1+COUNTIFS($Q$31:$Q$1030,"&gt;"&amp;Q637)+COUNTIFS($Q$31:Q637,Q637)-1)</f>
        <v/>
      </c>
    </row>
    <row r="638" hidden="1" ht="16.5" customHeight="1">
      <c r="A638">
        <f>IF(COUNTA('05_KAIS'!$A626:$N626)=0,"",611)</f>
        <v/>
      </c>
      <c r="B638">
        <f>IF($A638="","",TRIM(INDEX('05_KAIS'!$B:$B,$A638)&amp;" "&amp;INDEX('05_KAIS'!$C:$C,$A638)))</f>
        <v/>
      </c>
      <c r="C638">
        <f>IF($A638="","",INDEX('05_KAIS'!$D:$D,$A638))</f>
        <v/>
      </c>
      <c r="D638">
        <f>IF($A638="","",INDEX('05_KAIS'!$H:$H,$A638))</f>
        <v/>
      </c>
      <c r="E638">
        <f>IF($A638="","",INDEX('05_KAIS'!$K:$K,$A638))</f>
        <v/>
      </c>
      <c r="F638" s="202">
        <f>IF($A638="","",INDEX('05_KAIS'!$I:$I,$A638))</f>
        <v/>
      </c>
      <c r="G638" s="118">
        <f>IF($A638="","",INDEX('05_KAIS'!$L:$L,$A638))</f>
        <v/>
      </c>
      <c r="H638" s="118">
        <f>IF($A638="","",IFERROR(INDEX('05_KAIS'!$M:$M,$A638),IF(AND(E638&gt;0,G638&gt;0),G638/E638,"")))</f>
        <v/>
      </c>
      <c r="I638" s="202">
        <f>IF($A638="","",INDEX('05_KAIS'!$N:$N,$A638))</f>
        <v/>
      </c>
      <c r="J638">
        <f>IF(B638="","",IF('02_대상물건입력'!$B$5="",1,IF(ISNUMBER(SEARCH('02_대상물건입력'!$B$5,B638)),1,0)))</f>
        <v/>
      </c>
      <c r="K638">
        <f>IF(B638="","",IF('02_대상물건입력'!$B$6="",1,IF(ISNUMBER(SEARCH('02_대상물건입력'!$B$6,B638)),1,0)))</f>
        <v/>
      </c>
      <c r="L638">
        <f>IF(D638="","",IF('02_대상물건입력'!$B$8="",0,IF(ISNUMBER(SEARCH('02_대상물건입력'!$B$8,D638)),1,0)))</f>
        <v/>
      </c>
      <c r="M638">
        <f>IFERROR(ABS(E638-'02_대상물건입력'!$B$11)/'02_대상물건입력'!$B$11,"")</f>
        <v/>
      </c>
      <c r="N638">
        <f>IFERROR(ABS('01_설정'!$B$4-F638),"")</f>
        <v/>
      </c>
      <c r="O638">
        <f>IFERROR(ABS(YEAR(I638)-YEAR('02_대상물건입력'!$B$14)),"")</f>
        <v/>
      </c>
      <c r="P638">
        <f>IF(AND(E638&gt;0,F638&gt;0,G638&gt;0,IF('01_설정'!$B$10=1,J638=1,TRUE()),M638&lt;='01_설정'!$B$5,N638&lt;='01_설정'!$B$7,O638&lt;='01_설정'!$B$8),"Y","")</f>
        <v/>
      </c>
      <c r="Q638">
        <f>IF(P638&lt;&gt;"Y","",MAX(0,(1-M638/'01_설정'!$B$5))*'01_설정'!$B$14+MAX(0,(1-N638/'01_설정'!$B$7))*'01_설정'!$B$16+MAX(0,(1-O638/'01_설정'!$B$8))*'01_설정'!$B$17+K638*'01_설정'!$B$11+L638*'01_설정'!$B$12)</f>
        <v/>
      </c>
      <c r="R638">
        <f>IF(Q638="","",1+COUNTIFS($Q$31:$Q$1030,"&gt;"&amp;Q638)+COUNTIFS($Q$31:Q638,Q638)-1)</f>
        <v/>
      </c>
    </row>
    <row r="639" hidden="1" ht="16.5" customHeight="1">
      <c r="A639">
        <f>IF(COUNTA('05_KAIS'!$A627:$N627)=0,"",612)</f>
        <v/>
      </c>
      <c r="B639">
        <f>IF($A639="","",TRIM(INDEX('05_KAIS'!$B:$B,$A639)&amp;" "&amp;INDEX('05_KAIS'!$C:$C,$A639)))</f>
        <v/>
      </c>
      <c r="C639">
        <f>IF($A639="","",INDEX('05_KAIS'!$D:$D,$A639))</f>
        <v/>
      </c>
      <c r="D639">
        <f>IF($A639="","",INDEX('05_KAIS'!$H:$H,$A639))</f>
        <v/>
      </c>
      <c r="E639">
        <f>IF($A639="","",INDEX('05_KAIS'!$K:$K,$A639))</f>
        <v/>
      </c>
      <c r="F639" s="202">
        <f>IF($A639="","",INDEX('05_KAIS'!$I:$I,$A639))</f>
        <v/>
      </c>
      <c r="G639" s="118">
        <f>IF($A639="","",INDEX('05_KAIS'!$L:$L,$A639))</f>
        <v/>
      </c>
      <c r="H639" s="118">
        <f>IF($A639="","",IFERROR(INDEX('05_KAIS'!$M:$M,$A639),IF(AND(E639&gt;0,G639&gt;0),G639/E639,"")))</f>
        <v/>
      </c>
      <c r="I639" s="202">
        <f>IF($A639="","",INDEX('05_KAIS'!$N:$N,$A639))</f>
        <v/>
      </c>
      <c r="J639">
        <f>IF(B639="","",IF('02_대상물건입력'!$B$5="",1,IF(ISNUMBER(SEARCH('02_대상물건입력'!$B$5,B639)),1,0)))</f>
        <v/>
      </c>
      <c r="K639">
        <f>IF(B639="","",IF('02_대상물건입력'!$B$6="",1,IF(ISNUMBER(SEARCH('02_대상물건입력'!$B$6,B639)),1,0)))</f>
        <v/>
      </c>
      <c r="L639">
        <f>IF(D639="","",IF('02_대상물건입력'!$B$8="",0,IF(ISNUMBER(SEARCH('02_대상물건입력'!$B$8,D639)),1,0)))</f>
        <v/>
      </c>
      <c r="M639">
        <f>IFERROR(ABS(E639-'02_대상물건입력'!$B$11)/'02_대상물건입력'!$B$11,"")</f>
        <v/>
      </c>
      <c r="N639">
        <f>IFERROR(ABS('01_설정'!$B$4-F639),"")</f>
        <v/>
      </c>
      <c r="O639">
        <f>IFERROR(ABS(YEAR(I639)-YEAR('02_대상물건입력'!$B$14)),"")</f>
        <v/>
      </c>
      <c r="P639">
        <f>IF(AND(E639&gt;0,F639&gt;0,G639&gt;0,IF('01_설정'!$B$10=1,J639=1,TRUE()),M639&lt;='01_설정'!$B$5,N639&lt;='01_설정'!$B$7,O639&lt;='01_설정'!$B$8),"Y","")</f>
        <v/>
      </c>
      <c r="Q639">
        <f>IF(P639&lt;&gt;"Y","",MAX(0,(1-M639/'01_설정'!$B$5))*'01_설정'!$B$14+MAX(0,(1-N639/'01_설정'!$B$7))*'01_설정'!$B$16+MAX(0,(1-O639/'01_설정'!$B$8))*'01_설정'!$B$17+K639*'01_설정'!$B$11+L639*'01_설정'!$B$12)</f>
        <v/>
      </c>
      <c r="R639">
        <f>IF(Q639="","",1+COUNTIFS($Q$31:$Q$1030,"&gt;"&amp;Q639)+COUNTIFS($Q$31:Q639,Q639)-1)</f>
        <v/>
      </c>
    </row>
    <row r="640" hidden="1" ht="16.5" customHeight="1">
      <c r="A640">
        <f>IF(COUNTA('05_KAIS'!$A628:$N628)=0,"",613)</f>
        <v/>
      </c>
      <c r="B640">
        <f>IF($A640="","",TRIM(INDEX('05_KAIS'!$B:$B,$A640)&amp;" "&amp;INDEX('05_KAIS'!$C:$C,$A640)))</f>
        <v/>
      </c>
      <c r="C640">
        <f>IF($A640="","",INDEX('05_KAIS'!$D:$D,$A640))</f>
        <v/>
      </c>
      <c r="D640">
        <f>IF($A640="","",INDEX('05_KAIS'!$H:$H,$A640))</f>
        <v/>
      </c>
      <c r="E640">
        <f>IF($A640="","",INDEX('05_KAIS'!$K:$K,$A640))</f>
        <v/>
      </c>
      <c r="F640" s="202">
        <f>IF($A640="","",INDEX('05_KAIS'!$I:$I,$A640))</f>
        <v/>
      </c>
      <c r="G640" s="118">
        <f>IF($A640="","",INDEX('05_KAIS'!$L:$L,$A640))</f>
        <v/>
      </c>
      <c r="H640" s="118">
        <f>IF($A640="","",IFERROR(INDEX('05_KAIS'!$M:$M,$A640),IF(AND(E640&gt;0,G640&gt;0),G640/E640,"")))</f>
        <v/>
      </c>
      <c r="I640" s="202">
        <f>IF($A640="","",INDEX('05_KAIS'!$N:$N,$A640))</f>
        <v/>
      </c>
      <c r="J640">
        <f>IF(B640="","",IF('02_대상물건입력'!$B$5="",1,IF(ISNUMBER(SEARCH('02_대상물건입력'!$B$5,B640)),1,0)))</f>
        <v/>
      </c>
      <c r="K640">
        <f>IF(B640="","",IF('02_대상물건입력'!$B$6="",1,IF(ISNUMBER(SEARCH('02_대상물건입력'!$B$6,B640)),1,0)))</f>
        <v/>
      </c>
      <c r="L640">
        <f>IF(D640="","",IF('02_대상물건입력'!$B$8="",0,IF(ISNUMBER(SEARCH('02_대상물건입력'!$B$8,D640)),1,0)))</f>
        <v/>
      </c>
      <c r="M640">
        <f>IFERROR(ABS(E640-'02_대상물건입력'!$B$11)/'02_대상물건입력'!$B$11,"")</f>
        <v/>
      </c>
      <c r="N640">
        <f>IFERROR(ABS('01_설정'!$B$4-F640),"")</f>
        <v/>
      </c>
      <c r="O640">
        <f>IFERROR(ABS(YEAR(I640)-YEAR('02_대상물건입력'!$B$14)),"")</f>
        <v/>
      </c>
      <c r="P640">
        <f>IF(AND(E640&gt;0,F640&gt;0,G640&gt;0,IF('01_설정'!$B$10=1,J640=1,TRUE()),M640&lt;='01_설정'!$B$5,N640&lt;='01_설정'!$B$7,O640&lt;='01_설정'!$B$8),"Y","")</f>
        <v/>
      </c>
      <c r="Q640">
        <f>IF(P640&lt;&gt;"Y","",MAX(0,(1-M640/'01_설정'!$B$5))*'01_설정'!$B$14+MAX(0,(1-N640/'01_설정'!$B$7))*'01_설정'!$B$16+MAX(0,(1-O640/'01_설정'!$B$8))*'01_설정'!$B$17+K640*'01_설정'!$B$11+L640*'01_설정'!$B$12)</f>
        <v/>
      </c>
      <c r="R640">
        <f>IF(Q640="","",1+COUNTIFS($Q$31:$Q$1030,"&gt;"&amp;Q640)+COUNTIFS($Q$31:Q640,Q640)-1)</f>
        <v/>
      </c>
    </row>
    <row r="641" hidden="1" ht="16.5" customHeight="1">
      <c r="A641">
        <f>IF(COUNTA('05_KAIS'!$A629:$N629)=0,"",614)</f>
        <v/>
      </c>
      <c r="B641">
        <f>IF($A641="","",TRIM(INDEX('05_KAIS'!$B:$B,$A641)&amp;" "&amp;INDEX('05_KAIS'!$C:$C,$A641)))</f>
        <v/>
      </c>
      <c r="C641">
        <f>IF($A641="","",INDEX('05_KAIS'!$D:$D,$A641))</f>
        <v/>
      </c>
      <c r="D641">
        <f>IF($A641="","",INDEX('05_KAIS'!$H:$H,$A641))</f>
        <v/>
      </c>
      <c r="E641">
        <f>IF($A641="","",INDEX('05_KAIS'!$K:$K,$A641))</f>
        <v/>
      </c>
      <c r="F641" s="202">
        <f>IF($A641="","",INDEX('05_KAIS'!$I:$I,$A641))</f>
        <v/>
      </c>
      <c r="G641" s="118">
        <f>IF($A641="","",INDEX('05_KAIS'!$L:$L,$A641))</f>
        <v/>
      </c>
      <c r="H641" s="118">
        <f>IF($A641="","",IFERROR(INDEX('05_KAIS'!$M:$M,$A641),IF(AND(E641&gt;0,G641&gt;0),G641/E641,"")))</f>
        <v/>
      </c>
      <c r="I641" s="202">
        <f>IF($A641="","",INDEX('05_KAIS'!$N:$N,$A641))</f>
        <v/>
      </c>
      <c r="J641">
        <f>IF(B641="","",IF('02_대상물건입력'!$B$5="",1,IF(ISNUMBER(SEARCH('02_대상물건입력'!$B$5,B641)),1,0)))</f>
        <v/>
      </c>
      <c r="K641">
        <f>IF(B641="","",IF('02_대상물건입력'!$B$6="",1,IF(ISNUMBER(SEARCH('02_대상물건입력'!$B$6,B641)),1,0)))</f>
        <v/>
      </c>
      <c r="L641">
        <f>IF(D641="","",IF('02_대상물건입력'!$B$8="",0,IF(ISNUMBER(SEARCH('02_대상물건입력'!$B$8,D641)),1,0)))</f>
        <v/>
      </c>
      <c r="M641">
        <f>IFERROR(ABS(E641-'02_대상물건입력'!$B$11)/'02_대상물건입력'!$B$11,"")</f>
        <v/>
      </c>
      <c r="N641">
        <f>IFERROR(ABS('01_설정'!$B$4-F641),"")</f>
        <v/>
      </c>
      <c r="O641">
        <f>IFERROR(ABS(YEAR(I641)-YEAR('02_대상물건입력'!$B$14)),"")</f>
        <v/>
      </c>
      <c r="P641">
        <f>IF(AND(E641&gt;0,F641&gt;0,G641&gt;0,IF('01_설정'!$B$10=1,J641=1,TRUE()),M641&lt;='01_설정'!$B$5,N641&lt;='01_설정'!$B$7,O641&lt;='01_설정'!$B$8),"Y","")</f>
        <v/>
      </c>
      <c r="Q641">
        <f>IF(P641&lt;&gt;"Y","",MAX(0,(1-M641/'01_설정'!$B$5))*'01_설정'!$B$14+MAX(0,(1-N641/'01_설정'!$B$7))*'01_설정'!$B$16+MAX(0,(1-O641/'01_설정'!$B$8))*'01_설정'!$B$17+K641*'01_설정'!$B$11+L641*'01_설정'!$B$12)</f>
        <v/>
      </c>
      <c r="R641">
        <f>IF(Q641="","",1+COUNTIFS($Q$31:$Q$1030,"&gt;"&amp;Q641)+COUNTIFS($Q$31:Q641,Q641)-1)</f>
        <v/>
      </c>
    </row>
    <row r="642" hidden="1" ht="16.5" customHeight="1">
      <c r="A642">
        <f>IF(COUNTA('05_KAIS'!$A630:$N630)=0,"",615)</f>
        <v/>
      </c>
      <c r="B642">
        <f>IF($A642="","",TRIM(INDEX('05_KAIS'!$B:$B,$A642)&amp;" "&amp;INDEX('05_KAIS'!$C:$C,$A642)))</f>
        <v/>
      </c>
      <c r="C642">
        <f>IF($A642="","",INDEX('05_KAIS'!$D:$D,$A642))</f>
        <v/>
      </c>
      <c r="D642">
        <f>IF($A642="","",INDEX('05_KAIS'!$H:$H,$A642))</f>
        <v/>
      </c>
      <c r="E642">
        <f>IF($A642="","",INDEX('05_KAIS'!$K:$K,$A642))</f>
        <v/>
      </c>
      <c r="F642" s="202">
        <f>IF($A642="","",INDEX('05_KAIS'!$I:$I,$A642))</f>
        <v/>
      </c>
      <c r="G642" s="118">
        <f>IF($A642="","",INDEX('05_KAIS'!$L:$L,$A642))</f>
        <v/>
      </c>
      <c r="H642" s="118">
        <f>IF($A642="","",IFERROR(INDEX('05_KAIS'!$M:$M,$A642),IF(AND(E642&gt;0,G642&gt;0),G642/E642,"")))</f>
        <v/>
      </c>
      <c r="I642" s="202">
        <f>IF($A642="","",INDEX('05_KAIS'!$N:$N,$A642))</f>
        <v/>
      </c>
      <c r="J642">
        <f>IF(B642="","",IF('02_대상물건입력'!$B$5="",1,IF(ISNUMBER(SEARCH('02_대상물건입력'!$B$5,B642)),1,0)))</f>
        <v/>
      </c>
      <c r="K642">
        <f>IF(B642="","",IF('02_대상물건입력'!$B$6="",1,IF(ISNUMBER(SEARCH('02_대상물건입력'!$B$6,B642)),1,0)))</f>
        <v/>
      </c>
      <c r="L642">
        <f>IF(D642="","",IF('02_대상물건입력'!$B$8="",0,IF(ISNUMBER(SEARCH('02_대상물건입력'!$B$8,D642)),1,0)))</f>
        <v/>
      </c>
      <c r="M642">
        <f>IFERROR(ABS(E642-'02_대상물건입력'!$B$11)/'02_대상물건입력'!$B$11,"")</f>
        <v/>
      </c>
      <c r="N642">
        <f>IFERROR(ABS('01_설정'!$B$4-F642),"")</f>
        <v/>
      </c>
      <c r="O642">
        <f>IFERROR(ABS(YEAR(I642)-YEAR('02_대상물건입력'!$B$14)),"")</f>
        <v/>
      </c>
      <c r="P642">
        <f>IF(AND(E642&gt;0,F642&gt;0,G642&gt;0,IF('01_설정'!$B$10=1,J642=1,TRUE()),M642&lt;='01_설정'!$B$5,N642&lt;='01_설정'!$B$7,O642&lt;='01_설정'!$B$8),"Y","")</f>
        <v/>
      </c>
      <c r="Q642">
        <f>IF(P642&lt;&gt;"Y","",MAX(0,(1-M642/'01_설정'!$B$5))*'01_설정'!$B$14+MAX(0,(1-N642/'01_설정'!$B$7))*'01_설정'!$B$16+MAX(0,(1-O642/'01_설정'!$B$8))*'01_설정'!$B$17+K642*'01_설정'!$B$11+L642*'01_설정'!$B$12)</f>
        <v/>
      </c>
      <c r="R642">
        <f>IF(Q642="","",1+COUNTIFS($Q$31:$Q$1030,"&gt;"&amp;Q642)+COUNTIFS($Q$31:Q642,Q642)-1)</f>
        <v/>
      </c>
    </row>
    <row r="643" hidden="1" ht="16.5" customHeight="1">
      <c r="A643">
        <f>IF(COUNTA('05_KAIS'!$A631:$N631)=0,"",616)</f>
        <v/>
      </c>
      <c r="B643">
        <f>IF($A643="","",TRIM(INDEX('05_KAIS'!$B:$B,$A643)&amp;" "&amp;INDEX('05_KAIS'!$C:$C,$A643)))</f>
        <v/>
      </c>
      <c r="C643">
        <f>IF($A643="","",INDEX('05_KAIS'!$D:$D,$A643))</f>
        <v/>
      </c>
      <c r="D643">
        <f>IF($A643="","",INDEX('05_KAIS'!$H:$H,$A643))</f>
        <v/>
      </c>
      <c r="E643">
        <f>IF($A643="","",INDEX('05_KAIS'!$K:$K,$A643))</f>
        <v/>
      </c>
      <c r="F643" s="202">
        <f>IF($A643="","",INDEX('05_KAIS'!$I:$I,$A643))</f>
        <v/>
      </c>
      <c r="G643" s="118">
        <f>IF($A643="","",INDEX('05_KAIS'!$L:$L,$A643))</f>
        <v/>
      </c>
      <c r="H643" s="118">
        <f>IF($A643="","",IFERROR(INDEX('05_KAIS'!$M:$M,$A643),IF(AND(E643&gt;0,G643&gt;0),G643/E643,"")))</f>
        <v/>
      </c>
      <c r="I643" s="202">
        <f>IF($A643="","",INDEX('05_KAIS'!$N:$N,$A643))</f>
        <v/>
      </c>
      <c r="J643">
        <f>IF(B643="","",IF('02_대상물건입력'!$B$5="",1,IF(ISNUMBER(SEARCH('02_대상물건입력'!$B$5,B643)),1,0)))</f>
        <v/>
      </c>
      <c r="K643">
        <f>IF(B643="","",IF('02_대상물건입력'!$B$6="",1,IF(ISNUMBER(SEARCH('02_대상물건입력'!$B$6,B643)),1,0)))</f>
        <v/>
      </c>
      <c r="L643">
        <f>IF(D643="","",IF('02_대상물건입력'!$B$8="",0,IF(ISNUMBER(SEARCH('02_대상물건입력'!$B$8,D643)),1,0)))</f>
        <v/>
      </c>
      <c r="M643">
        <f>IFERROR(ABS(E643-'02_대상물건입력'!$B$11)/'02_대상물건입력'!$B$11,"")</f>
        <v/>
      </c>
      <c r="N643">
        <f>IFERROR(ABS('01_설정'!$B$4-F643),"")</f>
        <v/>
      </c>
      <c r="O643">
        <f>IFERROR(ABS(YEAR(I643)-YEAR('02_대상물건입력'!$B$14)),"")</f>
        <v/>
      </c>
      <c r="P643">
        <f>IF(AND(E643&gt;0,F643&gt;0,G643&gt;0,IF('01_설정'!$B$10=1,J643=1,TRUE()),M643&lt;='01_설정'!$B$5,N643&lt;='01_설정'!$B$7,O643&lt;='01_설정'!$B$8),"Y","")</f>
        <v/>
      </c>
      <c r="Q643">
        <f>IF(P643&lt;&gt;"Y","",MAX(0,(1-M643/'01_설정'!$B$5))*'01_설정'!$B$14+MAX(0,(1-N643/'01_설정'!$B$7))*'01_설정'!$B$16+MAX(0,(1-O643/'01_설정'!$B$8))*'01_설정'!$B$17+K643*'01_설정'!$B$11+L643*'01_설정'!$B$12)</f>
        <v/>
      </c>
      <c r="R643">
        <f>IF(Q643="","",1+COUNTIFS($Q$31:$Q$1030,"&gt;"&amp;Q643)+COUNTIFS($Q$31:Q643,Q643)-1)</f>
        <v/>
      </c>
    </row>
    <row r="644" hidden="1" ht="16.5" customHeight="1">
      <c r="A644">
        <f>IF(COUNTA('05_KAIS'!$A632:$N632)=0,"",617)</f>
        <v/>
      </c>
      <c r="B644">
        <f>IF($A644="","",TRIM(INDEX('05_KAIS'!$B:$B,$A644)&amp;" "&amp;INDEX('05_KAIS'!$C:$C,$A644)))</f>
        <v/>
      </c>
      <c r="C644">
        <f>IF($A644="","",INDEX('05_KAIS'!$D:$D,$A644))</f>
        <v/>
      </c>
      <c r="D644">
        <f>IF($A644="","",INDEX('05_KAIS'!$H:$H,$A644))</f>
        <v/>
      </c>
      <c r="E644">
        <f>IF($A644="","",INDEX('05_KAIS'!$K:$K,$A644))</f>
        <v/>
      </c>
      <c r="F644" s="202">
        <f>IF($A644="","",INDEX('05_KAIS'!$I:$I,$A644))</f>
        <v/>
      </c>
      <c r="G644" s="118">
        <f>IF($A644="","",INDEX('05_KAIS'!$L:$L,$A644))</f>
        <v/>
      </c>
      <c r="H644" s="118">
        <f>IF($A644="","",IFERROR(INDEX('05_KAIS'!$M:$M,$A644),IF(AND(E644&gt;0,G644&gt;0),G644/E644,"")))</f>
        <v/>
      </c>
      <c r="I644" s="202">
        <f>IF($A644="","",INDEX('05_KAIS'!$N:$N,$A644))</f>
        <v/>
      </c>
      <c r="J644">
        <f>IF(B644="","",IF('02_대상물건입력'!$B$5="",1,IF(ISNUMBER(SEARCH('02_대상물건입력'!$B$5,B644)),1,0)))</f>
        <v/>
      </c>
      <c r="K644">
        <f>IF(B644="","",IF('02_대상물건입력'!$B$6="",1,IF(ISNUMBER(SEARCH('02_대상물건입력'!$B$6,B644)),1,0)))</f>
        <v/>
      </c>
      <c r="L644">
        <f>IF(D644="","",IF('02_대상물건입력'!$B$8="",0,IF(ISNUMBER(SEARCH('02_대상물건입력'!$B$8,D644)),1,0)))</f>
        <v/>
      </c>
      <c r="M644">
        <f>IFERROR(ABS(E644-'02_대상물건입력'!$B$11)/'02_대상물건입력'!$B$11,"")</f>
        <v/>
      </c>
      <c r="N644">
        <f>IFERROR(ABS('01_설정'!$B$4-F644),"")</f>
        <v/>
      </c>
      <c r="O644">
        <f>IFERROR(ABS(YEAR(I644)-YEAR('02_대상물건입력'!$B$14)),"")</f>
        <v/>
      </c>
      <c r="P644">
        <f>IF(AND(E644&gt;0,F644&gt;0,G644&gt;0,IF('01_설정'!$B$10=1,J644=1,TRUE()),M644&lt;='01_설정'!$B$5,N644&lt;='01_설정'!$B$7,O644&lt;='01_설정'!$B$8),"Y","")</f>
        <v/>
      </c>
      <c r="Q644">
        <f>IF(P644&lt;&gt;"Y","",MAX(0,(1-M644/'01_설정'!$B$5))*'01_설정'!$B$14+MAX(0,(1-N644/'01_설정'!$B$7))*'01_설정'!$B$16+MAX(0,(1-O644/'01_설정'!$B$8))*'01_설정'!$B$17+K644*'01_설정'!$B$11+L644*'01_설정'!$B$12)</f>
        <v/>
      </c>
      <c r="R644">
        <f>IF(Q644="","",1+COUNTIFS($Q$31:$Q$1030,"&gt;"&amp;Q644)+COUNTIFS($Q$31:Q644,Q644)-1)</f>
        <v/>
      </c>
    </row>
    <row r="645" hidden="1" ht="16.5" customHeight="1">
      <c r="A645">
        <f>IF(COUNTA('05_KAIS'!$A633:$N633)=0,"",618)</f>
        <v/>
      </c>
      <c r="B645">
        <f>IF($A645="","",TRIM(INDEX('05_KAIS'!$B:$B,$A645)&amp;" "&amp;INDEX('05_KAIS'!$C:$C,$A645)))</f>
        <v/>
      </c>
      <c r="C645">
        <f>IF($A645="","",INDEX('05_KAIS'!$D:$D,$A645))</f>
        <v/>
      </c>
      <c r="D645">
        <f>IF($A645="","",INDEX('05_KAIS'!$H:$H,$A645))</f>
        <v/>
      </c>
      <c r="E645">
        <f>IF($A645="","",INDEX('05_KAIS'!$K:$K,$A645))</f>
        <v/>
      </c>
      <c r="F645" s="202">
        <f>IF($A645="","",INDEX('05_KAIS'!$I:$I,$A645))</f>
        <v/>
      </c>
      <c r="G645" s="118">
        <f>IF($A645="","",INDEX('05_KAIS'!$L:$L,$A645))</f>
        <v/>
      </c>
      <c r="H645" s="118">
        <f>IF($A645="","",IFERROR(INDEX('05_KAIS'!$M:$M,$A645),IF(AND(E645&gt;0,G645&gt;0),G645/E645,"")))</f>
        <v/>
      </c>
      <c r="I645" s="202">
        <f>IF($A645="","",INDEX('05_KAIS'!$N:$N,$A645))</f>
        <v/>
      </c>
      <c r="J645">
        <f>IF(B645="","",IF('02_대상물건입력'!$B$5="",1,IF(ISNUMBER(SEARCH('02_대상물건입력'!$B$5,B645)),1,0)))</f>
        <v/>
      </c>
      <c r="K645">
        <f>IF(B645="","",IF('02_대상물건입력'!$B$6="",1,IF(ISNUMBER(SEARCH('02_대상물건입력'!$B$6,B645)),1,0)))</f>
        <v/>
      </c>
      <c r="L645">
        <f>IF(D645="","",IF('02_대상물건입력'!$B$8="",0,IF(ISNUMBER(SEARCH('02_대상물건입력'!$B$8,D645)),1,0)))</f>
        <v/>
      </c>
      <c r="M645">
        <f>IFERROR(ABS(E645-'02_대상물건입력'!$B$11)/'02_대상물건입력'!$B$11,"")</f>
        <v/>
      </c>
      <c r="N645">
        <f>IFERROR(ABS('01_설정'!$B$4-F645),"")</f>
        <v/>
      </c>
      <c r="O645">
        <f>IFERROR(ABS(YEAR(I645)-YEAR('02_대상물건입력'!$B$14)),"")</f>
        <v/>
      </c>
      <c r="P645">
        <f>IF(AND(E645&gt;0,F645&gt;0,G645&gt;0,IF('01_설정'!$B$10=1,J645=1,TRUE()),M645&lt;='01_설정'!$B$5,N645&lt;='01_설정'!$B$7,O645&lt;='01_설정'!$B$8),"Y","")</f>
        <v/>
      </c>
      <c r="Q645">
        <f>IF(P645&lt;&gt;"Y","",MAX(0,(1-M645/'01_설정'!$B$5))*'01_설정'!$B$14+MAX(0,(1-N645/'01_설정'!$B$7))*'01_설정'!$B$16+MAX(0,(1-O645/'01_설정'!$B$8))*'01_설정'!$B$17+K645*'01_설정'!$B$11+L645*'01_설정'!$B$12)</f>
        <v/>
      </c>
      <c r="R645">
        <f>IF(Q645="","",1+COUNTIFS($Q$31:$Q$1030,"&gt;"&amp;Q645)+COUNTIFS($Q$31:Q645,Q645)-1)</f>
        <v/>
      </c>
    </row>
    <row r="646" hidden="1" ht="16.5" customHeight="1">
      <c r="A646">
        <f>IF(COUNTA('05_KAIS'!$A634:$N634)=0,"",619)</f>
        <v/>
      </c>
      <c r="B646">
        <f>IF($A646="","",TRIM(INDEX('05_KAIS'!$B:$B,$A646)&amp;" "&amp;INDEX('05_KAIS'!$C:$C,$A646)))</f>
        <v/>
      </c>
      <c r="C646">
        <f>IF($A646="","",INDEX('05_KAIS'!$D:$D,$A646))</f>
        <v/>
      </c>
      <c r="D646">
        <f>IF($A646="","",INDEX('05_KAIS'!$H:$H,$A646))</f>
        <v/>
      </c>
      <c r="E646">
        <f>IF($A646="","",INDEX('05_KAIS'!$K:$K,$A646))</f>
        <v/>
      </c>
      <c r="F646" s="202">
        <f>IF($A646="","",INDEX('05_KAIS'!$I:$I,$A646))</f>
        <v/>
      </c>
      <c r="G646" s="118">
        <f>IF($A646="","",INDEX('05_KAIS'!$L:$L,$A646))</f>
        <v/>
      </c>
      <c r="H646" s="118">
        <f>IF($A646="","",IFERROR(INDEX('05_KAIS'!$M:$M,$A646),IF(AND(E646&gt;0,G646&gt;0),G646/E646,"")))</f>
        <v/>
      </c>
      <c r="I646" s="202">
        <f>IF($A646="","",INDEX('05_KAIS'!$N:$N,$A646))</f>
        <v/>
      </c>
      <c r="J646">
        <f>IF(B646="","",IF('02_대상물건입력'!$B$5="",1,IF(ISNUMBER(SEARCH('02_대상물건입력'!$B$5,B646)),1,0)))</f>
        <v/>
      </c>
      <c r="K646">
        <f>IF(B646="","",IF('02_대상물건입력'!$B$6="",1,IF(ISNUMBER(SEARCH('02_대상물건입력'!$B$6,B646)),1,0)))</f>
        <v/>
      </c>
      <c r="L646">
        <f>IF(D646="","",IF('02_대상물건입력'!$B$8="",0,IF(ISNUMBER(SEARCH('02_대상물건입력'!$B$8,D646)),1,0)))</f>
        <v/>
      </c>
      <c r="M646">
        <f>IFERROR(ABS(E646-'02_대상물건입력'!$B$11)/'02_대상물건입력'!$B$11,"")</f>
        <v/>
      </c>
      <c r="N646">
        <f>IFERROR(ABS('01_설정'!$B$4-F646),"")</f>
        <v/>
      </c>
      <c r="O646">
        <f>IFERROR(ABS(YEAR(I646)-YEAR('02_대상물건입력'!$B$14)),"")</f>
        <v/>
      </c>
      <c r="P646">
        <f>IF(AND(E646&gt;0,F646&gt;0,G646&gt;0,IF('01_설정'!$B$10=1,J646=1,TRUE()),M646&lt;='01_설정'!$B$5,N646&lt;='01_설정'!$B$7,O646&lt;='01_설정'!$B$8),"Y","")</f>
        <v/>
      </c>
      <c r="Q646">
        <f>IF(P646&lt;&gt;"Y","",MAX(0,(1-M646/'01_설정'!$B$5))*'01_설정'!$B$14+MAX(0,(1-N646/'01_설정'!$B$7))*'01_설정'!$B$16+MAX(0,(1-O646/'01_설정'!$B$8))*'01_설정'!$B$17+K646*'01_설정'!$B$11+L646*'01_설정'!$B$12)</f>
        <v/>
      </c>
      <c r="R646">
        <f>IF(Q646="","",1+COUNTIFS($Q$31:$Q$1030,"&gt;"&amp;Q646)+COUNTIFS($Q$31:Q646,Q646)-1)</f>
        <v/>
      </c>
    </row>
    <row r="647" hidden="1" ht="16.5" customHeight="1">
      <c r="A647">
        <f>IF(COUNTA('05_KAIS'!$A635:$N635)=0,"",620)</f>
        <v/>
      </c>
      <c r="B647">
        <f>IF($A647="","",TRIM(INDEX('05_KAIS'!$B:$B,$A647)&amp;" "&amp;INDEX('05_KAIS'!$C:$C,$A647)))</f>
        <v/>
      </c>
      <c r="C647">
        <f>IF($A647="","",INDEX('05_KAIS'!$D:$D,$A647))</f>
        <v/>
      </c>
      <c r="D647">
        <f>IF($A647="","",INDEX('05_KAIS'!$H:$H,$A647))</f>
        <v/>
      </c>
      <c r="E647">
        <f>IF($A647="","",INDEX('05_KAIS'!$K:$K,$A647))</f>
        <v/>
      </c>
      <c r="F647" s="202">
        <f>IF($A647="","",INDEX('05_KAIS'!$I:$I,$A647))</f>
        <v/>
      </c>
      <c r="G647" s="118">
        <f>IF($A647="","",INDEX('05_KAIS'!$L:$L,$A647))</f>
        <v/>
      </c>
      <c r="H647" s="118">
        <f>IF($A647="","",IFERROR(INDEX('05_KAIS'!$M:$M,$A647),IF(AND(E647&gt;0,G647&gt;0),G647/E647,"")))</f>
        <v/>
      </c>
      <c r="I647" s="202">
        <f>IF($A647="","",INDEX('05_KAIS'!$N:$N,$A647))</f>
        <v/>
      </c>
      <c r="J647">
        <f>IF(B647="","",IF('02_대상물건입력'!$B$5="",1,IF(ISNUMBER(SEARCH('02_대상물건입력'!$B$5,B647)),1,0)))</f>
        <v/>
      </c>
      <c r="K647">
        <f>IF(B647="","",IF('02_대상물건입력'!$B$6="",1,IF(ISNUMBER(SEARCH('02_대상물건입력'!$B$6,B647)),1,0)))</f>
        <v/>
      </c>
      <c r="L647">
        <f>IF(D647="","",IF('02_대상물건입력'!$B$8="",0,IF(ISNUMBER(SEARCH('02_대상물건입력'!$B$8,D647)),1,0)))</f>
        <v/>
      </c>
      <c r="M647">
        <f>IFERROR(ABS(E647-'02_대상물건입력'!$B$11)/'02_대상물건입력'!$B$11,"")</f>
        <v/>
      </c>
      <c r="N647">
        <f>IFERROR(ABS('01_설정'!$B$4-F647),"")</f>
        <v/>
      </c>
      <c r="O647">
        <f>IFERROR(ABS(YEAR(I647)-YEAR('02_대상물건입력'!$B$14)),"")</f>
        <v/>
      </c>
      <c r="P647">
        <f>IF(AND(E647&gt;0,F647&gt;0,G647&gt;0,IF('01_설정'!$B$10=1,J647=1,TRUE()),M647&lt;='01_설정'!$B$5,N647&lt;='01_설정'!$B$7,O647&lt;='01_설정'!$B$8),"Y","")</f>
        <v/>
      </c>
      <c r="Q647">
        <f>IF(P647&lt;&gt;"Y","",MAX(0,(1-M647/'01_설정'!$B$5))*'01_설정'!$B$14+MAX(0,(1-N647/'01_설정'!$B$7))*'01_설정'!$B$16+MAX(0,(1-O647/'01_설정'!$B$8))*'01_설정'!$B$17+K647*'01_설정'!$B$11+L647*'01_설정'!$B$12)</f>
        <v/>
      </c>
      <c r="R647">
        <f>IF(Q647="","",1+COUNTIFS($Q$31:$Q$1030,"&gt;"&amp;Q647)+COUNTIFS($Q$31:Q647,Q647)-1)</f>
        <v/>
      </c>
    </row>
    <row r="648" hidden="1" ht="16.5" customHeight="1">
      <c r="A648">
        <f>IF(COUNTA('05_KAIS'!$A636:$N636)=0,"",621)</f>
        <v/>
      </c>
      <c r="B648">
        <f>IF($A648="","",TRIM(INDEX('05_KAIS'!$B:$B,$A648)&amp;" "&amp;INDEX('05_KAIS'!$C:$C,$A648)))</f>
        <v/>
      </c>
      <c r="C648">
        <f>IF($A648="","",INDEX('05_KAIS'!$D:$D,$A648))</f>
        <v/>
      </c>
      <c r="D648">
        <f>IF($A648="","",INDEX('05_KAIS'!$H:$H,$A648))</f>
        <v/>
      </c>
      <c r="E648">
        <f>IF($A648="","",INDEX('05_KAIS'!$K:$K,$A648))</f>
        <v/>
      </c>
      <c r="F648" s="202">
        <f>IF($A648="","",INDEX('05_KAIS'!$I:$I,$A648))</f>
        <v/>
      </c>
      <c r="G648" s="118">
        <f>IF($A648="","",INDEX('05_KAIS'!$L:$L,$A648))</f>
        <v/>
      </c>
      <c r="H648" s="118">
        <f>IF($A648="","",IFERROR(INDEX('05_KAIS'!$M:$M,$A648),IF(AND(E648&gt;0,G648&gt;0),G648/E648,"")))</f>
        <v/>
      </c>
      <c r="I648" s="202">
        <f>IF($A648="","",INDEX('05_KAIS'!$N:$N,$A648))</f>
        <v/>
      </c>
      <c r="J648">
        <f>IF(B648="","",IF('02_대상물건입력'!$B$5="",1,IF(ISNUMBER(SEARCH('02_대상물건입력'!$B$5,B648)),1,0)))</f>
        <v/>
      </c>
      <c r="K648">
        <f>IF(B648="","",IF('02_대상물건입력'!$B$6="",1,IF(ISNUMBER(SEARCH('02_대상물건입력'!$B$6,B648)),1,0)))</f>
        <v/>
      </c>
      <c r="L648">
        <f>IF(D648="","",IF('02_대상물건입력'!$B$8="",0,IF(ISNUMBER(SEARCH('02_대상물건입력'!$B$8,D648)),1,0)))</f>
        <v/>
      </c>
      <c r="M648">
        <f>IFERROR(ABS(E648-'02_대상물건입력'!$B$11)/'02_대상물건입력'!$B$11,"")</f>
        <v/>
      </c>
      <c r="N648">
        <f>IFERROR(ABS('01_설정'!$B$4-F648),"")</f>
        <v/>
      </c>
      <c r="O648">
        <f>IFERROR(ABS(YEAR(I648)-YEAR('02_대상물건입력'!$B$14)),"")</f>
        <v/>
      </c>
      <c r="P648">
        <f>IF(AND(E648&gt;0,F648&gt;0,G648&gt;0,IF('01_설정'!$B$10=1,J648=1,TRUE()),M648&lt;='01_설정'!$B$5,N648&lt;='01_설정'!$B$7,O648&lt;='01_설정'!$B$8),"Y","")</f>
        <v/>
      </c>
      <c r="Q648">
        <f>IF(P648&lt;&gt;"Y","",MAX(0,(1-M648/'01_설정'!$B$5))*'01_설정'!$B$14+MAX(0,(1-N648/'01_설정'!$B$7))*'01_설정'!$B$16+MAX(0,(1-O648/'01_설정'!$B$8))*'01_설정'!$B$17+K648*'01_설정'!$B$11+L648*'01_설정'!$B$12)</f>
        <v/>
      </c>
      <c r="R648">
        <f>IF(Q648="","",1+COUNTIFS($Q$31:$Q$1030,"&gt;"&amp;Q648)+COUNTIFS($Q$31:Q648,Q648)-1)</f>
        <v/>
      </c>
    </row>
    <row r="649" hidden="1" ht="16.5" customHeight="1">
      <c r="A649">
        <f>IF(COUNTA('05_KAIS'!$A637:$N637)=0,"",622)</f>
        <v/>
      </c>
      <c r="B649">
        <f>IF($A649="","",TRIM(INDEX('05_KAIS'!$B:$B,$A649)&amp;" "&amp;INDEX('05_KAIS'!$C:$C,$A649)))</f>
        <v/>
      </c>
      <c r="C649">
        <f>IF($A649="","",INDEX('05_KAIS'!$D:$D,$A649))</f>
        <v/>
      </c>
      <c r="D649">
        <f>IF($A649="","",INDEX('05_KAIS'!$H:$H,$A649))</f>
        <v/>
      </c>
      <c r="E649">
        <f>IF($A649="","",INDEX('05_KAIS'!$K:$K,$A649))</f>
        <v/>
      </c>
      <c r="F649" s="202">
        <f>IF($A649="","",INDEX('05_KAIS'!$I:$I,$A649))</f>
        <v/>
      </c>
      <c r="G649" s="118">
        <f>IF($A649="","",INDEX('05_KAIS'!$L:$L,$A649))</f>
        <v/>
      </c>
      <c r="H649" s="118">
        <f>IF($A649="","",IFERROR(INDEX('05_KAIS'!$M:$M,$A649),IF(AND(E649&gt;0,G649&gt;0),G649/E649,"")))</f>
        <v/>
      </c>
      <c r="I649" s="202">
        <f>IF($A649="","",INDEX('05_KAIS'!$N:$N,$A649))</f>
        <v/>
      </c>
      <c r="J649">
        <f>IF(B649="","",IF('02_대상물건입력'!$B$5="",1,IF(ISNUMBER(SEARCH('02_대상물건입력'!$B$5,B649)),1,0)))</f>
        <v/>
      </c>
      <c r="K649">
        <f>IF(B649="","",IF('02_대상물건입력'!$B$6="",1,IF(ISNUMBER(SEARCH('02_대상물건입력'!$B$6,B649)),1,0)))</f>
        <v/>
      </c>
      <c r="L649">
        <f>IF(D649="","",IF('02_대상물건입력'!$B$8="",0,IF(ISNUMBER(SEARCH('02_대상물건입력'!$B$8,D649)),1,0)))</f>
        <v/>
      </c>
      <c r="M649">
        <f>IFERROR(ABS(E649-'02_대상물건입력'!$B$11)/'02_대상물건입력'!$B$11,"")</f>
        <v/>
      </c>
      <c r="N649">
        <f>IFERROR(ABS('01_설정'!$B$4-F649),"")</f>
        <v/>
      </c>
      <c r="O649">
        <f>IFERROR(ABS(YEAR(I649)-YEAR('02_대상물건입력'!$B$14)),"")</f>
        <v/>
      </c>
      <c r="P649">
        <f>IF(AND(E649&gt;0,F649&gt;0,G649&gt;0,IF('01_설정'!$B$10=1,J649=1,TRUE()),M649&lt;='01_설정'!$B$5,N649&lt;='01_설정'!$B$7,O649&lt;='01_설정'!$B$8),"Y","")</f>
        <v/>
      </c>
      <c r="Q649">
        <f>IF(P649&lt;&gt;"Y","",MAX(0,(1-M649/'01_설정'!$B$5))*'01_설정'!$B$14+MAX(0,(1-N649/'01_설정'!$B$7))*'01_설정'!$B$16+MAX(0,(1-O649/'01_설정'!$B$8))*'01_설정'!$B$17+K649*'01_설정'!$B$11+L649*'01_설정'!$B$12)</f>
        <v/>
      </c>
      <c r="R649">
        <f>IF(Q649="","",1+COUNTIFS($Q$31:$Q$1030,"&gt;"&amp;Q649)+COUNTIFS($Q$31:Q649,Q649)-1)</f>
        <v/>
      </c>
    </row>
    <row r="650" hidden="1" ht="16.5" customHeight="1">
      <c r="A650">
        <f>IF(COUNTA('05_KAIS'!$A638:$N638)=0,"",623)</f>
        <v/>
      </c>
      <c r="B650">
        <f>IF($A650="","",TRIM(INDEX('05_KAIS'!$B:$B,$A650)&amp;" "&amp;INDEX('05_KAIS'!$C:$C,$A650)))</f>
        <v/>
      </c>
      <c r="C650">
        <f>IF($A650="","",INDEX('05_KAIS'!$D:$D,$A650))</f>
        <v/>
      </c>
      <c r="D650">
        <f>IF($A650="","",INDEX('05_KAIS'!$H:$H,$A650))</f>
        <v/>
      </c>
      <c r="E650">
        <f>IF($A650="","",INDEX('05_KAIS'!$K:$K,$A650))</f>
        <v/>
      </c>
      <c r="F650" s="202">
        <f>IF($A650="","",INDEX('05_KAIS'!$I:$I,$A650))</f>
        <v/>
      </c>
      <c r="G650" s="118">
        <f>IF($A650="","",INDEX('05_KAIS'!$L:$L,$A650))</f>
        <v/>
      </c>
      <c r="H650" s="118">
        <f>IF($A650="","",IFERROR(INDEX('05_KAIS'!$M:$M,$A650),IF(AND(E650&gt;0,G650&gt;0),G650/E650,"")))</f>
        <v/>
      </c>
      <c r="I650" s="202">
        <f>IF($A650="","",INDEX('05_KAIS'!$N:$N,$A650))</f>
        <v/>
      </c>
      <c r="J650">
        <f>IF(B650="","",IF('02_대상물건입력'!$B$5="",1,IF(ISNUMBER(SEARCH('02_대상물건입력'!$B$5,B650)),1,0)))</f>
        <v/>
      </c>
      <c r="K650">
        <f>IF(B650="","",IF('02_대상물건입력'!$B$6="",1,IF(ISNUMBER(SEARCH('02_대상물건입력'!$B$6,B650)),1,0)))</f>
        <v/>
      </c>
      <c r="L650">
        <f>IF(D650="","",IF('02_대상물건입력'!$B$8="",0,IF(ISNUMBER(SEARCH('02_대상물건입력'!$B$8,D650)),1,0)))</f>
        <v/>
      </c>
      <c r="M650">
        <f>IFERROR(ABS(E650-'02_대상물건입력'!$B$11)/'02_대상물건입력'!$B$11,"")</f>
        <v/>
      </c>
      <c r="N650">
        <f>IFERROR(ABS('01_설정'!$B$4-F650),"")</f>
        <v/>
      </c>
      <c r="O650">
        <f>IFERROR(ABS(YEAR(I650)-YEAR('02_대상물건입력'!$B$14)),"")</f>
        <v/>
      </c>
      <c r="P650">
        <f>IF(AND(E650&gt;0,F650&gt;0,G650&gt;0,IF('01_설정'!$B$10=1,J650=1,TRUE()),M650&lt;='01_설정'!$B$5,N650&lt;='01_설정'!$B$7,O650&lt;='01_설정'!$B$8),"Y","")</f>
        <v/>
      </c>
      <c r="Q650">
        <f>IF(P650&lt;&gt;"Y","",MAX(0,(1-M650/'01_설정'!$B$5))*'01_설정'!$B$14+MAX(0,(1-N650/'01_설정'!$B$7))*'01_설정'!$B$16+MAX(0,(1-O650/'01_설정'!$B$8))*'01_설정'!$B$17+K650*'01_설정'!$B$11+L650*'01_설정'!$B$12)</f>
        <v/>
      </c>
      <c r="R650">
        <f>IF(Q650="","",1+COUNTIFS($Q$31:$Q$1030,"&gt;"&amp;Q650)+COUNTIFS($Q$31:Q650,Q650)-1)</f>
        <v/>
      </c>
    </row>
    <row r="651" hidden="1" ht="16.5" customHeight="1">
      <c r="A651">
        <f>IF(COUNTA('05_KAIS'!$A639:$N639)=0,"",624)</f>
        <v/>
      </c>
      <c r="B651">
        <f>IF($A651="","",TRIM(INDEX('05_KAIS'!$B:$B,$A651)&amp;" "&amp;INDEX('05_KAIS'!$C:$C,$A651)))</f>
        <v/>
      </c>
      <c r="C651">
        <f>IF($A651="","",INDEX('05_KAIS'!$D:$D,$A651))</f>
        <v/>
      </c>
      <c r="D651">
        <f>IF($A651="","",INDEX('05_KAIS'!$H:$H,$A651))</f>
        <v/>
      </c>
      <c r="E651">
        <f>IF($A651="","",INDEX('05_KAIS'!$K:$K,$A651))</f>
        <v/>
      </c>
      <c r="F651" s="202">
        <f>IF($A651="","",INDEX('05_KAIS'!$I:$I,$A651))</f>
        <v/>
      </c>
      <c r="G651" s="118">
        <f>IF($A651="","",INDEX('05_KAIS'!$L:$L,$A651))</f>
        <v/>
      </c>
      <c r="H651" s="118">
        <f>IF($A651="","",IFERROR(INDEX('05_KAIS'!$M:$M,$A651),IF(AND(E651&gt;0,G651&gt;0),G651/E651,"")))</f>
        <v/>
      </c>
      <c r="I651" s="202">
        <f>IF($A651="","",INDEX('05_KAIS'!$N:$N,$A651))</f>
        <v/>
      </c>
      <c r="J651">
        <f>IF(B651="","",IF('02_대상물건입력'!$B$5="",1,IF(ISNUMBER(SEARCH('02_대상물건입력'!$B$5,B651)),1,0)))</f>
        <v/>
      </c>
      <c r="K651">
        <f>IF(B651="","",IF('02_대상물건입력'!$B$6="",1,IF(ISNUMBER(SEARCH('02_대상물건입력'!$B$6,B651)),1,0)))</f>
        <v/>
      </c>
      <c r="L651">
        <f>IF(D651="","",IF('02_대상물건입력'!$B$8="",0,IF(ISNUMBER(SEARCH('02_대상물건입력'!$B$8,D651)),1,0)))</f>
        <v/>
      </c>
      <c r="M651">
        <f>IFERROR(ABS(E651-'02_대상물건입력'!$B$11)/'02_대상물건입력'!$B$11,"")</f>
        <v/>
      </c>
      <c r="N651">
        <f>IFERROR(ABS('01_설정'!$B$4-F651),"")</f>
        <v/>
      </c>
      <c r="O651">
        <f>IFERROR(ABS(YEAR(I651)-YEAR('02_대상물건입력'!$B$14)),"")</f>
        <v/>
      </c>
      <c r="P651">
        <f>IF(AND(E651&gt;0,F651&gt;0,G651&gt;0,IF('01_설정'!$B$10=1,J651=1,TRUE()),M651&lt;='01_설정'!$B$5,N651&lt;='01_설정'!$B$7,O651&lt;='01_설정'!$B$8),"Y","")</f>
        <v/>
      </c>
      <c r="Q651">
        <f>IF(P651&lt;&gt;"Y","",MAX(0,(1-M651/'01_설정'!$B$5))*'01_설정'!$B$14+MAX(0,(1-N651/'01_설정'!$B$7))*'01_설정'!$B$16+MAX(0,(1-O651/'01_설정'!$B$8))*'01_설정'!$B$17+K651*'01_설정'!$B$11+L651*'01_설정'!$B$12)</f>
        <v/>
      </c>
      <c r="R651">
        <f>IF(Q651="","",1+COUNTIFS($Q$31:$Q$1030,"&gt;"&amp;Q651)+COUNTIFS($Q$31:Q651,Q651)-1)</f>
        <v/>
      </c>
    </row>
    <row r="652" hidden="1" ht="16.5" customHeight="1">
      <c r="A652">
        <f>IF(COUNTA('05_KAIS'!$A640:$N640)=0,"",625)</f>
        <v/>
      </c>
      <c r="B652">
        <f>IF($A652="","",TRIM(INDEX('05_KAIS'!$B:$B,$A652)&amp;" "&amp;INDEX('05_KAIS'!$C:$C,$A652)))</f>
        <v/>
      </c>
      <c r="C652">
        <f>IF($A652="","",INDEX('05_KAIS'!$D:$D,$A652))</f>
        <v/>
      </c>
      <c r="D652">
        <f>IF($A652="","",INDEX('05_KAIS'!$H:$H,$A652))</f>
        <v/>
      </c>
      <c r="E652">
        <f>IF($A652="","",INDEX('05_KAIS'!$K:$K,$A652))</f>
        <v/>
      </c>
      <c r="F652" s="202">
        <f>IF($A652="","",INDEX('05_KAIS'!$I:$I,$A652))</f>
        <v/>
      </c>
      <c r="G652" s="118">
        <f>IF($A652="","",INDEX('05_KAIS'!$L:$L,$A652))</f>
        <v/>
      </c>
      <c r="H652" s="118">
        <f>IF($A652="","",IFERROR(INDEX('05_KAIS'!$M:$M,$A652),IF(AND(E652&gt;0,G652&gt;0),G652/E652,"")))</f>
        <v/>
      </c>
      <c r="I652" s="202">
        <f>IF($A652="","",INDEX('05_KAIS'!$N:$N,$A652))</f>
        <v/>
      </c>
      <c r="J652">
        <f>IF(B652="","",IF('02_대상물건입력'!$B$5="",1,IF(ISNUMBER(SEARCH('02_대상물건입력'!$B$5,B652)),1,0)))</f>
        <v/>
      </c>
      <c r="K652">
        <f>IF(B652="","",IF('02_대상물건입력'!$B$6="",1,IF(ISNUMBER(SEARCH('02_대상물건입력'!$B$6,B652)),1,0)))</f>
        <v/>
      </c>
      <c r="L652">
        <f>IF(D652="","",IF('02_대상물건입력'!$B$8="",0,IF(ISNUMBER(SEARCH('02_대상물건입력'!$B$8,D652)),1,0)))</f>
        <v/>
      </c>
      <c r="M652">
        <f>IFERROR(ABS(E652-'02_대상물건입력'!$B$11)/'02_대상물건입력'!$B$11,"")</f>
        <v/>
      </c>
      <c r="N652">
        <f>IFERROR(ABS('01_설정'!$B$4-F652),"")</f>
        <v/>
      </c>
      <c r="O652">
        <f>IFERROR(ABS(YEAR(I652)-YEAR('02_대상물건입력'!$B$14)),"")</f>
        <v/>
      </c>
      <c r="P652">
        <f>IF(AND(E652&gt;0,F652&gt;0,G652&gt;0,IF('01_설정'!$B$10=1,J652=1,TRUE()),M652&lt;='01_설정'!$B$5,N652&lt;='01_설정'!$B$7,O652&lt;='01_설정'!$B$8),"Y","")</f>
        <v/>
      </c>
      <c r="Q652">
        <f>IF(P652&lt;&gt;"Y","",MAX(0,(1-M652/'01_설정'!$B$5))*'01_설정'!$B$14+MAX(0,(1-N652/'01_설정'!$B$7))*'01_설정'!$B$16+MAX(0,(1-O652/'01_설정'!$B$8))*'01_설정'!$B$17+K652*'01_설정'!$B$11+L652*'01_설정'!$B$12)</f>
        <v/>
      </c>
      <c r="R652">
        <f>IF(Q652="","",1+COUNTIFS($Q$31:$Q$1030,"&gt;"&amp;Q652)+COUNTIFS($Q$31:Q652,Q652)-1)</f>
        <v/>
      </c>
    </row>
    <row r="653" hidden="1" ht="16.5" customHeight="1">
      <c r="A653">
        <f>IF(COUNTA('05_KAIS'!$A641:$N641)=0,"",626)</f>
        <v/>
      </c>
      <c r="B653">
        <f>IF($A653="","",TRIM(INDEX('05_KAIS'!$B:$B,$A653)&amp;" "&amp;INDEX('05_KAIS'!$C:$C,$A653)))</f>
        <v/>
      </c>
      <c r="C653">
        <f>IF($A653="","",INDEX('05_KAIS'!$D:$D,$A653))</f>
        <v/>
      </c>
      <c r="D653">
        <f>IF($A653="","",INDEX('05_KAIS'!$H:$H,$A653))</f>
        <v/>
      </c>
      <c r="E653">
        <f>IF($A653="","",INDEX('05_KAIS'!$K:$K,$A653))</f>
        <v/>
      </c>
      <c r="F653" s="202">
        <f>IF($A653="","",INDEX('05_KAIS'!$I:$I,$A653))</f>
        <v/>
      </c>
      <c r="G653" s="118">
        <f>IF($A653="","",INDEX('05_KAIS'!$L:$L,$A653))</f>
        <v/>
      </c>
      <c r="H653" s="118">
        <f>IF($A653="","",IFERROR(INDEX('05_KAIS'!$M:$M,$A653),IF(AND(E653&gt;0,G653&gt;0),G653/E653,"")))</f>
        <v/>
      </c>
      <c r="I653" s="202">
        <f>IF($A653="","",INDEX('05_KAIS'!$N:$N,$A653))</f>
        <v/>
      </c>
      <c r="J653">
        <f>IF(B653="","",IF('02_대상물건입력'!$B$5="",1,IF(ISNUMBER(SEARCH('02_대상물건입력'!$B$5,B653)),1,0)))</f>
        <v/>
      </c>
      <c r="K653">
        <f>IF(B653="","",IF('02_대상물건입력'!$B$6="",1,IF(ISNUMBER(SEARCH('02_대상물건입력'!$B$6,B653)),1,0)))</f>
        <v/>
      </c>
      <c r="L653">
        <f>IF(D653="","",IF('02_대상물건입력'!$B$8="",0,IF(ISNUMBER(SEARCH('02_대상물건입력'!$B$8,D653)),1,0)))</f>
        <v/>
      </c>
      <c r="M653">
        <f>IFERROR(ABS(E653-'02_대상물건입력'!$B$11)/'02_대상물건입력'!$B$11,"")</f>
        <v/>
      </c>
      <c r="N653">
        <f>IFERROR(ABS('01_설정'!$B$4-F653),"")</f>
        <v/>
      </c>
      <c r="O653">
        <f>IFERROR(ABS(YEAR(I653)-YEAR('02_대상물건입력'!$B$14)),"")</f>
        <v/>
      </c>
      <c r="P653">
        <f>IF(AND(E653&gt;0,F653&gt;0,G653&gt;0,IF('01_설정'!$B$10=1,J653=1,TRUE()),M653&lt;='01_설정'!$B$5,N653&lt;='01_설정'!$B$7,O653&lt;='01_설정'!$B$8),"Y","")</f>
        <v/>
      </c>
      <c r="Q653">
        <f>IF(P653&lt;&gt;"Y","",MAX(0,(1-M653/'01_설정'!$B$5))*'01_설정'!$B$14+MAX(0,(1-N653/'01_설정'!$B$7))*'01_설정'!$B$16+MAX(0,(1-O653/'01_설정'!$B$8))*'01_설정'!$B$17+K653*'01_설정'!$B$11+L653*'01_설정'!$B$12)</f>
        <v/>
      </c>
      <c r="R653">
        <f>IF(Q653="","",1+COUNTIFS($Q$31:$Q$1030,"&gt;"&amp;Q653)+COUNTIFS($Q$31:Q653,Q653)-1)</f>
        <v/>
      </c>
    </row>
    <row r="654" hidden="1" ht="16.5" customHeight="1">
      <c r="A654">
        <f>IF(COUNTA('05_KAIS'!$A642:$N642)=0,"",627)</f>
        <v/>
      </c>
      <c r="B654">
        <f>IF($A654="","",TRIM(INDEX('05_KAIS'!$B:$B,$A654)&amp;" "&amp;INDEX('05_KAIS'!$C:$C,$A654)))</f>
        <v/>
      </c>
      <c r="C654">
        <f>IF($A654="","",INDEX('05_KAIS'!$D:$D,$A654))</f>
        <v/>
      </c>
      <c r="D654">
        <f>IF($A654="","",INDEX('05_KAIS'!$H:$H,$A654))</f>
        <v/>
      </c>
      <c r="E654">
        <f>IF($A654="","",INDEX('05_KAIS'!$K:$K,$A654))</f>
        <v/>
      </c>
      <c r="F654" s="202">
        <f>IF($A654="","",INDEX('05_KAIS'!$I:$I,$A654))</f>
        <v/>
      </c>
      <c r="G654" s="118">
        <f>IF($A654="","",INDEX('05_KAIS'!$L:$L,$A654))</f>
        <v/>
      </c>
      <c r="H654" s="118">
        <f>IF($A654="","",IFERROR(INDEX('05_KAIS'!$M:$M,$A654),IF(AND(E654&gt;0,G654&gt;0),G654/E654,"")))</f>
        <v/>
      </c>
      <c r="I654" s="202">
        <f>IF($A654="","",INDEX('05_KAIS'!$N:$N,$A654))</f>
        <v/>
      </c>
      <c r="J654">
        <f>IF(B654="","",IF('02_대상물건입력'!$B$5="",1,IF(ISNUMBER(SEARCH('02_대상물건입력'!$B$5,B654)),1,0)))</f>
        <v/>
      </c>
      <c r="K654">
        <f>IF(B654="","",IF('02_대상물건입력'!$B$6="",1,IF(ISNUMBER(SEARCH('02_대상물건입력'!$B$6,B654)),1,0)))</f>
        <v/>
      </c>
      <c r="L654">
        <f>IF(D654="","",IF('02_대상물건입력'!$B$8="",0,IF(ISNUMBER(SEARCH('02_대상물건입력'!$B$8,D654)),1,0)))</f>
        <v/>
      </c>
      <c r="M654">
        <f>IFERROR(ABS(E654-'02_대상물건입력'!$B$11)/'02_대상물건입력'!$B$11,"")</f>
        <v/>
      </c>
      <c r="N654">
        <f>IFERROR(ABS('01_설정'!$B$4-F654),"")</f>
        <v/>
      </c>
      <c r="O654">
        <f>IFERROR(ABS(YEAR(I654)-YEAR('02_대상물건입력'!$B$14)),"")</f>
        <v/>
      </c>
      <c r="P654">
        <f>IF(AND(E654&gt;0,F654&gt;0,G654&gt;0,IF('01_설정'!$B$10=1,J654=1,TRUE()),M654&lt;='01_설정'!$B$5,N654&lt;='01_설정'!$B$7,O654&lt;='01_설정'!$B$8),"Y","")</f>
        <v/>
      </c>
      <c r="Q654">
        <f>IF(P654&lt;&gt;"Y","",MAX(0,(1-M654/'01_설정'!$B$5))*'01_설정'!$B$14+MAX(0,(1-N654/'01_설정'!$B$7))*'01_설정'!$B$16+MAX(0,(1-O654/'01_설정'!$B$8))*'01_설정'!$B$17+K654*'01_설정'!$B$11+L654*'01_설정'!$B$12)</f>
        <v/>
      </c>
      <c r="R654">
        <f>IF(Q654="","",1+COUNTIFS($Q$31:$Q$1030,"&gt;"&amp;Q654)+COUNTIFS($Q$31:Q654,Q654)-1)</f>
        <v/>
      </c>
    </row>
    <row r="655" hidden="1" ht="16.5" customHeight="1">
      <c r="A655">
        <f>IF(COUNTA('05_KAIS'!$A643:$N643)=0,"",628)</f>
        <v/>
      </c>
      <c r="B655">
        <f>IF($A655="","",TRIM(INDEX('05_KAIS'!$B:$B,$A655)&amp;" "&amp;INDEX('05_KAIS'!$C:$C,$A655)))</f>
        <v/>
      </c>
      <c r="C655">
        <f>IF($A655="","",INDEX('05_KAIS'!$D:$D,$A655))</f>
        <v/>
      </c>
      <c r="D655">
        <f>IF($A655="","",INDEX('05_KAIS'!$H:$H,$A655))</f>
        <v/>
      </c>
      <c r="E655">
        <f>IF($A655="","",INDEX('05_KAIS'!$K:$K,$A655))</f>
        <v/>
      </c>
      <c r="F655" s="202">
        <f>IF($A655="","",INDEX('05_KAIS'!$I:$I,$A655))</f>
        <v/>
      </c>
      <c r="G655" s="118">
        <f>IF($A655="","",INDEX('05_KAIS'!$L:$L,$A655))</f>
        <v/>
      </c>
      <c r="H655" s="118">
        <f>IF($A655="","",IFERROR(INDEX('05_KAIS'!$M:$M,$A655),IF(AND(E655&gt;0,G655&gt;0),G655/E655,"")))</f>
        <v/>
      </c>
      <c r="I655" s="202">
        <f>IF($A655="","",INDEX('05_KAIS'!$N:$N,$A655))</f>
        <v/>
      </c>
      <c r="J655">
        <f>IF(B655="","",IF('02_대상물건입력'!$B$5="",1,IF(ISNUMBER(SEARCH('02_대상물건입력'!$B$5,B655)),1,0)))</f>
        <v/>
      </c>
      <c r="K655">
        <f>IF(B655="","",IF('02_대상물건입력'!$B$6="",1,IF(ISNUMBER(SEARCH('02_대상물건입력'!$B$6,B655)),1,0)))</f>
        <v/>
      </c>
      <c r="L655">
        <f>IF(D655="","",IF('02_대상물건입력'!$B$8="",0,IF(ISNUMBER(SEARCH('02_대상물건입력'!$B$8,D655)),1,0)))</f>
        <v/>
      </c>
      <c r="M655">
        <f>IFERROR(ABS(E655-'02_대상물건입력'!$B$11)/'02_대상물건입력'!$B$11,"")</f>
        <v/>
      </c>
      <c r="N655">
        <f>IFERROR(ABS('01_설정'!$B$4-F655),"")</f>
        <v/>
      </c>
      <c r="O655">
        <f>IFERROR(ABS(YEAR(I655)-YEAR('02_대상물건입력'!$B$14)),"")</f>
        <v/>
      </c>
      <c r="P655">
        <f>IF(AND(E655&gt;0,F655&gt;0,G655&gt;0,IF('01_설정'!$B$10=1,J655=1,TRUE()),M655&lt;='01_설정'!$B$5,N655&lt;='01_설정'!$B$7,O655&lt;='01_설정'!$B$8),"Y","")</f>
        <v/>
      </c>
      <c r="Q655">
        <f>IF(P655&lt;&gt;"Y","",MAX(0,(1-M655/'01_설정'!$B$5))*'01_설정'!$B$14+MAX(0,(1-N655/'01_설정'!$B$7))*'01_설정'!$B$16+MAX(0,(1-O655/'01_설정'!$B$8))*'01_설정'!$B$17+K655*'01_설정'!$B$11+L655*'01_설정'!$B$12)</f>
        <v/>
      </c>
      <c r="R655">
        <f>IF(Q655="","",1+COUNTIFS($Q$31:$Q$1030,"&gt;"&amp;Q655)+COUNTIFS($Q$31:Q655,Q655)-1)</f>
        <v/>
      </c>
    </row>
    <row r="656" hidden="1" ht="16.5" customHeight="1">
      <c r="A656">
        <f>IF(COUNTA('05_KAIS'!$A644:$N644)=0,"",629)</f>
        <v/>
      </c>
      <c r="B656">
        <f>IF($A656="","",TRIM(INDEX('05_KAIS'!$B:$B,$A656)&amp;" "&amp;INDEX('05_KAIS'!$C:$C,$A656)))</f>
        <v/>
      </c>
      <c r="C656">
        <f>IF($A656="","",INDEX('05_KAIS'!$D:$D,$A656))</f>
        <v/>
      </c>
      <c r="D656">
        <f>IF($A656="","",INDEX('05_KAIS'!$H:$H,$A656))</f>
        <v/>
      </c>
      <c r="E656">
        <f>IF($A656="","",INDEX('05_KAIS'!$K:$K,$A656))</f>
        <v/>
      </c>
      <c r="F656" s="202">
        <f>IF($A656="","",INDEX('05_KAIS'!$I:$I,$A656))</f>
        <v/>
      </c>
      <c r="G656" s="118">
        <f>IF($A656="","",INDEX('05_KAIS'!$L:$L,$A656))</f>
        <v/>
      </c>
      <c r="H656" s="118">
        <f>IF($A656="","",IFERROR(INDEX('05_KAIS'!$M:$M,$A656),IF(AND(E656&gt;0,G656&gt;0),G656/E656,"")))</f>
        <v/>
      </c>
      <c r="I656" s="202">
        <f>IF($A656="","",INDEX('05_KAIS'!$N:$N,$A656))</f>
        <v/>
      </c>
      <c r="J656">
        <f>IF(B656="","",IF('02_대상물건입력'!$B$5="",1,IF(ISNUMBER(SEARCH('02_대상물건입력'!$B$5,B656)),1,0)))</f>
        <v/>
      </c>
      <c r="K656">
        <f>IF(B656="","",IF('02_대상물건입력'!$B$6="",1,IF(ISNUMBER(SEARCH('02_대상물건입력'!$B$6,B656)),1,0)))</f>
        <v/>
      </c>
      <c r="L656">
        <f>IF(D656="","",IF('02_대상물건입력'!$B$8="",0,IF(ISNUMBER(SEARCH('02_대상물건입력'!$B$8,D656)),1,0)))</f>
        <v/>
      </c>
      <c r="M656">
        <f>IFERROR(ABS(E656-'02_대상물건입력'!$B$11)/'02_대상물건입력'!$B$11,"")</f>
        <v/>
      </c>
      <c r="N656">
        <f>IFERROR(ABS('01_설정'!$B$4-F656),"")</f>
        <v/>
      </c>
      <c r="O656">
        <f>IFERROR(ABS(YEAR(I656)-YEAR('02_대상물건입력'!$B$14)),"")</f>
        <v/>
      </c>
      <c r="P656">
        <f>IF(AND(E656&gt;0,F656&gt;0,G656&gt;0,IF('01_설정'!$B$10=1,J656=1,TRUE()),M656&lt;='01_설정'!$B$5,N656&lt;='01_설정'!$B$7,O656&lt;='01_설정'!$B$8),"Y","")</f>
        <v/>
      </c>
      <c r="Q656">
        <f>IF(P656&lt;&gt;"Y","",MAX(0,(1-M656/'01_설정'!$B$5))*'01_설정'!$B$14+MAX(0,(1-N656/'01_설정'!$B$7))*'01_설정'!$B$16+MAX(0,(1-O656/'01_설정'!$B$8))*'01_설정'!$B$17+K656*'01_설정'!$B$11+L656*'01_설정'!$B$12)</f>
        <v/>
      </c>
      <c r="R656">
        <f>IF(Q656="","",1+COUNTIFS($Q$31:$Q$1030,"&gt;"&amp;Q656)+COUNTIFS($Q$31:Q656,Q656)-1)</f>
        <v/>
      </c>
    </row>
    <row r="657" hidden="1" ht="16.5" customHeight="1">
      <c r="A657">
        <f>IF(COUNTA('05_KAIS'!$A645:$N645)=0,"",630)</f>
        <v/>
      </c>
      <c r="B657">
        <f>IF($A657="","",TRIM(INDEX('05_KAIS'!$B:$B,$A657)&amp;" "&amp;INDEX('05_KAIS'!$C:$C,$A657)))</f>
        <v/>
      </c>
      <c r="C657">
        <f>IF($A657="","",INDEX('05_KAIS'!$D:$D,$A657))</f>
        <v/>
      </c>
      <c r="D657">
        <f>IF($A657="","",INDEX('05_KAIS'!$H:$H,$A657))</f>
        <v/>
      </c>
      <c r="E657">
        <f>IF($A657="","",INDEX('05_KAIS'!$K:$K,$A657))</f>
        <v/>
      </c>
      <c r="F657" s="202">
        <f>IF($A657="","",INDEX('05_KAIS'!$I:$I,$A657))</f>
        <v/>
      </c>
      <c r="G657" s="118">
        <f>IF($A657="","",INDEX('05_KAIS'!$L:$L,$A657))</f>
        <v/>
      </c>
      <c r="H657" s="118">
        <f>IF($A657="","",IFERROR(INDEX('05_KAIS'!$M:$M,$A657),IF(AND(E657&gt;0,G657&gt;0),G657/E657,"")))</f>
        <v/>
      </c>
      <c r="I657" s="202">
        <f>IF($A657="","",INDEX('05_KAIS'!$N:$N,$A657))</f>
        <v/>
      </c>
      <c r="J657">
        <f>IF(B657="","",IF('02_대상물건입력'!$B$5="",1,IF(ISNUMBER(SEARCH('02_대상물건입력'!$B$5,B657)),1,0)))</f>
        <v/>
      </c>
      <c r="K657">
        <f>IF(B657="","",IF('02_대상물건입력'!$B$6="",1,IF(ISNUMBER(SEARCH('02_대상물건입력'!$B$6,B657)),1,0)))</f>
        <v/>
      </c>
      <c r="L657">
        <f>IF(D657="","",IF('02_대상물건입력'!$B$8="",0,IF(ISNUMBER(SEARCH('02_대상물건입력'!$B$8,D657)),1,0)))</f>
        <v/>
      </c>
      <c r="M657">
        <f>IFERROR(ABS(E657-'02_대상물건입력'!$B$11)/'02_대상물건입력'!$B$11,"")</f>
        <v/>
      </c>
      <c r="N657">
        <f>IFERROR(ABS('01_설정'!$B$4-F657),"")</f>
        <v/>
      </c>
      <c r="O657">
        <f>IFERROR(ABS(YEAR(I657)-YEAR('02_대상물건입력'!$B$14)),"")</f>
        <v/>
      </c>
      <c r="P657">
        <f>IF(AND(E657&gt;0,F657&gt;0,G657&gt;0,IF('01_설정'!$B$10=1,J657=1,TRUE()),M657&lt;='01_설정'!$B$5,N657&lt;='01_설정'!$B$7,O657&lt;='01_설정'!$B$8),"Y","")</f>
        <v/>
      </c>
      <c r="Q657">
        <f>IF(P657&lt;&gt;"Y","",MAX(0,(1-M657/'01_설정'!$B$5))*'01_설정'!$B$14+MAX(0,(1-N657/'01_설정'!$B$7))*'01_설정'!$B$16+MAX(0,(1-O657/'01_설정'!$B$8))*'01_설정'!$B$17+K657*'01_설정'!$B$11+L657*'01_설정'!$B$12)</f>
        <v/>
      </c>
      <c r="R657">
        <f>IF(Q657="","",1+COUNTIFS($Q$31:$Q$1030,"&gt;"&amp;Q657)+COUNTIFS($Q$31:Q657,Q657)-1)</f>
        <v/>
      </c>
    </row>
    <row r="658" hidden="1" ht="16.5" customHeight="1">
      <c r="A658">
        <f>IF(COUNTA('05_KAIS'!$A646:$N646)=0,"",631)</f>
        <v/>
      </c>
      <c r="B658">
        <f>IF($A658="","",TRIM(INDEX('05_KAIS'!$B:$B,$A658)&amp;" "&amp;INDEX('05_KAIS'!$C:$C,$A658)))</f>
        <v/>
      </c>
      <c r="C658">
        <f>IF($A658="","",INDEX('05_KAIS'!$D:$D,$A658))</f>
        <v/>
      </c>
      <c r="D658">
        <f>IF($A658="","",INDEX('05_KAIS'!$H:$H,$A658))</f>
        <v/>
      </c>
      <c r="E658">
        <f>IF($A658="","",INDEX('05_KAIS'!$K:$K,$A658))</f>
        <v/>
      </c>
      <c r="F658" s="202">
        <f>IF($A658="","",INDEX('05_KAIS'!$I:$I,$A658))</f>
        <v/>
      </c>
      <c r="G658" s="118">
        <f>IF($A658="","",INDEX('05_KAIS'!$L:$L,$A658))</f>
        <v/>
      </c>
      <c r="H658" s="118">
        <f>IF($A658="","",IFERROR(INDEX('05_KAIS'!$M:$M,$A658),IF(AND(E658&gt;0,G658&gt;0),G658/E658,"")))</f>
        <v/>
      </c>
      <c r="I658" s="202">
        <f>IF($A658="","",INDEX('05_KAIS'!$N:$N,$A658))</f>
        <v/>
      </c>
      <c r="J658">
        <f>IF(B658="","",IF('02_대상물건입력'!$B$5="",1,IF(ISNUMBER(SEARCH('02_대상물건입력'!$B$5,B658)),1,0)))</f>
        <v/>
      </c>
      <c r="K658">
        <f>IF(B658="","",IF('02_대상물건입력'!$B$6="",1,IF(ISNUMBER(SEARCH('02_대상물건입력'!$B$6,B658)),1,0)))</f>
        <v/>
      </c>
      <c r="L658">
        <f>IF(D658="","",IF('02_대상물건입력'!$B$8="",0,IF(ISNUMBER(SEARCH('02_대상물건입력'!$B$8,D658)),1,0)))</f>
        <v/>
      </c>
      <c r="M658">
        <f>IFERROR(ABS(E658-'02_대상물건입력'!$B$11)/'02_대상물건입력'!$B$11,"")</f>
        <v/>
      </c>
      <c r="N658">
        <f>IFERROR(ABS('01_설정'!$B$4-F658),"")</f>
        <v/>
      </c>
      <c r="O658">
        <f>IFERROR(ABS(YEAR(I658)-YEAR('02_대상물건입력'!$B$14)),"")</f>
        <v/>
      </c>
      <c r="P658">
        <f>IF(AND(E658&gt;0,F658&gt;0,G658&gt;0,IF('01_설정'!$B$10=1,J658=1,TRUE()),M658&lt;='01_설정'!$B$5,N658&lt;='01_설정'!$B$7,O658&lt;='01_설정'!$B$8),"Y","")</f>
        <v/>
      </c>
      <c r="Q658">
        <f>IF(P658&lt;&gt;"Y","",MAX(0,(1-M658/'01_설정'!$B$5))*'01_설정'!$B$14+MAX(0,(1-N658/'01_설정'!$B$7))*'01_설정'!$B$16+MAX(0,(1-O658/'01_설정'!$B$8))*'01_설정'!$B$17+K658*'01_설정'!$B$11+L658*'01_설정'!$B$12)</f>
        <v/>
      </c>
      <c r="R658">
        <f>IF(Q658="","",1+COUNTIFS($Q$31:$Q$1030,"&gt;"&amp;Q658)+COUNTIFS($Q$31:Q658,Q658)-1)</f>
        <v/>
      </c>
    </row>
    <row r="659" hidden="1" ht="16.5" customHeight="1">
      <c r="A659">
        <f>IF(COUNTA('05_KAIS'!$A647:$N647)=0,"",632)</f>
        <v/>
      </c>
      <c r="B659">
        <f>IF($A659="","",TRIM(INDEX('05_KAIS'!$B:$B,$A659)&amp;" "&amp;INDEX('05_KAIS'!$C:$C,$A659)))</f>
        <v/>
      </c>
      <c r="C659">
        <f>IF($A659="","",INDEX('05_KAIS'!$D:$D,$A659))</f>
        <v/>
      </c>
      <c r="D659">
        <f>IF($A659="","",INDEX('05_KAIS'!$H:$H,$A659))</f>
        <v/>
      </c>
      <c r="E659">
        <f>IF($A659="","",INDEX('05_KAIS'!$K:$K,$A659))</f>
        <v/>
      </c>
      <c r="F659" s="202">
        <f>IF($A659="","",INDEX('05_KAIS'!$I:$I,$A659))</f>
        <v/>
      </c>
      <c r="G659" s="118">
        <f>IF($A659="","",INDEX('05_KAIS'!$L:$L,$A659))</f>
        <v/>
      </c>
      <c r="H659" s="118">
        <f>IF($A659="","",IFERROR(INDEX('05_KAIS'!$M:$M,$A659),IF(AND(E659&gt;0,G659&gt;0),G659/E659,"")))</f>
        <v/>
      </c>
      <c r="I659" s="202">
        <f>IF($A659="","",INDEX('05_KAIS'!$N:$N,$A659))</f>
        <v/>
      </c>
      <c r="J659">
        <f>IF(B659="","",IF('02_대상물건입력'!$B$5="",1,IF(ISNUMBER(SEARCH('02_대상물건입력'!$B$5,B659)),1,0)))</f>
        <v/>
      </c>
      <c r="K659">
        <f>IF(B659="","",IF('02_대상물건입력'!$B$6="",1,IF(ISNUMBER(SEARCH('02_대상물건입력'!$B$6,B659)),1,0)))</f>
        <v/>
      </c>
      <c r="L659">
        <f>IF(D659="","",IF('02_대상물건입력'!$B$8="",0,IF(ISNUMBER(SEARCH('02_대상물건입력'!$B$8,D659)),1,0)))</f>
        <v/>
      </c>
      <c r="M659">
        <f>IFERROR(ABS(E659-'02_대상물건입력'!$B$11)/'02_대상물건입력'!$B$11,"")</f>
        <v/>
      </c>
      <c r="N659">
        <f>IFERROR(ABS('01_설정'!$B$4-F659),"")</f>
        <v/>
      </c>
      <c r="O659">
        <f>IFERROR(ABS(YEAR(I659)-YEAR('02_대상물건입력'!$B$14)),"")</f>
        <v/>
      </c>
      <c r="P659">
        <f>IF(AND(E659&gt;0,F659&gt;0,G659&gt;0,IF('01_설정'!$B$10=1,J659=1,TRUE()),M659&lt;='01_설정'!$B$5,N659&lt;='01_설정'!$B$7,O659&lt;='01_설정'!$B$8),"Y","")</f>
        <v/>
      </c>
      <c r="Q659">
        <f>IF(P659&lt;&gt;"Y","",MAX(0,(1-M659/'01_설정'!$B$5))*'01_설정'!$B$14+MAX(0,(1-N659/'01_설정'!$B$7))*'01_설정'!$B$16+MAX(0,(1-O659/'01_설정'!$B$8))*'01_설정'!$B$17+K659*'01_설정'!$B$11+L659*'01_설정'!$B$12)</f>
        <v/>
      </c>
      <c r="R659">
        <f>IF(Q659="","",1+COUNTIFS($Q$31:$Q$1030,"&gt;"&amp;Q659)+COUNTIFS($Q$31:Q659,Q659)-1)</f>
        <v/>
      </c>
    </row>
    <row r="660" hidden="1" ht="16.5" customHeight="1">
      <c r="A660">
        <f>IF(COUNTA('05_KAIS'!$A648:$N648)=0,"",633)</f>
        <v/>
      </c>
      <c r="B660">
        <f>IF($A660="","",TRIM(INDEX('05_KAIS'!$B:$B,$A660)&amp;" "&amp;INDEX('05_KAIS'!$C:$C,$A660)))</f>
        <v/>
      </c>
      <c r="C660">
        <f>IF($A660="","",INDEX('05_KAIS'!$D:$D,$A660))</f>
        <v/>
      </c>
      <c r="D660">
        <f>IF($A660="","",INDEX('05_KAIS'!$H:$H,$A660))</f>
        <v/>
      </c>
      <c r="E660">
        <f>IF($A660="","",INDEX('05_KAIS'!$K:$K,$A660))</f>
        <v/>
      </c>
      <c r="F660" s="202">
        <f>IF($A660="","",INDEX('05_KAIS'!$I:$I,$A660))</f>
        <v/>
      </c>
      <c r="G660" s="118">
        <f>IF($A660="","",INDEX('05_KAIS'!$L:$L,$A660))</f>
        <v/>
      </c>
      <c r="H660" s="118">
        <f>IF($A660="","",IFERROR(INDEX('05_KAIS'!$M:$M,$A660),IF(AND(E660&gt;0,G660&gt;0),G660/E660,"")))</f>
        <v/>
      </c>
      <c r="I660" s="202">
        <f>IF($A660="","",INDEX('05_KAIS'!$N:$N,$A660))</f>
        <v/>
      </c>
      <c r="J660">
        <f>IF(B660="","",IF('02_대상물건입력'!$B$5="",1,IF(ISNUMBER(SEARCH('02_대상물건입력'!$B$5,B660)),1,0)))</f>
        <v/>
      </c>
      <c r="K660">
        <f>IF(B660="","",IF('02_대상물건입력'!$B$6="",1,IF(ISNUMBER(SEARCH('02_대상물건입력'!$B$6,B660)),1,0)))</f>
        <v/>
      </c>
      <c r="L660">
        <f>IF(D660="","",IF('02_대상물건입력'!$B$8="",0,IF(ISNUMBER(SEARCH('02_대상물건입력'!$B$8,D660)),1,0)))</f>
        <v/>
      </c>
      <c r="M660">
        <f>IFERROR(ABS(E660-'02_대상물건입력'!$B$11)/'02_대상물건입력'!$B$11,"")</f>
        <v/>
      </c>
      <c r="N660">
        <f>IFERROR(ABS('01_설정'!$B$4-F660),"")</f>
        <v/>
      </c>
      <c r="O660">
        <f>IFERROR(ABS(YEAR(I660)-YEAR('02_대상물건입력'!$B$14)),"")</f>
        <v/>
      </c>
      <c r="P660">
        <f>IF(AND(E660&gt;0,F660&gt;0,G660&gt;0,IF('01_설정'!$B$10=1,J660=1,TRUE()),M660&lt;='01_설정'!$B$5,N660&lt;='01_설정'!$B$7,O660&lt;='01_설정'!$B$8),"Y","")</f>
        <v/>
      </c>
      <c r="Q660">
        <f>IF(P660&lt;&gt;"Y","",MAX(0,(1-M660/'01_설정'!$B$5))*'01_설정'!$B$14+MAX(0,(1-N660/'01_설정'!$B$7))*'01_설정'!$B$16+MAX(0,(1-O660/'01_설정'!$B$8))*'01_설정'!$B$17+K660*'01_설정'!$B$11+L660*'01_설정'!$B$12)</f>
        <v/>
      </c>
      <c r="R660">
        <f>IF(Q660="","",1+COUNTIFS($Q$31:$Q$1030,"&gt;"&amp;Q660)+COUNTIFS($Q$31:Q660,Q660)-1)</f>
        <v/>
      </c>
    </row>
    <row r="661" hidden="1" ht="16.5" customHeight="1">
      <c r="A661">
        <f>IF(COUNTA('05_KAIS'!$A649:$N649)=0,"",634)</f>
        <v/>
      </c>
      <c r="B661">
        <f>IF($A661="","",TRIM(INDEX('05_KAIS'!$B:$B,$A661)&amp;" "&amp;INDEX('05_KAIS'!$C:$C,$A661)))</f>
        <v/>
      </c>
      <c r="C661">
        <f>IF($A661="","",INDEX('05_KAIS'!$D:$D,$A661))</f>
        <v/>
      </c>
      <c r="D661">
        <f>IF($A661="","",INDEX('05_KAIS'!$H:$H,$A661))</f>
        <v/>
      </c>
      <c r="E661">
        <f>IF($A661="","",INDEX('05_KAIS'!$K:$K,$A661))</f>
        <v/>
      </c>
      <c r="F661" s="202">
        <f>IF($A661="","",INDEX('05_KAIS'!$I:$I,$A661))</f>
        <v/>
      </c>
      <c r="G661" s="118">
        <f>IF($A661="","",INDEX('05_KAIS'!$L:$L,$A661))</f>
        <v/>
      </c>
      <c r="H661" s="118">
        <f>IF($A661="","",IFERROR(INDEX('05_KAIS'!$M:$M,$A661),IF(AND(E661&gt;0,G661&gt;0),G661/E661,"")))</f>
        <v/>
      </c>
      <c r="I661" s="202">
        <f>IF($A661="","",INDEX('05_KAIS'!$N:$N,$A661))</f>
        <v/>
      </c>
      <c r="J661">
        <f>IF(B661="","",IF('02_대상물건입력'!$B$5="",1,IF(ISNUMBER(SEARCH('02_대상물건입력'!$B$5,B661)),1,0)))</f>
        <v/>
      </c>
      <c r="K661">
        <f>IF(B661="","",IF('02_대상물건입력'!$B$6="",1,IF(ISNUMBER(SEARCH('02_대상물건입력'!$B$6,B661)),1,0)))</f>
        <v/>
      </c>
      <c r="L661">
        <f>IF(D661="","",IF('02_대상물건입력'!$B$8="",0,IF(ISNUMBER(SEARCH('02_대상물건입력'!$B$8,D661)),1,0)))</f>
        <v/>
      </c>
      <c r="M661">
        <f>IFERROR(ABS(E661-'02_대상물건입력'!$B$11)/'02_대상물건입력'!$B$11,"")</f>
        <v/>
      </c>
      <c r="N661">
        <f>IFERROR(ABS('01_설정'!$B$4-F661),"")</f>
        <v/>
      </c>
      <c r="O661">
        <f>IFERROR(ABS(YEAR(I661)-YEAR('02_대상물건입력'!$B$14)),"")</f>
        <v/>
      </c>
      <c r="P661">
        <f>IF(AND(E661&gt;0,F661&gt;0,G661&gt;0,IF('01_설정'!$B$10=1,J661=1,TRUE()),M661&lt;='01_설정'!$B$5,N661&lt;='01_설정'!$B$7,O661&lt;='01_설정'!$B$8),"Y","")</f>
        <v/>
      </c>
      <c r="Q661">
        <f>IF(P661&lt;&gt;"Y","",MAX(0,(1-M661/'01_설정'!$B$5))*'01_설정'!$B$14+MAX(0,(1-N661/'01_설정'!$B$7))*'01_설정'!$B$16+MAX(0,(1-O661/'01_설정'!$B$8))*'01_설정'!$B$17+K661*'01_설정'!$B$11+L661*'01_설정'!$B$12)</f>
        <v/>
      </c>
      <c r="R661">
        <f>IF(Q661="","",1+COUNTIFS($Q$31:$Q$1030,"&gt;"&amp;Q661)+COUNTIFS($Q$31:Q661,Q661)-1)</f>
        <v/>
      </c>
    </row>
    <row r="662" hidden="1" ht="16.5" customHeight="1">
      <c r="A662">
        <f>IF(COUNTA('05_KAIS'!$A650:$N650)=0,"",635)</f>
        <v/>
      </c>
      <c r="B662">
        <f>IF($A662="","",TRIM(INDEX('05_KAIS'!$B:$B,$A662)&amp;" "&amp;INDEX('05_KAIS'!$C:$C,$A662)))</f>
        <v/>
      </c>
      <c r="C662">
        <f>IF($A662="","",INDEX('05_KAIS'!$D:$D,$A662))</f>
        <v/>
      </c>
      <c r="D662">
        <f>IF($A662="","",INDEX('05_KAIS'!$H:$H,$A662))</f>
        <v/>
      </c>
      <c r="E662">
        <f>IF($A662="","",INDEX('05_KAIS'!$K:$K,$A662))</f>
        <v/>
      </c>
      <c r="F662" s="202">
        <f>IF($A662="","",INDEX('05_KAIS'!$I:$I,$A662))</f>
        <v/>
      </c>
      <c r="G662" s="118">
        <f>IF($A662="","",INDEX('05_KAIS'!$L:$L,$A662))</f>
        <v/>
      </c>
      <c r="H662" s="118">
        <f>IF($A662="","",IFERROR(INDEX('05_KAIS'!$M:$M,$A662),IF(AND(E662&gt;0,G662&gt;0),G662/E662,"")))</f>
        <v/>
      </c>
      <c r="I662" s="202">
        <f>IF($A662="","",INDEX('05_KAIS'!$N:$N,$A662))</f>
        <v/>
      </c>
      <c r="J662">
        <f>IF(B662="","",IF('02_대상물건입력'!$B$5="",1,IF(ISNUMBER(SEARCH('02_대상물건입력'!$B$5,B662)),1,0)))</f>
        <v/>
      </c>
      <c r="K662">
        <f>IF(B662="","",IF('02_대상물건입력'!$B$6="",1,IF(ISNUMBER(SEARCH('02_대상물건입력'!$B$6,B662)),1,0)))</f>
        <v/>
      </c>
      <c r="L662">
        <f>IF(D662="","",IF('02_대상물건입력'!$B$8="",0,IF(ISNUMBER(SEARCH('02_대상물건입력'!$B$8,D662)),1,0)))</f>
        <v/>
      </c>
      <c r="M662">
        <f>IFERROR(ABS(E662-'02_대상물건입력'!$B$11)/'02_대상물건입력'!$B$11,"")</f>
        <v/>
      </c>
      <c r="N662">
        <f>IFERROR(ABS('01_설정'!$B$4-F662),"")</f>
        <v/>
      </c>
      <c r="O662">
        <f>IFERROR(ABS(YEAR(I662)-YEAR('02_대상물건입력'!$B$14)),"")</f>
        <v/>
      </c>
      <c r="P662">
        <f>IF(AND(E662&gt;0,F662&gt;0,G662&gt;0,IF('01_설정'!$B$10=1,J662=1,TRUE()),M662&lt;='01_설정'!$B$5,N662&lt;='01_설정'!$B$7,O662&lt;='01_설정'!$B$8),"Y","")</f>
        <v/>
      </c>
      <c r="Q662">
        <f>IF(P662&lt;&gt;"Y","",MAX(0,(1-M662/'01_설정'!$B$5))*'01_설정'!$B$14+MAX(0,(1-N662/'01_설정'!$B$7))*'01_설정'!$B$16+MAX(0,(1-O662/'01_설정'!$B$8))*'01_설정'!$B$17+K662*'01_설정'!$B$11+L662*'01_설정'!$B$12)</f>
        <v/>
      </c>
      <c r="R662">
        <f>IF(Q662="","",1+COUNTIFS($Q$31:$Q$1030,"&gt;"&amp;Q662)+COUNTIFS($Q$31:Q662,Q662)-1)</f>
        <v/>
      </c>
    </row>
    <row r="663" hidden="1" ht="16.5" customHeight="1">
      <c r="A663">
        <f>IF(COUNTA('05_KAIS'!$A651:$N651)=0,"",636)</f>
        <v/>
      </c>
      <c r="B663">
        <f>IF($A663="","",TRIM(INDEX('05_KAIS'!$B:$B,$A663)&amp;" "&amp;INDEX('05_KAIS'!$C:$C,$A663)))</f>
        <v/>
      </c>
      <c r="C663">
        <f>IF($A663="","",INDEX('05_KAIS'!$D:$D,$A663))</f>
        <v/>
      </c>
      <c r="D663">
        <f>IF($A663="","",INDEX('05_KAIS'!$H:$H,$A663))</f>
        <v/>
      </c>
      <c r="E663">
        <f>IF($A663="","",INDEX('05_KAIS'!$K:$K,$A663))</f>
        <v/>
      </c>
      <c r="F663" s="202">
        <f>IF($A663="","",INDEX('05_KAIS'!$I:$I,$A663))</f>
        <v/>
      </c>
      <c r="G663" s="118">
        <f>IF($A663="","",INDEX('05_KAIS'!$L:$L,$A663))</f>
        <v/>
      </c>
      <c r="H663" s="118">
        <f>IF($A663="","",IFERROR(INDEX('05_KAIS'!$M:$M,$A663),IF(AND(E663&gt;0,G663&gt;0),G663/E663,"")))</f>
        <v/>
      </c>
      <c r="I663" s="202">
        <f>IF($A663="","",INDEX('05_KAIS'!$N:$N,$A663))</f>
        <v/>
      </c>
      <c r="J663">
        <f>IF(B663="","",IF('02_대상물건입력'!$B$5="",1,IF(ISNUMBER(SEARCH('02_대상물건입력'!$B$5,B663)),1,0)))</f>
        <v/>
      </c>
      <c r="K663">
        <f>IF(B663="","",IF('02_대상물건입력'!$B$6="",1,IF(ISNUMBER(SEARCH('02_대상물건입력'!$B$6,B663)),1,0)))</f>
        <v/>
      </c>
      <c r="L663">
        <f>IF(D663="","",IF('02_대상물건입력'!$B$8="",0,IF(ISNUMBER(SEARCH('02_대상물건입력'!$B$8,D663)),1,0)))</f>
        <v/>
      </c>
      <c r="M663">
        <f>IFERROR(ABS(E663-'02_대상물건입력'!$B$11)/'02_대상물건입력'!$B$11,"")</f>
        <v/>
      </c>
      <c r="N663">
        <f>IFERROR(ABS('01_설정'!$B$4-F663),"")</f>
        <v/>
      </c>
      <c r="O663">
        <f>IFERROR(ABS(YEAR(I663)-YEAR('02_대상물건입력'!$B$14)),"")</f>
        <v/>
      </c>
      <c r="P663">
        <f>IF(AND(E663&gt;0,F663&gt;0,G663&gt;0,IF('01_설정'!$B$10=1,J663=1,TRUE()),M663&lt;='01_설정'!$B$5,N663&lt;='01_설정'!$B$7,O663&lt;='01_설정'!$B$8),"Y","")</f>
        <v/>
      </c>
      <c r="Q663">
        <f>IF(P663&lt;&gt;"Y","",MAX(0,(1-M663/'01_설정'!$B$5))*'01_설정'!$B$14+MAX(0,(1-N663/'01_설정'!$B$7))*'01_설정'!$B$16+MAX(0,(1-O663/'01_설정'!$B$8))*'01_설정'!$B$17+K663*'01_설정'!$B$11+L663*'01_설정'!$B$12)</f>
        <v/>
      </c>
      <c r="R663">
        <f>IF(Q663="","",1+COUNTIFS($Q$31:$Q$1030,"&gt;"&amp;Q663)+COUNTIFS($Q$31:Q663,Q663)-1)</f>
        <v/>
      </c>
    </row>
    <row r="664" hidden="1" ht="16.5" customHeight="1">
      <c r="A664">
        <f>IF(COUNTA('05_KAIS'!$A652:$N652)=0,"",637)</f>
        <v/>
      </c>
      <c r="B664">
        <f>IF($A664="","",TRIM(INDEX('05_KAIS'!$B:$B,$A664)&amp;" "&amp;INDEX('05_KAIS'!$C:$C,$A664)))</f>
        <v/>
      </c>
      <c r="C664">
        <f>IF($A664="","",INDEX('05_KAIS'!$D:$D,$A664))</f>
        <v/>
      </c>
      <c r="D664">
        <f>IF($A664="","",INDEX('05_KAIS'!$H:$H,$A664))</f>
        <v/>
      </c>
      <c r="E664">
        <f>IF($A664="","",INDEX('05_KAIS'!$K:$K,$A664))</f>
        <v/>
      </c>
      <c r="F664" s="202">
        <f>IF($A664="","",INDEX('05_KAIS'!$I:$I,$A664))</f>
        <v/>
      </c>
      <c r="G664" s="118">
        <f>IF($A664="","",INDEX('05_KAIS'!$L:$L,$A664))</f>
        <v/>
      </c>
      <c r="H664" s="118">
        <f>IF($A664="","",IFERROR(INDEX('05_KAIS'!$M:$M,$A664),IF(AND(E664&gt;0,G664&gt;0),G664/E664,"")))</f>
        <v/>
      </c>
      <c r="I664" s="202">
        <f>IF($A664="","",INDEX('05_KAIS'!$N:$N,$A664))</f>
        <v/>
      </c>
      <c r="J664">
        <f>IF(B664="","",IF('02_대상물건입력'!$B$5="",1,IF(ISNUMBER(SEARCH('02_대상물건입력'!$B$5,B664)),1,0)))</f>
        <v/>
      </c>
      <c r="K664">
        <f>IF(B664="","",IF('02_대상물건입력'!$B$6="",1,IF(ISNUMBER(SEARCH('02_대상물건입력'!$B$6,B664)),1,0)))</f>
        <v/>
      </c>
      <c r="L664">
        <f>IF(D664="","",IF('02_대상물건입력'!$B$8="",0,IF(ISNUMBER(SEARCH('02_대상물건입력'!$B$8,D664)),1,0)))</f>
        <v/>
      </c>
      <c r="M664">
        <f>IFERROR(ABS(E664-'02_대상물건입력'!$B$11)/'02_대상물건입력'!$B$11,"")</f>
        <v/>
      </c>
      <c r="N664">
        <f>IFERROR(ABS('01_설정'!$B$4-F664),"")</f>
        <v/>
      </c>
      <c r="O664">
        <f>IFERROR(ABS(YEAR(I664)-YEAR('02_대상물건입력'!$B$14)),"")</f>
        <v/>
      </c>
      <c r="P664">
        <f>IF(AND(E664&gt;0,F664&gt;0,G664&gt;0,IF('01_설정'!$B$10=1,J664=1,TRUE()),M664&lt;='01_설정'!$B$5,N664&lt;='01_설정'!$B$7,O664&lt;='01_설정'!$B$8),"Y","")</f>
        <v/>
      </c>
      <c r="Q664">
        <f>IF(P664&lt;&gt;"Y","",MAX(0,(1-M664/'01_설정'!$B$5))*'01_설정'!$B$14+MAX(0,(1-N664/'01_설정'!$B$7))*'01_설정'!$B$16+MAX(0,(1-O664/'01_설정'!$B$8))*'01_설정'!$B$17+K664*'01_설정'!$B$11+L664*'01_설정'!$B$12)</f>
        <v/>
      </c>
      <c r="R664">
        <f>IF(Q664="","",1+COUNTIFS($Q$31:$Q$1030,"&gt;"&amp;Q664)+COUNTIFS($Q$31:Q664,Q664)-1)</f>
        <v/>
      </c>
    </row>
    <row r="665" hidden="1" ht="16.5" customHeight="1">
      <c r="A665">
        <f>IF(COUNTA('05_KAIS'!$A653:$N653)=0,"",638)</f>
        <v/>
      </c>
      <c r="B665">
        <f>IF($A665="","",TRIM(INDEX('05_KAIS'!$B:$B,$A665)&amp;" "&amp;INDEX('05_KAIS'!$C:$C,$A665)))</f>
        <v/>
      </c>
      <c r="C665">
        <f>IF($A665="","",INDEX('05_KAIS'!$D:$D,$A665))</f>
        <v/>
      </c>
      <c r="D665">
        <f>IF($A665="","",INDEX('05_KAIS'!$H:$H,$A665))</f>
        <v/>
      </c>
      <c r="E665">
        <f>IF($A665="","",INDEX('05_KAIS'!$K:$K,$A665))</f>
        <v/>
      </c>
      <c r="F665" s="202">
        <f>IF($A665="","",INDEX('05_KAIS'!$I:$I,$A665))</f>
        <v/>
      </c>
      <c r="G665" s="118">
        <f>IF($A665="","",INDEX('05_KAIS'!$L:$L,$A665))</f>
        <v/>
      </c>
      <c r="H665" s="118">
        <f>IF($A665="","",IFERROR(INDEX('05_KAIS'!$M:$M,$A665),IF(AND(E665&gt;0,G665&gt;0),G665/E665,"")))</f>
        <v/>
      </c>
      <c r="I665" s="202">
        <f>IF($A665="","",INDEX('05_KAIS'!$N:$N,$A665))</f>
        <v/>
      </c>
      <c r="J665">
        <f>IF(B665="","",IF('02_대상물건입력'!$B$5="",1,IF(ISNUMBER(SEARCH('02_대상물건입력'!$B$5,B665)),1,0)))</f>
        <v/>
      </c>
      <c r="K665">
        <f>IF(B665="","",IF('02_대상물건입력'!$B$6="",1,IF(ISNUMBER(SEARCH('02_대상물건입력'!$B$6,B665)),1,0)))</f>
        <v/>
      </c>
      <c r="L665">
        <f>IF(D665="","",IF('02_대상물건입력'!$B$8="",0,IF(ISNUMBER(SEARCH('02_대상물건입력'!$B$8,D665)),1,0)))</f>
        <v/>
      </c>
      <c r="M665">
        <f>IFERROR(ABS(E665-'02_대상물건입력'!$B$11)/'02_대상물건입력'!$B$11,"")</f>
        <v/>
      </c>
      <c r="N665">
        <f>IFERROR(ABS('01_설정'!$B$4-F665),"")</f>
        <v/>
      </c>
      <c r="O665">
        <f>IFERROR(ABS(YEAR(I665)-YEAR('02_대상물건입력'!$B$14)),"")</f>
        <v/>
      </c>
      <c r="P665">
        <f>IF(AND(E665&gt;0,F665&gt;0,G665&gt;0,IF('01_설정'!$B$10=1,J665=1,TRUE()),M665&lt;='01_설정'!$B$5,N665&lt;='01_설정'!$B$7,O665&lt;='01_설정'!$B$8),"Y","")</f>
        <v/>
      </c>
      <c r="Q665">
        <f>IF(P665&lt;&gt;"Y","",MAX(0,(1-M665/'01_설정'!$B$5))*'01_설정'!$B$14+MAX(0,(1-N665/'01_설정'!$B$7))*'01_설정'!$B$16+MAX(0,(1-O665/'01_설정'!$B$8))*'01_설정'!$B$17+K665*'01_설정'!$B$11+L665*'01_설정'!$B$12)</f>
        <v/>
      </c>
      <c r="R665">
        <f>IF(Q665="","",1+COUNTIFS($Q$31:$Q$1030,"&gt;"&amp;Q665)+COUNTIFS($Q$31:Q665,Q665)-1)</f>
        <v/>
      </c>
    </row>
    <row r="666" hidden="1" ht="16.5" customHeight="1">
      <c r="A666">
        <f>IF(COUNTA('05_KAIS'!$A654:$N654)=0,"",639)</f>
        <v/>
      </c>
      <c r="B666">
        <f>IF($A666="","",TRIM(INDEX('05_KAIS'!$B:$B,$A666)&amp;" "&amp;INDEX('05_KAIS'!$C:$C,$A666)))</f>
        <v/>
      </c>
      <c r="C666">
        <f>IF($A666="","",INDEX('05_KAIS'!$D:$D,$A666))</f>
        <v/>
      </c>
      <c r="D666">
        <f>IF($A666="","",INDEX('05_KAIS'!$H:$H,$A666))</f>
        <v/>
      </c>
      <c r="E666">
        <f>IF($A666="","",INDEX('05_KAIS'!$K:$K,$A666))</f>
        <v/>
      </c>
      <c r="F666" s="202">
        <f>IF($A666="","",INDEX('05_KAIS'!$I:$I,$A666))</f>
        <v/>
      </c>
      <c r="G666" s="118">
        <f>IF($A666="","",INDEX('05_KAIS'!$L:$L,$A666))</f>
        <v/>
      </c>
      <c r="H666" s="118">
        <f>IF($A666="","",IFERROR(INDEX('05_KAIS'!$M:$M,$A666),IF(AND(E666&gt;0,G666&gt;0),G666/E666,"")))</f>
        <v/>
      </c>
      <c r="I666" s="202">
        <f>IF($A666="","",INDEX('05_KAIS'!$N:$N,$A666))</f>
        <v/>
      </c>
      <c r="J666">
        <f>IF(B666="","",IF('02_대상물건입력'!$B$5="",1,IF(ISNUMBER(SEARCH('02_대상물건입력'!$B$5,B666)),1,0)))</f>
        <v/>
      </c>
      <c r="K666">
        <f>IF(B666="","",IF('02_대상물건입력'!$B$6="",1,IF(ISNUMBER(SEARCH('02_대상물건입력'!$B$6,B666)),1,0)))</f>
        <v/>
      </c>
      <c r="L666">
        <f>IF(D666="","",IF('02_대상물건입력'!$B$8="",0,IF(ISNUMBER(SEARCH('02_대상물건입력'!$B$8,D666)),1,0)))</f>
        <v/>
      </c>
      <c r="M666">
        <f>IFERROR(ABS(E666-'02_대상물건입력'!$B$11)/'02_대상물건입력'!$B$11,"")</f>
        <v/>
      </c>
      <c r="N666">
        <f>IFERROR(ABS('01_설정'!$B$4-F666),"")</f>
        <v/>
      </c>
      <c r="O666">
        <f>IFERROR(ABS(YEAR(I666)-YEAR('02_대상물건입력'!$B$14)),"")</f>
        <v/>
      </c>
      <c r="P666">
        <f>IF(AND(E666&gt;0,F666&gt;0,G666&gt;0,IF('01_설정'!$B$10=1,J666=1,TRUE()),M666&lt;='01_설정'!$B$5,N666&lt;='01_설정'!$B$7,O666&lt;='01_설정'!$B$8),"Y","")</f>
        <v/>
      </c>
      <c r="Q666">
        <f>IF(P666&lt;&gt;"Y","",MAX(0,(1-M666/'01_설정'!$B$5))*'01_설정'!$B$14+MAX(0,(1-N666/'01_설정'!$B$7))*'01_설정'!$B$16+MAX(0,(1-O666/'01_설정'!$B$8))*'01_설정'!$B$17+K666*'01_설정'!$B$11+L666*'01_설정'!$B$12)</f>
        <v/>
      </c>
      <c r="R666">
        <f>IF(Q666="","",1+COUNTIFS($Q$31:$Q$1030,"&gt;"&amp;Q666)+COUNTIFS($Q$31:Q666,Q666)-1)</f>
        <v/>
      </c>
    </row>
    <row r="667" hidden="1" ht="16.5" customHeight="1">
      <c r="A667">
        <f>IF(COUNTA('05_KAIS'!$A655:$N655)=0,"",640)</f>
        <v/>
      </c>
      <c r="B667">
        <f>IF($A667="","",TRIM(INDEX('05_KAIS'!$B:$B,$A667)&amp;" "&amp;INDEX('05_KAIS'!$C:$C,$A667)))</f>
        <v/>
      </c>
      <c r="C667">
        <f>IF($A667="","",INDEX('05_KAIS'!$D:$D,$A667))</f>
        <v/>
      </c>
      <c r="D667">
        <f>IF($A667="","",INDEX('05_KAIS'!$H:$H,$A667))</f>
        <v/>
      </c>
      <c r="E667">
        <f>IF($A667="","",INDEX('05_KAIS'!$K:$K,$A667))</f>
        <v/>
      </c>
      <c r="F667" s="202">
        <f>IF($A667="","",INDEX('05_KAIS'!$I:$I,$A667))</f>
        <v/>
      </c>
      <c r="G667" s="118">
        <f>IF($A667="","",INDEX('05_KAIS'!$L:$L,$A667))</f>
        <v/>
      </c>
      <c r="H667" s="118">
        <f>IF($A667="","",IFERROR(INDEX('05_KAIS'!$M:$M,$A667),IF(AND(E667&gt;0,G667&gt;0),G667/E667,"")))</f>
        <v/>
      </c>
      <c r="I667" s="202">
        <f>IF($A667="","",INDEX('05_KAIS'!$N:$N,$A667))</f>
        <v/>
      </c>
      <c r="J667">
        <f>IF(B667="","",IF('02_대상물건입력'!$B$5="",1,IF(ISNUMBER(SEARCH('02_대상물건입력'!$B$5,B667)),1,0)))</f>
        <v/>
      </c>
      <c r="K667">
        <f>IF(B667="","",IF('02_대상물건입력'!$B$6="",1,IF(ISNUMBER(SEARCH('02_대상물건입력'!$B$6,B667)),1,0)))</f>
        <v/>
      </c>
      <c r="L667">
        <f>IF(D667="","",IF('02_대상물건입력'!$B$8="",0,IF(ISNUMBER(SEARCH('02_대상물건입력'!$B$8,D667)),1,0)))</f>
        <v/>
      </c>
      <c r="M667">
        <f>IFERROR(ABS(E667-'02_대상물건입력'!$B$11)/'02_대상물건입력'!$B$11,"")</f>
        <v/>
      </c>
      <c r="N667">
        <f>IFERROR(ABS('01_설정'!$B$4-F667),"")</f>
        <v/>
      </c>
      <c r="O667">
        <f>IFERROR(ABS(YEAR(I667)-YEAR('02_대상물건입력'!$B$14)),"")</f>
        <v/>
      </c>
      <c r="P667">
        <f>IF(AND(E667&gt;0,F667&gt;0,G667&gt;0,IF('01_설정'!$B$10=1,J667=1,TRUE()),M667&lt;='01_설정'!$B$5,N667&lt;='01_설정'!$B$7,O667&lt;='01_설정'!$B$8),"Y","")</f>
        <v/>
      </c>
      <c r="Q667">
        <f>IF(P667&lt;&gt;"Y","",MAX(0,(1-M667/'01_설정'!$B$5))*'01_설정'!$B$14+MAX(0,(1-N667/'01_설정'!$B$7))*'01_설정'!$B$16+MAX(0,(1-O667/'01_설정'!$B$8))*'01_설정'!$B$17+K667*'01_설정'!$B$11+L667*'01_설정'!$B$12)</f>
        <v/>
      </c>
      <c r="R667">
        <f>IF(Q667="","",1+COUNTIFS($Q$31:$Q$1030,"&gt;"&amp;Q667)+COUNTIFS($Q$31:Q667,Q667)-1)</f>
        <v/>
      </c>
    </row>
    <row r="668" hidden="1" ht="16.5" customHeight="1">
      <c r="A668">
        <f>IF(COUNTA('05_KAIS'!$A656:$N656)=0,"",641)</f>
        <v/>
      </c>
      <c r="B668">
        <f>IF($A668="","",TRIM(INDEX('05_KAIS'!$B:$B,$A668)&amp;" "&amp;INDEX('05_KAIS'!$C:$C,$A668)))</f>
        <v/>
      </c>
      <c r="C668">
        <f>IF($A668="","",INDEX('05_KAIS'!$D:$D,$A668))</f>
        <v/>
      </c>
      <c r="D668">
        <f>IF($A668="","",INDEX('05_KAIS'!$H:$H,$A668))</f>
        <v/>
      </c>
      <c r="E668">
        <f>IF($A668="","",INDEX('05_KAIS'!$K:$K,$A668))</f>
        <v/>
      </c>
      <c r="F668" s="202">
        <f>IF($A668="","",INDEX('05_KAIS'!$I:$I,$A668))</f>
        <v/>
      </c>
      <c r="G668" s="118">
        <f>IF($A668="","",INDEX('05_KAIS'!$L:$L,$A668))</f>
        <v/>
      </c>
      <c r="H668" s="118">
        <f>IF($A668="","",IFERROR(INDEX('05_KAIS'!$M:$M,$A668),IF(AND(E668&gt;0,G668&gt;0),G668/E668,"")))</f>
        <v/>
      </c>
      <c r="I668" s="202">
        <f>IF($A668="","",INDEX('05_KAIS'!$N:$N,$A668))</f>
        <v/>
      </c>
      <c r="J668">
        <f>IF(B668="","",IF('02_대상물건입력'!$B$5="",1,IF(ISNUMBER(SEARCH('02_대상물건입력'!$B$5,B668)),1,0)))</f>
        <v/>
      </c>
      <c r="K668">
        <f>IF(B668="","",IF('02_대상물건입력'!$B$6="",1,IF(ISNUMBER(SEARCH('02_대상물건입력'!$B$6,B668)),1,0)))</f>
        <v/>
      </c>
      <c r="L668">
        <f>IF(D668="","",IF('02_대상물건입력'!$B$8="",0,IF(ISNUMBER(SEARCH('02_대상물건입력'!$B$8,D668)),1,0)))</f>
        <v/>
      </c>
      <c r="M668">
        <f>IFERROR(ABS(E668-'02_대상물건입력'!$B$11)/'02_대상물건입력'!$B$11,"")</f>
        <v/>
      </c>
      <c r="N668">
        <f>IFERROR(ABS('01_설정'!$B$4-F668),"")</f>
        <v/>
      </c>
      <c r="O668">
        <f>IFERROR(ABS(YEAR(I668)-YEAR('02_대상물건입력'!$B$14)),"")</f>
        <v/>
      </c>
      <c r="P668">
        <f>IF(AND(E668&gt;0,F668&gt;0,G668&gt;0,IF('01_설정'!$B$10=1,J668=1,TRUE()),M668&lt;='01_설정'!$B$5,N668&lt;='01_설정'!$B$7,O668&lt;='01_설정'!$B$8),"Y","")</f>
        <v/>
      </c>
      <c r="Q668">
        <f>IF(P668&lt;&gt;"Y","",MAX(0,(1-M668/'01_설정'!$B$5))*'01_설정'!$B$14+MAX(0,(1-N668/'01_설정'!$B$7))*'01_설정'!$B$16+MAX(0,(1-O668/'01_설정'!$B$8))*'01_설정'!$B$17+K668*'01_설정'!$B$11+L668*'01_설정'!$B$12)</f>
        <v/>
      </c>
      <c r="R668">
        <f>IF(Q668="","",1+COUNTIFS($Q$31:$Q$1030,"&gt;"&amp;Q668)+COUNTIFS($Q$31:Q668,Q668)-1)</f>
        <v/>
      </c>
    </row>
    <row r="669" hidden="1" ht="16.5" customHeight="1">
      <c r="A669">
        <f>IF(COUNTA('05_KAIS'!$A657:$N657)=0,"",642)</f>
        <v/>
      </c>
      <c r="B669">
        <f>IF($A669="","",TRIM(INDEX('05_KAIS'!$B:$B,$A669)&amp;" "&amp;INDEX('05_KAIS'!$C:$C,$A669)))</f>
        <v/>
      </c>
      <c r="C669">
        <f>IF($A669="","",INDEX('05_KAIS'!$D:$D,$A669))</f>
        <v/>
      </c>
      <c r="D669">
        <f>IF($A669="","",INDEX('05_KAIS'!$H:$H,$A669))</f>
        <v/>
      </c>
      <c r="E669">
        <f>IF($A669="","",INDEX('05_KAIS'!$K:$K,$A669))</f>
        <v/>
      </c>
      <c r="F669" s="202">
        <f>IF($A669="","",INDEX('05_KAIS'!$I:$I,$A669))</f>
        <v/>
      </c>
      <c r="G669" s="118">
        <f>IF($A669="","",INDEX('05_KAIS'!$L:$L,$A669))</f>
        <v/>
      </c>
      <c r="H669" s="118">
        <f>IF($A669="","",IFERROR(INDEX('05_KAIS'!$M:$M,$A669),IF(AND(E669&gt;0,G669&gt;0),G669/E669,"")))</f>
        <v/>
      </c>
      <c r="I669" s="202">
        <f>IF($A669="","",INDEX('05_KAIS'!$N:$N,$A669))</f>
        <v/>
      </c>
      <c r="J669">
        <f>IF(B669="","",IF('02_대상물건입력'!$B$5="",1,IF(ISNUMBER(SEARCH('02_대상물건입력'!$B$5,B669)),1,0)))</f>
        <v/>
      </c>
      <c r="K669">
        <f>IF(B669="","",IF('02_대상물건입력'!$B$6="",1,IF(ISNUMBER(SEARCH('02_대상물건입력'!$B$6,B669)),1,0)))</f>
        <v/>
      </c>
      <c r="L669">
        <f>IF(D669="","",IF('02_대상물건입력'!$B$8="",0,IF(ISNUMBER(SEARCH('02_대상물건입력'!$B$8,D669)),1,0)))</f>
        <v/>
      </c>
      <c r="M669">
        <f>IFERROR(ABS(E669-'02_대상물건입력'!$B$11)/'02_대상물건입력'!$B$11,"")</f>
        <v/>
      </c>
      <c r="N669">
        <f>IFERROR(ABS('01_설정'!$B$4-F669),"")</f>
        <v/>
      </c>
      <c r="O669">
        <f>IFERROR(ABS(YEAR(I669)-YEAR('02_대상물건입력'!$B$14)),"")</f>
        <v/>
      </c>
      <c r="P669">
        <f>IF(AND(E669&gt;0,F669&gt;0,G669&gt;0,IF('01_설정'!$B$10=1,J669=1,TRUE()),M669&lt;='01_설정'!$B$5,N669&lt;='01_설정'!$B$7,O669&lt;='01_설정'!$B$8),"Y","")</f>
        <v/>
      </c>
      <c r="Q669">
        <f>IF(P669&lt;&gt;"Y","",MAX(0,(1-M669/'01_설정'!$B$5))*'01_설정'!$B$14+MAX(0,(1-N669/'01_설정'!$B$7))*'01_설정'!$B$16+MAX(0,(1-O669/'01_설정'!$B$8))*'01_설정'!$B$17+K669*'01_설정'!$B$11+L669*'01_설정'!$B$12)</f>
        <v/>
      </c>
      <c r="R669">
        <f>IF(Q669="","",1+COUNTIFS($Q$31:$Q$1030,"&gt;"&amp;Q669)+COUNTIFS($Q$31:Q669,Q669)-1)</f>
        <v/>
      </c>
    </row>
    <row r="670" hidden="1" ht="16.5" customHeight="1">
      <c r="A670">
        <f>IF(COUNTA('05_KAIS'!$A658:$N658)=0,"",643)</f>
        <v/>
      </c>
      <c r="B670">
        <f>IF($A670="","",TRIM(INDEX('05_KAIS'!$B:$B,$A670)&amp;" "&amp;INDEX('05_KAIS'!$C:$C,$A670)))</f>
        <v/>
      </c>
      <c r="C670">
        <f>IF($A670="","",INDEX('05_KAIS'!$D:$D,$A670))</f>
        <v/>
      </c>
      <c r="D670">
        <f>IF($A670="","",INDEX('05_KAIS'!$H:$H,$A670))</f>
        <v/>
      </c>
      <c r="E670">
        <f>IF($A670="","",INDEX('05_KAIS'!$K:$K,$A670))</f>
        <v/>
      </c>
      <c r="F670" s="202">
        <f>IF($A670="","",INDEX('05_KAIS'!$I:$I,$A670))</f>
        <v/>
      </c>
      <c r="G670" s="118">
        <f>IF($A670="","",INDEX('05_KAIS'!$L:$L,$A670))</f>
        <v/>
      </c>
      <c r="H670" s="118">
        <f>IF($A670="","",IFERROR(INDEX('05_KAIS'!$M:$M,$A670),IF(AND(E670&gt;0,G670&gt;0),G670/E670,"")))</f>
        <v/>
      </c>
      <c r="I670" s="202">
        <f>IF($A670="","",INDEX('05_KAIS'!$N:$N,$A670))</f>
        <v/>
      </c>
      <c r="J670">
        <f>IF(B670="","",IF('02_대상물건입력'!$B$5="",1,IF(ISNUMBER(SEARCH('02_대상물건입력'!$B$5,B670)),1,0)))</f>
        <v/>
      </c>
      <c r="K670">
        <f>IF(B670="","",IF('02_대상물건입력'!$B$6="",1,IF(ISNUMBER(SEARCH('02_대상물건입력'!$B$6,B670)),1,0)))</f>
        <v/>
      </c>
      <c r="L670">
        <f>IF(D670="","",IF('02_대상물건입력'!$B$8="",0,IF(ISNUMBER(SEARCH('02_대상물건입력'!$B$8,D670)),1,0)))</f>
        <v/>
      </c>
      <c r="M670">
        <f>IFERROR(ABS(E670-'02_대상물건입력'!$B$11)/'02_대상물건입력'!$B$11,"")</f>
        <v/>
      </c>
      <c r="N670">
        <f>IFERROR(ABS('01_설정'!$B$4-F670),"")</f>
        <v/>
      </c>
      <c r="O670">
        <f>IFERROR(ABS(YEAR(I670)-YEAR('02_대상물건입력'!$B$14)),"")</f>
        <v/>
      </c>
      <c r="P670">
        <f>IF(AND(E670&gt;0,F670&gt;0,G670&gt;0,IF('01_설정'!$B$10=1,J670=1,TRUE()),M670&lt;='01_설정'!$B$5,N670&lt;='01_설정'!$B$7,O670&lt;='01_설정'!$B$8),"Y","")</f>
        <v/>
      </c>
      <c r="Q670">
        <f>IF(P670&lt;&gt;"Y","",MAX(0,(1-M670/'01_설정'!$B$5))*'01_설정'!$B$14+MAX(0,(1-N670/'01_설정'!$B$7))*'01_설정'!$B$16+MAX(0,(1-O670/'01_설정'!$B$8))*'01_설정'!$B$17+K670*'01_설정'!$B$11+L670*'01_설정'!$B$12)</f>
        <v/>
      </c>
      <c r="R670">
        <f>IF(Q670="","",1+COUNTIFS($Q$31:$Q$1030,"&gt;"&amp;Q670)+COUNTIFS($Q$31:Q670,Q670)-1)</f>
        <v/>
      </c>
    </row>
    <row r="671" hidden="1" ht="16.5" customHeight="1">
      <c r="A671">
        <f>IF(COUNTA('05_KAIS'!$A659:$N659)=0,"",644)</f>
        <v/>
      </c>
      <c r="B671">
        <f>IF($A671="","",TRIM(INDEX('05_KAIS'!$B:$B,$A671)&amp;" "&amp;INDEX('05_KAIS'!$C:$C,$A671)))</f>
        <v/>
      </c>
      <c r="C671">
        <f>IF($A671="","",INDEX('05_KAIS'!$D:$D,$A671))</f>
        <v/>
      </c>
      <c r="D671">
        <f>IF($A671="","",INDEX('05_KAIS'!$H:$H,$A671))</f>
        <v/>
      </c>
      <c r="E671">
        <f>IF($A671="","",INDEX('05_KAIS'!$K:$K,$A671))</f>
        <v/>
      </c>
      <c r="F671" s="202">
        <f>IF($A671="","",INDEX('05_KAIS'!$I:$I,$A671))</f>
        <v/>
      </c>
      <c r="G671" s="118">
        <f>IF($A671="","",INDEX('05_KAIS'!$L:$L,$A671))</f>
        <v/>
      </c>
      <c r="H671" s="118">
        <f>IF($A671="","",IFERROR(INDEX('05_KAIS'!$M:$M,$A671),IF(AND(E671&gt;0,G671&gt;0),G671/E671,"")))</f>
        <v/>
      </c>
      <c r="I671" s="202">
        <f>IF($A671="","",INDEX('05_KAIS'!$N:$N,$A671))</f>
        <v/>
      </c>
      <c r="J671">
        <f>IF(B671="","",IF('02_대상물건입력'!$B$5="",1,IF(ISNUMBER(SEARCH('02_대상물건입력'!$B$5,B671)),1,0)))</f>
        <v/>
      </c>
      <c r="K671">
        <f>IF(B671="","",IF('02_대상물건입력'!$B$6="",1,IF(ISNUMBER(SEARCH('02_대상물건입력'!$B$6,B671)),1,0)))</f>
        <v/>
      </c>
      <c r="L671">
        <f>IF(D671="","",IF('02_대상물건입력'!$B$8="",0,IF(ISNUMBER(SEARCH('02_대상물건입력'!$B$8,D671)),1,0)))</f>
        <v/>
      </c>
      <c r="M671">
        <f>IFERROR(ABS(E671-'02_대상물건입력'!$B$11)/'02_대상물건입력'!$B$11,"")</f>
        <v/>
      </c>
      <c r="N671">
        <f>IFERROR(ABS('01_설정'!$B$4-F671),"")</f>
        <v/>
      </c>
      <c r="O671">
        <f>IFERROR(ABS(YEAR(I671)-YEAR('02_대상물건입력'!$B$14)),"")</f>
        <v/>
      </c>
      <c r="P671">
        <f>IF(AND(E671&gt;0,F671&gt;0,G671&gt;0,IF('01_설정'!$B$10=1,J671=1,TRUE()),M671&lt;='01_설정'!$B$5,N671&lt;='01_설정'!$B$7,O671&lt;='01_설정'!$B$8),"Y","")</f>
        <v/>
      </c>
      <c r="Q671">
        <f>IF(P671&lt;&gt;"Y","",MAX(0,(1-M671/'01_설정'!$B$5))*'01_설정'!$B$14+MAX(0,(1-N671/'01_설정'!$B$7))*'01_설정'!$B$16+MAX(0,(1-O671/'01_설정'!$B$8))*'01_설정'!$B$17+K671*'01_설정'!$B$11+L671*'01_설정'!$B$12)</f>
        <v/>
      </c>
      <c r="R671">
        <f>IF(Q671="","",1+COUNTIFS($Q$31:$Q$1030,"&gt;"&amp;Q671)+COUNTIFS($Q$31:Q671,Q671)-1)</f>
        <v/>
      </c>
    </row>
    <row r="672" hidden="1" ht="16.5" customHeight="1">
      <c r="A672">
        <f>IF(COUNTA('05_KAIS'!$A660:$N660)=0,"",645)</f>
        <v/>
      </c>
      <c r="B672">
        <f>IF($A672="","",TRIM(INDEX('05_KAIS'!$B:$B,$A672)&amp;" "&amp;INDEX('05_KAIS'!$C:$C,$A672)))</f>
        <v/>
      </c>
      <c r="C672">
        <f>IF($A672="","",INDEX('05_KAIS'!$D:$D,$A672))</f>
        <v/>
      </c>
      <c r="D672">
        <f>IF($A672="","",INDEX('05_KAIS'!$H:$H,$A672))</f>
        <v/>
      </c>
      <c r="E672">
        <f>IF($A672="","",INDEX('05_KAIS'!$K:$K,$A672))</f>
        <v/>
      </c>
      <c r="F672" s="202">
        <f>IF($A672="","",INDEX('05_KAIS'!$I:$I,$A672))</f>
        <v/>
      </c>
      <c r="G672" s="118">
        <f>IF($A672="","",INDEX('05_KAIS'!$L:$L,$A672))</f>
        <v/>
      </c>
      <c r="H672" s="118">
        <f>IF($A672="","",IFERROR(INDEX('05_KAIS'!$M:$M,$A672),IF(AND(E672&gt;0,G672&gt;0),G672/E672,"")))</f>
        <v/>
      </c>
      <c r="I672" s="202">
        <f>IF($A672="","",INDEX('05_KAIS'!$N:$N,$A672))</f>
        <v/>
      </c>
      <c r="J672">
        <f>IF(B672="","",IF('02_대상물건입력'!$B$5="",1,IF(ISNUMBER(SEARCH('02_대상물건입력'!$B$5,B672)),1,0)))</f>
        <v/>
      </c>
      <c r="K672">
        <f>IF(B672="","",IF('02_대상물건입력'!$B$6="",1,IF(ISNUMBER(SEARCH('02_대상물건입력'!$B$6,B672)),1,0)))</f>
        <v/>
      </c>
      <c r="L672">
        <f>IF(D672="","",IF('02_대상물건입력'!$B$8="",0,IF(ISNUMBER(SEARCH('02_대상물건입력'!$B$8,D672)),1,0)))</f>
        <v/>
      </c>
      <c r="M672">
        <f>IFERROR(ABS(E672-'02_대상물건입력'!$B$11)/'02_대상물건입력'!$B$11,"")</f>
        <v/>
      </c>
      <c r="N672">
        <f>IFERROR(ABS('01_설정'!$B$4-F672),"")</f>
        <v/>
      </c>
      <c r="O672">
        <f>IFERROR(ABS(YEAR(I672)-YEAR('02_대상물건입력'!$B$14)),"")</f>
        <v/>
      </c>
      <c r="P672">
        <f>IF(AND(E672&gt;0,F672&gt;0,G672&gt;0,IF('01_설정'!$B$10=1,J672=1,TRUE()),M672&lt;='01_설정'!$B$5,N672&lt;='01_설정'!$B$7,O672&lt;='01_설정'!$B$8),"Y","")</f>
        <v/>
      </c>
      <c r="Q672">
        <f>IF(P672&lt;&gt;"Y","",MAX(0,(1-M672/'01_설정'!$B$5))*'01_설정'!$B$14+MAX(0,(1-N672/'01_설정'!$B$7))*'01_설정'!$B$16+MAX(0,(1-O672/'01_설정'!$B$8))*'01_설정'!$B$17+K672*'01_설정'!$B$11+L672*'01_설정'!$B$12)</f>
        <v/>
      </c>
      <c r="R672">
        <f>IF(Q672="","",1+COUNTIFS($Q$31:$Q$1030,"&gt;"&amp;Q672)+COUNTIFS($Q$31:Q672,Q672)-1)</f>
        <v/>
      </c>
    </row>
    <row r="673" hidden="1" ht="16.5" customHeight="1">
      <c r="A673">
        <f>IF(COUNTA('05_KAIS'!$A661:$N661)=0,"",646)</f>
        <v/>
      </c>
      <c r="B673">
        <f>IF($A673="","",TRIM(INDEX('05_KAIS'!$B:$B,$A673)&amp;" "&amp;INDEX('05_KAIS'!$C:$C,$A673)))</f>
        <v/>
      </c>
      <c r="C673">
        <f>IF($A673="","",INDEX('05_KAIS'!$D:$D,$A673))</f>
        <v/>
      </c>
      <c r="D673">
        <f>IF($A673="","",INDEX('05_KAIS'!$H:$H,$A673))</f>
        <v/>
      </c>
      <c r="E673">
        <f>IF($A673="","",INDEX('05_KAIS'!$K:$K,$A673))</f>
        <v/>
      </c>
      <c r="F673" s="202">
        <f>IF($A673="","",INDEX('05_KAIS'!$I:$I,$A673))</f>
        <v/>
      </c>
      <c r="G673" s="118">
        <f>IF($A673="","",INDEX('05_KAIS'!$L:$L,$A673))</f>
        <v/>
      </c>
      <c r="H673" s="118">
        <f>IF($A673="","",IFERROR(INDEX('05_KAIS'!$M:$M,$A673),IF(AND(E673&gt;0,G673&gt;0),G673/E673,"")))</f>
        <v/>
      </c>
      <c r="I673" s="202">
        <f>IF($A673="","",INDEX('05_KAIS'!$N:$N,$A673))</f>
        <v/>
      </c>
      <c r="J673">
        <f>IF(B673="","",IF('02_대상물건입력'!$B$5="",1,IF(ISNUMBER(SEARCH('02_대상물건입력'!$B$5,B673)),1,0)))</f>
        <v/>
      </c>
      <c r="K673">
        <f>IF(B673="","",IF('02_대상물건입력'!$B$6="",1,IF(ISNUMBER(SEARCH('02_대상물건입력'!$B$6,B673)),1,0)))</f>
        <v/>
      </c>
      <c r="L673">
        <f>IF(D673="","",IF('02_대상물건입력'!$B$8="",0,IF(ISNUMBER(SEARCH('02_대상물건입력'!$B$8,D673)),1,0)))</f>
        <v/>
      </c>
      <c r="M673">
        <f>IFERROR(ABS(E673-'02_대상물건입력'!$B$11)/'02_대상물건입력'!$B$11,"")</f>
        <v/>
      </c>
      <c r="N673">
        <f>IFERROR(ABS('01_설정'!$B$4-F673),"")</f>
        <v/>
      </c>
      <c r="O673">
        <f>IFERROR(ABS(YEAR(I673)-YEAR('02_대상물건입력'!$B$14)),"")</f>
        <v/>
      </c>
      <c r="P673">
        <f>IF(AND(E673&gt;0,F673&gt;0,G673&gt;0,IF('01_설정'!$B$10=1,J673=1,TRUE()),M673&lt;='01_설정'!$B$5,N673&lt;='01_설정'!$B$7,O673&lt;='01_설정'!$B$8),"Y","")</f>
        <v/>
      </c>
      <c r="Q673">
        <f>IF(P673&lt;&gt;"Y","",MAX(0,(1-M673/'01_설정'!$B$5))*'01_설정'!$B$14+MAX(0,(1-N673/'01_설정'!$B$7))*'01_설정'!$B$16+MAX(0,(1-O673/'01_설정'!$B$8))*'01_설정'!$B$17+K673*'01_설정'!$B$11+L673*'01_설정'!$B$12)</f>
        <v/>
      </c>
      <c r="R673">
        <f>IF(Q673="","",1+COUNTIFS($Q$31:$Q$1030,"&gt;"&amp;Q673)+COUNTIFS($Q$31:Q673,Q673)-1)</f>
        <v/>
      </c>
    </row>
    <row r="674" hidden="1" ht="16.5" customHeight="1">
      <c r="A674">
        <f>IF(COUNTA('05_KAIS'!$A662:$N662)=0,"",647)</f>
        <v/>
      </c>
      <c r="B674">
        <f>IF($A674="","",TRIM(INDEX('05_KAIS'!$B:$B,$A674)&amp;" "&amp;INDEX('05_KAIS'!$C:$C,$A674)))</f>
        <v/>
      </c>
      <c r="C674">
        <f>IF($A674="","",INDEX('05_KAIS'!$D:$D,$A674))</f>
        <v/>
      </c>
      <c r="D674">
        <f>IF($A674="","",INDEX('05_KAIS'!$H:$H,$A674))</f>
        <v/>
      </c>
      <c r="E674">
        <f>IF($A674="","",INDEX('05_KAIS'!$K:$K,$A674))</f>
        <v/>
      </c>
      <c r="F674" s="202">
        <f>IF($A674="","",INDEX('05_KAIS'!$I:$I,$A674))</f>
        <v/>
      </c>
      <c r="G674" s="118">
        <f>IF($A674="","",INDEX('05_KAIS'!$L:$L,$A674))</f>
        <v/>
      </c>
      <c r="H674" s="118">
        <f>IF($A674="","",IFERROR(INDEX('05_KAIS'!$M:$M,$A674),IF(AND(E674&gt;0,G674&gt;0),G674/E674,"")))</f>
        <v/>
      </c>
      <c r="I674" s="202">
        <f>IF($A674="","",INDEX('05_KAIS'!$N:$N,$A674))</f>
        <v/>
      </c>
      <c r="J674">
        <f>IF(B674="","",IF('02_대상물건입력'!$B$5="",1,IF(ISNUMBER(SEARCH('02_대상물건입력'!$B$5,B674)),1,0)))</f>
        <v/>
      </c>
      <c r="K674">
        <f>IF(B674="","",IF('02_대상물건입력'!$B$6="",1,IF(ISNUMBER(SEARCH('02_대상물건입력'!$B$6,B674)),1,0)))</f>
        <v/>
      </c>
      <c r="L674">
        <f>IF(D674="","",IF('02_대상물건입력'!$B$8="",0,IF(ISNUMBER(SEARCH('02_대상물건입력'!$B$8,D674)),1,0)))</f>
        <v/>
      </c>
      <c r="M674">
        <f>IFERROR(ABS(E674-'02_대상물건입력'!$B$11)/'02_대상물건입력'!$B$11,"")</f>
        <v/>
      </c>
      <c r="N674">
        <f>IFERROR(ABS('01_설정'!$B$4-F674),"")</f>
        <v/>
      </c>
      <c r="O674">
        <f>IFERROR(ABS(YEAR(I674)-YEAR('02_대상물건입력'!$B$14)),"")</f>
        <v/>
      </c>
      <c r="P674">
        <f>IF(AND(E674&gt;0,F674&gt;0,G674&gt;0,IF('01_설정'!$B$10=1,J674=1,TRUE()),M674&lt;='01_설정'!$B$5,N674&lt;='01_설정'!$B$7,O674&lt;='01_설정'!$B$8),"Y","")</f>
        <v/>
      </c>
      <c r="Q674">
        <f>IF(P674&lt;&gt;"Y","",MAX(0,(1-M674/'01_설정'!$B$5))*'01_설정'!$B$14+MAX(0,(1-N674/'01_설정'!$B$7))*'01_설정'!$B$16+MAX(0,(1-O674/'01_설정'!$B$8))*'01_설정'!$B$17+K674*'01_설정'!$B$11+L674*'01_설정'!$B$12)</f>
        <v/>
      </c>
      <c r="R674">
        <f>IF(Q674="","",1+COUNTIFS($Q$31:$Q$1030,"&gt;"&amp;Q674)+COUNTIFS($Q$31:Q674,Q674)-1)</f>
        <v/>
      </c>
    </row>
    <row r="675" hidden="1" ht="16.5" customHeight="1">
      <c r="A675">
        <f>IF(COUNTA('05_KAIS'!$A663:$N663)=0,"",648)</f>
        <v/>
      </c>
      <c r="B675">
        <f>IF($A675="","",TRIM(INDEX('05_KAIS'!$B:$B,$A675)&amp;" "&amp;INDEX('05_KAIS'!$C:$C,$A675)))</f>
        <v/>
      </c>
      <c r="C675">
        <f>IF($A675="","",INDEX('05_KAIS'!$D:$D,$A675))</f>
        <v/>
      </c>
      <c r="D675">
        <f>IF($A675="","",INDEX('05_KAIS'!$H:$H,$A675))</f>
        <v/>
      </c>
      <c r="E675">
        <f>IF($A675="","",INDEX('05_KAIS'!$K:$K,$A675))</f>
        <v/>
      </c>
      <c r="F675" s="202">
        <f>IF($A675="","",INDEX('05_KAIS'!$I:$I,$A675))</f>
        <v/>
      </c>
      <c r="G675" s="118">
        <f>IF($A675="","",INDEX('05_KAIS'!$L:$L,$A675))</f>
        <v/>
      </c>
      <c r="H675" s="118">
        <f>IF($A675="","",IFERROR(INDEX('05_KAIS'!$M:$M,$A675),IF(AND(E675&gt;0,G675&gt;0),G675/E675,"")))</f>
        <v/>
      </c>
      <c r="I675" s="202">
        <f>IF($A675="","",INDEX('05_KAIS'!$N:$N,$A675))</f>
        <v/>
      </c>
      <c r="J675">
        <f>IF(B675="","",IF('02_대상물건입력'!$B$5="",1,IF(ISNUMBER(SEARCH('02_대상물건입력'!$B$5,B675)),1,0)))</f>
        <v/>
      </c>
      <c r="K675">
        <f>IF(B675="","",IF('02_대상물건입력'!$B$6="",1,IF(ISNUMBER(SEARCH('02_대상물건입력'!$B$6,B675)),1,0)))</f>
        <v/>
      </c>
      <c r="L675">
        <f>IF(D675="","",IF('02_대상물건입력'!$B$8="",0,IF(ISNUMBER(SEARCH('02_대상물건입력'!$B$8,D675)),1,0)))</f>
        <v/>
      </c>
      <c r="M675">
        <f>IFERROR(ABS(E675-'02_대상물건입력'!$B$11)/'02_대상물건입력'!$B$11,"")</f>
        <v/>
      </c>
      <c r="N675">
        <f>IFERROR(ABS('01_설정'!$B$4-F675),"")</f>
        <v/>
      </c>
      <c r="O675">
        <f>IFERROR(ABS(YEAR(I675)-YEAR('02_대상물건입력'!$B$14)),"")</f>
        <v/>
      </c>
      <c r="P675">
        <f>IF(AND(E675&gt;0,F675&gt;0,G675&gt;0,IF('01_설정'!$B$10=1,J675=1,TRUE()),M675&lt;='01_설정'!$B$5,N675&lt;='01_설정'!$B$7,O675&lt;='01_설정'!$B$8),"Y","")</f>
        <v/>
      </c>
      <c r="Q675">
        <f>IF(P675&lt;&gt;"Y","",MAX(0,(1-M675/'01_설정'!$B$5))*'01_설정'!$B$14+MAX(0,(1-N675/'01_설정'!$B$7))*'01_설정'!$B$16+MAX(0,(1-O675/'01_설정'!$B$8))*'01_설정'!$B$17+K675*'01_설정'!$B$11+L675*'01_설정'!$B$12)</f>
        <v/>
      </c>
      <c r="R675">
        <f>IF(Q675="","",1+COUNTIFS($Q$31:$Q$1030,"&gt;"&amp;Q675)+COUNTIFS($Q$31:Q675,Q675)-1)</f>
        <v/>
      </c>
    </row>
    <row r="676" hidden="1" ht="16.5" customHeight="1">
      <c r="A676">
        <f>IF(COUNTA('05_KAIS'!$A664:$N664)=0,"",649)</f>
        <v/>
      </c>
      <c r="B676">
        <f>IF($A676="","",TRIM(INDEX('05_KAIS'!$B:$B,$A676)&amp;" "&amp;INDEX('05_KAIS'!$C:$C,$A676)))</f>
        <v/>
      </c>
      <c r="C676">
        <f>IF($A676="","",INDEX('05_KAIS'!$D:$D,$A676))</f>
        <v/>
      </c>
      <c r="D676">
        <f>IF($A676="","",INDEX('05_KAIS'!$H:$H,$A676))</f>
        <v/>
      </c>
      <c r="E676">
        <f>IF($A676="","",INDEX('05_KAIS'!$K:$K,$A676))</f>
        <v/>
      </c>
      <c r="F676" s="202">
        <f>IF($A676="","",INDEX('05_KAIS'!$I:$I,$A676))</f>
        <v/>
      </c>
      <c r="G676" s="118">
        <f>IF($A676="","",INDEX('05_KAIS'!$L:$L,$A676))</f>
        <v/>
      </c>
      <c r="H676" s="118">
        <f>IF($A676="","",IFERROR(INDEX('05_KAIS'!$M:$M,$A676),IF(AND(E676&gt;0,G676&gt;0),G676/E676,"")))</f>
        <v/>
      </c>
      <c r="I676" s="202">
        <f>IF($A676="","",INDEX('05_KAIS'!$N:$N,$A676))</f>
        <v/>
      </c>
      <c r="J676">
        <f>IF(B676="","",IF('02_대상물건입력'!$B$5="",1,IF(ISNUMBER(SEARCH('02_대상물건입력'!$B$5,B676)),1,0)))</f>
        <v/>
      </c>
      <c r="K676">
        <f>IF(B676="","",IF('02_대상물건입력'!$B$6="",1,IF(ISNUMBER(SEARCH('02_대상물건입력'!$B$6,B676)),1,0)))</f>
        <v/>
      </c>
      <c r="L676">
        <f>IF(D676="","",IF('02_대상물건입력'!$B$8="",0,IF(ISNUMBER(SEARCH('02_대상물건입력'!$B$8,D676)),1,0)))</f>
        <v/>
      </c>
      <c r="M676">
        <f>IFERROR(ABS(E676-'02_대상물건입력'!$B$11)/'02_대상물건입력'!$B$11,"")</f>
        <v/>
      </c>
      <c r="N676">
        <f>IFERROR(ABS('01_설정'!$B$4-F676),"")</f>
        <v/>
      </c>
      <c r="O676">
        <f>IFERROR(ABS(YEAR(I676)-YEAR('02_대상물건입력'!$B$14)),"")</f>
        <v/>
      </c>
      <c r="P676">
        <f>IF(AND(E676&gt;0,F676&gt;0,G676&gt;0,IF('01_설정'!$B$10=1,J676=1,TRUE()),M676&lt;='01_설정'!$B$5,N676&lt;='01_설정'!$B$7,O676&lt;='01_설정'!$B$8),"Y","")</f>
        <v/>
      </c>
      <c r="Q676">
        <f>IF(P676&lt;&gt;"Y","",MAX(0,(1-M676/'01_설정'!$B$5))*'01_설정'!$B$14+MAX(0,(1-N676/'01_설정'!$B$7))*'01_설정'!$B$16+MAX(0,(1-O676/'01_설정'!$B$8))*'01_설정'!$B$17+K676*'01_설정'!$B$11+L676*'01_설정'!$B$12)</f>
        <v/>
      </c>
      <c r="R676">
        <f>IF(Q676="","",1+COUNTIFS($Q$31:$Q$1030,"&gt;"&amp;Q676)+COUNTIFS($Q$31:Q676,Q676)-1)</f>
        <v/>
      </c>
    </row>
    <row r="677" hidden="1" ht="16.5" customHeight="1">
      <c r="A677">
        <f>IF(COUNTA('05_KAIS'!$A665:$N665)=0,"",650)</f>
        <v/>
      </c>
      <c r="B677">
        <f>IF($A677="","",TRIM(INDEX('05_KAIS'!$B:$B,$A677)&amp;" "&amp;INDEX('05_KAIS'!$C:$C,$A677)))</f>
        <v/>
      </c>
      <c r="C677">
        <f>IF($A677="","",INDEX('05_KAIS'!$D:$D,$A677))</f>
        <v/>
      </c>
      <c r="D677">
        <f>IF($A677="","",INDEX('05_KAIS'!$H:$H,$A677))</f>
        <v/>
      </c>
      <c r="E677">
        <f>IF($A677="","",INDEX('05_KAIS'!$K:$K,$A677))</f>
        <v/>
      </c>
      <c r="F677" s="202">
        <f>IF($A677="","",INDEX('05_KAIS'!$I:$I,$A677))</f>
        <v/>
      </c>
      <c r="G677" s="118">
        <f>IF($A677="","",INDEX('05_KAIS'!$L:$L,$A677))</f>
        <v/>
      </c>
      <c r="H677" s="118">
        <f>IF($A677="","",IFERROR(INDEX('05_KAIS'!$M:$M,$A677),IF(AND(E677&gt;0,G677&gt;0),G677/E677,"")))</f>
        <v/>
      </c>
      <c r="I677" s="202">
        <f>IF($A677="","",INDEX('05_KAIS'!$N:$N,$A677))</f>
        <v/>
      </c>
      <c r="J677">
        <f>IF(B677="","",IF('02_대상물건입력'!$B$5="",1,IF(ISNUMBER(SEARCH('02_대상물건입력'!$B$5,B677)),1,0)))</f>
        <v/>
      </c>
      <c r="K677">
        <f>IF(B677="","",IF('02_대상물건입력'!$B$6="",1,IF(ISNUMBER(SEARCH('02_대상물건입력'!$B$6,B677)),1,0)))</f>
        <v/>
      </c>
      <c r="L677">
        <f>IF(D677="","",IF('02_대상물건입력'!$B$8="",0,IF(ISNUMBER(SEARCH('02_대상물건입력'!$B$8,D677)),1,0)))</f>
        <v/>
      </c>
      <c r="M677">
        <f>IFERROR(ABS(E677-'02_대상물건입력'!$B$11)/'02_대상물건입력'!$B$11,"")</f>
        <v/>
      </c>
      <c r="N677">
        <f>IFERROR(ABS('01_설정'!$B$4-F677),"")</f>
        <v/>
      </c>
      <c r="O677">
        <f>IFERROR(ABS(YEAR(I677)-YEAR('02_대상물건입력'!$B$14)),"")</f>
        <v/>
      </c>
      <c r="P677">
        <f>IF(AND(E677&gt;0,F677&gt;0,G677&gt;0,IF('01_설정'!$B$10=1,J677=1,TRUE()),M677&lt;='01_설정'!$B$5,N677&lt;='01_설정'!$B$7,O677&lt;='01_설정'!$B$8),"Y","")</f>
        <v/>
      </c>
      <c r="Q677">
        <f>IF(P677&lt;&gt;"Y","",MAX(0,(1-M677/'01_설정'!$B$5))*'01_설정'!$B$14+MAX(0,(1-N677/'01_설정'!$B$7))*'01_설정'!$B$16+MAX(0,(1-O677/'01_설정'!$B$8))*'01_설정'!$B$17+K677*'01_설정'!$B$11+L677*'01_설정'!$B$12)</f>
        <v/>
      </c>
      <c r="R677">
        <f>IF(Q677="","",1+COUNTIFS($Q$31:$Q$1030,"&gt;"&amp;Q677)+COUNTIFS($Q$31:Q677,Q677)-1)</f>
        <v/>
      </c>
    </row>
    <row r="678" hidden="1" ht="16.5" customHeight="1">
      <c r="A678">
        <f>IF(COUNTA('05_KAIS'!$A666:$N666)=0,"",651)</f>
        <v/>
      </c>
      <c r="B678">
        <f>IF($A678="","",TRIM(INDEX('05_KAIS'!$B:$B,$A678)&amp;" "&amp;INDEX('05_KAIS'!$C:$C,$A678)))</f>
        <v/>
      </c>
      <c r="C678">
        <f>IF($A678="","",INDEX('05_KAIS'!$D:$D,$A678))</f>
        <v/>
      </c>
      <c r="D678">
        <f>IF($A678="","",INDEX('05_KAIS'!$H:$H,$A678))</f>
        <v/>
      </c>
      <c r="E678">
        <f>IF($A678="","",INDEX('05_KAIS'!$K:$K,$A678))</f>
        <v/>
      </c>
      <c r="F678" s="202">
        <f>IF($A678="","",INDEX('05_KAIS'!$I:$I,$A678))</f>
        <v/>
      </c>
      <c r="G678" s="118">
        <f>IF($A678="","",INDEX('05_KAIS'!$L:$L,$A678))</f>
        <v/>
      </c>
      <c r="H678" s="118">
        <f>IF($A678="","",IFERROR(INDEX('05_KAIS'!$M:$M,$A678),IF(AND(E678&gt;0,G678&gt;0),G678/E678,"")))</f>
        <v/>
      </c>
      <c r="I678" s="202">
        <f>IF($A678="","",INDEX('05_KAIS'!$N:$N,$A678))</f>
        <v/>
      </c>
      <c r="J678">
        <f>IF(B678="","",IF('02_대상물건입력'!$B$5="",1,IF(ISNUMBER(SEARCH('02_대상물건입력'!$B$5,B678)),1,0)))</f>
        <v/>
      </c>
      <c r="K678">
        <f>IF(B678="","",IF('02_대상물건입력'!$B$6="",1,IF(ISNUMBER(SEARCH('02_대상물건입력'!$B$6,B678)),1,0)))</f>
        <v/>
      </c>
      <c r="L678">
        <f>IF(D678="","",IF('02_대상물건입력'!$B$8="",0,IF(ISNUMBER(SEARCH('02_대상물건입력'!$B$8,D678)),1,0)))</f>
        <v/>
      </c>
      <c r="M678">
        <f>IFERROR(ABS(E678-'02_대상물건입력'!$B$11)/'02_대상물건입력'!$B$11,"")</f>
        <v/>
      </c>
      <c r="N678">
        <f>IFERROR(ABS('01_설정'!$B$4-F678),"")</f>
        <v/>
      </c>
      <c r="O678">
        <f>IFERROR(ABS(YEAR(I678)-YEAR('02_대상물건입력'!$B$14)),"")</f>
        <v/>
      </c>
      <c r="P678">
        <f>IF(AND(E678&gt;0,F678&gt;0,G678&gt;0,IF('01_설정'!$B$10=1,J678=1,TRUE()),M678&lt;='01_설정'!$B$5,N678&lt;='01_설정'!$B$7,O678&lt;='01_설정'!$B$8),"Y","")</f>
        <v/>
      </c>
      <c r="Q678">
        <f>IF(P678&lt;&gt;"Y","",MAX(0,(1-M678/'01_설정'!$B$5))*'01_설정'!$B$14+MAX(0,(1-N678/'01_설정'!$B$7))*'01_설정'!$B$16+MAX(0,(1-O678/'01_설정'!$B$8))*'01_설정'!$B$17+K678*'01_설정'!$B$11+L678*'01_설정'!$B$12)</f>
        <v/>
      </c>
      <c r="R678">
        <f>IF(Q678="","",1+COUNTIFS($Q$31:$Q$1030,"&gt;"&amp;Q678)+COUNTIFS($Q$31:Q678,Q678)-1)</f>
        <v/>
      </c>
    </row>
    <row r="679" hidden="1" ht="16.5" customHeight="1">
      <c r="A679">
        <f>IF(COUNTA('05_KAIS'!$A667:$N667)=0,"",652)</f>
        <v/>
      </c>
      <c r="B679">
        <f>IF($A679="","",TRIM(INDEX('05_KAIS'!$B:$B,$A679)&amp;" "&amp;INDEX('05_KAIS'!$C:$C,$A679)))</f>
        <v/>
      </c>
      <c r="C679">
        <f>IF($A679="","",INDEX('05_KAIS'!$D:$D,$A679))</f>
        <v/>
      </c>
      <c r="D679">
        <f>IF($A679="","",INDEX('05_KAIS'!$H:$H,$A679))</f>
        <v/>
      </c>
      <c r="E679">
        <f>IF($A679="","",INDEX('05_KAIS'!$K:$K,$A679))</f>
        <v/>
      </c>
      <c r="F679" s="202">
        <f>IF($A679="","",INDEX('05_KAIS'!$I:$I,$A679))</f>
        <v/>
      </c>
      <c r="G679" s="118">
        <f>IF($A679="","",INDEX('05_KAIS'!$L:$L,$A679))</f>
        <v/>
      </c>
      <c r="H679" s="118">
        <f>IF($A679="","",IFERROR(INDEX('05_KAIS'!$M:$M,$A679),IF(AND(E679&gt;0,G679&gt;0),G679/E679,"")))</f>
        <v/>
      </c>
      <c r="I679" s="202">
        <f>IF($A679="","",INDEX('05_KAIS'!$N:$N,$A679))</f>
        <v/>
      </c>
      <c r="J679">
        <f>IF(B679="","",IF('02_대상물건입력'!$B$5="",1,IF(ISNUMBER(SEARCH('02_대상물건입력'!$B$5,B679)),1,0)))</f>
        <v/>
      </c>
      <c r="K679">
        <f>IF(B679="","",IF('02_대상물건입력'!$B$6="",1,IF(ISNUMBER(SEARCH('02_대상물건입력'!$B$6,B679)),1,0)))</f>
        <v/>
      </c>
      <c r="L679">
        <f>IF(D679="","",IF('02_대상물건입력'!$B$8="",0,IF(ISNUMBER(SEARCH('02_대상물건입력'!$B$8,D679)),1,0)))</f>
        <v/>
      </c>
      <c r="M679">
        <f>IFERROR(ABS(E679-'02_대상물건입력'!$B$11)/'02_대상물건입력'!$B$11,"")</f>
        <v/>
      </c>
      <c r="N679">
        <f>IFERROR(ABS('01_설정'!$B$4-F679),"")</f>
        <v/>
      </c>
      <c r="O679">
        <f>IFERROR(ABS(YEAR(I679)-YEAR('02_대상물건입력'!$B$14)),"")</f>
        <v/>
      </c>
      <c r="P679">
        <f>IF(AND(E679&gt;0,F679&gt;0,G679&gt;0,IF('01_설정'!$B$10=1,J679=1,TRUE()),M679&lt;='01_설정'!$B$5,N679&lt;='01_설정'!$B$7,O679&lt;='01_설정'!$B$8),"Y","")</f>
        <v/>
      </c>
      <c r="Q679">
        <f>IF(P679&lt;&gt;"Y","",MAX(0,(1-M679/'01_설정'!$B$5))*'01_설정'!$B$14+MAX(0,(1-N679/'01_설정'!$B$7))*'01_설정'!$B$16+MAX(0,(1-O679/'01_설정'!$B$8))*'01_설정'!$B$17+K679*'01_설정'!$B$11+L679*'01_설정'!$B$12)</f>
        <v/>
      </c>
      <c r="R679">
        <f>IF(Q679="","",1+COUNTIFS($Q$31:$Q$1030,"&gt;"&amp;Q679)+COUNTIFS($Q$31:Q679,Q679)-1)</f>
        <v/>
      </c>
    </row>
    <row r="680" hidden="1" ht="16.5" customHeight="1">
      <c r="A680">
        <f>IF(COUNTA('05_KAIS'!$A668:$N668)=0,"",653)</f>
        <v/>
      </c>
      <c r="B680">
        <f>IF($A680="","",TRIM(INDEX('05_KAIS'!$B:$B,$A680)&amp;" "&amp;INDEX('05_KAIS'!$C:$C,$A680)))</f>
        <v/>
      </c>
      <c r="C680">
        <f>IF($A680="","",INDEX('05_KAIS'!$D:$D,$A680))</f>
        <v/>
      </c>
      <c r="D680">
        <f>IF($A680="","",INDEX('05_KAIS'!$H:$H,$A680))</f>
        <v/>
      </c>
      <c r="E680">
        <f>IF($A680="","",INDEX('05_KAIS'!$K:$K,$A680))</f>
        <v/>
      </c>
      <c r="F680" s="202">
        <f>IF($A680="","",INDEX('05_KAIS'!$I:$I,$A680))</f>
        <v/>
      </c>
      <c r="G680" s="118">
        <f>IF($A680="","",INDEX('05_KAIS'!$L:$L,$A680))</f>
        <v/>
      </c>
      <c r="H680" s="118">
        <f>IF($A680="","",IFERROR(INDEX('05_KAIS'!$M:$M,$A680),IF(AND(E680&gt;0,G680&gt;0),G680/E680,"")))</f>
        <v/>
      </c>
      <c r="I680" s="202">
        <f>IF($A680="","",INDEX('05_KAIS'!$N:$N,$A680))</f>
        <v/>
      </c>
      <c r="J680">
        <f>IF(B680="","",IF('02_대상물건입력'!$B$5="",1,IF(ISNUMBER(SEARCH('02_대상물건입력'!$B$5,B680)),1,0)))</f>
        <v/>
      </c>
      <c r="K680">
        <f>IF(B680="","",IF('02_대상물건입력'!$B$6="",1,IF(ISNUMBER(SEARCH('02_대상물건입력'!$B$6,B680)),1,0)))</f>
        <v/>
      </c>
      <c r="L680">
        <f>IF(D680="","",IF('02_대상물건입력'!$B$8="",0,IF(ISNUMBER(SEARCH('02_대상물건입력'!$B$8,D680)),1,0)))</f>
        <v/>
      </c>
      <c r="M680">
        <f>IFERROR(ABS(E680-'02_대상물건입력'!$B$11)/'02_대상물건입력'!$B$11,"")</f>
        <v/>
      </c>
      <c r="N680">
        <f>IFERROR(ABS('01_설정'!$B$4-F680),"")</f>
        <v/>
      </c>
      <c r="O680">
        <f>IFERROR(ABS(YEAR(I680)-YEAR('02_대상물건입력'!$B$14)),"")</f>
        <v/>
      </c>
      <c r="P680">
        <f>IF(AND(E680&gt;0,F680&gt;0,G680&gt;0,IF('01_설정'!$B$10=1,J680=1,TRUE()),M680&lt;='01_설정'!$B$5,N680&lt;='01_설정'!$B$7,O680&lt;='01_설정'!$B$8),"Y","")</f>
        <v/>
      </c>
      <c r="Q680">
        <f>IF(P680&lt;&gt;"Y","",MAX(0,(1-M680/'01_설정'!$B$5))*'01_설정'!$B$14+MAX(0,(1-N680/'01_설정'!$B$7))*'01_설정'!$B$16+MAX(0,(1-O680/'01_설정'!$B$8))*'01_설정'!$B$17+K680*'01_설정'!$B$11+L680*'01_설정'!$B$12)</f>
        <v/>
      </c>
      <c r="R680">
        <f>IF(Q680="","",1+COUNTIFS($Q$31:$Q$1030,"&gt;"&amp;Q680)+COUNTIFS($Q$31:Q680,Q680)-1)</f>
        <v/>
      </c>
    </row>
    <row r="681" hidden="1" ht="16.5" customHeight="1">
      <c r="A681">
        <f>IF(COUNTA('05_KAIS'!$A669:$N669)=0,"",654)</f>
        <v/>
      </c>
      <c r="B681">
        <f>IF($A681="","",TRIM(INDEX('05_KAIS'!$B:$B,$A681)&amp;" "&amp;INDEX('05_KAIS'!$C:$C,$A681)))</f>
        <v/>
      </c>
      <c r="C681">
        <f>IF($A681="","",INDEX('05_KAIS'!$D:$D,$A681))</f>
        <v/>
      </c>
      <c r="D681">
        <f>IF($A681="","",INDEX('05_KAIS'!$H:$H,$A681))</f>
        <v/>
      </c>
      <c r="E681">
        <f>IF($A681="","",INDEX('05_KAIS'!$K:$K,$A681))</f>
        <v/>
      </c>
      <c r="F681" s="202">
        <f>IF($A681="","",INDEX('05_KAIS'!$I:$I,$A681))</f>
        <v/>
      </c>
      <c r="G681" s="118">
        <f>IF($A681="","",INDEX('05_KAIS'!$L:$L,$A681))</f>
        <v/>
      </c>
      <c r="H681" s="118">
        <f>IF($A681="","",IFERROR(INDEX('05_KAIS'!$M:$M,$A681),IF(AND(E681&gt;0,G681&gt;0),G681/E681,"")))</f>
        <v/>
      </c>
      <c r="I681" s="202">
        <f>IF($A681="","",INDEX('05_KAIS'!$N:$N,$A681))</f>
        <v/>
      </c>
      <c r="J681">
        <f>IF(B681="","",IF('02_대상물건입력'!$B$5="",1,IF(ISNUMBER(SEARCH('02_대상물건입력'!$B$5,B681)),1,0)))</f>
        <v/>
      </c>
      <c r="K681">
        <f>IF(B681="","",IF('02_대상물건입력'!$B$6="",1,IF(ISNUMBER(SEARCH('02_대상물건입력'!$B$6,B681)),1,0)))</f>
        <v/>
      </c>
      <c r="L681">
        <f>IF(D681="","",IF('02_대상물건입력'!$B$8="",0,IF(ISNUMBER(SEARCH('02_대상물건입력'!$B$8,D681)),1,0)))</f>
        <v/>
      </c>
      <c r="M681">
        <f>IFERROR(ABS(E681-'02_대상물건입력'!$B$11)/'02_대상물건입력'!$B$11,"")</f>
        <v/>
      </c>
      <c r="N681">
        <f>IFERROR(ABS('01_설정'!$B$4-F681),"")</f>
        <v/>
      </c>
      <c r="O681">
        <f>IFERROR(ABS(YEAR(I681)-YEAR('02_대상물건입력'!$B$14)),"")</f>
        <v/>
      </c>
      <c r="P681">
        <f>IF(AND(E681&gt;0,F681&gt;0,G681&gt;0,IF('01_설정'!$B$10=1,J681=1,TRUE()),M681&lt;='01_설정'!$B$5,N681&lt;='01_설정'!$B$7,O681&lt;='01_설정'!$B$8),"Y","")</f>
        <v/>
      </c>
      <c r="Q681">
        <f>IF(P681&lt;&gt;"Y","",MAX(0,(1-M681/'01_설정'!$B$5))*'01_설정'!$B$14+MAX(0,(1-N681/'01_설정'!$B$7))*'01_설정'!$B$16+MAX(0,(1-O681/'01_설정'!$B$8))*'01_설정'!$B$17+K681*'01_설정'!$B$11+L681*'01_설정'!$B$12)</f>
        <v/>
      </c>
      <c r="R681">
        <f>IF(Q681="","",1+COUNTIFS($Q$31:$Q$1030,"&gt;"&amp;Q681)+COUNTIFS($Q$31:Q681,Q681)-1)</f>
        <v/>
      </c>
    </row>
    <row r="682" hidden="1" ht="16.5" customHeight="1">
      <c r="A682">
        <f>IF(COUNTA('05_KAIS'!$A670:$N670)=0,"",655)</f>
        <v/>
      </c>
      <c r="B682">
        <f>IF($A682="","",TRIM(INDEX('05_KAIS'!$B:$B,$A682)&amp;" "&amp;INDEX('05_KAIS'!$C:$C,$A682)))</f>
        <v/>
      </c>
      <c r="C682">
        <f>IF($A682="","",INDEX('05_KAIS'!$D:$D,$A682))</f>
        <v/>
      </c>
      <c r="D682">
        <f>IF($A682="","",INDEX('05_KAIS'!$H:$H,$A682))</f>
        <v/>
      </c>
      <c r="E682">
        <f>IF($A682="","",INDEX('05_KAIS'!$K:$K,$A682))</f>
        <v/>
      </c>
      <c r="F682" s="202">
        <f>IF($A682="","",INDEX('05_KAIS'!$I:$I,$A682))</f>
        <v/>
      </c>
      <c r="G682" s="118">
        <f>IF($A682="","",INDEX('05_KAIS'!$L:$L,$A682))</f>
        <v/>
      </c>
      <c r="H682" s="118">
        <f>IF($A682="","",IFERROR(INDEX('05_KAIS'!$M:$M,$A682),IF(AND(E682&gt;0,G682&gt;0),G682/E682,"")))</f>
        <v/>
      </c>
      <c r="I682" s="202">
        <f>IF($A682="","",INDEX('05_KAIS'!$N:$N,$A682))</f>
        <v/>
      </c>
      <c r="J682">
        <f>IF(B682="","",IF('02_대상물건입력'!$B$5="",1,IF(ISNUMBER(SEARCH('02_대상물건입력'!$B$5,B682)),1,0)))</f>
        <v/>
      </c>
      <c r="K682">
        <f>IF(B682="","",IF('02_대상물건입력'!$B$6="",1,IF(ISNUMBER(SEARCH('02_대상물건입력'!$B$6,B682)),1,0)))</f>
        <v/>
      </c>
      <c r="L682">
        <f>IF(D682="","",IF('02_대상물건입력'!$B$8="",0,IF(ISNUMBER(SEARCH('02_대상물건입력'!$B$8,D682)),1,0)))</f>
        <v/>
      </c>
      <c r="M682">
        <f>IFERROR(ABS(E682-'02_대상물건입력'!$B$11)/'02_대상물건입력'!$B$11,"")</f>
        <v/>
      </c>
      <c r="N682">
        <f>IFERROR(ABS('01_설정'!$B$4-F682),"")</f>
        <v/>
      </c>
      <c r="O682">
        <f>IFERROR(ABS(YEAR(I682)-YEAR('02_대상물건입력'!$B$14)),"")</f>
        <v/>
      </c>
      <c r="P682">
        <f>IF(AND(E682&gt;0,F682&gt;0,G682&gt;0,IF('01_설정'!$B$10=1,J682=1,TRUE()),M682&lt;='01_설정'!$B$5,N682&lt;='01_설정'!$B$7,O682&lt;='01_설정'!$B$8),"Y","")</f>
        <v/>
      </c>
      <c r="Q682">
        <f>IF(P682&lt;&gt;"Y","",MAX(0,(1-M682/'01_설정'!$B$5))*'01_설정'!$B$14+MAX(0,(1-N682/'01_설정'!$B$7))*'01_설정'!$B$16+MAX(0,(1-O682/'01_설정'!$B$8))*'01_설정'!$B$17+K682*'01_설정'!$B$11+L682*'01_설정'!$B$12)</f>
        <v/>
      </c>
      <c r="R682">
        <f>IF(Q682="","",1+COUNTIFS($Q$31:$Q$1030,"&gt;"&amp;Q682)+COUNTIFS($Q$31:Q682,Q682)-1)</f>
        <v/>
      </c>
    </row>
    <row r="683" hidden="1" ht="16.5" customHeight="1">
      <c r="A683">
        <f>IF(COUNTA('05_KAIS'!$A671:$N671)=0,"",656)</f>
        <v/>
      </c>
      <c r="B683">
        <f>IF($A683="","",TRIM(INDEX('05_KAIS'!$B:$B,$A683)&amp;" "&amp;INDEX('05_KAIS'!$C:$C,$A683)))</f>
        <v/>
      </c>
      <c r="C683">
        <f>IF($A683="","",INDEX('05_KAIS'!$D:$D,$A683))</f>
        <v/>
      </c>
      <c r="D683">
        <f>IF($A683="","",INDEX('05_KAIS'!$H:$H,$A683))</f>
        <v/>
      </c>
      <c r="E683">
        <f>IF($A683="","",INDEX('05_KAIS'!$K:$K,$A683))</f>
        <v/>
      </c>
      <c r="F683" s="202">
        <f>IF($A683="","",INDEX('05_KAIS'!$I:$I,$A683))</f>
        <v/>
      </c>
      <c r="G683" s="118">
        <f>IF($A683="","",INDEX('05_KAIS'!$L:$L,$A683))</f>
        <v/>
      </c>
      <c r="H683" s="118">
        <f>IF($A683="","",IFERROR(INDEX('05_KAIS'!$M:$M,$A683),IF(AND(E683&gt;0,G683&gt;0),G683/E683,"")))</f>
        <v/>
      </c>
      <c r="I683" s="202">
        <f>IF($A683="","",INDEX('05_KAIS'!$N:$N,$A683))</f>
        <v/>
      </c>
      <c r="J683">
        <f>IF(B683="","",IF('02_대상물건입력'!$B$5="",1,IF(ISNUMBER(SEARCH('02_대상물건입력'!$B$5,B683)),1,0)))</f>
        <v/>
      </c>
      <c r="K683">
        <f>IF(B683="","",IF('02_대상물건입력'!$B$6="",1,IF(ISNUMBER(SEARCH('02_대상물건입력'!$B$6,B683)),1,0)))</f>
        <v/>
      </c>
      <c r="L683">
        <f>IF(D683="","",IF('02_대상물건입력'!$B$8="",0,IF(ISNUMBER(SEARCH('02_대상물건입력'!$B$8,D683)),1,0)))</f>
        <v/>
      </c>
      <c r="M683">
        <f>IFERROR(ABS(E683-'02_대상물건입력'!$B$11)/'02_대상물건입력'!$B$11,"")</f>
        <v/>
      </c>
      <c r="N683">
        <f>IFERROR(ABS('01_설정'!$B$4-F683),"")</f>
        <v/>
      </c>
      <c r="O683">
        <f>IFERROR(ABS(YEAR(I683)-YEAR('02_대상물건입력'!$B$14)),"")</f>
        <v/>
      </c>
      <c r="P683">
        <f>IF(AND(E683&gt;0,F683&gt;0,G683&gt;0,IF('01_설정'!$B$10=1,J683=1,TRUE()),M683&lt;='01_설정'!$B$5,N683&lt;='01_설정'!$B$7,O683&lt;='01_설정'!$B$8),"Y","")</f>
        <v/>
      </c>
      <c r="Q683">
        <f>IF(P683&lt;&gt;"Y","",MAX(0,(1-M683/'01_설정'!$B$5))*'01_설정'!$B$14+MAX(0,(1-N683/'01_설정'!$B$7))*'01_설정'!$B$16+MAX(0,(1-O683/'01_설정'!$B$8))*'01_설정'!$B$17+K683*'01_설정'!$B$11+L683*'01_설정'!$B$12)</f>
        <v/>
      </c>
      <c r="R683">
        <f>IF(Q683="","",1+COUNTIFS($Q$31:$Q$1030,"&gt;"&amp;Q683)+COUNTIFS($Q$31:Q683,Q683)-1)</f>
        <v/>
      </c>
    </row>
    <row r="684" hidden="1" ht="16.5" customHeight="1">
      <c r="A684">
        <f>IF(COUNTA('05_KAIS'!$A672:$N672)=0,"",657)</f>
        <v/>
      </c>
      <c r="B684">
        <f>IF($A684="","",TRIM(INDEX('05_KAIS'!$B:$B,$A684)&amp;" "&amp;INDEX('05_KAIS'!$C:$C,$A684)))</f>
        <v/>
      </c>
      <c r="C684">
        <f>IF($A684="","",INDEX('05_KAIS'!$D:$D,$A684))</f>
        <v/>
      </c>
      <c r="D684">
        <f>IF($A684="","",INDEX('05_KAIS'!$H:$H,$A684))</f>
        <v/>
      </c>
      <c r="E684">
        <f>IF($A684="","",INDEX('05_KAIS'!$K:$K,$A684))</f>
        <v/>
      </c>
      <c r="F684" s="202">
        <f>IF($A684="","",INDEX('05_KAIS'!$I:$I,$A684))</f>
        <v/>
      </c>
      <c r="G684" s="118">
        <f>IF($A684="","",INDEX('05_KAIS'!$L:$L,$A684))</f>
        <v/>
      </c>
      <c r="H684" s="118">
        <f>IF($A684="","",IFERROR(INDEX('05_KAIS'!$M:$M,$A684),IF(AND(E684&gt;0,G684&gt;0),G684/E684,"")))</f>
        <v/>
      </c>
      <c r="I684" s="202">
        <f>IF($A684="","",INDEX('05_KAIS'!$N:$N,$A684))</f>
        <v/>
      </c>
      <c r="J684">
        <f>IF(B684="","",IF('02_대상물건입력'!$B$5="",1,IF(ISNUMBER(SEARCH('02_대상물건입력'!$B$5,B684)),1,0)))</f>
        <v/>
      </c>
      <c r="K684">
        <f>IF(B684="","",IF('02_대상물건입력'!$B$6="",1,IF(ISNUMBER(SEARCH('02_대상물건입력'!$B$6,B684)),1,0)))</f>
        <v/>
      </c>
      <c r="L684">
        <f>IF(D684="","",IF('02_대상물건입력'!$B$8="",0,IF(ISNUMBER(SEARCH('02_대상물건입력'!$B$8,D684)),1,0)))</f>
        <v/>
      </c>
      <c r="M684">
        <f>IFERROR(ABS(E684-'02_대상물건입력'!$B$11)/'02_대상물건입력'!$B$11,"")</f>
        <v/>
      </c>
      <c r="N684">
        <f>IFERROR(ABS('01_설정'!$B$4-F684),"")</f>
        <v/>
      </c>
      <c r="O684">
        <f>IFERROR(ABS(YEAR(I684)-YEAR('02_대상물건입력'!$B$14)),"")</f>
        <v/>
      </c>
      <c r="P684">
        <f>IF(AND(E684&gt;0,F684&gt;0,G684&gt;0,IF('01_설정'!$B$10=1,J684=1,TRUE()),M684&lt;='01_설정'!$B$5,N684&lt;='01_설정'!$B$7,O684&lt;='01_설정'!$B$8),"Y","")</f>
        <v/>
      </c>
      <c r="Q684">
        <f>IF(P684&lt;&gt;"Y","",MAX(0,(1-M684/'01_설정'!$B$5))*'01_설정'!$B$14+MAX(0,(1-N684/'01_설정'!$B$7))*'01_설정'!$B$16+MAX(0,(1-O684/'01_설정'!$B$8))*'01_설정'!$B$17+K684*'01_설정'!$B$11+L684*'01_설정'!$B$12)</f>
        <v/>
      </c>
      <c r="R684">
        <f>IF(Q684="","",1+COUNTIFS($Q$31:$Q$1030,"&gt;"&amp;Q684)+COUNTIFS($Q$31:Q684,Q684)-1)</f>
        <v/>
      </c>
    </row>
    <row r="685" hidden="1" ht="16.5" customHeight="1">
      <c r="A685">
        <f>IF(COUNTA('05_KAIS'!$A673:$N673)=0,"",658)</f>
        <v/>
      </c>
      <c r="B685">
        <f>IF($A685="","",TRIM(INDEX('05_KAIS'!$B:$B,$A685)&amp;" "&amp;INDEX('05_KAIS'!$C:$C,$A685)))</f>
        <v/>
      </c>
      <c r="C685">
        <f>IF($A685="","",INDEX('05_KAIS'!$D:$D,$A685))</f>
        <v/>
      </c>
      <c r="D685">
        <f>IF($A685="","",INDEX('05_KAIS'!$H:$H,$A685))</f>
        <v/>
      </c>
      <c r="E685">
        <f>IF($A685="","",INDEX('05_KAIS'!$K:$K,$A685))</f>
        <v/>
      </c>
      <c r="F685" s="202">
        <f>IF($A685="","",INDEX('05_KAIS'!$I:$I,$A685))</f>
        <v/>
      </c>
      <c r="G685" s="118">
        <f>IF($A685="","",INDEX('05_KAIS'!$L:$L,$A685))</f>
        <v/>
      </c>
      <c r="H685" s="118">
        <f>IF($A685="","",IFERROR(INDEX('05_KAIS'!$M:$M,$A685),IF(AND(E685&gt;0,G685&gt;0),G685/E685,"")))</f>
        <v/>
      </c>
      <c r="I685" s="202">
        <f>IF($A685="","",INDEX('05_KAIS'!$N:$N,$A685))</f>
        <v/>
      </c>
      <c r="J685">
        <f>IF(B685="","",IF('02_대상물건입력'!$B$5="",1,IF(ISNUMBER(SEARCH('02_대상물건입력'!$B$5,B685)),1,0)))</f>
        <v/>
      </c>
      <c r="K685">
        <f>IF(B685="","",IF('02_대상물건입력'!$B$6="",1,IF(ISNUMBER(SEARCH('02_대상물건입력'!$B$6,B685)),1,0)))</f>
        <v/>
      </c>
      <c r="L685">
        <f>IF(D685="","",IF('02_대상물건입력'!$B$8="",0,IF(ISNUMBER(SEARCH('02_대상물건입력'!$B$8,D685)),1,0)))</f>
        <v/>
      </c>
      <c r="M685">
        <f>IFERROR(ABS(E685-'02_대상물건입력'!$B$11)/'02_대상물건입력'!$B$11,"")</f>
        <v/>
      </c>
      <c r="N685">
        <f>IFERROR(ABS('01_설정'!$B$4-F685),"")</f>
        <v/>
      </c>
      <c r="O685">
        <f>IFERROR(ABS(YEAR(I685)-YEAR('02_대상물건입력'!$B$14)),"")</f>
        <v/>
      </c>
      <c r="P685">
        <f>IF(AND(E685&gt;0,F685&gt;0,G685&gt;0,IF('01_설정'!$B$10=1,J685=1,TRUE()),M685&lt;='01_설정'!$B$5,N685&lt;='01_설정'!$B$7,O685&lt;='01_설정'!$B$8),"Y","")</f>
        <v/>
      </c>
      <c r="Q685">
        <f>IF(P685&lt;&gt;"Y","",MAX(0,(1-M685/'01_설정'!$B$5))*'01_설정'!$B$14+MAX(0,(1-N685/'01_설정'!$B$7))*'01_설정'!$B$16+MAX(0,(1-O685/'01_설정'!$B$8))*'01_설정'!$B$17+K685*'01_설정'!$B$11+L685*'01_설정'!$B$12)</f>
        <v/>
      </c>
      <c r="R685">
        <f>IF(Q685="","",1+COUNTIFS($Q$31:$Q$1030,"&gt;"&amp;Q685)+COUNTIFS($Q$31:Q685,Q685)-1)</f>
        <v/>
      </c>
    </row>
    <row r="686" hidden="1" ht="16.5" customHeight="1">
      <c r="A686">
        <f>IF(COUNTA('05_KAIS'!$A674:$N674)=0,"",659)</f>
        <v/>
      </c>
      <c r="B686">
        <f>IF($A686="","",TRIM(INDEX('05_KAIS'!$B:$B,$A686)&amp;" "&amp;INDEX('05_KAIS'!$C:$C,$A686)))</f>
        <v/>
      </c>
      <c r="C686">
        <f>IF($A686="","",INDEX('05_KAIS'!$D:$D,$A686))</f>
        <v/>
      </c>
      <c r="D686">
        <f>IF($A686="","",INDEX('05_KAIS'!$H:$H,$A686))</f>
        <v/>
      </c>
      <c r="E686">
        <f>IF($A686="","",INDEX('05_KAIS'!$K:$K,$A686))</f>
        <v/>
      </c>
      <c r="F686" s="202">
        <f>IF($A686="","",INDEX('05_KAIS'!$I:$I,$A686))</f>
        <v/>
      </c>
      <c r="G686" s="118">
        <f>IF($A686="","",INDEX('05_KAIS'!$L:$L,$A686))</f>
        <v/>
      </c>
      <c r="H686" s="118">
        <f>IF($A686="","",IFERROR(INDEX('05_KAIS'!$M:$M,$A686),IF(AND(E686&gt;0,G686&gt;0),G686/E686,"")))</f>
        <v/>
      </c>
      <c r="I686" s="202">
        <f>IF($A686="","",INDEX('05_KAIS'!$N:$N,$A686))</f>
        <v/>
      </c>
      <c r="J686">
        <f>IF(B686="","",IF('02_대상물건입력'!$B$5="",1,IF(ISNUMBER(SEARCH('02_대상물건입력'!$B$5,B686)),1,0)))</f>
        <v/>
      </c>
      <c r="K686">
        <f>IF(B686="","",IF('02_대상물건입력'!$B$6="",1,IF(ISNUMBER(SEARCH('02_대상물건입력'!$B$6,B686)),1,0)))</f>
        <v/>
      </c>
      <c r="L686">
        <f>IF(D686="","",IF('02_대상물건입력'!$B$8="",0,IF(ISNUMBER(SEARCH('02_대상물건입력'!$B$8,D686)),1,0)))</f>
        <v/>
      </c>
      <c r="M686">
        <f>IFERROR(ABS(E686-'02_대상물건입력'!$B$11)/'02_대상물건입력'!$B$11,"")</f>
        <v/>
      </c>
      <c r="N686">
        <f>IFERROR(ABS('01_설정'!$B$4-F686),"")</f>
        <v/>
      </c>
      <c r="O686">
        <f>IFERROR(ABS(YEAR(I686)-YEAR('02_대상물건입력'!$B$14)),"")</f>
        <v/>
      </c>
      <c r="P686">
        <f>IF(AND(E686&gt;0,F686&gt;0,G686&gt;0,IF('01_설정'!$B$10=1,J686=1,TRUE()),M686&lt;='01_설정'!$B$5,N686&lt;='01_설정'!$B$7,O686&lt;='01_설정'!$B$8),"Y","")</f>
        <v/>
      </c>
      <c r="Q686">
        <f>IF(P686&lt;&gt;"Y","",MAX(0,(1-M686/'01_설정'!$B$5))*'01_설정'!$B$14+MAX(0,(1-N686/'01_설정'!$B$7))*'01_설정'!$B$16+MAX(0,(1-O686/'01_설정'!$B$8))*'01_설정'!$B$17+K686*'01_설정'!$B$11+L686*'01_설정'!$B$12)</f>
        <v/>
      </c>
      <c r="R686">
        <f>IF(Q686="","",1+COUNTIFS($Q$31:$Q$1030,"&gt;"&amp;Q686)+COUNTIFS($Q$31:Q686,Q686)-1)</f>
        <v/>
      </c>
    </row>
    <row r="687" hidden="1" ht="16.5" customHeight="1">
      <c r="A687">
        <f>IF(COUNTA('05_KAIS'!$A675:$N675)=0,"",660)</f>
        <v/>
      </c>
      <c r="B687">
        <f>IF($A687="","",TRIM(INDEX('05_KAIS'!$B:$B,$A687)&amp;" "&amp;INDEX('05_KAIS'!$C:$C,$A687)))</f>
        <v/>
      </c>
      <c r="C687">
        <f>IF($A687="","",INDEX('05_KAIS'!$D:$D,$A687))</f>
        <v/>
      </c>
      <c r="D687">
        <f>IF($A687="","",INDEX('05_KAIS'!$H:$H,$A687))</f>
        <v/>
      </c>
      <c r="E687">
        <f>IF($A687="","",INDEX('05_KAIS'!$K:$K,$A687))</f>
        <v/>
      </c>
      <c r="F687" s="202">
        <f>IF($A687="","",INDEX('05_KAIS'!$I:$I,$A687))</f>
        <v/>
      </c>
      <c r="G687" s="118">
        <f>IF($A687="","",INDEX('05_KAIS'!$L:$L,$A687))</f>
        <v/>
      </c>
      <c r="H687" s="118">
        <f>IF($A687="","",IFERROR(INDEX('05_KAIS'!$M:$M,$A687),IF(AND(E687&gt;0,G687&gt;0),G687/E687,"")))</f>
        <v/>
      </c>
      <c r="I687" s="202">
        <f>IF($A687="","",INDEX('05_KAIS'!$N:$N,$A687))</f>
        <v/>
      </c>
      <c r="J687">
        <f>IF(B687="","",IF('02_대상물건입력'!$B$5="",1,IF(ISNUMBER(SEARCH('02_대상물건입력'!$B$5,B687)),1,0)))</f>
        <v/>
      </c>
      <c r="K687">
        <f>IF(B687="","",IF('02_대상물건입력'!$B$6="",1,IF(ISNUMBER(SEARCH('02_대상물건입력'!$B$6,B687)),1,0)))</f>
        <v/>
      </c>
      <c r="L687">
        <f>IF(D687="","",IF('02_대상물건입력'!$B$8="",0,IF(ISNUMBER(SEARCH('02_대상물건입력'!$B$8,D687)),1,0)))</f>
        <v/>
      </c>
      <c r="M687">
        <f>IFERROR(ABS(E687-'02_대상물건입력'!$B$11)/'02_대상물건입력'!$B$11,"")</f>
        <v/>
      </c>
      <c r="N687">
        <f>IFERROR(ABS('01_설정'!$B$4-F687),"")</f>
        <v/>
      </c>
      <c r="O687">
        <f>IFERROR(ABS(YEAR(I687)-YEAR('02_대상물건입력'!$B$14)),"")</f>
        <v/>
      </c>
      <c r="P687">
        <f>IF(AND(E687&gt;0,F687&gt;0,G687&gt;0,IF('01_설정'!$B$10=1,J687=1,TRUE()),M687&lt;='01_설정'!$B$5,N687&lt;='01_설정'!$B$7,O687&lt;='01_설정'!$B$8),"Y","")</f>
        <v/>
      </c>
      <c r="Q687">
        <f>IF(P687&lt;&gt;"Y","",MAX(0,(1-M687/'01_설정'!$B$5))*'01_설정'!$B$14+MAX(0,(1-N687/'01_설정'!$B$7))*'01_설정'!$B$16+MAX(0,(1-O687/'01_설정'!$B$8))*'01_설정'!$B$17+K687*'01_설정'!$B$11+L687*'01_설정'!$B$12)</f>
        <v/>
      </c>
      <c r="R687">
        <f>IF(Q687="","",1+COUNTIFS($Q$31:$Q$1030,"&gt;"&amp;Q687)+COUNTIFS($Q$31:Q687,Q687)-1)</f>
        <v/>
      </c>
    </row>
    <row r="688" hidden="1" ht="16.5" customHeight="1">
      <c r="A688">
        <f>IF(COUNTA('05_KAIS'!$A676:$N676)=0,"",661)</f>
        <v/>
      </c>
      <c r="B688">
        <f>IF($A688="","",TRIM(INDEX('05_KAIS'!$B:$B,$A688)&amp;" "&amp;INDEX('05_KAIS'!$C:$C,$A688)))</f>
        <v/>
      </c>
      <c r="C688">
        <f>IF($A688="","",INDEX('05_KAIS'!$D:$D,$A688))</f>
        <v/>
      </c>
      <c r="D688">
        <f>IF($A688="","",INDEX('05_KAIS'!$H:$H,$A688))</f>
        <v/>
      </c>
      <c r="E688">
        <f>IF($A688="","",INDEX('05_KAIS'!$K:$K,$A688))</f>
        <v/>
      </c>
      <c r="F688" s="202">
        <f>IF($A688="","",INDEX('05_KAIS'!$I:$I,$A688))</f>
        <v/>
      </c>
      <c r="G688" s="118">
        <f>IF($A688="","",INDEX('05_KAIS'!$L:$L,$A688))</f>
        <v/>
      </c>
      <c r="H688" s="118">
        <f>IF($A688="","",IFERROR(INDEX('05_KAIS'!$M:$M,$A688),IF(AND(E688&gt;0,G688&gt;0),G688/E688,"")))</f>
        <v/>
      </c>
      <c r="I688" s="202">
        <f>IF($A688="","",INDEX('05_KAIS'!$N:$N,$A688))</f>
        <v/>
      </c>
      <c r="J688">
        <f>IF(B688="","",IF('02_대상물건입력'!$B$5="",1,IF(ISNUMBER(SEARCH('02_대상물건입력'!$B$5,B688)),1,0)))</f>
        <v/>
      </c>
      <c r="K688">
        <f>IF(B688="","",IF('02_대상물건입력'!$B$6="",1,IF(ISNUMBER(SEARCH('02_대상물건입력'!$B$6,B688)),1,0)))</f>
        <v/>
      </c>
      <c r="L688">
        <f>IF(D688="","",IF('02_대상물건입력'!$B$8="",0,IF(ISNUMBER(SEARCH('02_대상물건입력'!$B$8,D688)),1,0)))</f>
        <v/>
      </c>
      <c r="M688">
        <f>IFERROR(ABS(E688-'02_대상물건입력'!$B$11)/'02_대상물건입력'!$B$11,"")</f>
        <v/>
      </c>
      <c r="N688">
        <f>IFERROR(ABS('01_설정'!$B$4-F688),"")</f>
        <v/>
      </c>
      <c r="O688">
        <f>IFERROR(ABS(YEAR(I688)-YEAR('02_대상물건입력'!$B$14)),"")</f>
        <v/>
      </c>
      <c r="P688">
        <f>IF(AND(E688&gt;0,F688&gt;0,G688&gt;0,IF('01_설정'!$B$10=1,J688=1,TRUE()),M688&lt;='01_설정'!$B$5,N688&lt;='01_설정'!$B$7,O688&lt;='01_설정'!$B$8),"Y","")</f>
        <v/>
      </c>
      <c r="Q688">
        <f>IF(P688&lt;&gt;"Y","",MAX(0,(1-M688/'01_설정'!$B$5))*'01_설정'!$B$14+MAX(0,(1-N688/'01_설정'!$B$7))*'01_설정'!$B$16+MAX(0,(1-O688/'01_설정'!$B$8))*'01_설정'!$B$17+K688*'01_설정'!$B$11+L688*'01_설정'!$B$12)</f>
        <v/>
      </c>
      <c r="R688">
        <f>IF(Q688="","",1+COUNTIFS($Q$31:$Q$1030,"&gt;"&amp;Q688)+COUNTIFS($Q$31:Q688,Q688)-1)</f>
        <v/>
      </c>
    </row>
    <row r="689" hidden="1" ht="16.5" customHeight="1">
      <c r="A689">
        <f>IF(COUNTA('05_KAIS'!$A677:$N677)=0,"",662)</f>
        <v/>
      </c>
      <c r="B689">
        <f>IF($A689="","",TRIM(INDEX('05_KAIS'!$B:$B,$A689)&amp;" "&amp;INDEX('05_KAIS'!$C:$C,$A689)))</f>
        <v/>
      </c>
      <c r="C689">
        <f>IF($A689="","",INDEX('05_KAIS'!$D:$D,$A689))</f>
        <v/>
      </c>
      <c r="D689">
        <f>IF($A689="","",INDEX('05_KAIS'!$H:$H,$A689))</f>
        <v/>
      </c>
      <c r="E689">
        <f>IF($A689="","",INDEX('05_KAIS'!$K:$K,$A689))</f>
        <v/>
      </c>
      <c r="F689" s="202">
        <f>IF($A689="","",INDEX('05_KAIS'!$I:$I,$A689))</f>
        <v/>
      </c>
      <c r="G689" s="118">
        <f>IF($A689="","",INDEX('05_KAIS'!$L:$L,$A689))</f>
        <v/>
      </c>
      <c r="H689" s="118">
        <f>IF($A689="","",IFERROR(INDEX('05_KAIS'!$M:$M,$A689),IF(AND(E689&gt;0,G689&gt;0),G689/E689,"")))</f>
        <v/>
      </c>
      <c r="I689" s="202">
        <f>IF($A689="","",INDEX('05_KAIS'!$N:$N,$A689))</f>
        <v/>
      </c>
      <c r="J689">
        <f>IF(B689="","",IF('02_대상물건입력'!$B$5="",1,IF(ISNUMBER(SEARCH('02_대상물건입력'!$B$5,B689)),1,0)))</f>
        <v/>
      </c>
      <c r="K689">
        <f>IF(B689="","",IF('02_대상물건입력'!$B$6="",1,IF(ISNUMBER(SEARCH('02_대상물건입력'!$B$6,B689)),1,0)))</f>
        <v/>
      </c>
      <c r="L689">
        <f>IF(D689="","",IF('02_대상물건입력'!$B$8="",0,IF(ISNUMBER(SEARCH('02_대상물건입력'!$B$8,D689)),1,0)))</f>
        <v/>
      </c>
      <c r="M689">
        <f>IFERROR(ABS(E689-'02_대상물건입력'!$B$11)/'02_대상물건입력'!$B$11,"")</f>
        <v/>
      </c>
      <c r="N689">
        <f>IFERROR(ABS('01_설정'!$B$4-F689),"")</f>
        <v/>
      </c>
      <c r="O689">
        <f>IFERROR(ABS(YEAR(I689)-YEAR('02_대상물건입력'!$B$14)),"")</f>
        <v/>
      </c>
      <c r="P689">
        <f>IF(AND(E689&gt;0,F689&gt;0,G689&gt;0,IF('01_설정'!$B$10=1,J689=1,TRUE()),M689&lt;='01_설정'!$B$5,N689&lt;='01_설정'!$B$7,O689&lt;='01_설정'!$B$8),"Y","")</f>
        <v/>
      </c>
      <c r="Q689">
        <f>IF(P689&lt;&gt;"Y","",MAX(0,(1-M689/'01_설정'!$B$5))*'01_설정'!$B$14+MAX(0,(1-N689/'01_설정'!$B$7))*'01_설정'!$B$16+MAX(0,(1-O689/'01_설정'!$B$8))*'01_설정'!$B$17+K689*'01_설정'!$B$11+L689*'01_설정'!$B$12)</f>
        <v/>
      </c>
      <c r="R689">
        <f>IF(Q689="","",1+COUNTIFS($Q$31:$Q$1030,"&gt;"&amp;Q689)+COUNTIFS($Q$31:Q689,Q689)-1)</f>
        <v/>
      </c>
    </row>
    <row r="690" hidden="1" ht="16.5" customHeight="1">
      <c r="A690">
        <f>IF(COUNTA('05_KAIS'!$A678:$N678)=0,"",663)</f>
        <v/>
      </c>
      <c r="B690">
        <f>IF($A690="","",TRIM(INDEX('05_KAIS'!$B:$B,$A690)&amp;" "&amp;INDEX('05_KAIS'!$C:$C,$A690)))</f>
        <v/>
      </c>
      <c r="C690">
        <f>IF($A690="","",INDEX('05_KAIS'!$D:$D,$A690))</f>
        <v/>
      </c>
      <c r="D690">
        <f>IF($A690="","",INDEX('05_KAIS'!$H:$H,$A690))</f>
        <v/>
      </c>
      <c r="E690">
        <f>IF($A690="","",INDEX('05_KAIS'!$K:$K,$A690))</f>
        <v/>
      </c>
      <c r="F690" s="202">
        <f>IF($A690="","",INDEX('05_KAIS'!$I:$I,$A690))</f>
        <v/>
      </c>
      <c r="G690" s="118">
        <f>IF($A690="","",INDEX('05_KAIS'!$L:$L,$A690))</f>
        <v/>
      </c>
      <c r="H690" s="118">
        <f>IF($A690="","",IFERROR(INDEX('05_KAIS'!$M:$M,$A690),IF(AND(E690&gt;0,G690&gt;0),G690/E690,"")))</f>
        <v/>
      </c>
      <c r="I690" s="202">
        <f>IF($A690="","",INDEX('05_KAIS'!$N:$N,$A690))</f>
        <v/>
      </c>
      <c r="J690">
        <f>IF(B690="","",IF('02_대상물건입력'!$B$5="",1,IF(ISNUMBER(SEARCH('02_대상물건입력'!$B$5,B690)),1,0)))</f>
        <v/>
      </c>
      <c r="K690">
        <f>IF(B690="","",IF('02_대상물건입력'!$B$6="",1,IF(ISNUMBER(SEARCH('02_대상물건입력'!$B$6,B690)),1,0)))</f>
        <v/>
      </c>
      <c r="L690">
        <f>IF(D690="","",IF('02_대상물건입력'!$B$8="",0,IF(ISNUMBER(SEARCH('02_대상물건입력'!$B$8,D690)),1,0)))</f>
        <v/>
      </c>
      <c r="M690">
        <f>IFERROR(ABS(E690-'02_대상물건입력'!$B$11)/'02_대상물건입력'!$B$11,"")</f>
        <v/>
      </c>
      <c r="N690">
        <f>IFERROR(ABS('01_설정'!$B$4-F690),"")</f>
        <v/>
      </c>
      <c r="O690">
        <f>IFERROR(ABS(YEAR(I690)-YEAR('02_대상물건입력'!$B$14)),"")</f>
        <v/>
      </c>
      <c r="P690">
        <f>IF(AND(E690&gt;0,F690&gt;0,G690&gt;0,IF('01_설정'!$B$10=1,J690=1,TRUE()),M690&lt;='01_설정'!$B$5,N690&lt;='01_설정'!$B$7,O690&lt;='01_설정'!$B$8),"Y","")</f>
        <v/>
      </c>
      <c r="Q690">
        <f>IF(P690&lt;&gt;"Y","",MAX(0,(1-M690/'01_설정'!$B$5))*'01_설정'!$B$14+MAX(0,(1-N690/'01_설정'!$B$7))*'01_설정'!$B$16+MAX(0,(1-O690/'01_설정'!$B$8))*'01_설정'!$B$17+K690*'01_설정'!$B$11+L690*'01_설정'!$B$12)</f>
        <v/>
      </c>
      <c r="R690">
        <f>IF(Q690="","",1+COUNTIFS($Q$31:$Q$1030,"&gt;"&amp;Q690)+COUNTIFS($Q$31:Q690,Q690)-1)</f>
        <v/>
      </c>
    </row>
    <row r="691" hidden="1" ht="16.5" customHeight="1">
      <c r="A691">
        <f>IF(COUNTA('05_KAIS'!$A679:$N679)=0,"",664)</f>
        <v/>
      </c>
      <c r="B691">
        <f>IF($A691="","",TRIM(INDEX('05_KAIS'!$B:$B,$A691)&amp;" "&amp;INDEX('05_KAIS'!$C:$C,$A691)))</f>
        <v/>
      </c>
      <c r="C691">
        <f>IF($A691="","",INDEX('05_KAIS'!$D:$D,$A691))</f>
        <v/>
      </c>
      <c r="D691">
        <f>IF($A691="","",INDEX('05_KAIS'!$H:$H,$A691))</f>
        <v/>
      </c>
      <c r="E691">
        <f>IF($A691="","",INDEX('05_KAIS'!$K:$K,$A691))</f>
        <v/>
      </c>
      <c r="F691" s="202">
        <f>IF($A691="","",INDEX('05_KAIS'!$I:$I,$A691))</f>
        <v/>
      </c>
      <c r="G691" s="118">
        <f>IF($A691="","",INDEX('05_KAIS'!$L:$L,$A691))</f>
        <v/>
      </c>
      <c r="H691" s="118">
        <f>IF($A691="","",IFERROR(INDEX('05_KAIS'!$M:$M,$A691),IF(AND(E691&gt;0,G691&gt;0),G691/E691,"")))</f>
        <v/>
      </c>
      <c r="I691" s="202">
        <f>IF($A691="","",INDEX('05_KAIS'!$N:$N,$A691))</f>
        <v/>
      </c>
      <c r="J691">
        <f>IF(B691="","",IF('02_대상물건입력'!$B$5="",1,IF(ISNUMBER(SEARCH('02_대상물건입력'!$B$5,B691)),1,0)))</f>
        <v/>
      </c>
      <c r="K691">
        <f>IF(B691="","",IF('02_대상물건입력'!$B$6="",1,IF(ISNUMBER(SEARCH('02_대상물건입력'!$B$6,B691)),1,0)))</f>
        <v/>
      </c>
      <c r="L691">
        <f>IF(D691="","",IF('02_대상물건입력'!$B$8="",0,IF(ISNUMBER(SEARCH('02_대상물건입력'!$B$8,D691)),1,0)))</f>
        <v/>
      </c>
      <c r="M691">
        <f>IFERROR(ABS(E691-'02_대상물건입력'!$B$11)/'02_대상물건입력'!$B$11,"")</f>
        <v/>
      </c>
      <c r="N691">
        <f>IFERROR(ABS('01_설정'!$B$4-F691),"")</f>
        <v/>
      </c>
      <c r="O691">
        <f>IFERROR(ABS(YEAR(I691)-YEAR('02_대상물건입력'!$B$14)),"")</f>
        <v/>
      </c>
      <c r="P691">
        <f>IF(AND(E691&gt;0,F691&gt;0,G691&gt;0,IF('01_설정'!$B$10=1,J691=1,TRUE()),M691&lt;='01_설정'!$B$5,N691&lt;='01_설정'!$B$7,O691&lt;='01_설정'!$B$8),"Y","")</f>
        <v/>
      </c>
      <c r="Q691">
        <f>IF(P691&lt;&gt;"Y","",MAX(0,(1-M691/'01_설정'!$B$5))*'01_설정'!$B$14+MAX(0,(1-N691/'01_설정'!$B$7))*'01_설정'!$B$16+MAX(0,(1-O691/'01_설정'!$B$8))*'01_설정'!$B$17+K691*'01_설정'!$B$11+L691*'01_설정'!$B$12)</f>
        <v/>
      </c>
      <c r="R691">
        <f>IF(Q691="","",1+COUNTIFS($Q$31:$Q$1030,"&gt;"&amp;Q691)+COUNTIFS($Q$31:Q691,Q691)-1)</f>
        <v/>
      </c>
    </row>
    <row r="692" hidden="1" ht="16.5" customHeight="1">
      <c r="A692">
        <f>IF(COUNTA('05_KAIS'!$A680:$N680)=0,"",665)</f>
        <v/>
      </c>
      <c r="B692">
        <f>IF($A692="","",TRIM(INDEX('05_KAIS'!$B:$B,$A692)&amp;" "&amp;INDEX('05_KAIS'!$C:$C,$A692)))</f>
        <v/>
      </c>
      <c r="C692">
        <f>IF($A692="","",INDEX('05_KAIS'!$D:$D,$A692))</f>
        <v/>
      </c>
      <c r="D692">
        <f>IF($A692="","",INDEX('05_KAIS'!$H:$H,$A692))</f>
        <v/>
      </c>
      <c r="E692">
        <f>IF($A692="","",INDEX('05_KAIS'!$K:$K,$A692))</f>
        <v/>
      </c>
      <c r="F692" s="202">
        <f>IF($A692="","",INDEX('05_KAIS'!$I:$I,$A692))</f>
        <v/>
      </c>
      <c r="G692" s="118">
        <f>IF($A692="","",INDEX('05_KAIS'!$L:$L,$A692))</f>
        <v/>
      </c>
      <c r="H692" s="118">
        <f>IF($A692="","",IFERROR(INDEX('05_KAIS'!$M:$M,$A692),IF(AND(E692&gt;0,G692&gt;0),G692/E692,"")))</f>
        <v/>
      </c>
      <c r="I692" s="202">
        <f>IF($A692="","",INDEX('05_KAIS'!$N:$N,$A692))</f>
        <v/>
      </c>
      <c r="J692">
        <f>IF(B692="","",IF('02_대상물건입력'!$B$5="",1,IF(ISNUMBER(SEARCH('02_대상물건입력'!$B$5,B692)),1,0)))</f>
        <v/>
      </c>
      <c r="K692">
        <f>IF(B692="","",IF('02_대상물건입력'!$B$6="",1,IF(ISNUMBER(SEARCH('02_대상물건입력'!$B$6,B692)),1,0)))</f>
        <v/>
      </c>
      <c r="L692">
        <f>IF(D692="","",IF('02_대상물건입력'!$B$8="",0,IF(ISNUMBER(SEARCH('02_대상물건입력'!$B$8,D692)),1,0)))</f>
        <v/>
      </c>
      <c r="M692">
        <f>IFERROR(ABS(E692-'02_대상물건입력'!$B$11)/'02_대상물건입력'!$B$11,"")</f>
        <v/>
      </c>
      <c r="N692">
        <f>IFERROR(ABS('01_설정'!$B$4-F692),"")</f>
        <v/>
      </c>
      <c r="O692">
        <f>IFERROR(ABS(YEAR(I692)-YEAR('02_대상물건입력'!$B$14)),"")</f>
        <v/>
      </c>
      <c r="P692">
        <f>IF(AND(E692&gt;0,F692&gt;0,G692&gt;0,IF('01_설정'!$B$10=1,J692=1,TRUE()),M692&lt;='01_설정'!$B$5,N692&lt;='01_설정'!$B$7,O692&lt;='01_설정'!$B$8),"Y","")</f>
        <v/>
      </c>
      <c r="Q692">
        <f>IF(P692&lt;&gt;"Y","",MAX(0,(1-M692/'01_설정'!$B$5))*'01_설정'!$B$14+MAX(0,(1-N692/'01_설정'!$B$7))*'01_설정'!$B$16+MAX(0,(1-O692/'01_설정'!$B$8))*'01_설정'!$B$17+K692*'01_설정'!$B$11+L692*'01_설정'!$B$12)</f>
        <v/>
      </c>
      <c r="R692">
        <f>IF(Q692="","",1+COUNTIFS($Q$31:$Q$1030,"&gt;"&amp;Q692)+COUNTIFS($Q$31:Q692,Q692)-1)</f>
        <v/>
      </c>
    </row>
    <row r="693" hidden="1" ht="16.5" customHeight="1">
      <c r="A693">
        <f>IF(COUNTA('05_KAIS'!$A681:$N681)=0,"",666)</f>
        <v/>
      </c>
      <c r="B693">
        <f>IF($A693="","",TRIM(INDEX('05_KAIS'!$B:$B,$A693)&amp;" "&amp;INDEX('05_KAIS'!$C:$C,$A693)))</f>
        <v/>
      </c>
      <c r="C693">
        <f>IF($A693="","",INDEX('05_KAIS'!$D:$D,$A693))</f>
        <v/>
      </c>
      <c r="D693">
        <f>IF($A693="","",INDEX('05_KAIS'!$H:$H,$A693))</f>
        <v/>
      </c>
      <c r="E693">
        <f>IF($A693="","",INDEX('05_KAIS'!$K:$K,$A693))</f>
        <v/>
      </c>
      <c r="F693" s="202">
        <f>IF($A693="","",INDEX('05_KAIS'!$I:$I,$A693))</f>
        <v/>
      </c>
      <c r="G693" s="118">
        <f>IF($A693="","",INDEX('05_KAIS'!$L:$L,$A693))</f>
        <v/>
      </c>
      <c r="H693" s="118">
        <f>IF($A693="","",IFERROR(INDEX('05_KAIS'!$M:$M,$A693),IF(AND(E693&gt;0,G693&gt;0),G693/E693,"")))</f>
        <v/>
      </c>
      <c r="I693" s="202">
        <f>IF($A693="","",INDEX('05_KAIS'!$N:$N,$A693))</f>
        <v/>
      </c>
      <c r="J693">
        <f>IF(B693="","",IF('02_대상물건입력'!$B$5="",1,IF(ISNUMBER(SEARCH('02_대상물건입력'!$B$5,B693)),1,0)))</f>
        <v/>
      </c>
      <c r="K693">
        <f>IF(B693="","",IF('02_대상물건입력'!$B$6="",1,IF(ISNUMBER(SEARCH('02_대상물건입력'!$B$6,B693)),1,0)))</f>
        <v/>
      </c>
      <c r="L693">
        <f>IF(D693="","",IF('02_대상물건입력'!$B$8="",0,IF(ISNUMBER(SEARCH('02_대상물건입력'!$B$8,D693)),1,0)))</f>
        <v/>
      </c>
      <c r="M693">
        <f>IFERROR(ABS(E693-'02_대상물건입력'!$B$11)/'02_대상물건입력'!$B$11,"")</f>
        <v/>
      </c>
      <c r="N693">
        <f>IFERROR(ABS('01_설정'!$B$4-F693),"")</f>
        <v/>
      </c>
      <c r="O693">
        <f>IFERROR(ABS(YEAR(I693)-YEAR('02_대상물건입력'!$B$14)),"")</f>
        <v/>
      </c>
      <c r="P693">
        <f>IF(AND(E693&gt;0,F693&gt;0,G693&gt;0,IF('01_설정'!$B$10=1,J693=1,TRUE()),M693&lt;='01_설정'!$B$5,N693&lt;='01_설정'!$B$7,O693&lt;='01_설정'!$B$8),"Y","")</f>
        <v/>
      </c>
      <c r="Q693">
        <f>IF(P693&lt;&gt;"Y","",MAX(0,(1-M693/'01_설정'!$B$5))*'01_설정'!$B$14+MAX(0,(1-N693/'01_설정'!$B$7))*'01_설정'!$B$16+MAX(0,(1-O693/'01_설정'!$B$8))*'01_설정'!$B$17+K693*'01_설정'!$B$11+L693*'01_설정'!$B$12)</f>
        <v/>
      </c>
      <c r="R693">
        <f>IF(Q693="","",1+COUNTIFS($Q$31:$Q$1030,"&gt;"&amp;Q693)+COUNTIFS($Q$31:Q693,Q693)-1)</f>
        <v/>
      </c>
    </row>
    <row r="694" hidden="1" ht="16.5" customHeight="1">
      <c r="A694">
        <f>IF(COUNTA('05_KAIS'!$A682:$N682)=0,"",667)</f>
        <v/>
      </c>
      <c r="B694">
        <f>IF($A694="","",TRIM(INDEX('05_KAIS'!$B:$B,$A694)&amp;" "&amp;INDEX('05_KAIS'!$C:$C,$A694)))</f>
        <v/>
      </c>
      <c r="C694">
        <f>IF($A694="","",INDEX('05_KAIS'!$D:$D,$A694))</f>
        <v/>
      </c>
      <c r="D694">
        <f>IF($A694="","",INDEX('05_KAIS'!$H:$H,$A694))</f>
        <v/>
      </c>
      <c r="E694">
        <f>IF($A694="","",INDEX('05_KAIS'!$K:$K,$A694))</f>
        <v/>
      </c>
      <c r="F694" s="202">
        <f>IF($A694="","",INDEX('05_KAIS'!$I:$I,$A694))</f>
        <v/>
      </c>
      <c r="G694" s="118">
        <f>IF($A694="","",INDEX('05_KAIS'!$L:$L,$A694))</f>
        <v/>
      </c>
      <c r="H694" s="118">
        <f>IF($A694="","",IFERROR(INDEX('05_KAIS'!$M:$M,$A694),IF(AND(E694&gt;0,G694&gt;0),G694/E694,"")))</f>
        <v/>
      </c>
      <c r="I694" s="202">
        <f>IF($A694="","",INDEX('05_KAIS'!$N:$N,$A694))</f>
        <v/>
      </c>
      <c r="J694">
        <f>IF(B694="","",IF('02_대상물건입력'!$B$5="",1,IF(ISNUMBER(SEARCH('02_대상물건입력'!$B$5,B694)),1,0)))</f>
        <v/>
      </c>
      <c r="K694">
        <f>IF(B694="","",IF('02_대상물건입력'!$B$6="",1,IF(ISNUMBER(SEARCH('02_대상물건입력'!$B$6,B694)),1,0)))</f>
        <v/>
      </c>
      <c r="L694">
        <f>IF(D694="","",IF('02_대상물건입력'!$B$8="",0,IF(ISNUMBER(SEARCH('02_대상물건입력'!$B$8,D694)),1,0)))</f>
        <v/>
      </c>
      <c r="M694">
        <f>IFERROR(ABS(E694-'02_대상물건입력'!$B$11)/'02_대상물건입력'!$B$11,"")</f>
        <v/>
      </c>
      <c r="N694">
        <f>IFERROR(ABS('01_설정'!$B$4-F694),"")</f>
        <v/>
      </c>
      <c r="O694">
        <f>IFERROR(ABS(YEAR(I694)-YEAR('02_대상물건입력'!$B$14)),"")</f>
        <v/>
      </c>
      <c r="P694">
        <f>IF(AND(E694&gt;0,F694&gt;0,G694&gt;0,IF('01_설정'!$B$10=1,J694=1,TRUE()),M694&lt;='01_설정'!$B$5,N694&lt;='01_설정'!$B$7,O694&lt;='01_설정'!$B$8),"Y","")</f>
        <v/>
      </c>
      <c r="Q694">
        <f>IF(P694&lt;&gt;"Y","",MAX(0,(1-M694/'01_설정'!$B$5))*'01_설정'!$B$14+MAX(0,(1-N694/'01_설정'!$B$7))*'01_설정'!$B$16+MAX(0,(1-O694/'01_설정'!$B$8))*'01_설정'!$B$17+K694*'01_설정'!$B$11+L694*'01_설정'!$B$12)</f>
        <v/>
      </c>
      <c r="R694">
        <f>IF(Q694="","",1+COUNTIFS($Q$31:$Q$1030,"&gt;"&amp;Q694)+COUNTIFS($Q$31:Q694,Q694)-1)</f>
        <v/>
      </c>
    </row>
    <row r="695" hidden="1" ht="16.5" customHeight="1">
      <c r="A695">
        <f>IF(COUNTA('05_KAIS'!$A683:$N683)=0,"",668)</f>
        <v/>
      </c>
      <c r="B695">
        <f>IF($A695="","",TRIM(INDEX('05_KAIS'!$B:$B,$A695)&amp;" "&amp;INDEX('05_KAIS'!$C:$C,$A695)))</f>
        <v/>
      </c>
      <c r="C695">
        <f>IF($A695="","",INDEX('05_KAIS'!$D:$D,$A695))</f>
        <v/>
      </c>
      <c r="D695">
        <f>IF($A695="","",INDEX('05_KAIS'!$H:$H,$A695))</f>
        <v/>
      </c>
      <c r="E695">
        <f>IF($A695="","",INDEX('05_KAIS'!$K:$K,$A695))</f>
        <v/>
      </c>
      <c r="F695" s="202">
        <f>IF($A695="","",INDEX('05_KAIS'!$I:$I,$A695))</f>
        <v/>
      </c>
      <c r="G695" s="118">
        <f>IF($A695="","",INDEX('05_KAIS'!$L:$L,$A695))</f>
        <v/>
      </c>
      <c r="H695" s="118">
        <f>IF($A695="","",IFERROR(INDEX('05_KAIS'!$M:$M,$A695),IF(AND(E695&gt;0,G695&gt;0),G695/E695,"")))</f>
        <v/>
      </c>
      <c r="I695" s="202">
        <f>IF($A695="","",INDEX('05_KAIS'!$N:$N,$A695))</f>
        <v/>
      </c>
      <c r="J695">
        <f>IF(B695="","",IF('02_대상물건입력'!$B$5="",1,IF(ISNUMBER(SEARCH('02_대상물건입력'!$B$5,B695)),1,0)))</f>
        <v/>
      </c>
      <c r="K695">
        <f>IF(B695="","",IF('02_대상물건입력'!$B$6="",1,IF(ISNUMBER(SEARCH('02_대상물건입력'!$B$6,B695)),1,0)))</f>
        <v/>
      </c>
      <c r="L695">
        <f>IF(D695="","",IF('02_대상물건입력'!$B$8="",0,IF(ISNUMBER(SEARCH('02_대상물건입력'!$B$8,D695)),1,0)))</f>
        <v/>
      </c>
      <c r="M695">
        <f>IFERROR(ABS(E695-'02_대상물건입력'!$B$11)/'02_대상물건입력'!$B$11,"")</f>
        <v/>
      </c>
      <c r="N695">
        <f>IFERROR(ABS('01_설정'!$B$4-F695),"")</f>
        <v/>
      </c>
      <c r="O695">
        <f>IFERROR(ABS(YEAR(I695)-YEAR('02_대상물건입력'!$B$14)),"")</f>
        <v/>
      </c>
      <c r="P695">
        <f>IF(AND(E695&gt;0,F695&gt;0,G695&gt;0,IF('01_설정'!$B$10=1,J695=1,TRUE()),M695&lt;='01_설정'!$B$5,N695&lt;='01_설정'!$B$7,O695&lt;='01_설정'!$B$8),"Y","")</f>
        <v/>
      </c>
      <c r="Q695">
        <f>IF(P695&lt;&gt;"Y","",MAX(0,(1-M695/'01_설정'!$B$5))*'01_설정'!$B$14+MAX(0,(1-N695/'01_설정'!$B$7))*'01_설정'!$B$16+MAX(0,(1-O695/'01_설정'!$B$8))*'01_설정'!$B$17+K695*'01_설정'!$B$11+L695*'01_설정'!$B$12)</f>
        <v/>
      </c>
      <c r="R695">
        <f>IF(Q695="","",1+COUNTIFS($Q$31:$Q$1030,"&gt;"&amp;Q695)+COUNTIFS($Q$31:Q695,Q695)-1)</f>
        <v/>
      </c>
    </row>
    <row r="696" hidden="1" ht="16.5" customHeight="1">
      <c r="A696">
        <f>IF(COUNTA('05_KAIS'!$A684:$N684)=0,"",669)</f>
        <v/>
      </c>
      <c r="B696">
        <f>IF($A696="","",TRIM(INDEX('05_KAIS'!$B:$B,$A696)&amp;" "&amp;INDEX('05_KAIS'!$C:$C,$A696)))</f>
        <v/>
      </c>
      <c r="C696">
        <f>IF($A696="","",INDEX('05_KAIS'!$D:$D,$A696))</f>
        <v/>
      </c>
      <c r="D696">
        <f>IF($A696="","",INDEX('05_KAIS'!$H:$H,$A696))</f>
        <v/>
      </c>
      <c r="E696">
        <f>IF($A696="","",INDEX('05_KAIS'!$K:$K,$A696))</f>
        <v/>
      </c>
      <c r="F696" s="202">
        <f>IF($A696="","",INDEX('05_KAIS'!$I:$I,$A696))</f>
        <v/>
      </c>
      <c r="G696" s="118">
        <f>IF($A696="","",INDEX('05_KAIS'!$L:$L,$A696))</f>
        <v/>
      </c>
      <c r="H696" s="118">
        <f>IF($A696="","",IFERROR(INDEX('05_KAIS'!$M:$M,$A696),IF(AND(E696&gt;0,G696&gt;0),G696/E696,"")))</f>
        <v/>
      </c>
      <c r="I696" s="202">
        <f>IF($A696="","",INDEX('05_KAIS'!$N:$N,$A696))</f>
        <v/>
      </c>
      <c r="J696">
        <f>IF(B696="","",IF('02_대상물건입력'!$B$5="",1,IF(ISNUMBER(SEARCH('02_대상물건입력'!$B$5,B696)),1,0)))</f>
        <v/>
      </c>
      <c r="K696">
        <f>IF(B696="","",IF('02_대상물건입력'!$B$6="",1,IF(ISNUMBER(SEARCH('02_대상물건입력'!$B$6,B696)),1,0)))</f>
        <v/>
      </c>
      <c r="L696">
        <f>IF(D696="","",IF('02_대상물건입력'!$B$8="",0,IF(ISNUMBER(SEARCH('02_대상물건입력'!$B$8,D696)),1,0)))</f>
        <v/>
      </c>
      <c r="M696">
        <f>IFERROR(ABS(E696-'02_대상물건입력'!$B$11)/'02_대상물건입력'!$B$11,"")</f>
        <v/>
      </c>
      <c r="N696">
        <f>IFERROR(ABS('01_설정'!$B$4-F696),"")</f>
        <v/>
      </c>
      <c r="O696">
        <f>IFERROR(ABS(YEAR(I696)-YEAR('02_대상물건입력'!$B$14)),"")</f>
        <v/>
      </c>
      <c r="P696">
        <f>IF(AND(E696&gt;0,F696&gt;0,G696&gt;0,IF('01_설정'!$B$10=1,J696=1,TRUE()),M696&lt;='01_설정'!$B$5,N696&lt;='01_설정'!$B$7,O696&lt;='01_설정'!$B$8),"Y","")</f>
        <v/>
      </c>
      <c r="Q696">
        <f>IF(P696&lt;&gt;"Y","",MAX(0,(1-M696/'01_설정'!$B$5))*'01_설정'!$B$14+MAX(0,(1-N696/'01_설정'!$B$7))*'01_설정'!$B$16+MAX(0,(1-O696/'01_설정'!$B$8))*'01_설정'!$B$17+K696*'01_설정'!$B$11+L696*'01_설정'!$B$12)</f>
        <v/>
      </c>
      <c r="R696">
        <f>IF(Q696="","",1+COUNTIFS($Q$31:$Q$1030,"&gt;"&amp;Q696)+COUNTIFS($Q$31:Q696,Q696)-1)</f>
        <v/>
      </c>
    </row>
    <row r="697" hidden="1" ht="16.5" customHeight="1">
      <c r="A697">
        <f>IF(COUNTA('05_KAIS'!$A685:$N685)=0,"",670)</f>
        <v/>
      </c>
      <c r="B697">
        <f>IF($A697="","",TRIM(INDEX('05_KAIS'!$B:$B,$A697)&amp;" "&amp;INDEX('05_KAIS'!$C:$C,$A697)))</f>
        <v/>
      </c>
      <c r="C697">
        <f>IF($A697="","",INDEX('05_KAIS'!$D:$D,$A697))</f>
        <v/>
      </c>
      <c r="D697">
        <f>IF($A697="","",INDEX('05_KAIS'!$H:$H,$A697))</f>
        <v/>
      </c>
      <c r="E697">
        <f>IF($A697="","",INDEX('05_KAIS'!$K:$K,$A697))</f>
        <v/>
      </c>
      <c r="F697" s="202">
        <f>IF($A697="","",INDEX('05_KAIS'!$I:$I,$A697))</f>
        <v/>
      </c>
      <c r="G697" s="118">
        <f>IF($A697="","",INDEX('05_KAIS'!$L:$L,$A697))</f>
        <v/>
      </c>
      <c r="H697" s="118">
        <f>IF($A697="","",IFERROR(INDEX('05_KAIS'!$M:$M,$A697),IF(AND(E697&gt;0,G697&gt;0),G697/E697,"")))</f>
        <v/>
      </c>
      <c r="I697" s="202">
        <f>IF($A697="","",INDEX('05_KAIS'!$N:$N,$A697))</f>
        <v/>
      </c>
      <c r="J697">
        <f>IF(B697="","",IF('02_대상물건입력'!$B$5="",1,IF(ISNUMBER(SEARCH('02_대상물건입력'!$B$5,B697)),1,0)))</f>
        <v/>
      </c>
      <c r="K697">
        <f>IF(B697="","",IF('02_대상물건입력'!$B$6="",1,IF(ISNUMBER(SEARCH('02_대상물건입력'!$B$6,B697)),1,0)))</f>
        <v/>
      </c>
      <c r="L697">
        <f>IF(D697="","",IF('02_대상물건입력'!$B$8="",0,IF(ISNUMBER(SEARCH('02_대상물건입력'!$B$8,D697)),1,0)))</f>
        <v/>
      </c>
      <c r="M697">
        <f>IFERROR(ABS(E697-'02_대상물건입력'!$B$11)/'02_대상물건입력'!$B$11,"")</f>
        <v/>
      </c>
      <c r="N697">
        <f>IFERROR(ABS('01_설정'!$B$4-F697),"")</f>
        <v/>
      </c>
      <c r="O697">
        <f>IFERROR(ABS(YEAR(I697)-YEAR('02_대상물건입력'!$B$14)),"")</f>
        <v/>
      </c>
      <c r="P697">
        <f>IF(AND(E697&gt;0,F697&gt;0,G697&gt;0,IF('01_설정'!$B$10=1,J697=1,TRUE()),M697&lt;='01_설정'!$B$5,N697&lt;='01_설정'!$B$7,O697&lt;='01_설정'!$B$8),"Y","")</f>
        <v/>
      </c>
      <c r="Q697">
        <f>IF(P697&lt;&gt;"Y","",MAX(0,(1-M697/'01_설정'!$B$5))*'01_설정'!$B$14+MAX(0,(1-N697/'01_설정'!$B$7))*'01_설정'!$B$16+MAX(0,(1-O697/'01_설정'!$B$8))*'01_설정'!$B$17+K697*'01_설정'!$B$11+L697*'01_설정'!$B$12)</f>
        <v/>
      </c>
      <c r="R697">
        <f>IF(Q697="","",1+COUNTIFS($Q$31:$Q$1030,"&gt;"&amp;Q697)+COUNTIFS($Q$31:Q697,Q697)-1)</f>
        <v/>
      </c>
    </row>
    <row r="698" hidden="1" ht="16.5" customHeight="1">
      <c r="A698">
        <f>IF(COUNTA('05_KAIS'!$A686:$N686)=0,"",671)</f>
        <v/>
      </c>
      <c r="B698">
        <f>IF($A698="","",TRIM(INDEX('05_KAIS'!$B:$B,$A698)&amp;" "&amp;INDEX('05_KAIS'!$C:$C,$A698)))</f>
        <v/>
      </c>
      <c r="C698">
        <f>IF($A698="","",INDEX('05_KAIS'!$D:$D,$A698))</f>
        <v/>
      </c>
      <c r="D698">
        <f>IF($A698="","",INDEX('05_KAIS'!$H:$H,$A698))</f>
        <v/>
      </c>
      <c r="E698">
        <f>IF($A698="","",INDEX('05_KAIS'!$K:$K,$A698))</f>
        <v/>
      </c>
      <c r="F698" s="202">
        <f>IF($A698="","",INDEX('05_KAIS'!$I:$I,$A698))</f>
        <v/>
      </c>
      <c r="G698" s="118">
        <f>IF($A698="","",INDEX('05_KAIS'!$L:$L,$A698))</f>
        <v/>
      </c>
      <c r="H698" s="118">
        <f>IF($A698="","",IFERROR(INDEX('05_KAIS'!$M:$M,$A698),IF(AND(E698&gt;0,G698&gt;0),G698/E698,"")))</f>
        <v/>
      </c>
      <c r="I698" s="202">
        <f>IF($A698="","",INDEX('05_KAIS'!$N:$N,$A698))</f>
        <v/>
      </c>
      <c r="J698">
        <f>IF(B698="","",IF('02_대상물건입력'!$B$5="",1,IF(ISNUMBER(SEARCH('02_대상물건입력'!$B$5,B698)),1,0)))</f>
        <v/>
      </c>
      <c r="K698">
        <f>IF(B698="","",IF('02_대상물건입력'!$B$6="",1,IF(ISNUMBER(SEARCH('02_대상물건입력'!$B$6,B698)),1,0)))</f>
        <v/>
      </c>
      <c r="L698">
        <f>IF(D698="","",IF('02_대상물건입력'!$B$8="",0,IF(ISNUMBER(SEARCH('02_대상물건입력'!$B$8,D698)),1,0)))</f>
        <v/>
      </c>
      <c r="M698">
        <f>IFERROR(ABS(E698-'02_대상물건입력'!$B$11)/'02_대상물건입력'!$B$11,"")</f>
        <v/>
      </c>
      <c r="N698">
        <f>IFERROR(ABS('01_설정'!$B$4-F698),"")</f>
        <v/>
      </c>
      <c r="O698">
        <f>IFERROR(ABS(YEAR(I698)-YEAR('02_대상물건입력'!$B$14)),"")</f>
        <v/>
      </c>
      <c r="P698">
        <f>IF(AND(E698&gt;0,F698&gt;0,G698&gt;0,IF('01_설정'!$B$10=1,J698=1,TRUE()),M698&lt;='01_설정'!$B$5,N698&lt;='01_설정'!$B$7,O698&lt;='01_설정'!$B$8),"Y","")</f>
        <v/>
      </c>
      <c r="Q698">
        <f>IF(P698&lt;&gt;"Y","",MAX(0,(1-M698/'01_설정'!$B$5))*'01_설정'!$B$14+MAX(0,(1-N698/'01_설정'!$B$7))*'01_설정'!$B$16+MAX(0,(1-O698/'01_설정'!$B$8))*'01_설정'!$B$17+K698*'01_설정'!$B$11+L698*'01_설정'!$B$12)</f>
        <v/>
      </c>
      <c r="R698">
        <f>IF(Q698="","",1+COUNTIFS($Q$31:$Q$1030,"&gt;"&amp;Q698)+COUNTIFS($Q$31:Q698,Q698)-1)</f>
        <v/>
      </c>
    </row>
    <row r="699" hidden="1" ht="16.5" customHeight="1">
      <c r="A699">
        <f>IF(COUNTA('05_KAIS'!$A687:$N687)=0,"",672)</f>
        <v/>
      </c>
      <c r="B699">
        <f>IF($A699="","",TRIM(INDEX('05_KAIS'!$B:$B,$A699)&amp;" "&amp;INDEX('05_KAIS'!$C:$C,$A699)))</f>
        <v/>
      </c>
      <c r="C699">
        <f>IF($A699="","",INDEX('05_KAIS'!$D:$D,$A699))</f>
        <v/>
      </c>
      <c r="D699">
        <f>IF($A699="","",INDEX('05_KAIS'!$H:$H,$A699))</f>
        <v/>
      </c>
      <c r="E699">
        <f>IF($A699="","",INDEX('05_KAIS'!$K:$K,$A699))</f>
        <v/>
      </c>
      <c r="F699" s="202">
        <f>IF($A699="","",INDEX('05_KAIS'!$I:$I,$A699))</f>
        <v/>
      </c>
      <c r="G699" s="118">
        <f>IF($A699="","",INDEX('05_KAIS'!$L:$L,$A699))</f>
        <v/>
      </c>
      <c r="H699" s="118">
        <f>IF($A699="","",IFERROR(INDEX('05_KAIS'!$M:$M,$A699),IF(AND(E699&gt;0,G699&gt;0),G699/E699,"")))</f>
        <v/>
      </c>
      <c r="I699" s="202">
        <f>IF($A699="","",INDEX('05_KAIS'!$N:$N,$A699))</f>
        <v/>
      </c>
      <c r="J699">
        <f>IF(B699="","",IF('02_대상물건입력'!$B$5="",1,IF(ISNUMBER(SEARCH('02_대상물건입력'!$B$5,B699)),1,0)))</f>
        <v/>
      </c>
      <c r="K699">
        <f>IF(B699="","",IF('02_대상물건입력'!$B$6="",1,IF(ISNUMBER(SEARCH('02_대상물건입력'!$B$6,B699)),1,0)))</f>
        <v/>
      </c>
      <c r="L699">
        <f>IF(D699="","",IF('02_대상물건입력'!$B$8="",0,IF(ISNUMBER(SEARCH('02_대상물건입력'!$B$8,D699)),1,0)))</f>
        <v/>
      </c>
      <c r="M699">
        <f>IFERROR(ABS(E699-'02_대상물건입력'!$B$11)/'02_대상물건입력'!$B$11,"")</f>
        <v/>
      </c>
      <c r="N699">
        <f>IFERROR(ABS('01_설정'!$B$4-F699),"")</f>
        <v/>
      </c>
      <c r="O699">
        <f>IFERROR(ABS(YEAR(I699)-YEAR('02_대상물건입력'!$B$14)),"")</f>
        <v/>
      </c>
      <c r="P699">
        <f>IF(AND(E699&gt;0,F699&gt;0,G699&gt;0,IF('01_설정'!$B$10=1,J699=1,TRUE()),M699&lt;='01_설정'!$B$5,N699&lt;='01_설정'!$B$7,O699&lt;='01_설정'!$B$8),"Y","")</f>
        <v/>
      </c>
      <c r="Q699">
        <f>IF(P699&lt;&gt;"Y","",MAX(0,(1-M699/'01_설정'!$B$5))*'01_설정'!$B$14+MAX(0,(1-N699/'01_설정'!$B$7))*'01_설정'!$B$16+MAX(0,(1-O699/'01_설정'!$B$8))*'01_설정'!$B$17+K699*'01_설정'!$B$11+L699*'01_설정'!$B$12)</f>
        <v/>
      </c>
      <c r="R699">
        <f>IF(Q699="","",1+COUNTIFS($Q$31:$Q$1030,"&gt;"&amp;Q699)+COUNTIFS($Q$31:Q699,Q699)-1)</f>
        <v/>
      </c>
    </row>
    <row r="700" hidden="1" ht="16.5" customHeight="1">
      <c r="A700">
        <f>IF(COUNTA('05_KAIS'!$A688:$N688)=0,"",673)</f>
        <v/>
      </c>
      <c r="B700">
        <f>IF($A700="","",TRIM(INDEX('05_KAIS'!$B:$B,$A700)&amp;" "&amp;INDEX('05_KAIS'!$C:$C,$A700)))</f>
        <v/>
      </c>
      <c r="C700">
        <f>IF($A700="","",INDEX('05_KAIS'!$D:$D,$A700))</f>
        <v/>
      </c>
      <c r="D700">
        <f>IF($A700="","",INDEX('05_KAIS'!$H:$H,$A700))</f>
        <v/>
      </c>
      <c r="E700">
        <f>IF($A700="","",INDEX('05_KAIS'!$K:$K,$A700))</f>
        <v/>
      </c>
      <c r="F700" s="202">
        <f>IF($A700="","",INDEX('05_KAIS'!$I:$I,$A700))</f>
        <v/>
      </c>
      <c r="G700" s="118">
        <f>IF($A700="","",INDEX('05_KAIS'!$L:$L,$A700))</f>
        <v/>
      </c>
      <c r="H700" s="118">
        <f>IF($A700="","",IFERROR(INDEX('05_KAIS'!$M:$M,$A700),IF(AND(E700&gt;0,G700&gt;0),G700/E700,"")))</f>
        <v/>
      </c>
      <c r="I700" s="202">
        <f>IF($A700="","",INDEX('05_KAIS'!$N:$N,$A700))</f>
        <v/>
      </c>
      <c r="J700">
        <f>IF(B700="","",IF('02_대상물건입력'!$B$5="",1,IF(ISNUMBER(SEARCH('02_대상물건입력'!$B$5,B700)),1,0)))</f>
        <v/>
      </c>
      <c r="K700">
        <f>IF(B700="","",IF('02_대상물건입력'!$B$6="",1,IF(ISNUMBER(SEARCH('02_대상물건입력'!$B$6,B700)),1,0)))</f>
        <v/>
      </c>
      <c r="L700">
        <f>IF(D700="","",IF('02_대상물건입력'!$B$8="",0,IF(ISNUMBER(SEARCH('02_대상물건입력'!$B$8,D700)),1,0)))</f>
        <v/>
      </c>
      <c r="M700">
        <f>IFERROR(ABS(E700-'02_대상물건입력'!$B$11)/'02_대상물건입력'!$B$11,"")</f>
        <v/>
      </c>
      <c r="N700">
        <f>IFERROR(ABS('01_설정'!$B$4-F700),"")</f>
        <v/>
      </c>
      <c r="O700">
        <f>IFERROR(ABS(YEAR(I700)-YEAR('02_대상물건입력'!$B$14)),"")</f>
        <v/>
      </c>
      <c r="P700">
        <f>IF(AND(E700&gt;0,F700&gt;0,G700&gt;0,IF('01_설정'!$B$10=1,J700=1,TRUE()),M700&lt;='01_설정'!$B$5,N700&lt;='01_설정'!$B$7,O700&lt;='01_설정'!$B$8),"Y","")</f>
        <v/>
      </c>
      <c r="Q700">
        <f>IF(P700&lt;&gt;"Y","",MAX(0,(1-M700/'01_설정'!$B$5))*'01_설정'!$B$14+MAX(0,(1-N700/'01_설정'!$B$7))*'01_설정'!$B$16+MAX(0,(1-O700/'01_설정'!$B$8))*'01_설정'!$B$17+K700*'01_설정'!$B$11+L700*'01_설정'!$B$12)</f>
        <v/>
      </c>
      <c r="R700">
        <f>IF(Q700="","",1+COUNTIFS($Q$31:$Q$1030,"&gt;"&amp;Q700)+COUNTIFS($Q$31:Q700,Q700)-1)</f>
        <v/>
      </c>
    </row>
    <row r="701" hidden="1" ht="16.5" customHeight="1">
      <c r="A701">
        <f>IF(COUNTA('05_KAIS'!$A689:$N689)=0,"",674)</f>
        <v/>
      </c>
      <c r="B701">
        <f>IF($A701="","",TRIM(INDEX('05_KAIS'!$B:$B,$A701)&amp;" "&amp;INDEX('05_KAIS'!$C:$C,$A701)))</f>
        <v/>
      </c>
      <c r="C701">
        <f>IF($A701="","",INDEX('05_KAIS'!$D:$D,$A701))</f>
        <v/>
      </c>
      <c r="D701">
        <f>IF($A701="","",INDEX('05_KAIS'!$H:$H,$A701))</f>
        <v/>
      </c>
      <c r="E701">
        <f>IF($A701="","",INDEX('05_KAIS'!$K:$K,$A701))</f>
        <v/>
      </c>
      <c r="F701" s="202">
        <f>IF($A701="","",INDEX('05_KAIS'!$I:$I,$A701))</f>
        <v/>
      </c>
      <c r="G701" s="118">
        <f>IF($A701="","",INDEX('05_KAIS'!$L:$L,$A701))</f>
        <v/>
      </c>
      <c r="H701" s="118">
        <f>IF($A701="","",IFERROR(INDEX('05_KAIS'!$M:$M,$A701),IF(AND(E701&gt;0,G701&gt;0),G701/E701,"")))</f>
        <v/>
      </c>
      <c r="I701" s="202">
        <f>IF($A701="","",INDEX('05_KAIS'!$N:$N,$A701))</f>
        <v/>
      </c>
      <c r="J701">
        <f>IF(B701="","",IF('02_대상물건입력'!$B$5="",1,IF(ISNUMBER(SEARCH('02_대상물건입력'!$B$5,B701)),1,0)))</f>
        <v/>
      </c>
      <c r="K701">
        <f>IF(B701="","",IF('02_대상물건입력'!$B$6="",1,IF(ISNUMBER(SEARCH('02_대상물건입력'!$B$6,B701)),1,0)))</f>
        <v/>
      </c>
      <c r="L701">
        <f>IF(D701="","",IF('02_대상물건입력'!$B$8="",0,IF(ISNUMBER(SEARCH('02_대상물건입력'!$B$8,D701)),1,0)))</f>
        <v/>
      </c>
      <c r="M701">
        <f>IFERROR(ABS(E701-'02_대상물건입력'!$B$11)/'02_대상물건입력'!$B$11,"")</f>
        <v/>
      </c>
      <c r="N701">
        <f>IFERROR(ABS('01_설정'!$B$4-F701),"")</f>
        <v/>
      </c>
      <c r="O701">
        <f>IFERROR(ABS(YEAR(I701)-YEAR('02_대상물건입력'!$B$14)),"")</f>
        <v/>
      </c>
      <c r="P701">
        <f>IF(AND(E701&gt;0,F701&gt;0,G701&gt;0,IF('01_설정'!$B$10=1,J701=1,TRUE()),M701&lt;='01_설정'!$B$5,N701&lt;='01_설정'!$B$7,O701&lt;='01_설정'!$B$8),"Y","")</f>
        <v/>
      </c>
      <c r="Q701">
        <f>IF(P701&lt;&gt;"Y","",MAX(0,(1-M701/'01_설정'!$B$5))*'01_설정'!$B$14+MAX(0,(1-N701/'01_설정'!$B$7))*'01_설정'!$B$16+MAX(0,(1-O701/'01_설정'!$B$8))*'01_설정'!$B$17+K701*'01_설정'!$B$11+L701*'01_설정'!$B$12)</f>
        <v/>
      </c>
      <c r="R701">
        <f>IF(Q701="","",1+COUNTIFS($Q$31:$Q$1030,"&gt;"&amp;Q701)+COUNTIFS($Q$31:Q701,Q701)-1)</f>
        <v/>
      </c>
    </row>
    <row r="702" hidden="1" ht="16.5" customHeight="1">
      <c r="A702">
        <f>IF(COUNTA('05_KAIS'!$A690:$N690)=0,"",675)</f>
        <v/>
      </c>
      <c r="B702">
        <f>IF($A702="","",TRIM(INDEX('05_KAIS'!$B:$B,$A702)&amp;" "&amp;INDEX('05_KAIS'!$C:$C,$A702)))</f>
        <v/>
      </c>
      <c r="C702">
        <f>IF($A702="","",INDEX('05_KAIS'!$D:$D,$A702))</f>
        <v/>
      </c>
      <c r="D702">
        <f>IF($A702="","",INDEX('05_KAIS'!$H:$H,$A702))</f>
        <v/>
      </c>
      <c r="E702">
        <f>IF($A702="","",INDEX('05_KAIS'!$K:$K,$A702))</f>
        <v/>
      </c>
      <c r="F702" s="202">
        <f>IF($A702="","",INDEX('05_KAIS'!$I:$I,$A702))</f>
        <v/>
      </c>
      <c r="G702" s="118">
        <f>IF($A702="","",INDEX('05_KAIS'!$L:$L,$A702))</f>
        <v/>
      </c>
      <c r="H702" s="118">
        <f>IF($A702="","",IFERROR(INDEX('05_KAIS'!$M:$M,$A702),IF(AND(E702&gt;0,G702&gt;0),G702/E702,"")))</f>
        <v/>
      </c>
      <c r="I702" s="202">
        <f>IF($A702="","",INDEX('05_KAIS'!$N:$N,$A702))</f>
        <v/>
      </c>
      <c r="J702">
        <f>IF(B702="","",IF('02_대상물건입력'!$B$5="",1,IF(ISNUMBER(SEARCH('02_대상물건입력'!$B$5,B702)),1,0)))</f>
        <v/>
      </c>
      <c r="K702">
        <f>IF(B702="","",IF('02_대상물건입력'!$B$6="",1,IF(ISNUMBER(SEARCH('02_대상물건입력'!$B$6,B702)),1,0)))</f>
        <v/>
      </c>
      <c r="L702">
        <f>IF(D702="","",IF('02_대상물건입력'!$B$8="",0,IF(ISNUMBER(SEARCH('02_대상물건입력'!$B$8,D702)),1,0)))</f>
        <v/>
      </c>
      <c r="M702">
        <f>IFERROR(ABS(E702-'02_대상물건입력'!$B$11)/'02_대상물건입력'!$B$11,"")</f>
        <v/>
      </c>
      <c r="N702">
        <f>IFERROR(ABS('01_설정'!$B$4-F702),"")</f>
        <v/>
      </c>
      <c r="O702">
        <f>IFERROR(ABS(YEAR(I702)-YEAR('02_대상물건입력'!$B$14)),"")</f>
        <v/>
      </c>
      <c r="P702">
        <f>IF(AND(E702&gt;0,F702&gt;0,G702&gt;0,IF('01_설정'!$B$10=1,J702=1,TRUE()),M702&lt;='01_설정'!$B$5,N702&lt;='01_설정'!$B$7,O702&lt;='01_설정'!$B$8),"Y","")</f>
        <v/>
      </c>
      <c r="Q702">
        <f>IF(P702&lt;&gt;"Y","",MAX(0,(1-M702/'01_설정'!$B$5))*'01_설정'!$B$14+MAX(0,(1-N702/'01_설정'!$B$7))*'01_설정'!$B$16+MAX(0,(1-O702/'01_설정'!$B$8))*'01_설정'!$B$17+K702*'01_설정'!$B$11+L702*'01_설정'!$B$12)</f>
        <v/>
      </c>
      <c r="R702">
        <f>IF(Q702="","",1+COUNTIFS($Q$31:$Q$1030,"&gt;"&amp;Q702)+COUNTIFS($Q$31:Q702,Q702)-1)</f>
        <v/>
      </c>
    </row>
    <row r="703" hidden="1" ht="16.5" customHeight="1">
      <c r="A703">
        <f>IF(COUNTA('05_KAIS'!$A691:$N691)=0,"",676)</f>
        <v/>
      </c>
      <c r="B703">
        <f>IF($A703="","",TRIM(INDEX('05_KAIS'!$B:$B,$A703)&amp;" "&amp;INDEX('05_KAIS'!$C:$C,$A703)))</f>
        <v/>
      </c>
      <c r="C703">
        <f>IF($A703="","",INDEX('05_KAIS'!$D:$D,$A703))</f>
        <v/>
      </c>
      <c r="D703">
        <f>IF($A703="","",INDEX('05_KAIS'!$H:$H,$A703))</f>
        <v/>
      </c>
      <c r="E703">
        <f>IF($A703="","",INDEX('05_KAIS'!$K:$K,$A703))</f>
        <v/>
      </c>
      <c r="F703" s="202">
        <f>IF($A703="","",INDEX('05_KAIS'!$I:$I,$A703))</f>
        <v/>
      </c>
      <c r="G703" s="118">
        <f>IF($A703="","",INDEX('05_KAIS'!$L:$L,$A703))</f>
        <v/>
      </c>
      <c r="H703" s="118">
        <f>IF($A703="","",IFERROR(INDEX('05_KAIS'!$M:$M,$A703),IF(AND(E703&gt;0,G703&gt;0),G703/E703,"")))</f>
        <v/>
      </c>
      <c r="I703" s="202">
        <f>IF($A703="","",INDEX('05_KAIS'!$N:$N,$A703))</f>
        <v/>
      </c>
      <c r="J703">
        <f>IF(B703="","",IF('02_대상물건입력'!$B$5="",1,IF(ISNUMBER(SEARCH('02_대상물건입력'!$B$5,B703)),1,0)))</f>
        <v/>
      </c>
      <c r="K703">
        <f>IF(B703="","",IF('02_대상물건입력'!$B$6="",1,IF(ISNUMBER(SEARCH('02_대상물건입력'!$B$6,B703)),1,0)))</f>
        <v/>
      </c>
      <c r="L703">
        <f>IF(D703="","",IF('02_대상물건입력'!$B$8="",0,IF(ISNUMBER(SEARCH('02_대상물건입력'!$B$8,D703)),1,0)))</f>
        <v/>
      </c>
      <c r="M703">
        <f>IFERROR(ABS(E703-'02_대상물건입력'!$B$11)/'02_대상물건입력'!$B$11,"")</f>
        <v/>
      </c>
      <c r="N703">
        <f>IFERROR(ABS('01_설정'!$B$4-F703),"")</f>
        <v/>
      </c>
      <c r="O703">
        <f>IFERROR(ABS(YEAR(I703)-YEAR('02_대상물건입력'!$B$14)),"")</f>
        <v/>
      </c>
      <c r="P703">
        <f>IF(AND(E703&gt;0,F703&gt;0,G703&gt;0,IF('01_설정'!$B$10=1,J703=1,TRUE()),M703&lt;='01_설정'!$B$5,N703&lt;='01_설정'!$B$7,O703&lt;='01_설정'!$B$8),"Y","")</f>
        <v/>
      </c>
      <c r="Q703">
        <f>IF(P703&lt;&gt;"Y","",MAX(0,(1-M703/'01_설정'!$B$5))*'01_설정'!$B$14+MAX(0,(1-N703/'01_설정'!$B$7))*'01_설정'!$B$16+MAX(0,(1-O703/'01_설정'!$B$8))*'01_설정'!$B$17+K703*'01_설정'!$B$11+L703*'01_설정'!$B$12)</f>
        <v/>
      </c>
      <c r="R703">
        <f>IF(Q703="","",1+COUNTIFS($Q$31:$Q$1030,"&gt;"&amp;Q703)+COUNTIFS($Q$31:Q703,Q703)-1)</f>
        <v/>
      </c>
    </row>
    <row r="704" hidden="1" ht="16.5" customHeight="1">
      <c r="A704">
        <f>IF(COUNTA('05_KAIS'!$A692:$N692)=0,"",677)</f>
        <v/>
      </c>
      <c r="B704">
        <f>IF($A704="","",TRIM(INDEX('05_KAIS'!$B:$B,$A704)&amp;" "&amp;INDEX('05_KAIS'!$C:$C,$A704)))</f>
        <v/>
      </c>
      <c r="C704">
        <f>IF($A704="","",INDEX('05_KAIS'!$D:$D,$A704))</f>
        <v/>
      </c>
      <c r="D704">
        <f>IF($A704="","",INDEX('05_KAIS'!$H:$H,$A704))</f>
        <v/>
      </c>
      <c r="E704">
        <f>IF($A704="","",INDEX('05_KAIS'!$K:$K,$A704))</f>
        <v/>
      </c>
      <c r="F704" s="202">
        <f>IF($A704="","",INDEX('05_KAIS'!$I:$I,$A704))</f>
        <v/>
      </c>
      <c r="G704" s="118">
        <f>IF($A704="","",INDEX('05_KAIS'!$L:$L,$A704))</f>
        <v/>
      </c>
      <c r="H704" s="118">
        <f>IF($A704="","",IFERROR(INDEX('05_KAIS'!$M:$M,$A704),IF(AND(E704&gt;0,G704&gt;0),G704/E704,"")))</f>
        <v/>
      </c>
      <c r="I704" s="202">
        <f>IF($A704="","",INDEX('05_KAIS'!$N:$N,$A704))</f>
        <v/>
      </c>
      <c r="J704">
        <f>IF(B704="","",IF('02_대상물건입력'!$B$5="",1,IF(ISNUMBER(SEARCH('02_대상물건입력'!$B$5,B704)),1,0)))</f>
        <v/>
      </c>
      <c r="K704">
        <f>IF(B704="","",IF('02_대상물건입력'!$B$6="",1,IF(ISNUMBER(SEARCH('02_대상물건입력'!$B$6,B704)),1,0)))</f>
        <v/>
      </c>
      <c r="L704">
        <f>IF(D704="","",IF('02_대상물건입력'!$B$8="",0,IF(ISNUMBER(SEARCH('02_대상물건입력'!$B$8,D704)),1,0)))</f>
        <v/>
      </c>
      <c r="M704">
        <f>IFERROR(ABS(E704-'02_대상물건입력'!$B$11)/'02_대상물건입력'!$B$11,"")</f>
        <v/>
      </c>
      <c r="N704">
        <f>IFERROR(ABS('01_설정'!$B$4-F704),"")</f>
        <v/>
      </c>
      <c r="O704">
        <f>IFERROR(ABS(YEAR(I704)-YEAR('02_대상물건입력'!$B$14)),"")</f>
        <v/>
      </c>
      <c r="P704">
        <f>IF(AND(E704&gt;0,F704&gt;0,G704&gt;0,IF('01_설정'!$B$10=1,J704=1,TRUE()),M704&lt;='01_설정'!$B$5,N704&lt;='01_설정'!$B$7,O704&lt;='01_설정'!$B$8),"Y","")</f>
        <v/>
      </c>
      <c r="Q704">
        <f>IF(P704&lt;&gt;"Y","",MAX(0,(1-M704/'01_설정'!$B$5))*'01_설정'!$B$14+MAX(0,(1-N704/'01_설정'!$B$7))*'01_설정'!$B$16+MAX(0,(1-O704/'01_설정'!$B$8))*'01_설정'!$B$17+K704*'01_설정'!$B$11+L704*'01_설정'!$B$12)</f>
        <v/>
      </c>
      <c r="R704">
        <f>IF(Q704="","",1+COUNTIFS($Q$31:$Q$1030,"&gt;"&amp;Q704)+COUNTIFS($Q$31:Q704,Q704)-1)</f>
        <v/>
      </c>
    </row>
    <row r="705" hidden="1" ht="16.5" customHeight="1">
      <c r="A705">
        <f>IF(COUNTA('05_KAIS'!$A693:$N693)=0,"",678)</f>
        <v/>
      </c>
      <c r="B705">
        <f>IF($A705="","",TRIM(INDEX('05_KAIS'!$B:$B,$A705)&amp;" "&amp;INDEX('05_KAIS'!$C:$C,$A705)))</f>
        <v/>
      </c>
      <c r="C705">
        <f>IF($A705="","",INDEX('05_KAIS'!$D:$D,$A705))</f>
        <v/>
      </c>
      <c r="D705">
        <f>IF($A705="","",INDEX('05_KAIS'!$H:$H,$A705))</f>
        <v/>
      </c>
      <c r="E705">
        <f>IF($A705="","",INDEX('05_KAIS'!$K:$K,$A705))</f>
        <v/>
      </c>
      <c r="F705" s="202">
        <f>IF($A705="","",INDEX('05_KAIS'!$I:$I,$A705))</f>
        <v/>
      </c>
      <c r="G705" s="118">
        <f>IF($A705="","",INDEX('05_KAIS'!$L:$L,$A705))</f>
        <v/>
      </c>
      <c r="H705" s="118">
        <f>IF($A705="","",IFERROR(INDEX('05_KAIS'!$M:$M,$A705),IF(AND(E705&gt;0,G705&gt;0),G705/E705,"")))</f>
        <v/>
      </c>
      <c r="I705" s="202">
        <f>IF($A705="","",INDEX('05_KAIS'!$N:$N,$A705))</f>
        <v/>
      </c>
      <c r="J705">
        <f>IF(B705="","",IF('02_대상물건입력'!$B$5="",1,IF(ISNUMBER(SEARCH('02_대상물건입력'!$B$5,B705)),1,0)))</f>
        <v/>
      </c>
      <c r="K705">
        <f>IF(B705="","",IF('02_대상물건입력'!$B$6="",1,IF(ISNUMBER(SEARCH('02_대상물건입력'!$B$6,B705)),1,0)))</f>
        <v/>
      </c>
      <c r="L705">
        <f>IF(D705="","",IF('02_대상물건입력'!$B$8="",0,IF(ISNUMBER(SEARCH('02_대상물건입력'!$B$8,D705)),1,0)))</f>
        <v/>
      </c>
      <c r="M705">
        <f>IFERROR(ABS(E705-'02_대상물건입력'!$B$11)/'02_대상물건입력'!$B$11,"")</f>
        <v/>
      </c>
      <c r="N705">
        <f>IFERROR(ABS('01_설정'!$B$4-F705),"")</f>
        <v/>
      </c>
      <c r="O705">
        <f>IFERROR(ABS(YEAR(I705)-YEAR('02_대상물건입력'!$B$14)),"")</f>
        <v/>
      </c>
      <c r="P705">
        <f>IF(AND(E705&gt;0,F705&gt;0,G705&gt;0,IF('01_설정'!$B$10=1,J705=1,TRUE()),M705&lt;='01_설정'!$B$5,N705&lt;='01_설정'!$B$7,O705&lt;='01_설정'!$B$8),"Y","")</f>
        <v/>
      </c>
      <c r="Q705">
        <f>IF(P705&lt;&gt;"Y","",MAX(0,(1-M705/'01_설정'!$B$5))*'01_설정'!$B$14+MAX(0,(1-N705/'01_설정'!$B$7))*'01_설정'!$B$16+MAX(0,(1-O705/'01_설정'!$B$8))*'01_설정'!$B$17+K705*'01_설정'!$B$11+L705*'01_설정'!$B$12)</f>
        <v/>
      </c>
      <c r="R705">
        <f>IF(Q705="","",1+COUNTIFS($Q$31:$Q$1030,"&gt;"&amp;Q705)+COUNTIFS($Q$31:Q705,Q705)-1)</f>
        <v/>
      </c>
    </row>
    <row r="706" hidden="1" ht="16.5" customHeight="1">
      <c r="A706">
        <f>IF(COUNTA('05_KAIS'!$A694:$N694)=0,"",679)</f>
        <v/>
      </c>
      <c r="B706">
        <f>IF($A706="","",TRIM(INDEX('05_KAIS'!$B:$B,$A706)&amp;" "&amp;INDEX('05_KAIS'!$C:$C,$A706)))</f>
        <v/>
      </c>
      <c r="C706">
        <f>IF($A706="","",INDEX('05_KAIS'!$D:$D,$A706))</f>
        <v/>
      </c>
      <c r="D706">
        <f>IF($A706="","",INDEX('05_KAIS'!$H:$H,$A706))</f>
        <v/>
      </c>
      <c r="E706">
        <f>IF($A706="","",INDEX('05_KAIS'!$K:$K,$A706))</f>
        <v/>
      </c>
      <c r="F706" s="202">
        <f>IF($A706="","",INDEX('05_KAIS'!$I:$I,$A706))</f>
        <v/>
      </c>
      <c r="G706" s="118">
        <f>IF($A706="","",INDEX('05_KAIS'!$L:$L,$A706))</f>
        <v/>
      </c>
      <c r="H706" s="118">
        <f>IF($A706="","",IFERROR(INDEX('05_KAIS'!$M:$M,$A706),IF(AND(E706&gt;0,G706&gt;0),G706/E706,"")))</f>
        <v/>
      </c>
      <c r="I706" s="202">
        <f>IF($A706="","",INDEX('05_KAIS'!$N:$N,$A706))</f>
        <v/>
      </c>
      <c r="J706">
        <f>IF(B706="","",IF('02_대상물건입력'!$B$5="",1,IF(ISNUMBER(SEARCH('02_대상물건입력'!$B$5,B706)),1,0)))</f>
        <v/>
      </c>
      <c r="K706">
        <f>IF(B706="","",IF('02_대상물건입력'!$B$6="",1,IF(ISNUMBER(SEARCH('02_대상물건입력'!$B$6,B706)),1,0)))</f>
        <v/>
      </c>
      <c r="L706">
        <f>IF(D706="","",IF('02_대상물건입력'!$B$8="",0,IF(ISNUMBER(SEARCH('02_대상물건입력'!$B$8,D706)),1,0)))</f>
        <v/>
      </c>
      <c r="M706">
        <f>IFERROR(ABS(E706-'02_대상물건입력'!$B$11)/'02_대상물건입력'!$B$11,"")</f>
        <v/>
      </c>
      <c r="N706">
        <f>IFERROR(ABS('01_설정'!$B$4-F706),"")</f>
        <v/>
      </c>
      <c r="O706">
        <f>IFERROR(ABS(YEAR(I706)-YEAR('02_대상물건입력'!$B$14)),"")</f>
        <v/>
      </c>
      <c r="P706">
        <f>IF(AND(E706&gt;0,F706&gt;0,G706&gt;0,IF('01_설정'!$B$10=1,J706=1,TRUE()),M706&lt;='01_설정'!$B$5,N706&lt;='01_설정'!$B$7,O706&lt;='01_설정'!$B$8),"Y","")</f>
        <v/>
      </c>
      <c r="Q706">
        <f>IF(P706&lt;&gt;"Y","",MAX(0,(1-M706/'01_설정'!$B$5))*'01_설정'!$B$14+MAX(0,(1-N706/'01_설정'!$B$7))*'01_설정'!$B$16+MAX(0,(1-O706/'01_설정'!$B$8))*'01_설정'!$B$17+K706*'01_설정'!$B$11+L706*'01_설정'!$B$12)</f>
        <v/>
      </c>
      <c r="R706">
        <f>IF(Q706="","",1+COUNTIFS($Q$31:$Q$1030,"&gt;"&amp;Q706)+COUNTIFS($Q$31:Q706,Q706)-1)</f>
        <v/>
      </c>
    </row>
    <row r="707" hidden="1" ht="16.5" customHeight="1">
      <c r="A707">
        <f>IF(COUNTA('05_KAIS'!$A695:$N695)=0,"",680)</f>
        <v/>
      </c>
      <c r="B707">
        <f>IF($A707="","",TRIM(INDEX('05_KAIS'!$B:$B,$A707)&amp;" "&amp;INDEX('05_KAIS'!$C:$C,$A707)))</f>
        <v/>
      </c>
      <c r="C707">
        <f>IF($A707="","",INDEX('05_KAIS'!$D:$D,$A707))</f>
        <v/>
      </c>
      <c r="D707">
        <f>IF($A707="","",INDEX('05_KAIS'!$H:$H,$A707))</f>
        <v/>
      </c>
      <c r="E707">
        <f>IF($A707="","",INDEX('05_KAIS'!$K:$K,$A707))</f>
        <v/>
      </c>
      <c r="F707" s="202">
        <f>IF($A707="","",INDEX('05_KAIS'!$I:$I,$A707))</f>
        <v/>
      </c>
      <c r="G707" s="118">
        <f>IF($A707="","",INDEX('05_KAIS'!$L:$L,$A707))</f>
        <v/>
      </c>
      <c r="H707" s="118">
        <f>IF($A707="","",IFERROR(INDEX('05_KAIS'!$M:$M,$A707),IF(AND(E707&gt;0,G707&gt;0),G707/E707,"")))</f>
        <v/>
      </c>
      <c r="I707" s="202">
        <f>IF($A707="","",INDEX('05_KAIS'!$N:$N,$A707))</f>
        <v/>
      </c>
      <c r="J707">
        <f>IF(B707="","",IF('02_대상물건입력'!$B$5="",1,IF(ISNUMBER(SEARCH('02_대상물건입력'!$B$5,B707)),1,0)))</f>
        <v/>
      </c>
      <c r="K707">
        <f>IF(B707="","",IF('02_대상물건입력'!$B$6="",1,IF(ISNUMBER(SEARCH('02_대상물건입력'!$B$6,B707)),1,0)))</f>
        <v/>
      </c>
      <c r="L707">
        <f>IF(D707="","",IF('02_대상물건입력'!$B$8="",0,IF(ISNUMBER(SEARCH('02_대상물건입력'!$B$8,D707)),1,0)))</f>
        <v/>
      </c>
      <c r="M707">
        <f>IFERROR(ABS(E707-'02_대상물건입력'!$B$11)/'02_대상물건입력'!$B$11,"")</f>
        <v/>
      </c>
      <c r="N707">
        <f>IFERROR(ABS('01_설정'!$B$4-F707),"")</f>
        <v/>
      </c>
      <c r="O707">
        <f>IFERROR(ABS(YEAR(I707)-YEAR('02_대상물건입력'!$B$14)),"")</f>
        <v/>
      </c>
      <c r="P707">
        <f>IF(AND(E707&gt;0,F707&gt;0,G707&gt;0,IF('01_설정'!$B$10=1,J707=1,TRUE()),M707&lt;='01_설정'!$B$5,N707&lt;='01_설정'!$B$7,O707&lt;='01_설정'!$B$8),"Y","")</f>
        <v/>
      </c>
      <c r="Q707">
        <f>IF(P707&lt;&gt;"Y","",MAX(0,(1-M707/'01_설정'!$B$5))*'01_설정'!$B$14+MAX(0,(1-N707/'01_설정'!$B$7))*'01_설정'!$B$16+MAX(0,(1-O707/'01_설정'!$B$8))*'01_설정'!$B$17+K707*'01_설정'!$B$11+L707*'01_설정'!$B$12)</f>
        <v/>
      </c>
      <c r="R707">
        <f>IF(Q707="","",1+COUNTIFS($Q$31:$Q$1030,"&gt;"&amp;Q707)+COUNTIFS($Q$31:Q707,Q707)-1)</f>
        <v/>
      </c>
    </row>
    <row r="708" hidden="1" ht="16.5" customHeight="1">
      <c r="A708">
        <f>IF(COUNTA('05_KAIS'!$A696:$N696)=0,"",681)</f>
        <v/>
      </c>
      <c r="B708">
        <f>IF($A708="","",TRIM(INDEX('05_KAIS'!$B:$B,$A708)&amp;" "&amp;INDEX('05_KAIS'!$C:$C,$A708)))</f>
        <v/>
      </c>
      <c r="C708">
        <f>IF($A708="","",INDEX('05_KAIS'!$D:$D,$A708))</f>
        <v/>
      </c>
      <c r="D708">
        <f>IF($A708="","",INDEX('05_KAIS'!$H:$H,$A708))</f>
        <v/>
      </c>
      <c r="E708">
        <f>IF($A708="","",INDEX('05_KAIS'!$K:$K,$A708))</f>
        <v/>
      </c>
      <c r="F708" s="202">
        <f>IF($A708="","",INDEX('05_KAIS'!$I:$I,$A708))</f>
        <v/>
      </c>
      <c r="G708" s="118">
        <f>IF($A708="","",INDEX('05_KAIS'!$L:$L,$A708))</f>
        <v/>
      </c>
      <c r="H708" s="118">
        <f>IF($A708="","",IFERROR(INDEX('05_KAIS'!$M:$M,$A708),IF(AND(E708&gt;0,G708&gt;0),G708/E708,"")))</f>
        <v/>
      </c>
      <c r="I708" s="202">
        <f>IF($A708="","",INDEX('05_KAIS'!$N:$N,$A708))</f>
        <v/>
      </c>
      <c r="J708">
        <f>IF(B708="","",IF('02_대상물건입력'!$B$5="",1,IF(ISNUMBER(SEARCH('02_대상물건입력'!$B$5,B708)),1,0)))</f>
        <v/>
      </c>
      <c r="K708">
        <f>IF(B708="","",IF('02_대상물건입력'!$B$6="",1,IF(ISNUMBER(SEARCH('02_대상물건입력'!$B$6,B708)),1,0)))</f>
        <v/>
      </c>
      <c r="L708">
        <f>IF(D708="","",IF('02_대상물건입력'!$B$8="",0,IF(ISNUMBER(SEARCH('02_대상물건입력'!$B$8,D708)),1,0)))</f>
        <v/>
      </c>
      <c r="M708">
        <f>IFERROR(ABS(E708-'02_대상물건입력'!$B$11)/'02_대상물건입력'!$B$11,"")</f>
        <v/>
      </c>
      <c r="N708">
        <f>IFERROR(ABS('01_설정'!$B$4-F708),"")</f>
        <v/>
      </c>
      <c r="O708">
        <f>IFERROR(ABS(YEAR(I708)-YEAR('02_대상물건입력'!$B$14)),"")</f>
        <v/>
      </c>
      <c r="P708">
        <f>IF(AND(E708&gt;0,F708&gt;0,G708&gt;0,IF('01_설정'!$B$10=1,J708=1,TRUE()),M708&lt;='01_설정'!$B$5,N708&lt;='01_설정'!$B$7,O708&lt;='01_설정'!$B$8),"Y","")</f>
        <v/>
      </c>
      <c r="Q708">
        <f>IF(P708&lt;&gt;"Y","",MAX(0,(1-M708/'01_설정'!$B$5))*'01_설정'!$B$14+MAX(0,(1-N708/'01_설정'!$B$7))*'01_설정'!$B$16+MAX(0,(1-O708/'01_설정'!$B$8))*'01_설정'!$B$17+K708*'01_설정'!$B$11+L708*'01_설정'!$B$12)</f>
        <v/>
      </c>
      <c r="R708">
        <f>IF(Q708="","",1+COUNTIFS($Q$31:$Q$1030,"&gt;"&amp;Q708)+COUNTIFS($Q$31:Q708,Q708)-1)</f>
        <v/>
      </c>
    </row>
    <row r="709" hidden="1" ht="16.5" customHeight="1">
      <c r="A709">
        <f>IF(COUNTA('05_KAIS'!$A697:$N697)=0,"",682)</f>
        <v/>
      </c>
      <c r="B709">
        <f>IF($A709="","",TRIM(INDEX('05_KAIS'!$B:$B,$A709)&amp;" "&amp;INDEX('05_KAIS'!$C:$C,$A709)))</f>
        <v/>
      </c>
      <c r="C709">
        <f>IF($A709="","",INDEX('05_KAIS'!$D:$D,$A709))</f>
        <v/>
      </c>
      <c r="D709">
        <f>IF($A709="","",INDEX('05_KAIS'!$H:$H,$A709))</f>
        <v/>
      </c>
      <c r="E709">
        <f>IF($A709="","",INDEX('05_KAIS'!$K:$K,$A709))</f>
        <v/>
      </c>
      <c r="F709" s="202">
        <f>IF($A709="","",INDEX('05_KAIS'!$I:$I,$A709))</f>
        <v/>
      </c>
      <c r="G709" s="118">
        <f>IF($A709="","",INDEX('05_KAIS'!$L:$L,$A709))</f>
        <v/>
      </c>
      <c r="H709" s="118">
        <f>IF($A709="","",IFERROR(INDEX('05_KAIS'!$M:$M,$A709),IF(AND(E709&gt;0,G709&gt;0),G709/E709,"")))</f>
        <v/>
      </c>
      <c r="I709" s="202">
        <f>IF($A709="","",INDEX('05_KAIS'!$N:$N,$A709))</f>
        <v/>
      </c>
      <c r="J709">
        <f>IF(B709="","",IF('02_대상물건입력'!$B$5="",1,IF(ISNUMBER(SEARCH('02_대상물건입력'!$B$5,B709)),1,0)))</f>
        <v/>
      </c>
      <c r="K709">
        <f>IF(B709="","",IF('02_대상물건입력'!$B$6="",1,IF(ISNUMBER(SEARCH('02_대상물건입력'!$B$6,B709)),1,0)))</f>
        <v/>
      </c>
      <c r="L709">
        <f>IF(D709="","",IF('02_대상물건입력'!$B$8="",0,IF(ISNUMBER(SEARCH('02_대상물건입력'!$B$8,D709)),1,0)))</f>
        <v/>
      </c>
      <c r="M709">
        <f>IFERROR(ABS(E709-'02_대상물건입력'!$B$11)/'02_대상물건입력'!$B$11,"")</f>
        <v/>
      </c>
      <c r="N709">
        <f>IFERROR(ABS('01_설정'!$B$4-F709),"")</f>
        <v/>
      </c>
      <c r="O709">
        <f>IFERROR(ABS(YEAR(I709)-YEAR('02_대상물건입력'!$B$14)),"")</f>
        <v/>
      </c>
      <c r="P709">
        <f>IF(AND(E709&gt;0,F709&gt;0,G709&gt;0,IF('01_설정'!$B$10=1,J709=1,TRUE()),M709&lt;='01_설정'!$B$5,N709&lt;='01_설정'!$B$7,O709&lt;='01_설정'!$B$8),"Y","")</f>
        <v/>
      </c>
      <c r="Q709">
        <f>IF(P709&lt;&gt;"Y","",MAX(0,(1-M709/'01_설정'!$B$5))*'01_설정'!$B$14+MAX(0,(1-N709/'01_설정'!$B$7))*'01_설정'!$B$16+MAX(0,(1-O709/'01_설정'!$B$8))*'01_설정'!$B$17+K709*'01_설정'!$B$11+L709*'01_설정'!$B$12)</f>
        <v/>
      </c>
      <c r="R709">
        <f>IF(Q709="","",1+COUNTIFS($Q$31:$Q$1030,"&gt;"&amp;Q709)+COUNTIFS($Q$31:Q709,Q709)-1)</f>
        <v/>
      </c>
    </row>
    <row r="710" hidden="1" ht="16.5" customHeight="1">
      <c r="A710">
        <f>IF(COUNTA('05_KAIS'!$A698:$N698)=0,"",683)</f>
        <v/>
      </c>
      <c r="B710">
        <f>IF($A710="","",TRIM(INDEX('05_KAIS'!$B:$B,$A710)&amp;" "&amp;INDEX('05_KAIS'!$C:$C,$A710)))</f>
        <v/>
      </c>
      <c r="C710">
        <f>IF($A710="","",INDEX('05_KAIS'!$D:$D,$A710))</f>
        <v/>
      </c>
      <c r="D710">
        <f>IF($A710="","",INDEX('05_KAIS'!$H:$H,$A710))</f>
        <v/>
      </c>
      <c r="E710">
        <f>IF($A710="","",INDEX('05_KAIS'!$K:$K,$A710))</f>
        <v/>
      </c>
      <c r="F710" s="202">
        <f>IF($A710="","",INDEX('05_KAIS'!$I:$I,$A710))</f>
        <v/>
      </c>
      <c r="G710" s="118">
        <f>IF($A710="","",INDEX('05_KAIS'!$L:$L,$A710))</f>
        <v/>
      </c>
      <c r="H710" s="118">
        <f>IF($A710="","",IFERROR(INDEX('05_KAIS'!$M:$M,$A710),IF(AND(E710&gt;0,G710&gt;0),G710/E710,"")))</f>
        <v/>
      </c>
      <c r="I710" s="202">
        <f>IF($A710="","",INDEX('05_KAIS'!$N:$N,$A710))</f>
        <v/>
      </c>
      <c r="J710">
        <f>IF(B710="","",IF('02_대상물건입력'!$B$5="",1,IF(ISNUMBER(SEARCH('02_대상물건입력'!$B$5,B710)),1,0)))</f>
        <v/>
      </c>
      <c r="K710">
        <f>IF(B710="","",IF('02_대상물건입력'!$B$6="",1,IF(ISNUMBER(SEARCH('02_대상물건입력'!$B$6,B710)),1,0)))</f>
        <v/>
      </c>
      <c r="L710">
        <f>IF(D710="","",IF('02_대상물건입력'!$B$8="",0,IF(ISNUMBER(SEARCH('02_대상물건입력'!$B$8,D710)),1,0)))</f>
        <v/>
      </c>
      <c r="M710">
        <f>IFERROR(ABS(E710-'02_대상물건입력'!$B$11)/'02_대상물건입력'!$B$11,"")</f>
        <v/>
      </c>
      <c r="N710">
        <f>IFERROR(ABS('01_설정'!$B$4-F710),"")</f>
        <v/>
      </c>
      <c r="O710">
        <f>IFERROR(ABS(YEAR(I710)-YEAR('02_대상물건입력'!$B$14)),"")</f>
        <v/>
      </c>
      <c r="P710">
        <f>IF(AND(E710&gt;0,F710&gt;0,G710&gt;0,IF('01_설정'!$B$10=1,J710=1,TRUE()),M710&lt;='01_설정'!$B$5,N710&lt;='01_설정'!$B$7,O710&lt;='01_설정'!$B$8),"Y","")</f>
        <v/>
      </c>
      <c r="Q710">
        <f>IF(P710&lt;&gt;"Y","",MAX(0,(1-M710/'01_설정'!$B$5))*'01_설정'!$B$14+MAX(0,(1-N710/'01_설정'!$B$7))*'01_설정'!$B$16+MAX(0,(1-O710/'01_설정'!$B$8))*'01_설정'!$B$17+K710*'01_설정'!$B$11+L710*'01_설정'!$B$12)</f>
        <v/>
      </c>
      <c r="R710">
        <f>IF(Q710="","",1+COUNTIFS($Q$31:$Q$1030,"&gt;"&amp;Q710)+COUNTIFS($Q$31:Q710,Q710)-1)</f>
        <v/>
      </c>
    </row>
    <row r="711" hidden="1" ht="16.5" customHeight="1">
      <c r="A711">
        <f>IF(COUNTA('05_KAIS'!$A699:$N699)=0,"",684)</f>
        <v/>
      </c>
      <c r="B711">
        <f>IF($A711="","",TRIM(INDEX('05_KAIS'!$B:$B,$A711)&amp;" "&amp;INDEX('05_KAIS'!$C:$C,$A711)))</f>
        <v/>
      </c>
      <c r="C711">
        <f>IF($A711="","",INDEX('05_KAIS'!$D:$D,$A711))</f>
        <v/>
      </c>
      <c r="D711">
        <f>IF($A711="","",INDEX('05_KAIS'!$H:$H,$A711))</f>
        <v/>
      </c>
      <c r="E711">
        <f>IF($A711="","",INDEX('05_KAIS'!$K:$K,$A711))</f>
        <v/>
      </c>
      <c r="F711" s="202">
        <f>IF($A711="","",INDEX('05_KAIS'!$I:$I,$A711))</f>
        <v/>
      </c>
      <c r="G711" s="118">
        <f>IF($A711="","",INDEX('05_KAIS'!$L:$L,$A711))</f>
        <v/>
      </c>
      <c r="H711" s="118">
        <f>IF($A711="","",IFERROR(INDEX('05_KAIS'!$M:$M,$A711),IF(AND(E711&gt;0,G711&gt;0),G711/E711,"")))</f>
        <v/>
      </c>
      <c r="I711" s="202">
        <f>IF($A711="","",INDEX('05_KAIS'!$N:$N,$A711))</f>
        <v/>
      </c>
      <c r="J711">
        <f>IF(B711="","",IF('02_대상물건입력'!$B$5="",1,IF(ISNUMBER(SEARCH('02_대상물건입력'!$B$5,B711)),1,0)))</f>
        <v/>
      </c>
      <c r="K711">
        <f>IF(B711="","",IF('02_대상물건입력'!$B$6="",1,IF(ISNUMBER(SEARCH('02_대상물건입력'!$B$6,B711)),1,0)))</f>
        <v/>
      </c>
      <c r="L711">
        <f>IF(D711="","",IF('02_대상물건입력'!$B$8="",0,IF(ISNUMBER(SEARCH('02_대상물건입력'!$B$8,D711)),1,0)))</f>
        <v/>
      </c>
      <c r="M711">
        <f>IFERROR(ABS(E711-'02_대상물건입력'!$B$11)/'02_대상물건입력'!$B$11,"")</f>
        <v/>
      </c>
      <c r="N711">
        <f>IFERROR(ABS('01_설정'!$B$4-F711),"")</f>
        <v/>
      </c>
      <c r="O711">
        <f>IFERROR(ABS(YEAR(I711)-YEAR('02_대상물건입력'!$B$14)),"")</f>
        <v/>
      </c>
      <c r="P711">
        <f>IF(AND(E711&gt;0,F711&gt;0,G711&gt;0,IF('01_설정'!$B$10=1,J711=1,TRUE()),M711&lt;='01_설정'!$B$5,N711&lt;='01_설정'!$B$7,O711&lt;='01_설정'!$B$8),"Y","")</f>
        <v/>
      </c>
      <c r="Q711">
        <f>IF(P711&lt;&gt;"Y","",MAX(0,(1-M711/'01_설정'!$B$5))*'01_설정'!$B$14+MAX(0,(1-N711/'01_설정'!$B$7))*'01_설정'!$B$16+MAX(0,(1-O711/'01_설정'!$B$8))*'01_설정'!$B$17+K711*'01_설정'!$B$11+L711*'01_설정'!$B$12)</f>
        <v/>
      </c>
      <c r="R711">
        <f>IF(Q711="","",1+COUNTIFS($Q$31:$Q$1030,"&gt;"&amp;Q711)+COUNTIFS($Q$31:Q711,Q711)-1)</f>
        <v/>
      </c>
    </row>
    <row r="712" hidden="1" ht="16.5" customHeight="1">
      <c r="A712">
        <f>IF(COUNTA('05_KAIS'!$A700:$N700)=0,"",685)</f>
        <v/>
      </c>
      <c r="B712">
        <f>IF($A712="","",TRIM(INDEX('05_KAIS'!$B:$B,$A712)&amp;" "&amp;INDEX('05_KAIS'!$C:$C,$A712)))</f>
        <v/>
      </c>
      <c r="C712">
        <f>IF($A712="","",INDEX('05_KAIS'!$D:$D,$A712))</f>
        <v/>
      </c>
      <c r="D712">
        <f>IF($A712="","",INDEX('05_KAIS'!$H:$H,$A712))</f>
        <v/>
      </c>
      <c r="E712">
        <f>IF($A712="","",INDEX('05_KAIS'!$K:$K,$A712))</f>
        <v/>
      </c>
      <c r="F712" s="202">
        <f>IF($A712="","",INDEX('05_KAIS'!$I:$I,$A712))</f>
        <v/>
      </c>
      <c r="G712" s="118">
        <f>IF($A712="","",INDEX('05_KAIS'!$L:$L,$A712))</f>
        <v/>
      </c>
      <c r="H712" s="118">
        <f>IF($A712="","",IFERROR(INDEX('05_KAIS'!$M:$M,$A712),IF(AND(E712&gt;0,G712&gt;0),G712/E712,"")))</f>
        <v/>
      </c>
      <c r="I712" s="202">
        <f>IF($A712="","",INDEX('05_KAIS'!$N:$N,$A712))</f>
        <v/>
      </c>
      <c r="J712">
        <f>IF(B712="","",IF('02_대상물건입력'!$B$5="",1,IF(ISNUMBER(SEARCH('02_대상물건입력'!$B$5,B712)),1,0)))</f>
        <v/>
      </c>
      <c r="K712">
        <f>IF(B712="","",IF('02_대상물건입력'!$B$6="",1,IF(ISNUMBER(SEARCH('02_대상물건입력'!$B$6,B712)),1,0)))</f>
        <v/>
      </c>
      <c r="L712">
        <f>IF(D712="","",IF('02_대상물건입력'!$B$8="",0,IF(ISNUMBER(SEARCH('02_대상물건입력'!$B$8,D712)),1,0)))</f>
        <v/>
      </c>
      <c r="M712">
        <f>IFERROR(ABS(E712-'02_대상물건입력'!$B$11)/'02_대상물건입력'!$B$11,"")</f>
        <v/>
      </c>
      <c r="N712">
        <f>IFERROR(ABS('01_설정'!$B$4-F712),"")</f>
        <v/>
      </c>
      <c r="O712">
        <f>IFERROR(ABS(YEAR(I712)-YEAR('02_대상물건입력'!$B$14)),"")</f>
        <v/>
      </c>
      <c r="P712">
        <f>IF(AND(E712&gt;0,F712&gt;0,G712&gt;0,IF('01_설정'!$B$10=1,J712=1,TRUE()),M712&lt;='01_설정'!$B$5,N712&lt;='01_설정'!$B$7,O712&lt;='01_설정'!$B$8),"Y","")</f>
        <v/>
      </c>
      <c r="Q712">
        <f>IF(P712&lt;&gt;"Y","",MAX(0,(1-M712/'01_설정'!$B$5))*'01_설정'!$B$14+MAX(0,(1-N712/'01_설정'!$B$7))*'01_설정'!$B$16+MAX(0,(1-O712/'01_설정'!$B$8))*'01_설정'!$B$17+K712*'01_설정'!$B$11+L712*'01_설정'!$B$12)</f>
        <v/>
      </c>
      <c r="R712">
        <f>IF(Q712="","",1+COUNTIFS($Q$31:$Q$1030,"&gt;"&amp;Q712)+COUNTIFS($Q$31:Q712,Q712)-1)</f>
        <v/>
      </c>
    </row>
    <row r="713" hidden="1" ht="16.5" customHeight="1">
      <c r="A713">
        <f>IF(COUNTA('05_KAIS'!$A701:$N701)=0,"",686)</f>
        <v/>
      </c>
      <c r="B713">
        <f>IF($A713="","",TRIM(INDEX('05_KAIS'!$B:$B,$A713)&amp;" "&amp;INDEX('05_KAIS'!$C:$C,$A713)))</f>
        <v/>
      </c>
      <c r="C713">
        <f>IF($A713="","",INDEX('05_KAIS'!$D:$D,$A713))</f>
        <v/>
      </c>
      <c r="D713">
        <f>IF($A713="","",INDEX('05_KAIS'!$H:$H,$A713))</f>
        <v/>
      </c>
      <c r="E713">
        <f>IF($A713="","",INDEX('05_KAIS'!$K:$K,$A713))</f>
        <v/>
      </c>
      <c r="F713" s="202">
        <f>IF($A713="","",INDEX('05_KAIS'!$I:$I,$A713))</f>
        <v/>
      </c>
      <c r="G713" s="118">
        <f>IF($A713="","",INDEX('05_KAIS'!$L:$L,$A713))</f>
        <v/>
      </c>
      <c r="H713" s="118">
        <f>IF($A713="","",IFERROR(INDEX('05_KAIS'!$M:$M,$A713),IF(AND(E713&gt;0,G713&gt;0),G713/E713,"")))</f>
        <v/>
      </c>
      <c r="I713" s="202">
        <f>IF($A713="","",INDEX('05_KAIS'!$N:$N,$A713))</f>
        <v/>
      </c>
      <c r="J713">
        <f>IF(B713="","",IF('02_대상물건입력'!$B$5="",1,IF(ISNUMBER(SEARCH('02_대상물건입력'!$B$5,B713)),1,0)))</f>
        <v/>
      </c>
      <c r="K713">
        <f>IF(B713="","",IF('02_대상물건입력'!$B$6="",1,IF(ISNUMBER(SEARCH('02_대상물건입력'!$B$6,B713)),1,0)))</f>
        <v/>
      </c>
      <c r="L713">
        <f>IF(D713="","",IF('02_대상물건입력'!$B$8="",0,IF(ISNUMBER(SEARCH('02_대상물건입력'!$B$8,D713)),1,0)))</f>
        <v/>
      </c>
      <c r="M713">
        <f>IFERROR(ABS(E713-'02_대상물건입력'!$B$11)/'02_대상물건입력'!$B$11,"")</f>
        <v/>
      </c>
      <c r="N713">
        <f>IFERROR(ABS('01_설정'!$B$4-F713),"")</f>
        <v/>
      </c>
      <c r="O713">
        <f>IFERROR(ABS(YEAR(I713)-YEAR('02_대상물건입력'!$B$14)),"")</f>
        <v/>
      </c>
      <c r="P713">
        <f>IF(AND(E713&gt;0,F713&gt;0,G713&gt;0,IF('01_설정'!$B$10=1,J713=1,TRUE()),M713&lt;='01_설정'!$B$5,N713&lt;='01_설정'!$B$7,O713&lt;='01_설정'!$B$8),"Y","")</f>
        <v/>
      </c>
      <c r="Q713">
        <f>IF(P713&lt;&gt;"Y","",MAX(0,(1-M713/'01_설정'!$B$5))*'01_설정'!$B$14+MAX(0,(1-N713/'01_설정'!$B$7))*'01_설정'!$B$16+MAX(0,(1-O713/'01_설정'!$B$8))*'01_설정'!$B$17+K713*'01_설정'!$B$11+L713*'01_설정'!$B$12)</f>
        <v/>
      </c>
      <c r="R713">
        <f>IF(Q713="","",1+COUNTIFS($Q$31:$Q$1030,"&gt;"&amp;Q713)+COUNTIFS($Q$31:Q713,Q713)-1)</f>
        <v/>
      </c>
    </row>
    <row r="714" hidden="1" ht="16.5" customHeight="1">
      <c r="A714">
        <f>IF(COUNTA('05_KAIS'!$A702:$N702)=0,"",687)</f>
        <v/>
      </c>
      <c r="B714">
        <f>IF($A714="","",TRIM(INDEX('05_KAIS'!$B:$B,$A714)&amp;" "&amp;INDEX('05_KAIS'!$C:$C,$A714)))</f>
        <v/>
      </c>
      <c r="C714">
        <f>IF($A714="","",INDEX('05_KAIS'!$D:$D,$A714))</f>
        <v/>
      </c>
      <c r="D714">
        <f>IF($A714="","",INDEX('05_KAIS'!$H:$H,$A714))</f>
        <v/>
      </c>
      <c r="E714">
        <f>IF($A714="","",INDEX('05_KAIS'!$K:$K,$A714))</f>
        <v/>
      </c>
      <c r="F714" s="202">
        <f>IF($A714="","",INDEX('05_KAIS'!$I:$I,$A714))</f>
        <v/>
      </c>
      <c r="G714" s="118">
        <f>IF($A714="","",INDEX('05_KAIS'!$L:$L,$A714))</f>
        <v/>
      </c>
      <c r="H714" s="118">
        <f>IF($A714="","",IFERROR(INDEX('05_KAIS'!$M:$M,$A714),IF(AND(E714&gt;0,G714&gt;0),G714/E714,"")))</f>
        <v/>
      </c>
      <c r="I714" s="202">
        <f>IF($A714="","",INDEX('05_KAIS'!$N:$N,$A714))</f>
        <v/>
      </c>
      <c r="J714">
        <f>IF(B714="","",IF('02_대상물건입력'!$B$5="",1,IF(ISNUMBER(SEARCH('02_대상물건입력'!$B$5,B714)),1,0)))</f>
        <v/>
      </c>
      <c r="K714">
        <f>IF(B714="","",IF('02_대상물건입력'!$B$6="",1,IF(ISNUMBER(SEARCH('02_대상물건입력'!$B$6,B714)),1,0)))</f>
        <v/>
      </c>
      <c r="L714">
        <f>IF(D714="","",IF('02_대상물건입력'!$B$8="",0,IF(ISNUMBER(SEARCH('02_대상물건입력'!$B$8,D714)),1,0)))</f>
        <v/>
      </c>
      <c r="M714">
        <f>IFERROR(ABS(E714-'02_대상물건입력'!$B$11)/'02_대상물건입력'!$B$11,"")</f>
        <v/>
      </c>
      <c r="N714">
        <f>IFERROR(ABS('01_설정'!$B$4-F714),"")</f>
        <v/>
      </c>
      <c r="O714">
        <f>IFERROR(ABS(YEAR(I714)-YEAR('02_대상물건입력'!$B$14)),"")</f>
        <v/>
      </c>
      <c r="P714">
        <f>IF(AND(E714&gt;0,F714&gt;0,G714&gt;0,IF('01_설정'!$B$10=1,J714=1,TRUE()),M714&lt;='01_설정'!$B$5,N714&lt;='01_설정'!$B$7,O714&lt;='01_설정'!$B$8),"Y","")</f>
        <v/>
      </c>
      <c r="Q714">
        <f>IF(P714&lt;&gt;"Y","",MAX(0,(1-M714/'01_설정'!$B$5))*'01_설정'!$B$14+MAX(0,(1-N714/'01_설정'!$B$7))*'01_설정'!$B$16+MAX(0,(1-O714/'01_설정'!$B$8))*'01_설정'!$B$17+K714*'01_설정'!$B$11+L714*'01_설정'!$B$12)</f>
        <v/>
      </c>
      <c r="R714">
        <f>IF(Q714="","",1+COUNTIFS($Q$31:$Q$1030,"&gt;"&amp;Q714)+COUNTIFS($Q$31:Q714,Q714)-1)</f>
        <v/>
      </c>
    </row>
    <row r="715" hidden="1" ht="16.5" customHeight="1">
      <c r="A715">
        <f>IF(COUNTA('05_KAIS'!$A703:$N703)=0,"",688)</f>
        <v/>
      </c>
      <c r="B715">
        <f>IF($A715="","",TRIM(INDEX('05_KAIS'!$B:$B,$A715)&amp;" "&amp;INDEX('05_KAIS'!$C:$C,$A715)))</f>
        <v/>
      </c>
      <c r="C715">
        <f>IF($A715="","",INDEX('05_KAIS'!$D:$D,$A715))</f>
        <v/>
      </c>
      <c r="D715">
        <f>IF($A715="","",INDEX('05_KAIS'!$H:$H,$A715))</f>
        <v/>
      </c>
      <c r="E715">
        <f>IF($A715="","",INDEX('05_KAIS'!$K:$K,$A715))</f>
        <v/>
      </c>
      <c r="F715" s="202">
        <f>IF($A715="","",INDEX('05_KAIS'!$I:$I,$A715))</f>
        <v/>
      </c>
      <c r="G715" s="118">
        <f>IF($A715="","",INDEX('05_KAIS'!$L:$L,$A715))</f>
        <v/>
      </c>
      <c r="H715" s="118">
        <f>IF($A715="","",IFERROR(INDEX('05_KAIS'!$M:$M,$A715),IF(AND(E715&gt;0,G715&gt;0),G715/E715,"")))</f>
        <v/>
      </c>
      <c r="I715" s="202">
        <f>IF($A715="","",INDEX('05_KAIS'!$N:$N,$A715))</f>
        <v/>
      </c>
      <c r="J715">
        <f>IF(B715="","",IF('02_대상물건입력'!$B$5="",1,IF(ISNUMBER(SEARCH('02_대상물건입력'!$B$5,B715)),1,0)))</f>
        <v/>
      </c>
      <c r="K715">
        <f>IF(B715="","",IF('02_대상물건입력'!$B$6="",1,IF(ISNUMBER(SEARCH('02_대상물건입력'!$B$6,B715)),1,0)))</f>
        <v/>
      </c>
      <c r="L715">
        <f>IF(D715="","",IF('02_대상물건입력'!$B$8="",0,IF(ISNUMBER(SEARCH('02_대상물건입력'!$B$8,D715)),1,0)))</f>
        <v/>
      </c>
      <c r="M715">
        <f>IFERROR(ABS(E715-'02_대상물건입력'!$B$11)/'02_대상물건입력'!$B$11,"")</f>
        <v/>
      </c>
      <c r="N715">
        <f>IFERROR(ABS('01_설정'!$B$4-F715),"")</f>
        <v/>
      </c>
      <c r="O715">
        <f>IFERROR(ABS(YEAR(I715)-YEAR('02_대상물건입력'!$B$14)),"")</f>
        <v/>
      </c>
      <c r="P715">
        <f>IF(AND(E715&gt;0,F715&gt;0,G715&gt;0,IF('01_설정'!$B$10=1,J715=1,TRUE()),M715&lt;='01_설정'!$B$5,N715&lt;='01_설정'!$B$7,O715&lt;='01_설정'!$B$8),"Y","")</f>
        <v/>
      </c>
      <c r="Q715">
        <f>IF(P715&lt;&gt;"Y","",MAX(0,(1-M715/'01_설정'!$B$5))*'01_설정'!$B$14+MAX(0,(1-N715/'01_설정'!$B$7))*'01_설정'!$B$16+MAX(0,(1-O715/'01_설정'!$B$8))*'01_설정'!$B$17+K715*'01_설정'!$B$11+L715*'01_설정'!$B$12)</f>
        <v/>
      </c>
      <c r="R715">
        <f>IF(Q715="","",1+COUNTIFS($Q$31:$Q$1030,"&gt;"&amp;Q715)+COUNTIFS($Q$31:Q715,Q715)-1)</f>
        <v/>
      </c>
    </row>
    <row r="716" hidden="1" ht="16.5" customHeight="1">
      <c r="A716">
        <f>IF(COUNTA('05_KAIS'!$A704:$N704)=0,"",689)</f>
        <v/>
      </c>
      <c r="B716">
        <f>IF($A716="","",TRIM(INDEX('05_KAIS'!$B:$B,$A716)&amp;" "&amp;INDEX('05_KAIS'!$C:$C,$A716)))</f>
        <v/>
      </c>
      <c r="C716">
        <f>IF($A716="","",INDEX('05_KAIS'!$D:$D,$A716))</f>
        <v/>
      </c>
      <c r="D716">
        <f>IF($A716="","",INDEX('05_KAIS'!$H:$H,$A716))</f>
        <v/>
      </c>
      <c r="E716">
        <f>IF($A716="","",INDEX('05_KAIS'!$K:$K,$A716))</f>
        <v/>
      </c>
      <c r="F716" s="202">
        <f>IF($A716="","",INDEX('05_KAIS'!$I:$I,$A716))</f>
        <v/>
      </c>
      <c r="G716" s="118">
        <f>IF($A716="","",INDEX('05_KAIS'!$L:$L,$A716))</f>
        <v/>
      </c>
      <c r="H716" s="118">
        <f>IF($A716="","",IFERROR(INDEX('05_KAIS'!$M:$M,$A716),IF(AND(E716&gt;0,G716&gt;0),G716/E716,"")))</f>
        <v/>
      </c>
      <c r="I716" s="202">
        <f>IF($A716="","",INDEX('05_KAIS'!$N:$N,$A716))</f>
        <v/>
      </c>
      <c r="J716">
        <f>IF(B716="","",IF('02_대상물건입력'!$B$5="",1,IF(ISNUMBER(SEARCH('02_대상물건입력'!$B$5,B716)),1,0)))</f>
        <v/>
      </c>
      <c r="K716">
        <f>IF(B716="","",IF('02_대상물건입력'!$B$6="",1,IF(ISNUMBER(SEARCH('02_대상물건입력'!$B$6,B716)),1,0)))</f>
        <v/>
      </c>
      <c r="L716">
        <f>IF(D716="","",IF('02_대상물건입력'!$B$8="",0,IF(ISNUMBER(SEARCH('02_대상물건입력'!$B$8,D716)),1,0)))</f>
        <v/>
      </c>
      <c r="M716">
        <f>IFERROR(ABS(E716-'02_대상물건입력'!$B$11)/'02_대상물건입력'!$B$11,"")</f>
        <v/>
      </c>
      <c r="N716">
        <f>IFERROR(ABS('01_설정'!$B$4-F716),"")</f>
        <v/>
      </c>
      <c r="O716">
        <f>IFERROR(ABS(YEAR(I716)-YEAR('02_대상물건입력'!$B$14)),"")</f>
        <v/>
      </c>
      <c r="P716">
        <f>IF(AND(E716&gt;0,F716&gt;0,G716&gt;0,IF('01_설정'!$B$10=1,J716=1,TRUE()),M716&lt;='01_설정'!$B$5,N716&lt;='01_설정'!$B$7,O716&lt;='01_설정'!$B$8),"Y","")</f>
        <v/>
      </c>
      <c r="Q716">
        <f>IF(P716&lt;&gt;"Y","",MAX(0,(1-M716/'01_설정'!$B$5))*'01_설정'!$B$14+MAX(0,(1-N716/'01_설정'!$B$7))*'01_설정'!$B$16+MAX(0,(1-O716/'01_설정'!$B$8))*'01_설정'!$B$17+K716*'01_설정'!$B$11+L716*'01_설정'!$B$12)</f>
        <v/>
      </c>
      <c r="R716">
        <f>IF(Q716="","",1+COUNTIFS($Q$31:$Q$1030,"&gt;"&amp;Q716)+COUNTIFS($Q$31:Q716,Q716)-1)</f>
        <v/>
      </c>
    </row>
    <row r="717" hidden="1" ht="16.5" customHeight="1">
      <c r="A717">
        <f>IF(COUNTA('05_KAIS'!$A705:$N705)=0,"",690)</f>
        <v/>
      </c>
      <c r="B717">
        <f>IF($A717="","",TRIM(INDEX('05_KAIS'!$B:$B,$A717)&amp;" "&amp;INDEX('05_KAIS'!$C:$C,$A717)))</f>
        <v/>
      </c>
      <c r="C717">
        <f>IF($A717="","",INDEX('05_KAIS'!$D:$D,$A717))</f>
        <v/>
      </c>
      <c r="D717">
        <f>IF($A717="","",INDEX('05_KAIS'!$H:$H,$A717))</f>
        <v/>
      </c>
      <c r="E717">
        <f>IF($A717="","",INDEX('05_KAIS'!$K:$K,$A717))</f>
        <v/>
      </c>
      <c r="F717" s="202">
        <f>IF($A717="","",INDEX('05_KAIS'!$I:$I,$A717))</f>
        <v/>
      </c>
      <c r="G717" s="118">
        <f>IF($A717="","",INDEX('05_KAIS'!$L:$L,$A717))</f>
        <v/>
      </c>
      <c r="H717" s="118">
        <f>IF($A717="","",IFERROR(INDEX('05_KAIS'!$M:$M,$A717),IF(AND(E717&gt;0,G717&gt;0),G717/E717,"")))</f>
        <v/>
      </c>
      <c r="I717" s="202">
        <f>IF($A717="","",INDEX('05_KAIS'!$N:$N,$A717))</f>
        <v/>
      </c>
      <c r="J717">
        <f>IF(B717="","",IF('02_대상물건입력'!$B$5="",1,IF(ISNUMBER(SEARCH('02_대상물건입력'!$B$5,B717)),1,0)))</f>
        <v/>
      </c>
      <c r="K717">
        <f>IF(B717="","",IF('02_대상물건입력'!$B$6="",1,IF(ISNUMBER(SEARCH('02_대상물건입력'!$B$6,B717)),1,0)))</f>
        <v/>
      </c>
      <c r="L717">
        <f>IF(D717="","",IF('02_대상물건입력'!$B$8="",0,IF(ISNUMBER(SEARCH('02_대상물건입력'!$B$8,D717)),1,0)))</f>
        <v/>
      </c>
      <c r="M717">
        <f>IFERROR(ABS(E717-'02_대상물건입력'!$B$11)/'02_대상물건입력'!$B$11,"")</f>
        <v/>
      </c>
      <c r="N717">
        <f>IFERROR(ABS('01_설정'!$B$4-F717),"")</f>
        <v/>
      </c>
      <c r="O717">
        <f>IFERROR(ABS(YEAR(I717)-YEAR('02_대상물건입력'!$B$14)),"")</f>
        <v/>
      </c>
      <c r="P717">
        <f>IF(AND(E717&gt;0,F717&gt;0,G717&gt;0,IF('01_설정'!$B$10=1,J717=1,TRUE()),M717&lt;='01_설정'!$B$5,N717&lt;='01_설정'!$B$7,O717&lt;='01_설정'!$B$8),"Y","")</f>
        <v/>
      </c>
      <c r="Q717">
        <f>IF(P717&lt;&gt;"Y","",MAX(0,(1-M717/'01_설정'!$B$5))*'01_설정'!$B$14+MAX(0,(1-N717/'01_설정'!$B$7))*'01_설정'!$B$16+MAX(0,(1-O717/'01_설정'!$B$8))*'01_설정'!$B$17+K717*'01_설정'!$B$11+L717*'01_설정'!$B$12)</f>
        <v/>
      </c>
      <c r="R717">
        <f>IF(Q717="","",1+COUNTIFS($Q$31:$Q$1030,"&gt;"&amp;Q717)+COUNTIFS($Q$31:Q717,Q717)-1)</f>
        <v/>
      </c>
    </row>
    <row r="718" hidden="1" ht="16.5" customHeight="1">
      <c r="A718">
        <f>IF(COUNTA('05_KAIS'!$A706:$N706)=0,"",691)</f>
        <v/>
      </c>
      <c r="B718">
        <f>IF($A718="","",TRIM(INDEX('05_KAIS'!$B:$B,$A718)&amp;" "&amp;INDEX('05_KAIS'!$C:$C,$A718)))</f>
        <v/>
      </c>
      <c r="C718">
        <f>IF($A718="","",INDEX('05_KAIS'!$D:$D,$A718))</f>
        <v/>
      </c>
      <c r="D718">
        <f>IF($A718="","",INDEX('05_KAIS'!$H:$H,$A718))</f>
        <v/>
      </c>
      <c r="E718">
        <f>IF($A718="","",INDEX('05_KAIS'!$K:$K,$A718))</f>
        <v/>
      </c>
      <c r="F718" s="202">
        <f>IF($A718="","",INDEX('05_KAIS'!$I:$I,$A718))</f>
        <v/>
      </c>
      <c r="G718" s="118">
        <f>IF($A718="","",INDEX('05_KAIS'!$L:$L,$A718))</f>
        <v/>
      </c>
      <c r="H718" s="118">
        <f>IF($A718="","",IFERROR(INDEX('05_KAIS'!$M:$M,$A718),IF(AND(E718&gt;0,G718&gt;0),G718/E718,"")))</f>
        <v/>
      </c>
      <c r="I718" s="202">
        <f>IF($A718="","",INDEX('05_KAIS'!$N:$N,$A718))</f>
        <v/>
      </c>
      <c r="J718">
        <f>IF(B718="","",IF('02_대상물건입력'!$B$5="",1,IF(ISNUMBER(SEARCH('02_대상물건입력'!$B$5,B718)),1,0)))</f>
        <v/>
      </c>
      <c r="K718">
        <f>IF(B718="","",IF('02_대상물건입력'!$B$6="",1,IF(ISNUMBER(SEARCH('02_대상물건입력'!$B$6,B718)),1,0)))</f>
        <v/>
      </c>
      <c r="L718">
        <f>IF(D718="","",IF('02_대상물건입력'!$B$8="",0,IF(ISNUMBER(SEARCH('02_대상물건입력'!$B$8,D718)),1,0)))</f>
        <v/>
      </c>
      <c r="M718">
        <f>IFERROR(ABS(E718-'02_대상물건입력'!$B$11)/'02_대상물건입력'!$B$11,"")</f>
        <v/>
      </c>
      <c r="N718">
        <f>IFERROR(ABS('01_설정'!$B$4-F718),"")</f>
        <v/>
      </c>
      <c r="O718">
        <f>IFERROR(ABS(YEAR(I718)-YEAR('02_대상물건입력'!$B$14)),"")</f>
        <v/>
      </c>
      <c r="P718">
        <f>IF(AND(E718&gt;0,F718&gt;0,G718&gt;0,IF('01_설정'!$B$10=1,J718=1,TRUE()),M718&lt;='01_설정'!$B$5,N718&lt;='01_설정'!$B$7,O718&lt;='01_설정'!$B$8),"Y","")</f>
        <v/>
      </c>
      <c r="Q718">
        <f>IF(P718&lt;&gt;"Y","",MAX(0,(1-M718/'01_설정'!$B$5))*'01_설정'!$B$14+MAX(0,(1-N718/'01_설정'!$B$7))*'01_설정'!$B$16+MAX(0,(1-O718/'01_설정'!$B$8))*'01_설정'!$B$17+K718*'01_설정'!$B$11+L718*'01_설정'!$B$12)</f>
        <v/>
      </c>
      <c r="R718">
        <f>IF(Q718="","",1+COUNTIFS($Q$31:$Q$1030,"&gt;"&amp;Q718)+COUNTIFS($Q$31:Q718,Q718)-1)</f>
        <v/>
      </c>
    </row>
    <row r="719" hidden="1" ht="16.5" customHeight="1">
      <c r="A719">
        <f>IF(COUNTA('05_KAIS'!$A707:$N707)=0,"",692)</f>
        <v/>
      </c>
      <c r="B719">
        <f>IF($A719="","",TRIM(INDEX('05_KAIS'!$B:$B,$A719)&amp;" "&amp;INDEX('05_KAIS'!$C:$C,$A719)))</f>
        <v/>
      </c>
      <c r="C719">
        <f>IF($A719="","",INDEX('05_KAIS'!$D:$D,$A719))</f>
        <v/>
      </c>
      <c r="D719">
        <f>IF($A719="","",INDEX('05_KAIS'!$H:$H,$A719))</f>
        <v/>
      </c>
      <c r="E719">
        <f>IF($A719="","",INDEX('05_KAIS'!$K:$K,$A719))</f>
        <v/>
      </c>
      <c r="F719" s="202">
        <f>IF($A719="","",INDEX('05_KAIS'!$I:$I,$A719))</f>
        <v/>
      </c>
      <c r="G719" s="118">
        <f>IF($A719="","",INDEX('05_KAIS'!$L:$L,$A719))</f>
        <v/>
      </c>
      <c r="H719" s="118">
        <f>IF($A719="","",IFERROR(INDEX('05_KAIS'!$M:$M,$A719),IF(AND(E719&gt;0,G719&gt;0),G719/E719,"")))</f>
        <v/>
      </c>
      <c r="I719" s="202">
        <f>IF($A719="","",INDEX('05_KAIS'!$N:$N,$A719))</f>
        <v/>
      </c>
      <c r="J719">
        <f>IF(B719="","",IF('02_대상물건입력'!$B$5="",1,IF(ISNUMBER(SEARCH('02_대상물건입력'!$B$5,B719)),1,0)))</f>
        <v/>
      </c>
      <c r="K719">
        <f>IF(B719="","",IF('02_대상물건입력'!$B$6="",1,IF(ISNUMBER(SEARCH('02_대상물건입력'!$B$6,B719)),1,0)))</f>
        <v/>
      </c>
      <c r="L719">
        <f>IF(D719="","",IF('02_대상물건입력'!$B$8="",0,IF(ISNUMBER(SEARCH('02_대상물건입력'!$B$8,D719)),1,0)))</f>
        <v/>
      </c>
      <c r="M719">
        <f>IFERROR(ABS(E719-'02_대상물건입력'!$B$11)/'02_대상물건입력'!$B$11,"")</f>
        <v/>
      </c>
      <c r="N719">
        <f>IFERROR(ABS('01_설정'!$B$4-F719),"")</f>
        <v/>
      </c>
      <c r="O719">
        <f>IFERROR(ABS(YEAR(I719)-YEAR('02_대상물건입력'!$B$14)),"")</f>
        <v/>
      </c>
      <c r="P719">
        <f>IF(AND(E719&gt;0,F719&gt;0,G719&gt;0,IF('01_설정'!$B$10=1,J719=1,TRUE()),M719&lt;='01_설정'!$B$5,N719&lt;='01_설정'!$B$7,O719&lt;='01_설정'!$B$8),"Y","")</f>
        <v/>
      </c>
      <c r="Q719">
        <f>IF(P719&lt;&gt;"Y","",MAX(0,(1-M719/'01_설정'!$B$5))*'01_설정'!$B$14+MAX(0,(1-N719/'01_설정'!$B$7))*'01_설정'!$B$16+MAX(0,(1-O719/'01_설정'!$B$8))*'01_설정'!$B$17+K719*'01_설정'!$B$11+L719*'01_설정'!$B$12)</f>
        <v/>
      </c>
      <c r="R719">
        <f>IF(Q719="","",1+COUNTIFS($Q$31:$Q$1030,"&gt;"&amp;Q719)+COUNTIFS($Q$31:Q719,Q719)-1)</f>
        <v/>
      </c>
    </row>
    <row r="720" hidden="1" ht="16.5" customHeight="1">
      <c r="A720">
        <f>IF(COUNTA('05_KAIS'!$A708:$N708)=0,"",693)</f>
        <v/>
      </c>
      <c r="B720">
        <f>IF($A720="","",TRIM(INDEX('05_KAIS'!$B:$B,$A720)&amp;" "&amp;INDEX('05_KAIS'!$C:$C,$A720)))</f>
        <v/>
      </c>
      <c r="C720">
        <f>IF($A720="","",INDEX('05_KAIS'!$D:$D,$A720))</f>
        <v/>
      </c>
      <c r="D720">
        <f>IF($A720="","",INDEX('05_KAIS'!$H:$H,$A720))</f>
        <v/>
      </c>
      <c r="E720">
        <f>IF($A720="","",INDEX('05_KAIS'!$K:$K,$A720))</f>
        <v/>
      </c>
      <c r="F720" s="202">
        <f>IF($A720="","",INDEX('05_KAIS'!$I:$I,$A720))</f>
        <v/>
      </c>
      <c r="G720" s="118">
        <f>IF($A720="","",INDEX('05_KAIS'!$L:$L,$A720))</f>
        <v/>
      </c>
      <c r="H720" s="118">
        <f>IF($A720="","",IFERROR(INDEX('05_KAIS'!$M:$M,$A720),IF(AND(E720&gt;0,G720&gt;0),G720/E720,"")))</f>
        <v/>
      </c>
      <c r="I720" s="202">
        <f>IF($A720="","",INDEX('05_KAIS'!$N:$N,$A720))</f>
        <v/>
      </c>
      <c r="J720">
        <f>IF(B720="","",IF('02_대상물건입력'!$B$5="",1,IF(ISNUMBER(SEARCH('02_대상물건입력'!$B$5,B720)),1,0)))</f>
        <v/>
      </c>
      <c r="K720">
        <f>IF(B720="","",IF('02_대상물건입력'!$B$6="",1,IF(ISNUMBER(SEARCH('02_대상물건입력'!$B$6,B720)),1,0)))</f>
        <v/>
      </c>
      <c r="L720">
        <f>IF(D720="","",IF('02_대상물건입력'!$B$8="",0,IF(ISNUMBER(SEARCH('02_대상물건입력'!$B$8,D720)),1,0)))</f>
        <v/>
      </c>
      <c r="M720">
        <f>IFERROR(ABS(E720-'02_대상물건입력'!$B$11)/'02_대상물건입력'!$B$11,"")</f>
        <v/>
      </c>
      <c r="N720">
        <f>IFERROR(ABS('01_설정'!$B$4-F720),"")</f>
        <v/>
      </c>
      <c r="O720">
        <f>IFERROR(ABS(YEAR(I720)-YEAR('02_대상물건입력'!$B$14)),"")</f>
        <v/>
      </c>
      <c r="P720">
        <f>IF(AND(E720&gt;0,F720&gt;0,G720&gt;0,IF('01_설정'!$B$10=1,J720=1,TRUE()),M720&lt;='01_설정'!$B$5,N720&lt;='01_설정'!$B$7,O720&lt;='01_설정'!$B$8),"Y","")</f>
        <v/>
      </c>
      <c r="Q720">
        <f>IF(P720&lt;&gt;"Y","",MAX(0,(1-M720/'01_설정'!$B$5))*'01_설정'!$B$14+MAX(0,(1-N720/'01_설정'!$B$7))*'01_설정'!$B$16+MAX(0,(1-O720/'01_설정'!$B$8))*'01_설정'!$B$17+K720*'01_설정'!$B$11+L720*'01_설정'!$B$12)</f>
        <v/>
      </c>
      <c r="R720">
        <f>IF(Q720="","",1+COUNTIFS($Q$31:$Q$1030,"&gt;"&amp;Q720)+COUNTIFS($Q$31:Q720,Q720)-1)</f>
        <v/>
      </c>
    </row>
    <row r="721" hidden="1" ht="16.5" customHeight="1">
      <c r="A721">
        <f>IF(COUNTA('05_KAIS'!$A709:$N709)=0,"",694)</f>
        <v/>
      </c>
      <c r="B721">
        <f>IF($A721="","",TRIM(INDEX('05_KAIS'!$B:$B,$A721)&amp;" "&amp;INDEX('05_KAIS'!$C:$C,$A721)))</f>
        <v/>
      </c>
      <c r="C721">
        <f>IF($A721="","",INDEX('05_KAIS'!$D:$D,$A721))</f>
        <v/>
      </c>
      <c r="D721">
        <f>IF($A721="","",INDEX('05_KAIS'!$H:$H,$A721))</f>
        <v/>
      </c>
      <c r="E721">
        <f>IF($A721="","",INDEX('05_KAIS'!$K:$K,$A721))</f>
        <v/>
      </c>
      <c r="F721" s="202">
        <f>IF($A721="","",INDEX('05_KAIS'!$I:$I,$A721))</f>
        <v/>
      </c>
      <c r="G721" s="118">
        <f>IF($A721="","",INDEX('05_KAIS'!$L:$L,$A721))</f>
        <v/>
      </c>
      <c r="H721" s="118">
        <f>IF($A721="","",IFERROR(INDEX('05_KAIS'!$M:$M,$A721),IF(AND(E721&gt;0,G721&gt;0),G721/E721,"")))</f>
        <v/>
      </c>
      <c r="I721" s="202">
        <f>IF($A721="","",INDEX('05_KAIS'!$N:$N,$A721))</f>
        <v/>
      </c>
      <c r="J721">
        <f>IF(B721="","",IF('02_대상물건입력'!$B$5="",1,IF(ISNUMBER(SEARCH('02_대상물건입력'!$B$5,B721)),1,0)))</f>
        <v/>
      </c>
      <c r="K721">
        <f>IF(B721="","",IF('02_대상물건입력'!$B$6="",1,IF(ISNUMBER(SEARCH('02_대상물건입력'!$B$6,B721)),1,0)))</f>
        <v/>
      </c>
      <c r="L721">
        <f>IF(D721="","",IF('02_대상물건입력'!$B$8="",0,IF(ISNUMBER(SEARCH('02_대상물건입력'!$B$8,D721)),1,0)))</f>
        <v/>
      </c>
      <c r="M721">
        <f>IFERROR(ABS(E721-'02_대상물건입력'!$B$11)/'02_대상물건입력'!$B$11,"")</f>
        <v/>
      </c>
      <c r="N721">
        <f>IFERROR(ABS('01_설정'!$B$4-F721),"")</f>
        <v/>
      </c>
      <c r="O721">
        <f>IFERROR(ABS(YEAR(I721)-YEAR('02_대상물건입력'!$B$14)),"")</f>
        <v/>
      </c>
      <c r="P721">
        <f>IF(AND(E721&gt;0,F721&gt;0,G721&gt;0,IF('01_설정'!$B$10=1,J721=1,TRUE()),M721&lt;='01_설정'!$B$5,N721&lt;='01_설정'!$B$7,O721&lt;='01_설정'!$B$8),"Y","")</f>
        <v/>
      </c>
      <c r="Q721">
        <f>IF(P721&lt;&gt;"Y","",MAX(0,(1-M721/'01_설정'!$B$5))*'01_설정'!$B$14+MAX(0,(1-N721/'01_설정'!$B$7))*'01_설정'!$B$16+MAX(0,(1-O721/'01_설정'!$B$8))*'01_설정'!$B$17+K721*'01_설정'!$B$11+L721*'01_설정'!$B$12)</f>
        <v/>
      </c>
      <c r="R721">
        <f>IF(Q721="","",1+COUNTIFS($Q$31:$Q$1030,"&gt;"&amp;Q721)+COUNTIFS($Q$31:Q721,Q721)-1)</f>
        <v/>
      </c>
    </row>
    <row r="722" hidden="1" ht="16.5" customHeight="1">
      <c r="A722">
        <f>IF(COUNTA('05_KAIS'!$A710:$N710)=0,"",695)</f>
        <v/>
      </c>
      <c r="B722">
        <f>IF($A722="","",TRIM(INDEX('05_KAIS'!$B:$B,$A722)&amp;" "&amp;INDEX('05_KAIS'!$C:$C,$A722)))</f>
        <v/>
      </c>
      <c r="C722">
        <f>IF($A722="","",INDEX('05_KAIS'!$D:$D,$A722))</f>
        <v/>
      </c>
      <c r="D722">
        <f>IF($A722="","",INDEX('05_KAIS'!$H:$H,$A722))</f>
        <v/>
      </c>
      <c r="E722">
        <f>IF($A722="","",INDEX('05_KAIS'!$K:$K,$A722))</f>
        <v/>
      </c>
      <c r="F722" s="202">
        <f>IF($A722="","",INDEX('05_KAIS'!$I:$I,$A722))</f>
        <v/>
      </c>
      <c r="G722" s="118">
        <f>IF($A722="","",INDEX('05_KAIS'!$L:$L,$A722))</f>
        <v/>
      </c>
      <c r="H722" s="118">
        <f>IF($A722="","",IFERROR(INDEX('05_KAIS'!$M:$M,$A722),IF(AND(E722&gt;0,G722&gt;0),G722/E722,"")))</f>
        <v/>
      </c>
      <c r="I722" s="202">
        <f>IF($A722="","",INDEX('05_KAIS'!$N:$N,$A722))</f>
        <v/>
      </c>
      <c r="J722">
        <f>IF(B722="","",IF('02_대상물건입력'!$B$5="",1,IF(ISNUMBER(SEARCH('02_대상물건입력'!$B$5,B722)),1,0)))</f>
        <v/>
      </c>
      <c r="K722">
        <f>IF(B722="","",IF('02_대상물건입력'!$B$6="",1,IF(ISNUMBER(SEARCH('02_대상물건입력'!$B$6,B722)),1,0)))</f>
        <v/>
      </c>
      <c r="L722">
        <f>IF(D722="","",IF('02_대상물건입력'!$B$8="",0,IF(ISNUMBER(SEARCH('02_대상물건입력'!$B$8,D722)),1,0)))</f>
        <v/>
      </c>
      <c r="M722">
        <f>IFERROR(ABS(E722-'02_대상물건입력'!$B$11)/'02_대상물건입력'!$B$11,"")</f>
        <v/>
      </c>
      <c r="N722">
        <f>IFERROR(ABS('01_설정'!$B$4-F722),"")</f>
        <v/>
      </c>
      <c r="O722">
        <f>IFERROR(ABS(YEAR(I722)-YEAR('02_대상물건입력'!$B$14)),"")</f>
        <v/>
      </c>
      <c r="P722">
        <f>IF(AND(E722&gt;0,F722&gt;0,G722&gt;0,IF('01_설정'!$B$10=1,J722=1,TRUE()),M722&lt;='01_설정'!$B$5,N722&lt;='01_설정'!$B$7,O722&lt;='01_설정'!$B$8),"Y","")</f>
        <v/>
      </c>
      <c r="Q722">
        <f>IF(P722&lt;&gt;"Y","",MAX(0,(1-M722/'01_설정'!$B$5))*'01_설정'!$B$14+MAX(0,(1-N722/'01_설정'!$B$7))*'01_설정'!$B$16+MAX(0,(1-O722/'01_설정'!$B$8))*'01_설정'!$B$17+K722*'01_설정'!$B$11+L722*'01_설정'!$B$12)</f>
        <v/>
      </c>
      <c r="R722">
        <f>IF(Q722="","",1+COUNTIFS($Q$31:$Q$1030,"&gt;"&amp;Q722)+COUNTIFS($Q$31:Q722,Q722)-1)</f>
        <v/>
      </c>
    </row>
    <row r="723" hidden="1" ht="16.5" customHeight="1">
      <c r="A723">
        <f>IF(COUNTA('05_KAIS'!$A711:$N711)=0,"",696)</f>
        <v/>
      </c>
      <c r="B723">
        <f>IF($A723="","",TRIM(INDEX('05_KAIS'!$B:$B,$A723)&amp;" "&amp;INDEX('05_KAIS'!$C:$C,$A723)))</f>
        <v/>
      </c>
      <c r="C723">
        <f>IF($A723="","",INDEX('05_KAIS'!$D:$D,$A723))</f>
        <v/>
      </c>
      <c r="D723">
        <f>IF($A723="","",INDEX('05_KAIS'!$H:$H,$A723))</f>
        <v/>
      </c>
      <c r="E723">
        <f>IF($A723="","",INDEX('05_KAIS'!$K:$K,$A723))</f>
        <v/>
      </c>
      <c r="F723" s="202">
        <f>IF($A723="","",INDEX('05_KAIS'!$I:$I,$A723))</f>
        <v/>
      </c>
      <c r="G723" s="118">
        <f>IF($A723="","",INDEX('05_KAIS'!$L:$L,$A723))</f>
        <v/>
      </c>
      <c r="H723" s="118">
        <f>IF($A723="","",IFERROR(INDEX('05_KAIS'!$M:$M,$A723),IF(AND(E723&gt;0,G723&gt;0),G723/E723,"")))</f>
        <v/>
      </c>
      <c r="I723" s="202">
        <f>IF($A723="","",INDEX('05_KAIS'!$N:$N,$A723))</f>
        <v/>
      </c>
      <c r="J723">
        <f>IF(B723="","",IF('02_대상물건입력'!$B$5="",1,IF(ISNUMBER(SEARCH('02_대상물건입력'!$B$5,B723)),1,0)))</f>
        <v/>
      </c>
      <c r="K723">
        <f>IF(B723="","",IF('02_대상물건입력'!$B$6="",1,IF(ISNUMBER(SEARCH('02_대상물건입력'!$B$6,B723)),1,0)))</f>
        <v/>
      </c>
      <c r="L723">
        <f>IF(D723="","",IF('02_대상물건입력'!$B$8="",0,IF(ISNUMBER(SEARCH('02_대상물건입력'!$B$8,D723)),1,0)))</f>
        <v/>
      </c>
      <c r="M723">
        <f>IFERROR(ABS(E723-'02_대상물건입력'!$B$11)/'02_대상물건입력'!$B$11,"")</f>
        <v/>
      </c>
      <c r="N723">
        <f>IFERROR(ABS('01_설정'!$B$4-F723),"")</f>
        <v/>
      </c>
      <c r="O723">
        <f>IFERROR(ABS(YEAR(I723)-YEAR('02_대상물건입력'!$B$14)),"")</f>
        <v/>
      </c>
      <c r="P723">
        <f>IF(AND(E723&gt;0,F723&gt;0,G723&gt;0,IF('01_설정'!$B$10=1,J723=1,TRUE()),M723&lt;='01_설정'!$B$5,N723&lt;='01_설정'!$B$7,O723&lt;='01_설정'!$B$8),"Y","")</f>
        <v/>
      </c>
      <c r="Q723">
        <f>IF(P723&lt;&gt;"Y","",MAX(0,(1-M723/'01_설정'!$B$5))*'01_설정'!$B$14+MAX(0,(1-N723/'01_설정'!$B$7))*'01_설정'!$B$16+MAX(0,(1-O723/'01_설정'!$B$8))*'01_설정'!$B$17+K723*'01_설정'!$B$11+L723*'01_설정'!$B$12)</f>
        <v/>
      </c>
      <c r="R723">
        <f>IF(Q723="","",1+COUNTIFS($Q$31:$Q$1030,"&gt;"&amp;Q723)+COUNTIFS($Q$31:Q723,Q723)-1)</f>
        <v/>
      </c>
    </row>
    <row r="724" hidden="1" ht="16.5" customHeight="1">
      <c r="A724">
        <f>IF(COUNTA('05_KAIS'!$A712:$N712)=0,"",697)</f>
        <v/>
      </c>
      <c r="B724">
        <f>IF($A724="","",TRIM(INDEX('05_KAIS'!$B:$B,$A724)&amp;" "&amp;INDEX('05_KAIS'!$C:$C,$A724)))</f>
        <v/>
      </c>
      <c r="C724">
        <f>IF($A724="","",INDEX('05_KAIS'!$D:$D,$A724))</f>
        <v/>
      </c>
      <c r="D724">
        <f>IF($A724="","",INDEX('05_KAIS'!$H:$H,$A724))</f>
        <v/>
      </c>
      <c r="E724">
        <f>IF($A724="","",INDEX('05_KAIS'!$K:$K,$A724))</f>
        <v/>
      </c>
      <c r="F724" s="202">
        <f>IF($A724="","",INDEX('05_KAIS'!$I:$I,$A724))</f>
        <v/>
      </c>
      <c r="G724" s="118">
        <f>IF($A724="","",INDEX('05_KAIS'!$L:$L,$A724))</f>
        <v/>
      </c>
      <c r="H724" s="118">
        <f>IF($A724="","",IFERROR(INDEX('05_KAIS'!$M:$M,$A724),IF(AND(E724&gt;0,G724&gt;0),G724/E724,"")))</f>
        <v/>
      </c>
      <c r="I724" s="202">
        <f>IF($A724="","",INDEX('05_KAIS'!$N:$N,$A724))</f>
        <v/>
      </c>
      <c r="J724">
        <f>IF(B724="","",IF('02_대상물건입력'!$B$5="",1,IF(ISNUMBER(SEARCH('02_대상물건입력'!$B$5,B724)),1,0)))</f>
        <v/>
      </c>
      <c r="K724">
        <f>IF(B724="","",IF('02_대상물건입력'!$B$6="",1,IF(ISNUMBER(SEARCH('02_대상물건입력'!$B$6,B724)),1,0)))</f>
        <v/>
      </c>
      <c r="L724">
        <f>IF(D724="","",IF('02_대상물건입력'!$B$8="",0,IF(ISNUMBER(SEARCH('02_대상물건입력'!$B$8,D724)),1,0)))</f>
        <v/>
      </c>
      <c r="M724">
        <f>IFERROR(ABS(E724-'02_대상물건입력'!$B$11)/'02_대상물건입력'!$B$11,"")</f>
        <v/>
      </c>
      <c r="N724">
        <f>IFERROR(ABS('01_설정'!$B$4-F724),"")</f>
        <v/>
      </c>
      <c r="O724">
        <f>IFERROR(ABS(YEAR(I724)-YEAR('02_대상물건입력'!$B$14)),"")</f>
        <v/>
      </c>
      <c r="P724">
        <f>IF(AND(E724&gt;0,F724&gt;0,G724&gt;0,IF('01_설정'!$B$10=1,J724=1,TRUE()),M724&lt;='01_설정'!$B$5,N724&lt;='01_설정'!$B$7,O724&lt;='01_설정'!$B$8),"Y","")</f>
        <v/>
      </c>
      <c r="Q724">
        <f>IF(P724&lt;&gt;"Y","",MAX(0,(1-M724/'01_설정'!$B$5))*'01_설정'!$B$14+MAX(0,(1-N724/'01_설정'!$B$7))*'01_설정'!$B$16+MAX(0,(1-O724/'01_설정'!$B$8))*'01_설정'!$B$17+K724*'01_설정'!$B$11+L724*'01_설정'!$B$12)</f>
        <v/>
      </c>
      <c r="R724">
        <f>IF(Q724="","",1+COUNTIFS($Q$31:$Q$1030,"&gt;"&amp;Q724)+COUNTIFS($Q$31:Q724,Q724)-1)</f>
        <v/>
      </c>
    </row>
    <row r="725" hidden="1" ht="16.5" customHeight="1">
      <c r="A725">
        <f>IF(COUNTA('05_KAIS'!$A713:$N713)=0,"",698)</f>
        <v/>
      </c>
      <c r="B725">
        <f>IF($A725="","",TRIM(INDEX('05_KAIS'!$B:$B,$A725)&amp;" "&amp;INDEX('05_KAIS'!$C:$C,$A725)))</f>
        <v/>
      </c>
      <c r="C725">
        <f>IF($A725="","",INDEX('05_KAIS'!$D:$D,$A725))</f>
        <v/>
      </c>
      <c r="D725">
        <f>IF($A725="","",INDEX('05_KAIS'!$H:$H,$A725))</f>
        <v/>
      </c>
      <c r="E725">
        <f>IF($A725="","",INDEX('05_KAIS'!$K:$K,$A725))</f>
        <v/>
      </c>
      <c r="F725" s="202">
        <f>IF($A725="","",INDEX('05_KAIS'!$I:$I,$A725))</f>
        <v/>
      </c>
      <c r="G725" s="118">
        <f>IF($A725="","",INDEX('05_KAIS'!$L:$L,$A725))</f>
        <v/>
      </c>
      <c r="H725" s="118">
        <f>IF($A725="","",IFERROR(INDEX('05_KAIS'!$M:$M,$A725),IF(AND(E725&gt;0,G725&gt;0),G725/E725,"")))</f>
        <v/>
      </c>
      <c r="I725" s="202">
        <f>IF($A725="","",INDEX('05_KAIS'!$N:$N,$A725))</f>
        <v/>
      </c>
      <c r="J725">
        <f>IF(B725="","",IF('02_대상물건입력'!$B$5="",1,IF(ISNUMBER(SEARCH('02_대상물건입력'!$B$5,B725)),1,0)))</f>
        <v/>
      </c>
      <c r="K725">
        <f>IF(B725="","",IF('02_대상물건입력'!$B$6="",1,IF(ISNUMBER(SEARCH('02_대상물건입력'!$B$6,B725)),1,0)))</f>
        <v/>
      </c>
      <c r="L725">
        <f>IF(D725="","",IF('02_대상물건입력'!$B$8="",0,IF(ISNUMBER(SEARCH('02_대상물건입력'!$B$8,D725)),1,0)))</f>
        <v/>
      </c>
      <c r="M725">
        <f>IFERROR(ABS(E725-'02_대상물건입력'!$B$11)/'02_대상물건입력'!$B$11,"")</f>
        <v/>
      </c>
      <c r="N725">
        <f>IFERROR(ABS('01_설정'!$B$4-F725),"")</f>
        <v/>
      </c>
      <c r="O725">
        <f>IFERROR(ABS(YEAR(I725)-YEAR('02_대상물건입력'!$B$14)),"")</f>
        <v/>
      </c>
      <c r="P725">
        <f>IF(AND(E725&gt;0,F725&gt;0,G725&gt;0,IF('01_설정'!$B$10=1,J725=1,TRUE()),M725&lt;='01_설정'!$B$5,N725&lt;='01_설정'!$B$7,O725&lt;='01_설정'!$B$8),"Y","")</f>
        <v/>
      </c>
      <c r="Q725">
        <f>IF(P725&lt;&gt;"Y","",MAX(0,(1-M725/'01_설정'!$B$5))*'01_설정'!$B$14+MAX(0,(1-N725/'01_설정'!$B$7))*'01_설정'!$B$16+MAX(0,(1-O725/'01_설정'!$B$8))*'01_설정'!$B$17+K725*'01_설정'!$B$11+L725*'01_설정'!$B$12)</f>
        <v/>
      </c>
      <c r="R725">
        <f>IF(Q725="","",1+COUNTIFS($Q$31:$Q$1030,"&gt;"&amp;Q725)+COUNTIFS($Q$31:Q725,Q725)-1)</f>
        <v/>
      </c>
    </row>
    <row r="726" hidden="1" ht="16.5" customHeight="1">
      <c r="A726">
        <f>IF(COUNTA('05_KAIS'!$A714:$N714)=0,"",699)</f>
        <v/>
      </c>
      <c r="B726">
        <f>IF($A726="","",TRIM(INDEX('05_KAIS'!$B:$B,$A726)&amp;" "&amp;INDEX('05_KAIS'!$C:$C,$A726)))</f>
        <v/>
      </c>
      <c r="C726">
        <f>IF($A726="","",INDEX('05_KAIS'!$D:$D,$A726))</f>
        <v/>
      </c>
      <c r="D726">
        <f>IF($A726="","",INDEX('05_KAIS'!$H:$H,$A726))</f>
        <v/>
      </c>
      <c r="E726">
        <f>IF($A726="","",INDEX('05_KAIS'!$K:$K,$A726))</f>
        <v/>
      </c>
      <c r="F726" s="202">
        <f>IF($A726="","",INDEX('05_KAIS'!$I:$I,$A726))</f>
        <v/>
      </c>
      <c r="G726" s="118">
        <f>IF($A726="","",INDEX('05_KAIS'!$L:$L,$A726))</f>
        <v/>
      </c>
      <c r="H726" s="118">
        <f>IF($A726="","",IFERROR(INDEX('05_KAIS'!$M:$M,$A726),IF(AND(E726&gt;0,G726&gt;0),G726/E726,"")))</f>
        <v/>
      </c>
      <c r="I726" s="202">
        <f>IF($A726="","",INDEX('05_KAIS'!$N:$N,$A726))</f>
        <v/>
      </c>
      <c r="J726">
        <f>IF(B726="","",IF('02_대상물건입력'!$B$5="",1,IF(ISNUMBER(SEARCH('02_대상물건입력'!$B$5,B726)),1,0)))</f>
        <v/>
      </c>
      <c r="K726">
        <f>IF(B726="","",IF('02_대상물건입력'!$B$6="",1,IF(ISNUMBER(SEARCH('02_대상물건입력'!$B$6,B726)),1,0)))</f>
        <v/>
      </c>
      <c r="L726">
        <f>IF(D726="","",IF('02_대상물건입력'!$B$8="",0,IF(ISNUMBER(SEARCH('02_대상물건입력'!$B$8,D726)),1,0)))</f>
        <v/>
      </c>
      <c r="M726">
        <f>IFERROR(ABS(E726-'02_대상물건입력'!$B$11)/'02_대상물건입력'!$B$11,"")</f>
        <v/>
      </c>
      <c r="N726">
        <f>IFERROR(ABS('01_설정'!$B$4-F726),"")</f>
        <v/>
      </c>
      <c r="O726">
        <f>IFERROR(ABS(YEAR(I726)-YEAR('02_대상물건입력'!$B$14)),"")</f>
        <v/>
      </c>
      <c r="P726">
        <f>IF(AND(E726&gt;0,F726&gt;0,G726&gt;0,IF('01_설정'!$B$10=1,J726=1,TRUE()),M726&lt;='01_설정'!$B$5,N726&lt;='01_설정'!$B$7,O726&lt;='01_설정'!$B$8),"Y","")</f>
        <v/>
      </c>
      <c r="Q726">
        <f>IF(P726&lt;&gt;"Y","",MAX(0,(1-M726/'01_설정'!$B$5))*'01_설정'!$B$14+MAX(0,(1-N726/'01_설정'!$B$7))*'01_설정'!$B$16+MAX(0,(1-O726/'01_설정'!$B$8))*'01_설정'!$B$17+K726*'01_설정'!$B$11+L726*'01_설정'!$B$12)</f>
        <v/>
      </c>
      <c r="R726">
        <f>IF(Q726="","",1+COUNTIFS($Q$31:$Q$1030,"&gt;"&amp;Q726)+COUNTIFS($Q$31:Q726,Q726)-1)</f>
        <v/>
      </c>
    </row>
    <row r="727" hidden="1" ht="16.5" customHeight="1">
      <c r="A727">
        <f>IF(COUNTA('05_KAIS'!$A715:$N715)=0,"",700)</f>
        <v/>
      </c>
      <c r="B727">
        <f>IF($A727="","",TRIM(INDEX('05_KAIS'!$B:$B,$A727)&amp;" "&amp;INDEX('05_KAIS'!$C:$C,$A727)))</f>
        <v/>
      </c>
      <c r="C727">
        <f>IF($A727="","",INDEX('05_KAIS'!$D:$D,$A727))</f>
        <v/>
      </c>
      <c r="D727">
        <f>IF($A727="","",INDEX('05_KAIS'!$H:$H,$A727))</f>
        <v/>
      </c>
      <c r="E727">
        <f>IF($A727="","",INDEX('05_KAIS'!$K:$K,$A727))</f>
        <v/>
      </c>
      <c r="F727" s="202">
        <f>IF($A727="","",INDEX('05_KAIS'!$I:$I,$A727))</f>
        <v/>
      </c>
      <c r="G727" s="118">
        <f>IF($A727="","",INDEX('05_KAIS'!$L:$L,$A727))</f>
        <v/>
      </c>
      <c r="H727" s="118">
        <f>IF($A727="","",IFERROR(INDEX('05_KAIS'!$M:$M,$A727),IF(AND(E727&gt;0,G727&gt;0),G727/E727,"")))</f>
        <v/>
      </c>
      <c r="I727" s="202">
        <f>IF($A727="","",INDEX('05_KAIS'!$N:$N,$A727))</f>
        <v/>
      </c>
      <c r="J727">
        <f>IF(B727="","",IF('02_대상물건입력'!$B$5="",1,IF(ISNUMBER(SEARCH('02_대상물건입력'!$B$5,B727)),1,0)))</f>
        <v/>
      </c>
      <c r="K727">
        <f>IF(B727="","",IF('02_대상물건입력'!$B$6="",1,IF(ISNUMBER(SEARCH('02_대상물건입력'!$B$6,B727)),1,0)))</f>
        <v/>
      </c>
      <c r="L727">
        <f>IF(D727="","",IF('02_대상물건입력'!$B$8="",0,IF(ISNUMBER(SEARCH('02_대상물건입력'!$B$8,D727)),1,0)))</f>
        <v/>
      </c>
      <c r="M727">
        <f>IFERROR(ABS(E727-'02_대상물건입력'!$B$11)/'02_대상물건입력'!$B$11,"")</f>
        <v/>
      </c>
      <c r="N727">
        <f>IFERROR(ABS('01_설정'!$B$4-F727),"")</f>
        <v/>
      </c>
      <c r="O727">
        <f>IFERROR(ABS(YEAR(I727)-YEAR('02_대상물건입력'!$B$14)),"")</f>
        <v/>
      </c>
      <c r="P727">
        <f>IF(AND(E727&gt;0,F727&gt;0,G727&gt;0,IF('01_설정'!$B$10=1,J727=1,TRUE()),M727&lt;='01_설정'!$B$5,N727&lt;='01_설정'!$B$7,O727&lt;='01_설정'!$B$8),"Y","")</f>
        <v/>
      </c>
      <c r="Q727">
        <f>IF(P727&lt;&gt;"Y","",MAX(0,(1-M727/'01_설정'!$B$5))*'01_설정'!$B$14+MAX(0,(1-N727/'01_설정'!$B$7))*'01_설정'!$B$16+MAX(0,(1-O727/'01_설정'!$B$8))*'01_설정'!$B$17+K727*'01_설정'!$B$11+L727*'01_설정'!$B$12)</f>
        <v/>
      </c>
      <c r="R727">
        <f>IF(Q727="","",1+COUNTIFS($Q$31:$Q$1030,"&gt;"&amp;Q727)+COUNTIFS($Q$31:Q727,Q727)-1)</f>
        <v/>
      </c>
    </row>
    <row r="728" hidden="1" ht="16.5" customHeight="1">
      <c r="A728">
        <f>IF(COUNTA('05_KAIS'!$A716:$N716)=0,"",701)</f>
        <v/>
      </c>
      <c r="B728">
        <f>IF($A728="","",TRIM(INDEX('05_KAIS'!$B:$B,$A728)&amp;" "&amp;INDEX('05_KAIS'!$C:$C,$A728)))</f>
        <v/>
      </c>
      <c r="C728">
        <f>IF($A728="","",INDEX('05_KAIS'!$D:$D,$A728))</f>
        <v/>
      </c>
      <c r="D728">
        <f>IF($A728="","",INDEX('05_KAIS'!$H:$H,$A728))</f>
        <v/>
      </c>
      <c r="E728">
        <f>IF($A728="","",INDEX('05_KAIS'!$K:$K,$A728))</f>
        <v/>
      </c>
      <c r="F728" s="202">
        <f>IF($A728="","",INDEX('05_KAIS'!$I:$I,$A728))</f>
        <v/>
      </c>
      <c r="G728" s="118">
        <f>IF($A728="","",INDEX('05_KAIS'!$L:$L,$A728))</f>
        <v/>
      </c>
      <c r="H728" s="118">
        <f>IF($A728="","",IFERROR(INDEX('05_KAIS'!$M:$M,$A728),IF(AND(E728&gt;0,G728&gt;0),G728/E728,"")))</f>
        <v/>
      </c>
      <c r="I728" s="202">
        <f>IF($A728="","",INDEX('05_KAIS'!$N:$N,$A728))</f>
        <v/>
      </c>
      <c r="J728">
        <f>IF(B728="","",IF('02_대상물건입력'!$B$5="",1,IF(ISNUMBER(SEARCH('02_대상물건입력'!$B$5,B728)),1,0)))</f>
        <v/>
      </c>
      <c r="K728">
        <f>IF(B728="","",IF('02_대상물건입력'!$B$6="",1,IF(ISNUMBER(SEARCH('02_대상물건입력'!$B$6,B728)),1,0)))</f>
        <v/>
      </c>
      <c r="L728">
        <f>IF(D728="","",IF('02_대상물건입력'!$B$8="",0,IF(ISNUMBER(SEARCH('02_대상물건입력'!$B$8,D728)),1,0)))</f>
        <v/>
      </c>
      <c r="M728">
        <f>IFERROR(ABS(E728-'02_대상물건입력'!$B$11)/'02_대상물건입력'!$B$11,"")</f>
        <v/>
      </c>
      <c r="N728">
        <f>IFERROR(ABS('01_설정'!$B$4-F728),"")</f>
        <v/>
      </c>
      <c r="O728">
        <f>IFERROR(ABS(YEAR(I728)-YEAR('02_대상물건입력'!$B$14)),"")</f>
        <v/>
      </c>
      <c r="P728">
        <f>IF(AND(E728&gt;0,F728&gt;0,G728&gt;0,IF('01_설정'!$B$10=1,J728=1,TRUE()),M728&lt;='01_설정'!$B$5,N728&lt;='01_설정'!$B$7,O728&lt;='01_설정'!$B$8),"Y","")</f>
        <v/>
      </c>
      <c r="Q728">
        <f>IF(P728&lt;&gt;"Y","",MAX(0,(1-M728/'01_설정'!$B$5))*'01_설정'!$B$14+MAX(0,(1-N728/'01_설정'!$B$7))*'01_설정'!$B$16+MAX(0,(1-O728/'01_설정'!$B$8))*'01_설정'!$B$17+K728*'01_설정'!$B$11+L728*'01_설정'!$B$12)</f>
        <v/>
      </c>
      <c r="R728">
        <f>IF(Q728="","",1+COUNTIFS($Q$31:$Q$1030,"&gt;"&amp;Q728)+COUNTIFS($Q$31:Q728,Q728)-1)</f>
        <v/>
      </c>
    </row>
    <row r="729" hidden="1" ht="16.5" customHeight="1">
      <c r="A729">
        <f>IF(COUNTA('05_KAIS'!$A717:$N717)=0,"",702)</f>
        <v/>
      </c>
      <c r="B729">
        <f>IF($A729="","",TRIM(INDEX('05_KAIS'!$B:$B,$A729)&amp;" "&amp;INDEX('05_KAIS'!$C:$C,$A729)))</f>
        <v/>
      </c>
      <c r="C729">
        <f>IF($A729="","",INDEX('05_KAIS'!$D:$D,$A729))</f>
        <v/>
      </c>
      <c r="D729">
        <f>IF($A729="","",INDEX('05_KAIS'!$H:$H,$A729))</f>
        <v/>
      </c>
      <c r="E729">
        <f>IF($A729="","",INDEX('05_KAIS'!$K:$K,$A729))</f>
        <v/>
      </c>
      <c r="F729" s="202">
        <f>IF($A729="","",INDEX('05_KAIS'!$I:$I,$A729))</f>
        <v/>
      </c>
      <c r="G729" s="118">
        <f>IF($A729="","",INDEX('05_KAIS'!$L:$L,$A729))</f>
        <v/>
      </c>
      <c r="H729" s="118">
        <f>IF($A729="","",IFERROR(INDEX('05_KAIS'!$M:$M,$A729),IF(AND(E729&gt;0,G729&gt;0),G729/E729,"")))</f>
        <v/>
      </c>
      <c r="I729" s="202">
        <f>IF($A729="","",INDEX('05_KAIS'!$N:$N,$A729))</f>
        <v/>
      </c>
      <c r="J729">
        <f>IF(B729="","",IF('02_대상물건입력'!$B$5="",1,IF(ISNUMBER(SEARCH('02_대상물건입력'!$B$5,B729)),1,0)))</f>
        <v/>
      </c>
      <c r="K729">
        <f>IF(B729="","",IF('02_대상물건입력'!$B$6="",1,IF(ISNUMBER(SEARCH('02_대상물건입력'!$B$6,B729)),1,0)))</f>
        <v/>
      </c>
      <c r="L729">
        <f>IF(D729="","",IF('02_대상물건입력'!$B$8="",0,IF(ISNUMBER(SEARCH('02_대상물건입력'!$B$8,D729)),1,0)))</f>
        <v/>
      </c>
      <c r="M729">
        <f>IFERROR(ABS(E729-'02_대상물건입력'!$B$11)/'02_대상물건입력'!$B$11,"")</f>
        <v/>
      </c>
      <c r="N729">
        <f>IFERROR(ABS('01_설정'!$B$4-F729),"")</f>
        <v/>
      </c>
      <c r="O729">
        <f>IFERROR(ABS(YEAR(I729)-YEAR('02_대상물건입력'!$B$14)),"")</f>
        <v/>
      </c>
      <c r="P729">
        <f>IF(AND(E729&gt;0,F729&gt;0,G729&gt;0,IF('01_설정'!$B$10=1,J729=1,TRUE()),M729&lt;='01_설정'!$B$5,N729&lt;='01_설정'!$B$7,O729&lt;='01_설정'!$B$8),"Y","")</f>
        <v/>
      </c>
      <c r="Q729">
        <f>IF(P729&lt;&gt;"Y","",MAX(0,(1-M729/'01_설정'!$B$5))*'01_설정'!$B$14+MAX(0,(1-N729/'01_설정'!$B$7))*'01_설정'!$B$16+MAX(0,(1-O729/'01_설정'!$B$8))*'01_설정'!$B$17+K729*'01_설정'!$B$11+L729*'01_설정'!$B$12)</f>
        <v/>
      </c>
      <c r="R729">
        <f>IF(Q729="","",1+COUNTIFS($Q$31:$Q$1030,"&gt;"&amp;Q729)+COUNTIFS($Q$31:Q729,Q729)-1)</f>
        <v/>
      </c>
    </row>
    <row r="730" hidden="1" ht="16.5" customHeight="1">
      <c r="A730">
        <f>IF(COUNTA('05_KAIS'!$A718:$N718)=0,"",703)</f>
        <v/>
      </c>
      <c r="B730">
        <f>IF($A730="","",TRIM(INDEX('05_KAIS'!$B:$B,$A730)&amp;" "&amp;INDEX('05_KAIS'!$C:$C,$A730)))</f>
        <v/>
      </c>
      <c r="C730">
        <f>IF($A730="","",INDEX('05_KAIS'!$D:$D,$A730))</f>
        <v/>
      </c>
      <c r="D730">
        <f>IF($A730="","",INDEX('05_KAIS'!$H:$H,$A730))</f>
        <v/>
      </c>
      <c r="E730">
        <f>IF($A730="","",INDEX('05_KAIS'!$K:$K,$A730))</f>
        <v/>
      </c>
      <c r="F730" s="202">
        <f>IF($A730="","",INDEX('05_KAIS'!$I:$I,$A730))</f>
        <v/>
      </c>
      <c r="G730" s="118">
        <f>IF($A730="","",INDEX('05_KAIS'!$L:$L,$A730))</f>
        <v/>
      </c>
      <c r="H730" s="118">
        <f>IF($A730="","",IFERROR(INDEX('05_KAIS'!$M:$M,$A730),IF(AND(E730&gt;0,G730&gt;0),G730/E730,"")))</f>
        <v/>
      </c>
      <c r="I730" s="202">
        <f>IF($A730="","",INDEX('05_KAIS'!$N:$N,$A730))</f>
        <v/>
      </c>
      <c r="J730">
        <f>IF(B730="","",IF('02_대상물건입력'!$B$5="",1,IF(ISNUMBER(SEARCH('02_대상물건입력'!$B$5,B730)),1,0)))</f>
        <v/>
      </c>
      <c r="K730">
        <f>IF(B730="","",IF('02_대상물건입력'!$B$6="",1,IF(ISNUMBER(SEARCH('02_대상물건입력'!$B$6,B730)),1,0)))</f>
        <v/>
      </c>
      <c r="L730">
        <f>IF(D730="","",IF('02_대상물건입력'!$B$8="",0,IF(ISNUMBER(SEARCH('02_대상물건입력'!$B$8,D730)),1,0)))</f>
        <v/>
      </c>
      <c r="M730">
        <f>IFERROR(ABS(E730-'02_대상물건입력'!$B$11)/'02_대상물건입력'!$B$11,"")</f>
        <v/>
      </c>
      <c r="N730">
        <f>IFERROR(ABS('01_설정'!$B$4-F730),"")</f>
        <v/>
      </c>
      <c r="O730">
        <f>IFERROR(ABS(YEAR(I730)-YEAR('02_대상물건입력'!$B$14)),"")</f>
        <v/>
      </c>
      <c r="P730">
        <f>IF(AND(E730&gt;0,F730&gt;0,G730&gt;0,IF('01_설정'!$B$10=1,J730=1,TRUE()),M730&lt;='01_설정'!$B$5,N730&lt;='01_설정'!$B$7,O730&lt;='01_설정'!$B$8),"Y","")</f>
        <v/>
      </c>
      <c r="Q730">
        <f>IF(P730&lt;&gt;"Y","",MAX(0,(1-M730/'01_설정'!$B$5))*'01_설정'!$B$14+MAX(0,(1-N730/'01_설정'!$B$7))*'01_설정'!$B$16+MAX(0,(1-O730/'01_설정'!$B$8))*'01_설정'!$B$17+K730*'01_설정'!$B$11+L730*'01_설정'!$B$12)</f>
        <v/>
      </c>
      <c r="R730">
        <f>IF(Q730="","",1+COUNTIFS($Q$31:$Q$1030,"&gt;"&amp;Q730)+COUNTIFS($Q$31:Q730,Q730)-1)</f>
        <v/>
      </c>
    </row>
    <row r="731" hidden="1" ht="16.5" customHeight="1">
      <c r="A731">
        <f>IF(COUNTA('05_KAIS'!$A719:$N719)=0,"",704)</f>
        <v/>
      </c>
      <c r="B731">
        <f>IF($A731="","",TRIM(INDEX('05_KAIS'!$B:$B,$A731)&amp;" "&amp;INDEX('05_KAIS'!$C:$C,$A731)))</f>
        <v/>
      </c>
      <c r="C731">
        <f>IF($A731="","",INDEX('05_KAIS'!$D:$D,$A731))</f>
        <v/>
      </c>
      <c r="D731">
        <f>IF($A731="","",INDEX('05_KAIS'!$H:$H,$A731))</f>
        <v/>
      </c>
      <c r="E731">
        <f>IF($A731="","",INDEX('05_KAIS'!$K:$K,$A731))</f>
        <v/>
      </c>
      <c r="F731" s="202">
        <f>IF($A731="","",INDEX('05_KAIS'!$I:$I,$A731))</f>
        <v/>
      </c>
      <c r="G731" s="118">
        <f>IF($A731="","",INDEX('05_KAIS'!$L:$L,$A731))</f>
        <v/>
      </c>
      <c r="H731" s="118">
        <f>IF($A731="","",IFERROR(INDEX('05_KAIS'!$M:$M,$A731),IF(AND(E731&gt;0,G731&gt;0),G731/E731,"")))</f>
        <v/>
      </c>
      <c r="I731" s="202">
        <f>IF($A731="","",INDEX('05_KAIS'!$N:$N,$A731))</f>
        <v/>
      </c>
      <c r="J731">
        <f>IF(B731="","",IF('02_대상물건입력'!$B$5="",1,IF(ISNUMBER(SEARCH('02_대상물건입력'!$B$5,B731)),1,0)))</f>
        <v/>
      </c>
      <c r="K731">
        <f>IF(B731="","",IF('02_대상물건입력'!$B$6="",1,IF(ISNUMBER(SEARCH('02_대상물건입력'!$B$6,B731)),1,0)))</f>
        <v/>
      </c>
      <c r="L731">
        <f>IF(D731="","",IF('02_대상물건입력'!$B$8="",0,IF(ISNUMBER(SEARCH('02_대상물건입력'!$B$8,D731)),1,0)))</f>
        <v/>
      </c>
      <c r="M731">
        <f>IFERROR(ABS(E731-'02_대상물건입력'!$B$11)/'02_대상물건입력'!$B$11,"")</f>
        <v/>
      </c>
      <c r="N731">
        <f>IFERROR(ABS('01_설정'!$B$4-F731),"")</f>
        <v/>
      </c>
      <c r="O731">
        <f>IFERROR(ABS(YEAR(I731)-YEAR('02_대상물건입력'!$B$14)),"")</f>
        <v/>
      </c>
      <c r="P731">
        <f>IF(AND(E731&gt;0,F731&gt;0,G731&gt;0,IF('01_설정'!$B$10=1,J731=1,TRUE()),M731&lt;='01_설정'!$B$5,N731&lt;='01_설정'!$B$7,O731&lt;='01_설정'!$B$8),"Y","")</f>
        <v/>
      </c>
      <c r="Q731">
        <f>IF(P731&lt;&gt;"Y","",MAX(0,(1-M731/'01_설정'!$B$5))*'01_설정'!$B$14+MAX(0,(1-N731/'01_설정'!$B$7))*'01_설정'!$B$16+MAX(0,(1-O731/'01_설정'!$B$8))*'01_설정'!$B$17+K731*'01_설정'!$B$11+L731*'01_설정'!$B$12)</f>
        <v/>
      </c>
      <c r="R731">
        <f>IF(Q731="","",1+COUNTIFS($Q$31:$Q$1030,"&gt;"&amp;Q731)+COUNTIFS($Q$31:Q731,Q731)-1)</f>
        <v/>
      </c>
    </row>
    <row r="732" hidden="1" ht="16.5" customHeight="1">
      <c r="A732">
        <f>IF(COUNTA('05_KAIS'!$A720:$N720)=0,"",705)</f>
        <v/>
      </c>
      <c r="B732">
        <f>IF($A732="","",TRIM(INDEX('05_KAIS'!$B:$B,$A732)&amp;" "&amp;INDEX('05_KAIS'!$C:$C,$A732)))</f>
        <v/>
      </c>
      <c r="C732">
        <f>IF($A732="","",INDEX('05_KAIS'!$D:$D,$A732))</f>
        <v/>
      </c>
      <c r="D732">
        <f>IF($A732="","",INDEX('05_KAIS'!$H:$H,$A732))</f>
        <v/>
      </c>
      <c r="E732">
        <f>IF($A732="","",INDEX('05_KAIS'!$K:$K,$A732))</f>
        <v/>
      </c>
      <c r="F732" s="202">
        <f>IF($A732="","",INDEX('05_KAIS'!$I:$I,$A732))</f>
        <v/>
      </c>
      <c r="G732" s="118">
        <f>IF($A732="","",INDEX('05_KAIS'!$L:$L,$A732))</f>
        <v/>
      </c>
      <c r="H732" s="118">
        <f>IF($A732="","",IFERROR(INDEX('05_KAIS'!$M:$M,$A732),IF(AND(E732&gt;0,G732&gt;0),G732/E732,"")))</f>
        <v/>
      </c>
      <c r="I732" s="202">
        <f>IF($A732="","",INDEX('05_KAIS'!$N:$N,$A732))</f>
        <v/>
      </c>
      <c r="J732">
        <f>IF(B732="","",IF('02_대상물건입력'!$B$5="",1,IF(ISNUMBER(SEARCH('02_대상물건입력'!$B$5,B732)),1,0)))</f>
        <v/>
      </c>
      <c r="K732">
        <f>IF(B732="","",IF('02_대상물건입력'!$B$6="",1,IF(ISNUMBER(SEARCH('02_대상물건입력'!$B$6,B732)),1,0)))</f>
        <v/>
      </c>
      <c r="L732">
        <f>IF(D732="","",IF('02_대상물건입력'!$B$8="",0,IF(ISNUMBER(SEARCH('02_대상물건입력'!$B$8,D732)),1,0)))</f>
        <v/>
      </c>
      <c r="M732">
        <f>IFERROR(ABS(E732-'02_대상물건입력'!$B$11)/'02_대상물건입력'!$B$11,"")</f>
        <v/>
      </c>
      <c r="N732">
        <f>IFERROR(ABS('01_설정'!$B$4-F732),"")</f>
        <v/>
      </c>
      <c r="O732">
        <f>IFERROR(ABS(YEAR(I732)-YEAR('02_대상물건입력'!$B$14)),"")</f>
        <v/>
      </c>
      <c r="P732">
        <f>IF(AND(E732&gt;0,F732&gt;0,G732&gt;0,IF('01_설정'!$B$10=1,J732=1,TRUE()),M732&lt;='01_설정'!$B$5,N732&lt;='01_설정'!$B$7,O732&lt;='01_설정'!$B$8),"Y","")</f>
        <v/>
      </c>
      <c r="Q732">
        <f>IF(P732&lt;&gt;"Y","",MAX(0,(1-M732/'01_설정'!$B$5))*'01_설정'!$B$14+MAX(0,(1-N732/'01_설정'!$B$7))*'01_설정'!$B$16+MAX(0,(1-O732/'01_설정'!$B$8))*'01_설정'!$B$17+K732*'01_설정'!$B$11+L732*'01_설정'!$B$12)</f>
        <v/>
      </c>
      <c r="R732">
        <f>IF(Q732="","",1+COUNTIFS($Q$31:$Q$1030,"&gt;"&amp;Q732)+COUNTIFS($Q$31:Q732,Q732)-1)</f>
        <v/>
      </c>
    </row>
    <row r="733" hidden="1" ht="16.5" customHeight="1">
      <c r="A733">
        <f>IF(COUNTA('05_KAIS'!$A721:$N721)=0,"",706)</f>
        <v/>
      </c>
      <c r="B733">
        <f>IF($A733="","",TRIM(INDEX('05_KAIS'!$B:$B,$A733)&amp;" "&amp;INDEX('05_KAIS'!$C:$C,$A733)))</f>
        <v/>
      </c>
      <c r="C733">
        <f>IF($A733="","",INDEX('05_KAIS'!$D:$D,$A733))</f>
        <v/>
      </c>
      <c r="D733">
        <f>IF($A733="","",INDEX('05_KAIS'!$H:$H,$A733))</f>
        <v/>
      </c>
      <c r="E733">
        <f>IF($A733="","",INDEX('05_KAIS'!$K:$K,$A733))</f>
        <v/>
      </c>
      <c r="F733" s="202">
        <f>IF($A733="","",INDEX('05_KAIS'!$I:$I,$A733))</f>
        <v/>
      </c>
      <c r="G733" s="118">
        <f>IF($A733="","",INDEX('05_KAIS'!$L:$L,$A733))</f>
        <v/>
      </c>
      <c r="H733" s="118">
        <f>IF($A733="","",IFERROR(INDEX('05_KAIS'!$M:$M,$A733),IF(AND(E733&gt;0,G733&gt;0),G733/E733,"")))</f>
        <v/>
      </c>
      <c r="I733" s="202">
        <f>IF($A733="","",INDEX('05_KAIS'!$N:$N,$A733))</f>
        <v/>
      </c>
      <c r="J733">
        <f>IF(B733="","",IF('02_대상물건입력'!$B$5="",1,IF(ISNUMBER(SEARCH('02_대상물건입력'!$B$5,B733)),1,0)))</f>
        <v/>
      </c>
      <c r="K733">
        <f>IF(B733="","",IF('02_대상물건입력'!$B$6="",1,IF(ISNUMBER(SEARCH('02_대상물건입력'!$B$6,B733)),1,0)))</f>
        <v/>
      </c>
      <c r="L733">
        <f>IF(D733="","",IF('02_대상물건입력'!$B$8="",0,IF(ISNUMBER(SEARCH('02_대상물건입력'!$B$8,D733)),1,0)))</f>
        <v/>
      </c>
      <c r="M733">
        <f>IFERROR(ABS(E733-'02_대상물건입력'!$B$11)/'02_대상물건입력'!$B$11,"")</f>
        <v/>
      </c>
      <c r="N733">
        <f>IFERROR(ABS('01_설정'!$B$4-F733),"")</f>
        <v/>
      </c>
      <c r="O733">
        <f>IFERROR(ABS(YEAR(I733)-YEAR('02_대상물건입력'!$B$14)),"")</f>
        <v/>
      </c>
      <c r="P733">
        <f>IF(AND(E733&gt;0,F733&gt;0,G733&gt;0,IF('01_설정'!$B$10=1,J733=1,TRUE()),M733&lt;='01_설정'!$B$5,N733&lt;='01_설정'!$B$7,O733&lt;='01_설정'!$B$8),"Y","")</f>
        <v/>
      </c>
      <c r="Q733">
        <f>IF(P733&lt;&gt;"Y","",MAX(0,(1-M733/'01_설정'!$B$5))*'01_설정'!$B$14+MAX(0,(1-N733/'01_설정'!$B$7))*'01_설정'!$B$16+MAX(0,(1-O733/'01_설정'!$B$8))*'01_설정'!$B$17+K733*'01_설정'!$B$11+L733*'01_설정'!$B$12)</f>
        <v/>
      </c>
      <c r="R733">
        <f>IF(Q733="","",1+COUNTIFS($Q$31:$Q$1030,"&gt;"&amp;Q733)+COUNTIFS($Q$31:Q733,Q733)-1)</f>
        <v/>
      </c>
    </row>
    <row r="734" hidden="1" ht="16.5" customHeight="1">
      <c r="A734">
        <f>IF(COUNTA('05_KAIS'!$A722:$N722)=0,"",707)</f>
        <v/>
      </c>
      <c r="B734">
        <f>IF($A734="","",TRIM(INDEX('05_KAIS'!$B:$B,$A734)&amp;" "&amp;INDEX('05_KAIS'!$C:$C,$A734)))</f>
        <v/>
      </c>
      <c r="C734">
        <f>IF($A734="","",INDEX('05_KAIS'!$D:$D,$A734))</f>
        <v/>
      </c>
      <c r="D734">
        <f>IF($A734="","",INDEX('05_KAIS'!$H:$H,$A734))</f>
        <v/>
      </c>
      <c r="E734">
        <f>IF($A734="","",INDEX('05_KAIS'!$K:$K,$A734))</f>
        <v/>
      </c>
      <c r="F734" s="202">
        <f>IF($A734="","",INDEX('05_KAIS'!$I:$I,$A734))</f>
        <v/>
      </c>
      <c r="G734" s="118">
        <f>IF($A734="","",INDEX('05_KAIS'!$L:$L,$A734))</f>
        <v/>
      </c>
      <c r="H734" s="118">
        <f>IF($A734="","",IFERROR(INDEX('05_KAIS'!$M:$M,$A734),IF(AND(E734&gt;0,G734&gt;0),G734/E734,"")))</f>
        <v/>
      </c>
      <c r="I734" s="202">
        <f>IF($A734="","",INDEX('05_KAIS'!$N:$N,$A734))</f>
        <v/>
      </c>
      <c r="J734">
        <f>IF(B734="","",IF('02_대상물건입력'!$B$5="",1,IF(ISNUMBER(SEARCH('02_대상물건입력'!$B$5,B734)),1,0)))</f>
        <v/>
      </c>
      <c r="K734">
        <f>IF(B734="","",IF('02_대상물건입력'!$B$6="",1,IF(ISNUMBER(SEARCH('02_대상물건입력'!$B$6,B734)),1,0)))</f>
        <v/>
      </c>
      <c r="L734">
        <f>IF(D734="","",IF('02_대상물건입력'!$B$8="",0,IF(ISNUMBER(SEARCH('02_대상물건입력'!$B$8,D734)),1,0)))</f>
        <v/>
      </c>
      <c r="M734">
        <f>IFERROR(ABS(E734-'02_대상물건입력'!$B$11)/'02_대상물건입력'!$B$11,"")</f>
        <v/>
      </c>
      <c r="N734">
        <f>IFERROR(ABS('01_설정'!$B$4-F734),"")</f>
        <v/>
      </c>
      <c r="O734">
        <f>IFERROR(ABS(YEAR(I734)-YEAR('02_대상물건입력'!$B$14)),"")</f>
        <v/>
      </c>
      <c r="P734">
        <f>IF(AND(E734&gt;0,F734&gt;0,G734&gt;0,IF('01_설정'!$B$10=1,J734=1,TRUE()),M734&lt;='01_설정'!$B$5,N734&lt;='01_설정'!$B$7,O734&lt;='01_설정'!$B$8),"Y","")</f>
        <v/>
      </c>
      <c r="Q734">
        <f>IF(P734&lt;&gt;"Y","",MAX(0,(1-M734/'01_설정'!$B$5))*'01_설정'!$B$14+MAX(0,(1-N734/'01_설정'!$B$7))*'01_설정'!$B$16+MAX(0,(1-O734/'01_설정'!$B$8))*'01_설정'!$B$17+K734*'01_설정'!$B$11+L734*'01_설정'!$B$12)</f>
        <v/>
      </c>
      <c r="R734">
        <f>IF(Q734="","",1+COUNTIFS($Q$31:$Q$1030,"&gt;"&amp;Q734)+COUNTIFS($Q$31:Q734,Q734)-1)</f>
        <v/>
      </c>
    </row>
    <row r="735" hidden="1" ht="16.5" customHeight="1">
      <c r="A735">
        <f>IF(COUNTA('05_KAIS'!$A723:$N723)=0,"",708)</f>
        <v/>
      </c>
      <c r="B735">
        <f>IF($A735="","",TRIM(INDEX('05_KAIS'!$B:$B,$A735)&amp;" "&amp;INDEX('05_KAIS'!$C:$C,$A735)))</f>
        <v/>
      </c>
      <c r="C735">
        <f>IF($A735="","",INDEX('05_KAIS'!$D:$D,$A735))</f>
        <v/>
      </c>
      <c r="D735">
        <f>IF($A735="","",INDEX('05_KAIS'!$H:$H,$A735))</f>
        <v/>
      </c>
      <c r="E735">
        <f>IF($A735="","",INDEX('05_KAIS'!$K:$K,$A735))</f>
        <v/>
      </c>
      <c r="F735" s="202">
        <f>IF($A735="","",INDEX('05_KAIS'!$I:$I,$A735))</f>
        <v/>
      </c>
      <c r="G735" s="118">
        <f>IF($A735="","",INDEX('05_KAIS'!$L:$L,$A735))</f>
        <v/>
      </c>
      <c r="H735" s="118">
        <f>IF($A735="","",IFERROR(INDEX('05_KAIS'!$M:$M,$A735),IF(AND(E735&gt;0,G735&gt;0),G735/E735,"")))</f>
        <v/>
      </c>
      <c r="I735" s="202">
        <f>IF($A735="","",INDEX('05_KAIS'!$N:$N,$A735))</f>
        <v/>
      </c>
      <c r="J735">
        <f>IF(B735="","",IF('02_대상물건입력'!$B$5="",1,IF(ISNUMBER(SEARCH('02_대상물건입력'!$B$5,B735)),1,0)))</f>
        <v/>
      </c>
      <c r="K735">
        <f>IF(B735="","",IF('02_대상물건입력'!$B$6="",1,IF(ISNUMBER(SEARCH('02_대상물건입력'!$B$6,B735)),1,0)))</f>
        <v/>
      </c>
      <c r="L735">
        <f>IF(D735="","",IF('02_대상물건입력'!$B$8="",0,IF(ISNUMBER(SEARCH('02_대상물건입력'!$B$8,D735)),1,0)))</f>
        <v/>
      </c>
      <c r="M735">
        <f>IFERROR(ABS(E735-'02_대상물건입력'!$B$11)/'02_대상물건입력'!$B$11,"")</f>
        <v/>
      </c>
      <c r="N735">
        <f>IFERROR(ABS('01_설정'!$B$4-F735),"")</f>
        <v/>
      </c>
      <c r="O735">
        <f>IFERROR(ABS(YEAR(I735)-YEAR('02_대상물건입력'!$B$14)),"")</f>
        <v/>
      </c>
      <c r="P735">
        <f>IF(AND(E735&gt;0,F735&gt;0,G735&gt;0,IF('01_설정'!$B$10=1,J735=1,TRUE()),M735&lt;='01_설정'!$B$5,N735&lt;='01_설정'!$B$7,O735&lt;='01_설정'!$B$8),"Y","")</f>
        <v/>
      </c>
      <c r="Q735">
        <f>IF(P735&lt;&gt;"Y","",MAX(0,(1-M735/'01_설정'!$B$5))*'01_설정'!$B$14+MAX(0,(1-N735/'01_설정'!$B$7))*'01_설정'!$B$16+MAX(0,(1-O735/'01_설정'!$B$8))*'01_설정'!$B$17+K735*'01_설정'!$B$11+L735*'01_설정'!$B$12)</f>
        <v/>
      </c>
      <c r="R735">
        <f>IF(Q735="","",1+COUNTIFS($Q$31:$Q$1030,"&gt;"&amp;Q735)+COUNTIFS($Q$31:Q735,Q735)-1)</f>
        <v/>
      </c>
    </row>
    <row r="736" hidden="1" ht="16.5" customHeight="1">
      <c r="A736">
        <f>IF(COUNTA('05_KAIS'!$A724:$N724)=0,"",709)</f>
        <v/>
      </c>
      <c r="B736">
        <f>IF($A736="","",TRIM(INDEX('05_KAIS'!$B:$B,$A736)&amp;" "&amp;INDEX('05_KAIS'!$C:$C,$A736)))</f>
        <v/>
      </c>
      <c r="C736">
        <f>IF($A736="","",INDEX('05_KAIS'!$D:$D,$A736))</f>
        <v/>
      </c>
      <c r="D736">
        <f>IF($A736="","",INDEX('05_KAIS'!$H:$H,$A736))</f>
        <v/>
      </c>
      <c r="E736">
        <f>IF($A736="","",INDEX('05_KAIS'!$K:$K,$A736))</f>
        <v/>
      </c>
      <c r="F736" s="202">
        <f>IF($A736="","",INDEX('05_KAIS'!$I:$I,$A736))</f>
        <v/>
      </c>
      <c r="G736" s="118">
        <f>IF($A736="","",INDEX('05_KAIS'!$L:$L,$A736))</f>
        <v/>
      </c>
      <c r="H736" s="118">
        <f>IF($A736="","",IFERROR(INDEX('05_KAIS'!$M:$M,$A736),IF(AND(E736&gt;0,G736&gt;0),G736/E736,"")))</f>
        <v/>
      </c>
      <c r="I736" s="202">
        <f>IF($A736="","",INDEX('05_KAIS'!$N:$N,$A736))</f>
        <v/>
      </c>
      <c r="J736">
        <f>IF(B736="","",IF('02_대상물건입력'!$B$5="",1,IF(ISNUMBER(SEARCH('02_대상물건입력'!$B$5,B736)),1,0)))</f>
        <v/>
      </c>
      <c r="K736">
        <f>IF(B736="","",IF('02_대상물건입력'!$B$6="",1,IF(ISNUMBER(SEARCH('02_대상물건입력'!$B$6,B736)),1,0)))</f>
        <v/>
      </c>
      <c r="L736">
        <f>IF(D736="","",IF('02_대상물건입력'!$B$8="",0,IF(ISNUMBER(SEARCH('02_대상물건입력'!$B$8,D736)),1,0)))</f>
        <v/>
      </c>
      <c r="M736">
        <f>IFERROR(ABS(E736-'02_대상물건입력'!$B$11)/'02_대상물건입력'!$B$11,"")</f>
        <v/>
      </c>
      <c r="N736">
        <f>IFERROR(ABS('01_설정'!$B$4-F736),"")</f>
        <v/>
      </c>
      <c r="O736">
        <f>IFERROR(ABS(YEAR(I736)-YEAR('02_대상물건입력'!$B$14)),"")</f>
        <v/>
      </c>
      <c r="P736">
        <f>IF(AND(E736&gt;0,F736&gt;0,G736&gt;0,IF('01_설정'!$B$10=1,J736=1,TRUE()),M736&lt;='01_설정'!$B$5,N736&lt;='01_설정'!$B$7,O736&lt;='01_설정'!$B$8),"Y","")</f>
        <v/>
      </c>
      <c r="Q736">
        <f>IF(P736&lt;&gt;"Y","",MAX(0,(1-M736/'01_설정'!$B$5))*'01_설정'!$B$14+MAX(0,(1-N736/'01_설정'!$B$7))*'01_설정'!$B$16+MAX(0,(1-O736/'01_설정'!$B$8))*'01_설정'!$B$17+K736*'01_설정'!$B$11+L736*'01_설정'!$B$12)</f>
        <v/>
      </c>
      <c r="R736">
        <f>IF(Q736="","",1+COUNTIFS($Q$31:$Q$1030,"&gt;"&amp;Q736)+COUNTIFS($Q$31:Q736,Q736)-1)</f>
        <v/>
      </c>
    </row>
    <row r="737" hidden="1" ht="16.5" customHeight="1">
      <c r="A737">
        <f>IF(COUNTA('05_KAIS'!$A725:$N725)=0,"",710)</f>
        <v/>
      </c>
      <c r="B737">
        <f>IF($A737="","",TRIM(INDEX('05_KAIS'!$B:$B,$A737)&amp;" "&amp;INDEX('05_KAIS'!$C:$C,$A737)))</f>
        <v/>
      </c>
      <c r="C737">
        <f>IF($A737="","",INDEX('05_KAIS'!$D:$D,$A737))</f>
        <v/>
      </c>
      <c r="D737">
        <f>IF($A737="","",INDEX('05_KAIS'!$H:$H,$A737))</f>
        <v/>
      </c>
      <c r="E737">
        <f>IF($A737="","",INDEX('05_KAIS'!$K:$K,$A737))</f>
        <v/>
      </c>
      <c r="F737" s="202">
        <f>IF($A737="","",INDEX('05_KAIS'!$I:$I,$A737))</f>
        <v/>
      </c>
      <c r="G737" s="118">
        <f>IF($A737="","",INDEX('05_KAIS'!$L:$L,$A737))</f>
        <v/>
      </c>
      <c r="H737" s="118">
        <f>IF($A737="","",IFERROR(INDEX('05_KAIS'!$M:$M,$A737),IF(AND(E737&gt;0,G737&gt;0),G737/E737,"")))</f>
        <v/>
      </c>
      <c r="I737" s="202">
        <f>IF($A737="","",INDEX('05_KAIS'!$N:$N,$A737))</f>
        <v/>
      </c>
      <c r="J737">
        <f>IF(B737="","",IF('02_대상물건입력'!$B$5="",1,IF(ISNUMBER(SEARCH('02_대상물건입력'!$B$5,B737)),1,0)))</f>
        <v/>
      </c>
      <c r="K737">
        <f>IF(B737="","",IF('02_대상물건입력'!$B$6="",1,IF(ISNUMBER(SEARCH('02_대상물건입력'!$B$6,B737)),1,0)))</f>
        <v/>
      </c>
      <c r="L737">
        <f>IF(D737="","",IF('02_대상물건입력'!$B$8="",0,IF(ISNUMBER(SEARCH('02_대상물건입력'!$B$8,D737)),1,0)))</f>
        <v/>
      </c>
      <c r="M737">
        <f>IFERROR(ABS(E737-'02_대상물건입력'!$B$11)/'02_대상물건입력'!$B$11,"")</f>
        <v/>
      </c>
      <c r="N737">
        <f>IFERROR(ABS('01_설정'!$B$4-F737),"")</f>
        <v/>
      </c>
      <c r="O737">
        <f>IFERROR(ABS(YEAR(I737)-YEAR('02_대상물건입력'!$B$14)),"")</f>
        <v/>
      </c>
      <c r="P737">
        <f>IF(AND(E737&gt;0,F737&gt;0,G737&gt;0,IF('01_설정'!$B$10=1,J737=1,TRUE()),M737&lt;='01_설정'!$B$5,N737&lt;='01_설정'!$B$7,O737&lt;='01_설정'!$B$8),"Y","")</f>
        <v/>
      </c>
      <c r="Q737">
        <f>IF(P737&lt;&gt;"Y","",MAX(0,(1-M737/'01_설정'!$B$5))*'01_설정'!$B$14+MAX(0,(1-N737/'01_설정'!$B$7))*'01_설정'!$B$16+MAX(0,(1-O737/'01_설정'!$B$8))*'01_설정'!$B$17+K737*'01_설정'!$B$11+L737*'01_설정'!$B$12)</f>
        <v/>
      </c>
      <c r="R737">
        <f>IF(Q737="","",1+COUNTIFS($Q$31:$Q$1030,"&gt;"&amp;Q737)+COUNTIFS($Q$31:Q737,Q737)-1)</f>
        <v/>
      </c>
    </row>
    <row r="738" hidden="1" ht="16.5" customHeight="1">
      <c r="A738">
        <f>IF(COUNTA('05_KAIS'!$A726:$N726)=0,"",711)</f>
        <v/>
      </c>
      <c r="B738">
        <f>IF($A738="","",TRIM(INDEX('05_KAIS'!$B:$B,$A738)&amp;" "&amp;INDEX('05_KAIS'!$C:$C,$A738)))</f>
        <v/>
      </c>
      <c r="C738">
        <f>IF($A738="","",INDEX('05_KAIS'!$D:$D,$A738))</f>
        <v/>
      </c>
      <c r="D738">
        <f>IF($A738="","",INDEX('05_KAIS'!$H:$H,$A738))</f>
        <v/>
      </c>
      <c r="E738">
        <f>IF($A738="","",INDEX('05_KAIS'!$K:$K,$A738))</f>
        <v/>
      </c>
      <c r="F738" s="202">
        <f>IF($A738="","",INDEX('05_KAIS'!$I:$I,$A738))</f>
        <v/>
      </c>
      <c r="G738" s="118">
        <f>IF($A738="","",INDEX('05_KAIS'!$L:$L,$A738))</f>
        <v/>
      </c>
      <c r="H738" s="118">
        <f>IF($A738="","",IFERROR(INDEX('05_KAIS'!$M:$M,$A738),IF(AND(E738&gt;0,G738&gt;0),G738/E738,"")))</f>
        <v/>
      </c>
      <c r="I738" s="202">
        <f>IF($A738="","",INDEX('05_KAIS'!$N:$N,$A738))</f>
        <v/>
      </c>
      <c r="J738">
        <f>IF(B738="","",IF('02_대상물건입력'!$B$5="",1,IF(ISNUMBER(SEARCH('02_대상물건입력'!$B$5,B738)),1,0)))</f>
        <v/>
      </c>
      <c r="K738">
        <f>IF(B738="","",IF('02_대상물건입력'!$B$6="",1,IF(ISNUMBER(SEARCH('02_대상물건입력'!$B$6,B738)),1,0)))</f>
        <v/>
      </c>
      <c r="L738">
        <f>IF(D738="","",IF('02_대상물건입력'!$B$8="",0,IF(ISNUMBER(SEARCH('02_대상물건입력'!$B$8,D738)),1,0)))</f>
        <v/>
      </c>
      <c r="M738">
        <f>IFERROR(ABS(E738-'02_대상물건입력'!$B$11)/'02_대상물건입력'!$B$11,"")</f>
        <v/>
      </c>
      <c r="N738">
        <f>IFERROR(ABS('01_설정'!$B$4-F738),"")</f>
        <v/>
      </c>
      <c r="O738">
        <f>IFERROR(ABS(YEAR(I738)-YEAR('02_대상물건입력'!$B$14)),"")</f>
        <v/>
      </c>
      <c r="P738">
        <f>IF(AND(E738&gt;0,F738&gt;0,G738&gt;0,IF('01_설정'!$B$10=1,J738=1,TRUE()),M738&lt;='01_설정'!$B$5,N738&lt;='01_설정'!$B$7,O738&lt;='01_설정'!$B$8),"Y","")</f>
        <v/>
      </c>
      <c r="Q738">
        <f>IF(P738&lt;&gt;"Y","",MAX(0,(1-M738/'01_설정'!$B$5))*'01_설정'!$B$14+MAX(0,(1-N738/'01_설정'!$B$7))*'01_설정'!$B$16+MAX(0,(1-O738/'01_설정'!$B$8))*'01_설정'!$B$17+K738*'01_설정'!$B$11+L738*'01_설정'!$B$12)</f>
        <v/>
      </c>
      <c r="R738">
        <f>IF(Q738="","",1+COUNTIFS($Q$31:$Q$1030,"&gt;"&amp;Q738)+COUNTIFS($Q$31:Q738,Q738)-1)</f>
        <v/>
      </c>
    </row>
    <row r="739" hidden="1" ht="16.5" customHeight="1">
      <c r="A739">
        <f>IF(COUNTA('05_KAIS'!$A727:$N727)=0,"",712)</f>
        <v/>
      </c>
      <c r="B739">
        <f>IF($A739="","",TRIM(INDEX('05_KAIS'!$B:$B,$A739)&amp;" "&amp;INDEX('05_KAIS'!$C:$C,$A739)))</f>
        <v/>
      </c>
      <c r="C739">
        <f>IF($A739="","",INDEX('05_KAIS'!$D:$D,$A739))</f>
        <v/>
      </c>
      <c r="D739">
        <f>IF($A739="","",INDEX('05_KAIS'!$H:$H,$A739))</f>
        <v/>
      </c>
      <c r="E739">
        <f>IF($A739="","",INDEX('05_KAIS'!$K:$K,$A739))</f>
        <v/>
      </c>
      <c r="F739" s="202">
        <f>IF($A739="","",INDEX('05_KAIS'!$I:$I,$A739))</f>
        <v/>
      </c>
      <c r="G739" s="118">
        <f>IF($A739="","",INDEX('05_KAIS'!$L:$L,$A739))</f>
        <v/>
      </c>
      <c r="H739" s="118">
        <f>IF($A739="","",IFERROR(INDEX('05_KAIS'!$M:$M,$A739),IF(AND(E739&gt;0,G739&gt;0),G739/E739,"")))</f>
        <v/>
      </c>
      <c r="I739" s="202">
        <f>IF($A739="","",INDEX('05_KAIS'!$N:$N,$A739))</f>
        <v/>
      </c>
      <c r="J739">
        <f>IF(B739="","",IF('02_대상물건입력'!$B$5="",1,IF(ISNUMBER(SEARCH('02_대상물건입력'!$B$5,B739)),1,0)))</f>
        <v/>
      </c>
      <c r="K739">
        <f>IF(B739="","",IF('02_대상물건입력'!$B$6="",1,IF(ISNUMBER(SEARCH('02_대상물건입력'!$B$6,B739)),1,0)))</f>
        <v/>
      </c>
      <c r="L739">
        <f>IF(D739="","",IF('02_대상물건입력'!$B$8="",0,IF(ISNUMBER(SEARCH('02_대상물건입력'!$B$8,D739)),1,0)))</f>
        <v/>
      </c>
      <c r="M739">
        <f>IFERROR(ABS(E739-'02_대상물건입력'!$B$11)/'02_대상물건입력'!$B$11,"")</f>
        <v/>
      </c>
      <c r="N739">
        <f>IFERROR(ABS('01_설정'!$B$4-F739),"")</f>
        <v/>
      </c>
      <c r="O739">
        <f>IFERROR(ABS(YEAR(I739)-YEAR('02_대상물건입력'!$B$14)),"")</f>
        <v/>
      </c>
      <c r="P739">
        <f>IF(AND(E739&gt;0,F739&gt;0,G739&gt;0,IF('01_설정'!$B$10=1,J739=1,TRUE()),M739&lt;='01_설정'!$B$5,N739&lt;='01_설정'!$B$7,O739&lt;='01_설정'!$B$8),"Y","")</f>
        <v/>
      </c>
      <c r="Q739">
        <f>IF(P739&lt;&gt;"Y","",MAX(0,(1-M739/'01_설정'!$B$5))*'01_설정'!$B$14+MAX(0,(1-N739/'01_설정'!$B$7))*'01_설정'!$B$16+MAX(0,(1-O739/'01_설정'!$B$8))*'01_설정'!$B$17+K739*'01_설정'!$B$11+L739*'01_설정'!$B$12)</f>
        <v/>
      </c>
      <c r="R739">
        <f>IF(Q739="","",1+COUNTIFS($Q$31:$Q$1030,"&gt;"&amp;Q739)+COUNTIFS($Q$31:Q739,Q739)-1)</f>
        <v/>
      </c>
    </row>
    <row r="740" hidden="1" ht="16.5" customHeight="1">
      <c r="A740">
        <f>IF(COUNTA('05_KAIS'!$A728:$N728)=0,"",713)</f>
        <v/>
      </c>
      <c r="B740">
        <f>IF($A740="","",TRIM(INDEX('05_KAIS'!$B:$B,$A740)&amp;" "&amp;INDEX('05_KAIS'!$C:$C,$A740)))</f>
        <v/>
      </c>
      <c r="C740">
        <f>IF($A740="","",INDEX('05_KAIS'!$D:$D,$A740))</f>
        <v/>
      </c>
      <c r="D740">
        <f>IF($A740="","",INDEX('05_KAIS'!$H:$H,$A740))</f>
        <v/>
      </c>
      <c r="E740">
        <f>IF($A740="","",INDEX('05_KAIS'!$K:$K,$A740))</f>
        <v/>
      </c>
      <c r="F740" s="202">
        <f>IF($A740="","",INDEX('05_KAIS'!$I:$I,$A740))</f>
        <v/>
      </c>
      <c r="G740" s="118">
        <f>IF($A740="","",INDEX('05_KAIS'!$L:$L,$A740))</f>
        <v/>
      </c>
      <c r="H740" s="118">
        <f>IF($A740="","",IFERROR(INDEX('05_KAIS'!$M:$M,$A740),IF(AND(E740&gt;0,G740&gt;0),G740/E740,"")))</f>
        <v/>
      </c>
      <c r="I740" s="202">
        <f>IF($A740="","",INDEX('05_KAIS'!$N:$N,$A740))</f>
        <v/>
      </c>
      <c r="J740">
        <f>IF(B740="","",IF('02_대상물건입력'!$B$5="",1,IF(ISNUMBER(SEARCH('02_대상물건입력'!$B$5,B740)),1,0)))</f>
        <v/>
      </c>
      <c r="K740">
        <f>IF(B740="","",IF('02_대상물건입력'!$B$6="",1,IF(ISNUMBER(SEARCH('02_대상물건입력'!$B$6,B740)),1,0)))</f>
        <v/>
      </c>
      <c r="L740">
        <f>IF(D740="","",IF('02_대상물건입력'!$B$8="",0,IF(ISNUMBER(SEARCH('02_대상물건입력'!$B$8,D740)),1,0)))</f>
        <v/>
      </c>
      <c r="M740">
        <f>IFERROR(ABS(E740-'02_대상물건입력'!$B$11)/'02_대상물건입력'!$B$11,"")</f>
        <v/>
      </c>
      <c r="N740">
        <f>IFERROR(ABS('01_설정'!$B$4-F740),"")</f>
        <v/>
      </c>
      <c r="O740">
        <f>IFERROR(ABS(YEAR(I740)-YEAR('02_대상물건입력'!$B$14)),"")</f>
        <v/>
      </c>
      <c r="P740">
        <f>IF(AND(E740&gt;0,F740&gt;0,G740&gt;0,IF('01_설정'!$B$10=1,J740=1,TRUE()),M740&lt;='01_설정'!$B$5,N740&lt;='01_설정'!$B$7,O740&lt;='01_설정'!$B$8),"Y","")</f>
        <v/>
      </c>
      <c r="Q740">
        <f>IF(P740&lt;&gt;"Y","",MAX(0,(1-M740/'01_설정'!$B$5))*'01_설정'!$B$14+MAX(0,(1-N740/'01_설정'!$B$7))*'01_설정'!$B$16+MAX(0,(1-O740/'01_설정'!$B$8))*'01_설정'!$B$17+K740*'01_설정'!$B$11+L740*'01_설정'!$B$12)</f>
        <v/>
      </c>
      <c r="R740">
        <f>IF(Q740="","",1+COUNTIFS($Q$31:$Q$1030,"&gt;"&amp;Q740)+COUNTIFS($Q$31:Q740,Q740)-1)</f>
        <v/>
      </c>
    </row>
    <row r="741" hidden="1" ht="16.5" customHeight="1">
      <c r="A741">
        <f>IF(COUNTA('05_KAIS'!$A729:$N729)=0,"",714)</f>
        <v/>
      </c>
      <c r="B741">
        <f>IF($A741="","",TRIM(INDEX('05_KAIS'!$B:$B,$A741)&amp;" "&amp;INDEX('05_KAIS'!$C:$C,$A741)))</f>
        <v/>
      </c>
      <c r="C741">
        <f>IF($A741="","",INDEX('05_KAIS'!$D:$D,$A741))</f>
        <v/>
      </c>
      <c r="D741">
        <f>IF($A741="","",INDEX('05_KAIS'!$H:$H,$A741))</f>
        <v/>
      </c>
      <c r="E741">
        <f>IF($A741="","",INDEX('05_KAIS'!$K:$K,$A741))</f>
        <v/>
      </c>
      <c r="F741" s="202">
        <f>IF($A741="","",INDEX('05_KAIS'!$I:$I,$A741))</f>
        <v/>
      </c>
      <c r="G741" s="118">
        <f>IF($A741="","",INDEX('05_KAIS'!$L:$L,$A741))</f>
        <v/>
      </c>
      <c r="H741" s="118">
        <f>IF($A741="","",IFERROR(INDEX('05_KAIS'!$M:$M,$A741),IF(AND(E741&gt;0,G741&gt;0),G741/E741,"")))</f>
        <v/>
      </c>
      <c r="I741" s="202">
        <f>IF($A741="","",INDEX('05_KAIS'!$N:$N,$A741))</f>
        <v/>
      </c>
      <c r="J741">
        <f>IF(B741="","",IF('02_대상물건입력'!$B$5="",1,IF(ISNUMBER(SEARCH('02_대상물건입력'!$B$5,B741)),1,0)))</f>
        <v/>
      </c>
      <c r="K741">
        <f>IF(B741="","",IF('02_대상물건입력'!$B$6="",1,IF(ISNUMBER(SEARCH('02_대상물건입력'!$B$6,B741)),1,0)))</f>
        <v/>
      </c>
      <c r="L741">
        <f>IF(D741="","",IF('02_대상물건입력'!$B$8="",0,IF(ISNUMBER(SEARCH('02_대상물건입력'!$B$8,D741)),1,0)))</f>
        <v/>
      </c>
      <c r="M741">
        <f>IFERROR(ABS(E741-'02_대상물건입력'!$B$11)/'02_대상물건입력'!$B$11,"")</f>
        <v/>
      </c>
      <c r="N741">
        <f>IFERROR(ABS('01_설정'!$B$4-F741),"")</f>
        <v/>
      </c>
      <c r="O741">
        <f>IFERROR(ABS(YEAR(I741)-YEAR('02_대상물건입력'!$B$14)),"")</f>
        <v/>
      </c>
      <c r="P741">
        <f>IF(AND(E741&gt;0,F741&gt;0,G741&gt;0,IF('01_설정'!$B$10=1,J741=1,TRUE()),M741&lt;='01_설정'!$B$5,N741&lt;='01_설정'!$B$7,O741&lt;='01_설정'!$B$8),"Y","")</f>
        <v/>
      </c>
      <c r="Q741">
        <f>IF(P741&lt;&gt;"Y","",MAX(0,(1-M741/'01_설정'!$B$5))*'01_설정'!$B$14+MAX(0,(1-N741/'01_설정'!$B$7))*'01_설정'!$B$16+MAX(0,(1-O741/'01_설정'!$B$8))*'01_설정'!$B$17+K741*'01_설정'!$B$11+L741*'01_설정'!$B$12)</f>
        <v/>
      </c>
      <c r="R741">
        <f>IF(Q741="","",1+COUNTIFS($Q$31:$Q$1030,"&gt;"&amp;Q741)+COUNTIFS($Q$31:Q741,Q741)-1)</f>
        <v/>
      </c>
    </row>
    <row r="742" hidden="1" ht="16.5" customHeight="1">
      <c r="A742">
        <f>IF(COUNTA('05_KAIS'!$A730:$N730)=0,"",715)</f>
        <v/>
      </c>
      <c r="B742">
        <f>IF($A742="","",TRIM(INDEX('05_KAIS'!$B:$B,$A742)&amp;" "&amp;INDEX('05_KAIS'!$C:$C,$A742)))</f>
        <v/>
      </c>
      <c r="C742">
        <f>IF($A742="","",INDEX('05_KAIS'!$D:$D,$A742))</f>
        <v/>
      </c>
      <c r="D742">
        <f>IF($A742="","",INDEX('05_KAIS'!$H:$H,$A742))</f>
        <v/>
      </c>
      <c r="E742">
        <f>IF($A742="","",INDEX('05_KAIS'!$K:$K,$A742))</f>
        <v/>
      </c>
      <c r="F742" s="202">
        <f>IF($A742="","",INDEX('05_KAIS'!$I:$I,$A742))</f>
        <v/>
      </c>
      <c r="G742" s="118">
        <f>IF($A742="","",INDEX('05_KAIS'!$L:$L,$A742))</f>
        <v/>
      </c>
      <c r="H742" s="118">
        <f>IF($A742="","",IFERROR(INDEX('05_KAIS'!$M:$M,$A742),IF(AND(E742&gt;0,G742&gt;0),G742/E742,"")))</f>
        <v/>
      </c>
      <c r="I742" s="202">
        <f>IF($A742="","",INDEX('05_KAIS'!$N:$N,$A742))</f>
        <v/>
      </c>
      <c r="J742">
        <f>IF(B742="","",IF('02_대상물건입력'!$B$5="",1,IF(ISNUMBER(SEARCH('02_대상물건입력'!$B$5,B742)),1,0)))</f>
        <v/>
      </c>
      <c r="K742">
        <f>IF(B742="","",IF('02_대상물건입력'!$B$6="",1,IF(ISNUMBER(SEARCH('02_대상물건입력'!$B$6,B742)),1,0)))</f>
        <v/>
      </c>
      <c r="L742">
        <f>IF(D742="","",IF('02_대상물건입력'!$B$8="",0,IF(ISNUMBER(SEARCH('02_대상물건입력'!$B$8,D742)),1,0)))</f>
        <v/>
      </c>
      <c r="M742">
        <f>IFERROR(ABS(E742-'02_대상물건입력'!$B$11)/'02_대상물건입력'!$B$11,"")</f>
        <v/>
      </c>
      <c r="N742">
        <f>IFERROR(ABS('01_설정'!$B$4-F742),"")</f>
        <v/>
      </c>
      <c r="O742">
        <f>IFERROR(ABS(YEAR(I742)-YEAR('02_대상물건입력'!$B$14)),"")</f>
        <v/>
      </c>
      <c r="P742">
        <f>IF(AND(E742&gt;0,F742&gt;0,G742&gt;0,IF('01_설정'!$B$10=1,J742=1,TRUE()),M742&lt;='01_설정'!$B$5,N742&lt;='01_설정'!$B$7,O742&lt;='01_설정'!$B$8),"Y","")</f>
        <v/>
      </c>
      <c r="Q742">
        <f>IF(P742&lt;&gt;"Y","",MAX(0,(1-M742/'01_설정'!$B$5))*'01_설정'!$B$14+MAX(0,(1-N742/'01_설정'!$B$7))*'01_설정'!$B$16+MAX(0,(1-O742/'01_설정'!$B$8))*'01_설정'!$B$17+K742*'01_설정'!$B$11+L742*'01_설정'!$B$12)</f>
        <v/>
      </c>
      <c r="R742">
        <f>IF(Q742="","",1+COUNTIFS($Q$31:$Q$1030,"&gt;"&amp;Q742)+COUNTIFS($Q$31:Q742,Q742)-1)</f>
        <v/>
      </c>
    </row>
    <row r="743" hidden="1" ht="16.5" customHeight="1">
      <c r="A743">
        <f>IF(COUNTA('05_KAIS'!$A731:$N731)=0,"",716)</f>
        <v/>
      </c>
      <c r="B743">
        <f>IF($A743="","",TRIM(INDEX('05_KAIS'!$B:$B,$A743)&amp;" "&amp;INDEX('05_KAIS'!$C:$C,$A743)))</f>
        <v/>
      </c>
      <c r="C743">
        <f>IF($A743="","",INDEX('05_KAIS'!$D:$D,$A743))</f>
        <v/>
      </c>
      <c r="D743">
        <f>IF($A743="","",INDEX('05_KAIS'!$H:$H,$A743))</f>
        <v/>
      </c>
      <c r="E743">
        <f>IF($A743="","",INDEX('05_KAIS'!$K:$K,$A743))</f>
        <v/>
      </c>
      <c r="F743" s="202">
        <f>IF($A743="","",INDEX('05_KAIS'!$I:$I,$A743))</f>
        <v/>
      </c>
      <c r="G743" s="118">
        <f>IF($A743="","",INDEX('05_KAIS'!$L:$L,$A743))</f>
        <v/>
      </c>
      <c r="H743" s="118">
        <f>IF($A743="","",IFERROR(INDEX('05_KAIS'!$M:$M,$A743),IF(AND(E743&gt;0,G743&gt;0),G743/E743,"")))</f>
        <v/>
      </c>
      <c r="I743" s="202">
        <f>IF($A743="","",INDEX('05_KAIS'!$N:$N,$A743))</f>
        <v/>
      </c>
      <c r="J743">
        <f>IF(B743="","",IF('02_대상물건입력'!$B$5="",1,IF(ISNUMBER(SEARCH('02_대상물건입력'!$B$5,B743)),1,0)))</f>
        <v/>
      </c>
      <c r="K743">
        <f>IF(B743="","",IF('02_대상물건입력'!$B$6="",1,IF(ISNUMBER(SEARCH('02_대상물건입력'!$B$6,B743)),1,0)))</f>
        <v/>
      </c>
      <c r="L743">
        <f>IF(D743="","",IF('02_대상물건입력'!$B$8="",0,IF(ISNUMBER(SEARCH('02_대상물건입력'!$B$8,D743)),1,0)))</f>
        <v/>
      </c>
      <c r="M743">
        <f>IFERROR(ABS(E743-'02_대상물건입력'!$B$11)/'02_대상물건입력'!$B$11,"")</f>
        <v/>
      </c>
      <c r="N743">
        <f>IFERROR(ABS('01_설정'!$B$4-F743),"")</f>
        <v/>
      </c>
      <c r="O743">
        <f>IFERROR(ABS(YEAR(I743)-YEAR('02_대상물건입력'!$B$14)),"")</f>
        <v/>
      </c>
      <c r="P743">
        <f>IF(AND(E743&gt;0,F743&gt;0,G743&gt;0,IF('01_설정'!$B$10=1,J743=1,TRUE()),M743&lt;='01_설정'!$B$5,N743&lt;='01_설정'!$B$7,O743&lt;='01_설정'!$B$8),"Y","")</f>
        <v/>
      </c>
      <c r="Q743">
        <f>IF(P743&lt;&gt;"Y","",MAX(0,(1-M743/'01_설정'!$B$5))*'01_설정'!$B$14+MAX(0,(1-N743/'01_설정'!$B$7))*'01_설정'!$B$16+MAX(0,(1-O743/'01_설정'!$B$8))*'01_설정'!$B$17+K743*'01_설정'!$B$11+L743*'01_설정'!$B$12)</f>
        <v/>
      </c>
      <c r="R743">
        <f>IF(Q743="","",1+COUNTIFS($Q$31:$Q$1030,"&gt;"&amp;Q743)+COUNTIFS($Q$31:Q743,Q743)-1)</f>
        <v/>
      </c>
    </row>
    <row r="744" hidden="1" ht="16.5" customHeight="1">
      <c r="A744">
        <f>IF(COUNTA('05_KAIS'!$A732:$N732)=0,"",717)</f>
        <v/>
      </c>
      <c r="B744">
        <f>IF($A744="","",TRIM(INDEX('05_KAIS'!$B:$B,$A744)&amp;" "&amp;INDEX('05_KAIS'!$C:$C,$A744)))</f>
        <v/>
      </c>
      <c r="C744">
        <f>IF($A744="","",INDEX('05_KAIS'!$D:$D,$A744))</f>
        <v/>
      </c>
      <c r="D744">
        <f>IF($A744="","",INDEX('05_KAIS'!$H:$H,$A744))</f>
        <v/>
      </c>
      <c r="E744">
        <f>IF($A744="","",INDEX('05_KAIS'!$K:$K,$A744))</f>
        <v/>
      </c>
      <c r="F744" s="202">
        <f>IF($A744="","",INDEX('05_KAIS'!$I:$I,$A744))</f>
        <v/>
      </c>
      <c r="G744" s="118">
        <f>IF($A744="","",INDEX('05_KAIS'!$L:$L,$A744))</f>
        <v/>
      </c>
      <c r="H744" s="118">
        <f>IF($A744="","",IFERROR(INDEX('05_KAIS'!$M:$M,$A744),IF(AND(E744&gt;0,G744&gt;0),G744/E744,"")))</f>
        <v/>
      </c>
      <c r="I744" s="202">
        <f>IF($A744="","",INDEX('05_KAIS'!$N:$N,$A744))</f>
        <v/>
      </c>
      <c r="J744">
        <f>IF(B744="","",IF('02_대상물건입력'!$B$5="",1,IF(ISNUMBER(SEARCH('02_대상물건입력'!$B$5,B744)),1,0)))</f>
        <v/>
      </c>
      <c r="K744">
        <f>IF(B744="","",IF('02_대상물건입력'!$B$6="",1,IF(ISNUMBER(SEARCH('02_대상물건입력'!$B$6,B744)),1,0)))</f>
        <v/>
      </c>
      <c r="L744">
        <f>IF(D744="","",IF('02_대상물건입력'!$B$8="",0,IF(ISNUMBER(SEARCH('02_대상물건입력'!$B$8,D744)),1,0)))</f>
        <v/>
      </c>
      <c r="M744">
        <f>IFERROR(ABS(E744-'02_대상물건입력'!$B$11)/'02_대상물건입력'!$B$11,"")</f>
        <v/>
      </c>
      <c r="N744">
        <f>IFERROR(ABS('01_설정'!$B$4-F744),"")</f>
        <v/>
      </c>
      <c r="O744">
        <f>IFERROR(ABS(YEAR(I744)-YEAR('02_대상물건입력'!$B$14)),"")</f>
        <v/>
      </c>
      <c r="P744">
        <f>IF(AND(E744&gt;0,F744&gt;0,G744&gt;0,IF('01_설정'!$B$10=1,J744=1,TRUE()),M744&lt;='01_설정'!$B$5,N744&lt;='01_설정'!$B$7,O744&lt;='01_설정'!$B$8),"Y","")</f>
        <v/>
      </c>
      <c r="Q744">
        <f>IF(P744&lt;&gt;"Y","",MAX(0,(1-M744/'01_설정'!$B$5))*'01_설정'!$B$14+MAX(0,(1-N744/'01_설정'!$B$7))*'01_설정'!$B$16+MAX(0,(1-O744/'01_설정'!$B$8))*'01_설정'!$B$17+K744*'01_설정'!$B$11+L744*'01_설정'!$B$12)</f>
        <v/>
      </c>
      <c r="R744">
        <f>IF(Q744="","",1+COUNTIFS($Q$31:$Q$1030,"&gt;"&amp;Q744)+COUNTIFS($Q$31:Q744,Q744)-1)</f>
        <v/>
      </c>
    </row>
    <row r="745" hidden="1" ht="16.5" customHeight="1">
      <c r="A745">
        <f>IF(COUNTA('05_KAIS'!$A733:$N733)=0,"",718)</f>
        <v/>
      </c>
      <c r="B745">
        <f>IF($A745="","",TRIM(INDEX('05_KAIS'!$B:$B,$A745)&amp;" "&amp;INDEX('05_KAIS'!$C:$C,$A745)))</f>
        <v/>
      </c>
      <c r="C745">
        <f>IF($A745="","",INDEX('05_KAIS'!$D:$D,$A745))</f>
        <v/>
      </c>
      <c r="D745">
        <f>IF($A745="","",INDEX('05_KAIS'!$H:$H,$A745))</f>
        <v/>
      </c>
      <c r="E745">
        <f>IF($A745="","",INDEX('05_KAIS'!$K:$K,$A745))</f>
        <v/>
      </c>
      <c r="F745" s="202">
        <f>IF($A745="","",INDEX('05_KAIS'!$I:$I,$A745))</f>
        <v/>
      </c>
      <c r="G745" s="118">
        <f>IF($A745="","",INDEX('05_KAIS'!$L:$L,$A745))</f>
        <v/>
      </c>
      <c r="H745" s="118">
        <f>IF($A745="","",IFERROR(INDEX('05_KAIS'!$M:$M,$A745),IF(AND(E745&gt;0,G745&gt;0),G745/E745,"")))</f>
        <v/>
      </c>
      <c r="I745" s="202">
        <f>IF($A745="","",INDEX('05_KAIS'!$N:$N,$A745))</f>
        <v/>
      </c>
      <c r="J745">
        <f>IF(B745="","",IF('02_대상물건입력'!$B$5="",1,IF(ISNUMBER(SEARCH('02_대상물건입력'!$B$5,B745)),1,0)))</f>
        <v/>
      </c>
      <c r="K745">
        <f>IF(B745="","",IF('02_대상물건입력'!$B$6="",1,IF(ISNUMBER(SEARCH('02_대상물건입력'!$B$6,B745)),1,0)))</f>
        <v/>
      </c>
      <c r="L745">
        <f>IF(D745="","",IF('02_대상물건입력'!$B$8="",0,IF(ISNUMBER(SEARCH('02_대상물건입력'!$B$8,D745)),1,0)))</f>
        <v/>
      </c>
      <c r="M745">
        <f>IFERROR(ABS(E745-'02_대상물건입력'!$B$11)/'02_대상물건입력'!$B$11,"")</f>
        <v/>
      </c>
      <c r="N745">
        <f>IFERROR(ABS('01_설정'!$B$4-F745),"")</f>
        <v/>
      </c>
      <c r="O745">
        <f>IFERROR(ABS(YEAR(I745)-YEAR('02_대상물건입력'!$B$14)),"")</f>
        <v/>
      </c>
      <c r="P745">
        <f>IF(AND(E745&gt;0,F745&gt;0,G745&gt;0,IF('01_설정'!$B$10=1,J745=1,TRUE()),M745&lt;='01_설정'!$B$5,N745&lt;='01_설정'!$B$7,O745&lt;='01_설정'!$B$8),"Y","")</f>
        <v/>
      </c>
      <c r="Q745">
        <f>IF(P745&lt;&gt;"Y","",MAX(0,(1-M745/'01_설정'!$B$5))*'01_설정'!$B$14+MAX(0,(1-N745/'01_설정'!$B$7))*'01_설정'!$B$16+MAX(0,(1-O745/'01_설정'!$B$8))*'01_설정'!$B$17+K745*'01_설정'!$B$11+L745*'01_설정'!$B$12)</f>
        <v/>
      </c>
      <c r="R745">
        <f>IF(Q745="","",1+COUNTIFS($Q$31:$Q$1030,"&gt;"&amp;Q745)+COUNTIFS($Q$31:Q745,Q745)-1)</f>
        <v/>
      </c>
    </row>
    <row r="746" hidden="1" ht="16.5" customHeight="1">
      <c r="A746">
        <f>IF(COUNTA('05_KAIS'!$A734:$N734)=0,"",719)</f>
        <v/>
      </c>
      <c r="B746">
        <f>IF($A746="","",TRIM(INDEX('05_KAIS'!$B:$B,$A746)&amp;" "&amp;INDEX('05_KAIS'!$C:$C,$A746)))</f>
        <v/>
      </c>
      <c r="C746">
        <f>IF($A746="","",INDEX('05_KAIS'!$D:$D,$A746))</f>
        <v/>
      </c>
      <c r="D746">
        <f>IF($A746="","",INDEX('05_KAIS'!$H:$H,$A746))</f>
        <v/>
      </c>
      <c r="E746">
        <f>IF($A746="","",INDEX('05_KAIS'!$K:$K,$A746))</f>
        <v/>
      </c>
      <c r="F746" s="202">
        <f>IF($A746="","",INDEX('05_KAIS'!$I:$I,$A746))</f>
        <v/>
      </c>
      <c r="G746" s="118">
        <f>IF($A746="","",INDEX('05_KAIS'!$L:$L,$A746))</f>
        <v/>
      </c>
      <c r="H746" s="118">
        <f>IF($A746="","",IFERROR(INDEX('05_KAIS'!$M:$M,$A746),IF(AND(E746&gt;0,G746&gt;0),G746/E746,"")))</f>
        <v/>
      </c>
      <c r="I746" s="202">
        <f>IF($A746="","",INDEX('05_KAIS'!$N:$N,$A746))</f>
        <v/>
      </c>
      <c r="J746">
        <f>IF(B746="","",IF('02_대상물건입력'!$B$5="",1,IF(ISNUMBER(SEARCH('02_대상물건입력'!$B$5,B746)),1,0)))</f>
        <v/>
      </c>
      <c r="K746">
        <f>IF(B746="","",IF('02_대상물건입력'!$B$6="",1,IF(ISNUMBER(SEARCH('02_대상물건입력'!$B$6,B746)),1,0)))</f>
        <v/>
      </c>
      <c r="L746">
        <f>IF(D746="","",IF('02_대상물건입력'!$B$8="",0,IF(ISNUMBER(SEARCH('02_대상물건입력'!$B$8,D746)),1,0)))</f>
        <v/>
      </c>
      <c r="M746">
        <f>IFERROR(ABS(E746-'02_대상물건입력'!$B$11)/'02_대상물건입력'!$B$11,"")</f>
        <v/>
      </c>
      <c r="N746">
        <f>IFERROR(ABS('01_설정'!$B$4-F746),"")</f>
        <v/>
      </c>
      <c r="O746">
        <f>IFERROR(ABS(YEAR(I746)-YEAR('02_대상물건입력'!$B$14)),"")</f>
        <v/>
      </c>
      <c r="P746">
        <f>IF(AND(E746&gt;0,F746&gt;0,G746&gt;0,IF('01_설정'!$B$10=1,J746=1,TRUE()),M746&lt;='01_설정'!$B$5,N746&lt;='01_설정'!$B$7,O746&lt;='01_설정'!$B$8),"Y","")</f>
        <v/>
      </c>
      <c r="Q746">
        <f>IF(P746&lt;&gt;"Y","",MAX(0,(1-M746/'01_설정'!$B$5))*'01_설정'!$B$14+MAX(0,(1-N746/'01_설정'!$B$7))*'01_설정'!$B$16+MAX(0,(1-O746/'01_설정'!$B$8))*'01_설정'!$B$17+K746*'01_설정'!$B$11+L746*'01_설정'!$B$12)</f>
        <v/>
      </c>
      <c r="R746">
        <f>IF(Q746="","",1+COUNTIFS($Q$31:$Q$1030,"&gt;"&amp;Q746)+COUNTIFS($Q$31:Q746,Q746)-1)</f>
        <v/>
      </c>
    </row>
    <row r="747" hidden="1" ht="16.5" customHeight="1">
      <c r="A747">
        <f>IF(COUNTA('05_KAIS'!$A735:$N735)=0,"",720)</f>
        <v/>
      </c>
      <c r="B747">
        <f>IF($A747="","",TRIM(INDEX('05_KAIS'!$B:$B,$A747)&amp;" "&amp;INDEX('05_KAIS'!$C:$C,$A747)))</f>
        <v/>
      </c>
      <c r="C747">
        <f>IF($A747="","",INDEX('05_KAIS'!$D:$D,$A747))</f>
        <v/>
      </c>
      <c r="D747">
        <f>IF($A747="","",INDEX('05_KAIS'!$H:$H,$A747))</f>
        <v/>
      </c>
      <c r="E747">
        <f>IF($A747="","",INDEX('05_KAIS'!$K:$K,$A747))</f>
        <v/>
      </c>
      <c r="F747" s="202">
        <f>IF($A747="","",INDEX('05_KAIS'!$I:$I,$A747))</f>
        <v/>
      </c>
      <c r="G747" s="118">
        <f>IF($A747="","",INDEX('05_KAIS'!$L:$L,$A747))</f>
        <v/>
      </c>
      <c r="H747" s="118">
        <f>IF($A747="","",IFERROR(INDEX('05_KAIS'!$M:$M,$A747),IF(AND(E747&gt;0,G747&gt;0),G747/E747,"")))</f>
        <v/>
      </c>
      <c r="I747" s="202">
        <f>IF($A747="","",INDEX('05_KAIS'!$N:$N,$A747))</f>
        <v/>
      </c>
      <c r="J747">
        <f>IF(B747="","",IF('02_대상물건입력'!$B$5="",1,IF(ISNUMBER(SEARCH('02_대상물건입력'!$B$5,B747)),1,0)))</f>
        <v/>
      </c>
      <c r="K747">
        <f>IF(B747="","",IF('02_대상물건입력'!$B$6="",1,IF(ISNUMBER(SEARCH('02_대상물건입력'!$B$6,B747)),1,0)))</f>
        <v/>
      </c>
      <c r="L747">
        <f>IF(D747="","",IF('02_대상물건입력'!$B$8="",0,IF(ISNUMBER(SEARCH('02_대상물건입력'!$B$8,D747)),1,0)))</f>
        <v/>
      </c>
      <c r="M747">
        <f>IFERROR(ABS(E747-'02_대상물건입력'!$B$11)/'02_대상물건입력'!$B$11,"")</f>
        <v/>
      </c>
      <c r="N747">
        <f>IFERROR(ABS('01_설정'!$B$4-F747),"")</f>
        <v/>
      </c>
      <c r="O747">
        <f>IFERROR(ABS(YEAR(I747)-YEAR('02_대상물건입력'!$B$14)),"")</f>
        <v/>
      </c>
      <c r="P747">
        <f>IF(AND(E747&gt;0,F747&gt;0,G747&gt;0,IF('01_설정'!$B$10=1,J747=1,TRUE()),M747&lt;='01_설정'!$B$5,N747&lt;='01_설정'!$B$7,O747&lt;='01_설정'!$B$8),"Y","")</f>
        <v/>
      </c>
      <c r="Q747">
        <f>IF(P747&lt;&gt;"Y","",MAX(0,(1-M747/'01_설정'!$B$5))*'01_설정'!$B$14+MAX(0,(1-N747/'01_설정'!$B$7))*'01_설정'!$B$16+MAX(0,(1-O747/'01_설정'!$B$8))*'01_설정'!$B$17+K747*'01_설정'!$B$11+L747*'01_설정'!$B$12)</f>
        <v/>
      </c>
      <c r="R747">
        <f>IF(Q747="","",1+COUNTIFS($Q$31:$Q$1030,"&gt;"&amp;Q747)+COUNTIFS($Q$31:Q747,Q747)-1)</f>
        <v/>
      </c>
    </row>
    <row r="748" hidden="1" ht="16.5" customHeight="1">
      <c r="A748">
        <f>IF(COUNTA('05_KAIS'!$A736:$N736)=0,"",721)</f>
        <v/>
      </c>
      <c r="B748">
        <f>IF($A748="","",TRIM(INDEX('05_KAIS'!$B:$B,$A748)&amp;" "&amp;INDEX('05_KAIS'!$C:$C,$A748)))</f>
        <v/>
      </c>
      <c r="C748">
        <f>IF($A748="","",INDEX('05_KAIS'!$D:$D,$A748))</f>
        <v/>
      </c>
      <c r="D748">
        <f>IF($A748="","",INDEX('05_KAIS'!$H:$H,$A748))</f>
        <v/>
      </c>
      <c r="E748">
        <f>IF($A748="","",INDEX('05_KAIS'!$K:$K,$A748))</f>
        <v/>
      </c>
      <c r="F748" s="202">
        <f>IF($A748="","",INDEX('05_KAIS'!$I:$I,$A748))</f>
        <v/>
      </c>
      <c r="G748" s="118">
        <f>IF($A748="","",INDEX('05_KAIS'!$L:$L,$A748))</f>
        <v/>
      </c>
      <c r="H748" s="118">
        <f>IF($A748="","",IFERROR(INDEX('05_KAIS'!$M:$M,$A748),IF(AND(E748&gt;0,G748&gt;0),G748/E748,"")))</f>
        <v/>
      </c>
      <c r="I748" s="202">
        <f>IF($A748="","",INDEX('05_KAIS'!$N:$N,$A748))</f>
        <v/>
      </c>
      <c r="J748">
        <f>IF(B748="","",IF('02_대상물건입력'!$B$5="",1,IF(ISNUMBER(SEARCH('02_대상물건입력'!$B$5,B748)),1,0)))</f>
        <v/>
      </c>
      <c r="K748">
        <f>IF(B748="","",IF('02_대상물건입력'!$B$6="",1,IF(ISNUMBER(SEARCH('02_대상물건입력'!$B$6,B748)),1,0)))</f>
        <v/>
      </c>
      <c r="L748">
        <f>IF(D748="","",IF('02_대상물건입력'!$B$8="",0,IF(ISNUMBER(SEARCH('02_대상물건입력'!$B$8,D748)),1,0)))</f>
        <v/>
      </c>
      <c r="M748">
        <f>IFERROR(ABS(E748-'02_대상물건입력'!$B$11)/'02_대상물건입력'!$B$11,"")</f>
        <v/>
      </c>
      <c r="N748">
        <f>IFERROR(ABS('01_설정'!$B$4-F748),"")</f>
        <v/>
      </c>
      <c r="O748">
        <f>IFERROR(ABS(YEAR(I748)-YEAR('02_대상물건입력'!$B$14)),"")</f>
        <v/>
      </c>
      <c r="P748">
        <f>IF(AND(E748&gt;0,F748&gt;0,G748&gt;0,IF('01_설정'!$B$10=1,J748=1,TRUE()),M748&lt;='01_설정'!$B$5,N748&lt;='01_설정'!$B$7,O748&lt;='01_설정'!$B$8),"Y","")</f>
        <v/>
      </c>
      <c r="Q748">
        <f>IF(P748&lt;&gt;"Y","",MAX(0,(1-M748/'01_설정'!$B$5))*'01_설정'!$B$14+MAX(0,(1-N748/'01_설정'!$B$7))*'01_설정'!$B$16+MAX(0,(1-O748/'01_설정'!$B$8))*'01_설정'!$B$17+K748*'01_설정'!$B$11+L748*'01_설정'!$B$12)</f>
        <v/>
      </c>
      <c r="R748">
        <f>IF(Q748="","",1+COUNTIFS($Q$31:$Q$1030,"&gt;"&amp;Q748)+COUNTIFS($Q$31:Q748,Q748)-1)</f>
        <v/>
      </c>
    </row>
    <row r="749" hidden="1" ht="16.5" customHeight="1">
      <c r="A749">
        <f>IF(COUNTA('05_KAIS'!$A737:$N737)=0,"",722)</f>
        <v/>
      </c>
      <c r="B749">
        <f>IF($A749="","",TRIM(INDEX('05_KAIS'!$B:$B,$A749)&amp;" "&amp;INDEX('05_KAIS'!$C:$C,$A749)))</f>
        <v/>
      </c>
      <c r="C749">
        <f>IF($A749="","",INDEX('05_KAIS'!$D:$D,$A749))</f>
        <v/>
      </c>
      <c r="D749">
        <f>IF($A749="","",INDEX('05_KAIS'!$H:$H,$A749))</f>
        <v/>
      </c>
      <c r="E749">
        <f>IF($A749="","",INDEX('05_KAIS'!$K:$K,$A749))</f>
        <v/>
      </c>
      <c r="F749" s="202">
        <f>IF($A749="","",INDEX('05_KAIS'!$I:$I,$A749))</f>
        <v/>
      </c>
      <c r="G749" s="118">
        <f>IF($A749="","",INDEX('05_KAIS'!$L:$L,$A749))</f>
        <v/>
      </c>
      <c r="H749" s="118">
        <f>IF($A749="","",IFERROR(INDEX('05_KAIS'!$M:$M,$A749),IF(AND(E749&gt;0,G749&gt;0),G749/E749,"")))</f>
        <v/>
      </c>
      <c r="I749" s="202">
        <f>IF($A749="","",INDEX('05_KAIS'!$N:$N,$A749))</f>
        <v/>
      </c>
      <c r="J749">
        <f>IF(B749="","",IF('02_대상물건입력'!$B$5="",1,IF(ISNUMBER(SEARCH('02_대상물건입력'!$B$5,B749)),1,0)))</f>
        <v/>
      </c>
      <c r="K749">
        <f>IF(B749="","",IF('02_대상물건입력'!$B$6="",1,IF(ISNUMBER(SEARCH('02_대상물건입력'!$B$6,B749)),1,0)))</f>
        <v/>
      </c>
      <c r="L749">
        <f>IF(D749="","",IF('02_대상물건입력'!$B$8="",0,IF(ISNUMBER(SEARCH('02_대상물건입력'!$B$8,D749)),1,0)))</f>
        <v/>
      </c>
      <c r="M749">
        <f>IFERROR(ABS(E749-'02_대상물건입력'!$B$11)/'02_대상물건입력'!$B$11,"")</f>
        <v/>
      </c>
      <c r="N749">
        <f>IFERROR(ABS('01_설정'!$B$4-F749),"")</f>
        <v/>
      </c>
      <c r="O749">
        <f>IFERROR(ABS(YEAR(I749)-YEAR('02_대상물건입력'!$B$14)),"")</f>
        <v/>
      </c>
      <c r="P749">
        <f>IF(AND(E749&gt;0,F749&gt;0,G749&gt;0,IF('01_설정'!$B$10=1,J749=1,TRUE()),M749&lt;='01_설정'!$B$5,N749&lt;='01_설정'!$B$7,O749&lt;='01_설정'!$B$8),"Y","")</f>
        <v/>
      </c>
      <c r="Q749">
        <f>IF(P749&lt;&gt;"Y","",MAX(0,(1-M749/'01_설정'!$B$5))*'01_설정'!$B$14+MAX(0,(1-N749/'01_설정'!$B$7))*'01_설정'!$B$16+MAX(0,(1-O749/'01_설정'!$B$8))*'01_설정'!$B$17+K749*'01_설정'!$B$11+L749*'01_설정'!$B$12)</f>
        <v/>
      </c>
      <c r="R749">
        <f>IF(Q749="","",1+COUNTIFS($Q$31:$Q$1030,"&gt;"&amp;Q749)+COUNTIFS($Q$31:Q749,Q749)-1)</f>
        <v/>
      </c>
    </row>
    <row r="750" hidden="1" ht="16.5" customHeight="1">
      <c r="A750">
        <f>IF(COUNTA('05_KAIS'!$A738:$N738)=0,"",723)</f>
        <v/>
      </c>
      <c r="B750">
        <f>IF($A750="","",TRIM(INDEX('05_KAIS'!$B:$B,$A750)&amp;" "&amp;INDEX('05_KAIS'!$C:$C,$A750)))</f>
        <v/>
      </c>
      <c r="C750">
        <f>IF($A750="","",INDEX('05_KAIS'!$D:$D,$A750))</f>
        <v/>
      </c>
      <c r="D750">
        <f>IF($A750="","",INDEX('05_KAIS'!$H:$H,$A750))</f>
        <v/>
      </c>
      <c r="E750">
        <f>IF($A750="","",INDEX('05_KAIS'!$K:$K,$A750))</f>
        <v/>
      </c>
      <c r="F750" s="202">
        <f>IF($A750="","",INDEX('05_KAIS'!$I:$I,$A750))</f>
        <v/>
      </c>
      <c r="G750" s="118">
        <f>IF($A750="","",INDEX('05_KAIS'!$L:$L,$A750))</f>
        <v/>
      </c>
      <c r="H750" s="118">
        <f>IF($A750="","",IFERROR(INDEX('05_KAIS'!$M:$M,$A750),IF(AND(E750&gt;0,G750&gt;0),G750/E750,"")))</f>
        <v/>
      </c>
      <c r="I750" s="202">
        <f>IF($A750="","",INDEX('05_KAIS'!$N:$N,$A750))</f>
        <v/>
      </c>
      <c r="J750">
        <f>IF(B750="","",IF('02_대상물건입력'!$B$5="",1,IF(ISNUMBER(SEARCH('02_대상물건입력'!$B$5,B750)),1,0)))</f>
        <v/>
      </c>
      <c r="K750">
        <f>IF(B750="","",IF('02_대상물건입력'!$B$6="",1,IF(ISNUMBER(SEARCH('02_대상물건입력'!$B$6,B750)),1,0)))</f>
        <v/>
      </c>
      <c r="L750">
        <f>IF(D750="","",IF('02_대상물건입력'!$B$8="",0,IF(ISNUMBER(SEARCH('02_대상물건입력'!$B$8,D750)),1,0)))</f>
        <v/>
      </c>
      <c r="M750">
        <f>IFERROR(ABS(E750-'02_대상물건입력'!$B$11)/'02_대상물건입력'!$B$11,"")</f>
        <v/>
      </c>
      <c r="N750">
        <f>IFERROR(ABS('01_설정'!$B$4-F750),"")</f>
        <v/>
      </c>
      <c r="O750">
        <f>IFERROR(ABS(YEAR(I750)-YEAR('02_대상물건입력'!$B$14)),"")</f>
        <v/>
      </c>
      <c r="P750">
        <f>IF(AND(E750&gt;0,F750&gt;0,G750&gt;0,IF('01_설정'!$B$10=1,J750=1,TRUE()),M750&lt;='01_설정'!$B$5,N750&lt;='01_설정'!$B$7,O750&lt;='01_설정'!$B$8),"Y","")</f>
        <v/>
      </c>
      <c r="Q750">
        <f>IF(P750&lt;&gt;"Y","",MAX(0,(1-M750/'01_설정'!$B$5))*'01_설정'!$B$14+MAX(0,(1-N750/'01_설정'!$B$7))*'01_설정'!$B$16+MAX(0,(1-O750/'01_설정'!$B$8))*'01_설정'!$B$17+K750*'01_설정'!$B$11+L750*'01_설정'!$B$12)</f>
        <v/>
      </c>
      <c r="R750">
        <f>IF(Q750="","",1+COUNTIFS($Q$31:$Q$1030,"&gt;"&amp;Q750)+COUNTIFS($Q$31:Q750,Q750)-1)</f>
        <v/>
      </c>
    </row>
    <row r="751" hidden="1" ht="16.5" customHeight="1">
      <c r="A751">
        <f>IF(COUNTA('05_KAIS'!$A739:$N739)=0,"",724)</f>
        <v/>
      </c>
      <c r="B751">
        <f>IF($A751="","",TRIM(INDEX('05_KAIS'!$B:$B,$A751)&amp;" "&amp;INDEX('05_KAIS'!$C:$C,$A751)))</f>
        <v/>
      </c>
      <c r="C751">
        <f>IF($A751="","",INDEX('05_KAIS'!$D:$D,$A751))</f>
        <v/>
      </c>
      <c r="D751">
        <f>IF($A751="","",INDEX('05_KAIS'!$H:$H,$A751))</f>
        <v/>
      </c>
      <c r="E751">
        <f>IF($A751="","",INDEX('05_KAIS'!$K:$K,$A751))</f>
        <v/>
      </c>
      <c r="F751" s="202">
        <f>IF($A751="","",INDEX('05_KAIS'!$I:$I,$A751))</f>
        <v/>
      </c>
      <c r="G751" s="118">
        <f>IF($A751="","",INDEX('05_KAIS'!$L:$L,$A751))</f>
        <v/>
      </c>
      <c r="H751" s="118">
        <f>IF($A751="","",IFERROR(INDEX('05_KAIS'!$M:$M,$A751),IF(AND(E751&gt;0,G751&gt;0),G751/E751,"")))</f>
        <v/>
      </c>
      <c r="I751" s="202">
        <f>IF($A751="","",INDEX('05_KAIS'!$N:$N,$A751))</f>
        <v/>
      </c>
      <c r="J751">
        <f>IF(B751="","",IF('02_대상물건입력'!$B$5="",1,IF(ISNUMBER(SEARCH('02_대상물건입력'!$B$5,B751)),1,0)))</f>
        <v/>
      </c>
      <c r="K751">
        <f>IF(B751="","",IF('02_대상물건입력'!$B$6="",1,IF(ISNUMBER(SEARCH('02_대상물건입력'!$B$6,B751)),1,0)))</f>
        <v/>
      </c>
      <c r="L751">
        <f>IF(D751="","",IF('02_대상물건입력'!$B$8="",0,IF(ISNUMBER(SEARCH('02_대상물건입력'!$B$8,D751)),1,0)))</f>
        <v/>
      </c>
      <c r="M751">
        <f>IFERROR(ABS(E751-'02_대상물건입력'!$B$11)/'02_대상물건입력'!$B$11,"")</f>
        <v/>
      </c>
      <c r="N751">
        <f>IFERROR(ABS('01_설정'!$B$4-F751),"")</f>
        <v/>
      </c>
      <c r="O751">
        <f>IFERROR(ABS(YEAR(I751)-YEAR('02_대상물건입력'!$B$14)),"")</f>
        <v/>
      </c>
      <c r="P751">
        <f>IF(AND(E751&gt;0,F751&gt;0,G751&gt;0,IF('01_설정'!$B$10=1,J751=1,TRUE()),M751&lt;='01_설정'!$B$5,N751&lt;='01_설정'!$B$7,O751&lt;='01_설정'!$B$8),"Y","")</f>
        <v/>
      </c>
      <c r="Q751">
        <f>IF(P751&lt;&gt;"Y","",MAX(0,(1-M751/'01_설정'!$B$5))*'01_설정'!$B$14+MAX(0,(1-N751/'01_설정'!$B$7))*'01_설정'!$B$16+MAX(0,(1-O751/'01_설정'!$B$8))*'01_설정'!$B$17+K751*'01_설정'!$B$11+L751*'01_설정'!$B$12)</f>
        <v/>
      </c>
      <c r="R751">
        <f>IF(Q751="","",1+COUNTIFS($Q$31:$Q$1030,"&gt;"&amp;Q751)+COUNTIFS($Q$31:Q751,Q751)-1)</f>
        <v/>
      </c>
    </row>
    <row r="752" hidden="1" ht="16.5" customHeight="1">
      <c r="A752">
        <f>IF(COUNTA('05_KAIS'!$A740:$N740)=0,"",725)</f>
        <v/>
      </c>
      <c r="B752">
        <f>IF($A752="","",TRIM(INDEX('05_KAIS'!$B:$B,$A752)&amp;" "&amp;INDEX('05_KAIS'!$C:$C,$A752)))</f>
        <v/>
      </c>
      <c r="C752">
        <f>IF($A752="","",INDEX('05_KAIS'!$D:$D,$A752))</f>
        <v/>
      </c>
      <c r="D752">
        <f>IF($A752="","",INDEX('05_KAIS'!$H:$H,$A752))</f>
        <v/>
      </c>
      <c r="E752">
        <f>IF($A752="","",INDEX('05_KAIS'!$K:$K,$A752))</f>
        <v/>
      </c>
      <c r="F752" s="202">
        <f>IF($A752="","",INDEX('05_KAIS'!$I:$I,$A752))</f>
        <v/>
      </c>
      <c r="G752" s="118">
        <f>IF($A752="","",INDEX('05_KAIS'!$L:$L,$A752))</f>
        <v/>
      </c>
      <c r="H752" s="118">
        <f>IF($A752="","",IFERROR(INDEX('05_KAIS'!$M:$M,$A752),IF(AND(E752&gt;0,G752&gt;0),G752/E752,"")))</f>
        <v/>
      </c>
      <c r="I752" s="202">
        <f>IF($A752="","",INDEX('05_KAIS'!$N:$N,$A752))</f>
        <v/>
      </c>
      <c r="J752">
        <f>IF(B752="","",IF('02_대상물건입력'!$B$5="",1,IF(ISNUMBER(SEARCH('02_대상물건입력'!$B$5,B752)),1,0)))</f>
        <v/>
      </c>
      <c r="K752">
        <f>IF(B752="","",IF('02_대상물건입력'!$B$6="",1,IF(ISNUMBER(SEARCH('02_대상물건입력'!$B$6,B752)),1,0)))</f>
        <v/>
      </c>
      <c r="L752">
        <f>IF(D752="","",IF('02_대상물건입력'!$B$8="",0,IF(ISNUMBER(SEARCH('02_대상물건입력'!$B$8,D752)),1,0)))</f>
        <v/>
      </c>
      <c r="M752">
        <f>IFERROR(ABS(E752-'02_대상물건입력'!$B$11)/'02_대상물건입력'!$B$11,"")</f>
        <v/>
      </c>
      <c r="N752">
        <f>IFERROR(ABS('01_설정'!$B$4-F752),"")</f>
        <v/>
      </c>
      <c r="O752">
        <f>IFERROR(ABS(YEAR(I752)-YEAR('02_대상물건입력'!$B$14)),"")</f>
        <v/>
      </c>
      <c r="P752">
        <f>IF(AND(E752&gt;0,F752&gt;0,G752&gt;0,IF('01_설정'!$B$10=1,J752=1,TRUE()),M752&lt;='01_설정'!$B$5,N752&lt;='01_설정'!$B$7,O752&lt;='01_설정'!$B$8),"Y","")</f>
        <v/>
      </c>
      <c r="Q752">
        <f>IF(P752&lt;&gt;"Y","",MAX(0,(1-M752/'01_설정'!$B$5))*'01_설정'!$B$14+MAX(0,(1-N752/'01_설정'!$B$7))*'01_설정'!$B$16+MAX(0,(1-O752/'01_설정'!$B$8))*'01_설정'!$B$17+K752*'01_설정'!$B$11+L752*'01_설정'!$B$12)</f>
        <v/>
      </c>
      <c r="R752">
        <f>IF(Q752="","",1+COUNTIFS($Q$31:$Q$1030,"&gt;"&amp;Q752)+COUNTIFS($Q$31:Q752,Q752)-1)</f>
        <v/>
      </c>
    </row>
    <row r="753" hidden="1" ht="16.5" customHeight="1">
      <c r="A753">
        <f>IF(COUNTA('05_KAIS'!$A741:$N741)=0,"",726)</f>
        <v/>
      </c>
      <c r="B753">
        <f>IF($A753="","",TRIM(INDEX('05_KAIS'!$B:$B,$A753)&amp;" "&amp;INDEX('05_KAIS'!$C:$C,$A753)))</f>
        <v/>
      </c>
      <c r="C753">
        <f>IF($A753="","",INDEX('05_KAIS'!$D:$D,$A753))</f>
        <v/>
      </c>
      <c r="D753">
        <f>IF($A753="","",INDEX('05_KAIS'!$H:$H,$A753))</f>
        <v/>
      </c>
      <c r="E753">
        <f>IF($A753="","",INDEX('05_KAIS'!$K:$K,$A753))</f>
        <v/>
      </c>
      <c r="F753" s="202">
        <f>IF($A753="","",INDEX('05_KAIS'!$I:$I,$A753))</f>
        <v/>
      </c>
      <c r="G753" s="118">
        <f>IF($A753="","",INDEX('05_KAIS'!$L:$L,$A753))</f>
        <v/>
      </c>
      <c r="H753" s="118">
        <f>IF($A753="","",IFERROR(INDEX('05_KAIS'!$M:$M,$A753),IF(AND(E753&gt;0,G753&gt;0),G753/E753,"")))</f>
        <v/>
      </c>
      <c r="I753" s="202">
        <f>IF($A753="","",INDEX('05_KAIS'!$N:$N,$A753))</f>
        <v/>
      </c>
      <c r="J753">
        <f>IF(B753="","",IF('02_대상물건입력'!$B$5="",1,IF(ISNUMBER(SEARCH('02_대상물건입력'!$B$5,B753)),1,0)))</f>
        <v/>
      </c>
      <c r="K753">
        <f>IF(B753="","",IF('02_대상물건입력'!$B$6="",1,IF(ISNUMBER(SEARCH('02_대상물건입력'!$B$6,B753)),1,0)))</f>
        <v/>
      </c>
      <c r="L753">
        <f>IF(D753="","",IF('02_대상물건입력'!$B$8="",0,IF(ISNUMBER(SEARCH('02_대상물건입력'!$B$8,D753)),1,0)))</f>
        <v/>
      </c>
      <c r="M753">
        <f>IFERROR(ABS(E753-'02_대상물건입력'!$B$11)/'02_대상물건입력'!$B$11,"")</f>
        <v/>
      </c>
      <c r="N753">
        <f>IFERROR(ABS('01_설정'!$B$4-F753),"")</f>
        <v/>
      </c>
      <c r="O753">
        <f>IFERROR(ABS(YEAR(I753)-YEAR('02_대상물건입력'!$B$14)),"")</f>
        <v/>
      </c>
      <c r="P753">
        <f>IF(AND(E753&gt;0,F753&gt;0,G753&gt;0,IF('01_설정'!$B$10=1,J753=1,TRUE()),M753&lt;='01_설정'!$B$5,N753&lt;='01_설정'!$B$7,O753&lt;='01_설정'!$B$8),"Y","")</f>
        <v/>
      </c>
      <c r="Q753">
        <f>IF(P753&lt;&gt;"Y","",MAX(0,(1-M753/'01_설정'!$B$5))*'01_설정'!$B$14+MAX(0,(1-N753/'01_설정'!$B$7))*'01_설정'!$B$16+MAX(0,(1-O753/'01_설정'!$B$8))*'01_설정'!$B$17+K753*'01_설정'!$B$11+L753*'01_설정'!$B$12)</f>
        <v/>
      </c>
      <c r="R753">
        <f>IF(Q753="","",1+COUNTIFS($Q$31:$Q$1030,"&gt;"&amp;Q753)+COUNTIFS($Q$31:Q753,Q753)-1)</f>
        <v/>
      </c>
    </row>
    <row r="754" hidden="1" ht="16.5" customHeight="1">
      <c r="A754">
        <f>IF(COUNTA('05_KAIS'!$A742:$N742)=0,"",727)</f>
        <v/>
      </c>
      <c r="B754">
        <f>IF($A754="","",TRIM(INDEX('05_KAIS'!$B:$B,$A754)&amp;" "&amp;INDEX('05_KAIS'!$C:$C,$A754)))</f>
        <v/>
      </c>
      <c r="C754">
        <f>IF($A754="","",INDEX('05_KAIS'!$D:$D,$A754))</f>
        <v/>
      </c>
      <c r="D754">
        <f>IF($A754="","",INDEX('05_KAIS'!$H:$H,$A754))</f>
        <v/>
      </c>
      <c r="E754">
        <f>IF($A754="","",INDEX('05_KAIS'!$K:$K,$A754))</f>
        <v/>
      </c>
      <c r="F754" s="202">
        <f>IF($A754="","",INDEX('05_KAIS'!$I:$I,$A754))</f>
        <v/>
      </c>
      <c r="G754" s="118">
        <f>IF($A754="","",INDEX('05_KAIS'!$L:$L,$A754))</f>
        <v/>
      </c>
      <c r="H754" s="118">
        <f>IF($A754="","",IFERROR(INDEX('05_KAIS'!$M:$M,$A754),IF(AND(E754&gt;0,G754&gt;0),G754/E754,"")))</f>
        <v/>
      </c>
      <c r="I754" s="202">
        <f>IF($A754="","",INDEX('05_KAIS'!$N:$N,$A754))</f>
        <v/>
      </c>
      <c r="J754">
        <f>IF(B754="","",IF('02_대상물건입력'!$B$5="",1,IF(ISNUMBER(SEARCH('02_대상물건입력'!$B$5,B754)),1,0)))</f>
        <v/>
      </c>
      <c r="K754">
        <f>IF(B754="","",IF('02_대상물건입력'!$B$6="",1,IF(ISNUMBER(SEARCH('02_대상물건입력'!$B$6,B754)),1,0)))</f>
        <v/>
      </c>
      <c r="L754">
        <f>IF(D754="","",IF('02_대상물건입력'!$B$8="",0,IF(ISNUMBER(SEARCH('02_대상물건입력'!$B$8,D754)),1,0)))</f>
        <v/>
      </c>
      <c r="M754">
        <f>IFERROR(ABS(E754-'02_대상물건입력'!$B$11)/'02_대상물건입력'!$B$11,"")</f>
        <v/>
      </c>
      <c r="N754">
        <f>IFERROR(ABS('01_설정'!$B$4-F754),"")</f>
        <v/>
      </c>
      <c r="O754">
        <f>IFERROR(ABS(YEAR(I754)-YEAR('02_대상물건입력'!$B$14)),"")</f>
        <v/>
      </c>
      <c r="P754">
        <f>IF(AND(E754&gt;0,F754&gt;0,G754&gt;0,IF('01_설정'!$B$10=1,J754=1,TRUE()),M754&lt;='01_설정'!$B$5,N754&lt;='01_설정'!$B$7,O754&lt;='01_설정'!$B$8),"Y","")</f>
        <v/>
      </c>
      <c r="Q754">
        <f>IF(P754&lt;&gt;"Y","",MAX(0,(1-M754/'01_설정'!$B$5))*'01_설정'!$B$14+MAX(0,(1-N754/'01_설정'!$B$7))*'01_설정'!$B$16+MAX(0,(1-O754/'01_설정'!$B$8))*'01_설정'!$B$17+K754*'01_설정'!$B$11+L754*'01_설정'!$B$12)</f>
        <v/>
      </c>
      <c r="R754">
        <f>IF(Q754="","",1+COUNTIFS($Q$31:$Q$1030,"&gt;"&amp;Q754)+COUNTIFS($Q$31:Q754,Q754)-1)</f>
        <v/>
      </c>
    </row>
    <row r="755" hidden="1" ht="16.5" customHeight="1">
      <c r="A755">
        <f>IF(COUNTA('05_KAIS'!$A743:$N743)=0,"",728)</f>
        <v/>
      </c>
      <c r="B755">
        <f>IF($A755="","",TRIM(INDEX('05_KAIS'!$B:$B,$A755)&amp;" "&amp;INDEX('05_KAIS'!$C:$C,$A755)))</f>
        <v/>
      </c>
      <c r="C755">
        <f>IF($A755="","",INDEX('05_KAIS'!$D:$D,$A755))</f>
        <v/>
      </c>
      <c r="D755">
        <f>IF($A755="","",INDEX('05_KAIS'!$H:$H,$A755))</f>
        <v/>
      </c>
      <c r="E755">
        <f>IF($A755="","",INDEX('05_KAIS'!$K:$K,$A755))</f>
        <v/>
      </c>
      <c r="F755" s="202">
        <f>IF($A755="","",INDEX('05_KAIS'!$I:$I,$A755))</f>
        <v/>
      </c>
      <c r="G755" s="118">
        <f>IF($A755="","",INDEX('05_KAIS'!$L:$L,$A755))</f>
        <v/>
      </c>
      <c r="H755" s="118">
        <f>IF($A755="","",IFERROR(INDEX('05_KAIS'!$M:$M,$A755),IF(AND(E755&gt;0,G755&gt;0),G755/E755,"")))</f>
        <v/>
      </c>
      <c r="I755" s="202">
        <f>IF($A755="","",INDEX('05_KAIS'!$N:$N,$A755))</f>
        <v/>
      </c>
      <c r="J755">
        <f>IF(B755="","",IF('02_대상물건입력'!$B$5="",1,IF(ISNUMBER(SEARCH('02_대상물건입력'!$B$5,B755)),1,0)))</f>
        <v/>
      </c>
      <c r="K755">
        <f>IF(B755="","",IF('02_대상물건입력'!$B$6="",1,IF(ISNUMBER(SEARCH('02_대상물건입력'!$B$6,B755)),1,0)))</f>
        <v/>
      </c>
      <c r="L755">
        <f>IF(D755="","",IF('02_대상물건입력'!$B$8="",0,IF(ISNUMBER(SEARCH('02_대상물건입력'!$B$8,D755)),1,0)))</f>
        <v/>
      </c>
      <c r="M755">
        <f>IFERROR(ABS(E755-'02_대상물건입력'!$B$11)/'02_대상물건입력'!$B$11,"")</f>
        <v/>
      </c>
      <c r="N755">
        <f>IFERROR(ABS('01_설정'!$B$4-F755),"")</f>
        <v/>
      </c>
      <c r="O755">
        <f>IFERROR(ABS(YEAR(I755)-YEAR('02_대상물건입력'!$B$14)),"")</f>
        <v/>
      </c>
      <c r="P755">
        <f>IF(AND(E755&gt;0,F755&gt;0,G755&gt;0,IF('01_설정'!$B$10=1,J755=1,TRUE()),M755&lt;='01_설정'!$B$5,N755&lt;='01_설정'!$B$7,O755&lt;='01_설정'!$B$8),"Y","")</f>
        <v/>
      </c>
      <c r="Q755">
        <f>IF(P755&lt;&gt;"Y","",MAX(0,(1-M755/'01_설정'!$B$5))*'01_설정'!$B$14+MAX(0,(1-N755/'01_설정'!$B$7))*'01_설정'!$B$16+MAX(0,(1-O755/'01_설정'!$B$8))*'01_설정'!$B$17+K755*'01_설정'!$B$11+L755*'01_설정'!$B$12)</f>
        <v/>
      </c>
      <c r="R755">
        <f>IF(Q755="","",1+COUNTIFS($Q$31:$Q$1030,"&gt;"&amp;Q755)+COUNTIFS($Q$31:Q755,Q755)-1)</f>
        <v/>
      </c>
    </row>
    <row r="756" hidden="1" ht="16.5" customHeight="1">
      <c r="A756">
        <f>IF(COUNTA('05_KAIS'!$A744:$N744)=0,"",729)</f>
        <v/>
      </c>
      <c r="B756">
        <f>IF($A756="","",TRIM(INDEX('05_KAIS'!$B:$B,$A756)&amp;" "&amp;INDEX('05_KAIS'!$C:$C,$A756)))</f>
        <v/>
      </c>
      <c r="C756">
        <f>IF($A756="","",INDEX('05_KAIS'!$D:$D,$A756))</f>
        <v/>
      </c>
      <c r="D756">
        <f>IF($A756="","",INDEX('05_KAIS'!$H:$H,$A756))</f>
        <v/>
      </c>
      <c r="E756">
        <f>IF($A756="","",INDEX('05_KAIS'!$K:$K,$A756))</f>
        <v/>
      </c>
      <c r="F756" s="202">
        <f>IF($A756="","",INDEX('05_KAIS'!$I:$I,$A756))</f>
        <v/>
      </c>
      <c r="G756" s="118">
        <f>IF($A756="","",INDEX('05_KAIS'!$L:$L,$A756))</f>
        <v/>
      </c>
      <c r="H756" s="118">
        <f>IF($A756="","",IFERROR(INDEX('05_KAIS'!$M:$M,$A756),IF(AND(E756&gt;0,G756&gt;0),G756/E756,"")))</f>
        <v/>
      </c>
      <c r="I756" s="202">
        <f>IF($A756="","",INDEX('05_KAIS'!$N:$N,$A756))</f>
        <v/>
      </c>
      <c r="J756">
        <f>IF(B756="","",IF('02_대상물건입력'!$B$5="",1,IF(ISNUMBER(SEARCH('02_대상물건입력'!$B$5,B756)),1,0)))</f>
        <v/>
      </c>
      <c r="K756">
        <f>IF(B756="","",IF('02_대상물건입력'!$B$6="",1,IF(ISNUMBER(SEARCH('02_대상물건입력'!$B$6,B756)),1,0)))</f>
        <v/>
      </c>
      <c r="L756">
        <f>IF(D756="","",IF('02_대상물건입력'!$B$8="",0,IF(ISNUMBER(SEARCH('02_대상물건입력'!$B$8,D756)),1,0)))</f>
        <v/>
      </c>
      <c r="M756">
        <f>IFERROR(ABS(E756-'02_대상물건입력'!$B$11)/'02_대상물건입력'!$B$11,"")</f>
        <v/>
      </c>
      <c r="N756">
        <f>IFERROR(ABS('01_설정'!$B$4-F756),"")</f>
        <v/>
      </c>
      <c r="O756">
        <f>IFERROR(ABS(YEAR(I756)-YEAR('02_대상물건입력'!$B$14)),"")</f>
        <v/>
      </c>
      <c r="P756">
        <f>IF(AND(E756&gt;0,F756&gt;0,G756&gt;0,IF('01_설정'!$B$10=1,J756=1,TRUE()),M756&lt;='01_설정'!$B$5,N756&lt;='01_설정'!$B$7,O756&lt;='01_설정'!$B$8),"Y","")</f>
        <v/>
      </c>
      <c r="Q756">
        <f>IF(P756&lt;&gt;"Y","",MAX(0,(1-M756/'01_설정'!$B$5))*'01_설정'!$B$14+MAX(0,(1-N756/'01_설정'!$B$7))*'01_설정'!$B$16+MAX(0,(1-O756/'01_설정'!$B$8))*'01_설정'!$B$17+K756*'01_설정'!$B$11+L756*'01_설정'!$B$12)</f>
        <v/>
      </c>
      <c r="R756">
        <f>IF(Q756="","",1+COUNTIFS($Q$31:$Q$1030,"&gt;"&amp;Q756)+COUNTIFS($Q$31:Q756,Q756)-1)</f>
        <v/>
      </c>
    </row>
    <row r="757" hidden="1" ht="16.5" customHeight="1">
      <c r="A757">
        <f>IF(COUNTA('05_KAIS'!$A745:$N745)=0,"",730)</f>
        <v/>
      </c>
      <c r="B757">
        <f>IF($A757="","",TRIM(INDEX('05_KAIS'!$B:$B,$A757)&amp;" "&amp;INDEX('05_KAIS'!$C:$C,$A757)))</f>
        <v/>
      </c>
      <c r="C757">
        <f>IF($A757="","",INDEX('05_KAIS'!$D:$D,$A757))</f>
        <v/>
      </c>
      <c r="D757">
        <f>IF($A757="","",INDEX('05_KAIS'!$H:$H,$A757))</f>
        <v/>
      </c>
      <c r="E757">
        <f>IF($A757="","",INDEX('05_KAIS'!$K:$K,$A757))</f>
        <v/>
      </c>
      <c r="F757" s="202">
        <f>IF($A757="","",INDEX('05_KAIS'!$I:$I,$A757))</f>
        <v/>
      </c>
      <c r="G757" s="118">
        <f>IF($A757="","",INDEX('05_KAIS'!$L:$L,$A757))</f>
        <v/>
      </c>
      <c r="H757" s="118">
        <f>IF($A757="","",IFERROR(INDEX('05_KAIS'!$M:$M,$A757),IF(AND(E757&gt;0,G757&gt;0),G757/E757,"")))</f>
        <v/>
      </c>
      <c r="I757" s="202">
        <f>IF($A757="","",INDEX('05_KAIS'!$N:$N,$A757))</f>
        <v/>
      </c>
      <c r="J757">
        <f>IF(B757="","",IF('02_대상물건입력'!$B$5="",1,IF(ISNUMBER(SEARCH('02_대상물건입력'!$B$5,B757)),1,0)))</f>
        <v/>
      </c>
      <c r="K757">
        <f>IF(B757="","",IF('02_대상물건입력'!$B$6="",1,IF(ISNUMBER(SEARCH('02_대상물건입력'!$B$6,B757)),1,0)))</f>
        <v/>
      </c>
      <c r="L757">
        <f>IF(D757="","",IF('02_대상물건입력'!$B$8="",0,IF(ISNUMBER(SEARCH('02_대상물건입력'!$B$8,D757)),1,0)))</f>
        <v/>
      </c>
      <c r="M757">
        <f>IFERROR(ABS(E757-'02_대상물건입력'!$B$11)/'02_대상물건입력'!$B$11,"")</f>
        <v/>
      </c>
      <c r="N757">
        <f>IFERROR(ABS('01_설정'!$B$4-F757),"")</f>
        <v/>
      </c>
      <c r="O757">
        <f>IFERROR(ABS(YEAR(I757)-YEAR('02_대상물건입력'!$B$14)),"")</f>
        <v/>
      </c>
      <c r="P757">
        <f>IF(AND(E757&gt;0,F757&gt;0,G757&gt;0,IF('01_설정'!$B$10=1,J757=1,TRUE()),M757&lt;='01_설정'!$B$5,N757&lt;='01_설정'!$B$7,O757&lt;='01_설정'!$B$8),"Y","")</f>
        <v/>
      </c>
      <c r="Q757">
        <f>IF(P757&lt;&gt;"Y","",MAX(0,(1-M757/'01_설정'!$B$5))*'01_설정'!$B$14+MAX(0,(1-N757/'01_설정'!$B$7))*'01_설정'!$B$16+MAX(0,(1-O757/'01_설정'!$B$8))*'01_설정'!$B$17+K757*'01_설정'!$B$11+L757*'01_설정'!$B$12)</f>
        <v/>
      </c>
      <c r="R757">
        <f>IF(Q757="","",1+COUNTIFS($Q$31:$Q$1030,"&gt;"&amp;Q757)+COUNTIFS($Q$31:Q757,Q757)-1)</f>
        <v/>
      </c>
    </row>
    <row r="758" hidden="1" ht="16.5" customHeight="1">
      <c r="A758">
        <f>IF(COUNTA('05_KAIS'!$A746:$N746)=0,"",731)</f>
        <v/>
      </c>
      <c r="B758">
        <f>IF($A758="","",TRIM(INDEX('05_KAIS'!$B:$B,$A758)&amp;" "&amp;INDEX('05_KAIS'!$C:$C,$A758)))</f>
        <v/>
      </c>
      <c r="C758">
        <f>IF($A758="","",INDEX('05_KAIS'!$D:$D,$A758))</f>
        <v/>
      </c>
      <c r="D758">
        <f>IF($A758="","",INDEX('05_KAIS'!$H:$H,$A758))</f>
        <v/>
      </c>
      <c r="E758">
        <f>IF($A758="","",INDEX('05_KAIS'!$K:$K,$A758))</f>
        <v/>
      </c>
      <c r="F758" s="202">
        <f>IF($A758="","",INDEX('05_KAIS'!$I:$I,$A758))</f>
        <v/>
      </c>
      <c r="G758" s="118">
        <f>IF($A758="","",INDEX('05_KAIS'!$L:$L,$A758))</f>
        <v/>
      </c>
      <c r="H758" s="118">
        <f>IF($A758="","",IFERROR(INDEX('05_KAIS'!$M:$M,$A758),IF(AND(E758&gt;0,G758&gt;0),G758/E758,"")))</f>
        <v/>
      </c>
      <c r="I758" s="202">
        <f>IF($A758="","",INDEX('05_KAIS'!$N:$N,$A758))</f>
        <v/>
      </c>
      <c r="J758">
        <f>IF(B758="","",IF('02_대상물건입력'!$B$5="",1,IF(ISNUMBER(SEARCH('02_대상물건입력'!$B$5,B758)),1,0)))</f>
        <v/>
      </c>
      <c r="K758">
        <f>IF(B758="","",IF('02_대상물건입력'!$B$6="",1,IF(ISNUMBER(SEARCH('02_대상물건입력'!$B$6,B758)),1,0)))</f>
        <v/>
      </c>
      <c r="L758">
        <f>IF(D758="","",IF('02_대상물건입력'!$B$8="",0,IF(ISNUMBER(SEARCH('02_대상물건입력'!$B$8,D758)),1,0)))</f>
        <v/>
      </c>
      <c r="M758">
        <f>IFERROR(ABS(E758-'02_대상물건입력'!$B$11)/'02_대상물건입력'!$B$11,"")</f>
        <v/>
      </c>
      <c r="N758">
        <f>IFERROR(ABS('01_설정'!$B$4-F758),"")</f>
        <v/>
      </c>
      <c r="O758">
        <f>IFERROR(ABS(YEAR(I758)-YEAR('02_대상물건입력'!$B$14)),"")</f>
        <v/>
      </c>
      <c r="P758">
        <f>IF(AND(E758&gt;0,F758&gt;0,G758&gt;0,IF('01_설정'!$B$10=1,J758=1,TRUE()),M758&lt;='01_설정'!$B$5,N758&lt;='01_설정'!$B$7,O758&lt;='01_설정'!$B$8),"Y","")</f>
        <v/>
      </c>
      <c r="Q758">
        <f>IF(P758&lt;&gt;"Y","",MAX(0,(1-M758/'01_설정'!$B$5))*'01_설정'!$B$14+MAX(0,(1-N758/'01_설정'!$B$7))*'01_설정'!$B$16+MAX(0,(1-O758/'01_설정'!$B$8))*'01_설정'!$B$17+K758*'01_설정'!$B$11+L758*'01_설정'!$B$12)</f>
        <v/>
      </c>
      <c r="R758">
        <f>IF(Q758="","",1+COUNTIFS($Q$31:$Q$1030,"&gt;"&amp;Q758)+COUNTIFS($Q$31:Q758,Q758)-1)</f>
        <v/>
      </c>
    </row>
    <row r="759" hidden="1" ht="16.5" customHeight="1">
      <c r="A759">
        <f>IF(COUNTA('05_KAIS'!$A747:$N747)=0,"",732)</f>
        <v/>
      </c>
      <c r="B759">
        <f>IF($A759="","",TRIM(INDEX('05_KAIS'!$B:$B,$A759)&amp;" "&amp;INDEX('05_KAIS'!$C:$C,$A759)))</f>
        <v/>
      </c>
      <c r="C759">
        <f>IF($A759="","",INDEX('05_KAIS'!$D:$D,$A759))</f>
        <v/>
      </c>
      <c r="D759">
        <f>IF($A759="","",INDEX('05_KAIS'!$H:$H,$A759))</f>
        <v/>
      </c>
      <c r="E759">
        <f>IF($A759="","",INDEX('05_KAIS'!$K:$K,$A759))</f>
        <v/>
      </c>
      <c r="F759" s="202">
        <f>IF($A759="","",INDEX('05_KAIS'!$I:$I,$A759))</f>
        <v/>
      </c>
      <c r="G759" s="118">
        <f>IF($A759="","",INDEX('05_KAIS'!$L:$L,$A759))</f>
        <v/>
      </c>
      <c r="H759" s="118">
        <f>IF($A759="","",IFERROR(INDEX('05_KAIS'!$M:$M,$A759),IF(AND(E759&gt;0,G759&gt;0),G759/E759,"")))</f>
        <v/>
      </c>
      <c r="I759" s="202">
        <f>IF($A759="","",INDEX('05_KAIS'!$N:$N,$A759))</f>
        <v/>
      </c>
      <c r="J759">
        <f>IF(B759="","",IF('02_대상물건입력'!$B$5="",1,IF(ISNUMBER(SEARCH('02_대상물건입력'!$B$5,B759)),1,0)))</f>
        <v/>
      </c>
      <c r="K759">
        <f>IF(B759="","",IF('02_대상물건입력'!$B$6="",1,IF(ISNUMBER(SEARCH('02_대상물건입력'!$B$6,B759)),1,0)))</f>
        <v/>
      </c>
      <c r="L759">
        <f>IF(D759="","",IF('02_대상물건입력'!$B$8="",0,IF(ISNUMBER(SEARCH('02_대상물건입력'!$B$8,D759)),1,0)))</f>
        <v/>
      </c>
      <c r="M759">
        <f>IFERROR(ABS(E759-'02_대상물건입력'!$B$11)/'02_대상물건입력'!$B$11,"")</f>
        <v/>
      </c>
      <c r="N759">
        <f>IFERROR(ABS('01_설정'!$B$4-F759),"")</f>
        <v/>
      </c>
      <c r="O759">
        <f>IFERROR(ABS(YEAR(I759)-YEAR('02_대상물건입력'!$B$14)),"")</f>
        <v/>
      </c>
      <c r="P759">
        <f>IF(AND(E759&gt;0,F759&gt;0,G759&gt;0,IF('01_설정'!$B$10=1,J759=1,TRUE()),M759&lt;='01_설정'!$B$5,N759&lt;='01_설정'!$B$7,O759&lt;='01_설정'!$B$8),"Y","")</f>
        <v/>
      </c>
      <c r="Q759">
        <f>IF(P759&lt;&gt;"Y","",MAX(0,(1-M759/'01_설정'!$B$5))*'01_설정'!$B$14+MAX(0,(1-N759/'01_설정'!$B$7))*'01_설정'!$B$16+MAX(0,(1-O759/'01_설정'!$B$8))*'01_설정'!$B$17+K759*'01_설정'!$B$11+L759*'01_설정'!$B$12)</f>
        <v/>
      </c>
      <c r="R759">
        <f>IF(Q759="","",1+COUNTIFS($Q$31:$Q$1030,"&gt;"&amp;Q759)+COUNTIFS($Q$31:Q759,Q759)-1)</f>
        <v/>
      </c>
    </row>
    <row r="760" hidden="1" ht="16.5" customHeight="1">
      <c r="A760">
        <f>IF(COUNTA('05_KAIS'!$A748:$N748)=0,"",733)</f>
        <v/>
      </c>
      <c r="B760">
        <f>IF($A760="","",TRIM(INDEX('05_KAIS'!$B:$B,$A760)&amp;" "&amp;INDEX('05_KAIS'!$C:$C,$A760)))</f>
        <v/>
      </c>
      <c r="C760">
        <f>IF($A760="","",INDEX('05_KAIS'!$D:$D,$A760))</f>
        <v/>
      </c>
      <c r="D760">
        <f>IF($A760="","",INDEX('05_KAIS'!$H:$H,$A760))</f>
        <v/>
      </c>
      <c r="E760">
        <f>IF($A760="","",INDEX('05_KAIS'!$K:$K,$A760))</f>
        <v/>
      </c>
      <c r="F760" s="202">
        <f>IF($A760="","",INDEX('05_KAIS'!$I:$I,$A760))</f>
        <v/>
      </c>
      <c r="G760" s="118">
        <f>IF($A760="","",INDEX('05_KAIS'!$L:$L,$A760))</f>
        <v/>
      </c>
      <c r="H760" s="118">
        <f>IF($A760="","",IFERROR(INDEX('05_KAIS'!$M:$M,$A760),IF(AND(E760&gt;0,G760&gt;0),G760/E760,"")))</f>
        <v/>
      </c>
      <c r="I760" s="202">
        <f>IF($A760="","",INDEX('05_KAIS'!$N:$N,$A760))</f>
        <v/>
      </c>
      <c r="J760">
        <f>IF(B760="","",IF('02_대상물건입력'!$B$5="",1,IF(ISNUMBER(SEARCH('02_대상물건입력'!$B$5,B760)),1,0)))</f>
        <v/>
      </c>
      <c r="K760">
        <f>IF(B760="","",IF('02_대상물건입력'!$B$6="",1,IF(ISNUMBER(SEARCH('02_대상물건입력'!$B$6,B760)),1,0)))</f>
        <v/>
      </c>
      <c r="L760">
        <f>IF(D760="","",IF('02_대상물건입력'!$B$8="",0,IF(ISNUMBER(SEARCH('02_대상물건입력'!$B$8,D760)),1,0)))</f>
        <v/>
      </c>
      <c r="M760">
        <f>IFERROR(ABS(E760-'02_대상물건입력'!$B$11)/'02_대상물건입력'!$B$11,"")</f>
        <v/>
      </c>
      <c r="N760">
        <f>IFERROR(ABS('01_설정'!$B$4-F760),"")</f>
        <v/>
      </c>
      <c r="O760">
        <f>IFERROR(ABS(YEAR(I760)-YEAR('02_대상물건입력'!$B$14)),"")</f>
        <v/>
      </c>
      <c r="P760">
        <f>IF(AND(E760&gt;0,F760&gt;0,G760&gt;0,IF('01_설정'!$B$10=1,J760=1,TRUE()),M760&lt;='01_설정'!$B$5,N760&lt;='01_설정'!$B$7,O760&lt;='01_설정'!$B$8),"Y","")</f>
        <v/>
      </c>
      <c r="Q760">
        <f>IF(P760&lt;&gt;"Y","",MAX(0,(1-M760/'01_설정'!$B$5))*'01_설정'!$B$14+MAX(0,(1-N760/'01_설정'!$B$7))*'01_설정'!$B$16+MAX(0,(1-O760/'01_설정'!$B$8))*'01_설정'!$B$17+K760*'01_설정'!$B$11+L760*'01_설정'!$B$12)</f>
        <v/>
      </c>
      <c r="R760">
        <f>IF(Q760="","",1+COUNTIFS($Q$31:$Q$1030,"&gt;"&amp;Q760)+COUNTIFS($Q$31:Q760,Q760)-1)</f>
        <v/>
      </c>
    </row>
    <row r="761" hidden="1" ht="16.5" customHeight="1">
      <c r="A761">
        <f>IF(COUNTA('05_KAIS'!$A749:$N749)=0,"",734)</f>
        <v/>
      </c>
      <c r="B761">
        <f>IF($A761="","",TRIM(INDEX('05_KAIS'!$B:$B,$A761)&amp;" "&amp;INDEX('05_KAIS'!$C:$C,$A761)))</f>
        <v/>
      </c>
      <c r="C761">
        <f>IF($A761="","",INDEX('05_KAIS'!$D:$D,$A761))</f>
        <v/>
      </c>
      <c r="D761">
        <f>IF($A761="","",INDEX('05_KAIS'!$H:$H,$A761))</f>
        <v/>
      </c>
      <c r="E761">
        <f>IF($A761="","",INDEX('05_KAIS'!$K:$K,$A761))</f>
        <v/>
      </c>
      <c r="F761" s="202">
        <f>IF($A761="","",INDEX('05_KAIS'!$I:$I,$A761))</f>
        <v/>
      </c>
      <c r="G761" s="118">
        <f>IF($A761="","",INDEX('05_KAIS'!$L:$L,$A761))</f>
        <v/>
      </c>
      <c r="H761" s="118">
        <f>IF($A761="","",IFERROR(INDEX('05_KAIS'!$M:$M,$A761),IF(AND(E761&gt;0,G761&gt;0),G761/E761,"")))</f>
        <v/>
      </c>
      <c r="I761" s="202">
        <f>IF($A761="","",INDEX('05_KAIS'!$N:$N,$A761))</f>
        <v/>
      </c>
      <c r="J761">
        <f>IF(B761="","",IF('02_대상물건입력'!$B$5="",1,IF(ISNUMBER(SEARCH('02_대상물건입력'!$B$5,B761)),1,0)))</f>
        <v/>
      </c>
      <c r="K761">
        <f>IF(B761="","",IF('02_대상물건입력'!$B$6="",1,IF(ISNUMBER(SEARCH('02_대상물건입력'!$B$6,B761)),1,0)))</f>
        <v/>
      </c>
      <c r="L761">
        <f>IF(D761="","",IF('02_대상물건입력'!$B$8="",0,IF(ISNUMBER(SEARCH('02_대상물건입력'!$B$8,D761)),1,0)))</f>
        <v/>
      </c>
      <c r="M761">
        <f>IFERROR(ABS(E761-'02_대상물건입력'!$B$11)/'02_대상물건입력'!$B$11,"")</f>
        <v/>
      </c>
      <c r="N761">
        <f>IFERROR(ABS('01_설정'!$B$4-F761),"")</f>
        <v/>
      </c>
      <c r="O761">
        <f>IFERROR(ABS(YEAR(I761)-YEAR('02_대상물건입력'!$B$14)),"")</f>
        <v/>
      </c>
      <c r="P761">
        <f>IF(AND(E761&gt;0,F761&gt;0,G761&gt;0,IF('01_설정'!$B$10=1,J761=1,TRUE()),M761&lt;='01_설정'!$B$5,N761&lt;='01_설정'!$B$7,O761&lt;='01_설정'!$B$8),"Y","")</f>
        <v/>
      </c>
      <c r="Q761">
        <f>IF(P761&lt;&gt;"Y","",MAX(0,(1-M761/'01_설정'!$B$5))*'01_설정'!$B$14+MAX(0,(1-N761/'01_설정'!$B$7))*'01_설정'!$B$16+MAX(0,(1-O761/'01_설정'!$B$8))*'01_설정'!$B$17+K761*'01_설정'!$B$11+L761*'01_설정'!$B$12)</f>
        <v/>
      </c>
      <c r="R761">
        <f>IF(Q761="","",1+COUNTIFS($Q$31:$Q$1030,"&gt;"&amp;Q761)+COUNTIFS($Q$31:Q761,Q761)-1)</f>
        <v/>
      </c>
    </row>
    <row r="762" hidden="1" ht="16.5" customHeight="1">
      <c r="A762">
        <f>IF(COUNTA('05_KAIS'!$A750:$N750)=0,"",735)</f>
        <v/>
      </c>
      <c r="B762">
        <f>IF($A762="","",TRIM(INDEX('05_KAIS'!$B:$B,$A762)&amp;" "&amp;INDEX('05_KAIS'!$C:$C,$A762)))</f>
        <v/>
      </c>
      <c r="C762">
        <f>IF($A762="","",INDEX('05_KAIS'!$D:$D,$A762))</f>
        <v/>
      </c>
      <c r="D762">
        <f>IF($A762="","",INDEX('05_KAIS'!$H:$H,$A762))</f>
        <v/>
      </c>
      <c r="E762">
        <f>IF($A762="","",INDEX('05_KAIS'!$K:$K,$A762))</f>
        <v/>
      </c>
      <c r="F762" s="202">
        <f>IF($A762="","",INDEX('05_KAIS'!$I:$I,$A762))</f>
        <v/>
      </c>
      <c r="G762" s="118">
        <f>IF($A762="","",INDEX('05_KAIS'!$L:$L,$A762))</f>
        <v/>
      </c>
      <c r="H762" s="118">
        <f>IF($A762="","",IFERROR(INDEX('05_KAIS'!$M:$M,$A762),IF(AND(E762&gt;0,G762&gt;0),G762/E762,"")))</f>
        <v/>
      </c>
      <c r="I762" s="202">
        <f>IF($A762="","",INDEX('05_KAIS'!$N:$N,$A762))</f>
        <v/>
      </c>
      <c r="J762">
        <f>IF(B762="","",IF('02_대상물건입력'!$B$5="",1,IF(ISNUMBER(SEARCH('02_대상물건입력'!$B$5,B762)),1,0)))</f>
        <v/>
      </c>
      <c r="K762">
        <f>IF(B762="","",IF('02_대상물건입력'!$B$6="",1,IF(ISNUMBER(SEARCH('02_대상물건입력'!$B$6,B762)),1,0)))</f>
        <v/>
      </c>
      <c r="L762">
        <f>IF(D762="","",IF('02_대상물건입력'!$B$8="",0,IF(ISNUMBER(SEARCH('02_대상물건입력'!$B$8,D762)),1,0)))</f>
        <v/>
      </c>
      <c r="M762">
        <f>IFERROR(ABS(E762-'02_대상물건입력'!$B$11)/'02_대상물건입력'!$B$11,"")</f>
        <v/>
      </c>
      <c r="N762">
        <f>IFERROR(ABS('01_설정'!$B$4-F762),"")</f>
        <v/>
      </c>
      <c r="O762">
        <f>IFERROR(ABS(YEAR(I762)-YEAR('02_대상물건입력'!$B$14)),"")</f>
        <v/>
      </c>
      <c r="P762">
        <f>IF(AND(E762&gt;0,F762&gt;0,G762&gt;0,IF('01_설정'!$B$10=1,J762=1,TRUE()),M762&lt;='01_설정'!$B$5,N762&lt;='01_설정'!$B$7,O762&lt;='01_설정'!$B$8),"Y","")</f>
        <v/>
      </c>
      <c r="Q762">
        <f>IF(P762&lt;&gt;"Y","",MAX(0,(1-M762/'01_설정'!$B$5))*'01_설정'!$B$14+MAX(0,(1-N762/'01_설정'!$B$7))*'01_설정'!$B$16+MAX(0,(1-O762/'01_설정'!$B$8))*'01_설정'!$B$17+K762*'01_설정'!$B$11+L762*'01_설정'!$B$12)</f>
        <v/>
      </c>
      <c r="R762">
        <f>IF(Q762="","",1+COUNTIFS($Q$31:$Q$1030,"&gt;"&amp;Q762)+COUNTIFS($Q$31:Q762,Q762)-1)</f>
        <v/>
      </c>
    </row>
    <row r="763" hidden="1" ht="16.5" customHeight="1">
      <c r="A763">
        <f>IF(COUNTA('05_KAIS'!$A751:$N751)=0,"",736)</f>
        <v/>
      </c>
      <c r="B763">
        <f>IF($A763="","",TRIM(INDEX('05_KAIS'!$B:$B,$A763)&amp;" "&amp;INDEX('05_KAIS'!$C:$C,$A763)))</f>
        <v/>
      </c>
      <c r="C763">
        <f>IF($A763="","",INDEX('05_KAIS'!$D:$D,$A763))</f>
        <v/>
      </c>
      <c r="D763">
        <f>IF($A763="","",INDEX('05_KAIS'!$H:$H,$A763))</f>
        <v/>
      </c>
      <c r="E763">
        <f>IF($A763="","",INDEX('05_KAIS'!$K:$K,$A763))</f>
        <v/>
      </c>
      <c r="F763" s="202">
        <f>IF($A763="","",INDEX('05_KAIS'!$I:$I,$A763))</f>
        <v/>
      </c>
      <c r="G763" s="118">
        <f>IF($A763="","",INDEX('05_KAIS'!$L:$L,$A763))</f>
        <v/>
      </c>
      <c r="H763" s="118">
        <f>IF($A763="","",IFERROR(INDEX('05_KAIS'!$M:$M,$A763),IF(AND(E763&gt;0,G763&gt;0),G763/E763,"")))</f>
        <v/>
      </c>
      <c r="I763" s="202">
        <f>IF($A763="","",INDEX('05_KAIS'!$N:$N,$A763))</f>
        <v/>
      </c>
      <c r="J763">
        <f>IF(B763="","",IF('02_대상물건입력'!$B$5="",1,IF(ISNUMBER(SEARCH('02_대상물건입력'!$B$5,B763)),1,0)))</f>
        <v/>
      </c>
      <c r="K763">
        <f>IF(B763="","",IF('02_대상물건입력'!$B$6="",1,IF(ISNUMBER(SEARCH('02_대상물건입력'!$B$6,B763)),1,0)))</f>
        <v/>
      </c>
      <c r="L763">
        <f>IF(D763="","",IF('02_대상물건입력'!$B$8="",0,IF(ISNUMBER(SEARCH('02_대상물건입력'!$B$8,D763)),1,0)))</f>
        <v/>
      </c>
      <c r="M763">
        <f>IFERROR(ABS(E763-'02_대상물건입력'!$B$11)/'02_대상물건입력'!$B$11,"")</f>
        <v/>
      </c>
      <c r="N763">
        <f>IFERROR(ABS('01_설정'!$B$4-F763),"")</f>
        <v/>
      </c>
      <c r="O763">
        <f>IFERROR(ABS(YEAR(I763)-YEAR('02_대상물건입력'!$B$14)),"")</f>
        <v/>
      </c>
      <c r="P763">
        <f>IF(AND(E763&gt;0,F763&gt;0,G763&gt;0,IF('01_설정'!$B$10=1,J763=1,TRUE()),M763&lt;='01_설정'!$B$5,N763&lt;='01_설정'!$B$7,O763&lt;='01_설정'!$B$8),"Y","")</f>
        <v/>
      </c>
      <c r="Q763">
        <f>IF(P763&lt;&gt;"Y","",MAX(0,(1-M763/'01_설정'!$B$5))*'01_설정'!$B$14+MAX(0,(1-N763/'01_설정'!$B$7))*'01_설정'!$B$16+MAX(0,(1-O763/'01_설정'!$B$8))*'01_설정'!$B$17+K763*'01_설정'!$B$11+L763*'01_설정'!$B$12)</f>
        <v/>
      </c>
      <c r="R763">
        <f>IF(Q763="","",1+COUNTIFS($Q$31:$Q$1030,"&gt;"&amp;Q763)+COUNTIFS($Q$31:Q763,Q763)-1)</f>
        <v/>
      </c>
    </row>
    <row r="764" hidden="1" ht="16.5" customHeight="1">
      <c r="A764">
        <f>IF(COUNTA('05_KAIS'!$A752:$N752)=0,"",737)</f>
        <v/>
      </c>
      <c r="B764">
        <f>IF($A764="","",TRIM(INDEX('05_KAIS'!$B:$B,$A764)&amp;" "&amp;INDEX('05_KAIS'!$C:$C,$A764)))</f>
        <v/>
      </c>
      <c r="C764">
        <f>IF($A764="","",INDEX('05_KAIS'!$D:$D,$A764))</f>
        <v/>
      </c>
      <c r="D764">
        <f>IF($A764="","",INDEX('05_KAIS'!$H:$H,$A764))</f>
        <v/>
      </c>
      <c r="E764">
        <f>IF($A764="","",INDEX('05_KAIS'!$K:$K,$A764))</f>
        <v/>
      </c>
      <c r="F764" s="202">
        <f>IF($A764="","",INDEX('05_KAIS'!$I:$I,$A764))</f>
        <v/>
      </c>
      <c r="G764" s="118">
        <f>IF($A764="","",INDEX('05_KAIS'!$L:$L,$A764))</f>
        <v/>
      </c>
      <c r="H764" s="118">
        <f>IF($A764="","",IFERROR(INDEX('05_KAIS'!$M:$M,$A764),IF(AND(E764&gt;0,G764&gt;0),G764/E764,"")))</f>
        <v/>
      </c>
      <c r="I764" s="202">
        <f>IF($A764="","",INDEX('05_KAIS'!$N:$N,$A764))</f>
        <v/>
      </c>
      <c r="J764">
        <f>IF(B764="","",IF('02_대상물건입력'!$B$5="",1,IF(ISNUMBER(SEARCH('02_대상물건입력'!$B$5,B764)),1,0)))</f>
        <v/>
      </c>
      <c r="K764">
        <f>IF(B764="","",IF('02_대상물건입력'!$B$6="",1,IF(ISNUMBER(SEARCH('02_대상물건입력'!$B$6,B764)),1,0)))</f>
        <v/>
      </c>
      <c r="L764">
        <f>IF(D764="","",IF('02_대상물건입력'!$B$8="",0,IF(ISNUMBER(SEARCH('02_대상물건입력'!$B$8,D764)),1,0)))</f>
        <v/>
      </c>
      <c r="M764">
        <f>IFERROR(ABS(E764-'02_대상물건입력'!$B$11)/'02_대상물건입력'!$B$11,"")</f>
        <v/>
      </c>
      <c r="N764">
        <f>IFERROR(ABS('01_설정'!$B$4-F764),"")</f>
        <v/>
      </c>
      <c r="O764">
        <f>IFERROR(ABS(YEAR(I764)-YEAR('02_대상물건입력'!$B$14)),"")</f>
        <v/>
      </c>
      <c r="P764">
        <f>IF(AND(E764&gt;0,F764&gt;0,G764&gt;0,IF('01_설정'!$B$10=1,J764=1,TRUE()),M764&lt;='01_설정'!$B$5,N764&lt;='01_설정'!$B$7,O764&lt;='01_설정'!$B$8),"Y","")</f>
        <v/>
      </c>
      <c r="Q764">
        <f>IF(P764&lt;&gt;"Y","",MAX(0,(1-M764/'01_설정'!$B$5))*'01_설정'!$B$14+MAX(0,(1-N764/'01_설정'!$B$7))*'01_설정'!$B$16+MAX(0,(1-O764/'01_설정'!$B$8))*'01_설정'!$B$17+K764*'01_설정'!$B$11+L764*'01_설정'!$B$12)</f>
        <v/>
      </c>
      <c r="R764">
        <f>IF(Q764="","",1+COUNTIFS($Q$31:$Q$1030,"&gt;"&amp;Q764)+COUNTIFS($Q$31:Q764,Q764)-1)</f>
        <v/>
      </c>
    </row>
    <row r="765" hidden="1" ht="16.5" customHeight="1">
      <c r="A765">
        <f>IF(COUNTA('05_KAIS'!$A753:$N753)=0,"",738)</f>
        <v/>
      </c>
      <c r="B765">
        <f>IF($A765="","",TRIM(INDEX('05_KAIS'!$B:$B,$A765)&amp;" "&amp;INDEX('05_KAIS'!$C:$C,$A765)))</f>
        <v/>
      </c>
      <c r="C765">
        <f>IF($A765="","",INDEX('05_KAIS'!$D:$D,$A765))</f>
        <v/>
      </c>
      <c r="D765">
        <f>IF($A765="","",INDEX('05_KAIS'!$H:$H,$A765))</f>
        <v/>
      </c>
      <c r="E765">
        <f>IF($A765="","",INDEX('05_KAIS'!$K:$K,$A765))</f>
        <v/>
      </c>
      <c r="F765" s="202">
        <f>IF($A765="","",INDEX('05_KAIS'!$I:$I,$A765))</f>
        <v/>
      </c>
      <c r="G765" s="118">
        <f>IF($A765="","",INDEX('05_KAIS'!$L:$L,$A765))</f>
        <v/>
      </c>
      <c r="H765" s="118">
        <f>IF($A765="","",IFERROR(INDEX('05_KAIS'!$M:$M,$A765),IF(AND(E765&gt;0,G765&gt;0),G765/E765,"")))</f>
        <v/>
      </c>
      <c r="I765" s="202">
        <f>IF($A765="","",INDEX('05_KAIS'!$N:$N,$A765))</f>
        <v/>
      </c>
      <c r="J765">
        <f>IF(B765="","",IF('02_대상물건입력'!$B$5="",1,IF(ISNUMBER(SEARCH('02_대상물건입력'!$B$5,B765)),1,0)))</f>
        <v/>
      </c>
      <c r="K765">
        <f>IF(B765="","",IF('02_대상물건입력'!$B$6="",1,IF(ISNUMBER(SEARCH('02_대상물건입력'!$B$6,B765)),1,0)))</f>
        <v/>
      </c>
      <c r="L765">
        <f>IF(D765="","",IF('02_대상물건입력'!$B$8="",0,IF(ISNUMBER(SEARCH('02_대상물건입력'!$B$8,D765)),1,0)))</f>
        <v/>
      </c>
      <c r="M765">
        <f>IFERROR(ABS(E765-'02_대상물건입력'!$B$11)/'02_대상물건입력'!$B$11,"")</f>
        <v/>
      </c>
      <c r="N765">
        <f>IFERROR(ABS('01_설정'!$B$4-F765),"")</f>
        <v/>
      </c>
      <c r="O765">
        <f>IFERROR(ABS(YEAR(I765)-YEAR('02_대상물건입력'!$B$14)),"")</f>
        <v/>
      </c>
      <c r="P765">
        <f>IF(AND(E765&gt;0,F765&gt;0,G765&gt;0,IF('01_설정'!$B$10=1,J765=1,TRUE()),M765&lt;='01_설정'!$B$5,N765&lt;='01_설정'!$B$7,O765&lt;='01_설정'!$B$8),"Y","")</f>
        <v/>
      </c>
      <c r="Q765">
        <f>IF(P765&lt;&gt;"Y","",MAX(0,(1-M765/'01_설정'!$B$5))*'01_설정'!$B$14+MAX(0,(1-N765/'01_설정'!$B$7))*'01_설정'!$B$16+MAX(0,(1-O765/'01_설정'!$B$8))*'01_설정'!$B$17+K765*'01_설정'!$B$11+L765*'01_설정'!$B$12)</f>
        <v/>
      </c>
      <c r="R765">
        <f>IF(Q765="","",1+COUNTIFS($Q$31:$Q$1030,"&gt;"&amp;Q765)+COUNTIFS($Q$31:Q765,Q765)-1)</f>
        <v/>
      </c>
    </row>
    <row r="766" hidden="1" ht="16.5" customHeight="1">
      <c r="A766">
        <f>IF(COUNTA('05_KAIS'!$A754:$N754)=0,"",739)</f>
        <v/>
      </c>
      <c r="B766">
        <f>IF($A766="","",TRIM(INDEX('05_KAIS'!$B:$B,$A766)&amp;" "&amp;INDEX('05_KAIS'!$C:$C,$A766)))</f>
        <v/>
      </c>
      <c r="C766">
        <f>IF($A766="","",INDEX('05_KAIS'!$D:$D,$A766))</f>
        <v/>
      </c>
      <c r="D766">
        <f>IF($A766="","",INDEX('05_KAIS'!$H:$H,$A766))</f>
        <v/>
      </c>
      <c r="E766">
        <f>IF($A766="","",INDEX('05_KAIS'!$K:$K,$A766))</f>
        <v/>
      </c>
      <c r="F766" s="202">
        <f>IF($A766="","",INDEX('05_KAIS'!$I:$I,$A766))</f>
        <v/>
      </c>
      <c r="G766" s="118">
        <f>IF($A766="","",INDEX('05_KAIS'!$L:$L,$A766))</f>
        <v/>
      </c>
      <c r="H766" s="118">
        <f>IF($A766="","",IFERROR(INDEX('05_KAIS'!$M:$M,$A766),IF(AND(E766&gt;0,G766&gt;0),G766/E766,"")))</f>
        <v/>
      </c>
      <c r="I766" s="202">
        <f>IF($A766="","",INDEX('05_KAIS'!$N:$N,$A766))</f>
        <v/>
      </c>
      <c r="J766">
        <f>IF(B766="","",IF('02_대상물건입력'!$B$5="",1,IF(ISNUMBER(SEARCH('02_대상물건입력'!$B$5,B766)),1,0)))</f>
        <v/>
      </c>
      <c r="K766">
        <f>IF(B766="","",IF('02_대상물건입력'!$B$6="",1,IF(ISNUMBER(SEARCH('02_대상물건입력'!$B$6,B766)),1,0)))</f>
        <v/>
      </c>
      <c r="L766">
        <f>IF(D766="","",IF('02_대상물건입력'!$B$8="",0,IF(ISNUMBER(SEARCH('02_대상물건입력'!$B$8,D766)),1,0)))</f>
        <v/>
      </c>
      <c r="M766">
        <f>IFERROR(ABS(E766-'02_대상물건입력'!$B$11)/'02_대상물건입력'!$B$11,"")</f>
        <v/>
      </c>
      <c r="N766">
        <f>IFERROR(ABS('01_설정'!$B$4-F766),"")</f>
        <v/>
      </c>
      <c r="O766">
        <f>IFERROR(ABS(YEAR(I766)-YEAR('02_대상물건입력'!$B$14)),"")</f>
        <v/>
      </c>
      <c r="P766">
        <f>IF(AND(E766&gt;0,F766&gt;0,G766&gt;0,IF('01_설정'!$B$10=1,J766=1,TRUE()),M766&lt;='01_설정'!$B$5,N766&lt;='01_설정'!$B$7,O766&lt;='01_설정'!$B$8),"Y","")</f>
        <v/>
      </c>
      <c r="Q766">
        <f>IF(P766&lt;&gt;"Y","",MAX(0,(1-M766/'01_설정'!$B$5))*'01_설정'!$B$14+MAX(0,(1-N766/'01_설정'!$B$7))*'01_설정'!$B$16+MAX(0,(1-O766/'01_설정'!$B$8))*'01_설정'!$B$17+K766*'01_설정'!$B$11+L766*'01_설정'!$B$12)</f>
        <v/>
      </c>
      <c r="R766">
        <f>IF(Q766="","",1+COUNTIFS($Q$31:$Q$1030,"&gt;"&amp;Q766)+COUNTIFS($Q$31:Q766,Q766)-1)</f>
        <v/>
      </c>
    </row>
    <row r="767" hidden="1" ht="16.5" customHeight="1">
      <c r="A767">
        <f>IF(COUNTA('05_KAIS'!$A755:$N755)=0,"",740)</f>
        <v/>
      </c>
      <c r="B767">
        <f>IF($A767="","",TRIM(INDEX('05_KAIS'!$B:$B,$A767)&amp;" "&amp;INDEX('05_KAIS'!$C:$C,$A767)))</f>
        <v/>
      </c>
      <c r="C767">
        <f>IF($A767="","",INDEX('05_KAIS'!$D:$D,$A767))</f>
        <v/>
      </c>
      <c r="D767">
        <f>IF($A767="","",INDEX('05_KAIS'!$H:$H,$A767))</f>
        <v/>
      </c>
      <c r="E767">
        <f>IF($A767="","",INDEX('05_KAIS'!$K:$K,$A767))</f>
        <v/>
      </c>
      <c r="F767" s="202">
        <f>IF($A767="","",INDEX('05_KAIS'!$I:$I,$A767))</f>
        <v/>
      </c>
      <c r="G767" s="118">
        <f>IF($A767="","",INDEX('05_KAIS'!$L:$L,$A767))</f>
        <v/>
      </c>
      <c r="H767" s="118">
        <f>IF($A767="","",IFERROR(INDEX('05_KAIS'!$M:$M,$A767),IF(AND(E767&gt;0,G767&gt;0),G767/E767,"")))</f>
        <v/>
      </c>
      <c r="I767" s="202">
        <f>IF($A767="","",INDEX('05_KAIS'!$N:$N,$A767))</f>
        <v/>
      </c>
      <c r="J767">
        <f>IF(B767="","",IF('02_대상물건입력'!$B$5="",1,IF(ISNUMBER(SEARCH('02_대상물건입력'!$B$5,B767)),1,0)))</f>
        <v/>
      </c>
      <c r="K767">
        <f>IF(B767="","",IF('02_대상물건입력'!$B$6="",1,IF(ISNUMBER(SEARCH('02_대상물건입력'!$B$6,B767)),1,0)))</f>
        <v/>
      </c>
      <c r="L767">
        <f>IF(D767="","",IF('02_대상물건입력'!$B$8="",0,IF(ISNUMBER(SEARCH('02_대상물건입력'!$B$8,D767)),1,0)))</f>
        <v/>
      </c>
      <c r="M767">
        <f>IFERROR(ABS(E767-'02_대상물건입력'!$B$11)/'02_대상물건입력'!$B$11,"")</f>
        <v/>
      </c>
      <c r="N767">
        <f>IFERROR(ABS('01_설정'!$B$4-F767),"")</f>
        <v/>
      </c>
      <c r="O767">
        <f>IFERROR(ABS(YEAR(I767)-YEAR('02_대상물건입력'!$B$14)),"")</f>
        <v/>
      </c>
      <c r="P767">
        <f>IF(AND(E767&gt;0,F767&gt;0,G767&gt;0,IF('01_설정'!$B$10=1,J767=1,TRUE()),M767&lt;='01_설정'!$B$5,N767&lt;='01_설정'!$B$7,O767&lt;='01_설정'!$B$8),"Y","")</f>
        <v/>
      </c>
      <c r="Q767">
        <f>IF(P767&lt;&gt;"Y","",MAX(0,(1-M767/'01_설정'!$B$5))*'01_설정'!$B$14+MAX(0,(1-N767/'01_설정'!$B$7))*'01_설정'!$B$16+MAX(0,(1-O767/'01_설정'!$B$8))*'01_설정'!$B$17+K767*'01_설정'!$B$11+L767*'01_설정'!$B$12)</f>
        <v/>
      </c>
      <c r="R767">
        <f>IF(Q767="","",1+COUNTIFS($Q$31:$Q$1030,"&gt;"&amp;Q767)+COUNTIFS($Q$31:Q767,Q767)-1)</f>
        <v/>
      </c>
    </row>
    <row r="768" hidden="1" ht="16.5" customHeight="1">
      <c r="A768">
        <f>IF(COUNTA('05_KAIS'!$A756:$N756)=0,"",741)</f>
        <v/>
      </c>
      <c r="B768">
        <f>IF($A768="","",TRIM(INDEX('05_KAIS'!$B:$B,$A768)&amp;" "&amp;INDEX('05_KAIS'!$C:$C,$A768)))</f>
        <v/>
      </c>
      <c r="C768">
        <f>IF($A768="","",INDEX('05_KAIS'!$D:$D,$A768))</f>
        <v/>
      </c>
      <c r="D768">
        <f>IF($A768="","",INDEX('05_KAIS'!$H:$H,$A768))</f>
        <v/>
      </c>
      <c r="E768">
        <f>IF($A768="","",INDEX('05_KAIS'!$K:$K,$A768))</f>
        <v/>
      </c>
      <c r="F768" s="202">
        <f>IF($A768="","",INDEX('05_KAIS'!$I:$I,$A768))</f>
        <v/>
      </c>
      <c r="G768" s="118">
        <f>IF($A768="","",INDEX('05_KAIS'!$L:$L,$A768))</f>
        <v/>
      </c>
      <c r="H768" s="118">
        <f>IF($A768="","",IFERROR(INDEX('05_KAIS'!$M:$M,$A768),IF(AND(E768&gt;0,G768&gt;0),G768/E768,"")))</f>
        <v/>
      </c>
      <c r="I768" s="202">
        <f>IF($A768="","",INDEX('05_KAIS'!$N:$N,$A768))</f>
        <v/>
      </c>
      <c r="J768">
        <f>IF(B768="","",IF('02_대상물건입력'!$B$5="",1,IF(ISNUMBER(SEARCH('02_대상물건입력'!$B$5,B768)),1,0)))</f>
        <v/>
      </c>
      <c r="K768">
        <f>IF(B768="","",IF('02_대상물건입력'!$B$6="",1,IF(ISNUMBER(SEARCH('02_대상물건입력'!$B$6,B768)),1,0)))</f>
        <v/>
      </c>
      <c r="L768">
        <f>IF(D768="","",IF('02_대상물건입력'!$B$8="",0,IF(ISNUMBER(SEARCH('02_대상물건입력'!$B$8,D768)),1,0)))</f>
        <v/>
      </c>
      <c r="M768">
        <f>IFERROR(ABS(E768-'02_대상물건입력'!$B$11)/'02_대상물건입력'!$B$11,"")</f>
        <v/>
      </c>
      <c r="N768">
        <f>IFERROR(ABS('01_설정'!$B$4-F768),"")</f>
        <v/>
      </c>
      <c r="O768">
        <f>IFERROR(ABS(YEAR(I768)-YEAR('02_대상물건입력'!$B$14)),"")</f>
        <v/>
      </c>
      <c r="P768">
        <f>IF(AND(E768&gt;0,F768&gt;0,G768&gt;0,IF('01_설정'!$B$10=1,J768=1,TRUE()),M768&lt;='01_설정'!$B$5,N768&lt;='01_설정'!$B$7,O768&lt;='01_설정'!$B$8),"Y","")</f>
        <v/>
      </c>
      <c r="Q768">
        <f>IF(P768&lt;&gt;"Y","",MAX(0,(1-M768/'01_설정'!$B$5))*'01_설정'!$B$14+MAX(0,(1-N768/'01_설정'!$B$7))*'01_설정'!$B$16+MAX(0,(1-O768/'01_설정'!$B$8))*'01_설정'!$B$17+K768*'01_설정'!$B$11+L768*'01_설정'!$B$12)</f>
        <v/>
      </c>
      <c r="R768">
        <f>IF(Q768="","",1+COUNTIFS($Q$31:$Q$1030,"&gt;"&amp;Q768)+COUNTIFS($Q$31:Q768,Q768)-1)</f>
        <v/>
      </c>
    </row>
    <row r="769" hidden="1" ht="16.5" customHeight="1">
      <c r="A769">
        <f>IF(COUNTA('05_KAIS'!$A757:$N757)=0,"",742)</f>
        <v/>
      </c>
      <c r="B769">
        <f>IF($A769="","",TRIM(INDEX('05_KAIS'!$B:$B,$A769)&amp;" "&amp;INDEX('05_KAIS'!$C:$C,$A769)))</f>
        <v/>
      </c>
      <c r="C769">
        <f>IF($A769="","",INDEX('05_KAIS'!$D:$D,$A769))</f>
        <v/>
      </c>
      <c r="D769">
        <f>IF($A769="","",INDEX('05_KAIS'!$H:$H,$A769))</f>
        <v/>
      </c>
      <c r="E769">
        <f>IF($A769="","",INDEX('05_KAIS'!$K:$K,$A769))</f>
        <v/>
      </c>
      <c r="F769" s="202">
        <f>IF($A769="","",INDEX('05_KAIS'!$I:$I,$A769))</f>
        <v/>
      </c>
      <c r="G769" s="118">
        <f>IF($A769="","",INDEX('05_KAIS'!$L:$L,$A769))</f>
        <v/>
      </c>
      <c r="H769" s="118">
        <f>IF($A769="","",IFERROR(INDEX('05_KAIS'!$M:$M,$A769),IF(AND(E769&gt;0,G769&gt;0),G769/E769,"")))</f>
        <v/>
      </c>
      <c r="I769" s="202">
        <f>IF($A769="","",INDEX('05_KAIS'!$N:$N,$A769))</f>
        <v/>
      </c>
      <c r="J769">
        <f>IF(B769="","",IF('02_대상물건입력'!$B$5="",1,IF(ISNUMBER(SEARCH('02_대상물건입력'!$B$5,B769)),1,0)))</f>
        <v/>
      </c>
      <c r="K769">
        <f>IF(B769="","",IF('02_대상물건입력'!$B$6="",1,IF(ISNUMBER(SEARCH('02_대상물건입력'!$B$6,B769)),1,0)))</f>
        <v/>
      </c>
      <c r="L769">
        <f>IF(D769="","",IF('02_대상물건입력'!$B$8="",0,IF(ISNUMBER(SEARCH('02_대상물건입력'!$B$8,D769)),1,0)))</f>
        <v/>
      </c>
      <c r="M769">
        <f>IFERROR(ABS(E769-'02_대상물건입력'!$B$11)/'02_대상물건입력'!$B$11,"")</f>
        <v/>
      </c>
      <c r="N769">
        <f>IFERROR(ABS('01_설정'!$B$4-F769),"")</f>
        <v/>
      </c>
      <c r="O769">
        <f>IFERROR(ABS(YEAR(I769)-YEAR('02_대상물건입력'!$B$14)),"")</f>
        <v/>
      </c>
      <c r="P769">
        <f>IF(AND(E769&gt;0,F769&gt;0,G769&gt;0,IF('01_설정'!$B$10=1,J769=1,TRUE()),M769&lt;='01_설정'!$B$5,N769&lt;='01_설정'!$B$7,O769&lt;='01_설정'!$B$8),"Y","")</f>
        <v/>
      </c>
      <c r="Q769">
        <f>IF(P769&lt;&gt;"Y","",MAX(0,(1-M769/'01_설정'!$B$5))*'01_설정'!$B$14+MAX(0,(1-N769/'01_설정'!$B$7))*'01_설정'!$B$16+MAX(0,(1-O769/'01_설정'!$B$8))*'01_설정'!$B$17+K769*'01_설정'!$B$11+L769*'01_설정'!$B$12)</f>
        <v/>
      </c>
      <c r="R769">
        <f>IF(Q769="","",1+COUNTIFS($Q$31:$Q$1030,"&gt;"&amp;Q769)+COUNTIFS($Q$31:Q769,Q769)-1)</f>
        <v/>
      </c>
    </row>
    <row r="770" hidden="1" ht="16.5" customHeight="1">
      <c r="A770">
        <f>IF(COUNTA('05_KAIS'!$A758:$N758)=0,"",743)</f>
        <v/>
      </c>
      <c r="B770">
        <f>IF($A770="","",TRIM(INDEX('05_KAIS'!$B:$B,$A770)&amp;" "&amp;INDEX('05_KAIS'!$C:$C,$A770)))</f>
        <v/>
      </c>
      <c r="C770">
        <f>IF($A770="","",INDEX('05_KAIS'!$D:$D,$A770))</f>
        <v/>
      </c>
      <c r="D770">
        <f>IF($A770="","",INDEX('05_KAIS'!$H:$H,$A770))</f>
        <v/>
      </c>
      <c r="E770">
        <f>IF($A770="","",INDEX('05_KAIS'!$K:$K,$A770))</f>
        <v/>
      </c>
      <c r="F770" s="202">
        <f>IF($A770="","",INDEX('05_KAIS'!$I:$I,$A770))</f>
        <v/>
      </c>
      <c r="G770" s="118">
        <f>IF($A770="","",INDEX('05_KAIS'!$L:$L,$A770))</f>
        <v/>
      </c>
      <c r="H770" s="118">
        <f>IF($A770="","",IFERROR(INDEX('05_KAIS'!$M:$M,$A770),IF(AND(E770&gt;0,G770&gt;0),G770/E770,"")))</f>
        <v/>
      </c>
      <c r="I770" s="202">
        <f>IF($A770="","",INDEX('05_KAIS'!$N:$N,$A770))</f>
        <v/>
      </c>
      <c r="J770">
        <f>IF(B770="","",IF('02_대상물건입력'!$B$5="",1,IF(ISNUMBER(SEARCH('02_대상물건입력'!$B$5,B770)),1,0)))</f>
        <v/>
      </c>
      <c r="K770">
        <f>IF(B770="","",IF('02_대상물건입력'!$B$6="",1,IF(ISNUMBER(SEARCH('02_대상물건입력'!$B$6,B770)),1,0)))</f>
        <v/>
      </c>
      <c r="L770">
        <f>IF(D770="","",IF('02_대상물건입력'!$B$8="",0,IF(ISNUMBER(SEARCH('02_대상물건입력'!$B$8,D770)),1,0)))</f>
        <v/>
      </c>
      <c r="M770">
        <f>IFERROR(ABS(E770-'02_대상물건입력'!$B$11)/'02_대상물건입력'!$B$11,"")</f>
        <v/>
      </c>
      <c r="N770">
        <f>IFERROR(ABS('01_설정'!$B$4-F770),"")</f>
        <v/>
      </c>
      <c r="O770">
        <f>IFERROR(ABS(YEAR(I770)-YEAR('02_대상물건입력'!$B$14)),"")</f>
        <v/>
      </c>
      <c r="P770">
        <f>IF(AND(E770&gt;0,F770&gt;0,G770&gt;0,IF('01_설정'!$B$10=1,J770=1,TRUE()),M770&lt;='01_설정'!$B$5,N770&lt;='01_설정'!$B$7,O770&lt;='01_설정'!$B$8),"Y","")</f>
        <v/>
      </c>
      <c r="Q770">
        <f>IF(P770&lt;&gt;"Y","",MAX(0,(1-M770/'01_설정'!$B$5))*'01_설정'!$B$14+MAX(0,(1-N770/'01_설정'!$B$7))*'01_설정'!$B$16+MAX(0,(1-O770/'01_설정'!$B$8))*'01_설정'!$B$17+K770*'01_설정'!$B$11+L770*'01_설정'!$B$12)</f>
        <v/>
      </c>
      <c r="R770">
        <f>IF(Q770="","",1+COUNTIFS($Q$31:$Q$1030,"&gt;"&amp;Q770)+COUNTIFS($Q$31:Q770,Q770)-1)</f>
        <v/>
      </c>
    </row>
    <row r="771" hidden="1" ht="16.5" customHeight="1">
      <c r="A771">
        <f>IF(COUNTA('05_KAIS'!$A759:$N759)=0,"",744)</f>
        <v/>
      </c>
      <c r="B771">
        <f>IF($A771="","",TRIM(INDEX('05_KAIS'!$B:$B,$A771)&amp;" "&amp;INDEX('05_KAIS'!$C:$C,$A771)))</f>
        <v/>
      </c>
      <c r="C771">
        <f>IF($A771="","",INDEX('05_KAIS'!$D:$D,$A771))</f>
        <v/>
      </c>
      <c r="D771">
        <f>IF($A771="","",INDEX('05_KAIS'!$H:$H,$A771))</f>
        <v/>
      </c>
      <c r="E771">
        <f>IF($A771="","",INDEX('05_KAIS'!$K:$K,$A771))</f>
        <v/>
      </c>
      <c r="F771" s="202">
        <f>IF($A771="","",INDEX('05_KAIS'!$I:$I,$A771))</f>
        <v/>
      </c>
      <c r="G771" s="118">
        <f>IF($A771="","",INDEX('05_KAIS'!$L:$L,$A771))</f>
        <v/>
      </c>
      <c r="H771" s="118">
        <f>IF($A771="","",IFERROR(INDEX('05_KAIS'!$M:$M,$A771),IF(AND(E771&gt;0,G771&gt;0),G771/E771,"")))</f>
        <v/>
      </c>
      <c r="I771" s="202">
        <f>IF($A771="","",INDEX('05_KAIS'!$N:$N,$A771))</f>
        <v/>
      </c>
      <c r="J771">
        <f>IF(B771="","",IF('02_대상물건입력'!$B$5="",1,IF(ISNUMBER(SEARCH('02_대상물건입력'!$B$5,B771)),1,0)))</f>
        <v/>
      </c>
      <c r="K771">
        <f>IF(B771="","",IF('02_대상물건입력'!$B$6="",1,IF(ISNUMBER(SEARCH('02_대상물건입력'!$B$6,B771)),1,0)))</f>
        <v/>
      </c>
      <c r="L771">
        <f>IF(D771="","",IF('02_대상물건입력'!$B$8="",0,IF(ISNUMBER(SEARCH('02_대상물건입력'!$B$8,D771)),1,0)))</f>
        <v/>
      </c>
      <c r="M771">
        <f>IFERROR(ABS(E771-'02_대상물건입력'!$B$11)/'02_대상물건입력'!$B$11,"")</f>
        <v/>
      </c>
      <c r="N771">
        <f>IFERROR(ABS('01_설정'!$B$4-F771),"")</f>
        <v/>
      </c>
      <c r="O771">
        <f>IFERROR(ABS(YEAR(I771)-YEAR('02_대상물건입력'!$B$14)),"")</f>
        <v/>
      </c>
      <c r="P771">
        <f>IF(AND(E771&gt;0,F771&gt;0,G771&gt;0,IF('01_설정'!$B$10=1,J771=1,TRUE()),M771&lt;='01_설정'!$B$5,N771&lt;='01_설정'!$B$7,O771&lt;='01_설정'!$B$8),"Y","")</f>
        <v/>
      </c>
      <c r="Q771">
        <f>IF(P771&lt;&gt;"Y","",MAX(0,(1-M771/'01_설정'!$B$5))*'01_설정'!$B$14+MAX(0,(1-N771/'01_설정'!$B$7))*'01_설정'!$B$16+MAX(0,(1-O771/'01_설정'!$B$8))*'01_설정'!$B$17+K771*'01_설정'!$B$11+L771*'01_설정'!$B$12)</f>
        <v/>
      </c>
      <c r="R771">
        <f>IF(Q771="","",1+COUNTIFS($Q$31:$Q$1030,"&gt;"&amp;Q771)+COUNTIFS($Q$31:Q771,Q771)-1)</f>
        <v/>
      </c>
    </row>
    <row r="772" hidden="1" ht="16.5" customHeight="1">
      <c r="A772">
        <f>IF(COUNTA('05_KAIS'!$A760:$N760)=0,"",745)</f>
        <v/>
      </c>
      <c r="B772">
        <f>IF($A772="","",TRIM(INDEX('05_KAIS'!$B:$B,$A772)&amp;" "&amp;INDEX('05_KAIS'!$C:$C,$A772)))</f>
        <v/>
      </c>
      <c r="C772">
        <f>IF($A772="","",INDEX('05_KAIS'!$D:$D,$A772))</f>
        <v/>
      </c>
      <c r="D772">
        <f>IF($A772="","",INDEX('05_KAIS'!$H:$H,$A772))</f>
        <v/>
      </c>
      <c r="E772">
        <f>IF($A772="","",INDEX('05_KAIS'!$K:$K,$A772))</f>
        <v/>
      </c>
      <c r="F772" s="202">
        <f>IF($A772="","",INDEX('05_KAIS'!$I:$I,$A772))</f>
        <v/>
      </c>
      <c r="G772" s="118">
        <f>IF($A772="","",INDEX('05_KAIS'!$L:$L,$A772))</f>
        <v/>
      </c>
      <c r="H772" s="118">
        <f>IF($A772="","",IFERROR(INDEX('05_KAIS'!$M:$M,$A772),IF(AND(E772&gt;0,G772&gt;0),G772/E772,"")))</f>
        <v/>
      </c>
      <c r="I772" s="202">
        <f>IF($A772="","",INDEX('05_KAIS'!$N:$N,$A772))</f>
        <v/>
      </c>
      <c r="J772">
        <f>IF(B772="","",IF('02_대상물건입력'!$B$5="",1,IF(ISNUMBER(SEARCH('02_대상물건입력'!$B$5,B772)),1,0)))</f>
        <v/>
      </c>
      <c r="K772">
        <f>IF(B772="","",IF('02_대상물건입력'!$B$6="",1,IF(ISNUMBER(SEARCH('02_대상물건입력'!$B$6,B772)),1,0)))</f>
        <v/>
      </c>
      <c r="L772">
        <f>IF(D772="","",IF('02_대상물건입력'!$B$8="",0,IF(ISNUMBER(SEARCH('02_대상물건입력'!$B$8,D772)),1,0)))</f>
        <v/>
      </c>
      <c r="M772">
        <f>IFERROR(ABS(E772-'02_대상물건입력'!$B$11)/'02_대상물건입력'!$B$11,"")</f>
        <v/>
      </c>
      <c r="N772">
        <f>IFERROR(ABS('01_설정'!$B$4-F772),"")</f>
        <v/>
      </c>
      <c r="O772">
        <f>IFERROR(ABS(YEAR(I772)-YEAR('02_대상물건입력'!$B$14)),"")</f>
        <v/>
      </c>
      <c r="P772">
        <f>IF(AND(E772&gt;0,F772&gt;0,G772&gt;0,IF('01_설정'!$B$10=1,J772=1,TRUE()),M772&lt;='01_설정'!$B$5,N772&lt;='01_설정'!$B$7,O772&lt;='01_설정'!$B$8),"Y","")</f>
        <v/>
      </c>
      <c r="Q772">
        <f>IF(P772&lt;&gt;"Y","",MAX(0,(1-M772/'01_설정'!$B$5))*'01_설정'!$B$14+MAX(0,(1-N772/'01_설정'!$B$7))*'01_설정'!$B$16+MAX(0,(1-O772/'01_설정'!$B$8))*'01_설정'!$B$17+K772*'01_설정'!$B$11+L772*'01_설정'!$B$12)</f>
        <v/>
      </c>
      <c r="R772">
        <f>IF(Q772="","",1+COUNTIFS($Q$31:$Q$1030,"&gt;"&amp;Q772)+COUNTIFS($Q$31:Q772,Q772)-1)</f>
        <v/>
      </c>
    </row>
    <row r="773" hidden="1" ht="16.5" customHeight="1">
      <c r="A773">
        <f>IF(COUNTA('05_KAIS'!$A761:$N761)=0,"",746)</f>
        <v/>
      </c>
      <c r="B773">
        <f>IF($A773="","",TRIM(INDEX('05_KAIS'!$B:$B,$A773)&amp;" "&amp;INDEX('05_KAIS'!$C:$C,$A773)))</f>
        <v/>
      </c>
      <c r="C773">
        <f>IF($A773="","",INDEX('05_KAIS'!$D:$D,$A773))</f>
        <v/>
      </c>
      <c r="D773">
        <f>IF($A773="","",INDEX('05_KAIS'!$H:$H,$A773))</f>
        <v/>
      </c>
      <c r="E773">
        <f>IF($A773="","",INDEX('05_KAIS'!$K:$K,$A773))</f>
        <v/>
      </c>
      <c r="F773" s="202">
        <f>IF($A773="","",INDEX('05_KAIS'!$I:$I,$A773))</f>
        <v/>
      </c>
      <c r="G773" s="118">
        <f>IF($A773="","",INDEX('05_KAIS'!$L:$L,$A773))</f>
        <v/>
      </c>
      <c r="H773" s="118">
        <f>IF($A773="","",IFERROR(INDEX('05_KAIS'!$M:$M,$A773),IF(AND(E773&gt;0,G773&gt;0),G773/E773,"")))</f>
        <v/>
      </c>
      <c r="I773" s="202">
        <f>IF($A773="","",INDEX('05_KAIS'!$N:$N,$A773))</f>
        <v/>
      </c>
      <c r="J773">
        <f>IF(B773="","",IF('02_대상물건입력'!$B$5="",1,IF(ISNUMBER(SEARCH('02_대상물건입력'!$B$5,B773)),1,0)))</f>
        <v/>
      </c>
      <c r="K773">
        <f>IF(B773="","",IF('02_대상물건입력'!$B$6="",1,IF(ISNUMBER(SEARCH('02_대상물건입력'!$B$6,B773)),1,0)))</f>
        <v/>
      </c>
      <c r="L773">
        <f>IF(D773="","",IF('02_대상물건입력'!$B$8="",0,IF(ISNUMBER(SEARCH('02_대상물건입력'!$B$8,D773)),1,0)))</f>
        <v/>
      </c>
      <c r="M773">
        <f>IFERROR(ABS(E773-'02_대상물건입력'!$B$11)/'02_대상물건입력'!$B$11,"")</f>
        <v/>
      </c>
      <c r="N773">
        <f>IFERROR(ABS('01_설정'!$B$4-F773),"")</f>
        <v/>
      </c>
      <c r="O773">
        <f>IFERROR(ABS(YEAR(I773)-YEAR('02_대상물건입력'!$B$14)),"")</f>
        <v/>
      </c>
      <c r="P773">
        <f>IF(AND(E773&gt;0,F773&gt;0,G773&gt;0,IF('01_설정'!$B$10=1,J773=1,TRUE()),M773&lt;='01_설정'!$B$5,N773&lt;='01_설정'!$B$7,O773&lt;='01_설정'!$B$8),"Y","")</f>
        <v/>
      </c>
      <c r="Q773">
        <f>IF(P773&lt;&gt;"Y","",MAX(0,(1-M773/'01_설정'!$B$5))*'01_설정'!$B$14+MAX(0,(1-N773/'01_설정'!$B$7))*'01_설정'!$B$16+MAX(0,(1-O773/'01_설정'!$B$8))*'01_설정'!$B$17+K773*'01_설정'!$B$11+L773*'01_설정'!$B$12)</f>
        <v/>
      </c>
      <c r="R773">
        <f>IF(Q773="","",1+COUNTIFS($Q$31:$Q$1030,"&gt;"&amp;Q773)+COUNTIFS($Q$31:Q773,Q773)-1)</f>
        <v/>
      </c>
    </row>
    <row r="774" hidden="1" ht="16.5" customHeight="1">
      <c r="A774">
        <f>IF(COUNTA('05_KAIS'!$A762:$N762)=0,"",747)</f>
        <v/>
      </c>
      <c r="B774">
        <f>IF($A774="","",TRIM(INDEX('05_KAIS'!$B:$B,$A774)&amp;" "&amp;INDEX('05_KAIS'!$C:$C,$A774)))</f>
        <v/>
      </c>
      <c r="C774">
        <f>IF($A774="","",INDEX('05_KAIS'!$D:$D,$A774))</f>
        <v/>
      </c>
      <c r="D774">
        <f>IF($A774="","",INDEX('05_KAIS'!$H:$H,$A774))</f>
        <v/>
      </c>
      <c r="E774">
        <f>IF($A774="","",INDEX('05_KAIS'!$K:$K,$A774))</f>
        <v/>
      </c>
      <c r="F774" s="202">
        <f>IF($A774="","",INDEX('05_KAIS'!$I:$I,$A774))</f>
        <v/>
      </c>
      <c r="G774" s="118">
        <f>IF($A774="","",INDEX('05_KAIS'!$L:$L,$A774))</f>
        <v/>
      </c>
      <c r="H774" s="118">
        <f>IF($A774="","",IFERROR(INDEX('05_KAIS'!$M:$M,$A774),IF(AND(E774&gt;0,G774&gt;0),G774/E774,"")))</f>
        <v/>
      </c>
      <c r="I774" s="202">
        <f>IF($A774="","",INDEX('05_KAIS'!$N:$N,$A774))</f>
        <v/>
      </c>
      <c r="J774">
        <f>IF(B774="","",IF('02_대상물건입력'!$B$5="",1,IF(ISNUMBER(SEARCH('02_대상물건입력'!$B$5,B774)),1,0)))</f>
        <v/>
      </c>
      <c r="K774">
        <f>IF(B774="","",IF('02_대상물건입력'!$B$6="",1,IF(ISNUMBER(SEARCH('02_대상물건입력'!$B$6,B774)),1,0)))</f>
        <v/>
      </c>
      <c r="L774">
        <f>IF(D774="","",IF('02_대상물건입력'!$B$8="",0,IF(ISNUMBER(SEARCH('02_대상물건입력'!$B$8,D774)),1,0)))</f>
        <v/>
      </c>
      <c r="M774">
        <f>IFERROR(ABS(E774-'02_대상물건입력'!$B$11)/'02_대상물건입력'!$B$11,"")</f>
        <v/>
      </c>
      <c r="N774">
        <f>IFERROR(ABS('01_설정'!$B$4-F774),"")</f>
        <v/>
      </c>
      <c r="O774">
        <f>IFERROR(ABS(YEAR(I774)-YEAR('02_대상물건입력'!$B$14)),"")</f>
        <v/>
      </c>
      <c r="P774">
        <f>IF(AND(E774&gt;0,F774&gt;0,G774&gt;0,IF('01_설정'!$B$10=1,J774=1,TRUE()),M774&lt;='01_설정'!$B$5,N774&lt;='01_설정'!$B$7,O774&lt;='01_설정'!$B$8),"Y","")</f>
        <v/>
      </c>
      <c r="Q774">
        <f>IF(P774&lt;&gt;"Y","",MAX(0,(1-M774/'01_설정'!$B$5))*'01_설정'!$B$14+MAX(0,(1-N774/'01_설정'!$B$7))*'01_설정'!$B$16+MAX(0,(1-O774/'01_설정'!$B$8))*'01_설정'!$B$17+K774*'01_설정'!$B$11+L774*'01_설정'!$B$12)</f>
        <v/>
      </c>
      <c r="R774">
        <f>IF(Q774="","",1+COUNTIFS($Q$31:$Q$1030,"&gt;"&amp;Q774)+COUNTIFS($Q$31:Q774,Q774)-1)</f>
        <v/>
      </c>
    </row>
    <row r="775" hidden="1" ht="16.5" customHeight="1">
      <c r="A775">
        <f>IF(COUNTA('05_KAIS'!$A763:$N763)=0,"",748)</f>
        <v/>
      </c>
      <c r="B775">
        <f>IF($A775="","",TRIM(INDEX('05_KAIS'!$B:$B,$A775)&amp;" "&amp;INDEX('05_KAIS'!$C:$C,$A775)))</f>
        <v/>
      </c>
      <c r="C775">
        <f>IF($A775="","",INDEX('05_KAIS'!$D:$D,$A775))</f>
        <v/>
      </c>
      <c r="D775">
        <f>IF($A775="","",INDEX('05_KAIS'!$H:$H,$A775))</f>
        <v/>
      </c>
      <c r="E775">
        <f>IF($A775="","",INDEX('05_KAIS'!$K:$K,$A775))</f>
        <v/>
      </c>
      <c r="F775" s="202">
        <f>IF($A775="","",INDEX('05_KAIS'!$I:$I,$A775))</f>
        <v/>
      </c>
      <c r="G775" s="118">
        <f>IF($A775="","",INDEX('05_KAIS'!$L:$L,$A775))</f>
        <v/>
      </c>
      <c r="H775" s="118">
        <f>IF($A775="","",IFERROR(INDEX('05_KAIS'!$M:$M,$A775),IF(AND(E775&gt;0,G775&gt;0),G775/E775,"")))</f>
        <v/>
      </c>
      <c r="I775" s="202">
        <f>IF($A775="","",INDEX('05_KAIS'!$N:$N,$A775))</f>
        <v/>
      </c>
      <c r="J775">
        <f>IF(B775="","",IF('02_대상물건입력'!$B$5="",1,IF(ISNUMBER(SEARCH('02_대상물건입력'!$B$5,B775)),1,0)))</f>
        <v/>
      </c>
      <c r="K775">
        <f>IF(B775="","",IF('02_대상물건입력'!$B$6="",1,IF(ISNUMBER(SEARCH('02_대상물건입력'!$B$6,B775)),1,0)))</f>
        <v/>
      </c>
      <c r="L775">
        <f>IF(D775="","",IF('02_대상물건입력'!$B$8="",0,IF(ISNUMBER(SEARCH('02_대상물건입력'!$B$8,D775)),1,0)))</f>
        <v/>
      </c>
      <c r="M775">
        <f>IFERROR(ABS(E775-'02_대상물건입력'!$B$11)/'02_대상물건입력'!$B$11,"")</f>
        <v/>
      </c>
      <c r="N775">
        <f>IFERROR(ABS('01_설정'!$B$4-F775),"")</f>
        <v/>
      </c>
      <c r="O775">
        <f>IFERROR(ABS(YEAR(I775)-YEAR('02_대상물건입력'!$B$14)),"")</f>
        <v/>
      </c>
      <c r="P775">
        <f>IF(AND(E775&gt;0,F775&gt;0,G775&gt;0,IF('01_설정'!$B$10=1,J775=1,TRUE()),M775&lt;='01_설정'!$B$5,N775&lt;='01_설정'!$B$7,O775&lt;='01_설정'!$B$8),"Y","")</f>
        <v/>
      </c>
      <c r="Q775">
        <f>IF(P775&lt;&gt;"Y","",MAX(0,(1-M775/'01_설정'!$B$5))*'01_설정'!$B$14+MAX(0,(1-N775/'01_설정'!$B$7))*'01_설정'!$B$16+MAX(0,(1-O775/'01_설정'!$B$8))*'01_설정'!$B$17+K775*'01_설정'!$B$11+L775*'01_설정'!$B$12)</f>
        <v/>
      </c>
      <c r="R775">
        <f>IF(Q775="","",1+COUNTIFS($Q$31:$Q$1030,"&gt;"&amp;Q775)+COUNTIFS($Q$31:Q775,Q775)-1)</f>
        <v/>
      </c>
    </row>
    <row r="776" hidden="1" ht="16.5" customHeight="1">
      <c r="A776">
        <f>IF(COUNTA('05_KAIS'!$A764:$N764)=0,"",749)</f>
        <v/>
      </c>
      <c r="B776">
        <f>IF($A776="","",TRIM(INDEX('05_KAIS'!$B:$B,$A776)&amp;" "&amp;INDEX('05_KAIS'!$C:$C,$A776)))</f>
        <v/>
      </c>
      <c r="C776">
        <f>IF($A776="","",INDEX('05_KAIS'!$D:$D,$A776))</f>
        <v/>
      </c>
      <c r="D776">
        <f>IF($A776="","",INDEX('05_KAIS'!$H:$H,$A776))</f>
        <v/>
      </c>
      <c r="E776">
        <f>IF($A776="","",INDEX('05_KAIS'!$K:$K,$A776))</f>
        <v/>
      </c>
      <c r="F776" s="202">
        <f>IF($A776="","",INDEX('05_KAIS'!$I:$I,$A776))</f>
        <v/>
      </c>
      <c r="G776" s="118">
        <f>IF($A776="","",INDEX('05_KAIS'!$L:$L,$A776))</f>
        <v/>
      </c>
      <c r="H776" s="118">
        <f>IF($A776="","",IFERROR(INDEX('05_KAIS'!$M:$M,$A776),IF(AND(E776&gt;0,G776&gt;0),G776/E776,"")))</f>
        <v/>
      </c>
      <c r="I776" s="202">
        <f>IF($A776="","",INDEX('05_KAIS'!$N:$N,$A776))</f>
        <v/>
      </c>
      <c r="J776">
        <f>IF(B776="","",IF('02_대상물건입력'!$B$5="",1,IF(ISNUMBER(SEARCH('02_대상물건입력'!$B$5,B776)),1,0)))</f>
        <v/>
      </c>
      <c r="K776">
        <f>IF(B776="","",IF('02_대상물건입력'!$B$6="",1,IF(ISNUMBER(SEARCH('02_대상물건입력'!$B$6,B776)),1,0)))</f>
        <v/>
      </c>
      <c r="L776">
        <f>IF(D776="","",IF('02_대상물건입력'!$B$8="",0,IF(ISNUMBER(SEARCH('02_대상물건입력'!$B$8,D776)),1,0)))</f>
        <v/>
      </c>
      <c r="M776">
        <f>IFERROR(ABS(E776-'02_대상물건입력'!$B$11)/'02_대상물건입력'!$B$11,"")</f>
        <v/>
      </c>
      <c r="N776">
        <f>IFERROR(ABS('01_설정'!$B$4-F776),"")</f>
        <v/>
      </c>
      <c r="O776">
        <f>IFERROR(ABS(YEAR(I776)-YEAR('02_대상물건입력'!$B$14)),"")</f>
        <v/>
      </c>
      <c r="P776">
        <f>IF(AND(E776&gt;0,F776&gt;0,G776&gt;0,IF('01_설정'!$B$10=1,J776=1,TRUE()),M776&lt;='01_설정'!$B$5,N776&lt;='01_설정'!$B$7,O776&lt;='01_설정'!$B$8),"Y","")</f>
        <v/>
      </c>
      <c r="Q776">
        <f>IF(P776&lt;&gt;"Y","",MAX(0,(1-M776/'01_설정'!$B$5))*'01_설정'!$B$14+MAX(0,(1-N776/'01_설정'!$B$7))*'01_설정'!$B$16+MAX(0,(1-O776/'01_설정'!$B$8))*'01_설정'!$B$17+K776*'01_설정'!$B$11+L776*'01_설정'!$B$12)</f>
        <v/>
      </c>
      <c r="R776">
        <f>IF(Q776="","",1+COUNTIFS($Q$31:$Q$1030,"&gt;"&amp;Q776)+COUNTIFS($Q$31:Q776,Q776)-1)</f>
        <v/>
      </c>
    </row>
    <row r="777" hidden="1" ht="16.5" customHeight="1">
      <c r="A777">
        <f>IF(COUNTA('05_KAIS'!$A765:$N765)=0,"",750)</f>
        <v/>
      </c>
      <c r="B777">
        <f>IF($A777="","",TRIM(INDEX('05_KAIS'!$B:$B,$A777)&amp;" "&amp;INDEX('05_KAIS'!$C:$C,$A777)))</f>
        <v/>
      </c>
      <c r="C777">
        <f>IF($A777="","",INDEX('05_KAIS'!$D:$D,$A777))</f>
        <v/>
      </c>
      <c r="D777">
        <f>IF($A777="","",INDEX('05_KAIS'!$H:$H,$A777))</f>
        <v/>
      </c>
      <c r="E777">
        <f>IF($A777="","",INDEX('05_KAIS'!$K:$K,$A777))</f>
        <v/>
      </c>
      <c r="F777" s="202">
        <f>IF($A777="","",INDEX('05_KAIS'!$I:$I,$A777))</f>
        <v/>
      </c>
      <c r="G777" s="118">
        <f>IF($A777="","",INDEX('05_KAIS'!$L:$L,$A777))</f>
        <v/>
      </c>
      <c r="H777" s="118">
        <f>IF($A777="","",IFERROR(INDEX('05_KAIS'!$M:$M,$A777),IF(AND(E777&gt;0,G777&gt;0),G777/E777,"")))</f>
        <v/>
      </c>
      <c r="I777" s="202">
        <f>IF($A777="","",INDEX('05_KAIS'!$N:$N,$A777))</f>
        <v/>
      </c>
      <c r="J777">
        <f>IF(B777="","",IF('02_대상물건입력'!$B$5="",1,IF(ISNUMBER(SEARCH('02_대상물건입력'!$B$5,B777)),1,0)))</f>
        <v/>
      </c>
      <c r="K777">
        <f>IF(B777="","",IF('02_대상물건입력'!$B$6="",1,IF(ISNUMBER(SEARCH('02_대상물건입력'!$B$6,B777)),1,0)))</f>
        <v/>
      </c>
      <c r="L777">
        <f>IF(D777="","",IF('02_대상물건입력'!$B$8="",0,IF(ISNUMBER(SEARCH('02_대상물건입력'!$B$8,D777)),1,0)))</f>
        <v/>
      </c>
      <c r="M777">
        <f>IFERROR(ABS(E777-'02_대상물건입력'!$B$11)/'02_대상물건입력'!$B$11,"")</f>
        <v/>
      </c>
      <c r="N777">
        <f>IFERROR(ABS('01_설정'!$B$4-F777),"")</f>
        <v/>
      </c>
      <c r="O777">
        <f>IFERROR(ABS(YEAR(I777)-YEAR('02_대상물건입력'!$B$14)),"")</f>
        <v/>
      </c>
      <c r="P777">
        <f>IF(AND(E777&gt;0,F777&gt;0,G777&gt;0,IF('01_설정'!$B$10=1,J777=1,TRUE()),M777&lt;='01_설정'!$B$5,N777&lt;='01_설정'!$B$7,O777&lt;='01_설정'!$B$8),"Y","")</f>
        <v/>
      </c>
      <c r="Q777">
        <f>IF(P777&lt;&gt;"Y","",MAX(0,(1-M777/'01_설정'!$B$5))*'01_설정'!$B$14+MAX(0,(1-N777/'01_설정'!$B$7))*'01_설정'!$B$16+MAX(0,(1-O777/'01_설정'!$B$8))*'01_설정'!$B$17+K777*'01_설정'!$B$11+L777*'01_설정'!$B$12)</f>
        <v/>
      </c>
      <c r="R777">
        <f>IF(Q777="","",1+COUNTIFS($Q$31:$Q$1030,"&gt;"&amp;Q777)+COUNTIFS($Q$31:Q777,Q777)-1)</f>
        <v/>
      </c>
    </row>
    <row r="778" hidden="1" ht="16.5" customHeight="1">
      <c r="A778">
        <f>IF(COUNTA('05_KAIS'!$A766:$N766)=0,"",751)</f>
        <v/>
      </c>
      <c r="B778">
        <f>IF($A778="","",TRIM(INDEX('05_KAIS'!$B:$B,$A778)&amp;" "&amp;INDEX('05_KAIS'!$C:$C,$A778)))</f>
        <v/>
      </c>
      <c r="C778">
        <f>IF($A778="","",INDEX('05_KAIS'!$D:$D,$A778))</f>
        <v/>
      </c>
      <c r="D778">
        <f>IF($A778="","",INDEX('05_KAIS'!$H:$H,$A778))</f>
        <v/>
      </c>
      <c r="E778">
        <f>IF($A778="","",INDEX('05_KAIS'!$K:$K,$A778))</f>
        <v/>
      </c>
      <c r="F778" s="202">
        <f>IF($A778="","",INDEX('05_KAIS'!$I:$I,$A778))</f>
        <v/>
      </c>
      <c r="G778" s="118">
        <f>IF($A778="","",INDEX('05_KAIS'!$L:$L,$A778))</f>
        <v/>
      </c>
      <c r="H778" s="118">
        <f>IF($A778="","",IFERROR(INDEX('05_KAIS'!$M:$M,$A778),IF(AND(E778&gt;0,G778&gt;0),G778/E778,"")))</f>
        <v/>
      </c>
      <c r="I778" s="202">
        <f>IF($A778="","",INDEX('05_KAIS'!$N:$N,$A778))</f>
        <v/>
      </c>
      <c r="J778">
        <f>IF(B778="","",IF('02_대상물건입력'!$B$5="",1,IF(ISNUMBER(SEARCH('02_대상물건입력'!$B$5,B778)),1,0)))</f>
        <v/>
      </c>
      <c r="K778">
        <f>IF(B778="","",IF('02_대상물건입력'!$B$6="",1,IF(ISNUMBER(SEARCH('02_대상물건입력'!$B$6,B778)),1,0)))</f>
        <v/>
      </c>
      <c r="L778">
        <f>IF(D778="","",IF('02_대상물건입력'!$B$8="",0,IF(ISNUMBER(SEARCH('02_대상물건입력'!$B$8,D778)),1,0)))</f>
        <v/>
      </c>
      <c r="M778">
        <f>IFERROR(ABS(E778-'02_대상물건입력'!$B$11)/'02_대상물건입력'!$B$11,"")</f>
        <v/>
      </c>
      <c r="N778">
        <f>IFERROR(ABS('01_설정'!$B$4-F778),"")</f>
        <v/>
      </c>
      <c r="O778">
        <f>IFERROR(ABS(YEAR(I778)-YEAR('02_대상물건입력'!$B$14)),"")</f>
        <v/>
      </c>
      <c r="P778">
        <f>IF(AND(E778&gt;0,F778&gt;0,G778&gt;0,IF('01_설정'!$B$10=1,J778=1,TRUE()),M778&lt;='01_설정'!$B$5,N778&lt;='01_설정'!$B$7,O778&lt;='01_설정'!$B$8),"Y","")</f>
        <v/>
      </c>
      <c r="Q778">
        <f>IF(P778&lt;&gt;"Y","",MAX(0,(1-M778/'01_설정'!$B$5))*'01_설정'!$B$14+MAX(0,(1-N778/'01_설정'!$B$7))*'01_설정'!$B$16+MAX(0,(1-O778/'01_설정'!$B$8))*'01_설정'!$B$17+K778*'01_설정'!$B$11+L778*'01_설정'!$B$12)</f>
        <v/>
      </c>
      <c r="R778">
        <f>IF(Q778="","",1+COUNTIFS($Q$31:$Q$1030,"&gt;"&amp;Q778)+COUNTIFS($Q$31:Q778,Q778)-1)</f>
        <v/>
      </c>
    </row>
    <row r="779" hidden="1" ht="16.5" customHeight="1">
      <c r="A779">
        <f>IF(COUNTA('05_KAIS'!$A767:$N767)=0,"",752)</f>
        <v/>
      </c>
      <c r="B779">
        <f>IF($A779="","",TRIM(INDEX('05_KAIS'!$B:$B,$A779)&amp;" "&amp;INDEX('05_KAIS'!$C:$C,$A779)))</f>
        <v/>
      </c>
      <c r="C779">
        <f>IF($A779="","",INDEX('05_KAIS'!$D:$D,$A779))</f>
        <v/>
      </c>
      <c r="D779">
        <f>IF($A779="","",INDEX('05_KAIS'!$H:$H,$A779))</f>
        <v/>
      </c>
      <c r="E779">
        <f>IF($A779="","",INDEX('05_KAIS'!$K:$K,$A779))</f>
        <v/>
      </c>
      <c r="F779" s="202">
        <f>IF($A779="","",INDEX('05_KAIS'!$I:$I,$A779))</f>
        <v/>
      </c>
      <c r="G779" s="118">
        <f>IF($A779="","",INDEX('05_KAIS'!$L:$L,$A779))</f>
        <v/>
      </c>
      <c r="H779" s="118">
        <f>IF($A779="","",IFERROR(INDEX('05_KAIS'!$M:$M,$A779),IF(AND(E779&gt;0,G779&gt;0),G779/E779,"")))</f>
        <v/>
      </c>
      <c r="I779" s="202">
        <f>IF($A779="","",INDEX('05_KAIS'!$N:$N,$A779))</f>
        <v/>
      </c>
      <c r="J779">
        <f>IF(B779="","",IF('02_대상물건입력'!$B$5="",1,IF(ISNUMBER(SEARCH('02_대상물건입력'!$B$5,B779)),1,0)))</f>
        <v/>
      </c>
      <c r="K779">
        <f>IF(B779="","",IF('02_대상물건입력'!$B$6="",1,IF(ISNUMBER(SEARCH('02_대상물건입력'!$B$6,B779)),1,0)))</f>
        <v/>
      </c>
      <c r="L779">
        <f>IF(D779="","",IF('02_대상물건입력'!$B$8="",0,IF(ISNUMBER(SEARCH('02_대상물건입력'!$B$8,D779)),1,0)))</f>
        <v/>
      </c>
      <c r="M779">
        <f>IFERROR(ABS(E779-'02_대상물건입력'!$B$11)/'02_대상물건입력'!$B$11,"")</f>
        <v/>
      </c>
      <c r="N779">
        <f>IFERROR(ABS('01_설정'!$B$4-F779),"")</f>
        <v/>
      </c>
      <c r="O779">
        <f>IFERROR(ABS(YEAR(I779)-YEAR('02_대상물건입력'!$B$14)),"")</f>
        <v/>
      </c>
      <c r="P779">
        <f>IF(AND(E779&gt;0,F779&gt;0,G779&gt;0,IF('01_설정'!$B$10=1,J779=1,TRUE()),M779&lt;='01_설정'!$B$5,N779&lt;='01_설정'!$B$7,O779&lt;='01_설정'!$B$8),"Y","")</f>
        <v/>
      </c>
      <c r="Q779">
        <f>IF(P779&lt;&gt;"Y","",MAX(0,(1-M779/'01_설정'!$B$5))*'01_설정'!$B$14+MAX(0,(1-N779/'01_설정'!$B$7))*'01_설정'!$B$16+MAX(0,(1-O779/'01_설정'!$B$8))*'01_설정'!$B$17+K779*'01_설정'!$B$11+L779*'01_설정'!$B$12)</f>
        <v/>
      </c>
      <c r="R779">
        <f>IF(Q779="","",1+COUNTIFS($Q$31:$Q$1030,"&gt;"&amp;Q779)+COUNTIFS($Q$31:Q779,Q779)-1)</f>
        <v/>
      </c>
    </row>
    <row r="780" hidden="1" ht="16.5" customHeight="1">
      <c r="A780">
        <f>IF(COUNTA('05_KAIS'!$A768:$N768)=0,"",753)</f>
        <v/>
      </c>
      <c r="B780">
        <f>IF($A780="","",TRIM(INDEX('05_KAIS'!$B:$B,$A780)&amp;" "&amp;INDEX('05_KAIS'!$C:$C,$A780)))</f>
        <v/>
      </c>
      <c r="C780">
        <f>IF($A780="","",INDEX('05_KAIS'!$D:$D,$A780))</f>
        <v/>
      </c>
      <c r="D780">
        <f>IF($A780="","",INDEX('05_KAIS'!$H:$H,$A780))</f>
        <v/>
      </c>
      <c r="E780">
        <f>IF($A780="","",INDEX('05_KAIS'!$K:$K,$A780))</f>
        <v/>
      </c>
      <c r="F780" s="202">
        <f>IF($A780="","",INDEX('05_KAIS'!$I:$I,$A780))</f>
        <v/>
      </c>
      <c r="G780" s="118">
        <f>IF($A780="","",INDEX('05_KAIS'!$L:$L,$A780))</f>
        <v/>
      </c>
      <c r="H780" s="118">
        <f>IF($A780="","",IFERROR(INDEX('05_KAIS'!$M:$M,$A780),IF(AND(E780&gt;0,G780&gt;0),G780/E780,"")))</f>
        <v/>
      </c>
      <c r="I780" s="202">
        <f>IF($A780="","",INDEX('05_KAIS'!$N:$N,$A780))</f>
        <v/>
      </c>
      <c r="J780">
        <f>IF(B780="","",IF('02_대상물건입력'!$B$5="",1,IF(ISNUMBER(SEARCH('02_대상물건입력'!$B$5,B780)),1,0)))</f>
        <v/>
      </c>
      <c r="K780">
        <f>IF(B780="","",IF('02_대상물건입력'!$B$6="",1,IF(ISNUMBER(SEARCH('02_대상물건입력'!$B$6,B780)),1,0)))</f>
        <v/>
      </c>
      <c r="L780">
        <f>IF(D780="","",IF('02_대상물건입력'!$B$8="",0,IF(ISNUMBER(SEARCH('02_대상물건입력'!$B$8,D780)),1,0)))</f>
        <v/>
      </c>
      <c r="M780">
        <f>IFERROR(ABS(E780-'02_대상물건입력'!$B$11)/'02_대상물건입력'!$B$11,"")</f>
        <v/>
      </c>
      <c r="N780">
        <f>IFERROR(ABS('01_설정'!$B$4-F780),"")</f>
        <v/>
      </c>
      <c r="O780">
        <f>IFERROR(ABS(YEAR(I780)-YEAR('02_대상물건입력'!$B$14)),"")</f>
        <v/>
      </c>
      <c r="P780">
        <f>IF(AND(E780&gt;0,F780&gt;0,G780&gt;0,IF('01_설정'!$B$10=1,J780=1,TRUE()),M780&lt;='01_설정'!$B$5,N780&lt;='01_설정'!$B$7,O780&lt;='01_설정'!$B$8),"Y","")</f>
        <v/>
      </c>
      <c r="Q780">
        <f>IF(P780&lt;&gt;"Y","",MAX(0,(1-M780/'01_설정'!$B$5))*'01_설정'!$B$14+MAX(0,(1-N780/'01_설정'!$B$7))*'01_설정'!$B$16+MAX(0,(1-O780/'01_설정'!$B$8))*'01_설정'!$B$17+K780*'01_설정'!$B$11+L780*'01_설정'!$B$12)</f>
        <v/>
      </c>
      <c r="R780">
        <f>IF(Q780="","",1+COUNTIFS($Q$31:$Q$1030,"&gt;"&amp;Q780)+COUNTIFS($Q$31:Q780,Q780)-1)</f>
        <v/>
      </c>
    </row>
    <row r="781" hidden="1" ht="16.5" customHeight="1">
      <c r="A781">
        <f>IF(COUNTA('05_KAIS'!$A769:$N769)=0,"",754)</f>
        <v/>
      </c>
      <c r="B781">
        <f>IF($A781="","",TRIM(INDEX('05_KAIS'!$B:$B,$A781)&amp;" "&amp;INDEX('05_KAIS'!$C:$C,$A781)))</f>
        <v/>
      </c>
      <c r="C781">
        <f>IF($A781="","",INDEX('05_KAIS'!$D:$D,$A781))</f>
        <v/>
      </c>
      <c r="D781">
        <f>IF($A781="","",INDEX('05_KAIS'!$H:$H,$A781))</f>
        <v/>
      </c>
      <c r="E781">
        <f>IF($A781="","",INDEX('05_KAIS'!$K:$K,$A781))</f>
        <v/>
      </c>
      <c r="F781" s="202">
        <f>IF($A781="","",INDEX('05_KAIS'!$I:$I,$A781))</f>
        <v/>
      </c>
      <c r="G781" s="118">
        <f>IF($A781="","",INDEX('05_KAIS'!$L:$L,$A781))</f>
        <v/>
      </c>
      <c r="H781" s="118">
        <f>IF($A781="","",IFERROR(INDEX('05_KAIS'!$M:$M,$A781),IF(AND(E781&gt;0,G781&gt;0),G781/E781,"")))</f>
        <v/>
      </c>
      <c r="I781" s="202">
        <f>IF($A781="","",INDEX('05_KAIS'!$N:$N,$A781))</f>
        <v/>
      </c>
      <c r="J781">
        <f>IF(B781="","",IF('02_대상물건입력'!$B$5="",1,IF(ISNUMBER(SEARCH('02_대상물건입력'!$B$5,B781)),1,0)))</f>
        <v/>
      </c>
      <c r="K781">
        <f>IF(B781="","",IF('02_대상물건입력'!$B$6="",1,IF(ISNUMBER(SEARCH('02_대상물건입력'!$B$6,B781)),1,0)))</f>
        <v/>
      </c>
      <c r="L781">
        <f>IF(D781="","",IF('02_대상물건입력'!$B$8="",0,IF(ISNUMBER(SEARCH('02_대상물건입력'!$B$8,D781)),1,0)))</f>
        <v/>
      </c>
      <c r="M781">
        <f>IFERROR(ABS(E781-'02_대상물건입력'!$B$11)/'02_대상물건입력'!$B$11,"")</f>
        <v/>
      </c>
      <c r="N781">
        <f>IFERROR(ABS('01_설정'!$B$4-F781),"")</f>
        <v/>
      </c>
      <c r="O781">
        <f>IFERROR(ABS(YEAR(I781)-YEAR('02_대상물건입력'!$B$14)),"")</f>
        <v/>
      </c>
      <c r="P781">
        <f>IF(AND(E781&gt;0,F781&gt;0,G781&gt;0,IF('01_설정'!$B$10=1,J781=1,TRUE()),M781&lt;='01_설정'!$B$5,N781&lt;='01_설정'!$B$7,O781&lt;='01_설정'!$B$8),"Y","")</f>
        <v/>
      </c>
      <c r="Q781">
        <f>IF(P781&lt;&gt;"Y","",MAX(0,(1-M781/'01_설정'!$B$5))*'01_설정'!$B$14+MAX(0,(1-N781/'01_설정'!$B$7))*'01_설정'!$B$16+MAX(0,(1-O781/'01_설정'!$B$8))*'01_설정'!$B$17+K781*'01_설정'!$B$11+L781*'01_설정'!$B$12)</f>
        <v/>
      </c>
      <c r="R781">
        <f>IF(Q781="","",1+COUNTIFS($Q$31:$Q$1030,"&gt;"&amp;Q781)+COUNTIFS($Q$31:Q781,Q781)-1)</f>
        <v/>
      </c>
    </row>
    <row r="782" hidden="1" ht="16.5" customHeight="1">
      <c r="A782">
        <f>IF(COUNTA('05_KAIS'!$A770:$N770)=0,"",755)</f>
        <v/>
      </c>
      <c r="B782">
        <f>IF($A782="","",TRIM(INDEX('05_KAIS'!$B:$B,$A782)&amp;" "&amp;INDEX('05_KAIS'!$C:$C,$A782)))</f>
        <v/>
      </c>
      <c r="C782">
        <f>IF($A782="","",INDEX('05_KAIS'!$D:$D,$A782))</f>
        <v/>
      </c>
      <c r="D782">
        <f>IF($A782="","",INDEX('05_KAIS'!$H:$H,$A782))</f>
        <v/>
      </c>
      <c r="E782">
        <f>IF($A782="","",INDEX('05_KAIS'!$K:$K,$A782))</f>
        <v/>
      </c>
      <c r="F782" s="202">
        <f>IF($A782="","",INDEX('05_KAIS'!$I:$I,$A782))</f>
        <v/>
      </c>
      <c r="G782" s="118">
        <f>IF($A782="","",INDEX('05_KAIS'!$L:$L,$A782))</f>
        <v/>
      </c>
      <c r="H782" s="118">
        <f>IF($A782="","",IFERROR(INDEX('05_KAIS'!$M:$M,$A782),IF(AND(E782&gt;0,G782&gt;0),G782/E782,"")))</f>
        <v/>
      </c>
      <c r="I782" s="202">
        <f>IF($A782="","",INDEX('05_KAIS'!$N:$N,$A782))</f>
        <v/>
      </c>
      <c r="J782">
        <f>IF(B782="","",IF('02_대상물건입력'!$B$5="",1,IF(ISNUMBER(SEARCH('02_대상물건입력'!$B$5,B782)),1,0)))</f>
        <v/>
      </c>
      <c r="K782">
        <f>IF(B782="","",IF('02_대상물건입력'!$B$6="",1,IF(ISNUMBER(SEARCH('02_대상물건입력'!$B$6,B782)),1,0)))</f>
        <v/>
      </c>
      <c r="L782">
        <f>IF(D782="","",IF('02_대상물건입력'!$B$8="",0,IF(ISNUMBER(SEARCH('02_대상물건입력'!$B$8,D782)),1,0)))</f>
        <v/>
      </c>
      <c r="M782">
        <f>IFERROR(ABS(E782-'02_대상물건입력'!$B$11)/'02_대상물건입력'!$B$11,"")</f>
        <v/>
      </c>
      <c r="N782">
        <f>IFERROR(ABS('01_설정'!$B$4-F782),"")</f>
        <v/>
      </c>
      <c r="O782">
        <f>IFERROR(ABS(YEAR(I782)-YEAR('02_대상물건입력'!$B$14)),"")</f>
        <v/>
      </c>
      <c r="P782">
        <f>IF(AND(E782&gt;0,F782&gt;0,G782&gt;0,IF('01_설정'!$B$10=1,J782=1,TRUE()),M782&lt;='01_설정'!$B$5,N782&lt;='01_설정'!$B$7,O782&lt;='01_설정'!$B$8),"Y","")</f>
        <v/>
      </c>
      <c r="Q782">
        <f>IF(P782&lt;&gt;"Y","",MAX(0,(1-M782/'01_설정'!$B$5))*'01_설정'!$B$14+MAX(0,(1-N782/'01_설정'!$B$7))*'01_설정'!$B$16+MAX(0,(1-O782/'01_설정'!$B$8))*'01_설정'!$B$17+K782*'01_설정'!$B$11+L782*'01_설정'!$B$12)</f>
        <v/>
      </c>
      <c r="R782">
        <f>IF(Q782="","",1+COUNTIFS($Q$31:$Q$1030,"&gt;"&amp;Q782)+COUNTIFS($Q$31:Q782,Q782)-1)</f>
        <v/>
      </c>
    </row>
    <row r="783" hidden="1" ht="16.5" customHeight="1">
      <c r="A783">
        <f>IF(COUNTA('05_KAIS'!$A771:$N771)=0,"",756)</f>
        <v/>
      </c>
      <c r="B783">
        <f>IF($A783="","",TRIM(INDEX('05_KAIS'!$B:$B,$A783)&amp;" "&amp;INDEX('05_KAIS'!$C:$C,$A783)))</f>
        <v/>
      </c>
      <c r="C783">
        <f>IF($A783="","",INDEX('05_KAIS'!$D:$D,$A783))</f>
        <v/>
      </c>
      <c r="D783">
        <f>IF($A783="","",INDEX('05_KAIS'!$H:$H,$A783))</f>
        <v/>
      </c>
      <c r="E783">
        <f>IF($A783="","",INDEX('05_KAIS'!$K:$K,$A783))</f>
        <v/>
      </c>
      <c r="F783" s="202">
        <f>IF($A783="","",INDEX('05_KAIS'!$I:$I,$A783))</f>
        <v/>
      </c>
      <c r="G783" s="118">
        <f>IF($A783="","",INDEX('05_KAIS'!$L:$L,$A783))</f>
        <v/>
      </c>
      <c r="H783" s="118">
        <f>IF($A783="","",IFERROR(INDEX('05_KAIS'!$M:$M,$A783),IF(AND(E783&gt;0,G783&gt;0),G783/E783,"")))</f>
        <v/>
      </c>
      <c r="I783" s="202">
        <f>IF($A783="","",INDEX('05_KAIS'!$N:$N,$A783))</f>
        <v/>
      </c>
      <c r="J783">
        <f>IF(B783="","",IF('02_대상물건입력'!$B$5="",1,IF(ISNUMBER(SEARCH('02_대상물건입력'!$B$5,B783)),1,0)))</f>
        <v/>
      </c>
      <c r="K783">
        <f>IF(B783="","",IF('02_대상물건입력'!$B$6="",1,IF(ISNUMBER(SEARCH('02_대상물건입력'!$B$6,B783)),1,0)))</f>
        <v/>
      </c>
      <c r="L783">
        <f>IF(D783="","",IF('02_대상물건입력'!$B$8="",0,IF(ISNUMBER(SEARCH('02_대상물건입력'!$B$8,D783)),1,0)))</f>
        <v/>
      </c>
      <c r="M783">
        <f>IFERROR(ABS(E783-'02_대상물건입력'!$B$11)/'02_대상물건입력'!$B$11,"")</f>
        <v/>
      </c>
      <c r="N783">
        <f>IFERROR(ABS('01_설정'!$B$4-F783),"")</f>
        <v/>
      </c>
      <c r="O783">
        <f>IFERROR(ABS(YEAR(I783)-YEAR('02_대상물건입력'!$B$14)),"")</f>
        <v/>
      </c>
      <c r="P783">
        <f>IF(AND(E783&gt;0,F783&gt;0,G783&gt;0,IF('01_설정'!$B$10=1,J783=1,TRUE()),M783&lt;='01_설정'!$B$5,N783&lt;='01_설정'!$B$7,O783&lt;='01_설정'!$B$8),"Y","")</f>
        <v/>
      </c>
      <c r="Q783">
        <f>IF(P783&lt;&gt;"Y","",MAX(0,(1-M783/'01_설정'!$B$5))*'01_설정'!$B$14+MAX(0,(1-N783/'01_설정'!$B$7))*'01_설정'!$B$16+MAX(0,(1-O783/'01_설정'!$B$8))*'01_설정'!$B$17+K783*'01_설정'!$B$11+L783*'01_설정'!$B$12)</f>
        <v/>
      </c>
      <c r="R783">
        <f>IF(Q783="","",1+COUNTIFS($Q$31:$Q$1030,"&gt;"&amp;Q783)+COUNTIFS($Q$31:Q783,Q783)-1)</f>
        <v/>
      </c>
    </row>
    <row r="784" hidden="1" ht="16.5" customHeight="1">
      <c r="A784">
        <f>IF(COUNTA('05_KAIS'!$A772:$N772)=0,"",757)</f>
        <v/>
      </c>
      <c r="B784">
        <f>IF($A784="","",TRIM(INDEX('05_KAIS'!$B:$B,$A784)&amp;" "&amp;INDEX('05_KAIS'!$C:$C,$A784)))</f>
        <v/>
      </c>
      <c r="C784">
        <f>IF($A784="","",INDEX('05_KAIS'!$D:$D,$A784))</f>
        <v/>
      </c>
      <c r="D784">
        <f>IF($A784="","",INDEX('05_KAIS'!$H:$H,$A784))</f>
        <v/>
      </c>
      <c r="E784">
        <f>IF($A784="","",INDEX('05_KAIS'!$K:$K,$A784))</f>
        <v/>
      </c>
      <c r="F784" s="202">
        <f>IF($A784="","",INDEX('05_KAIS'!$I:$I,$A784))</f>
        <v/>
      </c>
      <c r="G784" s="118">
        <f>IF($A784="","",INDEX('05_KAIS'!$L:$L,$A784))</f>
        <v/>
      </c>
      <c r="H784" s="118">
        <f>IF($A784="","",IFERROR(INDEX('05_KAIS'!$M:$M,$A784),IF(AND(E784&gt;0,G784&gt;0),G784/E784,"")))</f>
        <v/>
      </c>
      <c r="I784" s="202">
        <f>IF($A784="","",INDEX('05_KAIS'!$N:$N,$A784))</f>
        <v/>
      </c>
      <c r="J784">
        <f>IF(B784="","",IF('02_대상물건입력'!$B$5="",1,IF(ISNUMBER(SEARCH('02_대상물건입력'!$B$5,B784)),1,0)))</f>
        <v/>
      </c>
      <c r="K784">
        <f>IF(B784="","",IF('02_대상물건입력'!$B$6="",1,IF(ISNUMBER(SEARCH('02_대상물건입력'!$B$6,B784)),1,0)))</f>
        <v/>
      </c>
      <c r="L784">
        <f>IF(D784="","",IF('02_대상물건입력'!$B$8="",0,IF(ISNUMBER(SEARCH('02_대상물건입력'!$B$8,D784)),1,0)))</f>
        <v/>
      </c>
      <c r="M784">
        <f>IFERROR(ABS(E784-'02_대상물건입력'!$B$11)/'02_대상물건입력'!$B$11,"")</f>
        <v/>
      </c>
      <c r="N784">
        <f>IFERROR(ABS('01_설정'!$B$4-F784),"")</f>
        <v/>
      </c>
      <c r="O784">
        <f>IFERROR(ABS(YEAR(I784)-YEAR('02_대상물건입력'!$B$14)),"")</f>
        <v/>
      </c>
      <c r="P784">
        <f>IF(AND(E784&gt;0,F784&gt;0,G784&gt;0,IF('01_설정'!$B$10=1,J784=1,TRUE()),M784&lt;='01_설정'!$B$5,N784&lt;='01_설정'!$B$7,O784&lt;='01_설정'!$B$8),"Y","")</f>
        <v/>
      </c>
      <c r="Q784">
        <f>IF(P784&lt;&gt;"Y","",MAX(0,(1-M784/'01_설정'!$B$5))*'01_설정'!$B$14+MAX(0,(1-N784/'01_설정'!$B$7))*'01_설정'!$B$16+MAX(0,(1-O784/'01_설정'!$B$8))*'01_설정'!$B$17+K784*'01_설정'!$B$11+L784*'01_설정'!$B$12)</f>
        <v/>
      </c>
      <c r="R784">
        <f>IF(Q784="","",1+COUNTIFS($Q$31:$Q$1030,"&gt;"&amp;Q784)+COUNTIFS($Q$31:Q784,Q784)-1)</f>
        <v/>
      </c>
    </row>
    <row r="785" hidden="1" ht="16.5" customHeight="1">
      <c r="A785">
        <f>IF(COUNTA('05_KAIS'!$A773:$N773)=0,"",758)</f>
        <v/>
      </c>
      <c r="B785">
        <f>IF($A785="","",TRIM(INDEX('05_KAIS'!$B:$B,$A785)&amp;" "&amp;INDEX('05_KAIS'!$C:$C,$A785)))</f>
        <v/>
      </c>
      <c r="C785">
        <f>IF($A785="","",INDEX('05_KAIS'!$D:$D,$A785))</f>
        <v/>
      </c>
      <c r="D785">
        <f>IF($A785="","",INDEX('05_KAIS'!$H:$H,$A785))</f>
        <v/>
      </c>
      <c r="E785">
        <f>IF($A785="","",INDEX('05_KAIS'!$K:$K,$A785))</f>
        <v/>
      </c>
      <c r="F785" s="202">
        <f>IF($A785="","",INDEX('05_KAIS'!$I:$I,$A785))</f>
        <v/>
      </c>
      <c r="G785" s="118">
        <f>IF($A785="","",INDEX('05_KAIS'!$L:$L,$A785))</f>
        <v/>
      </c>
      <c r="H785" s="118">
        <f>IF($A785="","",IFERROR(INDEX('05_KAIS'!$M:$M,$A785),IF(AND(E785&gt;0,G785&gt;0),G785/E785,"")))</f>
        <v/>
      </c>
      <c r="I785" s="202">
        <f>IF($A785="","",INDEX('05_KAIS'!$N:$N,$A785))</f>
        <v/>
      </c>
      <c r="J785">
        <f>IF(B785="","",IF('02_대상물건입력'!$B$5="",1,IF(ISNUMBER(SEARCH('02_대상물건입력'!$B$5,B785)),1,0)))</f>
        <v/>
      </c>
      <c r="K785">
        <f>IF(B785="","",IF('02_대상물건입력'!$B$6="",1,IF(ISNUMBER(SEARCH('02_대상물건입력'!$B$6,B785)),1,0)))</f>
        <v/>
      </c>
      <c r="L785">
        <f>IF(D785="","",IF('02_대상물건입력'!$B$8="",0,IF(ISNUMBER(SEARCH('02_대상물건입력'!$B$8,D785)),1,0)))</f>
        <v/>
      </c>
      <c r="M785">
        <f>IFERROR(ABS(E785-'02_대상물건입력'!$B$11)/'02_대상물건입력'!$B$11,"")</f>
        <v/>
      </c>
      <c r="N785">
        <f>IFERROR(ABS('01_설정'!$B$4-F785),"")</f>
        <v/>
      </c>
      <c r="O785">
        <f>IFERROR(ABS(YEAR(I785)-YEAR('02_대상물건입력'!$B$14)),"")</f>
        <v/>
      </c>
      <c r="P785">
        <f>IF(AND(E785&gt;0,F785&gt;0,G785&gt;0,IF('01_설정'!$B$10=1,J785=1,TRUE()),M785&lt;='01_설정'!$B$5,N785&lt;='01_설정'!$B$7,O785&lt;='01_설정'!$B$8),"Y","")</f>
        <v/>
      </c>
      <c r="Q785">
        <f>IF(P785&lt;&gt;"Y","",MAX(0,(1-M785/'01_설정'!$B$5))*'01_설정'!$B$14+MAX(0,(1-N785/'01_설정'!$B$7))*'01_설정'!$B$16+MAX(0,(1-O785/'01_설정'!$B$8))*'01_설정'!$B$17+K785*'01_설정'!$B$11+L785*'01_설정'!$B$12)</f>
        <v/>
      </c>
      <c r="R785">
        <f>IF(Q785="","",1+COUNTIFS($Q$31:$Q$1030,"&gt;"&amp;Q785)+COUNTIFS($Q$31:Q785,Q785)-1)</f>
        <v/>
      </c>
    </row>
    <row r="786" hidden="1" ht="16.5" customHeight="1">
      <c r="A786">
        <f>IF(COUNTA('05_KAIS'!$A774:$N774)=0,"",759)</f>
        <v/>
      </c>
      <c r="B786">
        <f>IF($A786="","",TRIM(INDEX('05_KAIS'!$B:$B,$A786)&amp;" "&amp;INDEX('05_KAIS'!$C:$C,$A786)))</f>
        <v/>
      </c>
      <c r="C786">
        <f>IF($A786="","",INDEX('05_KAIS'!$D:$D,$A786))</f>
        <v/>
      </c>
      <c r="D786">
        <f>IF($A786="","",INDEX('05_KAIS'!$H:$H,$A786))</f>
        <v/>
      </c>
      <c r="E786">
        <f>IF($A786="","",INDEX('05_KAIS'!$K:$K,$A786))</f>
        <v/>
      </c>
      <c r="F786" s="202">
        <f>IF($A786="","",INDEX('05_KAIS'!$I:$I,$A786))</f>
        <v/>
      </c>
      <c r="G786" s="118">
        <f>IF($A786="","",INDEX('05_KAIS'!$L:$L,$A786))</f>
        <v/>
      </c>
      <c r="H786" s="118">
        <f>IF($A786="","",IFERROR(INDEX('05_KAIS'!$M:$M,$A786),IF(AND(E786&gt;0,G786&gt;0),G786/E786,"")))</f>
        <v/>
      </c>
      <c r="I786" s="202">
        <f>IF($A786="","",INDEX('05_KAIS'!$N:$N,$A786))</f>
        <v/>
      </c>
      <c r="J786">
        <f>IF(B786="","",IF('02_대상물건입력'!$B$5="",1,IF(ISNUMBER(SEARCH('02_대상물건입력'!$B$5,B786)),1,0)))</f>
        <v/>
      </c>
      <c r="K786">
        <f>IF(B786="","",IF('02_대상물건입력'!$B$6="",1,IF(ISNUMBER(SEARCH('02_대상물건입력'!$B$6,B786)),1,0)))</f>
        <v/>
      </c>
      <c r="L786">
        <f>IF(D786="","",IF('02_대상물건입력'!$B$8="",0,IF(ISNUMBER(SEARCH('02_대상물건입력'!$B$8,D786)),1,0)))</f>
        <v/>
      </c>
      <c r="M786">
        <f>IFERROR(ABS(E786-'02_대상물건입력'!$B$11)/'02_대상물건입력'!$B$11,"")</f>
        <v/>
      </c>
      <c r="N786">
        <f>IFERROR(ABS('01_설정'!$B$4-F786),"")</f>
        <v/>
      </c>
      <c r="O786">
        <f>IFERROR(ABS(YEAR(I786)-YEAR('02_대상물건입력'!$B$14)),"")</f>
        <v/>
      </c>
      <c r="P786">
        <f>IF(AND(E786&gt;0,F786&gt;0,G786&gt;0,IF('01_설정'!$B$10=1,J786=1,TRUE()),M786&lt;='01_설정'!$B$5,N786&lt;='01_설정'!$B$7,O786&lt;='01_설정'!$B$8),"Y","")</f>
        <v/>
      </c>
      <c r="Q786">
        <f>IF(P786&lt;&gt;"Y","",MAX(0,(1-M786/'01_설정'!$B$5))*'01_설정'!$B$14+MAX(0,(1-N786/'01_설정'!$B$7))*'01_설정'!$B$16+MAX(0,(1-O786/'01_설정'!$B$8))*'01_설정'!$B$17+K786*'01_설정'!$B$11+L786*'01_설정'!$B$12)</f>
        <v/>
      </c>
      <c r="R786">
        <f>IF(Q786="","",1+COUNTIFS($Q$31:$Q$1030,"&gt;"&amp;Q786)+COUNTIFS($Q$31:Q786,Q786)-1)</f>
        <v/>
      </c>
    </row>
    <row r="787" hidden="1" ht="16.5" customHeight="1">
      <c r="A787">
        <f>IF(COUNTA('05_KAIS'!$A775:$N775)=0,"",760)</f>
        <v/>
      </c>
      <c r="B787">
        <f>IF($A787="","",TRIM(INDEX('05_KAIS'!$B:$B,$A787)&amp;" "&amp;INDEX('05_KAIS'!$C:$C,$A787)))</f>
        <v/>
      </c>
      <c r="C787">
        <f>IF($A787="","",INDEX('05_KAIS'!$D:$D,$A787))</f>
        <v/>
      </c>
      <c r="D787">
        <f>IF($A787="","",INDEX('05_KAIS'!$H:$H,$A787))</f>
        <v/>
      </c>
      <c r="E787">
        <f>IF($A787="","",INDEX('05_KAIS'!$K:$K,$A787))</f>
        <v/>
      </c>
      <c r="F787" s="202">
        <f>IF($A787="","",INDEX('05_KAIS'!$I:$I,$A787))</f>
        <v/>
      </c>
      <c r="G787" s="118">
        <f>IF($A787="","",INDEX('05_KAIS'!$L:$L,$A787))</f>
        <v/>
      </c>
      <c r="H787" s="118">
        <f>IF($A787="","",IFERROR(INDEX('05_KAIS'!$M:$M,$A787),IF(AND(E787&gt;0,G787&gt;0),G787/E787,"")))</f>
        <v/>
      </c>
      <c r="I787" s="202">
        <f>IF($A787="","",INDEX('05_KAIS'!$N:$N,$A787))</f>
        <v/>
      </c>
      <c r="J787">
        <f>IF(B787="","",IF('02_대상물건입력'!$B$5="",1,IF(ISNUMBER(SEARCH('02_대상물건입력'!$B$5,B787)),1,0)))</f>
        <v/>
      </c>
      <c r="K787">
        <f>IF(B787="","",IF('02_대상물건입력'!$B$6="",1,IF(ISNUMBER(SEARCH('02_대상물건입력'!$B$6,B787)),1,0)))</f>
        <v/>
      </c>
      <c r="L787">
        <f>IF(D787="","",IF('02_대상물건입력'!$B$8="",0,IF(ISNUMBER(SEARCH('02_대상물건입력'!$B$8,D787)),1,0)))</f>
        <v/>
      </c>
      <c r="M787">
        <f>IFERROR(ABS(E787-'02_대상물건입력'!$B$11)/'02_대상물건입력'!$B$11,"")</f>
        <v/>
      </c>
      <c r="N787">
        <f>IFERROR(ABS('01_설정'!$B$4-F787),"")</f>
        <v/>
      </c>
      <c r="O787">
        <f>IFERROR(ABS(YEAR(I787)-YEAR('02_대상물건입력'!$B$14)),"")</f>
        <v/>
      </c>
      <c r="P787">
        <f>IF(AND(E787&gt;0,F787&gt;0,G787&gt;0,IF('01_설정'!$B$10=1,J787=1,TRUE()),M787&lt;='01_설정'!$B$5,N787&lt;='01_설정'!$B$7,O787&lt;='01_설정'!$B$8),"Y","")</f>
        <v/>
      </c>
      <c r="Q787">
        <f>IF(P787&lt;&gt;"Y","",MAX(0,(1-M787/'01_설정'!$B$5))*'01_설정'!$B$14+MAX(0,(1-N787/'01_설정'!$B$7))*'01_설정'!$B$16+MAX(0,(1-O787/'01_설정'!$B$8))*'01_설정'!$B$17+K787*'01_설정'!$B$11+L787*'01_설정'!$B$12)</f>
        <v/>
      </c>
      <c r="R787">
        <f>IF(Q787="","",1+COUNTIFS($Q$31:$Q$1030,"&gt;"&amp;Q787)+COUNTIFS($Q$31:Q787,Q787)-1)</f>
        <v/>
      </c>
    </row>
    <row r="788" hidden="1" ht="16.5" customHeight="1">
      <c r="A788">
        <f>IF(COUNTA('05_KAIS'!$A776:$N776)=0,"",761)</f>
        <v/>
      </c>
      <c r="B788">
        <f>IF($A788="","",TRIM(INDEX('05_KAIS'!$B:$B,$A788)&amp;" "&amp;INDEX('05_KAIS'!$C:$C,$A788)))</f>
        <v/>
      </c>
      <c r="C788">
        <f>IF($A788="","",INDEX('05_KAIS'!$D:$D,$A788))</f>
        <v/>
      </c>
      <c r="D788">
        <f>IF($A788="","",INDEX('05_KAIS'!$H:$H,$A788))</f>
        <v/>
      </c>
      <c r="E788">
        <f>IF($A788="","",INDEX('05_KAIS'!$K:$K,$A788))</f>
        <v/>
      </c>
      <c r="F788" s="202">
        <f>IF($A788="","",INDEX('05_KAIS'!$I:$I,$A788))</f>
        <v/>
      </c>
      <c r="G788" s="118">
        <f>IF($A788="","",INDEX('05_KAIS'!$L:$L,$A788))</f>
        <v/>
      </c>
      <c r="H788" s="118">
        <f>IF($A788="","",IFERROR(INDEX('05_KAIS'!$M:$M,$A788),IF(AND(E788&gt;0,G788&gt;0),G788/E788,"")))</f>
        <v/>
      </c>
      <c r="I788" s="202">
        <f>IF($A788="","",INDEX('05_KAIS'!$N:$N,$A788))</f>
        <v/>
      </c>
      <c r="J788">
        <f>IF(B788="","",IF('02_대상물건입력'!$B$5="",1,IF(ISNUMBER(SEARCH('02_대상물건입력'!$B$5,B788)),1,0)))</f>
        <v/>
      </c>
      <c r="K788">
        <f>IF(B788="","",IF('02_대상물건입력'!$B$6="",1,IF(ISNUMBER(SEARCH('02_대상물건입력'!$B$6,B788)),1,0)))</f>
        <v/>
      </c>
      <c r="L788">
        <f>IF(D788="","",IF('02_대상물건입력'!$B$8="",0,IF(ISNUMBER(SEARCH('02_대상물건입력'!$B$8,D788)),1,0)))</f>
        <v/>
      </c>
      <c r="M788">
        <f>IFERROR(ABS(E788-'02_대상물건입력'!$B$11)/'02_대상물건입력'!$B$11,"")</f>
        <v/>
      </c>
      <c r="N788">
        <f>IFERROR(ABS('01_설정'!$B$4-F788),"")</f>
        <v/>
      </c>
      <c r="O788">
        <f>IFERROR(ABS(YEAR(I788)-YEAR('02_대상물건입력'!$B$14)),"")</f>
        <v/>
      </c>
      <c r="P788">
        <f>IF(AND(E788&gt;0,F788&gt;0,G788&gt;0,IF('01_설정'!$B$10=1,J788=1,TRUE()),M788&lt;='01_설정'!$B$5,N788&lt;='01_설정'!$B$7,O788&lt;='01_설정'!$B$8),"Y","")</f>
        <v/>
      </c>
      <c r="Q788">
        <f>IF(P788&lt;&gt;"Y","",MAX(0,(1-M788/'01_설정'!$B$5))*'01_설정'!$B$14+MAX(0,(1-N788/'01_설정'!$B$7))*'01_설정'!$B$16+MAX(0,(1-O788/'01_설정'!$B$8))*'01_설정'!$B$17+K788*'01_설정'!$B$11+L788*'01_설정'!$B$12)</f>
        <v/>
      </c>
      <c r="R788">
        <f>IF(Q788="","",1+COUNTIFS($Q$31:$Q$1030,"&gt;"&amp;Q788)+COUNTIFS($Q$31:Q788,Q788)-1)</f>
        <v/>
      </c>
    </row>
    <row r="789" hidden="1" ht="16.5" customHeight="1">
      <c r="A789">
        <f>IF(COUNTA('05_KAIS'!$A777:$N777)=0,"",762)</f>
        <v/>
      </c>
      <c r="B789">
        <f>IF($A789="","",TRIM(INDEX('05_KAIS'!$B:$B,$A789)&amp;" "&amp;INDEX('05_KAIS'!$C:$C,$A789)))</f>
        <v/>
      </c>
      <c r="C789">
        <f>IF($A789="","",INDEX('05_KAIS'!$D:$D,$A789))</f>
        <v/>
      </c>
      <c r="D789">
        <f>IF($A789="","",INDEX('05_KAIS'!$H:$H,$A789))</f>
        <v/>
      </c>
      <c r="E789">
        <f>IF($A789="","",INDEX('05_KAIS'!$K:$K,$A789))</f>
        <v/>
      </c>
      <c r="F789" s="202">
        <f>IF($A789="","",INDEX('05_KAIS'!$I:$I,$A789))</f>
        <v/>
      </c>
      <c r="G789" s="118">
        <f>IF($A789="","",INDEX('05_KAIS'!$L:$L,$A789))</f>
        <v/>
      </c>
      <c r="H789" s="118">
        <f>IF($A789="","",IFERROR(INDEX('05_KAIS'!$M:$M,$A789),IF(AND(E789&gt;0,G789&gt;0),G789/E789,"")))</f>
        <v/>
      </c>
      <c r="I789" s="202">
        <f>IF($A789="","",INDEX('05_KAIS'!$N:$N,$A789))</f>
        <v/>
      </c>
      <c r="J789">
        <f>IF(B789="","",IF('02_대상물건입력'!$B$5="",1,IF(ISNUMBER(SEARCH('02_대상물건입력'!$B$5,B789)),1,0)))</f>
        <v/>
      </c>
      <c r="K789">
        <f>IF(B789="","",IF('02_대상물건입력'!$B$6="",1,IF(ISNUMBER(SEARCH('02_대상물건입력'!$B$6,B789)),1,0)))</f>
        <v/>
      </c>
      <c r="L789">
        <f>IF(D789="","",IF('02_대상물건입력'!$B$8="",0,IF(ISNUMBER(SEARCH('02_대상물건입력'!$B$8,D789)),1,0)))</f>
        <v/>
      </c>
      <c r="M789">
        <f>IFERROR(ABS(E789-'02_대상물건입력'!$B$11)/'02_대상물건입력'!$B$11,"")</f>
        <v/>
      </c>
      <c r="N789">
        <f>IFERROR(ABS('01_설정'!$B$4-F789),"")</f>
        <v/>
      </c>
      <c r="O789">
        <f>IFERROR(ABS(YEAR(I789)-YEAR('02_대상물건입력'!$B$14)),"")</f>
        <v/>
      </c>
      <c r="P789">
        <f>IF(AND(E789&gt;0,F789&gt;0,G789&gt;0,IF('01_설정'!$B$10=1,J789=1,TRUE()),M789&lt;='01_설정'!$B$5,N789&lt;='01_설정'!$B$7,O789&lt;='01_설정'!$B$8),"Y","")</f>
        <v/>
      </c>
      <c r="Q789">
        <f>IF(P789&lt;&gt;"Y","",MAX(0,(1-M789/'01_설정'!$B$5))*'01_설정'!$B$14+MAX(0,(1-N789/'01_설정'!$B$7))*'01_설정'!$B$16+MAX(0,(1-O789/'01_설정'!$B$8))*'01_설정'!$B$17+K789*'01_설정'!$B$11+L789*'01_설정'!$B$12)</f>
        <v/>
      </c>
      <c r="R789">
        <f>IF(Q789="","",1+COUNTIFS($Q$31:$Q$1030,"&gt;"&amp;Q789)+COUNTIFS($Q$31:Q789,Q789)-1)</f>
        <v/>
      </c>
    </row>
    <row r="790" hidden="1" ht="16.5" customHeight="1">
      <c r="A790">
        <f>IF(COUNTA('05_KAIS'!$A778:$N778)=0,"",763)</f>
        <v/>
      </c>
      <c r="B790">
        <f>IF($A790="","",TRIM(INDEX('05_KAIS'!$B:$B,$A790)&amp;" "&amp;INDEX('05_KAIS'!$C:$C,$A790)))</f>
        <v/>
      </c>
      <c r="C790">
        <f>IF($A790="","",INDEX('05_KAIS'!$D:$D,$A790))</f>
        <v/>
      </c>
      <c r="D790">
        <f>IF($A790="","",INDEX('05_KAIS'!$H:$H,$A790))</f>
        <v/>
      </c>
      <c r="E790">
        <f>IF($A790="","",INDEX('05_KAIS'!$K:$K,$A790))</f>
        <v/>
      </c>
      <c r="F790" s="202">
        <f>IF($A790="","",INDEX('05_KAIS'!$I:$I,$A790))</f>
        <v/>
      </c>
      <c r="G790" s="118">
        <f>IF($A790="","",INDEX('05_KAIS'!$L:$L,$A790))</f>
        <v/>
      </c>
      <c r="H790" s="118">
        <f>IF($A790="","",IFERROR(INDEX('05_KAIS'!$M:$M,$A790),IF(AND(E790&gt;0,G790&gt;0),G790/E790,"")))</f>
        <v/>
      </c>
      <c r="I790" s="202">
        <f>IF($A790="","",INDEX('05_KAIS'!$N:$N,$A790))</f>
        <v/>
      </c>
      <c r="J790">
        <f>IF(B790="","",IF('02_대상물건입력'!$B$5="",1,IF(ISNUMBER(SEARCH('02_대상물건입력'!$B$5,B790)),1,0)))</f>
        <v/>
      </c>
      <c r="K790">
        <f>IF(B790="","",IF('02_대상물건입력'!$B$6="",1,IF(ISNUMBER(SEARCH('02_대상물건입력'!$B$6,B790)),1,0)))</f>
        <v/>
      </c>
      <c r="L790">
        <f>IF(D790="","",IF('02_대상물건입력'!$B$8="",0,IF(ISNUMBER(SEARCH('02_대상물건입력'!$B$8,D790)),1,0)))</f>
        <v/>
      </c>
      <c r="M790">
        <f>IFERROR(ABS(E790-'02_대상물건입력'!$B$11)/'02_대상물건입력'!$B$11,"")</f>
        <v/>
      </c>
      <c r="N790">
        <f>IFERROR(ABS('01_설정'!$B$4-F790),"")</f>
        <v/>
      </c>
      <c r="O790">
        <f>IFERROR(ABS(YEAR(I790)-YEAR('02_대상물건입력'!$B$14)),"")</f>
        <v/>
      </c>
      <c r="P790">
        <f>IF(AND(E790&gt;0,F790&gt;0,G790&gt;0,IF('01_설정'!$B$10=1,J790=1,TRUE()),M790&lt;='01_설정'!$B$5,N790&lt;='01_설정'!$B$7,O790&lt;='01_설정'!$B$8),"Y","")</f>
        <v/>
      </c>
      <c r="Q790">
        <f>IF(P790&lt;&gt;"Y","",MAX(0,(1-M790/'01_설정'!$B$5))*'01_설정'!$B$14+MAX(0,(1-N790/'01_설정'!$B$7))*'01_설정'!$B$16+MAX(0,(1-O790/'01_설정'!$B$8))*'01_설정'!$B$17+K790*'01_설정'!$B$11+L790*'01_설정'!$B$12)</f>
        <v/>
      </c>
      <c r="R790">
        <f>IF(Q790="","",1+COUNTIFS($Q$31:$Q$1030,"&gt;"&amp;Q790)+COUNTIFS($Q$31:Q790,Q790)-1)</f>
        <v/>
      </c>
    </row>
    <row r="791" hidden="1" ht="16.5" customHeight="1">
      <c r="A791">
        <f>IF(COUNTA('05_KAIS'!$A779:$N779)=0,"",764)</f>
        <v/>
      </c>
      <c r="B791">
        <f>IF($A791="","",TRIM(INDEX('05_KAIS'!$B:$B,$A791)&amp;" "&amp;INDEX('05_KAIS'!$C:$C,$A791)))</f>
        <v/>
      </c>
      <c r="C791">
        <f>IF($A791="","",INDEX('05_KAIS'!$D:$D,$A791))</f>
        <v/>
      </c>
      <c r="D791">
        <f>IF($A791="","",INDEX('05_KAIS'!$H:$H,$A791))</f>
        <v/>
      </c>
      <c r="E791">
        <f>IF($A791="","",INDEX('05_KAIS'!$K:$K,$A791))</f>
        <v/>
      </c>
      <c r="F791" s="202">
        <f>IF($A791="","",INDEX('05_KAIS'!$I:$I,$A791))</f>
        <v/>
      </c>
      <c r="G791" s="118">
        <f>IF($A791="","",INDEX('05_KAIS'!$L:$L,$A791))</f>
        <v/>
      </c>
      <c r="H791" s="118">
        <f>IF($A791="","",IFERROR(INDEX('05_KAIS'!$M:$M,$A791),IF(AND(E791&gt;0,G791&gt;0),G791/E791,"")))</f>
        <v/>
      </c>
      <c r="I791" s="202">
        <f>IF($A791="","",INDEX('05_KAIS'!$N:$N,$A791))</f>
        <v/>
      </c>
      <c r="J791">
        <f>IF(B791="","",IF('02_대상물건입력'!$B$5="",1,IF(ISNUMBER(SEARCH('02_대상물건입력'!$B$5,B791)),1,0)))</f>
        <v/>
      </c>
      <c r="K791">
        <f>IF(B791="","",IF('02_대상물건입력'!$B$6="",1,IF(ISNUMBER(SEARCH('02_대상물건입력'!$B$6,B791)),1,0)))</f>
        <v/>
      </c>
      <c r="L791">
        <f>IF(D791="","",IF('02_대상물건입력'!$B$8="",0,IF(ISNUMBER(SEARCH('02_대상물건입력'!$B$8,D791)),1,0)))</f>
        <v/>
      </c>
      <c r="M791">
        <f>IFERROR(ABS(E791-'02_대상물건입력'!$B$11)/'02_대상물건입력'!$B$11,"")</f>
        <v/>
      </c>
      <c r="N791">
        <f>IFERROR(ABS('01_설정'!$B$4-F791),"")</f>
        <v/>
      </c>
      <c r="O791">
        <f>IFERROR(ABS(YEAR(I791)-YEAR('02_대상물건입력'!$B$14)),"")</f>
        <v/>
      </c>
      <c r="P791">
        <f>IF(AND(E791&gt;0,F791&gt;0,G791&gt;0,IF('01_설정'!$B$10=1,J791=1,TRUE()),M791&lt;='01_설정'!$B$5,N791&lt;='01_설정'!$B$7,O791&lt;='01_설정'!$B$8),"Y","")</f>
        <v/>
      </c>
      <c r="Q791">
        <f>IF(P791&lt;&gt;"Y","",MAX(0,(1-M791/'01_설정'!$B$5))*'01_설정'!$B$14+MAX(0,(1-N791/'01_설정'!$B$7))*'01_설정'!$B$16+MAX(0,(1-O791/'01_설정'!$B$8))*'01_설정'!$B$17+K791*'01_설정'!$B$11+L791*'01_설정'!$B$12)</f>
        <v/>
      </c>
      <c r="R791">
        <f>IF(Q791="","",1+COUNTIFS($Q$31:$Q$1030,"&gt;"&amp;Q791)+COUNTIFS($Q$31:Q791,Q791)-1)</f>
        <v/>
      </c>
    </row>
    <row r="792" hidden="1" ht="16.5" customHeight="1">
      <c r="A792">
        <f>IF(COUNTA('05_KAIS'!$A780:$N780)=0,"",765)</f>
        <v/>
      </c>
      <c r="B792">
        <f>IF($A792="","",TRIM(INDEX('05_KAIS'!$B:$B,$A792)&amp;" "&amp;INDEX('05_KAIS'!$C:$C,$A792)))</f>
        <v/>
      </c>
      <c r="C792">
        <f>IF($A792="","",INDEX('05_KAIS'!$D:$D,$A792))</f>
        <v/>
      </c>
      <c r="D792">
        <f>IF($A792="","",INDEX('05_KAIS'!$H:$H,$A792))</f>
        <v/>
      </c>
      <c r="E792">
        <f>IF($A792="","",INDEX('05_KAIS'!$K:$K,$A792))</f>
        <v/>
      </c>
      <c r="F792" s="202">
        <f>IF($A792="","",INDEX('05_KAIS'!$I:$I,$A792))</f>
        <v/>
      </c>
      <c r="G792" s="118">
        <f>IF($A792="","",INDEX('05_KAIS'!$L:$L,$A792))</f>
        <v/>
      </c>
      <c r="H792" s="118">
        <f>IF($A792="","",IFERROR(INDEX('05_KAIS'!$M:$M,$A792),IF(AND(E792&gt;0,G792&gt;0),G792/E792,"")))</f>
        <v/>
      </c>
      <c r="I792" s="202">
        <f>IF($A792="","",INDEX('05_KAIS'!$N:$N,$A792))</f>
        <v/>
      </c>
      <c r="J792">
        <f>IF(B792="","",IF('02_대상물건입력'!$B$5="",1,IF(ISNUMBER(SEARCH('02_대상물건입력'!$B$5,B792)),1,0)))</f>
        <v/>
      </c>
      <c r="K792">
        <f>IF(B792="","",IF('02_대상물건입력'!$B$6="",1,IF(ISNUMBER(SEARCH('02_대상물건입력'!$B$6,B792)),1,0)))</f>
        <v/>
      </c>
      <c r="L792">
        <f>IF(D792="","",IF('02_대상물건입력'!$B$8="",0,IF(ISNUMBER(SEARCH('02_대상물건입력'!$B$8,D792)),1,0)))</f>
        <v/>
      </c>
      <c r="M792">
        <f>IFERROR(ABS(E792-'02_대상물건입력'!$B$11)/'02_대상물건입력'!$B$11,"")</f>
        <v/>
      </c>
      <c r="N792">
        <f>IFERROR(ABS('01_설정'!$B$4-F792),"")</f>
        <v/>
      </c>
      <c r="O792">
        <f>IFERROR(ABS(YEAR(I792)-YEAR('02_대상물건입력'!$B$14)),"")</f>
        <v/>
      </c>
      <c r="P792">
        <f>IF(AND(E792&gt;0,F792&gt;0,G792&gt;0,IF('01_설정'!$B$10=1,J792=1,TRUE()),M792&lt;='01_설정'!$B$5,N792&lt;='01_설정'!$B$7,O792&lt;='01_설정'!$B$8),"Y","")</f>
        <v/>
      </c>
      <c r="Q792">
        <f>IF(P792&lt;&gt;"Y","",MAX(0,(1-M792/'01_설정'!$B$5))*'01_설정'!$B$14+MAX(0,(1-N792/'01_설정'!$B$7))*'01_설정'!$B$16+MAX(0,(1-O792/'01_설정'!$B$8))*'01_설정'!$B$17+K792*'01_설정'!$B$11+L792*'01_설정'!$B$12)</f>
        <v/>
      </c>
      <c r="R792">
        <f>IF(Q792="","",1+COUNTIFS($Q$31:$Q$1030,"&gt;"&amp;Q792)+COUNTIFS($Q$31:Q792,Q792)-1)</f>
        <v/>
      </c>
    </row>
    <row r="793" hidden="1" ht="16.5" customHeight="1">
      <c r="A793">
        <f>IF(COUNTA('05_KAIS'!$A781:$N781)=0,"",766)</f>
        <v/>
      </c>
      <c r="B793">
        <f>IF($A793="","",TRIM(INDEX('05_KAIS'!$B:$B,$A793)&amp;" "&amp;INDEX('05_KAIS'!$C:$C,$A793)))</f>
        <v/>
      </c>
      <c r="C793">
        <f>IF($A793="","",INDEX('05_KAIS'!$D:$D,$A793))</f>
        <v/>
      </c>
      <c r="D793">
        <f>IF($A793="","",INDEX('05_KAIS'!$H:$H,$A793))</f>
        <v/>
      </c>
      <c r="E793">
        <f>IF($A793="","",INDEX('05_KAIS'!$K:$K,$A793))</f>
        <v/>
      </c>
      <c r="F793" s="202">
        <f>IF($A793="","",INDEX('05_KAIS'!$I:$I,$A793))</f>
        <v/>
      </c>
      <c r="G793" s="118">
        <f>IF($A793="","",INDEX('05_KAIS'!$L:$L,$A793))</f>
        <v/>
      </c>
      <c r="H793" s="118">
        <f>IF($A793="","",IFERROR(INDEX('05_KAIS'!$M:$M,$A793),IF(AND(E793&gt;0,G793&gt;0),G793/E793,"")))</f>
        <v/>
      </c>
      <c r="I793" s="202">
        <f>IF($A793="","",INDEX('05_KAIS'!$N:$N,$A793))</f>
        <v/>
      </c>
      <c r="J793">
        <f>IF(B793="","",IF('02_대상물건입력'!$B$5="",1,IF(ISNUMBER(SEARCH('02_대상물건입력'!$B$5,B793)),1,0)))</f>
        <v/>
      </c>
      <c r="K793">
        <f>IF(B793="","",IF('02_대상물건입력'!$B$6="",1,IF(ISNUMBER(SEARCH('02_대상물건입력'!$B$6,B793)),1,0)))</f>
        <v/>
      </c>
      <c r="L793">
        <f>IF(D793="","",IF('02_대상물건입력'!$B$8="",0,IF(ISNUMBER(SEARCH('02_대상물건입력'!$B$8,D793)),1,0)))</f>
        <v/>
      </c>
      <c r="M793">
        <f>IFERROR(ABS(E793-'02_대상물건입력'!$B$11)/'02_대상물건입력'!$B$11,"")</f>
        <v/>
      </c>
      <c r="N793">
        <f>IFERROR(ABS('01_설정'!$B$4-F793),"")</f>
        <v/>
      </c>
      <c r="O793">
        <f>IFERROR(ABS(YEAR(I793)-YEAR('02_대상물건입력'!$B$14)),"")</f>
        <v/>
      </c>
      <c r="P793">
        <f>IF(AND(E793&gt;0,F793&gt;0,G793&gt;0,IF('01_설정'!$B$10=1,J793=1,TRUE()),M793&lt;='01_설정'!$B$5,N793&lt;='01_설정'!$B$7,O793&lt;='01_설정'!$B$8),"Y","")</f>
        <v/>
      </c>
      <c r="Q793">
        <f>IF(P793&lt;&gt;"Y","",MAX(0,(1-M793/'01_설정'!$B$5))*'01_설정'!$B$14+MAX(0,(1-N793/'01_설정'!$B$7))*'01_설정'!$B$16+MAX(0,(1-O793/'01_설정'!$B$8))*'01_설정'!$B$17+K793*'01_설정'!$B$11+L793*'01_설정'!$B$12)</f>
        <v/>
      </c>
      <c r="R793">
        <f>IF(Q793="","",1+COUNTIFS($Q$31:$Q$1030,"&gt;"&amp;Q793)+COUNTIFS($Q$31:Q793,Q793)-1)</f>
        <v/>
      </c>
    </row>
    <row r="794" hidden="1" ht="16.5" customHeight="1">
      <c r="A794">
        <f>IF(COUNTA('05_KAIS'!$A782:$N782)=0,"",767)</f>
        <v/>
      </c>
      <c r="B794">
        <f>IF($A794="","",TRIM(INDEX('05_KAIS'!$B:$B,$A794)&amp;" "&amp;INDEX('05_KAIS'!$C:$C,$A794)))</f>
        <v/>
      </c>
      <c r="C794">
        <f>IF($A794="","",INDEX('05_KAIS'!$D:$D,$A794))</f>
        <v/>
      </c>
      <c r="D794">
        <f>IF($A794="","",INDEX('05_KAIS'!$H:$H,$A794))</f>
        <v/>
      </c>
      <c r="E794">
        <f>IF($A794="","",INDEX('05_KAIS'!$K:$K,$A794))</f>
        <v/>
      </c>
      <c r="F794" s="202">
        <f>IF($A794="","",INDEX('05_KAIS'!$I:$I,$A794))</f>
        <v/>
      </c>
      <c r="G794" s="118">
        <f>IF($A794="","",INDEX('05_KAIS'!$L:$L,$A794))</f>
        <v/>
      </c>
      <c r="H794" s="118">
        <f>IF($A794="","",IFERROR(INDEX('05_KAIS'!$M:$M,$A794),IF(AND(E794&gt;0,G794&gt;0),G794/E794,"")))</f>
        <v/>
      </c>
      <c r="I794" s="202">
        <f>IF($A794="","",INDEX('05_KAIS'!$N:$N,$A794))</f>
        <v/>
      </c>
      <c r="J794">
        <f>IF(B794="","",IF('02_대상물건입력'!$B$5="",1,IF(ISNUMBER(SEARCH('02_대상물건입력'!$B$5,B794)),1,0)))</f>
        <v/>
      </c>
      <c r="K794">
        <f>IF(B794="","",IF('02_대상물건입력'!$B$6="",1,IF(ISNUMBER(SEARCH('02_대상물건입력'!$B$6,B794)),1,0)))</f>
        <v/>
      </c>
      <c r="L794">
        <f>IF(D794="","",IF('02_대상물건입력'!$B$8="",0,IF(ISNUMBER(SEARCH('02_대상물건입력'!$B$8,D794)),1,0)))</f>
        <v/>
      </c>
      <c r="M794">
        <f>IFERROR(ABS(E794-'02_대상물건입력'!$B$11)/'02_대상물건입력'!$B$11,"")</f>
        <v/>
      </c>
      <c r="N794">
        <f>IFERROR(ABS('01_설정'!$B$4-F794),"")</f>
        <v/>
      </c>
      <c r="O794">
        <f>IFERROR(ABS(YEAR(I794)-YEAR('02_대상물건입력'!$B$14)),"")</f>
        <v/>
      </c>
      <c r="P794">
        <f>IF(AND(E794&gt;0,F794&gt;0,G794&gt;0,IF('01_설정'!$B$10=1,J794=1,TRUE()),M794&lt;='01_설정'!$B$5,N794&lt;='01_설정'!$B$7,O794&lt;='01_설정'!$B$8),"Y","")</f>
        <v/>
      </c>
      <c r="Q794">
        <f>IF(P794&lt;&gt;"Y","",MAX(0,(1-M794/'01_설정'!$B$5))*'01_설정'!$B$14+MAX(0,(1-N794/'01_설정'!$B$7))*'01_설정'!$B$16+MAX(0,(1-O794/'01_설정'!$B$8))*'01_설정'!$B$17+K794*'01_설정'!$B$11+L794*'01_설정'!$B$12)</f>
        <v/>
      </c>
      <c r="R794">
        <f>IF(Q794="","",1+COUNTIFS($Q$31:$Q$1030,"&gt;"&amp;Q794)+COUNTIFS($Q$31:Q794,Q794)-1)</f>
        <v/>
      </c>
    </row>
    <row r="795" hidden="1" ht="16.5" customHeight="1">
      <c r="A795">
        <f>IF(COUNTA('05_KAIS'!$A783:$N783)=0,"",768)</f>
        <v/>
      </c>
      <c r="B795">
        <f>IF($A795="","",TRIM(INDEX('05_KAIS'!$B:$B,$A795)&amp;" "&amp;INDEX('05_KAIS'!$C:$C,$A795)))</f>
        <v/>
      </c>
      <c r="C795">
        <f>IF($A795="","",INDEX('05_KAIS'!$D:$D,$A795))</f>
        <v/>
      </c>
      <c r="D795">
        <f>IF($A795="","",INDEX('05_KAIS'!$H:$H,$A795))</f>
        <v/>
      </c>
      <c r="E795">
        <f>IF($A795="","",INDEX('05_KAIS'!$K:$K,$A795))</f>
        <v/>
      </c>
      <c r="F795" s="202">
        <f>IF($A795="","",INDEX('05_KAIS'!$I:$I,$A795))</f>
        <v/>
      </c>
      <c r="G795" s="118">
        <f>IF($A795="","",INDEX('05_KAIS'!$L:$L,$A795))</f>
        <v/>
      </c>
      <c r="H795" s="118">
        <f>IF($A795="","",IFERROR(INDEX('05_KAIS'!$M:$M,$A795),IF(AND(E795&gt;0,G795&gt;0),G795/E795,"")))</f>
        <v/>
      </c>
      <c r="I795" s="202">
        <f>IF($A795="","",INDEX('05_KAIS'!$N:$N,$A795))</f>
        <v/>
      </c>
      <c r="J795">
        <f>IF(B795="","",IF('02_대상물건입력'!$B$5="",1,IF(ISNUMBER(SEARCH('02_대상물건입력'!$B$5,B795)),1,0)))</f>
        <v/>
      </c>
      <c r="K795">
        <f>IF(B795="","",IF('02_대상물건입력'!$B$6="",1,IF(ISNUMBER(SEARCH('02_대상물건입력'!$B$6,B795)),1,0)))</f>
        <v/>
      </c>
      <c r="L795">
        <f>IF(D795="","",IF('02_대상물건입력'!$B$8="",0,IF(ISNUMBER(SEARCH('02_대상물건입력'!$B$8,D795)),1,0)))</f>
        <v/>
      </c>
      <c r="M795">
        <f>IFERROR(ABS(E795-'02_대상물건입력'!$B$11)/'02_대상물건입력'!$B$11,"")</f>
        <v/>
      </c>
      <c r="N795">
        <f>IFERROR(ABS('01_설정'!$B$4-F795),"")</f>
        <v/>
      </c>
      <c r="O795">
        <f>IFERROR(ABS(YEAR(I795)-YEAR('02_대상물건입력'!$B$14)),"")</f>
        <v/>
      </c>
      <c r="P795">
        <f>IF(AND(E795&gt;0,F795&gt;0,G795&gt;0,IF('01_설정'!$B$10=1,J795=1,TRUE()),M795&lt;='01_설정'!$B$5,N795&lt;='01_설정'!$B$7,O795&lt;='01_설정'!$B$8),"Y","")</f>
        <v/>
      </c>
      <c r="Q795">
        <f>IF(P795&lt;&gt;"Y","",MAX(0,(1-M795/'01_설정'!$B$5))*'01_설정'!$B$14+MAX(0,(1-N795/'01_설정'!$B$7))*'01_설정'!$B$16+MAX(0,(1-O795/'01_설정'!$B$8))*'01_설정'!$B$17+K795*'01_설정'!$B$11+L795*'01_설정'!$B$12)</f>
        <v/>
      </c>
      <c r="R795">
        <f>IF(Q795="","",1+COUNTIFS($Q$31:$Q$1030,"&gt;"&amp;Q795)+COUNTIFS($Q$31:Q795,Q795)-1)</f>
        <v/>
      </c>
    </row>
    <row r="796" hidden="1" ht="16.5" customHeight="1">
      <c r="A796">
        <f>IF(COUNTA('05_KAIS'!$A784:$N784)=0,"",769)</f>
        <v/>
      </c>
      <c r="B796">
        <f>IF($A796="","",TRIM(INDEX('05_KAIS'!$B:$B,$A796)&amp;" "&amp;INDEX('05_KAIS'!$C:$C,$A796)))</f>
        <v/>
      </c>
      <c r="C796">
        <f>IF($A796="","",INDEX('05_KAIS'!$D:$D,$A796))</f>
        <v/>
      </c>
      <c r="D796">
        <f>IF($A796="","",INDEX('05_KAIS'!$H:$H,$A796))</f>
        <v/>
      </c>
      <c r="E796">
        <f>IF($A796="","",INDEX('05_KAIS'!$K:$K,$A796))</f>
        <v/>
      </c>
      <c r="F796" s="202">
        <f>IF($A796="","",INDEX('05_KAIS'!$I:$I,$A796))</f>
        <v/>
      </c>
      <c r="G796" s="118">
        <f>IF($A796="","",INDEX('05_KAIS'!$L:$L,$A796))</f>
        <v/>
      </c>
      <c r="H796" s="118">
        <f>IF($A796="","",IFERROR(INDEX('05_KAIS'!$M:$M,$A796),IF(AND(E796&gt;0,G796&gt;0),G796/E796,"")))</f>
        <v/>
      </c>
      <c r="I796" s="202">
        <f>IF($A796="","",INDEX('05_KAIS'!$N:$N,$A796))</f>
        <v/>
      </c>
      <c r="J796">
        <f>IF(B796="","",IF('02_대상물건입력'!$B$5="",1,IF(ISNUMBER(SEARCH('02_대상물건입력'!$B$5,B796)),1,0)))</f>
        <v/>
      </c>
      <c r="K796">
        <f>IF(B796="","",IF('02_대상물건입력'!$B$6="",1,IF(ISNUMBER(SEARCH('02_대상물건입력'!$B$6,B796)),1,0)))</f>
        <v/>
      </c>
      <c r="L796">
        <f>IF(D796="","",IF('02_대상물건입력'!$B$8="",0,IF(ISNUMBER(SEARCH('02_대상물건입력'!$B$8,D796)),1,0)))</f>
        <v/>
      </c>
      <c r="M796">
        <f>IFERROR(ABS(E796-'02_대상물건입력'!$B$11)/'02_대상물건입력'!$B$11,"")</f>
        <v/>
      </c>
      <c r="N796">
        <f>IFERROR(ABS('01_설정'!$B$4-F796),"")</f>
        <v/>
      </c>
      <c r="O796">
        <f>IFERROR(ABS(YEAR(I796)-YEAR('02_대상물건입력'!$B$14)),"")</f>
        <v/>
      </c>
      <c r="P796">
        <f>IF(AND(E796&gt;0,F796&gt;0,G796&gt;0,IF('01_설정'!$B$10=1,J796=1,TRUE()),M796&lt;='01_설정'!$B$5,N796&lt;='01_설정'!$B$7,O796&lt;='01_설정'!$B$8),"Y","")</f>
        <v/>
      </c>
      <c r="Q796">
        <f>IF(P796&lt;&gt;"Y","",MAX(0,(1-M796/'01_설정'!$B$5))*'01_설정'!$B$14+MAX(0,(1-N796/'01_설정'!$B$7))*'01_설정'!$B$16+MAX(0,(1-O796/'01_설정'!$B$8))*'01_설정'!$B$17+K796*'01_설정'!$B$11+L796*'01_설정'!$B$12)</f>
        <v/>
      </c>
      <c r="R796">
        <f>IF(Q796="","",1+COUNTIFS($Q$31:$Q$1030,"&gt;"&amp;Q796)+COUNTIFS($Q$31:Q796,Q796)-1)</f>
        <v/>
      </c>
    </row>
    <row r="797" hidden="1" ht="16.5" customHeight="1">
      <c r="A797">
        <f>IF(COUNTA('05_KAIS'!$A785:$N785)=0,"",770)</f>
        <v/>
      </c>
      <c r="B797">
        <f>IF($A797="","",TRIM(INDEX('05_KAIS'!$B:$B,$A797)&amp;" "&amp;INDEX('05_KAIS'!$C:$C,$A797)))</f>
        <v/>
      </c>
      <c r="C797">
        <f>IF($A797="","",INDEX('05_KAIS'!$D:$D,$A797))</f>
        <v/>
      </c>
      <c r="D797">
        <f>IF($A797="","",INDEX('05_KAIS'!$H:$H,$A797))</f>
        <v/>
      </c>
      <c r="E797">
        <f>IF($A797="","",INDEX('05_KAIS'!$K:$K,$A797))</f>
        <v/>
      </c>
      <c r="F797" s="202">
        <f>IF($A797="","",INDEX('05_KAIS'!$I:$I,$A797))</f>
        <v/>
      </c>
      <c r="G797" s="118">
        <f>IF($A797="","",INDEX('05_KAIS'!$L:$L,$A797))</f>
        <v/>
      </c>
      <c r="H797" s="118">
        <f>IF($A797="","",IFERROR(INDEX('05_KAIS'!$M:$M,$A797),IF(AND(E797&gt;0,G797&gt;0),G797/E797,"")))</f>
        <v/>
      </c>
      <c r="I797" s="202">
        <f>IF($A797="","",INDEX('05_KAIS'!$N:$N,$A797))</f>
        <v/>
      </c>
      <c r="J797">
        <f>IF(B797="","",IF('02_대상물건입력'!$B$5="",1,IF(ISNUMBER(SEARCH('02_대상물건입력'!$B$5,B797)),1,0)))</f>
        <v/>
      </c>
      <c r="K797">
        <f>IF(B797="","",IF('02_대상물건입력'!$B$6="",1,IF(ISNUMBER(SEARCH('02_대상물건입력'!$B$6,B797)),1,0)))</f>
        <v/>
      </c>
      <c r="L797">
        <f>IF(D797="","",IF('02_대상물건입력'!$B$8="",0,IF(ISNUMBER(SEARCH('02_대상물건입력'!$B$8,D797)),1,0)))</f>
        <v/>
      </c>
      <c r="M797">
        <f>IFERROR(ABS(E797-'02_대상물건입력'!$B$11)/'02_대상물건입력'!$B$11,"")</f>
        <v/>
      </c>
      <c r="N797">
        <f>IFERROR(ABS('01_설정'!$B$4-F797),"")</f>
        <v/>
      </c>
      <c r="O797">
        <f>IFERROR(ABS(YEAR(I797)-YEAR('02_대상물건입력'!$B$14)),"")</f>
        <v/>
      </c>
      <c r="P797">
        <f>IF(AND(E797&gt;0,F797&gt;0,G797&gt;0,IF('01_설정'!$B$10=1,J797=1,TRUE()),M797&lt;='01_설정'!$B$5,N797&lt;='01_설정'!$B$7,O797&lt;='01_설정'!$B$8),"Y","")</f>
        <v/>
      </c>
      <c r="Q797">
        <f>IF(P797&lt;&gt;"Y","",MAX(0,(1-M797/'01_설정'!$B$5))*'01_설정'!$B$14+MAX(0,(1-N797/'01_설정'!$B$7))*'01_설정'!$B$16+MAX(0,(1-O797/'01_설정'!$B$8))*'01_설정'!$B$17+K797*'01_설정'!$B$11+L797*'01_설정'!$B$12)</f>
        <v/>
      </c>
      <c r="R797">
        <f>IF(Q797="","",1+COUNTIFS($Q$31:$Q$1030,"&gt;"&amp;Q797)+COUNTIFS($Q$31:Q797,Q797)-1)</f>
        <v/>
      </c>
    </row>
    <row r="798" hidden="1" ht="16.5" customHeight="1">
      <c r="A798">
        <f>IF(COUNTA('05_KAIS'!$A786:$N786)=0,"",771)</f>
        <v/>
      </c>
      <c r="B798">
        <f>IF($A798="","",TRIM(INDEX('05_KAIS'!$B:$B,$A798)&amp;" "&amp;INDEX('05_KAIS'!$C:$C,$A798)))</f>
        <v/>
      </c>
      <c r="C798">
        <f>IF($A798="","",INDEX('05_KAIS'!$D:$D,$A798))</f>
        <v/>
      </c>
      <c r="D798">
        <f>IF($A798="","",INDEX('05_KAIS'!$H:$H,$A798))</f>
        <v/>
      </c>
      <c r="E798">
        <f>IF($A798="","",INDEX('05_KAIS'!$K:$K,$A798))</f>
        <v/>
      </c>
      <c r="F798" s="202">
        <f>IF($A798="","",INDEX('05_KAIS'!$I:$I,$A798))</f>
        <v/>
      </c>
      <c r="G798" s="118">
        <f>IF($A798="","",INDEX('05_KAIS'!$L:$L,$A798))</f>
        <v/>
      </c>
      <c r="H798" s="118">
        <f>IF($A798="","",IFERROR(INDEX('05_KAIS'!$M:$M,$A798),IF(AND(E798&gt;0,G798&gt;0),G798/E798,"")))</f>
        <v/>
      </c>
      <c r="I798" s="202">
        <f>IF($A798="","",INDEX('05_KAIS'!$N:$N,$A798))</f>
        <v/>
      </c>
      <c r="J798">
        <f>IF(B798="","",IF('02_대상물건입력'!$B$5="",1,IF(ISNUMBER(SEARCH('02_대상물건입력'!$B$5,B798)),1,0)))</f>
        <v/>
      </c>
      <c r="K798">
        <f>IF(B798="","",IF('02_대상물건입력'!$B$6="",1,IF(ISNUMBER(SEARCH('02_대상물건입력'!$B$6,B798)),1,0)))</f>
        <v/>
      </c>
      <c r="L798">
        <f>IF(D798="","",IF('02_대상물건입력'!$B$8="",0,IF(ISNUMBER(SEARCH('02_대상물건입력'!$B$8,D798)),1,0)))</f>
        <v/>
      </c>
      <c r="M798">
        <f>IFERROR(ABS(E798-'02_대상물건입력'!$B$11)/'02_대상물건입력'!$B$11,"")</f>
        <v/>
      </c>
      <c r="N798">
        <f>IFERROR(ABS('01_설정'!$B$4-F798),"")</f>
        <v/>
      </c>
      <c r="O798">
        <f>IFERROR(ABS(YEAR(I798)-YEAR('02_대상물건입력'!$B$14)),"")</f>
        <v/>
      </c>
      <c r="P798">
        <f>IF(AND(E798&gt;0,F798&gt;0,G798&gt;0,IF('01_설정'!$B$10=1,J798=1,TRUE()),M798&lt;='01_설정'!$B$5,N798&lt;='01_설정'!$B$7,O798&lt;='01_설정'!$B$8),"Y","")</f>
        <v/>
      </c>
      <c r="Q798">
        <f>IF(P798&lt;&gt;"Y","",MAX(0,(1-M798/'01_설정'!$B$5))*'01_설정'!$B$14+MAX(0,(1-N798/'01_설정'!$B$7))*'01_설정'!$B$16+MAX(0,(1-O798/'01_설정'!$B$8))*'01_설정'!$B$17+K798*'01_설정'!$B$11+L798*'01_설정'!$B$12)</f>
        <v/>
      </c>
      <c r="R798">
        <f>IF(Q798="","",1+COUNTIFS($Q$31:$Q$1030,"&gt;"&amp;Q798)+COUNTIFS($Q$31:Q798,Q798)-1)</f>
        <v/>
      </c>
    </row>
    <row r="799" hidden="1" ht="16.5" customHeight="1">
      <c r="A799">
        <f>IF(COUNTA('05_KAIS'!$A787:$N787)=0,"",772)</f>
        <v/>
      </c>
      <c r="B799">
        <f>IF($A799="","",TRIM(INDEX('05_KAIS'!$B:$B,$A799)&amp;" "&amp;INDEX('05_KAIS'!$C:$C,$A799)))</f>
        <v/>
      </c>
      <c r="C799">
        <f>IF($A799="","",INDEX('05_KAIS'!$D:$D,$A799))</f>
        <v/>
      </c>
      <c r="D799">
        <f>IF($A799="","",INDEX('05_KAIS'!$H:$H,$A799))</f>
        <v/>
      </c>
      <c r="E799">
        <f>IF($A799="","",INDEX('05_KAIS'!$K:$K,$A799))</f>
        <v/>
      </c>
      <c r="F799" s="202">
        <f>IF($A799="","",INDEX('05_KAIS'!$I:$I,$A799))</f>
        <v/>
      </c>
      <c r="G799" s="118">
        <f>IF($A799="","",INDEX('05_KAIS'!$L:$L,$A799))</f>
        <v/>
      </c>
      <c r="H799" s="118">
        <f>IF($A799="","",IFERROR(INDEX('05_KAIS'!$M:$M,$A799),IF(AND(E799&gt;0,G799&gt;0),G799/E799,"")))</f>
        <v/>
      </c>
      <c r="I799" s="202">
        <f>IF($A799="","",INDEX('05_KAIS'!$N:$N,$A799))</f>
        <v/>
      </c>
      <c r="J799">
        <f>IF(B799="","",IF('02_대상물건입력'!$B$5="",1,IF(ISNUMBER(SEARCH('02_대상물건입력'!$B$5,B799)),1,0)))</f>
        <v/>
      </c>
      <c r="K799">
        <f>IF(B799="","",IF('02_대상물건입력'!$B$6="",1,IF(ISNUMBER(SEARCH('02_대상물건입력'!$B$6,B799)),1,0)))</f>
        <v/>
      </c>
      <c r="L799">
        <f>IF(D799="","",IF('02_대상물건입력'!$B$8="",0,IF(ISNUMBER(SEARCH('02_대상물건입력'!$B$8,D799)),1,0)))</f>
        <v/>
      </c>
      <c r="M799">
        <f>IFERROR(ABS(E799-'02_대상물건입력'!$B$11)/'02_대상물건입력'!$B$11,"")</f>
        <v/>
      </c>
      <c r="N799">
        <f>IFERROR(ABS('01_설정'!$B$4-F799),"")</f>
        <v/>
      </c>
      <c r="O799">
        <f>IFERROR(ABS(YEAR(I799)-YEAR('02_대상물건입력'!$B$14)),"")</f>
        <v/>
      </c>
      <c r="P799">
        <f>IF(AND(E799&gt;0,F799&gt;0,G799&gt;0,IF('01_설정'!$B$10=1,J799=1,TRUE()),M799&lt;='01_설정'!$B$5,N799&lt;='01_설정'!$B$7,O799&lt;='01_설정'!$B$8),"Y","")</f>
        <v/>
      </c>
      <c r="Q799">
        <f>IF(P799&lt;&gt;"Y","",MAX(0,(1-M799/'01_설정'!$B$5))*'01_설정'!$B$14+MAX(0,(1-N799/'01_설정'!$B$7))*'01_설정'!$B$16+MAX(0,(1-O799/'01_설정'!$B$8))*'01_설정'!$B$17+K799*'01_설정'!$B$11+L799*'01_설정'!$B$12)</f>
        <v/>
      </c>
      <c r="R799">
        <f>IF(Q799="","",1+COUNTIFS($Q$31:$Q$1030,"&gt;"&amp;Q799)+COUNTIFS($Q$31:Q799,Q799)-1)</f>
        <v/>
      </c>
    </row>
    <row r="800" hidden="1" ht="16.5" customHeight="1">
      <c r="A800">
        <f>IF(COUNTA('05_KAIS'!$A788:$N788)=0,"",773)</f>
        <v/>
      </c>
      <c r="B800">
        <f>IF($A800="","",TRIM(INDEX('05_KAIS'!$B:$B,$A800)&amp;" "&amp;INDEX('05_KAIS'!$C:$C,$A800)))</f>
        <v/>
      </c>
      <c r="C800">
        <f>IF($A800="","",INDEX('05_KAIS'!$D:$D,$A800))</f>
        <v/>
      </c>
      <c r="D800">
        <f>IF($A800="","",INDEX('05_KAIS'!$H:$H,$A800))</f>
        <v/>
      </c>
      <c r="E800">
        <f>IF($A800="","",INDEX('05_KAIS'!$K:$K,$A800))</f>
        <v/>
      </c>
      <c r="F800" s="202">
        <f>IF($A800="","",INDEX('05_KAIS'!$I:$I,$A800))</f>
        <v/>
      </c>
      <c r="G800" s="118">
        <f>IF($A800="","",INDEX('05_KAIS'!$L:$L,$A800))</f>
        <v/>
      </c>
      <c r="H800" s="118">
        <f>IF($A800="","",IFERROR(INDEX('05_KAIS'!$M:$M,$A800),IF(AND(E800&gt;0,G800&gt;0),G800/E800,"")))</f>
        <v/>
      </c>
      <c r="I800" s="202">
        <f>IF($A800="","",INDEX('05_KAIS'!$N:$N,$A800))</f>
        <v/>
      </c>
      <c r="J800">
        <f>IF(B800="","",IF('02_대상물건입력'!$B$5="",1,IF(ISNUMBER(SEARCH('02_대상물건입력'!$B$5,B800)),1,0)))</f>
        <v/>
      </c>
      <c r="K800">
        <f>IF(B800="","",IF('02_대상물건입력'!$B$6="",1,IF(ISNUMBER(SEARCH('02_대상물건입력'!$B$6,B800)),1,0)))</f>
        <v/>
      </c>
      <c r="L800">
        <f>IF(D800="","",IF('02_대상물건입력'!$B$8="",0,IF(ISNUMBER(SEARCH('02_대상물건입력'!$B$8,D800)),1,0)))</f>
        <v/>
      </c>
      <c r="M800">
        <f>IFERROR(ABS(E800-'02_대상물건입력'!$B$11)/'02_대상물건입력'!$B$11,"")</f>
        <v/>
      </c>
      <c r="N800">
        <f>IFERROR(ABS('01_설정'!$B$4-F800),"")</f>
        <v/>
      </c>
      <c r="O800">
        <f>IFERROR(ABS(YEAR(I800)-YEAR('02_대상물건입력'!$B$14)),"")</f>
        <v/>
      </c>
      <c r="P800">
        <f>IF(AND(E800&gt;0,F800&gt;0,G800&gt;0,IF('01_설정'!$B$10=1,J800=1,TRUE()),M800&lt;='01_설정'!$B$5,N800&lt;='01_설정'!$B$7,O800&lt;='01_설정'!$B$8),"Y","")</f>
        <v/>
      </c>
      <c r="Q800">
        <f>IF(P800&lt;&gt;"Y","",MAX(0,(1-M800/'01_설정'!$B$5))*'01_설정'!$B$14+MAX(0,(1-N800/'01_설정'!$B$7))*'01_설정'!$B$16+MAX(0,(1-O800/'01_설정'!$B$8))*'01_설정'!$B$17+K800*'01_설정'!$B$11+L800*'01_설정'!$B$12)</f>
        <v/>
      </c>
      <c r="R800">
        <f>IF(Q800="","",1+COUNTIFS($Q$31:$Q$1030,"&gt;"&amp;Q800)+COUNTIFS($Q$31:Q800,Q800)-1)</f>
        <v/>
      </c>
    </row>
    <row r="801" hidden="1" ht="16.5" customHeight="1">
      <c r="A801">
        <f>IF(COUNTA('05_KAIS'!$A789:$N789)=0,"",774)</f>
        <v/>
      </c>
      <c r="B801">
        <f>IF($A801="","",TRIM(INDEX('05_KAIS'!$B:$B,$A801)&amp;" "&amp;INDEX('05_KAIS'!$C:$C,$A801)))</f>
        <v/>
      </c>
      <c r="C801">
        <f>IF($A801="","",INDEX('05_KAIS'!$D:$D,$A801))</f>
        <v/>
      </c>
      <c r="D801">
        <f>IF($A801="","",INDEX('05_KAIS'!$H:$H,$A801))</f>
        <v/>
      </c>
      <c r="E801">
        <f>IF($A801="","",INDEX('05_KAIS'!$K:$K,$A801))</f>
        <v/>
      </c>
      <c r="F801" s="202">
        <f>IF($A801="","",INDEX('05_KAIS'!$I:$I,$A801))</f>
        <v/>
      </c>
      <c r="G801" s="118">
        <f>IF($A801="","",INDEX('05_KAIS'!$L:$L,$A801))</f>
        <v/>
      </c>
      <c r="H801" s="118">
        <f>IF($A801="","",IFERROR(INDEX('05_KAIS'!$M:$M,$A801),IF(AND(E801&gt;0,G801&gt;0),G801/E801,"")))</f>
        <v/>
      </c>
      <c r="I801" s="202">
        <f>IF($A801="","",INDEX('05_KAIS'!$N:$N,$A801))</f>
        <v/>
      </c>
      <c r="J801">
        <f>IF(B801="","",IF('02_대상물건입력'!$B$5="",1,IF(ISNUMBER(SEARCH('02_대상물건입력'!$B$5,B801)),1,0)))</f>
        <v/>
      </c>
      <c r="K801">
        <f>IF(B801="","",IF('02_대상물건입력'!$B$6="",1,IF(ISNUMBER(SEARCH('02_대상물건입력'!$B$6,B801)),1,0)))</f>
        <v/>
      </c>
      <c r="L801">
        <f>IF(D801="","",IF('02_대상물건입력'!$B$8="",0,IF(ISNUMBER(SEARCH('02_대상물건입력'!$B$8,D801)),1,0)))</f>
        <v/>
      </c>
      <c r="M801">
        <f>IFERROR(ABS(E801-'02_대상물건입력'!$B$11)/'02_대상물건입력'!$B$11,"")</f>
        <v/>
      </c>
      <c r="N801">
        <f>IFERROR(ABS('01_설정'!$B$4-F801),"")</f>
        <v/>
      </c>
      <c r="O801">
        <f>IFERROR(ABS(YEAR(I801)-YEAR('02_대상물건입력'!$B$14)),"")</f>
        <v/>
      </c>
      <c r="P801">
        <f>IF(AND(E801&gt;0,F801&gt;0,G801&gt;0,IF('01_설정'!$B$10=1,J801=1,TRUE()),M801&lt;='01_설정'!$B$5,N801&lt;='01_설정'!$B$7,O801&lt;='01_설정'!$B$8),"Y","")</f>
        <v/>
      </c>
      <c r="Q801">
        <f>IF(P801&lt;&gt;"Y","",MAX(0,(1-M801/'01_설정'!$B$5))*'01_설정'!$B$14+MAX(0,(1-N801/'01_설정'!$B$7))*'01_설정'!$B$16+MAX(0,(1-O801/'01_설정'!$B$8))*'01_설정'!$B$17+K801*'01_설정'!$B$11+L801*'01_설정'!$B$12)</f>
        <v/>
      </c>
      <c r="R801">
        <f>IF(Q801="","",1+COUNTIFS($Q$31:$Q$1030,"&gt;"&amp;Q801)+COUNTIFS($Q$31:Q801,Q801)-1)</f>
        <v/>
      </c>
    </row>
    <row r="802" hidden="1" ht="16.5" customHeight="1">
      <c r="A802">
        <f>IF(COUNTA('05_KAIS'!$A790:$N790)=0,"",775)</f>
        <v/>
      </c>
      <c r="B802">
        <f>IF($A802="","",TRIM(INDEX('05_KAIS'!$B:$B,$A802)&amp;" "&amp;INDEX('05_KAIS'!$C:$C,$A802)))</f>
        <v/>
      </c>
      <c r="C802">
        <f>IF($A802="","",INDEX('05_KAIS'!$D:$D,$A802))</f>
        <v/>
      </c>
      <c r="D802">
        <f>IF($A802="","",INDEX('05_KAIS'!$H:$H,$A802))</f>
        <v/>
      </c>
      <c r="E802">
        <f>IF($A802="","",INDEX('05_KAIS'!$K:$K,$A802))</f>
        <v/>
      </c>
      <c r="F802" s="202">
        <f>IF($A802="","",INDEX('05_KAIS'!$I:$I,$A802))</f>
        <v/>
      </c>
      <c r="G802" s="118">
        <f>IF($A802="","",INDEX('05_KAIS'!$L:$L,$A802))</f>
        <v/>
      </c>
      <c r="H802" s="118">
        <f>IF($A802="","",IFERROR(INDEX('05_KAIS'!$M:$M,$A802),IF(AND(E802&gt;0,G802&gt;0),G802/E802,"")))</f>
        <v/>
      </c>
      <c r="I802" s="202">
        <f>IF($A802="","",INDEX('05_KAIS'!$N:$N,$A802))</f>
        <v/>
      </c>
      <c r="J802">
        <f>IF(B802="","",IF('02_대상물건입력'!$B$5="",1,IF(ISNUMBER(SEARCH('02_대상물건입력'!$B$5,B802)),1,0)))</f>
        <v/>
      </c>
      <c r="K802">
        <f>IF(B802="","",IF('02_대상물건입력'!$B$6="",1,IF(ISNUMBER(SEARCH('02_대상물건입력'!$B$6,B802)),1,0)))</f>
        <v/>
      </c>
      <c r="L802">
        <f>IF(D802="","",IF('02_대상물건입력'!$B$8="",0,IF(ISNUMBER(SEARCH('02_대상물건입력'!$B$8,D802)),1,0)))</f>
        <v/>
      </c>
      <c r="M802">
        <f>IFERROR(ABS(E802-'02_대상물건입력'!$B$11)/'02_대상물건입력'!$B$11,"")</f>
        <v/>
      </c>
      <c r="N802">
        <f>IFERROR(ABS('01_설정'!$B$4-F802),"")</f>
        <v/>
      </c>
      <c r="O802">
        <f>IFERROR(ABS(YEAR(I802)-YEAR('02_대상물건입력'!$B$14)),"")</f>
        <v/>
      </c>
      <c r="P802">
        <f>IF(AND(E802&gt;0,F802&gt;0,G802&gt;0,IF('01_설정'!$B$10=1,J802=1,TRUE()),M802&lt;='01_설정'!$B$5,N802&lt;='01_설정'!$B$7,O802&lt;='01_설정'!$B$8),"Y","")</f>
        <v/>
      </c>
      <c r="Q802">
        <f>IF(P802&lt;&gt;"Y","",MAX(0,(1-M802/'01_설정'!$B$5))*'01_설정'!$B$14+MAX(0,(1-N802/'01_설정'!$B$7))*'01_설정'!$B$16+MAX(0,(1-O802/'01_설정'!$B$8))*'01_설정'!$B$17+K802*'01_설정'!$B$11+L802*'01_설정'!$B$12)</f>
        <v/>
      </c>
      <c r="R802">
        <f>IF(Q802="","",1+COUNTIFS($Q$31:$Q$1030,"&gt;"&amp;Q802)+COUNTIFS($Q$31:Q802,Q802)-1)</f>
        <v/>
      </c>
    </row>
    <row r="803" hidden="1" ht="16.5" customHeight="1">
      <c r="A803">
        <f>IF(COUNTA('05_KAIS'!$A791:$N791)=0,"",776)</f>
        <v/>
      </c>
      <c r="B803">
        <f>IF($A803="","",TRIM(INDEX('05_KAIS'!$B:$B,$A803)&amp;" "&amp;INDEX('05_KAIS'!$C:$C,$A803)))</f>
        <v/>
      </c>
      <c r="C803">
        <f>IF($A803="","",INDEX('05_KAIS'!$D:$D,$A803))</f>
        <v/>
      </c>
      <c r="D803">
        <f>IF($A803="","",INDEX('05_KAIS'!$H:$H,$A803))</f>
        <v/>
      </c>
      <c r="E803">
        <f>IF($A803="","",INDEX('05_KAIS'!$K:$K,$A803))</f>
        <v/>
      </c>
      <c r="F803" s="202">
        <f>IF($A803="","",INDEX('05_KAIS'!$I:$I,$A803))</f>
        <v/>
      </c>
      <c r="G803" s="118">
        <f>IF($A803="","",INDEX('05_KAIS'!$L:$L,$A803))</f>
        <v/>
      </c>
      <c r="H803" s="118">
        <f>IF($A803="","",IFERROR(INDEX('05_KAIS'!$M:$M,$A803),IF(AND(E803&gt;0,G803&gt;0),G803/E803,"")))</f>
        <v/>
      </c>
      <c r="I803" s="202">
        <f>IF($A803="","",INDEX('05_KAIS'!$N:$N,$A803))</f>
        <v/>
      </c>
      <c r="J803">
        <f>IF(B803="","",IF('02_대상물건입력'!$B$5="",1,IF(ISNUMBER(SEARCH('02_대상물건입력'!$B$5,B803)),1,0)))</f>
        <v/>
      </c>
      <c r="K803">
        <f>IF(B803="","",IF('02_대상물건입력'!$B$6="",1,IF(ISNUMBER(SEARCH('02_대상물건입력'!$B$6,B803)),1,0)))</f>
        <v/>
      </c>
      <c r="L803">
        <f>IF(D803="","",IF('02_대상물건입력'!$B$8="",0,IF(ISNUMBER(SEARCH('02_대상물건입력'!$B$8,D803)),1,0)))</f>
        <v/>
      </c>
      <c r="M803">
        <f>IFERROR(ABS(E803-'02_대상물건입력'!$B$11)/'02_대상물건입력'!$B$11,"")</f>
        <v/>
      </c>
      <c r="N803">
        <f>IFERROR(ABS('01_설정'!$B$4-F803),"")</f>
        <v/>
      </c>
      <c r="O803">
        <f>IFERROR(ABS(YEAR(I803)-YEAR('02_대상물건입력'!$B$14)),"")</f>
        <v/>
      </c>
      <c r="P803">
        <f>IF(AND(E803&gt;0,F803&gt;0,G803&gt;0,IF('01_설정'!$B$10=1,J803=1,TRUE()),M803&lt;='01_설정'!$B$5,N803&lt;='01_설정'!$B$7,O803&lt;='01_설정'!$B$8),"Y","")</f>
        <v/>
      </c>
      <c r="Q803">
        <f>IF(P803&lt;&gt;"Y","",MAX(0,(1-M803/'01_설정'!$B$5))*'01_설정'!$B$14+MAX(0,(1-N803/'01_설정'!$B$7))*'01_설정'!$B$16+MAX(0,(1-O803/'01_설정'!$B$8))*'01_설정'!$B$17+K803*'01_설정'!$B$11+L803*'01_설정'!$B$12)</f>
        <v/>
      </c>
      <c r="R803">
        <f>IF(Q803="","",1+COUNTIFS($Q$31:$Q$1030,"&gt;"&amp;Q803)+COUNTIFS($Q$31:Q803,Q803)-1)</f>
        <v/>
      </c>
    </row>
    <row r="804" hidden="1" ht="16.5" customHeight="1">
      <c r="A804">
        <f>IF(COUNTA('05_KAIS'!$A792:$N792)=0,"",777)</f>
        <v/>
      </c>
      <c r="B804">
        <f>IF($A804="","",TRIM(INDEX('05_KAIS'!$B:$B,$A804)&amp;" "&amp;INDEX('05_KAIS'!$C:$C,$A804)))</f>
        <v/>
      </c>
      <c r="C804">
        <f>IF($A804="","",INDEX('05_KAIS'!$D:$D,$A804))</f>
        <v/>
      </c>
      <c r="D804">
        <f>IF($A804="","",INDEX('05_KAIS'!$H:$H,$A804))</f>
        <v/>
      </c>
      <c r="E804">
        <f>IF($A804="","",INDEX('05_KAIS'!$K:$K,$A804))</f>
        <v/>
      </c>
      <c r="F804" s="202">
        <f>IF($A804="","",INDEX('05_KAIS'!$I:$I,$A804))</f>
        <v/>
      </c>
      <c r="G804" s="118">
        <f>IF($A804="","",INDEX('05_KAIS'!$L:$L,$A804))</f>
        <v/>
      </c>
      <c r="H804" s="118">
        <f>IF($A804="","",IFERROR(INDEX('05_KAIS'!$M:$M,$A804),IF(AND(E804&gt;0,G804&gt;0),G804/E804,"")))</f>
        <v/>
      </c>
      <c r="I804" s="202">
        <f>IF($A804="","",INDEX('05_KAIS'!$N:$N,$A804))</f>
        <v/>
      </c>
      <c r="J804">
        <f>IF(B804="","",IF('02_대상물건입력'!$B$5="",1,IF(ISNUMBER(SEARCH('02_대상물건입력'!$B$5,B804)),1,0)))</f>
        <v/>
      </c>
      <c r="K804">
        <f>IF(B804="","",IF('02_대상물건입력'!$B$6="",1,IF(ISNUMBER(SEARCH('02_대상물건입력'!$B$6,B804)),1,0)))</f>
        <v/>
      </c>
      <c r="L804">
        <f>IF(D804="","",IF('02_대상물건입력'!$B$8="",0,IF(ISNUMBER(SEARCH('02_대상물건입력'!$B$8,D804)),1,0)))</f>
        <v/>
      </c>
      <c r="M804">
        <f>IFERROR(ABS(E804-'02_대상물건입력'!$B$11)/'02_대상물건입력'!$B$11,"")</f>
        <v/>
      </c>
      <c r="N804">
        <f>IFERROR(ABS('01_설정'!$B$4-F804),"")</f>
        <v/>
      </c>
      <c r="O804">
        <f>IFERROR(ABS(YEAR(I804)-YEAR('02_대상물건입력'!$B$14)),"")</f>
        <v/>
      </c>
      <c r="P804">
        <f>IF(AND(E804&gt;0,F804&gt;0,G804&gt;0,IF('01_설정'!$B$10=1,J804=1,TRUE()),M804&lt;='01_설정'!$B$5,N804&lt;='01_설정'!$B$7,O804&lt;='01_설정'!$B$8),"Y","")</f>
        <v/>
      </c>
      <c r="Q804">
        <f>IF(P804&lt;&gt;"Y","",MAX(0,(1-M804/'01_설정'!$B$5))*'01_설정'!$B$14+MAX(0,(1-N804/'01_설정'!$B$7))*'01_설정'!$B$16+MAX(0,(1-O804/'01_설정'!$B$8))*'01_설정'!$B$17+K804*'01_설정'!$B$11+L804*'01_설정'!$B$12)</f>
        <v/>
      </c>
      <c r="R804">
        <f>IF(Q804="","",1+COUNTIFS($Q$31:$Q$1030,"&gt;"&amp;Q804)+COUNTIFS($Q$31:Q804,Q804)-1)</f>
        <v/>
      </c>
    </row>
    <row r="805" hidden="1" ht="16.5" customHeight="1">
      <c r="A805">
        <f>IF(COUNTA('05_KAIS'!$A793:$N793)=0,"",778)</f>
        <v/>
      </c>
      <c r="B805">
        <f>IF($A805="","",TRIM(INDEX('05_KAIS'!$B:$B,$A805)&amp;" "&amp;INDEX('05_KAIS'!$C:$C,$A805)))</f>
        <v/>
      </c>
      <c r="C805">
        <f>IF($A805="","",INDEX('05_KAIS'!$D:$D,$A805))</f>
        <v/>
      </c>
      <c r="D805">
        <f>IF($A805="","",INDEX('05_KAIS'!$H:$H,$A805))</f>
        <v/>
      </c>
      <c r="E805">
        <f>IF($A805="","",INDEX('05_KAIS'!$K:$K,$A805))</f>
        <v/>
      </c>
      <c r="F805" s="202">
        <f>IF($A805="","",INDEX('05_KAIS'!$I:$I,$A805))</f>
        <v/>
      </c>
      <c r="G805" s="118">
        <f>IF($A805="","",INDEX('05_KAIS'!$L:$L,$A805))</f>
        <v/>
      </c>
      <c r="H805" s="118">
        <f>IF($A805="","",IFERROR(INDEX('05_KAIS'!$M:$M,$A805),IF(AND(E805&gt;0,G805&gt;0),G805/E805,"")))</f>
        <v/>
      </c>
      <c r="I805" s="202">
        <f>IF($A805="","",INDEX('05_KAIS'!$N:$N,$A805))</f>
        <v/>
      </c>
      <c r="J805">
        <f>IF(B805="","",IF('02_대상물건입력'!$B$5="",1,IF(ISNUMBER(SEARCH('02_대상물건입력'!$B$5,B805)),1,0)))</f>
        <v/>
      </c>
      <c r="K805">
        <f>IF(B805="","",IF('02_대상물건입력'!$B$6="",1,IF(ISNUMBER(SEARCH('02_대상물건입력'!$B$6,B805)),1,0)))</f>
        <v/>
      </c>
      <c r="L805">
        <f>IF(D805="","",IF('02_대상물건입력'!$B$8="",0,IF(ISNUMBER(SEARCH('02_대상물건입력'!$B$8,D805)),1,0)))</f>
        <v/>
      </c>
      <c r="M805">
        <f>IFERROR(ABS(E805-'02_대상물건입력'!$B$11)/'02_대상물건입력'!$B$11,"")</f>
        <v/>
      </c>
      <c r="N805">
        <f>IFERROR(ABS('01_설정'!$B$4-F805),"")</f>
        <v/>
      </c>
      <c r="O805">
        <f>IFERROR(ABS(YEAR(I805)-YEAR('02_대상물건입력'!$B$14)),"")</f>
        <v/>
      </c>
      <c r="P805">
        <f>IF(AND(E805&gt;0,F805&gt;0,G805&gt;0,IF('01_설정'!$B$10=1,J805=1,TRUE()),M805&lt;='01_설정'!$B$5,N805&lt;='01_설정'!$B$7,O805&lt;='01_설정'!$B$8),"Y","")</f>
        <v/>
      </c>
      <c r="Q805">
        <f>IF(P805&lt;&gt;"Y","",MAX(0,(1-M805/'01_설정'!$B$5))*'01_설정'!$B$14+MAX(0,(1-N805/'01_설정'!$B$7))*'01_설정'!$B$16+MAX(0,(1-O805/'01_설정'!$B$8))*'01_설정'!$B$17+K805*'01_설정'!$B$11+L805*'01_설정'!$B$12)</f>
        <v/>
      </c>
      <c r="R805">
        <f>IF(Q805="","",1+COUNTIFS($Q$31:$Q$1030,"&gt;"&amp;Q805)+COUNTIFS($Q$31:Q805,Q805)-1)</f>
        <v/>
      </c>
    </row>
    <row r="806" hidden="1" ht="16.5" customHeight="1">
      <c r="A806">
        <f>IF(COUNTA('05_KAIS'!$A794:$N794)=0,"",779)</f>
        <v/>
      </c>
      <c r="B806">
        <f>IF($A806="","",TRIM(INDEX('05_KAIS'!$B:$B,$A806)&amp;" "&amp;INDEX('05_KAIS'!$C:$C,$A806)))</f>
        <v/>
      </c>
      <c r="C806">
        <f>IF($A806="","",INDEX('05_KAIS'!$D:$D,$A806))</f>
        <v/>
      </c>
      <c r="D806">
        <f>IF($A806="","",INDEX('05_KAIS'!$H:$H,$A806))</f>
        <v/>
      </c>
      <c r="E806">
        <f>IF($A806="","",INDEX('05_KAIS'!$K:$K,$A806))</f>
        <v/>
      </c>
      <c r="F806" s="202">
        <f>IF($A806="","",INDEX('05_KAIS'!$I:$I,$A806))</f>
        <v/>
      </c>
      <c r="G806" s="118">
        <f>IF($A806="","",INDEX('05_KAIS'!$L:$L,$A806))</f>
        <v/>
      </c>
      <c r="H806" s="118">
        <f>IF($A806="","",IFERROR(INDEX('05_KAIS'!$M:$M,$A806),IF(AND(E806&gt;0,G806&gt;0),G806/E806,"")))</f>
        <v/>
      </c>
      <c r="I806" s="202">
        <f>IF($A806="","",INDEX('05_KAIS'!$N:$N,$A806))</f>
        <v/>
      </c>
      <c r="J806">
        <f>IF(B806="","",IF('02_대상물건입력'!$B$5="",1,IF(ISNUMBER(SEARCH('02_대상물건입력'!$B$5,B806)),1,0)))</f>
        <v/>
      </c>
      <c r="K806">
        <f>IF(B806="","",IF('02_대상물건입력'!$B$6="",1,IF(ISNUMBER(SEARCH('02_대상물건입력'!$B$6,B806)),1,0)))</f>
        <v/>
      </c>
      <c r="L806">
        <f>IF(D806="","",IF('02_대상물건입력'!$B$8="",0,IF(ISNUMBER(SEARCH('02_대상물건입력'!$B$8,D806)),1,0)))</f>
        <v/>
      </c>
      <c r="M806">
        <f>IFERROR(ABS(E806-'02_대상물건입력'!$B$11)/'02_대상물건입력'!$B$11,"")</f>
        <v/>
      </c>
      <c r="N806">
        <f>IFERROR(ABS('01_설정'!$B$4-F806),"")</f>
        <v/>
      </c>
      <c r="O806">
        <f>IFERROR(ABS(YEAR(I806)-YEAR('02_대상물건입력'!$B$14)),"")</f>
        <v/>
      </c>
      <c r="P806">
        <f>IF(AND(E806&gt;0,F806&gt;0,G806&gt;0,IF('01_설정'!$B$10=1,J806=1,TRUE()),M806&lt;='01_설정'!$B$5,N806&lt;='01_설정'!$B$7,O806&lt;='01_설정'!$B$8),"Y","")</f>
        <v/>
      </c>
      <c r="Q806">
        <f>IF(P806&lt;&gt;"Y","",MAX(0,(1-M806/'01_설정'!$B$5))*'01_설정'!$B$14+MAX(0,(1-N806/'01_설정'!$B$7))*'01_설정'!$B$16+MAX(0,(1-O806/'01_설정'!$B$8))*'01_설정'!$B$17+K806*'01_설정'!$B$11+L806*'01_설정'!$B$12)</f>
        <v/>
      </c>
      <c r="R806">
        <f>IF(Q806="","",1+COUNTIFS($Q$31:$Q$1030,"&gt;"&amp;Q806)+COUNTIFS($Q$31:Q806,Q806)-1)</f>
        <v/>
      </c>
    </row>
    <row r="807" hidden="1" ht="16.5" customHeight="1">
      <c r="A807">
        <f>IF(COUNTA('05_KAIS'!$A795:$N795)=0,"",780)</f>
        <v/>
      </c>
      <c r="B807">
        <f>IF($A807="","",TRIM(INDEX('05_KAIS'!$B:$B,$A807)&amp;" "&amp;INDEX('05_KAIS'!$C:$C,$A807)))</f>
        <v/>
      </c>
      <c r="C807">
        <f>IF($A807="","",INDEX('05_KAIS'!$D:$D,$A807))</f>
        <v/>
      </c>
      <c r="D807">
        <f>IF($A807="","",INDEX('05_KAIS'!$H:$H,$A807))</f>
        <v/>
      </c>
      <c r="E807">
        <f>IF($A807="","",INDEX('05_KAIS'!$K:$K,$A807))</f>
        <v/>
      </c>
      <c r="F807" s="202">
        <f>IF($A807="","",INDEX('05_KAIS'!$I:$I,$A807))</f>
        <v/>
      </c>
      <c r="G807" s="118">
        <f>IF($A807="","",INDEX('05_KAIS'!$L:$L,$A807))</f>
        <v/>
      </c>
      <c r="H807" s="118">
        <f>IF($A807="","",IFERROR(INDEX('05_KAIS'!$M:$M,$A807),IF(AND(E807&gt;0,G807&gt;0),G807/E807,"")))</f>
        <v/>
      </c>
      <c r="I807" s="202">
        <f>IF($A807="","",INDEX('05_KAIS'!$N:$N,$A807))</f>
        <v/>
      </c>
      <c r="J807">
        <f>IF(B807="","",IF('02_대상물건입력'!$B$5="",1,IF(ISNUMBER(SEARCH('02_대상물건입력'!$B$5,B807)),1,0)))</f>
        <v/>
      </c>
      <c r="K807">
        <f>IF(B807="","",IF('02_대상물건입력'!$B$6="",1,IF(ISNUMBER(SEARCH('02_대상물건입력'!$B$6,B807)),1,0)))</f>
        <v/>
      </c>
      <c r="L807">
        <f>IF(D807="","",IF('02_대상물건입력'!$B$8="",0,IF(ISNUMBER(SEARCH('02_대상물건입력'!$B$8,D807)),1,0)))</f>
        <v/>
      </c>
      <c r="M807">
        <f>IFERROR(ABS(E807-'02_대상물건입력'!$B$11)/'02_대상물건입력'!$B$11,"")</f>
        <v/>
      </c>
      <c r="N807">
        <f>IFERROR(ABS('01_설정'!$B$4-F807),"")</f>
        <v/>
      </c>
      <c r="O807">
        <f>IFERROR(ABS(YEAR(I807)-YEAR('02_대상물건입력'!$B$14)),"")</f>
        <v/>
      </c>
      <c r="P807">
        <f>IF(AND(E807&gt;0,F807&gt;0,G807&gt;0,IF('01_설정'!$B$10=1,J807=1,TRUE()),M807&lt;='01_설정'!$B$5,N807&lt;='01_설정'!$B$7,O807&lt;='01_설정'!$B$8),"Y","")</f>
        <v/>
      </c>
      <c r="Q807">
        <f>IF(P807&lt;&gt;"Y","",MAX(0,(1-M807/'01_설정'!$B$5))*'01_설정'!$B$14+MAX(0,(1-N807/'01_설정'!$B$7))*'01_설정'!$B$16+MAX(0,(1-O807/'01_설정'!$B$8))*'01_설정'!$B$17+K807*'01_설정'!$B$11+L807*'01_설정'!$B$12)</f>
        <v/>
      </c>
      <c r="R807">
        <f>IF(Q807="","",1+COUNTIFS($Q$31:$Q$1030,"&gt;"&amp;Q807)+COUNTIFS($Q$31:Q807,Q807)-1)</f>
        <v/>
      </c>
    </row>
    <row r="808" hidden="1" ht="16.5" customHeight="1">
      <c r="A808">
        <f>IF(COUNTA('05_KAIS'!$A796:$N796)=0,"",781)</f>
        <v/>
      </c>
      <c r="B808">
        <f>IF($A808="","",TRIM(INDEX('05_KAIS'!$B:$B,$A808)&amp;" "&amp;INDEX('05_KAIS'!$C:$C,$A808)))</f>
        <v/>
      </c>
      <c r="C808">
        <f>IF($A808="","",INDEX('05_KAIS'!$D:$D,$A808))</f>
        <v/>
      </c>
      <c r="D808">
        <f>IF($A808="","",INDEX('05_KAIS'!$H:$H,$A808))</f>
        <v/>
      </c>
      <c r="E808">
        <f>IF($A808="","",INDEX('05_KAIS'!$K:$K,$A808))</f>
        <v/>
      </c>
      <c r="F808" s="202">
        <f>IF($A808="","",INDEX('05_KAIS'!$I:$I,$A808))</f>
        <v/>
      </c>
      <c r="G808" s="118">
        <f>IF($A808="","",INDEX('05_KAIS'!$L:$L,$A808))</f>
        <v/>
      </c>
      <c r="H808" s="118">
        <f>IF($A808="","",IFERROR(INDEX('05_KAIS'!$M:$M,$A808),IF(AND(E808&gt;0,G808&gt;0),G808/E808,"")))</f>
        <v/>
      </c>
      <c r="I808" s="202">
        <f>IF($A808="","",INDEX('05_KAIS'!$N:$N,$A808))</f>
        <v/>
      </c>
      <c r="J808">
        <f>IF(B808="","",IF('02_대상물건입력'!$B$5="",1,IF(ISNUMBER(SEARCH('02_대상물건입력'!$B$5,B808)),1,0)))</f>
        <v/>
      </c>
      <c r="K808">
        <f>IF(B808="","",IF('02_대상물건입력'!$B$6="",1,IF(ISNUMBER(SEARCH('02_대상물건입력'!$B$6,B808)),1,0)))</f>
        <v/>
      </c>
      <c r="L808">
        <f>IF(D808="","",IF('02_대상물건입력'!$B$8="",0,IF(ISNUMBER(SEARCH('02_대상물건입력'!$B$8,D808)),1,0)))</f>
        <v/>
      </c>
      <c r="M808">
        <f>IFERROR(ABS(E808-'02_대상물건입력'!$B$11)/'02_대상물건입력'!$B$11,"")</f>
        <v/>
      </c>
      <c r="N808">
        <f>IFERROR(ABS('01_설정'!$B$4-F808),"")</f>
        <v/>
      </c>
      <c r="O808">
        <f>IFERROR(ABS(YEAR(I808)-YEAR('02_대상물건입력'!$B$14)),"")</f>
        <v/>
      </c>
      <c r="P808">
        <f>IF(AND(E808&gt;0,F808&gt;0,G808&gt;0,IF('01_설정'!$B$10=1,J808=1,TRUE()),M808&lt;='01_설정'!$B$5,N808&lt;='01_설정'!$B$7,O808&lt;='01_설정'!$B$8),"Y","")</f>
        <v/>
      </c>
      <c r="Q808">
        <f>IF(P808&lt;&gt;"Y","",MAX(0,(1-M808/'01_설정'!$B$5))*'01_설정'!$B$14+MAX(0,(1-N808/'01_설정'!$B$7))*'01_설정'!$B$16+MAX(0,(1-O808/'01_설정'!$B$8))*'01_설정'!$B$17+K808*'01_설정'!$B$11+L808*'01_설정'!$B$12)</f>
        <v/>
      </c>
      <c r="R808">
        <f>IF(Q808="","",1+COUNTIFS($Q$31:$Q$1030,"&gt;"&amp;Q808)+COUNTIFS($Q$31:Q808,Q808)-1)</f>
        <v/>
      </c>
    </row>
    <row r="809" hidden="1" ht="16.5" customHeight="1">
      <c r="A809">
        <f>IF(COUNTA('05_KAIS'!$A797:$N797)=0,"",782)</f>
        <v/>
      </c>
      <c r="B809">
        <f>IF($A809="","",TRIM(INDEX('05_KAIS'!$B:$B,$A809)&amp;" "&amp;INDEX('05_KAIS'!$C:$C,$A809)))</f>
        <v/>
      </c>
      <c r="C809">
        <f>IF($A809="","",INDEX('05_KAIS'!$D:$D,$A809))</f>
        <v/>
      </c>
      <c r="D809">
        <f>IF($A809="","",INDEX('05_KAIS'!$H:$H,$A809))</f>
        <v/>
      </c>
      <c r="E809">
        <f>IF($A809="","",INDEX('05_KAIS'!$K:$K,$A809))</f>
        <v/>
      </c>
      <c r="F809" s="202">
        <f>IF($A809="","",INDEX('05_KAIS'!$I:$I,$A809))</f>
        <v/>
      </c>
      <c r="G809" s="118">
        <f>IF($A809="","",INDEX('05_KAIS'!$L:$L,$A809))</f>
        <v/>
      </c>
      <c r="H809" s="118">
        <f>IF($A809="","",IFERROR(INDEX('05_KAIS'!$M:$M,$A809),IF(AND(E809&gt;0,G809&gt;0),G809/E809,"")))</f>
        <v/>
      </c>
      <c r="I809" s="202">
        <f>IF($A809="","",INDEX('05_KAIS'!$N:$N,$A809))</f>
        <v/>
      </c>
      <c r="J809">
        <f>IF(B809="","",IF('02_대상물건입력'!$B$5="",1,IF(ISNUMBER(SEARCH('02_대상물건입력'!$B$5,B809)),1,0)))</f>
        <v/>
      </c>
      <c r="K809">
        <f>IF(B809="","",IF('02_대상물건입력'!$B$6="",1,IF(ISNUMBER(SEARCH('02_대상물건입력'!$B$6,B809)),1,0)))</f>
        <v/>
      </c>
      <c r="L809">
        <f>IF(D809="","",IF('02_대상물건입력'!$B$8="",0,IF(ISNUMBER(SEARCH('02_대상물건입력'!$B$8,D809)),1,0)))</f>
        <v/>
      </c>
      <c r="M809">
        <f>IFERROR(ABS(E809-'02_대상물건입력'!$B$11)/'02_대상물건입력'!$B$11,"")</f>
        <v/>
      </c>
      <c r="N809">
        <f>IFERROR(ABS('01_설정'!$B$4-F809),"")</f>
        <v/>
      </c>
      <c r="O809">
        <f>IFERROR(ABS(YEAR(I809)-YEAR('02_대상물건입력'!$B$14)),"")</f>
        <v/>
      </c>
      <c r="P809">
        <f>IF(AND(E809&gt;0,F809&gt;0,G809&gt;0,IF('01_설정'!$B$10=1,J809=1,TRUE()),M809&lt;='01_설정'!$B$5,N809&lt;='01_설정'!$B$7,O809&lt;='01_설정'!$B$8),"Y","")</f>
        <v/>
      </c>
      <c r="Q809">
        <f>IF(P809&lt;&gt;"Y","",MAX(0,(1-M809/'01_설정'!$B$5))*'01_설정'!$B$14+MAX(0,(1-N809/'01_설정'!$B$7))*'01_설정'!$B$16+MAX(0,(1-O809/'01_설정'!$B$8))*'01_설정'!$B$17+K809*'01_설정'!$B$11+L809*'01_설정'!$B$12)</f>
        <v/>
      </c>
      <c r="R809">
        <f>IF(Q809="","",1+COUNTIFS($Q$31:$Q$1030,"&gt;"&amp;Q809)+COUNTIFS($Q$31:Q809,Q809)-1)</f>
        <v/>
      </c>
    </row>
    <row r="810" hidden="1" ht="16.5" customHeight="1">
      <c r="A810">
        <f>IF(COUNTA('05_KAIS'!$A798:$N798)=0,"",783)</f>
        <v/>
      </c>
      <c r="B810">
        <f>IF($A810="","",TRIM(INDEX('05_KAIS'!$B:$B,$A810)&amp;" "&amp;INDEX('05_KAIS'!$C:$C,$A810)))</f>
        <v/>
      </c>
      <c r="C810">
        <f>IF($A810="","",INDEX('05_KAIS'!$D:$D,$A810))</f>
        <v/>
      </c>
      <c r="D810">
        <f>IF($A810="","",INDEX('05_KAIS'!$H:$H,$A810))</f>
        <v/>
      </c>
      <c r="E810">
        <f>IF($A810="","",INDEX('05_KAIS'!$K:$K,$A810))</f>
        <v/>
      </c>
      <c r="F810" s="202">
        <f>IF($A810="","",INDEX('05_KAIS'!$I:$I,$A810))</f>
        <v/>
      </c>
      <c r="G810" s="118">
        <f>IF($A810="","",INDEX('05_KAIS'!$L:$L,$A810))</f>
        <v/>
      </c>
      <c r="H810" s="118">
        <f>IF($A810="","",IFERROR(INDEX('05_KAIS'!$M:$M,$A810),IF(AND(E810&gt;0,G810&gt;0),G810/E810,"")))</f>
        <v/>
      </c>
      <c r="I810" s="202">
        <f>IF($A810="","",INDEX('05_KAIS'!$N:$N,$A810))</f>
        <v/>
      </c>
      <c r="J810">
        <f>IF(B810="","",IF('02_대상물건입력'!$B$5="",1,IF(ISNUMBER(SEARCH('02_대상물건입력'!$B$5,B810)),1,0)))</f>
        <v/>
      </c>
      <c r="K810">
        <f>IF(B810="","",IF('02_대상물건입력'!$B$6="",1,IF(ISNUMBER(SEARCH('02_대상물건입력'!$B$6,B810)),1,0)))</f>
        <v/>
      </c>
      <c r="L810">
        <f>IF(D810="","",IF('02_대상물건입력'!$B$8="",0,IF(ISNUMBER(SEARCH('02_대상물건입력'!$B$8,D810)),1,0)))</f>
        <v/>
      </c>
      <c r="M810">
        <f>IFERROR(ABS(E810-'02_대상물건입력'!$B$11)/'02_대상물건입력'!$B$11,"")</f>
        <v/>
      </c>
      <c r="N810">
        <f>IFERROR(ABS('01_설정'!$B$4-F810),"")</f>
        <v/>
      </c>
      <c r="O810">
        <f>IFERROR(ABS(YEAR(I810)-YEAR('02_대상물건입력'!$B$14)),"")</f>
        <v/>
      </c>
      <c r="P810">
        <f>IF(AND(E810&gt;0,F810&gt;0,G810&gt;0,IF('01_설정'!$B$10=1,J810=1,TRUE()),M810&lt;='01_설정'!$B$5,N810&lt;='01_설정'!$B$7,O810&lt;='01_설정'!$B$8),"Y","")</f>
        <v/>
      </c>
      <c r="Q810">
        <f>IF(P810&lt;&gt;"Y","",MAX(0,(1-M810/'01_설정'!$B$5))*'01_설정'!$B$14+MAX(0,(1-N810/'01_설정'!$B$7))*'01_설정'!$B$16+MAX(0,(1-O810/'01_설정'!$B$8))*'01_설정'!$B$17+K810*'01_설정'!$B$11+L810*'01_설정'!$B$12)</f>
        <v/>
      </c>
      <c r="R810">
        <f>IF(Q810="","",1+COUNTIFS($Q$31:$Q$1030,"&gt;"&amp;Q810)+COUNTIFS($Q$31:Q810,Q810)-1)</f>
        <v/>
      </c>
    </row>
    <row r="811" hidden="1" ht="16.5" customHeight="1">
      <c r="A811">
        <f>IF(COUNTA('05_KAIS'!$A799:$N799)=0,"",784)</f>
        <v/>
      </c>
      <c r="B811">
        <f>IF($A811="","",TRIM(INDEX('05_KAIS'!$B:$B,$A811)&amp;" "&amp;INDEX('05_KAIS'!$C:$C,$A811)))</f>
        <v/>
      </c>
      <c r="C811">
        <f>IF($A811="","",INDEX('05_KAIS'!$D:$D,$A811))</f>
        <v/>
      </c>
      <c r="D811">
        <f>IF($A811="","",INDEX('05_KAIS'!$H:$H,$A811))</f>
        <v/>
      </c>
      <c r="E811">
        <f>IF($A811="","",INDEX('05_KAIS'!$K:$K,$A811))</f>
        <v/>
      </c>
      <c r="F811" s="202">
        <f>IF($A811="","",INDEX('05_KAIS'!$I:$I,$A811))</f>
        <v/>
      </c>
      <c r="G811" s="118">
        <f>IF($A811="","",INDEX('05_KAIS'!$L:$L,$A811))</f>
        <v/>
      </c>
      <c r="H811" s="118">
        <f>IF($A811="","",IFERROR(INDEX('05_KAIS'!$M:$M,$A811),IF(AND(E811&gt;0,G811&gt;0),G811/E811,"")))</f>
        <v/>
      </c>
      <c r="I811" s="202">
        <f>IF($A811="","",INDEX('05_KAIS'!$N:$N,$A811))</f>
        <v/>
      </c>
      <c r="J811">
        <f>IF(B811="","",IF('02_대상물건입력'!$B$5="",1,IF(ISNUMBER(SEARCH('02_대상물건입력'!$B$5,B811)),1,0)))</f>
        <v/>
      </c>
      <c r="K811">
        <f>IF(B811="","",IF('02_대상물건입력'!$B$6="",1,IF(ISNUMBER(SEARCH('02_대상물건입력'!$B$6,B811)),1,0)))</f>
        <v/>
      </c>
      <c r="L811">
        <f>IF(D811="","",IF('02_대상물건입력'!$B$8="",0,IF(ISNUMBER(SEARCH('02_대상물건입력'!$B$8,D811)),1,0)))</f>
        <v/>
      </c>
      <c r="M811">
        <f>IFERROR(ABS(E811-'02_대상물건입력'!$B$11)/'02_대상물건입력'!$B$11,"")</f>
        <v/>
      </c>
      <c r="N811">
        <f>IFERROR(ABS('01_설정'!$B$4-F811),"")</f>
        <v/>
      </c>
      <c r="O811">
        <f>IFERROR(ABS(YEAR(I811)-YEAR('02_대상물건입력'!$B$14)),"")</f>
        <v/>
      </c>
      <c r="P811">
        <f>IF(AND(E811&gt;0,F811&gt;0,G811&gt;0,IF('01_설정'!$B$10=1,J811=1,TRUE()),M811&lt;='01_설정'!$B$5,N811&lt;='01_설정'!$B$7,O811&lt;='01_설정'!$B$8),"Y","")</f>
        <v/>
      </c>
      <c r="Q811">
        <f>IF(P811&lt;&gt;"Y","",MAX(0,(1-M811/'01_설정'!$B$5))*'01_설정'!$B$14+MAX(0,(1-N811/'01_설정'!$B$7))*'01_설정'!$B$16+MAX(0,(1-O811/'01_설정'!$B$8))*'01_설정'!$B$17+K811*'01_설정'!$B$11+L811*'01_설정'!$B$12)</f>
        <v/>
      </c>
      <c r="R811">
        <f>IF(Q811="","",1+COUNTIFS($Q$31:$Q$1030,"&gt;"&amp;Q811)+COUNTIFS($Q$31:Q811,Q811)-1)</f>
        <v/>
      </c>
    </row>
    <row r="812" hidden="1" ht="16.5" customHeight="1">
      <c r="A812">
        <f>IF(COUNTA('05_KAIS'!$A800:$N800)=0,"",785)</f>
        <v/>
      </c>
      <c r="B812">
        <f>IF($A812="","",TRIM(INDEX('05_KAIS'!$B:$B,$A812)&amp;" "&amp;INDEX('05_KAIS'!$C:$C,$A812)))</f>
        <v/>
      </c>
      <c r="C812">
        <f>IF($A812="","",INDEX('05_KAIS'!$D:$D,$A812))</f>
        <v/>
      </c>
      <c r="D812">
        <f>IF($A812="","",INDEX('05_KAIS'!$H:$H,$A812))</f>
        <v/>
      </c>
      <c r="E812">
        <f>IF($A812="","",INDEX('05_KAIS'!$K:$K,$A812))</f>
        <v/>
      </c>
      <c r="F812" s="202">
        <f>IF($A812="","",INDEX('05_KAIS'!$I:$I,$A812))</f>
        <v/>
      </c>
      <c r="G812" s="118">
        <f>IF($A812="","",INDEX('05_KAIS'!$L:$L,$A812))</f>
        <v/>
      </c>
      <c r="H812" s="118">
        <f>IF($A812="","",IFERROR(INDEX('05_KAIS'!$M:$M,$A812),IF(AND(E812&gt;0,G812&gt;0),G812/E812,"")))</f>
        <v/>
      </c>
      <c r="I812" s="202">
        <f>IF($A812="","",INDEX('05_KAIS'!$N:$N,$A812))</f>
        <v/>
      </c>
      <c r="J812">
        <f>IF(B812="","",IF('02_대상물건입력'!$B$5="",1,IF(ISNUMBER(SEARCH('02_대상물건입력'!$B$5,B812)),1,0)))</f>
        <v/>
      </c>
      <c r="K812">
        <f>IF(B812="","",IF('02_대상물건입력'!$B$6="",1,IF(ISNUMBER(SEARCH('02_대상물건입력'!$B$6,B812)),1,0)))</f>
        <v/>
      </c>
      <c r="L812">
        <f>IF(D812="","",IF('02_대상물건입력'!$B$8="",0,IF(ISNUMBER(SEARCH('02_대상물건입력'!$B$8,D812)),1,0)))</f>
        <v/>
      </c>
      <c r="M812">
        <f>IFERROR(ABS(E812-'02_대상물건입력'!$B$11)/'02_대상물건입력'!$B$11,"")</f>
        <v/>
      </c>
      <c r="N812">
        <f>IFERROR(ABS('01_설정'!$B$4-F812),"")</f>
        <v/>
      </c>
      <c r="O812">
        <f>IFERROR(ABS(YEAR(I812)-YEAR('02_대상물건입력'!$B$14)),"")</f>
        <v/>
      </c>
      <c r="P812">
        <f>IF(AND(E812&gt;0,F812&gt;0,G812&gt;0,IF('01_설정'!$B$10=1,J812=1,TRUE()),M812&lt;='01_설정'!$B$5,N812&lt;='01_설정'!$B$7,O812&lt;='01_설정'!$B$8),"Y","")</f>
        <v/>
      </c>
      <c r="Q812">
        <f>IF(P812&lt;&gt;"Y","",MAX(0,(1-M812/'01_설정'!$B$5))*'01_설정'!$B$14+MAX(0,(1-N812/'01_설정'!$B$7))*'01_설정'!$B$16+MAX(0,(1-O812/'01_설정'!$B$8))*'01_설정'!$B$17+K812*'01_설정'!$B$11+L812*'01_설정'!$B$12)</f>
        <v/>
      </c>
      <c r="R812">
        <f>IF(Q812="","",1+COUNTIFS($Q$31:$Q$1030,"&gt;"&amp;Q812)+COUNTIFS($Q$31:Q812,Q812)-1)</f>
        <v/>
      </c>
    </row>
    <row r="813" hidden="1" ht="16.5" customHeight="1">
      <c r="A813">
        <f>IF(COUNTA('05_KAIS'!$A801:$N801)=0,"",786)</f>
        <v/>
      </c>
      <c r="B813">
        <f>IF($A813="","",TRIM(INDEX('05_KAIS'!$B:$B,$A813)&amp;" "&amp;INDEX('05_KAIS'!$C:$C,$A813)))</f>
        <v/>
      </c>
      <c r="C813">
        <f>IF($A813="","",INDEX('05_KAIS'!$D:$D,$A813))</f>
        <v/>
      </c>
      <c r="D813">
        <f>IF($A813="","",INDEX('05_KAIS'!$H:$H,$A813))</f>
        <v/>
      </c>
      <c r="E813">
        <f>IF($A813="","",INDEX('05_KAIS'!$K:$K,$A813))</f>
        <v/>
      </c>
      <c r="F813" s="202">
        <f>IF($A813="","",INDEX('05_KAIS'!$I:$I,$A813))</f>
        <v/>
      </c>
      <c r="G813" s="118">
        <f>IF($A813="","",INDEX('05_KAIS'!$L:$L,$A813))</f>
        <v/>
      </c>
      <c r="H813" s="118">
        <f>IF($A813="","",IFERROR(INDEX('05_KAIS'!$M:$M,$A813),IF(AND(E813&gt;0,G813&gt;0),G813/E813,"")))</f>
        <v/>
      </c>
      <c r="I813" s="202">
        <f>IF($A813="","",INDEX('05_KAIS'!$N:$N,$A813))</f>
        <v/>
      </c>
      <c r="J813">
        <f>IF(B813="","",IF('02_대상물건입력'!$B$5="",1,IF(ISNUMBER(SEARCH('02_대상물건입력'!$B$5,B813)),1,0)))</f>
        <v/>
      </c>
      <c r="K813">
        <f>IF(B813="","",IF('02_대상물건입력'!$B$6="",1,IF(ISNUMBER(SEARCH('02_대상물건입력'!$B$6,B813)),1,0)))</f>
        <v/>
      </c>
      <c r="L813">
        <f>IF(D813="","",IF('02_대상물건입력'!$B$8="",0,IF(ISNUMBER(SEARCH('02_대상물건입력'!$B$8,D813)),1,0)))</f>
        <v/>
      </c>
      <c r="M813">
        <f>IFERROR(ABS(E813-'02_대상물건입력'!$B$11)/'02_대상물건입력'!$B$11,"")</f>
        <v/>
      </c>
      <c r="N813">
        <f>IFERROR(ABS('01_설정'!$B$4-F813),"")</f>
        <v/>
      </c>
      <c r="O813">
        <f>IFERROR(ABS(YEAR(I813)-YEAR('02_대상물건입력'!$B$14)),"")</f>
        <v/>
      </c>
      <c r="P813">
        <f>IF(AND(E813&gt;0,F813&gt;0,G813&gt;0,IF('01_설정'!$B$10=1,J813=1,TRUE()),M813&lt;='01_설정'!$B$5,N813&lt;='01_설정'!$B$7,O813&lt;='01_설정'!$B$8),"Y","")</f>
        <v/>
      </c>
      <c r="Q813">
        <f>IF(P813&lt;&gt;"Y","",MAX(0,(1-M813/'01_설정'!$B$5))*'01_설정'!$B$14+MAX(0,(1-N813/'01_설정'!$B$7))*'01_설정'!$B$16+MAX(0,(1-O813/'01_설정'!$B$8))*'01_설정'!$B$17+K813*'01_설정'!$B$11+L813*'01_설정'!$B$12)</f>
        <v/>
      </c>
      <c r="R813">
        <f>IF(Q813="","",1+COUNTIFS($Q$31:$Q$1030,"&gt;"&amp;Q813)+COUNTIFS($Q$31:Q813,Q813)-1)</f>
        <v/>
      </c>
    </row>
    <row r="814" hidden="1" ht="16.5" customHeight="1">
      <c r="A814">
        <f>IF(COUNTA('05_KAIS'!$A802:$N802)=0,"",787)</f>
        <v/>
      </c>
      <c r="B814">
        <f>IF($A814="","",TRIM(INDEX('05_KAIS'!$B:$B,$A814)&amp;" "&amp;INDEX('05_KAIS'!$C:$C,$A814)))</f>
        <v/>
      </c>
      <c r="C814">
        <f>IF($A814="","",INDEX('05_KAIS'!$D:$D,$A814))</f>
        <v/>
      </c>
      <c r="D814">
        <f>IF($A814="","",INDEX('05_KAIS'!$H:$H,$A814))</f>
        <v/>
      </c>
      <c r="E814">
        <f>IF($A814="","",INDEX('05_KAIS'!$K:$K,$A814))</f>
        <v/>
      </c>
      <c r="F814" s="202">
        <f>IF($A814="","",INDEX('05_KAIS'!$I:$I,$A814))</f>
        <v/>
      </c>
      <c r="G814" s="118">
        <f>IF($A814="","",INDEX('05_KAIS'!$L:$L,$A814))</f>
        <v/>
      </c>
      <c r="H814" s="118">
        <f>IF($A814="","",IFERROR(INDEX('05_KAIS'!$M:$M,$A814),IF(AND(E814&gt;0,G814&gt;0),G814/E814,"")))</f>
        <v/>
      </c>
      <c r="I814" s="202">
        <f>IF($A814="","",INDEX('05_KAIS'!$N:$N,$A814))</f>
        <v/>
      </c>
      <c r="J814">
        <f>IF(B814="","",IF('02_대상물건입력'!$B$5="",1,IF(ISNUMBER(SEARCH('02_대상물건입력'!$B$5,B814)),1,0)))</f>
        <v/>
      </c>
      <c r="K814">
        <f>IF(B814="","",IF('02_대상물건입력'!$B$6="",1,IF(ISNUMBER(SEARCH('02_대상물건입력'!$B$6,B814)),1,0)))</f>
        <v/>
      </c>
      <c r="L814">
        <f>IF(D814="","",IF('02_대상물건입력'!$B$8="",0,IF(ISNUMBER(SEARCH('02_대상물건입력'!$B$8,D814)),1,0)))</f>
        <v/>
      </c>
      <c r="M814">
        <f>IFERROR(ABS(E814-'02_대상물건입력'!$B$11)/'02_대상물건입력'!$B$11,"")</f>
        <v/>
      </c>
      <c r="N814">
        <f>IFERROR(ABS('01_설정'!$B$4-F814),"")</f>
        <v/>
      </c>
      <c r="O814">
        <f>IFERROR(ABS(YEAR(I814)-YEAR('02_대상물건입력'!$B$14)),"")</f>
        <v/>
      </c>
      <c r="P814">
        <f>IF(AND(E814&gt;0,F814&gt;0,G814&gt;0,IF('01_설정'!$B$10=1,J814=1,TRUE()),M814&lt;='01_설정'!$B$5,N814&lt;='01_설정'!$B$7,O814&lt;='01_설정'!$B$8),"Y","")</f>
        <v/>
      </c>
      <c r="Q814">
        <f>IF(P814&lt;&gt;"Y","",MAX(0,(1-M814/'01_설정'!$B$5))*'01_설정'!$B$14+MAX(0,(1-N814/'01_설정'!$B$7))*'01_설정'!$B$16+MAX(0,(1-O814/'01_설정'!$B$8))*'01_설정'!$B$17+K814*'01_설정'!$B$11+L814*'01_설정'!$B$12)</f>
        <v/>
      </c>
      <c r="R814">
        <f>IF(Q814="","",1+COUNTIFS($Q$31:$Q$1030,"&gt;"&amp;Q814)+COUNTIFS($Q$31:Q814,Q814)-1)</f>
        <v/>
      </c>
    </row>
    <row r="815" hidden="1" ht="16.5" customHeight="1">
      <c r="A815">
        <f>IF(COUNTA('05_KAIS'!$A803:$N803)=0,"",788)</f>
        <v/>
      </c>
      <c r="B815">
        <f>IF($A815="","",TRIM(INDEX('05_KAIS'!$B:$B,$A815)&amp;" "&amp;INDEX('05_KAIS'!$C:$C,$A815)))</f>
        <v/>
      </c>
      <c r="C815">
        <f>IF($A815="","",INDEX('05_KAIS'!$D:$D,$A815))</f>
        <v/>
      </c>
      <c r="D815">
        <f>IF($A815="","",INDEX('05_KAIS'!$H:$H,$A815))</f>
        <v/>
      </c>
      <c r="E815">
        <f>IF($A815="","",INDEX('05_KAIS'!$K:$K,$A815))</f>
        <v/>
      </c>
      <c r="F815" s="202">
        <f>IF($A815="","",INDEX('05_KAIS'!$I:$I,$A815))</f>
        <v/>
      </c>
      <c r="G815" s="118">
        <f>IF($A815="","",INDEX('05_KAIS'!$L:$L,$A815))</f>
        <v/>
      </c>
      <c r="H815" s="118">
        <f>IF($A815="","",IFERROR(INDEX('05_KAIS'!$M:$M,$A815),IF(AND(E815&gt;0,G815&gt;0),G815/E815,"")))</f>
        <v/>
      </c>
      <c r="I815" s="202">
        <f>IF($A815="","",INDEX('05_KAIS'!$N:$N,$A815))</f>
        <v/>
      </c>
      <c r="J815">
        <f>IF(B815="","",IF('02_대상물건입력'!$B$5="",1,IF(ISNUMBER(SEARCH('02_대상물건입력'!$B$5,B815)),1,0)))</f>
        <v/>
      </c>
      <c r="K815">
        <f>IF(B815="","",IF('02_대상물건입력'!$B$6="",1,IF(ISNUMBER(SEARCH('02_대상물건입력'!$B$6,B815)),1,0)))</f>
        <v/>
      </c>
      <c r="L815">
        <f>IF(D815="","",IF('02_대상물건입력'!$B$8="",0,IF(ISNUMBER(SEARCH('02_대상물건입력'!$B$8,D815)),1,0)))</f>
        <v/>
      </c>
      <c r="M815">
        <f>IFERROR(ABS(E815-'02_대상물건입력'!$B$11)/'02_대상물건입력'!$B$11,"")</f>
        <v/>
      </c>
      <c r="N815">
        <f>IFERROR(ABS('01_설정'!$B$4-F815),"")</f>
        <v/>
      </c>
      <c r="O815">
        <f>IFERROR(ABS(YEAR(I815)-YEAR('02_대상물건입력'!$B$14)),"")</f>
        <v/>
      </c>
      <c r="P815">
        <f>IF(AND(E815&gt;0,F815&gt;0,G815&gt;0,IF('01_설정'!$B$10=1,J815=1,TRUE()),M815&lt;='01_설정'!$B$5,N815&lt;='01_설정'!$B$7,O815&lt;='01_설정'!$B$8),"Y","")</f>
        <v/>
      </c>
      <c r="Q815">
        <f>IF(P815&lt;&gt;"Y","",MAX(0,(1-M815/'01_설정'!$B$5))*'01_설정'!$B$14+MAX(0,(1-N815/'01_설정'!$B$7))*'01_설정'!$B$16+MAX(0,(1-O815/'01_설정'!$B$8))*'01_설정'!$B$17+K815*'01_설정'!$B$11+L815*'01_설정'!$B$12)</f>
        <v/>
      </c>
      <c r="R815">
        <f>IF(Q815="","",1+COUNTIFS($Q$31:$Q$1030,"&gt;"&amp;Q815)+COUNTIFS($Q$31:Q815,Q815)-1)</f>
        <v/>
      </c>
    </row>
    <row r="816" hidden="1" ht="16.5" customHeight="1">
      <c r="A816">
        <f>IF(COUNTA('05_KAIS'!$A804:$N804)=0,"",789)</f>
        <v/>
      </c>
      <c r="B816">
        <f>IF($A816="","",TRIM(INDEX('05_KAIS'!$B:$B,$A816)&amp;" "&amp;INDEX('05_KAIS'!$C:$C,$A816)))</f>
        <v/>
      </c>
      <c r="C816">
        <f>IF($A816="","",INDEX('05_KAIS'!$D:$D,$A816))</f>
        <v/>
      </c>
      <c r="D816">
        <f>IF($A816="","",INDEX('05_KAIS'!$H:$H,$A816))</f>
        <v/>
      </c>
      <c r="E816">
        <f>IF($A816="","",INDEX('05_KAIS'!$K:$K,$A816))</f>
        <v/>
      </c>
      <c r="F816" s="202">
        <f>IF($A816="","",INDEX('05_KAIS'!$I:$I,$A816))</f>
        <v/>
      </c>
      <c r="G816" s="118">
        <f>IF($A816="","",INDEX('05_KAIS'!$L:$L,$A816))</f>
        <v/>
      </c>
      <c r="H816" s="118">
        <f>IF($A816="","",IFERROR(INDEX('05_KAIS'!$M:$M,$A816),IF(AND(E816&gt;0,G816&gt;0),G816/E816,"")))</f>
        <v/>
      </c>
      <c r="I816" s="202">
        <f>IF($A816="","",INDEX('05_KAIS'!$N:$N,$A816))</f>
        <v/>
      </c>
      <c r="J816">
        <f>IF(B816="","",IF('02_대상물건입력'!$B$5="",1,IF(ISNUMBER(SEARCH('02_대상물건입력'!$B$5,B816)),1,0)))</f>
        <v/>
      </c>
      <c r="K816">
        <f>IF(B816="","",IF('02_대상물건입력'!$B$6="",1,IF(ISNUMBER(SEARCH('02_대상물건입력'!$B$6,B816)),1,0)))</f>
        <v/>
      </c>
      <c r="L816">
        <f>IF(D816="","",IF('02_대상물건입력'!$B$8="",0,IF(ISNUMBER(SEARCH('02_대상물건입력'!$B$8,D816)),1,0)))</f>
        <v/>
      </c>
      <c r="M816">
        <f>IFERROR(ABS(E816-'02_대상물건입력'!$B$11)/'02_대상물건입력'!$B$11,"")</f>
        <v/>
      </c>
      <c r="N816">
        <f>IFERROR(ABS('01_설정'!$B$4-F816),"")</f>
        <v/>
      </c>
      <c r="O816">
        <f>IFERROR(ABS(YEAR(I816)-YEAR('02_대상물건입력'!$B$14)),"")</f>
        <v/>
      </c>
      <c r="P816">
        <f>IF(AND(E816&gt;0,F816&gt;0,G816&gt;0,IF('01_설정'!$B$10=1,J816=1,TRUE()),M816&lt;='01_설정'!$B$5,N816&lt;='01_설정'!$B$7,O816&lt;='01_설정'!$B$8),"Y","")</f>
        <v/>
      </c>
      <c r="Q816">
        <f>IF(P816&lt;&gt;"Y","",MAX(0,(1-M816/'01_설정'!$B$5))*'01_설정'!$B$14+MAX(0,(1-N816/'01_설정'!$B$7))*'01_설정'!$B$16+MAX(0,(1-O816/'01_설정'!$B$8))*'01_설정'!$B$17+K816*'01_설정'!$B$11+L816*'01_설정'!$B$12)</f>
        <v/>
      </c>
      <c r="R816">
        <f>IF(Q816="","",1+COUNTIFS($Q$31:$Q$1030,"&gt;"&amp;Q816)+COUNTIFS($Q$31:Q816,Q816)-1)</f>
        <v/>
      </c>
    </row>
    <row r="817" hidden="1" ht="16.5" customHeight="1">
      <c r="A817">
        <f>IF(COUNTA('05_KAIS'!$A805:$N805)=0,"",790)</f>
        <v/>
      </c>
      <c r="B817">
        <f>IF($A817="","",TRIM(INDEX('05_KAIS'!$B:$B,$A817)&amp;" "&amp;INDEX('05_KAIS'!$C:$C,$A817)))</f>
        <v/>
      </c>
      <c r="C817">
        <f>IF($A817="","",INDEX('05_KAIS'!$D:$D,$A817))</f>
        <v/>
      </c>
      <c r="D817">
        <f>IF($A817="","",INDEX('05_KAIS'!$H:$H,$A817))</f>
        <v/>
      </c>
      <c r="E817">
        <f>IF($A817="","",INDEX('05_KAIS'!$K:$K,$A817))</f>
        <v/>
      </c>
      <c r="F817" s="202">
        <f>IF($A817="","",INDEX('05_KAIS'!$I:$I,$A817))</f>
        <v/>
      </c>
      <c r="G817" s="118">
        <f>IF($A817="","",INDEX('05_KAIS'!$L:$L,$A817))</f>
        <v/>
      </c>
      <c r="H817" s="118">
        <f>IF($A817="","",IFERROR(INDEX('05_KAIS'!$M:$M,$A817),IF(AND(E817&gt;0,G817&gt;0),G817/E817,"")))</f>
        <v/>
      </c>
      <c r="I817" s="202">
        <f>IF($A817="","",INDEX('05_KAIS'!$N:$N,$A817))</f>
        <v/>
      </c>
      <c r="J817">
        <f>IF(B817="","",IF('02_대상물건입력'!$B$5="",1,IF(ISNUMBER(SEARCH('02_대상물건입력'!$B$5,B817)),1,0)))</f>
        <v/>
      </c>
      <c r="K817">
        <f>IF(B817="","",IF('02_대상물건입력'!$B$6="",1,IF(ISNUMBER(SEARCH('02_대상물건입력'!$B$6,B817)),1,0)))</f>
        <v/>
      </c>
      <c r="L817">
        <f>IF(D817="","",IF('02_대상물건입력'!$B$8="",0,IF(ISNUMBER(SEARCH('02_대상물건입력'!$B$8,D817)),1,0)))</f>
        <v/>
      </c>
      <c r="M817">
        <f>IFERROR(ABS(E817-'02_대상물건입력'!$B$11)/'02_대상물건입력'!$B$11,"")</f>
        <v/>
      </c>
      <c r="N817">
        <f>IFERROR(ABS('01_설정'!$B$4-F817),"")</f>
        <v/>
      </c>
      <c r="O817">
        <f>IFERROR(ABS(YEAR(I817)-YEAR('02_대상물건입력'!$B$14)),"")</f>
        <v/>
      </c>
      <c r="P817">
        <f>IF(AND(E817&gt;0,F817&gt;0,G817&gt;0,IF('01_설정'!$B$10=1,J817=1,TRUE()),M817&lt;='01_설정'!$B$5,N817&lt;='01_설정'!$B$7,O817&lt;='01_설정'!$B$8),"Y","")</f>
        <v/>
      </c>
      <c r="Q817">
        <f>IF(P817&lt;&gt;"Y","",MAX(0,(1-M817/'01_설정'!$B$5))*'01_설정'!$B$14+MAX(0,(1-N817/'01_설정'!$B$7))*'01_설정'!$B$16+MAX(0,(1-O817/'01_설정'!$B$8))*'01_설정'!$B$17+K817*'01_설정'!$B$11+L817*'01_설정'!$B$12)</f>
        <v/>
      </c>
      <c r="R817">
        <f>IF(Q817="","",1+COUNTIFS($Q$31:$Q$1030,"&gt;"&amp;Q817)+COUNTIFS($Q$31:Q817,Q817)-1)</f>
        <v/>
      </c>
    </row>
    <row r="818" hidden="1" ht="16.5" customHeight="1">
      <c r="A818">
        <f>IF(COUNTA('05_KAIS'!$A806:$N806)=0,"",791)</f>
        <v/>
      </c>
      <c r="B818">
        <f>IF($A818="","",TRIM(INDEX('05_KAIS'!$B:$B,$A818)&amp;" "&amp;INDEX('05_KAIS'!$C:$C,$A818)))</f>
        <v/>
      </c>
      <c r="C818">
        <f>IF($A818="","",INDEX('05_KAIS'!$D:$D,$A818))</f>
        <v/>
      </c>
      <c r="D818">
        <f>IF($A818="","",INDEX('05_KAIS'!$H:$H,$A818))</f>
        <v/>
      </c>
      <c r="E818">
        <f>IF($A818="","",INDEX('05_KAIS'!$K:$K,$A818))</f>
        <v/>
      </c>
      <c r="F818" s="202">
        <f>IF($A818="","",INDEX('05_KAIS'!$I:$I,$A818))</f>
        <v/>
      </c>
      <c r="G818" s="118">
        <f>IF($A818="","",INDEX('05_KAIS'!$L:$L,$A818))</f>
        <v/>
      </c>
      <c r="H818" s="118">
        <f>IF($A818="","",IFERROR(INDEX('05_KAIS'!$M:$M,$A818),IF(AND(E818&gt;0,G818&gt;0),G818/E818,"")))</f>
        <v/>
      </c>
      <c r="I818" s="202">
        <f>IF($A818="","",INDEX('05_KAIS'!$N:$N,$A818))</f>
        <v/>
      </c>
      <c r="J818">
        <f>IF(B818="","",IF('02_대상물건입력'!$B$5="",1,IF(ISNUMBER(SEARCH('02_대상물건입력'!$B$5,B818)),1,0)))</f>
        <v/>
      </c>
      <c r="K818">
        <f>IF(B818="","",IF('02_대상물건입력'!$B$6="",1,IF(ISNUMBER(SEARCH('02_대상물건입력'!$B$6,B818)),1,0)))</f>
        <v/>
      </c>
      <c r="L818">
        <f>IF(D818="","",IF('02_대상물건입력'!$B$8="",0,IF(ISNUMBER(SEARCH('02_대상물건입력'!$B$8,D818)),1,0)))</f>
        <v/>
      </c>
      <c r="M818">
        <f>IFERROR(ABS(E818-'02_대상물건입력'!$B$11)/'02_대상물건입력'!$B$11,"")</f>
        <v/>
      </c>
      <c r="N818">
        <f>IFERROR(ABS('01_설정'!$B$4-F818),"")</f>
        <v/>
      </c>
      <c r="O818">
        <f>IFERROR(ABS(YEAR(I818)-YEAR('02_대상물건입력'!$B$14)),"")</f>
        <v/>
      </c>
      <c r="P818">
        <f>IF(AND(E818&gt;0,F818&gt;0,G818&gt;0,IF('01_설정'!$B$10=1,J818=1,TRUE()),M818&lt;='01_설정'!$B$5,N818&lt;='01_설정'!$B$7,O818&lt;='01_설정'!$B$8),"Y","")</f>
        <v/>
      </c>
      <c r="Q818">
        <f>IF(P818&lt;&gt;"Y","",MAX(0,(1-M818/'01_설정'!$B$5))*'01_설정'!$B$14+MAX(0,(1-N818/'01_설정'!$B$7))*'01_설정'!$B$16+MAX(0,(1-O818/'01_설정'!$B$8))*'01_설정'!$B$17+K818*'01_설정'!$B$11+L818*'01_설정'!$B$12)</f>
        <v/>
      </c>
      <c r="R818">
        <f>IF(Q818="","",1+COUNTIFS($Q$31:$Q$1030,"&gt;"&amp;Q818)+COUNTIFS($Q$31:Q818,Q818)-1)</f>
        <v/>
      </c>
    </row>
    <row r="819" hidden="1" ht="16.5" customHeight="1">
      <c r="A819">
        <f>IF(COUNTA('05_KAIS'!$A807:$N807)=0,"",792)</f>
        <v/>
      </c>
      <c r="B819">
        <f>IF($A819="","",TRIM(INDEX('05_KAIS'!$B:$B,$A819)&amp;" "&amp;INDEX('05_KAIS'!$C:$C,$A819)))</f>
        <v/>
      </c>
      <c r="C819">
        <f>IF($A819="","",INDEX('05_KAIS'!$D:$D,$A819))</f>
        <v/>
      </c>
      <c r="D819">
        <f>IF($A819="","",INDEX('05_KAIS'!$H:$H,$A819))</f>
        <v/>
      </c>
      <c r="E819">
        <f>IF($A819="","",INDEX('05_KAIS'!$K:$K,$A819))</f>
        <v/>
      </c>
      <c r="F819" s="202">
        <f>IF($A819="","",INDEX('05_KAIS'!$I:$I,$A819))</f>
        <v/>
      </c>
      <c r="G819" s="118">
        <f>IF($A819="","",INDEX('05_KAIS'!$L:$L,$A819))</f>
        <v/>
      </c>
      <c r="H819" s="118">
        <f>IF($A819="","",IFERROR(INDEX('05_KAIS'!$M:$M,$A819),IF(AND(E819&gt;0,G819&gt;0),G819/E819,"")))</f>
        <v/>
      </c>
      <c r="I819" s="202">
        <f>IF($A819="","",INDEX('05_KAIS'!$N:$N,$A819))</f>
        <v/>
      </c>
      <c r="J819">
        <f>IF(B819="","",IF('02_대상물건입력'!$B$5="",1,IF(ISNUMBER(SEARCH('02_대상물건입력'!$B$5,B819)),1,0)))</f>
        <v/>
      </c>
      <c r="K819">
        <f>IF(B819="","",IF('02_대상물건입력'!$B$6="",1,IF(ISNUMBER(SEARCH('02_대상물건입력'!$B$6,B819)),1,0)))</f>
        <v/>
      </c>
      <c r="L819">
        <f>IF(D819="","",IF('02_대상물건입력'!$B$8="",0,IF(ISNUMBER(SEARCH('02_대상물건입력'!$B$8,D819)),1,0)))</f>
        <v/>
      </c>
      <c r="M819">
        <f>IFERROR(ABS(E819-'02_대상물건입력'!$B$11)/'02_대상물건입력'!$B$11,"")</f>
        <v/>
      </c>
      <c r="N819">
        <f>IFERROR(ABS('01_설정'!$B$4-F819),"")</f>
        <v/>
      </c>
      <c r="O819">
        <f>IFERROR(ABS(YEAR(I819)-YEAR('02_대상물건입력'!$B$14)),"")</f>
        <v/>
      </c>
      <c r="P819">
        <f>IF(AND(E819&gt;0,F819&gt;0,G819&gt;0,IF('01_설정'!$B$10=1,J819=1,TRUE()),M819&lt;='01_설정'!$B$5,N819&lt;='01_설정'!$B$7,O819&lt;='01_설정'!$B$8),"Y","")</f>
        <v/>
      </c>
      <c r="Q819">
        <f>IF(P819&lt;&gt;"Y","",MAX(0,(1-M819/'01_설정'!$B$5))*'01_설정'!$B$14+MAX(0,(1-N819/'01_설정'!$B$7))*'01_설정'!$B$16+MAX(0,(1-O819/'01_설정'!$B$8))*'01_설정'!$B$17+K819*'01_설정'!$B$11+L819*'01_설정'!$B$12)</f>
        <v/>
      </c>
      <c r="R819">
        <f>IF(Q819="","",1+COUNTIFS($Q$31:$Q$1030,"&gt;"&amp;Q819)+COUNTIFS($Q$31:Q819,Q819)-1)</f>
        <v/>
      </c>
    </row>
    <row r="820" hidden="1" ht="16.5" customHeight="1">
      <c r="A820">
        <f>IF(COUNTA('05_KAIS'!$A808:$N808)=0,"",793)</f>
        <v/>
      </c>
      <c r="B820">
        <f>IF($A820="","",TRIM(INDEX('05_KAIS'!$B:$B,$A820)&amp;" "&amp;INDEX('05_KAIS'!$C:$C,$A820)))</f>
        <v/>
      </c>
      <c r="C820">
        <f>IF($A820="","",INDEX('05_KAIS'!$D:$D,$A820))</f>
        <v/>
      </c>
      <c r="D820">
        <f>IF($A820="","",INDEX('05_KAIS'!$H:$H,$A820))</f>
        <v/>
      </c>
      <c r="E820">
        <f>IF($A820="","",INDEX('05_KAIS'!$K:$K,$A820))</f>
        <v/>
      </c>
      <c r="F820" s="202">
        <f>IF($A820="","",INDEX('05_KAIS'!$I:$I,$A820))</f>
        <v/>
      </c>
      <c r="G820" s="118">
        <f>IF($A820="","",INDEX('05_KAIS'!$L:$L,$A820))</f>
        <v/>
      </c>
      <c r="H820" s="118">
        <f>IF($A820="","",IFERROR(INDEX('05_KAIS'!$M:$M,$A820),IF(AND(E820&gt;0,G820&gt;0),G820/E820,"")))</f>
        <v/>
      </c>
      <c r="I820" s="202">
        <f>IF($A820="","",INDEX('05_KAIS'!$N:$N,$A820))</f>
        <v/>
      </c>
      <c r="J820">
        <f>IF(B820="","",IF('02_대상물건입력'!$B$5="",1,IF(ISNUMBER(SEARCH('02_대상물건입력'!$B$5,B820)),1,0)))</f>
        <v/>
      </c>
      <c r="K820">
        <f>IF(B820="","",IF('02_대상물건입력'!$B$6="",1,IF(ISNUMBER(SEARCH('02_대상물건입력'!$B$6,B820)),1,0)))</f>
        <v/>
      </c>
      <c r="L820">
        <f>IF(D820="","",IF('02_대상물건입력'!$B$8="",0,IF(ISNUMBER(SEARCH('02_대상물건입력'!$B$8,D820)),1,0)))</f>
        <v/>
      </c>
      <c r="M820">
        <f>IFERROR(ABS(E820-'02_대상물건입력'!$B$11)/'02_대상물건입력'!$B$11,"")</f>
        <v/>
      </c>
      <c r="N820">
        <f>IFERROR(ABS('01_설정'!$B$4-F820),"")</f>
        <v/>
      </c>
      <c r="O820">
        <f>IFERROR(ABS(YEAR(I820)-YEAR('02_대상물건입력'!$B$14)),"")</f>
        <v/>
      </c>
      <c r="P820">
        <f>IF(AND(E820&gt;0,F820&gt;0,G820&gt;0,IF('01_설정'!$B$10=1,J820=1,TRUE()),M820&lt;='01_설정'!$B$5,N820&lt;='01_설정'!$B$7,O820&lt;='01_설정'!$B$8),"Y","")</f>
        <v/>
      </c>
      <c r="Q820">
        <f>IF(P820&lt;&gt;"Y","",MAX(0,(1-M820/'01_설정'!$B$5))*'01_설정'!$B$14+MAX(0,(1-N820/'01_설정'!$B$7))*'01_설정'!$B$16+MAX(0,(1-O820/'01_설정'!$B$8))*'01_설정'!$B$17+K820*'01_설정'!$B$11+L820*'01_설정'!$B$12)</f>
        <v/>
      </c>
      <c r="R820">
        <f>IF(Q820="","",1+COUNTIFS($Q$31:$Q$1030,"&gt;"&amp;Q820)+COUNTIFS($Q$31:Q820,Q820)-1)</f>
        <v/>
      </c>
    </row>
    <row r="821" hidden="1" ht="16.5" customHeight="1">
      <c r="A821">
        <f>IF(COUNTA('05_KAIS'!$A809:$N809)=0,"",794)</f>
        <v/>
      </c>
      <c r="B821">
        <f>IF($A821="","",TRIM(INDEX('05_KAIS'!$B:$B,$A821)&amp;" "&amp;INDEX('05_KAIS'!$C:$C,$A821)))</f>
        <v/>
      </c>
      <c r="C821">
        <f>IF($A821="","",INDEX('05_KAIS'!$D:$D,$A821))</f>
        <v/>
      </c>
      <c r="D821">
        <f>IF($A821="","",INDEX('05_KAIS'!$H:$H,$A821))</f>
        <v/>
      </c>
      <c r="E821">
        <f>IF($A821="","",INDEX('05_KAIS'!$K:$K,$A821))</f>
        <v/>
      </c>
      <c r="F821" s="202">
        <f>IF($A821="","",INDEX('05_KAIS'!$I:$I,$A821))</f>
        <v/>
      </c>
      <c r="G821" s="118">
        <f>IF($A821="","",INDEX('05_KAIS'!$L:$L,$A821))</f>
        <v/>
      </c>
      <c r="H821" s="118">
        <f>IF($A821="","",IFERROR(INDEX('05_KAIS'!$M:$M,$A821),IF(AND(E821&gt;0,G821&gt;0),G821/E821,"")))</f>
        <v/>
      </c>
      <c r="I821" s="202">
        <f>IF($A821="","",INDEX('05_KAIS'!$N:$N,$A821))</f>
        <v/>
      </c>
      <c r="J821">
        <f>IF(B821="","",IF('02_대상물건입력'!$B$5="",1,IF(ISNUMBER(SEARCH('02_대상물건입력'!$B$5,B821)),1,0)))</f>
        <v/>
      </c>
      <c r="K821">
        <f>IF(B821="","",IF('02_대상물건입력'!$B$6="",1,IF(ISNUMBER(SEARCH('02_대상물건입력'!$B$6,B821)),1,0)))</f>
        <v/>
      </c>
      <c r="L821">
        <f>IF(D821="","",IF('02_대상물건입력'!$B$8="",0,IF(ISNUMBER(SEARCH('02_대상물건입력'!$B$8,D821)),1,0)))</f>
        <v/>
      </c>
      <c r="M821">
        <f>IFERROR(ABS(E821-'02_대상물건입력'!$B$11)/'02_대상물건입력'!$B$11,"")</f>
        <v/>
      </c>
      <c r="N821">
        <f>IFERROR(ABS('01_설정'!$B$4-F821),"")</f>
        <v/>
      </c>
      <c r="O821">
        <f>IFERROR(ABS(YEAR(I821)-YEAR('02_대상물건입력'!$B$14)),"")</f>
        <v/>
      </c>
      <c r="P821">
        <f>IF(AND(E821&gt;0,F821&gt;0,G821&gt;0,IF('01_설정'!$B$10=1,J821=1,TRUE()),M821&lt;='01_설정'!$B$5,N821&lt;='01_설정'!$B$7,O821&lt;='01_설정'!$B$8),"Y","")</f>
        <v/>
      </c>
      <c r="Q821">
        <f>IF(P821&lt;&gt;"Y","",MAX(0,(1-M821/'01_설정'!$B$5))*'01_설정'!$B$14+MAX(0,(1-N821/'01_설정'!$B$7))*'01_설정'!$B$16+MAX(0,(1-O821/'01_설정'!$B$8))*'01_설정'!$B$17+K821*'01_설정'!$B$11+L821*'01_설정'!$B$12)</f>
        <v/>
      </c>
      <c r="R821">
        <f>IF(Q821="","",1+COUNTIFS($Q$31:$Q$1030,"&gt;"&amp;Q821)+COUNTIFS($Q$31:Q821,Q821)-1)</f>
        <v/>
      </c>
    </row>
    <row r="822" hidden="1" ht="16.5" customHeight="1">
      <c r="A822">
        <f>IF(COUNTA('05_KAIS'!$A810:$N810)=0,"",795)</f>
        <v/>
      </c>
      <c r="B822">
        <f>IF($A822="","",TRIM(INDEX('05_KAIS'!$B:$B,$A822)&amp;" "&amp;INDEX('05_KAIS'!$C:$C,$A822)))</f>
        <v/>
      </c>
      <c r="C822">
        <f>IF($A822="","",INDEX('05_KAIS'!$D:$D,$A822))</f>
        <v/>
      </c>
      <c r="D822">
        <f>IF($A822="","",INDEX('05_KAIS'!$H:$H,$A822))</f>
        <v/>
      </c>
      <c r="E822">
        <f>IF($A822="","",INDEX('05_KAIS'!$K:$K,$A822))</f>
        <v/>
      </c>
      <c r="F822" s="202">
        <f>IF($A822="","",INDEX('05_KAIS'!$I:$I,$A822))</f>
        <v/>
      </c>
      <c r="G822" s="118">
        <f>IF($A822="","",INDEX('05_KAIS'!$L:$L,$A822))</f>
        <v/>
      </c>
      <c r="H822" s="118">
        <f>IF($A822="","",IFERROR(INDEX('05_KAIS'!$M:$M,$A822),IF(AND(E822&gt;0,G822&gt;0),G822/E822,"")))</f>
        <v/>
      </c>
      <c r="I822" s="202">
        <f>IF($A822="","",INDEX('05_KAIS'!$N:$N,$A822))</f>
        <v/>
      </c>
      <c r="J822">
        <f>IF(B822="","",IF('02_대상물건입력'!$B$5="",1,IF(ISNUMBER(SEARCH('02_대상물건입력'!$B$5,B822)),1,0)))</f>
        <v/>
      </c>
      <c r="K822">
        <f>IF(B822="","",IF('02_대상물건입력'!$B$6="",1,IF(ISNUMBER(SEARCH('02_대상물건입력'!$B$6,B822)),1,0)))</f>
        <v/>
      </c>
      <c r="L822">
        <f>IF(D822="","",IF('02_대상물건입력'!$B$8="",0,IF(ISNUMBER(SEARCH('02_대상물건입력'!$B$8,D822)),1,0)))</f>
        <v/>
      </c>
      <c r="M822">
        <f>IFERROR(ABS(E822-'02_대상물건입력'!$B$11)/'02_대상물건입력'!$B$11,"")</f>
        <v/>
      </c>
      <c r="N822">
        <f>IFERROR(ABS('01_설정'!$B$4-F822),"")</f>
        <v/>
      </c>
      <c r="O822">
        <f>IFERROR(ABS(YEAR(I822)-YEAR('02_대상물건입력'!$B$14)),"")</f>
        <v/>
      </c>
      <c r="P822">
        <f>IF(AND(E822&gt;0,F822&gt;0,G822&gt;0,IF('01_설정'!$B$10=1,J822=1,TRUE()),M822&lt;='01_설정'!$B$5,N822&lt;='01_설정'!$B$7,O822&lt;='01_설정'!$B$8),"Y","")</f>
        <v/>
      </c>
      <c r="Q822">
        <f>IF(P822&lt;&gt;"Y","",MAX(0,(1-M822/'01_설정'!$B$5))*'01_설정'!$B$14+MAX(0,(1-N822/'01_설정'!$B$7))*'01_설정'!$B$16+MAX(0,(1-O822/'01_설정'!$B$8))*'01_설정'!$B$17+K822*'01_설정'!$B$11+L822*'01_설정'!$B$12)</f>
        <v/>
      </c>
      <c r="R822">
        <f>IF(Q822="","",1+COUNTIFS($Q$31:$Q$1030,"&gt;"&amp;Q822)+COUNTIFS($Q$31:Q822,Q822)-1)</f>
        <v/>
      </c>
    </row>
    <row r="823" hidden="1" ht="16.5" customHeight="1">
      <c r="A823">
        <f>IF(COUNTA('05_KAIS'!$A811:$N811)=0,"",796)</f>
        <v/>
      </c>
      <c r="B823">
        <f>IF($A823="","",TRIM(INDEX('05_KAIS'!$B:$B,$A823)&amp;" "&amp;INDEX('05_KAIS'!$C:$C,$A823)))</f>
        <v/>
      </c>
      <c r="C823">
        <f>IF($A823="","",INDEX('05_KAIS'!$D:$D,$A823))</f>
        <v/>
      </c>
      <c r="D823">
        <f>IF($A823="","",INDEX('05_KAIS'!$H:$H,$A823))</f>
        <v/>
      </c>
      <c r="E823">
        <f>IF($A823="","",INDEX('05_KAIS'!$K:$K,$A823))</f>
        <v/>
      </c>
      <c r="F823" s="202">
        <f>IF($A823="","",INDEX('05_KAIS'!$I:$I,$A823))</f>
        <v/>
      </c>
      <c r="G823" s="118">
        <f>IF($A823="","",INDEX('05_KAIS'!$L:$L,$A823))</f>
        <v/>
      </c>
      <c r="H823" s="118">
        <f>IF($A823="","",IFERROR(INDEX('05_KAIS'!$M:$M,$A823),IF(AND(E823&gt;0,G823&gt;0),G823/E823,"")))</f>
        <v/>
      </c>
      <c r="I823" s="202">
        <f>IF($A823="","",INDEX('05_KAIS'!$N:$N,$A823))</f>
        <v/>
      </c>
      <c r="J823">
        <f>IF(B823="","",IF('02_대상물건입력'!$B$5="",1,IF(ISNUMBER(SEARCH('02_대상물건입력'!$B$5,B823)),1,0)))</f>
        <v/>
      </c>
      <c r="K823">
        <f>IF(B823="","",IF('02_대상물건입력'!$B$6="",1,IF(ISNUMBER(SEARCH('02_대상물건입력'!$B$6,B823)),1,0)))</f>
        <v/>
      </c>
      <c r="L823">
        <f>IF(D823="","",IF('02_대상물건입력'!$B$8="",0,IF(ISNUMBER(SEARCH('02_대상물건입력'!$B$8,D823)),1,0)))</f>
        <v/>
      </c>
      <c r="M823">
        <f>IFERROR(ABS(E823-'02_대상물건입력'!$B$11)/'02_대상물건입력'!$B$11,"")</f>
        <v/>
      </c>
      <c r="N823">
        <f>IFERROR(ABS('01_설정'!$B$4-F823),"")</f>
        <v/>
      </c>
      <c r="O823">
        <f>IFERROR(ABS(YEAR(I823)-YEAR('02_대상물건입력'!$B$14)),"")</f>
        <v/>
      </c>
      <c r="P823">
        <f>IF(AND(E823&gt;0,F823&gt;0,G823&gt;0,IF('01_설정'!$B$10=1,J823=1,TRUE()),M823&lt;='01_설정'!$B$5,N823&lt;='01_설정'!$B$7,O823&lt;='01_설정'!$B$8),"Y","")</f>
        <v/>
      </c>
      <c r="Q823">
        <f>IF(P823&lt;&gt;"Y","",MAX(0,(1-M823/'01_설정'!$B$5))*'01_설정'!$B$14+MAX(0,(1-N823/'01_설정'!$B$7))*'01_설정'!$B$16+MAX(0,(1-O823/'01_설정'!$B$8))*'01_설정'!$B$17+K823*'01_설정'!$B$11+L823*'01_설정'!$B$12)</f>
        <v/>
      </c>
      <c r="R823">
        <f>IF(Q823="","",1+COUNTIFS($Q$31:$Q$1030,"&gt;"&amp;Q823)+COUNTIFS($Q$31:Q823,Q823)-1)</f>
        <v/>
      </c>
    </row>
    <row r="824" hidden="1" ht="16.5" customHeight="1">
      <c r="A824">
        <f>IF(COUNTA('05_KAIS'!$A812:$N812)=0,"",797)</f>
        <v/>
      </c>
      <c r="B824">
        <f>IF($A824="","",TRIM(INDEX('05_KAIS'!$B:$B,$A824)&amp;" "&amp;INDEX('05_KAIS'!$C:$C,$A824)))</f>
        <v/>
      </c>
      <c r="C824">
        <f>IF($A824="","",INDEX('05_KAIS'!$D:$D,$A824))</f>
        <v/>
      </c>
      <c r="D824">
        <f>IF($A824="","",INDEX('05_KAIS'!$H:$H,$A824))</f>
        <v/>
      </c>
      <c r="E824">
        <f>IF($A824="","",INDEX('05_KAIS'!$K:$K,$A824))</f>
        <v/>
      </c>
      <c r="F824" s="202">
        <f>IF($A824="","",INDEX('05_KAIS'!$I:$I,$A824))</f>
        <v/>
      </c>
      <c r="G824" s="118">
        <f>IF($A824="","",INDEX('05_KAIS'!$L:$L,$A824))</f>
        <v/>
      </c>
      <c r="H824" s="118">
        <f>IF($A824="","",IFERROR(INDEX('05_KAIS'!$M:$M,$A824),IF(AND(E824&gt;0,G824&gt;0),G824/E824,"")))</f>
        <v/>
      </c>
      <c r="I824" s="202">
        <f>IF($A824="","",INDEX('05_KAIS'!$N:$N,$A824))</f>
        <v/>
      </c>
      <c r="J824">
        <f>IF(B824="","",IF('02_대상물건입력'!$B$5="",1,IF(ISNUMBER(SEARCH('02_대상물건입력'!$B$5,B824)),1,0)))</f>
        <v/>
      </c>
      <c r="K824">
        <f>IF(B824="","",IF('02_대상물건입력'!$B$6="",1,IF(ISNUMBER(SEARCH('02_대상물건입력'!$B$6,B824)),1,0)))</f>
        <v/>
      </c>
      <c r="L824">
        <f>IF(D824="","",IF('02_대상물건입력'!$B$8="",0,IF(ISNUMBER(SEARCH('02_대상물건입력'!$B$8,D824)),1,0)))</f>
        <v/>
      </c>
      <c r="M824">
        <f>IFERROR(ABS(E824-'02_대상물건입력'!$B$11)/'02_대상물건입력'!$B$11,"")</f>
        <v/>
      </c>
      <c r="N824">
        <f>IFERROR(ABS('01_설정'!$B$4-F824),"")</f>
        <v/>
      </c>
      <c r="O824">
        <f>IFERROR(ABS(YEAR(I824)-YEAR('02_대상물건입력'!$B$14)),"")</f>
        <v/>
      </c>
      <c r="P824">
        <f>IF(AND(E824&gt;0,F824&gt;0,G824&gt;0,IF('01_설정'!$B$10=1,J824=1,TRUE()),M824&lt;='01_설정'!$B$5,N824&lt;='01_설정'!$B$7,O824&lt;='01_설정'!$B$8),"Y","")</f>
        <v/>
      </c>
      <c r="Q824">
        <f>IF(P824&lt;&gt;"Y","",MAX(0,(1-M824/'01_설정'!$B$5))*'01_설정'!$B$14+MAX(0,(1-N824/'01_설정'!$B$7))*'01_설정'!$B$16+MAX(0,(1-O824/'01_설정'!$B$8))*'01_설정'!$B$17+K824*'01_설정'!$B$11+L824*'01_설정'!$B$12)</f>
        <v/>
      </c>
      <c r="R824">
        <f>IF(Q824="","",1+COUNTIFS($Q$31:$Q$1030,"&gt;"&amp;Q824)+COUNTIFS($Q$31:Q824,Q824)-1)</f>
        <v/>
      </c>
    </row>
    <row r="825" hidden="1" ht="16.5" customHeight="1">
      <c r="A825">
        <f>IF(COUNTA('05_KAIS'!$A813:$N813)=0,"",798)</f>
        <v/>
      </c>
      <c r="B825">
        <f>IF($A825="","",TRIM(INDEX('05_KAIS'!$B:$B,$A825)&amp;" "&amp;INDEX('05_KAIS'!$C:$C,$A825)))</f>
        <v/>
      </c>
      <c r="C825">
        <f>IF($A825="","",INDEX('05_KAIS'!$D:$D,$A825))</f>
        <v/>
      </c>
      <c r="D825">
        <f>IF($A825="","",INDEX('05_KAIS'!$H:$H,$A825))</f>
        <v/>
      </c>
      <c r="E825">
        <f>IF($A825="","",INDEX('05_KAIS'!$K:$K,$A825))</f>
        <v/>
      </c>
      <c r="F825" s="202">
        <f>IF($A825="","",INDEX('05_KAIS'!$I:$I,$A825))</f>
        <v/>
      </c>
      <c r="G825" s="118">
        <f>IF($A825="","",INDEX('05_KAIS'!$L:$L,$A825))</f>
        <v/>
      </c>
      <c r="H825" s="118">
        <f>IF($A825="","",IFERROR(INDEX('05_KAIS'!$M:$M,$A825),IF(AND(E825&gt;0,G825&gt;0),G825/E825,"")))</f>
        <v/>
      </c>
      <c r="I825" s="202">
        <f>IF($A825="","",INDEX('05_KAIS'!$N:$N,$A825))</f>
        <v/>
      </c>
      <c r="J825">
        <f>IF(B825="","",IF('02_대상물건입력'!$B$5="",1,IF(ISNUMBER(SEARCH('02_대상물건입력'!$B$5,B825)),1,0)))</f>
        <v/>
      </c>
      <c r="K825">
        <f>IF(B825="","",IF('02_대상물건입력'!$B$6="",1,IF(ISNUMBER(SEARCH('02_대상물건입력'!$B$6,B825)),1,0)))</f>
        <v/>
      </c>
      <c r="L825">
        <f>IF(D825="","",IF('02_대상물건입력'!$B$8="",0,IF(ISNUMBER(SEARCH('02_대상물건입력'!$B$8,D825)),1,0)))</f>
        <v/>
      </c>
      <c r="M825">
        <f>IFERROR(ABS(E825-'02_대상물건입력'!$B$11)/'02_대상물건입력'!$B$11,"")</f>
        <v/>
      </c>
      <c r="N825">
        <f>IFERROR(ABS('01_설정'!$B$4-F825),"")</f>
        <v/>
      </c>
      <c r="O825">
        <f>IFERROR(ABS(YEAR(I825)-YEAR('02_대상물건입력'!$B$14)),"")</f>
        <v/>
      </c>
      <c r="P825">
        <f>IF(AND(E825&gt;0,F825&gt;0,G825&gt;0,IF('01_설정'!$B$10=1,J825=1,TRUE()),M825&lt;='01_설정'!$B$5,N825&lt;='01_설정'!$B$7,O825&lt;='01_설정'!$B$8),"Y","")</f>
        <v/>
      </c>
      <c r="Q825">
        <f>IF(P825&lt;&gt;"Y","",MAX(0,(1-M825/'01_설정'!$B$5))*'01_설정'!$B$14+MAX(0,(1-N825/'01_설정'!$B$7))*'01_설정'!$B$16+MAX(0,(1-O825/'01_설정'!$B$8))*'01_설정'!$B$17+K825*'01_설정'!$B$11+L825*'01_설정'!$B$12)</f>
        <v/>
      </c>
      <c r="R825">
        <f>IF(Q825="","",1+COUNTIFS($Q$31:$Q$1030,"&gt;"&amp;Q825)+COUNTIFS($Q$31:Q825,Q825)-1)</f>
        <v/>
      </c>
    </row>
    <row r="826" hidden="1" ht="16.5" customHeight="1">
      <c r="A826">
        <f>IF(COUNTA('05_KAIS'!$A814:$N814)=0,"",799)</f>
        <v/>
      </c>
      <c r="B826">
        <f>IF($A826="","",TRIM(INDEX('05_KAIS'!$B:$B,$A826)&amp;" "&amp;INDEX('05_KAIS'!$C:$C,$A826)))</f>
        <v/>
      </c>
      <c r="C826">
        <f>IF($A826="","",INDEX('05_KAIS'!$D:$D,$A826))</f>
        <v/>
      </c>
      <c r="D826">
        <f>IF($A826="","",INDEX('05_KAIS'!$H:$H,$A826))</f>
        <v/>
      </c>
      <c r="E826">
        <f>IF($A826="","",INDEX('05_KAIS'!$K:$K,$A826))</f>
        <v/>
      </c>
      <c r="F826" s="202">
        <f>IF($A826="","",INDEX('05_KAIS'!$I:$I,$A826))</f>
        <v/>
      </c>
      <c r="G826" s="118">
        <f>IF($A826="","",INDEX('05_KAIS'!$L:$L,$A826))</f>
        <v/>
      </c>
      <c r="H826" s="118">
        <f>IF($A826="","",IFERROR(INDEX('05_KAIS'!$M:$M,$A826),IF(AND(E826&gt;0,G826&gt;0),G826/E826,"")))</f>
        <v/>
      </c>
      <c r="I826" s="202">
        <f>IF($A826="","",INDEX('05_KAIS'!$N:$N,$A826))</f>
        <v/>
      </c>
      <c r="J826">
        <f>IF(B826="","",IF('02_대상물건입력'!$B$5="",1,IF(ISNUMBER(SEARCH('02_대상물건입력'!$B$5,B826)),1,0)))</f>
        <v/>
      </c>
      <c r="K826">
        <f>IF(B826="","",IF('02_대상물건입력'!$B$6="",1,IF(ISNUMBER(SEARCH('02_대상물건입력'!$B$6,B826)),1,0)))</f>
        <v/>
      </c>
      <c r="L826">
        <f>IF(D826="","",IF('02_대상물건입력'!$B$8="",0,IF(ISNUMBER(SEARCH('02_대상물건입력'!$B$8,D826)),1,0)))</f>
        <v/>
      </c>
      <c r="M826">
        <f>IFERROR(ABS(E826-'02_대상물건입력'!$B$11)/'02_대상물건입력'!$B$11,"")</f>
        <v/>
      </c>
      <c r="N826">
        <f>IFERROR(ABS('01_설정'!$B$4-F826),"")</f>
        <v/>
      </c>
      <c r="O826">
        <f>IFERROR(ABS(YEAR(I826)-YEAR('02_대상물건입력'!$B$14)),"")</f>
        <v/>
      </c>
      <c r="P826">
        <f>IF(AND(E826&gt;0,F826&gt;0,G826&gt;0,IF('01_설정'!$B$10=1,J826=1,TRUE()),M826&lt;='01_설정'!$B$5,N826&lt;='01_설정'!$B$7,O826&lt;='01_설정'!$B$8),"Y","")</f>
        <v/>
      </c>
      <c r="Q826">
        <f>IF(P826&lt;&gt;"Y","",MAX(0,(1-M826/'01_설정'!$B$5))*'01_설정'!$B$14+MAX(0,(1-N826/'01_설정'!$B$7))*'01_설정'!$B$16+MAX(0,(1-O826/'01_설정'!$B$8))*'01_설정'!$B$17+K826*'01_설정'!$B$11+L826*'01_설정'!$B$12)</f>
        <v/>
      </c>
      <c r="R826">
        <f>IF(Q826="","",1+COUNTIFS($Q$31:$Q$1030,"&gt;"&amp;Q826)+COUNTIFS($Q$31:Q826,Q826)-1)</f>
        <v/>
      </c>
    </row>
    <row r="827" hidden="1" ht="16.5" customHeight="1">
      <c r="A827">
        <f>IF(COUNTA('05_KAIS'!$A815:$N815)=0,"",800)</f>
        <v/>
      </c>
      <c r="B827">
        <f>IF($A827="","",TRIM(INDEX('05_KAIS'!$B:$B,$A827)&amp;" "&amp;INDEX('05_KAIS'!$C:$C,$A827)))</f>
        <v/>
      </c>
      <c r="C827">
        <f>IF($A827="","",INDEX('05_KAIS'!$D:$D,$A827))</f>
        <v/>
      </c>
      <c r="D827">
        <f>IF($A827="","",INDEX('05_KAIS'!$H:$H,$A827))</f>
        <v/>
      </c>
      <c r="E827">
        <f>IF($A827="","",INDEX('05_KAIS'!$K:$K,$A827))</f>
        <v/>
      </c>
      <c r="F827" s="202">
        <f>IF($A827="","",INDEX('05_KAIS'!$I:$I,$A827))</f>
        <v/>
      </c>
      <c r="G827" s="118">
        <f>IF($A827="","",INDEX('05_KAIS'!$L:$L,$A827))</f>
        <v/>
      </c>
      <c r="H827" s="118">
        <f>IF($A827="","",IFERROR(INDEX('05_KAIS'!$M:$M,$A827),IF(AND(E827&gt;0,G827&gt;0),G827/E827,"")))</f>
        <v/>
      </c>
      <c r="I827" s="202">
        <f>IF($A827="","",INDEX('05_KAIS'!$N:$N,$A827))</f>
        <v/>
      </c>
      <c r="J827">
        <f>IF(B827="","",IF('02_대상물건입력'!$B$5="",1,IF(ISNUMBER(SEARCH('02_대상물건입력'!$B$5,B827)),1,0)))</f>
        <v/>
      </c>
      <c r="K827">
        <f>IF(B827="","",IF('02_대상물건입력'!$B$6="",1,IF(ISNUMBER(SEARCH('02_대상물건입력'!$B$6,B827)),1,0)))</f>
        <v/>
      </c>
      <c r="L827">
        <f>IF(D827="","",IF('02_대상물건입력'!$B$8="",0,IF(ISNUMBER(SEARCH('02_대상물건입력'!$B$8,D827)),1,0)))</f>
        <v/>
      </c>
      <c r="M827">
        <f>IFERROR(ABS(E827-'02_대상물건입력'!$B$11)/'02_대상물건입력'!$B$11,"")</f>
        <v/>
      </c>
      <c r="N827">
        <f>IFERROR(ABS('01_설정'!$B$4-F827),"")</f>
        <v/>
      </c>
      <c r="O827">
        <f>IFERROR(ABS(YEAR(I827)-YEAR('02_대상물건입력'!$B$14)),"")</f>
        <v/>
      </c>
      <c r="P827">
        <f>IF(AND(E827&gt;0,F827&gt;0,G827&gt;0,IF('01_설정'!$B$10=1,J827=1,TRUE()),M827&lt;='01_설정'!$B$5,N827&lt;='01_설정'!$B$7,O827&lt;='01_설정'!$B$8),"Y","")</f>
        <v/>
      </c>
      <c r="Q827">
        <f>IF(P827&lt;&gt;"Y","",MAX(0,(1-M827/'01_설정'!$B$5))*'01_설정'!$B$14+MAX(0,(1-N827/'01_설정'!$B$7))*'01_설정'!$B$16+MAX(0,(1-O827/'01_설정'!$B$8))*'01_설정'!$B$17+K827*'01_설정'!$B$11+L827*'01_설정'!$B$12)</f>
        <v/>
      </c>
      <c r="R827">
        <f>IF(Q827="","",1+COUNTIFS($Q$31:$Q$1030,"&gt;"&amp;Q827)+COUNTIFS($Q$31:Q827,Q827)-1)</f>
        <v/>
      </c>
    </row>
    <row r="828" hidden="1" ht="16.5" customHeight="1">
      <c r="A828">
        <f>IF(COUNTA('05_KAIS'!$A816:$N816)=0,"",801)</f>
        <v/>
      </c>
      <c r="B828">
        <f>IF($A828="","",TRIM(INDEX('05_KAIS'!$B:$B,$A828)&amp;" "&amp;INDEX('05_KAIS'!$C:$C,$A828)))</f>
        <v/>
      </c>
      <c r="C828">
        <f>IF($A828="","",INDEX('05_KAIS'!$D:$D,$A828))</f>
        <v/>
      </c>
      <c r="D828">
        <f>IF($A828="","",INDEX('05_KAIS'!$H:$H,$A828))</f>
        <v/>
      </c>
      <c r="E828">
        <f>IF($A828="","",INDEX('05_KAIS'!$K:$K,$A828))</f>
        <v/>
      </c>
      <c r="F828" s="202">
        <f>IF($A828="","",INDEX('05_KAIS'!$I:$I,$A828))</f>
        <v/>
      </c>
      <c r="G828" s="118">
        <f>IF($A828="","",INDEX('05_KAIS'!$L:$L,$A828))</f>
        <v/>
      </c>
      <c r="H828" s="118">
        <f>IF($A828="","",IFERROR(INDEX('05_KAIS'!$M:$M,$A828),IF(AND(E828&gt;0,G828&gt;0),G828/E828,"")))</f>
        <v/>
      </c>
      <c r="I828" s="202">
        <f>IF($A828="","",INDEX('05_KAIS'!$N:$N,$A828))</f>
        <v/>
      </c>
      <c r="J828">
        <f>IF(B828="","",IF('02_대상물건입력'!$B$5="",1,IF(ISNUMBER(SEARCH('02_대상물건입력'!$B$5,B828)),1,0)))</f>
        <v/>
      </c>
      <c r="K828">
        <f>IF(B828="","",IF('02_대상물건입력'!$B$6="",1,IF(ISNUMBER(SEARCH('02_대상물건입력'!$B$6,B828)),1,0)))</f>
        <v/>
      </c>
      <c r="L828">
        <f>IF(D828="","",IF('02_대상물건입력'!$B$8="",0,IF(ISNUMBER(SEARCH('02_대상물건입력'!$B$8,D828)),1,0)))</f>
        <v/>
      </c>
      <c r="M828">
        <f>IFERROR(ABS(E828-'02_대상물건입력'!$B$11)/'02_대상물건입력'!$B$11,"")</f>
        <v/>
      </c>
      <c r="N828">
        <f>IFERROR(ABS('01_설정'!$B$4-F828),"")</f>
        <v/>
      </c>
      <c r="O828">
        <f>IFERROR(ABS(YEAR(I828)-YEAR('02_대상물건입력'!$B$14)),"")</f>
        <v/>
      </c>
      <c r="P828">
        <f>IF(AND(E828&gt;0,F828&gt;0,G828&gt;0,IF('01_설정'!$B$10=1,J828=1,TRUE()),M828&lt;='01_설정'!$B$5,N828&lt;='01_설정'!$B$7,O828&lt;='01_설정'!$B$8),"Y","")</f>
        <v/>
      </c>
      <c r="Q828">
        <f>IF(P828&lt;&gt;"Y","",MAX(0,(1-M828/'01_설정'!$B$5))*'01_설정'!$B$14+MAX(0,(1-N828/'01_설정'!$B$7))*'01_설정'!$B$16+MAX(0,(1-O828/'01_설정'!$B$8))*'01_설정'!$B$17+K828*'01_설정'!$B$11+L828*'01_설정'!$B$12)</f>
        <v/>
      </c>
      <c r="R828">
        <f>IF(Q828="","",1+COUNTIFS($Q$31:$Q$1030,"&gt;"&amp;Q828)+COUNTIFS($Q$31:Q828,Q828)-1)</f>
        <v/>
      </c>
    </row>
    <row r="829" hidden="1" ht="16.5" customHeight="1">
      <c r="A829">
        <f>IF(COUNTA('05_KAIS'!$A817:$N817)=0,"",802)</f>
        <v/>
      </c>
      <c r="B829">
        <f>IF($A829="","",TRIM(INDEX('05_KAIS'!$B:$B,$A829)&amp;" "&amp;INDEX('05_KAIS'!$C:$C,$A829)))</f>
        <v/>
      </c>
      <c r="C829">
        <f>IF($A829="","",INDEX('05_KAIS'!$D:$D,$A829))</f>
        <v/>
      </c>
      <c r="D829">
        <f>IF($A829="","",INDEX('05_KAIS'!$H:$H,$A829))</f>
        <v/>
      </c>
      <c r="E829">
        <f>IF($A829="","",INDEX('05_KAIS'!$K:$K,$A829))</f>
        <v/>
      </c>
      <c r="F829" s="202">
        <f>IF($A829="","",INDEX('05_KAIS'!$I:$I,$A829))</f>
        <v/>
      </c>
      <c r="G829" s="118">
        <f>IF($A829="","",INDEX('05_KAIS'!$L:$L,$A829))</f>
        <v/>
      </c>
      <c r="H829" s="118">
        <f>IF($A829="","",IFERROR(INDEX('05_KAIS'!$M:$M,$A829),IF(AND(E829&gt;0,G829&gt;0),G829/E829,"")))</f>
        <v/>
      </c>
      <c r="I829" s="202">
        <f>IF($A829="","",INDEX('05_KAIS'!$N:$N,$A829))</f>
        <v/>
      </c>
      <c r="J829">
        <f>IF(B829="","",IF('02_대상물건입력'!$B$5="",1,IF(ISNUMBER(SEARCH('02_대상물건입력'!$B$5,B829)),1,0)))</f>
        <v/>
      </c>
      <c r="K829">
        <f>IF(B829="","",IF('02_대상물건입력'!$B$6="",1,IF(ISNUMBER(SEARCH('02_대상물건입력'!$B$6,B829)),1,0)))</f>
        <v/>
      </c>
      <c r="L829">
        <f>IF(D829="","",IF('02_대상물건입력'!$B$8="",0,IF(ISNUMBER(SEARCH('02_대상물건입력'!$B$8,D829)),1,0)))</f>
        <v/>
      </c>
      <c r="M829">
        <f>IFERROR(ABS(E829-'02_대상물건입력'!$B$11)/'02_대상물건입력'!$B$11,"")</f>
        <v/>
      </c>
      <c r="N829">
        <f>IFERROR(ABS('01_설정'!$B$4-F829),"")</f>
        <v/>
      </c>
      <c r="O829">
        <f>IFERROR(ABS(YEAR(I829)-YEAR('02_대상물건입력'!$B$14)),"")</f>
        <v/>
      </c>
      <c r="P829">
        <f>IF(AND(E829&gt;0,F829&gt;0,G829&gt;0,IF('01_설정'!$B$10=1,J829=1,TRUE()),M829&lt;='01_설정'!$B$5,N829&lt;='01_설정'!$B$7,O829&lt;='01_설정'!$B$8),"Y","")</f>
        <v/>
      </c>
      <c r="Q829">
        <f>IF(P829&lt;&gt;"Y","",MAX(0,(1-M829/'01_설정'!$B$5))*'01_설정'!$B$14+MAX(0,(1-N829/'01_설정'!$B$7))*'01_설정'!$B$16+MAX(0,(1-O829/'01_설정'!$B$8))*'01_설정'!$B$17+K829*'01_설정'!$B$11+L829*'01_설정'!$B$12)</f>
        <v/>
      </c>
      <c r="R829">
        <f>IF(Q829="","",1+COUNTIFS($Q$31:$Q$1030,"&gt;"&amp;Q829)+COUNTIFS($Q$31:Q829,Q829)-1)</f>
        <v/>
      </c>
    </row>
    <row r="830" hidden="1" ht="16.5" customHeight="1">
      <c r="A830">
        <f>IF(COUNTA('05_KAIS'!$A818:$N818)=0,"",803)</f>
        <v/>
      </c>
      <c r="B830">
        <f>IF($A830="","",TRIM(INDEX('05_KAIS'!$B:$B,$A830)&amp;" "&amp;INDEX('05_KAIS'!$C:$C,$A830)))</f>
        <v/>
      </c>
      <c r="C830">
        <f>IF($A830="","",INDEX('05_KAIS'!$D:$D,$A830))</f>
        <v/>
      </c>
      <c r="D830">
        <f>IF($A830="","",INDEX('05_KAIS'!$H:$H,$A830))</f>
        <v/>
      </c>
      <c r="E830">
        <f>IF($A830="","",INDEX('05_KAIS'!$K:$K,$A830))</f>
        <v/>
      </c>
      <c r="F830" s="202">
        <f>IF($A830="","",INDEX('05_KAIS'!$I:$I,$A830))</f>
        <v/>
      </c>
      <c r="G830" s="118">
        <f>IF($A830="","",INDEX('05_KAIS'!$L:$L,$A830))</f>
        <v/>
      </c>
      <c r="H830" s="118">
        <f>IF($A830="","",IFERROR(INDEX('05_KAIS'!$M:$M,$A830),IF(AND(E830&gt;0,G830&gt;0),G830/E830,"")))</f>
        <v/>
      </c>
      <c r="I830" s="202">
        <f>IF($A830="","",INDEX('05_KAIS'!$N:$N,$A830))</f>
        <v/>
      </c>
      <c r="J830">
        <f>IF(B830="","",IF('02_대상물건입력'!$B$5="",1,IF(ISNUMBER(SEARCH('02_대상물건입력'!$B$5,B830)),1,0)))</f>
        <v/>
      </c>
      <c r="K830">
        <f>IF(B830="","",IF('02_대상물건입력'!$B$6="",1,IF(ISNUMBER(SEARCH('02_대상물건입력'!$B$6,B830)),1,0)))</f>
        <v/>
      </c>
      <c r="L830">
        <f>IF(D830="","",IF('02_대상물건입력'!$B$8="",0,IF(ISNUMBER(SEARCH('02_대상물건입력'!$B$8,D830)),1,0)))</f>
        <v/>
      </c>
      <c r="M830">
        <f>IFERROR(ABS(E830-'02_대상물건입력'!$B$11)/'02_대상물건입력'!$B$11,"")</f>
        <v/>
      </c>
      <c r="N830">
        <f>IFERROR(ABS('01_설정'!$B$4-F830),"")</f>
        <v/>
      </c>
      <c r="O830">
        <f>IFERROR(ABS(YEAR(I830)-YEAR('02_대상물건입력'!$B$14)),"")</f>
        <v/>
      </c>
      <c r="P830">
        <f>IF(AND(E830&gt;0,F830&gt;0,G830&gt;0,IF('01_설정'!$B$10=1,J830=1,TRUE()),M830&lt;='01_설정'!$B$5,N830&lt;='01_설정'!$B$7,O830&lt;='01_설정'!$B$8),"Y","")</f>
        <v/>
      </c>
      <c r="Q830">
        <f>IF(P830&lt;&gt;"Y","",MAX(0,(1-M830/'01_설정'!$B$5))*'01_설정'!$B$14+MAX(0,(1-N830/'01_설정'!$B$7))*'01_설정'!$B$16+MAX(0,(1-O830/'01_설정'!$B$8))*'01_설정'!$B$17+K830*'01_설정'!$B$11+L830*'01_설정'!$B$12)</f>
        <v/>
      </c>
      <c r="R830">
        <f>IF(Q830="","",1+COUNTIFS($Q$31:$Q$1030,"&gt;"&amp;Q830)+COUNTIFS($Q$31:Q830,Q830)-1)</f>
        <v/>
      </c>
    </row>
    <row r="831" hidden="1" ht="16.5" customHeight="1">
      <c r="A831">
        <f>IF(COUNTA('05_KAIS'!$A819:$N819)=0,"",804)</f>
        <v/>
      </c>
      <c r="B831">
        <f>IF($A831="","",TRIM(INDEX('05_KAIS'!$B:$B,$A831)&amp;" "&amp;INDEX('05_KAIS'!$C:$C,$A831)))</f>
        <v/>
      </c>
      <c r="C831">
        <f>IF($A831="","",INDEX('05_KAIS'!$D:$D,$A831))</f>
        <v/>
      </c>
      <c r="D831">
        <f>IF($A831="","",INDEX('05_KAIS'!$H:$H,$A831))</f>
        <v/>
      </c>
      <c r="E831">
        <f>IF($A831="","",INDEX('05_KAIS'!$K:$K,$A831))</f>
        <v/>
      </c>
      <c r="F831" s="202">
        <f>IF($A831="","",INDEX('05_KAIS'!$I:$I,$A831))</f>
        <v/>
      </c>
      <c r="G831" s="118">
        <f>IF($A831="","",INDEX('05_KAIS'!$L:$L,$A831))</f>
        <v/>
      </c>
      <c r="H831" s="118">
        <f>IF($A831="","",IFERROR(INDEX('05_KAIS'!$M:$M,$A831),IF(AND(E831&gt;0,G831&gt;0),G831/E831,"")))</f>
        <v/>
      </c>
      <c r="I831" s="202">
        <f>IF($A831="","",INDEX('05_KAIS'!$N:$N,$A831))</f>
        <v/>
      </c>
      <c r="J831">
        <f>IF(B831="","",IF('02_대상물건입력'!$B$5="",1,IF(ISNUMBER(SEARCH('02_대상물건입력'!$B$5,B831)),1,0)))</f>
        <v/>
      </c>
      <c r="K831">
        <f>IF(B831="","",IF('02_대상물건입력'!$B$6="",1,IF(ISNUMBER(SEARCH('02_대상물건입력'!$B$6,B831)),1,0)))</f>
        <v/>
      </c>
      <c r="L831">
        <f>IF(D831="","",IF('02_대상물건입력'!$B$8="",0,IF(ISNUMBER(SEARCH('02_대상물건입력'!$B$8,D831)),1,0)))</f>
        <v/>
      </c>
      <c r="M831">
        <f>IFERROR(ABS(E831-'02_대상물건입력'!$B$11)/'02_대상물건입력'!$B$11,"")</f>
        <v/>
      </c>
      <c r="N831">
        <f>IFERROR(ABS('01_설정'!$B$4-F831),"")</f>
        <v/>
      </c>
      <c r="O831">
        <f>IFERROR(ABS(YEAR(I831)-YEAR('02_대상물건입력'!$B$14)),"")</f>
        <v/>
      </c>
      <c r="P831">
        <f>IF(AND(E831&gt;0,F831&gt;0,G831&gt;0,IF('01_설정'!$B$10=1,J831=1,TRUE()),M831&lt;='01_설정'!$B$5,N831&lt;='01_설정'!$B$7,O831&lt;='01_설정'!$B$8),"Y","")</f>
        <v/>
      </c>
      <c r="Q831">
        <f>IF(P831&lt;&gt;"Y","",MAX(0,(1-M831/'01_설정'!$B$5))*'01_설정'!$B$14+MAX(0,(1-N831/'01_설정'!$B$7))*'01_설정'!$B$16+MAX(0,(1-O831/'01_설정'!$B$8))*'01_설정'!$B$17+K831*'01_설정'!$B$11+L831*'01_설정'!$B$12)</f>
        <v/>
      </c>
      <c r="R831">
        <f>IF(Q831="","",1+COUNTIFS($Q$31:$Q$1030,"&gt;"&amp;Q831)+COUNTIFS($Q$31:Q831,Q831)-1)</f>
        <v/>
      </c>
    </row>
    <row r="832" hidden="1" ht="16.5" customHeight="1">
      <c r="A832">
        <f>IF(COUNTA('05_KAIS'!$A820:$N820)=0,"",805)</f>
        <v/>
      </c>
      <c r="B832">
        <f>IF($A832="","",TRIM(INDEX('05_KAIS'!$B:$B,$A832)&amp;" "&amp;INDEX('05_KAIS'!$C:$C,$A832)))</f>
        <v/>
      </c>
      <c r="C832">
        <f>IF($A832="","",INDEX('05_KAIS'!$D:$D,$A832))</f>
        <v/>
      </c>
      <c r="D832">
        <f>IF($A832="","",INDEX('05_KAIS'!$H:$H,$A832))</f>
        <v/>
      </c>
      <c r="E832">
        <f>IF($A832="","",INDEX('05_KAIS'!$K:$K,$A832))</f>
        <v/>
      </c>
      <c r="F832" s="202">
        <f>IF($A832="","",INDEX('05_KAIS'!$I:$I,$A832))</f>
        <v/>
      </c>
      <c r="G832" s="118">
        <f>IF($A832="","",INDEX('05_KAIS'!$L:$L,$A832))</f>
        <v/>
      </c>
      <c r="H832" s="118">
        <f>IF($A832="","",IFERROR(INDEX('05_KAIS'!$M:$M,$A832),IF(AND(E832&gt;0,G832&gt;0),G832/E832,"")))</f>
        <v/>
      </c>
      <c r="I832" s="202">
        <f>IF($A832="","",INDEX('05_KAIS'!$N:$N,$A832))</f>
        <v/>
      </c>
      <c r="J832">
        <f>IF(B832="","",IF('02_대상물건입력'!$B$5="",1,IF(ISNUMBER(SEARCH('02_대상물건입력'!$B$5,B832)),1,0)))</f>
        <v/>
      </c>
      <c r="K832">
        <f>IF(B832="","",IF('02_대상물건입력'!$B$6="",1,IF(ISNUMBER(SEARCH('02_대상물건입력'!$B$6,B832)),1,0)))</f>
        <v/>
      </c>
      <c r="L832">
        <f>IF(D832="","",IF('02_대상물건입력'!$B$8="",0,IF(ISNUMBER(SEARCH('02_대상물건입력'!$B$8,D832)),1,0)))</f>
        <v/>
      </c>
      <c r="M832">
        <f>IFERROR(ABS(E832-'02_대상물건입력'!$B$11)/'02_대상물건입력'!$B$11,"")</f>
        <v/>
      </c>
      <c r="N832">
        <f>IFERROR(ABS('01_설정'!$B$4-F832),"")</f>
        <v/>
      </c>
      <c r="O832">
        <f>IFERROR(ABS(YEAR(I832)-YEAR('02_대상물건입력'!$B$14)),"")</f>
        <v/>
      </c>
      <c r="P832">
        <f>IF(AND(E832&gt;0,F832&gt;0,G832&gt;0,IF('01_설정'!$B$10=1,J832=1,TRUE()),M832&lt;='01_설정'!$B$5,N832&lt;='01_설정'!$B$7,O832&lt;='01_설정'!$B$8),"Y","")</f>
        <v/>
      </c>
      <c r="Q832">
        <f>IF(P832&lt;&gt;"Y","",MAX(0,(1-M832/'01_설정'!$B$5))*'01_설정'!$B$14+MAX(0,(1-N832/'01_설정'!$B$7))*'01_설정'!$B$16+MAX(0,(1-O832/'01_설정'!$B$8))*'01_설정'!$B$17+K832*'01_설정'!$B$11+L832*'01_설정'!$B$12)</f>
        <v/>
      </c>
      <c r="R832">
        <f>IF(Q832="","",1+COUNTIFS($Q$31:$Q$1030,"&gt;"&amp;Q832)+COUNTIFS($Q$31:Q832,Q832)-1)</f>
        <v/>
      </c>
    </row>
    <row r="833" hidden="1" ht="16.5" customHeight="1">
      <c r="A833">
        <f>IF(COUNTA('05_KAIS'!$A821:$N821)=0,"",806)</f>
        <v/>
      </c>
      <c r="B833">
        <f>IF($A833="","",TRIM(INDEX('05_KAIS'!$B:$B,$A833)&amp;" "&amp;INDEX('05_KAIS'!$C:$C,$A833)))</f>
        <v/>
      </c>
      <c r="C833">
        <f>IF($A833="","",INDEX('05_KAIS'!$D:$D,$A833))</f>
        <v/>
      </c>
      <c r="D833">
        <f>IF($A833="","",INDEX('05_KAIS'!$H:$H,$A833))</f>
        <v/>
      </c>
      <c r="E833">
        <f>IF($A833="","",INDEX('05_KAIS'!$K:$K,$A833))</f>
        <v/>
      </c>
      <c r="F833" s="202">
        <f>IF($A833="","",INDEX('05_KAIS'!$I:$I,$A833))</f>
        <v/>
      </c>
      <c r="G833" s="118">
        <f>IF($A833="","",INDEX('05_KAIS'!$L:$L,$A833))</f>
        <v/>
      </c>
      <c r="H833" s="118">
        <f>IF($A833="","",IFERROR(INDEX('05_KAIS'!$M:$M,$A833),IF(AND(E833&gt;0,G833&gt;0),G833/E833,"")))</f>
        <v/>
      </c>
      <c r="I833" s="202">
        <f>IF($A833="","",INDEX('05_KAIS'!$N:$N,$A833))</f>
        <v/>
      </c>
      <c r="J833">
        <f>IF(B833="","",IF('02_대상물건입력'!$B$5="",1,IF(ISNUMBER(SEARCH('02_대상물건입력'!$B$5,B833)),1,0)))</f>
        <v/>
      </c>
      <c r="K833">
        <f>IF(B833="","",IF('02_대상물건입력'!$B$6="",1,IF(ISNUMBER(SEARCH('02_대상물건입력'!$B$6,B833)),1,0)))</f>
        <v/>
      </c>
      <c r="L833">
        <f>IF(D833="","",IF('02_대상물건입력'!$B$8="",0,IF(ISNUMBER(SEARCH('02_대상물건입력'!$B$8,D833)),1,0)))</f>
        <v/>
      </c>
      <c r="M833">
        <f>IFERROR(ABS(E833-'02_대상물건입력'!$B$11)/'02_대상물건입력'!$B$11,"")</f>
        <v/>
      </c>
      <c r="N833">
        <f>IFERROR(ABS('01_설정'!$B$4-F833),"")</f>
        <v/>
      </c>
      <c r="O833">
        <f>IFERROR(ABS(YEAR(I833)-YEAR('02_대상물건입력'!$B$14)),"")</f>
        <v/>
      </c>
      <c r="P833">
        <f>IF(AND(E833&gt;0,F833&gt;0,G833&gt;0,IF('01_설정'!$B$10=1,J833=1,TRUE()),M833&lt;='01_설정'!$B$5,N833&lt;='01_설정'!$B$7,O833&lt;='01_설정'!$B$8),"Y","")</f>
        <v/>
      </c>
      <c r="Q833">
        <f>IF(P833&lt;&gt;"Y","",MAX(0,(1-M833/'01_설정'!$B$5))*'01_설정'!$B$14+MAX(0,(1-N833/'01_설정'!$B$7))*'01_설정'!$B$16+MAX(0,(1-O833/'01_설정'!$B$8))*'01_설정'!$B$17+K833*'01_설정'!$B$11+L833*'01_설정'!$B$12)</f>
        <v/>
      </c>
      <c r="R833">
        <f>IF(Q833="","",1+COUNTIFS($Q$31:$Q$1030,"&gt;"&amp;Q833)+COUNTIFS($Q$31:Q833,Q833)-1)</f>
        <v/>
      </c>
    </row>
    <row r="834" hidden="1" ht="16.5" customHeight="1">
      <c r="A834">
        <f>IF(COUNTA('05_KAIS'!$A822:$N822)=0,"",807)</f>
        <v/>
      </c>
      <c r="B834">
        <f>IF($A834="","",TRIM(INDEX('05_KAIS'!$B:$B,$A834)&amp;" "&amp;INDEX('05_KAIS'!$C:$C,$A834)))</f>
        <v/>
      </c>
      <c r="C834">
        <f>IF($A834="","",INDEX('05_KAIS'!$D:$D,$A834))</f>
        <v/>
      </c>
      <c r="D834">
        <f>IF($A834="","",INDEX('05_KAIS'!$H:$H,$A834))</f>
        <v/>
      </c>
      <c r="E834">
        <f>IF($A834="","",INDEX('05_KAIS'!$K:$K,$A834))</f>
        <v/>
      </c>
      <c r="F834" s="202">
        <f>IF($A834="","",INDEX('05_KAIS'!$I:$I,$A834))</f>
        <v/>
      </c>
      <c r="G834" s="118">
        <f>IF($A834="","",INDEX('05_KAIS'!$L:$L,$A834))</f>
        <v/>
      </c>
      <c r="H834" s="118">
        <f>IF($A834="","",IFERROR(INDEX('05_KAIS'!$M:$M,$A834),IF(AND(E834&gt;0,G834&gt;0),G834/E834,"")))</f>
        <v/>
      </c>
      <c r="I834" s="202">
        <f>IF($A834="","",INDEX('05_KAIS'!$N:$N,$A834))</f>
        <v/>
      </c>
      <c r="J834">
        <f>IF(B834="","",IF('02_대상물건입력'!$B$5="",1,IF(ISNUMBER(SEARCH('02_대상물건입력'!$B$5,B834)),1,0)))</f>
        <v/>
      </c>
      <c r="K834">
        <f>IF(B834="","",IF('02_대상물건입력'!$B$6="",1,IF(ISNUMBER(SEARCH('02_대상물건입력'!$B$6,B834)),1,0)))</f>
        <v/>
      </c>
      <c r="L834">
        <f>IF(D834="","",IF('02_대상물건입력'!$B$8="",0,IF(ISNUMBER(SEARCH('02_대상물건입력'!$B$8,D834)),1,0)))</f>
        <v/>
      </c>
      <c r="M834">
        <f>IFERROR(ABS(E834-'02_대상물건입력'!$B$11)/'02_대상물건입력'!$B$11,"")</f>
        <v/>
      </c>
      <c r="N834">
        <f>IFERROR(ABS('01_설정'!$B$4-F834),"")</f>
        <v/>
      </c>
      <c r="O834">
        <f>IFERROR(ABS(YEAR(I834)-YEAR('02_대상물건입력'!$B$14)),"")</f>
        <v/>
      </c>
      <c r="P834">
        <f>IF(AND(E834&gt;0,F834&gt;0,G834&gt;0,IF('01_설정'!$B$10=1,J834=1,TRUE()),M834&lt;='01_설정'!$B$5,N834&lt;='01_설정'!$B$7,O834&lt;='01_설정'!$B$8),"Y","")</f>
        <v/>
      </c>
      <c r="Q834">
        <f>IF(P834&lt;&gt;"Y","",MAX(0,(1-M834/'01_설정'!$B$5))*'01_설정'!$B$14+MAX(0,(1-N834/'01_설정'!$B$7))*'01_설정'!$B$16+MAX(0,(1-O834/'01_설정'!$B$8))*'01_설정'!$B$17+K834*'01_설정'!$B$11+L834*'01_설정'!$B$12)</f>
        <v/>
      </c>
      <c r="R834">
        <f>IF(Q834="","",1+COUNTIFS($Q$31:$Q$1030,"&gt;"&amp;Q834)+COUNTIFS($Q$31:Q834,Q834)-1)</f>
        <v/>
      </c>
    </row>
    <row r="835" hidden="1" ht="16.5" customHeight="1">
      <c r="A835">
        <f>IF(COUNTA('05_KAIS'!$A823:$N823)=0,"",808)</f>
        <v/>
      </c>
      <c r="B835">
        <f>IF($A835="","",TRIM(INDEX('05_KAIS'!$B:$B,$A835)&amp;" "&amp;INDEX('05_KAIS'!$C:$C,$A835)))</f>
        <v/>
      </c>
      <c r="C835">
        <f>IF($A835="","",INDEX('05_KAIS'!$D:$D,$A835))</f>
        <v/>
      </c>
      <c r="D835">
        <f>IF($A835="","",INDEX('05_KAIS'!$H:$H,$A835))</f>
        <v/>
      </c>
      <c r="E835">
        <f>IF($A835="","",INDEX('05_KAIS'!$K:$K,$A835))</f>
        <v/>
      </c>
      <c r="F835" s="202">
        <f>IF($A835="","",INDEX('05_KAIS'!$I:$I,$A835))</f>
        <v/>
      </c>
      <c r="G835" s="118">
        <f>IF($A835="","",INDEX('05_KAIS'!$L:$L,$A835))</f>
        <v/>
      </c>
      <c r="H835" s="118">
        <f>IF($A835="","",IFERROR(INDEX('05_KAIS'!$M:$M,$A835),IF(AND(E835&gt;0,G835&gt;0),G835/E835,"")))</f>
        <v/>
      </c>
      <c r="I835" s="202">
        <f>IF($A835="","",INDEX('05_KAIS'!$N:$N,$A835))</f>
        <v/>
      </c>
      <c r="J835">
        <f>IF(B835="","",IF('02_대상물건입력'!$B$5="",1,IF(ISNUMBER(SEARCH('02_대상물건입력'!$B$5,B835)),1,0)))</f>
        <v/>
      </c>
      <c r="K835">
        <f>IF(B835="","",IF('02_대상물건입력'!$B$6="",1,IF(ISNUMBER(SEARCH('02_대상물건입력'!$B$6,B835)),1,0)))</f>
        <v/>
      </c>
      <c r="L835">
        <f>IF(D835="","",IF('02_대상물건입력'!$B$8="",0,IF(ISNUMBER(SEARCH('02_대상물건입력'!$B$8,D835)),1,0)))</f>
        <v/>
      </c>
      <c r="M835">
        <f>IFERROR(ABS(E835-'02_대상물건입력'!$B$11)/'02_대상물건입력'!$B$11,"")</f>
        <v/>
      </c>
      <c r="N835">
        <f>IFERROR(ABS('01_설정'!$B$4-F835),"")</f>
        <v/>
      </c>
      <c r="O835">
        <f>IFERROR(ABS(YEAR(I835)-YEAR('02_대상물건입력'!$B$14)),"")</f>
        <v/>
      </c>
      <c r="P835">
        <f>IF(AND(E835&gt;0,F835&gt;0,G835&gt;0,IF('01_설정'!$B$10=1,J835=1,TRUE()),M835&lt;='01_설정'!$B$5,N835&lt;='01_설정'!$B$7,O835&lt;='01_설정'!$B$8),"Y","")</f>
        <v/>
      </c>
      <c r="Q835">
        <f>IF(P835&lt;&gt;"Y","",MAX(0,(1-M835/'01_설정'!$B$5))*'01_설정'!$B$14+MAX(0,(1-N835/'01_설정'!$B$7))*'01_설정'!$B$16+MAX(0,(1-O835/'01_설정'!$B$8))*'01_설정'!$B$17+K835*'01_설정'!$B$11+L835*'01_설정'!$B$12)</f>
        <v/>
      </c>
      <c r="R835">
        <f>IF(Q835="","",1+COUNTIFS($Q$31:$Q$1030,"&gt;"&amp;Q835)+COUNTIFS($Q$31:Q835,Q835)-1)</f>
        <v/>
      </c>
    </row>
    <row r="836" hidden="1" ht="16.5" customHeight="1">
      <c r="A836">
        <f>IF(COUNTA('05_KAIS'!$A824:$N824)=0,"",809)</f>
        <v/>
      </c>
      <c r="B836">
        <f>IF($A836="","",TRIM(INDEX('05_KAIS'!$B:$B,$A836)&amp;" "&amp;INDEX('05_KAIS'!$C:$C,$A836)))</f>
        <v/>
      </c>
      <c r="C836">
        <f>IF($A836="","",INDEX('05_KAIS'!$D:$D,$A836))</f>
        <v/>
      </c>
      <c r="D836">
        <f>IF($A836="","",INDEX('05_KAIS'!$H:$H,$A836))</f>
        <v/>
      </c>
      <c r="E836">
        <f>IF($A836="","",INDEX('05_KAIS'!$K:$K,$A836))</f>
        <v/>
      </c>
      <c r="F836" s="202">
        <f>IF($A836="","",INDEX('05_KAIS'!$I:$I,$A836))</f>
        <v/>
      </c>
      <c r="G836" s="118">
        <f>IF($A836="","",INDEX('05_KAIS'!$L:$L,$A836))</f>
        <v/>
      </c>
      <c r="H836" s="118">
        <f>IF($A836="","",IFERROR(INDEX('05_KAIS'!$M:$M,$A836),IF(AND(E836&gt;0,G836&gt;0),G836/E836,"")))</f>
        <v/>
      </c>
      <c r="I836" s="202">
        <f>IF($A836="","",INDEX('05_KAIS'!$N:$N,$A836))</f>
        <v/>
      </c>
      <c r="J836">
        <f>IF(B836="","",IF('02_대상물건입력'!$B$5="",1,IF(ISNUMBER(SEARCH('02_대상물건입력'!$B$5,B836)),1,0)))</f>
        <v/>
      </c>
      <c r="K836">
        <f>IF(B836="","",IF('02_대상물건입력'!$B$6="",1,IF(ISNUMBER(SEARCH('02_대상물건입력'!$B$6,B836)),1,0)))</f>
        <v/>
      </c>
      <c r="L836">
        <f>IF(D836="","",IF('02_대상물건입력'!$B$8="",0,IF(ISNUMBER(SEARCH('02_대상물건입력'!$B$8,D836)),1,0)))</f>
        <v/>
      </c>
      <c r="M836">
        <f>IFERROR(ABS(E836-'02_대상물건입력'!$B$11)/'02_대상물건입력'!$B$11,"")</f>
        <v/>
      </c>
      <c r="N836">
        <f>IFERROR(ABS('01_설정'!$B$4-F836),"")</f>
        <v/>
      </c>
      <c r="O836">
        <f>IFERROR(ABS(YEAR(I836)-YEAR('02_대상물건입력'!$B$14)),"")</f>
        <v/>
      </c>
      <c r="P836">
        <f>IF(AND(E836&gt;0,F836&gt;0,G836&gt;0,IF('01_설정'!$B$10=1,J836=1,TRUE()),M836&lt;='01_설정'!$B$5,N836&lt;='01_설정'!$B$7,O836&lt;='01_설정'!$B$8),"Y","")</f>
        <v/>
      </c>
      <c r="Q836">
        <f>IF(P836&lt;&gt;"Y","",MAX(0,(1-M836/'01_설정'!$B$5))*'01_설정'!$B$14+MAX(0,(1-N836/'01_설정'!$B$7))*'01_설정'!$B$16+MAX(0,(1-O836/'01_설정'!$B$8))*'01_설정'!$B$17+K836*'01_설정'!$B$11+L836*'01_설정'!$B$12)</f>
        <v/>
      </c>
      <c r="R836">
        <f>IF(Q836="","",1+COUNTIFS($Q$31:$Q$1030,"&gt;"&amp;Q836)+COUNTIFS($Q$31:Q836,Q836)-1)</f>
        <v/>
      </c>
    </row>
    <row r="837" hidden="1" ht="16.5" customHeight="1">
      <c r="A837">
        <f>IF(COUNTA('05_KAIS'!$A825:$N825)=0,"",810)</f>
        <v/>
      </c>
      <c r="B837">
        <f>IF($A837="","",TRIM(INDEX('05_KAIS'!$B:$B,$A837)&amp;" "&amp;INDEX('05_KAIS'!$C:$C,$A837)))</f>
        <v/>
      </c>
      <c r="C837">
        <f>IF($A837="","",INDEX('05_KAIS'!$D:$D,$A837))</f>
        <v/>
      </c>
      <c r="D837">
        <f>IF($A837="","",INDEX('05_KAIS'!$H:$H,$A837))</f>
        <v/>
      </c>
      <c r="E837">
        <f>IF($A837="","",INDEX('05_KAIS'!$K:$K,$A837))</f>
        <v/>
      </c>
      <c r="F837" s="202">
        <f>IF($A837="","",INDEX('05_KAIS'!$I:$I,$A837))</f>
        <v/>
      </c>
      <c r="G837" s="118">
        <f>IF($A837="","",INDEX('05_KAIS'!$L:$L,$A837))</f>
        <v/>
      </c>
      <c r="H837" s="118">
        <f>IF($A837="","",IFERROR(INDEX('05_KAIS'!$M:$M,$A837),IF(AND(E837&gt;0,G837&gt;0),G837/E837,"")))</f>
        <v/>
      </c>
      <c r="I837" s="202">
        <f>IF($A837="","",INDEX('05_KAIS'!$N:$N,$A837))</f>
        <v/>
      </c>
      <c r="J837">
        <f>IF(B837="","",IF('02_대상물건입력'!$B$5="",1,IF(ISNUMBER(SEARCH('02_대상물건입력'!$B$5,B837)),1,0)))</f>
        <v/>
      </c>
      <c r="K837">
        <f>IF(B837="","",IF('02_대상물건입력'!$B$6="",1,IF(ISNUMBER(SEARCH('02_대상물건입력'!$B$6,B837)),1,0)))</f>
        <v/>
      </c>
      <c r="L837">
        <f>IF(D837="","",IF('02_대상물건입력'!$B$8="",0,IF(ISNUMBER(SEARCH('02_대상물건입력'!$B$8,D837)),1,0)))</f>
        <v/>
      </c>
      <c r="M837">
        <f>IFERROR(ABS(E837-'02_대상물건입력'!$B$11)/'02_대상물건입력'!$B$11,"")</f>
        <v/>
      </c>
      <c r="N837">
        <f>IFERROR(ABS('01_설정'!$B$4-F837),"")</f>
        <v/>
      </c>
      <c r="O837">
        <f>IFERROR(ABS(YEAR(I837)-YEAR('02_대상물건입력'!$B$14)),"")</f>
        <v/>
      </c>
      <c r="P837">
        <f>IF(AND(E837&gt;0,F837&gt;0,G837&gt;0,IF('01_설정'!$B$10=1,J837=1,TRUE()),M837&lt;='01_설정'!$B$5,N837&lt;='01_설정'!$B$7,O837&lt;='01_설정'!$B$8),"Y","")</f>
        <v/>
      </c>
      <c r="Q837">
        <f>IF(P837&lt;&gt;"Y","",MAX(0,(1-M837/'01_설정'!$B$5))*'01_설정'!$B$14+MAX(0,(1-N837/'01_설정'!$B$7))*'01_설정'!$B$16+MAX(0,(1-O837/'01_설정'!$B$8))*'01_설정'!$B$17+K837*'01_설정'!$B$11+L837*'01_설정'!$B$12)</f>
        <v/>
      </c>
      <c r="R837">
        <f>IF(Q837="","",1+COUNTIFS($Q$31:$Q$1030,"&gt;"&amp;Q837)+COUNTIFS($Q$31:Q837,Q837)-1)</f>
        <v/>
      </c>
    </row>
    <row r="838" hidden="1" ht="16.5" customHeight="1">
      <c r="A838">
        <f>IF(COUNTA('05_KAIS'!$A826:$N826)=0,"",811)</f>
        <v/>
      </c>
      <c r="B838">
        <f>IF($A838="","",TRIM(INDEX('05_KAIS'!$B:$B,$A838)&amp;" "&amp;INDEX('05_KAIS'!$C:$C,$A838)))</f>
        <v/>
      </c>
      <c r="C838">
        <f>IF($A838="","",INDEX('05_KAIS'!$D:$D,$A838))</f>
        <v/>
      </c>
      <c r="D838">
        <f>IF($A838="","",INDEX('05_KAIS'!$H:$H,$A838))</f>
        <v/>
      </c>
      <c r="E838">
        <f>IF($A838="","",INDEX('05_KAIS'!$K:$K,$A838))</f>
        <v/>
      </c>
      <c r="F838" s="202">
        <f>IF($A838="","",INDEX('05_KAIS'!$I:$I,$A838))</f>
        <v/>
      </c>
      <c r="G838" s="118">
        <f>IF($A838="","",INDEX('05_KAIS'!$L:$L,$A838))</f>
        <v/>
      </c>
      <c r="H838" s="118">
        <f>IF($A838="","",IFERROR(INDEX('05_KAIS'!$M:$M,$A838),IF(AND(E838&gt;0,G838&gt;0),G838/E838,"")))</f>
        <v/>
      </c>
      <c r="I838" s="202">
        <f>IF($A838="","",INDEX('05_KAIS'!$N:$N,$A838))</f>
        <v/>
      </c>
      <c r="J838">
        <f>IF(B838="","",IF('02_대상물건입력'!$B$5="",1,IF(ISNUMBER(SEARCH('02_대상물건입력'!$B$5,B838)),1,0)))</f>
        <v/>
      </c>
      <c r="K838">
        <f>IF(B838="","",IF('02_대상물건입력'!$B$6="",1,IF(ISNUMBER(SEARCH('02_대상물건입력'!$B$6,B838)),1,0)))</f>
        <v/>
      </c>
      <c r="L838">
        <f>IF(D838="","",IF('02_대상물건입력'!$B$8="",0,IF(ISNUMBER(SEARCH('02_대상물건입력'!$B$8,D838)),1,0)))</f>
        <v/>
      </c>
      <c r="M838">
        <f>IFERROR(ABS(E838-'02_대상물건입력'!$B$11)/'02_대상물건입력'!$B$11,"")</f>
        <v/>
      </c>
      <c r="N838">
        <f>IFERROR(ABS('01_설정'!$B$4-F838),"")</f>
        <v/>
      </c>
      <c r="O838">
        <f>IFERROR(ABS(YEAR(I838)-YEAR('02_대상물건입력'!$B$14)),"")</f>
        <v/>
      </c>
      <c r="P838">
        <f>IF(AND(E838&gt;0,F838&gt;0,G838&gt;0,IF('01_설정'!$B$10=1,J838=1,TRUE()),M838&lt;='01_설정'!$B$5,N838&lt;='01_설정'!$B$7,O838&lt;='01_설정'!$B$8),"Y","")</f>
        <v/>
      </c>
      <c r="Q838">
        <f>IF(P838&lt;&gt;"Y","",MAX(0,(1-M838/'01_설정'!$B$5))*'01_설정'!$B$14+MAX(0,(1-N838/'01_설정'!$B$7))*'01_설정'!$B$16+MAX(0,(1-O838/'01_설정'!$B$8))*'01_설정'!$B$17+K838*'01_설정'!$B$11+L838*'01_설정'!$B$12)</f>
        <v/>
      </c>
      <c r="R838">
        <f>IF(Q838="","",1+COUNTIFS($Q$31:$Q$1030,"&gt;"&amp;Q838)+COUNTIFS($Q$31:Q838,Q838)-1)</f>
        <v/>
      </c>
    </row>
    <row r="839" hidden="1" ht="16.5" customHeight="1">
      <c r="A839">
        <f>IF(COUNTA('05_KAIS'!$A827:$N827)=0,"",812)</f>
        <v/>
      </c>
      <c r="B839">
        <f>IF($A839="","",TRIM(INDEX('05_KAIS'!$B:$B,$A839)&amp;" "&amp;INDEX('05_KAIS'!$C:$C,$A839)))</f>
        <v/>
      </c>
      <c r="C839">
        <f>IF($A839="","",INDEX('05_KAIS'!$D:$D,$A839))</f>
        <v/>
      </c>
      <c r="D839">
        <f>IF($A839="","",INDEX('05_KAIS'!$H:$H,$A839))</f>
        <v/>
      </c>
      <c r="E839">
        <f>IF($A839="","",INDEX('05_KAIS'!$K:$K,$A839))</f>
        <v/>
      </c>
      <c r="F839" s="202">
        <f>IF($A839="","",INDEX('05_KAIS'!$I:$I,$A839))</f>
        <v/>
      </c>
      <c r="G839" s="118">
        <f>IF($A839="","",INDEX('05_KAIS'!$L:$L,$A839))</f>
        <v/>
      </c>
      <c r="H839" s="118">
        <f>IF($A839="","",IFERROR(INDEX('05_KAIS'!$M:$M,$A839),IF(AND(E839&gt;0,G839&gt;0),G839/E839,"")))</f>
        <v/>
      </c>
      <c r="I839" s="202">
        <f>IF($A839="","",INDEX('05_KAIS'!$N:$N,$A839))</f>
        <v/>
      </c>
      <c r="J839">
        <f>IF(B839="","",IF('02_대상물건입력'!$B$5="",1,IF(ISNUMBER(SEARCH('02_대상물건입력'!$B$5,B839)),1,0)))</f>
        <v/>
      </c>
      <c r="K839">
        <f>IF(B839="","",IF('02_대상물건입력'!$B$6="",1,IF(ISNUMBER(SEARCH('02_대상물건입력'!$B$6,B839)),1,0)))</f>
        <v/>
      </c>
      <c r="L839">
        <f>IF(D839="","",IF('02_대상물건입력'!$B$8="",0,IF(ISNUMBER(SEARCH('02_대상물건입력'!$B$8,D839)),1,0)))</f>
        <v/>
      </c>
      <c r="M839">
        <f>IFERROR(ABS(E839-'02_대상물건입력'!$B$11)/'02_대상물건입력'!$B$11,"")</f>
        <v/>
      </c>
      <c r="N839">
        <f>IFERROR(ABS('01_설정'!$B$4-F839),"")</f>
        <v/>
      </c>
      <c r="O839">
        <f>IFERROR(ABS(YEAR(I839)-YEAR('02_대상물건입력'!$B$14)),"")</f>
        <v/>
      </c>
      <c r="P839">
        <f>IF(AND(E839&gt;0,F839&gt;0,G839&gt;0,IF('01_설정'!$B$10=1,J839=1,TRUE()),M839&lt;='01_설정'!$B$5,N839&lt;='01_설정'!$B$7,O839&lt;='01_설정'!$B$8),"Y","")</f>
        <v/>
      </c>
      <c r="Q839">
        <f>IF(P839&lt;&gt;"Y","",MAX(0,(1-M839/'01_설정'!$B$5))*'01_설정'!$B$14+MAX(0,(1-N839/'01_설정'!$B$7))*'01_설정'!$B$16+MAX(0,(1-O839/'01_설정'!$B$8))*'01_설정'!$B$17+K839*'01_설정'!$B$11+L839*'01_설정'!$B$12)</f>
        <v/>
      </c>
      <c r="R839">
        <f>IF(Q839="","",1+COUNTIFS($Q$31:$Q$1030,"&gt;"&amp;Q839)+COUNTIFS($Q$31:Q839,Q839)-1)</f>
        <v/>
      </c>
    </row>
    <row r="840" hidden="1" ht="16.5" customHeight="1">
      <c r="A840">
        <f>IF(COUNTA('05_KAIS'!$A828:$N828)=0,"",813)</f>
        <v/>
      </c>
      <c r="B840">
        <f>IF($A840="","",TRIM(INDEX('05_KAIS'!$B:$B,$A840)&amp;" "&amp;INDEX('05_KAIS'!$C:$C,$A840)))</f>
        <v/>
      </c>
      <c r="C840">
        <f>IF($A840="","",INDEX('05_KAIS'!$D:$D,$A840))</f>
        <v/>
      </c>
      <c r="D840">
        <f>IF($A840="","",INDEX('05_KAIS'!$H:$H,$A840))</f>
        <v/>
      </c>
      <c r="E840">
        <f>IF($A840="","",INDEX('05_KAIS'!$K:$K,$A840))</f>
        <v/>
      </c>
      <c r="F840" s="202">
        <f>IF($A840="","",INDEX('05_KAIS'!$I:$I,$A840))</f>
        <v/>
      </c>
      <c r="G840" s="118">
        <f>IF($A840="","",INDEX('05_KAIS'!$L:$L,$A840))</f>
        <v/>
      </c>
      <c r="H840" s="118">
        <f>IF($A840="","",IFERROR(INDEX('05_KAIS'!$M:$M,$A840),IF(AND(E840&gt;0,G840&gt;0),G840/E840,"")))</f>
        <v/>
      </c>
      <c r="I840" s="202">
        <f>IF($A840="","",INDEX('05_KAIS'!$N:$N,$A840))</f>
        <v/>
      </c>
      <c r="J840">
        <f>IF(B840="","",IF('02_대상물건입력'!$B$5="",1,IF(ISNUMBER(SEARCH('02_대상물건입력'!$B$5,B840)),1,0)))</f>
        <v/>
      </c>
      <c r="K840">
        <f>IF(B840="","",IF('02_대상물건입력'!$B$6="",1,IF(ISNUMBER(SEARCH('02_대상물건입력'!$B$6,B840)),1,0)))</f>
        <v/>
      </c>
      <c r="L840">
        <f>IF(D840="","",IF('02_대상물건입력'!$B$8="",0,IF(ISNUMBER(SEARCH('02_대상물건입력'!$B$8,D840)),1,0)))</f>
        <v/>
      </c>
      <c r="M840">
        <f>IFERROR(ABS(E840-'02_대상물건입력'!$B$11)/'02_대상물건입력'!$B$11,"")</f>
        <v/>
      </c>
      <c r="N840">
        <f>IFERROR(ABS('01_설정'!$B$4-F840),"")</f>
        <v/>
      </c>
      <c r="O840">
        <f>IFERROR(ABS(YEAR(I840)-YEAR('02_대상물건입력'!$B$14)),"")</f>
        <v/>
      </c>
      <c r="P840">
        <f>IF(AND(E840&gt;0,F840&gt;0,G840&gt;0,IF('01_설정'!$B$10=1,J840=1,TRUE()),M840&lt;='01_설정'!$B$5,N840&lt;='01_설정'!$B$7,O840&lt;='01_설정'!$B$8),"Y","")</f>
        <v/>
      </c>
      <c r="Q840">
        <f>IF(P840&lt;&gt;"Y","",MAX(0,(1-M840/'01_설정'!$B$5))*'01_설정'!$B$14+MAX(0,(1-N840/'01_설정'!$B$7))*'01_설정'!$B$16+MAX(0,(1-O840/'01_설정'!$B$8))*'01_설정'!$B$17+K840*'01_설정'!$B$11+L840*'01_설정'!$B$12)</f>
        <v/>
      </c>
      <c r="R840">
        <f>IF(Q840="","",1+COUNTIFS($Q$31:$Q$1030,"&gt;"&amp;Q840)+COUNTIFS($Q$31:Q840,Q840)-1)</f>
        <v/>
      </c>
    </row>
    <row r="841" hidden="1" ht="16.5" customHeight="1">
      <c r="A841">
        <f>IF(COUNTA('05_KAIS'!$A829:$N829)=0,"",814)</f>
        <v/>
      </c>
      <c r="B841">
        <f>IF($A841="","",TRIM(INDEX('05_KAIS'!$B:$B,$A841)&amp;" "&amp;INDEX('05_KAIS'!$C:$C,$A841)))</f>
        <v/>
      </c>
      <c r="C841">
        <f>IF($A841="","",INDEX('05_KAIS'!$D:$D,$A841))</f>
        <v/>
      </c>
      <c r="D841">
        <f>IF($A841="","",INDEX('05_KAIS'!$H:$H,$A841))</f>
        <v/>
      </c>
      <c r="E841">
        <f>IF($A841="","",INDEX('05_KAIS'!$K:$K,$A841))</f>
        <v/>
      </c>
      <c r="F841" s="202">
        <f>IF($A841="","",INDEX('05_KAIS'!$I:$I,$A841))</f>
        <v/>
      </c>
      <c r="G841" s="118">
        <f>IF($A841="","",INDEX('05_KAIS'!$L:$L,$A841))</f>
        <v/>
      </c>
      <c r="H841" s="118">
        <f>IF($A841="","",IFERROR(INDEX('05_KAIS'!$M:$M,$A841),IF(AND(E841&gt;0,G841&gt;0),G841/E841,"")))</f>
        <v/>
      </c>
      <c r="I841" s="202">
        <f>IF($A841="","",INDEX('05_KAIS'!$N:$N,$A841))</f>
        <v/>
      </c>
      <c r="J841">
        <f>IF(B841="","",IF('02_대상물건입력'!$B$5="",1,IF(ISNUMBER(SEARCH('02_대상물건입력'!$B$5,B841)),1,0)))</f>
        <v/>
      </c>
      <c r="K841">
        <f>IF(B841="","",IF('02_대상물건입력'!$B$6="",1,IF(ISNUMBER(SEARCH('02_대상물건입력'!$B$6,B841)),1,0)))</f>
        <v/>
      </c>
      <c r="L841">
        <f>IF(D841="","",IF('02_대상물건입력'!$B$8="",0,IF(ISNUMBER(SEARCH('02_대상물건입력'!$B$8,D841)),1,0)))</f>
        <v/>
      </c>
      <c r="M841">
        <f>IFERROR(ABS(E841-'02_대상물건입력'!$B$11)/'02_대상물건입력'!$B$11,"")</f>
        <v/>
      </c>
      <c r="N841">
        <f>IFERROR(ABS('01_설정'!$B$4-F841),"")</f>
        <v/>
      </c>
      <c r="O841">
        <f>IFERROR(ABS(YEAR(I841)-YEAR('02_대상물건입력'!$B$14)),"")</f>
        <v/>
      </c>
      <c r="P841">
        <f>IF(AND(E841&gt;0,F841&gt;0,G841&gt;0,IF('01_설정'!$B$10=1,J841=1,TRUE()),M841&lt;='01_설정'!$B$5,N841&lt;='01_설정'!$B$7,O841&lt;='01_설정'!$B$8),"Y","")</f>
        <v/>
      </c>
      <c r="Q841">
        <f>IF(P841&lt;&gt;"Y","",MAX(0,(1-M841/'01_설정'!$B$5))*'01_설정'!$B$14+MAX(0,(1-N841/'01_설정'!$B$7))*'01_설정'!$B$16+MAX(0,(1-O841/'01_설정'!$B$8))*'01_설정'!$B$17+K841*'01_설정'!$B$11+L841*'01_설정'!$B$12)</f>
        <v/>
      </c>
      <c r="R841">
        <f>IF(Q841="","",1+COUNTIFS($Q$31:$Q$1030,"&gt;"&amp;Q841)+COUNTIFS($Q$31:Q841,Q841)-1)</f>
        <v/>
      </c>
    </row>
    <row r="842" hidden="1" ht="16.5" customHeight="1">
      <c r="A842">
        <f>IF(COUNTA('05_KAIS'!$A830:$N830)=0,"",815)</f>
        <v/>
      </c>
      <c r="B842">
        <f>IF($A842="","",TRIM(INDEX('05_KAIS'!$B:$B,$A842)&amp;" "&amp;INDEX('05_KAIS'!$C:$C,$A842)))</f>
        <v/>
      </c>
      <c r="C842">
        <f>IF($A842="","",INDEX('05_KAIS'!$D:$D,$A842))</f>
        <v/>
      </c>
      <c r="D842">
        <f>IF($A842="","",INDEX('05_KAIS'!$H:$H,$A842))</f>
        <v/>
      </c>
      <c r="E842">
        <f>IF($A842="","",INDEX('05_KAIS'!$K:$K,$A842))</f>
        <v/>
      </c>
      <c r="F842" s="202">
        <f>IF($A842="","",INDEX('05_KAIS'!$I:$I,$A842))</f>
        <v/>
      </c>
      <c r="G842" s="118">
        <f>IF($A842="","",INDEX('05_KAIS'!$L:$L,$A842))</f>
        <v/>
      </c>
      <c r="H842" s="118">
        <f>IF($A842="","",IFERROR(INDEX('05_KAIS'!$M:$M,$A842),IF(AND(E842&gt;0,G842&gt;0),G842/E842,"")))</f>
        <v/>
      </c>
      <c r="I842" s="202">
        <f>IF($A842="","",INDEX('05_KAIS'!$N:$N,$A842))</f>
        <v/>
      </c>
      <c r="J842">
        <f>IF(B842="","",IF('02_대상물건입력'!$B$5="",1,IF(ISNUMBER(SEARCH('02_대상물건입력'!$B$5,B842)),1,0)))</f>
        <v/>
      </c>
      <c r="K842">
        <f>IF(B842="","",IF('02_대상물건입력'!$B$6="",1,IF(ISNUMBER(SEARCH('02_대상물건입력'!$B$6,B842)),1,0)))</f>
        <v/>
      </c>
      <c r="L842">
        <f>IF(D842="","",IF('02_대상물건입력'!$B$8="",0,IF(ISNUMBER(SEARCH('02_대상물건입력'!$B$8,D842)),1,0)))</f>
        <v/>
      </c>
      <c r="M842">
        <f>IFERROR(ABS(E842-'02_대상물건입력'!$B$11)/'02_대상물건입력'!$B$11,"")</f>
        <v/>
      </c>
      <c r="N842">
        <f>IFERROR(ABS('01_설정'!$B$4-F842),"")</f>
        <v/>
      </c>
      <c r="O842">
        <f>IFERROR(ABS(YEAR(I842)-YEAR('02_대상물건입력'!$B$14)),"")</f>
        <v/>
      </c>
      <c r="P842">
        <f>IF(AND(E842&gt;0,F842&gt;0,G842&gt;0,IF('01_설정'!$B$10=1,J842=1,TRUE()),M842&lt;='01_설정'!$B$5,N842&lt;='01_설정'!$B$7,O842&lt;='01_설정'!$B$8),"Y","")</f>
        <v/>
      </c>
      <c r="Q842">
        <f>IF(P842&lt;&gt;"Y","",MAX(0,(1-M842/'01_설정'!$B$5))*'01_설정'!$B$14+MAX(0,(1-N842/'01_설정'!$B$7))*'01_설정'!$B$16+MAX(0,(1-O842/'01_설정'!$B$8))*'01_설정'!$B$17+K842*'01_설정'!$B$11+L842*'01_설정'!$B$12)</f>
        <v/>
      </c>
      <c r="R842">
        <f>IF(Q842="","",1+COUNTIFS($Q$31:$Q$1030,"&gt;"&amp;Q842)+COUNTIFS($Q$31:Q842,Q842)-1)</f>
        <v/>
      </c>
    </row>
    <row r="843" hidden="1" ht="16.5" customHeight="1">
      <c r="A843">
        <f>IF(COUNTA('05_KAIS'!$A831:$N831)=0,"",816)</f>
        <v/>
      </c>
      <c r="B843">
        <f>IF($A843="","",TRIM(INDEX('05_KAIS'!$B:$B,$A843)&amp;" "&amp;INDEX('05_KAIS'!$C:$C,$A843)))</f>
        <v/>
      </c>
      <c r="C843">
        <f>IF($A843="","",INDEX('05_KAIS'!$D:$D,$A843))</f>
        <v/>
      </c>
      <c r="D843">
        <f>IF($A843="","",INDEX('05_KAIS'!$H:$H,$A843))</f>
        <v/>
      </c>
      <c r="E843">
        <f>IF($A843="","",INDEX('05_KAIS'!$K:$K,$A843))</f>
        <v/>
      </c>
      <c r="F843" s="202">
        <f>IF($A843="","",INDEX('05_KAIS'!$I:$I,$A843))</f>
        <v/>
      </c>
      <c r="G843" s="118">
        <f>IF($A843="","",INDEX('05_KAIS'!$L:$L,$A843))</f>
        <v/>
      </c>
      <c r="H843" s="118">
        <f>IF($A843="","",IFERROR(INDEX('05_KAIS'!$M:$M,$A843),IF(AND(E843&gt;0,G843&gt;0),G843/E843,"")))</f>
        <v/>
      </c>
      <c r="I843" s="202">
        <f>IF($A843="","",INDEX('05_KAIS'!$N:$N,$A843))</f>
        <v/>
      </c>
      <c r="J843">
        <f>IF(B843="","",IF('02_대상물건입력'!$B$5="",1,IF(ISNUMBER(SEARCH('02_대상물건입력'!$B$5,B843)),1,0)))</f>
        <v/>
      </c>
      <c r="K843">
        <f>IF(B843="","",IF('02_대상물건입력'!$B$6="",1,IF(ISNUMBER(SEARCH('02_대상물건입력'!$B$6,B843)),1,0)))</f>
        <v/>
      </c>
      <c r="L843">
        <f>IF(D843="","",IF('02_대상물건입력'!$B$8="",0,IF(ISNUMBER(SEARCH('02_대상물건입력'!$B$8,D843)),1,0)))</f>
        <v/>
      </c>
      <c r="M843">
        <f>IFERROR(ABS(E843-'02_대상물건입력'!$B$11)/'02_대상물건입력'!$B$11,"")</f>
        <v/>
      </c>
      <c r="N843">
        <f>IFERROR(ABS('01_설정'!$B$4-F843),"")</f>
        <v/>
      </c>
      <c r="O843">
        <f>IFERROR(ABS(YEAR(I843)-YEAR('02_대상물건입력'!$B$14)),"")</f>
        <v/>
      </c>
      <c r="P843">
        <f>IF(AND(E843&gt;0,F843&gt;0,G843&gt;0,IF('01_설정'!$B$10=1,J843=1,TRUE()),M843&lt;='01_설정'!$B$5,N843&lt;='01_설정'!$B$7,O843&lt;='01_설정'!$B$8),"Y","")</f>
        <v/>
      </c>
      <c r="Q843">
        <f>IF(P843&lt;&gt;"Y","",MAX(0,(1-M843/'01_설정'!$B$5))*'01_설정'!$B$14+MAX(0,(1-N843/'01_설정'!$B$7))*'01_설정'!$B$16+MAX(0,(1-O843/'01_설정'!$B$8))*'01_설정'!$B$17+K843*'01_설정'!$B$11+L843*'01_설정'!$B$12)</f>
        <v/>
      </c>
      <c r="R843">
        <f>IF(Q843="","",1+COUNTIFS($Q$31:$Q$1030,"&gt;"&amp;Q843)+COUNTIFS($Q$31:Q843,Q843)-1)</f>
        <v/>
      </c>
    </row>
    <row r="844" hidden="1" ht="16.5" customHeight="1">
      <c r="A844">
        <f>IF(COUNTA('05_KAIS'!$A832:$N832)=0,"",817)</f>
        <v/>
      </c>
      <c r="B844">
        <f>IF($A844="","",TRIM(INDEX('05_KAIS'!$B:$B,$A844)&amp;" "&amp;INDEX('05_KAIS'!$C:$C,$A844)))</f>
        <v/>
      </c>
      <c r="C844">
        <f>IF($A844="","",INDEX('05_KAIS'!$D:$D,$A844))</f>
        <v/>
      </c>
      <c r="D844">
        <f>IF($A844="","",INDEX('05_KAIS'!$H:$H,$A844))</f>
        <v/>
      </c>
      <c r="E844">
        <f>IF($A844="","",INDEX('05_KAIS'!$K:$K,$A844))</f>
        <v/>
      </c>
      <c r="F844" s="202">
        <f>IF($A844="","",INDEX('05_KAIS'!$I:$I,$A844))</f>
        <v/>
      </c>
      <c r="G844" s="118">
        <f>IF($A844="","",INDEX('05_KAIS'!$L:$L,$A844))</f>
        <v/>
      </c>
      <c r="H844" s="118">
        <f>IF($A844="","",IFERROR(INDEX('05_KAIS'!$M:$M,$A844),IF(AND(E844&gt;0,G844&gt;0),G844/E844,"")))</f>
        <v/>
      </c>
      <c r="I844" s="202">
        <f>IF($A844="","",INDEX('05_KAIS'!$N:$N,$A844))</f>
        <v/>
      </c>
      <c r="J844">
        <f>IF(B844="","",IF('02_대상물건입력'!$B$5="",1,IF(ISNUMBER(SEARCH('02_대상물건입력'!$B$5,B844)),1,0)))</f>
        <v/>
      </c>
      <c r="K844">
        <f>IF(B844="","",IF('02_대상물건입력'!$B$6="",1,IF(ISNUMBER(SEARCH('02_대상물건입력'!$B$6,B844)),1,0)))</f>
        <v/>
      </c>
      <c r="L844">
        <f>IF(D844="","",IF('02_대상물건입력'!$B$8="",0,IF(ISNUMBER(SEARCH('02_대상물건입력'!$B$8,D844)),1,0)))</f>
        <v/>
      </c>
      <c r="M844">
        <f>IFERROR(ABS(E844-'02_대상물건입력'!$B$11)/'02_대상물건입력'!$B$11,"")</f>
        <v/>
      </c>
      <c r="N844">
        <f>IFERROR(ABS('01_설정'!$B$4-F844),"")</f>
        <v/>
      </c>
      <c r="O844">
        <f>IFERROR(ABS(YEAR(I844)-YEAR('02_대상물건입력'!$B$14)),"")</f>
        <v/>
      </c>
      <c r="P844">
        <f>IF(AND(E844&gt;0,F844&gt;0,G844&gt;0,IF('01_설정'!$B$10=1,J844=1,TRUE()),M844&lt;='01_설정'!$B$5,N844&lt;='01_설정'!$B$7,O844&lt;='01_설정'!$B$8),"Y","")</f>
        <v/>
      </c>
      <c r="Q844">
        <f>IF(P844&lt;&gt;"Y","",MAX(0,(1-M844/'01_설정'!$B$5))*'01_설정'!$B$14+MAX(0,(1-N844/'01_설정'!$B$7))*'01_설정'!$B$16+MAX(0,(1-O844/'01_설정'!$B$8))*'01_설정'!$B$17+K844*'01_설정'!$B$11+L844*'01_설정'!$B$12)</f>
        <v/>
      </c>
      <c r="R844">
        <f>IF(Q844="","",1+COUNTIFS($Q$31:$Q$1030,"&gt;"&amp;Q844)+COUNTIFS($Q$31:Q844,Q844)-1)</f>
        <v/>
      </c>
    </row>
    <row r="845" hidden="1" ht="16.5" customHeight="1">
      <c r="A845">
        <f>IF(COUNTA('05_KAIS'!$A833:$N833)=0,"",818)</f>
        <v/>
      </c>
      <c r="B845">
        <f>IF($A845="","",TRIM(INDEX('05_KAIS'!$B:$B,$A845)&amp;" "&amp;INDEX('05_KAIS'!$C:$C,$A845)))</f>
        <v/>
      </c>
      <c r="C845">
        <f>IF($A845="","",INDEX('05_KAIS'!$D:$D,$A845))</f>
        <v/>
      </c>
      <c r="D845">
        <f>IF($A845="","",INDEX('05_KAIS'!$H:$H,$A845))</f>
        <v/>
      </c>
      <c r="E845">
        <f>IF($A845="","",INDEX('05_KAIS'!$K:$K,$A845))</f>
        <v/>
      </c>
      <c r="F845" s="202">
        <f>IF($A845="","",INDEX('05_KAIS'!$I:$I,$A845))</f>
        <v/>
      </c>
      <c r="G845" s="118">
        <f>IF($A845="","",INDEX('05_KAIS'!$L:$L,$A845))</f>
        <v/>
      </c>
      <c r="H845" s="118">
        <f>IF($A845="","",IFERROR(INDEX('05_KAIS'!$M:$M,$A845),IF(AND(E845&gt;0,G845&gt;0),G845/E845,"")))</f>
        <v/>
      </c>
      <c r="I845" s="202">
        <f>IF($A845="","",INDEX('05_KAIS'!$N:$N,$A845))</f>
        <v/>
      </c>
      <c r="J845">
        <f>IF(B845="","",IF('02_대상물건입력'!$B$5="",1,IF(ISNUMBER(SEARCH('02_대상물건입력'!$B$5,B845)),1,0)))</f>
        <v/>
      </c>
      <c r="K845">
        <f>IF(B845="","",IF('02_대상물건입력'!$B$6="",1,IF(ISNUMBER(SEARCH('02_대상물건입력'!$B$6,B845)),1,0)))</f>
        <v/>
      </c>
      <c r="L845">
        <f>IF(D845="","",IF('02_대상물건입력'!$B$8="",0,IF(ISNUMBER(SEARCH('02_대상물건입력'!$B$8,D845)),1,0)))</f>
        <v/>
      </c>
      <c r="M845">
        <f>IFERROR(ABS(E845-'02_대상물건입력'!$B$11)/'02_대상물건입력'!$B$11,"")</f>
        <v/>
      </c>
      <c r="N845">
        <f>IFERROR(ABS('01_설정'!$B$4-F845),"")</f>
        <v/>
      </c>
      <c r="O845">
        <f>IFERROR(ABS(YEAR(I845)-YEAR('02_대상물건입력'!$B$14)),"")</f>
        <v/>
      </c>
      <c r="P845">
        <f>IF(AND(E845&gt;0,F845&gt;0,G845&gt;0,IF('01_설정'!$B$10=1,J845=1,TRUE()),M845&lt;='01_설정'!$B$5,N845&lt;='01_설정'!$B$7,O845&lt;='01_설정'!$B$8),"Y","")</f>
        <v/>
      </c>
      <c r="Q845">
        <f>IF(P845&lt;&gt;"Y","",MAX(0,(1-M845/'01_설정'!$B$5))*'01_설정'!$B$14+MAX(0,(1-N845/'01_설정'!$B$7))*'01_설정'!$B$16+MAX(0,(1-O845/'01_설정'!$B$8))*'01_설정'!$B$17+K845*'01_설정'!$B$11+L845*'01_설정'!$B$12)</f>
        <v/>
      </c>
      <c r="R845">
        <f>IF(Q845="","",1+COUNTIFS($Q$31:$Q$1030,"&gt;"&amp;Q845)+COUNTIFS($Q$31:Q845,Q845)-1)</f>
        <v/>
      </c>
    </row>
    <row r="846" hidden="1" ht="16.5" customHeight="1">
      <c r="A846">
        <f>IF(COUNTA('05_KAIS'!$A834:$N834)=0,"",819)</f>
        <v/>
      </c>
      <c r="B846">
        <f>IF($A846="","",TRIM(INDEX('05_KAIS'!$B:$B,$A846)&amp;" "&amp;INDEX('05_KAIS'!$C:$C,$A846)))</f>
        <v/>
      </c>
      <c r="C846">
        <f>IF($A846="","",INDEX('05_KAIS'!$D:$D,$A846))</f>
        <v/>
      </c>
      <c r="D846">
        <f>IF($A846="","",INDEX('05_KAIS'!$H:$H,$A846))</f>
        <v/>
      </c>
      <c r="E846">
        <f>IF($A846="","",INDEX('05_KAIS'!$K:$K,$A846))</f>
        <v/>
      </c>
      <c r="F846" s="202">
        <f>IF($A846="","",INDEX('05_KAIS'!$I:$I,$A846))</f>
        <v/>
      </c>
      <c r="G846" s="118">
        <f>IF($A846="","",INDEX('05_KAIS'!$L:$L,$A846))</f>
        <v/>
      </c>
      <c r="H846" s="118">
        <f>IF($A846="","",IFERROR(INDEX('05_KAIS'!$M:$M,$A846),IF(AND(E846&gt;0,G846&gt;0),G846/E846,"")))</f>
        <v/>
      </c>
      <c r="I846" s="202">
        <f>IF($A846="","",INDEX('05_KAIS'!$N:$N,$A846))</f>
        <v/>
      </c>
      <c r="J846">
        <f>IF(B846="","",IF('02_대상물건입력'!$B$5="",1,IF(ISNUMBER(SEARCH('02_대상물건입력'!$B$5,B846)),1,0)))</f>
        <v/>
      </c>
      <c r="K846">
        <f>IF(B846="","",IF('02_대상물건입력'!$B$6="",1,IF(ISNUMBER(SEARCH('02_대상물건입력'!$B$6,B846)),1,0)))</f>
        <v/>
      </c>
      <c r="L846">
        <f>IF(D846="","",IF('02_대상물건입력'!$B$8="",0,IF(ISNUMBER(SEARCH('02_대상물건입력'!$B$8,D846)),1,0)))</f>
        <v/>
      </c>
      <c r="M846">
        <f>IFERROR(ABS(E846-'02_대상물건입력'!$B$11)/'02_대상물건입력'!$B$11,"")</f>
        <v/>
      </c>
      <c r="N846">
        <f>IFERROR(ABS('01_설정'!$B$4-F846),"")</f>
        <v/>
      </c>
      <c r="O846">
        <f>IFERROR(ABS(YEAR(I846)-YEAR('02_대상물건입력'!$B$14)),"")</f>
        <v/>
      </c>
      <c r="P846">
        <f>IF(AND(E846&gt;0,F846&gt;0,G846&gt;0,IF('01_설정'!$B$10=1,J846=1,TRUE()),M846&lt;='01_설정'!$B$5,N846&lt;='01_설정'!$B$7,O846&lt;='01_설정'!$B$8),"Y","")</f>
        <v/>
      </c>
      <c r="Q846">
        <f>IF(P846&lt;&gt;"Y","",MAX(0,(1-M846/'01_설정'!$B$5))*'01_설정'!$B$14+MAX(0,(1-N846/'01_설정'!$B$7))*'01_설정'!$B$16+MAX(0,(1-O846/'01_설정'!$B$8))*'01_설정'!$B$17+K846*'01_설정'!$B$11+L846*'01_설정'!$B$12)</f>
        <v/>
      </c>
      <c r="R846">
        <f>IF(Q846="","",1+COUNTIFS($Q$31:$Q$1030,"&gt;"&amp;Q846)+COUNTIFS($Q$31:Q846,Q846)-1)</f>
        <v/>
      </c>
    </row>
    <row r="847" hidden="1" ht="16.5" customHeight="1">
      <c r="A847">
        <f>IF(COUNTA('05_KAIS'!$A835:$N835)=0,"",820)</f>
        <v/>
      </c>
      <c r="B847">
        <f>IF($A847="","",TRIM(INDEX('05_KAIS'!$B:$B,$A847)&amp;" "&amp;INDEX('05_KAIS'!$C:$C,$A847)))</f>
        <v/>
      </c>
      <c r="C847">
        <f>IF($A847="","",INDEX('05_KAIS'!$D:$D,$A847))</f>
        <v/>
      </c>
      <c r="D847">
        <f>IF($A847="","",INDEX('05_KAIS'!$H:$H,$A847))</f>
        <v/>
      </c>
      <c r="E847">
        <f>IF($A847="","",INDEX('05_KAIS'!$K:$K,$A847))</f>
        <v/>
      </c>
      <c r="F847" s="202">
        <f>IF($A847="","",INDEX('05_KAIS'!$I:$I,$A847))</f>
        <v/>
      </c>
      <c r="G847" s="118">
        <f>IF($A847="","",INDEX('05_KAIS'!$L:$L,$A847))</f>
        <v/>
      </c>
      <c r="H847" s="118">
        <f>IF($A847="","",IFERROR(INDEX('05_KAIS'!$M:$M,$A847),IF(AND(E847&gt;0,G847&gt;0),G847/E847,"")))</f>
        <v/>
      </c>
      <c r="I847" s="202">
        <f>IF($A847="","",INDEX('05_KAIS'!$N:$N,$A847))</f>
        <v/>
      </c>
      <c r="J847">
        <f>IF(B847="","",IF('02_대상물건입력'!$B$5="",1,IF(ISNUMBER(SEARCH('02_대상물건입력'!$B$5,B847)),1,0)))</f>
        <v/>
      </c>
      <c r="K847">
        <f>IF(B847="","",IF('02_대상물건입력'!$B$6="",1,IF(ISNUMBER(SEARCH('02_대상물건입력'!$B$6,B847)),1,0)))</f>
        <v/>
      </c>
      <c r="L847">
        <f>IF(D847="","",IF('02_대상물건입력'!$B$8="",0,IF(ISNUMBER(SEARCH('02_대상물건입력'!$B$8,D847)),1,0)))</f>
        <v/>
      </c>
      <c r="M847">
        <f>IFERROR(ABS(E847-'02_대상물건입력'!$B$11)/'02_대상물건입력'!$B$11,"")</f>
        <v/>
      </c>
      <c r="N847">
        <f>IFERROR(ABS('01_설정'!$B$4-F847),"")</f>
        <v/>
      </c>
      <c r="O847">
        <f>IFERROR(ABS(YEAR(I847)-YEAR('02_대상물건입력'!$B$14)),"")</f>
        <v/>
      </c>
      <c r="P847">
        <f>IF(AND(E847&gt;0,F847&gt;0,G847&gt;0,IF('01_설정'!$B$10=1,J847=1,TRUE()),M847&lt;='01_설정'!$B$5,N847&lt;='01_설정'!$B$7,O847&lt;='01_설정'!$B$8),"Y","")</f>
        <v/>
      </c>
      <c r="Q847">
        <f>IF(P847&lt;&gt;"Y","",MAX(0,(1-M847/'01_설정'!$B$5))*'01_설정'!$B$14+MAX(0,(1-N847/'01_설정'!$B$7))*'01_설정'!$B$16+MAX(0,(1-O847/'01_설정'!$B$8))*'01_설정'!$B$17+K847*'01_설정'!$B$11+L847*'01_설정'!$B$12)</f>
        <v/>
      </c>
      <c r="R847">
        <f>IF(Q847="","",1+COUNTIFS($Q$31:$Q$1030,"&gt;"&amp;Q847)+COUNTIFS($Q$31:Q847,Q847)-1)</f>
        <v/>
      </c>
    </row>
    <row r="848" hidden="1" ht="16.5" customHeight="1">
      <c r="A848">
        <f>IF(COUNTA('05_KAIS'!$A836:$N836)=0,"",821)</f>
        <v/>
      </c>
      <c r="B848">
        <f>IF($A848="","",TRIM(INDEX('05_KAIS'!$B:$B,$A848)&amp;" "&amp;INDEX('05_KAIS'!$C:$C,$A848)))</f>
        <v/>
      </c>
      <c r="C848">
        <f>IF($A848="","",INDEX('05_KAIS'!$D:$D,$A848))</f>
        <v/>
      </c>
      <c r="D848">
        <f>IF($A848="","",INDEX('05_KAIS'!$H:$H,$A848))</f>
        <v/>
      </c>
      <c r="E848">
        <f>IF($A848="","",INDEX('05_KAIS'!$K:$K,$A848))</f>
        <v/>
      </c>
      <c r="F848" s="202">
        <f>IF($A848="","",INDEX('05_KAIS'!$I:$I,$A848))</f>
        <v/>
      </c>
      <c r="G848" s="118">
        <f>IF($A848="","",INDEX('05_KAIS'!$L:$L,$A848))</f>
        <v/>
      </c>
      <c r="H848" s="118">
        <f>IF($A848="","",IFERROR(INDEX('05_KAIS'!$M:$M,$A848),IF(AND(E848&gt;0,G848&gt;0),G848/E848,"")))</f>
        <v/>
      </c>
      <c r="I848" s="202">
        <f>IF($A848="","",INDEX('05_KAIS'!$N:$N,$A848))</f>
        <v/>
      </c>
      <c r="J848">
        <f>IF(B848="","",IF('02_대상물건입력'!$B$5="",1,IF(ISNUMBER(SEARCH('02_대상물건입력'!$B$5,B848)),1,0)))</f>
        <v/>
      </c>
      <c r="K848">
        <f>IF(B848="","",IF('02_대상물건입력'!$B$6="",1,IF(ISNUMBER(SEARCH('02_대상물건입력'!$B$6,B848)),1,0)))</f>
        <v/>
      </c>
      <c r="L848">
        <f>IF(D848="","",IF('02_대상물건입력'!$B$8="",0,IF(ISNUMBER(SEARCH('02_대상물건입력'!$B$8,D848)),1,0)))</f>
        <v/>
      </c>
      <c r="M848">
        <f>IFERROR(ABS(E848-'02_대상물건입력'!$B$11)/'02_대상물건입력'!$B$11,"")</f>
        <v/>
      </c>
      <c r="N848">
        <f>IFERROR(ABS('01_설정'!$B$4-F848),"")</f>
        <v/>
      </c>
      <c r="O848">
        <f>IFERROR(ABS(YEAR(I848)-YEAR('02_대상물건입력'!$B$14)),"")</f>
        <v/>
      </c>
      <c r="P848">
        <f>IF(AND(E848&gt;0,F848&gt;0,G848&gt;0,IF('01_설정'!$B$10=1,J848=1,TRUE()),M848&lt;='01_설정'!$B$5,N848&lt;='01_설정'!$B$7,O848&lt;='01_설정'!$B$8),"Y","")</f>
        <v/>
      </c>
      <c r="Q848">
        <f>IF(P848&lt;&gt;"Y","",MAX(0,(1-M848/'01_설정'!$B$5))*'01_설정'!$B$14+MAX(0,(1-N848/'01_설정'!$B$7))*'01_설정'!$B$16+MAX(0,(1-O848/'01_설정'!$B$8))*'01_설정'!$B$17+K848*'01_설정'!$B$11+L848*'01_설정'!$B$12)</f>
        <v/>
      </c>
      <c r="R848">
        <f>IF(Q848="","",1+COUNTIFS($Q$31:$Q$1030,"&gt;"&amp;Q848)+COUNTIFS($Q$31:Q848,Q848)-1)</f>
        <v/>
      </c>
    </row>
    <row r="849" hidden="1" ht="16.5" customHeight="1">
      <c r="A849">
        <f>IF(COUNTA('05_KAIS'!$A837:$N837)=0,"",822)</f>
        <v/>
      </c>
      <c r="B849">
        <f>IF($A849="","",TRIM(INDEX('05_KAIS'!$B:$B,$A849)&amp;" "&amp;INDEX('05_KAIS'!$C:$C,$A849)))</f>
        <v/>
      </c>
      <c r="C849">
        <f>IF($A849="","",INDEX('05_KAIS'!$D:$D,$A849))</f>
        <v/>
      </c>
      <c r="D849">
        <f>IF($A849="","",INDEX('05_KAIS'!$H:$H,$A849))</f>
        <v/>
      </c>
      <c r="E849">
        <f>IF($A849="","",INDEX('05_KAIS'!$K:$K,$A849))</f>
        <v/>
      </c>
      <c r="F849" s="202">
        <f>IF($A849="","",INDEX('05_KAIS'!$I:$I,$A849))</f>
        <v/>
      </c>
      <c r="G849" s="118">
        <f>IF($A849="","",INDEX('05_KAIS'!$L:$L,$A849))</f>
        <v/>
      </c>
      <c r="H849" s="118">
        <f>IF($A849="","",IFERROR(INDEX('05_KAIS'!$M:$M,$A849),IF(AND(E849&gt;0,G849&gt;0),G849/E849,"")))</f>
        <v/>
      </c>
      <c r="I849" s="202">
        <f>IF($A849="","",INDEX('05_KAIS'!$N:$N,$A849))</f>
        <v/>
      </c>
      <c r="J849">
        <f>IF(B849="","",IF('02_대상물건입력'!$B$5="",1,IF(ISNUMBER(SEARCH('02_대상물건입력'!$B$5,B849)),1,0)))</f>
        <v/>
      </c>
      <c r="K849">
        <f>IF(B849="","",IF('02_대상물건입력'!$B$6="",1,IF(ISNUMBER(SEARCH('02_대상물건입력'!$B$6,B849)),1,0)))</f>
        <v/>
      </c>
      <c r="L849">
        <f>IF(D849="","",IF('02_대상물건입력'!$B$8="",0,IF(ISNUMBER(SEARCH('02_대상물건입력'!$B$8,D849)),1,0)))</f>
        <v/>
      </c>
      <c r="M849">
        <f>IFERROR(ABS(E849-'02_대상물건입력'!$B$11)/'02_대상물건입력'!$B$11,"")</f>
        <v/>
      </c>
      <c r="N849">
        <f>IFERROR(ABS('01_설정'!$B$4-F849),"")</f>
        <v/>
      </c>
      <c r="O849">
        <f>IFERROR(ABS(YEAR(I849)-YEAR('02_대상물건입력'!$B$14)),"")</f>
        <v/>
      </c>
      <c r="P849">
        <f>IF(AND(E849&gt;0,F849&gt;0,G849&gt;0,IF('01_설정'!$B$10=1,J849=1,TRUE()),M849&lt;='01_설정'!$B$5,N849&lt;='01_설정'!$B$7,O849&lt;='01_설정'!$B$8),"Y","")</f>
        <v/>
      </c>
      <c r="Q849">
        <f>IF(P849&lt;&gt;"Y","",MAX(0,(1-M849/'01_설정'!$B$5))*'01_설정'!$B$14+MAX(0,(1-N849/'01_설정'!$B$7))*'01_설정'!$B$16+MAX(0,(1-O849/'01_설정'!$B$8))*'01_설정'!$B$17+K849*'01_설정'!$B$11+L849*'01_설정'!$B$12)</f>
        <v/>
      </c>
      <c r="R849">
        <f>IF(Q849="","",1+COUNTIFS($Q$31:$Q$1030,"&gt;"&amp;Q849)+COUNTIFS($Q$31:Q849,Q849)-1)</f>
        <v/>
      </c>
    </row>
    <row r="850" hidden="1" ht="16.5" customHeight="1">
      <c r="A850">
        <f>IF(COUNTA('05_KAIS'!$A838:$N838)=0,"",823)</f>
        <v/>
      </c>
      <c r="B850">
        <f>IF($A850="","",TRIM(INDEX('05_KAIS'!$B:$B,$A850)&amp;" "&amp;INDEX('05_KAIS'!$C:$C,$A850)))</f>
        <v/>
      </c>
      <c r="C850">
        <f>IF($A850="","",INDEX('05_KAIS'!$D:$D,$A850))</f>
        <v/>
      </c>
      <c r="D850">
        <f>IF($A850="","",INDEX('05_KAIS'!$H:$H,$A850))</f>
        <v/>
      </c>
      <c r="E850">
        <f>IF($A850="","",INDEX('05_KAIS'!$K:$K,$A850))</f>
        <v/>
      </c>
      <c r="F850" s="202">
        <f>IF($A850="","",INDEX('05_KAIS'!$I:$I,$A850))</f>
        <v/>
      </c>
      <c r="G850" s="118">
        <f>IF($A850="","",INDEX('05_KAIS'!$L:$L,$A850))</f>
        <v/>
      </c>
      <c r="H850" s="118">
        <f>IF($A850="","",IFERROR(INDEX('05_KAIS'!$M:$M,$A850),IF(AND(E850&gt;0,G850&gt;0),G850/E850,"")))</f>
        <v/>
      </c>
      <c r="I850" s="202">
        <f>IF($A850="","",INDEX('05_KAIS'!$N:$N,$A850))</f>
        <v/>
      </c>
      <c r="J850">
        <f>IF(B850="","",IF('02_대상물건입력'!$B$5="",1,IF(ISNUMBER(SEARCH('02_대상물건입력'!$B$5,B850)),1,0)))</f>
        <v/>
      </c>
      <c r="K850">
        <f>IF(B850="","",IF('02_대상물건입력'!$B$6="",1,IF(ISNUMBER(SEARCH('02_대상물건입력'!$B$6,B850)),1,0)))</f>
        <v/>
      </c>
      <c r="L850">
        <f>IF(D850="","",IF('02_대상물건입력'!$B$8="",0,IF(ISNUMBER(SEARCH('02_대상물건입력'!$B$8,D850)),1,0)))</f>
        <v/>
      </c>
      <c r="M850">
        <f>IFERROR(ABS(E850-'02_대상물건입력'!$B$11)/'02_대상물건입력'!$B$11,"")</f>
        <v/>
      </c>
      <c r="N850">
        <f>IFERROR(ABS('01_설정'!$B$4-F850),"")</f>
        <v/>
      </c>
      <c r="O850">
        <f>IFERROR(ABS(YEAR(I850)-YEAR('02_대상물건입력'!$B$14)),"")</f>
        <v/>
      </c>
      <c r="P850">
        <f>IF(AND(E850&gt;0,F850&gt;0,G850&gt;0,IF('01_설정'!$B$10=1,J850=1,TRUE()),M850&lt;='01_설정'!$B$5,N850&lt;='01_설정'!$B$7,O850&lt;='01_설정'!$B$8),"Y","")</f>
        <v/>
      </c>
      <c r="Q850">
        <f>IF(P850&lt;&gt;"Y","",MAX(0,(1-M850/'01_설정'!$B$5))*'01_설정'!$B$14+MAX(0,(1-N850/'01_설정'!$B$7))*'01_설정'!$B$16+MAX(0,(1-O850/'01_설정'!$B$8))*'01_설정'!$B$17+K850*'01_설정'!$B$11+L850*'01_설정'!$B$12)</f>
        <v/>
      </c>
      <c r="R850">
        <f>IF(Q850="","",1+COUNTIFS($Q$31:$Q$1030,"&gt;"&amp;Q850)+COUNTIFS($Q$31:Q850,Q850)-1)</f>
        <v/>
      </c>
    </row>
    <row r="851" hidden="1" ht="16.5" customHeight="1">
      <c r="A851">
        <f>IF(COUNTA('05_KAIS'!$A839:$N839)=0,"",824)</f>
        <v/>
      </c>
      <c r="B851">
        <f>IF($A851="","",TRIM(INDEX('05_KAIS'!$B:$B,$A851)&amp;" "&amp;INDEX('05_KAIS'!$C:$C,$A851)))</f>
        <v/>
      </c>
      <c r="C851">
        <f>IF($A851="","",INDEX('05_KAIS'!$D:$D,$A851))</f>
        <v/>
      </c>
      <c r="D851">
        <f>IF($A851="","",INDEX('05_KAIS'!$H:$H,$A851))</f>
        <v/>
      </c>
      <c r="E851">
        <f>IF($A851="","",INDEX('05_KAIS'!$K:$K,$A851))</f>
        <v/>
      </c>
      <c r="F851" s="202">
        <f>IF($A851="","",INDEX('05_KAIS'!$I:$I,$A851))</f>
        <v/>
      </c>
      <c r="G851" s="118">
        <f>IF($A851="","",INDEX('05_KAIS'!$L:$L,$A851))</f>
        <v/>
      </c>
      <c r="H851" s="118">
        <f>IF($A851="","",IFERROR(INDEX('05_KAIS'!$M:$M,$A851),IF(AND(E851&gt;0,G851&gt;0),G851/E851,"")))</f>
        <v/>
      </c>
      <c r="I851" s="202">
        <f>IF($A851="","",INDEX('05_KAIS'!$N:$N,$A851))</f>
        <v/>
      </c>
      <c r="J851">
        <f>IF(B851="","",IF('02_대상물건입력'!$B$5="",1,IF(ISNUMBER(SEARCH('02_대상물건입력'!$B$5,B851)),1,0)))</f>
        <v/>
      </c>
      <c r="K851">
        <f>IF(B851="","",IF('02_대상물건입력'!$B$6="",1,IF(ISNUMBER(SEARCH('02_대상물건입력'!$B$6,B851)),1,0)))</f>
        <v/>
      </c>
      <c r="L851">
        <f>IF(D851="","",IF('02_대상물건입력'!$B$8="",0,IF(ISNUMBER(SEARCH('02_대상물건입력'!$B$8,D851)),1,0)))</f>
        <v/>
      </c>
      <c r="M851">
        <f>IFERROR(ABS(E851-'02_대상물건입력'!$B$11)/'02_대상물건입력'!$B$11,"")</f>
        <v/>
      </c>
      <c r="N851">
        <f>IFERROR(ABS('01_설정'!$B$4-F851),"")</f>
        <v/>
      </c>
      <c r="O851">
        <f>IFERROR(ABS(YEAR(I851)-YEAR('02_대상물건입력'!$B$14)),"")</f>
        <v/>
      </c>
      <c r="P851">
        <f>IF(AND(E851&gt;0,F851&gt;0,G851&gt;0,IF('01_설정'!$B$10=1,J851=1,TRUE()),M851&lt;='01_설정'!$B$5,N851&lt;='01_설정'!$B$7,O851&lt;='01_설정'!$B$8),"Y","")</f>
        <v/>
      </c>
      <c r="Q851">
        <f>IF(P851&lt;&gt;"Y","",MAX(0,(1-M851/'01_설정'!$B$5))*'01_설정'!$B$14+MAX(0,(1-N851/'01_설정'!$B$7))*'01_설정'!$B$16+MAX(0,(1-O851/'01_설정'!$B$8))*'01_설정'!$B$17+K851*'01_설정'!$B$11+L851*'01_설정'!$B$12)</f>
        <v/>
      </c>
      <c r="R851">
        <f>IF(Q851="","",1+COUNTIFS($Q$31:$Q$1030,"&gt;"&amp;Q851)+COUNTIFS($Q$31:Q851,Q851)-1)</f>
        <v/>
      </c>
    </row>
    <row r="852" hidden="1" ht="16.5" customHeight="1">
      <c r="A852">
        <f>IF(COUNTA('05_KAIS'!$A840:$N840)=0,"",825)</f>
        <v/>
      </c>
      <c r="B852">
        <f>IF($A852="","",TRIM(INDEX('05_KAIS'!$B:$B,$A852)&amp;" "&amp;INDEX('05_KAIS'!$C:$C,$A852)))</f>
        <v/>
      </c>
      <c r="C852">
        <f>IF($A852="","",INDEX('05_KAIS'!$D:$D,$A852))</f>
        <v/>
      </c>
      <c r="D852">
        <f>IF($A852="","",INDEX('05_KAIS'!$H:$H,$A852))</f>
        <v/>
      </c>
      <c r="E852">
        <f>IF($A852="","",INDEX('05_KAIS'!$K:$K,$A852))</f>
        <v/>
      </c>
      <c r="F852" s="202">
        <f>IF($A852="","",INDEX('05_KAIS'!$I:$I,$A852))</f>
        <v/>
      </c>
      <c r="G852" s="118">
        <f>IF($A852="","",INDEX('05_KAIS'!$L:$L,$A852))</f>
        <v/>
      </c>
      <c r="H852" s="118">
        <f>IF($A852="","",IFERROR(INDEX('05_KAIS'!$M:$M,$A852),IF(AND(E852&gt;0,G852&gt;0),G852/E852,"")))</f>
        <v/>
      </c>
      <c r="I852" s="202">
        <f>IF($A852="","",INDEX('05_KAIS'!$N:$N,$A852))</f>
        <v/>
      </c>
      <c r="J852">
        <f>IF(B852="","",IF('02_대상물건입력'!$B$5="",1,IF(ISNUMBER(SEARCH('02_대상물건입력'!$B$5,B852)),1,0)))</f>
        <v/>
      </c>
      <c r="K852">
        <f>IF(B852="","",IF('02_대상물건입력'!$B$6="",1,IF(ISNUMBER(SEARCH('02_대상물건입력'!$B$6,B852)),1,0)))</f>
        <v/>
      </c>
      <c r="L852">
        <f>IF(D852="","",IF('02_대상물건입력'!$B$8="",0,IF(ISNUMBER(SEARCH('02_대상물건입력'!$B$8,D852)),1,0)))</f>
        <v/>
      </c>
      <c r="M852">
        <f>IFERROR(ABS(E852-'02_대상물건입력'!$B$11)/'02_대상물건입력'!$B$11,"")</f>
        <v/>
      </c>
      <c r="N852">
        <f>IFERROR(ABS('01_설정'!$B$4-F852),"")</f>
        <v/>
      </c>
      <c r="O852">
        <f>IFERROR(ABS(YEAR(I852)-YEAR('02_대상물건입력'!$B$14)),"")</f>
        <v/>
      </c>
      <c r="P852">
        <f>IF(AND(E852&gt;0,F852&gt;0,G852&gt;0,IF('01_설정'!$B$10=1,J852=1,TRUE()),M852&lt;='01_설정'!$B$5,N852&lt;='01_설정'!$B$7,O852&lt;='01_설정'!$B$8),"Y","")</f>
        <v/>
      </c>
      <c r="Q852">
        <f>IF(P852&lt;&gt;"Y","",MAX(0,(1-M852/'01_설정'!$B$5))*'01_설정'!$B$14+MAX(0,(1-N852/'01_설정'!$B$7))*'01_설정'!$B$16+MAX(0,(1-O852/'01_설정'!$B$8))*'01_설정'!$B$17+K852*'01_설정'!$B$11+L852*'01_설정'!$B$12)</f>
        <v/>
      </c>
      <c r="R852">
        <f>IF(Q852="","",1+COUNTIFS($Q$31:$Q$1030,"&gt;"&amp;Q852)+COUNTIFS($Q$31:Q852,Q852)-1)</f>
        <v/>
      </c>
    </row>
    <row r="853" hidden="1" ht="16.5" customHeight="1">
      <c r="A853">
        <f>IF(COUNTA('05_KAIS'!$A841:$N841)=0,"",826)</f>
        <v/>
      </c>
      <c r="B853">
        <f>IF($A853="","",TRIM(INDEX('05_KAIS'!$B:$B,$A853)&amp;" "&amp;INDEX('05_KAIS'!$C:$C,$A853)))</f>
        <v/>
      </c>
      <c r="C853">
        <f>IF($A853="","",INDEX('05_KAIS'!$D:$D,$A853))</f>
        <v/>
      </c>
      <c r="D853">
        <f>IF($A853="","",INDEX('05_KAIS'!$H:$H,$A853))</f>
        <v/>
      </c>
      <c r="E853">
        <f>IF($A853="","",INDEX('05_KAIS'!$K:$K,$A853))</f>
        <v/>
      </c>
      <c r="F853" s="202">
        <f>IF($A853="","",INDEX('05_KAIS'!$I:$I,$A853))</f>
        <v/>
      </c>
      <c r="G853" s="118">
        <f>IF($A853="","",INDEX('05_KAIS'!$L:$L,$A853))</f>
        <v/>
      </c>
      <c r="H853" s="118">
        <f>IF($A853="","",IFERROR(INDEX('05_KAIS'!$M:$M,$A853),IF(AND(E853&gt;0,G853&gt;0),G853/E853,"")))</f>
        <v/>
      </c>
      <c r="I853" s="202">
        <f>IF($A853="","",INDEX('05_KAIS'!$N:$N,$A853))</f>
        <v/>
      </c>
      <c r="J853">
        <f>IF(B853="","",IF('02_대상물건입력'!$B$5="",1,IF(ISNUMBER(SEARCH('02_대상물건입력'!$B$5,B853)),1,0)))</f>
        <v/>
      </c>
      <c r="K853">
        <f>IF(B853="","",IF('02_대상물건입력'!$B$6="",1,IF(ISNUMBER(SEARCH('02_대상물건입력'!$B$6,B853)),1,0)))</f>
        <v/>
      </c>
      <c r="L853">
        <f>IF(D853="","",IF('02_대상물건입력'!$B$8="",0,IF(ISNUMBER(SEARCH('02_대상물건입력'!$B$8,D853)),1,0)))</f>
        <v/>
      </c>
      <c r="M853">
        <f>IFERROR(ABS(E853-'02_대상물건입력'!$B$11)/'02_대상물건입력'!$B$11,"")</f>
        <v/>
      </c>
      <c r="N853">
        <f>IFERROR(ABS('01_설정'!$B$4-F853),"")</f>
        <v/>
      </c>
      <c r="O853">
        <f>IFERROR(ABS(YEAR(I853)-YEAR('02_대상물건입력'!$B$14)),"")</f>
        <v/>
      </c>
      <c r="P853">
        <f>IF(AND(E853&gt;0,F853&gt;0,G853&gt;0,IF('01_설정'!$B$10=1,J853=1,TRUE()),M853&lt;='01_설정'!$B$5,N853&lt;='01_설정'!$B$7,O853&lt;='01_설정'!$B$8),"Y","")</f>
        <v/>
      </c>
      <c r="Q853">
        <f>IF(P853&lt;&gt;"Y","",MAX(0,(1-M853/'01_설정'!$B$5))*'01_설정'!$B$14+MAX(0,(1-N853/'01_설정'!$B$7))*'01_설정'!$B$16+MAX(0,(1-O853/'01_설정'!$B$8))*'01_설정'!$B$17+K853*'01_설정'!$B$11+L853*'01_설정'!$B$12)</f>
        <v/>
      </c>
      <c r="R853">
        <f>IF(Q853="","",1+COUNTIFS($Q$31:$Q$1030,"&gt;"&amp;Q853)+COUNTIFS($Q$31:Q853,Q853)-1)</f>
        <v/>
      </c>
    </row>
    <row r="854" hidden="1" ht="16.5" customHeight="1">
      <c r="A854">
        <f>IF(COUNTA('05_KAIS'!$A842:$N842)=0,"",827)</f>
        <v/>
      </c>
      <c r="B854">
        <f>IF($A854="","",TRIM(INDEX('05_KAIS'!$B:$B,$A854)&amp;" "&amp;INDEX('05_KAIS'!$C:$C,$A854)))</f>
        <v/>
      </c>
      <c r="C854">
        <f>IF($A854="","",INDEX('05_KAIS'!$D:$D,$A854))</f>
        <v/>
      </c>
      <c r="D854">
        <f>IF($A854="","",INDEX('05_KAIS'!$H:$H,$A854))</f>
        <v/>
      </c>
      <c r="E854">
        <f>IF($A854="","",INDEX('05_KAIS'!$K:$K,$A854))</f>
        <v/>
      </c>
      <c r="F854" s="202">
        <f>IF($A854="","",INDEX('05_KAIS'!$I:$I,$A854))</f>
        <v/>
      </c>
      <c r="G854" s="118">
        <f>IF($A854="","",INDEX('05_KAIS'!$L:$L,$A854))</f>
        <v/>
      </c>
      <c r="H854" s="118">
        <f>IF($A854="","",IFERROR(INDEX('05_KAIS'!$M:$M,$A854),IF(AND(E854&gt;0,G854&gt;0),G854/E854,"")))</f>
        <v/>
      </c>
      <c r="I854" s="202">
        <f>IF($A854="","",INDEX('05_KAIS'!$N:$N,$A854))</f>
        <v/>
      </c>
      <c r="J854">
        <f>IF(B854="","",IF('02_대상물건입력'!$B$5="",1,IF(ISNUMBER(SEARCH('02_대상물건입력'!$B$5,B854)),1,0)))</f>
        <v/>
      </c>
      <c r="K854">
        <f>IF(B854="","",IF('02_대상물건입력'!$B$6="",1,IF(ISNUMBER(SEARCH('02_대상물건입력'!$B$6,B854)),1,0)))</f>
        <v/>
      </c>
      <c r="L854">
        <f>IF(D854="","",IF('02_대상물건입력'!$B$8="",0,IF(ISNUMBER(SEARCH('02_대상물건입력'!$B$8,D854)),1,0)))</f>
        <v/>
      </c>
      <c r="M854">
        <f>IFERROR(ABS(E854-'02_대상물건입력'!$B$11)/'02_대상물건입력'!$B$11,"")</f>
        <v/>
      </c>
      <c r="N854">
        <f>IFERROR(ABS('01_설정'!$B$4-F854),"")</f>
        <v/>
      </c>
      <c r="O854">
        <f>IFERROR(ABS(YEAR(I854)-YEAR('02_대상물건입력'!$B$14)),"")</f>
        <v/>
      </c>
      <c r="P854">
        <f>IF(AND(E854&gt;0,F854&gt;0,G854&gt;0,IF('01_설정'!$B$10=1,J854=1,TRUE()),M854&lt;='01_설정'!$B$5,N854&lt;='01_설정'!$B$7,O854&lt;='01_설정'!$B$8),"Y","")</f>
        <v/>
      </c>
      <c r="Q854">
        <f>IF(P854&lt;&gt;"Y","",MAX(0,(1-M854/'01_설정'!$B$5))*'01_설정'!$B$14+MAX(0,(1-N854/'01_설정'!$B$7))*'01_설정'!$B$16+MAX(0,(1-O854/'01_설정'!$B$8))*'01_설정'!$B$17+K854*'01_설정'!$B$11+L854*'01_설정'!$B$12)</f>
        <v/>
      </c>
      <c r="R854">
        <f>IF(Q854="","",1+COUNTIFS($Q$31:$Q$1030,"&gt;"&amp;Q854)+COUNTIFS($Q$31:Q854,Q854)-1)</f>
        <v/>
      </c>
    </row>
    <row r="855" hidden="1" ht="16.5" customHeight="1">
      <c r="A855">
        <f>IF(COUNTA('05_KAIS'!$A843:$N843)=0,"",828)</f>
        <v/>
      </c>
      <c r="B855">
        <f>IF($A855="","",TRIM(INDEX('05_KAIS'!$B:$B,$A855)&amp;" "&amp;INDEX('05_KAIS'!$C:$C,$A855)))</f>
        <v/>
      </c>
      <c r="C855">
        <f>IF($A855="","",INDEX('05_KAIS'!$D:$D,$A855))</f>
        <v/>
      </c>
      <c r="D855">
        <f>IF($A855="","",INDEX('05_KAIS'!$H:$H,$A855))</f>
        <v/>
      </c>
      <c r="E855">
        <f>IF($A855="","",INDEX('05_KAIS'!$K:$K,$A855))</f>
        <v/>
      </c>
      <c r="F855" s="202">
        <f>IF($A855="","",INDEX('05_KAIS'!$I:$I,$A855))</f>
        <v/>
      </c>
      <c r="G855" s="118">
        <f>IF($A855="","",INDEX('05_KAIS'!$L:$L,$A855))</f>
        <v/>
      </c>
      <c r="H855" s="118">
        <f>IF($A855="","",IFERROR(INDEX('05_KAIS'!$M:$M,$A855),IF(AND(E855&gt;0,G855&gt;0),G855/E855,"")))</f>
        <v/>
      </c>
      <c r="I855" s="202">
        <f>IF($A855="","",INDEX('05_KAIS'!$N:$N,$A855))</f>
        <v/>
      </c>
      <c r="J855">
        <f>IF(B855="","",IF('02_대상물건입력'!$B$5="",1,IF(ISNUMBER(SEARCH('02_대상물건입력'!$B$5,B855)),1,0)))</f>
        <v/>
      </c>
      <c r="K855">
        <f>IF(B855="","",IF('02_대상물건입력'!$B$6="",1,IF(ISNUMBER(SEARCH('02_대상물건입력'!$B$6,B855)),1,0)))</f>
        <v/>
      </c>
      <c r="L855">
        <f>IF(D855="","",IF('02_대상물건입력'!$B$8="",0,IF(ISNUMBER(SEARCH('02_대상물건입력'!$B$8,D855)),1,0)))</f>
        <v/>
      </c>
      <c r="M855">
        <f>IFERROR(ABS(E855-'02_대상물건입력'!$B$11)/'02_대상물건입력'!$B$11,"")</f>
        <v/>
      </c>
      <c r="N855">
        <f>IFERROR(ABS('01_설정'!$B$4-F855),"")</f>
        <v/>
      </c>
      <c r="O855">
        <f>IFERROR(ABS(YEAR(I855)-YEAR('02_대상물건입력'!$B$14)),"")</f>
        <v/>
      </c>
      <c r="P855">
        <f>IF(AND(E855&gt;0,F855&gt;0,G855&gt;0,IF('01_설정'!$B$10=1,J855=1,TRUE()),M855&lt;='01_설정'!$B$5,N855&lt;='01_설정'!$B$7,O855&lt;='01_설정'!$B$8),"Y","")</f>
        <v/>
      </c>
      <c r="Q855">
        <f>IF(P855&lt;&gt;"Y","",MAX(0,(1-M855/'01_설정'!$B$5))*'01_설정'!$B$14+MAX(0,(1-N855/'01_설정'!$B$7))*'01_설정'!$B$16+MAX(0,(1-O855/'01_설정'!$B$8))*'01_설정'!$B$17+K855*'01_설정'!$B$11+L855*'01_설정'!$B$12)</f>
        <v/>
      </c>
      <c r="R855">
        <f>IF(Q855="","",1+COUNTIFS($Q$31:$Q$1030,"&gt;"&amp;Q855)+COUNTIFS($Q$31:Q855,Q855)-1)</f>
        <v/>
      </c>
    </row>
    <row r="856" hidden="1" ht="16.5" customHeight="1">
      <c r="A856">
        <f>IF(COUNTA('05_KAIS'!$A844:$N844)=0,"",829)</f>
        <v/>
      </c>
      <c r="B856">
        <f>IF($A856="","",TRIM(INDEX('05_KAIS'!$B:$B,$A856)&amp;" "&amp;INDEX('05_KAIS'!$C:$C,$A856)))</f>
        <v/>
      </c>
      <c r="C856">
        <f>IF($A856="","",INDEX('05_KAIS'!$D:$D,$A856))</f>
        <v/>
      </c>
      <c r="D856">
        <f>IF($A856="","",INDEX('05_KAIS'!$H:$H,$A856))</f>
        <v/>
      </c>
      <c r="E856">
        <f>IF($A856="","",INDEX('05_KAIS'!$K:$K,$A856))</f>
        <v/>
      </c>
      <c r="F856" s="202">
        <f>IF($A856="","",INDEX('05_KAIS'!$I:$I,$A856))</f>
        <v/>
      </c>
      <c r="G856" s="118">
        <f>IF($A856="","",INDEX('05_KAIS'!$L:$L,$A856))</f>
        <v/>
      </c>
      <c r="H856" s="118">
        <f>IF($A856="","",IFERROR(INDEX('05_KAIS'!$M:$M,$A856),IF(AND(E856&gt;0,G856&gt;0),G856/E856,"")))</f>
        <v/>
      </c>
      <c r="I856" s="202">
        <f>IF($A856="","",INDEX('05_KAIS'!$N:$N,$A856))</f>
        <v/>
      </c>
      <c r="J856">
        <f>IF(B856="","",IF('02_대상물건입력'!$B$5="",1,IF(ISNUMBER(SEARCH('02_대상물건입력'!$B$5,B856)),1,0)))</f>
        <v/>
      </c>
      <c r="K856">
        <f>IF(B856="","",IF('02_대상물건입력'!$B$6="",1,IF(ISNUMBER(SEARCH('02_대상물건입력'!$B$6,B856)),1,0)))</f>
        <v/>
      </c>
      <c r="L856">
        <f>IF(D856="","",IF('02_대상물건입력'!$B$8="",0,IF(ISNUMBER(SEARCH('02_대상물건입력'!$B$8,D856)),1,0)))</f>
        <v/>
      </c>
      <c r="M856">
        <f>IFERROR(ABS(E856-'02_대상물건입력'!$B$11)/'02_대상물건입력'!$B$11,"")</f>
        <v/>
      </c>
      <c r="N856">
        <f>IFERROR(ABS('01_설정'!$B$4-F856),"")</f>
        <v/>
      </c>
      <c r="O856">
        <f>IFERROR(ABS(YEAR(I856)-YEAR('02_대상물건입력'!$B$14)),"")</f>
        <v/>
      </c>
      <c r="P856">
        <f>IF(AND(E856&gt;0,F856&gt;0,G856&gt;0,IF('01_설정'!$B$10=1,J856=1,TRUE()),M856&lt;='01_설정'!$B$5,N856&lt;='01_설정'!$B$7,O856&lt;='01_설정'!$B$8),"Y","")</f>
        <v/>
      </c>
      <c r="Q856">
        <f>IF(P856&lt;&gt;"Y","",MAX(0,(1-M856/'01_설정'!$B$5))*'01_설정'!$B$14+MAX(0,(1-N856/'01_설정'!$B$7))*'01_설정'!$B$16+MAX(0,(1-O856/'01_설정'!$B$8))*'01_설정'!$B$17+K856*'01_설정'!$B$11+L856*'01_설정'!$B$12)</f>
        <v/>
      </c>
      <c r="R856">
        <f>IF(Q856="","",1+COUNTIFS($Q$31:$Q$1030,"&gt;"&amp;Q856)+COUNTIFS($Q$31:Q856,Q856)-1)</f>
        <v/>
      </c>
    </row>
    <row r="857" hidden="1" ht="16.5" customHeight="1">
      <c r="A857">
        <f>IF(COUNTA('05_KAIS'!$A845:$N845)=0,"",830)</f>
        <v/>
      </c>
      <c r="B857">
        <f>IF($A857="","",TRIM(INDEX('05_KAIS'!$B:$B,$A857)&amp;" "&amp;INDEX('05_KAIS'!$C:$C,$A857)))</f>
        <v/>
      </c>
      <c r="C857">
        <f>IF($A857="","",INDEX('05_KAIS'!$D:$D,$A857))</f>
        <v/>
      </c>
      <c r="D857">
        <f>IF($A857="","",INDEX('05_KAIS'!$H:$H,$A857))</f>
        <v/>
      </c>
      <c r="E857">
        <f>IF($A857="","",INDEX('05_KAIS'!$K:$K,$A857))</f>
        <v/>
      </c>
      <c r="F857" s="202">
        <f>IF($A857="","",INDEX('05_KAIS'!$I:$I,$A857))</f>
        <v/>
      </c>
      <c r="G857" s="118">
        <f>IF($A857="","",INDEX('05_KAIS'!$L:$L,$A857))</f>
        <v/>
      </c>
      <c r="H857" s="118">
        <f>IF($A857="","",IFERROR(INDEX('05_KAIS'!$M:$M,$A857),IF(AND(E857&gt;0,G857&gt;0),G857/E857,"")))</f>
        <v/>
      </c>
      <c r="I857" s="202">
        <f>IF($A857="","",INDEX('05_KAIS'!$N:$N,$A857))</f>
        <v/>
      </c>
      <c r="J857">
        <f>IF(B857="","",IF('02_대상물건입력'!$B$5="",1,IF(ISNUMBER(SEARCH('02_대상물건입력'!$B$5,B857)),1,0)))</f>
        <v/>
      </c>
      <c r="K857">
        <f>IF(B857="","",IF('02_대상물건입력'!$B$6="",1,IF(ISNUMBER(SEARCH('02_대상물건입력'!$B$6,B857)),1,0)))</f>
        <v/>
      </c>
      <c r="L857">
        <f>IF(D857="","",IF('02_대상물건입력'!$B$8="",0,IF(ISNUMBER(SEARCH('02_대상물건입력'!$B$8,D857)),1,0)))</f>
        <v/>
      </c>
      <c r="M857">
        <f>IFERROR(ABS(E857-'02_대상물건입력'!$B$11)/'02_대상물건입력'!$B$11,"")</f>
        <v/>
      </c>
      <c r="N857">
        <f>IFERROR(ABS('01_설정'!$B$4-F857),"")</f>
        <v/>
      </c>
      <c r="O857">
        <f>IFERROR(ABS(YEAR(I857)-YEAR('02_대상물건입력'!$B$14)),"")</f>
        <v/>
      </c>
      <c r="P857">
        <f>IF(AND(E857&gt;0,F857&gt;0,G857&gt;0,IF('01_설정'!$B$10=1,J857=1,TRUE()),M857&lt;='01_설정'!$B$5,N857&lt;='01_설정'!$B$7,O857&lt;='01_설정'!$B$8),"Y","")</f>
        <v/>
      </c>
      <c r="Q857">
        <f>IF(P857&lt;&gt;"Y","",MAX(0,(1-M857/'01_설정'!$B$5))*'01_설정'!$B$14+MAX(0,(1-N857/'01_설정'!$B$7))*'01_설정'!$B$16+MAX(0,(1-O857/'01_설정'!$B$8))*'01_설정'!$B$17+K857*'01_설정'!$B$11+L857*'01_설정'!$B$12)</f>
        <v/>
      </c>
      <c r="R857">
        <f>IF(Q857="","",1+COUNTIFS($Q$31:$Q$1030,"&gt;"&amp;Q857)+COUNTIFS($Q$31:Q857,Q857)-1)</f>
        <v/>
      </c>
    </row>
    <row r="858" hidden="1" ht="16.5" customHeight="1">
      <c r="A858">
        <f>IF(COUNTA('05_KAIS'!$A846:$N846)=0,"",831)</f>
        <v/>
      </c>
      <c r="B858">
        <f>IF($A858="","",TRIM(INDEX('05_KAIS'!$B:$B,$A858)&amp;" "&amp;INDEX('05_KAIS'!$C:$C,$A858)))</f>
        <v/>
      </c>
      <c r="C858">
        <f>IF($A858="","",INDEX('05_KAIS'!$D:$D,$A858))</f>
        <v/>
      </c>
      <c r="D858">
        <f>IF($A858="","",INDEX('05_KAIS'!$H:$H,$A858))</f>
        <v/>
      </c>
      <c r="E858">
        <f>IF($A858="","",INDEX('05_KAIS'!$K:$K,$A858))</f>
        <v/>
      </c>
      <c r="F858" s="202">
        <f>IF($A858="","",INDEX('05_KAIS'!$I:$I,$A858))</f>
        <v/>
      </c>
      <c r="G858" s="118">
        <f>IF($A858="","",INDEX('05_KAIS'!$L:$L,$A858))</f>
        <v/>
      </c>
      <c r="H858" s="118">
        <f>IF($A858="","",IFERROR(INDEX('05_KAIS'!$M:$M,$A858),IF(AND(E858&gt;0,G858&gt;0),G858/E858,"")))</f>
        <v/>
      </c>
      <c r="I858" s="202">
        <f>IF($A858="","",INDEX('05_KAIS'!$N:$N,$A858))</f>
        <v/>
      </c>
      <c r="J858">
        <f>IF(B858="","",IF('02_대상물건입력'!$B$5="",1,IF(ISNUMBER(SEARCH('02_대상물건입력'!$B$5,B858)),1,0)))</f>
        <v/>
      </c>
      <c r="K858">
        <f>IF(B858="","",IF('02_대상물건입력'!$B$6="",1,IF(ISNUMBER(SEARCH('02_대상물건입력'!$B$6,B858)),1,0)))</f>
        <v/>
      </c>
      <c r="L858">
        <f>IF(D858="","",IF('02_대상물건입력'!$B$8="",0,IF(ISNUMBER(SEARCH('02_대상물건입력'!$B$8,D858)),1,0)))</f>
        <v/>
      </c>
      <c r="M858">
        <f>IFERROR(ABS(E858-'02_대상물건입력'!$B$11)/'02_대상물건입력'!$B$11,"")</f>
        <v/>
      </c>
      <c r="N858">
        <f>IFERROR(ABS('01_설정'!$B$4-F858),"")</f>
        <v/>
      </c>
      <c r="O858">
        <f>IFERROR(ABS(YEAR(I858)-YEAR('02_대상물건입력'!$B$14)),"")</f>
        <v/>
      </c>
      <c r="P858">
        <f>IF(AND(E858&gt;0,F858&gt;0,G858&gt;0,IF('01_설정'!$B$10=1,J858=1,TRUE()),M858&lt;='01_설정'!$B$5,N858&lt;='01_설정'!$B$7,O858&lt;='01_설정'!$B$8),"Y","")</f>
        <v/>
      </c>
      <c r="Q858">
        <f>IF(P858&lt;&gt;"Y","",MAX(0,(1-M858/'01_설정'!$B$5))*'01_설정'!$B$14+MAX(0,(1-N858/'01_설정'!$B$7))*'01_설정'!$B$16+MAX(0,(1-O858/'01_설정'!$B$8))*'01_설정'!$B$17+K858*'01_설정'!$B$11+L858*'01_설정'!$B$12)</f>
        <v/>
      </c>
      <c r="R858">
        <f>IF(Q858="","",1+COUNTIFS($Q$31:$Q$1030,"&gt;"&amp;Q858)+COUNTIFS($Q$31:Q858,Q858)-1)</f>
        <v/>
      </c>
    </row>
    <row r="859" hidden="1" ht="16.5" customHeight="1">
      <c r="A859">
        <f>IF(COUNTA('05_KAIS'!$A847:$N847)=0,"",832)</f>
        <v/>
      </c>
      <c r="B859">
        <f>IF($A859="","",TRIM(INDEX('05_KAIS'!$B:$B,$A859)&amp;" "&amp;INDEX('05_KAIS'!$C:$C,$A859)))</f>
        <v/>
      </c>
      <c r="C859">
        <f>IF($A859="","",INDEX('05_KAIS'!$D:$D,$A859))</f>
        <v/>
      </c>
      <c r="D859">
        <f>IF($A859="","",INDEX('05_KAIS'!$H:$H,$A859))</f>
        <v/>
      </c>
      <c r="E859">
        <f>IF($A859="","",INDEX('05_KAIS'!$K:$K,$A859))</f>
        <v/>
      </c>
      <c r="F859" s="202">
        <f>IF($A859="","",INDEX('05_KAIS'!$I:$I,$A859))</f>
        <v/>
      </c>
      <c r="G859" s="118">
        <f>IF($A859="","",INDEX('05_KAIS'!$L:$L,$A859))</f>
        <v/>
      </c>
      <c r="H859" s="118">
        <f>IF($A859="","",IFERROR(INDEX('05_KAIS'!$M:$M,$A859),IF(AND(E859&gt;0,G859&gt;0),G859/E859,"")))</f>
        <v/>
      </c>
      <c r="I859" s="202">
        <f>IF($A859="","",INDEX('05_KAIS'!$N:$N,$A859))</f>
        <v/>
      </c>
      <c r="J859">
        <f>IF(B859="","",IF('02_대상물건입력'!$B$5="",1,IF(ISNUMBER(SEARCH('02_대상물건입력'!$B$5,B859)),1,0)))</f>
        <v/>
      </c>
      <c r="K859">
        <f>IF(B859="","",IF('02_대상물건입력'!$B$6="",1,IF(ISNUMBER(SEARCH('02_대상물건입력'!$B$6,B859)),1,0)))</f>
        <v/>
      </c>
      <c r="L859">
        <f>IF(D859="","",IF('02_대상물건입력'!$B$8="",0,IF(ISNUMBER(SEARCH('02_대상물건입력'!$B$8,D859)),1,0)))</f>
        <v/>
      </c>
      <c r="M859">
        <f>IFERROR(ABS(E859-'02_대상물건입력'!$B$11)/'02_대상물건입력'!$B$11,"")</f>
        <v/>
      </c>
      <c r="N859">
        <f>IFERROR(ABS('01_설정'!$B$4-F859),"")</f>
        <v/>
      </c>
      <c r="O859">
        <f>IFERROR(ABS(YEAR(I859)-YEAR('02_대상물건입력'!$B$14)),"")</f>
        <v/>
      </c>
      <c r="P859">
        <f>IF(AND(E859&gt;0,F859&gt;0,G859&gt;0,IF('01_설정'!$B$10=1,J859=1,TRUE()),M859&lt;='01_설정'!$B$5,N859&lt;='01_설정'!$B$7,O859&lt;='01_설정'!$B$8),"Y","")</f>
        <v/>
      </c>
      <c r="Q859">
        <f>IF(P859&lt;&gt;"Y","",MAX(0,(1-M859/'01_설정'!$B$5))*'01_설정'!$B$14+MAX(0,(1-N859/'01_설정'!$B$7))*'01_설정'!$B$16+MAX(0,(1-O859/'01_설정'!$B$8))*'01_설정'!$B$17+K859*'01_설정'!$B$11+L859*'01_설정'!$B$12)</f>
        <v/>
      </c>
      <c r="R859">
        <f>IF(Q859="","",1+COUNTIFS($Q$31:$Q$1030,"&gt;"&amp;Q859)+COUNTIFS($Q$31:Q859,Q859)-1)</f>
        <v/>
      </c>
    </row>
    <row r="860" hidden="1" ht="16.5" customHeight="1">
      <c r="A860">
        <f>IF(COUNTA('05_KAIS'!$A848:$N848)=0,"",833)</f>
        <v/>
      </c>
      <c r="B860">
        <f>IF($A860="","",TRIM(INDEX('05_KAIS'!$B:$B,$A860)&amp;" "&amp;INDEX('05_KAIS'!$C:$C,$A860)))</f>
        <v/>
      </c>
      <c r="C860">
        <f>IF($A860="","",INDEX('05_KAIS'!$D:$D,$A860))</f>
        <v/>
      </c>
      <c r="D860">
        <f>IF($A860="","",INDEX('05_KAIS'!$H:$H,$A860))</f>
        <v/>
      </c>
      <c r="E860">
        <f>IF($A860="","",INDEX('05_KAIS'!$K:$K,$A860))</f>
        <v/>
      </c>
      <c r="F860" s="202">
        <f>IF($A860="","",INDEX('05_KAIS'!$I:$I,$A860))</f>
        <v/>
      </c>
      <c r="G860" s="118">
        <f>IF($A860="","",INDEX('05_KAIS'!$L:$L,$A860))</f>
        <v/>
      </c>
      <c r="H860" s="118">
        <f>IF($A860="","",IFERROR(INDEX('05_KAIS'!$M:$M,$A860),IF(AND(E860&gt;0,G860&gt;0),G860/E860,"")))</f>
        <v/>
      </c>
      <c r="I860" s="202">
        <f>IF($A860="","",INDEX('05_KAIS'!$N:$N,$A860))</f>
        <v/>
      </c>
      <c r="J860">
        <f>IF(B860="","",IF('02_대상물건입력'!$B$5="",1,IF(ISNUMBER(SEARCH('02_대상물건입력'!$B$5,B860)),1,0)))</f>
        <v/>
      </c>
      <c r="K860">
        <f>IF(B860="","",IF('02_대상물건입력'!$B$6="",1,IF(ISNUMBER(SEARCH('02_대상물건입력'!$B$6,B860)),1,0)))</f>
        <v/>
      </c>
      <c r="L860">
        <f>IF(D860="","",IF('02_대상물건입력'!$B$8="",0,IF(ISNUMBER(SEARCH('02_대상물건입력'!$B$8,D860)),1,0)))</f>
        <v/>
      </c>
      <c r="M860">
        <f>IFERROR(ABS(E860-'02_대상물건입력'!$B$11)/'02_대상물건입력'!$B$11,"")</f>
        <v/>
      </c>
      <c r="N860">
        <f>IFERROR(ABS('01_설정'!$B$4-F860),"")</f>
        <v/>
      </c>
      <c r="O860">
        <f>IFERROR(ABS(YEAR(I860)-YEAR('02_대상물건입력'!$B$14)),"")</f>
        <v/>
      </c>
      <c r="P860">
        <f>IF(AND(E860&gt;0,F860&gt;0,G860&gt;0,IF('01_설정'!$B$10=1,J860=1,TRUE()),M860&lt;='01_설정'!$B$5,N860&lt;='01_설정'!$B$7,O860&lt;='01_설정'!$B$8),"Y","")</f>
        <v/>
      </c>
      <c r="Q860">
        <f>IF(P860&lt;&gt;"Y","",MAX(0,(1-M860/'01_설정'!$B$5))*'01_설정'!$B$14+MAX(0,(1-N860/'01_설정'!$B$7))*'01_설정'!$B$16+MAX(0,(1-O860/'01_설정'!$B$8))*'01_설정'!$B$17+K860*'01_설정'!$B$11+L860*'01_설정'!$B$12)</f>
        <v/>
      </c>
      <c r="R860">
        <f>IF(Q860="","",1+COUNTIFS($Q$31:$Q$1030,"&gt;"&amp;Q860)+COUNTIFS($Q$31:Q860,Q860)-1)</f>
        <v/>
      </c>
    </row>
    <row r="861" hidden="1" ht="16.5" customHeight="1">
      <c r="A861">
        <f>IF(COUNTA('05_KAIS'!$A849:$N849)=0,"",834)</f>
        <v/>
      </c>
      <c r="B861">
        <f>IF($A861="","",TRIM(INDEX('05_KAIS'!$B:$B,$A861)&amp;" "&amp;INDEX('05_KAIS'!$C:$C,$A861)))</f>
        <v/>
      </c>
      <c r="C861">
        <f>IF($A861="","",INDEX('05_KAIS'!$D:$D,$A861))</f>
        <v/>
      </c>
      <c r="D861">
        <f>IF($A861="","",INDEX('05_KAIS'!$H:$H,$A861))</f>
        <v/>
      </c>
      <c r="E861">
        <f>IF($A861="","",INDEX('05_KAIS'!$K:$K,$A861))</f>
        <v/>
      </c>
      <c r="F861" s="202">
        <f>IF($A861="","",INDEX('05_KAIS'!$I:$I,$A861))</f>
        <v/>
      </c>
      <c r="G861" s="118">
        <f>IF($A861="","",INDEX('05_KAIS'!$L:$L,$A861))</f>
        <v/>
      </c>
      <c r="H861" s="118">
        <f>IF($A861="","",IFERROR(INDEX('05_KAIS'!$M:$M,$A861),IF(AND(E861&gt;0,G861&gt;0),G861/E861,"")))</f>
        <v/>
      </c>
      <c r="I861" s="202">
        <f>IF($A861="","",INDEX('05_KAIS'!$N:$N,$A861))</f>
        <v/>
      </c>
      <c r="J861">
        <f>IF(B861="","",IF('02_대상물건입력'!$B$5="",1,IF(ISNUMBER(SEARCH('02_대상물건입력'!$B$5,B861)),1,0)))</f>
        <v/>
      </c>
      <c r="K861">
        <f>IF(B861="","",IF('02_대상물건입력'!$B$6="",1,IF(ISNUMBER(SEARCH('02_대상물건입력'!$B$6,B861)),1,0)))</f>
        <v/>
      </c>
      <c r="L861">
        <f>IF(D861="","",IF('02_대상물건입력'!$B$8="",0,IF(ISNUMBER(SEARCH('02_대상물건입력'!$B$8,D861)),1,0)))</f>
        <v/>
      </c>
      <c r="M861">
        <f>IFERROR(ABS(E861-'02_대상물건입력'!$B$11)/'02_대상물건입력'!$B$11,"")</f>
        <v/>
      </c>
      <c r="N861">
        <f>IFERROR(ABS('01_설정'!$B$4-F861),"")</f>
        <v/>
      </c>
      <c r="O861">
        <f>IFERROR(ABS(YEAR(I861)-YEAR('02_대상물건입력'!$B$14)),"")</f>
        <v/>
      </c>
      <c r="P861">
        <f>IF(AND(E861&gt;0,F861&gt;0,G861&gt;0,IF('01_설정'!$B$10=1,J861=1,TRUE()),M861&lt;='01_설정'!$B$5,N861&lt;='01_설정'!$B$7,O861&lt;='01_설정'!$B$8),"Y","")</f>
        <v/>
      </c>
      <c r="Q861">
        <f>IF(P861&lt;&gt;"Y","",MAX(0,(1-M861/'01_설정'!$B$5))*'01_설정'!$B$14+MAX(0,(1-N861/'01_설정'!$B$7))*'01_설정'!$B$16+MAX(0,(1-O861/'01_설정'!$B$8))*'01_설정'!$B$17+K861*'01_설정'!$B$11+L861*'01_설정'!$B$12)</f>
        <v/>
      </c>
      <c r="R861">
        <f>IF(Q861="","",1+COUNTIFS($Q$31:$Q$1030,"&gt;"&amp;Q861)+COUNTIFS($Q$31:Q861,Q861)-1)</f>
        <v/>
      </c>
    </row>
    <row r="862" hidden="1" ht="16.5" customHeight="1">
      <c r="A862">
        <f>IF(COUNTA('05_KAIS'!$A850:$N850)=0,"",835)</f>
        <v/>
      </c>
      <c r="B862">
        <f>IF($A862="","",TRIM(INDEX('05_KAIS'!$B:$B,$A862)&amp;" "&amp;INDEX('05_KAIS'!$C:$C,$A862)))</f>
        <v/>
      </c>
      <c r="C862">
        <f>IF($A862="","",INDEX('05_KAIS'!$D:$D,$A862))</f>
        <v/>
      </c>
      <c r="D862">
        <f>IF($A862="","",INDEX('05_KAIS'!$H:$H,$A862))</f>
        <v/>
      </c>
      <c r="E862">
        <f>IF($A862="","",INDEX('05_KAIS'!$K:$K,$A862))</f>
        <v/>
      </c>
      <c r="F862" s="202">
        <f>IF($A862="","",INDEX('05_KAIS'!$I:$I,$A862))</f>
        <v/>
      </c>
      <c r="G862" s="118">
        <f>IF($A862="","",INDEX('05_KAIS'!$L:$L,$A862))</f>
        <v/>
      </c>
      <c r="H862" s="118">
        <f>IF($A862="","",IFERROR(INDEX('05_KAIS'!$M:$M,$A862),IF(AND(E862&gt;0,G862&gt;0),G862/E862,"")))</f>
        <v/>
      </c>
      <c r="I862" s="202">
        <f>IF($A862="","",INDEX('05_KAIS'!$N:$N,$A862))</f>
        <v/>
      </c>
      <c r="J862">
        <f>IF(B862="","",IF('02_대상물건입력'!$B$5="",1,IF(ISNUMBER(SEARCH('02_대상물건입력'!$B$5,B862)),1,0)))</f>
        <v/>
      </c>
      <c r="K862">
        <f>IF(B862="","",IF('02_대상물건입력'!$B$6="",1,IF(ISNUMBER(SEARCH('02_대상물건입력'!$B$6,B862)),1,0)))</f>
        <v/>
      </c>
      <c r="L862">
        <f>IF(D862="","",IF('02_대상물건입력'!$B$8="",0,IF(ISNUMBER(SEARCH('02_대상물건입력'!$B$8,D862)),1,0)))</f>
        <v/>
      </c>
      <c r="M862">
        <f>IFERROR(ABS(E862-'02_대상물건입력'!$B$11)/'02_대상물건입력'!$B$11,"")</f>
        <v/>
      </c>
      <c r="N862">
        <f>IFERROR(ABS('01_설정'!$B$4-F862),"")</f>
        <v/>
      </c>
      <c r="O862">
        <f>IFERROR(ABS(YEAR(I862)-YEAR('02_대상물건입력'!$B$14)),"")</f>
        <v/>
      </c>
      <c r="P862">
        <f>IF(AND(E862&gt;0,F862&gt;0,G862&gt;0,IF('01_설정'!$B$10=1,J862=1,TRUE()),M862&lt;='01_설정'!$B$5,N862&lt;='01_설정'!$B$7,O862&lt;='01_설정'!$B$8),"Y","")</f>
        <v/>
      </c>
      <c r="Q862">
        <f>IF(P862&lt;&gt;"Y","",MAX(0,(1-M862/'01_설정'!$B$5))*'01_설정'!$B$14+MAX(0,(1-N862/'01_설정'!$B$7))*'01_설정'!$B$16+MAX(0,(1-O862/'01_설정'!$B$8))*'01_설정'!$B$17+K862*'01_설정'!$B$11+L862*'01_설정'!$B$12)</f>
        <v/>
      </c>
      <c r="R862">
        <f>IF(Q862="","",1+COUNTIFS($Q$31:$Q$1030,"&gt;"&amp;Q862)+COUNTIFS($Q$31:Q862,Q862)-1)</f>
        <v/>
      </c>
    </row>
    <row r="863" hidden="1" ht="16.5" customHeight="1">
      <c r="A863">
        <f>IF(COUNTA('05_KAIS'!$A851:$N851)=0,"",836)</f>
        <v/>
      </c>
      <c r="B863">
        <f>IF($A863="","",TRIM(INDEX('05_KAIS'!$B:$B,$A863)&amp;" "&amp;INDEX('05_KAIS'!$C:$C,$A863)))</f>
        <v/>
      </c>
      <c r="C863">
        <f>IF($A863="","",INDEX('05_KAIS'!$D:$D,$A863))</f>
        <v/>
      </c>
      <c r="D863">
        <f>IF($A863="","",INDEX('05_KAIS'!$H:$H,$A863))</f>
        <v/>
      </c>
      <c r="E863">
        <f>IF($A863="","",INDEX('05_KAIS'!$K:$K,$A863))</f>
        <v/>
      </c>
      <c r="F863" s="202">
        <f>IF($A863="","",INDEX('05_KAIS'!$I:$I,$A863))</f>
        <v/>
      </c>
      <c r="G863" s="118">
        <f>IF($A863="","",INDEX('05_KAIS'!$L:$L,$A863))</f>
        <v/>
      </c>
      <c r="H863" s="118">
        <f>IF($A863="","",IFERROR(INDEX('05_KAIS'!$M:$M,$A863),IF(AND(E863&gt;0,G863&gt;0),G863/E863,"")))</f>
        <v/>
      </c>
      <c r="I863" s="202">
        <f>IF($A863="","",INDEX('05_KAIS'!$N:$N,$A863))</f>
        <v/>
      </c>
      <c r="J863">
        <f>IF(B863="","",IF('02_대상물건입력'!$B$5="",1,IF(ISNUMBER(SEARCH('02_대상물건입력'!$B$5,B863)),1,0)))</f>
        <v/>
      </c>
      <c r="K863">
        <f>IF(B863="","",IF('02_대상물건입력'!$B$6="",1,IF(ISNUMBER(SEARCH('02_대상물건입력'!$B$6,B863)),1,0)))</f>
        <v/>
      </c>
      <c r="L863">
        <f>IF(D863="","",IF('02_대상물건입력'!$B$8="",0,IF(ISNUMBER(SEARCH('02_대상물건입력'!$B$8,D863)),1,0)))</f>
        <v/>
      </c>
      <c r="M863">
        <f>IFERROR(ABS(E863-'02_대상물건입력'!$B$11)/'02_대상물건입력'!$B$11,"")</f>
        <v/>
      </c>
      <c r="N863">
        <f>IFERROR(ABS('01_설정'!$B$4-F863),"")</f>
        <v/>
      </c>
      <c r="O863">
        <f>IFERROR(ABS(YEAR(I863)-YEAR('02_대상물건입력'!$B$14)),"")</f>
        <v/>
      </c>
      <c r="P863">
        <f>IF(AND(E863&gt;0,F863&gt;0,G863&gt;0,IF('01_설정'!$B$10=1,J863=1,TRUE()),M863&lt;='01_설정'!$B$5,N863&lt;='01_설정'!$B$7,O863&lt;='01_설정'!$B$8),"Y","")</f>
        <v/>
      </c>
      <c r="Q863">
        <f>IF(P863&lt;&gt;"Y","",MAX(0,(1-M863/'01_설정'!$B$5))*'01_설정'!$B$14+MAX(0,(1-N863/'01_설정'!$B$7))*'01_설정'!$B$16+MAX(0,(1-O863/'01_설정'!$B$8))*'01_설정'!$B$17+K863*'01_설정'!$B$11+L863*'01_설정'!$B$12)</f>
        <v/>
      </c>
      <c r="R863">
        <f>IF(Q863="","",1+COUNTIFS($Q$31:$Q$1030,"&gt;"&amp;Q863)+COUNTIFS($Q$31:Q863,Q863)-1)</f>
        <v/>
      </c>
    </row>
    <row r="864" hidden="1" ht="16.5" customHeight="1">
      <c r="A864">
        <f>IF(COUNTA('05_KAIS'!$A852:$N852)=0,"",837)</f>
        <v/>
      </c>
      <c r="B864">
        <f>IF($A864="","",TRIM(INDEX('05_KAIS'!$B:$B,$A864)&amp;" "&amp;INDEX('05_KAIS'!$C:$C,$A864)))</f>
        <v/>
      </c>
      <c r="C864">
        <f>IF($A864="","",INDEX('05_KAIS'!$D:$D,$A864))</f>
        <v/>
      </c>
      <c r="D864">
        <f>IF($A864="","",INDEX('05_KAIS'!$H:$H,$A864))</f>
        <v/>
      </c>
      <c r="E864">
        <f>IF($A864="","",INDEX('05_KAIS'!$K:$K,$A864))</f>
        <v/>
      </c>
      <c r="F864" s="202">
        <f>IF($A864="","",INDEX('05_KAIS'!$I:$I,$A864))</f>
        <v/>
      </c>
      <c r="G864" s="118">
        <f>IF($A864="","",INDEX('05_KAIS'!$L:$L,$A864))</f>
        <v/>
      </c>
      <c r="H864" s="118">
        <f>IF($A864="","",IFERROR(INDEX('05_KAIS'!$M:$M,$A864),IF(AND(E864&gt;0,G864&gt;0),G864/E864,"")))</f>
        <v/>
      </c>
      <c r="I864" s="202">
        <f>IF($A864="","",INDEX('05_KAIS'!$N:$N,$A864))</f>
        <v/>
      </c>
      <c r="J864">
        <f>IF(B864="","",IF('02_대상물건입력'!$B$5="",1,IF(ISNUMBER(SEARCH('02_대상물건입력'!$B$5,B864)),1,0)))</f>
        <v/>
      </c>
      <c r="K864">
        <f>IF(B864="","",IF('02_대상물건입력'!$B$6="",1,IF(ISNUMBER(SEARCH('02_대상물건입력'!$B$6,B864)),1,0)))</f>
        <v/>
      </c>
      <c r="L864">
        <f>IF(D864="","",IF('02_대상물건입력'!$B$8="",0,IF(ISNUMBER(SEARCH('02_대상물건입력'!$B$8,D864)),1,0)))</f>
        <v/>
      </c>
      <c r="M864">
        <f>IFERROR(ABS(E864-'02_대상물건입력'!$B$11)/'02_대상물건입력'!$B$11,"")</f>
        <v/>
      </c>
      <c r="N864">
        <f>IFERROR(ABS('01_설정'!$B$4-F864),"")</f>
        <v/>
      </c>
      <c r="O864">
        <f>IFERROR(ABS(YEAR(I864)-YEAR('02_대상물건입력'!$B$14)),"")</f>
        <v/>
      </c>
      <c r="P864">
        <f>IF(AND(E864&gt;0,F864&gt;0,G864&gt;0,IF('01_설정'!$B$10=1,J864=1,TRUE()),M864&lt;='01_설정'!$B$5,N864&lt;='01_설정'!$B$7,O864&lt;='01_설정'!$B$8),"Y","")</f>
        <v/>
      </c>
      <c r="Q864">
        <f>IF(P864&lt;&gt;"Y","",MAX(0,(1-M864/'01_설정'!$B$5))*'01_설정'!$B$14+MAX(0,(1-N864/'01_설정'!$B$7))*'01_설정'!$B$16+MAX(0,(1-O864/'01_설정'!$B$8))*'01_설정'!$B$17+K864*'01_설정'!$B$11+L864*'01_설정'!$B$12)</f>
        <v/>
      </c>
      <c r="R864">
        <f>IF(Q864="","",1+COUNTIFS($Q$31:$Q$1030,"&gt;"&amp;Q864)+COUNTIFS($Q$31:Q864,Q864)-1)</f>
        <v/>
      </c>
    </row>
    <row r="865" hidden="1" ht="16.5" customHeight="1">
      <c r="A865">
        <f>IF(COUNTA('05_KAIS'!$A853:$N853)=0,"",838)</f>
        <v/>
      </c>
      <c r="B865">
        <f>IF($A865="","",TRIM(INDEX('05_KAIS'!$B:$B,$A865)&amp;" "&amp;INDEX('05_KAIS'!$C:$C,$A865)))</f>
        <v/>
      </c>
      <c r="C865">
        <f>IF($A865="","",INDEX('05_KAIS'!$D:$D,$A865))</f>
        <v/>
      </c>
      <c r="D865">
        <f>IF($A865="","",INDEX('05_KAIS'!$H:$H,$A865))</f>
        <v/>
      </c>
      <c r="E865">
        <f>IF($A865="","",INDEX('05_KAIS'!$K:$K,$A865))</f>
        <v/>
      </c>
      <c r="F865" s="202">
        <f>IF($A865="","",INDEX('05_KAIS'!$I:$I,$A865))</f>
        <v/>
      </c>
      <c r="G865" s="118">
        <f>IF($A865="","",INDEX('05_KAIS'!$L:$L,$A865))</f>
        <v/>
      </c>
      <c r="H865" s="118">
        <f>IF($A865="","",IFERROR(INDEX('05_KAIS'!$M:$M,$A865),IF(AND(E865&gt;0,G865&gt;0),G865/E865,"")))</f>
        <v/>
      </c>
      <c r="I865" s="202">
        <f>IF($A865="","",INDEX('05_KAIS'!$N:$N,$A865))</f>
        <v/>
      </c>
      <c r="J865">
        <f>IF(B865="","",IF('02_대상물건입력'!$B$5="",1,IF(ISNUMBER(SEARCH('02_대상물건입력'!$B$5,B865)),1,0)))</f>
        <v/>
      </c>
      <c r="K865">
        <f>IF(B865="","",IF('02_대상물건입력'!$B$6="",1,IF(ISNUMBER(SEARCH('02_대상물건입력'!$B$6,B865)),1,0)))</f>
        <v/>
      </c>
      <c r="L865">
        <f>IF(D865="","",IF('02_대상물건입력'!$B$8="",0,IF(ISNUMBER(SEARCH('02_대상물건입력'!$B$8,D865)),1,0)))</f>
        <v/>
      </c>
      <c r="M865">
        <f>IFERROR(ABS(E865-'02_대상물건입력'!$B$11)/'02_대상물건입력'!$B$11,"")</f>
        <v/>
      </c>
      <c r="N865">
        <f>IFERROR(ABS('01_설정'!$B$4-F865),"")</f>
        <v/>
      </c>
      <c r="O865">
        <f>IFERROR(ABS(YEAR(I865)-YEAR('02_대상물건입력'!$B$14)),"")</f>
        <v/>
      </c>
      <c r="P865">
        <f>IF(AND(E865&gt;0,F865&gt;0,G865&gt;0,IF('01_설정'!$B$10=1,J865=1,TRUE()),M865&lt;='01_설정'!$B$5,N865&lt;='01_설정'!$B$7,O865&lt;='01_설정'!$B$8),"Y","")</f>
        <v/>
      </c>
      <c r="Q865">
        <f>IF(P865&lt;&gt;"Y","",MAX(0,(1-M865/'01_설정'!$B$5))*'01_설정'!$B$14+MAX(0,(1-N865/'01_설정'!$B$7))*'01_설정'!$B$16+MAX(0,(1-O865/'01_설정'!$B$8))*'01_설정'!$B$17+K865*'01_설정'!$B$11+L865*'01_설정'!$B$12)</f>
        <v/>
      </c>
      <c r="R865">
        <f>IF(Q865="","",1+COUNTIFS($Q$31:$Q$1030,"&gt;"&amp;Q865)+COUNTIFS($Q$31:Q865,Q865)-1)</f>
        <v/>
      </c>
    </row>
    <row r="866" hidden="1" ht="16.5" customHeight="1">
      <c r="A866">
        <f>IF(COUNTA('05_KAIS'!$A854:$N854)=0,"",839)</f>
        <v/>
      </c>
      <c r="B866">
        <f>IF($A866="","",TRIM(INDEX('05_KAIS'!$B:$B,$A866)&amp;" "&amp;INDEX('05_KAIS'!$C:$C,$A866)))</f>
        <v/>
      </c>
      <c r="C866">
        <f>IF($A866="","",INDEX('05_KAIS'!$D:$D,$A866))</f>
        <v/>
      </c>
      <c r="D866">
        <f>IF($A866="","",INDEX('05_KAIS'!$H:$H,$A866))</f>
        <v/>
      </c>
      <c r="E866">
        <f>IF($A866="","",INDEX('05_KAIS'!$K:$K,$A866))</f>
        <v/>
      </c>
      <c r="F866" s="202">
        <f>IF($A866="","",INDEX('05_KAIS'!$I:$I,$A866))</f>
        <v/>
      </c>
      <c r="G866" s="118">
        <f>IF($A866="","",INDEX('05_KAIS'!$L:$L,$A866))</f>
        <v/>
      </c>
      <c r="H866" s="118">
        <f>IF($A866="","",IFERROR(INDEX('05_KAIS'!$M:$M,$A866),IF(AND(E866&gt;0,G866&gt;0),G866/E866,"")))</f>
        <v/>
      </c>
      <c r="I866" s="202">
        <f>IF($A866="","",INDEX('05_KAIS'!$N:$N,$A866))</f>
        <v/>
      </c>
      <c r="J866">
        <f>IF(B866="","",IF('02_대상물건입력'!$B$5="",1,IF(ISNUMBER(SEARCH('02_대상물건입력'!$B$5,B866)),1,0)))</f>
        <v/>
      </c>
      <c r="K866">
        <f>IF(B866="","",IF('02_대상물건입력'!$B$6="",1,IF(ISNUMBER(SEARCH('02_대상물건입력'!$B$6,B866)),1,0)))</f>
        <v/>
      </c>
      <c r="L866">
        <f>IF(D866="","",IF('02_대상물건입력'!$B$8="",0,IF(ISNUMBER(SEARCH('02_대상물건입력'!$B$8,D866)),1,0)))</f>
        <v/>
      </c>
      <c r="M866">
        <f>IFERROR(ABS(E866-'02_대상물건입력'!$B$11)/'02_대상물건입력'!$B$11,"")</f>
        <v/>
      </c>
      <c r="N866">
        <f>IFERROR(ABS('01_설정'!$B$4-F866),"")</f>
        <v/>
      </c>
      <c r="O866">
        <f>IFERROR(ABS(YEAR(I866)-YEAR('02_대상물건입력'!$B$14)),"")</f>
        <v/>
      </c>
      <c r="P866">
        <f>IF(AND(E866&gt;0,F866&gt;0,G866&gt;0,IF('01_설정'!$B$10=1,J866=1,TRUE()),M866&lt;='01_설정'!$B$5,N866&lt;='01_설정'!$B$7,O866&lt;='01_설정'!$B$8),"Y","")</f>
        <v/>
      </c>
      <c r="Q866">
        <f>IF(P866&lt;&gt;"Y","",MAX(0,(1-M866/'01_설정'!$B$5))*'01_설정'!$B$14+MAX(0,(1-N866/'01_설정'!$B$7))*'01_설정'!$B$16+MAX(0,(1-O866/'01_설정'!$B$8))*'01_설정'!$B$17+K866*'01_설정'!$B$11+L866*'01_설정'!$B$12)</f>
        <v/>
      </c>
      <c r="R866">
        <f>IF(Q866="","",1+COUNTIFS($Q$31:$Q$1030,"&gt;"&amp;Q866)+COUNTIFS($Q$31:Q866,Q866)-1)</f>
        <v/>
      </c>
    </row>
    <row r="867" hidden="1" ht="16.5" customHeight="1">
      <c r="A867">
        <f>IF(COUNTA('05_KAIS'!$A855:$N855)=0,"",840)</f>
        <v/>
      </c>
      <c r="B867">
        <f>IF($A867="","",TRIM(INDEX('05_KAIS'!$B:$B,$A867)&amp;" "&amp;INDEX('05_KAIS'!$C:$C,$A867)))</f>
        <v/>
      </c>
      <c r="C867">
        <f>IF($A867="","",INDEX('05_KAIS'!$D:$D,$A867))</f>
        <v/>
      </c>
      <c r="D867">
        <f>IF($A867="","",INDEX('05_KAIS'!$H:$H,$A867))</f>
        <v/>
      </c>
      <c r="E867">
        <f>IF($A867="","",INDEX('05_KAIS'!$K:$K,$A867))</f>
        <v/>
      </c>
      <c r="F867" s="202">
        <f>IF($A867="","",INDEX('05_KAIS'!$I:$I,$A867))</f>
        <v/>
      </c>
      <c r="G867" s="118">
        <f>IF($A867="","",INDEX('05_KAIS'!$L:$L,$A867))</f>
        <v/>
      </c>
      <c r="H867" s="118">
        <f>IF($A867="","",IFERROR(INDEX('05_KAIS'!$M:$M,$A867),IF(AND(E867&gt;0,G867&gt;0),G867/E867,"")))</f>
        <v/>
      </c>
      <c r="I867" s="202">
        <f>IF($A867="","",INDEX('05_KAIS'!$N:$N,$A867))</f>
        <v/>
      </c>
      <c r="J867">
        <f>IF(B867="","",IF('02_대상물건입력'!$B$5="",1,IF(ISNUMBER(SEARCH('02_대상물건입력'!$B$5,B867)),1,0)))</f>
        <v/>
      </c>
      <c r="K867">
        <f>IF(B867="","",IF('02_대상물건입력'!$B$6="",1,IF(ISNUMBER(SEARCH('02_대상물건입력'!$B$6,B867)),1,0)))</f>
        <v/>
      </c>
      <c r="L867">
        <f>IF(D867="","",IF('02_대상물건입력'!$B$8="",0,IF(ISNUMBER(SEARCH('02_대상물건입력'!$B$8,D867)),1,0)))</f>
        <v/>
      </c>
      <c r="M867">
        <f>IFERROR(ABS(E867-'02_대상물건입력'!$B$11)/'02_대상물건입력'!$B$11,"")</f>
        <v/>
      </c>
      <c r="N867">
        <f>IFERROR(ABS('01_설정'!$B$4-F867),"")</f>
        <v/>
      </c>
      <c r="O867">
        <f>IFERROR(ABS(YEAR(I867)-YEAR('02_대상물건입력'!$B$14)),"")</f>
        <v/>
      </c>
      <c r="P867">
        <f>IF(AND(E867&gt;0,F867&gt;0,G867&gt;0,IF('01_설정'!$B$10=1,J867=1,TRUE()),M867&lt;='01_설정'!$B$5,N867&lt;='01_설정'!$B$7,O867&lt;='01_설정'!$B$8),"Y","")</f>
        <v/>
      </c>
      <c r="Q867">
        <f>IF(P867&lt;&gt;"Y","",MAX(0,(1-M867/'01_설정'!$B$5))*'01_설정'!$B$14+MAX(0,(1-N867/'01_설정'!$B$7))*'01_설정'!$B$16+MAX(0,(1-O867/'01_설정'!$B$8))*'01_설정'!$B$17+K867*'01_설정'!$B$11+L867*'01_설정'!$B$12)</f>
        <v/>
      </c>
      <c r="R867">
        <f>IF(Q867="","",1+COUNTIFS($Q$31:$Q$1030,"&gt;"&amp;Q867)+COUNTIFS($Q$31:Q867,Q867)-1)</f>
        <v/>
      </c>
    </row>
    <row r="868" hidden="1" ht="16.5" customHeight="1">
      <c r="A868">
        <f>IF(COUNTA('05_KAIS'!$A856:$N856)=0,"",841)</f>
        <v/>
      </c>
      <c r="B868">
        <f>IF($A868="","",TRIM(INDEX('05_KAIS'!$B:$B,$A868)&amp;" "&amp;INDEX('05_KAIS'!$C:$C,$A868)))</f>
        <v/>
      </c>
      <c r="C868">
        <f>IF($A868="","",INDEX('05_KAIS'!$D:$D,$A868))</f>
        <v/>
      </c>
      <c r="D868">
        <f>IF($A868="","",INDEX('05_KAIS'!$H:$H,$A868))</f>
        <v/>
      </c>
      <c r="E868">
        <f>IF($A868="","",INDEX('05_KAIS'!$K:$K,$A868))</f>
        <v/>
      </c>
      <c r="F868" s="202">
        <f>IF($A868="","",INDEX('05_KAIS'!$I:$I,$A868))</f>
        <v/>
      </c>
      <c r="G868" s="118">
        <f>IF($A868="","",INDEX('05_KAIS'!$L:$L,$A868))</f>
        <v/>
      </c>
      <c r="H868" s="118">
        <f>IF($A868="","",IFERROR(INDEX('05_KAIS'!$M:$M,$A868),IF(AND(E868&gt;0,G868&gt;0),G868/E868,"")))</f>
        <v/>
      </c>
      <c r="I868" s="202">
        <f>IF($A868="","",INDEX('05_KAIS'!$N:$N,$A868))</f>
        <v/>
      </c>
      <c r="J868">
        <f>IF(B868="","",IF('02_대상물건입력'!$B$5="",1,IF(ISNUMBER(SEARCH('02_대상물건입력'!$B$5,B868)),1,0)))</f>
        <v/>
      </c>
      <c r="K868">
        <f>IF(B868="","",IF('02_대상물건입력'!$B$6="",1,IF(ISNUMBER(SEARCH('02_대상물건입력'!$B$6,B868)),1,0)))</f>
        <v/>
      </c>
      <c r="L868">
        <f>IF(D868="","",IF('02_대상물건입력'!$B$8="",0,IF(ISNUMBER(SEARCH('02_대상물건입력'!$B$8,D868)),1,0)))</f>
        <v/>
      </c>
      <c r="M868">
        <f>IFERROR(ABS(E868-'02_대상물건입력'!$B$11)/'02_대상물건입력'!$B$11,"")</f>
        <v/>
      </c>
      <c r="N868">
        <f>IFERROR(ABS('01_설정'!$B$4-F868),"")</f>
        <v/>
      </c>
      <c r="O868">
        <f>IFERROR(ABS(YEAR(I868)-YEAR('02_대상물건입력'!$B$14)),"")</f>
        <v/>
      </c>
      <c r="P868">
        <f>IF(AND(E868&gt;0,F868&gt;0,G868&gt;0,IF('01_설정'!$B$10=1,J868=1,TRUE()),M868&lt;='01_설정'!$B$5,N868&lt;='01_설정'!$B$7,O868&lt;='01_설정'!$B$8),"Y","")</f>
        <v/>
      </c>
      <c r="Q868">
        <f>IF(P868&lt;&gt;"Y","",MAX(0,(1-M868/'01_설정'!$B$5))*'01_설정'!$B$14+MAX(0,(1-N868/'01_설정'!$B$7))*'01_설정'!$B$16+MAX(0,(1-O868/'01_설정'!$B$8))*'01_설정'!$B$17+K868*'01_설정'!$B$11+L868*'01_설정'!$B$12)</f>
        <v/>
      </c>
      <c r="R868">
        <f>IF(Q868="","",1+COUNTIFS($Q$31:$Q$1030,"&gt;"&amp;Q868)+COUNTIFS($Q$31:Q868,Q868)-1)</f>
        <v/>
      </c>
    </row>
    <row r="869" hidden="1" ht="16.5" customHeight="1">
      <c r="A869">
        <f>IF(COUNTA('05_KAIS'!$A857:$N857)=0,"",842)</f>
        <v/>
      </c>
      <c r="B869">
        <f>IF($A869="","",TRIM(INDEX('05_KAIS'!$B:$B,$A869)&amp;" "&amp;INDEX('05_KAIS'!$C:$C,$A869)))</f>
        <v/>
      </c>
      <c r="C869">
        <f>IF($A869="","",INDEX('05_KAIS'!$D:$D,$A869))</f>
        <v/>
      </c>
      <c r="D869">
        <f>IF($A869="","",INDEX('05_KAIS'!$H:$H,$A869))</f>
        <v/>
      </c>
      <c r="E869">
        <f>IF($A869="","",INDEX('05_KAIS'!$K:$K,$A869))</f>
        <v/>
      </c>
      <c r="F869" s="202">
        <f>IF($A869="","",INDEX('05_KAIS'!$I:$I,$A869))</f>
        <v/>
      </c>
      <c r="G869" s="118">
        <f>IF($A869="","",INDEX('05_KAIS'!$L:$L,$A869))</f>
        <v/>
      </c>
      <c r="H869" s="118">
        <f>IF($A869="","",IFERROR(INDEX('05_KAIS'!$M:$M,$A869),IF(AND(E869&gt;0,G869&gt;0),G869/E869,"")))</f>
        <v/>
      </c>
      <c r="I869" s="202">
        <f>IF($A869="","",INDEX('05_KAIS'!$N:$N,$A869))</f>
        <v/>
      </c>
      <c r="J869">
        <f>IF(B869="","",IF('02_대상물건입력'!$B$5="",1,IF(ISNUMBER(SEARCH('02_대상물건입력'!$B$5,B869)),1,0)))</f>
        <v/>
      </c>
      <c r="K869">
        <f>IF(B869="","",IF('02_대상물건입력'!$B$6="",1,IF(ISNUMBER(SEARCH('02_대상물건입력'!$B$6,B869)),1,0)))</f>
        <v/>
      </c>
      <c r="L869">
        <f>IF(D869="","",IF('02_대상물건입력'!$B$8="",0,IF(ISNUMBER(SEARCH('02_대상물건입력'!$B$8,D869)),1,0)))</f>
        <v/>
      </c>
      <c r="M869">
        <f>IFERROR(ABS(E869-'02_대상물건입력'!$B$11)/'02_대상물건입력'!$B$11,"")</f>
        <v/>
      </c>
      <c r="N869">
        <f>IFERROR(ABS('01_설정'!$B$4-F869),"")</f>
        <v/>
      </c>
      <c r="O869">
        <f>IFERROR(ABS(YEAR(I869)-YEAR('02_대상물건입력'!$B$14)),"")</f>
        <v/>
      </c>
      <c r="P869">
        <f>IF(AND(E869&gt;0,F869&gt;0,G869&gt;0,IF('01_설정'!$B$10=1,J869=1,TRUE()),M869&lt;='01_설정'!$B$5,N869&lt;='01_설정'!$B$7,O869&lt;='01_설정'!$B$8),"Y","")</f>
        <v/>
      </c>
      <c r="Q869">
        <f>IF(P869&lt;&gt;"Y","",MAX(0,(1-M869/'01_설정'!$B$5))*'01_설정'!$B$14+MAX(0,(1-N869/'01_설정'!$B$7))*'01_설정'!$B$16+MAX(0,(1-O869/'01_설정'!$B$8))*'01_설정'!$B$17+K869*'01_설정'!$B$11+L869*'01_설정'!$B$12)</f>
        <v/>
      </c>
      <c r="R869">
        <f>IF(Q869="","",1+COUNTIFS($Q$31:$Q$1030,"&gt;"&amp;Q869)+COUNTIFS($Q$31:Q869,Q869)-1)</f>
        <v/>
      </c>
    </row>
    <row r="870" hidden="1" ht="16.5" customHeight="1">
      <c r="A870">
        <f>IF(COUNTA('05_KAIS'!$A858:$N858)=0,"",843)</f>
        <v/>
      </c>
      <c r="B870">
        <f>IF($A870="","",TRIM(INDEX('05_KAIS'!$B:$B,$A870)&amp;" "&amp;INDEX('05_KAIS'!$C:$C,$A870)))</f>
        <v/>
      </c>
      <c r="C870">
        <f>IF($A870="","",INDEX('05_KAIS'!$D:$D,$A870))</f>
        <v/>
      </c>
      <c r="D870">
        <f>IF($A870="","",INDEX('05_KAIS'!$H:$H,$A870))</f>
        <v/>
      </c>
      <c r="E870">
        <f>IF($A870="","",INDEX('05_KAIS'!$K:$K,$A870))</f>
        <v/>
      </c>
      <c r="F870" s="202">
        <f>IF($A870="","",INDEX('05_KAIS'!$I:$I,$A870))</f>
        <v/>
      </c>
      <c r="G870" s="118">
        <f>IF($A870="","",INDEX('05_KAIS'!$L:$L,$A870))</f>
        <v/>
      </c>
      <c r="H870" s="118">
        <f>IF($A870="","",IFERROR(INDEX('05_KAIS'!$M:$M,$A870),IF(AND(E870&gt;0,G870&gt;0),G870/E870,"")))</f>
        <v/>
      </c>
      <c r="I870" s="202">
        <f>IF($A870="","",INDEX('05_KAIS'!$N:$N,$A870))</f>
        <v/>
      </c>
      <c r="J870">
        <f>IF(B870="","",IF('02_대상물건입력'!$B$5="",1,IF(ISNUMBER(SEARCH('02_대상물건입력'!$B$5,B870)),1,0)))</f>
        <v/>
      </c>
      <c r="K870">
        <f>IF(B870="","",IF('02_대상물건입력'!$B$6="",1,IF(ISNUMBER(SEARCH('02_대상물건입력'!$B$6,B870)),1,0)))</f>
        <v/>
      </c>
      <c r="L870">
        <f>IF(D870="","",IF('02_대상물건입력'!$B$8="",0,IF(ISNUMBER(SEARCH('02_대상물건입력'!$B$8,D870)),1,0)))</f>
        <v/>
      </c>
      <c r="M870">
        <f>IFERROR(ABS(E870-'02_대상물건입력'!$B$11)/'02_대상물건입력'!$B$11,"")</f>
        <v/>
      </c>
      <c r="N870">
        <f>IFERROR(ABS('01_설정'!$B$4-F870),"")</f>
        <v/>
      </c>
      <c r="O870">
        <f>IFERROR(ABS(YEAR(I870)-YEAR('02_대상물건입력'!$B$14)),"")</f>
        <v/>
      </c>
      <c r="P870">
        <f>IF(AND(E870&gt;0,F870&gt;0,G870&gt;0,IF('01_설정'!$B$10=1,J870=1,TRUE()),M870&lt;='01_설정'!$B$5,N870&lt;='01_설정'!$B$7,O870&lt;='01_설정'!$B$8),"Y","")</f>
        <v/>
      </c>
      <c r="Q870">
        <f>IF(P870&lt;&gt;"Y","",MAX(0,(1-M870/'01_설정'!$B$5))*'01_설정'!$B$14+MAX(0,(1-N870/'01_설정'!$B$7))*'01_설정'!$B$16+MAX(0,(1-O870/'01_설정'!$B$8))*'01_설정'!$B$17+K870*'01_설정'!$B$11+L870*'01_설정'!$B$12)</f>
        <v/>
      </c>
      <c r="R870">
        <f>IF(Q870="","",1+COUNTIFS($Q$31:$Q$1030,"&gt;"&amp;Q870)+COUNTIFS($Q$31:Q870,Q870)-1)</f>
        <v/>
      </c>
    </row>
    <row r="871" hidden="1" ht="16.5" customHeight="1">
      <c r="A871">
        <f>IF(COUNTA('05_KAIS'!$A859:$N859)=0,"",844)</f>
        <v/>
      </c>
      <c r="B871">
        <f>IF($A871="","",TRIM(INDEX('05_KAIS'!$B:$B,$A871)&amp;" "&amp;INDEX('05_KAIS'!$C:$C,$A871)))</f>
        <v/>
      </c>
      <c r="C871">
        <f>IF($A871="","",INDEX('05_KAIS'!$D:$D,$A871))</f>
        <v/>
      </c>
      <c r="D871">
        <f>IF($A871="","",INDEX('05_KAIS'!$H:$H,$A871))</f>
        <v/>
      </c>
      <c r="E871">
        <f>IF($A871="","",INDEX('05_KAIS'!$K:$K,$A871))</f>
        <v/>
      </c>
      <c r="F871" s="202">
        <f>IF($A871="","",INDEX('05_KAIS'!$I:$I,$A871))</f>
        <v/>
      </c>
      <c r="G871" s="118">
        <f>IF($A871="","",INDEX('05_KAIS'!$L:$L,$A871))</f>
        <v/>
      </c>
      <c r="H871" s="118">
        <f>IF($A871="","",IFERROR(INDEX('05_KAIS'!$M:$M,$A871),IF(AND(E871&gt;0,G871&gt;0),G871/E871,"")))</f>
        <v/>
      </c>
      <c r="I871" s="202">
        <f>IF($A871="","",INDEX('05_KAIS'!$N:$N,$A871))</f>
        <v/>
      </c>
      <c r="J871">
        <f>IF(B871="","",IF('02_대상물건입력'!$B$5="",1,IF(ISNUMBER(SEARCH('02_대상물건입력'!$B$5,B871)),1,0)))</f>
        <v/>
      </c>
      <c r="K871">
        <f>IF(B871="","",IF('02_대상물건입력'!$B$6="",1,IF(ISNUMBER(SEARCH('02_대상물건입력'!$B$6,B871)),1,0)))</f>
        <v/>
      </c>
      <c r="L871">
        <f>IF(D871="","",IF('02_대상물건입력'!$B$8="",0,IF(ISNUMBER(SEARCH('02_대상물건입력'!$B$8,D871)),1,0)))</f>
        <v/>
      </c>
      <c r="M871">
        <f>IFERROR(ABS(E871-'02_대상물건입력'!$B$11)/'02_대상물건입력'!$B$11,"")</f>
        <v/>
      </c>
      <c r="N871">
        <f>IFERROR(ABS('01_설정'!$B$4-F871),"")</f>
        <v/>
      </c>
      <c r="O871">
        <f>IFERROR(ABS(YEAR(I871)-YEAR('02_대상물건입력'!$B$14)),"")</f>
        <v/>
      </c>
      <c r="P871">
        <f>IF(AND(E871&gt;0,F871&gt;0,G871&gt;0,IF('01_설정'!$B$10=1,J871=1,TRUE()),M871&lt;='01_설정'!$B$5,N871&lt;='01_설정'!$B$7,O871&lt;='01_설정'!$B$8),"Y","")</f>
        <v/>
      </c>
      <c r="Q871">
        <f>IF(P871&lt;&gt;"Y","",MAX(0,(1-M871/'01_설정'!$B$5))*'01_설정'!$B$14+MAX(0,(1-N871/'01_설정'!$B$7))*'01_설정'!$B$16+MAX(0,(1-O871/'01_설정'!$B$8))*'01_설정'!$B$17+K871*'01_설정'!$B$11+L871*'01_설정'!$B$12)</f>
        <v/>
      </c>
      <c r="R871">
        <f>IF(Q871="","",1+COUNTIFS($Q$31:$Q$1030,"&gt;"&amp;Q871)+COUNTIFS($Q$31:Q871,Q871)-1)</f>
        <v/>
      </c>
    </row>
    <row r="872" hidden="1" ht="16.5" customHeight="1">
      <c r="A872">
        <f>IF(COUNTA('05_KAIS'!$A860:$N860)=0,"",845)</f>
        <v/>
      </c>
      <c r="B872">
        <f>IF($A872="","",TRIM(INDEX('05_KAIS'!$B:$B,$A872)&amp;" "&amp;INDEX('05_KAIS'!$C:$C,$A872)))</f>
        <v/>
      </c>
      <c r="C872">
        <f>IF($A872="","",INDEX('05_KAIS'!$D:$D,$A872))</f>
        <v/>
      </c>
      <c r="D872">
        <f>IF($A872="","",INDEX('05_KAIS'!$H:$H,$A872))</f>
        <v/>
      </c>
      <c r="E872">
        <f>IF($A872="","",INDEX('05_KAIS'!$K:$K,$A872))</f>
        <v/>
      </c>
      <c r="F872" s="202">
        <f>IF($A872="","",INDEX('05_KAIS'!$I:$I,$A872))</f>
        <v/>
      </c>
      <c r="G872" s="118">
        <f>IF($A872="","",INDEX('05_KAIS'!$L:$L,$A872))</f>
        <v/>
      </c>
      <c r="H872" s="118">
        <f>IF($A872="","",IFERROR(INDEX('05_KAIS'!$M:$M,$A872),IF(AND(E872&gt;0,G872&gt;0),G872/E872,"")))</f>
        <v/>
      </c>
      <c r="I872" s="202">
        <f>IF($A872="","",INDEX('05_KAIS'!$N:$N,$A872))</f>
        <v/>
      </c>
      <c r="J872">
        <f>IF(B872="","",IF('02_대상물건입력'!$B$5="",1,IF(ISNUMBER(SEARCH('02_대상물건입력'!$B$5,B872)),1,0)))</f>
        <v/>
      </c>
      <c r="K872">
        <f>IF(B872="","",IF('02_대상물건입력'!$B$6="",1,IF(ISNUMBER(SEARCH('02_대상물건입력'!$B$6,B872)),1,0)))</f>
        <v/>
      </c>
      <c r="L872">
        <f>IF(D872="","",IF('02_대상물건입력'!$B$8="",0,IF(ISNUMBER(SEARCH('02_대상물건입력'!$B$8,D872)),1,0)))</f>
        <v/>
      </c>
      <c r="M872">
        <f>IFERROR(ABS(E872-'02_대상물건입력'!$B$11)/'02_대상물건입력'!$B$11,"")</f>
        <v/>
      </c>
      <c r="N872">
        <f>IFERROR(ABS('01_설정'!$B$4-F872),"")</f>
        <v/>
      </c>
      <c r="O872">
        <f>IFERROR(ABS(YEAR(I872)-YEAR('02_대상물건입력'!$B$14)),"")</f>
        <v/>
      </c>
      <c r="P872">
        <f>IF(AND(E872&gt;0,F872&gt;0,G872&gt;0,IF('01_설정'!$B$10=1,J872=1,TRUE()),M872&lt;='01_설정'!$B$5,N872&lt;='01_설정'!$B$7,O872&lt;='01_설정'!$B$8),"Y","")</f>
        <v/>
      </c>
      <c r="Q872">
        <f>IF(P872&lt;&gt;"Y","",MAX(0,(1-M872/'01_설정'!$B$5))*'01_설정'!$B$14+MAX(0,(1-N872/'01_설정'!$B$7))*'01_설정'!$B$16+MAX(0,(1-O872/'01_설정'!$B$8))*'01_설정'!$B$17+K872*'01_설정'!$B$11+L872*'01_설정'!$B$12)</f>
        <v/>
      </c>
      <c r="R872">
        <f>IF(Q872="","",1+COUNTIFS($Q$31:$Q$1030,"&gt;"&amp;Q872)+COUNTIFS($Q$31:Q872,Q872)-1)</f>
        <v/>
      </c>
    </row>
    <row r="873" hidden="1" ht="16.5" customHeight="1">
      <c r="A873">
        <f>IF(COUNTA('05_KAIS'!$A861:$N861)=0,"",846)</f>
        <v/>
      </c>
      <c r="B873">
        <f>IF($A873="","",TRIM(INDEX('05_KAIS'!$B:$B,$A873)&amp;" "&amp;INDEX('05_KAIS'!$C:$C,$A873)))</f>
        <v/>
      </c>
      <c r="C873">
        <f>IF($A873="","",INDEX('05_KAIS'!$D:$D,$A873))</f>
        <v/>
      </c>
      <c r="D873">
        <f>IF($A873="","",INDEX('05_KAIS'!$H:$H,$A873))</f>
        <v/>
      </c>
      <c r="E873">
        <f>IF($A873="","",INDEX('05_KAIS'!$K:$K,$A873))</f>
        <v/>
      </c>
      <c r="F873" s="202">
        <f>IF($A873="","",INDEX('05_KAIS'!$I:$I,$A873))</f>
        <v/>
      </c>
      <c r="G873" s="118">
        <f>IF($A873="","",INDEX('05_KAIS'!$L:$L,$A873))</f>
        <v/>
      </c>
      <c r="H873" s="118">
        <f>IF($A873="","",IFERROR(INDEX('05_KAIS'!$M:$M,$A873),IF(AND(E873&gt;0,G873&gt;0),G873/E873,"")))</f>
        <v/>
      </c>
      <c r="I873" s="202">
        <f>IF($A873="","",INDEX('05_KAIS'!$N:$N,$A873))</f>
        <v/>
      </c>
      <c r="J873">
        <f>IF(B873="","",IF('02_대상물건입력'!$B$5="",1,IF(ISNUMBER(SEARCH('02_대상물건입력'!$B$5,B873)),1,0)))</f>
        <v/>
      </c>
      <c r="K873">
        <f>IF(B873="","",IF('02_대상물건입력'!$B$6="",1,IF(ISNUMBER(SEARCH('02_대상물건입력'!$B$6,B873)),1,0)))</f>
        <v/>
      </c>
      <c r="L873">
        <f>IF(D873="","",IF('02_대상물건입력'!$B$8="",0,IF(ISNUMBER(SEARCH('02_대상물건입력'!$B$8,D873)),1,0)))</f>
        <v/>
      </c>
      <c r="M873">
        <f>IFERROR(ABS(E873-'02_대상물건입력'!$B$11)/'02_대상물건입력'!$B$11,"")</f>
        <v/>
      </c>
      <c r="N873">
        <f>IFERROR(ABS('01_설정'!$B$4-F873),"")</f>
        <v/>
      </c>
      <c r="O873">
        <f>IFERROR(ABS(YEAR(I873)-YEAR('02_대상물건입력'!$B$14)),"")</f>
        <v/>
      </c>
      <c r="P873">
        <f>IF(AND(E873&gt;0,F873&gt;0,G873&gt;0,IF('01_설정'!$B$10=1,J873=1,TRUE()),M873&lt;='01_설정'!$B$5,N873&lt;='01_설정'!$B$7,O873&lt;='01_설정'!$B$8),"Y","")</f>
        <v/>
      </c>
      <c r="Q873">
        <f>IF(P873&lt;&gt;"Y","",MAX(0,(1-M873/'01_설정'!$B$5))*'01_설정'!$B$14+MAX(0,(1-N873/'01_설정'!$B$7))*'01_설정'!$B$16+MAX(0,(1-O873/'01_설정'!$B$8))*'01_설정'!$B$17+K873*'01_설정'!$B$11+L873*'01_설정'!$B$12)</f>
        <v/>
      </c>
      <c r="R873">
        <f>IF(Q873="","",1+COUNTIFS($Q$31:$Q$1030,"&gt;"&amp;Q873)+COUNTIFS($Q$31:Q873,Q873)-1)</f>
        <v/>
      </c>
    </row>
    <row r="874" hidden="1" ht="16.5" customHeight="1">
      <c r="A874">
        <f>IF(COUNTA('05_KAIS'!$A862:$N862)=0,"",847)</f>
        <v/>
      </c>
      <c r="B874">
        <f>IF($A874="","",TRIM(INDEX('05_KAIS'!$B:$B,$A874)&amp;" "&amp;INDEX('05_KAIS'!$C:$C,$A874)))</f>
        <v/>
      </c>
      <c r="C874">
        <f>IF($A874="","",INDEX('05_KAIS'!$D:$D,$A874))</f>
        <v/>
      </c>
      <c r="D874">
        <f>IF($A874="","",INDEX('05_KAIS'!$H:$H,$A874))</f>
        <v/>
      </c>
      <c r="E874">
        <f>IF($A874="","",INDEX('05_KAIS'!$K:$K,$A874))</f>
        <v/>
      </c>
      <c r="F874" s="202">
        <f>IF($A874="","",INDEX('05_KAIS'!$I:$I,$A874))</f>
        <v/>
      </c>
      <c r="G874" s="118">
        <f>IF($A874="","",INDEX('05_KAIS'!$L:$L,$A874))</f>
        <v/>
      </c>
      <c r="H874" s="118">
        <f>IF($A874="","",IFERROR(INDEX('05_KAIS'!$M:$M,$A874),IF(AND(E874&gt;0,G874&gt;0),G874/E874,"")))</f>
        <v/>
      </c>
      <c r="I874" s="202">
        <f>IF($A874="","",INDEX('05_KAIS'!$N:$N,$A874))</f>
        <v/>
      </c>
      <c r="J874">
        <f>IF(B874="","",IF('02_대상물건입력'!$B$5="",1,IF(ISNUMBER(SEARCH('02_대상물건입력'!$B$5,B874)),1,0)))</f>
        <v/>
      </c>
      <c r="K874">
        <f>IF(B874="","",IF('02_대상물건입력'!$B$6="",1,IF(ISNUMBER(SEARCH('02_대상물건입력'!$B$6,B874)),1,0)))</f>
        <v/>
      </c>
      <c r="L874">
        <f>IF(D874="","",IF('02_대상물건입력'!$B$8="",0,IF(ISNUMBER(SEARCH('02_대상물건입력'!$B$8,D874)),1,0)))</f>
        <v/>
      </c>
      <c r="M874">
        <f>IFERROR(ABS(E874-'02_대상물건입력'!$B$11)/'02_대상물건입력'!$B$11,"")</f>
        <v/>
      </c>
      <c r="N874">
        <f>IFERROR(ABS('01_설정'!$B$4-F874),"")</f>
        <v/>
      </c>
      <c r="O874">
        <f>IFERROR(ABS(YEAR(I874)-YEAR('02_대상물건입력'!$B$14)),"")</f>
        <v/>
      </c>
      <c r="P874">
        <f>IF(AND(E874&gt;0,F874&gt;0,G874&gt;0,IF('01_설정'!$B$10=1,J874=1,TRUE()),M874&lt;='01_설정'!$B$5,N874&lt;='01_설정'!$B$7,O874&lt;='01_설정'!$B$8),"Y","")</f>
        <v/>
      </c>
      <c r="Q874">
        <f>IF(P874&lt;&gt;"Y","",MAX(0,(1-M874/'01_설정'!$B$5))*'01_설정'!$B$14+MAX(0,(1-N874/'01_설정'!$B$7))*'01_설정'!$B$16+MAX(0,(1-O874/'01_설정'!$B$8))*'01_설정'!$B$17+K874*'01_설정'!$B$11+L874*'01_설정'!$B$12)</f>
        <v/>
      </c>
      <c r="R874">
        <f>IF(Q874="","",1+COUNTIFS($Q$31:$Q$1030,"&gt;"&amp;Q874)+COUNTIFS($Q$31:Q874,Q874)-1)</f>
        <v/>
      </c>
    </row>
    <row r="875" hidden="1" ht="16.5" customHeight="1">
      <c r="A875">
        <f>IF(COUNTA('05_KAIS'!$A863:$N863)=0,"",848)</f>
        <v/>
      </c>
      <c r="B875">
        <f>IF($A875="","",TRIM(INDEX('05_KAIS'!$B:$B,$A875)&amp;" "&amp;INDEX('05_KAIS'!$C:$C,$A875)))</f>
        <v/>
      </c>
      <c r="C875">
        <f>IF($A875="","",INDEX('05_KAIS'!$D:$D,$A875))</f>
        <v/>
      </c>
      <c r="D875">
        <f>IF($A875="","",INDEX('05_KAIS'!$H:$H,$A875))</f>
        <v/>
      </c>
      <c r="E875">
        <f>IF($A875="","",INDEX('05_KAIS'!$K:$K,$A875))</f>
        <v/>
      </c>
      <c r="F875" s="202">
        <f>IF($A875="","",INDEX('05_KAIS'!$I:$I,$A875))</f>
        <v/>
      </c>
      <c r="G875" s="118">
        <f>IF($A875="","",INDEX('05_KAIS'!$L:$L,$A875))</f>
        <v/>
      </c>
      <c r="H875" s="118">
        <f>IF($A875="","",IFERROR(INDEX('05_KAIS'!$M:$M,$A875),IF(AND(E875&gt;0,G875&gt;0),G875/E875,"")))</f>
        <v/>
      </c>
      <c r="I875" s="202">
        <f>IF($A875="","",INDEX('05_KAIS'!$N:$N,$A875))</f>
        <v/>
      </c>
      <c r="J875">
        <f>IF(B875="","",IF('02_대상물건입력'!$B$5="",1,IF(ISNUMBER(SEARCH('02_대상물건입력'!$B$5,B875)),1,0)))</f>
        <v/>
      </c>
      <c r="K875">
        <f>IF(B875="","",IF('02_대상물건입력'!$B$6="",1,IF(ISNUMBER(SEARCH('02_대상물건입력'!$B$6,B875)),1,0)))</f>
        <v/>
      </c>
      <c r="L875">
        <f>IF(D875="","",IF('02_대상물건입력'!$B$8="",0,IF(ISNUMBER(SEARCH('02_대상물건입력'!$B$8,D875)),1,0)))</f>
        <v/>
      </c>
      <c r="M875">
        <f>IFERROR(ABS(E875-'02_대상물건입력'!$B$11)/'02_대상물건입력'!$B$11,"")</f>
        <v/>
      </c>
      <c r="N875">
        <f>IFERROR(ABS('01_설정'!$B$4-F875),"")</f>
        <v/>
      </c>
      <c r="O875">
        <f>IFERROR(ABS(YEAR(I875)-YEAR('02_대상물건입력'!$B$14)),"")</f>
        <v/>
      </c>
      <c r="P875">
        <f>IF(AND(E875&gt;0,F875&gt;0,G875&gt;0,IF('01_설정'!$B$10=1,J875=1,TRUE()),M875&lt;='01_설정'!$B$5,N875&lt;='01_설정'!$B$7,O875&lt;='01_설정'!$B$8),"Y","")</f>
        <v/>
      </c>
      <c r="Q875">
        <f>IF(P875&lt;&gt;"Y","",MAX(0,(1-M875/'01_설정'!$B$5))*'01_설정'!$B$14+MAX(0,(1-N875/'01_설정'!$B$7))*'01_설정'!$B$16+MAX(0,(1-O875/'01_설정'!$B$8))*'01_설정'!$B$17+K875*'01_설정'!$B$11+L875*'01_설정'!$B$12)</f>
        <v/>
      </c>
      <c r="R875">
        <f>IF(Q875="","",1+COUNTIFS($Q$31:$Q$1030,"&gt;"&amp;Q875)+COUNTIFS($Q$31:Q875,Q875)-1)</f>
        <v/>
      </c>
    </row>
    <row r="876" hidden="1" ht="16.5" customHeight="1">
      <c r="A876">
        <f>IF(COUNTA('05_KAIS'!$A864:$N864)=0,"",849)</f>
        <v/>
      </c>
      <c r="B876">
        <f>IF($A876="","",TRIM(INDEX('05_KAIS'!$B:$B,$A876)&amp;" "&amp;INDEX('05_KAIS'!$C:$C,$A876)))</f>
        <v/>
      </c>
      <c r="C876">
        <f>IF($A876="","",INDEX('05_KAIS'!$D:$D,$A876))</f>
        <v/>
      </c>
      <c r="D876">
        <f>IF($A876="","",INDEX('05_KAIS'!$H:$H,$A876))</f>
        <v/>
      </c>
      <c r="E876">
        <f>IF($A876="","",INDEX('05_KAIS'!$K:$K,$A876))</f>
        <v/>
      </c>
      <c r="F876" s="202">
        <f>IF($A876="","",INDEX('05_KAIS'!$I:$I,$A876))</f>
        <v/>
      </c>
      <c r="G876" s="118">
        <f>IF($A876="","",INDEX('05_KAIS'!$L:$L,$A876))</f>
        <v/>
      </c>
      <c r="H876" s="118">
        <f>IF($A876="","",IFERROR(INDEX('05_KAIS'!$M:$M,$A876),IF(AND(E876&gt;0,G876&gt;0),G876/E876,"")))</f>
        <v/>
      </c>
      <c r="I876" s="202">
        <f>IF($A876="","",INDEX('05_KAIS'!$N:$N,$A876))</f>
        <v/>
      </c>
      <c r="J876">
        <f>IF(B876="","",IF('02_대상물건입력'!$B$5="",1,IF(ISNUMBER(SEARCH('02_대상물건입력'!$B$5,B876)),1,0)))</f>
        <v/>
      </c>
      <c r="K876">
        <f>IF(B876="","",IF('02_대상물건입력'!$B$6="",1,IF(ISNUMBER(SEARCH('02_대상물건입력'!$B$6,B876)),1,0)))</f>
        <v/>
      </c>
      <c r="L876">
        <f>IF(D876="","",IF('02_대상물건입력'!$B$8="",0,IF(ISNUMBER(SEARCH('02_대상물건입력'!$B$8,D876)),1,0)))</f>
        <v/>
      </c>
      <c r="M876">
        <f>IFERROR(ABS(E876-'02_대상물건입력'!$B$11)/'02_대상물건입력'!$B$11,"")</f>
        <v/>
      </c>
      <c r="N876">
        <f>IFERROR(ABS('01_설정'!$B$4-F876),"")</f>
        <v/>
      </c>
      <c r="O876">
        <f>IFERROR(ABS(YEAR(I876)-YEAR('02_대상물건입력'!$B$14)),"")</f>
        <v/>
      </c>
      <c r="P876">
        <f>IF(AND(E876&gt;0,F876&gt;0,G876&gt;0,IF('01_설정'!$B$10=1,J876=1,TRUE()),M876&lt;='01_설정'!$B$5,N876&lt;='01_설정'!$B$7,O876&lt;='01_설정'!$B$8),"Y","")</f>
        <v/>
      </c>
      <c r="Q876">
        <f>IF(P876&lt;&gt;"Y","",MAX(0,(1-M876/'01_설정'!$B$5))*'01_설정'!$B$14+MAX(0,(1-N876/'01_설정'!$B$7))*'01_설정'!$B$16+MAX(0,(1-O876/'01_설정'!$B$8))*'01_설정'!$B$17+K876*'01_설정'!$B$11+L876*'01_설정'!$B$12)</f>
        <v/>
      </c>
      <c r="R876">
        <f>IF(Q876="","",1+COUNTIFS($Q$31:$Q$1030,"&gt;"&amp;Q876)+COUNTIFS($Q$31:Q876,Q876)-1)</f>
        <v/>
      </c>
    </row>
    <row r="877" hidden="1" ht="16.5" customHeight="1">
      <c r="A877">
        <f>IF(COUNTA('05_KAIS'!$A865:$N865)=0,"",850)</f>
        <v/>
      </c>
      <c r="B877">
        <f>IF($A877="","",TRIM(INDEX('05_KAIS'!$B:$B,$A877)&amp;" "&amp;INDEX('05_KAIS'!$C:$C,$A877)))</f>
        <v/>
      </c>
      <c r="C877">
        <f>IF($A877="","",INDEX('05_KAIS'!$D:$D,$A877))</f>
        <v/>
      </c>
      <c r="D877">
        <f>IF($A877="","",INDEX('05_KAIS'!$H:$H,$A877))</f>
        <v/>
      </c>
      <c r="E877">
        <f>IF($A877="","",INDEX('05_KAIS'!$K:$K,$A877))</f>
        <v/>
      </c>
      <c r="F877" s="202">
        <f>IF($A877="","",INDEX('05_KAIS'!$I:$I,$A877))</f>
        <v/>
      </c>
      <c r="G877" s="118">
        <f>IF($A877="","",INDEX('05_KAIS'!$L:$L,$A877))</f>
        <v/>
      </c>
      <c r="H877" s="118">
        <f>IF($A877="","",IFERROR(INDEX('05_KAIS'!$M:$M,$A877),IF(AND(E877&gt;0,G877&gt;0),G877/E877,"")))</f>
        <v/>
      </c>
      <c r="I877" s="202">
        <f>IF($A877="","",INDEX('05_KAIS'!$N:$N,$A877))</f>
        <v/>
      </c>
      <c r="J877">
        <f>IF(B877="","",IF('02_대상물건입력'!$B$5="",1,IF(ISNUMBER(SEARCH('02_대상물건입력'!$B$5,B877)),1,0)))</f>
        <v/>
      </c>
      <c r="K877">
        <f>IF(B877="","",IF('02_대상물건입력'!$B$6="",1,IF(ISNUMBER(SEARCH('02_대상물건입력'!$B$6,B877)),1,0)))</f>
        <v/>
      </c>
      <c r="L877">
        <f>IF(D877="","",IF('02_대상물건입력'!$B$8="",0,IF(ISNUMBER(SEARCH('02_대상물건입력'!$B$8,D877)),1,0)))</f>
        <v/>
      </c>
      <c r="M877">
        <f>IFERROR(ABS(E877-'02_대상물건입력'!$B$11)/'02_대상물건입력'!$B$11,"")</f>
        <v/>
      </c>
      <c r="N877">
        <f>IFERROR(ABS('01_설정'!$B$4-F877),"")</f>
        <v/>
      </c>
      <c r="O877">
        <f>IFERROR(ABS(YEAR(I877)-YEAR('02_대상물건입력'!$B$14)),"")</f>
        <v/>
      </c>
      <c r="P877">
        <f>IF(AND(E877&gt;0,F877&gt;0,G877&gt;0,IF('01_설정'!$B$10=1,J877=1,TRUE()),M877&lt;='01_설정'!$B$5,N877&lt;='01_설정'!$B$7,O877&lt;='01_설정'!$B$8),"Y","")</f>
        <v/>
      </c>
      <c r="Q877">
        <f>IF(P877&lt;&gt;"Y","",MAX(0,(1-M877/'01_설정'!$B$5))*'01_설정'!$B$14+MAX(0,(1-N877/'01_설정'!$B$7))*'01_설정'!$B$16+MAX(0,(1-O877/'01_설정'!$B$8))*'01_설정'!$B$17+K877*'01_설정'!$B$11+L877*'01_설정'!$B$12)</f>
        <v/>
      </c>
      <c r="R877">
        <f>IF(Q877="","",1+COUNTIFS($Q$31:$Q$1030,"&gt;"&amp;Q877)+COUNTIFS($Q$31:Q877,Q877)-1)</f>
        <v/>
      </c>
    </row>
    <row r="878" hidden="1" ht="16.5" customHeight="1">
      <c r="A878">
        <f>IF(COUNTA('05_KAIS'!$A866:$N866)=0,"",851)</f>
        <v/>
      </c>
      <c r="B878">
        <f>IF($A878="","",TRIM(INDEX('05_KAIS'!$B:$B,$A878)&amp;" "&amp;INDEX('05_KAIS'!$C:$C,$A878)))</f>
        <v/>
      </c>
      <c r="C878">
        <f>IF($A878="","",INDEX('05_KAIS'!$D:$D,$A878))</f>
        <v/>
      </c>
      <c r="D878">
        <f>IF($A878="","",INDEX('05_KAIS'!$H:$H,$A878))</f>
        <v/>
      </c>
      <c r="E878">
        <f>IF($A878="","",INDEX('05_KAIS'!$K:$K,$A878))</f>
        <v/>
      </c>
      <c r="F878" s="202">
        <f>IF($A878="","",INDEX('05_KAIS'!$I:$I,$A878))</f>
        <v/>
      </c>
      <c r="G878" s="118">
        <f>IF($A878="","",INDEX('05_KAIS'!$L:$L,$A878))</f>
        <v/>
      </c>
      <c r="H878" s="118">
        <f>IF($A878="","",IFERROR(INDEX('05_KAIS'!$M:$M,$A878),IF(AND(E878&gt;0,G878&gt;0),G878/E878,"")))</f>
        <v/>
      </c>
      <c r="I878" s="202">
        <f>IF($A878="","",INDEX('05_KAIS'!$N:$N,$A878))</f>
        <v/>
      </c>
      <c r="J878">
        <f>IF(B878="","",IF('02_대상물건입력'!$B$5="",1,IF(ISNUMBER(SEARCH('02_대상물건입력'!$B$5,B878)),1,0)))</f>
        <v/>
      </c>
      <c r="K878">
        <f>IF(B878="","",IF('02_대상물건입력'!$B$6="",1,IF(ISNUMBER(SEARCH('02_대상물건입력'!$B$6,B878)),1,0)))</f>
        <v/>
      </c>
      <c r="L878">
        <f>IF(D878="","",IF('02_대상물건입력'!$B$8="",0,IF(ISNUMBER(SEARCH('02_대상물건입력'!$B$8,D878)),1,0)))</f>
        <v/>
      </c>
      <c r="M878">
        <f>IFERROR(ABS(E878-'02_대상물건입력'!$B$11)/'02_대상물건입력'!$B$11,"")</f>
        <v/>
      </c>
      <c r="N878">
        <f>IFERROR(ABS('01_설정'!$B$4-F878),"")</f>
        <v/>
      </c>
      <c r="O878">
        <f>IFERROR(ABS(YEAR(I878)-YEAR('02_대상물건입력'!$B$14)),"")</f>
        <v/>
      </c>
      <c r="P878">
        <f>IF(AND(E878&gt;0,F878&gt;0,G878&gt;0,IF('01_설정'!$B$10=1,J878=1,TRUE()),M878&lt;='01_설정'!$B$5,N878&lt;='01_설정'!$B$7,O878&lt;='01_설정'!$B$8),"Y","")</f>
        <v/>
      </c>
      <c r="Q878">
        <f>IF(P878&lt;&gt;"Y","",MAX(0,(1-M878/'01_설정'!$B$5))*'01_설정'!$B$14+MAX(0,(1-N878/'01_설정'!$B$7))*'01_설정'!$B$16+MAX(0,(1-O878/'01_설정'!$B$8))*'01_설정'!$B$17+K878*'01_설정'!$B$11+L878*'01_설정'!$B$12)</f>
        <v/>
      </c>
      <c r="R878">
        <f>IF(Q878="","",1+COUNTIFS($Q$31:$Q$1030,"&gt;"&amp;Q878)+COUNTIFS($Q$31:Q878,Q878)-1)</f>
        <v/>
      </c>
    </row>
    <row r="879" hidden="1" ht="16.5" customHeight="1">
      <c r="A879">
        <f>IF(COUNTA('05_KAIS'!$A867:$N867)=0,"",852)</f>
        <v/>
      </c>
      <c r="B879">
        <f>IF($A879="","",TRIM(INDEX('05_KAIS'!$B:$B,$A879)&amp;" "&amp;INDEX('05_KAIS'!$C:$C,$A879)))</f>
        <v/>
      </c>
      <c r="C879">
        <f>IF($A879="","",INDEX('05_KAIS'!$D:$D,$A879))</f>
        <v/>
      </c>
      <c r="D879">
        <f>IF($A879="","",INDEX('05_KAIS'!$H:$H,$A879))</f>
        <v/>
      </c>
      <c r="E879">
        <f>IF($A879="","",INDEX('05_KAIS'!$K:$K,$A879))</f>
        <v/>
      </c>
      <c r="F879" s="202">
        <f>IF($A879="","",INDEX('05_KAIS'!$I:$I,$A879))</f>
        <v/>
      </c>
      <c r="G879" s="118">
        <f>IF($A879="","",INDEX('05_KAIS'!$L:$L,$A879))</f>
        <v/>
      </c>
      <c r="H879" s="118">
        <f>IF($A879="","",IFERROR(INDEX('05_KAIS'!$M:$M,$A879),IF(AND(E879&gt;0,G879&gt;0),G879/E879,"")))</f>
        <v/>
      </c>
      <c r="I879" s="202">
        <f>IF($A879="","",INDEX('05_KAIS'!$N:$N,$A879))</f>
        <v/>
      </c>
      <c r="J879">
        <f>IF(B879="","",IF('02_대상물건입력'!$B$5="",1,IF(ISNUMBER(SEARCH('02_대상물건입력'!$B$5,B879)),1,0)))</f>
        <v/>
      </c>
      <c r="K879">
        <f>IF(B879="","",IF('02_대상물건입력'!$B$6="",1,IF(ISNUMBER(SEARCH('02_대상물건입력'!$B$6,B879)),1,0)))</f>
        <v/>
      </c>
      <c r="L879">
        <f>IF(D879="","",IF('02_대상물건입력'!$B$8="",0,IF(ISNUMBER(SEARCH('02_대상물건입력'!$B$8,D879)),1,0)))</f>
        <v/>
      </c>
      <c r="M879">
        <f>IFERROR(ABS(E879-'02_대상물건입력'!$B$11)/'02_대상물건입력'!$B$11,"")</f>
        <v/>
      </c>
      <c r="N879">
        <f>IFERROR(ABS('01_설정'!$B$4-F879),"")</f>
        <v/>
      </c>
      <c r="O879">
        <f>IFERROR(ABS(YEAR(I879)-YEAR('02_대상물건입력'!$B$14)),"")</f>
        <v/>
      </c>
      <c r="P879">
        <f>IF(AND(E879&gt;0,F879&gt;0,G879&gt;0,IF('01_설정'!$B$10=1,J879=1,TRUE()),M879&lt;='01_설정'!$B$5,N879&lt;='01_설정'!$B$7,O879&lt;='01_설정'!$B$8),"Y","")</f>
        <v/>
      </c>
      <c r="Q879">
        <f>IF(P879&lt;&gt;"Y","",MAX(0,(1-M879/'01_설정'!$B$5))*'01_설정'!$B$14+MAX(0,(1-N879/'01_설정'!$B$7))*'01_설정'!$B$16+MAX(0,(1-O879/'01_설정'!$B$8))*'01_설정'!$B$17+K879*'01_설정'!$B$11+L879*'01_설정'!$B$12)</f>
        <v/>
      </c>
      <c r="R879">
        <f>IF(Q879="","",1+COUNTIFS($Q$31:$Q$1030,"&gt;"&amp;Q879)+COUNTIFS($Q$31:Q879,Q879)-1)</f>
        <v/>
      </c>
    </row>
    <row r="880" hidden="1" ht="16.5" customHeight="1">
      <c r="A880">
        <f>IF(COUNTA('05_KAIS'!$A868:$N868)=0,"",853)</f>
        <v/>
      </c>
      <c r="B880">
        <f>IF($A880="","",TRIM(INDEX('05_KAIS'!$B:$B,$A880)&amp;" "&amp;INDEX('05_KAIS'!$C:$C,$A880)))</f>
        <v/>
      </c>
      <c r="C880">
        <f>IF($A880="","",INDEX('05_KAIS'!$D:$D,$A880))</f>
        <v/>
      </c>
      <c r="D880">
        <f>IF($A880="","",INDEX('05_KAIS'!$H:$H,$A880))</f>
        <v/>
      </c>
      <c r="E880">
        <f>IF($A880="","",INDEX('05_KAIS'!$K:$K,$A880))</f>
        <v/>
      </c>
      <c r="F880" s="202">
        <f>IF($A880="","",INDEX('05_KAIS'!$I:$I,$A880))</f>
        <v/>
      </c>
      <c r="G880" s="118">
        <f>IF($A880="","",INDEX('05_KAIS'!$L:$L,$A880))</f>
        <v/>
      </c>
      <c r="H880" s="118">
        <f>IF($A880="","",IFERROR(INDEX('05_KAIS'!$M:$M,$A880),IF(AND(E880&gt;0,G880&gt;0),G880/E880,"")))</f>
        <v/>
      </c>
      <c r="I880" s="202">
        <f>IF($A880="","",INDEX('05_KAIS'!$N:$N,$A880))</f>
        <v/>
      </c>
      <c r="J880">
        <f>IF(B880="","",IF('02_대상물건입력'!$B$5="",1,IF(ISNUMBER(SEARCH('02_대상물건입력'!$B$5,B880)),1,0)))</f>
        <v/>
      </c>
      <c r="K880">
        <f>IF(B880="","",IF('02_대상물건입력'!$B$6="",1,IF(ISNUMBER(SEARCH('02_대상물건입력'!$B$6,B880)),1,0)))</f>
        <v/>
      </c>
      <c r="L880">
        <f>IF(D880="","",IF('02_대상물건입력'!$B$8="",0,IF(ISNUMBER(SEARCH('02_대상물건입력'!$B$8,D880)),1,0)))</f>
        <v/>
      </c>
      <c r="M880">
        <f>IFERROR(ABS(E880-'02_대상물건입력'!$B$11)/'02_대상물건입력'!$B$11,"")</f>
        <v/>
      </c>
      <c r="N880">
        <f>IFERROR(ABS('01_설정'!$B$4-F880),"")</f>
        <v/>
      </c>
      <c r="O880">
        <f>IFERROR(ABS(YEAR(I880)-YEAR('02_대상물건입력'!$B$14)),"")</f>
        <v/>
      </c>
      <c r="P880">
        <f>IF(AND(E880&gt;0,F880&gt;0,G880&gt;0,IF('01_설정'!$B$10=1,J880=1,TRUE()),M880&lt;='01_설정'!$B$5,N880&lt;='01_설정'!$B$7,O880&lt;='01_설정'!$B$8),"Y","")</f>
        <v/>
      </c>
      <c r="Q880">
        <f>IF(P880&lt;&gt;"Y","",MAX(0,(1-M880/'01_설정'!$B$5))*'01_설정'!$B$14+MAX(0,(1-N880/'01_설정'!$B$7))*'01_설정'!$B$16+MAX(0,(1-O880/'01_설정'!$B$8))*'01_설정'!$B$17+K880*'01_설정'!$B$11+L880*'01_설정'!$B$12)</f>
        <v/>
      </c>
      <c r="R880">
        <f>IF(Q880="","",1+COUNTIFS($Q$31:$Q$1030,"&gt;"&amp;Q880)+COUNTIFS($Q$31:Q880,Q880)-1)</f>
        <v/>
      </c>
    </row>
    <row r="881" hidden="1" ht="16.5" customHeight="1">
      <c r="A881">
        <f>IF(COUNTA('05_KAIS'!$A869:$N869)=0,"",854)</f>
        <v/>
      </c>
      <c r="B881">
        <f>IF($A881="","",TRIM(INDEX('05_KAIS'!$B:$B,$A881)&amp;" "&amp;INDEX('05_KAIS'!$C:$C,$A881)))</f>
        <v/>
      </c>
      <c r="C881">
        <f>IF($A881="","",INDEX('05_KAIS'!$D:$D,$A881))</f>
        <v/>
      </c>
      <c r="D881">
        <f>IF($A881="","",INDEX('05_KAIS'!$H:$H,$A881))</f>
        <v/>
      </c>
      <c r="E881">
        <f>IF($A881="","",INDEX('05_KAIS'!$K:$K,$A881))</f>
        <v/>
      </c>
      <c r="F881" s="202">
        <f>IF($A881="","",INDEX('05_KAIS'!$I:$I,$A881))</f>
        <v/>
      </c>
      <c r="G881" s="118">
        <f>IF($A881="","",INDEX('05_KAIS'!$L:$L,$A881))</f>
        <v/>
      </c>
      <c r="H881" s="118">
        <f>IF($A881="","",IFERROR(INDEX('05_KAIS'!$M:$M,$A881),IF(AND(E881&gt;0,G881&gt;0),G881/E881,"")))</f>
        <v/>
      </c>
      <c r="I881" s="202">
        <f>IF($A881="","",INDEX('05_KAIS'!$N:$N,$A881))</f>
        <v/>
      </c>
      <c r="J881">
        <f>IF(B881="","",IF('02_대상물건입력'!$B$5="",1,IF(ISNUMBER(SEARCH('02_대상물건입력'!$B$5,B881)),1,0)))</f>
        <v/>
      </c>
      <c r="K881">
        <f>IF(B881="","",IF('02_대상물건입력'!$B$6="",1,IF(ISNUMBER(SEARCH('02_대상물건입력'!$B$6,B881)),1,0)))</f>
        <v/>
      </c>
      <c r="L881">
        <f>IF(D881="","",IF('02_대상물건입력'!$B$8="",0,IF(ISNUMBER(SEARCH('02_대상물건입력'!$B$8,D881)),1,0)))</f>
        <v/>
      </c>
      <c r="M881">
        <f>IFERROR(ABS(E881-'02_대상물건입력'!$B$11)/'02_대상물건입력'!$B$11,"")</f>
        <v/>
      </c>
      <c r="N881">
        <f>IFERROR(ABS('01_설정'!$B$4-F881),"")</f>
        <v/>
      </c>
      <c r="O881">
        <f>IFERROR(ABS(YEAR(I881)-YEAR('02_대상물건입력'!$B$14)),"")</f>
        <v/>
      </c>
      <c r="P881">
        <f>IF(AND(E881&gt;0,F881&gt;0,G881&gt;0,IF('01_설정'!$B$10=1,J881=1,TRUE()),M881&lt;='01_설정'!$B$5,N881&lt;='01_설정'!$B$7,O881&lt;='01_설정'!$B$8),"Y","")</f>
        <v/>
      </c>
      <c r="Q881">
        <f>IF(P881&lt;&gt;"Y","",MAX(0,(1-M881/'01_설정'!$B$5))*'01_설정'!$B$14+MAX(0,(1-N881/'01_설정'!$B$7))*'01_설정'!$B$16+MAX(0,(1-O881/'01_설정'!$B$8))*'01_설정'!$B$17+K881*'01_설정'!$B$11+L881*'01_설정'!$B$12)</f>
        <v/>
      </c>
      <c r="R881">
        <f>IF(Q881="","",1+COUNTIFS($Q$31:$Q$1030,"&gt;"&amp;Q881)+COUNTIFS($Q$31:Q881,Q881)-1)</f>
        <v/>
      </c>
    </row>
    <row r="882" hidden="1" ht="16.5" customHeight="1">
      <c r="A882">
        <f>IF(COUNTA('05_KAIS'!$A870:$N870)=0,"",855)</f>
        <v/>
      </c>
      <c r="B882">
        <f>IF($A882="","",TRIM(INDEX('05_KAIS'!$B:$B,$A882)&amp;" "&amp;INDEX('05_KAIS'!$C:$C,$A882)))</f>
        <v/>
      </c>
      <c r="C882">
        <f>IF($A882="","",INDEX('05_KAIS'!$D:$D,$A882))</f>
        <v/>
      </c>
      <c r="D882">
        <f>IF($A882="","",INDEX('05_KAIS'!$H:$H,$A882))</f>
        <v/>
      </c>
      <c r="E882">
        <f>IF($A882="","",INDEX('05_KAIS'!$K:$K,$A882))</f>
        <v/>
      </c>
      <c r="F882" s="202">
        <f>IF($A882="","",INDEX('05_KAIS'!$I:$I,$A882))</f>
        <v/>
      </c>
      <c r="G882" s="118">
        <f>IF($A882="","",INDEX('05_KAIS'!$L:$L,$A882))</f>
        <v/>
      </c>
      <c r="H882" s="118">
        <f>IF($A882="","",IFERROR(INDEX('05_KAIS'!$M:$M,$A882),IF(AND(E882&gt;0,G882&gt;0),G882/E882,"")))</f>
        <v/>
      </c>
      <c r="I882" s="202">
        <f>IF($A882="","",INDEX('05_KAIS'!$N:$N,$A882))</f>
        <v/>
      </c>
      <c r="J882">
        <f>IF(B882="","",IF('02_대상물건입력'!$B$5="",1,IF(ISNUMBER(SEARCH('02_대상물건입력'!$B$5,B882)),1,0)))</f>
        <v/>
      </c>
      <c r="K882">
        <f>IF(B882="","",IF('02_대상물건입력'!$B$6="",1,IF(ISNUMBER(SEARCH('02_대상물건입력'!$B$6,B882)),1,0)))</f>
        <v/>
      </c>
      <c r="L882">
        <f>IF(D882="","",IF('02_대상물건입력'!$B$8="",0,IF(ISNUMBER(SEARCH('02_대상물건입력'!$B$8,D882)),1,0)))</f>
        <v/>
      </c>
      <c r="M882">
        <f>IFERROR(ABS(E882-'02_대상물건입력'!$B$11)/'02_대상물건입력'!$B$11,"")</f>
        <v/>
      </c>
      <c r="N882">
        <f>IFERROR(ABS('01_설정'!$B$4-F882),"")</f>
        <v/>
      </c>
      <c r="O882">
        <f>IFERROR(ABS(YEAR(I882)-YEAR('02_대상물건입력'!$B$14)),"")</f>
        <v/>
      </c>
      <c r="P882">
        <f>IF(AND(E882&gt;0,F882&gt;0,G882&gt;0,IF('01_설정'!$B$10=1,J882=1,TRUE()),M882&lt;='01_설정'!$B$5,N882&lt;='01_설정'!$B$7,O882&lt;='01_설정'!$B$8),"Y","")</f>
        <v/>
      </c>
      <c r="Q882">
        <f>IF(P882&lt;&gt;"Y","",MAX(0,(1-M882/'01_설정'!$B$5))*'01_설정'!$B$14+MAX(0,(1-N882/'01_설정'!$B$7))*'01_설정'!$B$16+MAX(0,(1-O882/'01_설정'!$B$8))*'01_설정'!$B$17+K882*'01_설정'!$B$11+L882*'01_설정'!$B$12)</f>
        <v/>
      </c>
      <c r="R882">
        <f>IF(Q882="","",1+COUNTIFS($Q$31:$Q$1030,"&gt;"&amp;Q882)+COUNTIFS($Q$31:Q882,Q882)-1)</f>
        <v/>
      </c>
    </row>
    <row r="883" hidden="1" ht="16.5" customHeight="1">
      <c r="A883">
        <f>IF(COUNTA('05_KAIS'!$A871:$N871)=0,"",856)</f>
        <v/>
      </c>
      <c r="B883">
        <f>IF($A883="","",TRIM(INDEX('05_KAIS'!$B:$B,$A883)&amp;" "&amp;INDEX('05_KAIS'!$C:$C,$A883)))</f>
        <v/>
      </c>
      <c r="C883">
        <f>IF($A883="","",INDEX('05_KAIS'!$D:$D,$A883))</f>
        <v/>
      </c>
      <c r="D883">
        <f>IF($A883="","",INDEX('05_KAIS'!$H:$H,$A883))</f>
        <v/>
      </c>
      <c r="E883">
        <f>IF($A883="","",INDEX('05_KAIS'!$K:$K,$A883))</f>
        <v/>
      </c>
      <c r="F883" s="202">
        <f>IF($A883="","",INDEX('05_KAIS'!$I:$I,$A883))</f>
        <v/>
      </c>
      <c r="G883" s="118">
        <f>IF($A883="","",INDEX('05_KAIS'!$L:$L,$A883))</f>
        <v/>
      </c>
      <c r="H883" s="118">
        <f>IF($A883="","",IFERROR(INDEX('05_KAIS'!$M:$M,$A883),IF(AND(E883&gt;0,G883&gt;0),G883/E883,"")))</f>
        <v/>
      </c>
      <c r="I883" s="202">
        <f>IF($A883="","",INDEX('05_KAIS'!$N:$N,$A883))</f>
        <v/>
      </c>
      <c r="J883">
        <f>IF(B883="","",IF('02_대상물건입력'!$B$5="",1,IF(ISNUMBER(SEARCH('02_대상물건입력'!$B$5,B883)),1,0)))</f>
        <v/>
      </c>
      <c r="K883">
        <f>IF(B883="","",IF('02_대상물건입력'!$B$6="",1,IF(ISNUMBER(SEARCH('02_대상물건입력'!$B$6,B883)),1,0)))</f>
        <v/>
      </c>
      <c r="L883">
        <f>IF(D883="","",IF('02_대상물건입력'!$B$8="",0,IF(ISNUMBER(SEARCH('02_대상물건입력'!$B$8,D883)),1,0)))</f>
        <v/>
      </c>
      <c r="M883">
        <f>IFERROR(ABS(E883-'02_대상물건입력'!$B$11)/'02_대상물건입력'!$B$11,"")</f>
        <v/>
      </c>
      <c r="N883">
        <f>IFERROR(ABS('01_설정'!$B$4-F883),"")</f>
        <v/>
      </c>
      <c r="O883">
        <f>IFERROR(ABS(YEAR(I883)-YEAR('02_대상물건입력'!$B$14)),"")</f>
        <v/>
      </c>
      <c r="P883">
        <f>IF(AND(E883&gt;0,F883&gt;0,G883&gt;0,IF('01_설정'!$B$10=1,J883=1,TRUE()),M883&lt;='01_설정'!$B$5,N883&lt;='01_설정'!$B$7,O883&lt;='01_설정'!$B$8),"Y","")</f>
        <v/>
      </c>
      <c r="Q883">
        <f>IF(P883&lt;&gt;"Y","",MAX(0,(1-M883/'01_설정'!$B$5))*'01_설정'!$B$14+MAX(0,(1-N883/'01_설정'!$B$7))*'01_설정'!$B$16+MAX(0,(1-O883/'01_설정'!$B$8))*'01_설정'!$B$17+K883*'01_설정'!$B$11+L883*'01_설정'!$B$12)</f>
        <v/>
      </c>
      <c r="R883">
        <f>IF(Q883="","",1+COUNTIFS($Q$31:$Q$1030,"&gt;"&amp;Q883)+COUNTIFS($Q$31:Q883,Q883)-1)</f>
        <v/>
      </c>
    </row>
    <row r="884" hidden="1" ht="16.5" customHeight="1">
      <c r="A884">
        <f>IF(COUNTA('05_KAIS'!$A872:$N872)=0,"",857)</f>
        <v/>
      </c>
      <c r="B884">
        <f>IF($A884="","",TRIM(INDEX('05_KAIS'!$B:$B,$A884)&amp;" "&amp;INDEX('05_KAIS'!$C:$C,$A884)))</f>
        <v/>
      </c>
      <c r="C884">
        <f>IF($A884="","",INDEX('05_KAIS'!$D:$D,$A884))</f>
        <v/>
      </c>
      <c r="D884">
        <f>IF($A884="","",INDEX('05_KAIS'!$H:$H,$A884))</f>
        <v/>
      </c>
      <c r="E884">
        <f>IF($A884="","",INDEX('05_KAIS'!$K:$K,$A884))</f>
        <v/>
      </c>
      <c r="F884" s="202">
        <f>IF($A884="","",INDEX('05_KAIS'!$I:$I,$A884))</f>
        <v/>
      </c>
      <c r="G884" s="118">
        <f>IF($A884="","",INDEX('05_KAIS'!$L:$L,$A884))</f>
        <v/>
      </c>
      <c r="H884" s="118">
        <f>IF($A884="","",IFERROR(INDEX('05_KAIS'!$M:$M,$A884),IF(AND(E884&gt;0,G884&gt;0),G884/E884,"")))</f>
        <v/>
      </c>
      <c r="I884" s="202">
        <f>IF($A884="","",INDEX('05_KAIS'!$N:$N,$A884))</f>
        <v/>
      </c>
      <c r="J884">
        <f>IF(B884="","",IF('02_대상물건입력'!$B$5="",1,IF(ISNUMBER(SEARCH('02_대상물건입력'!$B$5,B884)),1,0)))</f>
        <v/>
      </c>
      <c r="K884">
        <f>IF(B884="","",IF('02_대상물건입력'!$B$6="",1,IF(ISNUMBER(SEARCH('02_대상물건입력'!$B$6,B884)),1,0)))</f>
        <v/>
      </c>
      <c r="L884">
        <f>IF(D884="","",IF('02_대상물건입력'!$B$8="",0,IF(ISNUMBER(SEARCH('02_대상물건입력'!$B$8,D884)),1,0)))</f>
        <v/>
      </c>
      <c r="M884">
        <f>IFERROR(ABS(E884-'02_대상물건입력'!$B$11)/'02_대상물건입력'!$B$11,"")</f>
        <v/>
      </c>
      <c r="N884">
        <f>IFERROR(ABS('01_설정'!$B$4-F884),"")</f>
        <v/>
      </c>
      <c r="O884">
        <f>IFERROR(ABS(YEAR(I884)-YEAR('02_대상물건입력'!$B$14)),"")</f>
        <v/>
      </c>
      <c r="P884">
        <f>IF(AND(E884&gt;0,F884&gt;0,G884&gt;0,IF('01_설정'!$B$10=1,J884=1,TRUE()),M884&lt;='01_설정'!$B$5,N884&lt;='01_설정'!$B$7,O884&lt;='01_설정'!$B$8),"Y","")</f>
        <v/>
      </c>
      <c r="Q884">
        <f>IF(P884&lt;&gt;"Y","",MAX(0,(1-M884/'01_설정'!$B$5))*'01_설정'!$B$14+MAX(0,(1-N884/'01_설정'!$B$7))*'01_설정'!$B$16+MAX(0,(1-O884/'01_설정'!$B$8))*'01_설정'!$B$17+K884*'01_설정'!$B$11+L884*'01_설정'!$B$12)</f>
        <v/>
      </c>
      <c r="R884">
        <f>IF(Q884="","",1+COUNTIFS($Q$31:$Q$1030,"&gt;"&amp;Q884)+COUNTIFS($Q$31:Q884,Q884)-1)</f>
        <v/>
      </c>
    </row>
    <row r="885" hidden="1" ht="16.5" customHeight="1">
      <c r="A885">
        <f>IF(COUNTA('05_KAIS'!$A873:$N873)=0,"",858)</f>
        <v/>
      </c>
      <c r="B885">
        <f>IF($A885="","",TRIM(INDEX('05_KAIS'!$B:$B,$A885)&amp;" "&amp;INDEX('05_KAIS'!$C:$C,$A885)))</f>
        <v/>
      </c>
      <c r="C885">
        <f>IF($A885="","",INDEX('05_KAIS'!$D:$D,$A885))</f>
        <v/>
      </c>
      <c r="D885">
        <f>IF($A885="","",INDEX('05_KAIS'!$H:$H,$A885))</f>
        <v/>
      </c>
      <c r="E885">
        <f>IF($A885="","",INDEX('05_KAIS'!$K:$K,$A885))</f>
        <v/>
      </c>
      <c r="F885" s="202">
        <f>IF($A885="","",INDEX('05_KAIS'!$I:$I,$A885))</f>
        <v/>
      </c>
      <c r="G885" s="118">
        <f>IF($A885="","",INDEX('05_KAIS'!$L:$L,$A885))</f>
        <v/>
      </c>
      <c r="H885" s="118">
        <f>IF($A885="","",IFERROR(INDEX('05_KAIS'!$M:$M,$A885),IF(AND(E885&gt;0,G885&gt;0),G885/E885,"")))</f>
        <v/>
      </c>
      <c r="I885" s="202">
        <f>IF($A885="","",INDEX('05_KAIS'!$N:$N,$A885))</f>
        <v/>
      </c>
      <c r="J885">
        <f>IF(B885="","",IF('02_대상물건입력'!$B$5="",1,IF(ISNUMBER(SEARCH('02_대상물건입력'!$B$5,B885)),1,0)))</f>
        <v/>
      </c>
      <c r="K885">
        <f>IF(B885="","",IF('02_대상물건입력'!$B$6="",1,IF(ISNUMBER(SEARCH('02_대상물건입력'!$B$6,B885)),1,0)))</f>
        <v/>
      </c>
      <c r="L885">
        <f>IF(D885="","",IF('02_대상물건입력'!$B$8="",0,IF(ISNUMBER(SEARCH('02_대상물건입력'!$B$8,D885)),1,0)))</f>
        <v/>
      </c>
      <c r="M885">
        <f>IFERROR(ABS(E885-'02_대상물건입력'!$B$11)/'02_대상물건입력'!$B$11,"")</f>
        <v/>
      </c>
      <c r="N885">
        <f>IFERROR(ABS('01_설정'!$B$4-F885),"")</f>
        <v/>
      </c>
      <c r="O885">
        <f>IFERROR(ABS(YEAR(I885)-YEAR('02_대상물건입력'!$B$14)),"")</f>
        <v/>
      </c>
      <c r="P885">
        <f>IF(AND(E885&gt;0,F885&gt;0,G885&gt;0,IF('01_설정'!$B$10=1,J885=1,TRUE()),M885&lt;='01_설정'!$B$5,N885&lt;='01_설정'!$B$7,O885&lt;='01_설정'!$B$8),"Y","")</f>
        <v/>
      </c>
      <c r="Q885">
        <f>IF(P885&lt;&gt;"Y","",MAX(0,(1-M885/'01_설정'!$B$5))*'01_설정'!$B$14+MAX(0,(1-N885/'01_설정'!$B$7))*'01_설정'!$B$16+MAX(0,(1-O885/'01_설정'!$B$8))*'01_설정'!$B$17+K885*'01_설정'!$B$11+L885*'01_설정'!$B$12)</f>
        <v/>
      </c>
      <c r="R885">
        <f>IF(Q885="","",1+COUNTIFS($Q$31:$Q$1030,"&gt;"&amp;Q885)+COUNTIFS($Q$31:Q885,Q885)-1)</f>
        <v/>
      </c>
    </row>
    <row r="886" hidden="1" ht="16.5" customHeight="1">
      <c r="A886">
        <f>IF(COUNTA('05_KAIS'!$A874:$N874)=0,"",859)</f>
        <v/>
      </c>
      <c r="B886">
        <f>IF($A886="","",TRIM(INDEX('05_KAIS'!$B:$B,$A886)&amp;" "&amp;INDEX('05_KAIS'!$C:$C,$A886)))</f>
        <v/>
      </c>
      <c r="C886">
        <f>IF($A886="","",INDEX('05_KAIS'!$D:$D,$A886))</f>
        <v/>
      </c>
      <c r="D886">
        <f>IF($A886="","",INDEX('05_KAIS'!$H:$H,$A886))</f>
        <v/>
      </c>
      <c r="E886">
        <f>IF($A886="","",INDEX('05_KAIS'!$K:$K,$A886))</f>
        <v/>
      </c>
      <c r="F886" s="202">
        <f>IF($A886="","",INDEX('05_KAIS'!$I:$I,$A886))</f>
        <v/>
      </c>
      <c r="G886" s="118">
        <f>IF($A886="","",INDEX('05_KAIS'!$L:$L,$A886))</f>
        <v/>
      </c>
      <c r="H886" s="118">
        <f>IF($A886="","",IFERROR(INDEX('05_KAIS'!$M:$M,$A886),IF(AND(E886&gt;0,G886&gt;0),G886/E886,"")))</f>
        <v/>
      </c>
      <c r="I886" s="202">
        <f>IF($A886="","",INDEX('05_KAIS'!$N:$N,$A886))</f>
        <v/>
      </c>
      <c r="J886">
        <f>IF(B886="","",IF('02_대상물건입력'!$B$5="",1,IF(ISNUMBER(SEARCH('02_대상물건입력'!$B$5,B886)),1,0)))</f>
        <v/>
      </c>
      <c r="K886">
        <f>IF(B886="","",IF('02_대상물건입력'!$B$6="",1,IF(ISNUMBER(SEARCH('02_대상물건입력'!$B$6,B886)),1,0)))</f>
        <v/>
      </c>
      <c r="L886">
        <f>IF(D886="","",IF('02_대상물건입력'!$B$8="",0,IF(ISNUMBER(SEARCH('02_대상물건입력'!$B$8,D886)),1,0)))</f>
        <v/>
      </c>
      <c r="M886">
        <f>IFERROR(ABS(E886-'02_대상물건입력'!$B$11)/'02_대상물건입력'!$B$11,"")</f>
        <v/>
      </c>
      <c r="N886">
        <f>IFERROR(ABS('01_설정'!$B$4-F886),"")</f>
        <v/>
      </c>
      <c r="O886">
        <f>IFERROR(ABS(YEAR(I886)-YEAR('02_대상물건입력'!$B$14)),"")</f>
        <v/>
      </c>
      <c r="P886">
        <f>IF(AND(E886&gt;0,F886&gt;0,G886&gt;0,IF('01_설정'!$B$10=1,J886=1,TRUE()),M886&lt;='01_설정'!$B$5,N886&lt;='01_설정'!$B$7,O886&lt;='01_설정'!$B$8),"Y","")</f>
        <v/>
      </c>
      <c r="Q886">
        <f>IF(P886&lt;&gt;"Y","",MAX(0,(1-M886/'01_설정'!$B$5))*'01_설정'!$B$14+MAX(0,(1-N886/'01_설정'!$B$7))*'01_설정'!$B$16+MAX(0,(1-O886/'01_설정'!$B$8))*'01_설정'!$B$17+K886*'01_설정'!$B$11+L886*'01_설정'!$B$12)</f>
        <v/>
      </c>
      <c r="R886">
        <f>IF(Q886="","",1+COUNTIFS($Q$31:$Q$1030,"&gt;"&amp;Q886)+COUNTIFS($Q$31:Q886,Q886)-1)</f>
        <v/>
      </c>
    </row>
    <row r="887" hidden="1" ht="16.5" customHeight="1">
      <c r="A887">
        <f>IF(COUNTA('05_KAIS'!$A875:$N875)=0,"",860)</f>
        <v/>
      </c>
      <c r="B887">
        <f>IF($A887="","",TRIM(INDEX('05_KAIS'!$B:$B,$A887)&amp;" "&amp;INDEX('05_KAIS'!$C:$C,$A887)))</f>
        <v/>
      </c>
      <c r="C887">
        <f>IF($A887="","",INDEX('05_KAIS'!$D:$D,$A887))</f>
        <v/>
      </c>
      <c r="D887">
        <f>IF($A887="","",INDEX('05_KAIS'!$H:$H,$A887))</f>
        <v/>
      </c>
      <c r="E887">
        <f>IF($A887="","",INDEX('05_KAIS'!$K:$K,$A887))</f>
        <v/>
      </c>
      <c r="F887" s="202">
        <f>IF($A887="","",INDEX('05_KAIS'!$I:$I,$A887))</f>
        <v/>
      </c>
      <c r="G887" s="118">
        <f>IF($A887="","",INDEX('05_KAIS'!$L:$L,$A887))</f>
        <v/>
      </c>
      <c r="H887" s="118">
        <f>IF($A887="","",IFERROR(INDEX('05_KAIS'!$M:$M,$A887),IF(AND(E887&gt;0,G887&gt;0),G887/E887,"")))</f>
        <v/>
      </c>
      <c r="I887" s="202">
        <f>IF($A887="","",INDEX('05_KAIS'!$N:$N,$A887))</f>
        <v/>
      </c>
      <c r="J887">
        <f>IF(B887="","",IF('02_대상물건입력'!$B$5="",1,IF(ISNUMBER(SEARCH('02_대상물건입력'!$B$5,B887)),1,0)))</f>
        <v/>
      </c>
      <c r="K887">
        <f>IF(B887="","",IF('02_대상물건입력'!$B$6="",1,IF(ISNUMBER(SEARCH('02_대상물건입력'!$B$6,B887)),1,0)))</f>
        <v/>
      </c>
      <c r="L887">
        <f>IF(D887="","",IF('02_대상물건입력'!$B$8="",0,IF(ISNUMBER(SEARCH('02_대상물건입력'!$B$8,D887)),1,0)))</f>
        <v/>
      </c>
      <c r="M887">
        <f>IFERROR(ABS(E887-'02_대상물건입력'!$B$11)/'02_대상물건입력'!$B$11,"")</f>
        <v/>
      </c>
      <c r="N887">
        <f>IFERROR(ABS('01_설정'!$B$4-F887),"")</f>
        <v/>
      </c>
      <c r="O887">
        <f>IFERROR(ABS(YEAR(I887)-YEAR('02_대상물건입력'!$B$14)),"")</f>
        <v/>
      </c>
      <c r="P887">
        <f>IF(AND(E887&gt;0,F887&gt;0,G887&gt;0,IF('01_설정'!$B$10=1,J887=1,TRUE()),M887&lt;='01_설정'!$B$5,N887&lt;='01_설정'!$B$7,O887&lt;='01_설정'!$B$8),"Y","")</f>
        <v/>
      </c>
      <c r="Q887">
        <f>IF(P887&lt;&gt;"Y","",MAX(0,(1-M887/'01_설정'!$B$5))*'01_설정'!$B$14+MAX(0,(1-N887/'01_설정'!$B$7))*'01_설정'!$B$16+MAX(0,(1-O887/'01_설정'!$B$8))*'01_설정'!$B$17+K887*'01_설정'!$B$11+L887*'01_설정'!$B$12)</f>
        <v/>
      </c>
      <c r="R887">
        <f>IF(Q887="","",1+COUNTIFS($Q$31:$Q$1030,"&gt;"&amp;Q887)+COUNTIFS($Q$31:Q887,Q887)-1)</f>
        <v/>
      </c>
    </row>
    <row r="888" hidden="1" ht="16.5" customHeight="1">
      <c r="A888">
        <f>IF(COUNTA('05_KAIS'!$A876:$N876)=0,"",861)</f>
        <v/>
      </c>
      <c r="B888">
        <f>IF($A888="","",TRIM(INDEX('05_KAIS'!$B:$B,$A888)&amp;" "&amp;INDEX('05_KAIS'!$C:$C,$A888)))</f>
        <v/>
      </c>
      <c r="C888">
        <f>IF($A888="","",INDEX('05_KAIS'!$D:$D,$A888))</f>
        <v/>
      </c>
      <c r="D888">
        <f>IF($A888="","",INDEX('05_KAIS'!$H:$H,$A888))</f>
        <v/>
      </c>
      <c r="E888">
        <f>IF($A888="","",INDEX('05_KAIS'!$K:$K,$A888))</f>
        <v/>
      </c>
      <c r="F888" s="202">
        <f>IF($A888="","",INDEX('05_KAIS'!$I:$I,$A888))</f>
        <v/>
      </c>
      <c r="G888" s="118">
        <f>IF($A888="","",INDEX('05_KAIS'!$L:$L,$A888))</f>
        <v/>
      </c>
      <c r="H888" s="118">
        <f>IF($A888="","",IFERROR(INDEX('05_KAIS'!$M:$M,$A888),IF(AND(E888&gt;0,G888&gt;0),G888/E888,"")))</f>
        <v/>
      </c>
      <c r="I888" s="202">
        <f>IF($A888="","",INDEX('05_KAIS'!$N:$N,$A888))</f>
        <v/>
      </c>
      <c r="J888">
        <f>IF(B888="","",IF('02_대상물건입력'!$B$5="",1,IF(ISNUMBER(SEARCH('02_대상물건입력'!$B$5,B888)),1,0)))</f>
        <v/>
      </c>
      <c r="K888">
        <f>IF(B888="","",IF('02_대상물건입력'!$B$6="",1,IF(ISNUMBER(SEARCH('02_대상물건입력'!$B$6,B888)),1,0)))</f>
        <v/>
      </c>
      <c r="L888">
        <f>IF(D888="","",IF('02_대상물건입력'!$B$8="",0,IF(ISNUMBER(SEARCH('02_대상물건입력'!$B$8,D888)),1,0)))</f>
        <v/>
      </c>
      <c r="M888">
        <f>IFERROR(ABS(E888-'02_대상물건입력'!$B$11)/'02_대상물건입력'!$B$11,"")</f>
        <v/>
      </c>
      <c r="N888">
        <f>IFERROR(ABS('01_설정'!$B$4-F888),"")</f>
        <v/>
      </c>
      <c r="O888">
        <f>IFERROR(ABS(YEAR(I888)-YEAR('02_대상물건입력'!$B$14)),"")</f>
        <v/>
      </c>
      <c r="P888">
        <f>IF(AND(E888&gt;0,F888&gt;0,G888&gt;0,IF('01_설정'!$B$10=1,J888=1,TRUE()),M888&lt;='01_설정'!$B$5,N888&lt;='01_설정'!$B$7,O888&lt;='01_설정'!$B$8),"Y","")</f>
        <v/>
      </c>
      <c r="Q888">
        <f>IF(P888&lt;&gt;"Y","",MAX(0,(1-M888/'01_설정'!$B$5))*'01_설정'!$B$14+MAX(0,(1-N888/'01_설정'!$B$7))*'01_설정'!$B$16+MAX(0,(1-O888/'01_설정'!$B$8))*'01_설정'!$B$17+K888*'01_설정'!$B$11+L888*'01_설정'!$B$12)</f>
        <v/>
      </c>
      <c r="R888">
        <f>IF(Q888="","",1+COUNTIFS($Q$31:$Q$1030,"&gt;"&amp;Q888)+COUNTIFS($Q$31:Q888,Q888)-1)</f>
        <v/>
      </c>
    </row>
    <row r="889" hidden="1" ht="16.5" customHeight="1">
      <c r="A889">
        <f>IF(COUNTA('05_KAIS'!$A877:$N877)=0,"",862)</f>
        <v/>
      </c>
      <c r="B889">
        <f>IF($A889="","",TRIM(INDEX('05_KAIS'!$B:$B,$A889)&amp;" "&amp;INDEX('05_KAIS'!$C:$C,$A889)))</f>
        <v/>
      </c>
      <c r="C889">
        <f>IF($A889="","",INDEX('05_KAIS'!$D:$D,$A889))</f>
        <v/>
      </c>
      <c r="D889">
        <f>IF($A889="","",INDEX('05_KAIS'!$H:$H,$A889))</f>
        <v/>
      </c>
      <c r="E889">
        <f>IF($A889="","",INDEX('05_KAIS'!$K:$K,$A889))</f>
        <v/>
      </c>
      <c r="F889" s="202">
        <f>IF($A889="","",INDEX('05_KAIS'!$I:$I,$A889))</f>
        <v/>
      </c>
      <c r="G889" s="118">
        <f>IF($A889="","",INDEX('05_KAIS'!$L:$L,$A889))</f>
        <v/>
      </c>
      <c r="H889" s="118">
        <f>IF($A889="","",IFERROR(INDEX('05_KAIS'!$M:$M,$A889),IF(AND(E889&gt;0,G889&gt;0),G889/E889,"")))</f>
        <v/>
      </c>
      <c r="I889" s="202">
        <f>IF($A889="","",INDEX('05_KAIS'!$N:$N,$A889))</f>
        <v/>
      </c>
      <c r="J889">
        <f>IF(B889="","",IF('02_대상물건입력'!$B$5="",1,IF(ISNUMBER(SEARCH('02_대상물건입력'!$B$5,B889)),1,0)))</f>
        <v/>
      </c>
      <c r="K889">
        <f>IF(B889="","",IF('02_대상물건입력'!$B$6="",1,IF(ISNUMBER(SEARCH('02_대상물건입력'!$B$6,B889)),1,0)))</f>
        <v/>
      </c>
      <c r="L889">
        <f>IF(D889="","",IF('02_대상물건입력'!$B$8="",0,IF(ISNUMBER(SEARCH('02_대상물건입력'!$B$8,D889)),1,0)))</f>
        <v/>
      </c>
      <c r="M889">
        <f>IFERROR(ABS(E889-'02_대상물건입력'!$B$11)/'02_대상물건입력'!$B$11,"")</f>
        <v/>
      </c>
      <c r="N889">
        <f>IFERROR(ABS('01_설정'!$B$4-F889),"")</f>
        <v/>
      </c>
      <c r="O889">
        <f>IFERROR(ABS(YEAR(I889)-YEAR('02_대상물건입력'!$B$14)),"")</f>
        <v/>
      </c>
      <c r="P889">
        <f>IF(AND(E889&gt;0,F889&gt;0,G889&gt;0,IF('01_설정'!$B$10=1,J889=1,TRUE()),M889&lt;='01_설정'!$B$5,N889&lt;='01_설정'!$B$7,O889&lt;='01_설정'!$B$8),"Y","")</f>
        <v/>
      </c>
      <c r="Q889">
        <f>IF(P889&lt;&gt;"Y","",MAX(0,(1-M889/'01_설정'!$B$5))*'01_설정'!$B$14+MAX(0,(1-N889/'01_설정'!$B$7))*'01_설정'!$B$16+MAX(0,(1-O889/'01_설정'!$B$8))*'01_설정'!$B$17+K889*'01_설정'!$B$11+L889*'01_설정'!$B$12)</f>
        <v/>
      </c>
      <c r="R889">
        <f>IF(Q889="","",1+COUNTIFS($Q$31:$Q$1030,"&gt;"&amp;Q889)+COUNTIFS($Q$31:Q889,Q889)-1)</f>
        <v/>
      </c>
    </row>
    <row r="890" hidden="1" ht="16.5" customHeight="1">
      <c r="A890">
        <f>IF(COUNTA('05_KAIS'!$A878:$N878)=0,"",863)</f>
        <v/>
      </c>
      <c r="B890">
        <f>IF($A890="","",TRIM(INDEX('05_KAIS'!$B:$B,$A890)&amp;" "&amp;INDEX('05_KAIS'!$C:$C,$A890)))</f>
        <v/>
      </c>
      <c r="C890">
        <f>IF($A890="","",INDEX('05_KAIS'!$D:$D,$A890))</f>
        <v/>
      </c>
      <c r="D890">
        <f>IF($A890="","",INDEX('05_KAIS'!$H:$H,$A890))</f>
        <v/>
      </c>
      <c r="E890">
        <f>IF($A890="","",INDEX('05_KAIS'!$K:$K,$A890))</f>
        <v/>
      </c>
      <c r="F890" s="202">
        <f>IF($A890="","",INDEX('05_KAIS'!$I:$I,$A890))</f>
        <v/>
      </c>
      <c r="G890" s="118">
        <f>IF($A890="","",INDEX('05_KAIS'!$L:$L,$A890))</f>
        <v/>
      </c>
      <c r="H890" s="118">
        <f>IF($A890="","",IFERROR(INDEX('05_KAIS'!$M:$M,$A890),IF(AND(E890&gt;0,G890&gt;0),G890/E890,"")))</f>
        <v/>
      </c>
      <c r="I890" s="202">
        <f>IF($A890="","",INDEX('05_KAIS'!$N:$N,$A890))</f>
        <v/>
      </c>
      <c r="J890">
        <f>IF(B890="","",IF('02_대상물건입력'!$B$5="",1,IF(ISNUMBER(SEARCH('02_대상물건입력'!$B$5,B890)),1,0)))</f>
        <v/>
      </c>
      <c r="K890">
        <f>IF(B890="","",IF('02_대상물건입력'!$B$6="",1,IF(ISNUMBER(SEARCH('02_대상물건입력'!$B$6,B890)),1,0)))</f>
        <v/>
      </c>
      <c r="L890">
        <f>IF(D890="","",IF('02_대상물건입력'!$B$8="",0,IF(ISNUMBER(SEARCH('02_대상물건입력'!$B$8,D890)),1,0)))</f>
        <v/>
      </c>
      <c r="M890">
        <f>IFERROR(ABS(E890-'02_대상물건입력'!$B$11)/'02_대상물건입력'!$B$11,"")</f>
        <v/>
      </c>
      <c r="N890">
        <f>IFERROR(ABS('01_설정'!$B$4-F890),"")</f>
        <v/>
      </c>
      <c r="O890">
        <f>IFERROR(ABS(YEAR(I890)-YEAR('02_대상물건입력'!$B$14)),"")</f>
        <v/>
      </c>
      <c r="P890">
        <f>IF(AND(E890&gt;0,F890&gt;0,G890&gt;0,IF('01_설정'!$B$10=1,J890=1,TRUE()),M890&lt;='01_설정'!$B$5,N890&lt;='01_설정'!$B$7,O890&lt;='01_설정'!$B$8),"Y","")</f>
        <v/>
      </c>
      <c r="Q890">
        <f>IF(P890&lt;&gt;"Y","",MAX(0,(1-M890/'01_설정'!$B$5))*'01_설정'!$B$14+MAX(0,(1-N890/'01_설정'!$B$7))*'01_설정'!$B$16+MAX(0,(1-O890/'01_설정'!$B$8))*'01_설정'!$B$17+K890*'01_설정'!$B$11+L890*'01_설정'!$B$12)</f>
        <v/>
      </c>
      <c r="R890">
        <f>IF(Q890="","",1+COUNTIFS($Q$31:$Q$1030,"&gt;"&amp;Q890)+COUNTIFS($Q$31:Q890,Q890)-1)</f>
        <v/>
      </c>
    </row>
    <row r="891" hidden="1" ht="16.5" customHeight="1">
      <c r="A891">
        <f>IF(COUNTA('05_KAIS'!$A879:$N879)=0,"",864)</f>
        <v/>
      </c>
      <c r="B891">
        <f>IF($A891="","",TRIM(INDEX('05_KAIS'!$B:$B,$A891)&amp;" "&amp;INDEX('05_KAIS'!$C:$C,$A891)))</f>
        <v/>
      </c>
      <c r="C891">
        <f>IF($A891="","",INDEX('05_KAIS'!$D:$D,$A891))</f>
        <v/>
      </c>
      <c r="D891">
        <f>IF($A891="","",INDEX('05_KAIS'!$H:$H,$A891))</f>
        <v/>
      </c>
      <c r="E891">
        <f>IF($A891="","",INDEX('05_KAIS'!$K:$K,$A891))</f>
        <v/>
      </c>
      <c r="F891" s="202">
        <f>IF($A891="","",INDEX('05_KAIS'!$I:$I,$A891))</f>
        <v/>
      </c>
      <c r="G891" s="118">
        <f>IF($A891="","",INDEX('05_KAIS'!$L:$L,$A891))</f>
        <v/>
      </c>
      <c r="H891" s="118">
        <f>IF($A891="","",IFERROR(INDEX('05_KAIS'!$M:$M,$A891),IF(AND(E891&gt;0,G891&gt;0),G891/E891,"")))</f>
        <v/>
      </c>
      <c r="I891" s="202">
        <f>IF($A891="","",INDEX('05_KAIS'!$N:$N,$A891))</f>
        <v/>
      </c>
      <c r="J891">
        <f>IF(B891="","",IF('02_대상물건입력'!$B$5="",1,IF(ISNUMBER(SEARCH('02_대상물건입력'!$B$5,B891)),1,0)))</f>
        <v/>
      </c>
      <c r="K891">
        <f>IF(B891="","",IF('02_대상물건입력'!$B$6="",1,IF(ISNUMBER(SEARCH('02_대상물건입력'!$B$6,B891)),1,0)))</f>
        <v/>
      </c>
      <c r="L891">
        <f>IF(D891="","",IF('02_대상물건입력'!$B$8="",0,IF(ISNUMBER(SEARCH('02_대상물건입력'!$B$8,D891)),1,0)))</f>
        <v/>
      </c>
      <c r="M891">
        <f>IFERROR(ABS(E891-'02_대상물건입력'!$B$11)/'02_대상물건입력'!$B$11,"")</f>
        <v/>
      </c>
      <c r="N891">
        <f>IFERROR(ABS('01_설정'!$B$4-F891),"")</f>
        <v/>
      </c>
      <c r="O891">
        <f>IFERROR(ABS(YEAR(I891)-YEAR('02_대상물건입력'!$B$14)),"")</f>
        <v/>
      </c>
      <c r="P891">
        <f>IF(AND(E891&gt;0,F891&gt;0,G891&gt;0,IF('01_설정'!$B$10=1,J891=1,TRUE()),M891&lt;='01_설정'!$B$5,N891&lt;='01_설정'!$B$7,O891&lt;='01_설정'!$B$8),"Y","")</f>
        <v/>
      </c>
      <c r="Q891">
        <f>IF(P891&lt;&gt;"Y","",MAX(0,(1-M891/'01_설정'!$B$5))*'01_설정'!$B$14+MAX(0,(1-N891/'01_설정'!$B$7))*'01_설정'!$B$16+MAX(0,(1-O891/'01_설정'!$B$8))*'01_설정'!$B$17+K891*'01_설정'!$B$11+L891*'01_설정'!$B$12)</f>
        <v/>
      </c>
      <c r="R891">
        <f>IF(Q891="","",1+COUNTIFS($Q$31:$Q$1030,"&gt;"&amp;Q891)+COUNTIFS($Q$31:Q891,Q891)-1)</f>
        <v/>
      </c>
    </row>
    <row r="892" hidden="1" ht="16.5" customHeight="1">
      <c r="A892">
        <f>IF(COUNTA('05_KAIS'!$A880:$N880)=0,"",865)</f>
        <v/>
      </c>
      <c r="B892">
        <f>IF($A892="","",TRIM(INDEX('05_KAIS'!$B:$B,$A892)&amp;" "&amp;INDEX('05_KAIS'!$C:$C,$A892)))</f>
        <v/>
      </c>
      <c r="C892">
        <f>IF($A892="","",INDEX('05_KAIS'!$D:$D,$A892))</f>
        <v/>
      </c>
      <c r="D892">
        <f>IF($A892="","",INDEX('05_KAIS'!$H:$H,$A892))</f>
        <v/>
      </c>
      <c r="E892">
        <f>IF($A892="","",INDEX('05_KAIS'!$K:$K,$A892))</f>
        <v/>
      </c>
      <c r="F892" s="202">
        <f>IF($A892="","",INDEX('05_KAIS'!$I:$I,$A892))</f>
        <v/>
      </c>
      <c r="G892" s="118">
        <f>IF($A892="","",INDEX('05_KAIS'!$L:$L,$A892))</f>
        <v/>
      </c>
      <c r="H892" s="118">
        <f>IF($A892="","",IFERROR(INDEX('05_KAIS'!$M:$M,$A892),IF(AND(E892&gt;0,G892&gt;0),G892/E892,"")))</f>
        <v/>
      </c>
      <c r="I892" s="202">
        <f>IF($A892="","",INDEX('05_KAIS'!$N:$N,$A892))</f>
        <v/>
      </c>
      <c r="J892">
        <f>IF(B892="","",IF('02_대상물건입력'!$B$5="",1,IF(ISNUMBER(SEARCH('02_대상물건입력'!$B$5,B892)),1,0)))</f>
        <v/>
      </c>
      <c r="K892">
        <f>IF(B892="","",IF('02_대상물건입력'!$B$6="",1,IF(ISNUMBER(SEARCH('02_대상물건입력'!$B$6,B892)),1,0)))</f>
        <v/>
      </c>
      <c r="L892">
        <f>IF(D892="","",IF('02_대상물건입력'!$B$8="",0,IF(ISNUMBER(SEARCH('02_대상물건입력'!$B$8,D892)),1,0)))</f>
        <v/>
      </c>
      <c r="M892">
        <f>IFERROR(ABS(E892-'02_대상물건입력'!$B$11)/'02_대상물건입력'!$B$11,"")</f>
        <v/>
      </c>
      <c r="N892">
        <f>IFERROR(ABS('01_설정'!$B$4-F892),"")</f>
        <v/>
      </c>
      <c r="O892">
        <f>IFERROR(ABS(YEAR(I892)-YEAR('02_대상물건입력'!$B$14)),"")</f>
        <v/>
      </c>
      <c r="P892">
        <f>IF(AND(E892&gt;0,F892&gt;0,G892&gt;0,IF('01_설정'!$B$10=1,J892=1,TRUE()),M892&lt;='01_설정'!$B$5,N892&lt;='01_설정'!$B$7,O892&lt;='01_설정'!$B$8),"Y","")</f>
        <v/>
      </c>
      <c r="Q892">
        <f>IF(P892&lt;&gt;"Y","",MAX(0,(1-M892/'01_설정'!$B$5))*'01_설정'!$B$14+MAX(0,(1-N892/'01_설정'!$B$7))*'01_설정'!$B$16+MAX(0,(1-O892/'01_설정'!$B$8))*'01_설정'!$B$17+K892*'01_설정'!$B$11+L892*'01_설정'!$B$12)</f>
        <v/>
      </c>
      <c r="R892">
        <f>IF(Q892="","",1+COUNTIFS($Q$31:$Q$1030,"&gt;"&amp;Q892)+COUNTIFS($Q$31:Q892,Q892)-1)</f>
        <v/>
      </c>
    </row>
    <row r="893" hidden="1" ht="16.5" customHeight="1">
      <c r="A893">
        <f>IF(COUNTA('05_KAIS'!$A881:$N881)=0,"",866)</f>
        <v/>
      </c>
      <c r="B893">
        <f>IF($A893="","",TRIM(INDEX('05_KAIS'!$B:$B,$A893)&amp;" "&amp;INDEX('05_KAIS'!$C:$C,$A893)))</f>
        <v/>
      </c>
      <c r="C893">
        <f>IF($A893="","",INDEX('05_KAIS'!$D:$D,$A893))</f>
        <v/>
      </c>
      <c r="D893">
        <f>IF($A893="","",INDEX('05_KAIS'!$H:$H,$A893))</f>
        <v/>
      </c>
      <c r="E893">
        <f>IF($A893="","",INDEX('05_KAIS'!$K:$K,$A893))</f>
        <v/>
      </c>
      <c r="F893" s="202">
        <f>IF($A893="","",INDEX('05_KAIS'!$I:$I,$A893))</f>
        <v/>
      </c>
      <c r="G893" s="118">
        <f>IF($A893="","",INDEX('05_KAIS'!$L:$L,$A893))</f>
        <v/>
      </c>
      <c r="H893" s="118">
        <f>IF($A893="","",IFERROR(INDEX('05_KAIS'!$M:$M,$A893),IF(AND(E893&gt;0,G893&gt;0),G893/E893,"")))</f>
        <v/>
      </c>
      <c r="I893" s="202">
        <f>IF($A893="","",INDEX('05_KAIS'!$N:$N,$A893))</f>
        <v/>
      </c>
      <c r="J893">
        <f>IF(B893="","",IF('02_대상물건입력'!$B$5="",1,IF(ISNUMBER(SEARCH('02_대상물건입력'!$B$5,B893)),1,0)))</f>
        <v/>
      </c>
      <c r="K893">
        <f>IF(B893="","",IF('02_대상물건입력'!$B$6="",1,IF(ISNUMBER(SEARCH('02_대상물건입력'!$B$6,B893)),1,0)))</f>
        <v/>
      </c>
      <c r="L893">
        <f>IF(D893="","",IF('02_대상물건입력'!$B$8="",0,IF(ISNUMBER(SEARCH('02_대상물건입력'!$B$8,D893)),1,0)))</f>
        <v/>
      </c>
      <c r="M893">
        <f>IFERROR(ABS(E893-'02_대상물건입력'!$B$11)/'02_대상물건입력'!$B$11,"")</f>
        <v/>
      </c>
      <c r="N893">
        <f>IFERROR(ABS('01_설정'!$B$4-F893),"")</f>
        <v/>
      </c>
      <c r="O893">
        <f>IFERROR(ABS(YEAR(I893)-YEAR('02_대상물건입력'!$B$14)),"")</f>
        <v/>
      </c>
      <c r="P893">
        <f>IF(AND(E893&gt;0,F893&gt;0,G893&gt;0,IF('01_설정'!$B$10=1,J893=1,TRUE()),M893&lt;='01_설정'!$B$5,N893&lt;='01_설정'!$B$7,O893&lt;='01_설정'!$B$8),"Y","")</f>
        <v/>
      </c>
      <c r="Q893">
        <f>IF(P893&lt;&gt;"Y","",MAX(0,(1-M893/'01_설정'!$B$5))*'01_설정'!$B$14+MAX(0,(1-N893/'01_설정'!$B$7))*'01_설정'!$B$16+MAX(0,(1-O893/'01_설정'!$B$8))*'01_설정'!$B$17+K893*'01_설정'!$B$11+L893*'01_설정'!$B$12)</f>
        <v/>
      </c>
      <c r="R893">
        <f>IF(Q893="","",1+COUNTIFS($Q$31:$Q$1030,"&gt;"&amp;Q893)+COUNTIFS($Q$31:Q893,Q893)-1)</f>
        <v/>
      </c>
    </row>
    <row r="894" hidden="1" ht="16.5" customHeight="1">
      <c r="A894">
        <f>IF(COUNTA('05_KAIS'!$A882:$N882)=0,"",867)</f>
        <v/>
      </c>
      <c r="B894">
        <f>IF($A894="","",TRIM(INDEX('05_KAIS'!$B:$B,$A894)&amp;" "&amp;INDEX('05_KAIS'!$C:$C,$A894)))</f>
        <v/>
      </c>
      <c r="C894">
        <f>IF($A894="","",INDEX('05_KAIS'!$D:$D,$A894))</f>
        <v/>
      </c>
      <c r="D894">
        <f>IF($A894="","",INDEX('05_KAIS'!$H:$H,$A894))</f>
        <v/>
      </c>
      <c r="E894">
        <f>IF($A894="","",INDEX('05_KAIS'!$K:$K,$A894))</f>
        <v/>
      </c>
      <c r="F894" s="202">
        <f>IF($A894="","",INDEX('05_KAIS'!$I:$I,$A894))</f>
        <v/>
      </c>
      <c r="G894" s="118">
        <f>IF($A894="","",INDEX('05_KAIS'!$L:$L,$A894))</f>
        <v/>
      </c>
      <c r="H894" s="118">
        <f>IF($A894="","",IFERROR(INDEX('05_KAIS'!$M:$M,$A894),IF(AND(E894&gt;0,G894&gt;0),G894/E894,"")))</f>
        <v/>
      </c>
      <c r="I894" s="202">
        <f>IF($A894="","",INDEX('05_KAIS'!$N:$N,$A894))</f>
        <v/>
      </c>
      <c r="J894">
        <f>IF(B894="","",IF('02_대상물건입력'!$B$5="",1,IF(ISNUMBER(SEARCH('02_대상물건입력'!$B$5,B894)),1,0)))</f>
        <v/>
      </c>
      <c r="K894">
        <f>IF(B894="","",IF('02_대상물건입력'!$B$6="",1,IF(ISNUMBER(SEARCH('02_대상물건입력'!$B$6,B894)),1,0)))</f>
        <v/>
      </c>
      <c r="L894">
        <f>IF(D894="","",IF('02_대상물건입력'!$B$8="",0,IF(ISNUMBER(SEARCH('02_대상물건입력'!$B$8,D894)),1,0)))</f>
        <v/>
      </c>
      <c r="M894">
        <f>IFERROR(ABS(E894-'02_대상물건입력'!$B$11)/'02_대상물건입력'!$B$11,"")</f>
        <v/>
      </c>
      <c r="N894">
        <f>IFERROR(ABS('01_설정'!$B$4-F894),"")</f>
        <v/>
      </c>
      <c r="O894">
        <f>IFERROR(ABS(YEAR(I894)-YEAR('02_대상물건입력'!$B$14)),"")</f>
        <v/>
      </c>
      <c r="P894">
        <f>IF(AND(E894&gt;0,F894&gt;0,G894&gt;0,IF('01_설정'!$B$10=1,J894=1,TRUE()),M894&lt;='01_설정'!$B$5,N894&lt;='01_설정'!$B$7,O894&lt;='01_설정'!$B$8),"Y","")</f>
        <v/>
      </c>
      <c r="Q894">
        <f>IF(P894&lt;&gt;"Y","",MAX(0,(1-M894/'01_설정'!$B$5))*'01_설정'!$B$14+MAX(0,(1-N894/'01_설정'!$B$7))*'01_설정'!$B$16+MAX(0,(1-O894/'01_설정'!$B$8))*'01_설정'!$B$17+K894*'01_설정'!$B$11+L894*'01_설정'!$B$12)</f>
        <v/>
      </c>
      <c r="R894">
        <f>IF(Q894="","",1+COUNTIFS($Q$31:$Q$1030,"&gt;"&amp;Q894)+COUNTIFS($Q$31:Q894,Q894)-1)</f>
        <v/>
      </c>
    </row>
    <row r="895" hidden="1" ht="16.5" customHeight="1">
      <c r="A895">
        <f>IF(COUNTA('05_KAIS'!$A883:$N883)=0,"",868)</f>
        <v/>
      </c>
      <c r="B895">
        <f>IF($A895="","",TRIM(INDEX('05_KAIS'!$B:$B,$A895)&amp;" "&amp;INDEX('05_KAIS'!$C:$C,$A895)))</f>
        <v/>
      </c>
      <c r="C895">
        <f>IF($A895="","",INDEX('05_KAIS'!$D:$D,$A895))</f>
        <v/>
      </c>
      <c r="D895">
        <f>IF($A895="","",INDEX('05_KAIS'!$H:$H,$A895))</f>
        <v/>
      </c>
      <c r="E895">
        <f>IF($A895="","",INDEX('05_KAIS'!$K:$K,$A895))</f>
        <v/>
      </c>
      <c r="F895" s="202">
        <f>IF($A895="","",INDEX('05_KAIS'!$I:$I,$A895))</f>
        <v/>
      </c>
      <c r="G895" s="118">
        <f>IF($A895="","",INDEX('05_KAIS'!$L:$L,$A895))</f>
        <v/>
      </c>
      <c r="H895" s="118">
        <f>IF($A895="","",IFERROR(INDEX('05_KAIS'!$M:$M,$A895),IF(AND(E895&gt;0,G895&gt;0),G895/E895,"")))</f>
        <v/>
      </c>
      <c r="I895" s="202">
        <f>IF($A895="","",INDEX('05_KAIS'!$N:$N,$A895))</f>
        <v/>
      </c>
      <c r="J895">
        <f>IF(B895="","",IF('02_대상물건입력'!$B$5="",1,IF(ISNUMBER(SEARCH('02_대상물건입력'!$B$5,B895)),1,0)))</f>
        <v/>
      </c>
      <c r="K895">
        <f>IF(B895="","",IF('02_대상물건입력'!$B$6="",1,IF(ISNUMBER(SEARCH('02_대상물건입력'!$B$6,B895)),1,0)))</f>
        <v/>
      </c>
      <c r="L895">
        <f>IF(D895="","",IF('02_대상물건입력'!$B$8="",0,IF(ISNUMBER(SEARCH('02_대상물건입력'!$B$8,D895)),1,0)))</f>
        <v/>
      </c>
      <c r="M895">
        <f>IFERROR(ABS(E895-'02_대상물건입력'!$B$11)/'02_대상물건입력'!$B$11,"")</f>
        <v/>
      </c>
      <c r="N895">
        <f>IFERROR(ABS('01_설정'!$B$4-F895),"")</f>
        <v/>
      </c>
      <c r="O895">
        <f>IFERROR(ABS(YEAR(I895)-YEAR('02_대상물건입력'!$B$14)),"")</f>
        <v/>
      </c>
      <c r="P895">
        <f>IF(AND(E895&gt;0,F895&gt;0,G895&gt;0,IF('01_설정'!$B$10=1,J895=1,TRUE()),M895&lt;='01_설정'!$B$5,N895&lt;='01_설정'!$B$7,O895&lt;='01_설정'!$B$8),"Y","")</f>
        <v/>
      </c>
      <c r="Q895">
        <f>IF(P895&lt;&gt;"Y","",MAX(0,(1-M895/'01_설정'!$B$5))*'01_설정'!$B$14+MAX(0,(1-N895/'01_설정'!$B$7))*'01_설정'!$B$16+MAX(0,(1-O895/'01_설정'!$B$8))*'01_설정'!$B$17+K895*'01_설정'!$B$11+L895*'01_설정'!$B$12)</f>
        <v/>
      </c>
      <c r="R895">
        <f>IF(Q895="","",1+COUNTIFS($Q$31:$Q$1030,"&gt;"&amp;Q895)+COUNTIFS($Q$31:Q895,Q895)-1)</f>
        <v/>
      </c>
    </row>
    <row r="896" hidden="1" ht="16.5" customHeight="1">
      <c r="A896">
        <f>IF(COUNTA('05_KAIS'!$A884:$N884)=0,"",869)</f>
        <v/>
      </c>
      <c r="B896">
        <f>IF($A896="","",TRIM(INDEX('05_KAIS'!$B:$B,$A896)&amp;" "&amp;INDEX('05_KAIS'!$C:$C,$A896)))</f>
        <v/>
      </c>
      <c r="C896">
        <f>IF($A896="","",INDEX('05_KAIS'!$D:$D,$A896))</f>
        <v/>
      </c>
      <c r="D896">
        <f>IF($A896="","",INDEX('05_KAIS'!$H:$H,$A896))</f>
        <v/>
      </c>
      <c r="E896">
        <f>IF($A896="","",INDEX('05_KAIS'!$K:$K,$A896))</f>
        <v/>
      </c>
      <c r="F896" s="202">
        <f>IF($A896="","",INDEX('05_KAIS'!$I:$I,$A896))</f>
        <v/>
      </c>
      <c r="G896" s="118">
        <f>IF($A896="","",INDEX('05_KAIS'!$L:$L,$A896))</f>
        <v/>
      </c>
      <c r="H896" s="118">
        <f>IF($A896="","",IFERROR(INDEX('05_KAIS'!$M:$M,$A896),IF(AND(E896&gt;0,G896&gt;0),G896/E896,"")))</f>
        <v/>
      </c>
      <c r="I896" s="202">
        <f>IF($A896="","",INDEX('05_KAIS'!$N:$N,$A896))</f>
        <v/>
      </c>
      <c r="J896">
        <f>IF(B896="","",IF('02_대상물건입력'!$B$5="",1,IF(ISNUMBER(SEARCH('02_대상물건입력'!$B$5,B896)),1,0)))</f>
        <v/>
      </c>
      <c r="K896">
        <f>IF(B896="","",IF('02_대상물건입력'!$B$6="",1,IF(ISNUMBER(SEARCH('02_대상물건입력'!$B$6,B896)),1,0)))</f>
        <v/>
      </c>
      <c r="L896">
        <f>IF(D896="","",IF('02_대상물건입력'!$B$8="",0,IF(ISNUMBER(SEARCH('02_대상물건입력'!$B$8,D896)),1,0)))</f>
        <v/>
      </c>
      <c r="M896">
        <f>IFERROR(ABS(E896-'02_대상물건입력'!$B$11)/'02_대상물건입력'!$B$11,"")</f>
        <v/>
      </c>
      <c r="N896">
        <f>IFERROR(ABS('01_설정'!$B$4-F896),"")</f>
        <v/>
      </c>
      <c r="O896">
        <f>IFERROR(ABS(YEAR(I896)-YEAR('02_대상물건입력'!$B$14)),"")</f>
        <v/>
      </c>
      <c r="P896">
        <f>IF(AND(E896&gt;0,F896&gt;0,G896&gt;0,IF('01_설정'!$B$10=1,J896=1,TRUE()),M896&lt;='01_설정'!$B$5,N896&lt;='01_설정'!$B$7,O896&lt;='01_설정'!$B$8),"Y","")</f>
        <v/>
      </c>
      <c r="Q896">
        <f>IF(P896&lt;&gt;"Y","",MAX(0,(1-M896/'01_설정'!$B$5))*'01_설정'!$B$14+MAX(0,(1-N896/'01_설정'!$B$7))*'01_설정'!$B$16+MAX(0,(1-O896/'01_설정'!$B$8))*'01_설정'!$B$17+K896*'01_설정'!$B$11+L896*'01_설정'!$B$12)</f>
        <v/>
      </c>
      <c r="R896">
        <f>IF(Q896="","",1+COUNTIFS($Q$31:$Q$1030,"&gt;"&amp;Q896)+COUNTIFS($Q$31:Q896,Q896)-1)</f>
        <v/>
      </c>
    </row>
    <row r="897" hidden="1" ht="16.5" customHeight="1">
      <c r="A897">
        <f>IF(COUNTA('05_KAIS'!$A885:$N885)=0,"",870)</f>
        <v/>
      </c>
      <c r="B897">
        <f>IF($A897="","",TRIM(INDEX('05_KAIS'!$B:$B,$A897)&amp;" "&amp;INDEX('05_KAIS'!$C:$C,$A897)))</f>
        <v/>
      </c>
      <c r="C897">
        <f>IF($A897="","",INDEX('05_KAIS'!$D:$D,$A897))</f>
        <v/>
      </c>
      <c r="D897">
        <f>IF($A897="","",INDEX('05_KAIS'!$H:$H,$A897))</f>
        <v/>
      </c>
      <c r="E897">
        <f>IF($A897="","",INDEX('05_KAIS'!$K:$K,$A897))</f>
        <v/>
      </c>
      <c r="F897" s="202">
        <f>IF($A897="","",INDEX('05_KAIS'!$I:$I,$A897))</f>
        <v/>
      </c>
      <c r="G897" s="118">
        <f>IF($A897="","",INDEX('05_KAIS'!$L:$L,$A897))</f>
        <v/>
      </c>
      <c r="H897" s="118">
        <f>IF($A897="","",IFERROR(INDEX('05_KAIS'!$M:$M,$A897),IF(AND(E897&gt;0,G897&gt;0),G897/E897,"")))</f>
        <v/>
      </c>
      <c r="I897" s="202">
        <f>IF($A897="","",INDEX('05_KAIS'!$N:$N,$A897))</f>
        <v/>
      </c>
      <c r="J897">
        <f>IF(B897="","",IF('02_대상물건입력'!$B$5="",1,IF(ISNUMBER(SEARCH('02_대상물건입력'!$B$5,B897)),1,0)))</f>
        <v/>
      </c>
      <c r="K897">
        <f>IF(B897="","",IF('02_대상물건입력'!$B$6="",1,IF(ISNUMBER(SEARCH('02_대상물건입력'!$B$6,B897)),1,0)))</f>
        <v/>
      </c>
      <c r="L897">
        <f>IF(D897="","",IF('02_대상물건입력'!$B$8="",0,IF(ISNUMBER(SEARCH('02_대상물건입력'!$B$8,D897)),1,0)))</f>
        <v/>
      </c>
      <c r="M897">
        <f>IFERROR(ABS(E897-'02_대상물건입력'!$B$11)/'02_대상물건입력'!$B$11,"")</f>
        <v/>
      </c>
      <c r="N897">
        <f>IFERROR(ABS('01_설정'!$B$4-F897),"")</f>
        <v/>
      </c>
      <c r="O897">
        <f>IFERROR(ABS(YEAR(I897)-YEAR('02_대상물건입력'!$B$14)),"")</f>
        <v/>
      </c>
      <c r="P897">
        <f>IF(AND(E897&gt;0,F897&gt;0,G897&gt;0,IF('01_설정'!$B$10=1,J897=1,TRUE()),M897&lt;='01_설정'!$B$5,N897&lt;='01_설정'!$B$7,O897&lt;='01_설정'!$B$8),"Y","")</f>
        <v/>
      </c>
      <c r="Q897">
        <f>IF(P897&lt;&gt;"Y","",MAX(0,(1-M897/'01_설정'!$B$5))*'01_설정'!$B$14+MAX(0,(1-N897/'01_설정'!$B$7))*'01_설정'!$B$16+MAX(0,(1-O897/'01_설정'!$B$8))*'01_설정'!$B$17+K897*'01_설정'!$B$11+L897*'01_설정'!$B$12)</f>
        <v/>
      </c>
      <c r="R897">
        <f>IF(Q897="","",1+COUNTIFS($Q$31:$Q$1030,"&gt;"&amp;Q897)+COUNTIFS($Q$31:Q897,Q897)-1)</f>
        <v/>
      </c>
    </row>
    <row r="898" hidden="1" ht="16.5" customHeight="1">
      <c r="A898">
        <f>IF(COUNTA('05_KAIS'!$A886:$N886)=0,"",871)</f>
        <v/>
      </c>
      <c r="B898">
        <f>IF($A898="","",TRIM(INDEX('05_KAIS'!$B:$B,$A898)&amp;" "&amp;INDEX('05_KAIS'!$C:$C,$A898)))</f>
        <v/>
      </c>
      <c r="C898">
        <f>IF($A898="","",INDEX('05_KAIS'!$D:$D,$A898))</f>
        <v/>
      </c>
      <c r="D898">
        <f>IF($A898="","",INDEX('05_KAIS'!$H:$H,$A898))</f>
        <v/>
      </c>
      <c r="E898">
        <f>IF($A898="","",INDEX('05_KAIS'!$K:$K,$A898))</f>
        <v/>
      </c>
      <c r="F898" s="202">
        <f>IF($A898="","",INDEX('05_KAIS'!$I:$I,$A898))</f>
        <v/>
      </c>
      <c r="G898" s="118">
        <f>IF($A898="","",INDEX('05_KAIS'!$L:$L,$A898))</f>
        <v/>
      </c>
      <c r="H898" s="118">
        <f>IF($A898="","",IFERROR(INDEX('05_KAIS'!$M:$M,$A898),IF(AND(E898&gt;0,G898&gt;0),G898/E898,"")))</f>
        <v/>
      </c>
      <c r="I898" s="202">
        <f>IF($A898="","",INDEX('05_KAIS'!$N:$N,$A898))</f>
        <v/>
      </c>
      <c r="J898">
        <f>IF(B898="","",IF('02_대상물건입력'!$B$5="",1,IF(ISNUMBER(SEARCH('02_대상물건입력'!$B$5,B898)),1,0)))</f>
        <v/>
      </c>
      <c r="K898">
        <f>IF(B898="","",IF('02_대상물건입력'!$B$6="",1,IF(ISNUMBER(SEARCH('02_대상물건입력'!$B$6,B898)),1,0)))</f>
        <v/>
      </c>
      <c r="L898">
        <f>IF(D898="","",IF('02_대상물건입력'!$B$8="",0,IF(ISNUMBER(SEARCH('02_대상물건입력'!$B$8,D898)),1,0)))</f>
        <v/>
      </c>
      <c r="M898">
        <f>IFERROR(ABS(E898-'02_대상물건입력'!$B$11)/'02_대상물건입력'!$B$11,"")</f>
        <v/>
      </c>
      <c r="N898">
        <f>IFERROR(ABS('01_설정'!$B$4-F898),"")</f>
        <v/>
      </c>
      <c r="O898">
        <f>IFERROR(ABS(YEAR(I898)-YEAR('02_대상물건입력'!$B$14)),"")</f>
        <v/>
      </c>
      <c r="P898">
        <f>IF(AND(E898&gt;0,F898&gt;0,G898&gt;0,IF('01_설정'!$B$10=1,J898=1,TRUE()),M898&lt;='01_설정'!$B$5,N898&lt;='01_설정'!$B$7,O898&lt;='01_설정'!$B$8),"Y","")</f>
        <v/>
      </c>
      <c r="Q898">
        <f>IF(P898&lt;&gt;"Y","",MAX(0,(1-M898/'01_설정'!$B$5))*'01_설정'!$B$14+MAX(0,(1-N898/'01_설정'!$B$7))*'01_설정'!$B$16+MAX(0,(1-O898/'01_설정'!$B$8))*'01_설정'!$B$17+K898*'01_설정'!$B$11+L898*'01_설정'!$B$12)</f>
        <v/>
      </c>
      <c r="R898">
        <f>IF(Q898="","",1+COUNTIFS($Q$31:$Q$1030,"&gt;"&amp;Q898)+COUNTIFS($Q$31:Q898,Q898)-1)</f>
        <v/>
      </c>
    </row>
    <row r="899" hidden="1" ht="16.5" customHeight="1">
      <c r="A899">
        <f>IF(COUNTA('05_KAIS'!$A887:$N887)=0,"",872)</f>
        <v/>
      </c>
      <c r="B899">
        <f>IF($A899="","",TRIM(INDEX('05_KAIS'!$B:$B,$A899)&amp;" "&amp;INDEX('05_KAIS'!$C:$C,$A899)))</f>
        <v/>
      </c>
      <c r="C899">
        <f>IF($A899="","",INDEX('05_KAIS'!$D:$D,$A899))</f>
        <v/>
      </c>
      <c r="D899">
        <f>IF($A899="","",INDEX('05_KAIS'!$H:$H,$A899))</f>
        <v/>
      </c>
      <c r="E899">
        <f>IF($A899="","",INDEX('05_KAIS'!$K:$K,$A899))</f>
        <v/>
      </c>
      <c r="F899" s="202">
        <f>IF($A899="","",INDEX('05_KAIS'!$I:$I,$A899))</f>
        <v/>
      </c>
      <c r="G899" s="118">
        <f>IF($A899="","",INDEX('05_KAIS'!$L:$L,$A899))</f>
        <v/>
      </c>
      <c r="H899" s="118">
        <f>IF($A899="","",IFERROR(INDEX('05_KAIS'!$M:$M,$A899),IF(AND(E899&gt;0,G899&gt;0),G899/E899,"")))</f>
        <v/>
      </c>
      <c r="I899" s="202">
        <f>IF($A899="","",INDEX('05_KAIS'!$N:$N,$A899))</f>
        <v/>
      </c>
      <c r="J899">
        <f>IF(B899="","",IF('02_대상물건입력'!$B$5="",1,IF(ISNUMBER(SEARCH('02_대상물건입력'!$B$5,B899)),1,0)))</f>
        <v/>
      </c>
      <c r="K899">
        <f>IF(B899="","",IF('02_대상물건입력'!$B$6="",1,IF(ISNUMBER(SEARCH('02_대상물건입력'!$B$6,B899)),1,0)))</f>
        <v/>
      </c>
      <c r="L899">
        <f>IF(D899="","",IF('02_대상물건입력'!$B$8="",0,IF(ISNUMBER(SEARCH('02_대상물건입력'!$B$8,D899)),1,0)))</f>
        <v/>
      </c>
      <c r="M899">
        <f>IFERROR(ABS(E899-'02_대상물건입력'!$B$11)/'02_대상물건입력'!$B$11,"")</f>
        <v/>
      </c>
      <c r="N899">
        <f>IFERROR(ABS('01_설정'!$B$4-F899),"")</f>
        <v/>
      </c>
      <c r="O899">
        <f>IFERROR(ABS(YEAR(I899)-YEAR('02_대상물건입력'!$B$14)),"")</f>
        <v/>
      </c>
      <c r="P899">
        <f>IF(AND(E899&gt;0,F899&gt;0,G899&gt;0,IF('01_설정'!$B$10=1,J899=1,TRUE()),M899&lt;='01_설정'!$B$5,N899&lt;='01_설정'!$B$7,O899&lt;='01_설정'!$B$8),"Y","")</f>
        <v/>
      </c>
      <c r="Q899">
        <f>IF(P899&lt;&gt;"Y","",MAX(0,(1-M899/'01_설정'!$B$5))*'01_설정'!$B$14+MAX(0,(1-N899/'01_설정'!$B$7))*'01_설정'!$B$16+MAX(0,(1-O899/'01_설정'!$B$8))*'01_설정'!$B$17+K899*'01_설정'!$B$11+L899*'01_설정'!$B$12)</f>
        <v/>
      </c>
      <c r="R899">
        <f>IF(Q899="","",1+COUNTIFS($Q$31:$Q$1030,"&gt;"&amp;Q899)+COUNTIFS($Q$31:Q899,Q899)-1)</f>
        <v/>
      </c>
    </row>
    <row r="900" hidden="1" ht="16.5" customHeight="1">
      <c r="A900">
        <f>IF(COUNTA('05_KAIS'!$A888:$N888)=0,"",873)</f>
        <v/>
      </c>
      <c r="B900">
        <f>IF($A900="","",TRIM(INDEX('05_KAIS'!$B:$B,$A900)&amp;" "&amp;INDEX('05_KAIS'!$C:$C,$A900)))</f>
        <v/>
      </c>
      <c r="C900">
        <f>IF($A900="","",INDEX('05_KAIS'!$D:$D,$A900))</f>
        <v/>
      </c>
      <c r="D900">
        <f>IF($A900="","",INDEX('05_KAIS'!$H:$H,$A900))</f>
        <v/>
      </c>
      <c r="E900">
        <f>IF($A900="","",INDEX('05_KAIS'!$K:$K,$A900))</f>
        <v/>
      </c>
      <c r="F900" s="202">
        <f>IF($A900="","",INDEX('05_KAIS'!$I:$I,$A900))</f>
        <v/>
      </c>
      <c r="G900" s="118">
        <f>IF($A900="","",INDEX('05_KAIS'!$L:$L,$A900))</f>
        <v/>
      </c>
      <c r="H900" s="118">
        <f>IF($A900="","",IFERROR(INDEX('05_KAIS'!$M:$M,$A900),IF(AND(E900&gt;0,G900&gt;0),G900/E900,"")))</f>
        <v/>
      </c>
      <c r="I900" s="202">
        <f>IF($A900="","",INDEX('05_KAIS'!$N:$N,$A900))</f>
        <v/>
      </c>
      <c r="J900">
        <f>IF(B900="","",IF('02_대상물건입력'!$B$5="",1,IF(ISNUMBER(SEARCH('02_대상물건입력'!$B$5,B900)),1,0)))</f>
        <v/>
      </c>
      <c r="K900">
        <f>IF(B900="","",IF('02_대상물건입력'!$B$6="",1,IF(ISNUMBER(SEARCH('02_대상물건입력'!$B$6,B900)),1,0)))</f>
        <v/>
      </c>
      <c r="L900">
        <f>IF(D900="","",IF('02_대상물건입력'!$B$8="",0,IF(ISNUMBER(SEARCH('02_대상물건입력'!$B$8,D900)),1,0)))</f>
        <v/>
      </c>
      <c r="M900">
        <f>IFERROR(ABS(E900-'02_대상물건입력'!$B$11)/'02_대상물건입력'!$B$11,"")</f>
        <v/>
      </c>
      <c r="N900">
        <f>IFERROR(ABS('01_설정'!$B$4-F900),"")</f>
        <v/>
      </c>
      <c r="O900">
        <f>IFERROR(ABS(YEAR(I900)-YEAR('02_대상물건입력'!$B$14)),"")</f>
        <v/>
      </c>
      <c r="P900">
        <f>IF(AND(E900&gt;0,F900&gt;0,G900&gt;0,IF('01_설정'!$B$10=1,J900=1,TRUE()),M900&lt;='01_설정'!$B$5,N900&lt;='01_설정'!$B$7,O900&lt;='01_설정'!$B$8),"Y","")</f>
        <v/>
      </c>
      <c r="Q900">
        <f>IF(P900&lt;&gt;"Y","",MAX(0,(1-M900/'01_설정'!$B$5))*'01_설정'!$B$14+MAX(0,(1-N900/'01_설정'!$B$7))*'01_설정'!$B$16+MAX(0,(1-O900/'01_설정'!$B$8))*'01_설정'!$B$17+K900*'01_설정'!$B$11+L900*'01_설정'!$B$12)</f>
        <v/>
      </c>
      <c r="R900">
        <f>IF(Q900="","",1+COUNTIFS($Q$31:$Q$1030,"&gt;"&amp;Q900)+COUNTIFS($Q$31:Q900,Q900)-1)</f>
        <v/>
      </c>
    </row>
    <row r="901" hidden="1" ht="16.5" customHeight="1">
      <c r="A901">
        <f>IF(COUNTA('05_KAIS'!$A889:$N889)=0,"",874)</f>
        <v/>
      </c>
      <c r="B901">
        <f>IF($A901="","",TRIM(INDEX('05_KAIS'!$B:$B,$A901)&amp;" "&amp;INDEX('05_KAIS'!$C:$C,$A901)))</f>
        <v/>
      </c>
      <c r="C901">
        <f>IF($A901="","",INDEX('05_KAIS'!$D:$D,$A901))</f>
        <v/>
      </c>
      <c r="D901">
        <f>IF($A901="","",INDEX('05_KAIS'!$H:$H,$A901))</f>
        <v/>
      </c>
      <c r="E901">
        <f>IF($A901="","",INDEX('05_KAIS'!$K:$K,$A901))</f>
        <v/>
      </c>
      <c r="F901" s="202">
        <f>IF($A901="","",INDEX('05_KAIS'!$I:$I,$A901))</f>
        <v/>
      </c>
      <c r="G901" s="118">
        <f>IF($A901="","",INDEX('05_KAIS'!$L:$L,$A901))</f>
        <v/>
      </c>
      <c r="H901" s="118">
        <f>IF($A901="","",IFERROR(INDEX('05_KAIS'!$M:$M,$A901),IF(AND(E901&gt;0,G901&gt;0),G901/E901,"")))</f>
        <v/>
      </c>
      <c r="I901" s="202">
        <f>IF($A901="","",INDEX('05_KAIS'!$N:$N,$A901))</f>
        <v/>
      </c>
      <c r="J901">
        <f>IF(B901="","",IF('02_대상물건입력'!$B$5="",1,IF(ISNUMBER(SEARCH('02_대상물건입력'!$B$5,B901)),1,0)))</f>
        <v/>
      </c>
      <c r="K901">
        <f>IF(B901="","",IF('02_대상물건입력'!$B$6="",1,IF(ISNUMBER(SEARCH('02_대상물건입력'!$B$6,B901)),1,0)))</f>
        <v/>
      </c>
      <c r="L901">
        <f>IF(D901="","",IF('02_대상물건입력'!$B$8="",0,IF(ISNUMBER(SEARCH('02_대상물건입력'!$B$8,D901)),1,0)))</f>
        <v/>
      </c>
      <c r="M901">
        <f>IFERROR(ABS(E901-'02_대상물건입력'!$B$11)/'02_대상물건입력'!$B$11,"")</f>
        <v/>
      </c>
      <c r="N901">
        <f>IFERROR(ABS('01_설정'!$B$4-F901),"")</f>
        <v/>
      </c>
      <c r="O901">
        <f>IFERROR(ABS(YEAR(I901)-YEAR('02_대상물건입력'!$B$14)),"")</f>
        <v/>
      </c>
      <c r="P901">
        <f>IF(AND(E901&gt;0,F901&gt;0,G901&gt;0,IF('01_설정'!$B$10=1,J901=1,TRUE()),M901&lt;='01_설정'!$B$5,N901&lt;='01_설정'!$B$7,O901&lt;='01_설정'!$B$8),"Y","")</f>
        <v/>
      </c>
      <c r="Q901">
        <f>IF(P901&lt;&gt;"Y","",MAX(0,(1-M901/'01_설정'!$B$5))*'01_설정'!$B$14+MAX(0,(1-N901/'01_설정'!$B$7))*'01_설정'!$B$16+MAX(0,(1-O901/'01_설정'!$B$8))*'01_설정'!$B$17+K901*'01_설정'!$B$11+L901*'01_설정'!$B$12)</f>
        <v/>
      </c>
      <c r="R901">
        <f>IF(Q901="","",1+COUNTIFS($Q$31:$Q$1030,"&gt;"&amp;Q901)+COUNTIFS($Q$31:Q901,Q901)-1)</f>
        <v/>
      </c>
    </row>
    <row r="902" hidden="1" ht="16.5" customHeight="1">
      <c r="A902">
        <f>IF(COUNTA('05_KAIS'!$A890:$N890)=0,"",875)</f>
        <v/>
      </c>
      <c r="B902">
        <f>IF($A902="","",TRIM(INDEX('05_KAIS'!$B:$B,$A902)&amp;" "&amp;INDEX('05_KAIS'!$C:$C,$A902)))</f>
        <v/>
      </c>
      <c r="C902">
        <f>IF($A902="","",INDEX('05_KAIS'!$D:$D,$A902))</f>
        <v/>
      </c>
      <c r="D902">
        <f>IF($A902="","",INDEX('05_KAIS'!$H:$H,$A902))</f>
        <v/>
      </c>
      <c r="E902">
        <f>IF($A902="","",INDEX('05_KAIS'!$K:$K,$A902))</f>
        <v/>
      </c>
      <c r="F902" s="202">
        <f>IF($A902="","",INDEX('05_KAIS'!$I:$I,$A902))</f>
        <v/>
      </c>
      <c r="G902" s="118">
        <f>IF($A902="","",INDEX('05_KAIS'!$L:$L,$A902))</f>
        <v/>
      </c>
      <c r="H902" s="118">
        <f>IF($A902="","",IFERROR(INDEX('05_KAIS'!$M:$M,$A902),IF(AND(E902&gt;0,G902&gt;0),G902/E902,"")))</f>
        <v/>
      </c>
      <c r="I902" s="202">
        <f>IF($A902="","",INDEX('05_KAIS'!$N:$N,$A902))</f>
        <v/>
      </c>
      <c r="J902">
        <f>IF(B902="","",IF('02_대상물건입력'!$B$5="",1,IF(ISNUMBER(SEARCH('02_대상물건입력'!$B$5,B902)),1,0)))</f>
        <v/>
      </c>
      <c r="K902">
        <f>IF(B902="","",IF('02_대상물건입력'!$B$6="",1,IF(ISNUMBER(SEARCH('02_대상물건입력'!$B$6,B902)),1,0)))</f>
        <v/>
      </c>
      <c r="L902">
        <f>IF(D902="","",IF('02_대상물건입력'!$B$8="",0,IF(ISNUMBER(SEARCH('02_대상물건입력'!$B$8,D902)),1,0)))</f>
        <v/>
      </c>
      <c r="M902">
        <f>IFERROR(ABS(E902-'02_대상물건입력'!$B$11)/'02_대상물건입력'!$B$11,"")</f>
        <v/>
      </c>
      <c r="N902">
        <f>IFERROR(ABS('01_설정'!$B$4-F902),"")</f>
        <v/>
      </c>
      <c r="O902">
        <f>IFERROR(ABS(YEAR(I902)-YEAR('02_대상물건입력'!$B$14)),"")</f>
        <v/>
      </c>
      <c r="P902">
        <f>IF(AND(E902&gt;0,F902&gt;0,G902&gt;0,IF('01_설정'!$B$10=1,J902=1,TRUE()),M902&lt;='01_설정'!$B$5,N902&lt;='01_설정'!$B$7,O902&lt;='01_설정'!$B$8),"Y","")</f>
        <v/>
      </c>
      <c r="Q902">
        <f>IF(P902&lt;&gt;"Y","",MAX(0,(1-M902/'01_설정'!$B$5))*'01_설정'!$B$14+MAX(0,(1-N902/'01_설정'!$B$7))*'01_설정'!$B$16+MAX(0,(1-O902/'01_설정'!$B$8))*'01_설정'!$B$17+K902*'01_설정'!$B$11+L902*'01_설정'!$B$12)</f>
        <v/>
      </c>
      <c r="R902">
        <f>IF(Q902="","",1+COUNTIFS($Q$31:$Q$1030,"&gt;"&amp;Q902)+COUNTIFS($Q$31:Q902,Q902)-1)</f>
        <v/>
      </c>
    </row>
    <row r="903" hidden="1" ht="16.5" customHeight="1">
      <c r="A903">
        <f>IF(COUNTA('05_KAIS'!$A891:$N891)=0,"",876)</f>
        <v/>
      </c>
      <c r="B903">
        <f>IF($A903="","",TRIM(INDEX('05_KAIS'!$B:$B,$A903)&amp;" "&amp;INDEX('05_KAIS'!$C:$C,$A903)))</f>
        <v/>
      </c>
      <c r="C903">
        <f>IF($A903="","",INDEX('05_KAIS'!$D:$D,$A903))</f>
        <v/>
      </c>
      <c r="D903">
        <f>IF($A903="","",INDEX('05_KAIS'!$H:$H,$A903))</f>
        <v/>
      </c>
      <c r="E903">
        <f>IF($A903="","",INDEX('05_KAIS'!$K:$K,$A903))</f>
        <v/>
      </c>
      <c r="F903" s="202">
        <f>IF($A903="","",INDEX('05_KAIS'!$I:$I,$A903))</f>
        <v/>
      </c>
      <c r="G903" s="118">
        <f>IF($A903="","",INDEX('05_KAIS'!$L:$L,$A903))</f>
        <v/>
      </c>
      <c r="H903" s="118">
        <f>IF($A903="","",IFERROR(INDEX('05_KAIS'!$M:$M,$A903),IF(AND(E903&gt;0,G903&gt;0),G903/E903,"")))</f>
        <v/>
      </c>
      <c r="I903" s="202">
        <f>IF($A903="","",INDEX('05_KAIS'!$N:$N,$A903))</f>
        <v/>
      </c>
      <c r="J903">
        <f>IF(B903="","",IF('02_대상물건입력'!$B$5="",1,IF(ISNUMBER(SEARCH('02_대상물건입력'!$B$5,B903)),1,0)))</f>
        <v/>
      </c>
      <c r="K903">
        <f>IF(B903="","",IF('02_대상물건입력'!$B$6="",1,IF(ISNUMBER(SEARCH('02_대상물건입력'!$B$6,B903)),1,0)))</f>
        <v/>
      </c>
      <c r="L903">
        <f>IF(D903="","",IF('02_대상물건입력'!$B$8="",0,IF(ISNUMBER(SEARCH('02_대상물건입력'!$B$8,D903)),1,0)))</f>
        <v/>
      </c>
      <c r="M903">
        <f>IFERROR(ABS(E903-'02_대상물건입력'!$B$11)/'02_대상물건입력'!$B$11,"")</f>
        <v/>
      </c>
      <c r="N903">
        <f>IFERROR(ABS('01_설정'!$B$4-F903),"")</f>
        <v/>
      </c>
      <c r="O903">
        <f>IFERROR(ABS(YEAR(I903)-YEAR('02_대상물건입력'!$B$14)),"")</f>
        <v/>
      </c>
      <c r="P903">
        <f>IF(AND(E903&gt;0,F903&gt;0,G903&gt;0,IF('01_설정'!$B$10=1,J903=1,TRUE()),M903&lt;='01_설정'!$B$5,N903&lt;='01_설정'!$B$7,O903&lt;='01_설정'!$B$8),"Y","")</f>
        <v/>
      </c>
      <c r="Q903">
        <f>IF(P903&lt;&gt;"Y","",MAX(0,(1-M903/'01_설정'!$B$5))*'01_설정'!$B$14+MAX(0,(1-N903/'01_설정'!$B$7))*'01_설정'!$B$16+MAX(0,(1-O903/'01_설정'!$B$8))*'01_설정'!$B$17+K903*'01_설정'!$B$11+L903*'01_설정'!$B$12)</f>
        <v/>
      </c>
      <c r="R903">
        <f>IF(Q903="","",1+COUNTIFS($Q$31:$Q$1030,"&gt;"&amp;Q903)+COUNTIFS($Q$31:Q903,Q903)-1)</f>
        <v/>
      </c>
    </row>
    <row r="904" hidden="1" ht="16.5" customHeight="1">
      <c r="A904">
        <f>IF(COUNTA('05_KAIS'!$A892:$N892)=0,"",877)</f>
        <v/>
      </c>
      <c r="B904">
        <f>IF($A904="","",TRIM(INDEX('05_KAIS'!$B:$B,$A904)&amp;" "&amp;INDEX('05_KAIS'!$C:$C,$A904)))</f>
        <v/>
      </c>
      <c r="C904">
        <f>IF($A904="","",INDEX('05_KAIS'!$D:$D,$A904))</f>
        <v/>
      </c>
      <c r="D904">
        <f>IF($A904="","",INDEX('05_KAIS'!$H:$H,$A904))</f>
        <v/>
      </c>
      <c r="E904">
        <f>IF($A904="","",INDEX('05_KAIS'!$K:$K,$A904))</f>
        <v/>
      </c>
      <c r="F904" s="202">
        <f>IF($A904="","",INDEX('05_KAIS'!$I:$I,$A904))</f>
        <v/>
      </c>
      <c r="G904" s="118">
        <f>IF($A904="","",INDEX('05_KAIS'!$L:$L,$A904))</f>
        <v/>
      </c>
      <c r="H904" s="118">
        <f>IF($A904="","",IFERROR(INDEX('05_KAIS'!$M:$M,$A904),IF(AND(E904&gt;0,G904&gt;0),G904/E904,"")))</f>
        <v/>
      </c>
      <c r="I904" s="202">
        <f>IF($A904="","",INDEX('05_KAIS'!$N:$N,$A904))</f>
        <v/>
      </c>
      <c r="J904">
        <f>IF(B904="","",IF('02_대상물건입력'!$B$5="",1,IF(ISNUMBER(SEARCH('02_대상물건입력'!$B$5,B904)),1,0)))</f>
        <v/>
      </c>
      <c r="K904">
        <f>IF(B904="","",IF('02_대상물건입력'!$B$6="",1,IF(ISNUMBER(SEARCH('02_대상물건입력'!$B$6,B904)),1,0)))</f>
        <v/>
      </c>
      <c r="L904">
        <f>IF(D904="","",IF('02_대상물건입력'!$B$8="",0,IF(ISNUMBER(SEARCH('02_대상물건입력'!$B$8,D904)),1,0)))</f>
        <v/>
      </c>
      <c r="M904">
        <f>IFERROR(ABS(E904-'02_대상물건입력'!$B$11)/'02_대상물건입력'!$B$11,"")</f>
        <v/>
      </c>
      <c r="N904">
        <f>IFERROR(ABS('01_설정'!$B$4-F904),"")</f>
        <v/>
      </c>
      <c r="O904">
        <f>IFERROR(ABS(YEAR(I904)-YEAR('02_대상물건입력'!$B$14)),"")</f>
        <v/>
      </c>
      <c r="P904">
        <f>IF(AND(E904&gt;0,F904&gt;0,G904&gt;0,IF('01_설정'!$B$10=1,J904=1,TRUE()),M904&lt;='01_설정'!$B$5,N904&lt;='01_설정'!$B$7,O904&lt;='01_설정'!$B$8),"Y","")</f>
        <v/>
      </c>
      <c r="Q904">
        <f>IF(P904&lt;&gt;"Y","",MAX(0,(1-M904/'01_설정'!$B$5))*'01_설정'!$B$14+MAX(0,(1-N904/'01_설정'!$B$7))*'01_설정'!$B$16+MAX(0,(1-O904/'01_설정'!$B$8))*'01_설정'!$B$17+K904*'01_설정'!$B$11+L904*'01_설정'!$B$12)</f>
        <v/>
      </c>
      <c r="R904">
        <f>IF(Q904="","",1+COUNTIFS($Q$31:$Q$1030,"&gt;"&amp;Q904)+COUNTIFS($Q$31:Q904,Q904)-1)</f>
        <v/>
      </c>
    </row>
    <row r="905" hidden="1" ht="16.5" customHeight="1">
      <c r="A905">
        <f>IF(COUNTA('05_KAIS'!$A893:$N893)=0,"",878)</f>
        <v/>
      </c>
      <c r="B905">
        <f>IF($A905="","",TRIM(INDEX('05_KAIS'!$B:$B,$A905)&amp;" "&amp;INDEX('05_KAIS'!$C:$C,$A905)))</f>
        <v/>
      </c>
      <c r="C905">
        <f>IF($A905="","",INDEX('05_KAIS'!$D:$D,$A905))</f>
        <v/>
      </c>
      <c r="D905">
        <f>IF($A905="","",INDEX('05_KAIS'!$H:$H,$A905))</f>
        <v/>
      </c>
      <c r="E905">
        <f>IF($A905="","",INDEX('05_KAIS'!$K:$K,$A905))</f>
        <v/>
      </c>
      <c r="F905" s="202">
        <f>IF($A905="","",INDEX('05_KAIS'!$I:$I,$A905))</f>
        <v/>
      </c>
      <c r="G905" s="118">
        <f>IF($A905="","",INDEX('05_KAIS'!$L:$L,$A905))</f>
        <v/>
      </c>
      <c r="H905" s="118">
        <f>IF($A905="","",IFERROR(INDEX('05_KAIS'!$M:$M,$A905),IF(AND(E905&gt;0,G905&gt;0),G905/E905,"")))</f>
        <v/>
      </c>
      <c r="I905" s="202">
        <f>IF($A905="","",INDEX('05_KAIS'!$N:$N,$A905))</f>
        <v/>
      </c>
      <c r="J905">
        <f>IF(B905="","",IF('02_대상물건입력'!$B$5="",1,IF(ISNUMBER(SEARCH('02_대상물건입력'!$B$5,B905)),1,0)))</f>
        <v/>
      </c>
      <c r="K905">
        <f>IF(B905="","",IF('02_대상물건입력'!$B$6="",1,IF(ISNUMBER(SEARCH('02_대상물건입력'!$B$6,B905)),1,0)))</f>
        <v/>
      </c>
      <c r="L905">
        <f>IF(D905="","",IF('02_대상물건입력'!$B$8="",0,IF(ISNUMBER(SEARCH('02_대상물건입력'!$B$8,D905)),1,0)))</f>
        <v/>
      </c>
      <c r="M905">
        <f>IFERROR(ABS(E905-'02_대상물건입력'!$B$11)/'02_대상물건입력'!$B$11,"")</f>
        <v/>
      </c>
      <c r="N905">
        <f>IFERROR(ABS('01_설정'!$B$4-F905),"")</f>
        <v/>
      </c>
      <c r="O905">
        <f>IFERROR(ABS(YEAR(I905)-YEAR('02_대상물건입력'!$B$14)),"")</f>
        <v/>
      </c>
      <c r="P905">
        <f>IF(AND(E905&gt;0,F905&gt;0,G905&gt;0,IF('01_설정'!$B$10=1,J905=1,TRUE()),M905&lt;='01_설정'!$B$5,N905&lt;='01_설정'!$B$7,O905&lt;='01_설정'!$B$8),"Y","")</f>
        <v/>
      </c>
      <c r="Q905">
        <f>IF(P905&lt;&gt;"Y","",MAX(0,(1-M905/'01_설정'!$B$5))*'01_설정'!$B$14+MAX(0,(1-N905/'01_설정'!$B$7))*'01_설정'!$B$16+MAX(0,(1-O905/'01_설정'!$B$8))*'01_설정'!$B$17+K905*'01_설정'!$B$11+L905*'01_설정'!$B$12)</f>
        <v/>
      </c>
      <c r="R905">
        <f>IF(Q905="","",1+COUNTIFS($Q$31:$Q$1030,"&gt;"&amp;Q905)+COUNTIFS($Q$31:Q905,Q905)-1)</f>
        <v/>
      </c>
    </row>
    <row r="906" hidden="1" ht="16.5" customHeight="1">
      <c r="A906">
        <f>IF(COUNTA('05_KAIS'!$A894:$N894)=0,"",879)</f>
        <v/>
      </c>
      <c r="B906">
        <f>IF($A906="","",TRIM(INDEX('05_KAIS'!$B:$B,$A906)&amp;" "&amp;INDEX('05_KAIS'!$C:$C,$A906)))</f>
        <v/>
      </c>
      <c r="C906">
        <f>IF($A906="","",INDEX('05_KAIS'!$D:$D,$A906))</f>
        <v/>
      </c>
      <c r="D906">
        <f>IF($A906="","",INDEX('05_KAIS'!$H:$H,$A906))</f>
        <v/>
      </c>
      <c r="E906">
        <f>IF($A906="","",INDEX('05_KAIS'!$K:$K,$A906))</f>
        <v/>
      </c>
      <c r="F906" s="202">
        <f>IF($A906="","",INDEX('05_KAIS'!$I:$I,$A906))</f>
        <v/>
      </c>
      <c r="G906" s="118">
        <f>IF($A906="","",INDEX('05_KAIS'!$L:$L,$A906))</f>
        <v/>
      </c>
      <c r="H906" s="118">
        <f>IF($A906="","",IFERROR(INDEX('05_KAIS'!$M:$M,$A906),IF(AND(E906&gt;0,G906&gt;0),G906/E906,"")))</f>
        <v/>
      </c>
      <c r="I906" s="202">
        <f>IF($A906="","",INDEX('05_KAIS'!$N:$N,$A906))</f>
        <v/>
      </c>
      <c r="J906">
        <f>IF(B906="","",IF('02_대상물건입력'!$B$5="",1,IF(ISNUMBER(SEARCH('02_대상물건입력'!$B$5,B906)),1,0)))</f>
        <v/>
      </c>
      <c r="K906">
        <f>IF(B906="","",IF('02_대상물건입력'!$B$6="",1,IF(ISNUMBER(SEARCH('02_대상물건입력'!$B$6,B906)),1,0)))</f>
        <v/>
      </c>
      <c r="L906">
        <f>IF(D906="","",IF('02_대상물건입력'!$B$8="",0,IF(ISNUMBER(SEARCH('02_대상물건입력'!$B$8,D906)),1,0)))</f>
        <v/>
      </c>
      <c r="M906">
        <f>IFERROR(ABS(E906-'02_대상물건입력'!$B$11)/'02_대상물건입력'!$B$11,"")</f>
        <v/>
      </c>
      <c r="N906">
        <f>IFERROR(ABS('01_설정'!$B$4-F906),"")</f>
        <v/>
      </c>
      <c r="O906">
        <f>IFERROR(ABS(YEAR(I906)-YEAR('02_대상물건입력'!$B$14)),"")</f>
        <v/>
      </c>
      <c r="P906">
        <f>IF(AND(E906&gt;0,F906&gt;0,G906&gt;0,IF('01_설정'!$B$10=1,J906=1,TRUE()),M906&lt;='01_설정'!$B$5,N906&lt;='01_설정'!$B$7,O906&lt;='01_설정'!$B$8),"Y","")</f>
        <v/>
      </c>
      <c r="Q906">
        <f>IF(P906&lt;&gt;"Y","",MAX(0,(1-M906/'01_설정'!$B$5))*'01_설정'!$B$14+MAX(0,(1-N906/'01_설정'!$B$7))*'01_설정'!$B$16+MAX(0,(1-O906/'01_설정'!$B$8))*'01_설정'!$B$17+K906*'01_설정'!$B$11+L906*'01_설정'!$B$12)</f>
        <v/>
      </c>
      <c r="R906">
        <f>IF(Q906="","",1+COUNTIFS($Q$31:$Q$1030,"&gt;"&amp;Q906)+COUNTIFS($Q$31:Q906,Q906)-1)</f>
        <v/>
      </c>
    </row>
    <row r="907" hidden="1" ht="16.5" customHeight="1">
      <c r="A907">
        <f>IF(COUNTA('05_KAIS'!$A895:$N895)=0,"",880)</f>
        <v/>
      </c>
      <c r="B907">
        <f>IF($A907="","",TRIM(INDEX('05_KAIS'!$B:$B,$A907)&amp;" "&amp;INDEX('05_KAIS'!$C:$C,$A907)))</f>
        <v/>
      </c>
      <c r="C907">
        <f>IF($A907="","",INDEX('05_KAIS'!$D:$D,$A907))</f>
        <v/>
      </c>
      <c r="D907">
        <f>IF($A907="","",INDEX('05_KAIS'!$H:$H,$A907))</f>
        <v/>
      </c>
      <c r="E907">
        <f>IF($A907="","",INDEX('05_KAIS'!$K:$K,$A907))</f>
        <v/>
      </c>
      <c r="F907" s="202">
        <f>IF($A907="","",INDEX('05_KAIS'!$I:$I,$A907))</f>
        <v/>
      </c>
      <c r="G907" s="118">
        <f>IF($A907="","",INDEX('05_KAIS'!$L:$L,$A907))</f>
        <v/>
      </c>
      <c r="H907" s="118">
        <f>IF($A907="","",IFERROR(INDEX('05_KAIS'!$M:$M,$A907),IF(AND(E907&gt;0,G907&gt;0),G907/E907,"")))</f>
        <v/>
      </c>
      <c r="I907" s="202">
        <f>IF($A907="","",INDEX('05_KAIS'!$N:$N,$A907))</f>
        <v/>
      </c>
      <c r="J907">
        <f>IF(B907="","",IF('02_대상물건입력'!$B$5="",1,IF(ISNUMBER(SEARCH('02_대상물건입력'!$B$5,B907)),1,0)))</f>
        <v/>
      </c>
      <c r="K907">
        <f>IF(B907="","",IF('02_대상물건입력'!$B$6="",1,IF(ISNUMBER(SEARCH('02_대상물건입력'!$B$6,B907)),1,0)))</f>
        <v/>
      </c>
      <c r="L907">
        <f>IF(D907="","",IF('02_대상물건입력'!$B$8="",0,IF(ISNUMBER(SEARCH('02_대상물건입력'!$B$8,D907)),1,0)))</f>
        <v/>
      </c>
      <c r="M907">
        <f>IFERROR(ABS(E907-'02_대상물건입력'!$B$11)/'02_대상물건입력'!$B$11,"")</f>
        <v/>
      </c>
      <c r="N907">
        <f>IFERROR(ABS('01_설정'!$B$4-F907),"")</f>
        <v/>
      </c>
      <c r="O907">
        <f>IFERROR(ABS(YEAR(I907)-YEAR('02_대상물건입력'!$B$14)),"")</f>
        <v/>
      </c>
      <c r="P907">
        <f>IF(AND(E907&gt;0,F907&gt;0,G907&gt;0,IF('01_설정'!$B$10=1,J907=1,TRUE()),M907&lt;='01_설정'!$B$5,N907&lt;='01_설정'!$B$7,O907&lt;='01_설정'!$B$8),"Y","")</f>
        <v/>
      </c>
      <c r="Q907">
        <f>IF(P907&lt;&gt;"Y","",MAX(0,(1-M907/'01_설정'!$B$5))*'01_설정'!$B$14+MAX(0,(1-N907/'01_설정'!$B$7))*'01_설정'!$B$16+MAX(0,(1-O907/'01_설정'!$B$8))*'01_설정'!$B$17+K907*'01_설정'!$B$11+L907*'01_설정'!$B$12)</f>
        <v/>
      </c>
      <c r="R907">
        <f>IF(Q907="","",1+COUNTIFS($Q$31:$Q$1030,"&gt;"&amp;Q907)+COUNTIFS($Q$31:Q907,Q907)-1)</f>
        <v/>
      </c>
    </row>
    <row r="908" hidden="1" ht="16.5" customHeight="1">
      <c r="A908">
        <f>IF(COUNTA('05_KAIS'!$A896:$N896)=0,"",881)</f>
        <v/>
      </c>
      <c r="B908">
        <f>IF($A908="","",TRIM(INDEX('05_KAIS'!$B:$B,$A908)&amp;" "&amp;INDEX('05_KAIS'!$C:$C,$A908)))</f>
        <v/>
      </c>
      <c r="C908">
        <f>IF($A908="","",INDEX('05_KAIS'!$D:$D,$A908))</f>
        <v/>
      </c>
      <c r="D908">
        <f>IF($A908="","",INDEX('05_KAIS'!$H:$H,$A908))</f>
        <v/>
      </c>
      <c r="E908">
        <f>IF($A908="","",INDEX('05_KAIS'!$K:$K,$A908))</f>
        <v/>
      </c>
      <c r="F908" s="202">
        <f>IF($A908="","",INDEX('05_KAIS'!$I:$I,$A908))</f>
        <v/>
      </c>
      <c r="G908" s="118">
        <f>IF($A908="","",INDEX('05_KAIS'!$L:$L,$A908))</f>
        <v/>
      </c>
      <c r="H908" s="118">
        <f>IF($A908="","",IFERROR(INDEX('05_KAIS'!$M:$M,$A908),IF(AND(E908&gt;0,G908&gt;0),G908/E908,"")))</f>
        <v/>
      </c>
      <c r="I908" s="202">
        <f>IF($A908="","",INDEX('05_KAIS'!$N:$N,$A908))</f>
        <v/>
      </c>
      <c r="J908">
        <f>IF(B908="","",IF('02_대상물건입력'!$B$5="",1,IF(ISNUMBER(SEARCH('02_대상물건입력'!$B$5,B908)),1,0)))</f>
        <v/>
      </c>
      <c r="K908">
        <f>IF(B908="","",IF('02_대상물건입력'!$B$6="",1,IF(ISNUMBER(SEARCH('02_대상물건입력'!$B$6,B908)),1,0)))</f>
        <v/>
      </c>
      <c r="L908">
        <f>IF(D908="","",IF('02_대상물건입력'!$B$8="",0,IF(ISNUMBER(SEARCH('02_대상물건입력'!$B$8,D908)),1,0)))</f>
        <v/>
      </c>
      <c r="M908">
        <f>IFERROR(ABS(E908-'02_대상물건입력'!$B$11)/'02_대상물건입력'!$B$11,"")</f>
        <v/>
      </c>
      <c r="N908">
        <f>IFERROR(ABS('01_설정'!$B$4-F908),"")</f>
        <v/>
      </c>
      <c r="O908">
        <f>IFERROR(ABS(YEAR(I908)-YEAR('02_대상물건입력'!$B$14)),"")</f>
        <v/>
      </c>
      <c r="P908">
        <f>IF(AND(E908&gt;0,F908&gt;0,G908&gt;0,IF('01_설정'!$B$10=1,J908=1,TRUE()),M908&lt;='01_설정'!$B$5,N908&lt;='01_설정'!$B$7,O908&lt;='01_설정'!$B$8),"Y","")</f>
        <v/>
      </c>
      <c r="Q908">
        <f>IF(P908&lt;&gt;"Y","",MAX(0,(1-M908/'01_설정'!$B$5))*'01_설정'!$B$14+MAX(0,(1-N908/'01_설정'!$B$7))*'01_설정'!$B$16+MAX(0,(1-O908/'01_설정'!$B$8))*'01_설정'!$B$17+K908*'01_설정'!$B$11+L908*'01_설정'!$B$12)</f>
        <v/>
      </c>
      <c r="R908">
        <f>IF(Q908="","",1+COUNTIFS($Q$31:$Q$1030,"&gt;"&amp;Q908)+COUNTIFS($Q$31:Q908,Q908)-1)</f>
        <v/>
      </c>
    </row>
    <row r="909" hidden="1" ht="16.5" customHeight="1">
      <c r="A909">
        <f>IF(COUNTA('05_KAIS'!$A897:$N897)=0,"",882)</f>
        <v/>
      </c>
      <c r="B909">
        <f>IF($A909="","",TRIM(INDEX('05_KAIS'!$B:$B,$A909)&amp;" "&amp;INDEX('05_KAIS'!$C:$C,$A909)))</f>
        <v/>
      </c>
      <c r="C909">
        <f>IF($A909="","",INDEX('05_KAIS'!$D:$D,$A909))</f>
        <v/>
      </c>
      <c r="D909">
        <f>IF($A909="","",INDEX('05_KAIS'!$H:$H,$A909))</f>
        <v/>
      </c>
      <c r="E909">
        <f>IF($A909="","",INDEX('05_KAIS'!$K:$K,$A909))</f>
        <v/>
      </c>
      <c r="F909" s="202">
        <f>IF($A909="","",INDEX('05_KAIS'!$I:$I,$A909))</f>
        <v/>
      </c>
      <c r="G909" s="118">
        <f>IF($A909="","",INDEX('05_KAIS'!$L:$L,$A909))</f>
        <v/>
      </c>
      <c r="H909" s="118">
        <f>IF($A909="","",IFERROR(INDEX('05_KAIS'!$M:$M,$A909),IF(AND(E909&gt;0,G909&gt;0),G909/E909,"")))</f>
        <v/>
      </c>
      <c r="I909" s="202">
        <f>IF($A909="","",INDEX('05_KAIS'!$N:$N,$A909))</f>
        <v/>
      </c>
      <c r="J909">
        <f>IF(B909="","",IF('02_대상물건입력'!$B$5="",1,IF(ISNUMBER(SEARCH('02_대상물건입력'!$B$5,B909)),1,0)))</f>
        <v/>
      </c>
      <c r="K909">
        <f>IF(B909="","",IF('02_대상물건입력'!$B$6="",1,IF(ISNUMBER(SEARCH('02_대상물건입력'!$B$6,B909)),1,0)))</f>
        <v/>
      </c>
      <c r="L909">
        <f>IF(D909="","",IF('02_대상물건입력'!$B$8="",0,IF(ISNUMBER(SEARCH('02_대상물건입력'!$B$8,D909)),1,0)))</f>
        <v/>
      </c>
      <c r="M909">
        <f>IFERROR(ABS(E909-'02_대상물건입력'!$B$11)/'02_대상물건입력'!$B$11,"")</f>
        <v/>
      </c>
      <c r="N909">
        <f>IFERROR(ABS('01_설정'!$B$4-F909),"")</f>
        <v/>
      </c>
      <c r="O909">
        <f>IFERROR(ABS(YEAR(I909)-YEAR('02_대상물건입력'!$B$14)),"")</f>
        <v/>
      </c>
      <c r="P909">
        <f>IF(AND(E909&gt;0,F909&gt;0,G909&gt;0,IF('01_설정'!$B$10=1,J909=1,TRUE()),M909&lt;='01_설정'!$B$5,N909&lt;='01_설정'!$B$7,O909&lt;='01_설정'!$B$8),"Y","")</f>
        <v/>
      </c>
      <c r="Q909">
        <f>IF(P909&lt;&gt;"Y","",MAX(0,(1-M909/'01_설정'!$B$5))*'01_설정'!$B$14+MAX(0,(1-N909/'01_설정'!$B$7))*'01_설정'!$B$16+MAX(0,(1-O909/'01_설정'!$B$8))*'01_설정'!$B$17+K909*'01_설정'!$B$11+L909*'01_설정'!$B$12)</f>
        <v/>
      </c>
      <c r="R909">
        <f>IF(Q909="","",1+COUNTIFS($Q$31:$Q$1030,"&gt;"&amp;Q909)+COUNTIFS($Q$31:Q909,Q909)-1)</f>
        <v/>
      </c>
    </row>
    <row r="910" hidden="1" ht="16.5" customHeight="1">
      <c r="A910">
        <f>IF(COUNTA('05_KAIS'!$A898:$N898)=0,"",883)</f>
        <v/>
      </c>
      <c r="B910">
        <f>IF($A910="","",TRIM(INDEX('05_KAIS'!$B:$B,$A910)&amp;" "&amp;INDEX('05_KAIS'!$C:$C,$A910)))</f>
        <v/>
      </c>
      <c r="C910">
        <f>IF($A910="","",INDEX('05_KAIS'!$D:$D,$A910))</f>
        <v/>
      </c>
      <c r="D910">
        <f>IF($A910="","",INDEX('05_KAIS'!$H:$H,$A910))</f>
        <v/>
      </c>
      <c r="E910">
        <f>IF($A910="","",INDEX('05_KAIS'!$K:$K,$A910))</f>
        <v/>
      </c>
      <c r="F910" s="202">
        <f>IF($A910="","",INDEX('05_KAIS'!$I:$I,$A910))</f>
        <v/>
      </c>
      <c r="G910" s="118">
        <f>IF($A910="","",INDEX('05_KAIS'!$L:$L,$A910))</f>
        <v/>
      </c>
      <c r="H910" s="118">
        <f>IF($A910="","",IFERROR(INDEX('05_KAIS'!$M:$M,$A910),IF(AND(E910&gt;0,G910&gt;0),G910/E910,"")))</f>
        <v/>
      </c>
      <c r="I910" s="202">
        <f>IF($A910="","",INDEX('05_KAIS'!$N:$N,$A910))</f>
        <v/>
      </c>
      <c r="J910">
        <f>IF(B910="","",IF('02_대상물건입력'!$B$5="",1,IF(ISNUMBER(SEARCH('02_대상물건입력'!$B$5,B910)),1,0)))</f>
        <v/>
      </c>
      <c r="K910">
        <f>IF(B910="","",IF('02_대상물건입력'!$B$6="",1,IF(ISNUMBER(SEARCH('02_대상물건입력'!$B$6,B910)),1,0)))</f>
        <v/>
      </c>
      <c r="L910">
        <f>IF(D910="","",IF('02_대상물건입력'!$B$8="",0,IF(ISNUMBER(SEARCH('02_대상물건입력'!$B$8,D910)),1,0)))</f>
        <v/>
      </c>
      <c r="M910">
        <f>IFERROR(ABS(E910-'02_대상물건입력'!$B$11)/'02_대상물건입력'!$B$11,"")</f>
        <v/>
      </c>
      <c r="N910">
        <f>IFERROR(ABS('01_설정'!$B$4-F910),"")</f>
        <v/>
      </c>
      <c r="O910">
        <f>IFERROR(ABS(YEAR(I910)-YEAR('02_대상물건입력'!$B$14)),"")</f>
        <v/>
      </c>
      <c r="P910">
        <f>IF(AND(E910&gt;0,F910&gt;0,G910&gt;0,IF('01_설정'!$B$10=1,J910=1,TRUE()),M910&lt;='01_설정'!$B$5,N910&lt;='01_설정'!$B$7,O910&lt;='01_설정'!$B$8),"Y","")</f>
        <v/>
      </c>
      <c r="Q910">
        <f>IF(P910&lt;&gt;"Y","",MAX(0,(1-M910/'01_설정'!$B$5))*'01_설정'!$B$14+MAX(0,(1-N910/'01_설정'!$B$7))*'01_설정'!$B$16+MAX(0,(1-O910/'01_설정'!$B$8))*'01_설정'!$B$17+K910*'01_설정'!$B$11+L910*'01_설정'!$B$12)</f>
        <v/>
      </c>
      <c r="R910">
        <f>IF(Q910="","",1+COUNTIFS($Q$31:$Q$1030,"&gt;"&amp;Q910)+COUNTIFS($Q$31:Q910,Q910)-1)</f>
        <v/>
      </c>
    </row>
    <row r="911" hidden="1" ht="16.5" customHeight="1">
      <c r="A911">
        <f>IF(COUNTA('05_KAIS'!$A899:$N899)=0,"",884)</f>
        <v/>
      </c>
      <c r="B911">
        <f>IF($A911="","",TRIM(INDEX('05_KAIS'!$B:$B,$A911)&amp;" "&amp;INDEX('05_KAIS'!$C:$C,$A911)))</f>
        <v/>
      </c>
      <c r="C911">
        <f>IF($A911="","",INDEX('05_KAIS'!$D:$D,$A911))</f>
        <v/>
      </c>
      <c r="D911">
        <f>IF($A911="","",INDEX('05_KAIS'!$H:$H,$A911))</f>
        <v/>
      </c>
      <c r="E911">
        <f>IF($A911="","",INDEX('05_KAIS'!$K:$K,$A911))</f>
        <v/>
      </c>
      <c r="F911" s="202">
        <f>IF($A911="","",INDEX('05_KAIS'!$I:$I,$A911))</f>
        <v/>
      </c>
      <c r="G911" s="118">
        <f>IF($A911="","",INDEX('05_KAIS'!$L:$L,$A911))</f>
        <v/>
      </c>
      <c r="H911" s="118">
        <f>IF($A911="","",IFERROR(INDEX('05_KAIS'!$M:$M,$A911),IF(AND(E911&gt;0,G911&gt;0),G911/E911,"")))</f>
        <v/>
      </c>
      <c r="I911" s="202">
        <f>IF($A911="","",INDEX('05_KAIS'!$N:$N,$A911))</f>
        <v/>
      </c>
      <c r="J911">
        <f>IF(B911="","",IF('02_대상물건입력'!$B$5="",1,IF(ISNUMBER(SEARCH('02_대상물건입력'!$B$5,B911)),1,0)))</f>
        <v/>
      </c>
      <c r="K911">
        <f>IF(B911="","",IF('02_대상물건입력'!$B$6="",1,IF(ISNUMBER(SEARCH('02_대상물건입력'!$B$6,B911)),1,0)))</f>
        <v/>
      </c>
      <c r="L911">
        <f>IF(D911="","",IF('02_대상물건입력'!$B$8="",0,IF(ISNUMBER(SEARCH('02_대상물건입력'!$B$8,D911)),1,0)))</f>
        <v/>
      </c>
      <c r="M911">
        <f>IFERROR(ABS(E911-'02_대상물건입력'!$B$11)/'02_대상물건입력'!$B$11,"")</f>
        <v/>
      </c>
      <c r="N911">
        <f>IFERROR(ABS('01_설정'!$B$4-F911),"")</f>
        <v/>
      </c>
      <c r="O911">
        <f>IFERROR(ABS(YEAR(I911)-YEAR('02_대상물건입력'!$B$14)),"")</f>
        <v/>
      </c>
      <c r="P911">
        <f>IF(AND(E911&gt;0,F911&gt;0,G911&gt;0,IF('01_설정'!$B$10=1,J911=1,TRUE()),M911&lt;='01_설정'!$B$5,N911&lt;='01_설정'!$B$7,O911&lt;='01_설정'!$B$8),"Y","")</f>
        <v/>
      </c>
      <c r="Q911">
        <f>IF(P911&lt;&gt;"Y","",MAX(0,(1-M911/'01_설정'!$B$5))*'01_설정'!$B$14+MAX(0,(1-N911/'01_설정'!$B$7))*'01_설정'!$B$16+MAX(0,(1-O911/'01_설정'!$B$8))*'01_설정'!$B$17+K911*'01_설정'!$B$11+L911*'01_설정'!$B$12)</f>
        <v/>
      </c>
      <c r="R911">
        <f>IF(Q911="","",1+COUNTIFS($Q$31:$Q$1030,"&gt;"&amp;Q911)+COUNTIFS($Q$31:Q911,Q911)-1)</f>
        <v/>
      </c>
    </row>
    <row r="912" hidden="1" ht="16.5" customHeight="1">
      <c r="A912">
        <f>IF(COUNTA('05_KAIS'!$A900:$N900)=0,"",885)</f>
        <v/>
      </c>
      <c r="B912">
        <f>IF($A912="","",TRIM(INDEX('05_KAIS'!$B:$B,$A912)&amp;" "&amp;INDEX('05_KAIS'!$C:$C,$A912)))</f>
        <v/>
      </c>
      <c r="C912">
        <f>IF($A912="","",INDEX('05_KAIS'!$D:$D,$A912))</f>
        <v/>
      </c>
      <c r="D912">
        <f>IF($A912="","",INDEX('05_KAIS'!$H:$H,$A912))</f>
        <v/>
      </c>
      <c r="E912">
        <f>IF($A912="","",INDEX('05_KAIS'!$K:$K,$A912))</f>
        <v/>
      </c>
      <c r="F912" s="202">
        <f>IF($A912="","",INDEX('05_KAIS'!$I:$I,$A912))</f>
        <v/>
      </c>
      <c r="G912" s="118">
        <f>IF($A912="","",INDEX('05_KAIS'!$L:$L,$A912))</f>
        <v/>
      </c>
      <c r="H912" s="118">
        <f>IF($A912="","",IFERROR(INDEX('05_KAIS'!$M:$M,$A912),IF(AND(E912&gt;0,G912&gt;0),G912/E912,"")))</f>
        <v/>
      </c>
      <c r="I912" s="202">
        <f>IF($A912="","",INDEX('05_KAIS'!$N:$N,$A912))</f>
        <v/>
      </c>
      <c r="J912">
        <f>IF(B912="","",IF('02_대상물건입력'!$B$5="",1,IF(ISNUMBER(SEARCH('02_대상물건입력'!$B$5,B912)),1,0)))</f>
        <v/>
      </c>
      <c r="K912">
        <f>IF(B912="","",IF('02_대상물건입력'!$B$6="",1,IF(ISNUMBER(SEARCH('02_대상물건입력'!$B$6,B912)),1,0)))</f>
        <v/>
      </c>
      <c r="L912">
        <f>IF(D912="","",IF('02_대상물건입력'!$B$8="",0,IF(ISNUMBER(SEARCH('02_대상물건입력'!$B$8,D912)),1,0)))</f>
        <v/>
      </c>
      <c r="M912">
        <f>IFERROR(ABS(E912-'02_대상물건입력'!$B$11)/'02_대상물건입력'!$B$11,"")</f>
        <v/>
      </c>
      <c r="N912">
        <f>IFERROR(ABS('01_설정'!$B$4-F912),"")</f>
        <v/>
      </c>
      <c r="O912">
        <f>IFERROR(ABS(YEAR(I912)-YEAR('02_대상물건입력'!$B$14)),"")</f>
        <v/>
      </c>
      <c r="P912">
        <f>IF(AND(E912&gt;0,F912&gt;0,G912&gt;0,IF('01_설정'!$B$10=1,J912=1,TRUE()),M912&lt;='01_설정'!$B$5,N912&lt;='01_설정'!$B$7,O912&lt;='01_설정'!$B$8),"Y","")</f>
        <v/>
      </c>
      <c r="Q912">
        <f>IF(P912&lt;&gt;"Y","",MAX(0,(1-M912/'01_설정'!$B$5))*'01_설정'!$B$14+MAX(0,(1-N912/'01_설정'!$B$7))*'01_설정'!$B$16+MAX(0,(1-O912/'01_설정'!$B$8))*'01_설정'!$B$17+K912*'01_설정'!$B$11+L912*'01_설정'!$B$12)</f>
        <v/>
      </c>
      <c r="R912">
        <f>IF(Q912="","",1+COUNTIFS($Q$31:$Q$1030,"&gt;"&amp;Q912)+COUNTIFS($Q$31:Q912,Q912)-1)</f>
        <v/>
      </c>
    </row>
    <row r="913" hidden="1" ht="16.5" customHeight="1">
      <c r="A913">
        <f>IF(COUNTA('05_KAIS'!$A901:$N901)=0,"",886)</f>
        <v/>
      </c>
      <c r="B913">
        <f>IF($A913="","",TRIM(INDEX('05_KAIS'!$B:$B,$A913)&amp;" "&amp;INDEX('05_KAIS'!$C:$C,$A913)))</f>
        <v/>
      </c>
      <c r="C913">
        <f>IF($A913="","",INDEX('05_KAIS'!$D:$D,$A913))</f>
        <v/>
      </c>
      <c r="D913">
        <f>IF($A913="","",INDEX('05_KAIS'!$H:$H,$A913))</f>
        <v/>
      </c>
      <c r="E913">
        <f>IF($A913="","",INDEX('05_KAIS'!$K:$K,$A913))</f>
        <v/>
      </c>
      <c r="F913" s="202">
        <f>IF($A913="","",INDEX('05_KAIS'!$I:$I,$A913))</f>
        <v/>
      </c>
      <c r="G913" s="118">
        <f>IF($A913="","",INDEX('05_KAIS'!$L:$L,$A913))</f>
        <v/>
      </c>
      <c r="H913" s="118">
        <f>IF($A913="","",IFERROR(INDEX('05_KAIS'!$M:$M,$A913),IF(AND(E913&gt;0,G913&gt;0),G913/E913,"")))</f>
        <v/>
      </c>
      <c r="I913" s="202">
        <f>IF($A913="","",INDEX('05_KAIS'!$N:$N,$A913))</f>
        <v/>
      </c>
      <c r="J913">
        <f>IF(B913="","",IF('02_대상물건입력'!$B$5="",1,IF(ISNUMBER(SEARCH('02_대상물건입력'!$B$5,B913)),1,0)))</f>
        <v/>
      </c>
      <c r="K913">
        <f>IF(B913="","",IF('02_대상물건입력'!$B$6="",1,IF(ISNUMBER(SEARCH('02_대상물건입력'!$B$6,B913)),1,0)))</f>
        <v/>
      </c>
      <c r="L913">
        <f>IF(D913="","",IF('02_대상물건입력'!$B$8="",0,IF(ISNUMBER(SEARCH('02_대상물건입력'!$B$8,D913)),1,0)))</f>
        <v/>
      </c>
      <c r="M913">
        <f>IFERROR(ABS(E913-'02_대상물건입력'!$B$11)/'02_대상물건입력'!$B$11,"")</f>
        <v/>
      </c>
      <c r="N913">
        <f>IFERROR(ABS('01_설정'!$B$4-F913),"")</f>
        <v/>
      </c>
      <c r="O913">
        <f>IFERROR(ABS(YEAR(I913)-YEAR('02_대상물건입력'!$B$14)),"")</f>
        <v/>
      </c>
      <c r="P913">
        <f>IF(AND(E913&gt;0,F913&gt;0,G913&gt;0,IF('01_설정'!$B$10=1,J913=1,TRUE()),M913&lt;='01_설정'!$B$5,N913&lt;='01_설정'!$B$7,O913&lt;='01_설정'!$B$8),"Y","")</f>
        <v/>
      </c>
      <c r="Q913">
        <f>IF(P913&lt;&gt;"Y","",MAX(0,(1-M913/'01_설정'!$B$5))*'01_설정'!$B$14+MAX(0,(1-N913/'01_설정'!$B$7))*'01_설정'!$B$16+MAX(0,(1-O913/'01_설정'!$B$8))*'01_설정'!$B$17+K913*'01_설정'!$B$11+L913*'01_설정'!$B$12)</f>
        <v/>
      </c>
      <c r="R913">
        <f>IF(Q913="","",1+COUNTIFS($Q$31:$Q$1030,"&gt;"&amp;Q913)+COUNTIFS($Q$31:Q913,Q913)-1)</f>
        <v/>
      </c>
    </row>
    <row r="914" hidden="1" ht="16.5" customHeight="1">
      <c r="A914">
        <f>IF(COUNTA('05_KAIS'!$A902:$N902)=0,"",887)</f>
        <v/>
      </c>
      <c r="B914">
        <f>IF($A914="","",TRIM(INDEX('05_KAIS'!$B:$B,$A914)&amp;" "&amp;INDEX('05_KAIS'!$C:$C,$A914)))</f>
        <v/>
      </c>
      <c r="C914">
        <f>IF($A914="","",INDEX('05_KAIS'!$D:$D,$A914))</f>
        <v/>
      </c>
      <c r="D914">
        <f>IF($A914="","",INDEX('05_KAIS'!$H:$H,$A914))</f>
        <v/>
      </c>
      <c r="E914">
        <f>IF($A914="","",INDEX('05_KAIS'!$K:$K,$A914))</f>
        <v/>
      </c>
      <c r="F914" s="202">
        <f>IF($A914="","",INDEX('05_KAIS'!$I:$I,$A914))</f>
        <v/>
      </c>
      <c r="G914" s="118">
        <f>IF($A914="","",INDEX('05_KAIS'!$L:$L,$A914))</f>
        <v/>
      </c>
      <c r="H914" s="118">
        <f>IF($A914="","",IFERROR(INDEX('05_KAIS'!$M:$M,$A914),IF(AND(E914&gt;0,G914&gt;0),G914/E914,"")))</f>
        <v/>
      </c>
      <c r="I914" s="202">
        <f>IF($A914="","",INDEX('05_KAIS'!$N:$N,$A914))</f>
        <v/>
      </c>
      <c r="J914">
        <f>IF(B914="","",IF('02_대상물건입력'!$B$5="",1,IF(ISNUMBER(SEARCH('02_대상물건입력'!$B$5,B914)),1,0)))</f>
        <v/>
      </c>
      <c r="K914">
        <f>IF(B914="","",IF('02_대상물건입력'!$B$6="",1,IF(ISNUMBER(SEARCH('02_대상물건입력'!$B$6,B914)),1,0)))</f>
        <v/>
      </c>
      <c r="L914">
        <f>IF(D914="","",IF('02_대상물건입력'!$B$8="",0,IF(ISNUMBER(SEARCH('02_대상물건입력'!$B$8,D914)),1,0)))</f>
        <v/>
      </c>
      <c r="M914">
        <f>IFERROR(ABS(E914-'02_대상물건입력'!$B$11)/'02_대상물건입력'!$B$11,"")</f>
        <v/>
      </c>
      <c r="N914">
        <f>IFERROR(ABS('01_설정'!$B$4-F914),"")</f>
        <v/>
      </c>
      <c r="O914">
        <f>IFERROR(ABS(YEAR(I914)-YEAR('02_대상물건입력'!$B$14)),"")</f>
        <v/>
      </c>
      <c r="P914">
        <f>IF(AND(E914&gt;0,F914&gt;0,G914&gt;0,IF('01_설정'!$B$10=1,J914=1,TRUE()),M914&lt;='01_설정'!$B$5,N914&lt;='01_설정'!$B$7,O914&lt;='01_설정'!$B$8),"Y","")</f>
        <v/>
      </c>
      <c r="Q914">
        <f>IF(P914&lt;&gt;"Y","",MAX(0,(1-M914/'01_설정'!$B$5))*'01_설정'!$B$14+MAX(0,(1-N914/'01_설정'!$B$7))*'01_설정'!$B$16+MAX(0,(1-O914/'01_설정'!$B$8))*'01_설정'!$B$17+K914*'01_설정'!$B$11+L914*'01_설정'!$B$12)</f>
        <v/>
      </c>
      <c r="R914">
        <f>IF(Q914="","",1+COUNTIFS($Q$31:$Q$1030,"&gt;"&amp;Q914)+COUNTIFS($Q$31:Q914,Q914)-1)</f>
        <v/>
      </c>
    </row>
    <row r="915" hidden="1" ht="16.5" customHeight="1">
      <c r="A915">
        <f>IF(COUNTA('05_KAIS'!$A903:$N903)=0,"",888)</f>
        <v/>
      </c>
      <c r="B915">
        <f>IF($A915="","",TRIM(INDEX('05_KAIS'!$B:$B,$A915)&amp;" "&amp;INDEX('05_KAIS'!$C:$C,$A915)))</f>
        <v/>
      </c>
      <c r="C915">
        <f>IF($A915="","",INDEX('05_KAIS'!$D:$D,$A915))</f>
        <v/>
      </c>
      <c r="D915">
        <f>IF($A915="","",INDEX('05_KAIS'!$H:$H,$A915))</f>
        <v/>
      </c>
      <c r="E915">
        <f>IF($A915="","",INDEX('05_KAIS'!$K:$K,$A915))</f>
        <v/>
      </c>
      <c r="F915" s="202">
        <f>IF($A915="","",INDEX('05_KAIS'!$I:$I,$A915))</f>
        <v/>
      </c>
      <c r="G915" s="118">
        <f>IF($A915="","",INDEX('05_KAIS'!$L:$L,$A915))</f>
        <v/>
      </c>
      <c r="H915" s="118">
        <f>IF($A915="","",IFERROR(INDEX('05_KAIS'!$M:$M,$A915),IF(AND(E915&gt;0,G915&gt;0),G915/E915,"")))</f>
        <v/>
      </c>
      <c r="I915" s="202">
        <f>IF($A915="","",INDEX('05_KAIS'!$N:$N,$A915))</f>
        <v/>
      </c>
      <c r="J915">
        <f>IF(B915="","",IF('02_대상물건입력'!$B$5="",1,IF(ISNUMBER(SEARCH('02_대상물건입력'!$B$5,B915)),1,0)))</f>
        <v/>
      </c>
      <c r="K915">
        <f>IF(B915="","",IF('02_대상물건입력'!$B$6="",1,IF(ISNUMBER(SEARCH('02_대상물건입력'!$B$6,B915)),1,0)))</f>
        <v/>
      </c>
      <c r="L915">
        <f>IF(D915="","",IF('02_대상물건입력'!$B$8="",0,IF(ISNUMBER(SEARCH('02_대상물건입력'!$B$8,D915)),1,0)))</f>
        <v/>
      </c>
      <c r="M915">
        <f>IFERROR(ABS(E915-'02_대상물건입력'!$B$11)/'02_대상물건입력'!$B$11,"")</f>
        <v/>
      </c>
      <c r="N915">
        <f>IFERROR(ABS('01_설정'!$B$4-F915),"")</f>
        <v/>
      </c>
      <c r="O915">
        <f>IFERROR(ABS(YEAR(I915)-YEAR('02_대상물건입력'!$B$14)),"")</f>
        <v/>
      </c>
      <c r="P915">
        <f>IF(AND(E915&gt;0,F915&gt;0,G915&gt;0,IF('01_설정'!$B$10=1,J915=1,TRUE()),M915&lt;='01_설정'!$B$5,N915&lt;='01_설정'!$B$7,O915&lt;='01_설정'!$B$8),"Y","")</f>
        <v/>
      </c>
      <c r="Q915">
        <f>IF(P915&lt;&gt;"Y","",MAX(0,(1-M915/'01_설정'!$B$5))*'01_설정'!$B$14+MAX(0,(1-N915/'01_설정'!$B$7))*'01_설정'!$B$16+MAX(0,(1-O915/'01_설정'!$B$8))*'01_설정'!$B$17+K915*'01_설정'!$B$11+L915*'01_설정'!$B$12)</f>
        <v/>
      </c>
      <c r="R915">
        <f>IF(Q915="","",1+COUNTIFS($Q$31:$Q$1030,"&gt;"&amp;Q915)+COUNTIFS($Q$31:Q915,Q915)-1)</f>
        <v/>
      </c>
    </row>
    <row r="916" hidden="1" ht="16.5" customHeight="1">
      <c r="A916">
        <f>IF(COUNTA('05_KAIS'!$A904:$N904)=0,"",889)</f>
        <v/>
      </c>
      <c r="B916">
        <f>IF($A916="","",TRIM(INDEX('05_KAIS'!$B:$B,$A916)&amp;" "&amp;INDEX('05_KAIS'!$C:$C,$A916)))</f>
        <v/>
      </c>
      <c r="C916">
        <f>IF($A916="","",INDEX('05_KAIS'!$D:$D,$A916))</f>
        <v/>
      </c>
      <c r="D916">
        <f>IF($A916="","",INDEX('05_KAIS'!$H:$H,$A916))</f>
        <v/>
      </c>
      <c r="E916">
        <f>IF($A916="","",INDEX('05_KAIS'!$K:$K,$A916))</f>
        <v/>
      </c>
      <c r="F916" s="202">
        <f>IF($A916="","",INDEX('05_KAIS'!$I:$I,$A916))</f>
        <v/>
      </c>
      <c r="G916" s="118">
        <f>IF($A916="","",INDEX('05_KAIS'!$L:$L,$A916))</f>
        <v/>
      </c>
      <c r="H916" s="118">
        <f>IF($A916="","",IFERROR(INDEX('05_KAIS'!$M:$M,$A916),IF(AND(E916&gt;0,G916&gt;0),G916/E916,"")))</f>
        <v/>
      </c>
      <c r="I916" s="202">
        <f>IF($A916="","",INDEX('05_KAIS'!$N:$N,$A916))</f>
        <v/>
      </c>
      <c r="J916">
        <f>IF(B916="","",IF('02_대상물건입력'!$B$5="",1,IF(ISNUMBER(SEARCH('02_대상물건입력'!$B$5,B916)),1,0)))</f>
        <v/>
      </c>
      <c r="K916">
        <f>IF(B916="","",IF('02_대상물건입력'!$B$6="",1,IF(ISNUMBER(SEARCH('02_대상물건입력'!$B$6,B916)),1,0)))</f>
        <v/>
      </c>
      <c r="L916">
        <f>IF(D916="","",IF('02_대상물건입력'!$B$8="",0,IF(ISNUMBER(SEARCH('02_대상물건입력'!$B$8,D916)),1,0)))</f>
        <v/>
      </c>
      <c r="M916">
        <f>IFERROR(ABS(E916-'02_대상물건입력'!$B$11)/'02_대상물건입력'!$B$11,"")</f>
        <v/>
      </c>
      <c r="N916">
        <f>IFERROR(ABS('01_설정'!$B$4-F916),"")</f>
        <v/>
      </c>
      <c r="O916">
        <f>IFERROR(ABS(YEAR(I916)-YEAR('02_대상물건입력'!$B$14)),"")</f>
        <v/>
      </c>
      <c r="P916">
        <f>IF(AND(E916&gt;0,F916&gt;0,G916&gt;0,IF('01_설정'!$B$10=1,J916=1,TRUE()),M916&lt;='01_설정'!$B$5,N916&lt;='01_설정'!$B$7,O916&lt;='01_설정'!$B$8),"Y","")</f>
        <v/>
      </c>
      <c r="Q916">
        <f>IF(P916&lt;&gt;"Y","",MAX(0,(1-M916/'01_설정'!$B$5))*'01_설정'!$B$14+MAX(0,(1-N916/'01_설정'!$B$7))*'01_설정'!$B$16+MAX(0,(1-O916/'01_설정'!$B$8))*'01_설정'!$B$17+K916*'01_설정'!$B$11+L916*'01_설정'!$B$12)</f>
        <v/>
      </c>
      <c r="R916">
        <f>IF(Q916="","",1+COUNTIFS($Q$31:$Q$1030,"&gt;"&amp;Q916)+COUNTIFS($Q$31:Q916,Q916)-1)</f>
        <v/>
      </c>
    </row>
    <row r="917" hidden="1" ht="16.5" customHeight="1">
      <c r="A917">
        <f>IF(COUNTA('05_KAIS'!$A905:$N905)=0,"",890)</f>
        <v/>
      </c>
      <c r="B917">
        <f>IF($A917="","",TRIM(INDEX('05_KAIS'!$B:$B,$A917)&amp;" "&amp;INDEX('05_KAIS'!$C:$C,$A917)))</f>
        <v/>
      </c>
      <c r="C917">
        <f>IF($A917="","",INDEX('05_KAIS'!$D:$D,$A917))</f>
        <v/>
      </c>
      <c r="D917">
        <f>IF($A917="","",INDEX('05_KAIS'!$H:$H,$A917))</f>
        <v/>
      </c>
      <c r="E917">
        <f>IF($A917="","",INDEX('05_KAIS'!$K:$K,$A917))</f>
        <v/>
      </c>
      <c r="F917" s="202">
        <f>IF($A917="","",INDEX('05_KAIS'!$I:$I,$A917))</f>
        <v/>
      </c>
      <c r="G917" s="118">
        <f>IF($A917="","",INDEX('05_KAIS'!$L:$L,$A917))</f>
        <v/>
      </c>
      <c r="H917" s="118">
        <f>IF($A917="","",IFERROR(INDEX('05_KAIS'!$M:$M,$A917),IF(AND(E917&gt;0,G917&gt;0),G917/E917,"")))</f>
        <v/>
      </c>
      <c r="I917" s="202">
        <f>IF($A917="","",INDEX('05_KAIS'!$N:$N,$A917))</f>
        <v/>
      </c>
      <c r="J917">
        <f>IF(B917="","",IF('02_대상물건입력'!$B$5="",1,IF(ISNUMBER(SEARCH('02_대상물건입력'!$B$5,B917)),1,0)))</f>
        <v/>
      </c>
      <c r="K917">
        <f>IF(B917="","",IF('02_대상물건입력'!$B$6="",1,IF(ISNUMBER(SEARCH('02_대상물건입력'!$B$6,B917)),1,0)))</f>
        <v/>
      </c>
      <c r="L917">
        <f>IF(D917="","",IF('02_대상물건입력'!$B$8="",0,IF(ISNUMBER(SEARCH('02_대상물건입력'!$B$8,D917)),1,0)))</f>
        <v/>
      </c>
      <c r="M917">
        <f>IFERROR(ABS(E917-'02_대상물건입력'!$B$11)/'02_대상물건입력'!$B$11,"")</f>
        <v/>
      </c>
      <c r="N917">
        <f>IFERROR(ABS('01_설정'!$B$4-F917),"")</f>
        <v/>
      </c>
      <c r="O917">
        <f>IFERROR(ABS(YEAR(I917)-YEAR('02_대상물건입력'!$B$14)),"")</f>
        <v/>
      </c>
      <c r="P917">
        <f>IF(AND(E917&gt;0,F917&gt;0,G917&gt;0,IF('01_설정'!$B$10=1,J917=1,TRUE()),M917&lt;='01_설정'!$B$5,N917&lt;='01_설정'!$B$7,O917&lt;='01_설정'!$B$8),"Y","")</f>
        <v/>
      </c>
      <c r="Q917">
        <f>IF(P917&lt;&gt;"Y","",MAX(0,(1-M917/'01_설정'!$B$5))*'01_설정'!$B$14+MAX(0,(1-N917/'01_설정'!$B$7))*'01_설정'!$B$16+MAX(0,(1-O917/'01_설정'!$B$8))*'01_설정'!$B$17+K917*'01_설정'!$B$11+L917*'01_설정'!$B$12)</f>
        <v/>
      </c>
      <c r="R917">
        <f>IF(Q917="","",1+COUNTIFS($Q$31:$Q$1030,"&gt;"&amp;Q917)+COUNTIFS($Q$31:Q917,Q917)-1)</f>
        <v/>
      </c>
    </row>
    <row r="918" hidden="1" ht="16.5" customHeight="1">
      <c r="A918">
        <f>IF(COUNTA('05_KAIS'!$A906:$N906)=0,"",891)</f>
        <v/>
      </c>
      <c r="B918">
        <f>IF($A918="","",TRIM(INDEX('05_KAIS'!$B:$B,$A918)&amp;" "&amp;INDEX('05_KAIS'!$C:$C,$A918)))</f>
        <v/>
      </c>
      <c r="C918">
        <f>IF($A918="","",INDEX('05_KAIS'!$D:$D,$A918))</f>
        <v/>
      </c>
      <c r="D918">
        <f>IF($A918="","",INDEX('05_KAIS'!$H:$H,$A918))</f>
        <v/>
      </c>
      <c r="E918">
        <f>IF($A918="","",INDEX('05_KAIS'!$K:$K,$A918))</f>
        <v/>
      </c>
      <c r="F918" s="202">
        <f>IF($A918="","",INDEX('05_KAIS'!$I:$I,$A918))</f>
        <v/>
      </c>
      <c r="G918" s="118">
        <f>IF($A918="","",INDEX('05_KAIS'!$L:$L,$A918))</f>
        <v/>
      </c>
      <c r="H918" s="118">
        <f>IF($A918="","",IFERROR(INDEX('05_KAIS'!$M:$M,$A918),IF(AND(E918&gt;0,G918&gt;0),G918/E918,"")))</f>
        <v/>
      </c>
      <c r="I918" s="202">
        <f>IF($A918="","",INDEX('05_KAIS'!$N:$N,$A918))</f>
        <v/>
      </c>
      <c r="J918">
        <f>IF(B918="","",IF('02_대상물건입력'!$B$5="",1,IF(ISNUMBER(SEARCH('02_대상물건입력'!$B$5,B918)),1,0)))</f>
        <v/>
      </c>
      <c r="K918">
        <f>IF(B918="","",IF('02_대상물건입력'!$B$6="",1,IF(ISNUMBER(SEARCH('02_대상물건입력'!$B$6,B918)),1,0)))</f>
        <v/>
      </c>
      <c r="L918">
        <f>IF(D918="","",IF('02_대상물건입력'!$B$8="",0,IF(ISNUMBER(SEARCH('02_대상물건입력'!$B$8,D918)),1,0)))</f>
        <v/>
      </c>
      <c r="M918">
        <f>IFERROR(ABS(E918-'02_대상물건입력'!$B$11)/'02_대상물건입력'!$B$11,"")</f>
        <v/>
      </c>
      <c r="N918">
        <f>IFERROR(ABS('01_설정'!$B$4-F918),"")</f>
        <v/>
      </c>
      <c r="O918">
        <f>IFERROR(ABS(YEAR(I918)-YEAR('02_대상물건입력'!$B$14)),"")</f>
        <v/>
      </c>
      <c r="P918">
        <f>IF(AND(E918&gt;0,F918&gt;0,G918&gt;0,IF('01_설정'!$B$10=1,J918=1,TRUE()),M918&lt;='01_설정'!$B$5,N918&lt;='01_설정'!$B$7,O918&lt;='01_설정'!$B$8),"Y","")</f>
        <v/>
      </c>
      <c r="Q918">
        <f>IF(P918&lt;&gt;"Y","",MAX(0,(1-M918/'01_설정'!$B$5))*'01_설정'!$B$14+MAX(0,(1-N918/'01_설정'!$B$7))*'01_설정'!$B$16+MAX(0,(1-O918/'01_설정'!$B$8))*'01_설정'!$B$17+K918*'01_설정'!$B$11+L918*'01_설정'!$B$12)</f>
        <v/>
      </c>
      <c r="R918">
        <f>IF(Q918="","",1+COUNTIFS($Q$31:$Q$1030,"&gt;"&amp;Q918)+COUNTIFS($Q$31:Q918,Q918)-1)</f>
        <v/>
      </c>
    </row>
    <row r="919" hidden="1" ht="16.5" customHeight="1">
      <c r="A919">
        <f>IF(COUNTA('05_KAIS'!$A907:$N907)=0,"",892)</f>
        <v/>
      </c>
      <c r="B919">
        <f>IF($A919="","",TRIM(INDEX('05_KAIS'!$B:$B,$A919)&amp;" "&amp;INDEX('05_KAIS'!$C:$C,$A919)))</f>
        <v/>
      </c>
      <c r="C919">
        <f>IF($A919="","",INDEX('05_KAIS'!$D:$D,$A919))</f>
        <v/>
      </c>
      <c r="D919">
        <f>IF($A919="","",INDEX('05_KAIS'!$H:$H,$A919))</f>
        <v/>
      </c>
      <c r="E919">
        <f>IF($A919="","",INDEX('05_KAIS'!$K:$K,$A919))</f>
        <v/>
      </c>
      <c r="F919" s="202">
        <f>IF($A919="","",INDEX('05_KAIS'!$I:$I,$A919))</f>
        <v/>
      </c>
      <c r="G919" s="118">
        <f>IF($A919="","",INDEX('05_KAIS'!$L:$L,$A919))</f>
        <v/>
      </c>
      <c r="H919" s="118">
        <f>IF($A919="","",IFERROR(INDEX('05_KAIS'!$M:$M,$A919),IF(AND(E919&gt;0,G919&gt;0),G919/E919,"")))</f>
        <v/>
      </c>
      <c r="I919" s="202">
        <f>IF($A919="","",INDEX('05_KAIS'!$N:$N,$A919))</f>
        <v/>
      </c>
      <c r="J919">
        <f>IF(B919="","",IF('02_대상물건입력'!$B$5="",1,IF(ISNUMBER(SEARCH('02_대상물건입력'!$B$5,B919)),1,0)))</f>
        <v/>
      </c>
      <c r="K919">
        <f>IF(B919="","",IF('02_대상물건입력'!$B$6="",1,IF(ISNUMBER(SEARCH('02_대상물건입력'!$B$6,B919)),1,0)))</f>
        <v/>
      </c>
      <c r="L919">
        <f>IF(D919="","",IF('02_대상물건입력'!$B$8="",0,IF(ISNUMBER(SEARCH('02_대상물건입력'!$B$8,D919)),1,0)))</f>
        <v/>
      </c>
      <c r="M919">
        <f>IFERROR(ABS(E919-'02_대상물건입력'!$B$11)/'02_대상물건입력'!$B$11,"")</f>
        <v/>
      </c>
      <c r="N919">
        <f>IFERROR(ABS('01_설정'!$B$4-F919),"")</f>
        <v/>
      </c>
      <c r="O919">
        <f>IFERROR(ABS(YEAR(I919)-YEAR('02_대상물건입력'!$B$14)),"")</f>
        <v/>
      </c>
      <c r="P919">
        <f>IF(AND(E919&gt;0,F919&gt;0,G919&gt;0,IF('01_설정'!$B$10=1,J919=1,TRUE()),M919&lt;='01_설정'!$B$5,N919&lt;='01_설정'!$B$7,O919&lt;='01_설정'!$B$8),"Y","")</f>
        <v/>
      </c>
      <c r="Q919">
        <f>IF(P919&lt;&gt;"Y","",MAX(0,(1-M919/'01_설정'!$B$5))*'01_설정'!$B$14+MAX(0,(1-N919/'01_설정'!$B$7))*'01_설정'!$B$16+MAX(0,(1-O919/'01_설정'!$B$8))*'01_설정'!$B$17+K919*'01_설정'!$B$11+L919*'01_설정'!$B$12)</f>
        <v/>
      </c>
      <c r="R919">
        <f>IF(Q919="","",1+COUNTIFS($Q$31:$Q$1030,"&gt;"&amp;Q919)+COUNTIFS($Q$31:Q919,Q919)-1)</f>
        <v/>
      </c>
    </row>
    <row r="920" hidden="1" ht="16.5" customHeight="1">
      <c r="A920">
        <f>IF(COUNTA('05_KAIS'!$A908:$N908)=0,"",893)</f>
        <v/>
      </c>
      <c r="B920">
        <f>IF($A920="","",TRIM(INDEX('05_KAIS'!$B:$B,$A920)&amp;" "&amp;INDEX('05_KAIS'!$C:$C,$A920)))</f>
        <v/>
      </c>
      <c r="C920">
        <f>IF($A920="","",INDEX('05_KAIS'!$D:$D,$A920))</f>
        <v/>
      </c>
      <c r="D920">
        <f>IF($A920="","",INDEX('05_KAIS'!$H:$H,$A920))</f>
        <v/>
      </c>
      <c r="E920">
        <f>IF($A920="","",INDEX('05_KAIS'!$K:$K,$A920))</f>
        <v/>
      </c>
      <c r="F920" s="202">
        <f>IF($A920="","",INDEX('05_KAIS'!$I:$I,$A920))</f>
        <v/>
      </c>
      <c r="G920" s="118">
        <f>IF($A920="","",INDEX('05_KAIS'!$L:$L,$A920))</f>
        <v/>
      </c>
      <c r="H920" s="118">
        <f>IF($A920="","",IFERROR(INDEX('05_KAIS'!$M:$M,$A920),IF(AND(E920&gt;0,G920&gt;0),G920/E920,"")))</f>
        <v/>
      </c>
      <c r="I920" s="202">
        <f>IF($A920="","",INDEX('05_KAIS'!$N:$N,$A920))</f>
        <v/>
      </c>
      <c r="J920">
        <f>IF(B920="","",IF('02_대상물건입력'!$B$5="",1,IF(ISNUMBER(SEARCH('02_대상물건입력'!$B$5,B920)),1,0)))</f>
        <v/>
      </c>
      <c r="K920">
        <f>IF(B920="","",IF('02_대상물건입력'!$B$6="",1,IF(ISNUMBER(SEARCH('02_대상물건입력'!$B$6,B920)),1,0)))</f>
        <v/>
      </c>
      <c r="L920">
        <f>IF(D920="","",IF('02_대상물건입력'!$B$8="",0,IF(ISNUMBER(SEARCH('02_대상물건입력'!$B$8,D920)),1,0)))</f>
        <v/>
      </c>
      <c r="M920">
        <f>IFERROR(ABS(E920-'02_대상물건입력'!$B$11)/'02_대상물건입력'!$B$11,"")</f>
        <v/>
      </c>
      <c r="N920">
        <f>IFERROR(ABS('01_설정'!$B$4-F920),"")</f>
        <v/>
      </c>
      <c r="O920">
        <f>IFERROR(ABS(YEAR(I920)-YEAR('02_대상물건입력'!$B$14)),"")</f>
        <v/>
      </c>
      <c r="P920">
        <f>IF(AND(E920&gt;0,F920&gt;0,G920&gt;0,IF('01_설정'!$B$10=1,J920=1,TRUE()),M920&lt;='01_설정'!$B$5,N920&lt;='01_설정'!$B$7,O920&lt;='01_설정'!$B$8),"Y","")</f>
        <v/>
      </c>
      <c r="Q920">
        <f>IF(P920&lt;&gt;"Y","",MAX(0,(1-M920/'01_설정'!$B$5))*'01_설정'!$B$14+MAX(0,(1-N920/'01_설정'!$B$7))*'01_설정'!$B$16+MAX(0,(1-O920/'01_설정'!$B$8))*'01_설정'!$B$17+K920*'01_설정'!$B$11+L920*'01_설정'!$B$12)</f>
        <v/>
      </c>
      <c r="R920">
        <f>IF(Q920="","",1+COUNTIFS($Q$31:$Q$1030,"&gt;"&amp;Q920)+COUNTIFS($Q$31:Q920,Q920)-1)</f>
        <v/>
      </c>
    </row>
    <row r="921" hidden="1" ht="16.5" customHeight="1">
      <c r="A921">
        <f>IF(COUNTA('05_KAIS'!$A909:$N909)=0,"",894)</f>
        <v/>
      </c>
      <c r="B921">
        <f>IF($A921="","",TRIM(INDEX('05_KAIS'!$B:$B,$A921)&amp;" "&amp;INDEX('05_KAIS'!$C:$C,$A921)))</f>
        <v/>
      </c>
      <c r="C921">
        <f>IF($A921="","",INDEX('05_KAIS'!$D:$D,$A921))</f>
        <v/>
      </c>
      <c r="D921">
        <f>IF($A921="","",INDEX('05_KAIS'!$H:$H,$A921))</f>
        <v/>
      </c>
      <c r="E921">
        <f>IF($A921="","",INDEX('05_KAIS'!$K:$K,$A921))</f>
        <v/>
      </c>
      <c r="F921" s="202">
        <f>IF($A921="","",INDEX('05_KAIS'!$I:$I,$A921))</f>
        <v/>
      </c>
      <c r="G921" s="118">
        <f>IF($A921="","",INDEX('05_KAIS'!$L:$L,$A921))</f>
        <v/>
      </c>
      <c r="H921" s="118">
        <f>IF($A921="","",IFERROR(INDEX('05_KAIS'!$M:$M,$A921),IF(AND(E921&gt;0,G921&gt;0),G921/E921,"")))</f>
        <v/>
      </c>
      <c r="I921" s="202">
        <f>IF($A921="","",INDEX('05_KAIS'!$N:$N,$A921))</f>
        <v/>
      </c>
      <c r="J921">
        <f>IF(B921="","",IF('02_대상물건입력'!$B$5="",1,IF(ISNUMBER(SEARCH('02_대상물건입력'!$B$5,B921)),1,0)))</f>
        <v/>
      </c>
      <c r="K921">
        <f>IF(B921="","",IF('02_대상물건입력'!$B$6="",1,IF(ISNUMBER(SEARCH('02_대상물건입력'!$B$6,B921)),1,0)))</f>
        <v/>
      </c>
      <c r="L921">
        <f>IF(D921="","",IF('02_대상물건입력'!$B$8="",0,IF(ISNUMBER(SEARCH('02_대상물건입력'!$B$8,D921)),1,0)))</f>
        <v/>
      </c>
      <c r="M921">
        <f>IFERROR(ABS(E921-'02_대상물건입력'!$B$11)/'02_대상물건입력'!$B$11,"")</f>
        <v/>
      </c>
      <c r="N921">
        <f>IFERROR(ABS('01_설정'!$B$4-F921),"")</f>
        <v/>
      </c>
      <c r="O921">
        <f>IFERROR(ABS(YEAR(I921)-YEAR('02_대상물건입력'!$B$14)),"")</f>
        <v/>
      </c>
      <c r="P921">
        <f>IF(AND(E921&gt;0,F921&gt;0,G921&gt;0,IF('01_설정'!$B$10=1,J921=1,TRUE()),M921&lt;='01_설정'!$B$5,N921&lt;='01_설정'!$B$7,O921&lt;='01_설정'!$B$8),"Y","")</f>
        <v/>
      </c>
      <c r="Q921">
        <f>IF(P921&lt;&gt;"Y","",MAX(0,(1-M921/'01_설정'!$B$5))*'01_설정'!$B$14+MAX(0,(1-N921/'01_설정'!$B$7))*'01_설정'!$B$16+MAX(0,(1-O921/'01_설정'!$B$8))*'01_설정'!$B$17+K921*'01_설정'!$B$11+L921*'01_설정'!$B$12)</f>
        <v/>
      </c>
      <c r="R921">
        <f>IF(Q921="","",1+COUNTIFS($Q$31:$Q$1030,"&gt;"&amp;Q921)+COUNTIFS($Q$31:Q921,Q921)-1)</f>
        <v/>
      </c>
    </row>
    <row r="922" hidden="1" ht="16.5" customHeight="1">
      <c r="A922">
        <f>IF(COUNTA('05_KAIS'!$A910:$N910)=0,"",895)</f>
        <v/>
      </c>
      <c r="B922">
        <f>IF($A922="","",TRIM(INDEX('05_KAIS'!$B:$B,$A922)&amp;" "&amp;INDEX('05_KAIS'!$C:$C,$A922)))</f>
        <v/>
      </c>
      <c r="C922">
        <f>IF($A922="","",INDEX('05_KAIS'!$D:$D,$A922))</f>
        <v/>
      </c>
      <c r="D922">
        <f>IF($A922="","",INDEX('05_KAIS'!$H:$H,$A922))</f>
        <v/>
      </c>
      <c r="E922">
        <f>IF($A922="","",INDEX('05_KAIS'!$K:$K,$A922))</f>
        <v/>
      </c>
      <c r="F922" s="202">
        <f>IF($A922="","",INDEX('05_KAIS'!$I:$I,$A922))</f>
        <v/>
      </c>
      <c r="G922" s="118">
        <f>IF($A922="","",INDEX('05_KAIS'!$L:$L,$A922))</f>
        <v/>
      </c>
      <c r="H922" s="118">
        <f>IF($A922="","",IFERROR(INDEX('05_KAIS'!$M:$M,$A922),IF(AND(E922&gt;0,G922&gt;0),G922/E922,"")))</f>
        <v/>
      </c>
      <c r="I922" s="202">
        <f>IF($A922="","",INDEX('05_KAIS'!$N:$N,$A922))</f>
        <v/>
      </c>
      <c r="J922">
        <f>IF(B922="","",IF('02_대상물건입력'!$B$5="",1,IF(ISNUMBER(SEARCH('02_대상물건입력'!$B$5,B922)),1,0)))</f>
        <v/>
      </c>
      <c r="K922">
        <f>IF(B922="","",IF('02_대상물건입력'!$B$6="",1,IF(ISNUMBER(SEARCH('02_대상물건입력'!$B$6,B922)),1,0)))</f>
        <v/>
      </c>
      <c r="L922">
        <f>IF(D922="","",IF('02_대상물건입력'!$B$8="",0,IF(ISNUMBER(SEARCH('02_대상물건입력'!$B$8,D922)),1,0)))</f>
        <v/>
      </c>
      <c r="M922">
        <f>IFERROR(ABS(E922-'02_대상물건입력'!$B$11)/'02_대상물건입력'!$B$11,"")</f>
        <v/>
      </c>
      <c r="N922">
        <f>IFERROR(ABS('01_설정'!$B$4-F922),"")</f>
        <v/>
      </c>
      <c r="O922">
        <f>IFERROR(ABS(YEAR(I922)-YEAR('02_대상물건입력'!$B$14)),"")</f>
        <v/>
      </c>
      <c r="P922">
        <f>IF(AND(E922&gt;0,F922&gt;0,G922&gt;0,IF('01_설정'!$B$10=1,J922=1,TRUE()),M922&lt;='01_설정'!$B$5,N922&lt;='01_설정'!$B$7,O922&lt;='01_설정'!$B$8),"Y","")</f>
        <v/>
      </c>
      <c r="Q922">
        <f>IF(P922&lt;&gt;"Y","",MAX(0,(1-M922/'01_설정'!$B$5))*'01_설정'!$B$14+MAX(0,(1-N922/'01_설정'!$B$7))*'01_설정'!$B$16+MAX(0,(1-O922/'01_설정'!$B$8))*'01_설정'!$B$17+K922*'01_설정'!$B$11+L922*'01_설정'!$B$12)</f>
        <v/>
      </c>
      <c r="R922">
        <f>IF(Q922="","",1+COUNTIFS($Q$31:$Q$1030,"&gt;"&amp;Q922)+COUNTIFS($Q$31:Q922,Q922)-1)</f>
        <v/>
      </c>
    </row>
    <row r="923" hidden="1" ht="16.5" customHeight="1">
      <c r="A923">
        <f>IF(COUNTA('05_KAIS'!$A911:$N911)=0,"",896)</f>
        <v/>
      </c>
      <c r="B923">
        <f>IF($A923="","",TRIM(INDEX('05_KAIS'!$B:$B,$A923)&amp;" "&amp;INDEX('05_KAIS'!$C:$C,$A923)))</f>
        <v/>
      </c>
      <c r="C923">
        <f>IF($A923="","",INDEX('05_KAIS'!$D:$D,$A923))</f>
        <v/>
      </c>
      <c r="D923">
        <f>IF($A923="","",INDEX('05_KAIS'!$H:$H,$A923))</f>
        <v/>
      </c>
      <c r="E923">
        <f>IF($A923="","",INDEX('05_KAIS'!$K:$K,$A923))</f>
        <v/>
      </c>
      <c r="F923" s="202">
        <f>IF($A923="","",INDEX('05_KAIS'!$I:$I,$A923))</f>
        <v/>
      </c>
      <c r="G923" s="118">
        <f>IF($A923="","",INDEX('05_KAIS'!$L:$L,$A923))</f>
        <v/>
      </c>
      <c r="H923" s="118">
        <f>IF($A923="","",IFERROR(INDEX('05_KAIS'!$M:$M,$A923),IF(AND(E923&gt;0,G923&gt;0),G923/E923,"")))</f>
        <v/>
      </c>
      <c r="I923" s="202">
        <f>IF($A923="","",INDEX('05_KAIS'!$N:$N,$A923))</f>
        <v/>
      </c>
      <c r="J923">
        <f>IF(B923="","",IF('02_대상물건입력'!$B$5="",1,IF(ISNUMBER(SEARCH('02_대상물건입력'!$B$5,B923)),1,0)))</f>
        <v/>
      </c>
      <c r="K923">
        <f>IF(B923="","",IF('02_대상물건입력'!$B$6="",1,IF(ISNUMBER(SEARCH('02_대상물건입력'!$B$6,B923)),1,0)))</f>
        <v/>
      </c>
      <c r="L923">
        <f>IF(D923="","",IF('02_대상물건입력'!$B$8="",0,IF(ISNUMBER(SEARCH('02_대상물건입력'!$B$8,D923)),1,0)))</f>
        <v/>
      </c>
      <c r="M923">
        <f>IFERROR(ABS(E923-'02_대상물건입력'!$B$11)/'02_대상물건입력'!$B$11,"")</f>
        <v/>
      </c>
      <c r="N923">
        <f>IFERROR(ABS('01_설정'!$B$4-F923),"")</f>
        <v/>
      </c>
      <c r="O923">
        <f>IFERROR(ABS(YEAR(I923)-YEAR('02_대상물건입력'!$B$14)),"")</f>
        <v/>
      </c>
      <c r="P923">
        <f>IF(AND(E923&gt;0,F923&gt;0,G923&gt;0,IF('01_설정'!$B$10=1,J923=1,TRUE()),M923&lt;='01_설정'!$B$5,N923&lt;='01_설정'!$B$7,O923&lt;='01_설정'!$B$8),"Y","")</f>
        <v/>
      </c>
      <c r="Q923">
        <f>IF(P923&lt;&gt;"Y","",MAX(0,(1-M923/'01_설정'!$B$5))*'01_설정'!$B$14+MAX(0,(1-N923/'01_설정'!$B$7))*'01_설정'!$B$16+MAX(0,(1-O923/'01_설정'!$B$8))*'01_설정'!$B$17+K923*'01_설정'!$B$11+L923*'01_설정'!$B$12)</f>
        <v/>
      </c>
      <c r="R923">
        <f>IF(Q923="","",1+COUNTIFS($Q$31:$Q$1030,"&gt;"&amp;Q923)+COUNTIFS($Q$31:Q923,Q923)-1)</f>
        <v/>
      </c>
    </row>
    <row r="924" hidden="1" ht="16.5" customHeight="1">
      <c r="A924">
        <f>IF(COUNTA('05_KAIS'!$A912:$N912)=0,"",897)</f>
        <v/>
      </c>
      <c r="B924">
        <f>IF($A924="","",TRIM(INDEX('05_KAIS'!$B:$B,$A924)&amp;" "&amp;INDEX('05_KAIS'!$C:$C,$A924)))</f>
        <v/>
      </c>
      <c r="C924">
        <f>IF($A924="","",INDEX('05_KAIS'!$D:$D,$A924))</f>
        <v/>
      </c>
      <c r="D924">
        <f>IF($A924="","",INDEX('05_KAIS'!$H:$H,$A924))</f>
        <v/>
      </c>
      <c r="E924">
        <f>IF($A924="","",INDEX('05_KAIS'!$K:$K,$A924))</f>
        <v/>
      </c>
      <c r="F924" s="202">
        <f>IF($A924="","",INDEX('05_KAIS'!$I:$I,$A924))</f>
        <v/>
      </c>
      <c r="G924" s="118">
        <f>IF($A924="","",INDEX('05_KAIS'!$L:$L,$A924))</f>
        <v/>
      </c>
      <c r="H924" s="118">
        <f>IF($A924="","",IFERROR(INDEX('05_KAIS'!$M:$M,$A924),IF(AND(E924&gt;0,G924&gt;0),G924/E924,"")))</f>
        <v/>
      </c>
      <c r="I924" s="202">
        <f>IF($A924="","",INDEX('05_KAIS'!$N:$N,$A924))</f>
        <v/>
      </c>
      <c r="J924">
        <f>IF(B924="","",IF('02_대상물건입력'!$B$5="",1,IF(ISNUMBER(SEARCH('02_대상물건입력'!$B$5,B924)),1,0)))</f>
        <v/>
      </c>
      <c r="K924">
        <f>IF(B924="","",IF('02_대상물건입력'!$B$6="",1,IF(ISNUMBER(SEARCH('02_대상물건입력'!$B$6,B924)),1,0)))</f>
        <v/>
      </c>
      <c r="L924">
        <f>IF(D924="","",IF('02_대상물건입력'!$B$8="",0,IF(ISNUMBER(SEARCH('02_대상물건입력'!$B$8,D924)),1,0)))</f>
        <v/>
      </c>
      <c r="M924">
        <f>IFERROR(ABS(E924-'02_대상물건입력'!$B$11)/'02_대상물건입력'!$B$11,"")</f>
        <v/>
      </c>
      <c r="N924">
        <f>IFERROR(ABS('01_설정'!$B$4-F924),"")</f>
        <v/>
      </c>
      <c r="O924">
        <f>IFERROR(ABS(YEAR(I924)-YEAR('02_대상물건입력'!$B$14)),"")</f>
        <v/>
      </c>
      <c r="P924">
        <f>IF(AND(E924&gt;0,F924&gt;0,G924&gt;0,IF('01_설정'!$B$10=1,J924=1,TRUE()),M924&lt;='01_설정'!$B$5,N924&lt;='01_설정'!$B$7,O924&lt;='01_설정'!$B$8),"Y","")</f>
        <v/>
      </c>
      <c r="Q924">
        <f>IF(P924&lt;&gt;"Y","",MAX(0,(1-M924/'01_설정'!$B$5))*'01_설정'!$B$14+MAX(0,(1-N924/'01_설정'!$B$7))*'01_설정'!$B$16+MAX(0,(1-O924/'01_설정'!$B$8))*'01_설정'!$B$17+K924*'01_설정'!$B$11+L924*'01_설정'!$B$12)</f>
        <v/>
      </c>
      <c r="R924">
        <f>IF(Q924="","",1+COUNTIFS($Q$31:$Q$1030,"&gt;"&amp;Q924)+COUNTIFS($Q$31:Q924,Q924)-1)</f>
        <v/>
      </c>
    </row>
    <row r="925" hidden="1" ht="16.5" customHeight="1">
      <c r="A925">
        <f>IF(COUNTA('05_KAIS'!$A913:$N913)=0,"",898)</f>
        <v/>
      </c>
      <c r="B925">
        <f>IF($A925="","",TRIM(INDEX('05_KAIS'!$B:$B,$A925)&amp;" "&amp;INDEX('05_KAIS'!$C:$C,$A925)))</f>
        <v/>
      </c>
      <c r="C925">
        <f>IF($A925="","",INDEX('05_KAIS'!$D:$D,$A925))</f>
        <v/>
      </c>
      <c r="D925">
        <f>IF($A925="","",INDEX('05_KAIS'!$H:$H,$A925))</f>
        <v/>
      </c>
      <c r="E925">
        <f>IF($A925="","",INDEX('05_KAIS'!$K:$K,$A925))</f>
        <v/>
      </c>
      <c r="F925" s="202">
        <f>IF($A925="","",INDEX('05_KAIS'!$I:$I,$A925))</f>
        <v/>
      </c>
      <c r="G925" s="118">
        <f>IF($A925="","",INDEX('05_KAIS'!$L:$L,$A925))</f>
        <v/>
      </c>
      <c r="H925" s="118">
        <f>IF($A925="","",IFERROR(INDEX('05_KAIS'!$M:$M,$A925),IF(AND(E925&gt;0,G925&gt;0),G925/E925,"")))</f>
        <v/>
      </c>
      <c r="I925" s="202">
        <f>IF($A925="","",INDEX('05_KAIS'!$N:$N,$A925))</f>
        <v/>
      </c>
      <c r="J925">
        <f>IF(B925="","",IF('02_대상물건입력'!$B$5="",1,IF(ISNUMBER(SEARCH('02_대상물건입력'!$B$5,B925)),1,0)))</f>
        <v/>
      </c>
      <c r="K925">
        <f>IF(B925="","",IF('02_대상물건입력'!$B$6="",1,IF(ISNUMBER(SEARCH('02_대상물건입력'!$B$6,B925)),1,0)))</f>
        <v/>
      </c>
      <c r="L925">
        <f>IF(D925="","",IF('02_대상물건입력'!$B$8="",0,IF(ISNUMBER(SEARCH('02_대상물건입력'!$B$8,D925)),1,0)))</f>
        <v/>
      </c>
      <c r="M925">
        <f>IFERROR(ABS(E925-'02_대상물건입력'!$B$11)/'02_대상물건입력'!$B$11,"")</f>
        <v/>
      </c>
      <c r="N925">
        <f>IFERROR(ABS('01_설정'!$B$4-F925),"")</f>
        <v/>
      </c>
      <c r="O925">
        <f>IFERROR(ABS(YEAR(I925)-YEAR('02_대상물건입력'!$B$14)),"")</f>
        <v/>
      </c>
      <c r="P925">
        <f>IF(AND(E925&gt;0,F925&gt;0,G925&gt;0,IF('01_설정'!$B$10=1,J925=1,TRUE()),M925&lt;='01_설정'!$B$5,N925&lt;='01_설정'!$B$7,O925&lt;='01_설정'!$B$8),"Y","")</f>
        <v/>
      </c>
      <c r="Q925">
        <f>IF(P925&lt;&gt;"Y","",MAX(0,(1-M925/'01_설정'!$B$5))*'01_설정'!$B$14+MAX(0,(1-N925/'01_설정'!$B$7))*'01_설정'!$B$16+MAX(0,(1-O925/'01_설정'!$B$8))*'01_설정'!$B$17+K925*'01_설정'!$B$11+L925*'01_설정'!$B$12)</f>
        <v/>
      </c>
      <c r="R925">
        <f>IF(Q925="","",1+COUNTIFS($Q$31:$Q$1030,"&gt;"&amp;Q925)+COUNTIFS($Q$31:Q925,Q925)-1)</f>
        <v/>
      </c>
    </row>
    <row r="926" hidden="1" ht="16.5" customHeight="1">
      <c r="A926">
        <f>IF(COUNTA('05_KAIS'!$A914:$N914)=0,"",899)</f>
        <v/>
      </c>
      <c r="B926">
        <f>IF($A926="","",TRIM(INDEX('05_KAIS'!$B:$B,$A926)&amp;" "&amp;INDEX('05_KAIS'!$C:$C,$A926)))</f>
        <v/>
      </c>
      <c r="C926">
        <f>IF($A926="","",INDEX('05_KAIS'!$D:$D,$A926))</f>
        <v/>
      </c>
      <c r="D926">
        <f>IF($A926="","",INDEX('05_KAIS'!$H:$H,$A926))</f>
        <v/>
      </c>
      <c r="E926">
        <f>IF($A926="","",INDEX('05_KAIS'!$K:$K,$A926))</f>
        <v/>
      </c>
      <c r="F926" s="202">
        <f>IF($A926="","",INDEX('05_KAIS'!$I:$I,$A926))</f>
        <v/>
      </c>
      <c r="G926" s="118">
        <f>IF($A926="","",INDEX('05_KAIS'!$L:$L,$A926))</f>
        <v/>
      </c>
      <c r="H926" s="118">
        <f>IF($A926="","",IFERROR(INDEX('05_KAIS'!$M:$M,$A926),IF(AND(E926&gt;0,G926&gt;0),G926/E926,"")))</f>
        <v/>
      </c>
      <c r="I926" s="202">
        <f>IF($A926="","",INDEX('05_KAIS'!$N:$N,$A926))</f>
        <v/>
      </c>
      <c r="J926">
        <f>IF(B926="","",IF('02_대상물건입력'!$B$5="",1,IF(ISNUMBER(SEARCH('02_대상물건입력'!$B$5,B926)),1,0)))</f>
        <v/>
      </c>
      <c r="K926">
        <f>IF(B926="","",IF('02_대상물건입력'!$B$6="",1,IF(ISNUMBER(SEARCH('02_대상물건입력'!$B$6,B926)),1,0)))</f>
        <v/>
      </c>
      <c r="L926">
        <f>IF(D926="","",IF('02_대상물건입력'!$B$8="",0,IF(ISNUMBER(SEARCH('02_대상물건입력'!$B$8,D926)),1,0)))</f>
        <v/>
      </c>
      <c r="M926">
        <f>IFERROR(ABS(E926-'02_대상물건입력'!$B$11)/'02_대상물건입력'!$B$11,"")</f>
        <v/>
      </c>
      <c r="N926">
        <f>IFERROR(ABS('01_설정'!$B$4-F926),"")</f>
        <v/>
      </c>
      <c r="O926">
        <f>IFERROR(ABS(YEAR(I926)-YEAR('02_대상물건입력'!$B$14)),"")</f>
        <v/>
      </c>
      <c r="P926">
        <f>IF(AND(E926&gt;0,F926&gt;0,G926&gt;0,IF('01_설정'!$B$10=1,J926=1,TRUE()),M926&lt;='01_설정'!$B$5,N926&lt;='01_설정'!$B$7,O926&lt;='01_설정'!$B$8),"Y","")</f>
        <v/>
      </c>
      <c r="Q926">
        <f>IF(P926&lt;&gt;"Y","",MAX(0,(1-M926/'01_설정'!$B$5))*'01_설정'!$B$14+MAX(0,(1-N926/'01_설정'!$B$7))*'01_설정'!$B$16+MAX(0,(1-O926/'01_설정'!$B$8))*'01_설정'!$B$17+K926*'01_설정'!$B$11+L926*'01_설정'!$B$12)</f>
        <v/>
      </c>
      <c r="R926">
        <f>IF(Q926="","",1+COUNTIFS($Q$31:$Q$1030,"&gt;"&amp;Q926)+COUNTIFS($Q$31:Q926,Q926)-1)</f>
        <v/>
      </c>
    </row>
    <row r="927" hidden="1" ht="16.5" customHeight="1">
      <c r="A927">
        <f>IF(COUNTA('05_KAIS'!$A915:$N915)=0,"",900)</f>
        <v/>
      </c>
      <c r="B927">
        <f>IF($A927="","",TRIM(INDEX('05_KAIS'!$B:$B,$A927)&amp;" "&amp;INDEX('05_KAIS'!$C:$C,$A927)))</f>
        <v/>
      </c>
      <c r="C927">
        <f>IF($A927="","",INDEX('05_KAIS'!$D:$D,$A927))</f>
        <v/>
      </c>
      <c r="D927">
        <f>IF($A927="","",INDEX('05_KAIS'!$H:$H,$A927))</f>
        <v/>
      </c>
      <c r="E927">
        <f>IF($A927="","",INDEX('05_KAIS'!$K:$K,$A927))</f>
        <v/>
      </c>
      <c r="F927" s="202">
        <f>IF($A927="","",INDEX('05_KAIS'!$I:$I,$A927))</f>
        <v/>
      </c>
      <c r="G927" s="118">
        <f>IF($A927="","",INDEX('05_KAIS'!$L:$L,$A927))</f>
        <v/>
      </c>
      <c r="H927" s="118">
        <f>IF($A927="","",IFERROR(INDEX('05_KAIS'!$M:$M,$A927),IF(AND(E927&gt;0,G927&gt;0),G927/E927,"")))</f>
        <v/>
      </c>
      <c r="I927" s="202">
        <f>IF($A927="","",INDEX('05_KAIS'!$N:$N,$A927))</f>
        <v/>
      </c>
      <c r="J927">
        <f>IF(B927="","",IF('02_대상물건입력'!$B$5="",1,IF(ISNUMBER(SEARCH('02_대상물건입력'!$B$5,B927)),1,0)))</f>
        <v/>
      </c>
      <c r="K927">
        <f>IF(B927="","",IF('02_대상물건입력'!$B$6="",1,IF(ISNUMBER(SEARCH('02_대상물건입력'!$B$6,B927)),1,0)))</f>
        <v/>
      </c>
      <c r="L927">
        <f>IF(D927="","",IF('02_대상물건입력'!$B$8="",0,IF(ISNUMBER(SEARCH('02_대상물건입력'!$B$8,D927)),1,0)))</f>
        <v/>
      </c>
      <c r="M927">
        <f>IFERROR(ABS(E927-'02_대상물건입력'!$B$11)/'02_대상물건입력'!$B$11,"")</f>
        <v/>
      </c>
      <c r="N927">
        <f>IFERROR(ABS('01_설정'!$B$4-F927),"")</f>
        <v/>
      </c>
      <c r="O927">
        <f>IFERROR(ABS(YEAR(I927)-YEAR('02_대상물건입력'!$B$14)),"")</f>
        <v/>
      </c>
      <c r="P927">
        <f>IF(AND(E927&gt;0,F927&gt;0,G927&gt;0,IF('01_설정'!$B$10=1,J927=1,TRUE()),M927&lt;='01_설정'!$B$5,N927&lt;='01_설정'!$B$7,O927&lt;='01_설정'!$B$8),"Y","")</f>
        <v/>
      </c>
      <c r="Q927">
        <f>IF(P927&lt;&gt;"Y","",MAX(0,(1-M927/'01_설정'!$B$5))*'01_설정'!$B$14+MAX(0,(1-N927/'01_설정'!$B$7))*'01_설정'!$B$16+MAX(0,(1-O927/'01_설정'!$B$8))*'01_설정'!$B$17+K927*'01_설정'!$B$11+L927*'01_설정'!$B$12)</f>
        <v/>
      </c>
      <c r="R927">
        <f>IF(Q927="","",1+COUNTIFS($Q$31:$Q$1030,"&gt;"&amp;Q927)+COUNTIFS($Q$31:Q927,Q927)-1)</f>
        <v/>
      </c>
    </row>
    <row r="928" hidden="1" ht="16.5" customHeight="1">
      <c r="A928">
        <f>IF(COUNTA('05_KAIS'!$A916:$N916)=0,"",901)</f>
        <v/>
      </c>
      <c r="B928">
        <f>IF($A928="","",TRIM(INDEX('05_KAIS'!$B:$B,$A928)&amp;" "&amp;INDEX('05_KAIS'!$C:$C,$A928)))</f>
        <v/>
      </c>
      <c r="C928">
        <f>IF($A928="","",INDEX('05_KAIS'!$D:$D,$A928))</f>
        <v/>
      </c>
      <c r="D928">
        <f>IF($A928="","",INDEX('05_KAIS'!$H:$H,$A928))</f>
        <v/>
      </c>
      <c r="E928">
        <f>IF($A928="","",INDEX('05_KAIS'!$K:$K,$A928))</f>
        <v/>
      </c>
      <c r="F928" s="202">
        <f>IF($A928="","",INDEX('05_KAIS'!$I:$I,$A928))</f>
        <v/>
      </c>
      <c r="G928" s="118">
        <f>IF($A928="","",INDEX('05_KAIS'!$L:$L,$A928))</f>
        <v/>
      </c>
      <c r="H928" s="118">
        <f>IF($A928="","",IFERROR(INDEX('05_KAIS'!$M:$M,$A928),IF(AND(E928&gt;0,G928&gt;0),G928/E928,"")))</f>
        <v/>
      </c>
      <c r="I928" s="202">
        <f>IF($A928="","",INDEX('05_KAIS'!$N:$N,$A928))</f>
        <v/>
      </c>
      <c r="J928">
        <f>IF(B928="","",IF('02_대상물건입력'!$B$5="",1,IF(ISNUMBER(SEARCH('02_대상물건입력'!$B$5,B928)),1,0)))</f>
        <v/>
      </c>
      <c r="K928">
        <f>IF(B928="","",IF('02_대상물건입력'!$B$6="",1,IF(ISNUMBER(SEARCH('02_대상물건입력'!$B$6,B928)),1,0)))</f>
        <v/>
      </c>
      <c r="L928">
        <f>IF(D928="","",IF('02_대상물건입력'!$B$8="",0,IF(ISNUMBER(SEARCH('02_대상물건입력'!$B$8,D928)),1,0)))</f>
        <v/>
      </c>
      <c r="M928">
        <f>IFERROR(ABS(E928-'02_대상물건입력'!$B$11)/'02_대상물건입력'!$B$11,"")</f>
        <v/>
      </c>
      <c r="N928">
        <f>IFERROR(ABS('01_설정'!$B$4-F928),"")</f>
        <v/>
      </c>
      <c r="O928">
        <f>IFERROR(ABS(YEAR(I928)-YEAR('02_대상물건입력'!$B$14)),"")</f>
        <v/>
      </c>
      <c r="P928">
        <f>IF(AND(E928&gt;0,F928&gt;0,G928&gt;0,IF('01_설정'!$B$10=1,J928=1,TRUE()),M928&lt;='01_설정'!$B$5,N928&lt;='01_설정'!$B$7,O928&lt;='01_설정'!$B$8),"Y","")</f>
        <v/>
      </c>
      <c r="Q928">
        <f>IF(P928&lt;&gt;"Y","",MAX(0,(1-M928/'01_설정'!$B$5))*'01_설정'!$B$14+MAX(0,(1-N928/'01_설정'!$B$7))*'01_설정'!$B$16+MAX(0,(1-O928/'01_설정'!$B$8))*'01_설정'!$B$17+K928*'01_설정'!$B$11+L928*'01_설정'!$B$12)</f>
        <v/>
      </c>
      <c r="R928">
        <f>IF(Q928="","",1+COUNTIFS($Q$31:$Q$1030,"&gt;"&amp;Q928)+COUNTIFS($Q$31:Q928,Q928)-1)</f>
        <v/>
      </c>
    </row>
    <row r="929" hidden="1" ht="16.5" customHeight="1">
      <c r="A929">
        <f>IF(COUNTA('05_KAIS'!$A917:$N917)=0,"",902)</f>
        <v/>
      </c>
      <c r="B929">
        <f>IF($A929="","",TRIM(INDEX('05_KAIS'!$B:$B,$A929)&amp;" "&amp;INDEX('05_KAIS'!$C:$C,$A929)))</f>
        <v/>
      </c>
      <c r="C929">
        <f>IF($A929="","",INDEX('05_KAIS'!$D:$D,$A929))</f>
        <v/>
      </c>
      <c r="D929">
        <f>IF($A929="","",INDEX('05_KAIS'!$H:$H,$A929))</f>
        <v/>
      </c>
      <c r="E929">
        <f>IF($A929="","",INDEX('05_KAIS'!$K:$K,$A929))</f>
        <v/>
      </c>
      <c r="F929" s="202">
        <f>IF($A929="","",INDEX('05_KAIS'!$I:$I,$A929))</f>
        <v/>
      </c>
      <c r="G929" s="118">
        <f>IF($A929="","",INDEX('05_KAIS'!$L:$L,$A929))</f>
        <v/>
      </c>
      <c r="H929" s="118">
        <f>IF($A929="","",IFERROR(INDEX('05_KAIS'!$M:$M,$A929),IF(AND(E929&gt;0,G929&gt;0),G929/E929,"")))</f>
        <v/>
      </c>
      <c r="I929" s="202">
        <f>IF($A929="","",INDEX('05_KAIS'!$N:$N,$A929))</f>
        <v/>
      </c>
      <c r="J929">
        <f>IF(B929="","",IF('02_대상물건입력'!$B$5="",1,IF(ISNUMBER(SEARCH('02_대상물건입력'!$B$5,B929)),1,0)))</f>
        <v/>
      </c>
      <c r="K929">
        <f>IF(B929="","",IF('02_대상물건입력'!$B$6="",1,IF(ISNUMBER(SEARCH('02_대상물건입력'!$B$6,B929)),1,0)))</f>
        <v/>
      </c>
      <c r="L929">
        <f>IF(D929="","",IF('02_대상물건입력'!$B$8="",0,IF(ISNUMBER(SEARCH('02_대상물건입력'!$B$8,D929)),1,0)))</f>
        <v/>
      </c>
      <c r="M929">
        <f>IFERROR(ABS(E929-'02_대상물건입력'!$B$11)/'02_대상물건입력'!$B$11,"")</f>
        <v/>
      </c>
      <c r="N929">
        <f>IFERROR(ABS('01_설정'!$B$4-F929),"")</f>
        <v/>
      </c>
      <c r="O929">
        <f>IFERROR(ABS(YEAR(I929)-YEAR('02_대상물건입력'!$B$14)),"")</f>
        <v/>
      </c>
      <c r="P929">
        <f>IF(AND(E929&gt;0,F929&gt;0,G929&gt;0,IF('01_설정'!$B$10=1,J929=1,TRUE()),M929&lt;='01_설정'!$B$5,N929&lt;='01_설정'!$B$7,O929&lt;='01_설정'!$B$8),"Y","")</f>
        <v/>
      </c>
      <c r="Q929">
        <f>IF(P929&lt;&gt;"Y","",MAX(0,(1-M929/'01_설정'!$B$5))*'01_설정'!$B$14+MAX(0,(1-N929/'01_설정'!$B$7))*'01_설정'!$B$16+MAX(0,(1-O929/'01_설정'!$B$8))*'01_설정'!$B$17+K929*'01_설정'!$B$11+L929*'01_설정'!$B$12)</f>
        <v/>
      </c>
      <c r="R929">
        <f>IF(Q929="","",1+COUNTIFS($Q$31:$Q$1030,"&gt;"&amp;Q929)+COUNTIFS($Q$31:Q929,Q929)-1)</f>
        <v/>
      </c>
    </row>
    <row r="930" hidden="1" ht="16.5" customHeight="1">
      <c r="A930">
        <f>IF(COUNTA('05_KAIS'!$A918:$N918)=0,"",903)</f>
        <v/>
      </c>
      <c r="B930">
        <f>IF($A930="","",TRIM(INDEX('05_KAIS'!$B:$B,$A930)&amp;" "&amp;INDEX('05_KAIS'!$C:$C,$A930)))</f>
        <v/>
      </c>
      <c r="C930">
        <f>IF($A930="","",INDEX('05_KAIS'!$D:$D,$A930))</f>
        <v/>
      </c>
      <c r="D930">
        <f>IF($A930="","",INDEX('05_KAIS'!$H:$H,$A930))</f>
        <v/>
      </c>
      <c r="E930">
        <f>IF($A930="","",INDEX('05_KAIS'!$K:$K,$A930))</f>
        <v/>
      </c>
      <c r="F930" s="202">
        <f>IF($A930="","",INDEX('05_KAIS'!$I:$I,$A930))</f>
        <v/>
      </c>
      <c r="G930" s="118">
        <f>IF($A930="","",INDEX('05_KAIS'!$L:$L,$A930))</f>
        <v/>
      </c>
      <c r="H930" s="118">
        <f>IF($A930="","",IFERROR(INDEX('05_KAIS'!$M:$M,$A930),IF(AND(E930&gt;0,G930&gt;0),G930/E930,"")))</f>
        <v/>
      </c>
      <c r="I930" s="202">
        <f>IF($A930="","",INDEX('05_KAIS'!$N:$N,$A930))</f>
        <v/>
      </c>
      <c r="J930">
        <f>IF(B930="","",IF('02_대상물건입력'!$B$5="",1,IF(ISNUMBER(SEARCH('02_대상물건입력'!$B$5,B930)),1,0)))</f>
        <v/>
      </c>
      <c r="K930">
        <f>IF(B930="","",IF('02_대상물건입력'!$B$6="",1,IF(ISNUMBER(SEARCH('02_대상물건입력'!$B$6,B930)),1,0)))</f>
        <v/>
      </c>
      <c r="L930">
        <f>IF(D930="","",IF('02_대상물건입력'!$B$8="",0,IF(ISNUMBER(SEARCH('02_대상물건입력'!$B$8,D930)),1,0)))</f>
        <v/>
      </c>
      <c r="M930">
        <f>IFERROR(ABS(E930-'02_대상물건입력'!$B$11)/'02_대상물건입력'!$B$11,"")</f>
        <v/>
      </c>
      <c r="N930">
        <f>IFERROR(ABS('01_설정'!$B$4-F930),"")</f>
        <v/>
      </c>
      <c r="O930">
        <f>IFERROR(ABS(YEAR(I930)-YEAR('02_대상물건입력'!$B$14)),"")</f>
        <v/>
      </c>
      <c r="P930">
        <f>IF(AND(E930&gt;0,F930&gt;0,G930&gt;0,IF('01_설정'!$B$10=1,J930=1,TRUE()),M930&lt;='01_설정'!$B$5,N930&lt;='01_설정'!$B$7,O930&lt;='01_설정'!$B$8),"Y","")</f>
        <v/>
      </c>
      <c r="Q930">
        <f>IF(P930&lt;&gt;"Y","",MAX(0,(1-M930/'01_설정'!$B$5))*'01_설정'!$B$14+MAX(0,(1-N930/'01_설정'!$B$7))*'01_설정'!$B$16+MAX(0,(1-O930/'01_설정'!$B$8))*'01_설정'!$B$17+K930*'01_설정'!$B$11+L930*'01_설정'!$B$12)</f>
        <v/>
      </c>
      <c r="R930">
        <f>IF(Q930="","",1+COUNTIFS($Q$31:$Q$1030,"&gt;"&amp;Q930)+COUNTIFS($Q$31:Q930,Q930)-1)</f>
        <v/>
      </c>
    </row>
    <row r="931" hidden="1" ht="16.5" customHeight="1">
      <c r="A931">
        <f>IF(COUNTA('05_KAIS'!$A919:$N919)=0,"",904)</f>
        <v/>
      </c>
      <c r="B931">
        <f>IF($A931="","",TRIM(INDEX('05_KAIS'!$B:$B,$A931)&amp;" "&amp;INDEX('05_KAIS'!$C:$C,$A931)))</f>
        <v/>
      </c>
      <c r="C931">
        <f>IF($A931="","",INDEX('05_KAIS'!$D:$D,$A931))</f>
        <v/>
      </c>
      <c r="D931">
        <f>IF($A931="","",INDEX('05_KAIS'!$H:$H,$A931))</f>
        <v/>
      </c>
      <c r="E931">
        <f>IF($A931="","",INDEX('05_KAIS'!$K:$K,$A931))</f>
        <v/>
      </c>
      <c r="F931" s="202">
        <f>IF($A931="","",INDEX('05_KAIS'!$I:$I,$A931))</f>
        <v/>
      </c>
      <c r="G931" s="118">
        <f>IF($A931="","",INDEX('05_KAIS'!$L:$L,$A931))</f>
        <v/>
      </c>
      <c r="H931" s="118">
        <f>IF($A931="","",IFERROR(INDEX('05_KAIS'!$M:$M,$A931),IF(AND(E931&gt;0,G931&gt;0),G931/E931,"")))</f>
        <v/>
      </c>
      <c r="I931" s="202">
        <f>IF($A931="","",INDEX('05_KAIS'!$N:$N,$A931))</f>
        <v/>
      </c>
      <c r="J931">
        <f>IF(B931="","",IF('02_대상물건입력'!$B$5="",1,IF(ISNUMBER(SEARCH('02_대상물건입력'!$B$5,B931)),1,0)))</f>
        <v/>
      </c>
      <c r="K931">
        <f>IF(B931="","",IF('02_대상물건입력'!$B$6="",1,IF(ISNUMBER(SEARCH('02_대상물건입력'!$B$6,B931)),1,0)))</f>
        <v/>
      </c>
      <c r="L931">
        <f>IF(D931="","",IF('02_대상물건입력'!$B$8="",0,IF(ISNUMBER(SEARCH('02_대상물건입력'!$B$8,D931)),1,0)))</f>
        <v/>
      </c>
      <c r="M931">
        <f>IFERROR(ABS(E931-'02_대상물건입력'!$B$11)/'02_대상물건입력'!$B$11,"")</f>
        <v/>
      </c>
      <c r="N931">
        <f>IFERROR(ABS('01_설정'!$B$4-F931),"")</f>
        <v/>
      </c>
      <c r="O931">
        <f>IFERROR(ABS(YEAR(I931)-YEAR('02_대상물건입력'!$B$14)),"")</f>
        <v/>
      </c>
      <c r="P931">
        <f>IF(AND(E931&gt;0,F931&gt;0,G931&gt;0,IF('01_설정'!$B$10=1,J931=1,TRUE()),M931&lt;='01_설정'!$B$5,N931&lt;='01_설정'!$B$7,O931&lt;='01_설정'!$B$8),"Y","")</f>
        <v/>
      </c>
      <c r="Q931">
        <f>IF(P931&lt;&gt;"Y","",MAX(0,(1-M931/'01_설정'!$B$5))*'01_설정'!$B$14+MAX(0,(1-N931/'01_설정'!$B$7))*'01_설정'!$B$16+MAX(0,(1-O931/'01_설정'!$B$8))*'01_설정'!$B$17+K931*'01_설정'!$B$11+L931*'01_설정'!$B$12)</f>
        <v/>
      </c>
      <c r="R931">
        <f>IF(Q931="","",1+COUNTIFS($Q$31:$Q$1030,"&gt;"&amp;Q931)+COUNTIFS($Q$31:Q931,Q931)-1)</f>
        <v/>
      </c>
    </row>
    <row r="932" hidden="1" ht="16.5" customHeight="1">
      <c r="A932">
        <f>IF(COUNTA('05_KAIS'!$A920:$N920)=0,"",905)</f>
        <v/>
      </c>
      <c r="B932">
        <f>IF($A932="","",TRIM(INDEX('05_KAIS'!$B:$B,$A932)&amp;" "&amp;INDEX('05_KAIS'!$C:$C,$A932)))</f>
        <v/>
      </c>
      <c r="C932">
        <f>IF($A932="","",INDEX('05_KAIS'!$D:$D,$A932))</f>
        <v/>
      </c>
      <c r="D932">
        <f>IF($A932="","",INDEX('05_KAIS'!$H:$H,$A932))</f>
        <v/>
      </c>
      <c r="E932">
        <f>IF($A932="","",INDEX('05_KAIS'!$K:$K,$A932))</f>
        <v/>
      </c>
      <c r="F932" s="202">
        <f>IF($A932="","",INDEX('05_KAIS'!$I:$I,$A932))</f>
        <v/>
      </c>
      <c r="G932" s="118">
        <f>IF($A932="","",INDEX('05_KAIS'!$L:$L,$A932))</f>
        <v/>
      </c>
      <c r="H932" s="118">
        <f>IF($A932="","",IFERROR(INDEX('05_KAIS'!$M:$M,$A932),IF(AND(E932&gt;0,G932&gt;0),G932/E932,"")))</f>
        <v/>
      </c>
      <c r="I932" s="202">
        <f>IF($A932="","",INDEX('05_KAIS'!$N:$N,$A932))</f>
        <v/>
      </c>
      <c r="J932">
        <f>IF(B932="","",IF('02_대상물건입력'!$B$5="",1,IF(ISNUMBER(SEARCH('02_대상물건입력'!$B$5,B932)),1,0)))</f>
        <v/>
      </c>
      <c r="K932">
        <f>IF(B932="","",IF('02_대상물건입력'!$B$6="",1,IF(ISNUMBER(SEARCH('02_대상물건입력'!$B$6,B932)),1,0)))</f>
        <v/>
      </c>
      <c r="L932">
        <f>IF(D932="","",IF('02_대상물건입력'!$B$8="",0,IF(ISNUMBER(SEARCH('02_대상물건입력'!$B$8,D932)),1,0)))</f>
        <v/>
      </c>
      <c r="M932">
        <f>IFERROR(ABS(E932-'02_대상물건입력'!$B$11)/'02_대상물건입력'!$B$11,"")</f>
        <v/>
      </c>
      <c r="N932">
        <f>IFERROR(ABS('01_설정'!$B$4-F932),"")</f>
        <v/>
      </c>
      <c r="O932">
        <f>IFERROR(ABS(YEAR(I932)-YEAR('02_대상물건입력'!$B$14)),"")</f>
        <v/>
      </c>
      <c r="P932">
        <f>IF(AND(E932&gt;0,F932&gt;0,G932&gt;0,IF('01_설정'!$B$10=1,J932=1,TRUE()),M932&lt;='01_설정'!$B$5,N932&lt;='01_설정'!$B$7,O932&lt;='01_설정'!$B$8),"Y","")</f>
        <v/>
      </c>
      <c r="Q932">
        <f>IF(P932&lt;&gt;"Y","",MAX(0,(1-M932/'01_설정'!$B$5))*'01_설정'!$B$14+MAX(0,(1-N932/'01_설정'!$B$7))*'01_설정'!$B$16+MAX(0,(1-O932/'01_설정'!$B$8))*'01_설정'!$B$17+K932*'01_설정'!$B$11+L932*'01_설정'!$B$12)</f>
        <v/>
      </c>
      <c r="R932">
        <f>IF(Q932="","",1+COUNTIFS($Q$31:$Q$1030,"&gt;"&amp;Q932)+COUNTIFS($Q$31:Q932,Q932)-1)</f>
        <v/>
      </c>
    </row>
    <row r="933" hidden="1" ht="16.5" customHeight="1">
      <c r="A933">
        <f>IF(COUNTA('05_KAIS'!$A921:$N921)=0,"",906)</f>
        <v/>
      </c>
      <c r="B933">
        <f>IF($A933="","",TRIM(INDEX('05_KAIS'!$B:$B,$A933)&amp;" "&amp;INDEX('05_KAIS'!$C:$C,$A933)))</f>
        <v/>
      </c>
      <c r="C933">
        <f>IF($A933="","",INDEX('05_KAIS'!$D:$D,$A933))</f>
        <v/>
      </c>
      <c r="D933">
        <f>IF($A933="","",INDEX('05_KAIS'!$H:$H,$A933))</f>
        <v/>
      </c>
      <c r="E933">
        <f>IF($A933="","",INDEX('05_KAIS'!$K:$K,$A933))</f>
        <v/>
      </c>
      <c r="F933" s="202">
        <f>IF($A933="","",INDEX('05_KAIS'!$I:$I,$A933))</f>
        <v/>
      </c>
      <c r="G933" s="118">
        <f>IF($A933="","",INDEX('05_KAIS'!$L:$L,$A933))</f>
        <v/>
      </c>
      <c r="H933" s="118">
        <f>IF($A933="","",IFERROR(INDEX('05_KAIS'!$M:$M,$A933),IF(AND(E933&gt;0,G933&gt;0),G933/E933,"")))</f>
        <v/>
      </c>
      <c r="I933" s="202">
        <f>IF($A933="","",INDEX('05_KAIS'!$N:$N,$A933))</f>
        <v/>
      </c>
      <c r="J933">
        <f>IF(B933="","",IF('02_대상물건입력'!$B$5="",1,IF(ISNUMBER(SEARCH('02_대상물건입력'!$B$5,B933)),1,0)))</f>
        <v/>
      </c>
      <c r="K933">
        <f>IF(B933="","",IF('02_대상물건입력'!$B$6="",1,IF(ISNUMBER(SEARCH('02_대상물건입력'!$B$6,B933)),1,0)))</f>
        <v/>
      </c>
      <c r="L933">
        <f>IF(D933="","",IF('02_대상물건입력'!$B$8="",0,IF(ISNUMBER(SEARCH('02_대상물건입력'!$B$8,D933)),1,0)))</f>
        <v/>
      </c>
      <c r="M933">
        <f>IFERROR(ABS(E933-'02_대상물건입력'!$B$11)/'02_대상물건입력'!$B$11,"")</f>
        <v/>
      </c>
      <c r="N933">
        <f>IFERROR(ABS('01_설정'!$B$4-F933),"")</f>
        <v/>
      </c>
      <c r="O933">
        <f>IFERROR(ABS(YEAR(I933)-YEAR('02_대상물건입력'!$B$14)),"")</f>
        <v/>
      </c>
      <c r="P933">
        <f>IF(AND(E933&gt;0,F933&gt;0,G933&gt;0,IF('01_설정'!$B$10=1,J933=1,TRUE()),M933&lt;='01_설정'!$B$5,N933&lt;='01_설정'!$B$7,O933&lt;='01_설정'!$B$8),"Y","")</f>
        <v/>
      </c>
      <c r="Q933">
        <f>IF(P933&lt;&gt;"Y","",MAX(0,(1-M933/'01_설정'!$B$5))*'01_설정'!$B$14+MAX(0,(1-N933/'01_설정'!$B$7))*'01_설정'!$B$16+MAX(0,(1-O933/'01_설정'!$B$8))*'01_설정'!$B$17+K933*'01_설정'!$B$11+L933*'01_설정'!$B$12)</f>
        <v/>
      </c>
      <c r="R933">
        <f>IF(Q933="","",1+COUNTIFS($Q$31:$Q$1030,"&gt;"&amp;Q933)+COUNTIFS($Q$31:Q933,Q933)-1)</f>
        <v/>
      </c>
    </row>
    <row r="934" hidden="1" ht="16.5" customHeight="1">
      <c r="A934">
        <f>IF(COUNTA('05_KAIS'!$A922:$N922)=0,"",907)</f>
        <v/>
      </c>
      <c r="B934">
        <f>IF($A934="","",TRIM(INDEX('05_KAIS'!$B:$B,$A934)&amp;" "&amp;INDEX('05_KAIS'!$C:$C,$A934)))</f>
        <v/>
      </c>
      <c r="C934">
        <f>IF($A934="","",INDEX('05_KAIS'!$D:$D,$A934))</f>
        <v/>
      </c>
      <c r="D934">
        <f>IF($A934="","",INDEX('05_KAIS'!$H:$H,$A934))</f>
        <v/>
      </c>
      <c r="E934">
        <f>IF($A934="","",INDEX('05_KAIS'!$K:$K,$A934))</f>
        <v/>
      </c>
      <c r="F934" s="202">
        <f>IF($A934="","",INDEX('05_KAIS'!$I:$I,$A934))</f>
        <v/>
      </c>
      <c r="G934" s="118">
        <f>IF($A934="","",INDEX('05_KAIS'!$L:$L,$A934))</f>
        <v/>
      </c>
      <c r="H934" s="118">
        <f>IF($A934="","",IFERROR(INDEX('05_KAIS'!$M:$M,$A934),IF(AND(E934&gt;0,G934&gt;0),G934/E934,"")))</f>
        <v/>
      </c>
      <c r="I934" s="202">
        <f>IF($A934="","",INDEX('05_KAIS'!$N:$N,$A934))</f>
        <v/>
      </c>
      <c r="J934">
        <f>IF(B934="","",IF('02_대상물건입력'!$B$5="",1,IF(ISNUMBER(SEARCH('02_대상물건입력'!$B$5,B934)),1,0)))</f>
        <v/>
      </c>
      <c r="K934">
        <f>IF(B934="","",IF('02_대상물건입력'!$B$6="",1,IF(ISNUMBER(SEARCH('02_대상물건입력'!$B$6,B934)),1,0)))</f>
        <v/>
      </c>
      <c r="L934">
        <f>IF(D934="","",IF('02_대상물건입력'!$B$8="",0,IF(ISNUMBER(SEARCH('02_대상물건입력'!$B$8,D934)),1,0)))</f>
        <v/>
      </c>
      <c r="M934">
        <f>IFERROR(ABS(E934-'02_대상물건입력'!$B$11)/'02_대상물건입력'!$B$11,"")</f>
        <v/>
      </c>
      <c r="N934">
        <f>IFERROR(ABS('01_설정'!$B$4-F934),"")</f>
        <v/>
      </c>
      <c r="O934">
        <f>IFERROR(ABS(YEAR(I934)-YEAR('02_대상물건입력'!$B$14)),"")</f>
        <v/>
      </c>
      <c r="P934">
        <f>IF(AND(E934&gt;0,F934&gt;0,G934&gt;0,IF('01_설정'!$B$10=1,J934=1,TRUE()),M934&lt;='01_설정'!$B$5,N934&lt;='01_설정'!$B$7,O934&lt;='01_설정'!$B$8),"Y","")</f>
        <v/>
      </c>
      <c r="Q934">
        <f>IF(P934&lt;&gt;"Y","",MAX(0,(1-M934/'01_설정'!$B$5))*'01_설정'!$B$14+MAX(0,(1-N934/'01_설정'!$B$7))*'01_설정'!$B$16+MAX(0,(1-O934/'01_설정'!$B$8))*'01_설정'!$B$17+K934*'01_설정'!$B$11+L934*'01_설정'!$B$12)</f>
        <v/>
      </c>
      <c r="R934">
        <f>IF(Q934="","",1+COUNTIFS($Q$31:$Q$1030,"&gt;"&amp;Q934)+COUNTIFS($Q$31:Q934,Q934)-1)</f>
        <v/>
      </c>
    </row>
    <row r="935" hidden="1" ht="16.5" customHeight="1">
      <c r="A935">
        <f>IF(COUNTA('05_KAIS'!$A923:$N923)=0,"",908)</f>
        <v/>
      </c>
      <c r="B935">
        <f>IF($A935="","",TRIM(INDEX('05_KAIS'!$B:$B,$A935)&amp;" "&amp;INDEX('05_KAIS'!$C:$C,$A935)))</f>
        <v/>
      </c>
      <c r="C935">
        <f>IF($A935="","",INDEX('05_KAIS'!$D:$D,$A935))</f>
        <v/>
      </c>
      <c r="D935">
        <f>IF($A935="","",INDEX('05_KAIS'!$H:$H,$A935))</f>
        <v/>
      </c>
      <c r="E935">
        <f>IF($A935="","",INDEX('05_KAIS'!$K:$K,$A935))</f>
        <v/>
      </c>
      <c r="F935" s="202">
        <f>IF($A935="","",INDEX('05_KAIS'!$I:$I,$A935))</f>
        <v/>
      </c>
      <c r="G935" s="118">
        <f>IF($A935="","",INDEX('05_KAIS'!$L:$L,$A935))</f>
        <v/>
      </c>
      <c r="H935" s="118">
        <f>IF($A935="","",IFERROR(INDEX('05_KAIS'!$M:$M,$A935),IF(AND(E935&gt;0,G935&gt;0),G935/E935,"")))</f>
        <v/>
      </c>
      <c r="I935" s="202">
        <f>IF($A935="","",INDEX('05_KAIS'!$N:$N,$A935))</f>
        <v/>
      </c>
      <c r="J935">
        <f>IF(B935="","",IF('02_대상물건입력'!$B$5="",1,IF(ISNUMBER(SEARCH('02_대상물건입력'!$B$5,B935)),1,0)))</f>
        <v/>
      </c>
      <c r="K935">
        <f>IF(B935="","",IF('02_대상물건입력'!$B$6="",1,IF(ISNUMBER(SEARCH('02_대상물건입력'!$B$6,B935)),1,0)))</f>
        <v/>
      </c>
      <c r="L935">
        <f>IF(D935="","",IF('02_대상물건입력'!$B$8="",0,IF(ISNUMBER(SEARCH('02_대상물건입력'!$B$8,D935)),1,0)))</f>
        <v/>
      </c>
      <c r="M935">
        <f>IFERROR(ABS(E935-'02_대상물건입력'!$B$11)/'02_대상물건입력'!$B$11,"")</f>
        <v/>
      </c>
      <c r="N935">
        <f>IFERROR(ABS('01_설정'!$B$4-F935),"")</f>
        <v/>
      </c>
      <c r="O935">
        <f>IFERROR(ABS(YEAR(I935)-YEAR('02_대상물건입력'!$B$14)),"")</f>
        <v/>
      </c>
      <c r="P935">
        <f>IF(AND(E935&gt;0,F935&gt;0,G935&gt;0,IF('01_설정'!$B$10=1,J935=1,TRUE()),M935&lt;='01_설정'!$B$5,N935&lt;='01_설정'!$B$7,O935&lt;='01_설정'!$B$8),"Y","")</f>
        <v/>
      </c>
      <c r="Q935">
        <f>IF(P935&lt;&gt;"Y","",MAX(0,(1-M935/'01_설정'!$B$5))*'01_설정'!$B$14+MAX(0,(1-N935/'01_설정'!$B$7))*'01_설정'!$B$16+MAX(0,(1-O935/'01_설정'!$B$8))*'01_설정'!$B$17+K935*'01_설정'!$B$11+L935*'01_설정'!$B$12)</f>
        <v/>
      </c>
      <c r="R935">
        <f>IF(Q935="","",1+COUNTIFS($Q$31:$Q$1030,"&gt;"&amp;Q935)+COUNTIFS($Q$31:Q935,Q935)-1)</f>
        <v/>
      </c>
    </row>
    <row r="936" hidden="1" ht="16.5" customHeight="1">
      <c r="A936">
        <f>IF(COUNTA('05_KAIS'!$A924:$N924)=0,"",909)</f>
        <v/>
      </c>
      <c r="B936">
        <f>IF($A936="","",TRIM(INDEX('05_KAIS'!$B:$B,$A936)&amp;" "&amp;INDEX('05_KAIS'!$C:$C,$A936)))</f>
        <v/>
      </c>
      <c r="C936">
        <f>IF($A936="","",INDEX('05_KAIS'!$D:$D,$A936))</f>
        <v/>
      </c>
      <c r="D936">
        <f>IF($A936="","",INDEX('05_KAIS'!$H:$H,$A936))</f>
        <v/>
      </c>
      <c r="E936">
        <f>IF($A936="","",INDEX('05_KAIS'!$K:$K,$A936))</f>
        <v/>
      </c>
      <c r="F936" s="202">
        <f>IF($A936="","",INDEX('05_KAIS'!$I:$I,$A936))</f>
        <v/>
      </c>
      <c r="G936" s="118">
        <f>IF($A936="","",INDEX('05_KAIS'!$L:$L,$A936))</f>
        <v/>
      </c>
      <c r="H936" s="118">
        <f>IF($A936="","",IFERROR(INDEX('05_KAIS'!$M:$M,$A936),IF(AND(E936&gt;0,G936&gt;0),G936/E936,"")))</f>
        <v/>
      </c>
      <c r="I936" s="202">
        <f>IF($A936="","",INDEX('05_KAIS'!$N:$N,$A936))</f>
        <v/>
      </c>
      <c r="J936">
        <f>IF(B936="","",IF('02_대상물건입력'!$B$5="",1,IF(ISNUMBER(SEARCH('02_대상물건입력'!$B$5,B936)),1,0)))</f>
        <v/>
      </c>
      <c r="K936">
        <f>IF(B936="","",IF('02_대상물건입력'!$B$6="",1,IF(ISNUMBER(SEARCH('02_대상물건입력'!$B$6,B936)),1,0)))</f>
        <v/>
      </c>
      <c r="L936">
        <f>IF(D936="","",IF('02_대상물건입력'!$B$8="",0,IF(ISNUMBER(SEARCH('02_대상물건입력'!$B$8,D936)),1,0)))</f>
        <v/>
      </c>
      <c r="M936">
        <f>IFERROR(ABS(E936-'02_대상물건입력'!$B$11)/'02_대상물건입력'!$B$11,"")</f>
        <v/>
      </c>
      <c r="N936">
        <f>IFERROR(ABS('01_설정'!$B$4-F936),"")</f>
        <v/>
      </c>
      <c r="O936">
        <f>IFERROR(ABS(YEAR(I936)-YEAR('02_대상물건입력'!$B$14)),"")</f>
        <v/>
      </c>
      <c r="P936">
        <f>IF(AND(E936&gt;0,F936&gt;0,G936&gt;0,IF('01_설정'!$B$10=1,J936=1,TRUE()),M936&lt;='01_설정'!$B$5,N936&lt;='01_설정'!$B$7,O936&lt;='01_설정'!$B$8),"Y","")</f>
        <v/>
      </c>
      <c r="Q936">
        <f>IF(P936&lt;&gt;"Y","",MAX(0,(1-M936/'01_설정'!$B$5))*'01_설정'!$B$14+MAX(0,(1-N936/'01_설정'!$B$7))*'01_설정'!$B$16+MAX(0,(1-O936/'01_설정'!$B$8))*'01_설정'!$B$17+K936*'01_설정'!$B$11+L936*'01_설정'!$B$12)</f>
        <v/>
      </c>
      <c r="R936">
        <f>IF(Q936="","",1+COUNTIFS($Q$31:$Q$1030,"&gt;"&amp;Q936)+COUNTIFS($Q$31:Q936,Q936)-1)</f>
        <v/>
      </c>
    </row>
    <row r="937" hidden="1" ht="16.5" customHeight="1">
      <c r="A937">
        <f>IF(COUNTA('05_KAIS'!$A925:$N925)=0,"",910)</f>
        <v/>
      </c>
      <c r="B937">
        <f>IF($A937="","",TRIM(INDEX('05_KAIS'!$B:$B,$A937)&amp;" "&amp;INDEX('05_KAIS'!$C:$C,$A937)))</f>
        <v/>
      </c>
      <c r="C937">
        <f>IF($A937="","",INDEX('05_KAIS'!$D:$D,$A937))</f>
        <v/>
      </c>
      <c r="D937">
        <f>IF($A937="","",INDEX('05_KAIS'!$H:$H,$A937))</f>
        <v/>
      </c>
      <c r="E937">
        <f>IF($A937="","",INDEX('05_KAIS'!$K:$K,$A937))</f>
        <v/>
      </c>
      <c r="F937" s="202">
        <f>IF($A937="","",INDEX('05_KAIS'!$I:$I,$A937))</f>
        <v/>
      </c>
      <c r="G937" s="118">
        <f>IF($A937="","",INDEX('05_KAIS'!$L:$L,$A937))</f>
        <v/>
      </c>
      <c r="H937" s="118">
        <f>IF($A937="","",IFERROR(INDEX('05_KAIS'!$M:$M,$A937),IF(AND(E937&gt;0,G937&gt;0),G937/E937,"")))</f>
        <v/>
      </c>
      <c r="I937" s="202">
        <f>IF($A937="","",INDEX('05_KAIS'!$N:$N,$A937))</f>
        <v/>
      </c>
      <c r="J937">
        <f>IF(B937="","",IF('02_대상물건입력'!$B$5="",1,IF(ISNUMBER(SEARCH('02_대상물건입력'!$B$5,B937)),1,0)))</f>
        <v/>
      </c>
      <c r="K937">
        <f>IF(B937="","",IF('02_대상물건입력'!$B$6="",1,IF(ISNUMBER(SEARCH('02_대상물건입력'!$B$6,B937)),1,0)))</f>
        <v/>
      </c>
      <c r="L937">
        <f>IF(D937="","",IF('02_대상물건입력'!$B$8="",0,IF(ISNUMBER(SEARCH('02_대상물건입력'!$B$8,D937)),1,0)))</f>
        <v/>
      </c>
      <c r="M937">
        <f>IFERROR(ABS(E937-'02_대상물건입력'!$B$11)/'02_대상물건입력'!$B$11,"")</f>
        <v/>
      </c>
      <c r="N937">
        <f>IFERROR(ABS('01_설정'!$B$4-F937),"")</f>
        <v/>
      </c>
      <c r="O937">
        <f>IFERROR(ABS(YEAR(I937)-YEAR('02_대상물건입력'!$B$14)),"")</f>
        <v/>
      </c>
      <c r="P937">
        <f>IF(AND(E937&gt;0,F937&gt;0,G937&gt;0,IF('01_설정'!$B$10=1,J937=1,TRUE()),M937&lt;='01_설정'!$B$5,N937&lt;='01_설정'!$B$7,O937&lt;='01_설정'!$B$8),"Y","")</f>
        <v/>
      </c>
      <c r="Q937">
        <f>IF(P937&lt;&gt;"Y","",MAX(0,(1-M937/'01_설정'!$B$5))*'01_설정'!$B$14+MAX(0,(1-N937/'01_설정'!$B$7))*'01_설정'!$B$16+MAX(0,(1-O937/'01_설정'!$B$8))*'01_설정'!$B$17+K937*'01_설정'!$B$11+L937*'01_설정'!$B$12)</f>
        <v/>
      </c>
      <c r="R937">
        <f>IF(Q937="","",1+COUNTIFS($Q$31:$Q$1030,"&gt;"&amp;Q937)+COUNTIFS($Q$31:Q937,Q937)-1)</f>
        <v/>
      </c>
    </row>
    <row r="938" hidden="1" ht="16.5" customHeight="1">
      <c r="A938">
        <f>IF(COUNTA('05_KAIS'!$A926:$N926)=0,"",911)</f>
        <v/>
      </c>
      <c r="B938">
        <f>IF($A938="","",TRIM(INDEX('05_KAIS'!$B:$B,$A938)&amp;" "&amp;INDEX('05_KAIS'!$C:$C,$A938)))</f>
        <v/>
      </c>
      <c r="C938">
        <f>IF($A938="","",INDEX('05_KAIS'!$D:$D,$A938))</f>
        <v/>
      </c>
      <c r="D938">
        <f>IF($A938="","",INDEX('05_KAIS'!$H:$H,$A938))</f>
        <v/>
      </c>
      <c r="E938">
        <f>IF($A938="","",INDEX('05_KAIS'!$K:$K,$A938))</f>
        <v/>
      </c>
      <c r="F938" s="202">
        <f>IF($A938="","",INDEX('05_KAIS'!$I:$I,$A938))</f>
        <v/>
      </c>
      <c r="G938" s="118">
        <f>IF($A938="","",INDEX('05_KAIS'!$L:$L,$A938))</f>
        <v/>
      </c>
      <c r="H938" s="118">
        <f>IF($A938="","",IFERROR(INDEX('05_KAIS'!$M:$M,$A938),IF(AND(E938&gt;0,G938&gt;0),G938/E938,"")))</f>
        <v/>
      </c>
      <c r="I938" s="202">
        <f>IF($A938="","",INDEX('05_KAIS'!$N:$N,$A938))</f>
        <v/>
      </c>
      <c r="J938">
        <f>IF(B938="","",IF('02_대상물건입력'!$B$5="",1,IF(ISNUMBER(SEARCH('02_대상물건입력'!$B$5,B938)),1,0)))</f>
        <v/>
      </c>
      <c r="K938">
        <f>IF(B938="","",IF('02_대상물건입력'!$B$6="",1,IF(ISNUMBER(SEARCH('02_대상물건입력'!$B$6,B938)),1,0)))</f>
        <v/>
      </c>
      <c r="L938">
        <f>IF(D938="","",IF('02_대상물건입력'!$B$8="",0,IF(ISNUMBER(SEARCH('02_대상물건입력'!$B$8,D938)),1,0)))</f>
        <v/>
      </c>
      <c r="M938">
        <f>IFERROR(ABS(E938-'02_대상물건입력'!$B$11)/'02_대상물건입력'!$B$11,"")</f>
        <v/>
      </c>
      <c r="N938">
        <f>IFERROR(ABS('01_설정'!$B$4-F938),"")</f>
        <v/>
      </c>
      <c r="O938">
        <f>IFERROR(ABS(YEAR(I938)-YEAR('02_대상물건입력'!$B$14)),"")</f>
        <v/>
      </c>
      <c r="P938">
        <f>IF(AND(E938&gt;0,F938&gt;0,G938&gt;0,IF('01_설정'!$B$10=1,J938=1,TRUE()),M938&lt;='01_설정'!$B$5,N938&lt;='01_설정'!$B$7,O938&lt;='01_설정'!$B$8),"Y","")</f>
        <v/>
      </c>
      <c r="Q938">
        <f>IF(P938&lt;&gt;"Y","",MAX(0,(1-M938/'01_설정'!$B$5))*'01_설정'!$B$14+MAX(0,(1-N938/'01_설정'!$B$7))*'01_설정'!$B$16+MAX(0,(1-O938/'01_설정'!$B$8))*'01_설정'!$B$17+K938*'01_설정'!$B$11+L938*'01_설정'!$B$12)</f>
        <v/>
      </c>
      <c r="R938">
        <f>IF(Q938="","",1+COUNTIFS($Q$31:$Q$1030,"&gt;"&amp;Q938)+COUNTIFS($Q$31:Q938,Q938)-1)</f>
        <v/>
      </c>
    </row>
    <row r="939" hidden="1" ht="16.5" customHeight="1">
      <c r="A939">
        <f>IF(COUNTA('05_KAIS'!$A927:$N927)=0,"",912)</f>
        <v/>
      </c>
      <c r="B939">
        <f>IF($A939="","",TRIM(INDEX('05_KAIS'!$B:$B,$A939)&amp;" "&amp;INDEX('05_KAIS'!$C:$C,$A939)))</f>
        <v/>
      </c>
      <c r="C939">
        <f>IF($A939="","",INDEX('05_KAIS'!$D:$D,$A939))</f>
        <v/>
      </c>
      <c r="D939">
        <f>IF($A939="","",INDEX('05_KAIS'!$H:$H,$A939))</f>
        <v/>
      </c>
      <c r="E939">
        <f>IF($A939="","",INDEX('05_KAIS'!$K:$K,$A939))</f>
        <v/>
      </c>
      <c r="F939" s="202">
        <f>IF($A939="","",INDEX('05_KAIS'!$I:$I,$A939))</f>
        <v/>
      </c>
      <c r="G939" s="118">
        <f>IF($A939="","",INDEX('05_KAIS'!$L:$L,$A939))</f>
        <v/>
      </c>
      <c r="H939" s="118">
        <f>IF($A939="","",IFERROR(INDEX('05_KAIS'!$M:$M,$A939),IF(AND(E939&gt;0,G939&gt;0),G939/E939,"")))</f>
        <v/>
      </c>
      <c r="I939" s="202">
        <f>IF($A939="","",INDEX('05_KAIS'!$N:$N,$A939))</f>
        <v/>
      </c>
      <c r="J939">
        <f>IF(B939="","",IF('02_대상물건입력'!$B$5="",1,IF(ISNUMBER(SEARCH('02_대상물건입력'!$B$5,B939)),1,0)))</f>
        <v/>
      </c>
      <c r="K939">
        <f>IF(B939="","",IF('02_대상물건입력'!$B$6="",1,IF(ISNUMBER(SEARCH('02_대상물건입력'!$B$6,B939)),1,0)))</f>
        <v/>
      </c>
      <c r="L939">
        <f>IF(D939="","",IF('02_대상물건입력'!$B$8="",0,IF(ISNUMBER(SEARCH('02_대상물건입력'!$B$8,D939)),1,0)))</f>
        <v/>
      </c>
      <c r="M939">
        <f>IFERROR(ABS(E939-'02_대상물건입력'!$B$11)/'02_대상물건입력'!$B$11,"")</f>
        <v/>
      </c>
      <c r="N939">
        <f>IFERROR(ABS('01_설정'!$B$4-F939),"")</f>
        <v/>
      </c>
      <c r="O939">
        <f>IFERROR(ABS(YEAR(I939)-YEAR('02_대상물건입력'!$B$14)),"")</f>
        <v/>
      </c>
      <c r="P939">
        <f>IF(AND(E939&gt;0,F939&gt;0,G939&gt;0,IF('01_설정'!$B$10=1,J939=1,TRUE()),M939&lt;='01_설정'!$B$5,N939&lt;='01_설정'!$B$7,O939&lt;='01_설정'!$B$8),"Y","")</f>
        <v/>
      </c>
      <c r="Q939">
        <f>IF(P939&lt;&gt;"Y","",MAX(0,(1-M939/'01_설정'!$B$5))*'01_설정'!$B$14+MAX(0,(1-N939/'01_설정'!$B$7))*'01_설정'!$B$16+MAX(0,(1-O939/'01_설정'!$B$8))*'01_설정'!$B$17+K939*'01_설정'!$B$11+L939*'01_설정'!$B$12)</f>
        <v/>
      </c>
      <c r="R939">
        <f>IF(Q939="","",1+COUNTIFS($Q$31:$Q$1030,"&gt;"&amp;Q939)+COUNTIFS($Q$31:Q939,Q939)-1)</f>
        <v/>
      </c>
    </row>
    <row r="940" hidden="1" ht="16.5" customHeight="1">
      <c r="A940">
        <f>IF(COUNTA('05_KAIS'!$A928:$N928)=0,"",913)</f>
        <v/>
      </c>
      <c r="B940">
        <f>IF($A940="","",TRIM(INDEX('05_KAIS'!$B:$B,$A940)&amp;" "&amp;INDEX('05_KAIS'!$C:$C,$A940)))</f>
        <v/>
      </c>
      <c r="C940">
        <f>IF($A940="","",INDEX('05_KAIS'!$D:$D,$A940))</f>
        <v/>
      </c>
      <c r="D940">
        <f>IF($A940="","",INDEX('05_KAIS'!$H:$H,$A940))</f>
        <v/>
      </c>
      <c r="E940">
        <f>IF($A940="","",INDEX('05_KAIS'!$K:$K,$A940))</f>
        <v/>
      </c>
      <c r="F940" s="202">
        <f>IF($A940="","",INDEX('05_KAIS'!$I:$I,$A940))</f>
        <v/>
      </c>
      <c r="G940" s="118">
        <f>IF($A940="","",INDEX('05_KAIS'!$L:$L,$A940))</f>
        <v/>
      </c>
      <c r="H940" s="118">
        <f>IF($A940="","",IFERROR(INDEX('05_KAIS'!$M:$M,$A940),IF(AND(E940&gt;0,G940&gt;0),G940/E940,"")))</f>
        <v/>
      </c>
      <c r="I940" s="202">
        <f>IF($A940="","",INDEX('05_KAIS'!$N:$N,$A940))</f>
        <v/>
      </c>
      <c r="J940">
        <f>IF(B940="","",IF('02_대상물건입력'!$B$5="",1,IF(ISNUMBER(SEARCH('02_대상물건입력'!$B$5,B940)),1,0)))</f>
        <v/>
      </c>
      <c r="K940">
        <f>IF(B940="","",IF('02_대상물건입력'!$B$6="",1,IF(ISNUMBER(SEARCH('02_대상물건입력'!$B$6,B940)),1,0)))</f>
        <v/>
      </c>
      <c r="L940">
        <f>IF(D940="","",IF('02_대상물건입력'!$B$8="",0,IF(ISNUMBER(SEARCH('02_대상물건입력'!$B$8,D940)),1,0)))</f>
        <v/>
      </c>
      <c r="M940">
        <f>IFERROR(ABS(E940-'02_대상물건입력'!$B$11)/'02_대상물건입력'!$B$11,"")</f>
        <v/>
      </c>
      <c r="N940">
        <f>IFERROR(ABS('01_설정'!$B$4-F940),"")</f>
        <v/>
      </c>
      <c r="O940">
        <f>IFERROR(ABS(YEAR(I940)-YEAR('02_대상물건입력'!$B$14)),"")</f>
        <v/>
      </c>
      <c r="P940">
        <f>IF(AND(E940&gt;0,F940&gt;0,G940&gt;0,IF('01_설정'!$B$10=1,J940=1,TRUE()),M940&lt;='01_설정'!$B$5,N940&lt;='01_설정'!$B$7,O940&lt;='01_설정'!$B$8),"Y","")</f>
        <v/>
      </c>
      <c r="Q940">
        <f>IF(P940&lt;&gt;"Y","",MAX(0,(1-M940/'01_설정'!$B$5))*'01_설정'!$B$14+MAX(0,(1-N940/'01_설정'!$B$7))*'01_설정'!$B$16+MAX(0,(1-O940/'01_설정'!$B$8))*'01_설정'!$B$17+K940*'01_설정'!$B$11+L940*'01_설정'!$B$12)</f>
        <v/>
      </c>
      <c r="R940">
        <f>IF(Q940="","",1+COUNTIFS($Q$31:$Q$1030,"&gt;"&amp;Q940)+COUNTIFS($Q$31:Q940,Q940)-1)</f>
        <v/>
      </c>
    </row>
    <row r="941" hidden="1" ht="16.5" customHeight="1">
      <c r="A941">
        <f>IF(COUNTA('05_KAIS'!$A929:$N929)=0,"",914)</f>
        <v/>
      </c>
      <c r="B941">
        <f>IF($A941="","",TRIM(INDEX('05_KAIS'!$B:$B,$A941)&amp;" "&amp;INDEX('05_KAIS'!$C:$C,$A941)))</f>
        <v/>
      </c>
      <c r="C941">
        <f>IF($A941="","",INDEX('05_KAIS'!$D:$D,$A941))</f>
        <v/>
      </c>
      <c r="D941">
        <f>IF($A941="","",INDEX('05_KAIS'!$H:$H,$A941))</f>
        <v/>
      </c>
      <c r="E941">
        <f>IF($A941="","",INDEX('05_KAIS'!$K:$K,$A941))</f>
        <v/>
      </c>
      <c r="F941" s="202">
        <f>IF($A941="","",INDEX('05_KAIS'!$I:$I,$A941))</f>
        <v/>
      </c>
      <c r="G941" s="118">
        <f>IF($A941="","",INDEX('05_KAIS'!$L:$L,$A941))</f>
        <v/>
      </c>
      <c r="H941" s="118">
        <f>IF($A941="","",IFERROR(INDEX('05_KAIS'!$M:$M,$A941),IF(AND(E941&gt;0,G941&gt;0),G941/E941,"")))</f>
        <v/>
      </c>
      <c r="I941" s="202">
        <f>IF($A941="","",INDEX('05_KAIS'!$N:$N,$A941))</f>
        <v/>
      </c>
      <c r="J941">
        <f>IF(B941="","",IF('02_대상물건입력'!$B$5="",1,IF(ISNUMBER(SEARCH('02_대상물건입력'!$B$5,B941)),1,0)))</f>
        <v/>
      </c>
      <c r="K941">
        <f>IF(B941="","",IF('02_대상물건입력'!$B$6="",1,IF(ISNUMBER(SEARCH('02_대상물건입력'!$B$6,B941)),1,0)))</f>
        <v/>
      </c>
      <c r="L941">
        <f>IF(D941="","",IF('02_대상물건입력'!$B$8="",0,IF(ISNUMBER(SEARCH('02_대상물건입력'!$B$8,D941)),1,0)))</f>
        <v/>
      </c>
      <c r="M941">
        <f>IFERROR(ABS(E941-'02_대상물건입력'!$B$11)/'02_대상물건입력'!$B$11,"")</f>
        <v/>
      </c>
      <c r="N941">
        <f>IFERROR(ABS('01_설정'!$B$4-F941),"")</f>
        <v/>
      </c>
      <c r="O941">
        <f>IFERROR(ABS(YEAR(I941)-YEAR('02_대상물건입력'!$B$14)),"")</f>
        <v/>
      </c>
      <c r="P941">
        <f>IF(AND(E941&gt;0,F941&gt;0,G941&gt;0,IF('01_설정'!$B$10=1,J941=1,TRUE()),M941&lt;='01_설정'!$B$5,N941&lt;='01_설정'!$B$7,O941&lt;='01_설정'!$B$8),"Y","")</f>
        <v/>
      </c>
      <c r="Q941">
        <f>IF(P941&lt;&gt;"Y","",MAX(0,(1-M941/'01_설정'!$B$5))*'01_설정'!$B$14+MAX(0,(1-N941/'01_설정'!$B$7))*'01_설정'!$B$16+MAX(0,(1-O941/'01_설정'!$B$8))*'01_설정'!$B$17+K941*'01_설정'!$B$11+L941*'01_설정'!$B$12)</f>
        <v/>
      </c>
      <c r="R941">
        <f>IF(Q941="","",1+COUNTIFS($Q$31:$Q$1030,"&gt;"&amp;Q941)+COUNTIFS($Q$31:Q941,Q941)-1)</f>
        <v/>
      </c>
    </row>
    <row r="942" hidden="1" ht="16.5" customHeight="1">
      <c r="A942">
        <f>IF(COUNTA('05_KAIS'!$A930:$N930)=0,"",915)</f>
        <v/>
      </c>
      <c r="B942">
        <f>IF($A942="","",TRIM(INDEX('05_KAIS'!$B:$B,$A942)&amp;" "&amp;INDEX('05_KAIS'!$C:$C,$A942)))</f>
        <v/>
      </c>
      <c r="C942">
        <f>IF($A942="","",INDEX('05_KAIS'!$D:$D,$A942))</f>
        <v/>
      </c>
      <c r="D942">
        <f>IF($A942="","",INDEX('05_KAIS'!$H:$H,$A942))</f>
        <v/>
      </c>
      <c r="E942">
        <f>IF($A942="","",INDEX('05_KAIS'!$K:$K,$A942))</f>
        <v/>
      </c>
      <c r="F942" s="202">
        <f>IF($A942="","",INDEX('05_KAIS'!$I:$I,$A942))</f>
        <v/>
      </c>
      <c r="G942" s="118">
        <f>IF($A942="","",INDEX('05_KAIS'!$L:$L,$A942))</f>
        <v/>
      </c>
      <c r="H942" s="118">
        <f>IF($A942="","",IFERROR(INDEX('05_KAIS'!$M:$M,$A942),IF(AND(E942&gt;0,G942&gt;0),G942/E942,"")))</f>
        <v/>
      </c>
      <c r="I942" s="202">
        <f>IF($A942="","",INDEX('05_KAIS'!$N:$N,$A942))</f>
        <v/>
      </c>
      <c r="J942">
        <f>IF(B942="","",IF('02_대상물건입력'!$B$5="",1,IF(ISNUMBER(SEARCH('02_대상물건입력'!$B$5,B942)),1,0)))</f>
        <v/>
      </c>
      <c r="K942">
        <f>IF(B942="","",IF('02_대상물건입력'!$B$6="",1,IF(ISNUMBER(SEARCH('02_대상물건입력'!$B$6,B942)),1,0)))</f>
        <v/>
      </c>
      <c r="L942">
        <f>IF(D942="","",IF('02_대상물건입력'!$B$8="",0,IF(ISNUMBER(SEARCH('02_대상물건입력'!$B$8,D942)),1,0)))</f>
        <v/>
      </c>
      <c r="M942">
        <f>IFERROR(ABS(E942-'02_대상물건입력'!$B$11)/'02_대상물건입력'!$B$11,"")</f>
        <v/>
      </c>
      <c r="N942">
        <f>IFERROR(ABS('01_설정'!$B$4-F942),"")</f>
        <v/>
      </c>
      <c r="O942">
        <f>IFERROR(ABS(YEAR(I942)-YEAR('02_대상물건입력'!$B$14)),"")</f>
        <v/>
      </c>
      <c r="P942">
        <f>IF(AND(E942&gt;0,F942&gt;0,G942&gt;0,IF('01_설정'!$B$10=1,J942=1,TRUE()),M942&lt;='01_설정'!$B$5,N942&lt;='01_설정'!$B$7,O942&lt;='01_설정'!$B$8),"Y","")</f>
        <v/>
      </c>
      <c r="Q942">
        <f>IF(P942&lt;&gt;"Y","",MAX(0,(1-M942/'01_설정'!$B$5))*'01_설정'!$B$14+MAX(0,(1-N942/'01_설정'!$B$7))*'01_설정'!$B$16+MAX(0,(1-O942/'01_설정'!$B$8))*'01_설정'!$B$17+K942*'01_설정'!$B$11+L942*'01_설정'!$B$12)</f>
        <v/>
      </c>
      <c r="R942">
        <f>IF(Q942="","",1+COUNTIFS($Q$31:$Q$1030,"&gt;"&amp;Q942)+COUNTIFS($Q$31:Q942,Q942)-1)</f>
        <v/>
      </c>
    </row>
    <row r="943" hidden="1" ht="16.5" customHeight="1">
      <c r="A943">
        <f>IF(COUNTA('05_KAIS'!$A931:$N931)=0,"",916)</f>
        <v/>
      </c>
      <c r="B943">
        <f>IF($A943="","",TRIM(INDEX('05_KAIS'!$B:$B,$A943)&amp;" "&amp;INDEX('05_KAIS'!$C:$C,$A943)))</f>
        <v/>
      </c>
      <c r="C943">
        <f>IF($A943="","",INDEX('05_KAIS'!$D:$D,$A943))</f>
        <v/>
      </c>
      <c r="D943">
        <f>IF($A943="","",INDEX('05_KAIS'!$H:$H,$A943))</f>
        <v/>
      </c>
      <c r="E943">
        <f>IF($A943="","",INDEX('05_KAIS'!$K:$K,$A943))</f>
        <v/>
      </c>
      <c r="F943" s="202">
        <f>IF($A943="","",INDEX('05_KAIS'!$I:$I,$A943))</f>
        <v/>
      </c>
      <c r="G943" s="118">
        <f>IF($A943="","",INDEX('05_KAIS'!$L:$L,$A943))</f>
        <v/>
      </c>
      <c r="H943" s="118">
        <f>IF($A943="","",IFERROR(INDEX('05_KAIS'!$M:$M,$A943),IF(AND(E943&gt;0,G943&gt;0),G943/E943,"")))</f>
        <v/>
      </c>
      <c r="I943" s="202">
        <f>IF($A943="","",INDEX('05_KAIS'!$N:$N,$A943))</f>
        <v/>
      </c>
      <c r="J943">
        <f>IF(B943="","",IF('02_대상물건입력'!$B$5="",1,IF(ISNUMBER(SEARCH('02_대상물건입력'!$B$5,B943)),1,0)))</f>
        <v/>
      </c>
      <c r="K943">
        <f>IF(B943="","",IF('02_대상물건입력'!$B$6="",1,IF(ISNUMBER(SEARCH('02_대상물건입력'!$B$6,B943)),1,0)))</f>
        <v/>
      </c>
      <c r="L943">
        <f>IF(D943="","",IF('02_대상물건입력'!$B$8="",0,IF(ISNUMBER(SEARCH('02_대상물건입력'!$B$8,D943)),1,0)))</f>
        <v/>
      </c>
      <c r="M943">
        <f>IFERROR(ABS(E943-'02_대상물건입력'!$B$11)/'02_대상물건입력'!$B$11,"")</f>
        <v/>
      </c>
      <c r="N943">
        <f>IFERROR(ABS('01_설정'!$B$4-F943),"")</f>
        <v/>
      </c>
      <c r="O943">
        <f>IFERROR(ABS(YEAR(I943)-YEAR('02_대상물건입력'!$B$14)),"")</f>
        <v/>
      </c>
      <c r="P943">
        <f>IF(AND(E943&gt;0,F943&gt;0,G943&gt;0,IF('01_설정'!$B$10=1,J943=1,TRUE()),M943&lt;='01_설정'!$B$5,N943&lt;='01_설정'!$B$7,O943&lt;='01_설정'!$B$8),"Y","")</f>
        <v/>
      </c>
      <c r="Q943">
        <f>IF(P943&lt;&gt;"Y","",MAX(0,(1-M943/'01_설정'!$B$5))*'01_설정'!$B$14+MAX(0,(1-N943/'01_설정'!$B$7))*'01_설정'!$B$16+MAX(0,(1-O943/'01_설정'!$B$8))*'01_설정'!$B$17+K943*'01_설정'!$B$11+L943*'01_설정'!$B$12)</f>
        <v/>
      </c>
      <c r="R943">
        <f>IF(Q943="","",1+COUNTIFS($Q$31:$Q$1030,"&gt;"&amp;Q943)+COUNTIFS($Q$31:Q943,Q943)-1)</f>
        <v/>
      </c>
    </row>
    <row r="944" hidden="1" ht="16.5" customHeight="1">
      <c r="A944">
        <f>IF(COUNTA('05_KAIS'!$A932:$N932)=0,"",917)</f>
        <v/>
      </c>
      <c r="B944">
        <f>IF($A944="","",TRIM(INDEX('05_KAIS'!$B:$B,$A944)&amp;" "&amp;INDEX('05_KAIS'!$C:$C,$A944)))</f>
        <v/>
      </c>
      <c r="C944">
        <f>IF($A944="","",INDEX('05_KAIS'!$D:$D,$A944))</f>
        <v/>
      </c>
      <c r="D944">
        <f>IF($A944="","",INDEX('05_KAIS'!$H:$H,$A944))</f>
        <v/>
      </c>
      <c r="E944">
        <f>IF($A944="","",INDEX('05_KAIS'!$K:$K,$A944))</f>
        <v/>
      </c>
      <c r="F944" s="202">
        <f>IF($A944="","",INDEX('05_KAIS'!$I:$I,$A944))</f>
        <v/>
      </c>
      <c r="G944" s="118">
        <f>IF($A944="","",INDEX('05_KAIS'!$L:$L,$A944))</f>
        <v/>
      </c>
      <c r="H944" s="118">
        <f>IF($A944="","",IFERROR(INDEX('05_KAIS'!$M:$M,$A944),IF(AND(E944&gt;0,G944&gt;0),G944/E944,"")))</f>
        <v/>
      </c>
      <c r="I944" s="202">
        <f>IF($A944="","",INDEX('05_KAIS'!$N:$N,$A944))</f>
        <v/>
      </c>
      <c r="J944">
        <f>IF(B944="","",IF('02_대상물건입력'!$B$5="",1,IF(ISNUMBER(SEARCH('02_대상물건입력'!$B$5,B944)),1,0)))</f>
        <v/>
      </c>
      <c r="K944">
        <f>IF(B944="","",IF('02_대상물건입력'!$B$6="",1,IF(ISNUMBER(SEARCH('02_대상물건입력'!$B$6,B944)),1,0)))</f>
        <v/>
      </c>
      <c r="L944">
        <f>IF(D944="","",IF('02_대상물건입력'!$B$8="",0,IF(ISNUMBER(SEARCH('02_대상물건입력'!$B$8,D944)),1,0)))</f>
        <v/>
      </c>
      <c r="M944">
        <f>IFERROR(ABS(E944-'02_대상물건입력'!$B$11)/'02_대상물건입력'!$B$11,"")</f>
        <v/>
      </c>
      <c r="N944">
        <f>IFERROR(ABS('01_설정'!$B$4-F944),"")</f>
        <v/>
      </c>
      <c r="O944">
        <f>IFERROR(ABS(YEAR(I944)-YEAR('02_대상물건입력'!$B$14)),"")</f>
        <v/>
      </c>
      <c r="P944">
        <f>IF(AND(E944&gt;0,F944&gt;0,G944&gt;0,IF('01_설정'!$B$10=1,J944=1,TRUE()),M944&lt;='01_설정'!$B$5,N944&lt;='01_설정'!$B$7,O944&lt;='01_설정'!$B$8),"Y","")</f>
        <v/>
      </c>
      <c r="Q944">
        <f>IF(P944&lt;&gt;"Y","",MAX(0,(1-M944/'01_설정'!$B$5))*'01_설정'!$B$14+MAX(0,(1-N944/'01_설정'!$B$7))*'01_설정'!$B$16+MAX(0,(1-O944/'01_설정'!$B$8))*'01_설정'!$B$17+K944*'01_설정'!$B$11+L944*'01_설정'!$B$12)</f>
        <v/>
      </c>
      <c r="R944">
        <f>IF(Q944="","",1+COUNTIFS($Q$31:$Q$1030,"&gt;"&amp;Q944)+COUNTIFS($Q$31:Q944,Q944)-1)</f>
        <v/>
      </c>
    </row>
    <row r="945" hidden="1" ht="16.5" customHeight="1">
      <c r="A945">
        <f>IF(COUNTA('05_KAIS'!$A933:$N933)=0,"",918)</f>
        <v/>
      </c>
      <c r="B945">
        <f>IF($A945="","",TRIM(INDEX('05_KAIS'!$B:$B,$A945)&amp;" "&amp;INDEX('05_KAIS'!$C:$C,$A945)))</f>
        <v/>
      </c>
      <c r="C945">
        <f>IF($A945="","",INDEX('05_KAIS'!$D:$D,$A945))</f>
        <v/>
      </c>
      <c r="D945">
        <f>IF($A945="","",INDEX('05_KAIS'!$H:$H,$A945))</f>
        <v/>
      </c>
      <c r="E945">
        <f>IF($A945="","",INDEX('05_KAIS'!$K:$K,$A945))</f>
        <v/>
      </c>
      <c r="F945" s="202">
        <f>IF($A945="","",INDEX('05_KAIS'!$I:$I,$A945))</f>
        <v/>
      </c>
      <c r="G945" s="118">
        <f>IF($A945="","",INDEX('05_KAIS'!$L:$L,$A945))</f>
        <v/>
      </c>
      <c r="H945" s="118">
        <f>IF($A945="","",IFERROR(INDEX('05_KAIS'!$M:$M,$A945),IF(AND(E945&gt;0,G945&gt;0),G945/E945,"")))</f>
        <v/>
      </c>
      <c r="I945" s="202">
        <f>IF($A945="","",INDEX('05_KAIS'!$N:$N,$A945))</f>
        <v/>
      </c>
      <c r="J945">
        <f>IF(B945="","",IF('02_대상물건입력'!$B$5="",1,IF(ISNUMBER(SEARCH('02_대상물건입력'!$B$5,B945)),1,0)))</f>
        <v/>
      </c>
      <c r="K945">
        <f>IF(B945="","",IF('02_대상물건입력'!$B$6="",1,IF(ISNUMBER(SEARCH('02_대상물건입력'!$B$6,B945)),1,0)))</f>
        <v/>
      </c>
      <c r="L945">
        <f>IF(D945="","",IF('02_대상물건입력'!$B$8="",0,IF(ISNUMBER(SEARCH('02_대상물건입력'!$B$8,D945)),1,0)))</f>
        <v/>
      </c>
      <c r="M945">
        <f>IFERROR(ABS(E945-'02_대상물건입력'!$B$11)/'02_대상물건입력'!$B$11,"")</f>
        <v/>
      </c>
      <c r="N945">
        <f>IFERROR(ABS('01_설정'!$B$4-F945),"")</f>
        <v/>
      </c>
      <c r="O945">
        <f>IFERROR(ABS(YEAR(I945)-YEAR('02_대상물건입력'!$B$14)),"")</f>
        <v/>
      </c>
      <c r="P945">
        <f>IF(AND(E945&gt;0,F945&gt;0,G945&gt;0,IF('01_설정'!$B$10=1,J945=1,TRUE()),M945&lt;='01_설정'!$B$5,N945&lt;='01_설정'!$B$7,O945&lt;='01_설정'!$B$8),"Y","")</f>
        <v/>
      </c>
      <c r="Q945">
        <f>IF(P945&lt;&gt;"Y","",MAX(0,(1-M945/'01_설정'!$B$5))*'01_설정'!$B$14+MAX(0,(1-N945/'01_설정'!$B$7))*'01_설정'!$B$16+MAX(0,(1-O945/'01_설정'!$B$8))*'01_설정'!$B$17+K945*'01_설정'!$B$11+L945*'01_설정'!$B$12)</f>
        <v/>
      </c>
      <c r="R945">
        <f>IF(Q945="","",1+COUNTIFS($Q$31:$Q$1030,"&gt;"&amp;Q945)+COUNTIFS($Q$31:Q945,Q945)-1)</f>
        <v/>
      </c>
    </row>
    <row r="946" hidden="1" ht="16.5" customHeight="1">
      <c r="A946">
        <f>IF(COUNTA('05_KAIS'!$A934:$N934)=0,"",919)</f>
        <v/>
      </c>
      <c r="B946">
        <f>IF($A946="","",TRIM(INDEX('05_KAIS'!$B:$B,$A946)&amp;" "&amp;INDEX('05_KAIS'!$C:$C,$A946)))</f>
        <v/>
      </c>
      <c r="C946">
        <f>IF($A946="","",INDEX('05_KAIS'!$D:$D,$A946))</f>
        <v/>
      </c>
      <c r="D946">
        <f>IF($A946="","",INDEX('05_KAIS'!$H:$H,$A946))</f>
        <v/>
      </c>
      <c r="E946">
        <f>IF($A946="","",INDEX('05_KAIS'!$K:$K,$A946))</f>
        <v/>
      </c>
      <c r="F946" s="202">
        <f>IF($A946="","",INDEX('05_KAIS'!$I:$I,$A946))</f>
        <v/>
      </c>
      <c r="G946" s="118">
        <f>IF($A946="","",INDEX('05_KAIS'!$L:$L,$A946))</f>
        <v/>
      </c>
      <c r="H946" s="118">
        <f>IF($A946="","",IFERROR(INDEX('05_KAIS'!$M:$M,$A946),IF(AND(E946&gt;0,G946&gt;0),G946/E946,"")))</f>
        <v/>
      </c>
      <c r="I946" s="202">
        <f>IF($A946="","",INDEX('05_KAIS'!$N:$N,$A946))</f>
        <v/>
      </c>
      <c r="J946">
        <f>IF(B946="","",IF('02_대상물건입력'!$B$5="",1,IF(ISNUMBER(SEARCH('02_대상물건입력'!$B$5,B946)),1,0)))</f>
        <v/>
      </c>
      <c r="K946">
        <f>IF(B946="","",IF('02_대상물건입력'!$B$6="",1,IF(ISNUMBER(SEARCH('02_대상물건입력'!$B$6,B946)),1,0)))</f>
        <v/>
      </c>
      <c r="L946">
        <f>IF(D946="","",IF('02_대상물건입력'!$B$8="",0,IF(ISNUMBER(SEARCH('02_대상물건입력'!$B$8,D946)),1,0)))</f>
        <v/>
      </c>
      <c r="M946">
        <f>IFERROR(ABS(E946-'02_대상물건입력'!$B$11)/'02_대상물건입력'!$B$11,"")</f>
        <v/>
      </c>
      <c r="N946">
        <f>IFERROR(ABS('01_설정'!$B$4-F946),"")</f>
        <v/>
      </c>
      <c r="O946">
        <f>IFERROR(ABS(YEAR(I946)-YEAR('02_대상물건입력'!$B$14)),"")</f>
        <v/>
      </c>
      <c r="P946">
        <f>IF(AND(E946&gt;0,F946&gt;0,G946&gt;0,IF('01_설정'!$B$10=1,J946=1,TRUE()),M946&lt;='01_설정'!$B$5,N946&lt;='01_설정'!$B$7,O946&lt;='01_설정'!$B$8),"Y","")</f>
        <v/>
      </c>
      <c r="Q946">
        <f>IF(P946&lt;&gt;"Y","",MAX(0,(1-M946/'01_설정'!$B$5))*'01_설정'!$B$14+MAX(0,(1-N946/'01_설정'!$B$7))*'01_설정'!$B$16+MAX(0,(1-O946/'01_설정'!$B$8))*'01_설정'!$B$17+K946*'01_설정'!$B$11+L946*'01_설정'!$B$12)</f>
        <v/>
      </c>
      <c r="R946">
        <f>IF(Q946="","",1+COUNTIFS($Q$31:$Q$1030,"&gt;"&amp;Q946)+COUNTIFS($Q$31:Q946,Q946)-1)</f>
        <v/>
      </c>
    </row>
    <row r="947" hidden="1" ht="16.5" customHeight="1">
      <c r="A947">
        <f>IF(COUNTA('05_KAIS'!$A935:$N935)=0,"",920)</f>
        <v/>
      </c>
      <c r="B947">
        <f>IF($A947="","",TRIM(INDEX('05_KAIS'!$B:$B,$A947)&amp;" "&amp;INDEX('05_KAIS'!$C:$C,$A947)))</f>
        <v/>
      </c>
      <c r="C947">
        <f>IF($A947="","",INDEX('05_KAIS'!$D:$D,$A947))</f>
        <v/>
      </c>
      <c r="D947">
        <f>IF($A947="","",INDEX('05_KAIS'!$H:$H,$A947))</f>
        <v/>
      </c>
      <c r="E947">
        <f>IF($A947="","",INDEX('05_KAIS'!$K:$K,$A947))</f>
        <v/>
      </c>
      <c r="F947" s="202">
        <f>IF($A947="","",INDEX('05_KAIS'!$I:$I,$A947))</f>
        <v/>
      </c>
      <c r="G947" s="118">
        <f>IF($A947="","",INDEX('05_KAIS'!$L:$L,$A947))</f>
        <v/>
      </c>
      <c r="H947" s="118">
        <f>IF($A947="","",IFERROR(INDEX('05_KAIS'!$M:$M,$A947),IF(AND(E947&gt;0,G947&gt;0),G947/E947,"")))</f>
        <v/>
      </c>
      <c r="I947" s="202">
        <f>IF($A947="","",INDEX('05_KAIS'!$N:$N,$A947))</f>
        <v/>
      </c>
      <c r="J947">
        <f>IF(B947="","",IF('02_대상물건입력'!$B$5="",1,IF(ISNUMBER(SEARCH('02_대상물건입력'!$B$5,B947)),1,0)))</f>
        <v/>
      </c>
      <c r="K947">
        <f>IF(B947="","",IF('02_대상물건입력'!$B$6="",1,IF(ISNUMBER(SEARCH('02_대상물건입력'!$B$6,B947)),1,0)))</f>
        <v/>
      </c>
      <c r="L947">
        <f>IF(D947="","",IF('02_대상물건입력'!$B$8="",0,IF(ISNUMBER(SEARCH('02_대상물건입력'!$B$8,D947)),1,0)))</f>
        <v/>
      </c>
      <c r="M947">
        <f>IFERROR(ABS(E947-'02_대상물건입력'!$B$11)/'02_대상물건입력'!$B$11,"")</f>
        <v/>
      </c>
      <c r="N947">
        <f>IFERROR(ABS('01_설정'!$B$4-F947),"")</f>
        <v/>
      </c>
      <c r="O947">
        <f>IFERROR(ABS(YEAR(I947)-YEAR('02_대상물건입력'!$B$14)),"")</f>
        <v/>
      </c>
      <c r="P947">
        <f>IF(AND(E947&gt;0,F947&gt;0,G947&gt;0,IF('01_설정'!$B$10=1,J947=1,TRUE()),M947&lt;='01_설정'!$B$5,N947&lt;='01_설정'!$B$7,O947&lt;='01_설정'!$B$8),"Y","")</f>
        <v/>
      </c>
      <c r="Q947">
        <f>IF(P947&lt;&gt;"Y","",MAX(0,(1-M947/'01_설정'!$B$5))*'01_설정'!$B$14+MAX(0,(1-N947/'01_설정'!$B$7))*'01_설정'!$B$16+MAX(0,(1-O947/'01_설정'!$B$8))*'01_설정'!$B$17+K947*'01_설정'!$B$11+L947*'01_설정'!$B$12)</f>
        <v/>
      </c>
      <c r="R947">
        <f>IF(Q947="","",1+COUNTIFS($Q$31:$Q$1030,"&gt;"&amp;Q947)+COUNTIFS($Q$31:Q947,Q947)-1)</f>
        <v/>
      </c>
    </row>
    <row r="948" hidden="1" ht="16.5" customHeight="1">
      <c r="A948">
        <f>IF(COUNTA('05_KAIS'!$A936:$N936)=0,"",921)</f>
        <v/>
      </c>
      <c r="B948">
        <f>IF($A948="","",TRIM(INDEX('05_KAIS'!$B:$B,$A948)&amp;" "&amp;INDEX('05_KAIS'!$C:$C,$A948)))</f>
        <v/>
      </c>
      <c r="C948">
        <f>IF($A948="","",INDEX('05_KAIS'!$D:$D,$A948))</f>
        <v/>
      </c>
      <c r="D948">
        <f>IF($A948="","",INDEX('05_KAIS'!$H:$H,$A948))</f>
        <v/>
      </c>
      <c r="E948">
        <f>IF($A948="","",INDEX('05_KAIS'!$K:$K,$A948))</f>
        <v/>
      </c>
      <c r="F948" s="202">
        <f>IF($A948="","",INDEX('05_KAIS'!$I:$I,$A948))</f>
        <v/>
      </c>
      <c r="G948" s="118">
        <f>IF($A948="","",INDEX('05_KAIS'!$L:$L,$A948))</f>
        <v/>
      </c>
      <c r="H948" s="118">
        <f>IF($A948="","",IFERROR(INDEX('05_KAIS'!$M:$M,$A948),IF(AND(E948&gt;0,G948&gt;0),G948/E948,"")))</f>
        <v/>
      </c>
      <c r="I948" s="202">
        <f>IF($A948="","",INDEX('05_KAIS'!$N:$N,$A948))</f>
        <v/>
      </c>
      <c r="J948">
        <f>IF(B948="","",IF('02_대상물건입력'!$B$5="",1,IF(ISNUMBER(SEARCH('02_대상물건입력'!$B$5,B948)),1,0)))</f>
        <v/>
      </c>
      <c r="K948">
        <f>IF(B948="","",IF('02_대상물건입력'!$B$6="",1,IF(ISNUMBER(SEARCH('02_대상물건입력'!$B$6,B948)),1,0)))</f>
        <v/>
      </c>
      <c r="L948">
        <f>IF(D948="","",IF('02_대상물건입력'!$B$8="",0,IF(ISNUMBER(SEARCH('02_대상물건입력'!$B$8,D948)),1,0)))</f>
        <v/>
      </c>
      <c r="M948">
        <f>IFERROR(ABS(E948-'02_대상물건입력'!$B$11)/'02_대상물건입력'!$B$11,"")</f>
        <v/>
      </c>
      <c r="N948">
        <f>IFERROR(ABS('01_설정'!$B$4-F948),"")</f>
        <v/>
      </c>
      <c r="O948">
        <f>IFERROR(ABS(YEAR(I948)-YEAR('02_대상물건입력'!$B$14)),"")</f>
        <v/>
      </c>
      <c r="P948">
        <f>IF(AND(E948&gt;0,F948&gt;0,G948&gt;0,IF('01_설정'!$B$10=1,J948=1,TRUE()),M948&lt;='01_설정'!$B$5,N948&lt;='01_설정'!$B$7,O948&lt;='01_설정'!$B$8),"Y","")</f>
        <v/>
      </c>
      <c r="Q948">
        <f>IF(P948&lt;&gt;"Y","",MAX(0,(1-M948/'01_설정'!$B$5))*'01_설정'!$B$14+MAX(0,(1-N948/'01_설정'!$B$7))*'01_설정'!$B$16+MAX(0,(1-O948/'01_설정'!$B$8))*'01_설정'!$B$17+K948*'01_설정'!$B$11+L948*'01_설정'!$B$12)</f>
        <v/>
      </c>
      <c r="R948">
        <f>IF(Q948="","",1+COUNTIFS($Q$31:$Q$1030,"&gt;"&amp;Q948)+COUNTIFS($Q$31:Q948,Q948)-1)</f>
        <v/>
      </c>
    </row>
    <row r="949" hidden="1" ht="16.5" customHeight="1">
      <c r="A949">
        <f>IF(COUNTA('05_KAIS'!$A937:$N937)=0,"",922)</f>
        <v/>
      </c>
      <c r="B949">
        <f>IF($A949="","",TRIM(INDEX('05_KAIS'!$B:$B,$A949)&amp;" "&amp;INDEX('05_KAIS'!$C:$C,$A949)))</f>
        <v/>
      </c>
      <c r="C949">
        <f>IF($A949="","",INDEX('05_KAIS'!$D:$D,$A949))</f>
        <v/>
      </c>
      <c r="D949">
        <f>IF($A949="","",INDEX('05_KAIS'!$H:$H,$A949))</f>
        <v/>
      </c>
      <c r="E949">
        <f>IF($A949="","",INDEX('05_KAIS'!$K:$K,$A949))</f>
        <v/>
      </c>
      <c r="F949" s="202">
        <f>IF($A949="","",INDEX('05_KAIS'!$I:$I,$A949))</f>
        <v/>
      </c>
      <c r="G949" s="118">
        <f>IF($A949="","",INDEX('05_KAIS'!$L:$L,$A949))</f>
        <v/>
      </c>
      <c r="H949" s="118">
        <f>IF($A949="","",IFERROR(INDEX('05_KAIS'!$M:$M,$A949),IF(AND(E949&gt;0,G949&gt;0),G949/E949,"")))</f>
        <v/>
      </c>
      <c r="I949" s="202">
        <f>IF($A949="","",INDEX('05_KAIS'!$N:$N,$A949))</f>
        <v/>
      </c>
      <c r="J949">
        <f>IF(B949="","",IF('02_대상물건입력'!$B$5="",1,IF(ISNUMBER(SEARCH('02_대상물건입력'!$B$5,B949)),1,0)))</f>
        <v/>
      </c>
      <c r="K949">
        <f>IF(B949="","",IF('02_대상물건입력'!$B$6="",1,IF(ISNUMBER(SEARCH('02_대상물건입력'!$B$6,B949)),1,0)))</f>
        <v/>
      </c>
      <c r="L949">
        <f>IF(D949="","",IF('02_대상물건입력'!$B$8="",0,IF(ISNUMBER(SEARCH('02_대상물건입력'!$B$8,D949)),1,0)))</f>
        <v/>
      </c>
      <c r="M949">
        <f>IFERROR(ABS(E949-'02_대상물건입력'!$B$11)/'02_대상물건입력'!$B$11,"")</f>
        <v/>
      </c>
      <c r="N949">
        <f>IFERROR(ABS('01_설정'!$B$4-F949),"")</f>
        <v/>
      </c>
      <c r="O949">
        <f>IFERROR(ABS(YEAR(I949)-YEAR('02_대상물건입력'!$B$14)),"")</f>
        <v/>
      </c>
      <c r="P949">
        <f>IF(AND(E949&gt;0,F949&gt;0,G949&gt;0,IF('01_설정'!$B$10=1,J949=1,TRUE()),M949&lt;='01_설정'!$B$5,N949&lt;='01_설정'!$B$7,O949&lt;='01_설정'!$B$8),"Y","")</f>
        <v/>
      </c>
      <c r="Q949">
        <f>IF(P949&lt;&gt;"Y","",MAX(0,(1-M949/'01_설정'!$B$5))*'01_설정'!$B$14+MAX(0,(1-N949/'01_설정'!$B$7))*'01_설정'!$B$16+MAX(0,(1-O949/'01_설정'!$B$8))*'01_설정'!$B$17+K949*'01_설정'!$B$11+L949*'01_설정'!$B$12)</f>
        <v/>
      </c>
      <c r="R949">
        <f>IF(Q949="","",1+COUNTIFS($Q$31:$Q$1030,"&gt;"&amp;Q949)+COUNTIFS($Q$31:Q949,Q949)-1)</f>
        <v/>
      </c>
    </row>
    <row r="950" hidden="1" ht="16.5" customHeight="1">
      <c r="A950">
        <f>IF(COUNTA('05_KAIS'!$A938:$N938)=0,"",923)</f>
        <v/>
      </c>
      <c r="B950">
        <f>IF($A950="","",TRIM(INDEX('05_KAIS'!$B:$B,$A950)&amp;" "&amp;INDEX('05_KAIS'!$C:$C,$A950)))</f>
        <v/>
      </c>
      <c r="C950">
        <f>IF($A950="","",INDEX('05_KAIS'!$D:$D,$A950))</f>
        <v/>
      </c>
      <c r="D950">
        <f>IF($A950="","",INDEX('05_KAIS'!$H:$H,$A950))</f>
        <v/>
      </c>
      <c r="E950">
        <f>IF($A950="","",INDEX('05_KAIS'!$K:$K,$A950))</f>
        <v/>
      </c>
      <c r="F950" s="202">
        <f>IF($A950="","",INDEX('05_KAIS'!$I:$I,$A950))</f>
        <v/>
      </c>
      <c r="G950" s="118">
        <f>IF($A950="","",INDEX('05_KAIS'!$L:$L,$A950))</f>
        <v/>
      </c>
      <c r="H950" s="118">
        <f>IF($A950="","",IFERROR(INDEX('05_KAIS'!$M:$M,$A950),IF(AND(E950&gt;0,G950&gt;0),G950/E950,"")))</f>
        <v/>
      </c>
      <c r="I950" s="202">
        <f>IF($A950="","",INDEX('05_KAIS'!$N:$N,$A950))</f>
        <v/>
      </c>
      <c r="J950">
        <f>IF(B950="","",IF('02_대상물건입력'!$B$5="",1,IF(ISNUMBER(SEARCH('02_대상물건입력'!$B$5,B950)),1,0)))</f>
        <v/>
      </c>
      <c r="K950">
        <f>IF(B950="","",IF('02_대상물건입력'!$B$6="",1,IF(ISNUMBER(SEARCH('02_대상물건입력'!$B$6,B950)),1,0)))</f>
        <v/>
      </c>
      <c r="L950">
        <f>IF(D950="","",IF('02_대상물건입력'!$B$8="",0,IF(ISNUMBER(SEARCH('02_대상물건입력'!$B$8,D950)),1,0)))</f>
        <v/>
      </c>
      <c r="M950">
        <f>IFERROR(ABS(E950-'02_대상물건입력'!$B$11)/'02_대상물건입력'!$B$11,"")</f>
        <v/>
      </c>
      <c r="N950">
        <f>IFERROR(ABS('01_설정'!$B$4-F950),"")</f>
        <v/>
      </c>
      <c r="O950">
        <f>IFERROR(ABS(YEAR(I950)-YEAR('02_대상물건입력'!$B$14)),"")</f>
        <v/>
      </c>
      <c r="P950">
        <f>IF(AND(E950&gt;0,F950&gt;0,G950&gt;0,IF('01_설정'!$B$10=1,J950=1,TRUE()),M950&lt;='01_설정'!$B$5,N950&lt;='01_설정'!$B$7,O950&lt;='01_설정'!$B$8),"Y","")</f>
        <v/>
      </c>
      <c r="Q950">
        <f>IF(P950&lt;&gt;"Y","",MAX(0,(1-M950/'01_설정'!$B$5))*'01_설정'!$B$14+MAX(0,(1-N950/'01_설정'!$B$7))*'01_설정'!$B$16+MAX(0,(1-O950/'01_설정'!$B$8))*'01_설정'!$B$17+K950*'01_설정'!$B$11+L950*'01_설정'!$B$12)</f>
        <v/>
      </c>
      <c r="R950">
        <f>IF(Q950="","",1+COUNTIFS($Q$31:$Q$1030,"&gt;"&amp;Q950)+COUNTIFS($Q$31:Q950,Q950)-1)</f>
        <v/>
      </c>
    </row>
    <row r="951" hidden="1" ht="16.5" customHeight="1">
      <c r="A951">
        <f>IF(COUNTA('05_KAIS'!$A939:$N939)=0,"",924)</f>
        <v/>
      </c>
      <c r="B951">
        <f>IF($A951="","",TRIM(INDEX('05_KAIS'!$B:$B,$A951)&amp;" "&amp;INDEX('05_KAIS'!$C:$C,$A951)))</f>
        <v/>
      </c>
      <c r="C951">
        <f>IF($A951="","",INDEX('05_KAIS'!$D:$D,$A951))</f>
        <v/>
      </c>
      <c r="D951">
        <f>IF($A951="","",INDEX('05_KAIS'!$H:$H,$A951))</f>
        <v/>
      </c>
      <c r="E951">
        <f>IF($A951="","",INDEX('05_KAIS'!$K:$K,$A951))</f>
        <v/>
      </c>
      <c r="F951" s="202">
        <f>IF($A951="","",INDEX('05_KAIS'!$I:$I,$A951))</f>
        <v/>
      </c>
      <c r="G951" s="118">
        <f>IF($A951="","",INDEX('05_KAIS'!$L:$L,$A951))</f>
        <v/>
      </c>
      <c r="H951" s="118">
        <f>IF($A951="","",IFERROR(INDEX('05_KAIS'!$M:$M,$A951),IF(AND(E951&gt;0,G951&gt;0),G951/E951,"")))</f>
        <v/>
      </c>
      <c r="I951" s="202">
        <f>IF($A951="","",INDEX('05_KAIS'!$N:$N,$A951))</f>
        <v/>
      </c>
      <c r="J951">
        <f>IF(B951="","",IF('02_대상물건입력'!$B$5="",1,IF(ISNUMBER(SEARCH('02_대상물건입력'!$B$5,B951)),1,0)))</f>
        <v/>
      </c>
      <c r="K951">
        <f>IF(B951="","",IF('02_대상물건입력'!$B$6="",1,IF(ISNUMBER(SEARCH('02_대상물건입력'!$B$6,B951)),1,0)))</f>
        <v/>
      </c>
      <c r="L951">
        <f>IF(D951="","",IF('02_대상물건입력'!$B$8="",0,IF(ISNUMBER(SEARCH('02_대상물건입력'!$B$8,D951)),1,0)))</f>
        <v/>
      </c>
      <c r="M951">
        <f>IFERROR(ABS(E951-'02_대상물건입력'!$B$11)/'02_대상물건입력'!$B$11,"")</f>
        <v/>
      </c>
      <c r="N951">
        <f>IFERROR(ABS('01_설정'!$B$4-F951),"")</f>
        <v/>
      </c>
      <c r="O951">
        <f>IFERROR(ABS(YEAR(I951)-YEAR('02_대상물건입력'!$B$14)),"")</f>
        <v/>
      </c>
      <c r="P951">
        <f>IF(AND(E951&gt;0,F951&gt;0,G951&gt;0,IF('01_설정'!$B$10=1,J951=1,TRUE()),M951&lt;='01_설정'!$B$5,N951&lt;='01_설정'!$B$7,O951&lt;='01_설정'!$B$8),"Y","")</f>
        <v/>
      </c>
      <c r="Q951">
        <f>IF(P951&lt;&gt;"Y","",MAX(0,(1-M951/'01_설정'!$B$5))*'01_설정'!$B$14+MAX(0,(1-N951/'01_설정'!$B$7))*'01_설정'!$B$16+MAX(0,(1-O951/'01_설정'!$B$8))*'01_설정'!$B$17+K951*'01_설정'!$B$11+L951*'01_설정'!$B$12)</f>
        <v/>
      </c>
      <c r="R951">
        <f>IF(Q951="","",1+COUNTIFS($Q$31:$Q$1030,"&gt;"&amp;Q951)+COUNTIFS($Q$31:Q951,Q951)-1)</f>
        <v/>
      </c>
    </row>
    <row r="952" hidden="1" ht="16.5" customHeight="1">
      <c r="A952">
        <f>IF(COUNTA('05_KAIS'!$A940:$N940)=0,"",925)</f>
        <v/>
      </c>
      <c r="B952">
        <f>IF($A952="","",TRIM(INDEX('05_KAIS'!$B:$B,$A952)&amp;" "&amp;INDEX('05_KAIS'!$C:$C,$A952)))</f>
        <v/>
      </c>
      <c r="C952">
        <f>IF($A952="","",INDEX('05_KAIS'!$D:$D,$A952))</f>
        <v/>
      </c>
      <c r="D952">
        <f>IF($A952="","",INDEX('05_KAIS'!$H:$H,$A952))</f>
        <v/>
      </c>
      <c r="E952">
        <f>IF($A952="","",INDEX('05_KAIS'!$K:$K,$A952))</f>
        <v/>
      </c>
      <c r="F952" s="202">
        <f>IF($A952="","",INDEX('05_KAIS'!$I:$I,$A952))</f>
        <v/>
      </c>
      <c r="G952" s="118">
        <f>IF($A952="","",INDEX('05_KAIS'!$L:$L,$A952))</f>
        <v/>
      </c>
      <c r="H952" s="118">
        <f>IF($A952="","",IFERROR(INDEX('05_KAIS'!$M:$M,$A952),IF(AND(E952&gt;0,G952&gt;0),G952/E952,"")))</f>
        <v/>
      </c>
      <c r="I952" s="202">
        <f>IF($A952="","",INDEX('05_KAIS'!$N:$N,$A952))</f>
        <v/>
      </c>
      <c r="J952">
        <f>IF(B952="","",IF('02_대상물건입력'!$B$5="",1,IF(ISNUMBER(SEARCH('02_대상물건입력'!$B$5,B952)),1,0)))</f>
        <v/>
      </c>
      <c r="K952">
        <f>IF(B952="","",IF('02_대상물건입력'!$B$6="",1,IF(ISNUMBER(SEARCH('02_대상물건입력'!$B$6,B952)),1,0)))</f>
        <v/>
      </c>
      <c r="L952">
        <f>IF(D952="","",IF('02_대상물건입력'!$B$8="",0,IF(ISNUMBER(SEARCH('02_대상물건입력'!$B$8,D952)),1,0)))</f>
        <v/>
      </c>
      <c r="M952">
        <f>IFERROR(ABS(E952-'02_대상물건입력'!$B$11)/'02_대상물건입력'!$B$11,"")</f>
        <v/>
      </c>
      <c r="N952">
        <f>IFERROR(ABS('01_설정'!$B$4-F952),"")</f>
        <v/>
      </c>
      <c r="O952">
        <f>IFERROR(ABS(YEAR(I952)-YEAR('02_대상물건입력'!$B$14)),"")</f>
        <v/>
      </c>
      <c r="P952">
        <f>IF(AND(E952&gt;0,F952&gt;0,G952&gt;0,IF('01_설정'!$B$10=1,J952=1,TRUE()),M952&lt;='01_설정'!$B$5,N952&lt;='01_설정'!$B$7,O952&lt;='01_설정'!$B$8),"Y","")</f>
        <v/>
      </c>
      <c r="Q952">
        <f>IF(P952&lt;&gt;"Y","",MAX(0,(1-M952/'01_설정'!$B$5))*'01_설정'!$B$14+MAX(0,(1-N952/'01_설정'!$B$7))*'01_설정'!$B$16+MAX(0,(1-O952/'01_설정'!$B$8))*'01_설정'!$B$17+K952*'01_설정'!$B$11+L952*'01_설정'!$B$12)</f>
        <v/>
      </c>
      <c r="R952">
        <f>IF(Q952="","",1+COUNTIFS($Q$31:$Q$1030,"&gt;"&amp;Q952)+COUNTIFS($Q$31:Q952,Q952)-1)</f>
        <v/>
      </c>
    </row>
    <row r="953" hidden="1" ht="16.5" customHeight="1">
      <c r="A953">
        <f>IF(COUNTA('05_KAIS'!$A941:$N941)=0,"",926)</f>
        <v/>
      </c>
      <c r="B953">
        <f>IF($A953="","",TRIM(INDEX('05_KAIS'!$B:$B,$A953)&amp;" "&amp;INDEX('05_KAIS'!$C:$C,$A953)))</f>
        <v/>
      </c>
      <c r="C953">
        <f>IF($A953="","",INDEX('05_KAIS'!$D:$D,$A953))</f>
        <v/>
      </c>
      <c r="D953">
        <f>IF($A953="","",INDEX('05_KAIS'!$H:$H,$A953))</f>
        <v/>
      </c>
      <c r="E953">
        <f>IF($A953="","",INDEX('05_KAIS'!$K:$K,$A953))</f>
        <v/>
      </c>
      <c r="F953" s="202">
        <f>IF($A953="","",INDEX('05_KAIS'!$I:$I,$A953))</f>
        <v/>
      </c>
      <c r="G953" s="118">
        <f>IF($A953="","",INDEX('05_KAIS'!$L:$L,$A953))</f>
        <v/>
      </c>
      <c r="H953" s="118">
        <f>IF($A953="","",IFERROR(INDEX('05_KAIS'!$M:$M,$A953),IF(AND(E953&gt;0,G953&gt;0),G953/E953,"")))</f>
        <v/>
      </c>
      <c r="I953" s="202">
        <f>IF($A953="","",INDEX('05_KAIS'!$N:$N,$A953))</f>
        <v/>
      </c>
      <c r="J953">
        <f>IF(B953="","",IF('02_대상물건입력'!$B$5="",1,IF(ISNUMBER(SEARCH('02_대상물건입력'!$B$5,B953)),1,0)))</f>
        <v/>
      </c>
      <c r="K953">
        <f>IF(B953="","",IF('02_대상물건입력'!$B$6="",1,IF(ISNUMBER(SEARCH('02_대상물건입력'!$B$6,B953)),1,0)))</f>
        <v/>
      </c>
      <c r="L953">
        <f>IF(D953="","",IF('02_대상물건입력'!$B$8="",0,IF(ISNUMBER(SEARCH('02_대상물건입력'!$B$8,D953)),1,0)))</f>
        <v/>
      </c>
      <c r="M953">
        <f>IFERROR(ABS(E953-'02_대상물건입력'!$B$11)/'02_대상물건입력'!$B$11,"")</f>
        <v/>
      </c>
      <c r="N953">
        <f>IFERROR(ABS('01_설정'!$B$4-F953),"")</f>
        <v/>
      </c>
      <c r="O953">
        <f>IFERROR(ABS(YEAR(I953)-YEAR('02_대상물건입력'!$B$14)),"")</f>
        <v/>
      </c>
      <c r="P953">
        <f>IF(AND(E953&gt;0,F953&gt;0,G953&gt;0,IF('01_설정'!$B$10=1,J953=1,TRUE()),M953&lt;='01_설정'!$B$5,N953&lt;='01_설정'!$B$7,O953&lt;='01_설정'!$B$8),"Y","")</f>
        <v/>
      </c>
      <c r="Q953">
        <f>IF(P953&lt;&gt;"Y","",MAX(0,(1-M953/'01_설정'!$B$5))*'01_설정'!$B$14+MAX(0,(1-N953/'01_설정'!$B$7))*'01_설정'!$B$16+MAX(0,(1-O953/'01_설정'!$B$8))*'01_설정'!$B$17+K953*'01_설정'!$B$11+L953*'01_설정'!$B$12)</f>
        <v/>
      </c>
      <c r="R953">
        <f>IF(Q953="","",1+COUNTIFS($Q$31:$Q$1030,"&gt;"&amp;Q953)+COUNTIFS($Q$31:Q953,Q953)-1)</f>
        <v/>
      </c>
    </row>
    <row r="954" hidden="1" ht="16.5" customHeight="1">
      <c r="A954">
        <f>IF(COUNTA('05_KAIS'!$A942:$N942)=0,"",927)</f>
        <v/>
      </c>
      <c r="B954">
        <f>IF($A954="","",TRIM(INDEX('05_KAIS'!$B:$B,$A954)&amp;" "&amp;INDEX('05_KAIS'!$C:$C,$A954)))</f>
        <v/>
      </c>
      <c r="C954">
        <f>IF($A954="","",INDEX('05_KAIS'!$D:$D,$A954))</f>
        <v/>
      </c>
      <c r="D954">
        <f>IF($A954="","",INDEX('05_KAIS'!$H:$H,$A954))</f>
        <v/>
      </c>
      <c r="E954">
        <f>IF($A954="","",INDEX('05_KAIS'!$K:$K,$A954))</f>
        <v/>
      </c>
      <c r="F954" s="202">
        <f>IF($A954="","",INDEX('05_KAIS'!$I:$I,$A954))</f>
        <v/>
      </c>
      <c r="G954" s="118">
        <f>IF($A954="","",INDEX('05_KAIS'!$L:$L,$A954))</f>
        <v/>
      </c>
      <c r="H954" s="118">
        <f>IF($A954="","",IFERROR(INDEX('05_KAIS'!$M:$M,$A954),IF(AND(E954&gt;0,G954&gt;0),G954/E954,"")))</f>
        <v/>
      </c>
      <c r="I954" s="202">
        <f>IF($A954="","",INDEX('05_KAIS'!$N:$N,$A954))</f>
        <v/>
      </c>
      <c r="J954">
        <f>IF(B954="","",IF('02_대상물건입력'!$B$5="",1,IF(ISNUMBER(SEARCH('02_대상물건입력'!$B$5,B954)),1,0)))</f>
        <v/>
      </c>
      <c r="K954">
        <f>IF(B954="","",IF('02_대상물건입력'!$B$6="",1,IF(ISNUMBER(SEARCH('02_대상물건입력'!$B$6,B954)),1,0)))</f>
        <v/>
      </c>
      <c r="L954">
        <f>IF(D954="","",IF('02_대상물건입력'!$B$8="",0,IF(ISNUMBER(SEARCH('02_대상물건입력'!$B$8,D954)),1,0)))</f>
        <v/>
      </c>
      <c r="M954">
        <f>IFERROR(ABS(E954-'02_대상물건입력'!$B$11)/'02_대상물건입력'!$B$11,"")</f>
        <v/>
      </c>
      <c r="N954">
        <f>IFERROR(ABS('01_설정'!$B$4-F954),"")</f>
        <v/>
      </c>
      <c r="O954">
        <f>IFERROR(ABS(YEAR(I954)-YEAR('02_대상물건입력'!$B$14)),"")</f>
        <v/>
      </c>
      <c r="P954">
        <f>IF(AND(E954&gt;0,F954&gt;0,G954&gt;0,IF('01_설정'!$B$10=1,J954=1,TRUE()),M954&lt;='01_설정'!$B$5,N954&lt;='01_설정'!$B$7,O954&lt;='01_설정'!$B$8),"Y","")</f>
        <v/>
      </c>
      <c r="Q954">
        <f>IF(P954&lt;&gt;"Y","",MAX(0,(1-M954/'01_설정'!$B$5))*'01_설정'!$B$14+MAX(0,(1-N954/'01_설정'!$B$7))*'01_설정'!$B$16+MAX(0,(1-O954/'01_설정'!$B$8))*'01_설정'!$B$17+K954*'01_설정'!$B$11+L954*'01_설정'!$B$12)</f>
        <v/>
      </c>
      <c r="R954">
        <f>IF(Q954="","",1+COUNTIFS($Q$31:$Q$1030,"&gt;"&amp;Q954)+COUNTIFS($Q$31:Q954,Q954)-1)</f>
        <v/>
      </c>
    </row>
    <row r="955" hidden="1" ht="16.5" customHeight="1">
      <c r="A955">
        <f>IF(COUNTA('05_KAIS'!$A943:$N943)=0,"",928)</f>
        <v/>
      </c>
      <c r="B955">
        <f>IF($A955="","",TRIM(INDEX('05_KAIS'!$B:$B,$A955)&amp;" "&amp;INDEX('05_KAIS'!$C:$C,$A955)))</f>
        <v/>
      </c>
      <c r="C955">
        <f>IF($A955="","",INDEX('05_KAIS'!$D:$D,$A955))</f>
        <v/>
      </c>
      <c r="D955">
        <f>IF($A955="","",INDEX('05_KAIS'!$H:$H,$A955))</f>
        <v/>
      </c>
      <c r="E955">
        <f>IF($A955="","",INDEX('05_KAIS'!$K:$K,$A955))</f>
        <v/>
      </c>
      <c r="F955" s="202">
        <f>IF($A955="","",INDEX('05_KAIS'!$I:$I,$A955))</f>
        <v/>
      </c>
      <c r="G955" s="118">
        <f>IF($A955="","",INDEX('05_KAIS'!$L:$L,$A955))</f>
        <v/>
      </c>
      <c r="H955" s="118">
        <f>IF($A955="","",IFERROR(INDEX('05_KAIS'!$M:$M,$A955),IF(AND(E955&gt;0,G955&gt;0),G955/E955,"")))</f>
        <v/>
      </c>
      <c r="I955" s="202">
        <f>IF($A955="","",INDEX('05_KAIS'!$N:$N,$A955))</f>
        <v/>
      </c>
      <c r="J955">
        <f>IF(B955="","",IF('02_대상물건입력'!$B$5="",1,IF(ISNUMBER(SEARCH('02_대상물건입력'!$B$5,B955)),1,0)))</f>
        <v/>
      </c>
      <c r="K955">
        <f>IF(B955="","",IF('02_대상물건입력'!$B$6="",1,IF(ISNUMBER(SEARCH('02_대상물건입력'!$B$6,B955)),1,0)))</f>
        <v/>
      </c>
      <c r="L955">
        <f>IF(D955="","",IF('02_대상물건입력'!$B$8="",0,IF(ISNUMBER(SEARCH('02_대상물건입력'!$B$8,D955)),1,0)))</f>
        <v/>
      </c>
      <c r="M955">
        <f>IFERROR(ABS(E955-'02_대상물건입력'!$B$11)/'02_대상물건입력'!$B$11,"")</f>
        <v/>
      </c>
      <c r="N955">
        <f>IFERROR(ABS('01_설정'!$B$4-F955),"")</f>
        <v/>
      </c>
      <c r="O955">
        <f>IFERROR(ABS(YEAR(I955)-YEAR('02_대상물건입력'!$B$14)),"")</f>
        <v/>
      </c>
      <c r="P955">
        <f>IF(AND(E955&gt;0,F955&gt;0,G955&gt;0,IF('01_설정'!$B$10=1,J955=1,TRUE()),M955&lt;='01_설정'!$B$5,N955&lt;='01_설정'!$B$7,O955&lt;='01_설정'!$B$8),"Y","")</f>
        <v/>
      </c>
      <c r="Q955">
        <f>IF(P955&lt;&gt;"Y","",MAX(0,(1-M955/'01_설정'!$B$5))*'01_설정'!$B$14+MAX(0,(1-N955/'01_설정'!$B$7))*'01_설정'!$B$16+MAX(0,(1-O955/'01_설정'!$B$8))*'01_설정'!$B$17+K955*'01_설정'!$B$11+L955*'01_설정'!$B$12)</f>
        <v/>
      </c>
      <c r="R955">
        <f>IF(Q955="","",1+COUNTIFS($Q$31:$Q$1030,"&gt;"&amp;Q955)+COUNTIFS($Q$31:Q955,Q955)-1)</f>
        <v/>
      </c>
    </row>
    <row r="956" hidden="1" ht="16.5" customHeight="1">
      <c r="A956">
        <f>IF(COUNTA('05_KAIS'!$A944:$N944)=0,"",929)</f>
        <v/>
      </c>
      <c r="B956">
        <f>IF($A956="","",TRIM(INDEX('05_KAIS'!$B:$B,$A956)&amp;" "&amp;INDEX('05_KAIS'!$C:$C,$A956)))</f>
        <v/>
      </c>
      <c r="C956">
        <f>IF($A956="","",INDEX('05_KAIS'!$D:$D,$A956))</f>
        <v/>
      </c>
      <c r="D956">
        <f>IF($A956="","",INDEX('05_KAIS'!$H:$H,$A956))</f>
        <v/>
      </c>
      <c r="E956">
        <f>IF($A956="","",INDEX('05_KAIS'!$K:$K,$A956))</f>
        <v/>
      </c>
      <c r="F956" s="202">
        <f>IF($A956="","",INDEX('05_KAIS'!$I:$I,$A956))</f>
        <v/>
      </c>
      <c r="G956" s="118">
        <f>IF($A956="","",INDEX('05_KAIS'!$L:$L,$A956))</f>
        <v/>
      </c>
      <c r="H956" s="118">
        <f>IF($A956="","",IFERROR(INDEX('05_KAIS'!$M:$M,$A956),IF(AND(E956&gt;0,G956&gt;0),G956/E956,"")))</f>
        <v/>
      </c>
      <c r="I956" s="202">
        <f>IF($A956="","",INDEX('05_KAIS'!$N:$N,$A956))</f>
        <v/>
      </c>
      <c r="J956">
        <f>IF(B956="","",IF('02_대상물건입력'!$B$5="",1,IF(ISNUMBER(SEARCH('02_대상물건입력'!$B$5,B956)),1,0)))</f>
        <v/>
      </c>
      <c r="K956">
        <f>IF(B956="","",IF('02_대상물건입력'!$B$6="",1,IF(ISNUMBER(SEARCH('02_대상물건입력'!$B$6,B956)),1,0)))</f>
        <v/>
      </c>
      <c r="L956">
        <f>IF(D956="","",IF('02_대상물건입력'!$B$8="",0,IF(ISNUMBER(SEARCH('02_대상물건입력'!$B$8,D956)),1,0)))</f>
        <v/>
      </c>
      <c r="M956">
        <f>IFERROR(ABS(E956-'02_대상물건입력'!$B$11)/'02_대상물건입력'!$B$11,"")</f>
        <v/>
      </c>
      <c r="N956">
        <f>IFERROR(ABS('01_설정'!$B$4-F956),"")</f>
        <v/>
      </c>
      <c r="O956">
        <f>IFERROR(ABS(YEAR(I956)-YEAR('02_대상물건입력'!$B$14)),"")</f>
        <v/>
      </c>
      <c r="P956">
        <f>IF(AND(E956&gt;0,F956&gt;0,G956&gt;0,IF('01_설정'!$B$10=1,J956=1,TRUE()),M956&lt;='01_설정'!$B$5,N956&lt;='01_설정'!$B$7,O956&lt;='01_설정'!$B$8),"Y","")</f>
        <v/>
      </c>
      <c r="Q956">
        <f>IF(P956&lt;&gt;"Y","",MAX(0,(1-M956/'01_설정'!$B$5))*'01_설정'!$B$14+MAX(0,(1-N956/'01_설정'!$B$7))*'01_설정'!$B$16+MAX(0,(1-O956/'01_설정'!$B$8))*'01_설정'!$B$17+K956*'01_설정'!$B$11+L956*'01_설정'!$B$12)</f>
        <v/>
      </c>
      <c r="R956">
        <f>IF(Q956="","",1+COUNTIFS($Q$31:$Q$1030,"&gt;"&amp;Q956)+COUNTIFS($Q$31:Q956,Q956)-1)</f>
        <v/>
      </c>
    </row>
    <row r="957" hidden="1" ht="16.5" customHeight="1">
      <c r="A957">
        <f>IF(COUNTA('05_KAIS'!$A945:$N945)=0,"",930)</f>
        <v/>
      </c>
      <c r="B957">
        <f>IF($A957="","",TRIM(INDEX('05_KAIS'!$B:$B,$A957)&amp;" "&amp;INDEX('05_KAIS'!$C:$C,$A957)))</f>
        <v/>
      </c>
      <c r="C957">
        <f>IF($A957="","",INDEX('05_KAIS'!$D:$D,$A957))</f>
        <v/>
      </c>
      <c r="D957">
        <f>IF($A957="","",INDEX('05_KAIS'!$H:$H,$A957))</f>
        <v/>
      </c>
      <c r="E957">
        <f>IF($A957="","",INDEX('05_KAIS'!$K:$K,$A957))</f>
        <v/>
      </c>
      <c r="F957" s="202">
        <f>IF($A957="","",INDEX('05_KAIS'!$I:$I,$A957))</f>
        <v/>
      </c>
      <c r="G957" s="118">
        <f>IF($A957="","",INDEX('05_KAIS'!$L:$L,$A957))</f>
        <v/>
      </c>
      <c r="H957" s="118">
        <f>IF($A957="","",IFERROR(INDEX('05_KAIS'!$M:$M,$A957),IF(AND(E957&gt;0,G957&gt;0),G957/E957,"")))</f>
        <v/>
      </c>
      <c r="I957" s="202">
        <f>IF($A957="","",INDEX('05_KAIS'!$N:$N,$A957))</f>
        <v/>
      </c>
      <c r="J957">
        <f>IF(B957="","",IF('02_대상물건입력'!$B$5="",1,IF(ISNUMBER(SEARCH('02_대상물건입력'!$B$5,B957)),1,0)))</f>
        <v/>
      </c>
      <c r="K957">
        <f>IF(B957="","",IF('02_대상물건입력'!$B$6="",1,IF(ISNUMBER(SEARCH('02_대상물건입력'!$B$6,B957)),1,0)))</f>
        <v/>
      </c>
      <c r="L957">
        <f>IF(D957="","",IF('02_대상물건입력'!$B$8="",0,IF(ISNUMBER(SEARCH('02_대상물건입력'!$B$8,D957)),1,0)))</f>
        <v/>
      </c>
      <c r="M957">
        <f>IFERROR(ABS(E957-'02_대상물건입력'!$B$11)/'02_대상물건입력'!$B$11,"")</f>
        <v/>
      </c>
      <c r="N957">
        <f>IFERROR(ABS('01_설정'!$B$4-F957),"")</f>
        <v/>
      </c>
      <c r="O957">
        <f>IFERROR(ABS(YEAR(I957)-YEAR('02_대상물건입력'!$B$14)),"")</f>
        <v/>
      </c>
      <c r="P957">
        <f>IF(AND(E957&gt;0,F957&gt;0,G957&gt;0,IF('01_설정'!$B$10=1,J957=1,TRUE()),M957&lt;='01_설정'!$B$5,N957&lt;='01_설정'!$B$7,O957&lt;='01_설정'!$B$8),"Y","")</f>
        <v/>
      </c>
      <c r="Q957">
        <f>IF(P957&lt;&gt;"Y","",MAX(0,(1-M957/'01_설정'!$B$5))*'01_설정'!$B$14+MAX(0,(1-N957/'01_설정'!$B$7))*'01_설정'!$B$16+MAX(0,(1-O957/'01_설정'!$B$8))*'01_설정'!$B$17+K957*'01_설정'!$B$11+L957*'01_설정'!$B$12)</f>
        <v/>
      </c>
      <c r="R957">
        <f>IF(Q957="","",1+COUNTIFS($Q$31:$Q$1030,"&gt;"&amp;Q957)+COUNTIFS($Q$31:Q957,Q957)-1)</f>
        <v/>
      </c>
    </row>
    <row r="958" hidden="1" ht="16.5" customHeight="1">
      <c r="A958">
        <f>IF(COUNTA('05_KAIS'!$A946:$N946)=0,"",931)</f>
        <v/>
      </c>
      <c r="B958">
        <f>IF($A958="","",TRIM(INDEX('05_KAIS'!$B:$B,$A958)&amp;" "&amp;INDEX('05_KAIS'!$C:$C,$A958)))</f>
        <v/>
      </c>
      <c r="C958">
        <f>IF($A958="","",INDEX('05_KAIS'!$D:$D,$A958))</f>
        <v/>
      </c>
      <c r="D958">
        <f>IF($A958="","",INDEX('05_KAIS'!$H:$H,$A958))</f>
        <v/>
      </c>
      <c r="E958">
        <f>IF($A958="","",INDEX('05_KAIS'!$K:$K,$A958))</f>
        <v/>
      </c>
      <c r="F958" s="202">
        <f>IF($A958="","",INDEX('05_KAIS'!$I:$I,$A958))</f>
        <v/>
      </c>
      <c r="G958" s="118">
        <f>IF($A958="","",INDEX('05_KAIS'!$L:$L,$A958))</f>
        <v/>
      </c>
      <c r="H958" s="118">
        <f>IF($A958="","",IFERROR(INDEX('05_KAIS'!$M:$M,$A958),IF(AND(E958&gt;0,G958&gt;0),G958/E958,"")))</f>
        <v/>
      </c>
      <c r="I958" s="202">
        <f>IF($A958="","",INDEX('05_KAIS'!$N:$N,$A958))</f>
        <v/>
      </c>
      <c r="J958">
        <f>IF(B958="","",IF('02_대상물건입력'!$B$5="",1,IF(ISNUMBER(SEARCH('02_대상물건입력'!$B$5,B958)),1,0)))</f>
        <v/>
      </c>
      <c r="K958">
        <f>IF(B958="","",IF('02_대상물건입력'!$B$6="",1,IF(ISNUMBER(SEARCH('02_대상물건입력'!$B$6,B958)),1,0)))</f>
        <v/>
      </c>
      <c r="L958">
        <f>IF(D958="","",IF('02_대상물건입력'!$B$8="",0,IF(ISNUMBER(SEARCH('02_대상물건입력'!$B$8,D958)),1,0)))</f>
        <v/>
      </c>
      <c r="M958">
        <f>IFERROR(ABS(E958-'02_대상물건입력'!$B$11)/'02_대상물건입력'!$B$11,"")</f>
        <v/>
      </c>
      <c r="N958">
        <f>IFERROR(ABS('01_설정'!$B$4-F958),"")</f>
        <v/>
      </c>
      <c r="O958">
        <f>IFERROR(ABS(YEAR(I958)-YEAR('02_대상물건입력'!$B$14)),"")</f>
        <v/>
      </c>
      <c r="P958">
        <f>IF(AND(E958&gt;0,F958&gt;0,G958&gt;0,IF('01_설정'!$B$10=1,J958=1,TRUE()),M958&lt;='01_설정'!$B$5,N958&lt;='01_설정'!$B$7,O958&lt;='01_설정'!$B$8),"Y","")</f>
        <v/>
      </c>
      <c r="Q958">
        <f>IF(P958&lt;&gt;"Y","",MAX(0,(1-M958/'01_설정'!$B$5))*'01_설정'!$B$14+MAX(0,(1-N958/'01_설정'!$B$7))*'01_설정'!$B$16+MAX(0,(1-O958/'01_설정'!$B$8))*'01_설정'!$B$17+K958*'01_설정'!$B$11+L958*'01_설정'!$B$12)</f>
        <v/>
      </c>
      <c r="R958">
        <f>IF(Q958="","",1+COUNTIFS($Q$31:$Q$1030,"&gt;"&amp;Q958)+COUNTIFS($Q$31:Q958,Q958)-1)</f>
        <v/>
      </c>
    </row>
    <row r="959" hidden="1" ht="16.5" customHeight="1">
      <c r="A959">
        <f>IF(COUNTA('05_KAIS'!$A947:$N947)=0,"",932)</f>
        <v/>
      </c>
      <c r="B959">
        <f>IF($A959="","",TRIM(INDEX('05_KAIS'!$B:$B,$A959)&amp;" "&amp;INDEX('05_KAIS'!$C:$C,$A959)))</f>
        <v/>
      </c>
      <c r="C959">
        <f>IF($A959="","",INDEX('05_KAIS'!$D:$D,$A959))</f>
        <v/>
      </c>
      <c r="D959">
        <f>IF($A959="","",INDEX('05_KAIS'!$H:$H,$A959))</f>
        <v/>
      </c>
      <c r="E959">
        <f>IF($A959="","",INDEX('05_KAIS'!$K:$K,$A959))</f>
        <v/>
      </c>
      <c r="F959" s="202">
        <f>IF($A959="","",INDEX('05_KAIS'!$I:$I,$A959))</f>
        <v/>
      </c>
      <c r="G959" s="118">
        <f>IF($A959="","",INDEX('05_KAIS'!$L:$L,$A959))</f>
        <v/>
      </c>
      <c r="H959" s="118">
        <f>IF($A959="","",IFERROR(INDEX('05_KAIS'!$M:$M,$A959),IF(AND(E959&gt;0,G959&gt;0),G959/E959,"")))</f>
        <v/>
      </c>
      <c r="I959" s="202">
        <f>IF($A959="","",INDEX('05_KAIS'!$N:$N,$A959))</f>
        <v/>
      </c>
      <c r="J959">
        <f>IF(B959="","",IF('02_대상물건입력'!$B$5="",1,IF(ISNUMBER(SEARCH('02_대상물건입력'!$B$5,B959)),1,0)))</f>
        <v/>
      </c>
      <c r="K959">
        <f>IF(B959="","",IF('02_대상물건입력'!$B$6="",1,IF(ISNUMBER(SEARCH('02_대상물건입력'!$B$6,B959)),1,0)))</f>
        <v/>
      </c>
      <c r="L959">
        <f>IF(D959="","",IF('02_대상물건입력'!$B$8="",0,IF(ISNUMBER(SEARCH('02_대상물건입력'!$B$8,D959)),1,0)))</f>
        <v/>
      </c>
      <c r="M959">
        <f>IFERROR(ABS(E959-'02_대상물건입력'!$B$11)/'02_대상물건입력'!$B$11,"")</f>
        <v/>
      </c>
      <c r="N959">
        <f>IFERROR(ABS('01_설정'!$B$4-F959),"")</f>
        <v/>
      </c>
      <c r="O959">
        <f>IFERROR(ABS(YEAR(I959)-YEAR('02_대상물건입력'!$B$14)),"")</f>
        <v/>
      </c>
      <c r="P959">
        <f>IF(AND(E959&gt;0,F959&gt;0,G959&gt;0,IF('01_설정'!$B$10=1,J959=1,TRUE()),M959&lt;='01_설정'!$B$5,N959&lt;='01_설정'!$B$7,O959&lt;='01_설정'!$B$8),"Y","")</f>
        <v/>
      </c>
      <c r="Q959">
        <f>IF(P959&lt;&gt;"Y","",MAX(0,(1-M959/'01_설정'!$B$5))*'01_설정'!$B$14+MAX(0,(1-N959/'01_설정'!$B$7))*'01_설정'!$B$16+MAX(0,(1-O959/'01_설정'!$B$8))*'01_설정'!$B$17+K959*'01_설정'!$B$11+L959*'01_설정'!$B$12)</f>
        <v/>
      </c>
      <c r="R959">
        <f>IF(Q959="","",1+COUNTIFS($Q$31:$Q$1030,"&gt;"&amp;Q959)+COUNTIFS($Q$31:Q959,Q959)-1)</f>
        <v/>
      </c>
    </row>
    <row r="960" hidden="1" ht="16.5" customHeight="1">
      <c r="A960">
        <f>IF(COUNTA('05_KAIS'!$A948:$N948)=0,"",933)</f>
        <v/>
      </c>
      <c r="B960">
        <f>IF($A960="","",TRIM(INDEX('05_KAIS'!$B:$B,$A960)&amp;" "&amp;INDEX('05_KAIS'!$C:$C,$A960)))</f>
        <v/>
      </c>
      <c r="C960">
        <f>IF($A960="","",INDEX('05_KAIS'!$D:$D,$A960))</f>
        <v/>
      </c>
      <c r="D960">
        <f>IF($A960="","",INDEX('05_KAIS'!$H:$H,$A960))</f>
        <v/>
      </c>
      <c r="E960">
        <f>IF($A960="","",INDEX('05_KAIS'!$K:$K,$A960))</f>
        <v/>
      </c>
      <c r="F960" s="202">
        <f>IF($A960="","",INDEX('05_KAIS'!$I:$I,$A960))</f>
        <v/>
      </c>
      <c r="G960" s="118">
        <f>IF($A960="","",INDEX('05_KAIS'!$L:$L,$A960))</f>
        <v/>
      </c>
      <c r="H960" s="118">
        <f>IF($A960="","",IFERROR(INDEX('05_KAIS'!$M:$M,$A960),IF(AND(E960&gt;0,G960&gt;0),G960/E960,"")))</f>
        <v/>
      </c>
      <c r="I960" s="202">
        <f>IF($A960="","",INDEX('05_KAIS'!$N:$N,$A960))</f>
        <v/>
      </c>
      <c r="J960">
        <f>IF(B960="","",IF('02_대상물건입력'!$B$5="",1,IF(ISNUMBER(SEARCH('02_대상물건입력'!$B$5,B960)),1,0)))</f>
        <v/>
      </c>
      <c r="K960">
        <f>IF(B960="","",IF('02_대상물건입력'!$B$6="",1,IF(ISNUMBER(SEARCH('02_대상물건입력'!$B$6,B960)),1,0)))</f>
        <v/>
      </c>
      <c r="L960">
        <f>IF(D960="","",IF('02_대상물건입력'!$B$8="",0,IF(ISNUMBER(SEARCH('02_대상물건입력'!$B$8,D960)),1,0)))</f>
        <v/>
      </c>
      <c r="M960">
        <f>IFERROR(ABS(E960-'02_대상물건입력'!$B$11)/'02_대상물건입력'!$B$11,"")</f>
        <v/>
      </c>
      <c r="N960">
        <f>IFERROR(ABS('01_설정'!$B$4-F960),"")</f>
        <v/>
      </c>
      <c r="O960">
        <f>IFERROR(ABS(YEAR(I960)-YEAR('02_대상물건입력'!$B$14)),"")</f>
        <v/>
      </c>
      <c r="P960">
        <f>IF(AND(E960&gt;0,F960&gt;0,G960&gt;0,IF('01_설정'!$B$10=1,J960=1,TRUE()),M960&lt;='01_설정'!$B$5,N960&lt;='01_설정'!$B$7,O960&lt;='01_설정'!$B$8),"Y","")</f>
        <v/>
      </c>
      <c r="Q960">
        <f>IF(P960&lt;&gt;"Y","",MAX(0,(1-M960/'01_설정'!$B$5))*'01_설정'!$B$14+MAX(0,(1-N960/'01_설정'!$B$7))*'01_설정'!$B$16+MAX(0,(1-O960/'01_설정'!$B$8))*'01_설정'!$B$17+K960*'01_설정'!$B$11+L960*'01_설정'!$B$12)</f>
        <v/>
      </c>
      <c r="R960">
        <f>IF(Q960="","",1+COUNTIFS($Q$31:$Q$1030,"&gt;"&amp;Q960)+COUNTIFS($Q$31:Q960,Q960)-1)</f>
        <v/>
      </c>
    </row>
    <row r="961" hidden="1" ht="16.5" customHeight="1">
      <c r="A961">
        <f>IF(COUNTA('05_KAIS'!$A949:$N949)=0,"",934)</f>
        <v/>
      </c>
      <c r="B961">
        <f>IF($A961="","",TRIM(INDEX('05_KAIS'!$B:$B,$A961)&amp;" "&amp;INDEX('05_KAIS'!$C:$C,$A961)))</f>
        <v/>
      </c>
      <c r="C961">
        <f>IF($A961="","",INDEX('05_KAIS'!$D:$D,$A961))</f>
        <v/>
      </c>
      <c r="D961">
        <f>IF($A961="","",INDEX('05_KAIS'!$H:$H,$A961))</f>
        <v/>
      </c>
      <c r="E961">
        <f>IF($A961="","",INDEX('05_KAIS'!$K:$K,$A961))</f>
        <v/>
      </c>
      <c r="F961" s="202">
        <f>IF($A961="","",INDEX('05_KAIS'!$I:$I,$A961))</f>
        <v/>
      </c>
      <c r="G961" s="118">
        <f>IF($A961="","",INDEX('05_KAIS'!$L:$L,$A961))</f>
        <v/>
      </c>
      <c r="H961" s="118">
        <f>IF($A961="","",IFERROR(INDEX('05_KAIS'!$M:$M,$A961),IF(AND(E961&gt;0,G961&gt;0),G961/E961,"")))</f>
        <v/>
      </c>
      <c r="I961" s="202">
        <f>IF($A961="","",INDEX('05_KAIS'!$N:$N,$A961))</f>
        <v/>
      </c>
      <c r="J961">
        <f>IF(B961="","",IF('02_대상물건입력'!$B$5="",1,IF(ISNUMBER(SEARCH('02_대상물건입력'!$B$5,B961)),1,0)))</f>
        <v/>
      </c>
      <c r="K961">
        <f>IF(B961="","",IF('02_대상물건입력'!$B$6="",1,IF(ISNUMBER(SEARCH('02_대상물건입력'!$B$6,B961)),1,0)))</f>
        <v/>
      </c>
      <c r="L961">
        <f>IF(D961="","",IF('02_대상물건입력'!$B$8="",0,IF(ISNUMBER(SEARCH('02_대상물건입력'!$B$8,D961)),1,0)))</f>
        <v/>
      </c>
      <c r="M961">
        <f>IFERROR(ABS(E961-'02_대상물건입력'!$B$11)/'02_대상물건입력'!$B$11,"")</f>
        <v/>
      </c>
      <c r="N961">
        <f>IFERROR(ABS('01_설정'!$B$4-F961),"")</f>
        <v/>
      </c>
      <c r="O961">
        <f>IFERROR(ABS(YEAR(I961)-YEAR('02_대상물건입력'!$B$14)),"")</f>
        <v/>
      </c>
      <c r="P961">
        <f>IF(AND(E961&gt;0,F961&gt;0,G961&gt;0,IF('01_설정'!$B$10=1,J961=1,TRUE()),M961&lt;='01_설정'!$B$5,N961&lt;='01_설정'!$B$7,O961&lt;='01_설정'!$B$8),"Y","")</f>
        <v/>
      </c>
      <c r="Q961">
        <f>IF(P961&lt;&gt;"Y","",MAX(0,(1-M961/'01_설정'!$B$5))*'01_설정'!$B$14+MAX(0,(1-N961/'01_설정'!$B$7))*'01_설정'!$B$16+MAX(0,(1-O961/'01_설정'!$B$8))*'01_설정'!$B$17+K961*'01_설정'!$B$11+L961*'01_설정'!$B$12)</f>
        <v/>
      </c>
      <c r="R961">
        <f>IF(Q961="","",1+COUNTIFS($Q$31:$Q$1030,"&gt;"&amp;Q961)+COUNTIFS($Q$31:Q961,Q961)-1)</f>
        <v/>
      </c>
    </row>
    <row r="962" hidden="1" ht="16.5" customHeight="1">
      <c r="A962">
        <f>IF(COUNTA('05_KAIS'!$A950:$N950)=0,"",935)</f>
        <v/>
      </c>
      <c r="B962">
        <f>IF($A962="","",TRIM(INDEX('05_KAIS'!$B:$B,$A962)&amp;" "&amp;INDEX('05_KAIS'!$C:$C,$A962)))</f>
        <v/>
      </c>
      <c r="C962">
        <f>IF($A962="","",INDEX('05_KAIS'!$D:$D,$A962))</f>
        <v/>
      </c>
      <c r="D962">
        <f>IF($A962="","",INDEX('05_KAIS'!$H:$H,$A962))</f>
        <v/>
      </c>
      <c r="E962">
        <f>IF($A962="","",INDEX('05_KAIS'!$K:$K,$A962))</f>
        <v/>
      </c>
      <c r="F962" s="202">
        <f>IF($A962="","",INDEX('05_KAIS'!$I:$I,$A962))</f>
        <v/>
      </c>
      <c r="G962" s="118">
        <f>IF($A962="","",INDEX('05_KAIS'!$L:$L,$A962))</f>
        <v/>
      </c>
      <c r="H962" s="118">
        <f>IF($A962="","",IFERROR(INDEX('05_KAIS'!$M:$M,$A962),IF(AND(E962&gt;0,G962&gt;0),G962/E962,"")))</f>
        <v/>
      </c>
      <c r="I962" s="202">
        <f>IF($A962="","",INDEX('05_KAIS'!$N:$N,$A962))</f>
        <v/>
      </c>
      <c r="J962">
        <f>IF(B962="","",IF('02_대상물건입력'!$B$5="",1,IF(ISNUMBER(SEARCH('02_대상물건입력'!$B$5,B962)),1,0)))</f>
        <v/>
      </c>
      <c r="K962">
        <f>IF(B962="","",IF('02_대상물건입력'!$B$6="",1,IF(ISNUMBER(SEARCH('02_대상물건입력'!$B$6,B962)),1,0)))</f>
        <v/>
      </c>
      <c r="L962">
        <f>IF(D962="","",IF('02_대상물건입력'!$B$8="",0,IF(ISNUMBER(SEARCH('02_대상물건입력'!$B$8,D962)),1,0)))</f>
        <v/>
      </c>
      <c r="M962">
        <f>IFERROR(ABS(E962-'02_대상물건입력'!$B$11)/'02_대상물건입력'!$B$11,"")</f>
        <v/>
      </c>
      <c r="N962">
        <f>IFERROR(ABS('01_설정'!$B$4-F962),"")</f>
        <v/>
      </c>
      <c r="O962">
        <f>IFERROR(ABS(YEAR(I962)-YEAR('02_대상물건입력'!$B$14)),"")</f>
        <v/>
      </c>
      <c r="P962">
        <f>IF(AND(E962&gt;0,F962&gt;0,G962&gt;0,IF('01_설정'!$B$10=1,J962=1,TRUE()),M962&lt;='01_설정'!$B$5,N962&lt;='01_설정'!$B$7,O962&lt;='01_설정'!$B$8),"Y","")</f>
        <v/>
      </c>
      <c r="Q962">
        <f>IF(P962&lt;&gt;"Y","",MAX(0,(1-M962/'01_설정'!$B$5))*'01_설정'!$B$14+MAX(0,(1-N962/'01_설정'!$B$7))*'01_설정'!$B$16+MAX(0,(1-O962/'01_설정'!$B$8))*'01_설정'!$B$17+K962*'01_설정'!$B$11+L962*'01_설정'!$B$12)</f>
        <v/>
      </c>
      <c r="R962">
        <f>IF(Q962="","",1+COUNTIFS($Q$31:$Q$1030,"&gt;"&amp;Q962)+COUNTIFS($Q$31:Q962,Q962)-1)</f>
        <v/>
      </c>
    </row>
    <row r="963" hidden="1" ht="16.5" customHeight="1">
      <c r="A963">
        <f>IF(COUNTA('05_KAIS'!$A951:$N951)=0,"",936)</f>
        <v/>
      </c>
      <c r="B963">
        <f>IF($A963="","",TRIM(INDEX('05_KAIS'!$B:$B,$A963)&amp;" "&amp;INDEX('05_KAIS'!$C:$C,$A963)))</f>
        <v/>
      </c>
      <c r="C963">
        <f>IF($A963="","",INDEX('05_KAIS'!$D:$D,$A963))</f>
        <v/>
      </c>
      <c r="D963">
        <f>IF($A963="","",INDEX('05_KAIS'!$H:$H,$A963))</f>
        <v/>
      </c>
      <c r="E963">
        <f>IF($A963="","",INDEX('05_KAIS'!$K:$K,$A963))</f>
        <v/>
      </c>
      <c r="F963" s="202">
        <f>IF($A963="","",INDEX('05_KAIS'!$I:$I,$A963))</f>
        <v/>
      </c>
      <c r="G963" s="118">
        <f>IF($A963="","",INDEX('05_KAIS'!$L:$L,$A963))</f>
        <v/>
      </c>
      <c r="H963" s="118">
        <f>IF($A963="","",IFERROR(INDEX('05_KAIS'!$M:$M,$A963),IF(AND(E963&gt;0,G963&gt;0),G963/E963,"")))</f>
        <v/>
      </c>
      <c r="I963" s="202">
        <f>IF($A963="","",INDEX('05_KAIS'!$N:$N,$A963))</f>
        <v/>
      </c>
      <c r="J963">
        <f>IF(B963="","",IF('02_대상물건입력'!$B$5="",1,IF(ISNUMBER(SEARCH('02_대상물건입력'!$B$5,B963)),1,0)))</f>
        <v/>
      </c>
      <c r="K963">
        <f>IF(B963="","",IF('02_대상물건입력'!$B$6="",1,IF(ISNUMBER(SEARCH('02_대상물건입력'!$B$6,B963)),1,0)))</f>
        <v/>
      </c>
      <c r="L963">
        <f>IF(D963="","",IF('02_대상물건입력'!$B$8="",0,IF(ISNUMBER(SEARCH('02_대상물건입력'!$B$8,D963)),1,0)))</f>
        <v/>
      </c>
      <c r="M963">
        <f>IFERROR(ABS(E963-'02_대상물건입력'!$B$11)/'02_대상물건입력'!$B$11,"")</f>
        <v/>
      </c>
      <c r="N963">
        <f>IFERROR(ABS('01_설정'!$B$4-F963),"")</f>
        <v/>
      </c>
      <c r="O963">
        <f>IFERROR(ABS(YEAR(I963)-YEAR('02_대상물건입력'!$B$14)),"")</f>
        <v/>
      </c>
      <c r="P963">
        <f>IF(AND(E963&gt;0,F963&gt;0,G963&gt;0,IF('01_설정'!$B$10=1,J963=1,TRUE()),M963&lt;='01_설정'!$B$5,N963&lt;='01_설정'!$B$7,O963&lt;='01_설정'!$B$8),"Y","")</f>
        <v/>
      </c>
      <c r="Q963">
        <f>IF(P963&lt;&gt;"Y","",MAX(0,(1-M963/'01_설정'!$B$5))*'01_설정'!$B$14+MAX(0,(1-N963/'01_설정'!$B$7))*'01_설정'!$B$16+MAX(0,(1-O963/'01_설정'!$B$8))*'01_설정'!$B$17+K963*'01_설정'!$B$11+L963*'01_설정'!$B$12)</f>
        <v/>
      </c>
      <c r="R963">
        <f>IF(Q963="","",1+COUNTIFS($Q$31:$Q$1030,"&gt;"&amp;Q963)+COUNTIFS($Q$31:Q963,Q963)-1)</f>
        <v/>
      </c>
    </row>
    <row r="964" hidden="1" ht="16.5" customHeight="1">
      <c r="A964">
        <f>IF(COUNTA('05_KAIS'!$A952:$N952)=0,"",937)</f>
        <v/>
      </c>
      <c r="B964">
        <f>IF($A964="","",TRIM(INDEX('05_KAIS'!$B:$B,$A964)&amp;" "&amp;INDEX('05_KAIS'!$C:$C,$A964)))</f>
        <v/>
      </c>
      <c r="C964">
        <f>IF($A964="","",INDEX('05_KAIS'!$D:$D,$A964))</f>
        <v/>
      </c>
      <c r="D964">
        <f>IF($A964="","",INDEX('05_KAIS'!$H:$H,$A964))</f>
        <v/>
      </c>
      <c r="E964">
        <f>IF($A964="","",INDEX('05_KAIS'!$K:$K,$A964))</f>
        <v/>
      </c>
      <c r="F964" s="202">
        <f>IF($A964="","",INDEX('05_KAIS'!$I:$I,$A964))</f>
        <v/>
      </c>
      <c r="G964" s="118">
        <f>IF($A964="","",INDEX('05_KAIS'!$L:$L,$A964))</f>
        <v/>
      </c>
      <c r="H964" s="118">
        <f>IF($A964="","",IFERROR(INDEX('05_KAIS'!$M:$M,$A964),IF(AND(E964&gt;0,G964&gt;0),G964/E964,"")))</f>
        <v/>
      </c>
      <c r="I964" s="202">
        <f>IF($A964="","",INDEX('05_KAIS'!$N:$N,$A964))</f>
        <v/>
      </c>
      <c r="J964">
        <f>IF(B964="","",IF('02_대상물건입력'!$B$5="",1,IF(ISNUMBER(SEARCH('02_대상물건입력'!$B$5,B964)),1,0)))</f>
        <v/>
      </c>
      <c r="K964">
        <f>IF(B964="","",IF('02_대상물건입력'!$B$6="",1,IF(ISNUMBER(SEARCH('02_대상물건입력'!$B$6,B964)),1,0)))</f>
        <v/>
      </c>
      <c r="L964">
        <f>IF(D964="","",IF('02_대상물건입력'!$B$8="",0,IF(ISNUMBER(SEARCH('02_대상물건입력'!$B$8,D964)),1,0)))</f>
        <v/>
      </c>
      <c r="M964">
        <f>IFERROR(ABS(E964-'02_대상물건입력'!$B$11)/'02_대상물건입력'!$B$11,"")</f>
        <v/>
      </c>
      <c r="N964">
        <f>IFERROR(ABS('01_설정'!$B$4-F964),"")</f>
        <v/>
      </c>
      <c r="O964">
        <f>IFERROR(ABS(YEAR(I964)-YEAR('02_대상물건입력'!$B$14)),"")</f>
        <v/>
      </c>
      <c r="P964">
        <f>IF(AND(E964&gt;0,F964&gt;0,G964&gt;0,IF('01_설정'!$B$10=1,J964=1,TRUE()),M964&lt;='01_설정'!$B$5,N964&lt;='01_설정'!$B$7,O964&lt;='01_설정'!$B$8),"Y","")</f>
        <v/>
      </c>
      <c r="Q964">
        <f>IF(P964&lt;&gt;"Y","",MAX(0,(1-M964/'01_설정'!$B$5))*'01_설정'!$B$14+MAX(0,(1-N964/'01_설정'!$B$7))*'01_설정'!$B$16+MAX(0,(1-O964/'01_설정'!$B$8))*'01_설정'!$B$17+K964*'01_설정'!$B$11+L964*'01_설정'!$B$12)</f>
        <v/>
      </c>
      <c r="R964">
        <f>IF(Q964="","",1+COUNTIFS($Q$31:$Q$1030,"&gt;"&amp;Q964)+COUNTIFS($Q$31:Q964,Q964)-1)</f>
        <v/>
      </c>
    </row>
    <row r="965" hidden="1" ht="16.5" customHeight="1">
      <c r="A965">
        <f>IF(COUNTA('05_KAIS'!$A953:$N953)=0,"",938)</f>
        <v/>
      </c>
      <c r="B965">
        <f>IF($A965="","",TRIM(INDEX('05_KAIS'!$B:$B,$A965)&amp;" "&amp;INDEX('05_KAIS'!$C:$C,$A965)))</f>
        <v/>
      </c>
      <c r="C965">
        <f>IF($A965="","",INDEX('05_KAIS'!$D:$D,$A965))</f>
        <v/>
      </c>
      <c r="D965">
        <f>IF($A965="","",INDEX('05_KAIS'!$H:$H,$A965))</f>
        <v/>
      </c>
      <c r="E965">
        <f>IF($A965="","",INDEX('05_KAIS'!$K:$K,$A965))</f>
        <v/>
      </c>
      <c r="F965" s="202">
        <f>IF($A965="","",INDEX('05_KAIS'!$I:$I,$A965))</f>
        <v/>
      </c>
      <c r="G965" s="118">
        <f>IF($A965="","",INDEX('05_KAIS'!$L:$L,$A965))</f>
        <v/>
      </c>
      <c r="H965" s="118">
        <f>IF($A965="","",IFERROR(INDEX('05_KAIS'!$M:$M,$A965),IF(AND(E965&gt;0,G965&gt;0),G965/E965,"")))</f>
        <v/>
      </c>
      <c r="I965" s="202">
        <f>IF($A965="","",INDEX('05_KAIS'!$N:$N,$A965))</f>
        <v/>
      </c>
      <c r="J965">
        <f>IF(B965="","",IF('02_대상물건입력'!$B$5="",1,IF(ISNUMBER(SEARCH('02_대상물건입력'!$B$5,B965)),1,0)))</f>
        <v/>
      </c>
      <c r="K965">
        <f>IF(B965="","",IF('02_대상물건입력'!$B$6="",1,IF(ISNUMBER(SEARCH('02_대상물건입력'!$B$6,B965)),1,0)))</f>
        <v/>
      </c>
      <c r="L965">
        <f>IF(D965="","",IF('02_대상물건입력'!$B$8="",0,IF(ISNUMBER(SEARCH('02_대상물건입력'!$B$8,D965)),1,0)))</f>
        <v/>
      </c>
      <c r="M965">
        <f>IFERROR(ABS(E965-'02_대상물건입력'!$B$11)/'02_대상물건입력'!$B$11,"")</f>
        <v/>
      </c>
      <c r="N965">
        <f>IFERROR(ABS('01_설정'!$B$4-F965),"")</f>
        <v/>
      </c>
      <c r="O965">
        <f>IFERROR(ABS(YEAR(I965)-YEAR('02_대상물건입력'!$B$14)),"")</f>
        <v/>
      </c>
      <c r="P965">
        <f>IF(AND(E965&gt;0,F965&gt;0,G965&gt;0,IF('01_설정'!$B$10=1,J965=1,TRUE()),M965&lt;='01_설정'!$B$5,N965&lt;='01_설정'!$B$7,O965&lt;='01_설정'!$B$8),"Y","")</f>
        <v/>
      </c>
      <c r="Q965">
        <f>IF(P965&lt;&gt;"Y","",MAX(0,(1-M965/'01_설정'!$B$5))*'01_설정'!$B$14+MAX(0,(1-N965/'01_설정'!$B$7))*'01_설정'!$B$16+MAX(0,(1-O965/'01_설정'!$B$8))*'01_설정'!$B$17+K965*'01_설정'!$B$11+L965*'01_설정'!$B$12)</f>
        <v/>
      </c>
      <c r="R965">
        <f>IF(Q965="","",1+COUNTIFS($Q$31:$Q$1030,"&gt;"&amp;Q965)+COUNTIFS($Q$31:Q965,Q965)-1)</f>
        <v/>
      </c>
    </row>
    <row r="966" hidden="1" ht="16.5" customHeight="1">
      <c r="A966">
        <f>IF(COUNTA('05_KAIS'!$A954:$N954)=0,"",939)</f>
        <v/>
      </c>
      <c r="B966">
        <f>IF($A966="","",TRIM(INDEX('05_KAIS'!$B:$B,$A966)&amp;" "&amp;INDEX('05_KAIS'!$C:$C,$A966)))</f>
        <v/>
      </c>
      <c r="C966">
        <f>IF($A966="","",INDEX('05_KAIS'!$D:$D,$A966))</f>
        <v/>
      </c>
      <c r="D966">
        <f>IF($A966="","",INDEX('05_KAIS'!$H:$H,$A966))</f>
        <v/>
      </c>
      <c r="E966">
        <f>IF($A966="","",INDEX('05_KAIS'!$K:$K,$A966))</f>
        <v/>
      </c>
      <c r="F966" s="202">
        <f>IF($A966="","",INDEX('05_KAIS'!$I:$I,$A966))</f>
        <v/>
      </c>
      <c r="G966" s="118">
        <f>IF($A966="","",INDEX('05_KAIS'!$L:$L,$A966))</f>
        <v/>
      </c>
      <c r="H966" s="118">
        <f>IF($A966="","",IFERROR(INDEX('05_KAIS'!$M:$M,$A966),IF(AND(E966&gt;0,G966&gt;0),G966/E966,"")))</f>
        <v/>
      </c>
      <c r="I966" s="202">
        <f>IF($A966="","",INDEX('05_KAIS'!$N:$N,$A966))</f>
        <v/>
      </c>
      <c r="J966">
        <f>IF(B966="","",IF('02_대상물건입력'!$B$5="",1,IF(ISNUMBER(SEARCH('02_대상물건입력'!$B$5,B966)),1,0)))</f>
        <v/>
      </c>
      <c r="K966">
        <f>IF(B966="","",IF('02_대상물건입력'!$B$6="",1,IF(ISNUMBER(SEARCH('02_대상물건입력'!$B$6,B966)),1,0)))</f>
        <v/>
      </c>
      <c r="L966">
        <f>IF(D966="","",IF('02_대상물건입력'!$B$8="",0,IF(ISNUMBER(SEARCH('02_대상물건입력'!$B$8,D966)),1,0)))</f>
        <v/>
      </c>
      <c r="M966">
        <f>IFERROR(ABS(E966-'02_대상물건입력'!$B$11)/'02_대상물건입력'!$B$11,"")</f>
        <v/>
      </c>
      <c r="N966">
        <f>IFERROR(ABS('01_설정'!$B$4-F966),"")</f>
        <v/>
      </c>
      <c r="O966">
        <f>IFERROR(ABS(YEAR(I966)-YEAR('02_대상물건입력'!$B$14)),"")</f>
        <v/>
      </c>
      <c r="P966">
        <f>IF(AND(E966&gt;0,F966&gt;0,G966&gt;0,IF('01_설정'!$B$10=1,J966=1,TRUE()),M966&lt;='01_설정'!$B$5,N966&lt;='01_설정'!$B$7,O966&lt;='01_설정'!$B$8),"Y","")</f>
        <v/>
      </c>
      <c r="Q966">
        <f>IF(P966&lt;&gt;"Y","",MAX(0,(1-M966/'01_설정'!$B$5))*'01_설정'!$B$14+MAX(0,(1-N966/'01_설정'!$B$7))*'01_설정'!$B$16+MAX(0,(1-O966/'01_설정'!$B$8))*'01_설정'!$B$17+K966*'01_설정'!$B$11+L966*'01_설정'!$B$12)</f>
        <v/>
      </c>
      <c r="R966">
        <f>IF(Q966="","",1+COUNTIFS($Q$31:$Q$1030,"&gt;"&amp;Q966)+COUNTIFS($Q$31:Q966,Q966)-1)</f>
        <v/>
      </c>
    </row>
    <row r="967" hidden="1" ht="16.5" customHeight="1">
      <c r="A967">
        <f>IF(COUNTA('05_KAIS'!$A955:$N955)=0,"",940)</f>
        <v/>
      </c>
      <c r="B967">
        <f>IF($A967="","",TRIM(INDEX('05_KAIS'!$B:$B,$A967)&amp;" "&amp;INDEX('05_KAIS'!$C:$C,$A967)))</f>
        <v/>
      </c>
      <c r="C967">
        <f>IF($A967="","",INDEX('05_KAIS'!$D:$D,$A967))</f>
        <v/>
      </c>
      <c r="D967">
        <f>IF($A967="","",INDEX('05_KAIS'!$H:$H,$A967))</f>
        <v/>
      </c>
      <c r="E967">
        <f>IF($A967="","",INDEX('05_KAIS'!$K:$K,$A967))</f>
        <v/>
      </c>
      <c r="F967" s="202">
        <f>IF($A967="","",INDEX('05_KAIS'!$I:$I,$A967))</f>
        <v/>
      </c>
      <c r="G967" s="118">
        <f>IF($A967="","",INDEX('05_KAIS'!$L:$L,$A967))</f>
        <v/>
      </c>
      <c r="H967" s="118">
        <f>IF($A967="","",IFERROR(INDEX('05_KAIS'!$M:$M,$A967),IF(AND(E967&gt;0,G967&gt;0),G967/E967,"")))</f>
        <v/>
      </c>
      <c r="I967" s="202">
        <f>IF($A967="","",INDEX('05_KAIS'!$N:$N,$A967))</f>
        <v/>
      </c>
      <c r="J967">
        <f>IF(B967="","",IF('02_대상물건입력'!$B$5="",1,IF(ISNUMBER(SEARCH('02_대상물건입력'!$B$5,B967)),1,0)))</f>
        <v/>
      </c>
      <c r="K967">
        <f>IF(B967="","",IF('02_대상물건입력'!$B$6="",1,IF(ISNUMBER(SEARCH('02_대상물건입력'!$B$6,B967)),1,0)))</f>
        <v/>
      </c>
      <c r="L967">
        <f>IF(D967="","",IF('02_대상물건입력'!$B$8="",0,IF(ISNUMBER(SEARCH('02_대상물건입력'!$B$8,D967)),1,0)))</f>
        <v/>
      </c>
      <c r="M967">
        <f>IFERROR(ABS(E967-'02_대상물건입력'!$B$11)/'02_대상물건입력'!$B$11,"")</f>
        <v/>
      </c>
      <c r="N967">
        <f>IFERROR(ABS('01_설정'!$B$4-F967),"")</f>
        <v/>
      </c>
      <c r="O967">
        <f>IFERROR(ABS(YEAR(I967)-YEAR('02_대상물건입력'!$B$14)),"")</f>
        <v/>
      </c>
      <c r="P967">
        <f>IF(AND(E967&gt;0,F967&gt;0,G967&gt;0,IF('01_설정'!$B$10=1,J967=1,TRUE()),M967&lt;='01_설정'!$B$5,N967&lt;='01_설정'!$B$7,O967&lt;='01_설정'!$B$8),"Y","")</f>
        <v/>
      </c>
      <c r="Q967">
        <f>IF(P967&lt;&gt;"Y","",MAX(0,(1-M967/'01_설정'!$B$5))*'01_설정'!$B$14+MAX(0,(1-N967/'01_설정'!$B$7))*'01_설정'!$B$16+MAX(0,(1-O967/'01_설정'!$B$8))*'01_설정'!$B$17+K967*'01_설정'!$B$11+L967*'01_설정'!$B$12)</f>
        <v/>
      </c>
      <c r="R967">
        <f>IF(Q967="","",1+COUNTIFS($Q$31:$Q$1030,"&gt;"&amp;Q967)+COUNTIFS($Q$31:Q967,Q967)-1)</f>
        <v/>
      </c>
    </row>
    <row r="968" hidden="1" ht="16.5" customHeight="1">
      <c r="A968">
        <f>IF(COUNTA('05_KAIS'!$A956:$N956)=0,"",941)</f>
        <v/>
      </c>
      <c r="B968">
        <f>IF($A968="","",TRIM(INDEX('05_KAIS'!$B:$B,$A968)&amp;" "&amp;INDEX('05_KAIS'!$C:$C,$A968)))</f>
        <v/>
      </c>
      <c r="C968">
        <f>IF($A968="","",INDEX('05_KAIS'!$D:$D,$A968))</f>
        <v/>
      </c>
      <c r="D968">
        <f>IF($A968="","",INDEX('05_KAIS'!$H:$H,$A968))</f>
        <v/>
      </c>
      <c r="E968">
        <f>IF($A968="","",INDEX('05_KAIS'!$K:$K,$A968))</f>
        <v/>
      </c>
      <c r="F968" s="202">
        <f>IF($A968="","",INDEX('05_KAIS'!$I:$I,$A968))</f>
        <v/>
      </c>
      <c r="G968" s="118">
        <f>IF($A968="","",INDEX('05_KAIS'!$L:$L,$A968))</f>
        <v/>
      </c>
      <c r="H968" s="118">
        <f>IF($A968="","",IFERROR(INDEX('05_KAIS'!$M:$M,$A968),IF(AND(E968&gt;0,G968&gt;0),G968/E968,"")))</f>
        <v/>
      </c>
      <c r="I968" s="202">
        <f>IF($A968="","",INDEX('05_KAIS'!$N:$N,$A968))</f>
        <v/>
      </c>
      <c r="J968">
        <f>IF(B968="","",IF('02_대상물건입력'!$B$5="",1,IF(ISNUMBER(SEARCH('02_대상물건입력'!$B$5,B968)),1,0)))</f>
        <v/>
      </c>
      <c r="K968">
        <f>IF(B968="","",IF('02_대상물건입력'!$B$6="",1,IF(ISNUMBER(SEARCH('02_대상물건입력'!$B$6,B968)),1,0)))</f>
        <v/>
      </c>
      <c r="L968">
        <f>IF(D968="","",IF('02_대상물건입력'!$B$8="",0,IF(ISNUMBER(SEARCH('02_대상물건입력'!$B$8,D968)),1,0)))</f>
        <v/>
      </c>
      <c r="M968">
        <f>IFERROR(ABS(E968-'02_대상물건입력'!$B$11)/'02_대상물건입력'!$B$11,"")</f>
        <v/>
      </c>
      <c r="N968">
        <f>IFERROR(ABS('01_설정'!$B$4-F968),"")</f>
        <v/>
      </c>
      <c r="O968">
        <f>IFERROR(ABS(YEAR(I968)-YEAR('02_대상물건입력'!$B$14)),"")</f>
        <v/>
      </c>
      <c r="P968">
        <f>IF(AND(E968&gt;0,F968&gt;0,G968&gt;0,IF('01_설정'!$B$10=1,J968=1,TRUE()),M968&lt;='01_설정'!$B$5,N968&lt;='01_설정'!$B$7,O968&lt;='01_설정'!$B$8),"Y","")</f>
        <v/>
      </c>
      <c r="Q968">
        <f>IF(P968&lt;&gt;"Y","",MAX(0,(1-M968/'01_설정'!$B$5))*'01_설정'!$B$14+MAX(0,(1-N968/'01_설정'!$B$7))*'01_설정'!$B$16+MAX(0,(1-O968/'01_설정'!$B$8))*'01_설정'!$B$17+K968*'01_설정'!$B$11+L968*'01_설정'!$B$12)</f>
        <v/>
      </c>
      <c r="R968">
        <f>IF(Q968="","",1+COUNTIFS($Q$31:$Q$1030,"&gt;"&amp;Q968)+COUNTIFS($Q$31:Q968,Q968)-1)</f>
        <v/>
      </c>
    </row>
    <row r="969" hidden="1" ht="16.5" customHeight="1">
      <c r="A969">
        <f>IF(COUNTA('05_KAIS'!$A957:$N957)=0,"",942)</f>
        <v/>
      </c>
      <c r="B969">
        <f>IF($A969="","",TRIM(INDEX('05_KAIS'!$B:$B,$A969)&amp;" "&amp;INDEX('05_KAIS'!$C:$C,$A969)))</f>
        <v/>
      </c>
      <c r="C969">
        <f>IF($A969="","",INDEX('05_KAIS'!$D:$D,$A969))</f>
        <v/>
      </c>
      <c r="D969">
        <f>IF($A969="","",INDEX('05_KAIS'!$H:$H,$A969))</f>
        <v/>
      </c>
      <c r="E969">
        <f>IF($A969="","",INDEX('05_KAIS'!$K:$K,$A969))</f>
        <v/>
      </c>
      <c r="F969" s="202">
        <f>IF($A969="","",INDEX('05_KAIS'!$I:$I,$A969))</f>
        <v/>
      </c>
      <c r="G969" s="118">
        <f>IF($A969="","",INDEX('05_KAIS'!$L:$L,$A969))</f>
        <v/>
      </c>
      <c r="H969" s="118">
        <f>IF($A969="","",IFERROR(INDEX('05_KAIS'!$M:$M,$A969),IF(AND(E969&gt;0,G969&gt;0),G969/E969,"")))</f>
        <v/>
      </c>
      <c r="I969" s="202">
        <f>IF($A969="","",INDEX('05_KAIS'!$N:$N,$A969))</f>
        <v/>
      </c>
      <c r="J969">
        <f>IF(B969="","",IF('02_대상물건입력'!$B$5="",1,IF(ISNUMBER(SEARCH('02_대상물건입력'!$B$5,B969)),1,0)))</f>
        <v/>
      </c>
      <c r="K969">
        <f>IF(B969="","",IF('02_대상물건입력'!$B$6="",1,IF(ISNUMBER(SEARCH('02_대상물건입력'!$B$6,B969)),1,0)))</f>
        <v/>
      </c>
      <c r="L969">
        <f>IF(D969="","",IF('02_대상물건입력'!$B$8="",0,IF(ISNUMBER(SEARCH('02_대상물건입력'!$B$8,D969)),1,0)))</f>
        <v/>
      </c>
      <c r="M969">
        <f>IFERROR(ABS(E969-'02_대상물건입력'!$B$11)/'02_대상물건입력'!$B$11,"")</f>
        <v/>
      </c>
      <c r="N969">
        <f>IFERROR(ABS('01_설정'!$B$4-F969),"")</f>
        <v/>
      </c>
      <c r="O969">
        <f>IFERROR(ABS(YEAR(I969)-YEAR('02_대상물건입력'!$B$14)),"")</f>
        <v/>
      </c>
      <c r="P969">
        <f>IF(AND(E969&gt;0,F969&gt;0,G969&gt;0,IF('01_설정'!$B$10=1,J969=1,TRUE()),M969&lt;='01_설정'!$B$5,N969&lt;='01_설정'!$B$7,O969&lt;='01_설정'!$B$8),"Y","")</f>
        <v/>
      </c>
      <c r="Q969">
        <f>IF(P969&lt;&gt;"Y","",MAX(0,(1-M969/'01_설정'!$B$5))*'01_설정'!$B$14+MAX(0,(1-N969/'01_설정'!$B$7))*'01_설정'!$B$16+MAX(0,(1-O969/'01_설정'!$B$8))*'01_설정'!$B$17+K969*'01_설정'!$B$11+L969*'01_설정'!$B$12)</f>
        <v/>
      </c>
      <c r="R969">
        <f>IF(Q969="","",1+COUNTIFS($Q$31:$Q$1030,"&gt;"&amp;Q969)+COUNTIFS($Q$31:Q969,Q969)-1)</f>
        <v/>
      </c>
    </row>
    <row r="970" hidden="1" ht="16.5" customHeight="1">
      <c r="A970">
        <f>IF(COUNTA('05_KAIS'!$A958:$N958)=0,"",943)</f>
        <v/>
      </c>
      <c r="B970">
        <f>IF($A970="","",TRIM(INDEX('05_KAIS'!$B:$B,$A970)&amp;" "&amp;INDEX('05_KAIS'!$C:$C,$A970)))</f>
        <v/>
      </c>
      <c r="C970">
        <f>IF($A970="","",INDEX('05_KAIS'!$D:$D,$A970))</f>
        <v/>
      </c>
      <c r="D970">
        <f>IF($A970="","",INDEX('05_KAIS'!$H:$H,$A970))</f>
        <v/>
      </c>
      <c r="E970">
        <f>IF($A970="","",INDEX('05_KAIS'!$K:$K,$A970))</f>
        <v/>
      </c>
      <c r="F970" s="202">
        <f>IF($A970="","",INDEX('05_KAIS'!$I:$I,$A970))</f>
        <v/>
      </c>
      <c r="G970" s="118">
        <f>IF($A970="","",INDEX('05_KAIS'!$L:$L,$A970))</f>
        <v/>
      </c>
      <c r="H970" s="118">
        <f>IF($A970="","",IFERROR(INDEX('05_KAIS'!$M:$M,$A970),IF(AND(E970&gt;0,G970&gt;0),G970/E970,"")))</f>
        <v/>
      </c>
      <c r="I970" s="202">
        <f>IF($A970="","",INDEX('05_KAIS'!$N:$N,$A970))</f>
        <v/>
      </c>
      <c r="J970">
        <f>IF(B970="","",IF('02_대상물건입력'!$B$5="",1,IF(ISNUMBER(SEARCH('02_대상물건입력'!$B$5,B970)),1,0)))</f>
        <v/>
      </c>
      <c r="K970">
        <f>IF(B970="","",IF('02_대상물건입력'!$B$6="",1,IF(ISNUMBER(SEARCH('02_대상물건입력'!$B$6,B970)),1,0)))</f>
        <v/>
      </c>
      <c r="L970">
        <f>IF(D970="","",IF('02_대상물건입력'!$B$8="",0,IF(ISNUMBER(SEARCH('02_대상물건입력'!$B$8,D970)),1,0)))</f>
        <v/>
      </c>
      <c r="M970">
        <f>IFERROR(ABS(E970-'02_대상물건입력'!$B$11)/'02_대상물건입력'!$B$11,"")</f>
        <v/>
      </c>
      <c r="N970">
        <f>IFERROR(ABS('01_설정'!$B$4-F970),"")</f>
        <v/>
      </c>
      <c r="O970">
        <f>IFERROR(ABS(YEAR(I970)-YEAR('02_대상물건입력'!$B$14)),"")</f>
        <v/>
      </c>
      <c r="P970">
        <f>IF(AND(E970&gt;0,F970&gt;0,G970&gt;0,IF('01_설정'!$B$10=1,J970=1,TRUE()),M970&lt;='01_설정'!$B$5,N970&lt;='01_설정'!$B$7,O970&lt;='01_설정'!$B$8),"Y","")</f>
        <v/>
      </c>
      <c r="Q970">
        <f>IF(P970&lt;&gt;"Y","",MAX(0,(1-M970/'01_설정'!$B$5))*'01_설정'!$B$14+MAX(0,(1-N970/'01_설정'!$B$7))*'01_설정'!$B$16+MAX(0,(1-O970/'01_설정'!$B$8))*'01_설정'!$B$17+K970*'01_설정'!$B$11+L970*'01_설정'!$B$12)</f>
        <v/>
      </c>
      <c r="R970">
        <f>IF(Q970="","",1+COUNTIFS($Q$31:$Q$1030,"&gt;"&amp;Q970)+COUNTIFS($Q$31:Q970,Q970)-1)</f>
        <v/>
      </c>
    </row>
    <row r="971" hidden="1" ht="16.5" customHeight="1">
      <c r="A971">
        <f>IF(COUNTA('05_KAIS'!$A959:$N959)=0,"",944)</f>
        <v/>
      </c>
      <c r="B971">
        <f>IF($A971="","",TRIM(INDEX('05_KAIS'!$B:$B,$A971)&amp;" "&amp;INDEX('05_KAIS'!$C:$C,$A971)))</f>
        <v/>
      </c>
      <c r="C971">
        <f>IF($A971="","",INDEX('05_KAIS'!$D:$D,$A971))</f>
        <v/>
      </c>
      <c r="D971">
        <f>IF($A971="","",INDEX('05_KAIS'!$H:$H,$A971))</f>
        <v/>
      </c>
      <c r="E971">
        <f>IF($A971="","",INDEX('05_KAIS'!$K:$K,$A971))</f>
        <v/>
      </c>
      <c r="F971" s="202">
        <f>IF($A971="","",INDEX('05_KAIS'!$I:$I,$A971))</f>
        <v/>
      </c>
      <c r="G971" s="118">
        <f>IF($A971="","",INDEX('05_KAIS'!$L:$L,$A971))</f>
        <v/>
      </c>
      <c r="H971" s="118">
        <f>IF($A971="","",IFERROR(INDEX('05_KAIS'!$M:$M,$A971),IF(AND(E971&gt;0,G971&gt;0),G971/E971,"")))</f>
        <v/>
      </c>
      <c r="I971" s="202">
        <f>IF($A971="","",INDEX('05_KAIS'!$N:$N,$A971))</f>
        <v/>
      </c>
      <c r="J971">
        <f>IF(B971="","",IF('02_대상물건입력'!$B$5="",1,IF(ISNUMBER(SEARCH('02_대상물건입력'!$B$5,B971)),1,0)))</f>
        <v/>
      </c>
      <c r="K971">
        <f>IF(B971="","",IF('02_대상물건입력'!$B$6="",1,IF(ISNUMBER(SEARCH('02_대상물건입력'!$B$6,B971)),1,0)))</f>
        <v/>
      </c>
      <c r="L971">
        <f>IF(D971="","",IF('02_대상물건입력'!$B$8="",0,IF(ISNUMBER(SEARCH('02_대상물건입력'!$B$8,D971)),1,0)))</f>
        <v/>
      </c>
      <c r="M971">
        <f>IFERROR(ABS(E971-'02_대상물건입력'!$B$11)/'02_대상물건입력'!$B$11,"")</f>
        <v/>
      </c>
      <c r="N971">
        <f>IFERROR(ABS('01_설정'!$B$4-F971),"")</f>
        <v/>
      </c>
      <c r="O971">
        <f>IFERROR(ABS(YEAR(I971)-YEAR('02_대상물건입력'!$B$14)),"")</f>
        <v/>
      </c>
      <c r="P971">
        <f>IF(AND(E971&gt;0,F971&gt;0,G971&gt;0,IF('01_설정'!$B$10=1,J971=1,TRUE()),M971&lt;='01_설정'!$B$5,N971&lt;='01_설정'!$B$7,O971&lt;='01_설정'!$B$8),"Y","")</f>
        <v/>
      </c>
      <c r="Q971">
        <f>IF(P971&lt;&gt;"Y","",MAX(0,(1-M971/'01_설정'!$B$5))*'01_설정'!$B$14+MAX(0,(1-N971/'01_설정'!$B$7))*'01_설정'!$B$16+MAX(0,(1-O971/'01_설정'!$B$8))*'01_설정'!$B$17+K971*'01_설정'!$B$11+L971*'01_설정'!$B$12)</f>
        <v/>
      </c>
      <c r="R971">
        <f>IF(Q971="","",1+COUNTIFS($Q$31:$Q$1030,"&gt;"&amp;Q971)+COUNTIFS($Q$31:Q971,Q971)-1)</f>
        <v/>
      </c>
    </row>
    <row r="972" hidden="1" ht="16.5" customHeight="1">
      <c r="A972">
        <f>IF(COUNTA('05_KAIS'!$A960:$N960)=0,"",945)</f>
        <v/>
      </c>
      <c r="B972">
        <f>IF($A972="","",TRIM(INDEX('05_KAIS'!$B:$B,$A972)&amp;" "&amp;INDEX('05_KAIS'!$C:$C,$A972)))</f>
        <v/>
      </c>
      <c r="C972">
        <f>IF($A972="","",INDEX('05_KAIS'!$D:$D,$A972))</f>
        <v/>
      </c>
      <c r="D972">
        <f>IF($A972="","",INDEX('05_KAIS'!$H:$H,$A972))</f>
        <v/>
      </c>
      <c r="E972">
        <f>IF($A972="","",INDEX('05_KAIS'!$K:$K,$A972))</f>
        <v/>
      </c>
      <c r="F972" s="202">
        <f>IF($A972="","",INDEX('05_KAIS'!$I:$I,$A972))</f>
        <v/>
      </c>
      <c r="G972" s="118">
        <f>IF($A972="","",INDEX('05_KAIS'!$L:$L,$A972))</f>
        <v/>
      </c>
      <c r="H972" s="118">
        <f>IF($A972="","",IFERROR(INDEX('05_KAIS'!$M:$M,$A972),IF(AND(E972&gt;0,G972&gt;0),G972/E972,"")))</f>
        <v/>
      </c>
      <c r="I972" s="202">
        <f>IF($A972="","",INDEX('05_KAIS'!$N:$N,$A972))</f>
        <v/>
      </c>
      <c r="J972">
        <f>IF(B972="","",IF('02_대상물건입력'!$B$5="",1,IF(ISNUMBER(SEARCH('02_대상물건입력'!$B$5,B972)),1,0)))</f>
        <v/>
      </c>
      <c r="K972">
        <f>IF(B972="","",IF('02_대상물건입력'!$B$6="",1,IF(ISNUMBER(SEARCH('02_대상물건입력'!$B$6,B972)),1,0)))</f>
        <v/>
      </c>
      <c r="L972">
        <f>IF(D972="","",IF('02_대상물건입력'!$B$8="",0,IF(ISNUMBER(SEARCH('02_대상물건입력'!$B$8,D972)),1,0)))</f>
        <v/>
      </c>
      <c r="M972">
        <f>IFERROR(ABS(E972-'02_대상물건입력'!$B$11)/'02_대상물건입력'!$B$11,"")</f>
        <v/>
      </c>
      <c r="N972">
        <f>IFERROR(ABS('01_설정'!$B$4-F972),"")</f>
        <v/>
      </c>
      <c r="O972">
        <f>IFERROR(ABS(YEAR(I972)-YEAR('02_대상물건입력'!$B$14)),"")</f>
        <v/>
      </c>
      <c r="P972">
        <f>IF(AND(E972&gt;0,F972&gt;0,G972&gt;0,IF('01_설정'!$B$10=1,J972=1,TRUE()),M972&lt;='01_설정'!$B$5,N972&lt;='01_설정'!$B$7,O972&lt;='01_설정'!$B$8),"Y","")</f>
        <v/>
      </c>
      <c r="Q972">
        <f>IF(P972&lt;&gt;"Y","",MAX(0,(1-M972/'01_설정'!$B$5))*'01_설정'!$B$14+MAX(0,(1-N972/'01_설정'!$B$7))*'01_설정'!$B$16+MAX(0,(1-O972/'01_설정'!$B$8))*'01_설정'!$B$17+K972*'01_설정'!$B$11+L972*'01_설정'!$B$12)</f>
        <v/>
      </c>
      <c r="R972">
        <f>IF(Q972="","",1+COUNTIFS($Q$31:$Q$1030,"&gt;"&amp;Q972)+COUNTIFS($Q$31:Q972,Q972)-1)</f>
        <v/>
      </c>
    </row>
    <row r="973" hidden="1" ht="16.5" customHeight="1">
      <c r="A973">
        <f>IF(COUNTA('05_KAIS'!$A961:$N961)=0,"",946)</f>
        <v/>
      </c>
      <c r="B973">
        <f>IF($A973="","",TRIM(INDEX('05_KAIS'!$B:$B,$A973)&amp;" "&amp;INDEX('05_KAIS'!$C:$C,$A973)))</f>
        <v/>
      </c>
      <c r="C973">
        <f>IF($A973="","",INDEX('05_KAIS'!$D:$D,$A973))</f>
        <v/>
      </c>
      <c r="D973">
        <f>IF($A973="","",INDEX('05_KAIS'!$H:$H,$A973))</f>
        <v/>
      </c>
      <c r="E973">
        <f>IF($A973="","",INDEX('05_KAIS'!$K:$K,$A973))</f>
        <v/>
      </c>
      <c r="F973" s="202">
        <f>IF($A973="","",INDEX('05_KAIS'!$I:$I,$A973))</f>
        <v/>
      </c>
      <c r="G973" s="118">
        <f>IF($A973="","",INDEX('05_KAIS'!$L:$L,$A973))</f>
        <v/>
      </c>
      <c r="H973" s="118">
        <f>IF($A973="","",IFERROR(INDEX('05_KAIS'!$M:$M,$A973),IF(AND(E973&gt;0,G973&gt;0),G973/E973,"")))</f>
        <v/>
      </c>
      <c r="I973" s="202">
        <f>IF($A973="","",INDEX('05_KAIS'!$N:$N,$A973))</f>
        <v/>
      </c>
      <c r="J973">
        <f>IF(B973="","",IF('02_대상물건입력'!$B$5="",1,IF(ISNUMBER(SEARCH('02_대상물건입력'!$B$5,B973)),1,0)))</f>
        <v/>
      </c>
      <c r="K973">
        <f>IF(B973="","",IF('02_대상물건입력'!$B$6="",1,IF(ISNUMBER(SEARCH('02_대상물건입력'!$B$6,B973)),1,0)))</f>
        <v/>
      </c>
      <c r="L973">
        <f>IF(D973="","",IF('02_대상물건입력'!$B$8="",0,IF(ISNUMBER(SEARCH('02_대상물건입력'!$B$8,D973)),1,0)))</f>
        <v/>
      </c>
      <c r="M973">
        <f>IFERROR(ABS(E973-'02_대상물건입력'!$B$11)/'02_대상물건입력'!$B$11,"")</f>
        <v/>
      </c>
      <c r="N973">
        <f>IFERROR(ABS('01_설정'!$B$4-F973),"")</f>
        <v/>
      </c>
      <c r="O973">
        <f>IFERROR(ABS(YEAR(I973)-YEAR('02_대상물건입력'!$B$14)),"")</f>
        <v/>
      </c>
      <c r="P973">
        <f>IF(AND(E973&gt;0,F973&gt;0,G973&gt;0,IF('01_설정'!$B$10=1,J973=1,TRUE()),M973&lt;='01_설정'!$B$5,N973&lt;='01_설정'!$B$7,O973&lt;='01_설정'!$B$8),"Y","")</f>
        <v/>
      </c>
      <c r="Q973">
        <f>IF(P973&lt;&gt;"Y","",MAX(0,(1-M973/'01_설정'!$B$5))*'01_설정'!$B$14+MAX(0,(1-N973/'01_설정'!$B$7))*'01_설정'!$B$16+MAX(0,(1-O973/'01_설정'!$B$8))*'01_설정'!$B$17+K973*'01_설정'!$B$11+L973*'01_설정'!$B$12)</f>
        <v/>
      </c>
      <c r="R973">
        <f>IF(Q973="","",1+COUNTIFS($Q$31:$Q$1030,"&gt;"&amp;Q973)+COUNTIFS($Q$31:Q973,Q973)-1)</f>
        <v/>
      </c>
    </row>
    <row r="974" hidden="1" ht="16.5" customHeight="1">
      <c r="A974">
        <f>IF(COUNTA('05_KAIS'!$A962:$N962)=0,"",947)</f>
        <v/>
      </c>
      <c r="B974">
        <f>IF($A974="","",TRIM(INDEX('05_KAIS'!$B:$B,$A974)&amp;" "&amp;INDEX('05_KAIS'!$C:$C,$A974)))</f>
        <v/>
      </c>
      <c r="C974">
        <f>IF($A974="","",INDEX('05_KAIS'!$D:$D,$A974))</f>
        <v/>
      </c>
      <c r="D974">
        <f>IF($A974="","",INDEX('05_KAIS'!$H:$H,$A974))</f>
        <v/>
      </c>
      <c r="E974">
        <f>IF($A974="","",INDEX('05_KAIS'!$K:$K,$A974))</f>
        <v/>
      </c>
      <c r="F974" s="202">
        <f>IF($A974="","",INDEX('05_KAIS'!$I:$I,$A974))</f>
        <v/>
      </c>
      <c r="G974" s="118">
        <f>IF($A974="","",INDEX('05_KAIS'!$L:$L,$A974))</f>
        <v/>
      </c>
      <c r="H974" s="118">
        <f>IF($A974="","",IFERROR(INDEX('05_KAIS'!$M:$M,$A974),IF(AND(E974&gt;0,G974&gt;0),G974/E974,"")))</f>
        <v/>
      </c>
      <c r="I974" s="202">
        <f>IF($A974="","",INDEX('05_KAIS'!$N:$N,$A974))</f>
        <v/>
      </c>
      <c r="J974">
        <f>IF(B974="","",IF('02_대상물건입력'!$B$5="",1,IF(ISNUMBER(SEARCH('02_대상물건입력'!$B$5,B974)),1,0)))</f>
        <v/>
      </c>
      <c r="K974">
        <f>IF(B974="","",IF('02_대상물건입력'!$B$6="",1,IF(ISNUMBER(SEARCH('02_대상물건입력'!$B$6,B974)),1,0)))</f>
        <v/>
      </c>
      <c r="L974">
        <f>IF(D974="","",IF('02_대상물건입력'!$B$8="",0,IF(ISNUMBER(SEARCH('02_대상물건입력'!$B$8,D974)),1,0)))</f>
        <v/>
      </c>
      <c r="M974">
        <f>IFERROR(ABS(E974-'02_대상물건입력'!$B$11)/'02_대상물건입력'!$B$11,"")</f>
        <v/>
      </c>
      <c r="N974">
        <f>IFERROR(ABS('01_설정'!$B$4-F974),"")</f>
        <v/>
      </c>
      <c r="O974">
        <f>IFERROR(ABS(YEAR(I974)-YEAR('02_대상물건입력'!$B$14)),"")</f>
        <v/>
      </c>
      <c r="P974">
        <f>IF(AND(E974&gt;0,F974&gt;0,G974&gt;0,IF('01_설정'!$B$10=1,J974=1,TRUE()),M974&lt;='01_설정'!$B$5,N974&lt;='01_설정'!$B$7,O974&lt;='01_설정'!$B$8),"Y","")</f>
        <v/>
      </c>
      <c r="Q974">
        <f>IF(P974&lt;&gt;"Y","",MAX(0,(1-M974/'01_설정'!$B$5))*'01_설정'!$B$14+MAX(0,(1-N974/'01_설정'!$B$7))*'01_설정'!$B$16+MAX(0,(1-O974/'01_설정'!$B$8))*'01_설정'!$B$17+K974*'01_설정'!$B$11+L974*'01_설정'!$B$12)</f>
        <v/>
      </c>
      <c r="R974">
        <f>IF(Q974="","",1+COUNTIFS($Q$31:$Q$1030,"&gt;"&amp;Q974)+COUNTIFS($Q$31:Q974,Q974)-1)</f>
        <v/>
      </c>
    </row>
    <row r="975" hidden="1" ht="16.5" customHeight="1">
      <c r="A975">
        <f>IF(COUNTA('05_KAIS'!$A963:$N963)=0,"",948)</f>
        <v/>
      </c>
      <c r="B975">
        <f>IF($A975="","",TRIM(INDEX('05_KAIS'!$B:$B,$A975)&amp;" "&amp;INDEX('05_KAIS'!$C:$C,$A975)))</f>
        <v/>
      </c>
      <c r="C975">
        <f>IF($A975="","",INDEX('05_KAIS'!$D:$D,$A975))</f>
        <v/>
      </c>
      <c r="D975">
        <f>IF($A975="","",INDEX('05_KAIS'!$H:$H,$A975))</f>
        <v/>
      </c>
      <c r="E975">
        <f>IF($A975="","",INDEX('05_KAIS'!$K:$K,$A975))</f>
        <v/>
      </c>
      <c r="F975" s="202">
        <f>IF($A975="","",INDEX('05_KAIS'!$I:$I,$A975))</f>
        <v/>
      </c>
      <c r="G975" s="118">
        <f>IF($A975="","",INDEX('05_KAIS'!$L:$L,$A975))</f>
        <v/>
      </c>
      <c r="H975" s="118">
        <f>IF($A975="","",IFERROR(INDEX('05_KAIS'!$M:$M,$A975),IF(AND(E975&gt;0,G975&gt;0),G975/E975,"")))</f>
        <v/>
      </c>
      <c r="I975" s="202">
        <f>IF($A975="","",INDEX('05_KAIS'!$N:$N,$A975))</f>
        <v/>
      </c>
      <c r="J975">
        <f>IF(B975="","",IF('02_대상물건입력'!$B$5="",1,IF(ISNUMBER(SEARCH('02_대상물건입력'!$B$5,B975)),1,0)))</f>
        <v/>
      </c>
      <c r="K975">
        <f>IF(B975="","",IF('02_대상물건입력'!$B$6="",1,IF(ISNUMBER(SEARCH('02_대상물건입력'!$B$6,B975)),1,0)))</f>
        <v/>
      </c>
      <c r="L975">
        <f>IF(D975="","",IF('02_대상물건입력'!$B$8="",0,IF(ISNUMBER(SEARCH('02_대상물건입력'!$B$8,D975)),1,0)))</f>
        <v/>
      </c>
      <c r="M975">
        <f>IFERROR(ABS(E975-'02_대상물건입력'!$B$11)/'02_대상물건입력'!$B$11,"")</f>
        <v/>
      </c>
      <c r="N975">
        <f>IFERROR(ABS('01_설정'!$B$4-F975),"")</f>
        <v/>
      </c>
      <c r="O975">
        <f>IFERROR(ABS(YEAR(I975)-YEAR('02_대상물건입력'!$B$14)),"")</f>
        <v/>
      </c>
      <c r="P975">
        <f>IF(AND(E975&gt;0,F975&gt;0,G975&gt;0,IF('01_설정'!$B$10=1,J975=1,TRUE()),M975&lt;='01_설정'!$B$5,N975&lt;='01_설정'!$B$7,O975&lt;='01_설정'!$B$8),"Y","")</f>
        <v/>
      </c>
      <c r="Q975">
        <f>IF(P975&lt;&gt;"Y","",MAX(0,(1-M975/'01_설정'!$B$5))*'01_설정'!$B$14+MAX(0,(1-N975/'01_설정'!$B$7))*'01_설정'!$B$16+MAX(0,(1-O975/'01_설정'!$B$8))*'01_설정'!$B$17+K975*'01_설정'!$B$11+L975*'01_설정'!$B$12)</f>
        <v/>
      </c>
      <c r="R975">
        <f>IF(Q975="","",1+COUNTIFS($Q$31:$Q$1030,"&gt;"&amp;Q975)+COUNTIFS($Q$31:Q975,Q975)-1)</f>
        <v/>
      </c>
    </row>
    <row r="976" hidden="1" ht="16.5" customHeight="1">
      <c r="A976">
        <f>IF(COUNTA('05_KAIS'!$A964:$N964)=0,"",949)</f>
        <v/>
      </c>
      <c r="B976">
        <f>IF($A976="","",TRIM(INDEX('05_KAIS'!$B:$B,$A976)&amp;" "&amp;INDEX('05_KAIS'!$C:$C,$A976)))</f>
        <v/>
      </c>
      <c r="C976">
        <f>IF($A976="","",INDEX('05_KAIS'!$D:$D,$A976))</f>
        <v/>
      </c>
      <c r="D976">
        <f>IF($A976="","",INDEX('05_KAIS'!$H:$H,$A976))</f>
        <v/>
      </c>
      <c r="E976">
        <f>IF($A976="","",INDEX('05_KAIS'!$K:$K,$A976))</f>
        <v/>
      </c>
      <c r="F976" s="202">
        <f>IF($A976="","",INDEX('05_KAIS'!$I:$I,$A976))</f>
        <v/>
      </c>
      <c r="G976" s="118">
        <f>IF($A976="","",INDEX('05_KAIS'!$L:$L,$A976))</f>
        <v/>
      </c>
      <c r="H976" s="118">
        <f>IF($A976="","",IFERROR(INDEX('05_KAIS'!$M:$M,$A976),IF(AND(E976&gt;0,G976&gt;0),G976/E976,"")))</f>
        <v/>
      </c>
      <c r="I976" s="202">
        <f>IF($A976="","",INDEX('05_KAIS'!$N:$N,$A976))</f>
        <v/>
      </c>
      <c r="J976">
        <f>IF(B976="","",IF('02_대상물건입력'!$B$5="",1,IF(ISNUMBER(SEARCH('02_대상물건입력'!$B$5,B976)),1,0)))</f>
        <v/>
      </c>
      <c r="K976">
        <f>IF(B976="","",IF('02_대상물건입력'!$B$6="",1,IF(ISNUMBER(SEARCH('02_대상물건입력'!$B$6,B976)),1,0)))</f>
        <v/>
      </c>
      <c r="L976">
        <f>IF(D976="","",IF('02_대상물건입력'!$B$8="",0,IF(ISNUMBER(SEARCH('02_대상물건입력'!$B$8,D976)),1,0)))</f>
        <v/>
      </c>
      <c r="M976">
        <f>IFERROR(ABS(E976-'02_대상물건입력'!$B$11)/'02_대상물건입력'!$B$11,"")</f>
        <v/>
      </c>
      <c r="N976">
        <f>IFERROR(ABS('01_설정'!$B$4-F976),"")</f>
        <v/>
      </c>
      <c r="O976">
        <f>IFERROR(ABS(YEAR(I976)-YEAR('02_대상물건입력'!$B$14)),"")</f>
        <v/>
      </c>
      <c r="P976">
        <f>IF(AND(E976&gt;0,F976&gt;0,G976&gt;0,IF('01_설정'!$B$10=1,J976=1,TRUE()),M976&lt;='01_설정'!$B$5,N976&lt;='01_설정'!$B$7,O976&lt;='01_설정'!$B$8),"Y","")</f>
        <v/>
      </c>
      <c r="Q976">
        <f>IF(P976&lt;&gt;"Y","",MAX(0,(1-M976/'01_설정'!$B$5))*'01_설정'!$B$14+MAX(0,(1-N976/'01_설정'!$B$7))*'01_설정'!$B$16+MAX(0,(1-O976/'01_설정'!$B$8))*'01_설정'!$B$17+K976*'01_설정'!$B$11+L976*'01_설정'!$B$12)</f>
        <v/>
      </c>
      <c r="R976">
        <f>IF(Q976="","",1+COUNTIFS($Q$31:$Q$1030,"&gt;"&amp;Q976)+COUNTIFS($Q$31:Q976,Q976)-1)</f>
        <v/>
      </c>
    </row>
    <row r="977" hidden="1" ht="16.5" customHeight="1">
      <c r="A977">
        <f>IF(COUNTA('05_KAIS'!$A965:$N965)=0,"",950)</f>
        <v/>
      </c>
      <c r="B977">
        <f>IF($A977="","",TRIM(INDEX('05_KAIS'!$B:$B,$A977)&amp;" "&amp;INDEX('05_KAIS'!$C:$C,$A977)))</f>
        <v/>
      </c>
      <c r="C977">
        <f>IF($A977="","",INDEX('05_KAIS'!$D:$D,$A977))</f>
        <v/>
      </c>
      <c r="D977">
        <f>IF($A977="","",INDEX('05_KAIS'!$H:$H,$A977))</f>
        <v/>
      </c>
      <c r="E977">
        <f>IF($A977="","",INDEX('05_KAIS'!$K:$K,$A977))</f>
        <v/>
      </c>
      <c r="F977" s="202">
        <f>IF($A977="","",INDEX('05_KAIS'!$I:$I,$A977))</f>
        <v/>
      </c>
      <c r="G977" s="118">
        <f>IF($A977="","",INDEX('05_KAIS'!$L:$L,$A977))</f>
        <v/>
      </c>
      <c r="H977" s="118">
        <f>IF($A977="","",IFERROR(INDEX('05_KAIS'!$M:$M,$A977),IF(AND(E977&gt;0,G977&gt;0),G977/E977,"")))</f>
        <v/>
      </c>
      <c r="I977" s="202">
        <f>IF($A977="","",INDEX('05_KAIS'!$N:$N,$A977))</f>
        <v/>
      </c>
      <c r="J977">
        <f>IF(B977="","",IF('02_대상물건입력'!$B$5="",1,IF(ISNUMBER(SEARCH('02_대상물건입력'!$B$5,B977)),1,0)))</f>
        <v/>
      </c>
      <c r="K977">
        <f>IF(B977="","",IF('02_대상물건입력'!$B$6="",1,IF(ISNUMBER(SEARCH('02_대상물건입력'!$B$6,B977)),1,0)))</f>
        <v/>
      </c>
      <c r="L977">
        <f>IF(D977="","",IF('02_대상물건입력'!$B$8="",0,IF(ISNUMBER(SEARCH('02_대상물건입력'!$B$8,D977)),1,0)))</f>
        <v/>
      </c>
      <c r="M977">
        <f>IFERROR(ABS(E977-'02_대상물건입력'!$B$11)/'02_대상물건입력'!$B$11,"")</f>
        <v/>
      </c>
      <c r="N977">
        <f>IFERROR(ABS('01_설정'!$B$4-F977),"")</f>
        <v/>
      </c>
      <c r="O977">
        <f>IFERROR(ABS(YEAR(I977)-YEAR('02_대상물건입력'!$B$14)),"")</f>
        <v/>
      </c>
      <c r="P977">
        <f>IF(AND(E977&gt;0,F977&gt;0,G977&gt;0,IF('01_설정'!$B$10=1,J977=1,TRUE()),M977&lt;='01_설정'!$B$5,N977&lt;='01_설정'!$B$7,O977&lt;='01_설정'!$B$8),"Y","")</f>
        <v/>
      </c>
      <c r="Q977">
        <f>IF(P977&lt;&gt;"Y","",MAX(0,(1-M977/'01_설정'!$B$5))*'01_설정'!$B$14+MAX(0,(1-N977/'01_설정'!$B$7))*'01_설정'!$B$16+MAX(0,(1-O977/'01_설정'!$B$8))*'01_설정'!$B$17+K977*'01_설정'!$B$11+L977*'01_설정'!$B$12)</f>
        <v/>
      </c>
      <c r="R977">
        <f>IF(Q977="","",1+COUNTIFS($Q$31:$Q$1030,"&gt;"&amp;Q977)+COUNTIFS($Q$31:Q977,Q977)-1)</f>
        <v/>
      </c>
    </row>
    <row r="978" hidden="1" ht="16.5" customHeight="1">
      <c r="A978">
        <f>IF(COUNTA('05_KAIS'!$A966:$N966)=0,"",951)</f>
        <v/>
      </c>
      <c r="B978">
        <f>IF($A978="","",TRIM(INDEX('05_KAIS'!$B:$B,$A978)&amp;" "&amp;INDEX('05_KAIS'!$C:$C,$A978)))</f>
        <v/>
      </c>
      <c r="C978">
        <f>IF($A978="","",INDEX('05_KAIS'!$D:$D,$A978))</f>
        <v/>
      </c>
      <c r="D978">
        <f>IF($A978="","",INDEX('05_KAIS'!$H:$H,$A978))</f>
        <v/>
      </c>
      <c r="E978">
        <f>IF($A978="","",INDEX('05_KAIS'!$K:$K,$A978))</f>
        <v/>
      </c>
      <c r="F978" s="202">
        <f>IF($A978="","",INDEX('05_KAIS'!$I:$I,$A978))</f>
        <v/>
      </c>
      <c r="G978" s="118">
        <f>IF($A978="","",INDEX('05_KAIS'!$L:$L,$A978))</f>
        <v/>
      </c>
      <c r="H978" s="118">
        <f>IF($A978="","",IFERROR(INDEX('05_KAIS'!$M:$M,$A978),IF(AND(E978&gt;0,G978&gt;0),G978/E978,"")))</f>
        <v/>
      </c>
      <c r="I978" s="202">
        <f>IF($A978="","",INDEX('05_KAIS'!$N:$N,$A978))</f>
        <v/>
      </c>
      <c r="J978">
        <f>IF(B978="","",IF('02_대상물건입력'!$B$5="",1,IF(ISNUMBER(SEARCH('02_대상물건입력'!$B$5,B978)),1,0)))</f>
        <v/>
      </c>
      <c r="K978">
        <f>IF(B978="","",IF('02_대상물건입력'!$B$6="",1,IF(ISNUMBER(SEARCH('02_대상물건입력'!$B$6,B978)),1,0)))</f>
        <v/>
      </c>
      <c r="L978">
        <f>IF(D978="","",IF('02_대상물건입력'!$B$8="",0,IF(ISNUMBER(SEARCH('02_대상물건입력'!$B$8,D978)),1,0)))</f>
        <v/>
      </c>
      <c r="M978">
        <f>IFERROR(ABS(E978-'02_대상물건입력'!$B$11)/'02_대상물건입력'!$B$11,"")</f>
        <v/>
      </c>
      <c r="N978">
        <f>IFERROR(ABS('01_설정'!$B$4-F978),"")</f>
        <v/>
      </c>
      <c r="O978">
        <f>IFERROR(ABS(YEAR(I978)-YEAR('02_대상물건입력'!$B$14)),"")</f>
        <v/>
      </c>
      <c r="P978">
        <f>IF(AND(E978&gt;0,F978&gt;0,G978&gt;0,IF('01_설정'!$B$10=1,J978=1,TRUE()),M978&lt;='01_설정'!$B$5,N978&lt;='01_설정'!$B$7,O978&lt;='01_설정'!$B$8),"Y","")</f>
        <v/>
      </c>
      <c r="Q978">
        <f>IF(P978&lt;&gt;"Y","",MAX(0,(1-M978/'01_설정'!$B$5))*'01_설정'!$B$14+MAX(0,(1-N978/'01_설정'!$B$7))*'01_설정'!$B$16+MAX(0,(1-O978/'01_설정'!$B$8))*'01_설정'!$B$17+K978*'01_설정'!$B$11+L978*'01_설정'!$B$12)</f>
        <v/>
      </c>
      <c r="R978">
        <f>IF(Q978="","",1+COUNTIFS($Q$31:$Q$1030,"&gt;"&amp;Q978)+COUNTIFS($Q$31:Q978,Q978)-1)</f>
        <v/>
      </c>
    </row>
    <row r="979" hidden="1" ht="16.5" customHeight="1">
      <c r="A979">
        <f>IF(COUNTA('05_KAIS'!$A967:$N967)=0,"",952)</f>
        <v/>
      </c>
      <c r="B979">
        <f>IF($A979="","",TRIM(INDEX('05_KAIS'!$B:$B,$A979)&amp;" "&amp;INDEX('05_KAIS'!$C:$C,$A979)))</f>
        <v/>
      </c>
      <c r="C979">
        <f>IF($A979="","",INDEX('05_KAIS'!$D:$D,$A979))</f>
        <v/>
      </c>
      <c r="D979">
        <f>IF($A979="","",INDEX('05_KAIS'!$H:$H,$A979))</f>
        <v/>
      </c>
      <c r="E979">
        <f>IF($A979="","",INDEX('05_KAIS'!$K:$K,$A979))</f>
        <v/>
      </c>
      <c r="F979" s="202">
        <f>IF($A979="","",INDEX('05_KAIS'!$I:$I,$A979))</f>
        <v/>
      </c>
      <c r="G979" s="118">
        <f>IF($A979="","",INDEX('05_KAIS'!$L:$L,$A979))</f>
        <v/>
      </c>
      <c r="H979" s="118">
        <f>IF($A979="","",IFERROR(INDEX('05_KAIS'!$M:$M,$A979),IF(AND(E979&gt;0,G979&gt;0),G979/E979,"")))</f>
        <v/>
      </c>
      <c r="I979" s="202">
        <f>IF($A979="","",INDEX('05_KAIS'!$N:$N,$A979))</f>
        <v/>
      </c>
      <c r="J979">
        <f>IF(B979="","",IF('02_대상물건입력'!$B$5="",1,IF(ISNUMBER(SEARCH('02_대상물건입력'!$B$5,B979)),1,0)))</f>
        <v/>
      </c>
      <c r="K979">
        <f>IF(B979="","",IF('02_대상물건입력'!$B$6="",1,IF(ISNUMBER(SEARCH('02_대상물건입력'!$B$6,B979)),1,0)))</f>
        <v/>
      </c>
      <c r="L979">
        <f>IF(D979="","",IF('02_대상물건입력'!$B$8="",0,IF(ISNUMBER(SEARCH('02_대상물건입력'!$B$8,D979)),1,0)))</f>
        <v/>
      </c>
      <c r="M979">
        <f>IFERROR(ABS(E979-'02_대상물건입력'!$B$11)/'02_대상물건입력'!$B$11,"")</f>
        <v/>
      </c>
      <c r="N979">
        <f>IFERROR(ABS('01_설정'!$B$4-F979),"")</f>
        <v/>
      </c>
      <c r="O979">
        <f>IFERROR(ABS(YEAR(I979)-YEAR('02_대상물건입력'!$B$14)),"")</f>
        <v/>
      </c>
      <c r="P979">
        <f>IF(AND(E979&gt;0,F979&gt;0,G979&gt;0,IF('01_설정'!$B$10=1,J979=1,TRUE()),M979&lt;='01_설정'!$B$5,N979&lt;='01_설정'!$B$7,O979&lt;='01_설정'!$B$8),"Y","")</f>
        <v/>
      </c>
      <c r="Q979">
        <f>IF(P979&lt;&gt;"Y","",MAX(0,(1-M979/'01_설정'!$B$5))*'01_설정'!$B$14+MAX(0,(1-N979/'01_설정'!$B$7))*'01_설정'!$B$16+MAX(0,(1-O979/'01_설정'!$B$8))*'01_설정'!$B$17+K979*'01_설정'!$B$11+L979*'01_설정'!$B$12)</f>
        <v/>
      </c>
      <c r="R979">
        <f>IF(Q979="","",1+COUNTIFS($Q$31:$Q$1030,"&gt;"&amp;Q979)+COUNTIFS($Q$31:Q979,Q979)-1)</f>
        <v/>
      </c>
    </row>
    <row r="980" hidden="1" ht="16.5" customHeight="1">
      <c r="A980">
        <f>IF(COUNTA('05_KAIS'!$A968:$N968)=0,"",953)</f>
        <v/>
      </c>
      <c r="B980">
        <f>IF($A980="","",TRIM(INDEX('05_KAIS'!$B:$B,$A980)&amp;" "&amp;INDEX('05_KAIS'!$C:$C,$A980)))</f>
        <v/>
      </c>
      <c r="C980">
        <f>IF($A980="","",INDEX('05_KAIS'!$D:$D,$A980))</f>
        <v/>
      </c>
      <c r="D980">
        <f>IF($A980="","",INDEX('05_KAIS'!$H:$H,$A980))</f>
        <v/>
      </c>
      <c r="E980">
        <f>IF($A980="","",INDEX('05_KAIS'!$K:$K,$A980))</f>
        <v/>
      </c>
      <c r="F980" s="202">
        <f>IF($A980="","",INDEX('05_KAIS'!$I:$I,$A980))</f>
        <v/>
      </c>
      <c r="G980" s="118">
        <f>IF($A980="","",INDEX('05_KAIS'!$L:$L,$A980))</f>
        <v/>
      </c>
      <c r="H980" s="118">
        <f>IF($A980="","",IFERROR(INDEX('05_KAIS'!$M:$M,$A980),IF(AND(E980&gt;0,G980&gt;0),G980/E980,"")))</f>
        <v/>
      </c>
      <c r="I980" s="202">
        <f>IF($A980="","",INDEX('05_KAIS'!$N:$N,$A980))</f>
        <v/>
      </c>
      <c r="J980">
        <f>IF(B980="","",IF('02_대상물건입력'!$B$5="",1,IF(ISNUMBER(SEARCH('02_대상물건입력'!$B$5,B980)),1,0)))</f>
        <v/>
      </c>
      <c r="K980">
        <f>IF(B980="","",IF('02_대상물건입력'!$B$6="",1,IF(ISNUMBER(SEARCH('02_대상물건입력'!$B$6,B980)),1,0)))</f>
        <v/>
      </c>
      <c r="L980">
        <f>IF(D980="","",IF('02_대상물건입력'!$B$8="",0,IF(ISNUMBER(SEARCH('02_대상물건입력'!$B$8,D980)),1,0)))</f>
        <v/>
      </c>
      <c r="M980">
        <f>IFERROR(ABS(E980-'02_대상물건입력'!$B$11)/'02_대상물건입력'!$B$11,"")</f>
        <v/>
      </c>
      <c r="N980">
        <f>IFERROR(ABS('01_설정'!$B$4-F980),"")</f>
        <v/>
      </c>
      <c r="O980">
        <f>IFERROR(ABS(YEAR(I980)-YEAR('02_대상물건입력'!$B$14)),"")</f>
        <v/>
      </c>
      <c r="P980">
        <f>IF(AND(E980&gt;0,F980&gt;0,G980&gt;0,IF('01_설정'!$B$10=1,J980=1,TRUE()),M980&lt;='01_설정'!$B$5,N980&lt;='01_설정'!$B$7,O980&lt;='01_설정'!$B$8),"Y","")</f>
        <v/>
      </c>
      <c r="Q980">
        <f>IF(P980&lt;&gt;"Y","",MAX(0,(1-M980/'01_설정'!$B$5))*'01_설정'!$B$14+MAX(0,(1-N980/'01_설정'!$B$7))*'01_설정'!$B$16+MAX(0,(1-O980/'01_설정'!$B$8))*'01_설정'!$B$17+K980*'01_설정'!$B$11+L980*'01_설정'!$B$12)</f>
        <v/>
      </c>
      <c r="R980">
        <f>IF(Q980="","",1+COUNTIFS($Q$31:$Q$1030,"&gt;"&amp;Q980)+COUNTIFS($Q$31:Q980,Q980)-1)</f>
        <v/>
      </c>
    </row>
    <row r="981" hidden="1" ht="16.5" customHeight="1">
      <c r="A981">
        <f>IF(COUNTA('05_KAIS'!$A969:$N969)=0,"",954)</f>
        <v/>
      </c>
      <c r="B981">
        <f>IF($A981="","",TRIM(INDEX('05_KAIS'!$B:$B,$A981)&amp;" "&amp;INDEX('05_KAIS'!$C:$C,$A981)))</f>
        <v/>
      </c>
      <c r="C981">
        <f>IF($A981="","",INDEX('05_KAIS'!$D:$D,$A981))</f>
        <v/>
      </c>
      <c r="D981">
        <f>IF($A981="","",INDEX('05_KAIS'!$H:$H,$A981))</f>
        <v/>
      </c>
      <c r="E981">
        <f>IF($A981="","",INDEX('05_KAIS'!$K:$K,$A981))</f>
        <v/>
      </c>
      <c r="F981" s="202">
        <f>IF($A981="","",INDEX('05_KAIS'!$I:$I,$A981))</f>
        <v/>
      </c>
      <c r="G981" s="118">
        <f>IF($A981="","",INDEX('05_KAIS'!$L:$L,$A981))</f>
        <v/>
      </c>
      <c r="H981" s="118">
        <f>IF($A981="","",IFERROR(INDEX('05_KAIS'!$M:$M,$A981),IF(AND(E981&gt;0,G981&gt;0),G981/E981,"")))</f>
        <v/>
      </c>
      <c r="I981" s="202">
        <f>IF($A981="","",INDEX('05_KAIS'!$N:$N,$A981))</f>
        <v/>
      </c>
      <c r="J981">
        <f>IF(B981="","",IF('02_대상물건입력'!$B$5="",1,IF(ISNUMBER(SEARCH('02_대상물건입력'!$B$5,B981)),1,0)))</f>
        <v/>
      </c>
      <c r="K981">
        <f>IF(B981="","",IF('02_대상물건입력'!$B$6="",1,IF(ISNUMBER(SEARCH('02_대상물건입력'!$B$6,B981)),1,0)))</f>
        <v/>
      </c>
      <c r="L981">
        <f>IF(D981="","",IF('02_대상물건입력'!$B$8="",0,IF(ISNUMBER(SEARCH('02_대상물건입력'!$B$8,D981)),1,0)))</f>
        <v/>
      </c>
      <c r="M981">
        <f>IFERROR(ABS(E981-'02_대상물건입력'!$B$11)/'02_대상물건입력'!$B$11,"")</f>
        <v/>
      </c>
      <c r="N981">
        <f>IFERROR(ABS('01_설정'!$B$4-F981),"")</f>
        <v/>
      </c>
      <c r="O981">
        <f>IFERROR(ABS(YEAR(I981)-YEAR('02_대상물건입력'!$B$14)),"")</f>
        <v/>
      </c>
      <c r="P981">
        <f>IF(AND(E981&gt;0,F981&gt;0,G981&gt;0,IF('01_설정'!$B$10=1,J981=1,TRUE()),M981&lt;='01_설정'!$B$5,N981&lt;='01_설정'!$B$7,O981&lt;='01_설정'!$B$8),"Y","")</f>
        <v/>
      </c>
      <c r="Q981">
        <f>IF(P981&lt;&gt;"Y","",MAX(0,(1-M981/'01_설정'!$B$5))*'01_설정'!$B$14+MAX(0,(1-N981/'01_설정'!$B$7))*'01_설정'!$B$16+MAX(0,(1-O981/'01_설정'!$B$8))*'01_설정'!$B$17+K981*'01_설정'!$B$11+L981*'01_설정'!$B$12)</f>
        <v/>
      </c>
      <c r="R981">
        <f>IF(Q981="","",1+COUNTIFS($Q$31:$Q$1030,"&gt;"&amp;Q981)+COUNTIFS($Q$31:Q981,Q981)-1)</f>
        <v/>
      </c>
    </row>
    <row r="982" hidden="1" ht="16.5" customHeight="1">
      <c r="A982">
        <f>IF(COUNTA('05_KAIS'!$A970:$N970)=0,"",955)</f>
        <v/>
      </c>
      <c r="B982">
        <f>IF($A982="","",TRIM(INDEX('05_KAIS'!$B:$B,$A982)&amp;" "&amp;INDEX('05_KAIS'!$C:$C,$A982)))</f>
        <v/>
      </c>
      <c r="C982">
        <f>IF($A982="","",INDEX('05_KAIS'!$D:$D,$A982))</f>
        <v/>
      </c>
      <c r="D982">
        <f>IF($A982="","",INDEX('05_KAIS'!$H:$H,$A982))</f>
        <v/>
      </c>
      <c r="E982">
        <f>IF($A982="","",INDEX('05_KAIS'!$K:$K,$A982))</f>
        <v/>
      </c>
      <c r="F982" s="202">
        <f>IF($A982="","",INDEX('05_KAIS'!$I:$I,$A982))</f>
        <v/>
      </c>
      <c r="G982" s="118">
        <f>IF($A982="","",INDEX('05_KAIS'!$L:$L,$A982))</f>
        <v/>
      </c>
      <c r="H982" s="118">
        <f>IF($A982="","",IFERROR(INDEX('05_KAIS'!$M:$M,$A982),IF(AND(E982&gt;0,G982&gt;0),G982/E982,"")))</f>
        <v/>
      </c>
      <c r="I982" s="202">
        <f>IF($A982="","",INDEX('05_KAIS'!$N:$N,$A982))</f>
        <v/>
      </c>
      <c r="J982">
        <f>IF(B982="","",IF('02_대상물건입력'!$B$5="",1,IF(ISNUMBER(SEARCH('02_대상물건입력'!$B$5,B982)),1,0)))</f>
        <v/>
      </c>
      <c r="K982">
        <f>IF(B982="","",IF('02_대상물건입력'!$B$6="",1,IF(ISNUMBER(SEARCH('02_대상물건입력'!$B$6,B982)),1,0)))</f>
        <v/>
      </c>
      <c r="L982">
        <f>IF(D982="","",IF('02_대상물건입력'!$B$8="",0,IF(ISNUMBER(SEARCH('02_대상물건입력'!$B$8,D982)),1,0)))</f>
        <v/>
      </c>
      <c r="M982">
        <f>IFERROR(ABS(E982-'02_대상물건입력'!$B$11)/'02_대상물건입력'!$B$11,"")</f>
        <v/>
      </c>
      <c r="N982">
        <f>IFERROR(ABS('01_설정'!$B$4-F982),"")</f>
        <v/>
      </c>
      <c r="O982">
        <f>IFERROR(ABS(YEAR(I982)-YEAR('02_대상물건입력'!$B$14)),"")</f>
        <v/>
      </c>
      <c r="P982">
        <f>IF(AND(E982&gt;0,F982&gt;0,G982&gt;0,IF('01_설정'!$B$10=1,J982=1,TRUE()),M982&lt;='01_설정'!$B$5,N982&lt;='01_설정'!$B$7,O982&lt;='01_설정'!$B$8),"Y","")</f>
        <v/>
      </c>
      <c r="Q982">
        <f>IF(P982&lt;&gt;"Y","",MAX(0,(1-M982/'01_설정'!$B$5))*'01_설정'!$B$14+MAX(0,(1-N982/'01_설정'!$B$7))*'01_설정'!$B$16+MAX(0,(1-O982/'01_설정'!$B$8))*'01_설정'!$B$17+K982*'01_설정'!$B$11+L982*'01_설정'!$B$12)</f>
        <v/>
      </c>
      <c r="R982">
        <f>IF(Q982="","",1+COUNTIFS($Q$31:$Q$1030,"&gt;"&amp;Q982)+COUNTIFS($Q$31:Q982,Q982)-1)</f>
        <v/>
      </c>
    </row>
    <row r="983" hidden="1" ht="16.5" customHeight="1">
      <c r="A983">
        <f>IF(COUNTA('05_KAIS'!$A971:$N971)=0,"",956)</f>
        <v/>
      </c>
      <c r="B983">
        <f>IF($A983="","",TRIM(INDEX('05_KAIS'!$B:$B,$A983)&amp;" "&amp;INDEX('05_KAIS'!$C:$C,$A983)))</f>
        <v/>
      </c>
      <c r="C983">
        <f>IF($A983="","",INDEX('05_KAIS'!$D:$D,$A983))</f>
        <v/>
      </c>
      <c r="D983">
        <f>IF($A983="","",INDEX('05_KAIS'!$H:$H,$A983))</f>
        <v/>
      </c>
      <c r="E983">
        <f>IF($A983="","",INDEX('05_KAIS'!$K:$K,$A983))</f>
        <v/>
      </c>
      <c r="F983" s="202">
        <f>IF($A983="","",INDEX('05_KAIS'!$I:$I,$A983))</f>
        <v/>
      </c>
      <c r="G983" s="118">
        <f>IF($A983="","",INDEX('05_KAIS'!$L:$L,$A983))</f>
        <v/>
      </c>
      <c r="H983" s="118">
        <f>IF($A983="","",IFERROR(INDEX('05_KAIS'!$M:$M,$A983),IF(AND(E983&gt;0,G983&gt;0),G983/E983,"")))</f>
        <v/>
      </c>
      <c r="I983" s="202">
        <f>IF($A983="","",INDEX('05_KAIS'!$N:$N,$A983))</f>
        <v/>
      </c>
      <c r="J983">
        <f>IF(B983="","",IF('02_대상물건입력'!$B$5="",1,IF(ISNUMBER(SEARCH('02_대상물건입력'!$B$5,B983)),1,0)))</f>
        <v/>
      </c>
      <c r="K983">
        <f>IF(B983="","",IF('02_대상물건입력'!$B$6="",1,IF(ISNUMBER(SEARCH('02_대상물건입력'!$B$6,B983)),1,0)))</f>
        <v/>
      </c>
      <c r="L983">
        <f>IF(D983="","",IF('02_대상물건입력'!$B$8="",0,IF(ISNUMBER(SEARCH('02_대상물건입력'!$B$8,D983)),1,0)))</f>
        <v/>
      </c>
      <c r="M983">
        <f>IFERROR(ABS(E983-'02_대상물건입력'!$B$11)/'02_대상물건입력'!$B$11,"")</f>
        <v/>
      </c>
      <c r="N983">
        <f>IFERROR(ABS('01_설정'!$B$4-F983),"")</f>
        <v/>
      </c>
      <c r="O983">
        <f>IFERROR(ABS(YEAR(I983)-YEAR('02_대상물건입력'!$B$14)),"")</f>
        <v/>
      </c>
      <c r="P983">
        <f>IF(AND(E983&gt;0,F983&gt;0,G983&gt;0,IF('01_설정'!$B$10=1,J983=1,TRUE()),M983&lt;='01_설정'!$B$5,N983&lt;='01_설정'!$B$7,O983&lt;='01_설정'!$B$8),"Y","")</f>
        <v/>
      </c>
      <c r="Q983">
        <f>IF(P983&lt;&gt;"Y","",MAX(0,(1-M983/'01_설정'!$B$5))*'01_설정'!$B$14+MAX(0,(1-N983/'01_설정'!$B$7))*'01_설정'!$B$16+MAX(0,(1-O983/'01_설정'!$B$8))*'01_설정'!$B$17+K983*'01_설정'!$B$11+L983*'01_설정'!$B$12)</f>
        <v/>
      </c>
      <c r="R983">
        <f>IF(Q983="","",1+COUNTIFS($Q$31:$Q$1030,"&gt;"&amp;Q983)+COUNTIFS($Q$31:Q983,Q983)-1)</f>
        <v/>
      </c>
    </row>
    <row r="984" hidden="1" ht="16.5" customHeight="1">
      <c r="A984">
        <f>IF(COUNTA('05_KAIS'!$A972:$N972)=0,"",957)</f>
        <v/>
      </c>
      <c r="B984">
        <f>IF($A984="","",TRIM(INDEX('05_KAIS'!$B:$B,$A984)&amp;" "&amp;INDEX('05_KAIS'!$C:$C,$A984)))</f>
        <v/>
      </c>
      <c r="C984">
        <f>IF($A984="","",INDEX('05_KAIS'!$D:$D,$A984))</f>
        <v/>
      </c>
      <c r="D984">
        <f>IF($A984="","",INDEX('05_KAIS'!$H:$H,$A984))</f>
        <v/>
      </c>
      <c r="E984">
        <f>IF($A984="","",INDEX('05_KAIS'!$K:$K,$A984))</f>
        <v/>
      </c>
      <c r="F984" s="202">
        <f>IF($A984="","",INDEX('05_KAIS'!$I:$I,$A984))</f>
        <v/>
      </c>
      <c r="G984" s="118">
        <f>IF($A984="","",INDEX('05_KAIS'!$L:$L,$A984))</f>
        <v/>
      </c>
      <c r="H984" s="118">
        <f>IF($A984="","",IFERROR(INDEX('05_KAIS'!$M:$M,$A984),IF(AND(E984&gt;0,G984&gt;0),G984/E984,"")))</f>
        <v/>
      </c>
      <c r="I984" s="202">
        <f>IF($A984="","",INDEX('05_KAIS'!$N:$N,$A984))</f>
        <v/>
      </c>
      <c r="J984">
        <f>IF(B984="","",IF('02_대상물건입력'!$B$5="",1,IF(ISNUMBER(SEARCH('02_대상물건입력'!$B$5,B984)),1,0)))</f>
        <v/>
      </c>
      <c r="K984">
        <f>IF(B984="","",IF('02_대상물건입력'!$B$6="",1,IF(ISNUMBER(SEARCH('02_대상물건입력'!$B$6,B984)),1,0)))</f>
        <v/>
      </c>
      <c r="L984">
        <f>IF(D984="","",IF('02_대상물건입력'!$B$8="",0,IF(ISNUMBER(SEARCH('02_대상물건입력'!$B$8,D984)),1,0)))</f>
        <v/>
      </c>
      <c r="M984">
        <f>IFERROR(ABS(E984-'02_대상물건입력'!$B$11)/'02_대상물건입력'!$B$11,"")</f>
        <v/>
      </c>
      <c r="N984">
        <f>IFERROR(ABS('01_설정'!$B$4-F984),"")</f>
        <v/>
      </c>
      <c r="O984">
        <f>IFERROR(ABS(YEAR(I984)-YEAR('02_대상물건입력'!$B$14)),"")</f>
        <v/>
      </c>
      <c r="P984">
        <f>IF(AND(E984&gt;0,F984&gt;0,G984&gt;0,IF('01_설정'!$B$10=1,J984=1,TRUE()),M984&lt;='01_설정'!$B$5,N984&lt;='01_설정'!$B$7,O984&lt;='01_설정'!$B$8),"Y","")</f>
        <v/>
      </c>
      <c r="Q984">
        <f>IF(P984&lt;&gt;"Y","",MAX(0,(1-M984/'01_설정'!$B$5))*'01_설정'!$B$14+MAX(0,(1-N984/'01_설정'!$B$7))*'01_설정'!$B$16+MAX(0,(1-O984/'01_설정'!$B$8))*'01_설정'!$B$17+K984*'01_설정'!$B$11+L984*'01_설정'!$B$12)</f>
        <v/>
      </c>
      <c r="R984">
        <f>IF(Q984="","",1+COUNTIFS($Q$31:$Q$1030,"&gt;"&amp;Q984)+COUNTIFS($Q$31:Q984,Q984)-1)</f>
        <v/>
      </c>
    </row>
    <row r="985" hidden="1" ht="16.5" customHeight="1">
      <c r="A985">
        <f>IF(COUNTA('05_KAIS'!$A973:$N973)=0,"",958)</f>
        <v/>
      </c>
      <c r="B985">
        <f>IF($A985="","",TRIM(INDEX('05_KAIS'!$B:$B,$A985)&amp;" "&amp;INDEX('05_KAIS'!$C:$C,$A985)))</f>
        <v/>
      </c>
      <c r="C985">
        <f>IF($A985="","",INDEX('05_KAIS'!$D:$D,$A985))</f>
        <v/>
      </c>
      <c r="D985">
        <f>IF($A985="","",INDEX('05_KAIS'!$H:$H,$A985))</f>
        <v/>
      </c>
      <c r="E985">
        <f>IF($A985="","",INDEX('05_KAIS'!$K:$K,$A985))</f>
        <v/>
      </c>
      <c r="F985" s="202">
        <f>IF($A985="","",INDEX('05_KAIS'!$I:$I,$A985))</f>
        <v/>
      </c>
      <c r="G985" s="118">
        <f>IF($A985="","",INDEX('05_KAIS'!$L:$L,$A985))</f>
        <v/>
      </c>
      <c r="H985" s="118">
        <f>IF($A985="","",IFERROR(INDEX('05_KAIS'!$M:$M,$A985),IF(AND(E985&gt;0,G985&gt;0),G985/E985,"")))</f>
        <v/>
      </c>
      <c r="I985" s="202">
        <f>IF($A985="","",INDEX('05_KAIS'!$N:$N,$A985))</f>
        <v/>
      </c>
      <c r="J985">
        <f>IF(B985="","",IF('02_대상물건입력'!$B$5="",1,IF(ISNUMBER(SEARCH('02_대상물건입력'!$B$5,B985)),1,0)))</f>
        <v/>
      </c>
      <c r="K985">
        <f>IF(B985="","",IF('02_대상물건입력'!$B$6="",1,IF(ISNUMBER(SEARCH('02_대상물건입력'!$B$6,B985)),1,0)))</f>
        <v/>
      </c>
      <c r="L985">
        <f>IF(D985="","",IF('02_대상물건입력'!$B$8="",0,IF(ISNUMBER(SEARCH('02_대상물건입력'!$B$8,D985)),1,0)))</f>
        <v/>
      </c>
      <c r="M985">
        <f>IFERROR(ABS(E985-'02_대상물건입력'!$B$11)/'02_대상물건입력'!$B$11,"")</f>
        <v/>
      </c>
      <c r="N985">
        <f>IFERROR(ABS('01_설정'!$B$4-F985),"")</f>
        <v/>
      </c>
      <c r="O985">
        <f>IFERROR(ABS(YEAR(I985)-YEAR('02_대상물건입력'!$B$14)),"")</f>
        <v/>
      </c>
      <c r="P985">
        <f>IF(AND(E985&gt;0,F985&gt;0,G985&gt;0,IF('01_설정'!$B$10=1,J985=1,TRUE()),M985&lt;='01_설정'!$B$5,N985&lt;='01_설정'!$B$7,O985&lt;='01_설정'!$B$8),"Y","")</f>
        <v/>
      </c>
      <c r="Q985">
        <f>IF(P985&lt;&gt;"Y","",MAX(0,(1-M985/'01_설정'!$B$5))*'01_설정'!$B$14+MAX(0,(1-N985/'01_설정'!$B$7))*'01_설정'!$B$16+MAX(0,(1-O985/'01_설정'!$B$8))*'01_설정'!$B$17+K985*'01_설정'!$B$11+L985*'01_설정'!$B$12)</f>
        <v/>
      </c>
      <c r="R985">
        <f>IF(Q985="","",1+COUNTIFS($Q$31:$Q$1030,"&gt;"&amp;Q985)+COUNTIFS($Q$31:Q985,Q985)-1)</f>
        <v/>
      </c>
    </row>
    <row r="986" hidden="1" ht="16.5" customHeight="1">
      <c r="A986">
        <f>IF(COUNTA('05_KAIS'!$A974:$N974)=0,"",959)</f>
        <v/>
      </c>
      <c r="B986">
        <f>IF($A986="","",TRIM(INDEX('05_KAIS'!$B:$B,$A986)&amp;" "&amp;INDEX('05_KAIS'!$C:$C,$A986)))</f>
        <v/>
      </c>
      <c r="C986">
        <f>IF($A986="","",INDEX('05_KAIS'!$D:$D,$A986))</f>
        <v/>
      </c>
      <c r="D986">
        <f>IF($A986="","",INDEX('05_KAIS'!$H:$H,$A986))</f>
        <v/>
      </c>
      <c r="E986">
        <f>IF($A986="","",INDEX('05_KAIS'!$K:$K,$A986))</f>
        <v/>
      </c>
      <c r="F986" s="202">
        <f>IF($A986="","",INDEX('05_KAIS'!$I:$I,$A986))</f>
        <v/>
      </c>
      <c r="G986" s="118">
        <f>IF($A986="","",INDEX('05_KAIS'!$L:$L,$A986))</f>
        <v/>
      </c>
      <c r="H986" s="118">
        <f>IF($A986="","",IFERROR(INDEX('05_KAIS'!$M:$M,$A986),IF(AND(E986&gt;0,G986&gt;0),G986/E986,"")))</f>
        <v/>
      </c>
      <c r="I986" s="202">
        <f>IF($A986="","",INDEX('05_KAIS'!$N:$N,$A986))</f>
        <v/>
      </c>
      <c r="J986">
        <f>IF(B986="","",IF('02_대상물건입력'!$B$5="",1,IF(ISNUMBER(SEARCH('02_대상물건입력'!$B$5,B986)),1,0)))</f>
        <v/>
      </c>
      <c r="K986">
        <f>IF(B986="","",IF('02_대상물건입력'!$B$6="",1,IF(ISNUMBER(SEARCH('02_대상물건입력'!$B$6,B986)),1,0)))</f>
        <v/>
      </c>
      <c r="L986">
        <f>IF(D986="","",IF('02_대상물건입력'!$B$8="",0,IF(ISNUMBER(SEARCH('02_대상물건입력'!$B$8,D986)),1,0)))</f>
        <v/>
      </c>
      <c r="M986">
        <f>IFERROR(ABS(E986-'02_대상물건입력'!$B$11)/'02_대상물건입력'!$B$11,"")</f>
        <v/>
      </c>
      <c r="N986">
        <f>IFERROR(ABS('01_설정'!$B$4-F986),"")</f>
        <v/>
      </c>
      <c r="O986">
        <f>IFERROR(ABS(YEAR(I986)-YEAR('02_대상물건입력'!$B$14)),"")</f>
        <v/>
      </c>
      <c r="P986">
        <f>IF(AND(E986&gt;0,F986&gt;0,G986&gt;0,IF('01_설정'!$B$10=1,J986=1,TRUE()),M986&lt;='01_설정'!$B$5,N986&lt;='01_설정'!$B$7,O986&lt;='01_설정'!$B$8),"Y","")</f>
        <v/>
      </c>
      <c r="Q986">
        <f>IF(P986&lt;&gt;"Y","",MAX(0,(1-M986/'01_설정'!$B$5))*'01_설정'!$B$14+MAX(0,(1-N986/'01_설정'!$B$7))*'01_설정'!$B$16+MAX(0,(1-O986/'01_설정'!$B$8))*'01_설정'!$B$17+K986*'01_설정'!$B$11+L986*'01_설정'!$B$12)</f>
        <v/>
      </c>
      <c r="R986">
        <f>IF(Q986="","",1+COUNTIFS($Q$31:$Q$1030,"&gt;"&amp;Q986)+COUNTIFS($Q$31:Q986,Q986)-1)</f>
        <v/>
      </c>
    </row>
    <row r="987" hidden="1" ht="16.5" customHeight="1">
      <c r="A987">
        <f>IF(COUNTA('05_KAIS'!$A975:$N975)=0,"",960)</f>
        <v/>
      </c>
      <c r="B987">
        <f>IF($A987="","",TRIM(INDEX('05_KAIS'!$B:$B,$A987)&amp;" "&amp;INDEX('05_KAIS'!$C:$C,$A987)))</f>
        <v/>
      </c>
      <c r="C987">
        <f>IF($A987="","",INDEX('05_KAIS'!$D:$D,$A987))</f>
        <v/>
      </c>
      <c r="D987">
        <f>IF($A987="","",INDEX('05_KAIS'!$H:$H,$A987))</f>
        <v/>
      </c>
      <c r="E987">
        <f>IF($A987="","",INDEX('05_KAIS'!$K:$K,$A987))</f>
        <v/>
      </c>
      <c r="F987" s="202">
        <f>IF($A987="","",INDEX('05_KAIS'!$I:$I,$A987))</f>
        <v/>
      </c>
      <c r="G987" s="118">
        <f>IF($A987="","",INDEX('05_KAIS'!$L:$L,$A987))</f>
        <v/>
      </c>
      <c r="H987" s="118">
        <f>IF($A987="","",IFERROR(INDEX('05_KAIS'!$M:$M,$A987),IF(AND(E987&gt;0,G987&gt;0),G987/E987,"")))</f>
        <v/>
      </c>
      <c r="I987" s="202">
        <f>IF($A987="","",INDEX('05_KAIS'!$N:$N,$A987))</f>
        <v/>
      </c>
      <c r="J987">
        <f>IF(B987="","",IF('02_대상물건입력'!$B$5="",1,IF(ISNUMBER(SEARCH('02_대상물건입력'!$B$5,B987)),1,0)))</f>
        <v/>
      </c>
      <c r="K987">
        <f>IF(B987="","",IF('02_대상물건입력'!$B$6="",1,IF(ISNUMBER(SEARCH('02_대상물건입력'!$B$6,B987)),1,0)))</f>
        <v/>
      </c>
      <c r="L987">
        <f>IF(D987="","",IF('02_대상물건입력'!$B$8="",0,IF(ISNUMBER(SEARCH('02_대상물건입력'!$B$8,D987)),1,0)))</f>
        <v/>
      </c>
      <c r="M987">
        <f>IFERROR(ABS(E987-'02_대상물건입력'!$B$11)/'02_대상물건입력'!$B$11,"")</f>
        <v/>
      </c>
      <c r="N987">
        <f>IFERROR(ABS('01_설정'!$B$4-F987),"")</f>
        <v/>
      </c>
      <c r="O987">
        <f>IFERROR(ABS(YEAR(I987)-YEAR('02_대상물건입력'!$B$14)),"")</f>
        <v/>
      </c>
      <c r="P987">
        <f>IF(AND(E987&gt;0,F987&gt;0,G987&gt;0,IF('01_설정'!$B$10=1,J987=1,TRUE()),M987&lt;='01_설정'!$B$5,N987&lt;='01_설정'!$B$7,O987&lt;='01_설정'!$B$8),"Y","")</f>
        <v/>
      </c>
      <c r="Q987">
        <f>IF(P987&lt;&gt;"Y","",MAX(0,(1-M987/'01_설정'!$B$5))*'01_설정'!$B$14+MAX(0,(1-N987/'01_설정'!$B$7))*'01_설정'!$B$16+MAX(0,(1-O987/'01_설정'!$B$8))*'01_설정'!$B$17+K987*'01_설정'!$B$11+L987*'01_설정'!$B$12)</f>
        <v/>
      </c>
      <c r="R987">
        <f>IF(Q987="","",1+COUNTIFS($Q$31:$Q$1030,"&gt;"&amp;Q987)+COUNTIFS($Q$31:Q987,Q987)-1)</f>
        <v/>
      </c>
    </row>
    <row r="988" hidden="1" ht="16.5" customHeight="1">
      <c r="A988">
        <f>IF(COUNTA('05_KAIS'!$A976:$N976)=0,"",961)</f>
        <v/>
      </c>
      <c r="B988">
        <f>IF($A988="","",TRIM(INDEX('05_KAIS'!$B:$B,$A988)&amp;" "&amp;INDEX('05_KAIS'!$C:$C,$A988)))</f>
        <v/>
      </c>
      <c r="C988">
        <f>IF($A988="","",INDEX('05_KAIS'!$D:$D,$A988))</f>
        <v/>
      </c>
      <c r="D988">
        <f>IF($A988="","",INDEX('05_KAIS'!$H:$H,$A988))</f>
        <v/>
      </c>
      <c r="E988">
        <f>IF($A988="","",INDEX('05_KAIS'!$K:$K,$A988))</f>
        <v/>
      </c>
      <c r="F988" s="202">
        <f>IF($A988="","",INDEX('05_KAIS'!$I:$I,$A988))</f>
        <v/>
      </c>
      <c r="G988" s="118">
        <f>IF($A988="","",INDEX('05_KAIS'!$L:$L,$A988))</f>
        <v/>
      </c>
      <c r="H988" s="118">
        <f>IF($A988="","",IFERROR(INDEX('05_KAIS'!$M:$M,$A988),IF(AND(E988&gt;0,G988&gt;0),G988/E988,"")))</f>
        <v/>
      </c>
      <c r="I988" s="202">
        <f>IF($A988="","",INDEX('05_KAIS'!$N:$N,$A988))</f>
        <v/>
      </c>
      <c r="J988">
        <f>IF(B988="","",IF('02_대상물건입력'!$B$5="",1,IF(ISNUMBER(SEARCH('02_대상물건입력'!$B$5,B988)),1,0)))</f>
        <v/>
      </c>
      <c r="K988">
        <f>IF(B988="","",IF('02_대상물건입력'!$B$6="",1,IF(ISNUMBER(SEARCH('02_대상물건입력'!$B$6,B988)),1,0)))</f>
        <v/>
      </c>
      <c r="L988">
        <f>IF(D988="","",IF('02_대상물건입력'!$B$8="",0,IF(ISNUMBER(SEARCH('02_대상물건입력'!$B$8,D988)),1,0)))</f>
        <v/>
      </c>
      <c r="M988">
        <f>IFERROR(ABS(E988-'02_대상물건입력'!$B$11)/'02_대상물건입력'!$B$11,"")</f>
        <v/>
      </c>
      <c r="N988">
        <f>IFERROR(ABS('01_설정'!$B$4-F988),"")</f>
        <v/>
      </c>
      <c r="O988">
        <f>IFERROR(ABS(YEAR(I988)-YEAR('02_대상물건입력'!$B$14)),"")</f>
        <v/>
      </c>
      <c r="P988">
        <f>IF(AND(E988&gt;0,F988&gt;0,G988&gt;0,IF('01_설정'!$B$10=1,J988=1,TRUE()),M988&lt;='01_설정'!$B$5,N988&lt;='01_설정'!$B$7,O988&lt;='01_설정'!$B$8),"Y","")</f>
        <v/>
      </c>
      <c r="Q988">
        <f>IF(P988&lt;&gt;"Y","",MAX(0,(1-M988/'01_설정'!$B$5))*'01_설정'!$B$14+MAX(0,(1-N988/'01_설정'!$B$7))*'01_설정'!$B$16+MAX(0,(1-O988/'01_설정'!$B$8))*'01_설정'!$B$17+K988*'01_설정'!$B$11+L988*'01_설정'!$B$12)</f>
        <v/>
      </c>
      <c r="R988">
        <f>IF(Q988="","",1+COUNTIFS($Q$31:$Q$1030,"&gt;"&amp;Q988)+COUNTIFS($Q$31:Q988,Q988)-1)</f>
        <v/>
      </c>
    </row>
    <row r="989" hidden="1" ht="16.5" customHeight="1">
      <c r="A989">
        <f>IF(COUNTA('05_KAIS'!$A977:$N977)=0,"",962)</f>
        <v/>
      </c>
      <c r="B989">
        <f>IF($A989="","",TRIM(INDEX('05_KAIS'!$B:$B,$A989)&amp;" "&amp;INDEX('05_KAIS'!$C:$C,$A989)))</f>
        <v/>
      </c>
      <c r="C989">
        <f>IF($A989="","",INDEX('05_KAIS'!$D:$D,$A989))</f>
        <v/>
      </c>
      <c r="D989">
        <f>IF($A989="","",INDEX('05_KAIS'!$H:$H,$A989))</f>
        <v/>
      </c>
      <c r="E989">
        <f>IF($A989="","",INDEX('05_KAIS'!$K:$K,$A989))</f>
        <v/>
      </c>
      <c r="F989" s="202">
        <f>IF($A989="","",INDEX('05_KAIS'!$I:$I,$A989))</f>
        <v/>
      </c>
      <c r="G989" s="118">
        <f>IF($A989="","",INDEX('05_KAIS'!$L:$L,$A989))</f>
        <v/>
      </c>
      <c r="H989" s="118">
        <f>IF($A989="","",IFERROR(INDEX('05_KAIS'!$M:$M,$A989),IF(AND(E989&gt;0,G989&gt;0),G989/E989,"")))</f>
        <v/>
      </c>
      <c r="I989" s="202">
        <f>IF($A989="","",INDEX('05_KAIS'!$N:$N,$A989))</f>
        <v/>
      </c>
      <c r="J989">
        <f>IF(B989="","",IF('02_대상물건입력'!$B$5="",1,IF(ISNUMBER(SEARCH('02_대상물건입력'!$B$5,B989)),1,0)))</f>
        <v/>
      </c>
      <c r="K989">
        <f>IF(B989="","",IF('02_대상물건입력'!$B$6="",1,IF(ISNUMBER(SEARCH('02_대상물건입력'!$B$6,B989)),1,0)))</f>
        <v/>
      </c>
      <c r="L989">
        <f>IF(D989="","",IF('02_대상물건입력'!$B$8="",0,IF(ISNUMBER(SEARCH('02_대상물건입력'!$B$8,D989)),1,0)))</f>
        <v/>
      </c>
      <c r="M989">
        <f>IFERROR(ABS(E989-'02_대상물건입력'!$B$11)/'02_대상물건입력'!$B$11,"")</f>
        <v/>
      </c>
      <c r="N989">
        <f>IFERROR(ABS('01_설정'!$B$4-F989),"")</f>
        <v/>
      </c>
      <c r="O989">
        <f>IFERROR(ABS(YEAR(I989)-YEAR('02_대상물건입력'!$B$14)),"")</f>
        <v/>
      </c>
      <c r="P989">
        <f>IF(AND(E989&gt;0,F989&gt;0,G989&gt;0,IF('01_설정'!$B$10=1,J989=1,TRUE()),M989&lt;='01_설정'!$B$5,N989&lt;='01_설정'!$B$7,O989&lt;='01_설정'!$B$8),"Y","")</f>
        <v/>
      </c>
      <c r="Q989">
        <f>IF(P989&lt;&gt;"Y","",MAX(0,(1-M989/'01_설정'!$B$5))*'01_설정'!$B$14+MAX(0,(1-N989/'01_설정'!$B$7))*'01_설정'!$B$16+MAX(0,(1-O989/'01_설정'!$B$8))*'01_설정'!$B$17+K989*'01_설정'!$B$11+L989*'01_설정'!$B$12)</f>
        <v/>
      </c>
      <c r="R989">
        <f>IF(Q989="","",1+COUNTIFS($Q$31:$Q$1030,"&gt;"&amp;Q989)+COUNTIFS($Q$31:Q989,Q989)-1)</f>
        <v/>
      </c>
    </row>
    <row r="990" hidden="1" ht="16.5" customHeight="1">
      <c r="A990">
        <f>IF(COUNTA('05_KAIS'!$A978:$N978)=0,"",963)</f>
        <v/>
      </c>
      <c r="B990">
        <f>IF($A990="","",TRIM(INDEX('05_KAIS'!$B:$B,$A990)&amp;" "&amp;INDEX('05_KAIS'!$C:$C,$A990)))</f>
        <v/>
      </c>
      <c r="C990">
        <f>IF($A990="","",INDEX('05_KAIS'!$D:$D,$A990))</f>
        <v/>
      </c>
      <c r="D990">
        <f>IF($A990="","",INDEX('05_KAIS'!$H:$H,$A990))</f>
        <v/>
      </c>
      <c r="E990">
        <f>IF($A990="","",INDEX('05_KAIS'!$K:$K,$A990))</f>
        <v/>
      </c>
      <c r="F990" s="202">
        <f>IF($A990="","",INDEX('05_KAIS'!$I:$I,$A990))</f>
        <v/>
      </c>
      <c r="G990" s="118">
        <f>IF($A990="","",INDEX('05_KAIS'!$L:$L,$A990))</f>
        <v/>
      </c>
      <c r="H990" s="118">
        <f>IF($A990="","",IFERROR(INDEX('05_KAIS'!$M:$M,$A990),IF(AND(E990&gt;0,G990&gt;0),G990/E990,"")))</f>
        <v/>
      </c>
      <c r="I990" s="202">
        <f>IF($A990="","",INDEX('05_KAIS'!$N:$N,$A990))</f>
        <v/>
      </c>
      <c r="J990">
        <f>IF(B990="","",IF('02_대상물건입력'!$B$5="",1,IF(ISNUMBER(SEARCH('02_대상물건입력'!$B$5,B990)),1,0)))</f>
        <v/>
      </c>
      <c r="K990">
        <f>IF(B990="","",IF('02_대상물건입력'!$B$6="",1,IF(ISNUMBER(SEARCH('02_대상물건입력'!$B$6,B990)),1,0)))</f>
        <v/>
      </c>
      <c r="L990">
        <f>IF(D990="","",IF('02_대상물건입력'!$B$8="",0,IF(ISNUMBER(SEARCH('02_대상물건입력'!$B$8,D990)),1,0)))</f>
        <v/>
      </c>
      <c r="M990">
        <f>IFERROR(ABS(E990-'02_대상물건입력'!$B$11)/'02_대상물건입력'!$B$11,"")</f>
        <v/>
      </c>
      <c r="N990">
        <f>IFERROR(ABS('01_설정'!$B$4-F990),"")</f>
        <v/>
      </c>
      <c r="O990">
        <f>IFERROR(ABS(YEAR(I990)-YEAR('02_대상물건입력'!$B$14)),"")</f>
        <v/>
      </c>
      <c r="P990">
        <f>IF(AND(E990&gt;0,F990&gt;0,G990&gt;0,IF('01_설정'!$B$10=1,J990=1,TRUE()),M990&lt;='01_설정'!$B$5,N990&lt;='01_설정'!$B$7,O990&lt;='01_설정'!$B$8),"Y","")</f>
        <v/>
      </c>
      <c r="Q990">
        <f>IF(P990&lt;&gt;"Y","",MAX(0,(1-M990/'01_설정'!$B$5))*'01_설정'!$B$14+MAX(0,(1-N990/'01_설정'!$B$7))*'01_설정'!$B$16+MAX(0,(1-O990/'01_설정'!$B$8))*'01_설정'!$B$17+K990*'01_설정'!$B$11+L990*'01_설정'!$B$12)</f>
        <v/>
      </c>
      <c r="R990">
        <f>IF(Q990="","",1+COUNTIFS($Q$31:$Q$1030,"&gt;"&amp;Q990)+COUNTIFS($Q$31:Q990,Q990)-1)</f>
        <v/>
      </c>
    </row>
    <row r="991" hidden="1" ht="16.5" customHeight="1">
      <c r="A991">
        <f>IF(COUNTA('05_KAIS'!$A979:$N979)=0,"",964)</f>
        <v/>
      </c>
      <c r="B991">
        <f>IF($A991="","",TRIM(INDEX('05_KAIS'!$B:$B,$A991)&amp;" "&amp;INDEX('05_KAIS'!$C:$C,$A991)))</f>
        <v/>
      </c>
      <c r="C991">
        <f>IF($A991="","",INDEX('05_KAIS'!$D:$D,$A991))</f>
        <v/>
      </c>
      <c r="D991">
        <f>IF($A991="","",INDEX('05_KAIS'!$H:$H,$A991))</f>
        <v/>
      </c>
      <c r="E991">
        <f>IF($A991="","",INDEX('05_KAIS'!$K:$K,$A991))</f>
        <v/>
      </c>
      <c r="F991" s="202">
        <f>IF($A991="","",INDEX('05_KAIS'!$I:$I,$A991))</f>
        <v/>
      </c>
      <c r="G991" s="118">
        <f>IF($A991="","",INDEX('05_KAIS'!$L:$L,$A991))</f>
        <v/>
      </c>
      <c r="H991" s="118">
        <f>IF($A991="","",IFERROR(INDEX('05_KAIS'!$M:$M,$A991),IF(AND(E991&gt;0,G991&gt;0),G991/E991,"")))</f>
        <v/>
      </c>
      <c r="I991" s="202">
        <f>IF($A991="","",INDEX('05_KAIS'!$N:$N,$A991))</f>
        <v/>
      </c>
      <c r="J991">
        <f>IF(B991="","",IF('02_대상물건입력'!$B$5="",1,IF(ISNUMBER(SEARCH('02_대상물건입력'!$B$5,B991)),1,0)))</f>
        <v/>
      </c>
      <c r="K991">
        <f>IF(B991="","",IF('02_대상물건입력'!$B$6="",1,IF(ISNUMBER(SEARCH('02_대상물건입력'!$B$6,B991)),1,0)))</f>
        <v/>
      </c>
      <c r="L991">
        <f>IF(D991="","",IF('02_대상물건입력'!$B$8="",0,IF(ISNUMBER(SEARCH('02_대상물건입력'!$B$8,D991)),1,0)))</f>
        <v/>
      </c>
      <c r="M991">
        <f>IFERROR(ABS(E991-'02_대상물건입력'!$B$11)/'02_대상물건입력'!$B$11,"")</f>
        <v/>
      </c>
      <c r="N991">
        <f>IFERROR(ABS('01_설정'!$B$4-F991),"")</f>
        <v/>
      </c>
      <c r="O991">
        <f>IFERROR(ABS(YEAR(I991)-YEAR('02_대상물건입력'!$B$14)),"")</f>
        <v/>
      </c>
      <c r="P991">
        <f>IF(AND(E991&gt;0,F991&gt;0,G991&gt;0,IF('01_설정'!$B$10=1,J991=1,TRUE()),M991&lt;='01_설정'!$B$5,N991&lt;='01_설정'!$B$7,O991&lt;='01_설정'!$B$8),"Y","")</f>
        <v/>
      </c>
      <c r="Q991">
        <f>IF(P991&lt;&gt;"Y","",MAX(0,(1-M991/'01_설정'!$B$5))*'01_설정'!$B$14+MAX(0,(1-N991/'01_설정'!$B$7))*'01_설정'!$B$16+MAX(0,(1-O991/'01_설정'!$B$8))*'01_설정'!$B$17+K991*'01_설정'!$B$11+L991*'01_설정'!$B$12)</f>
        <v/>
      </c>
      <c r="R991">
        <f>IF(Q991="","",1+COUNTIFS($Q$31:$Q$1030,"&gt;"&amp;Q991)+COUNTIFS($Q$31:Q991,Q991)-1)</f>
        <v/>
      </c>
    </row>
    <row r="992" hidden="1" ht="16.5" customHeight="1">
      <c r="A992">
        <f>IF(COUNTA('05_KAIS'!$A980:$N980)=0,"",965)</f>
        <v/>
      </c>
      <c r="B992">
        <f>IF($A992="","",TRIM(INDEX('05_KAIS'!$B:$B,$A992)&amp;" "&amp;INDEX('05_KAIS'!$C:$C,$A992)))</f>
        <v/>
      </c>
      <c r="C992">
        <f>IF($A992="","",INDEX('05_KAIS'!$D:$D,$A992))</f>
        <v/>
      </c>
      <c r="D992">
        <f>IF($A992="","",INDEX('05_KAIS'!$H:$H,$A992))</f>
        <v/>
      </c>
      <c r="E992">
        <f>IF($A992="","",INDEX('05_KAIS'!$K:$K,$A992))</f>
        <v/>
      </c>
      <c r="F992" s="202">
        <f>IF($A992="","",INDEX('05_KAIS'!$I:$I,$A992))</f>
        <v/>
      </c>
      <c r="G992" s="118">
        <f>IF($A992="","",INDEX('05_KAIS'!$L:$L,$A992))</f>
        <v/>
      </c>
      <c r="H992" s="118">
        <f>IF($A992="","",IFERROR(INDEX('05_KAIS'!$M:$M,$A992),IF(AND(E992&gt;0,G992&gt;0),G992/E992,"")))</f>
        <v/>
      </c>
      <c r="I992" s="202">
        <f>IF($A992="","",INDEX('05_KAIS'!$N:$N,$A992))</f>
        <v/>
      </c>
      <c r="J992">
        <f>IF(B992="","",IF('02_대상물건입력'!$B$5="",1,IF(ISNUMBER(SEARCH('02_대상물건입력'!$B$5,B992)),1,0)))</f>
        <v/>
      </c>
      <c r="K992">
        <f>IF(B992="","",IF('02_대상물건입력'!$B$6="",1,IF(ISNUMBER(SEARCH('02_대상물건입력'!$B$6,B992)),1,0)))</f>
        <v/>
      </c>
      <c r="L992">
        <f>IF(D992="","",IF('02_대상물건입력'!$B$8="",0,IF(ISNUMBER(SEARCH('02_대상물건입력'!$B$8,D992)),1,0)))</f>
        <v/>
      </c>
      <c r="M992">
        <f>IFERROR(ABS(E992-'02_대상물건입력'!$B$11)/'02_대상물건입력'!$B$11,"")</f>
        <v/>
      </c>
      <c r="N992">
        <f>IFERROR(ABS('01_설정'!$B$4-F992),"")</f>
        <v/>
      </c>
      <c r="O992">
        <f>IFERROR(ABS(YEAR(I992)-YEAR('02_대상물건입력'!$B$14)),"")</f>
        <v/>
      </c>
      <c r="P992">
        <f>IF(AND(E992&gt;0,F992&gt;0,G992&gt;0,IF('01_설정'!$B$10=1,J992=1,TRUE()),M992&lt;='01_설정'!$B$5,N992&lt;='01_설정'!$B$7,O992&lt;='01_설정'!$B$8),"Y","")</f>
        <v/>
      </c>
      <c r="Q992">
        <f>IF(P992&lt;&gt;"Y","",MAX(0,(1-M992/'01_설정'!$B$5))*'01_설정'!$B$14+MAX(0,(1-N992/'01_설정'!$B$7))*'01_설정'!$B$16+MAX(0,(1-O992/'01_설정'!$B$8))*'01_설정'!$B$17+K992*'01_설정'!$B$11+L992*'01_설정'!$B$12)</f>
        <v/>
      </c>
      <c r="R992">
        <f>IF(Q992="","",1+COUNTIFS($Q$31:$Q$1030,"&gt;"&amp;Q992)+COUNTIFS($Q$31:Q992,Q992)-1)</f>
        <v/>
      </c>
    </row>
    <row r="993" hidden="1" ht="16.5" customHeight="1">
      <c r="A993">
        <f>IF(COUNTA('05_KAIS'!$A981:$N981)=0,"",966)</f>
        <v/>
      </c>
      <c r="B993">
        <f>IF($A993="","",TRIM(INDEX('05_KAIS'!$B:$B,$A993)&amp;" "&amp;INDEX('05_KAIS'!$C:$C,$A993)))</f>
        <v/>
      </c>
      <c r="C993">
        <f>IF($A993="","",INDEX('05_KAIS'!$D:$D,$A993))</f>
        <v/>
      </c>
      <c r="D993">
        <f>IF($A993="","",INDEX('05_KAIS'!$H:$H,$A993))</f>
        <v/>
      </c>
      <c r="E993">
        <f>IF($A993="","",INDEX('05_KAIS'!$K:$K,$A993))</f>
        <v/>
      </c>
      <c r="F993" s="202">
        <f>IF($A993="","",INDEX('05_KAIS'!$I:$I,$A993))</f>
        <v/>
      </c>
      <c r="G993" s="118">
        <f>IF($A993="","",INDEX('05_KAIS'!$L:$L,$A993))</f>
        <v/>
      </c>
      <c r="H993" s="118">
        <f>IF($A993="","",IFERROR(INDEX('05_KAIS'!$M:$M,$A993),IF(AND(E993&gt;0,G993&gt;0),G993/E993,"")))</f>
        <v/>
      </c>
      <c r="I993" s="202">
        <f>IF($A993="","",INDEX('05_KAIS'!$N:$N,$A993))</f>
        <v/>
      </c>
      <c r="J993">
        <f>IF(B993="","",IF('02_대상물건입력'!$B$5="",1,IF(ISNUMBER(SEARCH('02_대상물건입력'!$B$5,B993)),1,0)))</f>
        <v/>
      </c>
      <c r="K993">
        <f>IF(B993="","",IF('02_대상물건입력'!$B$6="",1,IF(ISNUMBER(SEARCH('02_대상물건입력'!$B$6,B993)),1,0)))</f>
        <v/>
      </c>
      <c r="L993">
        <f>IF(D993="","",IF('02_대상물건입력'!$B$8="",0,IF(ISNUMBER(SEARCH('02_대상물건입력'!$B$8,D993)),1,0)))</f>
        <v/>
      </c>
      <c r="M993">
        <f>IFERROR(ABS(E993-'02_대상물건입력'!$B$11)/'02_대상물건입력'!$B$11,"")</f>
        <v/>
      </c>
      <c r="N993">
        <f>IFERROR(ABS('01_설정'!$B$4-F993),"")</f>
        <v/>
      </c>
      <c r="O993">
        <f>IFERROR(ABS(YEAR(I993)-YEAR('02_대상물건입력'!$B$14)),"")</f>
        <v/>
      </c>
      <c r="P993">
        <f>IF(AND(E993&gt;0,F993&gt;0,G993&gt;0,IF('01_설정'!$B$10=1,J993=1,TRUE()),M993&lt;='01_설정'!$B$5,N993&lt;='01_설정'!$B$7,O993&lt;='01_설정'!$B$8),"Y","")</f>
        <v/>
      </c>
      <c r="Q993">
        <f>IF(P993&lt;&gt;"Y","",MAX(0,(1-M993/'01_설정'!$B$5))*'01_설정'!$B$14+MAX(0,(1-N993/'01_설정'!$B$7))*'01_설정'!$B$16+MAX(0,(1-O993/'01_설정'!$B$8))*'01_설정'!$B$17+K993*'01_설정'!$B$11+L993*'01_설정'!$B$12)</f>
        <v/>
      </c>
      <c r="R993">
        <f>IF(Q993="","",1+COUNTIFS($Q$31:$Q$1030,"&gt;"&amp;Q993)+COUNTIFS($Q$31:Q993,Q993)-1)</f>
        <v/>
      </c>
    </row>
    <row r="994" hidden="1" ht="16.5" customHeight="1">
      <c r="A994">
        <f>IF(COUNTA('05_KAIS'!$A982:$N982)=0,"",967)</f>
        <v/>
      </c>
      <c r="B994">
        <f>IF($A994="","",TRIM(INDEX('05_KAIS'!$B:$B,$A994)&amp;" "&amp;INDEX('05_KAIS'!$C:$C,$A994)))</f>
        <v/>
      </c>
      <c r="C994">
        <f>IF($A994="","",INDEX('05_KAIS'!$D:$D,$A994))</f>
        <v/>
      </c>
      <c r="D994">
        <f>IF($A994="","",INDEX('05_KAIS'!$H:$H,$A994))</f>
        <v/>
      </c>
      <c r="E994">
        <f>IF($A994="","",INDEX('05_KAIS'!$K:$K,$A994))</f>
        <v/>
      </c>
      <c r="F994" s="202">
        <f>IF($A994="","",INDEX('05_KAIS'!$I:$I,$A994))</f>
        <v/>
      </c>
      <c r="G994" s="118">
        <f>IF($A994="","",INDEX('05_KAIS'!$L:$L,$A994))</f>
        <v/>
      </c>
      <c r="H994" s="118">
        <f>IF($A994="","",IFERROR(INDEX('05_KAIS'!$M:$M,$A994),IF(AND(E994&gt;0,G994&gt;0),G994/E994,"")))</f>
        <v/>
      </c>
      <c r="I994" s="202">
        <f>IF($A994="","",INDEX('05_KAIS'!$N:$N,$A994))</f>
        <v/>
      </c>
      <c r="J994">
        <f>IF(B994="","",IF('02_대상물건입력'!$B$5="",1,IF(ISNUMBER(SEARCH('02_대상물건입력'!$B$5,B994)),1,0)))</f>
        <v/>
      </c>
      <c r="K994">
        <f>IF(B994="","",IF('02_대상물건입력'!$B$6="",1,IF(ISNUMBER(SEARCH('02_대상물건입력'!$B$6,B994)),1,0)))</f>
        <v/>
      </c>
      <c r="L994">
        <f>IF(D994="","",IF('02_대상물건입력'!$B$8="",0,IF(ISNUMBER(SEARCH('02_대상물건입력'!$B$8,D994)),1,0)))</f>
        <v/>
      </c>
      <c r="M994">
        <f>IFERROR(ABS(E994-'02_대상물건입력'!$B$11)/'02_대상물건입력'!$B$11,"")</f>
        <v/>
      </c>
      <c r="N994">
        <f>IFERROR(ABS('01_설정'!$B$4-F994),"")</f>
        <v/>
      </c>
      <c r="O994">
        <f>IFERROR(ABS(YEAR(I994)-YEAR('02_대상물건입력'!$B$14)),"")</f>
        <v/>
      </c>
      <c r="P994">
        <f>IF(AND(E994&gt;0,F994&gt;0,G994&gt;0,IF('01_설정'!$B$10=1,J994=1,TRUE()),M994&lt;='01_설정'!$B$5,N994&lt;='01_설정'!$B$7,O994&lt;='01_설정'!$B$8),"Y","")</f>
        <v/>
      </c>
      <c r="Q994">
        <f>IF(P994&lt;&gt;"Y","",MAX(0,(1-M994/'01_설정'!$B$5))*'01_설정'!$B$14+MAX(0,(1-N994/'01_설정'!$B$7))*'01_설정'!$B$16+MAX(0,(1-O994/'01_설정'!$B$8))*'01_설정'!$B$17+K994*'01_설정'!$B$11+L994*'01_설정'!$B$12)</f>
        <v/>
      </c>
      <c r="R994">
        <f>IF(Q994="","",1+COUNTIFS($Q$31:$Q$1030,"&gt;"&amp;Q994)+COUNTIFS($Q$31:Q994,Q994)-1)</f>
        <v/>
      </c>
    </row>
    <row r="995" hidden="1" ht="16.5" customHeight="1">
      <c r="A995">
        <f>IF(COUNTA('05_KAIS'!$A983:$N983)=0,"",968)</f>
        <v/>
      </c>
      <c r="B995">
        <f>IF($A995="","",TRIM(INDEX('05_KAIS'!$B:$B,$A995)&amp;" "&amp;INDEX('05_KAIS'!$C:$C,$A995)))</f>
        <v/>
      </c>
      <c r="C995">
        <f>IF($A995="","",INDEX('05_KAIS'!$D:$D,$A995))</f>
        <v/>
      </c>
      <c r="D995">
        <f>IF($A995="","",INDEX('05_KAIS'!$H:$H,$A995))</f>
        <v/>
      </c>
      <c r="E995">
        <f>IF($A995="","",INDEX('05_KAIS'!$K:$K,$A995))</f>
        <v/>
      </c>
      <c r="F995" s="202">
        <f>IF($A995="","",INDEX('05_KAIS'!$I:$I,$A995))</f>
        <v/>
      </c>
      <c r="G995" s="118">
        <f>IF($A995="","",INDEX('05_KAIS'!$L:$L,$A995))</f>
        <v/>
      </c>
      <c r="H995" s="118">
        <f>IF($A995="","",IFERROR(INDEX('05_KAIS'!$M:$M,$A995),IF(AND(E995&gt;0,G995&gt;0),G995/E995,"")))</f>
        <v/>
      </c>
      <c r="I995" s="202">
        <f>IF($A995="","",INDEX('05_KAIS'!$N:$N,$A995))</f>
        <v/>
      </c>
      <c r="J995">
        <f>IF(B995="","",IF('02_대상물건입력'!$B$5="",1,IF(ISNUMBER(SEARCH('02_대상물건입력'!$B$5,B995)),1,0)))</f>
        <v/>
      </c>
      <c r="K995">
        <f>IF(B995="","",IF('02_대상물건입력'!$B$6="",1,IF(ISNUMBER(SEARCH('02_대상물건입력'!$B$6,B995)),1,0)))</f>
        <v/>
      </c>
      <c r="L995">
        <f>IF(D995="","",IF('02_대상물건입력'!$B$8="",0,IF(ISNUMBER(SEARCH('02_대상물건입력'!$B$8,D995)),1,0)))</f>
        <v/>
      </c>
      <c r="M995">
        <f>IFERROR(ABS(E995-'02_대상물건입력'!$B$11)/'02_대상물건입력'!$B$11,"")</f>
        <v/>
      </c>
      <c r="N995">
        <f>IFERROR(ABS('01_설정'!$B$4-F995),"")</f>
        <v/>
      </c>
      <c r="O995">
        <f>IFERROR(ABS(YEAR(I995)-YEAR('02_대상물건입력'!$B$14)),"")</f>
        <v/>
      </c>
      <c r="P995">
        <f>IF(AND(E995&gt;0,F995&gt;0,G995&gt;0,IF('01_설정'!$B$10=1,J995=1,TRUE()),M995&lt;='01_설정'!$B$5,N995&lt;='01_설정'!$B$7,O995&lt;='01_설정'!$B$8),"Y","")</f>
        <v/>
      </c>
      <c r="Q995">
        <f>IF(P995&lt;&gt;"Y","",MAX(0,(1-M995/'01_설정'!$B$5))*'01_설정'!$B$14+MAX(0,(1-N995/'01_설정'!$B$7))*'01_설정'!$B$16+MAX(0,(1-O995/'01_설정'!$B$8))*'01_설정'!$B$17+K995*'01_설정'!$B$11+L995*'01_설정'!$B$12)</f>
        <v/>
      </c>
      <c r="R995">
        <f>IF(Q995="","",1+COUNTIFS($Q$31:$Q$1030,"&gt;"&amp;Q995)+COUNTIFS($Q$31:Q995,Q995)-1)</f>
        <v/>
      </c>
    </row>
    <row r="996" hidden="1" ht="16.5" customHeight="1">
      <c r="A996">
        <f>IF(COUNTA('05_KAIS'!$A984:$N984)=0,"",969)</f>
        <v/>
      </c>
      <c r="B996">
        <f>IF($A996="","",TRIM(INDEX('05_KAIS'!$B:$B,$A996)&amp;" "&amp;INDEX('05_KAIS'!$C:$C,$A996)))</f>
        <v/>
      </c>
      <c r="C996">
        <f>IF($A996="","",INDEX('05_KAIS'!$D:$D,$A996))</f>
        <v/>
      </c>
      <c r="D996">
        <f>IF($A996="","",INDEX('05_KAIS'!$H:$H,$A996))</f>
        <v/>
      </c>
      <c r="E996">
        <f>IF($A996="","",INDEX('05_KAIS'!$K:$K,$A996))</f>
        <v/>
      </c>
      <c r="F996" s="202">
        <f>IF($A996="","",INDEX('05_KAIS'!$I:$I,$A996))</f>
        <v/>
      </c>
      <c r="G996" s="118">
        <f>IF($A996="","",INDEX('05_KAIS'!$L:$L,$A996))</f>
        <v/>
      </c>
      <c r="H996" s="118">
        <f>IF($A996="","",IFERROR(INDEX('05_KAIS'!$M:$M,$A996),IF(AND(E996&gt;0,G996&gt;0),G996/E996,"")))</f>
        <v/>
      </c>
      <c r="I996" s="202">
        <f>IF($A996="","",INDEX('05_KAIS'!$N:$N,$A996))</f>
        <v/>
      </c>
      <c r="J996">
        <f>IF(B996="","",IF('02_대상물건입력'!$B$5="",1,IF(ISNUMBER(SEARCH('02_대상물건입력'!$B$5,B996)),1,0)))</f>
        <v/>
      </c>
      <c r="K996">
        <f>IF(B996="","",IF('02_대상물건입력'!$B$6="",1,IF(ISNUMBER(SEARCH('02_대상물건입력'!$B$6,B996)),1,0)))</f>
        <v/>
      </c>
      <c r="L996">
        <f>IF(D996="","",IF('02_대상물건입력'!$B$8="",0,IF(ISNUMBER(SEARCH('02_대상물건입력'!$B$8,D996)),1,0)))</f>
        <v/>
      </c>
      <c r="M996">
        <f>IFERROR(ABS(E996-'02_대상물건입력'!$B$11)/'02_대상물건입력'!$B$11,"")</f>
        <v/>
      </c>
      <c r="N996">
        <f>IFERROR(ABS('01_설정'!$B$4-F996),"")</f>
        <v/>
      </c>
      <c r="O996">
        <f>IFERROR(ABS(YEAR(I996)-YEAR('02_대상물건입력'!$B$14)),"")</f>
        <v/>
      </c>
      <c r="P996">
        <f>IF(AND(E996&gt;0,F996&gt;0,G996&gt;0,IF('01_설정'!$B$10=1,J996=1,TRUE()),M996&lt;='01_설정'!$B$5,N996&lt;='01_설정'!$B$7,O996&lt;='01_설정'!$B$8),"Y","")</f>
        <v/>
      </c>
      <c r="Q996">
        <f>IF(P996&lt;&gt;"Y","",MAX(0,(1-M996/'01_설정'!$B$5))*'01_설정'!$B$14+MAX(0,(1-N996/'01_설정'!$B$7))*'01_설정'!$B$16+MAX(0,(1-O996/'01_설정'!$B$8))*'01_설정'!$B$17+K996*'01_설정'!$B$11+L996*'01_설정'!$B$12)</f>
        <v/>
      </c>
      <c r="R996">
        <f>IF(Q996="","",1+COUNTIFS($Q$31:$Q$1030,"&gt;"&amp;Q996)+COUNTIFS($Q$31:Q996,Q996)-1)</f>
        <v/>
      </c>
    </row>
    <row r="997" hidden="1" ht="16.5" customHeight="1">
      <c r="A997">
        <f>IF(COUNTA('05_KAIS'!$A985:$N985)=0,"",970)</f>
        <v/>
      </c>
      <c r="B997">
        <f>IF($A997="","",TRIM(INDEX('05_KAIS'!$B:$B,$A997)&amp;" "&amp;INDEX('05_KAIS'!$C:$C,$A997)))</f>
        <v/>
      </c>
      <c r="C997">
        <f>IF($A997="","",INDEX('05_KAIS'!$D:$D,$A997))</f>
        <v/>
      </c>
      <c r="D997">
        <f>IF($A997="","",INDEX('05_KAIS'!$H:$H,$A997))</f>
        <v/>
      </c>
      <c r="E997">
        <f>IF($A997="","",INDEX('05_KAIS'!$K:$K,$A997))</f>
        <v/>
      </c>
      <c r="F997" s="202">
        <f>IF($A997="","",INDEX('05_KAIS'!$I:$I,$A997))</f>
        <v/>
      </c>
      <c r="G997" s="118">
        <f>IF($A997="","",INDEX('05_KAIS'!$L:$L,$A997))</f>
        <v/>
      </c>
      <c r="H997" s="118">
        <f>IF($A997="","",IFERROR(INDEX('05_KAIS'!$M:$M,$A997),IF(AND(E997&gt;0,G997&gt;0),G997/E997,"")))</f>
        <v/>
      </c>
      <c r="I997" s="202">
        <f>IF($A997="","",INDEX('05_KAIS'!$N:$N,$A997))</f>
        <v/>
      </c>
      <c r="J997">
        <f>IF(B997="","",IF('02_대상물건입력'!$B$5="",1,IF(ISNUMBER(SEARCH('02_대상물건입력'!$B$5,B997)),1,0)))</f>
        <v/>
      </c>
      <c r="K997">
        <f>IF(B997="","",IF('02_대상물건입력'!$B$6="",1,IF(ISNUMBER(SEARCH('02_대상물건입력'!$B$6,B997)),1,0)))</f>
        <v/>
      </c>
      <c r="L997">
        <f>IF(D997="","",IF('02_대상물건입력'!$B$8="",0,IF(ISNUMBER(SEARCH('02_대상물건입력'!$B$8,D997)),1,0)))</f>
        <v/>
      </c>
      <c r="M997">
        <f>IFERROR(ABS(E997-'02_대상물건입력'!$B$11)/'02_대상물건입력'!$B$11,"")</f>
        <v/>
      </c>
      <c r="N997">
        <f>IFERROR(ABS('01_설정'!$B$4-F997),"")</f>
        <v/>
      </c>
      <c r="O997">
        <f>IFERROR(ABS(YEAR(I997)-YEAR('02_대상물건입력'!$B$14)),"")</f>
        <v/>
      </c>
      <c r="P997">
        <f>IF(AND(E997&gt;0,F997&gt;0,G997&gt;0,IF('01_설정'!$B$10=1,J997=1,TRUE()),M997&lt;='01_설정'!$B$5,N997&lt;='01_설정'!$B$7,O997&lt;='01_설정'!$B$8),"Y","")</f>
        <v/>
      </c>
      <c r="Q997">
        <f>IF(P997&lt;&gt;"Y","",MAX(0,(1-M997/'01_설정'!$B$5))*'01_설정'!$B$14+MAX(0,(1-N997/'01_설정'!$B$7))*'01_설정'!$B$16+MAX(0,(1-O997/'01_설정'!$B$8))*'01_설정'!$B$17+K997*'01_설정'!$B$11+L997*'01_설정'!$B$12)</f>
        <v/>
      </c>
      <c r="R997">
        <f>IF(Q997="","",1+COUNTIFS($Q$31:$Q$1030,"&gt;"&amp;Q997)+COUNTIFS($Q$31:Q997,Q997)-1)</f>
        <v/>
      </c>
    </row>
    <row r="998" hidden="1" ht="16.5" customHeight="1">
      <c r="A998">
        <f>IF(COUNTA('05_KAIS'!$A986:$N986)=0,"",971)</f>
        <v/>
      </c>
      <c r="B998">
        <f>IF($A998="","",TRIM(INDEX('05_KAIS'!$B:$B,$A998)&amp;" "&amp;INDEX('05_KAIS'!$C:$C,$A998)))</f>
        <v/>
      </c>
      <c r="C998">
        <f>IF($A998="","",INDEX('05_KAIS'!$D:$D,$A998))</f>
        <v/>
      </c>
      <c r="D998">
        <f>IF($A998="","",INDEX('05_KAIS'!$H:$H,$A998))</f>
        <v/>
      </c>
      <c r="E998">
        <f>IF($A998="","",INDEX('05_KAIS'!$K:$K,$A998))</f>
        <v/>
      </c>
      <c r="F998" s="202">
        <f>IF($A998="","",INDEX('05_KAIS'!$I:$I,$A998))</f>
        <v/>
      </c>
      <c r="G998" s="118">
        <f>IF($A998="","",INDEX('05_KAIS'!$L:$L,$A998))</f>
        <v/>
      </c>
      <c r="H998" s="118">
        <f>IF($A998="","",IFERROR(INDEX('05_KAIS'!$M:$M,$A998),IF(AND(E998&gt;0,G998&gt;0),G998/E998,"")))</f>
        <v/>
      </c>
      <c r="I998" s="202">
        <f>IF($A998="","",INDEX('05_KAIS'!$N:$N,$A998))</f>
        <v/>
      </c>
      <c r="J998">
        <f>IF(B998="","",IF('02_대상물건입력'!$B$5="",1,IF(ISNUMBER(SEARCH('02_대상물건입력'!$B$5,B998)),1,0)))</f>
        <v/>
      </c>
      <c r="K998">
        <f>IF(B998="","",IF('02_대상물건입력'!$B$6="",1,IF(ISNUMBER(SEARCH('02_대상물건입력'!$B$6,B998)),1,0)))</f>
        <v/>
      </c>
      <c r="L998">
        <f>IF(D998="","",IF('02_대상물건입력'!$B$8="",0,IF(ISNUMBER(SEARCH('02_대상물건입력'!$B$8,D998)),1,0)))</f>
        <v/>
      </c>
      <c r="M998">
        <f>IFERROR(ABS(E998-'02_대상물건입력'!$B$11)/'02_대상물건입력'!$B$11,"")</f>
        <v/>
      </c>
      <c r="N998">
        <f>IFERROR(ABS('01_설정'!$B$4-F998),"")</f>
        <v/>
      </c>
      <c r="O998">
        <f>IFERROR(ABS(YEAR(I998)-YEAR('02_대상물건입력'!$B$14)),"")</f>
        <v/>
      </c>
      <c r="P998">
        <f>IF(AND(E998&gt;0,F998&gt;0,G998&gt;0,IF('01_설정'!$B$10=1,J998=1,TRUE()),M998&lt;='01_설정'!$B$5,N998&lt;='01_설정'!$B$7,O998&lt;='01_설정'!$B$8),"Y","")</f>
        <v/>
      </c>
      <c r="Q998">
        <f>IF(P998&lt;&gt;"Y","",MAX(0,(1-M998/'01_설정'!$B$5))*'01_설정'!$B$14+MAX(0,(1-N998/'01_설정'!$B$7))*'01_설정'!$B$16+MAX(0,(1-O998/'01_설정'!$B$8))*'01_설정'!$B$17+K998*'01_설정'!$B$11+L998*'01_설정'!$B$12)</f>
        <v/>
      </c>
      <c r="R998">
        <f>IF(Q998="","",1+COUNTIFS($Q$31:$Q$1030,"&gt;"&amp;Q998)+COUNTIFS($Q$31:Q998,Q998)-1)</f>
        <v/>
      </c>
    </row>
    <row r="999" hidden="1" ht="16.5" customHeight="1">
      <c r="A999">
        <f>IF(COUNTA('05_KAIS'!$A987:$N987)=0,"",972)</f>
        <v/>
      </c>
      <c r="B999">
        <f>IF($A999="","",TRIM(INDEX('05_KAIS'!$B:$B,$A999)&amp;" "&amp;INDEX('05_KAIS'!$C:$C,$A999)))</f>
        <v/>
      </c>
      <c r="C999">
        <f>IF($A999="","",INDEX('05_KAIS'!$D:$D,$A999))</f>
        <v/>
      </c>
      <c r="D999">
        <f>IF($A999="","",INDEX('05_KAIS'!$H:$H,$A999))</f>
        <v/>
      </c>
      <c r="E999">
        <f>IF($A999="","",INDEX('05_KAIS'!$K:$K,$A999))</f>
        <v/>
      </c>
      <c r="F999" s="202">
        <f>IF($A999="","",INDEX('05_KAIS'!$I:$I,$A999))</f>
        <v/>
      </c>
      <c r="G999" s="118">
        <f>IF($A999="","",INDEX('05_KAIS'!$L:$L,$A999))</f>
        <v/>
      </c>
      <c r="H999" s="118">
        <f>IF($A999="","",IFERROR(INDEX('05_KAIS'!$M:$M,$A999),IF(AND(E999&gt;0,G999&gt;0),G999/E999,"")))</f>
        <v/>
      </c>
      <c r="I999" s="202">
        <f>IF($A999="","",INDEX('05_KAIS'!$N:$N,$A999))</f>
        <v/>
      </c>
      <c r="J999">
        <f>IF(B999="","",IF('02_대상물건입력'!$B$5="",1,IF(ISNUMBER(SEARCH('02_대상물건입력'!$B$5,B999)),1,0)))</f>
        <v/>
      </c>
      <c r="K999">
        <f>IF(B999="","",IF('02_대상물건입력'!$B$6="",1,IF(ISNUMBER(SEARCH('02_대상물건입력'!$B$6,B999)),1,0)))</f>
        <v/>
      </c>
      <c r="L999">
        <f>IF(D999="","",IF('02_대상물건입력'!$B$8="",0,IF(ISNUMBER(SEARCH('02_대상물건입력'!$B$8,D999)),1,0)))</f>
        <v/>
      </c>
      <c r="M999">
        <f>IFERROR(ABS(E999-'02_대상물건입력'!$B$11)/'02_대상물건입력'!$B$11,"")</f>
        <v/>
      </c>
      <c r="N999">
        <f>IFERROR(ABS('01_설정'!$B$4-F999),"")</f>
        <v/>
      </c>
      <c r="O999">
        <f>IFERROR(ABS(YEAR(I999)-YEAR('02_대상물건입력'!$B$14)),"")</f>
        <v/>
      </c>
      <c r="P999">
        <f>IF(AND(E999&gt;0,F999&gt;0,G999&gt;0,IF('01_설정'!$B$10=1,J999=1,TRUE()),M999&lt;='01_설정'!$B$5,N999&lt;='01_설정'!$B$7,O999&lt;='01_설정'!$B$8),"Y","")</f>
        <v/>
      </c>
      <c r="Q999">
        <f>IF(P999&lt;&gt;"Y","",MAX(0,(1-M999/'01_설정'!$B$5))*'01_설정'!$B$14+MAX(0,(1-N999/'01_설정'!$B$7))*'01_설정'!$B$16+MAX(0,(1-O999/'01_설정'!$B$8))*'01_설정'!$B$17+K999*'01_설정'!$B$11+L999*'01_설정'!$B$12)</f>
        <v/>
      </c>
      <c r="R999">
        <f>IF(Q999="","",1+COUNTIFS($Q$31:$Q$1030,"&gt;"&amp;Q999)+COUNTIFS($Q$31:Q999,Q999)-1)</f>
        <v/>
      </c>
    </row>
    <row r="1000" hidden="1" ht="16.5" customHeight="1">
      <c r="A1000">
        <f>IF(COUNTA('05_KAIS'!$A988:$N988)=0,"",973)</f>
        <v/>
      </c>
      <c r="B1000">
        <f>IF($A1000="","",TRIM(INDEX('05_KAIS'!$B:$B,$A1000)&amp;" "&amp;INDEX('05_KAIS'!$C:$C,$A1000)))</f>
        <v/>
      </c>
      <c r="C1000">
        <f>IF($A1000="","",INDEX('05_KAIS'!$D:$D,$A1000))</f>
        <v/>
      </c>
      <c r="D1000">
        <f>IF($A1000="","",INDEX('05_KAIS'!$H:$H,$A1000))</f>
        <v/>
      </c>
      <c r="E1000">
        <f>IF($A1000="","",INDEX('05_KAIS'!$K:$K,$A1000))</f>
        <v/>
      </c>
      <c r="F1000" s="202">
        <f>IF($A1000="","",INDEX('05_KAIS'!$I:$I,$A1000))</f>
        <v/>
      </c>
      <c r="G1000" s="118">
        <f>IF($A1000="","",INDEX('05_KAIS'!$L:$L,$A1000))</f>
        <v/>
      </c>
      <c r="H1000" s="118">
        <f>IF($A1000="","",IFERROR(INDEX('05_KAIS'!$M:$M,$A1000),IF(AND(E1000&gt;0,G1000&gt;0),G1000/E1000,"")))</f>
        <v/>
      </c>
      <c r="I1000" s="202">
        <f>IF($A1000="","",INDEX('05_KAIS'!$N:$N,$A1000))</f>
        <v/>
      </c>
      <c r="J1000">
        <f>IF(B1000="","",IF('02_대상물건입력'!$B$5="",1,IF(ISNUMBER(SEARCH('02_대상물건입력'!$B$5,B1000)),1,0)))</f>
        <v/>
      </c>
      <c r="K1000">
        <f>IF(B1000="","",IF('02_대상물건입력'!$B$6="",1,IF(ISNUMBER(SEARCH('02_대상물건입력'!$B$6,B1000)),1,0)))</f>
        <v/>
      </c>
      <c r="L1000">
        <f>IF(D1000="","",IF('02_대상물건입력'!$B$8="",0,IF(ISNUMBER(SEARCH('02_대상물건입력'!$B$8,D1000)),1,0)))</f>
        <v/>
      </c>
      <c r="M1000">
        <f>IFERROR(ABS(E1000-'02_대상물건입력'!$B$11)/'02_대상물건입력'!$B$11,"")</f>
        <v/>
      </c>
      <c r="N1000">
        <f>IFERROR(ABS('01_설정'!$B$4-F1000),"")</f>
        <v/>
      </c>
      <c r="O1000">
        <f>IFERROR(ABS(YEAR(I1000)-YEAR('02_대상물건입력'!$B$14)),"")</f>
        <v/>
      </c>
      <c r="P1000">
        <f>IF(AND(E1000&gt;0,F1000&gt;0,G1000&gt;0,IF('01_설정'!$B$10=1,J1000=1,TRUE()),M1000&lt;='01_설정'!$B$5,N1000&lt;='01_설정'!$B$7,O1000&lt;='01_설정'!$B$8),"Y","")</f>
        <v/>
      </c>
      <c r="Q1000">
        <f>IF(P1000&lt;&gt;"Y","",MAX(0,(1-M1000/'01_설정'!$B$5))*'01_설정'!$B$14+MAX(0,(1-N1000/'01_설정'!$B$7))*'01_설정'!$B$16+MAX(0,(1-O1000/'01_설정'!$B$8))*'01_설정'!$B$17+K1000*'01_설정'!$B$11+L1000*'01_설정'!$B$12)</f>
        <v/>
      </c>
      <c r="R1000">
        <f>IF(Q1000="","",1+COUNTIFS($Q$31:$Q$1030,"&gt;"&amp;Q1000)+COUNTIFS($Q$31:Q1000,Q1000)-1)</f>
        <v/>
      </c>
    </row>
    <row r="1001" hidden="1" ht="16.5" customHeight="1">
      <c r="A1001">
        <f>IF(COUNTA('05_KAIS'!$A989:$N989)=0,"",974)</f>
        <v/>
      </c>
      <c r="B1001">
        <f>IF($A1001="","",TRIM(INDEX('05_KAIS'!$B:$B,$A1001)&amp;" "&amp;INDEX('05_KAIS'!$C:$C,$A1001)))</f>
        <v/>
      </c>
      <c r="C1001">
        <f>IF($A1001="","",INDEX('05_KAIS'!$D:$D,$A1001))</f>
        <v/>
      </c>
      <c r="D1001">
        <f>IF($A1001="","",INDEX('05_KAIS'!$H:$H,$A1001))</f>
        <v/>
      </c>
      <c r="E1001">
        <f>IF($A1001="","",INDEX('05_KAIS'!$K:$K,$A1001))</f>
        <v/>
      </c>
      <c r="F1001" s="202">
        <f>IF($A1001="","",INDEX('05_KAIS'!$I:$I,$A1001))</f>
        <v/>
      </c>
      <c r="G1001" s="118">
        <f>IF($A1001="","",INDEX('05_KAIS'!$L:$L,$A1001))</f>
        <v/>
      </c>
      <c r="H1001" s="118">
        <f>IF($A1001="","",IFERROR(INDEX('05_KAIS'!$M:$M,$A1001),IF(AND(E1001&gt;0,G1001&gt;0),G1001/E1001,"")))</f>
        <v/>
      </c>
      <c r="I1001" s="202">
        <f>IF($A1001="","",INDEX('05_KAIS'!$N:$N,$A1001))</f>
        <v/>
      </c>
      <c r="J1001">
        <f>IF(B1001="","",IF('02_대상물건입력'!$B$5="",1,IF(ISNUMBER(SEARCH('02_대상물건입력'!$B$5,B1001)),1,0)))</f>
        <v/>
      </c>
      <c r="K1001">
        <f>IF(B1001="","",IF('02_대상물건입력'!$B$6="",1,IF(ISNUMBER(SEARCH('02_대상물건입력'!$B$6,B1001)),1,0)))</f>
        <v/>
      </c>
      <c r="L1001">
        <f>IF(D1001="","",IF('02_대상물건입력'!$B$8="",0,IF(ISNUMBER(SEARCH('02_대상물건입력'!$B$8,D1001)),1,0)))</f>
        <v/>
      </c>
      <c r="M1001">
        <f>IFERROR(ABS(E1001-'02_대상물건입력'!$B$11)/'02_대상물건입력'!$B$11,"")</f>
        <v/>
      </c>
      <c r="N1001">
        <f>IFERROR(ABS('01_설정'!$B$4-F1001),"")</f>
        <v/>
      </c>
      <c r="O1001">
        <f>IFERROR(ABS(YEAR(I1001)-YEAR('02_대상물건입력'!$B$14)),"")</f>
        <v/>
      </c>
      <c r="P1001">
        <f>IF(AND(E1001&gt;0,F1001&gt;0,G1001&gt;0,IF('01_설정'!$B$10=1,J1001=1,TRUE()),M1001&lt;='01_설정'!$B$5,N1001&lt;='01_설정'!$B$7,O1001&lt;='01_설정'!$B$8),"Y","")</f>
        <v/>
      </c>
      <c r="Q1001">
        <f>IF(P1001&lt;&gt;"Y","",MAX(0,(1-M1001/'01_설정'!$B$5))*'01_설정'!$B$14+MAX(0,(1-N1001/'01_설정'!$B$7))*'01_설정'!$B$16+MAX(0,(1-O1001/'01_설정'!$B$8))*'01_설정'!$B$17+K1001*'01_설정'!$B$11+L1001*'01_설정'!$B$12)</f>
        <v/>
      </c>
      <c r="R1001">
        <f>IF(Q1001="","",1+COUNTIFS($Q$31:$Q$1030,"&gt;"&amp;Q1001)+COUNTIFS($Q$31:Q1001,Q1001)-1)</f>
        <v/>
      </c>
    </row>
    <row r="1002" hidden="1" ht="16.5" customHeight="1">
      <c r="A1002">
        <f>IF(COUNTA('05_KAIS'!$A990:$N990)=0,"",975)</f>
        <v/>
      </c>
      <c r="B1002">
        <f>IF($A1002="","",TRIM(INDEX('05_KAIS'!$B:$B,$A1002)&amp;" "&amp;INDEX('05_KAIS'!$C:$C,$A1002)))</f>
        <v/>
      </c>
      <c r="C1002">
        <f>IF($A1002="","",INDEX('05_KAIS'!$D:$D,$A1002))</f>
        <v/>
      </c>
      <c r="D1002">
        <f>IF($A1002="","",INDEX('05_KAIS'!$H:$H,$A1002))</f>
        <v/>
      </c>
      <c r="E1002">
        <f>IF($A1002="","",INDEX('05_KAIS'!$K:$K,$A1002))</f>
        <v/>
      </c>
      <c r="F1002" s="202">
        <f>IF($A1002="","",INDEX('05_KAIS'!$I:$I,$A1002))</f>
        <v/>
      </c>
      <c r="G1002" s="118">
        <f>IF($A1002="","",INDEX('05_KAIS'!$L:$L,$A1002))</f>
        <v/>
      </c>
      <c r="H1002" s="118">
        <f>IF($A1002="","",IFERROR(INDEX('05_KAIS'!$M:$M,$A1002),IF(AND(E1002&gt;0,G1002&gt;0),G1002/E1002,"")))</f>
        <v/>
      </c>
      <c r="I1002" s="202">
        <f>IF($A1002="","",INDEX('05_KAIS'!$N:$N,$A1002))</f>
        <v/>
      </c>
      <c r="J1002">
        <f>IF(B1002="","",IF('02_대상물건입력'!$B$5="",1,IF(ISNUMBER(SEARCH('02_대상물건입력'!$B$5,B1002)),1,0)))</f>
        <v/>
      </c>
      <c r="K1002">
        <f>IF(B1002="","",IF('02_대상물건입력'!$B$6="",1,IF(ISNUMBER(SEARCH('02_대상물건입력'!$B$6,B1002)),1,0)))</f>
        <v/>
      </c>
      <c r="L1002">
        <f>IF(D1002="","",IF('02_대상물건입력'!$B$8="",0,IF(ISNUMBER(SEARCH('02_대상물건입력'!$B$8,D1002)),1,0)))</f>
        <v/>
      </c>
      <c r="M1002">
        <f>IFERROR(ABS(E1002-'02_대상물건입력'!$B$11)/'02_대상물건입력'!$B$11,"")</f>
        <v/>
      </c>
      <c r="N1002">
        <f>IFERROR(ABS('01_설정'!$B$4-F1002),"")</f>
        <v/>
      </c>
      <c r="O1002">
        <f>IFERROR(ABS(YEAR(I1002)-YEAR('02_대상물건입력'!$B$14)),"")</f>
        <v/>
      </c>
      <c r="P1002">
        <f>IF(AND(E1002&gt;0,F1002&gt;0,G1002&gt;0,IF('01_설정'!$B$10=1,J1002=1,TRUE()),M1002&lt;='01_설정'!$B$5,N1002&lt;='01_설정'!$B$7,O1002&lt;='01_설정'!$B$8),"Y","")</f>
        <v/>
      </c>
      <c r="Q1002">
        <f>IF(P1002&lt;&gt;"Y","",MAX(0,(1-M1002/'01_설정'!$B$5))*'01_설정'!$B$14+MAX(0,(1-N1002/'01_설정'!$B$7))*'01_설정'!$B$16+MAX(0,(1-O1002/'01_설정'!$B$8))*'01_설정'!$B$17+K1002*'01_설정'!$B$11+L1002*'01_설정'!$B$12)</f>
        <v/>
      </c>
      <c r="R1002">
        <f>IF(Q1002="","",1+COUNTIFS($Q$31:$Q$1030,"&gt;"&amp;Q1002)+COUNTIFS($Q$31:Q1002,Q1002)-1)</f>
        <v/>
      </c>
    </row>
    <row r="1003" hidden="1" ht="16.5" customHeight="1">
      <c r="A1003">
        <f>IF(COUNTA('05_KAIS'!$A991:$N991)=0,"",976)</f>
        <v/>
      </c>
      <c r="B1003">
        <f>IF($A1003="","",TRIM(INDEX('05_KAIS'!$B:$B,$A1003)&amp;" "&amp;INDEX('05_KAIS'!$C:$C,$A1003)))</f>
        <v/>
      </c>
      <c r="C1003">
        <f>IF($A1003="","",INDEX('05_KAIS'!$D:$D,$A1003))</f>
        <v/>
      </c>
      <c r="D1003">
        <f>IF($A1003="","",INDEX('05_KAIS'!$H:$H,$A1003))</f>
        <v/>
      </c>
      <c r="E1003">
        <f>IF($A1003="","",INDEX('05_KAIS'!$K:$K,$A1003))</f>
        <v/>
      </c>
      <c r="F1003" s="202">
        <f>IF($A1003="","",INDEX('05_KAIS'!$I:$I,$A1003))</f>
        <v/>
      </c>
      <c r="G1003" s="118">
        <f>IF($A1003="","",INDEX('05_KAIS'!$L:$L,$A1003))</f>
        <v/>
      </c>
      <c r="H1003" s="118">
        <f>IF($A1003="","",IFERROR(INDEX('05_KAIS'!$M:$M,$A1003),IF(AND(E1003&gt;0,G1003&gt;0),G1003/E1003,"")))</f>
        <v/>
      </c>
      <c r="I1003" s="202">
        <f>IF($A1003="","",INDEX('05_KAIS'!$N:$N,$A1003))</f>
        <v/>
      </c>
      <c r="J1003">
        <f>IF(B1003="","",IF('02_대상물건입력'!$B$5="",1,IF(ISNUMBER(SEARCH('02_대상물건입력'!$B$5,B1003)),1,0)))</f>
        <v/>
      </c>
      <c r="K1003">
        <f>IF(B1003="","",IF('02_대상물건입력'!$B$6="",1,IF(ISNUMBER(SEARCH('02_대상물건입력'!$B$6,B1003)),1,0)))</f>
        <v/>
      </c>
      <c r="L1003">
        <f>IF(D1003="","",IF('02_대상물건입력'!$B$8="",0,IF(ISNUMBER(SEARCH('02_대상물건입력'!$B$8,D1003)),1,0)))</f>
        <v/>
      </c>
      <c r="M1003">
        <f>IFERROR(ABS(E1003-'02_대상물건입력'!$B$11)/'02_대상물건입력'!$B$11,"")</f>
        <v/>
      </c>
      <c r="N1003">
        <f>IFERROR(ABS('01_설정'!$B$4-F1003),"")</f>
        <v/>
      </c>
      <c r="O1003">
        <f>IFERROR(ABS(YEAR(I1003)-YEAR('02_대상물건입력'!$B$14)),"")</f>
        <v/>
      </c>
      <c r="P1003">
        <f>IF(AND(E1003&gt;0,F1003&gt;0,G1003&gt;0,IF('01_설정'!$B$10=1,J1003=1,TRUE()),M1003&lt;='01_설정'!$B$5,N1003&lt;='01_설정'!$B$7,O1003&lt;='01_설정'!$B$8),"Y","")</f>
        <v/>
      </c>
      <c r="Q1003">
        <f>IF(P1003&lt;&gt;"Y","",MAX(0,(1-M1003/'01_설정'!$B$5))*'01_설정'!$B$14+MAX(0,(1-N1003/'01_설정'!$B$7))*'01_설정'!$B$16+MAX(0,(1-O1003/'01_설정'!$B$8))*'01_설정'!$B$17+K1003*'01_설정'!$B$11+L1003*'01_설정'!$B$12)</f>
        <v/>
      </c>
      <c r="R1003">
        <f>IF(Q1003="","",1+COUNTIFS($Q$31:$Q$1030,"&gt;"&amp;Q1003)+COUNTIFS($Q$31:Q1003,Q1003)-1)</f>
        <v/>
      </c>
    </row>
    <row r="1004" hidden="1" ht="16.5" customHeight="1">
      <c r="A1004">
        <f>IF(COUNTA('05_KAIS'!$A992:$N992)=0,"",977)</f>
        <v/>
      </c>
      <c r="B1004">
        <f>IF($A1004="","",TRIM(INDEX('05_KAIS'!$B:$B,$A1004)&amp;" "&amp;INDEX('05_KAIS'!$C:$C,$A1004)))</f>
        <v/>
      </c>
      <c r="C1004">
        <f>IF($A1004="","",INDEX('05_KAIS'!$D:$D,$A1004))</f>
        <v/>
      </c>
      <c r="D1004">
        <f>IF($A1004="","",INDEX('05_KAIS'!$H:$H,$A1004))</f>
        <v/>
      </c>
      <c r="E1004">
        <f>IF($A1004="","",INDEX('05_KAIS'!$K:$K,$A1004))</f>
        <v/>
      </c>
      <c r="F1004" s="202">
        <f>IF($A1004="","",INDEX('05_KAIS'!$I:$I,$A1004))</f>
        <v/>
      </c>
      <c r="G1004" s="118">
        <f>IF($A1004="","",INDEX('05_KAIS'!$L:$L,$A1004))</f>
        <v/>
      </c>
      <c r="H1004" s="118">
        <f>IF($A1004="","",IFERROR(INDEX('05_KAIS'!$M:$M,$A1004),IF(AND(E1004&gt;0,G1004&gt;0),G1004/E1004,"")))</f>
        <v/>
      </c>
      <c r="I1004" s="202">
        <f>IF($A1004="","",INDEX('05_KAIS'!$N:$N,$A1004))</f>
        <v/>
      </c>
      <c r="J1004">
        <f>IF(B1004="","",IF('02_대상물건입력'!$B$5="",1,IF(ISNUMBER(SEARCH('02_대상물건입력'!$B$5,B1004)),1,0)))</f>
        <v/>
      </c>
      <c r="K1004">
        <f>IF(B1004="","",IF('02_대상물건입력'!$B$6="",1,IF(ISNUMBER(SEARCH('02_대상물건입력'!$B$6,B1004)),1,0)))</f>
        <v/>
      </c>
      <c r="L1004">
        <f>IF(D1004="","",IF('02_대상물건입력'!$B$8="",0,IF(ISNUMBER(SEARCH('02_대상물건입력'!$B$8,D1004)),1,0)))</f>
        <v/>
      </c>
      <c r="M1004">
        <f>IFERROR(ABS(E1004-'02_대상물건입력'!$B$11)/'02_대상물건입력'!$B$11,"")</f>
        <v/>
      </c>
      <c r="N1004">
        <f>IFERROR(ABS('01_설정'!$B$4-F1004),"")</f>
        <v/>
      </c>
      <c r="O1004">
        <f>IFERROR(ABS(YEAR(I1004)-YEAR('02_대상물건입력'!$B$14)),"")</f>
        <v/>
      </c>
      <c r="P1004">
        <f>IF(AND(E1004&gt;0,F1004&gt;0,G1004&gt;0,IF('01_설정'!$B$10=1,J1004=1,TRUE()),M1004&lt;='01_설정'!$B$5,N1004&lt;='01_설정'!$B$7,O1004&lt;='01_설정'!$B$8),"Y","")</f>
        <v/>
      </c>
      <c r="Q1004">
        <f>IF(P1004&lt;&gt;"Y","",MAX(0,(1-M1004/'01_설정'!$B$5))*'01_설정'!$B$14+MAX(0,(1-N1004/'01_설정'!$B$7))*'01_설정'!$B$16+MAX(0,(1-O1004/'01_설정'!$B$8))*'01_설정'!$B$17+K1004*'01_설정'!$B$11+L1004*'01_설정'!$B$12)</f>
        <v/>
      </c>
      <c r="R1004">
        <f>IF(Q1004="","",1+COUNTIFS($Q$31:$Q$1030,"&gt;"&amp;Q1004)+COUNTIFS($Q$31:Q1004,Q1004)-1)</f>
        <v/>
      </c>
    </row>
    <row r="1005" hidden="1" ht="16.5" customHeight="1">
      <c r="A1005">
        <f>IF(COUNTA('05_KAIS'!$A993:$N993)=0,"",978)</f>
        <v/>
      </c>
      <c r="B1005">
        <f>IF($A1005="","",TRIM(INDEX('05_KAIS'!$B:$B,$A1005)&amp;" "&amp;INDEX('05_KAIS'!$C:$C,$A1005)))</f>
        <v/>
      </c>
      <c r="C1005">
        <f>IF($A1005="","",INDEX('05_KAIS'!$D:$D,$A1005))</f>
        <v/>
      </c>
      <c r="D1005">
        <f>IF($A1005="","",INDEX('05_KAIS'!$H:$H,$A1005))</f>
        <v/>
      </c>
      <c r="E1005">
        <f>IF($A1005="","",INDEX('05_KAIS'!$K:$K,$A1005))</f>
        <v/>
      </c>
      <c r="F1005" s="202">
        <f>IF($A1005="","",INDEX('05_KAIS'!$I:$I,$A1005))</f>
        <v/>
      </c>
      <c r="G1005" s="118">
        <f>IF($A1005="","",INDEX('05_KAIS'!$L:$L,$A1005))</f>
        <v/>
      </c>
      <c r="H1005" s="118">
        <f>IF($A1005="","",IFERROR(INDEX('05_KAIS'!$M:$M,$A1005),IF(AND(E1005&gt;0,G1005&gt;0),G1005/E1005,"")))</f>
        <v/>
      </c>
      <c r="I1005" s="202">
        <f>IF($A1005="","",INDEX('05_KAIS'!$N:$N,$A1005))</f>
        <v/>
      </c>
      <c r="J1005">
        <f>IF(B1005="","",IF('02_대상물건입력'!$B$5="",1,IF(ISNUMBER(SEARCH('02_대상물건입력'!$B$5,B1005)),1,0)))</f>
        <v/>
      </c>
      <c r="K1005">
        <f>IF(B1005="","",IF('02_대상물건입력'!$B$6="",1,IF(ISNUMBER(SEARCH('02_대상물건입력'!$B$6,B1005)),1,0)))</f>
        <v/>
      </c>
      <c r="L1005">
        <f>IF(D1005="","",IF('02_대상물건입력'!$B$8="",0,IF(ISNUMBER(SEARCH('02_대상물건입력'!$B$8,D1005)),1,0)))</f>
        <v/>
      </c>
      <c r="M1005">
        <f>IFERROR(ABS(E1005-'02_대상물건입력'!$B$11)/'02_대상물건입력'!$B$11,"")</f>
        <v/>
      </c>
      <c r="N1005">
        <f>IFERROR(ABS('01_설정'!$B$4-F1005),"")</f>
        <v/>
      </c>
      <c r="O1005">
        <f>IFERROR(ABS(YEAR(I1005)-YEAR('02_대상물건입력'!$B$14)),"")</f>
        <v/>
      </c>
      <c r="P1005">
        <f>IF(AND(E1005&gt;0,F1005&gt;0,G1005&gt;0,IF('01_설정'!$B$10=1,J1005=1,TRUE()),M1005&lt;='01_설정'!$B$5,N1005&lt;='01_설정'!$B$7,O1005&lt;='01_설정'!$B$8),"Y","")</f>
        <v/>
      </c>
      <c r="Q1005">
        <f>IF(P1005&lt;&gt;"Y","",MAX(0,(1-M1005/'01_설정'!$B$5))*'01_설정'!$B$14+MAX(0,(1-N1005/'01_설정'!$B$7))*'01_설정'!$B$16+MAX(0,(1-O1005/'01_설정'!$B$8))*'01_설정'!$B$17+K1005*'01_설정'!$B$11+L1005*'01_설정'!$B$12)</f>
        <v/>
      </c>
      <c r="R1005">
        <f>IF(Q1005="","",1+COUNTIFS($Q$31:$Q$1030,"&gt;"&amp;Q1005)+COUNTIFS($Q$31:Q1005,Q1005)-1)</f>
        <v/>
      </c>
    </row>
    <row r="1006" hidden="1" ht="16.5" customHeight="1">
      <c r="A1006">
        <f>IF(COUNTA('05_KAIS'!$A994:$N994)=0,"",979)</f>
        <v/>
      </c>
      <c r="B1006">
        <f>IF($A1006="","",TRIM(INDEX('05_KAIS'!$B:$B,$A1006)&amp;" "&amp;INDEX('05_KAIS'!$C:$C,$A1006)))</f>
        <v/>
      </c>
      <c r="C1006">
        <f>IF($A1006="","",INDEX('05_KAIS'!$D:$D,$A1006))</f>
        <v/>
      </c>
      <c r="D1006">
        <f>IF($A1006="","",INDEX('05_KAIS'!$H:$H,$A1006))</f>
        <v/>
      </c>
      <c r="E1006">
        <f>IF($A1006="","",INDEX('05_KAIS'!$K:$K,$A1006))</f>
        <v/>
      </c>
      <c r="F1006" s="202">
        <f>IF($A1006="","",INDEX('05_KAIS'!$I:$I,$A1006))</f>
        <v/>
      </c>
      <c r="G1006" s="118">
        <f>IF($A1006="","",INDEX('05_KAIS'!$L:$L,$A1006))</f>
        <v/>
      </c>
      <c r="H1006" s="118">
        <f>IF($A1006="","",IFERROR(INDEX('05_KAIS'!$M:$M,$A1006),IF(AND(E1006&gt;0,G1006&gt;0),G1006/E1006,"")))</f>
        <v/>
      </c>
      <c r="I1006" s="202">
        <f>IF($A1006="","",INDEX('05_KAIS'!$N:$N,$A1006))</f>
        <v/>
      </c>
      <c r="J1006">
        <f>IF(B1006="","",IF('02_대상물건입력'!$B$5="",1,IF(ISNUMBER(SEARCH('02_대상물건입력'!$B$5,B1006)),1,0)))</f>
        <v/>
      </c>
      <c r="K1006">
        <f>IF(B1006="","",IF('02_대상물건입력'!$B$6="",1,IF(ISNUMBER(SEARCH('02_대상물건입력'!$B$6,B1006)),1,0)))</f>
        <v/>
      </c>
      <c r="L1006">
        <f>IF(D1006="","",IF('02_대상물건입력'!$B$8="",0,IF(ISNUMBER(SEARCH('02_대상물건입력'!$B$8,D1006)),1,0)))</f>
        <v/>
      </c>
      <c r="M1006">
        <f>IFERROR(ABS(E1006-'02_대상물건입력'!$B$11)/'02_대상물건입력'!$B$11,"")</f>
        <v/>
      </c>
      <c r="N1006">
        <f>IFERROR(ABS('01_설정'!$B$4-F1006),"")</f>
        <v/>
      </c>
      <c r="O1006">
        <f>IFERROR(ABS(YEAR(I1006)-YEAR('02_대상물건입력'!$B$14)),"")</f>
        <v/>
      </c>
      <c r="P1006">
        <f>IF(AND(E1006&gt;0,F1006&gt;0,G1006&gt;0,IF('01_설정'!$B$10=1,J1006=1,TRUE()),M1006&lt;='01_설정'!$B$5,N1006&lt;='01_설정'!$B$7,O1006&lt;='01_설정'!$B$8),"Y","")</f>
        <v/>
      </c>
      <c r="Q1006">
        <f>IF(P1006&lt;&gt;"Y","",MAX(0,(1-M1006/'01_설정'!$B$5))*'01_설정'!$B$14+MAX(0,(1-N1006/'01_설정'!$B$7))*'01_설정'!$B$16+MAX(0,(1-O1006/'01_설정'!$B$8))*'01_설정'!$B$17+K1006*'01_설정'!$B$11+L1006*'01_설정'!$B$12)</f>
        <v/>
      </c>
      <c r="R1006">
        <f>IF(Q1006="","",1+COUNTIFS($Q$31:$Q$1030,"&gt;"&amp;Q1006)+COUNTIFS($Q$31:Q1006,Q1006)-1)</f>
        <v/>
      </c>
    </row>
    <row r="1007" hidden="1" ht="16.5" customHeight="1">
      <c r="A1007">
        <f>IF(COUNTA('05_KAIS'!$A995:$N995)=0,"",980)</f>
        <v/>
      </c>
      <c r="B1007">
        <f>IF($A1007="","",TRIM(INDEX('05_KAIS'!$B:$B,$A1007)&amp;" "&amp;INDEX('05_KAIS'!$C:$C,$A1007)))</f>
        <v/>
      </c>
      <c r="C1007">
        <f>IF($A1007="","",INDEX('05_KAIS'!$D:$D,$A1007))</f>
        <v/>
      </c>
      <c r="D1007">
        <f>IF($A1007="","",INDEX('05_KAIS'!$H:$H,$A1007))</f>
        <v/>
      </c>
      <c r="E1007">
        <f>IF($A1007="","",INDEX('05_KAIS'!$K:$K,$A1007))</f>
        <v/>
      </c>
      <c r="F1007" s="202">
        <f>IF($A1007="","",INDEX('05_KAIS'!$I:$I,$A1007))</f>
        <v/>
      </c>
      <c r="G1007" s="118">
        <f>IF($A1007="","",INDEX('05_KAIS'!$L:$L,$A1007))</f>
        <v/>
      </c>
      <c r="H1007" s="118">
        <f>IF($A1007="","",IFERROR(INDEX('05_KAIS'!$M:$M,$A1007),IF(AND(E1007&gt;0,G1007&gt;0),G1007/E1007,"")))</f>
        <v/>
      </c>
      <c r="I1007" s="202">
        <f>IF($A1007="","",INDEX('05_KAIS'!$N:$N,$A1007))</f>
        <v/>
      </c>
      <c r="J1007">
        <f>IF(B1007="","",IF('02_대상물건입력'!$B$5="",1,IF(ISNUMBER(SEARCH('02_대상물건입력'!$B$5,B1007)),1,0)))</f>
        <v/>
      </c>
      <c r="K1007">
        <f>IF(B1007="","",IF('02_대상물건입력'!$B$6="",1,IF(ISNUMBER(SEARCH('02_대상물건입력'!$B$6,B1007)),1,0)))</f>
        <v/>
      </c>
      <c r="L1007">
        <f>IF(D1007="","",IF('02_대상물건입력'!$B$8="",0,IF(ISNUMBER(SEARCH('02_대상물건입력'!$B$8,D1007)),1,0)))</f>
        <v/>
      </c>
      <c r="M1007">
        <f>IFERROR(ABS(E1007-'02_대상물건입력'!$B$11)/'02_대상물건입력'!$B$11,"")</f>
        <v/>
      </c>
      <c r="N1007">
        <f>IFERROR(ABS('01_설정'!$B$4-F1007),"")</f>
        <v/>
      </c>
      <c r="O1007">
        <f>IFERROR(ABS(YEAR(I1007)-YEAR('02_대상물건입력'!$B$14)),"")</f>
        <v/>
      </c>
      <c r="P1007">
        <f>IF(AND(E1007&gt;0,F1007&gt;0,G1007&gt;0,IF('01_설정'!$B$10=1,J1007=1,TRUE()),M1007&lt;='01_설정'!$B$5,N1007&lt;='01_설정'!$B$7,O1007&lt;='01_설정'!$B$8),"Y","")</f>
        <v/>
      </c>
      <c r="Q1007">
        <f>IF(P1007&lt;&gt;"Y","",MAX(0,(1-M1007/'01_설정'!$B$5))*'01_설정'!$B$14+MAX(0,(1-N1007/'01_설정'!$B$7))*'01_설정'!$B$16+MAX(0,(1-O1007/'01_설정'!$B$8))*'01_설정'!$B$17+K1007*'01_설정'!$B$11+L1007*'01_설정'!$B$12)</f>
        <v/>
      </c>
      <c r="R1007">
        <f>IF(Q1007="","",1+COUNTIFS($Q$31:$Q$1030,"&gt;"&amp;Q1007)+COUNTIFS($Q$31:Q1007,Q1007)-1)</f>
        <v/>
      </c>
    </row>
    <row r="1008" hidden="1" ht="16.5" customHeight="1">
      <c r="A1008">
        <f>IF(COUNTA('05_KAIS'!$A996:$N996)=0,"",981)</f>
        <v/>
      </c>
      <c r="B1008">
        <f>IF($A1008="","",TRIM(INDEX('05_KAIS'!$B:$B,$A1008)&amp;" "&amp;INDEX('05_KAIS'!$C:$C,$A1008)))</f>
        <v/>
      </c>
      <c r="C1008">
        <f>IF($A1008="","",INDEX('05_KAIS'!$D:$D,$A1008))</f>
        <v/>
      </c>
      <c r="D1008">
        <f>IF($A1008="","",INDEX('05_KAIS'!$H:$H,$A1008))</f>
        <v/>
      </c>
      <c r="E1008">
        <f>IF($A1008="","",INDEX('05_KAIS'!$K:$K,$A1008))</f>
        <v/>
      </c>
      <c r="F1008" s="202">
        <f>IF($A1008="","",INDEX('05_KAIS'!$I:$I,$A1008))</f>
        <v/>
      </c>
      <c r="G1008" s="118">
        <f>IF($A1008="","",INDEX('05_KAIS'!$L:$L,$A1008))</f>
        <v/>
      </c>
      <c r="H1008" s="118">
        <f>IF($A1008="","",IFERROR(INDEX('05_KAIS'!$M:$M,$A1008),IF(AND(E1008&gt;0,G1008&gt;0),G1008/E1008,"")))</f>
        <v/>
      </c>
      <c r="I1008" s="202">
        <f>IF($A1008="","",INDEX('05_KAIS'!$N:$N,$A1008))</f>
        <v/>
      </c>
      <c r="J1008">
        <f>IF(B1008="","",IF('02_대상물건입력'!$B$5="",1,IF(ISNUMBER(SEARCH('02_대상물건입력'!$B$5,B1008)),1,0)))</f>
        <v/>
      </c>
      <c r="K1008">
        <f>IF(B1008="","",IF('02_대상물건입력'!$B$6="",1,IF(ISNUMBER(SEARCH('02_대상물건입력'!$B$6,B1008)),1,0)))</f>
        <v/>
      </c>
      <c r="L1008">
        <f>IF(D1008="","",IF('02_대상물건입력'!$B$8="",0,IF(ISNUMBER(SEARCH('02_대상물건입력'!$B$8,D1008)),1,0)))</f>
        <v/>
      </c>
      <c r="M1008">
        <f>IFERROR(ABS(E1008-'02_대상물건입력'!$B$11)/'02_대상물건입력'!$B$11,"")</f>
        <v/>
      </c>
      <c r="N1008">
        <f>IFERROR(ABS('01_설정'!$B$4-F1008),"")</f>
        <v/>
      </c>
      <c r="O1008">
        <f>IFERROR(ABS(YEAR(I1008)-YEAR('02_대상물건입력'!$B$14)),"")</f>
        <v/>
      </c>
      <c r="P1008">
        <f>IF(AND(E1008&gt;0,F1008&gt;0,G1008&gt;0,IF('01_설정'!$B$10=1,J1008=1,TRUE()),M1008&lt;='01_설정'!$B$5,N1008&lt;='01_설정'!$B$7,O1008&lt;='01_설정'!$B$8),"Y","")</f>
        <v/>
      </c>
      <c r="Q1008">
        <f>IF(P1008&lt;&gt;"Y","",MAX(0,(1-M1008/'01_설정'!$B$5))*'01_설정'!$B$14+MAX(0,(1-N1008/'01_설정'!$B$7))*'01_설정'!$B$16+MAX(0,(1-O1008/'01_설정'!$B$8))*'01_설정'!$B$17+K1008*'01_설정'!$B$11+L1008*'01_설정'!$B$12)</f>
        <v/>
      </c>
      <c r="R1008">
        <f>IF(Q1008="","",1+COUNTIFS($Q$31:$Q$1030,"&gt;"&amp;Q1008)+COUNTIFS($Q$31:Q1008,Q1008)-1)</f>
        <v/>
      </c>
    </row>
    <row r="1009" hidden="1" ht="16.5" customHeight="1">
      <c r="A1009">
        <f>IF(COUNTA('05_KAIS'!$A997:$N997)=0,"",982)</f>
        <v/>
      </c>
      <c r="B1009">
        <f>IF($A1009="","",TRIM(INDEX('05_KAIS'!$B:$B,$A1009)&amp;" "&amp;INDEX('05_KAIS'!$C:$C,$A1009)))</f>
        <v/>
      </c>
      <c r="C1009">
        <f>IF($A1009="","",INDEX('05_KAIS'!$D:$D,$A1009))</f>
        <v/>
      </c>
      <c r="D1009">
        <f>IF($A1009="","",INDEX('05_KAIS'!$H:$H,$A1009))</f>
        <v/>
      </c>
      <c r="E1009">
        <f>IF($A1009="","",INDEX('05_KAIS'!$K:$K,$A1009))</f>
        <v/>
      </c>
      <c r="F1009" s="202">
        <f>IF($A1009="","",INDEX('05_KAIS'!$I:$I,$A1009))</f>
        <v/>
      </c>
      <c r="G1009" s="118">
        <f>IF($A1009="","",INDEX('05_KAIS'!$L:$L,$A1009))</f>
        <v/>
      </c>
      <c r="H1009" s="118">
        <f>IF($A1009="","",IFERROR(INDEX('05_KAIS'!$M:$M,$A1009),IF(AND(E1009&gt;0,G1009&gt;0),G1009/E1009,"")))</f>
        <v/>
      </c>
      <c r="I1009" s="202">
        <f>IF($A1009="","",INDEX('05_KAIS'!$N:$N,$A1009))</f>
        <v/>
      </c>
      <c r="J1009">
        <f>IF(B1009="","",IF('02_대상물건입력'!$B$5="",1,IF(ISNUMBER(SEARCH('02_대상물건입력'!$B$5,B1009)),1,0)))</f>
        <v/>
      </c>
      <c r="K1009">
        <f>IF(B1009="","",IF('02_대상물건입력'!$B$6="",1,IF(ISNUMBER(SEARCH('02_대상물건입력'!$B$6,B1009)),1,0)))</f>
        <v/>
      </c>
      <c r="L1009">
        <f>IF(D1009="","",IF('02_대상물건입력'!$B$8="",0,IF(ISNUMBER(SEARCH('02_대상물건입력'!$B$8,D1009)),1,0)))</f>
        <v/>
      </c>
      <c r="M1009">
        <f>IFERROR(ABS(E1009-'02_대상물건입력'!$B$11)/'02_대상물건입력'!$B$11,"")</f>
        <v/>
      </c>
      <c r="N1009">
        <f>IFERROR(ABS('01_설정'!$B$4-F1009),"")</f>
        <v/>
      </c>
      <c r="O1009">
        <f>IFERROR(ABS(YEAR(I1009)-YEAR('02_대상물건입력'!$B$14)),"")</f>
        <v/>
      </c>
      <c r="P1009">
        <f>IF(AND(E1009&gt;0,F1009&gt;0,G1009&gt;0,IF('01_설정'!$B$10=1,J1009=1,TRUE()),M1009&lt;='01_설정'!$B$5,N1009&lt;='01_설정'!$B$7,O1009&lt;='01_설정'!$B$8),"Y","")</f>
        <v/>
      </c>
      <c r="Q1009">
        <f>IF(P1009&lt;&gt;"Y","",MAX(0,(1-M1009/'01_설정'!$B$5))*'01_설정'!$B$14+MAX(0,(1-N1009/'01_설정'!$B$7))*'01_설정'!$B$16+MAX(0,(1-O1009/'01_설정'!$B$8))*'01_설정'!$B$17+K1009*'01_설정'!$B$11+L1009*'01_설정'!$B$12)</f>
        <v/>
      </c>
      <c r="R1009">
        <f>IF(Q1009="","",1+COUNTIFS($Q$31:$Q$1030,"&gt;"&amp;Q1009)+COUNTIFS($Q$31:Q1009,Q1009)-1)</f>
        <v/>
      </c>
    </row>
    <row r="1010" hidden="1" ht="16.5" customHeight="1">
      <c r="A1010">
        <f>IF(COUNTA('05_KAIS'!$A998:$N998)=0,"",983)</f>
        <v/>
      </c>
      <c r="B1010">
        <f>IF($A1010="","",TRIM(INDEX('05_KAIS'!$B:$B,$A1010)&amp;" "&amp;INDEX('05_KAIS'!$C:$C,$A1010)))</f>
        <v/>
      </c>
      <c r="C1010">
        <f>IF($A1010="","",INDEX('05_KAIS'!$D:$D,$A1010))</f>
        <v/>
      </c>
      <c r="D1010">
        <f>IF($A1010="","",INDEX('05_KAIS'!$H:$H,$A1010))</f>
        <v/>
      </c>
      <c r="E1010">
        <f>IF($A1010="","",INDEX('05_KAIS'!$K:$K,$A1010))</f>
        <v/>
      </c>
      <c r="F1010" s="202">
        <f>IF($A1010="","",INDEX('05_KAIS'!$I:$I,$A1010))</f>
        <v/>
      </c>
      <c r="G1010" s="118">
        <f>IF($A1010="","",INDEX('05_KAIS'!$L:$L,$A1010))</f>
        <v/>
      </c>
      <c r="H1010" s="118">
        <f>IF($A1010="","",IFERROR(INDEX('05_KAIS'!$M:$M,$A1010),IF(AND(E1010&gt;0,G1010&gt;0),G1010/E1010,"")))</f>
        <v/>
      </c>
      <c r="I1010" s="202">
        <f>IF($A1010="","",INDEX('05_KAIS'!$N:$N,$A1010))</f>
        <v/>
      </c>
      <c r="J1010">
        <f>IF(B1010="","",IF('02_대상물건입력'!$B$5="",1,IF(ISNUMBER(SEARCH('02_대상물건입력'!$B$5,B1010)),1,0)))</f>
        <v/>
      </c>
      <c r="K1010">
        <f>IF(B1010="","",IF('02_대상물건입력'!$B$6="",1,IF(ISNUMBER(SEARCH('02_대상물건입력'!$B$6,B1010)),1,0)))</f>
        <v/>
      </c>
      <c r="L1010">
        <f>IF(D1010="","",IF('02_대상물건입력'!$B$8="",0,IF(ISNUMBER(SEARCH('02_대상물건입력'!$B$8,D1010)),1,0)))</f>
        <v/>
      </c>
      <c r="M1010">
        <f>IFERROR(ABS(E1010-'02_대상물건입력'!$B$11)/'02_대상물건입력'!$B$11,"")</f>
        <v/>
      </c>
      <c r="N1010">
        <f>IFERROR(ABS('01_설정'!$B$4-F1010),"")</f>
        <v/>
      </c>
      <c r="O1010">
        <f>IFERROR(ABS(YEAR(I1010)-YEAR('02_대상물건입력'!$B$14)),"")</f>
        <v/>
      </c>
      <c r="P1010">
        <f>IF(AND(E1010&gt;0,F1010&gt;0,G1010&gt;0,IF('01_설정'!$B$10=1,J1010=1,TRUE()),M1010&lt;='01_설정'!$B$5,N1010&lt;='01_설정'!$B$7,O1010&lt;='01_설정'!$B$8),"Y","")</f>
        <v/>
      </c>
      <c r="Q1010">
        <f>IF(P1010&lt;&gt;"Y","",MAX(0,(1-M1010/'01_설정'!$B$5))*'01_설정'!$B$14+MAX(0,(1-N1010/'01_설정'!$B$7))*'01_설정'!$B$16+MAX(0,(1-O1010/'01_설정'!$B$8))*'01_설정'!$B$17+K1010*'01_설정'!$B$11+L1010*'01_설정'!$B$12)</f>
        <v/>
      </c>
      <c r="R1010">
        <f>IF(Q1010="","",1+COUNTIFS($Q$31:$Q$1030,"&gt;"&amp;Q1010)+COUNTIFS($Q$31:Q1010,Q1010)-1)</f>
        <v/>
      </c>
    </row>
    <row r="1011" hidden="1" ht="16.5" customHeight="1">
      <c r="A1011">
        <f>IF(COUNTA('05_KAIS'!$A999:$N999)=0,"",984)</f>
        <v/>
      </c>
      <c r="B1011">
        <f>IF($A1011="","",TRIM(INDEX('05_KAIS'!$B:$B,$A1011)&amp;" "&amp;INDEX('05_KAIS'!$C:$C,$A1011)))</f>
        <v/>
      </c>
      <c r="C1011">
        <f>IF($A1011="","",INDEX('05_KAIS'!$D:$D,$A1011))</f>
        <v/>
      </c>
      <c r="D1011">
        <f>IF($A1011="","",INDEX('05_KAIS'!$H:$H,$A1011))</f>
        <v/>
      </c>
      <c r="E1011">
        <f>IF($A1011="","",INDEX('05_KAIS'!$K:$K,$A1011))</f>
        <v/>
      </c>
      <c r="F1011" s="202">
        <f>IF($A1011="","",INDEX('05_KAIS'!$I:$I,$A1011))</f>
        <v/>
      </c>
      <c r="G1011" s="118">
        <f>IF($A1011="","",INDEX('05_KAIS'!$L:$L,$A1011))</f>
        <v/>
      </c>
      <c r="H1011" s="118">
        <f>IF($A1011="","",IFERROR(INDEX('05_KAIS'!$M:$M,$A1011),IF(AND(E1011&gt;0,G1011&gt;0),G1011/E1011,"")))</f>
        <v/>
      </c>
      <c r="I1011" s="202">
        <f>IF($A1011="","",INDEX('05_KAIS'!$N:$N,$A1011))</f>
        <v/>
      </c>
      <c r="J1011">
        <f>IF(B1011="","",IF('02_대상물건입력'!$B$5="",1,IF(ISNUMBER(SEARCH('02_대상물건입력'!$B$5,B1011)),1,0)))</f>
        <v/>
      </c>
      <c r="K1011">
        <f>IF(B1011="","",IF('02_대상물건입력'!$B$6="",1,IF(ISNUMBER(SEARCH('02_대상물건입력'!$B$6,B1011)),1,0)))</f>
        <v/>
      </c>
      <c r="L1011">
        <f>IF(D1011="","",IF('02_대상물건입력'!$B$8="",0,IF(ISNUMBER(SEARCH('02_대상물건입력'!$B$8,D1011)),1,0)))</f>
        <v/>
      </c>
      <c r="M1011">
        <f>IFERROR(ABS(E1011-'02_대상물건입력'!$B$11)/'02_대상물건입력'!$B$11,"")</f>
        <v/>
      </c>
      <c r="N1011">
        <f>IFERROR(ABS('01_설정'!$B$4-F1011),"")</f>
        <v/>
      </c>
      <c r="O1011">
        <f>IFERROR(ABS(YEAR(I1011)-YEAR('02_대상물건입력'!$B$14)),"")</f>
        <v/>
      </c>
      <c r="P1011">
        <f>IF(AND(E1011&gt;0,F1011&gt;0,G1011&gt;0,IF('01_설정'!$B$10=1,J1011=1,TRUE()),M1011&lt;='01_설정'!$B$5,N1011&lt;='01_설정'!$B$7,O1011&lt;='01_설정'!$B$8),"Y","")</f>
        <v/>
      </c>
      <c r="Q1011">
        <f>IF(P1011&lt;&gt;"Y","",MAX(0,(1-M1011/'01_설정'!$B$5))*'01_설정'!$B$14+MAX(0,(1-N1011/'01_설정'!$B$7))*'01_설정'!$B$16+MAX(0,(1-O1011/'01_설정'!$B$8))*'01_설정'!$B$17+K1011*'01_설정'!$B$11+L1011*'01_설정'!$B$12)</f>
        <v/>
      </c>
      <c r="R1011">
        <f>IF(Q1011="","",1+COUNTIFS($Q$31:$Q$1030,"&gt;"&amp;Q1011)+COUNTIFS($Q$31:Q1011,Q1011)-1)</f>
        <v/>
      </c>
    </row>
    <row r="1012" hidden="1" ht="16.5" customHeight="1">
      <c r="A1012">
        <f>IF(COUNTA('05_KAIS'!$A1000:$N1000)=0,"",985)</f>
        <v/>
      </c>
      <c r="B1012">
        <f>IF($A1012="","",TRIM(INDEX('05_KAIS'!$B:$B,$A1012)&amp;" "&amp;INDEX('05_KAIS'!$C:$C,$A1012)))</f>
        <v/>
      </c>
      <c r="C1012">
        <f>IF($A1012="","",INDEX('05_KAIS'!$D:$D,$A1012))</f>
        <v/>
      </c>
      <c r="D1012">
        <f>IF($A1012="","",INDEX('05_KAIS'!$H:$H,$A1012))</f>
        <v/>
      </c>
      <c r="E1012">
        <f>IF($A1012="","",INDEX('05_KAIS'!$K:$K,$A1012))</f>
        <v/>
      </c>
      <c r="F1012" s="202">
        <f>IF($A1012="","",INDEX('05_KAIS'!$I:$I,$A1012))</f>
        <v/>
      </c>
      <c r="G1012" s="118">
        <f>IF($A1012="","",INDEX('05_KAIS'!$L:$L,$A1012))</f>
        <v/>
      </c>
      <c r="H1012" s="118">
        <f>IF($A1012="","",IFERROR(INDEX('05_KAIS'!$M:$M,$A1012),IF(AND(E1012&gt;0,G1012&gt;0),G1012/E1012,"")))</f>
        <v/>
      </c>
      <c r="I1012" s="202">
        <f>IF($A1012="","",INDEX('05_KAIS'!$N:$N,$A1012))</f>
        <v/>
      </c>
      <c r="J1012">
        <f>IF(B1012="","",IF('02_대상물건입력'!$B$5="",1,IF(ISNUMBER(SEARCH('02_대상물건입력'!$B$5,B1012)),1,0)))</f>
        <v/>
      </c>
      <c r="K1012">
        <f>IF(B1012="","",IF('02_대상물건입력'!$B$6="",1,IF(ISNUMBER(SEARCH('02_대상물건입력'!$B$6,B1012)),1,0)))</f>
        <v/>
      </c>
      <c r="L1012">
        <f>IF(D1012="","",IF('02_대상물건입력'!$B$8="",0,IF(ISNUMBER(SEARCH('02_대상물건입력'!$B$8,D1012)),1,0)))</f>
        <v/>
      </c>
      <c r="M1012">
        <f>IFERROR(ABS(E1012-'02_대상물건입력'!$B$11)/'02_대상물건입력'!$B$11,"")</f>
        <v/>
      </c>
      <c r="N1012">
        <f>IFERROR(ABS('01_설정'!$B$4-F1012),"")</f>
        <v/>
      </c>
      <c r="O1012">
        <f>IFERROR(ABS(YEAR(I1012)-YEAR('02_대상물건입력'!$B$14)),"")</f>
        <v/>
      </c>
      <c r="P1012">
        <f>IF(AND(E1012&gt;0,F1012&gt;0,G1012&gt;0,IF('01_설정'!$B$10=1,J1012=1,TRUE()),M1012&lt;='01_설정'!$B$5,N1012&lt;='01_설정'!$B$7,O1012&lt;='01_설정'!$B$8),"Y","")</f>
        <v/>
      </c>
      <c r="Q1012">
        <f>IF(P1012&lt;&gt;"Y","",MAX(0,(1-M1012/'01_설정'!$B$5))*'01_설정'!$B$14+MAX(0,(1-N1012/'01_설정'!$B$7))*'01_설정'!$B$16+MAX(0,(1-O1012/'01_설정'!$B$8))*'01_설정'!$B$17+K1012*'01_설정'!$B$11+L1012*'01_설정'!$B$12)</f>
        <v/>
      </c>
      <c r="R1012">
        <f>IF(Q1012="","",1+COUNTIFS($Q$31:$Q$1030,"&gt;"&amp;Q1012)+COUNTIFS($Q$31:Q1012,Q1012)-1)</f>
        <v/>
      </c>
    </row>
    <row r="1013" hidden="1" ht="16.5" customHeight="1">
      <c r="A1013">
        <f>IF(COUNTA('05_KAIS'!$A1001:$N1001)=0,"",986)</f>
        <v/>
      </c>
      <c r="B1013">
        <f>IF($A1013="","",TRIM(INDEX('05_KAIS'!$B:$B,$A1013)&amp;" "&amp;INDEX('05_KAIS'!$C:$C,$A1013)))</f>
        <v/>
      </c>
      <c r="C1013">
        <f>IF($A1013="","",INDEX('05_KAIS'!$D:$D,$A1013))</f>
        <v/>
      </c>
      <c r="D1013">
        <f>IF($A1013="","",INDEX('05_KAIS'!$H:$H,$A1013))</f>
        <v/>
      </c>
      <c r="E1013">
        <f>IF($A1013="","",INDEX('05_KAIS'!$K:$K,$A1013))</f>
        <v/>
      </c>
      <c r="F1013" s="202">
        <f>IF($A1013="","",INDEX('05_KAIS'!$I:$I,$A1013))</f>
        <v/>
      </c>
      <c r="G1013" s="118">
        <f>IF($A1013="","",INDEX('05_KAIS'!$L:$L,$A1013))</f>
        <v/>
      </c>
      <c r="H1013" s="118">
        <f>IF($A1013="","",IFERROR(INDEX('05_KAIS'!$M:$M,$A1013),IF(AND(E1013&gt;0,G1013&gt;0),G1013/E1013,"")))</f>
        <v/>
      </c>
      <c r="I1013" s="202">
        <f>IF($A1013="","",INDEX('05_KAIS'!$N:$N,$A1013))</f>
        <v/>
      </c>
      <c r="J1013">
        <f>IF(B1013="","",IF('02_대상물건입력'!$B$5="",1,IF(ISNUMBER(SEARCH('02_대상물건입력'!$B$5,B1013)),1,0)))</f>
        <v/>
      </c>
      <c r="K1013">
        <f>IF(B1013="","",IF('02_대상물건입력'!$B$6="",1,IF(ISNUMBER(SEARCH('02_대상물건입력'!$B$6,B1013)),1,0)))</f>
        <v/>
      </c>
      <c r="L1013">
        <f>IF(D1013="","",IF('02_대상물건입력'!$B$8="",0,IF(ISNUMBER(SEARCH('02_대상물건입력'!$B$8,D1013)),1,0)))</f>
        <v/>
      </c>
      <c r="M1013">
        <f>IFERROR(ABS(E1013-'02_대상물건입력'!$B$11)/'02_대상물건입력'!$B$11,"")</f>
        <v/>
      </c>
      <c r="N1013">
        <f>IFERROR(ABS('01_설정'!$B$4-F1013),"")</f>
        <v/>
      </c>
      <c r="O1013">
        <f>IFERROR(ABS(YEAR(I1013)-YEAR('02_대상물건입력'!$B$14)),"")</f>
        <v/>
      </c>
      <c r="P1013">
        <f>IF(AND(E1013&gt;0,F1013&gt;0,G1013&gt;0,IF('01_설정'!$B$10=1,J1013=1,TRUE()),M1013&lt;='01_설정'!$B$5,N1013&lt;='01_설정'!$B$7,O1013&lt;='01_설정'!$B$8),"Y","")</f>
        <v/>
      </c>
      <c r="Q1013">
        <f>IF(P1013&lt;&gt;"Y","",MAX(0,(1-M1013/'01_설정'!$B$5))*'01_설정'!$B$14+MAX(0,(1-N1013/'01_설정'!$B$7))*'01_설정'!$B$16+MAX(0,(1-O1013/'01_설정'!$B$8))*'01_설정'!$B$17+K1013*'01_설정'!$B$11+L1013*'01_설정'!$B$12)</f>
        <v/>
      </c>
      <c r="R1013">
        <f>IF(Q1013="","",1+COUNTIFS($Q$31:$Q$1030,"&gt;"&amp;Q1013)+COUNTIFS($Q$31:Q1013,Q1013)-1)</f>
        <v/>
      </c>
    </row>
    <row r="1014" hidden="1" ht="16.5" customHeight="1">
      <c r="A1014">
        <f>IF(COUNTA('05_KAIS'!$A1002:$N1002)=0,"",987)</f>
        <v/>
      </c>
      <c r="B1014">
        <f>IF($A1014="","",TRIM(INDEX('05_KAIS'!$B:$B,$A1014)&amp;" "&amp;INDEX('05_KAIS'!$C:$C,$A1014)))</f>
        <v/>
      </c>
      <c r="C1014">
        <f>IF($A1014="","",INDEX('05_KAIS'!$D:$D,$A1014))</f>
        <v/>
      </c>
      <c r="D1014">
        <f>IF($A1014="","",INDEX('05_KAIS'!$H:$H,$A1014))</f>
        <v/>
      </c>
      <c r="E1014">
        <f>IF($A1014="","",INDEX('05_KAIS'!$K:$K,$A1014))</f>
        <v/>
      </c>
      <c r="F1014" s="202">
        <f>IF($A1014="","",INDEX('05_KAIS'!$I:$I,$A1014))</f>
        <v/>
      </c>
      <c r="G1014" s="118">
        <f>IF($A1014="","",INDEX('05_KAIS'!$L:$L,$A1014))</f>
        <v/>
      </c>
      <c r="H1014" s="118">
        <f>IF($A1014="","",IFERROR(INDEX('05_KAIS'!$M:$M,$A1014),IF(AND(E1014&gt;0,G1014&gt;0),G1014/E1014,"")))</f>
        <v/>
      </c>
      <c r="I1014" s="202">
        <f>IF($A1014="","",INDEX('05_KAIS'!$N:$N,$A1014))</f>
        <v/>
      </c>
      <c r="J1014">
        <f>IF(B1014="","",IF('02_대상물건입력'!$B$5="",1,IF(ISNUMBER(SEARCH('02_대상물건입력'!$B$5,B1014)),1,0)))</f>
        <v/>
      </c>
      <c r="K1014">
        <f>IF(B1014="","",IF('02_대상물건입력'!$B$6="",1,IF(ISNUMBER(SEARCH('02_대상물건입력'!$B$6,B1014)),1,0)))</f>
        <v/>
      </c>
      <c r="L1014">
        <f>IF(D1014="","",IF('02_대상물건입력'!$B$8="",0,IF(ISNUMBER(SEARCH('02_대상물건입력'!$B$8,D1014)),1,0)))</f>
        <v/>
      </c>
      <c r="M1014">
        <f>IFERROR(ABS(E1014-'02_대상물건입력'!$B$11)/'02_대상물건입력'!$B$11,"")</f>
        <v/>
      </c>
      <c r="N1014">
        <f>IFERROR(ABS('01_설정'!$B$4-F1014),"")</f>
        <v/>
      </c>
      <c r="O1014">
        <f>IFERROR(ABS(YEAR(I1014)-YEAR('02_대상물건입력'!$B$14)),"")</f>
        <v/>
      </c>
      <c r="P1014">
        <f>IF(AND(E1014&gt;0,F1014&gt;0,G1014&gt;0,IF('01_설정'!$B$10=1,J1014=1,TRUE()),M1014&lt;='01_설정'!$B$5,N1014&lt;='01_설정'!$B$7,O1014&lt;='01_설정'!$B$8),"Y","")</f>
        <v/>
      </c>
      <c r="Q1014">
        <f>IF(P1014&lt;&gt;"Y","",MAX(0,(1-M1014/'01_설정'!$B$5))*'01_설정'!$B$14+MAX(0,(1-N1014/'01_설정'!$B$7))*'01_설정'!$B$16+MAX(0,(1-O1014/'01_설정'!$B$8))*'01_설정'!$B$17+K1014*'01_설정'!$B$11+L1014*'01_설정'!$B$12)</f>
        <v/>
      </c>
      <c r="R1014">
        <f>IF(Q1014="","",1+COUNTIFS($Q$31:$Q$1030,"&gt;"&amp;Q1014)+COUNTIFS($Q$31:Q1014,Q1014)-1)</f>
        <v/>
      </c>
    </row>
    <row r="1015" hidden="1" ht="16.5" customHeight="1">
      <c r="A1015">
        <f>IF(COUNTA('05_KAIS'!$A1003:$N1003)=0,"",988)</f>
        <v/>
      </c>
      <c r="B1015">
        <f>IF($A1015="","",TRIM(INDEX('05_KAIS'!$B:$B,$A1015)&amp;" "&amp;INDEX('05_KAIS'!$C:$C,$A1015)))</f>
        <v/>
      </c>
      <c r="C1015">
        <f>IF($A1015="","",INDEX('05_KAIS'!$D:$D,$A1015))</f>
        <v/>
      </c>
      <c r="D1015">
        <f>IF($A1015="","",INDEX('05_KAIS'!$H:$H,$A1015))</f>
        <v/>
      </c>
      <c r="E1015">
        <f>IF($A1015="","",INDEX('05_KAIS'!$K:$K,$A1015))</f>
        <v/>
      </c>
      <c r="F1015" s="202">
        <f>IF($A1015="","",INDEX('05_KAIS'!$I:$I,$A1015))</f>
        <v/>
      </c>
      <c r="G1015" s="118">
        <f>IF($A1015="","",INDEX('05_KAIS'!$L:$L,$A1015))</f>
        <v/>
      </c>
      <c r="H1015" s="118">
        <f>IF($A1015="","",IFERROR(INDEX('05_KAIS'!$M:$M,$A1015),IF(AND(E1015&gt;0,G1015&gt;0),G1015/E1015,"")))</f>
        <v/>
      </c>
      <c r="I1015" s="202">
        <f>IF($A1015="","",INDEX('05_KAIS'!$N:$N,$A1015))</f>
        <v/>
      </c>
      <c r="J1015">
        <f>IF(B1015="","",IF('02_대상물건입력'!$B$5="",1,IF(ISNUMBER(SEARCH('02_대상물건입력'!$B$5,B1015)),1,0)))</f>
        <v/>
      </c>
      <c r="K1015">
        <f>IF(B1015="","",IF('02_대상물건입력'!$B$6="",1,IF(ISNUMBER(SEARCH('02_대상물건입력'!$B$6,B1015)),1,0)))</f>
        <v/>
      </c>
      <c r="L1015">
        <f>IF(D1015="","",IF('02_대상물건입력'!$B$8="",0,IF(ISNUMBER(SEARCH('02_대상물건입력'!$B$8,D1015)),1,0)))</f>
        <v/>
      </c>
      <c r="M1015">
        <f>IFERROR(ABS(E1015-'02_대상물건입력'!$B$11)/'02_대상물건입력'!$B$11,"")</f>
        <v/>
      </c>
      <c r="N1015">
        <f>IFERROR(ABS('01_설정'!$B$4-F1015),"")</f>
        <v/>
      </c>
      <c r="O1015">
        <f>IFERROR(ABS(YEAR(I1015)-YEAR('02_대상물건입력'!$B$14)),"")</f>
        <v/>
      </c>
      <c r="P1015">
        <f>IF(AND(E1015&gt;0,F1015&gt;0,G1015&gt;0,IF('01_설정'!$B$10=1,J1015=1,TRUE()),M1015&lt;='01_설정'!$B$5,N1015&lt;='01_설정'!$B$7,O1015&lt;='01_설정'!$B$8),"Y","")</f>
        <v/>
      </c>
      <c r="Q1015">
        <f>IF(P1015&lt;&gt;"Y","",MAX(0,(1-M1015/'01_설정'!$B$5))*'01_설정'!$B$14+MAX(0,(1-N1015/'01_설정'!$B$7))*'01_설정'!$B$16+MAX(0,(1-O1015/'01_설정'!$B$8))*'01_설정'!$B$17+K1015*'01_설정'!$B$11+L1015*'01_설정'!$B$12)</f>
        <v/>
      </c>
      <c r="R1015">
        <f>IF(Q1015="","",1+COUNTIFS($Q$31:$Q$1030,"&gt;"&amp;Q1015)+COUNTIFS($Q$31:Q1015,Q1015)-1)</f>
        <v/>
      </c>
    </row>
    <row r="1016" hidden="1" ht="16.5" customHeight="1">
      <c r="A1016">
        <f>IF(COUNTA('05_KAIS'!$A1004:$N1004)=0,"",989)</f>
        <v/>
      </c>
      <c r="B1016">
        <f>IF($A1016="","",TRIM(INDEX('05_KAIS'!$B:$B,$A1016)&amp;" "&amp;INDEX('05_KAIS'!$C:$C,$A1016)))</f>
        <v/>
      </c>
      <c r="C1016">
        <f>IF($A1016="","",INDEX('05_KAIS'!$D:$D,$A1016))</f>
        <v/>
      </c>
      <c r="D1016">
        <f>IF($A1016="","",INDEX('05_KAIS'!$H:$H,$A1016))</f>
        <v/>
      </c>
      <c r="E1016">
        <f>IF($A1016="","",INDEX('05_KAIS'!$K:$K,$A1016))</f>
        <v/>
      </c>
      <c r="F1016" s="202">
        <f>IF($A1016="","",INDEX('05_KAIS'!$I:$I,$A1016))</f>
        <v/>
      </c>
      <c r="G1016" s="118">
        <f>IF($A1016="","",INDEX('05_KAIS'!$L:$L,$A1016))</f>
        <v/>
      </c>
      <c r="H1016" s="118">
        <f>IF($A1016="","",IFERROR(INDEX('05_KAIS'!$M:$M,$A1016),IF(AND(E1016&gt;0,G1016&gt;0),G1016/E1016,"")))</f>
        <v/>
      </c>
      <c r="I1016" s="202">
        <f>IF($A1016="","",INDEX('05_KAIS'!$N:$N,$A1016))</f>
        <v/>
      </c>
      <c r="J1016">
        <f>IF(B1016="","",IF('02_대상물건입력'!$B$5="",1,IF(ISNUMBER(SEARCH('02_대상물건입력'!$B$5,B1016)),1,0)))</f>
        <v/>
      </c>
      <c r="K1016">
        <f>IF(B1016="","",IF('02_대상물건입력'!$B$6="",1,IF(ISNUMBER(SEARCH('02_대상물건입력'!$B$6,B1016)),1,0)))</f>
        <v/>
      </c>
      <c r="L1016">
        <f>IF(D1016="","",IF('02_대상물건입력'!$B$8="",0,IF(ISNUMBER(SEARCH('02_대상물건입력'!$B$8,D1016)),1,0)))</f>
        <v/>
      </c>
      <c r="M1016">
        <f>IFERROR(ABS(E1016-'02_대상물건입력'!$B$11)/'02_대상물건입력'!$B$11,"")</f>
        <v/>
      </c>
      <c r="N1016">
        <f>IFERROR(ABS('01_설정'!$B$4-F1016),"")</f>
        <v/>
      </c>
      <c r="O1016">
        <f>IFERROR(ABS(YEAR(I1016)-YEAR('02_대상물건입력'!$B$14)),"")</f>
        <v/>
      </c>
      <c r="P1016">
        <f>IF(AND(E1016&gt;0,F1016&gt;0,G1016&gt;0,IF('01_설정'!$B$10=1,J1016=1,TRUE()),M1016&lt;='01_설정'!$B$5,N1016&lt;='01_설정'!$B$7,O1016&lt;='01_설정'!$B$8),"Y","")</f>
        <v/>
      </c>
      <c r="Q1016">
        <f>IF(P1016&lt;&gt;"Y","",MAX(0,(1-M1016/'01_설정'!$B$5))*'01_설정'!$B$14+MAX(0,(1-N1016/'01_설정'!$B$7))*'01_설정'!$B$16+MAX(0,(1-O1016/'01_설정'!$B$8))*'01_설정'!$B$17+K1016*'01_설정'!$B$11+L1016*'01_설정'!$B$12)</f>
        <v/>
      </c>
      <c r="R1016">
        <f>IF(Q1016="","",1+COUNTIFS($Q$31:$Q$1030,"&gt;"&amp;Q1016)+COUNTIFS($Q$31:Q1016,Q1016)-1)</f>
        <v/>
      </c>
    </row>
    <row r="1017" hidden="1" ht="16.5" customHeight="1">
      <c r="A1017">
        <f>IF(COUNTA('05_KAIS'!$A1005:$N1005)=0,"",990)</f>
        <v/>
      </c>
      <c r="B1017">
        <f>IF($A1017="","",TRIM(INDEX('05_KAIS'!$B:$B,$A1017)&amp;" "&amp;INDEX('05_KAIS'!$C:$C,$A1017)))</f>
        <v/>
      </c>
      <c r="C1017">
        <f>IF($A1017="","",INDEX('05_KAIS'!$D:$D,$A1017))</f>
        <v/>
      </c>
      <c r="D1017">
        <f>IF($A1017="","",INDEX('05_KAIS'!$H:$H,$A1017))</f>
        <v/>
      </c>
      <c r="E1017">
        <f>IF($A1017="","",INDEX('05_KAIS'!$K:$K,$A1017))</f>
        <v/>
      </c>
      <c r="F1017" s="202">
        <f>IF($A1017="","",INDEX('05_KAIS'!$I:$I,$A1017))</f>
        <v/>
      </c>
      <c r="G1017" s="118">
        <f>IF($A1017="","",INDEX('05_KAIS'!$L:$L,$A1017))</f>
        <v/>
      </c>
      <c r="H1017" s="118">
        <f>IF($A1017="","",IFERROR(INDEX('05_KAIS'!$M:$M,$A1017),IF(AND(E1017&gt;0,G1017&gt;0),G1017/E1017,"")))</f>
        <v/>
      </c>
      <c r="I1017" s="202">
        <f>IF($A1017="","",INDEX('05_KAIS'!$N:$N,$A1017))</f>
        <v/>
      </c>
      <c r="J1017">
        <f>IF(B1017="","",IF('02_대상물건입력'!$B$5="",1,IF(ISNUMBER(SEARCH('02_대상물건입력'!$B$5,B1017)),1,0)))</f>
        <v/>
      </c>
      <c r="K1017">
        <f>IF(B1017="","",IF('02_대상물건입력'!$B$6="",1,IF(ISNUMBER(SEARCH('02_대상물건입력'!$B$6,B1017)),1,0)))</f>
        <v/>
      </c>
      <c r="L1017">
        <f>IF(D1017="","",IF('02_대상물건입력'!$B$8="",0,IF(ISNUMBER(SEARCH('02_대상물건입력'!$B$8,D1017)),1,0)))</f>
        <v/>
      </c>
      <c r="M1017">
        <f>IFERROR(ABS(E1017-'02_대상물건입력'!$B$11)/'02_대상물건입력'!$B$11,"")</f>
        <v/>
      </c>
      <c r="N1017">
        <f>IFERROR(ABS('01_설정'!$B$4-F1017),"")</f>
        <v/>
      </c>
      <c r="O1017">
        <f>IFERROR(ABS(YEAR(I1017)-YEAR('02_대상물건입력'!$B$14)),"")</f>
        <v/>
      </c>
      <c r="P1017">
        <f>IF(AND(E1017&gt;0,F1017&gt;0,G1017&gt;0,IF('01_설정'!$B$10=1,J1017=1,TRUE()),M1017&lt;='01_설정'!$B$5,N1017&lt;='01_설정'!$B$7,O1017&lt;='01_설정'!$B$8),"Y","")</f>
        <v/>
      </c>
      <c r="Q1017">
        <f>IF(P1017&lt;&gt;"Y","",MAX(0,(1-M1017/'01_설정'!$B$5))*'01_설정'!$B$14+MAX(0,(1-N1017/'01_설정'!$B$7))*'01_설정'!$B$16+MAX(0,(1-O1017/'01_설정'!$B$8))*'01_설정'!$B$17+K1017*'01_설정'!$B$11+L1017*'01_설정'!$B$12)</f>
        <v/>
      </c>
      <c r="R1017">
        <f>IF(Q1017="","",1+COUNTIFS($Q$31:$Q$1030,"&gt;"&amp;Q1017)+COUNTIFS($Q$31:Q1017,Q1017)-1)</f>
        <v/>
      </c>
    </row>
    <row r="1018" hidden="1" ht="16.5" customHeight="1">
      <c r="A1018">
        <f>IF(COUNTA('05_KAIS'!$A1006:$N1006)=0,"",991)</f>
        <v/>
      </c>
      <c r="B1018">
        <f>IF($A1018="","",TRIM(INDEX('05_KAIS'!$B:$B,$A1018)&amp;" "&amp;INDEX('05_KAIS'!$C:$C,$A1018)))</f>
        <v/>
      </c>
      <c r="C1018">
        <f>IF($A1018="","",INDEX('05_KAIS'!$D:$D,$A1018))</f>
        <v/>
      </c>
      <c r="D1018">
        <f>IF($A1018="","",INDEX('05_KAIS'!$H:$H,$A1018))</f>
        <v/>
      </c>
      <c r="E1018">
        <f>IF($A1018="","",INDEX('05_KAIS'!$K:$K,$A1018))</f>
        <v/>
      </c>
      <c r="F1018" s="202">
        <f>IF($A1018="","",INDEX('05_KAIS'!$I:$I,$A1018))</f>
        <v/>
      </c>
      <c r="G1018" s="118">
        <f>IF($A1018="","",INDEX('05_KAIS'!$L:$L,$A1018))</f>
        <v/>
      </c>
      <c r="H1018" s="118">
        <f>IF($A1018="","",IFERROR(INDEX('05_KAIS'!$M:$M,$A1018),IF(AND(E1018&gt;0,G1018&gt;0),G1018/E1018,"")))</f>
        <v/>
      </c>
      <c r="I1018" s="202">
        <f>IF($A1018="","",INDEX('05_KAIS'!$N:$N,$A1018))</f>
        <v/>
      </c>
      <c r="J1018">
        <f>IF(B1018="","",IF('02_대상물건입력'!$B$5="",1,IF(ISNUMBER(SEARCH('02_대상물건입력'!$B$5,B1018)),1,0)))</f>
        <v/>
      </c>
      <c r="K1018">
        <f>IF(B1018="","",IF('02_대상물건입력'!$B$6="",1,IF(ISNUMBER(SEARCH('02_대상물건입력'!$B$6,B1018)),1,0)))</f>
        <v/>
      </c>
      <c r="L1018">
        <f>IF(D1018="","",IF('02_대상물건입력'!$B$8="",0,IF(ISNUMBER(SEARCH('02_대상물건입력'!$B$8,D1018)),1,0)))</f>
        <v/>
      </c>
      <c r="M1018">
        <f>IFERROR(ABS(E1018-'02_대상물건입력'!$B$11)/'02_대상물건입력'!$B$11,"")</f>
        <v/>
      </c>
      <c r="N1018">
        <f>IFERROR(ABS('01_설정'!$B$4-F1018),"")</f>
        <v/>
      </c>
      <c r="O1018">
        <f>IFERROR(ABS(YEAR(I1018)-YEAR('02_대상물건입력'!$B$14)),"")</f>
        <v/>
      </c>
      <c r="P1018">
        <f>IF(AND(E1018&gt;0,F1018&gt;0,G1018&gt;0,IF('01_설정'!$B$10=1,J1018=1,TRUE()),M1018&lt;='01_설정'!$B$5,N1018&lt;='01_설정'!$B$7,O1018&lt;='01_설정'!$B$8),"Y","")</f>
        <v/>
      </c>
      <c r="Q1018">
        <f>IF(P1018&lt;&gt;"Y","",MAX(0,(1-M1018/'01_설정'!$B$5))*'01_설정'!$B$14+MAX(0,(1-N1018/'01_설정'!$B$7))*'01_설정'!$B$16+MAX(0,(1-O1018/'01_설정'!$B$8))*'01_설정'!$B$17+K1018*'01_설정'!$B$11+L1018*'01_설정'!$B$12)</f>
        <v/>
      </c>
      <c r="R1018">
        <f>IF(Q1018="","",1+COUNTIFS($Q$31:$Q$1030,"&gt;"&amp;Q1018)+COUNTIFS($Q$31:Q1018,Q1018)-1)</f>
        <v/>
      </c>
    </row>
    <row r="1019" hidden="1" ht="16.5" customHeight="1">
      <c r="A1019">
        <f>IF(COUNTA('05_KAIS'!$A1007:$N1007)=0,"",992)</f>
        <v/>
      </c>
      <c r="B1019">
        <f>IF($A1019="","",TRIM(INDEX('05_KAIS'!$B:$B,$A1019)&amp;" "&amp;INDEX('05_KAIS'!$C:$C,$A1019)))</f>
        <v/>
      </c>
      <c r="C1019">
        <f>IF($A1019="","",INDEX('05_KAIS'!$D:$D,$A1019))</f>
        <v/>
      </c>
      <c r="D1019">
        <f>IF($A1019="","",INDEX('05_KAIS'!$H:$H,$A1019))</f>
        <v/>
      </c>
      <c r="E1019">
        <f>IF($A1019="","",INDEX('05_KAIS'!$K:$K,$A1019))</f>
        <v/>
      </c>
      <c r="F1019" s="202">
        <f>IF($A1019="","",INDEX('05_KAIS'!$I:$I,$A1019))</f>
        <v/>
      </c>
      <c r="G1019" s="118">
        <f>IF($A1019="","",INDEX('05_KAIS'!$L:$L,$A1019))</f>
        <v/>
      </c>
      <c r="H1019" s="118">
        <f>IF($A1019="","",IFERROR(INDEX('05_KAIS'!$M:$M,$A1019),IF(AND(E1019&gt;0,G1019&gt;0),G1019/E1019,"")))</f>
        <v/>
      </c>
      <c r="I1019" s="202">
        <f>IF($A1019="","",INDEX('05_KAIS'!$N:$N,$A1019))</f>
        <v/>
      </c>
      <c r="J1019">
        <f>IF(B1019="","",IF('02_대상물건입력'!$B$5="",1,IF(ISNUMBER(SEARCH('02_대상물건입력'!$B$5,B1019)),1,0)))</f>
        <v/>
      </c>
      <c r="K1019">
        <f>IF(B1019="","",IF('02_대상물건입력'!$B$6="",1,IF(ISNUMBER(SEARCH('02_대상물건입력'!$B$6,B1019)),1,0)))</f>
        <v/>
      </c>
      <c r="L1019">
        <f>IF(D1019="","",IF('02_대상물건입력'!$B$8="",0,IF(ISNUMBER(SEARCH('02_대상물건입력'!$B$8,D1019)),1,0)))</f>
        <v/>
      </c>
      <c r="M1019">
        <f>IFERROR(ABS(E1019-'02_대상물건입력'!$B$11)/'02_대상물건입력'!$B$11,"")</f>
        <v/>
      </c>
      <c r="N1019">
        <f>IFERROR(ABS('01_설정'!$B$4-F1019),"")</f>
        <v/>
      </c>
      <c r="O1019">
        <f>IFERROR(ABS(YEAR(I1019)-YEAR('02_대상물건입력'!$B$14)),"")</f>
        <v/>
      </c>
      <c r="P1019">
        <f>IF(AND(E1019&gt;0,F1019&gt;0,G1019&gt;0,IF('01_설정'!$B$10=1,J1019=1,TRUE()),M1019&lt;='01_설정'!$B$5,N1019&lt;='01_설정'!$B$7,O1019&lt;='01_설정'!$B$8),"Y","")</f>
        <v/>
      </c>
      <c r="Q1019">
        <f>IF(P1019&lt;&gt;"Y","",MAX(0,(1-M1019/'01_설정'!$B$5))*'01_설정'!$B$14+MAX(0,(1-N1019/'01_설정'!$B$7))*'01_설정'!$B$16+MAX(0,(1-O1019/'01_설정'!$B$8))*'01_설정'!$B$17+K1019*'01_설정'!$B$11+L1019*'01_설정'!$B$12)</f>
        <v/>
      </c>
      <c r="R1019">
        <f>IF(Q1019="","",1+COUNTIFS($Q$31:$Q$1030,"&gt;"&amp;Q1019)+COUNTIFS($Q$31:Q1019,Q1019)-1)</f>
        <v/>
      </c>
    </row>
    <row r="1020" hidden="1" ht="16.5" customHeight="1">
      <c r="A1020">
        <f>IF(COUNTA('05_KAIS'!$A1008:$N1008)=0,"",993)</f>
        <v/>
      </c>
      <c r="B1020">
        <f>IF($A1020="","",TRIM(INDEX('05_KAIS'!$B:$B,$A1020)&amp;" "&amp;INDEX('05_KAIS'!$C:$C,$A1020)))</f>
        <v/>
      </c>
      <c r="C1020">
        <f>IF($A1020="","",INDEX('05_KAIS'!$D:$D,$A1020))</f>
        <v/>
      </c>
      <c r="D1020">
        <f>IF($A1020="","",INDEX('05_KAIS'!$H:$H,$A1020))</f>
        <v/>
      </c>
      <c r="E1020">
        <f>IF($A1020="","",INDEX('05_KAIS'!$K:$K,$A1020))</f>
        <v/>
      </c>
      <c r="F1020" s="202">
        <f>IF($A1020="","",INDEX('05_KAIS'!$I:$I,$A1020))</f>
        <v/>
      </c>
      <c r="G1020" s="118">
        <f>IF($A1020="","",INDEX('05_KAIS'!$L:$L,$A1020))</f>
        <v/>
      </c>
      <c r="H1020" s="118">
        <f>IF($A1020="","",IFERROR(INDEX('05_KAIS'!$M:$M,$A1020),IF(AND(E1020&gt;0,G1020&gt;0),G1020/E1020,"")))</f>
        <v/>
      </c>
      <c r="I1020" s="202">
        <f>IF($A1020="","",INDEX('05_KAIS'!$N:$N,$A1020))</f>
        <v/>
      </c>
      <c r="J1020">
        <f>IF(B1020="","",IF('02_대상물건입력'!$B$5="",1,IF(ISNUMBER(SEARCH('02_대상물건입력'!$B$5,B1020)),1,0)))</f>
        <v/>
      </c>
      <c r="K1020">
        <f>IF(B1020="","",IF('02_대상물건입력'!$B$6="",1,IF(ISNUMBER(SEARCH('02_대상물건입력'!$B$6,B1020)),1,0)))</f>
        <v/>
      </c>
      <c r="L1020">
        <f>IF(D1020="","",IF('02_대상물건입력'!$B$8="",0,IF(ISNUMBER(SEARCH('02_대상물건입력'!$B$8,D1020)),1,0)))</f>
        <v/>
      </c>
      <c r="M1020">
        <f>IFERROR(ABS(E1020-'02_대상물건입력'!$B$11)/'02_대상물건입력'!$B$11,"")</f>
        <v/>
      </c>
      <c r="N1020">
        <f>IFERROR(ABS('01_설정'!$B$4-F1020),"")</f>
        <v/>
      </c>
      <c r="O1020">
        <f>IFERROR(ABS(YEAR(I1020)-YEAR('02_대상물건입력'!$B$14)),"")</f>
        <v/>
      </c>
      <c r="P1020">
        <f>IF(AND(E1020&gt;0,F1020&gt;0,G1020&gt;0,IF('01_설정'!$B$10=1,J1020=1,TRUE()),M1020&lt;='01_설정'!$B$5,N1020&lt;='01_설정'!$B$7,O1020&lt;='01_설정'!$B$8),"Y","")</f>
        <v/>
      </c>
      <c r="Q1020">
        <f>IF(P1020&lt;&gt;"Y","",MAX(0,(1-M1020/'01_설정'!$B$5))*'01_설정'!$B$14+MAX(0,(1-N1020/'01_설정'!$B$7))*'01_설정'!$B$16+MAX(0,(1-O1020/'01_설정'!$B$8))*'01_설정'!$B$17+K1020*'01_설정'!$B$11+L1020*'01_설정'!$B$12)</f>
        <v/>
      </c>
      <c r="R1020">
        <f>IF(Q1020="","",1+COUNTIFS($Q$31:$Q$1030,"&gt;"&amp;Q1020)+COUNTIFS($Q$31:Q1020,Q1020)-1)</f>
        <v/>
      </c>
    </row>
    <row r="1021" hidden="1" ht="16.5" customHeight="1">
      <c r="A1021">
        <f>IF(COUNTA('05_KAIS'!$A1009:$N1009)=0,"",994)</f>
        <v/>
      </c>
      <c r="B1021">
        <f>IF($A1021="","",TRIM(INDEX('05_KAIS'!$B:$B,$A1021)&amp;" "&amp;INDEX('05_KAIS'!$C:$C,$A1021)))</f>
        <v/>
      </c>
      <c r="C1021">
        <f>IF($A1021="","",INDEX('05_KAIS'!$D:$D,$A1021))</f>
        <v/>
      </c>
      <c r="D1021">
        <f>IF($A1021="","",INDEX('05_KAIS'!$H:$H,$A1021))</f>
        <v/>
      </c>
      <c r="E1021">
        <f>IF($A1021="","",INDEX('05_KAIS'!$K:$K,$A1021))</f>
        <v/>
      </c>
      <c r="F1021" s="202">
        <f>IF($A1021="","",INDEX('05_KAIS'!$I:$I,$A1021))</f>
        <v/>
      </c>
      <c r="G1021" s="118">
        <f>IF($A1021="","",INDEX('05_KAIS'!$L:$L,$A1021))</f>
        <v/>
      </c>
      <c r="H1021" s="118">
        <f>IF($A1021="","",IFERROR(INDEX('05_KAIS'!$M:$M,$A1021),IF(AND(E1021&gt;0,G1021&gt;0),G1021/E1021,"")))</f>
        <v/>
      </c>
      <c r="I1021" s="202">
        <f>IF($A1021="","",INDEX('05_KAIS'!$N:$N,$A1021))</f>
        <v/>
      </c>
      <c r="J1021">
        <f>IF(B1021="","",IF('02_대상물건입력'!$B$5="",1,IF(ISNUMBER(SEARCH('02_대상물건입력'!$B$5,B1021)),1,0)))</f>
        <v/>
      </c>
      <c r="K1021">
        <f>IF(B1021="","",IF('02_대상물건입력'!$B$6="",1,IF(ISNUMBER(SEARCH('02_대상물건입력'!$B$6,B1021)),1,0)))</f>
        <v/>
      </c>
      <c r="L1021">
        <f>IF(D1021="","",IF('02_대상물건입력'!$B$8="",0,IF(ISNUMBER(SEARCH('02_대상물건입력'!$B$8,D1021)),1,0)))</f>
        <v/>
      </c>
      <c r="M1021">
        <f>IFERROR(ABS(E1021-'02_대상물건입력'!$B$11)/'02_대상물건입력'!$B$11,"")</f>
        <v/>
      </c>
      <c r="N1021">
        <f>IFERROR(ABS('01_설정'!$B$4-F1021),"")</f>
        <v/>
      </c>
      <c r="O1021">
        <f>IFERROR(ABS(YEAR(I1021)-YEAR('02_대상물건입력'!$B$14)),"")</f>
        <v/>
      </c>
      <c r="P1021">
        <f>IF(AND(E1021&gt;0,F1021&gt;0,G1021&gt;0,IF('01_설정'!$B$10=1,J1021=1,TRUE()),M1021&lt;='01_설정'!$B$5,N1021&lt;='01_설정'!$B$7,O1021&lt;='01_설정'!$B$8),"Y","")</f>
        <v/>
      </c>
      <c r="Q1021">
        <f>IF(P1021&lt;&gt;"Y","",MAX(0,(1-M1021/'01_설정'!$B$5))*'01_설정'!$B$14+MAX(0,(1-N1021/'01_설정'!$B$7))*'01_설정'!$B$16+MAX(0,(1-O1021/'01_설정'!$B$8))*'01_설정'!$B$17+K1021*'01_설정'!$B$11+L1021*'01_설정'!$B$12)</f>
        <v/>
      </c>
      <c r="R1021">
        <f>IF(Q1021="","",1+COUNTIFS($Q$31:$Q$1030,"&gt;"&amp;Q1021)+COUNTIFS($Q$31:Q1021,Q1021)-1)</f>
        <v/>
      </c>
    </row>
    <row r="1022" hidden="1" ht="16.5" customHeight="1">
      <c r="A1022">
        <f>IF(COUNTA('05_KAIS'!$A1010:$N1010)=0,"",995)</f>
        <v/>
      </c>
      <c r="B1022">
        <f>IF($A1022="","",TRIM(INDEX('05_KAIS'!$B:$B,$A1022)&amp;" "&amp;INDEX('05_KAIS'!$C:$C,$A1022)))</f>
        <v/>
      </c>
      <c r="C1022">
        <f>IF($A1022="","",INDEX('05_KAIS'!$D:$D,$A1022))</f>
        <v/>
      </c>
      <c r="D1022">
        <f>IF($A1022="","",INDEX('05_KAIS'!$H:$H,$A1022))</f>
        <v/>
      </c>
      <c r="E1022">
        <f>IF($A1022="","",INDEX('05_KAIS'!$K:$K,$A1022))</f>
        <v/>
      </c>
      <c r="F1022" s="202">
        <f>IF($A1022="","",INDEX('05_KAIS'!$I:$I,$A1022))</f>
        <v/>
      </c>
      <c r="G1022" s="118">
        <f>IF($A1022="","",INDEX('05_KAIS'!$L:$L,$A1022))</f>
        <v/>
      </c>
      <c r="H1022" s="118">
        <f>IF($A1022="","",IFERROR(INDEX('05_KAIS'!$M:$M,$A1022),IF(AND(E1022&gt;0,G1022&gt;0),G1022/E1022,"")))</f>
        <v/>
      </c>
      <c r="I1022" s="202">
        <f>IF($A1022="","",INDEX('05_KAIS'!$N:$N,$A1022))</f>
        <v/>
      </c>
      <c r="J1022">
        <f>IF(B1022="","",IF('02_대상물건입력'!$B$5="",1,IF(ISNUMBER(SEARCH('02_대상물건입력'!$B$5,B1022)),1,0)))</f>
        <v/>
      </c>
      <c r="K1022">
        <f>IF(B1022="","",IF('02_대상물건입력'!$B$6="",1,IF(ISNUMBER(SEARCH('02_대상물건입력'!$B$6,B1022)),1,0)))</f>
        <v/>
      </c>
      <c r="L1022">
        <f>IF(D1022="","",IF('02_대상물건입력'!$B$8="",0,IF(ISNUMBER(SEARCH('02_대상물건입력'!$B$8,D1022)),1,0)))</f>
        <v/>
      </c>
      <c r="M1022">
        <f>IFERROR(ABS(E1022-'02_대상물건입력'!$B$11)/'02_대상물건입력'!$B$11,"")</f>
        <v/>
      </c>
      <c r="N1022">
        <f>IFERROR(ABS('01_설정'!$B$4-F1022),"")</f>
        <v/>
      </c>
      <c r="O1022">
        <f>IFERROR(ABS(YEAR(I1022)-YEAR('02_대상물건입력'!$B$14)),"")</f>
        <v/>
      </c>
      <c r="P1022">
        <f>IF(AND(E1022&gt;0,F1022&gt;0,G1022&gt;0,IF('01_설정'!$B$10=1,J1022=1,TRUE()),M1022&lt;='01_설정'!$B$5,N1022&lt;='01_설정'!$B$7,O1022&lt;='01_설정'!$B$8),"Y","")</f>
        <v/>
      </c>
      <c r="Q1022">
        <f>IF(P1022&lt;&gt;"Y","",MAX(0,(1-M1022/'01_설정'!$B$5))*'01_설정'!$B$14+MAX(0,(1-N1022/'01_설정'!$B$7))*'01_설정'!$B$16+MAX(0,(1-O1022/'01_설정'!$B$8))*'01_설정'!$B$17+K1022*'01_설정'!$B$11+L1022*'01_설정'!$B$12)</f>
        <v/>
      </c>
      <c r="R1022">
        <f>IF(Q1022="","",1+COUNTIFS($Q$31:$Q$1030,"&gt;"&amp;Q1022)+COUNTIFS($Q$31:Q1022,Q1022)-1)</f>
        <v/>
      </c>
    </row>
    <row r="1023" hidden="1" ht="16.5" customHeight="1">
      <c r="A1023">
        <f>IF(COUNTA('05_KAIS'!$A1011:$N1011)=0,"",996)</f>
        <v/>
      </c>
      <c r="B1023">
        <f>IF($A1023="","",TRIM(INDEX('05_KAIS'!$B:$B,$A1023)&amp;" "&amp;INDEX('05_KAIS'!$C:$C,$A1023)))</f>
        <v/>
      </c>
      <c r="C1023">
        <f>IF($A1023="","",INDEX('05_KAIS'!$D:$D,$A1023))</f>
        <v/>
      </c>
      <c r="D1023">
        <f>IF($A1023="","",INDEX('05_KAIS'!$H:$H,$A1023))</f>
        <v/>
      </c>
      <c r="E1023">
        <f>IF($A1023="","",INDEX('05_KAIS'!$K:$K,$A1023))</f>
        <v/>
      </c>
      <c r="F1023" s="202">
        <f>IF($A1023="","",INDEX('05_KAIS'!$I:$I,$A1023))</f>
        <v/>
      </c>
      <c r="G1023" s="118">
        <f>IF($A1023="","",INDEX('05_KAIS'!$L:$L,$A1023))</f>
        <v/>
      </c>
      <c r="H1023" s="118">
        <f>IF($A1023="","",IFERROR(INDEX('05_KAIS'!$M:$M,$A1023),IF(AND(E1023&gt;0,G1023&gt;0),G1023/E1023,"")))</f>
        <v/>
      </c>
      <c r="I1023" s="202">
        <f>IF($A1023="","",INDEX('05_KAIS'!$N:$N,$A1023))</f>
        <v/>
      </c>
      <c r="J1023">
        <f>IF(B1023="","",IF('02_대상물건입력'!$B$5="",1,IF(ISNUMBER(SEARCH('02_대상물건입력'!$B$5,B1023)),1,0)))</f>
        <v/>
      </c>
      <c r="K1023">
        <f>IF(B1023="","",IF('02_대상물건입력'!$B$6="",1,IF(ISNUMBER(SEARCH('02_대상물건입력'!$B$6,B1023)),1,0)))</f>
        <v/>
      </c>
      <c r="L1023">
        <f>IF(D1023="","",IF('02_대상물건입력'!$B$8="",0,IF(ISNUMBER(SEARCH('02_대상물건입력'!$B$8,D1023)),1,0)))</f>
        <v/>
      </c>
      <c r="M1023">
        <f>IFERROR(ABS(E1023-'02_대상물건입력'!$B$11)/'02_대상물건입력'!$B$11,"")</f>
        <v/>
      </c>
      <c r="N1023">
        <f>IFERROR(ABS('01_설정'!$B$4-F1023),"")</f>
        <v/>
      </c>
      <c r="O1023">
        <f>IFERROR(ABS(YEAR(I1023)-YEAR('02_대상물건입력'!$B$14)),"")</f>
        <v/>
      </c>
      <c r="P1023">
        <f>IF(AND(E1023&gt;0,F1023&gt;0,G1023&gt;0,IF('01_설정'!$B$10=1,J1023=1,TRUE()),M1023&lt;='01_설정'!$B$5,N1023&lt;='01_설정'!$B$7,O1023&lt;='01_설정'!$B$8),"Y","")</f>
        <v/>
      </c>
      <c r="Q1023">
        <f>IF(P1023&lt;&gt;"Y","",MAX(0,(1-M1023/'01_설정'!$B$5))*'01_설정'!$B$14+MAX(0,(1-N1023/'01_설정'!$B$7))*'01_설정'!$B$16+MAX(0,(1-O1023/'01_설정'!$B$8))*'01_설정'!$B$17+K1023*'01_설정'!$B$11+L1023*'01_설정'!$B$12)</f>
        <v/>
      </c>
      <c r="R1023">
        <f>IF(Q1023="","",1+COUNTIFS($Q$31:$Q$1030,"&gt;"&amp;Q1023)+COUNTIFS($Q$31:Q1023,Q1023)-1)</f>
        <v/>
      </c>
    </row>
    <row r="1024" hidden="1" ht="16.5" customHeight="1">
      <c r="A1024">
        <f>IF(COUNTA('05_KAIS'!$A1012:$N1012)=0,"",997)</f>
        <v/>
      </c>
      <c r="B1024">
        <f>IF($A1024="","",TRIM(INDEX('05_KAIS'!$B:$B,$A1024)&amp;" "&amp;INDEX('05_KAIS'!$C:$C,$A1024)))</f>
        <v/>
      </c>
      <c r="C1024">
        <f>IF($A1024="","",INDEX('05_KAIS'!$D:$D,$A1024))</f>
        <v/>
      </c>
      <c r="D1024">
        <f>IF($A1024="","",INDEX('05_KAIS'!$H:$H,$A1024))</f>
        <v/>
      </c>
      <c r="E1024">
        <f>IF($A1024="","",INDEX('05_KAIS'!$K:$K,$A1024))</f>
        <v/>
      </c>
      <c r="F1024" s="202">
        <f>IF($A1024="","",INDEX('05_KAIS'!$I:$I,$A1024))</f>
        <v/>
      </c>
      <c r="G1024" s="118">
        <f>IF($A1024="","",INDEX('05_KAIS'!$L:$L,$A1024))</f>
        <v/>
      </c>
      <c r="H1024" s="118">
        <f>IF($A1024="","",IFERROR(INDEX('05_KAIS'!$M:$M,$A1024),IF(AND(E1024&gt;0,G1024&gt;0),G1024/E1024,"")))</f>
        <v/>
      </c>
      <c r="I1024" s="202">
        <f>IF($A1024="","",INDEX('05_KAIS'!$N:$N,$A1024))</f>
        <v/>
      </c>
      <c r="J1024">
        <f>IF(B1024="","",IF('02_대상물건입력'!$B$5="",1,IF(ISNUMBER(SEARCH('02_대상물건입력'!$B$5,B1024)),1,0)))</f>
        <v/>
      </c>
      <c r="K1024">
        <f>IF(B1024="","",IF('02_대상물건입력'!$B$6="",1,IF(ISNUMBER(SEARCH('02_대상물건입력'!$B$6,B1024)),1,0)))</f>
        <v/>
      </c>
      <c r="L1024">
        <f>IF(D1024="","",IF('02_대상물건입력'!$B$8="",0,IF(ISNUMBER(SEARCH('02_대상물건입력'!$B$8,D1024)),1,0)))</f>
        <v/>
      </c>
      <c r="M1024">
        <f>IFERROR(ABS(E1024-'02_대상물건입력'!$B$11)/'02_대상물건입력'!$B$11,"")</f>
        <v/>
      </c>
      <c r="N1024">
        <f>IFERROR(ABS('01_설정'!$B$4-F1024),"")</f>
        <v/>
      </c>
      <c r="O1024">
        <f>IFERROR(ABS(YEAR(I1024)-YEAR('02_대상물건입력'!$B$14)),"")</f>
        <v/>
      </c>
      <c r="P1024">
        <f>IF(AND(E1024&gt;0,F1024&gt;0,G1024&gt;0,IF('01_설정'!$B$10=1,J1024=1,TRUE()),M1024&lt;='01_설정'!$B$5,N1024&lt;='01_설정'!$B$7,O1024&lt;='01_설정'!$B$8),"Y","")</f>
        <v/>
      </c>
      <c r="Q1024">
        <f>IF(P1024&lt;&gt;"Y","",MAX(0,(1-M1024/'01_설정'!$B$5))*'01_설정'!$B$14+MAX(0,(1-N1024/'01_설정'!$B$7))*'01_설정'!$B$16+MAX(0,(1-O1024/'01_설정'!$B$8))*'01_설정'!$B$17+K1024*'01_설정'!$B$11+L1024*'01_설정'!$B$12)</f>
        <v/>
      </c>
      <c r="R1024">
        <f>IF(Q1024="","",1+COUNTIFS($Q$31:$Q$1030,"&gt;"&amp;Q1024)+COUNTIFS($Q$31:Q1024,Q1024)-1)</f>
        <v/>
      </c>
    </row>
    <row r="1025" hidden="1" ht="16.5" customHeight="1">
      <c r="A1025">
        <f>IF(COUNTA('05_KAIS'!$A1013:$N1013)=0,"",998)</f>
        <v/>
      </c>
      <c r="B1025">
        <f>IF($A1025="","",TRIM(INDEX('05_KAIS'!$B:$B,$A1025)&amp;" "&amp;INDEX('05_KAIS'!$C:$C,$A1025)))</f>
        <v/>
      </c>
      <c r="C1025">
        <f>IF($A1025="","",INDEX('05_KAIS'!$D:$D,$A1025))</f>
        <v/>
      </c>
      <c r="D1025">
        <f>IF($A1025="","",INDEX('05_KAIS'!$H:$H,$A1025))</f>
        <v/>
      </c>
      <c r="E1025">
        <f>IF($A1025="","",INDEX('05_KAIS'!$K:$K,$A1025))</f>
        <v/>
      </c>
      <c r="F1025" s="202">
        <f>IF($A1025="","",INDEX('05_KAIS'!$I:$I,$A1025))</f>
        <v/>
      </c>
      <c r="G1025" s="118">
        <f>IF($A1025="","",INDEX('05_KAIS'!$L:$L,$A1025))</f>
        <v/>
      </c>
      <c r="H1025" s="118">
        <f>IF($A1025="","",IFERROR(INDEX('05_KAIS'!$M:$M,$A1025),IF(AND(E1025&gt;0,G1025&gt;0),G1025/E1025,"")))</f>
        <v/>
      </c>
      <c r="I1025" s="202">
        <f>IF($A1025="","",INDEX('05_KAIS'!$N:$N,$A1025))</f>
        <v/>
      </c>
      <c r="J1025">
        <f>IF(B1025="","",IF('02_대상물건입력'!$B$5="",1,IF(ISNUMBER(SEARCH('02_대상물건입력'!$B$5,B1025)),1,0)))</f>
        <v/>
      </c>
      <c r="K1025">
        <f>IF(B1025="","",IF('02_대상물건입력'!$B$6="",1,IF(ISNUMBER(SEARCH('02_대상물건입력'!$B$6,B1025)),1,0)))</f>
        <v/>
      </c>
      <c r="L1025">
        <f>IF(D1025="","",IF('02_대상물건입력'!$B$8="",0,IF(ISNUMBER(SEARCH('02_대상물건입력'!$B$8,D1025)),1,0)))</f>
        <v/>
      </c>
      <c r="M1025">
        <f>IFERROR(ABS(E1025-'02_대상물건입력'!$B$11)/'02_대상물건입력'!$B$11,"")</f>
        <v/>
      </c>
      <c r="N1025">
        <f>IFERROR(ABS('01_설정'!$B$4-F1025),"")</f>
        <v/>
      </c>
      <c r="O1025">
        <f>IFERROR(ABS(YEAR(I1025)-YEAR('02_대상물건입력'!$B$14)),"")</f>
        <v/>
      </c>
      <c r="P1025">
        <f>IF(AND(E1025&gt;0,F1025&gt;0,G1025&gt;0,IF('01_설정'!$B$10=1,J1025=1,TRUE()),M1025&lt;='01_설정'!$B$5,N1025&lt;='01_설정'!$B$7,O1025&lt;='01_설정'!$B$8),"Y","")</f>
        <v/>
      </c>
      <c r="Q1025">
        <f>IF(P1025&lt;&gt;"Y","",MAX(0,(1-M1025/'01_설정'!$B$5))*'01_설정'!$B$14+MAX(0,(1-N1025/'01_설정'!$B$7))*'01_설정'!$B$16+MAX(0,(1-O1025/'01_설정'!$B$8))*'01_설정'!$B$17+K1025*'01_설정'!$B$11+L1025*'01_설정'!$B$12)</f>
        <v/>
      </c>
      <c r="R1025">
        <f>IF(Q1025="","",1+COUNTIFS($Q$31:$Q$1030,"&gt;"&amp;Q1025)+COUNTIFS($Q$31:Q1025,Q1025)-1)</f>
        <v/>
      </c>
    </row>
    <row r="1026" hidden="1" ht="16.5" customHeight="1">
      <c r="A1026">
        <f>IF(COUNTA('05_KAIS'!$A1014:$N1014)=0,"",999)</f>
        <v/>
      </c>
      <c r="B1026">
        <f>IF($A1026="","",TRIM(INDEX('05_KAIS'!$B:$B,$A1026)&amp;" "&amp;INDEX('05_KAIS'!$C:$C,$A1026)))</f>
        <v/>
      </c>
      <c r="C1026">
        <f>IF($A1026="","",INDEX('05_KAIS'!$D:$D,$A1026))</f>
        <v/>
      </c>
      <c r="D1026">
        <f>IF($A1026="","",INDEX('05_KAIS'!$H:$H,$A1026))</f>
        <v/>
      </c>
      <c r="E1026">
        <f>IF($A1026="","",INDEX('05_KAIS'!$K:$K,$A1026))</f>
        <v/>
      </c>
      <c r="F1026" s="202">
        <f>IF($A1026="","",INDEX('05_KAIS'!$I:$I,$A1026))</f>
        <v/>
      </c>
      <c r="G1026" s="118">
        <f>IF($A1026="","",INDEX('05_KAIS'!$L:$L,$A1026))</f>
        <v/>
      </c>
      <c r="H1026" s="118">
        <f>IF($A1026="","",IFERROR(INDEX('05_KAIS'!$M:$M,$A1026),IF(AND(E1026&gt;0,G1026&gt;0),G1026/E1026,"")))</f>
        <v/>
      </c>
      <c r="I1026" s="202">
        <f>IF($A1026="","",INDEX('05_KAIS'!$N:$N,$A1026))</f>
        <v/>
      </c>
      <c r="J1026">
        <f>IF(B1026="","",IF('02_대상물건입력'!$B$5="",1,IF(ISNUMBER(SEARCH('02_대상물건입력'!$B$5,B1026)),1,0)))</f>
        <v/>
      </c>
      <c r="K1026">
        <f>IF(B1026="","",IF('02_대상물건입력'!$B$6="",1,IF(ISNUMBER(SEARCH('02_대상물건입력'!$B$6,B1026)),1,0)))</f>
        <v/>
      </c>
      <c r="L1026">
        <f>IF(D1026="","",IF('02_대상물건입력'!$B$8="",0,IF(ISNUMBER(SEARCH('02_대상물건입력'!$B$8,D1026)),1,0)))</f>
        <v/>
      </c>
      <c r="M1026">
        <f>IFERROR(ABS(E1026-'02_대상물건입력'!$B$11)/'02_대상물건입력'!$B$11,"")</f>
        <v/>
      </c>
      <c r="N1026">
        <f>IFERROR(ABS('01_설정'!$B$4-F1026),"")</f>
        <v/>
      </c>
      <c r="O1026">
        <f>IFERROR(ABS(YEAR(I1026)-YEAR('02_대상물건입력'!$B$14)),"")</f>
        <v/>
      </c>
      <c r="P1026">
        <f>IF(AND(E1026&gt;0,F1026&gt;0,G1026&gt;0,IF('01_설정'!$B$10=1,J1026=1,TRUE()),M1026&lt;='01_설정'!$B$5,N1026&lt;='01_설정'!$B$7,O1026&lt;='01_설정'!$B$8),"Y","")</f>
        <v/>
      </c>
      <c r="Q1026">
        <f>IF(P1026&lt;&gt;"Y","",MAX(0,(1-M1026/'01_설정'!$B$5))*'01_설정'!$B$14+MAX(0,(1-N1026/'01_설정'!$B$7))*'01_설정'!$B$16+MAX(0,(1-O1026/'01_설정'!$B$8))*'01_설정'!$B$17+K1026*'01_설정'!$B$11+L1026*'01_설정'!$B$12)</f>
        <v/>
      </c>
      <c r="R1026">
        <f>IF(Q1026="","",1+COUNTIFS($Q$31:$Q$1030,"&gt;"&amp;Q1026)+COUNTIFS($Q$31:Q1026,Q1026)-1)</f>
        <v/>
      </c>
    </row>
    <row r="1027" hidden="1" ht="16.5" customHeight="1">
      <c r="A1027">
        <f>IF(COUNTA('05_KAIS'!$A1015:$N1015)=0,"",1000)</f>
        <v/>
      </c>
      <c r="B1027">
        <f>IF($A1027="","",TRIM(INDEX('05_KAIS'!$B:$B,$A1027)&amp;" "&amp;INDEX('05_KAIS'!$C:$C,$A1027)))</f>
        <v/>
      </c>
      <c r="C1027">
        <f>IF($A1027="","",INDEX('05_KAIS'!$D:$D,$A1027))</f>
        <v/>
      </c>
      <c r="D1027">
        <f>IF($A1027="","",INDEX('05_KAIS'!$H:$H,$A1027))</f>
        <v/>
      </c>
      <c r="E1027">
        <f>IF($A1027="","",INDEX('05_KAIS'!$K:$K,$A1027))</f>
        <v/>
      </c>
      <c r="F1027" s="202">
        <f>IF($A1027="","",INDEX('05_KAIS'!$I:$I,$A1027))</f>
        <v/>
      </c>
      <c r="G1027" s="118">
        <f>IF($A1027="","",INDEX('05_KAIS'!$L:$L,$A1027))</f>
        <v/>
      </c>
      <c r="H1027" s="118">
        <f>IF($A1027="","",IFERROR(INDEX('05_KAIS'!$M:$M,$A1027),IF(AND(E1027&gt;0,G1027&gt;0),G1027/E1027,"")))</f>
        <v/>
      </c>
      <c r="I1027" s="202">
        <f>IF($A1027="","",INDEX('05_KAIS'!$N:$N,$A1027))</f>
        <v/>
      </c>
      <c r="J1027">
        <f>IF(B1027="","",IF('02_대상물건입력'!$B$5="",1,IF(ISNUMBER(SEARCH('02_대상물건입력'!$B$5,B1027)),1,0)))</f>
        <v/>
      </c>
      <c r="K1027">
        <f>IF(B1027="","",IF('02_대상물건입력'!$B$6="",1,IF(ISNUMBER(SEARCH('02_대상물건입력'!$B$6,B1027)),1,0)))</f>
        <v/>
      </c>
      <c r="L1027">
        <f>IF(D1027="","",IF('02_대상물건입력'!$B$8="",0,IF(ISNUMBER(SEARCH('02_대상물건입력'!$B$8,D1027)),1,0)))</f>
        <v/>
      </c>
      <c r="M1027">
        <f>IFERROR(ABS(E1027-'02_대상물건입력'!$B$11)/'02_대상물건입력'!$B$11,"")</f>
        <v/>
      </c>
      <c r="N1027">
        <f>IFERROR(ABS('01_설정'!$B$4-F1027),"")</f>
        <v/>
      </c>
      <c r="O1027">
        <f>IFERROR(ABS(YEAR(I1027)-YEAR('02_대상물건입력'!$B$14)),"")</f>
        <v/>
      </c>
      <c r="P1027">
        <f>IF(AND(E1027&gt;0,F1027&gt;0,G1027&gt;0,IF('01_설정'!$B$10=1,J1027=1,TRUE()),M1027&lt;='01_설정'!$B$5,N1027&lt;='01_설정'!$B$7,O1027&lt;='01_설정'!$B$8),"Y","")</f>
        <v/>
      </c>
      <c r="Q1027">
        <f>IF(P1027&lt;&gt;"Y","",MAX(0,(1-M1027/'01_설정'!$B$5))*'01_설정'!$B$14+MAX(0,(1-N1027/'01_설정'!$B$7))*'01_설정'!$B$16+MAX(0,(1-O1027/'01_설정'!$B$8))*'01_설정'!$B$17+K1027*'01_설정'!$B$11+L1027*'01_설정'!$B$12)</f>
        <v/>
      </c>
      <c r="R1027">
        <f>IF(Q1027="","",1+COUNTIFS($Q$31:$Q$1030,"&gt;"&amp;Q1027)+COUNTIFS($Q$31:Q1027,Q1027)-1)</f>
        <v/>
      </c>
    </row>
    <row r="1028" hidden="1" ht="16.5" customHeight="1">
      <c r="A1028">
        <f>IF(COUNTA('05_KAIS'!$A1016:$N1016)=0,"",1001)</f>
        <v/>
      </c>
      <c r="B1028">
        <f>IF($A1028="","",TRIM(INDEX('05_KAIS'!$B:$B,$A1028)&amp;" "&amp;INDEX('05_KAIS'!$C:$C,$A1028)))</f>
        <v/>
      </c>
      <c r="C1028">
        <f>IF($A1028="","",INDEX('05_KAIS'!$D:$D,$A1028))</f>
        <v/>
      </c>
      <c r="D1028">
        <f>IF($A1028="","",INDEX('05_KAIS'!$H:$H,$A1028))</f>
        <v/>
      </c>
      <c r="E1028">
        <f>IF($A1028="","",INDEX('05_KAIS'!$K:$K,$A1028))</f>
        <v/>
      </c>
      <c r="F1028" s="202">
        <f>IF($A1028="","",INDEX('05_KAIS'!$I:$I,$A1028))</f>
        <v/>
      </c>
      <c r="G1028" s="118">
        <f>IF($A1028="","",INDEX('05_KAIS'!$L:$L,$A1028))</f>
        <v/>
      </c>
      <c r="H1028" s="118">
        <f>IF($A1028="","",IFERROR(INDEX('05_KAIS'!$M:$M,$A1028),IF(AND(E1028&gt;0,G1028&gt;0),G1028/E1028,"")))</f>
        <v/>
      </c>
      <c r="I1028" s="202">
        <f>IF($A1028="","",INDEX('05_KAIS'!$N:$N,$A1028))</f>
        <v/>
      </c>
      <c r="J1028">
        <f>IF(B1028="","",IF('02_대상물건입력'!$B$5="",1,IF(ISNUMBER(SEARCH('02_대상물건입력'!$B$5,B1028)),1,0)))</f>
        <v/>
      </c>
      <c r="K1028">
        <f>IF(B1028="","",IF('02_대상물건입력'!$B$6="",1,IF(ISNUMBER(SEARCH('02_대상물건입력'!$B$6,B1028)),1,0)))</f>
        <v/>
      </c>
      <c r="L1028">
        <f>IF(D1028="","",IF('02_대상물건입력'!$B$8="",0,IF(ISNUMBER(SEARCH('02_대상물건입력'!$B$8,D1028)),1,0)))</f>
        <v/>
      </c>
      <c r="M1028">
        <f>IFERROR(ABS(E1028-'02_대상물건입력'!$B$11)/'02_대상물건입력'!$B$11,"")</f>
        <v/>
      </c>
      <c r="N1028">
        <f>IFERROR(ABS('01_설정'!$B$4-F1028),"")</f>
        <v/>
      </c>
      <c r="O1028">
        <f>IFERROR(ABS(YEAR(I1028)-YEAR('02_대상물건입력'!$B$14)),"")</f>
        <v/>
      </c>
      <c r="P1028">
        <f>IF(AND(E1028&gt;0,F1028&gt;0,G1028&gt;0,IF('01_설정'!$B$10=1,J1028=1,TRUE()),M1028&lt;='01_설정'!$B$5,N1028&lt;='01_설정'!$B$7,O1028&lt;='01_설정'!$B$8),"Y","")</f>
        <v/>
      </c>
      <c r="Q1028">
        <f>IF(P1028&lt;&gt;"Y","",MAX(0,(1-M1028/'01_설정'!$B$5))*'01_설정'!$B$14+MAX(0,(1-N1028/'01_설정'!$B$7))*'01_설정'!$B$16+MAX(0,(1-O1028/'01_설정'!$B$8))*'01_설정'!$B$17+K1028*'01_설정'!$B$11+L1028*'01_설정'!$B$12)</f>
        <v/>
      </c>
      <c r="R1028">
        <f>IF(Q1028="","",1+COUNTIFS($Q$31:$Q$1030,"&gt;"&amp;Q1028)+COUNTIFS($Q$31:Q1028,Q1028)-1)</f>
        <v/>
      </c>
    </row>
    <row r="1029" hidden="1" ht="16.5" customHeight="1">
      <c r="A1029">
        <f>IF(COUNTA('05_KAIS'!$A1017:$N1017)=0,"",1002)</f>
        <v/>
      </c>
      <c r="B1029">
        <f>IF($A1029="","",TRIM(INDEX('05_KAIS'!$B:$B,$A1029)&amp;" "&amp;INDEX('05_KAIS'!$C:$C,$A1029)))</f>
        <v/>
      </c>
      <c r="C1029">
        <f>IF($A1029="","",INDEX('05_KAIS'!$D:$D,$A1029))</f>
        <v/>
      </c>
      <c r="D1029">
        <f>IF($A1029="","",INDEX('05_KAIS'!$H:$H,$A1029))</f>
        <v/>
      </c>
      <c r="E1029">
        <f>IF($A1029="","",INDEX('05_KAIS'!$K:$K,$A1029))</f>
        <v/>
      </c>
      <c r="F1029" s="202">
        <f>IF($A1029="","",INDEX('05_KAIS'!$I:$I,$A1029))</f>
        <v/>
      </c>
      <c r="G1029" s="118">
        <f>IF($A1029="","",INDEX('05_KAIS'!$L:$L,$A1029))</f>
        <v/>
      </c>
      <c r="H1029" s="118">
        <f>IF($A1029="","",IFERROR(INDEX('05_KAIS'!$M:$M,$A1029),IF(AND(E1029&gt;0,G1029&gt;0),G1029/E1029,"")))</f>
        <v/>
      </c>
      <c r="I1029" s="202">
        <f>IF($A1029="","",INDEX('05_KAIS'!$N:$N,$A1029))</f>
        <v/>
      </c>
      <c r="J1029">
        <f>IF(B1029="","",IF('02_대상물건입력'!$B$5="",1,IF(ISNUMBER(SEARCH('02_대상물건입력'!$B$5,B1029)),1,0)))</f>
        <v/>
      </c>
      <c r="K1029">
        <f>IF(B1029="","",IF('02_대상물건입력'!$B$6="",1,IF(ISNUMBER(SEARCH('02_대상물건입력'!$B$6,B1029)),1,0)))</f>
        <v/>
      </c>
      <c r="L1029">
        <f>IF(D1029="","",IF('02_대상물건입력'!$B$8="",0,IF(ISNUMBER(SEARCH('02_대상물건입력'!$B$8,D1029)),1,0)))</f>
        <v/>
      </c>
      <c r="M1029">
        <f>IFERROR(ABS(E1029-'02_대상물건입력'!$B$11)/'02_대상물건입력'!$B$11,"")</f>
        <v/>
      </c>
      <c r="N1029">
        <f>IFERROR(ABS('01_설정'!$B$4-F1029),"")</f>
        <v/>
      </c>
      <c r="O1029">
        <f>IFERROR(ABS(YEAR(I1029)-YEAR('02_대상물건입력'!$B$14)),"")</f>
        <v/>
      </c>
      <c r="P1029">
        <f>IF(AND(E1029&gt;0,F1029&gt;0,G1029&gt;0,IF('01_설정'!$B$10=1,J1029=1,TRUE()),M1029&lt;='01_설정'!$B$5,N1029&lt;='01_설정'!$B$7,O1029&lt;='01_설정'!$B$8),"Y","")</f>
        <v/>
      </c>
      <c r="Q1029">
        <f>IF(P1029&lt;&gt;"Y","",MAX(0,(1-M1029/'01_설정'!$B$5))*'01_설정'!$B$14+MAX(0,(1-N1029/'01_설정'!$B$7))*'01_설정'!$B$16+MAX(0,(1-O1029/'01_설정'!$B$8))*'01_설정'!$B$17+K1029*'01_설정'!$B$11+L1029*'01_설정'!$B$12)</f>
        <v/>
      </c>
      <c r="R1029">
        <f>IF(Q1029="","",1+COUNTIFS($Q$31:$Q$1030,"&gt;"&amp;Q1029)+COUNTIFS($Q$31:Q1029,Q1029)-1)</f>
        <v/>
      </c>
    </row>
    <row r="1030" hidden="1" ht="16.5" customHeight="1">
      <c r="A1030">
        <f>IF(COUNTA('05_KAIS'!$A1018:$N1018)=0,"",1003)</f>
        <v/>
      </c>
      <c r="B1030">
        <f>IF($A1030="","",TRIM(INDEX('05_KAIS'!$B:$B,$A1030)&amp;" "&amp;INDEX('05_KAIS'!$C:$C,$A1030)))</f>
        <v/>
      </c>
      <c r="C1030">
        <f>IF($A1030="","",INDEX('05_KAIS'!$D:$D,$A1030))</f>
        <v/>
      </c>
      <c r="D1030">
        <f>IF($A1030="","",INDEX('05_KAIS'!$H:$H,$A1030))</f>
        <v/>
      </c>
      <c r="E1030">
        <f>IF($A1030="","",INDEX('05_KAIS'!$K:$K,$A1030))</f>
        <v/>
      </c>
      <c r="F1030" s="202">
        <f>IF($A1030="","",INDEX('05_KAIS'!$I:$I,$A1030))</f>
        <v/>
      </c>
      <c r="G1030" s="118">
        <f>IF($A1030="","",INDEX('05_KAIS'!$L:$L,$A1030))</f>
        <v/>
      </c>
      <c r="H1030" s="118">
        <f>IF($A1030="","",IFERROR(INDEX('05_KAIS'!$M:$M,$A1030),IF(AND(E1030&gt;0,G1030&gt;0),G1030/E1030,"")))</f>
        <v/>
      </c>
      <c r="I1030" s="202">
        <f>IF($A1030="","",INDEX('05_KAIS'!$N:$N,$A1030))</f>
        <v/>
      </c>
      <c r="J1030">
        <f>IF(B1030="","",IF('02_대상물건입력'!$B$5="",1,IF(ISNUMBER(SEARCH('02_대상물건입력'!$B$5,B1030)),1,0)))</f>
        <v/>
      </c>
      <c r="K1030">
        <f>IF(B1030="","",IF('02_대상물건입력'!$B$6="",1,IF(ISNUMBER(SEARCH('02_대상물건입력'!$B$6,B1030)),1,0)))</f>
        <v/>
      </c>
      <c r="L1030">
        <f>IF(D1030="","",IF('02_대상물건입력'!$B$8="",0,IF(ISNUMBER(SEARCH('02_대상물건입력'!$B$8,D1030)),1,0)))</f>
        <v/>
      </c>
      <c r="M1030">
        <f>IFERROR(ABS(E1030-'02_대상물건입력'!$B$11)/'02_대상물건입력'!$B$11,"")</f>
        <v/>
      </c>
      <c r="N1030">
        <f>IFERROR(ABS('01_설정'!$B$4-F1030),"")</f>
        <v/>
      </c>
      <c r="O1030">
        <f>IFERROR(ABS(YEAR(I1030)-YEAR('02_대상물건입력'!$B$14)),"")</f>
        <v/>
      </c>
      <c r="P1030">
        <f>IF(AND(E1030&gt;0,F1030&gt;0,G1030&gt;0,IF('01_설정'!$B$10=1,J1030=1,TRUE()),M1030&lt;='01_설정'!$B$5,N1030&lt;='01_설정'!$B$7,O1030&lt;='01_설정'!$B$8),"Y","")</f>
        <v/>
      </c>
      <c r="Q1030">
        <f>IF(P1030&lt;&gt;"Y","",MAX(0,(1-M1030/'01_설정'!$B$5))*'01_설정'!$B$14+MAX(0,(1-N1030/'01_설정'!$B$7))*'01_설정'!$B$16+MAX(0,(1-O1030/'01_설정'!$B$8))*'01_설정'!$B$17+K1030*'01_설정'!$B$11+L1030*'01_설정'!$B$12)</f>
        <v/>
      </c>
      <c r="R1030">
        <f>IF(Q1030="","",1+COUNTIFS($Q$31:$Q$1030,"&gt;"&amp;Q1030)+COUNTIFS($Q$31:Q1030,Q1030)-1)</f>
        <v/>
      </c>
    </row>
  </sheetData>
  <mergeCells count="1">
    <mergeCell ref="A1:Q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5B9BD5"/>
    <outlinePr summaryBelow="1" summaryRight="1"/>
    <pageSetUpPr/>
  </sheetPr>
  <dimension ref="A1:T1030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640625" defaultRowHeight="14.25" customHeight="1"/>
  <cols>
    <col width="8" customWidth="1" min="1" max="1"/>
    <col width="10" customWidth="1" min="2" max="2"/>
    <col width="12" customWidth="1" min="3" max="3"/>
    <col width="24" customWidth="1" min="4" max="4"/>
    <col width="10" customWidth="1" min="5" max="5"/>
    <col width="20" customWidth="1" min="6" max="6"/>
    <col width="18" customWidth="1" min="7" max="7"/>
    <col width="12" customWidth="1" min="8" max="9"/>
    <col width="14" customWidth="1" min="10" max="10"/>
    <col width="13" customWidth="1" min="11" max="11"/>
    <col width="10" customWidth="1" min="12" max="15"/>
    <col width="11.6640625" customWidth="1" min="16" max="16"/>
    <col width="13.88671875" customWidth="1" min="17" max="17"/>
  </cols>
  <sheetData>
    <row r="1" ht="24" customHeight="1">
      <c r="A1" s="145" t="inlineStr">
        <is>
          <t>KAPA 선례 자동선정</t>
        </is>
      </c>
    </row>
    <row r="2" ht="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33" customHeight="1">
      <c r="A3" s="55" t="inlineStr">
        <is>
          <t>순위</t>
        </is>
      </c>
      <c r="B3" s="56" t="inlineStr">
        <is>
          <t>원본행</t>
        </is>
      </c>
      <c r="C3" s="56" t="inlineStr">
        <is>
          <t>평가목적</t>
        </is>
      </c>
      <c r="D3" s="56" t="inlineStr">
        <is>
          <t>소재지</t>
        </is>
      </c>
      <c r="E3" s="56" t="inlineStr">
        <is>
          <t>지번</t>
        </is>
      </c>
      <c r="F3" s="56" t="inlineStr">
        <is>
          <t>건물명</t>
        </is>
      </c>
      <c r="G3" s="56" t="inlineStr">
        <is>
          <t>동층호</t>
        </is>
      </c>
      <c r="H3" s="56" t="inlineStr">
        <is>
          <t>전용면적(㎡)</t>
        </is>
      </c>
      <c r="I3" s="56" t="inlineStr">
        <is>
          <t>기준시점</t>
        </is>
      </c>
      <c r="J3" s="56" t="inlineStr">
        <is>
          <t>평가액/면적</t>
        </is>
      </c>
      <c r="K3" s="56" t="inlineStr">
        <is>
          <t>사용승인일</t>
        </is>
      </c>
      <c r="L3" s="56" t="inlineStr">
        <is>
          <t>동일법정동</t>
        </is>
      </c>
      <c r="M3" s="56" t="inlineStr">
        <is>
          <t>동일건물</t>
        </is>
      </c>
      <c r="N3" s="56" t="inlineStr">
        <is>
          <t>동일목적</t>
        </is>
      </c>
      <c r="O3" s="56" t="inlineStr">
        <is>
          <t>유사도점수</t>
        </is>
      </c>
      <c r="P3" s="56" t="n"/>
      <c r="Q3" s="57" t="n"/>
    </row>
    <row r="4" ht="17.25" customHeight="1">
      <c r="A4" s="119" t="n">
        <v>1</v>
      </c>
      <c r="B4" s="152">
        <f>IF($A4&gt;COUNT($T$31:$T$1030),"",INDEX($A$31:$A$1030,MATCH($A4,$T$31:$T$1030,0)))</f>
        <v/>
      </c>
      <c r="C4" s="152">
        <f>IF($B4="","",INDEX($B$31:$B$1030,MATCH($A4,$T$31:$T$1030,0)))</f>
        <v/>
      </c>
      <c r="D4" s="152">
        <f>IF($B4="","",INDEX($C$31:$C$1030,MATCH($A4,$T$31:$T$1030,0)))</f>
        <v/>
      </c>
      <c r="E4" s="152">
        <f>IF($B4="","",INDEX($D$31:$D$1030,MATCH($A4,$T$31:$T$1030,0)))</f>
        <v/>
      </c>
      <c r="F4" s="172">
        <f>IF($B4="","",INDEX($E$31:$E$1030,MATCH($A4,$T$31:$T$1030,0)))</f>
        <v/>
      </c>
      <c r="G4" s="173">
        <f>IF($B4="","",INDEX($F$31:$F$1030,MATCH($A4,$T$31:$T$1030,0)))</f>
        <v/>
      </c>
      <c r="H4" s="130">
        <f>IF($B4="","",INDEX($G$31:$G$1030,MATCH($A4,$T$31:$T$1030,0)))</f>
        <v/>
      </c>
      <c r="I4" s="173">
        <f>IF($B4="","",INDEX($H$31:$H$1030,MATCH($A4,$T$31:$T$1030,0)))</f>
        <v/>
      </c>
      <c r="J4" s="51">
        <f>IF($B4="","",INDEX($I$31:$I$1030,MATCH($A4,$T$31:$T$1030,0)))</f>
        <v/>
      </c>
      <c r="K4" s="173">
        <f>IF($B4="","",INDEX($J$31:$J$1030,MATCH($A4,$T$31:$T$1030,0)))</f>
        <v/>
      </c>
      <c r="L4" s="152">
        <f>IF($B4="","",INDEX($L$31:$L$1030,MATCH($A4,$T$31:$T$1030,0)))</f>
        <v/>
      </c>
      <c r="M4" s="152">
        <f>IF($B4="","",INDEX($M$31:$M$1030,MATCH($A4,$T$31:$T$1030,0)))</f>
        <v/>
      </c>
      <c r="N4" s="152">
        <f>IF($B4="","",INDEX($N$31:$N$1030,MATCH($A4,$T$31:$T$1030,0)))</f>
        <v/>
      </c>
      <c r="O4" s="196">
        <f>IF($B4="","",INDEX($S$31:$S$1030,MATCH($A4,$T$31:$T$1030,0)))</f>
        <v/>
      </c>
      <c r="P4" s="152" t="n"/>
      <c r="Q4" s="197" t="n"/>
    </row>
    <row r="5" ht="17.25" customHeight="1">
      <c r="A5" s="119" t="n">
        <v>2</v>
      </c>
      <c r="B5" s="152">
        <f>IF($A5&gt;COUNT($T$31:$T$1030),"",INDEX($A$31:$A$1030,MATCH($A5,$T$31:$T$1030,0)))</f>
        <v/>
      </c>
      <c r="C5" s="152">
        <f>IF($B5="","",INDEX($B$31:$B$1030,MATCH($A5,$T$31:$T$1030,0)))</f>
        <v/>
      </c>
      <c r="D5" s="152">
        <f>IF($B5="","",INDEX($C$31:$C$1030,MATCH($A5,$T$31:$T$1030,0)))</f>
        <v/>
      </c>
      <c r="E5" s="152">
        <f>IF($B5="","",INDEX($D$31:$D$1030,MATCH($A5,$T$31:$T$1030,0)))</f>
        <v/>
      </c>
      <c r="F5" s="172">
        <f>IF($B5="","",INDEX($E$31:$E$1030,MATCH($A5,$T$31:$T$1030,0)))</f>
        <v/>
      </c>
      <c r="G5" s="173">
        <f>IF($B5="","",INDEX($F$31:$F$1030,MATCH($A5,$T$31:$T$1030,0)))</f>
        <v/>
      </c>
      <c r="H5" s="130">
        <f>IF($B5="","",INDEX($G$31:$G$1030,MATCH($A5,$T$31:$T$1030,0)))</f>
        <v/>
      </c>
      <c r="I5" s="173">
        <f>IF($B5="","",INDEX($H$31:$H$1030,MATCH($A5,$T$31:$T$1030,0)))</f>
        <v/>
      </c>
      <c r="J5" s="51">
        <f>IF($B5="","",INDEX($I$31:$I$1030,MATCH($A5,$T$31:$T$1030,0)))</f>
        <v/>
      </c>
      <c r="K5" s="173">
        <f>IF($B5="","",INDEX($J$31:$J$1030,MATCH($A5,$T$31:$T$1030,0)))</f>
        <v/>
      </c>
      <c r="L5" s="152">
        <f>IF($B5="","",INDEX($L$31:$L$1030,MATCH($A5,$T$31:$T$1030,0)))</f>
        <v/>
      </c>
      <c r="M5" s="152">
        <f>IF($B5="","",INDEX($M$31:$M$1030,MATCH($A5,$T$31:$T$1030,0)))</f>
        <v/>
      </c>
      <c r="N5" s="152">
        <f>IF($B5="","",INDEX($N$31:$N$1030,MATCH($A5,$T$31:$T$1030,0)))</f>
        <v/>
      </c>
      <c r="O5" s="196">
        <f>IF($B5="","",INDEX($S$31:$S$1030,MATCH($A5,$T$31:$T$1030,0)))</f>
        <v/>
      </c>
      <c r="P5" s="152" t="n"/>
      <c r="Q5" s="197" t="n"/>
    </row>
    <row r="6" ht="17.25" customHeight="1">
      <c r="A6" s="119" t="n">
        <v>3</v>
      </c>
      <c r="B6" s="152">
        <f>IF($A6&gt;COUNT($T$31:$T$1030),"",INDEX($A$31:$A$1030,MATCH($A6,$T$31:$T$1030,0)))</f>
        <v/>
      </c>
      <c r="C6" s="152">
        <f>IF($B6="","",INDEX($B$31:$B$1030,MATCH($A6,$T$31:$T$1030,0)))</f>
        <v/>
      </c>
      <c r="D6" s="152">
        <f>IF($B6="","",INDEX($C$31:$C$1030,MATCH($A6,$T$31:$T$1030,0)))</f>
        <v/>
      </c>
      <c r="E6" s="152">
        <f>IF($B6="","",INDEX($D$31:$D$1030,MATCH($A6,$T$31:$T$1030,0)))</f>
        <v/>
      </c>
      <c r="F6" s="172">
        <f>IF($B6="","",INDEX($E$31:$E$1030,MATCH($A6,$T$31:$T$1030,0)))</f>
        <v/>
      </c>
      <c r="G6" s="173">
        <f>IF($B6="","",INDEX($F$31:$F$1030,MATCH($A6,$T$31:$T$1030,0)))</f>
        <v/>
      </c>
      <c r="H6" s="130">
        <f>IF($B6="","",INDEX($G$31:$G$1030,MATCH($A6,$T$31:$T$1030,0)))</f>
        <v/>
      </c>
      <c r="I6" s="173">
        <f>IF($B6="","",INDEX($H$31:$H$1030,MATCH($A6,$T$31:$T$1030,0)))</f>
        <v/>
      </c>
      <c r="J6" s="51">
        <f>IF($B6="","",INDEX($I$31:$I$1030,MATCH($A6,$T$31:$T$1030,0)))</f>
        <v/>
      </c>
      <c r="K6" s="173">
        <f>IF($B6="","",INDEX($J$31:$J$1030,MATCH($A6,$T$31:$T$1030,0)))</f>
        <v/>
      </c>
      <c r="L6" s="152">
        <f>IF($B6="","",INDEX($L$31:$L$1030,MATCH($A6,$T$31:$T$1030,0)))</f>
        <v/>
      </c>
      <c r="M6" s="152">
        <f>IF($B6="","",INDEX($M$31:$M$1030,MATCH($A6,$T$31:$T$1030,0)))</f>
        <v/>
      </c>
      <c r="N6" s="152">
        <f>IF($B6="","",INDEX($N$31:$N$1030,MATCH($A6,$T$31:$T$1030,0)))</f>
        <v/>
      </c>
      <c r="O6" s="196">
        <f>IF($B6="","",INDEX($S$31:$S$1030,MATCH($A6,$T$31:$T$1030,0)))</f>
        <v/>
      </c>
      <c r="P6" s="152" t="n"/>
      <c r="Q6" s="197" t="n"/>
    </row>
    <row r="7" ht="17.25" customHeight="1">
      <c r="A7" s="119" t="n">
        <v>4</v>
      </c>
      <c r="B7" s="152">
        <f>IF($A7&gt;COUNT($T$31:$T$1030),"",INDEX($A$31:$A$1030,MATCH($A7,$T$31:$T$1030,0)))</f>
        <v/>
      </c>
      <c r="C7" s="152">
        <f>IF($B7="","",INDEX($B$31:$B$1030,MATCH($A7,$T$31:$T$1030,0)))</f>
        <v/>
      </c>
      <c r="D7" s="152">
        <f>IF($B7="","",INDEX($C$31:$C$1030,MATCH($A7,$T$31:$T$1030,0)))</f>
        <v/>
      </c>
      <c r="E7" s="152">
        <f>IF($B7="","",INDEX($D$31:$D$1030,MATCH($A7,$T$31:$T$1030,0)))</f>
        <v/>
      </c>
      <c r="F7" s="172">
        <f>IF($B7="","",INDEX($E$31:$E$1030,MATCH($A7,$T$31:$T$1030,0)))</f>
        <v/>
      </c>
      <c r="G7" s="173">
        <f>IF($B7="","",INDEX($F$31:$F$1030,MATCH($A7,$T$31:$T$1030,0)))</f>
        <v/>
      </c>
      <c r="H7" s="130">
        <f>IF($B7="","",INDEX($G$31:$G$1030,MATCH($A7,$T$31:$T$1030,0)))</f>
        <v/>
      </c>
      <c r="I7" s="173">
        <f>IF($B7="","",INDEX($H$31:$H$1030,MATCH($A7,$T$31:$T$1030,0)))</f>
        <v/>
      </c>
      <c r="J7" s="51">
        <f>IF($B7="","",INDEX($I$31:$I$1030,MATCH($A7,$T$31:$T$1030,0)))</f>
        <v/>
      </c>
      <c r="K7" s="173">
        <f>IF($B7="","",INDEX($J$31:$J$1030,MATCH($A7,$T$31:$T$1030,0)))</f>
        <v/>
      </c>
      <c r="L7" s="152">
        <f>IF($B7="","",INDEX($L$31:$L$1030,MATCH($A7,$T$31:$T$1030,0)))</f>
        <v/>
      </c>
      <c r="M7" s="152">
        <f>IF($B7="","",INDEX($M$31:$M$1030,MATCH($A7,$T$31:$T$1030,0)))</f>
        <v/>
      </c>
      <c r="N7" s="152">
        <f>IF($B7="","",INDEX($N$31:$N$1030,MATCH($A7,$T$31:$T$1030,0)))</f>
        <v/>
      </c>
      <c r="O7" s="196">
        <f>IF($B7="","",INDEX($S$31:$S$1030,MATCH($A7,$T$31:$T$1030,0)))</f>
        <v/>
      </c>
      <c r="P7" s="152" t="n"/>
      <c r="Q7" s="197" t="n"/>
    </row>
    <row r="8" ht="17.25" customHeight="1">
      <c r="A8" s="119" t="n">
        <v>5</v>
      </c>
      <c r="B8" s="152">
        <f>IF($A8&gt;COUNT($T$31:$T$1030),"",INDEX($A$31:$A$1030,MATCH($A8,$T$31:$T$1030,0)))</f>
        <v/>
      </c>
      <c r="C8" s="152">
        <f>IF($B8="","",INDEX($B$31:$B$1030,MATCH($A8,$T$31:$T$1030,0)))</f>
        <v/>
      </c>
      <c r="D8" s="152">
        <f>IF($B8="","",INDEX($C$31:$C$1030,MATCH($A8,$T$31:$T$1030,0)))</f>
        <v/>
      </c>
      <c r="E8" s="152">
        <f>IF($B8="","",INDEX($D$31:$D$1030,MATCH($A8,$T$31:$T$1030,0)))</f>
        <v/>
      </c>
      <c r="F8" s="172">
        <f>IF($B8="","",INDEX($E$31:$E$1030,MATCH($A8,$T$31:$T$1030,0)))</f>
        <v/>
      </c>
      <c r="G8" s="173">
        <f>IF($B8="","",INDEX($F$31:$F$1030,MATCH($A8,$T$31:$T$1030,0)))</f>
        <v/>
      </c>
      <c r="H8" s="130">
        <f>IF($B8="","",INDEX($G$31:$G$1030,MATCH($A8,$T$31:$T$1030,0)))</f>
        <v/>
      </c>
      <c r="I8" s="173">
        <f>IF($B8="","",INDEX($H$31:$H$1030,MATCH($A8,$T$31:$T$1030,0)))</f>
        <v/>
      </c>
      <c r="J8" s="51">
        <f>IF($B8="","",INDEX($I$31:$I$1030,MATCH($A8,$T$31:$T$1030,0)))</f>
        <v/>
      </c>
      <c r="K8" s="173">
        <f>IF($B8="","",INDEX($J$31:$J$1030,MATCH($A8,$T$31:$T$1030,0)))</f>
        <v/>
      </c>
      <c r="L8" s="152">
        <f>IF($B8="","",INDEX($L$31:$L$1030,MATCH($A8,$T$31:$T$1030,0)))</f>
        <v/>
      </c>
      <c r="M8" s="152">
        <f>IF($B8="","",INDEX($M$31:$M$1030,MATCH($A8,$T$31:$T$1030,0)))</f>
        <v/>
      </c>
      <c r="N8" s="152">
        <f>IF($B8="","",INDEX($N$31:$N$1030,MATCH($A8,$T$31:$T$1030,0)))</f>
        <v/>
      </c>
      <c r="O8" s="196">
        <f>IF($B8="","",INDEX($S$31:$S$1030,MATCH($A8,$T$31:$T$1030,0)))</f>
        <v/>
      </c>
      <c r="P8" s="152" t="n"/>
      <c r="Q8" s="197" t="n"/>
    </row>
    <row r="9" ht="17.25" customHeight="1">
      <c r="A9" s="119" t="n">
        <v>6</v>
      </c>
      <c r="B9" s="152">
        <f>IF($A9&gt;COUNT($T$31:$T$1030),"",INDEX($A$31:$A$1030,MATCH($A9,$T$31:$T$1030,0)))</f>
        <v/>
      </c>
      <c r="C9" s="152">
        <f>IF($B9="","",INDEX($B$31:$B$1030,MATCH($A9,$T$31:$T$1030,0)))</f>
        <v/>
      </c>
      <c r="D9" s="152">
        <f>IF($B9="","",INDEX($C$31:$C$1030,MATCH($A9,$T$31:$T$1030,0)))</f>
        <v/>
      </c>
      <c r="E9" s="152">
        <f>IF($B9="","",INDEX($D$31:$D$1030,MATCH($A9,$T$31:$T$1030,0)))</f>
        <v/>
      </c>
      <c r="F9" s="172">
        <f>IF($B9="","",INDEX($E$31:$E$1030,MATCH($A9,$T$31:$T$1030,0)))</f>
        <v/>
      </c>
      <c r="G9" s="173">
        <f>IF($B9="","",INDEX($F$31:$F$1030,MATCH($A9,$T$31:$T$1030,0)))</f>
        <v/>
      </c>
      <c r="H9" s="130">
        <f>IF($B9="","",INDEX($G$31:$G$1030,MATCH($A9,$T$31:$T$1030,0)))</f>
        <v/>
      </c>
      <c r="I9" s="173">
        <f>IF($B9="","",INDEX($H$31:$H$1030,MATCH($A9,$T$31:$T$1030,0)))</f>
        <v/>
      </c>
      <c r="J9" s="51">
        <f>IF($B9="","",INDEX($I$31:$I$1030,MATCH($A9,$T$31:$T$1030,0)))</f>
        <v/>
      </c>
      <c r="K9" s="173">
        <f>IF($B9="","",INDEX($J$31:$J$1030,MATCH($A9,$T$31:$T$1030,0)))</f>
        <v/>
      </c>
      <c r="L9" s="152">
        <f>IF($B9="","",INDEX($L$31:$L$1030,MATCH($A9,$T$31:$T$1030,0)))</f>
        <v/>
      </c>
      <c r="M9" s="152">
        <f>IF($B9="","",INDEX($M$31:$M$1030,MATCH($A9,$T$31:$T$1030,0)))</f>
        <v/>
      </c>
      <c r="N9" s="152">
        <f>IF($B9="","",INDEX($N$31:$N$1030,MATCH($A9,$T$31:$T$1030,0)))</f>
        <v/>
      </c>
      <c r="O9" s="196">
        <f>IF($B9="","",INDEX($S$31:$S$1030,MATCH($A9,$T$31:$T$1030,0)))</f>
        <v/>
      </c>
      <c r="P9" s="152" t="n"/>
      <c r="Q9" s="197" t="n"/>
    </row>
    <row r="10" ht="17.25" customHeight="1">
      <c r="A10" s="119" t="n">
        <v>7</v>
      </c>
      <c r="B10" s="152">
        <f>IF($A10&gt;COUNT($T$31:$T$1030),"",INDEX($A$31:$A$1030,MATCH($A10,$T$31:$T$1030,0)))</f>
        <v/>
      </c>
      <c r="C10" s="152">
        <f>IF($B10="","",INDEX($B$31:$B$1030,MATCH($A10,$T$31:$T$1030,0)))</f>
        <v/>
      </c>
      <c r="D10" s="152">
        <f>IF($B10="","",INDEX($C$31:$C$1030,MATCH($A10,$T$31:$T$1030,0)))</f>
        <v/>
      </c>
      <c r="E10" s="152">
        <f>IF($B10="","",INDEX($D$31:$D$1030,MATCH($A10,$T$31:$T$1030,0)))</f>
        <v/>
      </c>
      <c r="F10" s="172">
        <f>IF($B10="","",INDEX($E$31:$E$1030,MATCH($A10,$T$31:$T$1030,0)))</f>
        <v/>
      </c>
      <c r="G10" s="173">
        <f>IF($B10="","",INDEX($F$31:$F$1030,MATCH($A10,$T$31:$T$1030,0)))</f>
        <v/>
      </c>
      <c r="H10" s="130">
        <f>IF($B10="","",INDEX($G$31:$G$1030,MATCH($A10,$T$31:$T$1030,0)))</f>
        <v/>
      </c>
      <c r="I10" s="173">
        <f>IF($B10="","",INDEX($H$31:$H$1030,MATCH($A10,$T$31:$T$1030,0)))</f>
        <v/>
      </c>
      <c r="J10" s="51">
        <f>IF($B10="","",INDEX($I$31:$I$1030,MATCH($A10,$T$31:$T$1030,0)))</f>
        <v/>
      </c>
      <c r="K10" s="173">
        <f>IF($B10="","",INDEX($J$31:$J$1030,MATCH($A10,$T$31:$T$1030,0)))</f>
        <v/>
      </c>
      <c r="L10" s="152">
        <f>IF($B10="","",INDEX($L$31:$L$1030,MATCH($A10,$T$31:$T$1030,0)))</f>
        <v/>
      </c>
      <c r="M10" s="152">
        <f>IF($B10="","",INDEX($M$31:$M$1030,MATCH($A10,$T$31:$T$1030,0)))</f>
        <v/>
      </c>
      <c r="N10" s="152">
        <f>IF($B10="","",INDEX($N$31:$N$1030,MATCH($A10,$T$31:$T$1030,0)))</f>
        <v/>
      </c>
      <c r="O10" s="196">
        <f>IF($B10="","",INDEX($S$31:$S$1030,MATCH($A10,$T$31:$T$1030,0)))</f>
        <v/>
      </c>
      <c r="P10" s="152" t="n"/>
      <c r="Q10" s="197" t="n"/>
    </row>
    <row r="11" ht="17.25" customHeight="1">
      <c r="A11" s="119" t="n">
        <v>8</v>
      </c>
      <c r="B11" s="152">
        <f>IF($A11&gt;COUNT($T$31:$T$1030),"",INDEX($A$31:$A$1030,MATCH($A11,$T$31:$T$1030,0)))</f>
        <v/>
      </c>
      <c r="C11" s="152">
        <f>IF($B11="","",INDEX($B$31:$B$1030,MATCH($A11,$T$31:$T$1030,0)))</f>
        <v/>
      </c>
      <c r="D11" s="152">
        <f>IF($B11="","",INDEX($C$31:$C$1030,MATCH($A11,$T$31:$T$1030,0)))</f>
        <v/>
      </c>
      <c r="E11" s="152">
        <f>IF($B11="","",INDEX($D$31:$D$1030,MATCH($A11,$T$31:$T$1030,0)))</f>
        <v/>
      </c>
      <c r="F11" s="172">
        <f>IF($B11="","",INDEX($E$31:$E$1030,MATCH($A11,$T$31:$T$1030,0)))</f>
        <v/>
      </c>
      <c r="G11" s="173">
        <f>IF($B11="","",INDEX($F$31:$F$1030,MATCH($A11,$T$31:$T$1030,0)))</f>
        <v/>
      </c>
      <c r="H11" s="130">
        <f>IF($B11="","",INDEX($G$31:$G$1030,MATCH($A11,$T$31:$T$1030,0)))</f>
        <v/>
      </c>
      <c r="I11" s="173">
        <f>IF($B11="","",INDEX($H$31:$H$1030,MATCH($A11,$T$31:$T$1030,0)))</f>
        <v/>
      </c>
      <c r="J11" s="51">
        <f>IF($B11="","",INDEX($I$31:$I$1030,MATCH($A11,$T$31:$T$1030,0)))</f>
        <v/>
      </c>
      <c r="K11" s="173">
        <f>IF($B11="","",INDEX($J$31:$J$1030,MATCH($A11,$T$31:$T$1030,0)))</f>
        <v/>
      </c>
      <c r="L11" s="152">
        <f>IF($B11="","",INDEX($L$31:$L$1030,MATCH($A11,$T$31:$T$1030,0)))</f>
        <v/>
      </c>
      <c r="M11" s="152">
        <f>IF($B11="","",INDEX($M$31:$M$1030,MATCH($A11,$T$31:$T$1030,0)))</f>
        <v/>
      </c>
      <c r="N11" s="152">
        <f>IF($B11="","",INDEX($N$31:$N$1030,MATCH($A11,$T$31:$T$1030,0)))</f>
        <v/>
      </c>
      <c r="O11" s="196">
        <f>IF($B11="","",INDEX($S$31:$S$1030,MATCH($A11,$T$31:$T$1030,0)))</f>
        <v/>
      </c>
      <c r="P11" s="152" t="n"/>
      <c r="Q11" s="197" t="n"/>
    </row>
    <row r="12" ht="17.25" customHeight="1">
      <c r="A12" s="119" t="n">
        <v>9</v>
      </c>
      <c r="B12" s="152">
        <f>IF($A12&gt;COUNT($T$31:$T$1030),"",INDEX($A$31:$A$1030,MATCH($A12,$T$31:$T$1030,0)))</f>
        <v/>
      </c>
      <c r="C12" s="152">
        <f>IF($B12="","",INDEX($B$31:$B$1030,MATCH($A12,$T$31:$T$1030,0)))</f>
        <v/>
      </c>
      <c r="D12" s="152">
        <f>IF($B12="","",INDEX($C$31:$C$1030,MATCH($A12,$T$31:$T$1030,0)))</f>
        <v/>
      </c>
      <c r="E12" s="152">
        <f>IF($B12="","",INDEX($D$31:$D$1030,MATCH($A12,$T$31:$T$1030,0)))</f>
        <v/>
      </c>
      <c r="F12" s="172">
        <f>IF($B12="","",INDEX($E$31:$E$1030,MATCH($A12,$T$31:$T$1030,0)))</f>
        <v/>
      </c>
      <c r="G12" s="173">
        <f>IF($B12="","",INDEX($F$31:$F$1030,MATCH($A12,$T$31:$T$1030,0)))</f>
        <v/>
      </c>
      <c r="H12" s="130">
        <f>IF($B12="","",INDEX($G$31:$G$1030,MATCH($A12,$T$31:$T$1030,0)))</f>
        <v/>
      </c>
      <c r="I12" s="173">
        <f>IF($B12="","",INDEX($H$31:$H$1030,MATCH($A12,$T$31:$T$1030,0)))</f>
        <v/>
      </c>
      <c r="J12" s="51">
        <f>IF($B12="","",INDEX($I$31:$I$1030,MATCH($A12,$T$31:$T$1030,0)))</f>
        <v/>
      </c>
      <c r="K12" s="173">
        <f>IF($B12="","",INDEX($J$31:$J$1030,MATCH($A12,$T$31:$T$1030,0)))</f>
        <v/>
      </c>
      <c r="L12" s="152">
        <f>IF($B12="","",INDEX($L$31:$L$1030,MATCH($A12,$T$31:$T$1030,0)))</f>
        <v/>
      </c>
      <c r="M12" s="152">
        <f>IF($B12="","",INDEX($M$31:$M$1030,MATCH($A12,$T$31:$T$1030,0)))</f>
        <v/>
      </c>
      <c r="N12" s="152">
        <f>IF($B12="","",INDEX($N$31:$N$1030,MATCH($A12,$T$31:$T$1030,0)))</f>
        <v/>
      </c>
      <c r="O12" s="196">
        <f>IF($B12="","",INDEX($S$31:$S$1030,MATCH($A12,$T$31:$T$1030,0)))</f>
        <v/>
      </c>
      <c r="P12" s="152" t="n"/>
      <c r="Q12" s="197" t="n"/>
    </row>
    <row r="13" ht="17.25" customHeight="1">
      <c r="A13" s="119" t="n">
        <v>10</v>
      </c>
      <c r="B13" s="152">
        <f>IF($A13&gt;COUNT($T$31:$T$1030),"",INDEX($A$31:$A$1030,MATCH($A13,$T$31:$T$1030,0)))</f>
        <v/>
      </c>
      <c r="C13" s="152">
        <f>IF($B13="","",INDEX($B$31:$B$1030,MATCH($A13,$T$31:$T$1030,0)))</f>
        <v/>
      </c>
      <c r="D13" s="152">
        <f>IF($B13="","",INDEX($C$31:$C$1030,MATCH($A13,$T$31:$T$1030,0)))</f>
        <v/>
      </c>
      <c r="E13" s="152">
        <f>IF($B13="","",INDEX($D$31:$D$1030,MATCH($A13,$T$31:$T$1030,0)))</f>
        <v/>
      </c>
      <c r="F13" s="172">
        <f>IF($B13="","",INDEX($E$31:$E$1030,MATCH($A13,$T$31:$T$1030,0)))</f>
        <v/>
      </c>
      <c r="G13" s="173">
        <f>IF($B13="","",INDEX($F$31:$F$1030,MATCH($A13,$T$31:$T$1030,0)))</f>
        <v/>
      </c>
      <c r="H13" s="130">
        <f>IF($B13="","",INDEX($G$31:$G$1030,MATCH($A13,$T$31:$T$1030,0)))</f>
        <v/>
      </c>
      <c r="I13" s="173">
        <f>IF($B13="","",INDEX($H$31:$H$1030,MATCH($A13,$T$31:$T$1030,0)))</f>
        <v/>
      </c>
      <c r="J13" s="51">
        <f>IF($B13="","",INDEX($I$31:$I$1030,MATCH($A13,$T$31:$T$1030,0)))</f>
        <v/>
      </c>
      <c r="K13" s="173">
        <f>IF($B13="","",INDEX($J$31:$J$1030,MATCH($A13,$T$31:$T$1030,0)))</f>
        <v/>
      </c>
      <c r="L13" s="152">
        <f>IF($B13="","",INDEX($L$31:$L$1030,MATCH($A13,$T$31:$T$1030,0)))</f>
        <v/>
      </c>
      <c r="M13" s="152">
        <f>IF($B13="","",INDEX($M$31:$M$1030,MATCH($A13,$T$31:$T$1030,0)))</f>
        <v/>
      </c>
      <c r="N13" s="152">
        <f>IF($B13="","",INDEX($N$31:$N$1030,MATCH($A13,$T$31:$T$1030,0)))</f>
        <v/>
      </c>
      <c r="O13" s="196">
        <f>IF($B13="","",INDEX($S$31:$S$1030,MATCH($A13,$T$31:$T$1030,0)))</f>
        <v/>
      </c>
      <c r="P13" s="152" t="n"/>
      <c r="Q13" s="197" t="n"/>
    </row>
    <row r="14" ht="17.25" customHeight="1">
      <c r="A14" s="119" t="n"/>
      <c r="B14" s="152" t="n"/>
      <c r="C14" s="152" t="n"/>
      <c r="D14" s="152" t="n"/>
      <c r="E14" s="152" t="n"/>
      <c r="F14" s="172" t="n"/>
      <c r="G14" s="173" t="n"/>
      <c r="H14" s="174" t="n"/>
      <c r="I14" s="174" t="n"/>
      <c r="J14" s="152" t="n"/>
      <c r="K14" s="152" t="n"/>
      <c r="L14" s="152" t="n"/>
      <c r="M14" s="152" t="n"/>
      <c r="N14" s="152" t="n"/>
      <c r="O14" s="152" t="n"/>
      <c r="P14" s="152" t="n"/>
      <c r="Q14" s="197" t="n"/>
    </row>
    <row r="15" ht="17.25" customHeight="1">
      <c r="A15" s="119" t="n"/>
      <c r="B15" s="152" t="n"/>
      <c r="C15" s="152" t="n"/>
      <c r="D15" s="152" t="n"/>
      <c r="E15" s="152" t="n"/>
      <c r="F15" s="172" t="n"/>
      <c r="G15" s="173" t="n"/>
      <c r="H15" s="174" t="n"/>
      <c r="I15" s="174" t="n"/>
      <c r="J15" s="152" t="n"/>
      <c r="K15" s="152" t="n"/>
      <c r="L15" s="152" t="n"/>
      <c r="M15" s="152" t="n"/>
      <c r="N15" s="152" t="n"/>
      <c r="O15" s="152" t="n"/>
      <c r="P15" s="152" t="n"/>
      <c r="Q15" s="197" t="n"/>
    </row>
    <row r="16" ht="17.25" customHeight="1">
      <c r="A16" s="119" t="n"/>
      <c r="B16" s="152" t="n"/>
      <c r="C16" s="152" t="n"/>
      <c r="D16" s="152" t="n"/>
      <c r="E16" s="152" t="n"/>
      <c r="F16" s="172" t="n"/>
      <c r="G16" s="173" t="n"/>
      <c r="H16" s="174" t="n"/>
      <c r="I16" s="174" t="n"/>
      <c r="J16" s="152" t="n"/>
      <c r="K16" s="152" t="n"/>
      <c r="L16" s="152" t="n"/>
      <c r="M16" s="152" t="n"/>
      <c r="N16" s="152" t="n"/>
      <c r="O16" s="152" t="n"/>
      <c r="P16" s="152" t="n"/>
      <c r="Q16" s="197" t="n"/>
    </row>
    <row r="17" ht="17.25" customHeight="1">
      <c r="A17" s="119" t="n"/>
      <c r="B17" s="152" t="n"/>
      <c r="C17" s="152" t="n"/>
      <c r="D17" s="152" t="n"/>
      <c r="E17" s="152" t="n"/>
      <c r="F17" s="172" t="n"/>
      <c r="G17" s="173" t="n"/>
      <c r="H17" s="174" t="n"/>
      <c r="I17" s="174" t="n"/>
      <c r="J17" s="152" t="n"/>
      <c r="K17" s="152" t="n"/>
      <c r="L17" s="152" t="n"/>
      <c r="M17" s="152" t="n"/>
      <c r="N17" s="152" t="n"/>
      <c r="O17" s="152" t="n"/>
      <c r="P17" s="152" t="n"/>
      <c r="Q17" s="197" t="n"/>
    </row>
    <row r="18" ht="17.25" customHeight="1">
      <c r="A18" s="119" t="n"/>
      <c r="B18" s="152" t="n"/>
      <c r="C18" s="152" t="n"/>
      <c r="D18" s="152" t="n"/>
      <c r="E18" s="152" t="n"/>
      <c r="F18" s="172" t="n"/>
      <c r="G18" s="173" t="n"/>
      <c r="H18" s="174" t="n"/>
      <c r="I18" s="174" t="n"/>
      <c r="J18" s="152" t="n"/>
      <c r="K18" s="152" t="n"/>
      <c r="L18" s="152" t="n"/>
      <c r="M18" s="152" t="n"/>
      <c r="N18" s="152" t="n"/>
      <c r="O18" s="152" t="n"/>
      <c r="P18" s="152" t="n"/>
      <c r="Q18" s="197" t="n"/>
    </row>
    <row r="19" ht="17.25" customHeight="1">
      <c r="A19" s="119" t="n"/>
      <c r="B19" s="152" t="n"/>
      <c r="C19" s="152" t="n"/>
      <c r="D19" s="152" t="n"/>
      <c r="E19" s="152" t="n"/>
      <c r="F19" s="172" t="n"/>
      <c r="G19" s="173" t="n"/>
      <c r="H19" s="174" t="n"/>
      <c r="I19" s="174" t="n"/>
      <c r="J19" s="152" t="n"/>
      <c r="K19" s="152" t="n"/>
      <c r="L19" s="152" t="n"/>
      <c r="M19" s="152" t="n"/>
      <c r="N19" s="152" t="n"/>
      <c r="O19" s="152" t="n"/>
      <c r="P19" s="152" t="n"/>
      <c r="Q19" s="197" t="n"/>
    </row>
    <row r="20" ht="17.25" customHeight="1">
      <c r="A20" s="119" t="n"/>
      <c r="B20" s="152" t="n"/>
      <c r="C20" s="152" t="n"/>
      <c r="D20" s="152" t="n"/>
      <c r="E20" s="152" t="n"/>
      <c r="F20" s="172" t="n"/>
      <c r="G20" s="173" t="n"/>
      <c r="H20" s="174" t="n"/>
      <c r="I20" s="174" t="n"/>
      <c r="J20" s="152" t="n"/>
      <c r="K20" s="152" t="n"/>
      <c r="L20" s="152" t="n"/>
      <c r="M20" s="152" t="n"/>
      <c r="N20" s="152" t="n"/>
      <c r="O20" s="152" t="n"/>
      <c r="P20" s="152" t="n"/>
      <c r="Q20" s="197" t="n"/>
    </row>
    <row r="21" ht="17.25" customHeight="1">
      <c r="A21" s="119" t="n"/>
      <c r="B21" s="152" t="n"/>
      <c r="C21" s="152" t="n"/>
      <c r="D21" s="152" t="n"/>
      <c r="E21" s="152" t="n"/>
      <c r="F21" s="172" t="n"/>
      <c r="G21" s="173" t="n"/>
      <c r="H21" s="174" t="n"/>
      <c r="I21" s="174" t="n"/>
      <c r="J21" s="152" t="n"/>
      <c r="K21" s="152" t="n"/>
      <c r="L21" s="152" t="n"/>
      <c r="M21" s="152" t="n"/>
      <c r="N21" s="152" t="n"/>
      <c r="O21" s="152" t="n"/>
      <c r="P21" s="152" t="n"/>
      <c r="Q21" s="197" t="n"/>
    </row>
    <row r="22" ht="17.25" customHeight="1">
      <c r="A22" s="119" t="n"/>
      <c r="B22" s="152" t="n"/>
      <c r="C22" s="152" t="n"/>
      <c r="D22" s="152" t="n"/>
      <c r="E22" s="152" t="n"/>
      <c r="F22" s="172" t="n"/>
      <c r="G22" s="173" t="n"/>
      <c r="H22" s="174" t="n"/>
      <c r="I22" s="174" t="n"/>
      <c r="J22" s="152" t="n"/>
      <c r="K22" s="152" t="n"/>
      <c r="L22" s="152" t="n"/>
      <c r="M22" s="152" t="n"/>
      <c r="N22" s="152" t="n"/>
      <c r="O22" s="152" t="n"/>
      <c r="P22" s="152" t="n"/>
      <c r="Q22" s="197" t="n"/>
    </row>
    <row r="23" ht="17.25" customHeight="1">
      <c r="A23" s="122" t="n"/>
      <c r="B23" s="123" t="n"/>
      <c r="C23" s="123" t="n"/>
      <c r="D23" s="123" t="n"/>
      <c r="E23" s="123" t="n"/>
      <c r="F23" s="198" t="n"/>
      <c r="G23" s="199" t="n"/>
      <c r="H23" s="200" t="n"/>
      <c r="I23" s="200" t="n"/>
      <c r="J23" s="123" t="n"/>
      <c r="K23" s="123" t="n"/>
      <c r="L23" s="123" t="n"/>
      <c r="M23" s="123" t="n"/>
      <c r="N23" s="123" t="n"/>
      <c r="O23" s="123" t="n"/>
      <c r="P23" s="123" t="n"/>
      <c r="Q23" s="201" t="n"/>
    </row>
    <row r="24" ht="1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 ht="1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 ht="17.25" customHeight="1">
      <c r="A26" s="15" t="inlineStr">
        <is>
          <t>선정건수</t>
        </is>
      </c>
      <c r="B26" s="33">
        <f>COUNT(B4:B13)</f>
        <v/>
      </c>
      <c r="C26" s="1" t="n"/>
      <c r="D26" s="15" t="inlineStr">
        <is>
          <t>상위 반영 건수</t>
        </is>
      </c>
      <c r="E26" s="31">
        <f>'01_설정'!B9</f>
        <v/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 ht="15" customHeight="1"/>
    <row r="28" ht="16.5" customHeight="1">
      <c r="A28" s="128" t="inlineStr">
        <is>
          <t>※ 하단 Helper 영역은 자동 계산용입니다.</t>
        </is>
      </c>
    </row>
    <row r="29" hidden="1" ht="14.25" customHeight="1"/>
    <row r="30" hidden="1" ht="16.5" customHeight="1">
      <c r="A30" t="inlineStr">
        <is>
          <t>source_row</t>
        </is>
      </c>
      <c r="B30" s="128" t="inlineStr">
        <is>
          <t>평가목적</t>
        </is>
      </c>
      <c r="C30" s="128" t="inlineStr">
        <is>
          <t>소재지</t>
        </is>
      </c>
      <c r="D30" s="128" t="inlineStr">
        <is>
          <t>지번</t>
        </is>
      </c>
      <c r="E30" s="128" t="inlineStr">
        <is>
          <t>건물명</t>
        </is>
      </c>
      <c r="F30" s="128" t="inlineStr">
        <is>
          <t>동층호</t>
        </is>
      </c>
      <c r="G30" s="128" t="inlineStr">
        <is>
          <t>전용면적</t>
        </is>
      </c>
      <c r="H30" s="128" t="inlineStr">
        <is>
          <t>기준시점</t>
        </is>
      </c>
      <c r="I30" s="128" t="inlineStr">
        <is>
          <t>평가액/면적</t>
        </is>
      </c>
      <c r="J30" s="128" t="inlineStr">
        <is>
          <t>사용승인일</t>
        </is>
      </c>
      <c r="K30" s="128" t="inlineStr">
        <is>
          <t>동일시군구</t>
        </is>
      </c>
      <c r="L30" s="128" t="inlineStr">
        <is>
          <t>동일법정동</t>
        </is>
      </c>
      <c r="M30" s="128" t="inlineStr">
        <is>
          <t>동일건물</t>
        </is>
      </c>
      <c r="N30" s="128" t="inlineStr">
        <is>
          <t>동일목적</t>
        </is>
      </c>
      <c r="O30" s="128" t="inlineStr">
        <is>
          <t>면적차율</t>
        </is>
      </c>
      <c r="P30" s="128" t="inlineStr">
        <is>
          <t>경과일수</t>
        </is>
      </c>
      <c r="Q30" s="128" t="inlineStr">
        <is>
          <t>건축연차차</t>
        </is>
      </c>
      <c r="R30" t="inlineStr">
        <is>
          <t>1차통과</t>
        </is>
      </c>
      <c r="S30" s="128" t="inlineStr">
        <is>
          <t>유사도점수</t>
        </is>
      </c>
      <c r="T30" s="128" t="inlineStr">
        <is>
          <t>순위</t>
        </is>
      </c>
    </row>
    <row r="31" hidden="1" ht="16.5" customHeight="1">
      <c r="A31">
        <f>IF(COUNTA('05_KAPA'!$A4:$AO4)=0,"",4)</f>
        <v/>
      </c>
      <c r="B31">
        <f>IF($A31="","",INDEX('05_KAPA'!$B:$B,$A31))</f>
        <v/>
      </c>
      <c r="C31">
        <f>IF($A31="","",INDEX('05_KAPA'!$F:$F,$A31))</f>
        <v/>
      </c>
      <c r="D31">
        <f>IF($A31="","",INDEX('05_KAPA'!$H:$H,$A31))</f>
        <v/>
      </c>
      <c r="E31">
        <f>IF($A31="","",INDEX('05_KAPA'!$K:$K,$A31))</f>
        <v/>
      </c>
      <c r="F31">
        <f>IF($A31="","",INDEX('05_KAPA'!$L:$L,$A31))</f>
        <v/>
      </c>
      <c r="G31">
        <f>IF($A31="","",INDEX('05_KAPA'!$I:$I,$A31))</f>
        <v/>
      </c>
      <c r="H31" s="202">
        <f>IF($A31="","",INDEX('05_KAPA'!$P:$P,$A31))</f>
        <v/>
      </c>
      <c r="I31" s="118">
        <f>IF($A31="","",INDEX('05_KAPA'!$O:$O,$A31))</f>
        <v/>
      </c>
      <c r="J31" s="202">
        <f>IF($A31="","",IFERROR(DATE(LEFT(TEXT(INDEX('05_KAPA'!$T:$T,$A31),"0"),4),MID(TEXT(INDEX('05_KAPA'!$T:$T,$A31),"0"),5,2),RIGHT(TEXT(INDEX('05_KAPA'!$T:$T,$A31),"0"),2)),""))</f>
        <v/>
      </c>
      <c r="K31">
        <f>IF(C31="","",IF('02_대상물건입력'!$B$5="",1,IF(ISNUMBER(SEARCH('02_대상물건입력'!$B$5,C31)),1,0)))</f>
        <v/>
      </c>
      <c r="L31">
        <f>IF(C31="","",IF('02_대상물건입력'!$B$6="",1,IF(ISNUMBER(SEARCH('02_대상물건입력'!$B$6,C31)),1,0)))</f>
        <v/>
      </c>
      <c r="M31">
        <f>IF(E31="","",IF('02_대상물건입력'!$B$8="",0,IF(ISNUMBER(SEARCH('02_대상물건입력'!$B$8,E31)),1,0)))</f>
        <v/>
      </c>
      <c r="N31">
        <f>IF(B31="","",IF(B31="담보",1,0))</f>
        <v/>
      </c>
      <c r="O31">
        <f>IFERROR(ABS(G31-'02_대상물건입력'!$B$11)/'02_대상물건입력'!$B$11,"")</f>
        <v/>
      </c>
      <c r="P31">
        <f>IFERROR(ABS('01_설정'!$B$4-H31),"")</f>
        <v/>
      </c>
      <c r="Q31">
        <f>IFERROR(ABS(YEAR(J31)-YEAR('02_대상물건입력'!$B$14)),"")</f>
        <v/>
      </c>
      <c r="R31">
        <f>IF(AND(G31&gt;0,H31&gt;0,I31&gt;0,N31=1,IF('01_설정'!$B$10=1,K31=1,TRUE()),O31&lt;='01_설정'!$B$5,P31&lt;='01_설정'!$B$7,Q31&lt;='01_설정'!$B$8),"Y","")</f>
        <v/>
      </c>
      <c r="S31">
        <f>IF(R31&lt;&gt;"Y","",MAX(0,(1-O31/'01_설정'!$B$5))*'01_설정'!$B$14+MAX(0,(1-P31/'01_설정'!$B$7))*'01_설정'!$B$16+MAX(0,(1-Q31/'01_설정'!$B$8))*'01_설정'!$B$17+L31*'01_설정'!$B$11+M31*'01_설정'!$B$12+N31*50)</f>
        <v/>
      </c>
      <c r="T31">
        <f>IF(S31="","",1+COUNTIFS($S$31:$S$1030,"&gt;"&amp;S31)+COUNTIFS($S$31:S31,S31)-1)</f>
        <v/>
      </c>
    </row>
    <row r="32" hidden="1" ht="16.5" customHeight="1">
      <c r="A32">
        <f>IF(COUNTA('05_KAPA'!$A5:$AO5)=0,"",5)</f>
        <v/>
      </c>
      <c r="B32">
        <f>IF($A32="","",INDEX('05_KAPA'!$B:$B,$A32))</f>
        <v/>
      </c>
      <c r="C32">
        <f>IF($A32="","",INDEX('05_KAPA'!$F:$F,$A32))</f>
        <v/>
      </c>
      <c r="D32">
        <f>IF($A32="","",INDEX('05_KAPA'!$H:$H,$A32))</f>
        <v/>
      </c>
      <c r="E32">
        <f>IF($A32="","",INDEX('05_KAPA'!$K:$K,$A32))</f>
        <v/>
      </c>
      <c r="F32">
        <f>IF($A32="","",INDEX('05_KAPA'!$L:$L,$A32))</f>
        <v/>
      </c>
      <c r="G32">
        <f>IF($A32="","",INDEX('05_KAPA'!$I:$I,$A32))</f>
        <v/>
      </c>
      <c r="H32" s="202">
        <f>IF($A32="","",INDEX('05_KAPA'!$P:$P,$A32))</f>
        <v/>
      </c>
      <c r="I32" s="118">
        <f>IF($A32="","",INDEX('05_KAPA'!$O:$O,$A32))</f>
        <v/>
      </c>
      <c r="J32" s="202">
        <f>IF($A32="","",IFERROR(DATE(LEFT(TEXT(INDEX('05_KAPA'!$T:$T,$A32),"0"),4),MID(TEXT(INDEX('05_KAPA'!$T:$T,$A32),"0"),5,2),RIGHT(TEXT(INDEX('05_KAPA'!$T:$T,$A32),"0"),2)),""))</f>
        <v/>
      </c>
      <c r="K32">
        <f>IF(C32="","",IF('02_대상물건입력'!$B$5="",1,IF(ISNUMBER(SEARCH('02_대상물건입력'!$B$5,C32)),1,0)))</f>
        <v/>
      </c>
      <c r="L32">
        <f>IF(C32="","",IF('02_대상물건입력'!$B$6="",1,IF(ISNUMBER(SEARCH('02_대상물건입력'!$B$6,C32)),1,0)))</f>
        <v/>
      </c>
      <c r="M32">
        <f>IF(E32="","",IF('02_대상물건입력'!$B$8="",0,IF(ISNUMBER(SEARCH('02_대상물건입력'!$B$8,E32)),1,0)))</f>
        <v/>
      </c>
      <c r="N32">
        <f>IF(B32="","",IF(B32="담보",1,0))</f>
        <v/>
      </c>
      <c r="O32">
        <f>IFERROR(ABS(G32-'02_대상물건입력'!$B$11)/'02_대상물건입력'!$B$11,"")</f>
        <v/>
      </c>
      <c r="P32">
        <f>IFERROR(ABS('01_설정'!$B$4-H32),"")</f>
        <v/>
      </c>
      <c r="Q32">
        <f>IFERROR(ABS(YEAR(J32)-YEAR('02_대상물건입력'!$B$14)),"")</f>
        <v/>
      </c>
      <c r="R32">
        <f>IF(AND(G32&gt;0,H32&gt;0,I32&gt;0,N32=1,IF('01_설정'!$B$10=1,K32=1,TRUE()),O32&lt;='01_설정'!$B$5,P32&lt;='01_설정'!$B$7,Q32&lt;='01_설정'!$B$8),"Y","")</f>
        <v/>
      </c>
      <c r="S32">
        <f>IF(R32&lt;&gt;"Y","",MAX(0,(1-O32/'01_설정'!$B$5))*'01_설정'!$B$14+MAX(0,(1-P32/'01_설정'!$B$7))*'01_설정'!$B$16+MAX(0,(1-Q32/'01_설정'!$B$8))*'01_설정'!$B$17+L32*'01_설정'!$B$11+M32*'01_설정'!$B$12+N32*50)</f>
        <v/>
      </c>
      <c r="T32">
        <f>IF(S32="","",1+COUNTIFS($S$31:$S$1030,"&gt;"&amp;S32)+COUNTIFS($S$31:S32,S32)-1)</f>
        <v/>
      </c>
    </row>
    <row r="33" hidden="1" ht="16.5" customHeight="1">
      <c r="A33">
        <f>IF(COUNTA('05_KAPA'!$A6:$AO6)=0,"",6)</f>
        <v/>
      </c>
      <c r="B33">
        <f>IF($A33="","",INDEX('05_KAPA'!$B:$B,$A33))</f>
        <v/>
      </c>
      <c r="C33">
        <f>IF($A33="","",INDEX('05_KAPA'!$F:$F,$A33))</f>
        <v/>
      </c>
      <c r="D33">
        <f>IF($A33="","",INDEX('05_KAPA'!$H:$H,$A33))</f>
        <v/>
      </c>
      <c r="E33">
        <f>IF($A33="","",INDEX('05_KAPA'!$K:$K,$A33))</f>
        <v/>
      </c>
      <c r="F33">
        <f>IF($A33="","",INDEX('05_KAPA'!$L:$L,$A33))</f>
        <v/>
      </c>
      <c r="G33">
        <f>IF($A33="","",INDEX('05_KAPA'!$I:$I,$A33))</f>
        <v/>
      </c>
      <c r="H33" s="202">
        <f>IF($A33="","",INDEX('05_KAPA'!$P:$P,$A33))</f>
        <v/>
      </c>
      <c r="I33" s="118">
        <f>IF($A33="","",INDEX('05_KAPA'!$O:$O,$A33))</f>
        <v/>
      </c>
      <c r="J33" s="202">
        <f>IF($A33="","",IFERROR(DATE(LEFT(TEXT(INDEX('05_KAPA'!$T:$T,$A33),"0"),4),MID(TEXT(INDEX('05_KAPA'!$T:$T,$A33),"0"),5,2),RIGHT(TEXT(INDEX('05_KAPA'!$T:$T,$A33),"0"),2)),""))</f>
        <v/>
      </c>
      <c r="K33">
        <f>IF(C33="","",IF('02_대상물건입력'!$B$5="",1,IF(ISNUMBER(SEARCH('02_대상물건입력'!$B$5,C33)),1,0)))</f>
        <v/>
      </c>
      <c r="L33">
        <f>IF(C33="","",IF('02_대상물건입력'!$B$6="",1,IF(ISNUMBER(SEARCH('02_대상물건입력'!$B$6,C33)),1,0)))</f>
        <v/>
      </c>
      <c r="M33">
        <f>IF(E33="","",IF('02_대상물건입력'!$B$8="",0,IF(ISNUMBER(SEARCH('02_대상물건입력'!$B$8,E33)),1,0)))</f>
        <v/>
      </c>
      <c r="N33">
        <f>IF(B33="","",IF(B33="담보",1,0))</f>
        <v/>
      </c>
      <c r="O33">
        <f>IFERROR(ABS(G33-'02_대상물건입력'!$B$11)/'02_대상물건입력'!$B$11,"")</f>
        <v/>
      </c>
      <c r="P33">
        <f>IFERROR(ABS('01_설정'!$B$4-H33),"")</f>
        <v/>
      </c>
      <c r="Q33">
        <f>IFERROR(ABS(YEAR(J33)-YEAR('02_대상물건입력'!$B$14)),"")</f>
        <v/>
      </c>
      <c r="R33">
        <f>IF(AND(G33&gt;0,H33&gt;0,I33&gt;0,N33=1,IF('01_설정'!$B$10=1,K33=1,TRUE()),O33&lt;='01_설정'!$B$5,P33&lt;='01_설정'!$B$7,Q33&lt;='01_설정'!$B$8),"Y","")</f>
        <v/>
      </c>
      <c r="S33">
        <f>IF(R33&lt;&gt;"Y","",MAX(0,(1-O33/'01_설정'!$B$5))*'01_설정'!$B$14+MAX(0,(1-P33/'01_설정'!$B$7))*'01_설정'!$B$16+MAX(0,(1-Q33/'01_설정'!$B$8))*'01_설정'!$B$17+L33*'01_설정'!$B$11+M33*'01_설정'!$B$12+N33*50)</f>
        <v/>
      </c>
      <c r="T33">
        <f>IF(S33="","",1+COUNTIFS($S$31:$S$1030,"&gt;"&amp;S33)+COUNTIFS($S$31:S33,S33)-1)</f>
        <v/>
      </c>
    </row>
    <row r="34" hidden="1" ht="16.5" customHeight="1">
      <c r="A34">
        <f>IF(COUNTA('05_KAPA'!$A7:$AO7)=0,"",7)</f>
        <v/>
      </c>
      <c r="B34">
        <f>IF($A34="","",INDEX('05_KAPA'!$B:$B,$A34))</f>
        <v/>
      </c>
      <c r="C34">
        <f>IF($A34="","",INDEX('05_KAPA'!$F:$F,$A34))</f>
        <v/>
      </c>
      <c r="D34">
        <f>IF($A34="","",INDEX('05_KAPA'!$H:$H,$A34))</f>
        <v/>
      </c>
      <c r="E34">
        <f>IF($A34="","",INDEX('05_KAPA'!$K:$K,$A34))</f>
        <v/>
      </c>
      <c r="F34">
        <f>IF($A34="","",INDEX('05_KAPA'!$L:$L,$A34))</f>
        <v/>
      </c>
      <c r="G34">
        <f>IF($A34="","",INDEX('05_KAPA'!$I:$I,$A34))</f>
        <v/>
      </c>
      <c r="H34" s="202">
        <f>IF($A34="","",INDEX('05_KAPA'!$P:$P,$A34))</f>
        <v/>
      </c>
      <c r="I34" s="118">
        <f>IF($A34="","",INDEX('05_KAPA'!$O:$O,$A34))</f>
        <v/>
      </c>
      <c r="J34" s="202">
        <f>IF($A34="","",IFERROR(DATE(LEFT(TEXT(INDEX('05_KAPA'!$T:$T,$A34),"0"),4),MID(TEXT(INDEX('05_KAPA'!$T:$T,$A34),"0"),5,2),RIGHT(TEXT(INDEX('05_KAPA'!$T:$T,$A34),"0"),2)),""))</f>
        <v/>
      </c>
      <c r="K34">
        <f>IF(C34="","",IF('02_대상물건입력'!$B$5="",1,IF(ISNUMBER(SEARCH('02_대상물건입력'!$B$5,C34)),1,0)))</f>
        <v/>
      </c>
      <c r="L34">
        <f>IF(C34="","",IF('02_대상물건입력'!$B$6="",1,IF(ISNUMBER(SEARCH('02_대상물건입력'!$B$6,C34)),1,0)))</f>
        <v/>
      </c>
      <c r="M34">
        <f>IF(E34="","",IF('02_대상물건입력'!$B$8="",0,IF(ISNUMBER(SEARCH('02_대상물건입력'!$B$8,E34)),1,0)))</f>
        <v/>
      </c>
      <c r="N34">
        <f>IF(B34="","",IF(B34="담보",1,0))</f>
        <v/>
      </c>
      <c r="O34">
        <f>IFERROR(ABS(G34-'02_대상물건입력'!$B$11)/'02_대상물건입력'!$B$11,"")</f>
        <v/>
      </c>
      <c r="P34">
        <f>IFERROR(ABS('01_설정'!$B$4-H34),"")</f>
        <v/>
      </c>
      <c r="Q34">
        <f>IFERROR(ABS(YEAR(J34)-YEAR('02_대상물건입력'!$B$14)),"")</f>
        <v/>
      </c>
      <c r="R34">
        <f>IF(AND(G34&gt;0,H34&gt;0,I34&gt;0,N34=1,IF('01_설정'!$B$10=1,K34=1,TRUE()),O34&lt;='01_설정'!$B$5,P34&lt;='01_설정'!$B$7,Q34&lt;='01_설정'!$B$8),"Y","")</f>
        <v/>
      </c>
      <c r="S34">
        <f>IF(R34&lt;&gt;"Y","",MAX(0,(1-O34/'01_설정'!$B$5))*'01_설정'!$B$14+MAX(0,(1-P34/'01_설정'!$B$7))*'01_설정'!$B$16+MAX(0,(1-Q34/'01_설정'!$B$8))*'01_설정'!$B$17+L34*'01_설정'!$B$11+M34*'01_설정'!$B$12+N34*50)</f>
        <v/>
      </c>
      <c r="T34">
        <f>IF(S34="","",1+COUNTIFS($S$31:$S$1030,"&gt;"&amp;S34)+COUNTIFS($S$31:S34,S34)-1)</f>
        <v/>
      </c>
    </row>
    <row r="35" hidden="1" ht="16.5" customHeight="1">
      <c r="A35">
        <f>IF(COUNTA('05_KAPA'!$A8:$AO8)=0,"",8)</f>
        <v/>
      </c>
      <c r="B35">
        <f>IF($A35="","",INDEX('05_KAPA'!$B:$B,$A35))</f>
        <v/>
      </c>
      <c r="C35">
        <f>IF($A35="","",INDEX('05_KAPA'!$F:$F,$A35))</f>
        <v/>
      </c>
      <c r="D35">
        <f>IF($A35="","",INDEX('05_KAPA'!$H:$H,$A35))</f>
        <v/>
      </c>
      <c r="E35">
        <f>IF($A35="","",INDEX('05_KAPA'!$K:$K,$A35))</f>
        <v/>
      </c>
      <c r="F35">
        <f>IF($A35="","",INDEX('05_KAPA'!$L:$L,$A35))</f>
        <v/>
      </c>
      <c r="G35">
        <f>IF($A35="","",INDEX('05_KAPA'!$I:$I,$A35))</f>
        <v/>
      </c>
      <c r="H35" s="202">
        <f>IF($A35="","",INDEX('05_KAPA'!$P:$P,$A35))</f>
        <v/>
      </c>
      <c r="I35" s="118">
        <f>IF($A35="","",INDEX('05_KAPA'!$O:$O,$A35))</f>
        <v/>
      </c>
      <c r="J35" s="202">
        <f>IF($A35="","",IFERROR(DATE(LEFT(TEXT(INDEX('05_KAPA'!$T:$T,$A35),"0"),4),MID(TEXT(INDEX('05_KAPA'!$T:$T,$A35),"0"),5,2),RIGHT(TEXT(INDEX('05_KAPA'!$T:$T,$A35),"0"),2)),""))</f>
        <v/>
      </c>
      <c r="K35">
        <f>IF(C35="","",IF('02_대상물건입력'!$B$5="",1,IF(ISNUMBER(SEARCH('02_대상물건입력'!$B$5,C35)),1,0)))</f>
        <v/>
      </c>
      <c r="L35">
        <f>IF(C35="","",IF('02_대상물건입력'!$B$6="",1,IF(ISNUMBER(SEARCH('02_대상물건입력'!$B$6,C35)),1,0)))</f>
        <v/>
      </c>
      <c r="M35">
        <f>IF(E35="","",IF('02_대상물건입력'!$B$8="",0,IF(ISNUMBER(SEARCH('02_대상물건입력'!$B$8,E35)),1,0)))</f>
        <v/>
      </c>
      <c r="N35">
        <f>IF(B35="","",IF(B35="담보",1,0))</f>
        <v/>
      </c>
      <c r="O35">
        <f>IFERROR(ABS(G35-'02_대상물건입력'!$B$11)/'02_대상물건입력'!$B$11,"")</f>
        <v/>
      </c>
      <c r="P35">
        <f>IFERROR(ABS('01_설정'!$B$4-H35),"")</f>
        <v/>
      </c>
      <c r="Q35">
        <f>IFERROR(ABS(YEAR(J35)-YEAR('02_대상물건입력'!$B$14)),"")</f>
        <v/>
      </c>
      <c r="R35">
        <f>IF(AND(G35&gt;0,H35&gt;0,I35&gt;0,N35=1,IF('01_설정'!$B$10=1,K35=1,TRUE()),O35&lt;='01_설정'!$B$5,P35&lt;='01_설정'!$B$7,Q35&lt;='01_설정'!$B$8),"Y","")</f>
        <v/>
      </c>
      <c r="S35">
        <f>IF(R35&lt;&gt;"Y","",MAX(0,(1-O35/'01_설정'!$B$5))*'01_설정'!$B$14+MAX(0,(1-P35/'01_설정'!$B$7))*'01_설정'!$B$16+MAX(0,(1-Q35/'01_설정'!$B$8))*'01_설정'!$B$17+L35*'01_설정'!$B$11+M35*'01_설정'!$B$12+N35*50)</f>
        <v/>
      </c>
      <c r="T35">
        <f>IF(S35="","",1+COUNTIFS($S$31:$S$1030,"&gt;"&amp;S35)+COUNTIFS($S$31:S35,S35)-1)</f>
        <v/>
      </c>
    </row>
    <row r="36" hidden="1" ht="16.5" customHeight="1">
      <c r="A36">
        <f>IF(COUNTA('05_KAPA'!#REF!)=0,"",9)</f>
        <v/>
      </c>
      <c r="B36">
        <f>IF($A36="","",INDEX('05_KAPA'!$B:$B,$A36))</f>
        <v/>
      </c>
      <c r="C36">
        <f>IF($A36="","",INDEX('05_KAPA'!$F:$F,$A36))</f>
        <v/>
      </c>
      <c r="D36">
        <f>IF($A36="","",INDEX('05_KAPA'!$H:$H,$A36))</f>
        <v/>
      </c>
      <c r="E36">
        <f>IF($A36="","",INDEX('05_KAPA'!$K:$K,$A36))</f>
        <v/>
      </c>
      <c r="F36">
        <f>IF($A36="","",INDEX('05_KAPA'!$L:$L,$A36))</f>
        <v/>
      </c>
      <c r="G36">
        <f>IF($A36="","",INDEX('05_KAPA'!$I:$I,$A36))</f>
        <v/>
      </c>
      <c r="H36" s="202">
        <f>IF($A36="","",INDEX('05_KAPA'!$P:$P,$A36))</f>
        <v/>
      </c>
      <c r="I36" s="118">
        <f>IF($A36="","",INDEX('05_KAPA'!$O:$O,$A36))</f>
        <v/>
      </c>
      <c r="J36" s="202">
        <f>IF($A36="","",IFERROR(DATE(LEFT(TEXT(INDEX('05_KAPA'!$T:$T,$A36),"0"),4),MID(TEXT(INDEX('05_KAPA'!$T:$T,$A36),"0"),5,2),RIGHT(TEXT(INDEX('05_KAPA'!$T:$T,$A36),"0"),2)),""))</f>
        <v/>
      </c>
      <c r="K36">
        <f>IF(C36="","",IF('02_대상물건입력'!$B$5="",1,IF(ISNUMBER(SEARCH('02_대상물건입력'!$B$5,C36)),1,0)))</f>
        <v/>
      </c>
      <c r="L36">
        <f>IF(C36="","",IF('02_대상물건입력'!$B$6="",1,IF(ISNUMBER(SEARCH('02_대상물건입력'!$B$6,C36)),1,0)))</f>
        <v/>
      </c>
      <c r="M36">
        <f>IF(E36="","",IF('02_대상물건입력'!$B$8="",0,IF(ISNUMBER(SEARCH('02_대상물건입력'!$B$8,E36)),1,0)))</f>
        <v/>
      </c>
      <c r="N36">
        <f>IF(B36="","",IF(B36="담보",1,0))</f>
        <v/>
      </c>
      <c r="O36">
        <f>IFERROR(ABS(G36-'02_대상물건입력'!$B$11)/'02_대상물건입력'!$B$11,"")</f>
        <v/>
      </c>
      <c r="P36">
        <f>IFERROR(ABS('01_설정'!$B$4-H36),"")</f>
        <v/>
      </c>
      <c r="Q36">
        <f>IFERROR(ABS(YEAR(J36)-YEAR('02_대상물건입력'!$B$14)),"")</f>
        <v/>
      </c>
      <c r="R36">
        <f>IF(AND(G36&gt;0,H36&gt;0,I36&gt;0,N36=1,IF('01_설정'!$B$10=1,K36=1,TRUE()),O36&lt;='01_설정'!$B$5,P36&lt;='01_설정'!$B$7,Q36&lt;='01_설정'!$B$8),"Y","")</f>
        <v/>
      </c>
      <c r="S36">
        <f>IF(R36&lt;&gt;"Y","",MAX(0,(1-O36/'01_설정'!$B$5))*'01_설정'!$B$14+MAX(0,(1-P36/'01_설정'!$B$7))*'01_설정'!$B$16+MAX(0,(1-Q36/'01_설정'!$B$8))*'01_설정'!$B$17+L36*'01_설정'!$B$11+M36*'01_설정'!$B$12+N36*50)</f>
        <v/>
      </c>
      <c r="T36">
        <f>IF(S36="","",1+COUNTIFS($S$31:$S$1030,"&gt;"&amp;S36)+COUNTIFS($S$31:S36,S36)-1)</f>
        <v/>
      </c>
    </row>
    <row r="37" hidden="1" ht="16.5" customHeight="1">
      <c r="A37">
        <f>IF(COUNTA('05_KAPA'!$A9:$AO9)=0,"",10)</f>
        <v/>
      </c>
      <c r="B37">
        <f>IF($A37="","",INDEX('05_KAPA'!$B:$B,$A37))</f>
        <v/>
      </c>
      <c r="C37">
        <f>IF($A37="","",INDEX('05_KAPA'!$F:$F,$A37))</f>
        <v/>
      </c>
      <c r="D37">
        <f>IF($A37="","",INDEX('05_KAPA'!$H:$H,$A37))</f>
        <v/>
      </c>
      <c r="E37">
        <f>IF($A37="","",INDEX('05_KAPA'!$K:$K,$A37))</f>
        <v/>
      </c>
      <c r="F37">
        <f>IF($A37="","",INDEX('05_KAPA'!$L:$L,$A37))</f>
        <v/>
      </c>
      <c r="G37">
        <f>IF($A37="","",INDEX('05_KAPA'!$I:$I,$A37))</f>
        <v/>
      </c>
      <c r="H37" s="202">
        <f>IF($A37="","",INDEX('05_KAPA'!$P:$P,$A37))</f>
        <v/>
      </c>
      <c r="I37" s="118">
        <f>IF($A37="","",INDEX('05_KAPA'!$O:$O,$A37))</f>
        <v/>
      </c>
      <c r="J37" s="202">
        <f>IF($A37="","",IFERROR(DATE(LEFT(TEXT(INDEX('05_KAPA'!$T:$T,$A37),"0"),4),MID(TEXT(INDEX('05_KAPA'!$T:$T,$A37),"0"),5,2),RIGHT(TEXT(INDEX('05_KAPA'!$T:$T,$A37),"0"),2)),""))</f>
        <v/>
      </c>
      <c r="K37">
        <f>IF(C37="","",IF('02_대상물건입력'!$B$5="",1,IF(ISNUMBER(SEARCH('02_대상물건입력'!$B$5,C37)),1,0)))</f>
        <v/>
      </c>
      <c r="L37">
        <f>IF(C37="","",IF('02_대상물건입력'!$B$6="",1,IF(ISNUMBER(SEARCH('02_대상물건입력'!$B$6,C37)),1,0)))</f>
        <v/>
      </c>
      <c r="M37">
        <f>IF(E37="","",IF('02_대상물건입력'!$B$8="",0,IF(ISNUMBER(SEARCH('02_대상물건입력'!$B$8,E37)),1,0)))</f>
        <v/>
      </c>
      <c r="N37">
        <f>IF(B37="","",IF(B37="담보",1,0))</f>
        <v/>
      </c>
      <c r="O37">
        <f>IFERROR(ABS(G37-'02_대상물건입력'!$B$11)/'02_대상물건입력'!$B$11,"")</f>
        <v/>
      </c>
      <c r="P37">
        <f>IFERROR(ABS('01_설정'!$B$4-H37),"")</f>
        <v/>
      </c>
      <c r="Q37">
        <f>IFERROR(ABS(YEAR(J37)-YEAR('02_대상물건입력'!$B$14)),"")</f>
        <v/>
      </c>
      <c r="R37">
        <f>IF(AND(G37&gt;0,H37&gt;0,I37&gt;0,N37=1,IF('01_설정'!$B$10=1,K37=1,TRUE()),O37&lt;='01_설정'!$B$5,P37&lt;='01_설정'!$B$7,Q37&lt;='01_설정'!$B$8),"Y","")</f>
        <v/>
      </c>
      <c r="S37">
        <f>IF(R37&lt;&gt;"Y","",MAX(0,(1-O37/'01_설정'!$B$5))*'01_설정'!$B$14+MAX(0,(1-P37/'01_설정'!$B$7))*'01_설정'!$B$16+MAX(0,(1-Q37/'01_설정'!$B$8))*'01_설정'!$B$17+L37*'01_설정'!$B$11+M37*'01_설정'!$B$12+N37*50)</f>
        <v/>
      </c>
      <c r="T37">
        <f>IF(S37="","",1+COUNTIFS($S$31:$S$1030,"&gt;"&amp;S37)+COUNTIFS($S$31:S37,S37)-1)</f>
        <v/>
      </c>
    </row>
    <row r="38" hidden="1" ht="16.5" customHeight="1">
      <c r="A38">
        <f>IF(COUNTA('05_KAPA'!#REF!)=0,"",11)</f>
        <v/>
      </c>
      <c r="B38">
        <f>IF($A38="","",INDEX('05_KAPA'!$B:$B,$A38))</f>
        <v/>
      </c>
      <c r="C38">
        <f>IF($A38="","",INDEX('05_KAPA'!$F:$F,$A38))</f>
        <v/>
      </c>
      <c r="D38">
        <f>IF($A38="","",INDEX('05_KAPA'!$H:$H,$A38))</f>
        <v/>
      </c>
      <c r="E38">
        <f>IF($A38="","",INDEX('05_KAPA'!$K:$K,$A38))</f>
        <v/>
      </c>
      <c r="F38">
        <f>IF($A38="","",INDEX('05_KAPA'!$L:$L,$A38))</f>
        <v/>
      </c>
      <c r="G38">
        <f>IF($A38="","",INDEX('05_KAPA'!$I:$I,$A38))</f>
        <v/>
      </c>
      <c r="H38" s="202">
        <f>IF($A38="","",INDEX('05_KAPA'!$P:$P,$A38))</f>
        <v/>
      </c>
      <c r="I38" s="118">
        <f>IF($A38="","",INDEX('05_KAPA'!$O:$O,$A38))</f>
        <v/>
      </c>
      <c r="J38" s="202">
        <f>IF($A38="","",IFERROR(DATE(LEFT(TEXT(INDEX('05_KAPA'!$T:$T,$A38),"0"),4),MID(TEXT(INDEX('05_KAPA'!$T:$T,$A38),"0"),5,2),RIGHT(TEXT(INDEX('05_KAPA'!$T:$T,$A38),"0"),2)),""))</f>
        <v/>
      </c>
      <c r="K38">
        <f>IF(C38="","",IF('02_대상물건입력'!$B$5="",1,IF(ISNUMBER(SEARCH('02_대상물건입력'!$B$5,C38)),1,0)))</f>
        <v/>
      </c>
      <c r="L38">
        <f>IF(C38="","",IF('02_대상물건입력'!$B$6="",1,IF(ISNUMBER(SEARCH('02_대상물건입력'!$B$6,C38)),1,0)))</f>
        <v/>
      </c>
      <c r="M38">
        <f>IF(E38="","",IF('02_대상물건입력'!$B$8="",0,IF(ISNUMBER(SEARCH('02_대상물건입력'!$B$8,E38)),1,0)))</f>
        <v/>
      </c>
      <c r="N38">
        <f>IF(B38="","",IF(B38="담보",1,0))</f>
        <v/>
      </c>
      <c r="O38">
        <f>IFERROR(ABS(G38-'02_대상물건입력'!$B$11)/'02_대상물건입력'!$B$11,"")</f>
        <v/>
      </c>
      <c r="P38">
        <f>IFERROR(ABS('01_설정'!$B$4-H38),"")</f>
        <v/>
      </c>
      <c r="Q38">
        <f>IFERROR(ABS(YEAR(J38)-YEAR('02_대상물건입력'!$B$14)),"")</f>
        <v/>
      </c>
      <c r="R38">
        <f>IF(AND(G38&gt;0,H38&gt;0,I38&gt;0,N38=1,IF('01_설정'!$B$10=1,K38=1,TRUE()),O38&lt;='01_설정'!$B$5,P38&lt;='01_설정'!$B$7,Q38&lt;='01_설정'!$B$8),"Y","")</f>
        <v/>
      </c>
      <c r="S38">
        <f>IF(R38&lt;&gt;"Y","",MAX(0,(1-O38/'01_설정'!$B$5))*'01_설정'!$B$14+MAX(0,(1-P38/'01_설정'!$B$7))*'01_설정'!$B$16+MAX(0,(1-Q38/'01_설정'!$B$8))*'01_설정'!$B$17+L38*'01_설정'!$B$11+M38*'01_설정'!$B$12+N38*50)</f>
        <v/>
      </c>
      <c r="T38">
        <f>IF(S38="","",1+COUNTIFS($S$31:$S$1030,"&gt;"&amp;S38)+COUNTIFS($S$31:S38,S38)-1)</f>
        <v/>
      </c>
    </row>
    <row r="39" hidden="1" ht="16.5" customHeight="1">
      <c r="A39">
        <f>IF(COUNTA('05_KAPA'!$A10:$AO10)=0,"",12)</f>
        <v/>
      </c>
      <c r="B39">
        <f>IF($A39="","",INDEX('05_KAPA'!$B:$B,$A39))</f>
        <v/>
      </c>
      <c r="C39">
        <f>IF($A39="","",INDEX('05_KAPA'!$F:$F,$A39))</f>
        <v/>
      </c>
      <c r="D39">
        <f>IF($A39="","",INDEX('05_KAPA'!$H:$H,$A39))</f>
        <v/>
      </c>
      <c r="E39">
        <f>IF($A39="","",INDEX('05_KAPA'!$K:$K,$A39))</f>
        <v/>
      </c>
      <c r="F39">
        <f>IF($A39="","",INDEX('05_KAPA'!$L:$L,$A39))</f>
        <v/>
      </c>
      <c r="G39">
        <f>IF($A39="","",INDEX('05_KAPA'!$I:$I,$A39))</f>
        <v/>
      </c>
      <c r="H39" s="202">
        <f>IF($A39="","",INDEX('05_KAPA'!$P:$P,$A39))</f>
        <v/>
      </c>
      <c r="I39" s="118">
        <f>IF($A39="","",INDEX('05_KAPA'!$O:$O,$A39))</f>
        <v/>
      </c>
      <c r="J39" s="202">
        <f>IF($A39="","",IFERROR(DATE(LEFT(TEXT(INDEX('05_KAPA'!$T:$T,$A39),"0"),4),MID(TEXT(INDEX('05_KAPA'!$T:$T,$A39),"0"),5,2),RIGHT(TEXT(INDEX('05_KAPA'!$T:$T,$A39),"0"),2)),""))</f>
        <v/>
      </c>
      <c r="K39">
        <f>IF(C39="","",IF('02_대상물건입력'!$B$5="",1,IF(ISNUMBER(SEARCH('02_대상물건입력'!$B$5,C39)),1,0)))</f>
        <v/>
      </c>
      <c r="L39">
        <f>IF(C39="","",IF('02_대상물건입력'!$B$6="",1,IF(ISNUMBER(SEARCH('02_대상물건입력'!$B$6,C39)),1,0)))</f>
        <v/>
      </c>
      <c r="M39">
        <f>IF(E39="","",IF('02_대상물건입력'!$B$8="",0,IF(ISNUMBER(SEARCH('02_대상물건입력'!$B$8,E39)),1,0)))</f>
        <v/>
      </c>
      <c r="N39">
        <f>IF(B39="","",IF(B39="담보",1,0))</f>
        <v/>
      </c>
      <c r="O39">
        <f>IFERROR(ABS(G39-'02_대상물건입력'!$B$11)/'02_대상물건입력'!$B$11,"")</f>
        <v/>
      </c>
      <c r="P39">
        <f>IFERROR(ABS('01_설정'!$B$4-H39),"")</f>
        <v/>
      </c>
      <c r="Q39">
        <f>IFERROR(ABS(YEAR(J39)-YEAR('02_대상물건입력'!$B$14)),"")</f>
        <v/>
      </c>
      <c r="R39">
        <f>IF(AND(G39&gt;0,H39&gt;0,I39&gt;0,N39=1,IF('01_설정'!$B$10=1,K39=1,TRUE()),O39&lt;='01_설정'!$B$5,P39&lt;='01_설정'!$B$7,Q39&lt;='01_설정'!$B$8),"Y","")</f>
        <v/>
      </c>
      <c r="S39">
        <f>IF(R39&lt;&gt;"Y","",MAX(0,(1-O39/'01_설정'!$B$5))*'01_설정'!$B$14+MAX(0,(1-P39/'01_설정'!$B$7))*'01_설정'!$B$16+MAX(0,(1-Q39/'01_설정'!$B$8))*'01_설정'!$B$17+L39*'01_설정'!$B$11+M39*'01_설정'!$B$12+N39*50)</f>
        <v/>
      </c>
      <c r="T39">
        <f>IF(S39="","",1+COUNTIFS($S$31:$S$1030,"&gt;"&amp;S39)+COUNTIFS($S$31:S39,S39)-1)</f>
        <v/>
      </c>
    </row>
    <row r="40" hidden="1" ht="16.5" customHeight="1">
      <c r="A40">
        <f>IF(COUNTA('05_KAPA'!$A11:$AO11)=0,"",13)</f>
        <v/>
      </c>
      <c r="B40">
        <f>IF($A40="","",INDEX('05_KAPA'!$B:$B,$A40))</f>
        <v/>
      </c>
      <c r="C40">
        <f>IF($A40="","",INDEX('05_KAPA'!$F:$F,$A40))</f>
        <v/>
      </c>
      <c r="D40">
        <f>IF($A40="","",INDEX('05_KAPA'!$H:$H,$A40))</f>
        <v/>
      </c>
      <c r="E40">
        <f>IF($A40="","",INDEX('05_KAPA'!$K:$K,$A40))</f>
        <v/>
      </c>
      <c r="F40">
        <f>IF($A40="","",INDEX('05_KAPA'!$L:$L,$A40))</f>
        <v/>
      </c>
      <c r="G40">
        <f>IF($A40="","",INDEX('05_KAPA'!$I:$I,$A40))</f>
        <v/>
      </c>
      <c r="H40" s="202">
        <f>IF($A40="","",INDEX('05_KAPA'!$P:$P,$A40))</f>
        <v/>
      </c>
      <c r="I40" s="118">
        <f>IF($A40="","",INDEX('05_KAPA'!$O:$O,$A40))</f>
        <v/>
      </c>
      <c r="J40" s="202">
        <f>IF($A40="","",IFERROR(DATE(LEFT(TEXT(INDEX('05_KAPA'!$T:$T,$A40),"0"),4),MID(TEXT(INDEX('05_KAPA'!$T:$T,$A40),"0"),5,2),RIGHT(TEXT(INDEX('05_KAPA'!$T:$T,$A40),"0"),2)),""))</f>
        <v/>
      </c>
      <c r="K40">
        <f>IF(C40="","",IF('02_대상물건입력'!$B$5="",1,IF(ISNUMBER(SEARCH('02_대상물건입력'!$B$5,C40)),1,0)))</f>
        <v/>
      </c>
      <c r="L40">
        <f>IF(C40="","",IF('02_대상물건입력'!$B$6="",1,IF(ISNUMBER(SEARCH('02_대상물건입력'!$B$6,C40)),1,0)))</f>
        <v/>
      </c>
      <c r="M40">
        <f>IF(E40="","",IF('02_대상물건입력'!$B$8="",0,IF(ISNUMBER(SEARCH('02_대상물건입력'!$B$8,E40)),1,0)))</f>
        <v/>
      </c>
      <c r="N40">
        <f>IF(B40="","",IF(B40="담보",1,0))</f>
        <v/>
      </c>
      <c r="O40">
        <f>IFERROR(ABS(G40-'02_대상물건입력'!$B$11)/'02_대상물건입력'!$B$11,"")</f>
        <v/>
      </c>
      <c r="P40">
        <f>IFERROR(ABS('01_설정'!$B$4-H40),"")</f>
        <v/>
      </c>
      <c r="Q40">
        <f>IFERROR(ABS(YEAR(J40)-YEAR('02_대상물건입력'!$B$14)),"")</f>
        <v/>
      </c>
      <c r="R40">
        <f>IF(AND(G40&gt;0,H40&gt;0,I40&gt;0,N40=1,IF('01_설정'!$B$10=1,K40=1,TRUE()),O40&lt;='01_설정'!$B$5,P40&lt;='01_설정'!$B$7,Q40&lt;='01_설정'!$B$8),"Y","")</f>
        <v/>
      </c>
      <c r="S40">
        <f>IF(R40&lt;&gt;"Y","",MAX(0,(1-O40/'01_설정'!$B$5))*'01_설정'!$B$14+MAX(0,(1-P40/'01_설정'!$B$7))*'01_설정'!$B$16+MAX(0,(1-Q40/'01_설정'!$B$8))*'01_설정'!$B$17+L40*'01_설정'!$B$11+M40*'01_설정'!$B$12+N40*50)</f>
        <v/>
      </c>
      <c r="T40">
        <f>IF(S40="","",1+COUNTIFS($S$31:$S$1030,"&gt;"&amp;S40)+COUNTIFS($S$31:S40,S40)-1)</f>
        <v/>
      </c>
    </row>
    <row r="41" hidden="1" ht="16.5" customHeight="1">
      <c r="A41">
        <f>IF(COUNTA('05_KAPA'!$A12:$AO12)=0,"",14)</f>
        <v/>
      </c>
      <c r="B41">
        <f>IF($A41="","",INDEX('05_KAPA'!$B:$B,$A41))</f>
        <v/>
      </c>
      <c r="C41">
        <f>IF($A41="","",INDEX('05_KAPA'!$F:$F,$A41))</f>
        <v/>
      </c>
      <c r="D41">
        <f>IF($A41="","",INDEX('05_KAPA'!$H:$H,$A41))</f>
        <v/>
      </c>
      <c r="E41">
        <f>IF($A41="","",INDEX('05_KAPA'!$K:$K,$A41))</f>
        <v/>
      </c>
      <c r="F41">
        <f>IF($A41="","",INDEX('05_KAPA'!$L:$L,$A41))</f>
        <v/>
      </c>
      <c r="G41">
        <f>IF($A41="","",INDEX('05_KAPA'!$I:$I,$A41))</f>
        <v/>
      </c>
      <c r="H41" s="202">
        <f>IF($A41="","",INDEX('05_KAPA'!$P:$P,$A41))</f>
        <v/>
      </c>
      <c r="I41" s="118">
        <f>IF($A41="","",INDEX('05_KAPA'!$O:$O,$A41))</f>
        <v/>
      </c>
      <c r="J41" s="202">
        <f>IF($A41="","",IFERROR(DATE(LEFT(TEXT(INDEX('05_KAPA'!$T:$T,$A41),"0"),4),MID(TEXT(INDEX('05_KAPA'!$T:$T,$A41),"0"),5,2),RIGHT(TEXT(INDEX('05_KAPA'!$T:$T,$A41),"0"),2)),""))</f>
        <v/>
      </c>
      <c r="K41">
        <f>IF(C41="","",IF('02_대상물건입력'!$B$5="",1,IF(ISNUMBER(SEARCH('02_대상물건입력'!$B$5,C41)),1,0)))</f>
        <v/>
      </c>
      <c r="L41">
        <f>IF(C41="","",IF('02_대상물건입력'!$B$6="",1,IF(ISNUMBER(SEARCH('02_대상물건입력'!$B$6,C41)),1,0)))</f>
        <v/>
      </c>
      <c r="M41">
        <f>IF(E41="","",IF('02_대상물건입력'!$B$8="",0,IF(ISNUMBER(SEARCH('02_대상물건입력'!$B$8,E41)),1,0)))</f>
        <v/>
      </c>
      <c r="N41">
        <f>IF(B41="","",IF(B41="담보",1,0))</f>
        <v/>
      </c>
      <c r="O41">
        <f>IFERROR(ABS(G41-'02_대상물건입력'!$B$11)/'02_대상물건입력'!$B$11,"")</f>
        <v/>
      </c>
      <c r="P41">
        <f>IFERROR(ABS('01_설정'!$B$4-H41),"")</f>
        <v/>
      </c>
      <c r="Q41">
        <f>IFERROR(ABS(YEAR(J41)-YEAR('02_대상물건입력'!$B$14)),"")</f>
        <v/>
      </c>
      <c r="R41">
        <f>IF(AND(G41&gt;0,H41&gt;0,I41&gt;0,N41=1,IF('01_설정'!$B$10=1,K41=1,TRUE()),O41&lt;='01_설정'!$B$5,P41&lt;='01_설정'!$B$7,Q41&lt;='01_설정'!$B$8),"Y","")</f>
        <v/>
      </c>
      <c r="S41">
        <f>IF(R41&lt;&gt;"Y","",MAX(0,(1-O41/'01_설정'!$B$5))*'01_설정'!$B$14+MAX(0,(1-P41/'01_설정'!$B$7))*'01_설정'!$B$16+MAX(0,(1-Q41/'01_설정'!$B$8))*'01_설정'!$B$17+L41*'01_설정'!$B$11+M41*'01_설정'!$B$12+N41*50)</f>
        <v/>
      </c>
      <c r="T41">
        <f>IF(S41="","",1+COUNTIFS($S$31:$S$1030,"&gt;"&amp;S41)+COUNTIFS($S$31:S41,S41)-1)</f>
        <v/>
      </c>
    </row>
    <row r="42" hidden="1" ht="16.5" customHeight="1">
      <c r="A42">
        <f>IF(COUNTA('05_KAPA'!$A13:$AO13)=0,"",15)</f>
        <v/>
      </c>
      <c r="B42">
        <f>IF($A42="","",INDEX('05_KAPA'!$B:$B,$A42))</f>
        <v/>
      </c>
      <c r="C42">
        <f>IF($A42="","",INDEX('05_KAPA'!$F:$F,$A42))</f>
        <v/>
      </c>
      <c r="D42">
        <f>IF($A42="","",INDEX('05_KAPA'!$H:$H,$A42))</f>
        <v/>
      </c>
      <c r="E42">
        <f>IF($A42="","",INDEX('05_KAPA'!$K:$K,$A42))</f>
        <v/>
      </c>
      <c r="F42">
        <f>IF($A42="","",INDEX('05_KAPA'!$L:$L,$A42))</f>
        <v/>
      </c>
      <c r="G42">
        <f>IF($A42="","",INDEX('05_KAPA'!$I:$I,$A42))</f>
        <v/>
      </c>
      <c r="H42" s="202">
        <f>IF($A42="","",INDEX('05_KAPA'!$P:$P,$A42))</f>
        <v/>
      </c>
      <c r="I42" s="118">
        <f>IF($A42="","",INDEX('05_KAPA'!$O:$O,$A42))</f>
        <v/>
      </c>
      <c r="J42" s="202">
        <f>IF($A42="","",IFERROR(DATE(LEFT(TEXT(INDEX('05_KAPA'!$T:$T,$A42),"0"),4),MID(TEXT(INDEX('05_KAPA'!$T:$T,$A42),"0"),5,2),RIGHT(TEXT(INDEX('05_KAPA'!$T:$T,$A42),"0"),2)),""))</f>
        <v/>
      </c>
      <c r="K42">
        <f>IF(C42="","",IF('02_대상물건입력'!$B$5="",1,IF(ISNUMBER(SEARCH('02_대상물건입력'!$B$5,C42)),1,0)))</f>
        <v/>
      </c>
      <c r="L42">
        <f>IF(C42="","",IF('02_대상물건입력'!$B$6="",1,IF(ISNUMBER(SEARCH('02_대상물건입력'!$B$6,C42)),1,0)))</f>
        <v/>
      </c>
      <c r="M42">
        <f>IF(E42="","",IF('02_대상물건입력'!$B$8="",0,IF(ISNUMBER(SEARCH('02_대상물건입력'!$B$8,E42)),1,0)))</f>
        <v/>
      </c>
      <c r="N42">
        <f>IF(B42="","",IF(B42="담보",1,0))</f>
        <v/>
      </c>
      <c r="O42">
        <f>IFERROR(ABS(G42-'02_대상물건입력'!$B$11)/'02_대상물건입력'!$B$11,"")</f>
        <v/>
      </c>
      <c r="P42">
        <f>IFERROR(ABS('01_설정'!$B$4-H42),"")</f>
        <v/>
      </c>
      <c r="Q42">
        <f>IFERROR(ABS(YEAR(J42)-YEAR('02_대상물건입력'!$B$14)),"")</f>
        <v/>
      </c>
      <c r="R42">
        <f>IF(AND(G42&gt;0,H42&gt;0,I42&gt;0,N42=1,IF('01_설정'!$B$10=1,K42=1,TRUE()),O42&lt;='01_설정'!$B$5,P42&lt;='01_설정'!$B$7,Q42&lt;='01_설정'!$B$8),"Y","")</f>
        <v/>
      </c>
      <c r="S42">
        <f>IF(R42&lt;&gt;"Y","",MAX(0,(1-O42/'01_설정'!$B$5))*'01_설정'!$B$14+MAX(0,(1-P42/'01_설정'!$B$7))*'01_설정'!$B$16+MAX(0,(1-Q42/'01_설정'!$B$8))*'01_설정'!$B$17+L42*'01_설정'!$B$11+M42*'01_설정'!$B$12+N42*50)</f>
        <v/>
      </c>
      <c r="T42">
        <f>IF(S42="","",1+COUNTIFS($S$31:$S$1030,"&gt;"&amp;S42)+COUNTIFS($S$31:S42,S42)-1)</f>
        <v/>
      </c>
    </row>
    <row r="43" hidden="1" ht="16.5" customHeight="1">
      <c r="A43">
        <f>IF(COUNTA('05_KAPA'!$A14:$AO14)=0,"",16)</f>
        <v/>
      </c>
      <c r="B43">
        <f>IF($A43="","",INDEX('05_KAPA'!$B:$B,$A43))</f>
        <v/>
      </c>
      <c r="C43">
        <f>IF($A43="","",INDEX('05_KAPA'!$F:$F,$A43))</f>
        <v/>
      </c>
      <c r="D43">
        <f>IF($A43="","",INDEX('05_KAPA'!$H:$H,$A43))</f>
        <v/>
      </c>
      <c r="E43">
        <f>IF($A43="","",INDEX('05_KAPA'!$K:$K,$A43))</f>
        <v/>
      </c>
      <c r="F43">
        <f>IF($A43="","",INDEX('05_KAPA'!$L:$L,$A43))</f>
        <v/>
      </c>
      <c r="G43">
        <f>IF($A43="","",INDEX('05_KAPA'!$I:$I,$A43))</f>
        <v/>
      </c>
      <c r="H43" s="202">
        <f>IF($A43="","",INDEX('05_KAPA'!$P:$P,$A43))</f>
        <v/>
      </c>
      <c r="I43" s="118">
        <f>IF($A43="","",INDEX('05_KAPA'!$O:$O,$A43))</f>
        <v/>
      </c>
      <c r="J43" s="202">
        <f>IF($A43="","",IFERROR(DATE(LEFT(TEXT(INDEX('05_KAPA'!$T:$T,$A43),"0"),4),MID(TEXT(INDEX('05_KAPA'!$T:$T,$A43),"0"),5,2),RIGHT(TEXT(INDEX('05_KAPA'!$T:$T,$A43),"0"),2)),""))</f>
        <v/>
      </c>
      <c r="K43">
        <f>IF(C43="","",IF('02_대상물건입력'!$B$5="",1,IF(ISNUMBER(SEARCH('02_대상물건입력'!$B$5,C43)),1,0)))</f>
        <v/>
      </c>
      <c r="L43">
        <f>IF(C43="","",IF('02_대상물건입력'!$B$6="",1,IF(ISNUMBER(SEARCH('02_대상물건입력'!$B$6,C43)),1,0)))</f>
        <v/>
      </c>
      <c r="M43">
        <f>IF(E43="","",IF('02_대상물건입력'!$B$8="",0,IF(ISNUMBER(SEARCH('02_대상물건입력'!$B$8,E43)),1,0)))</f>
        <v/>
      </c>
      <c r="N43">
        <f>IF(B43="","",IF(B43="담보",1,0))</f>
        <v/>
      </c>
      <c r="O43">
        <f>IFERROR(ABS(G43-'02_대상물건입력'!$B$11)/'02_대상물건입력'!$B$11,"")</f>
        <v/>
      </c>
      <c r="P43">
        <f>IFERROR(ABS('01_설정'!$B$4-H43),"")</f>
        <v/>
      </c>
      <c r="Q43">
        <f>IFERROR(ABS(YEAR(J43)-YEAR('02_대상물건입력'!$B$14)),"")</f>
        <v/>
      </c>
      <c r="R43">
        <f>IF(AND(G43&gt;0,H43&gt;0,I43&gt;0,N43=1,IF('01_설정'!$B$10=1,K43=1,TRUE()),O43&lt;='01_설정'!$B$5,P43&lt;='01_설정'!$B$7,Q43&lt;='01_설정'!$B$8),"Y","")</f>
        <v/>
      </c>
      <c r="S43">
        <f>IF(R43&lt;&gt;"Y","",MAX(0,(1-O43/'01_설정'!$B$5))*'01_설정'!$B$14+MAX(0,(1-P43/'01_설정'!$B$7))*'01_설정'!$B$16+MAX(0,(1-Q43/'01_설정'!$B$8))*'01_설정'!$B$17+L43*'01_설정'!$B$11+M43*'01_설정'!$B$12+N43*50)</f>
        <v/>
      </c>
      <c r="T43">
        <f>IF(S43="","",1+COUNTIFS($S$31:$S$1030,"&gt;"&amp;S43)+COUNTIFS($S$31:S43,S43)-1)</f>
        <v/>
      </c>
    </row>
    <row r="44" hidden="1" ht="16.5" customHeight="1">
      <c r="A44">
        <f>IF(COUNTA('05_KAPA'!$A15:$AO15)=0,"",17)</f>
        <v/>
      </c>
      <c r="B44">
        <f>IF($A44="","",INDEX('05_KAPA'!$B:$B,$A44))</f>
        <v/>
      </c>
      <c r="C44">
        <f>IF($A44="","",INDEX('05_KAPA'!$F:$F,$A44))</f>
        <v/>
      </c>
      <c r="D44">
        <f>IF($A44="","",INDEX('05_KAPA'!$H:$H,$A44))</f>
        <v/>
      </c>
      <c r="E44">
        <f>IF($A44="","",INDEX('05_KAPA'!$K:$K,$A44))</f>
        <v/>
      </c>
      <c r="F44">
        <f>IF($A44="","",INDEX('05_KAPA'!$L:$L,$A44))</f>
        <v/>
      </c>
      <c r="G44">
        <f>IF($A44="","",INDEX('05_KAPA'!$I:$I,$A44))</f>
        <v/>
      </c>
      <c r="H44" s="202">
        <f>IF($A44="","",INDEX('05_KAPA'!$P:$P,$A44))</f>
        <v/>
      </c>
      <c r="I44" s="118">
        <f>IF($A44="","",INDEX('05_KAPA'!$O:$O,$A44))</f>
        <v/>
      </c>
      <c r="J44" s="202">
        <f>IF($A44="","",IFERROR(DATE(LEFT(TEXT(INDEX('05_KAPA'!$T:$T,$A44),"0"),4),MID(TEXT(INDEX('05_KAPA'!$T:$T,$A44),"0"),5,2),RIGHT(TEXT(INDEX('05_KAPA'!$T:$T,$A44),"0"),2)),""))</f>
        <v/>
      </c>
      <c r="K44">
        <f>IF(C44="","",IF('02_대상물건입력'!$B$5="",1,IF(ISNUMBER(SEARCH('02_대상물건입력'!$B$5,C44)),1,0)))</f>
        <v/>
      </c>
      <c r="L44">
        <f>IF(C44="","",IF('02_대상물건입력'!$B$6="",1,IF(ISNUMBER(SEARCH('02_대상물건입력'!$B$6,C44)),1,0)))</f>
        <v/>
      </c>
      <c r="M44">
        <f>IF(E44="","",IF('02_대상물건입력'!$B$8="",0,IF(ISNUMBER(SEARCH('02_대상물건입력'!$B$8,E44)),1,0)))</f>
        <v/>
      </c>
      <c r="N44">
        <f>IF(B44="","",IF(B44="담보",1,0))</f>
        <v/>
      </c>
      <c r="O44">
        <f>IFERROR(ABS(G44-'02_대상물건입력'!$B$11)/'02_대상물건입력'!$B$11,"")</f>
        <v/>
      </c>
      <c r="P44">
        <f>IFERROR(ABS('01_설정'!$B$4-H44),"")</f>
        <v/>
      </c>
      <c r="Q44">
        <f>IFERROR(ABS(YEAR(J44)-YEAR('02_대상물건입력'!$B$14)),"")</f>
        <v/>
      </c>
      <c r="R44">
        <f>IF(AND(G44&gt;0,H44&gt;0,I44&gt;0,N44=1,IF('01_설정'!$B$10=1,K44=1,TRUE()),O44&lt;='01_설정'!$B$5,P44&lt;='01_설정'!$B$7,Q44&lt;='01_설정'!$B$8),"Y","")</f>
        <v/>
      </c>
      <c r="S44">
        <f>IF(R44&lt;&gt;"Y","",MAX(0,(1-O44/'01_설정'!$B$5))*'01_설정'!$B$14+MAX(0,(1-P44/'01_설정'!$B$7))*'01_설정'!$B$16+MAX(0,(1-Q44/'01_설정'!$B$8))*'01_설정'!$B$17+L44*'01_설정'!$B$11+M44*'01_설정'!$B$12+N44*50)</f>
        <v/>
      </c>
      <c r="T44">
        <f>IF(S44="","",1+COUNTIFS($S$31:$S$1030,"&gt;"&amp;S44)+COUNTIFS($S$31:S44,S44)-1)</f>
        <v/>
      </c>
    </row>
    <row r="45" hidden="1" ht="16.5" customHeight="1">
      <c r="A45">
        <f>IF(COUNTA('05_KAPA'!$A16:$AO16)=0,"",18)</f>
        <v/>
      </c>
      <c r="B45">
        <f>IF($A45="","",INDEX('05_KAPA'!$B:$B,$A45))</f>
        <v/>
      </c>
      <c r="C45">
        <f>IF($A45="","",INDEX('05_KAPA'!$F:$F,$A45))</f>
        <v/>
      </c>
      <c r="D45">
        <f>IF($A45="","",INDEX('05_KAPA'!$H:$H,$A45))</f>
        <v/>
      </c>
      <c r="E45">
        <f>IF($A45="","",INDEX('05_KAPA'!$K:$K,$A45))</f>
        <v/>
      </c>
      <c r="F45">
        <f>IF($A45="","",INDEX('05_KAPA'!$L:$L,$A45))</f>
        <v/>
      </c>
      <c r="G45">
        <f>IF($A45="","",INDEX('05_KAPA'!$I:$I,$A45))</f>
        <v/>
      </c>
      <c r="H45" s="202">
        <f>IF($A45="","",INDEX('05_KAPA'!$P:$P,$A45))</f>
        <v/>
      </c>
      <c r="I45" s="118">
        <f>IF($A45="","",INDEX('05_KAPA'!$O:$O,$A45))</f>
        <v/>
      </c>
      <c r="J45" s="202">
        <f>IF($A45="","",IFERROR(DATE(LEFT(TEXT(INDEX('05_KAPA'!$T:$T,$A45),"0"),4),MID(TEXT(INDEX('05_KAPA'!$T:$T,$A45),"0"),5,2),RIGHT(TEXT(INDEX('05_KAPA'!$T:$T,$A45),"0"),2)),""))</f>
        <v/>
      </c>
      <c r="K45">
        <f>IF(C45="","",IF('02_대상물건입력'!$B$5="",1,IF(ISNUMBER(SEARCH('02_대상물건입력'!$B$5,C45)),1,0)))</f>
        <v/>
      </c>
      <c r="L45">
        <f>IF(C45="","",IF('02_대상물건입력'!$B$6="",1,IF(ISNUMBER(SEARCH('02_대상물건입력'!$B$6,C45)),1,0)))</f>
        <v/>
      </c>
      <c r="M45">
        <f>IF(E45="","",IF('02_대상물건입력'!$B$8="",0,IF(ISNUMBER(SEARCH('02_대상물건입력'!$B$8,E45)),1,0)))</f>
        <v/>
      </c>
      <c r="N45">
        <f>IF(B45="","",IF(B45="담보",1,0))</f>
        <v/>
      </c>
      <c r="O45">
        <f>IFERROR(ABS(G45-'02_대상물건입력'!$B$11)/'02_대상물건입력'!$B$11,"")</f>
        <v/>
      </c>
      <c r="P45">
        <f>IFERROR(ABS('01_설정'!$B$4-H45),"")</f>
        <v/>
      </c>
      <c r="Q45">
        <f>IFERROR(ABS(YEAR(J45)-YEAR('02_대상물건입력'!$B$14)),"")</f>
        <v/>
      </c>
      <c r="R45">
        <f>IF(AND(G45&gt;0,H45&gt;0,I45&gt;0,N45=1,IF('01_설정'!$B$10=1,K45=1,TRUE()),O45&lt;='01_설정'!$B$5,P45&lt;='01_설정'!$B$7,Q45&lt;='01_설정'!$B$8),"Y","")</f>
        <v/>
      </c>
      <c r="S45">
        <f>IF(R45&lt;&gt;"Y","",MAX(0,(1-O45/'01_설정'!$B$5))*'01_설정'!$B$14+MAX(0,(1-P45/'01_설정'!$B$7))*'01_설정'!$B$16+MAX(0,(1-Q45/'01_설정'!$B$8))*'01_설정'!$B$17+L45*'01_설정'!$B$11+M45*'01_설정'!$B$12+N45*50)</f>
        <v/>
      </c>
      <c r="T45">
        <f>IF(S45="","",1+COUNTIFS($S$31:$S$1030,"&gt;"&amp;S45)+COUNTIFS($S$31:S45,S45)-1)</f>
        <v/>
      </c>
    </row>
    <row r="46" hidden="1" ht="16.5" customHeight="1">
      <c r="A46">
        <f>IF(COUNTA('05_KAPA'!$A17:$AO17)=0,"",19)</f>
        <v/>
      </c>
      <c r="B46">
        <f>IF($A46="","",INDEX('05_KAPA'!$B:$B,$A46))</f>
        <v/>
      </c>
      <c r="C46">
        <f>IF($A46="","",INDEX('05_KAPA'!$F:$F,$A46))</f>
        <v/>
      </c>
      <c r="D46">
        <f>IF($A46="","",INDEX('05_KAPA'!$H:$H,$A46))</f>
        <v/>
      </c>
      <c r="E46">
        <f>IF($A46="","",INDEX('05_KAPA'!$K:$K,$A46))</f>
        <v/>
      </c>
      <c r="F46">
        <f>IF($A46="","",INDEX('05_KAPA'!$L:$L,$A46))</f>
        <v/>
      </c>
      <c r="G46">
        <f>IF($A46="","",INDEX('05_KAPA'!$I:$I,$A46))</f>
        <v/>
      </c>
      <c r="H46" s="202">
        <f>IF($A46="","",INDEX('05_KAPA'!$P:$P,$A46))</f>
        <v/>
      </c>
      <c r="I46" s="118">
        <f>IF($A46="","",INDEX('05_KAPA'!$O:$O,$A46))</f>
        <v/>
      </c>
      <c r="J46" s="202">
        <f>IF($A46="","",IFERROR(DATE(LEFT(TEXT(INDEX('05_KAPA'!$T:$T,$A46),"0"),4),MID(TEXT(INDEX('05_KAPA'!$T:$T,$A46),"0"),5,2),RIGHT(TEXT(INDEX('05_KAPA'!$T:$T,$A46),"0"),2)),""))</f>
        <v/>
      </c>
      <c r="K46">
        <f>IF(C46="","",IF('02_대상물건입력'!$B$5="",1,IF(ISNUMBER(SEARCH('02_대상물건입력'!$B$5,C46)),1,0)))</f>
        <v/>
      </c>
      <c r="L46">
        <f>IF(C46="","",IF('02_대상물건입력'!$B$6="",1,IF(ISNUMBER(SEARCH('02_대상물건입력'!$B$6,C46)),1,0)))</f>
        <v/>
      </c>
      <c r="M46">
        <f>IF(E46="","",IF('02_대상물건입력'!$B$8="",0,IF(ISNUMBER(SEARCH('02_대상물건입력'!$B$8,E46)),1,0)))</f>
        <v/>
      </c>
      <c r="N46">
        <f>IF(B46="","",IF(B46="담보",1,0))</f>
        <v/>
      </c>
      <c r="O46">
        <f>IFERROR(ABS(G46-'02_대상물건입력'!$B$11)/'02_대상물건입력'!$B$11,"")</f>
        <v/>
      </c>
      <c r="P46">
        <f>IFERROR(ABS('01_설정'!$B$4-H46),"")</f>
        <v/>
      </c>
      <c r="Q46">
        <f>IFERROR(ABS(YEAR(J46)-YEAR('02_대상물건입력'!$B$14)),"")</f>
        <v/>
      </c>
      <c r="R46">
        <f>IF(AND(G46&gt;0,H46&gt;0,I46&gt;0,N46=1,IF('01_설정'!$B$10=1,K46=1,TRUE()),O46&lt;='01_설정'!$B$5,P46&lt;='01_설정'!$B$7,Q46&lt;='01_설정'!$B$8),"Y","")</f>
        <v/>
      </c>
      <c r="S46">
        <f>IF(R46&lt;&gt;"Y","",MAX(0,(1-O46/'01_설정'!$B$5))*'01_설정'!$B$14+MAX(0,(1-P46/'01_설정'!$B$7))*'01_설정'!$B$16+MAX(0,(1-Q46/'01_설정'!$B$8))*'01_설정'!$B$17+L46*'01_설정'!$B$11+M46*'01_설정'!$B$12+N46*50)</f>
        <v/>
      </c>
      <c r="T46">
        <f>IF(S46="","",1+COUNTIFS($S$31:$S$1030,"&gt;"&amp;S46)+COUNTIFS($S$31:S46,S46)-1)</f>
        <v/>
      </c>
    </row>
    <row r="47" hidden="1" ht="16.5" customHeight="1">
      <c r="A47">
        <f>IF(COUNTA('05_KAPA'!$A18:$AO18)=0,"",20)</f>
        <v/>
      </c>
      <c r="B47">
        <f>IF($A47="","",INDEX('05_KAPA'!$B:$B,$A47))</f>
        <v/>
      </c>
      <c r="C47">
        <f>IF($A47="","",INDEX('05_KAPA'!$F:$F,$A47))</f>
        <v/>
      </c>
      <c r="D47">
        <f>IF($A47="","",INDEX('05_KAPA'!$H:$H,$A47))</f>
        <v/>
      </c>
      <c r="E47">
        <f>IF($A47="","",INDEX('05_KAPA'!$K:$K,$A47))</f>
        <v/>
      </c>
      <c r="F47">
        <f>IF($A47="","",INDEX('05_KAPA'!$L:$L,$A47))</f>
        <v/>
      </c>
      <c r="G47">
        <f>IF($A47="","",INDEX('05_KAPA'!$I:$I,$A47))</f>
        <v/>
      </c>
      <c r="H47" s="202">
        <f>IF($A47="","",INDEX('05_KAPA'!$P:$P,$A47))</f>
        <v/>
      </c>
      <c r="I47" s="118">
        <f>IF($A47="","",INDEX('05_KAPA'!$O:$O,$A47))</f>
        <v/>
      </c>
      <c r="J47" s="202">
        <f>IF($A47="","",IFERROR(DATE(LEFT(TEXT(INDEX('05_KAPA'!$T:$T,$A47),"0"),4),MID(TEXT(INDEX('05_KAPA'!$T:$T,$A47),"0"),5,2),RIGHT(TEXT(INDEX('05_KAPA'!$T:$T,$A47),"0"),2)),""))</f>
        <v/>
      </c>
      <c r="K47">
        <f>IF(C47="","",IF('02_대상물건입력'!$B$5="",1,IF(ISNUMBER(SEARCH('02_대상물건입력'!$B$5,C47)),1,0)))</f>
        <v/>
      </c>
      <c r="L47">
        <f>IF(C47="","",IF('02_대상물건입력'!$B$6="",1,IF(ISNUMBER(SEARCH('02_대상물건입력'!$B$6,C47)),1,0)))</f>
        <v/>
      </c>
      <c r="M47">
        <f>IF(E47="","",IF('02_대상물건입력'!$B$8="",0,IF(ISNUMBER(SEARCH('02_대상물건입력'!$B$8,E47)),1,0)))</f>
        <v/>
      </c>
      <c r="N47">
        <f>IF(B47="","",IF(B47="담보",1,0))</f>
        <v/>
      </c>
      <c r="O47">
        <f>IFERROR(ABS(G47-'02_대상물건입력'!$B$11)/'02_대상물건입력'!$B$11,"")</f>
        <v/>
      </c>
      <c r="P47">
        <f>IFERROR(ABS('01_설정'!$B$4-H47),"")</f>
        <v/>
      </c>
      <c r="Q47">
        <f>IFERROR(ABS(YEAR(J47)-YEAR('02_대상물건입력'!$B$14)),"")</f>
        <v/>
      </c>
      <c r="R47">
        <f>IF(AND(G47&gt;0,H47&gt;0,I47&gt;0,N47=1,IF('01_설정'!$B$10=1,K47=1,TRUE()),O47&lt;='01_설정'!$B$5,P47&lt;='01_설정'!$B$7,Q47&lt;='01_설정'!$B$8),"Y","")</f>
        <v/>
      </c>
      <c r="S47">
        <f>IF(R47&lt;&gt;"Y","",MAX(0,(1-O47/'01_설정'!$B$5))*'01_설정'!$B$14+MAX(0,(1-P47/'01_설정'!$B$7))*'01_설정'!$B$16+MAX(0,(1-Q47/'01_설정'!$B$8))*'01_설정'!$B$17+L47*'01_설정'!$B$11+M47*'01_설정'!$B$12+N47*50)</f>
        <v/>
      </c>
      <c r="T47">
        <f>IF(S47="","",1+COUNTIFS($S$31:$S$1030,"&gt;"&amp;S47)+COUNTIFS($S$31:S47,S47)-1)</f>
        <v/>
      </c>
    </row>
    <row r="48" hidden="1" ht="16.5" customHeight="1">
      <c r="A48">
        <f>IF(COUNTA('05_KAPA'!$A19:$AO19)=0,"",21)</f>
        <v/>
      </c>
      <c r="B48">
        <f>IF($A48="","",INDEX('05_KAPA'!$B:$B,$A48))</f>
        <v/>
      </c>
      <c r="C48">
        <f>IF($A48="","",INDEX('05_KAPA'!$F:$F,$A48))</f>
        <v/>
      </c>
      <c r="D48">
        <f>IF($A48="","",INDEX('05_KAPA'!$H:$H,$A48))</f>
        <v/>
      </c>
      <c r="E48">
        <f>IF($A48="","",INDEX('05_KAPA'!$K:$K,$A48))</f>
        <v/>
      </c>
      <c r="F48">
        <f>IF($A48="","",INDEX('05_KAPA'!$L:$L,$A48))</f>
        <v/>
      </c>
      <c r="G48">
        <f>IF($A48="","",INDEX('05_KAPA'!$I:$I,$A48))</f>
        <v/>
      </c>
      <c r="H48" s="202">
        <f>IF($A48="","",INDEX('05_KAPA'!$P:$P,$A48))</f>
        <v/>
      </c>
      <c r="I48" s="118">
        <f>IF($A48="","",INDEX('05_KAPA'!$O:$O,$A48))</f>
        <v/>
      </c>
      <c r="J48" s="202">
        <f>IF($A48="","",IFERROR(DATE(LEFT(TEXT(INDEX('05_KAPA'!$T:$T,$A48),"0"),4),MID(TEXT(INDEX('05_KAPA'!$T:$T,$A48),"0"),5,2),RIGHT(TEXT(INDEX('05_KAPA'!$T:$T,$A48),"0"),2)),""))</f>
        <v/>
      </c>
      <c r="K48">
        <f>IF(C48="","",IF('02_대상물건입력'!$B$5="",1,IF(ISNUMBER(SEARCH('02_대상물건입력'!$B$5,C48)),1,0)))</f>
        <v/>
      </c>
      <c r="L48">
        <f>IF(C48="","",IF('02_대상물건입력'!$B$6="",1,IF(ISNUMBER(SEARCH('02_대상물건입력'!$B$6,C48)),1,0)))</f>
        <v/>
      </c>
      <c r="M48">
        <f>IF(E48="","",IF('02_대상물건입력'!$B$8="",0,IF(ISNUMBER(SEARCH('02_대상물건입력'!$B$8,E48)),1,0)))</f>
        <v/>
      </c>
      <c r="N48">
        <f>IF(B48="","",IF(B48="담보",1,0))</f>
        <v/>
      </c>
      <c r="O48">
        <f>IFERROR(ABS(G48-'02_대상물건입력'!$B$11)/'02_대상물건입력'!$B$11,"")</f>
        <v/>
      </c>
      <c r="P48">
        <f>IFERROR(ABS('01_설정'!$B$4-H48),"")</f>
        <v/>
      </c>
      <c r="Q48">
        <f>IFERROR(ABS(YEAR(J48)-YEAR('02_대상물건입력'!$B$14)),"")</f>
        <v/>
      </c>
      <c r="R48">
        <f>IF(AND(G48&gt;0,H48&gt;0,I48&gt;0,N48=1,IF('01_설정'!$B$10=1,K48=1,TRUE()),O48&lt;='01_설정'!$B$5,P48&lt;='01_설정'!$B$7,Q48&lt;='01_설정'!$B$8),"Y","")</f>
        <v/>
      </c>
      <c r="S48">
        <f>IF(R48&lt;&gt;"Y","",MAX(0,(1-O48/'01_설정'!$B$5))*'01_설정'!$B$14+MAX(0,(1-P48/'01_설정'!$B$7))*'01_설정'!$B$16+MAX(0,(1-Q48/'01_설정'!$B$8))*'01_설정'!$B$17+L48*'01_설정'!$B$11+M48*'01_설정'!$B$12+N48*50)</f>
        <v/>
      </c>
      <c r="T48">
        <f>IF(S48="","",1+COUNTIFS($S$31:$S$1030,"&gt;"&amp;S48)+COUNTIFS($S$31:S48,S48)-1)</f>
        <v/>
      </c>
    </row>
    <row r="49" hidden="1" ht="16.5" customHeight="1">
      <c r="A49">
        <f>IF(COUNTA('05_KAPA'!$A20:$AO20)=0,"",22)</f>
        <v/>
      </c>
      <c r="B49">
        <f>IF($A49="","",INDEX('05_KAPA'!$B:$B,$A49))</f>
        <v/>
      </c>
      <c r="C49">
        <f>IF($A49="","",INDEX('05_KAPA'!$F:$F,$A49))</f>
        <v/>
      </c>
      <c r="D49">
        <f>IF($A49="","",INDEX('05_KAPA'!$H:$H,$A49))</f>
        <v/>
      </c>
      <c r="E49">
        <f>IF($A49="","",INDEX('05_KAPA'!$K:$K,$A49))</f>
        <v/>
      </c>
      <c r="F49">
        <f>IF($A49="","",INDEX('05_KAPA'!$L:$L,$A49))</f>
        <v/>
      </c>
      <c r="G49">
        <f>IF($A49="","",INDEX('05_KAPA'!$I:$I,$A49))</f>
        <v/>
      </c>
      <c r="H49" s="202">
        <f>IF($A49="","",INDEX('05_KAPA'!$P:$P,$A49))</f>
        <v/>
      </c>
      <c r="I49" s="118">
        <f>IF($A49="","",INDEX('05_KAPA'!$O:$O,$A49))</f>
        <v/>
      </c>
      <c r="J49" s="202">
        <f>IF($A49="","",IFERROR(DATE(LEFT(TEXT(INDEX('05_KAPA'!$T:$T,$A49),"0"),4),MID(TEXT(INDEX('05_KAPA'!$T:$T,$A49),"0"),5,2),RIGHT(TEXT(INDEX('05_KAPA'!$T:$T,$A49),"0"),2)),""))</f>
        <v/>
      </c>
      <c r="K49">
        <f>IF(C49="","",IF('02_대상물건입력'!$B$5="",1,IF(ISNUMBER(SEARCH('02_대상물건입력'!$B$5,C49)),1,0)))</f>
        <v/>
      </c>
      <c r="L49">
        <f>IF(C49="","",IF('02_대상물건입력'!$B$6="",1,IF(ISNUMBER(SEARCH('02_대상물건입력'!$B$6,C49)),1,0)))</f>
        <v/>
      </c>
      <c r="M49">
        <f>IF(E49="","",IF('02_대상물건입력'!$B$8="",0,IF(ISNUMBER(SEARCH('02_대상물건입력'!$B$8,E49)),1,0)))</f>
        <v/>
      </c>
      <c r="N49">
        <f>IF(B49="","",IF(B49="담보",1,0))</f>
        <v/>
      </c>
      <c r="O49">
        <f>IFERROR(ABS(G49-'02_대상물건입력'!$B$11)/'02_대상물건입력'!$B$11,"")</f>
        <v/>
      </c>
      <c r="P49">
        <f>IFERROR(ABS('01_설정'!$B$4-H49),"")</f>
        <v/>
      </c>
      <c r="Q49">
        <f>IFERROR(ABS(YEAR(J49)-YEAR('02_대상물건입력'!$B$14)),"")</f>
        <v/>
      </c>
      <c r="R49">
        <f>IF(AND(G49&gt;0,H49&gt;0,I49&gt;0,N49=1,IF('01_설정'!$B$10=1,K49=1,TRUE()),O49&lt;='01_설정'!$B$5,P49&lt;='01_설정'!$B$7,Q49&lt;='01_설정'!$B$8),"Y","")</f>
        <v/>
      </c>
      <c r="S49">
        <f>IF(R49&lt;&gt;"Y","",MAX(0,(1-O49/'01_설정'!$B$5))*'01_설정'!$B$14+MAX(0,(1-P49/'01_설정'!$B$7))*'01_설정'!$B$16+MAX(0,(1-Q49/'01_설정'!$B$8))*'01_설정'!$B$17+L49*'01_설정'!$B$11+M49*'01_설정'!$B$12+N49*50)</f>
        <v/>
      </c>
      <c r="T49">
        <f>IF(S49="","",1+COUNTIFS($S$31:$S$1030,"&gt;"&amp;S49)+COUNTIFS($S$31:S49,S49)-1)</f>
        <v/>
      </c>
    </row>
    <row r="50" hidden="1" ht="16.5" customHeight="1">
      <c r="A50">
        <f>IF(COUNTA('05_KAPA'!$A21:$AO21)=0,"",23)</f>
        <v/>
      </c>
      <c r="B50">
        <f>IF($A50="","",INDEX('05_KAPA'!$B:$B,$A50))</f>
        <v/>
      </c>
      <c r="C50">
        <f>IF($A50="","",INDEX('05_KAPA'!$F:$F,$A50))</f>
        <v/>
      </c>
      <c r="D50">
        <f>IF($A50="","",INDEX('05_KAPA'!$H:$H,$A50))</f>
        <v/>
      </c>
      <c r="E50">
        <f>IF($A50="","",INDEX('05_KAPA'!$K:$K,$A50))</f>
        <v/>
      </c>
      <c r="F50">
        <f>IF($A50="","",INDEX('05_KAPA'!$L:$L,$A50))</f>
        <v/>
      </c>
      <c r="G50">
        <f>IF($A50="","",INDEX('05_KAPA'!$I:$I,$A50))</f>
        <v/>
      </c>
      <c r="H50" s="202">
        <f>IF($A50="","",INDEX('05_KAPA'!$P:$P,$A50))</f>
        <v/>
      </c>
      <c r="I50" s="118">
        <f>IF($A50="","",INDEX('05_KAPA'!$O:$O,$A50))</f>
        <v/>
      </c>
      <c r="J50" s="202">
        <f>IF($A50="","",IFERROR(DATE(LEFT(TEXT(INDEX('05_KAPA'!$T:$T,$A50),"0"),4),MID(TEXT(INDEX('05_KAPA'!$T:$T,$A50),"0"),5,2),RIGHT(TEXT(INDEX('05_KAPA'!$T:$T,$A50),"0"),2)),""))</f>
        <v/>
      </c>
      <c r="K50">
        <f>IF(C50="","",IF('02_대상물건입력'!$B$5="",1,IF(ISNUMBER(SEARCH('02_대상물건입력'!$B$5,C50)),1,0)))</f>
        <v/>
      </c>
      <c r="L50">
        <f>IF(C50="","",IF('02_대상물건입력'!$B$6="",1,IF(ISNUMBER(SEARCH('02_대상물건입력'!$B$6,C50)),1,0)))</f>
        <v/>
      </c>
      <c r="M50">
        <f>IF(E50="","",IF('02_대상물건입력'!$B$8="",0,IF(ISNUMBER(SEARCH('02_대상물건입력'!$B$8,E50)),1,0)))</f>
        <v/>
      </c>
      <c r="N50">
        <f>IF(B50="","",IF(B50="담보",1,0))</f>
        <v/>
      </c>
      <c r="O50">
        <f>IFERROR(ABS(G50-'02_대상물건입력'!$B$11)/'02_대상물건입력'!$B$11,"")</f>
        <v/>
      </c>
      <c r="P50">
        <f>IFERROR(ABS('01_설정'!$B$4-H50),"")</f>
        <v/>
      </c>
      <c r="Q50">
        <f>IFERROR(ABS(YEAR(J50)-YEAR('02_대상물건입력'!$B$14)),"")</f>
        <v/>
      </c>
      <c r="R50">
        <f>IF(AND(G50&gt;0,H50&gt;0,I50&gt;0,N50=1,IF('01_설정'!$B$10=1,K50=1,TRUE()),O50&lt;='01_설정'!$B$5,P50&lt;='01_설정'!$B$7,Q50&lt;='01_설정'!$B$8),"Y","")</f>
        <v/>
      </c>
      <c r="S50">
        <f>IF(R50&lt;&gt;"Y","",MAX(0,(1-O50/'01_설정'!$B$5))*'01_설정'!$B$14+MAX(0,(1-P50/'01_설정'!$B$7))*'01_설정'!$B$16+MAX(0,(1-Q50/'01_설정'!$B$8))*'01_설정'!$B$17+L50*'01_설정'!$B$11+M50*'01_설정'!$B$12+N50*50)</f>
        <v/>
      </c>
      <c r="T50">
        <f>IF(S50="","",1+COUNTIFS($S$31:$S$1030,"&gt;"&amp;S50)+COUNTIFS($S$31:S50,S50)-1)</f>
        <v/>
      </c>
    </row>
    <row r="51" hidden="1" ht="16.5" customHeight="1">
      <c r="A51">
        <f>IF(COUNTA('05_KAPA'!$A22:$AO22)=0,"",24)</f>
        <v/>
      </c>
      <c r="B51">
        <f>IF($A51="","",INDEX('05_KAPA'!$B:$B,$A51))</f>
        <v/>
      </c>
      <c r="C51">
        <f>IF($A51="","",INDEX('05_KAPA'!$F:$F,$A51))</f>
        <v/>
      </c>
      <c r="D51">
        <f>IF($A51="","",INDEX('05_KAPA'!$H:$H,$A51))</f>
        <v/>
      </c>
      <c r="E51">
        <f>IF($A51="","",INDEX('05_KAPA'!$K:$K,$A51))</f>
        <v/>
      </c>
      <c r="F51">
        <f>IF($A51="","",INDEX('05_KAPA'!$L:$L,$A51))</f>
        <v/>
      </c>
      <c r="G51">
        <f>IF($A51="","",INDEX('05_KAPA'!$I:$I,$A51))</f>
        <v/>
      </c>
      <c r="H51" s="202">
        <f>IF($A51="","",INDEX('05_KAPA'!$P:$P,$A51))</f>
        <v/>
      </c>
      <c r="I51" s="118">
        <f>IF($A51="","",INDEX('05_KAPA'!$O:$O,$A51))</f>
        <v/>
      </c>
      <c r="J51" s="202">
        <f>IF($A51="","",IFERROR(DATE(LEFT(TEXT(INDEX('05_KAPA'!$T:$T,$A51),"0"),4),MID(TEXT(INDEX('05_KAPA'!$T:$T,$A51),"0"),5,2),RIGHT(TEXT(INDEX('05_KAPA'!$T:$T,$A51),"0"),2)),""))</f>
        <v/>
      </c>
      <c r="K51">
        <f>IF(C51="","",IF('02_대상물건입력'!$B$5="",1,IF(ISNUMBER(SEARCH('02_대상물건입력'!$B$5,C51)),1,0)))</f>
        <v/>
      </c>
      <c r="L51">
        <f>IF(C51="","",IF('02_대상물건입력'!$B$6="",1,IF(ISNUMBER(SEARCH('02_대상물건입력'!$B$6,C51)),1,0)))</f>
        <v/>
      </c>
      <c r="M51">
        <f>IF(E51="","",IF('02_대상물건입력'!$B$8="",0,IF(ISNUMBER(SEARCH('02_대상물건입력'!$B$8,E51)),1,0)))</f>
        <v/>
      </c>
      <c r="N51">
        <f>IF(B51="","",IF(B51="담보",1,0))</f>
        <v/>
      </c>
      <c r="O51">
        <f>IFERROR(ABS(G51-'02_대상물건입력'!$B$11)/'02_대상물건입력'!$B$11,"")</f>
        <v/>
      </c>
      <c r="P51">
        <f>IFERROR(ABS('01_설정'!$B$4-H51),"")</f>
        <v/>
      </c>
      <c r="Q51">
        <f>IFERROR(ABS(YEAR(J51)-YEAR('02_대상물건입력'!$B$14)),"")</f>
        <v/>
      </c>
      <c r="R51">
        <f>IF(AND(G51&gt;0,H51&gt;0,I51&gt;0,N51=1,IF('01_설정'!$B$10=1,K51=1,TRUE()),O51&lt;='01_설정'!$B$5,P51&lt;='01_설정'!$B$7,Q51&lt;='01_설정'!$B$8),"Y","")</f>
        <v/>
      </c>
      <c r="S51">
        <f>IF(R51&lt;&gt;"Y","",MAX(0,(1-O51/'01_설정'!$B$5))*'01_설정'!$B$14+MAX(0,(1-P51/'01_설정'!$B$7))*'01_설정'!$B$16+MAX(0,(1-Q51/'01_설정'!$B$8))*'01_설정'!$B$17+L51*'01_설정'!$B$11+M51*'01_설정'!$B$12+N51*50)</f>
        <v/>
      </c>
      <c r="T51">
        <f>IF(S51="","",1+COUNTIFS($S$31:$S$1030,"&gt;"&amp;S51)+COUNTIFS($S$31:S51,S51)-1)</f>
        <v/>
      </c>
    </row>
    <row r="52" hidden="1" ht="16.5" customHeight="1">
      <c r="A52">
        <f>IF(COUNTA('05_KAPA'!$A23:$AO23)=0,"",25)</f>
        <v/>
      </c>
      <c r="B52">
        <f>IF($A52="","",INDEX('05_KAPA'!$B:$B,$A52))</f>
        <v/>
      </c>
      <c r="C52">
        <f>IF($A52="","",INDEX('05_KAPA'!$F:$F,$A52))</f>
        <v/>
      </c>
      <c r="D52">
        <f>IF($A52="","",INDEX('05_KAPA'!$H:$H,$A52))</f>
        <v/>
      </c>
      <c r="E52">
        <f>IF($A52="","",INDEX('05_KAPA'!$K:$K,$A52))</f>
        <v/>
      </c>
      <c r="F52">
        <f>IF($A52="","",INDEX('05_KAPA'!$L:$L,$A52))</f>
        <v/>
      </c>
      <c r="G52">
        <f>IF($A52="","",INDEX('05_KAPA'!$I:$I,$A52))</f>
        <v/>
      </c>
      <c r="H52" s="202">
        <f>IF($A52="","",INDEX('05_KAPA'!$P:$P,$A52))</f>
        <v/>
      </c>
      <c r="I52" s="118">
        <f>IF($A52="","",INDEX('05_KAPA'!$O:$O,$A52))</f>
        <v/>
      </c>
      <c r="J52" s="202">
        <f>IF($A52="","",IFERROR(DATE(LEFT(TEXT(INDEX('05_KAPA'!$T:$T,$A52),"0"),4),MID(TEXT(INDEX('05_KAPA'!$T:$T,$A52),"0"),5,2),RIGHT(TEXT(INDEX('05_KAPA'!$T:$T,$A52),"0"),2)),""))</f>
        <v/>
      </c>
      <c r="K52">
        <f>IF(C52="","",IF('02_대상물건입력'!$B$5="",1,IF(ISNUMBER(SEARCH('02_대상물건입력'!$B$5,C52)),1,0)))</f>
        <v/>
      </c>
      <c r="L52">
        <f>IF(C52="","",IF('02_대상물건입력'!$B$6="",1,IF(ISNUMBER(SEARCH('02_대상물건입력'!$B$6,C52)),1,0)))</f>
        <v/>
      </c>
      <c r="M52">
        <f>IF(E52="","",IF('02_대상물건입력'!$B$8="",0,IF(ISNUMBER(SEARCH('02_대상물건입력'!$B$8,E52)),1,0)))</f>
        <v/>
      </c>
      <c r="N52">
        <f>IF(B52="","",IF(B52="담보",1,0))</f>
        <v/>
      </c>
      <c r="O52">
        <f>IFERROR(ABS(G52-'02_대상물건입력'!$B$11)/'02_대상물건입력'!$B$11,"")</f>
        <v/>
      </c>
      <c r="P52">
        <f>IFERROR(ABS('01_설정'!$B$4-H52),"")</f>
        <v/>
      </c>
      <c r="Q52">
        <f>IFERROR(ABS(YEAR(J52)-YEAR('02_대상물건입력'!$B$14)),"")</f>
        <v/>
      </c>
      <c r="R52">
        <f>IF(AND(G52&gt;0,H52&gt;0,I52&gt;0,N52=1,IF('01_설정'!$B$10=1,K52=1,TRUE()),O52&lt;='01_설정'!$B$5,P52&lt;='01_설정'!$B$7,Q52&lt;='01_설정'!$B$8),"Y","")</f>
        <v/>
      </c>
      <c r="S52">
        <f>IF(R52&lt;&gt;"Y","",MAX(0,(1-O52/'01_설정'!$B$5))*'01_설정'!$B$14+MAX(0,(1-P52/'01_설정'!$B$7))*'01_설정'!$B$16+MAX(0,(1-Q52/'01_설정'!$B$8))*'01_설정'!$B$17+L52*'01_설정'!$B$11+M52*'01_설정'!$B$12+N52*50)</f>
        <v/>
      </c>
      <c r="T52">
        <f>IF(S52="","",1+COUNTIFS($S$31:$S$1030,"&gt;"&amp;S52)+COUNTIFS($S$31:S52,S52)-1)</f>
        <v/>
      </c>
    </row>
    <row r="53" hidden="1" ht="16.5" customHeight="1">
      <c r="A53">
        <f>IF(COUNTA('05_KAPA'!$A24:$AO24)=0,"",26)</f>
        <v/>
      </c>
      <c r="B53">
        <f>IF($A53="","",INDEX('05_KAPA'!$B:$B,$A53))</f>
        <v/>
      </c>
      <c r="C53">
        <f>IF($A53="","",INDEX('05_KAPA'!$F:$F,$A53))</f>
        <v/>
      </c>
      <c r="D53">
        <f>IF($A53="","",INDEX('05_KAPA'!$H:$H,$A53))</f>
        <v/>
      </c>
      <c r="E53">
        <f>IF($A53="","",INDEX('05_KAPA'!$K:$K,$A53))</f>
        <v/>
      </c>
      <c r="F53">
        <f>IF($A53="","",INDEX('05_KAPA'!$L:$L,$A53))</f>
        <v/>
      </c>
      <c r="G53">
        <f>IF($A53="","",INDEX('05_KAPA'!$I:$I,$A53))</f>
        <v/>
      </c>
      <c r="H53" s="202">
        <f>IF($A53="","",INDEX('05_KAPA'!$P:$P,$A53))</f>
        <v/>
      </c>
      <c r="I53" s="118">
        <f>IF($A53="","",INDEX('05_KAPA'!$O:$O,$A53))</f>
        <v/>
      </c>
      <c r="J53" s="202">
        <f>IF($A53="","",IFERROR(DATE(LEFT(TEXT(INDEX('05_KAPA'!$T:$T,$A53),"0"),4),MID(TEXT(INDEX('05_KAPA'!$T:$T,$A53),"0"),5,2),RIGHT(TEXT(INDEX('05_KAPA'!$T:$T,$A53),"0"),2)),""))</f>
        <v/>
      </c>
      <c r="K53">
        <f>IF(C53="","",IF('02_대상물건입력'!$B$5="",1,IF(ISNUMBER(SEARCH('02_대상물건입력'!$B$5,C53)),1,0)))</f>
        <v/>
      </c>
      <c r="L53">
        <f>IF(C53="","",IF('02_대상물건입력'!$B$6="",1,IF(ISNUMBER(SEARCH('02_대상물건입력'!$B$6,C53)),1,0)))</f>
        <v/>
      </c>
      <c r="M53">
        <f>IF(E53="","",IF('02_대상물건입력'!$B$8="",0,IF(ISNUMBER(SEARCH('02_대상물건입력'!$B$8,E53)),1,0)))</f>
        <v/>
      </c>
      <c r="N53">
        <f>IF(B53="","",IF(B53="담보",1,0))</f>
        <v/>
      </c>
      <c r="O53">
        <f>IFERROR(ABS(G53-'02_대상물건입력'!$B$11)/'02_대상물건입력'!$B$11,"")</f>
        <v/>
      </c>
      <c r="P53">
        <f>IFERROR(ABS('01_설정'!$B$4-H53),"")</f>
        <v/>
      </c>
      <c r="Q53">
        <f>IFERROR(ABS(YEAR(J53)-YEAR('02_대상물건입력'!$B$14)),"")</f>
        <v/>
      </c>
      <c r="R53">
        <f>IF(AND(G53&gt;0,H53&gt;0,I53&gt;0,N53=1,IF('01_설정'!$B$10=1,K53=1,TRUE()),O53&lt;='01_설정'!$B$5,P53&lt;='01_설정'!$B$7,Q53&lt;='01_설정'!$B$8),"Y","")</f>
        <v/>
      </c>
      <c r="S53">
        <f>IF(R53&lt;&gt;"Y","",MAX(0,(1-O53/'01_설정'!$B$5))*'01_설정'!$B$14+MAX(0,(1-P53/'01_설정'!$B$7))*'01_설정'!$B$16+MAX(0,(1-Q53/'01_설정'!$B$8))*'01_설정'!$B$17+L53*'01_설정'!$B$11+M53*'01_설정'!$B$12+N53*50)</f>
        <v/>
      </c>
      <c r="T53">
        <f>IF(S53="","",1+COUNTIFS($S$31:$S$1030,"&gt;"&amp;S53)+COUNTIFS($S$31:S53,S53)-1)</f>
        <v/>
      </c>
    </row>
    <row r="54" hidden="1" ht="16.5" customHeight="1">
      <c r="A54">
        <f>IF(COUNTA('05_KAPA'!$A25:$AO25)=0,"",27)</f>
        <v/>
      </c>
      <c r="B54">
        <f>IF($A54="","",INDEX('05_KAPA'!$B:$B,$A54))</f>
        <v/>
      </c>
      <c r="C54">
        <f>IF($A54="","",INDEX('05_KAPA'!$F:$F,$A54))</f>
        <v/>
      </c>
      <c r="D54">
        <f>IF($A54="","",INDEX('05_KAPA'!$H:$H,$A54))</f>
        <v/>
      </c>
      <c r="E54">
        <f>IF($A54="","",INDEX('05_KAPA'!$K:$K,$A54))</f>
        <v/>
      </c>
      <c r="F54">
        <f>IF($A54="","",INDEX('05_KAPA'!$L:$L,$A54))</f>
        <v/>
      </c>
      <c r="G54">
        <f>IF($A54="","",INDEX('05_KAPA'!$I:$I,$A54))</f>
        <v/>
      </c>
      <c r="H54" s="202">
        <f>IF($A54="","",INDEX('05_KAPA'!$P:$P,$A54))</f>
        <v/>
      </c>
      <c r="I54" s="118">
        <f>IF($A54="","",INDEX('05_KAPA'!$O:$O,$A54))</f>
        <v/>
      </c>
      <c r="J54" s="202">
        <f>IF($A54="","",IFERROR(DATE(LEFT(TEXT(INDEX('05_KAPA'!$T:$T,$A54),"0"),4),MID(TEXT(INDEX('05_KAPA'!$T:$T,$A54),"0"),5,2),RIGHT(TEXT(INDEX('05_KAPA'!$T:$T,$A54),"0"),2)),""))</f>
        <v/>
      </c>
      <c r="K54">
        <f>IF(C54="","",IF('02_대상물건입력'!$B$5="",1,IF(ISNUMBER(SEARCH('02_대상물건입력'!$B$5,C54)),1,0)))</f>
        <v/>
      </c>
      <c r="L54">
        <f>IF(C54="","",IF('02_대상물건입력'!$B$6="",1,IF(ISNUMBER(SEARCH('02_대상물건입력'!$B$6,C54)),1,0)))</f>
        <v/>
      </c>
      <c r="M54">
        <f>IF(E54="","",IF('02_대상물건입력'!$B$8="",0,IF(ISNUMBER(SEARCH('02_대상물건입력'!$B$8,E54)),1,0)))</f>
        <v/>
      </c>
      <c r="N54">
        <f>IF(B54="","",IF(B54="담보",1,0))</f>
        <v/>
      </c>
      <c r="O54">
        <f>IFERROR(ABS(G54-'02_대상물건입력'!$B$11)/'02_대상물건입력'!$B$11,"")</f>
        <v/>
      </c>
      <c r="P54">
        <f>IFERROR(ABS('01_설정'!$B$4-H54),"")</f>
        <v/>
      </c>
      <c r="Q54">
        <f>IFERROR(ABS(YEAR(J54)-YEAR('02_대상물건입력'!$B$14)),"")</f>
        <v/>
      </c>
      <c r="R54">
        <f>IF(AND(G54&gt;0,H54&gt;0,I54&gt;0,N54=1,IF('01_설정'!$B$10=1,K54=1,TRUE()),O54&lt;='01_설정'!$B$5,P54&lt;='01_설정'!$B$7,Q54&lt;='01_설정'!$B$8),"Y","")</f>
        <v/>
      </c>
      <c r="S54">
        <f>IF(R54&lt;&gt;"Y","",MAX(0,(1-O54/'01_설정'!$B$5))*'01_설정'!$B$14+MAX(0,(1-P54/'01_설정'!$B$7))*'01_설정'!$B$16+MAX(0,(1-Q54/'01_설정'!$B$8))*'01_설정'!$B$17+L54*'01_설정'!$B$11+M54*'01_설정'!$B$12+N54*50)</f>
        <v/>
      </c>
      <c r="T54">
        <f>IF(S54="","",1+COUNTIFS($S$31:$S$1030,"&gt;"&amp;S54)+COUNTIFS($S$31:S54,S54)-1)</f>
        <v/>
      </c>
    </row>
    <row r="55" hidden="1" ht="16.5" customHeight="1">
      <c r="A55">
        <f>IF(COUNTA('05_KAPA'!$A26:$AO26)=0,"",28)</f>
        <v/>
      </c>
      <c r="B55">
        <f>IF($A55="","",INDEX('05_KAPA'!$B:$B,$A55))</f>
        <v/>
      </c>
      <c r="C55">
        <f>IF($A55="","",INDEX('05_KAPA'!$F:$F,$A55))</f>
        <v/>
      </c>
      <c r="D55">
        <f>IF($A55="","",INDEX('05_KAPA'!$H:$H,$A55))</f>
        <v/>
      </c>
      <c r="E55">
        <f>IF($A55="","",INDEX('05_KAPA'!$K:$K,$A55))</f>
        <v/>
      </c>
      <c r="F55">
        <f>IF($A55="","",INDEX('05_KAPA'!$L:$L,$A55))</f>
        <v/>
      </c>
      <c r="G55">
        <f>IF($A55="","",INDEX('05_KAPA'!$I:$I,$A55))</f>
        <v/>
      </c>
      <c r="H55" s="202">
        <f>IF($A55="","",INDEX('05_KAPA'!$P:$P,$A55))</f>
        <v/>
      </c>
      <c r="I55" s="118">
        <f>IF($A55="","",INDEX('05_KAPA'!$O:$O,$A55))</f>
        <v/>
      </c>
      <c r="J55" s="202">
        <f>IF($A55="","",IFERROR(DATE(LEFT(TEXT(INDEX('05_KAPA'!$T:$T,$A55),"0"),4),MID(TEXT(INDEX('05_KAPA'!$T:$T,$A55),"0"),5,2),RIGHT(TEXT(INDEX('05_KAPA'!$T:$T,$A55),"0"),2)),""))</f>
        <v/>
      </c>
      <c r="K55">
        <f>IF(C55="","",IF('02_대상물건입력'!$B$5="",1,IF(ISNUMBER(SEARCH('02_대상물건입력'!$B$5,C55)),1,0)))</f>
        <v/>
      </c>
      <c r="L55">
        <f>IF(C55="","",IF('02_대상물건입력'!$B$6="",1,IF(ISNUMBER(SEARCH('02_대상물건입력'!$B$6,C55)),1,0)))</f>
        <v/>
      </c>
      <c r="M55">
        <f>IF(E55="","",IF('02_대상물건입력'!$B$8="",0,IF(ISNUMBER(SEARCH('02_대상물건입력'!$B$8,E55)),1,0)))</f>
        <v/>
      </c>
      <c r="N55">
        <f>IF(B55="","",IF(B55="담보",1,0))</f>
        <v/>
      </c>
      <c r="O55">
        <f>IFERROR(ABS(G55-'02_대상물건입력'!$B$11)/'02_대상물건입력'!$B$11,"")</f>
        <v/>
      </c>
      <c r="P55">
        <f>IFERROR(ABS('01_설정'!$B$4-H55),"")</f>
        <v/>
      </c>
      <c r="Q55">
        <f>IFERROR(ABS(YEAR(J55)-YEAR('02_대상물건입력'!$B$14)),"")</f>
        <v/>
      </c>
      <c r="R55">
        <f>IF(AND(G55&gt;0,H55&gt;0,I55&gt;0,N55=1,IF('01_설정'!$B$10=1,K55=1,TRUE()),O55&lt;='01_설정'!$B$5,P55&lt;='01_설정'!$B$7,Q55&lt;='01_설정'!$B$8),"Y","")</f>
        <v/>
      </c>
      <c r="S55">
        <f>IF(R55&lt;&gt;"Y","",MAX(0,(1-O55/'01_설정'!$B$5))*'01_설정'!$B$14+MAX(0,(1-P55/'01_설정'!$B$7))*'01_설정'!$B$16+MAX(0,(1-Q55/'01_설정'!$B$8))*'01_설정'!$B$17+L55*'01_설정'!$B$11+M55*'01_설정'!$B$12+N55*50)</f>
        <v/>
      </c>
      <c r="T55">
        <f>IF(S55="","",1+COUNTIFS($S$31:$S$1030,"&gt;"&amp;S55)+COUNTIFS($S$31:S55,S55)-1)</f>
        <v/>
      </c>
    </row>
    <row r="56" hidden="1" ht="16.5" customHeight="1">
      <c r="A56">
        <f>IF(COUNTA('05_KAPA'!$A27:$AO27)=0,"",29)</f>
        <v/>
      </c>
      <c r="B56">
        <f>IF($A56="","",INDEX('05_KAPA'!$B:$B,$A56))</f>
        <v/>
      </c>
      <c r="C56">
        <f>IF($A56="","",INDEX('05_KAPA'!$F:$F,$A56))</f>
        <v/>
      </c>
      <c r="D56">
        <f>IF($A56="","",INDEX('05_KAPA'!$H:$H,$A56))</f>
        <v/>
      </c>
      <c r="E56">
        <f>IF($A56="","",INDEX('05_KAPA'!$K:$K,$A56))</f>
        <v/>
      </c>
      <c r="F56">
        <f>IF($A56="","",INDEX('05_KAPA'!$L:$L,$A56))</f>
        <v/>
      </c>
      <c r="G56">
        <f>IF($A56="","",INDEX('05_KAPA'!$I:$I,$A56))</f>
        <v/>
      </c>
      <c r="H56" s="202">
        <f>IF($A56="","",INDEX('05_KAPA'!$P:$P,$A56))</f>
        <v/>
      </c>
      <c r="I56" s="118">
        <f>IF($A56="","",INDEX('05_KAPA'!$O:$O,$A56))</f>
        <v/>
      </c>
      <c r="J56" s="202">
        <f>IF($A56="","",IFERROR(DATE(LEFT(TEXT(INDEX('05_KAPA'!$T:$T,$A56),"0"),4),MID(TEXT(INDEX('05_KAPA'!$T:$T,$A56),"0"),5,2),RIGHT(TEXT(INDEX('05_KAPA'!$T:$T,$A56),"0"),2)),""))</f>
        <v/>
      </c>
      <c r="K56">
        <f>IF(C56="","",IF('02_대상물건입력'!$B$5="",1,IF(ISNUMBER(SEARCH('02_대상물건입력'!$B$5,C56)),1,0)))</f>
        <v/>
      </c>
      <c r="L56">
        <f>IF(C56="","",IF('02_대상물건입력'!$B$6="",1,IF(ISNUMBER(SEARCH('02_대상물건입력'!$B$6,C56)),1,0)))</f>
        <v/>
      </c>
      <c r="M56">
        <f>IF(E56="","",IF('02_대상물건입력'!$B$8="",0,IF(ISNUMBER(SEARCH('02_대상물건입력'!$B$8,E56)),1,0)))</f>
        <v/>
      </c>
      <c r="N56">
        <f>IF(B56="","",IF(B56="담보",1,0))</f>
        <v/>
      </c>
      <c r="O56">
        <f>IFERROR(ABS(G56-'02_대상물건입력'!$B$11)/'02_대상물건입력'!$B$11,"")</f>
        <v/>
      </c>
      <c r="P56">
        <f>IFERROR(ABS('01_설정'!$B$4-H56),"")</f>
        <v/>
      </c>
      <c r="Q56">
        <f>IFERROR(ABS(YEAR(J56)-YEAR('02_대상물건입력'!$B$14)),"")</f>
        <v/>
      </c>
      <c r="R56">
        <f>IF(AND(G56&gt;0,H56&gt;0,I56&gt;0,N56=1,IF('01_설정'!$B$10=1,K56=1,TRUE()),O56&lt;='01_설정'!$B$5,P56&lt;='01_설정'!$B$7,Q56&lt;='01_설정'!$B$8),"Y","")</f>
        <v/>
      </c>
      <c r="S56">
        <f>IF(R56&lt;&gt;"Y","",MAX(0,(1-O56/'01_설정'!$B$5))*'01_설정'!$B$14+MAX(0,(1-P56/'01_설정'!$B$7))*'01_설정'!$B$16+MAX(0,(1-Q56/'01_설정'!$B$8))*'01_설정'!$B$17+L56*'01_설정'!$B$11+M56*'01_설정'!$B$12+N56*50)</f>
        <v/>
      </c>
      <c r="T56">
        <f>IF(S56="","",1+COUNTIFS($S$31:$S$1030,"&gt;"&amp;S56)+COUNTIFS($S$31:S56,S56)-1)</f>
        <v/>
      </c>
    </row>
    <row r="57" hidden="1" ht="16.5" customHeight="1">
      <c r="A57">
        <f>IF(COUNTA('05_KAPA'!$A28:$AO28)=0,"",30)</f>
        <v/>
      </c>
      <c r="B57">
        <f>IF($A57="","",INDEX('05_KAPA'!$B:$B,$A57))</f>
        <v/>
      </c>
      <c r="C57">
        <f>IF($A57="","",INDEX('05_KAPA'!$F:$F,$A57))</f>
        <v/>
      </c>
      <c r="D57">
        <f>IF($A57="","",INDEX('05_KAPA'!$H:$H,$A57))</f>
        <v/>
      </c>
      <c r="E57">
        <f>IF($A57="","",INDEX('05_KAPA'!$K:$K,$A57))</f>
        <v/>
      </c>
      <c r="F57">
        <f>IF($A57="","",INDEX('05_KAPA'!$L:$L,$A57))</f>
        <v/>
      </c>
      <c r="G57">
        <f>IF($A57="","",INDEX('05_KAPA'!$I:$I,$A57))</f>
        <v/>
      </c>
      <c r="H57" s="202">
        <f>IF($A57="","",INDEX('05_KAPA'!$P:$P,$A57))</f>
        <v/>
      </c>
      <c r="I57" s="118">
        <f>IF($A57="","",INDEX('05_KAPA'!$O:$O,$A57))</f>
        <v/>
      </c>
      <c r="J57" s="202">
        <f>IF($A57="","",IFERROR(DATE(LEFT(TEXT(INDEX('05_KAPA'!$T:$T,$A57),"0"),4),MID(TEXT(INDEX('05_KAPA'!$T:$T,$A57),"0"),5,2),RIGHT(TEXT(INDEX('05_KAPA'!$T:$T,$A57),"0"),2)),""))</f>
        <v/>
      </c>
      <c r="K57">
        <f>IF(C57="","",IF('02_대상물건입력'!$B$5="",1,IF(ISNUMBER(SEARCH('02_대상물건입력'!$B$5,C57)),1,0)))</f>
        <v/>
      </c>
      <c r="L57">
        <f>IF(C57="","",IF('02_대상물건입력'!$B$6="",1,IF(ISNUMBER(SEARCH('02_대상물건입력'!$B$6,C57)),1,0)))</f>
        <v/>
      </c>
      <c r="M57">
        <f>IF(E57="","",IF('02_대상물건입력'!$B$8="",0,IF(ISNUMBER(SEARCH('02_대상물건입력'!$B$8,E57)),1,0)))</f>
        <v/>
      </c>
      <c r="N57">
        <f>IF(B57="","",IF(B57="담보",1,0))</f>
        <v/>
      </c>
      <c r="O57">
        <f>IFERROR(ABS(G57-'02_대상물건입력'!$B$11)/'02_대상물건입력'!$B$11,"")</f>
        <v/>
      </c>
      <c r="P57">
        <f>IFERROR(ABS('01_설정'!$B$4-H57),"")</f>
        <v/>
      </c>
      <c r="Q57">
        <f>IFERROR(ABS(YEAR(J57)-YEAR('02_대상물건입력'!$B$14)),"")</f>
        <v/>
      </c>
      <c r="R57">
        <f>IF(AND(G57&gt;0,H57&gt;0,I57&gt;0,N57=1,IF('01_설정'!$B$10=1,K57=1,TRUE()),O57&lt;='01_설정'!$B$5,P57&lt;='01_설정'!$B$7,Q57&lt;='01_설정'!$B$8),"Y","")</f>
        <v/>
      </c>
      <c r="S57">
        <f>IF(R57&lt;&gt;"Y","",MAX(0,(1-O57/'01_설정'!$B$5))*'01_설정'!$B$14+MAX(0,(1-P57/'01_설정'!$B$7))*'01_설정'!$B$16+MAX(0,(1-Q57/'01_설정'!$B$8))*'01_설정'!$B$17+L57*'01_설정'!$B$11+M57*'01_설정'!$B$12+N57*50)</f>
        <v/>
      </c>
      <c r="T57">
        <f>IF(S57="","",1+COUNTIFS($S$31:$S$1030,"&gt;"&amp;S57)+COUNTIFS($S$31:S57,S57)-1)</f>
        <v/>
      </c>
    </row>
    <row r="58" hidden="1" ht="16.5" customHeight="1">
      <c r="A58">
        <f>IF(COUNTA('05_KAPA'!$A29:$AO29)=0,"",31)</f>
        <v/>
      </c>
      <c r="B58">
        <f>IF($A58="","",INDEX('05_KAPA'!$B:$B,$A58))</f>
        <v/>
      </c>
      <c r="C58">
        <f>IF($A58="","",INDEX('05_KAPA'!$F:$F,$A58))</f>
        <v/>
      </c>
      <c r="D58">
        <f>IF($A58="","",INDEX('05_KAPA'!$H:$H,$A58))</f>
        <v/>
      </c>
      <c r="E58">
        <f>IF($A58="","",INDEX('05_KAPA'!$K:$K,$A58))</f>
        <v/>
      </c>
      <c r="F58">
        <f>IF($A58="","",INDEX('05_KAPA'!$L:$L,$A58))</f>
        <v/>
      </c>
      <c r="G58">
        <f>IF($A58="","",INDEX('05_KAPA'!$I:$I,$A58))</f>
        <v/>
      </c>
      <c r="H58" s="202">
        <f>IF($A58="","",INDEX('05_KAPA'!$P:$P,$A58))</f>
        <v/>
      </c>
      <c r="I58" s="118">
        <f>IF($A58="","",INDEX('05_KAPA'!$O:$O,$A58))</f>
        <v/>
      </c>
      <c r="J58" s="202">
        <f>IF($A58="","",IFERROR(DATE(LEFT(TEXT(INDEX('05_KAPA'!$T:$T,$A58),"0"),4),MID(TEXT(INDEX('05_KAPA'!$T:$T,$A58),"0"),5,2),RIGHT(TEXT(INDEX('05_KAPA'!$T:$T,$A58),"0"),2)),""))</f>
        <v/>
      </c>
      <c r="K58">
        <f>IF(C58="","",IF('02_대상물건입력'!$B$5="",1,IF(ISNUMBER(SEARCH('02_대상물건입력'!$B$5,C58)),1,0)))</f>
        <v/>
      </c>
      <c r="L58">
        <f>IF(C58="","",IF('02_대상물건입력'!$B$6="",1,IF(ISNUMBER(SEARCH('02_대상물건입력'!$B$6,C58)),1,0)))</f>
        <v/>
      </c>
      <c r="M58">
        <f>IF(E58="","",IF('02_대상물건입력'!$B$8="",0,IF(ISNUMBER(SEARCH('02_대상물건입력'!$B$8,E58)),1,0)))</f>
        <v/>
      </c>
      <c r="N58">
        <f>IF(B58="","",IF(B58="담보",1,0))</f>
        <v/>
      </c>
      <c r="O58">
        <f>IFERROR(ABS(G58-'02_대상물건입력'!$B$11)/'02_대상물건입력'!$B$11,"")</f>
        <v/>
      </c>
      <c r="P58">
        <f>IFERROR(ABS('01_설정'!$B$4-H58),"")</f>
        <v/>
      </c>
      <c r="Q58">
        <f>IFERROR(ABS(YEAR(J58)-YEAR('02_대상물건입력'!$B$14)),"")</f>
        <v/>
      </c>
      <c r="R58">
        <f>IF(AND(G58&gt;0,H58&gt;0,I58&gt;0,N58=1,IF('01_설정'!$B$10=1,K58=1,TRUE()),O58&lt;='01_설정'!$B$5,P58&lt;='01_설정'!$B$7,Q58&lt;='01_설정'!$B$8),"Y","")</f>
        <v/>
      </c>
      <c r="S58">
        <f>IF(R58&lt;&gt;"Y","",MAX(0,(1-O58/'01_설정'!$B$5))*'01_설정'!$B$14+MAX(0,(1-P58/'01_설정'!$B$7))*'01_설정'!$B$16+MAX(0,(1-Q58/'01_설정'!$B$8))*'01_설정'!$B$17+L58*'01_설정'!$B$11+M58*'01_설정'!$B$12+N58*50)</f>
        <v/>
      </c>
      <c r="T58">
        <f>IF(S58="","",1+COUNTIFS($S$31:$S$1030,"&gt;"&amp;S58)+COUNTIFS($S$31:S58,S58)-1)</f>
        <v/>
      </c>
    </row>
    <row r="59" hidden="1" ht="16.5" customHeight="1">
      <c r="A59">
        <f>IF(COUNTA('05_KAPA'!$A30:$AO30)=0,"",32)</f>
        <v/>
      </c>
      <c r="B59">
        <f>IF($A59="","",INDEX('05_KAPA'!$B:$B,$A59))</f>
        <v/>
      </c>
      <c r="C59">
        <f>IF($A59="","",INDEX('05_KAPA'!$F:$F,$A59))</f>
        <v/>
      </c>
      <c r="D59">
        <f>IF($A59="","",INDEX('05_KAPA'!$H:$H,$A59))</f>
        <v/>
      </c>
      <c r="E59">
        <f>IF($A59="","",INDEX('05_KAPA'!$K:$K,$A59))</f>
        <v/>
      </c>
      <c r="F59">
        <f>IF($A59="","",INDEX('05_KAPA'!$L:$L,$A59))</f>
        <v/>
      </c>
      <c r="G59">
        <f>IF($A59="","",INDEX('05_KAPA'!$I:$I,$A59))</f>
        <v/>
      </c>
      <c r="H59" s="202">
        <f>IF($A59="","",INDEX('05_KAPA'!$P:$P,$A59))</f>
        <v/>
      </c>
      <c r="I59" s="118">
        <f>IF($A59="","",INDEX('05_KAPA'!$O:$O,$A59))</f>
        <v/>
      </c>
      <c r="J59" s="202">
        <f>IF($A59="","",IFERROR(DATE(LEFT(TEXT(INDEX('05_KAPA'!$T:$T,$A59),"0"),4),MID(TEXT(INDEX('05_KAPA'!$T:$T,$A59),"0"),5,2),RIGHT(TEXT(INDEX('05_KAPA'!$T:$T,$A59),"0"),2)),""))</f>
        <v/>
      </c>
      <c r="K59">
        <f>IF(C59="","",IF('02_대상물건입력'!$B$5="",1,IF(ISNUMBER(SEARCH('02_대상물건입력'!$B$5,C59)),1,0)))</f>
        <v/>
      </c>
      <c r="L59">
        <f>IF(C59="","",IF('02_대상물건입력'!$B$6="",1,IF(ISNUMBER(SEARCH('02_대상물건입력'!$B$6,C59)),1,0)))</f>
        <v/>
      </c>
      <c r="M59">
        <f>IF(E59="","",IF('02_대상물건입력'!$B$8="",0,IF(ISNUMBER(SEARCH('02_대상물건입력'!$B$8,E59)),1,0)))</f>
        <v/>
      </c>
      <c r="N59">
        <f>IF(B59="","",IF(B59="담보",1,0))</f>
        <v/>
      </c>
      <c r="O59">
        <f>IFERROR(ABS(G59-'02_대상물건입력'!$B$11)/'02_대상물건입력'!$B$11,"")</f>
        <v/>
      </c>
      <c r="P59">
        <f>IFERROR(ABS('01_설정'!$B$4-H59),"")</f>
        <v/>
      </c>
      <c r="Q59">
        <f>IFERROR(ABS(YEAR(J59)-YEAR('02_대상물건입력'!$B$14)),"")</f>
        <v/>
      </c>
      <c r="R59">
        <f>IF(AND(G59&gt;0,H59&gt;0,I59&gt;0,N59=1,IF('01_설정'!$B$10=1,K59=1,TRUE()),O59&lt;='01_설정'!$B$5,P59&lt;='01_설정'!$B$7,Q59&lt;='01_설정'!$B$8),"Y","")</f>
        <v/>
      </c>
      <c r="S59">
        <f>IF(R59&lt;&gt;"Y","",MAX(0,(1-O59/'01_설정'!$B$5))*'01_설정'!$B$14+MAX(0,(1-P59/'01_설정'!$B$7))*'01_설정'!$B$16+MAX(0,(1-Q59/'01_설정'!$B$8))*'01_설정'!$B$17+L59*'01_설정'!$B$11+M59*'01_설정'!$B$12+N59*50)</f>
        <v/>
      </c>
      <c r="T59">
        <f>IF(S59="","",1+COUNTIFS($S$31:$S$1030,"&gt;"&amp;S59)+COUNTIFS($S$31:S59,S59)-1)</f>
        <v/>
      </c>
    </row>
    <row r="60" hidden="1" ht="16.5" customHeight="1">
      <c r="A60">
        <f>IF(COUNTA('05_KAPA'!$A31:$AO31)=0,"",33)</f>
        <v/>
      </c>
      <c r="B60">
        <f>IF($A60="","",INDEX('05_KAPA'!$B:$B,$A60))</f>
        <v/>
      </c>
      <c r="C60">
        <f>IF($A60="","",INDEX('05_KAPA'!$F:$F,$A60))</f>
        <v/>
      </c>
      <c r="D60">
        <f>IF($A60="","",INDEX('05_KAPA'!$H:$H,$A60))</f>
        <v/>
      </c>
      <c r="E60">
        <f>IF($A60="","",INDEX('05_KAPA'!$K:$K,$A60))</f>
        <v/>
      </c>
      <c r="F60">
        <f>IF($A60="","",INDEX('05_KAPA'!$L:$L,$A60))</f>
        <v/>
      </c>
      <c r="G60">
        <f>IF($A60="","",INDEX('05_KAPA'!$I:$I,$A60))</f>
        <v/>
      </c>
      <c r="H60" s="202">
        <f>IF($A60="","",INDEX('05_KAPA'!$P:$P,$A60))</f>
        <v/>
      </c>
      <c r="I60" s="118">
        <f>IF($A60="","",INDEX('05_KAPA'!$O:$O,$A60))</f>
        <v/>
      </c>
      <c r="J60" s="202">
        <f>IF($A60="","",IFERROR(DATE(LEFT(TEXT(INDEX('05_KAPA'!$T:$T,$A60),"0"),4),MID(TEXT(INDEX('05_KAPA'!$T:$T,$A60),"0"),5,2),RIGHT(TEXT(INDEX('05_KAPA'!$T:$T,$A60),"0"),2)),""))</f>
        <v/>
      </c>
      <c r="K60">
        <f>IF(C60="","",IF('02_대상물건입력'!$B$5="",1,IF(ISNUMBER(SEARCH('02_대상물건입력'!$B$5,C60)),1,0)))</f>
        <v/>
      </c>
      <c r="L60">
        <f>IF(C60="","",IF('02_대상물건입력'!$B$6="",1,IF(ISNUMBER(SEARCH('02_대상물건입력'!$B$6,C60)),1,0)))</f>
        <v/>
      </c>
      <c r="M60">
        <f>IF(E60="","",IF('02_대상물건입력'!$B$8="",0,IF(ISNUMBER(SEARCH('02_대상물건입력'!$B$8,E60)),1,0)))</f>
        <v/>
      </c>
      <c r="N60">
        <f>IF(B60="","",IF(B60="담보",1,0))</f>
        <v/>
      </c>
      <c r="O60">
        <f>IFERROR(ABS(G60-'02_대상물건입력'!$B$11)/'02_대상물건입력'!$B$11,"")</f>
        <v/>
      </c>
      <c r="P60">
        <f>IFERROR(ABS('01_설정'!$B$4-H60),"")</f>
        <v/>
      </c>
      <c r="Q60">
        <f>IFERROR(ABS(YEAR(J60)-YEAR('02_대상물건입력'!$B$14)),"")</f>
        <v/>
      </c>
      <c r="R60">
        <f>IF(AND(G60&gt;0,H60&gt;0,I60&gt;0,N60=1,IF('01_설정'!$B$10=1,K60=1,TRUE()),O60&lt;='01_설정'!$B$5,P60&lt;='01_설정'!$B$7,Q60&lt;='01_설정'!$B$8),"Y","")</f>
        <v/>
      </c>
      <c r="S60">
        <f>IF(R60&lt;&gt;"Y","",MAX(0,(1-O60/'01_설정'!$B$5))*'01_설정'!$B$14+MAX(0,(1-P60/'01_설정'!$B$7))*'01_설정'!$B$16+MAX(0,(1-Q60/'01_설정'!$B$8))*'01_설정'!$B$17+L60*'01_설정'!$B$11+M60*'01_설정'!$B$12+N60*50)</f>
        <v/>
      </c>
      <c r="T60">
        <f>IF(S60="","",1+COUNTIFS($S$31:$S$1030,"&gt;"&amp;S60)+COUNTIFS($S$31:S60,S60)-1)</f>
        <v/>
      </c>
    </row>
    <row r="61" hidden="1" ht="16.5" customHeight="1">
      <c r="A61">
        <f>IF(COUNTA('05_KAPA'!$A32:$AO32)=0,"",34)</f>
        <v/>
      </c>
      <c r="B61">
        <f>IF($A61="","",INDEX('05_KAPA'!$B:$B,$A61))</f>
        <v/>
      </c>
      <c r="C61">
        <f>IF($A61="","",INDEX('05_KAPA'!$F:$F,$A61))</f>
        <v/>
      </c>
      <c r="D61">
        <f>IF($A61="","",INDEX('05_KAPA'!$H:$H,$A61))</f>
        <v/>
      </c>
      <c r="E61">
        <f>IF($A61="","",INDEX('05_KAPA'!$K:$K,$A61))</f>
        <v/>
      </c>
      <c r="F61">
        <f>IF($A61="","",INDEX('05_KAPA'!$L:$L,$A61))</f>
        <v/>
      </c>
      <c r="G61">
        <f>IF($A61="","",INDEX('05_KAPA'!$I:$I,$A61))</f>
        <v/>
      </c>
      <c r="H61" s="202">
        <f>IF($A61="","",INDEX('05_KAPA'!$P:$P,$A61))</f>
        <v/>
      </c>
      <c r="I61" s="118">
        <f>IF($A61="","",INDEX('05_KAPA'!$O:$O,$A61))</f>
        <v/>
      </c>
      <c r="J61" s="202">
        <f>IF($A61="","",IFERROR(DATE(LEFT(TEXT(INDEX('05_KAPA'!$T:$T,$A61),"0"),4),MID(TEXT(INDEX('05_KAPA'!$T:$T,$A61),"0"),5,2),RIGHT(TEXT(INDEX('05_KAPA'!$T:$T,$A61),"0"),2)),""))</f>
        <v/>
      </c>
      <c r="K61">
        <f>IF(C61="","",IF('02_대상물건입력'!$B$5="",1,IF(ISNUMBER(SEARCH('02_대상물건입력'!$B$5,C61)),1,0)))</f>
        <v/>
      </c>
      <c r="L61">
        <f>IF(C61="","",IF('02_대상물건입력'!$B$6="",1,IF(ISNUMBER(SEARCH('02_대상물건입력'!$B$6,C61)),1,0)))</f>
        <v/>
      </c>
      <c r="M61">
        <f>IF(E61="","",IF('02_대상물건입력'!$B$8="",0,IF(ISNUMBER(SEARCH('02_대상물건입력'!$B$8,E61)),1,0)))</f>
        <v/>
      </c>
      <c r="N61">
        <f>IF(B61="","",IF(B61="담보",1,0))</f>
        <v/>
      </c>
      <c r="O61">
        <f>IFERROR(ABS(G61-'02_대상물건입력'!$B$11)/'02_대상물건입력'!$B$11,"")</f>
        <v/>
      </c>
      <c r="P61">
        <f>IFERROR(ABS('01_설정'!$B$4-H61),"")</f>
        <v/>
      </c>
      <c r="Q61">
        <f>IFERROR(ABS(YEAR(J61)-YEAR('02_대상물건입력'!$B$14)),"")</f>
        <v/>
      </c>
      <c r="R61">
        <f>IF(AND(G61&gt;0,H61&gt;0,I61&gt;0,N61=1,IF('01_설정'!$B$10=1,K61=1,TRUE()),O61&lt;='01_설정'!$B$5,P61&lt;='01_설정'!$B$7,Q61&lt;='01_설정'!$B$8),"Y","")</f>
        <v/>
      </c>
      <c r="S61">
        <f>IF(R61&lt;&gt;"Y","",MAX(0,(1-O61/'01_설정'!$B$5))*'01_설정'!$B$14+MAX(0,(1-P61/'01_설정'!$B$7))*'01_설정'!$B$16+MAX(0,(1-Q61/'01_설정'!$B$8))*'01_설정'!$B$17+L61*'01_설정'!$B$11+M61*'01_설정'!$B$12+N61*50)</f>
        <v/>
      </c>
      <c r="T61">
        <f>IF(S61="","",1+COUNTIFS($S$31:$S$1030,"&gt;"&amp;S61)+COUNTIFS($S$31:S61,S61)-1)</f>
        <v/>
      </c>
    </row>
    <row r="62" hidden="1" ht="16.5" customHeight="1">
      <c r="A62">
        <f>IF(COUNTA('05_KAPA'!$A33:$AO33)=0,"",35)</f>
        <v/>
      </c>
      <c r="B62">
        <f>IF($A62="","",INDEX('05_KAPA'!$B:$B,$A62))</f>
        <v/>
      </c>
      <c r="C62">
        <f>IF($A62="","",INDEX('05_KAPA'!$F:$F,$A62))</f>
        <v/>
      </c>
      <c r="D62">
        <f>IF($A62="","",INDEX('05_KAPA'!$H:$H,$A62))</f>
        <v/>
      </c>
      <c r="E62">
        <f>IF($A62="","",INDEX('05_KAPA'!$K:$K,$A62))</f>
        <v/>
      </c>
      <c r="F62">
        <f>IF($A62="","",INDEX('05_KAPA'!$L:$L,$A62))</f>
        <v/>
      </c>
      <c r="G62">
        <f>IF($A62="","",INDEX('05_KAPA'!$I:$I,$A62))</f>
        <v/>
      </c>
      <c r="H62" s="202">
        <f>IF($A62="","",INDEX('05_KAPA'!$P:$P,$A62))</f>
        <v/>
      </c>
      <c r="I62" s="118">
        <f>IF($A62="","",INDEX('05_KAPA'!$O:$O,$A62))</f>
        <v/>
      </c>
      <c r="J62" s="202">
        <f>IF($A62="","",IFERROR(DATE(LEFT(TEXT(INDEX('05_KAPA'!$T:$T,$A62),"0"),4),MID(TEXT(INDEX('05_KAPA'!$T:$T,$A62),"0"),5,2),RIGHT(TEXT(INDEX('05_KAPA'!$T:$T,$A62),"0"),2)),""))</f>
        <v/>
      </c>
      <c r="K62">
        <f>IF(C62="","",IF('02_대상물건입력'!$B$5="",1,IF(ISNUMBER(SEARCH('02_대상물건입력'!$B$5,C62)),1,0)))</f>
        <v/>
      </c>
      <c r="L62">
        <f>IF(C62="","",IF('02_대상물건입력'!$B$6="",1,IF(ISNUMBER(SEARCH('02_대상물건입력'!$B$6,C62)),1,0)))</f>
        <v/>
      </c>
      <c r="M62">
        <f>IF(E62="","",IF('02_대상물건입력'!$B$8="",0,IF(ISNUMBER(SEARCH('02_대상물건입력'!$B$8,E62)),1,0)))</f>
        <v/>
      </c>
      <c r="N62">
        <f>IF(B62="","",IF(B62="담보",1,0))</f>
        <v/>
      </c>
      <c r="O62">
        <f>IFERROR(ABS(G62-'02_대상물건입력'!$B$11)/'02_대상물건입력'!$B$11,"")</f>
        <v/>
      </c>
      <c r="P62">
        <f>IFERROR(ABS('01_설정'!$B$4-H62),"")</f>
        <v/>
      </c>
      <c r="Q62">
        <f>IFERROR(ABS(YEAR(J62)-YEAR('02_대상물건입력'!$B$14)),"")</f>
        <v/>
      </c>
      <c r="R62">
        <f>IF(AND(G62&gt;0,H62&gt;0,I62&gt;0,N62=1,IF('01_설정'!$B$10=1,K62=1,TRUE()),O62&lt;='01_설정'!$B$5,P62&lt;='01_설정'!$B$7,Q62&lt;='01_설정'!$B$8),"Y","")</f>
        <v/>
      </c>
      <c r="S62">
        <f>IF(R62&lt;&gt;"Y","",MAX(0,(1-O62/'01_설정'!$B$5))*'01_설정'!$B$14+MAX(0,(1-P62/'01_설정'!$B$7))*'01_설정'!$B$16+MAX(0,(1-Q62/'01_설정'!$B$8))*'01_설정'!$B$17+L62*'01_설정'!$B$11+M62*'01_설정'!$B$12+N62*50)</f>
        <v/>
      </c>
      <c r="T62">
        <f>IF(S62="","",1+COUNTIFS($S$31:$S$1030,"&gt;"&amp;S62)+COUNTIFS($S$31:S62,S62)-1)</f>
        <v/>
      </c>
    </row>
    <row r="63" hidden="1" ht="16.5" customHeight="1">
      <c r="A63">
        <f>IF(COUNTA('05_KAPA'!$A34:$AO34)=0,"",36)</f>
        <v/>
      </c>
      <c r="B63">
        <f>IF($A63="","",INDEX('05_KAPA'!$B:$B,$A63))</f>
        <v/>
      </c>
      <c r="C63">
        <f>IF($A63="","",INDEX('05_KAPA'!$F:$F,$A63))</f>
        <v/>
      </c>
      <c r="D63">
        <f>IF($A63="","",INDEX('05_KAPA'!$H:$H,$A63))</f>
        <v/>
      </c>
      <c r="E63">
        <f>IF($A63="","",INDEX('05_KAPA'!$K:$K,$A63))</f>
        <v/>
      </c>
      <c r="F63">
        <f>IF($A63="","",INDEX('05_KAPA'!$L:$L,$A63))</f>
        <v/>
      </c>
      <c r="G63">
        <f>IF($A63="","",INDEX('05_KAPA'!$I:$I,$A63))</f>
        <v/>
      </c>
      <c r="H63" s="202">
        <f>IF($A63="","",INDEX('05_KAPA'!$P:$P,$A63))</f>
        <v/>
      </c>
      <c r="I63" s="118">
        <f>IF($A63="","",INDEX('05_KAPA'!$O:$O,$A63))</f>
        <v/>
      </c>
      <c r="J63" s="202">
        <f>IF($A63="","",IFERROR(DATE(LEFT(TEXT(INDEX('05_KAPA'!$T:$T,$A63),"0"),4),MID(TEXT(INDEX('05_KAPA'!$T:$T,$A63),"0"),5,2),RIGHT(TEXT(INDEX('05_KAPA'!$T:$T,$A63),"0"),2)),""))</f>
        <v/>
      </c>
      <c r="K63">
        <f>IF(C63="","",IF('02_대상물건입력'!$B$5="",1,IF(ISNUMBER(SEARCH('02_대상물건입력'!$B$5,C63)),1,0)))</f>
        <v/>
      </c>
      <c r="L63">
        <f>IF(C63="","",IF('02_대상물건입력'!$B$6="",1,IF(ISNUMBER(SEARCH('02_대상물건입력'!$B$6,C63)),1,0)))</f>
        <v/>
      </c>
      <c r="M63">
        <f>IF(E63="","",IF('02_대상물건입력'!$B$8="",0,IF(ISNUMBER(SEARCH('02_대상물건입력'!$B$8,E63)),1,0)))</f>
        <v/>
      </c>
      <c r="N63">
        <f>IF(B63="","",IF(B63="담보",1,0))</f>
        <v/>
      </c>
      <c r="O63">
        <f>IFERROR(ABS(G63-'02_대상물건입력'!$B$11)/'02_대상물건입력'!$B$11,"")</f>
        <v/>
      </c>
      <c r="P63">
        <f>IFERROR(ABS('01_설정'!$B$4-H63),"")</f>
        <v/>
      </c>
      <c r="Q63">
        <f>IFERROR(ABS(YEAR(J63)-YEAR('02_대상물건입력'!$B$14)),"")</f>
        <v/>
      </c>
      <c r="R63">
        <f>IF(AND(G63&gt;0,H63&gt;0,I63&gt;0,N63=1,IF('01_설정'!$B$10=1,K63=1,TRUE()),O63&lt;='01_설정'!$B$5,P63&lt;='01_설정'!$B$7,Q63&lt;='01_설정'!$B$8),"Y","")</f>
        <v/>
      </c>
      <c r="S63">
        <f>IF(R63&lt;&gt;"Y","",MAX(0,(1-O63/'01_설정'!$B$5))*'01_설정'!$B$14+MAX(0,(1-P63/'01_설정'!$B$7))*'01_설정'!$B$16+MAX(0,(1-Q63/'01_설정'!$B$8))*'01_설정'!$B$17+L63*'01_설정'!$B$11+M63*'01_설정'!$B$12+N63*50)</f>
        <v/>
      </c>
      <c r="T63">
        <f>IF(S63="","",1+COUNTIFS($S$31:$S$1030,"&gt;"&amp;S63)+COUNTIFS($S$31:S63,S63)-1)</f>
        <v/>
      </c>
    </row>
    <row r="64" hidden="1" ht="16.5" customHeight="1">
      <c r="A64">
        <f>IF(COUNTA('05_KAPA'!$A35:$AO35)=0,"",37)</f>
        <v/>
      </c>
      <c r="B64">
        <f>IF($A64="","",INDEX('05_KAPA'!$B:$B,$A64))</f>
        <v/>
      </c>
      <c r="C64">
        <f>IF($A64="","",INDEX('05_KAPA'!$F:$F,$A64))</f>
        <v/>
      </c>
      <c r="D64">
        <f>IF($A64="","",INDEX('05_KAPA'!$H:$H,$A64))</f>
        <v/>
      </c>
      <c r="E64">
        <f>IF($A64="","",INDEX('05_KAPA'!$K:$K,$A64))</f>
        <v/>
      </c>
      <c r="F64">
        <f>IF($A64="","",INDEX('05_KAPA'!$L:$L,$A64))</f>
        <v/>
      </c>
      <c r="G64">
        <f>IF($A64="","",INDEX('05_KAPA'!$I:$I,$A64))</f>
        <v/>
      </c>
      <c r="H64" s="202">
        <f>IF($A64="","",INDEX('05_KAPA'!$P:$P,$A64))</f>
        <v/>
      </c>
      <c r="I64" s="118">
        <f>IF($A64="","",INDEX('05_KAPA'!$O:$O,$A64))</f>
        <v/>
      </c>
      <c r="J64" s="202">
        <f>IF($A64="","",IFERROR(DATE(LEFT(TEXT(INDEX('05_KAPA'!$T:$T,$A64),"0"),4),MID(TEXT(INDEX('05_KAPA'!$T:$T,$A64),"0"),5,2),RIGHT(TEXT(INDEX('05_KAPA'!$T:$T,$A64),"0"),2)),""))</f>
        <v/>
      </c>
      <c r="K64">
        <f>IF(C64="","",IF('02_대상물건입력'!$B$5="",1,IF(ISNUMBER(SEARCH('02_대상물건입력'!$B$5,C64)),1,0)))</f>
        <v/>
      </c>
      <c r="L64">
        <f>IF(C64="","",IF('02_대상물건입력'!$B$6="",1,IF(ISNUMBER(SEARCH('02_대상물건입력'!$B$6,C64)),1,0)))</f>
        <v/>
      </c>
      <c r="M64">
        <f>IF(E64="","",IF('02_대상물건입력'!$B$8="",0,IF(ISNUMBER(SEARCH('02_대상물건입력'!$B$8,E64)),1,0)))</f>
        <v/>
      </c>
      <c r="N64">
        <f>IF(B64="","",IF(B64="담보",1,0))</f>
        <v/>
      </c>
      <c r="O64">
        <f>IFERROR(ABS(G64-'02_대상물건입력'!$B$11)/'02_대상물건입력'!$B$11,"")</f>
        <v/>
      </c>
      <c r="P64">
        <f>IFERROR(ABS('01_설정'!$B$4-H64),"")</f>
        <v/>
      </c>
      <c r="Q64">
        <f>IFERROR(ABS(YEAR(J64)-YEAR('02_대상물건입력'!$B$14)),"")</f>
        <v/>
      </c>
      <c r="R64">
        <f>IF(AND(G64&gt;0,H64&gt;0,I64&gt;0,N64=1,IF('01_설정'!$B$10=1,K64=1,TRUE()),O64&lt;='01_설정'!$B$5,P64&lt;='01_설정'!$B$7,Q64&lt;='01_설정'!$B$8),"Y","")</f>
        <v/>
      </c>
      <c r="S64">
        <f>IF(R64&lt;&gt;"Y","",MAX(0,(1-O64/'01_설정'!$B$5))*'01_설정'!$B$14+MAX(0,(1-P64/'01_설정'!$B$7))*'01_설정'!$B$16+MAX(0,(1-Q64/'01_설정'!$B$8))*'01_설정'!$B$17+L64*'01_설정'!$B$11+M64*'01_설정'!$B$12+N64*50)</f>
        <v/>
      </c>
      <c r="T64">
        <f>IF(S64="","",1+COUNTIFS($S$31:$S$1030,"&gt;"&amp;S64)+COUNTIFS($S$31:S64,S64)-1)</f>
        <v/>
      </c>
    </row>
    <row r="65" hidden="1" ht="16.5" customHeight="1">
      <c r="A65">
        <f>IF(COUNTA('05_KAPA'!$A36:$AO36)=0,"",38)</f>
        <v/>
      </c>
      <c r="B65">
        <f>IF($A65="","",INDEX('05_KAPA'!$B:$B,$A65))</f>
        <v/>
      </c>
      <c r="C65">
        <f>IF($A65="","",INDEX('05_KAPA'!$F:$F,$A65))</f>
        <v/>
      </c>
      <c r="D65">
        <f>IF($A65="","",INDEX('05_KAPA'!$H:$H,$A65))</f>
        <v/>
      </c>
      <c r="E65">
        <f>IF($A65="","",INDEX('05_KAPA'!$K:$K,$A65))</f>
        <v/>
      </c>
      <c r="F65">
        <f>IF($A65="","",INDEX('05_KAPA'!$L:$L,$A65))</f>
        <v/>
      </c>
      <c r="G65">
        <f>IF($A65="","",INDEX('05_KAPA'!$I:$I,$A65))</f>
        <v/>
      </c>
      <c r="H65" s="202">
        <f>IF($A65="","",INDEX('05_KAPA'!$P:$P,$A65))</f>
        <v/>
      </c>
      <c r="I65" s="118">
        <f>IF($A65="","",INDEX('05_KAPA'!$O:$O,$A65))</f>
        <v/>
      </c>
      <c r="J65" s="202">
        <f>IF($A65="","",IFERROR(DATE(LEFT(TEXT(INDEX('05_KAPA'!$T:$T,$A65),"0"),4),MID(TEXT(INDEX('05_KAPA'!$T:$T,$A65),"0"),5,2),RIGHT(TEXT(INDEX('05_KAPA'!$T:$T,$A65),"0"),2)),""))</f>
        <v/>
      </c>
      <c r="K65">
        <f>IF(C65="","",IF('02_대상물건입력'!$B$5="",1,IF(ISNUMBER(SEARCH('02_대상물건입력'!$B$5,C65)),1,0)))</f>
        <v/>
      </c>
      <c r="L65">
        <f>IF(C65="","",IF('02_대상물건입력'!$B$6="",1,IF(ISNUMBER(SEARCH('02_대상물건입력'!$B$6,C65)),1,0)))</f>
        <v/>
      </c>
      <c r="M65">
        <f>IF(E65="","",IF('02_대상물건입력'!$B$8="",0,IF(ISNUMBER(SEARCH('02_대상물건입력'!$B$8,E65)),1,0)))</f>
        <v/>
      </c>
      <c r="N65">
        <f>IF(B65="","",IF(B65="담보",1,0))</f>
        <v/>
      </c>
      <c r="O65">
        <f>IFERROR(ABS(G65-'02_대상물건입력'!$B$11)/'02_대상물건입력'!$B$11,"")</f>
        <v/>
      </c>
      <c r="P65">
        <f>IFERROR(ABS('01_설정'!$B$4-H65),"")</f>
        <v/>
      </c>
      <c r="Q65">
        <f>IFERROR(ABS(YEAR(J65)-YEAR('02_대상물건입력'!$B$14)),"")</f>
        <v/>
      </c>
      <c r="R65">
        <f>IF(AND(G65&gt;0,H65&gt;0,I65&gt;0,N65=1,IF('01_설정'!$B$10=1,K65=1,TRUE()),O65&lt;='01_설정'!$B$5,P65&lt;='01_설정'!$B$7,Q65&lt;='01_설정'!$B$8),"Y","")</f>
        <v/>
      </c>
      <c r="S65">
        <f>IF(R65&lt;&gt;"Y","",MAX(0,(1-O65/'01_설정'!$B$5))*'01_설정'!$B$14+MAX(0,(1-P65/'01_설정'!$B$7))*'01_설정'!$B$16+MAX(0,(1-Q65/'01_설정'!$B$8))*'01_설정'!$B$17+L65*'01_설정'!$B$11+M65*'01_설정'!$B$12+N65*50)</f>
        <v/>
      </c>
      <c r="T65">
        <f>IF(S65="","",1+COUNTIFS($S$31:$S$1030,"&gt;"&amp;S65)+COUNTIFS($S$31:S65,S65)-1)</f>
        <v/>
      </c>
    </row>
    <row r="66" hidden="1" ht="16.5" customHeight="1">
      <c r="A66">
        <f>IF(COUNTA('05_KAPA'!$A37:$AO37)=0,"",39)</f>
        <v/>
      </c>
      <c r="B66">
        <f>IF($A66="","",INDEX('05_KAPA'!$B:$B,$A66))</f>
        <v/>
      </c>
      <c r="C66">
        <f>IF($A66="","",INDEX('05_KAPA'!$F:$F,$A66))</f>
        <v/>
      </c>
      <c r="D66">
        <f>IF($A66="","",INDEX('05_KAPA'!$H:$H,$A66))</f>
        <v/>
      </c>
      <c r="E66">
        <f>IF($A66="","",INDEX('05_KAPA'!$K:$K,$A66))</f>
        <v/>
      </c>
      <c r="F66">
        <f>IF($A66="","",INDEX('05_KAPA'!$L:$L,$A66))</f>
        <v/>
      </c>
      <c r="G66">
        <f>IF($A66="","",INDEX('05_KAPA'!$I:$I,$A66))</f>
        <v/>
      </c>
      <c r="H66" s="202">
        <f>IF($A66="","",INDEX('05_KAPA'!$P:$P,$A66))</f>
        <v/>
      </c>
      <c r="I66" s="118">
        <f>IF($A66="","",INDEX('05_KAPA'!$O:$O,$A66))</f>
        <v/>
      </c>
      <c r="J66" s="202">
        <f>IF($A66="","",IFERROR(DATE(LEFT(TEXT(INDEX('05_KAPA'!$T:$T,$A66),"0"),4),MID(TEXT(INDEX('05_KAPA'!$T:$T,$A66),"0"),5,2),RIGHT(TEXT(INDEX('05_KAPA'!$T:$T,$A66),"0"),2)),""))</f>
        <v/>
      </c>
      <c r="K66">
        <f>IF(C66="","",IF('02_대상물건입력'!$B$5="",1,IF(ISNUMBER(SEARCH('02_대상물건입력'!$B$5,C66)),1,0)))</f>
        <v/>
      </c>
      <c r="L66">
        <f>IF(C66="","",IF('02_대상물건입력'!$B$6="",1,IF(ISNUMBER(SEARCH('02_대상물건입력'!$B$6,C66)),1,0)))</f>
        <v/>
      </c>
      <c r="M66">
        <f>IF(E66="","",IF('02_대상물건입력'!$B$8="",0,IF(ISNUMBER(SEARCH('02_대상물건입력'!$B$8,E66)),1,0)))</f>
        <v/>
      </c>
      <c r="N66">
        <f>IF(B66="","",IF(B66="담보",1,0))</f>
        <v/>
      </c>
      <c r="O66">
        <f>IFERROR(ABS(G66-'02_대상물건입력'!$B$11)/'02_대상물건입력'!$B$11,"")</f>
        <v/>
      </c>
      <c r="P66">
        <f>IFERROR(ABS('01_설정'!$B$4-H66),"")</f>
        <v/>
      </c>
      <c r="Q66">
        <f>IFERROR(ABS(YEAR(J66)-YEAR('02_대상물건입력'!$B$14)),"")</f>
        <v/>
      </c>
      <c r="R66">
        <f>IF(AND(G66&gt;0,H66&gt;0,I66&gt;0,N66=1,IF('01_설정'!$B$10=1,K66=1,TRUE()),O66&lt;='01_설정'!$B$5,P66&lt;='01_설정'!$B$7,Q66&lt;='01_설정'!$B$8),"Y","")</f>
        <v/>
      </c>
      <c r="S66">
        <f>IF(R66&lt;&gt;"Y","",MAX(0,(1-O66/'01_설정'!$B$5))*'01_설정'!$B$14+MAX(0,(1-P66/'01_설정'!$B$7))*'01_설정'!$B$16+MAX(0,(1-Q66/'01_설정'!$B$8))*'01_설정'!$B$17+L66*'01_설정'!$B$11+M66*'01_설정'!$B$12+N66*50)</f>
        <v/>
      </c>
      <c r="T66">
        <f>IF(S66="","",1+COUNTIFS($S$31:$S$1030,"&gt;"&amp;S66)+COUNTIFS($S$31:S66,S66)-1)</f>
        <v/>
      </c>
    </row>
    <row r="67" hidden="1" ht="16.5" customHeight="1">
      <c r="A67">
        <f>IF(COUNTA('05_KAPA'!$A38:$AO38)=0,"",40)</f>
        <v/>
      </c>
      <c r="B67">
        <f>IF($A67="","",INDEX('05_KAPA'!$B:$B,$A67))</f>
        <v/>
      </c>
      <c r="C67">
        <f>IF($A67="","",INDEX('05_KAPA'!$F:$F,$A67))</f>
        <v/>
      </c>
      <c r="D67">
        <f>IF($A67="","",INDEX('05_KAPA'!$H:$H,$A67))</f>
        <v/>
      </c>
      <c r="E67">
        <f>IF($A67="","",INDEX('05_KAPA'!$K:$K,$A67))</f>
        <v/>
      </c>
      <c r="F67">
        <f>IF($A67="","",INDEX('05_KAPA'!$L:$L,$A67))</f>
        <v/>
      </c>
      <c r="G67">
        <f>IF($A67="","",INDEX('05_KAPA'!$I:$I,$A67))</f>
        <v/>
      </c>
      <c r="H67" s="202">
        <f>IF($A67="","",INDEX('05_KAPA'!$P:$P,$A67))</f>
        <v/>
      </c>
      <c r="I67" s="118">
        <f>IF($A67="","",INDEX('05_KAPA'!$O:$O,$A67))</f>
        <v/>
      </c>
      <c r="J67" s="202">
        <f>IF($A67="","",IFERROR(DATE(LEFT(TEXT(INDEX('05_KAPA'!$T:$T,$A67),"0"),4),MID(TEXT(INDEX('05_KAPA'!$T:$T,$A67),"0"),5,2),RIGHT(TEXT(INDEX('05_KAPA'!$T:$T,$A67),"0"),2)),""))</f>
        <v/>
      </c>
      <c r="K67">
        <f>IF(C67="","",IF('02_대상물건입력'!$B$5="",1,IF(ISNUMBER(SEARCH('02_대상물건입력'!$B$5,C67)),1,0)))</f>
        <v/>
      </c>
      <c r="L67">
        <f>IF(C67="","",IF('02_대상물건입력'!$B$6="",1,IF(ISNUMBER(SEARCH('02_대상물건입력'!$B$6,C67)),1,0)))</f>
        <v/>
      </c>
      <c r="M67">
        <f>IF(E67="","",IF('02_대상물건입력'!$B$8="",0,IF(ISNUMBER(SEARCH('02_대상물건입력'!$B$8,E67)),1,0)))</f>
        <v/>
      </c>
      <c r="N67">
        <f>IF(B67="","",IF(B67="담보",1,0))</f>
        <v/>
      </c>
      <c r="O67">
        <f>IFERROR(ABS(G67-'02_대상물건입력'!$B$11)/'02_대상물건입력'!$B$11,"")</f>
        <v/>
      </c>
      <c r="P67">
        <f>IFERROR(ABS('01_설정'!$B$4-H67),"")</f>
        <v/>
      </c>
      <c r="Q67">
        <f>IFERROR(ABS(YEAR(J67)-YEAR('02_대상물건입력'!$B$14)),"")</f>
        <v/>
      </c>
      <c r="R67">
        <f>IF(AND(G67&gt;0,H67&gt;0,I67&gt;0,N67=1,IF('01_설정'!$B$10=1,K67=1,TRUE()),O67&lt;='01_설정'!$B$5,P67&lt;='01_설정'!$B$7,Q67&lt;='01_설정'!$B$8),"Y","")</f>
        <v/>
      </c>
      <c r="S67">
        <f>IF(R67&lt;&gt;"Y","",MAX(0,(1-O67/'01_설정'!$B$5))*'01_설정'!$B$14+MAX(0,(1-P67/'01_설정'!$B$7))*'01_설정'!$B$16+MAX(0,(1-Q67/'01_설정'!$B$8))*'01_설정'!$B$17+L67*'01_설정'!$B$11+M67*'01_설정'!$B$12+N67*50)</f>
        <v/>
      </c>
      <c r="T67">
        <f>IF(S67="","",1+COUNTIFS($S$31:$S$1030,"&gt;"&amp;S67)+COUNTIFS($S$31:S67,S67)-1)</f>
        <v/>
      </c>
    </row>
    <row r="68" hidden="1" ht="16.5" customHeight="1">
      <c r="A68">
        <f>IF(COUNTA('05_KAPA'!$A39:$AO39)=0,"",41)</f>
        <v/>
      </c>
      <c r="B68">
        <f>IF($A68="","",INDEX('05_KAPA'!$B:$B,$A68))</f>
        <v/>
      </c>
      <c r="C68">
        <f>IF($A68="","",INDEX('05_KAPA'!$F:$F,$A68))</f>
        <v/>
      </c>
      <c r="D68">
        <f>IF($A68="","",INDEX('05_KAPA'!$H:$H,$A68))</f>
        <v/>
      </c>
      <c r="E68">
        <f>IF($A68="","",INDEX('05_KAPA'!$K:$K,$A68))</f>
        <v/>
      </c>
      <c r="F68">
        <f>IF($A68="","",INDEX('05_KAPA'!$L:$L,$A68))</f>
        <v/>
      </c>
      <c r="G68">
        <f>IF($A68="","",INDEX('05_KAPA'!$I:$I,$A68))</f>
        <v/>
      </c>
      <c r="H68" s="202">
        <f>IF($A68="","",INDEX('05_KAPA'!$P:$P,$A68))</f>
        <v/>
      </c>
      <c r="I68" s="118">
        <f>IF($A68="","",INDEX('05_KAPA'!$O:$O,$A68))</f>
        <v/>
      </c>
      <c r="J68" s="202">
        <f>IF($A68="","",IFERROR(DATE(LEFT(TEXT(INDEX('05_KAPA'!$T:$T,$A68),"0"),4),MID(TEXT(INDEX('05_KAPA'!$T:$T,$A68),"0"),5,2),RIGHT(TEXT(INDEX('05_KAPA'!$T:$T,$A68),"0"),2)),""))</f>
        <v/>
      </c>
      <c r="K68">
        <f>IF(C68="","",IF('02_대상물건입력'!$B$5="",1,IF(ISNUMBER(SEARCH('02_대상물건입력'!$B$5,C68)),1,0)))</f>
        <v/>
      </c>
      <c r="L68">
        <f>IF(C68="","",IF('02_대상물건입력'!$B$6="",1,IF(ISNUMBER(SEARCH('02_대상물건입력'!$B$6,C68)),1,0)))</f>
        <v/>
      </c>
      <c r="M68">
        <f>IF(E68="","",IF('02_대상물건입력'!$B$8="",0,IF(ISNUMBER(SEARCH('02_대상물건입력'!$B$8,E68)),1,0)))</f>
        <v/>
      </c>
      <c r="N68">
        <f>IF(B68="","",IF(B68="담보",1,0))</f>
        <v/>
      </c>
      <c r="O68">
        <f>IFERROR(ABS(G68-'02_대상물건입력'!$B$11)/'02_대상물건입력'!$B$11,"")</f>
        <v/>
      </c>
      <c r="P68">
        <f>IFERROR(ABS('01_설정'!$B$4-H68),"")</f>
        <v/>
      </c>
      <c r="Q68">
        <f>IFERROR(ABS(YEAR(J68)-YEAR('02_대상물건입력'!$B$14)),"")</f>
        <v/>
      </c>
      <c r="R68">
        <f>IF(AND(G68&gt;0,H68&gt;0,I68&gt;0,N68=1,IF('01_설정'!$B$10=1,K68=1,TRUE()),O68&lt;='01_설정'!$B$5,P68&lt;='01_설정'!$B$7,Q68&lt;='01_설정'!$B$8),"Y","")</f>
        <v/>
      </c>
      <c r="S68">
        <f>IF(R68&lt;&gt;"Y","",MAX(0,(1-O68/'01_설정'!$B$5))*'01_설정'!$B$14+MAX(0,(1-P68/'01_설정'!$B$7))*'01_설정'!$B$16+MAX(0,(1-Q68/'01_설정'!$B$8))*'01_설정'!$B$17+L68*'01_설정'!$B$11+M68*'01_설정'!$B$12+N68*50)</f>
        <v/>
      </c>
      <c r="T68">
        <f>IF(S68="","",1+COUNTIFS($S$31:$S$1030,"&gt;"&amp;S68)+COUNTIFS($S$31:S68,S68)-1)</f>
        <v/>
      </c>
    </row>
    <row r="69" hidden="1" ht="16.5" customHeight="1">
      <c r="A69">
        <f>IF(COUNTA('05_KAPA'!$A40:$AO40)=0,"",42)</f>
        <v/>
      </c>
      <c r="B69">
        <f>IF($A69="","",INDEX('05_KAPA'!$B:$B,$A69))</f>
        <v/>
      </c>
      <c r="C69">
        <f>IF($A69="","",INDEX('05_KAPA'!$F:$F,$A69))</f>
        <v/>
      </c>
      <c r="D69">
        <f>IF($A69="","",INDEX('05_KAPA'!$H:$H,$A69))</f>
        <v/>
      </c>
      <c r="E69">
        <f>IF($A69="","",INDEX('05_KAPA'!$K:$K,$A69))</f>
        <v/>
      </c>
      <c r="F69">
        <f>IF($A69="","",INDEX('05_KAPA'!$L:$L,$A69))</f>
        <v/>
      </c>
      <c r="G69">
        <f>IF($A69="","",INDEX('05_KAPA'!$I:$I,$A69))</f>
        <v/>
      </c>
      <c r="H69" s="202">
        <f>IF($A69="","",INDEX('05_KAPA'!$P:$P,$A69))</f>
        <v/>
      </c>
      <c r="I69" s="118">
        <f>IF($A69="","",INDEX('05_KAPA'!$O:$O,$A69))</f>
        <v/>
      </c>
      <c r="J69" s="202">
        <f>IF($A69="","",IFERROR(DATE(LEFT(TEXT(INDEX('05_KAPA'!$T:$T,$A69),"0"),4),MID(TEXT(INDEX('05_KAPA'!$T:$T,$A69),"0"),5,2),RIGHT(TEXT(INDEX('05_KAPA'!$T:$T,$A69),"0"),2)),""))</f>
        <v/>
      </c>
      <c r="K69">
        <f>IF(C69="","",IF('02_대상물건입력'!$B$5="",1,IF(ISNUMBER(SEARCH('02_대상물건입력'!$B$5,C69)),1,0)))</f>
        <v/>
      </c>
      <c r="L69">
        <f>IF(C69="","",IF('02_대상물건입력'!$B$6="",1,IF(ISNUMBER(SEARCH('02_대상물건입력'!$B$6,C69)),1,0)))</f>
        <v/>
      </c>
      <c r="M69">
        <f>IF(E69="","",IF('02_대상물건입력'!$B$8="",0,IF(ISNUMBER(SEARCH('02_대상물건입력'!$B$8,E69)),1,0)))</f>
        <v/>
      </c>
      <c r="N69">
        <f>IF(B69="","",IF(B69="담보",1,0))</f>
        <v/>
      </c>
      <c r="O69">
        <f>IFERROR(ABS(G69-'02_대상물건입력'!$B$11)/'02_대상물건입력'!$B$11,"")</f>
        <v/>
      </c>
      <c r="P69">
        <f>IFERROR(ABS('01_설정'!$B$4-H69),"")</f>
        <v/>
      </c>
      <c r="Q69">
        <f>IFERROR(ABS(YEAR(J69)-YEAR('02_대상물건입력'!$B$14)),"")</f>
        <v/>
      </c>
      <c r="R69">
        <f>IF(AND(G69&gt;0,H69&gt;0,I69&gt;0,N69=1,IF('01_설정'!$B$10=1,K69=1,TRUE()),O69&lt;='01_설정'!$B$5,P69&lt;='01_설정'!$B$7,Q69&lt;='01_설정'!$B$8),"Y","")</f>
        <v/>
      </c>
      <c r="S69">
        <f>IF(R69&lt;&gt;"Y","",MAX(0,(1-O69/'01_설정'!$B$5))*'01_설정'!$B$14+MAX(0,(1-P69/'01_설정'!$B$7))*'01_설정'!$B$16+MAX(0,(1-Q69/'01_설정'!$B$8))*'01_설정'!$B$17+L69*'01_설정'!$B$11+M69*'01_설정'!$B$12+N69*50)</f>
        <v/>
      </c>
      <c r="T69">
        <f>IF(S69="","",1+COUNTIFS($S$31:$S$1030,"&gt;"&amp;S69)+COUNTIFS($S$31:S69,S69)-1)</f>
        <v/>
      </c>
    </row>
    <row r="70" hidden="1" ht="16.5" customHeight="1">
      <c r="A70">
        <f>IF(COUNTA('05_KAPA'!$A41:$AO41)=0,"",43)</f>
        <v/>
      </c>
      <c r="B70">
        <f>IF($A70="","",INDEX('05_KAPA'!$B:$B,$A70))</f>
        <v/>
      </c>
      <c r="C70">
        <f>IF($A70="","",INDEX('05_KAPA'!$F:$F,$A70))</f>
        <v/>
      </c>
      <c r="D70">
        <f>IF($A70="","",INDEX('05_KAPA'!$H:$H,$A70))</f>
        <v/>
      </c>
      <c r="E70">
        <f>IF($A70="","",INDEX('05_KAPA'!$K:$K,$A70))</f>
        <v/>
      </c>
      <c r="F70">
        <f>IF($A70="","",INDEX('05_KAPA'!$L:$L,$A70))</f>
        <v/>
      </c>
      <c r="G70">
        <f>IF($A70="","",INDEX('05_KAPA'!$I:$I,$A70))</f>
        <v/>
      </c>
      <c r="H70" s="202">
        <f>IF($A70="","",INDEX('05_KAPA'!$P:$P,$A70))</f>
        <v/>
      </c>
      <c r="I70" s="118">
        <f>IF($A70="","",INDEX('05_KAPA'!$O:$O,$A70))</f>
        <v/>
      </c>
      <c r="J70" s="202">
        <f>IF($A70="","",IFERROR(DATE(LEFT(TEXT(INDEX('05_KAPA'!$T:$T,$A70),"0"),4),MID(TEXT(INDEX('05_KAPA'!$T:$T,$A70),"0"),5,2),RIGHT(TEXT(INDEX('05_KAPA'!$T:$T,$A70),"0"),2)),""))</f>
        <v/>
      </c>
      <c r="K70">
        <f>IF(C70="","",IF('02_대상물건입력'!$B$5="",1,IF(ISNUMBER(SEARCH('02_대상물건입력'!$B$5,C70)),1,0)))</f>
        <v/>
      </c>
      <c r="L70">
        <f>IF(C70="","",IF('02_대상물건입력'!$B$6="",1,IF(ISNUMBER(SEARCH('02_대상물건입력'!$B$6,C70)),1,0)))</f>
        <v/>
      </c>
      <c r="M70">
        <f>IF(E70="","",IF('02_대상물건입력'!$B$8="",0,IF(ISNUMBER(SEARCH('02_대상물건입력'!$B$8,E70)),1,0)))</f>
        <v/>
      </c>
      <c r="N70">
        <f>IF(B70="","",IF(B70="담보",1,0))</f>
        <v/>
      </c>
      <c r="O70">
        <f>IFERROR(ABS(G70-'02_대상물건입력'!$B$11)/'02_대상물건입력'!$B$11,"")</f>
        <v/>
      </c>
      <c r="P70">
        <f>IFERROR(ABS('01_설정'!$B$4-H70),"")</f>
        <v/>
      </c>
      <c r="Q70">
        <f>IFERROR(ABS(YEAR(J70)-YEAR('02_대상물건입력'!$B$14)),"")</f>
        <v/>
      </c>
      <c r="R70">
        <f>IF(AND(G70&gt;0,H70&gt;0,I70&gt;0,N70=1,IF('01_설정'!$B$10=1,K70=1,TRUE()),O70&lt;='01_설정'!$B$5,P70&lt;='01_설정'!$B$7,Q70&lt;='01_설정'!$B$8),"Y","")</f>
        <v/>
      </c>
      <c r="S70">
        <f>IF(R70&lt;&gt;"Y","",MAX(0,(1-O70/'01_설정'!$B$5))*'01_설정'!$B$14+MAX(0,(1-P70/'01_설정'!$B$7))*'01_설정'!$B$16+MAX(0,(1-Q70/'01_설정'!$B$8))*'01_설정'!$B$17+L70*'01_설정'!$B$11+M70*'01_설정'!$B$12+N70*50)</f>
        <v/>
      </c>
      <c r="T70">
        <f>IF(S70="","",1+COUNTIFS($S$31:$S$1030,"&gt;"&amp;S70)+COUNTIFS($S$31:S70,S70)-1)</f>
        <v/>
      </c>
    </row>
    <row r="71" hidden="1" ht="16.5" customHeight="1">
      <c r="A71">
        <f>IF(COUNTA('05_KAPA'!$A42:$AO42)=0,"",44)</f>
        <v/>
      </c>
      <c r="B71">
        <f>IF($A71="","",INDEX('05_KAPA'!$B:$B,$A71))</f>
        <v/>
      </c>
      <c r="C71">
        <f>IF($A71="","",INDEX('05_KAPA'!$F:$F,$A71))</f>
        <v/>
      </c>
      <c r="D71">
        <f>IF($A71="","",INDEX('05_KAPA'!$H:$H,$A71))</f>
        <v/>
      </c>
      <c r="E71">
        <f>IF($A71="","",INDEX('05_KAPA'!$K:$K,$A71))</f>
        <v/>
      </c>
      <c r="F71">
        <f>IF($A71="","",INDEX('05_KAPA'!$L:$L,$A71))</f>
        <v/>
      </c>
      <c r="G71">
        <f>IF($A71="","",INDEX('05_KAPA'!$I:$I,$A71))</f>
        <v/>
      </c>
      <c r="H71" s="202">
        <f>IF($A71="","",INDEX('05_KAPA'!$P:$P,$A71))</f>
        <v/>
      </c>
      <c r="I71" s="118">
        <f>IF($A71="","",INDEX('05_KAPA'!$O:$O,$A71))</f>
        <v/>
      </c>
      <c r="J71" s="202">
        <f>IF($A71="","",IFERROR(DATE(LEFT(TEXT(INDEX('05_KAPA'!$T:$T,$A71),"0"),4),MID(TEXT(INDEX('05_KAPA'!$T:$T,$A71),"0"),5,2),RIGHT(TEXT(INDEX('05_KAPA'!$T:$T,$A71),"0"),2)),""))</f>
        <v/>
      </c>
      <c r="K71">
        <f>IF(C71="","",IF('02_대상물건입력'!$B$5="",1,IF(ISNUMBER(SEARCH('02_대상물건입력'!$B$5,C71)),1,0)))</f>
        <v/>
      </c>
      <c r="L71">
        <f>IF(C71="","",IF('02_대상물건입력'!$B$6="",1,IF(ISNUMBER(SEARCH('02_대상물건입력'!$B$6,C71)),1,0)))</f>
        <v/>
      </c>
      <c r="M71">
        <f>IF(E71="","",IF('02_대상물건입력'!$B$8="",0,IF(ISNUMBER(SEARCH('02_대상물건입력'!$B$8,E71)),1,0)))</f>
        <v/>
      </c>
      <c r="N71">
        <f>IF(B71="","",IF(B71="담보",1,0))</f>
        <v/>
      </c>
      <c r="O71">
        <f>IFERROR(ABS(G71-'02_대상물건입력'!$B$11)/'02_대상물건입력'!$B$11,"")</f>
        <v/>
      </c>
      <c r="P71">
        <f>IFERROR(ABS('01_설정'!$B$4-H71),"")</f>
        <v/>
      </c>
      <c r="Q71">
        <f>IFERROR(ABS(YEAR(J71)-YEAR('02_대상물건입력'!$B$14)),"")</f>
        <v/>
      </c>
      <c r="R71">
        <f>IF(AND(G71&gt;0,H71&gt;0,I71&gt;0,N71=1,IF('01_설정'!$B$10=1,K71=1,TRUE()),O71&lt;='01_설정'!$B$5,P71&lt;='01_설정'!$B$7,Q71&lt;='01_설정'!$B$8),"Y","")</f>
        <v/>
      </c>
      <c r="S71">
        <f>IF(R71&lt;&gt;"Y","",MAX(0,(1-O71/'01_설정'!$B$5))*'01_설정'!$B$14+MAX(0,(1-P71/'01_설정'!$B$7))*'01_설정'!$B$16+MAX(0,(1-Q71/'01_설정'!$B$8))*'01_설정'!$B$17+L71*'01_설정'!$B$11+M71*'01_설정'!$B$12+N71*50)</f>
        <v/>
      </c>
      <c r="T71">
        <f>IF(S71="","",1+COUNTIFS($S$31:$S$1030,"&gt;"&amp;S71)+COUNTIFS($S$31:S71,S71)-1)</f>
        <v/>
      </c>
    </row>
    <row r="72" hidden="1" ht="16.5" customHeight="1">
      <c r="A72">
        <f>IF(COUNTA('05_KAPA'!$A43:$AO43)=0,"",45)</f>
        <v/>
      </c>
      <c r="B72">
        <f>IF($A72="","",INDEX('05_KAPA'!$B:$B,$A72))</f>
        <v/>
      </c>
      <c r="C72">
        <f>IF($A72="","",INDEX('05_KAPA'!$F:$F,$A72))</f>
        <v/>
      </c>
      <c r="D72">
        <f>IF($A72="","",INDEX('05_KAPA'!$H:$H,$A72))</f>
        <v/>
      </c>
      <c r="E72">
        <f>IF($A72="","",INDEX('05_KAPA'!$K:$K,$A72))</f>
        <v/>
      </c>
      <c r="F72">
        <f>IF($A72="","",INDEX('05_KAPA'!$L:$L,$A72))</f>
        <v/>
      </c>
      <c r="G72">
        <f>IF($A72="","",INDEX('05_KAPA'!$I:$I,$A72))</f>
        <v/>
      </c>
      <c r="H72" s="202">
        <f>IF($A72="","",INDEX('05_KAPA'!$P:$P,$A72))</f>
        <v/>
      </c>
      <c r="I72" s="118">
        <f>IF($A72="","",INDEX('05_KAPA'!$O:$O,$A72))</f>
        <v/>
      </c>
      <c r="J72" s="202">
        <f>IF($A72="","",IFERROR(DATE(LEFT(TEXT(INDEX('05_KAPA'!$T:$T,$A72),"0"),4),MID(TEXT(INDEX('05_KAPA'!$T:$T,$A72),"0"),5,2),RIGHT(TEXT(INDEX('05_KAPA'!$T:$T,$A72),"0"),2)),""))</f>
        <v/>
      </c>
      <c r="K72">
        <f>IF(C72="","",IF('02_대상물건입력'!$B$5="",1,IF(ISNUMBER(SEARCH('02_대상물건입력'!$B$5,C72)),1,0)))</f>
        <v/>
      </c>
      <c r="L72">
        <f>IF(C72="","",IF('02_대상물건입력'!$B$6="",1,IF(ISNUMBER(SEARCH('02_대상물건입력'!$B$6,C72)),1,0)))</f>
        <v/>
      </c>
      <c r="M72">
        <f>IF(E72="","",IF('02_대상물건입력'!$B$8="",0,IF(ISNUMBER(SEARCH('02_대상물건입력'!$B$8,E72)),1,0)))</f>
        <v/>
      </c>
      <c r="N72">
        <f>IF(B72="","",IF(B72="담보",1,0))</f>
        <v/>
      </c>
      <c r="O72">
        <f>IFERROR(ABS(G72-'02_대상물건입력'!$B$11)/'02_대상물건입력'!$B$11,"")</f>
        <v/>
      </c>
      <c r="P72">
        <f>IFERROR(ABS('01_설정'!$B$4-H72),"")</f>
        <v/>
      </c>
      <c r="Q72">
        <f>IFERROR(ABS(YEAR(J72)-YEAR('02_대상물건입력'!$B$14)),"")</f>
        <v/>
      </c>
      <c r="R72">
        <f>IF(AND(G72&gt;0,H72&gt;0,I72&gt;0,N72=1,IF('01_설정'!$B$10=1,K72=1,TRUE()),O72&lt;='01_설정'!$B$5,P72&lt;='01_설정'!$B$7,Q72&lt;='01_설정'!$B$8),"Y","")</f>
        <v/>
      </c>
      <c r="S72">
        <f>IF(R72&lt;&gt;"Y","",MAX(0,(1-O72/'01_설정'!$B$5))*'01_설정'!$B$14+MAX(0,(1-P72/'01_설정'!$B$7))*'01_설정'!$B$16+MAX(0,(1-Q72/'01_설정'!$B$8))*'01_설정'!$B$17+L72*'01_설정'!$B$11+M72*'01_설정'!$B$12+N72*50)</f>
        <v/>
      </c>
      <c r="T72">
        <f>IF(S72="","",1+COUNTIFS($S$31:$S$1030,"&gt;"&amp;S72)+COUNTIFS($S$31:S72,S72)-1)</f>
        <v/>
      </c>
    </row>
    <row r="73" hidden="1" ht="16.5" customHeight="1">
      <c r="A73">
        <f>IF(COUNTA('05_KAPA'!$A44:$AO44)=0,"",46)</f>
        <v/>
      </c>
      <c r="B73">
        <f>IF($A73="","",INDEX('05_KAPA'!$B:$B,$A73))</f>
        <v/>
      </c>
      <c r="C73">
        <f>IF($A73="","",INDEX('05_KAPA'!$F:$F,$A73))</f>
        <v/>
      </c>
      <c r="D73">
        <f>IF($A73="","",INDEX('05_KAPA'!$H:$H,$A73))</f>
        <v/>
      </c>
      <c r="E73">
        <f>IF($A73="","",INDEX('05_KAPA'!$K:$K,$A73))</f>
        <v/>
      </c>
      <c r="F73">
        <f>IF($A73="","",INDEX('05_KAPA'!$L:$L,$A73))</f>
        <v/>
      </c>
      <c r="G73">
        <f>IF($A73="","",INDEX('05_KAPA'!$I:$I,$A73))</f>
        <v/>
      </c>
      <c r="H73" s="202">
        <f>IF($A73="","",INDEX('05_KAPA'!$P:$P,$A73))</f>
        <v/>
      </c>
      <c r="I73" s="118">
        <f>IF($A73="","",INDEX('05_KAPA'!$O:$O,$A73))</f>
        <v/>
      </c>
      <c r="J73" s="202">
        <f>IF($A73="","",IFERROR(DATE(LEFT(TEXT(INDEX('05_KAPA'!$T:$T,$A73),"0"),4),MID(TEXT(INDEX('05_KAPA'!$T:$T,$A73),"0"),5,2),RIGHT(TEXT(INDEX('05_KAPA'!$T:$T,$A73),"0"),2)),""))</f>
        <v/>
      </c>
      <c r="K73">
        <f>IF(C73="","",IF('02_대상물건입력'!$B$5="",1,IF(ISNUMBER(SEARCH('02_대상물건입력'!$B$5,C73)),1,0)))</f>
        <v/>
      </c>
      <c r="L73">
        <f>IF(C73="","",IF('02_대상물건입력'!$B$6="",1,IF(ISNUMBER(SEARCH('02_대상물건입력'!$B$6,C73)),1,0)))</f>
        <v/>
      </c>
      <c r="M73">
        <f>IF(E73="","",IF('02_대상물건입력'!$B$8="",0,IF(ISNUMBER(SEARCH('02_대상물건입력'!$B$8,E73)),1,0)))</f>
        <v/>
      </c>
      <c r="N73">
        <f>IF(B73="","",IF(B73="담보",1,0))</f>
        <v/>
      </c>
      <c r="O73">
        <f>IFERROR(ABS(G73-'02_대상물건입력'!$B$11)/'02_대상물건입력'!$B$11,"")</f>
        <v/>
      </c>
      <c r="P73">
        <f>IFERROR(ABS('01_설정'!$B$4-H73),"")</f>
        <v/>
      </c>
      <c r="Q73">
        <f>IFERROR(ABS(YEAR(J73)-YEAR('02_대상물건입력'!$B$14)),"")</f>
        <v/>
      </c>
      <c r="R73">
        <f>IF(AND(G73&gt;0,H73&gt;0,I73&gt;0,N73=1,IF('01_설정'!$B$10=1,K73=1,TRUE()),O73&lt;='01_설정'!$B$5,P73&lt;='01_설정'!$B$7,Q73&lt;='01_설정'!$B$8),"Y","")</f>
        <v/>
      </c>
      <c r="S73">
        <f>IF(R73&lt;&gt;"Y","",MAX(0,(1-O73/'01_설정'!$B$5))*'01_설정'!$B$14+MAX(0,(1-P73/'01_설정'!$B$7))*'01_설정'!$B$16+MAX(0,(1-Q73/'01_설정'!$B$8))*'01_설정'!$B$17+L73*'01_설정'!$B$11+M73*'01_설정'!$B$12+N73*50)</f>
        <v/>
      </c>
      <c r="T73">
        <f>IF(S73="","",1+COUNTIFS($S$31:$S$1030,"&gt;"&amp;S73)+COUNTIFS($S$31:S73,S73)-1)</f>
        <v/>
      </c>
    </row>
    <row r="74" hidden="1" ht="16.5" customHeight="1">
      <c r="A74">
        <f>IF(COUNTA('05_KAPA'!$A45:$AO45)=0,"",47)</f>
        <v/>
      </c>
      <c r="B74">
        <f>IF($A74="","",INDEX('05_KAPA'!$B:$B,$A74))</f>
        <v/>
      </c>
      <c r="C74">
        <f>IF($A74="","",INDEX('05_KAPA'!$F:$F,$A74))</f>
        <v/>
      </c>
      <c r="D74">
        <f>IF($A74="","",INDEX('05_KAPA'!$H:$H,$A74))</f>
        <v/>
      </c>
      <c r="E74">
        <f>IF($A74="","",INDEX('05_KAPA'!$K:$K,$A74))</f>
        <v/>
      </c>
      <c r="F74">
        <f>IF($A74="","",INDEX('05_KAPA'!$L:$L,$A74))</f>
        <v/>
      </c>
      <c r="G74">
        <f>IF($A74="","",INDEX('05_KAPA'!$I:$I,$A74))</f>
        <v/>
      </c>
      <c r="H74" s="202">
        <f>IF($A74="","",INDEX('05_KAPA'!$P:$P,$A74))</f>
        <v/>
      </c>
      <c r="I74" s="118">
        <f>IF($A74="","",INDEX('05_KAPA'!$O:$O,$A74))</f>
        <v/>
      </c>
      <c r="J74" s="202">
        <f>IF($A74="","",IFERROR(DATE(LEFT(TEXT(INDEX('05_KAPA'!$T:$T,$A74),"0"),4),MID(TEXT(INDEX('05_KAPA'!$T:$T,$A74),"0"),5,2),RIGHT(TEXT(INDEX('05_KAPA'!$T:$T,$A74),"0"),2)),""))</f>
        <v/>
      </c>
      <c r="K74">
        <f>IF(C74="","",IF('02_대상물건입력'!$B$5="",1,IF(ISNUMBER(SEARCH('02_대상물건입력'!$B$5,C74)),1,0)))</f>
        <v/>
      </c>
      <c r="L74">
        <f>IF(C74="","",IF('02_대상물건입력'!$B$6="",1,IF(ISNUMBER(SEARCH('02_대상물건입력'!$B$6,C74)),1,0)))</f>
        <v/>
      </c>
      <c r="M74">
        <f>IF(E74="","",IF('02_대상물건입력'!$B$8="",0,IF(ISNUMBER(SEARCH('02_대상물건입력'!$B$8,E74)),1,0)))</f>
        <v/>
      </c>
      <c r="N74">
        <f>IF(B74="","",IF(B74="담보",1,0))</f>
        <v/>
      </c>
      <c r="O74">
        <f>IFERROR(ABS(G74-'02_대상물건입력'!$B$11)/'02_대상물건입력'!$B$11,"")</f>
        <v/>
      </c>
      <c r="P74">
        <f>IFERROR(ABS('01_설정'!$B$4-H74),"")</f>
        <v/>
      </c>
      <c r="Q74">
        <f>IFERROR(ABS(YEAR(J74)-YEAR('02_대상물건입력'!$B$14)),"")</f>
        <v/>
      </c>
      <c r="R74">
        <f>IF(AND(G74&gt;0,H74&gt;0,I74&gt;0,N74=1,IF('01_설정'!$B$10=1,K74=1,TRUE()),O74&lt;='01_설정'!$B$5,P74&lt;='01_설정'!$B$7,Q74&lt;='01_설정'!$B$8),"Y","")</f>
        <v/>
      </c>
      <c r="S74">
        <f>IF(R74&lt;&gt;"Y","",MAX(0,(1-O74/'01_설정'!$B$5))*'01_설정'!$B$14+MAX(0,(1-P74/'01_설정'!$B$7))*'01_설정'!$B$16+MAX(0,(1-Q74/'01_설정'!$B$8))*'01_설정'!$B$17+L74*'01_설정'!$B$11+M74*'01_설정'!$B$12+N74*50)</f>
        <v/>
      </c>
      <c r="T74">
        <f>IF(S74="","",1+COUNTIFS($S$31:$S$1030,"&gt;"&amp;S74)+COUNTIFS($S$31:S74,S74)-1)</f>
        <v/>
      </c>
    </row>
    <row r="75" hidden="1" ht="16.5" customHeight="1">
      <c r="A75">
        <f>IF(COUNTA('05_KAPA'!$A46:$AO46)=0,"",48)</f>
        <v/>
      </c>
      <c r="B75">
        <f>IF($A75="","",INDEX('05_KAPA'!$B:$B,$A75))</f>
        <v/>
      </c>
      <c r="C75">
        <f>IF($A75="","",INDEX('05_KAPA'!$F:$F,$A75))</f>
        <v/>
      </c>
      <c r="D75">
        <f>IF($A75="","",INDEX('05_KAPA'!$H:$H,$A75))</f>
        <v/>
      </c>
      <c r="E75">
        <f>IF($A75="","",INDEX('05_KAPA'!$K:$K,$A75))</f>
        <v/>
      </c>
      <c r="F75">
        <f>IF($A75="","",INDEX('05_KAPA'!$L:$L,$A75))</f>
        <v/>
      </c>
      <c r="G75">
        <f>IF($A75="","",INDEX('05_KAPA'!$I:$I,$A75))</f>
        <v/>
      </c>
      <c r="H75" s="202">
        <f>IF($A75="","",INDEX('05_KAPA'!$P:$P,$A75))</f>
        <v/>
      </c>
      <c r="I75" s="118">
        <f>IF($A75="","",INDEX('05_KAPA'!$O:$O,$A75))</f>
        <v/>
      </c>
      <c r="J75" s="202">
        <f>IF($A75="","",IFERROR(DATE(LEFT(TEXT(INDEX('05_KAPA'!$T:$T,$A75),"0"),4),MID(TEXT(INDEX('05_KAPA'!$T:$T,$A75),"0"),5,2),RIGHT(TEXT(INDEX('05_KAPA'!$T:$T,$A75),"0"),2)),""))</f>
        <v/>
      </c>
      <c r="K75">
        <f>IF(C75="","",IF('02_대상물건입력'!$B$5="",1,IF(ISNUMBER(SEARCH('02_대상물건입력'!$B$5,C75)),1,0)))</f>
        <v/>
      </c>
      <c r="L75">
        <f>IF(C75="","",IF('02_대상물건입력'!$B$6="",1,IF(ISNUMBER(SEARCH('02_대상물건입력'!$B$6,C75)),1,0)))</f>
        <v/>
      </c>
      <c r="M75">
        <f>IF(E75="","",IF('02_대상물건입력'!$B$8="",0,IF(ISNUMBER(SEARCH('02_대상물건입력'!$B$8,E75)),1,0)))</f>
        <v/>
      </c>
      <c r="N75">
        <f>IF(B75="","",IF(B75="담보",1,0))</f>
        <v/>
      </c>
      <c r="O75">
        <f>IFERROR(ABS(G75-'02_대상물건입력'!$B$11)/'02_대상물건입력'!$B$11,"")</f>
        <v/>
      </c>
      <c r="P75">
        <f>IFERROR(ABS('01_설정'!$B$4-H75),"")</f>
        <v/>
      </c>
      <c r="Q75">
        <f>IFERROR(ABS(YEAR(J75)-YEAR('02_대상물건입력'!$B$14)),"")</f>
        <v/>
      </c>
      <c r="R75">
        <f>IF(AND(G75&gt;0,H75&gt;0,I75&gt;0,N75=1,IF('01_설정'!$B$10=1,K75=1,TRUE()),O75&lt;='01_설정'!$B$5,P75&lt;='01_설정'!$B$7,Q75&lt;='01_설정'!$B$8),"Y","")</f>
        <v/>
      </c>
      <c r="S75">
        <f>IF(R75&lt;&gt;"Y","",MAX(0,(1-O75/'01_설정'!$B$5))*'01_설정'!$B$14+MAX(0,(1-P75/'01_설정'!$B$7))*'01_설정'!$B$16+MAX(0,(1-Q75/'01_설정'!$B$8))*'01_설정'!$B$17+L75*'01_설정'!$B$11+M75*'01_설정'!$B$12+N75*50)</f>
        <v/>
      </c>
      <c r="T75">
        <f>IF(S75="","",1+COUNTIFS($S$31:$S$1030,"&gt;"&amp;S75)+COUNTIFS($S$31:S75,S75)-1)</f>
        <v/>
      </c>
    </row>
    <row r="76" hidden="1" ht="16.5" customHeight="1">
      <c r="A76">
        <f>IF(COUNTA('05_KAPA'!$A47:$AO47)=0,"",49)</f>
        <v/>
      </c>
      <c r="B76">
        <f>IF($A76="","",INDEX('05_KAPA'!$B:$B,$A76))</f>
        <v/>
      </c>
      <c r="C76">
        <f>IF($A76="","",INDEX('05_KAPA'!$F:$F,$A76))</f>
        <v/>
      </c>
      <c r="D76">
        <f>IF($A76="","",INDEX('05_KAPA'!$H:$H,$A76))</f>
        <v/>
      </c>
      <c r="E76">
        <f>IF($A76="","",INDEX('05_KAPA'!$K:$K,$A76))</f>
        <v/>
      </c>
      <c r="F76">
        <f>IF($A76="","",INDEX('05_KAPA'!$L:$L,$A76))</f>
        <v/>
      </c>
      <c r="G76">
        <f>IF($A76="","",INDEX('05_KAPA'!$I:$I,$A76))</f>
        <v/>
      </c>
      <c r="H76" s="202">
        <f>IF($A76="","",INDEX('05_KAPA'!$P:$P,$A76))</f>
        <v/>
      </c>
      <c r="I76" s="118">
        <f>IF($A76="","",INDEX('05_KAPA'!$O:$O,$A76))</f>
        <v/>
      </c>
      <c r="J76" s="202">
        <f>IF($A76="","",IFERROR(DATE(LEFT(TEXT(INDEX('05_KAPA'!$T:$T,$A76),"0"),4),MID(TEXT(INDEX('05_KAPA'!$T:$T,$A76),"0"),5,2),RIGHT(TEXT(INDEX('05_KAPA'!$T:$T,$A76),"0"),2)),""))</f>
        <v/>
      </c>
      <c r="K76">
        <f>IF(C76="","",IF('02_대상물건입력'!$B$5="",1,IF(ISNUMBER(SEARCH('02_대상물건입력'!$B$5,C76)),1,0)))</f>
        <v/>
      </c>
      <c r="L76">
        <f>IF(C76="","",IF('02_대상물건입력'!$B$6="",1,IF(ISNUMBER(SEARCH('02_대상물건입력'!$B$6,C76)),1,0)))</f>
        <v/>
      </c>
      <c r="M76">
        <f>IF(E76="","",IF('02_대상물건입력'!$B$8="",0,IF(ISNUMBER(SEARCH('02_대상물건입력'!$B$8,E76)),1,0)))</f>
        <v/>
      </c>
      <c r="N76">
        <f>IF(B76="","",IF(B76="담보",1,0))</f>
        <v/>
      </c>
      <c r="O76">
        <f>IFERROR(ABS(G76-'02_대상물건입력'!$B$11)/'02_대상물건입력'!$B$11,"")</f>
        <v/>
      </c>
      <c r="P76">
        <f>IFERROR(ABS('01_설정'!$B$4-H76),"")</f>
        <v/>
      </c>
      <c r="Q76">
        <f>IFERROR(ABS(YEAR(J76)-YEAR('02_대상물건입력'!$B$14)),"")</f>
        <v/>
      </c>
      <c r="R76">
        <f>IF(AND(G76&gt;0,H76&gt;0,I76&gt;0,N76=1,IF('01_설정'!$B$10=1,K76=1,TRUE()),O76&lt;='01_설정'!$B$5,P76&lt;='01_설정'!$B$7,Q76&lt;='01_설정'!$B$8),"Y","")</f>
        <v/>
      </c>
      <c r="S76">
        <f>IF(R76&lt;&gt;"Y","",MAX(0,(1-O76/'01_설정'!$B$5))*'01_설정'!$B$14+MAX(0,(1-P76/'01_설정'!$B$7))*'01_설정'!$B$16+MAX(0,(1-Q76/'01_설정'!$B$8))*'01_설정'!$B$17+L76*'01_설정'!$B$11+M76*'01_설정'!$B$12+N76*50)</f>
        <v/>
      </c>
      <c r="T76">
        <f>IF(S76="","",1+COUNTIFS($S$31:$S$1030,"&gt;"&amp;S76)+COUNTIFS($S$31:S76,S76)-1)</f>
        <v/>
      </c>
    </row>
    <row r="77" hidden="1" ht="16.5" customHeight="1">
      <c r="A77">
        <f>IF(COUNTA('05_KAPA'!$A48:$AO48)=0,"",50)</f>
        <v/>
      </c>
      <c r="B77">
        <f>IF($A77="","",INDEX('05_KAPA'!$B:$B,$A77))</f>
        <v/>
      </c>
      <c r="C77">
        <f>IF($A77="","",INDEX('05_KAPA'!$F:$F,$A77))</f>
        <v/>
      </c>
      <c r="D77">
        <f>IF($A77="","",INDEX('05_KAPA'!$H:$H,$A77))</f>
        <v/>
      </c>
      <c r="E77">
        <f>IF($A77="","",INDEX('05_KAPA'!$K:$K,$A77))</f>
        <v/>
      </c>
      <c r="F77">
        <f>IF($A77="","",INDEX('05_KAPA'!$L:$L,$A77))</f>
        <v/>
      </c>
      <c r="G77">
        <f>IF($A77="","",INDEX('05_KAPA'!$I:$I,$A77))</f>
        <v/>
      </c>
      <c r="H77" s="202">
        <f>IF($A77="","",INDEX('05_KAPA'!$P:$P,$A77))</f>
        <v/>
      </c>
      <c r="I77" s="118">
        <f>IF($A77="","",INDEX('05_KAPA'!$O:$O,$A77))</f>
        <v/>
      </c>
      <c r="J77" s="202">
        <f>IF($A77="","",IFERROR(DATE(LEFT(TEXT(INDEX('05_KAPA'!$T:$T,$A77),"0"),4),MID(TEXT(INDEX('05_KAPA'!$T:$T,$A77),"0"),5,2),RIGHT(TEXT(INDEX('05_KAPA'!$T:$T,$A77),"0"),2)),""))</f>
        <v/>
      </c>
      <c r="K77">
        <f>IF(C77="","",IF('02_대상물건입력'!$B$5="",1,IF(ISNUMBER(SEARCH('02_대상물건입력'!$B$5,C77)),1,0)))</f>
        <v/>
      </c>
      <c r="L77">
        <f>IF(C77="","",IF('02_대상물건입력'!$B$6="",1,IF(ISNUMBER(SEARCH('02_대상물건입력'!$B$6,C77)),1,0)))</f>
        <v/>
      </c>
      <c r="M77">
        <f>IF(E77="","",IF('02_대상물건입력'!$B$8="",0,IF(ISNUMBER(SEARCH('02_대상물건입력'!$B$8,E77)),1,0)))</f>
        <v/>
      </c>
      <c r="N77">
        <f>IF(B77="","",IF(B77="담보",1,0))</f>
        <v/>
      </c>
      <c r="O77">
        <f>IFERROR(ABS(G77-'02_대상물건입력'!$B$11)/'02_대상물건입력'!$B$11,"")</f>
        <v/>
      </c>
      <c r="P77">
        <f>IFERROR(ABS('01_설정'!$B$4-H77),"")</f>
        <v/>
      </c>
      <c r="Q77">
        <f>IFERROR(ABS(YEAR(J77)-YEAR('02_대상물건입력'!$B$14)),"")</f>
        <v/>
      </c>
      <c r="R77">
        <f>IF(AND(G77&gt;0,H77&gt;0,I77&gt;0,N77=1,IF('01_설정'!$B$10=1,K77=1,TRUE()),O77&lt;='01_설정'!$B$5,P77&lt;='01_설정'!$B$7,Q77&lt;='01_설정'!$B$8),"Y","")</f>
        <v/>
      </c>
      <c r="S77">
        <f>IF(R77&lt;&gt;"Y","",MAX(0,(1-O77/'01_설정'!$B$5))*'01_설정'!$B$14+MAX(0,(1-P77/'01_설정'!$B$7))*'01_설정'!$B$16+MAX(0,(1-Q77/'01_설정'!$B$8))*'01_설정'!$B$17+L77*'01_설정'!$B$11+M77*'01_설정'!$B$12+N77*50)</f>
        <v/>
      </c>
      <c r="T77">
        <f>IF(S77="","",1+COUNTIFS($S$31:$S$1030,"&gt;"&amp;S77)+COUNTIFS($S$31:S77,S77)-1)</f>
        <v/>
      </c>
    </row>
    <row r="78" hidden="1" ht="16.5" customHeight="1">
      <c r="A78">
        <f>IF(COUNTA('05_KAPA'!$A49:$AO49)=0,"",51)</f>
        <v/>
      </c>
      <c r="B78">
        <f>IF($A78="","",INDEX('05_KAPA'!$B:$B,$A78))</f>
        <v/>
      </c>
      <c r="C78">
        <f>IF($A78="","",INDEX('05_KAPA'!$F:$F,$A78))</f>
        <v/>
      </c>
      <c r="D78">
        <f>IF($A78="","",INDEX('05_KAPA'!$H:$H,$A78))</f>
        <v/>
      </c>
      <c r="E78">
        <f>IF($A78="","",INDEX('05_KAPA'!$K:$K,$A78))</f>
        <v/>
      </c>
      <c r="F78">
        <f>IF($A78="","",INDEX('05_KAPA'!$L:$L,$A78))</f>
        <v/>
      </c>
      <c r="G78">
        <f>IF($A78="","",INDEX('05_KAPA'!$I:$I,$A78))</f>
        <v/>
      </c>
      <c r="H78" s="202">
        <f>IF($A78="","",INDEX('05_KAPA'!$P:$P,$A78))</f>
        <v/>
      </c>
      <c r="I78" s="118">
        <f>IF($A78="","",INDEX('05_KAPA'!$O:$O,$A78))</f>
        <v/>
      </c>
      <c r="J78" s="202">
        <f>IF($A78="","",IFERROR(DATE(LEFT(TEXT(INDEX('05_KAPA'!$T:$T,$A78),"0"),4),MID(TEXT(INDEX('05_KAPA'!$T:$T,$A78),"0"),5,2),RIGHT(TEXT(INDEX('05_KAPA'!$T:$T,$A78),"0"),2)),""))</f>
        <v/>
      </c>
      <c r="K78">
        <f>IF(C78="","",IF('02_대상물건입력'!$B$5="",1,IF(ISNUMBER(SEARCH('02_대상물건입력'!$B$5,C78)),1,0)))</f>
        <v/>
      </c>
      <c r="L78">
        <f>IF(C78="","",IF('02_대상물건입력'!$B$6="",1,IF(ISNUMBER(SEARCH('02_대상물건입력'!$B$6,C78)),1,0)))</f>
        <v/>
      </c>
      <c r="M78">
        <f>IF(E78="","",IF('02_대상물건입력'!$B$8="",0,IF(ISNUMBER(SEARCH('02_대상물건입력'!$B$8,E78)),1,0)))</f>
        <v/>
      </c>
      <c r="N78">
        <f>IF(B78="","",IF(B78="담보",1,0))</f>
        <v/>
      </c>
      <c r="O78">
        <f>IFERROR(ABS(G78-'02_대상물건입력'!$B$11)/'02_대상물건입력'!$B$11,"")</f>
        <v/>
      </c>
      <c r="P78">
        <f>IFERROR(ABS('01_설정'!$B$4-H78),"")</f>
        <v/>
      </c>
      <c r="Q78">
        <f>IFERROR(ABS(YEAR(J78)-YEAR('02_대상물건입력'!$B$14)),"")</f>
        <v/>
      </c>
      <c r="R78">
        <f>IF(AND(G78&gt;0,H78&gt;0,I78&gt;0,N78=1,IF('01_설정'!$B$10=1,K78=1,TRUE()),O78&lt;='01_설정'!$B$5,P78&lt;='01_설정'!$B$7,Q78&lt;='01_설정'!$B$8),"Y","")</f>
        <v/>
      </c>
      <c r="S78">
        <f>IF(R78&lt;&gt;"Y","",MAX(0,(1-O78/'01_설정'!$B$5))*'01_설정'!$B$14+MAX(0,(1-P78/'01_설정'!$B$7))*'01_설정'!$B$16+MAX(0,(1-Q78/'01_설정'!$B$8))*'01_설정'!$B$17+L78*'01_설정'!$B$11+M78*'01_설정'!$B$12+N78*50)</f>
        <v/>
      </c>
      <c r="T78">
        <f>IF(S78="","",1+COUNTIFS($S$31:$S$1030,"&gt;"&amp;S78)+COUNTIFS($S$31:S78,S78)-1)</f>
        <v/>
      </c>
    </row>
    <row r="79" hidden="1" ht="16.5" customHeight="1">
      <c r="A79">
        <f>IF(COUNTA('05_KAPA'!$A50:$AO50)=0,"",52)</f>
        <v/>
      </c>
      <c r="B79">
        <f>IF($A79="","",INDEX('05_KAPA'!$B:$B,$A79))</f>
        <v/>
      </c>
      <c r="C79">
        <f>IF($A79="","",INDEX('05_KAPA'!$F:$F,$A79))</f>
        <v/>
      </c>
      <c r="D79">
        <f>IF($A79="","",INDEX('05_KAPA'!$H:$H,$A79))</f>
        <v/>
      </c>
      <c r="E79">
        <f>IF($A79="","",INDEX('05_KAPA'!$K:$K,$A79))</f>
        <v/>
      </c>
      <c r="F79">
        <f>IF($A79="","",INDEX('05_KAPA'!$L:$L,$A79))</f>
        <v/>
      </c>
      <c r="G79">
        <f>IF($A79="","",INDEX('05_KAPA'!$I:$I,$A79))</f>
        <v/>
      </c>
      <c r="H79" s="202">
        <f>IF($A79="","",INDEX('05_KAPA'!$P:$P,$A79))</f>
        <v/>
      </c>
      <c r="I79" s="118">
        <f>IF($A79="","",INDEX('05_KAPA'!$O:$O,$A79))</f>
        <v/>
      </c>
      <c r="J79" s="202">
        <f>IF($A79="","",IFERROR(DATE(LEFT(TEXT(INDEX('05_KAPA'!$T:$T,$A79),"0"),4),MID(TEXT(INDEX('05_KAPA'!$T:$T,$A79),"0"),5,2),RIGHT(TEXT(INDEX('05_KAPA'!$T:$T,$A79),"0"),2)),""))</f>
        <v/>
      </c>
      <c r="K79">
        <f>IF(C79="","",IF('02_대상물건입력'!$B$5="",1,IF(ISNUMBER(SEARCH('02_대상물건입력'!$B$5,C79)),1,0)))</f>
        <v/>
      </c>
      <c r="L79">
        <f>IF(C79="","",IF('02_대상물건입력'!$B$6="",1,IF(ISNUMBER(SEARCH('02_대상물건입력'!$B$6,C79)),1,0)))</f>
        <v/>
      </c>
      <c r="M79">
        <f>IF(E79="","",IF('02_대상물건입력'!$B$8="",0,IF(ISNUMBER(SEARCH('02_대상물건입력'!$B$8,E79)),1,0)))</f>
        <v/>
      </c>
      <c r="N79">
        <f>IF(B79="","",IF(B79="담보",1,0))</f>
        <v/>
      </c>
      <c r="O79">
        <f>IFERROR(ABS(G79-'02_대상물건입력'!$B$11)/'02_대상물건입력'!$B$11,"")</f>
        <v/>
      </c>
      <c r="P79">
        <f>IFERROR(ABS('01_설정'!$B$4-H79),"")</f>
        <v/>
      </c>
      <c r="Q79">
        <f>IFERROR(ABS(YEAR(J79)-YEAR('02_대상물건입력'!$B$14)),"")</f>
        <v/>
      </c>
      <c r="R79">
        <f>IF(AND(G79&gt;0,H79&gt;0,I79&gt;0,N79=1,IF('01_설정'!$B$10=1,K79=1,TRUE()),O79&lt;='01_설정'!$B$5,P79&lt;='01_설정'!$B$7,Q79&lt;='01_설정'!$B$8),"Y","")</f>
        <v/>
      </c>
      <c r="S79">
        <f>IF(R79&lt;&gt;"Y","",MAX(0,(1-O79/'01_설정'!$B$5))*'01_설정'!$B$14+MAX(0,(1-P79/'01_설정'!$B$7))*'01_설정'!$B$16+MAX(0,(1-Q79/'01_설정'!$B$8))*'01_설정'!$B$17+L79*'01_설정'!$B$11+M79*'01_설정'!$B$12+N79*50)</f>
        <v/>
      </c>
      <c r="T79">
        <f>IF(S79="","",1+COUNTIFS($S$31:$S$1030,"&gt;"&amp;S79)+COUNTIFS($S$31:S79,S79)-1)</f>
        <v/>
      </c>
    </row>
    <row r="80" hidden="1" ht="16.5" customHeight="1">
      <c r="A80">
        <f>IF(COUNTA('05_KAPA'!$A51:$AO51)=0,"",53)</f>
        <v/>
      </c>
      <c r="B80">
        <f>IF($A80="","",INDEX('05_KAPA'!$B:$B,$A80))</f>
        <v/>
      </c>
      <c r="C80">
        <f>IF($A80="","",INDEX('05_KAPA'!$F:$F,$A80))</f>
        <v/>
      </c>
      <c r="D80">
        <f>IF($A80="","",INDEX('05_KAPA'!$H:$H,$A80))</f>
        <v/>
      </c>
      <c r="E80">
        <f>IF($A80="","",INDEX('05_KAPA'!$K:$K,$A80))</f>
        <v/>
      </c>
      <c r="F80">
        <f>IF($A80="","",INDEX('05_KAPA'!$L:$L,$A80))</f>
        <v/>
      </c>
      <c r="G80">
        <f>IF($A80="","",INDEX('05_KAPA'!$I:$I,$A80))</f>
        <v/>
      </c>
      <c r="H80" s="202">
        <f>IF($A80="","",INDEX('05_KAPA'!$P:$P,$A80))</f>
        <v/>
      </c>
      <c r="I80" s="118">
        <f>IF($A80="","",INDEX('05_KAPA'!$O:$O,$A80))</f>
        <v/>
      </c>
      <c r="J80" s="202">
        <f>IF($A80="","",IFERROR(DATE(LEFT(TEXT(INDEX('05_KAPA'!$T:$T,$A80),"0"),4),MID(TEXT(INDEX('05_KAPA'!$T:$T,$A80),"0"),5,2),RIGHT(TEXT(INDEX('05_KAPA'!$T:$T,$A80),"0"),2)),""))</f>
        <v/>
      </c>
      <c r="K80">
        <f>IF(C80="","",IF('02_대상물건입력'!$B$5="",1,IF(ISNUMBER(SEARCH('02_대상물건입력'!$B$5,C80)),1,0)))</f>
        <v/>
      </c>
      <c r="L80">
        <f>IF(C80="","",IF('02_대상물건입력'!$B$6="",1,IF(ISNUMBER(SEARCH('02_대상물건입력'!$B$6,C80)),1,0)))</f>
        <v/>
      </c>
      <c r="M80">
        <f>IF(E80="","",IF('02_대상물건입력'!$B$8="",0,IF(ISNUMBER(SEARCH('02_대상물건입력'!$B$8,E80)),1,0)))</f>
        <v/>
      </c>
      <c r="N80">
        <f>IF(B80="","",IF(B80="담보",1,0))</f>
        <v/>
      </c>
      <c r="O80">
        <f>IFERROR(ABS(G80-'02_대상물건입력'!$B$11)/'02_대상물건입력'!$B$11,"")</f>
        <v/>
      </c>
      <c r="P80">
        <f>IFERROR(ABS('01_설정'!$B$4-H80),"")</f>
        <v/>
      </c>
      <c r="Q80">
        <f>IFERROR(ABS(YEAR(J80)-YEAR('02_대상물건입력'!$B$14)),"")</f>
        <v/>
      </c>
      <c r="R80">
        <f>IF(AND(G80&gt;0,H80&gt;0,I80&gt;0,N80=1,IF('01_설정'!$B$10=1,K80=1,TRUE()),O80&lt;='01_설정'!$B$5,P80&lt;='01_설정'!$B$7,Q80&lt;='01_설정'!$B$8),"Y","")</f>
        <v/>
      </c>
      <c r="S80">
        <f>IF(R80&lt;&gt;"Y","",MAX(0,(1-O80/'01_설정'!$B$5))*'01_설정'!$B$14+MAX(0,(1-P80/'01_설정'!$B$7))*'01_설정'!$B$16+MAX(0,(1-Q80/'01_설정'!$B$8))*'01_설정'!$B$17+L80*'01_설정'!$B$11+M80*'01_설정'!$B$12+N80*50)</f>
        <v/>
      </c>
      <c r="T80">
        <f>IF(S80="","",1+COUNTIFS($S$31:$S$1030,"&gt;"&amp;S80)+COUNTIFS($S$31:S80,S80)-1)</f>
        <v/>
      </c>
    </row>
    <row r="81" hidden="1" ht="16.5" customHeight="1">
      <c r="A81">
        <f>IF(COUNTA('05_KAPA'!$A52:$AO52)=0,"",54)</f>
        <v/>
      </c>
      <c r="B81">
        <f>IF($A81="","",INDEX('05_KAPA'!$B:$B,$A81))</f>
        <v/>
      </c>
      <c r="C81">
        <f>IF($A81="","",INDEX('05_KAPA'!$F:$F,$A81))</f>
        <v/>
      </c>
      <c r="D81">
        <f>IF($A81="","",INDEX('05_KAPA'!$H:$H,$A81))</f>
        <v/>
      </c>
      <c r="E81">
        <f>IF($A81="","",INDEX('05_KAPA'!$K:$K,$A81))</f>
        <v/>
      </c>
      <c r="F81">
        <f>IF($A81="","",INDEX('05_KAPA'!$L:$L,$A81))</f>
        <v/>
      </c>
      <c r="G81">
        <f>IF($A81="","",INDEX('05_KAPA'!$I:$I,$A81))</f>
        <v/>
      </c>
      <c r="H81" s="202">
        <f>IF($A81="","",INDEX('05_KAPA'!$P:$P,$A81))</f>
        <v/>
      </c>
      <c r="I81" s="118">
        <f>IF($A81="","",INDEX('05_KAPA'!$O:$O,$A81))</f>
        <v/>
      </c>
      <c r="J81" s="202">
        <f>IF($A81="","",IFERROR(DATE(LEFT(TEXT(INDEX('05_KAPA'!$T:$T,$A81),"0"),4),MID(TEXT(INDEX('05_KAPA'!$T:$T,$A81),"0"),5,2),RIGHT(TEXT(INDEX('05_KAPA'!$T:$T,$A81),"0"),2)),""))</f>
        <v/>
      </c>
      <c r="K81">
        <f>IF(C81="","",IF('02_대상물건입력'!$B$5="",1,IF(ISNUMBER(SEARCH('02_대상물건입력'!$B$5,C81)),1,0)))</f>
        <v/>
      </c>
      <c r="L81">
        <f>IF(C81="","",IF('02_대상물건입력'!$B$6="",1,IF(ISNUMBER(SEARCH('02_대상물건입력'!$B$6,C81)),1,0)))</f>
        <v/>
      </c>
      <c r="M81">
        <f>IF(E81="","",IF('02_대상물건입력'!$B$8="",0,IF(ISNUMBER(SEARCH('02_대상물건입력'!$B$8,E81)),1,0)))</f>
        <v/>
      </c>
      <c r="N81">
        <f>IF(B81="","",IF(B81="담보",1,0))</f>
        <v/>
      </c>
      <c r="O81">
        <f>IFERROR(ABS(G81-'02_대상물건입력'!$B$11)/'02_대상물건입력'!$B$11,"")</f>
        <v/>
      </c>
      <c r="P81">
        <f>IFERROR(ABS('01_설정'!$B$4-H81),"")</f>
        <v/>
      </c>
      <c r="Q81">
        <f>IFERROR(ABS(YEAR(J81)-YEAR('02_대상물건입력'!$B$14)),"")</f>
        <v/>
      </c>
      <c r="R81">
        <f>IF(AND(G81&gt;0,H81&gt;0,I81&gt;0,N81=1,IF('01_설정'!$B$10=1,K81=1,TRUE()),O81&lt;='01_설정'!$B$5,P81&lt;='01_설정'!$B$7,Q81&lt;='01_설정'!$B$8),"Y","")</f>
        <v/>
      </c>
      <c r="S81">
        <f>IF(R81&lt;&gt;"Y","",MAX(0,(1-O81/'01_설정'!$B$5))*'01_설정'!$B$14+MAX(0,(1-P81/'01_설정'!$B$7))*'01_설정'!$B$16+MAX(0,(1-Q81/'01_설정'!$B$8))*'01_설정'!$B$17+L81*'01_설정'!$B$11+M81*'01_설정'!$B$12+N81*50)</f>
        <v/>
      </c>
      <c r="T81">
        <f>IF(S81="","",1+COUNTIFS($S$31:$S$1030,"&gt;"&amp;S81)+COUNTIFS($S$31:S81,S81)-1)</f>
        <v/>
      </c>
    </row>
    <row r="82" hidden="1" ht="16.5" customHeight="1">
      <c r="A82">
        <f>IF(COUNTA('05_KAPA'!$A53:$AO53)=0,"",55)</f>
        <v/>
      </c>
      <c r="B82">
        <f>IF($A82="","",INDEX('05_KAPA'!$B:$B,$A82))</f>
        <v/>
      </c>
      <c r="C82">
        <f>IF($A82="","",INDEX('05_KAPA'!$F:$F,$A82))</f>
        <v/>
      </c>
      <c r="D82">
        <f>IF($A82="","",INDEX('05_KAPA'!$H:$H,$A82))</f>
        <v/>
      </c>
      <c r="E82">
        <f>IF($A82="","",INDEX('05_KAPA'!$K:$K,$A82))</f>
        <v/>
      </c>
      <c r="F82">
        <f>IF($A82="","",INDEX('05_KAPA'!$L:$L,$A82))</f>
        <v/>
      </c>
      <c r="G82">
        <f>IF($A82="","",INDEX('05_KAPA'!$I:$I,$A82))</f>
        <v/>
      </c>
      <c r="H82" s="202">
        <f>IF($A82="","",INDEX('05_KAPA'!$P:$P,$A82))</f>
        <v/>
      </c>
      <c r="I82" s="118">
        <f>IF($A82="","",INDEX('05_KAPA'!$O:$O,$A82))</f>
        <v/>
      </c>
      <c r="J82" s="202">
        <f>IF($A82="","",IFERROR(DATE(LEFT(TEXT(INDEX('05_KAPA'!$T:$T,$A82),"0"),4),MID(TEXT(INDEX('05_KAPA'!$T:$T,$A82),"0"),5,2),RIGHT(TEXT(INDEX('05_KAPA'!$T:$T,$A82),"0"),2)),""))</f>
        <v/>
      </c>
      <c r="K82">
        <f>IF(C82="","",IF('02_대상물건입력'!$B$5="",1,IF(ISNUMBER(SEARCH('02_대상물건입력'!$B$5,C82)),1,0)))</f>
        <v/>
      </c>
      <c r="L82">
        <f>IF(C82="","",IF('02_대상물건입력'!$B$6="",1,IF(ISNUMBER(SEARCH('02_대상물건입력'!$B$6,C82)),1,0)))</f>
        <v/>
      </c>
      <c r="M82">
        <f>IF(E82="","",IF('02_대상물건입력'!$B$8="",0,IF(ISNUMBER(SEARCH('02_대상물건입력'!$B$8,E82)),1,0)))</f>
        <v/>
      </c>
      <c r="N82">
        <f>IF(B82="","",IF(B82="담보",1,0))</f>
        <v/>
      </c>
      <c r="O82">
        <f>IFERROR(ABS(G82-'02_대상물건입력'!$B$11)/'02_대상물건입력'!$B$11,"")</f>
        <v/>
      </c>
      <c r="P82">
        <f>IFERROR(ABS('01_설정'!$B$4-H82),"")</f>
        <v/>
      </c>
      <c r="Q82">
        <f>IFERROR(ABS(YEAR(J82)-YEAR('02_대상물건입력'!$B$14)),"")</f>
        <v/>
      </c>
      <c r="R82">
        <f>IF(AND(G82&gt;0,H82&gt;0,I82&gt;0,N82=1,IF('01_설정'!$B$10=1,K82=1,TRUE()),O82&lt;='01_설정'!$B$5,P82&lt;='01_설정'!$B$7,Q82&lt;='01_설정'!$B$8),"Y","")</f>
        <v/>
      </c>
      <c r="S82">
        <f>IF(R82&lt;&gt;"Y","",MAX(0,(1-O82/'01_설정'!$B$5))*'01_설정'!$B$14+MAX(0,(1-P82/'01_설정'!$B$7))*'01_설정'!$B$16+MAX(0,(1-Q82/'01_설정'!$B$8))*'01_설정'!$B$17+L82*'01_설정'!$B$11+M82*'01_설정'!$B$12+N82*50)</f>
        <v/>
      </c>
      <c r="T82">
        <f>IF(S82="","",1+COUNTIFS($S$31:$S$1030,"&gt;"&amp;S82)+COUNTIFS($S$31:S82,S82)-1)</f>
        <v/>
      </c>
    </row>
    <row r="83" hidden="1" ht="16.5" customHeight="1">
      <c r="A83">
        <f>IF(COUNTA('05_KAPA'!$A54:$AO54)=0,"",56)</f>
        <v/>
      </c>
      <c r="B83">
        <f>IF($A83="","",INDEX('05_KAPA'!$B:$B,$A83))</f>
        <v/>
      </c>
      <c r="C83">
        <f>IF($A83="","",INDEX('05_KAPA'!$F:$F,$A83))</f>
        <v/>
      </c>
      <c r="D83">
        <f>IF($A83="","",INDEX('05_KAPA'!$H:$H,$A83))</f>
        <v/>
      </c>
      <c r="E83">
        <f>IF($A83="","",INDEX('05_KAPA'!$K:$K,$A83))</f>
        <v/>
      </c>
      <c r="F83">
        <f>IF($A83="","",INDEX('05_KAPA'!$L:$L,$A83))</f>
        <v/>
      </c>
      <c r="G83">
        <f>IF($A83="","",INDEX('05_KAPA'!$I:$I,$A83))</f>
        <v/>
      </c>
      <c r="H83" s="202">
        <f>IF($A83="","",INDEX('05_KAPA'!$P:$P,$A83))</f>
        <v/>
      </c>
      <c r="I83" s="118">
        <f>IF($A83="","",INDEX('05_KAPA'!$O:$O,$A83))</f>
        <v/>
      </c>
      <c r="J83" s="202">
        <f>IF($A83="","",IFERROR(DATE(LEFT(TEXT(INDEX('05_KAPA'!$T:$T,$A83),"0"),4),MID(TEXT(INDEX('05_KAPA'!$T:$T,$A83),"0"),5,2),RIGHT(TEXT(INDEX('05_KAPA'!$T:$T,$A83),"0"),2)),""))</f>
        <v/>
      </c>
      <c r="K83">
        <f>IF(C83="","",IF('02_대상물건입력'!$B$5="",1,IF(ISNUMBER(SEARCH('02_대상물건입력'!$B$5,C83)),1,0)))</f>
        <v/>
      </c>
      <c r="L83">
        <f>IF(C83="","",IF('02_대상물건입력'!$B$6="",1,IF(ISNUMBER(SEARCH('02_대상물건입력'!$B$6,C83)),1,0)))</f>
        <v/>
      </c>
      <c r="M83">
        <f>IF(E83="","",IF('02_대상물건입력'!$B$8="",0,IF(ISNUMBER(SEARCH('02_대상물건입력'!$B$8,E83)),1,0)))</f>
        <v/>
      </c>
      <c r="N83">
        <f>IF(B83="","",IF(B83="담보",1,0))</f>
        <v/>
      </c>
      <c r="O83">
        <f>IFERROR(ABS(G83-'02_대상물건입력'!$B$11)/'02_대상물건입력'!$B$11,"")</f>
        <v/>
      </c>
      <c r="P83">
        <f>IFERROR(ABS('01_설정'!$B$4-H83),"")</f>
        <v/>
      </c>
      <c r="Q83">
        <f>IFERROR(ABS(YEAR(J83)-YEAR('02_대상물건입력'!$B$14)),"")</f>
        <v/>
      </c>
      <c r="R83">
        <f>IF(AND(G83&gt;0,H83&gt;0,I83&gt;0,N83=1,IF('01_설정'!$B$10=1,K83=1,TRUE()),O83&lt;='01_설정'!$B$5,P83&lt;='01_설정'!$B$7,Q83&lt;='01_설정'!$B$8),"Y","")</f>
        <v/>
      </c>
      <c r="S83">
        <f>IF(R83&lt;&gt;"Y","",MAX(0,(1-O83/'01_설정'!$B$5))*'01_설정'!$B$14+MAX(0,(1-P83/'01_설정'!$B$7))*'01_설정'!$B$16+MAX(0,(1-Q83/'01_설정'!$B$8))*'01_설정'!$B$17+L83*'01_설정'!$B$11+M83*'01_설정'!$B$12+N83*50)</f>
        <v/>
      </c>
      <c r="T83">
        <f>IF(S83="","",1+COUNTIFS($S$31:$S$1030,"&gt;"&amp;S83)+COUNTIFS($S$31:S83,S83)-1)</f>
        <v/>
      </c>
    </row>
    <row r="84" hidden="1" ht="16.5" customHeight="1">
      <c r="A84">
        <f>IF(COUNTA('05_KAPA'!$A55:$AO55)=0,"",57)</f>
        <v/>
      </c>
      <c r="B84">
        <f>IF($A84="","",INDEX('05_KAPA'!$B:$B,$A84))</f>
        <v/>
      </c>
      <c r="C84">
        <f>IF($A84="","",INDEX('05_KAPA'!$F:$F,$A84))</f>
        <v/>
      </c>
      <c r="D84">
        <f>IF($A84="","",INDEX('05_KAPA'!$H:$H,$A84))</f>
        <v/>
      </c>
      <c r="E84">
        <f>IF($A84="","",INDEX('05_KAPA'!$K:$K,$A84))</f>
        <v/>
      </c>
      <c r="F84">
        <f>IF($A84="","",INDEX('05_KAPA'!$L:$L,$A84))</f>
        <v/>
      </c>
      <c r="G84">
        <f>IF($A84="","",INDEX('05_KAPA'!$I:$I,$A84))</f>
        <v/>
      </c>
      <c r="H84" s="202">
        <f>IF($A84="","",INDEX('05_KAPA'!$P:$P,$A84))</f>
        <v/>
      </c>
      <c r="I84" s="118">
        <f>IF($A84="","",INDEX('05_KAPA'!$O:$O,$A84))</f>
        <v/>
      </c>
      <c r="J84" s="202">
        <f>IF($A84="","",IFERROR(DATE(LEFT(TEXT(INDEX('05_KAPA'!$T:$T,$A84),"0"),4),MID(TEXT(INDEX('05_KAPA'!$T:$T,$A84),"0"),5,2),RIGHT(TEXT(INDEX('05_KAPA'!$T:$T,$A84),"0"),2)),""))</f>
        <v/>
      </c>
      <c r="K84">
        <f>IF(C84="","",IF('02_대상물건입력'!$B$5="",1,IF(ISNUMBER(SEARCH('02_대상물건입력'!$B$5,C84)),1,0)))</f>
        <v/>
      </c>
      <c r="L84">
        <f>IF(C84="","",IF('02_대상물건입력'!$B$6="",1,IF(ISNUMBER(SEARCH('02_대상물건입력'!$B$6,C84)),1,0)))</f>
        <v/>
      </c>
      <c r="M84">
        <f>IF(E84="","",IF('02_대상물건입력'!$B$8="",0,IF(ISNUMBER(SEARCH('02_대상물건입력'!$B$8,E84)),1,0)))</f>
        <v/>
      </c>
      <c r="N84">
        <f>IF(B84="","",IF(B84="담보",1,0))</f>
        <v/>
      </c>
      <c r="O84">
        <f>IFERROR(ABS(G84-'02_대상물건입력'!$B$11)/'02_대상물건입력'!$B$11,"")</f>
        <v/>
      </c>
      <c r="P84">
        <f>IFERROR(ABS('01_설정'!$B$4-H84),"")</f>
        <v/>
      </c>
      <c r="Q84">
        <f>IFERROR(ABS(YEAR(J84)-YEAR('02_대상물건입력'!$B$14)),"")</f>
        <v/>
      </c>
      <c r="R84">
        <f>IF(AND(G84&gt;0,H84&gt;0,I84&gt;0,N84=1,IF('01_설정'!$B$10=1,K84=1,TRUE()),O84&lt;='01_설정'!$B$5,P84&lt;='01_설정'!$B$7,Q84&lt;='01_설정'!$B$8),"Y","")</f>
        <v/>
      </c>
      <c r="S84">
        <f>IF(R84&lt;&gt;"Y","",MAX(0,(1-O84/'01_설정'!$B$5))*'01_설정'!$B$14+MAX(0,(1-P84/'01_설정'!$B$7))*'01_설정'!$B$16+MAX(0,(1-Q84/'01_설정'!$B$8))*'01_설정'!$B$17+L84*'01_설정'!$B$11+M84*'01_설정'!$B$12+N84*50)</f>
        <v/>
      </c>
      <c r="T84">
        <f>IF(S84="","",1+COUNTIFS($S$31:$S$1030,"&gt;"&amp;S84)+COUNTIFS($S$31:S84,S84)-1)</f>
        <v/>
      </c>
    </row>
    <row r="85" hidden="1" ht="16.5" customHeight="1">
      <c r="A85">
        <f>IF(COUNTA('05_KAPA'!$A56:$AO56)=0,"",58)</f>
        <v/>
      </c>
      <c r="B85">
        <f>IF($A85="","",INDEX('05_KAPA'!$B:$B,$A85))</f>
        <v/>
      </c>
      <c r="C85">
        <f>IF($A85="","",INDEX('05_KAPA'!$F:$F,$A85))</f>
        <v/>
      </c>
      <c r="D85">
        <f>IF($A85="","",INDEX('05_KAPA'!$H:$H,$A85))</f>
        <v/>
      </c>
      <c r="E85">
        <f>IF($A85="","",INDEX('05_KAPA'!$K:$K,$A85))</f>
        <v/>
      </c>
      <c r="F85">
        <f>IF($A85="","",INDEX('05_KAPA'!$L:$L,$A85))</f>
        <v/>
      </c>
      <c r="G85">
        <f>IF($A85="","",INDEX('05_KAPA'!$I:$I,$A85))</f>
        <v/>
      </c>
      <c r="H85" s="202">
        <f>IF($A85="","",INDEX('05_KAPA'!$P:$P,$A85))</f>
        <v/>
      </c>
      <c r="I85" s="118">
        <f>IF($A85="","",INDEX('05_KAPA'!$O:$O,$A85))</f>
        <v/>
      </c>
      <c r="J85" s="202">
        <f>IF($A85="","",IFERROR(DATE(LEFT(TEXT(INDEX('05_KAPA'!$T:$T,$A85),"0"),4),MID(TEXT(INDEX('05_KAPA'!$T:$T,$A85),"0"),5,2),RIGHT(TEXT(INDEX('05_KAPA'!$T:$T,$A85),"0"),2)),""))</f>
        <v/>
      </c>
      <c r="K85">
        <f>IF(C85="","",IF('02_대상물건입력'!$B$5="",1,IF(ISNUMBER(SEARCH('02_대상물건입력'!$B$5,C85)),1,0)))</f>
        <v/>
      </c>
      <c r="L85">
        <f>IF(C85="","",IF('02_대상물건입력'!$B$6="",1,IF(ISNUMBER(SEARCH('02_대상물건입력'!$B$6,C85)),1,0)))</f>
        <v/>
      </c>
      <c r="M85">
        <f>IF(E85="","",IF('02_대상물건입력'!$B$8="",0,IF(ISNUMBER(SEARCH('02_대상물건입력'!$B$8,E85)),1,0)))</f>
        <v/>
      </c>
      <c r="N85">
        <f>IF(B85="","",IF(B85="담보",1,0))</f>
        <v/>
      </c>
      <c r="O85">
        <f>IFERROR(ABS(G85-'02_대상물건입력'!$B$11)/'02_대상물건입력'!$B$11,"")</f>
        <v/>
      </c>
      <c r="P85">
        <f>IFERROR(ABS('01_설정'!$B$4-H85),"")</f>
        <v/>
      </c>
      <c r="Q85">
        <f>IFERROR(ABS(YEAR(J85)-YEAR('02_대상물건입력'!$B$14)),"")</f>
        <v/>
      </c>
      <c r="R85">
        <f>IF(AND(G85&gt;0,H85&gt;0,I85&gt;0,N85=1,IF('01_설정'!$B$10=1,K85=1,TRUE()),O85&lt;='01_설정'!$B$5,P85&lt;='01_설정'!$B$7,Q85&lt;='01_설정'!$B$8),"Y","")</f>
        <v/>
      </c>
      <c r="S85">
        <f>IF(R85&lt;&gt;"Y","",MAX(0,(1-O85/'01_설정'!$B$5))*'01_설정'!$B$14+MAX(0,(1-P85/'01_설정'!$B$7))*'01_설정'!$B$16+MAX(0,(1-Q85/'01_설정'!$B$8))*'01_설정'!$B$17+L85*'01_설정'!$B$11+M85*'01_설정'!$B$12+N85*50)</f>
        <v/>
      </c>
      <c r="T85">
        <f>IF(S85="","",1+COUNTIFS($S$31:$S$1030,"&gt;"&amp;S85)+COUNTIFS($S$31:S85,S85)-1)</f>
        <v/>
      </c>
    </row>
    <row r="86" hidden="1" ht="16.5" customHeight="1">
      <c r="A86">
        <f>IF(COUNTA('05_KAPA'!$A57:$AO57)=0,"",59)</f>
        <v/>
      </c>
      <c r="B86">
        <f>IF($A86="","",INDEX('05_KAPA'!$B:$B,$A86))</f>
        <v/>
      </c>
      <c r="C86">
        <f>IF($A86="","",INDEX('05_KAPA'!$F:$F,$A86))</f>
        <v/>
      </c>
      <c r="D86">
        <f>IF($A86="","",INDEX('05_KAPA'!$H:$H,$A86))</f>
        <v/>
      </c>
      <c r="E86">
        <f>IF($A86="","",INDEX('05_KAPA'!$K:$K,$A86))</f>
        <v/>
      </c>
      <c r="F86">
        <f>IF($A86="","",INDEX('05_KAPA'!$L:$L,$A86))</f>
        <v/>
      </c>
      <c r="G86">
        <f>IF($A86="","",INDEX('05_KAPA'!$I:$I,$A86))</f>
        <v/>
      </c>
      <c r="H86" s="202">
        <f>IF($A86="","",INDEX('05_KAPA'!$P:$P,$A86))</f>
        <v/>
      </c>
      <c r="I86" s="118">
        <f>IF($A86="","",INDEX('05_KAPA'!$O:$O,$A86))</f>
        <v/>
      </c>
      <c r="J86" s="202">
        <f>IF($A86="","",IFERROR(DATE(LEFT(TEXT(INDEX('05_KAPA'!$T:$T,$A86),"0"),4),MID(TEXT(INDEX('05_KAPA'!$T:$T,$A86),"0"),5,2),RIGHT(TEXT(INDEX('05_KAPA'!$T:$T,$A86),"0"),2)),""))</f>
        <v/>
      </c>
      <c r="K86">
        <f>IF(C86="","",IF('02_대상물건입력'!$B$5="",1,IF(ISNUMBER(SEARCH('02_대상물건입력'!$B$5,C86)),1,0)))</f>
        <v/>
      </c>
      <c r="L86">
        <f>IF(C86="","",IF('02_대상물건입력'!$B$6="",1,IF(ISNUMBER(SEARCH('02_대상물건입력'!$B$6,C86)),1,0)))</f>
        <v/>
      </c>
      <c r="M86">
        <f>IF(E86="","",IF('02_대상물건입력'!$B$8="",0,IF(ISNUMBER(SEARCH('02_대상물건입력'!$B$8,E86)),1,0)))</f>
        <v/>
      </c>
      <c r="N86">
        <f>IF(B86="","",IF(B86="담보",1,0))</f>
        <v/>
      </c>
      <c r="O86">
        <f>IFERROR(ABS(G86-'02_대상물건입력'!$B$11)/'02_대상물건입력'!$B$11,"")</f>
        <v/>
      </c>
      <c r="P86">
        <f>IFERROR(ABS('01_설정'!$B$4-H86),"")</f>
        <v/>
      </c>
      <c r="Q86">
        <f>IFERROR(ABS(YEAR(J86)-YEAR('02_대상물건입력'!$B$14)),"")</f>
        <v/>
      </c>
      <c r="R86">
        <f>IF(AND(G86&gt;0,H86&gt;0,I86&gt;0,N86=1,IF('01_설정'!$B$10=1,K86=1,TRUE()),O86&lt;='01_설정'!$B$5,P86&lt;='01_설정'!$B$7,Q86&lt;='01_설정'!$B$8),"Y","")</f>
        <v/>
      </c>
      <c r="S86">
        <f>IF(R86&lt;&gt;"Y","",MAX(0,(1-O86/'01_설정'!$B$5))*'01_설정'!$B$14+MAX(0,(1-P86/'01_설정'!$B$7))*'01_설정'!$B$16+MAX(0,(1-Q86/'01_설정'!$B$8))*'01_설정'!$B$17+L86*'01_설정'!$B$11+M86*'01_설정'!$B$12+N86*50)</f>
        <v/>
      </c>
      <c r="T86">
        <f>IF(S86="","",1+COUNTIFS($S$31:$S$1030,"&gt;"&amp;S86)+COUNTIFS($S$31:S86,S86)-1)</f>
        <v/>
      </c>
    </row>
    <row r="87" hidden="1" ht="16.5" customHeight="1">
      <c r="A87">
        <f>IF(COUNTA('05_KAPA'!$A58:$AO58)=0,"",60)</f>
        <v/>
      </c>
      <c r="B87">
        <f>IF($A87="","",INDEX('05_KAPA'!$B:$B,$A87))</f>
        <v/>
      </c>
      <c r="C87">
        <f>IF($A87="","",INDEX('05_KAPA'!$F:$F,$A87))</f>
        <v/>
      </c>
      <c r="D87">
        <f>IF($A87="","",INDEX('05_KAPA'!$H:$H,$A87))</f>
        <v/>
      </c>
      <c r="E87">
        <f>IF($A87="","",INDEX('05_KAPA'!$K:$K,$A87))</f>
        <v/>
      </c>
      <c r="F87">
        <f>IF($A87="","",INDEX('05_KAPA'!$L:$L,$A87))</f>
        <v/>
      </c>
      <c r="G87">
        <f>IF($A87="","",INDEX('05_KAPA'!$I:$I,$A87))</f>
        <v/>
      </c>
      <c r="H87" s="202">
        <f>IF($A87="","",INDEX('05_KAPA'!$P:$P,$A87))</f>
        <v/>
      </c>
      <c r="I87" s="118">
        <f>IF($A87="","",INDEX('05_KAPA'!$O:$O,$A87))</f>
        <v/>
      </c>
      <c r="J87" s="202">
        <f>IF($A87="","",IFERROR(DATE(LEFT(TEXT(INDEX('05_KAPA'!$T:$T,$A87),"0"),4),MID(TEXT(INDEX('05_KAPA'!$T:$T,$A87),"0"),5,2),RIGHT(TEXT(INDEX('05_KAPA'!$T:$T,$A87),"0"),2)),""))</f>
        <v/>
      </c>
      <c r="K87">
        <f>IF(C87="","",IF('02_대상물건입력'!$B$5="",1,IF(ISNUMBER(SEARCH('02_대상물건입력'!$B$5,C87)),1,0)))</f>
        <v/>
      </c>
      <c r="L87">
        <f>IF(C87="","",IF('02_대상물건입력'!$B$6="",1,IF(ISNUMBER(SEARCH('02_대상물건입력'!$B$6,C87)),1,0)))</f>
        <v/>
      </c>
      <c r="M87">
        <f>IF(E87="","",IF('02_대상물건입력'!$B$8="",0,IF(ISNUMBER(SEARCH('02_대상물건입력'!$B$8,E87)),1,0)))</f>
        <v/>
      </c>
      <c r="N87">
        <f>IF(B87="","",IF(B87="담보",1,0))</f>
        <v/>
      </c>
      <c r="O87">
        <f>IFERROR(ABS(G87-'02_대상물건입력'!$B$11)/'02_대상물건입력'!$B$11,"")</f>
        <v/>
      </c>
      <c r="P87">
        <f>IFERROR(ABS('01_설정'!$B$4-H87),"")</f>
        <v/>
      </c>
      <c r="Q87">
        <f>IFERROR(ABS(YEAR(J87)-YEAR('02_대상물건입력'!$B$14)),"")</f>
        <v/>
      </c>
      <c r="R87">
        <f>IF(AND(G87&gt;0,H87&gt;0,I87&gt;0,N87=1,IF('01_설정'!$B$10=1,K87=1,TRUE()),O87&lt;='01_설정'!$B$5,P87&lt;='01_설정'!$B$7,Q87&lt;='01_설정'!$B$8),"Y","")</f>
        <v/>
      </c>
      <c r="S87">
        <f>IF(R87&lt;&gt;"Y","",MAX(0,(1-O87/'01_설정'!$B$5))*'01_설정'!$B$14+MAX(0,(1-P87/'01_설정'!$B$7))*'01_설정'!$B$16+MAX(0,(1-Q87/'01_설정'!$B$8))*'01_설정'!$B$17+L87*'01_설정'!$B$11+M87*'01_설정'!$B$12+N87*50)</f>
        <v/>
      </c>
      <c r="T87">
        <f>IF(S87="","",1+COUNTIFS($S$31:$S$1030,"&gt;"&amp;S87)+COUNTIFS($S$31:S87,S87)-1)</f>
        <v/>
      </c>
    </row>
    <row r="88" hidden="1" ht="16.5" customHeight="1">
      <c r="A88">
        <f>IF(COUNTA('05_KAPA'!$A59:$AO59)=0,"",61)</f>
        <v/>
      </c>
      <c r="B88">
        <f>IF($A88="","",INDEX('05_KAPA'!$B:$B,$A88))</f>
        <v/>
      </c>
      <c r="C88">
        <f>IF($A88="","",INDEX('05_KAPA'!$F:$F,$A88))</f>
        <v/>
      </c>
      <c r="D88">
        <f>IF($A88="","",INDEX('05_KAPA'!$H:$H,$A88))</f>
        <v/>
      </c>
      <c r="E88">
        <f>IF($A88="","",INDEX('05_KAPA'!$K:$K,$A88))</f>
        <v/>
      </c>
      <c r="F88">
        <f>IF($A88="","",INDEX('05_KAPA'!$L:$L,$A88))</f>
        <v/>
      </c>
      <c r="G88">
        <f>IF($A88="","",INDEX('05_KAPA'!$I:$I,$A88))</f>
        <v/>
      </c>
      <c r="H88" s="202">
        <f>IF($A88="","",INDEX('05_KAPA'!$P:$P,$A88))</f>
        <v/>
      </c>
      <c r="I88" s="118">
        <f>IF($A88="","",INDEX('05_KAPA'!$O:$O,$A88))</f>
        <v/>
      </c>
      <c r="J88" s="202">
        <f>IF($A88="","",IFERROR(DATE(LEFT(TEXT(INDEX('05_KAPA'!$T:$T,$A88),"0"),4),MID(TEXT(INDEX('05_KAPA'!$T:$T,$A88),"0"),5,2),RIGHT(TEXT(INDEX('05_KAPA'!$T:$T,$A88),"0"),2)),""))</f>
        <v/>
      </c>
      <c r="K88">
        <f>IF(C88="","",IF('02_대상물건입력'!$B$5="",1,IF(ISNUMBER(SEARCH('02_대상물건입력'!$B$5,C88)),1,0)))</f>
        <v/>
      </c>
      <c r="L88">
        <f>IF(C88="","",IF('02_대상물건입력'!$B$6="",1,IF(ISNUMBER(SEARCH('02_대상물건입력'!$B$6,C88)),1,0)))</f>
        <v/>
      </c>
      <c r="M88">
        <f>IF(E88="","",IF('02_대상물건입력'!$B$8="",0,IF(ISNUMBER(SEARCH('02_대상물건입력'!$B$8,E88)),1,0)))</f>
        <v/>
      </c>
      <c r="N88">
        <f>IF(B88="","",IF(B88="담보",1,0))</f>
        <v/>
      </c>
      <c r="O88">
        <f>IFERROR(ABS(G88-'02_대상물건입력'!$B$11)/'02_대상물건입력'!$B$11,"")</f>
        <v/>
      </c>
      <c r="P88">
        <f>IFERROR(ABS('01_설정'!$B$4-H88),"")</f>
        <v/>
      </c>
      <c r="Q88">
        <f>IFERROR(ABS(YEAR(J88)-YEAR('02_대상물건입력'!$B$14)),"")</f>
        <v/>
      </c>
      <c r="R88">
        <f>IF(AND(G88&gt;0,H88&gt;0,I88&gt;0,N88=1,IF('01_설정'!$B$10=1,K88=1,TRUE()),O88&lt;='01_설정'!$B$5,P88&lt;='01_설정'!$B$7,Q88&lt;='01_설정'!$B$8),"Y","")</f>
        <v/>
      </c>
      <c r="S88">
        <f>IF(R88&lt;&gt;"Y","",MAX(0,(1-O88/'01_설정'!$B$5))*'01_설정'!$B$14+MAX(0,(1-P88/'01_설정'!$B$7))*'01_설정'!$B$16+MAX(0,(1-Q88/'01_설정'!$B$8))*'01_설정'!$B$17+L88*'01_설정'!$B$11+M88*'01_설정'!$B$12+N88*50)</f>
        <v/>
      </c>
      <c r="T88">
        <f>IF(S88="","",1+COUNTIFS($S$31:$S$1030,"&gt;"&amp;S88)+COUNTIFS($S$31:S88,S88)-1)</f>
        <v/>
      </c>
    </row>
    <row r="89" hidden="1" ht="16.5" customHeight="1">
      <c r="A89">
        <f>IF(COUNTA('05_KAPA'!$A60:$AO60)=0,"",62)</f>
        <v/>
      </c>
      <c r="B89">
        <f>IF($A89="","",INDEX('05_KAPA'!$B:$B,$A89))</f>
        <v/>
      </c>
      <c r="C89">
        <f>IF($A89="","",INDEX('05_KAPA'!$F:$F,$A89))</f>
        <v/>
      </c>
      <c r="D89">
        <f>IF($A89="","",INDEX('05_KAPA'!$H:$H,$A89))</f>
        <v/>
      </c>
      <c r="E89">
        <f>IF($A89="","",INDEX('05_KAPA'!$K:$K,$A89))</f>
        <v/>
      </c>
      <c r="F89">
        <f>IF($A89="","",INDEX('05_KAPA'!$L:$L,$A89))</f>
        <v/>
      </c>
      <c r="G89">
        <f>IF($A89="","",INDEX('05_KAPA'!$I:$I,$A89))</f>
        <v/>
      </c>
      <c r="H89" s="202">
        <f>IF($A89="","",INDEX('05_KAPA'!$P:$P,$A89))</f>
        <v/>
      </c>
      <c r="I89" s="118">
        <f>IF($A89="","",INDEX('05_KAPA'!$O:$O,$A89))</f>
        <v/>
      </c>
      <c r="J89" s="202">
        <f>IF($A89="","",IFERROR(DATE(LEFT(TEXT(INDEX('05_KAPA'!$T:$T,$A89),"0"),4),MID(TEXT(INDEX('05_KAPA'!$T:$T,$A89),"0"),5,2),RIGHT(TEXT(INDEX('05_KAPA'!$T:$T,$A89),"0"),2)),""))</f>
        <v/>
      </c>
      <c r="K89">
        <f>IF(C89="","",IF('02_대상물건입력'!$B$5="",1,IF(ISNUMBER(SEARCH('02_대상물건입력'!$B$5,C89)),1,0)))</f>
        <v/>
      </c>
      <c r="L89">
        <f>IF(C89="","",IF('02_대상물건입력'!$B$6="",1,IF(ISNUMBER(SEARCH('02_대상물건입력'!$B$6,C89)),1,0)))</f>
        <v/>
      </c>
      <c r="M89">
        <f>IF(E89="","",IF('02_대상물건입력'!$B$8="",0,IF(ISNUMBER(SEARCH('02_대상물건입력'!$B$8,E89)),1,0)))</f>
        <v/>
      </c>
      <c r="N89">
        <f>IF(B89="","",IF(B89="담보",1,0))</f>
        <v/>
      </c>
      <c r="O89">
        <f>IFERROR(ABS(G89-'02_대상물건입력'!$B$11)/'02_대상물건입력'!$B$11,"")</f>
        <v/>
      </c>
      <c r="P89">
        <f>IFERROR(ABS('01_설정'!$B$4-H89),"")</f>
        <v/>
      </c>
      <c r="Q89">
        <f>IFERROR(ABS(YEAR(J89)-YEAR('02_대상물건입력'!$B$14)),"")</f>
        <v/>
      </c>
      <c r="R89">
        <f>IF(AND(G89&gt;0,H89&gt;0,I89&gt;0,N89=1,IF('01_설정'!$B$10=1,K89=1,TRUE()),O89&lt;='01_설정'!$B$5,P89&lt;='01_설정'!$B$7,Q89&lt;='01_설정'!$B$8),"Y","")</f>
        <v/>
      </c>
      <c r="S89">
        <f>IF(R89&lt;&gt;"Y","",MAX(0,(1-O89/'01_설정'!$B$5))*'01_설정'!$B$14+MAX(0,(1-P89/'01_설정'!$B$7))*'01_설정'!$B$16+MAX(0,(1-Q89/'01_설정'!$B$8))*'01_설정'!$B$17+L89*'01_설정'!$B$11+M89*'01_설정'!$B$12+N89*50)</f>
        <v/>
      </c>
      <c r="T89">
        <f>IF(S89="","",1+COUNTIFS($S$31:$S$1030,"&gt;"&amp;S89)+COUNTIFS($S$31:S89,S89)-1)</f>
        <v/>
      </c>
    </row>
    <row r="90" hidden="1" ht="16.5" customHeight="1">
      <c r="A90">
        <f>IF(COUNTA('05_KAPA'!$A61:$AO61)=0,"",63)</f>
        <v/>
      </c>
      <c r="B90">
        <f>IF($A90="","",INDEX('05_KAPA'!$B:$B,$A90))</f>
        <v/>
      </c>
      <c r="C90">
        <f>IF($A90="","",INDEX('05_KAPA'!$F:$F,$A90))</f>
        <v/>
      </c>
      <c r="D90">
        <f>IF($A90="","",INDEX('05_KAPA'!$H:$H,$A90))</f>
        <v/>
      </c>
      <c r="E90">
        <f>IF($A90="","",INDEX('05_KAPA'!$K:$K,$A90))</f>
        <v/>
      </c>
      <c r="F90">
        <f>IF($A90="","",INDEX('05_KAPA'!$L:$L,$A90))</f>
        <v/>
      </c>
      <c r="G90">
        <f>IF($A90="","",INDEX('05_KAPA'!$I:$I,$A90))</f>
        <v/>
      </c>
      <c r="H90" s="202">
        <f>IF($A90="","",INDEX('05_KAPA'!$P:$P,$A90))</f>
        <v/>
      </c>
      <c r="I90" s="118">
        <f>IF($A90="","",INDEX('05_KAPA'!$O:$O,$A90))</f>
        <v/>
      </c>
      <c r="J90" s="202">
        <f>IF($A90="","",IFERROR(DATE(LEFT(TEXT(INDEX('05_KAPA'!$T:$T,$A90),"0"),4),MID(TEXT(INDEX('05_KAPA'!$T:$T,$A90),"0"),5,2),RIGHT(TEXT(INDEX('05_KAPA'!$T:$T,$A90),"0"),2)),""))</f>
        <v/>
      </c>
      <c r="K90">
        <f>IF(C90="","",IF('02_대상물건입력'!$B$5="",1,IF(ISNUMBER(SEARCH('02_대상물건입력'!$B$5,C90)),1,0)))</f>
        <v/>
      </c>
      <c r="L90">
        <f>IF(C90="","",IF('02_대상물건입력'!$B$6="",1,IF(ISNUMBER(SEARCH('02_대상물건입력'!$B$6,C90)),1,0)))</f>
        <v/>
      </c>
      <c r="M90">
        <f>IF(E90="","",IF('02_대상물건입력'!$B$8="",0,IF(ISNUMBER(SEARCH('02_대상물건입력'!$B$8,E90)),1,0)))</f>
        <v/>
      </c>
      <c r="N90">
        <f>IF(B90="","",IF(B90="담보",1,0))</f>
        <v/>
      </c>
      <c r="O90">
        <f>IFERROR(ABS(G90-'02_대상물건입력'!$B$11)/'02_대상물건입력'!$B$11,"")</f>
        <v/>
      </c>
      <c r="P90">
        <f>IFERROR(ABS('01_설정'!$B$4-H90),"")</f>
        <v/>
      </c>
      <c r="Q90">
        <f>IFERROR(ABS(YEAR(J90)-YEAR('02_대상물건입력'!$B$14)),"")</f>
        <v/>
      </c>
      <c r="R90">
        <f>IF(AND(G90&gt;0,H90&gt;0,I90&gt;0,N90=1,IF('01_설정'!$B$10=1,K90=1,TRUE()),O90&lt;='01_설정'!$B$5,P90&lt;='01_설정'!$B$7,Q90&lt;='01_설정'!$B$8),"Y","")</f>
        <v/>
      </c>
      <c r="S90">
        <f>IF(R90&lt;&gt;"Y","",MAX(0,(1-O90/'01_설정'!$B$5))*'01_설정'!$B$14+MAX(0,(1-P90/'01_설정'!$B$7))*'01_설정'!$B$16+MAX(0,(1-Q90/'01_설정'!$B$8))*'01_설정'!$B$17+L90*'01_설정'!$B$11+M90*'01_설정'!$B$12+N90*50)</f>
        <v/>
      </c>
      <c r="T90">
        <f>IF(S90="","",1+COUNTIFS($S$31:$S$1030,"&gt;"&amp;S90)+COUNTIFS($S$31:S90,S90)-1)</f>
        <v/>
      </c>
    </row>
    <row r="91" hidden="1" ht="16.5" customHeight="1">
      <c r="A91">
        <f>IF(COUNTA('05_KAPA'!$A62:$AO62)=0,"",64)</f>
        <v/>
      </c>
      <c r="B91">
        <f>IF($A91="","",INDEX('05_KAPA'!$B:$B,$A91))</f>
        <v/>
      </c>
      <c r="C91">
        <f>IF($A91="","",INDEX('05_KAPA'!$F:$F,$A91))</f>
        <v/>
      </c>
      <c r="D91">
        <f>IF($A91="","",INDEX('05_KAPA'!$H:$H,$A91))</f>
        <v/>
      </c>
      <c r="E91">
        <f>IF($A91="","",INDEX('05_KAPA'!$K:$K,$A91))</f>
        <v/>
      </c>
      <c r="F91">
        <f>IF($A91="","",INDEX('05_KAPA'!$L:$L,$A91))</f>
        <v/>
      </c>
      <c r="G91">
        <f>IF($A91="","",INDEX('05_KAPA'!$I:$I,$A91))</f>
        <v/>
      </c>
      <c r="H91" s="202">
        <f>IF($A91="","",INDEX('05_KAPA'!$P:$P,$A91))</f>
        <v/>
      </c>
      <c r="I91" s="118">
        <f>IF($A91="","",INDEX('05_KAPA'!$O:$O,$A91))</f>
        <v/>
      </c>
      <c r="J91" s="202">
        <f>IF($A91="","",IFERROR(DATE(LEFT(TEXT(INDEX('05_KAPA'!$T:$T,$A91),"0"),4),MID(TEXT(INDEX('05_KAPA'!$T:$T,$A91),"0"),5,2),RIGHT(TEXT(INDEX('05_KAPA'!$T:$T,$A91),"0"),2)),""))</f>
        <v/>
      </c>
      <c r="K91">
        <f>IF(C91="","",IF('02_대상물건입력'!$B$5="",1,IF(ISNUMBER(SEARCH('02_대상물건입력'!$B$5,C91)),1,0)))</f>
        <v/>
      </c>
      <c r="L91">
        <f>IF(C91="","",IF('02_대상물건입력'!$B$6="",1,IF(ISNUMBER(SEARCH('02_대상물건입력'!$B$6,C91)),1,0)))</f>
        <v/>
      </c>
      <c r="M91">
        <f>IF(E91="","",IF('02_대상물건입력'!$B$8="",0,IF(ISNUMBER(SEARCH('02_대상물건입력'!$B$8,E91)),1,0)))</f>
        <v/>
      </c>
      <c r="N91">
        <f>IF(B91="","",IF(B91="담보",1,0))</f>
        <v/>
      </c>
      <c r="O91">
        <f>IFERROR(ABS(G91-'02_대상물건입력'!$B$11)/'02_대상물건입력'!$B$11,"")</f>
        <v/>
      </c>
      <c r="P91">
        <f>IFERROR(ABS('01_설정'!$B$4-H91),"")</f>
        <v/>
      </c>
      <c r="Q91">
        <f>IFERROR(ABS(YEAR(J91)-YEAR('02_대상물건입력'!$B$14)),"")</f>
        <v/>
      </c>
      <c r="R91">
        <f>IF(AND(G91&gt;0,H91&gt;0,I91&gt;0,N91=1,IF('01_설정'!$B$10=1,K91=1,TRUE()),O91&lt;='01_설정'!$B$5,P91&lt;='01_설정'!$B$7,Q91&lt;='01_설정'!$B$8),"Y","")</f>
        <v/>
      </c>
      <c r="S91">
        <f>IF(R91&lt;&gt;"Y","",MAX(0,(1-O91/'01_설정'!$B$5))*'01_설정'!$B$14+MAX(0,(1-P91/'01_설정'!$B$7))*'01_설정'!$B$16+MAX(0,(1-Q91/'01_설정'!$B$8))*'01_설정'!$B$17+L91*'01_설정'!$B$11+M91*'01_설정'!$B$12+N91*50)</f>
        <v/>
      </c>
      <c r="T91">
        <f>IF(S91="","",1+COUNTIFS($S$31:$S$1030,"&gt;"&amp;S91)+COUNTIFS($S$31:S91,S91)-1)</f>
        <v/>
      </c>
    </row>
    <row r="92" hidden="1" ht="16.5" customHeight="1">
      <c r="A92">
        <f>IF(COUNTA('05_KAPA'!$A63:$AO63)=0,"",65)</f>
        <v/>
      </c>
      <c r="B92">
        <f>IF($A92="","",INDEX('05_KAPA'!$B:$B,$A92))</f>
        <v/>
      </c>
      <c r="C92">
        <f>IF($A92="","",INDEX('05_KAPA'!$F:$F,$A92))</f>
        <v/>
      </c>
      <c r="D92">
        <f>IF($A92="","",INDEX('05_KAPA'!$H:$H,$A92))</f>
        <v/>
      </c>
      <c r="E92">
        <f>IF($A92="","",INDEX('05_KAPA'!$K:$K,$A92))</f>
        <v/>
      </c>
      <c r="F92">
        <f>IF($A92="","",INDEX('05_KAPA'!$L:$L,$A92))</f>
        <v/>
      </c>
      <c r="G92">
        <f>IF($A92="","",INDEX('05_KAPA'!$I:$I,$A92))</f>
        <v/>
      </c>
      <c r="H92" s="202">
        <f>IF($A92="","",INDEX('05_KAPA'!$P:$P,$A92))</f>
        <v/>
      </c>
      <c r="I92" s="118">
        <f>IF($A92="","",INDEX('05_KAPA'!$O:$O,$A92))</f>
        <v/>
      </c>
      <c r="J92" s="202">
        <f>IF($A92="","",IFERROR(DATE(LEFT(TEXT(INDEX('05_KAPA'!$T:$T,$A92),"0"),4),MID(TEXT(INDEX('05_KAPA'!$T:$T,$A92),"0"),5,2),RIGHT(TEXT(INDEX('05_KAPA'!$T:$T,$A92),"0"),2)),""))</f>
        <v/>
      </c>
      <c r="K92">
        <f>IF(C92="","",IF('02_대상물건입력'!$B$5="",1,IF(ISNUMBER(SEARCH('02_대상물건입력'!$B$5,C92)),1,0)))</f>
        <v/>
      </c>
      <c r="L92">
        <f>IF(C92="","",IF('02_대상물건입력'!$B$6="",1,IF(ISNUMBER(SEARCH('02_대상물건입력'!$B$6,C92)),1,0)))</f>
        <v/>
      </c>
      <c r="M92">
        <f>IF(E92="","",IF('02_대상물건입력'!$B$8="",0,IF(ISNUMBER(SEARCH('02_대상물건입력'!$B$8,E92)),1,0)))</f>
        <v/>
      </c>
      <c r="N92">
        <f>IF(B92="","",IF(B92="담보",1,0))</f>
        <v/>
      </c>
      <c r="O92">
        <f>IFERROR(ABS(G92-'02_대상물건입력'!$B$11)/'02_대상물건입력'!$B$11,"")</f>
        <v/>
      </c>
      <c r="P92">
        <f>IFERROR(ABS('01_설정'!$B$4-H92),"")</f>
        <v/>
      </c>
      <c r="Q92">
        <f>IFERROR(ABS(YEAR(J92)-YEAR('02_대상물건입력'!$B$14)),"")</f>
        <v/>
      </c>
      <c r="R92">
        <f>IF(AND(G92&gt;0,H92&gt;0,I92&gt;0,N92=1,IF('01_설정'!$B$10=1,K92=1,TRUE()),O92&lt;='01_설정'!$B$5,P92&lt;='01_설정'!$B$7,Q92&lt;='01_설정'!$B$8),"Y","")</f>
        <v/>
      </c>
      <c r="S92">
        <f>IF(R92&lt;&gt;"Y","",MAX(0,(1-O92/'01_설정'!$B$5))*'01_설정'!$B$14+MAX(0,(1-P92/'01_설정'!$B$7))*'01_설정'!$B$16+MAX(0,(1-Q92/'01_설정'!$B$8))*'01_설정'!$B$17+L92*'01_설정'!$B$11+M92*'01_설정'!$B$12+N92*50)</f>
        <v/>
      </c>
      <c r="T92">
        <f>IF(S92="","",1+COUNTIFS($S$31:$S$1030,"&gt;"&amp;S92)+COUNTIFS($S$31:S92,S92)-1)</f>
        <v/>
      </c>
    </row>
    <row r="93" hidden="1" ht="16.5" customHeight="1">
      <c r="A93">
        <f>IF(COUNTA('05_KAPA'!$A64:$AO64)=0,"",66)</f>
        <v/>
      </c>
      <c r="B93">
        <f>IF($A93="","",INDEX('05_KAPA'!$B:$B,$A93))</f>
        <v/>
      </c>
      <c r="C93">
        <f>IF($A93="","",INDEX('05_KAPA'!$F:$F,$A93))</f>
        <v/>
      </c>
      <c r="D93">
        <f>IF($A93="","",INDEX('05_KAPA'!$H:$H,$A93))</f>
        <v/>
      </c>
      <c r="E93">
        <f>IF($A93="","",INDEX('05_KAPA'!$K:$K,$A93))</f>
        <v/>
      </c>
      <c r="F93">
        <f>IF($A93="","",INDEX('05_KAPA'!$L:$L,$A93))</f>
        <v/>
      </c>
      <c r="G93">
        <f>IF($A93="","",INDEX('05_KAPA'!$I:$I,$A93))</f>
        <v/>
      </c>
      <c r="H93" s="202">
        <f>IF($A93="","",INDEX('05_KAPA'!$P:$P,$A93))</f>
        <v/>
      </c>
      <c r="I93" s="118">
        <f>IF($A93="","",INDEX('05_KAPA'!$O:$O,$A93))</f>
        <v/>
      </c>
      <c r="J93" s="202">
        <f>IF($A93="","",IFERROR(DATE(LEFT(TEXT(INDEX('05_KAPA'!$T:$T,$A93),"0"),4),MID(TEXT(INDEX('05_KAPA'!$T:$T,$A93),"0"),5,2),RIGHT(TEXT(INDEX('05_KAPA'!$T:$T,$A93),"0"),2)),""))</f>
        <v/>
      </c>
      <c r="K93">
        <f>IF(C93="","",IF('02_대상물건입력'!$B$5="",1,IF(ISNUMBER(SEARCH('02_대상물건입력'!$B$5,C93)),1,0)))</f>
        <v/>
      </c>
      <c r="L93">
        <f>IF(C93="","",IF('02_대상물건입력'!$B$6="",1,IF(ISNUMBER(SEARCH('02_대상물건입력'!$B$6,C93)),1,0)))</f>
        <v/>
      </c>
      <c r="M93">
        <f>IF(E93="","",IF('02_대상물건입력'!$B$8="",0,IF(ISNUMBER(SEARCH('02_대상물건입력'!$B$8,E93)),1,0)))</f>
        <v/>
      </c>
      <c r="N93">
        <f>IF(B93="","",IF(B93="담보",1,0))</f>
        <v/>
      </c>
      <c r="O93">
        <f>IFERROR(ABS(G93-'02_대상물건입력'!$B$11)/'02_대상물건입력'!$B$11,"")</f>
        <v/>
      </c>
      <c r="P93">
        <f>IFERROR(ABS('01_설정'!$B$4-H93),"")</f>
        <v/>
      </c>
      <c r="Q93">
        <f>IFERROR(ABS(YEAR(J93)-YEAR('02_대상물건입력'!$B$14)),"")</f>
        <v/>
      </c>
      <c r="R93">
        <f>IF(AND(G93&gt;0,H93&gt;0,I93&gt;0,N93=1,IF('01_설정'!$B$10=1,K93=1,TRUE()),O93&lt;='01_설정'!$B$5,P93&lt;='01_설정'!$B$7,Q93&lt;='01_설정'!$B$8),"Y","")</f>
        <v/>
      </c>
      <c r="S93">
        <f>IF(R93&lt;&gt;"Y","",MAX(0,(1-O93/'01_설정'!$B$5))*'01_설정'!$B$14+MAX(0,(1-P93/'01_설정'!$B$7))*'01_설정'!$B$16+MAX(0,(1-Q93/'01_설정'!$B$8))*'01_설정'!$B$17+L93*'01_설정'!$B$11+M93*'01_설정'!$B$12+N93*50)</f>
        <v/>
      </c>
      <c r="T93">
        <f>IF(S93="","",1+COUNTIFS($S$31:$S$1030,"&gt;"&amp;S93)+COUNTIFS($S$31:S93,S93)-1)</f>
        <v/>
      </c>
    </row>
    <row r="94" hidden="1" ht="16.5" customHeight="1">
      <c r="A94">
        <f>IF(COUNTA('05_KAPA'!$A65:$AO65)=0,"",67)</f>
        <v/>
      </c>
      <c r="B94">
        <f>IF($A94="","",INDEX('05_KAPA'!$B:$B,$A94))</f>
        <v/>
      </c>
      <c r="C94">
        <f>IF($A94="","",INDEX('05_KAPA'!$F:$F,$A94))</f>
        <v/>
      </c>
      <c r="D94">
        <f>IF($A94="","",INDEX('05_KAPA'!$H:$H,$A94))</f>
        <v/>
      </c>
      <c r="E94">
        <f>IF($A94="","",INDEX('05_KAPA'!$K:$K,$A94))</f>
        <v/>
      </c>
      <c r="F94">
        <f>IF($A94="","",INDEX('05_KAPA'!$L:$L,$A94))</f>
        <v/>
      </c>
      <c r="G94">
        <f>IF($A94="","",INDEX('05_KAPA'!$I:$I,$A94))</f>
        <v/>
      </c>
      <c r="H94" s="202">
        <f>IF($A94="","",INDEX('05_KAPA'!$P:$P,$A94))</f>
        <v/>
      </c>
      <c r="I94" s="118">
        <f>IF($A94="","",INDEX('05_KAPA'!$O:$O,$A94))</f>
        <v/>
      </c>
      <c r="J94" s="202">
        <f>IF($A94="","",IFERROR(DATE(LEFT(TEXT(INDEX('05_KAPA'!$T:$T,$A94),"0"),4),MID(TEXT(INDEX('05_KAPA'!$T:$T,$A94),"0"),5,2),RIGHT(TEXT(INDEX('05_KAPA'!$T:$T,$A94),"0"),2)),""))</f>
        <v/>
      </c>
      <c r="K94">
        <f>IF(C94="","",IF('02_대상물건입력'!$B$5="",1,IF(ISNUMBER(SEARCH('02_대상물건입력'!$B$5,C94)),1,0)))</f>
        <v/>
      </c>
      <c r="L94">
        <f>IF(C94="","",IF('02_대상물건입력'!$B$6="",1,IF(ISNUMBER(SEARCH('02_대상물건입력'!$B$6,C94)),1,0)))</f>
        <v/>
      </c>
      <c r="M94">
        <f>IF(E94="","",IF('02_대상물건입력'!$B$8="",0,IF(ISNUMBER(SEARCH('02_대상물건입력'!$B$8,E94)),1,0)))</f>
        <v/>
      </c>
      <c r="N94">
        <f>IF(B94="","",IF(B94="담보",1,0))</f>
        <v/>
      </c>
      <c r="O94">
        <f>IFERROR(ABS(G94-'02_대상물건입력'!$B$11)/'02_대상물건입력'!$B$11,"")</f>
        <v/>
      </c>
      <c r="P94">
        <f>IFERROR(ABS('01_설정'!$B$4-H94),"")</f>
        <v/>
      </c>
      <c r="Q94">
        <f>IFERROR(ABS(YEAR(J94)-YEAR('02_대상물건입력'!$B$14)),"")</f>
        <v/>
      </c>
      <c r="R94">
        <f>IF(AND(G94&gt;0,H94&gt;0,I94&gt;0,N94=1,IF('01_설정'!$B$10=1,K94=1,TRUE()),O94&lt;='01_설정'!$B$5,P94&lt;='01_설정'!$B$7,Q94&lt;='01_설정'!$B$8),"Y","")</f>
        <v/>
      </c>
      <c r="S94">
        <f>IF(R94&lt;&gt;"Y","",MAX(0,(1-O94/'01_설정'!$B$5))*'01_설정'!$B$14+MAX(0,(1-P94/'01_설정'!$B$7))*'01_설정'!$B$16+MAX(0,(1-Q94/'01_설정'!$B$8))*'01_설정'!$B$17+L94*'01_설정'!$B$11+M94*'01_설정'!$B$12+N94*50)</f>
        <v/>
      </c>
      <c r="T94">
        <f>IF(S94="","",1+COUNTIFS($S$31:$S$1030,"&gt;"&amp;S94)+COUNTIFS($S$31:S94,S94)-1)</f>
        <v/>
      </c>
    </row>
    <row r="95" hidden="1" ht="16.5" customHeight="1">
      <c r="A95">
        <f>IF(COUNTA('05_KAPA'!$A66:$AO66)=0,"",68)</f>
        <v/>
      </c>
      <c r="B95">
        <f>IF($A95="","",INDEX('05_KAPA'!$B:$B,$A95))</f>
        <v/>
      </c>
      <c r="C95">
        <f>IF($A95="","",INDEX('05_KAPA'!$F:$F,$A95))</f>
        <v/>
      </c>
      <c r="D95">
        <f>IF($A95="","",INDEX('05_KAPA'!$H:$H,$A95))</f>
        <v/>
      </c>
      <c r="E95">
        <f>IF($A95="","",INDEX('05_KAPA'!$K:$K,$A95))</f>
        <v/>
      </c>
      <c r="F95">
        <f>IF($A95="","",INDEX('05_KAPA'!$L:$L,$A95))</f>
        <v/>
      </c>
      <c r="G95">
        <f>IF($A95="","",INDEX('05_KAPA'!$I:$I,$A95))</f>
        <v/>
      </c>
      <c r="H95" s="202">
        <f>IF($A95="","",INDEX('05_KAPA'!$P:$P,$A95))</f>
        <v/>
      </c>
      <c r="I95" s="118">
        <f>IF($A95="","",INDEX('05_KAPA'!$O:$O,$A95))</f>
        <v/>
      </c>
      <c r="J95" s="202">
        <f>IF($A95="","",IFERROR(DATE(LEFT(TEXT(INDEX('05_KAPA'!$T:$T,$A95),"0"),4),MID(TEXT(INDEX('05_KAPA'!$T:$T,$A95),"0"),5,2),RIGHT(TEXT(INDEX('05_KAPA'!$T:$T,$A95),"0"),2)),""))</f>
        <v/>
      </c>
      <c r="K95">
        <f>IF(C95="","",IF('02_대상물건입력'!$B$5="",1,IF(ISNUMBER(SEARCH('02_대상물건입력'!$B$5,C95)),1,0)))</f>
        <v/>
      </c>
      <c r="L95">
        <f>IF(C95="","",IF('02_대상물건입력'!$B$6="",1,IF(ISNUMBER(SEARCH('02_대상물건입력'!$B$6,C95)),1,0)))</f>
        <v/>
      </c>
      <c r="M95">
        <f>IF(E95="","",IF('02_대상물건입력'!$B$8="",0,IF(ISNUMBER(SEARCH('02_대상물건입력'!$B$8,E95)),1,0)))</f>
        <v/>
      </c>
      <c r="N95">
        <f>IF(B95="","",IF(B95="담보",1,0))</f>
        <v/>
      </c>
      <c r="O95">
        <f>IFERROR(ABS(G95-'02_대상물건입력'!$B$11)/'02_대상물건입력'!$B$11,"")</f>
        <v/>
      </c>
      <c r="P95">
        <f>IFERROR(ABS('01_설정'!$B$4-H95),"")</f>
        <v/>
      </c>
      <c r="Q95">
        <f>IFERROR(ABS(YEAR(J95)-YEAR('02_대상물건입력'!$B$14)),"")</f>
        <v/>
      </c>
      <c r="R95">
        <f>IF(AND(G95&gt;0,H95&gt;0,I95&gt;0,N95=1,IF('01_설정'!$B$10=1,K95=1,TRUE()),O95&lt;='01_설정'!$B$5,P95&lt;='01_설정'!$B$7,Q95&lt;='01_설정'!$B$8),"Y","")</f>
        <v/>
      </c>
      <c r="S95">
        <f>IF(R95&lt;&gt;"Y","",MAX(0,(1-O95/'01_설정'!$B$5))*'01_설정'!$B$14+MAX(0,(1-P95/'01_설정'!$B$7))*'01_설정'!$B$16+MAX(0,(1-Q95/'01_설정'!$B$8))*'01_설정'!$B$17+L95*'01_설정'!$B$11+M95*'01_설정'!$B$12+N95*50)</f>
        <v/>
      </c>
      <c r="T95">
        <f>IF(S95="","",1+COUNTIFS($S$31:$S$1030,"&gt;"&amp;S95)+COUNTIFS($S$31:S95,S95)-1)</f>
        <v/>
      </c>
    </row>
    <row r="96" hidden="1" ht="16.5" customHeight="1">
      <c r="A96">
        <f>IF(COUNTA('05_KAPA'!$A67:$AO67)=0,"",69)</f>
        <v/>
      </c>
      <c r="B96">
        <f>IF($A96="","",INDEX('05_KAPA'!$B:$B,$A96))</f>
        <v/>
      </c>
      <c r="C96">
        <f>IF($A96="","",INDEX('05_KAPA'!$F:$F,$A96))</f>
        <v/>
      </c>
      <c r="D96">
        <f>IF($A96="","",INDEX('05_KAPA'!$H:$H,$A96))</f>
        <v/>
      </c>
      <c r="E96">
        <f>IF($A96="","",INDEX('05_KAPA'!$K:$K,$A96))</f>
        <v/>
      </c>
      <c r="F96">
        <f>IF($A96="","",INDEX('05_KAPA'!$L:$L,$A96))</f>
        <v/>
      </c>
      <c r="G96">
        <f>IF($A96="","",INDEX('05_KAPA'!$I:$I,$A96))</f>
        <v/>
      </c>
      <c r="H96" s="202">
        <f>IF($A96="","",INDEX('05_KAPA'!$P:$P,$A96))</f>
        <v/>
      </c>
      <c r="I96" s="118">
        <f>IF($A96="","",INDEX('05_KAPA'!$O:$O,$A96))</f>
        <v/>
      </c>
      <c r="J96" s="202">
        <f>IF($A96="","",IFERROR(DATE(LEFT(TEXT(INDEX('05_KAPA'!$T:$T,$A96),"0"),4),MID(TEXT(INDEX('05_KAPA'!$T:$T,$A96),"0"),5,2),RIGHT(TEXT(INDEX('05_KAPA'!$T:$T,$A96),"0"),2)),""))</f>
        <v/>
      </c>
      <c r="K96">
        <f>IF(C96="","",IF('02_대상물건입력'!$B$5="",1,IF(ISNUMBER(SEARCH('02_대상물건입력'!$B$5,C96)),1,0)))</f>
        <v/>
      </c>
      <c r="L96">
        <f>IF(C96="","",IF('02_대상물건입력'!$B$6="",1,IF(ISNUMBER(SEARCH('02_대상물건입력'!$B$6,C96)),1,0)))</f>
        <v/>
      </c>
      <c r="M96">
        <f>IF(E96="","",IF('02_대상물건입력'!$B$8="",0,IF(ISNUMBER(SEARCH('02_대상물건입력'!$B$8,E96)),1,0)))</f>
        <v/>
      </c>
      <c r="N96">
        <f>IF(B96="","",IF(B96="담보",1,0))</f>
        <v/>
      </c>
      <c r="O96">
        <f>IFERROR(ABS(G96-'02_대상물건입력'!$B$11)/'02_대상물건입력'!$B$11,"")</f>
        <v/>
      </c>
      <c r="P96">
        <f>IFERROR(ABS('01_설정'!$B$4-H96),"")</f>
        <v/>
      </c>
      <c r="Q96">
        <f>IFERROR(ABS(YEAR(J96)-YEAR('02_대상물건입력'!$B$14)),"")</f>
        <v/>
      </c>
      <c r="R96">
        <f>IF(AND(G96&gt;0,H96&gt;0,I96&gt;0,N96=1,IF('01_설정'!$B$10=1,K96=1,TRUE()),O96&lt;='01_설정'!$B$5,P96&lt;='01_설정'!$B$7,Q96&lt;='01_설정'!$B$8),"Y","")</f>
        <v/>
      </c>
      <c r="S96">
        <f>IF(R96&lt;&gt;"Y","",MAX(0,(1-O96/'01_설정'!$B$5))*'01_설정'!$B$14+MAX(0,(1-P96/'01_설정'!$B$7))*'01_설정'!$B$16+MAX(0,(1-Q96/'01_설정'!$B$8))*'01_설정'!$B$17+L96*'01_설정'!$B$11+M96*'01_설정'!$B$12+N96*50)</f>
        <v/>
      </c>
      <c r="T96">
        <f>IF(S96="","",1+COUNTIFS($S$31:$S$1030,"&gt;"&amp;S96)+COUNTIFS($S$31:S96,S96)-1)</f>
        <v/>
      </c>
    </row>
    <row r="97" hidden="1" ht="16.5" customHeight="1">
      <c r="A97">
        <f>IF(COUNTA('05_KAPA'!$A68:$AO68)=0,"",70)</f>
        <v/>
      </c>
      <c r="B97">
        <f>IF($A97="","",INDEX('05_KAPA'!$B:$B,$A97))</f>
        <v/>
      </c>
      <c r="C97">
        <f>IF($A97="","",INDEX('05_KAPA'!$F:$F,$A97))</f>
        <v/>
      </c>
      <c r="D97">
        <f>IF($A97="","",INDEX('05_KAPA'!$H:$H,$A97))</f>
        <v/>
      </c>
      <c r="E97">
        <f>IF($A97="","",INDEX('05_KAPA'!$K:$K,$A97))</f>
        <v/>
      </c>
      <c r="F97">
        <f>IF($A97="","",INDEX('05_KAPA'!$L:$L,$A97))</f>
        <v/>
      </c>
      <c r="G97">
        <f>IF($A97="","",INDEX('05_KAPA'!$I:$I,$A97))</f>
        <v/>
      </c>
      <c r="H97" s="202">
        <f>IF($A97="","",INDEX('05_KAPA'!$P:$P,$A97))</f>
        <v/>
      </c>
      <c r="I97" s="118">
        <f>IF($A97="","",INDEX('05_KAPA'!$O:$O,$A97))</f>
        <v/>
      </c>
      <c r="J97" s="202">
        <f>IF($A97="","",IFERROR(DATE(LEFT(TEXT(INDEX('05_KAPA'!$T:$T,$A97),"0"),4),MID(TEXT(INDEX('05_KAPA'!$T:$T,$A97),"0"),5,2),RIGHT(TEXT(INDEX('05_KAPA'!$T:$T,$A97),"0"),2)),""))</f>
        <v/>
      </c>
      <c r="K97">
        <f>IF(C97="","",IF('02_대상물건입력'!$B$5="",1,IF(ISNUMBER(SEARCH('02_대상물건입력'!$B$5,C97)),1,0)))</f>
        <v/>
      </c>
      <c r="L97">
        <f>IF(C97="","",IF('02_대상물건입력'!$B$6="",1,IF(ISNUMBER(SEARCH('02_대상물건입력'!$B$6,C97)),1,0)))</f>
        <v/>
      </c>
      <c r="M97">
        <f>IF(E97="","",IF('02_대상물건입력'!$B$8="",0,IF(ISNUMBER(SEARCH('02_대상물건입력'!$B$8,E97)),1,0)))</f>
        <v/>
      </c>
      <c r="N97">
        <f>IF(B97="","",IF(B97="담보",1,0))</f>
        <v/>
      </c>
      <c r="O97">
        <f>IFERROR(ABS(G97-'02_대상물건입력'!$B$11)/'02_대상물건입력'!$B$11,"")</f>
        <v/>
      </c>
      <c r="P97">
        <f>IFERROR(ABS('01_설정'!$B$4-H97),"")</f>
        <v/>
      </c>
      <c r="Q97">
        <f>IFERROR(ABS(YEAR(J97)-YEAR('02_대상물건입력'!$B$14)),"")</f>
        <v/>
      </c>
      <c r="R97">
        <f>IF(AND(G97&gt;0,H97&gt;0,I97&gt;0,N97=1,IF('01_설정'!$B$10=1,K97=1,TRUE()),O97&lt;='01_설정'!$B$5,P97&lt;='01_설정'!$B$7,Q97&lt;='01_설정'!$B$8),"Y","")</f>
        <v/>
      </c>
      <c r="S97">
        <f>IF(R97&lt;&gt;"Y","",MAX(0,(1-O97/'01_설정'!$B$5))*'01_설정'!$B$14+MAX(0,(1-P97/'01_설정'!$B$7))*'01_설정'!$B$16+MAX(0,(1-Q97/'01_설정'!$B$8))*'01_설정'!$B$17+L97*'01_설정'!$B$11+M97*'01_설정'!$B$12+N97*50)</f>
        <v/>
      </c>
      <c r="T97">
        <f>IF(S97="","",1+COUNTIFS($S$31:$S$1030,"&gt;"&amp;S97)+COUNTIFS($S$31:S97,S97)-1)</f>
        <v/>
      </c>
    </row>
    <row r="98" hidden="1" ht="16.5" customHeight="1">
      <c r="A98">
        <f>IF(COUNTA('05_KAPA'!$A69:$AO69)=0,"",71)</f>
        <v/>
      </c>
      <c r="B98">
        <f>IF($A98="","",INDEX('05_KAPA'!$B:$B,$A98))</f>
        <v/>
      </c>
      <c r="C98">
        <f>IF($A98="","",INDEX('05_KAPA'!$F:$F,$A98))</f>
        <v/>
      </c>
      <c r="D98">
        <f>IF($A98="","",INDEX('05_KAPA'!$H:$H,$A98))</f>
        <v/>
      </c>
      <c r="E98">
        <f>IF($A98="","",INDEX('05_KAPA'!$K:$K,$A98))</f>
        <v/>
      </c>
      <c r="F98">
        <f>IF($A98="","",INDEX('05_KAPA'!$L:$L,$A98))</f>
        <v/>
      </c>
      <c r="G98">
        <f>IF($A98="","",INDEX('05_KAPA'!$I:$I,$A98))</f>
        <v/>
      </c>
      <c r="H98" s="202">
        <f>IF($A98="","",INDEX('05_KAPA'!$P:$P,$A98))</f>
        <v/>
      </c>
      <c r="I98" s="118">
        <f>IF($A98="","",INDEX('05_KAPA'!$O:$O,$A98))</f>
        <v/>
      </c>
      <c r="J98" s="202">
        <f>IF($A98="","",IFERROR(DATE(LEFT(TEXT(INDEX('05_KAPA'!$T:$T,$A98),"0"),4),MID(TEXT(INDEX('05_KAPA'!$T:$T,$A98),"0"),5,2),RIGHT(TEXT(INDEX('05_KAPA'!$T:$T,$A98),"0"),2)),""))</f>
        <v/>
      </c>
      <c r="K98">
        <f>IF(C98="","",IF('02_대상물건입력'!$B$5="",1,IF(ISNUMBER(SEARCH('02_대상물건입력'!$B$5,C98)),1,0)))</f>
        <v/>
      </c>
      <c r="L98">
        <f>IF(C98="","",IF('02_대상물건입력'!$B$6="",1,IF(ISNUMBER(SEARCH('02_대상물건입력'!$B$6,C98)),1,0)))</f>
        <v/>
      </c>
      <c r="M98">
        <f>IF(E98="","",IF('02_대상물건입력'!$B$8="",0,IF(ISNUMBER(SEARCH('02_대상물건입력'!$B$8,E98)),1,0)))</f>
        <v/>
      </c>
      <c r="N98">
        <f>IF(B98="","",IF(B98="담보",1,0))</f>
        <v/>
      </c>
      <c r="O98">
        <f>IFERROR(ABS(G98-'02_대상물건입력'!$B$11)/'02_대상물건입력'!$B$11,"")</f>
        <v/>
      </c>
      <c r="P98">
        <f>IFERROR(ABS('01_설정'!$B$4-H98),"")</f>
        <v/>
      </c>
      <c r="Q98">
        <f>IFERROR(ABS(YEAR(J98)-YEAR('02_대상물건입력'!$B$14)),"")</f>
        <v/>
      </c>
      <c r="R98">
        <f>IF(AND(G98&gt;0,H98&gt;0,I98&gt;0,N98=1,IF('01_설정'!$B$10=1,K98=1,TRUE()),O98&lt;='01_설정'!$B$5,P98&lt;='01_설정'!$B$7,Q98&lt;='01_설정'!$B$8),"Y","")</f>
        <v/>
      </c>
      <c r="S98">
        <f>IF(R98&lt;&gt;"Y","",MAX(0,(1-O98/'01_설정'!$B$5))*'01_설정'!$B$14+MAX(0,(1-P98/'01_설정'!$B$7))*'01_설정'!$B$16+MAX(0,(1-Q98/'01_설정'!$B$8))*'01_설정'!$B$17+L98*'01_설정'!$B$11+M98*'01_설정'!$B$12+N98*50)</f>
        <v/>
      </c>
      <c r="T98">
        <f>IF(S98="","",1+COUNTIFS($S$31:$S$1030,"&gt;"&amp;S98)+COUNTIFS($S$31:S98,S98)-1)</f>
        <v/>
      </c>
    </row>
    <row r="99" hidden="1" ht="16.5" customHeight="1">
      <c r="A99">
        <f>IF(COUNTA('05_KAPA'!$A70:$AO70)=0,"",72)</f>
        <v/>
      </c>
      <c r="B99">
        <f>IF($A99="","",INDEX('05_KAPA'!$B:$B,$A99))</f>
        <v/>
      </c>
      <c r="C99">
        <f>IF($A99="","",INDEX('05_KAPA'!$F:$F,$A99))</f>
        <v/>
      </c>
      <c r="D99">
        <f>IF($A99="","",INDEX('05_KAPA'!$H:$H,$A99))</f>
        <v/>
      </c>
      <c r="E99">
        <f>IF($A99="","",INDEX('05_KAPA'!$K:$K,$A99))</f>
        <v/>
      </c>
      <c r="F99">
        <f>IF($A99="","",INDEX('05_KAPA'!$L:$L,$A99))</f>
        <v/>
      </c>
      <c r="G99">
        <f>IF($A99="","",INDEX('05_KAPA'!$I:$I,$A99))</f>
        <v/>
      </c>
      <c r="H99" s="202">
        <f>IF($A99="","",INDEX('05_KAPA'!$P:$P,$A99))</f>
        <v/>
      </c>
      <c r="I99" s="118">
        <f>IF($A99="","",INDEX('05_KAPA'!$O:$O,$A99))</f>
        <v/>
      </c>
      <c r="J99" s="202">
        <f>IF($A99="","",IFERROR(DATE(LEFT(TEXT(INDEX('05_KAPA'!$T:$T,$A99),"0"),4),MID(TEXT(INDEX('05_KAPA'!$T:$T,$A99),"0"),5,2),RIGHT(TEXT(INDEX('05_KAPA'!$T:$T,$A99),"0"),2)),""))</f>
        <v/>
      </c>
      <c r="K99">
        <f>IF(C99="","",IF('02_대상물건입력'!$B$5="",1,IF(ISNUMBER(SEARCH('02_대상물건입력'!$B$5,C99)),1,0)))</f>
        <v/>
      </c>
      <c r="L99">
        <f>IF(C99="","",IF('02_대상물건입력'!$B$6="",1,IF(ISNUMBER(SEARCH('02_대상물건입력'!$B$6,C99)),1,0)))</f>
        <v/>
      </c>
      <c r="M99">
        <f>IF(E99="","",IF('02_대상물건입력'!$B$8="",0,IF(ISNUMBER(SEARCH('02_대상물건입력'!$B$8,E99)),1,0)))</f>
        <v/>
      </c>
      <c r="N99">
        <f>IF(B99="","",IF(B99="담보",1,0))</f>
        <v/>
      </c>
      <c r="O99">
        <f>IFERROR(ABS(G99-'02_대상물건입력'!$B$11)/'02_대상물건입력'!$B$11,"")</f>
        <v/>
      </c>
      <c r="P99">
        <f>IFERROR(ABS('01_설정'!$B$4-H99),"")</f>
        <v/>
      </c>
      <c r="Q99">
        <f>IFERROR(ABS(YEAR(J99)-YEAR('02_대상물건입력'!$B$14)),"")</f>
        <v/>
      </c>
      <c r="R99">
        <f>IF(AND(G99&gt;0,H99&gt;0,I99&gt;0,N99=1,IF('01_설정'!$B$10=1,K99=1,TRUE()),O99&lt;='01_설정'!$B$5,P99&lt;='01_설정'!$B$7,Q99&lt;='01_설정'!$B$8),"Y","")</f>
        <v/>
      </c>
      <c r="S99">
        <f>IF(R99&lt;&gt;"Y","",MAX(0,(1-O99/'01_설정'!$B$5))*'01_설정'!$B$14+MAX(0,(1-P99/'01_설정'!$B$7))*'01_설정'!$B$16+MAX(0,(1-Q99/'01_설정'!$B$8))*'01_설정'!$B$17+L99*'01_설정'!$B$11+M99*'01_설정'!$B$12+N99*50)</f>
        <v/>
      </c>
      <c r="T99">
        <f>IF(S99="","",1+COUNTIFS($S$31:$S$1030,"&gt;"&amp;S99)+COUNTIFS($S$31:S99,S99)-1)</f>
        <v/>
      </c>
    </row>
    <row r="100" hidden="1" ht="16.5" customHeight="1">
      <c r="A100">
        <f>IF(COUNTA('05_KAPA'!$A71:$AO71)=0,"",73)</f>
        <v/>
      </c>
      <c r="B100">
        <f>IF($A100="","",INDEX('05_KAPA'!$B:$B,$A100))</f>
        <v/>
      </c>
      <c r="C100">
        <f>IF($A100="","",INDEX('05_KAPA'!$F:$F,$A100))</f>
        <v/>
      </c>
      <c r="D100">
        <f>IF($A100="","",INDEX('05_KAPA'!$H:$H,$A100))</f>
        <v/>
      </c>
      <c r="E100">
        <f>IF($A100="","",INDEX('05_KAPA'!$K:$K,$A100))</f>
        <v/>
      </c>
      <c r="F100">
        <f>IF($A100="","",INDEX('05_KAPA'!$L:$L,$A100))</f>
        <v/>
      </c>
      <c r="G100">
        <f>IF($A100="","",INDEX('05_KAPA'!$I:$I,$A100))</f>
        <v/>
      </c>
      <c r="H100" s="202">
        <f>IF($A100="","",INDEX('05_KAPA'!$P:$P,$A100))</f>
        <v/>
      </c>
      <c r="I100" s="118">
        <f>IF($A100="","",INDEX('05_KAPA'!$O:$O,$A100))</f>
        <v/>
      </c>
      <c r="J100" s="202">
        <f>IF($A100="","",IFERROR(DATE(LEFT(TEXT(INDEX('05_KAPA'!$T:$T,$A100),"0"),4),MID(TEXT(INDEX('05_KAPA'!$T:$T,$A100),"0"),5,2),RIGHT(TEXT(INDEX('05_KAPA'!$T:$T,$A100),"0"),2)),""))</f>
        <v/>
      </c>
      <c r="K100">
        <f>IF(C100="","",IF('02_대상물건입력'!$B$5="",1,IF(ISNUMBER(SEARCH('02_대상물건입력'!$B$5,C100)),1,0)))</f>
        <v/>
      </c>
      <c r="L100">
        <f>IF(C100="","",IF('02_대상물건입력'!$B$6="",1,IF(ISNUMBER(SEARCH('02_대상물건입력'!$B$6,C100)),1,0)))</f>
        <v/>
      </c>
      <c r="M100">
        <f>IF(E100="","",IF('02_대상물건입력'!$B$8="",0,IF(ISNUMBER(SEARCH('02_대상물건입력'!$B$8,E100)),1,0)))</f>
        <v/>
      </c>
      <c r="N100">
        <f>IF(B100="","",IF(B100="담보",1,0))</f>
        <v/>
      </c>
      <c r="O100">
        <f>IFERROR(ABS(G100-'02_대상물건입력'!$B$11)/'02_대상물건입력'!$B$11,"")</f>
        <v/>
      </c>
      <c r="P100">
        <f>IFERROR(ABS('01_설정'!$B$4-H100),"")</f>
        <v/>
      </c>
      <c r="Q100">
        <f>IFERROR(ABS(YEAR(J100)-YEAR('02_대상물건입력'!$B$14)),"")</f>
        <v/>
      </c>
      <c r="R100">
        <f>IF(AND(G100&gt;0,H100&gt;0,I100&gt;0,N100=1,IF('01_설정'!$B$10=1,K100=1,TRUE()),O100&lt;='01_설정'!$B$5,P100&lt;='01_설정'!$B$7,Q100&lt;='01_설정'!$B$8),"Y","")</f>
        <v/>
      </c>
      <c r="S100">
        <f>IF(R100&lt;&gt;"Y","",MAX(0,(1-O100/'01_설정'!$B$5))*'01_설정'!$B$14+MAX(0,(1-P100/'01_설정'!$B$7))*'01_설정'!$B$16+MAX(0,(1-Q100/'01_설정'!$B$8))*'01_설정'!$B$17+L100*'01_설정'!$B$11+M100*'01_설정'!$B$12+N100*50)</f>
        <v/>
      </c>
      <c r="T100">
        <f>IF(S100="","",1+COUNTIFS($S$31:$S$1030,"&gt;"&amp;S100)+COUNTIFS($S$31:S100,S100)-1)</f>
        <v/>
      </c>
    </row>
    <row r="101" hidden="1" ht="16.5" customHeight="1">
      <c r="A101">
        <f>IF(COUNTA('05_KAPA'!$A72:$AO72)=0,"",74)</f>
        <v/>
      </c>
      <c r="B101">
        <f>IF($A101="","",INDEX('05_KAPA'!$B:$B,$A101))</f>
        <v/>
      </c>
      <c r="C101">
        <f>IF($A101="","",INDEX('05_KAPA'!$F:$F,$A101))</f>
        <v/>
      </c>
      <c r="D101">
        <f>IF($A101="","",INDEX('05_KAPA'!$H:$H,$A101))</f>
        <v/>
      </c>
      <c r="E101">
        <f>IF($A101="","",INDEX('05_KAPA'!$K:$K,$A101))</f>
        <v/>
      </c>
      <c r="F101">
        <f>IF($A101="","",INDEX('05_KAPA'!$L:$L,$A101))</f>
        <v/>
      </c>
      <c r="G101">
        <f>IF($A101="","",INDEX('05_KAPA'!$I:$I,$A101))</f>
        <v/>
      </c>
      <c r="H101" s="202">
        <f>IF($A101="","",INDEX('05_KAPA'!$P:$P,$A101))</f>
        <v/>
      </c>
      <c r="I101" s="118">
        <f>IF($A101="","",INDEX('05_KAPA'!$O:$O,$A101))</f>
        <v/>
      </c>
      <c r="J101" s="202">
        <f>IF($A101="","",IFERROR(DATE(LEFT(TEXT(INDEX('05_KAPA'!$T:$T,$A101),"0"),4),MID(TEXT(INDEX('05_KAPA'!$T:$T,$A101),"0"),5,2),RIGHT(TEXT(INDEX('05_KAPA'!$T:$T,$A101),"0"),2)),""))</f>
        <v/>
      </c>
      <c r="K101">
        <f>IF(C101="","",IF('02_대상물건입력'!$B$5="",1,IF(ISNUMBER(SEARCH('02_대상물건입력'!$B$5,C101)),1,0)))</f>
        <v/>
      </c>
      <c r="L101">
        <f>IF(C101="","",IF('02_대상물건입력'!$B$6="",1,IF(ISNUMBER(SEARCH('02_대상물건입력'!$B$6,C101)),1,0)))</f>
        <v/>
      </c>
      <c r="M101">
        <f>IF(E101="","",IF('02_대상물건입력'!$B$8="",0,IF(ISNUMBER(SEARCH('02_대상물건입력'!$B$8,E101)),1,0)))</f>
        <v/>
      </c>
      <c r="N101">
        <f>IF(B101="","",IF(B101="담보",1,0))</f>
        <v/>
      </c>
      <c r="O101">
        <f>IFERROR(ABS(G101-'02_대상물건입력'!$B$11)/'02_대상물건입력'!$B$11,"")</f>
        <v/>
      </c>
      <c r="P101">
        <f>IFERROR(ABS('01_설정'!$B$4-H101),"")</f>
        <v/>
      </c>
      <c r="Q101">
        <f>IFERROR(ABS(YEAR(J101)-YEAR('02_대상물건입력'!$B$14)),"")</f>
        <v/>
      </c>
      <c r="R101">
        <f>IF(AND(G101&gt;0,H101&gt;0,I101&gt;0,N101=1,IF('01_설정'!$B$10=1,K101=1,TRUE()),O101&lt;='01_설정'!$B$5,P101&lt;='01_설정'!$B$7,Q101&lt;='01_설정'!$B$8),"Y","")</f>
        <v/>
      </c>
      <c r="S101">
        <f>IF(R101&lt;&gt;"Y","",MAX(0,(1-O101/'01_설정'!$B$5))*'01_설정'!$B$14+MAX(0,(1-P101/'01_설정'!$B$7))*'01_설정'!$B$16+MAX(0,(1-Q101/'01_설정'!$B$8))*'01_설정'!$B$17+L101*'01_설정'!$B$11+M101*'01_설정'!$B$12+N101*50)</f>
        <v/>
      </c>
      <c r="T101">
        <f>IF(S101="","",1+COUNTIFS($S$31:$S$1030,"&gt;"&amp;S101)+COUNTIFS($S$31:S101,S101)-1)</f>
        <v/>
      </c>
    </row>
    <row r="102" hidden="1" ht="16.5" customHeight="1">
      <c r="A102">
        <f>IF(COUNTA('05_KAPA'!$A73:$AO73)=0,"",75)</f>
        <v/>
      </c>
      <c r="B102">
        <f>IF($A102="","",INDEX('05_KAPA'!$B:$B,$A102))</f>
        <v/>
      </c>
      <c r="C102">
        <f>IF($A102="","",INDEX('05_KAPA'!$F:$F,$A102))</f>
        <v/>
      </c>
      <c r="D102">
        <f>IF($A102="","",INDEX('05_KAPA'!$H:$H,$A102))</f>
        <v/>
      </c>
      <c r="E102">
        <f>IF($A102="","",INDEX('05_KAPA'!$K:$K,$A102))</f>
        <v/>
      </c>
      <c r="F102">
        <f>IF($A102="","",INDEX('05_KAPA'!$L:$L,$A102))</f>
        <v/>
      </c>
      <c r="G102">
        <f>IF($A102="","",INDEX('05_KAPA'!$I:$I,$A102))</f>
        <v/>
      </c>
      <c r="H102" s="202">
        <f>IF($A102="","",INDEX('05_KAPA'!$P:$P,$A102))</f>
        <v/>
      </c>
      <c r="I102" s="118">
        <f>IF($A102="","",INDEX('05_KAPA'!$O:$O,$A102))</f>
        <v/>
      </c>
      <c r="J102" s="202">
        <f>IF($A102="","",IFERROR(DATE(LEFT(TEXT(INDEX('05_KAPA'!$T:$T,$A102),"0"),4),MID(TEXT(INDEX('05_KAPA'!$T:$T,$A102),"0"),5,2),RIGHT(TEXT(INDEX('05_KAPA'!$T:$T,$A102),"0"),2)),""))</f>
        <v/>
      </c>
      <c r="K102">
        <f>IF(C102="","",IF('02_대상물건입력'!$B$5="",1,IF(ISNUMBER(SEARCH('02_대상물건입력'!$B$5,C102)),1,0)))</f>
        <v/>
      </c>
      <c r="L102">
        <f>IF(C102="","",IF('02_대상물건입력'!$B$6="",1,IF(ISNUMBER(SEARCH('02_대상물건입력'!$B$6,C102)),1,0)))</f>
        <v/>
      </c>
      <c r="M102">
        <f>IF(E102="","",IF('02_대상물건입력'!$B$8="",0,IF(ISNUMBER(SEARCH('02_대상물건입력'!$B$8,E102)),1,0)))</f>
        <v/>
      </c>
      <c r="N102">
        <f>IF(B102="","",IF(B102="담보",1,0))</f>
        <v/>
      </c>
      <c r="O102">
        <f>IFERROR(ABS(G102-'02_대상물건입력'!$B$11)/'02_대상물건입력'!$B$11,"")</f>
        <v/>
      </c>
      <c r="P102">
        <f>IFERROR(ABS('01_설정'!$B$4-H102),"")</f>
        <v/>
      </c>
      <c r="Q102">
        <f>IFERROR(ABS(YEAR(J102)-YEAR('02_대상물건입력'!$B$14)),"")</f>
        <v/>
      </c>
      <c r="R102">
        <f>IF(AND(G102&gt;0,H102&gt;0,I102&gt;0,N102=1,IF('01_설정'!$B$10=1,K102=1,TRUE()),O102&lt;='01_설정'!$B$5,P102&lt;='01_설정'!$B$7,Q102&lt;='01_설정'!$B$8),"Y","")</f>
        <v/>
      </c>
      <c r="S102">
        <f>IF(R102&lt;&gt;"Y","",MAX(0,(1-O102/'01_설정'!$B$5))*'01_설정'!$B$14+MAX(0,(1-P102/'01_설정'!$B$7))*'01_설정'!$B$16+MAX(0,(1-Q102/'01_설정'!$B$8))*'01_설정'!$B$17+L102*'01_설정'!$B$11+M102*'01_설정'!$B$12+N102*50)</f>
        <v/>
      </c>
      <c r="T102">
        <f>IF(S102="","",1+COUNTIFS($S$31:$S$1030,"&gt;"&amp;S102)+COUNTIFS($S$31:S102,S102)-1)</f>
        <v/>
      </c>
    </row>
    <row r="103" hidden="1" ht="16.5" customHeight="1">
      <c r="A103">
        <f>IF(COUNTA('05_KAPA'!$A74:$AO74)=0,"",76)</f>
        <v/>
      </c>
      <c r="B103">
        <f>IF($A103="","",INDEX('05_KAPA'!$B:$B,$A103))</f>
        <v/>
      </c>
      <c r="C103">
        <f>IF($A103="","",INDEX('05_KAPA'!$F:$F,$A103))</f>
        <v/>
      </c>
      <c r="D103">
        <f>IF($A103="","",INDEX('05_KAPA'!$H:$H,$A103))</f>
        <v/>
      </c>
      <c r="E103">
        <f>IF($A103="","",INDEX('05_KAPA'!$K:$K,$A103))</f>
        <v/>
      </c>
      <c r="F103">
        <f>IF($A103="","",INDEX('05_KAPA'!$L:$L,$A103))</f>
        <v/>
      </c>
      <c r="G103">
        <f>IF($A103="","",INDEX('05_KAPA'!$I:$I,$A103))</f>
        <v/>
      </c>
      <c r="H103" s="202">
        <f>IF($A103="","",INDEX('05_KAPA'!$P:$P,$A103))</f>
        <v/>
      </c>
      <c r="I103" s="118">
        <f>IF($A103="","",INDEX('05_KAPA'!$O:$O,$A103))</f>
        <v/>
      </c>
      <c r="J103" s="202">
        <f>IF($A103="","",IFERROR(DATE(LEFT(TEXT(INDEX('05_KAPA'!$T:$T,$A103),"0"),4),MID(TEXT(INDEX('05_KAPA'!$T:$T,$A103),"0"),5,2),RIGHT(TEXT(INDEX('05_KAPA'!$T:$T,$A103),"0"),2)),""))</f>
        <v/>
      </c>
      <c r="K103">
        <f>IF(C103="","",IF('02_대상물건입력'!$B$5="",1,IF(ISNUMBER(SEARCH('02_대상물건입력'!$B$5,C103)),1,0)))</f>
        <v/>
      </c>
      <c r="L103">
        <f>IF(C103="","",IF('02_대상물건입력'!$B$6="",1,IF(ISNUMBER(SEARCH('02_대상물건입력'!$B$6,C103)),1,0)))</f>
        <v/>
      </c>
      <c r="M103">
        <f>IF(E103="","",IF('02_대상물건입력'!$B$8="",0,IF(ISNUMBER(SEARCH('02_대상물건입력'!$B$8,E103)),1,0)))</f>
        <v/>
      </c>
      <c r="N103">
        <f>IF(B103="","",IF(B103="담보",1,0))</f>
        <v/>
      </c>
      <c r="O103">
        <f>IFERROR(ABS(G103-'02_대상물건입력'!$B$11)/'02_대상물건입력'!$B$11,"")</f>
        <v/>
      </c>
      <c r="P103">
        <f>IFERROR(ABS('01_설정'!$B$4-H103),"")</f>
        <v/>
      </c>
      <c r="Q103">
        <f>IFERROR(ABS(YEAR(J103)-YEAR('02_대상물건입력'!$B$14)),"")</f>
        <v/>
      </c>
      <c r="R103">
        <f>IF(AND(G103&gt;0,H103&gt;0,I103&gt;0,N103=1,IF('01_설정'!$B$10=1,K103=1,TRUE()),O103&lt;='01_설정'!$B$5,P103&lt;='01_설정'!$B$7,Q103&lt;='01_설정'!$B$8),"Y","")</f>
        <v/>
      </c>
      <c r="S103">
        <f>IF(R103&lt;&gt;"Y","",MAX(0,(1-O103/'01_설정'!$B$5))*'01_설정'!$B$14+MAX(0,(1-P103/'01_설정'!$B$7))*'01_설정'!$B$16+MAX(0,(1-Q103/'01_설정'!$B$8))*'01_설정'!$B$17+L103*'01_설정'!$B$11+M103*'01_설정'!$B$12+N103*50)</f>
        <v/>
      </c>
      <c r="T103">
        <f>IF(S103="","",1+COUNTIFS($S$31:$S$1030,"&gt;"&amp;S103)+COUNTIFS($S$31:S103,S103)-1)</f>
        <v/>
      </c>
    </row>
    <row r="104" hidden="1" ht="16.5" customHeight="1">
      <c r="A104">
        <f>IF(COUNTA('05_KAPA'!$A75:$AO75)=0,"",77)</f>
        <v/>
      </c>
      <c r="B104">
        <f>IF($A104="","",INDEX('05_KAPA'!$B:$B,$A104))</f>
        <v/>
      </c>
      <c r="C104">
        <f>IF($A104="","",INDEX('05_KAPA'!$F:$F,$A104))</f>
        <v/>
      </c>
      <c r="D104">
        <f>IF($A104="","",INDEX('05_KAPA'!$H:$H,$A104))</f>
        <v/>
      </c>
      <c r="E104">
        <f>IF($A104="","",INDEX('05_KAPA'!$K:$K,$A104))</f>
        <v/>
      </c>
      <c r="F104">
        <f>IF($A104="","",INDEX('05_KAPA'!$L:$L,$A104))</f>
        <v/>
      </c>
      <c r="G104">
        <f>IF($A104="","",INDEX('05_KAPA'!$I:$I,$A104))</f>
        <v/>
      </c>
      <c r="H104" s="202">
        <f>IF($A104="","",INDEX('05_KAPA'!$P:$P,$A104))</f>
        <v/>
      </c>
      <c r="I104" s="118">
        <f>IF($A104="","",INDEX('05_KAPA'!$O:$O,$A104))</f>
        <v/>
      </c>
      <c r="J104" s="202">
        <f>IF($A104="","",IFERROR(DATE(LEFT(TEXT(INDEX('05_KAPA'!$T:$T,$A104),"0"),4),MID(TEXT(INDEX('05_KAPA'!$T:$T,$A104),"0"),5,2),RIGHT(TEXT(INDEX('05_KAPA'!$T:$T,$A104),"0"),2)),""))</f>
        <v/>
      </c>
      <c r="K104">
        <f>IF(C104="","",IF('02_대상물건입력'!$B$5="",1,IF(ISNUMBER(SEARCH('02_대상물건입력'!$B$5,C104)),1,0)))</f>
        <v/>
      </c>
      <c r="L104">
        <f>IF(C104="","",IF('02_대상물건입력'!$B$6="",1,IF(ISNUMBER(SEARCH('02_대상물건입력'!$B$6,C104)),1,0)))</f>
        <v/>
      </c>
      <c r="M104">
        <f>IF(E104="","",IF('02_대상물건입력'!$B$8="",0,IF(ISNUMBER(SEARCH('02_대상물건입력'!$B$8,E104)),1,0)))</f>
        <v/>
      </c>
      <c r="N104">
        <f>IF(B104="","",IF(B104="담보",1,0))</f>
        <v/>
      </c>
      <c r="O104">
        <f>IFERROR(ABS(G104-'02_대상물건입력'!$B$11)/'02_대상물건입력'!$B$11,"")</f>
        <v/>
      </c>
      <c r="P104">
        <f>IFERROR(ABS('01_설정'!$B$4-H104),"")</f>
        <v/>
      </c>
      <c r="Q104">
        <f>IFERROR(ABS(YEAR(J104)-YEAR('02_대상물건입력'!$B$14)),"")</f>
        <v/>
      </c>
      <c r="R104">
        <f>IF(AND(G104&gt;0,H104&gt;0,I104&gt;0,N104=1,IF('01_설정'!$B$10=1,K104=1,TRUE()),O104&lt;='01_설정'!$B$5,P104&lt;='01_설정'!$B$7,Q104&lt;='01_설정'!$B$8),"Y","")</f>
        <v/>
      </c>
      <c r="S104">
        <f>IF(R104&lt;&gt;"Y","",MAX(0,(1-O104/'01_설정'!$B$5))*'01_설정'!$B$14+MAX(0,(1-P104/'01_설정'!$B$7))*'01_설정'!$B$16+MAX(0,(1-Q104/'01_설정'!$B$8))*'01_설정'!$B$17+L104*'01_설정'!$B$11+M104*'01_설정'!$B$12+N104*50)</f>
        <v/>
      </c>
      <c r="T104">
        <f>IF(S104="","",1+COUNTIFS($S$31:$S$1030,"&gt;"&amp;S104)+COUNTIFS($S$31:S104,S104)-1)</f>
        <v/>
      </c>
    </row>
    <row r="105" hidden="1" ht="16.5" customHeight="1">
      <c r="A105">
        <f>IF(COUNTA('05_KAPA'!$A76:$AO76)=0,"",78)</f>
        <v/>
      </c>
      <c r="B105">
        <f>IF($A105="","",INDEX('05_KAPA'!$B:$B,$A105))</f>
        <v/>
      </c>
      <c r="C105">
        <f>IF($A105="","",INDEX('05_KAPA'!$F:$F,$A105))</f>
        <v/>
      </c>
      <c r="D105">
        <f>IF($A105="","",INDEX('05_KAPA'!$H:$H,$A105))</f>
        <v/>
      </c>
      <c r="E105">
        <f>IF($A105="","",INDEX('05_KAPA'!$K:$K,$A105))</f>
        <v/>
      </c>
      <c r="F105">
        <f>IF($A105="","",INDEX('05_KAPA'!$L:$L,$A105))</f>
        <v/>
      </c>
      <c r="G105">
        <f>IF($A105="","",INDEX('05_KAPA'!$I:$I,$A105))</f>
        <v/>
      </c>
      <c r="H105" s="202">
        <f>IF($A105="","",INDEX('05_KAPA'!$P:$P,$A105))</f>
        <v/>
      </c>
      <c r="I105" s="118">
        <f>IF($A105="","",INDEX('05_KAPA'!$O:$O,$A105))</f>
        <v/>
      </c>
      <c r="J105" s="202">
        <f>IF($A105="","",IFERROR(DATE(LEFT(TEXT(INDEX('05_KAPA'!$T:$T,$A105),"0"),4),MID(TEXT(INDEX('05_KAPA'!$T:$T,$A105),"0"),5,2),RIGHT(TEXT(INDEX('05_KAPA'!$T:$T,$A105),"0"),2)),""))</f>
        <v/>
      </c>
      <c r="K105">
        <f>IF(C105="","",IF('02_대상물건입력'!$B$5="",1,IF(ISNUMBER(SEARCH('02_대상물건입력'!$B$5,C105)),1,0)))</f>
        <v/>
      </c>
      <c r="L105">
        <f>IF(C105="","",IF('02_대상물건입력'!$B$6="",1,IF(ISNUMBER(SEARCH('02_대상물건입력'!$B$6,C105)),1,0)))</f>
        <v/>
      </c>
      <c r="M105">
        <f>IF(E105="","",IF('02_대상물건입력'!$B$8="",0,IF(ISNUMBER(SEARCH('02_대상물건입력'!$B$8,E105)),1,0)))</f>
        <v/>
      </c>
      <c r="N105">
        <f>IF(B105="","",IF(B105="담보",1,0))</f>
        <v/>
      </c>
      <c r="O105">
        <f>IFERROR(ABS(G105-'02_대상물건입력'!$B$11)/'02_대상물건입력'!$B$11,"")</f>
        <v/>
      </c>
      <c r="P105">
        <f>IFERROR(ABS('01_설정'!$B$4-H105),"")</f>
        <v/>
      </c>
      <c r="Q105">
        <f>IFERROR(ABS(YEAR(J105)-YEAR('02_대상물건입력'!$B$14)),"")</f>
        <v/>
      </c>
      <c r="R105">
        <f>IF(AND(G105&gt;0,H105&gt;0,I105&gt;0,N105=1,IF('01_설정'!$B$10=1,K105=1,TRUE()),O105&lt;='01_설정'!$B$5,P105&lt;='01_설정'!$B$7,Q105&lt;='01_설정'!$B$8),"Y","")</f>
        <v/>
      </c>
      <c r="S105">
        <f>IF(R105&lt;&gt;"Y","",MAX(0,(1-O105/'01_설정'!$B$5))*'01_설정'!$B$14+MAX(0,(1-P105/'01_설정'!$B$7))*'01_설정'!$B$16+MAX(0,(1-Q105/'01_설정'!$B$8))*'01_설정'!$B$17+L105*'01_설정'!$B$11+M105*'01_설정'!$B$12+N105*50)</f>
        <v/>
      </c>
      <c r="T105">
        <f>IF(S105="","",1+COUNTIFS($S$31:$S$1030,"&gt;"&amp;S105)+COUNTIFS($S$31:S105,S105)-1)</f>
        <v/>
      </c>
    </row>
    <row r="106" hidden="1" ht="16.5" customHeight="1">
      <c r="A106">
        <f>IF(COUNTA('05_KAPA'!$A77:$AO77)=0,"",79)</f>
        <v/>
      </c>
      <c r="B106">
        <f>IF($A106="","",INDEX('05_KAPA'!$B:$B,$A106))</f>
        <v/>
      </c>
      <c r="C106">
        <f>IF($A106="","",INDEX('05_KAPA'!$F:$F,$A106))</f>
        <v/>
      </c>
      <c r="D106">
        <f>IF($A106="","",INDEX('05_KAPA'!$H:$H,$A106))</f>
        <v/>
      </c>
      <c r="E106">
        <f>IF($A106="","",INDEX('05_KAPA'!$K:$K,$A106))</f>
        <v/>
      </c>
      <c r="F106">
        <f>IF($A106="","",INDEX('05_KAPA'!$L:$L,$A106))</f>
        <v/>
      </c>
      <c r="G106">
        <f>IF($A106="","",INDEX('05_KAPA'!$I:$I,$A106))</f>
        <v/>
      </c>
      <c r="H106" s="202">
        <f>IF($A106="","",INDEX('05_KAPA'!$P:$P,$A106))</f>
        <v/>
      </c>
      <c r="I106" s="118">
        <f>IF($A106="","",INDEX('05_KAPA'!$O:$O,$A106))</f>
        <v/>
      </c>
      <c r="J106" s="202">
        <f>IF($A106="","",IFERROR(DATE(LEFT(TEXT(INDEX('05_KAPA'!$T:$T,$A106),"0"),4),MID(TEXT(INDEX('05_KAPA'!$T:$T,$A106),"0"),5,2),RIGHT(TEXT(INDEX('05_KAPA'!$T:$T,$A106),"0"),2)),""))</f>
        <v/>
      </c>
      <c r="K106">
        <f>IF(C106="","",IF('02_대상물건입력'!$B$5="",1,IF(ISNUMBER(SEARCH('02_대상물건입력'!$B$5,C106)),1,0)))</f>
        <v/>
      </c>
      <c r="L106">
        <f>IF(C106="","",IF('02_대상물건입력'!$B$6="",1,IF(ISNUMBER(SEARCH('02_대상물건입력'!$B$6,C106)),1,0)))</f>
        <v/>
      </c>
      <c r="M106">
        <f>IF(E106="","",IF('02_대상물건입력'!$B$8="",0,IF(ISNUMBER(SEARCH('02_대상물건입력'!$B$8,E106)),1,0)))</f>
        <v/>
      </c>
      <c r="N106">
        <f>IF(B106="","",IF(B106="담보",1,0))</f>
        <v/>
      </c>
      <c r="O106">
        <f>IFERROR(ABS(G106-'02_대상물건입력'!$B$11)/'02_대상물건입력'!$B$11,"")</f>
        <v/>
      </c>
      <c r="P106">
        <f>IFERROR(ABS('01_설정'!$B$4-H106),"")</f>
        <v/>
      </c>
      <c r="Q106">
        <f>IFERROR(ABS(YEAR(J106)-YEAR('02_대상물건입력'!$B$14)),"")</f>
        <v/>
      </c>
      <c r="R106">
        <f>IF(AND(G106&gt;0,H106&gt;0,I106&gt;0,N106=1,IF('01_설정'!$B$10=1,K106=1,TRUE()),O106&lt;='01_설정'!$B$5,P106&lt;='01_설정'!$B$7,Q106&lt;='01_설정'!$B$8),"Y","")</f>
        <v/>
      </c>
      <c r="S106">
        <f>IF(R106&lt;&gt;"Y","",MAX(0,(1-O106/'01_설정'!$B$5))*'01_설정'!$B$14+MAX(0,(1-P106/'01_설정'!$B$7))*'01_설정'!$B$16+MAX(0,(1-Q106/'01_설정'!$B$8))*'01_설정'!$B$17+L106*'01_설정'!$B$11+M106*'01_설정'!$B$12+N106*50)</f>
        <v/>
      </c>
      <c r="T106">
        <f>IF(S106="","",1+COUNTIFS($S$31:$S$1030,"&gt;"&amp;S106)+COUNTIFS($S$31:S106,S106)-1)</f>
        <v/>
      </c>
    </row>
    <row r="107" hidden="1" ht="16.5" customHeight="1">
      <c r="A107">
        <f>IF(COUNTA('05_KAPA'!$A78:$AO78)=0,"",80)</f>
        <v/>
      </c>
      <c r="B107">
        <f>IF($A107="","",INDEX('05_KAPA'!$B:$B,$A107))</f>
        <v/>
      </c>
      <c r="C107">
        <f>IF($A107="","",INDEX('05_KAPA'!$F:$F,$A107))</f>
        <v/>
      </c>
      <c r="D107">
        <f>IF($A107="","",INDEX('05_KAPA'!$H:$H,$A107))</f>
        <v/>
      </c>
      <c r="E107">
        <f>IF($A107="","",INDEX('05_KAPA'!$K:$K,$A107))</f>
        <v/>
      </c>
      <c r="F107">
        <f>IF($A107="","",INDEX('05_KAPA'!$L:$L,$A107))</f>
        <v/>
      </c>
      <c r="G107">
        <f>IF($A107="","",INDEX('05_KAPA'!$I:$I,$A107))</f>
        <v/>
      </c>
      <c r="H107" s="202">
        <f>IF($A107="","",INDEX('05_KAPA'!$P:$P,$A107))</f>
        <v/>
      </c>
      <c r="I107" s="118">
        <f>IF($A107="","",INDEX('05_KAPA'!$O:$O,$A107))</f>
        <v/>
      </c>
      <c r="J107" s="202">
        <f>IF($A107="","",IFERROR(DATE(LEFT(TEXT(INDEX('05_KAPA'!$T:$T,$A107),"0"),4),MID(TEXT(INDEX('05_KAPA'!$T:$T,$A107),"0"),5,2),RIGHT(TEXT(INDEX('05_KAPA'!$T:$T,$A107),"0"),2)),""))</f>
        <v/>
      </c>
      <c r="K107">
        <f>IF(C107="","",IF('02_대상물건입력'!$B$5="",1,IF(ISNUMBER(SEARCH('02_대상물건입력'!$B$5,C107)),1,0)))</f>
        <v/>
      </c>
      <c r="L107">
        <f>IF(C107="","",IF('02_대상물건입력'!$B$6="",1,IF(ISNUMBER(SEARCH('02_대상물건입력'!$B$6,C107)),1,0)))</f>
        <v/>
      </c>
      <c r="M107">
        <f>IF(E107="","",IF('02_대상물건입력'!$B$8="",0,IF(ISNUMBER(SEARCH('02_대상물건입력'!$B$8,E107)),1,0)))</f>
        <v/>
      </c>
      <c r="N107">
        <f>IF(B107="","",IF(B107="담보",1,0))</f>
        <v/>
      </c>
      <c r="O107">
        <f>IFERROR(ABS(G107-'02_대상물건입력'!$B$11)/'02_대상물건입력'!$B$11,"")</f>
        <v/>
      </c>
      <c r="P107">
        <f>IFERROR(ABS('01_설정'!$B$4-H107),"")</f>
        <v/>
      </c>
      <c r="Q107">
        <f>IFERROR(ABS(YEAR(J107)-YEAR('02_대상물건입력'!$B$14)),"")</f>
        <v/>
      </c>
      <c r="R107">
        <f>IF(AND(G107&gt;0,H107&gt;0,I107&gt;0,N107=1,IF('01_설정'!$B$10=1,K107=1,TRUE()),O107&lt;='01_설정'!$B$5,P107&lt;='01_설정'!$B$7,Q107&lt;='01_설정'!$B$8),"Y","")</f>
        <v/>
      </c>
      <c r="S107">
        <f>IF(R107&lt;&gt;"Y","",MAX(0,(1-O107/'01_설정'!$B$5))*'01_설정'!$B$14+MAX(0,(1-P107/'01_설정'!$B$7))*'01_설정'!$B$16+MAX(0,(1-Q107/'01_설정'!$B$8))*'01_설정'!$B$17+L107*'01_설정'!$B$11+M107*'01_설정'!$B$12+N107*50)</f>
        <v/>
      </c>
      <c r="T107">
        <f>IF(S107="","",1+COUNTIFS($S$31:$S$1030,"&gt;"&amp;S107)+COUNTIFS($S$31:S107,S107)-1)</f>
        <v/>
      </c>
    </row>
    <row r="108" hidden="1" ht="16.5" customHeight="1">
      <c r="A108">
        <f>IF(COUNTA('05_KAPA'!$A79:$AO79)=0,"",81)</f>
        <v/>
      </c>
      <c r="B108">
        <f>IF($A108="","",INDEX('05_KAPA'!$B:$B,$A108))</f>
        <v/>
      </c>
      <c r="C108">
        <f>IF($A108="","",INDEX('05_KAPA'!$F:$F,$A108))</f>
        <v/>
      </c>
      <c r="D108">
        <f>IF($A108="","",INDEX('05_KAPA'!$H:$H,$A108))</f>
        <v/>
      </c>
      <c r="E108">
        <f>IF($A108="","",INDEX('05_KAPA'!$K:$K,$A108))</f>
        <v/>
      </c>
      <c r="F108">
        <f>IF($A108="","",INDEX('05_KAPA'!$L:$L,$A108))</f>
        <v/>
      </c>
      <c r="G108">
        <f>IF($A108="","",INDEX('05_KAPA'!$I:$I,$A108))</f>
        <v/>
      </c>
      <c r="H108" s="202">
        <f>IF($A108="","",INDEX('05_KAPA'!$P:$P,$A108))</f>
        <v/>
      </c>
      <c r="I108" s="118">
        <f>IF($A108="","",INDEX('05_KAPA'!$O:$O,$A108))</f>
        <v/>
      </c>
      <c r="J108" s="202">
        <f>IF($A108="","",IFERROR(DATE(LEFT(TEXT(INDEX('05_KAPA'!$T:$T,$A108),"0"),4),MID(TEXT(INDEX('05_KAPA'!$T:$T,$A108),"0"),5,2),RIGHT(TEXT(INDEX('05_KAPA'!$T:$T,$A108),"0"),2)),""))</f>
        <v/>
      </c>
      <c r="K108">
        <f>IF(C108="","",IF('02_대상물건입력'!$B$5="",1,IF(ISNUMBER(SEARCH('02_대상물건입력'!$B$5,C108)),1,0)))</f>
        <v/>
      </c>
      <c r="L108">
        <f>IF(C108="","",IF('02_대상물건입력'!$B$6="",1,IF(ISNUMBER(SEARCH('02_대상물건입력'!$B$6,C108)),1,0)))</f>
        <v/>
      </c>
      <c r="M108">
        <f>IF(E108="","",IF('02_대상물건입력'!$B$8="",0,IF(ISNUMBER(SEARCH('02_대상물건입력'!$B$8,E108)),1,0)))</f>
        <v/>
      </c>
      <c r="N108">
        <f>IF(B108="","",IF(B108="담보",1,0))</f>
        <v/>
      </c>
      <c r="O108">
        <f>IFERROR(ABS(G108-'02_대상물건입력'!$B$11)/'02_대상물건입력'!$B$11,"")</f>
        <v/>
      </c>
      <c r="P108">
        <f>IFERROR(ABS('01_설정'!$B$4-H108),"")</f>
        <v/>
      </c>
      <c r="Q108">
        <f>IFERROR(ABS(YEAR(J108)-YEAR('02_대상물건입력'!$B$14)),"")</f>
        <v/>
      </c>
      <c r="R108">
        <f>IF(AND(G108&gt;0,H108&gt;0,I108&gt;0,N108=1,IF('01_설정'!$B$10=1,K108=1,TRUE()),O108&lt;='01_설정'!$B$5,P108&lt;='01_설정'!$B$7,Q108&lt;='01_설정'!$B$8),"Y","")</f>
        <v/>
      </c>
      <c r="S108">
        <f>IF(R108&lt;&gt;"Y","",MAX(0,(1-O108/'01_설정'!$B$5))*'01_설정'!$B$14+MAX(0,(1-P108/'01_설정'!$B$7))*'01_설정'!$B$16+MAX(0,(1-Q108/'01_설정'!$B$8))*'01_설정'!$B$17+L108*'01_설정'!$B$11+M108*'01_설정'!$B$12+N108*50)</f>
        <v/>
      </c>
      <c r="T108">
        <f>IF(S108="","",1+COUNTIFS($S$31:$S$1030,"&gt;"&amp;S108)+COUNTIFS($S$31:S108,S108)-1)</f>
        <v/>
      </c>
    </row>
    <row r="109" hidden="1" ht="16.5" customHeight="1">
      <c r="A109">
        <f>IF(COUNTA('05_KAPA'!$A80:$AO80)=0,"",82)</f>
        <v/>
      </c>
      <c r="B109">
        <f>IF($A109="","",INDEX('05_KAPA'!$B:$B,$A109))</f>
        <v/>
      </c>
      <c r="C109">
        <f>IF($A109="","",INDEX('05_KAPA'!$F:$F,$A109))</f>
        <v/>
      </c>
      <c r="D109">
        <f>IF($A109="","",INDEX('05_KAPA'!$H:$H,$A109))</f>
        <v/>
      </c>
      <c r="E109">
        <f>IF($A109="","",INDEX('05_KAPA'!$K:$K,$A109))</f>
        <v/>
      </c>
      <c r="F109">
        <f>IF($A109="","",INDEX('05_KAPA'!$L:$L,$A109))</f>
        <v/>
      </c>
      <c r="G109">
        <f>IF($A109="","",INDEX('05_KAPA'!$I:$I,$A109))</f>
        <v/>
      </c>
      <c r="H109" s="202">
        <f>IF($A109="","",INDEX('05_KAPA'!$P:$P,$A109))</f>
        <v/>
      </c>
      <c r="I109" s="118">
        <f>IF($A109="","",INDEX('05_KAPA'!$O:$O,$A109))</f>
        <v/>
      </c>
      <c r="J109" s="202">
        <f>IF($A109="","",IFERROR(DATE(LEFT(TEXT(INDEX('05_KAPA'!$T:$T,$A109),"0"),4),MID(TEXT(INDEX('05_KAPA'!$T:$T,$A109),"0"),5,2),RIGHT(TEXT(INDEX('05_KAPA'!$T:$T,$A109),"0"),2)),""))</f>
        <v/>
      </c>
      <c r="K109">
        <f>IF(C109="","",IF('02_대상물건입력'!$B$5="",1,IF(ISNUMBER(SEARCH('02_대상물건입력'!$B$5,C109)),1,0)))</f>
        <v/>
      </c>
      <c r="L109">
        <f>IF(C109="","",IF('02_대상물건입력'!$B$6="",1,IF(ISNUMBER(SEARCH('02_대상물건입력'!$B$6,C109)),1,0)))</f>
        <v/>
      </c>
      <c r="M109">
        <f>IF(E109="","",IF('02_대상물건입력'!$B$8="",0,IF(ISNUMBER(SEARCH('02_대상물건입력'!$B$8,E109)),1,0)))</f>
        <v/>
      </c>
      <c r="N109">
        <f>IF(B109="","",IF(B109="담보",1,0))</f>
        <v/>
      </c>
      <c r="O109">
        <f>IFERROR(ABS(G109-'02_대상물건입력'!$B$11)/'02_대상물건입력'!$B$11,"")</f>
        <v/>
      </c>
      <c r="P109">
        <f>IFERROR(ABS('01_설정'!$B$4-H109),"")</f>
        <v/>
      </c>
      <c r="Q109">
        <f>IFERROR(ABS(YEAR(J109)-YEAR('02_대상물건입력'!$B$14)),"")</f>
        <v/>
      </c>
      <c r="R109">
        <f>IF(AND(G109&gt;0,H109&gt;0,I109&gt;0,N109=1,IF('01_설정'!$B$10=1,K109=1,TRUE()),O109&lt;='01_설정'!$B$5,P109&lt;='01_설정'!$B$7,Q109&lt;='01_설정'!$B$8),"Y","")</f>
        <v/>
      </c>
      <c r="S109">
        <f>IF(R109&lt;&gt;"Y","",MAX(0,(1-O109/'01_설정'!$B$5))*'01_설정'!$B$14+MAX(0,(1-P109/'01_설정'!$B$7))*'01_설정'!$B$16+MAX(0,(1-Q109/'01_설정'!$B$8))*'01_설정'!$B$17+L109*'01_설정'!$B$11+M109*'01_설정'!$B$12+N109*50)</f>
        <v/>
      </c>
      <c r="T109">
        <f>IF(S109="","",1+COUNTIFS($S$31:$S$1030,"&gt;"&amp;S109)+COUNTIFS($S$31:S109,S109)-1)</f>
        <v/>
      </c>
    </row>
    <row r="110" hidden="1" ht="16.5" customHeight="1">
      <c r="A110">
        <f>IF(COUNTA('05_KAPA'!$A81:$AO81)=0,"",83)</f>
        <v/>
      </c>
      <c r="B110">
        <f>IF($A110="","",INDEX('05_KAPA'!$B:$B,$A110))</f>
        <v/>
      </c>
      <c r="C110">
        <f>IF($A110="","",INDEX('05_KAPA'!$F:$F,$A110))</f>
        <v/>
      </c>
      <c r="D110">
        <f>IF($A110="","",INDEX('05_KAPA'!$H:$H,$A110))</f>
        <v/>
      </c>
      <c r="E110">
        <f>IF($A110="","",INDEX('05_KAPA'!$K:$K,$A110))</f>
        <v/>
      </c>
      <c r="F110">
        <f>IF($A110="","",INDEX('05_KAPA'!$L:$L,$A110))</f>
        <v/>
      </c>
      <c r="G110">
        <f>IF($A110="","",INDEX('05_KAPA'!$I:$I,$A110))</f>
        <v/>
      </c>
      <c r="H110" s="202">
        <f>IF($A110="","",INDEX('05_KAPA'!$P:$P,$A110))</f>
        <v/>
      </c>
      <c r="I110" s="118">
        <f>IF($A110="","",INDEX('05_KAPA'!$O:$O,$A110))</f>
        <v/>
      </c>
      <c r="J110" s="202">
        <f>IF($A110="","",IFERROR(DATE(LEFT(TEXT(INDEX('05_KAPA'!$T:$T,$A110),"0"),4),MID(TEXT(INDEX('05_KAPA'!$T:$T,$A110),"0"),5,2),RIGHT(TEXT(INDEX('05_KAPA'!$T:$T,$A110),"0"),2)),""))</f>
        <v/>
      </c>
      <c r="K110">
        <f>IF(C110="","",IF('02_대상물건입력'!$B$5="",1,IF(ISNUMBER(SEARCH('02_대상물건입력'!$B$5,C110)),1,0)))</f>
        <v/>
      </c>
      <c r="L110">
        <f>IF(C110="","",IF('02_대상물건입력'!$B$6="",1,IF(ISNUMBER(SEARCH('02_대상물건입력'!$B$6,C110)),1,0)))</f>
        <v/>
      </c>
      <c r="M110">
        <f>IF(E110="","",IF('02_대상물건입력'!$B$8="",0,IF(ISNUMBER(SEARCH('02_대상물건입력'!$B$8,E110)),1,0)))</f>
        <v/>
      </c>
      <c r="N110">
        <f>IF(B110="","",IF(B110="담보",1,0))</f>
        <v/>
      </c>
      <c r="O110">
        <f>IFERROR(ABS(G110-'02_대상물건입력'!$B$11)/'02_대상물건입력'!$B$11,"")</f>
        <v/>
      </c>
      <c r="P110">
        <f>IFERROR(ABS('01_설정'!$B$4-H110),"")</f>
        <v/>
      </c>
      <c r="Q110">
        <f>IFERROR(ABS(YEAR(J110)-YEAR('02_대상물건입력'!$B$14)),"")</f>
        <v/>
      </c>
      <c r="R110">
        <f>IF(AND(G110&gt;0,H110&gt;0,I110&gt;0,N110=1,IF('01_설정'!$B$10=1,K110=1,TRUE()),O110&lt;='01_설정'!$B$5,P110&lt;='01_설정'!$B$7,Q110&lt;='01_설정'!$B$8),"Y","")</f>
        <v/>
      </c>
      <c r="S110">
        <f>IF(R110&lt;&gt;"Y","",MAX(0,(1-O110/'01_설정'!$B$5))*'01_설정'!$B$14+MAX(0,(1-P110/'01_설정'!$B$7))*'01_설정'!$B$16+MAX(0,(1-Q110/'01_설정'!$B$8))*'01_설정'!$B$17+L110*'01_설정'!$B$11+M110*'01_설정'!$B$12+N110*50)</f>
        <v/>
      </c>
      <c r="T110">
        <f>IF(S110="","",1+COUNTIFS($S$31:$S$1030,"&gt;"&amp;S110)+COUNTIFS($S$31:S110,S110)-1)</f>
        <v/>
      </c>
    </row>
    <row r="111" hidden="1" ht="16.5" customHeight="1">
      <c r="A111">
        <f>IF(COUNTA('05_KAPA'!$A82:$AO82)=0,"",84)</f>
        <v/>
      </c>
      <c r="B111">
        <f>IF($A111="","",INDEX('05_KAPA'!$B:$B,$A111))</f>
        <v/>
      </c>
      <c r="C111">
        <f>IF($A111="","",INDEX('05_KAPA'!$F:$F,$A111))</f>
        <v/>
      </c>
      <c r="D111">
        <f>IF($A111="","",INDEX('05_KAPA'!$H:$H,$A111))</f>
        <v/>
      </c>
      <c r="E111">
        <f>IF($A111="","",INDEX('05_KAPA'!$K:$K,$A111))</f>
        <v/>
      </c>
      <c r="F111">
        <f>IF($A111="","",INDEX('05_KAPA'!$L:$L,$A111))</f>
        <v/>
      </c>
      <c r="G111">
        <f>IF($A111="","",INDEX('05_KAPA'!$I:$I,$A111))</f>
        <v/>
      </c>
      <c r="H111" s="202">
        <f>IF($A111="","",INDEX('05_KAPA'!$P:$P,$A111))</f>
        <v/>
      </c>
      <c r="I111" s="118">
        <f>IF($A111="","",INDEX('05_KAPA'!$O:$O,$A111))</f>
        <v/>
      </c>
      <c r="J111" s="202">
        <f>IF($A111="","",IFERROR(DATE(LEFT(TEXT(INDEX('05_KAPA'!$T:$T,$A111),"0"),4),MID(TEXT(INDEX('05_KAPA'!$T:$T,$A111),"0"),5,2),RIGHT(TEXT(INDEX('05_KAPA'!$T:$T,$A111),"0"),2)),""))</f>
        <v/>
      </c>
      <c r="K111">
        <f>IF(C111="","",IF('02_대상물건입력'!$B$5="",1,IF(ISNUMBER(SEARCH('02_대상물건입력'!$B$5,C111)),1,0)))</f>
        <v/>
      </c>
      <c r="L111">
        <f>IF(C111="","",IF('02_대상물건입력'!$B$6="",1,IF(ISNUMBER(SEARCH('02_대상물건입력'!$B$6,C111)),1,0)))</f>
        <v/>
      </c>
      <c r="M111">
        <f>IF(E111="","",IF('02_대상물건입력'!$B$8="",0,IF(ISNUMBER(SEARCH('02_대상물건입력'!$B$8,E111)),1,0)))</f>
        <v/>
      </c>
      <c r="N111">
        <f>IF(B111="","",IF(B111="담보",1,0))</f>
        <v/>
      </c>
      <c r="O111">
        <f>IFERROR(ABS(G111-'02_대상물건입력'!$B$11)/'02_대상물건입력'!$B$11,"")</f>
        <v/>
      </c>
      <c r="P111">
        <f>IFERROR(ABS('01_설정'!$B$4-H111),"")</f>
        <v/>
      </c>
      <c r="Q111">
        <f>IFERROR(ABS(YEAR(J111)-YEAR('02_대상물건입력'!$B$14)),"")</f>
        <v/>
      </c>
      <c r="R111">
        <f>IF(AND(G111&gt;0,H111&gt;0,I111&gt;0,N111=1,IF('01_설정'!$B$10=1,K111=1,TRUE()),O111&lt;='01_설정'!$B$5,P111&lt;='01_설정'!$B$7,Q111&lt;='01_설정'!$B$8),"Y","")</f>
        <v/>
      </c>
      <c r="S111">
        <f>IF(R111&lt;&gt;"Y","",MAX(0,(1-O111/'01_설정'!$B$5))*'01_설정'!$B$14+MAX(0,(1-P111/'01_설정'!$B$7))*'01_설정'!$B$16+MAX(0,(1-Q111/'01_설정'!$B$8))*'01_설정'!$B$17+L111*'01_설정'!$B$11+M111*'01_설정'!$B$12+N111*50)</f>
        <v/>
      </c>
      <c r="T111">
        <f>IF(S111="","",1+COUNTIFS($S$31:$S$1030,"&gt;"&amp;S111)+COUNTIFS($S$31:S111,S111)-1)</f>
        <v/>
      </c>
    </row>
    <row r="112" hidden="1" ht="16.5" customHeight="1">
      <c r="A112">
        <f>IF(COUNTA('05_KAPA'!$A83:$AO83)=0,"",85)</f>
        <v/>
      </c>
      <c r="B112">
        <f>IF($A112="","",INDEX('05_KAPA'!$B:$B,$A112))</f>
        <v/>
      </c>
      <c r="C112">
        <f>IF($A112="","",INDEX('05_KAPA'!$F:$F,$A112))</f>
        <v/>
      </c>
      <c r="D112">
        <f>IF($A112="","",INDEX('05_KAPA'!$H:$H,$A112))</f>
        <v/>
      </c>
      <c r="E112">
        <f>IF($A112="","",INDEX('05_KAPA'!$K:$K,$A112))</f>
        <v/>
      </c>
      <c r="F112">
        <f>IF($A112="","",INDEX('05_KAPA'!$L:$L,$A112))</f>
        <v/>
      </c>
      <c r="G112">
        <f>IF($A112="","",INDEX('05_KAPA'!$I:$I,$A112))</f>
        <v/>
      </c>
      <c r="H112" s="202">
        <f>IF($A112="","",INDEX('05_KAPA'!$P:$P,$A112))</f>
        <v/>
      </c>
      <c r="I112" s="118">
        <f>IF($A112="","",INDEX('05_KAPA'!$O:$O,$A112))</f>
        <v/>
      </c>
      <c r="J112" s="202">
        <f>IF($A112="","",IFERROR(DATE(LEFT(TEXT(INDEX('05_KAPA'!$T:$T,$A112),"0"),4),MID(TEXT(INDEX('05_KAPA'!$T:$T,$A112),"0"),5,2),RIGHT(TEXT(INDEX('05_KAPA'!$T:$T,$A112),"0"),2)),""))</f>
        <v/>
      </c>
      <c r="K112">
        <f>IF(C112="","",IF('02_대상물건입력'!$B$5="",1,IF(ISNUMBER(SEARCH('02_대상물건입력'!$B$5,C112)),1,0)))</f>
        <v/>
      </c>
      <c r="L112">
        <f>IF(C112="","",IF('02_대상물건입력'!$B$6="",1,IF(ISNUMBER(SEARCH('02_대상물건입력'!$B$6,C112)),1,0)))</f>
        <v/>
      </c>
      <c r="M112">
        <f>IF(E112="","",IF('02_대상물건입력'!$B$8="",0,IF(ISNUMBER(SEARCH('02_대상물건입력'!$B$8,E112)),1,0)))</f>
        <v/>
      </c>
      <c r="N112">
        <f>IF(B112="","",IF(B112="담보",1,0))</f>
        <v/>
      </c>
      <c r="O112">
        <f>IFERROR(ABS(G112-'02_대상물건입력'!$B$11)/'02_대상물건입력'!$B$11,"")</f>
        <v/>
      </c>
      <c r="P112">
        <f>IFERROR(ABS('01_설정'!$B$4-H112),"")</f>
        <v/>
      </c>
      <c r="Q112">
        <f>IFERROR(ABS(YEAR(J112)-YEAR('02_대상물건입력'!$B$14)),"")</f>
        <v/>
      </c>
      <c r="R112">
        <f>IF(AND(G112&gt;0,H112&gt;0,I112&gt;0,N112=1,IF('01_설정'!$B$10=1,K112=1,TRUE()),O112&lt;='01_설정'!$B$5,P112&lt;='01_설정'!$B$7,Q112&lt;='01_설정'!$B$8),"Y","")</f>
        <v/>
      </c>
      <c r="S112">
        <f>IF(R112&lt;&gt;"Y","",MAX(0,(1-O112/'01_설정'!$B$5))*'01_설정'!$B$14+MAX(0,(1-P112/'01_설정'!$B$7))*'01_설정'!$B$16+MAX(0,(1-Q112/'01_설정'!$B$8))*'01_설정'!$B$17+L112*'01_설정'!$B$11+M112*'01_설정'!$B$12+N112*50)</f>
        <v/>
      </c>
      <c r="T112">
        <f>IF(S112="","",1+COUNTIFS($S$31:$S$1030,"&gt;"&amp;S112)+COUNTIFS($S$31:S112,S112)-1)</f>
        <v/>
      </c>
    </row>
    <row r="113" hidden="1" ht="16.5" customHeight="1">
      <c r="A113">
        <f>IF(COUNTA('05_KAPA'!$A84:$AO84)=0,"",86)</f>
        <v/>
      </c>
      <c r="B113">
        <f>IF($A113="","",INDEX('05_KAPA'!$B:$B,$A113))</f>
        <v/>
      </c>
      <c r="C113">
        <f>IF($A113="","",INDEX('05_KAPA'!$F:$F,$A113))</f>
        <v/>
      </c>
      <c r="D113">
        <f>IF($A113="","",INDEX('05_KAPA'!$H:$H,$A113))</f>
        <v/>
      </c>
      <c r="E113">
        <f>IF($A113="","",INDEX('05_KAPA'!$K:$K,$A113))</f>
        <v/>
      </c>
      <c r="F113">
        <f>IF($A113="","",INDEX('05_KAPA'!$L:$L,$A113))</f>
        <v/>
      </c>
      <c r="G113">
        <f>IF($A113="","",INDEX('05_KAPA'!$I:$I,$A113))</f>
        <v/>
      </c>
      <c r="H113" s="202">
        <f>IF($A113="","",INDEX('05_KAPA'!$P:$P,$A113))</f>
        <v/>
      </c>
      <c r="I113" s="118">
        <f>IF($A113="","",INDEX('05_KAPA'!$O:$O,$A113))</f>
        <v/>
      </c>
      <c r="J113" s="202">
        <f>IF($A113="","",IFERROR(DATE(LEFT(TEXT(INDEX('05_KAPA'!$T:$T,$A113),"0"),4),MID(TEXT(INDEX('05_KAPA'!$T:$T,$A113),"0"),5,2),RIGHT(TEXT(INDEX('05_KAPA'!$T:$T,$A113),"0"),2)),""))</f>
        <v/>
      </c>
      <c r="K113">
        <f>IF(C113="","",IF('02_대상물건입력'!$B$5="",1,IF(ISNUMBER(SEARCH('02_대상물건입력'!$B$5,C113)),1,0)))</f>
        <v/>
      </c>
      <c r="L113">
        <f>IF(C113="","",IF('02_대상물건입력'!$B$6="",1,IF(ISNUMBER(SEARCH('02_대상물건입력'!$B$6,C113)),1,0)))</f>
        <v/>
      </c>
      <c r="M113">
        <f>IF(E113="","",IF('02_대상물건입력'!$B$8="",0,IF(ISNUMBER(SEARCH('02_대상물건입력'!$B$8,E113)),1,0)))</f>
        <v/>
      </c>
      <c r="N113">
        <f>IF(B113="","",IF(B113="담보",1,0))</f>
        <v/>
      </c>
      <c r="O113">
        <f>IFERROR(ABS(G113-'02_대상물건입력'!$B$11)/'02_대상물건입력'!$B$11,"")</f>
        <v/>
      </c>
      <c r="P113">
        <f>IFERROR(ABS('01_설정'!$B$4-H113),"")</f>
        <v/>
      </c>
      <c r="Q113">
        <f>IFERROR(ABS(YEAR(J113)-YEAR('02_대상물건입력'!$B$14)),"")</f>
        <v/>
      </c>
      <c r="R113">
        <f>IF(AND(G113&gt;0,H113&gt;0,I113&gt;0,N113=1,IF('01_설정'!$B$10=1,K113=1,TRUE()),O113&lt;='01_설정'!$B$5,P113&lt;='01_설정'!$B$7,Q113&lt;='01_설정'!$B$8),"Y","")</f>
        <v/>
      </c>
      <c r="S113">
        <f>IF(R113&lt;&gt;"Y","",MAX(0,(1-O113/'01_설정'!$B$5))*'01_설정'!$B$14+MAX(0,(1-P113/'01_설정'!$B$7))*'01_설정'!$B$16+MAX(0,(1-Q113/'01_설정'!$B$8))*'01_설정'!$B$17+L113*'01_설정'!$B$11+M113*'01_설정'!$B$12+N113*50)</f>
        <v/>
      </c>
      <c r="T113">
        <f>IF(S113="","",1+COUNTIFS($S$31:$S$1030,"&gt;"&amp;S113)+COUNTIFS($S$31:S113,S113)-1)</f>
        <v/>
      </c>
    </row>
    <row r="114" hidden="1" ht="16.5" customHeight="1">
      <c r="A114">
        <f>IF(COUNTA('05_KAPA'!$A85:$AO85)=0,"",87)</f>
        <v/>
      </c>
      <c r="B114">
        <f>IF($A114="","",INDEX('05_KAPA'!$B:$B,$A114))</f>
        <v/>
      </c>
      <c r="C114">
        <f>IF($A114="","",INDEX('05_KAPA'!$F:$F,$A114))</f>
        <v/>
      </c>
      <c r="D114">
        <f>IF($A114="","",INDEX('05_KAPA'!$H:$H,$A114))</f>
        <v/>
      </c>
      <c r="E114">
        <f>IF($A114="","",INDEX('05_KAPA'!$K:$K,$A114))</f>
        <v/>
      </c>
      <c r="F114">
        <f>IF($A114="","",INDEX('05_KAPA'!$L:$L,$A114))</f>
        <v/>
      </c>
      <c r="G114">
        <f>IF($A114="","",INDEX('05_KAPA'!$I:$I,$A114))</f>
        <v/>
      </c>
      <c r="H114" s="202">
        <f>IF($A114="","",INDEX('05_KAPA'!$P:$P,$A114))</f>
        <v/>
      </c>
      <c r="I114" s="118">
        <f>IF($A114="","",INDEX('05_KAPA'!$O:$O,$A114))</f>
        <v/>
      </c>
      <c r="J114" s="202">
        <f>IF($A114="","",IFERROR(DATE(LEFT(TEXT(INDEX('05_KAPA'!$T:$T,$A114),"0"),4),MID(TEXT(INDEX('05_KAPA'!$T:$T,$A114),"0"),5,2),RIGHT(TEXT(INDEX('05_KAPA'!$T:$T,$A114),"0"),2)),""))</f>
        <v/>
      </c>
      <c r="K114">
        <f>IF(C114="","",IF('02_대상물건입력'!$B$5="",1,IF(ISNUMBER(SEARCH('02_대상물건입력'!$B$5,C114)),1,0)))</f>
        <v/>
      </c>
      <c r="L114">
        <f>IF(C114="","",IF('02_대상물건입력'!$B$6="",1,IF(ISNUMBER(SEARCH('02_대상물건입력'!$B$6,C114)),1,0)))</f>
        <v/>
      </c>
      <c r="M114">
        <f>IF(E114="","",IF('02_대상물건입력'!$B$8="",0,IF(ISNUMBER(SEARCH('02_대상물건입력'!$B$8,E114)),1,0)))</f>
        <v/>
      </c>
      <c r="N114">
        <f>IF(B114="","",IF(B114="담보",1,0))</f>
        <v/>
      </c>
      <c r="O114">
        <f>IFERROR(ABS(G114-'02_대상물건입력'!$B$11)/'02_대상물건입력'!$B$11,"")</f>
        <v/>
      </c>
      <c r="P114">
        <f>IFERROR(ABS('01_설정'!$B$4-H114),"")</f>
        <v/>
      </c>
      <c r="Q114">
        <f>IFERROR(ABS(YEAR(J114)-YEAR('02_대상물건입력'!$B$14)),"")</f>
        <v/>
      </c>
      <c r="R114">
        <f>IF(AND(G114&gt;0,H114&gt;0,I114&gt;0,N114=1,IF('01_설정'!$B$10=1,K114=1,TRUE()),O114&lt;='01_설정'!$B$5,P114&lt;='01_설정'!$B$7,Q114&lt;='01_설정'!$B$8),"Y","")</f>
        <v/>
      </c>
      <c r="S114">
        <f>IF(R114&lt;&gt;"Y","",MAX(0,(1-O114/'01_설정'!$B$5))*'01_설정'!$B$14+MAX(0,(1-P114/'01_설정'!$B$7))*'01_설정'!$B$16+MAX(0,(1-Q114/'01_설정'!$B$8))*'01_설정'!$B$17+L114*'01_설정'!$B$11+M114*'01_설정'!$B$12+N114*50)</f>
        <v/>
      </c>
      <c r="T114">
        <f>IF(S114="","",1+COUNTIFS($S$31:$S$1030,"&gt;"&amp;S114)+COUNTIFS($S$31:S114,S114)-1)</f>
        <v/>
      </c>
    </row>
    <row r="115" hidden="1" ht="16.5" customHeight="1">
      <c r="A115">
        <f>IF(COUNTA('05_KAPA'!$A86:$AO86)=0,"",88)</f>
        <v/>
      </c>
      <c r="B115">
        <f>IF($A115="","",INDEX('05_KAPA'!$B:$B,$A115))</f>
        <v/>
      </c>
      <c r="C115">
        <f>IF($A115="","",INDEX('05_KAPA'!$F:$F,$A115))</f>
        <v/>
      </c>
      <c r="D115">
        <f>IF($A115="","",INDEX('05_KAPA'!$H:$H,$A115))</f>
        <v/>
      </c>
      <c r="E115">
        <f>IF($A115="","",INDEX('05_KAPA'!$K:$K,$A115))</f>
        <v/>
      </c>
      <c r="F115">
        <f>IF($A115="","",INDEX('05_KAPA'!$L:$L,$A115))</f>
        <v/>
      </c>
      <c r="G115">
        <f>IF($A115="","",INDEX('05_KAPA'!$I:$I,$A115))</f>
        <v/>
      </c>
      <c r="H115" s="202">
        <f>IF($A115="","",INDEX('05_KAPA'!$P:$P,$A115))</f>
        <v/>
      </c>
      <c r="I115" s="118">
        <f>IF($A115="","",INDEX('05_KAPA'!$O:$O,$A115))</f>
        <v/>
      </c>
      <c r="J115" s="202">
        <f>IF($A115="","",IFERROR(DATE(LEFT(TEXT(INDEX('05_KAPA'!$T:$T,$A115),"0"),4),MID(TEXT(INDEX('05_KAPA'!$T:$T,$A115),"0"),5,2),RIGHT(TEXT(INDEX('05_KAPA'!$T:$T,$A115),"0"),2)),""))</f>
        <v/>
      </c>
      <c r="K115">
        <f>IF(C115="","",IF('02_대상물건입력'!$B$5="",1,IF(ISNUMBER(SEARCH('02_대상물건입력'!$B$5,C115)),1,0)))</f>
        <v/>
      </c>
      <c r="L115">
        <f>IF(C115="","",IF('02_대상물건입력'!$B$6="",1,IF(ISNUMBER(SEARCH('02_대상물건입력'!$B$6,C115)),1,0)))</f>
        <v/>
      </c>
      <c r="M115">
        <f>IF(E115="","",IF('02_대상물건입력'!$B$8="",0,IF(ISNUMBER(SEARCH('02_대상물건입력'!$B$8,E115)),1,0)))</f>
        <v/>
      </c>
      <c r="N115">
        <f>IF(B115="","",IF(B115="담보",1,0))</f>
        <v/>
      </c>
      <c r="O115">
        <f>IFERROR(ABS(G115-'02_대상물건입력'!$B$11)/'02_대상물건입력'!$B$11,"")</f>
        <v/>
      </c>
      <c r="P115">
        <f>IFERROR(ABS('01_설정'!$B$4-H115),"")</f>
        <v/>
      </c>
      <c r="Q115">
        <f>IFERROR(ABS(YEAR(J115)-YEAR('02_대상물건입력'!$B$14)),"")</f>
        <v/>
      </c>
      <c r="R115">
        <f>IF(AND(G115&gt;0,H115&gt;0,I115&gt;0,N115=1,IF('01_설정'!$B$10=1,K115=1,TRUE()),O115&lt;='01_설정'!$B$5,P115&lt;='01_설정'!$B$7,Q115&lt;='01_설정'!$B$8),"Y","")</f>
        <v/>
      </c>
      <c r="S115">
        <f>IF(R115&lt;&gt;"Y","",MAX(0,(1-O115/'01_설정'!$B$5))*'01_설정'!$B$14+MAX(0,(1-P115/'01_설정'!$B$7))*'01_설정'!$B$16+MAX(0,(1-Q115/'01_설정'!$B$8))*'01_설정'!$B$17+L115*'01_설정'!$B$11+M115*'01_설정'!$B$12+N115*50)</f>
        <v/>
      </c>
      <c r="T115">
        <f>IF(S115="","",1+COUNTIFS($S$31:$S$1030,"&gt;"&amp;S115)+COUNTIFS($S$31:S115,S115)-1)</f>
        <v/>
      </c>
    </row>
    <row r="116" hidden="1" ht="16.5" customHeight="1">
      <c r="A116">
        <f>IF(COUNTA('05_KAPA'!$A87:$AO87)=0,"",89)</f>
        <v/>
      </c>
      <c r="B116">
        <f>IF($A116="","",INDEX('05_KAPA'!$B:$B,$A116))</f>
        <v/>
      </c>
      <c r="C116">
        <f>IF($A116="","",INDEX('05_KAPA'!$F:$F,$A116))</f>
        <v/>
      </c>
      <c r="D116">
        <f>IF($A116="","",INDEX('05_KAPA'!$H:$H,$A116))</f>
        <v/>
      </c>
      <c r="E116">
        <f>IF($A116="","",INDEX('05_KAPA'!$K:$K,$A116))</f>
        <v/>
      </c>
      <c r="F116">
        <f>IF($A116="","",INDEX('05_KAPA'!$L:$L,$A116))</f>
        <v/>
      </c>
      <c r="G116">
        <f>IF($A116="","",INDEX('05_KAPA'!$I:$I,$A116))</f>
        <v/>
      </c>
      <c r="H116" s="202">
        <f>IF($A116="","",INDEX('05_KAPA'!$P:$P,$A116))</f>
        <v/>
      </c>
      <c r="I116" s="118">
        <f>IF($A116="","",INDEX('05_KAPA'!$O:$O,$A116))</f>
        <v/>
      </c>
      <c r="J116" s="202">
        <f>IF($A116="","",IFERROR(DATE(LEFT(TEXT(INDEX('05_KAPA'!$T:$T,$A116),"0"),4),MID(TEXT(INDEX('05_KAPA'!$T:$T,$A116),"0"),5,2),RIGHT(TEXT(INDEX('05_KAPA'!$T:$T,$A116),"0"),2)),""))</f>
        <v/>
      </c>
      <c r="K116">
        <f>IF(C116="","",IF('02_대상물건입력'!$B$5="",1,IF(ISNUMBER(SEARCH('02_대상물건입력'!$B$5,C116)),1,0)))</f>
        <v/>
      </c>
      <c r="L116">
        <f>IF(C116="","",IF('02_대상물건입력'!$B$6="",1,IF(ISNUMBER(SEARCH('02_대상물건입력'!$B$6,C116)),1,0)))</f>
        <v/>
      </c>
      <c r="M116">
        <f>IF(E116="","",IF('02_대상물건입력'!$B$8="",0,IF(ISNUMBER(SEARCH('02_대상물건입력'!$B$8,E116)),1,0)))</f>
        <v/>
      </c>
      <c r="N116">
        <f>IF(B116="","",IF(B116="담보",1,0))</f>
        <v/>
      </c>
      <c r="O116">
        <f>IFERROR(ABS(G116-'02_대상물건입력'!$B$11)/'02_대상물건입력'!$B$11,"")</f>
        <v/>
      </c>
      <c r="P116">
        <f>IFERROR(ABS('01_설정'!$B$4-H116),"")</f>
        <v/>
      </c>
      <c r="Q116">
        <f>IFERROR(ABS(YEAR(J116)-YEAR('02_대상물건입력'!$B$14)),"")</f>
        <v/>
      </c>
      <c r="R116">
        <f>IF(AND(G116&gt;0,H116&gt;0,I116&gt;0,N116=1,IF('01_설정'!$B$10=1,K116=1,TRUE()),O116&lt;='01_설정'!$B$5,P116&lt;='01_설정'!$B$7,Q116&lt;='01_설정'!$B$8),"Y","")</f>
        <v/>
      </c>
      <c r="S116">
        <f>IF(R116&lt;&gt;"Y","",MAX(0,(1-O116/'01_설정'!$B$5))*'01_설정'!$B$14+MAX(0,(1-P116/'01_설정'!$B$7))*'01_설정'!$B$16+MAX(0,(1-Q116/'01_설정'!$B$8))*'01_설정'!$B$17+L116*'01_설정'!$B$11+M116*'01_설정'!$B$12+N116*50)</f>
        <v/>
      </c>
      <c r="T116">
        <f>IF(S116="","",1+COUNTIFS($S$31:$S$1030,"&gt;"&amp;S116)+COUNTIFS($S$31:S116,S116)-1)</f>
        <v/>
      </c>
    </row>
    <row r="117" hidden="1" ht="16.5" customHeight="1">
      <c r="A117">
        <f>IF(COUNTA('05_KAPA'!$A88:$AO88)=0,"",90)</f>
        <v/>
      </c>
      <c r="B117">
        <f>IF($A117="","",INDEX('05_KAPA'!$B:$B,$A117))</f>
        <v/>
      </c>
      <c r="C117">
        <f>IF($A117="","",INDEX('05_KAPA'!$F:$F,$A117))</f>
        <v/>
      </c>
      <c r="D117">
        <f>IF($A117="","",INDEX('05_KAPA'!$H:$H,$A117))</f>
        <v/>
      </c>
      <c r="E117">
        <f>IF($A117="","",INDEX('05_KAPA'!$K:$K,$A117))</f>
        <v/>
      </c>
      <c r="F117">
        <f>IF($A117="","",INDEX('05_KAPA'!$L:$L,$A117))</f>
        <v/>
      </c>
      <c r="G117">
        <f>IF($A117="","",INDEX('05_KAPA'!$I:$I,$A117))</f>
        <v/>
      </c>
      <c r="H117" s="202">
        <f>IF($A117="","",INDEX('05_KAPA'!$P:$P,$A117))</f>
        <v/>
      </c>
      <c r="I117" s="118">
        <f>IF($A117="","",INDEX('05_KAPA'!$O:$O,$A117))</f>
        <v/>
      </c>
      <c r="J117" s="202">
        <f>IF($A117="","",IFERROR(DATE(LEFT(TEXT(INDEX('05_KAPA'!$T:$T,$A117),"0"),4),MID(TEXT(INDEX('05_KAPA'!$T:$T,$A117),"0"),5,2),RIGHT(TEXT(INDEX('05_KAPA'!$T:$T,$A117),"0"),2)),""))</f>
        <v/>
      </c>
      <c r="K117">
        <f>IF(C117="","",IF('02_대상물건입력'!$B$5="",1,IF(ISNUMBER(SEARCH('02_대상물건입력'!$B$5,C117)),1,0)))</f>
        <v/>
      </c>
      <c r="L117">
        <f>IF(C117="","",IF('02_대상물건입력'!$B$6="",1,IF(ISNUMBER(SEARCH('02_대상물건입력'!$B$6,C117)),1,0)))</f>
        <v/>
      </c>
      <c r="M117">
        <f>IF(E117="","",IF('02_대상물건입력'!$B$8="",0,IF(ISNUMBER(SEARCH('02_대상물건입력'!$B$8,E117)),1,0)))</f>
        <v/>
      </c>
      <c r="N117">
        <f>IF(B117="","",IF(B117="담보",1,0))</f>
        <v/>
      </c>
      <c r="O117">
        <f>IFERROR(ABS(G117-'02_대상물건입력'!$B$11)/'02_대상물건입력'!$B$11,"")</f>
        <v/>
      </c>
      <c r="P117">
        <f>IFERROR(ABS('01_설정'!$B$4-H117),"")</f>
        <v/>
      </c>
      <c r="Q117">
        <f>IFERROR(ABS(YEAR(J117)-YEAR('02_대상물건입력'!$B$14)),"")</f>
        <v/>
      </c>
      <c r="R117">
        <f>IF(AND(G117&gt;0,H117&gt;0,I117&gt;0,N117=1,IF('01_설정'!$B$10=1,K117=1,TRUE()),O117&lt;='01_설정'!$B$5,P117&lt;='01_설정'!$B$7,Q117&lt;='01_설정'!$B$8),"Y","")</f>
        <v/>
      </c>
      <c r="S117">
        <f>IF(R117&lt;&gt;"Y","",MAX(0,(1-O117/'01_설정'!$B$5))*'01_설정'!$B$14+MAX(0,(1-P117/'01_설정'!$B$7))*'01_설정'!$B$16+MAX(0,(1-Q117/'01_설정'!$B$8))*'01_설정'!$B$17+L117*'01_설정'!$B$11+M117*'01_설정'!$B$12+N117*50)</f>
        <v/>
      </c>
      <c r="T117">
        <f>IF(S117="","",1+COUNTIFS($S$31:$S$1030,"&gt;"&amp;S117)+COUNTIFS($S$31:S117,S117)-1)</f>
        <v/>
      </c>
    </row>
    <row r="118" hidden="1" ht="16.5" customHeight="1">
      <c r="A118">
        <f>IF(COUNTA('05_KAPA'!$A89:$AO89)=0,"",91)</f>
        <v/>
      </c>
      <c r="B118">
        <f>IF($A118="","",INDEX('05_KAPA'!$B:$B,$A118))</f>
        <v/>
      </c>
      <c r="C118">
        <f>IF($A118="","",INDEX('05_KAPA'!$F:$F,$A118))</f>
        <v/>
      </c>
      <c r="D118">
        <f>IF($A118="","",INDEX('05_KAPA'!$H:$H,$A118))</f>
        <v/>
      </c>
      <c r="E118">
        <f>IF($A118="","",INDEX('05_KAPA'!$K:$K,$A118))</f>
        <v/>
      </c>
      <c r="F118">
        <f>IF($A118="","",INDEX('05_KAPA'!$L:$L,$A118))</f>
        <v/>
      </c>
      <c r="G118">
        <f>IF($A118="","",INDEX('05_KAPA'!$I:$I,$A118))</f>
        <v/>
      </c>
      <c r="H118" s="202">
        <f>IF($A118="","",INDEX('05_KAPA'!$P:$P,$A118))</f>
        <v/>
      </c>
      <c r="I118" s="118">
        <f>IF($A118="","",INDEX('05_KAPA'!$O:$O,$A118))</f>
        <v/>
      </c>
      <c r="J118" s="202">
        <f>IF($A118="","",IFERROR(DATE(LEFT(TEXT(INDEX('05_KAPA'!$T:$T,$A118),"0"),4),MID(TEXT(INDEX('05_KAPA'!$T:$T,$A118),"0"),5,2),RIGHT(TEXT(INDEX('05_KAPA'!$T:$T,$A118),"0"),2)),""))</f>
        <v/>
      </c>
      <c r="K118">
        <f>IF(C118="","",IF('02_대상물건입력'!$B$5="",1,IF(ISNUMBER(SEARCH('02_대상물건입력'!$B$5,C118)),1,0)))</f>
        <v/>
      </c>
      <c r="L118">
        <f>IF(C118="","",IF('02_대상물건입력'!$B$6="",1,IF(ISNUMBER(SEARCH('02_대상물건입력'!$B$6,C118)),1,0)))</f>
        <v/>
      </c>
      <c r="M118">
        <f>IF(E118="","",IF('02_대상물건입력'!$B$8="",0,IF(ISNUMBER(SEARCH('02_대상물건입력'!$B$8,E118)),1,0)))</f>
        <v/>
      </c>
      <c r="N118">
        <f>IF(B118="","",IF(B118="담보",1,0))</f>
        <v/>
      </c>
      <c r="O118">
        <f>IFERROR(ABS(G118-'02_대상물건입력'!$B$11)/'02_대상물건입력'!$B$11,"")</f>
        <v/>
      </c>
      <c r="P118">
        <f>IFERROR(ABS('01_설정'!$B$4-H118),"")</f>
        <v/>
      </c>
      <c r="Q118">
        <f>IFERROR(ABS(YEAR(J118)-YEAR('02_대상물건입력'!$B$14)),"")</f>
        <v/>
      </c>
      <c r="R118">
        <f>IF(AND(G118&gt;0,H118&gt;0,I118&gt;0,N118=1,IF('01_설정'!$B$10=1,K118=1,TRUE()),O118&lt;='01_설정'!$B$5,P118&lt;='01_설정'!$B$7,Q118&lt;='01_설정'!$B$8),"Y","")</f>
        <v/>
      </c>
      <c r="S118">
        <f>IF(R118&lt;&gt;"Y","",MAX(0,(1-O118/'01_설정'!$B$5))*'01_설정'!$B$14+MAX(0,(1-P118/'01_설정'!$B$7))*'01_설정'!$B$16+MAX(0,(1-Q118/'01_설정'!$B$8))*'01_설정'!$B$17+L118*'01_설정'!$B$11+M118*'01_설정'!$B$12+N118*50)</f>
        <v/>
      </c>
      <c r="T118">
        <f>IF(S118="","",1+COUNTIFS($S$31:$S$1030,"&gt;"&amp;S118)+COUNTIFS($S$31:S118,S118)-1)</f>
        <v/>
      </c>
    </row>
    <row r="119" hidden="1" ht="16.5" customHeight="1">
      <c r="A119">
        <f>IF(COUNTA('05_KAPA'!$A90:$AO90)=0,"",92)</f>
        <v/>
      </c>
      <c r="B119">
        <f>IF($A119="","",INDEX('05_KAPA'!$B:$B,$A119))</f>
        <v/>
      </c>
      <c r="C119">
        <f>IF($A119="","",INDEX('05_KAPA'!$F:$F,$A119))</f>
        <v/>
      </c>
      <c r="D119">
        <f>IF($A119="","",INDEX('05_KAPA'!$H:$H,$A119))</f>
        <v/>
      </c>
      <c r="E119">
        <f>IF($A119="","",INDEX('05_KAPA'!$K:$K,$A119))</f>
        <v/>
      </c>
      <c r="F119">
        <f>IF($A119="","",INDEX('05_KAPA'!$L:$L,$A119))</f>
        <v/>
      </c>
      <c r="G119">
        <f>IF($A119="","",INDEX('05_KAPA'!$I:$I,$A119))</f>
        <v/>
      </c>
      <c r="H119" s="202">
        <f>IF($A119="","",INDEX('05_KAPA'!$P:$P,$A119))</f>
        <v/>
      </c>
      <c r="I119" s="118">
        <f>IF($A119="","",INDEX('05_KAPA'!$O:$O,$A119))</f>
        <v/>
      </c>
      <c r="J119" s="202">
        <f>IF($A119="","",IFERROR(DATE(LEFT(TEXT(INDEX('05_KAPA'!$T:$T,$A119),"0"),4),MID(TEXT(INDEX('05_KAPA'!$T:$T,$A119),"0"),5,2),RIGHT(TEXT(INDEX('05_KAPA'!$T:$T,$A119),"0"),2)),""))</f>
        <v/>
      </c>
      <c r="K119">
        <f>IF(C119="","",IF('02_대상물건입력'!$B$5="",1,IF(ISNUMBER(SEARCH('02_대상물건입력'!$B$5,C119)),1,0)))</f>
        <v/>
      </c>
      <c r="L119">
        <f>IF(C119="","",IF('02_대상물건입력'!$B$6="",1,IF(ISNUMBER(SEARCH('02_대상물건입력'!$B$6,C119)),1,0)))</f>
        <v/>
      </c>
      <c r="M119">
        <f>IF(E119="","",IF('02_대상물건입력'!$B$8="",0,IF(ISNUMBER(SEARCH('02_대상물건입력'!$B$8,E119)),1,0)))</f>
        <v/>
      </c>
      <c r="N119">
        <f>IF(B119="","",IF(B119="담보",1,0))</f>
        <v/>
      </c>
      <c r="O119">
        <f>IFERROR(ABS(G119-'02_대상물건입력'!$B$11)/'02_대상물건입력'!$B$11,"")</f>
        <v/>
      </c>
      <c r="P119">
        <f>IFERROR(ABS('01_설정'!$B$4-H119),"")</f>
        <v/>
      </c>
      <c r="Q119">
        <f>IFERROR(ABS(YEAR(J119)-YEAR('02_대상물건입력'!$B$14)),"")</f>
        <v/>
      </c>
      <c r="R119">
        <f>IF(AND(G119&gt;0,H119&gt;0,I119&gt;0,N119=1,IF('01_설정'!$B$10=1,K119=1,TRUE()),O119&lt;='01_설정'!$B$5,P119&lt;='01_설정'!$B$7,Q119&lt;='01_설정'!$B$8),"Y","")</f>
        <v/>
      </c>
      <c r="S119">
        <f>IF(R119&lt;&gt;"Y","",MAX(0,(1-O119/'01_설정'!$B$5))*'01_설정'!$B$14+MAX(0,(1-P119/'01_설정'!$B$7))*'01_설정'!$B$16+MAX(0,(1-Q119/'01_설정'!$B$8))*'01_설정'!$B$17+L119*'01_설정'!$B$11+M119*'01_설정'!$B$12+N119*50)</f>
        <v/>
      </c>
      <c r="T119">
        <f>IF(S119="","",1+COUNTIFS($S$31:$S$1030,"&gt;"&amp;S119)+COUNTIFS($S$31:S119,S119)-1)</f>
        <v/>
      </c>
    </row>
    <row r="120" hidden="1" ht="16.5" customHeight="1">
      <c r="A120">
        <f>IF(COUNTA('05_KAPA'!$A91:$AO91)=0,"",93)</f>
        <v/>
      </c>
      <c r="B120">
        <f>IF($A120="","",INDEX('05_KAPA'!$B:$B,$A120))</f>
        <v/>
      </c>
      <c r="C120">
        <f>IF($A120="","",INDEX('05_KAPA'!$F:$F,$A120))</f>
        <v/>
      </c>
      <c r="D120">
        <f>IF($A120="","",INDEX('05_KAPA'!$H:$H,$A120))</f>
        <v/>
      </c>
      <c r="E120">
        <f>IF($A120="","",INDEX('05_KAPA'!$K:$K,$A120))</f>
        <v/>
      </c>
      <c r="F120">
        <f>IF($A120="","",INDEX('05_KAPA'!$L:$L,$A120))</f>
        <v/>
      </c>
      <c r="G120">
        <f>IF($A120="","",INDEX('05_KAPA'!$I:$I,$A120))</f>
        <v/>
      </c>
      <c r="H120" s="202">
        <f>IF($A120="","",INDEX('05_KAPA'!$P:$P,$A120))</f>
        <v/>
      </c>
      <c r="I120" s="118">
        <f>IF($A120="","",INDEX('05_KAPA'!$O:$O,$A120))</f>
        <v/>
      </c>
      <c r="J120" s="202">
        <f>IF($A120="","",IFERROR(DATE(LEFT(TEXT(INDEX('05_KAPA'!$T:$T,$A120),"0"),4),MID(TEXT(INDEX('05_KAPA'!$T:$T,$A120),"0"),5,2),RIGHT(TEXT(INDEX('05_KAPA'!$T:$T,$A120),"0"),2)),""))</f>
        <v/>
      </c>
      <c r="K120">
        <f>IF(C120="","",IF('02_대상물건입력'!$B$5="",1,IF(ISNUMBER(SEARCH('02_대상물건입력'!$B$5,C120)),1,0)))</f>
        <v/>
      </c>
      <c r="L120">
        <f>IF(C120="","",IF('02_대상물건입력'!$B$6="",1,IF(ISNUMBER(SEARCH('02_대상물건입력'!$B$6,C120)),1,0)))</f>
        <v/>
      </c>
      <c r="M120">
        <f>IF(E120="","",IF('02_대상물건입력'!$B$8="",0,IF(ISNUMBER(SEARCH('02_대상물건입력'!$B$8,E120)),1,0)))</f>
        <v/>
      </c>
      <c r="N120">
        <f>IF(B120="","",IF(B120="담보",1,0))</f>
        <v/>
      </c>
      <c r="O120">
        <f>IFERROR(ABS(G120-'02_대상물건입력'!$B$11)/'02_대상물건입력'!$B$11,"")</f>
        <v/>
      </c>
      <c r="P120">
        <f>IFERROR(ABS('01_설정'!$B$4-H120),"")</f>
        <v/>
      </c>
      <c r="Q120">
        <f>IFERROR(ABS(YEAR(J120)-YEAR('02_대상물건입력'!$B$14)),"")</f>
        <v/>
      </c>
      <c r="R120">
        <f>IF(AND(G120&gt;0,H120&gt;0,I120&gt;0,N120=1,IF('01_설정'!$B$10=1,K120=1,TRUE()),O120&lt;='01_설정'!$B$5,P120&lt;='01_설정'!$B$7,Q120&lt;='01_설정'!$B$8),"Y","")</f>
        <v/>
      </c>
      <c r="S120">
        <f>IF(R120&lt;&gt;"Y","",MAX(0,(1-O120/'01_설정'!$B$5))*'01_설정'!$B$14+MAX(0,(1-P120/'01_설정'!$B$7))*'01_설정'!$B$16+MAX(0,(1-Q120/'01_설정'!$B$8))*'01_설정'!$B$17+L120*'01_설정'!$B$11+M120*'01_설정'!$B$12+N120*50)</f>
        <v/>
      </c>
      <c r="T120">
        <f>IF(S120="","",1+COUNTIFS($S$31:$S$1030,"&gt;"&amp;S120)+COUNTIFS($S$31:S120,S120)-1)</f>
        <v/>
      </c>
    </row>
    <row r="121" hidden="1" ht="16.5" customHeight="1">
      <c r="A121">
        <f>IF(COUNTA('05_KAPA'!$A92:$AO92)=0,"",94)</f>
        <v/>
      </c>
      <c r="B121">
        <f>IF($A121="","",INDEX('05_KAPA'!$B:$B,$A121))</f>
        <v/>
      </c>
      <c r="C121">
        <f>IF($A121="","",INDEX('05_KAPA'!$F:$F,$A121))</f>
        <v/>
      </c>
      <c r="D121">
        <f>IF($A121="","",INDEX('05_KAPA'!$H:$H,$A121))</f>
        <v/>
      </c>
      <c r="E121">
        <f>IF($A121="","",INDEX('05_KAPA'!$K:$K,$A121))</f>
        <v/>
      </c>
      <c r="F121">
        <f>IF($A121="","",INDEX('05_KAPA'!$L:$L,$A121))</f>
        <v/>
      </c>
      <c r="G121">
        <f>IF($A121="","",INDEX('05_KAPA'!$I:$I,$A121))</f>
        <v/>
      </c>
      <c r="H121" s="202">
        <f>IF($A121="","",INDEX('05_KAPA'!$P:$P,$A121))</f>
        <v/>
      </c>
      <c r="I121" s="118">
        <f>IF($A121="","",INDEX('05_KAPA'!$O:$O,$A121))</f>
        <v/>
      </c>
      <c r="J121" s="202">
        <f>IF($A121="","",IFERROR(DATE(LEFT(TEXT(INDEX('05_KAPA'!$T:$T,$A121),"0"),4),MID(TEXT(INDEX('05_KAPA'!$T:$T,$A121),"0"),5,2),RIGHT(TEXT(INDEX('05_KAPA'!$T:$T,$A121),"0"),2)),""))</f>
        <v/>
      </c>
      <c r="K121">
        <f>IF(C121="","",IF('02_대상물건입력'!$B$5="",1,IF(ISNUMBER(SEARCH('02_대상물건입력'!$B$5,C121)),1,0)))</f>
        <v/>
      </c>
      <c r="L121">
        <f>IF(C121="","",IF('02_대상물건입력'!$B$6="",1,IF(ISNUMBER(SEARCH('02_대상물건입력'!$B$6,C121)),1,0)))</f>
        <v/>
      </c>
      <c r="M121">
        <f>IF(E121="","",IF('02_대상물건입력'!$B$8="",0,IF(ISNUMBER(SEARCH('02_대상물건입력'!$B$8,E121)),1,0)))</f>
        <v/>
      </c>
      <c r="N121">
        <f>IF(B121="","",IF(B121="담보",1,0))</f>
        <v/>
      </c>
      <c r="O121">
        <f>IFERROR(ABS(G121-'02_대상물건입력'!$B$11)/'02_대상물건입력'!$B$11,"")</f>
        <v/>
      </c>
      <c r="P121">
        <f>IFERROR(ABS('01_설정'!$B$4-H121),"")</f>
        <v/>
      </c>
      <c r="Q121">
        <f>IFERROR(ABS(YEAR(J121)-YEAR('02_대상물건입력'!$B$14)),"")</f>
        <v/>
      </c>
      <c r="R121">
        <f>IF(AND(G121&gt;0,H121&gt;0,I121&gt;0,N121=1,IF('01_설정'!$B$10=1,K121=1,TRUE()),O121&lt;='01_설정'!$B$5,P121&lt;='01_설정'!$B$7,Q121&lt;='01_설정'!$B$8),"Y","")</f>
        <v/>
      </c>
      <c r="S121">
        <f>IF(R121&lt;&gt;"Y","",MAX(0,(1-O121/'01_설정'!$B$5))*'01_설정'!$B$14+MAX(0,(1-P121/'01_설정'!$B$7))*'01_설정'!$B$16+MAX(0,(1-Q121/'01_설정'!$B$8))*'01_설정'!$B$17+L121*'01_설정'!$B$11+M121*'01_설정'!$B$12+N121*50)</f>
        <v/>
      </c>
      <c r="T121">
        <f>IF(S121="","",1+COUNTIFS($S$31:$S$1030,"&gt;"&amp;S121)+COUNTIFS($S$31:S121,S121)-1)</f>
        <v/>
      </c>
    </row>
    <row r="122" hidden="1" ht="16.5" customHeight="1">
      <c r="A122">
        <f>IF(COUNTA('05_KAPA'!$A93:$AO93)=0,"",95)</f>
        <v/>
      </c>
      <c r="B122">
        <f>IF($A122="","",INDEX('05_KAPA'!$B:$B,$A122))</f>
        <v/>
      </c>
      <c r="C122">
        <f>IF($A122="","",INDEX('05_KAPA'!$F:$F,$A122))</f>
        <v/>
      </c>
      <c r="D122">
        <f>IF($A122="","",INDEX('05_KAPA'!$H:$H,$A122))</f>
        <v/>
      </c>
      <c r="E122">
        <f>IF($A122="","",INDEX('05_KAPA'!$K:$K,$A122))</f>
        <v/>
      </c>
      <c r="F122">
        <f>IF($A122="","",INDEX('05_KAPA'!$L:$L,$A122))</f>
        <v/>
      </c>
      <c r="G122">
        <f>IF($A122="","",INDEX('05_KAPA'!$I:$I,$A122))</f>
        <v/>
      </c>
      <c r="H122" s="202">
        <f>IF($A122="","",INDEX('05_KAPA'!$P:$P,$A122))</f>
        <v/>
      </c>
      <c r="I122" s="118">
        <f>IF($A122="","",INDEX('05_KAPA'!$O:$O,$A122))</f>
        <v/>
      </c>
      <c r="J122" s="202">
        <f>IF($A122="","",IFERROR(DATE(LEFT(TEXT(INDEX('05_KAPA'!$T:$T,$A122),"0"),4),MID(TEXT(INDEX('05_KAPA'!$T:$T,$A122),"0"),5,2),RIGHT(TEXT(INDEX('05_KAPA'!$T:$T,$A122),"0"),2)),""))</f>
        <v/>
      </c>
      <c r="K122">
        <f>IF(C122="","",IF('02_대상물건입력'!$B$5="",1,IF(ISNUMBER(SEARCH('02_대상물건입력'!$B$5,C122)),1,0)))</f>
        <v/>
      </c>
      <c r="L122">
        <f>IF(C122="","",IF('02_대상물건입력'!$B$6="",1,IF(ISNUMBER(SEARCH('02_대상물건입력'!$B$6,C122)),1,0)))</f>
        <v/>
      </c>
      <c r="M122">
        <f>IF(E122="","",IF('02_대상물건입력'!$B$8="",0,IF(ISNUMBER(SEARCH('02_대상물건입력'!$B$8,E122)),1,0)))</f>
        <v/>
      </c>
      <c r="N122">
        <f>IF(B122="","",IF(B122="담보",1,0))</f>
        <v/>
      </c>
      <c r="O122">
        <f>IFERROR(ABS(G122-'02_대상물건입력'!$B$11)/'02_대상물건입력'!$B$11,"")</f>
        <v/>
      </c>
      <c r="P122">
        <f>IFERROR(ABS('01_설정'!$B$4-H122),"")</f>
        <v/>
      </c>
      <c r="Q122">
        <f>IFERROR(ABS(YEAR(J122)-YEAR('02_대상물건입력'!$B$14)),"")</f>
        <v/>
      </c>
      <c r="R122">
        <f>IF(AND(G122&gt;0,H122&gt;0,I122&gt;0,N122=1,IF('01_설정'!$B$10=1,K122=1,TRUE()),O122&lt;='01_설정'!$B$5,P122&lt;='01_설정'!$B$7,Q122&lt;='01_설정'!$B$8),"Y","")</f>
        <v/>
      </c>
      <c r="S122">
        <f>IF(R122&lt;&gt;"Y","",MAX(0,(1-O122/'01_설정'!$B$5))*'01_설정'!$B$14+MAX(0,(1-P122/'01_설정'!$B$7))*'01_설정'!$B$16+MAX(0,(1-Q122/'01_설정'!$B$8))*'01_설정'!$B$17+L122*'01_설정'!$B$11+M122*'01_설정'!$B$12+N122*50)</f>
        <v/>
      </c>
      <c r="T122">
        <f>IF(S122="","",1+COUNTIFS($S$31:$S$1030,"&gt;"&amp;S122)+COUNTIFS($S$31:S122,S122)-1)</f>
        <v/>
      </c>
    </row>
    <row r="123" hidden="1" ht="16.5" customHeight="1">
      <c r="A123">
        <f>IF(COUNTA('05_KAPA'!$A94:$AO94)=0,"",96)</f>
        <v/>
      </c>
      <c r="B123">
        <f>IF($A123="","",INDEX('05_KAPA'!$B:$B,$A123))</f>
        <v/>
      </c>
      <c r="C123">
        <f>IF($A123="","",INDEX('05_KAPA'!$F:$F,$A123))</f>
        <v/>
      </c>
      <c r="D123">
        <f>IF($A123="","",INDEX('05_KAPA'!$H:$H,$A123))</f>
        <v/>
      </c>
      <c r="E123">
        <f>IF($A123="","",INDEX('05_KAPA'!$K:$K,$A123))</f>
        <v/>
      </c>
      <c r="F123">
        <f>IF($A123="","",INDEX('05_KAPA'!$L:$L,$A123))</f>
        <v/>
      </c>
      <c r="G123">
        <f>IF($A123="","",INDEX('05_KAPA'!$I:$I,$A123))</f>
        <v/>
      </c>
      <c r="H123" s="202">
        <f>IF($A123="","",INDEX('05_KAPA'!$P:$P,$A123))</f>
        <v/>
      </c>
      <c r="I123" s="118">
        <f>IF($A123="","",INDEX('05_KAPA'!$O:$O,$A123))</f>
        <v/>
      </c>
      <c r="J123" s="202">
        <f>IF($A123="","",IFERROR(DATE(LEFT(TEXT(INDEX('05_KAPA'!$T:$T,$A123),"0"),4),MID(TEXT(INDEX('05_KAPA'!$T:$T,$A123),"0"),5,2),RIGHT(TEXT(INDEX('05_KAPA'!$T:$T,$A123),"0"),2)),""))</f>
        <v/>
      </c>
      <c r="K123">
        <f>IF(C123="","",IF('02_대상물건입력'!$B$5="",1,IF(ISNUMBER(SEARCH('02_대상물건입력'!$B$5,C123)),1,0)))</f>
        <v/>
      </c>
      <c r="L123">
        <f>IF(C123="","",IF('02_대상물건입력'!$B$6="",1,IF(ISNUMBER(SEARCH('02_대상물건입력'!$B$6,C123)),1,0)))</f>
        <v/>
      </c>
      <c r="M123">
        <f>IF(E123="","",IF('02_대상물건입력'!$B$8="",0,IF(ISNUMBER(SEARCH('02_대상물건입력'!$B$8,E123)),1,0)))</f>
        <v/>
      </c>
      <c r="N123">
        <f>IF(B123="","",IF(B123="담보",1,0))</f>
        <v/>
      </c>
      <c r="O123">
        <f>IFERROR(ABS(G123-'02_대상물건입력'!$B$11)/'02_대상물건입력'!$B$11,"")</f>
        <v/>
      </c>
      <c r="P123">
        <f>IFERROR(ABS('01_설정'!$B$4-H123),"")</f>
        <v/>
      </c>
      <c r="Q123">
        <f>IFERROR(ABS(YEAR(J123)-YEAR('02_대상물건입력'!$B$14)),"")</f>
        <v/>
      </c>
      <c r="R123">
        <f>IF(AND(G123&gt;0,H123&gt;0,I123&gt;0,N123=1,IF('01_설정'!$B$10=1,K123=1,TRUE()),O123&lt;='01_설정'!$B$5,P123&lt;='01_설정'!$B$7,Q123&lt;='01_설정'!$B$8),"Y","")</f>
        <v/>
      </c>
      <c r="S123">
        <f>IF(R123&lt;&gt;"Y","",MAX(0,(1-O123/'01_설정'!$B$5))*'01_설정'!$B$14+MAX(0,(1-P123/'01_설정'!$B$7))*'01_설정'!$B$16+MAX(0,(1-Q123/'01_설정'!$B$8))*'01_설정'!$B$17+L123*'01_설정'!$B$11+M123*'01_설정'!$B$12+N123*50)</f>
        <v/>
      </c>
      <c r="T123">
        <f>IF(S123="","",1+COUNTIFS($S$31:$S$1030,"&gt;"&amp;S123)+COUNTIFS($S$31:S123,S123)-1)</f>
        <v/>
      </c>
    </row>
    <row r="124" hidden="1" ht="16.5" customHeight="1">
      <c r="A124">
        <f>IF(COUNTA('05_KAPA'!$A95:$AO95)=0,"",97)</f>
        <v/>
      </c>
      <c r="B124">
        <f>IF($A124="","",INDEX('05_KAPA'!$B:$B,$A124))</f>
        <v/>
      </c>
      <c r="C124">
        <f>IF($A124="","",INDEX('05_KAPA'!$F:$F,$A124))</f>
        <v/>
      </c>
      <c r="D124">
        <f>IF($A124="","",INDEX('05_KAPA'!$H:$H,$A124))</f>
        <v/>
      </c>
      <c r="E124">
        <f>IF($A124="","",INDEX('05_KAPA'!$K:$K,$A124))</f>
        <v/>
      </c>
      <c r="F124">
        <f>IF($A124="","",INDEX('05_KAPA'!$L:$L,$A124))</f>
        <v/>
      </c>
      <c r="G124">
        <f>IF($A124="","",INDEX('05_KAPA'!$I:$I,$A124))</f>
        <v/>
      </c>
      <c r="H124" s="202">
        <f>IF($A124="","",INDEX('05_KAPA'!$P:$P,$A124))</f>
        <v/>
      </c>
      <c r="I124" s="118">
        <f>IF($A124="","",INDEX('05_KAPA'!$O:$O,$A124))</f>
        <v/>
      </c>
      <c r="J124" s="202">
        <f>IF($A124="","",IFERROR(DATE(LEFT(TEXT(INDEX('05_KAPA'!$T:$T,$A124),"0"),4),MID(TEXT(INDEX('05_KAPA'!$T:$T,$A124),"0"),5,2),RIGHT(TEXT(INDEX('05_KAPA'!$T:$T,$A124),"0"),2)),""))</f>
        <v/>
      </c>
      <c r="K124">
        <f>IF(C124="","",IF('02_대상물건입력'!$B$5="",1,IF(ISNUMBER(SEARCH('02_대상물건입력'!$B$5,C124)),1,0)))</f>
        <v/>
      </c>
      <c r="L124">
        <f>IF(C124="","",IF('02_대상물건입력'!$B$6="",1,IF(ISNUMBER(SEARCH('02_대상물건입력'!$B$6,C124)),1,0)))</f>
        <v/>
      </c>
      <c r="M124">
        <f>IF(E124="","",IF('02_대상물건입력'!$B$8="",0,IF(ISNUMBER(SEARCH('02_대상물건입력'!$B$8,E124)),1,0)))</f>
        <v/>
      </c>
      <c r="N124">
        <f>IF(B124="","",IF(B124="담보",1,0))</f>
        <v/>
      </c>
      <c r="O124">
        <f>IFERROR(ABS(G124-'02_대상물건입력'!$B$11)/'02_대상물건입력'!$B$11,"")</f>
        <v/>
      </c>
      <c r="P124">
        <f>IFERROR(ABS('01_설정'!$B$4-H124),"")</f>
        <v/>
      </c>
      <c r="Q124">
        <f>IFERROR(ABS(YEAR(J124)-YEAR('02_대상물건입력'!$B$14)),"")</f>
        <v/>
      </c>
      <c r="R124">
        <f>IF(AND(G124&gt;0,H124&gt;0,I124&gt;0,N124=1,IF('01_설정'!$B$10=1,K124=1,TRUE()),O124&lt;='01_설정'!$B$5,P124&lt;='01_설정'!$B$7,Q124&lt;='01_설정'!$B$8),"Y","")</f>
        <v/>
      </c>
      <c r="S124">
        <f>IF(R124&lt;&gt;"Y","",MAX(0,(1-O124/'01_설정'!$B$5))*'01_설정'!$B$14+MAX(0,(1-P124/'01_설정'!$B$7))*'01_설정'!$B$16+MAX(0,(1-Q124/'01_설정'!$B$8))*'01_설정'!$B$17+L124*'01_설정'!$B$11+M124*'01_설정'!$B$12+N124*50)</f>
        <v/>
      </c>
      <c r="T124">
        <f>IF(S124="","",1+COUNTIFS($S$31:$S$1030,"&gt;"&amp;S124)+COUNTIFS($S$31:S124,S124)-1)</f>
        <v/>
      </c>
    </row>
    <row r="125" hidden="1" ht="16.5" customHeight="1">
      <c r="A125">
        <f>IF(COUNTA('05_KAPA'!$A96:$AO96)=0,"",98)</f>
        <v/>
      </c>
      <c r="B125">
        <f>IF($A125="","",INDEX('05_KAPA'!$B:$B,$A125))</f>
        <v/>
      </c>
      <c r="C125">
        <f>IF($A125="","",INDEX('05_KAPA'!$F:$F,$A125))</f>
        <v/>
      </c>
      <c r="D125">
        <f>IF($A125="","",INDEX('05_KAPA'!$H:$H,$A125))</f>
        <v/>
      </c>
      <c r="E125">
        <f>IF($A125="","",INDEX('05_KAPA'!$K:$K,$A125))</f>
        <v/>
      </c>
      <c r="F125">
        <f>IF($A125="","",INDEX('05_KAPA'!$L:$L,$A125))</f>
        <v/>
      </c>
      <c r="G125">
        <f>IF($A125="","",INDEX('05_KAPA'!$I:$I,$A125))</f>
        <v/>
      </c>
      <c r="H125" s="202">
        <f>IF($A125="","",INDEX('05_KAPA'!$P:$P,$A125))</f>
        <v/>
      </c>
      <c r="I125" s="118">
        <f>IF($A125="","",INDEX('05_KAPA'!$O:$O,$A125))</f>
        <v/>
      </c>
      <c r="J125" s="202">
        <f>IF($A125="","",IFERROR(DATE(LEFT(TEXT(INDEX('05_KAPA'!$T:$T,$A125),"0"),4),MID(TEXT(INDEX('05_KAPA'!$T:$T,$A125),"0"),5,2),RIGHT(TEXT(INDEX('05_KAPA'!$T:$T,$A125),"0"),2)),""))</f>
        <v/>
      </c>
      <c r="K125">
        <f>IF(C125="","",IF('02_대상물건입력'!$B$5="",1,IF(ISNUMBER(SEARCH('02_대상물건입력'!$B$5,C125)),1,0)))</f>
        <v/>
      </c>
      <c r="L125">
        <f>IF(C125="","",IF('02_대상물건입력'!$B$6="",1,IF(ISNUMBER(SEARCH('02_대상물건입력'!$B$6,C125)),1,0)))</f>
        <v/>
      </c>
      <c r="M125">
        <f>IF(E125="","",IF('02_대상물건입력'!$B$8="",0,IF(ISNUMBER(SEARCH('02_대상물건입력'!$B$8,E125)),1,0)))</f>
        <v/>
      </c>
      <c r="N125">
        <f>IF(B125="","",IF(B125="담보",1,0))</f>
        <v/>
      </c>
      <c r="O125">
        <f>IFERROR(ABS(G125-'02_대상물건입력'!$B$11)/'02_대상물건입력'!$B$11,"")</f>
        <v/>
      </c>
      <c r="P125">
        <f>IFERROR(ABS('01_설정'!$B$4-H125),"")</f>
        <v/>
      </c>
      <c r="Q125">
        <f>IFERROR(ABS(YEAR(J125)-YEAR('02_대상물건입력'!$B$14)),"")</f>
        <v/>
      </c>
      <c r="R125">
        <f>IF(AND(G125&gt;0,H125&gt;0,I125&gt;0,N125=1,IF('01_설정'!$B$10=1,K125=1,TRUE()),O125&lt;='01_설정'!$B$5,P125&lt;='01_설정'!$B$7,Q125&lt;='01_설정'!$B$8),"Y","")</f>
        <v/>
      </c>
      <c r="S125">
        <f>IF(R125&lt;&gt;"Y","",MAX(0,(1-O125/'01_설정'!$B$5))*'01_설정'!$B$14+MAX(0,(1-P125/'01_설정'!$B$7))*'01_설정'!$B$16+MAX(0,(1-Q125/'01_설정'!$B$8))*'01_설정'!$B$17+L125*'01_설정'!$B$11+M125*'01_설정'!$B$12+N125*50)</f>
        <v/>
      </c>
      <c r="T125">
        <f>IF(S125="","",1+COUNTIFS($S$31:$S$1030,"&gt;"&amp;S125)+COUNTIFS($S$31:S125,S125)-1)</f>
        <v/>
      </c>
    </row>
    <row r="126" hidden="1" ht="16.5" customHeight="1">
      <c r="A126">
        <f>IF(COUNTA('05_KAPA'!$A97:$AO97)=0,"",99)</f>
        <v/>
      </c>
      <c r="B126">
        <f>IF($A126="","",INDEX('05_KAPA'!$B:$B,$A126))</f>
        <v/>
      </c>
      <c r="C126">
        <f>IF($A126="","",INDEX('05_KAPA'!$F:$F,$A126))</f>
        <v/>
      </c>
      <c r="D126">
        <f>IF($A126="","",INDEX('05_KAPA'!$H:$H,$A126))</f>
        <v/>
      </c>
      <c r="E126">
        <f>IF($A126="","",INDEX('05_KAPA'!$K:$K,$A126))</f>
        <v/>
      </c>
      <c r="F126">
        <f>IF($A126="","",INDEX('05_KAPA'!$L:$L,$A126))</f>
        <v/>
      </c>
      <c r="G126">
        <f>IF($A126="","",INDEX('05_KAPA'!$I:$I,$A126))</f>
        <v/>
      </c>
      <c r="H126" s="202">
        <f>IF($A126="","",INDEX('05_KAPA'!$P:$P,$A126))</f>
        <v/>
      </c>
      <c r="I126" s="118">
        <f>IF($A126="","",INDEX('05_KAPA'!$O:$O,$A126))</f>
        <v/>
      </c>
      <c r="J126" s="202">
        <f>IF($A126="","",IFERROR(DATE(LEFT(TEXT(INDEX('05_KAPA'!$T:$T,$A126),"0"),4),MID(TEXT(INDEX('05_KAPA'!$T:$T,$A126),"0"),5,2),RIGHT(TEXT(INDEX('05_KAPA'!$T:$T,$A126),"0"),2)),""))</f>
        <v/>
      </c>
      <c r="K126">
        <f>IF(C126="","",IF('02_대상물건입력'!$B$5="",1,IF(ISNUMBER(SEARCH('02_대상물건입력'!$B$5,C126)),1,0)))</f>
        <v/>
      </c>
      <c r="L126">
        <f>IF(C126="","",IF('02_대상물건입력'!$B$6="",1,IF(ISNUMBER(SEARCH('02_대상물건입력'!$B$6,C126)),1,0)))</f>
        <v/>
      </c>
      <c r="M126">
        <f>IF(E126="","",IF('02_대상물건입력'!$B$8="",0,IF(ISNUMBER(SEARCH('02_대상물건입력'!$B$8,E126)),1,0)))</f>
        <v/>
      </c>
      <c r="N126">
        <f>IF(B126="","",IF(B126="담보",1,0))</f>
        <v/>
      </c>
      <c r="O126">
        <f>IFERROR(ABS(G126-'02_대상물건입력'!$B$11)/'02_대상물건입력'!$B$11,"")</f>
        <v/>
      </c>
      <c r="P126">
        <f>IFERROR(ABS('01_설정'!$B$4-H126),"")</f>
        <v/>
      </c>
      <c r="Q126">
        <f>IFERROR(ABS(YEAR(J126)-YEAR('02_대상물건입력'!$B$14)),"")</f>
        <v/>
      </c>
      <c r="R126">
        <f>IF(AND(G126&gt;0,H126&gt;0,I126&gt;0,N126=1,IF('01_설정'!$B$10=1,K126=1,TRUE()),O126&lt;='01_설정'!$B$5,P126&lt;='01_설정'!$B$7,Q126&lt;='01_설정'!$B$8),"Y","")</f>
        <v/>
      </c>
      <c r="S126">
        <f>IF(R126&lt;&gt;"Y","",MAX(0,(1-O126/'01_설정'!$B$5))*'01_설정'!$B$14+MAX(0,(1-P126/'01_설정'!$B$7))*'01_설정'!$B$16+MAX(0,(1-Q126/'01_설정'!$B$8))*'01_설정'!$B$17+L126*'01_설정'!$B$11+M126*'01_설정'!$B$12+N126*50)</f>
        <v/>
      </c>
      <c r="T126">
        <f>IF(S126="","",1+COUNTIFS($S$31:$S$1030,"&gt;"&amp;S126)+COUNTIFS($S$31:S126,S126)-1)</f>
        <v/>
      </c>
    </row>
    <row r="127" hidden="1" ht="16.5" customHeight="1">
      <c r="A127">
        <f>IF(COUNTA('05_KAPA'!$A98:$AO98)=0,"",100)</f>
        <v/>
      </c>
      <c r="B127">
        <f>IF($A127="","",INDEX('05_KAPA'!$B:$B,$A127))</f>
        <v/>
      </c>
      <c r="C127">
        <f>IF($A127="","",INDEX('05_KAPA'!$F:$F,$A127))</f>
        <v/>
      </c>
      <c r="D127">
        <f>IF($A127="","",INDEX('05_KAPA'!$H:$H,$A127))</f>
        <v/>
      </c>
      <c r="E127">
        <f>IF($A127="","",INDEX('05_KAPA'!$K:$K,$A127))</f>
        <v/>
      </c>
      <c r="F127">
        <f>IF($A127="","",INDEX('05_KAPA'!$L:$L,$A127))</f>
        <v/>
      </c>
      <c r="G127">
        <f>IF($A127="","",INDEX('05_KAPA'!$I:$I,$A127))</f>
        <v/>
      </c>
      <c r="H127" s="202">
        <f>IF($A127="","",INDEX('05_KAPA'!$P:$P,$A127))</f>
        <v/>
      </c>
      <c r="I127" s="118">
        <f>IF($A127="","",INDEX('05_KAPA'!$O:$O,$A127))</f>
        <v/>
      </c>
      <c r="J127" s="202">
        <f>IF($A127="","",IFERROR(DATE(LEFT(TEXT(INDEX('05_KAPA'!$T:$T,$A127),"0"),4),MID(TEXT(INDEX('05_KAPA'!$T:$T,$A127),"0"),5,2),RIGHT(TEXT(INDEX('05_KAPA'!$T:$T,$A127),"0"),2)),""))</f>
        <v/>
      </c>
      <c r="K127">
        <f>IF(C127="","",IF('02_대상물건입력'!$B$5="",1,IF(ISNUMBER(SEARCH('02_대상물건입력'!$B$5,C127)),1,0)))</f>
        <v/>
      </c>
      <c r="L127">
        <f>IF(C127="","",IF('02_대상물건입력'!$B$6="",1,IF(ISNUMBER(SEARCH('02_대상물건입력'!$B$6,C127)),1,0)))</f>
        <v/>
      </c>
      <c r="M127">
        <f>IF(E127="","",IF('02_대상물건입력'!$B$8="",0,IF(ISNUMBER(SEARCH('02_대상물건입력'!$B$8,E127)),1,0)))</f>
        <v/>
      </c>
      <c r="N127">
        <f>IF(B127="","",IF(B127="담보",1,0))</f>
        <v/>
      </c>
      <c r="O127">
        <f>IFERROR(ABS(G127-'02_대상물건입력'!$B$11)/'02_대상물건입력'!$B$11,"")</f>
        <v/>
      </c>
      <c r="P127">
        <f>IFERROR(ABS('01_설정'!$B$4-H127),"")</f>
        <v/>
      </c>
      <c r="Q127">
        <f>IFERROR(ABS(YEAR(J127)-YEAR('02_대상물건입력'!$B$14)),"")</f>
        <v/>
      </c>
      <c r="R127">
        <f>IF(AND(G127&gt;0,H127&gt;0,I127&gt;0,N127=1,IF('01_설정'!$B$10=1,K127=1,TRUE()),O127&lt;='01_설정'!$B$5,P127&lt;='01_설정'!$B$7,Q127&lt;='01_설정'!$B$8),"Y","")</f>
        <v/>
      </c>
      <c r="S127">
        <f>IF(R127&lt;&gt;"Y","",MAX(0,(1-O127/'01_설정'!$B$5))*'01_설정'!$B$14+MAX(0,(1-P127/'01_설정'!$B$7))*'01_설정'!$B$16+MAX(0,(1-Q127/'01_설정'!$B$8))*'01_설정'!$B$17+L127*'01_설정'!$B$11+M127*'01_설정'!$B$12+N127*50)</f>
        <v/>
      </c>
      <c r="T127">
        <f>IF(S127="","",1+COUNTIFS($S$31:$S$1030,"&gt;"&amp;S127)+COUNTIFS($S$31:S127,S127)-1)</f>
        <v/>
      </c>
    </row>
    <row r="128" hidden="1" ht="16.5" customHeight="1">
      <c r="A128">
        <f>IF(COUNTA('05_KAPA'!$A99:$AO99)=0,"",101)</f>
        <v/>
      </c>
      <c r="B128">
        <f>IF($A128="","",INDEX('05_KAPA'!$B:$B,$A128))</f>
        <v/>
      </c>
      <c r="C128">
        <f>IF($A128="","",INDEX('05_KAPA'!$F:$F,$A128))</f>
        <v/>
      </c>
      <c r="D128">
        <f>IF($A128="","",INDEX('05_KAPA'!$H:$H,$A128))</f>
        <v/>
      </c>
      <c r="E128">
        <f>IF($A128="","",INDEX('05_KAPA'!$K:$K,$A128))</f>
        <v/>
      </c>
      <c r="F128">
        <f>IF($A128="","",INDEX('05_KAPA'!$L:$L,$A128))</f>
        <v/>
      </c>
      <c r="G128">
        <f>IF($A128="","",INDEX('05_KAPA'!$I:$I,$A128))</f>
        <v/>
      </c>
      <c r="H128" s="202">
        <f>IF($A128="","",INDEX('05_KAPA'!$P:$P,$A128))</f>
        <v/>
      </c>
      <c r="I128" s="118">
        <f>IF($A128="","",INDEX('05_KAPA'!$O:$O,$A128))</f>
        <v/>
      </c>
      <c r="J128" s="202">
        <f>IF($A128="","",IFERROR(DATE(LEFT(TEXT(INDEX('05_KAPA'!$T:$T,$A128),"0"),4),MID(TEXT(INDEX('05_KAPA'!$T:$T,$A128),"0"),5,2),RIGHT(TEXT(INDEX('05_KAPA'!$T:$T,$A128),"0"),2)),""))</f>
        <v/>
      </c>
      <c r="K128">
        <f>IF(C128="","",IF('02_대상물건입력'!$B$5="",1,IF(ISNUMBER(SEARCH('02_대상물건입력'!$B$5,C128)),1,0)))</f>
        <v/>
      </c>
      <c r="L128">
        <f>IF(C128="","",IF('02_대상물건입력'!$B$6="",1,IF(ISNUMBER(SEARCH('02_대상물건입력'!$B$6,C128)),1,0)))</f>
        <v/>
      </c>
      <c r="M128">
        <f>IF(E128="","",IF('02_대상물건입력'!$B$8="",0,IF(ISNUMBER(SEARCH('02_대상물건입력'!$B$8,E128)),1,0)))</f>
        <v/>
      </c>
      <c r="N128">
        <f>IF(B128="","",IF(B128="담보",1,0))</f>
        <v/>
      </c>
      <c r="O128">
        <f>IFERROR(ABS(G128-'02_대상물건입력'!$B$11)/'02_대상물건입력'!$B$11,"")</f>
        <v/>
      </c>
      <c r="P128">
        <f>IFERROR(ABS('01_설정'!$B$4-H128),"")</f>
        <v/>
      </c>
      <c r="Q128">
        <f>IFERROR(ABS(YEAR(J128)-YEAR('02_대상물건입력'!$B$14)),"")</f>
        <v/>
      </c>
      <c r="R128">
        <f>IF(AND(G128&gt;0,H128&gt;0,I128&gt;0,N128=1,IF('01_설정'!$B$10=1,K128=1,TRUE()),O128&lt;='01_설정'!$B$5,P128&lt;='01_설정'!$B$7,Q128&lt;='01_설정'!$B$8),"Y","")</f>
        <v/>
      </c>
      <c r="S128">
        <f>IF(R128&lt;&gt;"Y","",MAX(0,(1-O128/'01_설정'!$B$5))*'01_설정'!$B$14+MAX(0,(1-P128/'01_설정'!$B$7))*'01_설정'!$B$16+MAX(0,(1-Q128/'01_설정'!$B$8))*'01_설정'!$B$17+L128*'01_설정'!$B$11+M128*'01_설정'!$B$12+N128*50)</f>
        <v/>
      </c>
      <c r="T128">
        <f>IF(S128="","",1+COUNTIFS($S$31:$S$1030,"&gt;"&amp;S128)+COUNTIFS($S$31:S128,S128)-1)</f>
        <v/>
      </c>
    </row>
    <row r="129" hidden="1" ht="16.5" customHeight="1">
      <c r="A129">
        <f>IF(COUNTA('05_KAPA'!$A100:$AO100)=0,"",102)</f>
        <v/>
      </c>
      <c r="B129">
        <f>IF($A129="","",INDEX('05_KAPA'!$B:$B,$A129))</f>
        <v/>
      </c>
      <c r="C129">
        <f>IF($A129="","",INDEX('05_KAPA'!$F:$F,$A129))</f>
        <v/>
      </c>
      <c r="D129">
        <f>IF($A129="","",INDEX('05_KAPA'!$H:$H,$A129))</f>
        <v/>
      </c>
      <c r="E129">
        <f>IF($A129="","",INDEX('05_KAPA'!$K:$K,$A129))</f>
        <v/>
      </c>
      <c r="F129">
        <f>IF($A129="","",INDEX('05_KAPA'!$L:$L,$A129))</f>
        <v/>
      </c>
      <c r="G129">
        <f>IF($A129="","",INDEX('05_KAPA'!$I:$I,$A129))</f>
        <v/>
      </c>
      <c r="H129" s="202">
        <f>IF($A129="","",INDEX('05_KAPA'!$P:$P,$A129))</f>
        <v/>
      </c>
      <c r="I129" s="118">
        <f>IF($A129="","",INDEX('05_KAPA'!$O:$O,$A129))</f>
        <v/>
      </c>
      <c r="J129" s="202">
        <f>IF($A129="","",IFERROR(DATE(LEFT(TEXT(INDEX('05_KAPA'!$T:$T,$A129),"0"),4),MID(TEXT(INDEX('05_KAPA'!$T:$T,$A129),"0"),5,2),RIGHT(TEXT(INDEX('05_KAPA'!$T:$T,$A129),"0"),2)),""))</f>
        <v/>
      </c>
      <c r="K129">
        <f>IF(C129="","",IF('02_대상물건입력'!$B$5="",1,IF(ISNUMBER(SEARCH('02_대상물건입력'!$B$5,C129)),1,0)))</f>
        <v/>
      </c>
      <c r="L129">
        <f>IF(C129="","",IF('02_대상물건입력'!$B$6="",1,IF(ISNUMBER(SEARCH('02_대상물건입력'!$B$6,C129)),1,0)))</f>
        <v/>
      </c>
      <c r="M129">
        <f>IF(E129="","",IF('02_대상물건입력'!$B$8="",0,IF(ISNUMBER(SEARCH('02_대상물건입력'!$B$8,E129)),1,0)))</f>
        <v/>
      </c>
      <c r="N129">
        <f>IF(B129="","",IF(B129="담보",1,0))</f>
        <v/>
      </c>
      <c r="O129">
        <f>IFERROR(ABS(G129-'02_대상물건입력'!$B$11)/'02_대상물건입력'!$B$11,"")</f>
        <v/>
      </c>
      <c r="P129">
        <f>IFERROR(ABS('01_설정'!$B$4-H129),"")</f>
        <v/>
      </c>
      <c r="Q129">
        <f>IFERROR(ABS(YEAR(J129)-YEAR('02_대상물건입력'!$B$14)),"")</f>
        <v/>
      </c>
      <c r="R129">
        <f>IF(AND(G129&gt;0,H129&gt;0,I129&gt;0,N129=1,IF('01_설정'!$B$10=1,K129=1,TRUE()),O129&lt;='01_설정'!$B$5,P129&lt;='01_설정'!$B$7,Q129&lt;='01_설정'!$B$8),"Y","")</f>
        <v/>
      </c>
      <c r="S129">
        <f>IF(R129&lt;&gt;"Y","",MAX(0,(1-O129/'01_설정'!$B$5))*'01_설정'!$B$14+MAX(0,(1-P129/'01_설정'!$B$7))*'01_설정'!$B$16+MAX(0,(1-Q129/'01_설정'!$B$8))*'01_설정'!$B$17+L129*'01_설정'!$B$11+M129*'01_설정'!$B$12+N129*50)</f>
        <v/>
      </c>
      <c r="T129">
        <f>IF(S129="","",1+COUNTIFS($S$31:$S$1030,"&gt;"&amp;S129)+COUNTIFS($S$31:S129,S129)-1)</f>
        <v/>
      </c>
    </row>
    <row r="130" hidden="1" ht="16.5" customHeight="1">
      <c r="A130">
        <f>IF(COUNTA('05_KAPA'!$A101:$AO101)=0,"",103)</f>
        <v/>
      </c>
      <c r="B130">
        <f>IF($A130="","",INDEX('05_KAPA'!$B:$B,$A130))</f>
        <v/>
      </c>
      <c r="C130">
        <f>IF($A130="","",INDEX('05_KAPA'!$F:$F,$A130))</f>
        <v/>
      </c>
      <c r="D130">
        <f>IF($A130="","",INDEX('05_KAPA'!$H:$H,$A130))</f>
        <v/>
      </c>
      <c r="E130">
        <f>IF($A130="","",INDEX('05_KAPA'!$K:$K,$A130))</f>
        <v/>
      </c>
      <c r="F130">
        <f>IF($A130="","",INDEX('05_KAPA'!$L:$L,$A130))</f>
        <v/>
      </c>
      <c r="G130">
        <f>IF($A130="","",INDEX('05_KAPA'!$I:$I,$A130))</f>
        <v/>
      </c>
      <c r="H130" s="202">
        <f>IF($A130="","",INDEX('05_KAPA'!$P:$P,$A130))</f>
        <v/>
      </c>
      <c r="I130" s="118">
        <f>IF($A130="","",INDEX('05_KAPA'!$O:$O,$A130))</f>
        <v/>
      </c>
      <c r="J130" s="202">
        <f>IF($A130="","",IFERROR(DATE(LEFT(TEXT(INDEX('05_KAPA'!$T:$T,$A130),"0"),4),MID(TEXT(INDEX('05_KAPA'!$T:$T,$A130),"0"),5,2),RIGHT(TEXT(INDEX('05_KAPA'!$T:$T,$A130),"0"),2)),""))</f>
        <v/>
      </c>
      <c r="K130">
        <f>IF(C130="","",IF('02_대상물건입력'!$B$5="",1,IF(ISNUMBER(SEARCH('02_대상물건입력'!$B$5,C130)),1,0)))</f>
        <v/>
      </c>
      <c r="L130">
        <f>IF(C130="","",IF('02_대상물건입력'!$B$6="",1,IF(ISNUMBER(SEARCH('02_대상물건입력'!$B$6,C130)),1,0)))</f>
        <v/>
      </c>
      <c r="M130">
        <f>IF(E130="","",IF('02_대상물건입력'!$B$8="",0,IF(ISNUMBER(SEARCH('02_대상물건입력'!$B$8,E130)),1,0)))</f>
        <v/>
      </c>
      <c r="N130">
        <f>IF(B130="","",IF(B130="담보",1,0))</f>
        <v/>
      </c>
      <c r="O130">
        <f>IFERROR(ABS(G130-'02_대상물건입력'!$B$11)/'02_대상물건입력'!$B$11,"")</f>
        <v/>
      </c>
      <c r="P130">
        <f>IFERROR(ABS('01_설정'!$B$4-H130),"")</f>
        <v/>
      </c>
      <c r="Q130">
        <f>IFERROR(ABS(YEAR(J130)-YEAR('02_대상물건입력'!$B$14)),"")</f>
        <v/>
      </c>
      <c r="R130">
        <f>IF(AND(G130&gt;0,H130&gt;0,I130&gt;0,N130=1,IF('01_설정'!$B$10=1,K130=1,TRUE()),O130&lt;='01_설정'!$B$5,P130&lt;='01_설정'!$B$7,Q130&lt;='01_설정'!$B$8),"Y","")</f>
        <v/>
      </c>
      <c r="S130">
        <f>IF(R130&lt;&gt;"Y","",MAX(0,(1-O130/'01_설정'!$B$5))*'01_설정'!$B$14+MAX(0,(1-P130/'01_설정'!$B$7))*'01_설정'!$B$16+MAX(0,(1-Q130/'01_설정'!$B$8))*'01_설정'!$B$17+L130*'01_설정'!$B$11+M130*'01_설정'!$B$12+N130*50)</f>
        <v/>
      </c>
      <c r="T130">
        <f>IF(S130="","",1+COUNTIFS($S$31:$S$1030,"&gt;"&amp;S130)+COUNTIFS($S$31:S130,S130)-1)</f>
        <v/>
      </c>
    </row>
    <row r="131" hidden="1" ht="16.5" customHeight="1">
      <c r="A131">
        <f>IF(COUNTA('05_KAPA'!$A102:$AO102)=0,"",104)</f>
        <v/>
      </c>
      <c r="B131">
        <f>IF($A131="","",INDEX('05_KAPA'!$B:$B,$A131))</f>
        <v/>
      </c>
      <c r="C131">
        <f>IF($A131="","",INDEX('05_KAPA'!$F:$F,$A131))</f>
        <v/>
      </c>
      <c r="D131">
        <f>IF($A131="","",INDEX('05_KAPA'!$H:$H,$A131))</f>
        <v/>
      </c>
      <c r="E131">
        <f>IF($A131="","",INDEX('05_KAPA'!$K:$K,$A131))</f>
        <v/>
      </c>
      <c r="F131">
        <f>IF($A131="","",INDEX('05_KAPA'!$L:$L,$A131))</f>
        <v/>
      </c>
      <c r="G131">
        <f>IF($A131="","",INDEX('05_KAPA'!$I:$I,$A131))</f>
        <v/>
      </c>
      <c r="H131" s="202">
        <f>IF($A131="","",INDEX('05_KAPA'!$P:$P,$A131))</f>
        <v/>
      </c>
      <c r="I131" s="118">
        <f>IF($A131="","",INDEX('05_KAPA'!$O:$O,$A131))</f>
        <v/>
      </c>
      <c r="J131" s="202">
        <f>IF($A131="","",IFERROR(DATE(LEFT(TEXT(INDEX('05_KAPA'!$T:$T,$A131),"0"),4),MID(TEXT(INDEX('05_KAPA'!$T:$T,$A131),"0"),5,2),RIGHT(TEXT(INDEX('05_KAPA'!$T:$T,$A131),"0"),2)),""))</f>
        <v/>
      </c>
      <c r="K131">
        <f>IF(C131="","",IF('02_대상물건입력'!$B$5="",1,IF(ISNUMBER(SEARCH('02_대상물건입력'!$B$5,C131)),1,0)))</f>
        <v/>
      </c>
      <c r="L131">
        <f>IF(C131="","",IF('02_대상물건입력'!$B$6="",1,IF(ISNUMBER(SEARCH('02_대상물건입력'!$B$6,C131)),1,0)))</f>
        <v/>
      </c>
      <c r="M131">
        <f>IF(E131="","",IF('02_대상물건입력'!$B$8="",0,IF(ISNUMBER(SEARCH('02_대상물건입력'!$B$8,E131)),1,0)))</f>
        <v/>
      </c>
      <c r="N131">
        <f>IF(B131="","",IF(B131="담보",1,0))</f>
        <v/>
      </c>
      <c r="O131">
        <f>IFERROR(ABS(G131-'02_대상물건입력'!$B$11)/'02_대상물건입력'!$B$11,"")</f>
        <v/>
      </c>
      <c r="P131">
        <f>IFERROR(ABS('01_설정'!$B$4-H131),"")</f>
        <v/>
      </c>
      <c r="Q131">
        <f>IFERROR(ABS(YEAR(J131)-YEAR('02_대상물건입력'!$B$14)),"")</f>
        <v/>
      </c>
      <c r="R131">
        <f>IF(AND(G131&gt;0,H131&gt;0,I131&gt;0,N131=1,IF('01_설정'!$B$10=1,K131=1,TRUE()),O131&lt;='01_설정'!$B$5,P131&lt;='01_설정'!$B$7,Q131&lt;='01_설정'!$B$8),"Y","")</f>
        <v/>
      </c>
      <c r="S131">
        <f>IF(R131&lt;&gt;"Y","",MAX(0,(1-O131/'01_설정'!$B$5))*'01_설정'!$B$14+MAX(0,(1-P131/'01_설정'!$B$7))*'01_설정'!$B$16+MAX(0,(1-Q131/'01_설정'!$B$8))*'01_설정'!$B$17+L131*'01_설정'!$B$11+M131*'01_설정'!$B$12+N131*50)</f>
        <v/>
      </c>
      <c r="T131">
        <f>IF(S131="","",1+COUNTIFS($S$31:$S$1030,"&gt;"&amp;S131)+COUNTIFS($S$31:S131,S131)-1)</f>
        <v/>
      </c>
    </row>
    <row r="132" hidden="1" ht="16.5" customHeight="1">
      <c r="A132">
        <f>IF(COUNTA('05_KAPA'!$A103:$AO103)=0,"",105)</f>
        <v/>
      </c>
      <c r="B132">
        <f>IF($A132="","",INDEX('05_KAPA'!$B:$B,$A132))</f>
        <v/>
      </c>
      <c r="C132">
        <f>IF($A132="","",INDEX('05_KAPA'!$F:$F,$A132))</f>
        <v/>
      </c>
      <c r="D132">
        <f>IF($A132="","",INDEX('05_KAPA'!$H:$H,$A132))</f>
        <v/>
      </c>
      <c r="E132">
        <f>IF($A132="","",INDEX('05_KAPA'!$K:$K,$A132))</f>
        <v/>
      </c>
      <c r="F132">
        <f>IF($A132="","",INDEX('05_KAPA'!$L:$L,$A132))</f>
        <v/>
      </c>
      <c r="G132">
        <f>IF($A132="","",INDEX('05_KAPA'!$I:$I,$A132))</f>
        <v/>
      </c>
      <c r="H132" s="202">
        <f>IF($A132="","",INDEX('05_KAPA'!$P:$P,$A132))</f>
        <v/>
      </c>
      <c r="I132" s="118">
        <f>IF($A132="","",INDEX('05_KAPA'!$O:$O,$A132))</f>
        <v/>
      </c>
      <c r="J132" s="202">
        <f>IF($A132="","",IFERROR(DATE(LEFT(TEXT(INDEX('05_KAPA'!$T:$T,$A132),"0"),4),MID(TEXT(INDEX('05_KAPA'!$T:$T,$A132),"0"),5,2),RIGHT(TEXT(INDEX('05_KAPA'!$T:$T,$A132),"0"),2)),""))</f>
        <v/>
      </c>
      <c r="K132">
        <f>IF(C132="","",IF('02_대상물건입력'!$B$5="",1,IF(ISNUMBER(SEARCH('02_대상물건입력'!$B$5,C132)),1,0)))</f>
        <v/>
      </c>
      <c r="L132">
        <f>IF(C132="","",IF('02_대상물건입력'!$B$6="",1,IF(ISNUMBER(SEARCH('02_대상물건입력'!$B$6,C132)),1,0)))</f>
        <v/>
      </c>
      <c r="M132">
        <f>IF(E132="","",IF('02_대상물건입력'!$B$8="",0,IF(ISNUMBER(SEARCH('02_대상물건입력'!$B$8,E132)),1,0)))</f>
        <v/>
      </c>
      <c r="N132">
        <f>IF(B132="","",IF(B132="담보",1,0))</f>
        <v/>
      </c>
      <c r="O132">
        <f>IFERROR(ABS(G132-'02_대상물건입력'!$B$11)/'02_대상물건입력'!$B$11,"")</f>
        <v/>
      </c>
      <c r="P132">
        <f>IFERROR(ABS('01_설정'!$B$4-H132),"")</f>
        <v/>
      </c>
      <c r="Q132">
        <f>IFERROR(ABS(YEAR(J132)-YEAR('02_대상물건입력'!$B$14)),"")</f>
        <v/>
      </c>
      <c r="R132">
        <f>IF(AND(G132&gt;0,H132&gt;0,I132&gt;0,N132=1,IF('01_설정'!$B$10=1,K132=1,TRUE()),O132&lt;='01_설정'!$B$5,P132&lt;='01_설정'!$B$7,Q132&lt;='01_설정'!$B$8),"Y","")</f>
        <v/>
      </c>
      <c r="S132">
        <f>IF(R132&lt;&gt;"Y","",MAX(0,(1-O132/'01_설정'!$B$5))*'01_설정'!$B$14+MAX(0,(1-P132/'01_설정'!$B$7))*'01_설정'!$B$16+MAX(0,(1-Q132/'01_설정'!$B$8))*'01_설정'!$B$17+L132*'01_설정'!$B$11+M132*'01_설정'!$B$12+N132*50)</f>
        <v/>
      </c>
      <c r="T132">
        <f>IF(S132="","",1+COUNTIFS($S$31:$S$1030,"&gt;"&amp;S132)+COUNTIFS($S$31:S132,S132)-1)</f>
        <v/>
      </c>
    </row>
    <row r="133" hidden="1" ht="16.5" customHeight="1">
      <c r="A133">
        <f>IF(COUNTA('05_KAPA'!$A104:$AO104)=0,"",106)</f>
        <v/>
      </c>
      <c r="B133">
        <f>IF($A133="","",INDEX('05_KAPA'!$B:$B,$A133))</f>
        <v/>
      </c>
      <c r="C133">
        <f>IF($A133="","",INDEX('05_KAPA'!$F:$F,$A133))</f>
        <v/>
      </c>
      <c r="D133">
        <f>IF($A133="","",INDEX('05_KAPA'!$H:$H,$A133))</f>
        <v/>
      </c>
      <c r="E133">
        <f>IF($A133="","",INDEX('05_KAPA'!$K:$K,$A133))</f>
        <v/>
      </c>
      <c r="F133">
        <f>IF($A133="","",INDEX('05_KAPA'!$L:$L,$A133))</f>
        <v/>
      </c>
      <c r="G133">
        <f>IF($A133="","",INDEX('05_KAPA'!$I:$I,$A133))</f>
        <v/>
      </c>
      <c r="H133" s="202">
        <f>IF($A133="","",INDEX('05_KAPA'!$P:$P,$A133))</f>
        <v/>
      </c>
      <c r="I133" s="118">
        <f>IF($A133="","",INDEX('05_KAPA'!$O:$O,$A133))</f>
        <v/>
      </c>
      <c r="J133" s="202">
        <f>IF($A133="","",IFERROR(DATE(LEFT(TEXT(INDEX('05_KAPA'!$T:$T,$A133),"0"),4),MID(TEXT(INDEX('05_KAPA'!$T:$T,$A133),"0"),5,2),RIGHT(TEXT(INDEX('05_KAPA'!$T:$T,$A133),"0"),2)),""))</f>
        <v/>
      </c>
      <c r="K133">
        <f>IF(C133="","",IF('02_대상물건입력'!$B$5="",1,IF(ISNUMBER(SEARCH('02_대상물건입력'!$B$5,C133)),1,0)))</f>
        <v/>
      </c>
      <c r="L133">
        <f>IF(C133="","",IF('02_대상물건입력'!$B$6="",1,IF(ISNUMBER(SEARCH('02_대상물건입력'!$B$6,C133)),1,0)))</f>
        <v/>
      </c>
      <c r="M133">
        <f>IF(E133="","",IF('02_대상물건입력'!$B$8="",0,IF(ISNUMBER(SEARCH('02_대상물건입력'!$B$8,E133)),1,0)))</f>
        <v/>
      </c>
      <c r="N133">
        <f>IF(B133="","",IF(B133="담보",1,0))</f>
        <v/>
      </c>
      <c r="O133">
        <f>IFERROR(ABS(G133-'02_대상물건입력'!$B$11)/'02_대상물건입력'!$B$11,"")</f>
        <v/>
      </c>
      <c r="P133">
        <f>IFERROR(ABS('01_설정'!$B$4-H133),"")</f>
        <v/>
      </c>
      <c r="Q133">
        <f>IFERROR(ABS(YEAR(J133)-YEAR('02_대상물건입력'!$B$14)),"")</f>
        <v/>
      </c>
      <c r="R133">
        <f>IF(AND(G133&gt;0,H133&gt;0,I133&gt;0,N133=1,IF('01_설정'!$B$10=1,K133=1,TRUE()),O133&lt;='01_설정'!$B$5,P133&lt;='01_설정'!$B$7,Q133&lt;='01_설정'!$B$8),"Y","")</f>
        <v/>
      </c>
      <c r="S133">
        <f>IF(R133&lt;&gt;"Y","",MAX(0,(1-O133/'01_설정'!$B$5))*'01_설정'!$B$14+MAX(0,(1-P133/'01_설정'!$B$7))*'01_설정'!$B$16+MAX(0,(1-Q133/'01_설정'!$B$8))*'01_설정'!$B$17+L133*'01_설정'!$B$11+M133*'01_설정'!$B$12+N133*50)</f>
        <v/>
      </c>
      <c r="T133">
        <f>IF(S133="","",1+COUNTIFS($S$31:$S$1030,"&gt;"&amp;S133)+COUNTIFS($S$31:S133,S133)-1)</f>
        <v/>
      </c>
    </row>
    <row r="134" hidden="1" ht="16.5" customHeight="1">
      <c r="A134">
        <f>IF(COUNTA('05_KAPA'!$A105:$AO105)=0,"",107)</f>
        <v/>
      </c>
      <c r="B134">
        <f>IF($A134="","",INDEX('05_KAPA'!$B:$B,$A134))</f>
        <v/>
      </c>
      <c r="C134">
        <f>IF($A134="","",INDEX('05_KAPA'!$F:$F,$A134))</f>
        <v/>
      </c>
      <c r="D134">
        <f>IF($A134="","",INDEX('05_KAPA'!$H:$H,$A134))</f>
        <v/>
      </c>
      <c r="E134">
        <f>IF($A134="","",INDEX('05_KAPA'!$K:$K,$A134))</f>
        <v/>
      </c>
      <c r="F134">
        <f>IF($A134="","",INDEX('05_KAPA'!$L:$L,$A134))</f>
        <v/>
      </c>
      <c r="G134">
        <f>IF($A134="","",INDEX('05_KAPA'!$I:$I,$A134))</f>
        <v/>
      </c>
      <c r="H134" s="202">
        <f>IF($A134="","",INDEX('05_KAPA'!$P:$P,$A134))</f>
        <v/>
      </c>
      <c r="I134" s="118">
        <f>IF($A134="","",INDEX('05_KAPA'!$O:$O,$A134))</f>
        <v/>
      </c>
      <c r="J134" s="202">
        <f>IF($A134="","",IFERROR(DATE(LEFT(TEXT(INDEX('05_KAPA'!$T:$T,$A134),"0"),4),MID(TEXT(INDEX('05_KAPA'!$T:$T,$A134),"0"),5,2),RIGHT(TEXT(INDEX('05_KAPA'!$T:$T,$A134),"0"),2)),""))</f>
        <v/>
      </c>
      <c r="K134">
        <f>IF(C134="","",IF('02_대상물건입력'!$B$5="",1,IF(ISNUMBER(SEARCH('02_대상물건입력'!$B$5,C134)),1,0)))</f>
        <v/>
      </c>
      <c r="L134">
        <f>IF(C134="","",IF('02_대상물건입력'!$B$6="",1,IF(ISNUMBER(SEARCH('02_대상물건입력'!$B$6,C134)),1,0)))</f>
        <v/>
      </c>
      <c r="M134">
        <f>IF(E134="","",IF('02_대상물건입력'!$B$8="",0,IF(ISNUMBER(SEARCH('02_대상물건입력'!$B$8,E134)),1,0)))</f>
        <v/>
      </c>
      <c r="N134">
        <f>IF(B134="","",IF(B134="담보",1,0))</f>
        <v/>
      </c>
      <c r="O134">
        <f>IFERROR(ABS(G134-'02_대상물건입력'!$B$11)/'02_대상물건입력'!$B$11,"")</f>
        <v/>
      </c>
      <c r="P134">
        <f>IFERROR(ABS('01_설정'!$B$4-H134),"")</f>
        <v/>
      </c>
      <c r="Q134">
        <f>IFERROR(ABS(YEAR(J134)-YEAR('02_대상물건입력'!$B$14)),"")</f>
        <v/>
      </c>
      <c r="R134">
        <f>IF(AND(G134&gt;0,H134&gt;0,I134&gt;0,N134=1,IF('01_설정'!$B$10=1,K134=1,TRUE()),O134&lt;='01_설정'!$B$5,P134&lt;='01_설정'!$B$7,Q134&lt;='01_설정'!$B$8),"Y","")</f>
        <v/>
      </c>
      <c r="S134">
        <f>IF(R134&lt;&gt;"Y","",MAX(0,(1-O134/'01_설정'!$B$5))*'01_설정'!$B$14+MAX(0,(1-P134/'01_설정'!$B$7))*'01_설정'!$B$16+MAX(0,(1-Q134/'01_설정'!$B$8))*'01_설정'!$B$17+L134*'01_설정'!$B$11+M134*'01_설정'!$B$12+N134*50)</f>
        <v/>
      </c>
      <c r="T134">
        <f>IF(S134="","",1+COUNTIFS($S$31:$S$1030,"&gt;"&amp;S134)+COUNTIFS($S$31:S134,S134)-1)</f>
        <v/>
      </c>
    </row>
    <row r="135" hidden="1" ht="16.5" customHeight="1">
      <c r="A135">
        <f>IF(COUNTA('05_KAPA'!$A106:$AO106)=0,"",108)</f>
        <v/>
      </c>
      <c r="B135">
        <f>IF($A135="","",INDEX('05_KAPA'!$B:$B,$A135))</f>
        <v/>
      </c>
      <c r="C135">
        <f>IF($A135="","",INDEX('05_KAPA'!$F:$F,$A135))</f>
        <v/>
      </c>
      <c r="D135">
        <f>IF($A135="","",INDEX('05_KAPA'!$H:$H,$A135))</f>
        <v/>
      </c>
      <c r="E135">
        <f>IF($A135="","",INDEX('05_KAPA'!$K:$K,$A135))</f>
        <v/>
      </c>
      <c r="F135">
        <f>IF($A135="","",INDEX('05_KAPA'!$L:$L,$A135))</f>
        <v/>
      </c>
      <c r="G135">
        <f>IF($A135="","",INDEX('05_KAPA'!$I:$I,$A135))</f>
        <v/>
      </c>
      <c r="H135" s="202">
        <f>IF($A135="","",INDEX('05_KAPA'!$P:$P,$A135))</f>
        <v/>
      </c>
      <c r="I135" s="118">
        <f>IF($A135="","",INDEX('05_KAPA'!$O:$O,$A135))</f>
        <v/>
      </c>
      <c r="J135" s="202">
        <f>IF($A135="","",IFERROR(DATE(LEFT(TEXT(INDEX('05_KAPA'!$T:$T,$A135),"0"),4),MID(TEXT(INDEX('05_KAPA'!$T:$T,$A135),"0"),5,2),RIGHT(TEXT(INDEX('05_KAPA'!$T:$T,$A135),"0"),2)),""))</f>
        <v/>
      </c>
      <c r="K135">
        <f>IF(C135="","",IF('02_대상물건입력'!$B$5="",1,IF(ISNUMBER(SEARCH('02_대상물건입력'!$B$5,C135)),1,0)))</f>
        <v/>
      </c>
      <c r="L135">
        <f>IF(C135="","",IF('02_대상물건입력'!$B$6="",1,IF(ISNUMBER(SEARCH('02_대상물건입력'!$B$6,C135)),1,0)))</f>
        <v/>
      </c>
      <c r="M135">
        <f>IF(E135="","",IF('02_대상물건입력'!$B$8="",0,IF(ISNUMBER(SEARCH('02_대상물건입력'!$B$8,E135)),1,0)))</f>
        <v/>
      </c>
      <c r="N135">
        <f>IF(B135="","",IF(B135="담보",1,0))</f>
        <v/>
      </c>
      <c r="O135">
        <f>IFERROR(ABS(G135-'02_대상물건입력'!$B$11)/'02_대상물건입력'!$B$11,"")</f>
        <v/>
      </c>
      <c r="P135">
        <f>IFERROR(ABS('01_설정'!$B$4-H135),"")</f>
        <v/>
      </c>
      <c r="Q135">
        <f>IFERROR(ABS(YEAR(J135)-YEAR('02_대상물건입력'!$B$14)),"")</f>
        <v/>
      </c>
      <c r="R135">
        <f>IF(AND(G135&gt;0,H135&gt;0,I135&gt;0,N135=1,IF('01_설정'!$B$10=1,K135=1,TRUE()),O135&lt;='01_설정'!$B$5,P135&lt;='01_설정'!$B$7,Q135&lt;='01_설정'!$B$8),"Y","")</f>
        <v/>
      </c>
      <c r="S135">
        <f>IF(R135&lt;&gt;"Y","",MAX(0,(1-O135/'01_설정'!$B$5))*'01_설정'!$B$14+MAX(0,(1-P135/'01_설정'!$B$7))*'01_설정'!$B$16+MAX(0,(1-Q135/'01_설정'!$B$8))*'01_설정'!$B$17+L135*'01_설정'!$B$11+M135*'01_설정'!$B$12+N135*50)</f>
        <v/>
      </c>
      <c r="T135">
        <f>IF(S135="","",1+COUNTIFS($S$31:$S$1030,"&gt;"&amp;S135)+COUNTIFS($S$31:S135,S135)-1)</f>
        <v/>
      </c>
    </row>
    <row r="136" hidden="1" ht="16.5" customHeight="1">
      <c r="A136">
        <f>IF(COUNTA('05_KAPA'!$A107:$AO107)=0,"",109)</f>
        <v/>
      </c>
      <c r="B136">
        <f>IF($A136="","",INDEX('05_KAPA'!$B:$B,$A136))</f>
        <v/>
      </c>
      <c r="C136">
        <f>IF($A136="","",INDEX('05_KAPA'!$F:$F,$A136))</f>
        <v/>
      </c>
      <c r="D136">
        <f>IF($A136="","",INDEX('05_KAPA'!$H:$H,$A136))</f>
        <v/>
      </c>
      <c r="E136">
        <f>IF($A136="","",INDEX('05_KAPA'!$K:$K,$A136))</f>
        <v/>
      </c>
      <c r="F136">
        <f>IF($A136="","",INDEX('05_KAPA'!$L:$L,$A136))</f>
        <v/>
      </c>
      <c r="G136">
        <f>IF($A136="","",INDEX('05_KAPA'!$I:$I,$A136))</f>
        <v/>
      </c>
      <c r="H136" s="202">
        <f>IF($A136="","",INDEX('05_KAPA'!$P:$P,$A136))</f>
        <v/>
      </c>
      <c r="I136" s="118">
        <f>IF($A136="","",INDEX('05_KAPA'!$O:$O,$A136))</f>
        <v/>
      </c>
      <c r="J136" s="202">
        <f>IF($A136="","",IFERROR(DATE(LEFT(TEXT(INDEX('05_KAPA'!$T:$T,$A136),"0"),4),MID(TEXT(INDEX('05_KAPA'!$T:$T,$A136),"0"),5,2),RIGHT(TEXT(INDEX('05_KAPA'!$T:$T,$A136),"0"),2)),""))</f>
        <v/>
      </c>
      <c r="K136">
        <f>IF(C136="","",IF('02_대상물건입력'!$B$5="",1,IF(ISNUMBER(SEARCH('02_대상물건입력'!$B$5,C136)),1,0)))</f>
        <v/>
      </c>
      <c r="L136">
        <f>IF(C136="","",IF('02_대상물건입력'!$B$6="",1,IF(ISNUMBER(SEARCH('02_대상물건입력'!$B$6,C136)),1,0)))</f>
        <v/>
      </c>
      <c r="M136">
        <f>IF(E136="","",IF('02_대상물건입력'!$B$8="",0,IF(ISNUMBER(SEARCH('02_대상물건입력'!$B$8,E136)),1,0)))</f>
        <v/>
      </c>
      <c r="N136">
        <f>IF(B136="","",IF(B136="담보",1,0))</f>
        <v/>
      </c>
      <c r="O136">
        <f>IFERROR(ABS(G136-'02_대상물건입력'!$B$11)/'02_대상물건입력'!$B$11,"")</f>
        <v/>
      </c>
      <c r="P136">
        <f>IFERROR(ABS('01_설정'!$B$4-H136),"")</f>
        <v/>
      </c>
      <c r="Q136">
        <f>IFERROR(ABS(YEAR(J136)-YEAR('02_대상물건입력'!$B$14)),"")</f>
        <v/>
      </c>
      <c r="R136">
        <f>IF(AND(G136&gt;0,H136&gt;0,I136&gt;0,N136=1,IF('01_설정'!$B$10=1,K136=1,TRUE()),O136&lt;='01_설정'!$B$5,P136&lt;='01_설정'!$B$7,Q136&lt;='01_설정'!$B$8),"Y","")</f>
        <v/>
      </c>
      <c r="S136">
        <f>IF(R136&lt;&gt;"Y","",MAX(0,(1-O136/'01_설정'!$B$5))*'01_설정'!$B$14+MAX(0,(1-P136/'01_설정'!$B$7))*'01_설정'!$B$16+MAX(0,(1-Q136/'01_설정'!$B$8))*'01_설정'!$B$17+L136*'01_설정'!$B$11+M136*'01_설정'!$B$12+N136*50)</f>
        <v/>
      </c>
      <c r="T136">
        <f>IF(S136="","",1+COUNTIFS($S$31:$S$1030,"&gt;"&amp;S136)+COUNTIFS($S$31:S136,S136)-1)</f>
        <v/>
      </c>
    </row>
    <row r="137" hidden="1" ht="16.5" customHeight="1">
      <c r="A137">
        <f>IF(COUNTA('05_KAPA'!$A108:$AO108)=0,"",110)</f>
        <v/>
      </c>
      <c r="B137">
        <f>IF($A137="","",INDEX('05_KAPA'!$B:$B,$A137))</f>
        <v/>
      </c>
      <c r="C137">
        <f>IF($A137="","",INDEX('05_KAPA'!$F:$F,$A137))</f>
        <v/>
      </c>
      <c r="D137">
        <f>IF($A137="","",INDEX('05_KAPA'!$H:$H,$A137))</f>
        <v/>
      </c>
      <c r="E137">
        <f>IF($A137="","",INDEX('05_KAPA'!$K:$K,$A137))</f>
        <v/>
      </c>
      <c r="F137">
        <f>IF($A137="","",INDEX('05_KAPA'!$L:$L,$A137))</f>
        <v/>
      </c>
      <c r="G137">
        <f>IF($A137="","",INDEX('05_KAPA'!$I:$I,$A137))</f>
        <v/>
      </c>
      <c r="H137" s="202">
        <f>IF($A137="","",INDEX('05_KAPA'!$P:$P,$A137))</f>
        <v/>
      </c>
      <c r="I137" s="118">
        <f>IF($A137="","",INDEX('05_KAPA'!$O:$O,$A137))</f>
        <v/>
      </c>
      <c r="J137" s="202">
        <f>IF($A137="","",IFERROR(DATE(LEFT(TEXT(INDEX('05_KAPA'!$T:$T,$A137),"0"),4),MID(TEXT(INDEX('05_KAPA'!$T:$T,$A137),"0"),5,2),RIGHT(TEXT(INDEX('05_KAPA'!$T:$T,$A137),"0"),2)),""))</f>
        <v/>
      </c>
      <c r="K137">
        <f>IF(C137="","",IF('02_대상물건입력'!$B$5="",1,IF(ISNUMBER(SEARCH('02_대상물건입력'!$B$5,C137)),1,0)))</f>
        <v/>
      </c>
      <c r="L137">
        <f>IF(C137="","",IF('02_대상물건입력'!$B$6="",1,IF(ISNUMBER(SEARCH('02_대상물건입력'!$B$6,C137)),1,0)))</f>
        <v/>
      </c>
      <c r="M137">
        <f>IF(E137="","",IF('02_대상물건입력'!$B$8="",0,IF(ISNUMBER(SEARCH('02_대상물건입력'!$B$8,E137)),1,0)))</f>
        <v/>
      </c>
      <c r="N137">
        <f>IF(B137="","",IF(B137="담보",1,0))</f>
        <v/>
      </c>
      <c r="O137">
        <f>IFERROR(ABS(G137-'02_대상물건입력'!$B$11)/'02_대상물건입력'!$B$11,"")</f>
        <v/>
      </c>
      <c r="P137">
        <f>IFERROR(ABS('01_설정'!$B$4-H137),"")</f>
        <v/>
      </c>
      <c r="Q137">
        <f>IFERROR(ABS(YEAR(J137)-YEAR('02_대상물건입력'!$B$14)),"")</f>
        <v/>
      </c>
      <c r="R137">
        <f>IF(AND(G137&gt;0,H137&gt;0,I137&gt;0,N137=1,IF('01_설정'!$B$10=1,K137=1,TRUE()),O137&lt;='01_설정'!$B$5,P137&lt;='01_설정'!$B$7,Q137&lt;='01_설정'!$B$8),"Y","")</f>
        <v/>
      </c>
      <c r="S137">
        <f>IF(R137&lt;&gt;"Y","",MAX(0,(1-O137/'01_설정'!$B$5))*'01_설정'!$B$14+MAX(0,(1-P137/'01_설정'!$B$7))*'01_설정'!$B$16+MAX(0,(1-Q137/'01_설정'!$B$8))*'01_설정'!$B$17+L137*'01_설정'!$B$11+M137*'01_설정'!$B$12+N137*50)</f>
        <v/>
      </c>
      <c r="T137">
        <f>IF(S137="","",1+COUNTIFS($S$31:$S$1030,"&gt;"&amp;S137)+COUNTIFS($S$31:S137,S137)-1)</f>
        <v/>
      </c>
    </row>
    <row r="138" hidden="1" ht="16.5" customHeight="1">
      <c r="A138">
        <f>IF(COUNTA('05_KAPA'!$A109:$AO109)=0,"",111)</f>
        <v/>
      </c>
      <c r="B138">
        <f>IF($A138="","",INDEX('05_KAPA'!$B:$B,$A138))</f>
        <v/>
      </c>
      <c r="C138">
        <f>IF($A138="","",INDEX('05_KAPA'!$F:$F,$A138))</f>
        <v/>
      </c>
      <c r="D138">
        <f>IF($A138="","",INDEX('05_KAPA'!$H:$H,$A138))</f>
        <v/>
      </c>
      <c r="E138">
        <f>IF($A138="","",INDEX('05_KAPA'!$K:$K,$A138))</f>
        <v/>
      </c>
      <c r="F138">
        <f>IF($A138="","",INDEX('05_KAPA'!$L:$L,$A138))</f>
        <v/>
      </c>
      <c r="G138">
        <f>IF($A138="","",INDEX('05_KAPA'!$I:$I,$A138))</f>
        <v/>
      </c>
      <c r="H138" s="202">
        <f>IF($A138="","",INDEX('05_KAPA'!$P:$P,$A138))</f>
        <v/>
      </c>
      <c r="I138" s="118">
        <f>IF($A138="","",INDEX('05_KAPA'!$O:$O,$A138))</f>
        <v/>
      </c>
      <c r="J138" s="202">
        <f>IF($A138="","",IFERROR(DATE(LEFT(TEXT(INDEX('05_KAPA'!$T:$T,$A138),"0"),4),MID(TEXT(INDEX('05_KAPA'!$T:$T,$A138),"0"),5,2),RIGHT(TEXT(INDEX('05_KAPA'!$T:$T,$A138),"0"),2)),""))</f>
        <v/>
      </c>
      <c r="K138">
        <f>IF(C138="","",IF('02_대상물건입력'!$B$5="",1,IF(ISNUMBER(SEARCH('02_대상물건입력'!$B$5,C138)),1,0)))</f>
        <v/>
      </c>
      <c r="L138">
        <f>IF(C138="","",IF('02_대상물건입력'!$B$6="",1,IF(ISNUMBER(SEARCH('02_대상물건입력'!$B$6,C138)),1,0)))</f>
        <v/>
      </c>
      <c r="M138">
        <f>IF(E138="","",IF('02_대상물건입력'!$B$8="",0,IF(ISNUMBER(SEARCH('02_대상물건입력'!$B$8,E138)),1,0)))</f>
        <v/>
      </c>
      <c r="N138">
        <f>IF(B138="","",IF(B138="담보",1,0))</f>
        <v/>
      </c>
      <c r="O138">
        <f>IFERROR(ABS(G138-'02_대상물건입력'!$B$11)/'02_대상물건입력'!$B$11,"")</f>
        <v/>
      </c>
      <c r="P138">
        <f>IFERROR(ABS('01_설정'!$B$4-H138),"")</f>
        <v/>
      </c>
      <c r="Q138">
        <f>IFERROR(ABS(YEAR(J138)-YEAR('02_대상물건입력'!$B$14)),"")</f>
        <v/>
      </c>
      <c r="R138">
        <f>IF(AND(G138&gt;0,H138&gt;0,I138&gt;0,N138=1,IF('01_설정'!$B$10=1,K138=1,TRUE()),O138&lt;='01_설정'!$B$5,P138&lt;='01_설정'!$B$7,Q138&lt;='01_설정'!$B$8),"Y","")</f>
        <v/>
      </c>
      <c r="S138">
        <f>IF(R138&lt;&gt;"Y","",MAX(0,(1-O138/'01_설정'!$B$5))*'01_설정'!$B$14+MAX(0,(1-P138/'01_설정'!$B$7))*'01_설정'!$B$16+MAX(0,(1-Q138/'01_설정'!$B$8))*'01_설정'!$B$17+L138*'01_설정'!$B$11+M138*'01_설정'!$B$12+N138*50)</f>
        <v/>
      </c>
      <c r="T138">
        <f>IF(S138="","",1+COUNTIFS($S$31:$S$1030,"&gt;"&amp;S138)+COUNTIFS($S$31:S138,S138)-1)</f>
        <v/>
      </c>
    </row>
    <row r="139" hidden="1" ht="16.5" customHeight="1">
      <c r="A139">
        <f>IF(COUNTA('05_KAPA'!$A110:$AO110)=0,"",112)</f>
        <v/>
      </c>
      <c r="B139">
        <f>IF($A139="","",INDEX('05_KAPA'!$B:$B,$A139))</f>
        <v/>
      </c>
      <c r="C139">
        <f>IF($A139="","",INDEX('05_KAPA'!$F:$F,$A139))</f>
        <v/>
      </c>
      <c r="D139">
        <f>IF($A139="","",INDEX('05_KAPA'!$H:$H,$A139))</f>
        <v/>
      </c>
      <c r="E139">
        <f>IF($A139="","",INDEX('05_KAPA'!$K:$K,$A139))</f>
        <v/>
      </c>
      <c r="F139">
        <f>IF($A139="","",INDEX('05_KAPA'!$L:$L,$A139))</f>
        <v/>
      </c>
      <c r="G139">
        <f>IF($A139="","",INDEX('05_KAPA'!$I:$I,$A139))</f>
        <v/>
      </c>
      <c r="H139" s="202">
        <f>IF($A139="","",INDEX('05_KAPA'!$P:$P,$A139))</f>
        <v/>
      </c>
      <c r="I139" s="118">
        <f>IF($A139="","",INDEX('05_KAPA'!$O:$O,$A139))</f>
        <v/>
      </c>
      <c r="J139" s="202">
        <f>IF($A139="","",IFERROR(DATE(LEFT(TEXT(INDEX('05_KAPA'!$T:$T,$A139),"0"),4),MID(TEXT(INDEX('05_KAPA'!$T:$T,$A139),"0"),5,2),RIGHT(TEXT(INDEX('05_KAPA'!$T:$T,$A139),"0"),2)),""))</f>
        <v/>
      </c>
      <c r="K139">
        <f>IF(C139="","",IF('02_대상물건입력'!$B$5="",1,IF(ISNUMBER(SEARCH('02_대상물건입력'!$B$5,C139)),1,0)))</f>
        <v/>
      </c>
      <c r="L139">
        <f>IF(C139="","",IF('02_대상물건입력'!$B$6="",1,IF(ISNUMBER(SEARCH('02_대상물건입력'!$B$6,C139)),1,0)))</f>
        <v/>
      </c>
      <c r="M139">
        <f>IF(E139="","",IF('02_대상물건입력'!$B$8="",0,IF(ISNUMBER(SEARCH('02_대상물건입력'!$B$8,E139)),1,0)))</f>
        <v/>
      </c>
      <c r="N139">
        <f>IF(B139="","",IF(B139="담보",1,0))</f>
        <v/>
      </c>
      <c r="O139">
        <f>IFERROR(ABS(G139-'02_대상물건입력'!$B$11)/'02_대상물건입력'!$B$11,"")</f>
        <v/>
      </c>
      <c r="P139">
        <f>IFERROR(ABS('01_설정'!$B$4-H139),"")</f>
        <v/>
      </c>
      <c r="Q139">
        <f>IFERROR(ABS(YEAR(J139)-YEAR('02_대상물건입력'!$B$14)),"")</f>
        <v/>
      </c>
      <c r="R139">
        <f>IF(AND(G139&gt;0,H139&gt;0,I139&gt;0,N139=1,IF('01_설정'!$B$10=1,K139=1,TRUE()),O139&lt;='01_설정'!$B$5,P139&lt;='01_설정'!$B$7,Q139&lt;='01_설정'!$B$8),"Y","")</f>
        <v/>
      </c>
      <c r="S139">
        <f>IF(R139&lt;&gt;"Y","",MAX(0,(1-O139/'01_설정'!$B$5))*'01_설정'!$B$14+MAX(0,(1-P139/'01_설정'!$B$7))*'01_설정'!$B$16+MAX(0,(1-Q139/'01_설정'!$B$8))*'01_설정'!$B$17+L139*'01_설정'!$B$11+M139*'01_설정'!$B$12+N139*50)</f>
        <v/>
      </c>
      <c r="T139">
        <f>IF(S139="","",1+COUNTIFS($S$31:$S$1030,"&gt;"&amp;S139)+COUNTIFS($S$31:S139,S139)-1)</f>
        <v/>
      </c>
    </row>
    <row r="140" hidden="1" ht="16.5" customHeight="1">
      <c r="A140">
        <f>IF(COUNTA('05_KAPA'!$A111:$AO111)=0,"",113)</f>
        <v/>
      </c>
      <c r="B140">
        <f>IF($A140="","",INDEX('05_KAPA'!$B:$B,$A140))</f>
        <v/>
      </c>
      <c r="C140">
        <f>IF($A140="","",INDEX('05_KAPA'!$F:$F,$A140))</f>
        <v/>
      </c>
      <c r="D140">
        <f>IF($A140="","",INDEX('05_KAPA'!$H:$H,$A140))</f>
        <v/>
      </c>
      <c r="E140">
        <f>IF($A140="","",INDEX('05_KAPA'!$K:$K,$A140))</f>
        <v/>
      </c>
      <c r="F140">
        <f>IF($A140="","",INDEX('05_KAPA'!$L:$L,$A140))</f>
        <v/>
      </c>
      <c r="G140">
        <f>IF($A140="","",INDEX('05_KAPA'!$I:$I,$A140))</f>
        <v/>
      </c>
      <c r="H140" s="202">
        <f>IF($A140="","",INDEX('05_KAPA'!$P:$P,$A140))</f>
        <v/>
      </c>
      <c r="I140" s="118">
        <f>IF($A140="","",INDEX('05_KAPA'!$O:$O,$A140))</f>
        <v/>
      </c>
      <c r="J140" s="202">
        <f>IF($A140="","",IFERROR(DATE(LEFT(TEXT(INDEX('05_KAPA'!$T:$T,$A140),"0"),4),MID(TEXT(INDEX('05_KAPA'!$T:$T,$A140),"0"),5,2),RIGHT(TEXT(INDEX('05_KAPA'!$T:$T,$A140),"0"),2)),""))</f>
        <v/>
      </c>
      <c r="K140">
        <f>IF(C140="","",IF('02_대상물건입력'!$B$5="",1,IF(ISNUMBER(SEARCH('02_대상물건입력'!$B$5,C140)),1,0)))</f>
        <v/>
      </c>
      <c r="L140">
        <f>IF(C140="","",IF('02_대상물건입력'!$B$6="",1,IF(ISNUMBER(SEARCH('02_대상물건입력'!$B$6,C140)),1,0)))</f>
        <v/>
      </c>
      <c r="M140">
        <f>IF(E140="","",IF('02_대상물건입력'!$B$8="",0,IF(ISNUMBER(SEARCH('02_대상물건입력'!$B$8,E140)),1,0)))</f>
        <v/>
      </c>
      <c r="N140">
        <f>IF(B140="","",IF(B140="담보",1,0))</f>
        <v/>
      </c>
      <c r="O140">
        <f>IFERROR(ABS(G140-'02_대상물건입력'!$B$11)/'02_대상물건입력'!$B$11,"")</f>
        <v/>
      </c>
      <c r="P140">
        <f>IFERROR(ABS('01_설정'!$B$4-H140),"")</f>
        <v/>
      </c>
      <c r="Q140">
        <f>IFERROR(ABS(YEAR(J140)-YEAR('02_대상물건입력'!$B$14)),"")</f>
        <v/>
      </c>
      <c r="R140">
        <f>IF(AND(G140&gt;0,H140&gt;0,I140&gt;0,N140=1,IF('01_설정'!$B$10=1,K140=1,TRUE()),O140&lt;='01_설정'!$B$5,P140&lt;='01_설정'!$B$7,Q140&lt;='01_설정'!$B$8),"Y","")</f>
        <v/>
      </c>
      <c r="S140">
        <f>IF(R140&lt;&gt;"Y","",MAX(0,(1-O140/'01_설정'!$B$5))*'01_설정'!$B$14+MAX(0,(1-P140/'01_설정'!$B$7))*'01_설정'!$B$16+MAX(0,(1-Q140/'01_설정'!$B$8))*'01_설정'!$B$17+L140*'01_설정'!$B$11+M140*'01_설정'!$B$12+N140*50)</f>
        <v/>
      </c>
      <c r="T140">
        <f>IF(S140="","",1+COUNTIFS($S$31:$S$1030,"&gt;"&amp;S140)+COUNTIFS($S$31:S140,S140)-1)</f>
        <v/>
      </c>
    </row>
    <row r="141" hidden="1" ht="16.5" customHeight="1">
      <c r="A141">
        <f>IF(COUNTA('05_KAPA'!$A112:$AO112)=0,"",114)</f>
        <v/>
      </c>
      <c r="B141">
        <f>IF($A141="","",INDEX('05_KAPA'!$B:$B,$A141))</f>
        <v/>
      </c>
      <c r="C141">
        <f>IF($A141="","",INDEX('05_KAPA'!$F:$F,$A141))</f>
        <v/>
      </c>
      <c r="D141">
        <f>IF($A141="","",INDEX('05_KAPA'!$H:$H,$A141))</f>
        <v/>
      </c>
      <c r="E141">
        <f>IF($A141="","",INDEX('05_KAPA'!$K:$K,$A141))</f>
        <v/>
      </c>
      <c r="F141">
        <f>IF($A141="","",INDEX('05_KAPA'!$L:$L,$A141))</f>
        <v/>
      </c>
      <c r="G141">
        <f>IF($A141="","",INDEX('05_KAPA'!$I:$I,$A141))</f>
        <v/>
      </c>
      <c r="H141" s="202">
        <f>IF($A141="","",INDEX('05_KAPA'!$P:$P,$A141))</f>
        <v/>
      </c>
      <c r="I141" s="118">
        <f>IF($A141="","",INDEX('05_KAPA'!$O:$O,$A141))</f>
        <v/>
      </c>
      <c r="J141" s="202">
        <f>IF($A141="","",IFERROR(DATE(LEFT(TEXT(INDEX('05_KAPA'!$T:$T,$A141),"0"),4),MID(TEXT(INDEX('05_KAPA'!$T:$T,$A141),"0"),5,2),RIGHT(TEXT(INDEX('05_KAPA'!$T:$T,$A141),"0"),2)),""))</f>
        <v/>
      </c>
      <c r="K141">
        <f>IF(C141="","",IF('02_대상물건입력'!$B$5="",1,IF(ISNUMBER(SEARCH('02_대상물건입력'!$B$5,C141)),1,0)))</f>
        <v/>
      </c>
      <c r="L141">
        <f>IF(C141="","",IF('02_대상물건입력'!$B$6="",1,IF(ISNUMBER(SEARCH('02_대상물건입력'!$B$6,C141)),1,0)))</f>
        <v/>
      </c>
      <c r="M141">
        <f>IF(E141="","",IF('02_대상물건입력'!$B$8="",0,IF(ISNUMBER(SEARCH('02_대상물건입력'!$B$8,E141)),1,0)))</f>
        <v/>
      </c>
      <c r="N141">
        <f>IF(B141="","",IF(B141="담보",1,0))</f>
        <v/>
      </c>
      <c r="O141">
        <f>IFERROR(ABS(G141-'02_대상물건입력'!$B$11)/'02_대상물건입력'!$B$11,"")</f>
        <v/>
      </c>
      <c r="P141">
        <f>IFERROR(ABS('01_설정'!$B$4-H141),"")</f>
        <v/>
      </c>
      <c r="Q141">
        <f>IFERROR(ABS(YEAR(J141)-YEAR('02_대상물건입력'!$B$14)),"")</f>
        <v/>
      </c>
      <c r="R141">
        <f>IF(AND(G141&gt;0,H141&gt;0,I141&gt;0,N141=1,IF('01_설정'!$B$10=1,K141=1,TRUE()),O141&lt;='01_설정'!$B$5,P141&lt;='01_설정'!$B$7,Q141&lt;='01_설정'!$B$8),"Y","")</f>
        <v/>
      </c>
      <c r="S141">
        <f>IF(R141&lt;&gt;"Y","",MAX(0,(1-O141/'01_설정'!$B$5))*'01_설정'!$B$14+MAX(0,(1-P141/'01_설정'!$B$7))*'01_설정'!$B$16+MAX(0,(1-Q141/'01_설정'!$B$8))*'01_설정'!$B$17+L141*'01_설정'!$B$11+M141*'01_설정'!$B$12+N141*50)</f>
        <v/>
      </c>
      <c r="T141">
        <f>IF(S141="","",1+COUNTIFS($S$31:$S$1030,"&gt;"&amp;S141)+COUNTIFS($S$31:S141,S141)-1)</f>
        <v/>
      </c>
    </row>
    <row r="142" hidden="1" ht="16.5" customHeight="1">
      <c r="A142">
        <f>IF(COUNTA('05_KAPA'!$A113:$AO113)=0,"",115)</f>
        <v/>
      </c>
      <c r="B142">
        <f>IF($A142="","",INDEX('05_KAPA'!$B:$B,$A142))</f>
        <v/>
      </c>
      <c r="C142">
        <f>IF($A142="","",INDEX('05_KAPA'!$F:$F,$A142))</f>
        <v/>
      </c>
      <c r="D142">
        <f>IF($A142="","",INDEX('05_KAPA'!$H:$H,$A142))</f>
        <v/>
      </c>
      <c r="E142">
        <f>IF($A142="","",INDEX('05_KAPA'!$K:$K,$A142))</f>
        <v/>
      </c>
      <c r="F142">
        <f>IF($A142="","",INDEX('05_KAPA'!$L:$L,$A142))</f>
        <v/>
      </c>
      <c r="G142">
        <f>IF($A142="","",INDEX('05_KAPA'!$I:$I,$A142))</f>
        <v/>
      </c>
      <c r="H142" s="202">
        <f>IF($A142="","",INDEX('05_KAPA'!$P:$P,$A142))</f>
        <v/>
      </c>
      <c r="I142" s="118">
        <f>IF($A142="","",INDEX('05_KAPA'!$O:$O,$A142))</f>
        <v/>
      </c>
      <c r="J142" s="202">
        <f>IF($A142="","",IFERROR(DATE(LEFT(TEXT(INDEX('05_KAPA'!$T:$T,$A142),"0"),4),MID(TEXT(INDEX('05_KAPA'!$T:$T,$A142),"0"),5,2),RIGHT(TEXT(INDEX('05_KAPA'!$T:$T,$A142),"0"),2)),""))</f>
        <v/>
      </c>
      <c r="K142">
        <f>IF(C142="","",IF('02_대상물건입력'!$B$5="",1,IF(ISNUMBER(SEARCH('02_대상물건입력'!$B$5,C142)),1,0)))</f>
        <v/>
      </c>
      <c r="L142">
        <f>IF(C142="","",IF('02_대상물건입력'!$B$6="",1,IF(ISNUMBER(SEARCH('02_대상물건입력'!$B$6,C142)),1,0)))</f>
        <v/>
      </c>
      <c r="M142">
        <f>IF(E142="","",IF('02_대상물건입력'!$B$8="",0,IF(ISNUMBER(SEARCH('02_대상물건입력'!$B$8,E142)),1,0)))</f>
        <v/>
      </c>
      <c r="N142">
        <f>IF(B142="","",IF(B142="담보",1,0))</f>
        <v/>
      </c>
      <c r="O142">
        <f>IFERROR(ABS(G142-'02_대상물건입력'!$B$11)/'02_대상물건입력'!$B$11,"")</f>
        <v/>
      </c>
      <c r="P142">
        <f>IFERROR(ABS('01_설정'!$B$4-H142),"")</f>
        <v/>
      </c>
      <c r="Q142">
        <f>IFERROR(ABS(YEAR(J142)-YEAR('02_대상물건입력'!$B$14)),"")</f>
        <v/>
      </c>
      <c r="R142">
        <f>IF(AND(G142&gt;0,H142&gt;0,I142&gt;0,N142=1,IF('01_설정'!$B$10=1,K142=1,TRUE()),O142&lt;='01_설정'!$B$5,P142&lt;='01_설정'!$B$7,Q142&lt;='01_설정'!$B$8),"Y","")</f>
        <v/>
      </c>
      <c r="S142">
        <f>IF(R142&lt;&gt;"Y","",MAX(0,(1-O142/'01_설정'!$B$5))*'01_설정'!$B$14+MAX(0,(1-P142/'01_설정'!$B$7))*'01_설정'!$B$16+MAX(0,(1-Q142/'01_설정'!$B$8))*'01_설정'!$B$17+L142*'01_설정'!$B$11+M142*'01_설정'!$B$12+N142*50)</f>
        <v/>
      </c>
      <c r="T142">
        <f>IF(S142="","",1+COUNTIFS($S$31:$S$1030,"&gt;"&amp;S142)+COUNTIFS($S$31:S142,S142)-1)</f>
        <v/>
      </c>
    </row>
    <row r="143" hidden="1" ht="16.5" customHeight="1">
      <c r="A143">
        <f>IF(COUNTA('05_KAPA'!$A114:$AO114)=0,"",116)</f>
        <v/>
      </c>
      <c r="B143">
        <f>IF($A143="","",INDEX('05_KAPA'!$B:$B,$A143))</f>
        <v/>
      </c>
      <c r="C143">
        <f>IF($A143="","",INDEX('05_KAPA'!$F:$F,$A143))</f>
        <v/>
      </c>
      <c r="D143">
        <f>IF($A143="","",INDEX('05_KAPA'!$H:$H,$A143))</f>
        <v/>
      </c>
      <c r="E143">
        <f>IF($A143="","",INDEX('05_KAPA'!$K:$K,$A143))</f>
        <v/>
      </c>
      <c r="F143">
        <f>IF($A143="","",INDEX('05_KAPA'!$L:$L,$A143))</f>
        <v/>
      </c>
      <c r="G143">
        <f>IF($A143="","",INDEX('05_KAPA'!$I:$I,$A143))</f>
        <v/>
      </c>
      <c r="H143" s="202">
        <f>IF($A143="","",INDEX('05_KAPA'!$P:$P,$A143))</f>
        <v/>
      </c>
      <c r="I143" s="118">
        <f>IF($A143="","",INDEX('05_KAPA'!$O:$O,$A143))</f>
        <v/>
      </c>
      <c r="J143" s="202">
        <f>IF($A143="","",IFERROR(DATE(LEFT(TEXT(INDEX('05_KAPA'!$T:$T,$A143),"0"),4),MID(TEXT(INDEX('05_KAPA'!$T:$T,$A143),"0"),5,2),RIGHT(TEXT(INDEX('05_KAPA'!$T:$T,$A143),"0"),2)),""))</f>
        <v/>
      </c>
      <c r="K143">
        <f>IF(C143="","",IF('02_대상물건입력'!$B$5="",1,IF(ISNUMBER(SEARCH('02_대상물건입력'!$B$5,C143)),1,0)))</f>
        <v/>
      </c>
      <c r="L143">
        <f>IF(C143="","",IF('02_대상물건입력'!$B$6="",1,IF(ISNUMBER(SEARCH('02_대상물건입력'!$B$6,C143)),1,0)))</f>
        <v/>
      </c>
      <c r="M143">
        <f>IF(E143="","",IF('02_대상물건입력'!$B$8="",0,IF(ISNUMBER(SEARCH('02_대상물건입력'!$B$8,E143)),1,0)))</f>
        <v/>
      </c>
      <c r="N143">
        <f>IF(B143="","",IF(B143="담보",1,0))</f>
        <v/>
      </c>
      <c r="O143">
        <f>IFERROR(ABS(G143-'02_대상물건입력'!$B$11)/'02_대상물건입력'!$B$11,"")</f>
        <v/>
      </c>
      <c r="P143">
        <f>IFERROR(ABS('01_설정'!$B$4-H143),"")</f>
        <v/>
      </c>
      <c r="Q143">
        <f>IFERROR(ABS(YEAR(J143)-YEAR('02_대상물건입력'!$B$14)),"")</f>
        <v/>
      </c>
      <c r="R143">
        <f>IF(AND(G143&gt;0,H143&gt;0,I143&gt;0,N143=1,IF('01_설정'!$B$10=1,K143=1,TRUE()),O143&lt;='01_설정'!$B$5,P143&lt;='01_설정'!$B$7,Q143&lt;='01_설정'!$B$8),"Y","")</f>
        <v/>
      </c>
      <c r="S143">
        <f>IF(R143&lt;&gt;"Y","",MAX(0,(1-O143/'01_설정'!$B$5))*'01_설정'!$B$14+MAX(0,(1-P143/'01_설정'!$B$7))*'01_설정'!$B$16+MAX(0,(1-Q143/'01_설정'!$B$8))*'01_설정'!$B$17+L143*'01_설정'!$B$11+M143*'01_설정'!$B$12+N143*50)</f>
        <v/>
      </c>
      <c r="T143">
        <f>IF(S143="","",1+COUNTIFS($S$31:$S$1030,"&gt;"&amp;S143)+COUNTIFS($S$31:S143,S143)-1)</f>
        <v/>
      </c>
    </row>
    <row r="144" hidden="1" ht="16.5" customHeight="1">
      <c r="A144">
        <f>IF(COUNTA('05_KAPA'!$A115:$AO115)=0,"",117)</f>
        <v/>
      </c>
      <c r="B144">
        <f>IF($A144="","",INDEX('05_KAPA'!$B:$B,$A144))</f>
        <v/>
      </c>
      <c r="C144">
        <f>IF($A144="","",INDEX('05_KAPA'!$F:$F,$A144))</f>
        <v/>
      </c>
      <c r="D144">
        <f>IF($A144="","",INDEX('05_KAPA'!$H:$H,$A144))</f>
        <v/>
      </c>
      <c r="E144">
        <f>IF($A144="","",INDEX('05_KAPA'!$K:$K,$A144))</f>
        <v/>
      </c>
      <c r="F144">
        <f>IF($A144="","",INDEX('05_KAPA'!$L:$L,$A144))</f>
        <v/>
      </c>
      <c r="G144">
        <f>IF($A144="","",INDEX('05_KAPA'!$I:$I,$A144))</f>
        <v/>
      </c>
      <c r="H144" s="202">
        <f>IF($A144="","",INDEX('05_KAPA'!$P:$P,$A144))</f>
        <v/>
      </c>
      <c r="I144" s="118">
        <f>IF($A144="","",INDEX('05_KAPA'!$O:$O,$A144))</f>
        <v/>
      </c>
      <c r="J144" s="202">
        <f>IF($A144="","",IFERROR(DATE(LEFT(TEXT(INDEX('05_KAPA'!$T:$T,$A144),"0"),4),MID(TEXT(INDEX('05_KAPA'!$T:$T,$A144),"0"),5,2),RIGHT(TEXT(INDEX('05_KAPA'!$T:$T,$A144),"0"),2)),""))</f>
        <v/>
      </c>
      <c r="K144">
        <f>IF(C144="","",IF('02_대상물건입력'!$B$5="",1,IF(ISNUMBER(SEARCH('02_대상물건입력'!$B$5,C144)),1,0)))</f>
        <v/>
      </c>
      <c r="L144">
        <f>IF(C144="","",IF('02_대상물건입력'!$B$6="",1,IF(ISNUMBER(SEARCH('02_대상물건입력'!$B$6,C144)),1,0)))</f>
        <v/>
      </c>
      <c r="M144">
        <f>IF(E144="","",IF('02_대상물건입력'!$B$8="",0,IF(ISNUMBER(SEARCH('02_대상물건입력'!$B$8,E144)),1,0)))</f>
        <v/>
      </c>
      <c r="N144">
        <f>IF(B144="","",IF(B144="담보",1,0))</f>
        <v/>
      </c>
      <c r="O144">
        <f>IFERROR(ABS(G144-'02_대상물건입력'!$B$11)/'02_대상물건입력'!$B$11,"")</f>
        <v/>
      </c>
      <c r="P144">
        <f>IFERROR(ABS('01_설정'!$B$4-H144),"")</f>
        <v/>
      </c>
      <c r="Q144">
        <f>IFERROR(ABS(YEAR(J144)-YEAR('02_대상물건입력'!$B$14)),"")</f>
        <v/>
      </c>
      <c r="R144">
        <f>IF(AND(G144&gt;0,H144&gt;0,I144&gt;0,N144=1,IF('01_설정'!$B$10=1,K144=1,TRUE()),O144&lt;='01_설정'!$B$5,P144&lt;='01_설정'!$B$7,Q144&lt;='01_설정'!$B$8),"Y","")</f>
        <v/>
      </c>
      <c r="S144">
        <f>IF(R144&lt;&gt;"Y","",MAX(0,(1-O144/'01_설정'!$B$5))*'01_설정'!$B$14+MAX(0,(1-P144/'01_설정'!$B$7))*'01_설정'!$B$16+MAX(0,(1-Q144/'01_설정'!$B$8))*'01_설정'!$B$17+L144*'01_설정'!$B$11+M144*'01_설정'!$B$12+N144*50)</f>
        <v/>
      </c>
      <c r="T144">
        <f>IF(S144="","",1+COUNTIFS($S$31:$S$1030,"&gt;"&amp;S144)+COUNTIFS($S$31:S144,S144)-1)</f>
        <v/>
      </c>
    </row>
    <row r="145" hidden="1" ht="16.5" customHeight="1">
      <c r="A145">
        <f>IF(COUNTA('05_KAPA'!$A116:$AO116)=0,"",118)</f>
        <v/>
      </c>
      <c r="B145">
        <f>IF($A145="","",INDEX('05_KAPA'!$B:$B,$A145))</f>
        <v/>
      </c>
      <c r="C145">
        <f>IF($A145="","",INDEX('05_KAPA'!$F:$F,$A145))</f>
        <v/>
      </c>
      <c r="D145">
        <f>IF($A145="","",INDEX('05_KAPA'!$H:$H,$A145))</f>
        <v/>
      </c>
      <c r="E145">
        <f>IF($A145="","",INDEX('05_KAPA'!$K:$K,$A145))</f>
        <v/>
      </c>
      <c r="F145">
        <f>IF($A145="","",INDEX('05_KAPA'!$L:$L,$A145))</f>
        <v/>
      </c>
      <c r="G145">
        <f>IF($A145="","",INDEX('05_KAPA'!$I:$I,$A145))</f>
        <v/>
      </c>
      <c r="H145" s="202">
        <f>IF($A145="","",INDEX('05_KAPA'!$P:$P,$A145))</f>
        <v/>
      </c>
      <c r="I145" s="118">
        <f>IF($A145="","",INDEX('05_KAPA'!$O:$O,$A145))</f>
        <v/>
      </c>
      <c r="J145" s="202">
        <f>IF($A145="","",IFERROR(DATE(LEFT(TEXT(INDEX('05_KAPA'!$T:$T,$A145),"0"),4),MID(TEXT(INDEX('05_KAPA'!$T:$T,$A145),"0"),5,2),RIGHT(TEXT(INDEX('05_KAPA'!$T:$T,$A145),"0"),2)),""))</f>
        <v/>
      </c>
      <c r="K145">
        <f>IF(C145="","",IF('02_대상물건입력'!$B$5="",1,IF(ISNUMBER(SEARCH('02_대상물건입력'!$B$5,C145)),1,0)))</f>
        <v/>
      </c>
      <c r="L145">
        <f>IF(C145="","",IF('02_대상물건입력'!$B$6="",1,IF(ISNUMBER(SEARCH('02_대상물건입력'!$B$6,C145)),1,0)))</f>
        <v/>
      </c>
      <c r="M145">
        <f>IF(E145="","",IF('02_대상물건입력'!$B$8="",0,IF(ISNUMBER(SEARCH('02_대상물건입력'!$B$8,E145)),1,0)))</f>
        <v/>
      </c>
      <c r="N145">
        <f>IF(B145="","",IF(B145="담보",1,0))</f>
        <v/>
      </c>
      <c r="O145">
        <f>IFERROR(ABS(G145-'02_대상물건입력'!$B$11)/'02_대상물건입력'!$B$11,"")</f>
        <v/>
      </c>
      <c r="P145">
        <f>IFERROR(ABS('01_설정'!$B$4-H145),"")</f>
        <v/>
      </c>
      <c r="Q145">
        <f>IFERROR(ABS(YEAR(J145)-YEAR('02_대상물건입력'!$B$14)),"")</f>
        <v/>
      </c>
      <c r="R145">
        <f>IF(AND(G145&gt;0,H145&gt;0,I145&gt;0,N145=1,IF('01_설정'!$B$10=1,K145=1,TRUE()),O145&lt;='01_설정'!$B$5,P145&lt;='01_설정'!$B$7,Q145&lt;='01_설정'!$B$8),"Y","")</f>
        <v/>
      </c>
      <c r="S145">
        <f>IF(R145&lt;&gt;"Y","",MAX(0,(1-O145/'01_설정'!$B$5))*'01_설정'!$B$14+MAX(0,(1-P145/'01_설정'!$B$7))*'01_설정'!$B$16+MAX(0,(1-Q145/'01_설정'!$B$8))*'01_설정'!$B$17+L145*'01_설정'!$B$11+M145*'01_설정'!$B$12+N145*50)</f>
        <v/>
      </c>
      <c r="T145">
        <f>IF(S145="","",1+COUNTIFS($S$31:$S$1030,"&gt;"&amp;S145)+COUNTIFS($S$31:S145,S145)-1)</f>
        <v/>
      </c>
    </row>
    <row r="146" hidden="1" ht="16.5" customHeight="1">
      <c r="A146">
        <f>IF(COUNTA('05_KAPA'!$A117:$AO117)=0,"",119)</f>
        <v/>
      </c>
      <c r="B146">
        <f>IF($A146="","",INDEX('05_KAPA'!$B:$B,$A146))</f>
        <v/>
      </c>
      <c r="C146">
        <f>IF($A146="","",INDEX('05_KAPA'!$F:$F,$A146))</f>
        <v/>
      </c>
      <c r="D146">
        <f>IF($A146="","",INDEX('05_KAPA'!$H:$H,$A146))</f>
        <v/>
      </c>
      <c r="E146">
        <f>IF($A146="","",INDEX('05_KAPA'!$K:$K,$A146))</f>
        <v/>
      </c>
      <c r="F146">
        <f>IF($A146="","",INDEX('05_KAPA'!$L:$L,$A146))</f>
        <v/>
      </c>
      <c r="G146">
        <f>IF($A146="","",INDEX('05_KAPA'!$I:$I,$A146))</f>
        <v/>
      </c>
      <c r="H146" s="202">
        <f>IF($A146="","",INDEX('05_KAPA'!$P:$P,$A146))</f>
        <v/>
      </c>
      <c r="I146" s="118">
        <f>IF($A146="","",INDEX('05_KAPA'!$O:$O,$A146))</f>
        <v/>
      </c>
      <c r="J146" s="202">
        <f>IF($A146="","",IFERROR(DATE(LEFT(TEXT(INDEX('05_KAPA'!$T:$T,$A146),"0"),4),MID(TEXT(INDEX('05_KAPA'!$T:$T,$A146),"0"),5,2),RIGHT(TEXT(INDEX('05_KAPA'!$T:$T,$A146),"0"),2)),""))</f>
        <v/>
      </c>
      <c r="K146">
        <f>IF(C146="","",IF('02_대상물건입력'!$B$5="",1,IF(ISNUMBER(SEARCH('02_대상물건입력'!$B$5,C146)),1,0)))</f>
        <v/>
      </c>
      <c r="L146">
        <f>IF(C146="","",IF('02_대상물건입력'!$B$6="",1,IF(ISNUMBER(SEARCH('02_대상물건입력'!$B$6,C146)),1,0)))</f>
        <v/>
      </c>
      <c r="M146">
        <f>IF(E146="","",IF('02_대상물건입력'!$B$8="",0,IF(ISNUMBER(SEARCH('02_대상물건입력'!$B$8,E146)),1,0)))</f>
        <v/>
      </c>
      <c r="N146">
        <f>IF(B146="","",IF(B146="담보",1,0))</f>
        <v/>
      </c>
      <c r="O146">
        <f>IFERROR(ABS(G146-'02_대상물건입력'!$B$11)/'02_대상물건입력'!$B$11,"")</f>
        <v/>
      </c>
      <c r="P146">
        <f>IFERROR(ABS('01_설정'!$B$4-H146),"")</f>
        <v/>
      </c>
      <c r="Q146">
        <f>IFERROR(ABS(YEAR(J146)-YEAR('02_대상물건입력'!$B$14)),"")</f>
        <v/>
      </c>
      <c r="R146">
        <f>IF(AND(G146&gt;0,H146&gt;0,I146&gt;0,N146=1,IF('01_설정'!$B$10=1,K146=1,TRUE()),O146&lt;='01_설정'!$B$5,P146&lt;='01_설정'!$B$7,Q146&lt;='01_설정'!$B$8),"Y","")</f>
        <v/>
      </c>
      <c r="S146">
        <f>IF(R146&lt;&gt;"Y","",MAX(0,(1-O146/'01_설정'!$B$5))*'01_설정'!$B$14+MAX(0,(1-P146/'01_설정'!$B$7))*'01_설정'!$B$16+MAX(0,(1-Q146/'01_설정'!$B$8))*'01_설정'!$B$17+L146*'01_설정'!$B$11+M146*'01_설정'!$B$12+N146*50)</f>
        <v/>
      </c>
      <c r="T146">
        <f>IF(S146="","",1+COUNTIFS($S$31:$S$1030,"&gt;"&amp;S146)+COUNTIFS($S$31:S146,S146)-1)</f>
        <v/>
      </c>
    </row>
    <row r="147" hidden="1" ht="16.5" customHeight="1">
      <c r="A147">
        <f>IF(COUNTA('05_KAPA'!$A118:$AO118)=0,"",120)</f>
        <v/>
      </c>
      <c r="B147">
        <f>IF($A147="","",INDEX('05_KAPA'!$B:$B,$A147))</f>
        <v/>
      </c>
      <c r="C147">
        <f>IF($A147="","",INDEX('05_KAPA'!$F:$F,$A147))</f>
        <v/>
      </c>
      <c r="D147">
        <f>IF($A147="","",INDEX('05_KAPA'!$H:$H,$A147))</f>
        <v/>
      </c>
      <c r="E147">
        <f>IF($A147="","",INDEX('05_KAPA'!$K:$K,$A147))</f>
        <v/>
      </c>
      <c r="F147">
        <f>IF($A147="","",INDEX('05_KAPA'!$L:$L,$A147))</f>
        <v/>
      </c>
      <c r="G147">
        <f>IF($A147="","",INDEX('05_KAPA'!$I:$I,$A147))</f>
        <v/>
      </c>
      <c r="H147" s="202">
        <f>IF($A147="","",INDEX('05_KAPA'!$P:$P,$A147))</f>
        <v/>
      </c>
      <c r="I147" s="118">
        <f>IF($A147="","",INDEX('05_KAPA'!$O:$O,$A147))</f>
        <v/>
      </c>
      <c r="J147" s="202">
        <f>IF($A147="","",IFERROR(DATE(LEFT(TEXT(INDEX('05_KAPA'!$T:$T,$A147),"0"),4),MID(TEXT(INDEX('05_KAPA'!$T:$T,$A147),"0"),5,2),RIGHT(TEXT(INDEX('05_KAPA'!$T:$T,$A147),"0"),2)),""))</f>
        <v/>
      </c>
      <c r="K147">
        <f>IF(C147="","",IF('02_대상물건입력'!$B$5="",1,IF(ISNUMBER(SEARCH('02_대상물건입력'!$B$5,C147)),1,0)))</f>
        <v/>
      </c>
      <c r="L147">
        <f>IF(C147="","",IF('02_대상물건입력'!$B$6="",1,IF(ISNUMBER(SEARCH('02_대상물건입력'!$B$6,C147)),1,0)))</f>
        <v/>
      </c>
      <c r="M147">
        <f>IF(E147="","",IF('02_대상물건입력'!$B$8="",0,IF(ISNUMBER(SEARCH('02_대상물건입력'!$B$8,E147)),1,0)))</f>
        <v/>
      </c>
      <c r="N147">
        <f>IF(B147="","",IF(B147="담보",1,0))</f>
        <v/>
      </c>
      <c r="O147">
        <f>IFERROR(ABS(G147-'02_대상물건입력'!$B$11)/'02_대상물건입력'!$B$11,"")</f>
        <v/>
      </c>
      <c r="P147">
        <f>IFERROR(ABS('01_설정'!$B$4-H147),"")</f>
        <v/>
      </c>
      <c r="Q147">
        <f>IFERROR(ABS(YEAR(J147)-YEAR('02_대상물건입력'!$B$14)),"")</f>
        <v/>
      </c>
      <c r="R147">
        <f>IF(AND(G147&gt;0,H147&gt;0,I147&gt;0,N147=1,IF('01_설정'!$B$10=1,K147=1,TRUE()),O147&lt;='01_설정'!$B$5,P147&lt;='01_설정'!$B$7,Q147&lt;='01_설정'!$B$8),"Y","")</f>
        <v/>
      </c>
      <c r="S147">
        <f>IF(R147&lt;&gt;"Y","",MAX(0,(1-O147/'01_설정'!$B$5))*'01_설정'!$B$14+MAX(0,(1-P147/'01_설정'!$B$7))*'01_설정'!$B$16+MAX(0,(1-Q147/'01_설정'!$B$8))*'01_설정'!$B$17+L147*'01_설정'!$B$11+M147*'01_설정'!$B$12+N147*50)</f>
        <v/>
      </c>
      <c r="T147">
        <f>IF(S147="","",1+COUNTIFS($S$31:$S$1030,"&gt;"&amp;S147)+COUNTIFS($S$31:S147,S147)-1)</f>
        <v/>
      </c>
    </row>
    <row r="148" hidden="1" ht="16.5" customHeight="1">
      <c r="A148">
        <f>IF(COUNTA('05_KAPA'!$A119:$AO119)=0,"",121)</f>
        <v/>
      </c>
      <c r="B148">
        <f>IF($A148="","",INDEX('05_KAPA'!$B:$B,$A148))</f>
        <v/>
      </c>
      <c r="C148">
        <f>IF($A148="","",INDEX('05_KAPA'!$F:$F,$A148))</f>
        <v/>
      </c>
      <c r="D148">
        <f>IF($A148="","",INDEX('05_KAPA'!$H:$H,$A148))</f>
        <v/>
      </c>
      <c r="E148">
        <f>IF($A148="","",INDEX('05_KAPA'!$K:$K,$A148))</f>
        <v/>
      </c>
      <c r="F148">
        <f>IF($A148="","",INDEX('05_KAPA'!$L:$L,$A148))</f>
        <v/>
      </c>
      <c r="G148">
        <f>IF($A148="","",INDEX('05_KAPA'!$I:$I,$A148))</f>
        <v/>
      </c>
      <c r="H148" s="202">
        <f>IF($A148="","",INDEX('05_KAPA'!$P:$P,$A148))</f>
        <v/>
      </c>
      <c r="I148" s="118">
        <f>IF($A148="","",INDEX('05_KAPA'!$O:$O,$A148))</f>
        <v/>
      </c>
      <c r="J148" s="202">
        <f>IF($A148="","",IFERROR(DATE(LEFT(TEXT(INDEX('05_KAPA'!$T:$T,$A148),"0"),4),MID(TEXT(INDEX('05_KAPA'!$T:$T,$A148),"0"),5,2),RIGHT(TEXT(INDEX('05_KAPA'!$T:$T,$A148),"0"),2)),""))</f>
        <v/>
      </c>
      <c r="K148">
        <f>IF(C148="","",IF('02_대상물건입력'!$B$5="",1,IF(ISNUMBER(SEARCH('02_대상물건입력'!$B$5,C148)),1,0)))</f>
        <v/>
      </c>
      <c r="L148">
        <f>IF(C148="","",IF('02_대상물건입력'!$B$6="",1,IF(ISNUMBER(SEARCH('02_대상물건입력'!$B$6,C148)),1,0)))</f>
        <v/>
      </c>
      <c r="M148">
        <f>IF(E148="","",IF('02_대상물건입력'!$B$8="",0,IF(ISNUMBER(SEARCH('02_대상물건입력'!$B$8,E148)),1,0)))</f>
        <v/>
      </c>
      <c r="N148">
        <f>IF(B148="","",IF(B148="담보",1,0))</f>
        <v/>
      </c>
      <c r="O148">
        <f>IFERROR(ABS(G148-'02_대상물건입력'!$B$11)/'02_대상물건입력'!$B$11,"")</f>
        <v/>
      </c>
      <c r="P148">
        <f>IFERROR(ABS('01_설정'!$B$4-H148),"")</f>
        <v/>
      </c>
      <c r="Q148">
        <f>IFERROR(ABS(YEAR(J148)-YEAR('02_대상물건입력'!$B$14)),"")</f>
        <v/>
      </c>
      <c r="R148">
        <f>IF(AND(G148&gt;0,H148&gt;0,I148&gt;0,N148=1,IF('01_설정'!$B$10=1,K148=1,TRUE()),O148&lt;='01_설정'!$B$5,P148&lt;='01_설정'!$B$7,Q148&lt;='01_설정'!$B$8),"Y","")</f>
        <v/>
      </c>
      <c r="S148">
        <f>IF(R148&lt;&gt;"Y","",MAX(0,(1-O148/'01_설정'!$B$5))*'01_설정'!$B$14+MAX(0,(1-P148/'01_설정'!$B$7))*'01_설정'!$B$16+MAX(0,(1-Q148/'01_설정'!$B$8))*'01_설정'!$B$17+L148*'01_설정'!$B$11+M148*'01_설정'!$B$12+N148*50)</f>
        <v/>
      </c>
      <c r="T148">
        <f>IF(S148="","",1+COUNTIFS($S$31:$S$1030,"&gt;"&amp;S148)+COUNTIFS($S$31:S148,S148)-1)</f>
        <v/>
      </c>
    </row>
    <row r="149" hidden="1" ht="16.5" customHeight="1">
      <c r="A149">
        <f>IF(COUNTA('05_KAPA'!$A120:$AO120)=0,"",122)</f>
        <v/>
      </c>
      <c r="B149">
        <f>IF($A149="","",INDEX('05_KAPA'!$B:$B,$A149))</f>
        <v/>
      </c>
      <c r="C149">
        <f>IF($A149="","",INDEX('05_KAPA'!$F:$F,$A149))</f>
        <v/>
      </c>
      <c r="D149">
        <f>IF($A149="","",INDEX('05_KAPA'!$H:$H,$A149))</f>
        <v/>
      </c>
      <c r="E149">
        <f>IF($A149="","",INDEX('05_KAPA'!$K:$K,$A149))</f>
        <v/>
      </c>
      <c r="F149">
        <f>IF($A149="","",INDEX('05_KAPA'!$L:$L,$A149))</f>
        <v/>
      </c>
      <c r="G149">
        <f>IF($A149="","",INDEX('05_KAPA'!$I:$I,$A149))</f>
        <v/>
      </c>
      <c r="H149" s="202">
        <f>IF($A149="","",INDEX('05_KAPA'!$P:$P,$A149))</f>
        <v/>
      </c>
      <c r="I149" s="118">
        <f>IF($A149="","",INDEX('05_KAPA'!$O:$O,$A149))</f>
        <v/>
      </c>
      <c r="J149" s="202">
        <f>IF($A149="","",IFERROR(DATE(LEFT(TEXT(INDEX('05_KAPA'!$T:$T,$A149),"0"),4),MID(TEXT(INDEX('05_KAPA'!$T:$T,$A149),"0"),5,2),RIGHT(TEXT(INDEX('05_KAPA'!$T:$T,$A149),"0"),2)),""))</f>
        <v/>
      </c>
      <c r="K149">
        <f>IF(C149="","",IF('02_대상물건입력'!$B$5="",1,IF(ISNUMBER(SEARCH('02_대상물건입력'!$B$5,C149)),1,0)))</f>
        <v/>
      </c>
      <c r="L149">
        <f>IF(C149="","",IF('02_대상물건입력'!$B$6="",1,IF(ISNUMBER(SEARCH('02_대상물건입력'!$B$6,C149)),1,0)))</f>
        <v/>
      </c>
      <c r="M149">
        <f>IF(E149="","",IF('02_대상물건입력'!$B$8="",0,IF(ISNUMBER(SEARCH('02_대상물건입력'!$B$8,E149)),1,0)))</f>
        <v/>
      </c>
      <c r="N149">
        <f>IF(B149="","",IF(B149="담보",1,0))</f>
        <v/>
      </c>
      <c r="O149">
        <f>IFERROR(ABS(G149-'02_대상물건입력'!$B$11)/'02_대상물건입력'!$B$11,"")</f>
        <v/>
      </c>
      <c r="P149">
        <f>IFERROR(ABS('01_설정'!$B$4-H149),"")</f>
        <v/>
      </c>
      <c r="Q149">
        <f>IFERROR(ABS(YEAR(J149)-YEAR('02_대상물건입력'!$B$14)),"")</f>
        <v/>
      </c>
      <c r="R149">
        <f>IF(AND(G149&gt;0,H149&gt;0,I149&gt;0,N149=1,IF('01_설정'!$B$10=1,K149=1,TRUE()),O149&lt;='01_설정'!$B$5,P149&lt;='01_설정'!$B$7,Q149&lt;='01_설정'!$B$8),"Y","")</f>
        <v/>
      </c>
      <c r="S149">
        <f>IF(R149&lt;&gt;"Y","",MAX(0,(1-O149/'01_설정'!$B$5))*'01_설정'!$B$14+MAX(0,(1-P149/'01_설정'!$B$7))*'01_설정'!$B$16+MAX(0,(1-Q149/'01_설정'!$B$8))*'01_설정'!$B$17+L149*'01_설정'!$B$11+M149*'01_설정'!$B$12+N149*50)</f>
        <v/>
      </c>
      <c r="T149">
        <f>IF(S149="","",1+COUNTIFS($S$31:$S$1030,"&gt;"&amp;S149)+COUNTIFS($S$31:S149,S149)-1)</f>
        <v/>
      </c>
    </row>
    <row r="150" hidden="1" ht="16.5" customHeight="1">
      <c r="A150">
        <f>IF(COUNTA('05_KAPA'!$A121:$AO121)=0,"",123)</f>
        <v/>
      </c>
      <c r="B150">
        <f>IF($A150="","",INDEX('05_KAPA'!$B:$B,$A150))</f>
        <v/>
      </c>
      <c r="C150">
        <f>IF($A150="","",INDEX('05_KAPA'!$F:$F,$A150))</f>
        <v/>
      </c>
      <c r="D150">
        <f>IF($A150="","",INDEX('05_KAPA'!$H:$H,$A150))</f>
        <v/>
      </c>
      <c r="E150">
        <f>IF($A150="","",INDEX('05_KAPA'!$K:$K,$A150))</f>
        <v/>
      </c>
      <c r="F150">
        <f>IF($A150="","",INDEX('05_KAPA'!$L:$L,$A150))</f>
        <v/>
      </c>
      <c r="G150">
        <f>IF($A150="","",INDEX('05_KAPA'!$I:$I,$A150))</f>
        <v/>
      </c>
      <c r="H150" s="202">
        <f>IF($A150="","",INDEX('05_KAPA'!$P:$P,$A150))</f>
        <v/>
      </c>
      <c r="I150" s="118">
        <f>IF($A150="","",INDEX('05_KAPA'!$O:$O,$A150))</f>
        <v/>
      </c>
      <c r="J150" s="202">
        <f>IF($A150="","",IFERROR(DATE(LEFT(TEXT(INDEX('05_KAPA'!$T:$T,$A150),"0"),4),MID(TEXT(INDEX('05_KAPA'!$T:$T,$A150),"0"),5,2),RIGHT(TEXT(INDEX('05_KAPA'!$T:$T,$A150),"0"),2)),""))</f>
        <v/>
      </c>
      <c r="K150">
        <f>IF(C150="","",IF('02_대상물건입력'!$B$5="",1,IF(ISNUMBER(SEARCH('02_대상물건입력'!$B$5,C150)),1,0)))</f>
        <v/>
      </c>
      <c r="L150">
        <f>IF(C150="","",IF('02_대상물건입력'!$B$6="",1,IF(ISNUMBER(SEARCH('02_대상물건입력'!$B$6,C150)),1,0)))</f>
        <v/>
      </c>
      <c r="M150">
        <f>IF(E150="","",IF('02_대상물건입력'!$B$8="",0,IF(ISNUMBER(SEARCH('02_대상물건입력'!$B$8,E150)),1,0)))</f>
        <v/>
      </c>
      <c r="N150">
        <f>IF(B150="","",IF(B150="담보",1,0))</f>
        <v/>
      </c>
      <c r="O150">
        <f>IFERROR(ABS(G150-'02_대상물건입력'!$B$11)/'02_대상물건입력'!$B$11,"")</f>
        <v/>
      </c>
      <c r="P150">
        <f>IFERROR(ABS('01_설정'!$B$4-H150),"")</f>
        <v/>
      </c>
      <c r="Q150">
        <f>IFERROR(ABS(YEAR(J150)-YEAR('02_대상물건입력'!$B$14)),"")</f>
        <v/>
      </c>
      <c r="R150">
        <f>IF(AND(G150&gt;0,H150&gt;0,I150&gt;0,N150=1,IF('01_설정'!$B$10=1,K150=1,TRUE()),O150&lt;='01_설정'!$B$5,P150&lt;='01_설정'!$B$7,Q150&lt;='01_설정'!$B$8),"Y","")</f>
        <v/>
      </c>
      <c r="S150">
        <f>IF(R150&lt;&gt;"Y","",MAX(0,(1-O150/'01_설정'!$B$5))*'01_설정'!$B$14+MAX(0,(1-P150/'01_설정'!$B$7))*'01_설정'!$B$16+MAX(0,(1-Q150/'01_설정'!$B$8))*'01_설정'!$B$17+L150*'01_설정'!$B$11+M150*'01_설정'!$B$12+N150*50)</f>
        <v/>
      </c>
      <c r="T150">
        <f>IF(S150="","",1+COUNTIFS($S$31:$S$1030,"&gt;"&amp;S150)+COUNTIFS($S$31:S150,S150)-1)</f>
        <v/>
      </c>
    </row>
    <row r="151" hidden="1" ht="16.5" customHeight="1">
      <c r="A151">
        <f>IF(COUNTA('05_KAPA'!$A122:$AO122)=0,"",124)</f>
        <v/>
      </c>
      <c r="B151">
        <f>IF($A151="","",INDEX('05_KAPA'!$B:$B,$A151))</f>
        <v/>
      </c>
      <c r="C151">
        <f>IF($A151="","",INDEX('05_KAPA'!$F:$F,$A151))</f>
        <v/>
      </c>
      <c r="D151">
        <f>IF($A151="","",INDEX('05_KAPA'!$H:$H,$A151))</f>
        <v/>
      </c>
      <c r="E151">
        <f>IF($A151="","",INDEX('05_KAPA'!$K:$K,$A151))</f>
        <v/>
      </c>
      <c r="F151">
        <f>IF($A151="","",INDEX('05_KAPA'!$L:$L,$A151))</f>
        <v/>
      </c>
      <c r="G151">
        <f>IF($A151="","",INDEX('05_KAPA'!$I:$I,$A151))</f>
        <v/>
      </c>
      <c r="H151" s="202">
        <f>IF($A151="","",INDEX('05_KAPA'!$P:$P,$A151))</f>
        <v/>
      </c>
      <c r="I151" s="118">
        <f>IF($A151="","",INDEX('05_KAPA'!$O:$O,$A151))</f>
        <v/>
      </c>
      <c r="J151" s="202">
        <f>IF($A151="","",IFERROR(DATE(LEFT(TEXT(INDEX('05_KAPA'!$T:$T,$A151),"0"),4),MID(TEXT(INDEX('05_KAPA'!$T:$T,$A151),"0"),5,2),RIGHT(TEXT(INDEX('05_KAPA'!$T:$T,$A151),"0"),2)),""))</f>
        <v/>
      </c>
      <c r="K151">
        <f>IF(C151="","",IF('02_대상물건입력'!$B$5="",1,IF(ISNUMBER(SEARCH('02_대상물건입력'!$B$5,C151)),1,0)))</f>
        <v/>
      </c>
      <c r="L151">
        <f>IF(C151="","",IF('02_대상물건입력'!$B$6="",1,IF(ISNUMBER(SEARCH('02_대상물건입력'!$B$6,C151)),1,0)))</f>
        <v/>
      </c>
      <c r="M151">
        <f>IF(E151="","",IF('02_대상물건입력'!$B$8="",0,IF(ISNUMBER(SEARCH('02_대상물건입력'!$B$8,E151)),1,0)))</f>
        <v/>
      </c>
      <c r="N151">
        <f>IF(B151="","",IF(B151="담보",1,0))</f>
        <v/>
      </c>
      <c r="O151">
        <f>IFERROR(ABS(G151-'02_대상물건입력'!$B$11)/'02_대상물건입력'!$B$11,"")</f>
        <v/>
      </c>
      <c r="P151">
        <f>IFERROR(ABS('01_설정'!$B$4-H151),"")</f>
        <v/>
      </c>
      <c r="Q151">
        <f>IFERROR(ABS(YEAR(J151)-YEAR('02_대상물건입력'!$B$14)),"")</f>
        <v/>
      </c>
      <c r="R151">
        <f>IF(AND(G151&gt;0,H151&gt;0,I151&gt;0,N151=1,IF('01_설정'!$B$10=1,K151=1,TRUE()),O151&lt;='01_설정'!$B$5,P151&lt;='01_설정'!$B$7,Q151&lt;='01_설정'!$B$8),"Y","")</f>
        <v/>
      </c>
      <c r="S151">
        <f>IF(R151&lt;&gt;"Y","",MAX(0,(1-O151/'01_설정'!$B$5))*'01_설정'!$B$14+MAX(0,(1-P151/'01_설정'!$B$7))*'01_설정'!$B$16+MAX(0,(1-Q151/'01_설정'!$B$8))*'01_설정'!$B$17+L151*'01_설정'!$B$11+M151*'01_설정'!$B$12+N151*50)</f>
        <v/>
      </c>
      <c r="T151">
        <f>IF(S151="","",1+COUNTIFS($S$31:$S$1030,"&gt;"&amp;S151)+COUNTIFS($S$31:S151,S151)-1)</f>
        <v/>
      </c>
    </row>
    <row r="152" hidden="1" ht="16.5" customHeight="1">
      <c r="A152">
        <f>IF(COUNTA('05_KAPA'!$A123:$AO123)=0,"",125)</f>
        <v/>
      </c>
      <c r="B152">
        <f>IF($A152="","",INDEX('05_KAPA'!$B:$B,$A152))</f>
        <v/>
      </c>
      <c r="C152">
        <f>IF($A152="","",INDEX('05_KAPA'!$F:$F,$A152))</f>
        <v/>
      </c>
      <c r="D152">
        <f>IF($A152="","",INDEX('05_KAPA'!$H:$H,$A152))</f>
        <v/>
      </c>
      <c r="E152">
        <f>IF($A152="","",INDEX('05_KAPA'!$K:$K,$A152))</f>
        <v/>
      </c>
      <c r="F152">
        <f>IF($A152="","",INDEX('05_KAPA'!$L:$L,$A152))</f>
        <v/>
      </c>
      <c r="G152">
        <f>IF($A152="","",INDEX('05_KAPA'!$I:$I,$A152))</f>
        <v/>
      </c>
      <c r="H152" s="202">
        <f>IF($A152="","",INDEX('05_KAPA'!$P:$P,$A152))</f>
        <v/>
      </c>
      <c r="I152" s="118">
        <f>IF($A152="","",INDEX('05_KAPA'!$O:$O,$A152))</f>
        <v/>
      </c>
      <c r="J152" s="202">
        <f>IF($A152="","",IFERROR(DATE(LEFT(TEXT(INDEX('05_KAPA'!$T:$T,$A152),"0"),4),MID(TEXT(INDEX('05_KAPA'!$T:$T,$A152),"0"),5,2),RIGHT(TEXT(INDEX('05_KAPA'!$T:$T,$A152),"0"),2)),""))</f>
        <v/>
      </c>
      <c r="K152">
        <f>IF(C152="","",IF('02_대상물건입력'!$B$5="",1,IF(ISNUMBER(SEARCH('02_대상물건입력'!$B$5,C152)),1,0)))</f>
        <v/>
      </c>
      <c r="L152">
        <f>IF(C152="","",IF('02_대상물건입력'!$B$6="",1,IF(ISNUMBER(SEARCH('02_대상물건입력'!$B$6,C152)),1,0)))</f>
        <v/>
      </c>
      <c r="M152">
        <f>IF(E152="","",IF('02_대상물건입력'!$B$8="",0,IF(ISNUMBER(SEARCH('02_대상물건입력'!$B$8,E152)),1,0)))</f>
        <v/>
      </c>
      <c r="N152">
        <f>IF(B152="","",IF(B152="담보",1,0))</f>
        <v/>
      </c>
      <c r="O152">
        <f>IFERROR(ABS(G152-'02_대상물건입력'!$B$11)/'02_대상물건입력'!$B$11,"")</f>
        <v/>
      </c>
      <c r="P152">
        <f>IFERROR(ABS('01_설정'!$B$4-H152),"")</f>
        <v/>
      </c>
      <c r="Q152">
        <f>IFERROR(ABS(YEAR(J152)-YEAR('02_대상물건입력'!$B$14)),"")</f>
        <v/>
      </c>
      <c r="R152">
        <f>IF(AND(G152&gt;0,H152&gt;0,I152&gt;0,N152=1,IF('01_설정'!$B$10=1,K152=1,TRUE()),O152&lt;='01_설정'!$B$5,P152&lt;='01_설정'!$B$7,Q152&lt;='01_설정'!$B$8),"Y","")</f>
        <v/>
      </c>
      <c r="S152">
        <f>IF(R152&lt;&gt;"Y","",MAX(0,(1-O152/'01_설정'!$B$5))*'01_설정'!$B$14+MAX(0,(1-P152/'01_설정'!$B$7))*'01_설정'!$B$16+MAX(0,(1-Q152/'01_설정'!$B$8))*'01_설정'!$B$17+L152*'01_설정'!$B$11+M152*'01_설정'!$B$12+N152*50)</f>
        <v/>
      </c>
      <c r="T152">
        <f>IF(S152="","",1+COUNTIFS($S$31:$S$1030,"&gt;"&amp;S152)+COUNTIFS($S$31:S152,S152)-1)</f>
        <v/>
      </c>
    </row>
    <row r="153" hidden="1" ht="16.5" customHeight="1">
      <c r="A153">
        <f>IF(COUNTA('05_KAPA'!$A124:$AO124)=0,"",126)</f>
        <v/>
      </c>
      <c r="B153">
        <f>IF($A153="","",INDEX('05_KAPA'!$B:$B,$A153))</f>
        <v/>
      </c>
      <c r="C153">
        <f>IF($A153="","",INDEX('05_KAPA'!$F:$F,$A153))</f>
        <v/>
      </c>
      <c r="D153">
        <f>IF($A153="","",INDEX('05_KAPA'!$H:$H,$A153))</f>
        <v/>
      </c>
      <c r="E153">
        <f>IF($A153="","",INDEX('05_KAPA'!$K:$K,$A153))</f>
        <v/>
      </c>
      <c r="F153">
        <f>IF($A153="","",INDEX('05_KAPA'!$L:$L,$A153))</f>
        <v/>
      </c>
      <c r="G153">
        <f>IF($A153="","",INDEX('05_KAPA'!$I:$I,$A153))</f>
        <v/>
      </c>
      <c r="H153" s="202">
        <f>IF($A153="","",INDEX('05_KAPA'!$P:$P,$A153))</f>
        <v/>
      </c>
      <c r="I153" s="118">
        <f>IF($A153="","",INDEX('05_KAPA'!$O:$O,$A153))</f>
        <v/>
      </c>
      <c r="J153" s="202">
        <f>IF($A153="","",IFERROR(DATE(LEFT(TEXT(INDEX('05_KAPA'!$T:$T,$A153),"0"),4),MID(TEXT(INDEX('05_KAPA'!$T:$T,$A153),"0"),5,2),RIGHT(TEXT(INDEX('05_KAPA'!$T:$T,$A153),"0"),2)),""))</f>
        <v/>
      </c>
      <c r="K153">
        <f>IF(C153="","",IF('02_대상물건입력'!$B$5="",1,IF(ISNUMBER(SEARCH('02_대상물건입력'!$B$5,C153)),1,0)))</f>
        <v/>
      </c>
      <c r="L153">
        <f>IF(C153="","",IF('02_대상물건입력'!$B$6="",1,IF(ISNUMBER(SEARCH('02_대상물건입력'!$B$6,C153)),1,0)))</f>
        <v/>
      </c>
      <c r="M153">
        <f>IF(E153="","",IF('02_대상물건입력'!$B$8="",0,IF(ISNUMBER(SEARCH('02_대상물건입력'!$B$8,E153)),1,0)))</f>
        <v/>
      </c>
      <c r="N153">
        <f>IF(B153="","",IF(B153="담보",1,0))</f>
        <v/>
      </c>
      <c r="O153">
        <f>IFERROR(ABS(G153-'02_대상물건입력'!$B$11)/'02_대상물건입력'!$B$11,"")</f>
        <v/>
      </c>
      <c r="P153">
        <f>IFERROR(ABS('01_설정'!$B$4-H153),"")</f>
        <v/>
      </c>
      <c r="Q153">
        <f>IFERROR(ABS(YEAR(J153)-YEAR('02_대상물건입력'!$B$14)),"")</f>
        <v/>
      </c>
      <c r="R153">
        <f>IF(AND(G153&gt;0,H153&gt;0,I153&gt;0,N153=1,IF('01_설정'!$B$10=1,K153=1,TRUE()),O153&lt;='01_설정'!$B$5,P153&lt;='01_설정'!$B$7,Q153&lt;='01_설정'!$B$8),"Y","")</f>
        <v/>
      </c>
      <c r="S153">
        <f>IF(R153&lt;&gt;"Y","",MAX(0,(1-O153/'01_설정'!$B$5))*'01_설정'!$B$14+MAX(0,(1-P153/'01_설정'!$B$7))*'01_설정'!$B$16+MAX(0,(1-Q153/'01_설정'!$B$8))*'01_설정'!$B$17+L153*'01_설정'!$B$11+M153*'01_설정'!$B$12+N153*50)</f>
        <v/>
      </c>
      <c r="T153">
        <f>IF(S153="","",1+COUNTIFS($S$31:$S$1030,"&gt;"&amp;S153)+COUNTIFS($S$31:S153,S153)-1)</f>
        <v/>
      </c>
    </row>
    <row r="154" hidden="1" ht="16.5" customHeight="1">
      <c r="A154">
        <f>IF(COUNTA('05_KAPA'!$A125:$AO125)=0,"",127)</f>
        <v/>
      </c>
      <c r="B154">
        <f>IF($A154="","",INDEX('05_KAPA'!$B:$B,$A154))</f>
        <v/>
      </c>
      <c r="C154">
        <f>IF($A154="","",INDEX('05_KAPA'!$F:$F,$A154))</f>
        <v/>
      </c>
      <c r="D154">
        <f>IF($A154="","",INDEX('05_KAPA'!$H:$H,$A154))</f>
        <v/>
      </c>
      <c r="E154">
        <f>IF($A154="","",INDEX('05_KAPA'!$K:$K,$A154))</f>
        <v/>
      </c>
      <c r="F154">
        <f>IF($A154="","",INDEX('05_KAPA'!$L:$L,$A154))</f>
        <v/>
      </c>
      <c r="G154">
        <f>IF($A154="","",INDEX('05_KAPA'!$I:$I,$A154))</f>
        <v/>
      </c>
      <c r="H154" s="202">
        <f>IF($A154="","",INDEX('05_KAPA'!$P:$P,$A154))</f>
        <v/>
      </c>
      <c r="I154" s="118">
        <f>IF($A154="","",INDEX('05_KAPA'!$O:$O,$A154))</f>
        <v/>
      </c>
      <c r="J154" s="202">
        <f>IF($A154="","",IFERROR(DATE(LEFT(TEXT(INDEX('05_KAPA'!$T:$T,$A154),"0"),4),MID(TEXT(INDEX('05_KAPA'!$T:$T,$A154),"0"),5,2),RIGHT(TEXT(INDEX('05_KAPA'!$T:$T,$A154),"0"),2)),""))</f>
        <v/>
      </c>
      <c r="K154">
        <f>IF(C154="","",IF('02_대상물건입력'!$B$5="",1,IF(ISNUMBER(SEARCH('02_대상물건입력'!$B$5,C154)),1,0)))</f>
        <v/>
      </c>
      <c r="L154">
        <f>IF(C154="","",IF('02_대상물건입력'!$B$6="",1,IF(ISNUMBER(SEARCH('02_대상물건입력'!$B$6,C154)),1,0)))</f>
        <v/>
      </c>
      <c r="M154">
        <f>IF(E154="","",IF('02_대상물건입력'!$B$8="",0,IF(ISNUMBER(SEARCH('02_대상물건입력'!$B$8,E154)),1,0)))</f>
        <v/>
      </c>
      <c r="N154">
        <f>IF(B154="","",IF(B154="담보",1,0))</f>
        <v/>
      </c>
      <c r="O154">
        <f>IFERROR(ABS(G154-'02_대상물건입력'!$B$11)/'02_대상물건입력'!$B$11,"")</f>
        <v/>
      </c>
      <c r="P154">
        <f>IFERROR(ABS('01_설정'!$B$4-H154),"")</f>
        <v/>
      </c>
      <c r="Q154">
        <f>IFERROR(ABS(YEAR(J154)-YEAR('02_대상물건입력'!$B$14)),"")</f>
        <v/>
      </c>
      <c r="R154">
        <f>IF(AND(G154&gt;0,H154&gt;0,I154&gt;0,N154=1,IF('01_설정'!$B$10=1,K154=1,TRUE()),O154&lt;='01_설정'!$B$5,P154&lt;='01_설정'!$B$7,Q154&lt;='01_설정'!$B$8),"Y","")</f>
        <v/>
      </c>
      <c r="S154">
        <f>IF(R154&lt;&gt;"Y","",MAX(0,(1-O154/'01_설정'!$B$5))*'01_설정'!$B$14+MAX(0,(1-P154/'01_설정'!$B$7))*'01_설정'!$B$16+MAX(0,(1-Q154/'01_설정'!$B$8))*'01_설정'!$B$17+L154*'01_설정'!$B$11+M154*'01_설정'!$B$12+N154*50)</f>
        <v/>
      </c>
      <c r="T154">
        <f>IF(S154="","",1+COUNTIFS($S$31:$S$1030,"&gt;"&amp;S154)+COUNTIFS($S$31:S154,S154)-1)</f>
        <v/>
      </c>
    </row>
    <row r="155" hidden="1" ht="16.5" customHeight="1">
      <c r="A155">
        <f>IF(COUNTA('05_KAPA'!$A126:$AO126)=0,"",128)</f>
        <v/>
      </c>
      <c r="B155">
        <f>IF($A155="","",INDEX('05_KAPA'!$B:$B,$A155))</f>
        <v/>
      </c>
      <c r="C155">
        <f>IF($A155="","",INDEX('05_KAPA'!$F:$F,$A155))</f>
        <v/>
      </c>
      <c r="D155">
        <f>IF($A155="","",INDEX('05_KAPA'!$H:$H,$A155))</f>
        <v/>
      </c>
      <c r="E155">
        <f>IF($A155="","",INDEX('05_KAPA'!$K:$K,$A155))</f>
        <v/>
      </c>
      <c r="F155">
        <f>IF($A155="","",INDEX('05_KAPA'!$L:$L,$A155))</f>
        <v/>
      </c>
      <c r="G155">
        <f>IF($A155="","",INDEX('05_KAPA'!$I:$I,$A155))</f>
        <v/>
      </c>
      <c r="H155" s="202">
        <f>IF($A155="","",INDEX('05_KAPA'!$P:$P,$A155))</f>
        <v/>
      </c>
      <c r="I155" s="118">
        <f>IF($A155="","",INDEX('05_KAPA'!$O:$O,$A155))</f>
        <v/>
      </c>
      <c r="J155" s="202">
        <f>IF($A155="","",IFERROR(DATE(LEFT(TEXT(INDEX('05_KAPA'!$T:$T,$A155),"0"),4),MID(TEXT(INDEX('05_KAPA'!$T:$T,$A155),"0"),5,2),RIGHT(TEXT(INDEX('05_KAPA'!$T:$T,$A155),"0"),2)),""))</f>
        <v/>
      </c>
      <c r="K155">
        <f>IF(C155="","",IF('02_대상물건입력'!$B$5="",1,IF(ISNUMBER(SEARCH('02_대상물건입력'!$B$5,C155)),1,0)))</f>
        <v/>
      </c>
      <c r="L155">
        <f>IF(C155="","",IF('02_대상물건입력'!$B$6="",1,IF(ISNUMBER(SEARCH('02_대상물건입력'!$B$6,C155)),1,0)))</f>
        <v/>
      </c>
      <c r="M155">
        <f>IF(E155="","",IF('02_대상물건입력'!$B$8="",0,IF(ISNUMBER(SEARCH('02_대상물건입력'!$B$8,E155)),1,0)))</f>
        <v/>
      </c>
      <c r="N155">
        <f>IF(B155="","",IF(B155="담보",1,0))</f>
        <v/>
      </c>
      <c r="O155">
        <f>IFERROR(ABS(G155-'02_대상물건입력'!$B$11)/'02_대상물건입력'!$B$11,"")</f>
        <v/>
      </c>
      <c r="P155">
        <f>IFERROR(ABS('01_설정'!$B$4-H155),"")</f>
        <v/>
      </c>
      <c r="Q155">
        <f>IFERROR(ABS(YEAR(J155)-YEAR('02_대상물건입력'!$B$14)),"")</f>
        <v/>
      </c>
      <c r="R155">
        <f>IF(AND(G155&gt;0,H155&gt;0,I155&gt;0,N155=1,IF('01_설정'!$B$10=1,K155=1,TRUE()),O155&lt;='01_설정'!$B$5,P155&lt;='01_설정'!$B$7,Q155&lt;='01_설정'!$B$8),"Y","")</f>
        <v/>
      </c>
      <c r="S155">
        <f>IF(R155&lt;&gt;"Y","",MAX(0,(1-O155/'01_설정'!$B$5))*'01_설정'!$B$14+MAX(0,(1-P155/'01_설정'!$B$7))*'01_설정'!$B$16+MAX(0,(1-Q155/'01_설정'!$B$8))*'01_설정'!$B$17+L155*'01_설정'!$B$11+M155*'01_설정'!$B$12+N155*50)</f>
        <v/>
      </c>
      <c r="T155">
        <f>IF(S155="","",1+COUNTIFS($S$31:$S$1030,"&gt;"&amp;S155)+COUNTIFS($S$31:S155,S155)-1)</f>
        <v/>
      </c>
    </row>
    <row r="156" hidden="1" ht="16.5" customHeight="1">
      <c r="A156">
        <f>IF(COUNTA('05_KAPA'!$A127:$AO127)=0,"",129)</f>
        <v/>
      </c>
      <c r="B156">
        <f>IF($A156="","",INDEX('05_KAPA'!$B:$B,$A156))</f>
        <v/>
      </c>
      <c r="C156">
        <f>IF($A156="","",INDEX('05_KAPA'!$F:$F,$A156))</f>
        <v/>
      </c>
      <c r="D156">
        <f>IF($A156="","",INDEX('05_KAPA'!$H:$H,$A156))</f>
        <v/>
      </c>
      <c r="E156">
        <f>IF($A156="","",INDEX('05_KAPA'!$K:$K,$A156))</f>
        <v/>
      </c>
      <c r="F156">
        <f>IF($A156="","",INDEX('05_KAPA'!$L:$L,$A156))</f>
        <v/>
      </c>
      <c r="G156">
        <f>IF($A156="","",INDEX('05_KAPA'!$I:$I,$A156))</f>
        <v/>
      </c>
      <c r="H156" s="202">
        <f>IF($A156="","",INDEX('05_KAPA'!$P:$P,$A156))</f>
        <v/>
      </c>
      <c r="I156" s="118">
        <f>IF($A156="","",INDEX('05_KAPA'!$O:$O,$A156))</f>
        <v/>
      </c>
      <c r="J156" s="202">
        <f>IF($A156="","",IFERROR(DATE(LEFT(TEXT(INDEX('05_KAPA'!$T:$T,$A156),"0"),4),MID(TEXT(INDEX('05_KAPA'!$T:$T,$A156),"0"),5,2),RIGHT(TEXT(INDEX('05_KAPA'!$T:$T,$A156),"0"),2)),""))</f>
        <v/>
      </c>
      <c r="K156">
        <f>IF(C156="","",IF('02_대상물건입력'!$B$5="",1,IF(ISNUMBER(SEARCH('02_대상물건입력'!$B$5,C156)),1,0)))</f>
        <v/>
      </c>
      <c r="L156">
        <f>IF(C156="","",IF('02_대상물건입력'!$B$6="",1,IF(ISNUMBER(SEARCH('02_대상물건입력'!$B$6,C156)),1,0)))</f>
        <v/>
      </c>
      <c r="M156">
        <f>IF(E156="","",IF('02_대상물건입력'!$B$8="",0,IF(ISNUMBER(SEARCH('02_대상물건입력'!$B$8,E156)),1,0)))</f>
        <v/>
      </c>
      <c r="N156">
        <f>IF(B156="","",IF(B156="담보",1,0))</f>
        <v/>
      </c>
      <c r="O156">
        <f>IFERROR(ABS(G156-'02_대상물건입력'!$B$11)/'02_대상물건입력'!$B$11,"")</f>
        <v/>
      </c>
      <c r="P156">
        <f>IFERROR(ABS('01_설정'!$B$4-H156),"")</f>
        <v/>
      </c>
      <c r="Q156">
        <f>IFERROR(ABS(YEAR(J156)-YEAR('02_대상물건입력'!$B$14)),"")</f>
        <v/>
      </c>
      <c r="R156">
        <f>IF(AND(G156&gt;0,H156&gt;0,I156&gt;0,N156=1,IF('01_설정'!$B$10=1,K156=1,TRUE()),O156&lt;='01_설정'!$B$5,P156&lt;='01_설정'!$B$7,Q156&lt;='01_설정'!$B$8),"Y","")</f>
        <v/>
      </c>
      <c r="S156">
        <f>IF(R156&lt;&gt;"Y","",MAX(0,(1-O156/'01_설정'!$B$5))*'01_설정'!$B$14+MAX(0,(1-P156/'01_설정'!$B$7))*'01_설정'!$B$16+MAX(0,(1-Q156/'01_설정'!$B$8))*'01_설정'!$B$17+L156*'01_설정'!$B$11+M156*'01_설정'!$B$12+N156*50)</f>
        <v/>
      </c>
      <c r="T156">
        <f>IF(S156="","",1+COUNTIFS($S$31:$S$1030,"&gt;"&amp;S156)+COUNTIFS($S$31:S156,S156)-1)</f>
        <v/>
      </c>
    </row>
    <row r="157" hidden="1" ht="16.5" customHeight="1">
      <c r="A157">
        <f>IF(COUNTA('05_KAPA'!$A128:$AO128)=0,"",130)</f>
        <v/>
      </c>
      <c r="B157">
        <f>IF($A157="","",INDEX('05_KAPA'!$B:$B,$A157))</f>
        <v/>
      </c>
      <c r="C157">
        <f>IF($A157="","",INDEX('05_KAPA'!$F:$F,$A157))</f>
        <v/>
      </c>
      <c r="D157">
        <f>IF($A157="","",INDEX('05_KAPA'!$H:$H,$A157))</f>
        <v/>
      </c>
      <c r="E157">
        <f>IF($A157="","",INDEX('05_KAPA'!$K:$K,$A157))</f>
        <v/>
      </c>
      <c r="F157">
        <f>IF($A157="","",INDEX('05_KAPA'!$L:$L,$A157))</f>
        <v/>
      </c>
      <c r="G157">
        <f>IF($A157="","",INDEX('05_KAPA'!$I:$I,$A157))</f>
        <v/>
      </c>
      <c r="H157" s="202">
        <f>IF($A157="","",INDEX('05_KAPA'!$P:$P,$A157))</f>
        <v/>
      </c>
      <c r="I157" s="118">
        <f>IF($A157="","",INDEX('05_KAPA'!$O:$O,$A157))</f>
        <v/>
      </c>
      <c r="J157" s="202">
        <f>IF($A157="","",IFERROR(DATE(LEFT(TEXT(INDEX('05_KAPA'!$T:$T,$A157),"0"),4),MID(TEXT(INDEX('05_KAPA'!$T:$T,$A157),"0"),5,2),RIGHT(TEXT(INDEX('05_KAPA'!$T:$T,$A157),"0"),2)),""))</f>
        <v/>
      </c>
      <c r="K157">
        <f>IF(C157="","",IF('02_대상물건입력'!$B$5="",1,IF(ISNUMBER(SEARCH('02_대상물건입력'!$B$5,C157)),1,0)))</f>
        <v/>
      </c>
      <c r="L157">
        <f>IF(C157="","",IF('02_대상물건입력'!$B$6="",1,IF(ISNUMBER(SEARCH('02_대상물건입력'!$B$6,C157)),1,0)))</f>
        <v/>
      </c>
      <c r="M157">
        <f>IF(E157="","",IF('02_대상물건입력'!$B$8="",0,IF(ISNUMBER(SEARCH('02_대상물건입력'!$B$8,E157)),1,0)))</f>
        <v/>
      </c>
      <c r="N157">
        <f>IF(B157="","",IF(B157="담보",1,0))</f>
        <v/>
      </c>
      <c r="O157">
        <f>IFERROR(ABS(G157-'02_대상물건입력'!$B$11)/'02_대상물건입력'!$B$11,"")</f>
        <v/>
      </c>
      <c r="P157">
        <f>IFERROR(ABS('01_설정'!$B$4-H157),"")</f>
        <v/>
      </c>
      <c r="Q157">
        <f>IFERROR(ABS(YEAR(J157)-YEAR('02_대상물건입력'!$B$14)),"")</f>
        <v/>
      </c>
      <c r="R157">
        <f>IF(AND(G157&gt;0,H157&gt;0,I157&gt;0,N157=1,IF('01_설정'!$B$10=1,K157=1,TRUE()),O157&lt;='01_설정'!$B$5,P157&lt;='01_설정'!$B$7,Q157&lt;='01_설정'!$B$8),"Y","")</f>
        <v/>
      </c>
      <c r="S157">
        <f>IF(R157&lt;&gt;"Y","",MAX(0,(1-O157/'01_설정'!$B$5))*'01_설정'!$B$14+MAX(0,(1-P157/'01_설정'!$B$7))*'01_설정'!$B$16+MAX(0,(1-Q157/'01_설정'!$B$8))*'01_설정'!$B$17+L157*'01_설정'!$B$11+M157*'01_설정'!$B$12+N157*50)</f>
        <v/>
      </c>
      <c r="T157">
        <f>IF(S157="","",1+COUNTIFS($S$31:$S$1030,"&gt;"&amp;S157)+COUNTIFS($S$31:S157,S157)-1)</f>
        <v/>
      </c>
    </row>
    <row r="158" hidden="1" ht="16.5" customHeight="1">
      <c r="A158">
        <f>IF(COUNTA('05_KAPA'!$A129:$AO129)=0,"",131)</f>
        <v/>
      </c>
      <c r="B158">
        <f>IF($A158="","",INDEX('05_KAPA'!$B:$B,$A158))</f>
        <v/>
      </c>
      <c r="C158">
        <f>IF($A158="","",INDEX('05_KAPA'!$F:$F,$A158))</f>
        <v/>
      </c>
      <c r="D158">
        <f>IF($A158="","",INDEX('05_KAPA'!$H:$H,$A158))</f>
        <v/>
      </c>
      <c r="E158">
        <f>IF($A158="","",INDEX('05_KAPA'!$K:$K,$A158))</f>
        <v/>
      </c>
      <c r="F158">
        <f>IF($A158="","",INDEX('05_KAPA'!$L:$L,$A158))</f>
        <v/>
      </c>
      <c r="G158">
        <f>IF($A158="","",INDEX('05_KAPA'!$I:$I,$A158))</f>
        <v/>
      </c>
      <c r="H158" s="202">
        <f>IF($A158="","",INDEX('05_KAPA'!$P:$P,$A158))</f>
        <v/>
      </c>
      <c r="I158" s="118">
        <f>IF($A158="","",INDEX('05_KAPA'!$O:$O,$A158))</f>
        <v/>
      </c>
      <c r="J158" s="202">
        <f>IF($A158="","",IFERROR(DATE(LEFT(TEXT(INDEX('05_KAPA'!$T:$T,$A158),"0"),4),MID(TEXT(INDEX('05_KAPA'!$T:$T,$A158),"0"),5,2),RIGHT(TEXT(INDEX('05_KAPA'!$T:$T,$A158),"0"),2)),""))</f>
        <v/>
      </c>
      <c r="K158">
        <f>IF(C158="","",IF('02_대상물건입력'!$B$5="",1,IF(ISNUMBER(SEARCH('02_대상물건입력'!$B$5,C158)),1,0)))</f>
        <v/>
      </c>
      <c r="L158">
        <f>IF(C158="","",IF('02_대상물건입력'!$B$6="",1,IF(ISNUMBER(SEARCH('02_대상물건입력'!$B$6,C158)),1,0)))</f>
        <v/>
      </c>
      <c r="M158">
        <f>IF(E158="","",IF('02_대상물건입력'!$B$8="",0,IF(ISNUMBER(SEARCH('02_대상물건입력'!$B$8,E158)),1,0)))</f>
        <v/>
      </c>
      <c r="N158">
        <f>IF(B158="","",IF(B158="담보",1,0))</f>
        <v/>
      </c>
      <c r="O158">
        <f>IFERROR(ABS(G158-'02_대상물건입력'!$B$11)/'02_대상물건입력'!$B$11,"")</f>
        <v/>
      </c>
      <c r="P158">
        <f>IFERROR(ABS('01_설정'!$B$4-H158),"")</f>
        <v/>
      </c>
      <c r="Q158">
        <f>IFERROR(ABS(YEAR(J158)-YEAR('02_대상물건입력'!$B$14)),"")</f>
        <v/>
      </c>
      <c r="R158">
        <f>IF(AND(G158&gt;0,H158&gt;0,I158&gt;0,N158=1,IF('01_설정'!$B$10=1,K158=1,TRUE()),O158&lt;='01_설정'!$B$5,P158&lt;='01_설정'!$B$7,Q158&lt;='01_설정'!$B$8),"Y","")</f>
        <v/>
      </c>
      <c r="S158">
        <f>IF(R158&lt;&gt;"Y","",MAX(0,(1-O158/'01_설정'!$B$5))*'01_설정'!$B$14+MAX(0,(1-P158/'01_설정'!$B$7))*'01_설정'!$B$16+MAX(0,(1-Q158/'01_설정'!$B$8))*'01_설정'!$B$17+L158*'01_설정'!$B$11+M158*'01_설정'!$B$12+N158*50)</f>
        <v/>
      </c>
      <c r="T158">
        <f>IF(S158="","",1+COUNTIFS($S$31:$S$1030,"&gt;"&amp;S158)+COUNTIFS($S$31:S158,S158)-1)</f>
        <v/>
      </c>
    </row>
    <row r="159" hidden="1" ht="16.5" customHeight="1">
      <c r="A159">
        <f>IF(COUNTA('05_KAPA'!$A130:$AO130)=0,"",132)</f>
        <v/>
      </c>
      <c r="B159">
        <f>IF($A159="","",INDEX('05_KAPA'!$B:$B,$A159))</f>
        <v/>
      </c>
      <c r="C159">
        <f>IF($A159="","",INDEX('05_KAPA'!$F:$F,$A159))</f>
        <v/>
      </c>
      <c r="D159">
        <f>IF($A159="","",INDEX('05_KAPA'!$H:$H,$A159))</f>
        <v/>
      </c>
      <c r="E159">
        <f>IF($A159="","",INDEX('05_KAPA'!$K:$K,$A159))</f>
        <v/>
      </c>
      <c r="F159">
        <f>IF($A159="","",INDEX('05_KAPA'!$L:$L,$A159))</f>
        <v/>
      </c>
      <c r="G159">
        <f>IF($A159="","",INDEX('05_KAPA'!$I:$I,$A159))</f>
        <v/>
      </c>
      <c r="H159" s="202">
        <f>IF($A159="","",INDEX('05_KAPA'!$P:$P,$A159))</f>
        <v/>
      </c>
      <c r="I159" s="118">
        <f>IF($A159="","",INDEX('05_KAPA'!$O:$O,$A159))</f>
        <v/>
      </c>
      <c r="J159" s="202">
        <f>IF($A159="","",IFERROR(DATE(LEFT(TEXT(INDEX('05_KAPA'!$T:$T,$A159),"0"),4),MID(TEXT(INDEX('05_KAPA'!$T:$T,$A159),"0"),5,2),RIGHT(TEXT(INDEX('05_KAPA'!$T:$T,$A159),"0"),2)),""))</f>
        <v/>
      </c>
      <c r="K159">
        <f>IF(C159="","",IF('02_대상물건입력'!$B$5="",1,IF(ISNUMBER(SEARCH('02_대상물건입력'!$B$5,C159)),1,0)))</f>
        <v/>
      </c>
      <c r="L159">
        <f>IF(C159="","",IF('02_대상물건입력'!$B$6="",1,IF(ISNUMBER(SEARCH('02_대상물건입력'!$B$6,C159)),1,0)))</f>
        <v/>
      </c>
      <c r="M159">
        <f>IF(E159="","",IF('02_대상물건입력'!$B$8="",0,IF(ISNUMBER(SEARCH('02_대상물건입력'!$B$8,E159)),1,0)))</f>
        <v/>
      </c>
      <c r="N159">
        <f>IF(B159="","",IF(B159="담보",1,0))</f>
        <v/>
      </c>
      <c r="O159">
        <f>IFERROR(ABS(G159-'02_대상물건입력'!$B$11)/'02_대상물건입력'!$B$11,"")</f>
        <v/>
      </c>
      <c r="P159">
        <f>IFERROR(ABS('01_설정'!$B$4-H159),"")</f>
        <v/>
      </c>
      <c r="Q159">
        <f>IFERROR(ABS(YEAR(J159)-YEAR('02_대상물건입력'!$B$14)),"")</f>
        <v/>
      </c>
      <c r="R159">
        <f>IF(AND(G159&gt;0,H159&gt;0,I159&gt;0,N159=1,IF('01_설정'!$B$10=1,K159=1,TRUE()),O159&lt;='01_설정'!$B$5,P159&lt;='01_설정'!$B$7,Q159&lt;='01_설정'!$B$8),"Y","")</f>
        <v/>
      </c>
      <c r="S159">
        <f>IF(R159&lt;&gt;"Y","",MAX(0,(1-O159/'01_설정'!$B$5))*'01_설정'!$B$14+MAX(0,(1-P159/'01_설정'!$B$7))*'01_설정'!$B$16+MAX(0,(1-Q159/'01_설정'!$B$8))*'01_설정'!$B$17+L159*'01_설정'!$B$11+M159*'01_설정'!$B$12+N159*50)</f>
        <v/>
      </c>
      <c r="T159">
        <f>IF(S159="","",1+COUNTIFS($S$31:$S$1030,"&gt;"&amp;S159)+COUNTIFS($S$31:S159,S159)-1)</f>
        <v/>
      </c>
    </row>
    <row r="160" hidden="1" ht="16.5" customHeight="1">
      <c r="A160">
        <f>IF(COUNTA('05_KAPA'!$A131:$AO131)=0,"",133)</f>
        <v/>
      </c>
      <c r="B160">
        <f>IF($A160="","",INDEX('05_KAPA'!$B:$B,$A160))</f>
        <v/>
      </c>
      <c r="C160">
        <f>IF($A160="","",INDEX('05_KAPA'!$F:$F,$A160))</f>
        <v/>
      </c>
      <c r="D160">
        <f>IF($A160="","",INDEX('05_KAPA'!$H:$H,$A160))</f>
        <v/>
      </c>
      <c r="E160">
        <f>IF($A160="","",INDEX('05_KAPA'!$K:$K,$A160))</f>
        <v/>
      </c>
      <c r="F160">
        <f>IF($A160="","",INDEX('05_KAPA'!$L:$L,$A160))</f>
        <v/>
      </c>
      <c r="G160">
        <f>IF($A160="","",INDEX('05_KAPA'!$I:$I,$A160))</f>
        <v/>
      </c>
      <c r="H160" s="202">
        <f>IF($A160="","",INDEX('05_KAPA'!$P:$P,$A160))</f>
        <v/>
      </c>
      <c r="I160" s="118">
        <f>IF($A160="","",INDEX('05_KAPA'!$O:$O,$A160))</f>
        <v/>
      </c>
      <c r="J160" s="202">
        <f>IF($A160="","",IFERROR(DATE(LEFT(TEXT(INDEX('05_KAPA'!$T:$T,$A160),"0"),4),MID(TEXT(INDEX('05_KAPA'!$T:$T,$A160),"0"),5,2),RIGHT(TEXT(INDEX('05_KAPA'!$T:$T,$A160),"0"),2)),""))</f>
        <v/>
      </c>
      <c r="K160">
        <f>IF(C160="","",IF('02_대상물건입력'!$B$5="",1,IF(ISNUMBER(SEARCH('02_대상물건입력'!$B$5,C160)),1,0)))</f>
        <v/>
      </c>
      <c r="L160">
        <f>IF(C160="","",IF('02_대상물건입력'!$B$6="",1,IF(ISNUMBER(SEARCH('02_대상물건입력'!$B$6,C160)),1,0)))</f>
        <v/>
      </c>
      <c r="M160">
        <f>IF(E160="","",IF('02_대상물건입력'!$B$8="",0,IF(ISNUMBER(SEARCH('02_대상물건입력'!$B$8,E160)),1,0)))</f>
        <v/>
      </c>
      <c r="N160">
        <f>IF(B160="","",IF(B160="담보",1,0))</f>
        <v/>
      </c>
      <c r="O160">
        <f>IFERROR(ABS(G160-'02_대상물건입력'!$B$11)/'02_대상물건입력'!$B$11,"")</f>
        <v/>
      </c>
      <c r="P160">
        <f>IFERROR(ABS('01_설정'!$B$4-H160),"")</f>
        <v/>
      </c>
      <c r="Q160">
        <f>IFERROR(ABS(YEAR(J160)-YEAR('02_대상물건입력'!$B$14)),"")</f>
        <v/>
      </c>
      <c r="R160">
        <f>IF(AND(G160&gt;0,H160&gt;0,I160&gt;0,N160=1,IF('01_설정'!$B$10=1,K160=1,TRUE()),O160&lt;='01_설정'!$B$5,P160&lt;='01_설정'!$B$7,Q160&lt;='01_설정'!$B$8),"Y","")</f>
        <v/>
      </c>
      <c r="S160">
        <f>IF(R160&lt;&gt;"Y","",MAX(0,(1-O160/'01_설정'!$B$5))*'01_설정'!$B$14+MAX(0,(1-P160/'01_설정'!$B$7))*'01_설정'!$B$16+MAX(0,(1-Q160/'01_설정'!$B$8))*'01_설정'!$B$17+L160*'01_설정'!$B$11+M160*'01_설정'!$B$12+N160*50)</f>
        <v/>
      </c>
      <c r="T160">
        <f>IF(S160="","",1+COUNTIFS($S$31:$S$1030,"&gt;"&amp;S160)+COUNTIFS($S$31:S160,S160)-1)</f>
        <v/>
      </c>
    </row>
    <row r="161" hidden="1" ht="16.5" customHeight="1">
      <c r="A161">
        <f>IF(COUNTA('05_KAPA'!$A132:$AO132)=0,"",134)</f>
        <v/>
      </c>
      <c r="B161">
        <f>IF($A161="","",INDEX('05_KAPA'!$B:$B,$A161))</f>
        <v/>
      </c>
      <c r="C161">
        <f>IF($A161="","",INDEX('05_KAPA'!$F:$F,$A161))</f>
        <v/>
      </c>
      <c r="D161">
        <f>IF($A161="","",INDEX('05_KAPA'!$H:$H,$A161))</f>
        <v/>
      </c>
      <c r="E161">
        <f>IF($A161="","",INDEX('05_KAPA'!$K:$K,$A161))</f>
        <v/>
      </c>
      <c r="F161">
        <f>IF($A161="","",INDEX('05_KAPA'!$L:$L,$A161))</f>
        <v/>
      </c>
      <c r="G161">
        <f>IF($A161="","",INDEX('05_KAPA'!$I:$I,$A161))</f>
        <v/>
      </c>
      <c r="H161" s="202">
        <f>IF($A161="","",INDEX('05_KAPA'!$P:$P,$A161))</f>
        <v/>
      </c>
      <c r="I161" s="118">
        <f>IF($A161="","",INDEX('05_KAPA'!$O:$O,$A161))</f>
        <v/>
      </c>
      <c r="J161" s="202">
        <f>IF($A161="","",IFERROR(DATE(LEFT(TEXT(INDEX('05_KAPA'!$T:$T,$A161),"0"),4),MID(TEXT(INDEX('05_KAPA'!$T:$T,$A161),"0"),5,2),RIGHT(TEXT(INDEX('05_KAPA'!$T:$T,$A161),"0"),2)),""))</f>
        <v/>
      </c>
      <c r="K161">
        <f>IF(C161="","",IF('02_대상물건입력'!$B$5="",1,IF(ISNUMBER(SEARCH('02_대상물건입력'!$B$5,C161)),1,0)))</f>
        <v/>
      </c>
      <c r="L161">
        <f>IF(C161="","",IF('02_대상물건입력'!$B$6="",1,IF(ISNUMBER(SEARCH('02_대상물건입력'!$B$6,C161)),1,0)))</f>
        <v/>
      </c>
      <c r="M161">
        <f>IF(E161="","",IF('02_대상물건입력'!$B$8="",0,IF(ISNUMBER(SEARCH('02_대상물건입력'!$B$8,E161)),1,0)))</f>
        <v/>
      </c>
      <c r="N161">
        <f>IF(B161="","",IF(B161="담보",1,0))</f>
        <v/>
      </c>
      <c r="O161">
        <f>IFERROR(ABS(G161-'02_대상물건입력'!$B$11)/'02_대상물건입력'!$B$11,"")</f>
        <v/>
      </c>
      <c r="P161">
        <f>IFERROR(ABS('01_설정'!$B$4-H161),"")</f>
        <v/>
      </c>
      <c r="Q161">
        <f>IFERROR(ABS(YEAR(J161)-YEAR('02_대상물건입력'!$B$14)),"")</f>
        <v/>
      </c>
      <c r="R161">
        <f>IF(AND(G161&gt;0,H161&gt;0,I161&gt;0,N161=1,IF('01_설정'!$B$10=1,K161=1,TRUE()),O161&lt;='01_설정'!$B$5,P161&lt;='01_설정'!$B$7,Q161&lt;='01_설정'!$B$8),"Y","")</f>
        <v/>
      </c>
      <c r="S161">
        <f>IF(R161&lt;&gt;"Y","",MAX(0,(1-O161/'01_설정'!$B$5))*'01_설정'!$B$14+MAX(0,(1-P161/'01_설정'!$B$7))*'01_설정'!$B$16+MAX(0,(1-Q161/'01_설정'!$B$8))*'01_설정'!$B$17+L161*'01_설정'!$B$11+M161*'01_설정'!$B$12+N161*50)</f>
        <v/>
      </c>
      <c r="T161">
        <f>IF(S161="","",1+COUNTIFS($S$31:$S$1030,"&gt;"&amp;S161)+COUNTIFS($S$31:S161,S161)-1)</f>
        <v/>
      </c>
    </row>
    <row r="162" hidden="1" ht="16.5" customHeight="1">
      <c r="A162">
        <f>IF(COUNTA('05_KAPA'!$A133:$AO133)=0,"",135)</f>
        <v/>
      </c>
      <c r="B162">
        <f>IF($A162="","",INDEX('05_KAPA'!$B:$B,$A162))</f>
        <v/>
      </c>
      <c r="C162">
        <f>IF($A162="","",INDEX('05_KAPA'!$F:$F,$A162))</f>
        <v/>
      </c>
      <c r="D162">
        <f>IF($A162="","",INDEX('05_KAPA'!$H:$H,$A162))</f>
        <v/>
      </c>
      <c r="E162">
        <f>IF($A162="","",INDEX('05_KAPA'!$K:$K,$A162))</f>
        <v/>
      </c>
      <c r="F162">
        <f>IF($A162="","",INDEX('05_KAPA'!$L:$L,$A162))</f>
        <v/>
      </c>
      <c r="G162">
        <f>IF($A162="","",INDEX('05_KAPA'!$I:$I,$A162))</f>
        <v/>
      </c>
      <c r="H162" s="202">
        <f>IF($A162="","",INDEX('05_KAPA'!$P:$P,$A162))</f>
        <v/>
      </c>
      <c r="I162" s="118">
        <f>IF($A162="","",INDEX('05_KAPA'!$O:$O,$A162))</f>
        <v/>
      </c>
      <c r="J162" s="202">
        <f>IF($A162="","",IFERROR(DATE(LEFT(TEXT(INDEX('05_KAPA'!$T:$T,$A162),"0"),4),MID(TEXT(INDEX('05_KAPA'!$T:$T,$A162),"0"),5,2),RIGHT(TEXT(INDEX('05_KAPA'!$T:$T,$A162),"0"),2)),""))</f>
        <v/>
      </c>
      <c r="K162">
        <f>IF(C162="","",IF('02_대상물건입력'!$B$5="",1,IF(ISNUMBER(SEARCH('02_대상물건입력'!$B$5,C162)),1,0)))</f>
        <v/>
      </c>
      <c r="L162">
        <f>IF(C162="","",IF('02_대상물건입력'!$B$6="",1,IF(ISNUMBER(SEARCH('02_대상물건입력'!$B$6,C162)),1,0)))</f>
        <v/>
      </c>
      <c r="M162">
        <f>IF(E162="","",IF('02_대상물건입력'!$B$8="",0,IF(ISNUMBER(SEARCH('02_대상물건입력'!$B$8,E162)),1,0)))</f>
        <v/>
      </c>
      <c r="N162">
        <f>IF(B162="","",IF(B162="담보",1,0))</f>
        <v/>
      </c>
      <c r="O162">
        <f>IFERROR(ABS(G162-'02_대상물건입력'!$B$11)/'02_대상물건입력'!$B$11,"")</f>
        <v/>
      </c>
      <c r="P162">
        <f>IFERROR(ABS('01_설정'!$B$4-H162),"")</f>
        <v/>
      </c>
      <c r="Q162">
        <f>IFERROR(ABS(YEAR(J162)-YEAR('02_대상물건입력'!$B$14)),"")</f>
        <v/>
      </c>
      <c r="R162">
        <f>IF(AND(G162&gt;0,H162&gt;0,I162&gt;0,N162=1,IF('01_설정'!$B$10=1,K162=1,TRUE()),O162&lt;='01_설정'!$B$5,P162&lt;='01_설정'!$B$7,Q162&lt;='01_설정'!$B$8),"Y","")</f>
        <v/>
      </c>
      <c r="S162">
        <f>IF(R162&lt;&gt;"Y","",MAX(0,(1-O162/'01_설정'!$B$5))*'01_설정'!$B$14+MAX(0,(1-P162/'01_설정'!$B$7))*'01_설정'!$B$16+MAX(0,(1-Q162/'01_설정'!$B$8))*'01_설정'!$B$17+L162*'01_설정'!$B$11+M162*'01_설정'!$B$12+N162*50)</f>
        <v/>
      </c>
      <c r="T162">
        <f>IF(S162="","",1+COUNTIFS($S$31:$S$1030,"&gt;"&amp;S162)+COUNTIFS($S$31:S162,S162)-1)</f>
        <v/>
      </c>
    </row>
    <row r="163" hidden="1" ht="16.5" customHeight="1">
      <c r="A163">
        <f>IF(COUNTA('05_KAPA'!$A134:$AO134)=0,"",136)</f>
        <v/>
      </c>
      <c r="B163">
        <f>IF($A163="","",INDEX('05_KAPA'!$B:$B,$A163))</f>
        <v/>
      </c>
      <c r="C163">
        <f>IF($A163="","",INDEX('05_KAPA'!$F:$F,$A163))</f>
        <v/>
      </c>
      <c r="D163">
        <f>IF($A163="","",INDEX('05_KAPA'!$H:$H,$A163))</f>
        <v/>
      </c>
      <c r="E163">
        <f>IF($A163="","",INDEX('05_KAPA'!$K:$K,$A163))</f>
        <v/>
      </c>
      <c r="F163">
        <f>IF($A163="","",INDEX('05_KAPA'!$L:$L,$A163))</f>
        <v/>
      </c>
      <c r="G163">
        <f>IF($A163="","",INDEX('05_KAPA'!$I:$I,$A163))</f>
        <v/>
      </c>
      <c r="H163" s="202">
        <f>IF($A163="","",INDEX('05_KAPA'!$P:$P,$A163))</f>
        <v/>
      </c>
      <c r="I163" s="118">
        <f>IF($A163="","",INDEX('05_KAPA'!$O:$O,$A163))</f>
        <v/>
      </c>
      <c r="J163" s="202">
        <f>IF($A163="","",IFERROR(DATE(LEFT(TEXT(INDEX('05_KAPA'!$T:$T,$A163),"0"),4),MID(TEXT(INDEX('05_KAPA'!$T:$T,$A163),"0"),5,2),RIGHT(TEXT(INDEX('05_KAPA'!$T:$T,$A163),"0"),2)),""))</f>
        <v/>
      </c>
      <c r="K163">
        <f>IF(C163="","",IF('02_대상물건입력'!$B$5="",1,IF(ISNUMBER(SEARCH('02_대상물건입력'!$B$5,C163)),1,0)))</f>
        <v/>
      </c>
      <c r="L163">
        <f>IF(C163="","",IF('02_대상물건입력'!$B$6="",1,IF(ISNUMBER(SEARCH('02_대상물건입력'!$B$6,C163)),1,0)))</f>
        <v/>
      </c>
      <c r="M163">
        <f>IF(E163="","",IF('02_대상물건입력'!$B$8="",0,IF(ISNUMBER(SEARCH('02_대상물건입력'!$B$8,E163)),1,0)))</f>
        <v/>
      </c>
      <c r="N163">
        <f>IF(B163="","",IF(B163="담보",1,0))</f>
        <v/>
      </c>
      <c r="O163">
        <f>IFERROR(ABS(G163-'02_대상물건입력'!$B$11)/'02_대상물건입력'!$B$11,"")</f>
        <v/>
      </c>
      <c r="P163">
        <f>IFERROR(ABS('01_설정'!$B$4-H163),"")</f>
        <v/>
      </c>
      <c r="Q163">
        <f>IFERROR(ABS(YEAR(J163)-YEAR('02_대상물건입력'!$B$14)),"")</f>
        <v/>
      </c>
      <c r="R163">
        <f>IF(AND(G163&gt;0,H163&gt;0,I163&gt;0,N163=1,IF('01_설정'!$B$10=1,K163=1,TRUE()),O163&lt;='01_설정'!$B$5,P163&lt;='01_설정'!$B$7,Q163&lt;='01_설정'!$B$8),"Y","")</f>
        <v/>
      </c>
      <c r="S163">
        <f>IF(R163&lt;&gt;"Y","",MAX(0,(1-O163/'01_설정'!$B$5))*'01_설정'!$B$14+MAX(0,(1-P163/'01_설정'!$B$7))*'01_설정'!$B$16+MAX(0,(1-Q163/'01_설정'!$B$8))*'01_설정'!$B$17+L163*'01_설정'!$B$11+M163*'01_설정'!$B$12+N163*50)</f>
        <v/>
      </c>
      <c r="T163">
        <f>IF(S163="","",1+COUNTIFS($S$31:$S$1030,"&gt;"&amp;S163)+COUNTIFS($S$31:S163,S163)-1)</f>
        <v/>
      </c>
    </row>
    <row r="164" hidden="1" ht="16.5" customHeight="1">
      <c r="A164">
        <f>IF(COUNTA('05_KAPA'!$A135:$AO135)=0,"",137)</f>
        <v/>
      </c>
      <c r="B164">
        <f>IF($A164="","",INDEX('05_KAPA'!$B:$B,$A164))</f>
        <v/>
      </c>
      <c r="C164">
        <f>IF($A164="","",INDEX('05_KAPA'!$F:$F,$A164))</f>
        <v/>
      </c>
      <c r="D164">
        <f>IF($A164="","",INDEX('05_KAPA'!$H:$H,$A164))</f>
        <v/>
      </c>
      <c r="E164">
        <f>IF($A164="","",INDEX('05_KAPA'!$K:$K,$A164))</f>
        <v/>
      </c>
      <c r="F164">
        <f>IF($A164="","",INDEX('05_KAPA'!$L:$L,$A164))</f>
        <v/>
      </c>
      <c r="G164">
        <f>IF($A164="","",INDEX('05_KAPA'!$I:$I,$A164))</f>
        <v/>
      </c>
      <c r="H164" s="202">
        <f>IF($A164="","",INDEX('05_KAPA'!$P:$P,$A164))</f>
        <v/>
      </c>
      <c r="I164" s="118">
        <f>IF($A164="","",INDEX('05_KAPA'!$O:$O,$A164))</f>
        <v/>
      </c>
      <c r="J164" s="202">
        <f>IF($A164="","",IFERROR(DATE(LEFT(TEXT(INDEX('05_KAPA'!$T:$T,$A164),"0"),4),MID(TEXT(INDEX('05_KAPA'!$T:$T,$A164),"0"),5,2),RIGHT(TEXT(INDEX('05_KAPA'!$T:$T,$A164),"0"),2)),""))</f>
        <v/>
      </c>
      <c r="K164">
        <f>IF(C164="","",IF('02_대상물건입력'!$B$5="",1,IF(ISNUMBER(SEARCH('02_대상물건입력'!$B$5,C164)),1,0)))</f>
        <v/>
      </c>
      <c r="L164">
        <f>IF(C164="","",IF('02_대상물건입력'!$B$6="",1,IF(ISNUMBER(SEARCH('02_대상물건입력'!$B$6,C164)),1,0)))</f>
        <v/>
      </c>
      <c r="M164">
        <f>IF(E164="","",IF('02_대상물건입력'!$B$8="",0,IF(ISNUMBER(SEARCH('02_대상물건입력'!$B$8,E164)),1,0)))</f>
        <v/>
      </c>
      <c r="N164">
        <f>IF(B164="","",IF(B164="담보",1,0))</f>
        <v/>
      </c>
      <c r="O164">
        <f>IFERROR(ABS(G164-'02_대상물건입력'!$B$11)/'02_대상물건입력'!$B$11,"")</f>
        <v/>
      </c>
      <c r="P164">
        <f>IFERROR(ABS('01_설정'!$B$4-H164),"")</f>
        <v/>
      </c>
      <c r="Q164">
        <f>IFERROR(ABS(YEAR(J164)-YEAR('02_대상물건입력'!$B$14)),"")</f>
        <v/>
      </c>
      <c r="R164">
        <f>IF(AND(G164&gt;0,H164&gt;0,I164&gt;0,N164=1,IF('01_설정'!$B$10=1,K164=1,TRUE()),O164&lt;='01_설정'!$B$5,P164&lt;='01_설정'!$B$7,Q164&lt;='01_설정'!$B$8),"Y","")</f>
        <v/>
      </c>
      <c r="S164">
        <f>IF(R164&lt;&gt;"Y","",MAX(0,(1-O164/'01_설정'!$B$5))*'01_설정'!$B$14+MAX(0,(1-P164/'01_설정'!$B$7))*'01_설정'!$B$16+MAX(0,(1-Q164/'01_설정'!$B$8))*'01_설정'!$B$17+L164*'01_설정'!$B$11+M164*'01_설정'!$B$12+N164*50)</f>
        <v/>
      </c>
      <c r="T164">
        <f>IF(S164="","",1+COUNTIFS($S$31:$S$1030,"&gt;"&amp;S164)+COUNTIFS($S$31:S164,S164)-1)</f>
        <v/>
      </c>
    </row>
    <row r="165" hidden="1" ht="16.5" customHeight="1">
      <c r="A165">
        <f>IF(COUNTA('05_KAPA'!$A136:$AO136)=0,"",138)</f>
        <v/>
      </c>
      <c r="B165">
        <f>IF($A165="","",INDEX('05_KAPA'!$B:$B,$A165))</f>
        <v/>
      </c>
      <c r="C165">
        <f>IF($A165="","",INDEX('05_KAPA'!$F:$F,$A165))</f>
        <v/>
      </c>
      <c r="D165">
        <f>IF($A165="","",INDEX('05_KAPA'!$H:$H,$A165))</f>
        <v/>
      </c>
      <c r="E165">
        <f>IF($A165="","",INDEX('05_KAPA'!$K:$K,$A165))</f>
        <v/>
      </c>
      <c r="F165">
        <f>IF($A165="","",INDEX('05_KAPA'!$L:$L,$A165))</f>
        <v/>
      </c>
      <c r="G165">
        <f>IF($A165="","",INDEX('05_KAPA'!$I:$I,$A165))</f>
        <v/>
      </c>
      <c r="H165" s="202">
        <f>IF($A165="","",INDEX('05_KAPA'!$P:$P,$A165))</f>
        <v/>
      </c>
      <c r="I165" s="118">
        <f>IF($A165="","",INDEX('05_KAPA'!$O:$O,$A165))</f>
        <v/>
      </c>
      <c r="J165" s="202">
        <f>IF($A165="","",IFERROR(DATE(LEFT(TEXT(INDEX('05_KAPA'!$T:$T,$A165),"0"),4),MID(TEXT(INDEX('05_KAPA'!$T:$T,$A165),"0"),5,2),RIGHT(TEXT(INDEX('05_KAPA'!$T:$T,$A165),"0"),2)),""))</f>
        <v/>
      </c>
      <c r="K165">
        <f>IF(C165="","",IF('02_대상물건입력'!$B$5="",1,IF(ISNUMBER(SEARCH('02_대상물건입력'!$B$5,C165)),1,0)))</f>
        <v/>
      </c>
      <c r="L165">
        <f>IF(C165="","",IF('02_대상물건입력'!$B$6="",1,IF(ISNUMBER(SEARCH('02_대상물건입력'!$B$6,C165)),1,0)))</f>
        <v/>
      </c>
      <c r="M165">
        <f>IF(E165="","",IF('02_대상물건입력'!$B$8="",0,IF(ISNUMBER(SEARCH('02_대상물건입력'!$B$8,E165)),1,0)))</f>
        <v/>
      </c>
      <c r="N165">
        <f>IF(B165="","",IF(B165="담보",1,0))</f>
        <v/>
      </c>
      <c r="O165">
        <f>IFERROR(ABS(G165-'02_대상물건입력'!$B$11)/'02_대상물건입력'!$B$11,"")</f>
        <v/>
      </c>
      <c r="P165">
        <f>IFERROR(ABS('01_설정'!$B$4-H165),"")</f>
        <v/>
      </c>
      <c r="Q165">
        <f>IFERROR(ABS(YEAR(J165)-YEAR('02_대상물건입력'!$B$14)),"")</f>
        <v/>
      </c>
      <c r="R165">
        <f>IF(AND(G165&gt;0,H165&gt;0,I165&gt;0,N165=1,IF('01_설정'!$B$10=1,K165=1,TRUE()),O165&lt;='01_설정'!$B$5,P165&lt;='01_설정'!$B$7,Q165&lt;='01_설정'!$B$8),"Y","")</f>
        <v/>
      </c>
      <c r="S165">
        <f>IF(R165&lt;&gt;"Y","",MAX(0,(1-O165/'01_설정'!$B$5))*'01_설정'!$B$14+MAX(0,(1-P165/'01_설정'!$B$7))*'01_설정'!$B$16+MAX(0,(1-Q165/'01_설정'!$B$8))*'01_설정'!$B$17+L165*'01_설정'!$B$11+M165*'01_설정'!$B$12+N165*50)</f>
        <v/>
      </c>
      <c r="T165">
        <f>IF(S165="","",1+COUNTIFS($S$31:$S$1030,"&gt;"&amp;S165)+COUNTIFS($S$31:S165,S165)-1)</f>
        <v/>
      </c>
    </row>
    <row r="166" hidden="1" ht="16.5" customHeight="1">
      <c r="A166">
        <f>IF(COUNTA('05_KAPA'!$A137:$AO137)=0,"",139)</f>
        <v/>
      </c>
      <c r="B166">
        <f>IF($A166="","",INDEX('05_KAPA'!$B:$B,$A166))</f>
        <v/>
      </c>
      <c r="C166">
        <f>IF($A166="","",INDEX('05_KAPA'!$F:$F,$A166))</f>
        <v/>
      </c>
      <c r="D166">
        <f>IF($A166="","",INDEX('05_KAPA'!$H:$H,$A166))</f>
        <v/>
      </c>
      <c r="E166">
        <f>IF($A166="","",INDEX('05_KAPA'!$K:$K,$A166))</f>
        <v/>
      </c>
      <c r="F166">
        <f>IF($A166="","",INDEX('05_KAPA'!$L:$L,$A166))</f>
        <v/>
      </c>
      <c r="G166">
        <f>IF($A166="","",INDEX('05_KAPA'!$I:$I,$A166))</f>
        <v/>
      </c>
      <c r="H166" s="202">
        <f>IF($A166="","",INDEX('05_KAPA'!$P:$P,$A166))</f>
        <v/>
      </c>
      <c r="I166" s="118">
        <f>IF($A166="","",INDEX('05_KAPA'!$O:$O,$A166))</f>
        <v/>
      </c>
      <c r="J166" s="202">
        <f>IF($A166="","",IFERROR(DATE(LEFT(TEXT(INDEX('05_KAPA'!$T:$T,$A166),"0"),4),MID(TEXT(INDEX('05_KAPA'!$T:$T,$A166),"0"),5,2),RIGHT(TEXT(INDEX('05_KAPA'!$T:$T,$A166),"0"),2)),""))</f>
        <v/>
      </c>
      <c r="K166">
        <f>IF(C166="","",IF('02_대상물건입력'!$B$5="",1,IF(ISNUMBER(SEARCH('02_대상물건입력'!$B$5,C166)),1,0)))</f>
        <v/>
      </c>
      <c r="L166">
        <f>IF(C166="","",IF('02_대상물건입력'!$B$6="",1,IF(ISNUMBER(SEARCH('02_대상물건입력'!$B$6,C166)),1,0)))</f>
        <v/>
      </c>
      <c r="M166">
        <f>IF(E166="","",IF('02_대상물건입력'!$B$8="",0,IF(ISNUMBER(SEARCH('02_대상물건입력'!$B$8,E166)),1,0)))</f>
        <v/>
      </c>
      <c r="N166">
        <f>IF(B166="","",IF(B166="담보",1,0))</f>
        <v/>
      </c>
      <c r="O166">
        <f>IFERROR(ABS(G166-'02_대상물건입력'!$B$11)/'02_대상물건입력'!$B$11,"")</f>
        <v/>
      </c>
      <c r="P166">
        <f>IFERROR(ABS('01_설정'!$B$4-H166),"")</f>
        <v/>
      </c>
      <c r="Q166">
        <f>IFERROR(ABS(YEAR(J166)-YEAR('02_대상물건입력'!$B$14)),"")</f>
        <v/>
      </c>
      <c r="R166">
        <f>IF(AND(G166&gt;0,H166&gt;0,I166&gt;0,N166=1,IF('01_설정'!$B$10=1,K166=1,TRUE()),O166&lt;='01_설정'!$B$5,P166&lt;='01_설정'!$B$7,Q166&lt;='01_설정'!$B$8),"Y","")</f>
        <v/>
      </c>
      <c r="S166">
        <f>IF(R166&lt;&gt;"Y","",MAX(0,(1-O166/'01_설정'!$B$5))*'01_설정'!$B$14+MAX(0,(1-P166/'01_설정'!$B$7))*'01_설정'!$B$16+MAX(0,(1-Q166/'01_설정'!$B$8))*'01_설정'!$B$17+L166*'01_설정'!$B$11+M166*'01_설정'!$B$12+N166*50)</f>
        <v/>
      </c>
      <c r="T166">
        <f>IF(S166="","",1+COUNTIFS($S$31:$S$1030,"&gt;"&amp;S166)+COUNTIFS($S$31:S166,S166)-1)</f>
        <v/>
      </c>
    </row>
    <row r="167" hidden="1" ht="16.5" customHeight="1">
      <c r="A167">
        <f>IF(COUNTA('05_KAPA'!$A138:$AO138)=0,"",140)</f>
        <v/>
      </c>
      <c r="B167">
        <f>IF($A167="","",INDEX('05_KAPA'!$B:$B,$A167))</f>
        <v/>
      </c>
      <c r="C167">
        <f>IF($A167="","",INDEX('05_KAPA'!$F:$F,$A167))</f>
        <v/>
      </c>
      <c r="D167">
        <f>IF($A167="","",INDEX('05_KAPA'!$H:$H,$A167))</f>
        <v/>
      </c>
      <c r="E167">
        <f>IF($A167="","",INDEX('05_KAPA'!$K:$K,$A167))</f>
        <v/>
      </c>
      <c r="F167">
        <f>IF($A167="","",INDEX('05_KAPA'!$L:$L,$A167))</f>
        <v/>
      </c>
      <c r="G167">
        <f>IF($A167="","",INDEX('05_KAPA'!$I:$I,$A167))</f>
        <v/>
      </c>
      <c r="H167" s="202">
        <f>IF($A167="","",INDEX('05_KAPA'!$P:$P,$A167))</f>
        <v/>
      </c>
      <c r="I167" s="118">
        <f>IF($A167="","",INDEX('05_KAPA'!$O:$O,$A167))</f>
        <v/>
      </c>
      <c r="J167" s="202">
        <f>IF($A167="","",IFERROR(DATE(LEFT(TEXT(INDEX('05_KAPA'!$T:$T,$A167),"0"),4),MID(TEXT(INDEX('05_KAPA'!$T:$T,$A167),"0"),5,2),RIGHT(TEXT(INDEX('05_KAPA'!$T:$T,$A167),"0"),2)),""))</f>
        <v/>
      </c>
      <c r="K167">
        <f>IF(C167="","",IF('02_대상물건입력'!$B$5="",1,IF(ISNUMBER(SEARCH('02_대상물건입력'!$B$5,C167)),1,0)))</f>
        <v/>
      </c>
      <c r="L167">
        <f>IF(C167="","",IF('02_대상물건입력'!$B$6="",1,IF(ISNUMBER(SEARCH('02_대상물건입력'!$B$6,C167)),1,0)))</f>
        <v/>
      </c>
      <c r="M167">
        <f>IF(E167="","",IF('02_대상물건입력'!$B$8="",0,IF(ISNUMBER(SEARCH('02_대상물건입력'!$B$8,E167)),1,0)))</f>
        <v/>
      </c>
      <c r="N167">
        <f>IF(B167="","",IF(B167="담보",1,0))</f>
        <v/>
      </c>
      <c r="O167">
        <f>IFERROR(ABS(G167-'02_대상물건입력'!$B$11)/'02_대상물건입력'!$B$11,"")</f>
        <v/>
      </c>
      <c r="P167">
        <f>IFERROR(ABS('01_설정'!$B$4-H167),"")</f>
        <v/>
      </c>
      <c r="Q167">
        <f>IFERROR(ABS(YEAR(J167)-YEAR('02_대상물건입력'!$B$14)),"")</f>
        <v/>
      </c>
      <c r="R167">
        <f>IF(AND(G167&gt;0,H167&gt;0,I167&gt;0,N167=1,IF('01_설정'!$B$10=1,K167=1,TRUE()),O167&lt;='01_설정'!$B$5,P167&lt;='01_설정'!$B$7,Q167&lt;='01_설정'!$B$8),"Y","")</f>
        <v/>
      </c>
      <c r="S167">
        <f>IF(R167&lt;&gt;"Y","",MAX(0,(1-O167/'01_설정'!$B$5))*'01_설정'!$B$14+MAX(0,(1-P167/'01_설정'!$B$7))*'01_설정'!$B$16+MAX(0,(1-Q167/'01_설정'!$B$8))*'01_설정'!$B$17+L167*'01_설정'!$B$11+M167*'01_설정'!$B$12+N167*50)</f>
        <v/>
      </c>
      <c r="T167">
        <f>IF(S167="","",1+COUNTIFS($S$31:$S$1030,"&gt;"&amp;S167)+COUNTIFS($S$31:S167,S167)-1)</f>
        <v/>
      </c>
    </row>
    <row r="168" hidden="1" ht="16.5" customHeight="1">
      <c r="A168">
        <f>IF(COUNTA('05_KAPA'!$A139:$AO139)=0,"",141)</f>
        <v/>
      </c>
      <c r="B168">
        <f>IF($A168="","",INDEX('05_KAPA'!$B:$B,$A168))</f>
        <v/>
      </c>
      <c r="C168">
        <f>IF($A168="","",INDEX('05_KAPA'!$F:$F,$A168))</f>
        <v/>
      </c>
      <c r="D168">
        <f>IF($A168="","",INDEX('05_KAPA'!$H:$H,$A168))</f>
        <v/>
      </c>
      <c r="E168">
        <f>IF($A168="","",INDEX('05_KAPA'!$K:$K,$A168))</f>
        <v/>
      </c>
      <c r="F168">
        <f>IF($A168="","",INDEX('05_KAPA'!$L:$L,$A168))</f>
        <v/>
      </c>
      <c r="G168">
        <f>IF($A168="","",INDEX('05_KAPA'!$I:$I,$A168))</f>
        <v/>
      </c>
      <c r="H168" s="202">
        <f>IF($A168="","",INDEX('05_KAPA'!$P:$P,$A168))</f>
        <v/>
      </c>
      <c r="I168" s="118">
        <f>IF($A168="","",INDEX('05_KAPA'!$O:$O,$A168))</f>
        <v/>
      </c>
      <c r="J168" s="202">
        <f>IF($A168="","",IFERROR(DATE(LEFT(TEXT(INDEX('05_KAPA'!$T:$T,$A168),"0"),4),MID(TEXT(INDEX('05_KAPA'!$T:$T,$A168),"0"),5,2),RIGHT(TEXT(INDEX('05_KAPA'!$T:$T,$A168),"0"),2)),""))</f>
        <v/>
      </c>
      <c r="K168">
        <f>IF(C168="","",IF('02_대상물건입력'!$B$5="",1,IF(ISNUMBER(SEARCH('02_대상물건입력'!$B$5,C168)),1,0)))</f>
        <v/>
      </c>
      <c r="L168">
        <f>IF(C168="","",IF('02_대상물건입력'!$B$6="",1,IF(ISNUMBER(SEARCH('02_대상물건입력'!$B$6,C168)),1,0)))</f>
        <v/>
      </c>
      <c r="M168">
        <f>IF(E168="","",IF('02_대상물건입력'!$B$8="",0,IF(ISNUMBER(SEARCH('02_대상물건입력'!$B$8,E168)),1,0)))</f>
        <v/>
      </c>
      <c r="N168">
        <f>IF(B168="","",IF(B168="담보",1,0))</f>
        <v/>
      </c>
      <c r="O168">
        <f>IFERROR(ABS(G168-'02_대상물건입력'!$B$11)/'02_대상물건입력'!$B$11,"")</f>
        <v/>
      </c>
      <c r="P168">
        <f>IFERROR(ABS('01_설정'!$B$4-H168),"")</f>
        <v/>
      </c>
      <c r="Q168">
        <f>IFERROR(ABS(YEAR(J168)-YEAR('02_대상물건입력'!$B$14)),"")</f>
        <v/>
      </c>
      <c r="R168">
        <f>IF(AND(G168&gt;0,H168&gt;0,I168&gt;0,N168=1,IF('01_설정'!$B$10=1,K168=1,TRUE()),O168&lt;='01_설정'!$B$5,P168&lt;='01_설정'!$B$7,Q168&lt;='01_설정'!$B$8),"Y","")</f>
        <v/>
      </c>
      <c r="S168">
        <f>IF(R168&lt;&gt;"Y","",MAX(0,(1-O168/'01_설정'!$B$5))*'01_설정'!$B$14+MAX(0,(1-P168/'01_설정'!$B$7))*'01_설정'!$B$16+MAX(0,(1-Q168/'01_설정'!$B$8))*'01_설정'!$B$17+L168*'01_설정'!$B$11+M168*'01_설정'!$B$12+N168*50)</f>
        <v/>
      </c>
      <c r="T168">
        <f>IF(S168="","",1+COUNTIFS($S$31:$S$1030,"&gt;"&amp;S168)+COUNTIFS($S$31:S168,S168)-1)</f>
        <v/>
      </c>
    </row>
    <row r="169" hidden="1" ht="16.5" customHeight="1">
      <c r="A169">
        <f>IF(COUNTA('05_KAPA'!$A140:$AO140)=0,"",142)</f>
        <v/>
      </c>
      <c r="B169">
        <f>IF($A169="","",INDEX('05_KAPA'!$B:$B,$A169))</f>
        <v/>
      </c>
      <c r="C169">
        <f>IF($A169="","",INDEX('05_KAPA'!$F:$F,$A169))</f>
        <v/>
      </c>
      <c r="D169">
        <f>IF($A169="","",INDEX('05_KAPA'!$H:$H,$A169))</f>
        <v/>
      </c>
      <c r="E169">
        <f>IF($A169="","",INDEX('05_KAPA'!$K:$K,$A169))</f>
        <v/>
      </c>
      <c r="F169">
        <f>IF($A169="","",INDEX('05_KAPA'!$L:$L,$A169))</f>
        <v/>
      </c>
      <c r="G169">
        <f>IF($A169="","",INDEX('05_KAPA'!$I:$I,$A169))</f>
        <v/>
      </c>
      <c r="H169" s="202">
        <f>IF($A169="","",INDEX('05_KAPA'!$P:$P,$A169))</f>
        <v/>
      </c>
      <c r="I169" s="118">
        <f>IF($A169="","",INDEX('05_KAPA'!$O:$O,$A169))</f>
        <v/>
      </c>
      <c r="J169" s="202">
        <f>IF($A169="","",IFERROR(DATE(LEFT(TEXT(INDEX('05_KAPA'!$T:$T,$A169),"0"),4),MID(TEXT(INDEX('05_KAPA'!$T:$T,$A169),"0"),5,2),RIGHT(TEXT(INDEX('05_KAPA'!$T:$T,$A169),"0"),2)),""))</f>
        <v/>
      </c>
      <c r="K169">
        <f>IF(C169="","",IF('02_대상물건입력'!$B$5="",1,IF(ISNUMBER(SEARCH('02_대상물건입력'!$B$5,C169)),1,0)))</f>
        <v/>
      </c>
      <c r="L169">
        <f>IF(C169="","",IF('02_대상물건입력'!$B$6="",1,IF(ISNUMBER(SEARCH('02_대상물건입력'!$B$6,C169)),1,0)))</f>
        <v/>
      </c>
      <c r="M169">
        <f>IF(E169="","",IF('02_대상물건입력'!$B$8="",0,IF(ISNUMBER(SEARCH('02_대상물건입력'!$B$8,E169)),1,0)))</f>
        <v/>
      </c>
      <c r="N169">
        <f>IF(B169="","",IF(B169="담보",1,0))</f>
        <v/>
      </c>
      <c r="O169">
        <f>IFERROR(ABS(G169-'02_대상물건입력'!$B$11)/'02_대상물건입력'!$B$11,"")</f>
        <v/>
      </c>
      <c r="P169">
        <f>IFERROR(ABS('01_설정'!$B$4-H169),"")</f>
        <v/>
      </c>
      <c r="Q169">
        <f>IFERROR(ABS(YEAR(J169)-YEAR('02_대상물건입력'!$B$14)),"")</f>
        <v/>
      </c>
      <c r="R169">
        <f>IF(AND(G169&gt;0,H169&gt;0,I169&gt;0,N169=1,IF('01_설정'!$B$10=1,K169=1,TRUE()),O169&lt;='01_설정'!$B$5,P169&lt;='01_설정'!$B$7,Q169&lt;='01_설정'!$B$8),"Y","")</f>
        <v/>
      </c>
      <c r="S169">
        <f>IF(R169&lt;&gt;"Y","",MAX(0,(1-O169/'01_설정'!$B$5))*'01_설정'!$B$14+MAX(0,(1-P169/'01_설정'!$B$7))*'01_설정'!$B$16+MAX(0,(1-Q169/'01_설정'!$B$8))*'01_설정'!$B$17+L169*'01_설정'!$B$11+M169*'01_설정'!$B$12+N169*50)</f>
        <v/>
      </c>
      <c r="T169">
        <f>IF(S169="","",1+COUNTIFS($S$31:$S$1030,"&gt;"&amp;S169)+COUNTIFS($S$31:S169,S169)-1)</f>
        <v/>
      </c>
    </row>
    <row r="170" hidden="1" ht="16.5" customHeight="1">
      <c r="A170">
        <f>IF(COUNTA('05_KAPA'!$A141:$AO141)=0,"",143)</f>
        <v/>
      </c>
      <c r="B170">
        <f>IF($A170="","",INDEX('05_KAPA'!$B:$B,$A170))</f>
        <v/>
      </c>
      <c r="C170">
        <f>IF($A170="","",INDEX('05_KAPA'!$F:$F,$A170))</f>
        <v/>
      </c>
      <c r="D170">
        <f>IF($A170="","",INDEX('05_KAPA'!$H:$H,$A170))</f>
        <v/>
      </c>
      <c r="E170">
        <f>IF($A170="","",INDEX('05_KAPA'!$K:$K,$A170))</f>
        <v/>
      </c>
      <c r="F170">
        <f>IF($A170="","",INDEX('05_KAPA'!$L:$L,$A170))</f>
        <v/>
      </c>
      <c r="G170">
        <f>IF($A170="","",INDEX('05_KAPA'!$I:$I,$A170))</f>
        <v/>
      </c>
      <c r="H170" s="202">
        <f>IF($A170="","",INDEX('05_KAPA'!$P:$P,$A170))</f>
        <v/>
      </c>
      <c r="I170" s="118">
        <f>IF($A170="","",INDEX('05_KAPA'!$O:$O,$A170))</f>
        <v/>
      </c>
      <c r="J170" s="202">
        <f>IF($A170="","",IFERROR(DATE(LEFT(TEXT(INDEX('05_KAPA'!$T:$T,$A170),"0"),4),MID(TEXT(INDEX('05_KAPA'!$T:$T,$A170),"0"),5,2),RIGHT(TEXT(INDEX('05_KAPA'!$T:$T,$A170),"0"),2)),""))</f>
        <v/>
      </c>
      <c r="K170">
        <f>IF(C170="","",IF('02_대상물건입력'!$B$5="",1,IF(ISNUMBER(SEARCH('02_대상물건입력'!$B$5,C170)),1,0)))</f>
        <v/>
      </c>
      <c r="L170">
        <f>IF(C170="","",IF('02_대상물건입력'!$B$6="",1,IF(ISNUMBER(SEARCH('02_대상물건입력'!$B$6,C170)),1,0)))</f>
        <v/>
      </c>
      <c r="M170">
        <f>IF(E170="","",IF('02_대상물건입력'!$B$8="",0,IF(ISNUMBER(SEARCH('02_대상물건입력'!$B$8,E170)),1,0)))</f>
        <v/>
      </c>
      <c r="N170">
        <f>IF(B170="","",IF(B170="담보",1,0))</f>
        <v/>
      </c>
      <c r="O170">
        <f>IFERROR(ABS(G170-'02_대상물건입력'!$B$11)/'02_대상물건입력'!$B$11,"")</f>
        <v/>
      </c>
      <c r="P170">
        <f>IFERROR(ABS('01_설정'!$B$4-H170),"")</f>
        <v/>
      </c>
      <c r="Q170">
        <f>IFERROR(ABS(YEAR(J170)-YEAR('02_대상물건입력'!$B$14)),"")</f>
        <v/>
      </c>
      <c r="R170">
        <f>IF(AND(G170&gt;0,H170&gt;0,I170&gt;0,N170=1,IF('01_설정'!$B$10=1,K170=1,TRUE()),O170&lt;='01_설정'!$B$5,P170&lt;='01_설정'!$B$7,Q170&lt;='01_설정'!$B$8),"Y","")</f>
        <v/>
      </c>
      <c r="S170">
        <f>IF(R170&lt;&gt;"Y","",MAX(0,(1-O170/'01_설정'!$B$5))*'01_설정'!$B$14+MAX(0,(1-P170/'01_설정'!$B$7))*'01_설정'!$B$16+MAX(0,(1-Q170/'01_설정'!$B$8))*'01_설정'!$B$17+L170*'01_설정'!$B$11+M170*'01_설정'!$B$12+N170*50)</f>
        <v/>
      </c>
      <c r="T170">
        <f>IF(S170="","",1+COUNTIFS($S$31:$S$1030,"&gt;"&amp;S170)+COUNTIFS($S$31:S170,S170)-1)</f>
        <v/>
      </c>
    </row>
    <row r="171" hidden="1" ht="16.5" customHeight="1">
      <c r="A171">
        <f>IF(COUNTA('05_KAPA'!$A142:$AO142)=0,"",144)</f>
        <v/>
      </c>
      <c r="B171">
        <f>IF($A171="","",INDEX('05_KAPA'!$B:$B,$A171))</f>
        <v/>
      </c>
      <c r="C171">
        <f>IF($A171="","",INDEX('05_KAPA'!$F:$F,$A171))</f>
        <v/>
      </c>
      <c r="D171">
        <f>IF($A171="","",INDEX('05_KAPA'!$H:$H,$A171))</f>
        <v/>
      </c>
      <c r="E171">
        <f>IF($A171="","",INDEX('05_KAPA'!$K:$K,$A171))</f>
        <v/>
      </c>
      <c r="F171">
        <f>IF($A171="","",INDEX('05_KAPA'!$L:$L,$A171))</f>
        <v/>
      </c>
      <c r="G171">
        <f>IF($A171="","",INDEX('05_KAPA'!$I:$I,$A171))</f>
        <v/>
      </c>
      <c r="H171" s="202">
        <f>IF($A171="","",INDEX('05_KAPA'!$P:$P,$A171))</f>
        <v/>
      </c>
      <c r="I171" s="118">
        <f>IF($A171="","",INDEX('05_KAPA'!$O:$O,$A171))</f>
        <v/>
      </c>
      <c r="J171" s="202">
        <f>IF($A171="","",IFERROR(DATE(LEFT(TEXT(INDEX('05_KAPA'!$T:$T,$A171),"0"),4),MID(TEXT(INDEX('05_KAPA'!$T:$T,$A171),"0"),5,2),RIGHT(TEXT(INDEX('05_KAPA'!$T:$T,$A171),"0"),2)),""))</f>
        <v/>
      </c>
      <c r="K171">
        <f>IF(C171="","",IF('02_대상물건입력'!$B$5="",1,IF(ISNUMBER(SEARCH('02_대상물건입력'!$B$5,C171)),1,0)))</f>
        <v/>
      </c>
      <c r="L171">
        <f>IF(C171="","",IF('02_대상물건입력'!$B$6="",1,IF(ISNUMBER(SEARCH('02_대상물건입력'!$B$6,C171)),1,0)))</f>
        <v/>
      </c>
      <c r="M171">
        <f>IF(E171="","",IF('02_대상물건입력'!$B$8="",0,IF(ISNUMBER(SEARCH('02_대상물건입력'!$B$8,E171)),1,0)))</f>
        <v/>
      </c>
      <c r="N171">
        <f>IF(B171="","",IF(B171="담보",1,0))</f>
        <v/>
      </c>
      <c r="O171">
        <f>IFERROR(ABS(G171-'02_대상물건입력'!$B$11)/'02_대상물건입력'!$B$11,"")</f>
        <v/>
      </c>
      <c r="P171">
        <f>IFERROR(ABS('01_설정'!$B$4-H171),"")</f>
        <v/>
      </c>
      <c r="Q171">
        <f>IFERROR(ABS(YEAR(J171)-YEAR('02_대상물건입력'!$B$14)),"")</f>
        <v/>
      </c>
      <c r="R171">
        <f>IF(AND(G171&gt;0,H171&gt;0,I171&gt;0,N171=1,IF('01_설정'!$B$10=1,K171=1,TRUE()),O171&lt;='01_설정'!$B$5,P171&lt;='01_설정'!$B$7,Q171&lt;='01_설정'!$B$8),"Y","")</f>
        <v/>
      </c>
      <c r="S171">
        <f>IF(R171&lt;&gt;"Y","",MAX(0,(1-O171/'01_설정'!$B$5))*'01_설정'!$B$14+MAX(0,(1-P171/'01_설정'!$B$7))*'01_설정'!$B$16+MAX(0,(1-Q171/'01_설정'!$B$8))*'01_설정'!$B$17+L171*'01_설정'!$B$11+M171*'01_설정'!$B$12+N171*50)</f>
        <v/>
      </c>
      <c r="T171">
        <f>IF(S171="","",1+COUNTIFS($S$31:$S$1030,"&gt;"&amp;S171)+COUNTIFS($S$31:S171,S171)-1)</f>
        <v/>
      </c>
    </row>
    <row r="172" hidden="1" ht="16.5" customHeight="1">
      <c r="A172">
        <f>IF(COUNTA('05_KAPA'!$A143:$AO143)=0,"",145)</f>
        <v/>
      </c>
      <c r="B172">
        <f>IF($A172="","",INDEX('05_KAPA'!$B:$B,$A172))</f>
        <v/>
      </c>
      <c r="C172">
        <f>IF($A172="","",INDEX('05_KAPA'!$F:$F,$A172))</f>
        <v/>
      </c>
      <c r="D172">
        <f>IF($A172="","",INDEX('05_KAPA'!$H:$H,$A172))</f>
        <v/>
      </c>
      <c r="E172">
        <f>IF($A172="","",INDEX('05_KAPA'!$K:$K,$A172))</f>
        <v/>
      </c>
      <c r="F172">
        <f>IF($A172="","",INDEX('05_KAPA'!$L:$L,$A172))</f>
        <v/>
      </c>
      <c r="G172">
        <f>IF($A172="","",INDEX('05_KAPA'!$I:$I,$A172))</f>
        <v/>
      </c>
      <c r="H172" s="202">
        <f>IF($A172="","",INDEX('05_KAPA'!$P:$P,$A172))</f>
        <v/>
      </c>
      <c r="I172" s="118">
        <f>IF($A172="","",INDEX('05_KAPA'!$O:$O,$A172))</f>
        <v/>
      </c>
      <c r="J172" s="202">
        <f>IF($A172="","",IFERROR(DATE(LEFT(TEXT(INDEX('05_KAPA'!$T:$T,$A172),"0"),4),MID(TEXT(INDEX('05_KAPA'!$T:$T,$A172),"0"),5,2),RIGHT(TEXT(INDEX('05_KAPA'!$T:$T,$A172),"0"),2)),""))</f>
        <v/>
      </c>
      <c r="K172">
        <f>IF(C172="","",IF('02_대상물건입력'!$B$5="",1,IF(ISNUMBER(SEARCH('02_대상물건입력'!$B$5,C172)),1,0)))</f>
        <v/>
      </c>
      <c r="L172">
        <f>IF(C172="","",IF('02_대상물건입력'!$B$6="",1,IF(ISNUMBER(SEARCH('02_대상물건입력'!$B$6,C172)),1,0)))</f>
        <v/>
      </c>
      <c r="M172">
        <f>IF(E172="","",IF('02_대상물건입력'!$B$8="",0,IF(ISNUMBER(SEARCH('02_대상물건입력'!$B$8,E172)),1,0)))</f>
        <v/>
      </c>
      <c r="N172">
        <f>IF(B172="","",IF(B172="담보",1,0))</f>
        <v/>
      </c>
      <c r="O172">
        <f>IFERROR(ABS(G172-'02_대상물건입력'!$B$11)/'02_대상물건입력'!$B$11,"")</f>
        <v/>
      </c>
      <c r="P172">
        <f>IFERROR(ABS('01_설정'!$B$4-H172),"")</f>
        <v/>
      </c>
      <c r="Q172">
        <f>IFERROR(ABS(YEAR(J172)-YEAR('02_대상물건입력'!$B$14)),"")</f>
        <v/>
      </c>
      <c r="R172">
        <f>IF(AND(G172&gt;0,H172&gt;0,I172&gt;0,N172=1,IF('01_설정'!$B$10=1,K172=1,TRUE()),O172&lt;='01_설정'!$B$5,P172&lt;='01_설정'!$B$7,Q172&lt;='01_설정'!$B$8),"Y","")</f>
        <v/>
      </c>
      <c r="S172">
        <f>IF(R172&lt;&gt;"Y","",MAX(0,(1-O172/'01_설정'!$B$5))*'01_설정'!$B$14+MAX(0,(1-P172/'01_설정'!$B$7))*'01_설정'!$B$16+MAX(0,(1-Q172/'01_설정'!$B$8))*'01_설정'!$B$17+L172*'01_설정'!$B$11+M172*'01_설정'!$B$12+N172*50)</f>
        <v/>
      </c>
      <c r="T172">
        <f>IF(S172="","",1+COUNTIFS($S$31:$S$1030,"&gt;"&amp;S172)+COUNTIFS($S$31:S172,S172)-1)</f>
        <v/>
      </c>
    </row>
    <row r="173" hidden="1" ht="16.5" customHeight="1">
      <c r="A173">
        <f>IF(COUNTA('05_KAPA'!$A144:$AO144)=0,"",146)</f>
        <v/>
      </c>
      <c r="B173">
        <f>IF($A173="","",INDEX('05_KAPA'!$B:$B,$A173))</f>
        <v/>
      </c>
      <c r="C173">
        <f>IF($A173="","",INDEX('05_KAPA'!$F:$F,$A173))</f>
        <v/>
      </c>
      <c r="D173">
        <f>IF($A173="","",INDEX('05_KAPA'!$H:$H,$A173))</f>
        <v/>
      </c>
      <c r="E173">
        <f>IF($A173="","",INDEX('05_KAPA'!$K:$K,$A173))</f>
        <v/>
      </c>
      <c r="F173">
        <f>IF($A173="","",INDEX('05_KAPA'!$L:$L,$A173))</f>
        <v/>
      </c>
      <c r="G173">
        <f>IF($A173="","",INDEX('05_KAPA'!$I:$I,$A173))</f>
        <v/>
      </c>
      <c r="H173" s="202">
        <f>IF($A173="","",INDEX('05_KAPA'!$P:$P,$A173))</f>
        <v/>
      </c>
      <c r="I173" s="118">
        <f>IF($A173="","",INDEX('05_KAPA'!$O:$O,$A173))</f>
        <v/>
      </c>
      <c r="J173" s="202">
        <f>IF($A173="","",IFERROR(DATE(LEFT(TEXT(INDEX('05_KAPA'!$T:$T,$A173),"0"),4),MID(TEXT(INDEX('05_KAPA'!$T:$T,$A173),"0"),5,2),RIGHT(TEXT(INDEX('05_KAPA'!$T:$T,$A173),"0"),2)),""))</f>
        <v/>
      </c>
      <c r="K173">
        <f>IF(C173="","",IF('02_대상물건입력'!$B$5="",1,IF(ISNUMBER(SEARCH('02_대상물건입력'!$B$5,C173)),1,0)))</f>
        <v/>
      </c>
      <c r="L173">
        <f>IF(C173="","",IF('02_대상물건입력'!$B$6="",1,IF(ISNUMBER(SEARCH('02_대상물건입력'!$B$6,C173)),1,0)))</f>
        <v/>
      </c>
      <c r="M173">
        <f>IF(E173="","",IF('02_대상물건입력'!$B$8="",0,IF(ISNUMBER(SEARCH('02_대상물건입력'!$B$8,E173)),1,0)))</f>
        <v/>
      </c>
      <c r="N173">
        <f>IF(B173="","",IF(B173="담보",1,0))</f>
        <v/>
      </c>
      <c r="O173">
        <f>IFERROR(ABS(G173-'02_대상물건입력'!$B$11)/'02_대상물건입력'!$B$11,"")</f>
        <v/>
      </c>
      <c r="P173">
        <f>IFERROR(ABS('01_설정'!$B$4-H173),"")</f>
        <v/>
      </c>
      <c r="Q173">
        <f>IFERROR(ABS(YEAR(J173)-YEAR('02_대상물건입력'!$B$14)),"")</f>
        <v/>
      </c>
      <c r="R173">
        <f>IF(AND(G173&gt;0,H173&gt;0,I173&gt;0,N173=1,IF('01_설정'!$B$10=1,K173=1,TRUE()),O173&lt;='01_설정'!$B$5,P173&lt;='01_설정'!$B$7,Q173&lt;='01_설정'!$B$8),"Y","")</f>
        <v/>
      </c>
      <c r="S173">
        <f>IF(R173&lt;&gt;"Y","",MAX(0,(1-O173/'01_설정'!$B$5))*'01_설정'!$B$14+MAX(0,(1-P173/'01_설정'!$B$7))*'01_설정'!$B$16+MAX(0,(1-Q173/'01_설정'!$B$8))*'01_설정'!$B$17+L173*'01_설정'!$B$11+M173*'01_설정'!$B$12+N173*50)</f>
        <v/>
      </c>
      <c r="T173">
        <f>IF(S173="","",1+COUNTIFS($S$31:$S$1030,"&gt;"&amp;S173)+COUNTIFS($S$31:S173,S173)-1)</f>
        <v/>
      </c>
    </row>
    <row r="174" hidden="1" ht="16.5" customHeight="1">
      <c r="A174">
        <f>IF(COUNTA('05_KAPA'!$A145:$AO145)=0,"",147)</f>
        <v/>
      </c>
      <c r="B174">
        <f>IF($A174="","",INDEX('05_KAPA'!$B:$B,$A174))</f>
        <v/>
      </c>
      <c r="C174">
        <f>IF($A174="","",INDEX('05_KAPA'!$F:$F,$A174))</f>
        <v/>
      </c>
      <c r="D174">
        <f>IF($A174="","",INDEX('05_KAPA'!$H:$H,$A174))</f>
        <v/>
      </c>
      <c r="E174">
        <f>IF($A174="","",INDEX('05_KAPA'!$K:$K,$A174))</f>
        <v/>
      </c>
      <c r="F174">
        <f>IF($A174="","",INDEX('05_KAPA'!$L:$L,$A174))</f>
        <v/>
      </c>
      <c r="G174">
        <f>IF($A174="","",INDEX('05_KAPA'!$I:$I,$A174))</f>
        <v/>
      </c>
      <c r="H174" s="202">
        <f>IF($A174="","",INDEX('05_KAPA'!$P:$P,$A174))</f>
        <v/>
      </c>
      <c r="I174" s="118">
        <f>IF($A174="","",INDEX('05_KAPA'!$O:$O,$A174))</f>
        <v/>
      </c>
      <c r="J174" s="202">
        <f>IF($A174="","",IFERROR(DATE(LEFT(TEXT(INDEX('05_KAPA'!$T:$T,$A174),"0"),4),MID(TEXT(INDEX('05_KAPA'!$T:$T,$A174),"0"),5,2),RIGHT(TEXT(INDEX('05_KAPA'!$T:$T,$A174),"0"),2)),""))</f>
        <v/>
      </c>
      <c r="K174">
        <f>IF(C174="","",IF('02_대상물건입력'!$B$5="",1,IF(ISNUMBER(SEARCH('02_대상물건입력'!$B$5,C174)),1,0)))</f>
        <v/>
      </c>
      <c r="L174">
        <f>IF(C174="","",IF('02_대상물건입력'!$B$6="",1,IF(ISNUMBER(SEARCH('02_대상물건입력'!$B$6,C174)),1,0)))</f>
        <v/>
      </c>
      <c r="M174">
        <f>IF(E174="","",IF('02_대상물건입력'!$B$8="",0,IF(ISNUMBER(SEARCH('02_대상물건입력'!$B$8,E174)),1,0)))</f>
        <v/>
      </c>
      <c r="N174">
        <f>IF(B174="","",IF(B174="담보",1,0))</f>
        <v/>
      </c>
      <c r="O174">
        <f>IFERROR(ABS(G174-'02_대상물건입력'!$B$11)/'02_대상물건입력'!$B$11,"")</f>
        <v/>
      </c>
      <c r="P174">
        <f>IFERROR(ABS('01_설정'!$B$4-H174),"")</f>
        <v/>
      </c>
      <c r="Q174">
        <f>IFERROR(ABS(YEAR(J174)-YEAR('02_대상물건입력'!$B$14)),"")</f>
        <v/>
      </c>
      <c r="R174">
        <f>IF(AND(G174&gt;0,H174&gt;0,I174&gt;0,N174=1,IF('01_설정'!$B$10=1,K174=1,TRUE()),O174&lt;='01_설정'!$B$5,P174&lt;='01_설정'!$B$7,Q174&lt;='01_설정'!$B$8),"Y","")</f>
        <v/>
      </c>
      <c r="S174">
        <f>IF(R174&lt;&gt;"Y","",MAX(0,(1-O174/'01_설정'!$B$5))*'01_설정'!$B$14+MAX(0,(1-P174/'01_설정'!$B$7))*'01_설정'!$B$16+MAX(0,(1-Q174/'01_설정'!$B$8))*'01_설정'!$B$17+L174*'01_설정'!$B$11+M174*'01_설정'!$B$12+N174*50)</f>
        <v/>
      </c>
      <c r="T174">
        <f>IF(S174="","",1+COUNTIFS($S$31:$S$1030,"&gt;"&amp;S174)+COUNTIFS($S$31:S174,S174)-1)</f>
        <v/>
      </c>
    </row>
    <row r="175" hidden="1" ht="16.5" customHeight="1">
      <c r="A175">
        <f>IF(COUNTA('05_KAPA'!$A146:$AO146)=0,"",148)</f>
        <v/>
      </c>
      <c r="B175">
        <f>IF($A175="","",INDEX('05_KAPA'!$B:$B,$A175))</f>
        <v/>
      </c>
      <c r="C175">
        <f>IF($A175="","",INDEX('05_KAPA'!$F:$F,$A175))</f>
        <v/>
      </c>
      <c r="D175">
        <f>IF($A175="","",INDEX('05_KAPA'!$H:$H,$A175))</f>
        <v/>
      </c>
      <c r="E175">
        <f>IF($A175="","",INDEX('05_KAPA'!$K:$K,$A175))</f>
        <v/>
      </c>
      <c r="F175">
        <f>IF($A175="","",INDEX('05_KAPA'!$L:$L,$A175))</f>
        <v/>
      </c>
      <c r="G175">
        <f>IF($A175="","",INDEX('05_KAPA'!$I:$I,$A175))</f>
        <v/>
      </c>
      <c r="H175" s="202">
        <f>IF($A175="","",INDEX('05_KAPA'!$P:$P,$A175))</f>
        <v/>
      </c>
      <c r="I175" s="118">
        <f>IF($A175="","",INDEX('05_KAPA'!$O:$O,$A175))</f>
        <v/>
      </c>
      <c r="J175" s="202">
        <f>IF($A175="","",IFERROR(DATE(LEFT(TEXT(INDEX('05_KAPA'!$T:$T,$A175),"0"),4),MID(TEXT(INDEX('05_KAPA'!$T:$T,$A175),"0"),5,2),RIGHT(TEXT(INDEX('05_KAPA'!$T:$T,$A175),"0"),2)),""))</f>
        <v/>
      </c>
      <c r="K175">
        <f>IF(C175="","",IF('02_대상물건입력'!$B$5="",1,IF(ISNUMBER(SEARCH('02_대상물건입력'!$B$5,C175)),1,0)))</f>
        <v/>
      </c>
      <c r="L175">
        <f>IF(C175="","",IF('02_대상물건입력'!$B$6="",1,IF(ISNUMBER(SEARCH('02_대상물건입력'!$B$6,C175)),1,0)))</f>
        <v/>
      </c>
      <c r="M175">
        <f>IF(E175="","",IF('02_대상물건입력'!$B$8="",0,IF(ISNUMBER(SEARCH('02_대상물건입력'!$B$8,E175)),1,0)))</f>
        <v/>
      </c>
      <c r="N175">
        <f>IF(B175="","",IF(B175="담보",1,0))</f>
        <v/>
      </c>
      <c r="O175">
        <f>IFERROR(ABS(G175-'02_대상물건입력'!$B$11)/'02_대상물건입력'!$B$11,"")</f>
        <v/>
      </c>
      <c r="P175">
        <f>IFERROR(ABS('01_설정'!$B$4-H175),"")</f>
        <v/>
      </c>
      <c r="Q175">
        <f>IFERROR(ABS(YEAR(J175)-YEAR('02_대상물건입력'!$B$14)),"")</f>
        <v/>
      </c>
      <c r="R175">
        <f>IF(AND(G175&gt;0,H175&gt;0,I175&gt;0,N175=1,IF('01_설정'!$B$10=1,K175=1,TRUE()),O175&lt;='01_설정'!$B$5,P175&lt;='01_설정'!$B$7,Q175&lt;='01_설정'!$B$8),"Y","")</f>
        <v/>
      </c>
      <c r="S175">
        <f>IF(R175&lt;&gt;"Y","",MAX(0,(1-O175/'01_설정'!$B$5))*'01_설정'!$B$14+MAX(0,(1-P175/'01_설정'!$B$7))*'01_설정'!$B$16+MAX(0,(1-Q175/'01_설정'!$B$8))*'01_설정'!$B$17+L175*'01_설정'!$B$11+M175*'01_설정'!$B$12+N175*50)</f>
        <v/>
      </c>
      <c r="T175">
        <f>IF(S175="","",1+COUNTIFS($S$31:$S$1030,"&gt;"&amp;S175)+COUNTIFS($S$31:S175,S175)-1)</f>
        <v/>
      </c>
    </row>
    <row r="176" hidden="1" ht="16.5" customHeight="1">
      <c r="A176">
        <f>IF(COUNTA('05_KAPA'!$A147:$AO147)=0,"",149)</f>
        <v/>
      </c>
      <c r="B176">
        <f>IF($A176="","",INDEX('05_KAPA'!$B:$B,$A176))</f>
        <v/>
      </c>
      <c r="C176">
        <f>IF($A176="","",INDEX('05_KAPA'!$F:$F,$A176))</f>
        <v/>
      </c>
      <c r="D176">
        <f>IF($A176="","",INDEX('05_KAPA'!$H:$H,$A176))</f>
        <v/>
      </c>
      <c r="E176">
        <f>IF($A176="","",INDEX('05_KAPA'!$K:$K,$A176))</f>
        <v/>
      </c>
      <c r="F176">
        <f>IF($A176="","",INDEX('05_KAPA'!$L:$L,$A176))</f>
        <v/>
      </c>
      <c r="G176">
        <f>IF($A176="","",INDEX('05_KAPA'!$I:$I,$A176))</f>
        <v/>
      </c>
      <c r="H176" s="202">
        <f>IF($A176="","",INDEX('05_KAPA'!$P:$P,$A176))</f>
        <v/>
      </c>
      <c r="I176" s="118">
        <f>IF($A176="","",INDEX('05_KAPA'!$O:$O,$A176))</f>
        <v/>
      </c>
      <c r="J176" s="202">
        <f>IF($A176="","",IFERROR(DATE(LEFT(TEXT(INDEX('05_KAPA'!$T:$T,$A176),"0"),4),MID(TEXT(INDEX('05_KAPA'!$T:$T,$A176),"0"),5,2),RIGHT(TEXT(INDEX('05_KAPA'!$T:$T,$A176),"0"),2)),""))</f>
        <v/>
      </c>
      <c r="K176">
        <f>IF(C176="","",IF('02_대상물건입력'!$B$5="",1,IF(ISNUMBER(SEARCH('02_대상물건입력'!$B$5,C176)),1,0)))</f>
        <v/>
      </c>
      <c r="L176">
        <f>IF(C176="","",IF('02_대상물건입력'!$B$6="",1,IF(ISNUMBER(SEARCH('02_대상물건입력'!$B$6,C176)),1,0)))</f>
        <v/>
      </c>
      <c r="M176">
        <f>IF(E176="","",IF('02_대상물건입력'!$B$8="",0,IF(ISNUMBER(SEARCH('02_대상물건입력'!$B$8,E176)),1,0)))</f>
        <v/>
      </c>
      <c r="N176">
        <f>IF(B176="","",IF(B176="담보",1,0))</f>
        <v/>
      </c>
      <c r="O176">
        <f>IFERROR(ABS(G176-'02_대상물건입력'!$B$11)/'02_대상물건입력'!$B$11,"")</f>
        <v/>
      </c>
      <c r="P176">
        <f>IFERROR(ABS('01_설정'!$B$4-H176),"")</f>
        <v/>
      </c>
      <c r="Q176">
        <f>IFERROR(ABS(YEAR(J176)-YEAR('02_대상물건입력'!$B$14)),"")</f>
        <v/>
      </c>
      <c r="R176">
        <f>IF(AND(G176&gt;0,H176&gt;0,I176&gt;0,N176=1,IF('01_설정'!$B$10=1,K176=1,TRUE()),O176&lt;='01_설정'!$B$5,P176&lt;='01_설정'!$B$7,Q176&lt;='01_설정'!$B$8),"Y","")</f>
        <v/>
      </c>
      <c r="S176">
        <f>IF(R176&lt;&gt;"Y","",MAX(0,(1-O176/'01_설정'!$B$5))*'01_설정'!$B$14+MAX(0,(1-P176/'01_설정'!$B$7))*'01_설정'!$B$16+MAX(0,(1-Q176/'01_설정'!$B$8))*'01_설정'!$B$17+L176*'01_설정'!$B$11+M176*'01_설정'!$B$12+N176*50)</f>
        <v/>
      </c>
      <c r="T176">
        <f>IF(S176="","",1+COUNTIFS($S$31:$S$1030,"&gt;"&amp;S176)+COUNTIFS($S$31:S176,S176)-1)</f>
        <v/>
      </c>
    </row>
    <row r="177" hidden="1" ht="16.5" customHeight="1">
      <c r="A177">
        <f>IF(COUNTA('05_KAPA'!$A148:$AO148)=0,"",150)</f>
        <v/>
      </c>
      <c r="B177">
        <f>IF($A177="","",INDEX('05_KAPA'!$B:$B,$A177))</f>
        <v/>
      </c>
      <c r="C177">
        <f>IF($A177="","",INDEX('05_KAPA'!$F:$F,$A177))</f>
        <v/>
      </c>
      <c r="D177">
        <f>IF($A177="","",INDEX('05_KAPA'!$H:$H,$A177))</f>
        <v/>
      </c>
      <c r="E177">
        <f>IF($A177="","",INDEX('05_KAPA'!$K:$K,$A177))</f>
        <v/>
      </c>
      <c r="F177">
        <f>IF($A177="","",INDEX('05_KAPA'!$L:$L,$A177))</f>
        <v/>
      </c>
      <c r="G177">
        <f>IF($A177="","",INDEX('05_KAPA'!$I:$I,$A177))</f>
        <v/>
      </c>
      <c r="H177" s="202">
        <f>IF($A177="","",INDEX('05_KAPA'!$P:$P,$A177))</f>
        <v/>
      </c>
      <c r="I177" s="118">
        <f>IF($A177="","",INDEX('05_KAPA'!$O:$O,$A177))</f>
        <v/>
      </c>
      <c r="J177" s="202">
        <f>IF($A177="","",IFERROR(DATE(LEFT(TEXT(INDEX('05_KAPA'!$T:$T,$A177),"0"),4),MID(TEXT(INDEX('05_KAPA'!$T:$T,$A177),"0"),5,2),RIGHT(TEXT(INDEX('05_KAPA'!$T:$T,$A177),"0"),2)),""))</f>
        <v/>
      </c>
      <c r="K177">
        <f>IF(C177="","",IF('02_대상물건입력'!$B$5="",1,IF(ISNUMBER(SEARCH('02_대상물건입력'!$B$5,C177)),1,0)))</f>
        <v/>
      </c>
      <c r="L177">
        <f>IF(C177="","",IF('02_대상물건입력'!$B$6="",1,IF(ISNUMBER(SEARCH('02_대상물건입력'!$B$6,C177)),1,0)))</f>
        <v/>
      </c>
      <c r="M177">
        <f>IF(E177="","",IF('02_대상물건입력'!$B$8="",0,IF(ISNUMBER(SEARCH('02_대상물건입력'!$B$8,E177)),1,0)))</f>
        <v/>
      </c>
      <c r="N177">
        <f>IF(B177="","",IF(B177="담보",1,0))</f>
        <v/>
      </c>
      <c r="O177">
        <f>IFERROR(ABS(G177-'02_대상물건입력'!$B$11)/'02_대상물건입력'!$B$11,"")</f>
        <v/>
      </c>
      <c r="P177">
        <f>IFERROR(ABS('01_설정'!$B$4-H177),"")</f>
        <v/>
      </c>
      <c r="Q177">
        <f>IFERROR(ABS(YEAR(J177)-YEAR('02_대상물건입력'!$B$14)),"")</f>
        <v/>
      </c>
      <c r="R177">
        <f>IF(AND(G177&gt;0,H177&gt;0,I177&gt;0,N177=1,IF('01_설정'!$B$10=1,K177=1,TRUE()),O177&lt;='01_설정'!$B$5,P177&lt;='01_설정'!$B$7,Q177&lt;='01_설정'!$B$8),"Y","")</f>
        <v/>
      </c>
      <c r="S177">
        <f>IF(R177&lt;&gt;"Y","",MAX(0,(1-O177/'01_설정'!$B$5))*'01_설정'!$B$14+MAX(0,(1-P177/'01_설정'!$B$7))*'01_설정'!$B$16+MAX(0,(1-Q177/'01_설정'!$B$8))*'01_설정'!$B$17+L177*'01_설정'!$B$11+M177*'01_설정'!$B$12+N177*50)</f>
        <v/>
      </c>
      <c r="T177">
        <f>IF(S177="","",1+COUNTIFS($S$31:$S$1030,"&gt;"&amp;S177)+COUNTIFS($S$31:S177,S177)-1)</f>
        <v/>
      </c>
    </row>
    <row r="178" hidden="1" ht="16.5" customHeight="1">
      <c r="A178">
        <f>IF(COUNTA('05_KAPA'!$A149:$AO149)=0,"",151)</f>
        <v/>
      </c>
      <c r="B178">
        <f>IF($A178="","",INDEX('05_KAPA'!$B:$B,$A178))</f>
        <v/>
      </c>
      <c r="C178">
        <f>IF($A178="","",INDEX('05_KAPA'!$F:$F,$A178))</f>
        <v/>
      </c>
      <c r="D178">
        <f>IF($A178="","",INDEX('05_KAPA'!$H:$H,$A178))</f>
        <v/>
      </c>
      <c r="E178">
        <f>IF($A178="","",INDEX('05_KAPA'!$K:$K,$A178))</f>
        <v/>
      </c>
      <c r="F178">
        <f>IF($A178="","",INDEX('05_KAPA'!$L:$L,$A178))</f>
        <v/>
      </c>
      <c r="G178">
        <f>IF($A178="","",INDEX('05_KAPA'!$I:$I,$A178))</f>
        <v/>
      </c>
      <c r="H178" s="202">
        <f>IF($A178="","",INDEX('05_KAPA'!$P:$P,$A178))</f>
        <v/>
      </c>
      <c r="I178" s="118">
        <f>IF($A178="","",INDEX('05_KAPA'!$O:$O,$A178))</f>
        <v/>
      </c>
      <c r="J178" s="202">
        <f>IF($A178="","",IFERROR(DATE(LEFT(TEXT(INDEX('05_KAPA'!$T:$T,$A178),"0"),4),MID(TEXT(INDEX('05_KAPA'!$T:$T,$A178),"0"),5,2),RIGHT(TEXT(INDEX('05_KAPA'!$T:$T,$A178),"0"),2)),""))</f>
        <v/>
      </c>
      <c r="K178">
        <f>IF(C178="","",IF('02_대상물건입력'!$B$5="",1,IF(ISNUMBER(SEARCH('02_대상물건입력'!$B$5,C178)),1,0)))</f>
        <v/>
      </c>
      <c r="L178">
        <f>IF(C178="","",IF('02_대상물건입력'!$B$6="",1,IF(ISNUMBER(SEARCH('02_대상물건입력'!$B$6,C178)),1,0)))</f>
        <v/>
      </c>
      <c r="M178">
        <f>IF(E178="","",IF('02_대상물건입력'!$B$8="",0,IF(ISNUMBER(SEARCH('02_대상물건입력'!$B$8,E178)),1,0)))</f>
        <v/>
      </c>
      <c r="N178">
        <f>IF(B178="","",IF(B178="담보",1,0))</f>
        <v/>
      </c>
      <c r="O178">
        <f>IFERROR(ABS(G178-'02_대상물건입력'!$B$11)/'02_대상물건입력'!$B$11,"")</f>
        <v/>
      </c>
      <c r="P178">
        <f>IFERROR(ABS('01_설정'!$B$4-H178),"")</f>
        <v/>
      </c>
      <c r="Q178">
        <f>IFERROR(ABS(YEAR(J178)-YEAR('02_대상물건입력'!$B$14)),"")</f>
        <v/>
      </c>
      <c r="R178">
        <f>IF(AND(G178&gt;0,H178&gt;0,I178&gt;0,N178=1,IF('01_설정'!$B$10=1,K178=1,TRUE()),O178&lt;='01_설정'!$B$5,P178&lt;='01_설정'!$B$7,Q178&lt;='01_설정'!$B$8),"Y","")</f>
        <v/>
      </c>
      <c r="S178">
        <f>IF(R178&lt;&gt;"Y","",MAX(0,(1-O178/'01_설정'!$B$5))*'01_설정'!$B$14+MAX(0,(1-P178/'01_설정'!$B$7))*'01_설정'!$B$16+MAX(0,(1-Q178/'01_설정'!$B$8))*'01_설정'!$B$17+L178*'01_설정'!$B$11+M178*'01_설정'!$B$12+N178*50)</f>
        <v/>
      </c>
      <c r="T178">
        <f>IF(S178="","",1+COUNTIFS($S$31:$S$1030,"&gt;"&amp;S178)+COUNTIFS($S$31:S178,S178)-1)</f>
        <v/>
      </c>
    </row>
    <row r="179" hidden="1" ht="16.5" customHeight="1">
      <c r="A179">
        <f>IF(COUNTA('05_KAPA'!$A150:$AO150)=0,"",152)</f>
        <v/>
      </c>
      <c r="B179">
        <f>IF($A179="","",INDEX('05_KAPA'!$B:$B,$A179))</f>
        <v/>
      </c>
      <c r="C179">
        <f>IF($A179="","",INDEX('05_KAPA'!$F:$F,$A179))</f>
        <v/>
      </c>
      <c r="D179">
        <f>IF($A179="","",INDEX('05_KAPA'!$H:$H,$A179))</f>
        <v/>
      </c>
      <c r="E179">
        <f>IF($A179="","",INDEX('05_KAPA'!$K:$K,$A179))</f>
        <v/>
      </c>
      <c r="F179">
        <f>IF($A179="","",INDEX('05_KAPA'!$L:$L,$A179))</f>
        <v/>
      </c>
      <c r="G179">
        <f>IF($A179="","",INDEX('05_KAPA'!$I:$I,$A179))</f>
        <v/>
      </c>
      <c r="H179" s="202">
        <f>IF($A179="","",INDEX('05_KAPA'!$P:$P,$A179))</f>
        <v/>
      </c>
      <c r="I179" s="118">
        <f>IF($A179="","",INDEX('05_KAPA'!$O:$O,$A179))</f>
        <v/>
      </c>
      <c r="J179" s="202">
        <f>IF($A179="","",IFERROR(DATE(LEFT(TEXT(INDEX('05_KAPA'!$T:$T,$A179),"0"),4),MID(TEXT(INDEX('05_KAPA'!$T:$T,$A179),"0"),5,2),RIGHT(TEXT(INDEX('05_KAPA'!$T:$T,$A179),"0"),2)),""))</f>
        <v/>
      </c>
      <c r="K179">
        <f>IF(C179="","",IF('02_대상물건입력'!$B$5="",1,IF(ISNUMBER(SEARCH('02_대상물건입력'!$B$5,C179)),1,0)))</f>
        <v/>
      </c>
      <c r="L179">
        <f>IF(C179="","",IF('02_대상물건입력'!$B$6="",1,IF(ISNUMBER(SEARCH('02_대상물건입력'!$B$6,C179)),1,0)))</f>
        <v/>
      </c>
      <c r="M179">
        <f>IF(E179="","",IF('02_대상물건입력'!$B$8="",0,IF(ISNUMBER(SEARCH('02_대상물건입력'!$B$8,E179)),1,0)))</f>
        <v/>
      </c>
      <c r="N179">
        <f>IF(B179="","",IF(B179="담보",1,0))</f>
        <v/>
      </c>
      <c r="O179">
        <f>IFERROR(ABS(G179-'02_대상물건입력'!$B$11)/'02_대상물건입력'!$B$11,"")</f>
        <v/>
      </c>
      <c r="P179">
        <f>IFERROR(ABS('01_설정'!$B$4-H179),"")</f>
        <v/>
      </c>
      <c r="Q179">
        <f>IFERROR(ABS(YEAR(J179)-YEAR('02_대상물건입력'!$B$14)),"")</f>
        <v/>
      </c>
      <c r="R179">
        <f>IF(AND(G179&gt;0,H179&gt;0,I179&gt;0,N179=1,IF('01_설정'!$B$10=1,K179=1,TRUE()),O179&lt;='01_설정'!$B$5,P179&lt;='01_설정'!$B$7,Q179&lt;='01_설정'!$B$8),"Y","")</f>
        <v/>
      </c>
      <c r="S179">
        <f>IF(R179&lt;&gt;"Y","",MAX(0,(1-O179/'01_설정'!$B$5))*'01_설정'!$B$14+MAX(0,(1-P179/'01_설정'!$B$7))*'01_설정'!$B$16+MAX(0,(1-Q179/'01_설정'!$B$8))*'01_설정'!$B$17+L179*'01_설정'!$B$11+M179*'01_설정'!$B$12+N179*50)</f>
        <v/>
      </c>
      <c r="T179">
        <f>IF(S179="","",1+COUNTIFS($S$31:$S$1030,"&gt;"&amp;S179)+COUNTIFS($S$31:S179,S179)-1)</f>
        <v/>
      </c>
    </row>
    <row r="180" hidden="1" ht="16.5" customHeight="1">
      <c r="A180">
        <f>IF(COUNTA('05_KAPA'!$A151:$AO151)=0,"",153)</f>
        <v/>
      </c>
      <c r="B180">
        <f>IF($A180="","",INDEX('05_KAPA'!$B:$B,$A180))</f>
        <v/>
      </c>
      <c r="C180">
        <f>IF($A180="","",INDEX('05_KAPA'!$F:$F,$A180))</f>
        <v/>
      </c>
      <c r="D180">
        <f>IF($A180="","",INDEX('05_KAPA'!$H:$H,$A180))</f>
        <v/>
      </c>
      <c r="E180">
        <f>IF($A180="","",INDEX('05_KAPA'!$K:$K,$A180))</f>
        <v/>
      </c>
      <c r="F180">
        <f>IF($A180="","",INDEX('05_KAPA'!$L:$L,$A180))</f>
        <v/>
      </c>
      <c r="G180">
        <f>IF($A180="","",INDEX('05_KAPA'!$I:$I,$A180))</f>
        <v/>
      </c>
      <c r="H180" s="202">
        <f>IF($A180="","",INDEX('05_KAPA'!$P:$P,$A180))</f>
        <v/>
      </c>
      <c r="I180" s="118">
        <f>IF($A180="","",INDEX('05_KAPA'!$O:$O,$A180))</f>
        <v/>
      </c>
      <c r="J180" s="202">
        <f>IF($A180="","",IFERROR(DATE(LEFT(TEXT(INDEX('05_KAPA'!$T:$T,$A180),"0"),4),MID(TEXT(INDEX('05_KAPA'!$T:$T,$A180),"0"),5,2),RIGHT(TEXT(INDEX('05_KAPA'!$T:$T,$A180),"0"),2)),""))</f>
        <v/>
      </c>
      <c r="K180">
        <f>IF(C180="","",IF('02_대상물건입력'!$B$5="",1,IF(ISNUMBER(SEARCH('02_대상물건입력'!$B$5,C180)),1,0)))</f>
        <v/>
      </c>
      <c r="L180">
        <f>IF(C180="","",IF('02_대상물건입력'!$B$6="",1,IF(ISNUMBER(SEARCH('02_대상물건입력'!$B$6,C180)),1,0)))</f>
        <v/>
      </c>
      <c r="M180">
        <f>IF(E180="","",IF('02_대상물건입력'!$B$8="",0,IF(ISNUMBER(SEARCH('02_대상물건입력'!$B$8,E180)),1,0)))</f>
        <v/>
      </c>
      <c r="N180">
        <f>IF(B180="","",IF(B180="담보",1,0))</f>
        <v/>
      </c>
      <c r="O180">
        <f>IFERROR(ABS(G180-'02_대상물건입력'!$B$11)/'02_대상물건입력'!$B$11,"")</f>
        <v/>
      </c>
      <c r="P180">
        <f>IFERROR(ABS('01_설정'!$B$4-H180),"")</f>
        <v/>
      </c>
      <c r="Q180">
        <f>IFERROR(ABS(YEAR(J180)-YEAR('02_대상물건입력'!$B$14)),"")</f>
        <v/>
      </c>
      <c r="R180">
        <f>IF(AND(G180&gt;0,H180&gt;0,I180&gt;0,N180=1,IF('01_설정'!$B$10=1,K180=1,TRUE()),O180&lt;='01_설정'!$B$5,P180&lt;='01_설정'!$B$7,Q180&lt;='01_설정'!$B$8),"Y","")</f>
        <v/>
      </c>
      <c r="S180">
        <f>IF(R180&lt;&gt;"Y","",MAX(0,(1-O180/'01_설정'!$B$5))*'01_설정'!$B$14+MAX(0,(1-P180/'01_설정'!$B$7))*'01_설정'!$B$16+MAX(0,(1-Q180/'01_설정'!$B$8))*'01_설정'!$B$17+L180*'01_설정'!$B$11+M180*'01_설정'!$B$12+N180*50)</f>
        <v/>
      </c>
      <c r="T180">
        <f>IF(S180="","",1+COUNTIFS($S$31:$S$1030,"&gt;"&amp;S180)+COUNTIFS($S$31:S180,S180)-1)</f>
        <v/>
      </c>
    </row>
    <row r="181" hidden="1" ht="16.5" customHeight="1">
      <c r="A181">
        <f>IF(COUNTA('05_KAPA'!$A152:$AO152)=0,"",154)</f>
        <v/>
      </c>
      <c r="B181">
        <f>IF($A181="","",INDEX('05_KAPA'!$B:$B,$A181))</f>
        <v/>
      </c>
      <c r="C181">
        <f>IF($A181="","",INDEX('05_KAPA'!$F:$F,$A181))</f>
        <v/>
      </c>
      <c r="D181">
        <f>IF($A181="","",INDEX('05_KAPA'!$H:$H,$A181))</f>
        <v/>
      </c>
      <c r="E181">
        <f>IF($A181="","",INDEX('05_KAPA'!$K:$K,$A181))</f>
        <v/>
      </c>
      <c r="F181">
        <f>IF($A181="","",INDEX('05_KAPA'!$L:$L,$A181))</f>
        <v/>
      </c>
      <c r="G181">
        <f>IF($A181="","",INDEX('05_KAPA'!$I:$I,$A181))</f>
        <v/>
      </c>
      <c r="H181" s="202">
        <f>IF($A181="","",INDEX('05_KAPA'!$P:$P,$A181))</f>
        <v/>
      </c>
      <c r="I181" s="118">
        <f>IF($A181="","",INDEX('05_KAPA'!$O:$O,$A181))</f>
        <v/>
      </c>
      <c r="J181" s="202">
        <f>IF($A181="","",IFERROR(DATE(LEFT(TEXT(INDEX('05_KAPA'!$T:$T,$A181),"0"),4),MID(TEXT(INDEX('05_KAPA'!$T:$T,$A181),"0"),5,2),RIGHT(TEXT(INDEX('05_KAPA'!$T:$T,$A181),"0"),2)),""))</f>
        <v/>
      </c>
      <c r="K181">
        <f>IF(C181="","",IF('02_대상물건입력'!$B$5="",1,IF(ISNUMBER(SEARCH('02_대상물건입력'!$B$5,C181)),1,0)))</f>
        <v/>
      </c>
      <c r="L181">
        <f>IF(C181="","",IF('02_대상물건입력'!$B$6="",1,IF(ISNUMBER(SEARCH('02_대상물건입력'!$B$6,C181)),1,0)))</f>
        <v/>
      </c>
      <c r="M181">
        <f>IF(E181="","",IF('02_대상물건입력'!$B$8="",0,IF(ISNUMBER(SEARCH('02_대상물건입력'!$B$8,E181)),1,0)))</f>
        <v/>
      </c>
      <c r="N181">
        <f>IF(B181="","",IF(B181="담보",1,0))</f>
        <v/>
      </c>
      <c r="O181">
        <f>IFERROR(ABS(G181-'02_대상물건입력'!$B$11)/'02_대상물건입력'!$B$11,"")</f>
        <v/>
      </c>
      <c r="P181">
        <f>IFERROR(ABS('01_설정'!$B$4-H181),"")</f>
        <v/>
      </c>
      <c r="Q181">
        <f>IFERROR(ABS(YEAR(J181)-YEAR('02_대상물건입력'!$B$14)),"")</f>
        <v/>
      </c>
      <c r="R181">
        <f>IF(AND(G181&gt;0,H181&gt;0,I181&gt;0,N181=1,IF('01_설정'!$B$10=1,K181=1,TRUE()),O181&lt;='01_설정'!$B$5,P181&lt;='01_설정'!$B$7,Q181&lt;='01_설정'!$B$8),"Y","")</f>
        <v/>
      </c>
      <c r="S181">
        <f>IF(R181&lt;&gt;"Y","",MAX(0,(1-O181/'01_설정'!$B$5))*'01_설정'!$B$14+MAX(0,(1-P181/'01_설정'!$B$7))*'01_설정'!$B$16+MAX(0,(1-Q181/'01_설정'!$B$8))*'01_설정'!$B$17+L181*'01_설정'!$B$11+M181*'01_설정'!$B$12+N181*50)</f>
        <v/>
      </c>
      <c r="T181">
        <f>IF(S181="","",1+COUNTIFS($S$31:$S$1030,"&gt;"&amp;S181)+COUNTIFS($S$31:S181,S181)-1)</f>
        <v/>
      </c>
    </row>
    <row r="182" hidden="1" ht="16.5" customHeight="1">
      <c r="A182">
        <f>IF(COUNTA('05_KAPA'!$A153:$AO153)=0,"",155)</f>
        <v/>
      </c>
      <c r="B182">
        <f>IF($A182="","",INDEX('05_KAPA'!$B:$B,$A182))</f>
        <v/>
      </c>
      <c r="C182">
        <f>IF($A182="","",INDEX('05_KAPA'!$F:$F,$A182))</f>
        <v/>
      </c>
      <c r="D182">
        <f>IF($A182="","",INDEX('05_KAPA'!$H:$H,$A182))</f>
        <v/>
      </c>
      <c r="E182">
        <f>IF($A182="","",INDEX('05_KAPA'!$K:$K,$A182))</f>
        <v/>
      </c>
      <c r="F182">
        <f>IF($A182="","",INDEX('05_KAPA'!$L:$L,$A182))</f>
        <v/>
      </c>
      <c r="G182">
        <f>IF($A182="","",INDEX('05_KAPA'!$I:$I,$A182))</f>
        <v/>
      </c>
      <c r="H182" s="202">
        <f>IF($A182="","",INDEX('05_KAPA'!$P:$P,$A182))</f>
        <v/>
      </c>
      <c r="I182" s="118">
        <f>IF($A182="","",INDEX('05_KAPA'!$O:$O,$A182))</f>
        <v/>
      </c>
      <c r="J182" s="202">
        <f>IF($A182="","",IFERROR(DATE(LEFT(TEXT(INDEX('05_KAPA'!$T:$T,$A182),"0"),4),MID(TEXT(INDEX('05_KAPA'!$T:$T,$A182),"0"),5,2),RIGHT(TEXT(INDEX('05_KAPA'!$T:$T,$A182),"0"),2)),""))</f>
        <v/>
      </c>
      <c r="K182">
        <f>IF(C182="","",IF('02_대상물건입력'!$B$5="",1,IF(ISNUMBER(SEARCH('02_대상물건입력'!$B$5,C182)),1,0)))</f>
        <v/>
      </c>
      <c r="L182">
        <f>IF(C182="","",IF('02_대상물건입력'!$B$6="",1,IF(ISNUMBER(SEARCH('02_대상물건입력'!$B$6,C182)),1,0)))</f>
        <v/>
      </c>
      <c r="M182">
        <f>IF(E182="","",IF('02_대상물건입력'!$B$8="",0,IF(ISNUMBER(SEARCH('02_대상물건입력'!$B$8,E182)),1,0)))</f>
        <v/>
      </c>
      <c r="N182">
        <f>IF(B182="","",IF(B182="담보",1,0))</f>
        <v/>
      </c>
      <c r="O182">
        <f>IFERROR(ABS(G182-'02_대상물건입력'!$B$11)/'02_대상물건입력'!$B$11,"")</f>
        <v/>
      </c>
      <c r="P182">
        <f>IFERROR(ABS('01_설정'!$B$4-H182),"")</f>
        <v/>
      </c>
      <c r="Q182">
        <f>IFERROR(ABS(YEAR(J182)-YEAR('02_대상물건입력'!$B$14)),"")</f>
        <v/>
      </c>
      <c r="R182">
        <f>IF(AND(G182&gt;0,H182&gt;0,I182&gt;0,N182=1,IF('01_설정'!$B$10=1,K182=1,TRUE()),O182&lt;='01_설정'!$B$5,P182&lt;='01_설정'!$B$7,Q182&lt;='01_설정'!$B$8),"Y","")</f>
        <v/>
      </c>
      <c r="S182">
        <f>IF(R182&lt;&gt;"Y","",MAX(0,(1-O182/'01_설정'!$B$5))*'01_설정'!$B$14+MAX(0,(1-P182/'01_설정'!$B$7))*'01_설정'!$B$16+MAX(0,(1-Q182/'01_설정'!$B$8))*'01_설정'!$B$17+L182*'01_설정'!$B$11+M182*'01_설정'!$B$12+N182*50)</f>
        <v/>
      </c>
      <c r="T182">
        <f>IF(S182="","",1+COUNTIFS($S$31:$S$1030,"&gt;"&amp;S182)+COUNTIFS($S$31:S182,S182)-1)</f>
        <v/>
      </c>
    </row>
    <row r="183" hidden="1" ht="16.5" customHeight="1">
      <c r="A183">
        <f>IF(COUNTA('05_KAPA'!$A154:$AO154)=0,"",156)</f>
        <v/>
      </c>
      <c r="B183">
        <f>IF($A183="","",INDEX('05_KAPA'!$B:$B,$A183))</f>
        <v/>
      </c>
      <c r="C183">
        <f>IF($A183="","",INDEX('05_KAPA'!$F:$F,$A183))</f>
        <v/>
      </c>
      <c r="D183">
        <f>IF($A183="","",INDEX('05_KAPA'!$H:$H,$A183))</f>
        <v/>
      </c>
      <c r="E183">
        <f>IF($A183="","",INDEX('05_KAPA'!$K:$K,$A183))</f>
        <v/>
      </c>
      <c r="F183">
        <f>IF($A183="","",INDEX('05_KAPA'!$L:$L,$A183))</f>
        <v/>
      </c>
      <c r="G183">
        <f>IF($A183="","",INDEX('05_KAPA'!$I:$I,$A183))</f>
        <v/>
      </c>
      <c r="H183" s="202">
        <f>IF($A183="","",INDEX('05_KAPA'!$P:$P,$A183))</f>
        <v/>
      </c>
      <c r="I183" s="118">
        <f>IF($A183="","",INDEX('05_KAPA'!$O:$O,$A183))</f>
        <v/>
      </c>
      <c r="J183" s="202">
        <f>IF($A183="","",IFERROR(DATE(LEFT(TEXT(INDEX('05_KAPA'!$T:$T,$A183),"0"),4),MID(TEXT(INDEX('05_KAPA'!$T:$T,$A183),"0"),5,2),RIGHT(TEXT(INDEX('05_KAPA'!$T:$T,$A183),"0"),2)),""))</f>
        <v/>
      </c>
      <c r="K183">
        <f>IF(C183="","",IF('02_대상물건입력'!$B$5="",1,IF(ISNUMBER(SEARCH('02_대상물건입력'!$B$5,C183)),1,0)))</f>
        <v/>
      </c>
      <c r="L183">
        <f>IF(C183="","",IF('02_대상물건입력'!$B$6="",1,IF(ISNUMBER(SEARCH('02_대상물건입력'!$B$6,C183)),1,0)))</f>
        <v/>
      </c>
      <c r="M183">
        <f>IF(E183="","",IF('02_대상물건입력'!$B$8="",0,IF(ISNUMBER(SEARCH('02_대상물건입력'!$B$8,E183)),1,0)))</f>
        <v/>
      </c>
      <c r="N183">
        <f>IF(B183="","",IF(B183="담보",1,0))</f>
        <v/>
      </c>
      <c r="O183">
        <f>IFERROR(ABS(G183-'02_대상물건입력'!$B$11)/'02_대상물건입력'!$B$11,"")</f>
        <v/>
      </c>
      <c r="P183">
        <f>IFERROR(ABS('01_설정'!$B$4-H183),"")</f>
        <v/>
      </c>
      <c r="Q183">
        <f>IFERROR(ABS(YEAR(J183)-YEAR('02_대상물건입력'!$B$14)),"")</f>
        <v/>
      </c>
      <c r="R183">
        <f>IF(AND(G183&gt;0,H183&gt;0,I183&gt;0,N183=1,IF('01_설정'!$B$10=1,K183=1,TRUE()),O183&lt;='01_설정'!$B$5,P183&lt;='01_설정'!$B$7,Q183&lt;='01_설정'!$B$8),"Y","")</f>
        <v/>
      </c>
      <c r="S183">
        <f>IF(R183&lt;&gt;"Y","",MAX(0,(1-O183/'01_설정'!$B$5))*'01_설정'!$B$14+MAX(0,(1-P183/'01_설정'!$B$7))*'01_설정'!$B$16+MAX(0,(1-Q183/'01_설정'!$B$8))*'01_설정'!$B$17+L183*'01_설정'!$B$11+M183*'01_설정'!$B$12+N183*50)</f>
        <v/>
      </c>
      <c r="T183">
        <f>IF(S183="","",1+COUNTIFS($S$31:$S$1030,"&gt;"&amp;S183)+COUNTIFS($S$31:S183,S183)-1)</f>
        <v/>
      </c>
    </row>
    <row r="184" hidden="1" ht="16.5" customHeight="1">
      <c r="A184">
        <f>IF(COUNTA('05_KAPA'!$A155:$AO155)=0,"",157)</f>
        <v/>
      </c>
      <c r="B184">
        <f>IF($A184="","",INDEX('05_KAPA'!$B:$B,$A184))</f>
        <v/>
      </c>
      <c r="C184">
        <f>IF($A184="","",INDEX('05_KAPA'!$F:$F,$A184))</f>
        <v/>
      </c>
      <c r="D184">
        <f>IF($A184="","",INDEX('05_KAPA'!$H:$H,$A184))</f>
        <v/>
      </c>
      <c r="E184">
        <f>IF($A184="","",INDEX('05_KAPA'!$K:$K,$A184))</f>
        <v/>
      </c>
      <c r="F184">
        <f>IF($A184="","",INDEX('05_KAPA'!$L:$L,$A184))</f>
        <v/>
      </c>
      <c r="G184">
        <f>IF($A184="","",INDEX('05_KAPA'!$I:$I,$A184))</f>
        <v/>
      </c>
      <c r="H184" s="202">
        <f>IF($A184="","",INDEX('05_KAPA'!$P:$P,$A184))</f>
        <v/>
      </c>
      <c r="I184" s="118">
        <f>IF($A184="","",INDEX('05_KAPA'!$O:$O,$A184))</f>
        <v/>
      </c>
      <c r="J184" s="202">
        <f>IF($A184="","",IFERROR(DATE(LEFT(TEXT(INDEX('05_KAPA'!$T:$T,$A184),"0"),4),MID(TEXT(INDEX('05_KAPA'!$T:$T,$A184),"0"),5,2),RIGHT(TEXT(INDEX('05_KAPA'!$T:$T,$A184),"0"),2)),""))</f>
        <v/>
      </c>
      <c r="K184">
        <f>IF(C184="","",IF('02_대상물건입력'!$B$5="",1,IF(ISNUMBER(SEARCH('02_대상물건입력'!$B$5,C184)),1,0)))</f>
        <v/>
      </c>
      <c r="L184">
        <f>IF(C184="","",IF('02_대상물건입력'!$B$6="",1,IF(ISNUMBER(SEARCH('02_대상물건입력'!$B$6,C184)),1,0)))</f>
        <v/>
      </c>
      <c r="M184">
        <f>IF(E184="","",IF('02_대상물건입력'!$B$8="",0,IF(ISNUMBER(SEARCH('02_대상물건입력'!$B$8,E184)),1,0)))</f>
        <v/>
      </c>
      <c r="N184">
        <f>IF(B184="","",IF(B184="담보",1,0))</f>
        <v/>
      </c>
      <c r="O184">
        <f>IFERROR(ABS(G184-'02_대상물건입력'!$B$11)/'02_대상물건입력'!$B$11,"")</f>
        <v/>
      </c>
      <c r="P184">
        <f>IFERROR(ABS('01_설정'!$B$4-H184),"")</f>
        <v/>
      </c>
      <c r="Q184">
        <f>IFERROR(ABS(YEAR(J184)-YEAR('02_대상물건입력'!$B$14)),"")</f>
        <v/>
      </c>
      <c r="R184">
        <f>IF(AND(G184&gt;0,H184&gt;0,I184&gt;0,N184=1,IF('01_설정'!$B$10=1,K184=1,TRUE()),O184&lt;='01_설정'!$B$5,P184&lt;='01_설정'!$B$7,Q184&lt;='01_설정'!$B$8),"Y","")</f>
        <v/>
      </c>
      <c r="S184">
        <f>IF(R184&lt;&gt;"Y","",MAX(0,(1-O184/'01_설정'!$B$5))*'01_설정'!$B$14+MAX(0,(1-P184/'01_설정'!$B$7))*'01_설정'!$B$16+MAX(0,(1-Q184/'01_설정'!$B$8))*'01_설정'!$B$17+L184*'01_설정'!$B$11+M184*'01_설정'!$B$12+N184*50)</f>
        <v/>
      </c>
      <c r="T184">
        <f>IF(S184="","",1+COUNTIFS($S$31:$S$1030,"&gt;"&amp;S184)+COUNTIFS($S$31:S184,S184)-1)</f>
        <v/>
      </c>
    </row>
    <row r="185" hidden="1" ht="16.5" customHeight="1">
      <c r="A185">
        <f>IF(COUNTA('05_KAPA'!$A156:$AO156)=0,"",158)</f>
        <v/>
      </c>
      <c r="B185">
        <f>IF($A185="","",INDEX('05_KAPA'!$B:$B,$A185))</f>
        <v/>
      </c>
      <c r="C185">
        <f>IF($A185="","",INDEX('05_KAPA'!$F:$F,$A185))</f>
        <v/>
      </c>
      <c r="D185">
        <f>IF($A185="","",INDEX('05_KAPA'!$H:$H,$A185))</f>
        <v/>
      </c>
      <c r="E185">
        <f>IF($A185="","",INDEX('05_KAPA'!$K:$K,$A185))</f>
        <v/>
      </c>
      <c r="F185">
        <f>IF($A185="","",INDEX('05_KAPA'!$L:$L,$A185))</f>
        <v/>
      </c>
      <c r="G185">
        <f>IF($A185="","",INDEX('05_KAPA'!$I:$I,$A185))</f>
        <v/>
      </c>
      <c r="H185" s="202">
        <f>IF($A185="","",INDEX('05_KAPA'!$P:$P,$A185))</f>
        <v/>
      </c>
      <c r="I185" s="118">
        <f>IF($A185="","",INDEX('05_KAPA'!$O:$O,$A185))</f>
        <v/>
      </c>
      <c r="J185" s="202">
        <f>IF($A185="","",IFERROR(DATE(LEFT(TEXT(INDEX('05_KAPA'!$T:$T,$A185),"0"),4),MID(TEXT(INDEX('05_KAPA'!$T:$T,$A185),"0"),5,2),RIGHT(TEXT(INDEX('05_KAPA'!$T:$T,$A185),"0"),2)),""))</f>
        <v/>
      </c>
      <c r="K185">
        <f>IF(C185="","",IF('02_대상물건입력'!$B$5="",1,IF(ISNUMBER(SEARCH('02_대상물건입력'!$B$5,C185)),1,0)))</f>
        <v/>
      </c>
      <c r="L185">
        <f>IF(C185="","",IF('02_대상물건입력'!$B$6="",1,IF(ISNUMBER(SEARCH('02_대상물건입력'!$B$6,C185)),1,0)))</f>
        <v/>
      </c>
      <c r="M185">
        <f>IF(E185="","",IF('02_대상물건입력'!$B$8="",0,IF(ISNUMBER(SEARCH('02_대상물건입력'!$B$8,E185)),1,0)))</f>
        <v/>
      </c>
      <c r="N185">
        <f>IF(B185="","",IF(B185="담보",1,0))</f>
        <v/>
      </c>
      <c r="O185">
        <f>IFERROR(ABS(G185-'02_대상물건입력'!$B$11)/'02_대상물건입력'!$B$11,"")</f>
        <v/>
      </c>
      <c r="P185">
        <f>IFERROR(ABS('01_설정'!$B$4-H185),"")</f>
        <v/>
      </c>
      <c r="Q185">
        <f>IFERROR(ABS(YEAR(J185)-YEAR('02_대상물건입력'!$B$14)),"")</f>
        <v/>
      </c>
      <c r="R185">
        <f>IF(AND(G185&gt;0,H185&gt;0,I185&gt;0,N185=1,IF('01_설정'!$B$10=1,K185=1,TRUE()),O185&lt;='01_설정'!$B$5,P185&lt;='01_설정'!$B$7,Q185&lt;='01_설정'!$B$8),"Y","")</f>
        <v/>
      </c>
      <c r="S185">
        <f>IF(R185&lt;&gt;"Y","",MAX(0,(1-O185/'01_설정'!$B$5))*'01_설정'!$B$14+MAX(0,(1-P185/'01_설정'!$B$7))*'01_설정'!$B$16+MAX(0,(1-Q185/'01_설정'!$B$8))*'01_설정'!$B$17+L185*'01_설정'!$B$11+M185*'01_설정'!$B$12+N185*50)</f>
        <v/>
      </c>
      <c r="T185">
        <f>IF(S185="","",1+COUNTIFS($S$31:$S$1030,"&gt;"&amp;S185)+COUNTIFS($S$31:S185,S185)-1)</f>
        <v/>
      </c>
    </row>
    <row r="186" hidden="1" ht="16.5" customHeight="1">
      <c r="A186">
        <f>IF(COUNTA('05_KAPA'!$A157:$AO157)=0,"",159)</f>
        <v/>
      </c>
      <c r="B186">
        <f>IF($A186="","",INDEX('05_KAPA'!$B:$B,$A186))</f>
        <v/>
      </c>
      <c r="C186">
        <f>IF($A186="","",INDEX('05_KAPA'!$F:$F,$A186))</f>
        <v/>
      </c>
      <c r="D186">
        <f>IF($A186="","",INDEX('05_KAPA'!$H:$H,$A186))</f>
        <v/>
      </c>
      <c r="E186">
        <f>IF($A186="","",INDEX('05_KAPA'!$K:$K,$A186))</f>
        <v/>
      </c>
      <c r="F186">
        <f>IF($A186="","",INDEX('05_KAPA'!$L:$L,$A186))</f>
        <v/>
      </c>
      <c r="G186">
        <f>IF($A186="","",INDEX('05_KAPA'!$I:$I,$A186))</f>
        <v/>
      </c>
      <c r="H186" s="202">
        <f>IF($A186="","",INDEX('05_KAPA'!$P:$P,$A186))</f>
        <v/>
      </c>
      <c r="I186" s="118">
        <f>IF($A186="","",INDEX('05_KAPA'!$O:$O,$A186))</f>
        <v/>
      </c>
      <c r="J186" s="202">
        <f>IF($A186="","",IFERROR(DATE(LEFT(TEXT(INDEX('05_KAPA'!$T:$T,$A186),"0"),4),MID(TEXT(INDEX('05_KAPA'!$T:$T,$A186),"0"),5,2),RIGHT(TEXT(INDEX('05_KAPA'!$T:$T,$A186),"0"),2)),""))</f>
        <v/>
      </c>
      <c r="K186">
        <f>IF(C186="","",IF('02_대상물건입력'!$B$5="",1,IF(ISNUMBER(SEARCH('02_대상물건입력'!$B$5,C186)),1,0)))</f>
        <v/>
      </c>
      <c r="L186">
        <f>IF(C186="","",IF('02_대상물건입력'!$B$6="",1,IF(ISNUMBER(SEARCH('02_대상물건입력'!$B$6,C186)),1,0)))</f>
        <v/>
      </c>
      <c r="M186">
        <f>IF(E186="","",IF('02_대상물건입력'!$B$8="",0,IF(ISNUMBER(SEARCH('02_대상물건입력'!$B$8,E186)),1,0)))</f>
        <v/>
      </c>
      <c r="N186">
        <f>IF(B186="","",IF(B186="담보",1,0))</f>
        <v/>
      </c>
      <c r="O186">
        <f>IFERROR(ABS(G186-'02_대상물건입력'!$B$11)/'02_대상물건입력'!$B$11,"")</f>
        <v/>
      </c>
      <c r="P186">
        <f>IFERROR(ABS('01_설정'!$B$4-H186),"")</f>
        <v/>
      </c>
      <c r="Q186">
        <f>IFERROR(ABS(YEAR(J186)-YEAR('02_대상물건입력'!$B$14)),"")</f>
        <v/>
      </c>
      <c r="R186">
        <f>IF(AND(G186&gt;0,H186&gt;0,I186&gt;0,N186=1,IF('01_설정'!$B$10=1,K186=1,TRUE()),O186&lt;='01_설정'!$B$5,P186&lt;='01_설정'!$B$7,Q186&lt;='01_설정'!$B$8),"Y","")</f>
        <v/>
      </c>
      <c r="S186">
        <f>IF(R186&lt;&gt;"Y","",MAX(0,(1-O186/'01_설정'!$B$5))*'01_설정'!$B$14+MAX(0,(1-P186/'01_설정'!$B$7))*'01_설정'!$B$16+MAX(0,(1-Q186/'01_설정'!$B$8))*'01_설정'!$B$17+L186*'01_설정'!$B$11+M186*'01_설정'!$B$12+N186*50)</f>
        <v/>
      </c>
      <c r="T186">
        <f>IF(S186="","",1+COUNTIFS($S$31:$S$1030,"&gt;"&amp;S186)+COUNTIFS($S$31:S186,S186)-1)</f>
        <v/>
      </c>
    </row>
    <row r="187" hidden="1" ht="16.5" customHeight="1">
      <c r="A187">
        <f>IF(COUNTA('05_KAPA'!$A158:$AO158)=0,"",160)</f>
        <v/>
      </c>
      <c r="B187">
        <f>IF($A187="","",INDEX('05_KAPA'!$B:$B,$A187))</f>
        <v/>
      </c>
      <c r="C187">
        <f>IF($A187="","",INDEX('05_KAPA'!$F:$F,$A187))</f>
        <v/>
      </c>
      <c r="D187">
        <f>IF($A187="","",INDEX('05_KAPA'!$H:$H,$A187))</f>
        <v/>
      </c>
      <c r="E187">
        <f>IF($A187="","",INDEX('05_KAPA'!$K:$K,$A187))</f>
        <v/>
      </c>
      <c r="F187">
        <f>IF($A187="","",INDEX('05_KAPA'!$L:$L,$A187))</f>
        <v/>
      </c>
      <c r="G187">
        <f>IF($A187="","",INDEX('05_KAPA'!$I:$I,$A187))</f>
        <v/>
      </c>
      <c r="H187" s="202">
        <f>IF($A187="","",INDEX('05_KAPA'!$P:$P,$A187))</f>
        <v/>
      </c>
      <c r="I187" s="118">
        <f>IF($A187="","",INDEX('05_KAPA'!$O:$O,$A187))</f>
        <v/>
      </c>
      <c r="J187" s="202">
        <f>IF($A187="","",IFERROR(DATE(LEFT(TEXT(INDEX('05_KAPA'!$T:$T,$A187),"0"),4),MID(TEXT(INDEX('05_KAPA'!$T:$T,$A187),"0"),5,2),RIGHT(TEXT(INDEX('05_KAPA'!$T:$T,$A187),"0"),2)),""))</f>
        <v/>
      </c>
      <c r="K187">
        <f>IF(C187="","",IF('02_대상물건입력'!$B$5="",1,IF(ISNUMBER(SEARCH('02_대상물건입력'!$B$5,C187)),1,0)))</f>
        <v/>
      </c>
      <c r="L187">
        <f>IF(C187="","",IF('02_대상물건입력'!$B$6="",1,IF(ISNUMBER(SEARCH('02_대상물건입력'!$B$6,C187)),1,0)))</f>
        <v/>
      </c>
      <c r="M187">
        <f>IF(E187="","",IF('02_대상물건입력'!$B$8="",0,IF(ISNUMBER(SEARCH('02_대상물건입력'!$B$8,E187)),1,0)))</f>
        <v/>
      </c>
      <c r="N187">
        <f>IF(B187="","",IF(B187="담보",1,0))</f>
        <v/>
      </c>
      <c r="O187">
        <f>IFERROR(ABS(G187-'02_대상물건입력'!$B$11)/'02_대상물건입력'!$B$11,"")</f>
        <v/>
      </c>
      <c r="P187">
        <f>IFERROR(ABS('01_설정'!$B$4-H187),"")</f>
        <v/>
      </c>
      <c r="Q187">
        <f>IFERROR(ABS(YEAR(J187)-YEAR('02_대상물건입력'!$B$14)),"")</f>
        <v/>
      </c>
      <c r="R187">
        <f>IF(AND(G187&gt;0,H187&gt;0,I187&gt;0,N187=1,IF('01_설정'!$B$10=1,K187=1,TRUE()),O187&lt;='01_설정'!$B$5,P187&lt;='01_설정'!$B$7,Q187&lt;='01_설정'!$B$8),"Y","")</f>
        <v/>
      </c>
      <c r="S187">
        <f>IF(R187&lt;&gt;"Y","",MAX(0,(1-O187/'01_설정'!$B$5))*'01_설정'!$B$14+MAX(0,(1-P187/'01_설정'!$B$7))*'01_설정'!$B$16+MAX(0,(1-Q187/'01_설정'!$B$8))*'01_설정'!$B$17+L187*'01_설정'!$B$11+M187*'01_설정'!$B$12+N187*50)</f>
        <v/>
      </c>
      <c r="T187">
        <f>IF(S187="","",1+COUNTIFS($S$31:$S$1030,"&gt;"&amp;S187)+COUNTIFS($S$31:S187,S187)-1)</f>
        <v/>
      </c>
    </row>
    <row r="188" hidden="1" ht="16.5" customHeight="1">
      <c r="A188">
        <f>IF(COUNTA('05_KAPA'!$A159:$AO159)=0,"",161)</f>
        <v/>
      </c>
      <c r="B188">
        <f>IF($A188="","",INDEX('05_KAPA'!$B:$B,$A188))</f>
        <v/>
      </c>
      <c r="C188">
        <f>IF($A188="","",INDEX('05_KAPA'!$F:$F,$A188))</f>
        <v/>
      </c>
      <c r="D188">
        <f>IF($A188="","",INDEX('05_KAPA'!$H:$H,$A188))</f>
        <v/>
      </c>
      <c r="E188">
        <f>IF($A188="","",INDEX('05_KAPA'!$K:$K,$A188))</f>
        <v/>
      </c>
      <c r="F188">
        <f>IF($A188="","",INDEX('05_KAPA'!$L:$L,$A188))</f>
        <v/>
      </c>
      <c r="G188">
        <f>IF($A188="","",INDEX('05_KAPA'!$I:$I,$A188))</f>
        <v/>
      </c>
      <c r="H188" s="202">
        <f>IF($A188="","",INDEX('05_KAPA'!$P:$P,$A188))</f>
        <v/>
      </c>
      <c r="I188" s="118">
        <f>IF($A188="","",INDEX('05_KAPA'!$O:$O,$A188))</f>
        <v/>
      </c>
      <c r="J188" s="202">
        <f>IF($A188="","",IFERROR(DATE(LEFT(TEXT(INDEX('05_KAPA'!$T:$T,$A188),"0"),4),MID(TEXT(INDEX('05_KAPA'!$T:$T,$A188),"0"),5,2),RIGHT(TEXT(INDEX('05_KAPA'!$T:$T,$A188),"0"),2)),""))</f>
        <v/>
      </c>
      <c r="K188">
        <f>IF(C188="","",IF('02_대상물건입력'!$B$5="",1,IF(ISNUMBER(SEARCH('02_대상물건입력'!$B$5,C188)),1,0)))</f>
        <v/>
      </c>
      <c r="L188">
        <f>IF(C188="","",IF('02_대상물건입력'!$B$6="",1,IF(ISNUMBER(SEARCH('02_대상물건입력'!$B$6,C188)),1,0)))</f>
        <v/>
      </c>
      <c r="M188">
        <f>IF(E188="","",IF('02_대상물건입력'!$B$8="",0,IF(ISNUMBER(SEARCH('02_대상물건입력'!$B$8,E188)),1,0)))</f>
        <v/>
      </c>
      <c r="N188">
        <f>IF(B188="","",IF(B188="담보",1,0))</f>
        <v/>
      </c>
      <c r="O188">
        <f>IFERROR(ABS(G188-'02_대상물건입력'!$B$11)/'02_대상물건입력'!$B$11,"")</f>
        <v/>
      </c>
      <c r="P188">
        <f>IFERROR(ABS('01_설정'!$B$4-H188),"")</f>
        <v/>
      </c>
      <c r="Q188">
        <f>IFERROR(ABS(YEAR(J188)-YEAR('02_대상물건입력'!$B$14)),"")</f>
        <v/>
      </c>
      <c r="R188">
        <f>IF(AND(G188&gt;0,H188&gt;0,I188&gt;0,N188=1,IF('01_설정'!$B$10=1,K188=1,TRUE()),O188&lt;='01_설정'!$B$5,P188&lt;='01_설정'!$B$7,Q188&lt;='01_설정'!$B$8),"Y","")</f>
        <v/>
      </c>
      <c r="S188">
        <f>IF(R188&lt;&gt;"Y","",MAX(0,(1-O188/'01_설정'!$B$5))*'01_설정'!$B$14+MAX(0,(1-P188/'01_설정'!$B$7))*'01_설정'!$B$16+MAX(0,(1-Q188/'01_설정'!$B$8))*'01_설정'!$B$17+L188*'01_설정'!$B$11+M188*'01_설정'!$B$12+N188*50)</f>
        <v/>
      </c>
      <c r="T188">
        <f>IF(S188="","",1+COUNTIFS($S$31:$S$1030,"&gt;"&amp;S188)+COUNTIFS($S$31:S188,S188)-1)</f>
        <v/>
      </c>
    </row>
    <row r="189" hidden="1" ht="16.5" customHeight="1">
      <c r="A189">
        <f>IF(COUNTA('05_KAPA'!$A160:$AO160)=0,"",162)</f>
        <v/>
      </c>
      <c r="B189">
        <f>IF($A189="","",INDEX('05_KAPA'!$B:$B,$A189))</f>
        <v/>
      </c>
      <c r="C189">
        <f>IF($A189="","",INDEX('05_KAPA'!$F:$F,$A189))</f>
        <v/>
      </c>
      <c r="D189">
        <f>IF($A189="","",INDEX('05_KAPA'!$H:$H,$A189))</f>
        <v/>
      </c>
      <c r="E189">
        <f>IF($A189="","",INDEX('05_KAPA'!$K:$K,$A189))</f>
        <v/>
      </c>
      <c r="F189">
        <f>IF($A189="","",INDEX('05_KAPA'!$L:$L,$A189))</f>
        <v/>
      </c>
      <c r="G189">
        <f>IF($A189="","",INDEX('05_KAPA'!$I:$I,$A189))</f>
        <v/>
      </c>
      <c r="H189" s="202">
        <f>IF($A189="","",INDEX('05_KAPA'!$P:$P,$A189))</f>
        <v/>
      </c>
      <c r="I189" s="118">
        <f>IF($A189="","",INDEX('05_KAPA'!$O:$O,$A189))</f>
        <v/>
      </c>
      <c r="J189" s="202">
        <f>IF($A189="","",IFERROR(DATE(LEFT(TEXT(INDEX('05_KAPA'!$T:$T,$A189),"0"),4),MID(TEXT(INDEX('05_KAPA'!$T:$T,$A189),"0"),5,2),RIGHT(TEXT(INDEX('05_KAPA'!$T:$T,$A189),"0"),2)),""))</f>
        <v/>
      </c>
      <c r="K189">
        <f>IF(C189="","",IF('02_대상물건입력'!$B$5="",1,IF(ISNUMBER(SEARCH('02_대상물건입력'!$B$5,C189)),1,0)))</f>
        <v/>
      </c>
      <c r="L189">
        <f>IF(C189="","",IF('02_대상물건입력'!$B$6="",1,IF(ISNUMBER(SEARCH('02_대상물건입력'!$B$6,C189)),1,0)))</f>
        <v/>
      </c>
      <c r="M189">
        <f>IF(E189="","",IF('02_대상물건입력'!$B$8="",0,IF(ISNUMBER(SEARCH('02_대상물건입력'!$B$8,E189)),1,0)))</f>
        <v/>
      </c>
      <c r="N189">
        <f>IF(B189="","",IF(B189="담보",1,0))</f>
        <v/>
      </c>
      <c r="O189">
        <f>IFERROR(ABS(G189-'02_대상물건입력'!$B$11)/'02_대상물건입력'!$B$11,"")</f>
        <v/>
      </c>
      <c r="P189">
        <f>IFERROR(ABS('01_설정'!$B$4-H189),"")</f>
        <v/>
      </c>
      <c r="Q189">
        <f>IFERROR(ABS(YEAR(J189)-YEAR('02_대상물건입력'!$B$14)),"")</f>
        <v/>
      </c>
      <c r="R189">
        <f>IF(AND(G189&gt;0,H189&gt;0,I189&gt;0,N189=1,IF('01_설정'!$B$10=1,K189=1,TRUE()),O189&lt;='01_설정'!$B$5,P189&lt;='01_설정'!$B$7,Q189&lt;='01_설정'!$B$8),"Y","")</f>
        <v/>
      </c>
      <c r="S189">
        <f>IF(R189&lt;&gt;"Y","",MAX(0,(1-O189/'01_설정'!$B$5))*'01_설정'!$B$14+MAX(0,(1-P189/'01_설정'!$B$7))*'01_설정'!$B$16+MAX(0,(1-Q189/'01_설정'!$B$8))*'01_설정'!$B$17+L189*'01_설정'!$B$11+M189*'01_설정'!$B$12+N189*50)</f>
        <v/>
      </c>
      <c r="T189">
        <f>IF(S189="","",1+COUNTIFS($S$31:$S$1030,"&gt;"&amp;S189)+COUNTIFS($S$31:S189,S189)-1)</f>
        <v/>
      </c>
    </row>
    <row r="190" hidden="1" ht="16.5" customHeight="1">
      <c r="A190">
        <f>IF(COUNTA('05_KAPA'!$A161:$AO161)=0,"",163)</f>
        <v/>
      </c>
      <c r="B190">
        <f>IF($A190="","",INDEX('05_KAPA'!$B:$B,$A190))</f>
        <v/>
      </c>
      <c r="C190">
        <f>IF($A190="","",INDEX('05_KAPA'!$F:$F,$A190))</f>
        <v/>
      </c>
      <c r="D190">
        <f>IF($A190="","",INDEX('05_KAPA'!$H:$H,$A190))</f>
        <v/>
      </c>
      <c r="E190">
        <f>IF($A190="","",INDEX('05_KAPA'!$K:$K,$A190))</f>
        <v/>
      </c>
      <c r="F190">
        <f>IF($A190="","",INDEX('05_KAPA'!$L:$L,$A190))</f>
        <v/>
      </c>
      <c r="G190">
        <f>IF($A190="","",INDEX('05_KAPA'!$I:$I,$A190))</f>
        <v/>
      </c>
      <c r="H190" s="202">
        <f>IF($A190="","",INDEX('05_KAPA'!$P:$P,$A190))</f>
        <v/>
      </c>
      <c r="I190" s="118">
        <f>IF($A190="","",INDEX('05_KAPA'!$O:$O,$A190))</f>
        <v/>
      </c>
      <c r="J190" s="202">
        <f>IF($A190="","",IFERROR(DATE(LEFT(TEXT(INDEX('05_KAPA'!$T:$T,$A190),"0"),4),MID(TEXT(INDEX('05_KAPA'!$T:$T,$A190),"0"),5,2),RIGHT(TEXT(INDEX('05_KAPA'!$T:$T,$A190),"0"),2)),""))</f>
        <v/>
      </c>
      <c r="K190">
        <f>IF(C190="","",IF('02_대상물건입력'!$B$5="",1,IF(ISNUMBER(SEARCH('02_대상물건입력'!$B$5,C190)),1,0)))</f>
        <v/>
      </c>
      <c r="L190">
        <f>IF(C190="","",IF('02_대상물건입력'!$B$6="",1,IF(ISNUMBER(SEARCH('02_대상물건입력'!$B$6,C190)),1,0)))</f>
        <v/>
      </c>
      <c r="M190">
        <f>IF(E190="","",IF('02_대상물건입력'!$B$8="",0,IF(ISNUMBER(SEARCH('02_대상물건입력'!$B$8,E190)),1,0)))</f>
        <v/>
      </c>
      <c r="N190">
        <f>IF(B190="","",IF(B190="담보",1,0))</f>
        <v/>
      </c>
      <c r="O190">
        <f>IFERROR(ABS(G190-'02_대상물건입력'!$B$11)/'02_대상물건입력'!$B$11,"")</f>
        <v/>
      </c>
      <c r="P190">
        <f>IFERROR(ABS('01_설정'!$B$4-H190),"")</f>
        <v/>
      </c>
      <c r="Q190">
        <f>IFERROR(ABS(YEAR(J190)-YEAR('02_대상물건입력'!$B$14)),"")</f>
        <v/>
      </c>
      <c r="R190">
        <f>IF(AND(G190&gt;0,H190&gt;0,I190&gt;0,N190=1,IF('01_설정'!$B$10=1,K190=1,TRUE()),O190&lt;='01_설정'!$B$5,P190&lt;='01_설정'!$B$7,Q190&lt;='01_설정'!$B$8),"Y","")</f>
        <v/>
      </c>
      <c r="S190">
        <f>IF(R190&lt;&gt;"Y","",MAX(0,(1-O190/'01_설정'!$B$5))*'01_설정'!$B$14+MAX(0,(1-P190/'01_설정'!$B$7))*'01_설정'!$B$16+MAX(0,(1-Q190/'01_설정'!$B$8))*'01_설정'!$B$17+L190*'01_설정'!$B$11+M190*'01_설정'!$B$12+N190*50)</f>
        <v/>
      </c>
      <c r="T190">
        <f>IF(S190="","",1+COUNTIFS($S$31:$S$1030,"&gt;"&amp;S190)+COUNTIFS($S$31:S190,S190)-1)</f>
        <v/>
      </c>
    </row>
    <row r="191" hidden="1" ht="16.5" customHeight="1">
      <c r="A191">
        <f>IF(COUNTA('05_KAPA'!$A162:$AO162)=0,"",164)</f>
        <v/>
      </c>
      <c r="B191">
        <f>IF($A191="","",INDEX('05_KAPA'!$B:$B,$A191))</f>
        <v/>
      </c>
      <c r="C191">
        <f>IF($A191="","",INDEX('05_KAPA'!$F:$F,$A191))</f>
        <v/>
      </c>
      <c r="D191">
        <f>IF($A191="","",INDEX('05_KAPA'!$H:$H,$A191))</f>
        <v/>
      </c>
      <c r="E191">
        <f>IF($A191="","",INDEX('05_KAPA'!$K:$K,$A191))</f>
        <v/>
      </c>
      <c r="F191">
        <f>IF($A191="","",INDEX('05_KAPA'!$L:$L,$A191))</f>
        <v/>
      </c>
      <c r="G191">
        <f>IF($A191="","",INDEX('05_KAPA'!$I:$I,$A191))</f>
        <v/>
      </c>
      <c r="H191" s="202">
        <f>IF($A191="","",INDEX('05_KAPA'!$P:$P,$A191))</f>
        <v/>
      </c>
      <c r="I191" s="118">
        <f>IF($A191="","",INDEX('05_KAPA'!$O:$O,$A191))</f>
        <v/>
      </c>
      <c r="J191" s="202">
        <f>IF($A191="","",IFERROR(DATE(LEFT(TEXT(INDEX('05_KAPA'!$T:$T,$A191),"0"),4),MID(TEXT(INDEX('05_KAPA'!$T:$T,$A191),"0"),5,2),RIGHT(TEXT(INDEX('05_KAPA'!$T:$T,$A191),"0"),2)),""))</f>
        <v/>
      </c>
      <c r="K191">
        <f>IF(C191="","",IF('02_대상물건입력'!$B$5="",1,IF(ISNUMBER(SEARCH('02_대상물건입력'!$B$5,C191)),1,0)))</f>
        <v/>
      </c>
      <c r="L191">
        <f>IF(C191="","",IF('02_대상물건입력'!$B$6="",1,IF(ISNUMBER(SEARCH('02_대상물건입력'!$B$6,C191)),1,0)))</f>
        <v/>
      </c>
      <c r="M191">
        <f>IF(E191="","",IF('02_대상물건입력'!$B$8="",0,IF(ISNUMBER(SEARCH('02_대상물건입력'!$B$8,E191)),1,0)))</f>
        <v/>
      </c>
      <c r="N191">
        <f>IF(B191="","",IF(B191="담보",1,0))</f>
        <v/>
      </c>
      <c r="O191">
        <f>IFERROR(ABS(G191-'02_대상물건입력'!$B$11)/'02_대상물건입력'!$B$11,"")</f>
        <v/>
      </c>
      <c r="P191">
        <f>IFERROR(ABS('01_설정'!$B$4-H191),"")</f>
        <v/>
      </c>
      <c r="Q191">
        <f>IFERROR(ABS(YEAR(J191)-YEAR('02_대상물건입력'!$B$14)),"")</f>
        <v/>
      </c>
      <c r="R191">
        <f>IF(AND(G191&gt;0,H191&gt;0,I191&gt;0,N191=1,IF('01_설정'!$B$10=1,K191=1,TRUE()),O191&lt;='01_설정'!$B$5,P191&lt;='01_설정'!$B$7,Q191&lt;='01_설정'!$B$8),"Y","")</f>
        <v/>
      </c>
      <c r="S191">
        <f>IF(R191&lt;&gt;"Y","",MAX(0,(1-O191/'01_설정'!$B$5))*'01_설정'!$B$14+MAX(0,(1-P191/'01_설정'!$B$7))*'01_설정'!$B$16+MAX(0,(1-Q191/'01_설정'!$B$8))*'01_설정'!$B$17+L191*'01_설정'!$B$11+M191*'01_설정'!$B$12+N191*50)</f>
        <v/>
      </c>
      <c r="T191">
        <f>IF(S191="","",1+COUNTIFS($S$31:$S$1030,"&gt;"&amp;S191)+COUNTIFS($S$31:S191,S191)-1)</f>
        <v/>
      </c>
    </row>
    <row r="192" hidden="1" ht="16.5" customHeight="1">
      <c r="A192">
        <f>IF(COUNTA('05_KAPA'!$A163:$AO163)=0,"",165)</f>
        <v/>
      </c>
      <c r="B192">
        <f>IF($A192="","",INDEX('05_KAPA'!$B:$B,$A192))</f>
        <v/>
      </c>
      <c r="C192">
        <f>IF($A192="","",INDEX('05_KAPA'!$F:$F,$A192))</f>
        <v/>
      </c>
      <c r="D192">
        <f>IF($A192="","",INDEX('05_KAPA'!$H:$H,$A192))</f>
        <v/>
      </c>
      <c r="E192">
        <f>IF($A192="","",INDEX('05_KAPA'!$K:$K,$A192))</f>
        <v/>
      </c>
      <c r="F192">
        <f>IF($A192="","",INDEX('05_KAPA'!$L:$L,$A192))</f>
        <v/>
      </c>
      <c r="G192">
        <f>IF($A192="","",INDEX('05_KAPA'!$I:$I,$A192))</f>
        <v/>
      </c>
      <c r="H192" s="202">
        <f>IF($A192="","",INDEX('05_KAPA'!$P:$P,$A192))</f>
        <v/>
      </c>
      <c r="I192" s="118">
        <f>IF($A192="","",INDEX('05_KAPA'!$O:$O,$A192))</f>
        <v/>
      </c>
      <c r="J192" s="202">
        <f>IF($A192="","",IFERROR(DATE(LEFT(TEXT(INDEX('05_KAPA'!$T:$T,$A192),"0"),4),MID(TEXT(INDEX('05_KAPA'!$T:$T,$A192),"0"),5,2),RIGHT(TEXT(INDEX('05_KAPA'!$T:$T,$A192),"0"),2)),""))</f>
        <v/>
      </c>
      <c r="K192">
        <f>IF(C192="","",IF('02_대상물건입력'!$B$5="",1,IF(ISNUMBER(SEARCH('02_대상물건입력'!$B$5,C192)),1,0)))</f>
        <v/>
      </c>
      <c r="L192">
        <f>IF(C192="","",IF('02_대상물건입력'!$B$6="",1,IF(ISNUMBER(SEARCH('02_대상물건입력'!$B$6,C192)),1,0)))</f>
        <v/>
      </c>
      <c r="M192">
        <f>IF(E192="","",IF('02_대상물건입력'!$B$8="",0,IF(ISNUMBER(SEARCH('02_대상물건입력'!$B$8,E192)),1,0)))</f>
        <v/>
      </c>
      <c r="N192">
        <f>IF(B192="","",IF(B192="담보",1,0))</f>
        <v/>
      </c>
      <c r="O192">
        <f>IFERROR(ABS(G192-'02_대상물건입력'!$B$11)/'02_대상물건입력'!$B$11,"")</f>
        <v/>
      </c>
      <c r="P192">
        <f>IFERROR(ABS('01_설정'!$B$4-H192),"")</f>
        <v/>
      </c>
      <c r="Q192">
        <f>IFERROR(ABS(YEAR(J192)-YEAR('02_대상물건입력'!$B$14)),"")</f>
        <v/>
      </c>
      <c r="R192">
        <f>IF(AND(G192&gt;0,H192&gt;0,I192&gt;0,N192=1,IF('01_설정'!$B$10=1,K192=1,TRUE()),O192&lt;='01_설정'!$B$5,P192&lt;='01_설정'!$B$7,Q192&lt;='01_설정'!$B$8),"Y","")</f>
        <v/>
      </c>
      <c r="S192">
        <f>IF(R192&lt;&gt;"Y","",MAX(0,(1-O192/'01_설정'!$B$5))*'01_설정'!$B$14+MAX(0,(1-P192/'01_설정'!$B$7))*'01_설정'!$B$16+MAX(0,(1-Q192/'01_설정'!$B$8))*'01_설정'!$B$17+L192*'01_설정'!$B$11+M192*'01_설정'!$B$12+N192*50)</f>
        <v/>
      </c>
      <c r="T192">
        <f>IF(S192="","",1+COUNTIFS($S$31:$S$1030,"&gt;"&amp;S192)+COUNTIFS($S$31:S192,S192)-1)</f>
        <v/>
      </c>
    </row>
    <row r="193" hidden="1" ht="16.5" customHeight="1">
      <c r="A193">
        <f>IF(COUNTA('05_KAPA'!$A164:$AO164)=0,"",166)</f>
        <v/>
      </c>
      <c r="B193">
        <f>IF($A193="","",INDEX('05_KAPA'!$B:$B,$A193))</f>
        <v/>
      </c>
      <c r="C193">
        <f>IF($A193="","",INDEX('05_KAPA'!$F:$F,$A193))</f>
        <v/>
      </c>
      <c r="D193">
        <f>IF($A193="","",INDEX('05_KAPA'!$H:$H,$A193))</f>
        <v/>
      </c>
      <c r="E193">
        <f>IF($A193="","",INDEX('05_KAPA'!$K:$K,$A193))</f>
        <v/>
      </c>
      <c r="F193">
        <f>IF($A193="","",INDEX('05_KAPA'!$L:$L,$A193))</f>
        <v/>
      </c>
      <c r="G193">
        <f>IF($A193="","",INDEX('05_KAPA'!$I:$I,$A193))</f>
        <v/>
      </c>
      <c r="H193" s="202">
        <f>IF($A193="","",INDEX('05_KAPA'!$P:$P,$A193))</f>
        <v/>
      </c>
      <c r="I193" s="118">
        <f>IF($A193="","",INDEX('05_KAPA'!$O:$O,$A193))</f>
        <v/>
      </c>
      <c r="J193" s="202">
        <f>IF($A193="","",IFERROR(DATE(LEFT(TEXT(INDEX('05_KAPA'!$T:$T,$A193),"0"),4),MID(TEXT(INDEX('05_KAPA'!$T:$T,$A193),"0"),5,2),RIGHT(TEXT(INDEX('05_KAPA'!$T:$T,$A193),"0"),2)),""))</f>
        <v/>
      </c>
      <c r="K193">
        <f>IF(C193="","",IF('02_대상물건입력'!$B$5="",1,IF(ISNUMBER(SEARCH('02_대상물건입력'!$B$5,C193)),1,0)))</f>
        <v/>
      </c>
      <c r="L193">
        <f>IF(C193="","",IF('02_대상물건입력'!$B$6="",1,IF(ISNUMBER(SEARCH('02_대상물건입력'!$B$6,C193)),1,0)))</f>
        <v/>
      </c>
      <c r="M193">
        <f>IF(E193="","",IF('02_대상물건입력'!$B$8="",0,IF(ISNUMBER(SEARCH('02_대상물건입력'!$B$8,E193)),1,0)))</f>
        <v/>
      </c>
      <c r="N193">
        <f>IF(B193="","",IF(B193="담보",1,0))</f>
        <v/>
      </c>
      <c r="O193">
        <f>IFERROR(ABS(G193-'02_대상물건입력'!$B$11)/'02_대상물건입력'!$B$11,"")</f>
        <v/>
      </c>
      <c r="P193">
        <f>IFERROR(ABS('01_설정'!$B$4-H193),"")</f>
        <v/>
      </c>
      <c r="Q193">
        <f>IFERROR(ABS(YEAR(J193)-YEAR('02_대상물건입력'!$B$14)),"")</f>
        <v/>
      </c>
      <c r="R193">
        <f>IF(AND(G193&gt;0,H193&gt;0,I193&gt;0,N193=1,IF('01_설정'!$B$10=1,K193=1,TRUE()),O193&lt;='01_설정'!$B$5,P193&lt;='01_설정'!$B$7,Q193&lt;='01_설정'!$B$8),"Y","")</f>
        <v/>
      </c>
      <c r="S193">
        <f>IF(R193&lt;&gt;"Y","",MAX(0,(1-O193/'01_설정'!$B$5))*'01_설정'!$B$14+MAX(0,(1-P193/'01_설정'!$B$7))*'01_설정'!$B$16+MAX(0,(1-Q193/'01_설정'!$B$8))*'01_설정'!$B$17+L193*'01_설정'!$B$11+M193*'01_설정'!$B$12+N193*50)</f>
        <v/>
      </c>
      <c r="T193">
        <f>IF(S193="","",1+COUNTIFS($S$31:$S$1030,"&gt;"&amp;S193)+COUNTIFS($S$31:S193,S193)-1)</f>
        <v/>
      </c>
    </row>
    <row r="194" hidden="1" ht="16.5" customHeight="1">
      <c r="A194">
        <f>IF(COUNTA('05_KAPA'!$A165:$AO165)=0,"",167)</f>
        <v/>
      </c>
      <c r="B194">
        <f>IF($A194="","",INDEX('05_KAPA'!$B:$B,$A194))</f>
        <v/>
      </c>
      <c r="C194">
        <f>IF($A194="","",INDEX('05_KAPA'!$F:$F,$A194))</f>
        <v/>
      </c>
      <c r="D194">
        <f>IF($A194="","",INDEX('05_KAPA'!$H:$H,$A194))</f>
        <v/>
      </c>
      <c r="E194">
        <f>IF($A194="","",INDEX('05_KAPA'!$K:$K,$A194))</f>
        <v/>
      </c>
      <c r="F194">
        <f>IF($A194="","",INDEX('05_KAPA'!$L:$L,$A194))</f>
        <v/>
      </c>
      <c r="G194">
        <f>IF($A194="","",INDEX('05_KAPA'!$I:$I,$A194))</f>
        <v/>
      </c>
      <c r="H194" s="202">
        <f>IF($A194="","",INDEX('05_KAPA'!$P:$P,$A194))</f>
        <v/>
      </c>
      <c r="I194" s="118">
        <f>IF($A194="","",INDEX('05_KAPA'!$O:$O,$A194))</f>
        <v/>
      </c>
      <c r="J194" s="202">
        <f>IF($A194="","",IFERROR(DATE(LEFT(TEXT(INDEX('05_KAPA'!$T:$T,$A194),"0"),4),MID(TEXT(INDEX('05_KAPA'!$T:$T,$A194),"0"),5,2),RIGHT(TEXT(INDEX('05_KAPA'!$T:$T,$A194),"0"),2)),""))</f>
        <v/>
      </c>
      <c r="K194">
        <f>IF(C194="","",IF('02_대상물건입력'!$B$5="",1,IF(ISNUMBER(SEARCH('02_대상물건입력'!$B$5,C194)),1,0)))</f>
        <v/>
      </c>
      <c r="L194">
        <f>IF(C194="","",IF('02_대상물건입력'!$B$6="",1,IF(ISNUMBER(SEARCH('02_대상물건입력'!$B$6,C194)),1,0)))</f>
        <v/>
      </c>
      <c r="M194">
        <f>IF(E194="","",IF('02_대상물건입력'!$B$8="",0,IF(ISNUMBER(SEARCH('02_대상물건입력'!$B$8,E194)),1,0)))</f>
        <v/>
      </c>
      <c r="N194">
        <f>IF(B194="","",IF(B194="담보",1,0))</f>
        <v/>
      </c>
      <c r="O194">
        <f>IFERROR(ABS(G194-'02_대상물건입력'!$B$11)/'02_대상물건입력'!$B$11,"")</f>
        <v/>
      </c>
      <c r="P194">
        <f>IFERROR(ABS('01_설정'!$B$4-H194),"")</f>
        <v/>
      </c>
      <c r="Q194">
        <f>IFERROR(ABS(YEAR(J194)-YEAR('02_대상물건입력'!$B$14)),"")</f>
        <v/>
      </c>
      <c r="R194">
        <f>IF(AND(G194&gt;0,H194&gt;0,I194&gt;0,N194=1,IF('01_설정'!$B$10=1,K194=1,TRUE()),O194&lt;='01_설정'!$B$5,P194&lt;='01_설정'!$B$7,Q194&lt;='01_설정'!$B$8),"Y","")</f>
        <v/>
      </c>
      <c r="S194">
        <f>IF(R194&lt;&gt;"Y","",MAX(0,(1-O194/'01_설정'!$B$5))*'01_설정'!$B$14+MAX(0,(1-P194/'01_설정'!$B$7))*'01_설정'!$B$16+MAX(0,(1-Q194/'01_설정'!$B$8))*'01_설정'!$B$17+L194*'01_설정'!$B$11+M194*'01_설정'!$B$12+N194*50)</f>
        <v/>
      </c>
      <c r="T194">
        <f>IF(S194="","",1+COUNTIFS($S$31:$S$1030,"&gt;"&amp;S194)+COUNTIFS($S$31:S194,S194)-1)</f>
        <v/>
      </c>
    </row>
    <row r="195" hidden="1" ht="16.5" customHeight="1">
      <c r="A195">
        <f>IF(COUNTA('05_KAPA'!$A166:$AO166)=0,"",168)</f>
        <v/>
      </c>
      <c r="B195">
        <f>IF($A195="","",INDEX('05_KAPA'!$B:$B,$A195))</f>
        <v/>
      </c>
      <c r="C195">
        <f>IF($A195="","",INDEX('05_KAPA'!$F:$F,$A195))</f>
        <v/>
      </c>
      <c r="D195">
        <f>IF($A195="","",INDEX('05_KAPA'!$H:$H,$A195))</f>
        <v/>
      </c>
      <c r="E195">
        <f>IF($A195="","",INDEX('05_KAPA'!$K:$K,$A195))</f>
        <v/>
      </c>
      <c r="F195">
        <f>IF($A195="","",INDEX('05_KAPA'!$L:$L,$A195))</f>
        <v/>
      </c>
      <c r="G195">
        <f>IF($A195="","",INDEX('05_KAPA'!$I:$I,$A195))</f>
        <v/>
      </c>
      <c r="H195" s="202">
        <f>IF($A195="","",INDEX('05_KAPA'!$P:$P,$A195))</f>
        <v/>
      </c>
      <c r="I195" s="118">
        <f>IF($A195="","",INDEX('05_KAPA'!$O:$O,$A195))</f>
        <v/>
      </c>
      <c r="J195" s="202">
        <f>IF($A195="","",IFERROR(DATE(LEFT(TEXT(INDEX('05_KAPA'!$T:$T,$A195),"0"),4),MID(TEXT(INDEX('05_KAPA'!$T:$T,$A195),"0"),5,2),RIGHT(TEXT(INDEX('05_KAPA'!$T:$T,$A195),"0"),2)),""))</f>
        <v/>
      </c>
      <c r="K195">
        <f>IF(C195="","",IF('02_대상물건입력'!$B$5="",1,IF(ISNUMBER(SEARCH('02_대상물건입력'!$B$5,C195)),1,0)))</f>
        <v/>
      </c>
      <c r="L195">
        <f>IF(C195="","",IF('02_대상물건입력'!$B$6="",1,IF(ISNUMBER(SEARCH('02_대상물건입력'!$B$6,C195)),1,0)))</f>
        <v/>
      </c>
      <c r="M195">
        <f>IF(E195="","",IF('02_대상물건입력'!$B$8="",0,IF(ISNUMBER(SEARCH('02_대상물건입력'!$B$8,E195)),1,0)))</f>
        <v/>
      </c>
      <c r="N195">
        <f>IF(B195="","",IF(B195="담보",1,0))</f>
        <v/>
      </c>
      <c r="O195">
        <f>IFERROR(ABS(G195-'02_대상물건입력'!$B$11)/'02_대상물건입력'!$B$11,"")</f>
        <v/>
      </c>
      <c r="P195">
        <f>IFERROR(ABS('01_설정'!$B$4-H195),"")</f>
        <v/>
      </c>
      <c r="Q195">
        <f>IFERROR(ABS(YEAR(J195)-YEAR('02_대상물건입력'!$B$14)),"")</f>
        <v/>
      </c>
      <c r="R195">
        <f>IF(AND(G195&gt;0,H195&gt;0,I195&gt;0,N195=1,IF('01_설정'!$B$10=1,K195=1,TRUE()),O195&lt;='01_설정'!$B$5,P195&lt;='01_설정'!$B$7,Q195&lt;='01_설정'!$B$8),"Y","")</f>
        <v/>
      </c>
      <c r="S195">
        <f>IF(R195&lt;&gt;"Y","",MAX(0,(1-O195/'01_설정'!$B$5))*'01_설정'!$B$14+MAX(0,(1-P195/'01_설정'!$B$7))*'01_설정'!$B$16+MAX(0,(1-Q195/'01_설정'!$B$8))*'01_설정'!$B$17+L195*'01_설정'!$B$11+M195*'01_설정'!$B$12+N195*50)</f>
        <v/>
      </c>
      <c r="T195">
        <f>IF(S195="","",1+COUNTIFS($S$31:$S$1030,"&gt;"&amp;S195)+COUNTIFS($S$31:S195,S195)-1)</f>
        <v/>
      </c>
    </row>
    <row r="196" hidden="1" ht="16.5" customHeight="1">
      <c r="A196">
        <f>IF(COUNTA('05_KAPA'!$A167:$AO167)=0,"",169)</f>
        <v/>
      </c>
      <c r="B196">
        <f>IF($A196="","",INDEX('05_KAPA'!$B:$B,$A196))</f>
        <v/>
      </c>
      <c r="C196">
        <f>IF($A196="","",INDEX('05_KAPA'!$F:$F,$A196))</f>
        <v/>
      </c>
      <c r="D196">
        <f>IF($A196="","",INDEX('05_KAPA'!$H:$H,$A196))</f>
        <v/>
      </c>
      <c r="E196">
        <f>IF($A196="","",INDEX('05_KAPA'!$K:$K,$A196))</f>
        <v/>
      </c>
      <c r="F196">
        <f>IF($A196="","",INDEX('05_KAPA'!$L:$L,$A196))</f>
        <v/>
      </c>
      <c r="G196">
        <f>IF($A196="","",INDEX('05_KAPA'!$I:$I,$A196))</f>
        <v/>
      </c>
      <c r="H196" s="202">
        <f>IF($A196="","",INDEX('05_KAPA'!$P:$P,$A196))</f>
        <v/>
      </c>
      <c r="I196" s="118">
        <f>IF($A196="","",INDEX('05_KAPA'!$O:$O,$A196))</f>
        <v/>
      </c>
      <c r="J196" s="202">
        <f>IF($A196="","",IFERROR(DATE(LEFT(TEXT(INDEX('05_KAPA'!$T:$T,$A196),"0"),4),MID(TEXT(INDEX('05_KAPA'!$T:$T,$A196),"0"),5,2),RIGHT(TEXT(INDEX('05_KAPA'!$T:$T,$A196),"0"),2)),""))</f>
        <v/>
      </c>
      <c r="K196">
        <f>IF(C196="","",IF('02_대상물건입력'!$B$5="",1,IF(ISNUMBER(SEARCH('02_대상물건입력'!$B$5,C196)),1,0)))</f>
        <v/>
      </c>
      <c r="L196">
        <f>IF(C196="","",IF('02_대상물건입력'!$B$6="",1,IF(ISNUMBER(SEARCH('02_대상물건입력'!$B$6,C196)),1,0)))</f>
        <v/>
      </c>
      <c r="M196">
        <f>IF(E196="","",IF('02_대상물건입력'!$B$8="",0,IF(ISNUMBER(SEARCH('02_대상물건입력'!$B$8,E196)),1,0)))</f>
        <v/>
      </c>
      <c r="N196">
        <f>IF(B196="","",IF(B196="담보",1,0))</f>
        <v/>
      </c>
      <c r="O196">
        <f>IFERROR(ABS(G196-'02_대상물건입력'!$B$11)/'02_대상물건입력'!$B$11,"")</f>
        <v/>
      </c>
      <c r="P196">
        <f>IFERROR(ABS('01_설정'!$B$4-H196),"")</f>
        <v/>
      </c>
      <c r="Q196">
        <f>IFERROR(ABS(YEAR(J196)-YEAR('02_대상물건입력'!$B$14)),"")</f>
        <v/>
      </c>
      <c r="R196">
        <f>IF(AND(G196&gt;0,H196&gt;0,I196&gt;0,N196=1,IF('01_설정'!$B$10=1,K196=1,TRUE()),O196&lt;='01_설정'!$B$5,P196&lt;='01_설정'!$B$7,Q196&lt;='01_설정'!$B$8),"Y","")</f>
        <v/>
      </c>
      <c r="S196">
        <f>IF(R196&lt;&gt;"Y","",MAX(0,(1-O196/'01_설정'!$B$5))*'01_설정'!$B$14+MAX(0,(1-P196/'01_설정'!$B$7))*'01_설정'!$B$16+MAX(0,(1-Q196/'01_설정'!$B$8))*'01_설정'!$B$17+L196*'01_설정'!$B$11+M196*'01_설정'!$B$12+N196*50)</f>
        <v/>
      </c>
      <c r="T196">
        <f>IF(S196="","",1+COUNTIFS($S$31:$S$1030,"&gt;"&amp;S196)+COUNTIFS($S$31:S196,S196)-1)</f>
        <v/>
      </c>
    </row>
    <row r="197" hidden="1" ht="16.5" customHeight="1">
      <c r="A197">
        <f>IF(COUNTA('05_KAPA'!$A168:$AO168)=0,"",170)</f>
        <v/>
      </c>
      <c r="B197">
        <f>IF($A197="","",INDEX('05_KAPA'!$B:$B,$A197))</f>
        <v/>
      </c>
      <c r="C197">
        <f>IF($A197="","",INDEX('05_KAPA'!$F:$F,$A197))</f>
        <v/>
      </c>
      <c r="D197">
        <f>IF($A197="","",INDEX('05_KAPA'!$H:$H,$A197))</f>
        <v/>
      </c>
      <c r="E197">
        <f>IF($A197="","",INDEX('05_KAPA'!$K:$K,$A197))</f>
        <v/>
      </c>
      <c r="F197">
        <f>IF($A197="","",INDEX('05_KAPA'!$L:$L,$A197))</f>
        <v/>
      </c>
      <c r="G197">
        <f>IF($A197="","",INDEX('05_KAPA'!$I:$I,$A197))</f>
        <v/>
      </c>
      <c r="H197" s="202">
        <f>IF($A197="","",INDEX('05_KAPA'!$P:$P,$A197))</f>
        <v/>
      </c>
      <c r="I197" s="118">
        <f>IF($A197="","",INDEX('05_KAPA'!$O:$O,$A197))</f>
        <v/>
      </c>
      <c r="J197" s="202">
        <f>IF($A197="","",IFERROR(DATE(LEFT(TEXT(INDEX('05_KAPA'!$T:$T,$A197),"0"),4),MID(TEXT(INDEX('05_KAPA'!$T:$T,$A197),"0"),5,2),RIGHT(TEXT(INDEX('05_KAPA'!$T:$T,$A197),"0"),2)),""))</f>
        <v/>
      </c>
      <c r="K197">
        <f>IF(C197="","",IF('02_대상물건입력'!$B$5="",1,IF(ISNUMBER(SEARCH('02_대상물건입력'!$B$5,C197)),1,0)))</f>
        <v/>
      </c>
      <c r="L197">
        <f>IF(C197="","",IF('02_대상물건입력'!$B$6="",1,IF(ISNUMBER(SEARCH('02_대상물건입력'!$B$6,C197)),1,0)))</f>
        <v/>
      </c>
      <c r="M197">
        <f>IF(E197="","",IF('02_대상물건입력'!$B$8="",0,IF(ISNUMBER(SEARCH('02_대상물건입력'!$B$8,E197)),1,0)))</f>
        <v/>
      </c>
      <c r="N197">
        <f>IF(B197="","",IF(B197="담보",1,0))</f>
        <v/>
      </c>
      <c r="O197">
        <f>IFERROR(ABS(G197-'02_대상물건입력'!$B$11)/'02_대상물건입력'!$B$11,"")</f>
        <v/>
      </c>
      <c r="P197">
        <f>IFERROR(ABS('01_설정'!$B$4-H197),"")</f>
        <v/>
      </c>
      <c r="Q197">
        <f>IFERROR(ABS(YEAR(J197)-YEAR('02_대상물건입력'!$B$14)),"")</f>
        <v/>
      </c>
      <c r="R197">
        <f>IF(AND(G197&gt;0,H197&gt;0,I197&gt;0,N197=1,IF('01_설정'!$B$10=1,K197=1,TRUE()),O197&lt;='01_설정'!$B$5,P197&lt;='01_설정'!$B$7,Q197&lt;='01_설정'!$B$8),"Y","")</f>
        <v/>
      </c>
      <c r="S197">
        <f>IF(R197&lt;&gt;"Y","",MAX(0,(1-O197/'01_설정'!$B$5))*'01_설정'!$B$14+MAX(0,(1-P197/'01_설정'!$B$7))*'01_설정'!$B$16+MAX(0,(1-Q197/'01_설정'!$B$8))*'01_설정'!$B$17+L197*'01_설정'!$B$11+M197*'01_설정'!$B$12+N197*50)</f>
        <v/>
      </c>
      <c r="T197">
        <f>IF(S197="","",1+COUNTIFS($S$31:$S$1030,"&gt;"&amp;S197)+COUNTIFS($S$31:S197,S197)-1)</f>
        <v/>
      </c>
    </row>
    <row r="198" hidden="1" ht="16.5" customHeight="1">
      <c r="A198">
        <f>IF(COUNTA('05_KAPA'!$A169:$AO169)=0,"",171)</f>
        <v/>
      </c>
      <c r="B198">
        <f>IF($A198="","",INDEX('05_KAPA'!$B:$B,$A198))</f>
        <v/>
      </c>
      <c r="C198">
        <f>IF($A198="","",INDEX('05_KAPA'!$F:$F,$A198))</f>
        <v/>
      </c>
      <c r="D198">
        <f>IF($A198="","",INDEX('05_KAPA'!$H:$H,$A198))</f>
        <v/>
      </c>
      <c r="E198">
        <f>IF($A198="","",INDEX('05_KAPA'!$K:$K,$A198))</f>
        <v/>
      </c>
      <c r="F198">
        <f>IF($A198="","",INDEX('05_KAPA'!$L:$L,$A198))</f>
        <v/>
      </c>
      <c r="G198">
        <f>IF($A198="","",INDEX('05_KAPA'!$I:$I,$A198))</f>
        <v/>
      </c>
      <c r="H198" s="202">
        <f>IF($A198="","",INDEX('05_KAPA'!$P:$P,$A198))</f>
        <v/>
      </c>
      <c r="I198" s="118">
        <f>IF($A198="","",INDEX('05_KAPA'!$O:$O,$A198))</f>
        <v/>
      </c>
      <c r="J198" s="202">
        <f>IF($A198="","",IFERROR(DATE(LEFT(TEXT(INDEX('05_KAPA'!$T:$T,$A198),"0"),4),MID(TEXT(INDEX('05_KAPA'!$T:$T,$A198),"0"),5,2),RIGHT(TEXT(INDEX('05_KAPA'!$T:$T,$A198),"0"),2)),""))</f>
        <v/>
      </c>
      <c r="K198">
        <f>IF(C198="","",IF('02_대상물건입력'!$B$5="",1,IF(ISNUMBER(SEARCH('02_대상물건입력'!$B$5,C198)),1,0)))</f>
        <v/>
      </c>
      <c r="L198">
        <f>IF(C198="","",IF('02_대상물건입력'!$B$6="",1,IF(ISNUMBER(SEARCH('02_대상물건입력'!$B$6,C198)),1,0)))</f>
        <v/>
      </c>
      <c r="M198">
        <f>IF(E198="","",IF('02_대상물건입력'!$B$8="",0,IF(ISNUMBER(SEARCH('02_대상물건입력'!$B$8,E198)),1,0)))</f>
        <v/>
      </c>
      <c r="N198">
        <f>IF(B198="","",IF(B198="담보",1,0))</f>
        <v/>
      </c>
      <c r="O198">
        <f>IFERROR(ABS(G198-'02_대상물건입력'!$B$11)/'02_대상물건입력'!$B$11,"")</f>
        <v/>
      </c>
      <c r="P198">
        <f>IFERROR(ABS('01_설정'!$B$4-H198),"")</f>
        <v/>
      </c>
      <c r="Q198">
        <f>IFERROR(ABS(YEAR(J198)-YEAR('02_대상물건입력'!$B$14)),"")</f>
        <v/>
      </c>
      <c r="R198">
        <f>IF(AND(G198&gt;0,H198&gt;0,I198&gt;0,N198=1,IF('01_설정'!$B$10=1,K198=1,TRUE()),O198&lt;='01_설정'!$B$5,P198&lt;='01_설정'!$B$7,Q198&lt;='01_설정'!$B$8),"Y","")</f>
        <v/>
      </c>
      <c r="S198">
        <f>IF(R198&lt;&gt;"Y","",MAX(0,(1-O198/'01_설정'!$B$5))*'01_설정'!$B$14+MAX(0,(1-P198/'01_설정'!$B$7))*'01_설정'!$B$16+MAX(0,(1-Q198/'01_설정'!$B$8))*'01_설정'!$B$17+L198*'01_설정'!$B$11+M198*'01_설정'!$B$12+N198*50)</f>
        <v/>
      </c>
      <c r="T198">
        <f>IF(S198="","",1+COUNTIFS($S$31:$S$1030,"&gt;"&amp;S198)+COUNTIFS($S$31:S198,S198)-1)</f>
        <v/>
      </c>
    </row>
    <row r="199" hidden="1" ht="16.5" customHeight="1">
      <c r="A199">
        <f>IF(COUNTA('05_KAPA'!$A170:$AO170)=0,"",172)</f>
        <v/>
      </c>
      <c r="B199">
        <f>IF($A199="","",INDEX('05_KAPA'!$B:$B,$A199))</f>
        <v/>
      </c>
      <c r="C199">
        <f>IF($A199="","",INDEX('05_KAPA'!$F:$F,$A199))</f>
        <v/>
      </c>
      <c r="D199">
        <f>IF($A199="","",INDEX('05_KAPA'!$H:$H,$A199))</f>
        <v/>
      </c>
      <c r="E199">
        <f>IF($A199="","",INDEX('05_KAPA'!$K:$K,$A199))</f>
        <v/>
      </c>
      <c r="F199">
        <f>IF($A199="","",INDEX('05_KAPA'!$L:$L,$A199))</f>
        <v/>
      </c>
      <c r="G199">
        <f>IF($A199="","",INDEX('05_KAPA'!$I:$I,$A199))</f>
        <v/>
      </c>
      <c r="H199" s="202">
        <f>IF($A199="","",INDEX('05_KAPA'!$P:$P,$A199))</f>
        <v/>
      </c>
      <c r="I199" s="118">
        <f>IF($A199="","",INDEX('05_KAPA'!$O:$O,$A199))</f>
        <v/>
      </c>
      <c r="J199" s="202">
        <f>IF($A199="","",IFERROR(DATE(LEFT(TEXT(INDEX('05_KAPA'!$T:$T,$A199),"0"),4),MID(TEXT(INDEX('05_KAPA'!$T:$T,$A199),"0"),5,2),RIGHT(TEXT(INDEX('05_KAPA'!$T:$T,$A199),"0"),2)),""))</f>
        <v/>
      </c>
      <c r="K199">
        <f>IF(C199="","",IF('02_대상물건입력'!$B$5="",1,IF(ISNUMBER(SEARCH('02_대상물건입력'!$B$5,C199)),1,0)))</f>
        <v/>
      </c>
      <c r="L199">
        <f>IF(C199="","",IF('02_대상물건입력'!$B$6="",1,IF(ISNUMBER(SEARCH('02_대상물건입력'!$B$6,C199)),1,0)))</f>
        <v/>
      </c>
      <c r="M199">
        <f>IF(E199="","",IF('02_대상물건입력'!$B$8="",0,IF(ISNUMBER(SEARCH('02_대상물건입력'!$B$8,E199)),1,0)))</f>
        <v/>
      </c>
      <c r="N199">
        <f>IF(B199="","",IF(B199="담보",1,0))</f>
        <v/>
      </c>
      <c r="O199">
        <f>IFERROR(ABS(G199-'02_대상물건입력'!$B$11)/'02_대상물건입력'!$B$11,"")</f>
        <v/>
      </c>
      <c r="P199">
        <f>IFERROR(ABS('01_설정'!$B$4-H199),"")</f>
        <v/>
      </c>
      <c r="Q199">
        <f>IFERROR(ABS(YEAR(J199)-YEAR('02_대상물건입력'!$B$14)),"")</f>
        <v/>
      </c>
      <c r="R199">
        <f>IF(AND(G199&gt;0,H199&gt;0,I199&gt;0,N199=1,IF('01_설정'!$B$10=1,K199=1,TRUE()),O199&lt;='01_설정'!$B$5,P199&lt;='01_설정'!$B$7,Q199&lt;='01_설정'!$B$8),"Y","")</f>
        <v/>
      </c>
      <c r="S199">
        <f>IF(R199&lt;&gt;"Y","",MAX(0,(1-O199/'01_설정'!$B$5))*'01_설정'!$B$14+MAX(0,(1-P199/'01_설정'!$B$7))*'01_설정'!$B$16+MAX(0,(1-Q199/'01_설정'!$B$8))*'01_설정'!$B$17+L199*'01_설정'!$B$11+M199*'01_설정'!$B$12+N199*50)</f>
        <v/>
      </c>
      <c r="T199">
        <f>IF(S199="","",1+COUNTIFS($S$31:$S$1030,"&gt;"&amp;S199)+COUNTIFS($S$31:S199,S199)-1)</f>
        <v/>
      </c>
    </row>
    <row r="200" hidden="1" ht="16.5" customHeight="1">
      <c r="A200">
        <f>IF(COUNTA('05_KAPA'!$A171:$AO171)=0,"",173)</f>
        <v/>
      </c>
      <c r="B200">
        <f>IF($A200="","",INDEX('05_KAPA'!$B:$B,$A200))</f>
        <v/>
      </c>
      <c r="C200">
        <f>IF($A200="","",INDEX('05_KAPA'!$F:$F,$A200))</f>
        <v/>
      </c>
      <c r="D200">
        <f>IF($A200="","",INDEX('05_KAPA'!$H:$H,$A200))</f>
        <v/>
      </c>
      <c r="E200">
        <f>IF($A200="","",INDEX('05_KAPA'!$K:$K,$A200))</f>
        <v/>
      </c>
      <c r="F200">
        <f>IF($A200="","",INDEX('05_KAPA'!$L:$L,$A200))</f>
        <v/>
      </c>
      <c r="G200">
        <f>IF($A200="","",INDEX('05_KAPA'!$I:$I,$A200))</f>
        <v/>
      </c>
      <c r="H200" s="202">
        <f>IF($A200="","",INDEX('05_KAPA'!$P:$P,$A200))</f>
        <v/>
      </c>
      <c r="I200" s="118">
        <f>IF($A200="","",INDEX('05_KAPA'!$O:$O,$A200))</f>
        <v/>
      </c>
      <c r="J200" s="202">
        <f>IF($A200="","",IFERROR(DATE(LEFT(TEXT(INDEX('05_KAPA'!$T:$T,$A200),"0"),4),MID(TEXT(INDEX('05_KAPA'!$T:$T,$A200),"0"),5,2),RIGHT(TEXT(INDEX('05_KAPA'!$T:$T,$A200),"0"),2)),""))</f>
        <v/>
      </c>
      <c r="K200">
        <f>IF(C200="","",IF('02_대상물건입력'!$B$5="",1,IF(ISNUMBER(SEARCH('02_대상물건입력'!$B$5,C200)),1,0)))</f>
        <v/>
      </c>
      <c r="L200">
        <f>IF(C200="","",IF('02_대상물건입력'!$B$6="",1,IF(ISNUMBER(SEARCH('02_대상물건입력'!$B$6,C200)),1,0)))</f>
        <v/>
      </c>
      <c r="M200">
        <f>IF(E200="","",IF('02_대상물건입력'!$B$8="",0,IF(ISNUMBER(SEARCH('02_대상물건입력'!$B$8,E200)),1,0)))</f>
        <v/>
      </c>
      <c r="N200">
        <f>IF(B200="","",IF(B200="담보",1,0))</f>
        <v/>
      </c>
      <c r="O200">
        <f>IFERROR(ABS(G200-'02_대상물건입력'!$B$11)/'02_대상물건입력'!$B$11,"")</f>
        <v/>
      </c>
      <c r="P200">
        <f>IFERROR(ABS('01_설정'!$B$4-H200),"")</f>
        <v/>
      </c>
      <c r="Q200">
        <f>IFERROR(ABS(YEAR(J200)-YEAR('02_대상물건입력'!$B$14)),"")</f>
        <v/>
      </c>
      <c r="R200">
        <f>IF(AND(G200&gt;0,H200&gt;0,I200&gt;0,N200=1,IF('01_설정'!$B$10=1,K200=1,TRUE()),O200&lt;='01_설정'!$B$5,P200&lt;='01_설정'!$B$7,Q200&lt;='01_설정'!$B$8),"Y","")</f>
        <v/>
      </c>
      <c r="S200">
        <f>IF(R200&lt;&gt;"Y","",MAX(0,(1-O200/'01_설정'!$B$5))*'01_설정'!$B$14+MAX(0,(1-P200/'01_설정'!$B$7))*'01_설정'!$B$16+MAX(0,(1-Q200/'01_설정'!$B$8))*'01_설정'!$B$17+L200*'01_설정'!$B$11+M200*'01_설정'!$B$12+N200*50)</f>
        <v/>
      </c>
      <c r="T200">
        <f>IF(S200="","",1+COUNTIFS($S$31:$S$1030,"&gt;"&amp;S200)+COUNTIFS($S$31:S200,S200)-1)</f>
        <v/>
      </c>
    </row>
    <row r="201" hidden="1" ht="16.5" customHeight="1">
      <c r="A201">
        <f>IF(COUNTA('05_KAPA'!$A172:$AO172)=0,"",174)</f>
        <v/>
      </c>
      <c r="B201">
        <f>IF($A201="","",INDEX('05_KAPA'!$B:$B,$A201))</f>
        <v/>
      </c>
      <c r="C201">
        <f>IF($A201="","",INDEX('05_KAPA'!$F:$F,$A201))</f>
        <v/>
      </c>
      <c r="D201">
        <f>IF($A201="","",INDEX('05_KAPA'!$H:$H,$A201))</f>
        <v/>
      </c>
      <c r="E201">
        <f>IF($A201="","",INDEX('05_KAPA'!$K:$K,$A201))</f>
        <v/>
      </c>
      <c r="F201">
        <f>IF($A201="","",INDEX('05_KAPA'!$L:$L,$A201))</f>
        <v/>
      </c>
      <c r="G201">
        <f>IF($A201="","",INDEX('05_KAPA'!$I:$I,$A201))</f>
        <v/>
      </c>
      <c r="H201" s="202">
        <f>IF($A201="","",INDEX('05_KAPA'!$P:$P,$A201))</f>
        <v/>
      </c>
      <c r="I201" s="118">
        <f>IF($A201="","",INDEX('05_KAPA'!$O:$O,$A201))</f>
        <v/>
      </c>
      <c r="J201" s="202">
        <f>IF($A201="","",IFERROR(DATE(LEFT(TEXT(INDEX('05_KAPA'!$T:$T,$A201),"0"),4),MID(TEXT(INDEX('05_KAPA'!$T:$T,$A201),"0"),5,2),RIGHT(TEXT(INDEX('05_KAPA'!$T:$T,$A201),"0"),2)),""))</f>
        <v/>
      </c>
      <c r="K201">
        <f>IF(C201="","",IF('02_대상물건입력'!$B$5="",1,IF(ISNUMBER(SEARCH('02_대상물건입력'!$B$5,C201)),1,0)))</f>
        <v/>
      </c>
      <c r="L201">
        <f>IF(C201="","",IF('02_대상물건입력'!$B$6="",1,IF(ISNUMBER(SEARCH('02_대상물건입력'!$B$6,C201)),1,0)))</f>
        <v/>
      </c>
      <c r="M201">
        <f>IF(E201="","",IF('02_대상물건입력'!$B$8="",0,IF(ISNUMBER(SEARCH('02_대상물건입력'!$B$8,E201)),1,0)))</f>
        <v/>
      </c>
      <c r="N201">
        <f>IF(B201="","",IF(B201="담보",1,0))</f>
        <v/>
      </c>
      <c r="O201">
        <f>IFERROR(ABS(G201-'02_대상물건입력'!$B$11)/'02_대상물건입력'!$B$11,"")</f>
        <v/>
      </c>
      <c r="P201">
        <f>IFERROR(ABS('01_설정'!$B$4-H201),"")</f>
        <v/>
      </c>
      <c r="Q201">
        <f>IFERROR(ABS(YEAR(J201)-YEAR('02_대상물건입력'!$B$14)),"")</f>
        <v/>
      </c>
      <c r="R201">
        <f>IF(AND(G201&gt;0,H201&gt;0,I201&gt;0,N201=1,IF('01_설정'!$B$10=1,K201=1,TRUE()),O201&lt;='01_설정'!$B$5,P201&lt;='01_설정'!$B$7,Q201&lt;='01_설정'!$B$8),"Y","")</f>
        <v/>
      </c>
      <c r="S201">
        <f>IF(R201&lt;&gt;"Y","",MAX(0,(1-O201/'01_설정'!$B$5))*'01_설정'!$B$14+MAX(0,(1-P201/'01_설정'!$B$7))*'01_설정'!$B$16+MAX(0,(1-Q201/'01_설정'!$B$8))*'01_설정'!$B$17+L201*'01_설정'!$B$11+M201*'01_설정'!$B$12+N201*50)</f>
        <v/>
      </c>
      <c r="T201">
        <f>IF(S201="","",1+COUNTIFS($S$31:$S$1030,"&gt;"&amp;S201)+COUNTIFS($S$31:S201,S201)-1)</f>
        <v/>
      </c>
    </row>
    <row r="202" hidden="1" ht="16.5" customHeight="1">
      <c r="A202">
        <f>IF(COUNTA('05_KAPA'!$A173:$AO173)=0,"",175)</f>
        <v/>
      </c>
      <c r="B202">
        <f>IF($A202="","",INDEX('05_KAPA'!$B:$B,$A202))</f>
        <v/>
      </c>
      <c r="C202">
        <f>IF($A202="","",INDEX('05_KAPA'!$F:$F,$A202))</f>
        <v/>
      </c>
      <c r="D202">
        <f>IF($A202="","",INDEX('05_KAPA'!$H:$H,$A202))</f>
        <v/>
      </c>
      <c r="E202">
        <f>IF($A202="","",INDEX('05_KAPA'!$K:$K,$A202))</f>
        <v/>
      </c>
      <c r="F202">
        <f>IF($A202="","",INDEX('05_KAPA'!$L:$L,$A202))</f>
        <v/>
      </c>
      <c r="G202">
        <f>IF($A202="","",INDEX('05_KAPA'!$I:$I,$A202))</f>
        <v/>
      </c>
      <c r="H202" s="202">
        <f>IF($A202="","",INDEX('05_KAPA'!$P:$P,$A202))</f>
        <v/>
      </c>
      <c r="I202" s="118">
        <f>IF($A202="","",INDEX('05_KAPA'!$O:$O,$A202))</f>
        <v/>
      </c>
      <c r="J202" s="202">
        <f>IF($A202="","",IFERROR(DATE(LEFT(TEXT(INDEX('05_KAPA'!$T:$T,$A202),"0"),4),MID(TEXT(INDEX('05_KAPA'!$T:$T,$A202),"0"),5,2),RIGHT(TEXT(INDEX('05_KAPA'!$T:$T,$A202),"0"),2)),""))</f>
        <v/>
      </c>
      <c r="K202">
        <f>IF(C202="","",IF('02_대상물건입력'!$B$5="",1,IF(ISNUMBER(SEARCH('02_대상물건입력'!$B$5,C202)),1,0)))</f>
        <v/>
      </c>
      <c r="L202">
        <f>IF(C202="","",IF('02_대상물건입력'!$B$6="",1,IF(ISNUMBER(SEARCH('02_대상물건입력'!$B$6,C202)),1,0)))</f>
        <v/>
      </c>
      <c r="M202">
        <f>IF(E202="","",IF('02_대상물건입력'!$B$8="",0,IF(ISNUMBER(SEARCH('02_대상물건입력'!$B$8,E202)),1,0)))</f>
        <v/>
      </c>
      <c r="N202">
        <f>IF(B202="","",IF(B202="담보",1,0))</f>
        <v/>
      </c>
      <c r="O202">
        <f>IFERROR(ABS(G202-'02_대상물건입력'!$B$11)/'02_대상물건입력'!$B$11,"")</f>
        <v/>
      </c>
      <c r="P202">
        <f>IFERROR(ABS('01_설정'!$B$4-H202),"")</f>
        <v/>
      </c>
      <c r="Q202">
        <f>IFERROR(ABS(YEAR(J202)-YEAR('02_대상물건입력'!$B$14)),"")</f>
        <v/>
      </c>
      <c r="R202">
        <f>IF(AND(G202&gt;0,H202&gt;0,I202&gt;0,N202=1,IF('01_설정'!$B$10=1,K202=1,TRUE()),O202&lt;='01_설정'!$B$5,P202&lt;='01_설정'!$B$7,Q202&lt;='01_설정'!$B$8),"Y","")</f>
        <v/>
      </c>
      <c r="S202">
        <f>IF(R202&lt;&gt;"Y","",MAX(0,(1-O202/'01_설정'!$B$5))*'01_설정'!$B$14+MAX(0,(1-P202/'01_설정'!$B$7))*'01_설정'!$B$16+MAX(0,(1-Q202/'01_설정'!$B$8))*'01_설정'!$B$17+L202*'01_설정'!$B$11+M202*'01_설정'!$B$12+N202*50)</f>
        <v/>
      </c>
      <c r="T202">
        <f>IF(S202="","",1+COUNTIFS($S$31:$S$1030,"&gt;"&amp;S202)+COUNTIFS($S$31:S202,S202)-1)</f>
        <v/>
      </c>
    </row>
    <row r="203" hidden="1" ht="16.5" customHeight="1">
      <c r="A203">
        <f>IF(COUNTA('05_KAPA'!$A174:$AO174)=0,"",176)</f>
        <v/>
      </c>
      <c r="B203">
        <f>IF($A203="","",INDEX('05_KAPA'!$B:$B,$A203))</f>
        <v/>
      </c>
      <c r="C203">
        <f>IF($A203="","",INDEX('05_KAPA'!$F:$F,$A203))</f>
        <v/>
      </c>
      <c r="D203">
        <f>IF($A203="","",INDEX('05_KAPA'!$H:$H,$A203))</f>
        <v/>
      </c>
      <c r="E203">
        <f>IF($A203="","",INDEX('05_KAPA'!$K:$K,$A203))</f>
        <v/>
      </c>
      <c r="F203">
        <f>IF($A203="","",INDEX('05_KAPA'!$L:$L,$A203))</f>
        <v/>
      </c>
      <c r="G203">
        <f>IF($A203="","",INDEX('05_KAPA'!$I:$I,$A203))</f>
        <v/>
      </c>
      <c r="H203" s="202">
        <f>IF($A203="","",INDEX('05_KAPA'!$P:$P,$A203))</f>
        <v/>
      </c>
      <c r="I203" s="118">
        <f>IF($A203="","",INDEX('05_KAPA'!$O:$O,$A203))</f>
        <v/>
      </c>
      <c r="J203" s="202">
        <f>IF($A203="","",IFERROR(DATE(LEFT(TEXT(INDEX('05_KAPA'!$T:$T,$A203),"0"),4),MID(TEXT(INDEX('05_KAPA'!$T:$T,$A203),"0"),5,2),RIGHT(TEXT(INDEX('05_KAPA'!$T:$T,$A203),"0"),2)),""))</f>
        <v/>
      </c>
      <c r="K203">
        <f>IF(C203="","",IF('02_대상물건입력'!$B$5="",1,IF(ISNUMBER(SEARCH('02_대상물건입력'!$B$5,C203)),1,0)))</f>
        <v/>
      </c>
      <c r="L203">
        <f>IF(C203="","",IF('02_대상물건입력'!$B$6="",1,IF(ISNUMBER(SEARCH('02_대상물건입력'!$B$6,C203)),1,0)))</f>
        <v/>
      </c>
      <c r="M203">
        <f>IF(E203="","",IF('02_대상물건입력'!$B$8="",0,IF(ISNUMBER(SEARCH('02_대상물건입력'!$B$8,E203)),1,0)))</f>
        <v/>
      </c>
      <c r="N203">
        <f>IF(B203="","",IF(B203="담보",1,0))</f>
        <v/>
      </c>
      <c r="O203">
        <f>IFERROR(ABS(G203-'02_대상물건입력'!$B$11)/'02_대상물건입력'!$B$11,"")</f>
        <v/>
      </c>
      <c r="P203">
        <f>IFERROR(ABS('01_설정'!$B$4-H203),"")</f>
        <v/>
      </c>
      <c r="Q203">
        <f>IFERROR(ABS(YEAR(J203)-YEAR('02_대상물건입력'!$B$14)),"")</f>
        <v/>
      </c>
      <c r="R203">
        <f>IF(AND(G203&gt;0,H203&gt;0,I203&gt;0,N203=1,IF('01_설정'!$B$10=1,K203=1,TRUE()),O203&lt;='01_설정'!$B$5,P203&lt;='01_설정'!$B$7,Q203&lt;='01_설정'!$B$8),"Y","")</f>
        <v/>
      </c>
      <c r="S203">
        <f>IF(R203&lt;&gt;"Y","",MAX(0,(1-O203/'01_설정'!$B$5))*'01_설정'!$B$14+MAX(0,(1-P203/'01_설정'!$B$7))*'01_설정'!$B$16+MAX(0,(1-Q203/'01_설정'!$B$8))*'01_설정'!$B$17+L203*'01_설정'!$B$11+M203*'01_설정'!$B$12+N203*50)</f>
        <v/>
      </c>
      <c r="T203">
        <f>IF(S203="","",1+COUNTIFS($S$31:$S$1030,"&gt;"&amp;S203)+COUNTIFS($S$31:S203,S203)-1)</f>
        <v/>
      </c>
    </row>
    <row r="204" hidden="1" ht="16.5" customHeight="1">
      <c r="A204">
        <f>IF(COUNTA('05_KAPA'!$A175:$AO175)=0,"",177)</f>
        <v/>
      </c>
      <c r="B204">
        <f>IF($A204="","",INDEX('05_KAPA'!$B:$B,$A204))</f>
        <v/>
      </c>
      <c r="C204">
        <f>IF($A204="","",INDEX('05_KAPA'!$F:$F,$A204))</f>
        <v/>
      </c>
      <c r="D204">
        <f>IF($A204="","",INDEX('05_KAPA'!$H:$H,$A204))</f>
        <v/>
      </c>
      <c r="E204">
        <f>IF($A204="","",INDEX('05_KAPA'!$K:$K,$A204))</f>
        <v/>
      </c>
      <c r="F204">
        <f>IF($A204="","",INDEX('05_KAPA'!$L:$L,$A204))</f>
        <v/>
      </c>
      <c r="G204">
        <f>IF($A204="","",INDEX('05_KAPA'!$I:$I,$A204))</f>
        <v/>
      </c>
      <c r="H204" s="202">
        <f>IF($A204="","",INDEX('05_KAPA'!$P:$P,$A204))</f>
        <v/>
      </c>
      <c r="I204" s="118">
        <f>IF($A204="","",INDEX('05_KAPA'!$O:$O,$A204))</f>
        <v/>
      </c>
      <c r="J204" s="202">
        <f>IF($A204="","",IFERROR(DATE(LEFT(TEXT(INDEX('05_KAPA'!$T:$T,$A204),"0"),4),MID(TEXT(INDEX('05_KAPA'!$T:$T,$A204),"0"),5,2),RIGHT(TEXT(INDEX('05_KAPA'!$T:$T,$A204),"0"),2)),""))</f>
        <v/>
      </c>
      <c r="K204">
        <f>IF(C204="","",IF('02_대상물건입력'!$B$5="",1,IF(ISNUMBER(SEARCH('02_대상물건입력'!$B$5,C204)),1,0)))</f>
        <v/>
      </c>
      <c r="L204">
        <f>IF(C204="","",IF('02_대상물건입력'!$B$6="",1,IF(ISNUMBER(SEARCH('02_대상물건입력'!$B$6,C204)),1,0)))</f>
        <v/>
      </c>
      <c r="M204">
        <f>IF(E204="","",IF('02_대상물건입력'!$B$8="",0,IF(ISNUMBER(SEARCH('02_대상물건입력'!$B$8,E204)),1,0)))</f>
        <v/>
      </c>
      <c r="N204">
        <f>IF(B204="","",IF(B204="담보",1,0))</f>
        <v/>
      </c>
      <c r="O204">
        <f>IFERROR(ABS(G204-'02_대상물건입력'!$B$11)/'02_대상물건입력'!$B$11,"")</f>
        <v/>
      </c>
      <c r="P204">
        <f>IFERROR(ABS('01_설정'!$B$4-H204),"")</f>
        <v/>
      </c>
      <c r="Q204">
        <f>IFERROR(ABS(YEAR(J204)-YEAR('02_대상물건입력'!$B$14)),"")</f>
        <v/>
      </c>
      <c r="R204">
        <f>IF(AND(G204&gt;0,H204&gt;0,I204&gt;0,N204=1,IF('01_설정'!$B$10=1,K204=1,TRUE()),O204&lt;='01_설정'!$B$5,P204&lt;='01_설정'!$B$7,Q204&lt;='01_설정'!$B$8),"Y","")</f>
        <v/>
      </c>
      <c r="S204">
        <f>IF(R204&lt;&gt;"Y","",MAX(0,(1-O204/'01_설정'!$B$5))*'01_설정'!$B$14+MAX(0,(1-P204/'01_설정'!$B$7))*'01_설정'!$B$16+MAX(0,(1-Q204/'01_설정'!$B$8))*'01_설정'!$B$17+L204*'01_설정'!$B$11+M204*'01_설정'!$B$12+N204*50)</f>
        <v/>
      </c>
      <c r="T204">
        <f>IF(S204="","",1+COUNTIFS($S$31:$S$1030,"&gt;"&amp;S204)+COUNTIFS($S$31:S204,S204)-1)</f>
        <v/>
      </c>
    </row>
    <row r="205" hidden="1" ht="16.5" customHeight="1">
      <c r="A205">
        <f>IF(COUNTA('05_KAPA'!$A176:$AO176)=0,"",178)</f>
        <v/>
      </c>
      <c r="B205">
        <f>IF($A205="","",INDEX('05_KAPA'!$B:$B,$A205))</f>
        <v/>
      </c>
      <c r="C205">
        <f>IF($A205="","",INDEX('05_KAPA'!$F:$F,$A205))</f>
        <v/>
      </c>
      <c r="D205">
        <f>IF($A205="","",INDEX('05_KAPA'!$H:$H,$A205))</f>
        <v/>
      </c>
      <c r="E205">
        <f>IF($A205="","",INDEX('05_KAPA'!$K:$K,$A205))</f>
        <v/>
      </c>
      <c r="F205">
        <f>IF($A205="","",INDEX('05_KAPA'!$L:$L,$A205))</f>
        <v/>
      </c>
      <c r="G205">
        <f>IF($A205="","",INDEX('05_KAPA'!$I:$I,$A205))</f>
        <v/>
      </c>
      <c r="H205" s="202">
        <f>IF($A205="","",INDEX('05_KAPA'!$P:$P,$A205))</f>
        <v/>
      </c>
      <c r="I205" s="118">
        <f>IF($A205="","",INDEX('05_KAPA'!$O:$O,$A205))</f>
        <v/>
      </c>
      <c r="J205" s="202">
        <f>IF($A205="","",IFERROR(DATE(LEFT(TEXT(INDEX('05_KAPA'!$T:$T,$A205),"0"),4),MID(TEXT(INDEX('05_KAPA'!$T:$T,$A205),"0"),5,2),RIGHT(TEXT(INDEX('05_KAPA'!$T:$T,$A205),"0"),2)),""))</f>
        <v/>
      </c>
      <c r="K205">
        <f>IF(C205="","",IF('02_대상물건입력'!$B$5="",1,IF(ISNUMBER(SEARCH('02_대상물건입력'!$B$5,C205)),1,0)))</f>
        <v/>
      </c>
      <c r="L205">
        <f>IF(C205="","",IF('02_대상물건입력'!$B$6="",1,IF(ISNUMBER(SEARCH('02_대상물건입력'!$B$6,C205)),1,0)))</f>
        <v/>
      </c>
      <c r="M205">
        <f>IF(E205="","",IF('02_대상물건입력'!$B$8="",0,IF(ISNUMBER(SEARCH('02_대상물건입력'!$B$8,E205)),1,0)))</f>
        <v/>
      </c>
      <c r="N205">
        <f>IF(B205="","",IF(B205="담보",1,0))</f>
        <v/>
      </c>
      <c r="O205">
        <f>IFERROR(ABS(G205-'02_대상물건입력'!$B$11)/'02_대상물건입력'!$B$11,"")</f>
        <v/>
      </c>
      <c r="P205">
        <f>IFERROR(ABS('01_설정'!$B$4-H205),"")</f>
        <v/>
      </c>
      <c r="Q205">
        <f>IFERROR(ABS(YEAR(J205)-YEAR('02_대상물건입력'!$B$14)),"")</f>
        <v/>
      </c>
      <c r="R205">
        <f>IF(AND(G205&gt;0,H205&gt;0,I205&gt;0,N205=1,IF('01_설정'!$B$10=1,K205=1,TRUE()),O205&lt;='01_설정'!$B$5,P205&lt;='01_설정'!$B$7,Q205&lt;='01_설정'!$B$8),"Y","")</f>
        <v/>
      </c>
      <c r="S205">
        <f>IF(R205&lt;&gt;"Y","",MAX(0,(1-O205/'01_설정'!$B$5))*'01_설정'!$B$14+MAX(0,(1-P205/'01_설정'!$B$7))*'01_설정'!$B$16+MAX(0,(1-Q205/'01_설정'!$B$8))*'01_설정'!$B$17+L205*'01_설정'!$B$11+M205*'01_설정'!$B$12+N205*50)</f>
        <v/>
      </c>
      <c r="T205">
        <f>IF(S205="","",1+COUNTIFS($S$31:$S$1030,"&gt;"&amp;S205)+COUNTIFS($S$31:S205,S205)-1)</f>
        <v/>
      </c>
    </row>
    <row r="206" hidden="1" ht="16.5" customHeight="1">
      <c r="A206">
        <f>IF(COUNTA('05_KAPA'!$A177:$AO177)=0,"",179)</f>
        <v/>
      </c>
      <c r="B206">
        <f>IF($A206="","",INDEX('05_KAPA'!$B:$B,$A206))</f>
        <v/>
      </c>
      <c r="C206">
        <f>IF($A206="","",INDEX('05_KAPA'!$F:$F,$A206))</f>
        <v/>
      </c>
      <c r="D206">
        <f>IF($A206="","",INDEX('05_KAPA'!$H:$H,$A206))</f>
        <v/>
      </c>
      <c r="E206">
        <f>IF($A206="","",INDEX('05_KAPA'!$K:$K,$A206))</f>
        <v/>
      </c>
      <c r="F206">
        <f>IF($A206="","",INDEX('05_KAPA'!$L:$L,$A206))</f>
        <v/>
      </c>
      <c r="G206">
        <f>IF($A206="","",INDEX('05_KAPA'!$I:$I,$A206))</f>
        <v/>
      </c>
      <c r="H206" s="202">
        <f>IF($A206="","",INDEX('05_KAPA'!$P:$P,$A206))</f>
        <v/>
      </c>
      <c r="I206" s="118">
        <f>IF($A206="","",INDEX('05_KAPA'!$O:$O,$A206))</f>
        <v/>
      </c>
      <c r="J206" s="202">
        <f>IF($A206="","",IFERROR(DATE(LEFT(TEXT(INDEX('05_KAPA'!$T:$T,$A206),"0"),4),MID(TEXT(INDEX('05_KAPA'!$T:$T,$A206),"0"),5,2),RIGHT(TEXT(INDEX('05_KAPA'!$T:$T,$A206),"0"),2)),""))</f>
        <v/>
      </c>
      <c r="K206">
        <f>IF(C206="","",IF('02_대상물건입력'!$B$5="",1,IF(ISNUMBER(SEARCH('02_대상물건입력'!$B$5,C206)),1,0)))</f>
        <v/>
      </c>
      <c r="L206">
        <f>IF(C206="","",IF('02_대상물건입력'!$B$6="",1,IF(ISNUMBER(SEARCH('02_대상물건입력'!$B$6,C206)),1,0)))</f>
        <v/>
      </c>
      <c r="M206">
        <f>IF(E206="","",IF('02_대상물건입력'!$B$8="",0,IF(ISNUMBER(SEARCH('02_대상물건입력'!$B$8,E206)),1,0)))</f>
        <v/>
      </c>
      <c r="N206">
        <f>IF(B206="","",IF(B206="담보",1,0))</f>
        <v/>
      </c>
      <c r="O206">
        <f>IFERROR(ABS(G206-'02_대상물건입력'!$B$11)/'02_대상물건입력'!$B$11,"")</f>
        <v/>
      </c>
      <c r="P206">
        <f>IFERROR(ABS('01_설정'!$B$4-H206),"")</f>
        <v/>
      </c>
      <c r="Q206">
        <f>IFERROR(ABS(YEAR(J206)-YEAR('02_대상물건입력'!$B$14)),"")</f>
        <v/>
      </c>
      <c r="R206">
        <f>IF(AND(G206&gt;0,H206&gt;0,I206&gt;0,N206=1,IF('01_설정'!$B$10=1,K206=1,TRUE()),O206&lt;='01_설정'!$B$5,P206&lt;='01_설정'!$B$7,Q206&lt;='01_설정'!$B$8),"Y","")</f>
        <v/>
      </c>
      <c r="S206">
        <f>IF(R206&lt;&gt;"Y","",MAX(0,(1-O206/'01_설정'!$B$5))*'01_설정'!$B$14+MAX(0,(1-P206/'01_설정'!$B$7))*'01_설정'!$B$16+MAX(0,(1-Q206/'01_설정'!$B$8))*'01_설정'!$B$17+L206*'01_설정'!$B$11+M206*'01_설정'!$B$12+N206*50)</f>
        <v/>
      </c>
      <c r="T206">
        <f>IF(S206="","",1+COUNTIFS($S$31:$S$1030,"&gt;"&amp;S206)+COUNTIFS($S$31:S206,S206)-1)</f>
        <v/>
      </c>
    </row>
    <row r="207" hidden="1" ht="16.5" customHeight="1">
      <c r="A207">
        <f>IF(COUNTA('05_KAPA'!$A178:$AO178)=0,"",180)</f>
        <v/>
      </c>
      <c r="B207">
        <f>IF($A207="","",INDEX('05_KAPA'!$B:$B,$A207))</f>
        <v/>
      </c>
      <c r="C207">
        <f>IF($A207="","",INDEX('05_KAPA'!$F:$F,$A207))</f>
        <v/>
      </c>
      <c r="D207">
        <f>IF($A207="","",INDEX('05_KAPA'!$H:$H,$A207))</f>
        <v/>
      </c>
      <c r="E207">
        <f>IF($A207="","",INDEX('05_KAPA'!$K:$K,$A207))</f>
        <v/>
      </c>
      <c r="F207">
        <f>IF($A207="","",INDEX('05_KAPA'!$L:$L,$A207))</f>
        <v/>
      </c>
      <c r="G207">
        <f>IF($A207="","",INDEX('05_KAPA'!$I:$I,$A207))</f>
        <v/>
      </c>
      <c r="H207" s="202">
        <f>IF($A207="","",INDEX('05_KAPA'!$P:$P,$A207))</f>
        <v/>
      </c>
      <c r="I207" s="118">
        <f>IF($A207="","",INDEX('05_KAPA'!$O:$O,$A207))</f>
        <v/>
      </c>
      <c r="J207" s="202">
        <f>IF($A207="","",IFERROR(DATE(LEFT(TEXT(INDEX('05_KAPA'!$T:$T,$A207),"0"),4),MID(TEXT(INDEX('05_KAPA'!$T:$T,$A207),"0"),5,2),RIGHT(TEXT(INDEX('05_KAPA'!$T:$T,$A207),"0"),2)),""))</f>
        <v/>
      </c>
      <c r="K207">
        <f>IF(C207="","",IF('02_대상물건입력'!$B$5="",1,IF(ISNUMBER(SEARCH('02_대상물건입력'!$B$5,C207)),1,0)))</f>
        <v/>
      </c>
      <c r="L207">
        <f>IF(C207="","",IF('02_대상물건입력'!$B$6="",1,IF(ISNUMBER(SEARCH('02_대상물건입력'!$B$6,C207)),1,0)))</f>
        <v/>
      </c>
      <c r="M207">
        <f>IF(E207="","",IF('02_대상물건입력'!$B$8="",0,IF(ISNUMBER(SEARCH('02_대상물건입력'!$B$8,E207)),1,0)))</f>
        <v/>
      </c>
      <c r="N207">
        <f>IF(B207="","",IF(B207="담보",1,0))</f>
        <v/>
      </c>
      <c r="O207">
        <f>IFERROR(ABS(G207-'02_대상물건입력'!$B$11)/'02_대상물건입력'!$B$11,"")</f>
        <v/>
      </c>
      <c r="P207">
        <f>IFERROR(ABS('01_설정'!$B$4-H207),"")</f>
        <v/>
      </c>
      <c r="Q207">
        <f>IFERROR(ABS(YEAR(J207)-YEAR('02_대상물건입력'!$B$14)),"")</f>
        <v/>
      </c>
      <c r="R207">
        <f>IF(AND(G207&gt;0,H207&gt;0,I207&gt;0,N207=1,IF('01_설정'!$B$10=1,K207=1,TRUE()),O207&lt;='01_설정'!$B$5,P207&lt;='01_설정'!$B$7,Q207&lt;='01_설정'!$B$8),"Y","")</f>
        <v/>
      </c>
      <c r="S207">
        <f>IF(R207&lt;&gt;"Y","",MAX(0,(1-O207/'01_설정'!$B$5))*'01_설정'!$B$14+MAX(0,(1-P207/'01_설정'!$B$7))*'01_설정'!$B$16+MAX(0,(1-Q207/'01_설정'!$B$8))*'01_설정'!$B$17+L207*'01_설정'!$B$11+M207*'01_설정'!$B$12+N207*50)</f>
        <v/>
      </c>
      <c r="T207">
        <f>IF(S207="","",1+COUNTIFS($S$31:$S$1030,"&gt;"&amp;S207)+COUNTIFS($S$31:S207,S207)-1)</f>
        <v/>
      </c>
    </row>
    <row r="208" hidden="1" ht="16.5" customHeight="1">
      <c r="A208">
        <f>IF(COUNTA('05_KAPA'!$A179:$AO179)=0,"",181)</f>
        <v/>
      </c>
      <c r="B208">
        <f>IF($A208="","",INDEX('05_KAPA'!$B:$B,$A208))</f>
        <v/>
      </c>
      <c r="C208">
        <f>IF($A208="","",INDEX('05_KAPA'!$F:$F,$A208))</f>
        <v/>
      </c>
      <c r="D208">
        <f>IF($A208="","",INDEX('05_KAPA'!$H:$H,$A208))</f>
        <v/>
      </c>
      <c r="E208">
        <f>IF($A208="","",INDEX('05_KAPA'!$K:$K,$A208))</f>
        <v/>
      </c>
      <c r="F208">
        <f>IF($A208="","",INDEX('05_KAPA'!$L:$L,$A208))</f>
        <v/>
      </c>
      <c r="G208">
        <f>IF($A208="","",INDEX('05_KAPA'!$I:$I,$A208))</f>
        <v/>
      </c>
      <c r="H208" s="202">
        <f>IF($A208="","",INDEX('05_KAPA'!$P:$P,$A208))</f>
        <v/>
      </c>
      <c r="I208" s="118">
        <f>IF($A208="","",INDEX('05_KAPA'!$O:$O,$A208))</f>
        <v/>
      </c>
      <c r="J208" s="202">
        <f>IF($A208="","",IFERROR(DATE(LEFT(TEXT(INDEX('05_KAPA'!$T:$T,$A208),"0"),4),MID(TEXT(INDEX('05_KAPA'!$T:$T,$A208),"0"),5,2),RIGHT(TEXT(INDEX('05_KAPA'!$T:$T,$A208),"0"),2)),""))</f>
        <v/>
      </c>
      <c r="K208">
        <f>IF(C208="","",IF('02_대상물건입력'!$B$5="",1,IF(ISNUMBER(SEARCH('02_대상물건입력'!$B$5,C208)),1,0)))</f>
        <v/>
      </c>
      <c r="L208">
        <f>IF(C208="","",IF('02_대상물건입력'!$B$6="",1,IF(ISNUMBER(SEARCH('02_대상물건입력'!$B$6,C208)),1,0)))</f>
        <v/>
      </c>
      <c r="M208">
        <f>IF(E208="","",IF('02_대상물건입력'!$B$8="",0,IF(ISNUMBER(SEARCH('02_대상물건입력'!$B$8,E208)),1,0)))</f>
        <v/>
      </c>
      <c r="N208">
        <f>IF(B208="","",IF(B208="담보",1,0))</f>
        <v/>
      </c>
      <c r="O208">
        <f>IFERROR(ABS(G208-'02_대상물건입력'!$B$11)/'02_대상물건입력'!$B$11,"")</f>
        <v/>
      </c>
      <c r="P208">
        <f>IFERROR(ABS('01_설정'!$B$4-H208),"")</f>
        <v/>
      </c>
      <c r="Q208">
        <f>IFERROR(ABS(YEAR(J208)-YEAR('02_대상물건입력'!$B$14)),"")</f>
        <v/>
      </c>
      <c r="R208">
        <f>IF(AND(G208&gt;0,H208&gt;0,I208&gt;0,N208=1,IF('01_설정'!$B$10=1,K208=1,TRUE()),O208&lt;='01_설정'!$B$5,P208&lt;='01_설정'!$B$7,Q208&lt;='01_설정'!$B$8),"Y","")</f>
        <v/>
      </c>
      <c r="S208">
        <f>IF(R208&lt;&gt;"Y","",MAX(0,(1-O208/'01_설정'!$B$5))*'01_설정'!$B$14+MAX(0,(1-P208/'01_설정'!$B$7))*'01_설정'!$B$16+MAX(0,(1-Q208/'01_설정'!$B$8))*'01_설정'!$B$17+L208*'01_설정'!$B$11+M208*'01_설정'!$B$12+N208*50)</f>
        <v/>
      </c>
      <c r="T208">
        <f>IF(S208="","",1+COUNTIFS($S$31:$S$1030,"&gt;"&amp;S208)+COUNTIFS($S$31:S208,S208)-1)</f>
        <v/>
      </c>
    </row>
    <row r="209" hidden="1" ht="16.5" customHeight="1">
      <c r="A209">
        <f>IF(COUNTA('05_KAPA'!$A180:$AO180)=0,"",182)</f>
        <v/>
      </c>
      <c r="B209">
        <f>IF($A209="","",INDEX('05_KAPA'!$B:$B,$A209))</f>
        <v/>
      </c>
      <c r="C209">
        <f>IF($A209="","",INDEX('05_KAPA'!$F:$F,$A209))</f>
        <v/>
      </c>
      <c r="D209">
        <f>IF($A209="","",INDEX('05_KAPA'!$H:$H,$A209))</f>
        <v/>
      </c>
      <c r="E209">
        <f>IF($A209="","",INDEX('05_KAPA'!$K:$K,$A209))</f>
        <v/>
      </c>
      <c r="F209">
        <f>IF($A209="","",INDEX('05_KAPA'!$L:$L,$A209))</f>
        <v/>
      </c>
      <c r="G209">
        <f>IF($A209="","",INDEX('05_KAPA'!$I:$I,$A209))</f>
        <v/>
      </c>
      <c r="H209" s="202">
        <f>IF($A209="","",INDEX('05_KAPA'!$P:$P,$A209))</f>
        <v/>
      </c>
      <c r="I209" s="118">
        <f>IF($A209="","",INDEX('05_KAPA'!$O:$O,$A209))</f>
        <v/>
      </c>
      <c r="J209" s="202">
        <f>IF($A209="","",IFERROR(DATE(LEFT(TEXT(INDEX('05_KAPA'!$T:$T,$A209),"0"),4),MID(TEXT(INDEX('05_KAPA'!$T:$T,$A209),"0"),5,2),RIGHT(TEXT(INDEX('05_KAPA'!$T:$T,$A209),"0"),2)),""))</f>
        <v/>
      </c>
      <c r="K209">
        <f>IF(C209="","",IF('02_대상물건입력'!$B$5="",1,IF(ISNUMBER(SEARCH('02_대상물건입력'!$B$5,C209)),1,0)))</f>
        <v/>
      </c>
      <c r="L209">
        <f>IF(C209="","",IF('02_대상물건입력'!$B$6="",1,IF(ISNUMBER(SEARCH('02_대상물건입력'!$B$6,C209)),1,0)))</f>
        <v/>
      </c>
      <c r="M209">
        <f>IF(E209="","",IF('02_대상물건입력'!$B$8="",0,IF(ISNUMBER(SEARCH('02_대상물건입력'!$B$8,E209)),1,0)))</f>
        <v/>
      </c>
      <c r="N209">
        <f>IF(B209="","",IF(B209="담보",1,0))</f>
        <v/>
      </c>
      <c r="O209">
        <f>IFERROR(ABS(G209-'02_대상물건입력'!$B$11)/'02_대상물건입력'!$B$11,"")</f>
        <v/>
      </c>
      <c r="P209">
        <f>IFERROR(ABS('01_설정'!$B$4-H209),"")</f>
        <v/>
      </c>
      <c r="Q209">
        <f>IFERROR(ABS(YEAR(J209)-YEAR('02_대상물건입력'!$B$14)),"")</f>
        <v/>
      </c>
      <c r="R209">
        <f>IF(AND(G209&gt;0,H209&gt;0,I209&gt;0,N209=1,IF('01_설정'!$B$10=1,K209=1,TRUE()),O209&lt;='01_설정'!$B$5,P209&lt;='01_설정'!$B$7,Q209&lt;='01_설정'!$B$8),"Y","")</f>
        <v/>
      </c>
      <c r="S209">
        <f>IF(R209&lt;&gt;"Y","",MAX(0,(1-O209/'01_설정'!$B$5))*'01_설정'!$B$14+MAX(0,(1-P209/'01_설정'!$B$7))*'01_설정'!$B$16+MAX(0,(1-Q209/'01_설정'!$B$8))*'01_설정'!$B$17+L209*'01_설정'!$B$11+M209*'01_설정'!$B$12+N209*50)</f>
        <v/>
      </c>
      <c r="T209">
        <f>IF(S209="","",1+COUNTIFS($S$31:$S$1030,"&gt;"&amp;S209)+COUNTIFS($S$31:S209,S209)-1)</f>
        <v/>
      </c>
    </row>
    <row r="210" hidden="1" ht="16.5" customHeight="1">
      <c r="A210">
        <f>IF(COUNTA('05_KAPA'!$A181:$AO181)=0,"",183)</f>
        <v/>
      </c>
      <c r="B210">
        <f>IF($A210="","",INDEX('05_KAPA'!$B:$B,$A210))</f>
        <v/>
      </c>
      <c r="C210">
        <f>IF($A210="","",INDEX('05_KAPA'!$F:$F,$A210))</f>
        <v/>
      </c>
      <c r="D210">
        <f>IF($A210="","",INDEX('05_KAPA'!$H:$H,$A210))</f>
        <v/>
      </c>
      <c r="E210">
        <f>IF($A210="","",INDEX('05_KAPA'!$K:$K,$A210))</f>
        <v/>
      </c>
      <c r="F210">
        <f>IF($A210="","",INDEX('05_KAPA'!$L:$L,$A210))</f>
        <v/>
      </c>
      <c r="G210">
        <f>IF($A210="","",INDEX('05_KAPA'!$I:$I,$A210))</f>
        <v/>
      </c>
      <c r="H210" s="202">
        <f>IF($A210="","",INDEX('05_KAPA'!$P:$P,$A210))</f>
        <v/>
      </c>
      <c r="I210" s="118">
        <f>IF($A210="","",INDEX('05_KAPA'!$O:$O,$A210))</f>
        <v/>
      </c>
      <c r="J210" s="202">
        <f>IF($A210="","",IFERROR(DATE(LEFT(TEXT(INDEX('05_KAPA'!$T:$T,$A210),"0"),4),MID(TEXT(INDEX('05_KAPA'!$T:$T,$A210),"0"),5,2),RIGHT(TEXT(INDEX('05_KAPA'!$T:$T,$A210),"0"),2)),""))</f>
        <v/>
      </c>
      <c r="K210">
        <f>IF(C210="","",IF('02_대상물건입력'!$B$5="",1,IF(ISNUMBER(SEARCH('02_대상물건입력'!$B$5,C210)),1,0)))</f>
        <v/>
      </c>
      <c r="L210">
        <f>IF(C210="","",IF('02_대상물건입력'!$B$6="",1,IF(ISNUMBER(SEARCH('02_대상물건입력'!$B$6,C210)),1,0)))</f>
        <v/>
      </c>
      <c r="M210">
        <f>IF(E210="","",IF('02_대상물건입력'!$B$8="",0,IF(ISNUMBER(SEARCH('02_대상물건입력'!$B$8,E210)),1,0)))</f>
        <v/>
      </c>
      <c r="N210">
        <f>IF(B210="","",IF(B210="담보",1,0))</f>
        <v/>
      </c>
      <c r="O210">
        <f>IFERROR(ABS(G210-'02_대상물건입력'!$B$11)/'02_대상물건입력'!$B$11,"")</f>
        <v/>
      </c>
      <c r="P210">
        <f>IFERROR(ABS('01_설정'!$B$4-H210),"")</f>
        <v/>
      </c>
      <c r="Q210">
        <f>IFERROR(ABS(YEAR(J210)-YEAR('02_대상물건입력'!$B$14)),"")</f>
        <v/>
      </c>
      <c r="R210">
        <f>IF(AND(G210&gt;0,H210&gt;0,I210&gt;0,N210=1,IF('01_설정'!$B$10=1,K210=1,TRUE()),O210&lt;='01_설정'!$B$5,P210&lt;='01_설정'!$B$7,Q210&lt;='01_설정'!$B$8),"Y","")</f>
        <v/>
      </c>
      <c r="S210">
        <f>IF(R210&lt;&gt;"Y","",MAX(0,(1-O210/'01_설정'!$B$5))*'01_설정'!$B$14+MAX(0,(1-P210/'01_설정'!$B$7))*'01_설정'!$B$16+MAX(0,(1-Q210/'01_설정'!$B$8))*'01_설정'!$B$17+L210*'01_설정'!$B$11+M210*'01_설정'!$B$12+N210*50)</f>
        <v/>
      </c>
      <c r="T210">
        <f>IF(S210="","",1+COUNTIFS($S$31:$S$1030,"&gt;"&amp;S210)+COUNTIFS($S$31:S210,S210)-1)</f>
        <v/>
      </c>
    </row>
    <row r="211" hidden="1" ht="16.5" customHeight="1">
      <c r="A211">
        <f>IF(COUNTA('05_KAPA'!$A182:$AO182)=0,"",184)</f>
        <v/>
      </c>
      <c r="B211">
        <f>IF($A211="","",INDEX('05_KAPA'!$B:$B,$A211))</f>
        <v/>
      </c>
      <c r="C211">
        <f>IF($A211="","",INDEX('05_KAPA'!$F:$F,$A211))</f>
        <v/>
      </c>
      <c r="D211">
        <f>IF($A211="","",INDEX('05_KAPA'!$H:$H,$A211))</f>
        <v/>
      </c>
      <c r="E211">
        <f>IF($A211="","",INDEX('05_KAPA'!$K:$K,$A211))</f>
        <v/>
      </c>
      <c r="F211">
        <f>IF($A211="","",INDEX('05_KAPA'!$L:$L,$A211))</f>
        <v/>
      </c>
      <c r="G211">
        <f>IF($A211="","",INDEX('05_KAPA'!$I:$I,$A211))</f>
        <v/>
      </c>
      <c r="H211" s="202">
        <f>IF($A211="","",INDEX('05_KAPA'!$P:$P,$A211))</f>
        <v/>
      </c>
      <c r="I211" s="118">
        <f>IF($A211="","",INDEX('05_KAPA'!$O:$O,$A211))</f>
        <v/>
      </c>
      <c r="J211" s="202">
        <f>IF($A211="","",IFERROR(DATE(LEFT(TEXT(INDEX('05_KAPA'!$T:$T,$A211),"0"),4),MID(TEXT(INDEX('05_KAPA'!$T:$T,$A211),"0"),5,2),RIGHT(TEXT(INDEX('05_KAPA'!$T:$T,$A211),"0"),2)),""))</f>
        <v/>
      </c>
      <c r="K211">
        <f>IF(C211="","",IF('02_대상물건입력'!$B$5="",1,IF(ISNUMBER(SEARCH('02_대상물건입력'!$B$5,C211)),1,0)))</f>
        <v/>
      </c>
      <c r="L211">
        <f>IF(C211="","",IF('02_대상물건입력'!$B$6="",1,IF(ISNUMBER(SEARCH('02_대상물건입력'!$B$6,C211)),1,0)))</f>
        <v/>
      </c>
      <c r="M211">
        <f>IF(E211="","",IF('02_대상물건입력'!$B$8="",0,IF(ISNUMBER(SEARCH('02_대상물건입력'!$B$8,E211)),1,0)))</f>
        <v/>
      </c>
      <c r="N211">
        <f>IF(B211="","",IF(B211="담보",1,0))</f>
        <v/>
      </c>
      <c r="O211">
        <f>IFERROR(ABS(G211-'02_대상물건입력'!$B$11)/'02_대상물건입력'!$B$11,"")</f>
        <v/>
      </c>
      <c r="P211">
        <f>IFERROR(ABS('01_설정'!$B$4-H211),"")</f>
        <v/>
      </c>
      <c r="Q211">
        <f>IFERROR(ABS(YEAR(J211)-YEAR('02_대상물건입력'!$B$14)),"")</f>
        <v/>
      </c>
      <c r="R211">
        <f>IF(AND(G211&gt;0,H211&gt;0,I211&gt;0,N211=1,IF('01_설정'!$B$10=1,K211=1,TRUE()),O211&lt;='01_설정'!$B$5,P211&lt;='01_설정'!$B$7,Q211&lt;='01_설정'!$B$8),"Y","")</f>
        <v/>
      </c>
      <c r="S211">
        <f>IF(R211&lt;&gt;"Y","",MAX(0,(1-O211/'01_설정'!$B$5))*'01_설정'!$B$14+MAX(0,(1-P211/'01_설정'!$B$7))*'01_설정'!$B$16+MAX(0,(1-Q211/'01_설정'!$B$8))*'01_설정'!$B$17+L211*'01_설정'!$B$11+M211*'01_설정'!$B$12+N211*50)</f>
        <v/>
      </c>
      <c r="T211">
        <f>IF(S211="","",1+COUNTIFS($S$31:$S$1030,"&gt;"&amp;S211)+COUNTIFS($S$31:S211,S211)-1)</f>
        <v/>
      </c>
    </row>
    <row r="212" hidden="1" ht="16.5" customHeight="1">
      <c r="A212">
        <f>IF(COUNTA('05_KAPA'!$A183:$AO183)=0,"",185)</f>
        <v/>
      </c>
      <c r="B212">
        <f>IF($A212="","",INDEX('05_KAPA'!$B:$B,$A212))</f>
        <v/>
      </c>
      <c r="C212">
        <f>IF($A212="","",INDEX('05_KAPA'!$F:$F,$A212))</f>
        <v/>
      </c>
      <c r="D212">
        <f>IF($A212="","",INDEX('05_KAPA'!$H:$H,$A212))</f>
        <v/>
      </c>
      <c r="E212">
        <f>IF($A212="","",INDEX('05_KAPA'!$K:$K,$A212))</f>
        <v/>
      </c>
      <c r="F212">
        <f>IF($A212="","",INDEX('05_KAPA'!$L:$L,$A212))</f>
        <v/>
      </c>
      <c r="G212">
        <f>IF($A212="","",INDEX('05_KAPA'!$I:$I,$A212))</f>
        <v/>
      </c>
      <c r="H212" s="202">
        <f>IF($A212="","",INDEX('05_KAPA'!$P:$P,$A212))</f>
        <v/>
      </c>
      <c r="I212" s="118">
        <f>IF($A212="","",INDEX('05_KAPA'!$O:$O,$A212))</f>
        <v/>
      </c>
      <c r="J212" s="202">
        <f>IF($A212="","",IFERROR(DATE(LEFT(TEXT(INDEX('05_KAPA'!$T:$T,$A212),"0"),4),MID(TEXT(INDEX('05_KAPA'!$T:$T,$A212),"0"),5,2),RIGHT(TEXT(INDEX('05_KAPA'!$T:$T,$A212),"0"),2)),""))</f>
        <v/>
      </c>
      <c r="K212">
        <f>IF(C212="","",IF('02_대상물건입력'!$B$5="",1,IF(ISNUMBER(SEARCH('02_대상물건입력'!$B$5,C212)),1,0)))</f>
        <v/>
      </c>
      <c r="L212">
        <f>IF(C212="","",IF('02_대상물건입력'!$B$6="",1,IF(ISNUMBER(SEARCH('02_대상물건입력'!$B$6,C212)),1,0)))</f>
        <v/>
      </c>
      <c r="M212">
        <f>IF(E212="","",IF('02_대상물건입력'!$B$8="",0,IF(ISNUMBER(SEARCH('02_대상물건입력'!$B$8,E212)),1,0)))</f>
        <v/>
      </c>
      <c r="N212">
        <f>IF(B212="","",IF(B212="담보",1,0))</f>
        <v/>
      </c>
      <c r="O212">
        <f>IFERROR(ABS(G212-'02_대상물건입력'!$B$11)/'02_대상물건입력'!$B$11,"")</f>
        <v/>
      </c>
      <c r="P212">
        <f>IFERROR(ABS('01_설정'!$B$4-H212),"")</f>
        <v/>
      </c>
      <c r="Q212">
        <f>IFERROR(ABS(YEAR(J212)-YEAR('02_대상물건입력'!$B$14)),"")</f>
        <v/>
      </c>
      <c r="R212">
        <f>IF(AND(G212&gt;0,H212&gt;0,I212&gt;0,N212=1,IF('01_설정'!$B$10=1,K212=1,TRUE()),O212&lt;='01_설정'!$B$5,P212&lt;='01_설정'!$B$7,Q212&lt;='01_설정'!$B$8),"Y","")</f>
        <v/>
      </c>
      <c r="S212">
        <f>IF(R212&lt;&gt;"Y","",MAX(0,(1-O212/'01_설정'!$B$5))*'01_설정'!$B$14+MAX(0,(1-P212/'01_설정'!$B$7))*'01_설정'!$B$16+MAX(0,(1-Q212/'01_설정'!$B$8))*'01_설정'!$B$17+L212*'01_설정'!$B$11+M212*'01_설정'!$B$12+N212*50)</f>
        <v/>
      </c>
      <c r="T212">
        <f>IF(S212="","",1+COUNTIFS($S$31:$S$1030,"&gt;"&amp;S212)+COUNTIFS($S$31:S212,S212)-1)</f>
        <v/>
      </c>
    </row>
    <row r="213" hidden="1" ht="16.5" customHeight="1">
      <c r="A213">
        <f>IF(COUNTA('05_KAPA'!$A184:$AO184)=0,"",186)</f>
        <v/>
      </c>
      <c r="B213">
        <f>IF($A213="","",INDEX('05_KAPA'!$B:$B,$A213))</f>
        <v/>
      </c>
      <c r="C213">
        <f>IF($A213="","",INDEX('05_KAPA'!$F:$F,$A213))</f>
        <v/>
      </c>
      <c r="D213">
        <f>IF($A213="","",INDEX('05_KAPA'!$H:$H,$A213))</f>
        <v/>
      </c>
      <c r="E213">
        <f>IF($A213="","",INDEX('05_KAPA'!$K:$K,$A213))</f>
        <v/>
      </c>
      <c r="F213">
        <f>IF($A213="","",INDEX('05_KAPA'!$L:$L,$A213))</f>
        <v/>
      </c>
      <c r="G213">
        <f>IF($A213="","",INDEX('05_KAPA'!$I:$I,$A213))</f>
        <v/>
      </c>
      <c r="H213" s="202">
        <f>IF($A213="","",INDEX('05_KAPA'!$P:$P,$A213))</f>
        <v/>
      </c>
      <c r="I213" s="118">
        <f>IF($A213="","",INDEX('05_KAPA'!$O:$O,$A213))</f>
        <v/>
      </c>
      <c r="J213" s="202">
        <f>IF($A213="","",IFERROR(DATE(LEFT(TEXT(INDEX('05_KAPA'!$T:$T,$A213),"0"),4),MID(TEXT(INDEX('05_KAPA'!$T:$T,$A213),"0"),5,2),RIGHT(TEXT(INDEX('05_KAPA'!$T:$T,$A213),"0"),2)),""))</f>
        <v/>
      </c>
      <c r="K213">
        <f>IF(C213="","",IF('02_대상물건입력'!$B$5="",1,IF(ISNUMBER(SEARCH('02_대상물건입력'!$B$5,C213)),1,0)))</f>
        <v/>
      </c>
      <c r="L213">
        <f>IF(C213="","",IF('02_대상물건입력'!$B$6="",1,IF(ISNUMBER(SEARCH('02_대상물건입력'!$B$6,C213)),1,0)))</f>
        <v/>
      </c>
      <c r="M213">
        <f>IF(E213="","",IF('02_대상물건입력'!$B$8="",0,IF(ISNUMBER(SEARCH('02_대상물건입력'!$B$8,E213)),1,0)))</f>
        <v/>
      </c>
      <c r="N213">
        <f>IF(B213="","",IF(B213="담보",1,0))</f>
        <v/>
      </c>
      <c r="O213">
        <f>IFERROR(ABS(G213-'02_대상물건입력'!$B$11)/'02_대상물건입력'!$B$11,"")</f>
        <v/>
      </c>
      <c r="P213">
        <f>IFERROR(ABS('01_설정'!$B$4-H213),"")</f>
        <v/>
      </c>
      <c r="Q213">
        <f>IFERROR(ABS(YEAR(J213)-YEAR('02_대상물건입력'!$B$14)),"")</f>
        <v/>
      </c>
      <c r="R213">
        <f>IF(AND(G213&gt;0,H213&gt;0,I213&gt;0,N213=1,IF('01_설정'!$B$10=1,K213=1,TRUE()),O213&lt;='01_설정'!$B$5,P213&lt;='01_설정'!$B$7,Q213&lt;='01_설정'!$B$8),"Y","")</f>
        <v/>
      </c>
      <c r="S213">
        <f>IF(R213&lt;&gt;"Y","",MAX(0,(1-O213/'01_설정'!$B$5))*'01_설정'!$B$14+MAX(0,(1-P213/'01_설정'!$B$7))*'01_설정'!$B$16+MAX(0,(1-Q213/'01_설정'!$B$8))*'01_설정'!$B$17+L213*'01_설정'!$B$11+M213*'01_설정'!$B$12+N213*50)</f>
        <v/>
      </c>
      <c r="T213">
        <f>IF(S213="","",1+COUNTIFS($S$31:$S$1030,"&gt;"&amp;S213)+COUNTIFS($S$31:S213,S213)-1)</f>
        <v/>
      </c>
    </row>
    <row r="214" hidden="1" ht="16.5" customHeight="1">
      <c r="A214">
        <f>IF(COUNTA('05_KAPA'!$A185:$AO185)=0,"",187)</f>
        <v/>
      </c>
      <c r="B214">
        <f>IF($A214="","",INDEX('05_KAPA'!$B:$B,$A214))</f>
        <v/>
      </c>
      <c r="C214">
        <f>IF($A214="","",INDEX('05_KAPA'!$F:$F,$A214))</f>
        <v/>
      </c>
      <c r="D214">
        <f>IF($A214="","",INDEX('05_KAPA'!$H:$H,$A214))</f>
        <v/>
      </c>
      <c r="E214">
        <f>IF($A214="","",INDEX('05_KAPA'!$K:$K,$A214))</f>
        <v/>
      </c>
      <c r="F214">
        <f>IF($A214="","",INDEX('05_KAPA'!$L:$L,$A214))</f>
        <v/>
      </c>
      <c r="G214">
        <f>IF($A214="","",INDEX('05_KAPA'!$I:$I,$A214))</f>
        <v/>
      </c>
      <c r="H214" s="202">
        <f>IF($A214="","",INDEX('05_KAPA'!$P:$P,$A214))</f>
        <v/>
      </c>
      <c r="I214" s="118">
        <f>IF($A214="","",INDEX('05_KAPA'!$O:$O,$A214))</f>
        <v/>
      </c>
      <c r="J214" s="202">
        <f>IF($A214="","",IFERROR(DATE(LEFT(TEXT(INDEX('05_KAPA'!$T:$T,$A214),"0"),4),MID(TEXT(INDEX('05_KAPA'!$T:$T,$A214),"0"),5,2),RIGHT(TEXT(INDEX('05_KAPA'!$T:$T,$A214),"0"),2)),""))</f>
        <v/>
      </c>
      <c r="K214">
        <f>IF(C214="","",IF('02_대상물건입력'!$B$5="",1,IF(ISNUMBER(SEARCH('02_대상물건입력'!$B$5,C214)),1,0)))</f>
        <v/>
      </c>
      <c r="L214">
        <f>IF(C214="","",IF('02_대상물건입력'!$B$6="",1,IF(ISNUMBER(SEARCH('02_대상물건입력'!$B$6,C214)),1,0)))</f>
        <v/>
      </c>
      <c r="M214">
        <f>IF(E214="","",IF('02_대상물건입력'!$B$8="",0,IF(ISNUMBER(SEARCH('02_대상물건입력'!$B$8,E214)),1,0)))</f>
        <v/>
      </c>
      <c r="N214">
        <f>IF(B214="","",IF(B214="담보",1,0))</f>
        <v/>
      </c>
      <c r="O214">
        <f>IFERROR(ABS(G214-'02_대상물건입력'!$B$11)/'02_대상물건입력'!$B$11,"")</f>
        <v/>
      </c>
      <c r="P214">
        <f>IFERROR(ABS('01_설정'!$B$4-H214),"")</f>
        <v/>
      </c>
      <c r="Q214">
        <f>IFERROR(ABS(YEAR(J214)-YEAR('02_대상물건입력'!$B$14)),"")</f>
        <v/>
      </c>
      <c r="R214">
        <f>IF(AND(G214&gt;0,H214&gt;0,I214&gt;0,N214=1,IF('01_설정'!$B$10=1,K214=1,TRUE()),O214&lt;='01_설정'!$B$5,P214&lt;='01_설정'!$B$7,Q214&lt;='01_설정'!$B$8),"Y","")</f>
        <v/>
      </c>
      <c r="S214">
        <f>IF(R214&lt;&gt;"Y","",MAX(0,(1-O214/'01_설정'!$B$5))*'01_설정'!$B$14+MAX(0,(1-P214/'01_설정'!$B$7))*'01_설정'!$B$16+MAX(0,(1-Q214/'01_설정'!$B$8))*'01_설정'!$B$17+L214*'01_설정'!$B$11+M214*'01_설정'!$B$12+N214*50)</f>
        <v/>
      </c>
      <c r="T214">
        <f>IF(S214="","",1+COUNTIFS($S$31:$S$1030,"&gt;"&amp;S214)+COUNTIFS($S$31:S214,S214)-1)</f>
        <v/>
      </c>
    </row>
    <row r="215" hidden="1" ht="16.5" customHeight="1">
      <c r="A215">
        <f>IF(COUNTA('05_KAPA'!$A186:$AO186)=0,"",188)</f>
        <v/>
      </c>
      <c r="B215">
        <f>IF($A215="","",INDEX('05_KAPA'!$B:$B,$A215))</f>
        <v/>
      </c>
      <c r="C215">
        <f>IF($A215="","",INDEX('05_KAPA'!$F:$F,$A215))</f>
        <v/>
      </c>
      <c r="D215">
        <f>IF($A215="","",INDEX('05_KAPA'!$H:$H,$A215))</f>
        <v/>
      </c>
      <c r="E215">
        <f>IF($A215="","",INDEX('05_KAPA'!$K:$K,$A215))</f>
        <v/>
      </c>
      <c r="F215">
        <f>IF($A215="","",INDEX('05_KAPA'!$L:$L,$A215))</f>
        <v/>
      </c>
      <c r="G215">
        <f>IF($A215="","",INDEX('05_KAPA'!$I:$I,$A215))</f>
        <v/>
      </c>
      <c r="H215" s="202">
        <f>IF($A215="","",INDEX('05_KAPA'!$P:$P,$A215))</f>
        <v/>
      </c>
      <c r="I215" s="118">
        <f>IF($A215="","",INDEX('05_KAPA'!$O:$O,$A215))</f>
        <v/>
      </c>
      <c r="J215" s="202">
        <f>IF($A215="","",IFERROR(DATE(LEFT(TEXT(INDEX('05_KAPA'!$T:$T,$A215),"0"),4),MID(TEXT(INDEX('05_KAPA'!$T:$T,$A215),"0"),5,2),RIGHT(TEXT(INDEX('05_KAPA'!$T:$T,$A215),"0"),2)),""))</f>
        <v/>
      </c>
      <c r="K215">
        <f>IF(C215="","",IF('02_대상물건입력'!$B$5="",1,IF(ISNUMBER(SEARCH('02_대상물건입력'!$B$5,C215)),1,0)))</f>
        <v/>
      </c>
      <c r="L215">
        <f>IF(C215="","",IF('02_대상물건입력'!$B$6="",1,IF(ISNUMBER(SEARCH('02_대상물건입력'!$B$6,C215)),1,0)))</f>
        <v/>
      </c>
      <c r="M215">
        <f>IF(E215="","",IF('02_대상물건입력'!$B$8="",0,IF(ISNUMBER(SEARCH('02_대상물건입력'!$B$8,E215)),1,0)))</f>
        <v/>
      </c>
      <c r="N215">
        <f>IF(B215="","",IF(B215="담보",1,0))</f>
        <v/>
      </c>
      <c r="O215">
        <f>IFERROR(ABS(G215-'02_대상물건입력'!$B$11)/'02_대상물건입력'!$B$11,"")</f>
        <v/>
      </c>
      <c r="P215">
        <f>IFERROR(ABS('01_설정'!$B$4-H215),"")</f>
        <v/>
      </c>
      <c r="Q215">
        <f>IFERROR(ABS(YEAR(J215)-YEAR('02_대상물건입력'!$B$14)),"")</f>
        <v/>
      </c>
      <c r="R215">
        <f>IF(AND(G215&gt;0,H215&gt;0,I215&gt;0,N215=1,IF('01_설정'!$B$10=1,K215=1,TRUE()),O215&lt;='01_설정'!$B$5,P215&lt;='01_설정'!$B$7,Q215&lt;='01_설정'!$B$8),"Y","")</f>
        <v/>
      </c>
      <c r="S215">
        <f>IF(R215&lt;&gt;"Y","",MAX(0,(1-O215/'01_설정'!$B$5))*'01_설정'!$B$14+MAX(0,(1-P215/'01_설정'!$B$7))*'01_설정'!$B$16+MAX(0,(1-Q215/'01_설정'!$B$8))*'01_설정'!$B$17+L215*'01_설정'!$B$11+M215*'01_설정'!$B$12+N215*50)</f>
        <v/>
      </c>
      <c r="T215">
        <f>IF(S215="","",1+COUNTIFS($S$31:$S$1030,"&gt;"&amp;S215)+COUNTIFS($S$31:S215,S215)-1)</f>
        <v/>
      </c>
    </row>
    <row r="216" hidden="1" ht="16.5" customHeight="1">
      <c r="A216">
        <f>IF(COUNTA('05_KAPA'!$A187:$AO187)=0,"",189)</f>
        <v/>
      </c>
      <c r="B216">
        <f>IF($A216="","",INDEX('05_KAPA'!$B:$B,$A216))</f>
        <v/>
      </c>
      <c r="C216">
        <f>IF($A216="","",INDEX('05_KAPA'!$F:$F,$A216))</f>
        <v/>
      </c>
      <c r="D216">
        <f>IF($A216="","",INDEX('05_KAPA'!$H:$H,$A216))</f>
        <v/>
      </c>
      <c r="E216">
        <f>IF($A216="","",INDEX('05_KAPA'!$K:$K,$A216))</f>
        <v/>
      </c>
      <c r="F216">
        <f>IF($A216="","",INDEX('05_KAPA'!$L:$L,$A216))</f>
        <v/>
      </c>
      <c r="G216">
        <f>IF($A216="","",INDEX('05_KAPA'!$I:$I,$A216))</f>
        <v/>
      </c>
      <c r="H216" s="202">
        <f>IF($A216="","",INDEX('05_KAPA'!$P:$P,$A216))</f>
        <v/>
      </c>
      <c r="I216" s="118">
        <f>IF($A216="","",INDEX('05_KAPA'!$O:$O,$A216))</f>
        <v/>
      </c>
      <c r="J216" s="202">
        <f>IF($A216="","",IFERROR(DATE(LEFT(TEXT(INDEX('05_KAPA'!$T:$T,$A216),"0"),4),MID(TEXT(INDEX('05_KAPA'!$T:$T,$A216),"0"),5,2),RIGHT(TEXT(INDEX('05_KAPA'!$T:$T,$A216),"0"),2)),""))</f>
        <v/>
      </c>
      <c r="K216">
        <f>IF(C216="","",IF('02_대상물건입력'!$B$5="",1,IF(ISNUMBER(SEARCH('02_대상물건입력'!$B$5,C216)),1,0)))</f>
        <v/>
      </c>
      <c r="L216">
        <f>IF(C216="","",IF('02_대상물건입력'!$B$6="",1,IF(ISNUMBER(SEARCH('02_대상물건입력'!$B$6,C216)),1,0)))</f>
        <v/>
      </c>
      <c r="M216">
        <f>IF(E216="","",IF('02_대상물건입력'!$B$8="",0,IF(ISNUMBER(SEARCH('02_대상물건입력'!$B$8,E216)),1,0)))</f>
        <v/>
      </c>
      <c r="N216">
        <f>IF(B216="","",IF(B216="담보",1,0))</f>
        <v/>
      </c>
      <c r="O216">
        <f>IFERROR(ABS(G216-'02_대상물건입력'!$B$11)/'02_대상물건입력'!$B$11,"")</f>
        <v/>
      </c>
      <c r="P216">
        <f>IFERROR(ABS('01_설정'!$B$4-H216),"")</f>
        <v/>
      </c>
      <c r="Q216">
        <f>IFERROR(ABS(YEAR(J216)-YEAR('02_대상물건입력'!$B$14)),"")</f>
        <v/>
      </c>
      <c r="R216">
        <f>IF(AND(G216&gt;0,H216&gt;0,I216&gt;0,N216=1,IF('01_설정'!$B$10=1,K216=1,TRUE()),O216&lt;='01_설정'!$B$5,P216&lt;='01_설정'!$B$7,Q216&lt;='01_설정'!$B$8),"Y","")</f>
        <v/>
      </c>
      <c r="S216">
        <f>IF(R216&lt;&gt;"Y","",MAX(0,(1-O216/'01_설정'!$B$5))*'01_설정'!$B$14+MAX(0,(1-P216/'01_설정'!$B$7))*'01_설정'!$B$16+MAX(0,(1-Q216/'01_설정'!$B$8))*'01_설정'!$B$17+L216*'01_설정'!$B$11+M216*'01_설정'!$B$12+N216*50)</f>
        <v/>
      </c>
      <c r="T216">
        <f>IF(S216="","",1+COUNTIFS($S$31:$S$1030,"&gt;"&amp;S216)+COUNTIFS($S$31:S216,S216)-1)</f>
        <v/>
      </c>
    </row>
    <row r="217" hidden="1" ht="16.5" customHeight="1">
      <c r="A217">
        <f>IF(COUNTA('05_KAPA'!$A188:$AO188)=0,"",190)</f>
        <v/>
      </c>
      <c r="B217">
        <f>IF($A217="","",INDEX('05_KAPA'!$B:$B,$A217))</f>
        <v/>
      </c>
      <c r="C217">
        <f>IF($A217="","",INDEX('05_KAPA'!$F:$F,$A217))</f>
        <v/>
      </c>
      <c r="D217">
        <f>IF($A217="","",INDEX('05_KAPA'!$H:$H,$A217))</f>
        <v/>
      </c>
      <c r="E217">
        <f>IF($A217="","",INDEX('05_KAPA'!$K:$K,$A217))</f>
        <v/>
      </c>
      <c r="F217">
        <f>IF($A217="","",INDEX('05_KAPA'!$L:$L,$A217))</f>
        <v/>
      </c>
      <c r="G217">
        <f>IF($A217="","",INDEX('05_KAPA'!$I:$I,$A217))</f>
        <v/>
      </c>
      <c r="H217" s="202">
        <f>IF($A217="","",INDEX('05_KAPA'!$P:$P,$A217))</f>
        <v/>
      </c>
      <c r="I217" s="118">
        <f>IF($A217="","",INDEX('05_KAPA'!$O:$O,$A217))</f>
        <v/>
      </c>
      <c r="J217" s="202">
        <f>IF($A217="","",IFERROR(DATE(LEFT(TEXT(INDEX('05_KAPA'!$T:$T,$A217),"0"),4),MID(TEXT(INDEX('05_KAPA'!$T:$T,$A217),"0"),5,2),RIGHT(TEXT(INDEX('05_KAPA'!$T:$T,$A217),"0"),2)),""))</f>
        <v/>
      </c>
      <c r="K217">
        <f>IF(C217="","",IF('02_대상물건입력'!$B$5="",1,IF(ISNUMBER(SEARCH('02_대상물건입력'!$B$5,C217)),1,0)))</f>
        <v/>
      </c>
      <c r="L217">
        <f>IF(C217="","",IF('02_대상물건입력'!$B$6="",1,IF(ISNUMBER(SEARCH('02_대상물건입력'!$B$6,C217)),1,0)))</f>
        <v/>
      </c>
      <c r="M217">
        <f>IF(E217="","",IF('02_대상물건입력'!$B$8="",0,IF(ISNUMBER(SEARCH('02_대상물건입력'!$B$8,E217)),1,0)))</f>
        <v/>
      </c>
      <c r="N217">
        <f>IF(B217="","",IF(B217="담보",1,0))</f>
        <v/>
      </c>
      <c r="O217">
        <f>IFERROR(ABS(G217-'02_대상물건입력'!$B$11)/'02_대상물건입력'!$B$11,"")</f>
        <v/>
      </c>
      <c r="P217">
        <f>IFERROR(ABS('01_설정'!$B$4-H217),"")</f>
        <v/>
      </c>
      <c r="Q217">
        <f>IFERROR(ABS(YEAR(J217)-YEAR('02_대상물건입력'!$B$14)),"")</f>
        <v/>
      </c>
      <c r="R217">
        <f>IF(AND(G217&gt;0,H217&gt;0,I217&gt;0,N217=1,IF('01_설정'!$B$10=1,K217=1,TRUE()),O217&lt;='01_설정'!$B$5,P217&lt;='01_설정'!$B$7,Q217&lt;='01_설정'!$B$8),"Y","")</f>
        <v/>
      </c>
      <c r="S217">
        <f>IF(R217&lt;&gt;"Y","",MAX(0,(1-O217/'01_설정'!$B$5))*'01_설정'!$B$14+MAX(0,(1-P217/'01_설정'!$B$7))*'01_설정'!$B$16+MAX(0,(1-Q217/'01_설정'!$B$8))*'01_설정'!$B$17+L217*'01_설정'!$B$11+M217*'01_설정'!$B$12+N217*50)</f>
        <v/>
      </c>
      <c r="T217">
        <f>IF(S217="","",1+COUNTIFS($S$31:$S$1030,"&gt;"&amp;S217)+COUNTIFS($S$31:S217,S217)-1)</f>
        <v/>
      </c>
    </row>
    <row r="218" hidden="1" ht="16.5" customHeight="1">
      <c r="A218">
        <f>IF(COUNTA('05_KAPA'!$A189:$AO189)=0,"",191)</f>
        <v/>
      </c>
      <c r="B218">
        <f>IF($A218="","",INDEX('05_KAPA'!$B:$B,$A218))</f>
        <v/>
      </c>
      <c r="C218">
        <f>IF($A218="","",INDEX('05_KAPA'!$F:$F,$A218))</f>
        <v/>
      </c>
      <c r="D218">
        <f>IF($A218="","",INDEX('05_KAPA'!$H:$H,$A218))</f>
        <v/>
      </c>
      <c r="E218">
        <f>IF($A218="","",INDEX('05_KAPA'!$K:$K,$A218))</f>
        <v/>
      </c>
      <c r="F218">
        <f>IF($A218="","",INDEX('05_KAPA'!$L:$L,$A218))</f>
        <v/>
      </c>
      <c r="G218">
        <f>IF($A218="","",INDEX('05_KAPA'!$I:$I,$A218))</f>
        <v/>
      </c>
      <c r="H218" s="202">
        <f>IF($A218="","",INDEX('05_KAPA'!$P:$P,$A218))</f>
        <v/>
      </c>
      <c r="I218" s="118">
        <f>IF($A218="","",INDEX('05_KAPA'!$O:$O,$A218))</f>
        <v/>
      </c>
      <c r="J218" s="202">
        <f>IF($A218="","",IFERROR(DATE(LEFT(TEXT(INDEX('05_KAPA'!$T:$T,$A218),"0"),4),MID(TEXT(INDEX('05_KAPA'!$T:$T,$A218),"0"),5,2),RIGHT(TEXT(INDEX('05_KAPA'!$T:$T,$A218),"0"),2)),""))</f>
        <v/>
      </c>
      <c r="K218">
        <f>IF(C218="","",IF('02_대상물건입력'!$B$5="",1,IF(ISNUMBER(SEARCH('02_대상물건입력'!$B$5,C218)),1,0)))</f>
        <v/>
      </c>
      <c r="L218">
        <f>IF(C218="","",IF('02_대상물건입력'!$B$6="",1,IF(ISNUMBER(SEARCH('02_대상물건입력'!$B$6,C218)),1,0)))</f>
        <v/>
      </c>
      <c r="M218">
        <f>IF(E218="","",IF('02_대상물건입력'!$B$8="",0,IF(ISNUMBER(SEARCH('02_대상물건입력'!$B$8,E218)),1,0)))</f>
        <v/>
      </c>
      <c r="N218">
        <f>IF(B218="","",IF(B218="담보",1,0))</f>
        <v/>
      </c>
      <c r="O218">
        <f>IFERROR(ABS(G218-'02_대상물건입력'!$B$11)/'02_대상물건입력'!$B$11,"")</f>
        <v/>
      </c>
      <c r="P218">
        <f>IFERROR(ABS('01_설정'!$B$4-H218),"")</f>
        <v/>
      </c>
      <c r="Q218">
        <f>IFERROR(ABS(YEAR(J218)-YEAR('02_대상물건입력'!$B$14)),"")</f>
        <v/>
      </c>
      <c r="R218">
        <f>IF(AND(G218&gt;0,H218&gt;0,I218&gt;0,N218=1,IF('01_설정'!$B$10=1,K218=1,TRUE()),O218&lt;='01_설정'!$B$5,P218&lt;='01_설정'!$B$7,Q218&lt;='01_설정'!$B$8),"Y","")</f>
        <v/>
      </c>
      <c r="S218">
        <f>IF(R218&lt;&gt;"Y","",MAX(0,(1-O218/'01_설정'!$B$5))*'01_설정'!$B$14+MAX(0,(1-P218/'01_설정'!$B$7))*'01_설정'!$B$16+MAX(0,(1-Q218/'01_설정'!$B$8))*'01_설정'!$B$17+L218*'01_설정'!$B$11+M218*'01_설정'!$B$12+N218*50)</f>
        <v/>
      </c>
      <c r="T218">
        <f>IF(S218="","",1+COUNTIFS($S$31:$S$1030,"&gt;"&amp;S218)+COUNTIFS($S$31:S218,S218)-1)</f>
        <v/>
      </c>
    </row>
    <row r="219" hidden="1" ht="16.5" customHeight="1">
      <c r="A219">
        <f>IF(COUNTA('05_KAPA'!$A190:$AO190)=0,"",192)</f>
        <v/>
      </c>
      <c r="B219">
        <f>IF($A219="","",INDEX('05_KAPA'!$B:$B,$A219))</f>
        <v/>
      </c>
      <c r="C219">
        <f>IF($A219="","",INDEX('05_KAPA'!$F:$F,$A219))</f>
        <v/>
      </c>
      <c r="D219">
        <f>IF($A219="","",INDEX('05_KAPA'!$H:$H,$A219))</f>
        <v/>
      </c>
      <c r="E219">
        <f>IF($A219="","",INDEX('05_KAPA'!$K:$K,$A219))</f>
        <v/>
      </c>
      <c r="F219">
        <f>IF($A219="","",INDEX('05_KAPA'!$L:$L,$A219))</f>
        <v/>
      </c>
      <c r="G219">
        <f>IF($A219="","",INDEX('05_KAPA'!$I:$I,$A219))</f>
        <v/>
      </c>
      <c r="H219" s="202">
        <f>IF($A219="","",INDEX('05_KAPA'!$P:$P,$A219))</f>
        <v/>
      </c>
      <c r="I219" s="118">
        <f>IF($A219="","",INDEX('05_KAPA'!$O:$O,$A219))</f>
        <v/>
      </c>
      <c r="J219" s="202">
        <f>IF($A219="","",IFERROR(DATE(LEFT(TEXT(INDEX('05_KAPA'!$T:$T,$A219),"0"),4),MID(TEXT(INDEX('05_KAPA'!$T:$T,$A219),"0"),5,2),RIGHT(TEXT(INDEX('05_KAPA'!$T:$T,$A219),"0"),2)),""))</f>
        <v/>
      </c>
      <c r="K219">
        <f>IF(C219="","",IF('02_대상물건입력'!$B$5="",1,IF(ISNUMBER(SEARCH('02_대상물건입력'!$B$5,C219)),1,0)))</f>
        <v/>
      </c>
      <c r="L219">
        <f>IF(C219="","",IF('02_대상물건입력'!$B$6="",1,IF(ISNUMBER(SEARCH('02_대상물건입력'!$B$6,C219)),1,0)))</f>
        <v/>
      </c>
      <c r="M219">
        <f>IF(E219="","",IF('02_대상물건입력'!$B$8="",0,IF(ISNUMBER(SEARCH('02_대상물건입력'!$B$8,E219)),1,0)))</f>
        <v/>
      </c>
      <c r="N219">
        <f>IF(B219="","",IF(B219="담보",1,0))</f>
        <v/>
      </c>
      <c r="O219">
        <f>IFERROR(ABS(G219-'02_대상물건입력'!$B$11)/'02_대상물건입력'!$B$11,"")</f>
        <v/>
      </c>
      <c r="P219">
        <f>IFERROR(ABS('01_설정'!$B$4-H219),"")</f>
        <v/>
      </c>
      <c r="Q219">
        <f>IFERROR(ABS(YEAR(J219)-YEAR('02_대상물건입력'!$B$14)),"")</f>
        <v/>
      </c>
      <c r="R219">
        <f>IF(AND(G219&gt;0,H219&gt;0,I219&gt;0,N219=1,IF('01_설정'!$B$10=1,K219=1,TRUE()),O219&lt;='01_설정'!$B$5,P219&lt;='01_설정'!$B$7,Q219&lt;='01_설정'!$B$8),"Y","")</f>
        <v/>
      </c>
      <c r="S219">
        <f>IF(R219&lt;&gt;"Y","",MAX(0,(1-O219/'01_설정'!$B$5))*'01_설정'!$B$14+MAX(0,(1-P219/'01_설정'!$B$7))*'01_설정'!$B$16+MAX(0,(1-Q219/'01_설정'!$B$8))*'01_설정'!$B$17+L219*'01_설정'!$B$11+M219*'01_설정'!$B$12+N219*50)</f>
        <v/>
      </c>
      <c r="T219">
        <f>IF(S219="","",1+COUNTIFS($S$31:$S$1030,"&gt;"&amp;S219)+COUNTIFS($S$31:S219,S219)-1)</f>
        <v/>
      </c>
    </row>
    <row r="220" hidden="1" ht="16.5" customHeight="1">
      <c r="A220">
        <f>IF(COUNTA('05_KAPA'!$A191:$AO191)=0,"",193)</f>
        <v/>
      </c>
      <c r="B220">
        <f>IF($A220="","",INDEX('05_KAPA'!$B:$B,$A220))</f>
        <v/>
      </c>
      <c r="C220">
        <f>IF($A220="","",INDEX('05_KAPA'!$F:$F,$A220))</f>
        <v/>
      </c>
      <c r="D220">
        <f>IF($A220="","",INDEX('05_KAPA'!$H:$H,$A220))</f>
        <v/>
      </c>
      <c r="E220">
        <f>IF($A220="","",INDEX('05_KAPA'!$K:$K,$A220))</f>
        <v/>
      </c>
      <c r="F220">
        <f>IF($A220="","",INDEX('05_KAPA'!$L:$L,$A220))</f>
        <v/>
      </c>
      <c r="G220">
        <f>IF($A220="","",INDEX('05_KAPA'!$I:$I,$A220))</f>
        <v/>
      </c>
      <c r="H220" s="202">
        <f>IF($A220="","",INDEX('05_KAPA'!$P:$P,$A220))</f>
        <v/>
      </c>
      <c r="I220" s="118">
        <f>IF($A220="","",INDEX('05_KAPA'!$O:$O,$A220))</f>
        <v/>
      </c>
      <c r="J220" s="202">
        <f>IF($A220="","",IFERROR(DATE(LEFT(TEXT(INDEX('05_KAPA'!$T:$T,$A220),"0"),4),MID(TEXT(INDEX('05_KAPA'!$T:$T,$A220),"0"),5,2),RIGHT(TEXT(INDEX('05_KAPA'!$T:$T,$A220),"0"),2)),""))</f>
        <v/>
      </c>
      <c r="K220">
        <f>IF(C220="","",IF('02_대상물건입력'!$B$5="",1,IF(ISNUMBER(SEARCH('02_대상물건입력'!$B$5,C220)),1,0)))</f>
        <v/>
      </c>
      <c r="L220">
        <f>IF(C220="","",IF('02_대상물건입력'!$B$6="",1,IF(ISNUMBER(SEARCH('02_대상물건입력'!$B$6,C220)),1,0)))</f>
        <v/>
      </c>
      <c r="M220">
        <f>IF(E220="","",IF('02_대상물건입력'!$B$8="",0,IF(ISNUMBER(SEARCH('02_대상물건입력'!$B$8,E220)),1,0)))</f>
        <v/>
      </c>
      <c r="N220">
        <f>IF(B220="","",IF(B220="담보",1,0))</f>
        <v/>
      </c>
      <c r="O220">
        <f>IFERROR(ABS(G220-'02_대상물건입력'!$B$11)/'02_대상물건입력'!$B$11,"")</f>
        <v/>
      </c>
      <c r="P220">
        <f>IFERROR(ABS('01_설정'!$B$4-H220),"")</f>
        <v/>
      </c>
      <c r="Q220">
        <f>IFERROR(ABS(YEAR(J220)-YEAR('02_대상물건입력'!$B$14)),"")</f>
        <v/>
      </c>
      <c r="R220">
        <f>IF(AND(G220&gt;0,H220&gt;0,I220&gt;0,N220=1,IF('01_설정'!$B$10=1,K220=1,TRUE()),O220&lt;='01_설정'!$B$5,P220&lt;='01_설정'!$B$7,Q220&lt;='01_설정'!$B$8),"Y","")</f>
        <v/>
      </c>
      <c r="S220">
        <f>IF(R220&lt;&gt;"Y","",MAX(0,(1-O220/'01_설정'!$B$5))*'01_설정'!$B$14+MAX(0,(1-P220/'01_설정'!$B$7))*'01_설정'!$B$16+MAX(0,(1-Q220/'01_설정'!$B$8))*'01_설정'!$B$17+L220*'01_설정'!$B$11+M220*'01_설정'!$B$12+N220*50)</f>
        <v/>
      </c>
      <c r="T220">
        <f>IF(S220="","",1+COUNTIFS($S$31:$S$1030,"&gt;"&amp;S220)+COUNTIFS($S$31:S220,S220)-1)</f>
        <v/>
      </c>
    </row>
    <row r="221" hidden="1" ht="16.5" customHeight="1">
      <c r="A221">
        <f>IF(COUNTA('05_KAPA'!$A192:$AO192)=0,"",194)</f>
        <v/>
      </c>
      <c r="B221">
        <f>IF($A221="","",INDEX('05_KAPA'!$B:$B,$A221))</f>
        <v/>
      </c>
      <c r="C221">
        <f>IF($A221="","",INDEX('05_KAPA'!$F:$F,$A221))</f>
        <v/>
      </c>
      <c r="D221">
        <f>IF($A221="","",INDEX('05_KAPA'!$H:$H,$A221))</f>
        <v/>
      </c>
      <c r="E221">
        <f>IF($A221="","",INDEX('05_KAPA'!$K:$K,$A221))</f>
        <v/>
      </c>
      <c r="F221">
        <f>IF($A221="","",INDEX('05_KAPA'!$L:$L,$A221))</f>
        <v/>
      </c>
      <c r="G221">
        <f>IF($A221="","",INDEX('05_KAPA'!$I:$I,$A221))</f>
        <v/>
      </c>
      <c r="H221" s="202">
        <f>IF($A221="","",INDEX('05_KAPA'!$P:$P,$A221))</f>
        <v/>
      </c>
      <c r="I221" s="118">
        <f>IF($A221="","",INDEX('05_KAPA'!$O:$O,$A221))</f>
        <v/>
      </c>
      <c r="J221" s="202">
        <f>IF($A221="","",IFERROR(DATE(LEFT(TEXT(INDEX('05_KAPA'!$T:$T,$A221),"0"),4),MID(TEXT(INDEX('05_KAPA'!$T:$T,$A221),"0"),5,2),RIGHT(TEXT(INDEX('05_KAPA'!$T:$T,$A221),"0"),2)),""))</f>
        <v/>
      </c>
      <c r="K221">
        <f>IF(C221="","",IF('02_대상물건입력'!$B$5="",1,IF(ISNUMBER(SEARCH('02_대상물건입력'!$B$5,C221)),1,0)))</f>
        <v/>
      </c>
      <c r="L221">
        <f>IF(C221="","",IF('02_대상물건입력'!$B$6="",1,IF(ISNUMBER(SEARCH('02_대상물건입력'!$B$6,C221)),1,0)))</f>
        <v/>
      </c>
      <c r="M221">
        <f>IF(E221="","",IF('02_대상물건입력'!$B$8="",0,IF(ISNUMBER(SEARCH('02_대상물건입력'!$B$8,E221)),1,0)))</f>
        <v/>
      </c>
      <c r="N221">
        <f>IF(B221="","",IF(B221="담보",1,0))</f>
        <v/>
      </c>
      <c r="O221">
        <f>IFERROR(ABS(G221-'02_대상물건입력'!$B$11)/'02_대상물건입력'!$B$11,"")</f>
        <v/>
      </c>
      <c r="P221">
        <f>IFERROR(ABS('01_설정'!$B$4-H221),"")</f>
        <v/>
      </c>
      <c r="Q221">
        <f>IFERROR(ABS(YEAR(J221)-YEAR('02_대상물건입력'!$B$14)),"")</f>
        <v/>
      </c>
      <c r="R221">
        <f>IF(AND(G221&gt;0,H221&gt;0,I221&gt;0,N221=1,IF('01_설정'!$B$10=1,K221=1,TRUE()),O221&lt;='01_설정'!$B$5,P221&lt;='01_설정'!$B$7,Q221&lt;='01_설정'!$B$8),"Y","")</f>
        <v/>
      </c>
      <c r="S221">
        <f>IF(R221&lt;&gt;"Y","",MAX(0,(1-O221/'01_설정'!$B$5))*'01_설정'!$B$14+MAX(0,(1-P221/'01_설정'!$B$7))*'01_설정'!$B$16+MAX(0,(1-Q221/'01_설정'!$B$8))*'01_설정'!$B$17+L221*'01_설정'!$B$11+M221*'01_설정'!$B$12+N221*50)</f>
        <v/>
      </c>
      <c r="T221">
        <f>IF(S221="","",1+COUNTIFS($S$31:$S$1030,"&gt;"&amp;S221)+COUNTIFS($S$31:S221,S221)-1)</f>
        <v/>
      </c>
    </row>
    <row r="222" hidden="1" ht="16.5" customHeight="1">
      <c r="A222">
        <f>IF(COUNTA('05_KAPA'!$A193:$AO193)=0,"",195)</f>
        <v/>
      </c>
      <c r="B222">
        <f>IF($A222="","",INDEX('05_KAPA'!$B:$B,$A222))</f>
        <v/>
      </c>
      <c r="C222">
        <f>IF($A222="","",INDEX('05_KAPA'!$F:$F,$A222))</f>
        <v/>
      </c>
      <c r="D222">
        <f>IF($A222="","",INDEX('05_KAPA'!$H:$H,$A222))</f>
        <v/>
      </c>
      <c r="E222">
        <f>IF($A222="","",INDEX('05_KAPA'!$K:$K,$A222))</f>
        <v/>
      </c>
      <c r="F222">
        <f>IF($A222="","",INDEX('05_KAPA'!$L:$L,$A222))</f>
        <v/>
      </c>
      <c r="G222">
        <f>IF($A222="","",INDEX('05_KAPA'!$I:$I,$A222))</f>
        <v/>
      </c>
      <c r="H222" s="202">
        <f>IF($A222="","",INDEX('05_KAPA'!$P:$P,$A222))</f>
        <v/>
      </c>
      <c r="I222" s="118">
        <f>IF($A222="","",INDEX('05_KAPA'!$O:$O,$A222))</f>
        <v/>
      </c>
      <c r="J222" s="202">
        <f>IF($A222="","",IFERROR(DATE(LEFT(TEXT(INDEX('05_KAPA'!$T:$T,$A222),"0"),4),MID(TEXT(INDEX('05_KAPA'!$T:$T,$A222),"0"),5,2),RIGHT(TEXT(INDEX('05_KAPA'!$T:$T,$A222),"0"),2)),""))</f>
        <v/>
      </c>
      <c r="K222">
        <f>IF(C222="","",IF('02_대상물건입력'!$B$5="",1,IF(ISNUMBER(SEARCH('02_대상물건입력'!$B$5,C222)),1,0)))</f>
        <v/>
      </c>
      <c r="L222">
        <f>IF(C222="","",IF('02_대상물건입력'!$B$6="",1,IF(ISNUMBER(SEARCH('02_대상물건입력'!$B$6,C222)),1,0)))</f>
        <v/>
      </c>
      <c r="M222">
        <f>IF(E222="","",IF('02_대상물건입력'!$B$8="",0,IF(ISNUMBER(SEARCH('02_대상물건입력'!$B$8,E222)),1,0)))</f>
        <v/>
      </c>
      <c r="N222">
        <f>IF(B222="","",IF(B222="담보",1,0))</f>
        <v/>
      </c>
      <c r="O222">
        <f>IFERROR(ABS(G222-'02_대상물건입력'!$B$11)/'02_대상물건입력'!$B$11,"")</f>
        <v/>
      </c>
      <c r="P222">
        <f>IFERROR(ABS('01_설정'!$B$4-H222),"")</f>
        <v/>
      </c>
      <c r="Q222">
        <f>IFERROR(ABS(YEAR(J222)-YEAR('02_대상물건입력'!$B$14)),"")</f>
        <v/>
      </c>
      <c r="R222">
        <f>IF(AND(G222&gt;0,H222&gt;0,I222&gt;0,N222=1,IF('01_설정'!$B$10=1,K222=1,TRUE()),O222&lt;='01_설정'!$B$5,P222&lt;='01_설정'!$B$7,Q222&lt;='01_설정'!$B$8),"Y","")</f>
        <v/>
      </c>
      <c r="S222">
        <f>IF(R222&lt;&gt;"Y","",MAX(0,(1-O222/'01_설정'!$B$5))*'01_설정'!$B$14+MAX(0,(1-P222/'01_설정'!$B$7))*'01_설정'!$B$16+MAX(0,(1-Q222/'01_설정'!$B$8))*'01_설정'!$B$17+L222*'01_설정'!$B$11+M222*'01_설정'!$B$12+N222*50)</f>
        <v/>
      </c>
      <c r="T222">
        <f>IF(S222="","",1+COUNTIFS($S$31:$S$1030,"&gt;"&amp;S222)+COUNTIFS($S$31:S222,S222)-1)</f>
        <v/>
      </c>
    </row>
    <row r="223" hidden="1" ht="16.5" customHeight="1">
      <c r="A223">
        <f>IF(COUNTA('05_KAPA'!$A194:$AO194)=0,"",196)</f>
        <v/>
      </c>
      <c r="B223">
        <f>IF($A223="","",INDEX('05_KAPA'!$B:$B,$A223))</f>
        <v/>
      </c>
      <c r="C223">
        <f>IF($A223="","",INDEX('05_KAPA'!$F:$F,$A223))</f>
        <v/>
      </c>
      <c r="D223">
        <f>IF($A223="","",INDEX('05_KAPA'!$H:$H,$A223))</f>
        <v/>
      </c>
      <c r="E223">
        <f>IF($A223="","",INDEX('05_KAPA'!$K:$K,$A223))</f>
        <v/>
      </c>
      <c r="F223">
        <f>IF($A223="","",INDEX('05_KAPA'!$L:$L,$A223))</f>
        <v/>
      </c>
      <c r="G223">
        <f>IF($A223="","",INDEX('05_KAPA'!$I:$I,$A223))</f>
        <v/>
      </c>
      <c r="H223" s="202">
        <f>IF($A223="","",INDEX('05_KAPA'!$P:$P,$A223))</f>
        <v/>
      </c>
      <c r="I223" s="118">
        <f>IF($A223="","",INDEX('05_KAPA'!$O:$O,$A223))</f>
        <v/>
      </c>
      <c r="J223" s="202">
        <f>IF($A223="","",IFERROR(DATE(LEFT(TEXT(INDEX('05_KAPA'!$T:$T,$A223),"0"),4),MID(TEXT(INDEX('05_KAPA'!$T:$T,$A223),"0"),5,2),RIGHT(TEXT(INDEX('05_KAPA'!$T:$T,$A223),"0"),2)),""))</f>
        <v/>
      </c>
      <c r="K223">
        <f>IF(C223="","",IF('02_대상물건입력'!$B$5="",1,IF(ISNUMBER(SEARCH('02_대상물건입력'!$B$5,C223)),1,0)))</f>
        <v/>
      </c>
      <c r="L223">
        <f>IF(C223="","",IF('02_대상물건입력'!$B$6="",1,IF(ISNUMBER(SEARCH('02_대상물건입력'!$B$6,C223)),1,0)))</f>
        <v/>
      </c>
      <c r="M223">
        <f>IF(E223="","",IF('02_대상물건입력'!$B$8="",0,IF(ISNUMBER(SEARCH('02_대상물건입력'!$B$8,E223)),1,0)))</f>
        <v/>
      </c>
      <c r="N223">
        <f>IF(B223="","",IF(B223="담보",1,0))</f>
        <v/>
      </c>
      <c r="O223">
        <f>IFERROR(ABS(G223-'02_대상물건입력'!$B$11)/'02_대상물건입력'!$B$11,"")</f>
        <v/>
      </c>
      <c r="P223">
        <f>IFERROR(ABS('01_설정'!$B$4-H223),"")</f>
        <v/>
      </c>
      <c r="Q223">
        <f>IFERROR(ABS(YEAR(J223)-YEAR('02_대상물건입력'!$B$14)),"")</f>
        <v/>
      </c>
      <c r="R223">
        <f>IF(AND(G223&gt;0,H223&gt;0,I223&gt;0,N223=1,IF('01_설정'!$B$10=1,K223=1,TRUE()),O223&lt;='01_설정'!$B$5,P223&lt;='01_설정'!$B$7,Q223&lt;='01_설정'!$B$8),"Y","")</f>
        <v/>
      </c>
      <c r="S223">
        <f>IF(R223&lt;&gt;"Y","",MAX(0,(1-O223/'01_설정'!$B$5))*'01_설정'!$B$14+MAX(0,(1-P223/'01_설정'!$B$7))*'01_설정'!$B$16+MAX(0,(1-Q223/'01_설정'!$B$8))*'01_설정'!$B$17+L223*'01_설정'!$B$11+M223*'01_설정'!$B$12+N223*50)</f>
        <v/>
      </c>
      <c r="T223">
        <f>IF(S223="","",1+COUNTIFS($S$31:$S$1030,"&gt;"&amp;S223)+COUNTIFS($S$31:S223,S223)-1)</f>
        <v/>
      </c>
    </row>
    <row r="224" hidden="1" ht="16.5" customHeight="1">
      <c r="A224">
        <f>IF(COUNTA('05_KAPA'!$A195:$AO195)=0,"",197)</f>
        <v/>
      </c>
      <c r="B224">
        <f>IF($A224="","",INDEX('05_KAPA'!$B:$B,$A224))</f>
        <v/>
      </c>
      <c r="C224">
        <f>IF($A224="","",INDEX('05_KAPA'!$F:$F,$A224))</f>
        <v/>
      </c>
      <c r="D224">
        <f>IF($A224="","",INDEX('05_KAPA'!$H:$H,$A224))</f>
        <v/>
      </c>
      <c r="E224">
        <f>IF($A224="","",INDEX('05_KAPA'!$K:$K,$A224))</f>
        <v/>
      </c>
      <c r="F224">
        <f>IF($A224="","",INDEX('05_KAPA'!$L:$L,$A224))</f>
        <v/>
      </c>
      <c r="G224">
        <f>IF($A224="","",INDEX('05_KAPA'!$I:$I,$A224))</f>
        <v/>
      </c>
      <c r="H224" s="202">
        <f>IF($A224="","",INDEX('05_KAPA'!$P:$P,$A224))</f>
        <v/>
      </c>
      <c r="I224" s="118">
        <f>IF($A224="","",INDEX('05_KAPA'!$O:$O,$A224))</f>
        <v/>
      </c>
      <c r="J224" s="202">
        <f>IF($A224="","",IFERROR(DATE(LEFT(TEXT(INDEX('05_KAPA'!$T:$T,$A224),"0"),4),MID(TEXT(INDEX('05_KAPA'!$T:$T,$A224),"0"),5,2),RIGHT(TEXT(INDEX('05_KAPA'!$T:$T,$A224),"0"),2)),""))</f>
        <v/>
      </c>
      <c r="K224">
        <f>IF(C224="","",IF('02_대상물건입력'!$B$5="",1,IF(ISNUMBER(SEARCH('02_대상물건입력'!$B$5,C224)),1,0)))</f>
        <v/>
      </c>
      <c r="L224">
        <f>IF(C224="","",IF('02_대상물건입력'!$B$6="",1,IF(ISNUMBER(SEARCH('02_대상물건입력'!$B$6,C224)),1,0)))</f>
        <v/>
      </c>
      <c r="M224">
        <f>IF(E224="","",IF('02_대상물건입력'!$B$8="",0,IF(ISNUMBER(SEARCH('02_대상물건입력'!$B$8,E224)),1,0)))</f>
        <v/>
      </c>
      <c r="N224">
        <f>IF(B224="","",IF(B224="담보",1,0))</f>
        <v/>
      </c>
      <c r="O224">
        <f>IFERROR(ABS(G224-'02_대상물건입력'!$B$11)/'02_대상물건입력'!$B$11,"")</f>
        <v/>
      </c>
      <c r="P224">
        <f>IFERROR(ABS('01_설정'!$B$4-H224),"")</f>
        <v/>
      </c>
      <c r="Q224">
        <f>IFERROR(ABS(YEAR(J224)-YEAR('02_대상물건입력'!$B$14)),"")</f>
        <v/>
      </c>
      <c r="R224">
        <f>IF(AND(G224&gt;0,H224&gt;0,I224&gt;0,N224=1,IF('01_설정'!$B$10=1,K224=1,TRUE()),O224&lt;='01_설정'!$B$5,P224&lt;='01_설정'!$B$7,Q224&lt;='01_설정'!$B$8),"Y","")</f>
        <v/>
      </c>
      <c r="S224">
        <f>IF(R224&lt;&gt;"Y","",MAX(0,(1-O224/'01_설정'!$B$5))*'01_설정'!$B$14+MAX(0,(1-P224/'01_설정'!$B$7))*'01_설정'!$B$16+MAX(0,(1-Q224/'01_설정'!$B$8))*'01_설정'!$B$17+L224*'01_설정'!$B$11+M224*'01_설정'!$B$12+N224*50)</f>
        <v/>
      </c>
      <c r="T224">
        <f>IF(S224="","",1+COUNTIFS($S$31:$S$1030,"&gt;"&amp;S224)+COUNTIFS($S$31:S224,S224)-1)</f>
        <v/>
      </c>
    </row>
    <row r="225" hidden="1" ht="16.5" customHeight="1">
      <c r="A225">
        <f>IF(COUNTA('05_KAPA'!$A196:$AO196)=0,"",198)</f>
        <v/>
      </c>
      <c r="B225">
        <f>IF($A225="","",INDEX('05_KAPA'!$B:$B,$A225))</f>
        <v/>
      </c>
      <c r="C225">
        <f>IF($A225="","",INDEX('05_KAPA'!$F:$F,$A225))</f>
        <v/>
      </c>
      <c r="D225">
        <f>IF($A225="","",INDEX('05_KAPA'!$H:$H,$A225))</f>
        <v/>
      </c>
      <c r="E225">
        <f>IF($A225="","",INDEX('05_KAPA'!$K:$K,$A225))</f>
        <v/>
      </c>
      <c r="F225">
        <f>IF($A225="","",INDEX('05_KAPA'!$L:$L,$A225))</f>
        <v/>
      </c>
      <c r="G225">
        <f>IF($A225="","",INDEX('05_KAPA'!$I:$I,$A225))</f>
        <v/>
      </c>
      <c r="H225" s="202">
        <f>IF($A225="","",INDEX('05_KAPA'!$P:$P,$A225))</f>
        <v/>
      </c>
      <c r="I225" s="118">
        <f>IF($A225="","",INDEX('05_KAPA'!$O:$O,$A225))</f>
        <v/>
      </c>
      <c r="J225" s="202">
        <f>IF($A225="","",IFERROR(DATE(LEFT(TEXT(INDEX('05_KAPA'!$T:$T,$A225),"0"),4),MID(TEXT(INDEX('05_KAPA'!$T:$T,$A225),"0"),5,2),RIGHT(TEXT(INDEX('05_KAPA'!$T:$T,$A225),"0"),2)),""))</f>
        <v/>
      </c>
      <c r="K225">
        <f>IF(C225="","",IF('02_대상물건입력'!$B$5="",1,IF(ISNUMBER(SEARCH('02_대상물건입력'!$B$5,C225)),1,0)))</f>
        <v/>
      </c>
      <c r="L225">
        <f>IF(C225="","",IF('02_대상물건입력'!$B$6="",1,IF(ISNUMBER(SEARCH('02_대상물건입력'!$B$6,C225)),1,0)))</f>
        <v/>
      </c>
      <c r="M225">
        <f>IF(E225="","",IF('02_대상물건입력'!$B$8="",0,IF(ISNUMBER(SEARCH('02_대상물건입력'!$B$8,E225)),1,0)))</f>
        <v/>
      </c>
      <c r="N225">
        <f>IF(B225="","",IF(B225="담보",1,0))</f>
        <v/>
      </c>
      <c r="O225">
        <f>IFERROR(ABS(G225-'02_대상물건입력'!$B$11)/'02_대상물건입력'!$B$11,"")</f>
        <v/>
      </c>
      <c r="P225">
        <f>IFERROR(ABS('01_설정'!$B$4-H225),"")</f>
        <v/>
      </c>
      <c r="Q225">
        <f>IFERROR(ABS(YEAR(J225)-YEAR('02_대상물건입력'!$B$14)),"")</f>
        <v/>
      </c>
      <c r="R225">
        <f>IF(AND(G225&gt;0,H225&gt;0,I225&gt;0,N225=1,IF('01_설정'!$B$10=1,K225=1,TRUE()),O225&lt;='01_설정'!$B$5,P225&lt;='01_설정'!$B$7,Q225&lt;='01_설정'!$B$8),"Y","")</f>
        <v/>
      </c>
      <c r="S225">
        <f>IF(R225&lt;&gt;"Y","",MAX(0,(1-O225/'01_설정'!$B$5))*'01_설정'!$B$14+MAX(0,(1-P225/'01_설정'!$B$7))*'01_설정'!$B$16+MAX(0,(1-Q225/'01_설정'!$B$8))*'01_설정'!$B$17+L225*'01_설정'!$B$11+M225*'01_설정'!$B$12+N225*50)</f>
        <v/>
      </c>
      <c r="T225">
        <f>IF(S225="","",1+COUNTIFS($S$31:$S$1030,"&gt;"&amp;S225)+COUNTIFS($S$31:S225,S225)-1)</f>
        <v/>
      </c>
    </row>
    <row r="226" hidden="1" ht="16.5" customHeight="1">
      <c r="A226">
        <f>IF(COUNTA('05_KAPA'!$A197:$AO197)=0,"",199)</f>
        <v/>
      </c>
      <c r="B226">
        <f>IF($A226="","",INDEX('05_KAPA'!$B:$B,$A226))</f>
        <v/>
      </c>
      <c r="C226">
        <f>IF($A226="","",INDEX('05_KAPA'!$F:$F,$A226))</f>
        <v/>
      </c>
      <c r="D226">
        <f>IF($A226="","",INDEX('05_KAPA'!$H:$H,$A226))</f>
        <v/>
      </c>
      <c r="E226">
        <f>IF($A226="","",INDEX('05_KAPA'!$K:$K,$A226))</f>
        <v/>
      </c>
      <c r="F226">
        <f>IF($A226="","",INDEX('05_KAPA'!$L:$L,$A226))</f>
        <v/>
      </c>
      <c r="G226">
        <f>IF($A226="","",INDEX('05_KAPA'!$I:$I,$A226))</f>
        <v/>
      </c>
      <c r="H226" s="202">
        <f>IF($A226="","",INDEX('05_KAPA'!$P:$P,$A226))</f>
        <v/>
      </c>
      <c r="I226" s="118">
        <f>IF($A226="","",INDEX('05_KAPA'!$O:$O,$A226))</f>
        <v/>
      </c>
      <c r="J226" s="202">
        <f>IF($A226="","",IFERROR(DATE(LEFT(TEXT(INDEX('05_KAPA'!$T:$T,$A226),"0"),4),MID(TEXT(INDEX('05_KAPA'!$T:$T,$A226),"0"),5,2),RIGHT(TEXT(INDEX('05_KAPA'!$T:$T,$A226),"0"),2)),""))</f>
        <v/>
      </c>
      <c r="K226">
        <f>IF(C226="","",IF('02_대상물건입력'!$B$5="",1,IF(ISNUMBER(SEARCH('02_대상물건입력'!$B$5,C226)),1,0)))</f>
        <v/>
      </c>
      <c r="L226">
        <f>IF(C226="","",IF('02_대상물건입력'!$B$6="",1,IF(ISNUMBER(SEARCH('02_대상물건입력'!$B$6,C226)),1,0)))</f>
        <v/>
      </c>
      <c r="M226">
        <f>IF(E226="","",IF('02_대상물건입력'!$B$8="",0,IF(ISNUMBER(SEARCH('02_대상물건입력'!$B$8,E226)),1,0)))</f>
        <v/>
      </c>
      <c r="N226">
        <f>IF(B226="","",IF(B226="담보",1,0))</f>
        <v/>
      </c>
      <c r="O226">
        <f>IFERROR(ABS(G226-'02_대상물건입력'!$B$11)/'02_대상물건입력'!$B$11,"")</f>
        <v/>
      </c>
      <c r="P226">
        <f>IFERROR(ABS('01_설정'!$B$4-H226),"")</f>
        <v/>
      </c>
      <c r="Q226">
        <f>IFERROR(ABS(YEAR(J226)-YEAR('02_대상물건입력'!$B$14)),"")</f>
        <v/>
      </c>
      <c r="R226">
        <f>IF(AND(G226&gt;0,H226&gt;0,I226&gt;0,N226=1,IF('01_설정'!$B$10=1,K226=1,TRUE()),O226&lt;='01_설정'!$B$5,P226&lt;='01_설정'!$B$7,Q226&lt;='01_설정'!$B$8),"Y","")</f>
        <v/>
      </c>
      <c r="S226">
        <f>IF(R226&lt;&gt;"Y","",MAX(0,(1-O226/'01_설정'!$B$5))*'01_설정'!$B$14+MAX(0,(1-P226/'01_설정'!$B$7))*'01_설정'!$B$16+MAX(0,(1-Q226/'01_설정'!$B$8))*'01_설정'!$B$17+L226*'01_설정'!$B$11+M226*'01_설정'!$B$12+N226*50)</f>
        <v/>
      </c>
      <c r="T226">
        <f>IF(S226="","",1+COUNTIFS($S$31:$S$1030,"&gt;"&amp;S226)+COUNTIFS($S$31:S226,S226)-1)</f>
        <v/>
      </c>
    </row>
    <row r="227" hidden="1" ht="16.5" customHeight="1">
      <c r="A227">
        <f>IF(COUNTA('05_KAPA'!$A198:$AO198)=0,"",200)</f>
        <v/>
      </c>
      <c r="B227">
        <f>IF($A227="","",INDEX('05_KAPA'!$B:$B,$A227))</f>
        <v/>
      </c>
      <c r="C227">
        <f>IF($A227="","",INDEX('05_KAPA'!$F:$F,$A227))</f>
        <v/>
      </c>
      <c r="D227">
        <f>IF($A227="","",INDEX('05_KAPA'!$H:$H,$A227))</f>
        <v/>
      </c>
      <c r="E227">
        <f>IF($A227="","",INDEX('05_KAPA'!$K:$K,$A227))</f>
        <v/>
      </c>
      <c r="F227">
        <f>IF($A227="","",INDEX('05_KAPA'!$L:$L,$A227))</f>
        <v/>
      </c>
      <c r="G227">
        <f>IF($A227="","",INDEX('05_KAPA'!$I:$I,$A227))</f>
        <v/>
      </c>
      <c r="H227" s="202">
        <f>IF($A227="","",INDEX('05_KAPA'!$P:$P,$A227))</f>
        <v/>
      </c>
      <c r="I227" s="118">
        <f>IF($A227="","",INDEX('05_KAPA'!$O:$O,$A227))</f>
        <v/>
      </c>
      <c r="J227" s="202">
        <f>IF($A227="","",IFERROR(DATE(LEFT(TEXT(INDEX('05_KAPA'!$T:$T,$A227),"0"),4),MID(TEXT(INDEX('05_KAPA'!$T:$T,$A227),"0"),5,2),RIGHT(TEXT(INDEX('05_KAPA'!$T:$T,$A227),"0"),2)),""))</f>
        <v/>
      </c>
      <c r="K227">
        <f>IF(C227="","",IF('02_대상물건입력'!$B$5="",1,IF(ISNUMBER(SEARCH('02_대상물건입력'!$B$5,C227)),1,0)))</f>
        <v/>
      </c>
      <c r="L227">
        <f>IF(C227="","",IF('02_대상물건입력'!$B$6="",1,IF(ISNUMBER(SEARCH('02_대상물건입력'!$B$6,C227)),1,0)))</f>
        <v/>
      </c>
      <c r="M227">
        <f>IF(E227="","",IF('02_대상물건입력'!$B$8="",0,IF(ISNUMBER(SEARCH('02_대상물건입력'!$B$8,E227)),1,0)))</f>
        <v/>
      </c>
      <c r="N227">
        <f>IF(B227="","",IF(B227="담보",1,0))</f>
        <v/>
      </c>
      <c r="O227">
        <f>IFERROR(ABS(G227-'02_대상물건입력'!$B$11)/'02_대상물건입력'!$B$11,"")</f>
        <v/>
      </c>
      <c r="P227">
        <f>IFERROR(ABS('01_설정'!$B$4-H227),"")</f>
        <v/>
      </c>
      <c r="Q227">
        <f>IFERROR(ABS(YEAR(J227)-YEAR('02_대상물건입력'!$B$14)),"")</f>
        <v/>
      </c>
      <c r="R227">
        <f>IF(AND(G227&gt;0,H227&gt;0,I227&gt;0,N227=1,IF('01_설정'!$B$10=1,K227=1,TRUE()),O227&lt;='01_설정'!$B$5,P227&lt;='01_설정'!$B$7,Q227&lt;='01_설정'!$B$8),"Y","")</f>
        <v/>
      </c>
      <c r="S227">
        <f>IF(R227&lt;&gt;"Y","",MAX(0,(1-O227/'01_설정'!$B$5))*'01_설정'!$B$14+MAX(0,(1-P227/'01_설정'!$B$7))*'01_설정'!$B$16+MAX(0,(1-Q227/'01_설정'!$B$8))*'01_설정'!$B$17+L227*'01_설정'!$B$11+M227*'01_설정'!$B$12+N227*50)</f>
        <v/>
      </c>
      <c r="T227">
        <f>IF(S227="","",1+COUNTIFS($S$31:$S$1030,"&gt;"&amp;S227)+COUNTIFS($S$31:S227,S227)-1)</f>
        <v/>
      </c>
    </row>
    <row r="228" hidden="1" ht="16.5" customHeight="1">
      <c r="A228">
        <f>IF(COUNTA('05_KAPA'!$A199:$AO199)=0,"",201)</f>
        <v/>
      </c>
      <c r="B228">
        <f>IF($A228="","",INDEX('05_KAPA'!$B:$B,$A228))</f>
        <v/>
      </c>
      <c r="C228">
        <f>IF($A228="","",INDEX('05_KAPA'!$F:$F,$A228))</f>
        <v/>
      </c>
      <c r="D228">
        <f>IF($A228="","",INDEX('05_KAPA'!$H:$H,$A228))</f>
        <v/>
      </c>
      <c r="E228">
        <f>IF($A228="","",INDEX('05_KAPA'!$K:$K,$A228))</f>
        <v/>
      </c>
      <c r="F228">
        <f>IF($A228="","",INDEX('05_KAPA'!$L:$L,$A228))</f>
        <v/>
      </c>
      <c r="G228">
        <f>IF($A228="","",INDEX('05_KAPA'!$I:$I,$A228))</f>
        <v/>
      </c>
      <c r="H228" s="202">
        <f>IF($A228="","",INDEX('05_KAPA'!$P:$P,$A228))</f>
        <v/>
      </c>
      <c r="I228" s="118">
        <f>IF($A228="","",INDEX('05_KAPA'!$O:$O,$A228))</f>
        <v/>
      </c>
      <c r="J228" s="202">
        <f>IF($A228="","",IFERROR(DATE(LEFT(TEXT(INDEX('05_KAPA'!$T:$T,$A228),"0"),4),MID(TEXT(INDEX('05_KAPA'!$T:$T,$A228),"0"),5,2),RIGHT(TEXT(INDEX('05_KAPA'!$T:$T,$A228),"0"),2)),""))</f>
        <v/>
      </c>
      <c r="K228">
        <f>IF(C228="","",IF('02_대상물건입력'!$B$5="",1,IF(ISNUMBER(SEARCH('02_대상물건입력'!$B$5,C228)),1,0)))</f>
        <v/>
      </c>
      <c r="L228">
        <f>IF(C228="","",IF('02_대상물건입력'!$B$6="",1,IF(ISNUMBER(SEARCH('02_대상물건입력'!$B$6,C228)),1,0)))</f>
        <v/>
      </c>
      <c r="M228">
        <f>IF(E228="","",IF('02_대상물건입력'!$B$8="",0,IF(ISNUMBER(SEARCH('02_대상물건입력'!$B$8,E228)),1,0)))</f>
        <v/>
      </c>
      <c r="N228">
        <f>IF(B228="","",IF(B228="담보",1,0))</f>
        <v/>
      </c>
      <c r="O228">
        <f>IFERROR(ABS(G228-'02_대상물건입력'!$B$11)/'02_대상물건입력'!$B$11,"")</f>
        <v/>
      </c>
      <c r="P228">
        <f>IFERROR(ABS('01_설정'!$B$4-H228),"")</f>
        <v/>
      </c>
      <c r="Q228">
        <f>IFERROR(ABS(YEAR(J228)-YEAR('02_대상물건입력'!$B$14)),"")</f>
        <v/>
      </c>
      <c r="R228">
        <f>IF(AND(G228&gt;0,H228&gt;0,I228&gt;0,N228=1,IF('01_설정'!$B$10=1,K228=1,TRUE()),O228&lt;='01_설정'!$B$5,P228&lt;='01_설정'!$B$7,Q228&lt;='01_설정'!$B$8),"Y","")</f>
        <v/>
      </c>
      <c r="S228">
        <f>IF(R228&lt;&gt;"Y","",MAX(0,(1-O228/'01_설정'!$B$5))*'01_설정'!$B$14+MAX(0,(1-P228/'01_설정'!$B$7))*'01_설정'!$B$16+MAX(0,(1-Q228/'01_설정'!$B$8))*'01_설정'!$B$17+L228*'01_설정'!$B$11+M228*'01_설정'!$B$12+N228*50)</f>
        <v/>
      </c>
      <c r="T228">
        <f>IF(S228="","",1+COUNTIFS($S$31:$S$1030,"&gt;"&amp;S228)+COUNTIFS($S$31:S228,S228)-1)</f>
        <v/>
      </c>
    </row>
    <row r="229" hidden="1" ht="16.5" customHeight="1">
      <c r="A229">
        <f>IF(COUNTA('05_KAPA'!$A200:$AO200)=0,"",202)</f>
        <v/>
      </c>
      <c r="B229">
        <f>IF($A229="","",INDEX('05_KAPA'!$B:$B,$A229))</f>
        <v/>
      </c>
      <c r="C229">
        <f>IF($A229="","",INDEX('05_KAPA'!$F:$F,$A229))</f>
        <v/>
      </c>
      <c r="D229">
        <f>IF($A229="","",INDEX('05_KAPA'!$H:$H,$A229))</f>
        <v/>
      </c>
      <c r="E229">
        <f>IF($A229="","",INDEX('05_KAPA'!$K:$K,$A229))</f>
        <v/>
      </c>
      <c r="F229">
        <f>IF($A229="","",INDEX('05_KAPA'!$L:$L,$A229))</f>
        <v/>
      </c>
      <c r="G229">
        <f>IF($A229="","",INDEX('05_KAPA'!$I:$I,$A229))</f>
        <v/>
      </c>
      <c r="H229" s="202">
        <f>IF($A229="","",INDEX('05_KAPA'!$P:$P,$A229))</f>
        <v/>
      </c>
      <c r="I229" s="118">
        <f>IF($A229="","",INDEX('05_KAPA'!$O:$O,$A229))</f>
        <v/>
      </c>
      <c r="J229" s="202">
        <f>IF($A229="","",IFERROR(DATE(LEFT(TEXT(INDEX('05_KAPA'!$T:$T,$A229),"0"),4),MID(TEXT(INDEX('05_KAPA'!$T:$T,$A229),"0"),5,2),RIGHT(TEXT(INDEX('05_KAPA'!$T:$T,$A229),"0"),2)),""))</f>
        <v/>
      </c>
      <c r="K229">
        <f>IF(C229="","",IF('02_대상물건입력'!$B$5="",1,IF(ISNUMBER(SEARCH('02_대상물건입력'!$B$5,C229)),1,0)))</f>
        <v/>
      </c>
      <c r="L229">
        <f>IF(C229="","",IF('02_대상물건입력'!$B$6="",1,IF(ISNUMBER(SEARCH('02_대상물건입력'!$B$6,C229)),1,0)))</f>
        <v/>
      </c>
      <c r="M229">
        <f>IF(E229="","",IF('02_대상물건입력'!$B$8="",0,IF(ISNUMBER(SEARCH('02_대상물건입력'!$B$8,E229)),1,0)))</f>
        <v/>
      </c>
      <c r="N229">
        <f>IF(B229="","",IF(B229="담보",1,0))</f>
        <v/>
      </c>
      <c r="O229">
        <f>IFERROR(ABS(G229-'02_대상물건입력'!$B$11)/'02_대상물건입력'!$B$11,"")</f>
        <v/>
      </c>
      <c r="P229">
        <f>IFERROR(ABS('01_설정'!$B$4-H229),"")</f>
        <v/>
      </c>
      <c r="Q229">
        <f>IFERROR(ABS(YEAR(J229)-YEAR('02_대상물건입력'!$B$14)),"")</f>
        <v/>
      </c>
      <c r="R229">
        <f>IF(AND(G229&gt;0,H229&gt;0,I229&gt;0,N229=1,IF('01_설정'!$B$10=1,K229=1,TRUE()),O229&lt;='01_설정'!$B$5,P229&lt;='01_설정'!$B$7,Q229&lt;='01_설정'!$B$8),"Y","")</f>
        <v/>
      </c>
      <c r="S229">
        <f>IF(R229&lt;&gt;"Y","",MAX(0,(1-O229/'01_설정'!$B$5))*'01_설정'!$B$14+MAX(0,(1-P229/'01_설정'!$B$7))*'01_설정'!$B$16+MAX(0,(1-Q229/'01_설정'!$B$8))*'01_설정'!$B$17+L229*'01_설정'!$B$11+M229*'01_설정'!$B$12+N229*50)</f>
        <v/>
      </c>
      <c r="T229">
        <f>IF(S229="","",1+COUNTIFS($S$31:$S$1030,"&gt;"&amp;S229)+COUNTIFS($S$31:S229,S229)-1)</f>
        <v/>
      </c>
    </row>
    <row r="230" hidden="1" ht="16.5" customHeight="1">
      <c r="A230">
        <f>IF(COUNTA('05_KAPA'!$A201:$AO201)=0,"",203)</f>
        <v/>
      </c>
      <c r="B230">
        <f>IF($A230="","",INDEX('05_KAPA'!$B:$B,$A230))</f>
        <v/>
      </c>
      <c r="C230">
        <f>IF($A230="","",INDEX('05_KAPA'!$F:$F,$A230))</f>
        <v/>
      </c>
      <c r="D230">
        <f>IF($A230="","",INDEX('05_KAPA'!$H:$H,$A230))</f>
        <v/>
      </c>
      <c r="E230">
        <f>IF($A230="","",INDEX('05_KAPA'!$K:$K,$A230))</f>
        <v/>
      </c>
      <c r="F230">
        <f>IF($A230="","",INDEX('05_KAPA'!$L:$L,$A230))</f>
        <v/>
      </c>
      <c r="G230">
        <f>IF($A230="","",INDEX('05_KAPA'!$I:$I,$A230))</f>
        <v/>
      </c>
      <c r="H230" s="202">
        <f>IF($A230="","",INDEX('05_KAPA'!$P:$P,$A230))</f>
        <v/>
      </c>
      <c r="I230" s="118">
        <f>IF($A230="","",INDEX('05_KAPA'!$O:$O,$A230))</f>
        <v/>
      </c>
      <c r="J230" s="202">
        <f>IF($A230="","",IFERROR(DATE(LEFT(TEXT(INDEX('05_KAPA'!$T:$T,$A230),"0"),4),MID(TEXT(INDEX('05_KAPA'!$T:$T,$A230),"0"),5,2),RIGHT(TEXT(INDEX('05_KAPA'!$T:$T,$A230),"0"),2)),""))</f>
        <v/>
      </c>
      <c r="K230">
        <f>IF(C230="","",IF('02_대상물건입력'!$B$5="",1,IF(ISNUMBER(SEARCH('02_대상물건입력'!$B$5,C230)),1,0)))</f>
        <v/>
      </c>
      <c r="L230">
        <f>IF(C230="","",IF('02_대상물건입력'!$B$6="",1,IF(ISNUMBER(SEARCH('02_대상물건입력'!$B$6,C230)),1,0)))</f>
        <v/>
      </c>
      <c r="M230">
        <f>IF(E230="","",IF('02_대상물건입력'!$B$8="",0,IF(ISNUMBER(SEARCH('02_대상물건입력'!$B$8,E230)),1,0)))</f>
        <v/>
      </c>
      <c r="N230">
        <f>IF(B230="","",IF(B230="담보",1,0))</f>
        <v/>
      </c>
      <c r="O230">
        <f>IFERROR(ABS(G230-'02_대상물건입력'!$B$11)/'02_대상물건입력'!$B$11,"")</f>
        <v/>
      </c>
      <c r="P230">
        <f>IFERROR(ABS('01_설정'!$B$4-H230),"")</f>
        <v/>
      </c>
      <c r="Q230">
        <f>IFERROR(ABS(YEAR(J230)-YEAR('02_대상물건입력'!$B$14)),"")</f>
        <v/>
      </c>
      <c r="R230">
        <f>IF(AND(G230&gt;0,H230&gt;0,I230&gt;0,N230=1,IF('01_설정'!$B$10=1,K230=1,TRUE()),O230&lt;='01_설정'!$B$5,P230&lt;='01_설정'!$B$7,Q230&lt;='01_설정'!$B$8),"Y","")</f>
        <v/>
      </c>
      <c r="S230">
        <f>IF(R230&lt;&gt;"Y","",MAX(0,(1-O230/'01_설정'!$B$5))*'01_설정'!$B$14+MAX(0,(1-P230/'01_설정'!$B$7))*'01_설정'!$B$16+MAX(0,(1-Q230/'01_설정'!$B$8))*'01_설정'!$B$17+L230*'01_설정'!$B$11+M230*'01_설정'!$B$12+N230*50)</f>
        <v/>
      </c>
      <c r="T230">
        <f>IF(S230="","",1+COUNTIFS($S$31:$S$1030,"&gt;"&amp;S230)+COUNTIFS($S$31:S230,S230)-1)</f>
        <v/>
      </c>
    </row>
    <row r="231" hidden="1" ht="16.5" customHeight="1">
      <c r="A231">
        <f>IF(COUNTA('05_KAPA'!$A202:$AO202)=0,"",204)</f>
        <v/>
      </c>
      <c r="B231">
        <f>IF($A231="","",INDEX('05_KAPA'!$B:$B,$A231))</f>
        <v/>
      </c>
      <c r="C231">
        <f>IF($A231="","",INDEX('05_KAPA'!$F:$F,$A231))</f>
        <v/>
      </c>
      <c r="D231">
        <f>IF($A231="","",INDEX('05_KAPA'!$H:$H,$A231))</f>
        <v/>
      </c>
      <c r="E231">
        <f>IF($A231="","",INDEX('05_KAPA'!$K:$K,$A231))</f>
        <v/>
      </c>
      <c r="F231">
        <f>IF($A231="","",INDEX('05_KAPA'!$L:$L,$A231))</f>
        <v/>
      </c>
      <c r="G231">
        <f>IF($A231="","",INDEX('05_KAPA'!$I:$I,$A231))</f>
        <v/>
      </c>
      <c r="H231" s="202">
        <f>IF($A231="","",INDEX('05_KAPA'!$P:$P,$A231))</f>
        <v/>
      </c>
      <c r="I231" s="118">
        <f>IF($A231="","",INDEX('05_KAPA'!$O:$O,$A231))</f>
        <v/>
      </c>
      <c r="J231" s="202">
        <f>IF($A231="","",IFERROR(DATE(LEFT(TEXT(INDEX('05_KAPA'!$T:$T,$A231),"0"),4),MID(TEXT(INDEX('05_KAPA'!$T:$T,$A231),"0"),5,2),RIGHT(TEXT(INDEX('05_KAPA'!$T:$T,$A231),"0"),2)),""))</f>
        <v/>
      </c>
      <c r="K231">
        <f>IF(C231="","",IF('02_대상물건입력'!$B$5="",1,IF(ISNUMBER(SEARCH('02_대상물건입력'!$B$5,C231)),1,0)))</f>
        <v/>
      </c>
      <c r="L231">
        <f>IF(C231="","",IF('02_대상물건입력'!$B$6="",1,IF(ISNUMBER(SEARCH('02_대상물건입력'!$B$6,C231)),1,0)))</f>
        <v/>
      </c>
      <c r="M231">
        <f>IF(E231="","",IF('02_대상물건입력'!$B$8="",0,IF(ISNUMBER(SEARCH('02_대상물건입력'!$B$8,E231)),1,0)))</f>
        <v/>
      </c>
      <c r="N231">
        <f>IF(B231="","",IF(B231="담보",1,0))</f>
        <v/>
      </c>
      <c r="O231">
        <f>IFERROR(ABS(G231-'02_대상물건입력'!$B$11)/'02_대상물건입력'!$B$11,"")</f>
        <v/>
      </c>
      <c r="P231">
        <f>IFERROR(ABS('01_설정'!$B$4-H231),"")</f>
        <v/>
      </c>
      <c r="Q231">
        <f>IFERROR(ABS(YEAR(J231)-YEAR('02_대상물건입력'!$B$14)),"")</f>
        <v/>
      </c>
      <c r="R231">
        <f>IF(AND(G231&gt;0,H231&gt;0,I231&gt;0,N231=1,IF('01_설정'!$B$10=1,K231=1,TRUE()),O231&lt;='01_설정'!$B$5,P231&lt;='01_설정'!$B$7,Q231&lt;='01_설정'!$B$8),"Y","")</f>
        <v/>
      </c>
      <c r="S231">
        <f>IF(R231&lt;&gt;"Y","",MAX(0,(1-O231/'01_설정'!$B$5))*'01_설정'!$B$14+MAX(0,(1-P231/'01_설정'!$B$7))*'01_설정'!$B$16+MAX(0,(1-Q231/'01_설정'!$B$8))*'01_설정'!$B$17+L231*'01_설정'!$B$11+M231*'01_설정'!$B$12+N231*50)</f>
        <v/>
      </c>
      <c r="T231">
        <f>IF(S231="","",1+COUNTIFS($S$31:$S$1030,"&gt;"&amp;S231)+COUNTIFS($S$31:S231,S231)-1)</f>
        <v/>
      </c>
    </row>
    <row r="232" hidden="1" ht="16.5" customHeight="1">
      <c r="A232">
        <f>IF(COUNTA('05_KAPA'!$A203:$AO203)=0,"",205)</f>
        <v/>
      </c>
      <c r="B232">
        <f>IF($A232="","",INDEX('05_KAPA'!$B:$B,$A232))</f>
        <v/>
      </c>
      <c r="C232">
        <f>IF($A232="","",INDEX('05_KAPA'!$F:$F,$A232))</f>
        <v/>
      </c>
      <c r="D232">
        <f>IF($A232="","",INDEX('05_KAPA'!$H:$H,$A232))</f>
        <v/>
      </c>
      <c r="E232">
        <f>IF($A232="","",INDEX('05_KAPA'!$K:$K,$A232))</f>
        <v/>
      </c>
      <c r="F232">
        <f>IF($A232="","",INDEX('05_KAPA'!$L:$L,$A232))</f>
        <v/>
      </c>
      <c r="G232">
        <f>IF($A232="","",INDEX('05_KAPA'!$I:$I,$A232))</f>
        <v/>
      </c>
      <c r="H232" s="202">
        <f>IF($A232="","",INDEX('05_KAPA'!$P:$P,$A232))</f>
        <v/>
      </c>
      <c r="I232" s="118">
        <f>IF($A232="","",INDEX('05_KAPA'!$O:$O,$A232))</f>
        <v/>
      </c>
      <c r="J232" s="202">
        <f>IF($A232="","",IFERROR(DATE(LEFT(TEXT(INDEX('05_KAPA'!$T:$T,$A232),"0"),4),MID(TEXT(INDEX('05_KAPA'!$T:$T,$A232),"0"),5,2),RIGHT(TEXT(INDEX('05_KAPA'!$T:$T,$A232),"0"),2)),""))</f>
        <v/>
      </c>
      <c r="K232">
        <f>IF(C232="","",IF('02_대상물건입력'!$B$5="",1,IF(ISNUMBER(SEARCH('02_대상물건입력'!$B$5,C232)),1,0)))</f>
        <v/>
      </c>
      <c r="L232">
        <f>IF(C232="","",IF('02_대상물건입력'!$B$6="",1,IF(ISNUMBER(SEARCH('02_대상물건입력'!$B$6,C232)),1,0)))</f>
        <v/>
      </c>
      <c r="M232">
        <f>IF(E232="","",IF('02_대상물건입력'!$B$8="",0,IF(ISNUMBER(SEARCH('02_대상물건입력'!$B$8,E232)),1,0)))</f>
        <v/>
      </c>
      <c r="N232">
        <f>IF(B232="","",IF(B232="담보",1,0))</f>
        <v/>
      </c>
      <c r="O232">
        <f>IFERROR(ABS(G232-'02_대상물건입력'!$B$11)/'02_대상물건입력'!$B$11,"")</f>
        <v/>
      </c>
      <c r="P232">
        <f>IFERROR(ABS('01_설정'!$B$4-H232),"")</f>
        <v/>
      </c>
      <c r="Q232">
        <f>IFERROR(ABS(YEAR(J232)-YEAR('02_대상물건입력'!$B$14)),"")</f>
        <v/>
      </c>
      <c r="R232">
        <f>IF(AND(G232&gt;0,H232&gt;0,I232&gt;0,N232=1,IF('01_설정'!$B$10=1,K232=1,TRUE()),O232&lt;='01_설정'!$B$5,P232&lt;='01_설정'!$B$7,Q232&lt;='01_설정'!$B$8),"Y","")</f>
        <v/>
      </c>
      <c r="S232">
        <f>IF(R232&lt;&gt;"Y","",MAX(0,(1-O232/'01_설정'!$B$5))*'01_설정'!$B$14+MAX(0,(1-P232/'01_설정'!$B$7))*'01_설정'!$B$16+MAX(0,(1-Q232/'01_설정'!$B$8))*'01_설정'!$B$17+L232*'01_설정'!$B$11+M232*'01_설정'!$B$12+N232*50)</f>
        <v/>
      </c>
      <c r="T232">
        <f>IF(S232="","",1+COUNTIFS($S$31:$S$1030,"&gt;"&amp;S232)+COUNTIFS($S$31:S232,S232)-1)</f>
        <v/>
      </c>
    </row>
    <row r="233" hidden="1" ht="16.5" customHeight="1">
      <c r="A233">
        <f>IF(COUNTA('05_KAPA'!$A204:$AO204)=0,"",206)</f>
        <v/>
      </c>
      <c r="B233">
        <f>IF($A233="","",INDEX('05_KAPA'!$B:$B,$A233))</f>
        <v/>
      </c>
      <c r="C233">
        <f>IF($A233="","",INDEX('05_KAPA'!$F:$F,$A233))</f>
        <v/>
      </c>
      <c r="D233">
        <f>IF($A233="","",INDEX('05_KAPA'!$H:$H,$A233))</f>
        <v/>
      </c>
      <c r="E233">
        <f>IF($A233="","",INDEX('05_KAPA'!$K:$K,$A233))</f>
        <v/>
      </c>
      <c r="F233">
        <f>IF($A233="","",INDEX('05_KAPA'!$L:$L,$A233))</f>
        <v/>
      </c>
      <c r="G233">
        <f>IF($A233="","",INDEX('05_KAPA'!$I:$I,$A233))</f>
        <v/>
      </c>
      <c r="H233" s="202">
        <f>IF($A233="","",INDEX('05_KAPA'!$P:$P,$A233))</f>
        <v/>
      </c>
      <c r="I233" s="118">
        <f>IF($A233="","",INDEX('05_KAPA'!$O:$O,$A233))</f>
        <v/>
      </c>
      <c r="J233" s="202">
        <f>IF($A233="","",IFERROR(DATE(LEFT(TEXT(INDEX('05_KAPA'!$T:$T,$A233),"0"),4),MID(TEXT(INDEX('05_KAPA'!$T:$T,$A233),"0"),5,2),RIGHT(TEXT(INDEX('05_KAPA'!$T:$T,$A233),"0"),2)),""))</f>
        <v/>
      </c>
      <c r="K233">
        <f>IF(C233="","",IF('02_대상물건입력'!$B$5="",1,IF(ISNUMBER(SEARCH('02_대상물건입력'!$B$5,C233)),1,0)))</f>
        <v/>
      </c>
      <c r="L233">
        <f>IF(C233="","",IF('02_대상물건입력'!$B$6="",1,IF(ISNUMBER(SEARCH('02_대상물건입력'!$B$6,C233)),1,0)))</f>
        <v/>
      </c>
      <c r="M233">
        <f>IF(E233="","",IF('02_대상물건입력'!$B$8="",0,IF(ISNUMBER(SEARCH('02_대상물건입력'!$B$8,E233)),1,0)))</f>
        <v/>
      </c>
      <c r="N233">
        <f>IF(B233="","",IF(B233="담보",1,0))</f>
        <v/>
      </c>
      <c r="O233">
        <f>IFERROR(ABS(G233-'02_대상물건입력'!$B$11)/'02_대상물건입력'!$B$11,"")</f>
        <v/>
      </c>
      <c r="P233">
        <f>IFERROR(ABS('01_설정'!$B$4-H233),"")</f>
        <v/>
      </c>
      <c r="Q233">
        <f>IFERROR(ABS(YEAR(J233)-YEAR('02_대상물건입력'!$B$14)),"")</f>
        <v/>
      </c>
      <c r="R233">
        <f>IF(AND(G233&gt;0,H233&gt;0,I233&gt;0,N233=1,IF('01_설정'!$B$10=1,K233=1,TRUE()),O233&lt;='01_설정'!$B$5,P233&lt;='01_설정'!$B$7,Q233&lt;='01_설정'!$B$8),"Y","")</f>
        <v/>
      </c>
      <c r="S233">
        <f>IF(R233&lt;&gt;"Y","",MAX(0,(1-O233/'01_설정'!$B$5))*'01_설정'!$B$14+MAX(0,(1-P233/'01_설정'!$B$7))*'01_설정'!$B$16+MAX(0,(1-Q233/'01_설정'!$B$8))*'01_설정'!$B$17+L233*'01_설정'!$B$11+M233*'01_설정'!$B$12+N233*50)</f>
        <v/>
      </c>
      <c r="T233">
        <f>IF(S233="","",1+COUNTIFS($S$31:$S$1030,"&gt;"&amp;S233)+COUNTIFS($S$31:S233,S233)-1)</f>
        <v/>
      </c>
    </row>
    <row r="234" hidden="1" ht="16.5" customHeight="1">
      <c r="A234">
        <f>IF(COUNTA('05_KAPA'!$A205:$AO205)=0,"",207)</f>
        <v/>
      </c>
      <c r="B234">
        <f>IF($A234="","",INDEX('05_KAPA'!$B:$B,$A234))</f>
        <v/>
      </c>
      <c r="C234">
        <f>IF($A234="","",INDEX('05_KAPA'!$F:$F,$A234))</f>
        <v/>
      </c>
      <c r="D234">
        <f>IF($A234="","",INDEX('05_KAPA'!$H:$H,$A234))</f>
        <v/>
      </c>
      <c r="E234">
        <f>IF($A234="","",INDEX('05_KAPA'!$K:$K,$A234))</f>
        <v/>
      </c>
      <c r="F234">
        <f>IF($A234="","",INDEX('05_KAPA'!$L:$L,$A234))</f>
        <v/>
      </c>
      <c r="G234">
        <f>IF($A234="","",INDEX('05_KAPA'!$I:$I,$A234))</f>
        <v/>
      </c>
      <c r="H234" s="202">
        <f>IF($A234="","",INDEX('05_KAPA'!$P:$P,$A234))</f>
        <v/>
      </c>
      <c r="I234" s="118">
        <f>IF($A234="","",INDEX('05_KAPA'!$O:$O,$A234))</f>
        <v/>
      </c>
      <c r="J234" s="202">
        <f>IF($A234="","",IFERROR(DATE(LEFT(TEXT(INDEX('05_KAPA'!$T:$T,$A234),"0"),4),MID(TEXT(INDEX('05_KAPA'!$T:$T,$A234),"0"),5,2),RIGHT(TEXT(INDEX('05_KAPA'!$T:$T,$A234),"0"),2)),""))</f>
        <v/>
      </c>
      <c r="K234">
        <f>IF(C234="","",IF('02_대상물건입력'!$B$5="",1,IF(ISNUMBER(SEARCH('02_대상물건입력'!$B$5,C234)),1,0)))</f>
        <v/>
      </c>
      <c r="L234">
        <f>IF(C234="","",IF('02_대상물건입력'!$B$6="",1,IF(ISNUMBER(SEARCH('02_대상물건입력'!$B$6,C234)),1,0)))</f>
        <v/>
      </c>
      <c r="M234">
        <f>IF(E234="","",IF('02_대상물건입력'!$B$8="",0,IF(ISNUMBER(SEARCH('02_대상물건입력'!$B$8,E234)),1,0)))</f>
        <v/>
      </c>
      <c r="N234">
        <f>IF(B234="","",IF(B234="담보",1,0))</f>
        <v/>
      </c>
      <c r="O234">
        <f>IFERROR(ABS(G234-'02_대상물건입력'!$B$11)/'02_대상물건입력'!$B$11,"")</f>
        <v/>
      </c>
      <c r="P234">
        <f>IFERROR(ABS('01_설정'!$B$4-H234),"")</f>
        <v/>
      </c>
      <c r="Q234">
        <f>IFERROR(ABS(YEAR(J234)-YEAR('02_대상물건입력'!$B$14)),"")</f>
        <v/>
      </c>
      <c r="R234">
        <f>IF(AND(G234&gt;0,H234&gt;0,I234&gt;0,N234=1,IF('01_설정'!$B$10=1,K234=1,TRUE()),O234&lt;='01_설정'!$B$5,P234&lt;='01_설정'!$B$7,Q234&lt;='01_설정'!$B$8),"Y","")</f>
        <v/>
      </c>
      <c r="S234">
        <f>IF(R234&lt;&gt;"Y","",MAX(0,(1-O234/'01_설정'!$B$5))*'01_설정'!$B$14+MAX(0,(1-P234/'01_설정'!$B$7))*'01_설정'!$B$16+MAX(0,(1-Q234/'01_설정'!$B$8))*'01_설정'!$B$17+L234*'01_설정'!$B$11+M234*'01_설정'!$B$12+N234*50)</f>
        <v/>
      </c>
      <c r="T234">
        <f>IF(S234="","",1+COUNTIFS($S$31:$S$1030,"&gt;"&amp;S234)+COUNTIFS($S$31:S234,S234)-1)</f>
        <v/>
      </c>
    </row>
    <row r="235" hidden="1" ht="16.5" customHeight="1">
      <c r="A235">
        <f>IF(COUNTA('05_KAPA'!$A206:$AO206)=0,"",208)</f>
        <v/>
      </c>
      <c r="B235">
        <f>IF($A235="","",INDEX('05_KAPA'!$B:$B,$A235))</f>
        <v/>
      </c>
      <c r="C235">
        <f>IF($A235="","",INDEX('05_KAPA'!$F:$F,$A235))</f>
        <v/>
      </c>
      <c r="D235">
        <f>IF($A235="","",INDEX('05_KAPA'!$H:$H,$A235))</f>
        <v/>
      </c>
      <c r="E235">
        <f>IF($A235="","",INDEX('05_KAPA'!$K:$K,$A235))</f>
        <v/>
      </c>
      <c r="F235">
        <f>IF($A235="","",INDEX('05_KAPA'!$L:$L,$A235))</f>
        <v/>
      </c>
      <c r="G235">
        <f>IF($A235="","",INDEX('05_KAPA'!$I:$I,$A235))</f>
        <v/>
      </c>
      <c r="H235" s="202">
        <f>IF($A235="","",INDEX('05_KAPA'!$P:$P,$A235))</f>
        <v/>
      </c>
      <c r="I235" s="118">
        <f>IF($A235="","",INDEX('05_KAPA'!$O:$O,$A235))</f>
        <v/>
      </c>
      <c r="J235" s="202">
        <f>IF($A235="","",IFERROR(DATE(LEFT(TEXT(INDEX('05_KAPA'!$T:$T,$A235),"0"),4),MID(TEXT(INDEX('05_KAPA'!$T:$T,$A235),"0"),5,2),RIGHT(TEXT(INDEX('05_KAPA'!$T:$T,$A235),"0"),2)),""))</f>
        <v/>
      </c>
      <c r="K235">
        <f>IF(C235="","",IF('02_대상물건입력'!$B$5="",1,IF(ISNUMBER(SEARCH('02_대상물건입력'!$B$5,C235)),1,0)))</f>
        <v/>
      </c>
      <c r="L235">
        <f>IF(C235="","",IF('02_대상물건입력'!$B$6="",1,IF(ISNUMBER(SEARCH('02_대상물건입력'!$B$6,C235)),1,0)))</f>
        <v/>
      </c>
      <c r="M235">
        <f>IF(E235="","",IF('02_대상물건입력'!$B$8="",0,IF(ISNUMBER(SEARCH('02_대상물건입력'!$B$8,E235)),1,0)))</f>
        <v/>
      </c>
      <c r="N235">
        <f>IF(B235="","",IF(B235="담보",1,0))</f>
        <v/>
      </c>
      <c r="O235">
        <f>IFERROR(ABS(G235-'02_대상물건입력'!$B$11)/'02_대상물건입력'!$B$11,"")</f>
        <v/>
      </c>
      <c r="P235">
        <f>IFERROR(ABS('01_설정'!$B$4-H235),"")</f>
        <v/>
      </c>
      <c r="Q235">
        <f>IFERROR(ABS(YEAR(J235)-YEAR('02_대상물건입력'!$B$14)),"")</f>
        <v/>
      </c>
      <c r="R235">
        <f>IF(AND(G235&gt;0,H235&gt;0,I235&gt;0,N235=1,IF('01_설정'!$B$10=1,K235=1,TRUE()),O235&lt;='01_설정'!$B$5,P235&lt;='01_설정'!$B$7,Q235&lt;='01_설정'!$B$8),"Y","")</f>
        <v/>
      </c>
      <c r="S235">
        <f>IF(R235&lt;&gt;"Y","",MAX(0,(1-O235/'01_설정'!$B$5))*'01_설정'!$B$14+MAX(0,(1-P235/'01_설정'!$B$7))*'01_설정'!$B$16+MAX(0,(1-Q235/'01_설정'!$B$8))*'01_설정'!$B$17+L235*'01_설정'!$B$11+M235*'01_설정'!$B$12+N235*50)</f>
        <v/>
      </c>
      <c r="T235">
        <f>IF(S235="","",1+COUNTIFS($S$31:$S$1030,"&gt;"&amp;S235)+COUNTIFS($S$31:S235,S235)-1)</f>
        <v/>
      </c>
    </row>
    <row r="236" hidden="1" ht="16.5" customHeight="1">
      <c r="A236">
        <f>IF(COUNTA('05_KAPA'!$A207:$AO207)=0,"",209)</f>
        <v/>
      </c>
      <c r="B236">
        <f>IF($A236="","",INDEX('05_KAPA'!$B:$B,$A236))</f>
        <v/>
      </c>
      <c r="C236">
        <f>IF($A236="","",INDEX('05_KAPA'!$F:$F,$A236))</f>
        <v/>
      </c>
      <c r="D236">
        <f>IF($A236="","",INDEX('05_KAPA'!$H:$H,$A236))</f>
        <v/>
      </c>
      <c r="E236">
        <f>IF($A236="","",INDEX('05_KAPA'!$K:$K,$A236))</f>
        <v/>
      </c>
      <c r="F236">
        <f>IF($A236="","",INDEX('05_KAPA'!$L:$L,$A236))</f>
        <v/>
      </c>
      <c r="G236">
        <f>IF($A236="","",INDEX('05_KAPA'!$I:$I,$A236))</f>
        <v/>
      </c>
      <c r="H236" s="202">
        <f>IF($A236="","",INDEX('05_KAPA'!$P:$P,$A236))</f>
        <v/>
      </c>
      <c r="I236" s="118">
        <f>IF($A236="","",INDEX('05_KAPA'!$O:$O,$A236))</f>
        <v/>
      </c>
      <c r="J236" s="202">
        <f>IF($A236="","",IFERROR(DATE(LEFT(TEXT(INDEX('05_KAPA'!$T:$T,$A236),"0"),4),MID(TEXT(INDEX('05_KAPA'!$T:$T,$A236),"0"),5,2),RIGHT(TEXT(INDEX('05_KAPA'!$T:$T,$A236),"0"),2)),""))</f>
        <v/>
      </c>
      <c r="K236">
        <f>IF(C236="","",IF('02_대상물건입력'!$B$5="",1,IF(ISNUMBER(SEARCH('02_대상물건입력'!$B$5,C236)),1,0)))</f>
        <v/>
      </c>
      <c r="L236">
        <f>IF(C236="","",IF('02_대상물건입력'!$B$6="",1,IF(ISNUMBER(SEARCH('02_대상물건입력'!$B$6,C236)),1,0)))</f>
        <v/>
      </c>
      <c r="M236">
        <f>IF(E236="","",IF('02_대상물건입력'!$B$8="",0,IF(ISNUMBER(SEARCH('02_대상물건입력'!$B$8,E236)),1,0)))</f>
        <v/>
      </c>
      <c r="N236">
        <f>IF(B236="","",IF(B236="담보",1,0))</f>
        <v/>
      </c>
      <c r="O236">
        <f>IFERROR(ABS(G236-'02_대상물건입력'!$B$11)/'02_대상물건입력'!$B$11,"")</f>
        <v/>
      </c>
      <c r="P236">
        <f>IFERROR(ABS('01_설정'!$B$4-H236),"")</f>
        <v/>
      </c>
      <c r="Q236">
        <f>IFERROR(ABS(YEAR(J236)-YEAR('02_대상물건입력'!$B$14)),"")</f>
        <v/>
      </c>
      <c r="R236">
        <f>IF(AND(G236&gt;0,H236&gt;0,I236&gt;0,N236=1,IF('01_설정'!$B$10=1,K236=1,TRUE()),O236&lt;='01_설정'!$B$5,P236&lt;='01_설정'!$B$7,Q236&lt;='01_설정'!$B$8),"Y","")</f>
        <v/>
      </c>
      <c r="S236">
        <f>IF(R236&lt;&gt;"Y","",MAX(0,(1-O236/'01_설정'!$B$5))*'01_설정'!$B$14+MAX(0,(1-P236/'01_설정'!$B$7))*'01_설정'!$B$16+MAX(0,(1-Q236/'01_설정'!$B$8))*'01_설정'!$B$17+L236*'01_설정'!$B$11+M236*'01_설정'!$B$12+N236*50)</f>
        <v/>
      </c>
      <c r="T236">
        <f>IF(S236="","",1+COUNTIFS($S$31:$S$1030,"&gt;"&amp;S236)+COUNTIFS($S$31:S236,S236)-1)</f>
        <v/>
      </c>
    </row>
    <row r="237" hidden="1" ht="16.5" customHeight="1">
      <c r="A237">
        <f>IF(COUNTA('05_KAPA'!$A208:$AO208)=0,"",210)</f>
        <v/>
      </c>
      <c r="B237">
        <f>IF($A237="","",INDEX('05_KAPA'!$B:$B,$A237))</f>
        <v/>
      </c>
      <c r="C237">
        <f>IF($A237="","",INDEX('05_KAPA'!$F:$F,$A237))</f>
        <v/>
      </c>
      <c r="D237">
        <f>IF($A237="","",INDEX('05_KAPA'!$H:$H,$A237))</f>
        <v/>
      </c>
      <c r="E237">
        <f>IF($A237="","",INDEX('05_KAPA'!$K:$K,$A237))</f>
        <v/>
      </c>
      <c r="F237">
        <f>IF($A237="","",INDEX('05_KAPA'!$L:$L,$A237))</f>
        <v/>
      </c>
      <c r="G237">
        <f>IF($A237="","",INDEX('05_KAPA'!$I:$I,$A237))</f>
        <v/>
      </c>
      <c r="H237" s="202">
        <f>IF($A237="","",INDEX('05_KAPA'!$P:$P,$A237))</f>
        <v/>
      </c>
      <c r="I237" s="118">
        <f>IF($A237="","",INDEX('05_KAPA'!$O:$O,$A237))</f>
        <v/>
      </c>
      <c r="J237" s="202">
        <f>IF($A237="","",IFERROR(DATE(LEFT(TEXT(INDEX('05_KAPA'!$T:$T,$A237),"0"),4),MID(TEXT(INDEX('05_KAPA'!$T:$T,$A237),"0"),5,2),RIGHT(TEXT(INDEX('05_KAPA'!$T:$T,$A237),"0"),2)),""))</f>
        <v/>
      </c>
      <c r="K237">
        <f>IF(C237="","",IF('02_대상물건입력'!$B$5="",1,IF(ISNUMBER(SEARCH('02_대상물건입력'!$B$5,C237)),1,0)))</f>
        <v/>
      </c>
      <c r="L237">
        <f>IF(C237="","",IF('02_대상물건입력'!$B$6="",1,IF(ISNUMBER(SEARCH('02_대상물건입력'!$B$6,C237)),1,0)))</f>
        <v/>
      </c>
      <c r="M237">
        <f>IF(E237="","",IF('02_대상물건입력'!$B$8="",0,IF(ISNUMBER(SEARCH('02_대상물건입력'!$B$8,E237)),1,0)))</f>
        <v/>
      </c>
      <c r="N237">
        <f>IF(B237="","",IF(B237="담보",1,0))</f>
        <v/>
      </c>
      <c r="O237">
        <f>IFERROR(ABS(G237-'02_대상물건입력'!$B$11)/'02_대상물건입력'!$B$11,"")</f>
        <v/>
      </c>
      <c r="P237">
        <f>IFERROR(ABS('01_설정'!$B$4-H237),"")</f>
        <v/>
      </c>
      <c r="Q237">
        <f>IFERROR(ABS(YEAR(J237)-YEAR('02_대상물건입력'!$B$14)),"")</f>
        <v/>
      </c>
      <c r="R237">
        <f>IF(AND(G237&gt;0,H237&gt;0,I237&gt;0,N237=1,IF('01_설정'!$B$10=1,K237=1,TRUE()),O237&lt;='01_설정'!$B$5,P237&lt;='01_설정'!$B$7,Q237&lt;='01_설정'!$B$8),"Y","")</f>
        <v/>
      </c>
      <c r="S237">
        <f>IF(R237&lt;&gt;"Y","",MAX(0,(1-O237/'01_설정'!$B$5))*'01_설정'!$B$14+MAX(0,(1-P237/'01_설정'!$B$7))*'01_설정'!$B$16+MAX(0,(1-Q237/'01_설정'!$B$8))*'01_설정'!$B$17+L237*'01_설정'!$B$11+M237*'01_설정'!$B$12+N237*50)</f>
        <v/>
      </c>
      <c r="T237">
        <f>IF(S237="","",1+COUNTIFS($S$31:$S$1030,"&gt;"&amp;S237)+COUNTIFS($S$31:S237,S237)-1)</f>
        <v/>
      </c>
    </row>
    <row r="238" hidden="1" ht="16.5" customHeight="1">
      <c r="A238">
        <f>IF(COUNTA('05_KAPA'!$A209:$AO209)=0,"",211)</f>
        <v/>
      </c>
      <c r="B238">
        <f>IF($A238="","",INDEX('05_KAPA'!$B:$B,$A238))</f>
        <v/>
      </c>
      <c r="C238">
        <f>IF($A238="","",INDEX('05_KAPA'!$F:$F,$A238))</f>
        <v/>
      </c>
      <c r="D238">
        <f>IF($A238="","",INDEX('05_KAPA'!$H:$H,$A238))</f>
        <v/>
      </c>
      <c r="E238">
        <f>IF($A238="","",INDEX('05_KAPA'!$K:$K,$A238))</f>
        <v/>
      </c>
      <c r="F238">
        <f>IF($A238="","",INDEX('05_KAPA'!$L:$L,$A238))</f>
        <v/>
      </c>
      <c r="G238">
        <f>IF($A238="","",INDEX('05_KAPA'!$I:$I,$A238))</f>
        <v/>
      </c>
      <c r="H238" s="202">
        <f>IF($A238="","",INDEX('05_KAPA'!$P:$P,$A238))</f>
        <v/>
      </c>
      <c r="I238" s="118">
        <f>IF($A238="","",INDEX('05_KAPA'!$O:$O,$A238))</f>
        <v/>
      </c>
      <c r="J238" s="202">
        <f>IF($A238="","",IFERROR(DATE(LEFT(TEXT(INDEX('05_KAPA'!$T:$T,$A238),"0"),4),MID(TEXT(INDEX('05_KAPA'!$T:$T,$A238),"0"),5,2),RIGHT(TEXT(INDEX('05_KAPA'!$T:$T,$A238),"0"),2)),""))</f>
        <v/>
      </c>
      <c r="K238">
        <f>IF(C238="","",IF('02_대상물건입력'!$B$5="",1,IF(ISNUMBER(SEARCH('02_대상물건입력'!$B$5,C238)),1,0)))</f>
        <v/>
      </c>
      <c r="L238">
        <f>IF(C238="","",IF('02_대상물건입력'!$B$6="",1,IF(ISNUMBER(SEARCH('02_대상물건입력'!$B$6,C238)),1,0)))</f>
        <v/>
      </c>
      <c r="M238">
        <f>IF(E238="","",IF('02_대상물건입력'!$B$8="",0,IF(ISNUMBER(SEARCH('02_대상물건입력'!$B$8,E238)),1,0)))</f>
        <v/>
      </c>
      <c r="N238">
        <f>IF(B238="","",IF(B238="담보",1,0))</f>
        <v/>
      </c>
      <c r="O238">
        <f>IFERROR(ABS(G238-'02_대상물건입력'!$B$11)/'02_대상물건입력'!$B$11,"")</f>
        <v/>
      </c>
      <c r="P238">
        <f>IFERROR(ABS('01_설정'!$B$4-H238),"")</f>
        <v/>
      </c>
      <c r="Q238">
        <f>IFERROR(ABS(YEAR(J238)-YEAR('02_대상물건입력'!$B$14)),"")</f>
        <v/>
      </c>
      <c r="R238">
        <f>IF(AND(G238&gt;0,H238&gt;0,I238&gt;0,N238=1,IF('01_설정'!$B$10=1,K238=1,TRUE()),O238&lt;='01_설정'!$B$5,P238&lt;='01_설정'!$B$7,Q238&lt;='01_설정'!$B$8),"Y","")</f>
        <v/>
      </c>
      <c r="S238">
        <f>IF(R238&lt;&gt;"Y","",MAX(0,(1-O238/'01_설정'!$B$5))*'01_설정'!$B$14+MAX(0,(1-P238/'01_설정'!$B$7))*'01_설정'!$B$16+MAX(0,(1-Q238/'01_설정'!$B$8))*'01_설정'!$B$17+L238*'01_설정'!$B$11+M238*'01_설정'!$B$12+N238*50)</f>
        <v/>
      </c>
      <c r="T238">
        <f>IF(S238="","",1+COUNTIFS($S$31:$S$1030,"&gt;"&amp;S238)+COUNTIFS($S$31:S238,S238)-1)</f>
        <v/>
      </c>
    </row>
    <row r="239" hidden="1" ht="16.5" customHeight="1">
      <c r="A239">
        <f>IF(COUNTA('05_KAPA'!$A210:$AO210)=0,"",212)</f>
        <v/>
      </c>
      <c r="B239">
        <f>IF($A239="","",INDEX('05_KAPA'!$B:$B,$A239))</f>
        <v/>
      </c>
      <c r="C239">
        <f>IF($A239="","",INDEX('05_KAPA'!$F:$F,$A239))</f>
        <v/>
      </c>
      <c r="D239">
        <f>IF($A239="","",INDEX('05_KAPA'!$H:$H,$A239))</f>
        <v/>
      </c>
      <c r="E239">
        <f>IF($A239="","",INDEX('05_KAPA'!$K:$K,$A239))</f>
        <v/>
      </c>
      <c r="F239">
        <f>IF($A239="","",INDEX('05_KAPA'!$L:$L,$A239))</f>
        <v/>
      </c>
      <c r="G239">
        <f>IF($A239="","",INDEX('05_KAPA'!$I:$I,$A239))</f>
        <v/>
      </c>
      <c r="H239" s="202">
        <f>IF($A239="","",INDEX('05_KAPA'!$P:$P,$A239))</f>
        <v/>
      </c>
      <c r="I239" s="118">
        <f>IF($A239="","",INDEX('05_KAPA'!$O:$O,$A239))</f>
        <v/>
      </c>
      <c r="J239" s="202">
        <f>IF($A239="","",IFERROR(DATE(LEFT(TEXT(INDEX('05_KAPA'!$T:$T,$A239),"0"),4),MID(TEXT(INDEX('05_KAPA'!$T:$T,$A239),"0"),5,2),RIGHT(TEXT(INDEX('05_KAPA'!$T:$T,$A239),"0"),2)),""))</f>
        <v/>
      </c>
      <c r="K239">
        <f>IF(C239="","",IF('02_대상물건입력'!$B$5="",1,IF(ISNUMBER(SEARCH('02_대상물건입력'!$B$5,C239)),1,0)))</f>
        <v/>
      </c>
      <c r="L239">
        <f>IF(C239="","",IF('02_대상물건입력'!$B$6="",1,IF(ISNUMBER(SEARCH('02_대상물건입력'!$B$6,C239)),1,0)))</f>
        <v/>
      </c>
      <c r="M239">
        <f>IF(E239="","",IF('02_대상물건입력'!$B$8="",0,IF(ISNUMBER(SEARCH('02_대상물건입력'!$B$8,E239)),1,0)))</f>
        <v/>
      </c>
      <c r="N239">
        <f>IF(B239="","",IF(B239="담보",1,0))</f>
        <v/>
      </c>
      <c r="O239">
        <f>IFERROR(ABS(G239-'02_대상물건입력'!$B$11)/'02_대상물건입력'!$B$11,"")</f>
        <v/>
      </c>
      <c r="P239">
        <f>IFERROR(ABS('01_설정'!$B$4-H239),"")</f>
        <v/>
      </c>
      <c r="Q239">
        <f>IFERROR(ABS(YEAR(J239)-YEAR('02_대상물건입력'!$B$14)),"")</f>
        <v/>
      </c>
      <c r="R239">
        <f>IF(AND(G239&gt;0,H239&gt;0,I239&gt;0,N239=1,IF('01_설정'!$B$10=1,K239=1,TRUE()),O239&lt;='01_설정'!$B$5,P239&lt;='01_설정'!$B$7,Q239&lt;='01_설정'!$B$8),"Y","")</f>
        <v/>
      </c>
      <c r="S239">
        <f>IF(R239&lt;&gt;"Y","",MAX(0,(1-O239/'01_설정'!$B$5))*'01_설정'!$B$14+MAX(0,(1-P239/'01_설정'!$B$7))*'01_설정'!$B$16+MAX(0,(1-Q239/'01_설정'!$B$8))*'01_설정'!$B$17+L239*'01_설정'!$B$11+M239*'01_설정'!$B$12+N239*50)</f>
        <v/>
      </c>
      <c r="T239">
        <f>IF(S239="","",1+COUNTIFS($S$31:$S$1030,"&gt;"&amp;S239)+COUNTIFS($S$31:S239,S239)-1)</f>
        <v/>
      </c>
    </row>
    <row r="240" hidden="1" ht="16.5" customHeight="1">
      <c r="A240">
        <f>IF(COUNTA('05_KAPA'!$A211:$AO211)=0,"",213)</f>
        <v/>
      </c>
      <c r="B240">
        <f>IF($A240="","",INDEX('05_KAPA'!$B:$B,$A240))</f>
        <v/>
      </c>
      <c r="C240">
        <f>IF($A240="","",INDEX('05_KAPA'!$F:$F,$A240))</f>
        <v/>
      </c>
      <c r="D240">
        <f>IF($A240="","",INDEX('05_KAPA'!$H:$H,$A240))</f>
        <v/>
      </c>
      <c r="E240">
        <f>IF($A240="","",INDEX('05_KAPA'!$K:$K,$A240))</f>
        <v/>
      </c>
      <c r="F240">
        <f>IF($A240="","",INDEX('05_KAPA'!$L:$L,$A240))</f>
        <v/>
      </c>
      <c r="G240">
        <f>IF($A240="","",INDEX('05_KAPA'!$I:$I,$A240))</f>
        <v/>
      </c>
      <c r="H240" s="202">
        <f>IF($A240="","",INDEX('05_KAPA'!$P:$P,$A240))</f>
        <v/>
      </c>
      <c r="I240" s="118">
        <f>IF($A240="","",INDEX('05_KAPA'!$O:$O,$A240))</f>
        <v/>
      </c>
      <c r="J240" s="202">
        <f>IF($A240="","",IFERROR(DATE(LEFT(TEXT(INDEX('05_KAPA'!$T:$T,$A240),"0"),4),MID(TEXT(INDEX('05_KAPA'!$T:$T,$A240),"0"),5,2),RIGHT(TEXT(INDEX('05_KAPA'!$T:$T,$A240),"0"),2)),""))</f>
        <v/>
      </c>
      <c r="K240">
        <f>IF(C240="","",IF('02_대상물건입력'!$B$5="",1,IF(ISNUMBER(SEARCH('02_대상물건입력'!$B$5,C240)),1,0)))</f>
        <v/>
      </c>
      <c r="L240">
        <f>IF(C240="","",IF('02_대상물건입력'!$B$6="",1,IF(ISNUMBER(SEARCH('02_대상물건입력'!$B$6,C240)),1,0)))</f>
        <v/>
      </c>
      <c r="M240">
        <f>IF(E240="","",IF('02_대상물건입력'!$B$8="",0,IF(ISNUMBER(SEARCH('02_대상물건입력'!$B$8,E240)),1,0)))</f>
        <v/>
      </c>
      <c r="N240">
        <f>IF(B240="","",IF(B240="담보",1,0))</f>
        <v/>
      </c>
      <c r="O240">
        <f>IFERROR(ABS(G240-'02_대상물건입력'!$B$11)/'02_대상물건입력'!$B$11,"")</f>
        <v/>
      </c>
      <c r="P240">
        <f>IFERROR(ABS('01_설정'!$B$4-H240),"")</f>
        <v/>
      </c>
      <c r="Q240">
        <f>IFERROR(ABS(YEAR(J240)-YEAR('02_대상물건입력'!$B$14)),"")</f>
        <v/>
      </c>
      <c r="R240">
        <f>IF(AND(G240&gt;0,H240&gt;0,I240&gt;0,N240=1,IF('01_설정'!$B$10=1,K240=1,TRUE()),O240&lt;='01_설정'!$B$5,P240&lt;='01_설정'!$B$7,Q240&lt;='01_설정'!$B$8),"Y","")</f>
        <v/>
      </c>
      <c r="S240">
        <f>IF(R240&lt;&gt;"Y","",MAX(0,(1-O240/'01_설정'!$B$5))*'01_설정'!$B$14+MAX(0,(1-P240/'01_설정'!$B$7))*'01_설정'!$B$16+MAX(0,(1-Q240/'01_설정'!$B$8))*'01_설정'!$B$17+L240*'01_설정'!$B$11+M240*'01_설정'!$B$12+N240*50)</f>
        <v/>
      </c>
      <c r="T240">
        <f>IF(S240="","",1+COUNTIFS($S$31:$S$1030,"&gt;"&amp;S240)+COUNTIFS($S$31:S240,S240)-1)</f>
        <v/>
      </c>
    </row>
    <row r="241" hidden="1" ht="16.5" customHeight="1">
      <c r="A241">
        <f>IF(COUNTA('05_KAPA'!$A212:$AO212)=0,"",214)</f>
        <v/>
      </c>
      <c r="B241">
        <f>IF($A241="","",INDEX('05_KAPA'!$B:$B,$A241))</f>
        <v/>
      </c>
      <c r="C241">
        <f>IF($A241="","",INDEX('05_KAPA'!$F:$F,$A241))</f>
        <v/>
      </c>
      <c r="D241">
        <f>IF($A241="","",INDEX('05_KAPA'!$H:$H,$A241))</f>
        <v/>
      </c>
      <c r="E241">
        <f>IF($A241="","",INDEX('05_KAPA'!$K:$K,$A241))</f>
        <v/>
      </c>
      <c r="F241">
        <f>IF($A241="","",INDEX('05_KAPA'!$L:$L,$A241))</f>
        <v/>
      </c>
      <c r="G241">
        <f>IF($A241="","",INDEX('05_KAPA'!$I:$I,$A241))</f>
        <v/>
      </c>
      <c r="H241" s="202">
        <f>IF($A241="","",INDEX('05_KAPA'!$P:$P,$A241))</f>
        <v/>
      </c>
      <c r="I241" s="118">
        <f>IF($A241="","",INDEX('05_KAPA'!$O:$O,$A241))</f>
        <v/>
      </c>
      <c r="J241" s="202">
        <f>IF($A241="","",IFERROR(DATE(LEFT(TEXT(INDEX('05_KAPA'!$T:$T,$A241),"0"),4),MID(TEXT(INDEX('05_KAPA'!$T:$T,$A241),"0"),5,2),RIGHT(TEXT(INDEX('05_KAPA'!$T:$T,$A241),"0"),2)),""))</f>
        <v/>
      </c>
      <c r="K241">
        <f>IF(C241="","",IF('02_대상물건입력'!$B$5="",1,IF(ISNUMBER(SEARCH('02_대상물건입력'!$B$5,C241)),1,0)))</f>
        <v/>
      </c>
      <c r="L241">
        <f>IF(C241="","",IF('02_대상물건입력'!$B$6="",1,IF(ISNUMBER(SEARCH('02_대상물건입력'!$B$6,C241)),1,0)))</f>
        <v/>
      </c>
      <c r="M241">
        <f>IF(E241="","",IF('02_대상물건입력'!$B$8="",0,IF(ISNUMBER(SEARCH('02_대상물건입력'!$B$8,E241)),1,0)))</f>
        <v/>
      </c>
      <c r="N241">
        <f>IF(B241="","",IF(B241="담보",1,0))</f>
        <v/>
      </c>
      <c r="O241">
        <f>IFERROR(ABS(G241-'02_대상물건입력'!$B$11)/'02_대상물건입력'!$B$11,"")</f>
        <v/>
      </c>
      <c r="P241">
        <f>IFERROR(ABS('01_설정'!$B$4-H241),"")</f>
        <v/>
      </c>
      <c r="Q241">
        <f>IFERROR(ABS(YEAR(J241)-YEAR('02_대상물건입력'!$B$14)),"")</f>
        <v/>
      </c>
      <c r="R241">
        <f>IF(AND(G241&gt;0,H241&gt;0,I241&gt;0,N241=1,IF('01_설정'!$B$10=1,K241=1,TRUE()),O241&lt;='01_설정'!$B$5,P241&lt;='01_설정'!$B$7,Q241&lt;='01_설정'!$B$8),"Y","")</f>
        <v/>
      </c>
      <c r="S241">
        <f>IF(R241&lt;&gt;"Y","",MAX(0,(1-O241/'01_설정'!$B$5))*'01_설정'!$B$14+MAX(0,(1-P241/'01_설정'!$B$7))*'01_설정'!$B$16+MAX(0,(1-Q241/'01_설정'!$B$8))*'01_설정'!$B$17+L241*'01_설정'!$B$11+M241*'01_설정'!$B$12+N241*50)</f>
        <v/>
      </c>
      <c r="T241">
        <f>IF(S241="","",1+COUNTIFS($S$31:$S$1030,"&gt;"&amp;S241)+COUNTIFS($S$31:S241,S241)-1)</f>
        <v/>
      </c>
    </row>
    <row r="242" hidden="1" ht="16.5" customHeight="1">
      <c r="A242">
        <f>IF(COUNTA('05_KAPA'!$A213:$AO213)=0,"",215)</f>
        <v/>
      </c>
      <c r="B242">
        <f>IF($A242="","",INDEX('05_KAPA'!$B:$B,$A242))</f>
        <v/>
      </c>
      <c r="C242">
        <f>IF($A242="","",INDEX('05_KAPA'!$F:$F,$A242))</f>
        <v/>
      </c>
      <c r="D242">
        <f>IF($A242="","",INDEX('05_KAPA'!$H:$H,$A242))</f>
        <v/>
      </c>
      <c r="E242">
        <f>IF($A242="","",INDEX('05_KAPA'!$K:$K,$A242))</f>
        <v/>
      </c>
      <c r="F242">
        <f>IF($A242="","",INDEX('05_KAPA'!$L:$L,$A242))</f>
        <v/>
      </c>
      <c r="G242">
        <f>IF($A242="","",INDEX('05_KAPA'!$I:$I,$A242))</f>
        <v/>
      </c>
      <c r="H242" s="202">
        <f>IF($A242="","",INDEX('05_KAPA'!$P:$P,$A242))</f>
        <v/>
      </c>
      <c r="I242" s="118">
        <f>IF($A242="","",INDEX('05_KAPA'!$O:$O,$A242))</f>
        <v/>
      </c>
      <c r="J242" s="202">
        <f>IF($A242="","",IFERROR(DATE(LEFT(TEXT(INDEX('05_KAPA'!$T:$T,$A242),"0"),4),MID(TEXT(INDEX('05_KAPA'!$T:$T,$A242),"0"),5,2),RIGHT(TEXT(INDEX('05_KAPA'!$T:$T,$A242),"0"),2)),""))</f>
        <v/>
      </c>
      <c r="K242">
        <f>IF(C242="","",IF('02_대상물건입력'!$B$5="",1,IF(ISNUMBER(SEARCH('02_대상물건입력'!$B$5,C242)),1,0)))</f>
        <v/>
      </c>
      <c r="L242">
        <f>IF(C242="","",IF('02_대상물건입력'!$B$6="",1,IF(ISNUMBER(SEARCH('02_대상물건입력'!$B$6,C242)),1,0)))</f>
        <v/>
      </c>
      <c r="M242">
        <f>IF(E242="","",IF('02_대상물건입력'!$B$8="",0,IF(ISNUMBER(SEARCH('02_대상물건입력'!$B$8,E242)),1,0)))</f>
        <v/>
      </c>
      <c r="N242">
        <f>IF(B242="","",IF(B242="담보",1,0))</f>
        <v/>
      </c>
      <c r="O242">
        <f>IFERROR(ABS(G242-'02_대상물건입력'!$B$11)/'02_대상물건입력'!$B$11,"")</f>
        <v/>
      </c>
      <c r="P242">
        <f>IFERROR(ABS('01_설정'!$B$4-H242),"")</f>
        <v/>
      </c>
      <c r="Q242">
        <f>IFERROR(ABS(YEAR(J242)-YEAR('02_대상물건입력'!$B$14)),"")</f>
        <v/>
      </c>
      <c r="R242">
        <f>IF(AND(G242&gt;0,H242&gt;0,I242&gt;0,N242=1,IF('01_설정'!$B$10=1,K242=1,TRUE()),O242&lt;='01_설정'!$B$5,P242&lt;='01_설정'!$B$7,Q242&lt;='01_설정'!$B$8),"Y","")</f>
        <v/>
      </c>
      <c r="S242">
        <f>IF(R242&lt;&gt;"Y","",MAX(0,(1-O242/'01_설정'!$B$5))*'01_설정'!$B$14+MAX(0,(1-P242/'01_설정'!$B$7))*'01_설정'!$B$16+MAX(0,(1-Q242/'01_설정'!$B$8))*'01_설정'!$B$17+L242*'01_설정'!$B$11+M242*'01_설정'!$B$12+N242*50)</f>
        <v/>
      </c>
      <c r="T242">
        <f>IF(S242="","",1+COUNTIFS($S$31:$S$1030,"&gt;"&amp;S242)+COUNTIFS($S$31:S242,S242)-1)</f>
        <v/>
      </c>
    </row>
    <row r="243" hidden="1" ht="16.5" customHeight="1">
      <c r="A243">
        <f>IF(COUNTA('05_KAPA'!$A214:$AO214)=0,"",216)</f>
        <v/>
      </c>
      <c r="B243">
        <f>IF($A243="","",INDEX('05_KAPA'!$B:$B,$A243))</f>
        <v/>
      </c>
      <c r="C243">
        <f>IF($A243="","",INDEX('05_KAPA'!$F:$F,$A243))</f>
        <v/>
      </c>
      <c r="D243">
        <f>IF($A243="","",INDEX('05_KAPA'!$H:$H,$A243))</f>
        <v/>
      </c>
      <c r="E243">
        <f>IF($A243="","",INDEX('05_KAPA'!$K:$K,$A243))</f>
        <v/>
      </c>
      <c r="F243">
        <f>IF($A243="","",INDEX('05_KAPA'!$L:$L,$A243))</f>
        <v/>
      </c>
      <c r="G243">
        <f>IF($A243="","",INDEX('05_KAPA'!$I:$I,$A243))</f>
        <v/>
      </c>
      <c r="H243" s="202">
        <f>IF($A243="","",INDEX('05_KAPA'!$P:$P,$A243))</f>
        <v/>
      </c>
      <c r="I243" s="118">
        <f>IF($A243="","",INDEX('05_KAPA'!$O:$O,$A243))</f>
        <v/>
      </c>
      <c r="J243" s="202">
        <f>IF($A243="","",IFERROR(DATE(LEFT(TEXT(INDEX('05_KAPA'!$T:$T,$A243),"0"),4),MID(TEXT(INDEX('05_KAPA'!$T:$T,$A243),"0"),5,2),RIGHT(TEXT(INDEX('05_KAPA'!$T:$T,$A243),"0"),2)),""))</f>
        <v/>
      </c>
      <c r="K243">
        <f>IF(C243="","",IF('02_대상물건입력'!$B$5="",1,IF(ISNUMBER(SEARCH('02_대상물건입력'!$B$5,C243)),1,0)))</f>
        <v/>
      </c>
      <c r="L243">
        <f>IF(C243="","",IF('02_대상물건입력'!$B$6="",1,IF(ISNUMBER(SEARCH('02_대상물건입력'!$B$6,C243)),1,0)))</f>
        <v/>
      </c>
      <c r="M243">
        <f>IF(E243="","",IF('02_대상물건입력'!$B$8="",0,IF(ISNUMBER(SEARCH('02_대상물건입력'!$B$8,E243)),1,0)))</f>
        <v/>
      </c>
      <c r="N243">
        <f>IF(B243="","",IF(B243="담보",1,0))</f>
        <v/>
      </c>
      <c r="O243">
        <f>IFERROR(ABS(G243-'02_대상물건입력'!$B$11)/'02_대상물건입력'!$B$11,"")</f>
        <v/>
      </c>
      <c r="P243">
        <f>IFERROR(ABS('01_설정'!$B$4-H243),"")</f>
        <v/>
      </c>
      <c r="Q243">
        <f>IFERROR(ABS(YEAR(J243)-YEAR('02_대상물건입력'!$B$14)),"")</f>
        <v/>
      </c>
      <c r="R243">
        <f>IF(AND(G243&gt;0,H243&gt;0,I243&gt;0,N243=1,IF('01_설정'!$B$10=1,K243=1,TRUE()),O243&lt;='01_설정'!$B$5,P243&lt;='01_설정'!$B$7,Q243&lt;='01_설정'!$B$8),"Y","")</f>
        <v/>
      </c>
      <c r="S243">
        <f>IF(R243&lt;&gt;"Y","",MAX(0,(1-O243/'01_설정'!$B$5))*'01_설정'!$B$14+MAX(0,(1-P243/'01_설정'!$B$7))*'01_설정'!$B$16+MAX(0,(1-Q243/'01_설정'!$B$8))*'01_설정'!$B$17+L243*'01_설정'!$B$11+M243*'01_설정'!$B$12+N243*50)</f>
        <v/>
      </c>
      <c r="T243">
        <f>IF(S243="","",1+COUNTIFS($S$31:$S$1030,"&gt;"&amp;S243)+COUNTIFS($S$31:S243,S243)-1)</f>
        <v/>
      </c>
    </row>
    <row r="244" hidden="1" ht="16.5" customHeight="1">
      <c r="A244">
        <f>IF(COUNTA('05_KAPA'!$A215:$AO215)=0,"",217)</f>
        <v/>
      </c>
      <c r="B244">
        <f>IF($A244="","",INDEX('05_KAPA'!$B:$B,$A244))</f>
        <v/>
      </c>
      <c r="C244">
        <f>IF($A244="","",INDEX('05_KAPA'!$F:$F,$A244))</f>
        <v/>
      </c>
      <c r="D244">
        <f>IF($A244="","",INDEX('05_KAPA'!$H:$H,$A244))</f>
        <v/>
      </c>
      <c r="E244">
        <f>IF($A244="","",INDEX('05_KAPA'!$K:$K,$A244))</f>
        <v/>
      </c>
      <c r="F244">
        <f>IF($A244="","",INDEX('05_KAPA'!$L:$L,$A244))</f>
        <v/>
      </c>
      <c r="G244">
        <f>IF($A244="","",INDEX('05_KAPA'!$I:$I,$A244))</f>
        <v/>
      </c>
      <c r="H244" s="202">
        <f>IF($A244="","",INDEX('05_KAPA'!$P:$P,$A244))</f>
        <v/>
      </c>
      <c r="I244" s="118">
        <f>IF($A244="","",INDEX('05_KAPA'!$O:$O,$A244))</f>
        <v/>
      </c>
      <c r="J244" s="202">
        <f>IF($A244="","",IFERROR(DATE(LEFT(TEXT(INDEX('05_KAPA'!$T:$T,$A244),"0"),4),MID(TEXT(INDEX('05_KAPA'!$T:$T,$A244),"0"),5,2),RIGHT(TEXT(INDEX('05_KAPA'!$T:$T,$A244),"0"),2)),""))</f>
        <v/>
      </c>
      <c r="K244">
        <f>IF(C244="","",IF('02_대상물건입력'!$B$5="",1,IF(ISNUMBER(SEARCH('02_대상물건입력'!$B$5,C244)),1,0)))</f>
        <v/>
      </c>
      <c r="L244">
        <f>IF(C244="","",IF('02_대상물건입력'!$B$6="",1,IF(ISNUMBER(SEARCH('02_대상물건입력'!$B$6,C244)),1,0)))</f>
        <v/>
      </c>
      <c r="M244">
        <f>IF(E244="","",IF('02_대상물건입력'!$B$8="",0,IF(ISNUMBER(SEARCH('02_대상물건입력'!$B$8,E244)),1,0)))</f>
        <v/>
      </c>
      <c r="N244">
        <f>IF(B244="","",IF(B244="담보",1,0))</f>
        <v/>
      </c>
      <c r="O244">
        <f>IFERROR(ABS(G244-'02_대상물건입력'!$B$11)/'02_대상물건입력'!$B$11,"")</f>
        <v/>
      </c>
      <c r="P244">
        <f>IFERROR(ABS('01_설정'!$B$4-H244),"")</f>
        <v/>
      </c>
      <c r="Q244">
        <f>IFERROR(ABS(YEAR(J244)-YEAR('02_대상물건입력'!$B$14)),"")</f>
        <v/>
      </c>
      <c r="R244">
        <f>IF(AND(G244&gt;0,H244&gt;0,I244&gt;0,N244=1,IF('01_설정'!$B$10=1,K244=1,TRUE()),O244&lt;='01_설정'!$B$5,P244&lt;='01_설정'!$B$7,Q244&lt;='01_설정'!$B$8),"Y","")</f>
        <v/>
      </c>
      <c r="S244">
        <f>IF(R244&lt;&gt;"Y","",MAX(0,(1-O244/'01_설정'!$B$5))*'01_설정'!$B$14+MAX(0,(1-P244/'01_설정'!$B$7))*'01_설정'!$B$16+MAX(0,(1-Q244/'01_설정'!$B$8))*'01_설정'!$B$17+L244*'01_설정'!$B$11+M244*'01_설정'!$B$12+N244*50)</f>
        <v/>
      </c>
      <c r="T244">
        <f>IF(S244="","",1+COUNTIFS($S$31:$S$1030,"&gt;"&amp;S244)+COUNTIFS($S$31:S244,S244)-1)</f>
        <v/>
      </c>
    </row>
    <row r="245" hidden="1" ht="16.5" customHeight="1">
      <c r="A245">
        <f>IF(COUNTA('05_KAPA'!$A216:$AO216)=0,"",218)</f>
        <v/>
      </c>
      <c r="B245">
        <f>IF($A245="","",INDEX('05_KAPA'!$B:$B,$A245))</f>
        <v/>
      </c>
      <c r="C245">
        <f>IF($A245="","",INDEX('05_KAPA'!$F:$F,$A245))</f>
        <v/>
      </c>
      <c r="D245">
        <f>IF($A245="","",INDEX('05_KAPA'!$H:$H,$A245))</f>
        <v/>
      </c>
      <c r="E245">
        <f>IF($A245="","",INDEX('05_KAPA'!$K:$K,$A245))</f>
        <v/>
      </c>
      <c r="F245">
        <f>IF($A245="","",INDEX('05_KAPA'!$L:$L,$A245))</f>
        <v/>
      </c>
      <c r="G245">
        <f>IF($A245="","",INDEX('05_KAPA'!$I:$I,$A245))</f>
        <v/>
      </c>
      <c r="H245" s="202">
        <f>IF($A245="","",INDEX('05_KAPA'!$P:$P,$A245))</f>
        <v/>
      </c>
      <c r="I245" s="118">
        <f>IF($A245="","",INDEX('05_KAPA'!$O:$O,$A245))</f>
        <v/>
      </c>
      <c r="J245" s="202">
        <f>IF($A245="","",IFERROR(DATE(LEFT(TEXT(INDEX('05_KAPA'!$T:$T,$A245),"0"),4),MID(TEXT(INDEX('05_KAPA'!$T:$T,$A245),"0"),5,2),RIGHT(TEXT(INDEX('05_KAPA'!$T:$T,$A245),"0"),2)),""))</f>
        <v/>
      </c>
      <c r="K245">
        <f>IF(C245="","",IF('02_대상물건입력'!$B$5="",1,IF(ISNUMBER(SEARCH('02_대상물건입력'!$B$5,C245)),1,0)))</f>
        <v/>
      </c>
      <c r="L245">
        <f>IF(C245="","",IF('02_대상물건입력'!$B$6="",1,IF(ISNUMBER(SEARCH('02_대상물건입력'!$B$6,C245)),1,0)))</f>
        <v/>
      </c>
      <c r="M245">
        <f>IF(E245="","",IF('02_대상물건입력'!$B$8="",0,IF(ISNUMBER(SEARCH('02_대상물건입력'!$B$8,E245)),1,0)))</f>
        <v/>
      </c>
      <c r="N245">
        <f>IF(B245="","",IF(B245="담보",1,0))</f>
        <v/>
      </c>
      <c r="O245">
        <f>IFERROR(ABS(G245-'02_대상물건입력'!$B$11)/'02_대상물건입력'!$B$11,"")</f>
        <v/>
      </c>
      <c r="P245">
        <f>IFERROR(ABS('01_설정'!$B$4-H245),"")</f>
        <v/>
      </c>
      <c r="Q245">
        <f>IFERROR(ABS(YEAR(J245)-YEAR('02_대상물건입력'!$B$14)),"")</f>
        <v/>
      </c>
      <c r="R245">
        <f>IF(AND(G245&gt;0,H245&gt;0,I245&gt;0,N245=1,IF('01_설정'!$B$10=1,K245=1,TRUE()),O245&lt;='01_설정'!$B$5,P245&lt;='01_설정'!$B$7,Q245&lt;='01_설정'!$B$8),"Y","")</f>
        <v/>
      </c>
      <c r="S245">
        <f>IF(R245&lt;&gt;"Y","",MAX(0,(1-O245/'01_설정'!$B$5))*'01_설정'!$B$14+MAX(0,(1-P245/'01_설정'!$B$7))*'01_설정'!$B$16+MAX(0,(1-Q245/'01_설정'!$B$8))*'01_설정'!$B$17+L245*'01_설정'!$B$11+M245*'01_설정'!$B$12+N245*50)</f>
        <v/>
      </c>
      <c r="T245">
        <f>IF(S245="","",1+COUNTIFS($S$31:$S$1030,"&gt;"&amp;S245)+COUNTIFS($S$31:S245,S245)-1)</f>
        <v/>
      </c>
    </row>
    <row r="246" hidden="1" ht="16.5" customHeight="1">
      <c r="A246">
        <f>IF(COUNTA('05_KAPA'!$A217:$AO217)=0,"",219)</f>
        <v/>
      </c>
      <c r="B246">
        <f>IF($A246="","",INDEX('05_KAPA'!$B:$B,$A246))</f>
        <v/>
      </c>
      <c r="C246">
        <f>IF($A246="","",INDEX('05_KAPA'!$F:$F,$A246))</f>
        <v/>
      </c>
      <c r="D246">
        <f>IF($A246="","",INDEX('05_KAPA'!$H:$H,$A246))</f>
        <v/>
      </c>
      <c r="E246">
        <f>IF($A246="","",INDEX('05_KAPA'!$K:$K,$A246))</f>
        <v/>
      </c>
      <c r="F246">
        <f>IF($A246="","",INDEX('05_KAPA'!$L:$L,$A246))</f>
        <v/>
      </c>
      <c r="G246">
        <f>IF($A246="","",INDEX('05_KAPA'!$I:$I,$A246))</f>
        <v/>
      </c>
      <c r="H246" s="202">
        <f>IF($A246="","",INDEX('05_KAPA'!$P:$P,$A246))</f>
        <v/>
      </c>
      <c r="I246" s="118">
        <f>IF($A246="","",INDEX('05_KAPA'!$O:$O,$A246))</f>
        <v/>
      </c>
      <c r="J246" s="202">
        <f>IF($A246="","",IFERROR(DATE(LEFT(TEXT(INDEX('05_KAPA'!$T:$T,$A246),"0"),4),MID(TEXT(INDEX('05_KAPA'!$T:$T,$A246),"0"),5,2),RIGHT(TEXT(INDEX('05_KAPA'!$T:$T,$A246),"0"),2)),""))</f>
        <v/>
      </c>
      <c r="K246">
        <f>IF(C246="","",IF('02_대상물건입력'!$B$5="",1,IF(ISNUMBER(SEARCH('02_대상물건입력'!$B$5,C246)),1,0)))</f>
        <v/>
      </c>
      <c r="L246">
        <f>IF(C246="","",IF('02_대상물건입력'!$B$6="",1,IF(ISNUMBER(SEARCH('02_대상물건입력'!$B$6,C246)),1,0)))</f>
        <v/>
      </c>
      <c r="M246">
        <f>IF(E246="","",IF('02_대상물건입력'!$B$8="",0,IF(ISNUMBER(SEARCH('02_대상물건입력'!$B$8,E246)),1,0)))</f>
        <v/>
      </c>
      <c r="N246">
        <f>IF(B246="","",IF(B246="담보",1,0))</f>
        <v/>
      </c>
      <c r="O246">
        <f>IFERROR(ABS(G246-'02_대상물건입력'!$B$11)/'02_대상물건입력'!$B$11,"")</f>
        <v/>
      </c>
      <c r="P246">
        <f>IFERROR(ABS('01_설정'!$B$4-H246),"")</f>
        <v/>
      </c>
      <c r="Q246">
        <f>IFERROR(ABS(YEAR(J246)-YEAR('02_대상물건입력'!$B$14)),"")</f>
        <v/>
      </c>
      <c r="R246">
        <f>IF(AND(G246&gt;0,H246&gt;0,I246&gt;0,N246=1,IF('01_설정'!$B$10=1,K246=1,TRUE()),O246&lt;='01_설정'!$B$5,P246&lt;='01_설정'!$B$7,Q246&lt;='01_설정'!$B$8),"Y","")</f>
        <v/>
      </c>
      <c r="S246">
        <f>IF(R246&lt;&gt;"Y","",MAX(0,(1-O246/'01_설정'!$B$5))*'01_설정'!$B$14+MAX(0,(1-P246/'01_설정'!$B$7))*'01_설정'!$B$16+MAX(0,(1-Q246/'01_설정'!$B$8))*'01_설정'!$B$17+L246*'01_설정'!$B$11+M246*'01_설정'!$B$12+N246*50)</f>
        <v/>
      </c>
      <c r="T246">
        <f>IF(S246="","",1+COUNTIFS($S$31:$S$1030,"&gt;"&amp;S246)+COUNTIFS($S$31:S246,S246)-1)</f>
        <v/>
      </c>
    </row>
    <row r="247" hidden="1" ht="16.5" customHeight="1">
      <c r="A247">
        <f>IF(COUNTA('05_KAPA'!$A218:$AO218)=0,"",220)</f>
        <v/>
      </c>
      <c r="B247">
        <f>IF($A247="","",INDEX('05_KAPA'!$B:$B,$A247))</f>
        <v/>
      </c>
      <c r="C247">
        <f>IF($A247="","",INDEX('05_KAPA'!$F:$F,$A247))</f>
        <v/>
      </c>
      <c r="D247">
        <f>IF($A247="","",INDEX('05_KAPA'!$H:$H,$A247))</f>
        <v/>
      </c>
      <c r="E247">
        <f>IF($A247="","",INDEX('05_KAPA'!$K:$K,$A247))</f>
        <v/>
      </c>
      <c r="F247">
        <f>IF($A247="","",INDEX('05_KAPA'!$L:$L,$A247))</f>
        <v/>
      </c>
      <c r="G247">
        <f>IF($A247="","",INDEX('05_KAPA'!$I:$I,$A247))</f>
        <v/>
      </c>
      <c r="H247" s="202">
        <f>IF($A247="","",INDEX('05_KAPA'!$P:$P,$A247))</f>
        <v/>
      </c>
      <c r="I247" s="118">
        <f>IF($A247="","",INDEX('05_KAPA'!$O:$O,$A247))</f>
        <v/>
      </c>
      <c r="J247" s="202">
        <f>IF($A247="","",IFERROR(DATE(LEFT(TEXT(INDEX('05_KAPA'!$T:$T,$A247),"0"),4),MID(TEXT(INDEX('05_KAPA'!$T:$T,$A247),"0"),5,2),RIGHT(TEXT(INDEX('05_KAPA'!$T:$T,$A247),"0"),2)),""))</f>
        <v/>
      </c>
      <c r="K247">
        <f>IF(C247="","",IF('02_대상물건입력'!$B$5="",1,IF(ISNUMBER(SEARCH('02_대상물건입력'!$B$5,C247)),1,0)))</f>
        <v/>
      </c>
      <c r="L247">
        <f>IF(C247="","",IF('02_대상물건입력'!$B$6="",1,IF(ISNUMBER(SEARCH('02_대상물건입력'!$B$6,C247)),1,0)))</f>
        <v/>
      </c>
      <c r="M247">
        <f>IF(E247="","",IF('02_대상물건입력'!$B$8="",0,IF(ISNUMBER(SEARCH('02_대상물건입력'!$B$8,E247)),1,0)))</f>
        <v/>
      </c>
      <c r="N247">
        <f>IF(B247="","",IF(B247="담보",1,0))</f>
        <v/>
      </c>
      <c r="O247">
        <f>IFERROR(ABS(G247-'02_대상물건입력'!$B$11)/'02_대상물건입력'!$B$11,"")</f>
        <v/>
      </c>
      <c r="P247">
        <f>IFERROR(ABS('01_설정'!$B$4-H247),"")</f>
        <v/>
      </c>
      <c r="Q247">
        <f>IFERROR(ABS(YEAR(J247)-YEAR('02_대상물건입력'!$B$14)),"")</f>
        <v/>
      </c>
      <c r="R247">
        <f>IF(AND(G247&gt;0,H247&gt;0,I247&gt;0,N247=1,IF('01_설정'!$B$10=1,K247=1,TRUE()),O247&lt;='01_설정'!$B$5,P247&lt;='01_설정'!$B$7,Q247&lt;='01_설정'!$B$8),"Y","")</f>
        <v/>
      </c>
      <c r="S247">
        <f>IF(R247&lt;&gt;"Y","",MAX(0,(1-O247/'01_설정'!$B$5))*'01_설정'!$B$14+MAX(0,(1-P247/'01_설정'!$B$7))*'01_설정'!$B$16+MAX(0,(1-Q247/'01_설정'!$B$8))*'01_설정'!$B$17+L247*'01_설정'!$B$11+M247*'01_설정'!$B$12+N247*50)</f>
        <v/>
      </c>
      <c r="T247">
        <f>IF(S247="","",1+COUNTIFS($S$31:$S$1030,"&gt;"&amp;S247)+COUNTIFS($S$31:S247,S247)-1)</f>
        <v/>
      </c>
    </row>
    <row r="248" hidden="1" ht="16.5" customHeight="1">
      <c r="A248">
        <f>IF(COUNTA('05_KAPA'!$A219:$AO219)=0,"",221)</f>
        <v/>
      </c>
      <c r="B248">
        <f>IF($A248="","",INDEX('05_KAPA'!$B:$B,$A248))</f>
        <v/>
      </c>
      <c r="C248">
        <f>IF($A248="","",INDEX('05_KAPA'!$F:$F,$A248))</f>
        <v/>
      </c>
      <c r="D248">
        <f>IF($A248="","",INDEX('05_KAPA'!$H:$H,$A248))</f>
        <v/>
      </c>
      <c r="E248">
        <f>IF($A248="","",INDEX('05_KAPA'!$K:$K,$A248))</f>
        <v/>
      </c>
      <c r="F248">
        <f>IF($A248="","",INDEX('05_KAPA'!$L:$L,$A248))</f>
        <v/>
      </c>
      <c r="G248">
        <f>IF($A248="","",INDEX('05_KAPA'!$I:$I,$A248))</f>
        <v/>
      </c>
      <c r="H248" s="202">
        <f>IF($A248="","",INDEX('05_KAPA'!$P:$P,$A248))</f>
        <v/>
      </c>
      <c r="I248" s="118">
        <f>IF($A248="","",INDEX('05_KAPA'!$O:$O,$A248))</f>
        <v/>
      </c>
      <c r="J248" s="202">
        <f>IF($A248="","",IFERROR(DATE(LEFT(TEXT(INDEX('05_KAPA'!$T:$T,$A248),"0"),4),MID(TEXT(INDEX('05_KAPA'!$T:$T,$A248),"0"),5,2),RIGHT(TEXT(INDEX('05_KAPA'!$T:$T,$A248),"0"),2)),""))</f>
        <v/>
      </c>
      <c r="K248">
        <f>IF(C248="","",IF('02_대상물건입력'!$B$5="",1,IF(ISNUMBER(SEARCH('02_대상물건입력'!$B$5,C248)),1,0)))</f>
        <v/>
      </c>
      <c r="L248">
        <f>IF(C248="","",IF('02_대상물건입력'!$B$6="",1,IF(ISNUMBER(SEARCH('02_대상물건입력'!$B$6,C248)),1,0)))</f>
        <v/>
      </c>
      <c r="M248">
        <f>IF(E248="","",IF('02_대상물건입력'!$B$8="",0,IF(ISNUMBER(SEARCH('02_대상물건입력'!$B$8,E248)),1,0)))</f>
        <v/>
      </c>
      <c r="N248">
        <f>IF(B248="","",IF(B248="담보",1,0))</f>
        <v/>
      </c>
      <c r="O248">
        <f>IFERROR(ABS(G248-'02_대상물건입력'!$B$11)/'02_대상물건입력'!$B$11,"")</f>
        <v/>
      </c>
      <c r="P248">
        <f>IFERROR(ABS('01_설정'!$B$4-H248),"")</f>
        <v/>
      </c>
      <c r="Q248">
        <f>IFERROR(ABS(YEAR(J248)-YEAR('02_대상물건입력'!$B$14)),"")</f>
        <v/>
      </c>
      <c r="R248">
        <f>IF(AND(G248&gt;0,H248&gt;0,I248&gt;0,N248=1,IF('01_설정'!$B$10=1,K248=1,TRUE()),O248&lt;='01_설정'!$B$5,P248&lt;='01_설정'!$B$7,Q248&lt;='01_설정'!$B$8),"Y","")</f>
        <v/>
      </c>
      <c r="S248">
        <f>IF(R248&lt;&gt;"Y","",MAX(0,(1-O248/'01_설정'!$B$5))*'01_설정'!$B$14+MAX(0,(1-P248/'01_설정'!$B$7))*'01_설정'!$B$16+MAX(0,(1-Q248/'01_설정'!$B$8))*'01_설정'!$B$17+L248*'01_설정'!$B$11+M248*'01_설정'!$B$12+N248*50)</f>
        <v/>
      </c>
      <c r="T248">
        <f>IF(S248="","",1+COUNTIFS($S$31:$S$1030,"&gt;"&amp;S248)+COUNTIFS($S$31:S248,S248)-1)</f>
        <v/>
      </c>
    </row>
    <row r="249" hidden="1" ht="16.5" customHeight="1">
      <c r="A249">
        <f>IF(COUNTA('05_KAPA'!$A220:$AO220)=0,"",222)</f>
        <v/>
      </c>
      <c r="B249">
        <f>IF($A249="","",INDEX('05_KAPA'!$B:$B,$A249))</f>
        <v/>
      </c>
      <c r="C249">
        <f>IF($A249="","",INDEX('05_KAPA'!$F:$F,$A249))</f>
        <v/>
      </c>
      <c r="D249">
        <f>IF($A249="","",INDEX('05_KAPA'!$H:$H,$A249))</f>
        <v/>
      </c>
      <c r="E249">
        <f>IF($A249="","",INDEX('05_KAPA'!$K:$K,$A249))</f>
        <v/>
      </c>
      <c r="F249">
        <f>IF($A249="","",INDEX('05_KAPA'!$L:$L,$A249))</f>
        <v/>
      </c>
      <c r="G249">
        <f>IF($A249="","",INDEX('05_KAPA'!$I:$I,$A249))</f>
        <v/>
      </c>
      <c r="H249" s="202">
        <f>IF($A249="","",INDEX('05_KAPA'!$P:$P,$A249))</f>
        <v/>
      </c>
      <c r="I249" s="118">
        <f>IF($A249="","",INDEX('05_KAPA'!$O:$O,$A249))</f>
        <v/>
      </c>
      <c r="J249" s="202">
        <f>IF($A249="","",IFERROR(DATE(LEFT(TEXT(INDEX('05_KAPA'!$T:$T,$A249),"0"),4),MID(TEXT(INDEX('05_KAPA'!$T:$T,$A249),"0"),5,2),RIGHT(TEXT(INDEX('05_KAPA'!$T:$T,$A249),"0"),2)),""))</f>
        <v/>
      </c>
      <c r="K249">
        <f>IF(C249="","",IF('02_대상물건입력'!$B$5="",1,IF(ISNUMBER(SEARCH('02_대상물건입력'!$B$5,C249)),1,0)))</f>
        <v/>
      </c>
      <c r="L249">
        <f>IF(C249="","",IF('02_대상물건입력'!$B$6="",1,IF(ISNUMBER(SEARCH('02_대상물건입력'!$B$6,C249)),1,0)))</f>
        <v/>
      </c>
      <c r="M249">
        <f>IF(E249="","",IF('02_대상물건입력'!$B$8="",0,IF(ISNUMBER(SEARCH('02_대상물건입력'!$B$8,E249)),1,0)))</f>
        <v/>
      </c>
      <c r="N249">
        <f>IF(B249="","",IF(B249="담보",1,0))</f>
        <v/>
      </c>
      <c r="O249">
        <f>IFERROR(ABS(G249-'02_대상물건입력'!$B$11)/'02_대상물건입력'!$B$11,"")</f>
        <v/>
      </c>
      <c r="P249">
        <f>IFERROR(ABS('01_설정'!$B$4-H249),"")</f>
        <v/>
      </c>
      <c r="Q249">
        <f>IFERROR(ABS(YEAR(J249)-YEAR('02_대상물건입력'!$B$14)),"")</f>
        <v/>
      </c>
      <c r="R249">
        <f>IF(AND(G249&gt;0,H249&gt;0,I249&gt;0,N249=1,IF('01_설정'!$B$10=1,K249=1,TRUE()),O249&lt;='01_설정'!$B$5,P249&lt;='01_설정'!$B$7,Q249&lt;='01_설정'!$B$8),"Y","")</f>
        <v/>
      </c>
      <c r="S249">
        <f>IF(R249&lt;&gt;"Y","",MAX(0,(1-O249/'01_설정'!$B$5))*'01_설정'!$B$14+MAX(0,(1-P249/'01_설정'!$B$7))*'01_설정'!$B$16+MAX(0,(1-Q249/'01_설정'!$B$8))*'01_설정'!$B$17+L249*'01_설정'!$B$11+M249*'01_설정'!$B$12+N249*50)</f>
        <v/>
      </c>
      <c r="T249">
        <f>IF(S249="","",1+COUNTIFS($S$31:$S$1030,"&gt;"&amp;S249)+COUNTIFS($S$31:S249,S249)-1)</f>
        <v/>
      </c>
    </row>
    <row r="250" hidden="1" ht="16.5" customHeight="1">
      <c r="A250">
        <f>IF(COUNTA('05_KAPA'!$A221:$AO221)=0,"",223)</f>
        <v/>
      </c>
      <c r="B250">
        <f>IF($A250="","",INDEX('05_KAPA'!$B:$B,$A250))</f>
        <v/>
      </c>
      <c r="C250">
        <f>IF($A250="","",INDEX('05_KAPA'!$F:$F,$A250))</f>
        <v/>
      </c>
      <c r="D250">
        <f>IF($A250="","",INDEX('05_KAPA'!$H:$H,$A250))</f>
        <v/>
      </c>
      <c r="E250">
        <f>IF($A250="","",INDEX('05_KAPA'!$K:$K,$A250))</f>
        <v/>
      </c>
      <c r="F250">
        <f>IF($A250="","",INDEX('05_KAPA'!$L:$L,$A250))</f>
        <v/>
      </c>
      <c r="G250">
        <f>IF($A250="","",INDEX('05_KAPA'!$I:$I,$A250))</f>
        <v/>
      </c>
      <c r="H250" s="202">
        <f>IF($A250="","",INDEX('05_KAPA'!$P:$P,$A250))</f>
        <v/>
      </c>
      <c r="I250" s="118">
        <f>IF($A250="","",INDEX('05_KAPA'!$O:$O,$A250))</f>
        <v/>
      </c>
      <c r="J250" s="202">
        <f>IF($A250="","",IFERROR(DATE(LEFT(TEXT(INDEX('05_KAPA'!$T:$T,$A250),"0"),4),MID(TEXT(INDEX('05_KAPA'!$T:$T,$A250),"0"),5,2),RIGHT(TEXT(INDEX('05_KAPA'!$T:$T,$A250),"0"),2)),""))</f>
        <v/>
      </c>
      <c r="K250">
        <f>IF(C250="","",IF('02_대상물건입력'!$B$5="",1,IF(ISNUMBER(SEARCH('02_대상물건입력'!$B$5,C250)),1,0)))</f>
        <v/>
      </c>
      <c r="L250">
        <f>IF(C250="","",IF('02_대상물건입력'!$B$6="",1,IF(ISNUMBER(SEARCH('02_대상물건입력'!$B$6,C250)),1,0)))</f>
        <v/>
      </c>
      <c r="M250">
        <f>IF(E250="","",IF('02_대상물건입력'!$B$8="",0,IF(ISNUMBER(SEARCH('02_대상물건입력'!$B$8,E250)),1,0)))</f>
        <v/>
      </c>
      <c r="N250">
        <f>IF(B250="","",IF(B250="담보",1,0))</f>
        <v/>
      </c>
      <c r="O250">
        <f>IFERROR(ABS(G250-'02_대상물건입력'!$B$11)/'02_대상물건입력'!$B$11,"")</f>
        <v/>
      </c>
      <c r="P250">
        <f>IFERROR(ABS('01_설정'!$B$4-H250),"")</f>
        <v/>
      </c>
      <c r="Q250">
        <f>IFERROR(ABS(YEAR(J250)-YEAR('02_대상물건입력'!$B$14)),"")</f>
        <v/>
      </c>
      <c r="R250">
        <f>IF(AND(G250&gt;0,H250&gt;0,I250&gt;0,N250=1,IF('01_설정'!$B$10=1,K250=1,TRUE()),O250&lt;='01_설정'!$B$5,P250&lt;='01_설정'!$B$7,Q250&lt;='01_설정'!$B$8),"Y","")</f>
        <v/>
      </c>
      <c r="S250">
        <f>IF(R250&lt;&gt;"Y","",MAX(0,(1-O250/'01_설정'!$B$5))*'01_설정'!$B$14+MAX(0,(1-P250/'01_설정'!$B$7))*'01_설정'!$B$16+MAX(0,(1-Q250/'01_설정'!$B$8))*'01_설정'!$B$17+L250*'01_설정'!$B$11+M250*'01_설정'!$B$12+N250*50)</f>
        <v/>
      </c>
      <c r="T250">
        <f>IF(S250="","",1+COUNTIFS($S$31:$S$1030,"&gt;"&amp;S250)+COUNTIFS($S$31:S250,S250)-1)</f>
        <v/>
      </c>
    </row>
    <row r="251" hidden="1" ht="16.5" customHeight="1">
      <c r="A251">
        <f>IF(COUNTA('05_KAPA'!$A222:$AO222)=0,"",224)</f>
        <v/>
      </c>
      <c r="B251">
        <f>IF($A251="","",INDEX('05_KAPA'!$B:$B,$A251))</f>
        <v/>
      </c>
      <c r="C251">
        <f>IF($A251="","",INDEX('05_KAPA'!$F:$F,$A251))</f>
        <v/>
      </c>
      <c r="D251">
        <f>IF($A251="","",INDEX('05_KAPA'!$H:$H,$A251))</f>
        <v/>
      </c>
      <c r="E251">
        <f>IF($A251="","",INDEX('05_KAPA'!$K:$K,$A251))</f>
        <v/>
      </c>
      <c r="F251">
        <f>IF($A251="","",INDEX('05_KAPA'!$L:$L,$A251))</f>
        <v/>
      </c>
      <c r="G251">
        <f>IF($A251="","",INDEX('05_KAPA'!$I:$I,$A251))</f>
        <v/>
      </c>
      <c r="H251" s="202">
        <f>IF($A251="","",INDEX('05_KAPA'!$P:$P,$A251))</f>
        <v/>
      </c>
      <c r="I251" s="118">
        <f>IF($A251="","",INDEX('05_KAPA'!$O:$O,$A251))</f>
        <v/>
      </c>
      <c r="J251" s="202">
        <f>IF($A251="","",IFERROR(DATE(LEFT(TEXT(INDEX('05_KAPA'!$T:$T,$A251),"0"),4),MID(TEXT(INDEX('05_KAPA'!$T:$T,$A251),"0"),5,2),RIGHT(TEXT(INDEX('05_KAPA'!$T:$T,$A251),"0"),2)),""))</f>
        <v/>
      </c>
      <c r="K251">
        <f>IF(C251="","",IF('02_대상물건입력'!$B$5="",1,IF(ISNUMBER(SEARCH('02_대상물건입력'!$B$5,C251)),1,0)))</f>
        <v/>
      </c>
      <c r="L251">
        <f>IF(C251="","",IF('02_대상물건입력'!$B$6="",1,IF(ISNUMBER(SEARCH('02_대상물건입력'!$B$6,C251)),1,0)))</f>
        <v/>
      </c>
      <c r="M251">
        <f>IF(E251="","",IF('02_대상물건입력'!$B$8="",0,IF(ISNUMBER(SEARCH('02_대상물건입력'!$B$8,E251)),1,0)))</f>
        <v/>
      </c>
      <c r="N251">
        <f>IF(B251="","",IF(B251="담보",1,0))</f>
        <v/>
      </c>
      <c r="O251">
        <f>IFERROR(ABS(G251-'02_대상물건입력'!$B$11)/'02_대상물건입력'!$B$11,"")</f>
        <v/>
      </c>
      <c r="P251">
        <f>IFERROR(ABS('01_설정'!$B$4-H251),"")</f>
        <v/>
      </c>
      <c r="Q251">
        <f>IFERROR(ABS(YEAR(J251)-YEAR('02_대상물건입력'!$B$14)),"")</f>
        <v/>
      </c>
      <c r="R251">
        <f>IF(AND(G251&gt;0,H251&gt;0,I251&gt;0,N251=1,IF('01_설정'!$B$10=1,K251=1,TRUE()),O251&lt;='01_설정'!$B$5,P251&lt;='01_설정'!$B$7,Q251&lt;='01_설정'!$B$8),"Y","")</f>
        <v/>
      </c>
      <c r="S251">
        <f>IF(R251&lt;&gt;"Y","",MAX(0,(1-O251/'01_설정'!$B$5))*'01_설정'!$B$14+MAX(0,(1-P251/'01_설정'!$B$7))*'01_설정'!$B$16+MAX(0,(1-Q251/'01_설정'!$B$8))*'01_설정'!$B$17+L251*'01_설정'!$B$11+M251*'01_설정'!$B$12+N251*50)</f>
        <v/>
      </c>
      <c r="T251">
        <f>IF(S251="","",1+COUNTIFS($S$31:$S$1030,"&gt;"&amp;S251)+COUNTIFS($S$31:S251,S251)-1)</f>
        <v/>
      </c>
    </row>
    <row r="252" hidden="1" ht="16.5" customHeight="1">
      <c r="A252">
        <f>IF(COUNTA('05_KAPA'!$A223:$AO223)=0,"",225)</f>
        <v/>
      </c>
      <c r="B252">
        <f>IF($A252="","",INDEX('05_KAPA'!$B:$B,$A252))</f>
        <v/>
      </c>
      <c r="C252">
        <f>IF($A252="","",INDEX('05_KAPA'!$F:$F,$A252))</f>
        <v/>
      </c>
      <c r="D252">
        <f>IF($A252="","",INDEX('05_KAPA'!$H:$H,$A252))</f>
        <v/>
      </c>
      <c r="E252">
        <f>IF($A252="","",INDEX('05_KAPA'!$K:$K,$A252))</f>
        <v/>
      </c>
      <c r="F252">
        <f>IF($A252="","",INDEX('05_KAPA'!$L:$L,$A252))</f>
        <v/>
      </c>
      <c r="G252">
        <f>IF($A252="","",INDEX('05_KAPA'!$I:$I,$A252))</f>
        <v/>
      </c>
      <c r="H252" s="202">
        <f>IF($A252="","",INDEX('05_KAPA'!$P:$P,$A252))</f>
        <v/>
      </c>
      <c r="I252" s="118">
        <f>IF($A252="","",INDEX('05_KAPA'!$O:$O,$A252))</f>
        <v/>
      </c>
      <c r="J252" s="202">
        <f>IF($A252="","",IFERROR(DATE(LEFT(TEXT(INDEX('05_KAPA'!$T:$T,$A252),"0"),4),MID(TEXT(INDEX('05_KAPA'!$T:$T,$A252),"0"),5,2),RIGHT(TEXT(INDEX('05_KAPA'!$T:$T,$A252),"0"),2)),""))</f>
        <v/>
      </c>
      <c r="K252">
        <f>IF(C252="","",IF('02_대상물건입력'!$B$5="",1,IF(ISNUMBER(SEARCH('02_대상물건입력'!$B$5,C252)),1,0)))</f>
        <v/>
      </c>
      <c r="L252">
        <f>IF(C252="","",IF('02_대상물건입력'!$B$6="",1,IF(ISNUMBER(SEARCH('02_대상물건입력'!$B$6,C252)),1,0)))</f>
        <v/>
      </c>
      <c r="M252">
        <f>IF(E252="","",IF('02_대상물건입력'!$B$8="",0,IF(ISNUMBER(SEARCH('02_대상물건입력'!$B$8,E252)),1,0)))</f>
        <v/>
      </c>
      <c r="N252">
        <f>IF(B252="","",IF(B252="담보",1,0))</f>
        <v/>
      </c>
      <c r="O252">
        <f>IFERROR(ABS(G252-'02_대상물건입력'!$B$11)/'02_대상물건입력'!$B$11,"")</f>
        <v/>
      </c>
      <c r="P252">
        <f>IFERROR(ABS('01_설정'!$B$4-H252),"")</f>
        <v/>
      </c>
      <c r="Q252">
        <f>IFERROR(ABS(YEAR(J252)-YEAR('02_대상물건입력'!$B$14)),"")</f>
        <v/>
      </c>
      <c r="R252">
        <f>IF(AND(G252&gt;0,H252&gt;0,I252&gt;0,N252=1,IF('01_설정'!$B$10=1,K252=1,TRUE()),O252&lt;='01_설정'!$B$5,P252&lt;='01_설정'!$B$7,Q252&lt;='01_설정'!$B$8),"Y","")</f>
        <v/>
      </c>
      <c r="S252">
        <f>IF(R252&lt;&gt;"Y","",MAX(0,(1-O252/'01_설정'!$B$5))*'01_설정'!$B$14+MAX(0,(1-P252/'01_설정'!$B$7))*'01_설정'!$B$16+MAX(0,(1-Q252/'01_설정'!$B$8))*'01_설정'!$B$17+L252*'01_설정'!$B$11+M252*'01_설정'!$B$12+N252*50)</f>
        <v/>
      </c>
      <c r="T252">
        <f>IF(S252="","",1+COUNTIFS($S$31:$S$1030,"&gt;"&amp;S252)+COUNTIFS($S$31:S252,S252)-1)</f>
        <v/>
      </c>
    </row>
    <row r="253" hidden="1" ht="16.5" customHeight="1">
      <c r="A253">
        <f>IF(COUNTA('05_KAPA'!$A224:$AO224)=0,"",226)</f>
        <v/>
      </c>
      <c r="B253">
        <f>IF($A253="","",INDEX('05_KAPA'!$B:$B,$A253))</f>
        <v/>
      </c>
      <c r="C253">
        <f>IF($A253="","",INDEX('05_KAPA'!$F:$F,$A253))</f>
        <v/>
      </c>
      <c r="D253">
        <f>IF($A253="","",INDEX('05_KAPA'!$H:$H,$A253))</f>
        <v/>
      </c>
      <c r="E253">
        <f>IF($A253="","",INDEX('05_KAPA'!$K:$K,$A253))</f>
        <v/>
      </c>
      <c r="F253">
        <f>IF($A253="","",INDEX('05_KAPA'!$L:$L,$A253))</f>
        <v/>
      </c>
      <c r="G253">
        <f>IF($A253="","",INDEX('05_KAPA'!$I:$I,$A253))</f>
        <v/>
      </c>
      <c r="H253" s="202">
        <f>IF($A253="","",INDEX('05_KAPA'!$P:$P,$A253))</f>
        <v/>
      </c>
      <c r="I253" s="118">
        <f>IF($A253="","",INDEX('05_KAPA'!$O:$O,$A253))</f>
        <v/>
      </c>
      <c r="J253" s="202">
        <f>IF($A253="","",IFERROR(DATE(LEFT(TEXT(INDEX('05_KAPA'!$T:$T,$A253),"0"),4),MID(TEXT(INDEX('05_KAPA'!$T:$T,$A253),"0"),5,2),RIGHT(TEXT(INDEX('05_KAPA'!$T:$T,$A253),"0"),2)),""))</f>
        <v/>
      </c>
      <c r="K253">
        <f>IF(C253="","",IF('02_대상물건입력'!$B$5="",1,IF(ISNUMBER(SEARCH('02_대상물건입력'!$B$5,C253)),1,0)))</f>
        <v/>
      </c>
      <c r="L253">
        <f>IF(C253="","",IF('02_대상물건입력'!$B$6="",1,IF(ISNUMBER(SEARCH('02_대상물건입력'!$B$6,C253)),1,0)))</f>
        <v/>
      </c>
      <c r="M253">
        <f>IF(E253="","",IF('02_대상물건입력'!$B$8="",0,IF(ISNUMBER(SEARCH('02_대상물건입력'!$B$8,E253)),1,0)))</f>
        <v/>
      </c>
      <c r="N253">
        <f>IF(B253="","",IF(B253="담보",1,0))</f>
        <v/>
      </c>
      <c r="O253">
        <f>IFERROR(ABS(G253-'02_대상물건입력'!$B$11)/'02_대상물건입력'!$B$11,"")</f>
        <v/>
      </c>
      <c r="P253">
        <f>IFERROR(ABS('01_설정'!$B$4-H253),"")</f>
        <v/>
      </c>
      <c r="Q253">
        <f>IFERROR(ABS(YEAR(J253)-YEAR('02_대상물건입력'!$B$14)),"")</f>
        <v/>
      </c>
      <c r="R253">
        <f>IF(AND(G253&gt;0,H253&gt;0,I253&gt;0,N253=1,IF('01_설정'!$B$10=1,K253=1,TRUE()),O253&lt;='01_설정'!$B$5,P253&lt;='01_설정'!$B$7,Q253&lt;='01_설정'!$B$8),"Y","")</f>
        <v/>
      </c>
      <c r="S253">
        <f>IF(R253&lt;&gt;"Y","",MAX(0,(1-O253/'01_설정'!$B$5))*'01_설정'!$B$14+MAX(0,(1-P253/'01_설정'!$B$7))*'01_설정'!$B$16+MAX(0,(1-Q253/'01_설정'!$B$8))*'01_설정'!$B$17+L253*'01_설정'!$B$11+M253*'01_설정'!$B$12+N253*50)</f>
        <v/>
      </c>
      <c r="T253">
        <f>IF(S253="","",1+COUNTIFS($S$31:$S$1030,"&gt;"&amp;S253)+COUNTIFS($S$31:S253,S253)-1)</f>
        <v/>
      </c>
    </row>
    <row r="254" hidden="1" ht="16.5" customHeight="1">
      <c r="A254">
        <f>IF(COUNTA('05_KAPA'!$A225:$AO225)=0,"",227)</f>
        <v/>
      </c>
      <c r="B254">
        <f>IF($A254="","",INDEX('05_KAPA'!$B:$B,$A254))</f>
        <v/>
      </c>
      <c r="C254">
        <f>IF($A254="","",INDEX('05_KAPA'!$F:$F,$A254))</f>
        <v/>
      </c>
      <c r="D254">
        <f>IF($A254="","",INDEX('05_KAPA'!$H:$H,$A254))</f>
        <v/>
      </c>
      <c r="E254">
        <f>IF($A254="","",INDEX('05_KAPA'!$K:$K,$A254))</f>
        <v/>
      </c>
      <c r="F254">
        <f>IF($A254="","",INDEX('05_KAPA'!$L:$L,$A254))</f>
        <v/>
      </c>
      <c r="G254">
        <f>IF($A254="","",INDEX('05_KAPA'!$I:$I,$A254))</f>
        <v/>
      </c>
      <c r="H254" s="202">
        <f>IF($A254="","",INDEX('05_KAPA'!$P:$P,$A254))</f>
        <v/>
      </c>
      <c r="I254" s="118">
        <f>IF($A254="","",INDEX('05_KAPA'!$O:$O,$A254))</f>
        <v/>
      </c>
      <c r="J254" s="202">
        <f>IF($A254="","",IFERROR(DATE(LEFT(TEXT(INDEX('05_KAPA'!$T:$T,$A254),"0"),4),MID(TEXT(INDEX('05_KAPA'!$T:$T,$A254),"0"),5,2),RIGHT(TEXT(INDEX('05_KAPA'!$T:$T,$A254),"0"),2)),""))</f>
        <v/>
      </c>
      <c r="K254">
        <f>IF(C254="","",IF('02_대상물건입력'!$B$5="",1,IF(ISNUMBER(SEARCH('02_대상물건입력'!$B$5,C254)),1,0)))</f>
        <v/>
      </c>
      <c r="L254">
        <f>IF(C254="","",IF('02_대상물건입력'!$B$6="",1,IF(ISNUMBER(SEARCH('02_대상물건입력'!$B$6,C254)),1,0)))</f>
        <v/>
      </c>
      <c r="M254">
        <f>IF(E254="","",IF('02_대상물건입력'!$B$8="",0,IF(ISNUMBER(SEARCH('02_대상물건입력'!$B$8,E254)),1,0)))</f>
        <v/>
      </c>
      <c r="N254">
        <f>IF(B254="","",IF(B254="담보",1,0))</f>
        <v/>
      </c>
      <c r="O254">
        <f>IFERROR(ABS(G254-'02_대상물건입력'!$B$11)/'02_대상물건입력'!$B$11,"")</f>
        <v/>
      </c>
      <c r="P254">
        <f>IFERROR(ABS('01_설정'!$B$4-H254),"")</f>
        <v/>
      </c>
      <c r="Q254">
        <f>IFERROR(ABS(YEAR(J254)-YEAR('02_대상물건입력'!$B$14)),"")</f>
        <v/>
      </c>
      <c r="R254">
        <f>IF(AND(G254&gt;0,H254&gt;0,I254&gt;0,N254=1,IF('01_설정'!$B$10=1,K254=1,TRUE()),O254&lt;='01_설정'!$B$5,P254&lt;='01_설정'!$B$7,Q254&lt;='01_설정'!$B$8),"Y","")</f>
        <v/>
      </c>
      <c r="S254">
        <f>IF(R254&lt;&gt;"Y","",MAX(0,(1-O254/'01_설정'!$B$5))*'01_설정'!$B$14+MAX(0,(1-P254/'01_설정'!$B$7))*'01_설정'!$B$16+MAX(0,(1-Q254/'01_설정'!$B$8))*'01_설정'!$B$17+L254*'01_설정'!$B$11+M254*'01_설정'!$B$12+N254*50)</f>
        <v/>
      </c>
      <c r="T254">
        <f>IF(S254="","",1+COUNTIFS($S$31:$S$1030,"&gt;"&amp;S254)+COUNTIFS($S$31:S254,S254)-1)</f>
        <v/>
      </c>
    </row>
    <row r="255" hidden="1" ht="16.5" customHeight="1">
      <c r="A255">
        <f>IF(COUNTA('05_KAPA'!$A226:$AO226)=0,"",228)</f>
        <v/>
      </c>
      <c r="B255">
        <f>IF($A255="","",INDEX('05_KAPA'!$B:$B,$A255))</f>
        <v/>
      </c>
      <c r="C255">
        <f>IF($A255="","",INDEX('05_KAPA'!$F:$F,$A255))</f>
        <v/>
      </c>
      <c r="D255">
        <f>IF($A255="","",INDEX('05_KAPA'!$H:$H,$A255))</f>
        <v/>
      </c>
      <c r="E255">
        <f>IF($A255="","",INDEX('05_KAPA'!$K:$K,$A255))</f>
        <v/>
      </c>
      <c r="F255">
        <f>IF($A255="","",INDEX('05_KAPA'!$L:$L,$A255))</f>
        <v/>
      </c>
      <c r="G255">
        <f>IF($A255="","",INDEX('05_KAPA'!$I:$I,$A255))</f>
        <v/>
      </c>
      <c r="H255" s="202">
        <f>IF($A255="","",INDEX('05_KAPA'!$P:$P,$A255))</f>
        <v/>
      </c>
      <c r="I255" s="118">
        <f>IF($A255="","",INDEX('05_KAPA'!$O:$O,$A255))</f>
        <v/>
      </c>
      <c r="J255" s="202">
        <f>IF($A255="","",IFERROR(DATE(LEFT(TEXT(INDEX('05_KAPA'!$T:$T,$A255),"0"),4),MID(TEXT(INDEX('05_KAPA'!$T:$T,$A255),"0"),5,2),RIGHT(TEXT(INDEX('05_KAPA'!$T:$T,$A255),"0"),2)),""))</f>
        <v/>
      </c>
      <c r="K255">
        <f>IF(C255="","",IF('02_대상물건입력'!$B$5="",1,IF(ISNUMBER(SEARCH('02_대상물건입력'!$B$5,C255)),1,0)))</f>
        <v/>
      </c>
      <c r="L255">
        <f>IF(C255="","",IF('02_대상물건입력'!$B$6="",1,IF(ISNUMBER(SEARCH('02_대상물건입력'!$B$6,C255)),1,0)))</f>
        <v/>
      </c>
      <c r="M255">
        <f>IF(E255="","",IF('02_대상물건입력'!$B$8="",0,IF(ISNUMBER(SEARCH('02_대상물건입력'!$B$8,E255)),1,0)))</f>
        <v/>
      </c>
      <c r="N255">
        <f>IF(B255="","",IF(B255="담보",1,0))</f>
        <v/>
      </c>
      <c r="O255">
        <f>IFERROR(ABS(G255-'02_대상물건입력'!$B$11)/'02_대상물건입력'!$B$11,"")</f>
        <v/>
      </c>
      <c r="P255">
        <f>IFERROR(ABS('01_설정'!$B$4-H255),"")</f>
        <v/>
      </c>
      <c r="Q255">
        <f>IFERROR(ABS(YEAR(J255)-YEAR('02_대상물건입력'!$B$14)),"")</f>
        <v/>
      </c>
      <c r="R255">
        <f>IF(AND(G255&gt;0,H255&gt;0,I255&gt;0,N255=1,IF('01_설정'!$B$10=1,K255=1,TRUE()),O255&lt;='01_설정'!$B$5,P255&lt;='01_설정'!$B$7,Q255&lt;='01_설정'!$B$8),"Y","")</f>
        <v/>
      </c>
      <c r="S255">
        <f>IF(R255&lt;&gt;"Y","",MAX(0,(1-O255/'01_설정'!$B$5))*'01_설정'!$B$14+MAX(0,(1-P255/'01_설정'!$B$7))*'01_설정'!$B$16+MAX(0,(1-Q255/'01_설정'!$B$8))*'01_설정'!$B$17+L255*'01_설정'!$B$11+M255*'01_설정'!$B$12+N255*50)</f>
        <v/>
      </c>
      <c r="T255">
        <f>IF(S255="","",1+COUNTIFS($S$31:$S$1030,"&gt;"&amp;S255)+COUNTIFS($S$31:S255,S255)-1)</f>
        <v/>
      </c>
    </row>
    <row r="256" hidden="1" ht="16.5" customHeight="1">
      <c r="A256">
        <f>IF(COUNTA('05_KAPA'!$A227:$AO227)=0,"",229)</f>
        <v/>
      </c>
      <c r="B256">
        <f>IF($A256="","",INDEX('05_KAPA'!$B:$B,$A256))</f>
        <v/>
      </c>
      <c r="C256">
        <f>IF($A256="","",INDEX('05_KAPA'!$F:$F,$A256))</f>
        <v/>
      </c>
      <c r="D256">
        <f>IF($A256="","",INDEX('05_KAPA'!$H:$H,$A256))</f>
        <v/>
      </c>
      <c r="E256">
        <f>IF($A256="","",INDEX('05_KAPA'!$K:$K,$A256))</f>
        <v/>
      </c>
      <c r="F256">
        <f>IF($A256="","",INDEX('05_KAPA'!$L:$L,$A256))</f>
        <v/>
      </c>
      <c r="G256">
        <f>IF($A256="","",INDEX('05_KAPA'!$I:$I,$A256))</f>
        <v/>
      </c>
      <c r="H256" s="202">
        <f>IF($A256="","",INDEX('05_KAPA'!$P:$P,$A256))</f>
        <v/>
      </c>
      <c r="I256" s="118">
        <f>IF($A256="","",INDEX('05_KAPA'!$O:$O,$A256))</f>
        <v/>
      </c>
      <c r="J256" s="202">
        <f>IF($A256="","",IFERROR(DATE(LEFT(TEXT(INDEX('05_KAPA'!$T:$T,$A256),"0"),4),MID(TEXT(INDEX('05_KAPA'!$T:$T,$A256),"0"),5,2),RIGHT(TEXT(INDEX('05_KAPA'!$T:$T,$A256),"0"),2)),""))</f>
        <v/>
      </c>
      <c r="K256">
        <f>IF(C256="","",IF('02_대상물건입력'!$B$5="",1,IF(ISNUMBER(SEARCH('02_대상물건입력'!$B$5,C256)),1,0)))</f>
        <v/>
      </c>
      <c r="L256">
        <f>IF(C256="","",IF('02_대상물건입력'!$B$6="",1,IF(ISNUMBER(SEARCH('02_대상물건입력'!$B$6,C256)),1,0)))</f>
        <v/>
      </c>
      <c r="M256">
        <f>IF(E256="","",IF('02_대상물건입력'!$B$8="",0,IF(ISNUMBER(SEARCH('02_대상물건입력'!$B$8,E256)),1,0)))</f>
        <v/>
      </c>
      <c r="N256">
        <f>IF(B256="","",IF(B256="담보",1,0))</f>
        <v/>
      </c>
      <c r="O256">
        <f>IFERROR(ABS(G256-'02_대상물건입력'!$B$11)/'02_대상물건입력'!$B$11,"")</f>
        <v/>
      </c>
      <c r="P256">
        <f>IFERROR(ABS('01_설정'!$B$4-H256),"")</f>
        <v/>
      </c>
      <c r="Q256">
        <f>IFERROR(ABS(YEAR(J256)-YEAR('02_대상물건입력'!$B$14)),"")</f>
        <v/>
      </c>
      <c r="R256">
        <f>IF(AND(G256&gt;0,H256&gt;0,I256&gt;0,N256=1,IF('01_설정'!$B$10=1,K256=1,TRUE()),O256&lt;='01_설정'!$B$5,P256&lt;='01_설정'!$B$7,Q256&lt;='01_설정'!$B$8),"Y","")</f>
        <v/>
      </c>
      <c r="S256">
        <f>IF(R256&lt;&gt;"Y","",MAX(0,(1-O256/'01_설정'!$B$5))*'01_설정'!$B$14+MAX(0,(1-P256/'01_설정'!$B$7))*'01_설정'!$B$16+MAX(0,(1-Q256/'01_설정'!$B$8))*'01_설정'!$B$17+L256*'01_설정'!$B$11+M256*'01_설정'!$B$12+N256*50)</f>
        <v/>
      </c>
      <c r="T256">
        <f>IF(S256="","",1+COUNTIFS($S$31:$S$1030,"&gt;"&amp;S256)+COUNTIFS($S$31:S256,S256)-1)</f>
        <v/>
      </c>
    </row>
    <row r="257" hidden="1" ht="16.5" customHeight="1">
      <c r="A257">
        <f>IF(COUNTA('05_KAPA'!$A228:$AO228)=0,"",230)</f>
        <v/>
      </c>
      <c r="B257">
        <f>IF($A257="","",INDEX('05_KAPA'!$B:$B,$A257))</f>
        <v/>
      </c>
      <c r="C257">
        <f>IF($A257="","",INDEX('05_KAPA'!$F:$F,$A257))</f>
        <v/>
      </c>
      <c r="D257">
        <f>IF($A257="","",INDEX('05_KAPA'!$H:$H,$A257))</f>
        <v/>
      </c>
      <c r="E257">
        <f>IF($A257="","",INDEX('05_KAPA'!$K:$K,$A257))</f>
        <v/>
      </c>
      <c r="F257">
        <f>IF($A257="","",INDEX('05_KAPA'!$L:$L,$A257))</f>
        <v/>
      </c>
      <c r="G257">
        <f>IF($A257="","",INDEX('05_KAPA'!$I:$I,$A257))</f>
        <v/>
      </c>
      <c r="H257" s="202">
        <f>IF($A257="","",INDEX('05_KAPA'!$P:$P,$A257))</f>
        <v/>
      </c>
      <c r="I257" s="118">
        <f>IF($A257="","",INDEX('05_KAPA'!$O:$O,$A257))</f>
        <v/>
      </c>
      <c r="J257" s="202">
        <f>IF($A257="","",IFERROR(DATE(LEFT(TEXT(INDEX('05_KAPA'!$T:$T,$A257),"0"),4),MID(TEXT(INDEX('05_KAPA'!$T:$T,$A257),"0"),5,2),RIGHT(TEXT(INDEX('05_KAPA'!$T:$T,$A257),"0"),2)),""))</f>
        <v/>
      </c>
      <c r="K257">
        <f>IF(C257="","",IF('02_대상물건입력'!$B$5="",1,IF(ISNUMBER(SEARCH('02_대상물건입력'!$B$5,C257)),1,0)))</f>
        <v/>
      </c>
      <c r="L257">
        <f>IF(C257="","",IF('02_대상물건입력'!$B$6="",1,IF(ISNUMBER(SEARCH('02_대상물건입력'!$B$6,C257)),1,0)))</f>
        <v/>
      </c>
      <c r="M257">
        <f>IF(E257="","",IF('02_대상물건입력'!$B$8="",0,IF(ISNUMBER(SEARCH('02_대상물건입력'!$B$8,E257)),1,0)))</f>
        <v/>
      </c>
      <c r="N257">
        <f>IF(B257="","",IF(B257="담보",1,0))</f>
        <v/>
      </c>
      <c r="O257">
        <f>IFERROR(ABS(G257-'02_대상물건입력'!$B$11)/'02_대상물건입력'!$B$11,"")</f>
        <v/>
      </c>
      <c r="P257">
        <f>IFERROR(ABS('01_설정'!$B$4-H257),"")</f>
        <v/>
      </c>
      <c r="Q257">
        <f>IFERROR(ABS(YEAR(J257)-YEAR('02_대상물건입력'!$B$14)),"")</f>
        <v/>
      </c>
      <c r="R257">
        <f>IF(AND(G257&gt;0,H257&gt;0,I257&gt;0,N257=1,IF('01_설정'!$B$10=1,K257=1,TRUE()),O257&lt;='01_설정'!$B$5,P257&lt;='01_설정'!$B$7,Q257&lt;='01_설정'!$B$8),"Y","")</f>
        <v/>
      </c>
      <c r="S257">
        <f>IF(R257&lt;&gt;"Y","",MAX(0,(1-O257/'01_설정'!$B$5))*'01_설정'!$B$14+MAX(0,(1-P257/'01_설정'!$B$7))*'01_설정'!$B$16+MAX(0,(1-Q257/'01_설정'!$B$8))*'01_설정'!$B$17+L257*'01_설정'!$B$11+M257*'01_설정'!$B$12+N257*50)</f>
        <v/>
      </c>
      <c r="T257">
        <f>IF(S257="","",1+COUNTIFS($S$31:$S$1030,"&gt;"&amp;S257)+COUNTIFS($S$31:S257,S257)-1)</f>
        <v/>
      </c>
    </row>
    <row r="258" hidden="1" ht="16.5" customHeight="1">
      <c r="A258">
        <f>IF(COUNTA('05_KAPA'!$A229:$AO229)=0,"",231)</f>
        <v/>
      </c>
      <c r="B258">
        <f>IF($A258="","",INDEX('05_KAPA'!$B:$B,$A258))</f>
        <v/>
      </c>
      <c r="C258">
        <f>IF($A258="","",INDEX('05_KAPA'!$F:$F,$A258))</f>
        <v/>
      </c>
      <c r="D258">
        <f>IF($A258="","",INDEX('05_KAPA'!$H:$H,$A258))</f>
        <v/>
      </c>
      <c r="E258">
        <f>IF($A258="","",INDEX('05_KAPA'!$K:$K,$A258))</f>
        <v/>
      </c>
      <c r="F258">
        <f>IF($A258="","",INDEX('05_KAPA'!$L:$L,$A258))</f>
        <v/>
      </c>
      <c r="G258">
        <f>IF($A258="","",INDEX('05_KAPA'!$I:$I,$A258))</f>
        <v/>
      </c>
      <c r="H258" s="202">
        <f>IF($A258="","",INDEX('05_KAPA'!$P:$P,$A258))</f>
        <v/>
      </c>
      <c r="I258" s="118">
        <f>IF($A258="","",INDEX('05_KAPA'!$O:$O,$A258))</f>
        <v/>
      </c>
      <c r="J258" s="202">
        <f>IF($A258="","",IFERROR(DATE(LEFT(TEXT(INDEX('05_KAPA'!$T:$T,$A258),"0"),4),MID(TEXT(INDEX('05_KAPA'!$T:$T,$A258),"0"),5,2),RIGHT(TEXT(INDEX('05_KAPA'!$T:$T,$A258),"0"),2)),""))</f>
        <v/>
      </c>
      <c r="K258">
        <f>IF(C258="","",IF('02_대상물건입력'!$B$5="",1,IF(ISNUMBER(SEARCH('02_대상물건입력'!$B$5,C258)),1,0)))</f>
        <v/>
      </c>
      <c r="L258">
        <f>IF(C258="","",IF('02_대상물건입력'!$B$6="",1,IF(ISNUMBER(SEARCH('02_대상물건입력'!$B$6,C258)),1,0)))</f>
        <v/>
      </c>
      <c r="M258">
        <f>IF(E258="","",IF('02_대상물건입력'!$B$8="",0,IF(ISNUMBER(SEARCH('02_대상물건입력'!$B$8,E258)),1,0)))</f>
        <v/>
      </c>
      <c r="N258">
        <f>IF(B258="","",IF(B258="담보",1,0))</f>
        <v/>
      </c>
      <c r="O258">
        <f>IFERROR(ABS(G258-'02_대상물건입력'!$B$11)/'02_대상물건입력'!$B$11,"")</f>
        <v/>
      </c>
      <c r="P258">
        <f>IFERROR(ABS('01_설정'!$B$4-H258),"")</f>
        <v/>
      </c>
      <c r="Q258">
        <f>IFERROR(ABS(YEAR(J258)-YEAR('02_대상물건입력'!$B$14)),"")</f>
        <v/>
      </c>
      <c r="R258">
        <f>IF(AND(G258&gt;0,H258&gt;0,I258&gt;0,N258=1,IF('01_설정'!$B$10=1,K258=1,TRUE()),O258&lt;='01_설정'!$B$5,P258&lt;='01_설정'!$B$7,Q258&lt;='01_설정'!$B$8),"Y","")</f>
        <v/>
      </c>
      <c r="S258">
        <f>IF(R258&lt;&gt;"Y","",MAX(0,(1-O258/'01_설정'!$B$5))*'01_설정'!$B$14+MAX(0,(1-P258/'01_설정'!$B$7))*'01_설정'!$B$16+MAX(0,(1-Q258/'01_설정'!$B$8))*'01_설정'!$B$17+L258*'01_설정'!$B$11+M258*'01_설정'!$B$12+N258*50)</f>
        <v/>
      </c>
      <c r="T258">
        <f>IF(S258="","",1+COUNTIFS($S$31:$S$1030,"&gt;"&amp;S258)+COUNTIFS($S$31:S258,S258)-1)</f>
        <v/>
      </c>
    </row>
    <row r="259" hidden="1" ht="16.5" customHeight="1">
      <c r="A259">
        <f>IF(COUNTA('05_KAPA'!$A230:$AO230)=0,"",232)</f>
        <v/>
      </c>
      <c r="B259">
        <f>IF($A259="","",INDEX('05_KAPA'!$B:$B,$A259))</f>
        <v/>
      </c>
      <c r="C259">
        <f>IF($A259="","",INDEX('05_KAPA'!$F:$F,$A259))</f>
        <v/>
      </c>
      <c r="D259">
        <f>IF($A259="","",INDEX('05_KAPA'!$H:$H,$A259))</f>
        <v/>
      </c>
      <c r="E259">
        <f>IF($A259="","",INDEX('05_KAPA'!$K:$K,$A259))</f>
        <v/>
      </c>
      <c r="F259">
        <f>IF($A259="","",INDEX('05_KAPA'!$L:$L,$A259))</f>
        <v/>
      </c>
      <c r="G259">
        <f>IF($A259="","",INDEX('05_KAPA'!$I:$I,$A259))</f>
        <v/>
      </c>
      <c r="H259" s="202">
        <f>IF($A259="","",INDEX('05_KAPA'!$P:$P,$A259))</f>
        <v/>
      </c>
      <c r="I259" s="118">
        <f>IF($A259="","",INDEX('05_KAPA'!$O:$O,$A259))</f>
        <v/>
      </c>
      <c r="J259" s="202">
        <f>IF($A259="","",IFERROR(DATE(LEFT(TEXT(INDEX('05_KAPA'!$T:$T,$A259),"0"),4),MID(TEXT(INDEX('05_KAPA'!$T:$T,$A259),"0"),5,2),RIGHT(TEXT(INDEX('05_KAPA'!$T:$T,$A259),"0"),2)),""))</f>
        <v/>
      </c>
      <c r="K259">
        <f>IF(C259="","",IF('02_대상물건입력'!$B$5="",1,IF(ISNUMBER(SEARCH('02_대상물건입력'!$B$5,C259)),1,0)))</f>
        <v/>
      </c>
      <c r="L259">
        <f>IF(C259="","",IF('02_대상물건입력'!$B$6="",1,IF(ISNUMBER(SEARCH('02_대상물건입력'!$B$6,C259)),1,0)))</f>
        <v/>
      </c>
      <c r="M259">
        <f>IF(E259="","",IF('02_대상물건입력'!$B$8="",0,IF(ISNUMBER(SEARCH('02_대상물건입력'!$B$8,E259)),1,0)))</f>
        <v/>
      </c>
      <c r="N259">
        <f>IF(B259="","",IF(B259="담보",1,0))</f>
        <v/>
      </c>
      <c r="O259">
        <f>IFERROR(ABS(G259-'02_대상물건입력'!$B$11)/'02_대상물건입력'!$B$11,"")</f>
        <v/>
      </c>
      <c r="P259">
        <f>IFERROR(ABS('01_설정'!$B$4-H259),"")</f>
        <v/>
      </c>
      <c r="Q259">
        <f>IFERROR(ABS(YEAR(J259)-YEAR('02_대상물건입력'!$B$14)),"")</f>
        <v/>
      </c>
      <c r="R259">
        <f>IF(AND(G259&gt;0,H259&gt;0,I259&gt;0,N259=1,IF('01_설정'!$B$10=1,K259=1,TRUE()),O259&lt;='01_설정'!$B$5,P259&lt;='01_설정'!$B$7,Q259&lt;='01_설정'!$B$8),"Y","")</f>
        <v/>
      </c>
      <c r="S259">
        <f>IF(R259&lt;&gt;"Y","",MAX(0,(1-O259/'01_설정'!$B$5))*'01_설정'!$B$14+MAX(0,(1-P259/'01_설정'!$B$7))*'01_설정'!$B$16+MAX(0,(1-Q259/'01_설정'!$B$8))*'01_설정'!$B$17+L259*'01_설정'!$B$11+M259*'01_설정'!$B$12+N259*50)</f>
        <v/>
      </c>
      <c r="T259">
        <f>IF(S259="","",1+COUNTIFS($S$31:$S$1030,"&gt;"&amp;S259)+COUNTIFS($S$31:S259,S259)-1)</f>
        <v/>
      </c>
    </row>
    <row r="260" hidden="1" ht="16.5" customHeight="1">
      <c r="A260">
        <f>IF(COUNTA('05_KAPA'!$A231:$AO231)=0,"",233)</f>
        <v/>
      </c>
      <c r="B260">
        <f>IF($A260="","",INDEX('05_KAPA'!$B:$B,$A260))</f>
        <v/>
      </c>
      <c r="C260">
        <f>IF($A260="","",INDEX('05_KAPA'!$F:$F,$A260))</f>
        <v/>
      </c>
      <c r="D260">
        <f>IF($A260="","",INDEX('05_KAPA'!$H:$H,$A260))</f>
        <v/>
      </c>
      <c r="E260">
        <f>IF($A260="","",INDEX('05_KAPA'!$K:$K,$A260))</f>
        <v/>
      </c>
      <c r="F260">
        <f>IF($A260="","",INDEX('05_KAPA'!$L:$L,$A260))</f>
        <v/>
      </c>
      <c r="G260">
        <f>IF($A260="","",INDEX('05_KAPA'!$I:$I,$A260))</f>
        <v/>
      </c>
      <c r="H260" s="202">
        <f>IF($A260="","",INDEX('05_KAPA'!$P:$P,$A260))</f>
        <v/>
      </c>
      <c r="I260" s="118">
        <f>IF($A260="","",INDEX('05_KAPA'!$O:$O,$A260))</f>
        <v/>
      </c>
      <c r="J260" s="202">
        <f>IF($A260="","",IFERROR(DATE(LEFT(TEXT(INDEX('05_KAPA'!$T:$T,$A260),"0"),4),MID(TEXT(INDEX('05_KAPA'!$T:$T,$A260),"0"),5,2),RIGHT(TEXT(INDEX('05_KAPA'!$T:$T,$A260),"0"),2)),""))</f>
        <v/>
      </c>
      <c r="K260">
        <f>IF(C260="","",IF('02_대상물건입력'!$B$5="",1,IF(ISNUMBER(SEARCH('02_대상물건입력'!$B$5,C260)),1,0)))</f>
        <v/>
      </c>
      <c r="L260">
        <f>IF(C260="","",IF('02_대상물건입력'!$B$6="",1,IF(ISNUMBER(SEARCH('02_대상물건입력'!$B$6,C260)),1,0)))</f>
        <v/>
      </c>
      <c r="M260">
        <f>IF(E260="","",IF('02_대상물건입력'!$B$8="",0,IF(ISNUMBER(SEARCH('02_대상물건입력'!$B$8,E260)),1,0)))</f>
        <v/>
      </c>
      <c r="N260">
        <f>IF(B260="","",IF(B260="담보",1,0))</f>
        <v/>
      </c>
      <c r="O260">
        <f>IFERROR(ABS(G260-'02_대상물건입력'!$B$11)/'02_대상물건입력'!$B$11,"")</f>
        <v/>
      </c>
      <c r="P260">
        <f>IFERROR(ABS('01_설정'!$B$4-H260),"")</f>
        <v/>
      </c>
      <c r="Q260">
        <f>IFERROR(ABS(YEAR(J260)-YEAR('02_대상물건입력'!$B$14)),"")</f>
        <v/>
      </c>
      <c r="R260">
        <f>IF(AND(G260&gt;0,H260&gt;0,I260&gt;0,N260=1,IF('01_설정'!$B$10=1,K260=1,TRUE()),O260&lt;='01_설정'!$B$5,P260&lt;='01_설정'!$B$7,Q260&lt;='01_설정'!$B$8),"Y","")</f>
        <v/>
      </c>
      <c r="S260">
        <f>IF(R260&lt;&gt;"Y","",MAX(0,(1-O260/'01_설정'!$B$5))*'01_설정'!$B$14+MAX(0,(1-P260/'01_설정'!$B$7))*'01_설정'!$B$16+MAX(0,(1-Q260/'01_설정'!$B$8))*'01_설정'!$B$17+L260*'01_설정'!$B$11+M260*'01_설정'!$B$12+N260*50)</f>
        <v/>
      </c>
      <c r="T260">
        <f>IF(S260="","",1+COUNTIFS($S$31:$S$1030,"&gt;"&amp;S260)+COUNTIFS($S$31:S260,S260)-1)</f>
        <v/>
      </c>
    </row>
    <row r="261" hidden="1" ht="16.5" customHeight="1">
      <c r="A261">
        <f>IF(COUNTA('05_KAPA'!$A232:$AO232)=0,"",234)</f>
        <v/>
      </c>
      <c r="B261">
        <f>IF($A261="","",INDEX('05_KAPA'!$B:$B,$A261))</f>
        <v/>
      </c>
      <c r="C261">
        <f>IF($A261="","",INDEX('05_KAPA'!$F:$F,$A261))</f>
        <v/>
      </c>
      <c r="D261">
        <f>IF($A261="","",INDEX('05_KAPA'!$H:$H,$A261))</f>
        <v/>
      </c>
      <c r="E261">
        <f>IF($A261="","",INDEX('05_KAPA'!$K:$K,$A261))</f>
        <v/>
      </c>
      <c r="F261">
        <f>IF($A261="","",INDEX('05_KAPA'!$L:$L,$A261))</f>
        <v/>
      </c>
      <c r="G261">
        <f>IF($A261="","",INDEX('05_KAPA'!$I:$I,$A261))</f>
        <v/>
      </c>
      <c r="H261" s="202">
        <f>IF($A261="","",INDEX('05_KAPA'!$P:$P,$A261))</f>
        <v/>
      </c>
      <c r="I261" s="118">
        <f>IF($A261="","",INDEX('05_KAPA'!$O:$O,$A261))</f>
        <v/>
      </c>
      <c r="J261" s="202">
        <f>IF($A261="","",IFERROR(DATE(LEFT(TEXT(INDEX('05_KAPA'!$T:$T,$A261),"0"),4),MID(TEXT(INDEX('05_KAPA'!$T:$T,$A261),"0"),5,2),RIGHT(TEXT(INDEX('05_KAPA'!$T:$T,$A261),"0"),2)),""))</f>
        <v/>
      </c>
      <c r="K261">
        <f>IF(C261="","",IF('02_대상물건입력'!$B$5="",1,IF(ISNUMBER(SEARCH('02_대상물건입력'!$B$5,C261)),1,0)))</f>
        <v/>
      </c>
      <c r="L261">
        <f>IF(C261="","",IF('02_대상물건입력'!$B$6="",1,IF(ISNUMBER(SEARCH('02_대상물건입력'!$B$6,C261)),1,0)))</f>
        <v/>
      </c>
      <c r="M261">
        <f>IF(E261="","",IF('02_대상물건입력'!$B$8="",0,IF(ISNUMBER(SEARCH('02_대상물건입력'!$B$8,E261)),1,0)))</f>
        <v/>
      </c>
      <c r="N261">
        <f>IF(B261="","",IF(B261="담보",1,0))</f>
        <v/>
      </c>
      <c r="O261">
        <f>IFERROR(ABS(G261-'02_대상물건입력'!$B$11)/'02_대상물건입력'!$B$11,"")</f>
        <v/>
      </c>
      <c r="P261">
        <f>IFERROR(ABS('01_설정'!$B$4-H261),"")</f>
        <v/>
      </c>
      <c r="Q261">
        <f>IFERROR(ABS(YEAR(J261)-YEAR('02_대상물건입력'!$B$14)),"")</f>
        <v/>
      </c>
      <c r="R261">
        <f>IF(AND(G261&gt;0,H261&gt;0,I261&gt;0,N261=1,IF('01_설정'!$B$10=1,K261=1,TRUE()),O261&lt;='01_설정'!$B$5,P261&lt;='01_설정'!$B$7,Q261&lt;='01_설정'!$B$8),"Y","")</f>
        <v/>
      </c>
      <c r="S261">
        <f>IF(R261&lt;&gt;"Y","",MAX(0,(1-O261/'01_설정'!$B$5))*'01_설정'!$B$14+MAX(0,(1-P261/'01_설정'!$B$7))*'01_설정'!$B$16+MAX(0,(1-Q261/'01_설정'!$B$8))*'01_설정'!$B$17+L261*'01_설정'!$B$11+M261*'01_설정'!$B$12+N261*50)</f>
        <v/>
      </c>
      <c r="T261">
        <f>IF(S261="","",1+COUNTIFS($S$31:$S$1030,"&gt;"&amp;S261)+COUNTIFS($S$31:S261,S261)-1)</f>
        <v/>
      </c>
    </row>
    <row r="262" hidden="1" ht="16.5" customHeight="1">
      <c r="A262">
        <f>IF(COUNTA('05_KAPA'!$A233:$AO233)=0,"",235)</f>
        <v/>
      </c>
      <c r="B262">
        <f>IF($A262="","",INDEX('05_KAPA'!$B:$B,$A262))</f>
        <v/>
      </c>
      <c r="C262">
        <f>IF($A262="","",INDEX('05_KAPA'!$F:$F,$A262))</f>
        <v/>
      </c>
      <c r="D262">
        <f>IF($A262="","",INDEX('05_KAPA'!$H:$H,$A262))</f>
        <v/>
      </c>
      <c r="E262">
        <f>IF($A262="","",INDEX('05_KAPA'!$K:$K,$A262))</f>
        <v/>
      </c>
      <c r="F262">
        <f>IF($A262="","",INDEX('05_KAPA'!$L:$L,$A262))</f>
        <v/>
      </c>
      <c r="G262">
        <f>IF($A262="","",INDEX('05_KAPA'!$I:$I,$A262))</f>
        <v/>
      </c>
      <c r="H262" s="202">
        <f>IF($A262="","",INDEX('05_KAPA'!$P:$P,$A262))</f>
        <v/>
      </c>
      <c r="I262" s="118">
        <f>IF($A262="","",INDEX('05_KAPA'!$O:$O,$A262))</f>
        <v/>
      </c>
      <c r="J262" s="202">
        <f>IF($A262="","",IFERROR(DATE(LEFT(TEXT(INDEX('05_KAPA'!$T:$T,$A262),"0"),4),MID(TEXT(INDEX('05_KAPA'!$T:$T,$A262),"0"),5,2),RIGHT(TEXT(INDEX('05_KAPA'!$T:$T,$A262),"0"),2)),""))</f>
        <v/>
      </c>
      <c r="K262">
        <f>IF(C262="","",IF('02_대상물건입력'!$B$5="",1,IF(ISNUMBER(SEARCH('02_대상물건입력'!$B$5,C262)),1,0)))</f>
        <v/>
      </c>
      <c r="L262">
        <f>IF(C262="","",IF('02_대상물건입력'!$B$6="",1,IF(ISNUMBER(SEARCH('02_대상물건입력'!$B$6,C262)),1,0)))</f>
        <v/>
      </c>
      <c r="M262">
        <f>IF(E262="","",IF('02_대상물건입력'!$B$8="",0,IF(ISNUMBER(SEARCH('02_대상물건입력'!$B$8,E262)),1,0)))</f>
        <v/>
      </c>
      <c r="N262">
        <f>IF(B262="","",IF(B262="담보",1,0))</f>
        <v/>
      </c>
      <c r="O262">
        <f>IFERROR(ABS(G262-'02_대상물건입력'!$B$11)/'02_대상물건입력'!$B$11,"")</f>
        <v/>
      </c>
      <c r="P262">
        <f>IFERROR(ABS('01_설정'!$B$4-H262),"")</f>
        <v/>
      </c>
      <c r="Q262">
        <f>IFERROR(ABS(YEAR(J262)-YEAR('02_대상물건입력'!$B$14)),"")</f>
        <v/>
      </c>
      <c r="R262">
        <f>IF(AND(G262&gt;0,H262&gt;0,I262&gt;0,N262=1,IF('01_설정'!$B$10=1,K262=1,TRUE()),O262&lt;='01_설정'!$B$5,P262&lt;='01_설정'!$B$7,Q262&lt;='01_설정'!$B$8),"Y","")</f>
        <v/>
      </c>
      <c r="S262">
        <f>IF(R262&lt;&gt;"Y","",MAX(0,(1-O262/'01_설정'!$B$5))*'01_설정'!$B$14+MAX(0,(1-P262/'01_설정'!$B$7))*'01_설정'!$B$16+MAX(0,(1-Q262/'01_설정'!$B$8))*'01_설정'!$B$17+L262*'01_설정'!$B$11+M262*'01_설정'!$B$12+N262*50)</f>
        <v/>
      </c>
      <c r="T262">
        <f>IF(S262="","",1+COUNTIFS($S$31:$S$1030,"&gt;"&amp;S262)+COUNTIFS($S$31:S262,S262)-1)</f>
        <v/>
      </c>
    </row>
    <row r="263" hidden="1" ht="16.5" customHeight="1">
      <c r="A263">
        <f>IF(COUNTA('05_KAPA'!$A234:$AO234)=0,"",236)</f>
        <v/>
      </c>
      <c r="B263">
        <f>IF($A263="","",INDEX('05_KAPA'!$B:$B,$A263))</f>
        <v/>
      </c>
      <c r="C263">
        <f>IF($A263="","",INDEX('05_KAPA'!$F:$F,$A263))</f>
        <v/>
      </c>
      <c r="D263">
        <f>IF($A263="","",INDEX('05_KAPA'!$H:$H,$A263))</f>
        <v/>
      </c>
      <c r="E263">
        <f>IF($A263="","",INDEX('05_KAPA'!$K:$K,$A263))</f>
        <v/>
      </c>
      <c r="F263">
        <f>IF($A263="","",INDEX('05_KAPA'!$L:$L,$A263))</f>
        <v/>
      </c>
      <c r="G263">
        <f>IF($A263="","",INDEX('05_KAPA'!$I:$I,$A263))</f>
        <v/>
      </c>
      <c r="H263" s="202">
        <f>IF($A263="","",INDEX('05_KAPA'!$P:$P,$A263))</f>
        <v/>
      </c>
      <c r="I263" s="118">
        <f>IF($A263="","",INDEX('05_KAPA'!$O:$O,$A263))</f>
        <v/>
      </c>
      <c r="J263" s="202">
        <f>IF($A263="","",IFERROR(DATE(LEFT(TEXT(INDEX('05_KAPA'!$T:$T,$A263),"0"),4),MID(TEXT(INDEX('05_KAPA'!$T:$T,$A263),"0"),5,2),RIGHT(TEXT(INDEX('05_KAPA'!$T:$T,$A263),"0"),2)),""))</f>
        <v/>
      </c>
      <c r="K263">
        <f>IF(C263="","",IF('02_대상물건입력'!$B$5="",1,IF(ISNUMBER(SEARCH('02_대상물건입력'!$B$5,C263)),1,0)))</f>
        <v/>
      </c>
      <c r="L263">
        <f>IF(C263="","",IF('02_대상물건입력'!$B$6="",1,IF(ISNUMBER(SEARCH('02_대상물건입력'!$B$6,C263)),1,0)))</f>
        <v/>
      </c>
      <c r="M263">
        <f>IF(E263="","",IF('02_대상물건입력'!$B$8="",0,IF(ISNUMBER(SEARCH('02_대상물건입력'!$B$8,E263)),1,0)))</f>
        <v/>
      </c>
      <c r="N263">
        <f>IF(B263="","",IF(B263="담보",1,0))</f>
        <v/>
      </c>
      <c r="O263">
        <f>IFERROR(ABS(G263-'02_대상물건입력'!$B$11)/'02_대상물건입력'!$B$11,"")</f>
        <v/>
      </c>
      <c r="P263">
        <f>IFERROR(ABS('01_설정'!$B$4-H263),"")</f>
        <v/>
      </c>
      <c r="Q263">
        <f>IFERROR(ABS(YEAR(J263)-YEAR('02_대상물건입력'!$B$14)),"")</f>
        <v/>
      </c>
      <c r="R263">
        <f>IF(AND(G263&gt;0,H263&gt;0,I263&gt;0,N263=1,IF('01_설정'!$B$10=1,K263=1,TRUE()),O263&lt;='01_설정'!$B$5,P263&lt;='01_설정'!$B$7,Q263&lt;='01_설정'!$B$8),"Y","")</f>
        <v/>
      </c>
      <c r="S263">
        <f>IF(R263&lt;&gt;"Y","",MAX(0,(1-O263/'01_설정'!$B$5))*'01_설정'!$B$14+MAX(0,(1-P263/'01_설정'!$B$7))*'01_설정'!$B$16+MAX(0,(1-Q263/'01_설정'!$B$8))*'01_설정'!$B$17+L263*'01_설정'!$B$11+M263*'01_설정'!$B$12+N263*50)</f>
        <v/>
      </c>
      <c r="T263">
        <f>IF(S263="","",1+COUNTIFS($S$31:$S$1030,"&gt;"&amp;S263)+COUNTIFS($S$31:S263,S263)-1)</f>
        <v/>
      </c>
    </row>
    <row r="264" hidden="1" ht="16.5" customHeight="1">
      <c r="A264">
        <f>IF(COUNTA('05_KAPA'!$A235:$AO235)=0,"",237)</f>
        <v/>
      </c>
      <c r="B264">
        <f>IF($A264="","",INDEX('05_KAPA'!$B:$B,$A264))</f>
        <v/>
      </c>
      <c r="C264">
        <f>IF($A264="","",INDEX('05_KAPA'!$F:$F,$A264))</f>
        <v/>
      </c>
      <c r="D264">
        <f>IF($A264="","",INDEX('05_KAPA'!$H:$H,$A264))</f>
        <v/>
      </c>
      <c r="E264">
        <f>IF($A264="","",INDEX('05_KAPA'!$K:$K,$A264))</f>
        <v/>
      </c>
      <c r="F264">
        <f>IF($A264="","",INDEX('05_KAPA'!$L:$L,$A264))</f>
        <v/>
      </c>
      <c r="G264">
        <f>IF($A264="","",INDEX('05_KAPA'!$I:$I,$A264))</f>
        <v/>
      </c>
      <c r="H264" s="202">
        <f>IF($A264="","",INDEX('05_KAPA'!$P:$P,$A264))</f>
        <v/>
      </c>
      <c r="I264" s="118">
        <f>IF($A264="","",INDEX('05_KAPA'!$O:$O,$A264))</f>
        <v/>
      </c>
      <c r="J264" s="202">
        <f>IF($A264="","",IFERROR(DATE(LEFT(TEXT(INDEX('05_KAPA'!$T:$T,$A264),"0"),4),MID(TEXT(INDEX('05_KAPA'!$T:$T,$A264),"0"),5,2),RIGHT(TEXT(INDEX('05_KAPA'!$T:$T,$A264),"0"),2)),""))</f>
        <v/>
      </c>
      <c r="K264">
        <f>IF(C264="","",IF('02_대상물건입력'!$B$5="",1,IF(ISNUMBER(SEARCH('02_대상물건입력'!$B$5,C264)),1,0)))</f>
        <v/>
      </c>
      <c r="L264">
        <f>IF(C264="","",IF('02_대상물건입력'!$B$6="",1,IF(ISNUMBER(SEARCH('02_대상물건입력'!$B$6,C264)),1,0)))</f>
        <v/>
      </c>
      <c r="M264">
        <f>IF(E264="","",IF('02_대상물건입력'!$B$8="",0,IF(ISNUMBER(SEARCH('02_대상물건입력'!$B$8,E264)),1,0)))</f>
        <v/>
      </c>
      <c r="N264">
        <f>IF(B264="","",IF(B264="담보",1,0))</f>
        <v/>
      </c>
      <c r="O264">
        <f>IFERROR(ABS(G264-'02_대상물건입력'!$B$11)/'02_대상물건입력'!$B$11,"")</f>
        <v/>
      </c>
      <c r="P264">
        <f>IFERROR(ABS('01_설정'!$B$4-H264),"")</f>
        <v/>
      </c>
      <c r="Q264">
        <f>IFERROR(ABS(YEAR(J264)-YEAR('02_대상물건입력'!$B$14)),"")</f>
        <v/>
      </c>
      <c r="R264">
        <f>IF(AND(G264&gt;0,H264&gt;0,I264&gt;0,N264=1,IF('01_설정'!$B$10=1,K264=1,TRUE()),O264&lt;='01_설정'!$B$5,P264&lt;='01_설정'!$B$7,Q264&lt;='01_설정'!$B$8),"Y","")</f>
        <v/>
      </c>
      <c r="S264">
        <f>IF(R264&lt;&gt;"Y","",MAX(0,(1-O264/'01_설정'!$B$5))*'01_설정'!$B$14+MAX(0,(1-P264/'01_설정'!$B$7))*'01_설정'!$B$16+MAX(0,(1-Q264/'01_설정'!$B$8))*'01_설정'!$B$17+L264*'01_설정'!$B$11+M264*'01_설정'!$B$12+N264*50)</f>
        <v/>
      </c>
      <c r="T264">
        <f>IF(S264="","",1+COUNTIFS($S$31:$S$1030,"&gt;"&amp;S264)+COUNTIFS($S$31:S264,S264)-1)</f>
        <v/>
      </c>
    </row>
    <row r="265" hidden="1" ht="16.5" customHeight="1">
      <c r="A265">
        <f>IF(COUNTA('05_KAPA'!$A236:$AO236)=0,"",238)</f>
        <v/>
      </c>
      <c r="B265">
        <f>IF($A265="","",INDEX('05_KAPA'!$B:$B,$A265))</f>
        <v/>
      </c>
      <c r="C265">
        <f>IF($A265="","",INDEX('05_KAPA'!$F:$F,$A265))</f>
        <v/>
      </c>
      <c r="D265">
        <f>IF($A265="","",INDEX('05_KAPA'!$H:$H,$A265))</f>
        <v/>
      </c>
      <c r="E265">
        <f>IF($A265="","",INDEX('05_KAPA'!$K:$K,$A265))</f>
        <v/>
      </c>
      <c r="F265">
        <f>IF($A265="","",INDEX('05_KAPA'!$L:$L,$A265))</f>
        <v/>
      </c>
      <c r="G265">
        <f>IF($A265="","",INDEX('05_KAPA'!$I:$I,$A265))</f>
        <v/>
      </c>
      <c r="H265" s="202">
        <f>IF($A265="","",INDEX('05_KAPA'!$P:$P,$A265))</f>
        <v/>
      </c>
      <c r="I265" s="118">
        <f>IF($A265="","",INDEX('05_KAPA'!$O:$O,$A265))</f>
        <v/>
      </c>
      <c r="J265" s="202">
        <f>IF($A265="","",IFERROR(DATE(LEFT(TEXT(INDEX('05_KAPA'!$T:$T,$A265),"0"),4),MID(TEXT(INDEX('05_KAPA'!$T:$T,$A265),"0"),5,2),RIGHT(TEXT(INDEX('05_KAPA'!$T:$T,$A265),"0"),2)),""))</f>
        <v/>
      </c>
      <c r="K265">
        <f>IF(C265="","",IF('02_대상물건입력'!$B$5="",1,IF(ISNUMBER(SEARCH('02_대상물건입력'!$B$5,C265)),1,0)))</f>
        <v/>
      </c>
      <c r="L265">
        <f>IF(C265="","",IF('02_대상물건입력'!$B$6="",1,IF(ISNUMBER(SEARCH('02_대상물건입력'!$B$6,C265)),1,0)))</f>
        <v/>
      </c>
      <c r="M265">
        <f>IF(E265="","",IF('02_대상물건입력'!$B$8="",0,IF(ISNUMBER(SEARCH('02_대상물건입력'!$B$8,E265)),1,0)))</f>
        <v/>
      </c>
      <c r="N265">
        <f>IF(B265="","",IF(B265="담보",1,0))</f>
        <v/>
      </c>
      <c r="O265">
        <f>IFERROR(ABS(G265-'02_대상물건입력'!$B$11)/'02_대상물건입력'!$B$11,"")</f>
        <v/>
      </c>
      <c r="P265">
        <f>IFERROR(ABS('01_설정'!$B$4-H265),"")</f>
        <v/>
      </c>
      <c r="Q265">
        <f>IFERROR(ABS(YEAR(J265)-YEAR('02_대상물건입력'!$B$14)),"")</f>
        <v/>
      </c>
      <c r="R265">
        <f>IF(AND(G265&gt;0,H265&gt;0,I265&gt;0,N265=1,IF('01_설정'!$B$10=1,K265=1,TRUE()),O265&lt;='01_설정'!$B$5,P265&lt;='01_설정'!$B$7,Q265&lt;='01_설정'!$B$8),"Y","")</f>
        <v/>
      </c>
      <c r="S265">
        <f>IF(R265&lt;&gt;"Y","",MAX(0,(1-O265/'01_설정'!$B$5))*'01_설정'!$B$14+MAX(0,(1-P265/'01_설정'!$B$7))*'01_설정'!$B$16+MAX(0,(1-Q265/'01_설정'!$B$8))*'01_설정'!$B$17+L265*'01_설정'!$B$11+M265*'01_설정'!$B$12+N265*50)</f>
        <v/>
      </c>
      <c r="T265">
        <f>IF(S265="","",1+COUNTIFS($S$31:$S$1030,"&gt;"&amp;S265)+COUNTIFS($S$31:S265,S265)-1)</f>
        <v/>
      </c>
    </row>
    <row r="266" hidden="1" ht="16.5" customHeight="1">
      <c r="A266">
        <f>IF(COUNTA('05_KAPA'!$A237:$AO237)=0,"",239)</f>
        <v/>
      </c>
      <c r="B266">
        <f>IF($A266="","",INDEX('05_KAPA'!$B:$B,$A266))</f>
        <v/>
      </c>
      <c r="C266">
        <f>IF($A266="","",INDEX('05_KAPA'!$F:$F,$A266))</f>
        <v/>
      </c>
      <c r="D266">
        <f>IF($A266="","",INDEX('05_KAPA'!$H:$H,$A266))</f>
        <v/>
      </c>
      <c r="E266">
        <f>IF($A266="","",INDEX('05_KAPA'!$K:$K,$A266))</f>
        <v/>
      </c>
      <c r="F266">
        <f>IF($A266="","",INDEX('05_KAPA'!$L:$L,$A266))</f>
        <v/>
      </c>
      <c r="G266">
        <f>IF($A266="","",INDEX('05_KAPA'!$I:$I,$A266))</f>
        <v/>
      </c>
      <c r="H266" s="202">
        <f>IF($A266="","",INDEX('05_KAPA'!$P:$P,$A266))</f>
        <v/>
      </c>
      <c r="I266" s="118">
        <f>IF($A266="","",INDEX('05_KAPA'!$O:$O,$A266))</f>
        <v/>
      </c>
      <c r="J266" s="202">
        <f>IF($A266="","",IFERROR(DATE(LEFT(TEXT(INDEX('05_KAPA'!$T:$T,$A266),"0"),4),MID(TEXT(INDEX('05_KAPA'!$T:$T,$A266),"0"),5,2),RIGHT(TEXT(INDEX('05_KAPA'!$T:$T,$A266),"0"),2)),""))</f>
        <v/>
      </c>
      <c r="K266">
        <f>IF(C266="","",IF('02_대상물건입력'!$B$5="",1,IF(ISNUMBER(SEARCH('02_대상물건입력'!$B$5,C266)),1,0)))</f>
        <v/>
      </c>
      <c r="L266">
        <f>IF(C266="","",IF('02_대상물건입력'!$B$6="",1,IF(ISNUMBER(SEARCH('02_대상물건입력'!$B$6,C266)),1,0)))</f>
        <v/>
      </c>
      <c r="M266">
        <f>IF(E266="","",IF('02_대상물건입력'!$B$8="",0,IF(ISNUMBER(SEARCH('02_대상물건입력'!$B$8,E266)),1,0)))</f>
        <v/>
      </c>
      <c r="N266">
        <f>IF(B266="","",IF(B266="담보",1,0))</f>
        <v/>
      </c>
      <c r="O266">
        <f>IFERROR(ABS(G266-'02_대상물건입력'!$B$11)/'02_대상물건입력'!$B$11,"")</f>
        <v/>
      </c>
      <c r="P266">
        <f>IFERROR(ABS('01_설정'!$B$4-H266),"")</f>
        <v/>
      </c>
      <c r="Q266">
        <f>IFERROR(ABS(YEAR(J266)-YEAR('02_대상물건입력'!$B$14)),"")</f>
        <v/>
      </c>
      <c r="R266">
        <f>IF(AND(G266&gt;0,H266&gt;0,I266&gt;0,N266=1,IF('01_설정'!$B$10=1,K266=1,TRUE()),O266&lt;='01_설정'!$B$5,P266&lt;='01_설정'!$B$7,Q266&lt;='01_설정'!$B$8),"Y","")</f>
        <v/>
      </c>
      <c r="S266">
        <f>IF(R266&lt;&gt;"Y","",MAX(0,(1-O266/'01_설정'!$B$5))*'01_설정'!$B$14+MAX(0,(1-P266/'01_설정'!$B$7))*'01_설정'!$B$16+MAX(0,(1-Q266/'01_설정'!$B$8))*'01_설정'!$B$17+L266*'01_설정'!$B$11+M266*'01_설정'!$B$12+N266*50)</f>
        <v/>
      </c>
      <c r="T266">
        <f>IF(S266="","",1+COUNTIFS($S$31:$S$1030,"&gt;"&amp;S266)+COUNTIFS($S$31:S266,S266)-1)</f>
        <v/>
      </c>
    </row>
    <row r="267" hidden="1" ht="16.5" customHeight="1">
      <c r="A267">
        <f>IF(COUNTA('05_KAPA'!$A238:$AO238)=0,"",240)</f>
        <v/>
      </c>
      <c r="B267">
        <f>IF($A267="","",INDEX('05_KAPA'!$B:$B,$A267))</f>
        <v/>
      </c>
      <c r="C267">
        <f>IF($A267="","",INDEX('05_KAPA'!$F:$F,$A267))</f>
        <v/>
      </c>
      <c r="D267">
        <f>IF($A267="","",INDEX('05_KAPA'!$H:$H,$A267))</f>
        <v/>
      </c>
      <c r="E267">
        <f>IF($A267="","",INDEX('05_KAPA'!$K:$K,$A267))</f>
        <v/>
      </c>
      <c r="F267">
        <f>IF($A267="","",INDEX('05_KAPA'!$L:$L,$A267))</f>
        <v/>
      </c>
      <c r="G267">
        <f>IF($A267="","",INDEX('05_KAPA'!$I:$I,$A267))</f>
        <v/>
      </c>
      <c r="H267" s="202">
        <f>IF($A267="","",INDEX('05_KAPA'!$P:$P,$A267))</f>
        <v/>
      </c>
      <c r="I267" s="118">
        <f>IF($A267="","",INDEX('05_KAPA'!$O:$O,$A267))</f>
        <v/>
      </c>
      <c r="J267" s="202">
        <f>IF($A267="","",IFERROR(DATE(LEFT(TEXT(INDEX('05_KAPA'!$T:$T,$A267),"0"),4),MID(TEXT(INDEX('05_KAPA'!$T:$T,$A267),"0"),5,2),RIGHT(TEXT(INDEX('05_KAPA'!$T:$T,$A267),"0"),2)),""))</f>
        <v/>
      </c>
      <c r="K267">
        <f>IF(C267="","",IF('02_대상물건입력'!$B$5="",1,IF(ISNUMBER(SEARCH('02_대상물건입력'!$B$5,C267)),1,0)))</f>
        <v/>
      </c>
      <c r="L267">
        <f>IF(C267="","",IF('02_대상물건입력'!$B$6="",1,IF(ISNUMBER(SEARCH('02_대상물건입력'!$B$6,C267)),1,0)))</f>
        <v/>
      </c>
      <c r="M267">
        <f>IF(E267="","",IF('02_대상물건입력'!$B$8="",0,IF(ISNUMBER(SEARCH('02_대상물건입력'!$B$8,E267)),1,0)))</f>
        <v/>
      </c>
      <c r="N267">
        <f>IF(B267="","",IF(B267="담보",1,0))</f>
        <v/>
      </c>
      <c r="O267">
        <f>IFERROR(ABS(G267-'02_대상물건입력'!$B$11)/'02_대상물건입력'!$B$11,"")</f>
        <v/>
      </c>
      <c r="P267">
        <f>IFERROR(ABS('01_설정'!$B$4-H267),"")</f>
        <v/>
      </c>
      <c r="Q267">
        <f>IFERROR(ABS(YEAR(J267)-YEAR('02_대상물건입력'!$B$14)),"")</f>
        <v/>
      </c>
      <c r="R267">
        <f>IF(AND(G267&gt;0,H267&gt;0,I267&gt;0,N267=1,IF('01_설정'!$B$10=1,K267=1,TRUE()),O267&lt;='01_설정'!$B$5,P267&lt;='01_설정'!$B$7,Q267&lt;='01_설정'!$B$8),"Y","")</f>
        <v/>
      </c>
      <c r="S267">
        <f>IF(R267&lt;&gt;"Y","",MAX(0,(1-O267/'01_설정'!$B$5))*'01_설정'!$B$14+MAX(0,(1-P267/'01_설정'!$B$7))*'01_설정'!$B$16+MAX(0,(1-Q267/'01_설정'!$B$8))*'01_설정'!$B$17+L267*'01_설정'!$B$11+M267*'01_설정'!$B$12+N267*50)</f>
        <v/>
      </c>
      <c r="T267">
        <f>IF(S267="","",1+COUNTIFS($S$31:$S$1030,"&gt;"&amp;S267)+COUNTIFS($S$31:S267,S267)-1)</f>
        <v/>
      </c>
    </row>
    <row r="268" hidden="1" ht="16.5" customHeight="1">
      <c r="A268">
        <f>IF(COUNTA('05_KAPA'!$A239:$AO239)=0,"",241)</f>
        <v/>
      </c>
      <c r="B268">
        <f>IF($A268="","",INDEX('05_KAPA'!$B:$B,$A268))</f>
        <v/>
      </c>
      <c r="C268">
        <f>IF($A268="","",INDEX('05_KAPA'!$F:$F,$A268))</f>
        <v/>
      </c>
      <c r="D268">
        <f>IF($A268="","",INDEX('05_KAPA'!$H:$H,$A268))</f>
        <v/>
      </c>
      <c r="E268">
        <f>IF($A268="","",INDEX('05_KAPA'!$K:$K,$A268))</f>
        <v/>
      </c>
      <c r="F268">
        <f>IF($A268="","",INDEX('05_KAPA'!$L:$L,$A268))</f>
        <v/>
      </c>
      <c r="G268">
        <f>IF($A268="","",INDEX('05_KAPA'!$I:$I,$A268))</f>
        <v/>
      </c>
      <c r="H268" s="202">
        <f>IF($A268="","",INDEX('05_KAPA'!$P:$P,$A268))</f>
        <v/>
      </c>
      <c r="I268" s="118">
        <f>IF($A268="","",INDEX('05_KAPA'!$O:$O,$A268))</f>
        <v/>
      </c>
      <c r="J268" s="202">
        <f>IF($A268="","",IFERROR(DATE(LEFT(TEXT(INDEX('05_KAPA'!$T:$T,$A268),"0"),4),MID(TEXT(INDEX('05_KAPA'!$T:$T,$A268),"0"),5,2),RIGHT(TEXT(INDEX('05_KAPA'!$T:$T,$A268),"0"),2)),""))</f>
        <v/>
      </c>
      <c r="K268">
        <f>IF(C268="","",IF('02_대상물건입력'!$B$5="",1,IF(ISNUMBER(SEARCH('02_대상물건입력'!$B$5,C268)),1,0)))</f>
        <v/>
      </c>
      <c r="L268">
        <f>IF(C268="","",IF('02_대상물건입력'!$B$6="",1,IF(ISNUMBER(SEARCH('02_대상물건입력'!$B$6,C268)),1,0)))</f>
        <v/>
      </c>
      <c r="M268">
        <f>IF(E268="","",IF('02_대상물건입력'!$B$8="",0,IF(ISNUMBER(SEARCH('02_대상물건입력'!$B$8,E268)),1,0)))</f>
        <v/>
      </c>
      <c r="N268">
        <f>IF(B268="","",IF(B268="담보",1,0))</f>
        <v/>
      </c>
      <c r="O268">
        <f>IFERROR(ABS(G268-'02_대상물건입력'!$B$11)/'02_대상물건입력'!$B$11,"")</f>
        <v/>
      </c>
      <c r="P268">
        <f>IFERROR(ABS('01_설정'!$B$4-H268),"")</f>
        <v/>
      </c>
      <c r="Q268">
        <f>IFERROR(ABS(YEAR(J268)-YEAR('02_대상물건입력'!$B$14)),"")</f>
        <v/>
      </c>
      <c r="R268">
        <f>IF(AND(G268&gt;0,H268&gt;0,I268&gt;0,N268=1,IF('01_설정'!$B$10=1,K268=1,TRUE()),O268&lt;='01_설정'!$B$5,P268&lt;='01_설정'!$B$7,Q268&lt;='01_설정'!$B$8),"Y","")</f>
        <v/>
      </c>
      <c r="S268">
        <f>IF(R268&lt;&gt;"Y","",MAX(0,(1-O268/'01_설정'!$B$5))*'01_설정'!$B$14+MAX(0,(1-P268/'01_설정'!$B$7))*'01_설정'!$B$16+MAX(0,(1-Q268/'01_설정'!$B$8))*'01_설정'!$B$17+L268*'01_설정'!$B$11+M268*'01_설정'!$B$12+N268*50)</f>
        <v/>
      </c>
      <c r="T268">
        <f>IF(S268="","",1+COUNTIFS($S$31:$S$1030,"&gt;"&amp;S268)+COUNTIFS($S$31:S268,S268)-1)</f>
        <v/>
      </c>
    </row>
    <row r="269" hidden="1" ht="16.5" customHeight="1">
      <c r="A269">
        <f>IF(COUNTA('05_KAPA'!$A240:$AO240)=0,"",242)</f>
        <v/>
      </c>
      <c r="B269">
        <f>IF($A269="","",INDEX('05_KAPA'!$B:$B,$A269))</f>
        <v/>
      </c>
      <c r="C269">
        <f>IF($A269="","",INDEX('05_KAPA'!$F:$F,$A269))</f>
        <v/>
      </c>
      <c r="D269">
        <f>IF($A269="","",INDEX('05_KAPA'!$H:$H,$A269))</f>
        <v/>
      </c>
      <c r="E269">
        <f>IF($A269="","",INDEX('05_KAPA'!$K:$K,$A269))</f>
        <v/>
      </c>
      <c r="F269">
        <f>IF($A269="","",INDEX('05_KAPA'!$L:$L,$A269))</f>
        <v/>
      </c>
      <c r="G269">
        <f>IF($A269="","",INDEX('05_KAPA'!$I:$I,$A269))</f>
        <v/>
      </c>
      <c r="H269" s="202">
        <f>IF($A269="","",INDEX('05_KAPA'!$P:$P,$A269))</f>
        <v/>
      </c>
      <c r="I269" s="118">
        <f>IF($A269="","",INDEX('05_KAPA'!$O:$O,$A269))</f>
        <v/>
      </c>
      <c r="J269" s="202">
        <f>IF($A269="","",IFERROR(DATE(LEFT(TEXT(INDEX('05_KAPA'!$T:$T,$A269),"0"),4),MID(TEXT(INDEX('05_KAPA'!$T:$T,$A269),"0"),5,2),RIGHT(TEXT(INDEX('05_KAPA'!$T:$T,$A269),"0"),2)),""))</f>
        <v/>
      </c>
      <c r="K269">
        <f>IF(C269="","",IF('02_대상물건입력'!$B$5="",1,IF(ISNUMBER(SEARCH('02_대상물건입력'!$B$5,C269)),1,0)))</f>
        <v/>
      </c>
      <c r="L269">
        <f>IF(C269="","",IF('02_대상물건입력'!$B$6="",1,IF(ISNUMBER(SEARCH('02_대상물건입력'!$B$6,C269)),1,0)))</f>
        <v/>
      </c>
      <c r="M269">
        <f>IF(E269="","",IF('02_대상물건입력'!$B$8="",0,IF(ISNUMBER(SEARCH('02_대상물건입력'!$B$8,E269)),1,0)))</f>
        <v/>
      </c>
      <c r="N269">
        <f>IF(B269="","",IF(B269="담보",1,0))</f>
        <v/>
      </c>
      <c r="O269">
        <f>IFERROR(ABS(G269-'02_대상물건입력'!$B$11)/'02_대상물건입력'!$B$11,"")</f>
        <v/>
      </c>
      <c r="P269">
        <f>IFERROR(ABS('01_설정'!$B$4-H269),"")</f>
        <v/>
      </c>
      <c r="Q269">
        <f>IFERROR(ABS(YEAR(J269)-YEAR('02_대상물건입력'!$B$14)),"")</f>
        <v/>
      </c>
      <c r="R269">
        <f>IF(AND(G269&gt;0,H269&gt;0,I269&gt;0,N269=1,IF('01_설정'!$B$10=1,K269=1,TRUE()),O269&lt;='01_설정'!$B$5,P269&lt;='01_설정'!$B$7,Q269&lt;='01_설정'!$B$8),"Y","")</f>
        <v/>
      </c>
      <c r="S269">
        <f>IF(R269&lt;&gt;"Y","",MAX(0,(1-O269/'01_설정'!$B$5))*'01_설정'!$B$14+MAX(0,(1-P269/'01_설정'!$B$7))*'01_설정'!$B$16+MAX(0,(1-Q269/'01_설정'!$B$8))*'01_설정'!$B$17+L269*'01_설정'!$B$11+M269*'01_설정'!$B$12+N269*50)</f>
        <v/>
      </c>
      <c r="T269">
        <f>IF(S269="","",1+COUNTIFS($S$31:$S$1030,"&gt;"&amp;S269)+COUNTIFS($S$31:S269,S269)-1)</f>
        <v/>
      </c>
    </row>
    <row r="270" hidden="1" ht="16.5" customHeight="1">
      <c r="A270">
        <f>IF(COUNTA('05_KAPA'!$A241:$AO241)=0,"",243)</f>
        <v/>
      </c>
      <c r="B270">
        <f>IF($A270="","",INDEX('05_KAPA'!$B:$B,$A270))</f>
        <v/>
      </c>
      <c r="C270">
        <f>IF($A270="","",INDEX('05_KAPA'!$F:$F,$A270))</f>
        <v/>
      </c>
      <c r="D270">
        <f>IF($A270="","",INDEX('05_KAPA'!$H:$H,$A270))</f>
        <v/>
      </c>
      <c r="E270">
        <f>IF($A270="","",INDEX('05_KAPA'!$K:$K,$A270))</f>
        <v/>
      </c>
      <c r="F270">
        <f>IF($A270="","",INDEX('05_KAPA'!$L:$L,$A270))</f>
        <v/>
      </c>
      <c r="G270">
        <f>IF($A270="","",INDEX('05_KAPA'!$I:$I,$A270))</f>
        <v/>
      </c>
      <c r="H270" s="202">
        <f>IF($A270="","",INDEX('05_KAPA'!$P:$P,$A270))</f>
        <v/>
      </c>
      <c r="I270" s="118">
        <f>IF($A270="","",INDEX('05_KAPA'!$O:$O,$A270))</f>
        <v/>
      </c>
      <c r="J270" s="202">
        <f>IF($A270="","",IFERROR(DATE(LEFT(TEXT(INDEX('05_KAPA'!$T:$T,$A270),"0"),4),MID(TEXT(INDEX('05_KAPA'!$T:$T,$A270),"0"),5,2),RIGHT(TEXT(INDEX('05_KAPA'!$T:$T,$A270),"0"),2)),""))</f>
        <v/>
      </c>
      <c r="K270">
        <f>IF(C270="","",IF('02_대상물건입력'!$B$5="",1,IF(ISNUMBER(SEARCH('02_대상물건입력'!$B$5,C270)),1,0)))</f>
        <v/>
      </c>
      <c r="L270">
        <f>IF(C270="","",IF('02_대상물건입력'!$B$6="",1,IF(ISNUMBER(SEARCH('02_대상물건입력'!$B$6,C270)),1,0)))</f>
        <v/>
      </c>
      <c r="M270">
        <f>IF(E270="","",IF('02_대상물건입력'!$B$8="",0,IF(ISNUMBER(SEARCH('02_대상물건입력'!$B$8,E270)),1,0)))</f>
        <v/>
      </c>
      <c r="N270">
        <f>IF(B270="","",IF(B270="담보",1,0))</f>
        <v/>
      </c>
      <c r="O270">
        <f>IFERROR(ABS(G270-'02_대상물건입력'!$B$11)/'02_대상물건입력'!$B$11,"")</f>
        <v/>
      </c>
      <c r="P270">
        <f>IFERROR(ABS('01_설정'!$B$4-H270),"")</f>
        <v/>
      </c>
      <c r="Q270">
        <f>IFERROR(ABS(YEAR(J270)-YEAR('02_대상물건입력'!$B$14)),"")</f>
        <v/>
      </c>
      <c r="R270">
        <f>IF(AND(G270&gt;0,H270&gt;0,I270&gt;0,N270=1,IF('01_설정'!$B$10=1,K270=1,TRUE()),O270&lt;='01_설정'!$B$5,P270&lt;='01_설정'!$B$7,Q270&lt;='01_설정'!$B$8),"Y","")</f>
        <v/>
      </c>
      <c r="S270">
        <f>IF(R270&lt;&gt;"Y","",MAX(0,(1-O270/'01_설정'!$B$5))*'01_설정'!$B$14+MAX(0,(1-P270/'01_설정'!$B$7))*'01_설정'!$B$16+MAX(0,(1-Q270/'01_설정'!$B$8))*'01_설정'!$B$17+L270*'01_설정'!$B$11+M270*'01_설정'!$B$12+N270*50)</f>
        <v/>
      </c>
      <c r="T270">
        <f>IF(S270="","",1+COUNTIFS($S$31:$S$1030,"&gt;"&amp;S270)+COUNTIFS($S$31:S270,S270)-1)</f>
        <v/>
      </c>
    </row>
    <row r="271" hidden="1" ht="16.5" customHeight="1">
      <c r="A271">
        <f>IF(COUNTA('05_KAPA'!$A242:$AO242)=0,"",244)</f>
        <v/>
      </c>
      <c r="B271">
        <f>IF($A271="","",INDEX('05_KAPA'!$B:$B,$A271))</f>
        <v/>
      </c>
      <c r="C271">
        <f>IF($A271="","",INDEX('05_KAPA'!$F:$F,$A271))</f>
        <v/>
      </c>
      <c r="D271">
        <f>IF($A271="","",INDEX('05_KAPA'!$H:$H,$A271))</f>
        <v/>
      </c>
      <c r="E271">
        <f>IF($A271="","",INDEX('05_KAPA'!$K:$K,$A271))</f>
        <v/>
      </c>
      <c r="F271">
        <f>IF($A271="","",INDEX('05_KAPA'!$L:$L,$A271))</f>
        <v/>
      </c>
      <c r="G271">
        <f>IF($A271="","",INDEX('05_KAPA'!$I:$I,$A271))</f>
        <v/>
      </c>
      <c r="H271" s="202">
        <f>IF($A271="","",INDEX('05_KAPA'!$P:$P,$A271))</f>
        <v/>
      </c>
      <c r="I271" s="118">
        <f>IF($A271="","",INDEX('05_KAPA'!$O:$O,$A271))</f>
        <v/>
      </c>
      <c r="J271" s="202">
        <f>IF($A271="","",IFERROR(DATE(LEFT(TEXT(INDEX('05_KAPA'!$T:$T,$A271),"0"),4),MID(TEXT(INDEX('05_KAPA'!$T:$T,$A271),"0"),5,2),RIGHT(TEXT(INDEX('05_KAPA'!$T:$T,$A271),"0"),2)),""))</f>
        <v/>
      </c>
      <c r="K271">
        <f>IF(C271="","",IF('02_대상물건입력'!$B$5="",1,IF(ISNUMBER(SEARCH('02_대상물건입력'!$B$5,C271)),1,0)))</f>
        <v/>
      </c>
      <c r="L271">
        <f>IF(C271="","",IF('02_대상물건입력'!$B$6="",1,IF(ISNUMBER(SEARCH('02_대상물건입력'!$B$6,C271)),1,0)))</f>
        <v/>
      </c>
      <c r="M271">
        <f>IF(E271="","",IF('02_대상물건입력'!$B$8="",0,IF(ISNUMBER(SEARCH('02_대상물건입력'!$B$8,E271)),1,0)))</f>
        <v/>
      </c>
      <c r="N271">
        <f>IF(B271="","",IF(B271="담보",1,0))</f>
        <v/>
      </c>
      <c r="O271">
        <f>IFERROR(ABS(G271-'02_대상물건입력'!$B$11)/'02_대상물건입력'!$B$11,"")</f>
        <v/>
      </c>
      <c r="P271">
        <f>IFERROR(ABS('01_설정'!$B$4-H271),"")</f>
        <v/>
      </c>
      <c r="Q271">
        <f>IFERROR(ABS(YEAR(J271)-YEAR('02_대상물건입력'!$B$14)),"")</f>
        <v/>
      </c>
      <c r="R271">
        <f>IF(AND(G271&gt;0,H271&gt;0,I271&gt;0,N271=1,IF('01_설정'!$B$10=1,K271=1,TRUE()),O271&lt;='01_설정'!$B$5,P271&lt;='01_설정'!$B$7,Q271&lt;='01_설정'!$B$8),"Y","")</f>
        <v/>
      </c>
      <c r="S271">
        <f>IF(R271&lt;&gt;"Y","",MAX(0,(1-O271/'01_설정'!$B$5))*'01_설정'!$B$14+MAX(0,(1-P271/'01_설정'!$B$7))*'01_설정'!$B$16+MAX(0,(1-Q271/'01_설정'!$B$8))*'01_설정'!$B$17+L271*'01_설정'!$B$11+M271*'01_설정'!$B$12+N271*50)</f>
        <v/>
      </c>
      <c r="T271">
        <f>IF(S271="","",1+COUNTIFS($S$31:$S$1030,"&gt;"&amp;S271)+COUNTIFS($S$31:S271,S271)-1)</f>
        <v/>
      </c>
    </row>
    <row r="272" hidden="1" ht="16.5" customHeight="1">
      <c r="A272">
        <f>IF(COUNTA('05_KAPA'!$A243:$AO243)=0,"",245)</f>
        <v/>
      </c>
      <c r="B272">
        <f>IF($A272="","",INDEX('05_KAPA'!$B:$B,$A272))</f>
        <v/>
      </c>
      <c r="C272">
        <f>IF($A272="","",INDEX('05_KAPA'!$F:$F,$A272))</f>
        <v/>
      </c>
      <c r="D272">
        <f>IF($A272="","",INDEX('05_KAPA'!$H:$H,$A272))</f>
        <v/>
      </c>
      <c r="E272">
        <f>IF($A272="","",INDEX('05_KAPA'!$K:$K,$A272))</f>
        <v/>
      </c>
      <c r="F272">
        <f>IF($A272="","",INDEX('05_KAPA'!$L:$L,$A272))</f>
        <v/>
      </c>
      <c r="G272">
        <f>IF($A272="","",INDEX('05_KAPA'!$I:$I,$A272))</f>
        <v/>
      </c>
      <c r="H272" s="202">
        <f>IF($A272="","",INDEX('05_KAPA'!$P:$P,$A272))</f>
        <v/>
      </c>
      <c r="I272" s="118">
        <f>IF($A272="","",INDEX('05_KAPA'!$O:$O,$A272))</f>
        <v/>
      </c>
      <c r="J272" s="202">
        <f>IF($A272="","",IFERROR(DATE(LEFT(TEXT(INDEX('05_KAPA'!$T:$T,$A272),"0"),4),MID(TEXT(INDEX('05_KAPA'!$T:$T,$A272),"0"),5,2),RIGHT(TEXT(INDEX('05_KAPA'!$T:$T,$A272),"0"),2)),""))</f>
        <v/>
      </c>
      <c r="K272">
        <f>IF(C272="","",IF('02_대상물건입력'!$B$5="",1,IF(ISNUMBER(SEARCH('02_대상물건입력'!$B$5,C272)),1,0)))</f>
        <v/>
      </c>
      <c r="L272">
        <f>IF(C272="","",IF('02_대상물건입력'!$B$6="",1,IF(ISNUMBER(SEARCH('02_대상물건입력'!$B$6,C272)),1,0)))</f>
        <v/>
      </c>
      <c r="M272">
        <f>IF(E272="","",IF('02_대상물건입력'!$B$8="",0,IF(ISNUMBER(SEARCH('02_대상물건입력'!$B$8,E272)),1,0)))</f>
        <v/>
      </c>
      <c r="N272">
        <f>IF(B272="","",IF(B272="담보",1,0))</f>
        <v/>
      </c>
      <c r="O272">
        <f>IFERROR(ABS(G272-'02_대상물건입력'!$B$11)/'02_대상물건입력'!$B$11,"")</f>
        <v/>
      </c>
      <c r="P272">
        <f>IFERROR(ABS('01_설정'!$B$4-H272),"")</f>
        <v/>
      </c>
      <c r="Q272">
        <f>IFERROR(ABS(YEAR(J272)-YEAR('02_대상물건입력'!$B$14)),"")</f>
        <v/>
      </c>
      <c r="R272">
        <f>IF(AND(G272&gt;0,H272&gt;0,I272&gt;0,N272=1,IF('01_설정'!$B$10=1,K272=1,TRUE()),O272&lt;='01_설정'!$B$5,P272&lt;='01_설정'!$B$7,Q272&lt;='01_설정'!$B$8),"Y","")</f>
        <v/>
      </c>
      <c r="S272">
        <f>IF(R272&lt;&gt;"Y","",MAX(0,(1-O272/'01_설정'!$B$5))*'01_설정'!$B$14+MAX(0,(1-P272/'01_설정'!$B$7))*'01_설정'!$B$16+MAX(0,(1-Q272/'01_설정'!$B$8))*'01_설정'!$B$17+L272*'01_설정'!$B$11+M272*'01_설정'!$B$12+N272*50)</f>
        <v/>
      </c>
      <c r="T272">
        <f>IF(S272="","",1+COUNTIFS($S$31:$S$1030,"&gt;"&amp;S272)+COUNTIFS($S$31:S272,S272)-1)</f>
        <v/>
      </c>
    </row>
    <row r="273" hidden="1" ht="16.5" customHeight="1">
      <c r="A273">
        <f>IF(COUNTA('05_KAPA'!$A244:$AO244)=0,"",246)</f>
        <v/>
      </c>
      <c r="B273">
        <f>IF($A273="","",INDEX('05_KAPA'!$B:$B,$A273))</f>
        <v/>
      </c>
      <c r="C273">
        <f>IF($A273="","",INDEX('05_KAPA'!$F:$F,$A273))</f>
        <v/>
      </c>
      <c r="D273">
        <f>IF($A273="","",INDEX('05_KAPA'!$H:$H,$A273))</f>
        <v/>
      </c>
      <c r="E273">
        <f>IF($A273="","",INDEX('05_KAPA'!$K:$K,$A273))</f>
        <v/>
      </c>
      <c r="F273">
        <f>IF($A273="","",INDEX('05_KAPA'!$L:$L,$A273))</f>
        <v/>
      </c>
      <c r="G273">
        <f>IF($A273="","",INDEX('05_KAPA'!$I:$I,$A273))</f>
        <v/>
      </c>
      <c r="H273" s="202">
        <f>IF($A273="","",INDEX('05_KAPA'!$P:$P,$A273))</f>
        <v/>
      </c>
      <c r="I273" s="118">
        <f>IF($A273="","",INDEX('05_KAPA'!$O:$O,$A273))</f>
        <v/>
      </c>
      <c r="J273" s="202">
        <f>IF($A273="","",IFERROR(DATE(LEFT(TEXT(INDEX('05_KAPA'!$T:$T,$A273),"0"),4),MID(TEXT(INDEX('05_KAPA'!$T:$T,$A273),"0"),5,2),RIGHT(TEXT(INDEX('05_KAPA'!$T:$T,$A273),"0"),2)),""))</f>
        <v/>
      </c>
      <c r="K273">
        <f>IF(C273="","",IF('02_대상물건입력'!$B$5="",1,IF(ISNUMBER(SEARCH('02_대상물건입력'!$B$5,C273)),1,0)))</f>
        <v/>
      </c>
      <c r="L273">
        <f>IF(C273="","",IF('02_대상물건입력'!$B$6="",1,IF(ISNUMBER(SEARCH('02_대상물건입력'!$B$6,C273)),1,0)))</f>
        <v/>
      </c>
      <c r="M273">
        <f>IF(E273="","",IF('02_대상물건입력'!$B$8="",0,IF(ISNUMBER(SEARCH('02_대상물건입력'!$B$8,E273)),1,0)))</f>
        <v/>
      </c>
      <c r="N273">
        <f>IF(B273="","",IF(B273="담보",1,0))</f>
        <v/>
      </c>
      <c r="O273">
        <f>IFERROR(ABS(G273-'02_대상물건입력'!$B$11)/'02_대상물건입력'!$B$11,"")</f>
        <v/>
      </c>
      <c r="P273">
        <f>IFERROR(ABS('01_설정'!$B$4-H273),"")</f>
        <v/>
      </c>
      <c r="Q273">
        <f>IFERROR(ABS(YEAR(J273)-YEAR('02_대상물건입력'!$B$14)),"")</f>
        <v/>
      </c>
      <c r="R273">
        <f>IF(AND(G273&gt;0,H273&gt;0,I273&gt;0,N273=1,IF('01_설정'!$B$10=1,K273=1,TRUE()),O273&lt;='01_설정'!$B$5,P273&lt;='01_설정'!$B$7,Q273&lt;='01_설정'!$B$8),"Y","")</f>
        <v/>
      </c>
      <c r="S273">
        <f>IF(R273&lt;&gt;"Y","",MAX(0,(1-O273/'01_설정'!$B$5))*'01_설정'!$B$14+MAX(0,(1-P273/'01_설정'!$B$7))*'01_설정'!$B$16+MAX(0,(1-Q273/'01_설정'!$B$8))*'01_설정'!$B$17+L273*'01_설정'!$B$11+M273*'01_설정'!$B$12+N273*50)</f>
        <v/>
      </c>
      <c r="T273">
        <f>IF(S273="","",1+COUNTIFS($S$31:$S$1030,"&gt;"&amp;S273)+COUNTIFS($S$31:S273,S273)-1)</f>
        <v/>
      </c>
    </row>
    <row r="274" hidden="1" ht="16.5" customHeight="1">
      <c r="A274">
        <f>IF(COUNTA('05_KAPA'!$A245:$AO245)=0,"",247)</f>
        <v/>
      </c>
      <c r="B274">
        <f>IF($A274="","",INDEX('05_KAPA'!$B:$B,$A274))</f>
        <v/>
      </c>
      <c r="C274">
        <f>IF($A274="","",INDEX('05_KAPA'!$F:$F,$A274))</f>
        <v/>
      </c>
      <c r="D274">
        <f>IF($A274="","",INDEX('05_KAPA'!$H:$H,$A274))</f>
        <v/>
      </c>
      <c r="E274">
        <f>IF($A274="","",INDEX('05_KAPA'!$K:$K,$A274))</f>
        <v/>
      </c>
      <c r="F274">
        <f>IF($A274="","",INDEX('05_KAPA'!$L:$L,$A274))</f>
        <v/>
      </c>
      <c r="G274">
        <f>IF($A274="","",INDEX('05_KAPA'!$I:$I,$A274))</f>
        <v/>
      </c>
      <c r="H274" s="202">
        <f>IF($A274="","",INDEX('05_KAPA'!$P:$P,$A274))</f>
        <v/>
      </c>
      <c r="I274" s="118">
        <f>IF($A274="","",INDEX('05_KAPA'!$O:$O,$A274))</f>
        <v/>
      </c>
      <c r="J274" s="202">
        <f>IF($A274="","",IFERROR(DATE(LEFT(TEXT(INDEX('05_KAPA'!$T:$T,$A274),"0"),4),MID(TEXT(INDEX('05_KAPA'!$T:$T,$A274),"0"),5,2),RIGHT(TEXT(INDEX('05_KAPA'!$T:$T,$A274),"0"),2)),""))</f>
        <v/>
      </c>
      <c r="K274">
        <f>IF(C274="","",IF('02_대상물건입력'!$B$5="",1,IF(ISNUMBER(SEARCH('02_대상물건입력'!$B$5,C274)),1,0)))</f>
        <v/>
      </c>
      <c r="L274">
        <f>IF(C274="","",IF('02_대상물건입력'!$B$6="",1,IF(ISNUMBER(SEARCH('02_대상물건입력'!$B$6,C274)),1,0)))</f>
        <v/>
      </c>
      <c r="M274">
        <f>IF(E274="","",IF('02_대상물건입력'!$B$8="",0,IF(ISNUMBER(SEARCH('02_대상물건입력'!$B$8,E274)),1,0)))</f>
        <v/>
      </c>
      <c r="N274">
        <f>IF(B274="","",IF(B274="담보",1,0))</f>
        <v/>
      </c>
      <c r="O274">
        <f>IFERROR(ABS(G274-'02_대상물건입력'!$B$11)/'02_대상물건입력'!$B$11,"")</f>
        <v/>
      </c>
      <c r="P274">
        <f>IFERROR(ABS('01_설정'!$B$4-H274),"")</f>
        <v/>
      </c>
      <c r="Q274">
        <f>IFERROR(ABS(YEAR(J274)-YEAR('02_대상물건입력'!$B$14)),"")</f>
        <v/>
      </c>
      <c r="R274">
        <f>IF(AND(G274&gt;0,H274&gt;0,I274&gt;0,N274=1,IF('01_설정'!$B$10=1,K274=1,TRUE()),O274&lt;='01_설정'!$B$5,P274&lt;='01_설정'!$B$7,Q274&lt;='01_설정'!$B$8),"Y","")</f>
        <v/>
      </c>
      <c r="S274">
        <f>IF(R274&lt;&gt;"Y","",MAX(0,(1-O274/'01_설정'!$B$5))*'01_설정'!$B$14+MAX(0,(1-P274/'01_설정'!$B$7))*'01_설정'!$B$16+MAX(0,(1-Q274/'01_설정'!$B$8))*'01_설정'!$B$17+L274*'01_설정'!$B$11+M274*'01_설정'!$B$12+N274*50)</f>
        <v/>
      </c>
      <c r="T274">
        <f>IF(S274="","",1+COUNTIFS($S$31:$S$1030,"&gt;"&amp;S274)+COUNTIFS($S$31:S274,S274)-1)</f>
        <v/>
      </c>
    </row>
    <row r="275" hidden="1" ht="16.5" customHeight="1">
      <c r="A275">
        <f>IF(COUNTA('05_KAPA'!$A246:$AO246)=0,"",248)</f>
        <v/>
      </c>
      <c r="B275">
        <f>IF($A275="","",INDEX('05_KAPA'!$B:$B,$A275))</f>
        <v/>
      </c>
      <c r="C275">
        <f>IF($A275="","",INDEX('05_KAPA'!$F:$F,$A275))</f>
        <v/>
      </c>
      <c r="D275">
        <f>IF($A275="","",INDEX('05_KAPA'!$H:$H,$A275))</f>
        <v/>
      </c>
      <c r="E275">
        <f>IF($A275="","",INDEX('05_KAPA'!$K:$K,$A275))</f>
        <v/>
      </c>
      <c r="F275">
        <f>IF($A275="","",INDEX('05_KAPA'!$L:$L,$A275))</f>
        <v/>
      </c>
      <c r="G275">
        <f>IF($A275="","",INDEX('05_KAPA'!$I:$I,$A275))</f>
        <v/>
      </c>
      <c r="H275" s="202">
        <f>IF($A275="","",INDEX('05_KAPA'!$P:$P,$A275))</f>
        <v/>
      </c>
      <c r="I275" s="118">
        <f>IF($A275="","",INDEX('05_KAPA'!$O:$O,$A275))</f>
        <v/>
      </c>
      <c r="J275" s="202">
        <f>IF($A275="","",IFERROR(DATE(LEFT(TEXT(INDEX('05_KAPA'!$T:$T,$A275),"0"),4),MID(TEXT(INDEX('05_KAPA'!$T:$T,$A275),"0"),5,2),RIGHT(TEXT(INDEX('05_KAPA'!$T:$T,$A275),"0"),2)),""))</f>
        <v/>
      </c>
      <c r="K275">
        <f>IF(C275="","",IF('02_대상물건입력'!$B$5="",1,IF(ISNUMBER(SEARCH('02_대상물건입력'!$B$5,C275)),1,0)))</f>
        <v/>
      </c>
      <c r="L275">
        <f>IF(C275="","",IF('02_대상물건입력'!$B$6="",1,IF(ISNUMBER(SEARCH('02_대상물건입력'!$B$6,C275)),1,0)))</f>
        <v/>
      </c>
      <c r="M275">
        <f>IF(E275="","",IF('02_대상물건입력'!$B$8="",0,IF(ISNUMBER(SEARCH('02_대상물건입력'!$B$8,E275)),1,0)))</f>
        <v/>
      </c>
      <c r="N275">
        <f>IF(B275="","",IF(B275="담보",1,0))</f>
        <v/>
      </c>
      <c r="O275">
        <f>IFERROR(ABS(G275-'02_대상물건입력'!$B$11)/'02_대상물건입력'!$B$11,"")</f>
        <v/>
      </c>
      <c r="P275">
        <f>IFERROR(ABS('01_설정'!$B$4-H275),"")</f>
        <v/>
      </c>
      <c r="Q275">
        <f>IFERROR(ABS(YEAR(J275)-YEAR('02_대상물건입력'!$B$14)),"")</f>
        <v/>
      </c>
      <c r="R275">
        <f>IF(AND(G275&gt;0,H275&gt;0,I275&gt;0,N275=1,IF('01_설정'!$B$10=1,K275=1,TRUE()),O275&lt;='01_설정'!$B$5,P275&lt;='01_설정'!$B$7,Q275&lt;='01_설정'!$B$8),"Y","")</f>
        <v/>
      </c>
      <c r="S275">
        <f>IF(R275&lt;&gt;"Y","",MAX(0,(1-O275/'01_설정'!$B$5))*'01_설정'!$B$14+MAX(0,(1-P275/'01_설정'!$B$7))*'01_설정'!$B$16+MAX(0,(1-Q275/'01_설정'!$B$8))*'01_설정'!$B$17+L275*'01_설정'!$B$11+M275*'01_설정'!$B$12+N275*50)</f>
        <v/>
      </c>
      <c r="T275">
        <f>IF(S275="","",1+COUNTIFS($S$31:$S$1030,"&gt;"&amp;S275)+COUNTIFS($S$31:S275,S275)-1)</f>
        <v/>
      </c>
    </row>
    <row r="276" hidden="1" ht="16.5" customHeight="1">
      <c r="A276">
        <f>IF(COUNTA('05_KAPA'!$A247:$AO247)=0,"",249)</f>
        <v/>
      </c>
      <c r="B276">
        <f>IF($A276="","",INDEX('05_KAPA'!$B:$B,$A276))</f>
        <v/>
      </c>
      <c r="C276">
        <f>IF($A276="","",INDEX('05_KAPA'!$F:$F,$A276))</f>
        <v/>
      </c>
      <c r="D276">
        <f>IF($A276="","",INDEX('05_KAPA'!$H:$H,$A276))</f>
        <v/>
      </c>
      <c r="E276">
        <f>IF($A276="","",INDEX('05_KAPA'!$K:$K,$A276))</f>
        <v/>
      </c>
      <c r="F276">
        <f>IF($A276="","",INDEX('05_KAPA'!$L:$L,$A276))</f>
        <v/>
      </c>
      <c r="G276">
        <f>IF($A276="","",INDEX('05_KAPA'!$I:$I,$A276))</f>
        <v/>
      </c>
      <c r="H276" s="202">
        <f>IF($A276="","",INDEX('05_KAPA'!$P:$P,$A276))</f>
        <v/>
      </c>
      <c r="I276" s="118">
        <f>IF($A276="","",INDEX('05_KAPA'!$O:$O,$A276))</f>
        <v/>
      </c>
      <c r="J276" s="202">
        <f>IF($A276="","",IFERROR(DATE(LEFT(TEXT(INDEX('05_KAPA'!$T:$T,$A276),"0"),4),MID(TEXT(INDEX('05_KAPA'!$T:$T,$A276),"0"),5,2),RIGHT(TEXT(INDEX('05_KAPA'!$T:$T,$A276),"0"),2)),""))</f>
        <v/>
      </c>
      <c r="K276">
        <f>IF(C276="","",IF('02_대상물건입력'!$B$5="",1,IF(ISNUMBER(SEARCH('02_대상물건입력'!$B$5,C276)),1,0)))</f>
        <v/>
      </c>
      <c r="L276">
        <f>IF(C276="","",IF('02_대상물건입력'!$B$6="",1,IF(ISNUMBER(SEARCH('02_대상물건입력'!$B$6,C276)),1,0)))</f>
        <v/>
      </c>
      <c r="M276">
        <f>IF(E276="","",IF('02_대상물건입력'!$B$8="",0,IF(ISNUMBER(SEARCH('02_대상물건입력'!$B$8,E276)),1,0)))</f>
        <v/>
      </c>
      <c r="N276">
        <f>IF(B276="","",IF(B276="담보",1,0))</f>
        <v/>
      </c>
      <c r="O276">
        <f>IFERROR(ABS(G276-'02_대상물건입력'!$B$11)/'02_대상물건입력'!$B$11,"")</f>
        <v/>
      </c>
      <c r="P276">
        <f>IFERROR(ABS('01_설정'!$B$4-H276),"")</f>
        <v/>
      </c>
      <c r="Q276">
        <f>IFERROR(ABS(YEAR(J276)-YEAR('02_대상물건입력'!$B$14)),"")</f>
        <v/>
      </c>
      <c r="R276">
        <f>IF(AND(G276&gt;0,H276&gt;0,I276&gt;0,N276=1,IF('01_설정'!$B$10=1,K276=1,TRUE()),O276&lt;='01_설정'!$B$5,P276&lt;='01_설정'!$B$7,Q276&lt;='01_설정'!$B$8),"Y","")</f>
        <v/>
      </c>
      <c r="S276">
        <f>IF(R276&lt;&gt;"Y","",MAX(0,(1-O276/'01_설정'!$B$5))*'01_설정'!$B$14+MAX(0,(1-P276/'01_설정'!$B$7))*'01_설정'!$B$16+MAX(0,(1-Q276/'01_설정'!$B$8))*'01_설정'!$B$17+L276*'01_설정'!$B$11+M276*'01_설정'!$B$12+N276*50)</f>
        <v/>
      </c>
      <c r="T276">
        <f>IF(S276="","",1+COUNTIFS($S$31:$S$1030,"&gt;"&amp;S276)+COUNTIFS($S$31:S276,S276)-1)</f>
        <v/>
      </c>
    </row>
    <row r="277" hidden="1" ht="16.5" customHeight="1">
      <c r="A277">
        <f>IF(COUNTA('05_KAPA'!$A248:$AO248)=0,"",250)</f>
        <v/>
      </c>
      <c r="B277">
        <f>IF($A277="","",INDEX('05_KAPA'!$B:$B,$A277))</f>
        <v/>
      </c>
      <c r="C277">
        <f>IF($A277="","",INDEX('05_KAPA'!$F:$F,$A277))</f>
        <v/>
      </c>
      <c r="D277">
        <f>IF($A277="","",INDEX('05_KAPA'!$H:$H,$A277))</f>
        <v/>
      </c>
      <c r="E277">
        <f>IF($A277="","",INDEX('05_KAPA'!$K:$K,$A277))</f>
        <v/>
      </c>
      <c r="F277">
        <f>IF($A277="","",INDEX('05_KAPA'!$L:$L,$A277))</f>
        <v/>
      </c>
      <c r="G277">
        <f>IF($A277="","",INDEX('05_KAPA'!$I:$I,$A277))</f>
        <v/>
      </c>
      <c r="H277" s="202">
        <f>IF($A277="","",INDEX('05_KAPA'!$P:$P,$A277))</f>
        <v/>
      </c>
      <c r="I277" s="118">
        <f>IF($A277="","",INDEX('05_KAPA'!$O:$O,$A277))</f>
        <v/>
      </c>
      <c r="J277" s="202">
        <f>IF($A277="","",IFERROR(DATE(LEFT(TEXT(INDEX('05_KAPA'!$T:$T,$A277),"0"),4),MID(TEXT(INDEX('05_KAPA'!$T:$T,$A277),"0"),5,2),RIGHT(TEXT(INDEX('05_KAPA'!$T:$T,$A277),"0"),2)),""))</f>
        <v/>
      </c>
      <c r="K277">
        <f>IF(C277="","",IF('02_대상물건입력'!$B$5="",1,IF(ISNUMBER(SEARCH('02_대상물건입력'!$B$5,C277)),1,0)))</f>
        <v/>
      </c>
      <c r="L277">
        <f>IF(C277="","",IF('02_대상물건입력'!$B$6="",1,IF(ISNUMBER(SEARCH('02_대상물건입력'!$B$6,C277)),1,0)))</f>
        <v/>
      </c>
      <c r="M277">
        <f>IF(E277="","",IF('02_대상물건입력'!$B$8="",0,IF(ISNUMBER(SEARCH('02_대상물건입력'!$B$8,E277)),1,0)))</f>
        <v/>
      </c>
      <c r="N277">
        <f>IF(B277="","",IF(B277="담보",1,0))</f>
        <v/>
      </c>
      <c r="O277">
        <f>IFERROR(ABS(G277-'02_대상물건입력'!$B$11)/'02_대상물건입력'!$B$11,"")</f>
        <v/>
      </c>
      <c r="P277">
        <f>IFERROR(ABS('01_설정'!$B$4-H277),"")</f>
        <v/>
      </c>
      <c r="Q277">
        <f>IFERROR(ABS(YEAR(J277)-YEAR('02_대상물건입력'!$B$14)),"")</f>
        <v/>
      </c>
      <c r="R277">
        <f>IF(AND(G277&gt;0,H277&gt;0,I277&gt;0,N277=1,IF('01_설정'!$B$10=1,K277=1,TRUE()),O277&lt;='01_설정'!$B$5,P277&lt;='01_설정'!$B$7,Q277&lt;='01_설정'!$B$8),"Y","")</f>
        <v/>
      </c>
      <c r="S277">
        <f>IF(R277&lt;&gt;"Y","",MAX(0,(1-O277/'01_설정'!$B$5))*'01_설정'!$B$14+MAX(0,(1-P277/'01_설정'!$B$7))*'01_설정'!$B$16+MAX(0,(1-Q277/'01_설정'!$B$8))*'01_설정'!$B$17+L277*'01_설정'!$B$11+M277*'01_설정'!$B$12+N277*50)</f>
        <v/>
      </c>
      <c r="T277">
        <f>IF(S277="","",1+COUNTIFS($S$31:$S$1030,"&gt;"&amp;S277)+COUNTIFS($S$31:S277,S277)-1)</f>
        <v/>
      </c>
    </row>
    <row r="278" hidden="1" ht="16.5" customHeight="1">
      <c r="A278">
        <f>IF(COUNTA('05_KAPA'!$A249:$AO249)=0,"",251)</f>
        <v/>
      </c>
      <c r="B278">
        <f>IF($A278="","",INDEX('05_KAPA'!$B:$B,$A278))</f>
        <v/>
      </c>
      <c r="C278">
        <f>IF($A278="","",INDEX('05_KAPA'!$F:$F,$A278))</f>
        <v/>
      </c>
      <c r="D278">
        <f>IF($A278="","",INDEX('05_KAPA'!$H:$H,$A278))</f>
        <v/>
      </c>
      <c r="E278">
        <f>IF($A278="","",INDEX('05_KAPA'!$K:$K,$A278))</f>
        <v/>
      </c>
      <c r="F278">
        <f>IF($A278="","",INDEX('05_KAPA'!$L:$L,$A278))</f>
        <v/>
      </c>
      <c r="G278">
        <f>IF($A278="","",INDEX('05_KAPA'!$I:$I,$A278))</f>
        <v/>
      </c>
      <c r="H278" s="202">
        <f>IF($A278="","",INDEX('05_KAPA'!$P:$P,$A278))</f>
        <v/>
      </c>
      <c r="I278" s="118">
        <f>IF($A278="","",INDEX('05_KAPA'!$O:$O,$A278))</f>
        <v/>
      </c>
      <c r="J278" s="202">
        <f>IF($A278="","",IFERROR(DATE(LEFT(TEXT(INDEX('05_KAPA'!$T:$T,$A278),"0"),4),MID(TEXT(INDEX('05_KAPA'!$T:$T,$A278),"0"),5,2),RIGHT(TEXT(INDEX('05_KAPA'!$T:$T,$A278),"0"),2)),""))</f>
        <v/>
      </c>
      <c r="K278">
        <f>IF(C278="","",IF('02_대상물건입력'!$B$5="",1,IF(ISNUMBER(SEARCH('02_대상물건입력'!$B$5,C278)),1,0)))</f>
        <v/>
      </c>
      <c r="L278">
        <f>IF(C278="","",IF('02_대상물건입력'!$B$6="",1,IF(ISNUMBER(SEARCH('02_대상물건입력'!$B$6,C278)),1,0)))</f>
        <v/>
      </c>
      <c r="M278">
        <f>IF(E278="","",IF('02_대상물건입력'!$B$8="",0,IF(ISNUMBER(SEARCH('02_대상물건입력'!$B$8,E278)),1,0)))</f>
        <v/>
      </c>
      <c r="N278">
        <f>IF(B278="","",IF(B278="담보",1,0))</f>
        <v/>
      </c>
      <c r="O278">
        <f>IFERROR(ABS(G278-'02_대상물건입력'!$B$11)/'02_대상물건입력'!$B$11,"")</f>
        <v/>
      </c>
      <c r="P278">
        <f>IFERROR(ABS('01_설정'!$B$4-H278),"")</f>
        <v/>
      </c>
      <c r="Q278">
        <f>IFERROR(ABS(YEAR(J278)-YEAR('02_대상물건입력'!$B$14)),"")</f>
        <v/>
      </c>
      <c r="R278">
        <f>IF(AND(G278&gt;0,H278&gt;0,I278&gt;0,N278=1,IF('01_설정'!$B$10=1,K278=1,TRUE()),O278&lt;='01_설정'!$B$5,P278&lt;='01_설정'!$B$7,Q278&lt;='01_설정'!$B$8),"Y","")</f>
        <v/>
      </c>
      <c r="S278">
        <f>IF(R278&lt;&gt;"Y","",MAX(0,(1-O278/'01_설정'!$B$5))*'01_설정'!$B$14+MAX(0,(1-P278/'01_설정'!$B$7))*'01_설정'!$B$16+MAX(0,(1-Q278/'01_설정'!$B$8))*'01_설정'!$B$17+L278*'01_설정'!$B$11+M278*'01_설정'!$B$12+N278*50)</f>
        <v/>
      </c>
      <c r="T278">
        <f>IF(S278="","",1+COUNTIFS($S$31:$S$1030,"&gt;"&amp;S278)+COUNTIFS($S$31:S278,S278)-1)</f>
        <v/>
      </c>
    </row>
    <row r="279" hidden="1" ht="16.5" customHeight="1">
      <c r="A279">
        <f>IF(COUNTA('05_KAPA'!$A250:$AO250)=0,"",252)</f>
        <v/>
      </c>
      <c r="B279">
        <f>IF($A279="","",INDEX('05_KAPA'!$B:$B,$A279))</f>
        <v/>
      </c>
      <c r="C279">
        <f>IF($A279="","",INDEX('05_KAPA'!$F:$F,$A279))</f>
        <v/>
      </c>
      <c r="D279">
        <f>IF($A279="","",INDEX('05_KAPA'!$H:$H,$A279))</f>
        <v/>
      </c>
      <c r="E279">
        <f>IF($A279="","",INDEX('05_KAPA'!$K:$K,$A279))</f>
        <v/>
      </c>
      <c r="F279">
        <f>IF($A279="","",INDEX('05_KAPA'!$L:$L,$A279))</f>
        <v/>
      </c>
      <c r="G279">
        <f>IF($A279="","",INDEX('05_KAPA'!$I:$I,$A279))</f>
        <v/>
      </c>
      <c r="H279" s="202">
        <f>IF($A279="","",INDEX('05_KAPA'!$P:$P,$A279))</f>
        <v/>
      </c>
      <c r="I279" s="118">
        <f>IF($A279="","",INDEX('05_KAPA'!$O:$O,$A279))</f>
        <v/>
      </c>
      <c r="J279" s="202">
        <f>IF($A279="","",IFERROR(DATE(LEFT(TEXT(INDEX('05_KAPA'!$T:$T,$A279),"0"),4),MID(TEXT(INDEX('05_KAPA'!$T:$T,$A279),"0"),5,2),RIGHT(TEXT(INDEX('05_KAPA'!$T:$T,$A279),"0"),2)),""))</f>
        <v/>
      </c>
      <c r="K279">
        <f>IF(C279="","",IF('02_대상물건입력'!$B$5="",1,IF(ISNUMBER(SEARCH('02_대상물건입력'!$B$5,C279)),1,0)))</f>
        <v/>
      </c>
      <c r="L279">
        <f>IF(C279="","",IF('02_대상물건입력'!$B$6="",1,IF(ISNUMBER(SEARCH('02_대상물건입력'!$B$6,C279)),1,0)))</f>
        <v/>
      </c>
      <c r="M279">
        <f>IF(E279="","",IF('02_대상물건입력'!$B$8="",0,IF(ISNUMBER(SEARCH('02_대상물건입력'!$B$8,E279)),1,0)))</f>
        <v/>
      </c>
      <c r="N279">
        <f>IF(B279="","",IF(B279="담보",1,0))</f>
        <v/>
      </c>
      <c r="O279">
        <f>IFERROR(ABS(G279-'02_대상물건입력'!$B$11)/'02_대상물건입력'!$B$11,"")</f>
        <v/>
      </c>
      <c r="P279">
        <f>IFERROR(ABS('01_설정'!$B$4-H279),"")</f>
        <v/>
      </c>
      <c r="Q279">
        <f>IFERROR(ABS(YEAR(J279)-YEAR('02_대상물건입력'!$B$14)),"")</f>
        <v/>
      </c>
      <c r="R279">
        <f>IF(AND(G279&gt;0,H279&gt;0,I279&gt;0,N279=1,IF('01_설정'!$B$10=1,K279=1,TRUE()),O279&lt;='01_설정'!$B$5,P279&lt;='01_설정'!$B$7,Q279&lt;='01_설정'!$B$8),"Y","")</f>
        <v/>
      </c>
      <c r="S279">
        <f>IF(R279&lt;&gt;"Y","",MAX(0,(1-O279/'01_설정'!$B$5))*'01_설정'!$B$14+MAX(0,(1-P279/'01_설정'!$B$7))*'01_설정'!$B$16+MAX(0,(1-Q279/'01_설정'!$B$8))*'01_설정'!$B$17+L279*'01_설정'!$B$11+M279*'01_설정'!$B$12+N279*50)</f>
        <v/>
      </c>
      <c r="T279">
        <f>IF(S279="","",1+COUNTIFS($S$31:$S$1030,"&gt;"&amp;S279)+COUNTIFS($S$31:S279,S279)-1)</f>
        <v/>
      </c>
    </row>
    <row r="280" hidden="1" ht="16.5" customHeight="1">
      <c r="A280">
        <f>IF(COUNTA('05_KAPA'!$A251:$AO251)=0,"",253)</f>
        <v/>
      </c>
      <c r="B280">
        <f>IF($A280="","",INDEX('05_KAPA'!$B:$B,$A280))</f>
        <v/>
      </c>
      <c r="C280">
        <f>IF($A280="","",INDEX('05_KAPA'!$F:$F,$A280))</f>
        <v/>
      </c>
      <c r="D280">
        <f>IF($A280="","",INDEX('05_KAPA'!$H:$H,$A280))</f>
        <v/>
      </c>
      <c r="E280">
        <f>IF($A280="","",INDEX('05_KAPA'!$K:$K,$A280))</f>
        <v/>
      </c>
      <c r="F280">
        <f>IF($A280="","",INDEX('05_KAPA'!$L:$L,$A280))</f>
        <v/>
      </c>
      <c r="G280">
        <f>IF($A280="","",INDEX('05_KAPA'!$I:$I,$A280))</f>
        <v/>
      </c>
      <c r="H280" s="202">
        <f>IF($A280="","",INDEX('05_KAPA'!$P:$P,$A280))</f>
        <v/>
      </c>
      <c r="I280" s="118">
        <f>IF($A280="","",INDEX('05_KAPA'!$O:$O,$A280))</f>
        <v/>
      </c>
      <c r="J280" s="202">
        <f>IF($A280="","",IFERROR(DATE(LEFT(TEXT(INDEX('05_KAPA'!$T:$T,$A280),"0"),4),MID(TEXT(INDEX('05_KAPA'!$T:$T,$A280),"0"),5,2),RIGHT(TEXT(INDEX('05_KAPA'!$T:$T,$A280),"0"),2)),""))</f>
        <v/>
      </c>
      <c r="K280">
        <f>IF(C280="","",IF('02_대상물건입력'!$B$5="",1,IF(ISNUMBER(SEARCH('02_대상물건입력'!$B$5,C280)),1,0)))</f>
        <v/>
      </c>
      <c r="L280">
        <f>IF(C280="","",IF('02_대상물건입력'!$B$6="",1,IF(ISNUMBER(SEARCH('02_대상물건입력'!$B$6,C280)),1,0)))</f>
        <v/>
      </c>
      <c r="M280">
        <f>IF(E280="","",IF('02_대상물건입력'!$B$8="",0,IF(ISNUMBER(SEARCH('02_대상물건입력'!$B$8,E280)),1,0)))</f>
        <v/>
      </c>
      <c r="N280">
        <f>IF(B280="","",IF(B280="담보",1,0))</f>
        <v/>
      </c>
      <c r="O280">
        <f>IFERROR(ABS(G280-'02_대상물건입력'!$B$11)/'02_대상물건입력'!$B$11,"")</f>
        <v/>
      </c>
      <c r="P280">
        <f>IFERROR(ABS('01_설정'!$B$4-H280),"")</f>
        <v/>
      </c>
      <c r="Q280">
        <f>IFERROR(ABS(YEAR(J280)-YEAR('02_대상물건입력'!$B$14)),"")</f>
        <v/>
      </c>
      <c r="R280">
        <f>IF(AND(G280&gt;0,H280&gt;0,I280&gt;0,N280=1,IF('01_설정'!$B$10=1,K280=1,TRUE()),O280&lt;='01_설정'!$B$5,P280&lt;='01_설정'!$B$7,Q280&lt;='01_설정'!$B$8),"Y","")</f>
        <v/>
      </c>
      <c r="S280">
        <f>IF(R280&lt;&gt;"Y","",MAX(0,(1-O280/'01_설정'!$B$5))*'01_설정'!$B$14+MAX(0,(1-P280/'01_설정'!$B$7))*'01_설정'!$B$16+MAX(0,(1-Q280/'01_설정'!$B$8))*'01_설정'!$B$17+L280*'01_설정'!$B$11+M280*'01_설정'!$B$12+N280*50)</f>
        <v/>
      </c>
      <c r="T280">
        <f>IF(S280="","",1+COUNTIFS($S$31:$S$1030,"&gt;"&amp;S280)+COUNTIFS($S$31:S280,S280)-1)</f>
        <v/>
      </c>
    </row>
    <row r="281" hidden="1" ht="16.5" customHeight="1">
      <c r="A281">
        <f>IF(COUNTA('05_KAPA'!$A252:$AO252)=0,"",254)</f>
        <v/>
      </c>
      <c r="B281">
        <f>IF($A281="","",INDEX('05_KAPA'!$B:$B,$A281))</f>
        <v/>
      </c>
      <c r="C281">
        <f>IF($A281="","",INDEX('05_KAPA'!$F:$F,$A281))</f>
        <v/>
      </c>
      <c r="D281">
        <f>IF($A281="","",INDEX('05_KAPA'!$H:$H,$A281))</f>
        <v/>
      </c>
      <c r="E281">
        <f>IF($A281="","",INDEX('05_KAPA'!$K:$K,$A281))</f>
        <v/>
      </c>
      <c r="F281">
        <f>IF($A281="","",INDEX('05_KAPA'!$L:$L,$A281))</f>
        <v/>
      </c>
      <c r="G281">
        <f>IF($A281="","",INDEX('05_KAPA'!$I:$I,$A281))</f>
        <v/>
      </c>
      <c r="H281" s="202">
        <f>IF($A281="","",INDEX('05_KAPA'!$P:$P,$A281))</f>
        <v/>
      </c>
      <c r="I281" s="118">
        <f>IF($A281="","",INDEX('05_KAPA'!$O:$O,$A281))</f>
        <v/>
      </c>
      <c r="J281" s="202">
        <f>IF($A281="","",IFERROR(DATE(LEFT(TEXT(INDEX('05_KAPA'!$T:$T,$A281),"0"),4),MID(TEXT(INDEX('05_KAPA'!$T:$T,$A281),"0"),5,2),RIGHT(TEXT(INDEX('05_KAPA'!$T:$T,$A281),"0"),2)),""))</f>
        <v/>
      </c>
      <c r="K281">
        <f>IF(C281="","",IF('02_대상물건입력'!$B$5="",1,IF(ISNUMBER(SEARCH('02_대상물건입력'!$B$5,C281)),1,0)))</f>
        <v/>
      </c>
      <c r="L281">
        <f>IF(C281="","",IF('02_대상물건입력'!$B$6="",1,IF(ISNUMBER(SEARCH('02_대상물건입력'!$B$6,C281)),1,0)))</f>
        <v/>
      </c>
      <c r="M281">
        <f>IF(E281="","",IF('02_대상물건입력'!$B$8="",0,IF(ISNUMBER(SEARCH('02_대상물건입력'!$B$8,E281)),1,0)))</f>
        <v/>
      </c>
      <c r="N281">
        <f>IF(B281="","",IF(B281="담보",1,0))</f>
        <v/>
      </c>
      <c r="O281">
        <f>IFERROR(ABS(G281-'02_대상물건입력'!$B$11)/'02_대상물건입력'!$B$11,"")</f>
        <v/>
      </c>
      <c r="P281">
        <f>IFERROR(ABS('01_설정'!$B$4-H281),"")</f>
        <v/>
      </c>
      <c r="Q281">
        <f>IFERROR(ABS(YEAR(J281)-YEAR('02_대상물건입력'!$B$14)),"")</f>
        <v/>
      </c>
      <c r="R281">
        <f>IF(AND(G281&gt;0,H281&gt;0,I281&gt;0,N281=1,IF('01_설정'!$B$10=1,K281=1,TRUE()),O281&lt;='01_설정'!$B$5,P281&lt;='01_설정'!$B$7,Q281&lt;='01_설정'!$B$8),"Y","")</f>
        <v/>
      </c>
      <c r="S281">
        <f>IF(R281&lt;&gt;"Y","",MAX(0,(1-O281/'01_설정'!$B$5))*'01_설정'!$B$14+MAX(0,(1-P281/'01_설정'!$B$7))*'01_설정'!$B$16+MAX(0,(1-Q281/'01_설정'!$B$8))*'01_설정'!$B$17+L281*'01_설정'!$B$11+M281*'01_설정'!$B$12+N281*50)</f>
        <v/>
      </c>
      <c r="T281">
        <f>IF(S281="","",1+COUNTIFS($S$31:$S$1030,"&gt;"&amp;S281)+COUNTIFS($S$31:S281,S281)-1)</f>
        <v/>
      </c>
    </row>
    <row r="282" hidden="1" ht="16.5" customHeight="1">
      <c r="A282">
        <f>IF(COUNTA('05_KAPA'!$A253:$AO253)=0,"",255)</f>
        <v/>
      </c>
      <c r="B282">
        <f>IF($A282="","",INDEX('05_KAPA'!$B:$B,$A282))</f>
        <v/>
      </c>
      <c r="C282">
        <f>IF($A282="","",INDEX('05_KAPA'!$F:$F,$A282))</f>
        <v/>
      </c>
      <c r="D282">
        <f>IF($A282="","",INDEX('05_KAPA'!$H:$H,$A282))</f>
        <v/>
      </c>
      <c r="E282">
        <f>IF($A282="","",INDEX('05_KAPA'!$K:$K,$A282))</f>
        <v/>
      </c>
      <c r="F282">
        <f>IF($A282="","",INDEX('05_KAPA'!$L:$L,$A282))</f>
        <v/>
      </c>
      <c r="G282">
        <f>IF($A282="","",INDEX('05_KAPA'!$I:$I,$A282))</f>
        <v/>
      </c>
      <c r="H282" s="202">
        <f>IF($A282="","",INDEX('05_KAPA'!$P:$P,$A282))</f>
        <v/>
      </c>
      <c r="I282" s="118">
        <f>IF($A282="","",INDEX('05_KAPA'!$O:$O,$A282))</f>
        <v/>
      </c>
      <c r="J282" s="202">
        <f>IF($A282="","",IFERROR(DATE(LEFT(TEXT(INDEX('05_KAPA'!$T:$T,$A282),"0"),4),MID(TEXT(INDEX('05_KAPA'!$T:$T,$A282),"0"),5,2),RIGHT(TEXT(INDEX('05_KAPA'!$T:$T,$A282),"0"),2)),""))</f>
        <v/>
      </c>
      <c r="K282">
        <f>IF(C282="","",IF('02_대상물건입력'!$B$5="",1,IF(ISNUMBER(SEARCH('02_대상물건입력'!$B$5,C282)),1,0)))</f>
        <v/>
      </c>
      <c r="L282">
        <f>IF(C282="","",IF('02_대상물건입력'!$B$6="",1,IF(ISNUMBER(SEARCH('02_대상물건입력'!$B$6,C282)),1,0)))</f>
        <v/>
      </c>
      <c r="M282">
        <f>IF(E282="","",IF('02_대상물건입력'!$B$8="",0,IF(ISNUMBER(SEARCH('02_대상물건입력'!$B$8,E282)),1,0)))</f>
        <v/>
      </c>
      <c r="N282">
        <f>IF(B282="","",IF(B282="담보",1,0))</f>
        <v/>
      </c>
      <c r="O282">
        <f>IFERROR(ABS(G282-'02_대상물건입력'!$B$11)/'02_대상물건입력'!$B$11,"")</f>
        <v/>
      </c>
      <c r="P282">
        <f>IFERROR(ABS('01_설정'!$B$4-H282),"")</f>
        <v/>
      </c>
      <c r="Q282">
        <f>IFERROR(ABS(YEAR(J282)-YEAR('02_대상물건입력'!$B$14)),"")</f>
        <v/>
      </c>
      <c r="R282">
        <f>IF(AND(G282&gt;0,H282&gt;0,I282&gt;0,N282=1,IF('01_설정'!$B$10=1,K282=1,TRUE()),O282&lt;='01_설정'!$B$5,P282&lt;='01_설정'!$B$7,Q282&lt;='01_설정'!$B$8),"Y","")</f>
        <v/>
      </c>
      <c r="S282">
        <f>IF(R282&lt;&gt;"Y","",MAX(0,(1-O282/'01_설정'!$B$5))*'01_설정'!$B$14+MAX(0,(1-P282/'01_설정'!$B$7))*'01_설정'!$B$16+MAX(0,(1-Q282/'01_설정'!$B$8))*'01_설정'!$B$17+L282*'01_설정'!$B$11+M282*'01_설정'!$B$12+N282*50)</f>
        <v/>
      </c>
      <c r="T282">
        <f>IF(S282="","",1+COUNTIFS($S$31:$S$1030,"&gt;"&amp;S282)+COUNTIFS($S$31:S282,S282)-1)</f>
        <v/>
      </c>
    </row>
    <row r="283" hidden="1" ht="16.5" customHeight="1">
      <c r="A283">
        <f>IF(COUNTA('05_KAPA'!$A254:$AO254)=0,"",256)</f>
        <v/>
      </c>
      <c r="B283">
        <f>IF($A283="","",INDEX('05_KAPA'!$B:$B,$A283))</f>
        <v/>
      </c>
      <c r="C283">
        <f>IF($A283="","",INDEX('05_KAPA'!$F:$F,$A283))</f>
        <v/>
      </c>
      <c r="D283">
        <f>IF($A283="","",INDEX('05_KAPA'!$H:$H,$A283))</f>
        <v/>
      </c>
      <c r="E283">
        <f>IF($A283="","",INDEX('05_KAPA'!$K:$K,$A283))</f>
        <v/>
      </c>
      <c r="F283">
        <f>IF($A283="","",INDEX('05_KAPA'!$L:$L,$A283))</f>
        <v/>
      </c>
      <c r="G283">
        <f>IF($A283="","",INDEX('05_KAPA'!$I:$I,$A283))</f>
        <v/>
      </c>
      <c r="H283" s="202">
        <f>IF($A283="","",INDEX('05_KAPA'!$P:$P,$A283))</f>
        <v/>
      </c>
      <c r="I283" s="118">
        <f>IF($A283="","",INDEX('05_KAPA'!$O:$O,$A283))</f>
        <v/>
      </c>
      <c r="J283" s="202">
        <f>IF($A283="","",IFERROR(DATE(LEFT(TEXT(INDEX('05_KAPA'!$T:$T,$A283),"0"),4),MID(TEXT(INDEX('05_KAPA'!$T:$T,$A283),"0"),5,2),RIGHT(TEXT(INDEX('05_KAPA'!$T:$T,$A283),"0"),2)),""))</f>
        <v/>
      </c>
      <c r="K283">
        <f>IF(C283="","",IF('02_대상물건입력'!$B$5="",1,IF(ISNUMBER(SEARCH('02_대상물건입력'!$B$5,C283)),1,0)))</f>
        <v/>
      </c>
      <c r="L283">
        <f>IF(C283="","",IF('02_대상물건입력'!$B$6="",1,IF(ISNUMBER(SEARCH('02_대상물건입력'!$B$6,C283)),1,0)))</f>
        <v/>
      </c>
      <c r="M283">
        <f>IF(E283="","",IF('02_대상물건입력'!$B$8="",0,IF(ISNUMBER(SEARCH('02_대상물건입력'!$B$8,E283)),1,0)))</f>
        <v/>
      </c>
      <c r="N283">
        <f>IF(B283="","",IF(B283="담보",1,0))</f>
        <v/>
      </c>
      <c r="O283">
        <f>IFERROR(ABS(G283-'02_대상물건입력'!$B$11)/'02_대상물건입력'!$B$11,"")</f>
        <v/>
      </c>
      <c r="P283">
        <f>IFERROR(ABS('01_설정'!$B$4-H283),"")</f>
        <v/>
      </c>
      <c r="Q283">
        <f>IFERROR(ABS(YEAR(J283)-YEAR('02_대상물건입력'!$B$14)),"")</f>
        <v/>
      </c>
      <c r="R283">
        <f>IF(AND(G283&gt;0,H283&gt;0,I283&gt;0,N283=1,IF('01_설정'!$B$10=1,K283=1,TRUE()),O283&lt;='01_설정'!$B$5,P283&lt;='01_설정'!$B$7,Q283&lt;='01_설정'!$B$8),"Y","")</f>
        <v/>
      </c>
      <c r="S283">
        <f>IF(R283&lt;&gt;"Y","",MAX(0,(1-O283/'01_설정'!$B$5))*'01_설정'!$B$14+MAX(0,(1-P283/'01_설정'!$B$7))*'01_설정'!$B$16+MAX(0,(1-Q283/'01_설정'!$B$8))*'01_설정'!$B$17+L283*'01_설정'!$B$11+M283*'01_설정'!$B$12+N283*50)</f>
        <v/>
      </c>
      <c r="T283">
        <f>IF(S283="","",1+COUNTIFS($S$31:$S$1030,"&gt;"&amp;S283)+COUNTIFS($S$31:S283,S283)-1)</f>
        <v/>
      </c>
    </row>
    <row r="284" hidden="1" ht="16.5" customHeight="1">
      <c r="A284">
        <f>IF(COUNTA('05_KAPA'!$A255:$AO255)=0,"",257)</f>
        <v/>
      </c>
      <c r="B284">
        <f>IF($A284="","",INDEX('05_KAPA'!$B:$B,$A284))</f>
        <v/>
      </c>
      <c r="C284">
        <f>IF($A284="","",INDEX('05_KAPA'!$F:$F,$A284))</f>
        <v/>
      </c>
      <c r="D284">
        <f>IF($A284="","",INDEX('05_KAPA'!$H:$H,$A284))</f>
        <v/>
      </c>
      <c r="E284">
        <f>IF($A284="","",INDEX('05_KAPA'!$K:$K,$A284))</f>
        <v/>
      </c>
      <c r="F284">
        <f>IF($A284="","",INDEX('05_KAPA'!$L:$L,$A284))</f>
        <v/>
      </c>
      <c r="G284">
        <f>IF($A284="","",INDEX('05_KAPA'!$I:$I,$A284))</f>
        <v/>
      </c>
      <c r="H284" s="202">
        <f>IF($A284="","",INDEX('05_KAPA'!$P:$P,$A284))</f>
        <v/>
      </c>
      <c r="I284" s="118">
        <f>IF($A284="","",INDEX('05_KAPA'!$O:$O,$A284))</f>
        <v/>
      </c>
      <c r="J284" s="202">
        <f>IF($A284="","",IFERROR(DATE(LEFT(TEXT(INDEX('05_KAPA'!$T:$T,$A284),"0"),4),MID(TEXT(INDEX('05_KAPA'!$T:$T,$A284),"0"),5,2),RIGHT(TEXT(INDEX('05_KAPA'!$T:$T,$A284),"0"),2)),""))</f>
        <v/>
      </c>
      <c r="K284">
        <f>IF(C284="","",IF('02_대상물건입력'!$B$5="",1,IF(ISNUMBER(SEARCH('02_대상물건입력'!$B$5,C284)),1,0)))</f>
        <v/>
      </c>
      <c r="L284">
        <f>IF(C284="","",IF('02_대상물건입력'!$B$6="",1,IF(ISNUMBER(SEARCH('02_대상물건입력'!$B$6,C284)),1,0)))</f>
        <v/>
      </c>
      <c r="M284">
        <f>IF(E284="","",IF('02_대상물건입력'!$B$8="",0,IF(ISNUMBER(SEARCH('02_대상물건입력'!$B$8,E284)),1,0)))</f>
        <v/>
      </c>
      <c r="N284">
        <f>IF(B284="","",IF(B284="담보",1,0))</f>
        <v/>
      </c>
      <c r="O284">
        <f>IFERROR(ABS(G284-'02_대상물건입력'!$B$11)/'02_대상물건입력'!$B$11,"")</f>
        <v/>
      </c>
      <c r="P284">
        <f>IFERROR(ABS('01_설정'!$B$4-H284),"")</f>
        <v/>
      </c>
      <c r="Q284">
        <f>IFERROR(ABS(YEAR(J284)-YEAR('02_대상물건입력'!$B$14)),"")</f>
        <v/>
      </c>
      <c r="R284">
        <f>IF(AND(G284&gt;0,H284&gt;0,I284&gt;0,N284=1,IF('01_설정'!$B$10=1,K284=1,TRUE()),O284&lt;='01_설정'!$B$5,P284&lt;='01_설정'!$B$7,Q284&lt;='01_설정'!$B$8),"Y","")</f>
        <v/>
      </c>
      <c r="S284">
        <f>IF(R284&lt;&gt;"Y","",MAX(0,(1-O284/'01_설정'!$B$5))*'01_설정'!$B$14+MAX(0,(1-P284/'01_설정'!$B$7))*'01_설정'!$B$16+MAX(0,(1-Q284/'01_설정'!$B$8))*'01_설정'!$B$17+L284*'01_설정'!$B$11+M284*'01_설정'!$B$12+N284*50)</f>
        <v/>
      </c>
      <c r="T284">
        <f>IF(S284="","",1+COUNTIFS($S$31:$S$1030,"&gt;"&amp;S284)+COUNTIFS($S$31:S284,S284)-1)</f>
        <v/>
      </c>
    </row>
    <row r="285" hidden="1" ht="16.5" customHeight="1">
      <c r="A285">
        <f>IF(COUNTA('05_KAPA'!$A256:$AO256)=0,"",258)</f>
        <v/>
      </c>
      <c r="B285">
        <f>IF($A285="","",INDEX('05_KAPA'!$B:$B,$A285))</f>
        <v/>
      </c>
      <c r="C285">
        <f>IF($A285="","",INDEX('05_KAPA'!$F:$F,$A285))</f>
        <v/>
      </c>
      <c r="D285">
        <f>IF($A285="","",INDEX('05_KAPA'!$H:$H,$A285))</f>
        <v/>
      </c>
      <c r="E285">
        <f>IF($A285="","",INDEX('05_KAPA'!$K:$K,$A285))</f>
        <v/>
      </c>
      <c r="F285">
        <f>IF($A285="","",INDEX('05_KAPA'!$L:$L,$A285))</f>
        <v/>
      </c>
      <c r="G285">
        <f>IF($A285="","",INDEX('05_KAPA'!$I:$I,$A285))</f>
        <v/>
      </c>
      <c r="H285" s="202">
        <f>IF($A285="","",INDEX('05_KAPA'!$P:$P,$A285))</f>
        <v/>
      </c>
      <c r="I285" s="118">
        <f>IF($A285="","",INDEX('05_KAPA'!$O:$O,$A285))</f>
        <v/>
      </c>
      <c r="J285" s="202">
        <f>IF($A285="","",IFERROR(DATE(LEFT(TEXT(INDEX('05_KAPA'!$T:$T,$A285),"0"),4),MID(TEXT(INDEX('05_KAPA'!$T:$T,$A285),"0"),5,2),RIGHT(TEXT(INDEX('05_KAPA'!$T:$T,$A285),"0"),2)),""))</f>
        <v/>
      </c>
      <c r="K285">
        <f>IF(C285="","",IF('02_대상물건입력'!$B$5="",1,IF(ISNUMBER(SEARCH('02_대상물건입력'!$B$5,C285)),1,0)))</f>
        <v/>
      </c>
      <c r="L285">
        <f>IF(C285="","",IF('02_대상물건입력'!$B$6="",1,IF(ISNUMBER(SEARCH('02_대상물건입력'!$B$6,C285)),1,0)))</f>
        <v/>
      </c>
      <c r="M285">
        <f>IF(E285="","",IF('02_대상물건입력'!$B$8="",0,IF(ISNUMBER(SEARCH('02_대상물건입력'!$B$8,E285)),1,0)))</f>
        <v/>
      </c>
      <c r="N285">
        <f>IF(B285="","",IF(B285="담보",1,0))</f>
        <v/>
      </c>
      <c r="O285">
        <f>IFERROR(ABS(G285-'02_대상물건입력'!$B$11)/'02_대상물건입력'!$B$11,"")</f>
        <v/>
      </c>
      <c r="P285">
        <f>IFERROR(ABS('01_설정'!$B$4-H285),"")</f>
        <v/>
      </c>
      <c r="Q285">
        <f>IFERROR(ABS(YEAR(J285)-YEAR('02_대상물건입력'!$B$14)),"")</f>
        <v/>
      </c>
      <c r="R285">
        <f>IF(AND(G285&gt;0,H285&gt;0,I285&gt;0,N285=1,IF('01_설정'!$B$10=1,K285=1,TRUE()),O285&lt;='01_설정'!$B$5,P285&lt;='01_설정'!$B$7,Q285&lt;='01_설정'!$B$8),"Y","")</f>
        <v/>
      </c>
      <c r="S285">
        <f>IF(R285&lt;&gt;"Y","",MAX(0,(1-O285/'01_설정'!$B$5))*'01_설정'!$B$14+MAX(0,(1-P285/'01_설정'!$B$7))*'01_설정'!$B$16+MAX(0,(1-Q285/'01_설정'!$B$8))*'01_설정'!$B$17+L285*'01_설정'!$B$11+M285*'01_설정'!$B$12+N285*50)</f>
        <v/>
      </c>
      <c r="T285">
        <f>IF(S285="","",1+COUNTIFS($S$31:$S$1030,"&gt;"&amp;S285)+COUNTIFS($S$31:S285,S285)-1)</f>
        <v/>
      </c>
    </row>
    <row r="286" hidden="1" ht="16.5" customHeight="1">
      <c r="A286">
        <f>IF(COUNTA('05_KAPA'!$A257:$AO257)=0,"",259)</f>
        <v/>
      </c>
      <c r="B286">
        <f>IF($A286="","",INDEX('05_KAPA'!$B:$B,$A286))</f>
        <v/>
      </c>
      <c r="C286">
        <f>IF($A286="","",INDEX('05_KAPA'!$F:$F,$A286))</f>
        <v/>
      </c>
      <c r="D286">
        <f>IF($A286="","",INDEX('05_KAPA'!$H:$H,$A286))</f>
        <v/>
      </c>
      <c r="E286">
        <f>IF($A286="","",INDEX('05_KAPA'!$K:$K,$A286))</f>
        <v/>
      </c>
      <c r="F286">
        <f>IF($A286="","",INDEX('05_KAPA'!$L:$L,$A286))</f>
        <v/>
      </c>
      <c r="G286">
        <f>IF($A286="","",INDEX('05_KAPA'!$I:$I,$A286))</f>
        <v/>
      </c>
      <c r="H286" s="202">
        <f>IF($A286="","",INDEX('05_KAPA'!$P:$P,$A286))</f>
        <v/>
      </c>
      <c r="I286" s="118">
        <f>IF($A286="","",INDEX('05_KAPA'!$O:$O,$A286))</f>
        <v/>
      </c>
      <c r="J286" s="202">
        <f>IF($A286="","",IFERROR(DATE(LEFT(TEXT(INDEX('05_KAPA'!$T:$T,$A286),"0"),4),MID(TEXT(INDEX('05_KAPA'!$T:$T,$A286),"0"),5,2),RIGHT(TEXT(INDEX('05_KAPA'!$T:$T,$A286),"0"),2)),""))</f>
        <v/>
      </c>
      <c r="K286">
        <f>IF(C286="","",IF('02_대상물건입력'!$B$5="",1,IF(ISNUMBER(SEARCH('02_대상물건입력'!$B$5,C286)),1,0)))</f>
        <v/>
      </c>
      <c r="L286">
        <f>IF(C286="","",IF('02_대상물건입력'!$B$6="",1,IF(ISNUMBER(SEARCH('02_대상물건입력'!$B$6,C286)),1,0)))</f>
        <v/>
      </c>
      <c r="M286">
        <f>IF(E286="","",IF('02_대상물건입력'!$B$8="",0,IF(ISNUMBER(SEARCH('02_대상물건입력'!$B$8,E286)),1,0)))</f>
        <v/>
      </c>
      <c r="N286">
        <f>IF(B286="","",IF(B286="담보",1,0))</f>
        <v/>
      </c>
      <c r="O286">
        <f>IFERROR(ABS(G286-'02_대상물건입력'!$B$11)/'02_대상물건입력'!$B$11,"")</f>
        <v/>
      </c>
      <c r="P286">
        <f>IFERROR(ABS('01_설정'!$B$4-H286),"")</f>
        <v/>
      </c>
      <c r="Q286">
        <f>IFERROR(ABS(YEAR(J286)-YEAR('02_대상물건입력'!$B$14)),"")</f>
        <v/>
      </c>
      <c r="R286">
        <f>IF(AND(G286&gt;0,H286&gt;0,I286&gt;0,N286=1,IF('01_설정'!$B$10=1,K286=1,TRUE()),O286&lt;='01_설정'!$B$5,P286&lt;='01_설정'!$B$7,Q286&lt;='01_설정'!$B$8),"Y","")</f>
        <v/>
      </c>
      <c r="S286">
        <f>IF(R286&lt;&gt;"Y","",MAX(0,(1-O286/'01_설정'!$B$5))*'01_설정'!$B$14+MAX(0,(1-P286/'01_설정'!$B$7))*'01_설정'!$B$16+MAX(0,(1-Q286/'01_설정'!$B$8))*'01_설정'!$B$17+L286*'01_설정'!$B$11+M286*'01_설정'!$B$12+N286*50)</f>
        <v/>
      </c>
      <c r="T286">
        <f>IF(S286="","",1+COUNTIFS($S$31:$S$1030,"&gt;"&amp;S286)+COUNTIFS($S$31:S286,S286)-1)</f>
        <v/>
      </c>
    </row>
    <row r="287" hidden="1" ht="16.5" customHeight="1">
      <c r="A287">
        <f>IF(COUNTA('05_KAPA'!$A258:$AO258)=0,"",260)</f>
        <v/>
      </c>
      <c r="B287">
        <f>IF($A287="","",INDEX('05_KAPA'!$B:$B,$A287))</f>
        <v/>
      </c>
      <c r="C287">
        <f>IF($A287="","",INDEX('05_KAPA'!$F:$F,$A287))</f>
        <v/>
      </c>
      <c r="D287">
        <f>IF($A287="","",INDEX('05_KAPA'!$H:$H,$A287))</f>
        <v/>
      </c>
      <c r="E287">
        <f>IF($A287="","",INDEX('05_KAPA'!$K:$K,$A287))</f>
        <v/>
      </c>
      <c r="F287">
        <f>IF($A287="","",INDEX('05_KAPA'!$L:$L,$A287))</f>
        <v/>
      </c>
      <c r="G287">
        <f>IF($A287="","",INDEX('05_KAPA'!$I:$I,$A287))</f>
        <v/>
      </c>
      <c r="H287" s="202">
        <f>IF($A287="","",INDEX('05_KAPA'!$P:$P,$A287))</f>
        <v/>
      </c>
      <c r="I287" s="118">
        <f>IF($A287="","",INDEX('05_KAPA'!$O:$O,$A287))</f>
        <v/>
      </c>
      <c r="J287" s="202">
        <f>IF($A287="","",IFERROR(DATE(LEFT(TEXT(INDEX('05_KAPA'!$T:$T,$A287),"0"),4),MID(TEXT(INDEX('05_KAPA'!$T:$T,$A287),"0"),5,2),RIGHT(TEXT(INDEX('05_KAPA'!$T:$T,$A287),"0"),2)),""))</f>
        <v/>
      </c>
      <c r="K287">
        <f>IF(C287="","",IF('02_대상물건입력'!$B$5="",1,IF(ISNUMBER(SEARCH('02_대상물건입력'!$B$5,C287)),1,0)))</f>
        <v/>
      </c>
      <c r="L287">
        <f>IF(C287="","",IF('02_대상물건입력'!$B$6="",1,IF(ISNUMBER(SEARCH('02_대상물건입력'!$B$6,C287)),1,0)))</f>
        <v/>
      </c>
      <c r="M287">
        <f>IF(E287="","",IF('02_대상물건입력'!$B$8="",0,IF(ISNUMBER(SEARCH('02_대상물건입력'!$B$8,E287)),1,0)))</f>
        <v/>
      </c>
      <c r="N287">
        <f>IF(B287="","",IF(B287="담보",1,0))</f>
        <v/>
      </c>
      <c r="O287">
        <f>IFERROR(ABS(G287-'02_대상물건입력'!$B$11)/'02_대상물건입력'!$B$11,"")</f>
        <v/>
      </c>
      <c r="P287">
        <f>IFERROR(ABS('01_설정'!$B$4-H287),"")</f>
        <v/>
      </c>
      <c r="Q287">
        <f>IFERROR(ABS(YEAR(J287)-YEAR('02_대상물건입력'!$B$14)),"")</f>
        <v/>
      </c>
      <c r="R287">
        <f>IF(AND(G287&gt;0,H287&gt;0,I287&gt;0,N287=1,IF('01_설정'!$B$10=1,K287=1,TRUE()),O287&lt;='01_설정'!$B$5,P287&lt;='01_설정'!$B$7,Q287&lt;='01_설정'!$B$8),"Y","")</f>
        <v/>
      </c>
      <c r="S287">
        <f>IF(R287&lt;&gt;"Y","",MAX(0,(1-O287/'01_설정'!$B$5))*'01_설정'!$B$14+MAX(0,(1-P287/'01_설정'!$B$7))*'01_설정'!$B$16+MAX(0,(1-Q287/'01_설정'!$B$8))*'01_설정'!$B$17+L287*'01_설정'!$B$11+M287*'01_설정'!$B$12+N287*50)</f>
        <v/>
      </c>
      <c r="T287">
        <f>IF(S287="","",1+COUNTIFS($S$31:$S$1030,"&gt;"&amp;S287)+COUNTIFS($S$31:S287,S287)-1)</f>
        <v/>
      </c>
    </row>
    <row r="288" hidden="1" ht="16.5" customHeight="1">
      <c r="A288">
        <f>IF(COUNTA('05_KAPA'!$A259:$AO259)=0,"",261)</f>
        <v/>
      </c>
      <c r="B288">
        <f>IF($A288="","",INDEX('05_KAPA'!$B:$B,$A288))</f>
        <v/>
      </c>
      <c r="C288">
        <f>IF($A288="","",INDEX('05_KAPA'!$F:$F,$A288))</f>
        <v/>
      </c>
      <c r="D288">
        <f>IF($A288="","",INDEX('05_KAPA'!$H:$H,$A288))</f>
        <v/>
      </c>
      <c r="E288">
        <f>IF($A288="","",INDEX('05_KAPA'!$K:$K,$A288))</f>
        <v/>
      </c>
      <c r="F288">
        <f>IF($A288="","",INDEX('05_KAPA'!$L:$L,$A288))</f>
        <v/>
      </c>
      <c r="G288">
        <f>IF($A288="","",INDEX('05_KAPA'!$I:$I,$A288))</f>
        <v/>
      </c>
      <c r="H288" s="202">
        <f>IF($A288="","",INDEX('05_KAPA'!$P:$P,$A288))</f>
        <v/>
      </c>
      <c r="I288" s="118">
        <f>IF($A288="","",INDEX('05_KAPA'!$O:$O,$A288))</f>
        <v/>
      </c>
      <c r="J288" s="202">
        <f>IF($A288="","",IFERROR(DATE(LEFT(TEXT(INDEX('05_KAPA'!$T:$T,$A288),"0"),4),MID(TEXT(INDEX('05_KAPA'!$T:$T,$A288),"0"),5,2),RIGHT(TEXT(INDEX('05_KAPA'!$T:$T,$A288),"0"),2)),""))</f>
        <v/>
      </c>
      <c r="K288">
        <f>IF(C288="","",IF('02_대상물건입력'!$B$5="",1,IF(ISNUMBER(SEARCH('02_대상물건입력'!$B$5,C288)),1,0)))</f>
        <v/>
      </c>
      <c r="L288">
        <f>IF(C288="","",IF('02_대상물건입력'!$B$6="",1,IF(ISNUMBER(SEARCH('02_대상물건입력'!$B$6,C288)),1,0)))</f>
        <v/>
      </c>
      <c r="M288">
        <f>IF(E288="","",IF('02_대상물건입력'!$B$8="",0,IF(ISNUMBER(SEARCH('02_대상물건입력'!$B$8,E288)),1,0)))</f>
        <v/>
      </c>
      <c r="N288">
        <f>IF(B288="","",IF(B288="담보",1,0))</f>
        <v/>
      </c>
      <c r="O288">
        <f>IFERROR(ABS(G288-'02_대상물건입력'!$B$11)/'02_대상물건입력'!$B$11,"")</f>
        <v/>
      </c>
      <c r="P288">
        <f>IFERROR(ABS('01_설정'!$B$4-H288),"")</f>
        <v/>
      </c>
      <c r="Q288">
        <f>IFERROR(ABS(YEAR(J288)-YEAR('02_대상물건입력'!$B$14)),"")</f>
        <v/>
      </c>
      <c r="R288">
        <f>IF(AND(G288&gt;0,H288&gt;0,I288&gt;0,N288=1,IF('01_설정'!$B$10=1,K288=1,TRUE()),O288&lt;='01_설정'!$B$5,P288&lt;='01_설정'!$B$7,Q288&lt;='01_설정'!$B$8),"Y","")</f>
        <v/>
      </c>
      <c r="S288">
        <f>IF(R288&lt;&gt;"Y","",MAX(0,(1-O288/'01_설정'!$B$5))*'01_설정'!$B$14+MAX(0,(1-P288/'01_설정'!$B$7))*'01_설정'!$B$16+MAX(0,(1-Q288/'01_설정'!$B$8))*'01_설정'!$B$17+L288*'01_설정'!$B$11+M288*'01_설정'!$B$12+N288*50)</f>
        <v/>
      </c>
      <c r="T288">
        <f>IF(S288="","",1+COUNTIFS($S$31:$S$1030,"&gt;"&amp;S288)+COUNTIFS($S$31:S288,S288)-1)</f>
        <v/>
      </c>
    </row>
    <row r="289" hidden="1" ht="16.5" customHeight="1">
      <c r="A289">
        <f>IF(COUNTA('05_KAPA'!$A260:$AO260)=0,"",262)</f>
        <v/>
      </c>
      <c r="B289">
        <f>IF($A289="","",INDEX('05_KAPA'!$B:$B,$A289))</f>
        <v/>
      </c>
      <c r="C289">
        <f>IF($A289="","",INDEX('05_KAPA'!$F:$F,$A289))</f>
        <v/>
      </c>
      <c r="D289">
        <f>IF($A289="","",INDEX('05_KAPA'!$H:$H,$A289))</f>
        <v/>
      </c>
      <c r="E289">
        <f>IF($A289="","",INDEX('05_KAPA'!$K:$K,$A289))</f>
        <v/>
      </c>
      <c r="F289">
        <f>IF($A289="","",INDEX('05_KAPA'!$L:$L,$A289))</f>
        <v/>
      </c>
      <c r="G289">
        <f>IF($A289="","",INDEX('05_KAPA'!$I:$I,$A289))</f>
        <v/>
      </c>
      <c r="H289" s="202">
        <f>IF($A289="","",INDEX('05_KAPA'!$P:$P,$A289))</f>
        <v/>
      </c>
      <c r="I289" s="118">
        <f>IF($A289="","",INDEX('05_KAPA'!$O:$O,$A289))</f>
        <v/>
      </c>
      <c r="J289" s="202">
        <f>IF($A289="","",IFERROR(DATE(LEFT(TEXT(INDEX('05_KAPA'!$T:$T,$A289),"0"),4),MID(TEXT(INDEX('05_KAPA'!$T:$T,$A289),"0"),5,2),RIGHT(TEXT(INDEX('05_KAPA'!$T:$T,$A289),"0"),2)),""))</f>
        <v/>
      </c>
      <c r="K289">
        <f>IF(C289="","",IF('02_대상물건입력'!$B$5="",1,IF(ISNUMBER(SEARCH('02_대상물건입력'!$B$5,C289)),1,0)))</f>
        <v/>
      </c>
      <c r="L289">
        <f>IF(C289="","",IF('02_대상물건입력'!$B$6="",1,IF(ISNUMBER(SEARCH('02_대상물건입력'!$B$6,C289)),1,0)))</f>
        <v/>
      </c>
      <c r="M289">
        <f>IF(E289="","",IF('02_대상물건입력'!$B$8="",0,IF(ISNUMBER(SEARCH('02_대상물건입력'!$B$8,E289)),1,0)))</f>
        <v/>
      </c>
      <c r="N289">
        <f>IF(B289="","",IF(B289="담보",1,0))</f>
        <v/>
      </c>
      <c r="O289">
        <f>IFERROR(ABS(G289-'02_대상물건입력'!$B$11)/'02_대상물건입력'!$B$11,"")</f>
        <v/>
      </c>
      <c r="P289">
        <f>IFERROR(ABS('01_설정'!$B$4-H289),"")</f>
        <v/>
      </c>
      <c r="Q289">
        <f>IFERROR(ABS(YEAR(J289)-YEAR('02_대상물건입력'!$B$14)),"")</f>
        <v/>
      </c>
      <c r="R289">
        <f>IF(AND(G289&gt;0,H289&gt;0,I289&gt;0,N289=1,IF('01_설정'!$B$10=1,K289=1,TRUE()),O289&lt;='01_설정'!$B$5,P289&lt;='01_설정'!$B$7,Q289&lt;='01_설정'!$B$8),"Y","")</f>
        <v/>
      </c>
      <c r="S289">
        <f>IF(R289&lt;&gt;"Y","",MAX(0,(1-O289/'01_설정'!$B$5))*'01_설정'!$B$14+MAX(0,(1-P289/'01_설정'!$B$7))*'01_설정'!$B$16+MAX(0,(1-Q289/'01_설정'!$B$8))*'01_설정'!$B$17+L289*'01_설정'!$B$11+M289*'01_설정'!$B$12+N289*50)</f>
        <v/>
      </c>
      <c r="T289">
        <f>IF(S289="","",1+COUNTIFS($S$31:$S$1030,"&gt;"&amp;S289)+COUNTIFS($S$31:S289,S289)-1)</f>
        <v/>
      </c>
    </row>
    <row r="290" hidden="1" ht="16.5" customHeight="1">
      <c r="A290">
        <f>IF(COUNTA('05_KAPA'!$A261:$AO261)=0,"",263)</f>
        <v/>
      </c>
      <c r="B290">
        <f>IF($A290="","",INDEX('05_KAPA'!$B:$B,$A290))</f>
        <v/>
      </c>
      <c r="C290">
        <f>IF($A290="","",INDEX('05_KAPA'!$F:$F,$A290))</f>
        <v/>
      </c>
      <c r="D290">
        <f>IF($A290="","",INDEX('05_KAPA'!$H:$H,$A290))</f>
        <v/>
      </c>
      <c r="E290">
        <f>IF($A290="","",INDEX('05_KAPA'!$K:$K,$A290))</f>
        <v/>
      </c>
      <c r="F290">
        <f>IF($A290="","",INDEX('05_KAPA'!$L:$L,$A290))</f>
        <v/>
      </c>
      <c r="G290">
        <f>IF($A290="","",INDEX('05_KAPA'!$I:$I,$A290))</f>
        <v/>
      </c>
      <c r="H290" s="202">
        <f>IF($A290="","",INDEX('05_KAPA'!$P:$P,$A290))</f>
        <v/>
      </c>
      <c r="I290" s="118">
        <f>IF($A290="","",INDEX('05_KAPA'!$O:$O,$A290))</f>
        <v/>
      </c>
      <c r="J290" s="202">
        <f>IF($A290="","",IFERROR(DATE(LEFT(TEXT(INDEX('05_KAPA'!$T:$T,$A290),"0"),4),MID(TEXT(INDEX('05_KAPA'!$T:$T,$A290),"0"),5,2),RIGHT(TEXT(INDEX('05_KAPA'!$T:$T,$A290),"0"),2)),""))</f>
        <v/>
      </c>
      <c r="K290">
        <f>IF(C290="","",IF('02_대상물건입력'!$B$5="",1,IF(ISNUMBER(SEARCH('02_대상물건입력'!$B$5,C290)),1,0)))</f>
        <v/>
      </c>
      <c r="L290">
        <f>IF(C290="","",IF('02_대상물건입력'!$B$6="",1,IF(ISNUMBER(SEARCH('02_대상물건입력'!$B$6,C290)),1,0)))</f>
        <v/>
      </c>
      <c r="M290">
        <f>IF(E290="","",IF('02_대상물건입력'!$B$8="",0,IF(ISNUMBER(SEARCH('02_대상물건입력'!$B$8,E290)),1,0)))</f>
        <v/>
      </c>
      <c r="N290">
        <f>IF(B290="","",IF(B290="담보",1,0))</f>
        <v/>
      </c>
      <c r="O290">
        <f>IFERROR(ABS(G290-'02_대상물건입력'!$B$11)/'02_대상물건입력'!$B$11,"")</f>
        <v/>
      </c>
      <c r="P290">
        <f>IFERROR(ABS('01_설정'!$B$4-H290),"")</f>
        <v/>
      </c>
      <c r="Q290">
        <f>IFERROR(ABS(YEAR(J290)-YEAR('02_대상물건입력'!$B$14)),"")</f>
        <v/>
      </c>
      <c r="R290">
        <f>IF(AND(G290&gt;0,H290&gt;0,I290&gt;0,N290=1,IF('01_설정'!$B$10=1,K290=1,TRUE()),O290&lt;='01_설정'!$B$5,P290&lt;='01_설정'!$B$7,Q290&lt;='01_설정'!$B$8),"Y","")</f>
        <v/>
      </c>
      <c r="S290">
        <f>IF(R290&lt;&gt;"Y","",MAX(0,(1-O290/'01_설정'!$B$5))*'01_설정'!$B$14+MAX(0,(1-P290/'01_설정'!$B$7))*'01_설정'!$B$16+MAX(0,(1-Q290/'01_설정'!$B$8))*'01_설정'!$B$17+L290*'01_설정'!$B$11+M290*'01_설정'!$B$12+N290*50)</f>
        <v/>
      </c>
      <c r="T290">
        <f>IF(S290="","",1+COUNTIFS($S$31:$S$1030,"&gt;"&amp;S290)+COUNTIFS($S$31:S290,S290)-1)</f>
        <v/>
      </c>
    </row>
    <row r="291" hidden="1" ht="16.5" customHeight="1">
      <c r="A291">
        <f>IF(COUNTA('05_KAPA'!$A262:$AO262)=0,"",264)</f>
        <v/>
      </c>
      <c r="B291">
        <f>IF($A291="","",INDEX('05_KAPA'!$B:$B,$A291))</f>
        <v/>
      </c>
      <c r="C291">
        <f>IF($A291="","",INDEX('05_KAPA'!$F:$F,$A291))</f>
        <v/>
      </c>
      <c r="D291">
        <f>IF($A291="","",INDEX('05_KAPA'!$H:$H,$A291))</f>
        <v/>
      </c>
      <c r="E291">
        <f>IF($A291="","",INDEX('05_KAPA'!$K:$K,$A291))</f>
        <v/>
      </c>
      <c r="F291">
        <f>IF($A291="","",INDEX('05_KAPA'!$L:$L,$A291))</f>
        <v/>
      </c>
      <c r="G291">
        <f>IF($A291="","",INDEX('05_KAPA'!$I:$I,$A291))</f>
        <v/>
      </c>
      <c r="H291" s="202">
        <f>IF($A291="","",INDEX('05_KAPA'!$P:$P,$A291))</f>
        <v/>
      </c>
      <c r="I291" s="118">
        <f>IF($A291="","",INDEX('05_KAPA'!$O:$O,$A291))</f>
        <v/>
      </c>
      <c r="J291" s="202">
        <f>IF($A291="","",IFERROR(DATE(LEFT(TEXT(INDEX('05_KAPA'!$T:$T,$A291),"0"),4),MID(TEXT(INDEX('05_KAPA'!$T:$T,$A291),"0"),5,2),RIGHT(TEXT(INDEX('05_KAPA'!$T:$T,$A291),"0"),2)),""))</f>
        <v/>
      </c>
      <c r="K291">
        <f>IF(C291="","",IF('02_대상물건입력'!$B$5="",1,IF(ISNUMBER(SEARCH('02_대상물건입력'!$B$5,C291)),1,0)))</f>
        <v/>
      </c>
      <c r="L291">
        <f>IF(C291="","",IF('02_대상물건입력'!$B$6="",1,IF(ISNUMBER(SEARCH('02_대상물건입력'!$B$6,C291)),1,0)))</f>
        <v/>
      </c>
      <c r="M291">
        <f>IF(E291="","",IF('02_대상물건입력'!$B$8="",0,IF(ISNUMBER(SEARCH('02_대상물건입력'!$B$8,E291)),1,0)))</f>
        <v/>
      </c>
      <c r="N291">
        <f>IF(B291="","",IF(B291="담보",1,0))</f>
        <v/>
      </c>
      <c r="O291">
        <f>IFERROR(ABS(G291-'02_대상물건입력'!$B$11)/'02_대상물건입력'!$B$11,"")</f>
        <v/>
      </c>
      <c r="P291">
        <f>IFERROR(ABS('01_설정'!$B$4-H291),"")</f>
        <v/>
      </c>
      <c r="Q291">
        <f>IFERROR(ABS(YEAR(J291)-YEAR('02_대상물건입력'!$B$14)),"")</f>
        <v/>
      </c>
      <c r="R291">
        <f>IF(AND(G291&gt;0,H291&gt;0,I291&gt;0,N291=1,IF('01_설정'!$B$10=1,K291=1,TRUE()),O291&lt;='01_설정'!$B$5,P291&lt;='01_설정'!$B$7,Q291&lt;='01_설정'!$B$8),"Y","")</f>
        <v/>
      </c>
      <c r="S291">
        <f>IF(R291&lt;&gt;"Y","",MAX(0,(1-O291/'01_설정'!$B$5))*'01_설정'!$B$14+MAX(0,(1-P291/'01_설정'!$B$7))*'01_설정'!$B$16+MAX(0,(1-Q291/'01_설정'!$B$8))*'01_설정'!$B$17+L291*'01_설정'!$B$11+M291*'01_설정'!$B$12+N291*50)</f>
        <v/>
      </c>
      <c r="T291">
        <f>IF(S291="","",1+COUNTIFS($S$31:$S$1030,"&gt;"&amp;S291)+COUNTIFS($S$31:S291,S291)-1)</f>
        <v/>
      </c>
    </row>
    <row r="292" hidden="1" ht="16.5" customHeight="1">
      <c r="A292">
        <f>IF(COUNTA('05_KAPA'!$A263:$AO263)=0,"",265)</f>
        <v/>
      </c>
      <c r="B292">
        <f>IF($A292="","",INDEX('05_KAPA'!$B:$B,$A292))</f>
        <v/>
      </c>
      <c r="C292">
        <f>IF($A292="","",INDEX('05_KAPA'!$F:$F,$A292))</f>
        <v/>
      </c>
      <c r="D292">
        <f>IF($A292="","",INDEX('05_KAPA'!$H:$H,$A292))</f>
        <v/>
      </c>
      <c r="E292">
        <f>IF($A292="","",INDEX('05_KAPA'!$K:$K,$A292))</f>
        <v/>
      </c>
      <c r="F292">
        <f>IF($A292="","",INDEX('05_KAPA'!$L:$L,$A292))</f>
        <v/>
      </c>
      <c r="G292">
        <f>IF($A292="","",INDEX('05_KAPA'!$I:$I,$A292))</f>
        <v/>
      </c>
      <c r="H292" s="202">
        <f>IF($A292="","",INDEX('05_KAPA'!$P:$P,$A292))</f>
        <v/>
      </c>
      <c r="I292" s="118">
        <f>IF($A292="","",INDEX('05_KAPA'!$O:$O,$A292))</f>
        <v/>
      </c>
      <c r="J292" s="202">
        <f>IF($A292="","",IFERROR(DATE(LEFT(TEXT(INDEX('05_KAPA'!$T:$T,$A292),"0"),4),MID(TEXT(INDEX('05_KAPA'!$T:$T,$A292),"0"),5,2),RIGHT(TEXT(INDEX('05_KAPA'!$T:$T,$A292),"0"),2)),""))</f>
        <v/>
      </c>
      <c r="K292">
        <f>IF(C292="","",IF('02_대상물건입력'!$B$5="",1,IF(ISNUMBER(SEARCH('02_대상물건입력'!$B$5,C292)),1,0)))</f>
        <v/>
      </c>
      <c r="L292">
        <f>IF(C292="","",IF('02_대상물건입력'!$B$6="",1,IF(ISNUMBER(SEARCH('02_대상물건입력'!$B$6,C292)),1,0)))</f>
        <v/>
      </c>
      <c r="M292">
        <f>IF(E292="","",IF('02_대상물건입력'!$B$8="",0,IF(ISNUMBER(SEARCH('02_대상물건입력'!$B$8,E292)),1,0)))</f>
        <v/>
      </c>
      <c r="N292">
        <f>IF(B292="","",IF(B292="담보",1,0))</f>
        <v/>
      </c>
      <c r="O292">
        <f>IFERROR(ABS(G292-'02_대상물건입력'!$B$11)/'02_대상물건입력'!$B$11,"")</f>
        <v/>
      </c>
      <c r="P292">
        <f>IFERROR(ABS('01_설정'!$B$4-H292),"")</f>
        <v/>
      </c>
      <c r="Q292">
        <f>IFERROR(ABS(YEAR(J292)-YEAR('02_대상물건입력'!$B$14)),"")</f>
        <v/>
      </c>
      <c r="R292">
        <f>IF(AND(G292&gt;0,H292&gt;0,I292&gt;0,N292=1,IF('01_설정'!$B$10=1,K292=1,TRUE()),O292&lt;='01_설정'!$B$5,P292&lt;='01_설정'!$B$7,Q292&lt;='01_설정'!$B$8),"Y","")</f>
        <v/>
      </c>
      <c r="S292">
        <f>IF(R292&lt;&gt;"Y","",MAX(0,(1-O292/'01_설정'!$B$5))*'01_설정'!$B$14+MAX(0,(1-P292/'01_설정'!$B$7))*'01_설정'!$B$16+MAX(0,(1-Q292/'01_설정'!$B$8))*'01_설정'!$B$17+L292*'01_설정'!$B$11+M292*'01_설정'!$B$12+N292*50)</f>
        <v/>
      </c>
      <c r="T292">
        <f>IF(S292="","",1+COUNTIFS($S$31:$S$1030,"&gt;"&amp;S292)+COUNTIFS($S$31:S292,S292)-1)</f>
        <v/>
      </c>
    </row>
    <row r="293" hidden="1" ht="16.5" customHeight="1">
      <c r="A293">
        <f>IF(COUNTA('05_KAPA'!$A264:$AO264)=0,"",266)</f>
        <v/>
      </c>
      <c r="B293">
        <f>IF($A293="","",INDEX('05_KAPA'!$B:$B,$A293))</f>
        <v/>
      </c>
      <c r="C293">
        <f>IF($A293="","",INDEX('05_KAPA'!$F:$F,$A293))</f>
        <v/>
      </c>
      <c r="D293">
        <f>IF($A293="","",INDEX('05_KAPA'!$H:$H,$A293))</f>
        <v/>
      </c>
      <c r="E293">
        <f>IF($A293="","",INDEX('05_KAPA'!$K:$K,$A293))</f>
        <v/>
      </c>
      <c r="F293">
        <f>IF($A293="","",INDEX('05_KAPA'!$L:$L,$A293))</f>
        <v/>
      </c>
      <c r="G293">
        <f>IF($A293="","",INDEX('05_KAPA'!$I:$I,$A293))</f>
        <v/>
      </c>
      <c r="H293" s="202">
        <f>IF($A293="","",INDEX('05_KAPA'!$P:$P,$A293))</f>
        <v/>
      </c>
      <c r="I293" s="118">
        <f>IF($A293="","",INDEX('05_KAPA'!$O:$O,$A293))</f>
        <v/>
      </c>
      <c r="J293" s="202">
        <f>IF($A293="","",IFERROR(DATE(LEFT(TEXT(INDEX('05_KAPA'!$T:$T,$A293),"0"),4),MID(TEXT(INDEX('05_KAPA'!$T:$T,$A293),"0"),5,2),RIGHT(TEXT(INDEX('05_KAPA'!$T:$T,$A293),"0"),2)),""))</f>
        <v/>
      </c>
      <c r="K293">
        <f>IF(C293="","",IF('02_대상물건입력'!$B$5="",1,IF(ISNUMBER(SEARCH('02_대상물건입력'!$B$5,C293)),1,0)))</f>
        <v/>
      </c>
      <c r="L293">
        <f>IF(C293="","",IF('02_대상물건입력'!$B$6="",1,IF(ISNUMBER(SEARCH('02_대상물건입력'!$B$6,C293)),1,0)))</f>
        <v/>
      </c>
      <c r="M293">
        <f>IF(E293="","",IF('02_대상물건입력'!$B$8="",0,IF(ISNUMBER(SEARCH('02_대상물건입력'!$B$8,E293)),1,0)))</f>
        <v/>
      </c>
      <c r="N293">
        <f>IF(B293="","",IF(B293="담보",1,0))</f>
        <v/>
      </c>
      <c r="O293">
        <f>IFERROR(ABS(G293-'02_대상물건입력'!$B$11)/'02_대상물건입력'!$B$11,"")</f>
        <v/>
      </c>
      <c r="P293">
        <f>IFERROR(ABS('01_설정'!$B$4-H293),"")</f>
        <v/>
      </c>
      <c r="Q293">
        <f>IFERROR(ABS(YEAR(J293)-YEAR('02_대상물건입력'!$B$14)),"")</f>
        <v/>
      </c>
      <c r="R293">
        <f>IF(AND(G293&gt;0,H293&gt;0,I293&gt;0,N293=1,IF('01_설정'!$B$10=1,K293=1,TRUE()),O293&lt;='01_설정'!$B$5,P293&lt;='01_설정'!$B$7,Q293&lt;='01_설정'!$B$8),"Y","")</f>
        <v/>
      </c>
      <c r="S293">
        <f>IF(R293&lt;&gt;"Y","",MAX(0,(1-O293/'01_설정'!$B$5))*'01_설정'!$B$14+MAX(0,(1-P293/'01_설정'!$B$7))*'01_설정'!$B$16+MAX(0,(1-Q293/'01_설정'!$B$8))*'01_설정'!$B$17+L293*'01_설정'!$B$11+M293*'01_설정'!$B$12+N293*50)</f>
        <v/>
      </c>
      <c r="T293">
        <f>IF(S293="","",1+COUNTIFS($S$31:$S$1030,"&gt;"&amp;S293)+COUNTIFS($S$31:S293,S293)-1)</f>
        <v/>
      </c>
    </row>
    <row r="294" hidden="1" ht="16.5" customHeight="1">
      <c r="A294">
        <f>IF(COUNTA('05_KAPA'!$A265:$AO265)=0,"",267)</f>
        <v/>
      </c>
      <c r="B294">
        <f>IF($A294="","",INDEX('05_KAPA'!$B:$B,$A294))</f>
        <v/>
      </c>
      <c r="C294">
        <f>IF($A294="","",INDEX('05_KAPA'!$F:$F,$A294))</f>
        <v/>
      </c>
      <c r="D294">
        <f>IF($A294="","",INDEX('05_KAPA'!$H:$H,$A294))</f>
        <v/>
      </c>
      <c r="E294">
        <f>IF($A294="","",INDEX('05_KAPA'!$K:$K,$A294))</f>
        <v/>
      </c>
      <c r="F294">
        <f>IF($A294="","",INDEX('05_KAPA'!$L:$L,$A294))</f>
        <v/>
      </c>
      <c r="G294">
        <f>IF($A294="","",INDEX('05_KAPA'!$I:$I,$A294))</f>
        <v/>
      </c>
      <c r="H294" s="202">
        <f>IF($A294="","",INDEX('05_KAPA'!$P:$P,$A294))</f>
        <v/>
      </c>
      <c r="I294" s="118">
        <f>IF($A294="","",INDEX('05_KAPA'!$O:$O,$A294))</f>
        <v/>
      </c>
      <c r="J294" s="202">
        <f>IF($A294="","",IFERROR(DATE(LEFT(TEXT(INDEX('05_KAPA'!$T:$T,$A294),"0"),4),MID(TEXT(INDEX('05_KAPA'!$T:$T,$A294),"0"),5,2),RIGHT(TEXT(INDEX('05_KAPA'!$T:$T,$A294),"0"),2)),""))</f>
        <v/>
      </c>
      <c r="K294">
        <f>IF(C294="","",IF('02_대상물건입력'!$B$5="",1,IF(ISNUMBER(SEARCH('02_대상물건입력'!$B$5,C294)),1,0)))</f>
        <v/>
      </c>
      <c r="L294">
        <f>IF(C294="","",IF('02_대상물건입력'!$B$6="",1,IF(ISNUMBER(SEARCH('02_대상물건입력'!$B$6,C294)),1,0)))</f>
        <v/>
      </c>
      <c r="M294">
        <f>IF(E294="","",IF('02_대상물건입력'!$B$8="",0,IF(ISNUMBER(SEARCH('02_대상물건입력'!$B$8,E294)),1,0)))</f>
        <v/>
      </c>
      <c r="N294">
        <f>IF(B294="","",IF(B294="담보",1,0))</f>
        <v/>
      </c>
      <c r="O294">
        <f>IFERROR(ABS(G294-'02_대상물건입력'!$B$11)/'02_대상물건입력'!$B$11,"")</f>
        <v/>
      </c>
      <c r="P294">
        <f>IFERROR(ABS('01_설정'!$B$4-H294),"")</f>
        <v/>
      </c>
      <c r="Q294">
        <f>IFERROR(ABS(YEAR(J294)-YEAR('02_대상물건입력'!$B$14)),"")</f>
        <v/>
      </c>
      <c r="R294">
        <f>IF(AND(G294&gt;0,H294&gt;0,I294&gt;0,N294=1,IF('01_설정'!$B$10=1,K294=1,TRUE()),O294&lt;='01_설정'!$B$5,P294&lt;='01_설정'!$B$7,Q294&lt;='01_설정'!$B$8),"Y","")</f>
        <v/>
      </c>
      <c r="S294">
        <f>IF(R294&lt;&gt;"Y","",MAX(0,(1-O294/'01_설정'!$B$5))*'01_설정'!$B$14+MAX(0,(1-P294/'01_설정'!$B$7))*'01_설정'!$B$16+MAX(0,(1-Q294/'01_설정'!$B$8))*'01_설정'!$B$17+L294*'01_설정'!$B$11+M294*'01_설정'!$B$12+N294*50)</f>
        <v/>
      </c>
      <c r="T294">
        <f>IF(S294="","",1+COUNTIFS($S$31:$S$1030,"&gt;"&amp;S294)+COUNTIFS($S$31:S294,S294)-1)</f>
        <v/>
      </c>
    </row>
    <row r="295" hidden="1" ht="16.5" customHeight="1">
      <c r="A295">
        <f>IF(COUNTA('05_KAPA'!$A266:$AO266)=0,"",268)</f>
        <v/>
      </c>
      <c r="B295">
        <f>IF($A295="","",INDEX('05_KAPA'!$B:$B,$A295))</f>
        <v/>
      </c>
      <c r="C295">
        <f>IF($A295="","",INDEX('05_KAPA'!$F:$F,$A295))</f>
        <v/>
      </c>
      <c r="D295">
        <f>IF($A295="","",INDEX('05_KAPA'!$H:$H,$A295))</f>
        <v/>
      </c>
      <c r="E295">
        <f>IF($A295="","",INDEX('05_KAPA'!$K:$K,$A295))</f>
        <v/>
      </c>
      <c r="F295">
        <f>IF($A295="","",INDEX('05_KAPA'!$L:$L,$A295))</f>
        <v/>
      </c>
      <c r="G295">
        <f>IF($A295="","",INDEX('05_KAPA'!$I:$I,$A295))</f>
        <v/>
      </c>
      <c r="H295" s="202">
        <f>IF($A295="","",INDEX('05_KAPA'!$P:$P,$A295))</f>
        <v/>
      </c>
      <c r="I295" s="118">
        <f>IF($A295="","",INDEX('05_KAPA'!$O:$O,$A295))</f>
        <v/>
      </c>
      <c r="J295" s="202">
        <f>IF($A295="","",IFERROR(DATE(LEFT(TEXT(INDEX('05_KAPA'!$T:$T,$A295),"0"),4),MID(TEXT(INDEX('05_KAPA'!$T:$T,$A295),"0"),5,2),RIGHT(TEXT(INDEX('05_KAPA'!$T:$T,$A295),"0"),2)),""))</f>
        <v/>
      </c>
      <c r="K295">
        <f>IF(C295="","",IF('02_대상물건입력'!$B$5="",1,IF(ISNUMBER(SEARCH('02_대상물건입력'!$B$5,C295)),1,0)))</f>
        <v/>
      </c>
      <c r="L295">
        <f>IF(C295="","",IF('02_대상물건입력'!$B$6="",1,IF(ISNUMBER(SEARCH('02_대상물건입력'!$B$6,C295)),1,0)))</f>
        <v/>
      </c>
      <c r="M295">
        <f>IF(E295="","",IF('02_대상물건입력'!$B$8="",0,IF(ISNUMBER(SEARCH('02_대상물건입력'!$B$8,E295)),1,0)))</f>
        <v/>
      </c>
      <c r="N295">
        <f>IF(B295="","",IF(B295="담보",1,0))</f>
        <v/>
      </c>
      <c r="O295">
        <f>IFERROR(ABS(G295-'02_대상물건입력'!$B$11)/'02_대상물건입력'!$B$11,"")</f>
        <v/>
      </c>
      <c r="P295">
        <f>IFERROR(ABS('01_설정'!$B$4-H295),"")</f>
        <v/>
      </c>
      <c r="Q295">
        <f>IFERROR(ABS(YEAR(J295)-YEAR('02_대상물건입력'!$B$14)),"")</f>
        <v/>
      </c>
      <c r="R295">
        <f>IF(AND(G295&gt;0,H295&gt;0,I295&gt;0,N295=1,IF('01_설정'!$B$10=1,K295=1,TRUE()),O295&lt;='01_설정'!$B$5,P295&lt;='01_설정'!$B$7,Q295&lt;='01_설정'!$B$8),"Y","")</f>
        <v/>
      </c>
      <c r="S295">
        <f>IF(R295&lt;&gt;"Y","",MAX(0,(1-O295/'01_설정'!$B$5))*'01_설정'!$B$14+MAX(0,(1-P295/'01_설정'!$B$7))*'01_설정'!$B$16+MAX(0,(1-Q295/'01_설정'!$B$8))*'01_설정'!$B$17+L295*'01_설정'!$B$11+M295*'01_설정'!$B$12+N295*50)</f>
        <v/>
      </c>
      <c r="T295">
        <f>IF(S295="","",1+COUNTIFS($S$31:$S$1030,"&gt;"&amp;S295)+COUNTIFS($S$31:S295,S295)-1)</f>
        <v/>
      </c>
    </row>
    <row r="296" hidden="1" ht="16.5" customHeight="1">
      <c r="A296">
        <f>IF(COUNTA('05_KAPA'!$A267:$AO267)=0,"",269)</f>
        <v/>
      </c>
      <c r="B296">
        <f>IF($A296="","",INDEX('05_KAPA'!$B:$B,$A296))</f>
        <v/>
      </c>
      <c r="C296">
        <f>IF($A296="","",INDEX('05_KAPA'!$F:$F,$A296))</f>
        <v/>
      </c>
      <c r="D296">
        <f>IF($A296="","",INDEX('05_KAPA'!$H:$H,$A296))</f>
        <v/>
      </c>
      <c r="E296">
        <f>IF($A296="","",INDEX('05_KAPA'!$K:$K,$A296))</f>
        <v/>
      </c>
      <c r="F296">
        <f>IF($A296="","",INDEX('05_KAPA'!$L:$L,$A296))</f>
        <v/>
      </c>
      <c r="G296">
        <f>IF($A296="","",INDEX('05_KAPA'!$I:$I,$A296))</f>
        <v/>
      </c>
      <c r="H296" s="202">
        <f>IF($A296="","",INDEX('05_KAPA'!$P:$P,$A296))</f>
        <v/>
      </c>
      <c r="I296" s="118">
        <f>IF($A296="","",INDEX('05_KAPA'!$O:$O,$A296))</f>
        <v/>
      </c>
      <c r="J296" s="202">
        <f>IF($A296="","",IFERROR(DATE(LEFT(TEXT(INDEX('05_KAPA'!$T:$T,$A296),"0"),4),MID(TEXT(INDEX('05_KAPA'!$T:$T,$A296),"0"),5,2),RIGHT(TEXT(INDEX('05_KAPA'!$T:$T,$A296),"0"),2)),""))</f>
        <v/>
      </c>
      <c r="K296">
        <f>IF(C296="","",IF('02_대상물건입력'!$B$5="",1,IF(ISNUMBER(SEARCH('02_대상물건입력'!$B$5,C296)),1,0)))</f>
        <v/>
      </c>
      <c r="L296">
        <f>IF(C296="","",IF('02_대상물건입력'!$B$6="",1,IF(ISNUMBER(SEARCH('02_대상물건입력'!$B$6,C296)),1,0)))</f>
        <v/>
      </c>
      <c r="M296">
        <f>IF(E296="","",IF('02_대상물건입력'!$B$8="",0,IF(ISNUMBER(SEARCH('02_대상물건입력'!$B$8,E296)),1,0)))</f>
        <v/>
      </c>
      <c r="N296">
        <f>IF(B296="","",IF(B296="담보",1,0))</f>
        <v/>
      </c>
      <c r="O296">
        <f>IFERROR(ABS(G296-'02_대상물건입력'!$B$11)/'02_대상물건입력'!$B$11,"")</f>
        <v/>
      </c>
      <c r="P296">
        <f>IFERROR(ABS('01_설정'!$B$4-H296),"")</f>
        <v/>
      </c>
      <c r="Q296">
        <f>IFERROR(ABS(YEAR(J296)-YEAR('02_대상물건입력'!$B$14)),"")</f>
        <v/>
      </c>
      <c r="R296">
        <f>IF(AND(G296&gt;0,H296&gt;0,I296&gt;0,N296=1,IF('01_설정'!$B$10=1,K296=1,TRUE()),O296&lt;='01_설정'!$B$5,P296&lt;='01_설정'!$B$7,Q296&lt;='01_설정'!$B$8),"Y","")</f>
        <v/>
      </c>
      <c r="S296">
        <f>IF(R296&lt;&gt;"Y","",MAX(0,(1-O296/'01_설정'!$B$5))*'01_설정'!$B$14+MAX(0,(1-P296/'01_설정'!$B$7))*'01_설정'!$B$16+MAX(0,(1-Q296/'01_설정'!$B$8))*'01_설정'!$B$17+L296*'01_설정'!$B$11+M296*'01_설정'!$B$12+N296*50)</f>
        <v/>
      </c>
      <c r="T296">
        <f>IF(S296="","",1+COUNTIFS($S$31:$S$1030,"&gt;"&amp;S296)+COUNTIFS($S$31:S296,S296)-1)</f>
        <v/>
      </c>
    </row>
    <row r="297" hidden="1" ht="16.5" customHeight="1">
      <c r="A297">
        <f>IF(COUNTA('05_KAPA'!$A268:$AO268)=0,"",270)</f>
        <v/>
      </c>
      <c r="B297">
        <f>IF($A297="","",INDEX('05_KAPA'!$B:$B,$A297))</f>
        <v/>
      </c>
      <c r="C297">
        <f>IF($A297="","",INDEX('05_KAPA'!$F:$F,$A297))</f>
        <v/>
      </c>
      <c r="D297">
        <f>IF($A297="","",INDEX('05_KAPA'!$H:$H,$A297))</f>
        <v/>
      </c>
      <c r="E297">
        <f>IF($A297="","",INDEX('05_KAPA'!$K:$K,$A297))</f>
        <v/>
      </c>
      <c r="F297">
        <f>IF($A297="","",INDEX('05_KAPA'!$L:$L,$A297))</f>
        <v/>
      </c>
      <c r="G297">
        <f>IF($A297="","",INDEX('05_KAPA'!$I:$I,$A297))</f>
        <v/>
      </c>
      <c r="H297" s="202">
        <f>IF($A297="","",INDEX('05_KAPA'!$P:$P,$A297))</f>
        <v/>
      </c>
      <c r="I297" s="118">
        <f>IF($A297="","",INDEX('05_KAPA'!$O:$O,$A297))</f>
        <v/>
      </c>
      <c r="J297" s="202">
        <f>IF($A297="","",IFERROR(DATE(LEFT(TEXT(INDEX('05_KAPA'!$T:$T,$A297),"0"),4),MID(TEXT(INDEX('05_KAPA'!$T:$T,$A297),"0"),5,2),RIGHT(TEXT(INDEX('05_KAPA'!$T:$T,$A297),"0"),2)),""))</f>
        <v/>
      </c>
      <c r="K297">
        <f>IF(C297="","",IF('02_대상물건입력'!$B$5="",1,IF(ISNUMBER(SEARCH('02_대상물건입력'!$B$5,C297)),1,0)))</f>
        <v/>
      </c>
      <c r="L297">
        <f>IF(C297="","",IF('02_대상물건입력'!$B$6="",1,IF(ISNUMBER(SEARCH('02_대상물건입력'!$B$6,C297)),1,0)))</f>
        <v/>
      </c>
      <c r="M297">
        <f>IF(E297="","",IF('02_대상물건입력'!$B$8="",0,IF(ISNUMBER(SEARCH('02_대상물건입력'!$B$8,E297)),1,0)))</f>
        <v/>
      </c>
      <c r="N297">
        <f>IF(B297="","",IF(B297="담보",1,0))</f>
        <v/>
      </c>
      <c r="O297">
        <f>IFERROR(ABS(G297-'02_대상물건입력'!$B$11)/'02_대상물건입력'!$B$11,"")</f>
        <v/>
      </c>
      <c r="P297">
        <f>IFERROR(ABS('01_설정'!$B$4-H297),"")</f>
        <v/>
      </c>
      <c r="Q297">
        <f>IFERROR(ABS(YEAR(J297)-YEAR('02_대상물건입력'!$B$14)),"")</f>
        <v/>
      </c>
      <c r="R297">
        <f>IF(AND(G297&gt;0,H297&gt;0,I297&gt;0,N297=1,IF('01_설정'!$B$10=1,K297=1,TRUE()),O297&lt;='01_설정'!$B$5,P297&lt;='01_설정'!$B$7,Q297&lt;='01_설정'!$B$8),"Y","")</f>
        <v/>
      </c>
      <c r="S297">
        <f>IF(R297&lt;&gt;"Y","",MAX(0,(1-O297/'01_설정'!$B$5))*'01_설정'!$B$14+MAX(0,(1-P297/'01_설정'!$B$7))*'01_설정'!$B$16+MAX(0,(1-Q297/'01_설정'!$B$8))*'01_설정'!$B$17+L297*'01_설정'!$B$11+M297*'01_설정'!$B$12+N297*50)</f>
        <v/>
      </c>
      <c r="T297">
        <f>IF(S297="","",1+COUNTIFS($S$31:$S$1030,"&gt;"&amp;S297)+COUNTIFS($S$31:S297,S297)-1)</f>
        <v/>
      </c>
    </row>
    <row r="298" hidden="1" ht="16.5" customHeight="1">
      <c r="A298">
        <f>IF(COUNTA('05_KAPA'!$A269:$AO269)=0,"",271)</f>
        <v/>
      </c>
      <c r="B298">
        <f>IF($A298="","",INDEX('05_KAPA'!$B:$B,$A298))</f>
        <v/>
      </c>
      <c r="C298">
        <f>IF($A298="","",INDEX('05_KAPA'!$F:$F,$A298))</f>
        <v/>
      </c>
      <c r="D298">
        <f>IF($A298="","",INDEX('05_KAPA'!$H:$H,$A298))</f>
        <v/>
      </c>
      <c r="E298">
        <f>IF($A298="","",INDEX('05_KAPA'!$K:$K,$A298))</f>
        <v/>
      </c>
      <c r="F298">
        <f>IF($A298="","",INDEX('05_KAPA'!$L:$L,$A298))</f>
        <v/>
      </c>
      <c r="G298">
        <f>IF($A298="","",INDEX('05_KAPA'!$I:$I,$A298))</f>
        <v/>
      </c>
      <c r="H298" s="202">
        <f>IF($A298="","",INDEX('05_KAPA'!$P:$P,$A298))</f>
        <v/>
      </c>
      <c r="I298" s="118">
        <f>IF($A298="","",INDEX('05_KAPA'!$O:$O,$A298))</f>
        <v/>
      </c>
      <c r="J298" s="202">
        <f>IF($A298="","",IFERROR(DATE(LEFT(TEXT(INDEX('05_KAPA'!$T:$T,$A298),"0"),4),MID(TEXT(INDEX('05_KAPA'!$T:$T,$A298),"0"),5,2),RIGHT(TEXT(INDEX('05_KAPA'!$T:$T,$A298),"0"),2)),""))</f>
        <v/>
      </c>
      <c r="K298">
        <f>IF(C298="","",IF('02_대상물건입력'!$B$5="",1,IF(ISNUMBER(SEARCH('02_대상물건입력'!$B$5,C298)),1,0)))</f>
        <v/>
      </c>
      <c r="L298">
        <f>IF(C298="","",IF('02_대상물건입력'!$B$6="",1,IF(ISNUMBER(SEARCH('02_대상물건입력'!$B$6,C298)),1,0)))</f>
        <v/>
      </c>
      <c r="M298">
        <f>IF(E298="","",IF('02_대상물건입력'!$B$8="",0,IF(ISNUMBER(SEARCH('02_대상물건입력'!$B$8,E298)),1,0)))</f>
        <v/>
      </c>
      <c r="N298">
        <f>IF(B298="","",IF(B298="담보",1,0))</f>
        <v/>
      </c>
      <c r="O298">
        <f>IFERROR(ABS(G298-'02_대상물건입력'!$B$11)/'02_대상물건입력'!$B$11,"")</f>
        <v/>
      </c>
      <c r="P298">
        <f>IFERROR(ABS('01_설정'!$B$4-H298),"")</f>
        <v/>
      </c>
      <c r="Q298">
        <f>IFERROR(ABS(YEAR(J298)-YEAR('02_대상물건입력'!$B$14)),"")</f>
        <v/>
      </c>
      <c r="R298">
        <f>IF(AND(G298&gt;0,H298&gt;0,I298&gt;0,N298=1,IF('01_설정'!$B$10=1,K298=1,TRUE()),O298&lt;='01_설정'!$B$5,P298&lt;='01_설정'!$B$7,Q298&lt;='01_설정'!$B$8),"Y","")</f>
        <v/>
      </c>
      <c r="S298">
        <f>IF(R298&lt;&gt;"Y","",MAX(0,(1-O298/'01_설정'!$B$5))*'01_설정'!$B$14+MAX(0,(1-P298/'01_설정'!$B$7))*'01_설정'!$B$16+MAX(0,(1-Q298/'01_설정'!$B$8))*'01_설정'!$B$17+L298*'01_설정'!$B$11+M298*'01_설정'!$B$12+N298*50)</f>
        <v/>
      </c>
      <c r="T298">
        <f>IF(S298="","",1+COUNTIFS($S$31:$S$1030,"&gt;"&amp;S298)+COUNTIFS($S$31:S298,S298)-1)</f>
        <v/>
      </c>
    </row>
    <row r="299" hidden="1" ht="16.5" customHeight="1">
      <c r="A299">
        <f>IF(COUNTA('05_KAPA'!$A270:$AO270)=0,"",272)</f>
        <v/>
      </c>
      <c r="B299">
        <f>IF($A299="","",INDEX('05_KAPA'!$B:$B,$A299))</f>
        <v/>
      </c>
      <c r="C299">
        <f>IF($A299="","",INDEX('05_KAPA'!$F:$F,$A299))</f>
        <v/>
      </c>
      <c r="D299">
        <f>IF($A299="","",INDEX('05_KAPA'!$H:$H,$A299))</f>
        <v/>
      </c>
      <c r="E299">
        <f>IF($A299="","",INDEX('05_KAPA'!$K:$K,$A299))</f>
        <v/>
      </c>
      <c r="F299">
        <f>IF($A299="","",INDEX('05_KAPA'!$L:$L,$A299))</f>
        <v/>
      </c>
      <c r="G299">
        <f>IF($A299="","",INDEX('05_KAPA'!$I:$I,$A299))</f>
        <v/>
      </c>
      <c r="H299" s="202">
        <f>IF($A299="","",INDEX('05_KAPA'!$P:$P,$A299))</f>
        <v/>
      </c>
      <c r="I299" s="118">
        <f>IF($A299="","",INDEX('05_KAPA'!$O:$O,$A299))</f>
        <v/>
      </c>
      <c r="J299" s="202">
        <f>IF($A299="","",IFERROR(DATE(LEFT(TEXT(INDEX('05_KAPA'!$T:$T,$A299),"0"),4),MID(TEXT(INDEX('05_KAPA'!$T:$T,$A299),"0"),5,2),RIGHT(TEXT(INDEX('05_KAPA'!$T:$T,$A299),"0"),2)),""))</f>
        <v/>
      </c>
      <c r="K299">
        <f>IF(C299="","",IF('02_대상물건입력'!$B$5="",1,IF(ISNUMBER(SEARCH('02_대상물건입력'!$B$5,C299)),1,0)))</f>
        <v/>
      </c>
      <c r="L299">
        <f>IF(C299="","",IF('02_대상물건입력'!$B$6="",1,IF(ISNUMBER(SEARCH('02_대상물건입력'!$B$6,C299)),1,0)))</f>
        <v/>
      </c>
      <c r="M299">
        <f>IF(E299="","",IF('02_대상물건입력'!$B$8="",0,IF(ISNUMBER(SEARCH('02_대상물건입력'!$B$8,E299)),1,0)))</f>
        <v/>
      </c>
      <c r="N299">
        <f>IF(B299="","",IF(B299="담보",1,0))</f>
        <v/>
      </c>
      <c r="O299">
        <f>IFERROR(ABS(G299-'02_대상물건입력'!$B$11)/'02_대상물건입력'!$B$11,"")</f>
        <v/>
      </c>
      <c r="P299">
        <f>IFERROR(ABS('01_설정'!$B$4-H299),"")</f>
        <v/>
      </c>
      <c r="Q299">
        <f>IFERROR(ABS(YEAR(J299)-YEAR('02_대상물건입력'!$B$14)),"")</f>
        <v/>
      </c>
      <c r="R299">
        <f>IF(AND(G299&gt;0,H299&gt;0,I299&gt;0,N299=1,IF('01_설정'!$B$10=1,K299=1,TRUE()),O299&lt;='01_설정'!$B$5,P299&lt;='01_설정'!$B$7,Q299&lt;='01_설정'!$B$8),"Y","")</f>
        <v/>
      </c>
      <c r="S299">
        <f>IF(R299&lt;&gt;"Y","",MAX(0,(1-O299/'01_설정'!$B$5))*'01_설정'!$B$14+MAX(0,(1-P299/'01_설정'!$B$7))*'01_설정'!$B$16+MAX(0,(1-Q299/'01_설정'!$B$8))*'01_설정'!$B$17+L299*'01_설정'!$B$11+M299*'01_설정'!$B$12+N299*50)</f>
        <v/>
      </c>
      <c r="T299">
        <f>IF(S299="","",1+COUNTIFS($S$31:$S$1030,"&gt;"&amp;S299)+COUNTIFS($S$31:S299,S299)-1)</f>
        <v/>
      </c>
    </row>
    <row r="300" hidden="1" ht="16.5" customHeight="1">
      <c r="A300">
        <f>IF(COUNTA('05_KAPA'!$A271:$AO271)=0,"",273)</f>
        <v/>
      </c>
      <c r="B300">
        <f>IF($A300="","",INDEX('05_KAPA'!$B:$B,$A300))</f>
        <v/>
      </c>
      <c r="C300">
        <f>IF($A300="","",INDEX('05_KAPA'!$F:$F,$A300))</f>
        <v/>
      </c>
      <c r="D300">
        <f>IF($A300="","",INDEX('05_KAPA'!$H:$H,$A300))</f>
        <v/>
      </c>
      <c r="E300">
        <f>IF($A300="","",INDEX('05_KAPA'!$K:$K,$A300))</f>
        <v/>
      </c>
      <c r="F300">
        <f>IF($A300="","",INDEX('05_KAPA'!$L:$L,$A300))</f>
        <v/>
      </c>
      <c r="G300">
        <f>IF($A300="","",INDEX('05_KAPA'!$I:$I,$A300))</f>
        <v/>
      </c>
      <c r="H300" s="202">
        <f>IF($A300="","",INDEX('05_KAPA'!$P:$P,$A300))</f>
        <v/>
      </c>
      <c r="I300" s="118">
        <f>IF($A300="","",INDEX('05_KAPA'!$O:$O,$A300))</f>
        <v/>
      </c>
      <c r="J300" s="202">
        <f>IF($A300="","",IFERROR(DATE(LEFT(TEXT(INDEX('05_KAPA'!$T:$T,$A300),"0"),4),MID(TEXT(INDEX('05_KAPA'!$T:$T,$A300),"0"),5,2),RIGHT(TEXT(INDEX('05_KAPA'!$T:$T,$A300),"0"),2)),""))</f>
        <v/>
      </c>
      <c r="K300">
        <f>IF(C300="","",IF('02_대상물건입력'!$B$5="",1,IF(ISNUMBER(SEARCH('02_대상물건입력'!$B$5,C300)),1,0)))</f>
        <v/>
      </c>
      <c r="L300">
        <f>IF(C300="","",IF('02_대상물건입력'!$B$6="",1,IF(ISNUMBER(SEARCH('02_대상물건입력'!$B$6,C300)),1,0)))</f>
        <v/>
      </c>
      <c r="M300">
        <f>IF(E300="","",IF('02_대상물건입력'!$B$8="",0,IF(ISNUMBER(SEARCH('02_대상물건입력'!$B$8,E300)),1,0)))</f>
        <v/>
      </c>
      <c r="N300">
        <f>IF(B300="","",IF(B300="담보",1,0))</f>
        <v/>
      </c>
      <c r="O300">
        <f>IFERROR(ABS(G300-'02_대상물건입력'!$B$11)/'02_대상물건입력'!$B$11,"")</f>
        <v/>
      </c>
      <c r="P300">
        <f>IFERROR(ABS('01_설정'!$B$4-H300),"")</f>
        <v/>
      </c>
      <c r="Q300">
        <f>IFERROR(ABS(YEAR(J300)-YEAR('02_대상물건입력'!$B$14)),"")</f>
        <v/>
      </c>
      <c r="R300">
        <f>IF(AND(G300&gt;0,H300&gt;0,I300&gt;0,N300=1,IF('01_설정'!$B$10=1,K300=1,TRUE()),O300&lt;='01_설정'!$B$5,P300&lt;='01_설정'!$B$7,Q300&lt;='01_설정'!$B$8),"Y","")</f>
        <v/>
      </c>
      <c r="S300">
        <f>IF(R300&lt;&gt;"Y","",MAX(0,(1-O300/'01_설정'!$B$5))*'01_설정'!$B$14+MAX(0,(1-P300/'01_설정'!$B$7))*'01_설정'!$B$16+MAX(0,(1-Q300/'01_설정'!$B$8))*'01_설정'!$B$17+L300*'01_설정'!$B$11+M300*'01_설정'!$B$12+N300*50)</f>
        <v/>
      </c>
      <c r="T300">
        <f>IF(S300="","",1+COUNTIFS($S$31:$S$1030,"&gt;"&amp;S300)+COUNTIFS($S$31:S300,S300)-1)</f>
        <v/>
      </c>
    </row>
    <row r="301" hidden="1" ht="16.5" customHeight="1">
      <c r="A301">
        <f>IF(COUNTA('05_KAPA'!$A272:$AO272)=0,"",274)</f>
        <v/>
      </c>
      <c r="B301">
        <f>IF($A301="","",INDEX('05_KAPA'!$B:$B,$A301))</f>
        <v/>
      </c>
      <c r="C301">
        <f>IF($A301="","",INDEX('05_KAPA'!$F:$F,$A301))</f>
        <v/>
      </c>
      <c r="D301">
        <f>IF($A301="","",INDEX('05_KAPA'!$H:$H,$A301))</f>
        <v/>
      </c>
      <c r="E301">
        <f>IF($A301="","",INDEX('05_KAPA'!$K:$K,$A301))</f>
        <v/>
      </c>
      <c r="F301">
        <f>IF($A301="","",INDEX('05_KAPA'!$L:$L,$A301))</f>
        <v/>
      </c>
      <c r="G301">
        <f>IF($A301="","",INDEX('05_KAPA'!$I:$I,$A301))</f>
        <v/>
      </c>
      <c r="H301" s="202">
        <f>IF($A301="","",INDEX('05_KAPA'!$P:$P,$A301))</f>
        <v/>
      </c>
      <c r="I301" s="118">
        <f>IF($A301="","",INDEX('05_KAPA'!$O:$O,$A301))</f>
        <v/>
      </c>
      <c r="J301" s="202">
        <f>IF($A301="","",IFERROR(DATE(LEFT(TEXT(INDEX('05_KAPA'!$T:$T,$A301),"0"),4),MID(TEXT(INDEX('05_KAPA'!$T:$T,$A301),"0"),5,2),RIGHT(TEXT(INDEX('05_KAPA'!$T:$T,$A301),"0"),2)),""))</f>
        <v/>
      </c>
      <c r="K301">
        <f>IF(C301="","",IF('02_대상물건입력'!$B$5="",1,IF(ISNUMBER(SEARCH('02_대상물건입력'!$B$5,C301)),1,0)))</f>
        <v/>
      </c>
      <c r="L301">
        <f>IF(C301="","",IF('02_대상물건입력'!$B$6="",1,IF(ISNUMBER(SEARCH('02_대상물건입력'!$B$6,C301)),1,0)))</f>
        <v/>
      </c>
      <c r="M301">
        <f>IF(E301="","",IF('02_대상물건입력'!$B$8="",0,IF(ISNUMBER(SEARCH('02_대상물건입력'!$B$8,E301)),1,0)))</f>
        <v/>
      </c>
      <c r="N301">
        <f>IF(B301="","",IF(B301="담보",1,0))</f>
        <v/>
      </c>
      <c r="O301">
        <f>IFERROR(ABS(G301-'02_대상물건입력'!$B$11)/'02_대상물건입력'!$B$11,"")</f>
        <v/>
      </c>
      <c r="P301">
        <f>IFERROR(ABS('01_설정'!$B$4-H301),"")</f>
        <v/>
      </c>
      <c r="Q301">
        <f>IFERROR(ABS(YEAR(J301)-YEAR('02_대상물건입력'!$B$14)),"")</f>
        <v/>
      </c>
      <c r="R301">
        <f>IF(AND(G301&gt;0,H301&gt;0,I301&gt;0,N301=1,IF('01_설정'!$B$10=1,K301=1,TRUE()),O301&lt;='01_설정'!$B$5,P301&lt;='01_설정'!$B$7,Q301&lt;='01_설정'!$B$8),"Y","")</f>
        <v/>
      </c>
      <c r="S301">
        <f>IF(R301&lt;&gt;"Y","",MAX(0,(1-O301/'01_설정'!$B$5))*'01_설정'!$B$14+MAX(0,(1-P301/'01_설정'!$B$7))*'01_설정'!$B$16+MAX(0,(1-Q301/'01_설정'!$B$8))*'01_설정'!$B$17+L301*'01_설정'!$B$11+M301*'01_설정'!$B$12+N301*50)</f>
        <v/>
      </c>
      <c r="T301">
        <f>IF(S301="","",1+COUNTIFS($S$31:$S$1030,"&gt;"&amp;S301)+COUNTIFS($S$31:S301,S301)-1)</f>
        <v/>
      </c>
    </row>
    <row r="302" hidden="1" ht="16.5" customHeight="1">
      <c r="A302">
        <f>IF(COUNTA('05_KAPA'!$A273:$AO273)=0,"",275)</f>
        <v/>
      </c>
      <c r="B302">
        <f>IF($A302="","",INDEX('05_KAPA'!$B:$B,$A302))</f>
        <v/>
      </c>
      <c r="C302">
        <f>IF($A302="","",INDEX('05_KAPA'!$F:$F,$A302))</f>
        <v/>
      </c>
      <c r="D302">
        <f>IF($A302="","",INDEX('05_KAPA'!$H:$H,$A302))</f>
        <v/>
      </c>
      <c r="E302">
        <f>IF($A302="","",INDEX('05_KAPA'!$K:$K,$A302))</f>
        <v/>
      </c>
      <c r="F302">
        <f>IF($A302="","",INDEX('05_KAPA'!$L:$L,$A302))</f>
        <v/>
      </c>
      <c r="G302">
        <f>IF($A302="","",INDEX('05_KAPA'!$I:$I,$A302))</f>
        <v/>
      </c>
      <c r="H302" s="202">
        <f>IF($A302="","",INDEX('05_KAPA'!$P:$P,$A302))</f>
        <v/>
      </c>
      <c r="I302" s="118">
        <f>IF($A302="","",INDEX('05_KAPA'!$O:$O,$A302))</f>
        <v/>
      </c>
      <c r="J302" s="202">
        <f>IF($A302="","",IFERROR(DATE(LEFT(TEXT(INDEX('05_KAPA'!$T:$T,$A302),"0"),4),MID(TEXT(INDEX('05_KAPA'!$T:$T,$A302),"0"),5,2),RIGHT(TEXT(INDEX('05_KAPA'!$T:$T,$A302),"0"),2)),""))</f>
        <v/>
      </c>
      <c r="K302">
        <f>IF(C302="","",IF('02_대상물건입력'!$B$5="",1,IF(ISNUMBER(SEARCH('02_대상물건입력'!$B$5,C302)),1,0)))</f>
        <v/>
      </c>
      <c r="L302">
        <f>IF(C302="","",IF('02_대상물건입력'!$B$6="",1,IF(ISNUMBER(SEARCH('02_대상물건입력'!$B$6,C302)),1,0)))</f>
        <v/>
      </c>
      <c r="M302">
        <f>IF(E302="","",IF('02_대상물건입력'!$B$8="",0,IF(ISNUMBER(SEARCH('02_대상물건입력'!$B$8,E302)),1,0)))</f>
        <v/>
      </c>
      <c r="N302">
        <f>IF(B302="","",IF(B302="담보",1,0))</f>
        <v/>
      </c>
      <c r="O302">
        <f>IFERROR(ABS(G302-'02_대상물건입력'!$B$11)/'02_대상물건입력'!$B$11,"")</f>
        <v/>
      </c>
      <c r="P302">
        <f>IFERROR(ABS('01_설정'!$B$4-H302),"")</f>
        <v/>
      </c>
      <c r="Q302">
        <f>IFERROR(ABS(YEAR(J302)-YEAR('02_대상물건입력'!$B$14)),"")</f>
        <v/>
      </c>
      <c r="R302">
        <f>IF(AND(G302&gt;0,H302&gt;0,I302&gt;0,N302=1,IF('01_설정'!$B$10=1,K302=1,TRUE()),O302&lt;='01_설정'!$B$5,P302&lt;='01_설정'!$B$7,Q302&lt;='01_설정'!$B$8),"Y","")</f>
        <v/>
      </c>
      <c r="S302">
        <f>IF(R302&lt;&gt;"Y","",MAX(0,(1-O302/'01_설정'!$B$5))*'01_설정'!$B$14+MAX(0,(1-P302/'01_설정'!$B$7))*'01_설정'!$B$16+MAX(0,(1-Q302/'01_설정'!$B$8))*'01_설정'!$B$17+L302*'01_설정'!$B$11+M302*'01_설정'!$B$12+N302*50)</f>
        <v/>
      </c>
      <c r="T302">
        <f>IF(S302="","",1+COUNTIFS($S$31:$S$1030,"&gt;"&amp;S302)+COUNTIFS($S$31:S302,S302)-1)</f>
        <v/>
      </c>
    </row>
    <row r="303" hidden="1" ht="16.5" customHeight="1">
      <c r="A303">
        <f>IF(COUNTA('05_KAPA'!$A274:$AO274)=0,"",276)</f>
        <v/>
      </c>
      <c r="B303">
        <f>IF($A303="","",INDEX('05_KAPA'!$B:$B,$A303))</f>
        <v/>
      </c>
      <c r="C303">
        <f>IF($A303="","",INDEX('05_KAPA'!$F:$F,$A303))</f>
        <v/>
      </c>
      <c r="D303">
        <f>IF($A303="","",INDEX('05_KAPA'!$H:$H,$A303))</f>
        <v/>
      </c>
      <c r="E303">
        <f>IF($A303="","",INDEX('05_KAPA'!$K:$K,$A303))</f>
        <v/>
      </c>
      <c r="F303">
        <f>IF($A303="","",INDEX('05_KAPA'!$L:$L,$A303))</f>
        <v/>
      </c>
      <c r="G303">
        <f>IF($A303="","",INDEX('05_KAPA'!$I:$I,$A303))</f>
        <v/>
      </c>
      <c r="H303" s="202">
        <f>IF($A303="","",INDEX('05_KAPA'!$P:$P,$A303))</f>
        <v/>
      </c>
      <c r="I303" s="118">
        <f>IF($A303="","",INDEX('05_KAPA'!$O:$O,$A303))</f>
        <v/>
      </c>
      <c r="J303" s="202">
        <f>IF($A303="","",IFERROR(DATE(LEFT(TEXT(INDEX('05_KAPA'!$T:$T,$A303),"0"),4),MID(TEXT(INDEX('05_KAPA'!$T:$T,$A303),"0"),5,2),RIGHT(TEXT(INDEX('05_KAPA'!$T:$T,$A303),"0"),2)),""))</f>
        <v/>
      </c>
      <c r="K303">
        <f>IF(C303="","",IF('02_대상물건입력'!$B$5="",1,IF(ISNUMBER(SEARCH('02_대상물건입력'!$B$5,C303)),1,0)))</f>
        <v/>
      </c>
      <c r="L303">
        <f>IF(C303="","",IF('02_대상물건입력'!$B$6="",1,IF(ISNUMBER(SEARCH('02_대상물건입력'!$B$6,C303)),1,0)))</f>
        <v/>
      </c>
      <c r="M303">
        <f>IF(E303="","",IF('02_대상물건입력'!$B$8="",0,IF(ISNUMBER(SEARCH('02_대상물건입력'!$B$8,E303)),1,0)))</f>
        <v/>
      </c>
      <c r="N303">
        <f>IF(B303="","",IF(B303="담보",1,0))</f>
        <v/>
      </c>
      <c r="O303">
        <f>IFERROR(ABS(G303-'02_대상물건입력'!$B$11)/'02_대상물건입력'!$B$11,"")</f>
        <v/>
      </c>
      <c r="P303">
        <f>IFERROR(ABS('01_설정'!$B$4-H303),"")</f>
        <v/>
      </c>
      <c r="Q303">
        <f>IFERROR(ABS(YEAR(J303)-YEAR('02_대상물건입력'!$B$14)),"")</f>
        <v/>
      </c>
      <c r="R303">
        <f>IF(AND(G303&gt;0,H303&gt;0,I303&gt;0,N303=1,IF('01_설정'!$B$10=1,K303=1,TRUE()),O303&lt;='01_설정'!$B$5,P303&lt;='01_설정'!$B$7,Q303&lt;='01_설정'!$B$8),"Y","")</f>
        <v/>
      </c>
      <c r="S303">
        <f>IF(R303&lt;&gt;"Y","",MAX(0,(1-O303/'01_설정'!$B$5))*'01_설정'!$B$14+MAX(0,(1-P303/'01_설정'!$B$7))*'01_설정'!$B$16+MAX(0,(1-Q303/'01_설정'!$B$8))*'01_설정'!$B$17+L303*'01_설정'!$B$11+M303*'01_설정'!$B$12+N303*50)</f>
        <v/>
      </c>
      <c r="T303">
        <f>IF(S303="","",1+COUNTIFS($S$31:$S$1030,"&gt;"&amp;S303)+COUNTIFS($S$31:S303,S303)-1)</f>
        <v/>
      </c>
    </row>
    <row r="304" hidden="1" ht="16.5" customHeight="1">
      <c r="A304">
        <f>IF(COUNTA('05_KAPA'!$A275:$AO275)=0,"",277)</f>
        <v/>
      </c>
      <c r="B304">
        <f>IF($A304="","",INDEX('05_KAPA'!$B:$B,$A304))</f>
        <v/>
      </c>
      <c r="C304">
        <f>IF($A304="","",INDEX('05_KAPA'!$F:$F,$A304))</f>
        <v/>
      </c>
      <c r="D304">
        <f>IF($A304="","",INDEX('05_KAPA'!$H:$H,$A304))</f>
        <v/>
      </c>
      <c r="E304">
        <f>IF($A304="","",INDEX('05_KAPA'!$K:$K,$A304))</f>
        <v/>
      </c>
      <c r="F304">
        <f>IF($A304="","",INDEX('05_KAPA'!$L:$L,$A304))</f>
        <v/>
      </c>
      <c r="G304">
        <f>IF($A304="","",INDEX('05_KAPA'!$I:$I,$A304))</f>
        <v/>
      </c>
      <c r="H304" s="202">
        <f>IF($A304="","",INDEX('05_KAPA'!$P:$P,$A304))</f>
        <v/>
      </c>
      <c r="I304" s="118">
        <f>IF($A304="","",INDEX('05_KAPA'!$O:$O,$A304))</f>
        <v/>
      </c>
      <c r="J304" s="202">
        <f>IF($A304="","",IFERROR(DATE(LEFT(TEXT(INDEX('05_KAPA'!$T:$T,$A304),"0"),4),MID(TEXT(INDEX('05_KAPA'!$T:$T,$A304),"0"),5,2),RIGHT(TEXT(INDEX('05_KAPA'!$T:$T,$A304),"0"),2)),""))</f>
        <v/>
      </c>
      <c r="K304">
        <f>IF(C304="","",IF('02_대상물건입력'!$B$5="",1,IF(ISNUMBER(SEARCH('02_대상물건입력'!$B$5,C304)),1,0)))</f>
        <v/>
      </c>
      <c r="L304">
        <f>IF(C304="","",IF('02_대상물건입력'!$B$6="",1,IF(ISNUMBER(SEARCH('02_대상물건입력'!$B$6,C304)),1,0)))</f>
        <v/>
      </c>
      <c r="M304">
        <f>IF(E304="","",IF('02_대상물건입력'!$B$8="",0,IF(ISNUMBER(SEARCH('02_대상물건입력'!$B$8,E304)),1,0)))</f>
        <v/>
      </c>
      <c r="N304">
        <f>IF(B304="","",IF(B304="담보",1,0))</f>
        <v/>
      </c>
      <c r="O304">
        <f>IFERROR(ABS(G304-'02_대상물건입력'!$B$11)/'02_대상물건입력'!$B$11,"")</f>
        <v/>
      </c>
      <c r="P304">
        <f>IFERROR(ABS('01_설정'!$B$4-H304),"")</f>
        <v/>
      </c>
      <c r="Q304">
        <f>IFERROR(ABS(YEAR(J304)-YEAR('02_대상물건입력'!$B$14)),"")</f>
        <v/>
      </c>
      <c r="R304">
        <f>IF(AND(G304&gt;0,H304&gt;0,I304&gt;0,N304=1,IF('01_설정'!$B$10=1,K304=1,TRUE()),O304&lt;='01_설정'!$B$5,P304&lt;='01_설정'!$B$7,Q304&lt;='01_설정'!$B$8),"Y","")</f>
        <v/>
      </c>
      <c r="S304">
        <f>IF(R304&lt;&gt;"Y","",MAX(0,(1-O304/'01_설정'!$B$5))*'01_설정'!$B$14+MAX(0,(1-P304/'01_설정'!$B$7))*'01_설정'!$B$16+MAX(0,(1-Q304/'01_설정'!$B$8))*'01_설정'!$B$17+L304*'01_설정'!$B$11+M304*'01_설정'!$B$12+N304*50)</f>
        <v/>
      </c>
      <c r="T304">
        <f>IF(S304="","",1+COUNTIFS($S$31:$S$1030,"&gt;"&amp;S304)+COUNTIFS($S$31:S304,S304)-1)</f>
        <v/>
      </c>
    </row>
    <row r="305" hidden="1" ht="16.5" customHeight="1">
      <c r="A305">
        <f>IF(COUNTA('05_KAPA'!$A276:$AO276)=0,"",278)</f>
        <v/>
      </c>
      <c r="B305">
        <f>IF($A305="","",INDEX('05_KAPA'!$B:$B,$A305))</f>
        <v/>
      </c>
      <c r="C305">
        <f>IF($A305="","",INDEX('05_KAPA'!$F:$F,$A305))</f>
        <v/>
      </c>
      <c r="D305">
        <f>IF($A305="","",INDEX('05_KAPA'!$H:$H,$A305))</f>
        <v/>
      </c>
      <c r="E305">
        <f>IF($A305="","",INDEX('05_KAPA'!$K:$K,$A305))</f>
        <v/>
      </c>
      <c r="F305">
        <f>IF($A305="","",INDEX('05_KAPA'!$L:$L,$A305))</f>
        <v/>
      </c>
      <c r="G305">
        <f>IF($A305="","",INDEX('05_KAPA'!$I:$I,$A305))</f>
        <v/>
      </c>
      <c r="H305" s="202">
        <f>IF($A305="","",INDEX('05_KAPA'!$P:$P,$A305))</f>
        <v/>
      </c>
      <c r="I305" s="118">
        <f>IF($A305="","",INDEX('05_KAPA'!$O:$O,$A305))</f>
        <v/>
      </c>
      <c r="J305" s="202">
        <f>IF($A305="","",IFERROR(DATE(LEFT(TEXT(INDEX('05_KAPA'!$T:$T,$A305),"0"),4),MID(TEXT(INDEX('05_KAPA'!$T:$T,$A305),"0"),5,2),RIGHT(TEXT(INDEX('05_KAPA'!$T:$T,$A305),"0"),2)),""))</f>
        <v/>
      </c>
      <c r="K305">
        <f>IF(C305="","",IF('02_대상물건입력'!$B$5="",1,IF(ISNUMBER(SEARCH('02_대상물건입력'!$B$5,C305)),1,0)))</f>
        <v/>
      </c>
      <c r="L305">
        <f>IF(C305="","",IF('02_대상물건입력'!$B$6="",1,IF(ISNUMBER(SEARCH('02_대상물건입력'!$B$6,C305)),1,0)))</f>
        <v/>
      </c>
      <c r="M305">
        <f>IF(E305="","",IF('02_대상물건입력'!$B$8="",0,IF(ISNUMBER(SEARCH('02_대상물건입력'!$B$8,E305)),1,0)))</f>
        <v/>
      </c>
      <c r="N305">
        <f>IF(B305="","",IF(B305="담보",1,0))</f>
        <v/>
      </c>
      <c r="O305">
        <f>IFERROR(ABS(G305-'02_대상물건입력'!$B$11)/'02_대상물건입력'!$B$11,"")</f>
        <v/>
      </c>
      <c r="P305">
        <f>IFERROR(ABS('01_설정'!$B$4-H305),"")</f>
        <v/>
      </c>
      <c r="Q305">
        <f>IFERROR(ABS(YEAR(J305)-YEAR('02_대상물건입력'!$B$14)),"")</f>
        <v/>
      </c>
      <c r="R305">
        <f>IF(AND(G305&gt;0,H305&gt;0,I305&gt;0,N305=1,IF('01_설정'!$B$10=1,K305=1,TRUE()),O305&lt;='01_설정'!$B$5,P305&lt;='01_설정'!$B$7,Q305&lt;='01_설정'!$B$8),"Y","")</f>
        <v/>
      </c>
      <c r="S305">
        <f>IF(R305&lt;&gt;"Y","",MAX(0,(1-O305/'01_설정'!$B$5))*'01_설정'!$B$14+MAX(0,(1-P305/'01_설정'!$B$7))*'01_설정'!$B$16+MAX(0,(1-Q305/'01_설정'!$B$8))*'01_설정'!$B$17+L305*'01_설정'!$B$11+M305*'01_설정'!$B$12+N305*50)</f>
        <v/>
      </c>
      <c r="T305">
        <f>IF(S305="","",1+COUNTIFS($S$31:$S$1030,"&gt;"&amp;S305)+COUNTIFS($S$31:S305,S305)-1)</f>
        <v/>
      </c>
    </row>
    <row r="306" hidden="1" ht="16.5" customHeight="1">
      <c r="A306">
        <f>IF(COUNTA('05_KAPA'!$A277:$AO277)=0,"",279)</f>
        <v/>
      </c>
      <c r="B306">
        <f>IF($A306="","",INDEX('05_KAPA'!$B:$B,$A306))</f>
        <v/>
      </c>
      <c r="C306">
        <f>IF($A306="","",INDEX('05_KAPA'!$F:$F,$A306))</f>
        <v/>
      </c>
      <c r="D306">
        <f>IF($A306="","",INDEX('05_KAPA'!$H:$H,$A306))</f>
        <v/>
      </c>
      <c r="E306">
        <f>IF($A306="","",INDEX('05_KAPA'!$K:$K,$A306))</f>
        <v/>
      </c>
      <c r="F306">
        <f>IF($A306="","",INDEX('05_KAPA'!$L:$L,$A306))</f>
        <v/>
      </c>
      <c r="G306">
        <f>IF($A306="","",INDEX('05_KAPA'!$I:$I,$A306))</f>
        <v/>
      </c>
      <c r="H306" s="202">
        <f>IF($A306="","",INDEX('05_KAPA'!$P:$P,$A306))</f>
        <v/>
      </c>
      <c r="I306" s="118">
        <f>IF($A306="","",INDEX('05_KAPA'!$O:$O,$A306))</f>
        <v/>
      </c>
      <c r="J306" s="202">
        <f>IF($A306="","",IFERROR(DATE(LEFT(TEXT(INDEX('05_KAPA'!$T:$T,$A306),"0"),4),MID(TEXT(INDEX('05_KAPA'!$T:$T,$A306),"0"),5,2),RIGHT(TEXT(INDEX('05_KAPA'!$T:$T,$A306),"0"),2)),""))</f>
        <v/>
      </c>
      <c r="K306">
        <f>IF(C306="","",IF('02_대상물건입력'!$B$5="",1,IF(ISNUMBER(SEARCH('02_대상물건입력'!$B$5,C306)),1,0)))</f>
        <v/>
      </c>
      <c r="L306">
        <f>IF(C306="","",IF('02_대상물건입력'!$B$6="",1,IF(ISNUMBER(SEARCH('02_대상물건입력'!$B$6,C306)),1,0)))</f>
        <v/>
      </c>
      <c r="M306">
        <f>IF(E306="","",IF('02_대상물건입력'!$B$8="",0,IF(ISNUMBER(SEARCH('02_대상물건입력'!$B$8,E306)),1,0)))</f>
        <v/>
      </c>
      <c r="N306">
        <f>IF(B306="","",IF(B306="담보",1,0))</f>
        <v/>
      </c>
      <c r="O306">
        <f>IFERROR(ABS(G306-'02_대상물건입력'!$B$11)/'02_대상물건입력'!$B$11,"")</f>
        <v/>
      </c>
      <c r="P306">
        <f>IFERROR(ABS('01_설정'!$B$4-H306),"")</f>
        <v/>
      </c>
      <c r="Q306">
        <f>IFERROR(ABS(YEAR(J306)-YEAR('02_대상물건입력'!$B$14)),"")</f>
        <v/>
      </c>
      <c r="R306">
        <f>IF(AND(G306&gt;0,H306&gt;0,I306&gt;0,N306=1,IF('01_설정'!$B$10=1,K306=1,TRUE()),O306&lt;='01_설정'!$B$5,P306&lt;='01_설정'!$B$7,Q306&lt;='01_설정'!$B$8),"Y","")</f>
        <v/>
      </c>
      <c r="S306">
        <f>IF(R306&lt;&gt;"Y","",MAX(0,(1-O306/'01_설정'!$B$5))*'01_설정'!$B$14+MAX(0,(1-P306/'01_설정'!$B$7))*'01_설정'!$B$16+MAX(0,(1-Q306/'01_설정'!$B$8))*'01_설정'!$B$17+L306*'01_설정'!$B$11+M306*'01_설정'!$B$12+N306*50)</f>
        <v/>
      </c>
      <c r="T306">
        <f>IF(S306="","",1+COUNTIFS($S$31:$S$1030,"&gt;"&amp;S306)+COUNTIFS($S$31:S306,S306)-1)</f>
        <v/>
      </c>
    </row>
    <row r="307" hidden="1" ht="16.5" customHeight="1">
      <c r="A307">
        <f>IF(COUNTA('05_KAPA'!$A278:$AO278)=0,"",280)</f>
        <v/>
      </c>
      <c r="B307">
        <f>IF($A307="","",INDEX('05_KAPA'!$B:$B,$A307))</f>
        <v/>
      </c>
      <c r="C307">
        <f>IF($A307="","",INDEX('05_KAPA'!$F:$F,$A307))</f>
        <v/>
      </c>
      <c r="D307">
        <f>IF($A307="","",INDEX('05_KAPA'!$H:$H,$A307))</f>
        <v/>
      </c>
      <c r="E307">
        <f>IF($A307="","",INDEX('05_KAPA'!$K:$K,$A307))</f>
        <v/>
      </c>
      <c r="F307">
        <f>IF($A307="","",INDEX('05_KAPA'!$L:$L,$A307))</f>
        <v/>
      </c>
      <c r="G307">
        <f>IF($A307="","",INDEX('05_KAPA'!$I:$I,$A307))</f>
        <v/>
      </c>
      <c r="H307" s="202">
        <f>IF($A307="","",INDEX('05_KAPA'!$P:$P,$A307))</f>
        <v/>
      </c>
      <c r="I307" s="118">
        <f>IF($A307="","",INDEX('05_KAPA'!$O:$O,$A307))</f>
        <v/>
      </c>
      <c r="J307" s="202">
        <f>IF($A307="","",IFERROR(DATE(LEFT(TEXT(INDEX('05_KAPA'!$T:$T,$A307),"0"),4),MID(TEXT(INDEX('05_KAPA'!$T:$T,$A307),"0"),5,2),RIGHT(TEXT(INDEX('05_KAPA'!$T:$T,$A307),"0"),2)),""))</f>
        <v/>
      </c>
      <c r="K307">
        <f>IF(C307="","",IF('02_대상물건입력'!$B$5="",1,IF(ISNUMBER(SEARCH('02_대상물건입력'!$B$5,C307)),1,0)))</f>
        <v/>
      </c>
      <c r="L307">
        <f>IF(C307="","",IF('02_대상물건입력'!$B$6="",1,IF(ISNUMBER(SEARCH('02_대상물건입력'!$B$6,C307)),1,0)))</f>
        <v/>
      </c>
      <c r="M307">
        <f>IF(E307="","",IF('02_대상물건입력'!$B$8="",0,IF(ISNUMBER(SEARCH('02_대상물건입력'!$B$8,E307)),1,0)))</f>
        <v/>
      </c>
      <c r="N307">
        <f>IF(B307="","",IF(B307="담보",1,0))</f>
        <v/>
      </c>
      <c r="O307">
        <f>IFERROR(ABS(G307-'02_대상물건입력'!$B$11)/'02_대상물건입력'!$B$11,"")</f>
        <v/>
      </c>
      <c r="P307">
        <f>IFERROR(ABS('01_설정'!$B$4-H307),"")</f>
        <v/>
      </c>
      <c r="Q307">
        <f>IFERROR(ABS(YEAR(J307)-YEAR('02_대상물건입력'!$B$14)),"")</f>
        <v/>
      </c>
      <c r="R307">
        <f>IF(AND(G307&gt;0,H307&gt;0,I307&gt;0,N307=1,IF('01_설정'!$B$10=1,K307=1,TRUE()),O307&lt;='01_설정'!$B$5,P307&lt;='01_설정'!$B$7,Q307&lt;='01_설정'!$B$8),"Y","")</f>
        <v/>
      </c>
      <c r="S307">
        <f>IF(R307&lt;&gt;"Y","",MAX(0,(1-O307/'01_설정'!$B$5))*'01_설정'!$B$14+MAX(0,(1-P307/'01_설정'!$B$7))*'01_설정'!$B$16+MAX(0,(1-Q307/'01_설정'!$B$8))*'01_설정'!$B$17+L307*'01_설정'!$B$11+M307*'01_설정'!$B$12+N307*50)</f>
        <v/>
      </c>
      <c r="T307">
        <f>IF(S307="","",1+COUNTIFS($S$31:$S$1030,"&gt;"&amp;S307)+COUNTIFS($S$31:S307,S307)-1)</f>
        <v/>
      </c>
    </row>
    <row r="308" hidden="1" ht="16.5" customHeight="1">
      <c r="A308">
        <f>IF(COUNTA('05_KAPA'!$A279:$AO279)=0,"",281)</f>
        <v/>
      </c>
      <c r="B308">
        <f>IF($A308="","",INDEX('05_KAPA'!$B:$B,$A308))</f>
        <v/>
      </c>
      <c r="C308">
        <f>IF($A308="","",INDEX('05_KAPA'!$F:$F,$A308))</f>
        <v/>
      </c>
      <c r="D308">
        <f>IF($A308="","",INDEX('05_KAPA'!$H:$H,$A308))</f>
        <v/>
      </c>
      <c r="E308">
        <f>IF($A308="","",INDEX('05_KAPA'!$K:$K,$A308))</f>
        <v/>
      </c>
      <c r="F308">
        <f>IF($A308="","",INDEX('05_KAPA'!$L:$L,$A308))</f>
        <v/>
      </c>
      <c r="G308">
        <f>IF($A308="","",INDEX('05_KAPA'!$I:$I,$A308))</f>
        <v/>
      </c>
      <c r="H308" s="202">
        <f>IF($A308="","",INDEX('05_KAPA'!$P:$P,$A308))</f>
        <v/>
      </c>
      <c r="I308" s="118">
        <f>IF($A308="","",INDEX('05_KAPA'!$O:$O,$A308))</f>
        <v/>
      </c>
      <c r="J308" s="202">
        <f>IF($A308="","",IFERROR(DATE(LEFT(TEXT(INDEX('05_KAPA'!$T:$T,$A308),"0"),4),MID(TEXT(INDEX('05_KAPA'!$T:$T,$A308),"0"),5,2),RIGHT(TEXT(INDEX('05_KAPA'!$T:$T,$A308),"0"),2)),""))</f>
        <v/>
      </c>
      <c r="K308">
        <f>IF(C308="","",IF('02_대상물건입력'!$B$5="",1,IF(ISNUMBER(SEARCH('02_대상물건입력'!$B$5,C308)),1,0)))</f>
        <v/>
      </c>
      <c r="L308">
        <f>IF(C308="","",IF('02_대상물건입력'!$B$6="",1,IF(ISNUMBER(SEARCH('02_대상물건입력'!$B$6,C308)),1,0)))</f>
        <v/>
      </c>
      <c r="M308">
        <f>IF(E308="","",IF('02_대상물건입력'!$B$8="",0,IF(ISNUMBER(SEARCH('02_대상물건입력'!$B$8,E308)),1,0)))</f>
        <v/>
      </c>
      <c r="N308">
        <f>IF(B308="","",IF(B308="담보",1,0))</f>
        <v/>
      </c>
      <c r="O308">
        <f>IFERROR(ABS(G308-'02_대상물건입력'!$B$11)/'02_대상물건입력'!$B$11,"")</f>
        <v/>
      </c>
      <c r="P308">
        <f>IFERROR(ABS('01_설정'!$B$4-H308),"")</f>
        <v/>
      </c>
      <c r="Q308">
        <f>IFERROR(ABS(YEAR(J308)-YEAR('02_대상물건입력'!$B$14)),"")</f>
        <v/>
      </c>
      <c r="R308">
        <f>IF(AND(G308&gt;0,H308&gt;0,I308&gt;0,N308=1,IF('01_설정'!$B$10=1,K308=1,TRUE()),O308&lt;='01_설정'!$B$5,P308&lt;='01_설정'!$B$7,Q308&lt;='01_설정'!$B$8),"Y","")</f>
        <v/>
      </c>
      <c r="S308">
        <f>IF(R308&lt;&gt;"Y","",MAX(0,(1-O308/'01_설정'!$B$5))*'01_설정'!$B$14+MAX(0,(1-P308/'01_설정'!$B$7))*'01_설정'!$B$16+MAX(0,(1-Q308/'01_설정'!$B$8))*'01_설정'!$B$17+L308*'01_설정'!$B$11+M308*'01_설정'!$B$12+N308*50)</f>
        <v/>
      </c>
      <c r="T308">
        <f>IF(S308="","",1+COUNTIFS($S$31:$S$1030,"&gt;"&amp;S308)+COUNTIFS($S$31:S308,S308)-1)</f>
        <v/>
      </c>
    </row>
    <row r="309" hidden="1" ht="16.5" customHeight="1">
      <c r="A309">
        <f>IF(COUNTA('05_KAPA'!$A280:$AO280)=0,"",282)</f>
        <v/>
      </c>
      <c r="B309">
        <f>IF($A309="","",INDEX('05_KAPA'!$B:$B,$A309))</f>
        <v/>
      </c>
      <c r="C309">
        <f>IF($A309="","",INDEX('05_KAPA'!$F:$F,$A309))</f>
        <v/>
      </c>
      <c r="D309">
        <f>IF($A309="","",INDEX('05_KAPA'!$H:$H,$A309))</f>
        <v/>
      </c>
      <c r="E309">
        <f>IF($A309="","",INDEX('05_KAPA'!$K:$K,$A309))</f>
        <v/>
      </c>
      <c r="F309">
        <f>IF($A309="","",INDEX('05_KAPA'!$L:$L,$A309))</f>
        <v/>
      </c>
      <c r="G309">
        <f>IF($A309="","",INDEX('05_KAPA'!$I:$I,$A309))</f>
        <v/>
      </c>
      <c r="H309" s="202">
        <f>IF($A309="","",INDEX('05_KAPA'!$P:$P,$A309))</f>
        <v/>
      </c>
      <c r="I309" s="118">
        <f>IF($A309="","",INDEX('05_KAPA'!$O:$O,$A309))</f>
        <v/>
      </c>
      <c r="J309" s="202">
        <f>IF($A309="","",IFERROR(DATE(LEFT(TEXT(INDEX('05_KAPA'!$T:$T,$A309),"0"),4),MID(TEXT(INDEX('05_KAPA'!$T:$T,$A309),"0"),5,2),RIGHT(TEXT(INDEX('05_KAPA'!$T:$T,$A309),"0"),2)),""))</f>
        <v/>
      </c>
      <c r="K309">
        <f>IF(C309="","",IF('02_대상물건입력'!$B$5="",1,IF(ISNUMBER(SEARCH('02_대상물건입력'!$B$5,C309)),1,0)))</f>
        <v/>
      </c>
      <c r="L309">
        <f>IF(C309="","",IF('02_대상물건입력'!$B$6="",1,IF(ISNUMBER(SEARCH('02_대상물건입력'!$B$6,C309)),1,0)))</f>
        <v/>
      </c>
      <c r="M309">
        <f>IF(E309="","",IF('02_대상물건입력'!$B$8="",0,IF(ISNUMBER(SEARCH('02_대상물건입력'!$B$8,E309)),1,0)))</f>
        <v/>
      </c>
      <c r="N309">
        <f>IF(B309="","",IF(B309="담보",1,0))</f>
        <v/>
      </c>
      <c r="O309">
        <f>IFERROR(ABS(G309-'02_대상물건입력'!$B$11)/'02_대상물건입력'!$B$11,"")</f>
        <v/>
      </c>
      <c r="P309">
        <f>IFERROR(ABS('01_설정'!$B$4-H309),"")</f>
        <v/>
      </c>
      <c r="Q309">
        <f>IFERROR(ABS(YEAR(J309)-YEAR('02_대상물건입력'!$B$14)),"")</f>
        <v/>
      </c>
      <c r="R309">
        <f>IF(AND(G309&gt;0,H309&gt;0,I309&gt;0,N309=1,IF('01_설정'!$B$10=1,K309=1,TRUE()),O309&lt;='01_설정'!$B$5,P309&lt;='01_설정'!$B$7,Q309&lt;='01_설정'!$B$8),"Y","")</f>
        <v/>
      </c>
      <c r="S309">
        <f>IF(R309&lt;&gt;"Y","",MAX(0,(1-O309/'01_설정'!$B$5))*'01_설정'!$B$14+MAX(0,(1-P309/'01_설정'!$B$7))*'01_설정'!$B$16+MAX(0,(1-Q309/'01_설정'!$B$8))*'01_설정'!$B$17+L309*'01_설정'!$B$11+M309*'01_설정'!$B$12+N309*50)</f>
        <v/>
      </c>
      <c r="T309">
        <f>IF(S309="","",1+COUNTIFS($S$31:$S$1030,"&gt;"&amp;S309)+COUNTIFS($S$31:S309,S309)-1)</f>
        <v/>
      </c>
    </row>
    <row r="310" hidden="1" ht="16.5" customHeight="1">
      <c r="A310">
        <f>IF(COUNTA('05_KAPA'!$A281:$AO281)=0,"",283)</f>
        <v/>
      </c>
      <c r="B310">
        <f>IF($A310="","",INDEX('05_KAPA'!$B:$B,$A310))</f>
        <v/>
      </c>
      <c r="C310">
        <f>IF($A310="","",INDEX('05_KAPA'!$F:$F,$A310))</f>
        <v/>
      </c>
      <c r="D310">
        <f>IF($A310="","",INDEX('05_KAPA'!$H:$H,$A310))</f>
        <v/>
      </c>
      <c r="E310">
        <f>IF($A310="","",INDEX('05_KAPA'!$K:$K,$A310))</f>
        <v/>
      </c>
      <c r="F310">
        <f>IF($A310="","",INDEX('05_KAPA'!$L:$L,$A310))</f>
        <v/>
      </c>
      <c r="G310">
        <f>IF($A310="","",INDEX('05_KAPA'!$I:$I,$A310))</f>
        <v/>
      </c>
      <c r="H310" s="202">
        <f>IF($A310="","",INDEX('05_KAPA'!$P:$P,$A310))</f>
        <v/>
      </c>
      <c r="I310" s="118">
        <f>IF($A310="","",INDEX('05_KAPA'!$O:$O,$A310))</f>
        <v/>
      </c>
      <c r="J310" s="202">
        <f>IF($A310="","",IFERROR(DATE(LEFT(TEXT(INDEX('05_KAPA'!$T:$T,$A310),"0"),4),MID(TEXT(INDEX('05_KAPA'!$T:$T,$A310),"0"),5,2),RIGHT(TEXT(INDEX('05_KAPA'!$T:$T,$A310),"0"),2)),""))</f>
        <v/>
      </c>
      <c r="K310">
        <f>IF(C310="","",IF('02_대상물건입력'!$B$5="",1,IF(ISNUMBER(SEARCH('02_대상물건입력'!$B$5,C310)),1,0)))</f>
        <v/>
      </c>
      <c r="L310">
        <f>IF(C310="","",IF('02_대상물건입력'!$B$6="",1,IF(ISNUMBER(SEARCH('02_대상물건입력'!$B$6,C310)),1,0)))</f>
        <v/>
      </c>
      <c r="M310">
        <f>IF(E310="","",IF('02_대상물건입력'!$B$8="",0,IF(ISNUMBER(SEARCH('02_대상물건입력'!$B$8,E310)),1,0)))</f>
        <v/>
      </c>
      <c r="N310">
        <f>IF(B310="","",IF(B310="담보",1,0))</f>
        <v/>
      </c>
      <c r="O310">
        <f>IFERROR(ABS(G310-'02_대상물건입력'!$B$11)/'02_대상물건입력'!$B$11,"")</f>
        <v/>
      </c>
      <c r="P310">
        <f>IFERROR(ABS('01_설정'!$B$4-H310),"")</f>
        <v/>
      </c>
      <c r="Q310">
        <f>IFERROR(ABS(YEAR(J310)-YEAR('02_대상물건입력'!$B$14)),"")</f>
        <v/>
      </c>
      <c r="R310">
        <f>IF(AND(G310&gt;0,H310&gt;0,I310&gt;0,N310=1,IF('01_설정'!$B$10=1,K310=1,TRUE()),O310&lt;='01_설정'!$B$5,P310&lt;='01_설정'!$B$7,Q310&lt;='01_설정'!$B$8),"Y","")</f>
        <v/>
      </c>
      <c r="S310">
        <f>IF(R310&lt;&gt;"Y","",MAX(0,(1-O310/'01_설정'!$B$5))*'01_설정'!$B$14+MAX(0,(1-P310/'01_설정'!$B$7))*'01_설정'!$B$16+MAX(0,(1-Q310/'01_설정'!$B$8))*'01_설정'!$B$17+L310*'01_설정'!$B$11+M310*'01_설정'!$B$12+N310*50)</f>
        <v/>
      </c>
      <c r="T310">
        <f>IF(S310="","",1+COUNTIFS($S$31:$S$1030,"&gt;"&amp;S310)+COUNTIFS($S$31:S310,S310)-1)</f>
        <v/>
      </c>
    </row>
    <row r="311" hidden="1" ht="16.5" customHeight="1">
      <c r="A311">
        <f>IF(COUNTA('05_KAPA'!$A282:$AO282)=0,"",284)</f>
        <v/>
      </c>
      <c r="B311">
        <f>IF($A311="","",INDEX('05_KAPA'!$B:$B,$A311))</f>
        <v/>
      </c>
      <c r="C311">
        <f>IF($A311="","",INDEX('05_KAPA'!$F:$F,$A311))</f>
        <v/>
      </c>
      <c r="D311">
        <f>IF($A311="","",INDEX('05_KAPA'!$H:$H,$A311))</f>
        <v/>
      </c>
      <c r="E311">
        <f>IF($A311="","",INDEX('05_KAPA'!$K:$K,$A311))</f>
        <v/>
      </c>
      <c r="F311">
        <f>IF($A311="","",INDEX('05_KAPA'!$L:$L,$A311))</f>
        <v/>
      </c>
      <c r="G311">
        <f>IF($A311="","",INDEX('05_KAPA'!$I:$I,$A311))</f>
        <v/>
      </c>
      <c r="H311" s="202">
        <f>IF($A311="","",INDEX('05_KAPA'!$P:$P,$A311))</f>
        <v/>
      </c>
      <c r="I311" s="118">
        <f>IF($A311="","",INDEX('05_KAPA'!$O:$O,$A311))</f>
        <v/>
      </c>
      <c r="J311" s="202">
        <f>IF($A311="","",IFERROR(DATE(LEFT(TEXT(INDEX('05_KAPA'!$T:$T,$A311),"0"),4),MID(TEXT(INDEX('05_KAPA'!$T:$T,$A311),"0"),5,2),RIGHT(TEXT(INDEX('05_KAPA'!$T:$T,$A311),"0"),2)),""))</f>
        <v/>
      </c>
      <c r="K311">
        <f>IF(C311="","",IF('02_대상물건입력'!$B$5="",1,IF(ISNUMBER(SEARCH('02_대상물건입력'!$B$5,C311)),1,0)))</f>
        <v/>
      </c>
      <c r="L311">
        <f>IF(C311="","",IF('02_대상물건입력'!$B$6="",1,IF(ISNUMBER(SEARCH('02_대상물건입력'!$B$6,C311)),1,0)))</f>
        <v/>
      </c>
      <c r="M311">
        <f>IF(E311="","",IF('02_대상물건입력'!$B$8="",0,IF(ISNUMBER(SEARCH('02_대상물건입력'!$B$8,E311)),1,0)))</f>
        <v/>
      </c>
      <c r="N311">
        <f>IF(B311="","",IF(B311="담보",1,0))</f>
        <v/>
      </c>
      <c r="O311">
        <f>IFERROR(ABS(G311-'02_대상물건입력'!$B$11)/'02_대상물건입력'!$B$11,"")</f>
        <v/>
      </c>
      <c r="P311">
        <f>IFERROR(ABS('01_설정'!$B$4-H311),"")</f>
        <v/>
      </c>
      <c r="Q311">
        <f>IFERROR(ABS(YEAR(J311)-YEAR('02_대상물건입력'!$B$14)),"")</f>
        <v/>
      </c>
      <c r="R311">
        <f>IF(AND(G311&gt;0,H311&gt;0,I311&gt;0,N311=1,IF('01_설정'!$B$10=1,K311=1,TRUE()),O311&lt;='01_설정'!$B$5,P311&lt;='01_설정'!$B$7,Q311&lt;='01_설정'!$B$8),"Y","")</f>
        <v/>
      </c>
      <c r="S311">
        <f>IF(R311&lt;&gt;"Y","",MAX(0,(1-O311/'01_설정'!$B$5))*'01_설정'!$B$14+MAX(0,(1-P311/'01_설정'!$B$7))*'01_설정'!$B$16+MAX(0,(1-Q311/'01_설정'!$B$8))*'01_설정'!$B$17+L311*'01_설정'!$B$11+M311*'01_설정'!$B$12+N311*50)</f>
        <v/>
      </c>
      <c r="T311">
        <f>IF(S311="","",1+COUNTIFS($S$31:$S$1030,"&gt;"&amp;S311)+COUNTIFS($S$31:S311,S311)-1)</f>
        <v/>
      </c>
    </row>
    <row r="312" hidden="1" ht="16.5" customHeight="1">
      <c r="A312">
        <f>IF(COUNTA('05_KAPA'!$A283:$AO283)=0,"",285)</f>
        <v/>
      </c>
      <c r="B312">
        <f>IF($A312="","",INDEX('05_KAPA'!$B:$B,$A312))</f>
        <v/>
      </c>
      <c r="C312">
        <f>IF($A312="","",INDEX('05_KAPA'!$F:$F,$A312))</f>
        <v/>
      </c>
      <c r="D312">
        <f>IF($A312="","",INDEX('05_KAPA'!$H:$H,$A312))</f>
        <v/>
      </c>
      <c r="E312">
        <f>IF($A312="","",INDEX('05_KAPA'!$K:$K,$A312))</f>
        <v/>
      </c>
      <c r="F312">
        <f>IF($A312="","",INDEX('05_KAPA'!$L:$L,$A312))</f>
        <v/>
      </c>
      <c r="G312">
        <f>IF($A312="","",INDEX('05_KAPA'!$I:$I,$A312))</f>
        <v/>
      </c>
      <c r="H312" s="202">
        <f>IF($A312="","",INDEX('05_KAPA'!$P:$P,$A312))</f>
        <v/>
      </c>
      <c r="I312" s="118">
        <f>IF($A312="","",INDEX('05_KAPA'!$O:$O,$A312))</f>
        <v/>
      </c>
      <c r="J312" s="202">
        <f>IF($A312="","",IFERROR(DATE(LEFT(TEXT(INDEX('05_KAPA'!$T:$T,$A312),"0"),4),MID(TEXT(INDEX('05_KAPA'!$T:$T,$A312),"0"),5,2),RIGHT(TEXT(INDEX('05_KAPA'!$T:$T,$A312),"0"),2)),""))</f>
        <v/>
      </c>
      <c r="K312">
        <f>IF(C312="","",IF('02_대상물건입력'!$B$5="",1,IF(ISNUMBER(SEARCH('02_대상물건입력'!$B$5,C312)),1,0)))</f>
        <v/>
      </c>
      <c r="L312">
        <f>IF(C312="","",IF('02_대상물건입력'!$B$6="",1,IF(ISNUMBER(SEARCH('02_대상물건입력'!$B$6,C312)),1,0)))</f>
        <v/>
      </c>
      <c r="M312">
        <f>IF(E312="","",IF('02_대상물건입력'!$B$8="",0,IF(ISNUMBER(SEARCH('02_대상물건입력'!$B$8,E312)),1,0)))</f>
        <v/>
      </c>
      <c r="N312">
        <f>IF(B312="","",IF(B312="담보",1,0))</f>
        <v/>
      </c>
      <c r="O312">
        <f>IFERROR(ABS(G312-'02_대상물건입력'!$B$11)/'02_대상물건입력'!$B$11,"")</f>
        <v/>
      </c>
      <c r="P312">
        <f>IFERROR(ABS('01_설정'!$B$4-H312),"")</f>
        <v/>
      </c>
      <c r="Q312">
        <f>IFERROR(ABS(YEAR(J312)-YEAR('02_대상물건입력'!$B$14)),"")</f>
        <v/>
      </c>
      <c r="R312">
        <f>IF(AND(G312&gt;0,H312&gt;0,I312&gt;0,N312=1,IF('01_설정'!$B$10=1,K312=1,TRUE()),O312&lt;='01_설정'!$B$5,P312&lt;='01_설정'!$B$7,Q312&lt;='01_설정'!$B$8),"Y","")</f>
        <v/>
      </c>
      <c r="S312">
        <f>IF(R312&lt;&gt;"Y","",MAX(0,(1-O312/'01_설정'!$B$5))*'01_설정'!$B$14+MAX(0,(1-P312/'01_설정'!$B$7))*'01_설정'!$B$16+MAX(0,(1-Q312/'01_설정'!$B$8))*'01_설정'!$B$17+L312*'01_설정'!$B$11+M312*'01_설정'!$B$12+N312*50)</f>
        <v/>
      </c>
      <c r="T312">
        <f>IF(S312="","",1+COUNTIFS($S$31:$S$1030,"&gt;"&amp;S312)+COUNTIFS($S$31:S312,S312)-1)</f>
        <v/>
      </c>
    </row>
    <row r="313" hidden="1" ht="16.5" customHeight="1">
      <c r="A313">
        <f>IF(COUNTA('05_KAPA'!$A284:$AO284)=0,"",286)</f>
        <v/>
      </c>
      <c r="B313">
        <f>IF($A313="","",INDEX('05_KAPA'!$B:$B,$A313))</f>
        <v/>
      </c>
      <c r="C313">
        <f>IF($A313="","",INDEX('05_KAPA'!$F:$F,$A313))</f>
        <v/>
      </c>
      <c r="D313">
        <f>IF($A313="","",INDEX('05_KAPA'!$H:$H,$A313))</f>
        <v/>
      </c>
      <c r="E313">
        <f>IF($A313="","",INDEX('05_KAPA'!$K:$K,$A313))</f>
        <v/>
      </c>
      <c r="F313">
        <f>IF($A313="","",INDEX('05_KAPA'!$L:$L,$A313))</f>
        <v/>
      </c>
      <c r="G313">
        <f>IF($A313="","",INDEX('05_KAPA'!$I:$I,$A313))</f>
        <v/>
      </c>
      <c r="H313" s="202">
        <f>IF($A313="","",INDEX('05_KAPA'!$P:$P,$A313))</f>
        <v/>
      </c>
      <c r="I313" s="118">
        <f>IF($A313="","",INDEX('05_KAPA'!$O:$O,$A313))</f>
        <v/>
      </c>
      <c r="J313" s="202">
        <f>IF($A313="","",IFERROR(DATE(LEFT(TEXT(INDEX('05_KAPA'!$T:$T,$A313),"0"),4),MID(TEXT(INDEX('05_KAPA'!$T:$T,$A313),"0"),5,2),RIGHT(TEXT(INDEX('05_KAPA'!$T:$T,$A313),"0"),2)),""))</f>
        <v/>
      </c>
      <c r="K313">
        <f>IF(C313="","",IF('02_대상물건입력'!$B$5="",1,IF(ISNUMBER(SEARCH('02_대상물건입력'!$B$5,C313)),1,0)))</f>
        <v/>
      </c>
      <c r="L313">
        <f>IF(C313="","",IF('02_대상물건입력'!$B$6="",1,IF(ISNUMBER(SEARCH('02_대상물건입력'!$B$6,C313)),1,0)))</f>
        <v/>
      </c>
      <c r="M313">
        <f>IF(E313="","",IF('02_대상물건입력'!$B$8="",0,IF(ISNUMBER(SEARCH('02_대상물건입력'!$B$8,E313)),1,0)))</f>
        <v/>
      </c>
      <c r="N313">
        <f>IF(B313="","",IF(B313="담보",1,0))</f>
        <v/>
      </c>
      <c r="O313">
        <f>IFERROR(ABS(G313-'02_대상물건입력'!$B$11)/'02_대상물건입력'!$B$11,"")</f>
        <v/>
      </c>
      <c r="P313">
        <f>IFERROR(ABS('01_설정'!$B$4-H313),"")</f>
        <v/>
      </c>
      <c r="Q313">
        <f>IFERROR(ABS(YEAR(J313)-YEAR('02_대상물건입력'!$B$14)),"")</f>
        <v/>
      </c>
      <c r="R313">
        <f>IF(AND(G313&gt;0,H313&gt;0,I313&gt;0,N313=1,IF('01_설정'!$B$10=1,K313=1,TRUE()),O313&lt;='01_설정'!$B$5,P313&lt;='01_설정'!$B$7,Q313&lt;='01_설정'!$B$8),"Y","")</f>
        <v/>
      </c>
      <c r="S313">
        <f>IF(R313&lt;&gt;"Y","",MAX(0,(1-O313/'01_설정'!$B$5))*'01_설정'!$B$14+MAX(0,(1-P313/'01_설정'!$B$7))*'01_설정'!$B$16+MAX(0,(1-Q313/'01_설정'!$B$8))*'01_설정'!$B$17+L313*'01_설정'!$B$11+M313*'01_설정'!$B$12+N313*50)</f>
        <v/>
      </c>
      <c r="T313">
        <f>IF(S313="","",1+COUNTIFS($S$31:$S$1030,"&gt;"&amp;S313)+COUNTIFS($S$31:S313,S313)-1)</f>
        <v/>
      </c>
    </row>
    <row r="314" hidden="1" ht="16.5" customHeight="1">
      <c r="A314">
        <f>IF(COUNTA('05_KAPA'!$A285:$AO285)=0,"",287)</f>
        <v/>
      </c>
      <c r="B314">
        <f>IF($A314="","",INDEX('05_KAPA'!$B:$B,$A314))</f>
        <v/>
      </c>
      <c r="C314">
        <f>IF($A314="","",INDEX('05_KAPA'!$F:$F,$A314))</f>
        <v/>
      </c>
      <c r="D314">
        <f>IF($A314="","",INDEX('05_KAPA'!$H:$H,$A314))</f>
        <v/>
      </c>
      <c r="E314">
        <f>IF($A314="","",INDEX('05_KAPA'!$K:$K,$A314))</f>
        <v/>
      </c>
      <c r="F314">
        <f>IF($A314="","",INDEX('05_KAPA'!$L:$L,$A314))</f>
        <v/>
      </c>
      <c r="G314">
        <f>IF($A314="","",INDEX('05_KAPA'!$I:$I,$A314))</f>
        <v/>
      </c>
      <c r="H314" s="202">
        <f>IF($A314="","",INDEX('05_KAPA'!$P:$P,$A314))</f>
        <v/>
      </c>
      <c r="I314" s="118">
        <f>IF($A314="","",INDEX('05_KAPA'!$O:$O,$A314))</f>
        <v/>
      </c>
      <c r="J314" s="202">
        <f>IF($A314="","",IFERROR(DATE(LEFT(TEXT(INDEX('05_KAPA'!$T:$T,$A314),"0"),4),MID(TEXT(INDEX('05_KAPA'!$T:$T,$A314),"0"),5,2),RIGHT(TEXT(INDEX('05_KAPA'!$T:$T,$A314),"0"),2)),""))</f>
        <v/>
      </c>
      <c r="K314">
        <f>IF(C314="","",IF('02_대상물건입력'!$B$5="",1,IF(ISNUMBER(SEARCH('02_대상물건입력'!$B$5,C314)),1,0)))</f>
        <v/>
      </c>
      <c r="L314">
        <f>IF(C314="","",IF('02_대상물건입력'!$B$6="",1,IF(ISNUMBER(SEARCH('02_대상물건입력'!$B$6,C314)),1,0)))</f>
        <v/>
      </c>
      <c r="M314">
        <f>IF(E314="","",IF('02_대상물건입력'!$B$8="",0,IF(ISNUMBER(SEARCH('02_대상물건입력'!$B$8,E314)),1,0)))</f>
        <v/>
      </c>
      <c r="N314">
        <f>IF(B314="","",IF(B314="담보",1,0))</f>
        <v/>
      </c>
      <c r="O314">
        <f>IFERROR(ABS(G314-'02_대상물건입력'!$B$11)/'02_대상물건입력'!$B$11,"")</f>
        <v/>
      </c>
      <c r="P314">
        <f>IFERROR(ABS('01_설정'!$B$4-H314),"")</f>
        <v/>
      </c>
      <c r="Q314">
        <f>IFERROR(ABS(YEAR(J314)-YEAR('02_대상물건입력'!$B$14)),"")</f>
        <v/>
      </c>
      <c r="R314">
        <f>IF(AND(G314&gt;0,H314&gt;0,I314&gt;0,N314=1,IF('01_설정'!$B$10=1,K314=1,TRUE()),O314&lt;='01_설정'!$B$5,P314&lt;='01_설정'!$B$7,Q314&lt;='01_설정'!$B$8),"Y","")</f>
        <v/>
      </c>
      <c r="S314">
        <f>IF(R314&lt;&gt;"Y","",MAX(0,(1-O314/'01_설정'!$B$5))*'01_설정'!$B$14+MAX(0,(1-P314/'01_설정'!$B$7))*'01_설정'!$B$16+MAX(0,(1-Q314/'01_설정'!$B$8))*'01_설정'!$B$17+L314*'01_설정'!$B$11+M314*'01_설정'!$B$12+N314*50)</f>
        <v/>
      </c>
      <c r="T314">
        <f>IF(S314="","",1+COUNTIFS($S$31:$S$1030,"&gt;"&amp;S314)+COUNTIFS($S$31:S314,S314)-1)</f>
        <v/>
      </c>
    </row>
    <row r="315" hidden="1" ht="16.5" customHeight="1">
      <c r="A315">
        <f>IF(COUNTA('05_KAPA'!$A286:$AO286)=0,"",288)</f>
        <v/>
      </c>
      <c r="B315">
        <f>IF($A315="","",INDEX('05_KAPA'!$B:$B,$A315))</f>
        <v/>
      </c>
      <c r="C315">
        <f>IF($A315="","",INDEX('05_KAPA'!$F:$F,$A315))</f>
        <v/>
      </c>
      <c r="D315">
        <f>IF($A315="","",INDEX('05_KAPA'!$H:$H,$A315))</f>
        <v/>
      </c>
      <c r="E315">
        <f>IF($A315="","",INDEX('05_KAPA'!$K:$K,$A315))</f>
        <v/>
      </c>
      <c r="F315">
        <f>IF($A315="","",INDEX('05_KAPA'!$L:$L,$A315))</f>
        <v/>
      </c>
      <c r="G315">
        <f>IF($A315="","",INDEX('05_KAPA'!$I:$I,$A315))</f>
        <v/>
      </c>
      <c r="H315" s="202">
        <f>IF($A315="","",INDEX('05_KAPA'!$P:$P,$A315))</f>
        <v/>
      </c>
      <c r="I315" s="118">
        <f>IF($A315="","",INDEX('05_KAPA'!$O:$O,$A315))</f>
        <v/>
      </c>
      <c r="J315" s="202">
        <f>IF($A315="","",IFERROR(DATE(LEFT(TEXT(INDEX('05_KAPA'!$T:$T,$A315),"0"),4),MID(TEXT(INDEX('05_KAPA'!$T:$T,$A315),"0"),5,2),RIGHT(TEXT(INDEX('05_KAPA'!$T:$T,$A315),"0"),2)),""))</f>
        <v/>
      </c>
      <c r="K315">
        <f>IF(C315="","",IF('02_대상물건입력'!$B$5="",1,IF(ISNUMBER(SEARCH('02_대상물건입력'!$B$5,C315)),1,0)))</f>
        <v/>
      </c>
      <c r="L315">
        <f>IF(C315="","",IF('02_대상물건입력'!$B$6="",1,IF(ISNUMBER(SEARCH('02_대상물건입력'!$B$6,C315)),1,0)))</f>
        <v/>
      </c>
      <c r="M315">
        <f>IF(E315="","",IF('02_대상물건입력'!$B$8="",0,IF(ISNUMBER(SEARCH('02_대상물건입력'!$B$8,E315)),1,0)))</f>
        <v/>
      </c>
      <c r="N315">
        <f>IF(B315="","",IF(B315="담보",1,0))</f>
        <v/>
      </c>
      <c r="O315">
        <f>IFERROR(ABS(G315-'02_대상물건입력'!$B$11)/'02_대상물건입력'!$B$11,"")</f>
        <v/>
      </c>
      <c r="P315">
        <f>IFERROR(ABS('01_설정'!$B$4-H315),"")</f>
        <v/>
      </c>
      <c r="Q315">
        <f>IFERROR(ABS(YEAR(J315)-YEAR('02_대상물건입력'!$B$14)),"")</f>
        <v/>
      </c>
      <c r="R315">
        <f>IF(AND(G315&gt;0,H315&gt;0,I315&gt;0,N315=1,IF('01_설정'!$B$10=1,K315=1,TRUE()),O315&lt;='01_설정'!$B$5,P315&lt;='01_설정'!$B$7,Q315&lt;='01_설정'!$B$8),"Y","")</f>
        <v/>
      </c>
      <c r="S315">
        <f>IF(R315&lt;&gt;"Y","",MAX(0,(1-O315/'01_설정'!$B$5))*'01_설정'!$B$14+MAX(0,(1-P315/'01_설정'!$B$7))*'01_설정'!$B$16+MAX(0,(1-Q315/'01_설정'!$B$8))*'01_설정'!$B$17+L315*'01_설정'!$B$11+M315*'01_설정'!$B$12+N315*50)</f>
        <v/>
      </c>
      <c r="T315">
        <f>IF(S315="","",1+COUNTIFS($S$31:$S$1030,"&gt;"&amp;S315)+COUNTIFS($S$31:S315,S315)-1)</f>
        <v/>
      </c>
    </row>
    <row r="316" hidden="1" ht="16.5" customHeight="1">
      <c r="A316">
        <f>IF(COUNTA('05_KAPA'!$A287:$AO287)=0,"",289)</f>
        <v/>
      </c>
      <c r="B316">
        <f>IF($A316="","",INDEX('05_KAPA'!$B:$B,$A316))</f>
        <v/>
      </c>
      <c r="C316">
        <f>IF($A316="","",INDEX('05_KAPA'!$F:$F,$A316))</f>
        <v/>
      </c>
      <c r="D316">
        <f>IF($A316="","",INDEX('05_KAPA'!$H:$H,$A316))</f>
        <v/>
      </c>
      <c r="E316">
        <f>IF($A316="","",INDEX('05_KAPA'!$K:$K,$A316))</f>
        <v/>
      </c>
      <c r="F316">
        <f>IF($A316="","",INDEX('05_KAPA'!$L:$L,$A316))</f>
        <v/>
      </c>
      <c r="G316">
        <f>IF($A316="","",INDEX('05_KAPA'!$I:$I,$A316))</f>
        <v/>
      </c>
      <c r="H316" s="202">
        <f>IF($A316="","",INDEX('05_KAPA'!$P:$P,$A316))</f>
        <v/>
      </c>
      <c r="I316" s="118">
        <f>IF($A316="","",INDEX('05_KAPA'!$O:$O,$A316))</f>
        <v/>
      </c>
      <c r="J316" s="202">
        <f>IF($A316="","",IFERROR(DATE(LEFT(TEXT(INDEX('05_KAPA'!$T:$T,$A316),"0"),4),MID(TEXT(INDEX('05_KAPA'!$T:$T,$A316),"0"),5,2),RIGHT(TEXT(INDEX('05_KAPA'!$T:$T,$A316),"0"),2)),""))</f>
        <v/>
      </c>
      <c r="K316">
        <f>IF(C316="","",IF('02_대상물건입력'!$B$5="",1,IF(ISNUMBER(SEARCH('02_대상물건입력'!$B$5,C316)),1,0)))</f>
        <v/>
      </c>
      <c r="L316">
        <f>IF(C316="","",IF('02_대상물건입력'!$B$6="",1,IF(ISNUMBER(SEARCH('02_대상물건입력'!$B$6,C316)),1,0)))</f>
        <v/>
      </c>
      <c r="M316">
        <f>IF(E316="","",IF('02_대상물건입력'!$B$8="",0,IF(ISNUMBER(SEARCH('02_대상물건입력'!$B$8,E316)),1,0)))</f>
        <v/>
      </c>
      <c r="N316">
        <f>IF(B316="","",IF(B316="담보",1,0))</f>
        <v/>
      </c>
      <c r="O316">
        <f>IFERROR(ABS(G316-'02_대상물건입력'!$B$11)/'02_대상물건입력'!$B$11,"")</f>
        <v/>
      </c>
      <c r="P316">
        <f>IFERROR(ABS('01_설정'!$B$4-H316),"")</f>
        <v/>
      </c>
      <c r="Q316">
        <f>IFERROR(ABS(YEAR(J316)-YEAR('02_대상물건입력'!$B$14)),"")</f>
        <v/>
      </c>
      <c r="R316">
        <f>IF(AND(G316&gt;0,H316&gt;0,I316&gt;0,N316=1,IF('01_설정'!$B$10=1,K316=1,TRUE()),O316&lt;='01_설정'!$B$5,P316&lt;='01_설정'!$B$7,Q316&lt;='01_설정'!$B$8),"Y","")</f>
        <v/>
      </c>
      <c r="S316">
        <f>IF(R316&lt;&gt;"Y","",MAX(0,(1-O316/'01_설정'!$B$5))*'01_설정'!$B$14+MAX(0,(1-P316/'01_설정'!$B$7))*'01_설정'!$B$16+MAX(0,(1-Q316/'01_설정'!$B$8))*'01_설정'!$B$17+L316*'01_설정'!$B$11+M316*'01_설정'!$B$12+N316*50)</f>
        <v/>
      </c>
      <c r="T316">
        <f>IF(S316="","",1+COUNTIFS($S$31:$S$1030,"&gt;"&amp;S316)+COUNTIFS($S$31:S316,S316)-1)</f>
        <v/>
      </c>
    </row>
    <row r="317" hidden="1" ht="16.5" customHeight="1">
      <c r="A317">
        <f>IF(COUNTA('05_KAPA'!$A288:$AO288)=0,"",290)</f>
        <v/>
      </c>
      <c r="B317">
        <f>IF($A317="","",INDEX('05_KAPA'!$B:$B,$A317))</f>
        <v/>
      </c>
      <c r="C317">
        <f>IF($A317="","",INDEX('05_KAPA'!$F:$F,$A317))</f>
        <v/>
      </c>
      <c r="D317">
        <f>IF($A317="","",INDEX('05_KAPA'!$H:$H,$A317))</f>
        <v/>
      </c>
      <c r="E317">
        <f>IF($A317="","",INDEX('05_KAPA'!$K:$K,$A317))</f>
        <v/>
      </c>
      <c r="F317">
        <f>IF($A317="","",INDEX('05_KAPA'!$L:$L,$A317))</f>
        <v/>
      </c>
      <c r="G317">
        <f>IF($A317="","",INDEX('05_KAPA'!$I:$I,$A317))</f>
        <v/>
      </c>
      <c r="H317" s="202">
        <f>IF($A317="","",INDEX('05_KAPA'!$P:$P,$A317))</f>
        <v/>
      </c>
      <c r="I317" s="118">
        <f>IF($A317="","",INDEX('05_KAPA'!$O:$O,$A317))</f>
        <v/>
      </c>
      <c r="J317" s="202">
        <f>IF($A317="","",IFERROR(DATE(LEFT(TEXT(INDEX('05_KAPA'!$T:$T,$A317),"0"),4),MID(TEXT(INDEX('05_KAPA'!$T:$T,$A317),"0"),5,2),RIGHT(TEXT(INDEX('05_KAPA'!$T:$T,$A317),"0"),2)),""))</f>
        <v/>
      </c>
      <c r="K317">
        <f>IF(C317="","",IF('02_대상물건입력'!$B$5="",1,IF(ISNUMBER(SEARCH('02_대상물건입력'!$B$5,C317)),1,0)))</f>
        <v/>
      </c>
      <c r="L317">
        <f>IF(C317="","",IF('02_대상물건입력'!$B$6="",1,IF(ISNUMBER(SEARCH('02_대상물건입력'!$B$6,C317)),1,0)))</f>
        <v/>
      </c>
      <c r="M317">
        <f>IF(E317="","",IF('02_대상물건입력'!$B$8="",0,IF(ISNUMBER(SEARCH('02_대상물건입력'!$B$8,E317)),1,0)))</f>
        <v/>
      </c>
      <c r="N317">
        <f>IF(B317="","",IF(B317="담보",1,0))</f>
        <v/>
      </c>
      <c r="O317">
        <f>IFERROR(ABS(G317-'02_대상물건입력'!$B$11)/'02_대상물건입력'!$B$11,"")</f>
        <v/>
      </c>
      <c r="P317">
        <f>IFERROR(ABS('01_설정'!$B$4-H317),"")</f>
        <v/>
      </c>
      <c r="Q317">
        <f>IFERROR(ABS(YEAR(J317)-YEAR('02_대상물건입력'!$B$14)),"")</f>
        <v/>
      </c>
      <c r="R317">
        <f>IF(AND(G317&gt;0,H317&gt;0,I317&gt;0,N317=1,IF('01_설정'!$B$10=1,K317=1,TRUE()),O317&lt;='01_설정'!$B$5,P317&lt;='01_설정'!$B$7,Q317&lt;='01_설정'!$B$8),"Y","")</f>
        <v/>
      </c>
      <c r="S317">
        <f>IF(R317&lt;&gt;"Y","",MAX(0,(1-O317/'01_설정'!$B$5))*'01_설정'!$B$14+MAX(0,(1-P317/'01_설정'!$B$7))*'01_설정'!$B$16+MAX(0,(1-Q317/'01_설정'!$B$8))*'01_설정'!$B$17+L317*'01_설정'!$B$11+M317*'01_설정'!$B$12+N317*50)</f>
        <v/>
      </c>
      <c r="T317">
        <f>IF(S317="","",1+COUNTIFS($S$31:$S$1030,"&gt;"&amp;S317)+COUNTIFS($S$31:S317,S317)-1)</f>
        <v/>
      </c>
    </row>
    <row r="318" hidden="1" ht="16.5" customHeight="1">
      <c r="A318">
        <f>IF(COUNTA('05_KAPA'!$A289:$AO289)=0,"",291)</f>
        <v/>
      </c>
      <c r="B318">
        <f>IF($A318="","",INDEX('05_KAPA'!$B:$B,$A318))</f>
        <v/>
      </c>
      <c r="C318">
        <f>IF($A318="","",INDEX('05_KAPA'!$F:$F,$A318))</f>
        <v/>
      </c>
      <c r="D318">
        <f>IF($A318="","",INDEX('05_KAPA'!$H:$H,$A318))</f>
        <v/>
      </c>
      <c r="E318">
        <f>IF($A318="","",INDEX('05_KAPA'!$K:$K,$A318))</f>
        <v/>
      </c>
      <c r="F318">
        <f>IF($A318="","",INDEX('05_KAPA'!$L:$L,$A318))</f>
        <v/>
      </c>
      <c r="G318">
        <f>IF($A318="","",INDEX('05_KAPA'!$I:$I,$A318))</f>
        <v/>
      </c>
      <c r="H318" s="202">
        <f>IF($A318="","",INDEX('05_KAPA'!$P:$P,$A318))</f>
        <v/>
      </c>
      <c r="I318" s="118">
        <f>IF($A318="","",INDEX('05_KAPA'!$O:$O,$A318))</f>
        <v/>
      </c>
      <c r="J318" s="202">
        <f>IF($A318="","",IFERROR(DATE(LEFT(TEXT(INDEX('05_KAPA'!$T:$T,$A318),"0"),4),MID(TEXT(INDEX('05_KAPA'!$T:$T,$A318),"0"),5,2),RIGHT(TEXT(INDEX('05_KAPA'!$T:$T,$A318),"0"),2)),""))</f>
        <v/>
      </c>
      <c r="K318">
        <f>IF(C318="","",IF('02_대상물건입력'!$B$5="",1,IF(ISNUMBER(SEARCH('02_대상물건입력'!$B$5,C318)),1,0)))</f>
        <v/>
      </c>
      <c r="L318">
        <f>IF(C318="","",IF('02_대상물건입력'!$B$6="",1,IF(ISNUMBER(SEARCH('02_대상물건입력'!$B$6,C318)),1,0)))</f>
        <v/>
      </c>
      <c r="M318">
        <f>IF(E318="","",IF('02_대상물건입력'!$B$8="",0,IF(ISNUMBER(SEARCH('02_대상물건입력'!$B$8,E318)),1,0)))</f>
        <v/>
      </c>
      <c r="N318">
        <f>IF(B318="","",IF(B318="담보",1,0))</f>
        <v/>
      </c>
      <c r="O318">
        <f>IFERROR(ABS(G318-'02_대상물건입력'!$B$11)/'02_대상물건입력'!$B$11,"")</f>
        <v/>
      </c>
      <c r="P318">
        <f>IFERROR(ABS('01_설정'!$B$4-H318),"")</f>
        <v/>
      </c>
      <c r="Q318">
        <f>IFERROR(ABS(YEAR(J318)-YEAR('02_대상물건입력'!$B$14)),"")</f>
        <v/>
      </c>
      <c r="R318">
        <f>IF(AND(G318&gt;0,H318&gt;0,I318&gt;0,N318=1,IF('01_설정'!$B$10=1,K318=1,TRUE()),O318&lt;='01_설정'!$B$5,P318&lt;='01_설정'!$B$7,Q318&lt;='01_설정'!$B$8),"Y","")</f>
        <v/>
      </c>
      <c r="S318">
        <f>IF(R318&lt;&gt;"Y","",MAX(0,(1-O318/'01_설정'!$B$5))*'01_설정'!$B$14+MAX(0,(1-P318/'01_설정'!$B$7))*'01_설정'!$B$16+MAX(0,(1-Q318/'01_설정'!$B$8))*'01_설정'!$B$17+L318*'01_설정'!$B$11+M318*'01_설정'!$B$12+N318*50)</f>
        <v/>
      </c>
      <c r="T318">
        <f>IF(S318="","",1+COUNTIFS($S$31:$S$1030,"&gt;"&amp;S318)+COUNTIFS($S$31:S318,S318)-1)</f>
        <v/>
      </c>
    </row>
    <row r="319" hidden="1" ht="16.5" customHeight="1">
      <c r="A319">
        <f>IF(COUNTA('05_KAPA'!$A290:$AO290)=0,"",292)</f>
        <v/>
      </c>
      <c r="B319">
        <f>IF($A319="","",INDEX('05_KAPA'!$B:$B,$A319))</f>
        <v/>
      </c>
      <c r="C319">
        <f>IF($A319="","",INDEX('05_KAPA'!$F:$F,$A319))</f>
        <v/>
      </c>
      <c r="D319">
        <f>IF($A319="","",INDEX('05_KAPA'!$H:$H,$A319))</f>
        <v/>
      </c>
      <c r="E319">
        <f>IF($A319="","",INDEX('05_KAPA'!$K:$K,$A319))</f>
        <v/>
      </c>
      <c r="F319">
        <f>IF($A319="","",INDEX('05_KAPA'!$L:$L,$A319))</f>
        <v/>
      </c>
      <c r="G319">
        <f>IF($A319="","",INDEX('05_KAPA'!$I:$I,$A319))</f>
        <v/>
      </c>
      <c r="H319" s="202">
        <f>IF($A319="","",INDEX('05_KAPA'!$P:$P,$A319))</f>
        <v/>
      </c>
      <c r="I319" s="118">
        <f>IF($A319="","",INDEX('05_KAPA'!$O:$O,$A319))</f>
        <v/>
      </c>
      <c r="J319" s="202">
        <f>IF($A319="","",IFERROR(DATE(LEFT(TEXT(INDEX('05_KAPA'!$T:$T,$A319),"0"),4),MID(TEXT(INDEX('05_KAPA'!$T:$T,$A319),"0"),5,2),RIGHT(TEXT(INDEX('05_KAPA'!$T:$T,$A319),"0"),2)),""))</f>
        <v/>
      </c>
      <c r="K319">
        <f>IF(C319="","",IF('02_대상물건입력'!$B$5="",1,IF(ISNUMBER(SEARCH('02_대상물건입력'!$B$5,C319)),1,0)))</f>
        <v/>
      </c>
      <c r="L319">
        <f>IF(C319="","",IF('02_대상물건입력'!$B$6="",1,IF(ISNUMBER(SEARCH('02_대상물건입력'!$B$6,C319)),1,0)))</f>
        <v/>
      </c>
      <c r="M319">
        <f>IF(E319="","",IF('02_대상물건입력'!$B$8="",0,IF(ISNUMBER(SEARCH('02_대상물건입력'!$B$8,E319)),1,0)))</f>
        <v/>
      </c>
      <c r="N319">
        <f>IF(B319="","",IF(B319="담보",1,0))</f>
        <v/>
      </c>
      <c r="O319">
        <f>IFERROR(ABS(G319-'02_대상물건입력'!$B$11)/'02_대상물건입력'!$B$11,"")</f>
        <v/>
      </c>
      <c r="P319">
        <f>IFERROR(ABS('01_설정'!$B$4-H319),"")</f>
        <v/>
      </c>
      <c r="Q319">
        <f>IFERROR(ABS(YEAR(J319)-YEAR('02_대상물건입력'!$B$14)),"")</f>
        <v/>
      </c>
      <c r="R319">
        <f>IF(AND(G319&gt;0,H319&gt;0,I319&gt;0,N319=1,IF('01_설정'!$B$10=1,K319=1,TRUE()),O319&lt;='01_설정'!$B$5,P319&lt;='01_설정'!$B$7,Q319&lt;='01_설정'!$B$8),"Y","")</f>
        <v/>
      </c>
      <c r="S319">
        <f>IF(R319&lt;&gt;"Y","",MAX(0,(1-O319/'01_설정'!$B$5))*'01_설정'!$B$14+MAX(0,(1-P319/'01_설정'!$B$7))*'01_설정'!$B$16+MAX(0,(1-Q319/'01_설정'!$B$8))*'01_설정'!$B$17+L319*'01_설정'!$B$11+M319*'01_설정'!$B$12+N319*50)</f>
        <v/>
      </c>
      <c r="T319">
        <f>IF(S319="","",1+COUNTIFS($S$31:$S$1030,"&gt;"&amp;S319)+COUNTIFS($S$31:S319,S319)-1)</f>
        <v/>
      </c>
    </row>
    <row r="320" hidden="1" ht="16.5" customHeight="1">
      <c r="A320">
        <f>IF(COUNTA('05_KAPA'!$A291:$AO291)=0,"",293)</f>
        <v/>
      </c>
      <c r="B320">
        <f>IF($A320="","",INDEX('05_KAPA'!$B:$B,$A320))</f>
        <v/>
      </c>
      <c r="C320">
        <f>IF($A320="","",INDEX('05_KAPA'!$F:$F,$A320))</f>
        <v/>
      </c>
      <c r="D320">
        <f>IF($A320="","",INDEX('05_KAPA'!$H:$H,$A320))</f>
        <v/>
      </c>
      <c r="E320">
        <f>IF($A320="","",INDEX('05_KAPA'!$K:$K,$A320))</f>
        <v/>
      </c>
      <c r="F320">
        <f>IF($A320="","",INDEX('05_KAPA'!$L:$L,$A320))</f>
        <v/>
      </c>
      <c r="G320">
        <f>IF($A320="","",INDEX('05_KAPA'!$I:$I,$A320))</f>
        <v/>
      </c>
      <c r="H320" s="202">
        <f>IF($A320="","",INDEX('05_KAPA'!$P:$P,$A320))</f>
        <v/>
      </c>
      <c r="I320" s="118">
        <f>IF($A320="","",INDEX('05_KAPA'!$O:$O,$A320))</f>
        <v/>
      </c>
      <c r="J320" s="202">
        <f>IF($A320="","",IFERROR(DATE(LEFT(TEXT(INDEX('05_KAPA'!$T:$T,$A320),"0"),4),MID(TEXT(INDEX('05_KAPA'!$T:$T,$A320),"0"),5,2),RIGHT(TEXT(INDEX('05_KAPA'!$T:$T,$A320),"0"),2)),""))</f>
        <v/>
      </c>
      <c r="K320">
        <f>IF(C320="","",IF('02_대상물건입력'!$B$5="",1,IF(ISNUMBER(SEARCH('02_대상물건입력'!$B$5,C320)),1,0)))</f>
        <v/>
      </c>
      <c r="L320">
        <f>IF(C320="","",IF('02_대상물건입력'!$B$6="",1,IF(ISNUMBER(SEARCH('02_대상물건입력'!$B$6,C320)),1,0)))</f>
        <v/>
      </c>
      <c r="M320">
        <f>IF(E320="","",IF('02_대상물건입력'!$B$8="",0,IF(ISNUMBER(SEARCH('02_대상물건입력'!$B$8,E320)),1,0)))</f>
        <v/>
      </c>
      <c r="N320">
        <f>IF(B320="","",IF(B320="담보",1,0))</f>
        <v/>
      </c>
      <c r="O320">
        <f>IFERROR(ABS(G320-'02_대상물건입력'!$B$11)/'02_대상물건입력'!$B$11,"")</f>
        <v/>
      </c>
      <c r="P320">
        <f>IFERROR(ABS('01_설정'!$B$4-H320),"")</f>
        <v/>
      </c>
      <c r="Q320">
        <f>IFERROR(ABS(YEAR(J320)-YEAR('02_대상물건입력'!$B$14)),"")</f>
        <v/>
      </c>
      <c r="R320">
        <f>IF(AND(G320&gt;0,H320&gt;0,I320&gt;0,N320=1,IF('01_설정'!$B$10=1,K320=1,TRUE()),O320&lt;='01_설정'!$B$5,P320&lt;='01_설정'!$B$7,Q320&lt;='01_설정'!$B$8),"Y","")</f>
        <v/>
      </c>
      <c r="S320">
        <f>IF(R320&lt;&gt;"Y","",MAX(0,(1-O320/'01_설정'!$B$5))*'01_설정'!$B$14+MAX(0,(1-P320/'01_설정'!$B$7))*'01_설정'!$B$16+MAX(0,(1-Q320/'01_설정'!$B$8))*'01_설정'!$B$17+L320*'01_설정'!$B$11+M320*'01_설정'!$B$12+N320*50)</f>
        <v/>
      </c>
      <c r="T320">
        <f>IF(S320="","",1+COUNTIFS($S$31:$S$1030,"&gt;"&amp;S320)+COUNTIFS($S$31:S320,S320)-1)</f>
        <v/>
      </c>
    </row>
    <row r="321" hidden="1" ht="16.5" customHeight="1">
      <c r="A321">
        <f>IF(COUNTA('05_KAPA'!$A292:$AO292)=0,"",294)</f>
        <v/>
      </c>
      <c r="B321">
        <f>IF($A321="","",INDEX('05_KAPA'!$B:$B,$A321))</f>
        <v/>
      </c>
      <c r="C321">
        <f>IF($A321="","",INDEX('05_KAPA'!$F:$F,$A321))</f>
        <v/>
      </c>
      <c r="D321">
        <f>IF($A321="","",INDEX('05_KAPA'!$H:$H,$A321))</f>
        <v/>
      </c>
      <c r="E321">
        <f>IF($A321="","",INDEX('05_KAPA'!$K:$K,$A321))</f>
        <v/>
      </c>
      <c r="F321">
        <f>IF($A321="","",INDEX('05_KAPA'!$L:$L,$A321))</f>
        <v/>
      </c>
      <c r="G321">
        <f>IF($A321="","",INDEX('05_KAPA'!$I:$I,$A321))</f>
        <v/>
      </c>
      <c r="H321" s="202">
        <f>IF($A321="","",INDEX('05_KAPA'!$P:$P,$A321))</f>
        <v/>
      </c>
      <c r="I321" s="118">
        <f>IF($A321="","",INDEX('05_KAPA'!$O:$O,$A321))</f>
        <v/>
      </c>
      <c r="J321" s="202">
        <f>IF($A321="","",IFERROR(DATE(LEFT(TEXT(INDEX('05_KAPA'!$T:$T,$A321),"0"),4),MID(TEXT(INDEX('05_KAPA'!$T:$T,$A321),"0"),5,2),RIGHT(TEXT(INDEX('05_KAPA'!$T:$T,$A321),"0"),2)),""))</f>
        <v/>
      </c>
      <c r="K321">
        <f>IF(C321="","",IF('02_대상물건입력'!$B$5="",1,IF(ISNUMBER(SEARCH('02_대상물건입력'!$B$5,C321)),1,0)))</f>
        <v/>
      </c>
      <c r="L321">
        <f>IF(C321="","",IF('02_대상물건입력'!$B$6="",1,IF(ISNUMBER(SEARCH('02_대상물건입력'!$B$6,C321)),1,0)))</f>
        <v/>
      </c>
      <c r="M321">
        <f>IF(E321="","",IF('02_대상물건입력'!$B$8="",0,IF(ISNUMBER(SEARCH('02_대상물건입력'!$B$8,E321)),1,0)))</f>
        <v/>
      </c>
      <c r="N321">
        <f>IF(B321="","",IF(B321="담보",1,0))</f>
        <v/>
      </c>
      <c r="O321">
        <f>IFERROR(ABS(G321-'02_대상물건입력'!$B$11)/'02_대상물건입력'!$B$11,"")</f>
        <v/>
      </c>
      <c r="P321">
        <f>IFERROR(ABS('01_설정'!$B$4-H321),"")</f>
        <v/>
      </c>
      <c r="Q321">
        <f>IFERROR(ABS(YEAR(J321)-YEAR('02_대상물건입력'!$B$14)),"")</f>
        <v/>
      </c>
      <c r="R321">
        <f>IF(AND(G321&gt;0,H321&gt;0,I321&gt;0,N321=1,IF('01_설정'!$B$10=1,K321=1,TRUE()),O321&lt;='01_설정'!$B$5,P321&lt;='01_설정'!$B$7,Q321&lt;='01_설정'!$B$8),"Y","")</f>
        <v/>
      </c>
      <c r="S321">
        <f>IF(R321&lt;&gt;"Y","",MAX(0,(1-O321/'01_설정'!$B$5))*'01_설정'!$B$14+MAX(0,(1-P321/'01_설정'!$B$7))*'01_설정'!$B$16+MAX(0,(1-Q321/'01_설정'!$B$8))*'01_설정'!$B$17+L321*'01_설정'!$B$11+M321*'01_설정'!$B$12+N321*50)</f>
        <v/>
      </c>
      <c r="T321">
        <f>IF(S321="","",1+COUNTIFS($S$31:$S$1030,"&gt;"&amp;S321)+COUNTIFS($S$31:S321,S321)-1)</f>
        <v/>
      </c>
    </row>
    <row r="322" hidden="1" ht="16.5" customHeight="1">
      <c r="A322">
        <f>IF(COUNTA('05_KAPA'!$A293:$AO293)=0,"",295)</f>
        <v/>
      </c>
      <c r="B322">
        <f>IF($A322="","",INDEX('05_KAPA'!$B:$B,$A322))</f>
        <v/>
      </c>
      <c r="C322">
        <f>IF($A322="","",INDEX('05_KAPA'!$F:$F,$A322))</f>
        <v/>
      </c>
      <c r="D322">
        <f>IF($A322="","",INDEX('05_KAPA'!$H:$H,$A322))</f>
        <v/>
      </c>
      <c r="E322">
        <f>IF($A322="","",INDEX('05_KAPA'!$K:$K,$A322))</f>
        <v/>
      </c>
      <c r="F322">
        <f>IF($A322="","",INDEX('05_KAPA'!$L:$L,$A322))</f>
        <v/>
      </c>
      <c r="G322">
        <f>IF($A322="","",INDEX('05_KAPA'!$I:$I,$A322))</f>
        <v/>
      </c>
      <c r="H322" s="202">
        <f>IF($A322="","",INDEX('05_KAPA'!$P:$P,$A322))</f>
        <v/>
      </c>
      <c r="I322" s="118">
        <f>IF($A322="","",INDEX('05_KAPA'!$O:$O,$A322))</f>
        <v/>
      </c>
      <c r="J322" s="202">
        <f>IF($A322="","",IFERROR(DATE(LEFT(TEXT(INDEX('05_KAPA'!$T:$T,$A322),"0"),4),MID(TEXT(INDEX('05_KAPA'!$T:$T,$A322),"0"),5,2),RIGHT(TEXT(INDEX('05_KAPA'!$T:$T,$A322),"0"),2)),""))</f>
        <v/>
      </c>
      <c r="K322">
        <f>IF(C322="","",IF('02_대상물건입력'!$B$5="",1,IF(ISNUMBER(SEARCH('02_대상물건입력'!$B$5,C322)),1,0)))</f>
        <v/>
      </c>
      <c r="L322">
        <f>IF(C322="","",IF('02_대상물건입력'!$B$6="",1,IF(ISNUMBER(SEARCH('02_대상물건입력'!$B$6,C322)),1,0)))</f>
        <v/>
      </c>
      <c r="M322">
        <f>IF(E322="","",IF('02_대상물건입력'!$B$8="",0,IF(ISNUMBER(SEARCH('02_대상물건입력'!$B$8,E322)),1,0)))</f>
        <v/>
      </c>
      <c r="N322">
        <f>IF(B322="","",IF(B322="담보",1,0))</f>
        <v/>
      </c>
      <c r="O322">
        <f>IFERROR(ABS(G322-'02_대상물건입력'!$B$11)/'02_대상물건입력'!$B$11,"")</f>
        <v/>
      </c>
      <c r="P322">
        <f>IFERROR(ABS('01_설정'!$B$4-H322),"")</f>
        <v/>
      </c>
      <c r="Q322">
        <f>IFERROR(ABS(YEAR(J322)-YEAR('02_대상물건입력'!$B$14)),"")</f>
        <v/>
      </c>
      <c r="R322">
        <f>IF(AND(G322&gt;0,H322&gt;0,I322&gt;0,N322=1,IF('01_설정'!$B$10=1,K322=1,TRUE()),O322&lt;='01_설정'!$B$5,P322&lt;='01_설정'!$B$7,Q322&lt;='01_설정'!$B$8),"Y","")</f>
        <v/>
      </c>
      <c r="S322">
        <f>IF(R322&lt;&gt;"Y","",MAX(0,(1-O322/'01_설정'!$B$5))*'01_설정'!$B$14+MAX(0,(1-P322/'01_설정'!$B$7))*'01_설정'!$B$16+MAX(0,(1-Q322/'01_설정'!$B$8))*'01_설정'!$B$17+L322*'01_설정'!$B$11+M322*'01_설정'!$B$12+N322*50)</f>
        <v/>
      </c>
      <c r="T322">
        <f>IF(S322="","",1+COUNTIFS($S$31:$S$1030,"&gt;"&amp;S322)+COUNTIFS($S$31:S322,S322)-1)</f>
        <v/>
      </c>
    </row>
    <row r="323" hidden="1" ht="16.5" customHeight="1">
      <c r="A323">
        <f>IF(COUNTA('05_KAPA'!$A294:$AO294)=0,"",296)</f>
        <v/>
      </c>
      <c r="B323">
        <f>IF($A323="","",INDEX('05_KAPA'!$B:$B,$A323))</f>
        <v/>
      </c>
      <c r="C323">
        <f>IF($A323="","",INDEX('05_KAPA'!$F:$F,$A323))</f>
        <v/>
      </c>
      <c r="D323">
        <f>IF($A323="","",INDEX('05_KAPA'!$H:$H,$A323))</f>
        <v/>
      </c>
      <c r="E323">
        <f>IF($A323="","",INDEX('05_KAPA'!$K:$K,$A323))</f>
        <v/>
      </c>
      <c r="F323">
        <f>IF($A323="","",INDEX('05_KAPA'!$L:$L,$A323))</f>
        <v/>
      </c>
      <c r="G323">
        <f>IF($A323="","",INDEX('05_KAPA'!$I:$I,$A323))</f>
        <v/>
      </c>
      <c r="H323" s="202">
        <f>IF($A323="","",INDEX('05_KAPA'!$P:$P,$A323))</f>
        <v/>
      </c>
      <c r="I323" s="118">
        <f>IF($A323="","",INDEX('05_KAPA'!$O:$O,$A323))</f>
        <v/>
      </c>
      <c r="J323" s="202">
        <f>IF($A323="","",IFERROR(DATE(LEFT(TEXT(INDEX('05_KAPA'!$T:$T,$A323),"0"),4),MID(TEXT(INDEX('05_KAPA'!$T:$T,$A323),"0"),5,2),RIGHT(TEXT(INDEX('05_KAPA'!$T:$T,$A323),"0"),2)),""))</f>
        <v/>
      </c>
      <c r="K323">
        <f>IF(C323="","",IF('02_대상물건입력'!$B$5="",1,IF(ISNUMBER(SEARCH('02_대상물건입력'!$B$5,C323)),1,0)))</f>
        <v/>
      </c>
      <c r="L323">
        <f>IF(C323="","",IF('02_대상물건입력'!$B$6="",1,IF(ISNUMBER(SEARCH('02_대상물건입력'!$B$6,C323)),1,0)))</f>
        <v/>
      </c>
      <c r="M323">
        <f>IF(E323="","",IF('02_대상물건입력'!$B$8="",0,IF(ISNUMBER(SEARCH('02_대상물건입력'!$B$8,E323)),1,0)))</f>
        <v/>
      </c>
      <c r="N323">
        <f>IF(B323="","",IF(B323="담보",1,0))</f>
        <v/>
      </c>
      <c r="O323">
        <f>IFERROR(ABS(G323-'02_대상물건입력'!$B$11)/'02_대상물건입력'!$B$11,"")</f>
        <v/>
      </c>
      <c r="P323">
        <f>IFERROR(ABS('01_설정'!$B$4-H323),"")</f>
        <v/>
      </c>
      <c r="Q323">
        <f>IFERROR(ABS(YEAR(J323)-YEAR('02_대상물건입력'!$B$14)),"")</f>
        <v/>
      </c>
      <c r="R323">
        <f>IF(AND(G323&gt;0,H323&gt;0,I323&gt;0,N323=1,IF('01_설정'!$B$10=1,K323=1,TRUE()),O323&lt;='01_설정'!$B$5,P323&lt;='01_설정'!$B$7,Q323&lt;='01_설정'!$B$8),"Y","")</f>
        <v/>
      </c>
      <c r="S323">
        <f>IF(R323&lt;&gt;"Y","",MAX(0,(1-O323/'01_설정'!$B$5))*'01_설정'!$B$14+MAX(0,(1-P323/'01_설정'!$B$7))*'01_설정'!$B$16+MAX(0,(1-Q323/'01_설정'!$B$8))*'01_설정'!$B$17+L323*'01_설정'!$B$11+M323*'01_설정'!$B$12+N323*50)</f>
        <v/>
      </c>
      <c r="T323">
        <f>IF(S323="","",1+COUNTIFS($S$31:$S$1030,"&gt;"&amp;S323)+COUNTIFS($S$31:S323,S323)-1)</f>
        <v/>
      </c>
    </row>
    <row r="324" hidden="1" ht="16.5" customHeight="1">
      <c r="A324">
        <f>IF(COUNTA('05_KAPA'!$A295:$AO295)=0,"",297)</f>
        <v/>
      </c>
      <c r="B324">
        <f>IF($A324="","",INDEX('05_KAPA'!$B:$B,$A324))</f>
        <v/>
      </c>
      <c r="C324">
        <f>IF($A324="","",INDEX('05_KAPA'!$F:$F,$A324))</f>
        <v/>
      </c>
      <c r="D324">
        <f>IF($A324="","",INDEX('05_KAPA'!$H:$H,$A324))</f>
        <v/>
      </c>
      <c r="E324">
        <f>IF($A324="","",INDEX('05_KAPA'!$K:$K,$A324))</f>
        <v/>
      </c>
      <c r="F324">
        <f>IF($A324="","",INDEX('05_KAPA'!$L:$L,$A324))</f>
        <v/>
      </c>
      <c r="G324">
        <f>IF($A324="","",INDEX('05_KAPA'!$I:$I,$A324))</f>
        <v/>
      </c>
      <c r="H324" s="202">
        <f>IF($A324="","",INDEX('05_KAPA'!$P:$P,$A324))</f>
        <v/>
      </c>
      <c r="I324" s="118">
        <f>IF($A324="","",INDEX('05_KAPA'!$O:$O,$A324))</f>
        <v/>
      </c>
      <c r="J324" s="202">
        <f>IF($A324="","",IFERROR(DATE(LEFT(TEXT(INDEX('05_KAPA'!$T:$T,$A324),"0"),4),MID(TEXT(INDEX('05_KAPA'!$T:$T,$A324),"0"),5,2),RIGHT(TEXT(INDEX('05_KAPA'!$T:$T,$A324),"0"),2)),""))</f>
        <v/>
      </c>
      <c r="K324">
        <f>IF(C324="","",IF('02_대상물건입력'!$B$5="",1,IF(ISNUMBER(SEARCH('02_대상물건입력'!$B$5,C324)),1,0)))</f>
        <v/>
      </c>
      <c r="L324">
        <f>IF(C324="","",IF('02_대상물건입력'!$B$6="",1,IF(ISNUMBER(SEARCH('02_대상물건입력'!$B$6,C324)),1,0)))</f>
        <v/>
      </c>
      <c r="M324">
        <f>IF(E324="","",IF('02_대상물건입력'!$B$8="",0,IF(ISNUMBER(SEARCH('02_대상물건입력'!$B$8,E324)),1,0)))</f>
        <v/>
      </c>
      <c r="N324">
        <f>IF(B324="","",IF(B324="담보",1,0))</f>
        <v/>
      </c>
      <c r="O324">
        <f>IFERROR(ABS(G324-'02_대상물건입력'!$B$11)/'02_대상물건입력'!$B$11,"")</f>
        <v/>
      </c>
      <c r="P324">
        <f>IFERROR(ABS('01_설정'!$B$4-H324),"")</f>
        <v/>
      </c>
      <c r="Q324">
        <f>IFERROR(ABS(YEAR(J324)-YEAR('02_대상물건입력'!$B$14)),"")</f>
        <v/>
      </c>
      <c r="R324">
        <f>IF(AND(G324&gt;0,H324&gt;0,I324&gt;0,N324=1,IF('01_설정'!$B$10=1,K324=1,TRUE()),O324&lt;='01_설정'!$B$5,P324&lt;='01_설정'!$B$7,Q324&lt;='01_설정'!$B$8),"Y","")</f>
        <v/>
      </c>
      <c r="S324">
        <f>IF(R324&lt;&gt;"Y","",MAX(0,(1-O324/'01_설정'!$B$5))*'01_설정'!$B$14+MAX(0,(1-P324/'01_설정'!$B$7))*'01_설정'!$B$16+MAX(0,(1-Q324/'01_설정'!$B$8))*'01_설정'!$B$17+L324*'01_설정'!$B$11+M324*'01_설정'!$B$12+N324*50)</f>
        <v/>
      </c>
      <c r="T324">
        <f>IF(S324="","",1+COUNTIFS($S$31:$S$1030,"&gt;"&amp;S324)+COUNTIFS($S$31:S324,S324)-1)</f>
        <v/>
      </c>
    </row>
    <row r="325" hidden="1" ht="16.5" customHeight="1">
      <c r="A325">
        <f>IF(COUNTA('05_KAPA'!$A296:$AO296)=0,"",298)</f>
        <v/>
      </c>
      <c r="B325">
        <f>IF($A325="","",INDEX('05_KAPA'!$B:$B,$A325))</f>
        <v/>
      </c>
      <c r="C325">
        <f>IF($A325="","",INDEX('05_KAPA'!$F:$F,$A325))</f>
        <v/>
      </c>
      <c r="D325">
        <f>IF($A325="","",INDEX('05_KAPA'!$H:$H,$A325))</f>
        <v/>
      </c>
      <c r="E325">
        <f>IF($A325="","",INDEX('05_KAPA'!$K:$K,$A325))</f>
        <v/>
      </c>
      <c r="F325">
        <f>IF($A325="","",INDEX('05_KAPA'!$L:$L,$A325))</f>
        <v/>
      </c>
      <c r="G325">
        <f>IF($A325="","",INDEX('05_KAPA'!$I:$I,$A325))</f>
        <v/>
      </c>
      <c r="H325" s="202">
        <f>IF($A325="","",INDEX('05_KAPA'!$P:$P,$A325))</f>
        <v/>
      </c>
      <c r="I325" s="118">
        <f>IF($A325="","",INDEX('05_KAPA'!$O:$O,$A325))</f>
        <v/>
      </c>
      <c r="J325" s="202">
        <f>IF($A325="","",IFERROR(DATE(LEFT(TEXT(INDEX('05_KAPA'!$T:$T,$A325),"0"),4),MID(TEXT(INDEX('05_KAPA'!$T:$T,$A325),"0"),5,2),RIGHT(TEXT(INDEX('05_KAPA'!$T:$T,$A325),"0"),2)),""))</f>
        <v/>
      </c>
      <c r="K325">
        <f>IF(C325="","",IF('02_대상물건입력'!$B$5="",1,IF(ISNUMBER(SEARCH('02_대상물건입력'!$B$5,C325)),1,0)))</f>
        <v/>
      </c>
      <c r="L325">
        <f>IF(C325="","",IF('02_대상물건입력'!$B$6="",1,IF(ISNUMBER(SEARCH('02_대상물건입력'!$B$6,C325)),1,0)))</f>
        <v/>
      </c>
      <c r="M325">
        <f>IF(E325="","",IF('02_대상물건입력'!$B$8="",0,IF(ISNUMBER(SEARCH('02_대상물건입력'!$B$8,E325)),1,0)))</f>
        <v/>
      </c>
      <c r="N325">
        <f>IF(B325="","",IF(B325="담보",1,0))</f>
        <v/>
      </c>
      <c r="O325">
        <f>IFERROR(ABS(G325-'02_대상물건입력'!$B$11)/'02_대상물건입력'!$B$11,"")</f>
        <v/>
      </c>
      <c r="P325">
        <f>IFERROR(ABS('01_설정'!$B$4-H325),"")</f>
        <v/>
      </c>
      <c r="Q325">
        <f>IFERROR(ABS(YEAR(J325)-YEAR('02_대상물건입력'!$B$14)),"")</f>
        <v/>
      </c>
      <c r="R325">
        <f>IF(AND(G325&gt;0,H325&gt;0,I325&gt;0,N325=1,IF('01_설정'!$B$10=1,K325=1,TRUE()),O325&lt;='01_설정'!$B$5,P325&lt;='01_설정'!$B$7,Q325&lt;='01_설정'!$B$8),"Y","")</f>
        <v/>
      </c>
      <c r="S325">
        <f>IF(R325&lt;&gt;"Y","",MAX(0,(1-O325/'01_설정'!$B$5))*'01_설정'!$B$14+MAX(0,(1-P325/'01_설정'!$B$7))*'01_설정'!$B$16+MAX(0,(1-Q325/'01_설정'!$B$8))*'01_설정'!$B$17+L325*'01_설정'!$B$11+M325*'01_설정'!$B$12+N325*50)</f>
        <v/>
      </c>
      <c r="T325">
        <f>IF(S325="","",1+COUNTIFS($S$31:$S$1030,"&gt;"&amp;S325)+COUNTIFS($S$31:S325,S325)-1)</f>
        <v/>
      </c>
    </row>
    <row r="326" hidden="1" ht="16.5" customHeight="1">
      <c r="A326">
        <f>IF(COUNTA('05_KAPA'!$A297:$AO297)=0,"",299)</f>
        <v/>
      </c>
      <c r="B326">
        <f>IF($A326="","",INDEX('05_KAPA'!$B:$B,$A326))</f>
        <v/>
      </c>
      <c r="C326">
        <f>IF($A326="","",INDEX('05_KAPA'!$F:$F,$A326))</f>
        <v/>
      </c>
      <c r="D326">
        <f>IF($A326="","",INDEX('05_KAPA'!$H:$H,$A326))</f>
        <v/>
      </c>
      <c r="E326">
        <f>IF($A326="","",INDEX('05_KAPA'!$K:$K,$A326))</f>
        <v/>
      </c>
      <c r="F326">
        <f>IF($A326="","",INDEX('05_KAPA'!$L:$L,$A326))</f>
        <v/>
      </c>
      <c r="G326">
        <f>IF($A326="","",INDEX('05_KAPA'!$I:$I,$A326))</f>
        <v/>
      </c>
      <c r="H326" s="202">
        <f>IF($A326="","",INDEX('05_KAPA'!$P:$P,$A326))</f>
        <v/>
      </c>
      <c r="I326" s="118">
        <f>IF($A326="","",INDEX('05_KAPA'!$O:$O,$A326))</f>
        <v/>
      </c>
      <c r="J326" s="202">
        <f>IF($A326="","",IFERROR(DATE(LEFT(TEXT(INDEX('05_KAPA'!$T:$T,$A326),"0"),4),MID(TEXT(INDEX('05_KAPA'!$T:$T,$A326),"0"),5,2),RIGHT(TEXT(INDEX('05_KAPA'!$T:$T,$A326),"0"),2)),""))</f>
        <v/>
      </c>
      <c r="K326">
        <f>IF(C326="","",IF('02_대상물건입력'!$B$5="",1,IF(ISNUMBER(SEARCH('02_대상물건입력'!$B$5,C326)),1,0)))</f>
        <v/>
      </c>
      <c r="L326">
        <f>IF(C326="","",IF('02_대상물건입력'!$B$6="",1,IF(ISNUMBER(SEARCH('02_대상물건입력'!$B$6,C326)),1,0)))</f>
        <v/>
      </c>
      <c r="M326">
        <f>IF(E326="","",IF('02_대상물건입력'!$B$8="",0,IF(ISNUMBER(SEARCH('02_대상물건입력'!$B$8,E326)),1,0)))</f>
        <v/>
      </c>
      <c r="N326">
        <f>IF(B326="","",IF(B326="담보",1,0))</f>
        <v/>
      </c>
      <c r="O326">
        <f>IFERROR(ABS(G326-'02_대상물건입력'!$B$11)/'02_대상물건입력'!$B$11,"")</f>
        <v/>
      </c>
      <c r="P326">
        <f>IFERROR(ABS('01_설정'!$B$4-H326),"")</f>
        <v/>
      </c>
      <c r="Q326">
        <f>IFERROR(ABS(YEAR(J326)-YEAR('02_대상물건입력'!$B$14)),"")</f>
        <v/>
      </c>
      <c r="R326">
        <f>IF(AND(G326&gt;0,H326&gt;0,I326&gt;0,N326=1,IF('01_설정'!$B$10=1,K326=1,TRUE()),O326&lt;='01_설정'!$B$5,P326&lt;='01_설정'!$B$7,Q326&lt;='01_설정'!$B$8),"Y","")</f>
        <v/>
      </c>
      <c r="S326">
        <f>IF(R326&lt;&gt;"Y","",MAX(0,(1-O326/'01_설정'!$B$5))*'01_설정'!$B$14+MAX(0,(1-P326/'01_설정'!$B$7))*'01_설정'!$B$16+MAX(0,(1-Q326/'01_설정'!$B$8))*'01_설정'!$B$17+L326*'01_설정'!$B$11+M326*'01_설정'!$B$12+N326*50)</f>
        <v/>
      </c>
      <c r="T326">
        <f>IF(S326="","",1+COUNTIFS($S$31:$S$1030,"&gt;"&amp;S326)+COUNTIFS($S$31:S326,S326)-1)</f>
        <v/>
      </c>
    </row>
    <row r="327" hidden="1" ht="16.5" customHeight="1">
      <c r="A327">
        <f>IF(COUNTA('05_KAPA'!$A298:$AO298)=0,"",300)</f>
        <v/>
      </c>
      <c r="B327">
        <f>IF($A327="","",INDEX('05_KAPA'!$B:$B,$A327))</f>
        <v/>
      </c>
      <c r="C327">
        <f>IF($A327="","",INDEX('05_KAPA'!$F:$F,$A327))</f>
        <v/>
      </c>
      <c r="D327">
        <f>IF($A327="","",INDEX('05_KAPA'!$H:$H,$A327))</f>
        <v/>
      </c>
      <c r="E327">
        <f>IF($A327="","",INDEX('05_KAPA'!$K:$K,$A327))</f>
        <v/>
      </c>
      <c r="F327">
        <f>IF($A327="","",INDEX('05_KAPA'!$L:$L,$A327))</f>
        <v/>
      </c>
      <c r="G327">
        <f>IF($A327="","",INDEX('05_KAPA'!$I:$I,$A327))</f>
        <v/>
      </c>
      <c r="H327" s="202">
        <f>IF($A327="","",INDEX('05_KAPA'!$P:$P,$A327))</f>
        <v/>
      </c>
      <c r="I327" s="118">
        <f>IF($A327="","",INDEX('05_KAPA'!$O:$O,$A327))</f>
        <v/>
      </c>
      <c r="J327" s="202">
        <f>IF($A327="","",IFERROR(DATE(LEFT(TEXT(INDEX('05_KAPA'!$T:$T,$A327),"0"),4),MID(TEXT(INDEX('05_KAPA'!$T:$T,$A327),"0"),5,2),RIGHT(TEXT(INDEX('05_KAPA'!$T:$T,$A327),"0"),2)),""))</f>
        <v/>
      </c>
      <c r="K327">
        <f>IF(C327="","",IF('02_대상물건입력'!$B$5="",1,IF(ISNUMBER(SEARCH('02_대상물건입력'!$B$5,C327)),1,0)))</f>
        <v/>
      </c>
      <c r="L327">
        <f>IF(C327="","",IF('02_대상물건입력'!$B$6="",1,IF(ISNUMBER(SEARCH('02_대상물건입력'!$B$6,C327)),1,0)))</f>
        <v/>
      </c>
      <c r="M327">
        <f>IF(E327="","",IF('02_대상물건입력'!$B$8="",0,IF(ISNUMBER(SEARCH('02_대상물건입력'!$B$8,E327)),1,0)))</f>
        <v/>
      </c>
      <c r="N327">
        <f>IF(B327="","",IF(B327="담보",1,0))</f>
        <v/>
      </c>
      <c r="O327">
        <f>IFERROR(ABS(G327-'02_대상물건입력'!$B$11)/'02_대상물건입력'!$B$11,"")</f>
        <v/>
      </c>
      <c r="P327">
        <f>IFERROR(ABS('01_설정'!$B$4-H327),"")</f>
        <v/>
      </c>
      <c r="Q327">
        <f>IFERROR(ABS(YEAR(J327)-YEAR('02_대상물건입력'!$B$14)),"")</f>
        <v/>
      </c>
      <c r="R327">
        <f>IF(AND(G327&gt;0,H327&gt;0,I327&gt;0,N327=1,IF('01_설정'!$B$10=1,K327=1,TRUE()),O327&lt;='01_설정'!$B$5,P327&lt;='01_설정'!$B$7,Q327&lt;='01_설정'!$B$8),"Y","")</f>
        <v/>
      </c>
      <c r="S327">
        <f>IF(R327&lt;&gt;"Y","",MAX(0,(1-O327/'01_설정'!$B$5))*'01_설정'!$B$14+MAX(0,(1-P327/'01_설정'!$B$7))*'01_설정'!$B$16+MAX(0,(1-Q327/'01_설정'!$B$8))*'01_설정'!$B$17+L327*'01_설정'!$B$11+M327*'01_설정'!$B$12+N327*50)</f>
        <v/>
      </c>
      <c r="T327">
        <f>IF(S327="","",1+COUNTIFS($S$31:$S$1030,"&gt;"&amp;S327)+COUNTIFS($S$31:S327,S327)-1)</f>
        <v/>
      </c>
    </row>
    <row r="328" hidden="1" ht="16.5" customHeight="1">
      <c r="A328">
        <f>IF(COUNTA('05_KAPA'!$A299:$AO299)=0,"",301)</f>
        <v/>
      </c>
      <c r="B328">
        <f>IF($A328="","",INDEX('05_KAPA'!$B:$B,$A328))</f>
        <v/>
      </c>
      <c r="C328">
        <f>IF($A328="","",INDEX('05_KAPA'!$F:$F,$A328))</f>
        <v/>
      </c>
      <c r="D328">
        <f>IF($A328="","",INDEX('05_KAPA'!$H:$H,$A328))</f>
        <v/>
      </c>
      <c r="E328">
        <f>IF($A328="","",INDEX('05_KAPA'!$K:$K,$A328))</f>
        <v/>
      </c>
      <c r="F328">
        <f>IF($A328="","",INDEX('05_KAPA'!$L:$L,$A328))</f>
        <v/>
      </c>
      <c r="G328">
        <f>IF($A328="","",INDEX('05_KAPA'!$I:$I,$A328))</f>
        <v/>
      </c>
      <c r="H328" s="202">
        <f>IF($A328="","",INDEX('05_KAPA'!$P:$P,$A328))</f>
        <v/>
      </c>
      <c r="I328" s="118">
        <f>IF($A328="","",INDEX('05_KAPA'!$O:$O,$A328))</f>
        <v/>
      </c>
      <c r="J328" s="202">
        <f>IF($A328="","",IFERROR(DATE(LEFT(TEXT(INDEX('05_KAPA'!$T:$T,$A328),"0"),4),MID(TEXT(INDEX('05_KAPA'!$T:$T,$A328),"0"),5,2),RIGHT(TEXT(INDEX('05_KAPA'!$T:$T,$A328),"0"),2)),""))</f>
        <v/>
      </c>
      <c r="K328">
        <f>IF(C328="","",IF('02_대상물건입력'!$B$5="",1,IF(ISNUMBER(SEARCH('02_대상물건입력'!$B$5,C328)),1,0)))</f>
        <v/>
      </c>
      <c r="L328">
        <f>IF(C328="","",IF('02_대상물건입력'!$B$6="",1,IF(ISNUMBER(SEARCH('02_대상물건입력'!$B$6,C328)),1,0)))</f>
        <v/>
      </c>
      <c r="M328">
        <f>IF(E328="","",IF('02_대상물건입력'!$B$8="",0,IF(ISNUMBER(SEARCH('02_대상물건입력'!$B$8,E328)),1,0)))</f>
        <v/>
      </c>
      <c r="N328">
        <f>IF(B328="","",IF(B328="담보",1,0))</f>
        <v/>
      </c>
      <c r="O328">
        <f>IFERROR(ABS(G328-'02_대상물건입력'!$B$11)/'02_대상물건입력'!$B$11,"")</f>
        <v/>
      </c>
      <c r="P328">
        <f>IFERROR(ABS('01_설정'!$B$4-H328),"")</f>
        <v/>
      </c>
      <c r="Q328">
        <f>IFERROR(ABS(YEAR(J328)-YEAR('02_대상물건입력'!$B$14)),"")</f>
        <v/>
      </c>
      <c r="R328">
        <f>IF(AND(G328&gt;0,H328&gt;0,I328&gt;0,N328=1,IF('01_설정'!$B$10=1,K328=1,TRUE()),O328&lt;='01_설정'!$B$5,P328&lt;='01_설정'!$B$7,Q328&lt;='01_설정'!$B$8),"Y","")</f>
        <v/>
      </c>
      <c r="S328">
        <f>IF(R328&lt;&gt;"Y","",MAX(0,(1-O328/'01_설정'!$B$5))*'01_설정'!$B$14+MAX(0,(1-P328/'01_설정'!$B$7))*'01_설정'!$B$16+MAX(0,(1-Q328/'01_설정'!$B$8))*'01_설정'!$B$17+L328*'01_설정'!$B$11+M328*'01_설정'!$B$12+N328*50)</f>
        <v/>
      </c>
      <c r="T328">
        <f>IF(S328="","",1+COUNTIFS($S$31:$S$1030,"&gt;"&amp;S328)+COUNTIFS($S$31:S328,S328)-1)</f>
        <v/>
      </c>
    </row>
    <row r="329" hidden="1" ht="16.5" customHeight="1">
      <c r="A329">
        <f>IF(COUNTA('05_KAPA'!$A300:$AO300)=0,"",302)</f>
        <v/>
      </c>
      <c r="B329">
        <f>IF($A329="","",INDEX('05_KAPA'!$B:$B,$A329))</f>
        <v/>
      </c>
      <c r="C329">
        <f>IF($A329="","",INDEX('05_KAPA'!$F:$F,$A329))</f>
        <v/>
      </c>
      <c r="D329">
        <f>IF($A329="","",INDEX('05_KAPA'!$H:$H,$A329))</f>
        <v/>
      </c>
      <c r="E329">
        <f>IF($A329="","",INDEX('05_KAPA'!$K:$K,$A329))</f>
        <v/>
      </c>
      <c r="F329">
        <f>IF($A329="","",INDEX('05_KAPA'!$L:$L,$A329))</f>
        <v/>
      </c>
      <c r="G329">
        <f>IF($A329="","",INDEX('05_KAPA'!$I:$I,$A329))</f>
        <v/>
      </c>
      <c r="H329" s="202">
        <f>IF($A329="","",INDEX('05_KAPA'!$P:$P,$A329))</f>
        <v/>
      </c>
      <c r="I329" s="118">
        <f>IF($A329="","",INDEX('05_KAPA'!$O:$O,$A329))</f>
        <v/>
      </c>
      <c r="J329" s="202">
        <f>IF($A329="","",IFERROR(DATE(LEFT(TEXT(INDEX('05_KAPA'!$T:$T,$A329),"0"),4),MID(TEXT(INDEX('05_KAPA'!$T:$T,$A329),"0"),5,2),RIGHT(TEXT(INDEX('05_KAPA'!$T:$T,$A329),"0"),2)),""))</f>
        <v/>
      </c>
      <c r="K329">
        <f>IF(C329="","",IF('02_대상물건입력'!$B$5="",1,IF(ISNUMBER(SEARCH('02_대상물건입력'!$B$5,C329)),1,0)))</f>
        <v/>
      </c>
      <c r="L329">
        <f>IF(C329="","",IF('02_대상물건입력'!$B$6="",1,IF(ISNUMBER(SEARCH('02_대상물건입력'!$B$6,C329)),1,0)))</f>
        <v/>
      </c>
      <c r="M329">
        <f>IF(E329="","",IF('02_대상물건입력'!$B$8="",0,IF(ISNUMBER(SEARCH('02_대상물건입력'!$B$8,E329)),1,0)))</f>
        <v/>
      </c>
      <c r="N329">
        <f>IF(B329="","",IF(B329="담보",1,0))</f>
        <v/>
      </c>
      <c r="O329">
        <f>IFERROR(ABS(G329-'02_대상물건입력'!$B$11)/'02_대상물건입력'!$B$11,"")</f>
        <v/>
      </c>
      <c r="P329">
        <f>IFERROR(ABS('01_설정'!$B$4-H329),"")</f>
        <v/>
      </c>
      <c r="Q329">
        <f>IFERROR(ABS(YEAR(J329)-YEAR('02_대상물건입력'!$B$14)),"")</f>
        <v/>
      </c>
      <c r="R329">
        <f>IF(AND(G329&gt;0,H329&gt;0,I329&gt;0,N329=1,IF('01_설정'!$B$10=1,K329=1,TRUE()),O329&lt;='01_설정'!$B$5,P329&lt;='01_설정'!$B$7,Q329&lt;='01_설정'!$B$8),"Y","")</f>
        <v/>
      </c>
      <c r="S329">
        <f>IF(R329&lt;&gt;"Y","",MAX(0,(1-O329/'01_설정'!$B$5))*'01_설정'!$B$14+MAX(0,(1-P329/'01_설정'!$B$7))*'01_설정'!$B$16+MAX(0,(1-Q329/'01_설정'!$B$8))*'01_설정'!$B$17+L329*'01_설정'!$B$11+M329*'01_설정'!$B$12+N329*50)</f>
        <v/>
      </c>
      <c r="T329">
        <f>IF(S329="","",1+COUNTIFS($S$31:$S$1030,"&gt;"&amp;S329)+COUNTIFS($S$31:S329,S329)-1)</f>
        <v/>
      </c>
    </row>
    <row r="330" hidden="1" ht="16.5" customHeight="1">
      <c r="A330">
        <f>IF(COUNTA('05_KAPA'!$A301:$AO301)=0,"",303)</f>
        <v/>
      </c>
      <c r="B330">
        <f>IF($A330="","",INDEX('05_KAPA'!$B:$B,$A330))</f>
        <v/>
      </c>
      <c r="C330">
        <f>IF($A330="","",INDEX('05_KAPA'!$F:$F,$A330))</f>
        <v/>
      </c>
      <c r="D330">
        <f>IF($A330="","",INDEX('05_KAPA'!$H:$H,$A330))</f>
        <v/>
      </c>
      <c r="E330">
        <f>IF($A330="","",INDEX('05_KAPA'!$K:$K,$A330))</f>
        <v/>
      </c>
      <c r="F330">
        <f>IF($A330="","",INDEX('05_KAPA'!$L:$L,$A330))</f>
        <v/>
      </c>
      <c r="G330">
        <f>IF($A330="","",INDEX('05_KAPA'!$I:$I,$A330))</f>
        <v/>
      </c>
      <c r="H330" s="202">
        <f>IF($A330="","",INDEX('05_KAPA'!$P:$P,$A330))</f>
        <v/>
      </c>
      <c r="I330" s="118">
        <f>IF($A330="","",INDEX('05_KAPA'!$O:$O,$A330))</f>
        <v/>
      </c>
      <c r="J330" s="202">
        <f>IF($A330="","",IFERROR(DATE(LEFT(TEXT(INDEX('05_KAPA'!$T:$T,$A330),"0"),4),MID(TEXT(INDEX('05_KAPA'!$T:$T,$A330),"0"),5,2),RIGHT(TEXT(INDEX('05_KAPA'!$T:$T,$A330),"0"),2)),""))</f>
        <v/>
      </c>
      <c r="K330">
        <f>IF(C330="","",IF('02_대상물건입력'!$B$5="",1,IF(ISNUMBER(SEARCH('02_대상물건입력'!$B$5,C330)),1,0)))</f>
        <v/>
      </c>
      <c r="L330">
        <f>IF(C330="","",IF('02_대상물건입력'!$B$6="",1,IF(ISNUMBER(SEARCH('02_대상물건입력'!$B$6,C330)),1,0)))</f>
        <v/>
      </c>
      <c r="M330">
        <f>IF(E330="","",IF('02_대상물건입력'!$B$8="",0,IF(ISNUMBER(SEARCH('02_대상물건입력'!$B$8,E330)),1,0)))</f>
        <v/>
      </c>
      <c r="N330">
        <f>IF(B330="","",IF(B330="담보",1,0))</f>
        <v/>
      </c>
      <c r="O330">
        <f>IFERROR(ABS(G330-'02_대상물건입력'!$B$11)/'02_대상물건입력'!$B$11,"")</f>
        <v/>
      </c>
      <c r="P330">
        <f>IFERROR(ABS('01_설정'!$B$4-H330),"")</f>
        <v/>
      </c>
      <c r="Q330">
        <f>IFERROR(ABS(YEAR(J330)-YEAR('02_대상물건입력'!$B$14)),"")</f>
        <v/>
      </c>
      <c r="R330">
        <f>IF(AND(G330&gt;0,H330&gt;0,I330&gt;0,N330=1,IF('01_설정'!$B$10=1,K330=1,TRUE()),O330&lt;='01_설정'!$B$5,P330&lt;='01_설정'!$B$7,Q330&lt;='01_설정'!$B$8),"Y","")</f>
        <v/>
      </c>
      <c r="S330">
        <f>IF(R330&lt;&gt;"Y","",MAX(0,(1-O330/'01_설정'!$B$5))*'01_설정'!$B$14+MAX(0,(1-P330/'01_설정'!$B$7))*'01_설정'!$B$16+MAX(0,(1-Q330/'01_설정'!$B$8))*'01_설정'!$B$17+L330*'01_설정'!$B$11+M330*'01_설정'!$B$12+N330*50)</f>
        <v/>
      </c>
      <c r="T330">
        <f>IF(S330="","",1+COUNTIFS($S$31:$S$1030,"&gt;"&amp;S330)+COUNTIFS($S$31:S330,S330)-1)</f>
        <v/>
      </c>
    </row>
    <row r="331" hidden="1" ht="16.5" customHeight="1">
      <c r="A331">
        <f>IF(COUNTA('05_KAPA'!$A302:$AO302)=0,"",304)</f>
        <v/>
      </c>
      <c r="B331">
        <f>IF($A331="","",INDEX('05_KAPA'!$B:$B,$A331))</f>
        <v/>
      </c>
      <c r="C331">
        <f>IF($A331="","",INDEX('05_KAPA'!$F:$F,$A331))</f>
        <v/>
      </c>
      <c r="D331">
        <f>IF($A331="","",INDEX('05_KAPA'!$H:$H,$A331))</f>
        <v/>
      </c>
      <c r="E331">
        <f>IF($A331="","",INDEX('05_KAPA'!$K:$K,$A331))</f>
        <v/>
      </c>
      <c r="F331">
        <f>IF($A331="","",INDEX('05_KAPA'!$L:$L,$A331))</f>
        <v/>
      </c>
      <c r="G331">
        <f>IF($A331="","",INDEX('05_KAPA'!$I:$I,$A331))</f>
        <v/>
      </c>
      <c r="H331" s="202">
        <f>IF($A331="","",INDEX('05_KAPA'!$P:$P,$A331))</f>
        <v/>
      </c>
      <c r="I331" s="118">
        <f>IF($A331="","",INDEX('05_KAPA'!$O:$O,$A331))</f>
        <v/>
      </c>
      <c r="J331" s="202">
        <f>IF($A331="","",IFERROR(DATE(LEFT(TEXT(INDEX('05_KAPA'!$T:$T,$A331),"0"),4),MID(TEXT(INDEX('05_KAPA'!$T:$T,$A331),"0"),5,2),RIGHT(TEXT(INDEX('05_KAPA'!$T:$T,$A331),"0"),2)),""))</f>
        <v/>
      </c>
      <c r="K331">
        <f>IF(C331="","",IF('02_대상물건입력'!$B$5="",1,IF(ISNUMBER(SEARCH('02_대상물건입력'!$B$5,C331)),1,0)))</f>
        <v/>
      </c>
      <c r="L331">
        <f>IF(C331="","",IF('02_대상물건입력'!$B$6="",1,IF(ISNUMBER(SEARCH('02_대상물건입력'!$B$6,C331)),1,0)))</f>
        <v/>
      </c>
      <c r="M331">
        <f>IF(E331="","",IF('02_대상물건입력'!$B$8="",0,IF(ISNUMBER(SEARCH('02_대상물건입력'!$B$8,E331)),1,0)))</f>
        <v/>
      </c>
      <c r="N331">
        <f>IF(B331="","",IF(B331="담보",1,0))</f>
        <v/>
      </c>
      <c r="O331">
        <f>IFERROR(ABS(G331-'02_대상물건입력'!$B$11)/'02_대상물건입력'!$B$11,"")</f>
        <v/>
      </c>
      <c r="P331">
        <f>IFERROR(ABS('01_설정'!$B$4-H331),"")</f>
        <v/>
      </c>
      <c r="Q331">
        <f>IFERROR(ABS(YEAR(J331)-YEAR('02_대상물건입력'!$B$14)),"")</f>
        <v/>
      </c>
      <c r="R331">
        <f>IF(AND(G331&gt;0,H331&gt;0,I331&gt;0,N331=1,IF('01_설정'!$B$10=1,K331=1,TRUE()),O331&lt;='01_설정'!$B$5,P331&lt;='01_설정'!$B$7,Q331&lt;='01_설정'!$B$8),"Y","")</f>
        <v/>
      </c>
      <c r="S331">
        <f>IF(R331&lt;&gt;"Y","",MAX(0,(1-O331/'01_설정'!$B$5))*'01_설정'!$B$14+MAX(0,(1-P331/'01_설정'!$B$7))*'01_설정'!$B$16+MAX(0,(1-Q331/'01_설정'!$B$8))*'01_설정'!$B$17+L331*'01_설정'!$B$11+M331*'01_설정'!$B$12+N331*50)</f>
        <v/>
      </c>
      <c r="T331">
        <f>IF(S331="","",1+COUNTIFS($S$31:$S$1030,"&gt;"&amp;S331)+COUNTIFS($S$31:S331,S331)-1)</f>
        <v/>
      </c>
    </row>
    <row r="332" hidden="1" ht="16.5" customHeight="1">
      <c r="A332">
        <f>IF(COUNTA('05_KAPA'!$A303:$AO303)=0,"",305)</f>
        <v/>
      </c>
      <c r="B332">
        <f>IF($A332="","",INDEX('05_KAPA'!$B:$B,$A332))</f>
        <v/>
      </c>
      <c r="C332">
        <f>IF($A332="","",INDEX('05_KAPA'!$F:$F,$A332))</f>
        <v/>
      </c>
      <c r="D332">
        <f>IF($A332="","",INDEX('05_KAPA'!$H:$H,$A332))</f>
        <v/>
      </c>
      <c r="E332">
        <f>IF($A332="","",INDEX('05_KAPA'!$K:$K,$A332))</f>
        <v/>
      </c>
      <c r="F332">
        <f>IF($A332="","",INDEX('05_KAPA'!$L:$L,$A332))</f>
        <v/>
      </c>
      <c r="G332">
        <f>IF($A332="","",INDEX('05_KAPA'!$I:$I,$A332))</f>
        <v/>
      </c>
      <c r="H332" s="202">
        <f>IF($A332="","",INDEX('05_KAPA'!$P:$P,$A332))</f>
        <v/>
      </c>
      <c r="I332" s="118">
        <f>IF($A332="","",INDEX('05_KAPA'!$O:$O,$A332))</f>
        <v/>
      </c>
      <c r="J332" s="202">
        <f>IF($A332="","",IFERROR(DATE(LEFT(TEXT(INDEX('05_KAPA'!$T:$T,$A332),"0"),4),MID(TEXT(INDEX('05_KAPA'!$T:$T,$A332),"0"),5,2),RIGHT(TEXT(INDEX('05_KAPA'!$T:$T,$A332),"0"),2)),""))</f>
        <v/>
      </c>
      <c r="K332">
        <f>IF(C332="","",IF('02_대상물건입력'!$B$5="",1,IF(ISNUMBER(SEARCH('02_대상물건입력'!$B$5,C332)),1,0)))</f>
        <v/>
      </c>
      <c r="L332">
        <f>IF(C332="","",IF('02_대상물건입력'!$B$6="",1,IF(ISNUMBER(SEARCH('02_대상물건입력'!$B$6,C332)),1,0)))</f>
        <v/>
      </c>
      <c r="M332">
        <f>IF(E332="","",IF('02_대상물건입력'!$B$8="",0,IF(ISNUMBER(SEARCH('02_대상물건입력'!$B$8,E332)),1,0)))</f>
        <v/>
      </c>
      <c r="N332">
        <f>IF(B332="","",IF(B332="담보",1,0))</f>
        <v/>
      </c>
      <c r="O332">
        <f>IFERROR(ABS(G332-'02_대상물건입력'!$B$11)/'02_대상물건입력'!$B$11,"")</f>
        <v/>
      </c>
      <c r="P332">
        <f>IFERROR(ABS('01_설정'!$B$4-H332),"")</f>
        <v/>
      </c>
      <c r="Q332">
        <f>IFERROR(ABS(YEAR(J332)-YEAR('02_대상물건입력'!$B$14)),"")</f>
        <v/>
      </c>
      <c r="R332">
        <f>IF(AND(G332&gt;0,H332&gt;0,I332&gt;0,N332=1,IF('01_설정'!$B$10=1,K332=1,TRUE()),O332&lt;='01_설정'!$B$5,P332&lt;='01_설정'!$B$7,Q332&lt;='01_설정'!$B$8),"Y","")</f>
        <v/>
      </c>
      <c r="S332">
        <f>IF(R332&lt;&gt;"Y","",MAX(0,(1-O332/'01_설정'!$B$5))*'01_설정'!$B$14+MAX(0,(1-P332/'01_설정'!$B$7))*'01_설정'!$B$16+MAX(0,(1-Q332/'01_설정'!$B$8))*'01_설정'!$B$17+L332*'01_설정'!$B$11+M332*'01_설정'!$B$12+N332*50)</f>
        <v/>
      </c>
      <c r="T332">
        <f>IF(S332="","",1+COUNTIFS($S$31:$S$1030,"&gt;"&amp;S332)+COUNTIFS($S$31:S332,S332)-1)</f>
        <v/>
      </c>
    </row>
    <row r="333" hidden="1" ht="16.5" customHeight="1">
      <c r="A333">
        <f>IF(COUNTA('05_KAPA'!$A304:$AO304)=0,"",306)</f>
        <v/>
      </c>
      <c r="B333">
        <f>IF($A333="","",INDEX('05_KAPA'!$B:$B,$A333))</f>
        <v/>
      </c>
      <c r="C333">
        <f>IF($A333="","",INDEX('05_KAPA'!$F:$F,$A333))</f>
        <v/>
      </c>
      <c r="D333">
        <f>IF($A333="","",INDEX('05_KAPA'!$H:$H,$A333))</f>
        <v/>
      </c>
      <c r="E333">
        <f>IF($A333="","",INDEX('05_KAPA'!$K:$K,$A333))</f>
        <v/>
      </c>
      <c r="F333">
        <f>IF($A333="","",INDEX('05_KAPA'!$L:$L,$A333))</f>
        <v/>
      </c>
      <c r="G333">
        <f>IF($A333="","",INDEX('05_KAPA'!$I:$I,$A333))</f>
        <v/>
      </c>
      <c r="H333" s="202">
        <f>IF($A333="","",INDEX('05_KAPA'!$P:$P,$A333))</f>
        <v/>
      </c>
      <c r="I333" s="118">
        <f>IF($A333="","",INDEX('05_KAPA'!$O:$O,$A333))</f>
        <v/>
      </c>
      <c r="J333" s="202">
        <f>IF($A333="","",IFERROR(DATE(LEFT(TEXT(INDEX('05_KAPA'!$T:$T,$A333),"0"),4),MID(TEXT(INDEX('05_KAPA'!$T:$T,$A333),"0"),5,2),RIGHT(TEXT(INDEX('05_KAPA'!$T:$T,$A333),"0"),2)),""))</f>
        <v/>
      </c>
      <c r="K333">
        <f>IF(C333="","",IF('02_대상물건입력'!$B$5="",1,IF(ISNUMBER(SEARCH('02_대상물건입력'!$B$5,C333)),1,0)))</f>
        <v/>
      </c>
      <c r="L333">
        <f>IF(C333="","",IF('02_대상물건입력'!$B$6="",1,IF(ISNUMBER(SEARCH('02_대상물건입력'!$B$6,C333)),1,0)))</f>
        <v/>
      </c>
      <c r="M333">
        <f>IF(E333="","",IF('02_대상물건입력'!$B$8="",0,IF(ISNUMBER(SEARCH('02_대상물건입력'!$B$8,E333)),1,0)))</f>
        <v/>
      </c>
      <c r="N333">
        <f>IF(B333="","",IF(B333="담보",1,0))</f>
        <v/>
      </c>
      <c r="O333">
        <f>IFERROR(ABS(G333-'02_대상물건입력'!$B$11)/'02_대상물건입력'!$B$11,"")</f>
        <v/>
      </c>
      <c r="P333">
        <f>IFERROR(ABS('01_설정'!$B$4-H333),"")</f>
        <v/>
      </c>
      <c r="Q333">
        <f>IFERROR(ABS(YEAR(J333)-YEAR('02_대상물건입력'!$B$14)),"")</f>
        <v/>
      </c>
      <c r="R333">
        <f>IF(AND(G333&gt;0,H333&gt;0,I333&gt;0,N333=1,IF('01_설정'!$B$10=1,K333=1,TRUE()),O333&lt;='01_설정'!$B$5,P333&lt;='01_설정'!$B$7,Q333&lt;='01_설정'!$B$8),"Y","")</f>
        <v/>
      </c>
      <c r="S333">
        <f>IF(R333&lt;&gt;"Y","",MAX(0,(1-O333/'01_설정'!$B$5))*'01_설정'!$B$14+MAX(0,(1-P333/'01_설정'!$B$7))*'01_설정'!$B$16+MAX(0,(1-Q333/'01_설정'!$B$8))*'01_설정'!$B$17+L333*'01_설정'!$B$11+M333*'01_설정'!$B$12+N333*50)</f>
        <v/>
      </c>
      <c r="T333">
        <f>IF(S333="","",1+COUNTIFS($S$31:$S$1030,"&gt;"&amp;S333)+COUNTIFS($S$31:S333,S333)-1)</f>
        <v/>
      </c>
    </row>
    <row r="334" hidden="1" ht="16.5" customHeight="1">
      <c r="A334">
        <f>IF(COUNTA('05_KAPA'!$A305:$AO305)=0,"",307)</f>
        <v/>
      </c>
      <c r="B334">
        <f>IF($A334="","",INDEX('05_KAPA'!$B:$B,$A334))</f>
        <v/>
      </c>
      <c r="C334">
        <f>IF($A334="","",INDEX('05_KAPA'!$F:$F,$A334))</f>
        <v/>
      </c>
      <c r="D334">
        <f>IF($A334="","",INDEX('05_KAPA'!$H:$H,$A334))</f>
        <v/>
      </c>
      <c r="E334">
        <f>IF($A334="","",INDEX('05_KAPA'!$K:$K,$A334))</f>
        <v/>
      </c>
      <c r="F334">
        <f>IF($A334="","",INDEX('05_KAPA'!$L:$L,$A334))</f>
        <v/>
      </c>
      <c r="G334">
        <f>IF($A334="","",INDEX('05_KAPA'!$I:$I,$A334))</f>
        <v/>
      </c>
      <c r="H334" s="202">
        <f>IF($A334="","",INDEX('05_KAPA'!$P:$P,$A334))</f>
        <v/>
      </c>
      <c r="I334" s="118">
        <f>IF($A334="","",INDEX('05_KAPA'!$O:$O,$A334))</f>
        <v/>
      </c>
      <c r="J334" s="202">
        <f>IF($A334="","",IFERROR(DATE(LEFT(TEXT(INDEX('05_KAPA'!$T:$T,$A334),"0"),4),MID(TEXT(INDEX('05_KAPA'!$T:$T,$A334),"0"),5,2),RIGHT(TEXT(INDEX('05_KAPA'!$T:$T,$A334),"0"),2)),""))</f>
        <v/>
      </c>
      <c r="K334">
        <f>IF(C334="","",IF('02_대상물건입력'!$B$5="",1,IF(ISNUMBER(SEARCH('02_대상물건입력'!$B$5,C334)),1,0)))</f>
        <v/>
      </c>
      <c r="L334">
        <f>IF(C334="","",IF('02_대상물건입력'!$B$6="",1,IF(ISNUMBER(SEARCH('02_대상물건입력'!$B$6,C334)),1,0)))</f>
        <v/>
      </c>
      <c r="M334">
        <f>IF(E334="","",IF('02_대상물건입력'!$B$8="",0,IF(ISNUMBER(SEARCH('02_대상물건입력'!$B$8,E334)),1,0)))</f>
        <v/>
      </c>
      <c r="N334">
        <f>IF(B334="","",IF(B334="담보",1,0))</f>
        <v/>
      </c>
      <c r="O334">
        <f>IFERROR(ABS(G334-'02_대상물건입력'!$B$11)/'02_대상물건입력'!$B$11,"")</f>
        <v/>
      </c>
      <c r="P334">
        <f>IFERROR(ABS('01_설정'!$B$4-H334),"")</f>
        <v/>
      </c>
      <c r="Q334">
        <f>IFERROR(ABS(YEAR(J334)-YEAR('02_대상물건입력'!$B$14)),"")</f>
        <v/>
      </c>
      <c r="R334">
        <f>IF(AND(G334&gt;0,H334&gt;0,I334&gt;0,N334=1,IF('01_설정'!$B$10=1,K334=1,TRUE()),O334&lt;='01_설정'!$B$5,P334&lt;='01_설정'!$B$7,Q334&lt;='01_설정'!$B$8),"Y","")</f>
        <v/>
      </c>
      <c r="S334">
        <f>IF(R334&lt;&gt;"Y","",MAX(0,(1-O334/'01_설정'!$B$5))*'01_설정'!$B$14+MAX(0,(1-P334/'01_설정'!$B$7))*'01_설정'!$B$16+MAX(0,(1-Q334/'01_설정'!$B$8))*'01_설정'!$B$17+L334*'01_설정'!$B$11+M334*'01_설정'!$B$12+N334*50)</f>
        <v/>
      </c>
      <c r="T334">
        <f>IF(S334="","",1+COUNTIFS($S$31:$S$1030,"&gt;"&amp;S334)+COUNTIFS($S$31:S334,S334)-1)</f>
        <v/>
      </c>
    </row>
    <row r="335" hidden="1" ht="16.5" customHeight="1">
      <c r="A335">
        <f>IF(COUNTA('05_KAPA'!$A306:$AO306)=0,"",308)</f>
        <v/>
      </c>
      <c r="B335">
        <f>IF($A335="","",INDEX('05_KAPA'!$B:$B,$A335))</f>
        <v/>
      </c>
      <c r="C335">
        <f>IF($A335="","",INDEX('05_KAPA'!$F:$F,$A335))</f>
        <v/>
      </c>
      <c r="D335">
        <f>IF($A335="","",INDEX('05_KAPA'!$H:$H,$A335))</f>
        <v/>
      </c>
      <c r="E335">
        <f>IF($A335="","",INDEX('05_KAPA'!$K:$K,$A335))</f>
        <v/>
      </c>
      <c r="F335">
        <f>IF($A335="","",INDEX('05_KAPA'!$L:$L,$A335))</f>
        <v/>
      </c>
      <c r="G335">
        <f>IF($A335="","",INDEX('05_KAPA'!$I:$I,$A335))</f>
        <v/>
      </c>
      <c r="H335" s="202">
        <f>IF($A335="","",INDEX('05_KAPA'!$P:$P,$A335))</f>
        <v/>
      </c>
      <c r="I335" s="118">
        <f>IF($A335="","",INDEX('05_KAPA'!$O:$O,$A335))</f>
        <v/>
      </c>
      <c r="J335" s="202">
        <f>IF($A335="","",IFERROR(DATE(LEFT(TEXT(INDEX('05_KAPA'!$T:$T,$A335),"0"),4),MID(TEXT(INDEX('05_KAPA'!$T:$T,$A335),"0"),5,2),RIGHT(TEXT(INDEX('05_KAPA'!$T:$T,$A335),"0"),2)),""))</f>
        <v/>
      </c>
      <c r="K335">
        <f>IF(C335="","",IF('02_대상물건입력'!$B$5="",1,IF(ISNUMBER(SEARCH('02_대상물건입력'!$B$5,C335)),1,0)))</f>
        <v/>
      </c>
      <c r="L335">
        <f>IF(C335="","",IF('02_대상물건입력'!$B$6="",1,IF(ISNUMBER(SEARCH('02_대상물건입력'!$B$6,C335)),1,0)))</f>
        <v/>
      </c>
      <c r="M335">
        <f>IF(E335="","",IF('02_대상물건입력'!$B$8="",0,IF(ISNUMBER(SEARCH('02_대상물건입력'!$B$8,E335)),1,0)))</f>
        <v/>
      </c>
      <c r="N335">
        <f>IF(B335="","",IF(B335="담보",1,0))</f>
        <v/>
      </c>
      <c r="O335">
        <f>IFERROR(ABS(G335-'02_대상물건입력'!$B$11)/'02_대상물건입력'!$B$11,"")</f>
        <v/>
      </c>
      <c r="P335">
        <f>IFERROR(ABS('01_설정'!$B$4-H335),"")</f>
        <v/>
      </c>
      <c r="Q335">
        <f>IFERROR(ABS(YEAR(J335)-YEAR('02_대상물건입력'!$B$14)),"")</f>
        <v/>
      </c>
      <c r="R335">
        <f>IF(AND(G335&gt;0,H335&gt;0,I335&gt;0,N335=1,IF('01_설정'!$B$10=1,K335=1,TRUE()),O335&lt;='01_설정'!$B$5,P335&lt;='01_설정'!$B$7,Q335&lt;='01_설정'!$B$8),"Y","")</f>
        <v/>
      </c>
      <c r="S335">
        <f>IF(R335&lt;&gt;"Y","",MAX(0,(1-O335/'01_설정'!$B$5))*'01_설정'!$B$14+MAX(0,(1-P335/'01_설정'!$B$7))*'01_설정'!$B$16+MAX(0,(1-Q335/'01_설정'!$B$8))*'01_설정'!$B$17+L335*'01_설정'!$B$11+M335*'01_설정'!$B$12+N335*50)</f>
        <v/>
      </c>
      <c r="T335">
        <f>IF(S335="","",1+COUNTIFS($S$31:$S$1030,"&gt;"&amp;S335)+COUNTIFS($S$31:S335,S335)-1)</f>
        <v/>
      </c>
    </row>
    <row r="336" hidden="1" ht="16.5" customHeight="1">
      <c r="A336">
        <f>IF(COUNTA('05_KAPA'!$A307:$AO307)=0,"",309)</f>
        <v/>
      </c>
      <c r="B336">
        <f>IF($A336="","",INDEX('05_KAPA'!$B:$B,$A336))</f>
        <v/>
      </c>
      <c r="C336">
        <f>IF($A336="","",INDEX('05_KAPA'!$F:$F,$A336))</f>
        <v/>
      </c>
      <c r="D336">
        <f>IF($A336="","",INDEX('05_KAPA'!$H:$H,$A336))</f>
        <v/>
      </c>
      <c r="E336">
        <f>IF($A336="","",INDEX('05_KAPA'!$K:$K,$A336))</f>
        <v/>
      </c>
      <c r="F336">
        <f>IF($A336="","",INDEX('05_KAPA'!$L:$L,$A336))</f>
        <v/>
      </c>
      <c r="G336">
        <f>IF($A336="","",INDEX('05_KAPA'!$I:$I,$A336))</f>
        <v/>
      </c>
      <c r="H336" s="202">
        <f>IF($A336="","",INDEX('05_KAPA'!$P:$P,$A336))</f>
        <v/>
      </c>
      <c r="I336" s="118">
        <f>IF($A336="","",INDEX('05_KAPA'!$O:$O,$A336))</f>
        <v/>
      </c>
      <c r="J336" s="202">
        <f>IF($A336="","",IFERROR(DATE(LEFT(TEXT(INDEX('05_KAPA'!$T:$T,$A336),"0"),4),MID(TEXT(INDEX('05_KAPA'!$T:$T,$A336),"0"),5,2),RIGHT(TEXT(INDEX('05_KAPA'!$T:$T,$A336),"0"),2)),""))</f>
        <v/>
      </c>
      <c r="K336">
        <f>IF(C336="","",IF('02_대상물건입력'!$B$5="",1,IF(ISNUMBER(SEARCH('02_대상물건입력'!$B$5,C336)),1,0)))</f>
        <v/>
      </c>
      <c r="L336">
        <f>IF(C336="","",IF('02_대상물건입력'!$B$6="",1,IF(ISNUMBER(SEARCH('02_대상물건입력'!$B$6,C336)),1,0)))</f>
        <v/>
      </c>
      <c r="M336">
        <f>IF(E336="","",IF('02_대상물건입력'!$B$8="",0,IF(ISNUMBER(SEARCH('02_대상물건입력'!$B$8,E336)),1,0)))</f>
        <v/>
      </c>
      <c r="N336">
        <f>IF(B336="","",IF(B336="담보",1,0))</f>
        <v/>
      </c>
      <c r="O336">
        <f>IFERROR(ABS(G336-'02_대상물건입력'!$B$11)/'02_대상물건입력'!$B$11,"")</f>
        <v/>
      </c>
      <c r="P336">
        <f>IFERROR(ABS('01_설정'!$B$4-H336),"")</f>
        <v/>
      </c>
      <c r="Q336">
        <f>IFERROR(ABS(YEAR(J336)-YEAR('02_대상물건입력'!$B$14)),"")</f>
        <v/>
      </c>
      <c r="R336">
        <f>IF(AND(G336&gt;0,H336&gt;0,I336&gt;0,N336=1,IF('01_설정'!$B$10=1,K336=1,TRUE()),O336&lt;='01_설정'!$B$5,P336&lt;='01_설정'!$B$7,Q336&lt;='01_설정'!$B$8),"Y","")</f>
        <v/>
      </c>
      <c r="S336">
        <f>IF(R336&lt;&gt;"Y","",MAX(0,(1-O336/'01_설정'!$B$5))*'01_설정'!$B$14+MAX(0,(1-P336/'01_설정'!$B$7))*'01_설정'!$B$16+MAX(0,(1-Q336/'01_설정'!$B$8))*'01_설정'!$B$17+L336*'01_설정'!$B$11+M336*'01_설정'!$B$12+N336*50)</f>
        <v/>
      </c>
      <c r="T336">
        <f>IF(S336="","",1+COUNTIFS($S$31:$S$1030,"&gt;"&amp;S336)+COUNTIFS($S$31:S336,S336)-1)</f>
        <v/>
      </c>
    </row>
    <row r="337" hidden="1" ht="16.5" customHeight="1">
      <c r="A337">
        <f>IF(COUNTA('05_KAPA'!$A308:$AO308)=0,"",310)</f>
        <v/>
      </c>
      <c r="B337">
        <f>IF($A337="","",INDEX('05_KAPA'!$B:$B,$A337))</f>
        <v/>
      </c>
      <c r="C337">
        <f>IF($A337="","",INDEX('05_KAPA'!$F:$F,$A337))</f>
        <v/>
      </c>
      <c r="D337">
        <f>IF($A337="","",INDEX('05_KAPA'!$H:$H,$A337))</f>
        <v/>
      </c>
      <c r="E337">
        <f>IF($A337="","",INDEX('05_KAPA'!$K:$K,$A337))</f>
        <v/>
      </c>
      <c r="F337">
        <f>IF($A337="","",INDEX('05_KAPA'!$L:$L,$A337))</f>
        <v/>
      </c>
      <c r="G337">
        <f>IF($A337="","",INDEX('05_KAPA'!$I:$I,$A337))</f>
        <v/>
      </c>
      <c r="H337" s="202">
        <f>IF($A337="","",INDEX('05_KAPA'!$P:$P,$A337))</f>
        <v/>
      </c>
      <c r="I337" s="118">
        <f>IF($A337="","",INDEX('05_KAPA'!$O:$O,$A337))</f>
        <v/>
      </c>
      <c r="J337" s="202">
        <f>IF($A337="","",IFERROR(DATE(LEFT(TEXT(INDEX('05_KAPA'!$T:$T,$A337),"0"),4),MID(TEXT(INDEX('05_KAPA'!$T:$T,$A337),"0"),5,2),RIGHT(TEXT(INDEX('05_KAPA'!$T:$T,$A337),"0"),2)),""))</f>
        <v/>
      </c>
      <c r="K337">
        <f>IF(C337="","",IF('02_대상물건입력'!$B$5="",1,IF(ISNUMBER(SEARCH('02_대상물건입력'!$B$5,C337)),1,0)))</f>
        <v/>
      </c>
      <c r="L337">
        <f>IF(C337="","",IF('02_대상물건입력'!$B$6="",1,IF(ISNUMBER(SEARCH('02_대상물건입력'!$B$6,C337)),1,0)))</f>
        <v/>
      </c>
      <c r="M337">
        <f>IF(E337="","",IF('02_대상물건입력'!$B$8="",0,IF(ISNUMBER(SEARCH('02_대상물건입력'!$B$8,E337)),1,0)))</f>
        <v/>
      </c>
      <c r="N337">
        <f>IF(B337="","",IF(B337="담보",1,0))</f>
        <v/>
      </c>
      <c r="O337">
        <f>IFERROR(ABS(G337-'02_대상물건입력'!$B$11)/'02_대상물건입력'!$B$11,"")</f>
        <v/>
      </c>
      <c r="P337">
        <f>IFERROR(ABS('01_설정'!$B$4-H337),"")</f>
        <v/>
      </c>
      <c r="Q337">
        <f>IFERROR(ABS(YEAR(J337)-YEAR('02_대상물건입력'!$B$14)),"")</f>
        <v/>
      </c>
      <c r="R337">
        <f>IF(AND(G337&gt;0,H337&gt;0,I337&gt;0,N337=1,IF('01_설정'!$B$10=1,K337=1,TRUE()),O337&lt;='01_설정'!$B$5,P337&lt;='01_설정'!$B$7,Q337&lt;='01_설정'!$B$8),"Y","")</f>
        <v/>
      </c>
      <c r="S337">
        <f>IF(R337&lt;&gt;"Y","",MAX(0,(1-O337/'01_설정'!$B$5))*'01_설정'!$B$14+MAX(0,(1-P337/'01_설정'!$B$7))*'01_설정'!$B$16+MAX(0,(1-Q337/'01_설정'!$B$8))*'01_설정'!$B$17+L337*'01_설정'!$B$11+M337*'01_설정'!$B$12+N337*50)</f>
        <v/>
      </c>
      <c r="T337">
        <f>IF(S337="","",1+COUNTIFS($S$31:$S$1030,"&gt;"&amp;S337)+COUNTIFS($S$31:S337,S337)-1)</f>
        <v/>
      </c>
    </row>
    <row r="338" hidden="1" ht="16.5" customHeight="1">
      <c r="A338">
        <f>IF(COUNTA('05_KAPA'!$A309:$AO309)=0,"",311)</f>
        <v/>
      </c>
      <c r="B338">
        <f>IF($A338="","",INDEX('05_KAPA'!$B:$B,$A338))</f>
        <v/>
      </c>
      <c r="C338">
        <f>IF($A338="","",INDEX('05_KAPA'!$F:$F,$A338))</f>
        <v/>
      </c>
      <c r="D338">
        <f>IF($A338="","",INDEX('05_KAPA'!$H:$H,$A338))</f>
        <v/>
      </c>
      <c r="E338">
        <f>IF($A338="","",INDEX('05_KAPA'!$K:$K,$A338))</f>
        <v/>
      </c>
      <c r="F338">
        <f>IF($A338="","",INDEX('05_KAPA'!$L:$L,$A338))</f>
        <v/>
      </c>
      <c r="G338">
        <f>IF($A338="","",INDEX('05_KAPA'!$I:$I,$A338))</f>
        <v/>
      </c>
      <c r="H338" s="202">
        <f>IF($A338="","",INDEX('05_KAPA'!$P:$P,$A338))</f>
        <v/>
      </c>
      <c r="I338" s="118">
        <f>IF($A338="","",INDEX('05_KAPA'!$O:$O,$A338))</f>
        <v/>
      </c>
      <c r="J338" s="202">
        <f>IF($A338="","",IFERROR(DATE(LEFT(TEXT(INDEX('05_KAPA'!$T:$T,$A338),"0"),4),MID(TEXT(INDEX('05_KAPA'!$T:$T,$A338),"0"),5,2),RIGHT(TEXT(INDEX('05_KAPA'!$T:$T,$A338),"0"),2)),""))</f>
        <v/>
      </c>
      <c r="K338">
        <f>IF(C338="","",IF('02_대상물건입력'!$B$5="",1,IF(ISNUMBER(SEARCH('02_대상물건입력'!$B$5,C338)),1,0)))</f>
        <v/>
      </c>
      <c r="L338">
        <f>IF(C338="","",IF('02_대상물건입력'!$B$6="",1,IF(ISNUMBER(SEARCH('02_대상물건입력'!$B$6,C338)),1,0)))</f>
        <v/>
      </c>
      <c r="M338">
        <f>IF(E338="","",IF('02_대상물건입력'!$B$8="",0,IF(ISNUMBER(SEARCH('02_대상물건입력'!$B$8,E338)),1,0)))</f>
        <v/>
      </c>
      <c r="N338">
        <f>IF(B338="","",IF(B338="담보",1,0))</f>
        <v/>
      </c>
      <c r="O338">
        <f>IFERROR(ABS(G338-'02_대상물건입력'!$B$11)/'02_대상물건입력'!$B$11,"")</f>
        <v/>
      </c>
      <c r="P338">
        <f>IFERROR(ABS('01_설정'!$B$4-H338),"")</f>
        <v/>
      </c>
      <c r="Q338">
        <f>IFERROR(ABS(YEAR(J338)-YEAR('02_대상물건입력'!$B$14)),"")</f>
        <v/>
      </c>
      <c r="R338">
        <f>IF(AND(G338&gt;0,H338&gt;0,I338&gt;0,N338=1,IF('01_설정'!$B$10=1,K338=1,TRUE()),O338&lt;='01_설정'!$B$5,P338&lt;='01_설정'!$B$7,Q338&lt;='01_설정'!$B$8),"Y","")</f>
        <v/>
      </c>
      <c r="S338">
        <f>IF(R338&lt;&gt;"Y","",MAX(0,(1-O338/'01_설정'!$B$5))*'01_설정'!$B$14+MAX(0,(1-P338/'01_설정'!$B$7))*'01_설정'!$B$16+MAX(0,(1-Q338/'01_설정'!$B$8))*'01_설정'!$B$17+L338*'01_설정'!$B$11+M338*'01_설정'!$B$12+N338*50)</f>
        <v/>
      </c>
      <c r="T338">
        <f>IF(S338="","",1+COUNTIFS($S$31:$S$1030,"&gt;"&amp;S338)+COUNTIFS($S$31:S338,S338)-1)</f>
        <v/>
      </c>
    </row>
    <row r="339" hidden="1" ht="16.5" customHeight="1">
      <c r="A339">
        <f>IF(COUNTA('05_KAPA'!$A310:$AO310)=0,"",312)</f>
        <v/>
      </c>
      <c r="B339">
        <f>IF($A339="","",INDEX('05_KAPA'!$B:$B,$A339))</f>
        <v/>
      </c>
      <c r="C339">
        <f>IF($A339="","",INDEX('05_KAPA'!$F:$F,$A339))</f>
        <v/>
      </c>
      <c r="D339">
        <f>IF($A339="","",INDEX('05_KAPA'!$H:$H,$A339))</f>
        <v/>
      </c>
      <c r="E339">
        <f>IF($A339="","",INDEX('05_KAPA'!$K:$K,$A339))</f>
        <v/>
      </c>
      <c r="F339">
        <f>IF($A339="","",INDEX('05_KAPA'!$L:$L,$A339))</f>
        <v/>
      </c>
      <c r="G339">
        <f>IF($A339="","",INDEX('05_KAPA'!$I:$I,$A339))</f>
        <v/>
      </c>
      <c r="H339" s="202">
        <f>IF($A339="","",INDEX('05_KAPA'!$P:$P,$A339))</f>
        <v/>
      </c>
      <c r="I339" s="118">
        <f>IF($A339="","",INDEX('05_KAPA'!$O:$O,$A339))</f>
        <v/>
      </c>
      <c r="J339" s="202">
        <f>IF($A339="","",IFERROR(DATE(LEFT(TEXT(INDEX('05_KAPA'!$T:$T,$A339),"0"),4),MID(TEXT(INDEX('05_KAPA'!$T:$T,$A339),"0"),5,2),RIGHT(TEXT(INDEX('05_KAPA'!$T:$T,$A339),"0"),2)),""))</f>
        <v/>
      </c>
      <c r="K339">
        <f>IF(C339="","",IF('02_대상물건입력'!$B$5="",1,IF(ISNUMBER(SEARCH('02_대상물건입력'!$B$5,C339)),1,0)))</f>
        <v/>
      </c>
      <c r="L339">
        <f>IF(C339="","",IF('02_대상물건입력'!$B$6="",1,IF(ISNUMBER(SEARCH('02_대상물건입력'!$B$6,C339)),1,0)))</f>
        <v/>
      </c>
      <c r="M339">
        <f>IF(E339="","",IF('02_대상물건입력'!$B$8="",0,IF(ISNUMBER(SEARCH('02_대상물건입력'!$B$8,E339)),1,0)))</f>
        <v/>
      </c>
      <c r="N339">
        <f>IF(B339="","",IF(B339="담보",1,0))</f>
        <v/>
      </c>
      <c r="O339">
        <f>IFERROR(ABS(G339-'02_대상물건입력'!$B$11)/'02_대상물건입력'!$B$11,"")</f>
        <v/>
      </c>
      <c r="P339">
        <f>IFERROR(ABS('01_설정'!$B$4-H339),"")</f>
        <v/>
      </c>
      <c r="Q339">
        <f>IFERROR(ABS(YEAR(J339)-YEAR('02_대상물건입력'!$B$14)),"")</f>
        <v/>
      </c>
      <c r="R339">
        <f>IF(AND(G339&gt;0,H339&gt;0,I339&gt;0,N339=1,IF('01_설정'!$B$10=1,K339=1,TRUE()),O339&lt;='01_설정'!$B$5,P339&lt;='01_설정'!$B$7,Q339&lt;='01_설정'!$B$8),"Y","")</f>
        <v/>
      </c>
      <c r="S339">
        <f>IF(R339&lt;&gt;"Y","",MAX(0,(1-O339/'01_설정'!$B$5))*'01_설정'!$B$14+MAX(0,(1-P339/'01_설정'!$B$7))*'01_설정'!$B$16+MAX(0,(1-Q339/'01_설정'!$B$8))*'01_설정'!$B$17+L339*'01_설정'!$B$11+M339*'01_설정'!$B$12+N339*50)</f>
        <v/>
      </c>
      <c r="T339">
        <f>IF(S339="","",1+COUNTIFS($S$31:$S$1030,"&gt;"&amp;S339)+COUNTIFS($S$31:S339,S339)-1)</f>
        <v/>
      </c>
    </row>
    <row r="340" hidden="1" ht="16.5" customHeight="1">
      <c r="A340">
        <f>IF(COUNTA('05_KAPA'!$A311:$AO311)=0,"",313)</f>
        <v/>
      </c>
      <c r="B340">
        <f>IF($A340="","",INDEX('05_KAPA'!$B:$B,$A340))</f>
        <v/>
      </c>
      <c r="C340">
        <f>IF($A340="","",INDEX('05_KAPA'!$F:$F,$A340))</f>
        <v/>
      </c>
      <c r="D340">
        <f>IF($A340="","",INDEX('05_KAPA'!$H:$H,$A340))</f>
        <v/>
      </c>
      <c r="E340">
        <f>IF($A340="","",INDEX('05_KAPA'!$K:$K,$A340))</f>
        <v/>
      </c>
      <c r="F340">
        <f>IF($A340="","",INDEX('05_KAPA'!$L:$L,$A340))</f>
        <v/>
      </c>
      <c r="G340">
        <f>IF($A340="","",INDEX('05_KAPA'!$I:$I,$A340))</f>
        <v/>
      </c>
      <c r="H340" s="202">
        <f>IF($A340="","",INDEX('05_KAPA'!$P:$P,$A340))</f>
        <v/>
      </c>
      <c r="I340" s="118">
        <f>IF($A340="","",INDEX('05_KAPA'!$O:$O,$A340))</f>
        <v/>
      </c>
      <c r="J340" s="202">
        <f>IF($A340="","",IFERROR(DATE(LEFT(TEXT(INDEX('05_KAPA'!$T:$T,$A340),"0"),4),MID(TEXT(INDEX('05_KAPA'!$T:$T,$A340),"0"),5,2),RIGHT(TEXT(INDEX('05_KAPA'!$T:$T,$A340),"0"),2)),""))</f>
        <v/>
      </c>
      <c r="K340">
        <f>IF(C340="","",IF('02_대상물건입력'!$B$5="",1,IF(ISNUMBER(SEARCH('02_대상물건입력'!$B$5,C340)),1,0)))</f>
        <v/>
      </c>
      <c r="L340">
        <f>IF(C340="","",IF('02_대상물건입력'!$B$6="",1,IF(ISNUMBER(SEARCH('02_대상물건입력'!$B$6,C340)),1,0)))</f>
        <v/>
      </c>
      <c r="M340">
        <f>IF(E340="","",IF('02_대상물건입력'!$B$8="",0,IF(ISNUMBER(SEARCH('02_대상물건입력'!$B$8,E340)),1,0)))</f>
        <v/>
      </c>
      <c r="N340">
        <f>IF(B340="","",IF(B340="담보",1,0))</f>
        <v/>
      </c>
      <c r="O340">
        <f>IFERROR(ABS(G340-'02_대상물건입력'!$B$11)/'02_대상물건입력'!$B$11,"")</f>
        <v/>
      </c>
      <c r="P340">
        <f>IFERROR(ABS('01_설정'!$B$4-H340),"")</f>
        <v/>
      </c>
      <c r="Q340">
        <f>IFERROR(ABS(YEAR(J340)-YEAR('02_대상물건입력'!$B$14)),"")</f>
        <v/>
      </c>
      <c r="R340">
        <f>IF(AND(G340&gt;0,H340&gt;0,I340&gt;0,N340=1,IF('01_설정'!$B$10=1,K340=1,TRUE()),O340&lt;='01_설정'!$B$5,P340&lt;='01_설정'!$B$7,Q340&lt;='01_설정'!$B$8),"Y","")</f>
        <v/>
      </c>
      <c r="S340">
        <f>IF(R340&lt;&gt;"Y","",MAX(0,(1-O340/'01_설정'!$B$5))*'01_설정'!$B$14+MAX(0,(1-P340/'01_설정'!$B$7))*'01_설정'!$B$16+MAX(0,(1-Q340/'01_설정'!$B$8))*'01_설정'!$B$17+L340*'01_설정'!$B$11+M340*'01_설정'!$B$12+N340*50)</f>
        <v/>
      </c>
      <c r="T340">
        <f>IF(S340="","",1+COUNTIFS($S$31:$S$1030,"&gt;"&amp;S340)+COUNTIFS($S$31:S340,S340)-1)</f>
        <v/>
      </c>
    </row>
    <row r="341" hidden="1" ht="16.5" customHeight="1">
      <c r="A341">
        <f>IF(COUNTA('05_KAPA'!$A312:$AO312)=0,"",314)</f>
        <v/>
      </c>
      <c r="B341">
        <f>IF($A341="","",INDEX('05_KAPA'!$B:$B,$A341))</f>
        <v/>
      </c>
      <c r="C341">
        <f>IF($A341="","",INDEX('05_KAPA'!$F:$F,$A341))</f>
        <v/>
      </c>
      <c r="D341">
        <f>IF($A341="","",INDEX('05_KAPA'!$H:$H,$A341))</f>
        <v/>
      </c>
      <c r="E341">
        <f>IF($A341="","",INDEX('05_KAPA'!$K:$K,$A341))</f>
        <v/>
      </c>
      <c r="F341">
        <f>IF($A341="","",INDEX('05_KAPA'!$L:$L,$A341))</f>
        <v/>
      </c>
      <c r="G341">
        <f>IF($A341="","",INDEX('05_KAPA'!$I:$I,$A341))</f>
        <v/>
      </c>
      <c r="H341" s="202">
        <f>IF($A341="","",INDEX('05_KAPA'!$P:$P,$A341))</f>
        <v/>
      </c>
      <c r="I341" s="118">
        <f>IF($A341="","",INDEX('05_KAPA'!$O:$O,$A341))</f>
        <v/>
      </c>
      <c r="J341" s="202">
        <f>IF($A341="","",IFERROR(DATE(LEFT(TEXT(INDEX('05_KAPA'!$T:$T,$A341),"0"),4),MID(TEXT(INDEX('05_KAPA'!$T:$T,$A341),"0"),5,2),RIGHT(TEXT(INDEX('05_KAPA'!$T:$T,$A341),"0"),2)),""))</f>
        <v/>
      </c>
      <c r="K341">
        <f>IF(C341="","",IF('02_대상물건입력'!$B$5="",1,IF(ISNUMBER(SEARCH('02_대상물건입력'!$B$5,C341)),1,0)))</f>
        <v/>
      </c>
      <c r="L341">
        <f>IF(C341="","",IF('02_대상물건입력'!$B$6="",1,IF(ISNUMBER(SEARCH('02_대상물건입력'!$B$6,C341)),1,0)))</f>
        <v/>
      </c>
      <c r="M341">
        <f>IF(E341="","",IF('02_대상물건입력'!$B$8="",0,IF(ISNUMBER(SEARCH('02_대상물건입력'!$B$8,E341)),1,0)))</f>
        <v/>
      </c>
      <c r="N341">
        <f>IF(B341="","",IF(B341="담보",1,0))</f>
        <v/>
      </c>
      <c r="O341">
        <f>IFERROR(ABS(G341-'02_대상물건입력'!$B$11)/'02_대상물건입력'!$B$11,"")</f>
        <v/>
      </c>
      <c r="P341">
        <f>IFERROR(ABS('01_설정'!$B$4-H341),"")</f>
        <v/>
      </c>
      <c r="Q341">
        <f>IFERROR(ABS(YEAR(J341)-YEAR('02_대상물건입력'!$B$14)),"")</f>
        <v/>
      </c>
      <c r="R341">
        <f>IF(AND(G341&gt;0,H341&gt;0,I341&gt;0,N341=1,IF('01_설정'!$B$10=1,K341=1,TRUE()),O341&lt;='01_설정'!$B$5,P341&lt;='01_설정'!$B$7,Q341&lt;='01_설정'!$B$8),"Y","")</f>
        <v/>
      </c>
      <c r="S341">
        <f>IF(R341&lt;&gt;"Y","",MAX(0,(1-O341/'01_설정'!$B$5))*'01_설정'!$B$14+MAX(0,(1-P341/'01_설정'!$B$7))*'01_설정'!$B$16+MAX(0,(1-Q341/'01_설정'!$B$8))*'01_설정'!$B$17+L341*'01_설정'!$B$11+M341*'01_설정'!$B$12+N341*50)</f>
        <v/>
      </c>
      <c r="T341">
        <f>IF(S341="","",1+COUNTIFS($S$31:$S$1030,"&gt;"&amp;S341)+COUNTIFS($S$31:S341,S341)-1)</f>
        <v/>
      </c>
    </row>
    <row r="342" hidden="1" ht="16.5" customHeight="1">
      <c r="A342">
        <f>IF(COUNTA('05_KAPA'!$A313:$AO313)=0,"",315)</f>
        <v/>
      </c>
      <c r="B342">
        <f>IF($A342="","",INDEX('05_KAPA'!$B:$B,$A342))</f>
        <v/>
      </c>
      <c r="C342">
        <f>IF($A342="","",INDEX('05_KAPA'!$F:$F,$A342))</f>
        <v/>
      </c>
      <c r="D342">
        <f>IF($A342="","",INDEX('05_KAPA'!$H:$H,$A342))</f>
        <v/>
      </c>
      <c r="E342">
        <f>IF($A342="","",INDEX('05_KAPA'!$K:$K,$A342))</f>
        <v/>
      </c>
      <c r="F342">
        <f>IF($A342="","",INDEX('05_KAPA'!$L:$L,$A342))</f>
        <v/>
      </c>
      <c r="G342">
        <f>IF($A342="","",INDEX('05_KAPA'!$I:$I,$A342))</f>
        <v/>
      </c>
      <c r="H342" s="202">
        <f>IF($A342="","",INDEX('05_KAPA'!$P:$P,$A342))</f>
        <v/>
      </c>
      <c r="I342" s="118">
        <f>IF($A342="","",INDEX('05_KAPA'!$O:$O,$A342))</f>
        <v/>
      </c>
      <c r="J342" s="202">
        <f>IF($A342="","",IFERROR(DATE(LEFT(TEXT(INDEX('05_KAPA'!$T:$T,$A342),"0"),4),MID(TEXT(INDEX('05_KAPA'!$T:$T,$A342),"0"),5,2),RIGHT(TEXT(INDEX('05_KAPA'!$T:$T,$A342),"0"),2)),""))</f>
        <v/>
      </c>
      <c r="K342">
        <f>IF(C342="","",IF('02_대상물건입력'!$B$5="",1,IF(ISNUMBER(SEARCH('02_대상물건입력'!$B$5,C342)),1,0)))</f>
        <v/>
      </c>
      <c r="L342">
        <f>IF(C342="","",IF('02_대상물건입력'!$B$6="",1,IF(ISNUMBER(SEARCH('02_대상물건입력'!$B$6,C342)),1,0)))</f>
        <v/>
      </c>
      <c r="M342">
        <f>IF(E342="","",IF('02_대상물건입력'!$B$8="",0,IF(ISNUMBER(SEARCH('02_대상물건입력'!$B$8,E342)),1,0)))</f>
        <v/>
      </c>
      <c r="N342">
        <f>IF(B342="","",IF(B342="담보",1,0))</f>
        <v/>
      </c>
      <c r="O342">
        <f>IFERROR(ABS(G342-'02_대상물건입력'!$B$11)/'02_대상물건입력'!$B$11,"")</f>
        <v/>
      </c>
      <c r="P342">
        <f>IFERROR(ABS('01_설정'!$B$4-H342),"")</f>
        <v/>
      </c>
      <c r="Q342">
        <f>IFERROR(ABS(YEAR(J342)-YEAR('02_대상물건입력'!$B$14)),"")</f>
        <v/>
      </c>
      <c r="R342">
        <f>IF(AND(G342&gt;0,H342&gt;0,I342&gt;0,N342=1,IF('01_설정'!$B$10=1,K342=1,TRUE()),O342&lt;='01_설정'!$B$5,P342&lt;='01_설정'!$B$7,Q342&lt;='01_설정'!$B$8),"Y","")</f>
        <v/>
      </c>
      <c r="S342">
        <f>IF(R342&lt;&gt;"Y","",MAX(0,(1-O342/'01_설정'!$B$5))*'01_설정'!$B$14+MAX(0,(1-P342/'01_설정'!$B$7))*'01_설정'!$B$16+MAX(0,(1-Q342/'01_설정'!$B$8))*'01_설정'!$B$17+L342*'01_설정'!$B$11+M342*'01_설정'!$B$12+N342*50)</f>
        <v/>
      </c>
      <c r="T342">
        <f>IF(S342="","",1+COUNTIFS($S$31:$S$1030,"&gt;"&amp;S342)+COUNTIFS($S$31:S342,S342)-1)</f>
        <v/>
      </c>
    </row>
    <row r="343" hidden="1" ht="16.5" customHeight="1">
      <c r="A343">
        <f>IF(COUNTA('05_KAPA'!$A314:$AO314)=0,"",316)</f>
        <v/>
      </c>
      <c r="B343">
        <f>IF($A343="","",INDEX('05_KAPA'!$B:$B,$A343))</f>
        <v/>
      </c>
      <c r="C343">
        <f>IF($A343="","",INDEX('05_KAPA'!$F:$F,$A343))</f>
        <v/>
      </c>
      <c r="D343">
        <f>IF($A343="","",INDEX('05_KAPA'!$H:$H,$A343))</f>
        <v/>
      </c>
      <c r="E343">
        <f>IF($A343="","",INDEX('05_KAPA'!$K:$K,$A343))</f>
        <v/>
      </c>
      <c r="F343">
        <f>IF($A343="","",INDEX('05_KAPA'!$L:$L,$A343))</f>
        <v/>
      </c>
      <c r="G343">
        <f>IF($A343="","",INDEX('05_KAPA'!$I:$I,$A343))</f>
        <v/>
      </c>
      <c r="H343" s="202">
        <f>IF($A343="","",INDEX('05_KAPA'!$P:$P,$A343))</f>
        <v/>
      </c>
      <c r="I343" s="118">
        <f>IF($A343="","",INDEX('05_KAPA'!$O:$O,$A343))</f>
        <v/>
      </c>
      <c r="J343" s="202">
        <f>IF($A343="","",IFERROR(DATE(LEFT(TEXT(INDEX('05_KAPA'!$T:$T,$A343),"0"),4),MID(TEXT(INDEX('05_KAPA'!$T:$T,$A343),"0"),5,2),RIGHT(TEXT(INDEX('05_KAPA'!$T:$T,$A343),"0"),2)),""))</f>
        <v/>
      </c>
      <c r="K343">
        <f>IF(C343="","",IF('02_대상물건입력'!$B$5="",1,IF(ISNUMBER(SEARCH('02_대상물건입력'!$B$5,C343)),1,0)))</f>
        <v/>
      </c>
      <c r="L343">
        <f>IF(C343="","",IF('02_대상물건입력'!$B$6="",1,IF(ISNUMBER(SEARCH('02_대상물건입력'!$B$6,C343)),1,0)))</f>
        <v/>
      </c>
      <c r="M343">
        <f>IF(E343="","",IF('02_대상물건입력'!$B$8="",0,IF(ISNUMBER(SEARCH('02_대상물건입력'!$B$8,E343)),1,0)))</f>
        <v/>
      </c>
      <c r="N343">
        <f>IF(B343="","",IF(B343="담보",1,0))</f>
        <v/>
      </c>
      <c r="O343">
        <f>IFERROR(ABS(G343-'02_대상물건입력'!$B$11)/'02_대상물건입력'!$B$11,"")</f>
        <v/>
      </c>
      <c r="P343">
        <f>IFERROR(ABS('01_설정'!$B$4-H343),"")</f>
        <v/>
      </c>
      <c r="Q343">
        <f>IFERROR(ABS(YEAR(J343)-YEAR('02_대상물건입력'!$B$14)),"")</f>
        <v/>
      </c>
      <c r="R343">
        <f>IF(AND(G343&gt;0,H343&gt;0,I343&gt;0,N343=1,IF('01_설정'!$B$10=1,K343=1,TRUE()),O343&lt;='01_설정'!$B$5,P343&lt;='01_설정'!$B$7,Q343&lt;='01_설정'!$B$8),"Y","")</f>
        <v/>
      </c>
      <c r="S343">
        <f>IF(R343&lt;&gt;"Y","",MAX(0,(1-O343/'01_설정'!$B$5))*'01_설정'!$B$14+MAX(0,(1-P343/'01_설정'!$B$7))*'01_설정'!$B$16+MAX(0,(1-Q343/'01_설정'!$B$8))*'01_설정'!$B$17+L343*'01_설정'!$B$11+M343*'01_설정'!$B$12+N343*50)</f>
        <v/>
      </c>
      <c r="T343">
        <f>IF(S343="","",1+COUNTIFS($S$31:$S$1030,"&gt;"&amp;S343)+COUNTIFS($S$31:S343,S343)-1)</f>
        <v/>
      </c>
    </row>
    <row r="344" hidden="1" ht="16.5" customHeight="1">
      <c r="A344">
        <f>IF(COUNTA('05_KAPA'!$A315:$AO315)=0,"",317)</f>
        <v/>
      </c>
      <c r="B344">
        <f>IF($A344="","",INDEX('05_KAPA'!$B:$B,$A344))</f>
        <v/>
      </c>
      <c r="C344">
        <f>IF($A344="","",INDEX('05_KAPA'!$F:$F,$A344))</f>
        <v/>
      </c>
      <c r="D344">
        <f>IF($A344="","",INDEX('05_KAPA'!$H:$H,$A344))</f>
        <v/>
      </c>
      <c r="E344">
        <f>IF($A344="","",INDEX('05_KAPA'!$K:$K,$A344))</f>
        <v/>
      </c>
      <c r="F344">
        <f>IF($A344="","",INDEX('05_KAPA'!$L:$L,$A344))</f>
        <v/>
      </c>
      <c r="G344">
        <f>IF($A344="","",INDEX('05_KAPA'!$I:$I,$A344))</f>
        <v/>
      </c>
      <c r="H344" s="202">
        <f>IF($A344="","",INDEX('05_KAPA'!$P:$P,$A344))</f>
        <v/>
      </c>
      <c r="I344" s="118">
        <f>IF($A344="","",INDEX('05_KAPA'!$O:$O,$A344))</f>
        <v/>
      </c>
      <c r="J344" s="202">
        <f>IF($A344="","",IFERROR(DATE(LEFT(TEXT(INDEX('05_KAPA'!$T:$T,$A344),"0"),4),MID(TEXT(INDEX('05_KAPA'!$T:$T,$A344),"0"),5,2),RIGHT(TEXT(INDEX('05_KAPA'!$T:$T,$A344),"0"),2)),""))</f>
        <v/>
      </c>
      <c r="K344">
        <f>IF(C344="","",IF('02_대상물건입력'!$B$5="",1,IF(ISNUMBER(SEARCH('02_대상물건입력'!$B$5,C344)),1,0)))</f>
        <v/>
      </c>
      <c r="L344">
        <f>IF(C344="","",IF('02_대상물건입력'!$B$6="",1,IF(ISNUMBER(SEARCH('02_대상물건입력'!$B$6,C344)),1,0)))</f>
        <v/>
      </c>
      <c r="M344">
        <f>IF(E344="","",IF('02_대상물건입력'!$B$8="",0,IF(ISNUMBER(SEARCH('02_대상물건입력'!$B$8,E344)),1,0)))</f>
        <v/>
      </c>
      <c r="N344">
        <f>IF(B344="","",IF(B344="담보",1,0))</f>
        <v/>
      </c>
      <c r="O344">
        <f>IFERROR(ABS(G344-'02_대상물건입력'!$B$11)/'02_대상물건입력'!$B$11,"")</f>
        <v/>
      </c>
      <c r="P344">
        <f>IFERROR(ABS('01_설정'!$B$4-H344),"")</f>
        <v/>
      </c>
      <c r="Q344">
        <f>IFERROR(ABS(YEAR(J344)-YEAR('02_대상물건입력'!$B$14)),"")</f>
        <v/>
      </c>
      <c r="R344">
        <f>IF(AND(G344&gt;0,H344&gt;0,I344&gt;0,N344=1,IF('01_설정'!$B$10=1,K344=1,TRUE()),O344&lt;='01_설정'!$B$5,P344&lt;='01_설정'!$B$7,Q344&lt;='01_설정'!$B$8),"Y","")</f>
        <v/>
      </c>
      <c r="S344">
        <f>IF(R344&lt;&gt;"Y","",MAX(0,(1-O344/'01_설정'!$B$5))*'01_설정'!$B$14+MAX(0,(1-P344/'01_설정'!$B$7))*'01_설정'!$B$16+MAX(0,(1-Q344/'01_설정'!$B$8))*'01_설정'!$B$17+L344*'01_설정'!$B$11+M344*'01_설정'!$B$12+N344*50)</f>
        <v/>
      </c>
      <c r="T344">
        <f>IF(S344="","",1+COUNTIFS($S$31:$S$1030,"&gt;"&amp;S344)+COUNTIFS($S$31:S344,S344)-1)</f>
        <v/>
      </c>
    </row>
    <row r="345" hidden="1" ht="16.5" customHeight="1">
      <c r="A345">
        <f>IF(COUNTA('05_KAPA'!$A316:$AO316)=0,"",318)</f>
        <v/>
      </c>
      <c r="B345">
        <f>IF($A345="","",INDEX('05_KAPA'!$B:$B,$A345))</f>
        <v/>
      </c>
      <c r="C345">
        <f>IF($A345="","",INDEX('05_KAPA'!$F:$F,$A345))</f>
        <v/>
      </c>
      <c r="D345">
        <f>IF($A345="","",INDEX('05_KAPA'!$H:$H,$A345))</f>
        <v/>
      </c>
      <c r="E345">
        <f>IF($A345="","",INDEX('05_KAPA'!$K:$K,$A345))</f>
        <v/>
      </c>
      <c r="F345">
        <f>IF($A345="","",INDEX('05_KAPA'!$L:$L,$A345))</f>
        <v/>
      </c>
      <c r="G345">
        <f>IF($A345="","",INDEX('05_KAPA'!$I:$I,$A345))</f>
        <v/>
      </c>
      <c r="H345" s="202">
        <f>IF($A345="","",INDEX('05_KAPA'!$P:$P,$A345))</f>
        <v/>
      </c>
      <c r="I345" s="118">
        <f>IF($A345="","",INDEX('05_KAPA'!$O:$O,$A345))</f>
        <v/>
      </c>
      <c r="J345" s="202">
        <f>IF($A345="","",IFERROR(DATE(LEFT(TEXT(INDEX('05_KAPA'!$T:$T,$A345),"0"),4),MID(TEXT(INDEX('05_KAPA'!$T:$T,$A345),"0"),5,2),RIGHT(TEXT(INDEX('05_KAPA'!$T:$T,$A345),"0"),2)),""))</f>
        <v/>
      </c>
      <c r="K345">
        <f>IF(C345="","",IF('02_대상물건입력'!$B$5="",1,IF(ISNUMBER(SEARCH('02_대상물건입력'!$B$5,C345)),1,0)))</f>
        <v/>
      </c>
      <c r="L345">
        <f>IF(C345="","",IF('02_대상물건입력'!$B$6="",1,IF(ISNUMBER(SEARCH('02_대상물건입력'!$B$6,C345)),1,0)))</f>
        <v/>
      </c>
      <c r="M345">
        <f>IF(E345="","",IF('02_대상물건입력'!$B$8="",0,IF(ISNUMBER(SEARCH('02_대상물건입력'!$B$8,E345)),1,0)))</f>
        <v/>
      </c>
      <c r="N345">
        <f>IF(B345="","",IF(B345="담보",1,0))</f>
        <v/>
      </c>
      <c r="O345">
        <f>IFERROR(ABS(G345-'02_대상물건입력'!$B$11)/'02_대상물건입력'!$B$11,"")</f>
        <v/>
      </c>
      <c r="P345">
        <f>IFERROR(ABS('01_설정'!$B$4-H345),"")</f>
        <v/>
      </c>
      <c r="Q345">
        <f>IFERROR(ABS(YEAR(J345)-YEAR('02_대상물건입력'!$B$14)),"")</f>
        <v/>
      </c>
      <c r="R345">
        <f>IF(AND(G345&gt;0,H345&gt;0,I345&gt;0,N345=1,IF('01_설정'!$B$10=1,K345=1,TRUE()),O345&lt;='01_설정'!$B$5,P345&lt;='01_설정'!$B$7,Q345&lt;='01_설정'!$B$8),"Y","")</f>
        <v/>
      </c>
      <c r="S345">
        <f>IF(R345&lt;&gt;"Y","",MAX(0,(1-O345/'01_설정'!$B$5))*'01_설정'!$B$14+MAX(0,(1-P345/'01_설정'!$B$7))*'01_설정'!$B$16+MAX(0,(1-Q345/'01_설정'!$B$8))*'01_설정'!$B$17+L345*'01_설정'!$B$11+M345*'01_설정'!$B$12+N345*50)</f>
        <v/>
      </c>
      <c r="T345">
        <f>IF(S345="","",1+COUNTIFS($S$31:$S$1030,"&gt;"&amp;S345)+COUNTIFS($S$31:S345,S345)-1)</f>
        <v/>
      </c>
    </row>
    <row r="346" hidden="1" ht="16.5" customHeight="1">
      <c r="A346">
        <f>IF(COUNTA('05_KAPA'!$A317:$AO317)=0,"",319)</f>
        <v/>
      </c>
      <c r="B346">
        <f>IF($A346="","",INDEX('05_KAPA'!$B:$B,$A346))</f>
        <v/>
      </c>
      <c r="C346">
        <f>IF($A346="","",INDEX('05_KAPA'!$F:$F,$A346))</f>
        <v/>
      </c>
      <c r="D346">
        <f>IF($A346="","",INDEX('05_KAPA'!$H:$H,$A346))</f>
        <v/>
      </c>
      <c r="E346">
        <f>IF($A346="","",INDEX('05_KAPA'!$K:$K,$A346))</f>
        <v/>
      </c>
      <c r="F346">
        <f>IF($A346="","",INDEX('05_KAPA'!$L:$L,$A346))</f>
        <v/>
      </c>
      <c r="G346">
        <f>IF($A346="","",INDEX('05_KAPA'!$I:$I,$A346))</f>
        <v/>
      </c>
      <c r="H346" s="202">
        <f>IF($A346="","",INDEX('05_KAPA'!$P:$P,$A346))</f>
        <v/>
      </c>
      <c r="I346" s="118">
        <f>IF($A346="","",INDEX('05_KAPA'!$O:$O,$A346))</f>
        <v/>
      </c>
      <c r="J346" s="202">
        <f>IF($A346="","",IFERROR(DATE(LEFT(TEXT(INDEX('05_KAPA'!$T:$T,$A346),"0"),4),MID(TEXT(INDEX('05_KAPA'!$T:$T,$A346),"0"),5,2),RIGHT(TEXT(INDEX('05_KAPA'!$T:$T,$A346),"0"),2)),""))</f>
        <v/>
      </c>
      <c r="K346">
        <f>IF(C346="","",IF('02_대상물건입력'!$B$5="",1,IF(ISNUMBER(SEARCH('02_대상물건입력'!$B$5,C346)),1,0)))</f>
        <v/>
      </c>
      <c r="L346">
        <f>IF(C346="","",IF('02_대상물건입력'!$B$6="",1,IF(ISNUMBER(SEARCH('02_대상물건입력'!$B$6,C346)),1,0)))</f>
        <v/>
      </c>
      <c r="M346">
        <f>IF(E346="","",IF('02_대상물건입력'!$B$8="",0,IF(ISNUMBER(SEARCH('02_대상물건입력'!$B$8,E346)),1,0)))</f>
        <v/>
      </c>
      <c r="N346">
        <f>IF(B346="","",IF(B346="담보",1,0))</f>
        <v/>
      </c>
      <c r="O346">
        <f>IFERROR(ABS(G346-'02_대상물건입력'!$B$11)/'02_대상물건입력'!$B$11,"")</f>
        <v/>
      </c>
      <c r="P346">
        <f>IFERROR(ABS('01_설정'!$B$4-H346),"")</f>
        <v/>
      </c>
      <c r="Q346">
        <f>IFERROR(ABS(YEAR(J346)-YEAR('02_대상물건입력'!$B$14)),"")</f>
        <v/>
      </c>
      <c r="R346">
        <f>IF(AND(G346&gt;0,H346&gt;0,I346&gt;0,N346=1,IF('01_설정'!$B$10=1,K346=1,TRUE()),O346&lt;='01_설정'!$B$5,P346&lt;='01_설정'!$B$7,Q346&lt;='01_설정'!$B$8),"Y","")</f>
        <v/>
      </c>
      <c r="S346">
        <f>IF(R346&lt;&gt;"Y","",MAX(0,(1-O346/'01_설정'!$B$5))*'01_설정'!$B$14+MAX(0,(1-P346/'01_설정'!$B$7))*'01_설정'!$B$16+MAX(0,(1-Q346/'01_설정'!$B$8))*'01_설정'!$B$17+L346*'01_설정'!$B$11+M346*'01_설정'!$B$12+N346*50)</f>
        <v/>
      </c>
      <c r="T346">
        <f>IF(S346="","",1+COUNTIFS($S$31:$S$1030,"&gt;"&amp;S346)+COUNTIFS($S$31:S346,S346)-1)</f>
        <v/>
      </c>
    </row>
    <row r="347" hidden="1" ht="16.5" customHeight="1">
      <c r="A347">
        <f>IF(COUNTA('05_KAPA'!$A318:$AO318)=0,"",320)</f>
        <v/>
      </c>
      <c r="B347">
        <f>IF($A347="","",INDEX('05_KAPA'!$B:$B,$A347))</f>
        <v/>
      </c>
      <c r="C347">
        <f>IF($A347="","",INDEX('05_KAPA'!$F:$F,$A347))</f>
        <v/>
      </c>
      <c r="D347">
        <f>IF($A347="","",INDEX('05_KAPA'!$H:$H,$A347))</f>
        <v/>
      </c>
      <c r="E347">
        <f>IF($A347="","",INDEX('05_KAPA'!$K:$K,$A347))</f>
        <v/>
      </c>
      <c r="F347">
        <f>IF($A347="","",INDEX('05_KAPA'!$L:$L,$A347))</f>
        <v/>
      </c>
      <c r="G347">
        <f>IF($A347="","",INDEX('05_KAPA'!$I:$I,$A347))</f>
        <v/>
      </c>
      <c r="H347" s="202">
        <f>IF($A347="","",INDEX('05_KAPA'!$P:$P,$A347))</f>
        <v/>
      </c>
      <c r="I347" s="118">
        <f>IF($A347="","",INDEX('05_KAPA'!$O:$O,$A347))</f>
        <v/>
      </c>
      <c r="J347" s="202">
        <f>IF($A347="","",IFERROR(DATE(LEFT(TEXT(INDEX('05_KAPA'!$T:$T,$A347),"0"),4),MID(TEXT(INDEX('05_KAPA'!$T:$T,$A347),"0"),5,2),RIGHT(TEXT(INDEX('05_KAPA'!$T:$T,$A347),"0"),2)),""))</f>
        <v/>
      </c>
      <c r="K347">
        <f>IF(C347="","",IF('02_대상물건입력'!$B$5="",1,IF(ISNUMBER(SEARCH('02_대상물건입력'!$B$5,C347)),1,0)))</f>
        <v/>
      </c>
      <c r="L347">
        <f>IF(C347="","",IF('02_대상물건입력'!$B$6="",1,IF(ISNUMBER(SEARCH('02_대상물건입력'!$B$6,C347)),1,0)))</f>
        <v/>
      </c>
      <c r="M347">
        <f>IF(E347="","",IF('02_대상물건입력'!$B$8="",0,IF(ISNUMBER(SEARCH('02_대상물건입력'!$B$8,E347)),1,0)))</f>
        <v/>
      </c>
      <c r="N347">
        <f>IF(B347="","",IF(B347="담보",1,0))</f>
        <v/>
      </c>
      <c r="O347">
        <f>IFERROR(ABS(G347-'02_대상물건입력'!$B$11)/'02_대상물건입력'!$B$11,"")</f>
        <v/>
      </c>
      <c r="P347">
        <f>IFERROR(ABS('01_설정'!$B$4-H347),"")</f>
        <v/>
      </c>
      <c r="Q347">
        <f>IFERROR(ABS(YEAR(J347)-YEAR('02_대상물건입력'!$B$14)),"")</f>
        <v/>
      </c>
      <c r="R347">
        <f>IF(AND(G347&gt;0,H347&gt;0,I347&gt;0,N347=1,IF('01_설정'!$B$10=1,K347=1,TRUE()),O347&lt;='01_설정'!$B$5,P347&lt;='01_설정'!$B$7,Q347&lt;='01_설정'!$B$8),"Y","")</f>
        <v/>
      </c>
      <c r="S347">
        <f>IF(R347&lt;&gt;"Y","",MAX(0,(1-O347/'01_설정'!$B$5))*'01_설정'!$B$14+MAX(0,(1-P347/'01_설정'!$B$7))*'01_설정'!$B$16+MAX(0,(1-Q347/'01_설정'!$B$8))*'01_설정'!$B$17+L347*'01_설정'!$B$11+M347*'01_설정'!$B$12+N347*50)</f>
        <v/>
      </c>
      <c r="T347">
        <f>IF(S347="","",1+COUNTIFS($S$31:$S$1030,"&gt;"&amp;S347)+COUNTIFS($S$31:S347,S347)-1)</f>
        <v/>
      </c>
    </row>
    <row r="348" hidden="1" ht="16.5" customHeight="1">
      <c r="A348">
        <f>IF(COUNTA('05_KAPA'!$A319:$AO319)=0,"",321)</f>
        <v/>
      </c>
      <c r="B348">
        <f>IF($A348="","",INDEX('05_KAPA'!$B:$B,$A348))</f>
        <v/>
      </c>
      <c r="C348">
        <f>IF($A348="","",INDEX('05_KAPA'!$F:$F,$A348))</f>
        <v/>
      </c>
      <c r="D348">
        <f>IF($A348="","",INDEX('05_KAPA'!$H:$H,$A348))</f>
        <v/>
      </c>
      <c r="E348">
        <f>IF($A348="","",INDEX('05_KAPA'!$K:$K,$A348))</f>
        <v/>
      </c>
      <c r="F348">
        <f>IF($A348="","",INDEX('05_KAPA'!$L:$L,$A348))</f>
        <v/>
      </c>
      <c r="G348">
        <f>IF($A348="","",INDEX('05_KAPA'!$I:$I,$A348))</f>
        <v/>
      </c>
      <c r="H348" s="202">
        <f>IF($A348="","",INDEX('05_KAPA'!$P:$P,$A348))</f>
        <v/>
      </c>
      <c r="I348" s="118">
        <f>IF($A348="","",INDEX('05_KAPA'!$O:$O,$A348))</f>
        <v/>
      </c>
      <c r="J348" s="202">
        <f>IF($A348="","",IFERROR(DATE(LEFT(TEXT(INDEX('05_KAPA'!$T:$T,$A348),"0"),4),MID(TEXT(INDEX('05_KAPA'!$T:$T,$A348),"0"),5,2),RIGHT(TEXT(INDEX('05_KAPA'!$T:$T,$A348),"0"),2)),""))</f>
        <v/>
      </c>
      <c r="K348">
        <f>IF(C348="","",IF('02_대상물건입력'!$B$5="",1,IF(ISNUMBER(SEARCH('02_대상물건입력'!$B$5,C348)),1,0)))</f>
        <v/>
      </c>
      <c r="L348">
        <f>IF(C348="","",IF('02_대상물건입력'!$B$6="",1,IF(ISNUMBER(SEARCH('02_대상물건입력'!$B$6,C348)),1,0)))</f>
        <v/>
      </c>
      <c r="M348">
        <f>IF(E348="","",IF('02_대상물건입력'!$B$8="",0,IF(ISNUMBER(SEARCH('02_대상물건입력'!$B$8,E348)),1,0)))</f>
        <v/>
      </c>
      <c r="N348">
        <f>IF(B348="","",IF(B348="담보",1,0))</f>
        <v/>
      </c>
      <c r="O348">
        <f>IFERROR(ABS(G348-'02_대상물건입력'!$B$11)/'02_대상물건입력'!$B$11,"")</f>
        <v/>
      </c>
      <c r="P348">
        <f>IFERROR(ABS('01_설정'!$B$4-H348),"")</f>
        <v/>
      </c>
      <c r="Q348">
        <f>IFERROR(ABS(YEAR(J348)-YEAR('02_대상물건입력'!$B$14)),"")</f>
        <v/>
      </c>
      <c r="R348">
        <f>IF(AND(G348&gt;0,H348&gt;0,I348&gt;0,N348=1,IF('01_설정'!$B$10=1,K348=1,TRUE()),O348&lt;='01_설정'!$B$5,P348&lt;='01_설정'!$B$7,Q348&lt;='01_설정'!$B$8),"Y","")</f>
        <v/>
      </c>
      <c r="S348">
        <f>IF(R348&lt;&gt;"Y","",MAX(0,(1-O348/'01_설정'!$B$5))*'01_설정'!$B$14+MAX(0,(1-P348/'01_설정'!$B$7))*'01_설정'!$B$16+MAX(0,(1-Q348/'01_설정'!$B$8))*'01_설정'!$B$17+L348*'01_설정'!$B$11+M348*'01_설정'!$B$12+N348*50)</f>
        <v/>
      </c>
      <c r="T348">
        <f>IF(S348="","",1+COUNTIFS($S$31:$S$1030,"&gt;"&amp;S348)+COUNTIFS($S$31:S348,S348)-1)</f>
        <v/>
      </c>
    </row>
    <row r="349" hidden="1" ht="16.5" customHeight="1">
      <c r="A349">
        <f>IF(COUNTA('05_KAPA'!$A320:$AO320)=0,"",322)</f>
        <v/>
      </c>
      <c r="B349">
        <f>IF($A349="","",INDEX('05_KAPA'!$B:$B,$A349))</f>
        <v/>
      </c>
      <c r="C349">
        <f>IF($A349="","",INDEX('05_KAPA'!$F:$F,$A349))</f>
        <v/>
      </c>
      <c r="D349">
        <f>IF($A349="","",INDEX('05_KAPA'!$H:$H,$A349))</f>
        <v/>
      </c>
      <c r="E349">
        <f>IF($A349="","",INDEX('05_KAPA'!$K:$K,$A349))</f>
        <v/>
      </c>
      <c r="F349">
        <f>IF($A349="","",INDEX('05_KAPA'!$L:$L,$A349))</f>
        <v/>
      </c>
      <c r="G349">
        <f>IF($A349="","",INDEX('05_KAPA'!$I:$I,$A349))</f>
        <v/>
      </c>
      <c r="H349" s="202">
        <f>IF($A349="","",INDEX('05_KAPA'!$P:$P,$A349))</f>
        <v/>
      </c>
      <c r="I349" s="118">
        <f>IF($A349="","",INDEX('05_KAPA'!$O:$O,$A349))</f>
        <v/>
      </c>
      <c r="J349" s="202">
        <f>IF($A349="","",IFERROR(DATE(LEFT(TEXT(INDEX('05_KAPA'!$T:$T,$A349),"0"),4),MID(TEXT(INDEX('05_KAPA'!$T:$T,$A349),"0"),5,2),RIGHT(TEXT(INDEX('05_KAPA'!$T:$T,$A349),"0"),2)),""))</f>
        <v/>
      </c>
      <c r="K349">
        <f>IF(C349="","",IF('02_대상물건입력'!$B$5="",1,IF(ISNUMBER(SEARCH('02_대상물건입력'!$B$5,C349)),1,0)))</f>
        <v/>
      </c>
      <c r="L349">
        <f>IF(C349="","",IF('02_대상물건입력'!$B$6="",1,IF(ISNUMBER(SEARCH('02_대상물건입력'!$B$6,C349)),1,0)))</f>
        <v/>
      </c>
      <c r="M349">
        <f>IF(E349="","",IF('02_대상물건입력'!$B$8="",0,IF(ISNUMBER(SEARCH('02_대상물건입력'!$B$8,E349)),1,0)))</f>
        <v/>
      </c>
      <c r="N349">
        <f>IF(B349="","",IF(B349="담보",1,0))</f>
        <v/>
      </c>
      <c r="O349">
        <f>IFERROR(ABS(G349-'02_대상물건입력'!$B$11)/'02_대상물건입력'!$B$11,"")</f>
        <v/>
      </c>
      <c r="P349">
        <f>IFERROR(ABS('01_설정'!$B$4-H349),"")</f>
        <v/>
      </c>
      <c r="Q349">
        <f>IFERROR(ABS(YEAR(J349)-YEAR('02_대상물건입력'!$B$14)),"")</f>
        <v/>
      </c>
      <c r="R349">
        <f>IF(AND(G349&gt;0,H349&gt;0,I349&gt;0,N349=1,IF('01_설정'!$B$10=1,K349=1,TRUE()),O349&lt;='01_설정'!$B$5,P349&lt;='01_설정'!$B$7,Q349&lt;='01_설정'!$B$8),"Y","")</f>
        <v/>
      </c>
      <c r="S349">
        <f>IF(R349&lt;&gt;"Y","",MAX(0,(1-O349/'01_설정'!$B$5))*'01_설정'!$B$14+MAX(0,(1-P349/'01_설정'!$B$7))*'01_설정'!$B$16+MAX(0,(1-Q349/'01_설정'!$B$8))*'01_설정'!$B$17+L349*'01_설정'!$B$11+M349*'01_설정'!$B$12+N349*50)</f>
        <v/>
      </c>
      <c r="T349">
        <f>IF(S349="","",1+COUNTIFS($S$31:$S$1030,"&gt;"&amp;S349)+COUNTIFS($S$31:S349,S349)-1)</f>
        <v/>
      </c>
    </row>
    <row r="350" hidden="1" ht="16.5" customHeight="1">
      <c r="A350">
        <f>IF(COUNTA('05_KAPA'!$A321:$AO321)=0,"",323)</f>
        <v/>
      </c>
      <c r="B350">
        <f>IF($A350="","",INDEX('05_KAPA'!$B:$B,$A350))</f>
        <v/>
      </c>
      <c r="C350">
        <f>IF($A350="","",INDEX('05_KAPA'!$F:$F,$A350))</f>
        <v/>
      </c>
      <c r="D350">
        <f>IF($A350="","",INDEX('05_KAPA'!$H:$H,$A350))</f>
        <v/>
      </c>
      <c r="E350">
        <f>IF($A350="","",INDEX('05_KAPA'!$K:$K,$A350))</f>
        <v/>
      </c>
      <c r="F350">
        <f>IF($A350="","",INDEX('05_KAPA'!$L:$L,$A350))</f>
        <v/>
      </c>
      <c r="G350">
        <f>IF($A350="","",INDEX('05_KAPA'!$I:$I,$A350))</f>
        <v/>
      </c>
      <c r="H350" s="202">
        <f>IF($A350="","",INDEX('05_KAPA'!$P:$P,$A350))</f>
        <v/>
      </c>
      <c r="I350" s="118">
        <f>IF($A350="","",INDEX('05_KAPA'!$O:$O,$A350))</f>
        <v/>
      </c>
      <c r="J350" s="202">
        <f>IF($A350="","",IFERROR(DATE(LEFT(TEXT(INDEX('05_KAPA'!$T:$T,$A350),"0"),4),MID(TEXT(INDEX('05_KAPA'!$T:$T,$A350),"0"),5,2),RIGHT(TEXT(INDEX('05_KAPA'!$T:$T,$A350),"0"),2)),""))</f>
        <v/>
      </c>
      <c r="K350">
        <f>IF(C350="","",IF('02_대상물건입력'!$B$5="",1,IF(ISNUMBER(SEARCH('02_대상물건입력'!$B$5,C350)),1,0)))</f>
        <v/>
      </c>
      <c r="L350">
        <f>IF(C350="","",IF('02_대상물건입력'!$B$6="",1,IF(ISNUMBER(SEARCH('02_대상물건입력'!$B$6,C350)),1,0)))</f>
        <v/>
      </c>
      <c r="M350">
        <f>IF(E350="","",IF('02_대상물건입력'!$B$8="",0,IF(ISNUMBER(SEARCH('02_대상물건입력'!$B$8,E350)),1,0)))</f>
        <v/>
      </c>
      <c r="N350">
        <f>IF(B350="","",IF(B350="담보",1,0))</f>
        <v/>
      </c>
      <c r="O350">
        <f>IFERROR(ABS(G350-'02_대상물건입력'!$B$11)/'02_대상물건입력'!$B$11,"")</f>
        <v/>
      </c>
      <c r="P350">
        <f>IFERROR(ABS('01_설정'!$B$4-H350),"")</f>
        <v/>
      </c>
      <c r="Q350">
        <f>IFERROR(ABS(YEAR(J350)-YEAR('02_대상물건입력'!$B$14)),"")</f>
        <v/>
      </c>
      <c r="R350">
        <f>IF(AND(G350&gt;0,H350&gt;0,I350&gt;0,N350=1,IF('01_설정'!$B$10=1,K350=1,TRUE()),O350&lt;='01_설정'!$B$5,P350&lt;='01_설정'!$B$7,Q350&lt;='01_설정'!$B$8),"Y","")</f>
        <v/>
      </c>
      <c r="S350">
        <f>IF(R350&lt;&gt;"Y","",MAX(0,(1-O350/'01_설정'!$B$5))*'01_설정'!$B$14+MAX(0,(1-P350/'01_설정'!$B$7))*'01_설정'!$B$16+MAX(0,(1-Q350/'01_설정'!$B$8))*'01_설정'!$B$17+L350*'01_설정'!$B$11+M350*'01_설정'!$B$12+N350*50)</f>
        <v/>
      </c>
      <c r="T350">
        <f>IF(S350="","",1+COUNTIFS($S$31:$S$1030,"&gt;"&amp;S350)+COUNTIFS($S$31:S350,S350)-1)</f>
        <v/>
      </c>
    </row>
    <row r="351" hidden="1" ht="16.5" customHeight="1">
      <c r="A351">
        <f>IF(COUNTA('05_KAPA'!$A322:$AO322)=0,"",324)</f>
        <v/>
      </c>
      <c r="B351">
        <f>IF($A351="","",INDEX('05_KAPA'!$B:$B,$A351))</f>
        <v/>
      </c>
      <c r="C351">
        <f>IF($A351="","",INDEX('05_KAPA'!$F:$F,$A351))</f>
        <v/>
      </c>
      <c r="D351">
        <f>IF($A351="","",INDEX('05_KAPA'!$H:$H,$A351))</f>
        <v/>
      </c>
      <c r="E351">
        <f>IF($A351="","",INDEX('05_KAPA'!$K:$K,$A351))</f>
        <v/>
      </c>
      <c r="F351">
        <f>IF($A351="","",INDEX('05_KAPA'!$L:$L,$A351))</f>
        <v/>
      </c>
      <c r="G351">
        <f>IF($A351="","",INDEX('05_KAPA'!$I:$I,$A351))</f>
        <v/>
      </c>
      <c r="H351" s="202">
        <f>IF($A351="","",INDEX('05_KAPA'!$P:$P,$A351))</f>
        <v/>
      </c>
      <c r="I351" s="118">
        <f>IF($A351="","",INDEX('05_KAPA'!$O:$O,$A351))</f>
        <v/>
      </c>
      <c r="J351" s="202">
        <f>IF($A351="","",IFERROR(DATE(LEFT(TEXT(INDEX('05_KAPA'!$T:$T,$A351),"0"),4),MID(TEXT(INDEX('05_KAPA'!$T:$T,$A351),"0"),5,2),RIGHT(TEXT(INDEX('05_KAPA'!$T:$T,$A351),"0"),2)),""))</f>
        <v/>
      </c>
      <c r="K351">
        <f>IF(C351="","",IF('02_대상물건입력'!$B$5="",1,IF(ISNUMBER(SEARCH('02_대상물건입력'!$B$5,C351)),1,0)))</f>
        <v/>
      </c>
      <c r="L351">
        <f>IF(C351="","",IF('02_대상물건입력'!$B$6="",1,IF(ISNUMBER(SEARCH('02_대상물건입력'!$B$6,C351)),1,0)))</f>
        <v/>
      </c>
      <c r="M351">
        <f>IF(E351="","",IF('02_대상물건입력'!$B$8="",0,IF(ISNUMBER(SEARCH('02_대상물건입력'!$B$8,E351)),1,0)))</f>
        <v/>
      </c>
      <c r="N351">
        <f>IF(B351="","",IF(B351="담보",1,0))</f>
        <v/>
      </c>
      <c r="O351">
        <f>IFERROR(ABS(G351-'02_대상물건입력'!$B$11)/'02_대상물건입력'!$B$11,"")</f>
        <v/>
      </c>
      <c r="P351">
        <f>IFERROR(ABS('01_설정'!$B$4-H351),"")</f>
        <v/>
      </c>
      <c r="Q351">
        <f>IFERROR(ABS(YEAR(J351)-YEAR('02_대상물건입력'!$B$14)),"")</f>
        <v/>
      </c>
      <c r="R351">
        <f>IF(AND(G351&gt;0,H351&gt;0,I351&gt;0,N351=1,IF('01_설정'!$B$10=1,K351=1,TRUE()),O351&lt;='01_설정'!$B$5,P351&lt;='01_설정'!$B$7,Q351&lt;='01_설정'!$B$8),"Y","")</f>
        <v/>
      </c>
      <c r="S351">
        <f>IF(R351&lt;&gt;"Y","",MAX(0,(1-O351/'01_설정'!$B$5))*'01_설정'!$B$14+MAX(0,(1-P351/'01_설정'!$B$7))*'01_설정'!$B$16+MAX(0,(1-Q351/'01_설정'!$B$8))*'01_설정'!$B$17+L351*'01_설정'!$B$11+M351*'01_설정'!$B$12+N351*50)</f>
        <v/>
      </c>
      <c r="T351">
        <f>IF(S351="","",1+COUNTIFS($S$31:$S$1030,"&gt;"&amp;S351)+COUNTIFS($S$31:S351,S351)-1)</f>
        <v/>
      </c>
    </row>
    <row r="352" hidden="1" ht="16.5" customHeight="1">
      <c r="A352">
        <f>IF(COUNTA('05_KAPA'!$A323:$AO323)=0,"",325)</f>
        <v/>
      </c>
      <c r="B352">
        <f>IF($A352="","",INDEX('05_KAPA'!$B:$B,$A352))</f>
        <v/>
      </c>
      <c r="C352">
        <f>IF($A352="","",INDEX('05_KAPA'!$F:$F,$A352))</f>
        <v/>
      </c>
      <c r="D352">
        <f>IF($A352="","",INDEX('05_KAPA'!$H:$H,$A352))</f>
        <v/>
      </c>
      <c r="E352">
        <f>IF($A352="","",INDEX('05_KAPA'!$K:$K,$A352))</f>
        <v/>
      </c>
      <c r="F352">
        <f>IF($A352="","",INDEX('05_KAPA'!$L:$L,$A352))</f>
        <v/>
      </c>
      <c r="G352">
        <f>IF($A352="","",INDEX('05_KAPA'!$I:$I,$A352))</f>
        <v/>
      </c>
      <c r="H352" s="202">
        <f>IF($A352="","",INDEX('05_KAPA'!$P:$P,$A352))</f>
        <v/>
      </c>
      <c r="I352" s="118">
        <f>IF($A352="","",INDEX('05_KAPA'!$O:$O,$A352))</f>
        <v/>
      </c>
      <c r="J352" s="202">
        <f>IF($A352="","",IFERROR(DATE(LEFT(TEXT(INDEX('05_KAPA'!$T:$T,$A352),"0"),4),MID(TEXT(INDEX('05_KAPA'!$T:$T,$A352),"0"),5,2),RIGHT(TEXT(INDEX('05_KAPA'!$T:$T,$A352),"0"),2)),""))</f>
        <v/>
      </c>
      <c r="K352">
        <f>IF(C352="","",IF('02_대상물건입력'!$B$5="",1,IF(ISNUMBER(SEARCH('02_대상물건입력'!$B$5,C352)),1,0)))</f>
        <v/>
      </c>
      <c r="L352">
        <f>IF(C352="","",IF('02_대상물건입력'!$B$6="",1,IF(ISNUMBER(SEARCH('02_대상물건입력'!$B$6,C352)),1,0)))</f>
        <v/>
      </c>
      <c r="M352">
        <f>IF(E352="","",IF('02_대상물건입력'!$B$8="",0,IF(ISNUMBER(SEARCH('02_대상물건입력'!$B$8,E352)),1,0)))</f>
        <v/>
      </c>
      <c r="N352">
        <f>IF(B352="","",IF(B352="담보",1,0))</f>
        <v/>
      </c>
      <c r="O352">
        <f>IFERROR(ABS(G352-'02_대상물건입력'!$B$11)/'02_대상물건입력'!$B$11,"")</f>
        <v/>
      </c>
      <c r="P352">
        <f>IFERROR(ABS('01_설정'!$B$4-H352),"")</f>
        <v/>
      </c>
      <c r="Q352">
        <f>IFERROR(ABS(YEAR(J352)-YEAR('02_대상물건입력'!$B$14)),"")</f>
        <v/>
      </c>
      <c r="R352">
        <f>IF(AND(G352&gt;0,H352&gt;0,I352&gt;0,N352=1,IF('01_설정'!$B$10=1,K352=1,TRUE()),O352&lt;='01_설정'!$B$5,P352&lt;='01_설정'!$B$7,Q352&lt;='01_설정'!$B$8),"Y","")</f>
        <v/>
      </c>
      <c r="S352">
        <f>IF(R352&lt;&gt;"Y","",MAX(0,(1-O352/'01_설정'!$B$5))*'01_설정'!$B$14+MAX(0,(1-P352/'01_설정'!$B$7))*'01_설정'!$B$16+MAX(0,(1-Q352/'01_설정'!$B$8))*'01_설정'!$B$17+L352*'01_설정'!$B$11+M352*'01_설정'!$B$12+N352*50)</f>
        <v/>
      </c>
      <c r="T352">
        <f>IF(S352="","",1+COUNTIFS($S$31:$S$1030,"&gt;"&amp;S352)+COUNTIFS($S$31:S352,S352)-1)</f>
        <v/>
      </c>
    </row>
    <row r="353" hidden="1" ht="16.5" customHeight="1">
      <c r="A353">
        <f>IF(COUNTA('05_KAPA'!$A324:$AO324)=0,"",326)</f>
        <v/>
      </c>
      <c r="B353">
        <f>IF($A353="","",INDEX('05_KAPA'!$B:$B,$A353))</f>
        <v/>
      </c>
      <c r="C353">
        <f>IF($A353="","",INDEX('05_KAPA'!$F:$F,$A353))</f>
        <v/>
      </c>
      <c r="D353">
        <f>IF($A353="","",INDEX('05_KAPA'!$H:$H,$A353))</f>
        <v/>
      </c>
      <c r="E353">
        <f>IF($A353="","",INDEX('05_KAPA'!$K:$K,$A353))</f>
        <v/>
      </c>
      <c r="F353">
        <f>IF($A353="","",INDEX('05_KAPA'!$L:$L,$A353))</f>
        <v/>
      </c>
      <c r="G353">
        <f>IF($A353="","",INDEX('05_KAPA'!$I:$I,$A353))</f>
        <v/>
      </c>
      <c r="H353" s="202">
        <f>IF($A353="","",INDEX('05_KAPA'!$P:$P,$A353))</f>
        <v/>
      </c>
      <c r="I353" s="118">
        <f>IF($A353="","",INDEX('05_KAPA'!$O:$O,$A353))</f>
        <v/>
      </c>
      <c r="J353" s="202">
        <f>IF($A353="","",IFERROR(DATE(LEFT(TEXT(INDEX('05_KAPA'!$T:$T,$A353),"0"),4),MID(TEXT(INDEX('05_KAPA'!$T:$T,$A353),"0"),5,2),RIGHT(TEXT(INDEX('05_KAPA'!$T:$T,$A353),"0"),2)),""))</f>
        <v/>
      </c>
      <c r="K353">
        <f>IF(C353="","",IF('02_대상물건입력'!$B$5="",1,IF(ISNUMBER(SEARCH('02_대상물건입력'!$B$5,C353)),1,0)))</f>
        <v/>
      </c>
      <c r="L353">
        <f>IF(C353="","",IF('02_대상물건입력'!$B$6="",1,IF(ISNUMBER(SEARCH('02_대상물건입력'!$B$6,C353)),1,0)))</f>
        <v/>
      </c>
      <c r="M353">
        <f>IF(E353="","",IF('02_대상물건입력'!$B$8="",0,IF(ISNUMBER(SEARCH('02_대상물건입력'!$B$8,E353)),1,0)))</f>
        <v/>
      </c>
      <c r="N353">
        <f>IF(B353="","",IF(B353="담보",1,0))</f>
        <v/>
      </c>
      <c r="O353">
        <f>IFERROR(ABS(G353-'02_대상물건입력'!$B$11)/'02_대상물건입력'!$B$11,"")</f>
        <v/>
      </c>
      <c r="P353">
        <f>IFERROR(ABS('01_설정'!$B$4-H353),"")</f>
        <v/>
      </c>
      <c r="Q353">
        <f>IFERROR(ABS(YEAR(J353)-YEAR('02_대상물건입력'!$B$14)),"")</f>
        <v/>
      </c>
      <c r="R353">
        <f>IF(AND(G353&gt;0,H353&gt;0,I353&gt;0,N353=1,IF('01_설정'!$B$10=1,K353=1,TRUE()),O353&lt;='01_설정'!$B$5,P353&lt;='01_설정'!$B$7,Q353&lt;='01_설정'!$B$8),"Y","")</f>
        <v/>
      </c>
      <c r="S353">
        <f>IF(R353&lt;&gt;"Y","",MAX(0,(1-O353/'01_설정'!$B$5))*'01_설정'!$B$14+MAX(0,(1-P353/'01_설정'!$B$7))*'01_설정'!$B$16+MAX(0,(1-Q353/'01_설정'!$B$8))*'01_설정'!$B$17+L353*'01_설정'!$B$11+M353*'01_설정'!$B$12+N353*50)</f>
        <v/>
      </c>
      <c r="T353">
        <f>IF(S353="","",1+COUNTIFS($S$31:$S$1030,"&gt;"&amp;S353)+COUNTIFS($S$31:S353,S353)-1)</f>
        <v/>
      </c>
    </row>
    <row r="354" hidden="1" ht="16.5" customHeight="1">
      <c r="A354">
        <f>IF(COUNTA('05_KAPA'!$A325:$AO325)=0,"",327)</f>
        <v/>
      </c>
      <c r="B354">
        <f>IF($A354="","",INDEX('05_KAPA'!$B:$B,$A354))</f>
        <v/>
      </c>
      <c r="C354">
        <f>IF($A354="","",INDEX('05_KAPA'!$F:$F,$A354))</f>
        <v/>
      </c>
      <c r="D354">
        <f>IF($A354="","",INDEX('05_KAPA'!$H:$H,$A354))</f>
        <v/>
      </c>
      <c r="E354">
        <f>IF($A354="","",INDEX('05_KAPA'!$K:$K,$A354))</f>
        <v/>
      </c>
      <c r="F354">
        <f>IF($A354="","",INDEX('05_KAPA'!$L:$L,$A354))</f>
        <v/>
      </c>
      <c r="G354">
        <f>IF($A354="","",INDEX('05_KAPA'!$I:$I,$A354))</f>
        <v/>
      </c>
      <c r="H354" s="202">
        <f>IF($A354="","",INDEX('05_KAPA'!$P:$P,$A354))</f>
        <v/>
      </c>
      <c r="I354" s="118">
        <f>IF($A354="","",INDEX('05_KAPA'!$O:$O,$A354))</f>
        <v/>
      </c>
      <c r="J354" s="202">
        <f>IF($A354="","",IFERROR(DATE(LEFT(TEXT(INDEX('05_KAPA'!$T:$T,$A354),"0"),4),MID(TEXT(INDEX('05_KAPA'!$T:$T,$A354),"0"),5,2),RIGHT(TEXT(INDEX('05_KAPA'!$T:$T,$A354),"0"),2)),""))</f>
        <v/>
      </c>
      <c r="K354">
        <f>IF(C354="","",IF('02_대상물건입력'!$B$5="",1,IF(ISNUMBER(SEARCH('02_대상물건입력'!$B$5,C354)),1,0)))</f>
        <v/>
      </c>
      <c r="L354">
        <f>IF(C354="","",IF('02_대상물건입력'!$B$6="",1,IF(ISNUMBER(SEARCH('02_대상물건입력'!$B$6,C354)),1,0)))</f>
        <v/>
      </c>
      <c r="M354">
        <f>IF(E354="","",IF('02_대상물건입력'!$B$8="",0,IF(ISNUMBER(SEARCH('02_대상물건입력'!$B$8,E354)),1,0)))</f>
        <v/>
      </c>
      <c r="N354">
        <f>IF(B354="","",IF(B354="담보",1,0))</f>
        <v/>
      </c>
      <c r="O354">
        <f>IFERROR(ABS(G354-'02_대상물건입력'!$B$11)/'02_대상물건입력'!$B$11,"")</f>
        <v/>
      </c>
      <c r="P354">
        <f>IFERROR(ABS('01_설정'!$B$4-H354),"")</f>
        <v/>
      </c>
      <c r="Q354">
        <f>IFERROR(ABS(YEAR(J354)-YEAR('02_대상물건입력'!$B$14)),"")</f>
        <v/>
      </c>
      <c r="R354">
        <f>IF(AND(G354&gt;0,H354&gt;0,I354&gt;0,N354=1,IF('01_설정'!$B$10=1,K354=1,TRUE()),O354&lt;='01_설정'!$B$5,P354&lt;='01_설정'!$B$7,Q354&lt;='01_설정'!$B$8),"Y","")</f>
        <v/>
      </c>
      <c r="S354">
        <f>IF(R354&lt;&gt;"Y","",MAX(0,(1-O354/'01_설정'!$B$5))*'01_설정'!$B$14+MAX(0,(1-P354/'01_설정'!$B$7))*'01_설정'!$B$16+MAX(0,(1-Q354/'01_설정'!$B$8))*'01_설정'!$B$17+L354*'01_설정'!$B$11+M354*'01_설정'!$B$12+N354*50)</f>
        <v/>
      </c>
      <c r="T354">
        <f>IF(S354="","",1+COUNTIFS($S$31:$S$1030,"&gt;"&amp;S354)+COUNTIFS($S$31:S354,S354)-1)</f>
        <v/>
      </c>
    </row>
    <row r="355" hidden="1" ht="16.5" customHeight="1">
      <c r="A355">
        <f>IF(COUNTA('05_KAPA'!$A326:$AO326)=0,"",328)</f>
        <v/>
      </c>
      <c r="B355">
        <f>IF($A355="","",INDEX('05_KAPA'!$B:$B,$A355))</f>
        <v/>
      </c>
      <c r="C355">
        <f>IF($A355="","",INDEX('05_KAPA'!$F:$F,$A355))</f>
        <v/>
      </c>
      <c r="D355">
        <f>IF($A355="","",INDEX('05_KAPA'!$H:$H,$A355))</f>
        <v/>
      </c>
      <c r="E355">
        <f>IF($A355="","",INDEX('05_KAPA'!$K:$K,$A355))</f>
        <v/>
      </c>
      <c r="F355">
        <f>IF($A355="","",INDEX('05_KAPA'!$L:$L,$A355))</f>
        <v/>
      </c>
      <c r="G355">
        <f>IF($A355="","",INDEX('05_KAPA'!$I:$I,$A355))</f>
        <v/>
      </c>
      <c r="H355" s="202">
        <f>IF($A355="","",INDEX('05_KAPA'!$P:$P,$A355))</f>
        <v/>
      </c>
      <c r="I355" s="118">
        <f>IF($A355="","",INDEX('05_KAPA'!$O:$O,$A355))</f>
        <v/>
      </c>
      <c r="J355" s="202">
        <f>IF($A355="","",IFERROR(DATE(LEFT(TEXT(INDEX('05_KAPA'!$T:$T,$A355),"0"),4),MID(TEXT(INDEX('05_KAPA'!$T:$T,$A355),"0"),5,2),RIGHT(TEXT(INDEX('05_KAPA'!$T:$T,$A355),"0"),2)),""))</f>
        <v/>
      </c>
      <c r="K355">
        <f>IF(C355="","",IF('02_대상물건입력'!$B$5="",1,IF(ISNUMBER(SEARCH('02_대상물건입력'!$B$5,C355)),1,0)))</f>
        <v/>
      </c>
      <c r="L355">
        <f>IF(C355="","",IF('02_대상물건입력'!$B$6="",1,IF(ISNUMBER(SEARCH('02_대상물건입력'!$B$6,C355)),1,0)))</f>
        <v/>
      </c>
      <c r="M355">
        <f>IF(E355="","",IF('02_대상물건입력'!$B$8="",0,IF(ISNUMBER(SEARCH('02_대상물건입력'!$B$8,E355)),1,0)))</f>
        <v/>
      </c>
      <c r="N355">
        <f>IF(B355="","",IF(B355="담보",1,0))</f>
        <v/>
      </c>
      <c r="O355">
        <f>IFERROR(ABS(G355-'02_대상물건입력'!$B$11)/'02_대상물건입력'!$B$11,"")</f>
        <v/>
      </c>
      <c r="P355">
        <f>IFERROR(ABS('01_설정'!$B$4-H355),"")</f>
        <v/>
      </c>
      <c r="Q355">
        <f>IFERROR(ABS(YEAR(J355)-YEAR('02_대상물건입력'!$B$14)),"")</f>
        <v/>
      </c>
      <c r="R355">
        <f>IF(AND(G355&gt;0,H355&gt;0,I355&gt;0,N355=1,IF('01_설정'!$B$10=1,K355=1,TRUE()),O355&lt;='01_설정'!$B$5,P355&lt;='01_설정'!$B$7,Q355&lt;='01_설정'!$B$8),"Y","")</f>
        <v/>
      </c>
      <c r="S355">
        <f>IF(R355&lt;&gt;"Y","",MAX(0,(1-O355/'01_설정'!$B$5))*'01_설정'!$B$14+MAX(0,(1-P355/'01_설정'!$B$7))*'01_설정'!$B$16+MAX(0,(1-Q355/'01_설정'!$B$8))*'01_설정'!$B$17+L355*'01_설정'!$B$11+M355*'01_설정'!$B$12+N355*50)</f>
        <v/>
      </c>
      <c r="T355">
        <f>IF(S355="","",1+COUNTIFS($S$31:$S$1030,"&gt;"&amp;S355)+COUNTIFS($S$31:S355,S355)-1)</f>
        <v/>
      </c>
    </row>
    <row r="356" hidden="1" ht="16.5" customHeight="1">
      <c r="A356">
        <f>IF(COUNTA('05_KAPA'!$A327:$AO327)=0,"",329)</f>
        <v/>
      </c>
      <c r="B356">
        <f>IF($A356="","",INDEX('05_KAPA'!$B:$B,$A356))</f>
        <v/>
      </c>
      <c r="C356">
        <f>IF($A356="","",INDEX('05_KAPA'!$F:$F,$A356))</f>
        <v/>
      </c>
      <c r="D356">
        <f>IF($A356="","",INDEX('05_KAPA'!$H:$H,$A356))</f>
        <v/>
      </c>
      <c r="E356">
        <f>IF($A356="","",INDEX('05_KAPA'!$K:$K,$A356))</f>
        <v/>
      </c>
      <c r="F356">
        <f>IF($A356="","",INDEX('05_KAPA'!$L:$L,$A356))</f>
        <v/>
      </c>
      <c r="G356">
        <f>IF($A356="","",INDEX('05_KAPA'!$I:$I,$A356))</f>
        <v/>
      </c>
      <c r="H356" s="202">
        <f>IF($A356="","",INDEX('05_KAPA'!$P:$P,$A356))</f>
        <v/>
      </c>
      <c r="I356" s="118">
        <f>IF($A356="","",INDEX('05_KAPA'!$O:$O,$A356))</f>
        <v/>
      </c>
      <c r="J356" s="202">
        <f>IF($A356="","",IFERROR(DATE(LEFT(TEXT(INDEX('05_KAPA'!$T:$T,$A356),"0"),4),MID(TEXT(INDEX('05_KAPA'!$T:$T,$A356),"0"),5,2),RIGHT(TEXT(INDEX('05_KAPA'!$T:$T,$A356),"0"),2)),""))</f>
        <v/>
      </c>
      <c r="K356">
        <f>IF(C356="","",IF('02_대상물건입력'!$B$5="",1,IF(ISNUMBER(SEARCH('02_대상물건입력'!$B$5,C356)),1,0)))</f>
        <v/>
      </c>
      <c r="L356">
        <f>IF(C356="","",IF('02_대상물건입력'!$B$6="",1,IF(ISNUMBER(SEARCH('02_대상물건입력'!$B$6,C356)),1,0)))</f>
        <v/>
      </c>
      <c r="M356">
        <f>IF(E356="","",IF('02_대상물건입력'!$B$8="",0,IF(ISNUMBER(SEARCH('02_대상물건입력'!$B$8,E356)),1,0)))</f>
        <v/>
      </c>
      <c r="N356">
        <f>IF(B356="","",IF(B356="담보",1,0))</f>
        <v/>
      </c>
      <c r="O356">
        <f>IFERROR(ABS(G356-'02_대상물건입력'!$B$11)/'02_대상물건입력'!$B$11,"")</f>
        <v/>
      </c>
      <c r="P356">
        <f>IFERROR(ABS('01_설정'!$B$4-H356),"")</f>
        <v/>
      </c>
      <c r="Q356">
        <f>IFERROR(ABS(YEAR(J356)-YEAR('02_대상물건입력'!$B$14)),"")</f>
        <v/>
      </c>
      <c r="R356">
        <f>IF(AND(G356&gt;0,H356&gt;0,I356&gt;0,N356=1,IF('01_설정'!$B$10=1,K356=1,TRUE()),O356&lt;='01_설정'!$B$5,P356&lt;='01_설정'!$B$7,Q356&lt;='01_설정'!$B$8),"Y","")</f>
        <v/>
      </c>
      <c r="S356">
        <f>IF(R356&lt;&gt;"Y","",MAX(0,(1-O356/'01_설정'!$B$5))*'01_설정'!$B$14+MAX(0,(1-P356/'01_설정'!$B$7))*'01_설정'!$B$16+MAX(0,(1-Q356/'01_설정'!$B$8))*'01_설정'!$B$17+L356*'01_설정'!$B$11+M356*'01_설정'!$B$12+N356*50)</f>
        <v/>
      </c>
      <c r="T356">
        <f>IF(S356="","",1+COUNTIFS($S$31:$S$1030,"&gt;"&amp;S356)+COUNTIFS($S$31:S356,S356)-1)</f>
        <v/>
      </c>
    </row>
    <row r="357" hidden="1" ht="16.5" customHeight="1">
      <c r="A357">
        <f>IF(COUNTA('05_KAPA'!$A328:$AO328)=0,"",330)</f>
        <v/>
      </c>
      <c r="B357">
        <f>IF($A357="","",INDEX('05_KAPA'!$B:$B,$A357))</f>
        <v/>
      </c>
      <c r="C357">
        <f>IF($A357="","",INDEX('05_KAPA'!$F:$F,$A357))</f>
        <v/>
      </c>
      <c r="D357">
        <f>IF($A357="","",INDEX('05_KAPA'!$H:$H,$A357))</f>
        <v/>
      </c>
      <c r="E357">
        <f>IF($A357="","",INDEX('05_KAPA'!$K:$K,$A357))</f>
        <v/>
      </c>
      <c r="F357">
        <f>IF($A357="","",INDEX('05_KAPA'!$L:$L,$A357))</f>
        <v/>
      </c>
      <c r="G357">
        <f>IF($A357="","",INDEX('05_KAPA'!$I:$I,$A357))</f>
        <v/>
      </c>
      <c r="H357" s="202">
        <f>IF($A357="","",INDEX('05_KAPA'!$P:$P,$A357))</f>
        <v/>
      </c>
      <c r="I357" s="118">
        <f>IF($A357="","",INDEX('05_KAPA'!$O:$O,$A357))</f>
        <v/>
      </c>
      <c r="J357" s="202">
        <f>IF($A357="","",IFERROR(DATE(LEFT(TEXT(INDEX('05_KAPA'!$T:$T,$A357),"0"),4),MID(TEXT(INDEX('05_KAPA'!$T:$T,$A357),"0"),5,2),RIGHT(TEXT(INDEX('05_KAPA'!$T:$T,$A357),"0"),2)),""))</f>
        <v/>
      </c>
      <c r="K357">
        <f>IF(C357="","",IF('02_대상물건입력'!$B$5="",1,IF(ISNUMBER(SEARCH('02_대상물건입력'!$B$5,C357)),1,0)))</f>
        <v/>
      </c>
      <c r="L357">
        <f>IF(C357="","",IF('02_대상물건입력'!$B$6="",1,IF(ISNUMBER(SEARCH('02_대상물건입력'!$B$6,C357)),1,0)))</f>
        <v/>
      </c>
      <c r="M357">
        <f>IF(E357="","",IF('02_대상물건입력'!$B$8="",0,IF(ISNUMBER(SEARCH('02_대상물건입력'!$B$8,E357)),1,0)))</f>
        <v/>
      </c>
      <c r="N357">
        <f>IF(B357="","",IF(B357="담보",1,0))</f>
        <v/>
      </c>
      <c r="O357">
        <f>IFERROR(ABS(G357-'02_대상물건입력'!$B$11)/'02_대상물건입력'!$B$11,"")</f>
        <v/>
      </c>
      <c r="P357">
        <f>IFERROR(ABS('01_설정'!$B$4-H357),"")</f>
        <v/>
      </c>
      <c r="Q357">
        <f>IFERROR(ABS(YEAR(J357)-YEAR('02_대상물건입력'!$B$14)),"")</f>
        <v/>
      </c>
      <c r="R357">
        <f>IF(AND(G357&gt;0,H357&gt;0,I357&gt;0,N357=1,IF('01_설정'!$B$10=1,K357=1,TRUE()),O357&lt;='01_설정'!$B$5,P357&lt;='01_설정'!$B$7,Q357&lt;='01_설정'!$B$8),"Y","")</f>
        <v/>
      </c>
      <c r="S357">
        <f>IF(R357&lt;&gt;"Y","",MAX(0,(1-O357/'01_설정'!$B$5))*'01_설정'!$B$14+MAX(0,(1-P357/'01_설정'!$B$7))*'01_설정'!$B$16+MAX(0,(1-Q357/'01_설정'!$B$8))*'01_설정'!$B$17+L357*'01_설정'!$B$11+M357*'01_설정'!$B$12+N357*50)</f>
        <v/>
      </c>
      <c r="T357">
        <f>IF(S357="","",1+COUNTIFS($S$31:$S$1030,"&gt;"&amp;S357)+COUNTIFS($S$31:S357,S357)-1)</f>
        <v/>
      </c>
    </row>
    <row r="358" hidden="1" ht="16.5" customHeight="1">
      <c r="A358">
        <f>IF(COUNTA('05_KAPA'!$A329:$AO329)=0,"",331)</f>
        <v/>
      </c>
      <c r="B358">
        <f>IF($A358="","",INDEX('05_KAPA'!$B:$B,$A358))</f>
        <v/>
      </c>
      <c r="C358">
        <f>IF($A358="","",INDEX('05_KAPA'!$F:$F,$A358))</f>
        <v/>
      </c>
      <c r="D358">
        <f>IF($A358="","",INDEX('05_KAPA'!$H:$H,$A358))</f>
        <v/>
      </c>
      <c r="E358">
        <f>IF($A358="","",INDEX('05_KAPA'!$K:$K,$A358))</f>
        <v/>
      </c>
      <c r="F358">
        <f>IF($A358="","",INDEX('05_KAPA'!$L:$L,$A358))</f>
        <v/>
      </c>
      <c r="G358">
        <f>IF($A358="","",INDEX('05_KAPA'!$I:$I,$A358))</f>
        <v/>
      </c>
      <c r="H358" s="202">
        <f>IF($A358="","",INDEX('05_KAPA'!$P:$P,$A358))</f>
        <v/>
      </c>
      <c r="I358" s="118">
        <f>IF($A358="","",INDEX('05_KAPA'!$O:$O,$A358))</f>
        <v/>
      </c>
      <c r="J358" s="202">
        <f>IF($A358="","",IFERROR(DATE(LEFT(TEXT(INDEX('05_KAPA'!$T:$T,$A358),"0"),4),MID(TEXT(INDEX('05_KAPA'!$T:$T,$A358),"0"),5,2),RIGHT(TEXT(INDEX('05_KAPA'!$T:$T,$A358),"0"),2)),""))</f>
        <v/>
      </c>
      <c r="K358">
        <f>IF(C358="","",IF('02_대상물건입력'!$B$5="",1,IF(ISNUMBER(SEARCH('02_대상물건입력'!$B$5,C358)),1,0)))</f>
        <v/>
      </c>
      <c r="L358">
        <f>IF(C358="","",IF('02_대상물건입력'!$B$6="",1,IF(ISNUMBER(SEARCH('02_대상물건입력'!$B$6,C358)),1,0)))</f>
        <v/>
      </c>
      <c r="M358">
        <f>IF(E358="","",IF('02_대상물건입력'!$B$8="",0,IF(ISNUMBER(SEARCH('02_대상물건입력'!$B$8,E358)),1,0)))</f>
        <v/>
      </c>
      <c r="N358">
        <f>IF(B358="","",IF(B358="담보",1,0))</f>
        <v/>
      </c>
      <c r="O358">
        <f>IFERROR(ABS(G358-'02_대상물건입력'!$B$11)/'02_대상물건입력'!$B$11,"")</f>
        <v/>
      </c>
      <c r="P358">
        <f>IFERROR(ABS('01_설정'!$B$4-H358),"")</f>
        <v/>
      </c>
      <c r="Q358">
        <f>IFERROR(ABS(YEAR(J358)-YEAR('02_대상물건입력'!$B$14)),"")</f>
        <v/>
      </c>
      <c r="R358">
        <f>IF(AND(G358&gt;0,H358&gt;0,I358&gt;0,N358=1,IF('01_설정'!$B$10=1,K358=1,TRUE()),O358&lt;='01_설정'!$B$5,P358&lt;='01_설정'!$B$7,Q358&lt;='01_설정'!$B$8),"Y","")</f>
        <v/>
      </c>
      <c r="S358">
        <f>IF(R358&lt;&gt;"Y","",MAX(0,(1-O358/'01_설정'!$B$5))*'01_설정'!$B$14+MAX(0,(1-P358/'01_설정'!$B$7))*'01_설정'!$B$16+MAX(0,(1-Q358/'01_설정'!$B$8))*'01_설정'!$B$17+L358*'01_설정'!$B$11+M358*'01_설정'!$B$12+N358*50)</f>
        <v/>
      </c>
      <c r="T358">
        <f>IF(S358="","",1+COUNTIFS($S$31:$S$1030,"&gt;"&amp;S358)+COUNTIFS($S$31:S358,S358)-1)</f>
        <v/>
      </c>
    </row>
    <row r="359" hidden="1" ht="16.5" customHeight="1">
      <c r="A359">
        <f>IF(COUNTA('05_KAPA'!$A330:$AO330)=0,"",332)</f>
        <v/>
      </c>
      <c r="B359">
        <f>IF($A359="","",INDEX('05_KAPA'!$B:$B,$A359))</f>
        <v/>
      </c>
      <c r="C359">
        <f>IF($A359="","",INDEX('05_KAPA'!$F:$F,$A359))</f>
        <v/>
      </c>
      <c r="D359">
        <f>IF($A359="","",INDEX('05_KAPA'!$H:$H,$A359))</f>
        <v/>
      </c>
      <c r="E359">
        <f>IF($A359="","",INDEX('05_KAPA'!$K:$K,$A359))</f>
        <v/>
      </c>
      <c r="F359">
        <f>IF($A359="","",INDEX('05_KAPA'!$L:$L,$A359))</f>
        <v/>
      </c>
      <c r="G359">
        <f>IF($A359="","",INDEX('05_KAPA'!$I:$I,$A359))</f>
        <v/>
      </c>
      <c r="H359" s="202">
        <f>IF($A359="","",INDEX('05_KAPA'!$P:$P,$A359))</f>
        <v/>
      </c>
      <c r="I359" s="118">
        <f>IF($A359="","",INDEX('05_KAPA'!$O:$O,$A359))</f>
        <v/>
      </c>
      <c r="J359" s="202">
        <f>IF($A359="","",IFERROR(DATE(LEFT(TEXT(INDEX('05_KAPA'!$T:$T,$A359),"0"),4),MID(TEXT(INDEX('05_KAPA'!$T:$T,$A359),"0"),5,2),RIGHT(TEXT(INDEX('05_KAPA'!$T:$T,$A359),"0"),2)),""))</f>
        <v/>
      </c>
      <c r="K359">
        <f>IF(C359="","",IF('02_대상물건입력'!$B$5="",1,IF(ISNUMBER(SEARCH('02_대상물건입력'!$B$5,C359)),1,0)))</f>
        <v/>
      </c>
      <c r="L359">
        <f>IF(C359="","",IF('02_대상물건입력'!$B$6="",1,IF(ISNUMBER(SEARCH('02_대상물건입력'!$B$6,C359)),1,0)))</f>
        <v/>
      </c>
      <c r="M359">
        <f>IF(E359="","",IF('02_대상물건입력'!$B$8="",0,IF(ISNUMBER(SEARCH('02_대상물건입력'!$B$8,E359)),1,0)))</f>
        <v/>
      </c>
      <c r="N359">
        <f>IF(B359="","",IF(B359="담보",1,0))</f>
        <v/>
      </c>
      <c r="O359">
        <f>IFERROR(ABS(G359-'02_대상물건입력'!$B$11)/'02_대상물건입력'!$B$11,"")</f>
        <v/>
      </c>
      <c r="P359">
        <f>IFERROR(ABS('01_설정'!$B$4-H359),"")</f>
        <v/>
      </c>
      <c r="Q359">
        <f>IFERROR(ABS(YEAR(J359)-YEAR('02_대상물건입력'!$B$14)),"")</f>
        <v/>
      </c>
      <c r="R359">
        <f>IF(AND(G359&gt;0,H359&gt;0,I359&gt;0,N359=1,IF('01_설정'!$B$10=1,K359=1,TRUE()),O359&lt;='01_설정'!$B$5,P359&lt;='01_설정'!$B$7,Q359&lt;='01_설정'!$B$8),"Y","")</f>
        <v/>
      </c>
      <c r="S359">
        <f>IF(R359&lt;&gt;"Y","",MAX(0,(1-O359/'01_설정'!$B$5))*'01_설정'!$B$14+MAX(0,(1-P359/'01_설정'!$B$7))*'01_설정'!$B$16+MAX(0,(1-Q359/'01_설정'!$B$8))*'01_설정'!$B$17+L359*'01_설정'!$B$11+M359*'01_설정'!$B$12+N359*50)</f>
        <v/>
      </c>
      <c r="T359">
        <f>IF(S359="","",1+COUNTIFS($S$31:$S$1030,"&gt;"&amp;S359)+COUNTIFS($S$31:S359,S359)-1)</f>
        <v/>
      </c>
    </row>
    <row r="360" hidden="1" ht="16.5" customHeight="1">
      <c r="A360">
        <f>IF(COUNTA('05_KAPA'!$A331:$AO331)=0,"",333)</f>
        <v/>
      </c>
      <c r="B360">
        <f>IF($A360="","",INDEX('05_KAPA'!$B:$B,$A360))</f>
        <v/>
      </c>
      <c r="C360">
        <f>IF($A360="","",INDEX('05_KAPA'!$F:$F,$A360))</f>
        <v/>
      </c>
      <c r="D360">
        <f>IF($A360="","",INDEX('05_KAPA'!$H:$H,$A360))</f>
        <v/>
      </c>
      <c r="E360">
        <f>IF($A360="","",INDEX('05_KAPA'!$K:$K,$A360))</f>
        <v/>
      </c>
      <c r="F360">
        <f>IF($A360="","",INDEX('05_KAPA'!$L:$L,$A360))</f>
        <v/>
      </c>
      <c r="G360">
        <f>IF($A360="","",INDEX('05_KAPA'!$I:$I,$A360))</f>
        <v/>
      </c>
      <c r="H360" s="202">
        <f>IF($A360="","",INDEX('05_KAPA'!$P:$P,$A360))</f>
        <v/>
      </c>
      <c r="I360" s="118">
        <f>IF($A360="","",INDEX('05_KAPA'!$O:$O,$A360))</f>
        <v/>
      </c>
      <c r="J360" s="202">
        <f>IF($A360="","",IFERROR(DATE(LEFT(TEXT(INDEX('05_KAPA'!$T:$T,$A360),"0"),4),MID(TEXT(INDEX('05_KAPA'!$T:$T,$A360),"0"),5,2),RIGHT(TEXT(INDEX('05_KAPA'!$T:$T,$A360),"0"),2)),""))</f>
        <v/>
      </c>
      <c r="K360">
        <f>IF(C360="","",IF('02_대상물건입력'!$B$5="",1,IF(ISNUMBER(SEARCH('02_대상물건입력'!$B$5,C360)),1,0)))</f>
        <v/>
      </c>
      <c r="L360">
        <f>IF(C360="","",IF('02_대상물건입력'!$B$6="",1,IF(ISNUMBER(SEARCH('02_대상물건입력'!$B$6,C360)),1,0)))</f>
        <v/>
      </c>
      <c r="M360">
        <f>IF(E360="","",IF('02_대상물건입력'!$B$8="",0,IF(ISNUMBER(SEARCH('02_대상물건입력'!$B$8,E360)),1,0)))</f>
        <v/>
      </c>
      <c r="N360">
        <f>IF(B360="","",IF(B360="담보",1,0))</f>
        <v/>
      </c>
      <c r="O360">
        <f>IFERROR(ABS(G360-'02_대상물건입력'!$B$11)/'02_대상물건입력'!$B$11,"")</f>
        <v/>
      </c>
      <c r="P360">
        <f>IFERROR(ABS('01_설정'!$B$4-H360),"")</f>
        <v/>
      </c>
      <c r="Q360">
        <f>IFERROR(ABS(YEAR(J360)-YEAR('02_대상물건입력'!$B$14)),"")</f>
        <v/>
      </c>
      <c r="R360">
        <f>IF(AND(G360&gt;0,H360&gt;0,I360&gt;0,N360=1,IF('01_설정'!$B$10=1,K360=1,TRUE()),O360&lt;='01_설정'!$B$5,P360&lt;='01_설정'!$B$7,Q360&lt;='01_설정'!$B$8),"Y","")</f>
        <v/>
      </c>
      <c r="S360">
        <f>IF(R360&lt;&gt;"Y","",MAX(0,(1-O360/'01_설정'!$B$5))*'01_설정'!$B$14+MAX(0,(1-P360/'01_설정'!$B$7))*'01_설정'!$B$16+MAX(0,(1-Q360/'01_설정'!$B$8))*'01_설정'!$B$17+L360*'01_설정'!$B$11+M360*'01_설정'!$B$12+N360*50)</f>
        <v/>
      </c>
      <c r="T360">
        <f>IF(S360="","",1+COUNTIFS($S$31:$S$1030,"&gt;"&amp;S360)+COUNTIFS($S$31:S360,S360)-1)</f>
        <v/>
      </c>
    </row>
    <row r="361" hidden="1" ht="16.5" customHeight="1">
      <c r="A361">
        <f>IF(COUNTA('05_KAPA'!$A332:$AO332)=0,"",334)</f>
        <v/>
      </c>
      <c r="B361">
        <f>IF($A361="","",INDEX('05_KAPA'!$B:$B,$A361))</f>
        <v/>
      </c>
      <c r="C361">
        <f>IF($A361="","",INDEX('05_KAPA'!$F:$F,$A361))</f>
        <v/>
      </c>
      <c r="D361">
        <f>IF($A361="","",INDEX('05_KAPA'!$H:$H,$A361))</f>
        <v/>
      </c>
      <c r="E361">
        <f>IF($A361="","",INDEX('05_KAPA'!$K:$K,$A361))</f>
        <v/>
      </c>
      <c r="F361">
        <f>IF($A361="","",INDEX('05_KAPA'!$L:$L,$A361))</f>
        <v/>
      </c>
      <c r="G361">
        <f>IF($A361="","",INDEX('05_KAPA'!$I:$I,$A361))</f>
        <v/>
      </c>
      <c r="H361" s="202">
        <f>IF($A361="","",INDEX('05_KAPA'!$P:$P,$A361))</f>
        <v/>
      </c>
      <c r="I361" s="118">
        <f>IF($A361="","",INDEX('05_KAPA'!$O:$O,$A361))</f>
        <v/>
      </c>
      <c r="J361" s="202">
        <f>IF($A361="","",IFERROR(DATE(LEFT(TEXT(INDEX('05_KAPA'!$T:$T,$A361),"0"),4),MID(TEXT(INDEX('05_KAPA'!$T:$T,$A361),"0"),5,2),RIGHT(TEXT(INDEX('05_KAPA'!$T:$T,$A361),"0"),2)),""))</f>
        <v/>
      </c>
      <c r="K361">
        <f>IF(C361="","",IF('02_대상물건입력'!$B$5="",1,IF(ISNUMBER(SEARCH('02_대상물건입력'!$B$5,C361)),1,0)))</f>
        <v/>
      </c>
      <c r="L361">
        <f>IF(C361="","",IF('02_대상물건입력'!$B$6="",1,IF(ISNUMBER(SEARCH('02_대상물건입력'!$B$6,C361)),1,0)))</f>
        <v/>
      </c>
      <c r="M361">
        <f>IF(E361="","",IF('02_대상물건입력'!$B$8="",0,IF(ISNUMBER(SEARCH('02_대상물건입력'!$B$8,E361)),1,0)))</f>
        <v/>
      </c>
      <c r="N361">
        <f>IF(B361="","",IF(B361="담보",1,0))</f>
        <v/>
      </c>
      <c r="O361">
        <f>IFERROR(ABS(G361-'02_대상물건입력'!$B$11)/'02_대상물건입력'!$B$11,"")</f>
        <v/>
      </c>
      <c r="P361">
        <f>IFERROR(ABS('01_설정'!$B$4-H361),"")</f>
        <v/>
      </c>
      <c r="Q361">
        <f>IFERROR(ABS(YEAR(J361)-YEAR('02_대상물건입력'!$B$14)),"")</f>
        <v/>
      </c>
      <c r="R361">
        <f>IF(AND(G361&gt;0,H361&gt;0,I361&gt;0,N361=1,IF('01_설정'!$B$10=1,K361=1,TRUE()),O361&lt;='01_설정'!$B$5,P361&lt;='01_설정'!$B$7,Q361&lt;='01_설정'!$B$8),"Y","")</f>
        <v/>
      </c>
      <c r="S361">
        <f>IF(R361&lt;&gt;"Y","",MAX(0,(1-O361/'01_설정'!$B$5))*'01_설정'!$B$14+MAX(0,(1-P361/'01_설정'!$B$7))*'01_설정'!$B$16+MAX(0,(1-Q361/'01_설정'!$B$8))*'01_설정'!$B$17+L361*'01_설정'!$B$11+M361*'01_설정'!$B$12+N361*50)</f>
        <v/>
      </c>
      <c r="T361">
        <f>IF(S361="","",1+COUNTIFS($S$31:$S$1030,"&gt;"&amp;S361)+COUNTIFS($S$31:S361,S361)-1)</f>
        <v/>
      </c>
    </row>
    <row r="362" hidden="1" ht="16.5" customHeight="1">
      <c r="A362">
        <f>IF(COUNTA('05_KAPA'!$A333:$AO333)=0,"",335)</f>
        <v/>
      </c>
      <c r="B362">
        <f>IF($A362="","",INDEX('05_KAPA'!$B:$B,$A362))</f>
        <v/>
      </c>
      <c r="C362">
        <f>IF($A362="","",INDEX('05_KAPA'!$F:$F,$A362))</f>
        <v/>
      </c>
      <c r="D362">
        <f>IF($A362="","",INDEX('05_KAPA'!$H:$H,$A362))</f>
        <v/>
      </c>
      <c r="E362">
        <f>IF($A362="","",INDEX('05_KAPA'!$K:$K,$A362))</f>
        <v/>
      </c>
      <c r="F362">
        <f>IF($A362="","",INDEX('05_KAPA'!$L:$L,$A362))</f>
        <v/>
      </c>
      <c r="G362">
        <f>IF($A362="","",INDEX('05_KAPA'!$I:$I,$A362))</f>
        <v/>
      </c>
      <c r="H362" s="202">
        <f>IF($A362="","",INDEX('05_KAPA'!$P:$P,$A362))</f>
        <v/>
      </c>
      <c r="I362" s="118">
        <f>IF($A362="","",INDEX('05_KAPA'!$O:$O,$A362))</f>
        <v/>
      </c>
      <c r="J362" s="202">
        <f>IF($A362="","",IFERROR(DATE(LEFT(TEXT(INDEX('05_KAPA'!$T:$T,$A362),"0"),4),MID(TEXT(INDEX('05_KAPA'!$T:$T,$A362),"0"),5,2),RIGHT(TEXT(INDEX('05_KAPA'!$T:$T,$A362),"0"),2)),""))</f>
        <v/>
      </c>
      <c r="K362">
        <f>IF(C362="","",IF('02_대상물건입력'!$B$5="",1,IF(ISNUMBER(SEARCH('02_대상물건입력'!$B$5,C362)),1,0)))</f>
        <v/>
      </c>
      <c r="L362">
        <f>IF(C362="","",IF('02_대상물건입력'!$B$6="",1,IF(ISNUMBER(SEARCH('02_대상물건입력'!$B$6,C362)),1,0)))</f>
        <v/>
      </c>
      <c r="M362">
        <f>IF(E362="","",IF('02_대상물건입력'!$B$8="",0,IF(ISNUMBER(SEARCH('02_대상물건입력'!$B$8,E362)),1,0)))</f>
        <v/>
      </c>
      <c r="N362">
        <f>IF(B362="","",IF(B362="담보",1,0))</f>
        <v/>
      </c>
      <c r="O362">
        <f>IFERROR(ABS(G362-'02_대상물건입력'!$B$11)/'02_대상물건입력'!$B$11,"")</f>
        <v/>
      </c>
      <c r="P362">
        <f>IFERROR(ABS('01_설정'!$B$4-H362),"")</f>
        <v/>
      </c>
      <c r="Q362">
        <f>IFERROR(ABS(YEAR(J362)-YEAR('02_대상물건입력'!$B$14)),"")</f>
        <v/>
      </c>
      <c r="R362">
        <f>IF(AND(G362&gt;0,H362&gt;0,I362&gt;0,N362=1,IF('01_설정'!$B$10=1,K362=1,TRUE()),O362&lt;='01_설정'!$B$5,P362&lt;='01_설정'!$B$7,Q362&lt;='01_설정'!$B$8),"Y","")</f>
        <v/>
      </c>
      <c r="S362">
        <f>IF(R362&lt;&gt;"Y","",MAX(0,(1-O362/'01_설정'!$B$5))*'01_설정'!$B$14+MAX(0,(1-P362/'01_설정'!$B$7))*'01_설정'!$B$16+MAX(0,(1-Q362/'01_설정'!$B$8))*'01_설정'!$B$17+L362*'01_설정'!$B$11+M362*'01_설정'!$B$12+N362*50)</f>
        <v/>
      </c>
      <c r="T362">
        <f>IF(S362="","",1+COUNTIFS($S$31:$S$1030,"&gt;"&amp;S362)+COUNTIFS($S$31:S362,S362)-1)</f>
        <v/>
      </c>
    </row>
    <row r="363" hidden="1" ht="16.5" customHeight="1">
      <c r="A363">
        <f>IF(COUNTA('05_KAPA'!$A334:$AO334)=0,"",336)</f>
        <v/>
      </c>
      <c r="B363">
        <f>IF($A363="","",INDEX('05_KAPA'!$B:$B,$A363))</f>
        <v/>
      </c>
      <c r="C363">
        <f>IF($A363="","",INDEX('05_KAPA'!$F:$F,$A363))</f>
        <v/>
      </c>
      <c r="D363">
        <f>IF($A363="","",INDEX('05_KAPA'!$H:$H,$A363))</f>
        <v/>
      </c>
      <c r="E363">
        <f>IF($A363="","",INDEX('05_KAPA'!$K:$K,$A363))</f>
        <v/>
      </c>
      <c r="F363">
        <f>IF($A363="","",INDEX('05_KAPA'!$L:$L,$A363))</f>
        <v/>
      </c>
      <c r="G363">
        <f>IF($A363="","",INDEX('05_KAPA'!$I:$I,$A363))</f>
        <v/>
      </c>
      <c r="H363" s="202">
        <f>IF($A363="","",INDEX('05_KAPA'!$P:$P,$A363))</f>
        <v/>
      </c>
      <c r="I363" s="118">
        <f>IF($A363="","",INDEX('05_KAPA'!$O:$O,$A363))</f>
        <v/>
      </c>
      <c r="J363" s="202">
        <f>IF($A363="","",IFERROR(DATE(LEFT(TEXT(INDEX('05_KAPA'!$T:$T,$A363),"0"),4),MID(TEXT(INDEX('05_KAPA'!$T:$T,$A363),"0"),5,2),RIGHT(TEXT(INDEX('05_KAPA'!$T:$T,$A363),"0"),2)),""))</f>
        <v/>
      </c>
      <c r="K363">
        <f>IF(C363="","",IF('02_대상물건입력'!$B$5="",1,IF(ISNUMBER(SEARCH('02_대상물건입력'!$B$5,C363)),1,0)))</f>
        <v/>
      </c>
      <c r="L363">
        <f>IF(C363="","",IF('02_대상물건입력'!$B$6="",1,IF(ISNUMBER(SEARCH('02_대상물건입력'!$B$6,C363)),1,0)))</f>
        <v/>
      </c>
      <c r="M363">
        <f>IF(E363="","",IF('02_대상물건입력'!$B$8="",0,IF(ISNUMBER(SEARCH('02_대상물건입력'!$B$8,E363)),1,0)))</f>
        <v/>
      </c>
      <c r="N363">
        <f>IF(B363="","",IF(B363="담보",1,0))</f>
        <v/>
      </c>
      <c r="O363">
        <f>IFERROR(ABS(G363-'02_대상물건입력'!$B$11)/'02_대상물건입력'!$B$11,"")</f>
        <v/>
      </c>
      <c r="P363">
        <f>IFERROR(ABS('01_설정'!$B$4-H363),"")</f>
        <v/>
      </c>
      <c r="Q363">
        <f>IFERROR(ABS(YEAR(J363)-YEAR('02_대상물건입력'!$B$14)),"")</f>
        <v/>
      </c>
      <c r="R363">
        <f>IF(AND(G363&gt;0,H363&gt;0,I363&gt;0,N363=1,IF('01_설정'!$B$10=1,K363=1,TRUE()),O363&lt;='01_설정'!$B$5,P363&lt;='01_설정'!$B$7,Q363&lt;='01_설정'!$B$8),"Y","")</f>
        <v/>
      </c>
      <c r="S363">
        <f>IF(R363&lt;&gt;"Y","",MAX(0,(1-O363/'01_설정'!$B$5))*'01_설정'!$B$14+MAX(0,(1-P363/'01_설정'!$B$7))*'01_설정'!$B$16+MAX(0,(1-Q363/'01_설정'!$B$8))*'01_설정'!$B$17+L363*'01_설정'!$B$11+M363*'01_설정'!$B$12+N363*50)</f>
        <v/>
      </c>
      <c r="T363">
        <f>IF(S363="","",1+COUNTIFS($S$31:$S$1030,"&gt;"&amp;S363)+COUNTIFS($S$31:S363,S363)-1)</f>
        <v/>
      </c>
    </row>
    <row r="364" hidden="1" ht="16.5" customHeight="1">
      <c r="A364">
        <f>IF(COUNTA('05_KAPA'!$A335:$AO335)=0,"",337)</f>
        <v/>
      </c>
      <c r="B364">
        <f>IF($A364="","",INDEX('05_KAPA'!$B:$B,$A364))</f>
        <v/>
      </c>
      <c r="C364">
        <f>IF($A364="","",INDEX('05_KAPA'!$F:$F,$A364))</f>
        <v/>
      </c>
      <c r="D364">
        <f>IF($A364="","",INDEX('05_KAPA'!$H:$H,$A364))</f>
        <v/>
      </c>
      <c r="E364">
        <f>IF($A364="","",INDEX('05_KAPA'!$K:$K,$A364))</f>
        <v/>
      </c>
      <c r="F364">
        <f>IF($A364="","",INDEX('05_KAPA'!$L:$L,$A364))</f>
        <v/>
      </c>
      <c r="G364">
        <f>IF($A364="","",INDEX('05_KAPA'!$I:$I,$A364))</f>
        <v/>
      </c>
      <c r="H364" s="202">
        <f>IF($A364="","",INDEX('05_KAPA'!$P:$P,$A364))</f>
        <v/>
      </c>
      <c r="I364" s="118">
        <f>IF($A364="","",INDEX('05_KAPA'!$O:$O,$A364))</f>
        <v/>
      </c>
      <c r="J364" s="202">
        <f>IF($A364="","",IFERROR(DATE(LEFT(TEXT(INDEX('05_KAPA'!$T:$T,$A364),"0"),4),MID(TEXT(INDEX('05_KAPA'!$T:$T,$A364),"0"),5,2),RIGHT(TEXT(INDEX('05_KAPA'!$T:$T,$A364),"0"),2)),""))</f>
        <v/>
      </c>
      <c r="K364">
        <f>IF(C364="","",IF('02_대상물건입력'!$B$5="",1,IF(ISNUMBER(SEARCH('02_대상물건입력'!$B$5,C364)),1,0)))</f>
        <v/>
      </c>
      <c r="L364">
        <f>IF(C364="","",IF('02_대상물건입력'!$B$6="",1,IF(ISNUMBER(SEARCH('02_대상물건입력'!$B$6,C364)),1,0)))</f>
        <v/>
      </c>
      <c r="M364">
        <f>IF(E364="","",IF('02_대상물건입력'!$B$8="",0,IF(ISNUMBER(SEARCH('02_대상물건입력'!$B$8,E364)),1,0)))</f>
        <v/>
      </c>
      <c r="N364">
        <f>IF(B364="","",IF(B364="담보",1,0))</f>
        <v/>
      </c>
      <c r="O364">
        <f>IFERROR(ABS(G364-'02_대상물건입력'!$B$11)/'02_대상물건입력'!$B$11,"")</f>
        <v/>
      </c>
      <c r="P364">
        <f>IFERROR(ABS('01_설정'!$B$4-H364),"")</f>
        <v/>
      </c>
      <c r="Q364">
        <f>IFERROR(ABS(YEAR(J364)-YEAR('02_대상물건입력'!$B$14)),"")</f>
        <v/>
      </c>
      <c r="R364">
        <f>IF(AND(G364&gt;0,H364&gt;0,I364&gt;0,N364=1,IF('01_설정'!$B$10=1,K364=1,TRUE()),O364&lt;='01_설정'!$B$5,P364&lt;='01_설정'!$B$7,Q364&lt;='01_설정'!$B$8),"Y","")</f>
        <v/>
      </c>
      <c r="S364">
        <f>IF(R364&lt;&gt;"Y","",MAX(0,(1-O364/'01_설정'!$B$5))*'01_설정'!$B$14+MAX(0,(1-P364/'01_설정'!$B$7))*'01_설정'!$B$16+MAX(0,(1-Q364/'01_설정'!$B$8))*'01_설정'!$B$17+L364*'01_설정'!$B$11+M364*'01_설정'!$B$12+N364*50)</f>
        <v/>
      </c>
      <c r="T364">
        <f>IF(S364="","",1+COUNTIFS($S$31:$S$1030,"&gt;"&amp;S364)+COUNTIFS($S$31:S364,S364)-1)</f>
        <v/>
      </c>
    </row>
    <row r="365" hidden="1" ht="16.5" customHeight="1">
      <c r="A365">
        <f>IF(COUNTA('05_KAPA'!$A336:$AO336)=0,"",338)</f>
        <v/>
      </c>
      <c r="B365">
        <f>IF($A365="","",INDEX('05_KAPA'!$B:$B,$A365))</f>
        <v/>
      </c>
      <c r="C365">
        <f>IF($A365="","",INDEX('05_KAPA'!$F:$F,$A365))</f>
        <v/>
      </c>
      <c r="D365">
        <f>IF($A365="","",INDEX('05_KAPA'!$H:$H,$A365))</f>
        <v/>
      </c>
      <c r="E365">
        <f>IF($A365="","",INDEX('05_KAPA'!$K:$K,$A365))</f>
        <v/>
      </c>
      <c r="F365">
        <f>IF($A365="","",INDEX('05_KAPA'!$L:$L,$A365))</f>
        <v/>
      </c>
      <c r="G365">
        <f>IF($A365="","",INDEX('05_KAPA'!$I:$I,$A365))</f>
        <v/>
      </c>
      <c r="H365" s="202">
        <f>IF($A365="","",INDEX('05_KAPA'!$P:$P,$A365))</f>
        <v/>
      </c>
      <c r="I365" s="118">
        <f>IF($A365="","",INDEX('05_KAPA'!$O:$O,$A365))</f>
        <v/>
      </c>
      <c r="J365" s="202">
        <f>IF($A365="","",IFERROR(DATE(LEFT(TEXT(INDEX('05_KAPA'!$T:$T,$A365),"0"),4),MID(TEXT(INDEX('05_KAPA'!$T:$T,$A365),"0"),5,2),RIGHT(TEXT(INDEX('05_KAPA'!$T:$T,$A365),"0"),2)),""))</f>
        <v/>
      </c>
      <c r="K365">
        <f>IF(C365="","",IF('02_대상물건입력'!$B$5="",1,IF(ISNUMBER(SEARCH('02_대상물건입력'!$B$5,C365)),1,0)))</f>
        <v/>
      </c>
      <c r="L365">
        <f>IF(C365="","",IF('02_대상물건입력'!$B$6="",1,IF(ISNUMBER(SEARCH('02_대상물건입력'!$B$6,C365)),1,0)))</f>
        <v/>
      </c>
      <c r="M365">
        <f>IF(E365="","",IF('02_대상물건입력'!$B$8="",0,IF(ISNUMBER(SEARCH('02_대상물건입력'!$B$8,E365)),1,0)))</f>
        <v/>
      </c>
      <c r="N365">
        <f>IF(B365="","",IF(B365="담보",1,0))</f>
        <v/>
      </c>
      <c r="O365">
        <f>IFERROR(ABS(G365-'02_대상물건입력'!$B$11)/'02_대상물건입력'!$B$11,"")</f>
        <v/>
      </c>
      <c r="P365">
        <f>IFERROR(ABS('01_설정'!$B$4-H365),"")</f>
        <v/>
      </c>
      <c r="Q365">
        <f>IFERROR(ABS(YEAR(J365)-YEAR('02_대상물건입력'!$B$14)),"")</f>
        <v/>
      </c>
      <c r="R365">
        <f>IF(AND(G365&gt;0,H365&gt;0,I365&gt;0,N365=1,IF('01_설정'!$B$10=1,K365=1,TRUE()),O365&lt;='01_설정'!$B$5,P365&lt;='01_설정'!$B$7,Q365&lt;='01_설정'!$B$8),"Y","")</f>
        <v/>
      </c>
      <c r="S365">
        <f>IF(R365&lt;&gt;"Y","",MAX(0,(1-O365/'01_설정'!$B$5))*'01_설정'!$B$14+MAX(0,(1-P365/'01_설정'!$B$7))*'01_설정'!$B$16+MAX(0,(1-Q365/'01_설정'!$B$8))*'01_설정'!$B$17+L365*'01_설정'!$B$11+M365*'01_설정'!$B$12+N365*50)</f>
        <v/>
      </c>
      <c r="T365">
        <f>IF(S365="","",1+COUNTIFS($S$31:$S$1030,"&gt;"&amp;S365)+COUNTIFS($S$31:S365,S365)-1)</f>
        <v/>
      </c>
    </row>
    <row r="366" hidden="1" ht="16.5" customHeight="1">
      <c r="A366">
        <f>IF(COUNTA('05_KAPA'!$A337:$AO337)=0,"",339)</f>
        <v/>
      </c>
      <c r="B366">
        <f>IF($A366="","",INDEX('05_KAPA'!$B:$B,$A366))</f>
        <v/>
      </c>
      <c r="C366">
        <f>IF($A366="","",INDEX('05_KAPA'!$F:$F,$A366))</f>
        <v/>
      </c>
      <c r="D366">
        <f>IF($A366="","",INDEX('05_KAPA'!$H:$H,$A366))</f>
        <v/>
      </c>
      <c r="E366">
        <f>IF($A366="","",INDEX('05_KAPA'!$K:$K,$A366))</f>
        <v/>
      </c>
      <c r="F366">
        <f>IF($A366="","",INDEX('05_KAPA'!$L:$L,$A366))</f>
        <v/>
      </c>
      <c r="G366">
        <f>IF($A366="","",INDEX('05_KAPA'!$I:$I,$A366))</f>
        <v/>
      </c>
      <c r="H366" s="202">
        <f>IF($A366="","",INDEX('05_KAPA'!$P:$P,$A366))</f>
        <v/>
      </c>
      <c r="I366" s="118">
        <f>IF($A366="","",INDEX('05_KAPA'!$O:$O,$A366))</f>
        <v/>
      </c>
      <c r="J366" s="202">
        <f>IF($A366="","",IFERROR(DATE(LEFT(TEXT(INDEX('05_KAPA'!$T:$T,$A366),"0"),4),MID(TEXT(INDEX('05_KAPA'!$T:$T,$A366),"0"),5,2),RIGHT(TEXT(INDEX('05_KAPA'!$T:$T,$A366),"0"),2)),""))</f>
        <v/>
      </c>
      <c r="K366">
        <f>IF(C366="","",IF('02_대상물건입력'!$B$5="",1,IF(ISNUMBER(SEARCH('02_대상물건입력'!$B$5,C366)),1,0)))</f>
        <v/>
      </c>
      <c r="L366">
        <f>IF(C366="","",IF('02_대상물건입력'!$B$6="",1,IF(ISNUMBER(SEARCH('02_대상물건입력'!$B$6,C366)),1,0)))</f>
        <v/>
      </c>
      <c r="M366">
        <f>IF(E366="","",IF('02_대상물건입력'!$B$8="",0,IF(ISNUMBER(SEARCH('02_대상물건입력'!$B$8,E366)),1,0)))</f>
        <v/>
      </c>
      <c r="N366">
        <f>IF(B366="","",IF(B366="담보",1,0))</f>
        <v/>
      </c>
      <c r="O366">
        <f>IFERROR(ABS(G366-'02_대상물건입력'!$B$11)/'02_대상물건입력'!$B$11,"")</f>
        <v/>
      </c>
      <c r="P366">
        <f>IFERROR(ABS('01_설정'!$B$4-H366),"")</f>
        <v/>
      </c>
      <c r="Q366">
        <f>IFERROR(ABS(YEAR(J366)-YEAR('02_대상물건입력'!$B$14)),"")</f>
        <v/>
      </c>
      <c r="R366">
        <f>IF(AND(G366&gt;0,H366&gt;0,I366&gt;0,N366=1,IF('01_설정'!$B$10=1,K366=1,TRUE()),O366&lt;='01_설정'!$B$5,P366&lt;='01_설정'!$B$7,Q366&lt;='01_설정'!$B$8),"Y","")</f>
        <v/>
      </c>
      <c r="S366">
        <f>IF(R366&lt;&gt;"Y","",MAX(0,(1-O366/'01_설정'!$B$5))*'01_설정'!$B$14+MAX(0,(1-P366/'01_설정'!$B$7))*'01_설정'!$B$16+MAX(0,(1-Q366/'01_설정'!$B$8))*'01_설정'!$B$17+L366*'01_설정'!$B$11+M366*'01_설정'!$B$12+N366*50)</f>
        <v/>
      </c>
      <c r="T366">
        <f>IF(S366="","",1+COUNTIFS($S$31:$S$1030,"&gt;"&amp;S366)+COUNTIFS($S$31:S366,S366)-1)</f>
        <v/>
      </c>
    </row>
    <row r="367" hidden="1" ht="16.5" customHeight="1">
      <c r="A367">
        <f>IF(COUNTA('05_KAPA'!$A338:$AO338)=0,"",340)</f>
        <v/>
      </c>
      <c r="B367">
        <f>IF($A367="","",INDEX('05_KAPA'!$B:$B,$A367))</f>
        <v/>
      </c>
      <c r="C367">
        <f>IF($A367="","",INDEX('05_KAPA'!$F:$F,$A367))</f>
        <v/>
      </c>
      <c r="D367">
        <f>IF($A367="","",INDEX('05_KAPA'!$H:$H,$A367))</f>
        <v/>
      </c>
      <c r="E367">
        <f>IF($A367="","",INDEX('05_KAPA'!$K:$K,$A367))</f>
        <v/>
      </c>
      <c r="F367">
        <f>IF($A367="","",INDEX('05_KAPA'!$L:$L,$A367))</f>
        <v/>
      </c>
      <c r="G367">
        <f>IF($A367="","",INDEX('05_KAPA'!$I:$I,$A367))</f>
        <v/>
      </c>
      <c r="H367" s="202">
        <f>IF($A367="","",INDEX('05_KAPA'!$P:$P,$A367))</f>
        <v/>
      </c>
      <c r="I367" s="118">
        <f>IF($A367="","",INDEX('05_KAPA'!$O:$O,$A367))</f>
        <v/>
      </c>
      <c r="J367" s="202">
        <f>IF($A367="","",IFERROR(DATE(LEFT(TEXT(INDEX('05_KAPA'!$T:$T,$A367),"0"),4),MID(TEXT(INDEX('05_KAPA'!$T:$T,$A367),"0"),5,2),RIGHT(TEXT(INDEX('05_KAPA'!$T:$T,$A367),"0"),2)),""))</f>
        <v/>
      </c>
      <c r="K367">
        <f>IF(C367="","",IF('02_대상물건입력'!$B$5="",1,IF(ISNUMBER(SEARCH('02_대상물건입력'!$B$5,C367)),1,0)))</f>
        <v/>
      </c>
      <c r="L367">
        <f>IF(C367="","",IF('02_대상물건입력'!$B$6="",1,IF(ISNUMBER(SEARCH('02_대상물건입력'!$B$6,C367)),1,0)))</f>
        <v/>
      </c>
      <c r="M367">
        <f>IF(E367="","",IF('02_대상물건입력'!$B$8="",0,IF(ISNUMBER(SEARCH('02_대상물건입력'!$B$8,E367)),1,0)))</f>
        <v/>
      </c>
      <c r="N367">
        <f>IF(B367="","",IF(B367="담보",1,0))</f>
        <v/>
      </c>
      <c r="O367">
        <f>IFERROR(ABS(G367-'02_대상물건입력'!$B$11)/'02_대상물건입력'!$B$11,"")</f>
        <v/>
      </c>
      <c r="P367">
        <f>IFERROR(ABS('01_설정'!$B$4-H367),"")</f>
        <v/>
      </c>
      <c r="Q367">
        <f>IFERROR(ABS(YEAR(J367)-YEAR('02_대상물건입력'!$B$14)),"")</f>
        <v/>
      </c>
      <c r="R367">
        <f>IF(AND(G367&gt;0,H367&gt;0,I367&gt;0,N367=1,IF('01_설정'!$B$10=1,K367=1,TRUE()),O367&lt;='01_설정'!$B$5,P367&lt;='01_설정'!$B$7,Q367&lt;='01_설정'!$B$8),"Y","")</f>
        <v/>
      </c>
      <c r="S367">
        <f>IF(R367&lt;&gt;"Y","",MAX(0,(1-O367/'01_설정'!$B$5))*'01_설정'!$B$14+MAX(0,(1-P367/'01_설정'!$B$7))*'01_설정'!$B$16+MAX(0,(1-Q367/'01_설정'!$B$8))*'01_설정'!$B$17+L367*'01_설정'!$B$11+M367*'01_설정'!$B$12+N367*50)</f>
        <v/>
      </c>
      <c r="T367">
        <f>IF(S367="","",1+COUNTIFS($S$31:$S$1030,"&gt;"&amp;S367)+COUNTIFS($S$31:S367,S367)-1)</f>
        <v/>
      </c>
    </row>
    <row r="368" hidden="1" ht="16.5" customHeight="1">
      <c r="A368">
        <f>IF(COUNTA('05_KAPA'!$A339:$AO339)=0,"",341)</f>
        <v/>
      </c>
      <c r="B368">
        <f>IF($A368="","",INDEX('05_KAPA'!$B:$B,$A368))</f>
        <v/>
      </c>
      <c r="C368">
        <f>IF($A368="","",INDEX('05_KAPA'!$F:$F,$A368))</f>
        <v/>
      </c>
      <c r="D368">
        <f>IF($A368="","",INDEX('05_KAPA'!$H:$H,$A368))</f>
        <v/>
      </c>
      <c r="E368">
        <f>IF($A368="","",INDEX('05_KAPA'!$K:$K,$A368))</f>
        <v/>
      </c>
      <c r="F368">
        <f>IF($A368="","",INDEX('05_KAPA'!$L:$L,$A368))</f>
        <v/>
      </c>
      <c r="G368">
        <f>IF($A368="","",INDEX('05_KAPA'!$I:$I,$A368))</f>
        <v/>
      </c>
      <c r="H368" s="202">
        <f>IF($A368="","",INDEX('05_KAPA'!$P:$P,$A368))</f>
        <v/>
      </c>
      <c r="I368" s="118">
        <f>IF($A368="","",INDEX('05_KAPA'!$O:$O,$A368))</f>
        <v/>
      </c>
      <c r="J368" s="202">
        <f>IF($A368="","",IFERROR(DATE(LEFT(TEXT(INDEX('05_KAPA'!$T:$T,$A368),"0"),4),MID(TEXT(INDEX('05_KAPA'!$T:$T,$A368),"0"),5,2),RIGHT(TEXT(INDEX('05_KAPA'!$T:$T,$A368),"0"),2)),""))</f>
        <v/>
      </c>
      <c r="K368">
        <f>IF(C368="","",IF('02_대상물건입력'!$B$5="",1,IF(ISNUMBER(SEARCH('02_대상물건입력'!$B$5,C368)),1,0)))</f>
        <v/>
      </c>
      <c r="L368">
        <f>IF(C368="","",IF('02_대상물건입력'!$B$6="",1,IF(ISNUMBER(SEARCH('02_대상물건입력'!$B$6,C368)),1,0)))</f>
        <v/>
      </c>
      <c r="M368">
        <f>IF(E368="","",IF('02_대상물건입력'!$B$8="",0,IF(ISNUMBER(SEARCH('02_대상물건입력'!$B$8,E368)),1,0)))</f>
        <v/>
      </c>
      <c r="N368">
        <f>IF(B368="","",IF(B368="담보",1,0))</f>
        <v/>
      </c>
      <c r="O368">
        <f>IFERROR(ABS(G368-'02_대상물건입력'!$B$11)/'02_대상물건입력'!$B$11,"")</f>
        <v/>
      </c>
      <c r="P368">
        <f>IFERROR(ABS('01_설정'!$B$4-H368),"")</f>
        <v/>
      </c>
      <c r="Q368">
        <f>IFERROR(ABS(YEAR(J368)-YEAR('02_대상물건입력'!$B$14)),"")</f>
        <v/>
      </c>
      <c r="R368">
        <f>IF(AND(G368&gt;0,H368&gt;0,I368&gt;0,N368=1,IF('01_설정'!$B$10=1,K368=1,TRUE()),O368&lt;='01_설정'!$B$5,P368&lt;='01_설정'!$B$7,Q368&lt;='01_설정'!$B$8),"Y","")</f>
        <v/>
      </c>
      <c r="S368">
        <f>IF(R368&lt;&gt;"Y","",MAX(0,(1-O368/'01_설정'!$B$5))*'01_설정'!$B$14+MAX(0,(1-P368/'01_설정'!$B$7))*'01_설정'!$B$16+MAX(0,(1-Q368/'01_설정'!$B$8))*'01_설정'!$B$17+L368*'01_설정'!$B$11+M368*'01_설정'!$B$12+N368*50)</f>
        <v/>
      </c>
      <c r="T368">
        <f>IF(S368="","",1+COUNTIFS($S$31:$S$1030,"&gt;"&amp;S368)+COUNTIFS($S$31:S368,S368)-1)</f>
        <v/>
      </c>
    </row>
    <row r="369" hidden="1" ht="16.5" customHeight="1">
      <c r="A369">
        <f>IF(COUNTA('05_KAPA'!$A340:$AO340)=0,"",342)</f>
        <v/>
      </c>
      <c r="B369">
        <f>IF($A369="","",INDEX('05_KAPA'!$B:$B,$A369))</f>
        <v/>
      </c>
      <c r="C369">
        <f>IF($A369="","",INDEX('05_KAPA'!$F:$F,$A369))</f>
        <v/>
      </c>
      <c r="D369">
        <f>IF($A369="","",INDEX('05_KAPA'!$H:$H,$A369))</f>
        <v/>
      </c>
      <c r="E369">
        <f>IF($A369="","",INDEX('05_KAPA'!$K:$K,$A369))</f>
        <v/>
      </c>
      <c r="F369">
        <f>IF($A369="","",INDEX('05_KAPA'!$L:$L,$A369))</f>
        <v/>
      </c>
      <c r="G369">
        <f>IF($A369="","",INDEX('05_KAPA'!$I:$I,$A369))</f>
        <v/>
      </c>
      <c r="H369" s="202">
        <f>IF($A369="","",INDEX('05_KAPA'!$P:$P,$A369))</f>
        <v/>
      </c>
      <c r="I369" s="118">
        <f>IF($A369="","",INDEX('05_KAPA'!$O:$O,$A369))</f>
        <v/>
      </c>
      <c r="J369" s="202">
        <f>IF($A369="","",IFERROR(DATE(LEFT(TEXT(INDEX('05_KAPA'!$T:$T,$A369),"0"),4),MID(TEXT(INDEX('05_KAPA'!$T:$T,$A369),"0"),5,2),RIGHT(TEXT(INDEX('05_KAPA'!$T:$T,$A369),"0"),2)),""))</f>
        <v/>
      </c>
      <c r="K369">
        <f>IF(C369="","",IF('02_대상물건입력'!$B$5="",1,IF(ISNUMBER(SEARCH('02_대상물건입력'!$B$5,C369)),1,0)))</f>
        <v/>
      </c>
      <c r="L369">
        <f>IF(C369="","",IF('02_대상물건입력'!$B$6="",1,IF(ISNUMBER(SEARCH('02_대상물건입력'!$B$6,C369)),1,0)))</f>
        <v/>
      </c>
      <c r="M369">
        <f>IF(E369="","",IF('02_대상물건입력'!$B$8="",0,IF(ISNUMBER(SEARCH('02_대상물건입력'!$B$8,E369)),1,0)))</f>
        <v/>
      </c>
      <c r="N369">
        <f>IF(B369="","",IF(B369="담보",1,0))</f>
        <v/>
      </c>
      <c r="O369">
        <f>IFERROR(ABS(G369-'02_대상물건입력'!$B$11)/'02_대상물건입력'!$B$11,"")</f>
        <v/>
      </c>
      <c r="P369">
        <f>IFERROR(ABS('01_설정'!$B$4-H369),"")</f>
        <v/>
      </c>
      <c r="Q369">
        <f>IFERROR(ABS(YEAR(J369)-YEAR('02_대상물건입력'!$B$14)),"")</f>
        <v/>
      </c>
      <c r="R369">
        <f>IF(AND(G369&gt;0,H369&gt;0,I369&gt;0,N369=1,IF('01_설정'!$B$10=1,K369=1,TRUE()),O369&lt;='01_설정'!$B$5,P369&lt;='01_설정'!$B$7,Q369&lt;='01_설정'!$B$8),"Y","")</f>
        <v/>
      </c>
      <c r="S369">
        <f>IF(R369&lt;&gt;"Y","",MAX(0,(1-O369/'01_설정'!$B$5))*'01_설정'!$B$14+MAX(0,(1-P369/'01_설정'!$B$7))*'01_설정'!$B$16+MAX(0,(1-Q369/'01_설정'!$B$8))*'01_설정'!$B$17+L369*'01_설정'!$B$11+M369*'01_설정'!$B$12+N369*50)</f>
        <v/>
      </c>
      <c r="T369">
        <f>IF(S369="","",1+COUNTIFS($S$31:$S$1030,"&gt;"&amp;S369)+COUNTIFS($S$31:S369,S369)-1)</f>
        <v/>
      </c>
    </row>
    <row r="370" hidden="1" ht="16.5" customHeight="1">
      <c r="A370">
        <f>IF(COUNTA('05_KAPA'!$A341:$AO341)=0,"",343)</f>
        <v/>
      </c>
      <c r="B370">
        <f>IF($A370="","",INDEX('05_KAPA'!$B:$B,$A370))</f>
        <v/>
      </c>
      <c r="C370">
        <f>IF($A370="","",INDEX('05_KAPA'!$F:$F,$A370))</f>
        <v/>
      </c>
      <c r="D370">
        <f>IF($A370="","",INDEX('05_KAPA'!$H:$H,$A370))</f>
        <v/>
      </c>
      <c r="E370">
        <f>IF($A370="","",INDEX('05_KAPA'!$K:$K,$A370))</f>
        <v/>
      </c>
      <c r="F370">
        <f>IF($A370="","",INDEX('05_KAPA'!$L:$L,$A370))</f>
        <v/>
      </c>
      <c r="G370">
        <f>IF($A370="","",INDEX('05_KAPA'!$I:$I,$A370))</f>
        <v/>
      </c>
      <c r="H370" s="202">
        <f>IF($A370="","",INDEX('05_KAPA'!$P:$P,$A370))</f>
        <v/>
      </c>
      <c r="I370" s="118">
        <f>IF($A370="","",INDEX('05_KAPA'!$O:$O,$A370))</f>
        <v/>
      </c>
      <c r="J370" s="202">
        <f>IF($A370="","",IFERROR(DATE(LEFT(TEXT(INDEX('05_KAPA'!$T:$T,$A370),"0"),4),MID(TEXT(INDEX('05_KAPA'!$T:$T,$A370),"0"),5,2),RIGHT(TEXT(INDEX('05_KAPA'!$T:$T,$A370),"0"),2)),""))</f>
        <v/>
      </c>
      <c r="K370">
        <f>IF(C370="","",IF('02_대상물건입력'!$B$5="",1,IF(ISNUMBER(SEARCH('02_대상물건입력'!$B$5,C370)),1,0)))</f>
        <v/>
      </c>
      <c r="L370">
        <f>IF(C370="","",IF('02_대상물건입력'!$B$6="",1,IF(ISNUMBER(SEARCH('02_대상물건입력'!$B$6,C370)),1,0)))</f>
        <v/>
      </c>
      <c r="M370">
        <f>IF(E370="","",IF('02_대상물건입력'!$B$8="",0,IF(ISNUMBER(SEARCH('02_대상물건입력'!$B$8,E370)),1,0)))</f>
        <v/>
      </c>
      <c r="N370">
        <f>IF(B370="","",IF(B370="담보",1,0))</f>
        <v/>
      </c>
      <c r="O370">
        <f>IFERROR(ABS(G370-'02_대상물건입력'!$B$11)/'02_대상물건입력'!$B$11,"")</f>
        <v/>
      </c>
      <c r="P370">
        <f>IFERROR(ABS('01_설정'!$B$4-H370),"")</f>
        <v/>
      </c>
      <c r="Q370">
        <f>IFERROR(ABS(YEAR(J370)-YEAR('02_대상물건입력'!$B$14)),"")</f>
        <v/>
      </c>
      <c r="R370">
        <f>IF(AND(G370&gt;0,H370&gt;0,I370&gt;0,N370=1,IF('01_설정'!$B$10=1,K370=1,TRUE()),O370&lt;='01_설정'!$B$5,P370&lt;='01_설정'!$B$7,Q370&lt;='01_설정'!$B$8),"Y","")</f>
        <v/>
      </c>
      <c r="S370">
        <f>IF(R370&lt;&gt;"Y","",MAX(0,(1-O370/'01_설정'!$B$5))*'01_설정'!$B$14+MAX(0,(1-P370/'01_설정'!$B$7))*'01_설정'!$B$16+MAX(0,(1-Q370/'01_설정'!$B$8))*'01_설정'!$B$17+L370*'01_설정'!$B$11+M370*'01_설정'!$B$12+N370*50)</f>
        <v/>
      </c>
      <c r="T370">
        <f>IF(S370="","",1+COUNTIFS($S$31:$S$1030,"&gt;"&amp;S370)+COUNTIFS($S$31:S370,S370)-1)</f>
        <v/>
      </c>
    </row>
    <row r="371" hidden="1" ht="16.5" customHeight="1">
      <c r="A371">
        <f>IF(COUNTA('05_KAPA'!$A342:$AO342)=0,"",344)</f>
        <v/>
      </c>
      <c r="B371">
        <f>IF($A371="","",INDEX('05_KAPA'!$B:$B,$A371))</f>
        <v/>
      </c>
      <c r="C371">
        <f>IF($A371="","",INDEX('05_KAPA'!$F:$F,$A371))</f>
        <v/>
      </c>
      <c r="D371">
        <f>IF($A371="","",INDEX('05_KAPA'!$H:$H,$A371))</f>
        <v/>
      </c>
      <c r="E371">
        <f>IF($A371="","",INDEX('05_KAPA'!$K:$K,$A371))</f>
        <v/>
      </c>
      <c r="F371">
        <f>IF($A371="","",INDEX('05_KAPA'!$L:$L,$A371))</f>
        <v/>
      </c>
      <c r="G371">
        <f>IF($A371="","",INDEX('05_KAPA'!$I:$I,$A371))</f>
        <v/>
      </c>
      <c r="H371" s="202">
        <f>IF($A371="","",INDEX('05_KAPA'!$P:$P,$A371))</f>
        <v/>
      </c>
      <c r="I371" s="118">
        <f>IF($A371="","",INDEX('05_KAPA'!$O:$O,$A371))</f>
        <v/>
      </c>
      <c r="J371" s="202">
        <f>IF($A371="","",IFERROR(DATE(LEFT(TEXT(INDEX('05_KAPA'!$T:$T,$A371),"0"),4),MID(TEXT(INDEX('05_KAPA'!$T:$T,$A371),"0"),5,2),RIGHT(TEXT(INDEX('05_KAPA'!$T:$T,$A371),"0"),2)),""))</f>
        <v/>
      </c>
      <c r="K371">
        <f>IF(C371="","",IF('02_대상물건입력'!$B$5="",1,IF(ISNUMBER(SEARCH('02_대상물건입력'!$B$5,C371)),1,0)))</f>
        <v/>
      </c>
      <c r="L371">
        <f>IF(C371="","",IF('02_대상물건입력'!$B$6="",1,IF(ISNUMBER(SEARCH('02_대상물건입력'!$B$6,C371)),1,0)))</f>
        <v/>
      </c>
      <c r="M371">
        <f>IF(E371="","",IF('02_대상물건입력'!$B$8="",0,IF(ISNUMBER(SEARCH('02_대상물건입력'!$B$8,E371)),1,0)))</f>
        <v/>
      </c>
      <c r="N371">
        <f>IF(B371="","",IF(B371="담보",1,0))</f>
        <v/>
      </c>
      <c r="O371">
        <f>IFERROR(ABS(G371-'02_대상물건입력'!$B$11)/'02_대상물건입력'!$B$11,"")</f>
        <v/>
      </c>
      <c r="P371">
        <f>IFERROR(ABS('01_설정'!$B$4-H371),"")</f>
        <v/>
      </c>
      <c r="Q371">
        <f>IFERROR(ABS(YEAR(J371)-YEAR('02_대상물건입력'!$B$14)),"")</f>
        <v/>
      </c>
      <c r="R371">
        <f>IF(AND(G371&gt;0,H371&gt;0,I371&gt;0,N371=1,IF('01_설정'!$B$10=1,K371=1,TRUE()),O371&lt;='01_설정'!$B$5,P371&lt;='01_설정'!$B$7,Q371&lt;='01_설정'!$B$8),"Y","")</f>
        <v/>
      </c>
      <c r="S371">
        <f>IF(R371&lt;&gt;"Y","",MAX(0,(1-O371/'01_설정'!$B$5))*'01_설정'!$B$14+MAX(0,(1-P371/'01_설정'!$B$7))*'01_설정'!$B$16+MAX(0,(1-Q371/'01_설정'!$B$8))*'01_설정'!$B$17+L371*'01_설정'!$B$11+M371*'01_설정'!$B$12+N371*50)</f>
        <v/>
      </c>
      <c r="T371">
        <f>IF(S371="","",1+COUNTIFS($S$31:$S$1030,"&gt;"&amp;S371)+COUNTIFS($S$31:S371,S371)-1)</f>
        <v/>
      </c>
    </row>
    <row r="372" hidden="1" ht="16.5" customHeight="1">
      <c r="A372">
        <f>IF(COUNTA('05_KAPA'!$A343:$AO343)=0,"",345)</f>
        <v/>
      </c>
      <c r="B372">
        <f>IF($A372="","",INDEX('05_KAPA'!$B:$B,$A372))</f>
        <v/>
      </c>
      <c r="C372">
        <f>IF($A372="","",INDEX('05_KAPA'!$F:$F,$A372))</f>
        <v/>
      </c>
      <c r="D372">
        <f>IF($A372="","",INDEX('05_KAPA'!$H:$H,$A372))</f>
        <v/>
      </c>
      <c r="E372">
        <f>IF($A372="","",INDEX('05_KAPA'!$K:$K,$A372))</f>
        <v/>
      </c>
      <c r="F372">
        <f>IF($A372="","",INDEX('05_KAPA'!$L:$L,$A372))</f>
        <v/>
      </c>
      <c r="G372">
        <f>IF($A372="","",INDEX('05_KAPA'!$I:$I,$A372))</f>
        <v/>
      </c>
      <c r="H372" s="202">
        <f>IF($A372="","",INDEX('05_KAPA'!$P:$P,$A372))</f>
        <v/>
      </c>
      <c r="I372" s="118">
        <f>IF($A372="","",INDEX('05_KAPA'!$O:$O,$A372))</f>
        <v/>
      </c>
      <c r="J372" s="202">
        <f>IF($A372="","",IFERROR(DATE(LEFT(TEXT(INDEX('05_KAPA'!$T:$T,$A372),"0"),4),MID(TEXT(INDEX('05_KAPA'!$T:$T,$A372),"0"),5,2),RIGHT(TEXT(INDEX('05_KAPA'!$T:$T,$A372),"0"),2)),""))</f>
        <v/>
      </c>
      <c r="K372">
        <f>IF(C372="","",IF('02_대상물건입력'!$B$5="",1,IF(ISNUMBER(SEARCH('02_대상물건입력'!$B$5,C372)),1,0)))</f>
        <v/>
      </c>
      <c r="L372">
        <f>IF(C372="","",IF('02_대상물건입력'!$B$6="",1,IF(ISNUMBER(SEARCH('02_대상물건입력'!$B$6,C372)),1,0)))</f>
        <v/>
      </c>
      <c r="M372">
        <f>IF(E372="","",IF('02_대상물건입력'!$B$8="",0,IF(ISNUMBER(SEARCH('02_대상물건입력'!$B$8,E372)),1,0)))</f>
        <v/>
      </c>
      <c r="N372">
        <f>IF(B372="","",IF(B372="담보",1,0))</f>
        <v/>
      </c>
      <c r="O372">
        <f>IFERROR(ABS(G372-'02_대상물건입력'!$B$11)/'02_대상물건입력'!$B$11,"")</f>
        <v/>
      </c>
      <c r="P372">
        <f>IFERROR(ABS('01_설정'!$B$4-H372),"")</f>
        <v/>
      </c>
      <c r="Q372">
        <f>IFERROR(ABS(YEAR(J372)-YEAR('02_대상물건입력'!$B$14)),"")</f>
        <v/>
      </c>
      <c r="R372">
        <f>IF(AND(G372&gt;0,H372&gt;0,I372&gt;0,N372=1,IF('01_설정'!$B$10=1,K372=1,TRUE()),O372&lt;='01_설정'!$B$5,P372&lt;='01_설정'!$B$7,Q372&lt;='01_설정'!$B$8),"Y","")</f>
        <v/>
      </c>
      <c r="S372">
        <f>IF(R372&lt;&gt;"Y","",MAX(0,(1-O372/'01_설정'!$B$5))*'01_설정'!$B$14+MAX(0,(1-P372/'01_설정'!$B$7))*'01_설정'!$B$16+MAX(0,(1-Q372/'01_설정'!$B$8))*'01_설정'!$B$17+L372*'01_설정'!$B$11+M372*'01_설정'!$B$12+N372*50)</f>
        <v/>
      </c>
      <c r="T372">
        <f>IF(S372="","",1+COUNTIFS($S$31:$S$1030,"&gt;"&amp;S372)+COUNTIFS($S$31:S372,S372)-1)</f>
        <v/>
      </c>
    </row>
    <row r="373" hidden="1" ht="16.5" customHeight="1">
      <c r="A373">
        <f>IF(COUNTA('05_KAPA'!$A344:$AO344)=0,"",346)</f>
        <v/>
      </c>
      <c r="B373">
        <f>IF($A373="","",INDEX('05_KAPA'!$B:$B,$A373))</f>
        <v/>
      </c>
      <c r="C373">
        <f>IF($A373="","",INDEX('05_KAPA'!$F:$F,$A373))</f>
        <v/>
      </c>
      <c r="D373">
        <f>IF($A373="","",INDEX('05_KAPA'!$H:$H,$A373))</f>
        <v/>
      </c>
      <c r="E373">
        <f>IF($A373="","",INDEX('05_KAPA'!$K:$K,$A373))</f>
        <v/>
      </c>
      <c r="F373">
        <f>IF($A373="","",INDEX('05_KAPA'!$L:$L,$A373))</f>
        <v/>
      </c>
      <c r="G373">
        <f>IF($A373="","",INDEX('05_KAPA'!$I:$I,$A373))</f>
        <v/>
      </c>
      <c r="H373" s="202">
        <f>IF($A373="","",INDEX('05_KAPA'!$P:$P,$A373))</f>
        <v/>
      </c>
      <c r="I373" s="118">
        <f>IF($A373="","",INDEX('05_KAPA'!$O:$O,$A373))</f>
        <v/>
      </c>
      <c r="J373" s="202">
        <f>IF($A373="","",IFERROR(DATE(LEFT(TEXT(INDEX('05_KAPA'!$T:$T,$A373),"0"),4),MID(TEXT(INDEX('05_KAPA'!$T:$T,$A373),"0"),5,2),RIGHT(TEXT(INDEX('05_KAPA'!$T:$T,$A373),"0"),2)),""))</f>
        <v/>
      </c>
      <c r="K373">
        <f>IF(C373="","",IF('02_대상물건입력'!$B$5="",1,IF(ISNUMBER(SEARCH('02_대상물건입력'!$B$5,C373)),1,0)))</f>
        <v/>
      </c>
      <c r="L373">
        <f>IF(C373="","",IF('02_대상물건입력'!$B$6="",1,IF(ISNUMBER(SEARCH('02_대상물건입력'!$B$6,C373)),1,0)))</f>
        <v/>
      </c>
      <c r="M373">
        <f>IF(E373="","",IF('02_대상물건입력'!$B$8="",0,IF(ISNUMBER(SEARCH('02_대상물건입력'!$B$8,E373)),1,0)))</f>
        <v/>
      </c>
      <c r="N373">
        <f>IF(B373="","",IF(B373="담보",1,0))</f>
        <v/>
      </c>
      <c r="O373">
        <f>IFERROR(ABS(G373-'02_대상물건입력'!$B$11)/'02_대상물건입력'!$B$11,"")</f>
        <v/>
      </c>
      <c r="P373">
        <f>IFERROR(ABS('01_설정'!$B$4-H373),"")</f>
        <v/>
      </c>
      <c r="Q373">
        <f>IFERROR(ABS(YEAR(J373)-YEAR('02_대상물건입력'!$B$14)),"")</f>
        <v/>
      </c>
      <c r="R373">
        <f>IF(AND(G373&gt;0,H373&gt;0,I373&gt;0,N373=1,IF('01_설정'!$B$10=1,K373=1,TRUE()),O373&lt;='01_설정'!$B$5,P373&lt;='01_설정'!$B$7,Q373&lt;='01_설정'!$B$8),"Y","")</f>
        <v/>
      </c>
      <c r="S373">
        <f>IF(R373&lt;&gt;"Y","",MAX(0,(1-O373/'01_설정'!$B$5))*'01_설정'!$B$14+MAX(0,(1-P373/'01_설정'!$B$7))*'01_설정'!$B$16+MAX(0,(1-Q373/'01_설정'!$B$8))*'01_설정'!$B$17+L373*'01_설정'!$B$11+M373*'01_설정'!$B$12+N373*50)</f>
        <v/>
      </c>
      <c r="T373">
        <f>IF(S373="","",1+COUNTIFS($S$31:$S$1030,"&gt;"&amp;S373)+COUNTIFS($S$31:S373,S373)-1)</f>
        <v/>
      </c>
    </row>
    <row r="374" hidden="1" ht="16.5" customHeight="1">
      <c r="A374">
        <f>IF(COUNTA('05_KAPA'!$A345:$AO345)=0,"",347)</f>
        <v/>
      </c>
      <c r="B374">
        <f>IF($A374="","",INDEX('05_KAPA'!$B:$B,$A374))</f>
        <v/>
      </c>
      <c r="C374">
        <f>IF($A374="","",INDEX('05_KAPA'!$F:$F,$A374))</f>
        <v/>
      </c>
      <c r="D374">
        <f>IF($A374="","",INDEX('05_KAPA'!$H:$H,$A374))</f>
        <v/>
      </c>
      <c r="E374">
        <f>IF($A374="","",INDEX('05_KAPA'!$K:$K,$A374))</f>
        <v/>
      </c>
      <c r="F374">
        <f>IF($A374="","",INDEX('05_KAPA'!$L:$L,$A374))</f>
        <v/>
      </c>
      <c r="G374">
        <f>IF($A374="","",INDEX('05_KAPA'!$I:$I,$A374))</f>
        <v/>
      </c>
      <c r="H374" s="202">
        <f>IF($A374="","",INDEX('05_KAPA'!$P:$P,$A374))</f>
        <v/>
      </c>
      <c r="I374" s="118">
        <f>IF($A374="","",INDEX('05_KAPA'!$O:$O,$A374))</f>
        <v/>
      </c>
      <c r="J374" s="202">
        <f>IF($A374="","",IFERROR(DATE(LEFT(TEXT(INDEX('05_KAPA'!$T:$T,$A374),"0"),4),MID(TEXT(INDEX('05_KAPA'!$T:$T,$A374),"0"),5,2),RIGHT(TEXT(INDEX('05_KAPA'!$T:$T,$A374),"0"),2)),""))</f>
        <v/>
      </c>
      <c r="K374">
        <f>IF(C374="","",IF('02_대상물건입력'!$B$5="",1,IF(ISNUMBER(SEARCH('02_대상물건입력'!$B$5,C374)),1,0)))</f>
        <v/>
      </c>
      <c r="L374">
        <f>IF(C374="","",IF('02_대상물건입력'!$B$6="",1,IF(ISNUMBER(SEARCH('02_대상물건입력'!$B$6,C374)),1,0)))</f>
        <v/>
      </c>
      <c r="M374">
        <f>IF(E374="","",IF('02_대상물건입력'!$B$8="",0,IF(ISNUMBER(SEARCH('02_대상물건입력'!$B$8,E374)),1,0)))</f>
        <v/>
      </c>
      <c r="N374">
        <f>IF(B374="","",IF(B374="담보",1,0))</f>
        <v/>
      </c>
      <c r="O374">
        <f>IFERROR(ABS(G374-'02_대상물건입력'!$B$11)/'02_대상물건입력'!$B$11,"")</f>
        <v/>
      </c>
      <c r="P374">
        <f>IFERROR(ABS('01_설정'!$B$4-H374),"")</f>
        <v/>
      </c>
      <c r="Q374">
        <f>IFERROR(ABS(YEAR(J374)-YEAR('02_대상물건입력'!$B$14)),"")</f>
        <v/>
      </c>
      <c r="R374">
        <f>IF(AND(G374&gt;0,H374&gt;0,I374&gt;0,N374=1,IF('01_설정'!$B$10=1,K374=1,TRUE()),O374&lt;='01_설정'!$B$5,P374&lt;='01_설정'!$B$7,Q374&lt;='01_설정'!$B$8),"Y","")</f>
        <v/>
      </c>
      <c r="S374">
        <f>IF(R374&lt;&gt;"Y","",MAX(0,(1-O374/'01_설정'!$B$5))*'01_설정'!$B$14+MAX(0,(1-P374/'01_설정'!$B$7))*'01_설정'!$B$16+MAX(0,(1-Q374/'01_설정'!$B$8))*'01_설정'!$B$17+L374*'01_설정'!$B$11+M374*'01_설정'!$B$12+N374*50)</f>
        <v/>
      </c>
      <c r="T374">
        <f>IF(S374="","",1+COUNTIFS($S$31:$S$1030,"&gt;"&amp;S374)+COUNTIFS($S$31:S374,S374)-1)</f>
        <v/>
      </c>
    </row>
    <row r="375" hidden="1" ht="16.5" customHeight="1">
      <c r="A375">
        <f>IF(COUNTA('05_KAPA'!$A346:$AO346)=0,"",348)</f>
        <v/>
      </c>
      <c r="B375">
        <f>IF($A375="","",INDEX('05_KAPA'!$B:$B,$A375))</f>
        <v/>
      </c>
      <c r="C375">
        <f>IF($A375="","",INDEX('05_KAPA'!$F:$F,$A375))</f>
        <v/>
      </c>
      <c r="D375">
        <f>IF($A375="","",INDEX('05_KAPA'!$H:$H,$A375))</f>
        <v/>
      </c>
      <c r="E375">
        <f>IF($A375="","",INDEX('05_KAPA'!$K:$K,$A375))</f>
        <v/>
      </c>
      <c r="F375">
        <f>IF($A375="","",INDEX('05_KAPA'!$L:$L,$A375))</f>
        <v/>
      </c>
      <c r="G375">
        <f>IF($A375="","",INDEX('05_KAPA'!$I:$I,$A375))</f>
        <v/>
      </c>
      <c r="H375" s="202">
        <f>IF($A375="","",INDEX('05_KAPA'!$P:$P,$A375))</f>
        <v/>
      </c>
      <c r="I375" s="118">
        <f>IF($A375="","",INDEX('05_KAPA'!$O:$O,$A375))</f>
        <v/>
      </c>
      <c r="J375" s="202">
        <f>IF($A375="","",IFERROR(DATE(LEFT(TEXT(INDEX('05_KAPA'!$T:$T,$A375),"0"),4),MID(TEXT(INDEX('05_KAPA'!$T:$T,$A375),"0"),5,2),RIGHT(TEXT(INDEX('05_KAPA'!$T:$T,$A375),"0"),2)),""))</f>
        <v/>
      </c>
      <c r="K375">
        <f>IF(C375="","",IF('02_대상물건입력'!$B$5="",1,IF(ISNUMBER(SEARCH('02_대상물건입력'!$B$5,C375)),1,0)))</f>
        <v/>
      </c>
      <c r="L375">
        <f>IF(C375="","",IF('02_대상물건입력'!$B$6="",1,IF(ISNUMBER(SEARCH('02_대상물건입력'!$B$6,C375)),1,0)))</f>
        <v/>
      </c>
      <c r="M375">
        <f>IF(E375="","",IF('02_대상물건입력'!$B$8="",0,IF(ISNUMBER(SEARCH('02_대상물건입력'!$B$8,E375)),1,0)))</f>
        <v/>
      </c>
      <c r="N375">
        <f>IF(B375="","",IF(B375="담보",1,0))</f>
        <v/>
      </c>
      <c r="O375">
        <f>IFERROR(ABS(G375-'02_대상물건입력'!$B$11)/'02_대상물건입력'!$B$11,"")</f>
        <v/>
      </c>
      <c r="P375">
        <f>IFERROR(ABS('01_설정'!$B$4-H375),"")</f>
        <v/>
      </c>
      <c r="Q375">
        <f>IFERROR(ABS(YEAR(J375)-YEAR('02_대상물건입력'!$B$14)),"")</f>
        <v/>
      </c>
      <c r="R375">
        <f>IF(AND(G375&gt;0,H375&gt;0,I375&gt;0,N375=1,IF('01_설정'!$B$10=1,K375=1,TRUE()),O375&lt;='01_설정'!$B$5,P375&lt;='01_설정'!$B$7,Q375&lt;='01_설정'!$B$8),"Y","")</f>
        <v/>
      </c>
      <c r="S375">
        <f>IF(R375&lt;&gt;"Y","",MAX(0,(1-O375/'01_설정'!$B$5))*'01_설정'!$B$14+MAX(0,(1-P375/'01_설정'!$B$7))*'01_설정'!$B$16+MAX(0,(1-Q375/'01_설정'!$B$8))*'01_설정'!$B$17+L375*'01_설정'!$B$11+M375*'01_설정'!$B$12+N375*50)</f>
        <v/>
      </c>
      <c r="T375">
        <f>IF(S375="","",1+COUNTIFS($S$31:$S$1030,"&gt;"&amp;S375)+COUNTIFS($S$31:S375,S375)-1)</f>
        <v/>
      </c>
    </row>
    <row r="376" hidden="1" ht="16.5" customHeight="1">
      <c r="A376">
        <f>IF(COUNTA('05_KAPA'!$A347:$AO347)=0,"",349)</f>
        <v/>
      </c>
      <c r="B376">
        <f>IF($A376="","",INDEX('05_KAPA'!$B:$B,$A376))</f>
        <v/>
      </c>
      <c r="C376">
        <f>IF($A376="","",INDEX('05_KAPA'!$F:$F,$A376))</f>
        <v/>
      </c>
      <c r="D376">
        <f>IF($A376="","",INDEX('05_KAPA'!$H:$H,$A376))</f>
        <v/>
      </c>
      <c r="E376">
        <f>IF($A376="","",INDEX('05_KAPA'!$K:$K,$A376))</f>
        <v/>
      </c>
      <c r="F376">
        <f>IF($A376="","",INDEX('05_KAPA'!$L:$L,$A376))</f>
        <v/>
      </c>
      <c r="G376">
        <f>IF($A376="","",INDEX('05_KAPA'!$I:$I,$A376))</f>
        <v/>
      </c>
      <c r="H376" s="202">
        <f>IF($A376="","",INDEX('05_KAPA'!$P:$P,$A376))</f>
        <v/>
      </c>
      <c r="I376" s="118">
        <f>IF($A376="","",INDEX('05_KAPA'!$O:$O,$A376))</f>
        <v/>
      </c>
      <c r="J376" s="202">
        <f>IF($A376="","",IFERROR(DATE(LEFT(TEXT(INDEX('05_KAPA'!$T:$T,$A376),"0"),4),MID(TEXT(INDEX('05_KAPA'!$T:$T,$A376),"0"),5,2),RIGHT(TEXT(INDEX('05_KAPA'!$T:$T,$A376),"0"),2)),""))</f>
        <v/>
      </c>
      <c r="K376">
        <f>IF(C376="","",IF('02_대상물건입력'!$B$5="",1,IF(ISNUMBER(SEARCH('02_대상물건입력'!$B$5,C376)),1,0)))</f>
        <v/>
      </c>
      <c r="L376">
        <f>IF(C376="","",IF('02_대상물건입력'!$B$6="",1,IF(ISNUMBER(SEARCH('02_대상물건입력'!$B$6,C376)),1,0)))</f>
        <v/>
      </c>
      <c r="M376">
        <f>IF(E376="","",IF('02_대상물건입력'!$B$8="",0,IF(ISNUMBER(SEARCH('02_대상물건입력'!$B$8,E376)),1,0)))</f>
        <v/>
      </c>
      <c r="N376">
        <f>IF(B376="","",IF(B376="담보",1,0))</f>
        <v/>
      </c>
      <c r="O376">
        <f>IFERROR(ABS(G376-'02_대상물건입력'!$B$11)/'02_대상물건입력'!$B$11,"")</f>
        <v/>
      </c>
      <c r="P376">
        <f>IFERROR(ABS('01_설정'!$B$4-H376),"")</f>
        <v/>
      </c>
      <c r="Q376">
        <f>IFERROR(ABS(YEAR(J376)-YEAR('02_대상물건입력'!$B$14)),"")</f>
        <v/>
      </c>
      <c r="R376">
        <f>IF(AND(G376&gt;0,H376&gt;0,I376&gt;0,N376=1,IF('01_설정'!$B$10=1,K376=1,TRUE()),O376&lt;='01_설정'!$B$5,P376&lt;='01_설정'!$B$7,Q376&lt;='01_설정'!$B$8),"Y","")</f>
        <v/>
      </c>
      <c r="S376">
        <f>IF(R376&lt;&gt;"Y","",MAX(0,(1-O376/'01_설정'!$B$5))*'01_설정'!$B$14+MAX(0,(1-P376/'01_설정'!$B$7))*'01_설정'!$B$16+MAX(0,(1-Q376/'01_설정'!$B$8))*'01_설정'!$B$17+L376*'01_설정'!$B$11+M376*'01_설정'!$B$12+N376*50)</f>
        <v/>
      </c>
      <c r="T376">
        <f>IF(S376="","",1+COUNTIFS($S$31:$S$1030,"&gt;"&amp;S376)+COUNTIFS($S$31:S376,S376)-1)</f>
        <v/>
      </c>
    </row>
    <row r="377" hidden="1" ht="16.5" customHeight="1">
      <c r="A377">
        <f>IF(COUNTA('05_KAPA'!$A348:$AO348)=0,"",350)</f>
        <v/>
      </c>
      <c r="B377">
        <f>IF($A377="","",INDEX('05_KAPA'!$B:$B,$A377))</f>
        <v/>
      </c>
      <c r="C377">
        <f>IF($A377="","",INDEX('05_KAPA'!$F:$F,$A377))</f>
        <v/>
      </c>
      <c r="D377">
        <f>IF($A377="","",INDEX('05_KAPA'!$H:$H,$A377))</f>
        <v/>
      </c>
      <c r="E377">
        <f>IF($A377="","",INDEX('05_KAPA'!$K:$K,$A377))</f>
        <v/>
      </c>
      <c r="F377">
        <f>IF($A377="","",INDEX('05_KAPA'!$L:$L,$A377))</f>
        <v/>
      </c>
      <c r="G377">
        <f>IF($A377="","",INDEX('05_KAPA'!$I:$I,$A377))</f>
        <v/>
      </c>
      <c r="H377" s="202">
        <f>IF($A377="","",INDEX('05_KAPA'!$P:$P,$A377))</f>
        <v/>
      </c>
      <c r="I377" s="118">
        <f>IF($A377="","",INDEX('05_KAPA'!$O:$O,$A377))</f>
        <v/>
      </c>
      <c r="J377" s="202">
        <f>IF($A377="","",IFERROR(DATE(LEFT(TEXT(INDEX('05_KAPA'!$T:$T,$A377),"0"),4),MID(TEXT(INDEX('05_KAPA'!$T:$T,$A377),"0"),5,2),RIGHT(TEXT(INDEX('05_KAPA'!$T:$T,$A377),"0"),2)),""))</f>
        <v/>
      </c>
      <c r="K377">
        <f>IF(C377="","",IF('02_대상물건입력'!$B$5="",1,IF(ISNUMBER(SEARCH('02_대상물건입력'!$B$5,C377)),1,0)))</f>
        <v/>
      </c>
      <c r="L377">
        <f>IF(C377="","",IF('02_대상물건입력'!$B$6="",1,IF(ISNUMBER(SEARCH('02_대상물건입력'!$B$6,C377)),1,0)))</f>
        <v/>
      </c>
      <c r="M377">
        <f>IF(E377="","",IF('02_대상물건입력'!$B$8="",0,IF(ISNUMBER(SEARCH('02_대상물건입력'!$B$8,E377)),1,0)))</f>
        <v/>
      </c>
      <c r="N377">
        <f>IF(B377="","",IF(B377="담보",1,0))</f>
        <v/>
      </c>
      <c r="O377">
        <f>IFERROR(ABS(G377-'02_대상물건입력'!$B$11)/'02_대상물건입력'!$B$11,"")</f>
        <v/>
      </c>
      <c r="P377">
        <f>IFERROR(ABS('01_설정'!$B$4-H377),"")</f>
        <v/>
      </c>
      <c r="Q377">
        <f>IFERROR(ABS(YEAR(J377)-YEAR('02_대상물건입력'!$B$14)),"")</f>
        <v/>
      </c>
      <c r="R377">
        <f>IF(AND(G377&gt;0,H377&gt;0,I377&gt;0,N377=1,IF('01_설정'!$B$10=1,K377=1,TRUE()),O377&lt;='01_설정'!$B$5,P377&lt;='01_설정'!$B$7,Q377&lt;='01_설정'!$B$8),"Y","")</f>
        <v/>
      </c>
      <c r="S377">
        <f>IF(R377&lt;&gt;"Y","",MAX(0,(1-O377/'01_설정'!$B$5))*'01_설정'!$B$14+MAX(0,(1-P377/'01_설정'!$B$7))*'01_설정'!$B$16+MAX(0,(1-Q377/'01_설정'!$B$8))*'01_설정'!$B$17+L377*'01_설정'!$B$11+M377*'01_설정'!$B$12+N377*50)</f>
        <v/>
      </c>
      <c r="T377">
        <f>IF(S377="","",1+COUNTIFS($S$31:$S$1030,"&gt;"&amp;S377)+COUNTIFS($S$31:S377,S377)-1)</f>
        <v/>
      </c>
    </row>
    <row r="378" hidden="1" ht="16.5" customHeight="1">
      <c r="A378">
        <f>IF(COUNTA('05_KAPA'!$A349:$AO349)=0,"",351)</f>
        <v/>
      </c>
      <c r="B378">
        <f>IF($A378="","",INDEX('05_KAPA'!$B:$B,$A378))</f>
        <v/>
      </c>
      <c r="C378">
        <f>IF($A378="","",INDEX('05_KAPA'!$F:$F,$A378))</f>
        <v/>
      </c>
      <c r="D378">
        <f>IF($A378="","",INDEX('05_KAPA'!$H:$H,$A378))</f>
        <v/>
      </c>
      <c r="E378">
        <f>IF($A378="","",INDEX('05_KAPA'!$K:$K,$A378))</f>
        <v/>
      </c>
      <c r="F378">
        <f>IF($A378="","",INDEX('05_KAPA'!$L:$L,$A378))</f>
        <v/>
      </c>
      <c r="G378">
        <f>IF($A378="","",INDEX('05_KAPA'!$I:$I,$A378))</f>
        <v/>
      </c>
      <c r="H378" s="202">
        <f>IF($A378="","",INDEX('05_KAPA'!$P:$P,$A378))</f>
        <v/>
      </c>
      <c r="I378" s="118">
        <f>IF($A378="","",INDEX('05_KAPA'!$O:$O,$A378))</f>
        <v/>
      </c>
      <c r="J378" s="202">
        <f>IF($A378="","",IFERROR(DATE(LEFT(TEXT(INDEX('05_KAPA'!$T:$T,$A378),"0"),4),MID(TEXT(INDEX('05_KAPA'!$T:$T,$A378),"0"),5,2),RIGHT(TEXT(INDEX('05_KAPA'!$T:$T,$A378),"0"),2)),""))</f>
        <v/>
      </c>
      <c r="K378">
        <f>IF(C378="","",IF('02_대상물건입력'!$B$5="",1,IF(ISNUMBER(SEARCH('02_대상물건입력'!$B$5,C378)),1,0)))</f>
        <v/>
      </c>
      <c r="L378">
        <f>IF(C378="","",IF('02_대상물건입력'!$B$6="",1,IF(ISNUMBER(SEARCH('02_대상물건입력'!$B$6,C378)),1,0)))</f>
        <v/>
      </c>
      <c r="M378">
        <f>IF(E378="","",IF('02_대상물건입력'!$B$8="",0,IF(ISNUMBER(SEARCH('02_대상물건입력'!$B$8,E378)),1,0)))</f>
        <v/>
      </c>
      <c r="N378">
        <f>IF(B378="","",IF(B378="담보",1,0))</f>
        <v/>
      </c>
      <c r="O378">
        <f>IFERROR(ABS(G378-'02_대상물건입력'!$B$11)/'02_대상물건입력'!$B$11,"")</f>
        <v/>
      </c>
      <c r="P378">
        <f>IFERROR(ABS('01_설정'!$B$4-H378),"")</f>
        <v/>
      </c>
      <c r="Q378">
        <f>IFERROR(ABS(YEAR(J378)-YEAR('02_대상물건입력'!$B$14)),"")</f>
        <v/>
      </c>
      <c r="R378">
        <f>IF(AND(G378&gt;0,H378&gt;0,I378&gt;0,N378=1,IF('01_설정'!$B$10=1,K378=1,TRUE()),O378&lt;='01_설정'!$B$5,P378&lt;='01_설정'!$B$7,Q378&lt;='01_설정'!$B$8),"Y","")</f>
        <v/>
      </c>
      <c r="S378">
        <f>IF(R378&lt;&gt;"Y","",MAX(0,(1-O378/'01_설정'!$B$5))*'01_설정'!$B$14+MAX(0,(1-P378/'01_설정'!$B$7))*'01_설정'!$B$16+MAX(0,(1-Q378/'01_설정'!$B$8))*'01_설정'!$B$17+L378*'01_설정'!$B$11+M378*'01_설정'!$B$12+N378*50)</f>
        <v/>
      </c>
      <c r="T378">
        <f>IF(S378="","",1+COUNTIFS($S$31:$S$1030,"&gt;"&amp;S378)+COUNTIFS($S$31:S378,S378)-1)</f>
        <v/>
      </c>
    </row>
    <row r="379" hidden="1" ht="16.5" customHeight="1">
      <c r="A379">
        <f>IF(COUNTA('05_KAPA'!$A350:$AO350)=0,"",352)</f>
        <v/>
      </c>
      <c r="B379">
        <f>IF($A379="","",INDEX('05_KAPA'!$B:$B,$A379))</f>
        <v/>
      </c>
      <c r="C379">
        <f>IF($A379="","",INDEX('05_KAPA'!$F:$F,$A379))</f>
        <v/>
      </c>
      <c r="D379">
        <f>IF($A379="","",INDEX('05_KAPA'!$H:$H,$A379))</f>
        <v/>
      </c>
      <c r="E379">
        <f>IF($A379="","",INDEX('05_KAPA'!$K:$K,$A379))</f>
        <v/>
      </c>
      <c r="F379">
        <f>IF($A379="","",INDEX('05_KAPA'!$L:$L,$A379))</f>
        <v/>
      </c>
      <c r="G379">
        <f>IF($A379="","",INDEX('05_KAPA'!$I:$I,$A379))</f>
        <v/>
      </c>
      <c r="H379" s="202">
        <f>IF($A379="","",INDEX('05_KAPA'!$P:$P,$A379))</f>
        <v/>
      </c>
      <c r="I379" s="118">
        <f>IF($A379="","",INDEX('05_KAPA'!$O:$O,$A379))</f>
        <v/>
      </c>
      <c r="J379" s="202">
        <f>IF($A379="","",IFERROR(DATE(LEFT(TEXT(INDEX('05_KAPA'!$T:$T,$A379),"0"),4),MID(TEXT(INDEX('05_KAPA'!$T:$T,$A379),"0"),5,2),RIGHT(TEXT(INDEX('05_KAPA'!$T:$T,$A379),"0"),2)),""))</f>
        <v/>
      </c>
      <c r="K379">
        <f>IF(C379="","",IF('02_대상물건입력'!$B$5="",1,IF(ISNUMBER(SEARCH('02_대상물건입력'!$B$5,C379)),1,0)))</f>
        <v/>
      </c>
      <c r="L379">
        <f>IF(C379="","",IF('02_대상물건입력'!$B$6="",1,IF(ISNUMBER(SEARCH('02_대상물건입력'!$B$6,C379)),1,0)))</f>
        <v/>
      </c>
      <c r="M379">
        <f>IF(E379="","",IF('02_대상물건입력'!$B$8="",0,IF(ISNUMBER(SEARCH('02_대상물건입력'!$B$8,E379)),1,0)))</f>
        <v/>
      </c>
      <c r="N379">
        <f>IF(B379="","",IF(B379="담보",1,0))</f>
        <v/>
      </c>
      <c r="O379">
        <f>IFERROR(ABS(G379-'02_대상물건입력'!$B$11)/'02_대상물건입력'!$B$11,"")</f>
        <v/>
      </c>
      <c r="P379">
        <f>IFERROR(ABS('01_설정'!$B$4-H379),"")</f>
        <v/>
      </c>
      <c r="Q379">
        <f>IFERROR(ABS(YEAR(J379)-YEAR('02_대상물건입력'!$B$14)),"")</f>
        <v/>
      </c>
      <c r="R379">
        <f>IF(AND(G379&gt;0,H379&gt;0,I379&gt;0,N379=1,IF('01_설정'!$B$10=1,K379=1,TRUE()),O379&lt;='01_설정'!$B$5,P379&lt;='01_설정'!$B$7,Q379&lt;='01_설정'!$B$8),"Y","")</f>
        <v/>
      </c>
      <c r="S379">
        <f>IF(R379&lt;&gt;"Y","",MAX(0,(1-O379/'01_설정'!$B$5))*'01_설정'!$B$14+MAX(0,(1-P379/'01_설정'!$B$7))*'01_설정'!$B$16+MAX(0,(1-Q379/'01_설정'!$B$8))*'01_설정'!$B$17+L379*'01_설정'!$B$11+M379*'01_설정'!$B$12+N379*50)</f>
        <v/>
      </c>
      <c r="T379">
        <f>IF(S379="","",1+COUNTIFS($S$31:$S$1030,"&gt;"&amp;S379)+COUNTIFS($S$31:S379,S379)-1)</f>
        <v/>
      </c>
    </row>
    <row r="380" hidden="1" ht="16.5" customHeight="1">
      <c r="A380">
        <f>IF(COUNTA('05_KAPA'!$A351:$AO351)=0,"",353)</f>
        <v/>
      </c>
      <c r="B380">
        <f>IF($A380="","",INDEX('05_KAPA'!$B:$B,$A380))</f>
        <v/>
      </c>
      <c r="C380">
        <f>IF($A380="","",INDEX('05_KAPA'!$F:$F,$A380))</f>
        <v/>
      </c>
      <c r="D380">
        <f>IF($A380="","",INDEX('05_KAPA'!$H:$H,$A380))</f>
        <v/>
      </c>
      <c r="E380">
        <f>IF($A380="","",INDEX('05_KAPA'!$K:$K,$A380))</f>
        <v/>
      </c>
      <c r="F380">
        <f>IF($A380="","",INDEX('05_KAPA'!$L:$L,$A380))</f>
        <v/>
      </c>
      <c r="G380">
        <f>IF($A380="","",INDEX('05_KAPA'!$I:$I,$A380))</f>
        <v/>
      </c>
      <c r="H380" s="202">
        <f>IF($A380="","",INDEX('05_KAPA'!$P:$P,$A380))</f>
        <v/>
      </c>
      <c r="I380" s="118">
        <f>IF($A380="","",INDEX('05_KAPA'!$O:$O,$A380))</f>
        <v/>
      </c>
      <c r="J380" s="202">
        <f>IF($A380="","",IFERROR(DATE(LEFT(TEXT(INDEX('05_KAPA'!$T:$T,$A380),"0"),4),MID(TEXT(INDEX('05_KAPA'!$T:$T,$A380),"0"),5,2),RIGHT(TEXT(INDEX('05_KAPA'!$T:$T,$A380),"0"),2)),""))</f>
        <v/>
      </c>
      <c r="K380">
        <f>IF(C380="","",IF('02_대상물건입력'!$B$5="",1,IF(ISNUMBER(SEARCH('02_대상물건입력'!$B$5,C380)),1,0)))</f>
        <v/>
      </c>
      <c r="L380">
        <f>IF(C380="","",IF('02_대상물건입력'!$B$6="",1,IF(ISNUMBER(SEARCH('02_대상물건입력'!$B$6,C380)),1,0)))</f>
        <v/>
      </c>
      <c r="M380">
        <f>IF(E380="","",IF('02_대상물건입력'!$B$8="",0,IF(ISNUMBER(SEARCH('02_대상물건입력'!$B$8,E380)),1,0)))</f>
        <v/>
      </c>
      <c r="N380">
        <f>IF(B380="","",IF(B380="담보",1,0))</f>
        <v/>
      </c>
      <c r="O380">
        <f>IFERROR(ABS(G380-'02_대상물건입력'!$B$11)/'02_대상물건입력'!$B$11,"")</f>
        <v/>
      </c>
      <c r="P380">
        <f>IFERROR(ABS('01_설정'!$B$4-H380),"")</f>
        <v/>
      </c>
      <c r="Q380">
        <f>IFERROR(ABS(YEAR(J380)-YEAR('02_대상물건입력'!$B$14)),"")</f>
        <v/>
      </c>
      <c r="R380">
        <f>IF(AND(G380&gt;0,H380&gt;0,I380&gt;0,N380=1,IF('01_설정'!$B$10=1,K380=1,TRUE()),O380&lt;='01_설정'!$B$5,P380&lt;='01_설정'!$B$7,Q380&lt;='01_설정'!$B$8),"Y","")</f>
        <v/>
      </c>
      <c r="S380">
        <f>IF(R380&lt;&gt;"Y","",MAX(0,(1-O380/'01_설정'!$B$5))*'01_설정'!$B$14+MAX(0,(1-P380/'01_설정'!$B$7))*'01_설정'!$B$16+MAX(0,(1-Q380/'01_설정'!$B$8))*'01_설정'!$B$17+L380*'01_설정'!$B$11+M380*'01_설정'!$B$12+N380*50)</f>
        <v/>
      </c>
      <c r="T380">
        <f>IF(S380="","",1+COUNTIFS($S$31:$S$1030,"&gt;"&amp;S380)+COUNTIFS($S$31:S380,S380)-1)</f>
        <v/>
      </c>
    </row>
    <row r="381" hidden="1" ht="16.5" customHeight="1">
      <c r="A381">
        <f>IF(COUNTA('05_KAPA'!$A352:$AO352)=0,"",354)</f>
        <v/>
      </c>
      <c r="B381">
        <f>IF($A381="","",INDEX('05_KAPA'!$B:$B,$A381))</f>
        <v/>
      </c>
      <c r="C381">
        <f>IF($A381="","",INDEX('05_KAPA'!$F:$F,$A381))</f>
        <v/>
      </c>
      <c r="D381">
        <f>IF($A381="","",INDEX('05_KAPA'!$H:$H,$A381))</f>
        <v/>
      </c>
      <c r="E381">
        <f>IF($A381="","",INDEX('05_KAPA'!$K:$K,$A381))</f>
        <v/>
      </c>
      <c r="F381">
        <f>IF($A381="","",INDEX('05_KAPA'!$L:$L,$A381))</f>
        <v/>
      </c>
      <c r="G381">
        <f>IF($A381="","",INDEX('05_KAPA'!$I:$I,$A381))</f>
        <v/>
      </c>
      <c r="H381" s="202">
        <f>IF($A381="","",INDEX('05_KAPA'!$P:$P,$A381))</f>
        <v/>
      </c>
      <c r="I381" s="118">
        <f>IF($A381="","",INDEX('05_KAPA'!$O:$O,$A381))</f>
        <v/>
      </c>
      <c r="J381" s="202">
        <f>IF($A381="","",IFERROR(DATE(LEFT(TEXT(INDEX('05_KAPA'!$T:$T,$A381),"0"),4),MID(TEXT(INDEX('05_KAPA'!$T:$T,$A381),"0"),5,2),RIGHT(TEXT(INDEX('05_KAPA'!$T:$T,$A381),"0"),2)),""))</f>
        <v/>
      </c>
      <c r="K381">
        <f>IF(C381="","",IF('02_대상물건입력'!$B$5="",1,IF(ISNUMBER(SEARCH('02_대상물건입력'!$B$5,C381)),1,0)))</f>
        <v/>
      </c>
      <c r="L381">
        <f>IF(C381="","",IF('02_대상물건입력'!$B$6="",1,IF(ISNUMBER(SEARCH('02_대상물건입력'!$B$6,C381)),1,0)))</f>
        <v/>
      </c>
      <c r="M381">
        <f>IF(E381="","",IF('02_대상물건입력'!$B$8="",0,IF(ISNUMBER(SEARCH('02_대상물건입력'!$B$8,E381)),1,0)))</f>
        <v/>
      </c>
      <c r="N381">
        <f>IF(B381="","",IF(B381="담보",1,0))</f>
        <v/>
      </c>
      <c r="O381">
        <f>IFERROR(ABS(G381-'02_대상물건입력'!$B$11)/'02_대상물건입력'!$B$11,"")</f>
        <v/>
      </c>
      <c r="P381">
        <f>IFERROR(ABS('01_설정'!$B$4-H381),"")</f>
        <v/>
      </c>
      <c r="Q381">
        <f>IFERROR(ABS(YEAR(J381)-YEAR('02_대상물건입력'!$B$14)),"")</f>
        <v/>
      </c>
      <c r="R381">
        <f>IF(AND(G381&gt;0,H381&gt;0,I381&gt;0,N381=1,IF('01_설정'!$B$10=1,K381=1,TRUE()),O381&lt;='01_설정'!$B$5,P381&lt;='01_설정'!$B$7,Q381&lt;='01_설정'!$B$8),"Y","")</f>
        <v/>
      </c>
      <c r="S381">
        <f>IF(R381&lt;&gt;"Y","",MAX(0,(1-O381/'01_설정'!$B$5))*'01_설정'!$B$14+MAX(0,(1-P381/'01_설정'!$B$7))*'01_설정'!$B$16+MAX(0,(1-Q381/'01_설정'!$B$8))*'01_설정'!$B$17+L381*'01_설정'!$B$11+M381*'01_설정'!$B$12+N381*50)</f>
        <v/>
      </c>
      <c r="T381">
        <f>IF(S381="","",1+COUNTIFS($S$31:$S$1030,"&gt;"&amp;S381)+COUNTIFS($S$31:S381,S381)-1)</f>
        <v/>
      </c>
    </row>
    <row r="382" hidden="1" ht="16.5" customHeight="1">
      <c r="A382">
        <f>IF(COUNTA('05_KAPA'!$A353:$AO353)=0,"",355)</f>
        <v/>
      </c>
      <c r="B382">
        <f>IF($A382="","",INDEX('05_KAPA'!$B:$B,$A382))</f>
        <v/>
      </c>
      <c r="C382">
        <f>IF($A382="","",INDEX('05_KAPA'!$F:$F,$A382))</f>
        <v/>
      </c>
      <c r="D382">
        <f>IF($A382="","",INDEX('05_KAPA'!$H:$H,$A382))</f>
        <v/>
      </c>
      <c r="E382">
        <f>IF($A382="","",INDEX('05_KAPA'!$K:$K,$A382))</f>
        <v/>
      </c>
      <c r="F382">
        <f>IF($A382="","",INDEX('05_KAPA'!$L:$L,$A382))</f>
        <v/>
      </c>
      <c r="G382">
        <f>IF($A382="","",INDEX('05_KAPA'!$I:$I,$A382))</f>
        <v/>
      </c>
      <c r="H382" s="202">
        <f>IF($A382="","",INDEX('05_KAPA'!$P:$P,$A382))</f>
        <v/>
      </c>
      <c r="I382" s="118">
        <f>IF($A382="","",INDEX('05_KAPA'!$O:$O,$A382))</f>
        <v/>
      </c>
      <c r="J382" s="202">
        <f>IF($A382="","",IFERROR(DATE(LEFT(TEXT(INDEX('05_KAPA'!$T:$T,$A382),"0"),4),MID(TEXT(INDEX('05_KAPA'!$T:$T,$A382),"0"),5,2),RIGHT(TEXT(INDEX('05_KAPA'!$T:$T,$A382),"0"),2)),""))</f>
        <v/>
      </c>
      <c r="K382">
        <f>IF(C382="","",IF('02_대상물건입력'!$B$5="",1,IF(ISNUMBER(SEARCH('02_대상물건입력'!$B$5,C382)),1,0)))</f>
        <v/>
      </c>
      <c r="L382">
        <f>IF(C382="","",IF('02_대상물건입력'!$B$6="",1,IF(ISNUMBER(SEARCH('02_대상물건입력'!$B$6,C382)),1,0)))</f>
        <v/>
      </c>
      <c r="M382">
        <f>IF(E382="","",IF('02_대상물건입력'!$B$8="",0,IF(ISNUMBER(SEARCH('02_대상물건입력'!$B$8,E382)),1,0)))</f>
        <v/>
      </c>
      <c r="N382">
        <f>IF(B382="","",IF(B382="담보",1,0))</f>
        <v/>
      </c>
      <c r="O382">
        <f>IFERROR(ABS(G382-'02_대상물건입력'!$B$11)/'02_대상물건입력'!$B$11,"")</f>
        <v/>
      </c>
      <c r="P382">
        <f>IFERROR(ABS('01_설정'!$B$4-H382),"")</f>
        <v/>
      </c>
      <c r="Q382">
        <f>IFERROR(ABS(YEAR(J382)-YEAR('02_대상물건입력'!$B$14)),"")</f>
        <v/>
      </c>
      <c r="R382">
        <f>IF(AND(G382&gt;0,H382&gt;0,I382&gt;0,N382=1,IF('01_설정'!$B$10=1,K382=1,TRUE()),O382&lt;='01_설정'!$B$5,P382&lt;='01_설정'!$B$7,Q382&lt;='01_설정'!$B$8),"Y","")</f>
        <v/>
      </c>
      <c r="S382">
        <f>IF(R382&lt;&gt;"Y","",MAX(0,(1-O382/'01_설정'!$B$5))*'01_설정'!$B$14+MAX(0,(1-P382/'01_설정'!$B$7))*'01_설정'!$B$16+MAX(0,(1-Q382/'01_설정'!$B$8))*'01_설정'!$B$17+L382*'01_설정'!$B$11+M382*'01_설정'!$B$12+N382*50)</f>
        <v/>
      </c>
      <c r="T382">
        <f>IF(S382="","",1+COUNTIFS($S$31:$S$1030,"&gt;"&amp;S382)+COUNTIFS($S$31:S382,S382)-1)</f>
        <v/>
      </c>
    </row>
    <row r="383" hidden="1" ht="16.5" customHeight="1">
      <c r="A383">
        <f>IF(COUNTA('05_KAPA'!$A354:$AO354)=0,"",356)</f>
        <v/>
      </c>
      <c r="B383">
        <f>IF($A383="","",INDEX('05_KAPA'!$B:$B,$A383))</f>
        <v/>
      </c>
      <c r="C383">
        <f>IF($A383="","",INDEX('05_KAPA'!$F:$F,$A383))</f>
        <v/>
      </c>
      <c r="D383">
        <f>IF($A383="","",INDEX('05_KAPA'!$H:$H,$A383))</f>
        <v/>
      </c>
      <c r="E383">
        <f>IF($A383="","",INDEX('05_KAPA'!$K:$K,$A383))</f>
        <v/>
      </c>
      <c r="F383">
        <f>IF($A383="","",INDEX('05_KAPA'!$L:$L,$A383))</f>
        <v/>
      </c>
      <c r="G383">
        <f>IF($A383="","",INDEX('05_KAPA'!$I:$I,$A383))</f>
        <v/>
      </c>
      <c r="H383" s="202">
        <f>IF($A383="","",INDEX('05_KAPA'!$P:$P,$A383))</f>
        <v/>
      </c>
      <c r="I383" s="118">
        <f>IF($A383="","",INDEX('05_KAPA'!$O:$O,$A383))</f>
        <v/>
      </c>
      <c r="J383" s="202">
        <f>IF($A383="","",IFERROR(DATE(LEFT(TEXT(INDEX('05_KAPA'!$T:$T,$A383),"0"),4),MID(TEXT(INDEX('05_KAPA'!$T:$T,$A383),"0"),5,2),RIGHT(TEXT(INDEX('05_KAPA'!$T:$T,$A383),"0"),2)),""))</f>
        <v/>
      </c>
      <c r="K383">
        <f>IF(C383="","",IF('02_대상물건입력'!$B$5="",1,IF(ISNUMBER(SEARCH('02_대상물건입력'!$B$5,C383)),1,0)))</f>
        <v/>
      </c>
      <c r="L383">
        <f>IF(C383="","",IF('02_대상물건입력'!$B$6="",1,IF(ISNUMBER(SEARCH('02_대상물건입력'!$B$6,C383)),1,0)))</f>
        <v/>
      </c>
      <c r="M383">
        <f>IF(E383="","",IF('02_대상물건입력'!$B$8="",0,IF(ISNUMBER(SEARCH('02_대상물건입력'!$B$8,E383)),1,0)))</f>
        <v/>
      </c>
      <c r="N383">
        <f>IF(B383="","",IF(B383="담보",1,0))</f>
        <v/>
      </c>
      <c r="O383">
        <f>IFERROR(ABS(G383-'02_대상물건입력'!$B$11)/'02_대상물건입력'!$B$11,"")</f>
        <v/>
      </c>
      <c r="P383">
        <f>IFERROR(ABS('01_설정'!$B$4-H383),"")</f>
        <v/>
      </c>
      <c r="Q383">
        <f>IFERROR(ABS(YEAR(J383)-YEAR('02_대상물건입력'!$B$14)),"")</f>
        <v/>
      </c>
      <c r="R383">
        <f>IF(AND(G383&gt;0,H383&gt;0,I383&gt;0,N383=1,IF('01_설정'!$B$10=1,K383=1,TRUE()),O383&lt;='01_설정'!$B$5,P383&lt;='01_설정'!$B$7,Q383&lt;='01_설정'!$B$8),"Y","")</f>
        <v/>
      </c>
      <c r="S383">
        <f>IF(R383&lt;&gt;"Y","",MAX(0,(1-O383/'01_설정'!$B$5))*'01_설정'!$B$14+MAX(0,(1-P383/'01_설정'!$B$7))*'01_설정'!$B$16+MAX(0,(1-Q383/'01_설정'!$B$8))*'01_설정'!$B$17+L383*'01_설정'!$B$11+M383*'01_설정'!$B$12+N383*50)</f>
        <v/>
      </c>
      <c r="T383">
        <f>IF(S383="","",1+COUNTIFS($S$31:$S$1030,"&gt;"&amp;S383)+COUNTIFS($S$31:S383,S383)-1)</f>
        <v/>
      </c>
    </row>
    <row r="384" hidden="1" ht="16.5" customHeight="1">
      <c r="A384">
        <f>IF(COUNTA('05_KAPA'!$A355:$AO355)=0,"",357)</f>
        <v/>
      </c>
      <c r="B384">
        <f>IF($A384="","",INDEX('05_KAPA'!$B:$B,$A384))</f>
        <v/>
      </c>
      <c r="C384">
        <f>IF($A384="","",INDEX('05_KAPA'!$F:$F,$A384))</f>
        <v/>
      </c>
      <c r="D384">
        <f>IF($A384="","",INDEX('05_KAPA'!$H:$H,$A384))</f>
        <v/>
      </c>
      <c r="E384">
        <f>IF($A384="","",INDEX('05_KAPA'!$K:$K,$A384))</f>
        <v/>
      </c>
      <c r="F384">
        <f>IF($A384="","",INDEX('05_KAPA'!$L:$L,$A384))</f>
        <v/>
      </c>
      <c r="G384">
        <f>IF($A384="","",INDEX('05_KAPA'!$I:$I,$A384))</f>
        <v/>
      </c>
      <c r="H384" s="202">
        <f>IF($A384="","",INDEX('05_KAPA'!$P:$P,$A384))</f>
        <v/>
      </c>
      <c r="I384" s="118">
        <f>IF($A384="","",INDEX('05_KAPA'!$O:$O,$A384))</f>
        <v/>
      </c>
      <c r="J384" s="202">
        <f>IF($A384="","",IFERROR(DATE(LEFT(TEXT(INDEX('05_KAPA'!$T:$T,$A384),"0"),4),MID(TEXT(INDEX('05_KAPA'!$T:$T,$A384),"0"),5,2),RIGHT(TEXT(INDEX('05_KAPA'!$T:$T,$A384),"0"),2)),""))</f>
        <v/>
      </c>
      <c r="K384">
        <f>IF(C384="","",IF('02_대상물건입력'!$B$5="",1,IF(ISNUMBER(SEARCH('02_대상물건입력'!$B$5,C384)),1,0)))</f>
        <v/>
      </c>
      <c r="L384">
        <f>IF(C384="","",IF('02_대상물건입력'!$B$6="",1,IF(ISNUMBER(SEARCH('02_대상물건입력'!$B$6,C384)),1,0)))</f>
        <v/>
      </c>
      <c r="M384">
        <f>IF(E384="","",IF('02_대상물건입력'!$B$8="",0,IF(ISNUMBER(SEARCH('02_대상물건입력'!$B$8,E384)),1,0)))</f>
        <v/>
      </c>
      <c r="N384">
        <f>IF(B384="","",IF(B384="담보",1,0))</f>
        <v/>
      </c>
      <c r="O384">
        <f>IFERROR(ABS(G384-'02_대상물건입력'!$B$11)/'02_대상물건입력'!$B$11,"")</f>
        <v/>
      </c>
      <c r="P384">
        <f>IFERROR(ABS('01_설정'!$B$4-H384),"")</f>
        <v/>
      </c>
      <c r="Q384">
        <f>IFERROR(ABS(YEAR(J384)-YEAR('02_대상물건입력'!$B$14)),"")</f>
        <v/>
      </c>
      <c r="R384">
        <f>IF(AND(G384&gt;0,H384&gt;0,I384&gt;0,N384=1,IF('01_설정'!$B$10=1,K384=1,TRUE()),O384&lt;='01_설정'!$B$5,P384&lt;='01_설정'!$B$7,Q384&lt;='01_설정'!$B$8),"Y","")</f>
        <v/>
      </c>
      <c r="S384">
        <f>IF(R384&lt;&gt;"Y","",MAX(0,(1-O384/'01_설정'!$B$5))*'01_설정'!$B$14+MAX(0,(1-P384/'01_설정'!$B$7))*'01_설정'!$B$16+MAX(0,(1-Q384/'01_설정'!$B$8))*'01_설정'!$B$17+L384*'01_설정'!$B$11+M384*'01_설정'!$B$12+N384*50)</f>
        <v/>
      </c>
      <c r="T384">
        <f>IF(S384="","",1+COUNTIFS($S$31:$S$1030,"&gt;"&amp;S384)+COUNTIFS($S$31:S384,S384)-1)</f>
        <v/>
      </c>
    </row>
    <row r="385" hidden="1" ht="16.5" customHeight="1">
      <c r="A385">
        <f>IF(COUNTA('05_KAPA'!$A356:$AO356)=0,"",358)</f>
        <v/>
      </c>
      <c r="B385">
        <f>IF($A385="","",INDEX('05_KAPA'!$B:$B,$A385))</f>
        <v/>
      </c>
      <c r="C385">
        <f>IF($A385="","",INDEX('05_KAPA'!$F:$F,$A385))</f>
        <v/>
      </c>
      <c r="D385">
        <f>IF($A385="","",INDEX('05_KAPA'!$H:$H,$A385))</f>
        <v/>
      </c>
      <c r="E385">
        <f>IF($A385="","",INDEX('05_KAPA'!$K:$K,$A385))</f>
        <v/>
      </c>
      <c r="F385">
        <f>IF($A385="","",INDEX('05_KAPA'!$L:$L,$A385))</f>
        <v/>
      </c>
      <c r="G385">
        <f>IF($A385="","",INDEX('05_KAPA'!$I:$I,$A385))</f>
        <v/>
      </c>
      <c r="H385" s="202">
        <f>IF($A385="","",INDEX('05_KAPA'!$P:$P,$A385))</f>
        <v/>
      </c>
      <c r="I385" s="118">
        <f>IF($A385="","",INDEX('05_KAPA'!$O:$O,$A385))</f>
        <v/>
      </c>
      <c r="J385" s="202">
        <f>IF($A385="","",IFERROR(DATE(LEFT(TEXT(INDEX('05_KAPA'!$T:$T,$A385),"0"),4),MID(TEXT(INDEX('05_KAPA'!$T:$T,$A385),"0"),5,2),RIGHT(TEXT(INDEX('05_KAPA'!$T:$T,$A385),"0"),2)),""))</f>
        <v/>
      </c>
      <c r="K385">
        <f>IF(C385="","",IF('02_대상물건입력'!$B$5="",1,IF(ISNUMBER(SEARCH('02_대상물건입력'!$B$5,C385)),1,0)))</f>
        <v/>
      </c>
      <c r="L385">
        <f>IF(C385="","",IF('02_대상물건입력'!$B$6="",1,IF(ISNUMBER(SEARCH('02_대상물건입력'!$B$6,C385)),1,0)))</f>
        <v/>
      </c>
      <c r="M385">
        <f>IF(E385="","",IF('02_대상물건입력'!$B$8="",0,IF(ISNUMBER(SEARCH('02_대상물건입력'!$B$8,E385)),1,0)))</f>
        <v/>
      </c>
      <c r="N385">
        <f>IF(B385="","",IF(B385="담보",1,0))</f>
        <v/>
      </c>
      <c r="O385">
        <f>IFERROR(ABS(G385-'02_대상물건입력'!$B$11)/'02_대상물건입력'!$B$11,"")</f>
        <v/>
      </c>
      <c r="P385">
        <f>IFERROR(ABS('01_설정'!$B$4-H385),"")</f>
        <v/>
      </c>
      <c r="Q385">
        <f>IFERROR(ABS(YEAR(J385)-YEAR('02_대상물건입력'!$B$14)),"")</f>
        <v/>
      </c>
      <c r="R385">
        <f>IF(AND(G385&gt;0,H385&gt;0,I385&gt;0,N385=1,IF('01_설정'!$B$10=1,K385=1,TRUE()),O385&lt;='01_설정'!$B$5,P385&lt;='01_설정'!$B$7,Q385&lt;='01_설정'!$B$8),"Y","")</f>
        <v/>
      </c>
      <c r="S385">
        <f>IF(R385&lt;&gt;"Y","",MAX(0,(1-O385/'01_설정'!$B$5))*'01_설정'!$B$14+MAX(0,(1-P385/'01_설정'!$B$7))*'01_설정'!$B$16+MAX(0,(1-Q385/'01_설정'!$B$8))*'01_설정'!$B$17+L385*'01_설정'!$B$11+M385*'01_설정'!$B$12+N385*50)</f>
        <v/>
      </c>
      <c r="T385">
        <f>IF(S385="","",1+COUNTIFS($S$31:$S$1030,"&gt;"&amp;S385)+COUNTIFS($S$31:S385,S385)-1)</f>
        <v/>
      </c>
    </row>
    <row r="386" hidden="1" ht="16.5" customHeight="1">
      <c r="A386">
        <f>IF(COUNTA('05_KAPA'!$A357:$AO357)=0,"",359)</f>
        <v/>
      </c>
      <c r="B386">
        <f>IF($A386="","",INDEX('05_KAPA'!$B:$B,$A386))</f>
        <v/>
      </c>
      <c r="C386">
        <f>IF($A386="","",INDEX('05_KAPA'!$F:$F,$A386))</f>
        <v/>
      </c>
      <c r="D386">
        <f>IF($A386="","",INDEX('05_KAPA'!$H:$H,$A386))</f>
        <v/>
      </c>
      <c r="E386">
        <f>IF($A386="","",INDEX('05_KAPA'!$K:$K,$A386))</f>
        <v/>
      </c>
      <c r="F386">
        <f>IF($A386="","",INDEX('05_KAPA'!$L:$L,$A386))</f>
        <v/>
      </c>
      <c r="G386">
        <f>IF($A386="","",INDEX('05_KAPA'!$I:$I,$A386))</f>
        <v/>
      </c>
      <c r="H386" s="202">
        <f>IF($A386="","",INDEX('05_KAPA'!$P:$P,$A386))</f>
        <v/>
      </c>
      <c r="I386" s="118">
        <f>IF($A386="","",INDEX('05_KAPA'!$O:$O,$A386))</f>
        <v/>
      </c>
      <c r="J386" s="202">
        <f>IF($A386="","",IFERROR(DATE(LEFT(TEXT(INDEX('05_KAPA'!$T:$T,$A386),"0"),4),MID(TEXT(INDEX('05_KAPA'!$T:$T,$A386),"0"),5,2),RIGHT(TEXT(INDEX('05_KAPA'!$T:$T,$A386),"0"),2)),""))</f>
        <v/>
      </c>
      <c r="K386">
        <f>IF(C386="","",IF('02_대상물건입력'!$B$5="",1,IF(ISNUMBER(SEARCH('02_대상물건입력'!$B$5,C386)),1,0)))</f>
        <v/>
      </c>
      <c r="L386">
        <f>IF(C386="","",IF('02_대상물건입력'!$B$6="",1,IF(ISNUMBER(SEARCH('02_대상물건입력'!$B$6,C386)),1,0)))</f>
        <v/>
      </c>
      <c r="M386">
        <f>IF(E386="","",IF('02_대상물건입력'!$B$8="",0,IF(ISNUMBER(SEARCH('02_대상물건입력'!$B$8,E386)),1,0)))</f>
        <v/>
      </c>
      <c r="N386">
        <f>IF(B386="","",IF(B386="담보",1,0))</f>
        <v/>
      </c>
      <c r="O386">
        <f>IFERROR(ABS(G386-'02_대상물건입력'!$B$11)/'02_대상물건입력'!$B$11,"")</f>
        <v/>
      </c>
      <c r="P386">
        <f>IFERROR(ABS('01_설정'!$B$4-H386),"")</f>
        <v/>
      </c>
      <c r="Q386">
        <f>IFERROR(ABS(YEAR(J386)-YEAR('02_대상물건입력'!$B$14)),"")</f>
        <v/>
      </c>
      <c r="R386">
        <f>IF(AND(G386&gt;0,H386&gt;0,I386&gt;0,N386=1,IF('01_설정'!$B$10=1,K386=1,TRUE()),O386&lt;='01_설정'!$B$5,P386&lt;='01_설정'!$B$7,Q386&lt;='01_설정'!$B$8),"Y","")</f>
        <v/>
      </c>
      <c r="S386">
        <f>IF(R386&lt;&gt;"Y","",MAX(0,(1-O386/'01_설정'!$B$5))*'01_설정'!$B$14+MAX(0,(1-P386/'01_설정'!$B$7))*'01_설정'!$B$16+MAX(0,(1-Q386/'01_설정'!$B$8))*'01_설정'!$B$17+L386*'01_설정'!$B$11+M386*'01_설정'!$B$12+N386*50)</f>
        <v/>
      </c>
      <c r="T386">
        <f>IF(S386="","",1+COUNTIFS($S$31:$S$1030,"&gt;"&amp;S386)+COUNTIFS($S$31:S386,S386)-1)</f>
        <v/>
      </c>
    </row>
    <row r="387" hidden="1" ht="16.5" customHeight="1">
      <c r="A387">
        <f>IF(COUNTA('05_KAPA'!$A358:$AO358)=0,"",360)</f>
        <v/>
      </c>
      <c r="B387">
        <f>IF($A387="","",INDEX('05_KAPA'!$B:$B,$A387))</f>
        <v/>
      </c>
      <c r="C387">
        <f>IF($A387="","",INDEX('05_KAPA'!$F:$F,$A387))</f>
        <v/>
      </c>
      <c r="D387">
        <f>IF($A387="","",INDEX('05_KAPA'!$H:$H,$A387))</f>
        <v/>
      </c>
      <c r="E387">
        <f>IF($A387="","",INDEX('05_KAPA'!$K:$K,$A387))</f>
        <v/>
      </c>
      <c r="F387">
        <f>IF($A387="","",INDEX('05_KAPA'!$L:$L,$A387))</f>
        <v/>
      </c>
      <c r="G387">
        <f>IF($A387="","",INDEX('05_KAPA'!$I:$I,$A387))</f>
        <v/>
      </c>
      <c r="H387" s="202">
        <f>IF($A387="","",INDEX('05_KAPA'!$P:$P,$A387))</f>
        <v/>
      </c>
      <c r="I387" s="118">
        <f>IF($A387="","",INDEX('05_KAPA'!$O:$O,$A387))</f>
        <v/>
      </c>
      <c r="J387" s="202">
        <f>IF($A387="","",IFERROR(DATE(LEFT(TEXT(INDEX('05_KAPA'!$T:$T,$A387),"0"),4),MID(TEXT(INDEX('05_KAPA'!$T:$T,$A387),"0"),5,2),RIGHT(TEXT(INDEX('05_KAPA'!$T:$T,$A387),"0"),2)),""))</f>
        <v/>
      </c>
      <c r="K387">
        <f>IF(C387="","",IF('02_대상물건입력'!$B$5="",1,IF(ISNUMBER(SEARCH('02_대상물건입력'!$B$5,C387)),1,0)))</f>
        <v/>
      </c>
      <c r="L387">
        <f>IF(C387="","",IF('02_대상물건입력'!$B$6="",1,IF(ISNUMBER(SEARCH('02_대상물건입력'!$B$6,C387)),1,0)))</f>
        <v/>
      </c>
      <c r="M387">
        <f>IF(E387="","",IF('02_대상물건입력'!$B$8="",0,IF(ISNUMBER(SEARCH('02_대상물건입력'!$B$8,E387)),1,0)))</f>
        <v/>
      </c>
      <c r="N387">
        <f>IF(B387="","",IF(B387="담보",1,0))</f>
        <v/>
      </c>
      <c r="O387">
        <f>IFERROR(ABS(G387-'02_대상물건입력'!$B$11)/'02_대상물건입력'!$B$11,"")</f>
        <v/>
      </c>
      <c r="P387">
        <f>IFERROR(ABS('01_설정'!$B$4-H387),"")</f>
        <v/>
      </c>
      <c r="Q387">
        <f>IFERROR(ABS(YEAR(J387)-YEAR('02_대상물건입력'!$B$14)),"")</f>
        <v/>
      </c>
      <c r="R387">
        <f>IF(AND(G387&gt;0,H387&gt;0,I387&gt;0,N387=1,IF('01_설정'!$B$10=1,K387=1,TRUE()),O387&lt;='01_설정'!$B$5,P387&lt;='01_설정'!$B$7,Q387&lt;='01_설정'!$B$8),"Y","")</f>
        <v/>
      </c>
      <c r="S387">
        <f>IF(R387&lt;&gt;"Y","",MAX(0,(1-O387/'01_설정'!$B$5))*'01_설정'!$B$14+MAX(0,(1-P387/'01_설정'!$B$7))*'01_설정'!$B$16+MAX(0,(1-Q387/'01_설정'!$B$8))*'01_설정'!$B$17+L387*'01_설정'!$B$11+M387*'01_설정'!$B$12+N387*50)</f>
        <v/>
      </c>
      <c r="T387">
        <f>IF(S387="","",1+COUNTIFS($S$31:$S$1030,"&gt;"&amp;S387)+COUNTIFS($S$31:S387,S387)-1)</f>
        <v/>
      </c>
    </row>
    <row r="388" hidden="1" ht="16.5" customHeight="1">
      <c r="A388">
        <f>IF(COUNTA('05_KAPA'!$A359:$AO359)=0,"",361)</f>
        <v/>
      </c>
      <c r="B388">
        <f>IF($A388="","",INDEX('05_KAPA'!$B:$B,$A388))</f>
        <v/>
      </c>
      <c r="C388">
        <f>IF($A388="","",INDEX('05_KAPA'!$F:$F,$A388))</f>
        <v/>
      </c>
      <c r="D388">
        <f>IF($A388="","",INDEX('05_KAPA'!$H:$H,$A388))</f>
        <v/>
      </c>
      <c r="E388">
        <f>IF($A388="","",INDEX('05_KAPA'!$K:$K,$A388))</f>
        <v/>
      </c>
      <c r="F388">
        <f>IF($A388="","",INDEX('05_KAPA'!$L:$L,$A388))</f>
        <v/>
      </c>
      <c r="G388">
        <f>IF($A388="","",INDEX('05_KAPA'!$I:$I,$A388))</f>
        <v/>
      </c>
      <c r="H388" s="202">
        <f>IF($A388="","",INDEX('05_KAPA'!$P:$P,$A388))</f>
        <v/>
      </c>
      <c r="I388" s="118">
        <f>IF($A388="","",INDEX('05_KAPA'!$O:$O,$A388))</f>
        <v/>
      </c>
      <c r="J388" s="202">
        <f>IF($A388="","",IFERROR(DATE(LEFT(TEXT(INDEX('05_KAPA'!$T:$T,$A388),"0"),4),MID(TEXT(INDEX('05_KAPA'!$T:$T,$A388),"0"),5,2),RIGHT(TEXT(INDEX('05_KAPA'!$T:$T,$A388),"0"),2)),""))</f>
        <v/>
      </c>
      <c r="K388">
        <f>IF(C388="","",IF('02_대상물건입력'!$B$5="",1,IF(ISNUMBER(SEARCH('02_대상물건입력'!$B$5,C388)),1,0)))</f>
        <v/>
      </c>
      <c r="L388">
        <f>IF(C388="","",IF('02_대상물건입력'!$B$6="",1,IF(ISNUMBER(SEARCH('02_대상물건입력'!$B$6,C388)),1,0)))</f>
        <v/>
      </c>
      <c r="M388">
        <f>IF(E388="","",IF('02_대상물건입력'!$B$8="",0,IF(ISNUMBER(SEARCH('02_대상물건입력'!$B$8,E388)),1,0)))</f>
        <v/>
      </c>
      <c r="N388">
        <f>IF(B388="","",IF(B388="담보",1,0))</f>
        <v/>
      </c>
      <c r="O388">
        <f>IFERROR(ABS(G388-'02_대상물건입력'!$B$11)/'02_대상물건입력'!$B$11,"")</f>
        <v/>
      </c>
      <c r="P388">
        <f>IFERROR(ABS('01_설정'!$B$4-H388),"")</f>
        <v/>
      </c>
      <c r="Q388">
        <f>IFERROR(ABS(YEAR(J388)-YEAR('02_대상물건입력'!$B$14)),"")</f>
        <v/>
      </c>
      <c r="R388">
        <f>IF(AND(G388&gt;0,H388&gt;0,I388&gt;0,N388=1,IF('01_설정'!$B$10=1,K388=1,TRUE()),O388&lt;='01_설정'!$B$5,P388&lt;='01_설정'!$B$7,Q388&lt;='01_설정'!$B$8),"Y","")</f>
        <v/>
      </c>
      <c r="S388">
        <f>IF(R388&lt;&gt;"Y","",MAX(0,(1-O388/'01_설정'!$B$5))*'01_설정'!$B$14+MAX(0,(1-P388/'01_설정'!$B$7))*'01_설정'!$B$16+MAX(0,(1-Q388/'01_설정'!$B$8))*'01_설정'!$B$17+L388*'01_설정'!$B$11+M388*'01_설정'!$B$12+N388*50)</f>
        <v/>
      </c>
      <c r="T388">
        <f>IF(S388="","",1+COUNTIFS($S$31:$S$1030,"&gt;"&amp;S388)+COUNTIFS($S$31:S388,S388)-1)</f>
        <v/>
      </c>
    </row>
    <row r="389" hidden="1" ht="16.5" customHeight="1">
      <c r="A389">
        <f>IF(COUNTA('05_KAPA'!$A360:$AO360)=0,"",362)</f>
        <v/>
      </c>
      <c r="B389">
        <f>IF($A389="","",INDEX('05_KAPA'!$B:$B,$A389))</f>
        <v/>
      </c>
      <c r="C389">
        <f>IF($A389="","",INDEX('05_KAPA'!$F:$F,$A389))</f>
        <v/>
      </c>
      <c r="D389">
        <f>IF($A389="","",INDEX('05_KAPA'!$H:$H,$A389))</f>
        <v/>
      </c>
      <c r="E389">
        <f>IF($A389="","",INDEX('05_KAPA'!$K:$K,$A389))</f>
        <v/>
      </c>
      <c r="F389">
        <f>IF($A389="","",INDEX('05_KAPA'!$L:$L,$A389))</f>
        <v/>
      </c>
      <c r="G389">
        <f>IF($A389="","",INDEX('05_KAPA'!$I:$I,$A389))</f>
        <v/>
      </c>
      <c r="H389" s="202">
        <f>IF($A389="","",INDEX('05_KAPA'!$P:$P,$A389))</f>
        <v/>
      </c>
      <c r="I389" s="118">
        <f>IF($A389="","",INDEX('05_KAPA'!$O:$O,$A389))</f>
        <v/>
      </c>
      <c r="J389" s="202">
        <f>IF($A389="","",IFERROR(DATE(LEFT(TEXT(INDEX('05_KAPA'!$T:$T,$A389),"0"),4),MID(TEXT(INDEX('05_KAPA'!$T:$T,$A389),"0"),5,2),RIGHT(TEXT(INDEX('05_KAPA'!$T:$T,$A389),"0"),2)),""))</f>
        <v/>
      </c>
      <c r="K389">
        <f>IF(C389="","",IF('02_대상물건입력'!$B$5="",1,IF(ISNUMBER(SEARCH('02_대상물건입력'!$B$5,C389)),1,0)))</f>
        <v/>
      </c>
      <c r="L389">
        <f>IF(C389="","",IF('02_대상물건입력'!$B$6="",1,IF(ISNUMBER(SEARCH('02_대상물건입력'!$B$6,C389)),1,0)))</f>
        <v/>
      </c>
      <c r="M389">
        <f>IF(E389="","",IF('02_대상물건입력'!$B$8="",0,IF(ISNUMBER(SEARCH('02_대상물건입력'!$B$8,E389)),1,0)))</f>
        <v/>
      </c>
      <c r="N389">
        <f>IF(B389="","",IF(B389="담보",1,0))</f>
        <v/>
      </c>
      <c r="O389">
        <f>IFERROR(ABS(G389-'02_대상물건입력'!$B$11)/'02_대상물건입력'!$B$11,"")</f>
        <v/>
      </c>
      <c r="P389">
        <f>IFERROR(ABS('01_설정'!$B$4-H389),"")</f>
        <v/>
      </c>
      <c r="Q389">
        <f>IFERROR(ABS(YEAR(J389)-YEAR('02_대상물건입력'!$B$14)),"")</f>
        <v/>
      </c>
      <c r="R389">
        <f>IF(AND(G389&gt;0,H389&gt;0,I389&gt;0,N389=1,IF('01_설정'!$B$10=1,K389=1,TRUE()),O389&lt;='01_설정'!$B$5,P389&lt;='01_설정'!$B$7,Q389&lt;='01_설정'!$B$8),"Y","")</f>
        <v/>
      </c>
      <c r="S389">
        <f>IF(R389&lt;&gt;"Y","",MAX(0,(1-O389/'01_설정'!$B$5))*'01_설정'!$B$14+MAX(0,(1-P389/'01_설정'!$B$7))*'01_설정'!$B$16+MAX(0,(1-Q389/'01_설정'!$B$8))*'01_설정'!$B$17+L389*'01_설정'!$B$11+M389*'01_설정'!$B$12+N389*50)</f>
        <v/>
      </c>
      <c r="T389">
        <f>IF(S389="","",1+COUNTIFS($S$31:$S$1030,"&gt;"&amp;S389)+COUNTIFS($S$31:S389,S389)-1)</f>
        <v/>
      </c>
    </row>
    <row r="390" hidden="1" ht="16.5" customHeight="1">
      <c r="A390">
        <f>IF(COUNTA('05_KAPA'!$A361:$AO361)=0,"",363)</f>
        <v/>
      </c>
      <c r="B390">
        <f>IF($A390="","",INDEX('05_KAPA'!$B:$B,$A390))</f>
        <v/>
      </c>
      <c r="C390">
        <f>IF($A390="","",INDEX('05_KAPA'!$F:$F,$A390))</f>
        <v/>
      </c>
      <c r="D390">
        <f>IF($A390="","",INDEX('05_KAPA'!$H:$H,$A390))</f>
        <v/>
      </c>
      <c r="E390">
        <f>IF($A390="","",INDEX('05_KAPA'!$K:$K,$A390))</f>
        <v/>
      </c>
      <c r="F390">
        <f>IF($A390="","",INDEX('05_KAPA'!$L:$L,$A390))</f>
        <v/>
      </c>
      <c r="G390">
        <f>IF($A390="","",INDEX('05_KAPA'!$I:$I,$A390))</f>
        <v/>
      </c>
      <c r="H390" s="202">
        <f>IF($A390="","",INDEX('05_KAPA'!$P:$P,$A390))</f>
        <v/>
      </c>
      <c r="I390" s="118">
        <f>IF($A390="","",INDEX('05_KAPA'!$O:$O,$A390))</f>
        <v/>
      </c>
      <c r="J390" s="202">
        <f>IF($A390="","",IFERROR(DATE(LEFT(TEXT(INDEX('05_KAPA'!$T:$T,$A390),"0"),4),MID(TEXT(INDEX('05_KAPA'!$T:$T,$A390),"0"),5,2),RIGHT(TEXT(INDEX('05_KAPA'!$T:$T,$A390),"0"),2)),""))</f>
        <v/>
      </c>
      <c r="K390">
        <f>IF(C390="","",IF('02_대상물건입력'!$B$5="",1,IF(ISNUMBER(SEARCH('02_대상물건입력'!$B$5,C390)),1,0)))</f>
        <v/>
      </c>
      <c r="L390">
        <f>IF(C390="","",IF('02_대상물건입력'!$B$6="",1,IF(ISNUMBER(SEARCH('02_대상물건입력'!$B$6,C390)),1,0)))</f>
        <v/>
      </c>
      <c r="M390">
        <f>IF(E390="","",IF('02_대상물건입력'!$B$8="",0,IF(ISNUMBER(SEARCH('02_대상물건입력'!$B$8,E390)),1,0)))</f>
        <v/>
      </c>
      <c r="N390">
        <f>IF(B390="","",IF(B390="담보",1,0))</f>
        <v/>
      </c>
      <c r="O390">
        <f>IFERROR(ABS(G390-'02_대상물건입력'!$B$11)/'02_대상물건입력'!$B$11,"")</f>
        <v/>
      </c>
      <c r="P390">
        <f>IFERROR(ABS('01_설정'!$B$4-H390),"")</f>
        <v/>
      </c>
      <c r="Q390">
        <f>IFERROR(ABS(YEAR(J390)-YEAR('02_대상물건입력'!$B$14)),"")</f>
        <v/>
      </c>
      <c r="R390">
        <f>IF(AND(G390&gt;0,H390&gt;0,I390&gt;0,N390=1,IF('01_설정'!$B$10=1,K390=1,TRUE()),O390&lt;='01_설정'!$B$5,P390&lt;='01_설정'!$B$7,Q390&lt;='01_설정'!$B$8),"Y","")</f>
        <v/>
      </c>
      <c r="S390">
        <f>IF(R390&lt;&gt;"Y","",MAX(0,(1-O390/'01_설정'!$B$5))*'01_설정'!$B$14+MAX(0,(1-P390/'01_설정'!$B$7))*'01_설정'!$B$16+MAX(0,(1-Q390/'01_설정'!$B$8))*'01_설정'!$B$17+L390*'01_설정'!$B$11+M390*'01_설정'!$B$12+N390*50)</f>
        <v/>
      </c>
      <c r="T390">
        <f>IF(S390="","",1+COUNTIFS($S$31:$S$1030,"&gt;"&amp;S390)+COUNTIFS($S$31:S390,S390)-1)</f>
        <v/>
      </c>
    </row>
    <row r="391" hidden="1" ht="16.5" customHeight="1">
      <c r="A391">
        <f>IF(COUNTA('05_KAPA'!$A362:$AO362)=0,"",364)</f>
        <v/>
      </c>
      <c r="B391">
        <f>IF($A391="","",INDEX('05_KAPA'!$B:$B,$A391))</f>
        <v/>
      </c>
      <c r="C391">
        <f>IF($A391="","",INDEX('05_KAPA'!$F:$F,$A391))</f>
        <v/>
      </c>
      <c r="D391">
        <f>IF($A391="","",INDEX('05_KAPA'!$H:$H,$A391))</f>
        <v/>
      </c>
      <c r="E391">
        <f>IF($A391="","",INDEX('05_KAPA'!$K:$K,$A391))</f>
        <v/>
      </c>
      <c r="F391">
        <f>IF($A391="","",INDEX('05_KAPA'!$L:$L,$A391))</f>
        <v/>
      </c>
      <c r="G391">
        <f>IF($A391="","",INDEX('05_KAPA'!$I:$I,$A391))</f>
        <v/>
      </c>
      <c r="H391" s="202">
        <f>IF($A391="","",INDEX('05_KAPA'!$P:$P,$A391))</f>
        <v/>
      </c>
      <c r="I391" s="118">
        <f>IF($A391="","",INDEX('05_KAPA'!$O:$O,$A391))</f>
        <v/>
      </c>
      <c r="J391" s="202">
        <f>IF($A391="","",IFERROR(DATE(LEFT(TEXT(INDEX('05_KAPA'!$T:$T,$A391),"0"),4),MID(TEXT(INDEX('05_KAPA'!$T:$T,$A391),"0"),5,2),RIGHT(TEXT(INDEX('05_KAPA'!$T:$T,$A391),"0"),2)),""))</f>
        <v/>
      </c>
      <c r="K391">
        <f>IF(C391="","",IF('02_대상물건입력'!$B$5="",1,IF(ISNUMBER(SEARCH('02_대상물건입력'!$B$5,C391)),1,0)))</f>
        <v/>
      </c>
      <c r="L391">
        <f>IF(C391="","",IF('02_대상물건입력'!$B$6="",1,IF(ISNUMBER(SEARCH('02_대상물건입력'!$B$6,C391)),1,0)))</f>
        <v/>
      </c>
      <c r="M391">
        <f>IF(E391="","",IF('02_대상물건입력'!$B$8="",0,IF(ISNUMBER(SEARCH('02_대상물건입력'!$B$8,E391)),1,0)))</f>
        <v/>
      </c>
      <c r="N391">
        <f>IF(B391="","",IF(B391="담보",1,0))</f>
        <v/>
      </c>
      <c r="O391">
        <f>IFERROR(ABS(G391-'02_대상물건입력'!$B$11)/'02_대상물건입력'!$B$11,"")</f>
        <v/>
      </c>
      <c r="P391">
        <f>IFERROR(ABS('01_설정'!$B$4-H391),"")</f>
        <v/>
      </c>
      <c r="Q391">
        <f>IFERROR(ABS(YEAR(J391)-YEAR('02_대상물건입력'!$B$14)),"")</f>
        <v/>
      </c>
      <c r="R391">
        <f>IF(AND(G391&gt;0,H391&gt;0,I391&gt;0,N391=1,IF('01_설정'!$B$10=1,K391=1,TRUE()),O391&lt;='01_설정'!$B$5,P391&lt;='01_설정'!$B$7,Q391&lt;='01_설정'!$B$8),"Y","")</f>
        <v/>
      </c>
      <c r="S391">
        <f>IF(R391&lt;&gt;"Y","",MAX(0,(1-O391/'01_설정'!$B$5))*'01_설정'!$B$14+MAX(0,(1-P391/'01_설정'!$B$7))*'01_설정'!$B$16+MAX(0,(1-Q391/'01_설정'!$B$8))*'01_설정'!$B$17+L391*'01_설정'!$B$11+M391*'01_설정'!$B$12+N391*50)</f>
        <v/>
      </c>
      <c r="T391">
        <f>IF(S391="","",1+COUNTIFS($S$31:$S$1030,"&gt;"&amp;S391)+COUNTIFS($S$31:S391,S391)-1)</f>
        <v/>
      </c>
    </row>
    <row r="392" hidden="1" ht="16.5" customHeight="1">
      <c r="A392">
        <f>IF(COUNTA('05_KAPA'!$A363:$AO363)=0,"",365)</f>
        <v/>
      </c>
      <c r="B392">
        <f>IF($A392="","",INDEX('05_KAPA'!$B:$B,$A392))</f>
        <v/>
      </c>
      <c r="C392">
        <f>IF($A392="","",INDEX('05_KAPA'!$F:$F,$A392))</f>
        <v/>
      </c>
      <c r="D392">
        <f>IF($A392="","",INDEX('05_KAPA'!$H:$H,$A392))</f>
        <v/>
      </c>
      <c r="E392">
        <f>IF($A392="","",INDEX('05_KAPA'!$K:$K,$A392))</f>
        <v/>
      </c>
      <c r="F392">
        <f>IF($A392="","",INDEX('05_KAPA'!$L:$L,$A392))</f>
        <v/>
      </c>
      <c r="G392">
        <f>IF($A392="","",INDEX('05_KAPA'!$I:$I,$A392))</f>
        <v/>
      </c>
      <c r="H392" s="202">
        <f>IF($A392="","",INDEX('05_KAPA'!$P:$P,$A392))</f>
        <v/>
      </c>
      <c r="I392" s="118">
        <f>IF($A392="","",INDEX('05_KAPA'!$O:$O,$A392))</f>
        <v/>
      </c>
      <c r="J392" s="202">
        <f>IF($A392="","",IFERROR(DATE(LEFT(TEXT(INDEX('05_KAPA'!$T:$T,$A392),"0"),4),MID(TEXT(INDEX('05_KAPA'!$T:$T,$A392),"0"),5,2),RIGHT(TEXT(INDEX('05_KAPA'!$T:$T,$A392),"0"),2)),""))</f>
        <v/>
      </c>
      <c r="K392">
        <f>IF(C392="","",IF('02_대상물건입력'!$B$5="",1,IF(ISNUMBER(SEARCH('02_대상물건입력'!$B$5,C392)),1,0)))</f>
        <v/>
      </c>
      <c r="L392">
        <f>IF(C392="","",IF('02_대상물건입력'!$B$6="",1,IF(ISNUMBER(SEARCH('02_대상물건입력'!$B$6,C392)),1,0)))</f>
        <v/>
      </c>
      <c r="M392">
        <f>IF(E392="","",IF('02_대상물건입력'!$B$8="",0,IF(ISNUMBER(SEARCH('02_대상물건입력'!$B$8,E392)),1,0)))</f>
        <v/>
      </c>
      <c r="N392">
        <f>IF(B392="","",IF(B392="담보",1,0))</f>
        <v/>
      </c>
      <c r="O392">
        <f>IFERROR(ABS(G392-'02_대상물건입력'!$B$11)/'02_대상물건입력'!$B$11,"")</f>
        <v/>
      </c>
      <c r="P392">
        <f>IFERROR(ABS('01_설정'!$B$4-H392),"")</f>
        <v/>
      </c>
      <c r="Q392">
        <f>IFERROR(ABS(YEAR(J392)-YEAR('02_대상물건입력'!$B$14)),"")</f>
        <v/>
      </c>
      <c r="R392">
        <f>IF(AND(G392&gt;0,H392&gt;0,I392&gt;0,N392=1,IF('01_설정'!$B$10=1,K392=1,TRUE()),O392&lt;='01_설정'!$B$5,P392&lt;='01_설정'!$B$7,Q392&lt;='01_설정'!$B$8),"Y","")</f>
        <v/>
      </c>
      <c r="S392">
        <f>IF(R392&lt;&gt;"Y","",MAX(0,(1-O392/'01_설정'!$B$5))*'01_설정'!$B$14+MAX(0,(1-P392/'01_설정'!$B$7))*'01_설정'!$B$16+MAX(0,(1-Q392/'01_설정'!$B$8))*'01_설정'!$B$17+L392*'01_설정'!$B$11+M392*'01_설정'!$B$12+N392*50)</f>
        <v/>
      </c>
      <c r="T392">
        <f>IF(S392="","",1+COUNTIFS($S$31:$S$1030,"&gt;"&amp;S392)+COUNTIFS($S$31:S392,S392)-1)</f>
        <v/>
      </c>
    </row>
    <row r="393" hidden="1" ht="16.5" customHeight="1">
      <c r="A393">
        <f>IF(COUNTA('05_KAPA'!$A364:$AO364)=0,"",366)</f>
        <v/>
      </c>
      <c r="B393">
        <f>IF($A393="","",INDEX('05_KAPA'!$B:$B,$A393))</f>
        <v/>
      </c>
      <c r="C393">
        <f>IF($A393="","",INDEX('05_KAPA'!$F:$F,$A393))</f>
        <v/>
      </c>
      <c r="D393">
        <f>IF($A393="","",INDEX('05_KAPA'!$H:$H,$A393))</f>
        <v/>
      </c>
      <c r="E393">
        <f>IF($A393="","",INDEX('05_KAPA'!$K:$K,$A393))</f>
        <v/>
      </c>
      <c r="F393">
        <f>IF($A393="","",INDEX('05_KAPA'!$L:$L,$A393))</f>
        <v/>
      </c>
      <c r="G393">
        <f>IF($A393="","",INDEX('05_KAPA'!$I:$I,$A393))</f>
        <v/>
      </c>
      <c r="H393" s="202">
        <f>IF($A393="","",INDEX('05_KAPA'!$P:$P,$A393))</f>
        <v/>
      </c>
      <c r="I393" s="118">
        <f>IF($A393="","",INDEX('05_KAPA'!$O:$O,$A393))</f>
        <v/>
      </c>
      <c r="J393" s="202">
        <f>IF($A393="","",IFERROR(DATE(LEFT(TEXT(INDEX('05_KAPA'!$T:$T,$A393),"0"),4),MID(TEXT(INDEX('05_KAPA'!$T:$T,$A393),"0"),5,2),RIGHT(TEXT(INDEX('05_KAPA'!$T:$T,$A393),"0"),2)),""))</f>
        <v/>
      </c>
      <c r="K393">
        <f>IF(C393="","",IF('02_대상물건입력'!$B$5="",1,IF(ISNUMBER(SEARCH('02_대상물건입력'!$B$5,C393)),1,0)))</f>
        <v/>
      </c>
      <c r="L393">
        <f>IF(C393="","",IF('02_대상물건입력'!$B$6="",1,IF(ISNUMBER(SEARCH('02_대상물건입력'!$B$6,C393)),1,0)))</f>
        <v/>
      </c>
      <c r="M393">
        <f>IF(E393="","",IF('02_대상물건입력'!$B$8="",0,IF(ISNUMBER(SEARCH('02_대상물건입력'!$B$8,E393)),1,0)))</f>
        <v/>
      </c>
      <c r="N393">
        <f>IF(B393="","",IF(B393="담보",1,0))</f>
        <v/>
      </c>
      <c r="O393">
        <f>IFERROR(ABS(G393-'02_대상물건입력'!$B$11)/'02_대상물건입력'!$B$11,"")</f>
        <v/>
      </c>
      <c r="P393">
        <f>IFERROR(ABS('01_설정'!$B$4-H393),"")</f>
        <v/>
      </c>
      <c r="Q393">
        <f>IFERROR(ABS(YEAR(J393)-YEAR('02_대상물건입력'!$B$14)),"")</f>
        <v/>
      </c>
      <c r="R393">
        <f>IF(AND(G393&gt;0,H393&gt;0,I393&gt;0,N393=1,IF('01_설정'!$B$10=1,K393=1,TRUE()),O393&lt;='01_설정'!$B$5,P393&lt;='01_설정'!$B$7,Q393&lt;='01_설정'!$B$8),"Y","")</f>
        <v/>
      </c>
      <c r="S393">
        <f>IF(R393&lt;&gt;"Y","",MAX(0,(1-O393/'01_설정'!$B$5))*'01_설정'!$B$14+MAX(0,(1-P393/'01_설정'!$B$7))*'01_설정'!$B$16+MAX(0,(1-Q393/'01_설정'!$B$8))*'01_설정'!$B$17+L393*'01_설정'!$B$11+M393*'01_설정'!$B$12+N393*50)</f>
        <v/>
      </c>
      <c r="T393">
        <f>IF(S393="","",1+COUNTIFS($S$31:$S$1030,"&gt;"&amp;S393)+COUNTIFS($S$31:S393,S393)-1)</f>
        <v/>
      </c>
    </row>
    <row r="394" hidden="1" ht="16.5" customHeight="1">
      <c r="A394">
        <f>IF(COUNTA('05_KAPA'!$A365:$AO365)=0,"",367)</f>
        <v/>
      </c>
      <c r="B394">
        <f>IF($A394="","",INDEX('05_KAPA'!$B:$B,$A394))</f>
        <v/>
      </c>
      <c r="C394">
        <f>IF($A394="","",INDEX('05_KAPA'!$F:$F,$A394))</f>
        <v/>
      </c>
      <c r="D394">
        <f>IF($A394="","",INDEX('05_KAPA'!$H:$H,$A394))</f>
        <v/>
      </c>
      <c r="E394">
        <f>IF($A394="","",INDEX('05_KAPA'!$K:$K,$A394))</f>
        <v/>
      </c>
      <c r="F394">
        <f>IF($A394="","",INDEX('05_KAPA'!$L:$L,$A394))</f>
        <v/>
      </c>
      <c r="G394">
        <f>IF($A394="","",INDEX('05_KAPA'!$I:$I,$A394))</f>
        <v/>
      </c>
      <c r="H394" s="202">
        <f>IF($A394="","",INDEX('05_KAPA'!$P:$P,$A394))</f>
        <v/>
      </c>
      <c r="I394" s="118">
        <f>IF($A394="","",INDEX('05_KAPA'!$O:$O,$A394))</f>
        <v/>
      </c>
      <c r="J394" s="202">
        <f>IF($A394="","",IFERROR(DATE(LEFT(TEXT(INDEX('05_KAPA'!$T:$T,$A394),"0"),4),MID(TEXT(INDEX('05_KAPA'!$T:$T,$A394),"0"),5,2),RIGHT(TEXT(INDEX('05_KAPA'!$T:$T,$A394),"0"),2)),""))</f>
        <v/>
      </c>
      <c r="K394">
        <f>IF(C394="","",IF('02_대상물건입력'!$B$5="",1,IF(ISNUMBER(SEARCH('02_대상물건입력'!$B$5,C394)),1,0)))</f>
        <v/>
      </c>
      <c r="L394">
        <f>IF(C394="","",IF('02_대상물건입력'!$B$6="",1,IF(ISNUMBER(SEARCH('02_대상물건입력'!$B$6,C394)),1,0)))</f>
        <v/>
      </c>
      <c r="M394">
        <f>IF(E394="","",IF('02_대상물건입력'!$B$8="",0,IF(ISNUMBER(SEARCH('02_대상물건입력'!$B$8,E394)),1,0)))</f>
        <v/>
      </c>
      <c r="N394">
        <f>IF(B394="","",IF(B394="담보",1,0))</f>
        <v/>
      </c>
      <c r="O394">
        <f>IFERROR(ABS(G394-'02_대상물건입력'!$B$11)/'02_대상물건입력'!$B$11,"")</f>
        <v/>
      </c>
      <c r="P394">
        <f>IFERROR(ABS('01_설정'!$B$4-H394),"")</f>
        <v/>
      </c>
      <c r="Q394">
        <f>IFERROR(ABS(YEAR(J394)-YEAR('02_대상물건입력'!$B$14)),"")</f>
        <v/>
      </c>
      <c r="R394">
        <f>IF(AND(G394&gt;0,H394&gt;0,I394&gt;0,N394=1,IF('01_설정'!$B$10=1,K394=1,TRUE()),O394&lt;='01_설정'!$B$5,P394&lt;='01_설정'!$B$7,Q394&lt;='01_설정'!$B$8),"Y","")</f>
        <v/>
      </c>
      <c r="S394">
        <f>IF(R394&lt;&gt;"Y","",MAX(0,(1-O394/'01_설정'!$B$5))*'01_설정'!$B$14+MAX(0,(1-P394/'01_설정'!$B$7))*'01_설정'!$B$16+MAX(0,(1-Q394/'01_설정'!$B$8))*'01_설정'!$B$17+L394*'01_설정'!$B$11+M394*'01_설정'!$B$12+N394*50)</f>
        <v/>
      </c>
      <c r="T394">
        <f>IF(S394="","",1+COUNTIFS($S$31:$S$1030,"&gt;"&amp;S394)+COUNTIFS($S$31:S394,S394)-1)</f>
        <v/>
      </c>
    </row>
    <row r="395" hidden="1" ht="16.5" customHeight="1">
      <c r="A395">
        <f>IF(COUNTA('05_KAPA'!$A366:$AO366)=0,"",368)</f>
        <v/>
      </c>
      <c r="B395">
        <f>IF($A395="","",INDEX('05_KAPA'!$B:$B,$A395))</f>
        <v/>
      </c>
      <c r="C395">
        <f>IF($A395="","",INDEX('05_KAPA'!$F:$F,$A395))</f>
        <v/>
      </c>
      <c r="D395">
        <f>IF($A395="","",INDEX('05_KAPA'!$H:$H,$A395))</f>
        <v/>
      </c>
      <c r="E395">
        <f>IF($A395="","",INDEX('05_KAPA'!$K:$K,$A395))</f>
        <v/>
      </c>
      <c r="F395">
        <f>IF($A395="","",INDEX('05_KAPA'!$L:$L,$A395))</f>
        <v/>
      </c>
      <c r="G395">
        <f>IF($A395="","",INDEX('05_KAPA'!$I:$I,$A395))</f>
        <v/>
      </c>
      <c r="H395" s="202">
        <f>IF($A395="","",INDEX('05_KAPA'!$P:$P,$A395))</f>
        <v/>
      </c>
      <c r="I395" s="118">
        <f>IF($A395="","",INDEX('05_KAPA'!$O:$O,$A395))</f>
        <v/>
      </c>
      <c r="J395" s="202">
        <f>IF($A395="","",IFERROR(DATE(LEFT(TEXT(INDEX('05_KAPA'!$T:$T,$A395),"0"),4),MID(TEXT(INDEX('05_KAPA'!$T:$T,$A395),"0"),5,2),RIGHT(TEXT(INDEX('05_KAPA'!$T:$T,$A395),"0"),2)),""))</f>
        <v/>
      </c>
      <c r="K395">
        <f>IF(C395="","",IF('02_대상물건입력'!$B$5="",1,IF(ISNUMBER(SEARCH('02_대상물건입력'!$B$5,C395)),1,0)))</f>
        <v/>
      </c>
      <c r="L395">
        <f>IF(C395="","",IF('02_대상물건입력'!$B$6="",1,IF(ISNUMBER(SEARCH('02_대상물건입력'!$B$6,C395)),1,0)))</f>
        <v/>
      </c>
      <c r="M395">
        <f>IF(E395="","",IF('02_대상물건입력'!$B$8="",0,IF(ISNUMBER(SEARCH('02_대상물건입력'!$B$8,E395)),1,0)))</f>
        <v/>
      </c>
      <c r="N395">
        <f>IF(B395="","",IF(B395="담보",1,0))</f>
        <v/>
      </c>
      <c r="O395">
        <f>IFERROR(ABS(G395-'02_대상물건입력'!$B$11)/'02_대상물건입력'!$B$11,"")</f>
        <v/>
      </c>
      <c r="P395">
        <f>IFERROR(ABS('01_설정'!$B$4-H395),"")</f>
        <v/>
      </c>
      <c r="Q395">
        <f>IFERROR(ABS(YEAR(J395)-YEAR('02_대상물건입력'!$B$14)),"")</f>
        <v/>
      </c>
      <c r="R395">
        <f>IF(AND(G395&gt;0,H395&gt;0,I395&gt;0,N395=1,IF('01_설정'!$B$10=1,K395=1,TRUE()),O395&lt;='01_설정'!$B$5,P395&lt;='01_설정'!$B$7,Q395&lt;='01_설정'!$B$8),"Y","")</f>
        <v/>
      </c>
      <c r="S395">
        <f>IF(R395&lt;&gt;"Y","",MAX(0,(1-O395/'01_설정'!$B$5))*'01_설정'!$B$14+MAX(0,(1-P395/'01_설정'!$B$7))*'01_설정'!$B$16+MAX(0,(1-Q395/'01_설정'!$B$8))*'01_설정'!$B$17+L395*'01_설정'!$B$11+M395*'01_설정'!$B$12+N395*50)</f>
        <v/>
      </c>
      <c r="T395">
        <f>IF(S395="","",1+COUNTIFS($S$31:$S$1030,"&gt;"&amp;S395)+COUNTIFS($S$31:S395,S395)-1)</f>
        <v/>
      </c>
    </row>
    <row r="396" hidden="1" ht="16.5" customHeight="1">
      <c r="A396">
        <f>IF(COUNTA('05_KAPA'!$A367:$AO367)=0,"",369)</f>
        <v/>
      </c>
      <c r="B396">
        <f>IF($A396="","",INDEX('05_KAPA'!$B:$B,$A396))</f>
        <v/>
      </c>
      <c r="C396">
        <f>IF($A396="","",INDEX('05_KAPA'!$F:$F,$A396))</f>
        <v/>
      </c>
      <c r="D396">
        <f>IF($A396="","",INDEX('05_KAPA'!$H:$H,$A396))</f>
        <v/>
      </c>
      <c r="E396">
        <f>IF($A396="","",INDEX('05_KAPA'!$K:$K,$A396))</f>
        <v/>
      </c>
      <c r="F396">
        <f>IF($A396="","",INDEX('05_KAPA'!$L:$L,$A396))</f>
        <v/>
      </c>
      <c r="G396">
        <f>IF($A396="","",INDEX('05_KAPA'!$I:$I,$A396))</f>
        <v/>
      </c>
      <c r="H396" s="202">
        <f>IF($A396="","",INDEX('05_KAPA'!$P:$P,$A396))</f>
        <v/>
      </c>
      <c r="I396" s="118">
        <f>IF($A396="","",INDEX('05_KAPA'!$O:$O,$A396))</f>
        <v/>
      </c>
      <c r="J396" s="202">
        <f>IF($A396="","",IFERROR(DATE(LEFT(TEXT(INDEX('05_KAPA'!$T:$T,$A396),"0"),4),MID(TEXT(INDEX('05_KAPA'!$T:$T,$A396),"0"),5,2),RIGHT(TEXT(INDEX('05_KAPA'!$T:$T,$A396),"0"),2)),""))</f>
        <v/>
      </c>
      <c r="K396">
        <f>IF(C396="","",IF('02_대상물건입력'!$B$5="",1,IF(ISNUMBER(SEARCH('02_대상물건입력'!$B$5,C396)),1,0)))</f>
        <v/>
      </c>
      <c r="L396">
        <f>IF(C396="","",IF('02_대상물건입력'!$B$6="",1,IF(ISNUMBER(SEARCH('02_대상물건입력'!$B$6,C396)),1,0)))</f>
        <v/>
      </c>
      <c r="M396">
        <f>IF(E396="","",IF('02_대상물건입력'!$B$8="",0,IF(ISNUMBER(SEARCH('02_대상물건입력'!$B$8,E396)),1,0)))</f>
        <v/>
      </c>
      <c r="N396">
        <f>IF(B396="","",IF(B396="담보",1,0))</f>
        <v/>
      </c>
      <c r="O396">
        <f>IFERROR(ABS(G396-'02_대상물건입력'!$B$11)/'02_대상물건입력'!$B$11,"")</f>
        <v/>
      </c>
      <c r="P396">
        <f>IFERROR(ABS('01_설정'!$B$4-H396),"")</f>
        <v/>
      </c>
      <c r="Q396">
        <f>IFERROR(ABS(YEAR(J396)-YEAR('02_대상물건입력'!$B$14)),"")</f>
        <v/>
      </c>
      <c r="R396">
        <f>IF(AND(G396&gt;0,H396&gt;0,I396&gt;0,N396=1,IF('01_설정'!$B$10=1,K396=1,TRUE()),O396&lt;='01_설정'!$B$5,P396&lt;='01_설정'!$B$7,Q396&lt;='01_설정'!$B$8),"Y","")</f>
        <v/>
      </c>
      <c r="S396">
        <f>IF(R396&lt;&gt;"Y","",MAX(0,(1-O396/'01_설정'!$B$5))*'01_설정'!$B$14+MAX(0,(1-P396/'01_설정'!$B$7))*'01_설정'!$B$16+MAX(0,(1-Q396/'01_설정'!$B$8))*'01_설정'!$B$17+L396*'01_설정'!$B$11+M396*'01_설정'!$B$12+N396*50)</f>
        <v/>
      </c>
      <c r="T396">
        <f>IF(S396="","",1+COUNTIFS($S$31:$S$1030,"&gt;"&amp;S396)+COUNTIFS($S$31:S396,S396)-1)</f>
        <v/>
      </c>
    </row>
    <row r="397" hidden="1" ht="16.5" customHeight="1">
      <c r="A397">
        <f>IF(COUNTA('05_KAPA'!$A368:$AO368)=0,"",370)</f>
        <v/>
      </c>
      <c r="B397">
        <f>IF($A397="","",INDEX('05_KAPA'!$B:$B,$A397))</f>
        <v/>
      </c>
      <c r="C397">
        <f>IF($A397="","",INDEX('05_KAPA'!$F:$F,$A397))</f>
        <v/>
      </c>
      <c r="D397">
        <f>IF($A397="","",INDEX('05_KAPA'!$H:$H,$A397))</f>
        <v/>
      </c>
      <c r="E397">
        <f>IF($A397="","",INDEX('05_KAPA'!$K:$K,$A397))</f>
        <v/>
      </c>
      <c r="F397">
        <f>IF($A397="","",INDEX('05_KAPA'!$L:$L,$A397))</f>
        <v/>
      </c>
      <c r="G397">
        <f>IF($A397="","",INDEX('05_KAPA'!$I:$I,$A397))</f>
        <v/>
      </c>
      <c r="H397" s="202">
        <f>IF($A397="","",INDEX('05_KAPA'!$P:$P,$A397))</f>
        <v/>
      </c>
      <c r="I397" s="118">
        <f>IF($A397="","",INDEX('05_KAPA'!$O:$O,$A397))</f>
        <v/>
      </c>
      <c r="J397" s="202">
        <f>IF($A397="","",IFERROR(DATE(LEFT(TEXT(INDEX('05_KAPA'!$T:$T,$A397),"0"),4),MID(TEXT(INDEX('05_KAPA'!$T:$T,$A397),"0"),5,2),RIGHT(TEXT(INDEX('05_KAPA'!$T:$T,$A397),"0"),2)),""))</f>
        <v/>
      </c>
      <c r="K397">
        <f>IF(C397="","",IF('02_대상물건입력'!$B$5="",1,IF(ISNUMBER(SEARCH('02_대상물건입력'!$B$5,C397)),1,0)))</f>
        <v/>
      </c>
      <c r="L397">
        <f>IF(C397="","",IF('02_대상물건입력'!$B$6="",1,IF(ISNUMBER(SEARCH('02_대상물건입력'!$B$6,C397)),1,0)))</f>
        <v/>
      </c>
      <c r="M397">
        <f>IF(E397="","",IF('02_대상물건입력'!$B$8="",0,IF(ISNUMBER(SEARCH('02_대상물건입력'!$B$8,E397)),1,0)))</f>
        <v/>
      </c>
      <c r="N397">
        <f>IF(B397="","",IF(B397="담보",1,0))</f>
        <v/>
      </c>
      <c r="O397">
        <f>IFERROR(ABS(G397-'02_대상물건입력'!$B$11)/'02_대상물건입력'!$B$11,"")</f>
        <v/>
      </c>
      <c r="P397">
        <f>IFERROR(ABS('01_설정'!$B$4-H397),"")</f>
        <v/>
      </c>
      <c r="Q397">
        <f>IFERROR(ABS(YEAR(J397)-YEAR('02_대상물건입력'!$B$14)),"")</f>
        <v/>
      </c>
      <c r="R397">
        <f>IF(AND(G397&gt;0,H397&gt;0,I397&gt;0,N397=1,IF('01_설정'!$B$10=1,K397=1,TRUE()),O397&lt;='01_설정'!$B$5,P397&lt;='01_설정'!$B$7,Q397&lt;='01_설정'!$B$8),"Y","")</f>
        <v/>
      </c>
      <c r="S397">
        <f>IF(R397&lt;&gt;"Y","",MAX(0,(1-O397/'01_설정'!$B$5))*'01_설정'!$B$14+MAX(0,(1-P397/'01_설정'!$B$7))*'01_설정'!$B$16+MAX(0,(1-Q397/'01_설정'!$B$8))*'01_설정'!$B$17+L397*'01_설정'!$B$11+M397*'01_설정'!$B$12+N397*50)</f>
        <v/>
      </c>
      <c r="T397">
        <f>IF(S397="","",1+COUNTIFS($S$31:$S$1030,"&gt;"&amp;S397)+COUNTIFS($S$31:S397,S397)-1)</f>
        <v/>
      </c>
    </row>
    <row r="398" hidden="1" ht="16.5" customHeight="1">
      <c r="A398">
        <f>IF(COUNTA('05_KAPA'!$A369:$AO369)=0,"",371)</f>
        <v/>
      </c>
      <c r="B398">
        <f>IF($A398="","",INDEX('05_KAPA'!$B:$B,$A398))</f>
        <v/>
      </c>
      <c r="C398">
        <f>IF($A398="","",INDEX('05_KAPA'!$F:$F,$A398))</f>
        <v/>
      </c>
      <c r="D398">
        <f>IF($A398="","",INDEX('05_KAPA'!$H:$H,$A398))</f>
        <v/>
      </c>
      <c r="E398">
        <f>IF($A398="","",INDEX('05_KAPA'!$K:$K,$A398))</f>
        <v/>
      </c>
      <c r="F398">
        <f>IF($A398="","",INDEX('05_KAPA'!$L:$L,$A398))</f>
        <v/>
      </c>
      <c r="G398">
        <f>IF($A398="","",INDEX('05_KAPA'!$I:$I,$A398))</f>
        <v/>
      </c>
      <c r="H398" s="202">
        <f>IF($A398="","",INDEX('05_KAPA'!$P:$P,$A398))</f>
        <v/>
      </c>
      <c r="I398" s="118">
        <f>IF($A398="","",INDEX('05_KAPA'!$O:$O,$A398))</f>
        <v/>
      </c>
      <c r="J398" s="202">
        <f>IF($A398="","",IFERROR(DATE(LEFT(TEXT(INDEX('05_KAPA'!$T:$T,$A398),"0"),4),MID(TEXT(INDEX('05_KAPA'!$T:$T,$A398),"0"),5,2),RIGHT(TEXT(INDEX('05_KAPA'!$T:$T,$A398),"0"),2)),""))</f>
        <v/>
      </c>
      <c r="K398">
        <f>IF(C398="","",IF('02_대상물건입력'!$B$5="",1,IF(ISNUMBER(SEARCH('02_대상물건입력'!$B$5,C398)),1,0)))</f>
        <v/>
      </c>
      <c r="L398">
        <f>IF(C398="","",IF('02_대상물건입력'!$B$6="",1,IF(ISNUMBER(SEARCH('02_대상물건입력'!$B$6,C398)),1,0)))</f>
        <v/>
      </c>
      <c r="M398">
        <f>IF(E398="","",IF('02_대상물건입력'!$B$8="",0,IF(ISNUMBER(SEARCH('02_대상물건입력'!$B$8,E398)),1,0)))</f>
        <v/>
      </c>
      <c r="N398">
        <f>IF(B398="","",IF(B398="담보",1,0))</f>
        <v/>
      </c>
      <c r="O398">
        <f>IFERROR(ABS(G398-'02_대상물건입력'!$B$11)/'02_대상물건입력'!$B$11,"")</f>
        <v/>
      </c>
      <c r="P398">
        <f>IFERROR(ABS('01_설정'!$B$4-H398),"")</f>
        <v/>
      </c>
      <c r="Q398">
        <f>IFERROR(ABS(YEAR(J398)-YEAR('02_대상물건입력'!$B$14)),"")</f>
        <v/>
      </c>
      <c r="R398">
        <f>IF(AND(G398&gt;0,H398&gt;0,I398&gt;0,N398=1,IF('01_설정'!$B$10=1,K398=1,TRUE()),O398&lt;='01_설정'!$B$5,P398&lt;='01_설정'!$B$7,Q398&lt;='01_설정'!$B$8),"Y","")</f>
        <v/>
      </c>
      <c r="S398">
        <f>IF(R398&lt;&gt;"Y","",MAX(0,(1-O398/'01_설정'!$B$5))*'01_설정'!$B$14+MAX(0,(1-P398/'01_설정'!$B$7))*'01_설정'!$B$16+MAX(0,(1-Q398/'01_설정'!$B$8))*'01_설정'!$B$17+L398*'01_설정'!$B$11+M398*'01_설정'!$B$12+N398*50)</f>
        <v/>
      </c>
      <c r="T398">
        <f>IF(S398="","",1+COUNTIFS($S$31:$S$1030,"&gt;"&amp;S398)+COUNTIFS($S$31:S398,S398)-1)</f>
        <v/>
      </c>
    </row>
    <row r="399" hidden="1" ht="16.5" customHeight="1">
      <c r="A399">
        <f>IF(COUNTA('05_KAPA'!$A370:$AO370)=0,"",372)</f>
        <v/>
      </c>
      <c r="B399">
        <f>IF($A399="","",INDEX('05_KAPA'!$B:$B,$A399))</f>
        <v/>
      </c>
      <c r="C399">
        <f>IF($A399="","",INDEX('05_KAPA'!$F:$F,$A399))</f>
        <v/>
      </c>
      <c r="D399">
        <f>IF($A399="","",INDEX('05_KAPA'!$H:$H,$A399))</f>
        <v/>
      </c>
      <c r="E399">
        <f>IF($A399="","",INDEX('05_KAPA'!$K:$K,$A399))</f>
        <v/>
      </c>
      <c r="F399">
        <f>IF($A399="","",INDEX('05_KAPA'!$L:$L,$A399))</f>
        <v/>
      </c>
      <c r="G399">
        <f>IF($A399="","",INDEX('05_KAPA'!$I:$I,$A399))</f>
        <v/>
      </c>
      <c r="H399" s="202">
        <f>IF($A399="","",INDEX('05_KAPA'!$P:$P,$A399))</f>
        <v/>
      </c>
      <c r="I399" s="118">
        <f>IF($A399="","",INDEX('05_KAPA'!$O:$O,$A399))</f>
        <v/>
      </c>
      <c r="J399" s="202">
        <f>IF($A399="","",IFERROR(DATE(LEFT(TEXT(INDEX('05_KAPA'!$T:$T,$A399),"0"),4),MID(TEXT(INDEX('05_KAPA'!$T:$T,$A399),"0"),5,2),RIGHT(TEXT(INDEX('05_KAPA'!$T:$T,$A399),"0"),2)),""))</f>
        <v/>
      </c>
      <c r="K399">
        <f>IF(C399="","",IF('02_대상물건입력'!$B$5="",1,IF(ISNUMBER(SEARCH('02_대상물건입력'!$B$5,C399)),1,0)))</f>
        <v/>
      </c>
      <c r="L399">
        <f>IF(C399="","",IF('02_대상물건입력'!$B$6="",1,IF(ISNUMBER(SEARCH('02_대상물건입력'!$B$6,C399)),1,0)))</f>
        <v/>
      </c>
      <c r="M399">
        <f>IF(E399="","",IF('02_대상물건입력'!$B$8="",0,IF(ISNUMBER(SEARCH('02_대상물건입력'!$B$8,E399)),1,0)))</f>
        <v/>
      </c>
      <c r="N399">
        <f>IF(B399="","",IF(B399="담보",1,0))</f>
        <v/>
      </c>
      <c r="O399">
        <f>IFERROR(ABS(G399-'02_대상물건입력'!$B$11)/'02_대상물건입력'!$B$11,"")</f>
        <v/>
      </c>
      <c r="P399">
        <f>IFERROR(ABS('01_설정'!$B$4-H399),"")</f>
        <v/>
      </c>
      <c r="Q399">
        <f>IFERROR(ABS(YEAR(J399)-YEAR('02_대상물건입력'!$B$14)),"")</f>
        <v/>
      </c>
      <c r="R399">
        <f>IF(AND(G399&gt;0,H399&gt;0,I399&gt;0,N399=1,IF('01_설정'!$B$10=1,K399=1,TRUE()),O399&lt;='01_설정'!$B$5,P399&lt;='01_설정'!$B$7,Q399&lt;='01_설정'!$B$8),"Y","")</f>
        <v/>
      </c>
      <c r="S399">
        <f>IF(R399&lt;&gt;"Y","",MAX(0,(1-O399/'01_설정'!$B$5))*'01_설정'!$B$14+MAX(0,(1-P399/'01_설정'!$B$7))*'01_설정'!$B$16+MAX(0,(1-Q399/'01_설정'!$B$8))*'01_설정'!$B$17+L399*'01_설정'!$B$11+M399*'01_설정'!$B$12+N399*50)</f>
        <v/>
      </c>
      <c r="T399">
        <f>IF(S399="","",1+COUNTIFS($S$31:$S$1030,"&gt;"&amp;S399)+COUNTIFS($S$31:S399,S399)-1)</f>
        <v/>
      </c>
    </row>
    <row r="400" hidden="1" ht="16.5" customHeight="1">
      <c r="A400">
        <f>IF(COUNTA('05_KAPA'!$A371:$AO371)=0,"",373)</f>
        <v/>
      </c>
      <c r="B400">
        <f>IF($A400="","",INDEX('05_KAPA'!$B:$B,$A400))</f>
        <v/>
      </c>
      <c r="C400">
        <f>IF($A400="","",INDEX('05_KAPA'!$F:$F,$A400))</f>
        <v/>
      </c>
      <c r="D400">
        <f>IF($A400="","",INDEX('05_KAPA'!$H:$H,$A400))</f>
        <v/>
      </c>
      <c r="E400">
        <f>IF($A400="","",INDEX('05_KAPA'!$K:$K,$A400))</f>
        <v/>
      </c>
      <c r="F400">
        <f>IF($A400="","",INDEX('05_KAPA'!$L:$L,$A400))</f>
        <v/>
      </c>
      <c r="G400">
        <f>IF($A400="","",INDEX('05_KAPA'!$I:$I,$A400))</f>
        <v/>
      </c>
      <c r="H400" s="202">
        <f>IF($A400="","",INDEX('05_KAPA'!$P:$P,$A400))</f>
        <v/>
      </c>
      <c r="I400" s="118">
        <f>IF($A400="","",INDEX('05_KAPA'!$O:$O,$A400))</f>
        <v/>
      </c>
      <c r="J400" s="202">
        <f>IF($A400="","",IFERROR(DATE(LEFT(TEXT(INDEX('05_KAPA'!$T:$T,$A400),"0"),4),MID(TEXT(INDEX('05_KAPA'!$T:$T,$A400),"0"),5,2),RIGHT(TEXT(INDEX('05_KAPA'!$T:$T,$A400),"0"),2)),""))</f>
        <v/>
      </c>
      <c r="K400">
        <f>IF(C400="","",IF('02_대상물건입력'!$B$5="",1,IF(ISNUMBER(SEARCH('02_대상물건입력'!$B$5,C400)),1,0)))</f>
        <v/>
      </c>
      <c r="L400">
        <f>IF(C400="","",IF('02_대상물건입력'!$B$6="",1,IF(ISNUMBER(SEARCH('02_대상물건입력'!$B$6,C400)),1,0)))</f>
        <v/>
      </c>
      <c r="M400">
        <f>IF(E400="","",IF('02_대상물건입력'!$B$8="",0,IF(ISNUMBER(SEARCH('02_대상물건입력'!$B$8,E400)),1,0)))</f>
        <v/>
      </c>
      <c r="N400">
        <f>IF(B400="","",IF(B400="담보",1,0))</f>
        <v/>
      </c>
      <c r="O400">
        <f>IFERROR(ABS(G400-'02_대상물건입력'!$B$11)/'02_대상물건입력'!$B$11,"")</f>
        <v/>
      </c>
      <c r="P400">
        <f>IFERROR(ABS('01_설정'!$B$4-H400),"")</f>
        <v/>
      </c>
      <c r="Q400">
        <f>IFERROR(ABS(YEAR(J400)-YEAR('02_대상물건입력'!$B$14)),"")</f>
        <v/>
      </c>
      <c r="R400">
        <f>IF(AND(G400&gt;0,H400&gt;0,I400&gt;0,N400=1,IF('01_설정'!$B$10=1,K400=1,TRUE()),O400&lt;='01_설정'!$B$5,P400&lt;='01_설정'!$B$7,Q400&lt;='01_설정'!$B$8),"Y","")</f>
        <v/>
      </c>
      <c r="S400">
        <f>IF(R400&lt;&gt;"Y","",MAX(0,(1-O400/'01_설정'!$B$5))*'01_설정'!$B$14+MAX(0,(1-P400/'01_설정'!$B$7))*'01_설정'!$B$16+MAX(0,(1-Q400/'01_설정'!$B$8))*'01_설정'!$B$17+L400*'01_설정'!$B$11+M400*'01_설정'!$B$12+N400*50)</f>
        <v/>
      </c>
      <c r="T400">
        <f>IF(S400="","",1+COUNTIFS($S$31:$S$1030,"&gt;"&amp;S400)+COUNTIFS($S$31:S400,S400)-1)</f>
        <v/>
      </c>
    </row>
    <row r="401" hidden="1" ht="16.5" customHeight="1">
      <c r="A401">
        <f>IF(COUNTA('05_KAPA'!$A372:$AO372)=0,"",374)</f>
        <v/>
      </c>
      <c r="B401">
        <f>IF($A401="","",INDEX('05_KAPA'!$B:$B,$A401))</f>
        <v/>
      </c>
      <c r="C401">
        <f>IF($A401="","",INDEX('05_KAPA'!$F:$F,$A401))</f>
        <v/>
      </c>
      <c r="D401">
        <f>IF($A401="","",INDEX('05_KAPA'!$H:$H,$A401))</f>
        <v/>
      </c>
      <c r="E401">
        <f>IF($A401="","",INDEX('05_KAPA'!$K:$K,$A401))</f>
        <v/>
      </c>
      <c r="F401">
        <f>IF($A401="","",INDEX('05_KAPA'!$L:$L,$A401))</f>
        <v/>
      </c>
      <c r="G401">
        <f>IF($A401="","",INDEX('05_KAPA'!$I:$I,$A401))</f>
        <v/>
      </c>
      <c r="H401" s="202">
        <f>IF($A401="","",INDEX('05_KAPA'!$P:$P,$A401))</f>
        <v/>
      </c>
      <c r="I401" s="118">
        <f>IF($A401="","",INDEX('05_KAPA'!$O:$O,$A401))</f>
        <v/>
      </c>
      <c r="J401" s="202">
        <f>IF($A401="","",IFERROR(DATE(LEFT(TEXT(INDEX('05_KAPA'!$T:$T,$A401),"0"),4),MID(TEXT(INDEX('05_KAPA'!$T:$T,$A401),"0"),5,2),RIGHT(TEXT(INDEX('05_KAPA'!$T:$T,$A401),"0"),2)),""))</f>
        <v/>
      </c>
      <c r="K401">
        <f>IF(C401="","",IF('02_대상물건입력'!$B$5="",1,IF(ISNUMBER(SEARCH('02_대상물건입력'!$B$5,C401)),1,0)))</f>
        <v/>
      </c>
      <c r="L401">
        <f>IF(C401="","",IF('02_대상물건입력'!$B$6="",1,IF(ISNUMBER(SEARCH('02_대상물건입력'!$B$6,C401)),1,0)))</f>
        <v/>
      </c>
      <c r="M401">
        <f>IF(E401="","",IF('02_대상물건입력'!$B$8="",0,IF(ISNUMBER(SEARCH('02_대상물건입력'!$B$8,E401)),1,0)))</f>
        <v/>
      </c>
      <c r="N401">
        <f>IF(B401="","",IF(B401="담보",1,0))</f>
        <v/>
      </c>
      <c r="O401">
        <f>IFERROR(ABS(G401-'02_대상물건입력'!$B$11)/'02_대상물건입력'!$B$11,"")</f>
        <v/>
      </c>
      <c r="P401">
        <f>IFERROR(ABS('01_설정'!$B$4-H401),"")</f>
        <v/>
      </c>
      <c r="Q401">
        <f>IFERROR(ABS(YEAR(J401)-YEAR('02_대상물건입력'!$B$14)),"")</f>
        <v/>
      </c>
      <c r="R401">
        <f>IF(AND(G401&gt;0,H401&gt;0,I401&gt;0,N401=1,IF('01_설정'!$B$10=1,K401=1,TRUE()),O401&lt;='01_설정'!$B$5,P401&lt;='01_설정'!$B$7,Q401&lt;='01_설정'!$B$8),"Y","")</f>
        <v/>
      </c>
      <c r="S401">
        <f>IF(R401&lt;&gt;"Y","",MAX(0,(1-O401/'01_설정'!$B$5))*'01_설정'!$B$14+MAX(0,(1-P401/'01_설정'!$B$7))*'01_설정'!$B$16+MAX(0,(1-Q401/'01_설정'!$B$8))*'01_설정'!$B$17+L401*'01_설정'!$B$11+M401*'01_설정'!$B$12+N401*50)</f>
        <v/>
      </c>
      <c r="T401">
        <f>IF(S401="","",1+COUNTIFS($S$31:$S$1030,"&gt;"&amp;S401)+COUNTIFS($S$31:S401,S401)-1)</f>
        <v/>
      </c>
    </row>
    <row r="402" hidden="1" ht="16.5" customHeight="1">
      <c r="A402">
        <f>IF(COUNTA('05_KAPA'!$A373:$AO373)=0,"",375)</f>
        <v/>
      </c>
      <c r="B402">
        <f>IF($A402="","",INDEX('05_KAPA'!$B:$B,$A402))</f>
        <v/>
      </c>
      <c r="C402">
        <f>IF($A402="","",INDEX('05_KAPA'!$F:$F,$A402))</f>
        <v/>
      </c>
      <c r="D402">
        <f>IF($A402="","",INDEX('05_KAPA'!$H:$H,$A402))</f>
        <v/>
      </c>
      <c r="E402">
        <f>IF($A402="","",INDEX('05_KAPA'!$K:$K,$A402))</f>
        <v/>
      </c>
      <c r="F402">
        <f>IF($A402="","",INDEX('05_KAPA'!$L:$L,$A402))</f>
        <v/>
      </c>
      <c r="G402">
        <f>IF($A402="","",INDEX('05_KAPA'!$I:$I,$A402))</f>
        <v/>
      </c>
      <c r="H402" s="202">
        <f>IF($A402="","",INDEX('05_KAPA'!$P:$P,$A402))</f>
        <v/>
      </c>
      <c r="I402" s="118">
        <f>IF($A402="","",INDEX('05_KAPA'!$O:$O,$A402))</f>
        <v/>
      </c>
      <c r="J402" s="202">
        <f>IF($A402="","",IFERROR(DATE(LEFT(TEXT(INDEX('05_KAPA'!$T:$T,$A402),"0"),4),MID(TEXT(INDEX('05_KAPA'!$T:$T,$A402),"0"),5,2),RIGHT(TEXT(INDEX('05_KAPA'!$T:$T,$A402),"0"),2)),""))</f>
        <v/>
      </c>
      <c r="K402">
        <f>IF(C402="","",IF('02_대상물건입력'!$B$5="",1,IF(ISNUMBER(SEARCH('02_대상물건입력'!$B$5,C402)),1,0)))</f>
        <v/>
      </c>
      <c r="L402">
        <f>IF(C402="","",IF('02_대상물건입력'!$B$6="",1,IF(ISNUMBER(SEARCH('02_대상물건입력'!$B$6,C402)),1,0)))</f>
        <v/>
      </c>
      <c r="M402">
        <f>IF(E402="","",IF('02_대상물건입력'!$B$8="",0,IF(ISNUMBER(SEARCH('02_대상물건입력'!$B$8,E402)),1,0)))</f>
        <v/>
      </c>
      <c r="N402">
        <f>IF(B402="","",IF(B402="담보",1,0))</f>
        <v/>
      </c>
      <c r="O402">
        <f>IFERROR(ABS(G402-'02_대상물건입력'!$B$11)/'02_대상물건입력'!$B$11,"")</f>
        <v/>
      </c>
      <c r="P402">
        <f>IFERROR(ABS('01_설정'!$B$4-H402),"")</f>
        <v/>
      </c>
      <c r="Q402">
        <f>IFERROR(ABS(YEAR(J402)-YEAR('02_대상물건입력'!$B$14)),"")</f>
        <v/>
      </c>
      <c r="R402">
        <f>IF(AND(G402&gt;0,H402&gt;0,I402&gt;0,N402=1,IF('01_설정'!$B$10=1,K402=1,TRUE()),O402&lt;='01_설정'!$B$5,P402&lt;='01_설정'!$B$7,Q402&lt;='01_설정'!$B$8),"Y","")</f>
        <v/>
      </c>
      <c r="S402">
        <f>IF(R402&lt;&gt;"Y","",MAX(0,(1-O402/'01_설정'!$B$5))*'01_설정'!$B$14+MAX(0,(1-P402/'01_설정'!$B$7))*'01_설정'!$B$16+MAX(0,(1-Q402/'01_설정'!$B$8))*'01_설정'!$B$17+L402*'01_설정'!$B$11+M402*'01_설정'!$B$12+N402*50)</f>
        <v/>
      </c>
      <c r="T402">
        <f>IF(S402="","",1+COUNTIFS($S$31:$S$1030,"&gt;"&amp;S402)+COUNTIFS($S$31:S402,S402)-1)</f>
        <v/>
      </c>
    </row>
    <row r="403" hidden="1" ht="16.5" customHeight="1">
      <c r="A403">
        <f>IF(COUNTA('05_KAPA'!$A374:$AO374)=0,"",376)</f>
        <v/>
      </c>
      <c r="B403">
        <f>IF($A403="","",INDEX('05_KAPA'!$B:$B,$A403))</f>
        <v/>
      </c>
      <c r="C403">
        <f>IF($A403="","",INDEX('05_KAPA'!$F:$F,$A403))</f>
        <v/>
      </c>
      <c r="D403">
        <f>IF($A403="","",INDEX('05_KAPA'!$H:$H,$A403))</f>
        <v/>
      </c>
      <c r="E403">
        <f>IF($A403="","",INDEX('05_KAPA'!$K:$K,$A403))</f>
        <v/>
      </c>
      <c r="F403">
        <f>IF($A403="","",INDEX('05_KAPA'!$L:$L,$A403))</f>
        <v/>
      </c>
      <c r="G403">
        <f>IF($A403="","",INDEX('05_KAPA'!$I:$I,$A403))</f>
        <v/>
      </c>
      <c r="H403" s="202">
        <f>IF($A403="","",INDEX('05_KAPA'!$P:$P,$A403))</f>
        <v/>
      </c>
      <c r="I403" s="118">
        <f>IF($A403="","",INDEX('05_KAPA'!$O:$O,$A403))</f>
        <v/>
      </c>
      <c r="J403" s="202">
        <f>IF($A403="","",IFERROR(DATE(LEFT(TEXT(INDEX('05_KAPA'!$T:$T,$A403),"0"),4),MID(TEXT(INDEX('05_KAPA'!$T:$T,$A403),"0"),5,2),RIGHT(TEXT(INDEX('05_KAPA'!$T:$T,$A403),"0"),2)),""))</f>
        <v/>
      </c>
      <c r="K403">
        <f>IF(C403="","",IF('02_대상물건입력'!$B$5="",1,IF(ISNUMBER(SEARCH('02_대상물건입력'!$B$5,C403)),1,0)))</f>
        <v/>
      </c>
      <c r="L403">
        <f>IF(C403="","",IF('02_대상물건입력'!$B$6="",1,IF(ISNUMBER(SEARCH('02_대상물건입력'!$B$6,C403)),1,0)))</f>
        <v/>
      </c>
      <c r="M403">
        <f>IF(E403="","",IF('02_대상물건입력'!$B$8="",0,IF(ISNUMBER(SEARCH('02_대상물건입력'!$B$8,E403)),1,0)))</f>
        <v/>
      </c>
      <c r="N403">
        <f>IF(B403="","",IF(B403="담보",1,0))</f>
        <v/>
      </c>
      <c r="O403">
        <f>IFERROR(ABS(G403-'02_대상물건입력'!$B$11)/'02_대상물건입력'!$B$11,"")</f>
        <v/>
      </c>
      <c r="P403">
        <f>IFERROR(ABS('01_설정'!$B$4-H403),"")</f>
        <v/>
      </c>
      <c r="Q403">
        <f>IFERROR(ABS(YEAR(J403)-YEAR('02_대상물건입력'!$B$14)),"")</f>
        <v/>
      </c>
      <c r="R403">
        <f>IF(AND(G403&gt;0,H403&gt;0,I403&gt;0,N403=1,IF('01_설정'!$B$10=1,K403=1,TRUE()),O403&lt;='01_설정'!$B$5,P403&lt;='01_설정'!$B$7,Q403&lt;='01_설정'!$B$8),"Y","")</f>
        <v/>
      </c>
      <c r="S403">
        <f>IF(R403&lt;&gt;"Y","",MAX(0,(1-O403/'01_설정'!$B$5))*'01_설정'!$B$14+MAX(0,(1-P403/'01_설정'!$B$7))*'01_설정'!$B$16+MAX(0,(1-Q403/'01_설정'!$B$8))*'01_설정'!$B$17+L403*'01_설정'!$B$11+M403*'01_설정'!$B$12+N403*50)</f>
        <v/>
      </c>
      <c r="T403">
        <f>IF(S403="","",1+COUNTIFS($S$31:$S$1030,"&gt;"&amp;S403)+COUNTIFS($S$31:S403,S403)-1)</f>
        <v/>
      </c>
    </row>
    <row r="404" hidden="1" ht="16.5" customHeight="1">
      <c r="A404">
        <f>IF(COUNTA('05_KAPA'!$A375:$AO375)=0,"",377)</f>
        <v/>
      </c>
      <c r="B404">
        <f>IF($A404="","",INDEX('05_KAPA'!$B:$B,$A404))</f>
        <v/>
      </c>
      <c r="C404">
        <f>IF($A404="","",INDEX('05_KAPA'!$F:$F,$A404))</f>
        <v/>
      </c>
      <c r="D404">
        <f>IF($A404="","",INDEX('05_KAPA'!$H:$H,$A404))</f>
        <v/>
      </c>
      <c r="E404">
        <f>IF($A404="","",INDEX('05_KAPA'!$K:$K,$A404))</f>
        <v/>
      </c>
      <c r="F404">
        <f>IF($A404="","",INDEX('05_KAPA'!$L:$L,$A404))</f>
        <v/>
      </c>
      <c r="G404">
        <f>IF($A404="","",INDEX('05_KAPA'!$I:$I,$A404))</f>
        <v/>
      </c>
      <c r="H404" s="202">
        <f>IF($A404="","",INDEX('05_KAPA'!$P:$P,$A404))</f>
        <v/>
      </c>
      <c r="I404" s="118">
        <f>IF($A404="","",INDEX('05_KAPA'!$O:$O,$A404))</f>
        <v/>
      </c>
      <c r="J404" s="202">
        <f>IF($A404="","",IFERROR(DATE(LEFT(TEXT(INDEX('05_KAPA'!$T:$T,$A404),"0"),4),MID(TEXT(INDEX('05_KAPA'!$T:$T,$A404),"0"),5,2),RIGHT(TEXT(INDEX('05_KAPA'!$T:$T,$A404),"0"),2)),""))</f>
        <v/>
      </c>
      <c r="K404">
        <f>IF(C404="","",IF('02_대상물건입력'!$B$5="",1,IF(ISNUMBER(SEARCH('02_대상물건입력'!$B$5,C404)),1,0)))</f>
        <v/>
      </c>
      <c r="L404">
        <f>IF(C404="","",IF('02_대상물건입력'!$B$6="",1,IF(ISNUMBER(SEARCH('02_대상물건입력'!$B$6,C404)),1,0)))</f>
        <v/>
      </c>
      <c r="M404">
        <f>IF(E404="","",IF('02_대상물건입력'!$B$8="",0,IF(ISNUMBER(SEARCH('02_대상물건입력'!$B$8,E404)),1,0)))</f>
        <v/>
      </c>
      <c r="N404">
        <f>IF(B404="","",IF(B404="담보",1,0))</f>
        <v/>
      </c>
      <c r="O404">
        <f>IFERROR(ABS(G404-'02_대상물건입력'!$B$11)/'02_대상물건입력'!$B$11,"")</f>
        <v/>
      </c>
      <c r="P404">
        <f>IFERROR(ABS('01_설정'!$B$4-H404),"")</f>
        <v/>
      </c>
      <c r="Q404">
        <f>IFERROR(ABS(YEAR(J404)-YEAR('02_대상물건입력'!$B$14)),"")</f>
        <v/>
      </c>
      <c r="R404">
        <f>IF(AND(G404&gt;0,H404&gt;0,I404&gt;0,N404=1,IF('01_설정'!$B$10=1,K404=1,TRUE()),O404&lt;='01_설정'!$B$5,P404&lt;='01_설정'!$B$7,Q404&lt;='01_설정'!$B$8),"Y","")</f>
        <v/>
      </c>
      <c r="S404">
        <f>IF(R404&lt;&gt;"Y","",MAX(0,(1-O404/'01_설정'!$B$5))*'01_설정'!$B$14+MAX(0,(1-P404/'01_설정'!$B$7))*'01_설정'!$B$16+MAX(0,(1-Q404/'01_설정'!$B$8))*'01_설정'!$B$17+L404*'01_설정'!$B$11+M404*'01_설정'!$B$12+N404*50)</f>
        <v/>
      </c>
      <c r="T404">
        <f>IF(S404="","",1+COUNTIFS($S$31:$S$1030,"&gt;"&amp;S404)+COUNTIFS($S$31:S404,S404)-1)</f>
        <v/>
      </c>
    </row>
    <row r="405" hidden="1" ht="16.5" customHeight="1">
      <c r="A405">
        <f>IF(COUNTA('05_KAPA'!$A376:$AO376)=0,"",378)</f>
        <v/>
      </c>
      <c r="B405">
        <f>IF($A405="","",INDEX('05_KAPA'!$B:$B,$A405))</f>
        <v/>
      </c>
      <c r="C405">
        <f>IF($A405="","",INDEX('05_KAPA'!$F:$F,$A405))</f>
        <v/>
      </c>
      <c r="D405">
        <f>IF($A405="","",INDEX('05_KAPA'!$H:$H,$A405))</f>
        <v/>
      </c>
      <c r="E405">
        <f>IF($A405="","",INDEX('05_KAPA'!$K:$K,$A405))</f>
        <v/>
      </c>
      <c r="F405">
        <f>IF($A405="","",INDEX('05_KAPA'!$L:$L,$A405))</f>
        <v/>
      </c>
      <c r="G405">
        <f>IF($A405="","",INDEX('05_KAPA'!$I:$I,$A405))</f>
        <v/>
      </c>
      <c r="H405" s="202">
        <f>IF($A405="","",INDEX('05_KAPA'!$P:$P,$A405))</f>
        <v/>
      </c>
      <c r="I405" s="118">
        <f>IF($A405="","",INDEX('05_KAPA'!$O:$O,$A405))</f>
        <v/>
      </c>
      <c r="J405" s="202">
        <f>IF($A405="","",IFERROR(DATE(LEFT(TEXT(INDEX('05_KAPA'!$T:$T,$A405),"0"),4),MID(TEXT(INDEX('05_KAPA'!$T:$T,$A405),"0"),5,2),RIGHT(TEXT(INDEX('05_KAPA'!$T:$T,$A405),"0"),2)),""))</f>
        <v/>
      </c>
      <c r="K405">
        <f>IF(C405="","",IF('02_대상물건입력'!$B$5="",1,IF(ISNUMBER(SEARCH('02_대상물건입력'!$B$5,C405)),1,0)))</f>
        <v/>
      </c>
      <c r="L405">
        <f>IF(C405="","",IF('02_대상물건입력'!$B$6="",1,IF(ISNUMBER(SEARCH('02_대상물건입력'!$B$6,C405)),1,0)))</f>
        <v/>
      </c>
      <c r="M405">
        <f>IF(E405="","",IF('02_대상물건입력'!$B$8="",0,IF(ISNUMBER(SEARCH('02_대상물건입력'!$B$8,E405)),1,0)))</f>
        <v/>
      </c>
      <c r="N405">
        <f>IF(B405="","",IF(B405="담보",1,0))</f>
        <v/>
      </c>
      <c r="O405">
        <f>IFERROR(ABS(G405-'02_대상물건입력'!$B$11)/'02_대상물건입력'!$B$11,"")</f>
        <v/>
      </c>
      <c r="P405">
        <f>IFERROR(ABS('01_설정'!$B$4-H405),"")</f>
        <v/>
      </c>
      <c r="Q405">
        <f>IFERROR(ABS(YEAR(J405)-YEAR('02_대상물건입력'!$B$14)),"")</f>
        <v/>
      </c>
      <c r="R405">
        <f>IF(AND(G405&gt;0,H405&gt;0,I405&gt;0,N405=1,IF('01_설정'!$B$10=1,K405=1,TRUE()),O405&lt;='01_설정'!$B$5,P405&lt;='01_설정'!$B$7,Q405&lt;='01_설정'!$B$8),"Y","")</f>
        <v/>
      </c>
      <c r="S405">
        <f>IF(R405&lt;&gt;"Y","",MAX(0,(1-O405/'01_설정'!$B$5))*'01_설정'!$B$14+MAX(0,(1-P405/'01_설정'!$B$7))*'01_설정'!$B$16+MAX(0,(1-Q405/'01_설정'!$B$8))*'01_설정'!$B$17+L405*'01_설정'!$B$11+M405*'01_설정'!$B$12+N405*50)</f>
        <v/>
      </c>
      <c r="T405">
        <f>IF(S405="","",1+COUNTIFS($S$31:$S$1030,"&gt;"&amp;S405)+COUNTIFS($S$31:S405,S405)-1)</f>
        <v/>
      </c>
    </row>
    <row r="406" hidden="1" ht="16.5" customHeight="1">
      <c r="A406">
        <f>IF(COUNTA('05_KAPA'!$A377:$AO377)=0,"",379)</f>
        <v/>
      </c>
      <c r="B406">
        <f>IF($A406="","",INDEX('05_KAPA'!$B:$B,$A406))</f>
        <v/>
      </c>
      <c r="C406">
        <f>IF($A406="","",INDEX('05_KAPA'!$F:$F,$A406))</f>
        <v/>
      </c>
      <c r="D406">
        <f>IF($A406="","",INDEX('05_KAPA'!$H:$H,$A406))</f>
        <v/>
      </c>
      <c r="E406">
        <f>IF($A406="","",INDEX('05_KAPA'!$K:$K,$A406))</f>
        <v/>
      </c>
      <c r="F406">
        <f>IF($A406="","",INDEX('05_KAPA'!$L:$L,$A406))</f>
        <v/>
      </c>
      <c r="G406">
        <f>IF($A406="","",INDEX('05_KAPA'!$I:$I,$A406))</f>
        <v/>
      </c>
      <c r="H406" s="202">
        <f>IF($A406="","",INDEX('05_KAPA'!$P:$P,$A406))</f>
        <v/>
      </c>
      <c r="I406" s="118">
        <f>IF($A406="","",INDEX('05_KAPA'!$O:$O,$A406))</f>
        <v/>
      </c>
      <c r="J406" s="202">
        <f>IF($A406="","",IFERROR(DATE(LEFT(TEXT(INDEX('05_KAPA'!$T:$T,$A406),"0"),4),MID(TEXT(INDEX('05_KAPA'!$T:$T,$A406),"0"),5,2),RIGHT(TEXT(INDEX('05_KAPA'!$T:$T,$A406),"0"),2)),""))</f>
        <v/>
      </c>
      <c r="K406">
        <f>IF(C406="","",IF('02_대상물건입력'!$B$5="",1,IF(ISNUMBER(SEARCH('02_대상물건입력'!$B$5,C406)),1,0)))</f>
        <v/>
      </c>
      <c r="L406">
        <f>IF(C406="","",IF('02_대상물건입력'!$B$6="",1,IF(ISNUMBER(SEARCH('02_대상물건입력'!$B$6,C406)),1,0)))</f>
        <v/>
      </c>
      <c r="M406">
        <f>IF(E406="","",IF('02_대상물건입력'!$B$8="",0,IF(ISNUMBER(SEARCH('02_대상물건입력'!$B$8,E406)),1,0)))</f>
        <v/>
      </c>
      <c r="N406">
        <f>IF(B406="","",IF(B406="담보",1,0))</f>
        <v/>
      </c>
      <c r="O406">
        <f>IFERROR(ABS(G406-'02_대상물건입력'!$B$11)/'02_대상물건입력'!$B$11,"")</f>
        <v/>
      </c>
      <c r="P406">
        <f>IFERROR(ABS('01_설정'!$B$4-H406),"")</f>
        <v/>
      </c>
      <c r="Q406">
        <f>IFERROR(ABS(YEAR(J406)-YEAR('02_대상물건입력'!$B$14)),"")</f>
        <v/>
      </c>
      <c r="R406">
        <f>IF(AND(G406&gt;0,H406&gt;0,I406&gt;0,N406=1,IF('01_설정'!$B$10=1,K406=1,TRUE()),O406&lt;='01_설정'!$B$5,P406&lt;='01_설정'!$B$7,Q406&lt;='01_설정'!$B$8),"Y","")</f>
        <v/>
      </c>
      <c r="S406">
        <f>IF(R406&lt;&gt;"Y","",MAX(0,(1-O406/'01_설정'!$B$5))*'01_설정'!$B$14+MAX(0,(1-P406/'01_설정'!$B$7))*'01_설정'!$B$16+MAX(0,(1-Q406/'01_설정'!$B$8))*'01_설정'!$B$17+L406*'01_설정'!$B$11+M406*'01_설정'!$B$12+N406*50)</f>
        <v/>
      </c>
      <c r="T406">
        <f>IF(S406="","",1+COUNTIFS($S$31:$S$1030,"&gt;"&amp;S406)+COUNTIFS($S$31:S406,S406)-1)</f>
        <v/>
      </c>
    </row>
    <row r="407" hidden="1" ht="16.5" customHeight="1">
      <c r="A407">
        <f>IF(COUNTA('05_KAPA'!$A378:$AO378)=0,"",380)</f>
        <v/>
      </c>
      <c r="B407">
        <f>IF($A407="","",INDEX('05_KAPA'!$B:$B,$A407))</f>
        <v/>
      </c>
      <c r="C407">
        <f>IF($A407="","",INDEX('05_KAPA'!$F:$F,$A407))</f>
        <v/>
      </c>
      <c r="D407">
        <f>IF($A407="","",INDEX('05_KAPA'!$H:$H,$A407))</f>
        <v/>
      </c>
      <c r="E407">
        <f>IF($A407="","",INDEX('05_KAPA'!$K:$K,$A407))</f>
        <v/>
      </c>
      <c r="F407">
        <f>IF($A407="","",INDEX('05_KAPA'!$L:$L,$A407))</f>
        <v/>
      </c>
      <c r="G407">
        <f>IF($A407="","",INDEX('05_KAPA'!$I:$I,$A407))</f>
        <v/>
      </c>
      <c r="H407" s="202">
        <f>IF($A407="","",INDEX('05_KAPA'!$P:$P,$A407))</f>
        <v/>
      </c>
      <c r="I407" s="118">
        <f>IF($A407="","",INDEX('05_KAPA'!$O:$O,$A407))</f>
        <v/>
      </c>
      <c r="J407" s="202">
        <f>IF($A407="","",IFERROR(DATE(LEFT(TEXT(INDEX('05_KAPA'!$T:$T,$A407),"0"),4),MID(TEXT(INDEX('05_KAPA'!$T:$T,$A407),"0"),5,2),RIGHT(TEXT(INDEX('05_KAPA'!$T:$T,$A407),"0"),2)),""))</f>
        <v/>
      </c>
      <c r="K407">
        <f>IF(C407="","",IF('02_대상물건입력'!$B$5="",1,IF(ISNUMBER(SEARCH('02_대상물건입력'!$B$5,C407)),1,0)))</f>
        <v/>
      </c>
      <c r="L407">
        <f>IF(C407="","",IF('02_대상물건입력'!$B$6="",1,IF(ISNUMBER(SEARCH('02_대상물건입력'!$B$6,C407)),1,0)))</f>
        <v/>
      </c>
      <c r="M407">
        <f>IF(E407="","",IF('02_대상물건입력'!$B$8="",0,IF(ISNUMBER(SEARCH('02_대상물건입력'!$B$8,E407)),1,0)))</f>
        <v/>
      </c>
      <c r="N407">
        <f>IF(B407="","",IF(B407="담보",1,0))</f>
        <v/>
      </c>
      <c r="O407">
        <f>IFERROR(ABS(G407-'02_대상물건입력'!$B$11)/'02_대상물건입력'!$B$11,"")</f>
        <v/>
      </c>
      <c r="P407">
        <f>IFERROR(ABS('01_설정'!$B$4-H407),"")</f>
        <v/>
      </c>
      <c r="Q407">
        <f>IFERROR(ABS(YEAR(J407)-YEAR('02_대상물건입력'!$B$14)),"")</f>
        <v/>
      </c>
      <c r="R407">
        <f>IF(AND(G407&gt;0,H407&gt;0,I407&gt;0,N407=1,IF('01_설정'!$B$10=1,K407=1,TRUE()),O407&lt;='01_설정'!$B$5,P407&lt;='01_설정'!$B$7,Q407&lt;='01_설정'!$B$8),"Y","")</f>
        <v/>
      </c>
      <c r="S407">
        <f>IF(R407&lt;&gt;"Y","",MAX(0,(1-O407/'01_설정'!$B$5))*'01_설정'!$B$14+MAX(0,(1-P407/'01_설정'!$B$7))*'01_설정'!$B$16+MAX(0,(1-Q407/'01_설정'!$B$8))*'01_설정'!$B$17+L407*'01_설정'!$B$11+M407*'01_설정'!$B$12+N407*50)</f>
        <v/>
      </c>
      <c r="T407">
        <f>IF(S407="","",1+COUNTIFS($S$31:$S$1030,"&gt;"&amp;S407)+COUNTIFS($S$31:S407,S407)-1)</f>
        <v/>
      </c>
    </row>
    <row r="408" hidden="1" ht="16.5" customHeight="1">
      <c r="A408">
        <f>IF(COUNTA('05_KAPA'!$A379:$AO379)=0,"",381)</f>
        <v/>
      </c>
      <c r="B408">
        <f>IF($A408="","",INDEX('05_KAPA'!$B:$B,$A408))</f>
        <v/>
      </c>
      <c r="C408">
        <f>IF($A408="","",INDEX('05_KAPA'!$F:$F,$A408))</f>
        <v/>
      </c>
      <c r="D408">
        <f>IF($A408="","",INDEX('05_KAPA'!$H:$H,$A408))</f>
        <v/>
      </c>
      <c r="E408">
        <f>IF($A408="","",INDEX('05_KAPA'!$K:$K,$A408))</f>
        <v/>
      </c>
      <c r="F408">
        <f>IF($A408="","",INDEX('05_KAPA'!$L:$L,$A408))</f>
        <v/>
      </c>
      <c r="G408">
        <f>IF($A408="","",INDEX('05_KAPA'!$I:$I,$A408))</f>
        <v/>
      </c>
      <c r="H408" s="202">
        <f>IF($A408="","",INDEX('05_KAPA'!$P:$P,$A408))</f>
        <v/>
      </c>
      <c r="I408" s="118">
        <f>IF($A408="","",INDEX('05_KAPA'!$O:$O,$A408))</f>
        <v/>
      </c>
      <c r="J408" s="202">
        <f>IF($A408="","",IFERROR(DATE(LEFT(TEXT(INDEX('05_KAPA'!$T:$T,$A408),"0"),4),MID(TEXT(INDEX('05_KAPA'!$T:$T,$A408),"0"),5,2),RIGHT(TEXT(INDEX('05_KAPA'!$T:$T,$A408),"0"),2)),""))</f>
        <v/>
      </c>
      <c r="K408">
        <f>IF(C408="","",IF('02_대상물건입력'!$B$5="",1,IF(ISNUMBER(SEARCH('02_대상물건입력'!$B$5,C408)),1,0)))</f>
        <v/>
      </c>
      <c r="L408">
        <f>IF(C408="","",IF('02_대상물건입력'!$B$6="",1,IF(ISNUMBER(SEARCH('02_대상물건입력'!$B$6,C408)),1,0)))</f>
        <v/>
      </c>
      <c r="M408">
        <f>IF(E408="","",IF('02_대상물건입력'!$B$8="",0,IF(ISNUMBER(SEARCH('02_대상물건입력'!$B$8,E408)),1,0)))</f>
        <v/>
      </c>
      <c r="N408">
        <f>IF(B408="","",IF(B408="담보",1,0))</f>
        <v/>
      </c>
      <c r="O408">
        <f>IFERROR(ABS(G408-'02_대상물건입력'!$B$11)/'02_대상물건입력'!$B$11,"")</f>
        <v/>
      </c>
      <c r="P408">
        <f>IFERROR(ABS('01_설정'!$B$4-H408),"")</f>
        <v/>
      </c>
      <c r="Q408">
        <f>IFERROR(ABS(YEAR(J408)-YEAR('02_대상물건입력'!$B$14)),"")</f>
        <v/>
      </c>
      <c r="R408">
        <f>IF(AND(G408&gt;0,H408&gt;0,I408&gt;0,N408=1,IF('01_설정'!$B$10=1,K408=1,TRUE()),O408&lt;='01_설정'!$B$5,P408&lt;='01_설정'!$B$7,Q408&lt;='01_설정'!$B$8),"Y","")</f>
        <v/>
      </c>
      <c r="S408">
        <f>IF(R408&lt;&gt;"Y","",MAX(0,(1-O408/'01_설정'!$B$5))*'01_설정'!$B$14+MAX(0,(1-P408/'01_설정'!$B$7))*'01_설정'!$B$16+MAX(0,(1-Q408/'01_설정'!$B$8))*'01_설정'!$B$17+L408*'01_설정'!$B$11+M408*'01_설정'!$B$12+N408*50)</f>
        <v/>
      </c>
      <c r="T408">
        <f>IF(S408="","",1+COUNTIFS($S$31:$S$1030,"&gt;"&amp;S408)+COUNTIFS($S$31:S408,S408)-1)</f>
        <v/>
      </c>
    </row>
    <row r="409" hidden="1" ht="16.5" customHeight="1">
      <c r="A409">
        <f>IF(COUNTA('05_KAPA'!$A380:$AO380)=0,"",382)</f>
        <v/>
      </c>
      <c r="B409">
        <f>IF($A409="","",INDEX('05_KAPA'!$B:$B,$A409))</f>
        <v/>
      </c>
      <c r="C409">
        <f>IF($A409="","",INDEX('05_KAPA'!$F:$F,$A409))</f>
        <v/>
      </c>
      <c r="D409">
        <f>IF($A409="","",INDEX('05_KAPA'!$H:$H,$A409))</f>
        <v/>
      </c>
      <c r="E409">
        <f>IF($A409="","",INDEX('05_KAPA'!$K:$K,$A409))</f>
        <v/>
      </c>
      <c r="F409">
        <f>IF($A409="","",INDEX('05_KAPA'!$L:$L,$A409))</f>
        <v/>
      </c>
      <c r="G409">
        <f>IF($A409="","",INDEX('05_KAPA'!$I:$I,$A409))</f>
        <v/>
      </c>
      <c r="H409" s="202">
        <f>IF($A409="","",INDEX('05_KAPA'!$P:$P,$A409))</f>
        <v/>
      </c>
      <c r="I409" s="118">
        <f>IF($A409="","",INDEX('05_KAPA'!$O:$O,$A409))</f>
        <v/>
      </c>
      <c r="J409" s="202">
        <f>IF($A409="","",IFERROR(DATE(LEFT(TEXT(INDEX('05_KAPA'!$T:$T,$A409),"0"),4),MID(TEXT(INDEX('05_KAPA'!$T:$T,$A409),"0"),5,2),RIGHT(TEXT(INDEX('05_KAPA'!$T:$T,$A409),"0"),2)),""))</f>
        <v/>
      </c>
      <c r="K409">
        <f>IF(C409="","",IF('02_대상물건입력'!$B$5="",1,IF(ISNUMBER(SEARCH('02_대상물건입력'!$B$5,C409)),1,0)))</f>
        <v/>
      </c>
      <c r="L409">
        <f>IF(C409="","",IF('02_대상물건입력'!$B$6="",1,IF(ISNUMBER(SEARCH('02_대상물건입력'!$B$6,C409)),1,0)))</f>
        <v/>
      </c>
      <c r="M409">
        <f>IF(E409="","",IF('02_대상물건입력'!$B$8="",0,IF(ISNUMBER(SEARCH('02_대상물건입력'!$B$8,E409)),1,0)))</f>
        <v/>
      </c>
      <c r="N409">
        <f>IF(B409="","",IF(B409="담보",1,0))</f>
        <v/>
      </c>
      <c r="O409">
        <f>IFERROR(ABS(G409-'02_대상물건입력'!$B$11)/'02_대상물건입력'!$B$11,"")</f>
        <v/>
      </c>
      <c r="P409">
        <f>IFERROR(ABS('01_설정'!$B$4-H409),"")</f>
        <v/>
      </c>
      <c r="Q409">
        <f>IFERROR(ABS(YEAR(J409)-YEAR('02_대상물건입력'!$B$14)),"")</f>
        <v/>
      </c>
      <c r="R409">
        <f>IF(AND(G409&gt;0,H409&gt;0,I409&gt;0,N409=1,IF('01_설정'!$B$10=1,K409=1,TRUE()),O409&lt;='01_설정'!$B$5,P409&lt;='01_설정'!$B$7,Q409&lt;='01_설정'!$B$8),"Y","")</f>
        <v/>
      </c>
      <c r="S409">
        <f>IF(R409&lt;&gt;"Y","",MAX(0,(1-O409/'01_설정'!$B$5))*'01_설정'!$B$14+MAX(0,(1-P409/'01_설정'!$B$7))*'01_설정'!$B$16+MAX(0,(1-Q409/'01_설정'!$B$8))*'01_설정'!$B$17+L409*'01_설정'!$B$11+M409*'01_설정'!$B$12+N409*50)</f>
        <v/>
      </c>
      <c r="T409">
        <f>IF(S409="","",1+COUNTIFS($S$31:$S$1030,"&gt;"&amp;S409)+COUNTIFS($S$31:S409,S409)-1)</f>
        <v/>
      </c>
    </row>
    <row r="410" hidden="1" ht="16.5" customHeight="1">
      <c r="A410">
        <f>IF(COUNTA('05_KAPA'!$A381:$AO381)=0,"",383)</f>
        <v/>
      </c>
      <c r="B410">
        <f>IF($A410="","",INDEX('05_KAPA'!$B:$B,$A410))</f>
        <v/>
      </c>
      <c r="C410">
        <f>IF($A410="","",INDEX('05_KAPA'!$F:$F,$A410))</f>
        <v/>
      </c>
      <c r="D410">
        <f>IF($A410="","",INDEX('05_KAPA'!$H:$H,$A410))</f>
        <v/>
      </c>
      <c r="E410">
        <f>IF($A410="","",INDEX('05_KAPA'!$K:$K,$A410))</f>
        <v/>
      </c>
      <c r="F410">
        <f>IF($A410="","",INDEX('05_KAPA'!$L:$L,$A410))</f>
        <v/>
      </c>
      <c r="G410">
        <f>IF($A410="","",INDEX('05_KAPA'!$I:$I,$A410))</f>
        <v/>
      </c>
      <c r="H410" s="202">
        <f>IF($A410="","",INDEX('05_KAPA'!$P:$P,$A410))</f>
        <v/>
      </c>
      <c r="I410" s="118">
        <f>IF($A410="","",INDEX('05_KAPA'!$O:$O,$A410))</f>
        <v/>
      </c>
      <c r="J410" s="202">
        <f>IF($A410="","",IFERROR(DATE(LEFT(TEXT(INDEX('05_KAPA'!$T:$T,$A410),"0"),4),MID(TEXT(INDEX('05_KAPA'!$T:$T,$A410),"0"),5,2),RIGHT(TEXT(INDEX('05_KAPA'!$T:$T,$A410),"0"),2)),""))</f>
        <v/>
      </c>
      <c r="K410">
        <f>IF(C410="","",IF('02_대상물건입력'!$B$5="",1,IF(ISNUMBER(SEARCH('02_대상물건입력'!$B$5,C410)),1,0)))</f>
        <v/>
      </c>
      <c r="L410">
        <f>IF(C410="","",IF('02_대상물건입력'!$B$6="",1,IF(ISNUMBER(SEARCH('02_대상물건입력'!$B$6,C410)),1,0)))</f>
        <v/>
      </c>
      <c r="M410">
        <f>IF(E410="","",IF('02_대상물건입력'!$B$8="",0,IF(ISNUMBER(SEARCH('02_대상물건입력'!$B$8,E410)),1,0)))</f>
        <v/>
      </c>
      <c r="N410">
        <f>IF(B410="","",IF(B410="담보",1,0))</f>
        <v/>
      </c>
      <c r="O410">
        <f>IFERROR(ABS(G410-'02_대상물건입력'!$B$11)/'02_대상물건입력'!$B$11,"")</f>
        <v/>
      </c>
      <c r="P410">
        <f>IFERROR(ABS('01_설정'!$B$4-H410),"")</f>
        <v/>
      </c>
      <c r="Q410">
        <f>IFERROR(ABS(YEAR(J410)-YEAR('02_대상물건입력'!$B$14)),"")</f>
        <v/>
      </c>
      <c r="R410">
        <f>IF(AND(G410&gt;0,H410&gt;0,I410&gt;0,N410=1,IF('01_설정'!$B$10=1,K410=1,TRUE()),O410&lt;='01_설정'!$B$5,P410&lt;='01_설정'!$B$7,Q410&lt;='01_설정'!$B$8),"Y","")</f>
        <v/>
      </c>
      <c r="S410">
        <f>IF(R410&lt;&gt;"Y","",MAX(0,(1-O410/'01_설정'!$B$5))*'01_설정'!$B$14+MAX(0,(1-P410/'01_설정'!$B$7))*'01_설정'!$B$16+MAX(0,(1-Q410/'01_설정'!$B$8))*'01_설정'!$B$17+L410*'01_설정'!$B$11+M410*'01_설정'!$B$12+N410*50)</f>
        <v/>
      </c>
      <c r="T410">
        <f>IF(S410="","",1+COUNTIFS($S$31:$S$1030,"&gt;"&amp;S410)+COUNTIFS($S$31:S410,S410)-1)</f>
        <v/>
      </c>
    </row>
    <row r="411" hidden="1" ht="16.5" customHeight="1">
      <c r="A411">
        <f>IF(COUNTA('05_KAPA'!$A382:$AO382)=0,"",384)</f>
        <v/>
      </c>
      <c r="B411">
        <f>IF($A411="","",INDEX('05_KAPA'!$B:$B,$A411))</f>
        <v/>
      </c>
      <c r="C411">
        <f>IF($A411="","",INDEX('05_KAPA'!$F:$F,$A411))</f>
        <v/>
      </c>
      <c r="D411">
        <f>IF($A411="","",INDEX('05_KAPA'!$H:$H,$A411))</f>
        <v/>
      </c>
      <c r="E411">
        <f>IF($A411="","",INDEX('05_KAPA'!$K:$K,$A411))</f>
        <v/>
      </c>
      <c r="F411">
        <f>IF($A411="","",INDEX('05_KAPA'!$L:$L,$A411))</f>
        <v/>
      </c>
      <c r="G411">
        <f>IF($A411="","",INDEX('05_KAPA'!$I:$I,$A411))</f>
        <v/>
      </c>
      <c r="H411" s="202">
        <f>IF($A411="","",INDEX('05_KAPA'!$P:$P,$A411))</f>
        <v/>
      </c>
      <c r="I411" s="118">
        <f>IF($A411="","",INDEX('05_KAPA'!$O:$O,$A411))</f>
        <v/>
      </c>
      <c r="J411" s="202">
        <f>IF($A411="","",IFERROR(DATE(LEFT(TEXT(INDEX('05_KAPA'!$T:$T,$A411),"0"),4),MID(TEXT(INDEX('05_KAPA'!$T:$T,$A411),"0"),5,2),RIGHT(TEXT(INDEX('05_KAPA'!$T:$T,$A411),"0"),2)),""))</f>
        <v/>
      </c>
      <c r="K411">
        <f>IF(C411="","",IF('02_대상물건입력'!$B$5="",1,IF(ISNUMBER(SEARCH('02_대상물건입력'!$B$5,C411)),1,0)))</f>
        <v/>
      </c>
      <c r="L411">
        <f>IF(C411="","",IF('02_대상물건입력'!$B$6="",1,IF(ISNUMBER(SEARCH('02_대상물건입력'!$B$6,C411)),1,0)))</f>
        <v/>
      </c>
      <c r="M411">
        <f>IF(E411="","",IF('02_대상물건입력'!$B$8="",0,IF(ISNUMBER(SEARCH('02_대상물건입력'!$B$8,E411)),1,0)))</f>
        <v/>
      </c>
      <c r="N411">
        <f>IF(B411="","",IF(B411="담보",1,0))</f>
        <v/>
      </c>
      <c r="O411">
        <f>IFERROR(ABS(G411-'02_대상물건입력'!$B$11)/'02_대상물건입력'!$B$11,"")</f>
        <v/>
      </c>
      <c r="P411">
        <f>IFERROR(ABS('01_설정'!$B$4-H411),"")</f>
        <v/>
      </c>
      <c r="Q411">
        <f>IFERROR(ABS(YEAR(J411)-YEAR('02_대상물건입력'!$B$14)),"")</f>
        <v/>
      </c>
      <c r="R411">
        <f>IF(AND(G411&gt;0,H411&gt;0,I411&gt;0,N411=1,IF('01_설정'!$B$10=1,K411=1,TRUE()),O411&lt;='01_설정'!$B$5,P411&lt;='01_설정'!$B$7,Q411&lt;='01_설정'!$B$8),"Y","")</f>
        <v/>
      </c>
      <c r="S411">
        <f>IF(R411&lt;&gt;"Y","",MAX(0,(1-O411/'01_설정'!$B$5))*'01_설정'!$B$14+MAX(0,(1-P411/'01_설정'!$B$7))*'01_설정'!$B$16+MAX(0,(1-Q411/'01_설정'!$B$8))*'01_설정'!$B$17+L411*'01_설정'!$B$11+M411*'01_설정'!$B$12+N411*50)</f>
        <v/>
      </c>
      <c r="T411">
        <f>IF(S411="","",1+COUNTIFS($S$31:$S$1030,"&gt;"&amp;S411)+COUNTIFS($S$31:S411,S411)-1)</f>
        <v/>
      </c>
    </row>
    <row r="412" hidden="1" ht="16.5" customHeight="1">
      <c r="A412">
        <f>IF(COUNTA('05_KAPA'!$A383:$AO383)=0,"",385)</f>
        <v/>
      </c>
      <c r="B412">
        <f>IF($A412="","",INDEX('05_KAPA'!$B:$B,$A412))</f>
        <v/>
      </c>
      <c r="C412">
        <f>IF($A412="","",INDEX('05_KAPA'!$F:$F,$A412))</f>
        <v/>
      </c>
      <c r="D412">
        <f>IF($A412="","",INDEX('05_KAPA'!$H:$H,$A412))</f>
        <v/>
      </c>
      <c r="E412">
        <f>IF($A412="","",INDEX('05_KAPA'!$K:$K,$A412))</f>
        <v/>
      </c>
      <c r="F412">
        <f>IF($A412="","",INDEX('05_KAPA'!$L:$L,$A412))</f>
        <v/>
      </c>
      <c r="G412">
        <f>IF($A412="","",INDEX('05_KAPA'!$I:$I,$A412))</f>
        <v/>
      </c>
      <c r="H412" s="202">
        <f>IF($A412="","",INDEX('05_KAPA'!$P:$P,$A412))</f>
        <v/>
      </c>
      <c r="I412" s="118">
        <f>IF($A412="","",INDEX('05_KAPA'!$O:$O,$A412))</f>
        <v/>
      </c>
      <c r="J412" s="202">
        <f>IF($A412="","",IFERROR(DATE(LEFT(TEXT(INDEX('05_KAPA'!$T:$T,$A412),"0"),4),MID(TEXT(INDEX('05_KAPA'!$T:$T,$A412),"0"),5,2),RIGHT(TEXT(INDEX('05_KAPA'!$T:$T,$A412),"0"),2)),""))</f>
        <v/>
      </c>
      <c r="K412">
        <f>IF(C412="","",IF('02_대상물건입력'!$B$5="",1,IF(ISNUMBER(SEARCH('02_대상물건입력'!$B$5,C412)),1,0)))</f>
        <v/>
      </c>
      <c r="L412">
        <f>IF(C412="","",IF('02_대상물건입력'!$B$6="",1,IF(ISNUMBER(SEARCH('02_대상물건입력'!$B$6,C412)),1,0)))</f>
        <v/>
      </c>
      <c r="M412">
        <f>IF(E412="","",IF('02_대상물건입력'!$B$8="",0,IF(ISNUMBER(SEARCH('02_대상물건입력'!$B$8,E412)),1,0)))</f>
        <v/>
      </c>
      <c r="N412">
        <f>IF(B412="","",IF(B412="담보",1,0))</f>
        <v/>
      </c>
      <c r="O412">
        <f>IFERROR(ABS(G412-'02_대상물건입력'!$B$11)/'02_대상물건입력'!$B$11,"")</f>
        <v/>
      </c>
      <c r="P412">
        <f>IFERROR(ABS('01_설정'!$B$4-H412),"")</f>
        <v/>
      </c>
      <c r="Q412">
        <f>IFERROR(ABS(YEAR(J412)-YEAR('02_대상물건입력'!$B$14)),"")</f>
        <v/>
      </c>
      <c r="R412">
        <f>IF(AND(G412&gt;0,H412&gt;0,I412&gt;0,N412=1,IF('01_설정'!$B$10=1,K412=1,TRUE()),O412&lt;='01_설정'!$B$5,P412&lt;='01_설정'!$B$7,Q412&lt;='01_설정'!$B$8),"Y","")</f>
        <v/>
      </c>
      <c r="S412">
        <f>IF(R412&lt;&gt;"Y","",MAX(0,(1-O412/'01_설정'!$B$5))*'01_설정'!$B$14+MAX(0,(1-P412/'01_설정'!$B$7))*'01_설정'!$B$16+MAX(0,(1-Q412/'01_설정'!$B$8))*'01_설정'!$B$17+L412*'01_설정'!$B$11+M412*'01_설정'!$B$12+N412*50)</f>
        <v/>
      </c>
      <c r="T412">
        <f>IF(S412="","",1+COUNTIFS($S$31:$S$1030,"&gt;"&amp;S412)+COUNTIFS($S$31:S412,S412)-1)</f>
        <v/>
      </c>
    </row>
    <row r="413" hidden="1" ht="16.5" customHeight="1">
      <c r="A413">
        <f>IF(COUNTA('05_KAPA'!$A384:$AO384)=0,"",386)</f>
        <v/>
      </c>
      <c r="B413">
        <f>IF($A413="","",INDEX('05_KAPA'!$B:$B,$A413))</f>
        <v/>
      </c>
      <c r="C413">
        <f>IF($A413="","",INDEX('05_KAPA'!$F:$F,$A413))</f>
        <v/>
      </c>
      <c r="D413">
        <f>IF($A413="","",INDEX('05_KAPA'!$H:$H,$A413))</f>
        <v/>
      </c>
      <c r="E413">
        <f>IF($A413="","",INDEX('05_KAPA'!$K:$K,$A413))</f>
        <v/>
      </c>
      <c r="F413">
        <f>IF($A413="","",INDEX('05_KAPA'!$L:$L,$A413))</f>
        <v/>
      </c>
      <c r="G413">
        <f>IF($A413="","",INDEX('05_KAPA'!$I:$I,$A413))</f>
        <v/>
      </c>
      <c r="H413" s="202">
        <f>IF($A413="","",INDEX('05_KAPA'!$P:$P,$A413))</f>
        <v/>
      </c>
      <c r="I413" s="118">
        <f>IF($A413="","",INDEX('05_KAPA'!$O:$O,$A413))</f>
        <v/>
      </c>
      <c r="J413" s="202">
        <f>IF($A413="","",IFERROR(DATE(LEFT(TEXT(INDEX('05_KAPA'!$T:$T,$A413),"0"),4),MID(TEXT(INDEX('05_KAPA'!$T:$T,$A413),"0"),5,2),RIGHT(TEXT(INDEX('05_KAPA'!$T:$T,$A413),"0"),2)),""))</f>
        <v/>
      </c>
      <c r="K413">
        <f>IF(C413="","",IF('02_대상물건입력'!$B$5="",1,IF(ISNUMBER(SEARCH('02_대상물건입력'!$B$5,C413)),1,0)))</f>
        <v/>
      </c>
      <c r="L413">
        <f>IF(C413="","",IF('02_대상물건입력'!$B$6="",1,IF(ISNUMBER(SEARCH('02_대상물건입력'!$B$6,C413)),1,0)))</f>
        <v/>
      </c>
      <c r="M413">
        <f>IF(E413="","",IF('02_대상물건입력'!$B$8="",0,IF(ISNUMBER(SEARCH('02_대상물건입력'!$B$8,E413)),1,0)))</f>
        <v/>
      </c>
      <c r="N413">
        <f>IF(B413="","",IF(B413="담보",1,0))</f>
        <v/>
      </c>
      <c r="O413">
        <f>IFERROR(ABS(G413-'02_대상물건입력'!$B$11)/'02_대상물건입력'!$B$11,"")</f>
        <v/>
      </c>
      <c r="P413">
        <f>IFERROR(ABS('01_설정'!$B$4-H413),"")</f>
        <v/>
      </c>
      <c r="Q413">
        <f>IFERROR(ABS(YEAR(J413)-YEAR('02_대상물건입력'!$B$14)),"")</f>
        <v/>
      </c>
      <c r="R413">
        <f>IF(AND(G413&gt;0,H413&gt;0,I413&gt;0,N413=1,IF('01_설정'!$B$10=1,K413=1,TRUE()),O413&lt;='01_설정'!$B$5,P413&lt;='01_설정'!$B$7,Q413&lt;='01_설정'!$B$8),"Y","")</f>
        <v/>
      </c>
      <c r="S413">
        <f>IF(R413&lt;&gt;"Y","",MAX(0,(1-O413/'01_설정'!$B$5))*'01_설정'!$B$14+MAX(0,(1-P413/'01_설정'!$B$7))*'01_설정'!$B$16+MAX(0,(1-Q413/'01_설정'!$B$8))*'01_설정'!$B$17+L413*'01_설정'!$B$11+M413*'01_설정'!$B$12+N413*50)</f>
        <v/>
      </c>
      <c r="T413">
        <f>IF(S413="","",1+COUNTIFS($S$31:$S$1030,"&gt;"&amp;S413)+COUNTIFS($S$31:S413,S413)-1)</f>
        <v/>
      </c>
    </row>
    <row r="414" hidden="1" ht="16.5" customHeight="1">
      <c r="A414">
        <f>IF(COUNTA('05_KAPA'!$A385:$AO385)=0,"",387)</f>
        <v/>
      </c>
      <c r="B414">
        <f>IF($A414="","",INDEX('05_KAPA'!$B:$B,$A414))</f>
        <v/>
      </c>
      <c r="C414">
        <f>IF($A414="","",INDEX('05_KAPA'!$F:$F,$A414))</f>
        <v/>
      </c>
      <c r="D414">
        <f>IF($A414="","",INDEX('05_KAPA'!$H:$H,$A414))</f>
        <v/>
      </c>
      <c r="E414">
        <f>IF($A414="","",INDEX('05_KAPA'!$K:$K,$A414))</f>
        <v/>
      </c>
      <c r="F414">
        <f>IF($A414="","",INDEX('05_KAPA'!$L:$L,$A414))</f>
        <v/>
      </c>
      <c r="G414">
        <f>IF($A414="","",INDEX('05_KAPA'!$I:$I,$A414))</f>
        <v/>
      </c>
      <c r="H414" s="202">
        <f>IF($A414="","",INDEX('05_KAPA'!$P:$P,$A414))</f>
        <v/>
      </c>
      <c r="I414" s="118">
        <f>IF($A414="","",INDEX('05_KAPA'!$O:$O,$A414))</f>
        <v/>
      </c>
      <c r="J414" s="202">
        <f>IF($A414="","",IFERROR(DATE(LEFT(TEXT(INDEX('05_KAPA'!$T:$T,$A414),"0"),4),MID(TEXT(INDEX('05_KAPA'!$T:$T,$A414),"0"),5,2),RIGHT(TEXT(INDEX('05_KAPA'!$T:$T,$A414),"0"),2)),""))</f>
        <v/>
      </c>
      <c r="K414">
        <f>IF(C414="","",IF('02_대상물건입력'!$B$5="",1,IF(ISNUMBER(SEARCH('02_대상물건입력'!$B$5,C414)),1,0)))</f>
        <v/>
      </c>
      <c r="L414">
        <f>IF(C414="","",IF('02_대상물건입력'!$B$6="",1,IF(ISNUMBER(SEARCH('02_대상물건입력'!$B$6,C414)),1,0)))</f>
        <v/>
      </c>
      <c r="M414">
        <f>IF(E414="","",IF('02_대상물건입력'!$B$8="",0,IF(ISNUMBER(SEARCH('02_대상물건입력'!$B$8,E414)),1,0)))</f>
        <v/>
      </c>
      <c r="N414">
        <f>IF(B414="","",IF(B414="담보",1,0))</f>
        <v/>
      </c>
      <c r="O414">
        <f>IFERROR(ABS(G414-'02_대상물건입력'!$B$11)/'02_대상물건입력'!$B$11,"")</f>
        <v/>
      </c>
      <c r="P414">
        <f>IFERROR(ABS('01_설정'!$B$4-H414),"")</f>
        <v/>
      </c>
      <c r="Q414">
        <f>IFERROR(ABS(YEAR(J414)-YEAR('02_대상물건입력'!$B$14)),"")</f>
        <v/>
      </c>
      <c r="R414">
        <f>IF(AND(G414&gt;0,H414&gt;0,I414&gt;0,N414=1,IF('01_설정'!$B$10=1,K414=1,TRUE()),O414&lt;='01_설정'!$B$5,P414&lt;='01_설정'!$B$7,Q414&lt;='01_설정'!$B$8),"Y","")</f>
        <v/>
      </c>
      <c r="S414">
        <f>IF(R414&lt;&gt;"Y","",MAX(0,(1-O414/'01_설정'!$B$5))*'01_설정'!$B$14+MAX(0,(1-P414/'01_설정'!$B$7))*'01_설정'!$B$16+MAX(0,(1-Q414/'01_설정'!$B$8))*'01_설정'!$B$17+L414*'01_설정'!$B$11+M414*'01_설정'!$B$12+N414*50)</f>
        <v/>
      </c>
      <c r="T414">
        <f>IF(S414="","",1+COUNTIFS($S$31:$S$1030,"&gt;"&amp;S414)+COUNTIFS($S$31:S414,S414)-1)</f>
        <v/>
      </c>
    </row>
    <row r="415" hidden="1" ht="16.5" customHeight="1">
      <c r="A415">
        <f>IF(COUNTA('05_KAPA'!$A386:$AO386)=0,"",388)</f>
        <v/>
      </c>
      <c r="B415">
        <f>IF($A415="","",INDEX('05_KAPA'!$B:$B,$A415))</f>
        <v/>
      </c>
      <c r="C415">
        <f>IF($A415="","",INDEX('05_KAPA'!$F:$F,$A415))</f>
        <v/>
      </c>
      <c r="D415">
        <f>IF($A415="","",INDEX('05_KAPA'!$H:$H,$A415))</f>
        <v/>
      </c>
      <c r="E415">
        <f>IF($A415="","",INDEX('05_KAPA'!$K:$K,$A415))</f>
        <v/>
      </c>
      <c r="F415">
        <f>IF($A415="","",INDEX('05_KAPA'!$L:$L,$A415))</f>
        <v/>
      </c>
      <c r="G415">
        <f>IF($A415="","",INDEX('05_KAPA'!$I:$I,$A415))</f>
        <v/>
      </c>
      <c r="H415" s="202">
        <f>IF($A415="","",INDEX('05_KAPA'!$P:$P,$A415))</f>
        <v/>
      </c>
      <c r="I415" s="118">
        <f>IF($A415="","",INDEX('05_KAPA'!$O:$O,$A415))</f>
        <v/>
      </c>
      <c r="J415" s="202">
        <f>IF($A415="","",IFERROR(DATE(LEFT(TEXT(INDEX('05_KAPA'!$T:$T,$A415),"0"),4),MID(TEXT(INDEX('05_KAPA'!$T:$T,$A415),"0"),5,2),RIGHT(TEXT(INDEX('05_KAPA'!$T:$T,$A415),"0"),2)),""))</f>
        <v/>
      </c>
      <c r="K415">
        <f>IF(C415="","",IF('02_대상물건입력'!$B$5="",1,IF(ISNUMBER(SEARCH('02_대상물건입력'!$B$5,C415)),1,0)))</f>
        <v/>
      </c>
      <c r="L415">
        <f>IF(C415="","",IF('02_대상물건입력'!$B$6="",1,IF(ISNUMBER(SEARCH('02_대상물건입력'!$B$6,C415)),1,0)))</f>
        <v/>
      </c>
      <c r="M415">
        <f>IF(E415="","",IF('02_대상물건입력'!$B$8="",0,IF(ISNUMBER(SEARCH('02_대상물건입력'!$B$8,E415)),1,0)))</f>
        <v/>
      </c>
      <c r="N415">
        <f>IF(B415="","",IF(B415="담보",1,0))</f>
        <v/>
      </c>
      <c r="O415">
        <f>IFERROR(ABS(G415-'02_대상물건입력'!$B$11)/'02_대상물건입력'!$B$11,"")</f>
        <v/>
      </c>
      <c r="P415">
        <f>IFERROR(ABS('01_설정'!$B$4-H415),"")</f>
        <v/>
      </c>
      <c r="Q415">
        <f>IFERROR(ABS(YEAR(J415)-YEAR('02_대상물건입력'!$B$14)),"")</f>
        <v/>
      </c>
      <c r="R415">
        <f>IF(AND(G415&gt;0,H415&gt;0,I415&gt;0,N415=1,IF('01_설정'!$B$10=1,K415=1,TRUE()),O415&lt;='01_설정'!$B$5,P415&lt;='01_설정'!$B$7,Q415&lt;='01_설정'!$B$8),"Y","")</f>
        <v/>
      </c>
      <c r="S415">
        <f>IF(R415&lt;&gt;"Y","",MAX(0,(1-O415/'01_설정'!$B$5))*'01_설정'!$B$14+MAX(0,(1-P415/'01_설정'!$B$7))*'01_설정'!$B$16+MAX(0,(1-Q415/'01_설정'!$B$8))*'01_설정'!$B$17+L415*'01_설정'!$B$11+M415*'01_설정'!$B$12+N415*50)</f>
        <v/>
      </c>
      <c r="T415">
        <f>IF(S415="","",1+COUNTIFS($S$31:$S$1030,"&gt;"&amp;S415)+COUNTIFS($S$31:S415,S415)-1)</f>
        <v/>
      </c>
    </row>
    <row r="416" hidden="1" ht="16.5" customHeight="1">
      <c r="A416">
        <f>IF(COUNTA('05_KAPA'!$A387:$AO387)=0,"",389)</f>
        <v/>
      </c>
      <c r="B416">
        <f>IF($A416="","",INDEX('05_KAPA'!$B:$B,$A416))</f>
        <v/>
      </c>
      <c r="C416">
        <f>IF($A416="","",INDEX('05_KAPA'!$F:$F,$A416))</f>
        <v/>
      </c>
      <c r="D416">
        <f>IF($A416="","",INDEX('05_KAPA'!$H:$H,$A416))</f>
        <v/>
      </c>
      <c r="E416">
        <f>IF($A416="","",INDEX('05_KAPA'!$K:$K,$A416))</f>
        <v/>
      </c>
      <c r="F416">
        <f>IF($A416="","",INDEX('05_KAPA'!$L:$L,$A416))</f>
        <v/>
      </c>
      <c r="G416">
        <f>IF($A416="","",INDEX('05_KAPA'!$I:$I,$A416))</f>
        <v/>
      </c>
      <c r="H416" s="202">
        <f>IF($A416="","",INDEX('05_KAPA'!$P:$P,$A416))</f>
        <v/>
      </c>
      <c r="I416" s="118">
        <f>IF($A416="","",INDEX('05_KAPA'!$O:$O,$A416))</f>
        <v/>
      </c>
      <c r="J416" s="202">
        <f>IF($A416="","",IFERROR(DATE(LEFT(TEXT(INDEX('05_KAPA'!$T:$T,$A416),"0"),4),MID(TEXT(INDEX('05_KAPA'!$T:$T,$A416),"0"),5,2),RIGHT(TEXT(INDEX('05_KAPA'!$T:$T,$A416),"0"),2)),""))</f>
        <v/>
      </c>
      <c r="K416">
        <f>IF(C416="","",IF('02_대상물건입력'!$B$5="",1,IF(ISNUMBER(SEARCH('02_대상물건입력'!$B$5,C416)),1,0)))</f>
        <v/>
      </c>
      <c r="L416">
        <f>IF(C416="","",IF('02_대상물건입력'!$B$6="",1,IF(ISNUMBER(SEARCH('02_대상물건입력'!$B$6,C416)),1,0)))</f>
        <v/>
      </c>
      <c r="M416">
        <f>IF(E416="","",IF('02_대상물건입력'!$B$8="",0,IF(ISNUMBER(SEARCH('02_대상물건입력'!$B$8,E416)),1,0)))</f>
        <v/>
      </c>
      <c r="N416">
        <f>IF(B416="","",IF(B416="담보",1,0))</f>
        <v/>
      </c>
      <c r="O416">
        <f>IFERROR(ABS(G416-'02_대상물건입력'!$B$11)/'02_대상물건입력'!$B$11,"")</f>
        <v/>
      </c>
      <c r="P416">
        <f>IFERROR(ABS('01_설정'!$B$4-H416),"")</f>
        <v/>
      </c>
      <c r="Q416">
        <f>IFERROR(ABS(YEAR(J416)-YEAR('02_대상물건입력'!$B$14)),"")</f>
        <v/>
      </c>
      <c r="R416">
        <f>IF(AND(G416&gt;0,H416&gt;0,I416&gt;0,N416=1,IF('01_설정'!$B$10=1,K416=1,TRUE()),O416&lt;='01_설정'!$B$5,P416&lt;='01_설정'!$B$7,Q416&lt;='01_설정'!$B$8),"Y","")</f>
        <v/>
      </c>
      <c r="S416">
        <f>IF(R416&lt;&gt;"Y","",MAX(0,(1-O416/'01_설정'!$B$5))*'01_설정'!$B$14+MAX(0,(1-P416/'01_설정'!$B$7))*'01_설정'!$B$16+MAX(0,(1-Q416/'01_설정'!$B$8))*'01_설정'!$B$17+L416*'01_설정'!$B$11+M416*'01_설정'!$B$12+N416*50)</f>
        <v/>
      </c>
      <c r="T416">
        <f>IF(S416="","",1+COUNTIFS($S$31:$S$1030,"&gt;"&amp;S416)+COUNTIFS($S$31:S416,S416)-1)</f>
        <v/>
      </c>
    </row>
    <row r="417" hidden="1" ht="16.5" customHeight="1">
      <c r="A417">
        <f>IF(COUNTA('05_KAPA'!$A388:$AO388)=0,"",390)</f>
        <v/>
      </c>
      <c r="B417">
        <f>IF($A417="","",INDEX('05_KAPA'!$B:$B,$A417))</f>
        <v/>
      </c>
      <c r="C417">
        <f>IF($A417="","",INDEX('05_KAPA'!$F:$F,$A417))</f>
        <v/>
      </c>
      <c r="D417">
        <f>IF($A417="","",INDEX('05_KAPA'!$H:$H,$A417))</f>
        <v/>
      </c>
      <c r="E417">
        <f>IF($A417="","",INDEX('05_KAPA'!$K:$K,$A417))</f>
        <v/>
      </c>
      <c r="F417">
        <f>IF($A417="","",INDEX('05_KAPA'!$L:$L,$A417))</f>
        <v/>
      </c>
      <c r="G417">
        <f>IF($A417="","",INDEX('05_KAPA'!$I:$I,$A417))</f>
        <v/>
      </c>
      <c r="H417" s="202">
        <f>IF($A417="","",INDEX('05_KAPA'!$P:$P,$A417))</f>
        <v/>
      </c>
      <c r="I417" s="118">
        <f>IF($A417="","",INDEX('05_KAPA'!$O:$O,$A417))</f>
        <v/>
      </c>
      <c r="J417" s="202">
        <f>IF($A417="","",IFERROR(DATE(LEFT(TEXT(INDEX('05_KAPA'!$T:$T,$A417),"0"),4),MID(TEXT(INDEX('05_KAPA'!$T:$T,$A417),"0"),5,2),RIGHT(TEXT(INDEX('05_KAPA'!$T:$T,$A417),"0"),2)),""))</f>
        <v/>
      </c>
      <c r="K417">
        <f>IF(C417="","",IF('02_대상물건입력'!$B$5="",1,IF(ISNUMBER(SEARCH('02_대상물건입력'!$B$5,C417)),1,0)))</f>
        <v/>
      </c>
      <c r="L417">
        <f>IF(C417="","",IF('02_대상물건입력'!$B$6="",1,IF(ISNUMBER(SEARCH('02_대상물건입력'!$B$6,C417)),1,0)))</f>
        <v/>
      </c>
      <c r="M417">
        <f>IF(E417="","",IF('02_대상물건입력'!$B$8="",0,IF(ISNUMBER(SEARCH('02_대상물건입력'!$B$8,E417)),1,0)))</f>
        <v/>
      </c>
      <c r="N417">
        <f>IF(B417="","",IF(B417="담보",1,0))</f>
        <v/>
      </c>
      <c r="O417">
        <f>IFERROR(ABS(G417-'02_대상물건입력'!$B$11)/'02_대상물건입력'!$B$11,"")</f>
        <v/>
      </c>
      <c r="P417">
        <f>IFERROR(ABS('01_설정'!$B$4-H417),"")</f>
        <v/>
      </c>
      <c r="Q417">
        <f>IFERROR(ABS(YEAR(J417)-YEAR('02_대상물건입력'!$B$14)),"")</f>
        <v/>
      </c>
      <c r="R417">
        <f>IF(AND(G417&gt;0,H417&gt;0,I417&gt;0,N417=1,IF('01_설정'!$B$10=1,K417=1,TRUE()),O417&lt;='01_설정'!$B$5,P417&lt;='01_설정'!$B$7,Q417&lt;='01_설정'!$B$8),"Y","")</f>
        <v/>
      </c>
      <c r="S417">
        <f>IF(R417&lt;&gt;"Y","",MAX(0,(1-O417/'01_설정'!$B$5))*'01_설정'!$B$14+MAX(0,(1-P417/'01_설정'!$B$7))*'01_설정'!$B$16+MAX(0,(1-Q417/'01_설정'!$B$8))*'01_설정'!$B$17+L417*'01_설정'!$B$11+M417*'01_설정'!$B$12+N417*50)</f>
        <v/>
      </c>
      <c r="T417">
        <f>IF(S417="","",1+COUNTIFS($S$31:$S$1030,"&gt;"&amp;S417)+COUNTIFS($S$31:S417,S417)-1)</f>
        <v/>
      </c>
    </row>
    <row r="418" hidden="1" ht="16.5" customHeight="1">
      <c r="A418">
        <f>IF(COUNTA('05_KAPA'!$A389:$AO389)=0,"",391)</f>
        <v/>
      </c>
      <c r="B418">
        <f>IF($A418="","",INDEX('05_KAPA'!$B:$B,$A418))</f>
        <v/>
      </c>
      <c r="C418">
        <f>IF($A418="","",INDEX('05_KAPA'!$F:$F,$A418))</f>
        <v/>
      </c>
      <c r="D418">
        <f>IF($A418="","",INDEX('05_KAPA'!$H:$H,$A418))</f>
        <v/>
      </c>
      <c r="E418">
        <f>IF($A418="","",INDEX('05_KAPA'!$K:$K,$A418))</f>
        <v/>
      </c>
      <c r="F418">
        <f>IF($A418="","",INDEX('05_KAPA'!$L:$L,$A418))</f>
        <v/>
      </c>
      <c r="G418">
        <f>IF($A418="","",INDEX('05_KAPA'!$I:$I,$A418))</f>
        <v/>
      </c>
      <c r="H418" s="202">
        <f>IF($A418="","",INDEX('05_KAPA'!$P:$P,$A418))</f>
        <v/>
      </c>
      <c r="I418" s="118">
        <f>IF($A418="","",INDEX('05_KAPA'!$O:$O,$A418))</f>
        <v/>
      </c>
      <c r="J418" s="202">
        <f>IF($A418="","",IFERROR(DATE(LEFT(TEXT(INDEX('05_KAPA'!$T:$T,$A418),"0"),4),MID(TEXT(INDEX('05_KAPA'!$T:$T,$A418),"0"),5,2),RIGHT(TEXT(INDEX('05_KAPA'!$T:$T,$A418),"0"),2)),""))</f>
        <v/>
      </c>
      <c r="K418">
        <f>IF(C418="","",IF('02_대상물건입력'!$B$5="",1,IF(ISNUMBER(SEARCH('02_대상물건입력'!$B$5,C418)),1,0)))</f>
        <v/>
      </c>
      <c r="L418">
        <f>IF(C418="","",IF('02_대상물건입력'!$B$6="",1,IF(ISNUMBER(SEARCH('02_대상물건입력'!$B$6,C418)),1,0)))</f>
        <v/>
      </c>
      <c r="M418">
        <f>IF(E418="","",IF('02_대상물건입력'!$B$8="",0,IF(ISNUMBER(SEARCH('02_대상물건입력'!$B$8,E418)),1,0)))</f>
        <v/>
      </c>
      <c r="N418">
        <f>IF(B418="","",IF(B418="담보",1,0))</f>
        <v/>
      </c>
      <c r="O418">
        <f>IFERROR(ABS(G418-'02_대상물건입력'!$B$11)/'02_대상물건입력'!$B$11,"")</f>
        <v/>
      </c>
      <c r="P418">
        <f>IFERROR(ABS('01_설정'!$B$4-H418),"")</f>
        <v/>
      </c>
      <c r="Q418">
        <f>IFERROR(ABS(YEAR(J418)-YEAR('02_대상물건입력'!$B$14)),"")</f>
        <v/>
      </c>
      <c r="R418">
        <f>IF(AND(G418&gt;0,H418&gt;0,I418&gt;0,N418=1,IF('01_설정'!$B$10=1,K418=1,TRUE()),O418&lt;='01_설정'!$B$5,P418&lt;='01_설정'!$B$7,Q418&lt;='01_설정'!$B$8),"Y","")</f>
        <v/>
      </c>
      <c r="S418">
        <f>IF(R418&lt;&gt;"Y","",MAX(0,(1-O418/'01_설정'!$B$5))*'01_설정'!$B$14+MAX(0,(1-P418/'01_설정'!$B$7))*'01_설정'!$B$16+MAX(0,(1-Q418/'01_설정'!$B$8))*'01_설정'!$B$17+L418*'01_설정'!$B$11+M418*'01_설정'!$B$12+N418*50)</f>
        <v/>
      </c>
      <c r="T418">
        <f>IF(S418="","",1+COUNTIFS($S$31:$S$1030,"&gt;"&amp;S418)+COUNTIFS($S$31:S418,S418)-1)</f>
        <v/>
      </c>
    </row>
    <row r="419" hidden="1" ht="16.5" customHeight="1">
      <c r="A419">
        <f>IF(COUNTA('05_KAPA'!$A390:$AO390)=0,"",392)</f>
        <v/>
      </c>
      <c r="B419">
        <f>IF($A419="","",INDEX('05_KAPA'!$B:$B,$A419))</f>
        <v/>
      </c>
      <c r="C419">
        <f>IF($A419="","",INDEX('05_KAPA'!$F:$F,$A419))</f>
        <v/>
      </c>
      <c r="D419">
        <f>IF($A419="","",INDEX('05_KAPA'!$H:$H,$A419))</f>
        <v/>
      </c>
      <c r="E419">
        <f>IF($A419="","",INDEX('05_KAPA'!$K:$K,$A419))</f>
        <v/>
      </c>
      <c r="F419">
        <f>IF($A419="","",INDEX('05_KAPA'!$L:$L,$A419))</f>
        <v/>
      </c>
      <c r="G419">
        <f>IF($A419="","",INDEX('05_KAPA'!$I:$I,$A419))</f>
        <v/>
      </c>
      <c r="H419" s="202">
        <f>IF($A419="","",INDEX('05_KAPA'!$P:$P,$A419))</f>
        <v/>
      </c>
      <c r="I419" s="118">
        <f>IF($A419="","",INDEX('05_KAPA'!$O:$O,$A419))</f>
        <v/>
      </c>
      <c r="J419" s="202">
        <f>IF($A419="","",IFERROR(DATE(LEFT(TEXT(INDEX('05_KAPA'!$T:$T,$A419),"0"),4),MID(TEXT(INDEX('05_KAPA'!$T:$T,$A419),"0"),5,2),RIGHT(TEXT(INDEX('05_KAPA'!$T:$T,$A419),"0"),2)),""))</f>
        <v/>
      </c>
      <c r="K419">
        <f>IF(C419="","",IF('02_대상물건입력'!$B$5="",1,IF(ISNUMBER(SEARCH('02_대상물건입력'!$B$5,C419)),1,0)))</f>
        <v/>
      </c>
      <c r="L419">
        <f>IF(C419="","",IF('02_대상물건입력'!$B$6="",1,IF(ISNUMBER(SEARCH('02_대상물건입력'!$B$6,C419)),1,0)))</f>
        <v/>
      </c>
      <c r="M419">
        <f>IF(E419="","",IF('02_대상물건입력'!$B$8="",0,IF(ISNUMBER(SEARCH('02_대상물건입력'!$B$8,E419)),1,0)))</f>
        <v/>
      </c>
      <c r="N419">
        <f>IF(B419="","",IF(B419="담보",1,0))</f>
        <v/>
      </c>
      <c r="O419">
        <f>IFERROR(ABS(G419-'02_대상물건입력'!$B$11)/'02_대상물건입력'!$B$11,"")</f>
        <v/>
      </c>
      <c r="P419">
        <f>IFERROR(ABS('01_설정'!$B$4-H419),"")</f>
        <v/>
      </c>
      <c r="Q419">
        <f>IFERROR(ABS(YEAR(J419)-YEAR('02_대상물건입력'!$B$14)),"")</f>
        <v/>
      </c>
      <c r="R419">
        <f>IF(AND(G419&gt;0,H419&gt;0,I419&gt;0,N419=1,IF('01_설정'!$B$10=1,K419=1,TRUE()),O419&lt;='01_설정'!$B$5,P419&lt;='01_설정'!$B$7,Q419&lt;='01_설정'!$B$8),"Y","")</f>
        <v/>
      </c>
      <c r="S419">
        <f>IF(R419&lt;&gt;"Y","",MAX(0,(1-O419/'01_설정'!$B$5))*'01_설정'!$B$14+MAX(0,(1-P419/'01_설정'!$B$7))*'01_설정'!$B$16+MAX(0,(1-Q419/'01_설정'!$B$8))*'01_설정'!$B$17+L419*'01_설정'!$B$11+M419*'01_설정'!$B$12+N419*50)</f>
        <v/>
      </c>
      <c r="T419">
        <f>IF(S419="","",1+COUNTIFS($S$31:$S$1030,"&gt;"&amp;S419)+COUNTIFS($S$31:S419,S419)-1)</f>
        <v/>
      </c>
    </row>
    <row r="420" hidden="1" ht="16.5" customHeight="1">
      <c r="A420">
        <f>IF(COUNTA('05_KAPA'!$A391:$AO391)=0,"",393)</f>
        <v/>
      </c>
      <c r="B420">
        <f>IF($A420="","",INDEX('05_KAPA'!$B:$B,$A420))</f>
        <v/>
      </c>
      <c r="C420">
        <f>IF($A420="","",INDEX('05_KAPA'!$F:$F,$A420))</f>
        <v/>
      </c>
      <c r="D420">
        <f>IF($A420="","",INDEX('05_KAPA'!$H:$H,$A420))</f>
        <v/>
      </c>
      <c r="E420">
        <f>IF($A420="","",INDEX('05_KAPA'!$K:$K,$A420))</f>
        <v/>
      </c>
      <c r="F420">
        <f>IF($A420="","",INDEX('05_KAPA'!$L:$L,$A420))</f>
        <v/>
      </c>
      <c r="G420">
        <f>IF($A420="","",INDEX('05_KAPA'!$I:$I,$A420))</f>
        <v/>
      </c>
      <c r="H420" s="202">
        <f>IF($A420="","",INDEX('05_KAPA'!$P:$P,$A420))</f>
        <v/>
      </c>
      <c r="I420" s="118">
        <f>IF($A420="","",INDEX('05_KAPA'!$O:$O,$A420))</f>
        <v/>
      </c>
      <c r="J420" s="202">
        <f>IF($A420="","",IFERROR(DATE(LEFT(TEXT(INDEX('05_KAPA'!$T:$T,$A420),"0"),4),MID(TEXT(INDEX('05_KAPA'!$T:$T,$A420),"0"),5,2),RIGHT(TEXT(INDEX('05_KAPA'!$T:$T,$A420),"0"),2)),""))</f>
        <v/>
      </c>
      <c r="K420">
        <f>IF(C420="","",IF('02_대상물건입력'!$B$5="",1,IF(ISNUMBER(SEARCH('02_대상물건입력'!$B$5,C420)),1,0)))</f>
        <v/>
      </c>
      <c r="L420">
        <f>IF(C420="","",IF('02_대상물건입력'!$B$6="",1,IF(ISNUMBER(SEARCH('02_대상물건입력'!$B$6,C420)),1,0)))</f>
        <v/>
      </c>
      <c r="M420">
        <f>IF(E420="","",IF('02_대상물건입력'!$B$8="",0,IF(ISNUMBER(SEARCH('02_대상물건입력'!$B$8,E420)),1,0)))</f>
        <v/>
      </c>
      <c r="N420">
        <f>IF(B420="","",IF(B420="담보",1,0))</f>
        <v/>
      </c>
      <c r="O420">
        <f>IFERROR(ABS(G420-'02_대상물건입력'!$B$11)/'02_대상물건입력'!$B$11,"")</f>
        <v/>
      </c>
      <c r="P420">
        <f>IFERROR(ABS('01_설정'!$B$4-H420),"")</f>
        <v/>
      </c>
      <c r="Q420">
        <f>IFERROR(ABS(YEAR(J420)-YEAR('02_대상물건입력'!$B$14)),"")</f>
        <v/>
      </c>
      <c r="R420">
        <f>IF(AND(G420&gt;0,H420&gt;0,I420&gt;0,N420=1,IF('01_설정'!$B$10=1,K420=1,TRUE()),O420&lt;='01_설정'!$B$5,P420&lt;='01_설정'!$B$7,Q420&lt;='01_설정'!$B$8),"Y","")</f>
        <v/>
      </c>
      <c r="S420">
        <f>IF(R420&lt;&gt;"Y","",MAX(0,(1-O420/'01_설정'!$B$5))*'01_설정'!$B$14+MAX(0,(1-P420/'01_설정'!$B$7))*'01_설정'!$B$16+MAX(0,(1-Q420/'01_설정'!$B$8))*'01_설정'!$B$17+L420*'01_설정'!$B$11+M420*'01_설정'!$B$12+N420*50)</f>
        <v/>
      </c>
      <c r="T420">
        <f>IF(S420="","",1+COUNTIFS($S$31:$S$1030,"&gt;"&amp;S420)+COUNTIFS($S$31:S420,S420)-1)</f>
        <v/>
      </c>
    </row>
    <row r="421" hidden="1" ht="16.5" customHeight="1">
      <c r="A421">
        <f>IF(COUNTA('05_KAPA'!$A392:$AO392)=0,"",394)</f>
        <v/>
      </c>
      <c r="B421">
        <f>IF($A421="","",INDEX('05_KAPA'!$B:$B,$A421))</f>
        <v/>
      </c>
      <c r="C421">
        <f>IF($A421="","",INDEX('05_KAPA'!$F:$F,$A421))</f>
        <v/>
      </c>
      <c r="D421">
        <f>IF($A421="","",INDEX('05_KAPA'!$H:$H,$A421))</f>
        <v/>
      </c>
      <c r="E421">
        <f>IF($A421="","",INDEX('05_KAPA'!$K:$K,$A421))</f>
        <v/>
      </c>
      <c r="F421">
        <f>IF($A421="","",INDEX('05_KAPA'!$L:$L,$A421))</f>
        <v/>
      </c>
      <c r="G421">
        <f>IF($A421="","",INDEX('05_KAPA'!$I:$I,$A421))</f>
        <v/>
      </c>
      <c r="H421" s="202">
        <f>IF($A421="","",INDEX('05_KAPA'!$P:$P,$A421))</f>
        <v/>
      </c>
      <c r="I421" s="118">
        <f>IF($A421="","",INDEX('05_KAPA'!$O:$O,$A421))</f>
        <v/>
      </c>
      <c r="J421" s="202">
        <f>IF($A421="","",IFERROR(DATE(LEFT(TEXT(INDEX('05_KAPA'!$T:$T,$A421),"0"),4),MID(TEXT(INDEX('05_KAPA'!$T:$T,$A421),"0"),5,2),RIGHT(TEXT(INDEX('05_KAPA'!$T:$T,$A421),"0"),2)),""))</f>
        <v/>
      </c>
      <c r="K421">
        <f>IF(C421="","",IF('02_대상물건입력'!$B$5="",1,IF(ISNUMBER(SEARCH('02_대상물건입력'!$B$5,C421)),1,0)))</f>
        <v/>
      </c>
      <c r="L421">
        <f>IF(C421="","",IF('02_대상물건입력'!$B$6="",1,IF(ISNUMBER(SEARCH('02_대상물건입력'!$B$6,C421)),1,0)))</f>
        <v/>
      </c>
      <c r="M421">
        <f>IF(E421="","",IF('02_대상물건입력'!$B$8="",0,IF(ISNUMBER(SEARCH('02_대상물건입력'!$B$8,E421)),1,0)))</f>
        <v/>
      </c>
      <c r="N421">
        <f>IF(B421="","",IF(B421="담보",1,0))</f>
        <v/>
      </c>
      <c r="O421">
        <f>IFERROR(ABS(G421-'02_대상물건입력'!$B$11)/'02_대상물건입력'!$B$11,"")</f>
        <v/>
      </c>
      <c r="P421">
        <f>IFERROR(ABS('01_설정'!$B$4-H421),"")</f>
        <v/>
      </c>
      <c r="Q421">
        <f>IFERROR(ABS(YEAR(J421)-YEAR('02_대상물건입력'!$B$14)),"")</f>
        <v/>
      </c>
      <c r="R421">
        <f>IF(AND(G421&gt;0,H421&gt;0,I421&gt;0,N421=1,IF('01_설정'!$B$10=1,K421=1,TRUE()),O421&lt;='01_설정'!$B$5,P421&lt;='01_설정'!$B$7,Q421&lt;='01_설정'!$B$8),"Y","")</f>
        <v/>
      </c>
      <c r="S421">
        <f>IF(R421&lt;&gt;"Y","",MAX(0,(1-O421/'01_설정'!$B$5))*'01_설정'!$B$14+MAX(0,(1-P421/'01_설정'!$B$7))*'01_설정'!$B$16+MAX(0,(1-Q421/'01_설정'!$B$8))*'01_설정'!$B$17+L421*'01_설정'!$B$11+M421*'01_설정'!$B$12+N421*50)</f>
        <v/>
      </c>
      <c r="T421">
        <f>IF(S421="","",1+COUNTIFS($S$31:$S$1030,"&gt;"&amp;S421)+COUNTIFS($S$31:S421,S421)-1)</f>
        <v/>
      </c>
    </row>
    <row r="422" hidden="1" ht="16.5" customHeight="1">
      <c r="A422">
        <f>IF(COUNTA('05_KAPA'!$A393:$AO393)=0,"",395)</f>
        <v/>
      </c>
      <c r="B422">
        <f>IF($A422="","",INDEX('05_KAPA'!$B:$B,$A422))</f>
        <v/>
      </c>
      <c r="C422">
        <f>IF($A422="","",INDEX('05_KAPA'!$F:$F,$A422))</f>
        <v/>
      </c>
      <c r="D422">
        <f>IF($A422="","",INDEX('05_KAPA'!$H:$H,$A422))</f>
        <v/>
      </c>
      <c r="E422">
        <f>IF($A422="","",INDEX('05_KAPA'!$K:$K,$A422))</f>
        <v/>
      </c>
      <c r="F422">
        <f>IF($A422="","",INDEX('05_KAPA'!$L:$L,$A422))</f>
        <v/>
      </c>
      <c r="G422">
        <f>IF($A422="","",INDEX('05_KAPA'!$I:$I,$A422))</f>
        <v/>
      </c>
      <c r="H422" s="202">
        <f>IF($A422="","",INDEX('05_KAPA'!$P:$P,$A422))</f>
        <v/>
      </c>
      <c r="I422" s="118">
        <f>IF($A422="","",INDEX('05_KAPA'!$O:$O,$A422))</f>
        <v/>
      </c>
      <c r="J422" s="202">
        <f>IF($A422="","",IFERROR(DATE(LEFT(TEXT(INDEX('05_KAPA'!$T:$T,$A422),"0"),4),MID(TEXT(INDEX('05_KAPA'!$T:$T,$A422),"0"),5,2),RIGHT(TEXT(INDEX('05_KAPA'!$T:$T,$A422),"0"),2)),""))</f>
        <v/>
      </c>
      <c r="K422">
        <f>IF(C422="","",IF('02_대상물건입력'!$B$5="",1,IF(ISNUMBER(SEARCH('02_대상물건입력'!$B$5,C422)),1,0)))</f>
        <v/>
      </c>
      <c r="L422">
        <f>IF(C422="","",IF('02_대상물건입력'!$B$6="",1,IF(ISNUMBER(SEARCH('02_대상물건입력'!$B$6,C422)),1,0)))</f>
        <v/>
      </c>
      <c r="M422">
        <f>IF(E422="","",IF('02_대상물건입력'!$B$8="",0,IF(ISNUMBER(SEARCH('02_대상물건입력'!$B$8,E422)),1,0)))</f>
        <v/>
      </c>
      <c r="N422">
        <f>IF(B422="","",IF(B422="담보",1,0))</f>
        <v/>
      </c>
      <c r="O422">
        <f>IFERROR(ABS(G422-'02_대상물건입력'!$B$11)/'02_대상물건입력'!$B$11,"")</f>
        <v/>
      </c>
      <c r="P422">
        <f>IFERROR(ABS('01_설정'!$B$4-H422),"")</f>
        <v/>
      </c>
      <c r="Q422">
        <f>IFERROR(ABS(YEAR(J422)-YEAR('02_대상물건입력'!$B$14)),"")</f>
        <v/>
      </c>
      <c r="R422">
        <f>IF(AND(G422&gt;0,H422&gt;0,I422&gt;0,N422=1,IF('01_설정'!$B$10=1,K422=1,TRUE()),O422&lt;='01_설정'!$B$5,P422&lt;='01_설정'!$B$7,Q422&lt;='01_설정'!$B$8),"Y","")</f>
        <v/>
      </c>
      <c r="S422">
        <f>IF(R422&lt;&gt;"Y","",MAX(0,(1-O422/'01_설정'!$B$5))*'01_설정'!$B$14+MAX(0,(1-P422/'01_설정'!$B$7))*'01_설정'!$B$16+MAX(0,(1-Q422/'01_설정'!$B$8))*'01_설정'!$B$17+L422*'01_설정'!$B$11+M422*'01_설정'!$B$12+N422*50)</f>
        <v/>
      </c>
      <c r="T422">
        <f>IF(S422="","",1+COUNTIFS($S$31:$S$1030,"&gt;"&amp;S422)+COUNTIFS($S$31:S422,S422)-1)</f>
        <v/>
      </c>
    </row>
    <row r="423" hidden="1" ht="16.5" customHeight="1">
      <c r="A423">
        <f>IF(COUNTA('05_KAPA'!$A394:$AO394)=0,"",396)</f>
        <v/>
      </c>
      <c r="B423">
        <f>IF($A423="","",INDEX('05_KAPA'!$B:$B,$A423))</f>
        <v/>
      </c>
      <c r="C423">
        <f>IF($A423="","",INDEX('05_KAPA'!$F:$F,$A423))</f>
        <v/>
      </c>
      <c r="D423">
        <f>IF($A423="","",INDEX('05_KAPA'!$H:$H,$A423))</f>
        <v/>
      </c>
      <c r="E423">
        <f>IF($A423="","",INDEX('05_KAPA'!$K:$K,$A423))</f>
        <v/>
      </c>
      <c r="F423">
        <f>IF($A423="","",INDEX('05_KAPA'!$L:$L,$A423))</f>
        <v/>
      </c>
      <c r="G423">
        <f>IF($A423="","",INDEX('05_KAPA'!$I:$I,$A423))</f>
        <v/>
      </c>
      <c r="H423" s="202">
        <f>IF($A423="","",INDEX('05_KAPA'!$P:$P,$A423))</f>
        <v/>
      </c>
      <c r="I423" s="118">
        <f>IF($A423="","",INDEX('05_KAPA'!$O:$O,$A423))</f>
        <v/>
      </c>
      <c r="J423" s="202">
        <f>IF($A423="","",IFERROR(DATE(LEFT(TEXT(INDEX('05_KAPA'!$T:$T,$A423),"0"),4),MID(TEXT(INDEX('05_KAPA'!$T:$T,$A423),"0"),5,2),RIGHT(TEXT(INDEX('05_KAPA'!$T:$T,$A423),"0"),2)),""))</f>
        <v/>
      </c>
      <c r="K423">
        <f>IF(C423="","",IF('02_대상물건입력'!$B$5="",1,IF(ISNUMBER(SEARCH('02_대상물건입력'!$B$5,C423)),1,0)))</f>
        <v/>
      </c>
      <c r="L423">
        <f>IF(C423="","",IF('02_대상물건입력'!$B$6="",1,IF(ISNUMBER(SEARCH('02_대상물건입력'!$B$6,C423)),1,0)))</f>
        <v/>
      </c>
      <c r="M423">
        <f>IF(E423="","",IF('02_대상물건입력'!$B$8="",0,IF(ISNUMBER(SEARCH('02_대상물건입력'!$B$8,E423)),1,0)))</f>
        <v/>
      </c>
      <c r="N423">
        <f>IF(B423="","",IF(B423="담보",1,0))</f>
        <v/>
      </c>
      <c r="O423">
        <f>IFERROR(ABS(G423-'02_대상물건입력'!$B$11)/'02_대상물건입력'!$B$11,"")</f>
        <v/>
      </c>
      <c r="P423">
        <f>IFERROR(ABS('01_설정'!$B$4-H423),"")</f>
        <v/>
      </c>
      <c r="Q423">
        <f>IFERROR(ABS(YEAR(J423)-YEAR('02_대상물건입력'!$B$14)),"")</f>
        <v/>
      </c>
      <c r="R423">
        <f>IF(AND(G423&gt;0,H423&gt;0,I423&gt;0,N423=1,IF('01_설정'!$B$10=1,K423=1,TRUE()),O423&lt;='01_설정'!$B$5,P423&lt;='01_설정'!$B$7,Q423&lt;='01_설정'!$B$8),"Y","")</f>
        <v/>
      </c>
      <c r="S423">
        <f>IF(R423&lt;&gt;"Y","",MAX(0,(1-O423/'01_설정'!$B$5))*'01_설정'!$B$14+MAX(0,(1-P423/'01_설정'!$B$7))*'01_설정'!$B$16+MAX(0,(1-Q423/'01_설정'!$B$8))*'01_설정'!$B$17+L423*'01_설정'!$B$11+M423*'01_설정'!$B$12+N423*50)</f>
        <v/>
      </c>
      <c r="T423">
        <f>IF(S423="","",1+COUNTIFS($S$31:$S$1030,"&gt;"&amp;S423)+COUNTIFS($S$31:S423,S423)-1)</f>
        <v/>
      </c>
    </row>
    <row r="424" hidden="1" ht="16.5" customHeight="1">
      <c r="A424">
        <f>IF(COUNTA('05_KAPA'!$A395:$AO395)=0,"",397)</f>
        <v/>
      </c>
      <c r="B424">
        <f>IF($A424="","",INDEX('05_KAPA'!$B:$B,$A424))</f>
        <v/>
      </c>
      <c r="C424">
        <f>IF($A424="","",INDEX('05_KAPA'!$F:$F,$A424))</f>
        <v/>
      </c>
      <c r="D424">
        <f>IF($A424="","",INDEX('05_KAPA'!$H:$H,$A424))</f>
        <v/>
      </c>
      <c r="E424">
        <f>IF($A424="","",INDEX('05_KAPA'!$K:$K,$A424))</f>
        <v/>
      </c>
      <c r="F424">
        <f>IF($A424="","",INDEX('05_KAPA'!$L:$L,$A424))</f>
        <v/>
      </c>
      <c r="G424">
        <f>IF($A424="","",INDEX('05_KAPA'!$I:$I,$A424))</f>
        <v/>
      </c>
      <c r="H424" s="202">
        <f>IF($A424="","",INDEX('05_KAPA'!$P:$P,$A424))</f>
        <v/>
      </c>
      <c r="I424" s="118">
        <f>IF($A424="","",INDEX('05_KAPA'!$O:$O,$A424))</f>
        <v/>
      </c>
      <c r="J424" s="202">
        <f>IF($A424="","",IFERROR(DATE(LEFT(TEXT(INDEX('05_KAPA'!$T:$T,$A424),"0"),4),MID(TEXT(INDEX('05_KAPA'!$T:$T,$A424),"0"),5,2),RIGHT(TEXT(INDEX('05_KAPA'!$T:$T,$A424),"0"),2)),""))</f>
        <v/>
      </c>
      <c r="K424">
        <f>IF(C424="","",IF('02_대상물건입력'!$B$5="",1,IF(ISNUMBER(SEARCH('02_대상물건입력'!$B$5,C424)),1,0)))</f>
        <v/>
      </c>
      <c r="L424">
        <f>IF(C424="","",IF('02_대상물건입력'!$B$6="",1,IF(ISNUMBER(SEARCH('02_대상물건입력'!$B$6,C424)),1,0)))</f>
        <v/>
      </c>
      <c r="M424">
        <f>IF(E424="","",IF('02_대상물건입력'!$B$8="",0,IF(ISNUMBER(SEARCH('02_대상물건입력'!$B$8,E424)),1,0)))</f>
        <v/>
      </c>
      <c r="N424">
        <f>IF(B424="","",IF(B424="담보",1,0))</f>
        <v/>
      </c>
      <c r="O424">
        <f>IFERROR(ABS(G424-'02_대상물건입력'!$B$11)/'02_대상물건입력'!$B$11,"")</f>
        <v/>
      </c>
      <c r="P424">
        <f>IFERROR(ABS('01_설정'!$B$4-H424),"")</f>
        <v/>
      </c>
      <c r="Q424">
        <f>IFERROR(ABS(YEAR(J424)-YEAR('02_대상물건입력'!$B$14)),"")</f>
        <v/>
      </c>
      <c r="R424">
        <f>IF(AND(G424&gt;0,H424&gt;0,I424&gt;0,N424=1,IF('01_설정'!$B$10=1,K424=1,TRUE()),O424&lt;='01_설정'!$B$5,P424&lt;='01_설정'!$B$7,Q424&lt;='01_설정'!$B$8),"Y","")</f>
        <v/>
      </c>
      <c r="S424">
        <f>IF(R424&lt;&gt;"Y","",MAX(0,(1-O424/'01_설정'!$B$5))*'01_설정'!$B$14+MAX(0,(1-P424/'01_설정'!$B$7))*'01_설정'!$B$16+MAX(0,(1-Q424/'01_설정'!$B$8))*'01_설정'!$B$17+L424*'01_설정'!$B$11+M424*'01_설정'!$B$12+N424*50)</f>
        <v/>
      </c>
      <c r="T424">
        <f>IF(S424="","",1+COUNTIFS($S$31:$S$1030,"&gt;"&amp;S424)+COUNTIFS($S$31:S424,S424)-1)</f>
        <v/>
      </c>
    </row>
    <row r="425" hidden="1" ht="16.5" customHeight="1">
      <c r="A425">
        <f>IF(COUNTA('05_KAPA'!$A396:$AO396)=0,"",398)</f>
        <v/>
      </c>
      <c r="B425">
        <f>IF($A425="","",INDEX('05_KAPA'!$B:$B,$A425))</f>
        <v/>
      </c>
      <c r="C425">
        <f>IF($A425="","",INDEX('05_KAPA'!$F:$F,$A425))</f>
        <v/>
      </c>
      <c r="D425">
        <f>IF($A425="","",INDEX('05_KAPA'!$H:$H,$A425))</f>
        <v/>
      </c>
      <c r="E425">
        <f>IF($A425="","",INDEX('05_KAPA'!$K:$K,$A425))</f>
        <v/>
      </c>
      <c r="F425">
        <f>IF($A425="","",INDEX('05_KAPA'!$L:$L,$A425))</f>
        <v/>
      </c>
      <c r="G425">
        <f>IF($A425="","",INDEX('05_KAPA'!$I:$I,$A425))</f>
        <v/>
      </c>
      <c r="H425" s="202">
        <f>IF($A425="","",INDEX('05_KAPA'!$P:$P,$A425))</f>
        <v/>
      </c>
      <c r="I425" s="118">
        <f>IF($A425="","",INDEX('05_KAPA'!$O:$O,$A425))</f>
        <v/>
      </c>
      <c r="J425" s="202">
        <f>IF($A425="","",IFERROR(DATE(LEFT(TEXT(INDEX('05_KAPA'!$T:$T,$A425),"0"),4),MID(TEXT(INDEX('05_KAPA'!$T:$T,$A425),"0"),5,2),RIGHT(TEXT(INDEX('05_KAPA'!$T:$T,$A425),"0"),2)),""))</f>
        <v/>
      </c>
      <c r="K425">
        <f>IF(C425="","",IF('02_대상물건입력'!$B$5="",1,IF(ISNUMBER(SEARCH('02_대상물건입력'!$B$5,C425)),1,0)))</f>
        <v/>
      </c>
      <c r="L425">
        <f>IF(C425="","",IF('02_대상물건입력'!$B$6="",1,IF(ISNUMBER(SEARCH('02_대상물건입력'!$B$6,C425)),1,0)))</f>
        <v/>
      </c>
      <c r="M425">
        <f>IF(E425="","",IF('02_대상물건입력'!$B$8="",0,IF(ISNUMBER(SEARCH('02_대상물건입력'!$B$8,E425)),1,0)))</f>
        <v/>
      </c>
      <c r="N425">
        <f>IF(B425="","",IF(B425="담보",1,0))</f>
        <v/>
      </c>
      <c r="O425">
        <f>IFERROR(ABS(G425-'02_대상물건입력'!$B$11)/'02_대상물건입력'!$B$11,"")</f>
        <v/>
      </c>
      <c r="P425">
        <f>IFERROR(ABS('01_설정'!$B$4-H425),"")</f>
        <v/>
      </c>
      <c r="Q425">
        <f>IFERROR(ABS(YEAR(J425)-YEAR('02_대상물건입력'!$B$14)),"")</f>
        <v/>
      </c>
      <c r="R425">
        <f>IF(AND(G425&gt;0,H425&gt;0,I425&gt;0,N425=1,IF('01_설정'!$B$10=1,K425=1,TRUE()),O425&lt;='01_설정'!$B$5,P425&lt;='01_설정'!$B$7,Q425&lt;='01_설정'!$B$8),"Y","")</f>
        <v/>
      </c>
      <c r="S425">
        <f>IF(R425&lt;&gt;"Y","",MAX(0,(1-O425/'01_설정'!$B$5))*'01_설정'!$B$14+MAX(0,(1-P425/'01_설정'!$B$7))*'01_설정'!$B$16+MAX(0,(1-Q425/'01_설정'!$B$8))*'01_설정'!$B$17+L425*'01_설정'!$B$11+M425*'01_설정'!$B$12+N425*50)</f>
        <v/>
      </c>
      <c r="T425">
        <f>IF(S425="","",1+COUNTIFS($S$31:$S$1030,"&gt;"&amp;S425)+COUNTIFS($S$31:S425,S425)-1)</f>
        <v/>
      </c>
    </row>
    <row r="426" hidden="1" ht="16.5" customHeight="1">
      <c r="A426">
        <f>IF(COUNTA('05_KAPA'!$A397:$AO397)=0,"",399)</f>
        <v/>
      </c>
      <c r="B426">
        <f>IF($A426="","",INDEX('05_KAPA'!$B:$B,$A426))</f>
        <v/>
      </c>
      <c r="C426">
        <f>IF($A426="","",INDEX('05_KAPA'!$F:$F,$A426))</f>
        <v/>
      </c>
      <c r="D426">
        <f>IF($A426="","",INDEX('05_KAPA'!$H:$H,$A426))</f>
        <v/>
      </c>
      <c r="E426">
        <f>IF($A426="","",INDEX('05_KAPA'!$K:$K,$A426))</f>
        <v/>
      </c>
      <c r="F426">
        <f>IF($A426="","",INDEX('05_KAPA'!$L:$L,$A426))</f>
        <v/>
      </c>
      <c r="G426">
        <f>IF($A426="","",INDEX('05_KAPA'!$I:$I,$A426))</f>
        <v/>
      </c>
      <c r="H426" s="202">
        <f>IF($A426="","",INDEX('05_KAPA'!$P:$P,$A426))</f>
        <v/>
      </c>
      <c r="I426" s="118">
        <f>IF($A426="","",INDEX('05_KAPA'!$O:$O,$A426))</f>
        <v/>
      </c>
      <c r="J426" s="202">
        <f>IF($A426="","",IFERROR(DATE(LEFT(TEXT(INDEX('05_KAPA'!$T:$T,$A426),"0"),4),MID(TEXT(INDEX('05_KAPA'!$T:$T,$A426),"0"),5,2),RIGHT(TEXT(INDEX('05_KAPA'!$T:$T,$A426),"0"),2)),""))</f>
        <v/>
      </c>
      <c r="K426">
        <f>IF(C426="","",IF('02_대상물건입력'!$B$5="",1,IF(ISNUMBER(SEARCH('02_대상물건입력'!$B$5,C426)),1,0)))</f>
        <v/>
      </c>
      <c r="L426">
        <f>IF(C426="","",IF('02_대상물건입력'!$B$6="",1,IF(ISNUMBER(SEARCH('02_대상물건입력'!$B$6,C426)),1,0)))</f>
        <v/>
      </c>
      <c r="M426">
        <f>IF(E426="","",IF('02_대상물건입력'!$B$8="",0,IF(ISNUMBER(SEARCH('02_대상물건입력'!$B$8,E426)),1,0)))</f>
        <v/>
      </c>
      <c r="N426">
        <f>IF(B426="","",IF(B426="담보",1,0))</f>
        <v/>
      </c>
      <c r="O426">
        <f>IFERROR(ABS(G426-'02_대상물건입력'!$B$11)/'02_대상물건입력'!$B$11,"")</f>
        <v/>
      </c>
      <c r="P426">
        <f>IFERROR(ABS('01_설정'!$B$4-H426),"")</f>
        <v/>
      </c>
      <c r="Q426">
        <f>IFERROR(ABS(YEAR(J426)-YEAR('02_대상물건입력'!$B$14)),"")</f>
        <v/>
      </c>
      <c r="R426">
        <f>IF(AND(G426&gt;0,H426&gt;0,I426&gt;0,N426=1,IF('01_설정'!$B$10=1,K426=1,TRUE()),O426&lt;='01_설정'!$B$5,P426&lt;='01_설정'!$B$7,Q426&lt;='01_설정'!$B$8),"Y","")</f>
        <v/>
      </c>
      <c r="S426">
        <f>IF(R426&lt;&gt;"Y","",MAX(0,(1-O426/'01_설정'!$B$5))*'01_설정'!$B$14+MAX(0,(1-P426/'01_설정'!$B$7))*'01_설정'!$B$16+MAX(0,(1-Q426/'01_설정'!$B$8))*'01_설정'!$B$17+L426*'01_설정'!$B$11+M426*'01_설정'!$B$12+N426*50)</f>
        <v/>
      </c>
      <c r="T426">
        <f>IF(S426="","",1+COUNTIFS($S$31:$S$1030,"&gt;"&amp;S426)+COUNTIFS($S$31:S426,S426)-1)</f>
        <v/>
      </c>
    </row>
    <row r="427" hidden="1" ht="16.5" customHeight="1">
      <c r="A427">
        <f>IF(COUNTA('05_KAPA'!$A398:$AO398)=0,"",400)</f>
        <v/>
      </c>
      <c r="B427">
        <f>IF($A427="","",INDEX('05_KAPA'!$B:$B,$A427))</f>
        <v/>
      </c>
      <c r="C427">
        <f>IF($A427="","",INDEX('05_KAPA'!$F:$F,$A427))</f>
        <v/>
      </c>
      <c r="D427">
        <f>IF($A427="","",INDEX('05_KAPA'!$H:$H,$A427))</f>
        <v/>
      </c>
      <c r="E427">
        <f>IF($A427="","",INDEX('05_KAPA'!$K:$K,$A427))</f>
        <v/>
      </c>
      <c r="F427">
        <f>IF($A427="","",INDEX('05_KAPA'!$L:$L,$A427))</f>
        <v/>
      </c>
      <c r="G427">
        <f>IF($A427="","",INDEX('05_KAPA'!$I:$I,$A427))</f>
        <v/>
      </c>
      <c r="H427" s="202">
        <f>IF($A427="","",INDEX('05_KAPA'!$P:$P,$A427))</f>
        <v/>
      </c>
      <c r="I427" s="118">
        <f>IF($A427="","",INDEX('05_KAPA'!$O:$O,$A427))</f>
        <v/>
      </c>
      <c r="J427" s="202">
        <f>IF($A427="","",IFERROR(DATE(LEFT(TEXT(INDEX('05_KAPA'!$T:$T,$A427),"0"),4),MID(TEXT(INDEX('05_KAPA'!$T:$T,$A427),"0"),5,2),RIGHT(TEXT(INDEX('05_KAPA'!$T:$T,$A427),"0"),2)),""))</f>
        <v/>
      </c>
      <c r="K427">
        <f>IF(C427="","",IF('02_대상물건입력'!$B$5="",1,IF(ISNUMBER(SEARCH('02_대상물건입력'!$B$5,C427)),1,0)))</f>
        <v/>
      </c>
      <c r="L427">
        <f>IF(C427="","",IF('02_대상물건입력'!$B$6="",1,IF(ISNUMBER(SEARCH('02_대상물건입력'!$B$6,C427)),1,0)))</f>
        <v/>
      </c>
      <c r="M427">
        <f>IF(E427="","",IF('02_대상물건입력'!$B$8="",0,IF(ISNUMBER(SEARCH('02_대상물건입력'!$B$8,E427)),1,0)))</f>
        <v/>
      </c>
      <c r="N427">
        <f>IF(B427="","",IF(B427="담보",1,0))</f>
        <v/>
      </c>
      <c r="O427">
        <f>IFERROR(ABS(G427-'02_대상물건입력'!$B$11)/'02_대상물건입력'!$B$11,"")</f>
        <v/>
      </c>
      <c r="P427">
        <f>IFERROR(ABS('01_설정'!$B$4-H427),"")</f>
        <v/>
      </c>
      <c r="Q427">
        <f>IFERROR(ABS(YEAR(J427)-YEAR('02_대상물건입력'!$B$14)),"")</f>
        <v/>
      </c>
      <c r="R427">
        <f>IF(AND(G427&gt;0,H427&gt;0,I427&gt;0,N427=1,IF('01_설정'!$B$10=1,K427=1,TRUE()),O427&lt;='01_설정'!$B$5,P427&lt;='01_설정'!$B$7,Q427&lt;='01_설정'!$B$8),"Y","")</f>
        <v/>
      </c>
      <c r="S427">
        <f>IF(R427&lt;&gt;"Y","",MAX(0,(1-O427/'01_설정'!$B$5))*'01_설정'!$B$14+MAX(0,(1-P427/'01_설정'!$B$7))*'01_설정'!$B$16+MAX(0,(1-Q427/'01_설정'!$B$8))*'01_설정'!$B$17+L427*'01_설정'!$B$11+M427*'01_설정'!$B$12+N427*50)</f>
        <v/>
      </c>
      <c r="T427">
        <f>IF(S427="","",1+COUNTIFS($S$31:$S$1030,"&gt;"&amp;S427)+COUNTIFS($S$31:S427,S427)-1)</f>
        <v/>
      </c>
    </row>
    <row r="428" hidden="1" ht="16.5" customHeight="1">
      <c r="A428">
        <f>IF(COUNTA('05_KAPA'!$A399:$AO399)=0,"",401)</f>
        <v/>
      </c>
      <c r="B428">
        <f>IF($A428="","",INDEX('05_KAPA'!$B:$B,$A428))</f>
        <v/>
      </c>
      <c r="C428">
        <f>IF($A428="","",INDEX('05_KAPA'!$F:$F,$A428))</f>
        <v/>
      </c>
      <c r="D428">
        <f>IF($A428="","",INDEX('05_KAPA'!$H:$H,$A428))</f>
        <v/>
      </c>
      <c r="E428">
        <f>IF($A428="","",INDEX('05_KAPA'!$K:$K,$A428))</f>
        <v/>
      </c>
      <c r="F428">
        <f>IF($A428="","",INDEX('05_KAPA'!$L:$L,$A428))</f>
        <v/>
      </c>
      <c r="G428">
        <f>IF($A428="","",INDEX('05_KAPA'!$I:$I,$A428))</f>
        <v/>
      </c>
      <c r="H428" s="202">
        <f>IF($A428="","",INDEX('05_KAPA'!$P:$P,$A428))</f>
        <v/>
      </c>
      <c r="I428" s="118">
        <f>IF($A428="","",INDEX('05_KAPA'!$O:$O,$A428))</f>
        <v/>
      </c>
      <c r="J428" s="202">
        <f>IF($A428="","",IFERROR(DATE(LEFT(TEXT(INDEX('05_KAPA'!$T:$T,$A428),"0"),4),MID(TEXT(INDEX('05_KAPA'!$T:$T,$A428),"0"),5,2),RIGHT(TEXT(INDEX('05_KAPA'!$T:$T,$A428),"0"),2)),""))</f>
        <v/>
      </c>
      <c r="K428">
        <f>IF(C428="","",IF('02_대상물건입력'!$B$5="",1,IF(ISNUMBER(SEARCH('02_대상물건입력'!$B$5,C428)),1,0)))</f>
        <v/>
      </c>
      <c r="L428">
        <f>IF(C428="","",IF('02_대상물건입력'!$B$6="",1,IF(ISNUMBER(SEARCH('02_대상물건입력'!$B$6,C428)),1,0)))</f>
        <v/>
      </c>
      <c r="M428">
        <f>IF(E428="","",IF('02_대상물건입력'!$B$8="",0,IF(ISNUMBER(SEARCH('02_대상물건입력'!$B$8,E428)),1,0)))</f>
        <v/>
      </c>
      <c r="N428">
        <f>IF(B428="","",IF(B428="담보",1,0))</f>
        <v/>
      </c>
      <c r="O428">
        <f>IFERROR(ABS(G428-'02_대상물건입력'!$B$11)/'02_대상물건입력'!$B$11,"")</f>
        <v/>
      </c>
      <c r="P428">
        <f>IFERROR(ABS('01_설정'!$B$4-H428),"")</f>
        <v/>
      </c>
      <c r="Q428">
        <f>IFERROR(ABS(YEAR(J428)-YEAR('02_대상물건입력'!$B$14)),"")</f>
        <v/>
      </c>
      <c r="R428">
        <f>IF(AND(G428&gt;0,H428&gt;0,I428&gt;0,N428=1,IF('01_설정'!$B$10=1,K428=1,TRUE()),O428&lt;='01_설정'!$B$5,P428&lt;='01_설정'!$B$7,Q428&lt;='01_설정'!$B$8),"Y","")</f>
        <v/>
      </c>
      <c r="S428">
        <f>IF(R428&lt;&gt;"Y","",MAX(0,(1-O428/'01_설정'!$B$5))*'01_설정'!$B$14+MAX(0,(1-P428/'01_설정'!$B$7))*'01_설정'!$B$16+MAX(0,(1-Q428/'01_설정'!$B$8))*'01_설정'!$B$17+L428*'01_설정'!$B$11+M428*'01_설정'!$B$12+N428*50)</f>
        <v/>
      </c>
      <c r="T428">
        <f>IF(S428="","",1+COUNTIFS($S$31:$S$1030,"&gt;"&amp;S428)+COUNTIFS($S$31:S428,S428)-1)</f>
        <v/>
      </c>
    </row>
    <row r="429" hidden="1" ht="16.5" customHeight="1">
      <c r="A429">
        <f>IF(COUNTA('05_KAPA'!$A400:$AO400)=0,"",402)</f>
        <v/>
      </c>
      <c r="B429">
        <f>IF($A429="","",INDEX('05_KAPA'!$B:$B,$A429))</f>
        <v/>
      </c>
      <c r="C429">
        <f>IF($A429="","",INDEX('05_KAPA'!$F:$F,$A429))</f>
        <v/>
      </c>
      <c r="D429">
        <f>IF($A429="","",INDEX('05_KAPA'!$H:$H,$A429))</f>
        <v/>
      </c>
      <c r="E429">
        <f>IF($A429="","",INDEX('05_KAPA'!$K:$K,$A429))</f>
        <v/>
      </c>
      <c r="F429">
        <f>IF($A429="","",INDEX('05_KAPA'!$L:$L,$A429))</f>
        <v/>
      </c>
      <c r="G429">
        <f>IF($A429="","",INDEX('05_KAPA'!$I:$I,$A429))</f>
        <v/>
      </c>
      <c r="H429" s="202">
        <f>IF($A429="","",INDEX('05_KAPA'!$P:$P,$A429))</f>
        <v/>
      </c>
      <c r="I429" s="118">
        <f>IF($A429="","",INDEX('05_KAPA'!$O:$O,$A429))</f>
        <v/>
      </c>
      <c r="J429" s="202">
        <f>IF($A429="","",IFERROR(DATE(LEFT(TEXT(INDEX('05_KAPA'!$T:$T,$A429),"0"),4),MID(TEXT(INDEX('05_KAPA'!$T:$T,$A429),"0"),5,2),RIGHT(TEXT(INDEX('05_KAPA'!$T:$T,$A429),"0"),2)),""))</f>
        <v/>
      </c>
      <c r="K429">
        <f>IF(C429="","",IF('02_대상물건입력'!$B$5="",1,IF(ISNUMBER(SEARCH('02_대상물건입력'!$B$5,C429)),1,0)))</f>
        <v/>
      </c>
      <c r="L429">
        <f>IF(C429="","",IF('02_대상물건입력'!$B$6="",1,IF(ISNUMBER(SEARCH('02_대상물건입력'!$B$6,C429)),1,0)))</f>
        <v/>
      </c>
      <c r="M429">
        <f>IF(E429="","",IF('02_대상물건입력'!$B$8="",0,IF(ISNUMBER(SEARCH('02_대상물건입력'!$B$8,E429)),1,0)))</f>
        <v/>
      </c>
      <c r="N429">
        <f>IF(B429="","",IF(B429="담보",1,0))</f>
        <v/>
      </c>
      <c r="O429">
        <f>IFERROR(ABS(G429-'02_대상물건입력'!$B$11)/'02_대상물건입력'!$B$11,"")</f>
        <v/>
      </c>
      <c r="P429">
        <f>IFERROR(ABS('01_설정'!$B$4-H429),"")</f>
        <v/>
      </c>
      <c r="Q429">
        <f>IFERROR(ABS(YEAR(J429)-YEAR('02_대상물건입력'!$B$14)),"")</f>
        <v/>
      </c>
      <c r="R429">
        <f>IF(AND(G429&gt;0,H429&gt;0,I429&gt;0,N429=1,IF('01_설정'!$B$10=1,K429=1,TRUE()),O429&lt;='01_설정'!$B$5,P429&lt;='01_설정'!$B$7,Q429&lt;='01_설정'!$B$8),"Y","")</f>
        <v/>
      </c>
      <c r="S429">
        <f>IF(R429&lt;&gt;"Y","",MAX(0,(1-O429/'01_설정'!$B$5))*'01_설정'!$B$14+MAX(0,(1-P429/'01_설정'!$B$7))*'01_설정'!$B$16+MAX(0,(1-Q429/'01_설정'!$B$8))*'01_설정'!$B$17+L429*'01_설정'!$B$11+M429*'01_설정'!$B$12+N429*50)</f>
        <v/>
      </c>
      <c r="T429">
        <f>IF(S429="","",1+COUNTIFS($S$31:$S$1030,"&gt;"&amp;S429)+COUNTIFS($S$31:S429,S429)-1)</f>
        <v/>
      </c>
    </row>
    <row r="430" hidden="1" ht="16.5" customHeight="1">
      <c r="A430">
        <f>IF(COUNTA('05_KAPA'!$A401:$AO401)=0,"",403)</f>
        <v/>
      </c>
      <c r="B430">
        <f>IF($A430="","",INDEX('05_KAPA'!$B:$B,$A430))</f>
        <v/>
      </c>
      <c r="C430">
        <f>IF($A430="","",INDEX('05_KAPA'!$F:$F,$A430))</f>
        <v/>
      </c>
      <c r="D430">
        <f>IF($A430="","",INDEX('05_KAPA'!$H:$H,$A430))</f>
        <v/>
      </c>
      <c r="E430">
        <f>IF($A430="","",INDEX('05_KAPA'!$K:$K,$A430))</f>
        <v/>
      </c>
      <c r="F430">
        <f>IF($A430="","",INDEX('05_KAPA'!$L:$L,$A430))</f>
        <v/>
      </c>
      <c r="G430">
        <f>IF($A430="","",INDEX('05_KAPA'!$I:$I,$A430))</f>
        <v/>
      </c>
      <c r="H430" s="202">
        <f>IF($A430="","",INDEX('05_KAPA'!$P:$P,$A430))</f>
        <v/>
      </c>
      <c r="I430" s="118">
        <f>IF($A430="","",INDEX('05_KAPA'!$O:$O,$A430))</f>
        <v/>
      </c>
      <c r="J430" s="202">
        <f>IF($A430="","",IFERROR(DATE(LEFT(TEXT(INDEX('05_KAPA'!$T:$T,$A430),"0"),4),MID(TEXT(INDEX('05_KAPA'!$T:$T,$A430),"0"),5,2),RIGHT(TEXT(INDEX('05_KAPA'!$T:$T,$A430),"0"),2)),""))</f>
        <v/>
      </c>
      <c r="K430">
        <f>IF(C430="","",IF('02_대상물건입력'!$B$5="",1,IF(ISNUMBER(SEARCH('02_대상물건입력'!$B$5,C430)),1,0)))</f>
        <v/>
      </c>
      <c r="L430">
        <f>IF(C430="","",IF('02_대상물건입력'!$B$6="",1,IF(ISNUMBER(SEARCH('02_대상물건입력'!$B$6,C430)),1,0)))</f>
        <v/>
      </c>
      <c r="M430">
        <f>IF(E430="","",IF('02_대상물건입력'!$B$8="",0,IF(ISNUMBER(SEARCH('02_대상물건입력'!$B$8,E430)),1,0)))</f>
        <v/>
      </c>
      <c r="N430">
        <f>IF(B430="","",IF(B430="담보",1,0))</f>
        <v/>
      </c>
      <c r="O430">
        <f>IFERROR(ABS(G430-'02_대상물건입력'!$B$11)/'02_대상물건입력'!$B$11,"")</f>
        <v/>
      </c>
      <c r="P430">
        <f>IFERROR(ABS('01_설정'!$B$4-H430),"")</f>
        <v/>
      </c>
      <c r="Q430">
        <f>IFERROR(ABS(YEAR(J430)-YEAR('02_대상물건입력'!$B$14)),"")</f>
        <v/>
      </c>
      <c r="R430">
        <f>IF(AND(G430&gt;0,H430&gt;0,I430&gt;0,N430=1,IF('01_설정'!$B$10=1,K430=1,TRUE()),O430&lt;='01_설정'!$B$5,P430&lt;='01_설정'!$B$7,Q430&lt;='01_설정'!$B$8),"Y","")</f>
        <v/>
      </c>
      <c r="S430">
        <f>IF(R430&lt;&gt;"Y","",MAX(0,(1-O430/'01_설정'!$B$5))*'01_설정'!$B$14+MAX(0,(1-P430/'01_설정'!$B$7))*'01_설정'!$B$16+MAX(0,(1-Q430/'01_설정'!$B$8))*'01_설정'!$B$17+L430*'01_설정'!$B$11+M430*'01_설정'!$B$12+N430*50)</f>
        <v/>
      </c>
      <c r="T430">
        <f>IF(S430="","",1+COUNTIFS($S$31:$S$1030,"&gt;"&amp;S430)+COUNTIFS($S$31:S430,S430)-1)</f>
        <v/>
      </c>
    </row>
    <row r="431" hidden="1" ht="16.5" customHeight="1">
      <c r="A431">
        <f>IF(COUNTA('05_KAPA'!$A402:$AO402)=0,"",404)</f>
        <v/>
      </c>
      <c r="B431">
        <f>IF($A431="","",INDEX('05_KAPA'!$B:$B,$A431))</f>
        <v/>
      </c>
      <c r="C431">
        <f>IF($A431="","",INDEX('05_KAPA'!$F:$F,$A431))</f>
        <v/>
      </c>
      <c r="D431">
        <f>IF($A431="","",INDEX('05_KAPA'!$H:$H,$A431))</f>
        <v/>
      </c>
      <c r="E431">
        <f>IF($A431="","",INDEX('05_KAPA'!$K:$K,$A431))</f>
        <v/>
      </c>
      <c r="F431">
        <f>IF($A431="","",INDEX('05_KAPA'!$L:$L,$A431))</f>
        <v/>
      </c>
      <c r="G431">
        <f>IF($A431="","",INDEX('05_KAPA'!$I:$I,$A431))</f>
        <v/>
      </c>
      <c r="H431" s="202">
        <f>IF($A431="","",INDEX('05_KAPA'!$P:$P,$A431))</f>
        <v/>
      </c>
      <c r="I431" s="118">
        <f>IF($A431="","",INDEX('05_KAPA'!$O:$O,$A431))</f>
        <v/>
      </c>
      <c r="J431" s="202">
        <f>IF($A431="","",IFERROR(DATE(LEFT(TEXT(INDEX('05_KAPA'!$T:$T,$A431),"0"),4),MID(TEXT(INDEX('05_KAPA'!$T:$T,$A431),"0"),5,2),RIGHT(TEXT(INDEX('05_KAPA'!$T:$T,$A431),"0"),2)),""))</f>
        <v/>
      </c>
      <c r="K431">
        <f>IF(C431="","",IF('02_대상물건입력'!$B$5="",1,IF(ISNUMBER(SEARCH('02_대상물건입력'!$B$5,C431)),1,0)))</f>
        <v/>
      </c>
      <c r="L431">
        <f>IF(C431="","",IF('02_대상물건입력'!$B$6="",1,IF(ISNUMBER(SEARCH('02_대상물건입력'!$B$6,C431)),1,0)))</f>
        <v/>
      </c>
      <c r="M431">
        <f>IF(E431="","",IF('02_대상물건입력'!$B$8="",0,IF(ISNUMBER(SEARCH('02_대상물건입력'!$B$8,E431)),1,0)))</f>
        <v/>
      </c>
      <c r="N431">
        <f>IF(B431="","",IF(B431="담보",1,0))</f>
        <v/>
      </c>
      <c r="O431">
        <f>IFERROR(ABS(G431-'02_대상물건입력'!$B$11)/'02_대상물건입력'!$B$11,"")</f>
        <v/>
      </c>
      <c r="P431">
        <f>IFERROR(ABS('01_설정'!$B$4-H431),"")</f>
        <v/>
      </c>
      <c r="Q431">
        <f>IFERROR(ABS(YEAR(J431)-YEAR('02_대상물건입력'!$B$14)),"")</f>
        <v/>
      </c>
      <c r="R431">
        <f>IF(AND(G431&gt;0,H431&gt;0,I431&gt;0,N431=1,IF('01_설정'!$B$10=1,K431=1,TRUE()),O431&lt;='01_설정'!$B$5,P431&lt;='01_설정'!$B$7,Q431&lt;='01_설정'!$B$8),"Y","")</f>
        <v/>
      </c>
      <c r="S431">
        <f>IF(R431&lt;&gt;"Y","",MAX(0,(1-O431/'01_설정'!$B$5))*'01_설정'!$B$14+MAX(0,(1-P431/'01_설정'!$B$7))*'01_설정'!$B$16+MAX(0,(1-Q431/'01_설정'!$B$8))*'01_설정'!$B$17+L431*'01_설정'!$B$11+M431*'01_설정'!$B$12+N431*50)</f>
        <v/>
      </c>
      <c r="T431">
        <f>IF(S431="","",1+COUNTIFS($S$31:$S$1030,"&gt;"&amp;S431)+COUNTIFS($S$31:S431,S431)-1)</f>
        <v/>
      </c>
    </row>
    <row r="432" hidden="1" ht="16.5" customHeight="1">
      <c r="A432">
        <f>IF(COUNTA('05_KAPA'!$A403:$AO403)=0,"",405)</f>
        <v/>
      </c>
      <c r="B432">
        <f>IF($A432="","",INDEX('05_KAPA'!$B:$B,$A432))</f>
        <v/>
      </c>
      <c r="C432">
        <f>IF($A432="","",INDEX('05_KAPA'!$F:$F,$A432))</f>
        <v/>
      </c>
      <c r="D432">
        <f>IF($A432="","",INDEX('05_KAPA'!$H:$H,$A432))</f>
        <v/>
      </c>
      <c r="E432">
        <f>IF($A432="","",INDEX('05_KAPA'!$K:$K,$A432))</f>
        <v/>
      </c>
      <c r="F432">
        <f>IF($A432="","",INDEX('05_KAPA'!$L:$L,$A432))</f>
        <v/>
      </c>
      <c r="G432">
        <f>IF($A432="","",INDEX('05_KAPA'!$I:$I,$A432))</f>
        <v/>
      </c>
      <c r="H432" s="202">
        <f>IF($A432="","",INDEX('05_KAPA'!$P:$P,$A432))</f>
        <v/>
      </c>
      <c r="I432" s="118">
        <f>IF($A432="","",INDEX('05_KAPA'!$O:$O,$A432))</f>
        <v/>
      </c>
      <c r="J432" s="202">
        <f>IF($A432="","",IFERROR(DATE(LEFT(TEXT(INDEX('05_KAPA'!$T:$T,$A432),"0"),4),MID(TEXT(INDEX('05_KAPA'!$T:$T,$A432),"0"),5,2),RIGHT(TEXT(INDEX('05_KAPA'!$T:$T,$A432),"0"),2)),""))</f>
        <v/>
      </c>
      <c r="K432">
        <f>IF(C432="","",IF('02_대상물건입력'!$B$5="",1,IF(ISNUMBER(SEARCH('02_대상물건입력'!$B$5,C432)),1,0)))</f>
        <v/>
      </c>
      <c r="L432">
        <f>IF(C432="","",IF('02_대상물건입력'!$B$6="",1,IF(ISNUMBER(SEARCH('02_대상물건입력'!$B$6,C432)),1,0)))</f>
        <v/>
      </c>
      <c r="M432">
        <f>IF(E432="","",IF('02_대상물건입력'!$B$8="",0,IF(ISNUMBER(SEARCH('02_대상물건입력'!$B$8,E432)),1,0)))</f>
        <v/>
      </c>
      <c r="N432">
        <f>IF(B432="","",IF(B432="담보",1,0))</f>
        <v/>
      </c>
      <c r="O432">
        <f>IFERROR(ABS(G432-'02_대상물건입력'!$B$11)/'02_대상물건입력'!$B$11,"")</f>
        <v/>
      </c>
      <c r="P432">
        <f>IFERROR(ABS('01_설정'!$B$4-H432),"")</f>
        <v/>
      </c>
      <c r="Q432">
        <f>IFERROR(ABS(YEAR(J432)-YEAR('02_대상물건입력'!$B$14)),"")</f>
        <v/>
      </c>
      <c r="R432">
        <f>IF(AND(G432&gt;0,H432&gt;0,I432&gt;0,N432=1,IF('01_설정'!$B$10=1,K432=1,TRUE()),O432&lt;='01_설정'!$B$5,P432&lt;='01_설정'!$B$7,Q432&lt;='01_설정'!$B$8),"Y","")</f>
        <v/>
      </c>
      <c r="S432">
        <f>IF(R432&lt;&gt;"Y","",MAX(0,(1-O432/'01_설정'!$B$5))*'01_설정'!$B$14+MAX(0,(1-P432/'01_설정'!$B$7))*'01_설정'!$B$16+MAX(0,(1-Q432/'01_설정'!$B$8))*'01_설정'!$B$17+L432*'01_설정'!$B$11+M432*'01_설정'!$B$12+N432*50)</f>
        <v/>
      </c>
      <c r="T432">
        <f>IF(S432="","",1+COUNTIFS($S$31:$S$1030,"&gt;"&amp;S432)+COUNTIFS($S$31:S432,S432)-1)</f>
        <v/>
      </c>
    </row>
    <row r="433" hidden="1" ht="16.5" customHeight="1">
      <c r="A433">
        <f>IF(COUNTA('05_KAPA'!$A404:$AO404)=0,"",406)</f>
        <v/>
      </c>
      <c r="B433">
        <f>IF($A433="","",INDEX('05_KAPA'!$B:$B,$A433))</f>
        <v/>
      </c>
      <c r="C433">
        <f>IF($A433="","",INDEX('05_KAPA'!$F:$F,$A433))</f>
        <v/>
      </c>
      <c r="D433">
        <f>IF($A433="","",INDEX('05_KAPA'!$H:$H,$A433))</f>
        <v/>
      </c>
      <c r="E433">
        <f>IF($A433="","",INDEX('05_KAPA'!$K:$K,$A433))</f>
        <v/>
      </c>
      <c r="F433">
        <f>IF($A433="","",INDEX('05_KAPA'!$L:$L,$A433))</f>
        <v/>
      </c>
      <c r="G433">
        <f>IF($A433="","",INDEX('05_KAPA'!$I:$I,$A433))</f>
        <v/>
      </c>
      <c r="H433" s="202">
        <f>IF($A433="","",INDEX('05_KAPA'!$P:$P,$A433))</f>
        <v/>
      </c>
      <c r="I433" s="118">
        <f>IF($A433="","",INDEX('05_KAPA'!$O:$O,$A433))</f>
        <v/>
      </c>
      <c r="J433" s="202">
        <f>IF($A433="","",IFERROR(DATE(LEFT(TEXT(INDEX('05_KAPA'!$T:$T,$A433),"0"),4),MID(TEXT(INDEX('05_KAPA'!$T:$T,$A433),"0"),5,2),RIGHT(TEXT(INDEX('05_KAPA'!$T:$T,$A433),"0"),2)),""))</f>
        <v/>
      </c>
      <c r="K433">
        <f>IF(C433="","",IF('02_대상물건입력'!$B$5="",1,IF(ISNUMBER(SEARCH('02_대상물건입력'!$B$5,C433)),1,0)))</f>
        <v/>
      </c>
      <c r="L433">
        <f>IF(C433="","",IF('02_대상물건입력'!$B$6="",1,IF(ISNUMBER(SEARCH('02_대상물건입력'!$B$6,C433)),1,0)))</f>
        <v/>
      </c>
      <c r="M433">
        <f>IF(E433="","",IF('02_대상물건입력'!$B$8="",0,IF(ISNUMBER(SEARCH('02_대상물건입력'!$B$8,E433)),1,0)))</f>
        <v/>
      </c>
      <c r="N433">
        <f>IF(B433="","",IF(B433="담보",1,0))</f>
        <v/>
      </c>
      <c r="O433">
        <f>IFERROR(ABS(G433-'02_대상물건입력'!$B$11)/'02_대상물건입력'!$B$11,"")</f>
        <v/>
      </c>
      <c r="P433">
        <f>IFERROR(ABS('01_설정'!$B$4-H433),"")</f>
        <v/>
      </c>
      <c r="Q433">
        <f>IFERROR(ABS(YEAR(J433)-YEAR('02_대상물건입력'!$B$14)),"")</f>
        <v/>
      </c>
      <c r="R433">
        <f>IF(AND(G433&gt;0,H433&gt;0,I433&gt;0,N433=1,IF('01_설정'!$B$10=1,K433=1,TRUE()),O433&lt;='01_설정'!$B$5,P433&lt;='01_설정'!$B$7,Q433&lt;='01_설정'!$B$8),"Y","")</f>
        <v/>
      </c>
      <c r="S433">
        <f>IF(R433&lt;&gt;"Y","",MAX(0,(1-O433/'01_설정'!$B$5))*'01_설정'!$B$14+MAX(0,(1-P433/'01_설정'!$B$7))*'01_설정'!$B$16+MAX(0,(1-Q433/'01_설정'!$B$8))*'01_설정'!$B$17+L433*'01_설정'!$B$11+M433*'01_설정'!$B$12+N433*50)</f>
        <v/>
      </c>
      <c r="T433">
        <f>IF(S433="","",1+COUNTIFS($S$31:$S$1030,"&gt;"&amp;S433)+COUNTIFS($S$31:S433,S433)-1)</f>
        <v/>
      </c>
    </row>
    <row r="434" hidden="1" ht="16.5" customHeight="1">
      <c r="A434">
        <f>IF(COUNTA('05_KAPA'!$A405:$AO405)=0,"",407)</f>
        <v/>
      </c>
      <c r="B434">
        <f>IF($A434="","",INDEX('05_KAPA'!$B:$B,$A434))</f>
        <v/>
      </c>
      <c r="C434">
        <f>IF($A434="","",INDEX('05_KAPA'!$F:$F,$A434))</f>
        <v/>
      </c>
      <c r="D434">
        <f>IF($A434="","",INDEX('05_KAPA'!$H:$H,$A434))</f>
        <v/>
      </c>
      <c r="E434">
        <f>IF($A434="","",INDEX('05_KAPA'!$K:$K,$A434))</f>
        <v/>
      </c>
      <c r="F434">
        <f>IF($A434="","",INDEX('05_KAPA'!$L:$L,$A434))</f>
        <v/>
      </c>
      <c r="G434">
        <f>IF($A434="","",INDEX('05_KAPA'!$I:$I,$A434))</f>
        <v/>
      </c>
      <c r="H434" s="202">
        <f>IF($A434="","",INDEX('05_KAPA'!$P:$P,$A434))</f>
        <v/>
      </c>
      <c r="I434" s="118">
        <f>IF($A434="","",INDEX('05_KAPA'!$O:$O,$A434))</f>
        <v/>
      </c>
      <c r="J434" s="202">
        <f>IF($A434="","",IFERROR(DATE(LEFT(TEXT(INDEX('05_KAPA'!$T:$T,$A434),"0"),4),MID(TEXT(INDEX('05_KAPA'!$T:$T,$A434),"0"),5,2),RIGHT(TEXT(INDEX('05_KAPA'!$T:$T,$A434),"0"),2)),""))</f>
        <v/>
      </c>
      <c r="K434">
        <f>IF(C434="","",IF('02_대상물건입력'!$B$5="",1,IF(ISNUMBER(SEARCH('02_대상물건입력'!$B$5,C434)),1,0)))</f>
        <v/>
      </c>
      <c r="L434">
        <f>IF(C434="","",IF('02_대상물건입력'!$B$6="",1,IF(ISNUMBER(SEARCH('02_대상물건입력'!$B$6,C434)),1,0)))</f>
        <v/>
      </c>
      <c r="M434">
        <f>IF(E434="","",IF('02_대상물건입력'!$B$8="",0,IF(ISNUMBER(SEARCH('02_대상물건입력'!$B$8,E434)),1,0)))</f>
        <v/>
      </c>
      <c r="N434">
        <f>IF(B434="","",IF(B434="담보",1,0))</f>
        <v/>
      </c>
      <c r="O434">
        <f>IFERROR(ABS(G434-'02_대상물건입력'!$B$11)/'02_대상물건입력'!$B$11,"")</f>
        <v/>
      </c>
      <c r="P434">
        <f>IFERROR(ABS('01_설정'!$B$4-H434),"")</f>
        <v/>
      </c>
      <c r="Q434">
        <f>IFERROR(ABS(YEAR(J434)-YEAR('02_대상물건입력'!$B$14)),"")</f>
        <v/>
      </c>
      <c r="R434">
        <f>IF(AND(G434&gt;0,H434&gt;0,I434&gt;0,N434=1,IF('01_설정'!$B$10=1,K434=1,TRUE()),O434&lt;='01_설정'!$B$5,P434&lt;='01_설정'!$B$7,Q434&lt;='01_설정'!$B$8),"Y","")</f>
        <v/>
      </c>
      <c r="S434">
        <f>IF(R434&lt;&gt;"Y","",MAX(0,(1-O434/'01_설정'!$B$5))*'01_설정'!$B$14+MAX(0,(1-P434/'01_설정'!$B$7))*'01_설정'!$B$16+MAX(0,(1-Q434/'01_설정'!$B$8))*'01_설정'!$B$17+L434*'01_설정'!$B$11+M434*'01_설정'!$B$12+N434*50)</f>
        <v/>
      </c>
      <c r="T434">
        <f>IF(S434="","",1+COUNTIFS($S$31:$S$1030,"&gt;"&amp;S434)+COUNTIFS($S$31:S434,S434)-1)</f>
        <v/>
      </c>
    </row>
    <row r="435" hidden="1" ht="16.5" customHeight="1">
      <c r="A435">
        <f>IF(COUNTA('05_KAPA'!$A406:$AO406)=0,"",408)</f>
        <v/>
      </c>
      <c r="B435">
        <f>IF($A435="","",INDEX('05_KAPA'!$B:$B,$A435))</f>
        <v/>
      </c>
      <c r="C435">
        <f>IF($A435="","",INDEX('05_KAPA'!$F:$F,$A435))</f>
        <v/>
      </c>
      <c r="D435">
        <f>IF($A435="","",INDEX('05_KAPA'!$H:$H,$A435))</f>
        <v/>
      </c>
      <c r="E435">
        <f>IF($A435="","",INDEX('05_KAPA'!$K:$K,$A435))</f>
        <v/>
      </c>
      <c r="F435">
        <f>IF($A435="","",INDEX('05_KAPA'!$L:$L,$A435))</f>
        <v/>
      </c>
      <c r="G435">
        <f>IF($A435="","",INDEX('05_KAPA'!$I:$I,$A435))</f>
        <v/>
      </c>
      <c r="H435" s="202">
        <f>IF($A435="","",INDEX('05_KAPA'!$P:$P,$A435))</f>
        <v/>
      </c>
      <c r="I435" s="118">
        <f>IF($A435="","",INDEX('05_KAPA'!$O:$O,$A435))</f>
        <v/>
      </c>
      <c r="J435" s="202">
        <f>IF($A435="","",IFERROR(DATE(LEFT(TEXT(INDEX('05_KAPA'!$T:$T,$A435),"0"),4),MID(TEXT(INDEX('05_KAPA'!$T:$T,$A435),"0"),5,2),RIGHT(TEXT(INDEX('05_KAPA'!$T:$T,$A435),"0"),2)),""))</f>
        <v/>
      </c>
      <c r="K435">
        <f>IF(C435="","",IF('02_대상물건입력'!$B$5="",1,IF(ISNUMBER(SEARCH('02_대상물건입력'!$B$5,C435)),1,0)))</f>
        <v/>
      </c>
      <c r="L435">
        <f>IF(C435="","",IF('02_대상물건입력'!$B$6="",1,IF(ISNUMBER(SEARCH('02_대상물건입력'!$B$6,C435)),1,0)))</f>
        <v/>
      </c>
      <c r="M435">
        <f>IF(E435="","",IF('02_대상물건입력'!$B$8="",0,IF(ISNUMBER(SEARCH('02_대상물건입력'!$B$8,E435)),1,0)))</f>
        <v/>
      </c>
      <c r="N435">
        <f>IF(B435="","",IF(B435="담보",1,0))</f>
        <v/>
      </c>
      <c r="O435">
        <f>IFERROR(ABS(G435-'02_대상물건입력'!$B$11)/'02_대상물건입력'!$B$11,"")</f>
        <v/>
      </c>
      <c r="P435">
        <f>IFERROR(ABS('01_설정'!$B$4-H435),"")</f>
        <v/>
      </c>
      <c r="Q435">
        <f>IFERROR(ABS(YEAR(J435)-YEAR('02_대상물건입력'!$B$14)),"")</f>
        <v/>
      </c>
      <c r="R435">
        <f>IF(AND(G435&gt;0,H435&gt;0,I435&gt;0,N435=1,IF('01_설정'!$B$10=1,K435=1,TRUE()),O435&lt;='01_설정'!$B$5,P435&lt;='01_설정'!$B$7,Q435&lt;='01_설정'!$B$8),"Y","")</f>
        <v/>
      </c>
      <c r="S435">
        <f>IF(R435&lt;&gt;"Y","",MAX(0,(1-O435/'01_설정'!$B$5))*'01_설정'!$B$14+MAX(0,(1-P435/'01_설정'!$B$7))*'01_설정'!$B$16+MAX(0,(1-Q435/'01_설정'!$B$8))*'01_설정'!$B$17+L435*'01_설정'!$B$11+M435*'01_설정'!$B$12+N435*50)</f>
        <v/>
      </c>
      <c r="T435">
        <f>IF(S435="","",1+COUNTIFS($S$31:$S$1030,"&gt;"&amp;S435)+COUNTIFS($S$31:S435,S435)-1)</f>
        <v/>
      </c>
    </row>
    <row r="436" hidden="1" ht="16.5" customHeight="1">
      <c r="A436">
        <f>IF(COUNTA('05_KAPA'!$A407:$AO407)=0,"",409)</f>
        <v/>
      </c>
      <c r="B436">
        <f>IF($A436="","",INDEX('05_KAPA'!$B:$B,$A436))</f>
        <v/>
      </c>
      <c r="C436">
        <f>IF($A436="","",INDEX('05_KAPA'!$F:$F,$A436))</f>
        <v/>
      </c>
      <c r="D436">
        <f>IF($A436="","",INDEX('05_KAPA'!$H:$H,$A436))</f>
        <v/>
      </c>
      <c r="E436">
        <f>IF($A436="","",INDEX('05_KAPA'!$K:$K,$A436))</f>
        <v/>
      </c>
      <c r="F436">
        <f>IF($A436="","",INDEX('05_KAPA'!$L:$L,$A436))</f>
        <v/>
      </c>
      <c r="G436">
        <f>IF($A436="","",INDEX('05_KAPA'!$I:$I,$A436))</f>
        <v/>
      </c>
      <c r="H436" s="202">
        <f>IF($A436="","",INDEX('05_KAPA'!$P:$P,$A436))</f>
        <v/>
      </c>
      <c r="I436" s="118">
        <f>IF($A436="","",INDEX('05_KAPA'!$O:$O,$A436))</f>
        <v/>
      </c>
      <c r="J436" s="202">
        <f>IF($A436="","",IFERROR(DATE(LEFT(TEXT(INDEX('05_KAPA'!$T:$T,$A436),"0"),4),MID(TEXT(INDEX('05_KAPA'!$T:$T,$A436),"0"),5,2),RIGHT(TEXT(INDEX('05_KAPA'!$T:$T,$A436),"0"),2)),""))</f>
        <v/>
      </c>
      <c r="K436">
        <f>IF(C436="","",IF('02_대상물건입력'!$B$5="",1,IF(ISNUMBER(SEARCH('02_대상물건입력'!$B$5,C436)),1,0)))</f>
        <v/>
      </c>
      <c r="L436">
        <f>IF(C436="","",IF('02_대상물건입력'!$B$6="",1,IF(ISNUMBER(SEARCH('02_대상물건입력'!$B$6,C436)),1,0)))</f>
        <v/>
      </c>
      <c r="M436">
        <f>IF(E436="","",IF('02_대상물건입력'!$B$8="",0,IF(ISNUMBER(SEARCH('02_대상물건입력'!$B$8,E436)),1,0)))</f>
        <v/>
      </c>
      <c r="N436">
        <f>IF(B436="","",IF(B436="담보",1,0))</f>
        <v/>
      </c>
      <c r="O436">
        <f>IFERROR(ABS(G436-'02_대상물건입력'!$B$11)/'02_대상물건입력'!$B$11,"")</f>
        <v/>
      </c>
      <c r="P436">
        <f>IFERROR(ABS('01_설정'!$B$4-H436),"")</f>
        <v/>
      </c>
      <c r="Q436">
        <f>IFERROR(ABS(YEAR(J436)-YEAR('02_대상물건입력'!$B$14)),"")</f>
        <v/>
      </c>
      <c r="R436">
        <f>IF(AND(G436&gt;0,H436&gt;0,I436&gt;0,N436=1,IF('01_설정'!$B$10=1,K436=1,TRUE()),O436&lt;='01_설정'!$B$5,P436&lt;='01_설정'!$B$7,Q436&lt;='01_설정'!$B$8),"Y","")</f>
        <v/>
      </c>
      <c r="S436">
        <f>IF(R436&lt;&gt;"Y","",MAX(0,(1-O436/'01_설정'!$B$5))*'01_설정'!$B$14+MAX(0,(1-P436/'01_설정'!$B$7))*'01_설정'!$B$16+MAX(0,(1-Q436/'01_설정'!$B$8))*'01_설정'!$B$17+L436*'01_설정'!$B$11+M436*'01_설정'!$B$12+N436*50)</f>
        <v/>
      </c>
      <c r="T436">
        <f>IF(S436="","",1+COUNTIFS($S$31:$S$1030,"&gt;"&amp;S436)+COUNTIFS($S$31:S436,S436)-1)</f>
        <v/>
      </c>
    </row>
    <row r="437" hidden="1" ht="16.5" customHeight="1">
      <c r="A437">
        <f>IF(COUNTA('05_KAPA'!$A408:$AO408)=0,"",410)</f>
        <v/>
      </c>
      <c r="B437">
        <f>IF($A437="","",INDEX('05_KAPA'!$B:$B,$A437))</f>
        <v/>
      </c>
      <c r="C437">
        <f>IF($A437="","",INDEX('05_KAPA'!$F:$F,$A437))</f>
        <v/>
      </c>
      <c r="D437">
        <f>IF($A437="","",INDEX('05_KAPA'!$H:$H,$A437))</f>
        <v/>
      </c>
      <c r="E437">
        <f>IF($A437="","",INDEX('05_KAPA'!$K:$K,$A437))</f>
        <v/>
      </c>
      <c r="F437">
        <f>IF($A437="","",INDEX('05_KAPA'!$L:$L,$A437))</f>
        <v/>
      </c>
      <c r="G437">
        <f>IF($A437="","",INDEX('05_KAPA'!$I:$I,$A437))</f>
        <v/>
      </c>
      <c r="H437" s="202">
        <f>IF($A437="","",INDEX('05_KAPA'!$P:$P,$A437))</f>
        <v/>
      </c>
      <c r="I437" s="118">
        <f>IF($A437="","",INDEX('05_KAPA'!$O:$O,$A437))</f>
        <v/>
      </c>
      <c r="J437" s="202">
        <f>IF($A437="","",IFERROR(DATE(LEFT(TEXT(INDEX('05_KAPA'!$T:$T,$A437),"0"),4),MID(TEXT(INDEX('05_KAPA'!$T:$T,$A437),"0"),5,2),RIGHT(TEXT(INDEX('05_KAPA'!$T:$T,$A437),"0"),2)),""))</f>
        <v/>
      </c>
      <c r="K437">
        <f>IF(C437="","",IF('02_대상물건입력'!$B$5="",1,IF(ISNUMBER(SEARCH('02_대상물건입력'!$B$5,C437)),1,0)))</f>
        <v/>
      </c>
      <c r="L437">
        <f>IF(C437="","",IF('02_대상물건입력'!$B$6="",1,IF(ISNUMBER(SEARCH('02_대상물건입력'!$B$6,C437)),1,0)))</f>
        <v/>
      </c>
      <c r="M437">
        <f>IF(E437="","",IF('02_대상물건입력'!$B$8="",0,IF(ISNUMBER(SEARCH('02_대상물건입력'!$B$8,E437)),1,0)))</f>
        <v/>
      </c>
      <c r="N437">
        <f>IF(B437="","",IF(B437="담보",1,0))</f>
        <v/>
      </c>
      <c r="O437">
        <f>IFERROR(ABS(G437-'02_대상물건입력'!$B$11)/'02_대상물건입력'!$B$11,"")</f>
        <v/>
      </c>
      <c r="P437">
        <f>IFERROR(ABS('01_설정'!$B$4-H437),"")</f>
        <v/>
      </c>
      <c r="Q437">
        <f>IFERROR(ABS(YEAR(J437)-YEAR('02_대상물건입력'!$B$14)),"")</f>
        <v/>
      </c>
      <c r="R437">
        <f>IF(AND(G437&gt;0,H437&gt;0,I437&gt;0,N437=1,IF('01_설정'!$B$10=1,K437=1,TRUE()),O437&lt;='01_설정'!$B$5,P437&lt;='01_설정'!$B$7,Q437&lt;='01_설정'!$B$8),"Y","")</f>
        <v/>
      </c>
      <c r="S437">
        <f>IF(R437&lt;&gt;"Y","",MAX(0,(1-O437/'01_설정'!$B$5))*'01_설정'!$B$14+MAX(0,(1-P437/'01_설정'!$B$7))*'01_설정'!$B$16+MAX(0,(1-Q437/'01_설정'!$B$8))*'01_설정'!$B$17+L437*'01_설정'!$B$11+M437*'01_설정'!$B$12+N437*50)</f>
        <v/>
      </c>
      <c r="T437">
        <f>IF(S437="","",1+COUNTIFS($S$31:$S$1030,"&gt;"&amp;S437)+COUNTIFS($S$31:S437,S437)-1)</f>
        <v/>
      </c>
    </row>
    <row r="438" hidden="1" ht="16.5" customHeight="1">
      <c r="A438">
        <f>IF(COUNTA('05_KAPA'!$A409:$AO409)=0,"",411)</f>
        <v/>
      </c>
      <c r="B438">
        <f>IF($A438="","",INDEX('05_KAPA'!$B:$B,$A438))</f>
        <v/>
      </c>
      <c r="C438">
        <f>IF($A438="","",INDEX('05_KAPA'!$F:$F,$A438))</f>
        <v/>
      </c>
      <c r="D438">
        <f>IF($A438="","",INDEX('05_KAPA'!$H:$H,$A438))</f>
        <v/>
      </c>
      <c r="E438">
        <f>IF($A438="","",INDEX('05_KAPA'!$K:$K,$A438))</f>
        <v/>
      </c>
      <c r="F438">
        <f>IF($A438="","",INDEX('05_KAPA'!$L:$L,$A438))</f>
        <v/>
      </c>
      <c r="G438">
        <f>IF($A438="","",INDEX('05_KAPA'!$I:$I,$A438))</f>
        <v/>
      </c>
      <c r="H438" s="202">
        <f>IF($A438="","",INDEX('05_KAPA'!$P:$P,$A438))</f>
        <v/>
      </c>
      <c r="I438" s="118">
        <f>IF($A438="","",INDEX('05_KAPA'!$O:$O,$A438))</f>
        <v/>
      </c>
      <c r="J438" s="202">
        <f>IF($A438="","",IFERROR(DATE(LEFT(TEXT(INDEX('05_KAPA'!$T:$T,$A438),"0"),4),MID(TEXT(INDEX('05_KAPA'!$T:$T,$A438),"0"),5,2),RIGHT(TEXT(INDEX('05_KAPA'!$T:$T,$A438),"0"),2)),""))</f>
        <v/>
      </c>
      <c r="K438">
        <f>IF(C438="","",IF('02_대상물건입력'!$B$5="",1,IF(ISNUMBER(SEARCH('02_대상물건입력'!$B$5,C438)),1,0)))</f>
        <v/>
      </c>
      <c r="L438">
        <f>IF(C438="","",IF('02_대상물건입력'!$B$6="",1,IF(ISNUMBER(SEARCH('02_대상물건입력'!$B$6,C438)),1,0)))</f>
        <v/>
      </c>
      <c r="M438">
        <f>IF(E438="","",IF('02_대상물건입력'!$B$8="",0,IF(ISNUMBER(SEARCH('02_대상물건입력'!$B$8,E438)),1,0)))</f>
        <v/>
      </c>
      <c r="N438">
        <f>IF(B438="","",IF(B438="담보",1,0))</f>
        <v/>
      </c>
      <c r="O438">
        <f>IFERROR(ABS(G438-'02_대상물건입력'!$B$11)/'02_대상물건입력'!$B$11,"")</f>
        <v/>
      </c>
      <c r="P438">
        <f>IFERROR(ABS('01_설정'!$B$4-H438),"")</f>
        <v/>
      </c>
      <c r="Q438">
        <f>IFERROR(ABS(YEAR(J438)-YEAR('02_대상물건입력'!$B$14)),"")</f>
        <v/>
      </c>
      <c r="R438">
        <f>IF(AND(G438&gt;0,H438&gt;0,I438&gt;0,N438=1,IF('01_설정'!$B$10=1,K438=1,TRUE()),O438&lt;='01_설정'!$B$5,P438&lt;='01_설정'!$B$7,Q438&lt;='01_설정'!$B$8),"Y","")</f>
        <v/>
      </c>
      <c r="S438">
        <f>IF(R438&lt;&gt;"Y","",MAX(0,(1-O438/'01_설정'!$B$5))*'01_설정'!$B$14+MAX(0,(1-P438/'01_설정'!$B$7))*'01_설정'!$B$16+MAX(0,(1-Q438/'01_설정'!$B$8))*'01_설정'!$B$17+L438*'01_설정'!$B$11+M438*'01_설정'!$B$12+N438*50)</f>
        <v/>
      </c>
      <c r="T438">
        <f>IF(S438="","",1+COUNTIFS($S$31:$S$1030,"&gt;"&amp;S438)+COUNTIFS($S$31:S438,S438)-1)</f>
        <v/>
      </c>
    </row>
    <row r="439" hidden="1" ht="16.5" customHeight="1">
      <c r="A439">
        <f>IF(COUNTA('05_KAPA'!$A410:$AO410)=0,"",412)</f>
        <v/>
      </c>
      <c r="B439">
        <f>IF($A439="","",INDEX('05_KAPA'!$B:$B,$A439))</f>
        <v/>
      </c>
      <c r="C439">
        <f>IF($A439="","",INDEX('05_KAPA'!$F:$F,$A439))</f>
        <v/>
      </c>
      <c r="D439">
        <f>IF($A439="","",INDEX('05_KAPA'!$H:$H,$A439))</f>
        <v/>
      </c>
      <c r="E439">
        <f>IF($A439="","",INDEX('05_KAPA'!$K:$K,$A439))</f>
        <v/>
      </c>
      <c r="F439">
        <f>IF($A439="","",INDEX('05_KAPA'!$L:$L,$A439))</f>
        <v/>
      </c>
      <c r="G439">
        <f>IF($A439="","",INDEX('05_KAPA'!$I:$I,$A439))</f>
        <v/>
      </c>
      <c r="H439" s="202">
        <f>IF($A439="","",INDEX('05_KAPA'!$P:$P,$A439))</f>
        <v/>
      </c>
      <c r="I439" s="118">
        <f>IF($A439="","",INDEX('05_KAPA'!$O:$O,$A439))</f>
        <v/>
      </c>
      <c r="J439" s="202">
        <f>IF($A439="","",IFERROR(DATE(LEFT(TEXT(INDEX('05_KAPA'!$T:$T,$A439),"0"),4),MID(TEXT(INDEX('05_KAPA'!$T:$T,$A439),"0"),5,2),RIGHT(TEXT(INDEX('05_KAPA'!$T:$T,$A439),"0"),2)),""))</f>
        <v/>
      </c>
      <c r="K439">
        <f>IF(C439="","",IF('02_대상물건입력'!$B$5="",1,IF(ISNUMBER(SEARCH('02_대상물건입력'!$B$5,C439)),1,0)))</f>
        <v/>
      </c>
      <c r="L439">
        <f>IF(C439="","",IF('02_대상물건입력'!$B$6="",1,IF(ISNUMBER(SEARCH('02_대상물건입력'!$B$6,C439)),1,0)))</f>
        <v/>
      </c>
      <c r="M439">
        <f>IF(E439="","",IF('02_대상물건입력'!$B$8="",0,IF(ISNUMBER(SEARCH('02_대상물건입력'!$B$8,E439)),1,0)))</f>
        <v/>
      </c>
      <c r="N439">
        <f>IF(B439="","",IF(B439="담보",1,0))</f>
        <v/>
      </c>
      <c r="O439">
        <f>IFERROR(ABS(G439-'02_대상물건입력'!$B$11)/'02_대상물건입력'!$B$11,"")</f>
        <v/>
      </c>
      <c r="P439">
        <f>IFERROR(ABS('01_설정'!$B$4-H439),"")</f>
        <v/>
      </c>
      <c r="Q439">
        <f>IFERROR(ABS(YEAR(J439)-YEAR('02_대상물건입력'!$B$14)),"")</f>
        <v/>
      </c>
      <c r="R439">
        <f>IF(AND(G439&gt;0,H439&gt;0,I439&gt;0,N439=1,IF('01_설정'!$B$10=1,K439=1,TRUE()),O439&lt;='01_설정'!$B$5,P439&lt;='01_설정'!$B$7,Q439&lt;='01_설정'!$B$8),"Y","")</f>
        <v/>
      </c>
      <c r="S439">
        <f>IF(R439&lt;&gt;"Y","",MAX(0,(1-O439/'01_설정'!$B$5))*'01_설정'!$B$14+MAX(0,(1-P439/'01_설정'!$B$7))*'01_설정'!$B$16+MAX(0,(1-Q439/'01_설정'!$B$8))*'01_설정'!$B$17+L439*'01_설정'!$B$11+M439*'01_설정'!$B$12+N439*50)</f>
        <v/>
      </c>
      <c r="T439">
        <f>IF(S439="","",1+COUNTIFS($S$31:$S$1030,"&gt;"&amp;S439)+COUNTIFS($S$31:S439,S439)-1)</f>
        <v/>
      </c>
    </row>
    <row r="440" hidden="1" ht="16.5" customHeight="1">
      <c r="A440">
        <f>IF(COUNTA('05_KAPA'!$A411:$AO411)=0,"",413)</f>
        <v/>
      </c>
      <c r="B440">
        <f>IF($A440="","",INDEX('05_KAPA'!$B:$B,$A440))</f>
        <v/>
      </c>
      <c r="C440">
        <f>IF($A440="","",INDEX('05_KAPA'!$F:$F,$A440))</f>
        <v/>
      </c>
      <c r="D440">
        <f>IF($A440="","",INDEX('05_KAPA'!$H:$H,$A440))</f>
        <v/>
      </c>
      <c r="E440">
        <f>IF($A440="","",INDEX('05_KAPA'!$K:$K,$A440))</f>
        <v/>
      </c>
      <c r="F440">
        <f>IF($A440="","",INDEX('05_KAPA'!$L:$L,$A440))</f>
        <v/>
      </c>
      <c r="G440">
        <f>IF($A440="","",INDEX('05_KAPA'!$I:$I,$A440))</f>
        <v/>
      </c>
      <c r="H440" s="202">
        <f>IF($A440="","",INDEX('05_KAPA'!$P:$P,$A440))</f>
        <v/>
      </c>
      <c r="I440" s="118">
        <f>IF($A440="","",INDEX('05_KAPA'!$O:$O,$A440))</f>
        <v/>
      </c>
      <c r="J440" s="202">
        <f>IF($A440="","",IFERROR(DATE(LEFT(TEXT(INDEX('05_KAPA'!$T:$T,$A440),"0"),4),MID(TEXT(INDEX('05_KAPA'!$T:$T,$A440),"0"),5,2),RIGHT(TEXT(INDEX('05_KAPA'!$T:$T,$A440),"0"),2)),""))</f>
        <v/>
      </c>
      <c r="K440">
        <f>IF(C440="","",IF('02_대상물건입력'!$B$5="",1,IF(ISNUMBER(SEARCH('02_대상물건입력'!$B$5,C440)),1,0)))</f>
        <v/>
      </c>
      <c r="L440">
        <f>IF(C440="","",IF('02_대상물건입력'!$B$6="",1,IF(ISNUMBER(SEARCH('02_대상물건입력'!$B$6,C440)),1,0)))</f>
        <v/>
      </c>
      <c r="M440">
        <f>IF(E440="","",IF('02_대상물건입력'!$B$8="",0,IF(ISNUMBER(SEARCH('02_대상물건입력'!$B$8,E440)),1,0)))</f>
        <v/>
      </c>
      <c r="N440">
        <f>IF(B440="","",IF(B440="담보",1,0))</f>
        <v/>
      </c>
      <c r="O440">
        <f>IFERROR(ABS(G440-'02_대상물건입력'!$B$11)/'02_대상물건입력'!$B$11,"")</f>
        <v/>
      </c>
      <c r="P440">
        <f>IFERROR(ABS('01_설정'!$B$4-H440),"")</f>
        <v/>
      </c>
      <c r="Q440">
        <f>IFERROR(ABS(YEAR(J440)-YEAR('02_대상물건입력'!$B$14)),"")</f>
        <v/>
      </c>
      <c r="R440">
        <f>IF(AND(G440&gt;0,H440&gt;0,I440&gt;0,N440=1,IF('01_설정'!$B$10=1,K440=1,TRUE()),O440&lt;='01_설정'!$B$5,P440&lt;='01_설정'!$B$7,Q440&lt;='01_설정'!$B$8),"Y","")</f>
        <v/>
      </c>
      <c r="S440">
        <f>IF(R440&lt;&gt;"Y","",MAX(0,(1-O440/'01_설정'!$B$5))*'01_설정'!$B$14+MAX(0,(1-P440/'01_설정'!$B$7))*'01_설정'!$B$16+MAX(0,(1-Q440/'01_설정'!$B$8))*'01_설정'!$B$17+L440*'01_설정'!$B$11+M440*'01_설정'!$B$12+N440*50)</f>
        <v/>
      </c>
      <c r="T440">
        <f>IF(S440="","",1+COUNTIFS($S$31:$S$1030,"&gt;"&amp;S440)+COUNTIFS($S$31:S440,S440)-1)</f>
        <v/>
      </c>
    </row>
    <row r="441" hidden="1" ht="16.5" customHeight="1">
      <c r="A441">
        <f>IF(COUNTA('05_KAPA'!$A412:$AO412)=0,"",414)</f>
        <v/>
      </c>
      <c r="B441">
        <f>IF($A441="","",INDEX('05_KAPA'!$B:$B,$A441))</f>
        <v/>
      </c>
      <c r="C441">
        <f>IF($A441="","",INDEX('05_KAPA'!$F:$F,$A441))</f>
        <v/>
      </c>
      <c r="D441">
        <f>IF($A441="","",INDEX('05_KAPA'!$H:$H,$A441))</f>
        <v/>
      </c>
      <c r="E441">
        <f>IF($A441="","",INDEX('05_KAPA'!$K:$K,$A441))</f>
        <v/>
      </c>
      <c r="F441">
        <f>IF($A441="","",INDEX('05_KAPA'!$L:$L,$A441))</f>
        <v/>
      </c>
      <c r="G441">
        <f>IF($A441="","",INDEX('05_KAPA'!$I:$I,$A441))</f>
        <v/>
      </c>
      <c r="H441" s="202">
        <f>IF($A441="","",INDEX('05_KAPA'!$P:$P,$A441))</f>
        <v/>
      </c>
      <c r="I441" s="118">
        <f>IF($A441="","",INDEX('05_KAPA'!$O:$O,$A441))</f>
        <v/>
      </c>
      <c r="J441" s="202">
        <f>IF($A441="","",IFERROR(DATE(LEFT(TEXT(INDEX('05_KAPA'!$T:$T,$A441),"0"),4),MID(TEXT(INDEX('05_KAPA'!$T:$T,$A441),"0"),5,2),RIGHT(TEXT(INDEX('05_KAPA'!$T:$T,$A441),"0"),2)),""))</f>
        <v/>
      </c>
      <c r="K441">
        <f>IF(C441="","",IF('02_대상물건입력'!$B$5="",1,IF(ISNUMBER(SEARCH('02_대상물건입력'!$B$5,C441)),1,0)))</f>
        <v/>
      </c>
      <c r="L441">
        <f>IF(C441="","",IF('02_대상물건입력'!$B$6="",1,IF(ISNUMBER(SEARCH('02_대상물건입력'!$B$6,C441)),1,0)))</f>
        <v/>
      </c>
      <c r="M441">
        <f>IF(E441="","",IF('02_대상물건입력'!$B$8="",0,IF(ISNUMBER(SEARCH('02_대상물건입력'!$B$8,E441)),1,0)))</f>
        <v/>
      </c>
      <c r="N441">
        <f>IF(B441="","",IF(B441="담보",1,0))</f>
        <v/>
      </c>
      <c r="O441">
        <f>IFERROR(ABS(G441-'02_대상물건입력'!$B$11)/'02_대상물건입력'!$B$11,"")</f>
        <v/>
      </c>
      <c r="P441">
        <f>IFERROR(ABS('01_설정'!$B$4-H441),"")</f>
        <v/>
      </c>
      <c r="Q441">
        <f>IFERROR(ABS(YEAR(J441)-YEAR('02_대상물건입력'!$B$14)),"")</f>
        <v/>
      </c>
      <c r="R441">
        <f>IF(AND(G441&gt;0,H441&gt;0,I441&gt;0,N441=1,IF('01_설정'!$B$10=1,K441=1,TRUE()),O441&lt;='01_설정'!$B$5,P441&lt;='01_설정'!$B$7,Q441&lt;='01_설정'!$B$8),"Y","")</f>
        <v/>
      </c>
      <c r="S441">
        <f>IF(R441&lt;&gt;"Y","",MAX(0,(1-O441/'01_설정'!$B$5))*'01_설정'!$B$14+MAX(0,(1-P441/'01_설정'!$B$7))*'01_설정'!$B$16+MAX(0,(1-Q441/'01_설정'!$B$8))*'01_설정'!$B$17+L441*'01_설정'!$B$11+M441*'01_설정'!$B$12+N441*50)</f>
        <v/>
      </c>
      <c r="T441">
        <f>IF(S441="","",1+COUNTIFS($S$31:$S$1030,"&gt;"&amp;S441)+COUNTIFS($S$31:S441,S441)-1)</f>
        <v/>
      </c>
    </row>
    <row r="442" hidden="1" ht="16.5" customHeight="1">
      <c r="A442">
        <f>IF(COUNTA('05_KAPA'!$A413:$AO413)=0,"",415)</f>
        <v/>
      </c>
      <c r="B442">
        <f>IF($A442="","",INDEX('05_KAPA'!$B:$B,$A442))</f>
        <v/>
      </c>
      <c r="C442">
        <f>IF($A442="","",INDEX('05_KAPA'!$F:$F,$A442))</f>
        <v/>
      </c>
      <c r="D442">
        <f>IF($A442="","",INDEX('05_KAPA'!$H:$H,$A442))</f>
        <v/>
      </c>
      <c r="E442">
        <f>IF($A442="","",INDEX('05_KAPA'!$K:$K,$A442))</f>
        <v/>
      </c>
      <c r="F442">
        <f>IF($A442="","",INDEX('05_KAPA'!$L:$L,$A442))</f>
        <v/>
      </c>
      <c r="G442">
        <f>IF($A442="","",INDEX('05_KAPA'!$I:$I,$A442))</f>
        <v/>
      </c>
      <c r="H442" s="202">
        <f>IF($A442="","",INDEX('05_KAPA'!$P:$P,$A442))</f>
        <v/>
      </c>
      <c r="I442" s="118">
        <f>IF($A442="","",INDEX('05_KAPA'!$O:$O,$A442))</f>
        <v/>
      </c>
      <c r="J442" s="202">
        <f>IF($A442="","",IFERROR(DATE(LEFT(TEXT(INDEX('05_KAPA'!$T:$T,$A442),"0"),4),MID(TEXT(INDEX('05_KAPA'!$T:$T,$A442),"0"),5,2),RIGHT(TEXT(INDEX('05_KAPA'!$T:$T,$A442),"0"),2)),""))</f>
        <v/>
      </c>
      <c r="K442">
        <f>IF(C442="","",IF('02_대상물건입력'!$B$5="",1,IF(ISNUMBER(SEARCH('02_대상물건입력'!$B$5,C442)),1,0)))</f>
        <v/>
      </c>
      <c r="L442">
        <f>IF(C442="","",IF('02_대상물건입력'!$B$6="",1,IF(ISNUMBER(SEARCH('02_대상물건입력'!$B$6,C442)),1,0)))</f>
        <v/>
      </c>
      <c r="M442">
        <f>IF(E442="","",IF('02_대상물건입력'!$B$8="",0,IF(ISNUMBER(SEARCH('02_대상물건입력'!$B$8,E442)),1,0)))</f>
        <v/>
      </c>
      <c r="N442">
        <f>IF(B442="","",IF(B442="담보",1,0))</f>
        <v/>
      </c>
      <c r="O442">
        <f>IFERROR(ABS(G442-'02_대상물건입력'!$B$11)/'02_대상물건입력'!$B$11,"")</f>
        <v/>
      </c>
      <c r="P442">
        <f>IFERROR(ABS('01_설정'!$B$4-H442),"")</f>
        <v/>
      </c>
      <c r="Q442">
        <f>IFERROR(ABS(YEAR(J442)-YEAR('02_대상물건입력'!$B$14)),"")</f>
        <v/>
      </c>
      <c r="R442">
        <f>IF(AND(G442&gt;0,H442&gt;0,I442&gt;0,N442=1,IF('01_설정'!$B$10=1,K442=1,TRUE()),O442&lt;='01_설정'!$B$5,P442&lt;='01_설정'!$B$7,Q442&lt;='01_설정'!$B$8),"Y","")</f>
        <v/>
      </c>
      <c r="S442">
        <f>IF(R442&lt;&gt;"Y","",MAX(0,(1-O442/'01_설정'!$B$5))*'01_설정'!$B$14+MAX(0,(1-P442/'01_설정'!$B$7))*'01_설정'!$B$16+MAX(0,(1-Q442/'01_설정'!$B$8))*'01_설정'!$B$17+L442*'01_설정'!$B$11+M442*'01_설정'!$B$12+N442*50)</f>
        <v/>
      </c>
      <c r="T442">
        <f>IF(S442="","",1+COUNTIFS($S$31:$S$1030,"&gt;"&amp;S442)+COUNTIFS($S$31:S442,S442)-1)</f>
        <v/>
      </c>
    </row>
    <row r="443" hidden="1" ht="16.5" customHeight="1">
      <c r="A443">
        <f>IF(COUNTA('05_KAPA'!$A414:$AO414)=0,"",416)</f>
        <v/>
      </c>
      <c r="B443">
        <f>IF($A443="","",INDEX('05_KAPA'!$B:$B,$A443))</f>
        <v/>
      </c>
      <c r="C443">
        <f>IF($A443="","",INDEX('05_KAPA'!$F:$F,$A443))</f>
        <v/>
      </c>
      <c r="D443">
        <f>IF($A443="","",INDEX('05_KAPA'!$H:$H,$A443))</f>
        <v/>
      </c>
      <c r="E443">
        <f>IF($A443="","",INDEX('05_KAPA'!$K:$K,$A443))</f>
        <v/>
      </c>
      <c r="F443">
        <f>IF($A443="","",INDEX('05_KAPA'!$L:$L,$A443))</f>
        <v/>
      </c>
      <c r="G443">
        <f>IF($A443="","",INDEX('05_KAPA'!$I:$I,$A443))</f>
        <v/>
      </c>
      <c r="H443" s="202">
        <f>IF($A443="","",INDEX('05_KAPA'!$P:$P,$A443))</f>
        <v/>
      </c>
      <c r="I443" s="118">
        <f>IF($A443="","",INDEX('05_KAPA'!$O:$O,$A443))</f>
        <v/>
      </c>
      <c r="J443" s="202">
        <f>IF($A443="","",IFERROR(DATE(LEFT(TEXT(INDEX('05_KAPA'!$T:$T,$A443),"0"),4),MID(TEXT(INDEX('05_KAPA'!$T:$T,$A443),"0"),5,2),RIGHT(TEXT(INDEX('05_KAPA'!$T:$T,$A443),"0"),2)),""))</f>
        <v/>
      </c>
      <c r="K443">
        <f>IF(C443="","",IF('02_대상물건입력'!$B$5="",1,IF(ISNUMBER(SEARCH('02_대상물건입력'!$B$5,C443)),1,0)))</f>
        <v/>
      </c>
      <c r="L443">
        <f>IF(C443="","",IF('02_대상물건입력'!$B$6="",1,IF(ISNUMBER(SEARCH('02_대상물건입력'!$B$6,C443)),1,0)))</f>
        <v/>
      </c>
      <c r="M443">
        <f>IF(E443="","",IF('02_대상물건입력'!$B$8="",0,IF(ISNUMBER(SEARCH('02_대상물건입력'!$B$8,E443)),1,0)))</f>
        <v/>
      </c>
      <c r="N443">
        <f>IF(B443="","",IF(B443="담보",1,0))</f>
        <v/>
      </c>
      <c r="O443">
        <f>IFERROR(ABS(G443-'02_대상물건입력'!$B$11)/'02_대상물건입력'!$B$11,"")</f>
        <v/>
      </c>
      <c r="P443">
        <f>IFERROR(ABS('01_설정'!$B$4-H443),"")</f>
        <v/>
      </c>
      <c r="Q443">
        <f>IFERROR(ABS(YEAR(J443)-YEAR('02_대상물건입력'!$B$14)),"")</f>
        <v/>
      </c>
      <c r="R443">
        <f>IF(AND(G443&gt;0,H443&gt;0,I443&gt;0,N443=1,IF('01_설정'!$B$10=1,K443=1,TRUE()),O443&lt;='01_설정'!$B$5,P443&lt;='01_설정'!$B$7,Q443&lt;='01_설정'!$B$8),"Y","")</f>
        <v/>
      </c>
      <c r="S443">
        <f>IF(R443&lt;&gt;"Y","",MAX(0,(1-O443/'01_설정'!$B$5))*'01_설정'!$B$14+MAX(0,(1-P443/'01_설정'!$B$7))*'01_설정'!$B$16+MAX(0,(1-Q443/'01_설정'!$B$8))*'01_설정'!$B$17+L443*'01_설정'!$B$11+M443*'01_설정'!$B$12+N443*50)</f>
        <v/>
      </c>
      <c r="T443">
        <f>IF(S443="","",1+COUNTIFS($S$31:$S$1030,"&gt;"&amp;S443)+COUNTIFS($S$31:S443,S443)-1)</f>
        <v/>
      </c>
    </row>
    <row r="444" hidden="1" ht="16.5" customHeight="1">
      <c r="A444">
        <f>IF(COUNTA('05_KAPA'!$A415:$AO415)=0,"",417)</f>
        <v/>
      </c>
      <c r="B444">
        <f>IF($A444="","",INDEX('05_KAPA'!$B:$B,$A444))</f>
        <v/>
      </c>
      <c r="C444">
        <f>IF($A444="","",INDEX('05_KAPA'!$F:$F,$A444))</f>
        <v/>
      </c>
      <c r="D444">
        <f>IF($A444="","",INDEX('05_KAPA'!$H:$H,$A444))</f>
        <v/>
      </c>
      <c r="E444">
        <f>IF($A444="","",INDEX('05_KAPA'!$K:$K,$A444))</f>
        <v/>
      </c>
      <c r="F444">
        <f>IF($A444="","",INDEX('05_KAPA'!$L:$L,$A444))</f>
        <v/>
      </c>
      <c r="G444">
        <f>IF($A444="","",INDEX('05_KAPA'!$I:$I,$A444))</f>
        <v/>
      </c>
      <c r="H444" s="202">
        <f>IF($A444="","",INDEX('05_KAPA'!$P:$P,$A444))</f>
        <v/>
      </c>
      <c r="I444" s="118">
        <f>IF($A444="","",INDEX('05_KAPA'!$O:$O,$A444))</f>
        <v/>
      </c>
      <c r="J444" s="202">
        <f>IF($A444="","",IFERROR(DATE(LEFT(TEXT(INDEX('05_KAPA'!$T:$T,$A444),"0"),4),MID(TEXT(INDEX('05_KAPA'!$T:$T,$A444),"0"),5,2),RIGHT(TEXT(INDEX('05_KAPA'!$T:$T,$A444),"0"),2)),""))</f>
        <v/>
      </c>
      <c r="K444">
        <f>IF(C444="","",IF('02_대상물건입력'!$B$5="",1,IF(ISNUMBER(SEARCH('02_대상물건입력'!$B$5,C444)),1,0)))</f>
        <v/>
      </c>
      <c r="L444">
        <f>IF(C444="","",IF('02_대상물건입력'!$B$6="",1,IF(ISNUMBER(SEARCH('02_대상물건입력'!$B$6,C444)),1,0)))</f>
        <v/>
      </c>
      <c r="M444">
        <f>IF(E444="","",IF('02_대상물건입력'!$B$8="",0,IF(ISNUMBER(SEARCH('02_대상물건입력'!$B$8,E444)),1,0)))</f>
        <v/>
      </c>
      <c r="N444">
        <f>IF(B444="","",IF(B444="담보",1,0))</f>
        <v/>
      </c>
      <c r="O444">
        <f>IFERROR(ABS(G444-'02_대상물건입력'!$B$11)/'02_대상물건입력'!$B$11,"")</f>
        <v/>
      </c>
      <c r="P444">
        <f>IFERROR(ABS('01_설정'!$B$4-H444),"")</f>
        <v/>
      </c>
      <c r="Q444">
        <f>IFERROR(ABS(YEAR(J444)-YEAR('02_대상물건입력'!$B$14)),"")</f>
        <v/>
      </c>
      <c r="R444">
        <f>IF(AND(G444&gt;0,H444&gt;0,I444&gt;0,N444=1,IF('01_설정'!$B$10=1,K444=1,TRUE()),O444&lt;='01_설정'!$B$5,P444&lt;='01_설정'!$B$7,Q444&lt;='01_설정'!$B$8),"Y","")</f>
        <v/>
      </c>
      <c r="S444">
        <f>IF(R444&lt;&gt;"Y","",MAX(0,(1-O444/'01_설정'!$B$5))*'01_설정'!$B$14+MAX(0,(1-P444/'01_설정'!$B$7))*'01_설정'!$B$16+MAX(0,(1-Q444/'01_설정'!$B$8))*'01_설정'!$B$17+L444*'01_설정'!$B$11+M444*'01_설정'!$B$12+N444*50)</f>
        <v/>
      </c>
      <c r="T444">
        <f>IF(S444="","",1+COUNTIFS($S$31:$S$1030,"&gt;"&amp;S444)+COUNTIFS($S$31:S444,S444)-1)</f>
        <v/>
      </c>
    </row>
    <row r="445" hidden="1" ht="16.5" customHeight="1">
      <c r="A445">
        <f>IF(COUNTA('05_KAPA'!$A416:$AO416)=0,"",418)</f>
        <v/>
      </c>
      <c r="B445">
        <f>IF($A445="","",INDEX('05_KAPA'!$B:$B,$A445))</f>
        <v/>
      </c>
      <c r="C445">
        <f>IF($A445="","",INDEX('05_KAPA'!$F:$F,$A445))</f>
        <v/>
      </c>
      <c r="D445">
        <f>IF($A445="","",INDEX('05_KAPA'!$H:$H,$A445))</f>
        <v/>
      </c>
      <c r="E445">
        <f>IF($A445="","",INDEX('05_KAPA'!$K:$K,$A445))</f>
        <v/>
      </c>
      <c r="F445">
        <f>IF($A445="","",INDEX('05_KAPA'!$L:$L,$A445))</f>
        <v/>
      </c>
      <c r="G445">
        <f>IF($A445="","",INDEX('05_KAPA'!$I:$I,$A445))</f>
        <v/>
      </c>
      <c r="H445" s="202">
        <f>IF($A445="","",INDEX('05_KAPA'!$P:$P,$A445))</f>
        <v/>
      </c>
      <c r="I445" s="118">
        <f>IF($A445="","",INDEX('05_KAPA'!$O:$O,$A445))</f>
        <v/>
      </c>
      <c r="J445" s="202">
        <f>IF($A445="","",IFERROR(DATE(LEFT(TEXT(INDEX('05_KAPA'!$T:$T,$A445),"0"),4),MID(TEXT(INDEX('05_KAPA'!$T:$T,$A445),"0"),5,2),RIGHT(TEXT(INDEX('05_KAPA'!$T:$T,$A445),"0"),2)),""))</f>
        <v/>
      </c>
      <c r="K445">
        <f>IF(C445="","",IF('02_대상물건입력'!$B$5="",1,IF(ISNUMBER(SEARCH('02_대상물건입력'!$B$5,C445)),1,0)))</f>
        <v/>
      </c>
      <c r="L445">
        <f>IF(C445="","",IF('02_대상물건입력'!$B$6="",1,IF(ISNUMBER(SEARCH('02_대상물건입력'!$B$6,C445)),1,0)))</f>
        <v/>
      </c>
      <c r="M445">
        <f>IF(E445="","",IF('02_대상물건입력'!$B$8="",0,IF(ISNUMBER(SEARCH('02_대상물건입력'!$B$8,E445)),1,0)))</f>
        <v/>
      </c>
      <c r="N445">
        <f>IF(B445="","",IF(B445="담보",1,0))</f>
        <v/>
      </c>
      <c r="O445">
        <f>IFERROR(ABS(G445-'02_대상물건입력'!$B$11)/'02_대상물건입력'!$B$11,"")</f>
        <v/>
      </c>
      <c r="P445">
        <f>IFERROR(ABS('01_설정'!$B$4-H445),"")</f>
        <v/>
      </c>
      <c r="Q445">
        <f>IFERROR(ABS(YEAR(J445)-YEAR('02_대상물건입력'!$B$14)),"")</f>
        <v/>
      </c>
      <c r="R445">
        <f>IF(AND(G445&gt;0,H445&gt;0,I445&gt;0,N445=1,IF('01_설정'!$B$10=1,K445=1,TRUE()),O445&lt;='01_설정'!$B$5,P445&lt;='01_설정'!$B$7,Q445&lt;='01_설정'!$B$8),"Y","")</f>
        <v/>
      </c>
      <c r="S445">
        <f>IF(R445&lt;&gt;"Y","",MAX(0,(1-O445/'01_설정'!$B$5))*'01_설정'!$B$14+MAX(0,(1-P445/'01_설정'!$B$7))*'01_설정'!$B$16+MAX(0,(1-Q445/'01_설정'!$B$8))*'01_설정'!$B$17+L445*'01_설정'!$B$11+M445*'01_설정'!$B$12+N445*50)</f>
        <v/>
      </c>
      <c r="T445">
        <f>IF(S445="","",1+COUNTIFS($S$31:$S$1030,"&gt;"&amp;S445)+COUNTIFS($S$31:S445,S445)-1)</f>
        <v/>
      </c>
    </row>
    <row r="446" hidden="1" ht="16.5" customHeight="1">
      <c r="A446">
        <f>IF(COUNTA('05_KAPA'!$A417:$AO417)=0,"",419)</f>
        <v/>
      </c>
      <c r="B446">
        <f>IF($A446="","",INDEX('05_KAPA'!$B:$B,$A446))</f>
        <v/>
      </c>
      <c r="C446">
        <f>IF($A446="","",INDEX('05_KAPA'!$F:$F,$A446))</f>
        <v/>
      </c>
      <c r="D446">
        <f>IF($A446="","",INDEX('05_KAPA'!$H:$H,$A446))</f>
        <v/>
      </c>
      <c r="E446">
        <f>IF($A446="","",INDEX('05_KAPA'!$K:$K,$A446))</f>
        <v/>
      </c>
      <c r="F446">
        <f>IF($A446="","",INDEX('05_KAPA'!$L:$L,$A446))</f>
        <v/>
      </c>
      <c r="G446">
        <f>IF($A446="","",INDEX('05_KAPA'!$I:$I,$A446))</f>
        <v/>
      </c>
      <c r="H446" s="202">
        <f>IF($A446="","",INDEX('05_KAPA'!$P:$P,$A446))</f>
        <v/>
      </c>
      <c r="I446" s="118">
        <f>IF($A446="","",INDEX('05_KAPA'!$O:$O,$A446))</f>
        <v/>
      </c>
      <c r="J446" s="202">
        <f>IF($A446="","",IFERROR(DATE(LEFT(TEXT(INDEX('05_KAPA'!$T:$T,$A446),"0"),4),MID(TEXT(INDEX('05_KAPA'!$T:$T,$A446),"0"),5,2),RIGHT(TEXT(INDEX('05_KAPA'!$T:$T,$A446),"0"),2)),""))</f>
        <v/>
      </c>
      <c r="K446">
        <f>IF(C446="","",IF('02_대상물건입력'!$B$5="",1,IF(ISNUMBER(SEARCH('02_대상물건입력'!$B$5,C446)),1,0)))</f>
        <v/>
      </c>
      <c r="L446">
        <f>IF(C446="","",IF('02_대상물건입력'!$B$6="",1,IF(ISNUMBER(SEARCH('02_대상물건입력'!$B$6,C446)),1,0)))</f>
        <v/>
      </c>
      <c r="M446">
        <f>IF(E446="","",IF('02_대상물건입력'!$B$8="",0,IF(ISNUMBER(SEARCH('02_대상물건입력'!$B$8,E446)),1,0)))</f>
        <v/>
      </c>
      <c r="N446">
        <f>IF(B446="","",IF(B446="담보",1,0))</f>
        <v/>
      </c>
      <c r="O446">
        <f>IFERROR(ABS(G446-'02_대상물건입력'!$B$11)/'02_대상물건입력'!$B$11,"")</f>
        <v/>
      </c>
      <c r="P446">
        <f>IFERROR(ABS('01_설정'!$B$4-H446),"")</f>
        <v/>
      </c>
      <c r="Q446">
        <f>IFERROR(ABS(YEAR(J446)-YEAR('02_대상물건입력'!$B$14)),"")</f>
        <v/>
      </c>
      <c r="R446">
        <f>IF(AND(G446&gt;0,H446&gt;0,I446&gt;0,N446=1,IF('01_설정'!$B$10=1,K446=1,TRUE()),O446&lt;='01_설정'!$B$5,P446&lt;='01_설정'!$B$7,Q446&lt;='01_설정'!$B$8),"Y","")</f>
        <v/>
      </c>
      <c r="S446">
        <f>IF(R446&lt;&gt;"Y","",MAX(0,(1-O446/'01_설정'!$B$5))*'01_설정'!$B$14+MAX(0,(1-P446/'01_설정'!$B$7))*'01_설정'!$B$16+MAX(0,(1-Q446/'01_설정'!$B$8))*'01_설정'!$B$17+L446*'01_설정'!$B$11+M446*'01_설정'!$B$12+N446*50)</f>
        <v/>
      </c>
      <c r="T446">
        <f>IF(S446="","",1+COUNTIFS($S$31:$S$1030,"&gt;"&amp;S446)+COUNTIFS($S$31:S446,S446)-1)</f>
        <v/>
      </c>
    </row>
    <row r="447" hidden="1" ht="16.5" customHeight="1">
      <c r="A447">
        <f>IF(COUNTA('05_KAPA'!$A418:$AO418)=0,"",420)</f>
        <v/>
      </c>
      <c r="B447">
        <f>IF($A447="","",INDEX('05_KAPA'!$B:$B,$A447))</f>
        <v/>
      </c>
      <c r="C447">
        <f>IF($A447="","",INDEX('05_KAPA'!$F:$F,$A447))</f>
        <v/>
      </c>
      <c r="D447">
        <f>IF($A447="","",INDEX('05_KAPA'!$H:$H,$A447))</f>
        <v/>
      </c>
      <c r="E447">
        <f>IF($A447="","",INDEX('05_KAPA'!$K:$K,$A447))</f>
        <v/>
      </c>
      <c r="F447">
        <f>IF($A447="","",INDEX('05_KAPA'!$L:$L,$A447))</f>
        <v/>
      </c>
      <c r="G447">
        <f>IF($A447="","",INDEX('05_KAPA'!$I:$I,$A447))</f>
        <v/>
      </c>
      <c r="H447" s="202">
        <f>IF($A447="","",INDEX('05_KAPA'!$P:$P,$A447))</f>
        <v/>
      </c>
      <c r="I447" s="118">
        <f>IF($A447="","",INDEX('05_KAPA'!$O:$O,$A447))</f>
        <v/>
      </c>
      <c r="J447" s="202">
        <f>IF($A447="","",IFERROR(DATE(LEFT(TEXT(INDEX('05_KAPA'!$T:$T,$A447),"0"),4),MID(TEXT(INDEX('05_KAPA'!$T:$T,$A447),"0"),5,2),RIGHT(TEXT(INDEX('05_KAPA'!$T:$T,$A447),"0"),2)),""))</f>
        <v/>
      </c>
      <c r="K447">
        <f>IF(C447="","",IF('02_대상물건입력'!$B$5="",1,IF(ISNUMBER(SEARCH('02_대상물건입력'!$B$5,C447)),1,0)))</f>
        <v/>
      </c>
      <c r="L447">
        <f>IF(C447="","",IF('02_대상물건입력'!$B$6="",1,IF(ISNUMBER(SEARCH('02_대상물건입력'!$B$6,C447)),1,0)))</f>
        <v/>
      </c>
      <c r="M447">
        <f>IF(E447="","",IF('02_대상물건입력'!$B$8="",0,IF(ISNUMBER(SEARCH('02_대상물건입력'!$B$8,E447)),1,0)))</f>
        <v/>
      </c>
      <c r="N447">
        <f>IF(B447="","",IF(B447="담보",1,0))</f>
        <v/>
      </c>
      <c r="O447">
        <f>IFERROR(ABS(G447-'02_대상물건입력'!$B$11)/'02_대상물건입력'!$B$11,"")</f>
        <v/>
      </c>
      <c r="P447">
        <f>IFERROR(ABS('01_설정'!$B$4-H447),"")</f>
        <v/>
      </c>
      <c r="Q447">
        <f>IFERROR(ABS(YEAR(J447)-YEAR('02_대상물건입력'!$B$14)),"")</f>
        <v/>
      </c>
      <c r="R447">
        <f>IF(AND(G447&gt;0,H447&gt;0,I447&gt;0,N447=1,IF('01_설정'!$B$10=1,K447=1,TRUE()),O447&lt;='01_설정'!$B$5,P447&lt;='01_설정'!$B$7,Q447&lt;='01_설정'!$B$8),"Y","")</f>
        <v/>
      </c>
      <c r="S447">
        <f>IF(R447&lt;&gt;"Y","",MAX(0,(1-O447/'01_설정'!$B$5))*'01_설정'!$B$14+MAX(0,(1-P447/'01_설정'!$B$7))*'01_설정'!$B$16+MAX(0,(1-Q447/'01_설정'!$B$8))*'01_설정'!$B$17+L447*'01_설정'!$B$11+M447*'01_설정'!$B$12+N447*50)</f>
        <v/>
      </c>
      <c r="T447">
        <f>IF(S447="","",1+COUNTIFS($S$31:$S$1030,"&gt;"&amp;S447)+COUNTIFS($S$31:S447,S447)-1)</f>
        <v/>
      </c>
    </row>
    <row r="448" hidden="1" ht="16.5" customHeight="1">
      <c r="A448">
        <f>IF(COUNTA('05_KAPA'!$A419:$AO419)=0,"",421)</f>
        <v/>
      </c>
      <c r="B448">
        <f>IF($A448="","",INDEX('05_KAPA'!$B:$B,$A448))</f>
        <v/>
      </c>
      <c r="C448">
        <f>IF($A448="","",INDEX('05_KAPA'!$F:$F,$A448))</f>
        <v/>
      </c>
      <c r="D448">
        <f>IF($A448="","",INDEX('05_KAPA'!$H:$H,$A448))</f>
        <v/>
      </c>
      <c r="E448">
        <f>IF($A448="","",INDEX('05_KAPA'!$K:$K,$A448))</f>
        <v/>
      </c>
      <c r="F448">
        <f>IF($A448="","",INDEX('05_KAPA'!$L:$L,$A448))</f>
        <v/>
      </c>
      <c r="G448">
        <f>IF($A448="","",INDEX('05_KAPA'!$I:$I,$A448))</f>
        <v/>
      </c>
      <c r="H448" s="202">
        <f>IF($A448="","",INDEX('05_KAPA'!$P:$P,$A448))</f>
        <v/>
      </c>
      <c r="I448" s="118">
        <f>IF($A448="","",INDEX('05_KAPA'!$O:$O,$A448))</f>
        <v/>
      </c>
      <c r="J448" s="202">
        <f>IF($A448="","",IFERROR(DATE(LEFT(TEXT(INDEX('05_KAPA'!$T:$T,$A448),"0"),4),MID(TEXT(INDEX('05_KAPA'!$T:$T,$A448),"0"),5,2),RIGHT(TEXT(INDEX('05_KAPA'!$T:$T,$A448),"0"),2)),""))</f>
        <v/>
      </c>
      <c r="K448">
        <f>IF(C448="","",IF('02_대상물건입력'!$B$5="",1,IF(ISNUMBER(SEARCH('02_대상물건입력'!$B$5,C448)),1,0)))</f>
        <v/>
      </c>
      <c r="L448">
        <f>IF(C448="","",IF('02_대상물건입력'!$B$6="",1,IF(ISNUMBER(SEARCH('02_대상물건입력'!$B$6,C448)),1,0)))</f>
        <v/>
      </c>
      <c r="M448">
        <f>IF(E448="","",IF('02_대상물건입력'!$B$8="",0,IF(ISNUMBER(SEARCH('02_대상물건입력'!$B$8,E448)),1,0)))</f>
        <v/>
      </c>
      <c r="N448">
        <f>IF(B448="","",IF(B448="담보",1,0))</f>
        <v/>
      </c>
      <c r="O448">
        <f>IFERROR(ABS(G448-'02_대상물건입력'!$B$11)/'02_대상물건입력'!$B$11,"")</f>
        <v/>
      </c>
      <c r="P448">
        <f>IFERROR(ABS('01_설정'!$B$4-H448),"")</f>
        <v/>
      </c>
      <c r="Q448">
        <f>IFERROR(ABS(YEAR(J448)-YEAR('02_대상물건입력'!$B$14)),"")</f>
        <v/>
      </c>
      <c r="R448">
        <f>IF(AND(G448&gt;0,H448&gt;0,I448&gt;0,N448=1,IF('01_설정'!$B$10=1,K448=1,TRUE()),O448&lt;='01_설정'!$B$5,P448&lt;='01_설정'!$B$7,Q448&lt;='01_설정'!$B$8),"Y","")</f>
        <v/>
      </c>
      <c r="S448">
        <f>IF(R448&lt;&gt;"Y","",MAX(0,(1-O448/'01_설정'!$B$5))*'01_설정'!$B$14+MAX(0,(1-P448/'01_설정'!$B$7))*'01_설정'!$B$16+MAX(0,(1-Q448/'01_설정'!$B$8))*'01_설정'!$B$17+L448*'01_설정'!$B$11+M448*'01_설정'!$B$12+N448*50)</f>
        <v/>
      </c>
      <c r="T448">
        <f>IF(S448="","",1+COUNTIFS($S$31:$S$1030,"&gt;"&amp;S448)+COUNTIFS($S$31:S448,S448)-1)</f>
        <v/>
      </c>
    </row>
    <row r="449" hidden="1" ht="16.5" customHeight="1">
      <c r="A449">
        <f>IF(COUNTA('05_KAPA'!$A420:$AO420)=0,"",422)</f>
        <v/>
      </c>
      <c r="B449">
        <f>IF($A449="","",INDEX('05_KAPA'!$B:$B,$A449))</f>
        <v/>
      </c>
      <c r="C449">
        <f>IF($A449="","",INDEX('05_KAPA'!$F:$F,$A449))</f>
        <v/>
      </c>
      <c r="D449">
        <f>IF($A449="","",INDEX('05_KAPA'!$H:$H,$A449))</f>
        <v/>
      </c>
      <c r="E449">
        <f>IF($A449="","",INDEX('05_KAPA'!$K:$K,$A449))</f>
        <v/>
      </c>
      <c r="F449">
        <f>IF($A449="","",INDEX('05_KAPA'!$L:$L,$A449))</f>
        <v/>
      </c>
      <c r="G449">
        <f>IF($A449="","",INDEX('05_KAPA'!$I:$I,$A449))</f>
        <v/>
      </c>
      <c r="H449" s="202">
        <f>IF($A449="","",INDEX('05_KAPA'!$P:$P,$A449))</f>
        <v/>
      </c>
      <c r="I449" s="118">
        <f>IF($A449="","",INDEX('05_KAPA'!$O:$O,$A449))</f>
        <v/>
      </c>
      <c r="J449" s="202">
        <f>IF($A449="","",IFERROR(DATE(LEFT(TEXT(INDEX('05_KAPA'!$T:$T,$A449),"0"),4),MID(TEXT(INDEX('05_KAPA'!$T:$T,$A449),"0"),5,2),RIGHT(TEXT(INDEX('05_KAPA'!$T:$T,$A449),"0"),2)),""))</f>
        <v/>
      </c>
      <c r="K449">
        <f>IF(C449="","",IF('02_대상물건입력'!$B$5="",1,IF(ISNUMBER(SEARCH('02_대상물건입력'!$B$5,C449)),1,0)))</f>
        <v/>
      </c>
      <c r="L449">
        <f>IF(C449="","",IF('02_대상물건입력'!$B$6="",1,IF(ISNUMBER(SEARCH('02_대상물건입력'!$B$6,C449)),1,0)))</f>
        <v/>
      </c>
      <c r="M449">
        <f>IF(E449="","",IF('02_대상물건입력'!$B$8="",0,IF(ISNUMBER(SEARCH('02_대상물건입력'!$B$8,E449)),1,0)))</f>
        <v/>
      </c>
      <c r="N449">
        <f>IF(B449="","",IF(B449="담보",1,0))</f>
        <v/>
      </c>
      <c r="O449">
        <f>IFERROR(ABS(G449-'02_대상물건입력'!$B$11)/'02_대상물건입력'!$B$11,"")</f>
        <v/>
      </c>
      <c r="P449">
        <f>IFERROR(ABS('01_설정'!$B$4-H449),"")</f>
        <v/>
      </c>
      <c r="Q449">
        <f>IFERROR(ABS(YEAR(J449)-YEAR('02_대상물건입력'!$B$14)),"")</f>
        <v/>
      </c>
      <c r="R449">
        <f>IF(AND(G449&gt;0,H449&gt;0,I449&gt;0,N449=1,IF('01_설정'!$B$10=1,K449=1,TRUE()),O449&lt;='01_설정'!$B$5,P449&lt;='01_설정'!$B$7,Q449&lt;='01_설정'!$B$8),"Y","")</f>
        <v/>
      </c>
      <c r="S449">
        <f>IF(R449&lt;&gt;"Y","",MAX(0,(1-O449/'01_설정'!$B$5))*'01_설정'!$B$14+MAX(0,(1-P449/'01_설정'!$B$7))*'01_설정'!$B$16+MAX(0,(1-Q449/'01_설정'!$B$8))*'01_설정'!$B$17+L449*'01_설정'!$B$11+M449*'01_설정'!$B$12+N449*50)</f>
        <v/>
      </c>
      <c r="T449">
        <f>IF(S449="","",1+COUNTIFS($S$31:$S$1030,"&gt;"&amp;S449)+COUNTIFS($S$31:S449,S449)-1)</f>
        <v/>
      </c>
    </row>
    <row r="450" hidden="1" ht="16.5" customHeight="1">
      <c r="A450">
        <f>IF(COUNTA('05_KAPA'!$A421:$AO421)=0,"",423)</f>
        <v/>
      </c>
      <c r="B450">
        <f>IF($A450="","",INDEX('05_KAPA'!$B:$B,$A450))</f>
        <v/>
      </c>
      <c r="C450">
        <f>IF($A450="","",INDEX('05_KAPA'!$F:$F,$A450))</f>
        <v/>
      </c>
      <c r="D450">
        <f>IF($A450="","",INDEX('05_KAPA'!$H:$H,$A450))</f>
        <v/>
      </c>
      <c r="E450">
        <f>IF($A450="","",INDEX('05_KAPA'!$K:$K,$A450))</f>
        <v/>
      </c>
      <c r="F450">
        <f>IF($A450="","",INDEX('05_KAPA'!$L:$L,$A450))</f>
        <v/>
      </c>
      <c r="G450">
        <f>IF($A450="","",INDEX('05_KAPA'!$I:$I,$A450))</f>
        <v/>
      </c>
      <c r="H450" s="202">
        <f>IF($A450="","",INDEX('05_KAPA'!$P:$P,$A450))</f>
        <v/>
      </c>
      <c r="I450" s="118">
        <f>IF($A450="","",INDEX('05_KAPA'!$O:$O,$A450))</f>
        <v/>
      </c>
      <c r="J450" s="202">
        <f>IF($A450="","",IFERROR(DATE(LEFT(TEXT(INDEX('05_KAPA'!$T:$T,$A450),"0"),4),MID(TEXT(INDEX('05_KAPA'!$T:$T,$A450),"0"),5,2),RIGHT(TEXT(INDEX('05_KAPA'!$T:$T,$A450),"0"),2)),""))</f>
        <v/>
      </c>
      <c r="K450">
        <f>IF(C450="","",IF('02_대상물건입력'!$B$5="",1,IF(ISNUMBER(SEARCH('02_대상물건입력'!$B$5,C450)),1,0)))</f>
        <v/>
      </c>
      <c r="L450">
        <f>IF(C450="","",IF('02_대상물건입력'!$B$6="",1,IF(ISNUMBER(SEARCH('02_대상물건입력'!$B$6,C450)),1,0)))</f>
        <v/>
      </c>
      <c r="M450">
        <f>IF(E450="","",IF('02_대상물건입력'!$B$8="",0,IF(ISNUMBER(SEARCH('02_대상물건입력'!$B$8,E450)),1,0)))</f>
        <v/>
      </c>
      <c r="N450">
        <f>IF(B450="","",IF(B450="담보",1,0))</f>
        <v/>
      </c>
      <c r="O450">
        <f>IFERROR(ABS(G450-'02_대상물건입력'!$B$11)/'02_대상물건입력'!$B$11,"")</f>
        <v/>
      </c>
      <c r="P450">
        <f>IFERROR(ABS('01_설정'!$B$4-H450),"")</f>
        <v/>
      </c>
      <c r="Q450">
        <f>IFERROR(ABS(YEAR(J450)-YEAR('02_대상물건입력'!$B$14)),"")</f>
        <v/>
      </c>
      <c r="R450">
        <f>IF(AND(G450&gt;0,H450&gt;0,I450&gt;0,N450=1,IF('01_설정'!$B$10=1,K450=1,TRUE()),O450&lt;='01_설정'!$B$5,P450&lt;='01_설정'!$B$7,Q450&lt;='01_설정'!$B$8),"Y","")</f>
        <v/>
      </c>
      <c r="S450">
        <f>IF(R450&lt;&gt;"Y","",MAX(0,(1-O450/'01_설정'!$B$5))*'01_설정'!$B$14+MAX(0,(1-P450/'01_설정'!$B$7))*'01_설정'!$B$16+MAX(0,(1-Q450/'01_설정'!$B$8))*'01_설정'!$B$17+L450*'01_설정'!$B$11+M450*'01_설정'!$B$12+N450*50)</f>
        <v/>
      </c>
      <c r="T450">
        <f>IF(S450="","",1+COUNTIFS($S$31:$S$1030,"&gt;"&amp;S450)+COUNTIFS($S$31:S450,S450)-1)</f>
        <v/>
      </c>
    </row>
    <row r="451" hidden="1" ht="16.5" customHeight="1">
      <c r="A451">
        <f>IF(COUNTA('05_KAPA'!$A422:$AO422)=0,"",424)</f>
        <v/>
      </c>
      <c r="B451">
        <f>IF($A451="","",INDEX('05_KAPA'!$B:$B,$A451))</f>
        <v/>
      </c>
      <c r="C451">
        <f>IF($A451="","",INDEX('05_KAPA'!$F:$F,$A451))</f>
        <v/>
      </c>
      <c r="D451">
        <f>IF($A451="","",INDEX('05_KAPA'!$H:$H,$A451))</f>
        <v/>
      </c>
      <c r="E451">
        <f>IF($A451="","",INDEX('05_KAPA'!$K:$K,$A451))</f>
        <v/>
      </c>
      <c r="F451">
        <f>IF($A451="","",INDEX('05_KAPA'!$L:$L,$A451))</f>
        <v/>
      </c>
      <c r="G451">
        <f>IF($A451="","",INDEX('05_KAPA'!$I:$I,$A451))</f>
        <v/>
      </c>
      <c r="H451" s="202">
        <f>IF($A451="","",INDEX('05_KAPA'!$P:$P,$A451))</f>
        <v/>
      </c>
      <c r="I451" s="118">
        <f>IF($A451="","",INDEX('05_KAPA'!$O:$O,$A451))</f>
        <v/>
      </c>
      <c r="J451" s="202">
        <f>IF($A451="","",IFERROR(DATE(LEFT(TEXT(INDEX('05_KAPA'!$T:$T,$A451),"0"),4),MID(TEXT(INDEX('05_KAPA'!$T:$T,$A451),"0"),5,2),RIGHT(TEXT(INDEX('05_KAPA'!$T:$T,$A451),"0"),2)),""))</f>
        <v/>
      </c>
      <c r="K451">
        <f>IF(C451="","",IF('02_대상물건입력'!$B$5="",1,IF(ISNUMBER(SEARCH('02_대상물건입력'!$B$5,C451)),1,0)))</f>
        <v/>
      </c>
      <c r="L451">
        <f>IF(C451="","",IF('02_대상물건입력'!$B$6="",1,IF(ISNUMBER(SEARCH('02_대상물건입력'!$B$6,C451)),1,0)))</f>
        <v/>
      </c>
      <c r="M451">
        <f>IF(E451="","",IF('02_대상물건입력'!$B$8="",0,IF(ISNUMBER(SEARCH('02_대상물건입력'!$B$8,E451)),1,0)))</f>
        <v/>
      </c>
      <c r="N451">
        <f>IF(B451="","",IF(B451="담보",1,0))</f>
        <v/>
      </c>
      <c r="O451">
        <f>IFERROR(ABS(G451-'02_대상물건입력'!$B$11)/'02_대상물건입력'!$B$11,"")</f>
        <v/>
      </c>
      <c r="P451">
        <f>IFERROR(ABS('01_설정'!$B$4-H451),"")</f>
        <v/>
      </c>
      <c r="Q451">
        <f>IFERROR(ABS(YEAR(J451)-YEAR('02_대상물건입력'!$B$14)),"")</f>
        <v/>
      </c>
      <c r="R451">
        <f>IF(AND(G451&gt;0,H451&gt;0,I451&gt;0,N451=1,IF('01_설정'!$B$10=1,K451=1,TRUE()),O451&lt;='01_설정'!$B$5,P451&lt;='01_설정'!$B$7,Q451&lt;='01_설정'!$B$8),"Y","")</f>
        <v/>
      </c>
      <c r="S451">
        <f>IF(R451&lt;&gt;"Y","",MAX(0,(1-O451/'01_설정'!$B$5))*'01_설정'!$B$14+MAX(0,(1-P451/'01_설정'!$B$7))*'01_설정'!$B$16+MAX(0,(1-Q451/'01_설정'!$B$8))*'01_설정'!$B$17+L451*'01_설정'!$B$11+M451*'01_설정'!$B$12+N451*50)</f>
        <v/>
      </c>
      <c r="T451">
        <f>IF(S451="","",1+COUNTIFS($S$31:$S$1030,"&gt;"&amp;S451)+COUNTIFS($S$31:S451,S451)-1)</f>
        <v/>
      </c>
    </row>
    <row r="452" hidden="1" ht="16.5" customHeight="1">
      <c r="A452">
        <f>IF(COUNTA('05_KAPA'!$A423:$AO423)=0,"",425)</f>
        <v/>
      </c>
      <c r="B452">
        <f>IF($A452="","",INDEX('05_KAPA'!$B:$B,$A452))</f>
        <v/>
      </c>
      <c r="C452">
        <f>IF($A452="","",INDEX('05_KAPA'!$F:$F,$A452))</f>
        <v/>
      </c>
      <c r="D452">
        <f>IF($A452="","",INDEX('05_KAPA'!$H:$H,$A452))</f>
        <v/>
      </c>
      <c r="E452">
        <f>IF($A452="","",INDEX('05_KAPA'!$K:$K,$A452))</f>
        <v/>
      </c>
      <c r="F452">
        <f>IF($A452="","",INDEX('05_KAPA'!$L:$L,$A452))</f>
        <v/>
      </c>
      <c r="G452">
        <f>IF($A452="","",INDEX('05_KAPA'!$I:$I,$A452))</f>
        <v/>
      </c>
      <c r="H452" s="202">
        <f>IF($A452="","",INDEX('05_KAPA'!$P:$P,$A452))</f>
        <v/>
      </c>
      <c r="I452" s="118">
        <f>IF($A452="","",INDEX('05_KAPA'!$O:$O,$A452))</f>
        <v/>
      </c>
      <c r="J452" s="202">
        <f>IF($A452="","",IFERROR(DATE(LEFT(TEXT(INDEX('05_KAPA'!$T:$T,$A452),"0"),4),MID(TEXT(INDEX('05_KAPA'!$T:$T,$A452),"0"),5,2),RIGHT(TEXT(INDEX('05_KAPA'!$T:$T,$A452),"0"),2)),""))</f>
        <v/>
      </c>
      <c r="K452">
        <f>IF(C452="","",IF('02_대상물건입력'!$B$5="",1,IF(ISNUMBER(SEARCH('02_대상물건입력'!$B$5,C452)),1,0)))</f>
        <v/>
      </c>
      <c r="L452">
        <f>IF(C452="","",IF('02_대상물건입력'!$B$6="",1,IF(ISNUMBER(SEARCH('02_대상물건입력'!$B$6,C452)),1,0)))</f>
        <v/>
      </c>
      <c r="M452">
        <f>IF(E452="","",IF('02_대상물건입력'!$B$8="",0,IF(ISNUMBER(SEARCH('02_대상물건입력'!$B$8,E452)),1,0)))</f>
        <v/>
      </c>
      <c r="N452">
        <f>IF(B452="","",IF(B452="담보",1,0))</f>
        <v/>
      </c>
      <c r="O452">
        <f>IFERROR(ABS(G452-'02_대상물건입력'!$B$11)/'02_대상물건입력'!$B$11,"")</f>
        <v/>
      </c>
      <c r="P452">
        <f>IFERROR(ABS('01_설정'!$B$4-H452),"")</f>
        <v/>
      </c>
      <c r="Q452">
        <f>IFERROR(ABS(YEAR(J452)-YEAR('02_대상물건입력'!$B$14)),"")</f>
        <v/>
      </c>
      <c r="R452">
        <f>IF(AND(G452&gt;0,H452&gt;0,I452&gt;0,N452=1,IF('01_설정'!$B$10=1,K452=1,TRUE()),O452&lt;='01_설정'!$B$5,P452&lt;='01_설정'!$B$7,Q452&lt;='01_설정'!$B$8),"Y","")</f>
        <v/>
      </c>
      <c r="S452">
        <f>IF(R452&lt;&gt;"Y","",MAX(0,(1-O452/'01_설정'!$B$5))*'01_설정'!$B$14+MAX(0,(1-P452/'01_설정'!$B$7))*'01_설정'!$B$16+MAX(0,(1-Q452/'01_설정'!$B$8))*'01_설정'!$B$17+L452*'01_설정'!$B$11+M452*'01_설정'!$B$12+N452*50)</f>
        <v/>
      </c>
      <c r="T452">
        <f>IF(S452="","",1+COUNTIFS($S$31:$S$1030,"&gt;"&amp;S452)+COUNTIFS($S$31:S452,S452)-1)</f>
        <v/>
      </c>
    </row>
    <row r="453" hidden="1" ht="16.5" customHeight="1">
      <c r="A453">
        <f>IF(COUNTA('05_KAPA'!$A424:$AO424)=0,"",426)</f>
        <v/>
      </c>
      <c r="B453">
        <f>IF($A453="","",INDEX('05_KAPA'!$B:$B,$A453))</f>
        <v/>
      </c>
      <c r="C453">
        <f>IF($A453="","",INDEX('05_KAPA'!$F:$F,$A453))</f>
        <v/>
      </c>
      <c r="D453">
        <f>IF($A453="","",INDEX('05_KAPA'!$H:$H,$A453))</f>
        <v/>
      </c>
      <c r="E453">
        <f>IF($A453="","",INDEX('05_KAPA'!$K:$K,$A453))</f>
        <v/>
      </c>
      <c r="F453">
        <f>IF($A453="","",INDEX('05_KAPA'!$L:$L,$A453))</f>
        <v/>
      </c>
      <c r="G453">
        <f>IF($A453="","",INDEX('05_KAPA'!$I:$I,$A453))</f>
        <v/>
      </c>
      <c r="H453" s="202">
        <f>IF($A453="","",INDEX('05_KAPA'!$P:$P,$A453))</f>
        <v/>
      </c>
      <c r="I453" s="118">
        <f>IF($A453="","",INDEX('05_KAPA'!$O:$O,$A453))</f>
        <v/>
      </c>
      <c r="J453" s="202">
        <f>IF($A453="","",IFERROR(DATE(LEFT(TEXT(INDEX('05_KAPA'!$T:$T,$A453),"0"),4),MID(TEXT(INDEX('05_KAPA'!$T:$T,$A453),"0"),5,2),RIGHT(TEXT(INDEX('05_KAPA'!$T:$T,$A453),"0"),2)),""))</f>
        <v/>
      </c>
      <c r="K453">
        <f>IF(C453="","",IF('02_대상물건입력'!$B$5="",1,IF(ISNUMBER(SEARCH('02_대상물건입력'!$B$5,C453)),1,0)))</f>
        <v/>
      </c>
      <c r="L453">
        <f>IF(C453="","",IF('02_대상물건입력'!$B$6="",1,IF(ISNUMBER(SEARCH('02_대상물건입력'!$B$6,C453)),1,0)))</f>
        <v/>
      </c>
      <c r="M453">
        <f>IF(E453="","",IF('02_대상물건입력'!$B$8="",0,IF(ISNUMBER(SEARCH('02_대상물건입력'!$B$8,E453)),1,0)))</f>
        <v/>
      </c>
      <c r="N453">
        <f>IF(B453="","",IF(B453="담보",1,0))</f>
        <v/>
      </c>
      <c r="O453">
        <f>IFERROR(ABS(G453-'02_대상물건입력'!$B$11)/'02_대상물건입력'!$B$11,"")</f>
        <v/>
      </c>
      <c r="P453">
        <f>IFERROR(ABS('01_설정'!$B$4-H453),"")</f>
        <v/>
      </c>
      <c r="Q453">
        <f>IFERROR(ABS(YEAR(J453)-YEAR('02_대상물건입력'!$B$14)),"")</f>
        <v/>
      </c>
      <c r="R453">
        <f>IF(AND(G453&gt;0,H453&gt;0,I453&gt;0,N453=1,IF('01_설정'!$B$10=1,K453=1,TRUE()),O453&lt;='01_설정'!$B$5,P453&lt;='01_설정'!$B$7,Q453&lt;='01_설정'!$B$8),"Y","")</f>
        <v/>
      </c>
      <c r="S453">
        <f>IF(R453&lt;&gt;"Y","",MAX(0,(1-O453/'01_설정'!$B$5))*'01_설정'!$B$14+MAX(0,(1-P453/'01_설정'!$B$7))*'01_설정'!$B$16+MAX(0,(1-Q453/'01_설정'!$B$8))*'01_설정'!$B$17+L453*'01_설정'!$B$11+M453*'01_설정'!$B$12+N453*50)</f>
        <v/>
      </c>
      <c r="T453">
        <f>IF(S453="","",1+COUNTIFS($S$31:$S$1030,"&gt;"&amp;S453)+COUNTIFS($S$31:S453,S453)-1)</f>
        <v/>
      </c>
    </row>
    <row r="454" hidden="1" ht="16.5" customHeight="1">
      <c r="A454">
        <f>IF(COUNTA('05_KAPA'!$A425:$AO425)=0,"",427)</f>
        <v/>
      </c>
      <c r="B454">
        <f>IF($A454="","",INDEX('05_KAPA'!$B:$B,$A454))</f>
        <v/>
      </c>
      <c r="C454">
        <f>IF($A454="","",INDEX('05_KAPA'!$F:$F,$A454))</f>
        <v/>
      </c>
      <c r="D454">
        <f>IF($A454="","",INDEX('05_KAPA'!$H:$H,$A454))</f>
        <v/>
      </c>
      <c r="E454">
        <f>IF($A454="","",INDEX('05_KAPA'!$K:$K,$A454))</f>
        <v/>
      </c>
      <c r="F454">
        <f>IF($A454="","",INDEX('05_KAPA'!$L:$L,$A454))</f>
        <v/>
      </c>
      <c r="G454">
        <f>IF($A454="","",INDEX('05_KAPA'!$I:$I,$A454))</f>
        <v/>
      </c>
      <c r="H454" s="202">
        <f>IF($A454="","",INDEX('05_KAPA'!$P:$P,$A454))</f>
        <v/>
      </c>
      <c r="I454" s="118">
        <f>IF($A454="","",INDEX('05_KAPA'!$O:$O,$A454))</f>
        <v/>
      </c>
      <c r="J454" s="202">
        <f>IF($A454="","",IFERROR(DATE(LEFT(TEXT(INDEX('05_KAPA'!$T:$T,$A454),"0"),4),MID(TEXT(INDEX('05_KAPA'!$T:$T,$A454),"0"),5,2),RIGHT(TEXT(INDEX('05_KAPA'!$T:$T,$A454),"0"),2)),""))</f>
        <v/>
      </c>
      <c r="K454">
        <f>IF(C454="","",IF('02_대상물건입력'!$B$5="",1,IF(ISNUMBER(SEARCH('02_대상물건입력'!$B$5,C454)),1,0)))</f>
        <v/>
      </c>
      <c r="L454">
        <f>IF(C454="","",IF('02_대상물건입력'!$B$6="",1,IF(ISNUMBER(SEARCH('02_대상물건입력'!$B$6,C454)),1,0)))</f>
        <v/>
      </c>
      <c r="M454">
        <f>IF(E454="","",IF('02_대상물건입력'!$B$8="",0,IF(ISNUMBER(SEARCH('02_대상물건입력'!$B$8,E454)),1,0)))</f>
        <v/>
      </c>
      <c r="N454">
        <f>IF(B454="","",IF(B454="담보",1,0))</f>
        <v/>
      </c>
      <c r="O454">
        <f>IFERROR(ABS(G454-'02_대상물건입력'!$B$11)/'02_대상물건입력'!$B$11,"")</f>
        <v/>
      </c>
      <c r="P454">
        <f>IFERROR(ABS('01_설정'!$B$4-H454),"")</f>
        <v/>
      </c>
      <c r="Q454">
        <f>IFERROR(ABS(YEAR(J454)-YEAR('02_대상물건입력'!$B$14)),"")</f>
        <v/>
      </c>
      <c r="R454">
        <f>IF(AND(G454&gt;0,H454&gt;0,I454&gt;0,N454=1,IF('01_설정'!$B$10=1,K454=1,TRUE()),O454&lt;='01_설정'!$B$5,P454&lt;='01_설정'!$B$7,Q454&lt;='01_설정'!$B$8),"Y","")</f>
        <v/>
      </c>
      <c r="S454">
        <f>IF(R454&lt;&gt;"Y","",MAX(0,(1-O454/'01_설정'!$B$5))*'01_설정'!$B$14+MAX(0,(1-P454/'01_설정'!$B$7))*'01_설정'!$B$16+MAX(0,(1-Q454/'01_설정'!$B$8))*'01_설정'!$B$17+L454*'01_설정'!$B$11+M454*'01_설정'!$B$12+N454*50)</f>
        <v/>
      </c>
      <c r="T454">
        <f>IF(S454="","",1+COUNTIFS($S$31:$S$1030,"&gt;"&amp;S454)+COUNTIFS($S$31:S454,S454)-1)</f>
        <v/>
      </c>
    </row>
    <row r="455" hidden="1" ht="16.5" customHeight="1">
      <c r="A455">
        <f>IF(COUNTA('05_KAPA'!$A426:$AO426)=0,"",428)</f>
        <v/>
      </c>
      <c r="B455">
        <f>IF($A455="","",INDEX('05_KAPA'!$B:$B,$A455))</f>
        <v/>
      </c>
      <c r="C455">
        <f>IF($A455="","",INDEX('05_KAPA'!$F:$F,$A455))</f>
        <v/>
      </c>
      <c r="D455">
        <f>IF($A455="","",INDEX('05_KAPA'!$H:$H,$A455))</f>
        <v/>
      </c>
      <c r="E455">
        <f>IF($A455="","",INDEX('05_KAPA'!$K:$K,$A455))</f>
        <v/>
      </c>
      <c r="F455">
        <f>IF($A455="","",INDEX('05_KAPA'!$L:$L,$A455))</f>
        <v/>
      </c>
      <c r="G455">
        <f>IF($A455="","",INDEX('05_KAPA'!$I:$I,$A455))</f>
        <v/>
      </c>
      <c r="H455" s="202">
        <f>IF($A455="","",INDEX('05_KAPA'!$P:$P,$A455))</f>
        <v/>
      </c>
      <c r="I455" s="118">
        <f>IF($A455="","",INDEX('05_KAPA'!$O:$O,$A455))</f>
        <v/>
      </c>
      <c r="J455" s="202">
        <f>IF($A455="","",IFERROR(DATE(LEFT(TEXT(INDEX('05_KAPA'!$T:$T,$A455),"0"),4),MID(TEXT(INDEX('05_KAPA'!$T:$T,$A455),"0"),5,2),RIGHT(TEXT(INDEX('05_KAPA'!$T:$T,$A455),"0"),2)),""))</f>
        <v/>
      </c>
      <c r="K455">
        <f>IF(C455="","",IF('02_대상물건입력'!$B$5="",1,IF(ISNUMBER(SEARCH('02_대상물건입력'!$B$5,C455)),1,0)))</f>
        <v/>
      </c>
      <c r="L455">
        <f>IF(C455="","",IF('02_대상물건입력'!$B$6="",1,IF(ISNUMBER(SEARCH('02_대상물건입력'!$B$6,C455)),1,0)))</f>
        <v/>
      </c>
      <c r="M455">
        <f>IF(E455="","",IF('02_대상물건입력'!$B$8="",0,IF(ISNUMBER(SEARCH('02_대상물건입력'!$B$8,E455)),1,0)))</f>
        <v/>
      </c>
      <c r="N455">
        <f>IF(B455="","",IF(B455="담보",1,0))</f>
        <v/>
      </c>
      <c r="O455">
        <f>IFERROR(ABS(G455-'02_대상물건입력'!$B$11)/'02_대상물건입력'!$B$11,"")</f>
        <v/>
      </c>
      <c r="P455">
        <f>IFERROR(ABS('01_설정'!$B$4-H455),"")</f>
        <v/>
      </c>
      <c r="Q455">
        <f>IFERROR(ABS(YEAR(J455)-YEAR('02_대상물건입력'!$B$14)),"")</f>
        <v/>
      </c>
      <c r="R455">
        <f>IF(AND(G455&gt;0,H455&gt;0,I455&gt;0,N455=1,IF('01_설정'!$B$10=1,K455=1,TRUE()),O455&lt;='01_설정'!$B$5,P455&lt;='01_설정'!$B$7,Q455&lt;='01_설정'!$B$8),"Y","")</f>
        <v/>
      </c>
      <c r="S455">
        <f>IF(R455&lt;&gt;"Y","",MAX(0,(1-O455/'01_설정'!$B$5))*'01_설정'!$B$14+MAX(0,(1-P455/'01_설정'!$B$7))*'01_설정'!$B$16+MAX(0,(1-Q455/'01_설정'!$B$8))*'01_설정'!$B$17+L455*'01_설정'!$B$11+M455*'01_설정'!$B$12+N455*50)</f>
        <v/>
      </c>
      <c r="T455">
        <f>IF(S455="","",1+COUNTIFS($S$31:$S$1030,"&gt;"&amp;S455)+COUNTIFS($S$31:S455,S455)-1)</f>
        <v/>
      </c>
    </row>
    <row r="456" hidden="1" ht="16.5" customHeight="1">
      <c r="A456">
        <f>IF(COUNTA('05_KAPA'!$A427:$AO427)=0,"",429)</f>
        <v/>
      </c>
      <c r="B456">
        <f>IF($A456="","",INDEX('05_KAPA'!$B:$B,$A456))</f>
        <v/>
      </c>
      <c r="C456">
        <f>IF($A456="","",INDEX('05_KAPA'!$F:$F,$A456))</f>
        <v/>
      </c>
      <c r="D456">
        <f>IF($A456="","",INDEX('05_KAPA'!$H:$H,$A456))</f>
        <v/>
      </c>
      <c r="E456">
        <f>IF($A456="","",INDEX('05_KAPA'!$K:$K,$A456))</f>
        <v/>
      </c>
      <c r="F456">
        <f>IF($A456="","",INDEX('05_KAPA'!$L:$L,$A456))</f>
        <v/>
      </c>
      <c r="G456">
        <f>IF($A456="","",INDEX('05_KAPA'!$I:$I,$A456))</f>
        <v/>
      </c>
      <c r="H456" s="202">
        <f>IF($A456="","",INDEX('05_KAPA'!$P:$P,$A456))</f>
        <v/>
      </c>
      <c r="I456" s="118">
        <f>IF($A456="","",INDEX('05_KAPA'!$O:$O,$A456))</f>
        <v/>
      </c>
      <c r="J456" s="202">
        <f>IF($A456="","",IFERROR(DATE(LEFT(TEXT(INDEX('05_KAPA'!$T:$T,$A456),"0"),4),MID(TEXT(INDEX('05_KAPA'!$T:$T,$A456),"0"),5,2),RIGHT(TEXT(INDEX('05_KAPA'!$T:$T,$A456),"0"),2)),""))</f>
        <v/>
      </c>
      <c r="K456">
        <f>IF(C456="","",IF('02_대상물건입력'!$B$5="",1,IF(ISNUMBER(SEARCH('02_대상물건입력'!$B$5,C456)),1,0)))</f>
        <v/>
      </c>
      <c r="L456">
        <f>IF(C456="","",IF('02_대상물건입력'!$B$6="",1,IF(ISNUMBER(SEARCH('02_대상물건입력'!$B$6,C456)),1,0)))</f>
        <v/>
      </c>
      <c r="M456">
        <f>IF(E456="","",IF('02_대상물건입력'!$B$8="",0,IF(ISNUMBER(SEARCH('02_대상물건입력'!$B$8,E456)),1,0)))</f>
        <v/>
      </c>
      <c r="N456">
        <f>IF(B456="","",IF(B456="담보",1,0))</f>
        <v/>
      </c>
      <c r="O456">
        <f>IFERROR(ABS(G456-'02_대상물건입력'!$B$11)/'02_대상물건입력'!$B$11,"")</f>
        <v/>
      </c>
      <c r="P456">
        <f>IFERROR(ABS('01_설정'!$B$4-H456),"")</f>
        <v/>
      </c>
      <c r="Q456">
        <f>IFERROR(ABS(YEAR(J456)-YEAR('02_대상물건입력'!$B$14)),"")</f>
        <v/>
      </c>
      <c r="R456">
        <f>IF(AND(G456&gt;0,H456&gt;0,I456&gt;0,N456=1,IF('01_설정'!$B$10=1,K456=1,TRUE()),O456&lt;='01_설정'!$B$5,P456&lt;='01_설정'!$B$7,Q456&lt;='01_설정'!$B$8),"Y","")</f>
        <v/>
      </c>
      <c r="S456">
        <f>IF(R456&lt;&gt;"Y","",MAX(0,(1-O456/'01_설정'!$B$5))*'01_설정'!$B$14+MAX(0,(1-P456/'01_설정'!$B$7))*'01_설정'!$B$16+MAX(0,(1-Q456/'01_설정'!$B$8))*'01_설정'!$B$17+L456*'01_설정'!$B$11+M456*'01_설정'!$B$12+N456*50)</f>
        <v/>
      </c>
      <c r="T456">
        <f>IF(S456="","",1+COUNTIFS($S$31:$S$1030,"&gt;"&amp;S456)+COUNTIFS($S$31:S456,S456)-1)</f>
        <v/>
      </c>
    </row>
    <row r="457" hidden="1" ht="16.5" customHeight="1">
      <c r="A457">
        <f>IF(COUNTA('05_KAPA'!$A428:$AO428)=0,"",430)</f>
        <v/>
      </c>
      <c r="B457">
        <f>IF($A457="","",INDEX('05_KAPA'!$B:$B,$A457))</f>
        <v/>
      </c>
      <c r="C457">
        <f>IF($A457="","",INDEX('05_KAPA'!$F:$F,$A457))</f>
        <v/>
      </c>
      <c r="D457">
        <f>IF($A457="","",INDEX('05_KAPA'!$H:$H,$A457))</f>
        <v/>
      </c>
      <c r="E457">
        <f>IF($A457="","",INDEX('05_KAPA'!$K:$K,$A457))</f>
        <v/>
      </c>
      <c r="F457">
        <f>IF($A457="","",INDEX('05_KAPA'!$L:$L,$A457))</f>
        <v/>
      </c>
      <c r="G457">
        <f>IF($A457="","",INDEX('05_KAPA'!$I:$I,$A457))</f>
        <v/>
      </c>
      <c r="H457" s="202">
        <f>IF($A457="","",INDEX('05_KAPA'!$P:$P,$A457))</f>
        <v/>
      </c>
      <c r="I457" s="118">
        <f>IF($A457="","",INDEX('05_KAPA'!$O:$O,$A457))</f>
        <v/>
      </c>
      <c r="J457" s="202">
        <f>IF($A457="","",IFERROR(DATE(LEFT(TEXT(INDEX('05_KAPA'!$T:$T,$A457),"0"),4),MID(TEXT(INDEX('05_KAPA'!$T:$T,$A457),"0"),5,2),RIGHT(TEXT(INDEX('05_KAPA'!$T:$T,$A457),"0"),2)),""))</f>
        <v/>
      </c>
      <c r="K457">
        <f>IF(C457="","",IF('02_대상물건입력'!$B$5="",1,IF(ISNUMBER(SEARCH('02_대상물건입력'!$B$5,C457)),1,0)))</f>
        <v/>
      </c>
      <c r="L457">
        <f>IF(C457="","",IF('02_대상물건입력'!$B$6="",1,IF(ISNUMBER(SEARCH('02_대상물건입력'!$B$6,C457)),1,0)))</f>
        <v/>
      </c>
      <c r="M457">
        <f>IF(E457="","",IF('02_대상물건입력'!$B$8="",0,IF(ISNUMBER(SEARCH('02_대상물건입력'!$B$8,E457)),1,0)))</f>
        <v/>
      </c>
      <c r="N457">
        <f>IF(B457="","",IF(B457="담보",1,0))</f>
        <v/>
      </c>
      <c r="O457">
        <f>IFERROR(ABS(G457-'02_대상물건입력'!$B$11)/'02_대상물건입력'!$B$11,"")</f>
        <v/>
      </c>
      <c r="P457">
        <f>IFERROR(ABS('01_설정'!$B$4-H457),"")</f>
        <v/>
      </c>
      <c r="Q457">
        <f>IFERROR(ABS(YEAR(J457)-YEAR('02_대상물건입력'!$B$14)),"")</f>
        <v/>
      </c>
      <c r="R457">
        <f>IF(AND(G457&gt;0,H457&gt;0,I457&gt;0,N457=1,IF('01_설정'!$B$10=1,K457=1,TRUE()),O457&lt;='01_설정'!$B$5,P457&lt;='01_설정'!$B$7,Q457&lt;='01_설정'!$B$8),"Y","")</f>
        <v/>
      </c>
      <c r="S457">
        <f>IF(R457&lt;&gt;"Y","",MAX(0,(1-O457/'01_설정'!$B$5))*'01_설정'!$B$14+MAX(0,(1-P457/'01_설정'!$B$7))*'01_설정'!$B$16+MAX(0,(1-Q457/'01_설정'!$B$8))*'01_설정'!$B$17+L457*'01_설정'!$B$11+M457*'01_설정'!$B$12+N457*50)</f>
        <v/>
      </c>
      <c r="T457">
        <f>IF(S457="","",1+COUNTIFS($S$31:$S$1030,"&gt;"&amp;S457)+COUNTIFS($S$31:S457,S457)-1)</f>
        <v/>
      </c>
    </row>
    <row r="458" hidden="1" ht="16.5" customHeight="1">
      <c r="A458">
        <f>IF(COUNTA('05_KAPA'!$A429:$AO429)=0,"",431)</f>
        <v/>
      </c>
      <c r="B458">
        <f>IF($A458="","",INDEX('05_KAPA'!$B:$B,$A458))</f>
        <v/>
      </c>
      <c r="C458">
        <f>IF($A458="","",INDEX('05_KAPA'!$F:$F,$A458))</f>
        <v/>
      </c>
      <c r="D458">
        <f>IF($A458="","",INDEX('05_KAPA'!$H:$H,$A458))</f>
        <v/>
      </c>
      <c r="E458">
        <f>IF($A458="","",INDEX('05_KAPA'!$K:$K,$A458))</f>
        <v/>
      </c>
      <c r="F458">
        <f>IF($A458="","",INDEX('05_KAPA'!$L:$L,$A458))</f>
        <v/>
      </c>
      <c r="G458">
        <f>IF($A458="","",INDEX('05_KAPA'!$I:$I,$A458))</f>
        <v/>
      </c>
      <c r="H458" s="202">
        <f>IF($A458="","",INDEX('05_KAPA'!$P:$P,$A458))</f>
        <v/>
      </c>
      <c r="I458" s="118">
        <f>IF($A458="","",INDEX('05_KAPA'!$O:$O,$A458))</f>
        <v/>
      </c>
      <c r="J458" s="202">
        <f>IF($A458="","",IFERROR(DATE(LEFT(TEXT(INDEX('05_KAPA'!$T:$T,$A458),"0"),4),MID(TEXT(INDEX('05_KAPA'!$T:$T,$A458),"0"),5,2),RIGHT(TEXT(INDEX('05_KAPA'!$T:$T,$A458),"0"),2)),""))</f>
        <v/>
      </c>
      <c r="K458">
        <f>IF(C458="","",IF('02_대상물건입력'!$B$5="",1,IF(ISNUMBER(SEARCH('02_대상물건입력'!$B$5,C458)),1,0)))</f>
        <v/>
      </c>
      <c r="L458">
        <f>IF(C458="","",IF('02_대상물건입력'!$B$6="",1,IF(ISNUMBER(SEARCH('02_대상물건입력'!$B$6,C458)),1,0)))</f>
        <v/>
      </c>
      <c r="M458">
        <f>IF(E458="","",IF('02_대상물건입력'!$B$8="",0,IF(ISNUMBER(SEARCH('02_대상물건입력'!$B$8,E458)),1,0)))</f>
        <v/>
      </c>
      <c r="N458">
        <f>IF(B458="","",IF(B458="담보",1,0))</f>
        <v/>
      </c>
      <c r="O458">
        <f>IFERROR(ABS(G458-'02_대상물건입력'!$B$11)/'02_대상물건입력'!$B$11,"")</f>
        <v/>
      </c>
      <c r="P458">
        <f>IFERROR(ABS('01_설정'!$B$4-H458),"")</f>
        <v/>
      </c>
      <c r="Q458">
        <f>IFERROR(ABS(YEAR(J458)-YEAR('02_대상물건입력'!$B$14)),"")</f>
        <v/>
      </c>
      <c r="R458">
        <f>IF(AND(G458&gt;0,H458&gt;0,I458&gt;0,N458=1,IF('01_설정'!$B$10=1,K458=1,TRUE()),O458&lt;='01_설정'!$B$5,P458&lt;='01_설정'!$B$7,Q458&lt;='01_설정'!$B$8),"Y","")</f>
        <v/>
      </c>
      <c r="S458">
        <f>IF(R458&lt;&gt;"Y","",MAX(0,(1-O458/'01_설정'!$B$5))*'01_설정'!$B$14+MAX(0,(1-P458/'01_설정'!$B$7))*'01_설정'!$B$16+MAX(0,(1-Q458/'01_설정'!$B$8))*'01_설정'!$B$17+L458*'01_설정'!$B$11+M458*'01_설정'!$B$12+N458*50)</f>
        <v/>
      </c>
      <c r="T458">
        <f>IF(S458="","",1+COUNTIFS($S$31:$S$1030,"&gt;"&amp;S458)+COUNTIFS($S$31:S458,S458)-1)</f>
        <v/>
      </c>
    </row>
    <row r="459" hidden="1" ht="16.5" customHeight="1">
      <c r="A459">
        <f>IF(COUNTA('05_KAPA'!$A430:$AO430)=0,"",432)</f>
        <v/>
      </c>
      <c r="B459">
        <f>IF($A459="","",INDEX('05_KAPA'!$B:$B,$A459))</f>
        <v/>
      </c>
      <c r="C459">
        <f>IF($A459="","",INDEX('05_KAPA'!$F:$F,$A459))</f>
        <v/>
      </c>
      <c r="D459">
        <f>IF($A459="","",INDEX('05_KAPA'!$H:$H,$A459))</f>
        <v/>
      </c>
      <c r="E459">
        <f>IF($A459="","",INDEX('05_KAPA'!$K:$K,$A459))</f>
        <v/>
      </c>
      <c r="F459">
        <f>IF($A459="","",INDEX('05_KAPA'!$L:$L,$A459))</f>
        <v/>
      </c>
      <c r="G459">
        <f>IF($A459="","",INDEX('05_KAPA'!$I:$I,$A459))</f>
        <v/>
      </c>
      <c r="H459" s="202">
        <f>IF($A459="","",INDEX('05_KAPA'!$P:$P,$A459))</f>
        <v/>
      </c>
      <c r="I459" s="118">
        <f>IF($A459="","",INDEX('05_KAPA'!$O:$O,$A459))</f>
        <v/>
      </c>
      <c r="J459" s="202">
        <f>IF($A459="","",IFERROR(DATE(LEFT(TEXT(INDEX('05_KAPA'!$T:$T,$A459),"0"),4),MID(TEXT(INDEX('05_KAPA'!$T:$T,$A459),"0"),5,2),RIGHT(TEXT(INDEX('05_KAPA'!$T:$T,$A459),"0"),2)),""))</f>
        <v/>
      </c>
      <c r="K459">
        <f>IF(C459="","",IF('02_대상물건입력'!$B$5="",1,IF(ISNUMBER(SEARCH('02_대상물건입력'!$B$5,C459)),1,0)))</f>
        <v/>
      </c>
      <c r="L459">
        <f>IF(C459="","",IF('02_대상물건입력'!$B$6="",1,IF(ISNUMBER(SEARCH('02_대상물건입력'!$B$6,C459)),1,0)))</f>
        <v/>
      </c>
      <c r="M459">
        <f>IF(E459="","",IF('02_대상물건입력'!$B$8="",0,IF(ISNUMBER(SEARCH('02_대상물건입력'!$B$8,E459)),1,0)))</f>
        <v/>
      </c>
      <c r="N459">
        <f>IF(B459="","",IF(B459="담보",1,0))</f>
        <v/>
      </c>
      <c r="O459">
        <f>IFERROR(ABS(G459-'02_대상물건입력'!$B$11)/'02_대상물건입력'!$B$11,"")</f>
        <v/>
      </c>
      <c r="P459">
        <f>IFERROR(ABS('01_설정'!$B$4-H459),"")</f>
        <v/>
      </c>
      <c r="Q459">
        <f>IFERROR(ABS(YEAR(J459)-YEAR('02_대상물건입력'!$B$14)),"")</f>
        <v/>
      </c>
      <c r="R459">
        <f>IF(AND(G459&gt;0,H459&gt;0,I459&gt;0,N459=1,IF('01_설정'!$B$10=1,K459=1,TRUE()),O459&lt;='01_설정'!$B$5,P459&lt;='01_설정'!$B$7,Q459&lt;='01_설정'!$B$8),"Y","")</f>
        <v/>
      </c>
      <c r="S459">
        <f>IF(R459&lt;&gt;"Y","",MAX(0,(1-O459/'01_설정'!$B$5))*'01_설정'!$B$14+MAX(0,(1-P459/'01_설정'!$B$7))*'01_설정'!$B$16+MAX(0,(1-Q459/'01_설정'!$B$8))*'01_설정'!$B$17+L459*'01_설정'!$B$11+M459*'01_설정'!$B$12+N459*50)</f>
        <v/>
      </c>
      <c r="T459">
        <f>IF(S459="","",1+COUNTIFS($S$31:$S$1030,"&gt;"&amp;S459)+COUNTIFS($S$31:S459,S459)-1)</f>
        <v/>
      </c>
    </row>
    <row r="460" hidden="1" ht="16.5" customHeight="1">
      <c r="A460">
        <f>IF(COUNTA('05_KAPA'!$A431:$AO431)=0,"",433)</f>
        <v/>
      </c>
      <c r="B460">
        <f>IF($A460="","",INDEX('05_KAPA'!$B:$B,$A460))</f>
        <v/>
      </c>
      <c r="C460">
        <f>IF($A460="","",INDEX('05_KAPA'!$F:$F,$A460))</f>
        <v/>
      </c>
      <c r="D460">
        <f>IF($A460="","",INDEX('05_KAPA'!$H:$H,$A460))</f>
        <v/>
      </c>
      <c r="E460">
        <f>IF($A460="","",INDEX('05_KAPA'!$K:$K,$A460))</f>
        <v/>
      </c>
      <c r="F460">
        <f>IF($A460="","",INDEX('05_KAPA'!$L:$L,$A460))</f>
        <v/>
      </c>
      <c r="G460">
        <f>IF($A460="","",INDEX('05_KAPA'!$I:$I,$A460))</f>
        <v/>
      </c>
      <c r="H460" s="202">
        <f>IF($A460="","",INDEX('05_KAPA'!$P:$P,$A460))</f>
        <v/>
      </c>
      <c r="I460" s="118">
        <f>IF($A460="","",INDEX('05_KAPA'!$O:$O,$A460))</f>
        <v/>
      </c>
      <c r="J460" s="202">
        <f>IF($A460="","",IFERROR(DATE(LEFT(TEXT(INDEX('05_KAPA'!$T:$T,$A460),"0"),4),MID(TEXT(INDEX('05_KAPA'!$T:$T,$A460),"0"),5,2),RIGHT(TEXT(INDEX('05_KAPA'!$T:$T,$A460),"0"),2)),""))</f>
        <v/>
      </c>
      <c r="K460">
        <f>IF(C460="","",IF('02_대상물건입력'!$B$5="",1,IF(ISNUMBER(SEARCH('02_대상물건입력'!$B$5,C460)),1,0)))</f>
        <v/>
      </c>
      <c r="L460">
        <f>IF(C460="","",IF('02_대상물건입력'!$B$6="",1,IF(ISNUMBER(SEARCH('02_대상물건입력'!$B$6,C460)),1,0)))</f>
        <v/>
      </c>
      <c r="M460">
        <f>IF(E460="","",IF('02_대상물건입력'!$B$8="",0,IF(ISNUMBER(SEARCH('02_대상물건입력'!$B$8,E460)),1,0)))</f>
        <v/>
      </c>
      <c r="N460">
        <f>IF(B460="","",IF(B460="담보",1,0))</f>
        <v/>
      </c>
      <c r="O460">
        <f>IFERROR(ABS(G460-'02_대상물건입력'!$B$11)/'02_대상물건입력'!$B$11,"")</f>
        <v/>
      </c>
      <c r="P460">
        <f>IFERROR(ABS('01_설정'!$B$4-H460),"")</f>
        <v/>
      </c>
      <c r="Q460">
        <f>IFERROR(ABS(YEAR(J460)-YEAR('02_대상물건입력'!$B$14)),"")</f>
        <v/>
      </c>
      <c r="R460">
        <f>IF(AND(G460&gt;0,H460&gt;0,I460&gt;0,N460=1,IF('01_설정'!$B$10=1,K460=1,TRUE()),O460&lt;='01_설정'!$B$5,P460&lt;='01_설정'!$B$7,Q460&lt;='01_설정'!$B$8),"Y","")</f>
        <v/>
      </c>
      <c r="S460">
        <f>IF(R460&lt;&gt;"Y","",MAX(0,(1-O460/'01_설정'!$B$5))*'01_설정'!$B$14+MAX(0,(1-P460/'01_설정'!$B$7))*'01_설정'!$B$16+MAX(0,(1-Q460/'01_설정'!$B$8))*'01_설정'!$B$17+L460*'01_설정'!$B$11+M460*'01_설정'!$B$12+N460*50)</f>
        <v/>
      </c>
      <c r="T460">
        <f>IF(S460="","",1+COUNTIFS($S$31:$S$1030,"&gt;"&amp;S460)+COUNTIFS($S$31:S460,S460)-1)</f>
        <v/>
      </c>
    </row>
    <row r="461" hidden="1" ht="16.5" customHeight="1">
      <c r="A461">
        <f>IF(COUNTA('05_KAPA'!$A432:$AO432)=0,"",434)</f>
        <v/>
      </c>
      <c r="B461">
        <f>IF($A461="","",INDEX('05_KAPA'!$B:$B,$A461))</f>
        <v/>
      </c>
      <c r="C461">
        <f>IF($A461="","",INDEX('05_KAPA'!$F:$F,$A461))</f>
        <v/>
      </c>
      <c r="D461">
        <f>IF($A461="","",INDEX('05_KAPA'!$H:$H,$A461))</f>
        <v/>
      </c>
      <c r="E461">
        <f>IF($A461="","",INDEX('05_KAPA'!$K:$K,$A461))</f>
        <v/>
      </c>
      <c r="F461">
        <f>IF($A461="","",INDEX('05_KAPA'!$L:$L,$A461))</f>
        <v/>
      </c>
      <c r="G461">
        <f>IF($A461="","",INDEX('05_KAPA'!$I:$I,$A461))</f>
        <v/>
      </c>
      <c r="H461" s="202">
        <f>IF($A461="","",INDEX('05_KAPA'!$P:$P,$A461))</f>
        <v/>
      </c>
      <c r="I461" s="118">
        <f>IF($A461="","",INDEX('05_KAPA'!$O:$O,$A461))</f>
        <v/>
      </c>
      <c r="J461" s="202">
        <f>IF($A461="","",IFERROR(DATE(LEFT(TEXT(INDEX('05_KAPA'!$T:$T,$A461),"0"),4),MID(TEXT(INDEX('05_KAPA'!$T:$T,$A461),"0"),5,2),RIGHT(TEXT(INDEX('05_KAPA'!$T:$T,$A461),"0"),2)),""))</f>
        <v/>
      </c>
      <c r="K461">
        <f>IF(C461="","",IF('02_대상물건입력'!$B$5="",1,IF(ISNUMBER(SEARCH('02_대상물건입력'!$B$5,C461)),1,0)))</f>
        <v/>
      </c>
      <c r="L461">
        <f>IF(C461="","",IF('02_대상물건입력'!$B$6="",1,IF(ISNUMBER(SEARCH('02_대상물건입력'!$B$6,C461)),1,0)))</f>
        <v/>
      </c>
      <c r="M461">
        <f>IF(E461="","",IF('02_대상물건입력'!$B$8="",0,IF(ISNUMBER(SEARCH('02_대상물건입력'!$B$8,E461)),1,0)))</f>
        <v/>
      </c>
      <c r="N461">
        <f>IF(B461="","",IF(B461="담보",1,0))</f>
        <v/>
      </c>
      <c r="O461">
        <f>IFERROR(ABS(G461-'02_대상물건입력'!$B$11)/'02_대상물건입력'!$B$11,"")</f>
        <v/>
      </c>
      <c r="P461">
        <f>IFERROR(ABS('01_설정'!$B$4-H461),"")</f>
        <v/>
      </c>
      <c r="Q461">
        <f>IFERROR(ABS(YEAR(J461)-YEAR('02_대상물건입력'!$B$14)),"")</f>
        <v/>
      </c>
      <c r="R461">
        <f>IF(AND(G461&gt;0,H461&gt;0,I461&gt;0,N461=1,IF('01_설정'!$B$10=1,K461=1,TRUE()),O461&lt;='01_설정'!$B$5,P461&lt;='01_설정'!$B$7,Q461&lt;='01_설정'!$B$8),"Y","")</f>
        <v/>
      </c>
      <c r="S461">
        <f>IF(R461&lt;&gt;"Y","",MAX(0,(1-O461/'01_설정'!$B$5))*'01_설정'!$B$14+MAX(0,(1-P461/'01_설정'!$B$7))*'01_설정'!$B$16+MAX(0,(1-Q461/'01_설정'!$B$8))*'01_설정'!$B$17+L461*'01_설정'!$B$11+M461*'01_설정'!$B$12+N461*50)</f>
        <v/>
      </c>
      <c r="T461">
        <f>IF(S461="","",1+COUNTIFS($S$31:$S$1030,"&gt;"&amp;S461)+COUNTIFS($S$31:S461,S461)-1)</f>
        <v/>
      </c>
    </row>
    <row r="462" hidden="1" ht="16.5" customHeight="1">
      <c r="A462">
        <f>IF(COUNTA('05_KAPA'!$A433:$AO433)=0,"",435)</f>
        <v/>
      </c>
      <c r="B462">
        <f>IF($A462="","",INDEX('05_KAPA'!$B:$B,$A462))</f>
        <v/>
      </c>
      <c r="C462">
        <f>IF($A462="","",INDEX('05_KAPA'!$F:$F,$A462))</f>
        <v/>
      </c>
      <c r="D462">
        <f>IF($A462="","",INDEX('05_KAPA'!$H:$H,$A462))</f>
        <v/>
      </c>
      <c r="E462">
        <f>IF($A462="","",INDEX('05_KAPA'!$K:$K,$A462))</f>
        <v/>
      </c>
      <c r="F462">
        <f>IF($A462="","",INDEX('05_KAPA'!$L:$L,$A462))</f>
        <v/>
      </c>
      <c r="G462">
        <f>IF($A462="","",INDEX('05_KAPA'!$I:$I,$A462))</f>
        <v/>
      </c>
      <c r="H462" s="202">
        <f>IF($A462="","",INDEX('05_KAPA'!$P:$P,$A462))</f>
        <v/>
      </c>
      <c r="I462" s="118">
        <f>IF($A462="","",INDEX('05_KAPA'!$O:$O,$A462))</f>
        <v/>
      </c>
      <c r="J462" s="202">
        <f>IF($A462="","",IFERROR(DATE(LEFT(TEXT(INDEX('05_KAPA'!$T:$T,$A462),"0"),4),MID(TEXT(INDEX('05_KAPA'!$T:$T,$A462),"0"),5,2),RIGHT(TEXT(INDEX('05_KAPA'!$T:$T,$A462),"0"),2)),""))</f>
        <v/>
      </c>
      <c r="K462">
        <f>IF(C462="","",IF('02_대상물건입력'!$B$5="",1,IF(ISNUMBER(SEARCH('02_대상물건입력'!$B$5,C462)),1,0)))</f>
        <v/>
      </c>
      <c r="L462">
        <f>IF(C462="","",IF('02_대상물건입력'!$B$6="",1,IF(ISNUMBER(SEARCH('02_대상물건입력'!$B$6,C462)),1,0)))</f>
        <v/>
      </c>
      <c r="M462">
        <f>IF(E462="","",IF('02_대상물건입력'!$B$8="",0,IF(ISNUMBER(SEARCH('02_대상물건입력'!$B$8,E462)),1,0)))</f>
        <v/>
      </c>
      <c r="N462">
        <f>IF(B462="","",IF(B462="담보",1,0))</f>
        <v/>
      </c>
      <c r="O462">
        <f>IFERROR(ABS(G462-'02_대상물건입력'!$B$11)/'02_대상물건입력'!$B$11,"")</f>
        <v/>
      </c>
      <c r="P462">
        <f>IFERROR(ABS('01_설정'!$B$4-H462),"")</f>
        <v/>
      </c>
      <c r="Q462">
        <f>IFERROR(ABS(YEAR(J462)-YEAR('02_대상물건입력'!$B$14)),"")</f>
        <v/>
      </c>
      <c r="R462">
        <f>IF(AND(G462&gt;0,H462&gt;0,I462&gt;0,N462=1,IF('01_설정'!$B$10=1,K462=1,TRUE()),O462&lt;='01_설정'!$B$5,P462&lt;='01_설정'!$B$7,Q462&lt;='01_설정'!$B$8),"Y","")</f>
        <v/>
      </c>
      <c r="S462">
        <f>IF(R462&lt;&gt;"Y","",MAX(0,(1-O462/'01_설정'!$B$5))*'01_설정'!$B$14+MAX(0,(1-P462/'01_설정'!$B$7))*'01_설정'!$B$16+MAX(0,(1-Q462/'01_설정'!$B$8))*'01_설정'!$B$17+L462*'01_설정'!$B$11+M462*'01_설정'!$B$12+N462*50)</f>
        <v/>
      </c>
      <c r="T462">
        <f>IF(S462="","",1+COUNTIFS($S$31:$S$1030,"&gt;"&amp;S462)+COUNTIFS($S$31:S462,S462)-1)</f>
        <v/>
      </c>
    </row>
    <row r="463" hidden="1" ht="16.5" customHeight="1">
      <c r="A463">
        <f>IF(COUNTA('05_KAPA'!$A434:$AO434)=0,"",436)</f>
        <v/>
      </c>
      <c r="B463">
        <f>IF($A463="","",INDEX('05_KAPA'!$B:$B,$A463))</f>
        <v/>
      </c>
      <c r="C463">
        <f>IF($A463="","",INDEX('05_KAPA'!$F:$F,$A463))</f>
        <v/>
      </c>
      <c r="D463">
        <f>IF($A463="","",INDEX('05_KAPA'!$H:$H,$A463))</f>
        <v/>
      </c>
      <c r="E463">
        <f>IF($A463="","",INDEX('05_KAPA'!$K:$K,$A463))</f>
        <v/>
      </c>
      <c r="F463">
        <f>IF($A463="","",INDEX('05_KAPA'!$L:$L,$A463))</f>
        <v/>
      </c>
      <c r="G463">
        <f>IF($A463="","",INDEX('05_KAPA'!$I:$I,$A463))</f>
        <v/>
      </c>
      <c r="H463" s="202">
        <f>IF($A463="","",INDEX('05_KAPA'!$P:$P,$A463))</f>
        <v/>
      </c>
      <c r="I463" s="118">
        <f>IF($A463="","",INDEX('05_KAPA'!$O:$O,$A463))</f>
        <v/>
      </c>
      <c r="J463" s="202">
        <f>IF($A463="","",IFERROR(DATE(LEFT(TEXT(INDEX('05_KAPA'!$T:$T,$A463),"0"),4),MID(TEXT(INDEX('05_KAPA'!$T:$T,$A463),"0"),5,2),RIGHT(TEXT(INDEX('05_KAPA'!$T:$T,$A463),"0"),2)),""))</f>
        <v/>
      </c>
      <c r="K463">
        <f>IF(C463="","",IF('02_대상물건입력'!$B$5="",1,IF(ISNUMBER(SEARCH('02_대상물건입력'!$B$5,C463)),1,0)))</f>
        <v/>
      </c>
      <c r="L463">
        <f>IF(C463="","",IF('02_대상물건입력'!$B$6="",1,IF(ISNUMBER(SEARCH('02_대상물건입력'!$B$6,C463)),1,0)))</f>
        <v/>
      </c>
      <c r="M463">
        <f>IF(E463="","",IF('02_대상물건입력'!$B$8="",0,IF(ISNUMBER(SEARCH('02_대상물건입력'!$B$8,E463)),1,0)))</f>
        <v/>
      </c>
      <c r="N463">
        <f>IF(B463="","",IF(B463="담보",1,0))</f>
        <v/>
      </c>
      <c r="O463">
        <f>IFERROR(ABS(G463-'02_대상물건입력'!$B$11)/'02_대상물건입력'!$B$11,"")</f>
        <v/>
      </c>
      <c r="P463">
        <f>IFERROR(ABS('01_설정'!$B$4-H463),"")</f>
        <v/>
      </c>
      <c r="Q463">
        <f>IFERROR(ABS(YEAR(J463)-YEAR('02_대상물건입력'!$B$14)),"")</f>
        <v/>
      </c>
      <c r="R463">
        <f>IF(AND(G463&gt;0,H463&gt;0,I463&gt;0,N463=1,IF('01_설정'!$B$10=1,K463=1,TRUE()),O463&lt;='01_설정'!$B$5,P463&lt;='01_설정'!$B$7,Q463&lt;='01_설정'!$B$8),"Y","")</f>
        <v/>
      </c>
      <c r="S463">
        <f>IF(R463&lt;&gt;"Y","",MAX(0,(1-O463/'01_설정'!$B$5))*'01_설정'!$B$14+MAX(0,(1-P463/'01_설정'!$B$7))*'01_설정'!$B$16+MAX(0,(1-Q463/'01_설정'!$B$8))*'01_설정'!$B$17+L463*'01_설정'!$B$11+M463*'01_설정'!$B$12+N463*50)</f>
        <v/>
      </c>
      <c r="T463">
        <f>IF(S463="","",1+COUNTIFS($S$31:$S$1030,"&gt;"&amp;S463)+COUNTIFS($S$31:S463,S463)-1)</f>
        <v/>
      </c>
    </row>
    <row r="464" hidden="1" ht="16.5" customHeight="1">
      <c r="A464">
        <f>IF(COUNTA('05_KAPA'!$A435:$AO435)=0,"",437)</f>
        <v/>
      </c>
      <c r="B464">
        <f>IF($A464="","",INDEX('05_KAPA'!$B:$B,$A464))</f>
        <v/>
      </c>
      <c r="C464">
        <f>IF($A464="","",INDEX('05_KAPA'!$F:$F,$A464))</f>
        <v/>
      </c>
      <c r="D464">
        <f>IF($A464="","",INDEX('05_KAPA'!$H:$H,$A464))</f>
        <v/>
      </c>
      <c r="E464">
        <f>IF($A464="","",INDEX('05_KAPA'!$K:$K,$A464))</f>
        <v/>
      </c>
      <c r="F464">
        <f>IF($A464="","",INDEX('05_KAPA'!$L:$L,$A464))</f>
        <v/>
      </c>
      <c r="G464">
        <f>IF($A464="","",INDEX('05_KAPA'!$I:$I,$A464))</f>
        <v/>
      </c>
      <c r="H464" s="202">
        <f>IF($A464="","",INDEX('05_KAPA'!$P:$P,$A464))</f>
        <v/>
      </c>
      <c r="I464" s="118">
        <f>IF($A464="","",INDEX('05_KAPA'!$O:$O,$A464))</f>
        <v/>
      </c>
      <c r="J464" s="202">
        <f>IF($A464="","",IFERROR(DATE(LEFT(TEXT(INDEX('05_KAPA'!$T:$T,$A464),"0"),4),MID(TEXT(INDEX('05_KAPA'!$T:$T,$A464),"0"),5,2),RIGHT(TEXT(INDEX('05_KAPA'!$T:$T,$A464),"0"),2)),""))</f>
        <v/>
      </c>
      <c r="K464">
        <f>IF(C464="","",IF('02_대상물건입력'!$B$5="",1,IF(ISNUMBER(SEARCH('02_대상물건입력'!$B$5,C464)),1,0)))</f>
        <v/>
      </c>
      <c r="L464">
        <f>IF(C464="","",IF('02_대상물건입력'!$B$6="",1,IF(ISNUMBER(SEARCH('02_대상물건입력'!$B$6,C464)),1,0)))</f>
        <v/>
      </c>
      <c r="M464">
        <f>IF(E464="","",IF('02_대상물건입력'!$B$8="",0,IF(ISNUMBER(SEARCH('02_대상물건입력'!$B$8,E464)),1,0)))</f>
        <v/>
      </c>
      <c r="N464">
        <f>IF(B464="","",IF(B464="담보",1,0))</f>
        <v/>
      </c>
      <c r="O464">
        <f>IFERROR(ABS(G464-'02_대상물건입력'!$B$11)/'02_대상물건입력'!$B$11,"")</f>
        <v/>
      </c>
      <c r="P464">
        <f>IFERROR(ABS('01_설정'!$B$4-H464),"")</f>
        <v/>
      </c>
      <c r="Q464">
        <f>IFERROR(ABS(YEAR(J464)-YEAR('02_대상물건입력'!$B$14)),"")</f>
        <v/>
      </c>
      <c r="R464">
        <f>IF(AND(G464&gt;0,H464&gt;0,I464&gt;0,N464=1,IF('01_설정'!$B$10=1,K464=1,TRUE()),O464&lt;='01_설정'!$B$5,P464&lt;='01_설정'!$B$7,Q464&lt;='01_설정'!$B$8),"Y","")</f>
        <v/>
      </c>
      <c r="S464">
        <f>IF(R464&lt;&gt;"Y","",MAX(0,(1-O464/'01_설정'!$B$5))*'01_설정'!$B$14+MAX(0,(1-P464/'01_설정'!$B$7))*'01_설정'!$B$16+MAX(0,(1-Q464/'01_설정'!$B$8))*'01_설정'!$B$17+L464*'01_설정'!$B$11+M464*'01_설정'!$B$12+N464*50)</f>
        <v/>
      </c>
      <c r="T464">
        <f>IF(S464="","",1+COUNTIFS($S$31:$S$1030,"&gt;"&amp;S464)+COUNTIFS($S$31:S464,S464)-1)</f>
        <v/>
      </c>
    </row>
    <row r="465" hidden="1" ht="16.5" customHeight="1">
      <c r="A465">
        <f>IF(COUNTA('05_KAPA'!$A436:$AO436)=0,"",438)</f>
        <v/>
      </c>
      <c r="B465">
        <f>IF($A465="","",INDEX('05_KAPA'!$B:$B,$A465))</f>
        <v/>
      </c>
      <c r="C465">
        <f>IF($A465="","",INDEX('05_KAPA'!$F:$F,$A465))</f>
        <v/>
      </c>
      <c r="D465">
        <f>IF($A465="","",INDEX('05_KAPA'!$H:$H,$A465))</f>
        <v/>
      </c>
      <c r="E465">
        <f>IF($A465="","",INDEX('05_KAPA'!$K:$K,$A465))</f>
        <v/>
      </c>
      <c r="F465">
        <f>IF($A465="","",INDEX('05_KAPA'!$L:$L,$A465))</f>
        <v/>
      </c>
      <c r="G465">
        <f>IF($A465="","",INDEX('05_KAPA'!$I:$I,$A465))</f>
        <v/>
      </c>
      <c r="H465" s="202">
        <f>IF($A465="","",INDEX('05_KAPA'!$P:$P,$A465))</f>
        <v/>
      </c>
      <c r="I465" s="118">
        <f>IF($A465="","",INDEX('05_KAPA'!$O:$O,$A465))</f>
        <v/>
      </c>
      <c r="J465" s="202">
        <f>IF($A465="","",IFERROR(DATE(LEFT(TEXT(INDEX('05_KAPA'!$T:$T,$A465),"0"),4),MID(TEXT(INDEX('05_KAPA'!$T:$T,$A465),"0"),5,2),RIGHT(TEXT(INDEX('05_KAPA'!$T:$T,$A465),"0"),2)),""))</f>
        <v/>
      </c>
      <c r="K465">
        <f>IF(C465="","",IF('02_대상물건입력'!$B$5="",1,IF(ISNUMBER(SEARCH('02_대상물건입력'!$B$5,C465)),1,0)))</f>
        <v/>
      </c>
      <c r="L465">
        <f>IF(C465="","",IF('02_대상물건입력'!$B$6="",1,IF(ISNUMBER(SEARCH('02_대상물건입력'!$B$6,C465)),1,0)))</f>
        <v/>
      </c>
      <c r="M465">
        <f>IF(E465="","",IF('02_대상물건입력'!$B$8="",0,IF(ISNUMBER(SEARCH('02_대상물건입력'!$B$8,E465)),1,0)))</f>
        <v/>
      </c>
      <c r="N465">
        <f>IF(B465="","",IF(B465="담보",1,0))</f>
        <v/>
      </c>
      <c r="O465">
        <f>IFERROR(ABS(G465-'02_대상물건입력'!$B$11)/'02_대상물건입력'!$B$11,"")</f>
        <v/>
      </c>
      <c r="P465">
        <f>IFERROR(ABS('01_설정'!$B$4-H465),"")</f>
        <v/>
      </c>
      <c r="Q465">
        <f>IFERROR(ABS(YEAR(J465)-YEAR('02_대상물건입력'!$B$14)),"")</f>
        <v/>
      </c>
      <c r="R465">
        <f>IF(AND(G465&gt;0,H465&gt;0,I465&gt;0,N465=1,IF('01_설정'!$B$10=1,K465=1,TRUE()),O465&lt;='01_설정'!$B$5,P465&lt;='01_설정'!$B$7,Q465&lt;='01_설정'!$B$8),"Y","")</f>
        <v/>
      </c>
      <c r="S465">
        <f>IF(R465&lt;&gt;"Y","",MAX(0,(1-O465/'01_설정'!$B$5))*'01_설정'!$B$14+MAX(0,(1-P465/'01_설정'!$B$7))*'01_설정'!$B$16+MAX(0,(1-Q465/'01_설정'!$B$8))*'01_설정'!$B$17+L465*'01_설정'!$B$11+M465*'01_설정'!$B$12+N465*50)</f>
        <v/>
      </c>
      <c r="T465">
        <f>IF(S465="","",1+COUNTIFS($S$31:$S$1030,"&gt;"&amp;S465)+COUNTIFS($S$31:S465,S465)-1)</f>
        <v/>
      </c>
    </row>
    <row r="466" hidden="1" ht="16.5" customHeight="1">
      <c r="A466">
        <f>IF(COUNTA('05_KAPA'!$A437:$AO437)=0,"",439)</f>
        <v/>
      </c>
      <c r="B466">
        <f>IF($A466="","",INDEX('05_KAPA'!$B:$B,$A466))</f>
        <v/>
      </c>
      <c r="C466">
        <f>IF($A466="","",INDEX('05_KAPA'!$F:$F,$A466))</f>
        <v/>
      </c>
      <c r="D466">
        <f>IF($A466="","",INDEX('05_KAPA'!$H:$H,$A466))</f>
        <v/>
      </c>
      <c r="E466">
        <f>IF($A466="","",INDEX('05_KAPA'!$K:$K,$A466))</f>
        <v/>
      </c>
      <c r="F466">
        <f>IF($A466="","",INDEX('05_KAPA'!$L:$L,$A466))</f>
        <v/>
      </c>
      <c r="G466">
        <f>IF($A466="","",INDEX('05_KAPA'!$I:$I,$A466))</f>
        <v/>
      </c>
      <c r="H466" s="202">
        <f>IF($A466="","",INDEX('05_KAPA'!$P:$P,$A466))</f>
        <v/>
      </c>
      <c r="I466" s="118">
        <f>IF($A466="","",INDEX('05_KAPA'!$O:$O,$A466))</f>
        <v/>
      </c>
      <c r="J466" s="202">
        <f>IF($A466="","",IFERROR(DATE(LEFT(TEXT(INDEX('05_KAPA'!$T:$T,$A466),"0"),4),MID(TEXT(INDEX('05_KAPA'!$T:$T,$A466),"0"),5,2),RIGHT(TEXT(INDEX('05_KAPA'!$T:$T,$A466),"0"),2)),""))</f>
        <v/>
      </c>
      <c r="K466">
        <f>IF(C466="","",IF('02_대상물건입력'!$B$5="",1,IF(ISNUMBER(SEARCH('02_대상물건입력'!$B$5,C466)),1,0)))</f>
        <v/>
      </c>
      <c r="L466">
        <f>IF(C466="","",IF('02_대상물건입력'!$B$6="",1,IF(ISNUMBER(SEARCH('02_대상물건입력'!$B$6,C466)),1,0)))</f>
        <v/>
      </c>
      <c r="M466">
        <f>IF(E466="","",IF('02_대상물건입력'!$B$8="",0,IF(ISNUMBER(SEARCH('02_대상물건입력'!$B$8,E466)),1,0)))</f>
        <v/>
      </c>
      <c r="N466">
        <f>IF(B466="","",IF(B466="담보",1,0))</f>
        <v/>
      </c>
      <c r="O466">
        <f>IFERROR(ABS(G466-'02_대상물건입력'!$B$11)/'02_대상물건입력'!$B$11,"")</f>
        <v/>
      </c>
      <c r="P466">
        <f>IFERROR(ABS('01_설정'!$B$4-H466),"")</f>
        <v/>
      </c>
      <c r="Q466">
        <f>IFERROR(ABS(YEAR(J466)-YEAR('02_대상물건입력'!$B$14)),"")</f>
        <v/>
      </c>
      <c r="R466">
        <f>IF(AND(G466&gt;0,H466&gt;0,I466&gt;0,N466=1,IF('01_설정'!$B$10=1,K466=1,TRUE()),O466&lt;='01_설정'!$B$5,P466&lt;='01_설정'!$B$7,Q466&lt;='01_설정'!$B$8),"Y","")</f>
        <v/>
      </c>
      <c r="S466">
        <f>IF(R466&lt;&gt;"Y","",MAX(0,(1-O466/'01_설정'!$B$5))*'01_설정'!$B$14+MAX(0,(1-P466/'01_설정'!$B$7))*'01_설정'!$B$16+MAX(0,(1-Q466/'01_설정'!$B$8))*'01_설정'!$B$17+L466*'01_설정'!$B$11+M466*'01_설정'!$B$12+N466*50)</f>
        <v/>
      </c>
      <c r="T466">
        <f>IF(S466="","",1+COUNTIFS($S$31:$S$1030,"&gt;"&amp;S466)+COUNTIFS($S$31:S466,S466)-1)</f>
        <v/>
      </c>
    </row>
    <row r="467" hidden="1" ht="16.5" customHeight="1">
      <c r="A467">
        <f>IF(COUNTA('05_KAPA'!$A438:$AO438)=0,"",440)</f>
        <v/>
      </c>
      <c r="B467">
        <f>IF($A467="","",INDEX('05_KAPA'!$B:$B,$A467))</f>
        <v/>
      </c>
      <c r="C467">
        <f>IF($A467="","",INDEX('05_KAPA'!$F:$F,$A467))</f>
        <v/>
      </c>
      <c r="D467">
        <f>IF($A467="","",INDEX('05_KAPA'!$H:$H,$A467))</f>
        <v/>
      </c>
      <c r="E467">
        <f>IF($A467="","",INDEX('05_KAPA'!$K:$K,$A467))</f>
        <v/>
      </c>
      <c r="F467">
        <f>IF($A467="","",INDEX('05_KAPA'!$L:$L,$A467))</f>
        <v/>
      </c>
      <c r="G467">
        <f>IF($A467="","",INDEX('05_KAPA'!$I:$I,$A467))</f>
        <v/>
      </c>
      <c r="H467" s="202">
        <f>IF($A467="","",INDEX('05_KAPA'!$P:$P,$A467))</f>
        <v/>
      </c>
      <c r="I467" s="118">
        <f>IF($A467="","",INDEX('05_KAPA'!$O:$O,$A467))</f>
        <v/>
      </c>
      <c r="J467" s="202">
        <f>IF($A467="","",IFERROR(DATE(LEFT(TEXT(INDEX('05_KAPA'!$T:$T,$A467),"0"),4),MID(TEXT(INDEX('05_KAPA'!$T:$T,$A467),"0"),5,2),RIGHT(TEXT(INDEX('05_KAPA'!$T:$T,$A467),"0"),2)),""))</f>
        <v/>
      </c>
      <c r="K467">
        <f>IF(C467="","",IF('02_대상물건입력'!$B$5="",1,IF(ISNUMBER(SEARCH('02_대상물건입력'!$B$5,C467)),1,0)))</f>
        <v/>
      </c>
      <c r="L467">
        <f>IF(C467="","",IF('02_대상물건입력'!$B$6="",1,IF(ISNUMBER(SEARCH('02_대상물건입력'!$B$6,C467)),1,0)))</f>
        <v/>
      </c>
      <c r="M467">
        <f>IF(E467="","",IF('02_대상물건입력'!$B$8="",0,IF(ISNUMBER(SEARCH('02_대상물건입력'!$B$8,E467)),1,0)))</f>
        <v/>
      </c>
      <c r="N467">
        <f>IF(B467="","",IF(B467="담보",1,0))</f>
        <v/>
      </c>
      <c r="O467">
        <f>IFERROR(ABS(G467-'02_대상물건입력'!$B$11)/'02_대상물건입력'!$B$11,"")</f>
        <v/>
      </c>
      <c r="P467">
        <f>IFERROR(ABS('01_설정'!$B$4-H467),"")</f>
        <v/>
      </c>
      <c r="Q467">
        <f>IFERROR(ABS(YEAR(J467)-YEAR('02_대상물건입력'!$B$14)),"")</f>
        <v/>
      </c>
      <c r="R467">
        <f>IF(AND(G467&gt;0,H467&gt;0,I467&gt;0,N467=1,IF('01_설정'!$B$10=1,K467=1,TRUE()),O467&lt;='01_설정'!$B$5,P467&lt;='01_설정'!$B$7,Q467&lt;='01_설정'!$B$8),"Y","")</f>
        <v/>
      </c>
      <c r="S467">
        <f>IF(R467&lt;&gt;"Y","",MAX(0,(1-O467/'01_설정'!$B$5))*'01_설정'!$B$14+MAX(0,(1-P467/'01_설정'!$B$7))*'01_설정'!$B$16+MAX(0,(1-Q467/'01_설정'!$B$8))*'01_설정'!$B$17+L467*'01_설정'!$B$11+M467*'01_설정'!$B$12+N467*50)</f>
        <v/>
      </c>
      <c r="T467">
        <f>IF(S467="","",1+COUNTIFS($S$31:$S$1030,"&gt;"&amp;S467)+COUNTIFS($S$31:S467,S467)-1)</f>
        <v/>
      </c>
    </row>
    <row r="468" hidden="1" ht="16.5" customHeight="1">
      <c r="A468">
        <f>IF(COUNTA('05_KAPA'!$A439:$AO439)=0,"",441)</f>
        <v/>
      </c>
      <c r="B468">
        <f>IF($A468="","",INDEX('05_KAPA'!$B:$B,$A468))</f>
        <v/>
      </c>
      <c r="C468">
        <f>IF($A468="","",INDEX('05_KAPA'!$F:$F,$A468))</f>
        <v/>
      </c>
      <c r="D468">
        <f>IF($A468="","",INDEX('05_KAPA'!$H:$H,$A468))</f>
        <v/>
      </c>
      <c r="E468">
        <f>IF($A468="","",INDEX('05_KAPA'!$K:$K,$A468))</f>
        <v/>
      </c>
      <c r="F468">
        <f>IF($A468="","",INDEX('05_KAPA'!$L:$L,$A468))</f>
        <v/>
      </c>
      <c r="G468">
        <f>IF($A468="","",INDEX('05_KAPA'!$I:$I,$A468))</f>
        <v/>
      </c>
      <c r="H468" s="202">
        <f>IF($A468="","",INDEX('05_KAPA'!$P:$P,$A468))</f>
        <v/>
      </c>
      <c r="I468" s="118">
        <f>IF($A468="","",INDEX('05_KAPA'!$O:$O,$A468))</f>
        <v/>
      </c>
      <c r="J468" s="202">
        <f>IF($A468="","",IFERROR(DATE(LEFT(TEXT(INDEX('05_KAPA'!$T:$T,$A468),"0"),4),MID(TEXT(INDEX('05_KAPA'!$T:$T,$A468),"0"),5,2),RIGHT(TEXT(INDEX('05_KAPA'!$T:$T,$A468),"0"),2)),""))</f>
        <v/>
      </c>
      <c r="K468">
        <f>IF(C468="","",IF('02_대상물건입력'!$B$5="",1,IF(ISNUMBER(SEARCH('02_대상물건입력'!$B$5,C468)),1,0)))</f>
        <v/>
      </c>
      <c r="L468">
        <f>IF(C468="","",IF('02_대상물건입력'!$B$6="",1,IF(ISNUMBER(SEARCH('02_대상물건입력'!$B$6,C468)),1,0)))</f>
        <v/>
      </c>
      <c r="M468">
        <f>IF(E468="","",IF('02_대상물건입력'!$B$8="",0,IF(ISNUMBER(SEARCH('02_대상물건입력'!$B$8,E468)),1,0)))</f>
        <v/>
      </c>
      <c r="N468">
        <f>IF(B468="","",IF(B468="담보",1,0))</f>
        <v/>
      </c>
      <c r="O468">
        <f>IFERROR(ABS(G468-'02_대상물건입력'!$B$11)/'02_대상물건입력'!$B$11,"")</f>
        <v/>
      </c>
      <c r="P468">
        <f>IFERROR(ABS('01_설정'!$B$4-H468),"")</f>
        <v/>
      </c>
      <c r="Q468">
        <f>IFERROR(ABS(YEAR(J468)-YEAR('02_대상물건입력'!$B$14)),"")</f>
        <v/>
      </c>
      <c r="R468">
        <f>IF(AND(G468&gt;0,H468&gt;0,I468&gt;0,N468=1,IF('01_설정'!$B$10=1,K468=1,TRUE()),O468&lt;='01_설정'!$B$5,P468&lt;='01_설정'!$B$7,Q468&lt;='01_설정'!$B$8),"Y","")</f>
        <v/>
      </c>
      <c r="S468">
        <f>IF(R468&lt;&gt;"Y","",MAX(0,(1-O468/'01_설정'!$B$5))*'01_설정'!$B$14+MAX(0,(1-P468/'01_설정'!$B$7))*'01_설정'!$B$16+MAX(0,(1-Q468/'01_설정'!$B$8))*'01_설정'!$B$17+L468*'01_설정'!$B$11+M468*'01_설정'!$B$12+N468*50)</f>
        <v/>
      </c>
      <c r="T468">
        <f>IF(S468="","",1+COUNTIFS($S$31:$S$1030,"&gt;"&amp;S468)+COUNTIFS($S$31:S468,S468)-1)</f>
        <v/>
      </c>
    </row>
    <row r="469" hidden="1" ht="16.5" customHeight="1">
      <c r="A469">
        <f>IF(COUNTA('05_KAPA'!$A440:$AO440)=0,"",442)</f>
        <v/>
      </c>
      <c r="B469">
        <f>IF($A469="","",INDEX('05_KAPA'!$B:$B,$A469))</f>
        <v/>
      </c>
      <c r="C469">
        <f>IF($A469="","",INDEX('05_KAPA'!$F:$F,$A469))</f>
        <v/>
      </c>
      <c r="D469">
        <f>IF($A469="","",INDEX('05_KAPA'!$H:$H,$A469))</f>
        <v/>
      </c>
      <c r="E469">
        <f>IF($A469="","",INDEX('05_KAPA'!$K:$K,$A469))</f>
        <v/>
      </c>
      <c r="F469">
        <f>IF($A469="","",INDEX('05_KAPA'!$L:$L,$A469))</f>
        <v/>
      </c>
      <c r="G469">
        <f>IF($A469="","",INDEX('05_KAPA'!$I:$I,$A469))</f>
        <v/>
      </c>
      <c r="H469" s="202">
        <f>IF($A469="","",INDEX('05_KAPA'!$P:$P,$A469))</f>
        <v/>
      </c>
      <c r="I469" s="118">
        <f>IF($A469="","",INDEX('05_KAPA'!$O:$O,$A469))</f>
        <v/>
      </c>
      <c r="J469" s="202">
        <f>IF($A469="","",IFERROR(DATE(LEFT(TEXT(INDEX('05_KAPA'!$T:$T,$A469),"0"),4),MID(TEXT(INDEX('05_KAPA'!$T:$T,$A469),"0"),5,2),RIGHT(TEXT(INDEX('05_KAPA'!$T:$T,$A469),"0"),2)),""))</f>
        <v/>
      </c>
      <c r="K469">
        <f>IF(C469="","",IF('02_대상물건입력'!$B$5="",1,IF(ISNUMBER(SEARCH('02_대상물건입력'!$B$5,C469)),1,0)))</f>
        <v/>
      </c>
      <c r="L469">
        <f>IF(C469="","",IF('02_대상물건입력'!$B$6="",1,IF(ISNUMBER(SEARCH('02_대상물건입력'!$B$6,C469)),1,0)))</f>
        <v/>
      </c>
      <c r="M469">
        <f>IF(E469="","",IF('02_대상물건입력'!$B$8="",0,IF(ISNUMBER(SEARCH('02_대상물건입력'!$B$8,E469)),1,0)))</f>
        <v/>
      </c>
      <c r="N469">
        <f>IF(B469="","",IF(B469="담보",1,0))</f>
        <v/>
      </c>
      <c r="O469">
        <f>IFERROR(ABS(G469-'02_대상물건입력'!$B$11)/'02_대상물건입력'!$B$11,"")</f>
        <v/>
      </c>
      <c r="P469">
        <f>IFERROR(ABS('01_설정'!$B$4-H469),"")</f>
        <v/>
      </c>
      <c r="Q469">
        <f>IFERROR(ABS(YEAR(J469)-YEAR('02_대상물건입력'!$B$14)),"")</f>
        <v/>
      </c>
      <c r="R469">
        <f>IF(AND(G469&gt;0,H469&gt;0,I469&gt;0,N469=1,IF('01_설정'!$B$10=1,K469=1,TRUE()),O469&lt;='01_설정'!$B$5,P469&lt;='01_설정'!$B$7,Q469&lt;='01_설정'!$B$8),"Y","")</f>
        <v/>
      </c>
      <c r="S469">
        <f>IF(R469&lt;&gt;"Y","",MAX(0,(1-O469/'01_설정'!$B$5))*'01_설정'!$B$14+MAX(0,(1-P469/'01_설정'!$B$7))*'01_설정'!$B$16+MAX(0,(1-Q469/'01_설정'!$B$8))*'01_설정'!$B$17+L469*'01_설정'!$B$11+M469*'01_설정'!$B$12+N469*50)</f>
        <v/>
      </c>
      <c r="T469">
        <f>IF(S469="","",1+COUNTIFS($S$31:$S$1030,"&gt;"&amp;S469)+COUNTIFS($S$31:S469,S469)-1)</f>
        <v/>
      </c>
    </row>
    <row r="470" hidden="1" ht="16.5" customHeight="1">
      <c r="A470">
        <f>IF(COUNTA('05_KAPA'!$A441:$AO441)=0,"",443)</f>
        <v/>
      </c>
      <c r="B470">
        <f>IF($A470="","",INDEX('05_KAPA'!$B:$B,$A470))</f>
        <v/>
      </c>
      <c r="C470">
        <f>IF($A470="","",INDEX('05_KAPA'!$F:$F,$A470))</f>
        <v/>
      </c>
      <c r="D470">
        <f>IF($A470="","",INDEX('05_KAPA'!$H:$H,$A470))</f>
        <v/>
      </c>
      <c r="E470">
        <f>IF($A470="","",INDEX('05_KAPA'!$K:$K,$A470))</f>
        <v/>
      </c>
      <c r="F470">
        <f>IF($A470="","",INDEX('05_KAPA'!$L:$L,$A470))</f>
        <v/>
      </c>
      <c r="G470">
        <f>IF($A470="","",INDEX('05_KAPA'!$I:$I,$A470))</f>
        <v/>
      </c>
      <c r="H470" s="202">
        <f>IF($A470="","",INDEX('05_KAPA'!$P:$P,$A470))</f>
        <v/>
      </c>
      <c r="I470" s="118">
        <f>IF($A470="","",INDEX('05_KAPA'!$O:$O,$A470))</f>
        <v/>
      </c>
      <c r="J470" s="202">
        <f>IF($A470="","",IFERROR(DATE(LEFT(TEXT(INDEX('05_KAPA'!$T:$T,$A470),"0"),4),MID(TEXT(INDEX('05_KAPA'!$T:$T,$A470),"0"),5,2),RIGHT(TEXT(INDEX('05_KAPA'!$T:$T,$A470),"0"),2)),""))</f>
        <v/>
      </c>
      <c r="K470">
        <f>IF(C470="","",IF('02_대상물건입력'!$B$5="",1,IF(ISNUMBER(SEARCH('02_대상물건입력'!$B$5,C470)),1,0)))</f>
        <v/>
      </c>
      <c r="L470">
        <f>IF(C470="","",IF('02_대상물건입력'!$B$6="",1,IF(ISNUMBER(SEARCH('02_대상물건입력'!$B$6,C470)),1,0)))</f>
        <v/>
      </c>
      <c r="M470">
        <f>IF(E470="","",IF('02_대상물건입력'!$B$8="",0,IF(ISNUMBER(SEARCH('02_대상물건입력'!$B$8,E470)),1,0)))</f>
        <v/>
      </c>
      <c r="N470">
        <f>IF(B470="","",IF(B470="담보",1,0))</f>
        <v/>
      </c>
      <c r="O470">
        <f>IFERROR(ABS(G470-'02_대상물건입력'!$B$11)/'02_대상물건입력'!$B$11,"")</f>
        <v/>
      </c>
      <c r="P470">
        <f>IFERROR(ABS('01_설정'!$B$4-H470),"")</f>
        <v/>
      </c>
      <c r="Q470">
        <f>IFERROR(ABS(YEAR(J470)-YEAR('02_대상물건입력'!$B$14)),"")</f>
        <v/>
      </c>
      <c r="R470">
        <f>IF(AND(G470&gt;0,H470&gt;0,I470&gt;0,N470=1,IF('01_설정'!$B$10=1,K470=1,TRUE()),O470&lt;='01_설정'!$B$5,P470&lt;='01_설정'!$B$7,Q470&lt;='01_설정'!$B$8),"Y","")</f>
        <v/>
      </c>
      <c r="S470">
        <f>IF(R470&lt;&gt;"Y","",MAX(0,(1-O470/'01_설정'!$B$5))*'01_설정'!$B$14+MAX(0,(1-P470/'01_설정'!$B$7))*'01_설정'!$B$16+MAX(0,(1-Q470/'01_설정'!$B$8))*'01_설정'!$B$17+L470*'01_설정'!$B$11+M470*'01_설정'!$B$12+N470*50)</f>
        <v/>
      </c>
      <c r="T470">
        <f>IF(S470="","",1+COUNTIFS($S$31:$S$1030,"&gt;"&amp;S470)+COUNTIFS($S$31:S470,S470)-1)</f>
        <v/>
      </c>
    </row>
    <row r="471" hidden="1" ht="16.5" customHeight="1">
      <c r="A471">
        <f>IF(COUNTA('05_KAPA'!$A442:$AO442)=0,"",444)</f>
        <v/>
      </c>
      <c r="B471">
        <f>IF($A471="","",INDEX('05_KAPA'!$B:$B,$A471))</f>
        <v/>
      </c>
      <c r="C471">
        <f>IF($A471="","",INDEX('05_KAPA'!$F:$F,$A471))</f>
        <v/>
      </c>
      <c r="D471">
        <f>IF($A471="","",INDEX('05_KAPA'!$H:$H,$A471))</f>
        <v/>
      </c>
      <c r="E471">
        <f>IF($A471="","",INDEX('05_KAPA'!$K:$K,$A471))</f>
        <v/>
      </c>
      <c r="F471">
        <f>IF($A471="","",INDEX('05_KAPA'!$L:$L,$A471))</f>
        <v/>
      </c>
      <c r="G471">
        <f>IF($A471="","",INDEX('05_KAPA'!$I:$I,$A471))</f>
        <v/>
      </c>
      <c r="H471" s="202">
        <f>IF($A471="","",INDEX('05_KAPA'!$P:$P,$A471))</f>
        <v/>
      </c>
      <c r="I471" s="118">
        <f>IF($A471="","",INDEX('05_KAPA'!$O:$O,$A471))</f>
        <v/>
      </c>
      <c r="J471" s="202">
        <f>IF($A471="","",IFERROR(DATE(LEFT(TEXT(INDEX('05_KAPA'!$T:$T,$A471),"0"),4),MID(TEXT(INDEX('05_KAPA'!$T:$T,$A471),"0"),5,2),RIGHT(TEXT(INDEX('05_KAPA'!$T:$T,$A471),"0"),2)),""))</f>
        <v/>
      </c>
      <c r="K471">
        <f>IF(C471="","",IF('02_대상물건입력'!$B$5="",1,IF(ISNUMBER(SEARCH('02_대상물건입력'!$B$5,C471)),1,0)))</f>
        <v/>
      </c>
      <c r="L471">
        <f>IF(C471="","",IF('02_대상물건입력'!$B$6="",1,IF(ISNUMBER(SEARCH('02_대상물건입력'!$B$6,C471)),1,0)))</f>
        <v/>
      </c>
      <c r="M471">
        <f>IF(E471="","",IF('02_대상물건입력'!$B$8="",0,IF(ISNUMBER(SEARCH('02_대상물건입력'!$B$8,E471)),1,0)))</f>
        <v/>
      </c>
      <c r="N471">
        <f>IF(B471="","",IF(B471="담보",1,0))</f>
        <v/>
      </c>
      <c r="O471">
        <f>IFERROR(ABS(G471-'02_대상물건입력'!$B$11)/'02_대상물건입력'!$B$11,"")</f>
        <v/>
      </c>
      <c r="P471">
        <f>IFERROR(ABS('01_설정'!$B$4-H471),"")</f>
        <v/>
      </c>
      <c r="Q471">
        <f>IFERROR(ABS(YEAR(J471)-YEAR('02_대상물건입력'!$B$14)),"")</f>
        <v/>
      </c>
      <c r="R471">
        <f>IF(AND(G471&gt;0,H471&gt;0,I471&gt;0,N471=1,IF('01_설정'!$B$10=1,K471=1,TRUE()),O471&lt;='01_설정'!$B$5,P471&lt;='01_설정'!$B$7,Q471&lt;='01_설정'!$B$8),"Y","")</f>
        <v/>
      </c>
      <c r="S471">
        <f>IF(R471&lt;&gt;"Y","",MAX(0,(1-O471/'01_설정'!$B$5))*'01_설정'!$B$14+MAX(0,(1-P471/'01_설정'!$B$7))*'01_설정'!$B$16+MAX(0,(1-Q471/'01_설정'!$B$8))*'01_설정'!$B$17+L471*'01_설정'!$B$11+M471*'01_설정'!$B$12+N471*50)</f>
        <v/>
      </c>
      <c r="T471">
        <f>IF(S471="","",1+COUNTIFS($S$31:$S$1030,"&gt;"&amp;S471)+COUNTIFS($S$31:S471,S471)-1)</f>
        <v/>
      </c>
    </row>
    <row r="472" hidden="1" ht="16.5" customHeight="1">
      <c r="A472">
        <f>IF(COUNTA('05_KAPA'!$A443:$AO443)=0,"",445)</f>
        <v/>
      </c>
      <c r="B472">
        <f>IF($A472="","",INDEX('05_KAPA'!$B:$B,$A472))</f>
        <v/>
      </c>
      <c r="C472">
        <f>IF($A472="","",INDEX('05_KAPA'!$F:$F,$A472))</f>
        <v/>
      </c>
      <c r="D472">
        <f>IF($A472="","",INDEX('05_KAPA'!$H:$H,$A472))</f>
        <v/>
      </c>
      <c r="E472">
        <f>IF($A472="","",INDEX('05_KAPA'!$K:$K,$A472))</f>
        <v/>
      </c>
      <c r="F472">
        <f>IF($A472="","",INDEX('05_KAPA'!$L:$L,$A472))</f>
        <v/>
      </c>
      <c r="G472">
        <f>IF($A472="","",INDEX('05_KAPA'!$I:$I,$A472))</f>
        <v/>
      </c>
      <c r="H472" s="202">
        <f>IF($A472="","",INDEX('05_KAPA'!$P:$P,$A472))</f>
        <v/>
      </c>
      <c r="I472" s="118">
        <f>IF($A472="","",INDEX('05_KAPA'!$O:$O,$A472))</f>
        <v/>
      </c>
      <c r="J472" s="202">
        <f>IF($A472="","",IFERROR(DATE(LEFT(TEXT(INDEX('05_KAPA'!$T:$T,$A472),"0"),4),MID(TEXT(INDEX('05_KAPA'!$T:$T,$A472),"0"),5,2),RIGHT(TEXT(INDEX('05_KAPA'!$T:$T,$A472),"0"),2)),""))</f>
        <v/>
      </c>
      <c r="K472">
        <f>IF(C472="","",IF('02_대상물건입력'!$B$5="",1,IF(ISNUMBER(SEARCH('02_대상물건입력'!$B$5,C472)),1,0)))</f>
        <v/>
      </c>
      <c r="L472">
        <f>IF(C472="","",IF('02_대상물건입력'!$B$6="",1,IF(ISNUMBER(SEARCH('02_대상물건입력'!$B$6,C472)),1,0)))</f>
        <v/>
      </c>
      <c r="M472">
        <f>IF(E472="","",IF('02_대상물건입력'!$B$8="",0,IF(ISNUMBER(SEARCH('02_대상물건입력'!$B$8,E472)),1,0)))</f>
        <v/>
      </c>
      <c r="N472">
        <f>IF(B472="","",IF(B472="담보",1,0))</f>
        <v/>
      </c>
      <c r="O472">
        <f>IFERROR(ABS(G472-'02_대상물건입력'!$B$11)/'02_대상물건입력'!$B$11,"")</f>
        <v/>
      </c>
      <c r="P472">
        <f>IFERROR(ABS('01_설정'!$B$4-H472),"")</f>
        <v/>
      </c>
      <c r="Q472">
        <f>IFERROR(ABS(YEAR(J472)-YEAR('02_대상물건입력'!$B$14)),"")</f>
        <v/>
      </c>
      <c r="R472">
        <f>IF(AND(G472&gt;0,H472&gt;0,I472&gt;0,N472=1,IF('01_설정'!$B$10=1,K472=1,TRUE()),O472&lt;='01_설정'!$B$5,P472&lt;='01_설정'!$B$7,Q472&lt;='01_설정'!$B$8),"Y","")</f>
        <v/>
      </c>
      <c r="S472">
        <f>IF(R472&lt;&gt;"Y","",MAX(0,(1-O472/'01_설정'!$B$5))*'01_설정'!$B$14+MAX(0,(1-P472/'01_설정'!$B$7))*'01_설정'!$B$16+MAX(0,(1-Q472/'01_설정'!$B$8))*'01_설정'!$B$17+L472*'01_설정'!$B$11+M472*'01_설정'!$B$12+N472*50)</f>
        <v/>
      </c>
      <c r="T472">
        <f>IF(S472="","",1+COUNTIFS($S$31:$S$1030,"&gt;"&amp;S472)+COUNTIFS($S$31:S472,S472)-1)</f>
        <v/>
      </c>
    </row>
    <row r="473" hidden="1" ht="16.5" customHeight="1">
      <c r="A473">
        <f>IF(COUNTA('05_KAPA'!$A444:$AO444)=0,"",446)</f>
        <v/>
      </c>
      <c r="B473">
        <f>IF($A473="","",INDEX('05_KAPA'!$B:$B,$A473))</f>
        <v/>
      </c>
      <c r="C473">
        <f>IF($A473="","",INDEX('05_KAPA'!$F:$F,$A473))</f>
        <v/>
      </c>
      <c r="D473">
        <f>IF($A473="","",INDEX('05_KAPA'!$H:$H,$A473))</f>
        <v/>
      </c>
      <c r="E473">
        <f>IF($A473="","",INDEX('05_KAPA'!$K:$K,$A473))</f>
        <v/>
      </c>
      <c r="F473">
        <f>IF($A473="","",INDEX('05_KAPA'!$L:$L,$A473))</f>
        <v/>
      </c>
      <c r="G473">
        <f>IF($A473="","",INDEX('05_KAPA'!$I:$I,$A473))</f>
        <v/>
      </c>
      <c r="H473" s="202">
        <f>IF($A473="","",INDEX('05_KAPA'!$P:$P,$A473))</f>
        <v/>
      </c>
      <c r="I473" s="118">
        <f>IF($A473="","",INDEX('05_KAPA'!$O:$O,$A473))</f>
        <v/>
      </c>
      <c r="J473" s="202">
        <f>IF($A473="","",IFERROR(DATE(LEFT(TEXT(INDEX('05_KAPA'!$T:$T,$A473),"0"),4),MID(TEXT(INDEX('05_KAPA'!$T:$T,$A473),"0"),5,2),RIGHT(TEXT(INDEX('05_KAPA'!$T:$T,$A473),"0"),2)),""))</f>
        <v/>
      </c>
      <c r="K473">
        <f>IF(C473="","",IF('02_대상물건입력'!$B$5="",1,IF(ISNUMBER(SEARCH('02_대상물건입력'!$B$5,C473)),1,0)))</f>
        <v/>
      </c>
      <c r="L473">
        <f>IF(C473="","",IF('02_대상물건입력'!$B$6="",1,IF(ISNUMBER(SEARCH('02_대상물건입력'!$B$6,C473)),1,0)))</f>
        <v/>
      </c>
      <c r="M473">
        <f>IF(E473="","",IF('02_대상물건입력'!$B$8="",0,IF(ISNUMBER(SEARCH('02_대상물건입력'!$B$8,E473)),1,0)))</f>
        <v/>
      </c>
      <c r="N473">
        <f>IF(B473="","",IF(B473="담보",1,0))</f>
        <v/>
      </c>
      <c r="O473">
        <f>IFERROR(ABS(G473-'02_대상물건입력'!$B$11)/'02_대상물건입력'!$B$11,"")</f>
        <v/>
      </c>
      <c r="P473">
        <f>IFERROR(ABS('01_설정'!$B$4-H473),"")</f>
        <v/>
      </c>
      <c r="Q473">
        <f>IFERROR(ABS(YEAR(J473)-YEAR('02_대상물건입력'!$B$14)),"")</f>
        <v/>
      </c>
      <c r="R473">
        <f>IF(AND(G473&gt;0,H473&gt;0,I473&gt;0,N473=1,IF('01_설정'!$B$10=1,K473=1,TRUE()),O473&lt;='01_설정'!$B$5,P473&lt;='01_설정'!$B$7,Q473&lt;='01_설정'!$B$8),"Y","")</f>
        <v/>
      </c>
      <c r="S473">
        <f>IF(R473&lt;&gt;"Y","",MAX(0,(1-O473/'01_설정'!$B$5))*'01_설정'!$B$14+MAX(0,(1-P473/'01_설정'!$B$7))*'01_설정'!$B$16+MAX(0,(1-Q473/'01_설정'!$B$8))*'01_설정'!$B$17+L473*'01_설정'!$B$11+M473*'01_설정'!$B$12+N473*50)</f>
        <v/>
      </c>
      <c r="T473">
        <f>IF(S473="","",1+COUNTIFS($S$31:$S$1030,"&gt;"&amp;S473)+COUNTIFS($S$31:S473,S473)-1)</f>
        <v/>
      </c>
    </row>
    <row r="474" hidden="1" ht="16.5" customHeight="1">
      <c r="A474">
        <f>IF(COUNTA('05_KAPA'!$A445:$AO445)=0,"",447)</f>
        <v/>
      </c>
      <c r="B474">
        <f>IF($A474="","",INDEX('05_KAPA'!$B:$B,$A474))</f>
        <v/>
      </c>
      <c r="C474">
        <f>IF($A474="","",INDEX('05_KAPA'!$F:$F,$A474))</f>
        <v/>
      </c>
      <c r="D474">
        <f>IF($A474="","",INDEX('05_KAPA'!$H:$H,$A474))</f>
        <v/>
      </c>
      <c r="E474">
        <f>IF($A474="","",INDEX('05_KAPA'!$K:$K,$A474))</f>
        <v/>
      </c>
      <c r="F474">
        <f>IF($A474="","",INDEX('05_KAPA'!$L:$L,$A474))</f>
        <v/>
      </c>
      <c r="G474">
        <f>IF($A474="","",INDEX('05_KAPA'!$I:$I,$A474))</f>
        <v/>
      </c>
      <c r="H474" s="202">
        <f>IF($A474="","",INDEX('05_KAPA'!$P:$P,$A474))</f>
        <v/>
      </c>
      <c r="I474" s="118">
        <f>IF($A474="","",INDEX('05_KAPA'!$O:$O,$A474))</f>
        <v/>
      </c>
      <c r="J474" s="202">
        <f>IF($A474="","",IFERROR(DATE(LEFT(TEXT(INDEX('05_KAPA'!$T:$T,$A474),"0"),4),MID(TEXT(INDEX('05_KAPA'!$T:$T,$A474),"0"),5,2),RIGHT(TEXT(INDEX('05_KAPA'!$T:$T,$A474),"0"),2)),""))</f>
        <v/>
      </c>
      <c r="K474">
        <f>IF(C474="","",IF('02_대상물건입력'!$B$5="",1,IF(ISNUMBER(SEARCH('02_대상물건입력'!$B$5,C474)),1,0)))</f>
        <v/>
      </c>
      <c r="L474">
        <f>IF(C474="","",IF('02_대상물건입력'!$B$6="",1,IF(ISNUMBER(SEARCH('02_대상물건입력'!$B$6,C474)),1,0)))</f>
        <v/>
      </c>
      <c r="M474">
        <f>IF(E474="","",IF('02_대상물건입력'!$B$8="",0,IF(ISNUMBER(SEARCH('02_대상물건입력'!$B$8,E474)),1,0)))</f>
        <v/>
      </c>
      <c r="N474">
        <f>IF(B474="","",IF(B474="담보",1,0))</f>
        <v/>
      </c>
      <c r="O474">
        <f>IFERROR(ABS(G474-'02_대상물건입력'!$B$11)/'02_대상물건입력'!$B$11,"")</f>
        <v/>
      </c>
      <c r="P474">
        <f>IFERROR(ABS('01_설정'!$B$4-H474),"")</f>
        <v/>
      </c>
      <c r="Q474">
        <f>IFERROR(ABS(YEAR(J474)-YEAR('02_대상물건입력'!$B$14)),"")</f>
        <v/>
      </c>
      <c r="R474">
        <f>IF(AND(G474&gt;0,H474&gt;0,I474&gt;0,N474=1,IF('01_설정'!$B$10=1,K474=1,TRUE()),O474&lt;='01_설정'!$B$5,P474&lt;='01_설정'!$B$7,Q474&lt;='01_설정'!$B$8),"Y","")</f>
        <v/>
      </c>
      <c r="S474">
        <f>IF(R474&lt;&gt;"Y","",MAX(0,(1-O474/'01_설정'!$B$5))*'01_설정'!$B$14+MAX(0,(1-P474/'01_설정'!$B$7))*'01_설정'!$B$16+MAX(0,(1-Q474/'01_설정'!$B$8))*'01_설정'!$B$17+L474*'01_설정'!$B$11+M474*'01_설정'!$B$12+N474*50)</f>
        <v/>
      </c>
      <c r="T474">
        <f>IF(S474="","",1+COUNTIFS($S$31:$S$1030,"&gt;"&amp;S474)+COUNTIFS($S$31:S474,S474)-1)</f>
        <v/>
      </c>
    </row>
    <row r="475" hidden="1" ht="16.5" customHeight="1">
      <c r="A475">
        <f>IF(COUNTA('05_KAPA'!$A446:$AO446)=0,"",448)</f>
        <v/>
      </c>
      <c r="B475">
        <f>IF($A475="","",INDEX('05_KAPA'!$B:$B,$A475))</f>
        <v/>
      </c>
      <c r="C475">
        <f>IF($A475="","",INDEX('05_KAPA'!$F:$F,$A475))</f>
        <v/>
      </c>
      <c r="D475">
        <f>IF($A475="","",INDEX('05_KAPA'!$H:$H,$A475))</f>
        <v/>
      </c>
      <c r="E475">
        <f>IF($A475="","",INDEX('05_KAPA'!$K:$K,$A475))</f>
        <v/>
      </c>
      <c r="F475">
        <f>IF($A475="","",INDEX('05_KAPA'!$L:$L,$A475))</f>
        <v/>
      </c>
      <c r="G475">
        <f>IF($A475="","",INDEX('05_KAPA'!$I:$I,$A475))</f>
        <v/>
      </c>
      <c r="H475" s="202">
        <f>IF($A475="","",INDEX('05_KAPA'!$P:$P,$A475))</f>
        <v/>
      </c>
      <c r="I475" s="118">
        <f>IF($A475="","",INDEX('05_KAPA'!$O:$O,$A475))</f>
        <v/>
      </c>
      <c r="J475" s="202">
        <f>IF($A475="","",IFERROR(DATE(LEFT(TEXT(INDEX('05_KAPA'!$T:$T,$A475),"0"),4),MID(TEXT(INDEX('05_KAPA'!$T:$T,$A475),"0"),5,2),RIGHT(TEXT(INDEX('05_KAPA'!$T:$T,$A475),"0"),2)),""))</f>
        <v/>
      </c>
      <c r="K475">
        <f>IF(C475="","",IF('02_대상물건입력'!$B$5="",1,IF(ISNUMBER(SEARCH('02_대상물건입력'!$B$5,C475)),1,0)))</f>
        <v/>
      </c>
      <c r="L475">
        <f>IF(C475="","",IF('02_대상물건입력'!$B$6="",1,IF(ISNUMBER(SEARCH('02_대상물건입력'!$B$6,C475)),1,0)))</f>
        <v/>
      </c>
      <c r="M475">
        <f>IF(E475="","",IF('02_대상물건입력'!$B$8="",0,IF(ISNUMBER(SEARCH('02_대상물건입력'!$B$8,E475)),1,0)))</f>
        <v/>
      </c>
      <c r="N475">
        <f>IF(B475="","",IF(B475="담보",1,0))</f>
        <v/>
      </c>
      <c r="O475">
        <f>IFERROR(ABS(G475-'02_대상물건입력'!$B$11)/'02_대상물건입력'!$B$11,"")</f>
        <v/>
      </c>
      <c r="P475">
        <f>IFERROR(ABS('01_설정'!$B$4-H475),"")</f>
        <v/>
      </c>
      <c r="Q475">
        <f>IFERROR(ABS(YEAR(J475)-YEAR('02_대상물건입력'!$B$14)),"")</f>
        <v/>
      </c>
      <c r="R475">
        <f>IF(AND(G475&gt;0,H475&gt;0,I475&gt;0,N475=1,IF('01_설정'!$B$10=1,K475=1,TRUE()),O475&lt;='01_설정'!$B$5,P475&lt;='01_설정'!$B$7,Q475&lt;='01_설정'!$B$8),"Y","")</f>
        <v/>
      </c>
      <c r="S475">
        <f>IF(R475&lt;&gt;"Y","",MAX(0,(1-O475/'01_설정'!$B$5))*'01_설정'!$B$14+MAX(0,(1-P475/'01_설정'!$B$7))*'01_설정'!$B$16+MAX(0,(1-Q475/'01_설정'!$B$8))*'01_설정'!$B$17+L475*'01_설정'!$B$11+M475*'01_설정'!$B$12+N475*50)</f>
        <v/>
      </c>
      <c r="T475">
        <f>IF(S475="","",1+COUNTIFS($S$31:$S$1030,"&gt;"&amp;S475)+COUNTIFS($S$31:S475,S475)-1)</f>
        <v/>
      </c>
    </row>
    <row r="476" hidden="1" ht="16.5" customHeight="1">
      <c r="A476">
        <f>IF(COUNTA('05_KAPA'!$A447:$AO447)=0,"",449)</f>
        <v/>
      </c>
      <c r="B476">
        <f>IF($A476="","",INDEX('05_KAPA'!$B:$B,$A476))</f>
        <v/>
      </c>
      <c r="C476">
        <f>IF($A476="","",INDEX('05_KAPA'!$F:$F,$A476))</f>
        <v/>
      </c>
      <c r="D476">
        <f>IF($A476="","",INDEX('05_KAPA'!$H:$H,$A476))</f>
        <v/>
      </c>
      <c r="E476">
        <f>IF($A476="","",INDEX('05_KAPA'!$K:$K,$A476))</f>
        <v/>
      </c>
      <c r="F476">
        <f>IF($A476="","",INDEX('05_KAPA'!$L:$L,$A476))</f>
        <v/>
      </c>
      <c r="G476">
        <f>IF($A476="","",INDEX('05_KAPA'!$I:$I,$A476))</f>
        <v/>
      </c>
      <c r="H476" s="202">
        <f>IF($A476="","",INDEX('05_KAPA'!$P:$P,$A476))</f>
        <v/>
      </c>
      <c r="I476" s="118">
        <f>IF($A476="","",INDEX('05_KAPA'!$O:$O,$A476))</f>
        <v/>
      </c>
      <c r="J476" s="202">
        <f>IF($A476="","",IFERROR(DATE(LEFT(TEXT(INDEX('05_KAPA'!$T:$T,$A476),"0"),4),MID(TEXT(INDEX('05_KAPA'!$T:$T,$A476),"0"),5,2),RIGHT(TEXT(INDEX('05_KAPA'!$T:$T,$A476),"0"),2)),""))</f>
        <v/>
      </c>
      <c r="K476">
        <f>IF(C476="","",IF('02_대상물건입력'!$B$5="",1,IF(ISNUMBER(SEARCH('02_대상물건입력'!$B$5,C476)),1,0)))</f>
        <v/>
      </c>
      <c r="L476">
        <f>IF(C476="","",IF('02_대상물건입력'!$B$6="",1,IF(ISNUMBER(SEARCH('02_대상물건입력'!$B$6,C476)),1,0)))</f>
        <v/>
      </c>
      <c r="M476">
        <f>IF(E476="","",IF('02_대상물건입력'!$B$8="",0,IF(ISNUMBER(SEARCH('02_대상물건입력'!$B$8,E476)),1,0)))</f>
        <v/>
      </c>
      <c r="N476">
        <f>IF(B476="","",IF(B476="담보",1,0))</f>
        <v/>
      </c>
      <c r="O476">
        <f>IFERROR(ABS(G476-'02_대상물건입력'!$B$11)/'02_대상물건입력'!$B$11,"")</f>
        <v/>
      </c>
      <c r="P476">
        <f>IFERROR(ABS('01_설정'!$B$4-H476),"")</f>
        <v/>
      </c>
      <c r="Q476">
        <f>IFERROR(ABS(YEAR(J476)-YEAR('02_대상물건입력'!$B$14)),"")</f>
        <v/>
      </c>
      <c r="R476">
        <f>IF(AND(G476&gt;0,H476&gt;0,I476&gt;0,N476=1,IF('01_설정'!$B$10=1,K476=1,TRUE()),O476&lt;='01_설정'!$B$5,P476&lt;='01_설정'!$B$7,Q476&lt;='01_설정'!$B$8),"Y","")</f>
        <v/>
      </c>
      <c r="S476">
        <f>IF(R476&lt;&gt;"Y","",MAX(0,(1-O476/'01_설정'!$B$5))*'01_설정'!$B$14+MAX(0,(1-P476/'01_설정'!$B$7))*'01_설정'!$B$16+MAX(0,(1-Q476/'01_설정'!$B$8))*'01_설정'!$B$17+L476*'01_설정'!$B$11+M476*'01_설정'!$B$12+N476*50)</f>
        <v/>
      </c>
      <c r="T476">
        <f>IF(S476="","",1+COUNTIFS($S$31:$S$1030,"&gt;"&amp;S476)+COUNTIFS($S$31:S476,S476)-1)</f>
        <v/>
      </c>
    </row>
    <row r="477" hidden="1" ht="16.5" customHeight="1">
      <c r="A477">
        <f>IF(COUNTA('05_KAPA'!$A448:$AO448)=0,"",450)</f>
        <v/>
      </c>
      <c r="B477">
        <f>IF($A477="","",INDEX('05_KAPA'!$B:$B,$A477))</f>
        <v/>
      </c>
      <c r="C477">
        <f>IF($A477="","",INDEX('05_KAPA'!$F:$F,$A477))</f>
        <v/>
      </c>
      <c r="D477">
        <f>IF($A477="","",INDEX('05_KAPA'!$H:$H,$A477))</f>
        <v/>
      </c>
      <c r="E477">
        <f>IF($A477="","",INDEX('05_KAPA'!$K:$K,$A477))</f>
        <v/>
      </c>
      <c r="F477">
        <f>IF($A477="","",INDEX('05_KAPA'!$L:$L,$A477))</f>
        <v/>
      </c>
      <c r="G477">
        <f>IF($A477="","",INDEX('05_KAPA'!$I:$I,$A477))</f>
        <v/>
      </c>
      <c r="H477" s="202">
        <f>IF($A477="","",INDEX('05_KAPA'!$P:$P,$A477))</f>
        <v/>
      </c>
      <c r="I477" s="118">
        <f>IF($A477="","",INDEX('05_KAPA'!$O:$O,$A477))</f>
        <v/>
      </c>
      <c r="J477" s="202">
        <f>IF($A477="","",IFERROR(DATE(LEFT(TEXT(INDEX('05_KAPA'!$T:$T,$A477),"0"),4),MID(TEXT(INDEX('05_KAPA'!$T:$T,$A477),"0"),5,2),RIGHT(TEXT(INDEX('05_KAPA'!$T:$T,$A477),"0"),2)),""))</f>
        <v/>
      </c>
      <c r="K477">
        <f>IF(C477="","",IF('02_대상물건입력'!$B$5="",1,IF(ISNUMBER(SEARCH('02_대상물건입력'!$B$5,C477)),1,0)))</f>
        <v/>
      </c>
      <c r="L477">
        <f>IF(C477="","",IF('02_대상물건입력'!$B$6="",1,IF(ISNUMBER(SEARCH('02_대상물건입력'!$B$6,C477)),1,0)))</f>
        <v/>
      </c>
      <c r="M477">
        <f>IF(E477="","",IF('02_대상물건입력'!$B$8="",0,IF(ISNUMBER(SEARCH('02_대상물건입력'!$B$8,E477)),1,0)))</f>
        <v/>
      </c>
      <c r="N477">
        <f>IF(B477="","",IF(B477="담보",1,0))</f>
        <v/>
      </c>
      <c r="O477">
        <f>IFERROR(ABS(G477-'02_대상물건입력'!$B$11)/'02_대상물건입력'!$B$11,"")</f>
        <v/>
      </c>
      <c r="P477">
        <f>IFERROR(ABS('01_설정'!$B$4-H477),"")</f>
        <v/>
      </c>
      <c r="Q477">
        <f>IFERROR(ABS(YEAR(J477)-YEAR('02_대상물건입력'!$B$14)),"")</f>
        <v/>
      </c>
      <c r="R477">
        <f>IF(AND(G477&gt;0,H477&gt;0,I477&gt;0,N477=1,IF('01_설정'!$B$10=1,K477=1,TRUE()),O477&lt;='01_설정'!$B$5,P477&lt;='01_설정'!$B$7,Q477&lt;='01_설정'!$B$8),"Y","")</f>
        <v/>
      </c>
      <c r="S477">
        <f>IF(R477&lt;&gt;"Y","",MAX(0,(1-O477/'01_설정'!$B$5))*'01_설정'!$B$14+MAX(0,(1-P477/'01_설정'!$B$7))*'01_설정'!$B$16+MAX(0,(1-Q477/'01_설정'!$B$8))*'01_설정'!$B$17+L477*'01_설정'!$B$11+M477*'01_설정'!$B$12+N477*50)</f>
        <v/>
      </c>
      <c r="T477">
        <f>IF(S477="","",1+COUNTIFS($S$31:$S$1030,"&gt;"&amp;S477)+COUNTIFS($S$31:S477,S477)-1)</f>
        <v/>
      </c>
    </row>
    <row r="478" hidden="1" ht="16.5" customHeight="1">
      <c r="A478">
        <f>IF(COUNTA('05_KAPA'!$A449:$AO449)=0,"",451)</f>
        <v/>
      </c>
      <c r="B478">
        <f>IF($A478="","",INDEX('05_KAPA'!$B:$B,$A478))</f>
        <v/>
      </c>
      <c r="C478">
        <f>IF($A478="","",INDEX('05_KAPA'!$F:$F,$A478))</f>
        <v/>
      </c>
      <c r="D478">
        <f>IF($A478="","",INDEX('05_KAPA'!$H:$H,$A478))</f>
        <v/>
      </c>
      <c r="E478">
        <f>IF($A478="","",INDEX('05_KAPA'!$K:$K,$A478))</f>
        <v/>
      </c>
      <c r="F478">
        <f>IF($A478="","",INDEX('05_KAPA'!$L:$L,$A478))</f>
        <v/>
      </c>
      <c r="G478">
        <f>IF($A478="","",INDEX('05_KAPA'!$I:$I,$A478))</f>
        <v/>
      </c>
      <c r="H478" s="202">
        <f>IF($A478="","",INDEX('05_KAPA'!$P:$P,$A478))</f>
        <v/>
      </c>
      <c r="I478" s="118">
        <f>IF($A478="","",INDEX('05_KAPA'!$O:$O,$A478))</f>
        <v/>
      </c>
      <c r="J478" s="202">
        <f>IF($A478="","",IFERROR(DATE(LEFT(TEXT(INDEX('05_KAPA'!$T:$T,$A478),"0"),4),MID(TEXT(INDEX('05_KAPA'!$T:$T,$A478),"0"),5,2),RIGHT(TEXT(INDEX('05_KAPA'!$T:$T,$A478),"0"),2)),""))</f>
        <v/>
      </c>
      <c r="K478">
        <f>IF(C478="","",IF('02_대상물건입력'!$B$5="",1,IF(ISNUMBER(SEARCH('02_대상물건입력'!$B$5,C478)),1,0)))</f>
        <v/>
      </c>
      <c r="L478">
        <f>IF(C478="","",IF('02_대상물건입력'!$B$6="",1,IF(ISNUMBER(SEARCH('02_대상물건입력'!$B$6,C478)),1,0)))</f>
        <v/>
      </c>
      <c r="M478">
        <f>IF(E478="","",IF('02_대상물건입력'!$B$8="",0,IF(ISNUMBER(SEARCH('02_대상물건입력'!$B$8,E478)),1,0)))</f>
        <v/>
      </c>
      <c r="N478">
        <f>IF(B478="","",IF(B478="담보",1,0))</f>
        <v/>
      </c>
      <c r="O478">
        <f>IFERROR(ABS(G478-'02_대상물건입력'!$B$11)/'02_대상물건입력'!$B$11,"")</f>
        <v/>
      </c>
      <c r="P478">
        <f>IFERROR(ABS('01_설정'!$B$4-H478),"")</f>
        <v/>
      </c>
      <c r="Q478">
        <f>IFERROR(ABS(YEAR(J478)-YEAR('02_대상물건입력'!$B$14)),"")</f>
        <v/>
      </c>
      <c r="R478">
        <f>IF(AND(G478&gt;0,H478&gt;0,I478&gt;0,N478=1,IF('01_설정'!$B$10=1,K478=1,TRUE()),O478&lt;='01_설정'!$B$5,P478&lt;='01_설정'!$B$7,Q478&lt;='01_설정'!$B$8),"Y","")</f>
        <v/>
      </c>
      <c r="S478">
        <f>IF(R478&lt;&gt;"Y","",MAX(0,(1-O478/'01_설정'!$B$5))*'01_설정'!$B$14+MAX(0,(1-P478/'01_설정'!$B$7))*'01_설정'!$B$16+MAX(0,(1-Q478/'01_설정'!$B$8))*'01_설정'!$B$17+L478*'01_설정'!$B$11+M478*'01_설정'!$B$12+N478*50)</f>
        <v/>
      </c>
      <c r="T478">
        <f>IF(S478="","",1+COUNTIFS($S$31:$S$1030,"&gt;"&amp;S478)+COUNTIFS($S$31:S478,S478)-1)</f>
        <v/>
      </c>
    </row>
    <row r="479" hidden="1" ht="16.5" customHeight="1">
      <c r="A479">
        <f>IF(COUNTA('05_KAPA'!$A450:$AO450)=0,"",452)</f>
        <v/>
      </c>
      <c r="B479">
        <f>IF($A479="","",INDEX('05_KAPA'!$B:$B,$A479))</f>
        <v/>
      </c>
      <c r="C479">
        <f>IF($A479="","",INDEX('05_KAPA'!$F:$F,$A479))</f>
        <v/>
      </c>
      <c r="D479">
        <f>IF($A479="","",INDEX('05_KAPA'!$H:$H,$A479))</f>
        <v/>
      </c>
      <c r="E479">
        <f>IF($A479="","",INDEX('05_KAPA'!$K:$K,$A479))</f>
        <v/>
      </c>
      <c r="F479">
        <f>IF($A479="","",INDEX('05_KAPA'!$L:$L,$A479))</f>
        <v/>
      </c>
      <c r="G479">
        <f>IF($A479="","",INDEX('05_KAPA'!$I:$I,$A479))</f>
        <v/>
      </c>
      <c r="H479" s="202">
        <f>IF($A479="","",INDEX('05_KAPA'!$P:$P,$A479))</f>
        <v/>
      </c>
      <c r="I479" s="118">
        <f>IF($A479="","",INDEX('05_KAPA'!$O:$O,$A479))</f>
        <v/>
      </c>
      <c r="J479" s="202">
        <f>IF($A479="","",IFERROR(DATE(LEFT(TEXT(INDEX('05_KAPA'!$T:$T,$A479),"0"),4),MID(TEXT(INDEX('05_KAPA'!$T:$T,$A479),"0"),5,2),RIGHT(TEXT(INDEX('05_KAPA'!$T:$T,$A479),"0"),2)),""))</f>
        <v/>
      </c>
      <c r="K479">
        <f>IF(C479="","",IF('02_대상물건입력'!$B$5="",1,IF(ISNUMBER(SEARCH('02_대상물건입력'!$B$5,C479)),1,0)))</f>
        <v/>
      </c>
      <c r="L479">
        <f>IF(C479="","",IF('02_대상물건입력'!$B$6="",1,IF(ISNUMBER(SEARCH('02_대상물건입력'!$B$6,C479)),1,0)))</f>
        <v/>
      </c>
      <c r="M479">
        <f>IF(E479="","",IF('02_대상물건입력'!$B$8="",0,IF(ISNUMBER(SEARCH('02_대상물건입력'!$B$8,E479)),1,0)))</f>
        <v/>
      </c>
      <c r="N479">
        <f>IF(B479="","",IF(B479="담보",1,0))</f>
        <v/>
      </c>
      <c r="O479">
        <f>IFERROR(ABS(G479-'02_대상물건입력'!$B$11)/'02_대상물건입력'!$B$11,"")</f>
        <v/>
      </c>
      <c r="P479">
        <f>IFERROR(ABS('01_설정'!$B$4-H479),"")</f>
        <v/>
      </c>
      <c r="Q479">
        <f>IFERROR(ABS(YEAR(J479)-YEAR('02_대상물건입력'!$B$14)),"")</f>
        <v/>
      </c>
      <c r="R479">
        <f>IF(AND(G479&gt;0,H479&gt;0,I479&gt;0,N479=1,IF('01_설정'!$B$10=1,K479=1,TRUE()),O479&lt;='01_설정'!$B$5,P479&lt;='01_설정'!$B$7,Q479&lt;='01_설정'!$B$8),"Y","")</f>
        <v/>
      </c>
      <c r="S479">
        <f>IF(R479&lt;&gt;"Y","",MAX(0,(1-O479/'01_설정'!$B$5))*'01_설정'!$B$14+MAX(0,(1-P479/'01_설정'!$B$7))*'01_설정'!$B$16+MAX(0,(1-Q479/'01_설정'!$B$8))*'01_설정'!$B$17+L479*'01_설정'!$B$11+M479*'01_설정'!$B$12+N479*50)</f>
        <v/>
      </c>
      <c r="T479">
        <f>IF(S479="","",1+COUNTIFS($S$31:$S$1030,"&gt;"&amp;S479)+COUNTIFS($S$31:S479,S479)-1)</f>
        <v/>
      </c>
    </row>
    <row r="480" hidden="1" ht="16.5" customHeight="1">
      <c r="A480">
        <f>IF(COUNTA('05_KAPA'!$A451:$AO451)=0,"",453)</f>
        <v/>
      </c>
      <c r="B480">
        <f>IF($A480="","",INDEX('05_KAPA'!$B:$B,$A480))</f>
        <v/>
      </c>
      <c r="C480">
        <f>IF($A480="","",INDEX('05_KAPA'!$F:$F,$A480))</f>
        <v/>
      </c>
      <c r="D480">
        <f>IF($A480="","",INDEX('05_KAPA'!$H:$H,$A480))</f>
        <v/>
      </c>
      <c r="E480">
        <f>IF($A480="","",INDEX('05_KAPA'!$K:$K,$A480))</f>
        <v/>
      </c>
      <c r="F480">
        <f>IF($A480="","",INDEX('05_KAPA'!$L:$L,$A480))</f>
        <v/>
      </c>
      <c r="G480">
        <f>IF($A480="","",INDEX('05_KAPA'!$I:$I,$A480))</f>
        <v/>
      </c>
      <c r="H480" s="202">
        <f>IF($A480="","",INDEX('05_KAPA'!$P:$P,$A480))</f>
        <v/>
      </c>
      <c r="I480" s="118">
        <f>IF($A480="","",INDEX('05_KAPA'!$O:$O,$A480))</f>
        <v/>
      </c>
      <c r="J480" s="202">
        <f>IF($A480="","",IFERROR(DATE(LEFT(TEXT(INDEX('05_KAPA'!$T:$T,$A480),"0"),4),MID(TEXT(INDEX('05_KAPA'!$T:$T,$A480),"0"),5,2),RIGHT(TEXT(INDEX('05_KAPA'!$T:$T,$A480),"0"),2)),""))</f>
        <v/>
      </c>
      <c r="K480">
        <f>IF(C480="","",IF('02_대상물건입력'!$B$5="",1,IF(ISNUMBER(SEARCH('02_대상물건입력'!$B$5,C480)),1,0)))</f>
        <v/>
      </c>
      <c r="L480">
        <f>IF(C480="","",IF('02_대상물건입력'!$B$6="",1,IF(ISNUMBER(SEARCH('02_대상물건입력'!$B$6,C480)),1,0)))</f>
        <v/>
      </c>
      <c r="M480">
        <f>IF(E480="","",IF('02_대상물건입력'!$B$8="",0,IF(ISNUMBER(SEARCH('02_대상물건입력'!$B$8,E480)),1,0)))</f>
        <v/>
      </c>
      <c r="N480">
        <f>IF(B480="","",IF(B480="담보",1,0))</f>
        <v/>
      </c>
      <c r="O480">
        <f>IFERROR(ABS(G480-'02_대상물건입력'!$B$11)/'02_대상물건입력'!$B$11,"")</f>
        <v/>
      </c>
      <c r="P480">
        <f>IFERROR(ABS('01_설정'!$B$4-H480),"")</f>
        <v/>
      </c>
      <c r="Q480">
        <f>IFERROR(ABS(YEAR(J480)-YEAR('02_대상물건입력'!$B$14)),"")</f>
        <v/>
      </c>
      <c r="R480">
        <f>IF(AND(G480&gt;0,H480&gt;0,I480&gt;0,N480=1,IF('01_설정'!$B$10=1,K480=1,TRUE()),O480&lt;='01_설정'!$B$5,P480&lt;='01_설정'!$B$7,Q480&lt;='01_설정'!$B$8),"Y","")</f>
        <v/>
      </c>
      <c r="S480">
        <f>IF(R480&lt;&gt;"Y","",MAX(0,(1-O480/'01_설정'!$B$5))*'01_설정'!$B$14+MAX(0,(1-P480/'01_설정'!$B$7))*'01_설정'!$B$16+MAX(0,(1-Q480/'01_설정'!$B$8))*'01_설정'!$B$17+L480*'01_설정'!$B$11+M480*'01_설정'!$B$12+N480*50)</f>
        <v/>
      </c>
      <c r="T480">
        <f>IF(S480="","",1+COUNTIFS($S$31:$S$1030,"&gt;"&amp;S480)+COUNTIFS($S$31:S480,S480)-1)</f>
        <v/>
      </c>
    </row>
    <row r="481" hidden="1" ht="16.5" customHeight="1">
      <c r="A481">
        <f>IF(COUNTA('05_KAPA'!$A452:$AO452)=0,"",454)</f>
        <v/>
      </c>
      <c r="B481">
        <f>IF($A481="","",INDEX('05_KAPA'!$B:$B,$A481))</f>
        <v/>
      </c>
      <c r="C481">
        <f>IF($A481="","",INDEX('05_KAPA'!$F:$F,$A481))</f>
        <v/>
      </c>
      <c r="D481">
        <f>IF($A481="","",INDEX('05_KAPA'!$H:$H,$A481))</f>
        <v/>
      </c>
      <c r="E481">
        <f>IF($A481="","",INDEX('05_KAPA'!$K:$K,$A481))</f>
        <v/>
      </c>
      <c r="F481">
        <f>IF($A481="","",INDEX('05_KAPA'!$L:$L,$A481))</f>
        <v/>
      </c>
      <c r="G481">
        <f>IF($A481="","",INDEX('05_KAPA'!$I:$I,$A481))</f>
        <v/>
      </c>
      <c r="H481" s="202">
        <f>IF($A481="","",INDEX('05_KAPA'!$P:$P,$A481))</f>
        <v/>
      </c>
      <c r="I481" s="118">
        <f>IF($A481="","",INDEX('05_KAPA'!$O:$O,$A481))</f>
        <v/>
      </c>
      <c r="J481" s="202">
        <f>IF($A481="","",IFERROR(DATE(LEFT(TEXT(INDEX('05_KAPA'!$T:$T,$A481),"0"),4),MID(TEXT(INDEX('05_KAPA'!$T:$T,$A481),"0"),5,2),RIGHT(TEXT(INDEX('05_KAPA'!$T:$T,$A481),"0"),2)),""))</f>
        <v/>
      </c>
      <c r="K481">
        <f>IF(C481="","",IF('02_대상물건입력'!$B$5="",1,IF(ISNUMBER(SEARCH('02_대상물건입력'!$B$5,C481)),1,0)))</f>
        <v/>
      </c>
      <c r="L481">
        <f>IF(C481="","",IF('02_대상물건입력'!$B$6="",1,IF(ISNUMBER(SEARCH('02_대상물건입력'!$B$6,C481)),1,0)))</f>
        <v/>
      </c>
      <c r="M481">
        <f>IF(E481="","",IF('02_대상물건입력'!$B$8="",0,IF(ISNUMBER(SEARCH('02_대상물건입력'!$B$8,E481)),1,0)))</f>
        <v/>
      </c>
      <c r="N481">
        <f>IF(B481="","",IF(B481="담보",1,0))</f>
        <v/>
      </c>
      <c r="O481">
        <f>IFERROR(ABS(G481-'02_대상물건입력'!$B$11)/'02_대상물건입력'!$B$11,"")</f>
        <v/>
      </c>
      <c r="P481">
        <f>IFERROR(ABS('01_설정'!$B$4-H481),"")</f>
        <v/>
      </c>
      <c r="Q481">
        <f>IFERROR(ABS(YEAR(J481)-YEAR('02_대상물건입력'!$B$14)),"")</f>
        <v/>
      </c>
      <c r="R481">
        <f>IF(AND(G481&gt;0,H481&gt;0,I481&gt;0,N481=1,IF('01_설정'!$B$10=1,K481=1,TRUE()),O481&lt;='01_설정'!$B$5,P481&lt;='01_설정'!$B$7,Q481&lt;='01_설정'!$B$8),"Y","")</f>
        <v/>
      </c>
      <c r="S481">
        <f>IF(R481&lt;&gt;"Y","",MAX(0,(1-O481/'01_설정'!$B$5))*'01_설정'!$B$14+MAX(0,(1-P481/'01_설정'!$B$7))*'01_설정'!$B$16+MAX(0,(1-Q481/'01_설정'!$B$8))*'01_설정'!$B$17+L481*'01_설정'!$B$11+M481*'01_설정'!$B$12+N481*50)</f>
        <v/>
      </c>
      <c r="T481">
        <f>IF(S481="","",1+COUNTIFS($S$31:$S$1030,"&gt;"&amp;S481)+COUNTIFS($S$31:S481,S481)-1)</f>
        <v/>
      </c>
    </row>
    <row r="482" hidden="1" ht="16.5" customHeight="1">
      <c r="A482">
        <f>IF(COUNTA('05_KAPA'!$A453:$AO453)=0,"",455)</f>
        <v/>
      </c>
      <c r="B482">
        <f>IF($A482="","",INDEX('05_KAPA'!$B:$B,$A482))</f>
        <v/>
      </c>
      <c r="C482">
        <f>IF($A482="","",INDEX('05_KAPA'!$F:$F,$A482))</f>
        <v/>
      </c>
      <c r="D482">
        <f>IF($A482="","",INDEX('05_KAPA'!$H:$H,$A482))</f>
        <v/>
      </c>
      <c r="E482">
        <f>IF($A482="","",INDEX('05_KAPA'!$K:$K,$A482))</f>
        <v/>
      </c>
      <c r="F482">
        <f>IF($A482="","",INDEX('05_KAPA'!$L:$L,$A482))</f>
        <v/>
      </c>
      <c r="G482">
        <f>IF($A482="","",INDEX('05_KAPA'!$I:$I,$A482))</f>
        <v/>
      </c>
      <c r="H482" s="202">
        <f>IF($A482="","",INDEX('05_KAPA'!$P:$P,$A482))</f>
        <v/>
      </c>
      <c r="I482" s="118">
        <f>IF($A482="","",INDEX('05_KAPA'!$O:$O,$A482))</f>
        <v/>
      </c>
      <c r="J482" s="202">
        <f>IF($A482="","",IFERROR(DATE(LEFT(TEXT(INDEX('05_KAPA'!$T:$T,$A482),"0"),4),MID(TEXT(INDEX('05_KAPA'!$T:$T,$A482),"0"),5,2),RIGHT(TEXT(INDEX('05_KAPA'!$T:$T,$A482),"0"),2)),""))</f>
        <v/>
      </c>
      <c r="K482">
        <f>IF(C482="","",IF('02_대상물건입력'!$B$5="",1,IF(ISNUMBER(SEARCH('02_대상물건입력'!$B$5,C482)),1,0)))</f>
        <v/>
      </c>
      <c r="L482">
        <f>IF(C482="","",IF('02_대상물건입력'!$B$6="",1,IF(ISNUMBER(SEARCH('02_대상물건입력'!$B$6,C482)),1,0)))</f>
        <v/>
      </c>
      <c r="M482">
        <f>IF(E482="","",IF('02_대상물건입력'!$B$8="",0,IF(ISNUMBER(SEARCH('02_대상물건입력'!$B$8,E482)),1,0)))</f>
        <v/>
      </c>
      <c r="N482">
        <f>IF(B482="","",IF(B482="담보",1,0))</f>
        <v/>
      </c>
      <c r="O482">
        <f>IFERROR(ABS(G482-'02_대상물건입력'!$B$11)/'02_대상물건입력'!$B$11,"")</f>
        <v/>
      </c>
      <c r="P482">
        <f>IFERROR(ABS('01_설정'!$B$4-H482),"")</f>
        <v/>
      </c>
      <c r="Q482">
        <f>IFERROR(ABS(YEAR(J482)-YEAR('02_대상물건입력'!$B$14)),"")</f>
        <v/>
      </c>
      <c r="R482">
        <f>IF(AND(G482&gt;0,H482&gt;0,I482&gt;0,N482=1,IF('01_설정'!$B$10=1,K482=1,TRUE()),O482&lt;='01_설정'!$B$5,P482&lt;='01_설정'!$B$7,Q482&lt;='01_설정'!$B$8),"Y","")</f>
        <v/>
      </c>
      <c r="S482">
        <f>IF(R482&lt;&gt;"Y","",MAX(0,(1-O482/'01_설정'!$B$5))*'01_설정'!$B$14+MAX(0,(1-P482/'01_설정'!$B$7))*'01_설정'!$B$16+MAX(0,(1-Q482/'01_설정'!$B$8))*'01_설정'!$B$17+L482*'01_설정'!$B$11+M482*'01_설정'!$B$12+N482*50)</f>
        <v/>
      </c>
      <c r="T482">
        <f>IF(S482="","",1+COUNTIFS($S$31:$S$1030,"&gt;"&amp;S482)+COUNTIFS($S$31:S482,S482)-1)</f>
        <v/>
      </c>
    </row>
    <row r="483" hidden="1" ht="16.5" customHeight="1">
      <c r="A483">
        <f>IF(COUNTA('05_KAPA'!$A454:$AO454)=0,"",456)</f>
        <v/>
      </c>
      <c r="B483">
        <f>IF($A483="","",INDEX('05_KAPA'!$B:$B,$A483))</f>
        <v/>
      </c>
      <c r="C483">
        <f>IF($A483="","",INDEX('05_KAPA'!$F:$F,$A483))</f>
        <v/>
      </c>
      <c r="D483">
        <f>IF($A483="","",INDEX('05_KAPA'!$H:$H,$A483))</f>
        <v/>
      </c>
      <c r="E483">
        <f>IF($A483="","",INDEX('05_KAPA'!$K:$K,$A483))</f>
        <v/>
      </c>
      <c r="F483">
        <f>IF($A483="","",INDEX('05_KAPA'!$L:$L,$A483))</f>
        <v/>
      </c>
      <c r="G483">
        <f>IF($A483="","",INDEX('05_KAPA'!$I:$I,$A483))</f>
        <v/>
      </c>
      <c r="H483" s="202">
        <f>IF($A483="","",INDEX('05_KAPA'!$P:$P,$A483))</f>
        <v/>
      </c>
      <c r="I483" s="118">
        <f>IF($A483="","",INDEX('05_KAPA'!$O:$O,$A483))</f>
        <v/>
      </c>
      <c r="J483" s="202">
        <f>IF($A483="","",IFERROR(DATE(LEFT(TEXT(INDEX('05_KAPA'!$T:$T,$A483),"0"),4),MID(TEXT(INDEX('05_KAPA'!$T:$T,$A483),"0"),5,2),RIGHT(TEXT(INDEX('05_KAPA'!$T:$T,$A483),"0"),2)),""))</f>
        <v/>
      </c>
      <c r="K483">
        <f>IF(C483="","",IF('02_대상물건입력'!$B$5="",1,IF(ISNUMBER(SEARCH('02_대상물건입력'!$B$5,C483)),1,0)))</f>
        <v/>
      </c>
      <c r="L483">
        <f>IF(C483="","",IF('02_대상물건입력'!$B$6="",1,IF(ISNUMBER(SEARCH('02_대상물건입력'!$B$6,C483)),1,0)))</f>
        <v/>
      </c>
      <c r="M483">
        <f>IF(E483="","",IF('02_대상물건입력'!$B$8="",0,IF(ISNUMBER(SEARCH('02_대상물건입력'!$B$8,E483)),1,0)))</f>
        <v/>
      </c>
      <c r="N483">
        <f>IF(B483="","",IF(B483="담보",1,0))</f>
        <v/>
      </c>
      <c r="O483">
        <f>IFERROR(ABS(G483-'02_대상물건입력'!$B$11)/'02_대상물건입력'!$B$11,"")</f>
        <v/>
      </c>
      <c r="P483">
        <f>IFERROR(ABS('01_설정'!$B$4-H483),"")</f>
        <v/>
      </c>
      <c r="Q483">
        <f>IFERROR(ABS(YEAR(J483)-YEAR('02_대상물건입력'!$B$14)),"")</f>
        <v/>
      </c>
      <c r="R483">
        <f>IF(AND(G483&gt;0,H483&gt;0,I483&gt;0,N483=1,IF('01_설정'!$B$10=1,K483=1,TRUE()),O483&lt;='01_설정'!$B$5,P483&lt;='01_설정'!$B$7,Q483&lt;='01_설정'!$B$8),"Y","")</f>
        <v/>
      </c>
      <c r="S483">
        <f>IF(R483&lt;&gt;"Y","",MAX(0,(1-O483/'01_설정'!$B$5))*'01_설정'!$B$14+MAX(0,(1-P483/'01_설정'!$B$7))*'01_설정'!$B$16+MAX(0,(1-Q483/'01_설정'!$B$8))*'01_설정'!$B$17+L483*'01_설정'!$B$11+M483*'01_설정'!$B$12+N483*50)</f>
        <v/>
      </c>
      <c r="T483">
        <f>IF(S483="","",1+COUNTIFS($S$31:$S$1030,"&gt;"&amp;S483)+COUNTIFS($S$31:S483,S483)-1)</f>
        <v/>
      </c>
    </row>
    <row r="484" hidden="1" ht="16.5" customHeight="1">
      <c r="A484">
        <f>IF(COUNTA('05_KAPA'!$A455:$AO455)=0,"",457)</f>
        <v/>
      </c>
      <c r="B484">
        <f>IF($A484="","",INDEX('05_KAPA'!$B:$B,$A484))</f>
        <v/>
      </c>
      <c r="C484">
        <f>IF($A484="","",INDEX('05_KAPA'!$F:$F,$A484))</f>
        <v/>
      </c>
      <c r="D484">
        <f>IF($A484="","",INDEX('05_KAPA'!$H:$H,$A484))</f>
        <v/>
      </c>
      <c r="E484">
        <f>IF($A484="","",INDEX('05_KAPA'!$K:$K,$A484))</f>
        <v/>
      </c>
      <c r="F484">
        <f>IF($A484="","",INDEX('05_KAPA'!$L:$L,$A484))</f>
        <v/>
      </c>
      <c r="G484">
        <f>IF($A484="","",INDEX('05_KAPA'!$I:$I,$A484))</f>
        <v/>
      </c>
      <c r="H484" s="202">
        <f>IF($A484="","",INDEX('05_KAPA'!$P:$P,$A484))</f>
        <v/>
      </c>
      <c r="I484" s="118">
        <f>IF($A484="","",INDEX('05_KAPA'!$O:$O,$A484))</f>
        <v/>
      </c>
      <c r="J484" s="202">
        <f>IF($A484="","",IFERROR(DATE(LEFT(TEXT(INDEX('05_KAPA'!$T:$T,$A484),"0"),4),MID(TEXT(INDEX('05_KAPA'!$T:$T,$A484),"0"),5,2),RIGHT(TEXT(INDEX('05_KAPA'!$T:$T,$A484),"0"),2)),""))</f>
        <v/>
      </c>
      <c r="K484">
        <f>IF(C484="","",IF('02_대상물건입력'!$B$5="",1,IF(ISNUMBER(SEARCH('02_대상물건입력'!$B$5,C484)),1,0)))</f>
        <v/>
      </c>
      <c r="L484">
        <f>IF(C484="","",IF('02_대상물건입력'!$B$6="",1,IF(ISNUMBER(SEARCH('02_대상물건입력'!$B$6,C484)),1,0)))</f>
        <v/>
      </c>
      <c r="M484">
        <f>IF(E484="","",IF('02_대상물건입력'!$B$8="",0,IF(ISNUMBER(SEARCH('02_대상물건입력'!$B$8,E484)),1,0)))</f>
        <v/>
      </c>
      <c r="N484">
        <f>IF(B484="","",IF(B484="담보",1,0))</f>
        <v/>
      </c>
      <c r="O484">
        <f>IFERROR(ABS(G484-'02_대상물건입력'!$B$11)/'02_대상물건입력'!$B$11,"")</f>
        <v/>
      </c>
      <c r="P484">
        <f>IFERROR(ABS('01_설정'!$B$4-H484),"")</f>
        <v/>
      </c>
      <c r="Q484">
        <f>IFERROR(ABS(YEAR(J484)-YEAR('02_대상물건입력'!$B$14)),"")</f>
        <v/>
      </c>
      <c r="R484">
        <f>IF(AND(G484&gt;0,H484&gt;0,I484&gt;0,N484=1,IF('01_설정'!$B$10=1,K484=1,TRUE()),O484&lt;='01_설정'!$B$5,P484&lt;='01_설정'!$B$7,Q484&lt;='01_설정'!$B$8),"Y","")</f>
        <v/>
      </c>
      <c r="S484">
        <f>IF(R484&lt;&gt;"Y","",MAX(0,(1-O484/'01_설정'!$B$5))*'01_설정'!$B$14+MAX(0,(1-P484/'01_설정'!$B$7))*'01_설정'!$B$16+MAX(0,(1-Q484/'01_설정'!$B$8))*'01_설정'!$B$17+L484*'01_설정'!$B$11+M484*'01_설정'!$B$12+N484*50)</f>
        <v/>
      </c>
      <c r="T484">
        <f>IF(S484="","",1+COUNTIFS($S$31:$S$1030,"&gt;"&amp;S484)+COUNTIFS($S$31:S484,S484)-1)</f>
        <v/>
      </c>
    </row>
    <row r="485" hidden="1" ht="16.5" customHeight="1">
      <c r="A485">
        <f>IF(COUNTA('05_KAPA'!$A456:$AO456)=0,"",458)</f>
        <v/>
      </c>
      <c r="B485">
        <f>IF($A485="","",INDEX('05_KAPA'!$B:$B,$A485))</f>
        <v/>
      </c>
      <c r="C485">
        <f>IF($A485="","",INDEX('05_KAPA'!$F:$F,$A485))</f>
        <v/>
      </c>
      <c r="D485">
        <f>IF($A485="","",INDEX('05_KAPA'!$H:$H,$A485))</f>
        <v/>
      </c>
      <c r="E485">
        <f>IF($A485="","",INDEX('05_KAPA'!$K:$K,$A485))</f>
        <v/>
      </c>
      <c r="F485">
        <f>IF($A485="","",INDEX('05_KAPA'!$L:$L,$A485))</f>
        <v/>
      </c>
      <c r="G485">
        <f>IF($A485="","",INDEX('05_KAPA'!$I:$I,$A485))</f>
        <v/>
      </c>
      <c r="H485" s="202">
        <f>IF($A485="","",INDEX('05_KAPA'!$P:$P,$A485))</f>
        <v/>
      </c>
      <c r="I485" s="118">
        <f>IF($A485="","",INDEX('05_KAPA'!$O:$O,$A485))</f>
        <v/>
      </c>
      <c r="J485" s="202">
        <f>IF($A485="","",IFERROR(DATE(LEFT(TEXT(INDEX('05_KAPA'!$T:$T,$A485),"0"),4),MID(TEXT(INDEX('05_KAPA'!$T:$T,$A485),"0"),5,2),RIGHT(TEXT(INDEX('05_KAPA'!$T:$T,$A485),"0"),2)),""))</f>
        <v/>
      </c>
      <c r="K485">
        <f>IF(C485="","",IF('02_대상물건입력'!$B$5="",1,IF(ISNUMBER(SEARCH('02_대상물건입력'!$B$5,C485)),1,0)))</f>
        <v/>
      </c>
      <c r="L485">
        <f>IF(C485="","",IF('02_대상물건입력'!$B$6="",1,IF(ISNUMBER(SEARCH('02_대상물건입력'!$B$6,C485)),1,0)))</f>
        <v/>
      </c>
      <c r="M485">
        <f>IF(E485="","",IF('02_대상물건입력'!$B$8="",0,IF(ISNUMBER(SEARCH('02_대상물건입력'!$B$8,E485)),1,0)))</f>
        <v/>
      </c>
      <c r="N485">
        <f>IF(B485="","",IF(B485="담보",1,0))</f>
        <v/>
      </c>
      <c r="O485">
        <f>IFERROR(ABS(G485-'02_대상물건입력'!$B$11)/'02_대상물건입력'!$B$11,"")</f>
        <v/>
      </c>
      <c r="P485">
        <f>IFERROR(ABS('01_설정'!$B$4-H485),"")</f>
        <v/>
      </c>
      <c r="Q485">
        <f>IFERROR(ABS(YEAR(J485)-YEAR('02_대상물건입력'!$B$14)),"")</f>
        <v/>
      </c>
      <c r="R485">
        <f>IF(AND(G485&gt;0,H485&gt;0,I485&gt;0,N485=1,IF('01_설정'!$B$10=1,K485=1,TRUE()),O485&lt;='01_설정'!$B$5,P485&lt;='01_설정'!$B$7,Q485&lt;='01_설정'!$B$8),"Y","")</f>
        <v/>
      </c>
      <c r="S485">
        <f>IF(R485&lt;&gt;"Y","",MAX(0,(1-O485/'01_설정'!$B$5))*'01_설정'!$B$14+MAX(0,(1-P485/'01_설정'!$B$7))*'01_설정'!$B$16+MAX(0,(1-Q485/'01_설정'!$B$8))*'01_설정'!$B$17+L485*'01_설정'!$B$11+M485*'01_설정'!$B$12+N485*50)</f>
        <v/>
      </c>
      <c r="T485">
        <f>IF(S485="","",1+COUNTIFS($S$31:$S$1030,"&gt;"&amp;S485)+COUNTIFS($S$31:S485,S485)-1)</f>
        <v/>
      </c>
    </row>
    <row r="486" hidden="1" ht="16.5" customHeight="1">
      <c r="A486">
        <f>IF(COUNTA('05_KAPA'!$A457:$AO457)=0,"",459)</f>
        <v/>
      </c>
      <c r="B486">
        <f>IF($A486="","",INDEX('05_KAPA'!$B:$B,$A486))</f>
        <v/>
      </c>
      <c r="C486">
        <f>IF($A486="","",INDEX('05_KAPA'!$F:$F,$A486))</f>
        <v/>
      </c>
      <c r="D486">
        <f>IF($A486="","",INDEX('05_KAPA'!$H:$H,$A486))</f>
        <v/>
      </c>
      <c r="E486">
        <f>IF($A486="","",INDEX('05_KAPA'!$K:$K,$A486))</f>
        <v/>
      </c>
      <c r="F486">
        <f>IF($A486="","",INDEX('05_KAPA'!$L:$L,$A486))</f>
        <v/>
      </c>
      <c r="G486">
        <f>IF($A486="","",INDEX('05_KAPA'!$I:$I,$A486))</f>
        <v/>
      </c>
      <c r="H486" s="202">
        <f>IF($A486="","",INDEX('05_KAPA'!$P:$P,$A486))</f>
        <v/>
      </c>
      <c r="I486" s="118">
        <f>IF($A486="","",INDEX('05_KAPA'!$O:$O,$A486))</f>
        <v/>
      </c>
      <c r="J486" s="202">
        <f>IF($A486="","",IFERROR(DATE(LEFT(TEXT(INDEX('05_KAPA'!$T:$T,$A486),"0"),4),MID(TEXT(INDEX('05_KAPA'!$T:$T,$A486),"0"),5,2),RIGHT(TEXT(INDEX('05_KAPA'!$T:$T,$A486),"0"),2)),""))</f>
        <v/>
      </c>
      <c r="K486">
        <f>IF(C486="","",IF('02_대상물건입력'!$B$5="",1,IF(ISNUMBER(SEARCH('02_대상물건입력'!$B$5,C486)),1,0)))</f>
        <v/>
      </c>
      <c r="L486">
        <f>IF(C486="","",IF('02_대상물건입력'!$B$6="",1,IF(ISNUMBER(SEARCH('02_대상물건입력'!$B$6,C486)),1,0)))</f>
        <v/>
      </c>
      <c r="M486">
        <f>IF(E486="","",IF('02_대상물건입력'!$B$8="",0,IF(ISNUMBER(SEARCH('02_대상물건입력'!$B$8,E486)),1,0)))</f>
        <v/>
      </c>
      <c r="N486">
        <f>IF(B486="","",IF(B486="담보",1,0))</f>
        <v/>
      </c>
      <c r="O486">
        <f>IFERROR(ABS(G486-'02_대상물건입력'!$B$11)/'02_대상물건입력'!$B$11,"")</f>
        <v/>
      </c>
      <c r="P486">
        <f>IFERROR(ABS('01_설정'!$B$4-H486),"")</f>
        <v/>
      </c>
      <c r="Q486">
        <f>IFERROR(ABS(YEAR(J486)-YEAR('02_대상물건입력'!$B$14)),"")</f>
        <v/>
      </c>
      <c r="R486">
        <f>IF(AND(G486&gt;0,H486&gt;0,I486&gt;0,N486=1,IF('01_설정'!$B$10=1,K486=1,TRUE()),O486&lt;='01_설정'!$B$5,P486&lt;='01_설정'!$B$7,Q486&lt;='01_설정'!$B$8),"Y","")</f>
        <v/>
      </c>
      <c r="S486">
        <f>IF(R486&lt;&gt;"Y","",MAX(0,(1-O486/'01_설정'!$B$5))*'01_설정'!$B$14+MAX(0,(1-P486/'01_설정'!$B$7))*'01_설정'!$B$16+MAX(0,(1-Q486/'01_설정'!$B$8))*'01_설정'!$B$17+L486*'01_설정'!$B$11+M486*'01_설정'!$B$12+N486*50)</f>
        <v/>
      </c>
      <c r="T486">
        <f>IF(S486="","",1+COUNTIFS($S$31:$S$1030,"&gt;"&amp;S486)+COUNTIFS($S$31:S486,S486)-1)</f>
        <v/>
      </c>
    </row>
    <row r="487" hidden="1" ht="16.5" customHeight="1">
      <c r="A487">
        <f>IF(COUNTA('05_KAPA'!$A458:$AO458)=0,"",460)</f>
        <v/>
      </c>
      <c r="B487">
        <f>IF($A487="","",INDEX('05_KAPA'!$B:$B,$A487))</f>
        <v/>
      </c>
      <c r="C487">
        <f>IF($A487="","",INDEX('05_KAPA'!$F:$F,$A487))</f>
        <v/>
      </c>
      <c r="D487">
        <f>IF($A487="","",INDEX('05_KAPA'!$H:$H,$A487))</f>
        <v/>
      </c>
      <c r="E487">
        <f>IF($A487="","",INDEX('05_KAPA'!$K:$K,$A487))</f>
        <v/>
      </c>
      <c r="F487">
        <f>IF($A487="","",INDEX('05_KAPA'!$L:$L,$A487))</f>
        <v/>
      </c>
      <c r="G487">
        <f>IF($A487="","",INDEX('05_KAPA'!$I:$I,$A487))</f>
        <v/>
      </c>
      <c r="H487" s="202">
        <f>IF($A487="","",INDEX('05_KAPA'!$P:$P,$A487))</f>
        <v/>
      </c>
      <c r="I487" s="118">
        <f>IF($A487="","",INDEX('05_KAPA'!$O:$O,$A487))</f>
        <v/>
      </c>
      <c r="J487" s="202">
        <f>IF($A487="","",IFERROR(DATE(LEFT(TEXT(INDEX('05_KAPA'!$T:$T,$A487),"0"),4),MID(TEXT(INDEX('05_KAPA'!$T:$T,$A487),"0"),5,2),RIGHT(TEXT(INDEX('05_KAPA'!$T:$T,$A487),"0"),2)),""))</f>
        <v/>
      </c>
      <c r="K487">
        <f>IF(C487="","",IF('02_대상물건입력'!$B$5="",1,IF(ISNUMBER(SEARCH('02_대상물건입력'!$B$5,C487)),1,0)))</f>
        <v/>
      </c>
      <c r="L487">
        <f>IF(C487="","",IF('02_대상물건입력'!$B$6="",1,IF(ISNUMBER(SEARCH('02_대상물건입력'!$B$6,C487)),1,0)))</f>
        <v/>
      </c>
      <c r="M487">
        <f>IF(E487="","",IF('02_대상물건입력'!$B$8="",0,IF(ISNUMBER(SEARCH('02_대상물건입력'!$B$8,E487)),1,0)))</f>
        <v/>
      </c>
      <c r="N487">
        <f>IF(B487="","",IF(B487="담보",1,0))</f>
        <v/>
      </c>
      <c r="O487">
        <f>IFERROR(ABS(G487-'02_대상물건입력'!$B$11)/'02_대상물건입력'!$B$11,"")</f>
        <v/>
      </c>
      <c r="P487">
        <f>IFERROR(ABS('01_설정'!$B$4-H487),"")</f>
        <v/>
      </c>
      <c r="Q487">
        <f>IFERROR(ABS(YEAR(J487)-YEAR('02_대상물건입력'!$B$14)),"")</f>
        <v/>
      </c>
      <c r="R487">
        <f>IF(AND(G487&gt;0,H487&gt;0,I487&gt;0,N487=1,IF('01_설정'!$B$10=1,K487=1,TRUE()),O487&lt;='01_설정'!$B$5,P487&lt;='01_설정'!$B$7,Q487&lt;='01_설정'!$B$8),"Y","")</f>
        <v/>
      </c>
      <c r="S487">
        <f>IF(R487&lt;&gt;"Y","",MAX(0,(1-O487/'01_설정'!$B$5))*'01_설정'!$B$14+MAX(0,(1-P487/'01_설정'!$B$7))*'01_설정'!$B$16+MAX(0,(1-Q487/'01_설정'!$B$8))*'01_설정'!$B$17+L487*'01_설정'!$B$11+M487*'01_설정'!$B$12+N487*50)</f>
        <v/>
      </c>
      <c r="T487">
        <f>IF(S487="","",1+COUNTIFS($S$31:$S$1030,"&gt;"&amp;S487)+COUNTIFS($S$31:S487,S487)-1)</f>
        <v/>
      </c>
    </row>
    <row r="488" hidden="1" ht="16.5" customHeight="1">
      <c r="A488">
        <f>IF(COUNTA('05_KAPA'!$A459:$AO459)=0,"",461)</f>
        <v/>
      </c>
      <c r="B488">
        <f>IF($A488="","",INDEX('05_KAPA'!$B:$B,$A488))</f>
        <v/>
      </c>
      <c r="C488">
        <f>IF($A488="","",INDEX('05_KAPA'!$F:$F,$A488))</f>
        <v/>
      </c>
      <c r="D488">
        <f>IF($A488="","",INDEX('05_KAPA'!$H:$H,$A488))</f>
        <v/>
      </c>
      <c r="E488">
        <f>IF($A488="","",INDEX('05_KAPA'!$K:$K,$A488))</f>
        <v/>
      </c>
      <c r="F488">
        <f>IF($A488="","",INDEX('05_KAPA'!$L:$L,$A488))</f>
        <v/>
      </c>
      <c r="G488">
        <f>IF($A488="","",INDEX('05_KAPA'!$I:$I,$A488))</f>
        <v/>
      </c>
      <c r="H488" s="202">
        <f>IF($A488="","",INDEX('05_KAPA'!$P:$P,$A488))</f>
        <v/>
      </c>
      <c r="I488" s="118">
        <f>IF($A488="","",INDEX('05_KAPA'!$O:$O,$A488))</f>
        <v/>
      </c>
      <c r="J488" s="202">
        <f>IF($A488="","",IFERROR(DATE(LEFT(TEXT(INDEX('05_KAPA'!$T:$T,$A488),"0"),4),MID(TEXT(INDEX('05_KAPA'!$T:$T,$A488),"0"),5,2),RIGHT(TEXT(INDEX('05_KAPA'!$T:$T,$A488),"0"),2)),""))</f>
        <v/>
      </c>
      <c r="K488">
        <f>IF(C488="","",IF('02_대상물건입력'!$B$5="",1,IF(ISNUMBER(SEARCH('02_대상물건입력'!$B$5,C488)),1,0)))</f>
        <v/>
      </c>
      <c r="L488">
        <f>IF(C488="","",IF('02_대상물건입력'!$B$6="",1,IF(ISNUMBER(SEARCH('02_대상물건입력'!$B$6,C488)),1,0)))</f>
        <v/>
      </c>
      <c r="M488">
        <f>IF(E488="","",IF('02_대상물건입력'!$B$8="",0,IF(ISNUMBER(SEARCH('02_대상물건입력'!$B$8,E488)),1,0)))</f>
        <v/>
      </c>
      <c r="N488">
        <f>IF(B488="","",IF(B488="담보",1,0))</f>
        <v/>
      </c>
      <c r="O488">
        <f>IFERROR(ABS(G488-'02_대상물건입력'!$B$11)/'02_대상물건입력'!$B$11,"")</f>
        <v/>
      </c>
      <c r="P488">
        <f>IFERROR(ABS('01_설정'!$B$4-H488),"")</f>
        <v/>
      </c>
      <c r="Q488">
        <f>IFERROR(ABS(YEAR(J488)-YEAR('02_대상물건입력'!$B$14)),"")</f>
        <v/>
      </c>
      <c r="R488">
        <f>IF(AND(G488&gt;0,H488&gt;0,I488&gt;0,N488=1,IF('01_설정'!$B$10=1,K488=1,TRUE()),O488&lt;='01_설정'!$B$5,P488&lt;='01_설정'!$B$7,Q488&lt;='01_설정'!$B$8),"Y","")</f>
        <v/>
      </c>
      <c r="S488">
        <f>IF(R488&lt;&gt;"Y","",MAX(0,(1-O488/'01_설정'!$B$5))*'01_설정'!$B$14+MAX(0,(1-P488/'01_설정'!$B$7))*'01_설정'!$B$16+MAX(0,(1-Q488/'01_설정'!$B$8))*'01_설정'!$B$17+L488*'01_설정'!$B$11+M488*'01_설정'!$B$12+N488*50)</f>
        <v/>
      </c>
      <c r="T488">
        <f>IF(S488="","",1+COUNTIFS($S$31:$S$1030,"&gt;"&amp;S488)+COUNTIFS($S$31:S488,S488)-1)</f>
        <v/>
      </c>
    </row>
    <row r="489" hidden="1" ht="16.5" customHeight="1">
      <c r="A489">
        <f>IF(COUNTA('05_KAPA'!$A460:$AO460)=0,"",462)</f>
        <v/>
      </c>
      <c r="B489">
        <f>IF($A489="","",INDEX('05_KAPA'!$B:$B,$A489))</f>
        <v/>
      </c>
      <c r="C489">
        <f>IF($A489="","",INDEX('05_KAPA'!$F:$F,$A489))</f>
        <v/>
      </c>
      <c r="D489">
        <f>IF($A489="","",INDEX('05_KAPA'!$H:$H,$A489))</f>
        <v/>
      </c>
      <c r="E489">
        <f>IF($A489="","",INDEX('05_KAPA'!$K:$K,$A489))</f>
        <v/>
      </c>
      <c r="F489">
        <f>IF($A489="","",INDEX('05_KAPA'!$L:$L,$A489))</f>
        <v/>
      </c>
      <c r="G489">
        <f>IF($A489="","",INDEX('05_KAPA'!$I:$I,$A489))</f>
        <v/>
      </c>
      <c r="H489" s="202">
        <f>IF($A489="","",INDEX('05_KAPA'!$P:$P,$A489))</f>
        <v/>
      </c>
      <c r="I489" s="118">
        <f>IF($A489="","",INDEX('05_KAPA'!$O:$O,$A489))</f>
        <v/>
      </c>
      <c r="J489" s="202">
        <f>IF($A489="","",IFERROR(DATE(LEFT(TEXT(INDEX('05_KAPA'!$T:$T,$A489),"0"),4),MID(TEXT(INDEX('05_KAPA'!$T:$T,$A489),"0"),5,2),RIGHT(TEXT(INDEX('05_KAPA'!$T:$T,$A489),"0"),2)),""))</f>
        <v/>
      </c>
      <c r="K489">
        <f>IF(C489="","",IF('02_대상물건입력'!$B$5="",1,IF(ISNUMBER(SEARCH('02_대상물건입력'!$B$5,C489)),1,0)))</f>
        <v/>
      </c>
      <c r="L489">
        <f>IF(C489="","",IF('02_대상물건입력'!$B$6="",1,IF(ISNUMBER(SEARCH('02_대상물건입력'!$B$6,C489)),1,0)))</f>
        <v/>
      </c>
      <c r="M489">
        <f>IF(E489="","",IF('02_대상물건입력'!$B$8="",0,IF(ISNUMBER(SEARCH('02_대상물건입력'!$B$8,E489)),1,0)))</f>
        <v/>
      </c>
      <c r="N489">
        <f>IF(B489="","",IF(B489="담보",1,0))</f>
        <v/>
      </c>
      <c r="O489">
        <f>IFERROR(ABS(G489-'02_대상물건입력'!$B$11)/'02_대상물건입력'!$B$11,"")</f>
        <v/>
      </c>
      <c r="P489">
        <f>IFERROR(ABS('01_설정'!$B$4-H489),"")</f>
        <v/>
      </c>
      <c r="Q489">
        <f>IFERROR(ABS(YEAR(J489)-YEAR('02_대상물건입력'!$B$14)),"")</f>
        <v/>
      </c>
      <c r="R489">
        <f>IF(AND(G489&gt;0,H489&gt;0,I489&gt;0,N489=1,IF('01_설정'!$B$10=1,K489=1,TRUE()),O489&lt;='01_설정'!$B$5,P489&lt;='01_설정'!$B$7,Q489&lt;='01_설정'!$B$8),"Y","")</f>
        <v/>
      </c>
      <c r="S489">
        <f>IF(R489&lt;&gt;"Y","",MAX(0,(1-O489/'01_설정'!$B$5))*'01_설정'!$B$14+MAX(0,(1-P489/'01_설정'!$B$7))*'01_설정'!$B$16+MAX(0,(1-Q489/'01_설정'!$B$8))*'01_설정'!$B$17+L489*'01_설정'!$B$11+M489*'01_설정'!$B$12+N489*50)</f>
        <v/>
      </c>
      <c r="T489">
        <f>IF(S489="","",1+COUNTIFS($S$31:$S$1030,"&gt;"&amp;S489)+COUNTIFS($S$31:S489,S489)-1)</f>
        <v/>
      </c>
    </row>
    <row r="490" hidden="1" ht="16.5" customHeight="1">
      <c r="A490">
        <f>IF(COUNTA('05_KAPA'!$A461:$AO461)=0,"",463)</f>
        <v/>
      </c>
      <c r="B490">
        <f>IF($A490="","",INDEX('05_KAPA'!$B:$B,$A490))</f>
        <v/>
      </c>
      <c r="C490">
        <f>IF($A490="","",INDEX('05_KAPA'!$F:$F,$A490))</f>
        <v/>
      </c>
      <c r="D490">
        <f>IF($A490="","",INDEX('05_KAPA'!$H:$H,$A490))</f>
        <v/>
      </c>
      <c r="E490">
        <f>IF($A490="","",INDEX('05_KAPA'!$K:$K,$A490))</f>
        <v/>
      </c>
      <c r="F490">
        <f>IF($A490="","",INDEX('05_KAPA'!$L:$L,$A490))</f>
        <v/>
      </c>
      <c r="G490">
        <f>IF($A490="","",INDEX('05_KAPA'!$I:$I,$A490))</f>
        <v/>
      </c>
      <c r="H490" s="202">
        <f>IF($A490="","",INDEX('05_KAPA'!$P:$P,$A490))</f>
        <v/>
      </c>
      <c r="I490" s="118">
        <f>IF($A490="","",INDEX('05_KAPA'!$O:$O,$A490))</f>
        <v/>
      </c>
      <c r="J490" s="202">
        <f>IF($A490="","",IFERROR(DATE(LEFT(TEXT(INDEX('05_KAPA'!$T:$T,$A490),"0"),4),MID(TEXT(INDEX('05_KAPA'!$T:$T,$A490),"0"),5,2),RIGHT(TEXT(INDEX('05_KAPA'!$T:$T,$A490),"0"),2)),""))</f>
        <v/>
      </c>
      <c r="K490">
        <f>IF(C490="","",IF('02_대상물건입력'!$B$5="",1,IF(ISNUMBER(SEARCH('02_대상물건입력'!$B$5,C490)),1,0)))</f>
        <v/>
      </c>
      <c r="L490">
        <f>IF(C490="","",IF('02_대상물건입력'!$B$6="",1,IF(ISNUMBER(SEARCH('02_대상물건입력'!$B$6,C490)),1,0)))</f>
        <v/>
      </c>
      <c r="M490">
        <f>IF(E490="","",IF('02_대상물건입력'!$B$8="",0,IF(ISNUMBER(SEARCH('02_대상물건입력'!$B$8,E490)),1,0)))</f>
        <v/>
      </c>
      <c r="N490">
        <f>IF(B490="","",IF(B490="담보",1,0))</f>
        <v/>
      </c>
      <c r="O490">
        <f>IFERROR(ABS(G490-'02_대상물건입력'!$B$11)/'02_대상물건입력'!$B$11,"")</f>
        <v/>
      </c>
      <c r="P490">
        <f>IFERROR(ABS('01_설정'!$B$4-H490),"")</f>
        <v/>
      </c>
      <c r="Q490">
        <f>IFERROR(ABS(YEAR(J490)-YEAR('02_대상물건입력'!$B$14)),"")</f>
        <v/>
      </c>
      <c r="R490">
        <f>IF(AND(G490&gt;0,H490&gt;0,I490&gt;0,N490=1,IF('01_설정'!$B$10=1,K490=1,TRUE()),O490&lt;='01_설정'!$B$5,P490&lt;='01_설정'!$B$7,Q490&lt;='01_설정'!$B$8),"Y","")</f>
        <v/>
      </c>
      <c r="S490">
        <f>IF(R490&lt;&gt;"Y","",MAX(0,(1-O490/'01_설정'!$B$5))*'01_설정'!$B$14+MAX(0,(1-P490/'01_설정'!$B$7))*'01_설정'!$B$16+MAX(0,(1-Q490/'01_설정'!$B$8))*'01_설정'!$B$17+L490*'01_설정'!$B$11+M490*'01_설정'!$B$12+N490*50)</f>
        <v/>
      </c>
      <c r="T490">
        <f>IF(S490="","",1+COUNTIFS($S$31:$S$1030,"&gt;"&amp;S490)+COUNTIFS($S$31:S490,S490)-1)</f>
        <v/>
      </c>
    </row>
    <row r="491" hidden="1" ht="16.5" customHeight="1">
      <c r="A491">
        <f>IF(COUNTA('05_KAPA'!$A462:$AO462)=0,"",464)</f>
        <v/>
      </c>
      <c r="B491">
        <f>IF($A491="","",INDEX('05_KAPA'!$B:$B,$A491))</f>
        <v/>
      </c>
      <c r="C491">
        <f>IF($A491="","",INDEX('05_KAPA'!$F:$F,$A491))</f>
        <v/>
      </c>
      <c r="D491">
        <f>IF($A491="","",INDEX('05_KAPA'!$H:$H,$A491))</f>
        <v/>
      </c>
      <c r="E491">
        <f>IF($A491="","",INDEX('05_KAPA'!$K:$K,$A491))</f>
        <v/>
      </c>
      <c r="F491">
        <f>IF($A491="","",INDEX('05_KAPA'!$L:$L,$A491))</f>
        <v/>
      </c>
      <c r="G491">
        <f>IF($A491="","",INDEX('05_KAPA'!$I:$I,$A491))</f>
        <v/>
      </c>
      <c r="H491" s="202">
        <f>IF($A491="","",INDEX('05_KAPA'!$P:$P,$A491))</f>
        <v/>
      </c>
      <c r="I491" s="118">
        <f>IF($A491="","",INDEX('05_KAPA'!$O:$O,$A491))</f>
        <v/>
      </c>
      <c r="J491" s="202">
        <f>IF($A491="","",IFERROR(DATE(LEFT(TEXT(INDEX('05_KAPA'!$T:$T,$A491),"0"),4),MID(TEXT(INDEX('05_KAPA'!$T:$T,$A491),"0"),5,2),RIGHT(TEXT(INDEX('05_KAPA'!$T:$T,$A491),"0"),2)),""))</f>
        <v/>
      </c>
      <c r="K491">
        <f>IF(C491="","",IF('02_대상물건입력'!$B$5="",1,IF(ISNUMBER(SEARCH('02_대상물건입력'!$B$5,C491)),1,0)))</f>
        <v/>
      </c>
      <c r="L491">
        <f>IF(C491="","",IF('02_대상물건입력'!$B$6="",1,IF(ISNUMBER(SEARCH('02_대상물건입력'!$B$6,C491)),1,0)))</f>
        <v/>
      </c>
      <c r="M491">
        <f>IF(E491="","",IF('02_대상물건입력'!$B$8="",0,IF(ISNUMBER(SEARCH('02_대상물건입력'!$B$8,E491)),1,0)))</f>
        <v/>
      </c>
      <c r="N491">
        <f>IF(B491="","",IF(B491="담보",1,0))</f>
        <v/>
      </c>
      <c r="O491">
        <f>IFERROR(ABS(G491-'02_대상물건입력'!$B$11)/'02_대상물건입력'!$B$11,"")</f>
        <v/>
      </c>
      <c r="P491">
        <f>IFERROR(ABS('01_설정'!$B$4-H491),"")</f>
        <v/>
      </c>
      <c r="Q491">
        <f>IFERROR(ABS(YEAR(J491)-YEAR('02_대상물건입력'!$B$14)),"")</f>
        <v/>
      </c>
      <c r="R491">
        <f>IF(AND(G491&gt;0,H491&gt;0,I491&gt;0,N491=1,IF('01_설정'!$B$10=1,K491=1,TRUE()),O491&lt;='01_설정'!$B$5,P491&lt;='01_설정'!$B$7,Q491&lt;='01_설정'!$B$8),"Y","")</f>
        <v/>
      </c>
      <c r="S491">
        <f>IF(R491&lt;&gt;"Y","",MAX(0,(1-O491/'01_설정'!$B$5))*'01_설정'!$B$14+MAX(0,(1-P491/'01_설정'!$B$7))*'01_설정'!$B$16+MAX(0,(1-Q491/'01_설정'!$B$8))*'01_설정'!$B$17+L491*'01_설정'!$B$11+M491*'01_설정'!$B$12+N491*50)</f>
        <v/>
      </c>
      <c r="T491">
        <f>IF(S491="","",1+COUNTIFS($S$31:$S$1030,"&gt;"&amp;S491)+COUNTIFS($S$31:S491,S491)-1)</f>
        <v/>
      </c>
    </row>
    <row r="492" hidden="1" ht="16.5" customHeight="1">
      <c r="A492">
        <f>IF(COUNTA('05_KAPA'!$A463:$AO463)=0,"",465)</f>
        <v/>
      </c>
      <c r="B492">
        <f>IF($A492="","",INDEX('05_KAPA'!$B:$B,$A492))</f>
        <v/>
      </c>
      <c r="C492">
        <f>IF($A492="","",INDEX('05_KAPA'!$F:$F,$A492))</f>
        <v/>
      </c>
      <c r="D492">
        <f>IF($A492="","",INDEX('05_KAPA'!$H:$H,$A492))</f>
        <v/>
      </c>
      <c r="E492">
        <f>IF($A492="","",INDEX('05_KAPA'!$K:$K,$A492))</f>
        <v/>
      </c>
      <c r="F492">
        <f>IF($A492="","",INDEX('05_KAPA'!$L:$L,$A492))</f>
        <v/>
      </c>
      <c r="G492">
        <f>IF($A492="","",INDEX('05_KAPA'!$I:$I,$A492))</f>
        <v/>
      </c>
      <c r="H492" s="202">
        <f>IF($A492="","",INDEX('05_KAPA'!$P:$P,$A492))</f>
        <v/>
      </c>
      <c r="I492" s="118">
        <f>IF($A492="","",INDEX('05_KAPA'!$O:$O,$A492))</f>
        <v/>
      </c>
      <c r="J492" s="202">
        <f>IF($A492="","",IFERROR(DATE(LEFT(TEXT(INDEX('05_KAPA'!$T:$T,$A492),"0"),4),MID(TEXT(INDEX('05_KAPA'!$T:$T,$A492),"0"),5,2),RIGHT(TEXT(INDEX('05_KAPA'!$T:$T,$A492),"0"),2)),""))</f>
        <v/>
      </c>
      <c r="K492">
        <f>IF(C492="","",IF('02_대상물건입력'!$B$5="",1,IF(ISNUMBER(SEARCH('02_대상물건입력'!$B$5,C492)),1,0)))</f>
        <v/>
      </c>
      <c r="L492">
        <f>IF(C492="","",IF('02_대상물건입력'!$B$6="",1,IF(ISNUMBER(SEARCH('02_대상물건입력'!$B$6,C492)),1,0)))</f>
        <v/>
      </c>
      <c r="M492">
        <f>IF(E492="","",IF('02_대상물건입력'!$B$8="",0,IF(ISNUMBER(SEARCH('02_대상물건입력'!$B$8,E492)),1,0)))</f>
        <v/>
      </c>
      <c r="N492">
        <f>IF(B492="","",IF(B492="담보",1,0))</f>
        <v/>
      </c>
      <c r="O492">
        <f>IFERROR(ABS(G492-'02_대상물건입력'!$B$11)/'02_대상물건입력'!$B$11,"")</f>
        <v/>
      </c>
      <c r="P492">
        <f>IFERROR(ABS('01_설정'!$B$4-H492),"")</f>
        <v/>
      </c>
      <c r="Q492">
        <f>IFERROR(ABS(YEAR(J492)-YEAR('02_대상물건입력'!$B$14)),"")</f>
        <v/>
      </c>
      <c r="R492">
        <f>IF(AND(G492&gt;0,H492&gt;0,I492&gt;0,N492=1,IF('01_설정'!$B$10=1,K492=1,TRUE()),O492&lt;='01_설정'!$B$5,P492&lt;='01_설정'!$B$7,Q492&lt;='01_설정'!$B$8),"Y","")</f>
        <v/>
      </c>
      <c r="S492">
        <f>IF(R492&lt;&gt;"Y","",MAX(0,(1-O492/'01_설정'!$B$5))*'01_설정'!$B$14+MAX(0,(1-P492/'01_설정'!$B$7))*'01_설정'!$B$16+MAX(0,(1-Q492/'01_설정'!$B$8))*'01_설정'!$B$17+L492*'01_설정'!$B$11+M492*'01_설정'!$B$12+N492*50)</f>
        <v/>
      </c>
      <c r="T492">
        <f>IF(S492="","",1+COUNTIFS($S$31:$S$1030,"&gt;"&amp;S492)+COUNTIFS($S$31:S492,S492)-1)</f>
        <v/>
      </c>
    </row>
    <row r="493" hidden="1" ht="16.5" customHeight="1">
      <c r="A493">
        <f>IF(COUNTA('05_KAPA'!$A464:$AO464)=0,"",466)</f>
        <v/>
      </c>
      <c r="B493">
        <f>IF($A493="","",INDEX('05_KAPA'!$B:$B,$A493))</f>
        <v/>
      </c>
      <c r="C493">
        <f>IF($A493="","",INDEX('05_KAPA'!$F:$F,$A493))</f>
        <v/>
      </c>
      <c r="D493">
        <f>IF($A493="","",INDEX('05_KAPA'!$H:$H,$A493))</f>
        <v/>
      </c>
      <c r="E493">
        <f>IF($A493="","",INDEX('05_KAPA'!$K:$K,$A493))</f>
        <v/>
      </c>
      <c r="F493">
        <f>IF($A493="","",INDEX('05_KAPA'!$L:$L,$A493))</f>
        <v/>
      </c>
      <c r="G493">
        <f>IF($A493="","",INDEX('05_KAPA'!$I:$I,$A493))</f>
        <v/>
      </c>
      <c r="H493" s="202">
        <f>IF($A493="","",INDEX('05_KAPA'!$P:$P,$A493))</f>
        <v/>
      </c>
      <c r="I493" s="118">
        <f>IF($A493="","",INDEX('05_KAPA'!$O:$O,$A493))</f>
        <v/>
      </c>
      <c r="J493" s="202">
        <f>IF($A493="","",IFERROR(DATE(LEFT(TEXT(INDEX('05_KAPA'!$T:$T,$A493),"0"),4),MID(TEXT(INDEX('05_KAPA'!$T:$T,$A493),"0"),5,2),RIGHT(TEXT(INDEX('05_KAPA'!$T:$T,$A493),"0"),2)),""))</f>
        <v/>
      </c>
      <c r="K493">
        <f>IF(C493="","",IF('02_대상물건입력'!$B$5="",1,IF(ISNUMBER(SEARCH('02_대상물건입력'!$B$5,C493)),1,0)))</f>
        <v/>
      </c>
      <c r="L493">
        <f>IF(C493="","",IF('02_대상물건입력'!$B$6="",1,IF(ISNUMBER(SEARCH('02_대상물건입력'!$B$6,C493)),1,0)))</f>
        <v/>
      </c>
      <c r="M493">
        <f>IF(E493="","",IF('02_대상물건입력'!$B$8="",0,IF(ISNUMBER(SEARCH('02_대상물건입력'!$B$8,E493)),1,0)))</f>
        <v/>
      </c>
      <c r="N493">
        <f>IF(B493="","",IF(B493="담보",1,0))</f>
        <v/>
      </c>
      <c r="O493">
        <f>IFERROR(ABS(G493-'02_대상물건입력'!$B$11)/'02_대상물건입력'!$B$11,"")</f>
        <v/>
      </c>
      <c r="P493">
        <f>IFERROR(ABS('01_설정'!$B$4-H493),"")</f>
        <v/>
      </c>
      <c r="Q493">
        <f>IFERROR(ABS(YEAR(J493)-YEAR('02_대상물건입력'!$B$14)),"")</f>
        <v/>
      </c>
      <c r="R493">
        <f>IF(AND(G493&gt;0,H493&gt;0,I493&gt;0,N493=1,IF('01_설정'!$B$10=1,K493=1,TRUE()),O493&lt;='01_설정'!$B$5,P493&lt;='01_설정'!$B$7,Q493&lt;='01_설정'!$B$8),"Y","")</f>
        <v/>
      </c>
      <c r="S493">
        <f>IF(R493&lt;&gt;"Y","",MAX(0,(1-O493/'01_설정'!$B$5))*'01_설정'!$B$14+MAX(0,(1-P493/'01_설정'!$B$7))*'01_설정'!$B$16+MAX(0,(1-Q493/'01_설정'!$B$8))*'01_설정'!$B$17+L493*'01_설정'!$B$11+M493*'01_설정'!$B$12+N493*50)</f>
        <v/>
      </c>
      <c r="T493">
        <f>IF(S493="","",1+COUNTIFS($S$31:$S$1030,"&gt;"&amp;S493)+COUNTIFS($S$31:S493,S493)-1)</f>
        <v/>
      </c>
    </row>
    <row r="494" hidden="1" ht="16.5" customHeight="1">
      <c r="A494">
        <f>IF(COUNTA('05_KAPA'!$A465:$AO465)=0,"",467)</f>
        <v/>
      </c>
      <c r="B494">
        <f>IF($A494="","",INDEX('05_KAPA'!$B:$B,$A494))</f>
        <v/>
      </c>
      <c r="C494">
        <f>IF($A494="","",INDEX('05_KAPA'!$F:$F,$A494))</f>
        <v/>
      </c>
      <c r="D494">
        <f>IF($A494="","",INDEX('05_KAPA'!$H:$H,$A494))</f>
        <v/>
      </c>
      <c r="E494">
        <f>IF($A494="","",INDEX('05_KAPA'!$K:$K,$A494))</f>
        <v/>
      </c>
      <c r="F494">
        <f>IF($A494="","",INDEX('05_KAPA'!$L:$L,$A494))</f>
        <v/>
      </c>
      <c r="G494">
        <f>IF($A494="","",INDEX('05_KAPA'!$I:$I,$A494))</f>
        <v/>
      </c>
      <c r="H494" s="202">
        <f>IF($A494="","",INDEX('05_KAPA'!$P:$P,$A494))</f>
        <v/>
      </c>
      <c r="I494" s="118">
        <f>IF($A494="","",INDEX('05_KAPA'!$O:$O,$A494))</f>
        <v/>
      </c>
      <c r="J494" s="202">
        <f>IF($A494="","",IFERROR(DATE(LEFT(TEXT(INDEX('05_KAPA'!$T:$T,$A494),"0"),4),MID(TEXT(INDEX('05_KAPA'!$T:$T,$A494),"0"),5,2),RIGHT(TEXT(INDEX('05_KAPA'!$T:$T,$A494),"0"),2)),""))</f>
        <v/>
      </c>
      <c r="K494">
        <f>IF(C494="","",IF('02_대상물건입력'!$B$5="",1,IF(ISNUMBER(SEARCH('02_대상물건입력'!$B$5,C494)),1,0)))</f>
        <v/>
      </c>
      <c r="L494">
        <f>IF(C494="","",IF('02_대상물건입력'!$B$6="",1,IF(ISNUMBER(SEARCH('02_대상물건입력'!$B$6,C494)),1,0)))</f>
        <v/>
      </c>
      <c r="M494">
        <f>IF(E494="","",IF('02_대상물건입력'!$B$8="",0,IF(ISNUMBER(SEARCH('02_대상물건입력'!$B$8,E494)),1,0)))</f>
        <v/>
      </c>
      <c r="N494">
        <f>IF(B494="","",IF(B494="담보",1,0))</f>
        <v/>
      </c>
      <c r="O494">
        <f>IFERROR(ABS(G494-'02_대상물건입력'!$B$11)/'02_대상물건입력'!$B$11,"")</f>
        <v/>
      </c>
      <c r="P494">
        <f>IFERROR(ABS('01_설정'!$B$4-H494),"")</f>
        <v/>
      </c>
      <c r="Q494">
        <f>IFERROR(ABS(YEAR(J494)-YEAR('02_대상물건입력'!$B$14)),"")</f>
        <v/>
      </c>
      <c r="R494">
        <f>IF(AND(G494&gt;0,H494&gt;0,I494&gt;0,N494=1,IF('01_설정'!$B$10=1,K494=1,TRUE()),O494&lt;='01_설정'!$B$5,P494&lt;='01_설정'!$B$7,Q494&lt;='01_설정'!$B$8),"Y","")</f>
        <v/>
      </c>
      <c r="S494">
        <f>IF(R494&lt;&gt;"Y","",MAX(0,(1-O494/'01_설정'!$B$5))*'01_설정'!$B$14+MAX(0,(1-P494/'01_설정'!$B$7))*'01_설정'!$B$16+MAX(0,(1-Q494/'01_설정'!$B$8))*'01_설정'!$B$17+L494*'01_설정'!$B$11+M494*'01_설정'!$B$12+N494*50)</f>
        <v/>
      </c>
      <c r="T494">
        <f>IF(S494="","",1+COUNTIFS($S$31:$S$1030,"&gt;"&amp;S494)+COUNTIFS($S$31:S494,S494)-1)</f>
        <v/>
      </c>
    </row>
    <row r="495" hidden="1" ht="16.5" customHeight="1">
      <c r="A495">
        <f>IF(COUNTA('05_KAPA'!$A466:$AO466)=0,"",468)</f>
        <v/>
      </c>
      <c r="B495">
        <f>IF($A495="","",INDEX('05_KAPA'!$B:$B,$A495))</f>
        <v/>
      </c>
      <c r="C495">
        <f>IF($A495="","",INDEX('05_KAPA'!$F:$F,$A495))</f>
        <v/>
      </c>
      <c r="D495">
        <f>IF($A495="","",INDEX('05_KAPA'!$H:$H,$A495))</f>
        <v/>
      </c>
      <c r="E495">
        <f>IF($A495="","",INDEX('05_KAPA'!$K:$K,$A495))</f>
        <v/>
      </c>
      <c r="F495">
        <f>IF($A495="","",INDEX('05_KAPA'!$L:$L,$A495))</f>
        <v/>
      </c>
      <c r="G495">
        <f>IF($A495="","",INDEX('05_KAPA'!$I:$I,$A495))</f>
        <v/>
      </c>
      <c r="H495" s="202">
        <f>IF($A495="","",INDEX('05_KAPA'!$P:$P,$A495))</f>
        <v/>
      </c>
      <c r="I495" s="118">
        <f>IF($A495="","",INDEX('05_KAPA'!$O:$O,$A495))</f>
        <v/>
      </c>
      <c r="J495" s="202">
        <f>IF($A495="","",IFERROR(DATE(LEFT(TEXT(INDEX('05_KAPA'!$T:$T,$A495),"0"),4),MID(TEXT(INDEX('05_KAPA'!$T:$T,$A495),"0"),5,2),RIGHT(TEXT(INDEX('05_KAPA'!$T:$T,$A495),"0"),2)),""))</f>
        <v/>
      </c>
      <c r="K495">
        <f>IF(C495="","",IF('02_대상물건입력'!$B$5="",1,IF(ISNUMBER(SEARCH('02_대상물건입력'!$B$5,C495)),1,0)))</f>
        <v/>
      </c>
      <c r="L495">
        <f>IF(C495="","",IF('02_대상물건입력'!$B$6="",1,IF(ISNUMBER(SEARCH('02_대상물건입력'!$B$6,C495)),1,0)))</f>
        <v/>
      </c>
      <c r="M495">
        <f>IF(E495="","",IF('02_대상물건입력'!$B$8="",0,IF(ISNUMBER(SEARCH('02_대상물건입력'!$B$8,E495)),1,0)))</f>
        <v/>
      </c>
      <c r="N495">
        <f>IF(B495="","",IF(B495="담보",1,0))</f>
        <v/>
      </c>
      <c r="O495">
        <f>IFERROR(ABS(G495-'02_대상물건입력'!$B$11)/'02_대상물건입력'!$B$11,"")</f>
        <v/>
      </c>
      <c r="P495">
        <f>IFERROR(ABS('01_설정'!$B$4-H495),"")</f>
        <v/>
      </c>
      <c r="Q495">
        <f>IFERROR(ABS(YEAR(J495)-YEAR('02_대상물건입력'!$B$14)),"")</f>
        <v/>
      </c>
      <c r="R495">
        <f>IF(AND(G495&gt;0,H495&gt;0,I495&gt;0,N495=1,IF('01_설정'!$B$10=1,K495=1,TRUE()),O495&lt;='01_설정'!$B$5,P495&lt;='01_설정'!$B$7,Q495&lt;='01_설정'!$B$8),"Y","")</f>
        <v/>
      </c>
      <c r="S495">
        <f>IF(R495&lt;&gt;"Y","",MAX(0,(1-O495/'01_설정'!$B$5))*'01_설정'!$B$14+MAX(0,(1-P495/'01_설정'!$B$7))*'01_설정'!$B$16+MAX(0,(1-Q495/'01_설정'!$B$8))*'01_설정'!$B$17+L495*'01_설정'!$B$11+M495*'01_설정'!$B$12+N495*50)</f>
        <v/>
      </c>
      <c r="T495">
        <f>IF(S495="","",1+COUNTIFS($S$31:$S$1030,"&gt;"&amp;S495)+COUNTIFS($S$31:S495,S495)-1)</f>
        <v/>
      </c>
    </row>
    <row r="496" hidden="1" ht="16.5" customHeight="1">
      <c r="A496">
        <f>IF(COUNTA('05_KAPA'!$A467:$AO467)=0,"",469)</f>
        <v/>
      </c>
      <c r="B496">
        <f>IF($A496="","",INDEX('05_KAPA'!$B:$B,$A496))</f>
        <v/>
      </c>
      <c r="C496">
        <f>IF($A496="","",INDEX('05_KAPA'!$F:$F,$A496))</f>
        <v/>
      </c>
      <c r="D496">
        <f>IF($A496="","",INDEX('05_KAPA'!$H:$H,$A496))</f>
        <v/>
      </c>
      <c r="E496">
        <f>IF($A496="","",INDEX('05_KAPA'!$K:$K,$A496))</f>
        <v/>
      </c>
      <c r="F496">
        <f>IF($A496="","",INDEX('05_KAPA'!$L:$L,$A496))</f>
        <v/>
      </c>
      <c r="G496">
        <f>IF($A496="","",INDEX('05_KAPA'!$I:$I,$A496))</f>
        <v/>
      </c>
      <c r="H496" s="202">
        <f>IF($A496="","",INDEX('05_KAPA'!$P:$P,$A496))</f>
        <v/>
      </c>
      <c r="I496" s="118">
        <f>IF($A496="","",INDEX('05_KAPA'!$O:$O,$A496))</f>
        <v/>
      </c>
      <c r="J496" s="202">
        <f>IF($A496="","",IFERROR(DATE(LEFT(TEXT(INDEX('05_KAPA'!$T:$T,$A496),"0"),4),MID(TEXT(INDEX('05_KAPA'!$T:$T,$A496),"0"),5,2),RIGHT(TEXT(INDEX('05_KAPA'!$T:$T,$A496),"0"),2)),""))</f>
        <v/>
      </c>
      <c r="K496">
        <f>IF(C496="","",IF('02_대상물건입력'!$B$5="",1,IF(ISNUMBER(SEARCH('02_대상물건입력'!$B$5,C496)),1,0)))</f>
        <v/>
      </c>
      <c r="L496">
        <f>IF(C496="","",IF('02_대상물건입력'!$B$6="",1,IF(ISNUMBER(SEARCH('02_대상물건입력'!$B$6,C496)),1,0)))</f>
        <v/>
      </c>
      <c r="M496">
        <f>IF(E496="","",IF('02_대상물건입력'!$B$8="",0,IF(ISNUMBER(SEARCH('02_대상물건입력'!$B$8,E496)),1,0)))</f>
        <v/>
      </c>
      <c r="N496">
        <f>IF(B496="","",IF(B496="담보",1,0))</f>
        <v/>
      </c>
      <c r="O496">
        <f>IFERROR(ABS(G496-'02_대상물건입력'!$B$11)/'02_대상물건입력'!$B$11,"")</f>
        <v/>
      </c>
      <c r="P496">
        <f>IFERROR(ABS('01_설정'!$B$4-H496),"")</f>
        <v/>
      </c>
      <c r="Q496">
        <f>IFERROR(ABS(YEAR(J496)-YEAR('02_대상물건입력'!$B$14)),"")</f>
        <v/>
      </c>
      <c r="R496">
        <f>IF(AND(G496&gt;0,H496&gt;0,I496&gt;0,N496=1,IF('01_설정'!$B$10=1,K496=1,TRUE()),O496&lt;='01_설정'!$B$5,P496&lt;='01_설정'!$B$7,Q496&lt;='01_설정'!$B$8),"Y","")</f>
        <v/>
      </c>
      <c r="S496">
        <f>IF(R496&lt;&gt;"Y","",MAX(0,(1-O496/'01_설정'!$B$5))*'01_설정'!$B$14+MAX(0,(1-P496/'01_설정'!$B$7))*'01_설정'!$B$16+MAX(0,(1-Q496/'01_설정'!$B$8))*'01_설정'!$B$17+L496*'01_설정'!$B$11+M496*'01_설정'!$B$12+N496*50)</f>
        <v/>
      </c>
      <c r="T496">
        <f>IF(S496="","",1+COUNTIFS($S$31:$S$1030,"&gt;"&amp;S496)+COUNTIFS($S$31:S496,S496)-1)</f>
        <v/>
      </c>
    </row>
    <row r="497" hidden="1" ht="16.5" customHeight="1">
      <c r="A497">
        <f>IF(COUNTA('05_KAPA'!$A468:$AO468)=0,"",470)</f>
        <v/>
      </c>
      <c r="B497">
        <f>IF($A497="","",INDEX('05_KAPA'!$B:$B,$A497))</f>
        <v/>
      </c>
      <c r="C497">
        <f>IF($A497="","",INDEX('05_KAPA'!$F:$F,$A497))</f>
        <v/>
      </c>
      <c r="D497">
        <f>IF($A497="","",INDEX('05_KAPA'!$H:$H,$A497))</f>
        <v/>
      </c>
      <c r="E497">
        <f>IF($A497="","",INDEX('05_KAPA'!$K:$K,$A497))</f>
        <v/>
      </c>
      <c r="F497">
        <f>IF($A497="","",INDEX('05_KAPA'!$L:$L,$A497))</f>
        <v/>
      </c>
      <c r="G497">
        <f>IF($A497="","",INDEX('05_KAPA'!$I:$I,$A497))</f>
        <v/>
      </c>
      <c r="H497" s="202">
        <f>IF($A497="","",INDEX('05_KAPA'!$P:$P,$A497))</f>
        <v/>
      </c>
      <c r="I497" s="118">
        <f>IF($A497="","",INDEX('05_KAPA'!$O:$O,$A497))</f>
        <v/>
      </c>
      <c r="J497" s="202">
        <f>IF($A497="","",IFERROR(DATE(LEFT(TEXT(INDEX('05_KAPA'!$T:$T,$A497),"0"),4),MID(TEXT(INDEX('05_KAPA'!$T:$T,$A497),"0"),5,2),RIGHT(TEXT(INDEX('05_KAPA'!$T:$T,$A497),"0"),2)),""))</f>
        <v/>
      </c>
      <c r="K497">
        <f>IF(C497="","",IF('02_대상물건입력'!$B$5="",1,IF(ISNUMBER(SEARCH('02_대상물건입력'!$B$5,C497)),1,0)))</f>
        <v/>
      </c>
      <c r="L497">
        <f>IF(C497="","",IF('02_대상물건입력'!$B$6="",1,IF(ISNUMBER(SEARCH('02_대상물건입력'!$B$6,C497)),1,0)))</f>
        <v/>
      </c>
      <c r="M497">
        <f>IF(E497="","",IF('02_대상물건입력'!$B$8="",0,IF(ISNUMBER(SEARCH('02_대상물건입력'!$B$8,E497)),1,0)))</f>
        <v/>
      </c>
      <c r="N497">
        <f>IF(B497="","",IF(B497="담보",1,0))</f>
        <v/>
      </c>
      <c r="O497">
        <f>IFERROR(ABS(G497-'02_대상물건입력'!$B$11)/'02_대상물건입력'!$B$11,"")</f>
        <v/>
      </c>
      <c r="P497">
        <f>IFERROR(ABS('01_설정'!$B$4-H497),"")</f>
        <v/>
      </c>
      <c r="Q497">
        <f>IFERROR(ABS(YEAR(J497)-YEAR('02_대상물건입력'!$B$14)),"")</f>
        <v/>
      </c>
      <c r="R497">
        <f>IF(AND(G497&gt;0,H497&gt;0,I497&gt;0,N497=1,IF('01_설정'!$B$10=1,K497=1,TRUE()),O497&lt;='01_설정'!$B$5,P497&lt;='01_설정'!$B$7,Q497&lt;='01_설정'!$B$8),"Y","")</f>
        <v/>
      </c>
      <c r="S497">
        <f>IF(R497&lt;&gt;"Y","",MAX(0,(1-O497/'01_설정'!$B$5))*'01_설정'!$B$14+MAX(0,(1-P497/'01_설정'!$B$7))*'01_설정'!$B$16+MAX(0,(1-Q497/'01_설정'!$B$8))*'01_설정'!$B$17+L497*'01_설정'!$B$11+M497*'01_설정'!$B$12+N497*50)</f>
        <v/>
      </c>
      <c r="T497">
        <f>IF(S497="","",1+COUNTIFS($S$31:$S$1030,"&gt;"&amp;S497)+COUNTIFS($S$31:S497,S497)-1)</f>
        <v/>
      </c>
    </row>
    <row r="498" hidden="1" ht="16.5" customHeight="1">
      <c r="A498">
        <f>IF(COUNTA('05_KAPA'!$A469:$AO469)=0,"",471)</f>
        <v/>
      </c>
      <c r="B498">
        <f>IF($A498="","",INDEX('05_KAPA'!$B:$B,$A498))</f>
        <v/>
      </c>
      <c r="C498">
        <f>IF($A498="","",INDEX('05_KAPA'!$F:$F,$A498))</f>
        <v/>
      </c>
      <c r="D498">
        <f>IF($A498="","",INDEX('05_KAPA'!$H:$H,$A498))</f>
        <v/>
      </c>
      <c r="E498">
        <f>IF($A498="","",INDEX('05_KAPA'!$K:$K,$A498))</f>
        <v/>
      </c>
      <c r="F498">
        <f>IF($A498="","",INDEX('05_KAPA'!$L:$L,$A498))</f>
        <v/>
      </c>
      <c r="G498">
        <f>IF($A498="","",INDEX('05_KAPA'!$I:$I,$A498))</f>
        <v/>
      </c>
      <c r="H498" s="202">
        <f>IF($A498="","",INDEX('05_KAPA'!$P:$P,$A498))</f>
        <v/>
      </c>
      <c r="I498" s="118">
        <f>IF($A498="","",INDEX('05_KAPA'!$O:$O,$A498))</f>
        <v/>
      </c>
      <c r="J498" s="202">
        <f>IF($A498="","",IFERROR(DATE(LEFT(TEXT(INDEX('05_KAPA'!$T:$T,$A498),"0"),4),MID(TEXT(INDEX('05_KAPA'!$T:$T,$A498),"0"),5,2),RIGHT(TEXT(INDEX('05_KAPA'!$T:$T,$A498),"0"),2)),""))</f>
        <v/>
      </c>
      <c r="K498">
        <f>IF(C498="","",IF('02_대상물건입력'!$B$5="",1,IF(ISNUMBER(SEARCH('02_대상물건입력'!$B$5,C498)),1,0)))</f>
        <v/>
      </c>
      <c r="L498">
        <f>IF(C498="","",IF('02_대상물건입력'!$B$6="",1,IF(ISNUMBER(SEARCH('02_대상물건입력'!$B$6,C498)),1,0)))</f>
        <v/>
      </c>
      <c r="M498">
        <f>IF(E498="","",IF('02_대상물건입력'!$B$8="",0,IF(ISNUMBER(SEARCH('02_대상물건입력'!$B$8,E498)),1,0)))</f>
        <v/>
      </c>
      <c r="N498">
        <f>IF(B498="","",IF(B498="담보",1,0))</f>
        <v/>
      </c>
      <c r="O498">
        <f>IFERROR(ABS(G498-'02_대상물건입력'!$B$11)/'02_대상물건입력'!$B$11,"")</f>
        <v/>
      </c>
      <c r="P498">
        <f>IFERROR(ABS('01_설정'!$B$4-H498),"")</f>
        <v/>
      </c>
      <c r="Q498">
        <f>IFERROR(ABS(YEAR(J498)-YEAR('02_대상물건입력'!$B$14)),"")</f>
        <v/>
      </c>
      <c r="R498">
        <f>IF(AND(G498&gt;0,H498&gt;0,I498&gt;0,N498=1,IF('01_설정'!$B$10=1,K498=1,TRUE()),O498&lt;='01_설정'!$B$5,P498&lt;='01_설정'!$B$7,Q498&lt;='01_설정'!$B$8),"Y","")</f>
        <v/>
      </c>
      <c r="S498">
        <f>IF(R498&lt;&gt;"Y","",MAX(0,(1-O498/'01_설정'!$B$5))*'01_설정'!$B$14+MAX(0,(1-P498/'01_설정'!$B$7))*'01_설정'!$B$16+MAX(0,(1-Q498/'01_설정'!$B$8))*'01_설정'!$B$17+L498*'01_설정'!$B$11+M498*'01_설정'!$B$12+N498*50)</f>
        <v/>
      </c>
      <c r="T498">
        <f>IF(S498="","",1+COUNTIFS($S$31:$S$1030,"&gt;"&amp;S498)+COUNTIFS($S$31:S498,S498)-1)</f>
        <v/>
      </c>
    </row>
    <row r="499" hidden="1" ht="16.5" customHeight="1">
      <c r="A499">
        <f>IF(COUNTA('05_KAPA'!$A470:$AO470)=0,"",472)</f>
        <v/>
      </c>
      <c r="B499">
        <f>IF($A499="","",INDEX('05_KAPA'!$B:$B,$A499))</f>
        <v/>
      </c>
      <c r="C499">
        <f>IF($A499="","",INDEX('05_KAPA'!$F:$F,$A499))</f>
        <v/>
      </c>
      <c r="D499">
        <f>IF($A499="","",INDEX('05_KAPA'!$H:$H,$A499))</f>
        <v/>
      </c>
      <c r="E499">
        <f>IF($A499="","",INDEX('05_KAPA'!$K:$K,$A499))</f>
        <v/>
      </c>
      <c r="F499">
        <f>IF($A499="","",INDEX('05_KAPA'!$L:$L,$A499))</f>
        <v/>
      </c>
      <c r="G499">
        <f>IF($A499="","",INDEX('05_KAPA'!$I:$I,$A499))</f>
        <v/>
      </c>
      <c r="H499" s="202">
        <f>IF($A499="","",INDEX('05_KAPA'!$P:$P,$A499))</f>
        <v/>
      </c>
      <c r="I499" s="118">
        <f>IF($A499="","",INDEX('05_KAPA'!$O:$O,$A499))</f>
        <v/>
      </c>
      <c r="J499" s="202">
        <f>IF($A499="","",IFERROR(DATE(LEFT(TEXT(INDEX('05_KAPA'!$T:$T,$A499),"0"),4),MID(TEXT(INDEX('05_KAPA'!$T:$T,$A499),"0"),5,2),RIGHT(TEXT(INDEX('05_KAPA'!$T:$T,$A499),"0"),2)),""))</f>
        <v/>
      </c>
      <c r="K499">
        <f>IF(C499="","",IF('02_대상물건입력'!$B$5="",1,IF(ISNUMBER(SEARCH('02_대상물건입력'!$B$5,C499)),1,0)))</f>
        <v/>
      </c>
      <c r="L499">
        <f>IF(C499="","",IF('02_대상물건입력'!$B$6="",1,IF(ISNUMBER(SEARCH('02_대상물건입력'!$B$6,C499)),1,0)))</f>
        <v/>
      </c>
      <c r="M499">
        <f>IF(E499="","",IF('02_대상물건입력'!$B$8="",0,IF(ISNUMBER(SEARCH('02_대상물건입력'!$B$8,E499)),1,0)))</f>
        <v/>
      </c>
      <c r="N499">
        <f>IF(B499="","",IF(B499="담보",1,0))</f>
        <v/>
      </c>
      <c r="O499">
        <f>IFERROR(ABS(G499-'02_대상물건입력'!$B$11)/'02_대상물건입력'!$B$11,"")</f>
        <v/>
      </c>
      <c r="P499">
        <f>IFERROR(ABS('01_설정'!$B$4-H499),"")</f>
        <v/>
      </c>
      <c r="Q499">
        <f>IFERROR(ABS(YEAR(J499)-YEAR('02_대상물건입력'!$B$14)),"")</f>
        <v/>
      </c>
      <c r="R499">
        <f>IF(AND(G499&gt;0,H499&gt;0,I499&gt;0,N499=1,IF('01_설정'!$B$10=1,K499=1,TRUE()),O499&lt;='01_설정'!$B$5,P499&lt;='01_설정'!$B$7,Q499&lt;='01_설정'!$B$8),"Y","")</f>
        <v/>
      </c>
      <c r="S499">
        <f>IF(R499&lt;&gt;"Y","",MAX(0,(1-O499/'01_설정'!$B$5))*'01_설정'!$B$14+MAX(0,(1-P499/'01_설정'!$B$7))*'01_설정'!$B$16+MAX(0,(1-Q499/'01_설정'!$B$8))*'01_설정'!$B$17+L499*'01_설정'!$B$11+M499*'01_설정'!$B$12+N499*50)</f>
        <v/>
      </c>
      <c r="T499">
        <f>IF(S499="","",1+COUNTIFS($S$31:$S$1030,"&gt;"&amp;S499)+COUNTIFS($S$31:S499,S499)-1)</f>
        <v/>
      </c>
    </row>
    <row r="500" hidden="1" ht="16.5" customHeight="1">
      <c r="A500">
        <f>IF(COUNTA('05_KAPA'!$A471:$AO471)=0,"",473)</f>
        <v/>
      </c>
      <c r="B500">
        <f>IF($A500="","",INDEX('05_KAPA'!$B:$B,$A500))</f>
        <v/>
      </c>
      <c r="C500">
        <f>IF($A500="","",INDEX('05_KAPA'!$F:$F,$A500))</f>
        <v/>
      </c>
      <c r="D500">
        <f>IF($A500="","",INDEX('05_KAPA'!$H:$H,$A500))</f>
        <v/>
      </c>
      <c r="E500">
        <f>IF($A500="","",INDEX('05_KAPA'!$K:$K,$A500))</f>
        <v/>
      </c>
      <c r="F500">
        <f>IF($A500="","",INDEX('05_KAPA'!$L:$L,$A500))</f>
        <v/>
      </c>
      <c r="G500">
        <f>IF($A500="","",INDEX('05_KAPA'!$I:$I,$A500))</f>
        <v/>
      </c>
      <c r="H500" s="202">
        <f>IF($A500="","",INDEX('05_KAPA'!$P:$P,$A500))</f>
        <v/>
      </c>
      <c r="I500" s="118">
        <f>IF($A500="","",INDEX('05_KAPA'!$O:$O,$A500))</f>
        <v/>
      </c>
      <c r="J500" s="202">
        <f>IF($A500="","",IFERROR(DATE(LEFT(TEXT(INDEX('05_KAPA'!$T:$T,$A500),"0"),4),MID(TEXT(INDEX('05_KAPA'!$T:$T,$A500),"0"),5,2),RIGHT(TEXT(INDEX('05_KAPA'!$T:$T,$A500),"0"),2)),""))</f>
        <v/>
      </c>
      <c r="K500">
        <f>IF(C500="","",IF('02_대상물건입력'!$B$5="",1,IF(ISNUMBER(SEARCH('02_대상물건입력'!$B$5,C500)),1,0)))</f>
        <v/>
      </c>
      <c r="L500">
        <f>IF(C500="","",IF('02_대상물건입력'!$B$6="",1,IF(ISNUMBER(SEARCH('02_대상물건입력'!$B$6,C500)),1,0)))</f>
        <v/>
      </c>
      <c r="M500">
        <f>IF(E500="","",IF('02_대상물건입력'!$B$8="",0,IF(ISNUMBER(SEARCH('02_대상물건입력'!$B$8,E500)),1,0)))</f>
        <v/>
      </c>
      <c r="N500">
        <f>IF(B500="","",IF(B500="담보",1,0))</f>
        <v/>
      </c>
      <c r="O500">
        <f>IFERROR(ABS(G500-'02_대상물건입력'!$B$11)/'02_대상물건입력'!$B$11,"")</f>
        <v/>
      </c>
      <c r="P500">
        <f>IFERROR(ABS('01_설정'!$B$4-H500),"")</f>
        <v/>
      </c>
      <c r="Q500">
        <f>IFERROR(ABS(YEAR(J500)-YEAR('02_대상물건입력'!$B$14)),"")</f>
        <v/>
      </c>
      <c r="R500">
        <f>IF(AND(G500&gt;0,H500&gt;0,I500&gt;0,N500=1,IF('01_설정'!$B$10=1,K500=1,TRUE()),O500&lt;='01_설정'!$B$5,P500&lt;='01_설정'!$B$7,Q500&lt;='01_설정'!$B$8),"Y","")</f>
        <v/>
      </c>
      <c r="S500">
        <f>IF(R500&lt;&gt;"Y","",MAX(0,(1-O500/'01_설정'!$B$5))*'01_설정'!$B$14+MAX(0,(1-P500/'01_설정'!$B$7))*'01_설정'!$B$16+MAX(0,(1-Q500/'01_설정'!$B$8))*'01_설정'!$B$17+L500*'01_설정'!$B$11+M500*'01_설정'!$B$12+N500*50)</f>
        <v/>
      </c>
      <c r="T500">
        <f>IF(S500="","",1+COUNTIFS($S$31:$S$1030,"&gt;"&amp;S500)+COUNTIFS($S$31:S500,S500)-1)</f>
        <v/>
      </c>
    </row>
    <row r="501" hidden="1" ht="16.5" customHeight="1">
      <c r="A501">
        <f>IF(COUNTA('05_KAPA'!$A472:$AO472)=0,"",474)</f>
        <v/>
      </c>
      <c r="B501">
        <f>IF($A501="","",INDEX('05_KAPA'!$B:$B,$A501))</f>
        <v/>
      </c>
      <c r="C501">
        <f>IF($A501="","",INDEX('05_KAPA'!$F:$F,$A501))</f>
        <v/>
      </c>
      <c r="D501">
        <f>IF($A501="","",INDEX('05_KAPA'!$H:$H,$A501))</f>
        <v/>
      </c>
      <c r="E501">
        <f>IF($A501="","",INDEX('05_KAPA'!$K:$K,$A501))</f>
        <v/>
      </c>
      <c r="F501">
        <f>IF($A501="","",INDEX('05_KAPA'!$L:$L,$A501))</f>
        <v/>
      </c>
      <c r="G501">
        <f>IF($A501="","",INDEX('05_KAPA'!$I:$I,$A501))</f>
        <v/>
      </c>
      <c r="H501" s="202">
        <f>IF($A501="","",INDEX('05_KAPA'!$P:$P,$A501))</f>
        <v/>
      </c>
      <c r="I501" s="118">
        <f>IF($A501="","",INDEX('05_KAPA'!$O:$O,$A501))</f>
        <v/>
      </c>
      <c r="J501" s="202">
        <f>IF($A501="","",IFERROR(DATE(LEFT(TEXT(INDEX('05_KAPA'!$T:$T,$A501),"0"),4),MID(TEXT(INDEX('05_KAPA'!$T:$T,$A501),"0"),5,2),RIGHT(TEXT(INDEX('05_KAPA'!$T:$T,$A501),"0"),2)),""))</f>
        <v/>
      </c>
      <c r="K501">
        <f>IF(C501="","",IF('02_대상물건입력'!$B$5="",1,IF(ISNUMBER(SEARCH('02_대상물건입력'!$B$5,C501)),1,0)))</f>
        <v/>
      </c>
      <c r="L501">
        <f>IF(C501="","",IF('02_대상물건입력'!$B$6="",1,IF(ISNUMBER(SEARCH('02_대상물건입력'!$B$6,C501)),1,0)))</f>
        <v/>
      </c>
      <c r="M501">
        <f>IF(E501="","",IF('02_대상물건입력'!$B$8="",0,IF(ISNUMBER(SEARCH('02_대상물건입력'!$B$8,E501)),1,0)))</f>
        <v/>
      </c>
      <c r="N501">
        <f>IF(B501="","",IF(B501="담보",1,0))</f>
        <v/>
      </c>
      <c r="O501">
        <f>IFERROR(ABS(G501-'02_대상물건입력'!$B$11)/'02_대상물건입력'!$B$11,"")</f>
        <v/>
      </c>
      <c r="P501">
        <f>IFERROR(ABS('01_설정'!$B$4-H501),"")</f>
        <v/>
      </c>
      <c r="Q501">
        <f>IFERROR(ABS(YEAR(J501)-YEAR('02_대상물건입력'!$B$14)),"")</f>
        <v/>
      </c>
      <c r="R501">
        <f>IF(AND(G501&gt;0,H501&gt;0,I501&gt;0,N501=1,IF('01_설정'!$B$10=1,K501=1,TRUE()),O501&lt;='01_설정'!$B$5,P501&lt;='01_설정'!$B$7,Q501&lt;='01_설정'!$B$8),"Y","")</f>
        <v/>
      </c>
      <c r="S501">
        <f>IF(R501&lt;&gt;"Y","",MAX(0,(1-O501/'01_설정'!$B$5))*'01_설정'!$B$14+MAX(0,(1-P501/'01_설정'!$B$7))*'01_설정'!$B$16+MAX(0,(1-Q501/'01_설정'!$B$8))*'01_설정'!$B$17+L501*'01_설정'!$B$11+M501*'01_설정'!$B$12+N501*50)</f>
        <v/>
      </c>
      <c r="T501">
        <f>IF(S501="","",1+COUNTIFS($S$31:$S$1030,"&gt;"&amp;S501)+COUNTIFS($S$31:S501,S501)-1)</f>
        <v/>
      </c>
    </row>
    <row r="502" hidden="1" ht="16.5" customHeight="1">
      <c r="A502">
        <f>IF(COUNTA('05_KAPA'!$A473:$AO473)=0,"",475)</f>
        <v/>
      </c>
      <c r="B502">
        <f>IF($A502="","",INDEX('05_KAPA'!$B:$B,$A502))</f>
        <v/>
      </c>
      <c r="C502">
        <f>IF($A502="","",INDEX('05_KAPA'!$F:$F,$A502))</f>
        <v/>
      </c>
      <c r="D502">
        <f>IF($A502="","",INDEX('05_KAPA'!$H:$H,$A502))</f>
        <v/>
      </c>
      <c r="E502">
        <f>IF($A502="","",INDEX('05_KAPA'!$K:$K,$A502))</f>
        <v/>
      </c>
      <c r="F502">
        <f>IF($A502="","",INDEX('05_KAPA'!$L:$L,$A502))</f>
        <v/>
      </c>
      <c r="G502">
        <f>IF($A502="","",INDEX('05_KAPA'!$I:$I,$A502))</f>
        <v/>
      </c>
      <c r="H502" s="202">
        <f>IF($A502="","",INDEX('05_KAPA'!$P:$P,$A502))</f>
        <v/>
      </c>
      <c r="I502" s="118">
        <f>IF($A502="","",INDEX('05_KAPA'!$O:$O,$A502))</f>
        <v/>
      </c>
      <c r="J502" s="202">
        <f>IF($A502="","",IFERROR(DATE(LEFT(TEXT(INDEX('05_KAPA'!$T:$T,$A502),"0"),4),MID(TEXT(INDEX('05_KAPA'!$T:$T,$A502),"0"),5,2),RIGHT(TEXT(INDEX('05_KAPA'!$T:$T,$A502),"0"),2)),""))</f>
        <v/>
      </c>
      <c r="K502">
        <f>IF(C502="","",IF('02_대상물건입력'!$B$5="",1,IF(ISNUMBER(SEARCH('02_대상물건입력'!$B$5,C502)),1,0)))</f>
        <v/>
      </c>
      <c r="L502">
        <f>IF(C502="","",IF('02_대상물건입력'!$B$6="",1,IF(ISNUMBER(SEARCH('02_대상물건입력'!$B$6,C502)),1,0)))</f>
        <v/>
      </c>
      <c r="M502">
        <f>IF(E502="","",IF('02_대상물건입력'!$B$8="",0,IF(ISNUMBER(SEARCH('02_대상물건입력'!$B$8,E502)),1,0)))</f>
        <v/>
      </c>
      <c r="N502">
        <f>IF(B502="","",IF(B502="담보",1,0))</f>
        <v/>
      </c>
      <c r="O502">
        <f>IFERROR(ABS(G502-'02_대상물건입력'!$B$11)/'02_대상물건입력'!$B$11,"")</f>
        <v/>
      </c>
      <c r="P502">
        <f>IFERROR(ABS('01_설정'!$B$4-H502),"")</f>
        <v/>
      </c>
      <c r="Q502">
        <f>IFERROR(ABS(YEAR(J502)-YEAR('02_대상물건입력'!$B$14)),"")</f>
        <v/>
      </c>
      <c r="R502">
        <f>IF(AND(G502&gt;0,H502&gt;0,I502&gt;0,N502=1,IF('01_설정'!$B$10=1,K502=1,TRUE()),O502&lt;='01_설정'!$B$5,P502&lt;='01_설정'!$B$7,Q502&lt;='01_설정'!$B$8),"Y","")</f>
        <v/>
      </c>
      <c r="S502">
        <f>IF(R502&lt;&gt;"Y","",MAX(0,(1-O502/'01_설정'!$B$5))*'01_설정'!$B$14+MAX(0,(1-P502/'01_설정'!$B$7))*'01_설정'!$B$16+MAX(0,(1-Q502/'01_설정'!$B$8))*'01_설정'!$B$17+L502*'01_설정'!$B$11+M502*'01_설정'!$B$12+N502*50)</f>
        <v/>
      </c>
      <c r="T502">
        <f>IF(S502="","",1+COUNTIFS($S$31:$S$1030,"&gt;"&amp;S502)+COUNTIFS($S$31:S502,S502)-1)</f>
        <v/>
      </c>
    </row>
    <row r="503" hidden="1" ht="16.5" customHeight="1">
      <c r="A503">
        <f>IF(COUNTA('05_KAPA'!$A474:$AO474)=0,"",476)</f>
        <v/>
      </c>
      <c r="B503">
        <f>IF($A503="","",INDEX('05_KAPA'!$B:$B,$A503))</f>
        <v/>
      </c>
      <c r="C503">
        <f>IF($A503="","",INDEX('05_KAPA'!$F:$F,$A503))</f>
        <v/>
      </c>
      <c r="D503">
        <f>IF($A503="","",INDEX('05_KAPA'!$H:$H,$A503))</f>
        <v/>
      </c>
      <c r="E503">
        <f>IF($A503="","",INDEX('05_KAPA'!$K:$K,$A503))</f>
        <v/>
      </c>
      <c r="F503">
        <f>IF($A503="","",INDEX('05_KAPA'!$L:$L,$A503))</f>
        <v/>
      </c>
      <c r="G503">
        <f>IF($A503="","",INDEX('05_KAPA'!$I:$I,$A503))</f>
        <v/>
      </c>
      <c r="H503" s="202">
        <f>IF($A503="","",INDEX('05_KAPA'!$P:$P,$A503))</f>
        <v/>
      </c>
      <c r="I503" s="118">
        <f>IF($A503="","",INDEX('05_KAPA'!$O:$O,$A503))</f>
        <v/>
      </c>
      <c r="J503" s="202">
        <f>IF($A503="","",IFERROR(DATE(LEFT(TEXT(INDEX('05_KAPA'!$T:$T,$A503),"0"),4),MID(TEXT(INDEX('05_KAPA'!$T:$T,$A503),"0"),5,2),RIGHT(TEXT(INDEX('05_KAPA'!$T:$T,$A503),"0"),2)),""))</f>
        <v/>
      </c>
      <c r="K503">
        <f>IF(C503="","",IF('02_대상물건입력'!$B$5="",1,IF(ISNUMBER(SEARCH('02_대상물건입력'!$B$5,C503)),1,0)))</f>
        <v/>
      </c>
      <c r="L503">
        <f>IF(C503="","",IF('02_대상물건입력'!$B$6="",1,IF(ISNUMBER(SEARCH('02_대상물건입력'!$B$6,C503)),1,0)))</f>
        <v/>
      </c>
      <c r="M503">
        <f>IF(E503="","",IF('02_대상물건입력'!$B$8="",0,IF(ISNUMBER(SEARCH('02_대상물건입력'!$B$8,E503)),1,0)))</f>
        <v/>
      </c>
      <c r="N503">
        <f>IF(B503="","",IF(B503="담보",1,0))</f>
        <v/>
      </c>
      <c r="O503">
        <f>IFERROR(ABS(G503-'02_대상물건입력'!$B$11)/'02_대상물건입력'!$B$11,"")</f>
        <v/>
      </c>
      <c r="P503">
        <f>IFERROR(ABS('01_설정'!$B$4-H503),"")</f>
        <v/>
      </c>
      <c r="Q503">
        <f>IFERROR(ABS(YEAR(J503)-YEAR('02_대상물건입력'!$B$14)),"")</f>
        <v/>
      </c>
      <c r="R503">
        <f>IF(AND(G503&gt;0,H503&gt;0,I503&gt;0,N503=1,IF('01_설정'!$B$10=1,K503=1,TRUE()),O503&lt;='01_설정'!$B$5,P503&lt;='01_설정'!$B$7,Q503&lt;='01_설정'!$B$8),"Y","")</f>
        <v/>
      </c>
      <c r="S503">
        <f>IF(R503&lt;&gt;"Y","",MAX(0,(1-O503/'01_설정'!$B$5))*'01_설정'!$B$14+MAX(0,(1-P503/'01_설정'!$B$7))*'01_설정'!$B$16+MAX(0,(1-Q503/'01_설정'!$B$8))*'01_설정'!$B$17+L503*'01_설정'!$B$11+M503*'01_설정'!$B$12+N503*50)</f>
        <v/>
      </c>
      <c r="T503">
        <f>IF(S503="","",1+COUNTIFS($S$31:$S$1030,"&gt;"&amp;S503)+COUNTIFS($S$31:S503,S503)-1)</f>
        <v/>
      </c>
    </row>
    <row r="504" hidden="1" ht="16.5" customHeight="1">
      <c r="A504">
        <f>IF(COUNTA('05_KAPA'!$A475:$AO475)=0,"",477)</f>
        <v/>
      </c>
      <c r="B504">
        <f>IF($A504="","",INDEX('05_KAPA'!$B:$B,$A504))</f>
        <v/>
      </c>
      <c r="C504">
        <f>IF($A504="","",INDEX('05_KAPA'!$F:$F,$A504))</f>
        <v/>
      </c>
      <c r="D504">
        <f>IF($A504="","",INDEX('05_KAPA'!$H:$H,$A504))</f>
        <v/>
      </c>
      <c r="E504">
        <f>IF($A504="","",INDEX('05_KAPA'!$K:$K,$A504))</f>
        <v/>
      </c>
      <c r="F504">
        <f>IF($A504="","",INDEX('05_KAPA'!$L:$L,$A504))</f>
        <v/>
      </c>
      <c r="G504">
        <f>IF($A504="","",INDEX('05_KAPA'!$I:$I,$A504))</f>
        <v/>
      </c>
      <c r="H504" s="202">
        <f>IF($A504="","",INDEX('05_KAPA'!$P:$P,$A504))</f>
        <v/>
      </c>
      <c r="I504" s="118">
        <f>IF($A504="","",INDEX('05_KAPA'!$O:$O,$A504))</f>
        <v/>
      </c>
      <c r="J504" s="202">
        <f>IF($A504="","",IFERROR(DATE(LEFT(TEXT(INDEX('05_KAPA'!$T:$T,$A504),"0"),4),MID(TEXT(INDEX('05_KAPA'!$T:$T,$A504),"0"),5,2),RIGHT(TEXT(INDEX('05_KAPA'!$T:$T,$A504),"0"),2)),""))</f>
        <v/>
      </c>
      <c r="K504">
        <f>IF(C504="","",IF('02_대상물건입력'!$B$5="",1,IF(ISNUMBER(SEARCH('02_대상물건입력'!$B$5,C504)),1,0)))</f>
        <v/>
      </c>
      <c r="L504">
        <f>IF(C504="","",IF('02_대상물건입력'!$B$6="",1,IF(ISNUMBER(SEARCH('02_대상물건입력'!$B$6,C504)),1,0)))</f>
        <v/>
      </c>
      <c r="M504">
        <f>IF(E504="","",IF('02_대상물건입력'!$B$8="",0,IF(ISNUMBER(SEARCH('02_대상물건입력'!$B$8,E504)),1,0)))</f>
        <v/>
      </c>
      <c r="N504">
        <f>IF(B504="","",IF(B504="담보",1,0))</f>
        <v/>
      </c>
      <c r="O504">
        <f>IFERROR(ABS(G504-'02_대상물건입력'!$B$11)/'02_대상물건입력'!$B$11,"")</f>
        <v/>
      </c>
      <c r="P504">
        <f>IFERROR(ABS('01_설정'!$B$4-H504),"")</f>
        <v/>
      </c>
      <c r="Q504">
        <f>IFERROR(ABS(YEAR(J504)-YEAR('02_대상물건입력'!$B$14)),"")</f>
        <v/>
      </c>
      <c r="R504">
        <f>IF(AND(G504&gt;0,H504&gt;0,I504&gt;0,N504=1,IF('01_설정'!$B$10=1,K504=1,TRUE()),O504&lt;='01_설정'!$B$5,P504&lt;='01_설정'!$B$7,Q504&lt;='01_설정'!$B$8),"Y","")</f>
        <v/>
      </c>
      <c r="S504">
        <f>IF(R504&lt;&gt;"Y","",MAX(0,(1-O504/'01_설정'!$B$5))*'01_설정'!$B$14+MAX(0,(1-P504/'01_설정'!$B$7))*'01_설정'!$B$16+MAX(0,(1-Q504/'01_설정'!$B$8))*'01_설정'!$B$17+L504*'01_설정'!$B$11+M504*'01_설정'!$B$12+N504*50)</f>
        <v/>
      </c>
      <c r="T504">
        <f>IF(S504="","",1+COUNTIFS($S$31:$S$1030,"&gt;"&amp;S504)+COUNTIFS($S$31:S504,S504)-1)</f>
        <v/>
      </c>
    </row>
    <row r="505" hidden="1" ht="16.5" customHeight="1">
      <c r="A505">
        <f>IF(COUNTA('05_KAPA'!$A476:$AO476)=0,"",478)</f>
        <v/>
      </c>
      <c r="B505">
        <f>IF($A505="","",INDEX('05_KAPA'!$B:$B,$A505))</f>
        <v/>
      </c>
      <c r="C505">
        <f>IF($A505="","",INDEX('05_KAPA'!$F:$F,$A505))</f>
        <v/>
      </c>
      <c r="D505">
        <f>IF($A505="","",INDEX('05_KAPA'!$H:$H,$A505))</f>
        <v/>
      </c>
      <c r="E505">
        <f>IF($A505="","",INDEX('05_KAPA'!$K:$K,$A505))</f>
        <v/>
      </c>
      <c r="F505">
        <f>IF($A505="","",INDEX('05_KAPA'!$L:$L,$A505))</f>
        <v/>
      </c>
      <c r="G505">
        <f>IF($A505="","",INDEX('05_KAPA'!$I:$I,$A505))</f>
        <v/>
      </c>
      <c r="H505" s="202">
        <f>IF($A505="","",INDEX('05_KAPA'!$P:$P,$A505))</f>
        <v/>
      </c>
      <c r="I505" s="118">
        <f>IF($A505="","",INDEX('05_KAPA'!$O:$O,$A505))</f>
        <v/>
      </c>
      <c r="J505" s="202">
        <f>IF($A505="","",IFERROR(DATE(LEFT(TEXT(INDEX('05_KAPA'!$T:$T,$A505),"0"),4),MID(TEXT(INDEX('05_KAPA'!$T:$T,$A505),"0"),5,2),RIGHT(TEXT(INDEX('05_KAPA'!$T:$T,$A505),"0"),2)),""))</f>
        <v/>
      </c>
      <c r="K505">
        <f>IF(C505="","",IF('02_대상물건입력'!$B$5="",1,IF(ISNUMBER(SEARCH('02_대상물건입력'!$B$5,C505)),1,0)))</f>
        <v/>
      </c>
      <c r="L505">
        <f>IF(C505="","",IF('02_대상물건입력'!$B$6="",1,IF(ISNUMBER(SEARCH('02_대상물건입력'!$B$6,C505)),1,0)))</f>
        <v/>
      </c>
      <c r="M505">
        <f>IF(E505="","",IF('02_대상물건입력'!$B$8="",0,IF(ISNUMBER(SEARCH('02_대상물건입력'!$B$8,E505)),1,0)))</f>
        <v/>
      </c>
      <c r="N505">
        <f>IF(B505="","",IF(B505="담보",1,0))</f>
        <v/>
      </c>
      <c r="O505">
        <f>IFERROR(ABS(G505-'02_대상물건입력'!$B$11)/'02_대상물건입력'!$B$11,"")</f>
        <v/>
      </c>
      <c r="P505">
        <f>IFERROR(ABS('01_설정'!$B$4-H505),"")</f>
        <v/>
      </c>
      <c r="Q505">
        <f>IFERROR(ABS(YEAR(J505)-YEAR('02_대상물건입력'!$B$14)),"")</f>
        <v/>
      </c>
      <c r="R505">
        <f>IF(AND(G505&gt;0,H505&gt;0,I505&gt;0,N505=1,IF('01_설정'!$B$10=1,K505=1,TRUE()),O505&lt;='01_설정'!$B$5,P505&lt;='01_설정'!$B$7,Q505&lt;='01_설정'!$B$8),"Y","")</f>
        <v/>
      </c>
      <c r="S505">
        <f>IF(R505&lt;&gt;"Y","",MAX(0,(1-O505/'01_설정'!$B$5))*'01_설정'!$B$14+MAX(0,(1-P505/'01_설정'!$B$7))*'01_설정'!$B$16+MAX(0,(1-Q505/'01_설정'!$B$8))*'01_설정'!$B$17+L505*'01_설정'!$B$11+M505*'01_설정'!$B$12+N505*50)</f>
        <v/>
      </c>
      <c r="T505">
        <f>IF(S505="","",1+COUNTIFS($S$31:$S$1030,"&gt;"&amp;S505)+COUNTIFS($S$31:S505,S505)-1)</f>
        <v/>
      </c>
    </row>
    <row r="506" hidden="1" ht="16.5" customHeight="1">
      <c r="A506">
        <f>IF(COUNTA('05_KAPA'!$A477:$AO477)=0,"",479)</f>
        <v/>
      </c>
      <c r="B506">
        <f>IF($A506="","",INDEX('05_KAPA'!$B:$B,$A506))</f>
        <v/>
      </c>
      <c r="C506">
        <f>IF($A506="","",INDEX('05_KAPA'!$F:$F,$A506))</f>
        <v/>
      </c>
      <c r="D506">
        <f>IF($A506="","",INDEX('05_KAPA'!$H:$H,$A506))</f>
        <v/>
      </c>
      <c r="E506">
        <f>IF($A506="","",INDEX('05_KAPA'!$K:$K,$A506))</f>
        <v/>
      </c>
      <c r="F506">
        <f>IF($A506="","",INDEX('05_KAPA'!$L:$L,$A506))</f>
        <v/>
      </c>
      <c r="G506">
        <f>IF($A506="","",INDEX('05_KAPA'!$I:$I,$A506))</f>
        <v/>
      </c>
      <c r="H506" s="202">
        <f>IF($A506="","",INDEX('05_KAPA'!$P:$P,$A506))</f>
        <v/>
      </c>
      <c r="I506" s="118">
        <f>IF($A506="","",INDEX('05_KAPA'!$O:$O,$A506))</f>
        <v/>
      </c>
      <c r="J506" s="202">
        <f>IF($A506="","",IFERROR(DATE(LEFT(TEXT(INDEX('05_KAPA'!$T:$T,$A506),"0"),4),MID(TEXT(INDEX('05_KAPA'!$T:$T,$A506),"0"),5,2),RIGHT(TEXT(INDEX('05_KAPA'!$T:$T,$A506),"0"),2)),""))</f>
        <v/>
      </c>
      <c r="K506">
        <f>IF(C506="","",IF('02_대상물건입력'!$B$5="",1,IF(ISNUMBER(SEARCH('02_대상물건입력'!$B$5,C506)),1,0)))</f>
        <v/>
      </c>
      <c r="L506">
        <f>IF(C506="","",IF('02_대상물건입력'!$B$6="",1,IF(ISNUMBER(SEARCH('02_대상물건입력'!$B$6,C506)),1,0)))</f>
        <v/>
      </c>
      <c r="M506">
        <f>IF(E506="","",IF('02_대상물건입력'!$B$8="",0,IF(ISNUMBER(SEARCH('02_대상물건입력'!$B$8,E506)),1,0)))</f>
        <v/>
      </c>
      <c r="N506">
        <f>IF(B506="","",IF(B506="담보",1,0))</f>
        <v/>
      </c>
      <c r="O506">
        <f>IFERROR(ABS(G506-'02_대상물건입력'!$B$11)/'02_대상물건입력'!$B$11,"")</f>
        <v/>
      </c>
      <c r="P506">
        <f>IFERROR(ABS('01_설정'!$B$4-H506),"")</f>
        <v/>
      </c>
      <c r="Q506">
        <f>IFERROR(ABS(YEAR(J506)-YEAR('02_대상물건입력'!$B$14)),"")</f>
        <v/>
      </c>
      <c r="R506">
        <f>IF(AND(G506&gt;0,H506&gt;0,I506&gt;0,N506=1,IF('01_설정'!$B$10=1,K506=1,TRUE()),O506&lt;='01_설정'!$B$5,P506&lt;='01_설정'!$B$7,Q506&lt;='01_설정'!$B$8),"Y","")</f>
        <v/>
      </c>
      <c r="S506">
        <f>IF(R506&lt;&gt;"Y","",MAX(0,(1-O506/'01_설정'!$B$5))*'01_설정'!$B$14+MAX(0,(1-P506/'01_설정'!$B$7))*'01_설정'!$B$16+MAX(0,(1-Q506/'01_설정'!$B$8))*'01_설정'!$B$17+L506*'01_설정'!$B$11+M506*'01_설정'!$B$12+N506*50)</f>
        <v/>
      </c>
      <c r="T506">
        <f>IF(S506="","",1+COUNTIFS($S$31:$S$1030,"&gt;"&amp;S506)+COUNTIFS($S$31:S506,S506)-1)</f>
        <v/>
      </c>
    </row>
    <row r="507" hidden="1" ht="16.5" customHeight="1">
      <c r="A507">
        <f>IF(COUNTA('05_KAPA'!$A478:$AO478)=0,"",480)</f>
        <v/>
      </c>
      <c r="B507">
        <f>IF($A507="","",INDEX('05_KAPA'!$B:$B,$A507))</f>
        <v/>
      </c>
      <c r="C507">
        <f>IF($A507="","",INDEX('05_KAPA'!$F:$F,$A507))</f>
        <v/>
      </c>
      <c r="D507">
        <f>IF($A507="","",INDEX('05_KAPA'!$H:$H,$A507))</f>
        <v/>
      </c>
      <c r="E507">
        <f>IF($A507="","",INDEX('05_KAPA'!$K:$K,$A507))</f>
        <v/>
      </c>
      <c r="F507">
        <f>IF($A507="","",INDEX('05_KAPA'!$L:$L,$A507))</f>
        <v/>
      </c>
      <c r="G507">
        <f>IF($A507="","",INDEX('05_KAPA'!$I:$I,$A507))</f>
        <v/>
      </c>
      <c r="H507" s="202">
        <f>IF($A507="","",INDEX('05_KAPA'!$P:$P,$A507))</f>
        <v/>
      </c>
      <c r="I507" s="118">
        <f>IF($A507="","",INDEX('05_KAPA'!$O:$O,$A507))</f>
        <v/>
      </c>
      <c r="J507" s="202">
        <f>IF($A507="","",IFERROR(DATE(LEFT(TEXT(INDEX('05_KAPA'!$T:$T,$A507),"0"),4),MID(TEXT(INDEX('05_KAPA'!$T:$T,$A507),"0"),5,2),RIGHT(TEXT(INDEX('05_KAPA'!$T:$T,$A507),"0"),2)),""))</f>
        <v/>
      </c>
      <c r="K507">
        <f>IF(C507="","",IF('02_대상물건입력'!$B$5="",1,IF(ISNUMBER(SEARCH('02_대상물건입력'!$B$5,C507)),1,0)))</f>
        <v/>
      </c>
      <c r="L507">
        <f>IF(C507="","",IF('02_대상물건입력'!$B$6="",1,IF(ISNUMBER(SEARCH('02_대상물건입력'!$B$6,C507)),1,0)))</f>
        <v/>
      </c>
      <c r="M507">
        <f>IF(E507="","",IF('02_대상물건입력'!$B$8="",0,IF(ISNUMBER(SEARCH('02_대상물건입력'!$B$8,E507)),1,0)))</f>
        <v/>
      </c>
      <c r="N507">
        <f>IF(B507="","",IF(B507="담보",1,0))</f>
        <v/>
      </c>
      <c r="O507">
        <f>IFERROR(ABS(G507-'02_대상물건입력'!$B$11)/'02_대상물건입력'!$B$11,"")</f>
        <v/>
      </c>
      <c r="P507">
        <f>IFERROR(ABS('01_설정'!$B$4-H507),"")</f>
        <v/>
      </c>
      <c r="Q507">
        <f>IFERROR(ABS(YEAR(J507)-YEAR('02_대상물건입력'!$B$14)),"")</f>
        <v/>
      </c>
      <c r="R507">
        <f>IF(AND(G507&gt;0,H507&gt;0,I507&gt;0,N507=1,IF('01_설정'!$B$10=1,K507=1,TRUE()),O507&lt;='01_설정'!$B$5,P507&lt;='01_설정'!$B$7,Q507&lt;='01_설정'!$B$8),"Y","")</f>
        <v/>
      </c>
      <c r="S507">
        <f>IF(R507&lt;&gt;"Y","",MAX(0,(1-O507/'01_설정'!$B$5))*'01_설정'!$B$14+MAX(0,(1-P507/'01_설정'!$B$7))*'01_설정'!$B$16+MAX(0,(1-Q507/'01_설정'!$B$8))*'01_설정'!$B$17+L507*'01_설정'!$B$11+M507*'01_설정'!$B$12+N507*50)</f>
        <v/>
      </c>
      <c r="T507">
        <f>IF(S507="","",1+COUNTIFS($S$31:$S$1030,"&gt;"&amp;S507)+COUNTIFS($S$31:S507,S507)-1)</f>
        <v/>
      </c>
    </row>
    <row r="508" hidden="1" ht="16.5" customHeight="1">
      <c r="A508">
        <f>IF(COUNTA('05_KAPA'!$A479:$AO479)=0,"",481)</f>
        <v/>
      </c>
      <c r="B508">
        <f>IF($A508="","",INDEX('05_KAPA'!$B:$B,$A508))</f>
        <v/>
      </c>
      <c r="C508">
        <f>IF($A508="","",INDEX('05_KAPA'!$F:$F,$A508))</f>
        <v/>
      </c>
      <c r="D508">
        <f>IF($A508="","",INDEX('05_KAPA'!$H:$H,$A508))</f>
        <v/>
      </c>
      <c r="E508">
        <f>IF($A508="","",INDEX('05_KAPA'!$K:$K,$A508))</f>
        <v/>
      </c>
      <c r="F508">
        <f>IF($A508="","",INDEX('05_KAPA'!$L:$L,$A508))</f>
        <v/>
      </c>
      <c r="G508">
        <f>IF($A508="","",INDEX('05_KAPA'!$I:$I,$A508))</f>
        <v/>
      </c>
      <c r="H508" s="202">
        <f>IF($A508="","",INDEX('05_KAPA'!$P:$P,$A508))</f>
        <v/>
      </c>
      <c r="I508" s="118">
        <f>IF($A508="","",INDEX('05_KAPA'!$O:$O,$A508))</f>
        <v/>
      </c>
      <c r="J508" s="202">
        <f>IF($A508="","",IFERROR(DATE(LEFT(TEXT(INDEX('05_KAPA'!$T:$T,$A508),"0"),4),MID(TEXT(INDEX('05_KAPA'!$T:$T,$A508),"0"),5,2),RIGHT(TEXT(INDEX('05_KAPA'!$T:$T,$A508),"0"),2)),""))</f>
        <v/>
      </c>
      <c r="K508">
        <f>IF(C508="","",IF('02_대상물건입력'!$B$5="",1,IF(ISNUMBER(SEARCH('02_대상물건입력'!$B$5,C508)),1,0)))</f>
        <v/>
      </c>
      <c r="L508">
        <f>IF(C508="","",IF('02_대상물건입력'!$B$6="",1,IF(ISNUMBER(SEARCH('02_대상물건입력'!$B$6,C508)),1,0)))</f>
        <v/>
      </c>
      <c r="M508">
        <f>IF(E508="","",IF('02_대상물건입력'!$B$8="",0,IF(ISNUMBER(SEARCH('02_대상물건입력'!$B$8,E508)),1,0)))</f>
        <v/>
      </c>
      <c r="N508">
        <f>IF(B508="","",IF(B508="담보",1,0))</f>
        <v/>
      </c>
      <c r="O508">
        <f>IFERROR(ABS(G508-'02_대상물건입력'!$B$11)/'02_대상물건입력'!$B$11,"")</f>
        <v/>
      </c>
      <c r="P508">
        <f>IFERROR(ABS('01_설정'!$B$4-H508),"")</f>
        <v/>
      </c>
      <c r="Q508">
        <f>IFERROR(ABS(YEAR(J508)-YEAR('02_대상물건입력'!$B$14)),"")</f>
        <v/>
      </c>
      <c r="R508">
        <f>IF(AND(G508&gt;0,H508&gt;0,I508&gt;0,N508=1,IF('01_설정'!$B$10=1,K508=1,TRUE()),O508&lt;='01_설정'!$B$5,P508&lt;='01_설정'!$B$7,Q508&lt;='01_설정'!$B$8),"Y","")</f>
        <v/>
      </c>
      <c r="S508">
        <f>IF(R508&lt;&gt;"Y","",MAX(0,(1-O508/'01_설정'!$B$5))*'01_설정'!$B$14+MAX(0,(1-P508/'01_설정'!$B$7))*'01_설정'!$B$16+MAX(0,(1-Q508/'01_설정'!$B$8))*'01_설정'!$B$17+L508*'01_설정'!$B$11+M508*'01_설정'!$B$12+N508*50)</f>
        <v/>
      </c>
      <c r="T508">
        <f>IF(S508="","",1+COUNTIFS($S$31:$S$1030,"&gt;"&amp;S508)+COUNTIFS($S$31:S508,S508)-1)</f>
        <v/>
      </c>
    </row>
    <row r="509" hidden="1" ht="16.5" customHeight="1">
      <c r="A509">
        <f>IF(COUNTA('05_KAPA'!$A480:$AO480)=0,"",482)</f>
        <v/>
      </c>
      <c r="B509">
        <f>IF($A509="","",INDEX('05_KAPA'!$B:$B,$A509))</f>
        <v/>
      </c>
      <c r="C509">
        <f>IF($A509="","",INDEX('05_KAPA'!$F:$F,$A509))</f>
        <v/>
      </c>
      <c r="D509">
        <f>IF($A509="","",INDEX('05_KAPA'!$H:$H,$A509))</f>
        <v/>
      </c>
      <c r="E509">
        <f>IF($A509="","",INDEX('05_KAPA'!$K:$K,$A509))</f>
        <v/>
      </c>
      <c r="F509">
        <f>IF($A509="","",INDEX('05_KAPA'!$L:$L,$A509))</f>
        <v/>
      </c>
      <c r="G509">
        <f>IF($A509="","",INDEX('05_KAPA'!$I:$I,$A509))</f>
        <v/>
      </c>
      <c r="H509" s="202">
        <f>IF($A509="","",INDEX('05_KAPA'!$P:$P,$A509))</f>
        <v/>
      </c>
      <c r="I509" s="118">
        <f>IF($A509="","",INDEX('05_KAPA'!$O:$O,$A509))</f>
        <v/>
      </c>
      <c r="J509" s="202">
        <f>IF($A509="","",IFERROR(DATE(LEFT(TEXT(INDEX('05_KAPA'!$T:$T,$A509),"0"),4),MID(TEXT(INDEX('05_KAPA'!$T:$T,$A509),"0"),5,2),RIGHT(TEXT(INDEX('05_KAPA'!$T:$T,$A509),"0"),2)),""))</f>
        <v/>
      </c>
      <c r="K509">
        <f>IF(C509="","",IF('02_대상물건입력'!$B$5="",1,IF(ISNUMBER(SEARCH('02_대상물건입력'!$B$5,C509)),1,0)))</f>
        <v/>
      </c>
      <c r="L509">
        <f>IF(C509="","",IF('02_대상물건입력'!$B$6="",1,IF(ISNUMBER(SEARCH('02_대상물건입력'!$B$6,C509)),1,0)))</f>
        <v/>
      </c>
      <c r="M509">
        <f>IF(E509="","",IF('02_대상물건입력'!$B$8="",0,IF(ISNUMBER(SEARCH('02_대상물건입력'!$B$8,E509)),1,0)))</f>
        <v/>
      </c>
      <c r="N509">
        <f>IF(B509="","",IF(B509="담보",1,0))</f>
        <v/>
      </c>
      <c r="O509">
        <f>IFERROR(ABS(G509-'02_대상물건입력'!$B$11)/'02_대상물건입력'!$B$11,"")</f>
        <v/>
      </c>
      <c r="P509">
        <f>IFERROR(ABS('01_설정'!$B$4-H509),"")</f>
        <v/>
      </c>
      <c r="Q509">
        <f>IFERROR(ABS(YEAR(J509)-YEAR('02_대상물건입력'!$B$14)),"")</f>
        <v/>
      </c>
      <c r="R509">
        <f>IF(AND(G509&gt;0,H509&gt;0,I509&gt;0,N509=1,IF('01_설정'!$B$10=1,K509=1,TRUE()),O509&lt;='01_설정'!$B$5,P509&lt;='01_설정'!$B$7,Q509&lt;='01_설정'!$B$8),"Y","")</f>
        <v/>
      </c>
      <c r="S509">
        <f>IF(R509&lt;&gt;"Y","",MAX(0,(1-O509/'01_설정'!$B$5))*'01_설정'!$B$14+MAX(0,(1-P509/'01_설정'!$B$7))*'01_설정'!$B$16+MAX(0,(1-Q509/'01_설정'!$B$8))*'01_설정'!$B$17+L509*'01_설정'!$B$11+M509*'01_설정'!$B$12+N509*50)</f>
        <v/>
      </c>
      <c r="T509">
        <f>IF(S509="","",1+COUNTIFS($S$31:$S$1030,"&gt;"&amp;S509)+COUNTIFS($S$31:S509,S509)-1)</f>
        <v/>
      </c>
    </row>
    <row r="510" hidden="1" ht="16.5" customHeight="1">
      <c r="A510">
        <f>IF(COUNTA('05_KAPA'!$A481:$AO481)=0,"",483)</f>
        <v/>
      </c>
      <c r="B510">
        <f>IF($A510="","",INDEX('05_KAPA'!$B:$B,$A510))</f>
        <v/>
      </c>
      <c r="C510">
        <f>IF($A510="","",INDEX('05_KAPA'!$F:$F,$A510))</f>
        <v/>
      </c>
      <c r="D510">
        <f>IF($A510="","",INDEX('05_KAPA'!$H:$H,$A510))</f>
        <v/>
      </c>
      <c r="E510">
        <f>IF($A510="","",INDEX('05_KAPA'!$K:$K,$A510))</f>
        <v/>
      </c>
      <c r="F510">
        <f>IF($A510="","",INDEX('05_KAPA'!$L:$L,$A510))</f>
        <v/>
      </c>
      <c r="G510">
        <f>IF($A510="","",INDEX('05_KAPA'!$I:$I,$A510))</f>
        <v/>
      </c>
      <c r="H510" s="202">
        <f>IF($A510="","",INDEX('05_KAPA'!$P:$P,$A510))</f>
        <v/>
      </c>
      <c r="I510" s="118">
        <f>IF($A510="","",INDEX('05_KAPA'!$O:$O,$A510))</f>
        <v/>
      </c>
      <c r="J510" s="202">
        <f>IF($A510="","",IFERROR(DATE(LEFT(TEXT(INDEX('05_KAPA'!$T:$T,$A510),"0"),4),MID(TEXT(INDEX('05_KAPA'!$T:$T,$A510),"0"),5,2),RIGHT(TEXT(INDEX('05_KAPA'!$T:$T,$A510),"0"),2)),""))</f>
        <v/>
      </c>
      <c r="K510">
        <f>IF(C510="","",IF('02_대상물건입력'!$B$5="",1,IF(ISNUMBER(SEARCH('02_대상물건입력'!$B$5,C510)),1,0)))</f>
        <v/>
      </c>
      <c r="L510">
        <f>IF(C510="","",IF('02_대상물건입력'!$B$6="",1,IF(ISNUMBER(SEARCH('02_대상물건입력'!$B$6,C510)),1,0)))</f>
        <v/>
      </c>
      <c r="M510">
        <f>IF(E510="","",IF('02_대상물건입력'!$B$8="",0,IF(ISNUMBER(SEARCH('02_대상물건입력'!$B$8,E510)),1,0)))</f>
        <v/>
      </c>
      <c r="N510">
        <f>IF(B510="","",IF(B510="담보",1,0))</f>
        <v/>
      </c>
      <c r="O510">
        <f>IFERROR(ABS(G510-'02_대상물건입력'!$B$11)/'02_대상물건입력'!$B$11,"")</f>
        <v/>
      </c>
      <c r="P510">
        <f>IFERROR(ABS('01_설정'!$B$4-H510),"")</f>
        <v/>
      </c>
      <c r="Q510">
        <f>IFERROR(ABS(YEAR(J510)-YEAR('02_대상물건입력'!$B$14)),"")</f>
        <v/>
      </c>
      <c r="R510">
        <f>IF(AND(G510&gt;0,H510&gt;0,I510&gt;0,N510=1,IF('01_설정'!$B$10=1,K510=1,TRUE()),O510&lt;='01_설정'!$B$5,P510&lt;='01_설정'!$B$7,Q510&lt;='01_설정'!$B$8),"Y","")</f>
        <v/>
      </c>
      <c r="S510">
        <f>IF(R510&lt;&gt;"Y","",MAX(0,(1-O510/'01_설정'!$B$5))*'01_설정'!$B$14+MAX(0,(1-P510/'01_설정'!$B$7))*'01_설정'!$B$16+MAX(0,(1-Q510/'01_설정'!$B$8))*'01_설정'!$B$17+L510*'01_설정'!$B$11+M510*'01_설정'!$B$12+N510*50)</f>
        <v/>
      </c>
      <c r="T510">
        <f>IF(S510="","",1+COUNTIFS($S$31:$S$1030,"&gt;"&amp;S510)+COUNTIFS($S$31:S510,S510)-1)</f>
        <v/>
      </c>
    </row>
    <row r="511" hidden="1" ht="16.5" customHeight="1">
      <c r="A511">
        <f>IF(COUNTA('05_KAPA'!$A482:$AO482)=0,"",484)</f>
        <v/>
      </c>
      <c r="B511">
        <f>IF($A511="","",INDEX('05_KAPA'!$B:$B,$A511))</f>
        <v/>
      </c>
      <c r="C511">
        <f>IF($A511="","",INDEX('05_KAPA'!$F:$F,$A511))</f>
        <v/>
      </c>
      <c r="D511">
        <f>IF($A511="","",INDEX('05_KAPA'!$H:$H,$A511))</f>
        <v/>
      </c>
      <c r="E511">
        <f>IF($A511="","",INDEX('05_KAPA'!$K:$K,$A511))</f>
        <v/>
      </c>
      <c r="F511">
        <f>IF($A511="","",INDEX('05_KAPA'!$L:$L,$A511))</f>
        <v/>
      </c>
      <c r="G511">
        <f>IF($A511="","",INDEX('05_KAPA'!$I:$I,$A511))</f>
        <v/>
      </c>
      <c r="H511" s="202">
        <f>IF($A511="","",INDEX('05_KAPA'!$P:$P,$A511))</f>
        <v/>
      </c>
      <c r="I511" s="118">
        <f>IF($A511="","",INDEX('05_KAPA'!$O:$O,$A511))</f>
        <v/>
      </c>
      <c r="J511" s="202">
        <f>IF($A511="","",IFERROR(DATE(LEFT(TEXT(INDEX('05_KAPA'!$T:$T,$A511),"0"),4),MID(TEXT(INDEX('05_KAPA'!$T:$T,$A511),"0"),5,2),RIGHT(TEXT(INDEX('05_KAPA'!$T:$T,$A511),"0"),2)),""))</f>
        <v/>
      </c>
      <c r="K511">
        <f>IF(C511="","",IF('02_대상물건입력'!$B$5="",1,IF(ISNUMBER(SEARCH('02_대상물건입력'!$B$5,C511)),1,0)))</f>
        <v/>
      </c>
      <c r="L511">
        <f>IF(C511="","",IF('02_대상물건입력'!$B$6="",1,IF(ISNUMBER(SEARCH('02_대상물건입력'!$B$6,C511)),1,0)))</f>
        <v/>
      </c>
      <c r="M511">
        <f>IF(E511="","",IF('02_대상물건입력'!$B$8="",0,IF(ISNUMBER(SEARCH('02_대상물건입력'!$B$8,E511)),1,0)))</f>
        <v/>
      </c>
      <c r="N511">
        <f>IF(B511="","",IF(B511="담보",1,0))</f>
        <v/>
      </c>
      <c r="O511">
        <f>IFERROR(ABS(G511-'02_대상물건입력'!$B$11)/'02_대상물건입력'!$B$11,"")</f>
        <v/>
      </c>
      <c r="P511">
        <f>IFERROR(ABS('01_설정'!$B$4-H511),"")</f>
        <v/>
      </c>
      <c r="Q511">
        <f>IFERROR(ABS(YEAR(J511)-YEAR('02_대상물건입력'!$B$14)),"")</f>
        <v/>
      </c>
      <c r="R511">
        <f>IF(AND(G511&gt;0,H511&gt;0,I511&gt;0,N511=1,IF('01_설정'!$B$10=1,K511=1,TRUE()),O511&lt;='01_설정'!$B$5,P511&lt;='01_설정'!$B$7,Q511&lt;='01_설정'!$B$8),"Y","")</f>
        <v/>
      </c>
      <c r="S511">
        <f>IF(R511&lt;&gt;"Y","",MAX(0,(1-O511/'01_설정'!$B$5))*'01_설정'!$B$14+MAX(0,(1-P511/'01_설정'!$B$7))*'01_설정'!$B$16+MAX(0,(1-Q511/'01_설정'!$B$8))*'01_설정'!$B$17+L511*'01_설정'!$B$11+M511*'01_설정'!$B$12+N511*50)</f>
        <v/>
      </c>
      <c r="T511">
        <f>IF(S511="","",1+COUNTIFS($S$31:$S$1030,"&gt;"&amp;S511)+COUNTIFS($S$31:S511,S511)-1)</f>
        <v/>
      </c>
    </row>
    <row r="512" hidden="1" ht="16.5" customHeight="1">
      <c r="A512">
        <f>IF(COUNTA('05_KAPA'!$A483:$AO483)=0,"",485)</f>
        <v/>
      </c>
      <c r="B512">
        <f>IF($A512="","",INDEX('05_KAPA'!$B:$B,$A512))</f>
        <v/>
      </c>
      <c r="C512">
        <f>IF($A512="","",INDEX('05_KAPA'!$F:$F,$A512))</f>
        <v/>
      </c>
      <c r="D512">
        <f>IF($A512="","",INDEX('05_KAPA'!$H:$H,$A512))</f>
        <v/>
      </c>
      <c r="E512">
        <f>IF($A512="","",INDEX('05_KAPA'!$K:$K,$A512))</f>
        <v/>
      </c>
      <c r="F512">
        <f>IF($A512="","",INDEX('05_KAPA'!$L:$L,$A512))</f>
        <v/>
      </c>
      <c r="G512">
        <f>IF($A512="","",INDEX('05_KAPA'!$I:$I,$A512))</f>
        <v/>
      </c>
      <c r="H512" s="202">
        <f>IF($A512="","",INDEX('05_KAPA'!$P:$P,$A512))</f>
        <v/>
      </c>
      <c r="I512" s="118">
        <f>IF($A512="","",INDEX('05_KAPA'!$O:$O,$A512))</f>
        <v/>
      </c>
      <c r="J512" s="202">
        <f>IF($A512="","",IFERROR(DATE(LEFT(TEXT(INDEX('05_KAPA'!$T:$T,$A512),"0"),4),MID(TEXT(INDEX('05_KAPA'!$T:$T,$A512),"0"),5,2),RIGHT(TEXT(INDEX('05_KAPA'!$T:$T,$A512),"0"),2)),""))</f>
        <v/>
      </c>
      <c r="K512">
        <f>IF(C512="","",IF('02_대상물건입력'!$B$5="",1,IF(ISNUMBER(SEARCH('02_대상물건입력'!$B$5,C512)),1,0)))</f>
        <v/>
      </c>
      <c r="L512">
        <f>IF(C512="","",IF('02_대상물건입력'!$B$6="",1,IF(ISNUMBER(SEARCH('02_대상물건입력'!$B$6,C512)),1,0)))</f>
        <v/>
      </c>
      <c r="M512">
        <f>IF(E512="","",IF('02_대상물건입력'!$B$8="",0,IF(ISNUMBER(SEARCH('02_대상물건입력'!$B$8,E512)),1,0)))</f>
        <v/>
      </c>
      <c r="N512">
        <f>IF(B512="","",IF(B512="담보",1,0))</f>
        <v/>
      </c>
      <c r="O512">
        <f>IFERROR(ABS(G512-'02_대상물건입력'!$B$11)/'02_대상물건입력'!$B$11,"")</f>
        <v/>
      </c>
      <c r="P512">
        <f>IFERROR(ABS('01_설정'!$B$4-H512),"")</f>
        <v/>
      </c>
      <c r="Q512">
        <f>IFERROR(ABS(YEAR(J512)-YEAR('02_대상물건입력'!$B$14)),"")</f>
        <v/>
      </c>
      <c r="R512">
        <f>IF(AND(G512&gt;0,H512&gt;0,I512&gt;0,N512=1,IF('01_설정'!$B$10=1,K512=1,TRUE()),O512&lt;='01_설정'!$B$5,P512&lt;='01_설정'!$B$7,Q512&lt;='01_설정'!$B$8),"Y","")</f>
        <v/>
      </c>
      <c r="S512">
        <f>IF(R512&lt;&gt;"Y","",MAX(0,(1-O512/'01_설정'!$B$5))*'01_설정'!$B$14+MAX(0,(1-P512/'01_설정'!$B$7))*'01_설정'!$B$16+MAX(0,(1-Q512/'01_설정'!$B$8))*'01_설정'!$B$17+L512*'01_설정'!$B$11+M512*'01_설정'!$B$12+N512*50)</f>
        <v/>
      </c>
      <c r="T512">
        <f>IF(S512="","",1+COUNTIFS($S$31:$S$1030,"&gt;"&amp;S512)+COUNTIFS($S$31:S512,S512)-1)</f>
        <v/>
      </c>
    </row>
    <row r="513" hidden="1" ht="16.5" customHeight="1">
      <c r="A513">
        <f>IF(COUNTA('05_KAPA'!$A484:$AO484)=0,"",486)</f>
        <v/>
      </c>
      <c r="B513">
        <f>IF($A513="","",INDEX('05_KAPA'!$B:$B,$A513))</f>
        <v/>
      </c>
      <c r="C513">
        <f>IF($A513="","",INDEX('05_KAPA'!$F:$F,$A513))</f>
        <v/>
      </c>
      <c r="D513">
        <f>IF($A513="","",INDEX('05_KAPA'!$H:$H,$A513))</f>
        <v/>
      </c>
      <c r="E513">
        <f>IF($A513="","",INDEX('05_KAPA'!$K:$K,$A513))</f>
        <v/>
      </c>
      <c r="F513">
        <f>IF($A513="","",INDEX('05_KAPA'!$L:$L,$A513))</f>
        <v/>
      </c>
      <c r="G513">
        <f>IF($A513="","",INDEX('05_KAPA'!$I:$I,$A513))</f>
        <v/>
      </c>
      <c r="H513" s="202">
        <f>IF($A513="","",INDEX('05_KAPA'!$P:$P,$A513))</f>
        <v/>
      </c>
      <c r="I513" s="118">
        <f>IF($A513="","",INDEX('05_KAPA'!$O:$O,$A513))</f>
        <v/>
      </c>
      <c r="J513" s="202">
        <f>IF($A513="","",IFERROR(DATE(LEFT(TEXT(INDEX('05_KAPA'!$T:$T,$A513),"0"),4),MID(TEXT(INDEX('05_KAPA'!$T:$T,$A513),"0"),5,2),RIGHT(TEXT(INDEX('05_KAPA'!$T:$T,$A513),"0"),2)),""))</f>
        <v/>
      </c>
      <c r="K513">
        <f>IF(C513="","",IF('02_대상물건입력'!$B$5="",1,IF(ISNUMBER(SEARCH('02_대상물건입력'!$B$5,C513)),1,0)))</f>
        <v/>
      </c>
      <c r="L513">
        <f>IF(C513="","",IF('02_대상물건입력'!$B$6="",1,IF(ISNUMBER(SEARCH('02_대상물건입력'!$B$6,C513)),1,0)))</f>
        <v/>
      </c>
      <c r="M513">
        <f>IF(E513="","",IF('02_대상물건입력'!$B$8="",0,IF(ISNUMBER(SEARCH('02_대상물건입력'!$B$8,E513)),1,0)))</f>
        <v/>
      </c>
      <c r="N513">
        <f>IF(B513="","",IF(B513="담보",1,0))</f>
        <v/>
      </c>
      <c r="O513">
        <f>IFERROR(ABS(G513-'02_대상물건입력'!$B$11)/'02_대상물건입력'!$B$11,"")</f>
        <v/>
      </c>
      <c r="P513">
        <f>IFERROR(ABS('01_설정'!$B$4-H513),"")</f>
        <v/>
      </c>
      <c r="Q513">
        <f>IFERROR(ABS(YEAR(J513)-YEAR('02_대상물건입력'!$B$14)),"")</f>
        <v/>
      </c>
      <c r="R513">
        <f>IF(AND(G513&gt;0,H513&gt;0,I513&gt;0,N513=1,IF('01_설정'!$B$10=1,K513=1,TRUE()),O513&lt;='01_설정'!$B$5,P513&lt;='01_설정'!$B$7,Q513&lt;='01_설정'!$B$8),"Y","")</f>
        <v/>
      </c>
      <c r="S513">
        <f>IF(R513&lt;&gt;"Y","",MAX(0,(1-O513/'01_설정'!$B$5))*'01_설정'!$B$14+MAX(0,(1-P513/'01_설정'!$B$7))*'01_설정'!$B$16+MAX(0,(1-Q513/'01_설정'!$B$8))*'01_설정'!$B$17+L513*'01_설정'!$B$11+M513*'01_설정'!$B$12+N513*50)</f>
        <v/>
      </c>
      <c r="T513">
        <f>IF(S513="","",1+COUNTIFS($S$31:$S$1030,"&gt;"&amp;S513)+COUNTIFS($S$31:S513,S513)-1)</f>
        <v/>
      </c>
    </row>
    <row r="514" hidden="1" ht="16.5" customHeight="1">
      <c r="A514">
        <f>IF(COUNTA('05_KAPA'!$A485:$AO485)=0,"",487)</f>
        <v/>
      </c>
      <c r="B514">
        <f>IF($A514="","",INDEX('05_KAPA'!$B:$B,$A514))</f>
        <v/>
      </c>
      <c r="C514">
        <f>IF($A514="","",INDEX('05_KAPA'!$F:$F,$A514))</f>
        <v/>
      </c>
      <c r="D514">
        <f>IF($A514="","",INDEX('05_KAPA'!$H:$H,$A514))</f>
        <v/>
      </c>
      <c r="E514">
        <f>IF($A514="","",INDEX('05_KAPA'!$K:$K,$A514))</f>
        <v/>
      </c>
      <c r="F514">
        <f>IF($A514="","",INDEX('05_KAPA'!$L:$L,$A514))</f>
        <v/>
      </c>
      <c r="G514">
        <f>IF($A514="","",INDEX('05_KAPA'!$I:$I,$A514))</f>
        <v/>
      </c>
      <c r="H514" s="202">
        <f>IF($A514="","",INDEX('05_KAPA'!$P:$P,$A514))</f>
        <v/>
      </c>
      <c r="I514" s="118">
        <f>IF($A514="","",INDEX('05_KAPA'!$O:$O,$A514))</f>
        <v/>
      </c>
      <c r="J514" s="202">
        <f>IF($A514="","",IFERROR(DATE(LEFT(TEXT(INDEX('05_KAPA'!$T:$T,$A514),"0"),4),MID(TEXT(INDEX('05_KAPA'!$T:$T,$A514),"0"),5,2),RIGHT(TEXT(INDEX('05_KAPA'!$T:$T,$A514),"0"),2)),""))</f>
        <v/>
      </c>
      <c r="K514">
        <f>IF(C514="","",IF('02_대상물건입력'!$B$5="",1,IF(ISNUMBER(SEARCH('02_대상물건입력'!$B$5,C514)),1,0)))</f>
        <v/>
      </c>
      <c r="L514">
        <f>IF(C514="","",IF('02_대상물건입력'!$B$6="",1,IF(ISNUMBER(SEARCH('02_대상물건입력'!$B$6,C514)),1,0)))</f>
        <v/>
      </c>
      <c r="M514">
        <f>IF(E514="","",IF('02_대상물건입력'!$B$8="",0,IF(ISNUMBER(SEARCH('02_대상물건입력'!$B$8,E514)),1,0)))</f>
        <v/>
      </c>
      <c r="N514">
        <f>IF(B514="","",IF(B514="담보",1,0))</f>
        <v/>
      </c>
      <c r="O514">
        <f>IFERROR(ABS(G514-'02_대상물건입력'!$B$11)/'02_대상물건입력'!$B$11,"")</f>
        <v/>
      </c>
      <c r="P514">
        <f>IFERROR(ABS('01_설정'!$B$4-H514),"")</f>
        <v/>
      </c>
      <c r="Q514">
        <f>IFERROR(ABS(YEAR(J514)-YEAR('02_대상물건입력'!$B$14)),"")</f>
        <v/>
      </c>
      <c r="R514">
        <f>IF(AND(G514&gt;0,H514&gt;0,I514&gt;0,N514=1,IF('01_설정'!$B$10=1,K514=1,TRUE()),O514&lt;='01_설정'!$B$5,P514&lt;='01_설정'!$B$7,Q514&lt;='01_설정'!$B$8),"Y","")</f>
        <v/>
      </c>
      <c r="S514">
        <f>IF(R514&lt;&gt;"Y","",MAX(0,(1-O514/'01_설정'!$B$5))*'01_설정'!$B$14+MAX(0,(1-P514/'01_설정'!$B$7))*'01_설정'!$B$16+MAX(0,(1-Q514/'01_설정'!$B$8))*'01_설정'!$B$17+L514*'01_설정'!$B$11+M514*'01_설정'!$B$12+N514*50)</f>
        <v/>
      </c>
      <c r="T514">
        <f>IF(S514="","",1+COUNTIFS($S$31:$S$1030,"&gt;"&amp;S514)+COUNTIFS($S$31:S514,S514)-1)</f>
        <v/>
      </c>
    </row>
    <row r="515" hidden="1" ht="16.5" customHeight="1">
      <c r="A515">
        <f>IF(COUNTA('05_KAPA'!$A486:$AO486)=0,"",488)</f>
        <v/>
      </c>
      <c r="B515">
        <f>IF($A515="","",INDEX('05_KAPA'!$B:$B,$A515))</f>
        <v/>
      </c>
      <c r="C515">
        <f>IF($A515="","",INDEX('05_KAPA'!$F:$F,$A515))</f>
        <v/>
      </c>
      <c r="D515">
        <f>IF($A515="","",INDEX('05_KAPA'!$H:$H,$A515))</f>
        <v/>
      </c>
      <c r="E515">
        <f>IF($A515="","",INDEX('05_KAPA'!$K:$K,$A515))</f>
        <v/>
      </c>
      <c r="F515">
        <f>IF($A515="","",INDEX('05_KAPA'!$L:$L,$A515))</f>
        <v/>
      </c>
      <c r="G515">
        <f>IF($A515="","",INDEX('05_KAPA'!$I:$I,$A515))</f>
        <v/>
      </c>
      <c r="H515" s="202">
        <f>IF($A515="","",INDEX('05_KAPA'!$P:$P,$A515))</f>
        <v/>
      </c>
      <c r="I515" s="118">
        <f>IF($A515="","",INDEX('05_KAPA'!$O:$O,$A515))</f>
        <v/>
      </c>
      <c r="J515" s="202">
        <f>IF($A515="","",IFERROR(DATE(LEFT(TEXT(INDEX('05_KAPA'!$T:$T,$A515),"0"),4),MID(TEXT(INDEX('05_KAPA'!$T:$T,$A515),"0"),5,2),RIGHT(TEXT(INDEX('05_KAPA'!$T:$T,$A515),"0"),2)),""))</f>
        <v/>
      </c>
      <c r="K515">
        <f>IF(C515="","",IF('02_대상물건입력'!$B$5="",1,IF(ISNUMBER(SEARCH('02_대상물건입력'!$B$5,C515)),1,0)))</f>
        <v/>
      </c>
      <c r="L515">
        <f>IF(C515="","",IF('02_대상물건입력'!$B$6="",1,IF(ISNUMBER(SEARCH('02_대상물건입력'!$B$6,C515)),1,0)))</f>
        <v/>
      </c>
      <c r="M515">
        <f>IF(E515="","",IF('02_대상물건입력'!$B$8="",0,IF(ISNUMBER(SEARCH('02_대상물건입력'!$B$8,E515)),1,0)))</f>
        <v/>
      </c>
      <c r="N515">
        <f>IF(B515="","",IF(B515="담보",1,0))</f>
        <v/>
      </c>
      <c r="O515">
        <f>IFERROR(ABS(G515-'02_대상물건입력'!$B$11)/'02_대상물건입력'!$B$11,"")</f>
        <v/>
      </c>
      <c r="P515">
        <f>IFERROR(ABS('01_설정'!$B$4-H515),"")</f>
        <v/>
      </c>
      <c r="Q515">
        <f>IFERROR(ABS(YEAR(J515)-YEAR('02_대상물건입력'!$B$14)),"")</f>
        <v/>
      </c>
      <c r="R515">
        <f>IF(AND(G515&gt;0,H515&gt;0,I515&gt;0,N515=1,IF('01_설정'!$B$10=1,K515=1,TRUE()),O515&lt;='01_설정'!$B$5,P515&lt;='01_설정'!$B$7,Q515&lt;='01_설정'!$B$8),"Y","")</f>
        <v/>
      </c>
      <c r="S515">
        <f>IF(R515&lt;&gt;"Y","",MAX(0,(1-O515/'01_설정'!$B$5))*'01_설정'!$B$14+MAX(0,(1-P515/'01_설정'!$B$7))*'01_설정'!$B$16+MAX(0,(1-Q515/'01_설정'!$B$8))*'01_설정'!$B$17+L515*'01_설정'!$B$11+M515*'01_설정'!$B$12+N515*50)</f>
        <v/>
      </c>
      <c r="T515">
        <f>IF(S515="","",1+COUNTIFS($S$31:$S$1030,"&gt;"&amp;S515)+COUNTIFS($S$31:S515,S515)-1)</f>
        <v/>
      </c>
    </row>
    <row r="516" hidden="1" ht="16.5" customHeight="1">
      <c r="A516">
        <f>IF(COUNTA('05_KAPA'!$A487:$AO487)=0,"",489)</f>
        <v/>
      </c>
      <c r="B516">
        <f>IF($A516="","",INDEX('05_KAPA'!$B:$B,$A516))</f>
        <v/>
      </c>
      <c r="C516">
        <f>IF($A516="","",INDEX('05_KAPA'!$F:$F,$A516))</f>
        <v/>
      </c>
      <c r="D516">
        <f>IF($A516="","",INDEX('05_KAPA'!$H:$H,$A516))</f>
        <v/>
      </c>
      <c r="E516">
        <f>IF($A516="","",INDEX('05_KAPA'!$K:$K,$A516))</f>
        <v/>
      </c>
      <c r="F516">
        <f>IF($A516="","",INDEX('05_KAPA'!$L:$L,$A516))</f>
        <v/>
      </c>
      <c r="G516">
        <f>IF($A516="","",INDEX('05_KAPA'!$I:$I,$A516))</f>
        <v/>
      </c>
      <c r="H516" s="202">
        <f>IF($A516="","",INDEX('05_KAPA'!$P:$P,$A516))</f>
        <v/>
      </c>
      <c r="I516" s="118">
        <f>IF($A516="","",INDEX('05_KAPA'!$O:$O,$A516))</f>
        <v/>
      </c>
      <c r="J516" s="202">
        <f>IF($A516="","",IFERROR(DATE(LEFT(TEXT(INDEX('05_KAPA'!$T:$T,$A516),"0"),4),MID(TEXT(INDEX('05_KAPA'!$T:$T,$A516),"0"),5,2),RIGHT(TEXT(INDEX('05_KAPA'!$T:$T,$A516),"0"),2)),""))</f>
        <v/>
      </c>
      <c r="K516">
        <f>IF(C516="","",IF('02_대상물건입력'!$B$5="",1,IF(ISNUMBER(SEARCH('02_대상물건입력'!$B$5,C516)),1,0)))</f>
        <v/>
      </c>
      <c r="L516">
        <f>IF(C516="","",IF('02_대상물건입력'!$B$6="",1,IF(ISNUMBER(SEARCH('02_대상물건입력'!$B$6,C516)),1,0)))</f>
        <v/>
      </c>
      <c r="M516">
        <f>IF(E516="","",IF('02_대상물건입력'!$B$8="",0,IF(ISNUMBER(SEARCH('02_대상물건입력'!$B$8,E516)),1,0)))</f>
        <v/>
      </c>
      <c r="N516">
        <f>IF(B516="","",IF(B516="담보",1,0))</f>
        <v/>
      </c>
      <c r="O516">
        <f>IFERROR(ABS(G516-'02_대상물건입력'!$B$11)/'02_대상물건입력'!$B$11,"")</f>
        <v/>
      </c>
      <c r="P516">
        <f>IFERROR(ABS('01_설정'!$B$4-H516),"")</f>
        <v/>
      </c>
      <c r="Q516">
        <f>IFERROR(ABS(YEAR(J516)-YEAR('02_대상물건입력'!$B$14)),"")</f>
        <v/>
      </c>
      <c r="R516">
        <f>IF(AND(G516&gt;0,H516&gt;0,I516&gt;0,N516=1,IF('01_설정'!$B$10=1,K516=1,TRUE()),O516&lt;='01_설정'!$B$5,P516&lt;='01_설정'!$B$7,Q516&lt;='01_설정'!$B$8),"Y","")</f>
        <v/>
      </c>
      <c r="S516">
        <f>IF(R516&lt;&gt;"Y","",MAX(0,(1-O516/'01_설정'!$B$5))*'01_설정'!$B$14+MAX(0,(1-P516/'01_설정'!$B$7))*'01_설정'!$B$16+MAX(0,(1-Q516/'01_설정'!$B$8))*'01_설정'!$B$17+L516*'01_설정'!$B$11+M516*'01_설정'!$B$12+N516*50)</f>
        <v/>
      </c>
      <c r="T516">
        <f>IF(S516="","",1+COUNTIFS($S$31:$S$1030,"&gt;"&amp;S516)+COUNTIFS($S$31:S516,S516)-1)</f>
        <v/>
      </c>
    </row>
    <row r="517" hidden="1" ht="16.5" customHeight="1">
      <c r="A517">
        <f>IF(COUNTA('05_KAPA'!$A488:$AO488)=0,"",490)</f>
        <v/>
      </c>
      <c r="B517">
        <f>IF($A517="","",INDEX('05_KAPA'!$B:$B,$A517))</f>
        <v/>
      </c>
      <c r="C517">
        <f>IF($A517="","",INDEX('05_KAPA'!$F:$F,$A517))</f>
        <v/>
      </c>
      <c r="D517">
        <f>IF($A517="","",INDEX('05_KAPA'!$H:$H,$A517))</f>
        <v/>
      </c>
      <c r="E517">
        <f>IF($A517="","",INDEX('05_KAPA'!$K:$K,$A517))</f>
        <v/>
      </c>
      <c r="F517">
        <f>IF($A517="","",INDEX('05_KAPA'!$L:$L,$A517))</f>
        <v/>
      </c>
      <c r="G517">
        <f>IF($A517="","",INDEX('05_KAPA'!$I:$I,$A517))</f>
        <v/>
      </c>
      <c r="H517" s="202">
        <f>IF($A517="","",INDEX('05_KAPA'!$P:$P,$A517))</f>
        <v/>
      </c>
      <c r="I517" s="118">
        <f>IF($A517="","",INDEX('05_KAPA'!$O:$O,$A517))</f>
        <v/>
      </c>
      <c r="J517" s="202">
        <f>IF($A517="","",IFERROR(DATE(LEFT(TEXT(INDEX('05_KAPA'!$T:$T,$A517),"0"),4),MID(TEXT(INDEX('05_KAPA'!$T:$T,$A517),"0"),5,2),RIGHT(TEXT(INDEX('05_KAPA'!$T:$T,$A517),"0"),2)),""))</f>
        <v/>
      </c>
      <c r="K517">
        <f>IF(C517="","",IF('02_대상물건입력'!$B$5="",1,IF(ISNUMBER(SEARCH('02_대상물건입력'!$B$5,C517)),1,0)))</f>
        <v/>
      </c>
      <c r="L517">
        <f>IF(C517="","",IF('02_대상물건입력'!$B$6="",1,IF(ISNUMBER(SEARCH('02_대상물건입력'!$B$6,C517)),1,0)))</f>
        <v/>
      </c>
      <c r="M517">
        <f>IF(E517="","",IF('02_대상물건입력'!$B$8="",0,IF(ISNUMBER(SEARCH('02_대상물건입력'!$B$8,E517)),1,0)))</f>
        <v/>
      </c>
      <c r="N517">
        <f>IF(B517="","",IF(B517="담보",1,0))</f>
        <v/>
      </c>
      <c r="O517">
        <f>IFERROR(ABS(G517-'02_대상물건입력'!$B$11)/'02_대상물건입력'!$B$11,"")</f>
        <v/>
      </c>
      <c r="P517">
        <f>IFERROR(ABS('01_설정'!$B$4-H517),"")</f>
        <v/>
      </c>
      <c r="Q517">
        <f>IFERROR(ABS(YEAR(J517)-YEAR('02_대상물건입력'!$B$14)),"")</f>
        <v/>
      </c>
      <c r="R517">
        <f>IF(AND(G517&gt;0,H517&gt;0,I517&gt;0,N517=1,IF('01_설정'!$B$10=1,K517=1,TRUE()),O517&lt;='01_설정'!$B$5,P517&lt;='01_설정'!$B$7,Q517&lt;='01_설정'!$B$8),"Y","")</f>
        <v/>
      </c>
      <c r="S517">
        <f>IF(R517&lt;&gt;"Y","",MAX(0,(1-O517/'01_설정'!$B$5))*'01_설정'!$B$14+MAX(0,(1-P517/'01_설정'!$B$7))*'01_설정'!$B$16+MAX(0,(1-Q517/'01_설정'!$B$8))*'01_설정'!$B$17+L517*'01_설정'!$B$11+M517*'01_설정'!$B$12+N517*50)</f>
        <v/>
      </c>
      <c r="T517">
        <f>IF(S517="","",1+COUNTIFS($S$31:$S$1030,"&gt;"&amp;S517)+COUNTIFS($S$31:S517,S517)-1)</f>
        <v/>
      </c>
    </row>
    <row r="518" hidden="1" ht="16.5" customHeight="1">
      <c r="A518">
        <f>IF(COUNTA('05_KAPA'!$A489:$AO489)=0,"",491)</f>
        <v/>
      </c>
      <c r="B518">
        <f>IF($A518="","",INDEX('05_KAPA'!$B:$B,$A518))</f>
        <v/>
      </c>
      <c r="C518">
        <f>IF($A518="","",INDEX('05_KAPA'!$F:$F,$A518))</f>
        <v/>
      </c>
      <c r="D518">
        <f>IF($A518="","",INDEX('05_KAPA'!$H:$H,$A518))</f>
        <v/>
      </c>
      <c r="E518">
        <f>IF($A518="","",INDEX('05_KAPA'!$K:$K,$A518))</f>
        <v/>
      </c>
      <c r="F518">
        <f>IF($A518="","",INDEX('05_KAPA'!$L:$L,$A518))</f>
        <v/>
      </c>
      <c r="G518">
        <f>IF($A518="","",INDEX('05_KAPA'!$I:$I,$A518))</f>
        <v/>
      </c>
      <c r="H518" s="202">
        <f>IF($A518="","",INDEX('05_KAPA'!$P:$P,$A518))</f>
        <v/>
      </c>
      <c r="I518" s="118">
        <f>IF($A518="","",INDEX('05_KAPA'!$O:$O,$A518))</f>
        <v/>
      </c>
      <c r="J518" s="202">
        <f>IF($A518="","",IFERROR(DATE(LEFT(TEXT(INDEX('05_KAPA'!$T:$T,$A518),"0"),4),MID(TEXT(INDEX('05_KAPA'!$T:$T,$A518),"0"),5,2),RIGHT(TEXT(INDEX('05_KAPA'!$T:$T,$A518),"0"),2)),""))</f>
        <v/>
      </c>
      <c r="K518">
        <f>IF(C518="","",IF('02_대상물건입력'!$B$5="",1,IF(ISNUMBER(SEARCH('02_대상물건입력'!$B$5,C518)),1,0)))</f>
        <v/>
      </c>
      <c r="L518">
        <f>IF(C518="","",IF('02_대상물건입력'!$B$6="",1,IF(ISNUMBER(SEARCH('02_대상물건입력'!$B$6,C518)),1,0)))</f>
        <v/>
      </c>
      <c r="M518">
        <f>IF(E518="","",IF('02_대상물건입력'!$B$8="",0,IF(ISNUMBER(SEARCH('02_대상물건입력'!$B$8,E518)),1,0)))</f>
        <v/>
      </c>
      <c r="N518">
        <f>IF(B518="","",IF(B518="담보",1,0))</f>
        <v/>
      </c>
      <c r="O518">
        <f>IFERROR(ABS(G518-'02_대상물건입력'!$B$11)/'02_대상물건입력'!$B$11,"")</f>
        <v/>
      </c>
      <c r="P518">
        <f>IFERROR(ABS('01_설정'!$B$4-H518),"")</f>
        <v/>
      </c>
      <c r="Q518">
        <f>IFERROR(ABS(YEAR(J518)-YEAR('02_대상물건입력'!$B$14)),"")</f>
        <v/>
      </c>
      <c r="R518">
        <f>IF(AND(G518&gt;0,H518&gt;0,I518&gt;0,N518=1,IF('01_설정'!$B$10=1,K518=1,TRUE()),O518&lt;='01_설정'!$B$5,P518&lt;='01_설정'!$B$7,Q518&lt;='01_설정'!$B$8),"Y","")</f>
        <v/>
      </c>
      <c r="S518">
        <f>IF(R518&lt;&gt;"Y","",MAX(0,(1-O518/'01_설정'!$B$5))*'01_설정'!$B$14+MAX(0,(1-P518/'01_설정'!$B$7))*'01_설정'!$B$16+MAX(0,(1-Q518/'01_설정'!$B$8))*'01_설정'!$B$17+L518*'01_설정'!$B$11+M518*'01_설정'!$B$12+N518*50)</f>
        <v/>
      </c>
      <c r="T518">
        <f>IF(S518="","",1+COUNTIFS($S$31:$S$1030,"&gt;"&amp;S518)+COUNTIFS($S$31:S518,S518)-1)</f>
        <v/>
      </c>
    </row>
    <row r="519" hidden="1" ht="16.5" customHeight="1">
      <c r="A519">
        <f>IF(COUNTA('05_KAPA'!$A490:$AO490)=0,"",492)</f>
        <v/>
      </c>
      <c r="B519">
        <f>IF($A519="","",INDEX('05_KAPA'!$B:$B,$A519))</f>
        <v/>
      </c>
      <c r="C519">
        <f>IF($A519="","",INDEX('05_KAPA'!$F:$F,$A519))</f>
        <v/>
      </c>
      <c r="D519">
        <f>IF($A519="","",INDEX('05_KAPA'!$H:$H,$A519))</f>
        <v/>
      </c>
      <c r="E519">
        <f>IF($A519="","",INDEX('05_KAPA'!$K:$K,$A519))</f>
        <v/>
      </c>
      <c r="F519">
        <f>IF($A519="","",INDEX('05_KAPA'!$L:$L,$A519))</f>
        <v/>
      </c>
      <c r="G519">
        <f>IF($A519="","",INDEX('05_KAPA'!$I:$I,$A519))</f>
        <v/>
      </c>
      <c r="H519" s="202">
        <f>IF($A519="","",INDEX('05_KAPA'!$P:$P,$A519))</f>
        <v/>
      </c>
      <c r="I519" s="118">
        <f>IF($A519="","",INDEX('05_KAPA'!$O:$O,$A519))</f>
        <v/>
      </c>
      <c r="J519" s="202">
        <f>IF($A519="","",IFERROR(DATE(LEFT(TEXT(INDEX('05_KAPA'!$T:$T,$A519),"0"),4),MID(TEXT(INDEX('05_KAPA'!$T:$T,$A519),"0"),5,2),RIGHT(TEXT(INDEX('05_KAPA'!$T:$T,$A519),"0"),2)),""))</f>
        <v/>
      </c>
      <c r="K519">
        <f>IF(C519="","",IF('02_대상물건입력'!$B$5="",1,IF(ISNUMBER(SEARCH('02_대상물건입력'!$B$5,C519)),1,0)))</f>
        <v/>
      </c>
      <c r="L519">
        <f>IF(C519="","",IF('02_대상물건입력'!$B$6="",1,IF(ISNUMBER(SEARCH('02_대상물건입력'!$B$6,C519)),1,0)))</f>
        <v/>
      </c>
      <c r="M519">
        <f>IF(E519="","",IF('02_대상물건입력'!$B$8="",0,IF(ISNUMBER(SEARCH('02_대상물건입력'!$B$8,E519)),1,0)))</f>
        <v/>
      </c>
      <c r="N519">
        <f>IF(B519="","",IF(B519="담보",1,0))</f>
        <v/>
      </c>
      <c r="O519">
        <f>IFERROR(ABS(G519-'02_대상물건입력'!$B$11)/'02_대상물건입력'!$B$11,"")</f>
        <v/>
      </c>
      <c r="P519">
        <f>IFERROR(ABS('01_설정'!$B$4-H519),"")</f>
        <v/>
      </c>
      <c r="Q519">
        <f>IFERROR(ABS(YEAR(J519)-YEAR('02_대상물건입력'!$B$14)),"")</f>
        <v/>
      </c>
      <c r="R519">
        <f>IF(AND(G519&gt;0,H519&gt;0,I519&gt;0,N519=1,IF('01_설정'!$B$10=1,K519=1,TRUE()),O519&lt;='01_설정'!$B$5,P519&lt;='01_설정'!$B$7,Q519&lt;='01_설정'!$B$8),"Y","")</f>
        <v/>
      </c>
      <c r="S519">
        <f>IF(R519&lt;&gt;"Y","",MAX(0,(1-O519/'01_설정'!$B$5))*'01_설정'!$B$14+MAX(0,(1-P519/'01_설정'!$B$7))*'01_설정'!$B$16+MAX(0,(1-Q519/'01_설정'!$B$8))*'01_설정'!$B$17+L519*'01_설정'!$B$11+M519*'01_설정'!$B$12+N519*50)</f>
        <v/>
      </c>
      <c r="T519">
        <f>IF(S519="","",1+COUNTIFS($S$31:$S$1030,"&gt;"&amp;S519)+COUNTIFS($S$31:S519,S519)-1)</f>
        <v/>
      </c>
    </row>
    <row r="520" hidden="1" ht="16.5" customHeight="1">
      <c r="A520">
        <f>IF(COUNTA('05_KAPA'!$A491:$AO491)=0,"",493)</f>
        <v/>
      </c>
      <c r="B520">
        <f>IF($A520="","",INDEX('05_KAPA'!$B:$B,$A520))</f>
        <v/>
      </c>
      <c r="C520">
        <f>IF($A520="","",INDEX('05_KAPA'!$F:$F,$A520))</f>
        <v/>
      </c>
      <c r="D520">
        <f>IF($A520="","",INDEX('05_KAPA'!$H:$H,$A520))</f>
        <v/>
      </c>
      <c r="E520">
        <f>IF($A520="","",INDEX('05_KAPA'!$K:$K,$A520))</f>
        <v/>
      </c>
      <c r="F520">
        <f>IF($A520="","",INDEX('05_KAPA'!$L:$L,$A520))</f>
        <v/>
      </c>
      <c r="G520">
        <f>IF($A520="","",INDEX('05_KAPA'!$I:$I,$A520))</f>
        <v/>
      </c>
      <c r="H520" s="202">
        <f>IF($A520="","",INDEX('05_KAPA'!$P:$P,$A520))</f>
        <v/>
      </c>
      <c r="I520" s="118">
        <f>IF($A520="","",INDEX('05_KAPA'!$O:$O,$A520))</f>
        <v/>
      </c>
      <c r="J520" s="202">
        <f>IF($A520="","",IFERROR(DATE(LEFT(TEXT(INDEX('05_KAPA'!$T:$T,$A520),"0"),4),MID(TEXT(INDEX('05_KAPA'!$T:$T,$A520),"0"),5,2),RIGHT(TEXT(INDEX('05_KAPA'!$T:$T,$A520),"0"),2)),""))</f>
        <v/>
      </c>
      <c r="K520">
        <f>IF(C520="","",IF('02_대상물건입력'!$B$5="",1,IF(ISNUMBER(SEARCH('02_대상물건입력'!$B$5,C520)),1,0)))</f>
        <v/>
      </c>
      <c r="L520">
        <f>IF(C520="","",IF('02_대상물건입력'!$B$6="",1,IF(ISNUMBER(SEARCH('02_대상물건입력'!$B$6,C520)),1,0)))</f>
        <v/>
      </c>
      <c r="M520">
        <f>IF(E520="","",IF('02_대상물건입력'!$B$8="",0,IF(ISNUMBER(SEARCH('02_대상물건입력'!$B$8,E520)),1,0)))</f>
        <v/>
      </c>
      <c r="N520">
        <f>IF(B520="","",IF(B520="담보",1,0))</f>
        <v/>
      </c>
      <c r="O520">
        <f>IFERROR(ABS(G520-'02_대상물건입력'!$B$11)/'02_대상물건입력'!$B$11,"")</f>
        <v/>
      </c>
      <c r="P520">
        <f>IFERROR(ABS('01_설정'!$B$4-H520),"")</f>
        <v/>
      </c>
      <c r="Q520">
        <f>IFERROR(ABS(YEAR(J520)-YEAR('02_대상물건입력'!$B$14)),"")</f>
        <v/>
      </c>
      <c r="R520">
        <f>IF(AND(G520&gt;0,H520&gt;0,I520&gt;0,N520=1,IF('01_설정'!$B$10=1,K520=1,TRUE()),O520&lt;='01_설정'!$B$5,P520&lt;='01_설정'!$B$7,Q520&lt;='01_설정'!$B$8),"Y","")</f>
        <v/>
      </c>
      <c r="S520">
        <f>IF(R520&lt;&gt;"Y","",MAX(0,(1-O520/'01_설정'!$B$5))*'01_설정'!$B$14+MAX(0,(1-P520/'01_설정'!$B$7))*'01_설정'!$B$16+MAX(0,(1-Q520/'01_설정'!$B$8))*'01_설정'!$B$17+L520*'01_설정'!$B$11+M520*'01_설정'!$B$12+N520*50)</f>
        <v/>
      </c>
      <c r="T520">
        <f>IF(S520="","",1+COUNTIFS($S$31:$S$1030,"&gt;"&amp;S520)+COUNTIFS($S$31:S520,S520)-1)</f>
        <v/>
      </c>
    </row>
    <row r="521" hidden="1" ht="16.5" customHeight="1">
      <c r="A521">
        <f>IF(COUNTA('05_KAPA'!$A492:$AO492)=0,"",494)</f>
        <v/>
      </c>
      <c r="B521">
        <f>IF($A521="","",INDEX('05_KAPA'!$B:$B,$A521))</f>
        <v/>
      </c>
      <c r="C521">
        <f>IF($A521="","",INDEX('05_KAPA'!$F:$F,$A521))</f>
        <v/>
      </c>
      <c r="D521">
        <f>IF($A521="","",INDEX('05_KAPA'!$H:$H,$A521))</f>
        <v/>
      </c>
      <c r="E521">
        <f>IF($A521="","",INDEX('05_KAPA'!$K:$K,$A521))</f>
        <v/>
      </c>
      <c r="F521">
        <f>IF($A521="","",INDEX('05_KAPA'!$L:$L,$A521))</f>
        <v/>
      </c>
      <c r="G521">
        <f>IF($A521="","",INDEX('05_KAPA'!$I:$I,$A521))</f>
        <v/>
      </c>
      <c r="H521" s="202">
        <f>IF($A521="","",INDEX('05_KAPA'!$P:$P,$A521))</f>
        <v/>
      </c>
      <c r="I521" s="118">
        <f>IF($A521="","",INDEX('05_KAPA'!$O:$O,$A521))</f>
        <v/>
      </c>
      <c r="J521" s="202">
        <f>IF($A521="","",IFERROR(DATE(LEFT(TEXT(INDEX('05_KAPA'!$T:$T,$A521),"0"),4),MID(TEXT(INDEX('05_KAPA'!$T:$T,$A521),"0"),5,2),RIGHT(TEXT(INDEX('05_KAPA'!$T:$T,$A521),"0"),2)),""))</f>
        <v/>
      </c>
      <c r="K521">
        <f>IF(C521="","",IF('02_대상물건입력'!$B$5="",1,IF(ISNUMBER(SEARCH('02_대상물건입력'!$B$5,C521)),1,0)))</f>
        <v/>
      </c>
      <c r="L521">
        <f>IF(C521="","",IF('02_대상물건입력'!$B$6="",1,IF(ISNUMBER(SEARCH('02_대상물건입력'!$B$6,C521)),1,0)))</f>
        <v/>
      </c>
      <c r="M521">
        <f>IF(E521="","",IF('02_대상물건입력'!$B$8="",0,IF(ISNUMBER(SEARCH('02_대상물건입력'!$B$8,E521)),1,0)))</f>
        <v/>
      </c>
      <c r="N521">
        <f>IF(B521="","",IF(B521="담보",1,0))</f>
        <v/>
      </c>
      <c r="O521">
        <f>IFERROR(ABS(G521-'02_대상물건입력'!$B$11)/'02_대상물건입력'!$B$11,"")</f>
        <v/>
      </c>
      <c r="P521">
        <f>IFERROR(ABS('01_설정'!$B$4-H521),"")</f>
        <v/>
      </c>
      <c r="Q521">
        <f>IFERROR(ABS(YEAR(J521)-YEAR('02_대상물건입력'!$B$14)),"")</f>
        <v/>
      </c>
      <c r="R521">
        <f>IF(AND(G521&gt;0,H521&gt;0,I521&gt;0,N521=1,IF('01_설정'!$B$10=1,K521=1,TRUE()),O521&lt;='01_설정'!$B$5,P521&lt;='01_설정'!$B$7,Q521&lt;='01_설정'!$B$8),"Y","")</f>
        <v/>
      </c>
      <c r="S521">
        <f>IF(R521&lt;&gt;"Y","",MAX(0,(1-O521/'01_설정'!$B$5))*'01_설정'!$B$14+MAX(0,(1-P521/'01_설정'!$B$7))*'01_설정'!$B$16+MAX(0,(1-Q521/'01_설정'!$B$8))*'01_설정'!$B$17+L521*'01_설정'!$B$11+M521*'01_설정'!$B$12+N521*50)</f>
        <v/>
      </c>
      <c r="T521">
        <f>IF(S521="","",1+COUNTIFS($S$31:$S$1030,"&gt;"&amp;S521)+COUNTIFS($S$31:S521,S521)-1)</f>
        <v/>
      </c>
    </row>
    <row r="522" hidden="1" ht="16.5" customHeight="1">
      <c r="A522">
        <f>IF(COUNTA('05_KAPA'!$A493:$AO493)=0,"",495)</f>
        <v/>
      </c>
      <c r="B522">
        <f>IF($A522="","",INDEX('05_KAPA'!$B:$B,$A522))</f>
        <v/>
      </c>
      <c r="C522">
        <f>IF($A522="","",INDEX('05_KAPA'!$F:$F,$A522))</f>
        <v/>
      </c>
      <c r="D522">
        <f>IF($A522="","",INDEX('05_KAPA'!$H:$H,$A522))</f>
        <v/>
      </c>
      <c r="E522">
        <f>IF($A522="","",INDEX('05_KAPA'!$K:$K,$A522))</f>
        <v/>
      </c>
      <c r="F522">
        <f>IF($A522="","",INDEX('05_KAPA'!$L:$L,$A522))</f>
        <v/>
      </c>
      <c r="G522">
        <f>IF($A522="","",INDEX('05_KAPA'!$I:$I,$A522))</f>
        <v/>
      </c>
      <c r="H522" s="202">
        <f>IF($A522="","",INDEX('05_KAPA'!$P:$P,$A522))</f>
        <v/>
      </c>
      <c r="I522" s="118">
        <f>IF($A522="","",INDEX('05_KAPA'!$O:$O,$A522))</f>
        <v/>
      </c>
      <c r="J522" s="202">
        <f>IF($A522="","",IFERROR(DATE(LEFT(TEXT(INDEX('05_KAPA'!$T:$T,$A522),"0"),4),MID(TEXT(INDEX('05_KAPA'!$T:$T,$A522),"0"),5,2),RIGHT(TEXT(INDEX('05_KAPA'!$T:$T,$A522),"0"),2)),""))</f>
        <v/>
      </c>
      <c r="K522">
        <f>IF(C522="","",IF('02_대상물건입력'!$B$5="",1,IF(ISNUMBER(SEARCH('02_대상물건입력'!$B$5,C522)),1,0)))</f>
        <v/>
      </c>
      <c r="L522">
        <f>IF(C522="","",IF('02_대상물건입력'!$B$6="",1,IF(ISNUMBER(SEARCH('02_대상물건입력'!$B$6,C522)),1,0)))</f>
        <v/>
      </c>
      <c r="M522">
        <f>IF(E522="","",IF('02_대상물건입력'!$B$8="",0,IF(ISNUMBER(SEARCH('02_대상물건입력'!$B$8,E522)),1,0)))</f>
        <v/>
      </c>
      <c r="N522">
        <f>IF(B522="","",IF(B522="담보",1,0))</f>
        <v/>
      </c>
      <c r="O522">
        <f>IFERROR(ABS(G522-'02_대상물건입력'!$B$11)/'02_대상물건입력'!$B$11,"")</f>
        <v/>
      </c>
      <c r="P522">
        <f>IFERROR(ABS('01_설정'!$B$4-H522),"")</f>
        <v/>
      </c>
      <c r="Q522">
        <f>IFERROR(ABS(YEAR(J522)-YEAR('02_대상물건입력'!$B$14)),"")</f>
        <v/>
      </c>
      <c r="R522">
        <f>IF(AND(G522&gt;0,H522&gt;0,I522&gt;0,N522=1,IF('01_설정'!$B$10=1,K522=1,TRUE()),O522&lt;='01_설정'!$B$5,P522&lt;='01_설정'!$B$7,Q522&lt;='01_설정'!$B$8),"Y","")</f>
        <v/>
      </c>
      <c r="S522">
        <f>IF(R522&lt;&gt;"Y","",MAX(0,(1-O522/'01_설정'!$B$5))*'01_설정'!$B$14+MAX(0,(1-P522/'01_설정'!$B$7))*'01_설정'!$B$16+MAX(0,(1-Q522/'01_설정'!$B$8))*'01_설정'!$B$17+L522*'01_설정'!$B$11+M522*'01_설정'!$B$12+N522*50)</f>
        <v/>
      </c>
      <c r="T522">
        <f>IF(S522="","",1+COUNTIFS($S$31:$S$1030,"&gt;"&amp;S522)+COUNTIFS($S$31:S522,S522)-1)</f>
        <v/>
      </c>
    </row>
    <row r="523" hidden="1" ht="16.5" customHeight="1">
      <c r="A523">
        <f>IF(COUNTA('05_KAPA'!$A494:$AO494)=0,"",496)</f>
        <v/>
      </c>
      <c r="B523">
        <f>IF($A523="","",INDEX('05_KAPA'!$B:$B,$A523))</f>
        <v/>
      </c>
      <c r="C523">
        <f>IF($A523="","",INDEX('05_KAPA'!$F:$F,$A523))</f>
        <v/>
      </c>
      <c r="D523">
        <f>IF($A523="","",INDEX('05_KAPA'!$H:$H,$A523))</f>
        <v/>
      </c>
      <c r="E523">
        <f>IF($A523="","",INDEX('05_KAPA'!$K:$K,$A523))</f>
        <v/>
      </c>
      <c r="F523">
        <f>IF($A523="","",INDEX('05_KAPA'!$L:$L,$A523))</f>
        <v/>
      </c>
      <c r="G523">
        <f>IF($A523="","",INDEX('05_KAPA'!$I:$I,$A523))</f>
        <v/>
      </c>
      <c r="H523" s="202">
        <f>IF($A523="","",INDEX('05_KAPA'!$P:$P,$A523))</f>
        <v/>
      </c>
      <c r="I523" s="118">
        <f>IF($A523="","",INDEX('05_KAPA'!$O:$O,$A523))</f>
        <v/>
      </c>
      <c r="J523" s="202">
        <f>IF($A523="","",IFERROR(DATE(LEFT(TEXT(INDEX('05_KAPA'!$T:$T,$A523),"0"),4),MID(TEXT(INDEX('05_KAPA'!$T:$T,$A523),"0"),5,2),RIGHT(TEXT(INDEX('05_KAPA'!$T:$T,$A523),"0"),2)),""))</f>
        <v/>
      </c>
      <c r="K523">
        <f>IF(C523="","",IF('02_대상물건입력'!$B$5="",1,IF(ISNUMBER(SEARCH('02_대상물건입력'!$B$5,C523)),1,0)))</f>
        <v/>
      </c>
      <c r="L523">
        <f>IF(C523="","",IF('02_대상물건입력'!$B$6="",1,IF(ISNUMBER(SEARCH('02_대상물건입력'!$B$6,C523)),1,0)))</f>
        <v/>
      </c>
      <c r="M523">
        <f>IF(E523="","",IF('02_대상물건입력'!$B$8="",0,IF(ISNUMBER(SEARCH('02_대상물건입력'!$B$8,E523)),1,0)))</f>
        <v/>
      </c>
      <c r="N523">
        <f>IF(B523="","",IF(B523="담보",1,0))</f>
        <v/>
      </c>
      <c r="O523">
        <f>IFERROR(ABS(G523-'02_대상물건입력'!$B$11)/'02_대상물건입력'!$B$11,"")</f>
        <v/>
      </c>
      <c r="P523">
        <f>IFERROR(ABS('01_설정'!$B$4-H523),"")</f>
        <v/>
      </c>
      <c r="Q523">
        <f>IFERROR(ABS(YEAR(J523)-YEAR('02_대상물건입력'!$B$14)),"")</f>
        <v/>
      </c>
      <c r="R523">
        <f>IF(AND(G523&gt;0,H523&gt;0,I523&gt;0,N523=1,IF('01_설정'!$B$10=1,K523=1,TRUE()),O523&lt;='01_설정'!$B$5,P523&lt;='01_설정'!$B$7,Q523&lt;='01_설정'!$B$8),"Y","")</f>
        <v/>
      </c>
      <c r="S523">
        <f>IF(R523&lt;&gt;"Y","",MAX(0,(1-O523/'01_설정'!$B$5))*'01_설정'!$B$14+MAX(0,(1-P523/'01_설정'!$B$7))*'01_설정'!$B$16+MAX(0,(1-Q523/'01_설정'!$B$8))*'01_설정'!$B$17+L523*'01_설정'!$B$11+M523*'01_설정'!$B$12+N523*50)</f>
        <v/>
      </c>
      <c r="T523">
        <f>IF(S523="","",1+COUNTIFS($S$31:$S$1030,"&gt;"&amp;S523)+COUNTIFS($S$31:S523,S523)-1)</f>
        <v/>
      </c>
    </row>
    <row r="524" hidden="1" ht="16.5" customHeight="1">
      <c r="A524">
        <f>IF(COUNTA('05_KAPA'!$A495:$AO495)=0,"",497)</f>
        <v/>
      </c>
      <c r="B524">
        <f>IF($A524="","",INDEX('05_KAPA'!$B:$B,$A524))</f>
        <v/>
      </c>
      <c r="C524">
        <f>IF($A524="","",INDEX('05_KAPA'!$F:$F,$A524))</f>
        <v/>
      </c>
      <c r="D524">
        <f>IF($A524="","",INDEX('05_KAPA'!$H:$H,$A524))</f>
        <v/>
      </c>
      <c r="E524">
        <f>IF($A524="","",INDEX('05_KAPA'!$K:$K,$A524))</f>
        <v/>
      </c>
      <c r="F524">
        <f>IF($A524="","",INDEX('05_KAPA'!$L:$L,$A524))</f>
        <v/>
      </c>
      <c r="G524">
        <f>IF($A524="","",INDEX('05_KAPA'!$I:$I,$A524))</f>
        <v/>
      </c>
      <c r="H524" s="202">
        <f>IF($A524="","",INDEX('05_KAPA'!$P:$P,$A524))</f>
        <v/>
      </c>
      <c r="I524" s="118">
        <f>IF($A524="","",INDEX('05_KAPA'!$O:$O,$A524))</f>
        <v/>
      </c>
      <c r="J524" s="202">
        <f>IF($A524="","",IFERROR(DATE(LEFT(TEXT(INDEX('05_KAPA'!$T:$T,$A524),"0"),4),MID(TEXT(INDEX('05_KAPA'!$T:$T,$A524),"0"),5,2),RIGHT(TEXT(INDEX('05_KAPA'!$T:$T,$A524),"0"),2)),""))</f>
        <v/>
      </c>
      <c r="K524">
        <f>IF(C524="","",IF('02_대상물건입력'!$B$5="",1,IF(ISNUMBER(SEARCH('02_대상물건입력'!$B$5,C524)),1,0)))</f>
        <v/>
      </c>
      <c r="L524">
        <f>IF(C524="","",IF('02_대상물건입력'!$B$6="",1,IF(ISNUMBER(SEARCH('02_대상물건입력'!$B$6,C524)),1,0)))</f>
        <v/>
      </c>
      <c r="M524">
        <f>IF(E524="","",IF('02_대상물건입력'!$B$8="",0,IF(ISNUMBER(SEARCH('02_대상물건입력'!$B$8,E524)),1,0)))</f>
        <v/>
      </c>
      <c r="N524">
        <f>IF(B524="","",IF(B524="담보",1,0))</f>
        <v/>
      </c>
      <c r="O524">
        <f>IFERROR(ABS(G524-'02_대상물건입력'!$B$11)/'02_대상물건입력'!$B$11,"")</f>
        <v/>
      </c>
      <c r="P524">
        <f>IFERROR(ABS('01_설정'!$B$4-H524),"")</f>
        <v/>
      </c>
      <c r="Q524">
        <f>IFERROR(ABS(YEAR(J524)-YEAR('02_대상물건입력'!$B$14)),"")</f>
        <v/>
      </c>
      <c r="R524">
        <f>IF(AND(G524&gt;0,H524&gt;0,I524&gt;0,N524=1,IF('01_설정'!$B$10=1,K524=1,TRUE()),O524&lt;='01_설정'!$B$5,P524&lt;='01_설정'!$B$7,Q524&lt;='01_설정'!$B$8),"Y","")</f>
        <v/>
      </c>
      <c r="S524">
        <f>IF(R524&lt;&gt;"Y","",MAX(0,(1-O524/'01_설정'!$B$5))*'01_설정'!$B$14+MAX(0,(1-P524/'01_설정'!$B$7))*'01_설정'!$B$16+MAX(0,(1-Q524/'01_설정'!$B$8))*'01_설정'!$B$17+L524*'01_설정'!$B$11+M524*'01_설정'!$B$12+N524*50)</f>
        <v/>
      </c>
      <c r="T524">
        <f>IF(S524="","",1+COUNTIFS($S$31:$S$1030,"&gt;"&amp;S524)+COUNTIFS($S$31:S524,S524)-1)</f>
        <v/>
      </c>
    </row>
    <row r="525" hidden="1" ht="16.5" customHeight="1">
      <c r="A525">
        <f>IF(COUNTA('05_KAPA'!$A496:$AO496)=0,"",498)</f>
        <v/>
      </c>
      <c r="B525">
        <f>IF($A525="","",INDEX('05_KAPA'!$B:$B,$A525))</f>
        <v/>
      </c>
      <c r="C525">
        <f>IF($A525="","",INDEX('05_KAPA'!$F:$F,$A525))</f>
        <v/>
      </c>
      <c r="D525">
        <f>IF($A525="","",INDEX('05_KAPA'!$H:$H,$A525))</f>
        <v/>
      </c>
      <c r="E525">
        <f>IF($A525="","",INDEX('05_KAPA'!$K:$K,$A525))</f>
        <v/>
      </c>
      <c r="F525">
        <f>IF($A525="","",INDEX('05_KAPA'!$L:$L,$A525))</f>
        <v/>
      </c>
      <c r="G525">
        <f>IF($A525="","",INDEX('05_KAPA'!$I:$I,$A525))</f>
        <v/>
      </c>
      <c r="H525" s="202">
        <f>IF($A525="","",INDEX('05_KAPA'!$P:$P,$A525))</f>
        <v/>
      </c>
      <c r="I525" s="118">
        <f>IF($A525="","",INDEX('05_KAPA'!$O:$O,$A525))</f>
        <v/>
      </c>
      <c r="J525" s="202">
        <f>IF($A525="","",IFERROR(DATE(LEFT(TEXT(INDEX('05_KAPA'!$T:$T,$A525),"0"),4),MID(TEXT(INDEX('05_KAPA'!$T:$T,$A525),"0"),5,2),RIGHT(TEXT(INDEX('05_KAPA'!$T:$T,$A525),"0"),2)),""))</f>
        <v/>
      </c>
      <c r="K525">
        <f>IF(C525="","",IF('02_대상물건입력'!$B$5="",1,IF(ISNUMBER(SEARCH('02_대상물건입력'!$B$5,C525)),1,0)))</f>
        <v/>
      </c>
      <c r="L525">
        <f>IF(C525="","",IF('02_대상물건입력'!$B$6="",1,IF(ISNUMBER(SEARCH('02_대상물건입력'!$B$6,C525)),1,0)))</f>
        <v/>
      </c>
      <c r="M525">
        <f>IF(E525="","",IF('02_대상물건입력'!$B$8="",0,IF(ISNUMBER(SEARCH('02_대상물건입력'!$B$8,E525)),1,0)))</f>
        <v/>
      </c>
      <c r="N525">
        <f>IF(B525="","",IF(B525="담보",1,0))</f>
        <v/>
      </c>
      <c r="O525">
        <f>IFERROR(ABS(G525-'02_대상물건입력'!$B$11)/'02_대상물건입력'!$B$11,"")</f>
        <v/>
      </c>
      <c r="P525">
        <f>IFERROR(ABS('01_설정'!$B$4-H525),"")</f>
        <v/>
      </c>
      <c r="Q525">
        <f>IFERROR(ABS(YEAR(J525)-YEAR('02_대상물건입력'!$B$14)),"")</f>
        <v/>
      </c>
      <c r="R525">
        <f>IF(AND(G525&gt;0,H525&gt;0,I525&gt;0,N525=1,IF('01_설정'!$B$10=1,K525=1,TRUE()),O525&lt;='01_설정'!$B$5,P525&lt;='01_설정'!$B$7,Q525&lt;='01_설정'!$B$8),"Y","")</f>
        <v/>
      </c>
      <c r="S525">
        <f>IF(R525&lt;&gt;"Y","",MAX(0,(1-O525/'01_설정'!$B$5))*'01_설정'!$B$14+MAX(0,(1-P525/'01_설정'!$B$7))*'01_설정'!$B$16+MAX(0,(1-Q525/'01_설정'!$B$8))*'01_설정'!$B$17+L525*'01_설정'!$B$11+M525*'01_설정'!$B$12+N525*50)</f>
        <v/>
      </c>
      <c r="T525">
        <f>IF(S525="","",1+COUNTIFS($S$31:$S$1030,"&gt;"&amp;S525)+COUNTIFS($S$31:S525,S525)-1)</f>
        <v/>
      </c>
    </row>
    <row r="526" hidden="1" ht="16.5" customHeight="1">
      <c r="A526">
        <f>IF(COUNTA('05_KAPA'!$A497:$AO497)=0,"",499)</f>
        <v/>
      </c>
      <c r="B526">
        <f>IF($A526="","",INDEX('05_KAPA'!$B:$B,$A526))</f>
        <v/>
      </c>
      <c r="C526">
        <f>IF($A526="","",INDEX('05_KAPA'!$F:$F,$A526))</f>
        <v/>
      </c>
      <c r="D526">
        <f>IF($A526="","",INDEX('05_KAPA'!$H:$H,$A526))</f>
        <v/>
      </c>
      <c r="E526">
        <f>IF($A526="","",INDEX('05_KAPA'!$K:$K,$A526))</f>
        <v/>
      </c>
      <c r="F526">
        <f>IF($A526="","",INDEX('05_KAPA'!$L:$L,$A526))</f>
        <v/>
      </c>
      <c r="G526">
        <f>IF($A526="","",INDEX('05_KAPA'!$I:$I,$A526))</f>
        <v/>
      </c>
      <c r="H526" s="202">
        <f>IF($A526="","",INDEX('05_KAPA'!$P:$P,$A526))</f>
        <v/>
      </c>
      <c r="I526" s="118">
        <f>IF($A526="","",INDEX('05_KAPA'!$O:$O,$A526))</f>
        <v/>
      </c>
      <c r="J526" s="202">
        <f>IF($A526="","",IFERROR(DATE(LEFT(TEXT(INDEX('05_KAPA'!$T:$T,$A526),"0"),4),MID(TEXT(INDEX('05_KAPA'!$T:$T,$A526),"0"),5,2),RIGHT(TEXT(INDEX('05_KAPA'!$T:$T,$A526),"0"),2)),""))</f>
        <v/>
      </c>
      <c r="K526">
        <f>IF(C526="","",IF('02_대상물건입력'!$B$5="",1,IF(ISNUMBER(SEARCH('02_대상물건입력'!$B$5,C526)),1,0)))</f>
        <v/>
      </c>
      <c r="L526">
        <f>IF(C526="","",IF('02_대상물건입력'!$B$6="",1,IF(ISNUMBER(SEARCH('02_대상물건입력'!$B$6,C526)),1,0)))</f>
        <v/>
      </c>
      <c r="M526">
        <f>IF(E526="","",IF('02_대상물건입력'!$B$8="",0,IF(ISNUMBER(SEARCH('02_대상물건입력'!$B$8,E526)),1,0)))</f>
        <v/>
      </c>
      <c r="N526">
        <f>IF(B526="","",IF(B526="담보",1,0))</f>
        <v/>
      </c>
      <c r="O526">
        <f>IFERROR(ABS(G526-'02_대상물건입력'!$B$11)/'02_대상물건입력'!$B$11,"")</f>
        <v/>
      </c>
      <c r="P526">
        <f>IFERROR(ABS('01_설정'!$B$4-H526),"")</f>
        <v/>
      </c>
      <c r="Q526">
        <f>IFERROR(ABS(YEAR(J526)-YEAR('02_대상물건입력'!$B$14)),"")</f>
        <v/>
      </c>
      <c r="R526">
        <f>IF(AND(G526&gt;0,H526&gt;0,I526&gt;0,N526=1,IF('01_설정'!$B$10=1,K526=1,TRUE()),O526&lt;='01_설정'!$B$5,P526&lt;='01_설정'!$B$7,Q526&lt;='01_설정'!$B$8),"Y","")</f>
        <v/>
      </c>
      <c r="S526">
        <f>IF(R526&lt;&gt;"Y","",MAX(0,(1-O526/'01_설정'!$B$5))*'01_설정'!$B$14+MAX(0,(1-P526/'01_설정'!$B$7))*'01_설정'!$B$16+MAX(0,(1-Q526/'01_설정'!$B$8))*'01_설정'!$B$17+L526*'01_설정'!$B$11+M526*'01_설정'!$B$12+N526*50)</f>
        <v/>
      </c>
      <c r="T526">
        <f>IF(S526="","",1+COUNTIFS($S$31:$S$1030,"&gt;"&amp;S526)+COUNTIFS($S$31:S526,S526)-1)</f>
        <v/>
      </c>
    </row>
    <row r="527" hidden="1" ht="16.5" customHeight="1">
      <c r="A527">
        <f>IF(COUNTA('05_KAPA'!$A498:$AO498)=0,"",500)</f>
        <v/>
      </c>
      <c r="B527">
        <f>IF($A527="","",INDEX('05_KAPA'!$B:$B,$A527))</f>
        <v/>
      </c>
      <c r="C527">
        <f>IF($A527="","",INDEX('05_KAPA'!$F:$F,$A527))</f>
        <v/>
      </c>
      <c r="D527">
        <f>IF($A527="","",INDEX('05_KAPA'!$H:$H,$A527))</f>
        <v/>
      </c>
      <c r="E527">
        <f>IF($A527="","",INDEX('05_KAPA'!$K:$K,$A527))</f>
        <v/>
      </c>
      <c r="F527">
        <f>IF($A527="","",INDEX('05_KAPA'!$L:$L,$A527))</f>
        <v/>
      </c>
      <c r="G527">
        <f>IF($A527="","",INDEX('05_KAPA'!$I:$I,$A527))</f>
        <v/>
      </c>
      <c r="H527" s="202">
        <f>IF($A527="","",INDEX('05_KAPA'!$P:$P,$A527))</f>
        <v/>
      </c>
      <c r="I527" s="118">
        <f>IF($A527="","",INDEX('05_KAPA'!$O:$O,$A527))</f>
        <v/>
      </c>
      <c r="J527" s="202">
        <f>IF($A527="","",IFERROR(DATE(LEFT(TEXT(INDEX('05_KAPA'!$T:$T,$A527),"0"),4),MID(TEXT(INDEX('05_KAPA'!$T:$T,$A527),"0"),5,2),RIGHT(TEXT(INDEX('05_KAPA'!$T:$T,$A527),"0"),2)),""))</f>
        <v/>
      </c>
      <c r="K527">
        <f>IF(C527="","",IF('02_대상물건입력'!$B$5="",1,IF(ISNUMBER(SEARCH('02_대상물건입력'!$B$5,C527)),1,0)))</f>
        <v/>
      </c>
      <c r="L527">
        <f>IF(C527="","",IF('02_대상물건입력'!$B$6="",1,IF(ISNUMBER(SEARCH('02_대상물건입력'!$B$6,C527)),1,0)))</f>
        <v/>
      </c>
      <c r="M527">
        <f>IF(E527="","",IF('02_대상물건입력'!$B$8="",0,IF(ISNUMBER(SEARCH('02_대상물건입력'!$B$8,E527)),1,0)))</f>
        <v/>
      </c>
      <c r="N527">
        <f>IF(B527="","",IF(B527="담보",1,0))</f>
        <v/>
      </c>
      <c r="O527">
        <f>IFERROR(ABS(G527-'02_대상물건입력'!$B$11)/'02_대상물건입력'!$B$11,"")</f>
        <v/>
      </c>
      <c r="P527">
        <f>IFERROR(ABS('01_설정'!$B$4-H527),"")</f>
        <v/>
      </c>
      <c r="Q527">
        <f>IFERROR(ABS(YEAR(J527)-YEAR('02_대상물건입력'!$B$14)),"")</f>
        <v/>
      </c>
      <c r="R527">
        <f>IF(AND(G527&gt;0,H527&gt;0,I527&gt;0,N527=1,IF('01_설정'!$B$10=1,K527=1,TRUE()),O527&lt;='01_설정'!$B$5,P527&lt;='01_설정'!$B$7,Q527&lt;='01_설정'!$B$8),"Y","")</f>
        <v/>
      </c>
      <c r="S527">
        <f>IF(R527&lt;&gt;"Y","",MAX(0,(1-O527/'01_설정'!$B$5))*'01_설정'!$B$14+MAX(0,(1-P527/'01_설정'!$B$7))*'01_설정'!$B$16+MAX(0,(1-Q527/'01_설정'!$B$8))*'01_설정'!$B$17+L527*'01_설정'!$B$11+M527*'01_설정'!$B$12+N527*50)</f>
        <v/>
      </c>
      <c r="T527">
        <f>IF(S527="","",1+COUNTIFS($S$31:$S$1030,"&gt;"&amp;S527)+COUNTIFS($S$31:S527,S527)-1)</f>
        <v/>
      </c>
    </row>
    <row r="528" hidden="1" ht="16.5" customHeight="1">
      <c r="A528">
        <f>IF(COUNTA('05_KAPA'!$A499:$AO499)=0,"",501)</f>
        <v/>
      </c>
      <c r="B528">
        <f>IF($A528="","",INDEX('05_KAPA'!$B:$B,$A528))</f>
        <v/>
      </c>
      <c r="C528">
        <f>IF($A528="","",INDEX('05_KAPA'!$F:$F,$A528))</f>
        <v/>
      </c>
      <c r="D528">
        <f>IF($A528="","",INDEX('05_KAPA'!$H:$H,$A528))</f>
        <v/>
      </c>
      <c r="E528">
        <f>IF($A528="","",INDEX('05_KAPA'!$K:$K,$A528))</f>
        <v/>
      </c>
      <c r="F528">
        <f>IF($A528="","",INDEX('05_KAPA'!$L:$L,$A528))</f>
        <v/>
      </c>
      <c r="G528">
        <f>IF($A528="","",INDEX('05_KAPA'!$I:$I,$A528))</f>
        <v/>
      </c>
      <c r="H528" s="202">
        <f>IF($A528="","",INDEX('05_KAPA'!$P:$P,$A528))</f>
        <v/>
      </c>
      <c r="I528" s="118">
        <f>IF($A528="","",INDEX('05_KAPA'!$O:$O,$A528))</f>
        <v/>
      </c>
      <c r="J528" s="202">
        <f>IF($A528="","",IFERROR(DATE(LEFT(TEXT(INDEX('05_KAPA'!$T:$T,$A528),"0"),4),MID(TEXT(INDEX('05_KAPA'!$T:$T,$A528),"0"),5,2),RIGHT(TEXT(INDEX('05_KAPA'!$T:$T,$A528),"0"),2)),""))</f>
        <v/>
      </c>
      <c r="K528">
        <f>IF(C528="","",IF('02_대상물건입력'!$B$5="",1,IF(ISNUMBER(SEARCH('02_대상물건입력'!$B$5,C528)),1,0)))</f>
        <v/>
      </c>
      <c r="L528">
        <f>IF(C528="","",IF('02_대상물건입력'!$B$6="",1,IF(ISNUMBER(SEARCH('02_대상물건입력'!$B$6,C528)),1,0)))</f>
        <v/>
      </c>
      <c r="M528">
        <f>IF(E528="","",IF('02_대상물건입력'!$B$8="",0,IF(ISNUMBER(SEARCH('02_대상물건입력'!$B$8,E528)),1,0)))</f>
        <v/>
      </c>
      <c r="N528">
        <f>IF(B528="","",IF(B528="담보",1,0))</f>
        <v/>
      </c>
      <c r="O528">
        <f>IFERROR(ABS(G528-'02_대상물건입력'!$B$11)/'02_대상물건입력'!$B$11,"")</f>
        <v/>
      </c>
      <c r="P528">
        <f>IFERROR(ABS('01_설정'!$B$4-H528),"")</f>
        <v/>
      </c>
      <c r="Q528">
        <f>IFERROR(ABS(YEAR(J528)-YEAR('02_대상물건입력'!$B$14)),"")</f>
        <v/>
      </c>
      <c r="R528">
        <f>IF(AND(G528&gt;0,H528&gt;0,I528&gt;0,N528=1,IF('01_설정'!$B$10=1,K528=1,TRUE()),O528&lt;='01_설정'!$B$5,P528&lt;='01_설정'!$B$7,Q528&lt;='01_설정'!$B$8),"Y","")</f>
        <v/>
      </c>
      <c r="S528">
        <f>IF(R528&lt;&gt;"Y","",MAX(0,(1-O528/'01_설정'!$B$5))*'01_설정'!$B$14+MAX(0,(1-P528/'01_설정'!$B$7))*'01_설정'!$B$16+MAX(0,(1-Q528/'01_설정'!$B$8))*'01_설정'!$B$17+L528*'01_설정'!$B$11+M528*'01_설정'!$B$12+N528*50)</f>
        <v/>
      </c>
      <c r="T528">
        <f>IF(S528="","",1+COUNTIFS($S$31:$S$1030,"&gt;"&amp;S528)+COUNTIFS($S$31:S528,S528)-1)</f>
        <v/>
      </c>
    </row>
    <row r="529" hidden="1" ht="16.5" customHeight="1">
      <c r="A529">
        <f>IF(COUNTA('05_KAPA'!$A500:$AO500)=0,"",502)</f>
        <v/>
      </c>
      <c r="B529">
        <f>IF($A529="","",INDEX('05_KAPA'!$B:$B,$A529))</f>
        <v/>
      </c>
      <c r="C529">
        <f>IF($A529="","",INDEX('05_KAPA'!$F:$F,$A529))</f>
        <v/>
      </c>
      <c r="D529">
        <f>IF($A529="","",INDEX('05_KAPA'!$H:$H,$A529))</f>
        <v/>
      </c>
      <c r="E529">
        <f>IF($A529="","",INDEX('05_KAPA'!$K:$K,$A529))</f>
        <v/>
      </c>
      <c r="F529">
        <f>IF($A529="","",INDEX('05_KAPA'!$L:$L,$A529))</f>
        <v/>
      </c>
      <c r="G529">
        <f>IF($A529="","",INDEX('05_KAPA'!$I:$I,$A529))</f>
        <v/>
      </c>
      <c r="H529" s="202">
        <f>IF($A529="","",INDEX('05_KAPA'!$P:$P,$A529))</f>
        <v/>
      </c>
      <c r="I529" s="118">
        <f>IF($A529="","",INDEX('05_KAPA'!$O:$O,$A529))</f>
        <v/>
      </c>
      <c r="J529" s="202">
        <f>IF($A529="","",IFERROR(DATE(LEFT(TEXT(INDEX('05_KAPA'!$T:$T,$A529),"0"),4),MID(TEXT(INDEX('05_KAPA'!$T:$T,$A529),"0"),5,2),RIGHT(TEXT(INDEX('05_KAPA'!$T:$T,$A529),"0"),2)),""))</f>
        <v/>
      </c>
      <c r="K529">
        <f>IF(C529="","",IF('02_대상물건입력'!$B$5="",1,IF(ISNUMBER(SEARCH('02_대상물건입력'!$B$5,C529)),1,0)))</f>
        <v/>
      </c>
      <c r="L529">
        <f>IF(C529="","",IF('02_대상물건입력'!$B$6="",1,IF(ISNUMBER(SEARCH('02_대상물건입력'!$B$6,C529)),1,0)))</f>
        <v/>
      </c>
      <c r="M529">
        <f>IF(E529="","",IF('02_대상물건입력'!$B$8="",0,IF(ISNUMBER(SEARCH('02_대상물건입력'!$B$8,E529)),1,0)))</f>
        <v/>
      </c>
      <c r="N529">
        <f>IF(B529="","",IF(B529="담보",1,0))</f>
        <v/>
      </c>
      <c r="O529">
        <f>IFERROR(ABS(G529-'02_대상물건입력'!$B$11)/'02_대상물건입력'!$B$11,"")</f>
        <v/>
      </c>
      <c r="P529">
        <f>IFERROR(ABS('01_설정'!$B$4-H529),"")</f>
        <v/>
      </c>
      <c r="Q529">
        <f>IFERROR(ABS(YEAR(J529)-YEAR('02_대상물건입력'!$B$14)),"")</f>
        <v/>
      </c>
      <c r="R529">
        <f>IF(AND(G529&gt;0,H529&gt;0,I529&gt;0,N529=1,IF('01_설정'!$B$10=1,K529=1,TRUE()),O529&lt;='01_설정'!$B$5,P529&lt;='01_설정'!$B$7,Q529&lt;='01_설정'!$B$8),"Y","")</f>
        <v/>
      </c>
      <c r="S529">
        <f>IF(R529&lt;&gt;"Y","",MAX(0,(1-O529/'01_설정'!$B$5))*'01_설정'!$B$14+MAX(0,(1-P529/'01_설정'!$B$7))*'01_설정'!$B$16+MAX(0,(1-Q529/'01_설정'!$B$8))*'01_설정'!$B$17+L529*'01_설정'!$B$11+M529*'01_설정'!$B$12+N529*50)</f>
        <v/>
      </c>
      <c r="T529">
        <f>IF(S529="","",1+COUNTIFS($S$31:$S$1030,"&gt;"&amp;S529)+COUNTIFS($S$31:S529,S529)-1)</f>
        <v/>
      </c>
    </row>
    <row r="530" hidden="1" ht="16.5" customHeight="1">
      <c r="A530">
        <f>IF(COUNTA('05_KAPA'!$A501:$AO501)=0,"",503)</f>
        <v/>
      </c>
      <c r="B530">
        <f>IF($A530="","",INDEX('05_KAPA'!$B:$B,$A530))</f>
        <v/>
      </c>
      <c r="C530">
        <f>IF($A530="","",INDEX('05_KAPA'!$F:$F,$A530))</f>
        <v/>
      </c>
      <c r="D530">
        <f>IF($A530="","",INDEX('05_KAPA'!$H:$H,$A530))</f>
        <v/>
      </c>
      <c r="E530">
        <f>IF($A530="","",INDEX('05_KAPA'!$K:$K,$A530))</f>
        <v/>
      </c>
      <c r="F530">
        <f>IF($A530="","",INDEX('05_KAPA'!$L:$L,$A530))</f>
        <v/>
      </c>
      <c r="G530">
        <f>IF($A530="","",INDEX('05_KAPA'!$I:$I,$A530))</f>
        <v/>
      </c>
      <c r="H530" s="202">
        <f>IF($A530="","",INDEX('05_KAPA'!$P:$P,$A530))</f>
        <v/>
      </c>
      <c r="I530" s="118">
        <f>IF($A530="","",INDEX('05_KAPA'!$O:$O,$A530))</f>
        <v/>
      </c>
      <c r="J530" s="202">
        <f>IF($A530="","",IFERROR(DATE(LEFT(TEXT(INDEX('05_KAPA'!$T:$T,$A530),"0"),4),MID(TEXT(INDEX('05_KAPA'!$T:$T,$A530),"0"),5,2),RIGHT(TEXT(INDEX('05_KAPA'!$T:$T,$A530),"0"),2)),""))</f>
        <v/>
      </c>
      <c r="K530">
        <f>IF(C530="","",IF('02_대상물건입력'!$B$5="",1,IF(ISNUMBER(SEARCH('02_대상물건입력'!$B$5,C530)),1,0)))</f>
        <v/>
      </c>
      <c r="L530">
        <f>IF(C530="","",IF('02_대상물건입력'!$B$6="",1,IF(ISNUMBER(SEARCH('02_대상물건입력'!$B$6,C530)),1,0)))</f>
        <v/>
      </c>
      <c r="M530">
        <f>IF(E530="","",IF('02_대상물건입력'!$B$8="",0,IF(ISNUMBER(SEARCH('02_대상물건입력'!$B$8,E530)),1,0)))</f>
        <v/>
      </c>
      <c r="N530">
        <f>IF(B530="","",IF(B530="담보",1,0))</f>
        <v/>
      </c>
      <c r="O530">
        <f>IFERROR(ABS(G530-'02_대상물건입력'!$B$11)/'02_대상물건입력'!$B$11,"")</f>
        <v/>
      </c>
      <c r="P530">
        <f>IFERROR(ABS('01_설정'!$B$4-H530),"")</f>
        <v/>
      </c>
      <c r="Q530">
        <f>IFERROR(ABS(YEAR(J530)-YEAR('02_대상물건입력'!$B$14)),"")</f>
        <v/>
      </c>
      <c r="R530">
        <f>IF(AND(G530&gt;0,H530&gt;0,I530&gt;0,N530=1,IF('01_설정'!$B$10=1,K530=1,TRUE()),O530&lt;='01_설정'!$B$5,P530&lt;='01_설정'!$B$7,Q530&lt;='01_설정'!$B$8),"Y","")</f>
        <v/>
      </c>
      <c r="S530">
        <f>IF(R530&lt;&gt;"Y","",MAX(0,(1-O530/'01_설정'!$B$5))*'01_설정'!$B$14+MAX(0,(1-P530/'01_설정'!$B$7))*'01_설정'!$B$16+MAX(0,(1-Q530/'01_설정'!$B$8))*'01_설정'!$B$17+L530*'01_설정'!$B$11+M530*'01_설정'!$B$12+N530*50)</f>
        <v/>
      </c>
      <c r="T530">
        <f>IF(S530="","",1+COUNTIFS($S$31:$S$1030,"&gt;"&amp;S530)+COUNTIFS($S$31:S530,S530)-1)</f>
        <v/>
      </c>
    </row>
    <row r="531" hidden="1" ht="16.5" customHeight="1">
      <c r="A531">
        <f>IF(COUNTA('05_KAPA'!$A502:$AO502)=0,"",504)</f>
        <v/>
      </c>
      <c r="B531">
        <f>IF($A531="","",INDEX('05_KAPA'!$B:$B,$A531))</f>
        <v/>
      </c>
      <c r="C531">
        <f>IF($A531="","",INDEX('05_KAPA'!$F:$F,$A531))</f>
        <v/>
      </c>
      <c r="D531">
        <f>IF($A531="","",INDEX('05_KAPA'!$H:$H,$A531))</f>
        <v/>
      </c>
      <c r="E531">
        <f>IF($A531="","",INDEX('05_KAPA'!$K:$K,$A531))</f>
        <v/>
      </c>
      <c r="F531">
        <f>IF($A531="","",INDEX('05_KAPA'!$L:$L,$A531))</f>
        <v/>
      </c>
      <c r="G531">
        <f>IF($A531="","",INDEX('05_KAPA'!$I:$I,$A531))</f>
        <v/>
      </c>
      <c r="H531" s="202">
        <f>IF($A531="","",INDEX('05_KAPA'!$P:$P,$A531))</f>
        <v/>
      </c>
      <c r="I531" s="118">
        <f>IF($A531="","",INDEX('05_KAPA'!$O:$O,$A531))</f>
        <v/>
      </c>
      <c r="J531" s="202">
        <f>IF($A531="","",IFERROR(DATE(LEFT(TEXT(INDEX('05_KAPA'!$T:$T,$A531),"0"),4),MID(TEXT(INDEX('05_KAPA'!$T:$T,$A531),"0"),5,2),RIGHT(TEXT(INDEX('05_KAPA'!$T:$T,$A531),"0"),2)),""))</f>
        <v/>
      </c>
      <c r="K531">
        <f>IF(C531="","",IF('02_대상물건입력'!$B$5="",1,IF(ISNUMBER(SEARCH('02_대상물건입력'!$B$5,C531)),1,0)))</f>
        <v/>
      </c>
      <c r="L531">
        <f>IF(C531="","",IF('02_대상물건입력'!$B$6="",1,IF(ISNUMBER(SEARCH('02_대상물건입력'!$B$6,C531)),1,0)))</f>
        <v/>
      </c>
      <c r="M531">
        <f>IF(E531="","",IF('02_대상물건입력'!$B$8="",0,IF(ISNUMBER(SEARCH('02_대상물건입력'!$B$8,E531)),1,0)))</f>
        <v/>
      </c>
      <c r="N531">
        <f>IF(B531="","",IF(B531="담보",1,0))</f>
        <v/>
      </c>
      <c r="O531">
        <f>IFERROR(ABS(G531-'02_대상물건입력'!$B$11)/'02_대상물건입력'!$B$11,"")</f>
        <v/>
      </c>
      <c r="P531">
        <f>IFERROR(ABS('01_설정'!$B$4-H531),"")</f>
        <v/>
      </c>
      <c r="Q531">
        <f>IFERROR(ABS(YEAR(J531)-YEAR('02_대상물건입력'!$B$14)),"")</f>
        <v/>
      </c>
      <c r="R531">
        <f>IF(AND(G531&gt;0,H531&gt;0,I531&gt;0,N531=1,IF('01_설정'!$B$10=1,K531=1,TRUE()),O531&lt;='01_설정'!$B$5,P531&lt;='01_설정'!$B$7,Q531&lt;='01_설정'!$B$8),"Y","")</f>
        <v/>
      </c>
      <c r="S531">
        <f>IF(R531&lt;&gt;"Y","",MAX(0,(1-O531/'01_설정'!$B$5))*'01_설정'!$B$14+MAX(0,(1-P531/'01_설정'!$B$7))*'01_설정'!$B$16+MAX(0,(1-Q531/'01_설정'!$B$8))*'01_설정'!$B$17+L531*'01_설정'!$B$11+M531*'01_설정'!$B$12+N531*50)</f>
        <v/>
      </c>
      <c r="T531">
        <f>IF(S531="","",1+COUNTIFS($S$31:$S$1030,"&gt;"&amp;S531)+COUNTIFS($S$31:S531,S531)-1)</f>
        <v/>
      </c>
    </row>
    <row r="532" hidden="1" ht="16.5" customHeight="1">
      <c r="A532">
        <f>IF(COUNTA('05_KAPA'!$A503:$AO503)=0,"",505)</f>
        <v/>
      </c>
      <c r="B532">
        <f>IF($A532="","",INDEX('05_KAPA'!$B:$B,$A532))</f>
        <v/>
      </c>
      <c r="C532">
        <f>IF($A532="","",INDEX('05_KAPA'!$F:$F,$A532))</f>
        <v/>
      </c>
      <c r="D532">
        <f>IF($A532="","",INDEX('05_KAPA'!$H:$H,$A532))</f>
        <v/>
      </c>
      <c r="E532">
        <f>IF($A532="","",INDEX('05_KAPA'!$K:$K,$A532))</f>
        <v/>
      </c>
      <c r="F532">
        <f>IF($A532="","",INDEX('05_KAPA'!$L:$L,$A532))</f>
        <v/>
      </c>
      <c r="G532">
        <f>IF($A532="","",INDEX('05_KAPA'!$I:$I,$A532))</f>
        <v/>
      </c>
      <c r="H532" s="202">
        <f>IF($A532="","",INDEX('05_KAPA'!$P:$P,$A532))</f>
        <v/>
      </c>
      <c r="I532" s="118">
        <f>IF($A532="","",INDEX('05_KAPA'!$O:$O,$A532))</f>
        <v/>
      </c>
      <c r="J532" s="202">
        <f>IF($A532="","",IFERROR(DATE(LEFT(TEXT(INDEX('05_KAPA'!$T:$T,$A532),"0"),4),MID(TEXT(INDEX('05_KAPA'!$T:$T,$A532),"0"),5,2),RIGHT(TEXT(INDEX('05_KAPA'!$T:$T,$A532),"0"),2)),""))</f>
        <v/>
      </c>
      <c r="K532">
        <f>IF(C532="","",IF('02_대상물건입력'!$B$5="",1,IF(ISNUMBER(SEARCH('02_대상물건입력'!$B$5,C532)),1,0)))</f>
        <v/>
      </c>
      <c r="L532">
        <f>IF(C532="","",IF('02_대상물건입력'!$B$6="",1,IF(ISNUMBER(SEARCH('02_대상물건입력'!$B$6,C532)),1,0)))</f>
        <v/>
      </c>
      <c r="M532">
        <f>IF(E532="","",IF('02_대상물건입력'!$B$8="",0,IF(ISNUMBER(SEARCH('02_대상물건입력'!$B$8,E532)),1,0)))</f>
        <v/>
      </c>
      <c r="N532">
        <f>IF(B532="","",IF(B532="담보",1,0))</f>
        <v/>
      </c>
      <c r="O532">
        <f>IFERROR(ABS(G532-'02_대상물건입력'!$B$11)/'02_대상물건입력'!$B$11,"")</f>
        <v/>
      </c>
      <c r="P532">
        <f>IFERROR(ABS('01_설정'!$B$4-H532),"")</f>
        <v/>
      </c>
      <c r="Q532">
        <f>IFERROR(ABS(YEAR(J532)-YEAR('02_대상물건입력'!$B$14)),"")</f>
        <v/>
      </c>
      <c r="R532">
        <f>IF(AND(G532&gt;0,H532&gt;0,I532&gt;0,N532=1,IF('01_설정'!$B$10=1,K532=1,TRUE()),O532&lt;='01_설정'!$B$5,P532&lt;='01_설정'!$B$7,Q532&lt;='01_설정'!$B$8),"Y","")</f>
        <v/>
      </c>
      <c r="S532">
        <f>IF(R532&lt;&gt;"Y","",MAX(0,(1-O532/'01_설정'!$B$5))*'01_설정'!$B$14+MAX(0,(1-P532/'01_설정'!$B$7))*'01_설정'!$B$16+MAX(0,(1-Q532/'01_설정'!$B$8))*'01_설정'!$B$17+L532*'01_설정'!$B$11+M532*'01_설정'!$B$12+N532*50)</f>
        <v/>
      </c>
      <c r="T532">
        <f>IF(S532="","",1+COUNTIFS($S$31:$S$1030,"&gt;"&amp;S532)+COUNTIFS($S$31:S532,S532)-1)</f>
        <v/>
      </c>
    </row>
    <row r="533" hidden="1" ht="16.5" customHeight="1">
      <c r="A533">
        <f>IF(COUNTA('05_KAPA'!$A504:$AO504)=0,"",506)</f>
        <v/>
      </c>
      <c r="B533">
        <f>IF($A533="","",INDEX('05_KAPA'!$B:$B,$A533))</f>
        <v/>
      </c>
      <c r="C533">
        <f>IF($A533="","",INDEX('05_KAPA'!$F:$F,$A533))</f>
        <v/>
      </c>
      <c r="D533">
        <f>IF($A533="","",INDEX('05_KAPA'!$H:$H,$A533))</f>
        <v/>
      </c>
      <c r="E533">
        <f>IF($A533="","",INDEX('05_KAPA'!$K:$K,$A533))</f>
        <v/>
      </c>
      <c r="F533">
        <f>IF($A533="","",INDEX('05_KAPA'!$L:$L,$A533))</f>
        <v/>
      </c>
      <c r="G533">
        <f>IF($A533="","",INDEX('05_KAPA'!$I:$I,$A533))</f>
        <v/>
      </c>
      <c r="H533" s="202">
        <f>IF($A533="","",INDEX('05_KAPA'!$P:$P,$A533))</f>
        <v/>
      </c>
      <c r="I533" s="118">
        <f>IF($A533="","",INDEX('05_KAPA'!$O:$O,$A533))</f>
        <v/>
      </c>
      <c r="J533" s="202">
        <f>IF($A533="","",IFERROR(DATE(LEFT(TEXT(INDEX('05_KAPA'!$T:$T,$A533),"0"),4),MID(TEXT(INDEX('05_KAPA'!$T:$T,$A533),"0"),5,2),RIGHT(TEXT(INDEX('05_KAPA'!$T:$T,$A533),"0"),2)),""))</f>
        <v/>
      </c>
      <c r="K533">
        <f>IF(C533="","",IF('02_대상물건입력'!$B$5="",1,IF(ISNUMBER(SEARCH('02_대상물건입력'!$B$5,C533)),1,0)))</f>
        <v/>
      </c>
      <c r="L533">
        <f>IF(C533="","",IF('02_대상물건입력'!$B$6="",1,IF(ISNUMBER(SEARCH('02_대상물건입력'!$B$6,C533)),1,0)))</f>
        <v/>
      </c>
      <c r="M533">
        <f>IF(E533="","",IF('02_대상물건입력'!$B$8="",0,IF(ISNUMBER(SEARCH('02_대상물건입력'!$B$8,E533)),1,0)))</f>
        <v/>
      </c>
      <c r="N533">
        <f>IF(B533="","",IF(B533="담보",1,0))</f>
        <v/>
      </c>
      <c r="O533">
        <f>IFERROR(ABS(G533-'02_대상물건입력'!$B$11)/'02_대상물건입력'!$B$11,"")</f>
        <v/>
      </c>
      <c r="P533">
        <f>IFERROR(ABS('01_설정'!$B$4-H533),"")</f>
        <v/>
      </c>
      <c r="Q533">
        <f>IFERROR(ABS(YEAR(J533)-YEAR('02_대상물건입력'!$B$14)),"")</f>
        <v/>
      </c>
      <c r="R533">
        <f>IF(AND(G533&gt;0,H533&gt;0,I533&gt;0,N533=1,IF('01_설정'!$B$10=1,K533=1,TRUE()),O533&lt;='01_설정'!$B$5,P533&lt;='01_설정'!$B$7,Q533&lt;='01_설정'!$B$8),"Y","")</f>
        <v/>
      </c>
      <c r="S533">
        <f>IF(R533&lt;&gt;"Y","",MAX(0,(1-O533/'01_설정'!$B$5))*'01_설정'!$B$14+MAX(0,(1-P533/'01_설정'!$B$7))*'01_설정'!$B$16+MAX(0,(1-Q533/'01_설정'!$B$8))*'01_설정'!$B$17+L533*'01_설정'!$B$11+M533*'01_설정'!$B$12+N533*50)</f>
        <v/>
      </c>
      <c r="T533">
        <f>IF(S533="","",1+COUNTIFS($S$31:$S$1030,"&gt;"&amp;S533)+COUNTIFS($S$31:S533,S533)-1)</f>
        <v/>
      </c>
    </row>
    <row r="534" hidden="1" ht="16.5" customHeight="1">
      <c r="A534">
        <f>IF(COUNTA('05_KAPA'!$A505:$AO505)=0,"",507)</f>
        <v/>
      </c>
      <c r="B534">
        <f>IF($A534="","",INDEX('05_KAPA'!$B:$B,$A534))</f>
        <v/>
      </c>
      <c r="C534">
        <f>IF($A534="","",INDEX('05_KAPA'!$F:$F,$A534))</f>
        <v/>
      </c>
      <c r="D534">
        <f>IF($A534="","",INDEX('05_KAPA'!$H:$H,$A534))</f>
        <v/>
      </c>
      <c r="E534">
        <f>IF($A534="","",INDEX('05_KAPA'!$K:$K,$A534))</f>
        <v/>
      </c>
      <c r="F534">
        <f>IF($A534="","",INDEX('05_KAPA'!$L:$L,$A534))</f>
        <v/>
      </c>
      <c r="G534">
        <f>IF($A534="","",INDEX('05_KAPA'!$I:$I,$A534))</f>
        <v/>
      </c>
      <c r="H534" s="202">
        <f>IF($A534="","",INDEX('05_KAPA'!$P:$P,$A534))</f>
        <v/>
      </c>
      <c r="I534" s="118">
        <f>IF($A534="","",INDEX('05_KAPA'!$O:$O,$A534))</f>
        <v/>
      </c>
      <c r="J534" s="202">
        <f>IF($A534="","",IFERROR(DATE(LEFT(TEXT(INDEX('05_KAPA'!$T:$T,$A534),"0"),4),MID(TEXT(INDEX('05_KAPA'!$T:$T,$A534),"0"),5,2),RIGHT(TEXT(INDEX('05_KAPA'!$T:$T,$A534),"0"),2)),""))</f>
        <v/>
      </c>
      <c r="K534">
        <f>IF(C534="","",IF('02_대상물건입력'!$B$5="",1,IF(ISNUMBER(SEARCH('02_대상물건입력'!$B$5,C534)),1,0)))</f>
        <v/>
      </c>
      <c r="L534">
        <f>IF(C534="","",IF('02_대상물건입력'!$B$6="",1,IF(ISNUMBER(SEARCH('02_대상물건입력'!$B$6,C534)),1,0)))</f>
        <v/>
      </c>
      <c r="M534">
        <f>IF(E534="","",IF('02_대상물건입력'!$B$8="",0,IF(ISNUMBER(SEARCH('02_대상물건입력'!$B$8,E534)),1,0)))</f>
        <v/>
      </c>
      <c r="N534">
        <f>IF(B534="","",IF(B534="담보",1,0))</f>
        <v/>
      </c>
      <c r="O534">
        <f>IFERROR(ABS(G534-'02_대상물건입력'!$B$11)/'02_대상물건입력'!$B$11,"")</f>
        <v/>
      </c>
      <c r="P534">
        <f>IFERROR(ABS('01_설정'!$B$4-H534),"")</f>
        <v/>
      </c>
      <c r="Q534">
        <f>IFERROR(ABS(YEAR(J534)-YEAR('02_대상물건입력'!$B$14)),"")</f>
        <v/>
      </c>
      <c r="R534">
        <f>IF(AND(G534&gt;0,H534&gt;0,I534&gt;0,N534=1,IF('01_설정'!$B$10=1,K534=1,TRUE()),O534&lt;='01_설정'!$B$5,P534&lt;='01_설정'!$B$7,Q534&lt;='01_설정'!$B$8),"Y","")</f>
        <v/>
      </c>
      <c r="S534">
        <f>IF(R534&lt;&gt;"Y","",MAX(0,(1-O534/'01_설정'!$B$5))*'01_설정'!$B$14+MAX(0,(1-P534/'01_설정'!$B$7))*'01_설정'!$B$16+MAX(0,(1-Q534/'01_설정'!$B$8))*'01_설정'!$B$17+L534*'01_설정'!$B$11+M534*'01_설정'!$B$12+N534*50)</f>
        <v/>
      </c>
      <c r="T534">
        <f>IF(S534="","",1+COUNTIFS($S$31:$S$1030,"&gt;"&amp;S534)+COUNTIFS($S$31:S534,S534)-1)</f>
        <v/>
      </c>
    </row>
    <row r="535" hidden="1" ht="16.5" customHeight="1">
      <c r="A535">
        <f>IF(COUNTA('05_KAPA'!$A506:$AO506)=0,"",508)</f>
        <v/>
      </c>
      <c r="B535">
        <f>IF($A535="","",INDEX('05_KAPA'!$B:$B,$A535))</f>
        <v/>
      </c>
      <c r="C535">
        <f>IF($A535="","",INDEX('05_KAPA'!$F:$F,$A535))</f>
        <v/>
      </c>
      <c r="D535">
        <f>IF($A535="","",INDEX('05_KAPA'!$H:$H,$A535))</f>
        <v/>
      </c>
      <c r="E535">
        <f>IF($A535="","",INDEX('05_KAPA'!$K:$K,$A535))</f>
        <v/>
      </c>
      <c r="F535">
        <f>IF($A535="","",INDEX('05_KAPA'!$L:$L,$A535))</f>
        <v/>
      </c>
      <c r="G535">
        <f>IF($A535="","",INDEX('05_KAPA'!$I:$I,$A535))</f>
        <v/>
      </c>
      <c r="H535" s="202">
        <f>IF($A535="","",INDEX('05_KAPA'!$P:$P,$A535))</f>
        <v/>
      </c>
      <c r="I535" s="118">
        <f>IF($A535="","",INDEX('05_KAPA'!$O:$O,$A535))</f>
        <v/>
      </c>
      <c r="J535" s="202">
        <f>IF($A535="","",IFERROR(DATE(LEFT(TEXT(INDEX('05_KAPA'!$T:$T,$A535),"0"),4),MID(TEXT(INDEX('05_KAPA'!$T:$T,$A535),"0"),5,2),RIGHT(TEXT(INDEX('05_KAPA'!$T:$T,$A535),"0"),2)),""))</f>
        <v/>
      </c>
      <c r="K535">
        <f>IF(C535="","",IF('02_대상물건입력'!$B$5="",1,IF(ISNUMBER(SEARCH('02_대상물건입력'!$B$5,C535)),1,0)))</f>
        <v/>
      </c>
      <c r="L535">
        <f>IF(C535="","",IF('02_대상물건입력'!$B$6="",1,IF(ISNUMBER(SEARCH('02_대상물건입력'!$B$6,C535)),1,0)))</f>
        <v/>
      </c>
      <c r="M535">
        <f>IF(E535="","",IF('02_대상물건입력'!$B$8="",0,IF(ISNUMBER(SEARCH('02_대상물건입력'!$B$8,E535)),1,0)))</f>
        <v/>
      </c>
      <c r="N535">
        <f>IF(B535="","",IF(B535="담보",1,0))</f>
        <v/>
      </c>
      <c r="O535">
        <f>IFERROR(ABS(G535-'02_대상물건입력'!$B$11)/'02_대상물건입력'!$B$11,"")</f>
        <v/>
      </c>
      <c r="P535">
        <f>IFERROR(ABS('01_설정'!$B$4-H535),"")</f>
        <v/>
      </c>
      <c r="Q535">
        <f>IFERROR(ABS(YEAR(J535)-YEAR('02_대상물건입력'!$B$14)),"")</f>
        <v/>
      </c>
      <c r="R535">
        <f>IF(AND(G535&gt;0,H535&gt;0,I535&gt;0,N535=1,IF('01_설정'!$B$10=1,K535=1,TRUE()),O535&lt;='01_설정'!$B$5,P535&lt;='01_설정'!$B$7,Q535&lt;='01_설정'!$B$8),"Y","")</f>
        <v/>
      </c>
      <c r="S535">
        <f>IF(R535&lt;&gt;"Y","",MAX(0,(1-O535/'01_설정'!$B$5))*'01_설정'!$B$14+MAX(0,(1-P535/'01_설정'!$B$7))*'01_설정'!$B$16+MAX(0,(1-Q535/'01_설정'!$B$8))*'01_설정'!$B$17+L535*'01_설정'!$B$11+M535*'01_설정'!$B$12+N535*50)</f>
        <v/>
      </c>
      <c r="T535">
        <f>IF(S535="","",1+COUNTIFS($S$31:$S$1030,"&gt;"&amp;S535)+COUNTIFS($S$31:S535,S535)-1)</f>
        <v/>
      </c>
    </row>
    <row r="536" hidden="1" ht="16.5" customHeight="1">
      <c r="A536">
        <f>IF(COUNTA('05_KAPA'!$A507:$AO507)=0,"",509)</f>
        <v/>
      </c>
      <c r="B536">
        <f>IF($A536="","",INDEX('05_KAPA'!$B:$B,$A536))</f>
        <v/>
      </c>
      <c r="C536">
        <f>IF($A536="","",INDEX('05_KAPA'!$F:$F,$A536))</f>
        <v/>
      </c>
      <c r="D536">
        <f>IF($A536="","",INDEX('05_KAPA'!$H:$H,$A536))</f>
        <v/>
      </c>
      <c r="E536">
        <f>IF($A536="","",INDEX('05_KAPA'!$K:$K,$A536))</f>
        <v/>
      </c>
      <c r="F536">
        <f>IF($A536="","",INDEX('05_KAPA'!$L:$L,$A536))</f>
        <v/>
      </c>
      <c r="G536">
        <f>IF($A536="","",INDEX('05_KAPA'!$I:$I,$A536))</f>
        <v/>
      </c>
      <c r="H536" s="202">
        <f>IF($A536="","",INDEX('05_KAPA'!$P:$P,$A536))</f>
        <v/>
      </c>
      <c r="I536" s="118">
        <f>IF($A536="","",INDEX('05_KAPA'!$O:$O,$A536))</f>
        <v/>
      </c>
      <c r="J536" s="202">
        <f>IF($A536="","",IFERROR(DATE(LEFT(TEXT(INDEX('05_KAPA'!$T:$T,$A536),"0"),4),MID(TEXT(INDEX('05_KAPA'!$T:$T,$A536),"0"),5,2),RIGHT(TEXT(INDEX('05_KAPA'!$T:$T,$A536),"0"),2)),""))</f>
        <v/>
      </c>
      <c r="K536">
        <f>IF(C536="","",IF('02_대상물건입력'!$B$5="",1,IF(ISNUMBER(SEARCH('02_대상물건입력'!$B$5,C536)),1,0)))</f>
        <v/>
      </c>
      <c r="L536">
        <f>IF(C536="","",IF('02_대상물건입력'!$B$6="",1,IF(ISNUMBER(SEARCH('02_대상물건입력'!$B$6,C536)),1,0)))</f>
        <v/>
      </c>
      <c r="M536">
        <f>IF(E536="","",IF('02_대상물건입력'!$B$8="",0,IF(ISNUMBER(SEARCH('02_대상물건입력'!$B$8,E536)),1,0)))</f>
        <v/>
      </c>
      <c r="N536">
        <f>IF(B536="","",IF(B536="담보",1,0))</f>
        <v/>
      </c>
      <c r="O536">
        <f>IFERROR(ABS(G536-'02_대상물건입력'!$B$11)/'02_대상물건입력'!$B$11,"")</f>
        <v/>
      </c>
      <c r="P536">
        <f>IFERROR(ABS('01_설정'!$B$4-H536),"")</f>
        <v/>
      </c>
      <c r="Q536">
        <f>IFERROR(ABS(YEAR(J536)-YEAR('02_대상물건입력'!$B$14)),"")</f>
        <v/>
      </c>
      <c r="R536">
        <f>IF(AND(G536&gt;0,H536&gt;0,I536&gt;0,N536=1,IF('01_설정'!$B$10=1,K536=1,TRUE()),O536&lt;='01_설정'!$B$5,P536&lt;='01_설정'!$B$7,Q536&lt;='01_설정'!$B$8),"Y","")</f>
        <v/>
      </c>
      <c r="S536">
        <f>IF(R536&lt;&gt;"Y","",MAX(0,(1-O536/'01_설정'!$B$5))*'01_설정'!$B$14+MAX(0,(1-P536/'01_설정'!$B$7))*'01_설정'!$B$16+MAX(0,(1-Q536/'01_설정'!$B$8))*'01_설정'!$B$17+L536*'01_설정'!$B$11+M536*'01_설정'!$B$12+N536*50)</f>
        <v/>
      </c>
      <c r="T536">
        <f>IF(S536="","",1+COUNTIFS($S$31:$S$1030,"&gt;"&amp;S536)+COUNTIFS($S$31:S536,S536)-1)</f>
        <v/>
      </c>
    </row>
    <row r="537" hidden="1" ht="16.5" customHeight="1">
      <c r="A537">
        <f>IF(COUNTA('05_KAPA'!$A508:$AO508)=0,"",510)</f>
        <v/>
      </c>
      <c r="B537">
        <f>IF($A537="","",INDEX('05_KAPA'!$B:$B,$A537))</f>
        <v/>
      </c>
      <c r="C537">
        <f>IF($A537="","",INDEX('05_KAPA'!$F:$F,$A537))</f>
        <v/>
      </c>
      <c r="D537">
        <f>IF($A537="","",INDEX('05_KAPA'!$H:$H,$A537))</f>
        <v/>
      </c>
      <c r="E537">
        <f>IF($A537="","",INDEX('05_KAPA'!$K:$K,$A537))</f>
        <v/>
      </c>
      <c r="F537">
        <f>IF($A537="","",INDEX('05_KAPA'!$L:$L,$A537))</f>
        <v/>
      </c>
      <c r="G537">
        <f>IF($A537="","",INDEX('05_KAPA'!$I:$I,$A537))</f>
        <v/>
      </c>
      <c r="H537" s="202">
        <f>IF($A537="","",INDEX('05_KAPA'!$P:$P,$A537))</f>
        <v/>
      </c>
      <c r="I537" s="118">
        <f>IF($A537="","",INDEX('05_KAPA'!$O:$O,$A537))</f>
        <v/>
      </c>
      <c r="J537" s="202">
        <f>IF($A537="","",IFERROR(DATE(LEFT(TEXT(INDEX('05_KAPA'!$T:$T,$A537),"0"),4),MID(TEXT(INDEX('05_KAPA'!$T:$T,$A537),"0"),5,2),RIGHT(TEXT(INDEX('05_KAPA'!$T:$T,$A537),"0"),2)),""))</f>
        <v/>
      </c>
      <c r="K537">
        <f>IF(C537="","",IF('02_대상물건입력'!$B$5="",1,IF(ISNUMBER(SEARCH('02_대상물건입력'!$B$5,C537)),1,0)))</f>
        <v/>
      </c>
      <c r="L537">
        <f>IF(C537="","",IF('02_대상물건입력'!$B$6="",1,IF(ISNUMBER(SEARCH('02_대상물건입력'!$B$6,C537)),1,0)))</f>
        <v/>
      </c>
      <c r="M537">
        <f>IF(E537="","",IF('02_대상물건입력'!$B$8="",0,IF(ISNUMBER(SEARCH('02_대상물건입력'!$B$8,E537)),1,0)))</f>
        <v/>
      </c>
      <c r="N537">
        <f>IF(B537="","",IF(B537="담보",1,0))</f>
        <v/>
      </c>
      <c r="O537">
        <f>IFERROR(ABS(G537-'02_대상물건입력'!$B$11)/'02_대상물건입력'!$B$11,"")</f>
        <v/>
      </c>
      <c r="P537">
        <f>IFERROR(ABS('01_설정'!$B$4-H537),"")</f>
        <v/>
      </c>
      <c r="Q537">
        <f>IFERROR(ABS(YEAR(J537)-YEAR('02_대상물건입력'!$B$14)),"")</f>
        <v/>
      </c>
      <c r="R537">
        <f>IF(AND(G537&gt;0,H537&gt;0,I537&gt;0,N537=1,IF('01_설정'!$B$10=1,K537=1,TRUE()),O537&lt;='01_설정'!$B$5,P537&lt;='01_설정'!$B$7,Q537&lt;='01_설정'!$B$8),"Y","")</f>
        <v/>
      </c>
      <c r="S537">
        <f>IF(R537&lt;&gt;"Y","",MAX(0,(1-O537/'01_설정'!$B$5))*'01_설정'!$B$14+MAX(0,(1-P537/'01_설정'!$B$7))*'01_설정'!$B$16+MAX(0,(1-Q537/'01_설정'!$B$8))*'01_설정'!$B$17+L537*'01_설정'!$B$11+M537*'01_설정'!$B$12+N537*50)</f>
        <v/>
      </c>
      <c r="T537">
        <f>IF(S537="","",1+COUNTIFS($S$31:$S$1030,"&gt;"&amp;S537)+COUNTIFS($S$31:S537,S537)-1)</f>
        <v/>
      </c>
    </row>
    <row r="538" hidden="1" ht="16.5" customHeight="1">
      <c r="A538">
        <f>IF(COUNTA('05_KAPA'!$A509:$AO509)=0,"",511)</f>
        <v/>
      </c>
      <c r="B538">
        <f>IF($A538="","",INDEX('05_KAPA'!$B:$B,$A538))</f>
        <v/>
      </c>
      <c r="C538">
        <f>IF($A538="","",INDEX('05_KAPA'!$F:$F,$A538))</f>
        <v/>
      </c>
      <c r="D538">
        <f>IF($A538="","",INDEX('05_KAPA'!$H:$H,$A538))</f>
        <v/>
      </c>
      <c r="E538">
        <f>IF($A538="","",INDEX('05_KAPA'!$K:$K,$A538))</f>
        <v/>
      </c>
      <c r="F538">
        <f>IF($A538="","",INDEX('05_KAPA'!$L:$L,$A538))</f>
        <v/>
      </c>
      <c r="G538">
        <f>IF($A538="","",INDEX('05_KAPA'!$I:$I,$A538))</f>
        <v/>
      </c>
      <c r="H538" s="202">
        <f>IF($A538="","",INDEX('05_KAPA'!$P:$P,$A538))</f>
        <v/>
      </c>
      <c r="I538" s="118">
        <f>IF($A538="","",INDEX('05_KAPA'!$O:$O,$A538))</f>
        <v/>
      </c>
      <c r="J538" s="202">
        <f>IF($A538="","",IFERROR(DATE(LEFT(TEXT(INDEX('05_KAPA'!$T:$T,$A538),"0"),4),MID(TEXT(INDEX('05_KAPA'!$T:$T,$A538),"0"),5,2),RIGHT(TEXT(INDEX('05_KAPA'!$T:$T,$A538),"0"),2)),""))</f>
        <v/>
      </c>
      <c r="K538">
        <f>IF(C538="","",IF('02_대상물건입력'!$B$5="",1,IF(ISNUMBER(SEARCH('02_대상물건입력'!$B$5,C538)),1,0)))</f>
        <v/>
      </c>
      <c r="L538">
        <f>IF(C538="","",IF('02_대상물건입력'!$B$6="",1,IF(ISNUMBER(SEARCH('02_대상물건입력'!$B$6,C538)),1,0)))</f>
        <v/>
      </c>
      <c r="M538">
        <f>IF(E538="","",IF('02_대상물건입력'!$B$8="",0,IF(ISNUMBER(SEARCH('02_대상물건입력'!$B$8,E538)),1,0)))</f>
        <v/>
      </c>
      <c r="N538">
        <f>IF(B538="","",IF(B538="담보",1,0))</f>
        <v/>
      </c>
      <c r="O538">
        <f>IFERROR(ABS(G538-'02_대상물건입력'!$B$11)/'02_대상물건입력'!$B$11,"")</f>
        <v/>
      </c>
      <c r="P538">
        <f>IFERROR(ABS('01_설정'!$B$4-H538),"")</f>
        <v/>
      </c>
      <c r="Q538">
        <f>IFERROR(ABS(YEAR(J538)-YEAR('02_대상물건입력'!$B$14)),"")</f>
        <v/>
      </c>
      <c r="R538">
        <f>IF(AND(G538&gt;0,H538&gt;0,I538&gt;0,N538=1,IF('01_설정'!$B$10=1,K538=1,TRUE()),O538&lt;='01_설정'!$B$5,P538&lt;='01_설정'!$B$7,Q538&lt;='01_설정'!$B$8),"Y","")</f>
        <v/>
      </c>
      <c r="S538">
        <f>IF(R538&lt;&gt;"Y","",MAX(0,(1-O538/'01_설정'!$B$5))*'01_설정'!$B$14+MAX(0,(1-P538/'01_설정'!$B$7))*'01_설정'!$B$16+MAX(0,(1-Q538/'01_설정'!$B$8))*'01_설정'!$B$17+L538*'01_설정'!$B$11+M538*'01_설정'!$B$12+N538*50)</f>
        <v/>
      </c>
      <c r="T538">
        <f>IF(S538="","",1+COUNTIFS($S$31:$S$1030,"&gt;"&amp;S538)+COUNTIFS($S$31:S538,S538)-1)</f>
        <v/>
      </c>
    </row>
    <row r="539" hidden="1" ht="16.5" customHeight="1">
      <c r="A539">
        <f>IF(COUNTA('05_KAPA'!$A510:$AO510)=0,"",512)</f>
        <v/>
      </c>
      <c r="B539">
        <f>IF($A539="","",INDEX('05_KAPA'!$B:$B,$A539))</f>
        <v/>
      </c>
      <c r="C539">
        <f>IF($A539="","",INDEX('05_KAPA'!$F:$F,$A539))</f>
        <v/>
      </c>
      <c r="D539">
        <f>IF($A539="","",INDEX('05_KAPA'!$H:$H,$A539))</f>
        <v/>
      </c>
      <c r="E539">
        <f>IF($A539="","",INDEX('05_KAPA'!$K:$K,$A539))</f>
        <v/>
      </c>
      <c r="F539">
        <f>IF($A539="","",INDEX('05_KAPA'!$L:$L,$A539))</f>
        <v/>
      </c>
      <c r="G539">
        <f>IF($A539="","",INDEX('05_KAPA'!$I:$I,$A539))</f>
        <v/>
      </c>
      <c r="H539" s="202">
        <f>IF($A539="","",INDEX('05_KAPA'!$P:$P,$A539))</f>
        <v/>
      </c>
      <c r="I539" s="118">
        <f>IF($A539="","",INDEX('05_KAPA'!$O:$O,$A539))</f>
        <v/>
      </c>
      <c r="J539" s="202">
        <f>IF($A539="","",IFERROR(DATE(LEFT(TEXT(INDEX('05_KAPA'!$T:$T,$A539),"0"),4),MID(TEXT(INDEX('05_KAPA'!$T:$T,$A539),"0"),5,2),RIGHT(TEXT(INDEX('05_KAPA'!$T:$T,$A539),"0"),2)),""))</f>
        <v/>
      </c>
      <c r="K539">
        <f>IF(C539="","",IF('02_대상물건입력'!$B$5="",1,IF(ISNUMBER(SEARCH('02_대상물건입력'!$B$5,C539)),1,0)))</f>
        <v/>
      </c>
      <c r="L539">
        <f>IF(C539="","",IF('02_대상물건입력'!$B$6="",1,IF(ISNUMBER(SEARCH('02_대상물건입력'!$B$6,C539)),1,0)))</f>
        <v/>
      </c>
      <c r="M539">
        <f>IF(E539="","",IF('02_대상물건입력'!$B$8="",0,IF(ISNUMBER(SEARCH('02_대상물건입력'!$B$8,E539)),1,0)))</f>
        <v/>
      </c>
      <c r="N539">
        <f>IF(B539="","",IF(B539="담보",1,0))</f>
        <v/>
      </c>
      <c r="O539">
        <f>IFERROR(ABS(G539-'02_대상물건입력'!$B$11)/'02_대상물건입력'!$B$11,"")</f>
        <v/>
      </c>
      <c r="P539">
        <f>IFERROR(ABS('01_설정'!$B$4-H539),"")</f>
        <v/>
      </c>
      <c r="Q539">
        <f>IFERROR(ABS(YEAR(J539)-YEAR('02_대상물건입력'!$B$14)),"")</f>
        <v/>
      </c>
      <c r="R539">
        <f>IF(AND(G539&gt;0,H539&gt;0,I539&gt;0,N539=1,IF('01_설정'!$B$10=1,K539=1,TRUE()),O539&lt;='01_설정'!$B$5,P539&lt;='01_설정'!$B$7,Q539&lt;='01_설정'!$B$8),"Y","")</f>
        <v/>
      </c>
      <c r="S539">
        <f>IF(R539&lt;&gt;"Y","",MAX(0,(1-O539/'01_설정'!$B$5))*'01_설정'!$B$14+MAX(0,(1-P539/'01_설정'!$B$7))*'01_설정'!$B$16+MAX(0,(1-Q539/'01_설정'!$B$8))*'01_설정'!$B$17+L539*'01_설정'!$B$11+M539*'01_설정'!$B$12+N539*50)</f>
        <v/>
      </c>
      <c r="T539">
        <f>IF(S539="","",1+COUNTIFS($S$31:$S$1030,"&gt;"&amp;S539)+COUNTIFS($S$31:S539,S539)-1)</f>
        <v/>
      </c>
    </row>
    <row r="540" hidden="1" ht="16.5" customHeight="1">
      <c r="A540">
        <f>IF(COUNTA('05_KAPA'!$A511:$AO511)=0,"",513)</f>
        <v/>
      </c>
      <c r="B540">
        <f>IF($A540="","",INDEX('05_KAPA'!$B:$B,$A540))</f>
        <v/>
      </c>
      <c r="C540">
        <f>IF($A540="","",INDEX('05_KAPA'!$F:$F,$A540))</f>
        <v/>
      </c>
      <c r="D540">
        <f>IF($A540="","",INDEX('05_KAPA'!$H:$H,$A540))</f>
        <v/>
      </c>
      <c r="E540">
        <f>IF($A540="","",INDEX('05_KAPA'!$K:$K,$A540))</f>
        <v/>
      </c>
      <c r="F540">
        <f>IF($A540="","",INDEX('05_KAPA'!$L:$L,$A540))</f>
        <v/>
      </c>
      <c r="G540">
        <f>IF($A540="","",INDEX('05_KAPA'!$I:$I,$A540))</f>
        <v/>
      </c>
      <c r="H540" s="202">
        <f>IF($A540="","",INDEX('05_KAPA'!$P:$P,$A540))</f>
        <v/>
      </c>
      <c r="I540" s="118">
        <f>IF($A540="","",INDEX('05_KAPA'!$O:$O,$A540))</f>
        <v/>
      </c>
      <c r="J540" s="202">
        <f>IF($A540="","",IFERROR(DATE(LEFT(TEXT(INDEX('05_KAPA'!$T:$T,$A540),"0"),4),MID(TEXT(INDEX('05_KAPA'!$T:$T,$A540),"0"),5,2),RIGHT(TEXT(INDEX('05_KAPA'!$T:$T,$A540),"0"),2)),""))</f>
        <v/>
      </c>
      <c r="K540">
        <f>IF(C540="","",IF('02_대상물건입력'!$B$5="",1,IF(ISNUMBER(SEARCH('02_대상물건입력'!$B$5,C540)),1,0)))</f>
        <v/>
      </c>
      <c r="L540">
        <f>IF(C540="","",IF('02_대상물건입력'!$B$6="",1,IF(ISNUMBER(SEARCH('02_대상물건입력'!$B$6,C540)),1,0)))</f>
        <v/>
      </c>
      <c r="M540">
        <f>IF(E540="","",IF('02_대상물건입력'!$B$8="",0,IF(ISNUMBER(SEARCH('02_대상물건입력'!$B$8,E540)),1,0)))</f>
        <v/>
      </c>
      <c r="N540">
        <f>IF(B540="","",IF(B540="담보",1,0))</f>
        <v/>
      </c>
      <c r="O540">
        <f>IFERROR(ABS(G540-'02_대상물건입력'!$B$11)/'02_대상물건입력'!$B$11,"")</f>
        <v/>
      </c>
      <c r="P540">
        <f>IFERROR(ABS('01_설정'!$B$4-H540),"")</f>
        <v/>
      </c>
      <c r="Q540">
        <f>IFERROR(ABS(YEAR(J540)-YEAR('02_대상물건입력'!$B$14)),"")</f>
        <v/>
      </c>
      <c r="R540">
        <f>IF(AND(G540&gt;0,H540&gt;0,I540&gt;0,N540=1,IF('01_설정'!$B$10=1,K540=1,TRUE()),O540&lt;='01_설정'!$B$5,P540&lt;='01_설정'!$B$7,Q540&lt;='01_설정'!$B$8),"Y","")</f>
        <v/>
      </c>
      <c r="S540">
        <f>IF(R540&lt;&gt;"Y","",MAX(0,(1-O540/'01_설정'!$B$5))*'01_설정'!$B$14+MAX(0,(1-P540/'01_설정'!$B$7))*'01_설정'!$B$16+MAX(0,(1-Q540/'01_설정'!$B$8))*'01_설정'!$B$17+L540*'01_설정'!$B$11+M540*'01_설정'!$B$12+N540*50)</f>
        <v/>
      </c>
      <c r="T540">
        <f>IF(S540="","",1+COUNTIFS($S$31:$S$1030,"&gt;"&amp;S540)+COUNTIFS($S$31:S540,S540)-1)</f>
        <v/>
      </c>
    </row>
    <row r="541" hidden="1" ht="16.5" customHeight="1">
      <c r="A541">
        <f>IF(COUNTA('05_KAPA'!$A512:$AO512)=0,"",514)</f>
        <v/>
      </c>
      <c r="B541">
        <f>IF($A541="","",INDEX('05_KAPA'!$B:$B,$A541))</f>
        <v/>
      </c>
      <c r="C541">
        <f>IF($A541="","",INDEX('05_KAPA'!$F:$F,$A541))</f>
        <v/>
      </c>
      <c r="D541">
        <f>IF($A541="","",INDEX('05_KAPA'!$H:$H,$A541))</f>
        <v/>
      </c>
      <c r="E541">
        <f>IF($A541="","",INDEX('05_KAPA'!$K:$K,$A541))</f>
        <v/>
      </c>
      <c r="F541">
        <f>IF($A541="","",INDEX('05_KAPA'!$L:$L,$A541))</f>
        <v/>
      </c>
      <c r="G541">
        <f>IF($A541="","",INDEX('05_KAPA'!$I:$I,$A541))</f>
        <v/>
      </c>
      <c r="H541" s="202">
        <f>IF($A541="","",INDEX('05_KAPA'!$P:$P,$A541))</f>
        <v/>
      </c>
      <c r="I541" s="118">
        <f>IF($A541="","",INDEX('05_KAPA'!$O:$O,$A541))</f>
        <v/>
      </c>
      <c r="J541" s="202">
        <f>IF($A541="","",IFERROR(DATE(LEFT(TEXT(INDEX('05_KAPA'!$T:$T,$A541),"0"),4),MID(TEXT(INDEX('05_KAPA'!$T:$T,$A541),"0"),5,2),RIGHT(TEXT(INDEX('05_KAPA'!$T:$T,$A541),"0"),2)),""))</f>
        <v/>
      </c>
      <c r="K541">
        <f>IF(C541="","",IF('02_대상물건입력'!$B$5="",1,IF(ISNUMBER(SEARCH('02_대상물건입력'!$B$5,C541)),1,0)))</f>
        <v/>
      </c>
      <c r="L541">
        <f>IF(C541="","",IF('02_대상물건입력'!$B$6="",1,IF(ISNUMBER(SEARCH('02_대상물건입력'!$B$6,C541)),1,0)))</f>
        <v/>
      </c>
      <c r="M541">
        <f>IF(E541="","",IF('02_대상물건입력'!$B$8="",0,IF(ISNUMBER(SEARCH('02_대상물건입력'!$B$8,E541)),1,0)))</f>
        <v/>
      </c>
      <c r="N541">
        <f>IF(B541="","",IF(B541="담보",1,0))</f>
        <v/>
      </c>
      <c r="O541">
        <f>IFERROR(ABS(G541-'02_대상물건입력'!$B$11)/'02_대상물건입력'!$B$11,"")</f>
        <v/>
      </c>
      <c r="P541">
        <f>IFERROR(ABS('01_설정'!$B$4-H541),"")</f>
        <v/>
      </c>
      <c r="Q541">
        <f>IFERROR(ABS(YEAR(J541)-YEAR('02_대상물건입력'!$B$14)),"")</f>
        <v/>
      </c>
      <c r="R541">
        <f>IF(AND(G541&gt;0,H541&gt;0,I541&gt;0,N541=1,IF('01_설정'!$B$10=1,K541=1,TRUE()),O541&lt;='01_설정'!$B$5,P541&lt;='01_설정'!$B$7,Q541&lt;='01_설정'!$B$8),"Y","")</f>
        <v/>
      </c>
      <c r="S541">
        <f>IF(R541&lt;&gt;"Y","",MAX(0,(1-O541/'01_설정'!$B$5))*'01_설정'!$B$14+MAX(0,(1-P541/'01_설정'!$B$7))*'01_설정'!$B$16+MAX(0,(1-Q541/'01_설정'!$B$8))*'01_설정'!$B$17+L541*'01_설정'!$B$11+M541*'01_설정'!$B$12+N541*50)</f>
        <v/>
      </c>
      <c r="T541">
        <f>IF(S541="","",1+COUNTIFS($S$31:$S$1030,"&gt;"&amp;S541)+COUNTIFS($S$31:S541,S541)-1)</f>
        <v/>
      </c>
    </row>
    <row r="542" hidden="1" ht="16.5" customHeight="1">
      <c r="A542">
        <f>IF(COUNTA('05_KAPA'!$A513:$AO513)=0,"",515)</f>
        <v/>
      </c>
      <c r="B542">
        <f>IF($A542="","",INDEX('05_KAPA'!$B:$B,$A542))</f>
        <v/>
      </c>
      <c r="C542">
        <f>IF($A542="","",INDEX('05_KAPA'!$F:$F,$A542))</f>
        <v/>
      </c>
      <c r="D542">
        <f>IF($A542="","",INDEX('05_KAPA'!$H:$H,$A542))</f>
        <v/>
      </c>
      <c r="E542">
        <f>IF($A542="","",INDEX('05_KAPA'!$K:$K,$A542))</f>
        <v/>
      </c>
      <c r="F542">
        <f>IF($A542="","",INDEX('05_KAPA'!$L:$L,$A542))</f>
        <v/>
      </c>
      <c r="G542">
        <f>IF($A542="","",INDEX('05_KAPA'!$I:$I,$A542))</f>
        <v/>
      </c>
      <c r="H542" s="202">
        <f>IF($A542="","",INDEX('05_KAPA'!$P:$P,$A542))</f>
        <v/>
      </c>
      <c r="I542" s="118">
        <f>IF($A542="","",INDEX('05_KAPA'!$O:$O,$A542))</f>
        <v/>
      </c>
      <c r="J542" s="202">
        <f>IF($A542="","",IFERROR(DATE(LEFT(TEXT(INDEX('05_KAPA'!$T:$T,$A542),"0"),4),MID(TEXT(INDEX('05_KAPA'!$T:$T,$A542),"0"),5,2),RIGHT(TEXT(INDEX('05_KAPA'!$T:$T,$A542),"0"),2)),""))</f>
        <v/>
      </c>
      <c r="K542">
        <f>IF(C542="","",IF('02_대상물건입력'!$B$5="",1,IF(ISNUMBER(SEARCH('02_대상물건입력'!$B$5,C542)),1,0)))</f>
        <v/>
      </c>
      <c r="L542">
        <f>IF(C542="","",IF('02_대상물건입력'!$B$6="",1,IF(ISNUMBER(SEARCH('02_대상물건입력'!$B$6,C542)),1,0)))</f>
        <v/>
      </c>
      <c r="M542">
        <f>IF(E542="","",IF('02_대상물건입력'!$B$8="",0,IF(ISNUMBER(SEARCH('02_대상물건입력'!$B$8,E542)),1,0)))</f>
        <v/>
      </c>
      <c r="N542">
        <f>IF(B542="","",IF(B542="담보",1,0))</f>
        <v/>
      </c>
      <c r="O542">
        <f>IFERROR(ABS(G542-'02_대상물건입력'!$B$11)/'02_대상물건입력'!$B$11,"")</f>
        <v/>
      </c>
      <c r="P542">
        <f>IFERROR(ABS('01_설정'!$B$4-H542),"")</f>
        <v/>
      </c>
      <c r="Q542">
        <f>IFERROR(ABS(YEAR(J542)-YEAR('02_대상물건입력'!$B$14)),"")</f>
        <v/>
      </c>
      <c r="R542">
        <f>IF(AND(G542&gt;0,H542&gt;0,I542&gt;0,N542=1,IF('01_설정'!$B$10=1,K542=1,TRUE()),O542&lt;='01_설정'!$B$5,P542&lt;='01_설정'!$B$7,Q542&lt;='01_설정'!$B$8),"Y","")</f>
        <v/>
      </c>
      <c r="S542">
        <f>IF(R542&lt;&gt;"Y","",MAX(0,(1-O542/'01_설정'!$B$5))*'01_설정'!$B$14+MAX(0,(1-P542/'01_설정'!$B$7))*'01_설정'!$B$16+MAX(0,(1-Q542/'01_설정'!$B$8))*'01_설정'!$B$17+L542*'01_설정'!$B$11+M542*'01_설정'!$B$12+N542*50)</f>
        <v/>
      </c>
      <c r="T542">
        <f>IF(S542="","",1+COUNTIFS($S$31:$S$1030,"&gt;"&amp;S542)+COUNTIFS($S$31:S542,S542)-1)</f>
        <v/>
      </c>
    </row>
    <row r="543" hidden="1" ht="16.5" customHeight="1">
      <c r="A543">
        <f>IF(COUNTA('05_KAPA'!$A514:$AO514)=0,"",516)</f>
        <v/>
      </c>
      <c r="B543">
        <f>IF($A543="","",INDEX('05_KAPA'!$B:$B,$A543))</f>
        <v/>
      </c>
      <c r="C543">
        <f>IF($A543="","",INDEX('05_KAPA'!$F:$F,$A543))</f>
        <v/>
      </c>
      <c r="D543">
        <f>IF($A543="","",INDEX('05_KAPA'!$H:$H,$A543))</f>
        <v/>
      </c>
      <c r="E543">
        <f>IF($A543="","",INDEX('05_KAPA'!$K:$K,$A543))</f>
        <v/>
      </c>
      <c r="F543">
        <f>IF($A543="","",INDEX('05_KAPA'!$L:$L,$A543))</f>
        <v/>
      </c>
      <c r="G543">
        <f>IF($A543="","",INDEX('05_KAPA'!$I:$I,$A543))</f>
        <v/>
      </c>
      <c r="H543" s="202">
        <f>IF($A543="","",INDEX('05_KAPA'!$P:$P,$A543))</f>
        <v/>
      </c>
      <c r="I543" s="118">
        <f>IF($A543="","",INDEX('05_KAPA'!$O:$O,$A543))</f>
        <v/>
      </c>
      <c r="J543" s="202">
        <f>IF($A543="","",IFERROR(DATE(LEFT(TEXT(INDEX('05_KAPA'!$T:$T,$A543),"0"),4),MID(TEXT(INDEX('05_KAPA'!$T:$T,$A543),"0"),5,2),RIGHT(TEXT(INDEX('05_KAPA'!$T:$T,$A543),"0"),2)),""))</f>
        <v/>
      </c>
      <c r="K543">
        <f>IF(C543="","",IF('02_대상물건입력'!$B$5="",1,IF(ISNUMBER(SEARCH('02_대상물건입력'!$B$5,C543)),1,0)))</f>
        <v/>
      </c>
      <c r="L543">
        <f>IF(C543="","",IF('02_대상물건입력'!$B$6="",1,IF(ISNUMBER(SEARCH('02_대상물건입력'!$B$6,C543)),1,0)))</f>
        <v/>
      </c>
      <c r="M543">
        <f>IF(E543="","",IF('02_대상물건입력'!$B$8="",0,IF(ISNUMBER(SEARCH('02_대상물건입력'!$B$8,E543)),1,0)))</f>
        <v/>
      </c>
      <c r="N543">
        <f>IF(B543="","",IF(B543="담보",1,0))</f>
        <v/>
      </c>
      <c r="O543">
        <f>IFERROR(ABS(G543-'02_대상물건입력'!$B$11)/'02_대상물건입력'!$B$11,"")</f>
        <v/>
      </c>
      <c r="P543">
        <f>IFERROR(ABS('01_설정'!$B$4-H543),"")</f>
        <v/>
      </c>
      <c r="Q543">
        <f>IFERROR(ABS(YEAR(J543)-YEAR('02_대상물건입력'!$B$14)),"")</f>
        <v/>
      </c>
      <c r="R543">
        <f>IF(AND(G543&gt;0,H543&gt;0,I543&gt;0,N543=1,IF('01_설정'!$B$10=1,K543=1,TRUE()),O543&lt;='01_설정'!$B$5,P543&lt;='01_설정'!$B$7,Q543&lt;='01_설정'!$B$8),"Y","")</f>
        <v/>
      </c>
      <c r="S543">
        <f>IF(R543&lt;&gt;"Y","",MAX(0,(1-O543/'01_설정'!$B$5))*'01_설정'!$B$14+MAX(0,(1-P543/'01_설정'!$B$7))*'01_설정'!$B$16+MAX(0,(1-Q543/'01_설정'!$B$8))*'01_설정'!$B$17+L543*'01_설정'!$B$11+M543*'01_설정'!$B$12+N543*50)</f>
        <v/>
      </c>
      <c r="T543">
        <f>IF(S543="","",1+COUNTIFS($S$31:$S$1030,"&gt;"&amp;S543)+COUNTIFS($S$31:S543,S543)-1)</f>
        <v/>
      </c>
    </row>
    <row r="544" hidden="1" ht="16.5" customHeight="1">
      <c r="A544">
        <f>IF(COUNTA('05_KAPA'!$A515:$AO515)=0,"",517)</f>
        <v/>
      </c>
      <c r="B544">
        <f>IF($A544="","",INDEX('05_KAPA'!$B:$B,$A544))</f>
        <v/>
      </c>
      <c r="C544">
        <f>IF($A544="","",INDEX('05_KAPA'!$F:$F,$A544))</f>
        <v/>
      </c>
      <c r="D544">
        <f>IF($A544="","",INDEX('05_KAPA'!$H:$H,$A544))</f>
        <v/>
      </c>
      <c r="E544">
        <f>IF($A544="","",INDEX('05_KAPA'!$K:$K,$A544))</f>
        <v/>
      </c>
      <c r="F544">
        <f>IF($A544="","",INDEX('05_KAPA'!$L:$L,$A544))</f>
        <v/>
      </c>
      <c r="G544">
        <f>IF($A544="","",INDEX('05_KAPA'!$I:$I,$A544))</f>
        <v/>
      </c>
      <c r="H544" s="202">
        <f>IF($A544="","",INDEX('05_KAPA'!$P:$P,$A544))</f>
        <v/>
      </c>
      <c r="I544" s="118">
        <f>IF($A544="","",INDEX('05_KAPA'!$O:$O,$A544))</f>
        <v/>
      </c>
      <c r="J544" s="202">
        <f>IF($A544="","",IFERROR(DATE(LEFT(TEXT(INDEX('05_KAPA'!$T:$T,$A544),"0"),4),MID(TEXT(INDEX('05_KAPA'!$T:$T,$A544),"0"),5,2),RIGHT(TEXT(INDEX('05_KAPA'!$T:$T,$A544),"0"),2)),""))</f>
        <v/>
      </c>
      <c r="K544">
        <f>IF(C544="","",IF('02_대상물건입력'!$B$5="",1,IF(ISNUMBER(SEARCH('02_대상물건입력'!$B$5,C544)),1,0)))</f>
        <v/>
      </c>
      <c r="L544">
        <f>IF(C544="","",IF('02_대상물건입력'!$B$6="",1,IF(ISNUMBER(SEARCH('02_대상물건입력'!$B$6,C544)),1,0)))</f>
        <v/>
      </c>
      <c r="M544">
        <f>IF(E544="","",IF('02_대상물건입력'!$B$8="",0,IF(ISNUMBER(SEARCH('02_대상물건입력'!$B$8,E544)),1,0)))</f>
        <v/>
      </c>
      <c r="N544">
        <f>IF(B544="","",IF(B544="담보",1,0))</f>
        <v/>
      </c>
      <c r="O544">
        <f>IFERROR(ABS(G544-'02_대상물건입력'!$B$11)/'02_대상물건입력'!$B$11,"")</f>
        <v/>
      </c>
      <c r="P544">
        <f>IFERROR(ABS('01_설정'!$B$4-H544),"")</f>
        <v/>
      </c>
      <c r="Q544">
        <f>IFERROR(ABS(YEAR(J544)-YEAR('02_대상물건입력'!$B$14)),"")</f>
        <v/>
      </c>
      <c r="R544">
        <f>IF(AND(G544&gt;0,H544&gt;0,I544&gt;0,N544=1,IF('01_설정'!$B$10=1,K544=1,TRUE()),O544&lt;='01_설정'!$B$5,P544&lt;='01_설정'!$B$7,Q544&lt;='01_설정'!$B$8),"Y","")</f>
        <v/>
      </c>
      <c r="S544">
        <f>IF(R544&lt;&gt;"Y","",MAX(0,(1-O544/'01_설정'!$B$5))*'01_설정'!$B$14+MAX(0,(1-P544/'01_설정'!$B$7))*'01_설정'!$B$16+MAX(0,(1-Q544/'01_설정'!$B$8))*'01_설정'!$B$17+L544*'01_설정'!$B$11+M544*'01_설정'!$B$12+N544*50)</f>
        <v/>
      </c>
      <c r="T544">
        <f>IF(S544="","",1+COUNTIFS($S$31:$S$1030,"&gt;"&amp;S544)+COUNTIFS($S$31:S544,S544)-1)</f>
        <v/>
      </c>
    </row>
    <row r="545" hidden="1" ht="16.5" customHeight="1">
      <c r="A545">
        <f>IF(COUNTA('05_KAPA'!$A516:$AO516)=0,"",518)</f>
        <v/>
      </c>
      <c r="B545">
        <f>IF($A545="","",INDEX('05_KAPA'!$B:$B,$A545))</f>
        <v/>
      </c>
      <c r="C545">
        <f>IF($A545="","",INDEX('05_KAPA'!$F:$F,$A545))</f>
        <v/>
      </c>
      <c r="D545">
        <f>IF($A545="","",INDEX('05_KAPA'!$H:$H,$A545))</f>
        <v/>
      </c>
      <c r="E545">
        <f>IF($A545="","",INDEX('05_KAPA'!$K:$K,$A545))</f>
        <v/>
      </c>
      <c r="F545">
        <f>IF($A545="","",INDEX('05_KAPA'!$L:$L,$A545))</f>
        <v/>
      </c>
      <c r="G545">
        <f>IF($A545="","",INDEX('05_KAPA'!$I:$I,$A545))</f>
        <v/>
      </c>
      <c r="H545" s="202">
        <f>IF($A545="","",INDEX('05_KAPA'!$P:$P,$A545))</f>
        <v/>
      </c>
      <c r="I545" s="118">
        <f>IF($A545="","",INDEX('05_KAPA'!$O:$O,$A545))</f>
        <v/>
      </c>
      <c r="J545" s="202">
        <f>IF($A545="","",IFERROR(DATE(LEFT(TEXT(INDEX('05_KAPA'!$T:$T,$A545),"0"),4),MID(TEXT(INDEX('05_KAPA'!$T:$T,$A545),"0"),5,2),RIGHT(TEXT(INDEX('05_KAPA'!$T:$T,$A545),"0"),2)),""))</f>
        <v/>
      </c>
      <c r="K545">
        <f>IF(C545="","",IF('02_대상물건입력'!$B$5="",1,IF(ISNUMBER(SEARCH('02_대상물건입력'!$B$5,C545)),1,0)))</f>
        <v/>
      </c>
      <c r="L545">
        <f>IF(C545="","",IF('02_대상물건입력'!$B$6="",1,IF(ISNUMBER(SEARCH('02_대상물건입력'!$B$6,C545)),1,0)))</f>
        <v/>
      </c>
      <c r="M545">
        <f>IF(E545="","",IF('02_대상물건입력'!$B$8="",0,IF(ISNUMBER(SEARCH('02_대상물건입력'!$B$8,E545)),1,0)))</f>
        <v/>
      </c>
      <c r="N545">
        <f>IF(B545="","",IF(B545="담보",1,0))</f>
        <v/>
      </c>
      <c r="O545">
        <f>IFERROR(ABS(G545-'02_대상물건입력'!$B$11)/'02_대상물건입력'!$B$11,"")</f>
        <v/>
      </c>
      <c r="P545">
        <f>IFERROR(ABS('01_설정'!$B$4-H545),"")</f>
        <v/>
      </c>
      <c r="Q545">
        <f>IFERROR(ABS(YEAR(J545)-YEAR('02_대상물건입력'!$B$14)),"")</f>
        <v/>
      </c>
      <c r="R545">
        <f>IF(AND(G545&gt;0,H545&gt;0,I545&gt;0,N545=1,IF('01_설정'!$B$10=1,K545=1,TRUE()),O545&lt;='01_설정'!$B$5,P545&lt;='01_설정'!$B$7,Q545&lt;='01_설정'!$B$8),"Y","")</f>
        <v/>
      </c>
      <c r="S545">
        <f>IF(R545&lt;&gt;"Y","",MAX(0,(1-O545/'01_설정'!$B$5))*'01_설정'!$B$14+MAX(0,(1-P545/'01_설정'!$B$7))*'01_설정'!$B$16+MAX(0,(1-Q545/'01_설정'!$B$8))*'01_설정'!$B$17+L545*'01_설정'!$B$11+M545*'01_설정'!$B$12+N545*50)</f>
        <v/>
      </c>
      <c r="T545">
        <f>IF(S545="","",1+COUNTIFS($S$31:$S$1030,"&gt;"&amp;S545)+COUNTIFS($S$31:S545,S545)-1)</f>
        <v/>
      </c>
    </row>
    <row r="546" hidden="1" ht="16.5" customHeight="1">
      <c r="A546">
        <f>IF(COUNTA('05_KAPA'!$A517:$AO517)=0,"",519)</f>
        <v/>
      </c>
      <c r="B546">
        <f>IF($A546="","",INDEX('05_KAPA'!$B:$B,$A546))</f>
        <v/>
      </c>
      <c r="C546">
        <f>IF($A546="","",INDEX('05_KAPA'!$F:$F,$A546))</f>
        <v/>
      </c>
      <c r="D546">
        <f>IF($A546="","",INDEX('05_KAPA'!$H:$H,$A546))</f>
        <v/>
      </c>
      <c r="E546">
        <f>IF($A546="","",INDEX('05_KAPA'!$K:$K,$A546))</f>
        <v/>
      </c>
      <c r="F546">
        <f>IF($A546="","",INDEX('05_KAPA'!$L:$L,$A546))</f>
        <v/>
      </c>
      <c r="G546">
        <f>IF($A546="","",INDEX('05_KAPA'!$I:$I,$A546))</f>
        <v/>
      </c>
      <c r="H546" s="202">
        <f>IF($A546="","",INDEX('05_KAPA'!$P:$P,$A546))</f>
        <v/>
      </c>
      <c r="I546" s="118">
        <f>IF($A546="","",INDEX('05_KAPA'!$O:$O,$A546))</f>
        <v/>
      </c>
      <c r="J546" s="202">
        <f>IF($A546="","",IFERROR(DATE(LEFT(TEXT(INDEX('05_KAPA'!$T:$T,$A546),"0"),4),MID(TEXT(INDEX('05_KAPA'!$T:$T,$A546),"0"),5,2),RIGHT(TEXT(INDEX('05_KAPA'!$T:$T,$A546),"0"),2)),""))</f>
        <v/>
      </c>
      <c r="K546">
        <f>IF(C546="","",IF('02_대상물건입력'!$B$5="",1,IF(ISNUMBER(SEARCH('02_대상물건입력'!$B$5,C546)),1,0)))</f>
        <v/>
      </c>
      <c r="L546">
        <f>IF(C546="","",IF('02_대상물건입력'!$B$6="",1,IF(ISNUMBER(SEARCH('02_대상물건입력'!$B$6,C546)),1,0)))</f>
        <v/>
      </c>
      <c r="M546">
        <f>IF(E546="","",IF('02_대상물건입력'!$B$8="",0,IF(ISNUMBER(SEARCH('02_대상물건입력'!$B$8,E546)),1,0)))</f>
        <v/>
      </c>
      <c r="N546">
        <f>IF(B546="","",IF(B546="담보",1,0))</f>
        <v/>
      </c>
      <c r="O546">
        <f>IFERROR(ABS(G546-'02_대상물건입력'!$B$11)/'02_대상물건입력'!$B$11,"")</f>
        <v/>
      </c>
      <c r="P546">
        <f>IFERROR(ABS('01_설정'!$B$4-H546),"")</f>
        <v/>
      </c>
      <c r="Q546">
        <f>IFERROR(ABS(YEAR(J546)-YEAR('02_대상물건입력'!$B$14)),"")</f>
        <v/>
      </c>
      <c r="R546">
        <f>IF(AND(G546&gt;0,H546&gt;0,I546&gt;0,N546=1,IF('01_설정'!$B$10=1,K546=1,TRUE()),O546&lt;='01_설정'!$B$5,P546&lt;='01_설정'!$B$7,Q546&lt;='01_설정'!$B$8),"Y","")</f>
        <v/>
      </c>
      <c r="S546">
        <f>IF(R546&lt;&gt;"Y","",MAX(0,(1-O546/'01_설정'!$B$5))*'01_설정'!$B$14+MAX(0,(1-P546/'01_설정'!$B$7))*'01_설정'!$B$16+MAX(0,(1-Q546/'01_설정'!$B$8))*'01_설정'!$B$17+L546*'01_설정'!$B$11+M546*'01_설정'!$B$12+N546*50)</f>
        <v/>
      </c>
      <c r="T546">
        <f>IF(S546="","",1+COUNTIFS($S$31:$S$1030,"&gt;"&amp;S546)+COUNTIFS($S$31:S546,S546)-1)</f>
        <v/>
      </c>
    </row>
    <row r="547" hidden="1" ht="16.5" customHeight="1">
      <c r="A547">
        <f>IF(COUNTA('05_KAPA'!$A518:$AO518)=0,"",520)</f>
        <v/>
      </c>
      <c r="B547">
        <f>IF($A547="","",INDEX('05_KAPA'!$B:$B,$A547))</f>
        <v/>
      </c>
      <c r="C547">
        <f>IF($A547="","",INDEX('05_KAPA'!$F:$F,$A547))</f>
        <v/>
      </c>
      <c r="D547">
        <f>IF($A547="","",INDEX('05_KAPA'!$H:$H,$A547))</f>
        <v/>
      </c>
      <c r="E547">
        <f>IF($A547="","",INDEX('05_KAPA'!$K:$K,$A547))</f>
        <v/>
      </c>
      <c r="F547">
        <f>IF($A547="","",INDEX('05_KAPA'!$L:$L,$A547))</f>
        <v/>
      </c>
      <c r="G547">
        <f>IF($A547="","",INDEX('05_KAPA'!$I:$I,$A547))</f>
        <v/>
      </c>
      <c r="H547" s="202">
        <f>IF($A547="","",INDEX('05_KAPA'!$P:$P,$A547))</f>
        <v/>
      </c>
      <c r="I547" s="118">
        <f>IF($A547="","",INDEX('05_KAPA'!$O:$O,$A547))</f>
        <v/>
      </c>
      <c r="J547" s="202">
        <f>IF($A547="","",IFERROR(DATE(LEFT(TEXT(INDEX('05_KAPA'!$T:$T,$A547),"0"),4),MID(TEXT(INDEX('05_KAPA'!$T:$T,$A547),"0"),5,2),RIGHT(TEXT(INDEX('05_KAPA'!$T:$T,$A547),"0"),2)),""))</f>
        <v/>
      </c>
      <c r="K547">
        <f>IF(C547="","",IF('02_대상물건입력'!$B$5="",1,IF(ISNUMBER(SEARCH('02_대상물건입력'!$B$5,C547)),1,0)))</f>
        <v/>
      </c>
      <c r="L547">
        <f>IF(C547="","",IF('02_대상물건입력'!$B$6="",1,IF(ISNUMBER(SEARCH('02_대상물건입력'!$B$6,C547)),1,0)))</f>
        <v/>
      </c>
      <c r="M547">
        <f>IF(E547="","",IF('02_대상물건입력'!$B$8="",0,IF(ISNUMBER(SEARCH('02_대상물건입력'!$B$8,E547)),1,0)))</f>
        <v/>
      </c>
      <c r="N547">
        <f>IF(B547="","",IF(B547="담보",1,0))</f>
        <v/>
      </c>
      <c r="O547">
        <f>IFERROR(ABS(G547-'02_대상물건입력'!$B$11)/'02_대상물건입력'!$B$11,"")</f>
        <v/>
      </c>
      <c r="P547">
        <f>IFERROR(ABS('01_설정'!$B$4-H547),"")</f>
        <v/>
      </c>
      <c r="Q547">
        <f>IFERROR(ABS(YEAR(J547)-YEAR('02_대상물건입력'!$B$14)),"")</f>
        <v/>
      </c>
      <c r="R547">
        <f>IF(AND(G547&gt;0,H547&gt;0,I547&gt;0,N547=1,IF('01_설정'!$B$10=1,K547=1,TRUE()),O547&lt;='01_설정'!$B$5,P547&lt;='01_설정'!$B$7,Q547&lt;='01_설정'!$B$8),"Y","")</f>
        <v/>
      </c>
      <c r="S547">
        <f>IF(R547&lt;&gt;"Y","",MAX(0,(1-O547/'01_설정'!$B$5))*'01_설정'!$B$14+MAX(0,(1-P547/'01_설정'!$B$7))*'01_설정'!$B$16+MAX(0,(1-Q547/'01_설정'!$B$8))*'01_설정'!$B$17+L547*'01_설정'!$B$11+M547*'01_설정'!$B$12+N547*50)</f>
        <v/>
      </c>
      <c r="T547">
        <f>IF(S547="","",1+COUNTIFS($S$31:$S$1030,"&gt;"&amp;S547)+COUNTIFS($S$31:S547,S547)-1)</f>
        <v/>
      </c>
    </row>
    <row r="548" hidden="1" ht="16.5" customHeight="1">
      <c r="A548">
        <f>IF(COUNTA('05_KAPA'!$A519:$AO519)=0,"",521)</f>
        <v/>
      </c>
      <c r="B548">
        <f>IF($A548="","",INDEX('05_KAPA'!$B:$B,$A548))</f>
        <v/>
      </c>
      <c r="C548">
        <f>IF($A548="","",INDEX('05_KAPA'!$F:$F,$A548))</f>
        <v/>
      </c>
      <c r="D548">
        <f>IF($A548="","",INDEX('05_KAPA'!$H:$H,$A548))</f>
        <v/>
      </c>
      <c r="E548">
        <f>IF($A548="","",INDEX('05_KAPA'!$K:$K,$A548))</f>
        <v/>
      </c>
      <c r="F548">
        <f>IF($A548="","",INDEX('05_KAPA'!$L:$L,$A548))</f>
        <v/>
      </c>
      <c r="G548">
        <f>IF($A548="","",INDEX('05_KAPA'!$I:$I,$A548))</f>
        <v/>
      </c>
      <c r="H548" s="202">
        <f>IF($A548="","",INDEX('05_KAPA'!$P:$P,$A548))</f>
        <v/>
      </c>
      <c r="I548" s="118">
        <f>IF($A548="","",INDEX('05_KAPA'!$O:$O,$A548))</f>
        <v/>
      </c>
      <c r="J548" s="202">
        <f>IF($A548="","",IFERROR(DATE(LEFT(TEXT(INDEX('05_KAPA'!$T:$T,$A548),"0"),4),MID(TEXT(INDEX('05_KAPA'!$T:$T,$A548),"0"),5,2),RIGHT(TEXT(INDEX('05_KAPA'!$T:$T,$A548),"0"),2)),""))</f>
        <v/>
      </c>
      <c r="K548">
        <f>IF(C548="","",IF('02_대상물건입력'!$B$5="",1,IF(ISNUMBER(SEARCH('02_대상물건입력'!$B$5,C548)),1,0)))</f>
        <v/>
      </c>
      <c r="L548">
        <f>IF(C548="","",IF('02_대상물건입력'!$B$6="",1,IF(ISNUMBER(SEARCH('02_대상물건입력'!$B$6,C548)),1,0)))</f>
        <v/>
      </c>
      <c r="M548">
        <f>IF(E548="","",IF('02_대상물건입력'!$B$8="",0,IF(ISNUMBER(SEARCH('02_대상물건입력'!$B$8,E548)),1,0)))</f>
        <v/>
      </c>
      <c r="N548">
        <f>IF(B548="","",IF(B548="담보",1,0))</f>
        <v/>
      </c>
      <c r="O548">
        <f>IFERROR(ABS(G548-'02_대상물건입력'!$B$11)/'02_대상물건입력'!$B$11,"")</f>
        <v/>
      </c>
      <c r="P548">
        <f>IFERROR(ABS('01_설정'!$B$4-H548),"")</f>
        <v/>
      </c>
      <c r="Q548">
        <f>IFERROR(ABS(YEAR(J548)-YEAR('02_대상물건입력'!$B$14)),"")</f>
        <v/>
      </c>
      <c r="R548">
        <f>IF(AND(G548&gt;0,H548&gt;0,I548&gt;0,N548=1,IF('01_설정'!$B$10=1,K548=1,TRUE()),O548&lt;='01_설정'!$B$5,P548&lt;='01_설정'!$B$7,Q548&lt;='01_설정'!$B$8),"Y","")</f>
        <v/>
      </c>
      <c r="S548">
        <f>IF(R548&lt;&gt;"Y","",MAX(0,(1-O548/'01_설정'!$B$5))*'01_설정'!$B$14+MAX(0,(1-P548/'01_설정'!$B$7))*'01_설정'!$B$16+MAX(0,(1-Q548/'01_설정'!$B$8))*'01_설정'!$B$17+L548*'01_설정'!$B$11+M548*'01_설정'!$B$12+N548*50)</f>
        <v/>
      </c>
      <c r="T548">
        <f>IF(S548="","",1+COUNTIFS($S$31:$S$1030,"&gt;"&amp;S548)+COUNTIFS($S$31:S548,S548)-1)</f>
        <v/>
      </c>
    </row>
    <row r="549" hidden="1" ht="16.5" customHeight="1">
      <c r="A549">
        <f>IF(COUNTA('05_KAPA'!$A520:$AO520)=0,"",522)</f>
        <v/>
      </c>
      <c r="B549">
        <f>IF($A549="","",INDEX('05_KAPA'!$B:$B,$A549))</f>
        <v/>
      </c>
      <c r="C549">
        <f>IF($A549="","",INDEX('05_KAPA'!$F:$F,$A549))</f>
        <v/>
      </c>
      <c r="D549">
        <f>IF($A549="","",INDEX('05_KAPA'!$H:$H,$A549))</f>
        <v/>
      </c>
      <c r="E549">
        <f>IF($A549="","",INDEX('05_KAPA'!$K:$K,$A549))</f>
        <v/>
      </c>
      <c r="F549">
        <f>IF($A549="","",INDEX('05_KAPA'!$L:$L,$A549))</f>
        <v/>
      </c>
      <c r="G549">
        <f>IF($A549="","",INDEX('05_KAPA'!$I:$I,$A549))</f>
        <v/>
      </c>
      <c r="H549" s="202">
        <f>IF($A549="","",INDEX('05_KAPA'!$P:$P,$A549))</f>
        <v/>
      </c>
      <c r="I549" s="118">
        <f>IF($A549="","",INDEX('05_KAPA'!$O:$O,$A549))</f>
        <v/>
      </c>
      <c r="J549" s="202">
        <f>IF($A549="","",IFERROR(DATE(LEFT(TEXT(INDEX('05_KAPA'!$T:$T,$A549),"0"),4),MID(TEXT(INDEX('05_KAPA'!$T:$T,$A549),"0"),5,2),RIGHT(TEXT(INDEX('05_KAPA'!$T:$T,$A549),"0"),2)),""))</f>
        <v/>
      </c>
      <c r="K549">
        <f>IF(C549="","",IF('02_대상물건입력'!$B$5="",1,IF(ISNUMBER(SEARCH('02_대상물건입력'!$B$5,C549)),1,0)))</f>
        <v/>
      </c>
      <c r="L549">
        <f>IF(C549="","",IF('02_대상물건입력'!$B$6="",1,IF(ISNUMBER(SEARCH('02_대상물건입력'!$B$6,C549)),1,0)))</f>
        <v/>
      </c>
      <c r="M549">
        <f>IF(E549="","",IF('02_대상물건입력'!$B$8="",0,IF(ISNUMBER(SEARCH('02_대상물건입력'!$B$8,E549)),1,0)))</f>
        <v/>
      </c>
      <c r="N549">
        <f>IF(B549="","",IF(B549="담보",1,0))</f>
        <v/>
      </c>
      <c r="O549">
        <f>IFERROR(ABS(G549-'02_대상물건입력'!$B$11)/'02_대상물건입력'!$B$11,"")</f>
        <v/>
      </c>
      <c r="P549">
        <f>IFERROR(ABS('01_설정'!$B$4-H549),"")</f>
        <v/>
      </c>
      <c r="Q549">
        <f>IFERROR(ABS(YEAR(J549)-YEAR('02_대상물건입력'!$B$14)),"")</f>
        <v/>
      </c>
      <c r="R549">
        <f>IF(AND(G549&gt;0,H549&gt;0,I549&gt;0,N549=1,IF('01_설정'!$B$10=1,K549=1,TRUE()),O549&lt;='01_설정'!$B$5,P549&lt;='01_설정'!$B$7,Q549&lt;='01_설정'!$B$8),"Y","")</f>
        <v/>
      </c>
      <c r="S549">
        <f>IF(R549&lt;&gt;"Y","",MAX(0,(1-O549/'01_설정'!$B$5))*'01_설정'!$B$14+MAX(0,(1-P549/'01_설정'!$B$7))*'01_설정'!$B$16+MAX(0,(1-Q549/'01_설정'!$B$8))*'01_설정'!$B$17+L549*'01_설정'!$B$11+M549*'01_설정'!$B$12+N549*50)</f>
        <v/>
      </c>
      <c r="T549">
        <f>IF(S549="","",1+COUNTIFS($S$31:$S$1030,"&gt;"&amp;S549)+COUNTIFS($S$31:S549,S549)-1)</f>
        <v/>
      </c>
    </row>
    <row r="550" hidden="1" ht="16.5" customHeight="1">
      <c r="A550">
        <f>IF(COUNTA('05_KAPA'!$A521:$AO521)=0,"",523)</f>
        <v/>
      </c>
      <c r="B550">
        <f>IF($A550="","",INDEX('05_KAPA'!$B:$B,$A550))</f>
        <v/>
      </c>
      <c r="C550">
        <f>IF($A550="","",INDEX('05_KAPA'!$F:$F,$A550))</f>
        <v/>
      </c>
      <c r="D550">
        <f>IF($A550="","",INDEX('05_KAPA'!$H:$H,$A550))</f>
        <v/>
      </c>
      <c r="E550">
        <f>IF($A550="","",INDEX('05_KAPA'!$K:$K,$A550))</f>
        <v/>
      </c>
      <c r="F550">
        <f>IF($A550="","",INDEX('05_KAPA'!$L:$L,$A550))</f>
        <v/>
      </c>
      <c r="G550">
        <f>IF($A550="","",INDEX('05_KAPA'!$I:$I,$A550))</f>
        <v/>
      </c>
      <c r="H550" s="202">
        <f>IF($A550="","",INDEX('05_KAPA'!$P:$P,$A550))</f>
        <v/>
      </c>
      <c r="I550" s="118">
        <f>IF($A550="","",INDEX('05_KAPA'!$O:$O,$A550))</f>
        <v/>
      </c>
      <c r="J550" s="202">
        <f>IF($A550="","",IFERROR(DATE(LEFT(TEXT(INDEX('05_KAPA'!$T:$T,$A550),"0"),4),MID(TEXT(INDEX('05_KAPA'!$T:$T,$A550),"0"),5,2),RIGHT(TEXT(INDEX('05_KAPA'!$T:$T,$A550),"0"),2)),""))</f>
        <v/>
      </c>
      <c r="K550">
        <f>IF(C550="","",IF('02_대상물건입력'!$B$5="",1,IF(ISNUMBER(SEARCH('02_대상물건입력'!$B$5,C550)),1,0)))</f>
        <v/>
      </c>
      <c r="L550">
        <f>IF(C550="","",IF('02_대상물건입력'!$B$6="",1,IF(ISNUMBER(SEARCH('02_대상물건입력'!$B$6,C550)),1,0)))</f>
        <v/>
      </c>
      <c r="M550">
        <f>IF(E550="","",IF('02_대상물건입력'!$B$8="",0,IF(ISNUMBER(SEARCH('02_대상물건입력'!$B$8,E550)),1,0)))</f>
        <v/>
      </c>
      <c r="N550">
        <f>IF(B550="","",IF(B550="담보",1,0))</f>
        <v/>
      </c>
      <c r="O550">
        <f>IFERROR(ABS(G550-'02_대상물건입력'!$B$11)/'02_대상물건입력'!$B$11,"")</f>
        <v/>
      </c>
      <c r="P550">
        <f>IFERROR(ABS('01_설정'!$B$4-H550),"")</f>
        <v/>
      </c>
      <c r="Q550">
        <f>IFERROR(ABS(YEAR(J550)-YEAR('02_대상물건입력'!$B$14)),"")</f>
        <v/>
      </c>
      <c r="R550">
        <f>IF(AND(G550&gt;0,H550&gt;0,I550&gt;0,N550=1,IF('01_설정'!$B$10=1,K550=1,TRUE()),O550&lt;='01_설정'!$B$5,P550&lt;='01_설정'!$B$7,Q550&lt;='01_설정'!$B$8),"Y","")</f>
        <v/>
      </c>
      <c r="S550">
        <f>IF(R550&lt;&gt;"Y","",MAX(0,(1-O550/'01_설정'!$B$5))*'01_설정'!$B$14+MAX(0,(1-P550/'01_설정'!$B$7))*'01_설정'!$B$16+MAX(0,(1-Q550/'01_설정'!$B$8))*'01_설정'!$B$17+L550*'01_설정'!$B$11+M550*'01_설정'!$B$12+N550*50)</f>
        <v/>
      </c>
      <c r="T550">
        <f>IF(S550="","",1+COUNTIFS($S$31:$S$1030,"&gt;"&amp;S550)+COUNTIFS($S$31:S550,S550)-1)</f>
        <v/>
      </c>
    </row>
    <row r="551" hidden="1" ht="16.5" customHeight="1">
      <c r="A551">
        <f>IF(COUNTA('05_KAPA'!$A522:$AO522)=0,"",524)</f>
        <v/>
      </c>
      <c r="B551">
        <f>IF($A551="","",INDEX('05_KAPA'!$B:$B,$A551))</f>
        <v/>
      </c>
      <c r="C551">
        <f>IF($A551="","",INDEX('05_KAPA'!$F:$F,$A551))</f>
        <v/>
      </c>
      <c r="D551">
        <f>IF($A551="","",INDEX('05_KAPA'!$H:$H,$A551))</f>
        <v/>
      </c>
      <c r="E551">
        <f>IF($A551="","",INDEX('05_KAPA'!$K:$K,$A551))</f>
        <v/>
      </c>
      <c r="F551">
        <f>IF($A551="","",INDEX('05_KAPA'!$L:$L,$A551))</f>
        <v/>
      </c>
      <c r="G551">
        <f>IF($A551="","",INDEX('05_KAPA'!$I:$I,$A551))</f>
        <v/>
      </c>
      <c r="H551" s="202">
        <f>IF($A551="","",INDEX('05_KAPA'!$P:$P,$A551))</f>
        <v/>
      </c>
      <c r="I551" s="118">
        <f>IF($A551="","",INDEX('05_KAPA'!$O:$O,$A551))</f>
        <v/>
      </c>
      <c r="J551" s="202">
        <f>IF($A551="","",IFERROR(DATE(LEFT(TEXT(INDEX('05_KAPA'!$T:$T,$A551),"0"),4),MID(TEXT(INDEX('05_KAPA'!$T:$T,$A551),"0"),5,2),RIGHT(TEXT(INDEX('05_KAPA'!$T:$T,$A551),"0"),2)),""))</f>
        <v/>
      </c>
      <c r="K551">
        <f>IF(C551="","",IF('02_대상물건입력'!$B$5="",1,IF(ISNUMBER(SEARCH('02_대상물건입력'!$B$5,C551)),1,0)))</f>
        <v/>
      </c>
      <c r="L551">
        <f>IF(C551="","",IF('02_대상물건입력'!$B$6="",1,IF(ISNUMBER(SEARCH('02_대상물건입력'!$B$6,C551)),1,0)))</f>
        <v/>
      </c>
      <c r="M551">
        <f>IF(E551="","",IF('02_대상물건입력'!$B$8="",0,IF(ISNUMBER(SEARCH('02_대상물건입력'!$B$8,E551)),1,0)))</f>
        <v/>
      </c>
      <c r="N551">
        <f>IF(B551="","",IF(B551="담보",1,0))</f>
        <v/>
      </c>
      <c r="O551">
        <f>IFERROR(ABS(G551-'02_대상물건입력'!$B$11)/'02_대상물건입력'!$B$11,"")</f>
        <v/>
      </c>
      <c r="P551">
        <f>IFERROR(ABS('01_설정'!$B$4-H551),"")</f>
        <v/>
      </c>
      <c r="Q551">
        <f>IFERROR(ABS(YEAR(J551)-YEAR('02_대상물건입력'!$B$14)),"")</f>
        <v/>
      </c>
      <c r="R551">
        <f>IF(AND(G551&gt;0,H551&gt;0,I551&gt;0,N551=1,IF('01_설정'!$B$10=1,K551=1,TRUE()),O551&lt;='01_설정'!$B$5,P551&lt;='01_설정'!$B$7,Q551&lt;='01_설정'!$B$8),"Y","")</f>
        <v/>
      </c>
      <c r="S551">
        <f>IF(R551&lt;&gt;"Y","",MAX(0,(1-O551/'01_설정'!$B$5))*'01_설정'!$B$14+MAX(0,(1-P551/'01_설정'!$B$7))*'01_설정'!$B$16+MAX(0,(1-Q551/'01_설정'!$B$8))*'01_설정'!$B$17+L551*'01_설정'!$B$11+M551*'01_설정'!$B$12+N551*50)</f>
        <v/>
      </c>
      <c r="T551">
        <f>IF(S551="","",1+COUNTIFS($S$31:$S$1030,"&gt;"&amp;S551)+COUNTIFS($S$31:S551,S551)-1)</f>
        <v/>
      </c>
    </row>
    <row r="552" hidden="1" ht="16.5" customHeight="1">
      <c r="A552">
        <f>IF(COUNTA('05_KAPA'!$A523:$AO523)=0,"",525)</f>
        <v/>
      </c>
      <c r="B552">
        <f>IF($A552="","",INDEX('05_KAPA'!$B:$B,$A552))</f>
        <v/>
      </c>
      <c r="C552">
        <f>IF($A552="","",INDEX('05_KAPA'!$F:$F,$A552))</f>
        <v/>
      </c>
      <c r="D552">
        <f>IF($A552="","",INDEX('05_KAPA'!$H:$H,$A552))</f>
        <v/>
      </c>
      <c r="E552">
        <f>IF($A552="","",INDEX('05_KAPA'!$K:$K,$A552))</f>
        <v/>
      </c>
      <c r="F552">
        <f>IF($A552="","",INDEX('05_KAPA'!$L:$L,$A552))</f>
        <v/>
      </c>
      <c r="G552">
        <f>IF($A552="","",INDEX('05_KAPA'!$I:$I,$A552))</f>
        <v/>
      </c>
      <c r="H552" s="202">
        <f>IF($A552="","",INDEX('05_KAPA'!$P:$P,$A552))</f>
        <v/>
      </c>
      <c r="I552" s="118">
        <f>IF($A552="","",INDEX('05_KAPA'!$O:$O,$A552))</f>
        <v/>
      </c>
      <c r="J552" s="202">
        <f>IF($A552="","",IFERROR(DATE(LEFT(TEXT(INDEX('05_KAPA'!$T:$T,$A552),"0"),4),MID(TEXT(INDEX('05_KAPA'!$T:$T,$A552),"0"),5,2),RIGHT(TEXT(INDEX('05_KAPA'!$T:$T,$A552),"0"),2)),""))</f>
        <v/>
      </c>
      <c r="K552">
        <f>IF(C552="","",IF('02_대상물건입력'!$B$5="",1,IF(ISNUMBER(SEARCH('02_대상물건입력'!$B$5,C552)),1,0)))</f>
        <v/>
      </c>
      <c r="L552">
        <f>IF(C552="","",IF('02_대상물건입력'!$B$6="",1,IF(ISNUMBER(SEARCH('02_대상물건입력'!$B$6,C552)),1,0)))</f>
        <v/>
      </c>
      <c r="M552">
        <f>IF(E552="","",IF('02_대상물건입력'!$B$8="",0,IF(ISNUMBER(SEARCH('02_대상물건입력'!$B$8,E552)),1,0)))</f>
        <v/>
      </c>
      <c r="N552">
        <f>IF(B552="","",IF(B552="담보",1,0))</f>
        <v/>
      </c>
      <c r="O552">
        <f>IFERROR(ABS(G552-'02_대상물건입력'!$B$11)/'02_대상물건입력'!$B$11,"")</f>
        <v/>
      </c>
      <c r="P552">
        <f>IFERROR(ABS('01_설정'!$B$4-H552),"")</f>
        <v/>
      </c>
      <c r="Q552">
        <f>IFERROR(ABS(YEAR(J552)-YEAR('02_대상물건입력'!$B$14)),"")</f>
        <v/>
      </c>
      <c r="R552">
        <f>IF(AND(G552&gt;0,H552&gt;0,I552&gt;0,N552=1,IF('01_설정'!$B$10=1,K552=1,TRUE()),O552&lt;='01_설정'!$B$5,P552&lt;='01_설정'!$B$7,Q552&lt;='01_설정'!$B$8),"Y","")</f>
        <v/>
      </c>
      <c r="S552">
        <f>IF(R552&lt;&gt;"Y","",MAX(0,(1-O552/'01_설정'!$B$5))*'01_설정'!$B$14+MAX(0,(1-P552/'01_설정'!$B$7))*'01_설정'!$B$16+MAX(0,(1-Q552/'01_설정'!$B$8))*'01_설정'!$B$17+L552*'01_설정'!$B$11+M552*'01_설정'!$B$12+N552*50)</f>
        <v/>
      </c>
      <c r="T552">
        <f>IF(S552="","",1+COUNTIFS($S$31:$S$1030,"&gt;"&amp;S552)+COUNTIFS($S$31:S552,S552)-1)</f>
        <v/>
      </c>
    </row>
    <row r="553" hidden="1" ht="16.5" customHeight="1">
      <c r="A553">
        <f>IF(COUNTA('05_KAPA'!$A524:$AO524)=0,"",526)</f>
        <v/>
      </c>
      <c r="B553">
        <f>IF($A553="","",INDEX('05_KAPA'!$B:$B,$A553))</f>
        <v/>
      </c>
      <c r="C553">
        <f>IF($A553="","",INDEX('05_KAPA'!$F:$F,$A553))</f>
        <v/>
      </c>
      <c r="D553">
        <f>IF($A553="","",INDEX('05_KAPA'!$H:$H,$A553))</f>
        <v/>
      </c>
      <c r="E553">
        <f>IF($A553="","",INDEX('05_KAPA'!$K:$K,$A553))</f>
        <v/>
      </c>
      <c r="F553">
        <f>IF($A553="","",INDEX('05_KAPA'!$L:$L,$A553))</f>
        <v/>
      </c>
      <c r="G553">
        <f>IF($A553="","",INDEX('05_KAPA'!$I:$I,$A553))</f>
        <v/>
      </c>
      <c r="H553" s="202">
        <f>IF($A553="","",INDEX('05_KAPA'!$P:$P,$A553))</f>
        <v/>
      </c>
      <c r="I553" s="118">
        <f>IF($A553="","",INDEX('05_KAPA'!$O:$O,$A553))</f>
        <v/>
      </c>
      <c r="J553" s="202">
        <f>IF($A553="","",IFERROR(DATE(LEFT(TEXT(INDEX('05_KAPA'!$T:$T,$A553),"0"),4),MID(TEXT(INDEX('05_KAPA'!$T:$T,$A553),"0"),5,2),RIGHT(TEXT(INDEX('05_KAPA'!$T:$T,$A553),"0"),2)),""))</f>
        <v/>
      </c>
      <c r="K553">
        <f>IF(C553="","",IF('02_대상물건입력'!$B$5="",1,IF(ISNUMBER(SEARCH('02_대상물건입력'!$B$5,C553)),1,0)))</f>
        <v/>
      </c>
      <c r="L553">
        <f>IF(C553="","",IF('02_대상물건입력'!$B$6="",1,IF(ISNUMBER(SEARCH('02_대상물건입력'!$B$6,C553)),1,0)))</f>
        <v/>
      </c>
      <c r="M553">
        <f>IF(E553="","",IF('02_대상물건입력'!$B$8="",0,IF(ISNUMBER(SEARCH('02_대상물건입력'!$B$8,E553)),1,0)))</f>
        <v/>
      </c>
      <c r="N553">
        <f>IF(B553="","",IF(B553="담보",1,0))</f>
        <v/>
      </c>
      <c r="O553">
        <f>IFERROR(ABS(G553-'02_대상물건입력'!$B$11)/'02_대상물건입력'!$B$11,"")</f>
        <v/>
      </c>
      <c r="P553">
        <f>IFERROR(ABS('01_설정'!$B$4-H553),"")</f>
        <v/>
      </c>
      <c r="Q553">
        <f>IFERROR(ABS(YEAR(J553)-YEAR('02_대상물건입력'!$B$14)),"")</f>
        <v/>
      </c>
      <c r="R553">
        <f>IF(AND(G553&gt;0,H553&gt;0,I553&gt;0,N553=1,IF('01_설정'!$B$10=1,K553=1,TRUE()),O553&lt;='01_설정'!$B$5,P553&lt;='01_설정'!$B$7,Q553&lt;='01_설정'!$B$8),"Y","")</f>
        <v/>
      </c>
      <c r="S553">
        <f>IF(R553&lt;&gt;"Y","",MAX(0,(1-O553/'01_설정'!$B$5))*'01_설정'!$B$14+MAX(0,(1-P553/'01_설정'!$B$7))*'01_설정'!$B$16+MAX(0,(1-Q553/'01_설정'!$B$8))*'01_설정'!$B$17+L553*'01_설정'!$B$11+M553*'01_설정'!$B$12+N553*50)</f>
        <v/>
      </c>
      <c r="T553">
        <f>IF(S553="","",1+COUNTIFS($S$31:$S$1030,"&gt;"&amp;S553)+COUNTIFS($S$31:S553,S553)-1)</f>
        <v/>
      </c>
    </row>
    <row r="554" hidden="1" ht="16.5" customHeight="1">
      <c r="A554">
        <f>IF(COUNTA('05_KAPA'!$A525:$AO525)=0,"",527)</f>
        <v/>
      </c>
      <c r="B554">
        <f>IF($A554="","",INDEX('05_KAPA'!$B:$B,$A554))</f>
        <v/>
      </c>
      <c r="C554">
        <f>IF($A554="","",INDEX('05_KAPA'!$F:$F,$A554))</f>
        <v/>
      </c>
      <c r="D554">
        <f>IF($A554="","",INDEX('05_KAPA'!$H:$H,$A554))</f>
        <v/>
      </c>
      <c r="E554">
        <f>IF($A554="","",INDEX('05_KAPA'!$K:$K,$A554))</f>
        <v/>
      </c>
      <c r="F554">
        <f>IF($A554="","",INDEX('05_KAPA'!$L:$L,$A554))</f>
        <v/>
      </c>
      <c r="G554">
        <f>IF($A554="","",INDEX('05_KAPA'!$I:$I,$A554))</f>
        <v/>
      </c>
      <c r="H554" s="202">
        <f>IF($A554="","",INDEX('05_KAPA'!$P:$P,$A554))</f>
        <v/>
      </c>
      <c r="I554" s="118">
        <f>IF($A554="","",INDEX('05_KAPA'!$O:$O,$A554))</f>
        <v/>
      </c>
      <c r="J554" s="202">
        <f>IF($A554="","",IFERROR(DATE(LEFT(TEXT(INDEX('05_KAPA'!$T:$T,$A554),"0"),4),MID(TEXT(INDEX('05_KAPA'!$T:$T,$A554),"0"),5,2),RIGHT(TEXT(INDEX('05_KAPA'!$T:$T,$A554),"0"),2)),""))</f>
        <v/>
      </c>
      <c r="K554">
        <f>IF(C554="","",IF('02_대상물건입력'!$B$5="",1,IF(ISNUMBER(SEARCH('02_대상물건입력'!$B$5,C554)),1,0)))</f>
        <v/>
      </c>
      <c r="L554">
        <f>IF(C554="","",IF('02_대상물건입력'!$B$6="",1,IF(ISNUMBER(SEARCH('02_대상물건입력'!$B$6,C554)),1,0)))</f>
        <v/>
      </c>
      <c r="M554">
        <f>IF(E554="","",IF('02_대상물건입력'!$B$8="",0,IF(ISNUMBER(SEARCH('02_대상물건입력'!$B$8,E554)),1,0)))</f>
        <v/>
      </c>
      <c r="N554">
        <f>IF(B554="","",IF(B554="담보",1,0))</f>
        <v/>
      </c>
      <c r="O554">
        <f>IFERROR(ABS(G554-'02_대상물건입력'!$B$11)/'02_대상물건입력'!$B$11,"")</f>
        <v/>
      </c>
      <c r="P554">
        <f>IFERROR(ABS('01_설정'!$B$4-H554),"")</f>
        <v/>
      </c>
      <c r="Q554">
        <f>IFERROR(ABS(YEAR(J554)-YEAR('02_대상물건입력'!$B$14)),"")</f>
        <v/>
      </c>
      <c r="R554">
        <f>IF(AND(G554&gt;0,H554&gt;0,I554&gt;0,N554=1,IF('01_설정'!$B$10=1,K554=1,TRUE()),O554&lt;='01_설정'!$B$5,P554&lt;='01_설정'!$B$7,Q554&lt;='01_설정'!$B$8),"Y","")</f>
        <v/>
      </c>
      <c r="S554">
        <f>IF(R554&lt;&gt;"Y","",MAX(0,(1-O554/'01_설정'!$B$5))*'01_설정'!$B$14+MAX(0,(1-P554/'01_설정'!$B$7))*'01_설정'!$B$16+MAX(0,(1-Q554/'01_설정'!$B$8))*'01_설정'!$B$17+L554*'01_설정'!$B$11+M554*'01_설정'!$B$12+N554*50)</f>
        <v/>
      </c>
      <c r="T554">
        <f>IF(S554="","",1+COUNTIFS($S$31:$S$1030,"&gt;"&amp;S554)+COUNTIFS($S$31:S554,S554)-1)</f>
        <v/>
      </c>
    </row>
    <row r="555" hidden="1" ht="16.5" customHeight="1">
      <c r="A555">
        <f>IF(COUNTA('05_KAPA'!$A526:$AO526)=0,"",528)</f>
        <v/>
      </c>
      <c r="B555">
        <f>IF($A555="","",INDEX('05_KAPA'!$B:$B,$A555))</f>
        <v/>
      </c>
      <c r="C555">
        <f>IF($A555="","",INDEX('05_KAPA'!$F:$F,$A555))</f>
        <v/>
      </c>
      <c r="D555">
        <f>IF($A555="","",INDEX('05_KAPA'!$H:$H,$A555))</f>
        <v/>
      </c>
      <c r="E555">
        <f>IF($A555="","",INDEX('05_KAPA'!$K:$K,$A555))</f>
        <v/>
      </c>
      <c r="F555">
        <f>IF($A555="","",INDEX('05_KAPA'!$L:$L,$A555))</f>
        <v/>
      </c>
      <c r="G555">
        <f>IF($A555="","",INDEX('05_KAPA'!$I:$I,$A555))</f>
        <v/>
      </c>
      <c r="H555" s="202">
        <f>IF($A555="","",INDEX('05_KAPA'!$P:$P,$A555))</f>
        <v/>
      </c>
      <c r="I555" s="118">
        <f>IF($A555="","",INDEX('05_KAPA'!$O:$O,$A555))</f>
        <v/>
      </c>
      <c r="J555" s="202">
        <f>IF($A555="","",IFERROR(DATE(LEFT(TEXT(INDEX('05_KAPA'!$T:$T,$A555),"0"),4),MID(TEXT(INDEX('05_KAPA'!$T:$T,$A555),"0"),5,2),RIGHT(TEXT(INDEX('05_KAPA'!$T:$T,$A555),"0"),2)),""))</f>
        <v/>
      </c>
      <c r="K555">
        <f>IF(C555="","",IF('02_대상물건입력'!$B$5="",1,IF(ISNUMBER(SEARCH('02_대상물건입력'!$B$5,C555)),1,0)))</f>
        <v/>
      </c>
      <c r="L555">
        <f>IF(C555="","",IF('02_대상물건입력'!$B$6="",1,IF(ISNUMBER(SEARCH('02_대상물건입력'!$B$6,C555)),1,0)))</f>
        <v/>
      </c>
      <c r="M555">
        <f>IF(E555="","",IF('02_대상물건입력'!$B$8="",0,IF(ISNUMBER(SEARCH('02_대상물건입력'!$B$8,E555)),1,0)))</f>
        <v/>
      </c>
      <c r="N555">
        <f>IF(B555="","",IF(B555="담보",1,0))</f>
        <v/>
      </c>
      <c r="O555">
        <f>IFERROR(ABS(G555-'02_대상물건입력'!$B$11)/'02_대상물건입력'!$B$11,"")</f>
        <v/>
      </c>
      <c r="P555">
        <f>IFERROR(ABS('01_설정'!$B$4-H555),"")</f>
        <v/>
      </c>
      <c r="Q555">
        <f>IFERROR(ABS(YEAR(J555)-YEAR('02_대상물건입력'!$B$14)),"")</f>
        <v/>
      </c>
      <c r="R555">
        <f>IF(AND(G555&gt;0,H555&gt;0,I555&gt;0,N555=1,IF('01_설정'!$B$10=1,K555=1,TRUE()),O555&lt;='01_설정'!$B$5,P555&lt;='01_설정'!$B$7,Q555&lt;='01_설정'!$B$8),"Y","")</f>
        <v/>
      </c>
      <c r="S555">
        <f>IF(R555&lt;&gt;"Y","",MAX(0,(1-O555/'01_설정'!$B$5))*'01_설정'!$B$14+MAX(0,(1-P555/'01_설정'!$B$7))*'01_설정'!$B$16+MAX(0,(1-Q555/'01_설정'!$B$8))*'01_설정'!$B$17+L555*'01_설정'!$B$11+M555*'01_설정'!$B$12+N555*50)</f>
        <v/>
      </c>
      <c r="T555">
        <f>IF(S555="","",1+COUNTIFS($S$31:$S$1030,"&gt;"&amp;S555)+COUNTIFS($S$31:S555,S555)-1)</f>
        <v/>
      </c>
    </row>
    <row r="556" hidden="1" ht="16.5" customHeight="1">
      <c r="A556">
        <f>IF(COUNTA('05_KAPA'!$A527:$AO527)=0,"",529)</f>
        <v/>
      </c>
      <c r="B556">
        <f>IF($A556="","",INDEX('05_KAPA'!$B:$B,$A556))</f>
        <v/>
      </c>
      <c r="C556">
        <f>IF($A556="","",INDEX('05_KAPA'!$F:$F,$A556))</f>
        <v/>
      </c>
      <c r="D556">
        <f>IF($A556="","",INDEX('05_KAPA'!$H:$H,$A556))</f>
        <v/>
      </c>
      <c r="E556">
        <f>IF($A556="","",INDEX('05_KAPA'!$K:$K,$A556))</f>
        <v/>
      </c>
      <c r="F556">
        <f>IF($A556="","",INDEX('05_KAPA'!$L:$L,$A556))</f>
        <v/>
      </c>
      <c r="G556">
        <f>IF($A556="","",INDEX('05_KAPA'!$I:$I,$A556))</f>
        <v/>
      </c>
      <c r="H556" s="202">
        <f>IF($A556="","",INDEX('05_KAPA'!$P:$P,$A556))</f>
        <v/>
      </c>
      <c r="I556" s="118">
        <f>IF($A556="","",INDEX('05_KAPA'!$O:$O,$A556))</f>
        <v/>
      </c>
      <c r="J556" s="202">
        <f>IF($A556="","",IFERROR(DATE(LEFT(TEXT(INDEX('05_KAPA'!$T:$T,$A556),"0"),4),MID(TEXT(INDEX('05_KAPA'!$T:$T,$A556),"0"),5,2),RIGHT(TEXT(INDEX('05_KAPA'!$T:$T,$A556),"0"),2)),""))</f>
        <v/>
      </c>
      <c r="K556">
        <f>IF(C556="","",IF('02_대상물건입력'!$B$5="",1,IF(ISNUMBER(SEARCH('02_대상물건입력'!$B$5,C556)),1,0)))</f>
        <v/>
      </c>
      <c r="L556">
        <f>IF(C556="","",IF('02_대상물건입력'!$B$6="",1,IF(ISNUMBER(SEARCH('02_대상물건입력'!$B$6,C556)),1,0)))</f>
        <v/>
      </c>
      <c r="M556">
        <f>IF(E556="","",IF('02_대상물건입력'!$B$8="",0,IF(ISNUMBER(SEARCH('02_대상물건입력'!$B$8,E556)),1,0)))</f>
        <v/>
      </c>
      <c r="N556">
        <f>IF(B556="","",IF(B556="담보",1,0))</f>
        <v/>
      </c>
      <c r="O556">
        <f>IFERROR(ABS(G556-'02_대상물건입력'!$B$11)/'02_대상물건입력'!$B$11,"")</f>
        <v/>
      </c>
      <c r="P556">
        <f>IFERROR(ABS('01_설정'!$B$4-H556),"")</f>
        <v/>
      </c>
      <c r="Q556">
        <f>IFERROR(ABS(YEAR(J556)-YEAR('02_대상물건입력'!$B$14)),"")</f>
        <v/>
      </c>
      <c r="R556">
        <f>IF(AND(G556&gt;0,H556&gt;0,I556&gt;0,N556=1,IF('01_설정'!$B$10=1,K556=1,TRUE()),O556&lt;='01_설정'!$B$5,P556&lt;='01_설정'!$B$7,Q556&lt;='01_설정'!$B$8),"Y","")</f>
        <v/>
      </c>
      <c r="S556">
        <f>IF(R556&lt;&gt;"Y","",MAX(0,(1-O556/'01_설정'!$B$5))*'01_설정'!$B$14+MAX(0,(1-P556/'01_설정'!$B$7))*'01_설정'!$B$16+MAX(0,(1-Q556/'01_설정'!$B$8))*'01_설정'!$B$17+L556*'01_설정'!$B$11+M556*'01_설정'!$B$12+N556*50)</f>
        <v/>
      </c>
      <c r="T556">
        <f>IF(S556="","",1+COUNTIFS($S$31:$S$1030,"&gt;"&amp;S556)+COUNTIFS($S$31:S556,S556)-1)</f>
        <v/>
      </c>
    </row>
    <row r="557" hidden="1" ht="16.5" customHeight="1">
      <c r="A557">
        <f>IF(COUNTA('05_KAPA'!$A528:$AO528)=0,"",530)</f>
        <v/>
      </c>
      <c r="B557">
        <f>IF($A557="","",INDEX('05_KAPA'!$B:$B,$A557))</f>
        <v/>
      </c>
      <c r="C557">
        <f>IF($A557="","",INDEX('05_KAPA'!$F:$F,$A557))</f>
        <v/>
      </c>
      <c r="D557">
        <f>IF($A557="","",INDEX('05_KAPA'!$H:$H,$A557))</f>
        <v/>
      </c>
      <c r="E557">
        <f>IF($A557="","",INDEX('05_KAPA'!$K:$K,$A557))</f>
        <v/>
      </c>
      <c r="F557">
        <f>IF($A557="","",INDEX('05_KAPA'!$L:$L,$A557))</f>
        <v/>
      </c>
      <c r="G557">
        <f>IF($A557="","",INDEX('05_KAPA'!$I:$I,$A557))</f>
        <v/>
      </c>
      <c r="H557" s="202">
        <f>IF($A557="","",INDEX('05_KAPA'!$P:$P,$A557))</f>
        <v/>
      </c>
      <c r="I557" s="118">
        <f>IF($A557="","",INDEX('05_KAPA'!$O:$O,$A557))</f>
        <v/>
      </c>
      <c r="J557" s="202">
        <f>IF($A557="","",IFERROR(DATE(LEFT(TEXT(INDEX('05_KAPA'!$T:$T,$A557),"0"),4),MID(TEXT(INDEX('05_KAPA'!$T:$T,$A557),"0"),5,2),RIGHT(TEXT(INDEX('05_KAPA'!$T:$T,$A557),"0"),2)),""))</f>
        <v/>
      </c>
      <c r="K557">
        <f>IF(C557="","",IF('02_대상물건입력'!$B$5="",1,IF(ISNUMBER(SEARCH('02_대상물건입력'!$B$5,C557)),1,0)))</f>
        <v/>
      </c>
      <c r="L557">
        <f>IF(C557="","",IF('02_대상물건입력'!$B$6="",1,IF(ISNUMBER(SEARCH('02_대상물건입력'!$B$6,C557)),1,0)))</f>
        <v/>
      </c>
      <c r="M557">
        <f>IF(E557="","",IF('02_대상물건입력'!$B$8="",0,IF(ISNUMBER(SEARCH('02_대상물건입력'!$B$8,E557)),1,0)))</f>
        <v/>
      </c>
      <c r="N557">
        <f>IF(B557="","",IF(B557="담보",1,0))</f>
        <v/>
      </c>
      <c r="O557">
        <f>IFERROR(ABS(G557-'02_대상물건입력'!$B$11)/'02_대상물건입력'!$B$11,"")</f>
        <v/>
      </c>
      <c r="P557">
        <f>IFERROR(ABS('01_설정'!$B$4-H557),"")</f>
        <v/>
      </c>
      <c r="Q557">
        <f>IFERROR(ABS(YEAR(J557)-YEAR('02_대상물건입력'!$B$14)),"")</f>
        <v/>
      </c>
      <c r="R557">
        <f>IF(AND(G557&gt;0,H557&gt;0,I557&gt;0,N557=1,IF('01_설정'!$B$10=1,K557=1,TRUE()),O557&lt;='01_설정'!$B$5,P557&lt;='01_설정'!$B$7,Q557&lt;='01_설정'!$B$8),"Y","")</f>
        <v/>
      </c>
      <c r="S557">
        <f>IF(R557&lt;&gt;"Y","",MAX(0,(1-O557/'01_설정'!$B$5))*'01_설정'!$B$14+MAX(0,(1-P557/'01_설정'!$B$7))*'01_설정'!$B$16+MAX(0,(1-Q557/'01_설정'!$B$8))*'01_설정'!$B$17+L557*'01_설정'!$B$11+M557*'01_설정'!$B$12+N557*50)</f>
        <v/>
      </c>
      <c r="T557">
        <f>IF(S557="","",1+COUNTIFS($S$31:$S$1030,"&gt;"&amp;S557)+COUNTIFS($S$31:S557,S557)-1)</f>
        <v/>
      </c>
    </row>
    <row r="558" hidden="1" ht="16.5" customHeight="1">
      <c r="A558">
        <f>IF(COUNTA('05_KAPA'!$A529:$AO529)=0,"",531)</f>
        <v/>
      </c>
      <c r="B558">
        <f>IF($A558="","",INDEX('05_KAPA'!$B:$B,$A558))</f>
        <v/>
      </c>
      <c r="C558">
        <f>IF($A558="","",INDEX('05_KAPA'!$F:$F,$A558))</f>
        <v/>
      </c>
      <c r="D558">
        <f>IF($A558="","",INDEX('05_KAPA'!$H:$H,$A558))</f>
        <v/>
      </c>
      <c r="E558">
        <f>IF($A558="","",INDEX('05_KAPA'!$K:$K,$A558))</f>
        <v/>
      </c>
      <c r="F558">
        <f>IF($A558="","",INDEX('05_KAPA'!$L:$L,$A558))</f>
        <v/>
      </c>
      <c r="G558">
        <f>IF($A558="","",INDEX('05_KAPA'!$I:$I,$A558))</f>
        <v/>
      </c>
      <c r="H558" s="202">
        <f>IF($A558="","",INDEX('05_KAPA'!$P:$P,$A558))</f>
        <v/>
      </c>
      <c r="I558" s="118">
        <f>IF($A558="","",INDEX('05_KAPA'!$O:$O,$A558))</f>
        <v/>
      </c>
      <c r="J558" s="202">
        <f>IF($A558="","",IFERROR(DATE(LEFT(TEXT(INDEX('05_KAPA'!$T:$T,$A558),"0"),4),MID(TEXT(INDEX('05_KAPA'!$T:$T,$A558),"0"),5,2),RIGHT(TEXT(INDEX('05_KAPA'!$T:$T,$A558),"0"),2)),""))</f>
        <v/>
      </c>
      <c r="K558">
        <f>IF(C558="","",IF('02_대상물건입력'!$B$5="",1,IF(ISNUMBER(SEARCH('02_대상물건입력'!$B$5,C558)),1,0)))</f>
        <v/>
      </c>
      <c r="L558">
        <f>IF(C558="","",IF('02_대상물건입력'!$B$6="",1,IF(ISNUMBER(SEARCH('02_대상물건입력'!$B$6,C558)),1,0)))</f>
        <v/>
      </c>
      <c r="M558">
        <f>IF(E558="","",IF('02_대상물건입력'!$B$8="",0,IF(ISNUMBER(SEARCH('02_대상물건입력'!$B$8,E558)),1,0)))</f>
        <v/>
      </c>
      <c r="N558">
        <f>IF(B558="","",IF(B558="담보",1,0))</f>
        <v/>
      </c>
      <c r="O558">
        <f>IFERROR(ABS(G558-'02_대상물건입력'!$B$11)/'02_대상물건입력'!$B$11,"")</f>
        <v/>
      </c>
      <c r="P558">
        <f>IFERROR(ABS('01_설정'!$B$4-H558),"")</f>
        <v/>
      </c>
      <c r="Q558">
        <f>IFERROR(ABS(YEAR(J558)-YEAR('02_대상물건입력'!$B$14)),"")</f>
        <v/>
      </c>
      <c r="R558">
        <f>IF(AND(G558&gt;0,H558&gt;0,I558&gt;0,N558=1,IF('01_설정'!$B$10=1,K558=1,TRUE()),O558&lt;='01_설정'!$B$5,P558&lt;='01_설정'!$B$7,Q558&lt;='01_설정'!$B$8),"Y","")</f>
        <v/>
      </c>
      <c r="S558">
        <f>IF(R558&lt;&gt;"Y","",MAX(0,(1-O558/'01_설정'!$B$5))*'01_설정'!$B$14+MAX(0,(1-P558/'01_설정'!$B$7))*'01_설정'!$B$16+MAX(0,(1-Q558/'01_설정'!$B$8))*'01_설정'!$B$17+L558*'01_설정'!$B$11+M558*'01_설정'!$B$12+N558*50)</f>
        <v/>
      </c>
      <c r="T558">
        <f>IF(S558="","",1+COUNTIFS($S$31:$S$1030,"&gt;"&amp;S558)+COUNTIFS($S$31:S558,S558)-1)</f>
        <v/>
      </c>
    </row>
    <row r="559" hidden="1" ht="16.5" customHeight="1">
      <c r="A559">
        <f>IF(COUNTA('05_KAPA'!$A530:$AO530)=0,"",532)</f>
        <v/>
      </c>
      <c r="B559">
        <f>IF($A559="","",INDEX('05_KAPA'!$B:$B,$A559))</f>
        <v/>
      </c>
      <c r="C559">
        <f>IF($A559="","",INDEX('05_KAPA'!$F:$F,$A559))</f>
        <v/>
      </c>
      <c r="D559">
        <f>IF($A559="","",INDEX('05_KAPA'!$H:$H,$A559))</f>
        <v/>
      </c>
      <c r="E559">
        <f>IF($A559="","",INDEX('05_KAPA'!$K:$K,$A559))</f>
        <v/>
      </c>
      <c r="F559">
        <f>IF($A559="","",INDEX('05_KAPA'!$L:$L,$A559))</f>
        <v/>
      </c>
      <c r="G559">
        <f>IF($A559="","",INDEX('05_KAPA'!$I:$I,$A559))</f>
        <v/>
      </c>
      <c r="H559" s="202">
        <f>IF($A559="","",INDEX('05_KAPA'!$P:$P,$A559))</f>
        <v/>
      </c>
      <c r="I559" s="118">
        <f>IF($A559="","",INDEX('05_KAPA'!$O:$O,$A559))</f>
        <v/>
      </c>
      <c r="J559" s="202">
        <f>IF($A559="","",IFERROR(DATE(LEFT(TEXT(INDEX('05_KAPA'!$T:$T,$A559),"0"),4),MID(TEXT(INDEX('05_KAPA'!$T:$T,$A559),"0"),5,2),RIGHT(TEXT(INDEX('05_KAPA'!$T:$T,$A559),"0"),2)),""))</f>
        <v/>
      </c>
      <c r="K559">
        <f>IF(C559="","",IF('02_대상물건입력'!$B$5="",1,IF(ISNUMBER(SEARCH('02_대상물건입력'!$B$5,C559)),1,0)))</f>
        <v/>
      </c>
      <c r="L559">
        <f>IF(C559="","",IF('02_대상물건입력'!$B$6="",1,IF(ISNUMBER(SEARCH('02_대상물건입력'!$B$6,C559)),1,0)))</f>
        <v/>
      </c>
      <c r="M559">
        <f>IF(E559="","",IF('02_대상물건입력'!$B$8="",0,IF(ISNUMBER(SEARCH('02_대상물건입력'!$B$8,E559)),1,0)))</f>
        <v/>
      </c>
      <c r="N559">
        <f>IF(B559="","",IF(B559="담보",1,0))</f>
        <v/>
      </c>
      <c r="O559">
        <f>IFERROR(ABS(G559-'02_대상물건입력'!$B$11)/'02_대상물건입력'!$B$11,"")</f>
        <v/>
      </c>
      <c r="P559">
        <f>IFERROR(ABS('01_설정'!$B$4-H559),"")</f>
        <v/>
      </c>
      <c r="Q559">
        <f>IFERROR(ABS(YEAR(J559)-YEAR('02_대상물건입력'!$B$14)),"")</f>
        <v/>
      </c>
      <c r="R559">
        <f>IF(AND(G559&gt;0,H559&gt;0,I559&gt;0,N559=1,IF('01_설정'!$B$10=1,K559=1,TRUE()),O559&lt;='01_설정'!$B$5,P559&lt;='01_설정'!$B$7,Q559&lt;='01_설정'!$B$8),"Y","")</f>
        <v/>
      </c>
      <c r="S559">
        <f>IF(R559&lt;&gt;"Y","",MAX(0,(1-O559/'01_설정'!$B$5))*'01_설정'!$B$14+MAX(0,(1-P559/'01_설정'!$B$7))*'01_설정'!$B$16+MAX(0,(1-Q559/'01_설정'!$B$8))*'01_설정'!$B$17+L559*'01_설정'!$B$11+M559*'01_설정'!$B$12+N559*50)</f>
        <v/>
      </c>
      <c r="T559">
        <f>IF(S559="","",1+COUNTIFS($S$31:$S$1030,"&gt;"&amp;S559)+COUNTIFS($S$31:S559,S559)-1)</f>
        <v/>
      </c>
    </row>
    <row r="560" hidden="1" ht="16.5" customHeight="1">
      <c r="A560">
        <f>IF(COUNTA('05_KAPA'!$A531:$AO531)=0,"",533)</f>
        <v/>
      </c>
      <c r="B560">
        <f>IF($A560="","",INDEX('05_KAPA'!$B:$B,$A560))</f>
        <v/>
      </c>
      <c r="C560">
        <f>IF($A560="","",INDEX('05_KAPA'!$F:$F,$A560))</f>
        <v/>
      </c>
      <c r="D560">
        <f>IF($A560="","",INDEX('05_KAPA'!$H:$H,$A560))</f>
        <v/>
      </c>
      <c r="E560">
        <f>IF($A560="","",INDEX('05_KAPA'!$K:$K,$A560))</f>
        <v/>
      </c>
      <c r="F560">
        <f>IF($A560="","",INDEX('05_KAPA'!$L:$L,$A560))</f>
        <v/>
      </c>
      <c r="G560">
        <f>IF($A560="","",INDEX('05_KAPA'!$I:$I,$A560))</f>
        <v/>
      </c>
      <c r="H560" s="202">
        <f>IF($A560="","",INDEX('05_KAPA'!$P:$P,$A560))</f>
        <v/>
      </c>
      <c r="I560" s="118">
        <f>IF($A560="","",INDEX('05_KAPA'!$O:$O,$A560))</f>
        <v/>
      </c>
      <c r="J560" s="202">
        <f>IF($A560="","",IFERROR(DATE(LEFT(TEXT(INDEX('05_KAPA'!$T:$T,$A560),"0"),4),MID(TEXT(INDEX('05_KAPA'!$T:$T,$A560),"0"),5,2),RIGHT(TEXT(INDEX('05_KAPA'!$T:$T,$A560),"0"),2)),""))</f>
        <v/>
      </c>
      <c r="K560">
        <f>IF(C560="","",IF('02_대상물건입력'!$B$5="",1,IF(ISNUMBER(SEARCH('02_대상물건입력'!$B$5,C560)),1,0)))</f>
        <v/>
      </c>
      <c r="L560">
        <f>IF(C560="","",IF('02_대상물건입력'!$B$6="",1,IF(ISNUMBER(SEARCH('02_대상물건입력'!$B$6,C560)),1,0)))</f>
        <v/>
      </c>
      <c r="M560">
        <f>IF(E560="","",IF('02_대상물건입력'!$B$8="",0,IF(ISNUMBER(SEARCH('02_대상물건입력'!$B$8,E560)),1,0)))</f>
        <v/>
      </c>
      <c r="N560">
        <f>IF(B560="","",IF(B560="담보",1,0))</f>
        <v/>
      </c>
      <c r="O560">
        <f>IFERROR(ABS(G560-'02_대상물건입력'!$B$11)/'02_대상물건입력'!$B$11,"")</f>
        <v/>
      </c>
      <c r="P560">
        <f>IFERROR(ABS('01_설정'!$B$4-H560),"")</f>
        <v/>
      </c>
      <c r="Q560">
        <f>IFERROR(ABS(YEAR(J560)-YEAR('02_대상물건입력'!$B$14)),"")</f>
        <v/>
      </c>
      <c r="R560">
        <f>IF(AND(G560&gt;0,H560&gt;0,I560&gt;0,N560=1,IF('01_설정'!$B$10=1,K560=1,TRUE()),O560&lt;='01_설정'!$B$5,P560&lt;='01_설정'!$B$7,Q560&lt;='01_설정'!$B$8),"Y","")</f>
        <v/>
      </c>
      <c r="S560">
        <f>IF(R560&lt;&gt;"Y","",MAX(0,(1-O560/'01_설정'!$B$5))*'01_설정'!$B$14+MAX(0,(1-P560/'01_설정'!$B$7))*'01_설정'!$B$16+MAX(0,(1-Q560/'01_설정'!$B$8))*'01_설정'!$B$17+L560*'01_설정'!$B$11+M560*'01_설정'!$B$12+N560*50)</f>
        <v/>
      </c>
      <c r="T560">
        <f>IF(S560="","",1+COUNTIFS($S$31:$S$1030,"&gt;"&amp;S560)+COUNTIFS($S$31:S560,S560)-1)</f>
        <v/>
      </c>
    </row>
    <row r="561" hidden="1" ht="16.5" customHeight="1">
      <c r="A561">
        <f>IF(COUNTA('05_KAPA'!$A532:$AO532)=0,"",534)</f>
        <v/>
      </c>
      <c r="B561">
        <f>IF($A561="","",INDEX('05_KAPA'!$B:$B,$A561))</f>
        <v/>
      </c>
      <c r="C561">
        <f>IF($A561="","",INDEX('05_KAPA'!$F:$F,$A561))</f>
        <v/>
      </c>
      <c r="D561">
        <f>IF($A561="","",INDEX('05_KAPA'!$H:$H,$A561))</f>
        <v/>
      </c>
      <c r="E561">
        <f>IF($A561="","",INDEX('05_KAPA'!$K:$K,$A561))</f>
        <v/>
      </c>
      <c r="F561">
        <f>IF($A561="","",INDEX('05_KAPA'!$L:$L,$A561))</f>
        <v/>
      </c>
      <c r="G561">
        <f>IF($A561="","",INDEX('05_KAPA'!$I:$I,$A561))</f>
        <v/>
      </c>
      <c r="H561" s="202">
        <f>IF($A561="","",INDEX('05_KAPA'!$P:$P,$A561))</f>
        <v/>
      </c>
      <c r="I561" s="118">
        <f>IF($A561="","",INDEX('05_KAPA'!$O:$O,$A561))</f>
        <v/>
      </c>
      <c r="J561" s="202">
        <f>IF($A561="","",IFERROR(DATE(LEFT(TEXT(INDEX('05_KAPA'!$T:$T,$A561),"0"),4),MID(TEXT(INDEX('05_KAPA'!$T:$T,$A561),"0"),5,2),RIGHT(TEXT(INDEX('05_KAPA'!$T:$T,$A561),"0"),2)),""))</f>
        <v/>
      </c>
      <c r="K561">
        <f>IF(C561="","",IF('02_대상물건입력'!$B$5="",1,IF(ISNUMBER(SEARCH('02_대상물건입력'!$B$5,C561)),1,0)))</f>
        <v/>
      </c>
      <c r="L561">
        <f>IF(C561="","",IF('02_대상물건입력'!$B$6="",1,IF(ISNUMBER(SEARCH('02_대상물건입력'!$B$6,C561)),1,0)))</f>
        <v/>
      </c>
      <c r="M561">
        <f>IF(E561="","",IF('02_대상물건입력'!$B$8="",0,IF(ISNUMBER(SEARCH('02_대상물건입력'!$B$8,E561)),1,0)))</f>
        <v/>
      </c>
      <c r="N561">
        <f>IF(B561="","",IF(B561="담보",1,0))</f>
        <v/>
      </c>
      <c r="O561">
        <f>IFERROR(ABS(G561-'02_대상물건입력'!$B$11)/'02_대상물건입력'!$B$11,"")</f>
        <v/>
      </c>
      <c r="P561">
        <f>IFERROR(ABS('01_설정'!$B$4-H561),"")</f>
        <v/>
      </c>
      <c r="Q561">
        <f>IFERROR(ABS(YEAR(J561)-YEAR('02_대상물건입력'!$B$14)),"")</f>
        <v/>
      </c>
      <c r="R561">
        <f>IF(AND(G561&gt;0,H561&gt;0,I561&gt;0,N561=1,IF('01_설정'!$B$10=1,K561=1,TRUE()),O561&lt;='01_설정'!$B$5,P561&lt;='01_설정'!$B$7,Q561&lt;='01_설정'!$B$8),"Y","")</f>
        <v/>
      </c>
      <c r="S561">
        <f>IF(R561&lt;&gt;"Y","",MAX(0,(1-O561/'01_설정'!$B$5))*'01_설정'!$B$14+MAX(0,(1-P561/'01_설정'!$B$7))*'01_설정'!$B$16+MAX(0,(1-Q561/'01_설정'!$B$8))*'01_설정'!$B$17+L561*'01_설정'!$B$11+M561*'01_설정'!$B$12+N561*50)</f>
        <v/>
      </c>
      <c r="T561">
        <f>IF(S561="","",1+COUNTIFS($S$31:$S$1030,"&gt;"&amp;S561)+COUNTIFS($S$31:S561,S561)-1)</f>
        <v/>
      </c>
    </row>
    <row r="562" hidden="1" ht="16.5" customHeight="1">
      <c r="A562">
        <f>IF(COUNTA('05_KAPA'!$A533:$AO533)=0,"",535)</f>
        <v/>
      </c>
      <c r="B562">
        <f>IF($A562="","",INDEX('05_KAPA'!$B:$B,$A562))</f>
        <v/>
      </c>
      <c r="C562">
        <f>IF($A562="","",INDEX('05_KAPA'!$F:$F,$A562))</f>
        <v/>
      </c>
      <c r="D562">
        <f>IF($A562="","",INDEX('05_KAPA'!$H:$H,$A562))</f>
        <v/>
      </c>
      <c r="E562">
        <f>IF($A562="","",INDEX('05_KAPA'!$K:$K,$A562))</f>
        <v/>
      </c>
      <c r="F562">
        <f>IF($A562="","",INDEX('05_KAPA'!$L:$L,$A562))</f>
        <v/>
      </c>
      <c r="G562">
        <f>IF($A562="","",INDEX('05_KAPA'!$I:$I,$A562))</f>
        <v/>
      </c>
      <c r="H562" s="202">
        <f>IF($A562="","",INDEX('05_KAPA'!$P:$P,$A562))</f>
        <v/>
      </c>
      <c r="I562" s="118">
        <f>IF($A562="","",INDEX('05_KAPA'!$O:$O,$A562))</f>
        <v/>
      </c>
      <c r="J562" s="202">
        <f>IF($A562="","",IFERROR(DATE(LEFT(TEXT(INDEX('05_KAPA'!$T:$T,$A562),"0"),4),MID(TEXT(INDEX('05_KAPA'!$T:$T,$A562),"0"),5,2),RIGHT(TEXT(INDEX('05_KAPA'!$T:$T,$A562),"0"),2)),""))</f>
        <v/>
      </c>
      <c r="K562">
        <f>IF(C562="","",IF('02_대상물건입력'!$B$5="",1,IF(ISNUMBER(SEARCH('02_대상물건입력'!$B$5,C562)),1,0)))</f>
        <v/>
      </c>
      <c r="L562">
        <f>IF(C562="","",IF('02_대상물건입력'!$B$6="",1,IF(ISNUMBER(SEARCH('02_대상물건입력'!$B$6,C562)),1,0)))</f>
        <v/>
      </c>
      <c r="M562">
        <f>IF(E562="","",IF('02_대상물건입력'!$B$8="",0,IF(ISNUMBER(SEARCH('02_대상물건입력'!$B$8,E562)),1,0)))</f>
        <v/>
      </c>
      <c r="N562">
        <f>IF(B562="","",IF(B562="담보",1,0))</f>
        <v/>
      </c>
      <c r="O562">
        <f>IFERROR(ABS(G562-'02_대상물건입력'!$B$11)/'02_대상물건입력'!$B$11,"")</f>
        <v/>
      </c>
      <c r="P562">
        <f>IFERROR(ABS('01_설정'!$B$4-H562),"")</f>
        <v/>
      </c>
      <c r="Q562">
        <f>IFERROR(ABS(YEAR(J562)-YEAR('02_대상물건입력'!$B$14)),"")</f>
        <v/>
      </c>
      <c r="R562">
        <f>IF(AND(G562&gt;0,H562&gt;0,I562&gt;0,N562=1,IF('01_설정'!$B$10=1,K562=1,TRUE()),O562&lt;='01_설정'!$B$5,P562&lt;='01_설정'!$B$7,Q562&lt;='01_설정'!$B$8),"Y","")</f>
        <v/>
      </c>
      <c r="S562">
        <f>IF(R562&lt;&gt;"Y","",MAX(0,(1-O562/'01_설정'!$B$5))*'01_설정'!$B$14+MAX(0,(1-P562/'01_설정'!$B$7))*'01_설정'!$B$16+MAX(0,(1-Q562/'01_설정'!$B$8))*'01_설정'!$B$17+L562*'01_설정'!$B$11+M562*'01_설정'!$B$12+N562*50)</f>
        <v/>
      </c>
      <c r="T562">
        <f>IF(S562="","",1+COUNTIFS($S$31:$S$1030,"&gt;"&amp;S562)+COUNTIFS($S$31:S562,S562)-1)</f>
        <v/>
      </c>
    </row>
    <row r="563" hidden="1" ht="16.5" customHeight="1">
      <c r="A563">
        <f>IF(COUNTA('05_KAPA'!$A534:$AO534)=0,"",536)</f>
        <v/>
      </c>
      <c r="B563">
        <f>IF($A563="","",INDEX('05_KAPA'!$B:$B,$A563))</f>
        <v/>
      </c>
      <c r="C563">
        <f>IF($A563="","",INDEX('05_KAPA'!$F:$F,$A563))</f>
        <v/>
      </c>
      <c r="D563">
        <f>IF($A563="","",INDEX('05_KAPA'!$H:$H,$A563))</f>
        <v/>
      </c>
      <c r="E563">
        <f>IF($A563="","",INDEX('05_KAPA'!$K:$K,$A563))</f>
        <v/>
      </c>
      <c r="F563">
        <f>IF($A563="","",INDEX('05_KAPA'!$L:$L,$A563))</f>
        <v/>
      </c>
      <c r="G563">
        <f>IF($A563="","",INDEX('05_KAPA'!$I:$I,$A563))</f>
        <v/>
      </c>
      <c r="H563" s="202">
        <f>IF($A563="","",INDEX('05_KAPA'!$P:$P,$A563))</f>
        <v/>
      </c>
      <c r="I563" s="118">
        <f>IF($A563="","",INDEX('05_KAPA'!$O:$O,$A563))</f>
        <v/>
      </c>
      <c r="J563" s="202">
        <f>IF($A563="","",IFERROR(DATE(LEFT(TEXT(INDEX('05_KAPA'!$T:$T,$A563),"0"),4),MID(TEXT(INDEX('05_KAPA'!$T:$T,$A563),"0"),5,2),RIGHT(TEXT(INDEX('05_KAPA'!$T:$T,$A563),"0"),2)),""))</f>
        <v/>
      </c>
      <c r="K563">
        <f>IF(C563="","",IF('02_대상물건입력'!$B$5="",1,IF(ISNUMBER(SEARCH('02_대상물건입력'!$B$5,C563)),1,0)))</f>
        <v/>
      </c>
      <c r="L563">
        <f>IF(C563="","",IF('02_대상물건입력'!$B$6="",1,IF(ISNUMBER(SEARCH('02_대상물건입력'!$B$6,C563)),1,0)))</f>
        <v/>
      </c>
      <c r="M563">
        <f>IF(E563="","",IF('02_대상물건입력'!$B$8="",0,IF(ISNUMBER(SEARCH('02_대상물건입력'!$B$8,E563)),1,0)))</f>
        <v/>
      </c>
      <c r="N563">
        <f>IF(B563="","",IF(B563="담보",1,0))</f>
        <v/>
      </c>
      <c r="O563">
        <f>IFERROR(ABS(G563-'02_대상물건입력'!$B$11)/'02_대상물건입력'!$B$11,"")</f>
        <v/>
      </c>
      <c r="P563">
        <f>IFERROR(ABS('01_설정'!$B$4-H563),"")</f>
        <v/>
      </c>
      <c r="Q563">
        <f>IFERROR(ABS(YEAR(J563)-YEAR('02_대상물건입력'!$B$14)),"")</f>
        <v/>
      </c>
      <c r="R563">
        <f>IF(AND(G563&gt;0,H563&gt;0,I563&gt;0,N563=1,IF('01_설정'!$B$10=1,K563=1,TRUE()),O563&lt;='01_설정'!$B$5,P563&lt;='01_설정'!$B$7,Q563&lt;='01_설정'!$B$8),"Y","")</f>
        <v/>
      </c>
      <c r="S563">
        <f>IF(R563&lt;&gt;"Y","",MAX(0,(1-O563/'01_설정'!$B$5))*'01_설정'!$B$14+MAX(0,(1-P563/'01_설정'!$B$7))*'01_설정'!$B$16+MAX(0,(1-Q563/'01_설정'!$B$8))*'01_설정'!$B$17+L563*'01_설정'!$B$11+M563*'01_설정'!$B$12+N563*50)</f>
        <v/>
      </c>
      <c r="T563">
        <f>IF(S563="","",1+COUNTIFS($S$31:$S$1030,"&gt;"&amp;S563)+COUNTIFS($S$31:S563,S563)-1)</f>
        <v/>
      </c>
    </row>
    <row r="564" hidden="1" ht="16.5" customHeight="1">
      <c r="A564">
        <f>IF(COUNTA('05_KAPA'!$A535:$AO535)=0,"",537)</f>
        <v/>
      </c>
      <c r="B564">
        <f>IF($A564="","",INDEX('05_KAPA'!$B:$B,$A564))</f>
        <v/>
      </c>
      <c r="C564">
        <f>IF($A564="","",INDEX('05_KAPA'!$F:$F,$A564))</f>
        <v/>
      </c>
      <c r="D564">
        <f>IF($A564="","",INDEX('05_KAPA'!$H:$H,$A564))</f>
        <v/>
      </c>
      <c r="E564">
        <f>IF($A564="","",INDEX('05_KAPA'!$K:$K,$A564))</f>
        <v/>
      </c>
      <c r="F564">
        <f>IF($A564="","",INDEX('05_KAPA'!$L:$L,$A564))</f>
        <v/>
      </c>
      <c r="G564">
        <f>IF($A564="","",INDEX('05_KAPA'!$I:$I,$A564))</f>
        <v/>
      </c>
      <c r="H564" s="202">
        <f>IF($A564="","",INDEX('05_KAPA'!$P:$P,$A564))</f>
        <v/>
      </c>
      <c r="I564" s="118">
        <f>IF($A564="","",INDEX('05_KAPA'!$O:$O,$A564))</f>
        <v/>
      </c>
      <c r="J564" s="202">
        <f>IF($A564="","",IFERROR(DATE(LEFT(TEXT(INDEX('05_KAPA'!$T:$T,$A564),"0"),4),MID(TEXT(INDEX('05_KAPA'!$T:$T,$A564),"0"),5,2),RIGHT(TEXT(INDEX('05_KAPA'!$T:$T,$A564),"0"),2)),""))</f>
        <v/>
      </c>
      <c r="K564">
        <f>IF(C564="","",IF('02_대상물건입력'!$B$5="",1,IF(ISNUMBER(SEARCH('02_대상물건입력'!$B$5,C564)),1,0)))</f>
        <v/>
      </c>
      <c r="L564">
        <f>IF(C564="","",IF('02_대상물건입력'!$B$6="",1,IF(ISNUMBER(SEARCH('02_대상물건입력'!$B$6,C564)),1,0)))</f>
        <v/>
      </c>
      <c r="M564">
        <f>IF(E564="","",IF('02_대상물건입력'!$B$8="",0,IF(ISNUMBER(SEARCH('02_대상물건입력'!$B$8,E564)),1,0)))</f>
        <v/>
      </c>
      <c r="N564">
        <f>IF(B564="","",IF(B564="담보",1,0))</f>
        <v/>
      </c>
      <c r="O564">
        <f>IFERROR(ABS(G564-'02_대상물건입력'!$B$11)/'02_대상물건입력'!$B$11,"")</f>
        <v/>
      </c>
      <c r="P564">
        <f>IFERROR(ABS('01_설정'!$B$4-H564),"")</f>
        <v/>
      </c>
      <c r="Q564">
        <f>IFERROR(ABS(YEAR(J564)-YEAR('02_대상물건입력'!$B$14)),"")</f>
        <v/>
      </c>
      <c r="R564">
        <f>IF(AND(G564&gt;0,H564&gt;0,I564&gt;0,N564=1,IF('01_설정'!$B$10=1,K564=1,TRUE()),O564&lt;='01_설정'!$B$5,P564&lt;='01_설정'!$B$7,Q564&lt;='01_설정'!$B$8),"Y","")</f>
        <v/>
      </c>
      <c r="S564">
        <f>IF(R564&lt;&gt;"Y","",MAX(0,(1-O564/'01_설정'!$B$5))*'01_설정'!$B$14+MAX(0,(1-P564/'01_설정'!$B$7))*'01_설정'!$B$16+MAX(0,(1-Q564/'01_설정'!$B$8))*'01_설정'!$B$17+L564*'01_설정'!$B$11+M564*'01_설정'!$B$12+N564*50)</f>
        <v/>
      </c>
      <c r="T564">
        <f>IF(S564="","",1+COUNTIFS($S$31:$S$1030,"&gt;"&amp;S564)+COUNTIFS($S$31:S564,S564)-1)</f>
        <v/>
      </c>
    </row>
    <row r="565" hidden="1" ht="16.5" customHeight="1">
      <c r="A565">
        <f>IF(COUNTA('05_KAPA'!$A536:$AO536)=0,"",538)</f>
        <v/>
      </c>
      <c r="B565">
        <f>IF($A565="","",INDEX('05_KAPA'!$B:$B,$A565))</f>
        <v/>
      </c>
      <c r="C565">
        <f>IF($A565="","",INDEX('05_KAPA'!$F:$F,$A565))</f>
        <v/>
      </c>
      <c r="D565">
        <f>IF($A565="","",INDEX('05_KAPA'!$H:$H,$A565))</f>
        <v/>
      </c>
      <c r="E565">
        <f>IF($A565="","",INDEX('05_KAPA'!$K:$K,$A565))</f>
        <v/>
      </c>
      <c r="F565">
        <f>IF($A565="","",INDEX('05_KAPA'!$L:$L,$A565))</f>
        <v/>
      </c>
      <c r="G565">
        <f>IF($A565="","",INDEX('05_KAPA'!$I:$I,$A565))</f>
        <v/>
      </c>
      <c r="H565" s="202">
        <f>IF($A565="","",INDEX('05_KAPA'!$P:$P,$A565))</f>
        <v/>
      </c>
      <c r="I565" s="118">
        <f>IF($A565="","",INDEX('05_KAPA'!$O:$O,$A565))</f>
        <v/>
      </c>
      <c r="J565" s="202">
        <f>IF($A565="","",IFERROR(DATE(LEFT(TEXT(INDEX('05_KAPA'!$T:$T,$A565),"0"),4),MID(TEXT(INDEX('05_KAPA'!$T:$T,$A565),"0"),5,2),RIGHT(TEXT(INDEX('05_KAPA'!$T:$T,$A565),"0"),2)),""))</f>
        <v/>
      </c>
      <c r="K565">
        <f>IF(C565="","",IF('02_대상물건입력'!$B$5="",1,IF(ISNUMBER(SEARCH('02_대상물건입력'!$B$5,C565)),1,0)))</f>
        <v/>
      </c>
      <c r="L565">
        <f>IF(C565="","",IF('02_대상물건입력'!$B$6="",1,IF(ISNUMBER(SEARCH('02_대상물건입력'!$B$6,C565)),1,0)))</f>
        <v/>
      </c>
      <c r="M565">
        <f>IF(E565="","",IF('02_대상물건입력'!$B$8="",0,IF(ISNUMBER(SEARCH('02_대상물건입력'!$B$8,E565)),1,0)))</f>
        <v/>
      </c>
      <c r="N565">
        <f>IF(B565="","",IF(B565="담보",1,0))</f>
        <v/>
      </c>
      <c r="O565">
        <f>IFERROR(ABS(G565-'02_대상물건입력'!$B$11)/'02_대상물건입력'!$B$11,"")</f>
        <v/>
      </c>
      <c r="P565">
        <f>IFERROR(ABS('01_설정'!$B$4-H565),"")</f>
        <v/>
      </c>
      <c r="Q565">
        <f>IFERROR(ABS(YEAR(J565)-YEAR('02_대상물건입력'!$B$14)),"")</f>
        <v/>
      </c>
      <c r="R565">
        <f>IF(AND(G565&gt;0,H565&gt;0,I565&gt;0,N565=1,IF('01_설정'!$B$10=1,K565=1,TRUE()),O565&lt;='01_설정'!$B$5,P565&lt;='01_설정'!$B$7,Q565&lt;='01_설정'!$B$8),"Y","")</f>
        <v/>
      </c>
      <c r="S565">
        <f>IF(R565&lt;&gt;"Y","",MAX(0,(1-O565/'01_설정'!$B$5))*'01_설정'!$B$14+MAX(0,(1-P565/'01_설정'!$B$7))*'01_설정'!$B$16+MAX(0,(1-Q565/'01_설정'!$B$8))*'01_설정'!$B$17+L565*'01_설정'!$B$11+M565*'01_설정'!$B$12+N565*50)</f>
        <v/>
      </c>
      <c r="T565">
        <f>IF(S565="","",1+COUNTIFS($S$31:$S$1030,"&gt;"&amp;S565)+COUNTIFS($S$31:S565,S565)-1)</f>
        <v/>
      </c>
    </row>
    <row r="566" hidden="1" ht="16.5" customHeight="1">
      <c r="A566">
        <f>IF(COUNTA('05_KAPA'!$A537:$AO537)=0,"",539)</f>
        <v/>
      </c>
      <c r="B566">
        <f>IF($A566="","",INDEX('05_KAPA'!$B:$B,$A566))</f>
        <v/>
      </c>
      <c r="C566">
        <f>IF($A566="","",INDEX('05_KAPA'!$F:$F,$A566))</f>
        <v/>
      </c>
      <c r="D566">
        <f>IF($A566="","",INDEX('05_KAPA'!$H:$H,$A566))</f>
        <v/>
      </c>
      <c r="E566">
        <f>IF($A566="","",INDEX('05_KAPA'!$K:$K,$A566))</f>
        <v/>
      </c>
      <c r="F566">
        <f>IF($A566="","",INDEX('05_KAPA'!$L:$L,$A566))</f>
        <v/>
      </c>
      <c r="G566">
        <f>IF($A566="","",INDEX('05_KAPA'!$I:$I,$A566))</f>
        <v/>
      </c>
      <c r="H566" s="202">
        <f>IF($A566="","",INDEX('05_KAPA'!$P:$P,$A566))</f>
        <v/>
      </c>
      <c r="I566" s="118">
        <f>IF($A566="","",INDEX('05_KAPA'!$O:$O,$A566))</f>
        <v/>
      </c>
      <c r="J566" s="202">
        <f>IF($A566="","",IFERROR(DATE(LEFT(TEXT(INDEX('05_KAPA'!$T:$T,$A566),"0"),4),MID(TEXT(INDEX('05_KAPA'!$T:$T,$A566),"0"),5,2),RIGHT(TEXT(INDEX('05_KAPA'!$T:$T,$A566),"0"),2)),""))</f>
        <v/>
      </c>
      <c r="K566">
        <f>IF(C566="","",IF('02_대상물건입력'!$B$5="",1,IF(ISNUMBER(SEARCH('02_대상물건입력'!$B$5,C566)),1,0)))</f>
        <v/>
      </c>
      <c r="L566">
        <f>IF(C566="","",IF('02_대상물건입력'!$B$6="",1,IF(ISNUMBER(SEARCH('02_대상물건입력'!$B$6,C566)),1,0)))</f>
        <v/>
      </c>
      <c r="M566">
        <f>IF(E566="","",IF('02_대상물건입력'!$B$8="",0,IF(ISNUMBER(SEARCH('02_대상물건입력'!$B$8,E566)),1,0)))</f>
        <v/>
      </c>
      <c r="N566">
        <f>IF(B566="","",IF(B566="담보",1,0))</f>
        <v/>
      </c>
      <c r="O566">
        <f>IFERROR(ABS(G566-'02_대상물건입력'!$B$11)/'02_대상물건입력'!$B$11,"")</f>
        <v/>
      </c>
      <c r="P566">
        <f>IFERROR(ABS('01_설정'!$B$4-H566),"")</f>
        <v/>
      </c>
      <c r="Q566">
        <f>IFERROR(ABS(YEAR(J566)-YEAR('02_대상물건입력'!$B$14)),"")</f>
        <v/>
      </c>
      <c r="R566">
        <f>IF(AND(G566&gt;0,H566&gt;0,I566&gt;0,N566=1,IF('01_설정'!$B$10=1,K566=1,TRUE()),O566&lt;='01_설정'!$B$5,P566&lt;='01_설정'!$B$7,Q566&lt;='01_설정'!$B$8),"Y","")</f>
        <v/>
      </c>
      <c r="S566">
        <f>IF(R566&lt;&gt;"Y","",MAX(0,(1-O566/'01_설정'!$B$5))*'01_설정'!$B$14+MAX(0,(1-P566/'01_설정'!$B$7))*'01_설정'!$B$16+MAX(0,(1-Q566/'01_설정'!$B$8))*'01_설정'!$B$17+L566*'01_설정'!$B$11+M566*'01_설정'!$B$12+N566*50)</f>
        <v/>
      </c>
      <c r="T566">
        <f>IF(S566="","",1+COUNTIFS($S$31:$S$1030,"&gt;"&amp;S566)+COUNTIFS($S$31:S566,S566)-1)</f>
        <v/>
      </c>
    </row>
    <row r="567" hidden="1" ht="16.5" customHeight="1">
      <c r="A567">
        <f>IF(COUNTA('05_KAPA'!$A538:$AO538)=0,"",540)</f>
        <v/>
      </c>
      <c r="B567">
        <f>IF($A567="","",INDEX('05_KAPA'!$B:$B,$A567))</f>
        <v/>
      </c>
      <c r="C567">
        <f>IF($A567="","",INDEX('05_KAPA'!$F:$F,$A567))</f>
        <v/>
      </c>
      <c r="D567">
        <f>IF($A567="","",INDEX('05_KAPA'!$H:$H,$A567))</f>
        <v/>
      </c>
      <c r="E567">
        <f>IF($A567="","",INDEX('05_KAPA'!$K:$K,$A567))</f>
        <v/>
      </c>
      <c r="F567">
        <f>IF($A567="","",INDEX('05_KAPA'!$L:$L,$A567))</f>
        <v/>
      </c>
      <c r="G567">
        <f>IF($A567="","",INDEX('05_KAPA'!$I:$I,$A567))</f>
        <v/>
      </c>
      <c r="H567" s="202">
        <f>IF($A567="","",INDEX('05_KAPA'!$P:$P,$A567))</f>
        <v/>
      </c>
      <c r="I567" s="118">
        <f>IF($A567="","",INDEX('05_KAPA'!$O:$O,$A567))</f>
        <v/>
      </c>
      <c r="J567" s="202">
        <f>IF($A567="","",IFERROR(DATE(LEFT(TEXT(INDEX('05_KAPA'!$T:$T,$A567),"0"),4),MID(TEXT(INDEX('05_KAPA'!$T:$T,$A567),"0"),5,2),RIGHT(TEXT(INDEX('05_KAPA'!$T:$T,$A567),"0"),2)),""))</f>
        <v/>
      </c>
      <c r="K567">
        <f>IF(C567="","",IF('02_대상물건입력'!$B$5="",1,IF(ISNUMBER(SEARCH('02_대상물건입력'!$B$5,C567)),1,0)))</f>
        <v/>
      </c>
      <c r="L567">
        <f>IF(C567="","",IF('02_대상물건입력'!$B$6="",1,IF(ISNUMBER(SEARCH('02_대상물건입력'!$B$6,C567)),1,0)))</f>
        <v/>
      </c>
      <c r="M567">
        <f>IF(E567="","",IF('02_대상물건입력'!$B$8="",0,IF(ISNUMBER(SEARCH('02_대상물건입력'!$B$8,E567)),1,0)))</f>
        <v/>
      </c>
      <c r="N567">
        <f>IF(B567="","",IF(B567="담보",1,0))</f>
        <v/>
      </c>
      <c r="O567">
        <f>IFERROR(ABS(G567-'02_대상물건입력'!$B$11)/'02_대상물건입력'!$B$11,"")</f>
        <v/>
      </c>
      <c r="P567">
        <f>IFERROR(ABS('01_설정'!$B$4-H567),"")</f>
        <v/>
      </c>
      <c r="Q567">
        <f>IFERROR(ABS(YEAR(J567)-YEAR('02_대상물건입력'!$B$14)),"")</f>
        <v/>
      </c>
      <c r="R567">
        <f>IF(AND(G567&gt;0,H567&gt;0,I567&gt;0,N567=1,IF('01_설정'!$B$10=1,K567=1,TRUE()),O567&lt;='01_설정'!$B$5,P567&lt;='01_설정'!$B$7,Q567&lt;='01_설정'!$B$8),"Y","")</f>
        <v/>
      </c>
      <c r="S567">
        <f>IF(R567&lt;&gt;"Y","",MAX(0,(1-O567/'01_설정'!$B$5))*'01_설정'!$B$14+MAX(0,(1-P567/'01_설정'!$B$7))*'01_설정'!$B$16+MAX(0,(1-Q567/'01_설정'!$B$8))*'01_설정'!$B$17+L567*'01_설정'!$B$11+M567*'01_설정'!$B$12+N567*50)</f>
        <v/>
      </c>
      <c r="T567">
        <f>IF(S567="","",1+COUNTIFS($S$31:$S$1030,"&gt;"&amp;S567)+COUNTIFS($S$31:S567,S567)-1)</f>
        <v/>
      </c>
    </row>
    <row r="568" hidden="1" ht="16.5" customHeight="1">
      <c r="A568">
        <f>IF(COUNTA('05_KAPA'!$A539:$AO539)=0,"",541)</f>
        <v/>
      </c>
      <c r="B568">
        <f>IF($A568="","",INDEX('05_KAPA'!$B:$B,$A568))</f>
        <v/>
      </c>
      <c r="C568">
        <f>IF($A568="","",INDEX('05_KAPA'!$F:$F,$A568))</f>
        <v/>
      </c>
      <c r="D568">
        <f>IF($A568="","",INDEX('05_KAPA'!$H:$H,$A568))</f>
        <v/>
      </c>
      <c r="E568">
        <f>IF($A568="","",INDEX('05_KAPA'!$K:$K,$A568))</f>
        <v/>
      </c>
      <c r="F568">
        <f>IF($A568="","",INDEX('05_KAPA'!$L:$L,$A568))</f>
        <v/>
      </c>
      <c r="G568">
        <f>IF($A568="","",INDEX('05_KAPA'!$I:$I,$A568))</f>
        <v/>
      </c>
      <c r="H568" s="202">
        <f>IF($A568="","",INDEX('05_KAPA'!$P:$P,$A568))</f>
        <v/>
      </c>
      <c r="I568" s="118">
        <f>IF($A568="","",INDEX('05_KAPA'!$O:$O,$A568))</f>
        <v/>
      </c>
      <c r="J568" s="202">
        <f>IF($A568="","",IFERROR(DATE(LEFT(TEXT(INDEX('05_KAPA'!$T:$T,$A568),"0"),4),MID(TEXT(INDEX('05_KAPA'!$T:$T,$A568),"0"),5,2),RIGHT(TEXT(INDEX('05_KAPA'!$T:$T,$A568),"0"),2)),""))</f>
        <v/>
      </c>
      <c r="K568">
        <f>IF(C568="","",IF('02_대상물건입력'!$B$5="",1,IF(ISNUMBER(SEARCH('02_대상물건입력'!$B$5,C568)),1,0)))</f>
        <v/>
      </c>
      <c r="L568">
        <f>IF(C568="","",IF('02_대상물건입력'!$B$6="",1,IF(ISNUMBER(SEARCH('02_대상물건입력'!$B$6,C568)),1,0)))</f>
        <v/>
      </c>
      <c r="M568">
        <f>IF(E568="","",IF('02_대상물건입력'!$B$8="",0,IF(ISNUMBER(SEARCH('02_대상물건입력'!$B$8,E568)),1,0)))</f>
        <v/>
      </c>
      <c r="N568">
        <f>IF(B568="","",IF(B568="담보",1,0))</f>
        <v/>
      </c>
      <c r="O568">
        <f>IFERROR(ABS(G568-'02_대상물건입력'!$B$11)/'02_대상물건입력'!$B$11,"")</f>
        <v/>
      </c>
      <c r="P568">
        <f>IFERROR(ABS('01_설정'!$B$4-H568),"")</f>
        <v/>
      </c>
      <c r="Q568">
        <f>IFERROR(ABS(YEAR(J568)-YEAR('02_대상물건입력'!$B$14)),"")</f>
        <v/>
      </c>
      <c r="R568">
        <f>IF(AND(G568&gt;0,H568&gt;0,I568&gt;0,N568=1,IF('01_설정'!$B$10=1,K568=1,TRUE()),O568&lt;='01_설정'!$B$5,P568&lt;='01_설정'!$B$7,Q568&lt;='01_설정'!$B$8),"Y","")</f>
        <v/>
      </c>
      <c r="S568">
        <f>IF(R568&lt;&gt;"Y","",MAX(0,(1-O568/'01_설정'!$B$5))*'01_설정'!$B$14+MAX(0,(1-P568/'01_설정'!$B$7))*'01_설정'!$B$16+MAX(0,(1-Q568/'01_설정'!$B$8))*'01_설정'!$B$17+L568*'01_설정'!$B$11+M568*'01_설정'!$B$12+N568*50)</f>
        <v/>
      </c>
      <c r="T568">
        <f>IF(S568="","",1+COUNTIFS($S$31:$S$1030,"&gt;"&amp;S568)+COUNTIFS($S$31:S568,S568)-1)</f>
        <v/>
      </c>
    </row>
    <row r="569" hidden="1" ht="16.5" customHeight="1">
      <c r="A569">
        <f>IF(COUNTA('05_KAPA'!$A540:$AO540)=0,"",542)</f>
        <v/>
      </c>
      <c r="B569">
        <f>IF($A569="","",INDEX('05_KAPA'!$B:$B,$A569))</f>
        <v/>
      </c>
      <c r="C569">
        <f>IF($A569="","",INDEX('05_KAPA'!$F:$F,$A569))</f>
        <v/>
      </c>
      <c r="D569">
        <f>IF($A569="","",INDEX('05_KAPA'!$H:$H,$A569))</f>
        <v/>
      </c>
      <c r="E569">
        <f>IF($A569="","",INDEX('05_KAPA'!$K:$K,$A569))</f>
        <v/>
      </c>
      <c r="F569">
        <f>IF($A569="","",INDEX('05_KAPA'!$L:$L,$A569))</f>
        <v/>
      </c>
      <c r="G569">
        <f>IF($A569="","",INDEX('05_KAPA'!$I:$I,$A569))</f>
        <v/>
      </c>
      <c r="H569" s="202">
        <f>IF($A569="","",INDEX('05_KAPA'!$P:$P,$A569))</f>
        <v/>
      </c>
      <c r="I569" s="118">
        <f>IF($A569="","",INDEX('05_KAPA'!$O:$O,$A569))</f>
        <v/>
      </c>
      <c r="J569" s="202">
        <f>IF($A569="","",IFERROR(DATE(LEFT(TEXT(INDEX('05_KAPA'!$T:$T,$A569),"0"),4),MID(TEXT(INDEX('05_KAPA'!$T:$T,$A569),"0"),5,2),RIGHT(TEXT(INDEX('05_KAPA'!$T:$T,$A569),"0"),2)),""))</f>
        <v/>
      </c>
      <c r="K569">
        <f>IF(C569="","",IF('02_대상물건입력'!$B$5="",1,IF(ISNUMBER(SEARCH('02_대상물건입력'!$B$5,C569)),1,0)))</f>
        <v/>
      </c>
      <c r="L569">
        <f>IF(C569="","",IF('02_대상물건입력'!$B$6="",1,IF(ISNUMBER(SEARCH('02_대상물건입력'!$B$6,C569)),1,0)))</f>
        <v/>
      </c>
      <c r="M569">
        <f>IF(E569="","",IF('02_대상물건입력'!$B$8="",0,IF(ISNUMBER(SEARCH('02_대상물건입력'!$B$8,E569)),1,0)))</f>
        <v/>
      </c>
      <c r="N569">
        <f>IF(B569="","",IF(B569="담보",1,0))</f>
        <v/>
      </c>
      <c r="O569">
        <f>IFERROR(ABS(G569-'02_대상물건입력'!$B$11)/'02_대상물건입력'!$B$11,"")</f>
        <v/>
      </c>
      <c r="P569">
        <f>IFERROR(ABS('01_설정'!$B$4-H569),"")</f>
        <v/>
      </c>
      <c r="Q569">
        <f>IFERROR(ABS(YEAR(J569)-YEAR('02_대상물건입력'!$B$14)),"")</f>
        <v/>
      </c>
      <c r="R569">
        <f>IF(AND(G569&gt;0,H569&gt;0,I569&gt;0,N569=1,IF('01_설정'!$B$10=1,K569=1,TRUE()),O569&lt;='01_설정'!$B$5,P569&lt;='01_설정'!$B$7,Q569&lt;='01_설정'!$B$8),"Y","")</f>
        <v/>
      </c>
      <c r="S569">
        <f>IF(R569&lt;&gt;"Y","",MAX(0,(1-O569/'01_설정'!$B$5))*'01_설정'!$B$14+MAX(0,(1-P569/'01_설정'!$B$7))*'01_설정'!$B$16+MAX(0,(1-Q569/'01_설정'!$B$8))*'01_설정'!$B$17+L569*'01_설정'!$B$11+M569*'01_설정'!$B$12+N569*50)</f>
        <v/>
      </c>
      <c r="T569">
        <f>IF(S569="","",1+COUNTIFS($S$31:$S$1030,"&gt;"&amp;S569)+COUNTIFS($S$31:S569,S569)-1)</f>
        <v/>
      </c>
    </row>
    <row r="570" hidden="1" ht="16.5" customHeight="1">
      <c r="A570">
        <f>IF(COUNTA('05_KAPA'!$A541:$AO541)=0,"",543)</f>
        <v/>
      </c>
      <c r="B570">
        <f>IF($A570="","",INDEX('05_KAPA'!$B:$B,$A570))</f>
        <v/>
      </c>
      <c r="C570">
        <f>IF($A570="","",INDEX('05_KAPA'!$F:$F,$A570))</f>
        <v/>
      </c>
      <c r="D570">
        <f>IF($A570="","",INDEX('05_KAPA'!$H:$H,$A570))</f>
        <v/>
      </c>
      <c r="E570">
        <f>IF($A570="","",INDEX('05_KAPA'!$K:$K,$A570))</f>
        <v/>
      </c>
      <c r="F570">
        <f>IF($A570="","",INDEX('05_KAPA'!$L:$L,$A570))</f>
        <v/>
      </c>
      <c r="G570">
        <f>IF($A570="","",INDEX('05_KAPA'!$I:$I,$A570))</f>
        <v/>
      </c>
      <c r="H570" s="202">
        <f>IF($A570="","",INDEX('05_KAPA'!$P:$P,$A570))</f>
        <v/>
      </c>
      <c r="I570" s="118">
        <f>IF($A570="","",INDEX('05_KAPA'!$O:$O,$A570))</f>
        <v/>
      </c>
      <c r="J570" s="202">
        <f>IF($A570="","",IFERROR(DATE(LEFT(TEXT(INDEX('05_KAPA'!$T:$T,$A570),"0"),4),MID(TEXT(INDEX('05_KAPA'!$T:$T,$A570),"0"),5,2),RIGHT(TEXT(INDEX('05_KAPA'!$T:$T,$A570),"0"),2)),""))</f>
        <v/>
      </c>
      <c r="K570">
        <f>IF(C570="","",IF('02_대상물건입력'!$B$5="",1,IF(ISNUMBER(SEARCH('02_대상물건입력'!$B$5,C570)),1,0)))</f>
        <v/>
      </c>
      <c r="L570">
        <f>IF(C570="","",IF('02_대상물건입력'!$B$6="",1,IF(ISNUMBER(SEARCH('02_대상물건입력'!$B$6,C570)),1,0)))</f>
        <v/>
      </c>
      <c r="M570">
        <f>IF(E570="","",IF('02_대상물건입력'!$B$8="",0,IF(ISNUMBER(SEARCH('02_대상물건입력'!$B$8,E570)),1,0)))</f>
        <v/>
      </c>
      <c r="N570">
        <f>IF(B570="","",IF(B570="담보",1,0))</f>
        <v/>
      </c>
      <c r="O570">
        <f>IFERROR(ABS(G570-'02_대상물건입력'!$B$11)/'02_대상물건입력'!$B$11,"")</f>
        <v/>
      </c>
      <c r="P570">
        <f>IFERROR(ABS('01_설정'!$B$4-H570),"")</f>
        <v/>
      </c>
      <c r="Q570">
        <f>IFERROR(ABS(YEAR(J570)-YEAR('02_대상물건입력'!$B$14)),"")</f>
        <v/>
      </c>
      <c r="R570">
        <f>IF(AND(G570&gt;0,H570&gt;0,I570&gt;0,N570=1,IF('01_설정'!$B$10=1,K570=1,TRUE()),O570&lt;='01_설정'!$B$5,P570&lt;='01_설정'!$B$7,Q570&lt;='01_설정'!$B$8),"Y","")</f>
        <v/>
      </c>
      <c r="S570">
        <f>IF(R570&lt;&gt;"Y","",MAX(0,(1-O570/'01_설정'!$B$5))*'01_설정'!$B$14+MAX(0,(1-P570/'01_설정'!$B$7))*'01_설정'!$B$16+MAX(0,(1-Q570/'01_설정'!$B$8))*'01_설정'!$B$17+L570*'01_설정'!$B$11+M570*'01_설정'!$B$12+N570*50)</f>
        <v/>
      </c>
      <c r="T570">
        <f>IF(S570="","",1+COUNTIFS($S$31:$S$1030,"&gt;"&amp;S570)+COUNTIFS($S$31:S570,S570)-1)</f>
        <v/>
      </c>
    </row>
    <row r="571" hidden="1" ht="16.5" customHeight="1">
      <c r="A571">
        <f>IF(COUNTA('05_KAPA'!$A542:$AO542)=0,"",544)</f>
        <v/>
      </c>
      <c r="B571">
        <f>IF($A571="","",INDEX('05_KAPA'!$B:$B,$A571))</f>
        <v/>
      </c>
      <c r="C571">
        <f>IF($A571="","",INDEX('05_KAPA'!$F:$F,$A571))</f>
        <v/>
      </c>
      <c r="D571">
        <f>IF($A571="","",INDEX('05_KAPA'!$H:$H,$A571))</f>
        <v/>
      </c>
      <c r="E571">
        <f>IF($A571="","",INDEX('05_KAPA'!$K:$K,$A571))</f>
        <v/>
      </c>
      <c r="F571">
        <f>IF($A571="","",INDEX('05_KAPA'!$L:$L,$A571))</f>
        <v/>
      </c>
      <c r="G571">
        <f>IF($A571="","",INDEX('05_KAPA'!$I:$I,$A571))</f>
        <v/>
      </c>
      <c r="H571" s="202">
        <f>IF($A571="","",INDEX('05_KAPA'!$P:$P,$A571))</f>
        <v/>
      </c>
      <c r="I571" s="118">
        <f>IF($A571="","",INDEX('05_KAPA'!$O:$O,$A571))</f>
        <v/>
      </c>
      <c r="J571" s="202">
        <f>IF($A571="","",IFERROR(DATE(LEFT(TEXT(INDEX('05_KAPA'!$T:$T,$A571),"0"),4),MID(TEXT(INDEX('05_KAPA'!$T:$T,$A571),"0"),5,2),RIGHT(TEXT(INDEX('05_KAPA'!$T:$T,$A571),"0"),2)),""))</f>
        <v/>
      </c>
      <c r="K571">
        <f>IF(C571="","",IF('02_대상물건입력'!$B$5="",1,IF(ISNUMBER(SEARCH('02_대상물건입력'!$B$5,C571)),1,0)))</f>
        <v/>
      </c>
      <c r="L571">
        <f>IF(C571="","",IF('02_대상물건입력'!$B$6="",1,IF(ISNUMBER(SEARCH('02_대상물건입력'!$B$6,C571)),1,0)))</f>
        <v/>
      </c>
      <c r="M571">
        <f>IF(E571="","",IF('02_대상물건입력'!$B$8="",0,IF(ISNUMBER(SEARCH('02_대상물건입력'!$B$8,E571)),1,0)))</f>
        <v/>
      </c>
      <c r="N571">
        <f>IF(B571="","",IF(B571="담보",1,0))</f>
        <v/>
      </c>
      <c r="O571">
        <f>IFERROR(ABS(G571-'02_대상물건입력'!$B$11)/'02_대상물건입력'!$B$11,"")</f>
        <v/>
      </c>
      <c r="P571">
        <f>IFERROR(ABS('01_설정'!$B$4-H571),"")</f>
        <v/>
      </c>
      <c r="Q571">
        <f>IFERROR(ABS(YEAR(J571)-YEAR('02_대상물건입력'!$B$14)),"")</f>
        <v/>
      </c>
      <c r="R571">
        <f>IF(AND(G571&gt;0,H571&gt;0,I571&gt;0,N571=1,IF('01_설정'!$B$10=1,K571=1,TRUE()),O571&lt;='01_설정'!$B$5,P571&lt;='01_설정'!$B$7,Q571&lt;='01_설정'!$B$8),"Y","")</f>
        <v/>
      </c>
      <c r="S571">
        <f>IF(R571&lt;&gt;"Y","",MAX(0,(1-O571/'01_설정'!$B$5))*'01_설정'!$B$14+MAX(0,(1-P571/'01_설정'!$B$7))*'01_설정'!$B$16+MAX(0,(1-Q571/'01_설정'!$B$8))*'01_설정'!$B$17+L571*'01_설정'!$B$11+M571*'01_설정'!$B$12+N571*50)</f>
        <v/>
      </c>
      <c r="T571">
        <f>IF(S571="","",1+COUNTIFS($S$31:$S$1030,"&gt;"&amp;S571)+COUNTIFS($S$31:S571,S571)-1)</f>
        <v/>
      </c>
    </row>
    <row r="572" hidden="1" ht="16.5" customHeight="1">
      <c r="A572">
        <f>IF(COUNTA('05_KAPA'!$A543:$AO543)=0,"",545)</f>
        <v/>
      </c>
      <c r="B572">
        <f>IF($A572="","",INDEX('05_KAPA'!$B:$B,$A572))</f>
        <v/>
      </c>
      <c r="C572">
        <f>IF($A572="","",INDEX('05_KAPA'!$F:$F,$A572))</f>
        <v/>
      </c>
      <c r="D572">
        <f>IF($A572="","",INDEX('05_KAPA'!$H:$H,$A572))</f>
        <v/>
      </c>
      <c r="E572">
        <f>IF($A572="","",INDEX('05_KAPA'!$K:$K,$A572))</f>
        <v/>
      </c>
      <c r="F572">
        <f>IF($A572="","",INDEX('05_KAPA'!$L:$L,$A572))</f>
        <v/>
      </c>
      <c r="G572">
        <f>IF($A572="","",INDEX('05_KAPA'!$I:$I,$A572))</f>
        <v/>
      </c>
      <c r="H572" s="202">
        <f>IF($A572="","",INDEX('05_KAPA'!$P:$P,$A572))</f>
        <v/>
      </c>
      <c r="I572" s="118">
        <f>IF($A572="","",INDEX('05_KAPA'!$O:$O,$A572))</f>
        <v/>
      </c>
      <c r="J572" s="202">
        <f>IF($A572="","",IFERROR(DATE(LEFT(TEXT(INDEX('05_KAPA'!$T:$T,$A572),"0"),4),MID(TEXT(INDEX('05_KAPA'!$T:$T,$A572),"0"),5,2),RIGHT(TEXT(INDEX('05_KAPA'!$T:$T,$A572),"0"),2)),""))</f>
        <v/>
      </c>
      <c r="K572">
        <f>IF(C572="","",IF('02_대상물건입력'!$B$5="",1,IF(ISNUMBER(SEARCH('02_대상물건입력'!$B$5,C572)),1,0)))</f>
        <v/>
      </c>
      <c r="L572">
        <f>IF(C572="","",IF('02_대상물건입력'!$B$6="",1,IF(ISNUMBER(SEARCH('02_대상물건입력'!$B$6,C572)),1,0)))</f>
        <v/>
      </c>
      <c r="M572">
        <f>IF(E572="","",IF('02_대상물건입력'!$B$8="",0,IF(ISNUMBER(SEARCH('02_대상물건입력'!$B$8,E572)),1,0)))</f>
        <v/>
      </c>
      <c r="N572">
        <f>IF(B572="","",IF(B572="담보",1,0))</f>
        <v/>
      </c>
      <c r="O572">
        <f>IFERROR(ABS(G572-'02_대상물건입력'!$B$11)/'02_대상물건입력'!$B$11,"")</f>
        <v/>
      </c>
      <c r="P572">
        <f>IFERROR(ABS('01_설정'!$B$4-H572),"")</f>
        <v/>
      </c>
      <c r="Q572">
        <f>IFERROR(ABS(YEAR(J572)-YEAR('02_대상물건입력'!$B$14)),"")</f>
        <v/>
      </c>
      <c r="R572">
        <f>IF(AND(G572&gt;0,H572&gt;0,I572&gt;0,N572=1,IF('01_설정'!$B$10=1,K572=1,TRUE()),O572&lt;='01_설정'!$B$5,P572&lt;='01_설정'!$B$7,Q572&lt;='01_설정'!$B$8),"Y","")</f>
        <v/>
      </c>
      <c r="S572">
        <f>IF(R572&lt;&gt;"Y","",MAX(0,(1-O572/'01_설정'!$B$5))*'01_설정'!$B$14+MAX(0,(1-P572/'01_설정'!$B$7))*'01_설정'!$B$16+MAX(0,(1-Q572/'01_설정'!$B$8))*'01_설정'!$B$17+L572*'01_설정'!$B$11+M572*'01_설정'!$B$12+N572*50)</f>
        <v/>
      </c>
      <c r="T572">
        <f>IF(S572="","",1+COUNTIFS($S$31:$S$1030,"&gt;"&amp;S572)+COUNTIFS($S$31:S572,S572)-1)</f>
        <v/>
      </c>
    </row>
    <row r="573" hidden="1" ht="16.5" customHeight="1">
      <c r="A573">
        <f>IF(COUNTA('05_KAPA'!$A544:$AO544)=0,"",546)</f>
        <v/>
      </c>
      <c r="B573">
        <f>IF($A573="","",INDEX('05_KAPA'!$B:$B,$A573))</f>
        <v/>
      </c>
      <c r="C573">
        <f>IF($A573="","",INDEX('05_KAPA'!$F:$F,$A573))</f>
        <v/>
      </c>
      <c r="D573">
        <f>IF($A573="","",INDEX('05_KAPA'!$H:$H,$A573))</f>
        <v/>
      </c>
      <c r="E573">
        <f>IF($A573="","",INDEX('05_KAPA'!$K:$K,$A573))</f>
        <v/>
      </c>
      <c r="F573">
        <f>IF($A573="","",INDEX('05_KAPA'!$L:$L,$A573))</f>
        <v/>
      </c>
      <c r="G573">
        <f>IF($A573="","",INDEX('05_KAPA'!$I:$I,$A573))</f>
        <v/>
      </c>
      <c r="H573" s="202">
        <f>IF($A573="","",INDEX('05_KAPA'!$P:$P,$A573))</f>
        <v/>
      </c>
      <c r="I573" s="118">
        <f>IF($A573="","",INDEX('05_KAPA'!$O:$O,$A573))</f>
        <v/>
      </c>
      <c r="J573" s="202">
        <f>IF($A573="","",IFERROR(DATE(LEFT(TEXT(INDEX('05_KAPA'!$T:$T,$A573),"0"),4),MID(TEXT(INDEX('05_KAPA'!$T:$T,$A573),"0"),5,2),RIGHT(TEXT(INDEX('05_KAPA'!$T:$T,$A573),"0"),2)),""))</f>
        <v/>
      </c>
      <c r="K573">
        <f>IF(C573="","",IF('02_대상물건입력'!$B$5="",1,IF(ISNUMBER(SEARCH('02_대상물건입력'!$B$5,C573)),1,0)))</f>
        <v/>
      </c>
      <c r="L573">
        <f>IF(C573="","",IF('02_대상물건입력'!$B$6="",1,IF(ISNUMBER(SEARCH('02_대상물건입력'!$B$6,C573)),1,0)))</f>
        <v/>
      </c>
      <c r="M573">
        <f>IF(E573="","",IF('02_대상물건입력'!$B$8="",0,IF(ISNUMBER(SEARCH('02_대상물건입력'!$B$8,E573)),1,0)))</f>
        <v/>
      </c>
      <c r="N573">
        <f>IF(B573="","",IF(B573="담보",1,0))</f>
        <v/>
      </c>
      <c r="O573">
        <f>IFERROR(ABS(G573-'02_대상물건입력'!$B$11)/'02_대상물건입력'!$B$11,"")</f>
        <v/>
      </c>
      <c r="P573">
        <f>IFERROR(ABS('01_설정'!$B$4-H573),"")</f>
        <v/>
      </c>
      <c r="Q573">
        <f>IFERROR(ABS(YEAR(J573)-YEAR('02_대상물건입력'!$B$14)),"")</f>
        <v/>
      </c>
      <c r="R573">
        <f>IF(AND(G573&gt;0,H573&gt;0,I573&gt;0,N573=1,IF('01_설정'!$B$10=1,K573=1,TRUE()),O573&lt;='01_설정'!$B$5,P573&lt;='01_설정'!$B$7,Q573&lt;='01_설정'!$B$8),"Y","")</f>
        <v/>
      </c>
      <c r="S573">
        <f>IF(R573&lt;&gt;"Y","",MAX(0,(1-O573/'01_설정'!$B$5))*'01_설정'!$B$14+MAX(0,(1-P573/'01_설정'!$B$7))*'01_설정'!$B$16+MAX(0,(1-Q573/'01_설정'!$B$8))*'01_설정'!$B$17+L573*'01_설정'!$B$11+M573*'01_설정'!$B$12+N573*50)</f>
        <v/>
      </c>
      <c r="T573">
        <f>IF(S573="","",1+COUNTIFS($S$31:$S$1030,"&gt;"&amp;S573)+COUNTIFS($S$31:S573,S573)-1)</f>
        <v/>
      </c>
    </row>
    <row r="574" hidden="1" ht="16.5" customHeight="1">
      <c r="A574">
        <f>IF(COUNTA('05_KAPA'!$A545:$AO545)=0,"",547)</f>
        <v/>
      </c>
      <c r="B574">
        <f>IF($A574="","",INDEX('05_KAPA'!$B:$B,$A574))</f>
        <v/>
      </c>
      <c r="C574">
        <f>IF($A574="","",INDEX('05_KAPA'!$F:$F,$A574))</f>
        <v/>
      </c>
      <c r="D574">
        <f>IF($A574="","",INDEX('05_KAPA'!$H:$H,$A574))</f>
        <v/>
      </c>
      <c r="E574">
        <f>IF($A574="","",INDEX('05_KAPA'!$K:$K,$A574))</f>
        <v/>
      </c>
      <c r="F574">
        <f>IF($A574="","",INDEX('05_KAPA'!$L:$L,$A574))</f>
        <v/>
      </c>
      <c r="G574">
        <f>IF($A574="","",INDEX('05_KAPA'!$I:$I,$A574))</f>
        <v/>
      </c>
      <c r="H574" s="202">
        <f>IF($A574="","",INDEX('05_KAPA'!$P:$P,$A574))</f>
        <v/>
      </c>
      <c r="I574" s="118">
        <f>IF($A574="","",INDEX('05_KAPA'!$O:$O,$A574))</f>
        <v/>
      </c>
      <c r="J574" s="202">
        <f>IF($A574="","",IFERROR(DATE(LEFT(TEXT(INDEX('05_KAPA'!$T:$T,$A574),"0"),4),MID(TEXT(INDEX('05_KAPA'!$T:$T,$A574),"0"),5,2),RIGHT(TEXT(INDEX('05_KAPA'!$T:$T,$A574),"0"),2)),""))</f>
        <v/>
      </c>
      <c r="K574">
        <f>IF(C574="","",IF('02_대상물건입력'!$B$5="",1,IF(ISNUMBER(SEARCH('02_대상물건입력'!$B$5,C574)),1,0)))</f>
        <v/>
      </c>
      <c r="L574">
        <f>IF(C574="","",IF('02_대상물건입력'!$B$6="",1,IF(ISNUMBER(SEARCH('02_대상물건입력'!$B$6,C574)),1,0)))</f>
        <v/>
      </c>
      <c r="M574">
        <f>IF(E574="","",IF('02_대상물건입력'!$B$8="",0,IF(ISNUMBER(SEARCH('02_대상물건입력'!$B$8,E574)),1,0)))</f>
        <v/>
      </c>
      <c r="N574">
        <f>IF(B574="","",IF(B574="담보",1,0))</f>
        <v/>
      </c>
      <c r="O574">
        <f>IFERROR(ABS(G574-'02_대상물건입력'!$B$11)/'02_대상물건입력'!$B$11,"")</f>
        <v/>
      </c>
      <c r="P574">
        <f>IFERROR(ABS('01_설정'!$B$4-H574),"")</f>
        <v/>
      </c>
      <c r="Q574">
        <f>IFERROR(ABS(YEAR(J574)-YEAR('02_대상물건입력'!$B$14)),"")</f>
        <v/>
      </c>
      <c r="R574">
        <f>IF(AND(G574&gt;0,H574&gt;0,I574&gt;0,N574=1,IF('01_설정'!$B$10=1,K574=1,TRUE()),O574&lt;='01_설정'!$B$5,P574&lt;='01_설정'!$B$7,Q574&lt;='01_설정'!$B$8),"Y","")</f>
        <v/>
      </c>
      <c r="S574">
        <f>IF(R574&lt;&gt;"Y","",MAX(0,(1-O574/'01_설정'!$B$5))*'01_설정'!$B$14+MAX(0,(1-P574/'01_설정'!$B$7))*'01_설정'!$B$16+MAX(0,(1-Q574/'01_설정'!$B$8))*'01_설정'!$B$17+L574*'01_설정'!$B$11+M574*'01_설정'!$B$12+N574*50)</f>
        <v/>
      </c>
      <c r="T574">
        <f>IF(S574="","",1+COUNTIFS($S$31:$S$1030,"&gt;"&amp;S574)+COUNTIFS($S$31:S574,S574)-1)</f>
        <v/>
      </c>
    </row>
    <row r="575" hidden="1" ht="16.5" customHeight="1">
      <c r="A575">
        <f>IF(COUNTA('05_KAPA'!$A546:$AO546)=0,"",548)</f>
        <v/>
      </c>
      <c r="B575">
        <f>IF($A575="","",INDEX('05_KAPA'!$B:$B,$A575))</f>
        <v/>
      </c>
      <c r="C575">
        <f>IF($A575="","",INDEX('05_KAPA'!$F:$F,$A575))</f>
        <v/>
      </c>
      <c r="D575">
        <f>IF($A575="","",INDEX('05_KAPA'!$H:$H,$A575))</f>
        <v/>
      </c>
      <c r="E575">
        <f>IF($A575="","",INDEX('05_KAPA'!$K:$K,$A575))</f>
        <v/>
      </c>
      <c r="F575">
        <f>IF($A575="","",INDEX('05_KAPA'!$L:$L,$A575))</f>
        <v/>
      </c>
      <c r="G575">
        <f>IF($A575="","",INDEX('05_KAPA'!$I:$I,$A575))</f>
        <v/>
      </c>
      <c r="H575" s="202">
        <f>IF($A575="","",INDEX('05_KAPA'!$P:$P,$A575))</f>
        <v/>
      </c>
      <c r="I575" s="118">
        <f>IF($A575="","",INDEX('05_KAPA'!$O:$O,$A575))</f>
        <v/>
      </c>
      <c r="J575" s="202">
        <f>IF($A575="","",IFERROR(DATE(LEFT(TEXT(INDEX('05_KAPA'!$T:$T,$A575),"0"),4),MID(TEXT(INDEX('05_KAPA'!$T:$T,$A575),"0"),5,2),RIGHT(TEXT(INDEX('05_KAPA'!$T:$T,$A575),"0"),2)),""))</f>
        <v/>
      </c>
      <c r="K575">
        <f>IF(C575="","",IF('02_대상물건입력'!$B$5="",1,IF(ISNUMBER(SEARCH('02_대상물건입력'!$B$5,C575)),1,0)))</f>
        <v/>
      </c>
      <c r="L575">
        <f>IF(C575="","",IF('02_대상물건입력'!$B$6="",1,IF(ISNUMBER(SEARCH('02_대상물건입력'!$B$6,C575)),1,0)))</f>
        <v/>
      </c>
      <c r="M575">
        <f>IF(E575="","",IF('02_대상물건입력'!$B$8="",0,IF(ISNUMBER(SEARCH('02_대상물건입력'!$B$8,E575)),1,0)))</f>
        <v/>
      </c>
      <c r="N575">
        <f>IF(B575="","",IF(B575="담보",1,0))</f>
        <v/>
      </c>
      <c r="O575">
        <f>IFERROR(ABS(G575-'02_대상물건입력'!$B$11)/'02_대상물건입력'!$B$11,"")</f>
        <v/>
      </c>
      <c r="P575">
        <f>IFERROR(ABS('01_설정'!$B$4-H575),"")</f>
        <v/>
      </c>
      <c r="Q575">
        <f>IFERROR(ABS(YEAR(J575)-YEAR('02_대상물건입력'!$B$14)),"")</f>
        <v/>
      </c>
      <c r="R575">
        <f>IF(AND(G575&gt;0,H575&gt;0,I575&gt;0,N575=1,IF('01_설정'!$B$10=1,K575=1,TRUE()),O575&lt;='01_설정'!$B$5,P575&lt;='01_설정'!$B$7,Q575&lt;='01_설정'!$B$8),"Y","")</f>
        <v/>
      </c>
      <c r="S575">
        <f>IF(R575&lt;&gt;"Y","",MAX(0,(1-O575/'01_설정'!$B$5))*'01_설정'!$B$14+MAX(0,(1-P575/'01_설정'!$B$7))*'01_설정'!$B$16+MAX(0,(1-Q575/'01_설정'!$B$8))*'01_설정'!$B$17+L575*'01_설정'!$B$11+M575*'01_설정'!$B$12+N575*50)</f>
        <v/>
      </c>
      <c r="T575">
        <f>IF(S575="","",1+COUNTIFS($S$31:$S$1030,"&gt;"&amp;S575)+COUNTIFS($S$31:S575,S575)-1)</f>
        <v/>
      </c>
    </row>
    <row r="576" hidden="1" ht="16.5" customHeight="1">
      <c r="A576">
        <f>IF(COUNTA('05_KAPA'!$A547:$AO547)=0,"",549)</f>
        <v/>
      </c>
      <c r="B576">
        <f>IF($A576="","",INDEX('05_KAPA'!$B:$B,$A576))</f>
        <v/>
      </c>
      <c r="C576">
        <f>IF($A576="","",INDEX('05_KAPA'!$F:$F,$A576))</f>
        <v/>
      </c>
      <c r="D576">
        <f>IF($A576="","",INDEX('05_KAPA'!$H:$H,$A576))</f>
        <v/>
      </c>
      <c r="E576">
        <f>IF($A576="","",INDEX('05_KAPA'!$K:$K,$A576))</f>
        <v/>
      </c>
      <c r="F576">
        <f>IF($A576="","",INDEX('05_KAPA'!$L:$L,$A576))</f>
        <v/>
      </c>
      <c r="G576">
        <f>IF($A576="","",INDEX('05_KAPA'!$I:$I,$A576))</f>
        <v/>
      </c>
      <c r="H576" s="202">
        <f>IF($A576="","",INDEX('05_KAPA'!$P:$P,$A576))</f>
        <v/>
      </c>
      <c r="I576" s="118">
        <f>IF($A576="","",INDEX('05_KAPA'!$O:$O,$A576))</f>
        <v/>
      </c>
      <c r="J576" s="202">
        <f>IF($A576="","",IFERROR(DATE(LEFT(TEXT(INDEX('05_KAPA'!$T:$T,$A576),"0"),4),MID(TEXT(INDEX('05_KAPA'!$T:$T,$A576),"0"),5,2),RIGHT(TEXT(INDEX('05_KAPA'!$T:$T,$A576),"0"),2)),""))</f>
        <v/>
      </c>
      <c r="K576">
        <f>IF(C576="","",IF('02_대상물건입력'!$B$5="",1,IF(ISNUMBER(SEARCH('02_대상물건입력'!$B$5,C576)),1,0)))</f>
        <v/>
      </c>
      <c r="L576">
        <f>IF(C576="","",IF('02_대상물건입력'!$B$6="",1,IF(ISNUMBER(SEARCH('02_대상물건입력'!$B$6,C576)),1,0)))</f>
        <v/>
      </c>
      <c r="M576">
        <f>IF(E576="","",IF('02_대상물건입력'!$B$8="",0,IF(ISNUMBER(SEARCH('02_대상물건입력'!$B$8,E576)),1,0)))</f>
        <v/>
      </c>
      <c r="N576">
        <f>IF(B576="","",IF(B576="담보",1,0))</f>
        <v/>
      </c>
      <c r="O576">
        <f>IFERROR(ABS(G576-'02_대상물건입력'!$B$11)/'02_대상물건입력'!$B$11,"")</f>
        <v/>
      </c>
      <c r="P576">
        <f>IFERROR(ABS('01_설정'!$B$4-H576),"")</f>
        <v/>
      </c>
      <c r="Q576">
        <f>IFERROR(ABS(YEAR(J576)-YEAR('02_대상물건입력'!$B$14)),"")</f>
        <v/>
      </c>
      <c r="R576">
        <f>IF(AND(G576&gt;0,H576&gt;0,I576&gt;0,N576=1,IF('01_설정'!$B$10=1,K576=1,TRUE()),O576&lt;='01_설정'!$B$5,P576&lt;='01_설정'!$B$7,Q576&lt;='01_설정'!$B$8),"Y","")</f>
        <v/>
      </c>
      <c r="S576">
        <f>IF(R576&lt;&gt;"Y","",MAX(0,(1-O576/'01_설정'!$B$5))*'01_설정'!$B$14+MAX(0,(1-P576/'01_설정'!$B$7))*'01_설정'!$B$16+MAX(0,(1-Q576/'01_설정'!$B$8))*'01_설정'!$B$17+L576*'01_설정'!$B$11+M576*'01_설정'!$B$12+N576*50)</f>
        <v/>
      </c>
      <c r="T576">
        <f>IF(S576="","",1+COUNTIFS($S$31:$S$1030,"&gt;"&amp;S576)+COUNTIFS($S$31:S576,S576)-1)</f>
        <v/>
      </c>
    </row>
    <row r="577" hidden="1" ht="16.5" customHeight="1">
      <c r="A577">
        <f>IF(COUNTA('05_KAPA'!$A548:$AO548)=0,"",550)</f>
        <v/>
      </c>
      <c r="B577">
        <f>IF($A577="","",INDEX('05_KAPA'!$B:$B,$A577))</f>
        <v/>
      </c>
      <c r="C577">
        <f>IF($A577="","",INDEX('05_KAPA'!$F:$F,$A577))</f>
        <v/>
      </c>
      <c r="D577">
        <f>IF($A577="","",INDEX('05_KAPA'!$H:$H,$A577))</f>
        <v/>
      </c>
      <c r="E577">
        <f>IF($A577="","",INDEX('05_KAPA'!$K:$K,$A577))</f>
        <v/>
      </c>
      <c r="F577">
        <f>IF($A577="","",INDEX('05_KAPA'!$L:$L,$A577))</f>
        <v/>
      </c>
      <c r="G577">
        <f>IF($A577="","",INDEX('05_KAPA'!$I:$I,$A577))</f>
        <v/>
      </c>
      <c r="H577" s="202">
        <f>IF($A577="","",INDEX('05_KAPA'!$P:$P,$A577))</f>
        <v/>
      </c>
      <c r="I577" s="118">
        <f>IF($A577="","",INDEX('05_KAPA'!$O:$O,$A577))</f>
        <v/>
      </c>
      <c r="J577" s="202">
        <f>IF($A577="","",IFERROR(DATE(LEFT(TEXT(INDEX('05_KAPA'!$T:$T,$A577),"0"),4),MID(TEXT(INDEX('05_KAPA'!$T:$T,$A577),"0"),5,2),RIGHT(TEXT(INDEX('05_KAPA'!$T:$T,$A577),"0"),2)),""))</f>
        <v/>
      </c>
      <c r="K577">
        <f>IF(C577="","",IF('02_대상물건입력'!$B$5="",1,IF(ISNUMBER(SEARCH('02_대상물건입력'!$B$5,C577)),1,0)))</f>
        <v/>
      </c>
      <c r="L577">
        <f>IF(C577="","",IF('02_대상물건입력'!$B$6="",1,IF(ISNUMBER(SEARCH('02_대상물건입력'!$B$6,C577)),1,0)))</f>
        <v/>
      </c>
      <c r="M577">
        <f>IF(E577="","",IF('02_대상물건입력'!$B$8="",0,IF(ISNUMBER(SEARCH('02_대상물건입력'!$B$8,E577)),1,0)))</f>
        <v/>
      </c>
      <c r="N577">
        <f>IF(B577="","",IF(B577="담보",1,0))</f>
        <v/>
      </c>
      <c r="O577">
        <f>IFERROR(ABS(G577-'02_대상물건입력'!$B$11)/'02_대상물건입력'!$B$11,"")</f>
        <v/>
      </c>
      <c r="P577">
        <f>IFERROR(ABS('01_설정'!$B$4-H577),"")</f>
        <v/>
      </c>
      <c r="Q577">
        <f>IFERROR(ABS(YEAR(J577)-YEAR('02_대상물건입력'!$B$14)),"")</f>
        <v/>
      </c>
      <c r="R577">
        <f>IF(AND(G577&gt;0,H577&gt;0,I577&gt;0,N577=1,IF('01_설정'!$B$10=1,K577=1,TRUE()),O577&lt;='01_설정'!$B$5,P577&lt;='01_설정'!$B$7,Q577&lt;='01_설정'!$B$8),"Y","")</f>
        <v/>
      </c>
      <c r="S577">
        <f>IF(R577&lt;&gt;"Y","",MAX(0,(1-O577/'01_설정'!$B$5))*'01_설정'!$B$14+MAX(0,(1-P577/'01_설정'!$B$7))*'01_설정'!$B$16+MAX(0,(1-Q577/'01_설정'!$B$8))*'01_설정'!$B$17+L577*'01_설정'!$B$11+M577*'01_설정'!$B$12+N577*50)</f>
        <v/>
      </c>
      <c r="T577">
        <f>IF(S577="","",1+COUNTIFS($S$31:$S$1030,"&gt;"&amp;S577)+COUNTIFS($S$31:S577,S577)-1)</f>
        <v/>
      </c>
    </row>
    <row r="578" hidden="1" ht="16.5" customHeight="1">
      <c r="A578">
        <f>IF(COUNTA('05_KAPA'!$A549:$AO549)=0,"",551)</f>
        <v/>
      </c>
      <c r="B578">
        <f>IF($A578="","",INDEX('05_KAPA'!$B:$B,$A578))</f>
        <v/>
      </c>
      <c r="C578">
        <f>IF($A578="","",INDEX('05_KAPA'!$F:$F,$A578))</f>
        <v/>
      </c>
      <c r="D578">
        <f>IF($A578="","",INDEX('05_KAPA'!$H:$H,$A578))</f>
        <v/>
      </c>
      <c r="E578">
        <f>IF($A578="","",INDEX('05_KAPA'!$K:$K,$A578))</f>
        <v/>
      </c>
      <c r="F578">
        <f>IF($A578="","",INDEX('05_KAPA'!$L:$L,$A578))</f>
        <v/>
      </c>
      <c r="G578">
        <f>IF($A578="","",INDEX('05_KAPA'!$I:$I,$A578))</f>
        <v/>
      </c>
      <c r="H578" s="202">
        <f>IF($A578="","",INDEX('05_KAPA'!$P:$P,$A578))</f>
        <v/>
      </c>
      <c r="I578" s="118">
        <f>IF($A578="","",INDEX('05_KAPA'!$O:$O,$A578))</f>
        <v/>
      </c>
      <c r="J578" s="202">
        <f>IF($A578="","",IFERROR(DATE(LEFT(TEXT(INDEX('05_KAPA'!$T:$T,$A578),"0"),4),MID(TEXT(INDEX('05_KAPA'!$T:$T,$A578),"0"),5,2),RIGHT(TEXT(INDEX('05_KAPA'!$T:$T,$A578),"0"),2)),""))</f>
        <v/>
      </c>
      <c r="K578">
        <f>IF(C578="","",IF('02_대상물건입력'!$B$5="",1,IF(ISNUMBER(SEARCH('02_대상물건입력'!$B$5,C578)),1,0)))</f>
        <v/>
      </c>
      <c r="L578">
        <f>IF(C578="","",IF('02_대상물건입력'!$B$6="",1,IF(ISNUMBER(SEARCH('02_대상물건입력'!$B$6,C578)),1,0)))</f>
        <v/>
      </c>
      <c r="M578">
        <f>IF(E578="","",IF('02_대상물건입력'!$B$8="",0,IF(ISNUMBER(SEARCH('02_대상물건입력'!$B$8,E578)),1,0)))</f>
        <v/>
      </c>
      <c r="N578">
        <f>IF(B578="","",IF(B578="담보",1,0))</f>
        <v/>
      </c>
      <c r="O578">
        <f>IFERROR(ABS(G578-'02_대상물건입력'!$B$11)/'02_대상물건입력'!$B$11,"")</f>
        <v/>
      </c>
      <c r="P578">
        <f>IFERROR(ABS('01_설정'!$B$4-H578),"")</f>
        <v/>
      </c>
      <c r="Q578">
        <f>IFERROR(ABS(YEAR(J578)-YEAR('02_대상물건입력'!$B$14)),"")</f>
        <v/>
      </c>
      <c r="R578">
        <f>IF(AND(G578&gt;0,H578&gt;0,I578&gt;0,N578=1,IF('01_설정'!$B$10=1,K578=1,TRUE()),O578&lt;='01_설정'!$B$5,P578&lt;='01_설정'!$B$7,Q578&lt;='01_설정'!$B$8),"Y","")</f>
        <v/>
      </c>
      <c r="S578">
        <f>IF(R578&lt;&gt;"Y","",MAX(0,(1-O578/'01_설정'!$B$5))*'01_설정'!$B$14+MAX(0,(1-P578/'01_설정'!$B$7))*'01_설정'!$B$16+MAX(0,(1-Q578/'01_설정'!$B$8))*'01_설정'!$B$17+L578*'01_설정'!$B$11+M578*'01_설정'!$B$12+N578*50)</f>
        <v/>
      </c>
      <c r="T578">
        <f>IF(S578="","",1+COUNTIFS($S$31:$S$1030,"&gt;"&amp;S578)+COUNTIFS($S$31:S578,S578)-1)</f>
        <v/>
      </c>
    </row>
    <row r="579" hidden="1" ht="16.5" customHeight="1">
      <c r="A579">
        <f>IF(COUNTA('05_KAPA'!$A550:$AO550)=0,"",552)</f>
        <v/>
      </c>
      <c r="B579">
        <f>IF($A579="","",INDEX('05_KAPA'!$B:$B,$A579))</f>
        <v/>
      </c>
      <c r="C579">
        <f>IF($A579="","",INDEX('05_KAPA'!$F:$F,$A579))</f>
        <v/>
      </c>
      <c r="D579">
        <f>IF($A579="","",INDEX('05_KAPA'!$H:$H,$A579))</f>
        <v/>
      </c>
      <c r="E579">
        <f>IF($A579="","",INDEX('05_KAPA'!$K:$K,$A579))</f>
        <v/>
      </c>
      <c r="F579">
        <f>IF($A579="","",INDEX('05_KAPA'!$L:$L,$A579))</f>
        <v/>
      </c>
      <c r="G579">
        <f>IF($A579="","",INDEX('05_KAPA'!$I:$I,$A579))</f>
        <v/>
      </c>
      <c r="H579" s="202">
        <f>IF($A579="","",INDEX('05_KAPA'!$P:$P,$A579))</f>
        <v/>
      </c>
      <c r="I579" s="118">
        <f>IF($A579="","",INDEX('05_KAPA'!$O:$O,$A579))</f>
        <v/>
      </c>
      <c r="J579" s="202">
        <f>IF($A579="","",IFERROR(DATE(LEFT(TEXT(INDEX('05_KAPA'!$T:$T,$A579),"0"),4),MID(TEXT(INDEX('05_KAPA'!$T:$T,$A579),"0"),5,2),RIGHT(TEXT(INDEX('05_KAPA'!$T:$T,$A579),"0"),2)),""))</f>
        <v/>
      </c>
      <c r="K579">
        <f>IF(C579="","",IF('02_대상물건입력'!$B$5="",1,IF(ISNUMBER(SEARCH('02_대상물건입력'!$B$5,C579)),1,0)))</f>
        <v/>
      </c>
      <c r="L579">
        <f>IF(C579="","",IF('02_대상물건입력'!$B$6="",1,IF(ISNUMBER(SEARCH('02_대상물건입력'!$B$6,C579)),1,0)))</f>
        <v/>
      </c>
      <c r="M579">
        <f>IF(E579="","",IF('02_대상물건입력'!$B$8="",0,IF(ISNUMBER(SEARCH('02_대상물건입력'!$B$8,E579)),1,0)))</f>
        <v/>
      </c>
      <c r="N579">
        <f>IF(B579="","",IF(B579="담보",1,0))</f>
        <v/>
      </c>
      <c r="O579">
        <f>IFERROR(ABS(G579-'02_대상물건입력'!$B$11)/'02_대상물건입력'!$B$11,"")</f>
        <v/>
      </c>
      <c r="P579">
        <f>IFERROR(ABS('01_설정'!$B$4-H579),"")</f>
        <v/>
      </c>
      <c r="Q579">
        <f>IFERROR(ABS(YEAR(J579)-YEAR('02_대상물건입력'!$B$14)),"")</f>
        <v/>
      </c>
      <c r="R579">
        <f>IF(AND(G579&gt;0,H579&gt;0,I579&gt;0,N579=1,IF('01_설정'!$B$10=1,K579=1,TRUE()),O579&lt;='01_설정'!$B$5,P579&lt;='01_설정'!$B$7,Q579&lt;='01_설정'!$B$8),"Y","")</f>
        <v/>
      </c>
      <c r="S579">
        <f>IF(R579&lt;&gt;"Y","",MAX(0,(1-O579/'01_설정'!$B$5))*'01_설정'!$B$14+MAX(0,(1-P579/'01_설정'!$B$7))*'01_설정'!$B$16+MAX(0,(1-Q579/'01_설정'!$B$8))*'01_설정'!$B$17+L579*'01_설정'!$B$11+M579*'01_설정'!$B$12+N579*50)</f>
        <v/>
      </c>
      <c r="T579">
        <f>IF(S579="","",1+COUNTIFS($S$31:$S$1030,"&gt;"&amp;S579)+COUNTIFS($S$31:S579,S579)-1)</f>
        <v/>
      </c>
    </row>
    <row r="580" hidden="1" ht="16.5" customHeight="1">
      <c r="A580">
        <f>IF(COUNTA('05_KAPA'!$A551:$AO551)=0,"",553)</f>
        <v/>
      </c>
      <c r="B580">
        <f>IF($A580="","",INDEX('05_KAPA'!$B:$B,$A580))</f>
        <v/>
      </c>
      <c r="C580">
        <f>IF($A580="","",INDEX('05_KAPA'!$F:$F,$A580))</f>
        <v/>
      </c>
      <c r="D580">
        <f>IF($A580="","",INDEX('05_KAPA'!$H:$H,$A580))</f>
        <v/>
      </c>
      <c r="E580">
        <f>IF($A580="","",INDEX('05_KAPA'!$K:$K,$A580))</f>
        <v/>
      </c>
      <c r="F580">
        <f>IF($A580="","",INDEX('05_KAPA'!$L:$L,$A580))</f>
        <v/>
      </c>
      <c r="G580">
        <f>IF($A580="","",INDEX('05_KAPA'!$I:$I,$A580))</f>
        <v/>
      </c>
      <c r="H580" s="202">
        <f>IF($A580="","",INDEX('05_KAPA'!$P:$P,$A580))</f>
        <v/>
      </c>
      <c r="I580" s="118">
        <f>IF($A580="","",INDEX('05_KAPA'!$O:$O,$A580))</f>
        <v/>
      </c>
      <c r="J580" s="202">
        <f>IF($A580="","",IFERROR(DATE(LEFT(TEXT(INDEX('05_KAPA'!$T:$T,$A580),"0"),4),MID(TEXT(INDEX('05_KAPA'!$T:$T,$A580),"0"),5,2),RIGHT(TEXT(INDEX('05_KAPA'!$T:$T,$A580),"0"),2)),""))</f>
        <v/>
      </c>
      <c r="K580">
        <f>IF(C580="","",IF('02_대상물건입력'!$B$5="",1,IF(ISNUMBER(SEARCH('02_대상물건입력'!$B$5,C580)),1,0)))</f>
        <v/>
      </c>
      <c r="L580">
        <f>IF(C580="","",IF('02_대상물건입력'!$B$6="",1,IF(ISNUMBER(SEARCH('02_대상물건입력'!$B$6,C580)),1,0)))</f>
        <v/>
      </c>
      <c r="M580">
        <f>IF(E580="","",IF('02_대상물건입력'!$B$8="",0,IF(ISNUMBER(SEARCH('02_대상물건입력'!$B$8,E580)),1,0)))</f>
        <v/>
      </c>
      <c r="N580">
        <f>IF(B580="","",IF(B580="담보",1,0))</f>
        <v/>
      </c>
      <c r="O580">
        <f>IFERROR(ABS(G580-'02_대상물건입력'!$B$11)/'02_대상물건입력'!$B$11,"")</f>
        <v/>
      </c>
      <c r="P580">
        <f>IFERROR(ABS('01_설정'!$B$4-H580),"")</f>
        <v/>
      </c>
      <c r="Q580">
        <f>IFERROR(ABS(YEAR(J580)-YEAR('02_대상물건입력'!$B$14)),"")</f>
        <v/>
      </c>
      <c r="R580">
        <f>IF(AND(G580&gt;0,H580&gt;0,I580&gt;0,N580=1,IF('01_설정'!$B$10=1,K580=1,TRUE()),O580&lt;='01_설정'!$B$5,P580&lt;='01_설정'!$B$7,Q580&lt;='01_설정'!$B$8),"Y","")</f>
        <v/>
      </c>
      <c r="S580">
        <f>IF(R580&lt;&gt;"Y","",MAX(0,(1-O580/'01_설정'!$B$5))*'01_설정'!$B$14+MAX(0,(1-P580/'01_설정'!$B$7))*'01_설정'!$B$16+MAX(0,(1-Q580/'01_설정'!$B$8))*'01_설정'!$B$17+L580*'01_설정'!$B$11+M580*'01_설정'!$B$12+N580*50)</f>
        <v/>
      </c>
      <c r="T580">
        <f>IF(S580="","",1+COUNTIFS($S$31:$S$1030,"&gt;"&amp;S580)+COUNTIFS($S$31:S580,S580)-1)</f>
        <v/>
      </c>
    </row>
    <row r="581" hidden="1" ht="16.5" customHeight="1">
      <c r="A581">
        <f>IF(COUNTA('05_KAPA'!$A552:$AO552)=0,"",554)</f>
        <v/>
      </c>
      <c r="B581">
        <f>IF($A581="","",INDEX('05_KAPA'!$B:$B,$A581))</f>
        <v/>
      </c>
      <c r="C581">
        <f>IF($A581="","",INDEX('05_KAPA'!$F:$F,$A581))</f>
        <v/>
      </c>
      <c r="D581">
        <f>IF($A581="","",INDEX('05_KAPA'!$H:$H,$A581))</f>
        <v/>
      </c>
      <c r="E581">
        <f>IF($A581="","",INDEX('05_KAPA'!$K:$K,$A581))</f>
        <v/>
      </c>
      <c r="F581">
        <f>IF($A581="","",INDEX('05_KAPA'!$L:$L,$A581))</f>
        <v/>
      </c>
      <c r="G581">
        <f>IF($A581="","",INDEX('05_KAPA'!$I:$I,$A581))</f>
        <v/>
      </c>
      <c r="H581" s="202">
        <f>IF($A581="","",INDEX('05_KAPA'!$P:$P,$A581))</f>
        <v/>
      </c>
      <c r="I581" s="118">
        <f>IF($A581="","",INDEX('05_KAPA'!$O:$O,$A581))</f>
        <v/>
      </c>
      <c r="J581" s="202">
        <f>IF($A581="","",IFERROR(DATE(LEFT(TEXT(INDEX('05_KAPA'!$T:$T,$A581),"0"),4),MID(TEXT(INDEX('05_KAPA'!$T:$T,$A581),"0"),5,2),RIGHT(TEXT(INDEX('05_KAPA'!$T:$T,$A581),"0"),2)),""))</f>
        <v/>
      </c>
      <c r="K581">
        <f>IF(C581="","",IF('02_대상물건입력'!$B$5="",1,IF(ISNUMBER(SEARCH('02_대상물건입력'!$B$5,C581)),1,0)))</f>
        <v/>
      </c>
      <c r="L581">
        <f>IF(C581="","",IF('02_대상물건입력'!$B$6="",1,IF(ISNUMBER(SEARCH('02_대상물건입력'!$B$6,C581)),1,0)))</f>
        <v/>
      </c>
      <c r="M581">
        <f>IF(E581="","",IF('02_대상물건입력'!$B$8="",0,IF(ISNUMBER(SEARCH('02_대상물건입력'!$B$8,E581)),1,0)))</f>
        <v/>
      </c>
      <c r="N581">
        <f>IF(B581="","",IF(B581="담보",1,0))</f>
        <v/>
      </c>
      <c r="O581">
        <f>IFERROR(ABS(G581-'02_대상물건입력'!$B$11)/'02_대상물건입력'!$B$11,"")</f>
        <v/>
      </c>
      <c r="P581">
        <f>IFERROR(ABS('01_설정'!$B$4-H581),"")</f>
        <v/>
      </c>
      <c r="Q581">
        <f>IFERROR(ABS(YEAR(J581)-YEAR('02_대상물건입력'!$B$14)),"")</f>
        <v/>
      </c>
      <c r="R581">
        <f>IF(AND(G581&gt;0,H581&gt;0,I581&gt;0,N581=1,IF('01_설정'!$B$10=1,K581=1,TRUE()),O581&lt;='01_설정'!$B$5,P581&lt;='01_설정'!$B$7,Q581&lt;='01_설정'!$B$8),"Y","")</f>
        <v/>
      </c>
      <c r="S581">
        <f>IF(R581&lt;&gt;"Y","",MAX(0,(1-O581/'01_설정'!$B$5))*'01_설정'!$B$14+MAX(0,(1-P581/'01_설정'!$B$7))*'01_설정'!$B$16+MAX(0,(1-Q581/'01_설정'!$B$8))*'01_설정'!$B$17+L581*'01_설정'!$B$11+M581*'01_설정'!$B$12+N581*50)</f>
        <v/>
      </c>
      <c r="T581">
        <f>IF(S581="","",1+COUNTIFS($S$31:$S$1030,"&gt;"&amp;S581)+COUNTIFS($S$31:S581,S581)-1)</f>
        <v/>
      </c>
    </row>
    <row r="582" hidden="1" ht="16.5" customHeight="1">
      <c r="A582">
        <f>IF(COUNTA('05_KAPA'!$A553:$AO553)=0,"",555)</f>
        <v/>
      </c>
      <c r="B582">
        <f>IF($A582="","",INDEX('05_KAPA'!$B:$B,$A582))</f>
        <v/>
      </c>
      <c r="C582">
        <f>IF($A582="","",INDEX('05_KAPA'!$F:$F,$A582))</f>
        <v/>
      </c>
      <c r="D582">
        <f>IF($A582="","",INDEX('05_KAPA'!$H:$H,$A582))</f>
        <v/>
      </c>
      <c r="E582">
        <f>IF($A582="","",INDEX('05_KAPA'!$K:$K,$A582))</f>
        <v/>
      </c>
      <c r="F582">
        <f>IF($A582="","",INDEX('05_KAPA'!$L:$L,$A582))</f>
        <v/>
      </c>
      <c r="G582">
        <f>IF($A582="","",INDEX('05_KAPA'!$I:$I,$A582))</f>
        <v/>
      </c>
      <c r="H582" s="202">
        <f>IF($A582="","",INDEX('05_KAPA'!$P:$P,$A582))</f>
        <v/>
      </c>
      <c r="I582" s="118">
        <f>IF($A582="","",INDEX('05_KAPA'!$O:$O,$A582))</f>
        <v/>
      </c>
      <c r="J582" s="202">
        <f>IF($A582="","",IFERROR(DATE(LEFT(TEXT(INDEX('05_KAPA'!$T:$T,$A582),"0"),4),MID(TEXT(INDEX('05_KAPA'!$T:$T,$A582),"0"),5,2),RIGHT(TEXT(INDEX('05_KAPA'!$T:$T,$A582),"0"),2)),""))</f>
        <v/>
      </c>
      <c r="K582">
        <f>IF(C582="","",IF('02_대상물건입력'!$B$5="",1,IF(ISNUMBER(SEARCH('02_대상물건입력'!$B$5,C582)),1,0)))</f>
        <v/>
      </c>
      <c r="L582">
        <f>IF(C582="","",IF('02_대상물건입력'!$B$6="",1,IF(ISNUMBER(SEARCH('02_대상물건입력'!$B$6,C582)),1,0)))</f>
        <v/>
      </c>
      <c r="M582">
        <f>IF(E582="","",IF('02_대상물건입력'!$B$8="",0,IF(ISNUMBER(SEARCH('02_대상물건입력'!$B$8,E582)),1,0)))</f>
        <v/>
      </c>
      <c r="N582">
        <f>IF(B582="","",IF(B582="담보",1,0))</f>
        <v/>
      </c>
      <c r="O582">
        <f>IFERROR(ABS(G582-'02_대상물건입력'!$B$11)/'02_대상물건입력'!$B$11,"")</f>
        <v/>
      </c>
      <c r="P582">
        <f>IFERROR(ABS('01_설정'!$B$4-H582),"")</f>
        <v/>
      </c>
      <c r="Q582">
        <f>IFERROR(ABS(YEAR(J582)-YEAR('02_대상물건입력'!$B$14)),"")</f>
        <v/>
      </c>
      <c r="R582">
        <f>IF(AND(G582&gt;0,H582&gt;0,I582&gt;0,N582=1,IF('01_설정'!$B$10=1,K582=1,TRUE()),O582&lt;='01_설정'!$B$5,P582&lt;='01_설정'!$B$7,Q582&lt;='01_설정'!$B$8),"Y","")</f>
        <v/>
      </c>
      <c r="S582">
        <f>IF(R582&lt;&gt;"Y","",MAX(0,(1-O582/'01_설정'!$B$5))*'01_설정'!$B$14+MAX(0,(1-P582/'01_설정'!$B$7))*'01_설정'!$B$16+MAX(0,(1-Q582/'01_설정'!$B$8))*'01_설정'!$B$17+L582*'01_설정'!$B$11+M582*'01_설정'!$B$12+N582*50)</f>
        <v/>
      </c>
      <c r="T582">
        <f>IF(S582="","",1+COUNTIFS($S$31:$S$1030,"&gt;"&amp;S582)+COUNTIFS($S$31:S582,S582)-1)</f>
        <v/>
      </c>
    </row>
    <row r="583" hidden="1" ht="16.5" customHeight="1">
      <c r="A583">
        <f>IF(COUNTA('05_KAPA'!$A554:$AO554)=0,"",556)</f>
        <v/>
      </c>
      <c r="B583">
        <f>IF($A583="","",INDEX('05_KAPA'!$B:$B,$A583))</f>
        <v/>
      </c>
      <c r="C583">
        <f>IF($A583="","",INDEX('05_KAPA'!$F:$F,$A583))</f>
        <v/>
      </c>
      <c r="D583">
        <f>IF($A583="","",INDEX('05_KAPA'!$H:$H,$A583))</f>
        <v/>
      </c>
      <c r="E583">
        <f>IF($A583="","",INDEX('05_KAPA'!$K:$K,$A583))</f>
        <v/>
      </c>
      <c r="F583">
        <f>IF($A583="","",INDEX('05_KAPA'!$L:$L,$A583))</f>
        <v/>
      </c>
      <c r="G583">
        <f>IF($A583="","",INDEX('05_KAPA'!$I:$I,$A583))</f>
        <v/>
      </c>
      <c r="H583" s="202">
        <f>IF($A583="","",INDEX('05_KAPA'!$P:$P,$A583))</f>
        <v/>
      </c>
      <c r="I583" s="118">
        <f>IF($A583="","",INDEX('05_KAPA'!$O:$O,$A583))</f>
        <v/>
      </c>
      <c r="J583" s="202">
        <f>IF($A583="","",IFERROR(DATE(LEFT(TEXT(INDEX('05_KAPA'!$T:$T,$A583),"0"),4),MID(TEXT(INDEX('05_KAPA'!$T:$T,$A583),"0"),5,2),RIGHT(TEXT(INDEX('05_KAPA'!$T:$T,$A583),"0"),2)),""))</f>
        <v/>
      </c>
      <c r="K583">
        <f>IF(C583="","",IF('02_대상물건입력'!$B$5="",1,IF(ISNUMBER(SEARCH('02_대상물건입력'!$B$5,C583)),1,0)))</f>
        <v/>
      </c>
      <c r="L583">
        <f>IF(C583="","",IF('02_대상물건입력'!$B$6="",1,IF(ISNUMBER(SEARCH('02_대상물건입력'!$B$6,C583)),1,0)))</f>
        <v/>
      </c>
      <c r="M583">
        <f>IF(E583="","",IF('02_대상물건입력'!$B$8="",0,IF(ISNUMBER(SEARCH('02_대상물건입력'!$B$8,E583)),1,0)))</f>
        <v/>
      </c>
      <c r="N583">
        <f>IF(B583="","",IF(B583="담보",1,0))</f>
        <v/>
      </c>
      <c r="O583">
        <f>IFERROR(ABS(G583-'02_대상물건입력'!$B$11)/'02_대상물건입력'!$B$11,"")</f>
        <v/>
      </c>
      <c r="P583">
        <f>IFERROR(ABS('01_설정'!$B$4-H583),"")</f>
        <v/>
      </c>
      <c r="Q583">
        <f>IFERROR(ABS(YEAR(J583)-YEAR('02_대상물건입력'!$B$14)),"")</f>
        <v/>
      </c>
      <c r="R583">
        <f>IF(AND(G583&gt;0,H583&gt;0,I583&gt;0,N583=1,IF('01_설정'!$B$10=1,K583=1,TRUE()),O583&lt;='01_설정'!$B$5,P583&lt;='01_설정'!$B$7,Q583&lt;='01_설정'!$B$8),"Y","")</f>
        <v/>
      </c>
      <c r="S583">
        <f>IF(R583&lt;&gt;"Y","",MAX(0,(1-O583/'01_설정'!$B$5))*'01_설정'!$B$14+MAX(0,(1-P583/'01_설정'!$B$7))*'01_설정'!$B$16+MAX(0,(1-Q583/'01_설정'!$B$8))*'01_설정'!$B$17+L583*'01_설정'!$B$11+M583*'01_설정'!$B$12+N583*50)</f>
        <v/>
      </c>
      <c r="T583">
        <f>IF(S583="","",1+COUNTIFS($S$31:$S$1030,"&gt;"&amp;S583)+COUNTIFS($S$31:S583,S583)-1)</f>
        <v/>
      </c>
    </row>
    <row r="584" hidden="1" ht="16.5" customHeight="1">
      <c r="A584">
        <f>IF(COUNTA('05_KAPA'!$A555:$AO555)=0,"",557)</f>
        <v/>
      </c>
      <c r="B584">
        <f>IF($A584="","",INDEX('05_KAPA'!$B:$B,$A584))</f>
        <v/>
      </c>
      <c r="C584">
        <f>IF($A584="","",INDEX('05_KAPA'!$F:$F,$A584))</f>
        <v/>
      </c>
      <c r="D584">
        <f>IF($A584="","",INDEX('05_KAPA'!$H:$H,$A584))</f>
        <v/>
      </c>
      <c r="E584">
        <f>IF($A584="","",INDEX('05_KAPA'!$K:$K,$A584))</f>
        <v/>
      </c>
      <c r="F584">
        <f>IF($A584="","",INDEX('05_KAPA'!$L:$L,$A584))</f>
        <v/>
      </c>
      <c r="G584">
        <f>IF($A584="","",INDEX('05_KAPA'!$I:$I,$A584))</f>
        <v/>
      </c>
      <c r="H584" s="202">
        <f>IF($A584="","",INDEX('05_KAPA'!$P:$P,$A584))</f>
        <v/>
      </c>
      <c r="I584" s="118">
        <f>IF($A584="","",INDEX('05_KAPA'!$O:$O,$A584))</f>
        <v/>
      </c>
      <c r="J584" s="202">
        <f>IF($A584="","",IFERROR(DATE(LEFT(TEXT(INDEX('05_KAPA'!$T:$T,$A584),"0"),4),MID(TEXT(INDEX('05_KAPA'!$T:$T,$A584),"0"),5,2),RIGHT(TEXT(INDEX('05_KAPA'!$T:$T,$A584),"0"),2)),""))</f>
        <v/>
      </c>
      <c r="K584">
        <f>IF(C584="","",IF('02_대상물건입력'!$B$5="",1,IF(ISNUMBER(SEARCH('02_대상물건입력'!$B$5,C584)),1,0)))</f>
        <v/>
      </c>
      <c r="L584">
        <f>IF(C584="","",IF('02_대상물건입력'!$B$6="",1,IF(ISNUMBER(SEARCH('02_대상물건입력'!$B$6,C584)),1,0)))</f>
        <v/>
      </c>
      <c r="M584">
        <f>IF(E584="","",IF('02_대상물건입력'!$B$8="",0,IF(ISNUMBER(SEARCH('02_대상물건입력'!$B$8,E584)),1,0)))</f>
        <v/>
      </c>
      <c r="N584">
        <f>IF(B584="","",IF(B584="담보",1,0))</f>
        <v/>
      </c>
      <c r="O584">
        <f>IFERROR(ABS(G584-'02_대상물건입력'!$B$11)/'02_대상물건입력'!$B$11,"")</f>
        <v/>
      </c>
      <c r="P584">
        <f>IFERROR(ABS('01_설정'!$B$4-H584),"")</f>
        <v/>
      </c>
      <c r="Q584">
        <f>IFERROR(ABS(YEAR(J584)-YEAR('02_대상물건입력'!$B$14)),"")</f>
        <v/>
      </c>
      <c r="R584">
        <f>IF(AND(G584&gt;0,H584&gt;0,I584&gt;0,N584=1,IF('01_설정'!$B$10=1,K584=1,TRUE()),O584&lt;='01_설정'!$B$5,P584&lt;='01_설정'!$B$7,Q584&lt;='01_설정'!$B$8),"Y","")</f>
        <v/>
      </c>
      <c r="S584">
        <f>IF(R584&lt;&gt;"Y","",MAX(0,(1-O584/'01_설정'!$B$5))*'01_설정'!$B$14+MAX(0,(1-P584/'01_설정'!$B$7))*'01_설정'!$B$16+MAX(0,(1-Q584/'01_설정'!$B$8))*'01_설정'!$B$17+L584*'01_설정'!$B$11+M584*'01_설정'!$B$12+N584*50)</f>
        <v/>
      </c>
      <c r="T584">
        <f>IF(S584="","",1+COUNTIFS($S$31:$S$1030,"&gt;"&amp;S584)+COUNTIFS($S$31:S584,S584)-1)</f>
        <v/>
      </c>
    </row>
    <row r="585" hidden="1" ht="16.5" customHeight="1">
      <c r="A585">
        <f>IF(COUNTA('05_KAPA'!$A556:$AO556)=0,"",558)</f>
        <v/>
      </c>
      <c r="B585">
        <f>IF($A585="","",INDEX('05_KAPA'!$B:$B,$A585))</f>
        <v/>
      </c>
      <c r="C585">
        <f>IF($A585="","",INDEX('05_KAPA'!$F:$F,$A585))</f>
        <v/>
      </c>
      <c r="D585">
        <f>IF($A585="","",INDEX('05_KAPA'!$H:$H,$A585))</f>
        <v/>
      </c>
      <c r="E585">
        <f>IF($A585="","",INDEX('05_KAPA'!$K:$K,$A585))</f>
        <v/>
      </c>
      <c r="F585">
        <f>IF($A585="","",INDEX('05_KAPA'!$L:$L,$A585))</f>
        <v/>
      </c>
      <c r="G585">
        <f>IF($A585="","",INDEX('05_KAPA'!$I:$I,$A585))</f>
        <v/>
      </c>
      <c r="H585" s="202">
        <f>IF($A585="","",INDEX('05_KAPA'!$P:$P,$A585))</f>
        <v/>
      </c>
      <c r="I585" s="118">
        <f>IF($A585="","",INDEX('05_KAPA'!$O:$O,$A585))</f>
        <v/>
      </c>
      <c r="J585" s="202">
        <f>IF($A585="","",IFERROR(DATE(LEFT(TEXT(INDEX('05_KAPA'!$T:$T,$A585),"0"),4),MID(TEXT(INDEX('05_KAPA'!$T:$T,$A585),"0"),5,2),RIGHT(TEXT(INDEX('05_KAPA'!$T:$T,$A585),"0"),2)),""))</f>
        <v/>
      </c>
      <c r="K585">
        <f>IF(C585="","",IF('02_대상물건입력'!$B$5="",1,IF(ISNUMBER(SEARCH('02_대상물건입력'!$B$5,C585)),1,0)))</f>
        <v/>
      </c>
      <c r="L585">
        <f>IF(C585="","",IF('02_대상물건입력'!$B$6="",1,IF(ISNUMBER(SEARCH('02_대상물건입력'!$B$6,C585)),1,0)))</f>
        <v/>
      </c>
      <c r="M585">
        <f>IF(E585="","",IF('02_대상물건입력'!$B$8="",0,IF(ISNUMBER(SEARCH('02_대상물건입력'!$B$8,E585)),1,0)))</f>
        <v/>
      </c>
      <c r="N585">
        <f>IF(B585="","",IF(B585="담보",1,0))</f>
        <v/>
      </c>
      <c r="O585">
        <f>IFERROR(ABS(G585-'02_대상물건입력'!$B$11)/'02_대상물건입력'!$B$11,"")</f>
        <v/>
      </c>
      <c r="P585">
        <f>IFERROR(ABS('01_설정'!$B$4-H585),"")</f>
        <v/>
      </c>
      <c r="Q585">
        <f>IFERROR(ABS(YEAR(J585)-YEAR('02_대상물건입력'!$B$14)),"")</f>
        <v/>
      </c>
      <c r="R585">
        <f>IF(AND(G585&gt;0,H585&gt;0,I585&gt;0,N585=1,IF('01_설정'!$B$10=1,K585=1,TRUE()),O585&lt;='01_설정'!$B$5,P585&lt;='01_설정'!$B$7,Q585&lt;='01_설정'!$B$8),"Y","")</f>
        <v/>
      </c>
      <c r="S585">
        <f>IF(R585&lt;&gt;"Y","",MAX(0,(1-O585/'01_설정'!$B$5))*'01_설정'!$B$14+MAX(0,(1-P585/'01_설정'!$B$7))*'01_설정'!$B$16+MAX(0,(1-Q585/'01_설정'!$B$8))*'01_설정'!$B$17+L585*'01_설정'!$B$11+M585*'01_설정'!$B$12+N585*50)</f>
        <v/>
      </c>
      <c r="T585">
        <f>IF(S585="","",1+COUNTIFS($S$31:$S$1030,"&gt;"&amp;S585)+COUNTIFS($S$31:S585,S585)-1)</f>
        <v/>
      </c>
    </row>
    <row r="586" hidden="1" ht="16.5" customHeight="1">
      <c r="A586">
        <f>IF(COUNTA('05_KAPA'!$A557:$AO557)=0,"",559)</f>
        <v/>
      </c>
      <c r="B586">
        <f>IF($A586="","",INDEX('05_KAPA'!$B:$B,$A586))</f>
        <v/>
      </c>
      <c r="C586">
        <f>IF($A586="","",INDEX('05_KAPA'!$F:$F,$A586))</f>
        <v/>
      </c>
      <c r="D586">
        <f>IF($A586="","",INDEX('05_KAPA'!$H:$H,$A586))</f>
        <v/>
      </c>
      <c r="E586">
        <f>IF($A586="","",INDEX('05_KAPA'!$K:$K,$A586))</f>
        <v/>
      </c>
      <c r="F586">
        <f>IF($A586="","",INDEX('05_KAPA'!$L:$L,$A586))</f>
        <v/>
      </c>
      <c r="G586">
        <f>IF($A586="","",INDEX('05_KAPA'!$I:$I,$A586))</f>
        <v/>
      </c>
      <c r="H586" s="202">
        <f>IF($A586="","",INDEX('05_KAPA'!$P:$P,$A586))</f>
        <v/>
      </c>
      <c r="I586" s="118">
        <f>IF($A586="","",INDEX('05_KAPA'!$O:$O,$A586))</f>
        <v/>
      </c>
      <c r="J586" s="202">
        <f>IF($A586="","",IFERROR(DATE(LEFT(TEXT(INDEX('05_KAPA'!$T:$T,$A586),"0"),4),MID(TEXT(INDEX('05_KAPA'!$T:$T,$A586),"0"),5,2),RIGHT(TEXT(INDEX('05_KAPA'!$T:$T,$A586),"0"),2)),""))</f>
        <v/>
      </c>
      <c r="K586">
        <f>IF(C586="","",IF('02_대상물건입력'!$B$5="",1,IF(ISNUMBER(SEARCH('02_대상물건입력'!$B$5,C586)),1,0)))</f>
        <v/>
      </c>
      <c r="L586">
        <f>IF(C586="","",IF('02_대상물건입력'!$B$6="",1,IF(ISNUMBER(SEARCH('02_대상물건입력'!$B$6,C586)),1,0)))</f>
        <v/>
      </c>
      <c r="M586">
        <f>IF(E586="","",IF('02_대상물건입력'!$B$8="",0,IF(ISNUMBER(SEARCH('02_대상물건입력'!$B$8,E586)),1,0)))</f>
        <v/>
      </c>
      <c r="N586">
        <f>IF(B586="","",IF(B586="담보",1,0))</f>
        <v/>
      </c>
      <c r="O586">
        <f>IFERROR(ABS(G586-'02_대상물건입력'!$B$11)/'02_대상물건입력'!$B$11,"")</f>
        <v/>
      </c>
      <c r="P586">
        <f>IFERROR(ABS('01_설정'!$B$4-H586),"")</f>
        <v/>
      </c>
      <c r="Q586">
        <f>IFERROR(ABS(YEAR(J586)-YEAR('02_대상물건입력'!$B$14)),"")</f>
        <v/>
      </c>
      <c r="R586">
        <f>IF(AND(G586&gt;0,H586&gt;0,I586&gt;0,N586=1,IF('01_설정'!$B$10=1,K586=1,TRUE()),O586&lt;='01_설정'!$B$5,P586&lt;='01_설정'!$B$7,Q586&lt;='01_설정'!$B$8),"Y","")</f>
        <v/>
      </c>
      <c r="S586">
        <f>IF(R586&lt;&gt;"Y","",MAX(0,(1-O586/'01_설정'!$B$5))*'01_설정'!$B$14+MAX(0,(1-P586/'01_설정'!$B$7))*'01_설정'!$B$16+MAX(0,(1-Q586/'01_설정'!$B$8))*'01_설정'!$B$17+L586*'01_설정'!$B$11+M586*'01_설정'!$B$12+N586*50)</f>
        <v/>
      </c>
      <c r="T586">
        <f>IF(S586="","",1+COUNTIFS($S$31:$S$1030,"&gt;"&amp;S586)+COUNTIFS($S$31:S586,S586)-1)</f>
        <v/>
      </c>
    </row>
    <row r="587" hidden="1" ht="16.5" customHeight="1">
      <c r="A587">
        <f>IF(COUNTA('05_KAPA'!$A558:$AO558)=0,"",560)</f>
        <v/>
      </c>
      <c r="B587">
        <f>IF($A587="","",INDEX('05_KAPA'!$B:$B,$A587))</f>
        <v/>
      </c>
      <c r="C587">
        <f>IF($A587="","",INDEX('05_KAPA'!$F:$F,$A587))</f>
        <v/>
      </c>
      <c r="D587">
        <f>IF($A587="","",INDEX('05_KAPA'!$H:$H,$A587))</f>
        <v/>
      </c>
      <c r="E587">
        <f>IF($A587="","",INDEX('05_KAPA'!$K:$K,$A587))</f>
        <v/>
      </c>
      <c r="F587">
        <f>IF($A587="","",INDEX('05_KAPA'!$L:$L,$A587))</f>
        <v/>
      </c>
      <c r="G587">
        <f>IF($A587="","",INDEX('05_KAPA'!$I:$I,$A587))</f>
        <v/>
      </c>
      <c r="H587" s="202">
        <f>IF($A587="","",INDEX('05_KAPA'!$P:$P,$A587))</f>
        <v/>
      </c>
      <c r="I587" s="118">
        <f>IF($A587="","",INDEX('05_KAPA'!$O:$O,$A587))</f>
        <v/>
      </c>
      <c r="J587" s="202">
        <f>IF($A587="","",IFERROR(DATE(LEFT(TEXT(INDEX('05_KAPA'!$T:$T,$A587),"0"),4),MID(TEXT(INDEX('05_KAPA'!$T:$T,$A587),"0"),5,2),RIGHT(TEXT(INDEX('05_KAPA'!$T:$T,$A587),"0"),2)),""))</f>
        <v/>
      </c>
      <c r="K587">
        <f>IF(C587="","",IF('02_대상물건입력'!$B$5="",1,IF(ISNUMBER(SEARCH('02_대상물건입력'!$B$5,C587)),1,0)))</f>
        <v/>
      </c>
      <c r="L587">
        <f>IF(C587="","",IF('02_대상물건입력'!$B$6="",1,IF(ISNUMBER(SEARCH('02_대상물건입력'!$B$6,C587)),1,0)))</f>
        <v/>
      </c>
      <c r="M587">
        <f>IF(E587="","",IF('02_대상물건입력'!$B$8="",0,IF(ISNUMBER(SEARCH('02_대상물건입력'!$B$8,E587)),1,0)))</f>
        <v/>
      </c>
      <c r="N587">
        <f>IF(B587="","",IF(B587="담보",1,0))</f>
        <v/>
      </c>
      <c r="O587">
        <f>IFERROR(ABS(G587-'02_대상물건입력'!$B$11)/'02_대상물건입력'!$B$11,"")</f>
        <v/>
      </c>
      <c r="P587">
        <f>IFERROR(ABS('01_설정'!$B$4-H587),"")</f>
        <v/>
      </c>
      <c r="Q587">
        <f>IFERROR(ABS(YEAR(J587)-YEAR('02_대상물건입력'!$B$14)),"")</f>
        <v/>
      </c>
      <c r="R587">
        <f>IF(AND(G587&gt;0,H587&gt;0,I587&gt;0,N587=1,IF('01_설정'!$B$10=1,K587=1,TRUE()),O587&lt;='01_설정'!$B$5,P587&lt;='01_설정'!$B$7,Q587&lt;='01_설정'!$B$8),"Y","")</f>
        <v/>
      </c>
      <c r="S587">
        <f>IF(R587&lt;&gt;"Y","",MAX(0,(1-O587/'01_설정'!$B$5))*'01_설정'!$B$14+MAX(0,(1-P587/'01_설정'!$B$7))*'01_설정'!$B$16+MAX(0,(1-Q587/'01_설정'!$B$8))*'01_설정'!$B$17+L587*'01_설정'!$B$11+M587*'01_설정'!$B$12+N587*50)</f>
        <v/>
      </c>
      <c r="T587">
        <f>IF(S587="","",1+COUNTIFS($S$31:$S$1030,"&gt;"&amp;S587)+COUNTIFS($S$31:S587,S587)-1)</f>
        <v/>
      </c>
    </row>
    <row r="588" hidden="1" ht="16.5" customHeight="1">
      <c r="A588">
        <f>IF(COUNTA('05_KAPA'!$A559:$AO559)=0,"",561)</f>
        <v/>
      </c>
      <c r="B588">
        <f>IF($A588="","",INDEX('05_KAPA'!$B:$B,$A588))</f>
        <v/>
      </c>
      <c r="C588">
        <f>IF($A588="","",INDEX('05_KAPA'!$F:$F,$A588))</f>
        <v/>
      </c>
      <c r="D588">
        <f>IF($A588="","",INDEX('05_KAPA'!$H:$H,$A588))</f>
        <v/>
      </c>
      <c r="E588">
        <f>IF($A588="","",INDEX('05_KAPA'!$K:$K,$A588))</f>
        <v/>
      </c>
      <c r="F588">
        <f>IF($A588="","",INDEX('05_KAPA'!$L:$L,$A588))</f>
        <v/>
      </c>
      <c r="G588">
        <f>IF($A588="","",INDEX('05_KAPA'!$I:$I,$A588))</f>
        <v/>
      </c>
      <c r="H588" s="202">
        <f>IF($A588="","",INDEX('05_KAPA'!$P:$P,$A588))</f>
        <v/>
      </c>
      <c r="I588" s="118">
        <f>IF($A588="","",INDEX('05_KAPA'!$O:$O,$A588))</f>
        <v/>
      </c>
      <c r="J588" s="202">
        <f>IF($A588="","",IFERROR(DATE(LEFT(TEXT(INDEX('05_KAPA'!$T:$T,$A588),"0"),4),MID(TEXT(INDEX('05_KAPA'!$T:$T,$A588),"0"),5,2),RIGHT(TEXT(INDEX('05_KAPA'!$T:$T,$A588),"0"),2)),""))</f>
        <v/>
      </c>
      <c r="K588">
        <f>IF(C588="","",IF('02_대상물건입력'!$B$5="",1,IF(ISNUMBER(SEARCH('02_대상물건입력'!$B$5,C588)),1,0)))</f>
        <v/>
      </c>
      <c r="L588">
        <f>IF(C588="","",IF('02_대상물건입력'!$B$6="",1,IF(ISNUMBER(SEARCH('02_대상물건입력'!$B$6,C588)),1,0)))</f>
        <v/>
      </c>
      <c r="M588">
        <f>IF(E588="","",IF('02_대상물건입력'!$B$8="",0,IF(ISNUMBER(SEARCH('02_대상물건입력'!$B$8,E588)),1,0)))</f>
        <v/>
      </c>
      <c r="N588">
        <f>IF(B588="","",IF(B588="담보",1,0))</f>
        <v/>
      </c>
      <c r="O588">
        <f>IFERROR(ABS(G588-'02_대상물건입력'!$B$11)/'02_대상물건입력'!$B$11,"")</f>
        <v/>
      </c>
      <c r="P588">
        <f>IFERROR(ABS('01_설정'!$B$4-H588),"")</f>
        <v/>
      </c>
      <c r="Q588">
        <f>IFERROR(ABS(YEAR(J588)-YEAR('02_대상물건입력'!$B$14)),"")</f>
        <v/>
      </c>
      <c r="R588">
        <f>IF(AND(G588&gt;0,H588&gt;0,I588&gt;0,N588=1,IF('01_설정'!$B$10=1,K588=1,TRUE()),O588&lt;='01_설정'!$B$5,P588&lt;='01_설정'!$B$7,Q588&lt;='01_설정'!$B$8),"Y","")</f>
        <v/>
      </c>
      <c r="S588">
        <f>IF(R588&lt;&gt;"Y","",MAX(0,(1-O588/'01_설정'!$B$5))*'01_설정'!$B$14+MAX(0,(1-P588/'01_설정'!$B$7))*'01_설정'!$B$16+MAX(0,(1-Q588/'01_설정'!$B$8))*'01_설정'!$B$17+L588*'01_설정'!$B$11+M588*'01_설정'!$B$12+N588*50)</f>
        <v/>
      </c>
      <c r="T588">
        <f>IF(S588="","",1+COUNTIFS($S$31:$S$1030,"&gt;"&amp;S588)+COUNTIFS($S$31:S588,S588)-1)</f>
        <v/>
      </c>
    </row>
    <row r="589" hidden="1" ht="16.5" customHeight="1">
      <c r="A589">
        <f>IF(COUNTA('05_KAPA'!$A560:$AO560)=0,"",562)</f>
        <v/>
      </c>
      <c r="B589">
        <f>IF($A589="","",INDEX('05_KAPA'!$B:$B,$A589))</f>
        <v/>
      </c>
      <c r="C589">
        <f>IF($A589="","",INDEX('05_KAPA'!$F:$F,$A589))</f>
        <v/>
      </c>
      <c r="D589">
        <f>IF($A589="","",INDEX('05_KAPA'!$H:$H,$A589))</f>
        <v/>
      </c>
      <c r="E589">
        <f>IF($A589="","",INDEX('05_KAPA'!$K:$K,$A589))</f>
        <v/>
      </c>
      <c r="F589">
        <f>IF($A589="","",INDEX('05_KAPA'!$L:$L,$A589))</f>
        <v/>
      </c>
      <c r="G589">
        <f>IF($A589="","",INDEX('05_KAPA'!$I:$I,$A589))</f>
        <v/>
      </c>
      <c r="H589" s="202">
        <f>IF($A589="","",INDEX('05_KAPA'!$P:$P,$A589))</f>
        <v/>
      </c>
      <c r="I589" s="118">
        <f>IF($A589="","",INDEX('05_KAPA'!$O:$O,$A589))</f>
        <v/>
      </c>
      <c r="J589" s="202">
        <f>IF($A589="","",IFERROR(DATE(LEFT(TEXT(INDEX('05_KAPA'!$T:$T,$A589),"0"),4),MID(TEXT(INDEX('05_KAPA'!$T:$T,$A589),"0"),5,2),RIGHT(TEXT(INDEX('05_KAPA'!$T:$T,$A589),"0"),2)),""))</f>
        <v/>
      </c>
      <c r="K589">
        <f>IF(C589="","",IF('02_대상물건입력'!$B$5="",1,IF(ISNUMBER(SEARCH('02_대상물건입력'!$B$5,C589)),1,0)))</f>
        <v/>
      </c>
      <c r="L589">
        <f>IF(C589="","",IF('02_대상물건입력'!$B$6="",1,IF(ISNUMBER(SEARCH('02_대상물건입력'!$B$6,C589)),1,0)))</f>
        <v/>
      </c>
      <c r="M589">
        <f>IF(E589="","",IF('02_대상물건입력'!$B$8="",0,IF(ISNUMBER(SEARCH('02_대상물건입력'!$B$8,E589)),1,0)))</f>
        <v/>
      </c>
      <c r="N589">
        <f>IF(B589="","",IF(B589="담보",1,0))</f>
        <v/>
      </c>
      <c r="O589">
        <f>IFERROR(ABS(G589-'02_대상물건입력'!$B$11)/'02_대상물건입력'!$B$11,"")</f>
        <v/>
      </c>
      <c r="P589">
        <f>IFERROR(ABS('01_설정'!$B$4-H589),"")</f>
        <v/>
      </c>
      <c r="Q589">
        <f>IFERROR(ABS(YEAR(J589)-YEAR('02_대상물건입력'!$B$14)),"")</f>
        <v/>
      </c>
      <c r="R589">
        <f>IF(AND(G589&gt;0,H589&gt;0,I589&gt;0,N589=1,IF('01_설정'!$B$10=1,K589=1,TRUE()),O589&lt;='01_설정'!$B$5,P589&lt;='01_설정'!$B$7,Q589&lt;='01_설정'!$B$8),"Y","")</f>
        <v/>
      </c>
      <c r="S589">
        <f>IF(R589&lt;&gt;"Y","",MAX(0,(1-O589/'01_설정'!$B$5))*'01_설정'!$B$14+MAX(0,(1-P589/'01_설정'!$B$7))*'01_설정'!$B$16+MAX(0,(1-Q589/'01_설정'!$B$8))*'01_설정'!$B$17+L589*'01_설정'!$B$11+M589*'01_설정'!$B$12+N589*50)</f>
        <v/>
      </c>
      <c r="T589">
        <f>IF(S589="","",1+COUNTIFS($S$31:$S$1030,"&gt;"&amp;S589)+COUNTIFS($S$31:S589,S589)-1)</f>
        <v/>
      </c>
    </row>
    <row r="590" hidden="1" ht="16.5" customHeight="1">
      <c r="A590">
        <f>IF(COUNTA('05_KAPA'!$A561:$AO561)=0,"",563)</f>
        <v/>
      </c>
      <c r="B590">
        <f>IF($A590="","",INDEX('05_KAPA'!$B:$B,$A590))</f>
        <v/>
      </c>
      <c r="C590">
        <f>IF($A590="","",INDEX('05_KAPA'!$F:$F,$A590))</f>
        <v/>
      </c>
      <c r="D590">
        <f>IF($A590="","",INDEX('05_KAPA'!$H:$H,$A590))</f>
        <v/>
      </c>
      <c r="E590">
        <f>IF($A590="","",INDEX('05_KAPA'!$K:$K,$A590))</f>
        <v/>
      </c>
      <c r="F590">
        <f>IF($A590="","",INDEX('05_KAPA'!$L:$L,$A590))</f>
        <v/>
      </c>
      <c r="G590">
        <f>IF($A590="","",INDEX('05_KAPA'!$I:$I,$A590))</f>
        <v/>
      </c>
      <c r="H590" s="202">
        <f>IF($A590="","",INDEX('05_KAPA'!$P:$P,$A590))</f>
        <v/>
      </c>
      <c r="I590" s="118">
        <f>IF($A590="","",INDEX('05_KAPA'!$O:$O,$A590))</f>
        <v/>
      </c>
      <c r="J590" s="202">
        <f>IF($A590="","",IFERROR(DATE(LEFT(TEXT(INDEX('05_KAPA'!$T:$T,$A590),"0"),4),MID(TEXT(INDEX('05_KAPA'!$T:$T,$A590),"0"),5,2),RIGHT(TEXT(INDEX('05_KAPA'!$T:$T,$A590),"0"),2)),""))</f>
        <v/>
      </c>
      <c r="K590">
        <f>IF(C590="","",IF('02_대상물건입력'!$B$5="",1,IF(ISNUMBER(SEARCH('02_대상물건입력'!$B$5,C590)),1,0)))</f>
        <v/>
      </c>
      <c r="L590">
        <f>IF(C590="","",IF('02_대상물건입력'!$B$6="",1,IF(ISNUMBER(SEARCH('02_대상물건입력'!$B$6,C590)),1,0)))</f>
        <v/>
      </c>
      <c r="M590">
        <f>IF(E590="","",IF('02_대상물건입력'!$B$8="",0,IF(ISNUMBER(SEARCH('02_대상물건입력'!$B$8,E590)),1,0)))</f>
        <v/>
      </c>
      <c r="N590">
        <f>IF(B590="","",IF(B590="담보",1,0))</f>
        <v/>
      </c>
      <c r="O590">
        <f>IFERROR(ABS(G590-'02_대상물건입력'!$B$11)/'02_대상물건입력'!$B$11,"")</f>
        <v/>
      </c>
      <c r="P590">
        <f>IFERROR(ABS('01_설정'!$B$4-H590),"")</f>
        <v/>
      </c>
      <c r="Q590">
        <f>IFERROR(ABS(YEAR(J590)-YEAR('02_대상물건입력'!$B$14)),"")</f>
        <v/>
      </c>
      <c r="R590">
        <f>IF(AND(G590&gt;0,H590&gt;0,I590&gt;0,N590=1,IF('01_설정'!$B$10=1,K590=1,TRUE()),O590&lt;='01_설정'!$B$5,P590&lt;='01_설정'!$B$7,Q590&lt;='01_설정'!$B$8),"Y","")</f>
        <v/>
      </c>
      <c r="S590">
        <f>IF(R590&lt;&gt;"Y","",MAX(0,(1-O590/'01_설정'!$B$5))*'01_설정'!$B$14+MAX(0,(1-P590/'01_설정'!$B$7))*'01_설정'!$B$16+MAX(0,(1-Q590/'01_설정'!$B$8))*'01_설정'!$B$17+L590*'01_설정'!$B$11+M590*'01_설정'!$B$12+N590*50)</f>
        <v/>
      </c>
      <c r="T590">
        <f>IF(S590="","",1+COUNTIFS($S$31:$S$1030,"&gt;"&amp;S590)+COUNTIFS($S$31:S590,S590)-1)</f>
        <v/>
      </c>
    </row>
    <row r="591" hidden="1" ht="16.5" customHeight="1">
      <c r="A591">
        <f>IF(COUNTA('05_KAPA'!$A562:$AO562)=0,"",564)</f>
        <v/>
      </c>
      <c r="B591">
        <f>IF($A591="","",INDEX('05_KAPA'!$B:$B,$A591))</f>
        <v/>
      </c>
      <c r="C591">
        <f>IF($A591="","",INDEX('05_KAPA'!$F:$F,$A591))</f>
        <v/>
      </c>
      <c r="D591">
        <f>IF($A591="","",INDEX('05_KAPA'!$H:$H,$A591))</f>
        <v/>
      </c>
      <c r="E591">
        <f>IF($A591="","",INDEX('05_KAPA'!$K:$K,$A591))</f>
        <v/>
      </c>
      <c r="F591">
        <f>IF($A591="","",INDEX('05_KAPA'!$L:$L,$A591))</f>
        <v/>
      </c>
      <c r="G591">
        <f>IF($A591="","",INDEX('05_KAPA'!$I:$I,$A591))</f>
        <v/>
      </c>
      <c r="H591" s="202">
        <f>IF($A591="","",INDEX('05_KAPA'!$P:$P,$A591))</f>
        <v/>
      </c>
      <c r="I591" s="118">
        <f>IF($A591="","",INDEX('05_KAPA'!$O:$O,$A591))</f>
        <v/>
      </c>
      <c r="J591" s="202">
        <f>IF($A591="","",IFERROR(DATE(LEFT(TEXT(INDEX('05_KAPA'!$T:$T,$A591),"0"),4),MID(TEXT(INDEX('05_KAPA'!$T:$T,$A591),"0"),5,2),RIGHT(TEXT(INDEX('05_KAPA'!$T:$T,$A591),"0"),2)),""))</f>
        <v/>
      </c>
      <c r="K591">
        <f>IF(C591="","",IF('02_대상물건입력'!$B$5="",1,IF(ISNUMBER(SEARCH('02_대상물건입력'!$B$5,C591)),1,0)))</f>
        <v/>
      </c>
      <c r="L591">
        <f>IF(C591="","",IF('02_대상물건입력'!$B$6="",1,IF(ISNUMBER(SEARCH('02_대상물건입력'!$B$6,C591)),1,0)))</f>
        <v/>
      </c>
      <c r="M591">
        <f>IF(E591="","",IF('02_대상물건입력'!$B$8="",0,IF(ISNUMBER(SEARCH('02_대상물건입력'!$B$8,E591)),1,0)))</f>
        <v/>
      </c>
      <c r="N591">
        <f>IF(B591="","",IF(B591="담보",1,0))</f>
        <v/>
      </c>
      <c r="O591">
        <f>IFERROR(ABS(G591-'02_대상물건입력'!$B$11)/'02_대상물건입력'!$B$11,"")</f>
        <v/>
      </c>
      <c r="P591">
        <f>IFERROR(ABS('01_설정'!$B$4-H591),"")</f>
        <v/>
      </c>
      <c r="Q591">
        <f>IFERROR(ABS(YEAR(J591)-YEAR('02_대상물건입력'!$B$14)),"")</f>
        <v/>
      </c>
      <c r="R591">
        <f>IF(AND(G591&gt;0,H591&gt;0,I591&gt;0,N591=1,IF('01_설정'!$B$10=1,K591=1,TRUE()),O591&lt;='01_설정'!$B$5,P591&lt;='01_설정'!$B$7,Q591&lt;='01_설정'!$B$8),"Y","")</f>
        <v/>
      </c>
      <c r="S591">
        <f>IF(R591&lt;&gt;"Y","",MAX(0,(1-O591/'01_설정'!$B$5))*'01_설정'!$B$14+MAX(0,(1-P591/'01_설정'!$B$7))*'01_설정'!$B$16+MAX(0,(1-Q591/'01_설정'!$B$8))*'01_설정'!$B$17+L591*'01_설정'!$B$11+M591*'01_설정'!$B$12+N591*50)</f>
        <v/>
      </c>
      <c r="T591">
        <f>IF(S591="","",1+COUNTIFS($S$31:$S$1030,"&gt;"&amp;S591)+COUNTIFS($S$31:S591,S591)-1)</f>
        <v/>
      </c>
    </row>
    <row r="592" hidden="1" ht="16.5" customHeight="1">
      <c r="A592">
        <f>IF(COUNTA('05_KAPA'!$A563:$AO563)=0,"",565)</f>
        <v/>
      </c>
      <c r="B592">
        <f>IF($A592="","",INDEX('05_KAPA'!$B:$B,$A592))</f>
        <v/>
      </c>
      <c r="C592">
        <f>IF($A592="","",INDEX('05_KAPA'!$F:$F,$A592))</f>
        <v/>
      </c>
      <c r="D592">
        <f>IF($A592="","",INDEX('05_KAPA'!$H:$H,$A592))</f>
        <v/>
      </c>
      <c r="E592">
        <f>IF($A592="","",INDEX('05_KAPA'!$K:$K,$A592))</f>
        <v/>
      </c>
      <c r="F592">
        <f>IF($A592="","",INDEX('05_KAPA'!$L:$L,$A592))</f>
        <v/>
      </c>
      <c r="G592">
        <f>IF($A592="","",INDEX('05_KAPA'!$I:$I,$A592))</f>
        <v/>
      </c>
      <c r="H592" s="202">
        <f>IF($A592="","",INDEX('05_KAPA'!$P:$P,$A592))</f>
        <v/>
      </c>
      <c r="I592" s="118">
        <f>IF($A592="","",INDEX('05_KAPA'!$O:$O,$A592))</f>
        <v/>
      </c>
      <c r="J592" s="202">
        <f>IF($A592="","",IFERROR(DATE(LEFT(TEXT(INDEX('05_KAPA'!$T:$T,$A592),"0"),4),MID(TEXT(INDEX('05_KAPA'!$T:$T,$A592),"0"),5,2),RIGHT(TEXT(INDEX('05_KAPA'!$T:$T,$A592),"0"),2)),""))</f>
        <v/>
      </c>
      <c r="K592">
        <f>IF(C592="","",IF('02_대상물건입력'!$B$5="",1,IF(ISNUMBER(SEARCH('02_대상물건입력'!$B$5,C592)),1,0)))</f>
        <v/>
      </c>
      <c r="L592">
        <f>IF(C592="","",IF('02_대상물건입력'!$B$6="",1,IF(ISNUMBER(SEARCH('02_대상물건입력'!$B$6,C592)),1,0)))</f>
        <v/>
      </c>
      <c r="M592">
        <f>IF(E592="","",IF('02_대상물건입력'!$B$8="",0,IF(ISNUMBER(SEARCH('02_대상물건입력'!$B$8,E592)),1,0)))</f>
        <v/>
      </c>
      <c r="N592">
        <f>IF(B592="","",IF(B592="담보",1,0))</f>
        <v/>
      </c>
      <c r="O592">
        <f>IFERROR(ABS(G592-'02_대상물건입력'!$B$11)/'02_대상물건입력'!$B$11,"")</f>
        <v/>
      </c>
      <c r="P592">
        <f>IFERROR(ABS('01_설정'!$B$4-H592),"")</f>
        <v/>
      </c>
      <c r="Q592">
        <f>IFERROR(ABS(YEAR(J592)-YEAR('02_대상물건입력'!$B$14)),"")</f>
        <v/>
      </c>
      <c r="R592">
        <f>IF(AND(G592&gt;0,H592&gt;0,I592&gt;0,N592=1,IF('01_설정'!$B$10=1,K592=1,TRUE()),O592&lt;='01_설정'!$B$5,P592&lt;='01_설정'!$B$7,Q592&lt;='01_설정'!$B$8),"Y","")</f>
        <v/>
      </c>
      <c r="S592">
        <f>IF(R592&lt;&gt;"Y","",MAX(0,(1-O592/'01_설정'!$B$5))*'01_설정'!$B$14+MAX(0,(1-P592/'01_설정'!$B$7))*'01_설정'!$B$16+MAX(0,(1-Q592/'01_설정'!$B$8))*'01_설정'!$B$17+L592*'01_설정'!$B$11+M592*'01_설정'!$B$12+N592*50)</f>
        <v/>
      </c>
      <c r="T592">
        <f>IF(S592="","",1+COUNTIFS($S$31:$S$1030,"&gt;"&amp;S592)+COUNTIFS($S$31:S592,S592)-1)</f>
        <v/>
      </c>
    </row>
    <row r="593" hidden="1" ht="16.5" customHeight="1">
      <c r="A593">
        <f>IF(COUNTA('05_KAPA'!$A564:$AO564)=0,"",566)</f>
        <v/>
      </c>
      <c r="B593">
        <f>IF($A593="","",INDEX('05_KAPA'!$B:$B,$A593))</f>
        <v/>
      </c>
      <c r="C593">
        <f>IF($A593="","",INDEX('05_KAPA'!$F:$F,$A593))</f>
        <v/>
      </c>
      <c r="D593">
        <f>IF($A593="","",INDEX('05_KAPA'!$H:$H,$A593))</f>
        <v/>
      </c>
      <c r="E593">
        <f>IF($A593="","",INDEX('05_KAPA'!$K:$K,$A593))</f>
        <v/>
      </c>
      <c r="F593">
        <f>IF($A593="","",INDEX('05_KAPA'!$L:$L,$A593))</f>
        <v/>
      </c>
      <c r="G593">
        <f>IF($A593="","",INDEX('05_KAPA'!$I:$I,$A593))</f>
        <v/>
      </c>
      <c r="H593" s="202">
        <f>IF($A593="","",INDEX('05_KAPA'!$P:$P,$A593))</f>
        <v/>
      </c>
      <c r="I593" s="118">
        <f>IF($A593="","",INDEX('05_KAPA'!$O:$O,$A593))</f>
        <v/>
      </c>
      <c r="J593" s="202">
        <f>IF($A593="","",IFERROR(DATE(LEFT(TEXT(INDEX('05_KAPA'!$T:$T,$A593),"0"),4),MID(TEXT(INDEX('05_KAPA'!$T:$T,$A593),"0"),5,2),RIGHT(TEXT(INDEX('05_KAPA'!$T:$T,$A593),"0"),2)),""))</f>
        <v/>
      </c>
      <c r="K593">
        <f>IF(C593="","",IF('02_대상물건입력'!$B$5="",1,IF(ISNUMBER(SEARCH('02_대상물건입력'!$B$5,C593)),1,0)))</f>
        <v/>
      </c>
      <c r="L593">
        <f>IF(C593="","",IF('02_대상물건입력'!$B$6="",1,IF(ISNUMBER(SEARCH('02_대상물건입력'!$B$6,C593)),1,0)))</f>
        <v/>
      </c>
      <c r="M593">
        <f>IF(E593="","",IF('02_대상물건입력'!$B$8="",0,IF(ISNUMBER(SEARCH('02_대상물건입력'!$B$8,E593)),1,0)))</f>
        <v/>
      </c>
      <c r="N593">
        <f>IF(B593="","",IF(B593="담보",1,0))</f>
        <v/>
      </c>
      <c r="O593">
        <f>IFERROR(ABS(G593-'02_대상물건입력'!$B$11)/'02_대상물건입력'!$B$11,"")</f>
        <v/>
      </c>
      <c r="P593">
        <f>IFERROR(ABS('01_설정'!$B$4-H593),"")</f>
        <v/>
      </c>
      <c r="Q593">
        <f>IFERROR(ABS(YEAR(J593)-YEAR('02_대상물건입력'!$B$14)),"")</f>
        <v/>
      </c>
      <c r="R593">
        <f>IF(AND(G593&gt;0,H593&gt;0,I593&gt;0,N593=1,IF('01_설정'!$B$10=1,K593=1,TRUE()),O593&lt;='01_설정'!$B$5,P593&lt;='01_설정'!$B$7,Q593&lt;='01_설정'!$B$8),"Y","")</f>
        <v/>
      </c>
      <c r="S593">
        <f>IF(R593&lt;&gt;"Y","",MAX(0,(1-O593/'01_설정'!$B$5))*'01_설정'!$B$14+MAX(0,(1-P593/'01_설정'!$B$7))*'01_설정'!$B$16+MAX(0,(1-Q593/'01_설정'!$B$8))*'01_설정'!$B$17+L593*'01_설정'!$B$11+M593*'01_설정'!$B$12+N593*50)</f>
        <v/>
      </c>
      <c r="T593">
        <f>IF(S593="","",1+COUNTIFS($S$31:$S$1030,"&gt;"&amp;S593)+COUNTIFS($S$31:S593,S593)-1)</f>
        <v/>
      </c>
    </row>
    <row r="594" hidden="1" ht="16.5" customHeight="1">
      <c r="A594">
        <f>IF(COUNTA('05_KAPA'!$A565:$AO565)=0,"",567)</f>
        <v/>
      </c>
      <c r="B594">
        <f>IF($A594="","",INDEX('05_KAPA'!$B:$B,$A594))</f>
        <v/>
      </c>
      <c r="C594">
        <f>IF($A594="","",INDEX('05_KAPA'!$F:$F,$A594))</f>
        <v/>
      </c>
      <c r="D594">
        <f>IF($A594="","",INDEX('05_KAPA'!$H:$H,$A594))</f>
        <v/>
      </c>
      <c r="E594">
        <f>IF($A594="","",INDEX('05_KAPA'!$K:$K,$A594))</f>
        <v/>
      </c>
      <c r="F594">
        <f>IF($A594="","",INDEX('05_KAPA'!$L:$L,$A594))</f>
        <v/>
      </c>
      <c r="G594">
        <f>IF($A594="","",INDEX('05_KAPA'!$I:$I,$A594))</f>
        <v/>
      </c>
      <c r="H594" s="202">
        <f>IF($A594="","",INDEX('05_KAPA'!$P:$P,$A594))</f>
        <v/>
      </c>
      <c r="I594" s="118">
        <f>IF($A594="","",INDEX('05_KAPA'!$O:$O,$A594))</f>
        <v/>
      </c>
      <c r="J594" s="202">
        <f>IF($A594="","",IFERROR(DATE(LEFT(TEXT(INDEX('05_KAPA'!$T:$T,$A594),"0"),4),MID(TEXT(INDEX('05_KAPA'!$T:$T,$A594),"0"),5,2),RIGHT(TEXT(INDEX('05_KAPA'!$T:$T,$A594),"0"),2)),""))</f>
        <v/>
      </c>
      <c r="K594">
        <f>IF(C594="","",IF('02_대상물건입력'!$B$5="",1,IF(ISNUMBER(SEARCH('02_대상물건입력'!$B$5,C594)),1,0)))</f>
        <v/>
      </c>
      <c r="L594">
        <f>IF(C594="","",IF('02_대상물건입력'!$B$6="",1,IF(ISNUMBER(SEARCH('02_대상물건입력'!$B$6,C594)),1,0)))</f>
        <v/>
      </c>
      <c r="M594">
        <f>IF(E594="","",IF('02_대상물건입력'!$B$8="",0,IF(ISNUMBER(SEARCH('02_대상물건입력'!$B$8,E594)),1,0)))</f>
        <v/>
      </c>
      <c r="N594">
        <f>IF(B594="","",IF(B594="담보",1,0))</f>
        <v/>
      </c>
      <c r="O594">
        <f>IFERROR(ABS(G594-'02_대상물건입력'!$B$11)/'02_대상물건입력'!$B$11,"")</f>
        <v/>
      </c>
      <c r="P594">
        <f>IFERROR(ABS('01_설정'!$B$4-H594),"")</f>
        <v/>
      </c>
      <c r="Q594">
        <f>IFERROR(ABS(YEAR(J594)-YEAR('02_대상물건입력'!$B$14)),"")</f>
        <v/>
      </c>
      <c r="R594">
        <f>IF(AND(G594&gt;0,H594&gt;0,I594&gt;0,N594=1,IF('01_설정'!$B$10=1,K594=1,TRUE()),O594&lt;='01_설정'!$B$5,P594&lt;='01_설정'!$B$7,Q594&lt;='01_설정'!$B$8),"Y","")</f>
        <v/>
      </c>
      <c r="S594">
        <f>IF(R594&lt;&gt;"Y","",MAX(0,(1-O594/'01_설정'!$B$5))*'01_설정'!$B$14+MAX(0,(1-P594/'01_설정'!$B$7))*'01_설정'!$B$16+MAX(0,(1-Q594/'01_설정'!$B$8))*'01_설정'!$B$17+L594*'01_설정'!$B$11+M594*'01_설정'!$B$12+N594*50)</f>
        <v/>
      </c>
      <c r="T594">
        <f>IF(S594="","",1+COUNTIFS($S$31:$S$1030,"&gt;"&amp;S594)+COUNTIFS($S$31:S594,S594)-1)</f>
        <v/>
      </c>
    </row>
    <row r="595" hidden="1" ht="16.5" customHeight="1">
      <c r="A595">
        <f>IF(COUNTA('05_KAPA'!$A566:$AO566)=0,"",568)</f>
        <v/>
      </c>
      <c r="B595">
        <f>IF($A595="","",INDEX('05_KAPA'!$B:$B,$A595))</f>
        <v/>
      </c>
      <c r="C595">
        <f>IF($A595="","",INDEX('05_KAPA'!$F:$F,$A595))</f>
        <v/>
      </c>
      <c r="D595">
        <f>IF($A595="","",INDEX('05_KAPA'!$H:$H,$A595))</f>
        <v/>
      </c>
      <c r="E595">
        <f>IF($A595="","",INDEX('05_KAPA'!$K:$K,$A595))</f>
        <v/>
      </c>
      <c r="F595">
        <f>IF($A595="","",INDEX('05_KAPA'!$L:$L,$A595))</f>
        <v/>
      </c>
      <c r="G595">
        <f>IF($A595="","",INDEX('05_KAPA'!$I:$I,$A595))</f>
        <v/>
      </c>
      <c r="H595" s="202">
        <f>IF($A595="","",INDEX('05_KAPA'!$P:$P,$A595))</f>
        <v/>
      </c>
      <c r="I595" s="118">
        <f>IF($A595="","",INDEX('05_KAPA'!$O:$O,$A595))</f>
        <v/>
      </c>
      <c r="J595" s="202">
        <f>IF($A595="","",IFERROR(DATE(LEFT(TEXT(INDEX('05_KAPA'!$T:$T,$A595),"0"),4),MID(TEXT(INDEX('05_KAPA'!$T:$T,$A595),"0"),5,2),RIGHT(TEXT(INDEX('05_KAPA'!$T:$T,$A595),"0"),2)),""))</f>
        <v/>
      </c>
      <c r="K595">
        <f>IF(C595="","",IF('02_대상물건입력'!$B$5="",1,IF(ISNUMBER(SEARCH('02_대상물건입력'!$B$5,C595)),1,0)))</f>
        <v/>
      </c>
      <c r="L595">
        <f>IF(C595="","",IF('02_대상물건입력'!$B$6="",1,IF(ISNUMBER(SEARCH('02_대상물건입력'!$B$6,C595)),1,0)))</f>
        <v/>
      </c>
      <c r="M595">
        <f>IF(E595="","",IF('02_대상물건입력'!$B$8="",0,IF(ISNUMBER(SEARCH('02_대상물건입력'!$B$8,E595)),1,0)))</f>
        <v/>
      </c>
      <c r="N595">
        <f>IF(B595="","",IF(B595="담보",1,0))</f>
        <v/>
      </c>
      <c r="O595">
        <f>IFERROR(ABS(G595-'02_대상물건입력'!$B$11)/'02_대상물건입력'!$B$11,"")</f>
        <v/>
      </c>
      <c r="P595">
        <f>IFERROR(ABS('01_설정'!$B$4-H595),"")</f>
        <v/>
      </c>
      <c r="Q595">
        <f>IFERROR(ABS(YEAR(J595)-YEAR('02_대상물건입력'!$B$14)),"")</f>
        <v/>
      </c>
      <c r="R595">
        <f>IF(AND(G595&gt;0,H595&gt;0,I595&gt;0,N595=1,IF('01_설정'!$B$10=1,K595=1,TRUE()),O595&lt;='01_설정'!$B$5,P595&lt;='01_설정'!$B$7,Q595&lt;='01_설정'!$B$8),"Y","")</f>
        <v/>
      </c>
      <c r="S595">
        <f>IF(R595&lt;&gt;"Y","",MAX(0,(1-O595/'01_설정'!$B$5))*'01_설정'!$B$14+MAX(0,(1-P595/'01_설정'!$B$7))*'01_설정'!$B$16+MAX(0,(1-Q595/'01_설정'!$B$8))*'01_설정'!$B$17+L595*'01_설정'!$B$11+M595*'01_설정'!$B$12+N595*50)</f>
        <v/>
      </c>
      <c r="T595">
        <f>IF(S595="","",1+COUNTIFS($S$31:$S$1030,"&gt;"&amp;S595)+COUNTIFS($S$31:S595,S595)-1)</f>
        <v/>
      </c>
    </row>
    <row r="596" hidden="1" ht="16.5" customHeight="1">
      <c r="A596">
        <f>IF(COUNTA('05_KAPA'!$A567:$AO567)=0,"",569)</f>
        <v/>
      </c>
      <c r="B596">
        <f>IF($A596="","",INDEX('05_KAPA'!$B:$B,$A596))</f>
        <v/>
      </c>
      <c r="C596">
        <f>IF($A596="","",INDEX('05_KAPA'!$F:$F,$A596))</f>
        <v/>
      </c>
      <c r="D596">
        <f>IF($A596="","",INDEX('05_KAPA'!$H:$H,$A596))</f>
        <v/>
      </c>
      <c r="E596">
        <f>IF($A596="","",INDEX('05_KAPA'!$K:$K,$A596))</f>
        <v/>
      </c>
      <c r="F596">
        <f>IF($A596="","",INDEX('05_KAPA'!$L:$L,$A596))</f>
        <v/>
      </c>
      <c r="G596">
        <f>IF($A596="","",INDEX('05_KAPA'!$I:$I,$A596))</f>
        <v/>
      </c>
      <c r="H596" s="202">
        <f>IF($A596="","",INDEX('05_KAPA'!$P:$P,$A596))</f>
        <v/>
      </c>
      <c r="I596" s="118">
        <f>IF($A596="","",INDEX('05_KAPA'!$O:$O,$A596))</f>
        <v/>
      </c>
      <c r="J596" s="202">
        <f>IF($A596="","",IFERROR(DATE(LEFT(TEXT(INDEX('05_KAPA'!$T:$T,$A596),"0"),4),MID(TEXT(INDEX('05_KAPA'!$T:$T,$A596),"0"),5,2),RIGHT(TEXT(INDEX('05_KAPA'!$T:$T,$A596),"0"),2)),""))</f>
        <v/>
      </c>
      <c r="K596">
        <f>IF(C596="","",IF('02_대상물건입력'!$B$5="",1,IF(ISNUMBER(SEARCH('02_대상물건입력'!$B$5,C596)),1,0)))</f>
        <v/>
      </c>
      <c r="L596">
        <f>IF(C596="","",IF('02_대상물건입력'!$B$6="",1,IF(ISNUMBER(SEARCH('02_대상물건입력'!$B$6,C596)),1,0)))</f>
        <v/>
      </c>
      <c r="M596">
        <f>IF(E596="","",IF('02_대상물건입력'!$B$8="",0,IF(ISNUMBER(SEARCH('02_대상물건입력'!$B$8,E596)),1,0)))</f>
        <v/>
      </c>
      <c r="N596">
        <f>IF(B596="","",IF(B596="담보",1,0))</f>
        <v/>
      </c>
      <c r="O596">
        <f>IFERROR(ABS(G596-'02_대상물건입력'!$B$11)/'02_대상물건입력'!$B$11,"")</f>
        <v/>
      </c>
      <c r="P596">
        <f>IFERROR(ABS('01_설정'!$B$4-H596),"")</f>
        <v/>
      </c>
      <c r="Q596">
        <f>IFERROR(ABS(YEAR(J596)-YEAR('02_대상물건입력'!$B$14)),"")</f>
        <v/>
      </c>
      <c r="R596">
        <f>IF(AND(G596&gt;0,H596&gt;0,I596&gt;0,N596=1,IF('01_설정'!$B$10=1,K596=1,TRUE()),O596&lt;='01_설정'!$B$5,P596&lt;='01_설정'!$B$7,Q596&lt;='01_설정'!$B$8),"Y","")</f>
        <v/>
      </c>
      <c r="S596">
        <f>IF(R596&lt;&gt;"Y","",MAX(0,(1-O596/'01_설정'!$B$5))*'01_설정'!$B$14+MAX(0,(1-P596/'01_설정'!$B$7))*'01_설정'!$B$16+MAX(0,(1-Q596/'01_설정'!$B$8))*'01_설정'!$B$17+L596*'01_설정'!$B$11+M596*'01_설정'!$B$12+N596*50)</f>
        <v/>
      </c>
      <c r="T596">
        <f>IF(S596="","",1+COUNTIFS($S$31:$S$1030,"&gt;"&amp;S596)+COUNTIFS($S$31:S596,S596)-1)</f>
        <v/>
      </c>
    </row>
    <row r="597" hidden="1" ht="16.5" customHeight="1">
      <c r="A597">
        <f>IF(COUNTA('05_KAPA'!$A568:$AO568)=0,"",570)</f>
        <v/>
      </c>
      <c r="B597">
        <f>IF($A597="","",INDEX('05_KAPA'!$B:$B,$A597))</f>
        <v/>
      </c>
      <c r="C597">
        <f>IF($A597="","",INDEX('05_KAPA'!$F:$F,$A597))</f>
        <v/>
      </c>
      <c r="D597">
        <f>IF($A597="","",INDEX('05_KAPA'!$H:$H,$A597))</f>
        <v/>
      </c>
      <c r="E597">
        <f>IF($A597="","",INDEX('05_KAPA'!$K:$K,$A597))</f>
        <v/>
      </c>
      <c r="F597">
        <f>IF($A597="","",INDEX('05_KAPA'!$L:$L,$A597))</f>
        <v/>
      </c>
      <c r="G597">
        <f>IF($A597="","",INDEX('05_KAPA'!$I:$I,$A597))</f>
        <v/>
      </c>
      <c r="H597" s="202">
        <f>IF($A597="","",INDEX('05_KAPA'!$P:$P,$A597))</f>
        <v/>
      </c>
      <c r="I597" s="118">
        <f>IF($A597="","",INDEX('05_KAPA'!$O:$O,$A597))</f>
        <v/>
      </c>
      <c r="J597" s="202">
        <f>IF($A597="","",IFERROR(DATE(LEFT(TEXT(INDEX('05_KAPA'!$T:$T,$A597),"0"),4),MID(TEXT(INDEX('05_KAPA'!$T:$T,$A597),"0"),5,2),RIGHT(TEXT(INDEX('05_KAPA'!$T:$T,$A597),"0"),2)),""))</f>
        <v/>
      </c>
      <c r="K597">
        <f>IF(C597="","",IF('02_대상물건입력'!$B$5="",1,IF(ISNUMBER(SEARCH('02_대상물건입력'!$B$5,C597)),1,0)))</f>
        <v/>
      </c>
      <c r="L597">
        <f>IF(C597="","",IF('02_대상물건입력'!$B$6="",1,IF(ISNUMBER(SEARCH('02_대상물건입력'!$B$6,C597)),1,0)))</f>
        <v/>
      </c>
      <c r="M597">
        <f>IF(E597="","",IF('02_대상물건입력'!$B$8="",0,IF(ISNUMBER(SEARCH('02_대상물건입력'!$B$8,E597)),1,0)))</f>
        <v/>
      </c>
      <c r="N597">
        <f>IF(B597="","",IF(B597="담보",1,0))</f>
        <v/>
      </c>
      <c r="O597">
        <f>IFERROR(ABS(G597-'02_대상물건입력'!$B$11)/'02_대상물건입력'!$B$11,"")</f>
        <v/>
      </c>
      <c r="P597">
        <f>IFERROR(ABS('01_설정'!$B$4-H597),"")</f>
        <v/>
      </c>
      <c r="Q597">
        <f>IFERROR(ABS(YEAR(J597)-YEAR('02_대상물건입력'!$B$14)),"")</f>
        <v/>
      </c>
      <c r="R597">
        <f>IF(AND(G597&gt;0,H597&gt;0,I597&gt;0,N597=1,IF('01_설정'!$B$10=1,K597=1,TRUE()),O597&lt;='01_설정'!$B$5,P597&lt;='01_설정'!$B$7,Q597&lt;='01_설정'!$B$8),"Y","")</f>
        <v/>
      </c>
      <c r="S597">
        <f>IF(R597&lt;&gt;"Y","",MAX(0,(1-O597/'01_설정'!$B$5))*'01_설정'!$B$14+MAX(0,(1-P597/'01_설정'!$B$7))*'01_설정'!$B$16+MAX(0,(1-Q597/'01_설정'!$B$8))*'01_설정'!$B$17+L597*'01_설정'!$B$11+M597*'01_설정'!$B$12+N597*50)</f>
        <v/>
      </c>
      <c r="T597">
        <f>IF(S597="","",1+COUNTIFS($S$31:$S$1030,"&gt;"&amp;S597)+COUNTIFS($S$31:S597,S597)-1)</f>
        <v/>
      </c>
    </row>
    <row r="598" hidden="1" ht="16.5" customHeight="1">
      <c r="A598">
        <f>IF(COUNTA('05_KAPA'!$A569:$AO569)=0,"",571)</f>
        <v/>
      </c>
      <c r="B598">
        <f>IF($A598="","",INDEX('05_KAPA'!$B:$B,$A598))</f>
        <v/>
      </c>
      <c r="C598">
        <f>IF($A598="","",INDEX('05_KAPA'!$F:$F,$A598))</f>
        <v/>
      </c>
      <c r="D598">
        <f>IF($A598="","",INDEX('05_KAPA'!$H:$H,$A598))</f>
        <v/>
      </c>
      <c r="E598">
        <f>IF($A598="","",INDEX('05_KAPA'!$K:$K,$A598))</f>
        <v/>
      </c>
      <c r="F598">
        <f>IF($A598="","",INDEX('05_KAPA'!$L:$L,$A598))</f>
        <v/>
      </c>
      <c r="G598">
        <f>IF($A598="","",INDEX('05_KAPA'!$I:$I,$A598))</f>
        <v/>
      </c>
      <c r="H598" s="202">
        <f>IF($A598="","",INDEX('05_KAPA'!$P:$P,$A598))</f>
        <v/>
      </c>
      <c r="I598" s="118">
        <f>IF($A598="","",INDEX('05_KAPA'!$O:$O,$A598))</f>
        <v/>
      </c>
      <c r="J598" s="202">
        <f>IF($A598="","",IFERROR(DATE(LEFT(TEXT(INDEX('05_KAPA'!$T:$T,$A598),"0"),4),MID(TEXT(INDEX('05_KAPA'!$T:$T,$A598),"0"),5,2),RIGHT(TEXT(INDEX('05_KAPA'!$T:$T,$A598),"0"),2)),""))</f>
        <v/>
      </c>
      <c r="K598">
        <f>IF(C598="","",IF('02_대상물건입력'!$B$5="",1,IF(ISNUMBER(SEARCH('02_대상물건입력'!$B$5,C598)),1,0)))</f>
        <v/>
      </c>
      <c r="L598">
        <f>IF(C598="","",IF('02_대상물건입력'!$B$6="",1,IF(ISNUMBER(SEARCH('02_대상물건입력'!$B$6,C598)),1,0)))</f>
        <v/>
      </c>
      <c r="M598">
        <f>IF(E598="","",IF('02_대상물건입력'!$B$8="",0,IF(ISNUMBER(SEARCH('02_대상물건입력'!$B$8,E598)),1,0)))</f>
        <v/>
      </c>
      <c r="N598">
        <f>IF(B598="","",IF(B598="담보",1,0))</f>
        <v/>
      </c>
      <c r="O598">
        <f>IFERROR(ABS(G598-'02_대상물건입력'!$B$11)/'02_대상물건입력'!$B$11,"")</f>
        <v/>
      </c>
      <c r="P598">
        <f>IFERROR(ABS('01_설정'!$B$4-H598),"")</f>
        <v/>
      </c>
      <c r="Q598">
        <f>IFERROR(ABS(YEAR(J598)-YEAR('02_대상물건입력'!$B$14)),"")</f>
        <v/>
      </c>
      <c r="R598">
        <f>IF(AND(G598&gt;0,H598&gt;0,I598&gt;0,N598=1,IF('01_설정'!$B$10=1,K598=1,TRUE()),O598&lt;='01_설정'!$B$5,P598&lt;='01_설정'!$B$7,Q598&lt;='01_설정'!$B$8),"Y","")</f>
        <v/>
      </c>
      <c r="S598">
        <f>IF(R598&lt;&gt;"Y","",MAX(0,(1-O598/'01_설정'!$B$5))*'01_설정'!$B$14+MAX(0,(1-P598/'01_설정'!$B$7))*'01_설정'!$B$16+MAX(0,(1-Q598/'01_설정'!$B$8))*'01_설정'!$B$17+L598*'01_설정'!$B$11+M598*'01_설정'!$B$12+N598*50)</f>
        <v/>
      </c>
      <c r="T598">
        <f>IF(S598="","",1+COUNTIFS($S$31:$S$1030,"&gt;"&amp;S598)+COUNTIFS($S$31:S598,S598)-1)</f>
        <v/>
      </c>
    </row>
    <row r="599" hidden="1" ht="16.5" customHeight="1">
      <c r="A599">
        <f>IF(COUNTA('05_KAPA'!$A570:$AO570)=0,"",572)</f>
        <v/>
      </c>
      <c r="B599">
        <f>IF($A599="","",INDEX('05_KAPA'!$B:$B,$A599))</f>
        <v/>
      </c>
      <c r="C599">
        <f>IF($A599="","",INDEX('05_KAPA'!$F:$F,$A599))</f>
        <v/>
      </c>
      <c r="D599">
        <f>IF($A599="","",INDEX('05_KAPA'!$H:$H,$A599))</f>
        <v/>
      </c>
      <c r="E599">
        <f>IF($A599="","",INDEX('05_KAPA'!$K:$K,$A599))</f>
        <v/>
      </c>
      <c r="F599">
        <f>IF($A599="","",INDEX('05_KAPA'!$L:$L,$A599))</f>
        <v/>
      </c>
      <c r="G599">
        <f>IF($A599="","",INDEX('05_KAPA'!$I:$I,$A599))</f>
        <v/>
      </c>
      <c r="H599" s="202">
        <f>IF($A599="","",INDEX('05_KAPA'!$P:$P,$A599))</f>
        <v/>
      </c>
      <c r="I599" s="118">
        <f>IF($A599="","",INDEX('05_KAPA'!$O:$O,$A599))</f>
        <v/>
      </c>
      <c r="J599" s="202">
        <f>IF($A599="","",IFERROR(DATE(LEFT(TEXT(INDEX('05_KAPA'!$T:$T,$A599),"0"),4),MID(TEXT(INDEX('05_KAPA'!$T:$T,$A599),"0"),5,2),RIGHT(TEXT(INDEX('05_KAPA'!$T:$T,$A599),"0"),2)),""))</f>
        <v/>
      </c>
      <c r="K599">
        <f>IF(C599="","",IF('02_대상물건입력'!$B$5="",1,IF(ISNUMBER(SEARCH('02_대상물건입력'!$B$5,C599)),1,0)))</f>
        <v/>
      </c>
      <c r="L599">
        <f>IF(C599="","",IF('02_대상물건입력'!$B$6="",1,IF(ISNUMBER(SEARCH('02_대상물건입력'!$B$6,C599)),1,0)))</f>
        <v/>
      </c>
      <c r="M599">
        <f>IF(E599="","",IF('02_대상물건입력'!$B$8="",0,IF(ISNUMBER(SEARCH('02_대상물건입력'!$B$8,E599)),1,0)))</f>
        <v/>
      </c>
      <c r="N599">
        <f>IF(B599="","",IF(B599="담보",1,0))</f>
        <v/>
      </c>
      <c r="O599">
        <f>IFERROR(ABS(G599-'02_대상물건입력'!$B$11)/'02_대상물건입력'!$B$11,"")</f>
        <v/>
      </c>
      <c r="P599">
        <f>IFERROR(ABS('01_설정'!$B$4-H599),"")</f>
        <v/>
      </c>
      <c r="Q599">
        <f>IFERROR(ABS(YEAR(J599)-YEAR('02_대상물건입력'!$B$14)),"")</f>
        <v/>
      </c>
      <c r="R599">
        <f>IF(AND(G599&gt;0,H599&gt;0,I599&gt;0,N599=1,IF('01_설정'!$B$10=1,K599=1,TRUE()),O599&lt;='01_설정'!$B$5,P599&lt;='01_설정'!$B$7,Q599&lt;='01_설정'!$B$8),"Y","")</f>
        <v/>
      </c>
      <c r="S599">
        <f>IF(R599&lt;&gt;"Y","",MAX(0,(1-O599/'01_설정'!$B$5))*'01_설정'!$B$14+MAX(0,(1-P599/'01_설정'!$B$7))*'01_설정'!$B$16+MAX(0,(1-Q599/'01_설정'!$B$8))*'01_설정'!$B$17+L599*'01_설정'!$B$11+M599*'01_설정'!$B$12+N599*50)</f>
        <v/>
      </c>
      <c r="T599">
        <f>IF(S599="","",1+COUNTIFS($S$31:$S$1030,"&gt;"&amp;S599)+COUNTIFS($S$31:S599,S599)-1)</f>
        <v/>
      </c>
    </row>
    <row r="600" hidden="1" ht="16.5" customHeight="1">
      <c r="A600">
        <f>IF(COUNTA('05_KAPA'!$A571:$AO571)=0,"",573)</f>
        <v/>
      </c>
      <c r="B600">
        <f>IF($A600="","",INDEX('05_KAPA'!$B:$B,$A600))</f>
        <v/>
      </c>
      <c r="C600">
        <f>IF($A600="","",INDEX('05_KAPA'!$F:$F,$A600))</f>
        <v/>
      </c>
      <c r="D600">
        <f>IF($A600="","",INDEX('05_KAPA'!$H:$H,$A600))</f>
        <v/>
      </c>
      <c r="E600">
        <f>IF($A600="","",INDEX('05_KAPA'!$K:$K,$A600))</f>
        <v/>
      </c>
      <c r="F600">
        <f>IF($A600="","",INDEX('05_KAPA'!$L:$L,$A600))</f>
        <v/>
      </c>
      <c r="G600">
        <f>IF($A600="","",INDEX('05_KAPA'!$I:$I,$A600))</f>
        <v/>
      </c>
      <c r="H600" s="202">
        <f>IF($A600="","",INDEX('05_KAPA'!$P:$P,$A600))</f>
        <v/>
      </c>
      <c r="I600" s="118">
        <f>IF($A600="","",INDEX('05_KAPA'!$O:$O,$A600))</f>
        <v/>
      </c>
      <c r="J600" s="202">
        <f>IF($A600="","",IFERROR(DATE(LEFT(TEXT(INDEX('05_KAPA'!$T:$T,$A600),"0"),4),MID(TEXT(INDEX('05_KAPA'!$T:$T,$A600),"0"),5,2),RIGHT(TEXT(INDEX('05_KAPA'!$T:$T,$A600),"0"),2)),""))</f>
        <v/>
      </c>
      <c r="K600">
        <f>IF(C600="","",IF('02_대상물건입력'!$B$5="",1,IF(ISNUMBER(SEARCH('02_대상물건입력'!$B$5,C600)),1,0)))</f>
        <v/>
      </c>
      <c r="L600">
        <f>IF(C600="","",IF('02_대상물건입력'!$B$6="",1,IF(ISNUMBER(SEARCH('02_대상물건입력'!$B$6,C600)),1,0)))</f>
        <v/>
      </c>
      <c r="M600">
        <f>IF(E600="","",IF('02_대상물건입력'!$B$8="",0,IF(ISNUMBER(SEARCH('02_대상물건입력'!$B$8,E600)),1,0)))</f>
        <v/>
      </c>
      <c r="N600">
        <f>IF(B600="","",IF(B600="담보",1,0))</f>
        <v/>
      </c>
      <c r="O600">
        <f>IFERROR(ABS(G600-'02_대상물건입력'!$B$11)/'02_대상물건입력'!$B$11,"")</f>
        <v/>
      </c>
      <c r="P600">
        <f>IFERROR(ABS('01_설정'!$B$4-H600),"")</f>
        <v/>
      </c>
      <c r="Q600">
        <f>IFERROR(ABS(YEAR(J600)-YEAR('02_대상물건입력'!$B$14)),"")</f>
        <v/>
      </c>
      <c r="R600">
        <f>IF(AND(G600&gt;0,H600&gt;0,I600&gt;0,N600=1,IF('01_설정'!$B$10=1,K600=1,TRUE()),O600&lt;='01_설정'!$B$5,P600&lt;='01_설정'!$B$7,Q600&lt;='01_설정'!$B$8),"Y","")</f>
        <v/>
      </c>
      <c r="S600">
        <f>IF(R600&lt;&gt;"Y","",MAX(0,(1-O600/'01_설정'!$B$5))*'01_설정'!$B$14+MAX(0,(1-P600/'01_설정'!$B$7))*'01_설정'!$B$16+MAX(0,(1-Q600/'01_설정'!$B$8))*'01_설정'!$B$17+L600*'01_설정'!$B$11+M600*'01_설정'!$B$12+N600*50)</f>
        <v/>
      </c>
      <c r="T600">
        <f>IF(S600="","",1+COUNTIFS($S$31:$S$1030,"&gt;"&amp;S600)+COUNTIFS($S$31:S600,S600)-1)</f>
        <v/>
      </c>
    </row>
    <row r="601" hidden="1" ht="16.5" customHeight="1">
      <c r="A601">
        <f>IF(COUNTA('05_KAPA'!$A572:$AO572)=0,"",574)</f>
        <v/>
      </c>
      <c r="B601">
        <f>IF($A601="","",INDEX('05_KAPA'!$B:$B,$A601))</f>
        <v/>
      </c>
      <c r="C601">
        <f>IF($A601="","",INDEX('05_KAPA'!$F:$F,$A601))</f>
        <v/>
      </c>
      <c r="D601">
        <f>IF($A601="","",INDEX('05_KAPA'!$H:$H,$A601))</f>
        <v/>
      </c>
      <c r="E601">
        <f>IF($A601="","",INDEX('05_KAPA'!$K:$K,$A601))</f>
        <v/>
      </c>
      <c r="F601">
        <f>IF($A601="","",INDEX('05_KAPA'!$L:$L,$A601))</f>
        <v/>
      </c>
      <c r="G601">
        <f>IF($A601="","",INDEX('05_KAPA'!$I:$I,$A601))</f>
        <v/>
      </c>
      <c r="H601" s="202">
        <f>IF($A601="","",INDEX('05_KAPA'!$P:$P,$A601))</f>
        <v/>
      </c>
      <c r="I601" s="118">
        <f>IF($A601="","",INDEX('05_KAPA'!$O:$O,$A601))</f>
        <v/>
      </c>
      <c r="J601" s="202">
        <f>IF($A601="","",IFERROR(DATE(LEFT(TEXT(INDEX('05_KAPA'!$T:$T,$A601),"0"),4),MID(TEXT(INDEX('05_KAPA'!$T:$T,$A601),"0"),5,2),RIGHT(TEXT(INDEX('05_KAPA'!$T:$T,$A601),"0"),2)),""))</f>
        <v/>
      </c>
      <c r="K601">
        <f>IF(C601="","",IF('02_대상물건입력'!$B$5="",1,IF(ISNUMBER(SEARCH('02_대상물건입력'!$B$5,C601)),1,0)))</f>
        <v/>
      </c>
      <c r="L601">
        <f>IF(C601="","",IF('02_대상물건입력'!$B$6="",1,IF(ISNUMBER(SEARCH('02_대상물건입력'!$B$6,C601)),1,0)))</f>
        <v/>
      </c>
      <c r="M601">
        <f>IF(E601="","",IF('02_대상물건입력'!$B$8="",0,IF(ISNUMBER(SEARCH('02_대상물건입력'!$B$8,E601)),1,0)))</f>
        <v/>
      </c>
      <c r="N601">
        <f>IF(B601="","",IF(B601="담보",1,0))</f>
        <v/>
      </c>
      <c r="O601">
        <f>IFERROR(ABS(G601-'02_대상물건입력'!$B$11)/'02_대상물건입력'!$B$11,"")</f>
        <v/>
      </c>
      <c r="P601">
        <f>IFERROR(ABS('01_설정'!$B$4-H601),"")</f>
        <v/>
      </c>
      <c r="Q601">
        <f>IFERROR(ABS(YEAR(J601)-YEAR('02_대상물건입력'!$B$14)),"")</f>
        <v/>
      </c>
      <c r="R601">
        <f>IF(AND(G601&gt;0,H601&gt;0,I601&gt;0,N601=1,IF('01_설정'!$B$10=1,K601=1,TRUE()),O601&lt;='01_설정'!$B$5,P601&lt;='01_설정'!$B$7,Q601&lt;='01_설정'!$B$8),"Y","")</f>
        <v/>
      </c>
      <c r="S601">
        <f>IF(R601&lt;&gt;"Y","",MAX(0,(1-O601/'01_설정'!$B$5))*'01_설정'!$B$14+MAX(0,(1-P601/'01_설정'!$B$7))*'01_설정'!$B$16+MAX(0,(1-Q601/'01_설정'!$B$8))*'01_설정'!$B$17+L601*'01_설정'!$B$11+M601*'01_설정'!$B$12+N601*50)</f>
        <v/>
      </c>
      <c r="T601">
        <f>IF(S601="","",1+COUNTIFS($S$31:$S$1030,"&gt;"&amp;S601)+COUNTIFS($S$31:S601,S601)-1)</f>
        <v/>
      </c>
    </row>
    <row r="602" hidden="1" ht="16.5" customHeight="1">
      <c r="A602">
        <f>IF(COUNTA('05_KAPA'!$A573:$AO573)=0,"",575)</f>
        <v/>
      </c>
      <c r="B602">
        <f>IF($A602="","",INDEX('05_KAPA'!$B:$B,$A602))</f>
        <v/>
      </c>
      <c r="C602">
        <f>IF($A602="","",INDEX('05_KAPA'!$F:$F,$A602))</f>
        <v/>
      </c>
      <c r="D602">
        <f>IF($A602="","",INDEX('05_KAPA'!$H:$H,$A602))</f>
        <v/>
      </c>
      <c r="E602">
        <f>IF($A602="","",INDEX('05_KAPA'!$K:$K,$A602))</f>
        <v/>
      </c>
      <c r="F602">
        <f>IF($A602="","",INDEX('05_KAPA'!$L:$L,$A602))</f>
        <v/>
      </c>
      <c r="G602">
        <f>IF($A602="","",INDEX('05_KAPA'!$I:$I,$A602))</f>
        <v/>
      </c>
      <c r="H602" s="202">
        <f>IF($A602="","",INDEX('05_KAPA'!$P:$P,$A602))</f>
        <v/>
      </c>
      <c r="I602" s="118">
        <f>IF($A602="","",INDEX('05_KAPA'!$O:$O,$A602))</f>
        <v/>
      </c>
      <c r="J602" s="202">
        <f>IF($A602="","",IFERROR(DATE(LEFT(TEXT(INDEX('05_KAPA'!$T:$T,$A602),"0"),4),MID(TEXT(INDEX('05_KAPA'!$T:$T,$A602),"0"),5,2),RIGHT(TEXT(INDEX('05_KAPA'!$T:$T,$A602),"0"),2)),""))</f>
        <v/>
      </c>
      <c r="K602">
        <f>IF(C602="","",IF('02_대상물건입력'!$B$5="",1,IF(ISNUMBER(SEARCH('02_대상물건입력'!$B$5,C602)),1,0)))</f>
        <v/>
      </c>
      <c r="L602">
        <f>IF(C602="","",IF('02_대상물건입력'!$B$6="",1,IF(ISNUMBER(SEARCH('02_대상물건입력'!$B$6,C602)),1,0)))</f>
        <v/>
      </c>
      <c r="M602">
        <f>IF(E602="","",IF('02_대상물건입력'!$B$8="",0,IF(ISNUMBER(SEARCH('02_대상물건입력'!$B$8,E602)),1,0)))</f>
        <v/>
      </c>
      <c r="N602">
        <f>IF(B602="","",IF(B602="담보",1,0))</f>
        <v/>
      </c>
      <c r="O602">
        <f>IFERROR(ABS(G602-'02_대상물건입력'!$B$11)/'02_대상물건입력'!$B$11,"")</f>
        <v/>
      </c>
      <c r="P602">
        <f>IFERROR(ABS('01_설정'!$B$4-H602),"")</f>
        <v/>
      </c>
      <c r="Q602">
        <f>IFERROR(ABS(YEAR(J602)-YEAR('02_대상물건입력'!$B$14)),"")</f>
        <v/>
      </c>
      <c r="R602">
        <f>IF(AND(G602&gt;0,H602&gt;0,I602&gt;0,N602=1,IF('01_설정'!$B$10=1,K602=1,TRUE()),O602&lt;='01_설정'!$B$5,P602&lt;='01_설정'!$B$7,Q602&lt;='01_설정'!$B$8),"Y","")</f>
        <v/>
      </c>
      <c r="S602">
        <f>IF(R602&lt;&gt;"Y","",MAX(0,(1-O602/'01_설정'!$B$5))*'01_설정'!$B$14+MAX(0,(1-P602/'01_설정'!$B$7))*'01_설정'!$B$16+MAX(0,(1-Q602/'01_설정'!$B$8))*'01_설정'!$B$17+L602*'01_설정'!$B$11+M602*'01_설정'!$B$12+N602*50)</f>
        <v/>
      </c>
      <c r="T602">
        <f>IF(S602="","",1+COUNTIFS($S$31:$S$1030,"&gt;"&amp;S602)+COUNTIFS($S$31:S602,S602)-1)</f>
        <v/>
      </c>
    </row>
    <row r="603" hidden="1" ht="16.5" customHeight="1">
      <c r="A603">
        <f>IF(COUNTA('05_KAPA'!$A574:$AO574)=0,"",576)</f>
        <v/>
      </c>
      <c r="B603">
        <f>IF($A603="","",INDEX('05_KAPA'!$B:$B,$A603))</f>
        <v/>
      </c>
      <c r="C603">
        <f>IF($A603="","",INDEX('05_KAPA'!$F:$F,$A603))</f>
        <v/>
      </c>
      <c r="D603">
        <f>IF($A603="","",INDEX('05_KAPA'!$H:$H,$A603))</f>
        <v/>
      </c>
      <c r="E603">
        <f>IF($A603="","",INDEX('05_KAPA'!$K:$K,$A603))</f>
        <v/>
      </c>
      <c r="F603">
        <f>IF($A603="","",INDEX('05_KAPA'!$L:$L,$A603))</f>
        <v/>
      </c>
      <c r="G603">
        <f>IF($A603="","",INDEX('05_KAPA'!$I:$I,$A603))</f>
        <v/>
      </c>
      <c r="H603" s="202">
        <f>IF($A603="","",INDEX('05_KAPA'!$P:$P,$A603))</f>
        <v/>
      </c>
      <c r="I603" s="118">
        <f>IF($A603="","",INDEX('05_KAPA'!$O:$O,$A603))</f>
        <v/>
      </c>
      <c r="J603" s="202">
        <f>IF($A603="","",IFERROR(DATE(LEFT(TEXT(INDEX('05_KAPA'!$T:$T,$A603),"0"),4),MID(TEXT(INDEX('05_KAPA'!$T:$T,$A603),"0"),5,2),RIGHT(TEXT(INDEX('05_KAPA'!$T:$T,$A603),"0"),2)),""))</f>
        <v/>
      </c>
      <c r="K603">
        <f>IF(C603="","",IF('02_대상물건입력'!$B$5="",1,IF(ISNUMBER(SEARCH('02_대상물건입력'!$B$5,C603)),1,0)))</f>
        <v/>
      </c>
      <c r="L603">
        <f>IF(C603="","",IF('02_대상물건입력'!$B$6="",1,IF(ISNUMBER(SEARCH('02_대상물건입력'!$B$6,C603)),1,0)))</f>
        <v/>
      </c>
      <c r="M603">
        <f>IF(E603="","",IF('02_대상물건입력'!$B$8="",0,IF(ISNUMBER(SEARCH('02_대상물건입력'!$B$8,E603)),1,0)))</f>
        <v/>
      </c>
      <c r="N603">
        <f>IF(B603="","",IF(B603="담보",1,0))</f>
        <v/>
      </c>
      <c r="O603">
        <f>IFERROR(ABS(G603-'02_대상물건입력'!$B$11)/'02_대상물건입력'!$B$11,"")</f>
        <v/>
      </c>
      <c r="P603">
        <f>IFERROR(ABS('01_설정'!$B$4-H603),"")</f>
        <v/>
      </c>
      <c r="Q603">
        <f>IFERROR(ABS(YEAR(J603)-YEAR('02_대상물건입력'!$B$14)),"")</f>
        <v/>
      </c>
      <c r="R603">
        <f>IF(AND(G603&gt;0,H603&gt;0,I603&gt;0,N603=1,IF('01_설정'!$B$10=1,K603=1,TRUE()),O603&lt;='01_설정'!$B$5,P603&lt;='01_설정'!$B$7,Q603&lt;='01_설정'!$B$8),"Y","")</f>
        <v/>
      </c>
      <c r="S603">
        <f>IF(R603&lt;&gt;"Y","",MAX(0,(1-O603/'01_설정'!$B$5))*'01_설정'!$B$14+MAX(0,(1-P603/'01_설정'!$B$7))*'01_설정'!$B$16+MAX(0,(1-Q603/'01_설정'!$B$8))*'01_설정'!$B$17+L603*'01_설정'!$B$11+M603*'01_설정'!$B$12+N603*50)</f>
        <v/>
      </c>
      <c r="T603">
        <f>IF(S603="","",1+COUNTIFS($S$31:$S$1030,"&gt;"&amp;S603)+COUNTIFS($S$31:S603,S603)-1)</f>
        <v/>
      </c>
    </row>
    <row r="604" hidden="1" ht="16.5" customHeight="1">
      <c r="A604">
        <f>IF(COUNTA('05_KAPA'!$A575:$AO575)=0,"",577)</f>
        <v/>
      </c>
      <c r="B604">
        <f>IF($A604="","",INDEX('05_KAPA'!$B:$B,$A604))</f>
        <v/>
      </c>
      <c r="C604">
        <f>IF($A604="","",INDEX('05_KAPA'!$F:$F,$A604))</f>
        <v/>
      </c>
      <c r="D604">
        <f>IF($A604="","",INDEX('05_KAPA'!$H:$H,$A604))</f>
        <v/>
      </c>
      <c r="E604">
        <f>IF($A604="","",INDEX('05_KAPA'!$K:$K,$A604))</f>
        <v/>
      </c>
      <c r="F604">
        <f>IF($A604="","",INDEX('05_KAPA'!$L:$L,$A604))</f>
        <v/>
      </c>
      <c r="G604">
        <f>IF($A604="","",INDEX('05_KAPA'!$I:$I,$A604))</f>
        <v/>
      </c>
      <c r="H604" s="202">
        <f>IF($A604="","",INDEX('05_KAPA'!$P:$P,$A604))</f>
        <v/>
      </c>
      <c r="I604" s="118">
        <f>IF($A604="","",INDEX('05_KAPA'!$O:$O,$A604))</f>
        <v/>
      </c>
      <c r="J604" s="202">
        <f>IF($A604="","",IFERROR(DATE(LEFT(TEXT(INDEX('05_KAPA'!$T:$T,$A604),"0"),4),MID(TEXT(INDEX('05_KAPA'!$T:$T,$A604),"0"),5,2),RIGHT(TEXT(INDEX('05_KAPA'!$T:$T,$A604),"0"),2)),""))</f>
        <v/>
      </c>
      <c r="K604">
        <f>IF(C604="","",IF('02_대상물건입력'!$B$5="",1,IF(ISNUMBER(SEARCH('02_대상물건입력'!$B$5,C604)),1,0)))</f>
        <v/>
      </c>
      <c r="L604">
        <f>IF(C604="","",IF('02_대상물건입력'!$B$6="",1,IF(ISNUMBER(SEARCH('02_대상물건입력'!$B$6,C604)),1,0)))</f>
        <v/>
      </c>
      <c r="M604">
        <f>IF(E604="","",IF('02_대상물건입력'!$B$8="",0,IF(ISNUMBER(SEARCH('02_대상물건입력'!$B$8,E604)),1,0)))</f>
        <v/>
      </c>
      <c r="N604">
        <f>IF(B604="","",IF(B604="담보",1,0))</f>
        <v/>
      </c>
      <c r="O604">
        <f>IFERROR(ABS(G604-'02_대상물건입력'!$B$11)/'02_대상물건입력'!$B$11,"")</f>
        <v/>
      </c>
      <c r="P604">
        <f>IFERROR(ABS('01_설정'!$B$4-H604),"")</f>
        <v/>
      </c>
      <c r="Q604">
        <f>IFERROR(ABS(YEAR(J604)-YEAR('02_대상물건입력'!$B$14)),"")</f>
        <v/>
      </c>
      <c r="R604">
        <f>IF(AND(G604&gt;0,H604&gt;0,I604&gt;0,N604=1,IF('01_설정'!$B$10=1,K604=1,TRUE()),O604&lt;='01_설정'!$B$5,P604&lt;='01_설정'!$B$7,Q604&lt;='01_설정'!$B$8),"Y","")</f>
        <v/>
      </c>
      <c r="S604">
        <f>IF(R604&lt;&gt;"Y","",MAX(0,(1-O604/'01_설정'!$B$5))*'01_설정'!$B$14+MAX(0,(1-P604/'01_설정'!$B$7))*'01_설정'!$B$16+MAX(0,(1-Q604/'01_설정'!$B$8))*'01_설정'!$B$17+L604*'01_설정'!$B$11+M604*'01_설정'!$B$12+N604*50)</f>
        <v/>
      </c>
      <c r="T604">
        <f>IF(S604="","",1+COUNTIFS($S$31:$S$1030,"&gt;"&amp;S604)+COUNTIFS($S$31:S604,S604)-1)</f>
        <v/>
      </c>
    </row>
    <row r="605" hidden="1" ht="16.5" customHeight="1">
      <c r="A605">
        <f>IF(COUNTA('05_KAPA'!$A576:$AO576)=0,"",578)</f>
        <v/>
      </c>
      <c r="B605">
        <f>IF($A605="","",INDEX('05_KAPA'!$B:$B,$A605))</f>
        <v/>
      </c>
      <c r="C605">
        <f>IF($A605="","",INDEX('05_KAPA'!$F:$F,$A605))</f>
        <v/>
      </c>
      <c r="D605">
        <f>IF($A605="","",INDEX('05_KAPA'!$H:$H,$A605))</f>
        <v/>
      </c>
      <c r="E605">
        <f>IF($A605="","",INDEX('05_KAPA'!$K:$K,$A605))</f>
        <v/>
      </c>
      <c r="F605">
        <f>IF($A605="","",INDEX('05_KAPA'!$L:$L,$A605))</f>
        <v/>
      </c>
      <c r="G605">
        <f>IF($A605="","",INDEX('05_KAPA'!$I:$I,$A605))</f>
        <v/>
      </c>
      <c r="H605" s="202">
        <f>IF($A605="","",INDEX('05_KAPA'!$P:$P,$A605))</f>
        <v/>
      </c>
      <c r="I605" s="118">
        <f>IF($A605="","",INDEX('05_KAPA'!$O:$O,$A605))</f>
        <v/>
      </c>
      <c r="J605" s="202">
        <f>IF($A605="","",IFERROR(DATE(LEFT(TEXT(INDEX('05_KAPA'!$T:$T,$A605),"0"),4),MID(TEXT(INDEX('05_KAPA'!$T:$T,$A605),"0"),5,2),RIGHT(TEXT(INDEX('05_KAPA'!$T:$T,$A605),"0"),2)),""))</f>
        <v/>
      </c>
      <c r="K605">
        <f>IF(C605="","",IF('02_대상물건입력'!$B$5="",1,IF(ISNUMBER(SEARCH('02_대상물건입력'!$B$5,C605)),1,0)))</f>
        <v/>
      </c>
      <c r="L605">
        <f>IF(C605="","",IF('02_대상물건입력'!$B$6="",1,IF(ISNUMBER(SEARCH('02_대상물건입력'!$B$6,C605)),1,0)))</f>
        <v/>
      </c>
      <c r="M605">
        <f>IF(E605="","",IF('02_대상물건입력'!$B$8="",0,IF(ISNUMBER(SEARCH('02_대상물건입력'!$B$8,E605)),1,0)))</f>
        <v/>
      </c>
      <c r="N605">
        <f>IF(B605="","",IF(B605="담보",1,0))</f>
        <v/>
      </c>
      <c r="O605">
        <f>IFERROR(ABS(G605-'02_대상물건입력'!$B$11)/'02_대상물건입력'!$B$11,"")</f>
        <v/>
      </c>
      <c r="P605">
        <f>IFERROR(ABS('01_설정'!$B$4-H605),"")</f>
        <v/>
      </c>
      <c r="Q605">
        <f>IFERROR(ABS(YEAR(J605)-YEAR('02_대상물건입력'!$B$14)),"")</f>
        <v/>
      </c>
      <c r="R605">
        <f>IF(AND(G605&gt;0,H605&gt;0,I605&gt;0,N605=1,IF('01_설정'!$B$10=1,K605=1,TRUE()),O605&lt;='01_설정'!$B$5,P605&lt;='01_설정'!$B$7,Q605&lt;='01_설정'!$B$8),"Y","")</f>
        <v/>
      </c>
      <c r="S605">
        <f>IF(R605&lt;&gt;"Y","",MAX(0,(1-O605/'01_설정'!$B$5))*'01_설정'!$B$14+MAX(0,(1-P605/'01_설정'!$B$7))*'01_설정'!$B$16+MAX(0,(1-Q605/'01_설정'!$B$8))*'01_설정'!$B$17+L605*'01_설정'!$B$11+M605*'01_설정'!$B$12+N605*50)</f>
        <v/>
      </c>
      <c r="T605">
        <f>IF(S605="","",1+COUNTIFS($S$31:$S$1030,"&gt;"&amp;S605)+COUNTIFS($S$31:S605,S605)-1)</f>
        <v/>
      </c>
    </row>
    <row r="606" hidden="1" ht="16.5" customHeight="1">
      <c r="A606">
        <f>IF(COUNTA('05_KAPA'!$A577:$AO577)=0,"",579)</f>
        <v/>
      </c>
      <c r="B606">
        <f>IF($A606="","",INDEX('05_KAPA'!$B:$B,$A606))</f>
        <v/>
      </c>
      <c r="C606">
        <f>IF($A606="","",INDEX('05_KAPA'!$F:$F,$A606))</f>
        <v/>
      </c>
      <c r="D606">
        <f>IF($A606="","",INDEX('05_KAPA'!$H:$H,$A606))</f>
        <v/>
      </c>
      <c r="E606">
        <f>IF($A606="","",INDEX('05_KAPA'!$K:$K,$A606))</f>
        <v/>
      </c>
      <c r="F606">
        <f>IF($A606="","",INDEX('05_KAPA'!$L:$L,$A606))</f>
        <v/>
      </c>
      <c r="G606">
        <f>IF($A606="","",INDEX('05_KAPA'!$I:$I,$A606))</f>
        <v/>
      </c>
      <c r="H606" s="202">
        <f>IF($A606="","",INDEX('05_KAPA'!$P:$P,$A606))</f>
        <v/>
      </c>
      <c r="I606" s="118">
        <f>IF($A606="","",INDEX('05_KAPA'!$O:$O,$A606))</f>
        <v/>
      </c>
      <c r="J606" s="202">
        <f>IF($A606="","",IFERROR(DATE(LEFT(TEXT(INDEX('05_KAPA'!$T:$T,$A606),"0"),4),MID(TEXT(INDEX('05_KAPA'!$T:$T,$A606),"0"),5,2),RIGHT(TEXT(INDEX('05_KAPA'!$T:$T,$A606),"0"),2)),""))</f>
        <v/>
      </c>
      <c r="K606">
        <f>IF(C606="","",IF('02_대상물건입력'!$B$5="",1,IF(ISNUMBER(SEARCH('02_대상물건입력'!$B$5,C606)),1,0)))</f>
        <v/>
      </c>
      <c r="L606">
        <f>IF(C606="","",IF('02_대상물건입력'!$B$6="",1,IF(ISNUMBER(SEARCH('02_대상물건입력'!$B$6,C606)),1,0)))</f>
        <v/>
      </c>
      <c r="M606">
        <f>IF(E606="","",IF('02_대상물건입력'!$B$8="",0,IF(ISNUMBER(SEARCH('02_대상물건입력'!$B$8,E606)),1,0)))</f>
        <v/>
      </c>
      <c r="N606">
        <f>IF(B606="","",IF(B606="담보",1,0))</f>
        <v/>
      </c>
      <c r="O606">
        <f>IFERROR(ABS(G606-'02_대상물건입력'!$B$11)/'02_대상물건입력'!$B$11,"")</f>
        <v/>
      </c>
      <c r="P606">
        <f>IFERROR(ABS('01_설정'!$B$4-H606),"")</f>
        <v/>
      </c>
      <c r="Q606">
        <f>IFERROR(ABS(YEAR(J606)-YEAR('02_대상물건입력'!$B$14)),"")</f>
        <v/>
      </c>
      <c r="R606">
        <f>IF(AND(G606&gt;0,H606&gt;0,I606&gt;0,N606=1,IF('01_설정'!$B$10=1,K606=1,TRUE()),O606&lt;='01_설정'!$B$5,P606&lt;='01_설정'!$B$7,Q606&lt;='01_설정'!$B$8),"Y","")</f>
        <v/>
      </c>
      <c r="S606">
        <f>IF(R606&lt;&gt;"Y","",MAX(0,(1-O606/'01_설정'!$B$5))*'01_설정'!$B$14+MAX(0,(1-P606/'01_설정'!$B$7))*'01_설정'!$B$16+MAX(0,(1-Q606/'01_설정'!$B$8))*'01_설정'!$B$17+L606*'01_설정'!$B$11+M606*'01_설정'!$B$12+N606*50)</f>
        <v/>
      </c>
      <c r="T606">
        <f>IF(S606="","",1+COUNTIFS($S$31:$S$1030,"&gt;"&amp;S606)+COUNTIFS($S$31:S606,S606)-1)</f>
        <v/>
      </c>
    </row>
    <row r="607" hidden="1" ht="16.5" customHeight="1">
      <c r="A607">
        <f>IF(COUNTA('05_KAPA'!$A578:$AO578)=0,"",580)</f>
        <v/>
      </c>
      <c r="B607">
        <f>IF($A607="","",INDEX('05_KAPA'!$B:$B,$A607))</f>
        <v/>
      </c>
      <c r="C607">
        <f>IF($A607="","",INDEX('05_KAPA'!$F:$F,$A607))</f>
        <v/>
      </c>
      <c r="D607">
        <f>IF($A607="","",INDEX('05_KAPA'!$H:$H,$A607))</f>
        <v/>
      </c>
      <c r="E607">
        <f>IF($A607="","",INDEX('05_KAPA'!$K:$K,$A607))</f>
        <v/>
      </c>
      <c r="F607">
        <f>IF($A607="","",INDEX('05_KAPA'!$L:$L,$A607))</f>
        <v/>
      </c>
      <c r="G607">
        <f>IF($A607="","",INDEX('05_KAPA'!$I:$I,$A607))</f>
        <v/>
      </c>
      <c r="H607" s="202">
        <f>IF($A607="","",INDEX('05_KAPA'!$P:$P,$A607))</f>
        <v/>
      </c>
      <c r="I607" s="118">
        <f>IF($A607="","",INDEX('05_KAPA'!$O:$O,$A607))</f>
        <v/>
      </c>
      <c r="J607" s="202">
        <f>IF($A607="","",IFERROR(DATE(LEFT(TEXT(INDEX('05_KAPA'!$T:$T,$A607),"0"),4),MID(TEXT(INDEX('05_KAPA'!$T:$T,$A607),"0"),5,2),RIGHT(TEXT(INDEX('05_KAPA'!$T:$T,$A607),"0"),2)),""))</f>
        <v/>
      </c>
      <c r="K607">
        <f>IF(C607="","",IF('02_대상물건입력'!$B$5="",1,IF(ISNUMBER(SEARCH('02_대상물건입력'!$B$5,C607)),1,0)))</f>
        <v/>
      </c>
      <c r="L607">
        <f>IF(C607="","",IF('02_대상물건입력'!$B$6="",1,IF(ISNUMBER(SEARCH('02_대상물건입력'!$B$6,C607)),1,0)))</f>
        <v/>
      </c>
      <c r="M607">
        <f>IF(E607="","",IF('02_대상물건입력'!$B$8="",0,IF(ISNUMBER(SEARCH('02_대상물건입력'!$B$8,E607)),1,0)))</f>
        <v/>
      </c>
      <c r="N607">
        <f>IF(B607="","",IF(B607="담보",1,0))</f>
        <v/>
      </c>
      <c r="O607">
        <f>IFERROR(ABS(G607-'02_대상물건입력'!$B$11)/'02_대상물건입력'!$B$11,"")</f>
        <v/>
      </c>
      <c r="P607">
        <f>IFERROR(ABS('01_설정'!$B$4-H607),"")</f>
        <v/>
      </c>
      <c r="Q607">
        <f>IFERROR(ABS(YEAR(J607)-YEAR('02_대상물건입력'!$B$14)),"")</f>
        <v/>
      </c>
      <c r="R607">
        <f>IF(AND(G607&gt;0,H607&gt;0,I607&gt;0,N607=1,IF('01_설정'!$B$10=1,K607=1,TRUE()),O607&lt;='01_설정'!$B$5,P607&lt;='01_설정'!$B$7,Q607&lt;='01_설정'!$B$8),"Y","")</f>
        <v/>
      </c>
      <c r="S607">
        <f>IF(R607&lt;&gt;"Y","",MAX(0,(1-O607/'01_설정'!$B$5))*'01_설정'!$B$14+MAX(0,(1-P607/'01_설정'!$B$7))*'01_설정'!$B$16+MAX(0,(1-Q607/'01_설정'!$B$8))*'01_설정'!$B$17+L607*'01_설정'!$B$11+M607*'01_설정'!$B$12+N607*50)</f>
        <v/>
      </c>
      <c r="T607">
        <f>IF(S607="","",1+COUNTIFS($S$31:$S$1030,"&gt;"&amp;S607)+COUNTIFS($S$31:S607,S607)-1)</f>
        <v/>
      </c>
    </row>
    <row r="608" hidden="1" ht="16.5" customHeight="1">
      <c r="A608">
        <f>IF(COUNTA('05_KAPA'!$A579:$AO579)=0,"",581)</f>
        <v/>
      </c>
      <c r="B608">
        <f>IF($A608="","",INDEX('05_KAPA'!$B:$B,$A608))</f>
        <v/>
      </c>
      <c r="C608">
        <f>IF($A608="","",INDEX('05_KAPA'!$F:$F,$A608))</f>
        <v/>
      </c>
      <c r="D608">
        <f>IF($A608="","",INDEX('05_KAPA'!$H:$H,$A608))</f>
        <v/>
      </c>
      <c r="E608">
        <f>IF($A608="","",INDEX('05_KAPA'!$K:$K,$A608))</f>
        <v/>
      </c>
      <c r="F608">
        <f>IF($A608="","",INDEX('05_KAPA'!$L:$L,$A608))</f>
        <v/>
      </c>
      <c r="G608">
        <f>IF($A608="","",INDEX('05_KAPA'!$I:$I,$A608))</f>
        <v/>
      </c>
      <c r="H608" s="202">
        <f>IF($A608="","",INDEX('05_KAPA'!$P:$P,$A608))</f>
        <v/>
      </c>
      <c r="I608" s="118">
        <f>IF($A608="","",INDEX('05_KAPA'!$O:$O,$A608))</f>
        <v/>
      </c>
      <c r="J608" s="202">
        <f>IF($A608="","",IFERROR(DATE(LEFT(TEXT(INDEX('05_KAPA'!$T:$T,$A608),"0"),4),MID(TEXT(INDEX('05_KAPA'!$T:$T,$A608),"0"),5,2),RIGHT(TEXT(INDEX('05_KAPA'!$T:$T,$A608),"0"),2)),""))</f>
        <v/>
      </c>
      <c r="K608">
        <f>IF(C608="","",IF('02_대상물건입력'!$B$5="",1,IF(ISNUMBER(SEARCH('02_대상물건입력'!$B$5,C608)),1,0)))</f>
        <v/>
      </c>
      <c r="L608">
        <f>IF(C608="","",IF('02_대상물건입력'!$B$6="",1,IF(ISNUMBER(SEARCH('02_대상물건입력'!$B$6,C608)),1,0)))</f>
        <v/>
      </c>
      <c r="M608">
        <f>IF(E608="","",IF('02_대상물건입력'!$B$8="",0,IF(ISNUMBER(SEARCH('02_대상물건입력'!$B$8,E608)),1,0)))</f>
        <v/>
      </c>
      <c r="N608">
        <f>IF(B608="","",IF(B608="담보",1,0))</f>
        <v/>
      </c>
      <c r="O608">
        <f>IFERROR(ABS(G608-'02_대상물건입력'!$B$11)/'02_대상물건입력'!$B$11,"")</f>
        <v/>
      </c>
      <c r="P608">
        <f>IFERROR(ABS('01_설정'!$B$4-H608),"")</f>
        <v/>
      </c>
      <c r="Q608">
        <f>IFERROR(ABS(YEAR(J608)-YEAR('02_대상물건입력'!$B$14)),"")</f>
        <v/>
      </c>
      <c r="R608">
        <f>IF(AND(G608&gt;0,H608&gt;0,I608&gt;0,N608=1,IF('01_설정'!$B$10=1,K608=1,TRUE()),O608&lt;='01_설정'!$B$5,P608&lt;='01_설정'!$B$7,Q608&lt;='01_설정'!$B$8),"Y","")</f>
        <v/>
      </c>
      <c r="S608">
        <f>IF(R608&lt;&gt;"Y","",MAX(0,(1-O608/'01_설정'!$B$5))*'01_설정'!$B$14+MAX(0,(1-P608/'01_설정'!$B$7))*'01_설정'!$B$16+MAX(0,(1-Q608/'01_설정'!$B$8))*'01_설정'!$B$17+L608*'01_설정'!$B$11+M608*'01_설정'!$B$12+N608*50)</f>
        <v/>
      </c>
      <c r="T608">
        <f>IF(S608="","",1+COUNTIFS($S$31:$S$1030,"&gt;"&amp;S608)+COUNTIFS($S$31:S608,S608)-1)</f>
        <v/>
      </c>
    </row>
    <row r="609" hidden="1" ht="16.5" customHeight="1">
      <c r="A609">
        <f>IF(COUNTA('05_KAPA'!$A580:$AO580)=0,"",582)</f>
        <v/>
      </c>
      <c r="B609">
        <f>IF($A609="","",INDEX('05_KAPA'!$B:$B,$A609))</f>
        <v/>
      </c>
      <c r="C609">
        <f>IF($A609="","",INDEX('05_KAPA'!$F:$F,$A609))</f>
        <v/>
      </c>
      <c r="D609">
        <f>IF($A609="","",INDEX('05_KAPA'!$H:$H,$A609))</f>
        <v/>
      </c>
      <c r="E609">
        <f>IF($A609="","",INDEX('05_KAPA'!$K:$K,$A609))</f>
        <v/>
      </c>
      <c r="F609">
        <f>IF($A609="","",INDEX('05_KAPA'!$L:$L,$A609))</f>
        <v/>
      </c>
      <c r="G609">
        <f>IF($A609="","",INDEX('05_KAPA'!$I:$I,$A609))</f>
        <v/>
      </c>
      <c r="H609" s="202">
        <f>IF($A609="","",INDEX('05_KAPA'!$P:$P,$A609))</f>
        <v/>
      </c>
      <c r="I609" s="118">
        <f>IF($A609="","",INDEX('05_KAPA'!$O:$O,$A609))</f>
        <v/>
      </c>
      <c r="J609" s="202">
        <f>IF($A609="","",IFERROR(DATE(LEFT(TEXT(INDEX('05_KAPA'!$T:$T,$A609),"0"),4),MID(TEXT(INDEX('05_KAPA'!$T:$T,$A609),"0"),5,2),RIGHT(TEXT(INDEX('05_KAPA'!$T:$T,$A609),"0"),2)),""))</f>
        <v/>
      </c>
      <c r="K609">
        <f>IF(C609="","",IF('02_대상물건입력'!$B$5="",1,IF(ISNUMBER(SEARCH('02_대상물건입력'!$B$5,C609)),1,0)))</f>
        <v/>
      </c>
      <c r="L609">
        <f>IF(C609="","",IF('02_대상물건입력'!$B$6="",1,IF(ISNUMBER(SEARCH('02_대상물건입력'!$B$6,C609)),1,0)))</f>
        <v/>
      </c>
      <c r="M609">
        <f>IF(E609="","",IF('02_대상물건입력'!$B$8="",0,IF(ISNUMBER(SEARCH('02_대상물건입력'!$B$8,E609)),1,0)))</f>
        <v/>
      </c>
      <c r="N609">
        <f>IF(B609="","",IF(B609="담보",1,0))</f>
        <v/>
      </c>
      <c r="O609">
        <f>IFERROR(ABS(G609-'02_대상물건입력'!$B$11)/'02_대상물건입력'!$B$11,"")</f>
        <v/>
      </c>
      <c r="P609">
        <f>IFERROR(ABS('01_설정'!$B$4-H609),"")</f>
        <v/>
      </c>
      <c r="Q609">
        <f>IFERROR(ABS(YEAR(J609)-YEAR('02_대상물건입력'!$B$14)),"")</f>
        <v/>
      </c>
      <c r="R609">
        <f>IF(AND(G609&gt;0,H609&gt;0,I609&gt;0,N609=1,IF('01_설정'!$B$10=1,K609=1,TRUE()),O609&lt;='01_설정'!$B$5,P609&lt;='01_설정'!$B$7,Q609&lt;='01_설정'!$B$8),"Y","")</f>
        <v/>
      </c>
      <c r="S609">
        <f>IF(R609&lt;&gt;"Y","",MAX(0,(1-O609/'01_설정'!$B$5))*'01_설정'!$B$14+MAX(0,(1-P609/'01_설정'!$B$7))*'01_설정'!$B$16+MAX(0,(1-Q609/'01_설정'!$B$8))*'01_설정'!$B$17+L609*'01_설정'!$B$11+M609*'01_설정'!$B$12+N609*50)</f>
        <v/>
      </c>
      <c r="T609">
        <f>IF(S609="","",1+COUNTIFS($S$31:$S$1030,"&gt;"&amp;S609)+COUNTIFS($S$31:S609,S609)-1)</f>
        <v/>
      </c>
    </row>
    <row r="610" hidden="1" ht="16.5" customHeight="1">
      <c r="A610">
        <f>IF(COUNTA('05_KAPA'!$A581:$AO581)=0,"",583)</f>
        <v/>
      </c>
      <c r="B610">
        <f>IF($A610="","",INDEX('05_KAPA'!$B:$B,$A610))</f>
        <v/>
      </c>
      <c r="C610">
        <f>IF($A610="","",INDEX('05_KAPA'!$F:$F,$A610))</f>
        <v/>
      </c>
      <c r="D610">
        <f>IF($A610="","",INDEX('05_KAPA'!$H:$H,$A610))</f>
        <v/>
      </c>
      <c r="E610">
        <f>IF($A610="","",INDEX('05_KAPA'!$K:$K,$A610))</f>
        <v/>
      </c>
      <c r="F610">
        <f>IF($A610="","",INDEX('05_KAPA'!$L:$L,$A610))</f>
        <v/>
      </c>
      <c r="G610">
        <f>IF($A610="","",INDEX('05_KAPA'!$I:$I,$A610))</f>
        <v/>
      </c>
      <c r="H610" s="202">
        <f>IF($A610="","",INDEX('05_KAPA'!$P:$P,$A610))</f>
        <v/>
      </c>
      <c r="I610" s="118">
        <f>IF($A610="","",INDEX('05_KAPA'!$O:$O,$A610))</f>
        <v/>
      </c>
      <c r="J610" s="202">
        <f>IF($A610="","",IFERROR(DATE(LEFT(TEXT(INDEX('05_KAPA'!$T:$T,$A610),"0"),4),MID(TEXT(INDEX('05_KAPA'!$T:$T,$A610),"0"),5,2),RIGHT(TEXT(INDEX('05_KAPA'!$T:$T,$A610),"0"),2)),""))</f>
        <v/>
      </c>
      <c r="K610">
        <f>IF(C610="","",IF('02_대상물건입력'!$B$5="",1,IF(ISNUMBER(SEARCH('02_대상물건입력'!$B$5,C610)),1,0)))</f>
        <v/>
      </c>
      <c r="L610">
        <f>IF(C610="","",IF('02_대상물건입력'!$B$6="",1,IF(ISNUMBER(SEARCH('02_대상물건입력'!$B$6,C610)),1,0)))</f>
        <v/>
      </c>
      <c r="M610">
        <f>IF(E610="","",IF('02_대상물건입력'!$B$8="",0,IF(ISNUMBER(SEARCH('02_대상물건입력'!$B$8,E610)),1,0)))</f>
        <v/>
      </c>
      <c r="N610">
        <f>IF(B610="","",IF(B610="담보",1,0))</f>
        <v/>
      </c>
      <c r="O610">
        <f>IFERROR(ABS(G610-'02_대상물건입력'!$B$11)/'02_대상물건입력'!$B$11,"")</f>
        <v/>
      </c>
      <c r="P610">
        <f>IFERROR(ABS('01_설정'!$B$4-H610),"")</f>
        <v/>
      </c>
      <c r="Q610">
        <f>IFERROR(ABS(YEAR(J610)-YEAR('02_대상물건입력'!$B$14)),"")</f>
        <v/>
      </c>
      <c r="R610">
        <f>IF(AND(G610&gt;0,H610&gt;0,I610&gt;0,N610=1,IF('01_설정'!$B$10=1,K610=1,TRUE()),O610&lt;='01_설정'!$B$5,P610&lt;='01_설정'!$B$7,Q610&lt;='01_설정'!$B$8),"Y","")</f>
        <v/>
      </c>
      <c r="S610">
        <f>IF(R610&lt;&gt;"Y","",MAX(0,(1-O610/'01_설정'!$B$5))*'01_설정'!$B$14+MAX(0,(1-P610/'01_설정'!$B$7))*'01_설정'!$B$16+MAX(0,(1-Q610/'01_설정'!$B$8))*'01_설정'!$B$17+L610*'01_설정'!$B$11+M610*'01_설정'!$B$12+N610*50)</f>
        <v/>
      </c>
      <c r="T610">
        <f>IF(S610="","",1+COUNTIFS($S$31:$S$1030,"&gt;"&amp;S610)+COUNTIFS($S$31:S610,S610)-1)</f>
        <v/>
      </c>
    </row>
    <row r="611" hidden="1" ht="16.5" customHeight="1">
      <c r="A611">
        <f>IF(COUNTA('05_KAPA'!$A582:$AO582)=0,"",584)</f>
        <v/>
      </c>
      <c r="B611">
        <f>IF($A611="","",INDEX('05_KAPA'!$B:$B,$A611))</f>
        <v/>
      </c>
      <c r="C611">
        <f>IF($A611="","",INDEX('05_KAPA'!$F:$F,$A611))</f>
        <v/>
      </c>
      <c r="D611">
        <f>IF($A611="","",INDEX('05_KAPA'!$H:$H,$A611))</f>
        <v/>
      </c>
      <c r="E611">
        <f>IF($A611="","",INDEX('05_KAPA'!$K:$K,$A611))</f>
        <v/>
      </c>
      <c r="F611">
        <f>IF($A611="","",INDEX('05_KAPA'!$L:$L,$A611))</f>
        <v/>
      </c>
      <c r="G611">
        <f>IF($A611="","",INDEX('05_KAPA'!$I:$I,$A611))</f>
        <v/>
      </c>
      <c r="H611" s="202">
        <f>IF($A611="","",INDEX('05_KAPA'!$P:$P,$A611))</f>
        <v/>
      </c>
      <c r="I611" s="118">
        <f>IF($A611="","",INDEX('05_KAPA'!$O:$O,$A611))</f>
        <v/>
      </c>
      <c r="J611" s="202">
        <f>IF($A611="","",IFERROR(DATE(LEFT(TEXT(INDEX('05_KAPA'!$T:$T,$A611),"0"),4),MID(TEXT(INDEX('05_KAPA'!$T:$T,$A611),"0"),5,2),RIGHT(TEXT(INDEX('05_KAPA'!$T:$T,$A611),"0"),2)),""))</f>
        <v/>
      </c>
      <c r="K611">
        <f>IF(C611="","",IF('02_대상물건입력'!$B$5="",1,IF(ISNUMBER(SEARCH('02_대상물건입력'!$B$5,C611)),1,0)))</f>
        <v/>
      </c>
      <c r="L611">
        <f>IF(C611="","",IF('02_대상물건입력'!$B$6="",1,IF(ISNUMBER(SEARCH('02_대상물건입력'!$B$6,C611)),1,0)))</f>
        <v/>
      </c>
      <c r="M611">
        <f>IF(E611="","",IF('02_대상물건입력'!$B$8="",0,IF(ISNUMBER(SEARCH('02_대상물건입력'!$B$8,E611)),1,0)))</f>
        <v/>
      </c>
      <c r="N611">
        <f>IF(B611="","",IF(B611="담보",1,0))</f>
        <v/>
      </c>
      <c r="O611">
        <f>IFERROR(ABS(G611-'02_대상물건입력'!$B$11)/'02_대상물건입력'!$B$11,"")</f>
        <v/>
      </c>
      <c r="P611">
        <f>IFERROR(ABS('01_설정'!$B$4-H611),"")</f>
        <v/>
      </c>
      <c r="Q611">
        <f>IFERROR(ABS(YEAR(J611)-YEAR('02_대상물건입력'!$B$14)),"")</f>
        <v/>
      </c>
      <c r="R611">
        <f>IF(AND(G611&gt;0,H611&gt;0,I611&gt;0,N611=1,IF('01_설정'!$B$10=1,K611=1,TRUE()),O611&lt;='01_설정'!$B$5,P611&lt;='01_설정'!$B$7,Q611&lt;='01_설정'!$B$8),"Y","")</f>
        <v/>
      </c>
      <c r="S611">
        <f>IF(R611&lt;&gt;"Y","",MAX(0,(1-O611/'01_설정'!$B$5))*'01_설정'!$B$14+MAX(0,(1-P611/'01_설정'!$B$7))*'01_설정'!$B$16+MAX(0,(1-Q611/'01_설정'!$B$8))*'01_설정'!$B$17+L611*'01_설정'!$B$11+M611*'01_설정'!$B$12+N611*50)</f>
        <v/>
      </c>
      <c r="T611">
        <f>IF(S611="","",1+COUNTIFS($S$31:$S$1030,"&gt;"&amp;S611)+COUNTIFS($S$31:S611,S611)-1)</f>
        <v/>
      </c>
    </row>
    <row r="612" hidden="1" ht="16.5" customHeight="1">
      <c r="A612">
        <f>IF(COUNTA('05_KAPA'!$A583:$AO583)=0,"",585)</f>
        <v/>
      </c>
      <c r="B612">
        <f>IF($A612="","",INDEX('05_KAPA'!$B:$B,$A612))</f>
        <v/>
      </c>
      <c r="C612">
        <f>IF($A612="","",INDEX('05_KAPA'!$F:$F,$A612))</f>
        <v/>
      </c>
      <c r="D612">
        <f>IF($A612="","",INDEX('05_KAPA'!$H:$H,$A612))</f>
        <v/>
      </c>
      <c r="E612">
        <f>IF($A612="","",INDEX('05_KAPA'!$K:$K,$A612))</f>
        <v/>
      </c>
      <c r="F612">
        <f>IF($A612="","",INDEX('05_KAPA'!$L:$L,$A612))</f>
        <v/>
      </c>
      <c r="G612">
        <f>IF($A612="","",INDEX('05_KAPA'!$I:$I,$A612))</f>
        <v/>
      </c>
      <c r="H612" s="202">
        <f>IF($A612="","",INDEX('05_KAPA'!$P:$P,$A612))</f>
        <v/>
      </c>
      <c r="I612" s="118">
        <f>IF($A612="","",INDEX('05_KAPA'!$O:$O,$A612))</f>
        <v/>
      </c>
      <c r="J612" s="202">
        <f>IF($A612="","",IFERROR(DATE(LEFT(TEXT(INDEX('05_KAPA'!$T:$T,$A612),"0"),4),MID(TEXT(INDEX('05_KAPA'!$T:$T,$A612),"0"),5,2),RIGHT(TEXT(INDEX('05_KAPA'!$T:$T,$A612),"0"),2)),""))</f>
        <v/>
      </c>
      <c r="K612">
        <f>IF(C612="","",IF('02_대상물건입력'!$B$5="",1,IF(ISNUMBER(SEARCH('02_대상물건입력'!$B$5,C612)),1,0)))</f>
        <v/>
      </c>
      <c r="L612">
        <f>IF(C612="","",IF('02_대상물건입력'!$B$6="",1,IF(ISNUMBER(SEARCH('02_대상물건입력'!$B$6,C612)),1,0)))</f>
        <v/>
      </c>
      <c r="M612">
        <f>IF(E612="","",IF('02_대상물건입력'!$B$8="",0,IF(ISNUMBER(SEARCH('02_대상물건입력'!$B$8,E612)),1,0)))</f>
        <v/>
      </c>
      <c r="N612">
        <f>IF(B612="","",IF(B612="담보",1,0))</f>
        <v/>
      </c>
      <c r="O612">
        <f>IFERROR(ABS(G612-'02_대상물건입력'!$B$11)/'02_대상물건입력'!$B$11,"")</f>
        <v/>
      </c>
      <c r="P612">
        <f>IFERROR(ABS('01_설정'!$B$4-H612),"")</f>
        <v/>
      </c>
      <c r="Q612">
        <f>IFERROR(ABS(YEAR(J612)-YEAR('02_대상물건입력'!$B$14)),"")</f>
        <v/>
      </c>
      <c r="R612">
        <f>IF(AND(G612&gt;0,H612&gt;0,I612&gt;0,N612=1,IF('01_설정'!$B$10=1,K612=1,TRUE()),O612&lt;='01_설정'!$B$5,P612&lt;='01_설정'!$B$7,Q612&lt;='01_설정'!$B$8),"Y","")</f>
        <v/>
      </c>
      <c r="S612">
        <f>IF(R612&lt;&gt;"Y","",MAX(0,(1-O612/'01_설정'!$B$5))*'01_설정'!$B$14+MAX(0,(1-P612/'01_설정'!$B$7))*'01_설정'!$B$16+MAX(0,(1-Q612/'01_설정'!$B$8))*'01_설정'!$B$17+L612*'01_설정'!$B$11+M612*'01_설정'!$B$12+N612*50)</f>
        <v/>
      </c>
      <c r="T612">
        <f>IF(S612="","",1+COUNTIFS($S$31:$S$1030,"&gt;"&amp;S612)+COUNTIFS($S$31:S612,S612)-1)</f>
        <v/>
      </c>
    </row>
    <row r="613" hidden="1" ht="16.5" customHeight="1">
      <c r="A613">
        <f>IF(COUNTA('05_KAPA'!$A584:$AO584)=0,"",586)</f>
        <v/>
      </c>
      <c r="B613">
        <f>IF($A613="","",INDEX('05_KAPA'!$B:$B,$A613))</f>
        <v/>
      </c>
      <c r="C613">
        <f>IF($A613="","",INDEX('05_KAPA'!$F:$F,$A613))</f>
        <v/>
      </c>
      <c r="D613">
        <f>IF($A613="","",INDEX('05_KAPA'!$H:$H,$A613))</f>
        <v/>
      </c>
      <c r="E613">
        <f>IF($A613="","",INDEX('05_KAPA'!$K:$K,$A613))</f>
        <v/>
      </c>
      <c r="F613">
        <f>IF($A613="","",INDEX('05_KAPA'!$L:$L,$A613))</f>
        <v/>
      </c>
      <c r="G613">
        <f>IF($A613="","",INDEX('05_KAPA'!$I:$I,$A613))</f>
        <v/>
      </c>
      <c r="H613" s="202">
        <f>IF($A613="","",INDEX('05_KAPA'!$P:$P,$A613))</f>
        <v/>
      </c>
      <c r="I613" s="118">
        <f>IF($A613="","",INDEX('05_KAPA'!$O:$O,$A613))</f>
        <v/>
      </c>
      <c r="J613" s="202">
        <f>IF($A613="","",IFERROR(DATE(LEFT(TEXT(INDEX('05_KAPA'!$T:$T,$A613),"0"),4),MID(TEXT(INDEX('05_KAPA'!$T:$T,$A613),"0"),5,2),RIGHT(TEXT(INDEX('05_KAPA'!$T:$T,$A613),"0"),2)),""))</f>
        <v/>
      </c>
      <c r="K613">
        <f>IF(C613="","",IF('02_대상물건입력'!$B$5="",1,IF(ISNUMBER(SEARCH('02_대상물건입력'!$B$5,C613)),1,0)))</f>
        <v/>
      </c>
      <c r="L613">
        <f>IF(C613="","",IF('02_대상물건입력'!$B$6="",1,IF(ISNUMBER(SEARCH('02_대상물건입력'!$B$6,C613)),1,0)))</f>
        <v/>
      </c>
      <c r="M613">
        <f>IF(E613="","",IF('02_대상물건입력'!$B$8="",0,IF(ISNUMBER(SEARCH('02_대상물건입력'!$B$8,E613)),1,0)))</f>
        <v/>
      </c>
      <c r="N613">
        <f>IF(B613="","",IF(B613="담보",1,0))</f>
        <v/>
      </c>
      <c r="O613">
        <f>IFERROR(ABS(G613-'02_대상물건입력'!$B$11)/'02_대상물건입력'!$B$11,"")</f>
        <v/>
      </c>
      <c r="P613">
        <f>IFERROR(ABS('01_설정'!$B$4-H613),"")</f>
        <v/>
      </c>
      <c r="Q613">
        <f>IFERROR(ABS(YEAR(J613)-YEAR('02_대상물건입력'!$B$14)),"")</f>
        <v/>
      </c>
      <c r="R613">
        <f>IF(AND(G613&gt;0,H613&gt;0,I613&gt;0,N613=1,IF('01_설정'!$B$10=1,K613=1,TRUE()),O613&lt;='01_설정'!$B$5,P613&lt;='01_설정'!$B$7,Q613&lt;='01_설정'!$B$8),"Y","")</f>
        <v/>
      </c>
      <c r="S613">
        <f>IF(R613&lt;&gt;"Y","",MAX(0,(1-O613/'01_설정'!$B$5))*'01_설정'!$B$14+MAX(0,(1-P613/'01_설정'!$B$7))*'01_설정'!$B$16+MAX(0,(1-Q613/'01_설정'!$B$8))*'01_설정'!$B$17+L613*'01_설정'!$B$11+M613*'01_설정'!$B$12+N613*50)</f>
        <v/>
      </c>
      <c r="T613">
        <f>IF(S613="","",1+COUNTIFS($S$31:$S$1030,"&gt;"&amp;S613)+COUNTIFS($S$31:S613,S613)-1)</f>
        <v/>
      </c>
    </row>
    <row r="614" hidden="1" ht="16.5" customHeight="1">
      <c r="A614">
        <f>IF(COUNTA('05_KAPA'!$A585:$AO585)=0,"",587)</f>
        <v/>
      </c>
      <c r="B614">
        <f>IF($A614="","",INDEX('05_KAPA'!$B:$B,$A614))</f>
        <v/>
      </c>
      <c r="C614">
        <f>IF($A614="","",INDEX('05_KAPA'!$F:$F,$A614))</f>
        <v/>
      </c>
      <c r="D614">
        <f>IF($A614="","",INDEX('05_KAPA'!$H:$H,$A614))</f>
        <v/>
      </c>
      <c r="E614">
        <f>IF($A614="","",INDEX('05_KAPA'!$K:$K,$A614))</f>
        <v/>
      </c>
      <c r="F614">
        <f>IF($A614="","",INDEX('05_KAPA'!$L:$L,$A614))</f>
        <v/>
      </c>
      <c r="G614">
        <f>IF($A614="","",INDEX('05_KAPA'!$I:$I,$A614))</f>
        <v/>
      </c>
      <c r="H614" s="202">
        <f>IF($A614="","",INDEX('05_KAPA'!$P:$P,$A614))</f>
        <v/>
      </c>
      <c r="I614" s="118">
        <f>IF($A614="","",INDEX('05_KAPA'!$O:$O,$A614))</f>
        <v/>
      </c>
      <c r="J614" s="202">
        <f>IF($A614="","",IFERROR(DATE(LEFT(TEXT(INDEX('05_KAPA'!$T:$T,$A614),"0"),4),MID(TEXT(INDEX('05_KAPA'!$T:$T,$A614),"0"),5,2),RIGHT(TEXT(INDEX('05_KAPA'!$T:$T,$A614),"0"),2)),""))</f>
        <v/>
      </c>
      <c r="K614">
        <f>IF(C614="","",IF('02_대상물건입력'!$B$5="",1,IF(ISNUMBER(SEARCH('02_대상물건입력'!$B$5,C614)),1,0)))</f>
        <v/>
      </c>
      <c r="L614">
        <f>IF(C614="","",IF('02_대상물건입력'!$B$6="",1,IF(ISNUMBER(SEARCH('02_대상물건입력'!$B$6,C614)),1,0)))</f>
        <v/>
      </c>
      <c r="M614">
        <f>IF(E614="","",IF('02_대상물건입력'!$B$8="",0,IF(ISNUMBER(SEARCH('02_대상물건입력'!$B$8,E614)),1,0)))</f>
        <v/>
      </c>
      <c r="N614">
        <f>IF(B614="","",IF(B614="담보",1,0))</f>
        <v/>
      </c>
      <c r="O614">
        <f>IFERROR(ABS(G614-'02_대상물건입력'!$B$11)/'02_대상물건입력'!$B$11,"")</f>
        <v/>
      </c>
      <c r="P614">
        <f>IFERROR(ABS('01_설정'!$B$4-H614),"")</f>
        <v/>
      </c>
      <c r="Q614">
        <f>IFERROR(ABS(YEAR(J614)-YEAR('02_대상물건입력'!$B$14)),"")</f>
        <v/>
      </c>
      <c r="R614">
        <f>IF(AND(G614&gt;0,H614&gt;0,I614&gt;0,N614=1,IF('01_설정'!$B$10=1,K614=1,TRUE()),O614&lt;='01_설정'!$B$5,P614&lt;='01_설정'!$B$7,Q614&lt;='01_설정'!$B$8),"Y","")</f>
        <v/>
      </c>
      <c r="S614">
        <f>IF(R614&lt;&gt;"Y","",MAX(0,(1-O614/'01_설정'!$B$5))*'01_설정'!$B$14+MAX(0,(1-P614/'01_설정'!$B$7))*'01_설정'!$B$16+MAX(0,(1-Q614/'01_설정'!$B$8))*'01_설정'!$B$17+L614*'01_설정'!$B$11+M614*'01_설정'!$B$12+N614*50)</f>
        <v/>
      </c>
      <c r="T614">
        <f>IF(S614="","",1+COUNTIFS($S$31:$S$1030,"&gt;"&amp;S614)+COUNTIFS($S$31:S614,S614)-1)</f>
        <v/>
      </c>
    </row>
    <row r="615" hidden="1" ht="16.5" customHeight="1">
      <c r="A615">
        <f>IF(COUNTA('05_KAPA'!$A586:$AO586)=0,"",588)</f>
        <v/>
      </c>
      <c r="B615">
        <f>IF($A615="","",INDEX('05_KAPA'!$B:$B,$A615))</f>
        <v/>
      </c>
      <c r="C615">
        <f>IF($A615="","",INDEX('05_KAPA'!$F:$F,$A615))</f>
        <v/>
      </c>
      <c r="D615">
        <f>IF($A615="","",INDEX('05_KAPA'!$H:$H,$A615))</f>
        <v/>
      </c>
      <c r="E615">
        <f>IF($A615="","",INDEX('05_KAPA'!$K:$K,$A615))</f>
        <v/>
      </c>
      <c r="F615">
        <f>IF($A615="","",INDEX('05_KAPA'!$L:$L,$A615))</f>
        <v/>
      </c>
      <c r="G615">
        <f>IF($A615="","",INDEX('05_KAPA'!$I:$I,$A615))</f>
        <v/>
      </c>
      <c r="H615" s="202">
        <f>IF($A615="","",INDEX('05_KAPA'!$P:$P,$A615))</f>
        <v/>
      </c>
      <c r="I615" s="118">
        <f>IF($A615="","",INDEX('05_KAPA'!$O:$O,$A615))</f>
        <v/>
      </c>
      <c r="J615" s="202">
        <f>IF($A615="","",IFERROR(DATE(LEFT(TEXT(INDEX('05_KAPA'!$T:$T,$A615),"0"),4),MID(TEXT(INDEX('05_KAPA'!$T:$T,$A615),"0"),5,2),RIGHT(TEXT(INDEX('05_KAPA'!$T:$T,$A615),"0"),2)),""))</f>
        <v/>
      </c>
      <c r="K615">
        <f>IF(C615="","",IF('02_대상물건입력'!$B$5="",1,IF(ISNUMBER(SEARCH('02_대상물건입력'!$B$5,C615)),1,0)))</f>
        <v/>
      </c>
      <c r="L615">
        <f>IF(C615="","",IF('02_대상물건입력'!$B$6="",1,IF(ISNUMBER(SEARCH('02_대상물건입력'!$B$6,C615)),1,0)))</f>
        <v/>
      </c>
      <c r="M615">
        <f>IF(E615="","",IF('02_대상물건입력'!$B$8="",0,IF(ISNUMBER(SEARCH('02_대상물건입력'!$B$8,E615)),1,0)))</f>
        <v/>
      </c>
      <c r="N615">
        <f>IF(B615="","",IF(B615="담보",1,0))</f>
        <v/>
      </c>
      <c r="O615">
        <f>IFERROR(ABS(G615-'02_대상물건입력'!$B$11)/'02_대상물건입력'!$B$11,"")</f>
        <v/>
      </c>
      <c r="P615">
        <f>IFERROR(ABS('01_설정'!$B$4-H615),"")</f>
        <v/>
      </c>
      <c r="Q615">
        <f>IFERROR(ABS(YEAR(J615)-YEAR('02_대상물건입력'!$B$14)),"")</f>
        <v/>
      </c>
      <c r="R615">
        <f>IF(AND(G615&gt;0,H615&gt;0,I615&gt;0,N615=1,IF('01_설정'!$B$10=1,K615=1,TRUE()),O615&lt;='01_설정'!$B$5,P615&lt;='01_설정'!$B$7,Q615&lt;='01_설정'!$B$8),"Y","")</f>
        <v/>
      </c>
      <c r="S615">
        <f>IF(R615&lt;&gt;"Y","",MAX(0,(1-O615/'01_설정'!$B$5))*'01_설정'!$B$14+MAX(0,(1-P615/'01_설정'!$B$7))*'01_설정'!$B$16+MAX(0,(1-Q615/'01_설정'!$B$8))*'01_설정'!$B$17+L615*'01_설정'!$B$11+M615*'01_설정'!$B$12+N615*50)</f>
        <v/>
      </c>
      <c r="T615">
        <f>IF(S615="","",1+COUNTIFS($S$31:$S$1030,"&gt;"&amp;S615)+COUNTIFS($S$31:S615,S615)-1)</f>
        <v/>
      </c>
    </row>
    <row r="616" hidden="1" ht="16.5" customHeight="1">
      <c r="A616">
        <f>IF(COUNTA('05_KAPA'!$A587:$AO587)=0,"",589)</f>
        <v/>
      </c>
      <c r="B616">
        <f>IF($A616="","",INDEX('05_KAPA'!$B:$B,$A616))</f>
        <v/>
      </c>
      <c r="C616">
        <f>IF($A616="","",INDEX('05_KAPA'!$F:$F,$A616))</f>
        <v/>
      </c>
      <c r="D616">
        <f>IF($A616="","",INDEX('05_KAPA'!$H:$H,$A616))</f>
        <v/>
      </c>
      <c r="E616">
        <f>IF($A616="","",INDEX('05_KAPA'!$K:$K,$A616))</f>
        <v/>
      </c>
      <c r="F616">
        <f>IF($A616="","",INDEX('05_KAPA'!$L:$L,$A616))</f>
        <v/>
      </c>
      <c r="G616">
        <f>IF($A616="","",INDEX('05_KAPA'!$I:$I,$A616))</f>
        <v/>
      </c>
      <c r="H616" s="202">
        <f>IF($A616="","",INDEX('05_KAPA'!$P:$P,$A616))</f>
        <v/>
      </c>
      <c r="I616" s="118">
        <f>IF($A616="","",INDEX('05_KAPA'!$O:$O,$A616))</f>
        <v/>
      </c>
      <c r="J616" s="202">
        <f>IF($A616="","",IFERROR(DATE(LEFT(TEXT(INDEX('05_KAPA'!$T:$T,$A616),"0"),4),MID(TEXT(INDEX('05_KAPA'!$T:$T,$A616),"0"),5,2),RIGHT(TEXT(INDEX('05_KAPA'!$T:$T,$A616),"0"),2)),""))</f>
        <v/>
      </c>
      <c r="K616">
        <f>IF(C616="","",IF('02_대상물건입력'!$B$5="",1,IF(ISNUMBER(SEARCH('02_대상물건입력'!$B$5,C616)),1,0)))</f>
        <v/>
      </c>
      <c r="L616">
        <f>IF(C616="","",IF('02_대상물건입력'!$B$6="",1,IF(ISNUMBER(SEARCH('02_대상물건입력'!$B$6,C616)),1,0)))</f>
        <v/>
      </c>
      <c r="M616">
        <f>IF(E616="","",IF('02_대상물건입력'!$B$8="",0,IF(ISNUMBER(SEARCH('02_대상물건입력'!$B$8,E616)),1,0)))</f>
        <v/>
      </c>
      <c r="N616">
        <f>IF(B616="","",IF(B616="담보",1,0))</f>
        <v/>
      </c>
      <c r="O616">
        <f>IFERROR(ABS(G616-'02_대상물건입력'!$B$11)/'02_대상물건입력'!$B$11,"")</f>
        <v/>
      </c>
      <c r="P616">
        <f>IFERROR(ABS('01_설정'!$B$4-H616),"")</f>
        <v/>
      </c>
      <c r="Q616">
        <f>IFERROR(ABS(YEAR(J616)-YEAR('02_대상물건입력'!$B$14)),"")</f>
        <v/>
      </c>
      <c r="R616">
        <f>IF(AND(G616&gt;0,H616&gt;0,I616&gt;0,N616=1,IF('01_설정'!$B$10=1,K616=1,TRUE()),O616&lt;='01_설정'!$B$5,P616&lt;='01_설정'!$B$7,Q616&lt;='01_설정'!$B$8),"Y","")</f>
        <v/>
      </c>
      <c r="S616">
        <f>IF(R616&lt;&gt;"Y","",MAX(0,(1-O616/'01_설정'!$B$5))*'01_설정'!$B$14+MAX(0,(1-P616/'01_설정'!$B$7))*'01_설정'!$B$16+MAX(0,(1-Q616/'01_설정'!$B$8))*'01_설정'!$B$17+L616*'01_설정'!$B$11+M616*'01_설정'!$B$12+N616*50)</f>
        <v/>
      </c>
      <c r="T616">
        <f>IF(S616="","",1+COUNTIFS($S$31:$S$1030,"&gt;"&amp;S616)+COUNTIFS($S$31:S616,S616)-1)</f>
        <v/>
      </c>
    </row>
    <row r="617" hidden="1" ht="16.5" customHeight="1">
      <c r="A617">
        <f>IF(COUNTA('05_KAPA'!$A588:$AO588)=0,"",590)</f>
        <v/>
      </c>
      <c r="B617">
        <f>IF($A617="","",INDEX('05_KAPA'!$B:$B,$A617))</f>
        <v/>
      </c>
      <c r="C617">
        <f>IF($A617="","",INDEX('05_KAPA'!$F:$F,$A617))</f>
        <v/>
      </c>
      <c r="D617">
        <f>IF($A617="","",INDEX('05_KAPA'!$H:$H,$A617))</f>
        <v/>
      </c>
      <c r="E617">
        <f>IF($A617="","",INDEX('05_KAPA'!$K:$K,$A617))</f>
        <v/>
      </c>
      <c r="F617">
        <f>IF($A617="","",INDEX('05_KAPA'!$L:$L,$A617))</f>
        <v/>
      </c>
      <c r="G617">
        <f>IF($A617="","",INDEX('05_KAPA'!$I:$I,$A617))</f>
        <v/>
      </c>
      <c r="H617" s="202">
        <f>IF($A617="","",INDEX('05_KAPA'!$P:$P,$A617))</f>
        <v/>
      </c>
      <c r="I617" s="118">
        <f>IF($A617="","",INDEX('05_KAPA'!$O:$O,$A617))</f>
        <v/>
      </c>
      <c r="J617" s="202">
        <f>IF($A617="","",IFERROR(DATE(LEFT(TEXT(INDEX('05_KAPA'!$T:$T,$A617),"0"),4),MID(TEXT(INDEX('05_KAPA'!$T:$T,$A617),"0"),5,2),RIGHT(TEXT(INDEX('05_KAPA'!$T:$T,$A617),"0"),2)),""))</f>
        <v/>
      </c>
      <c r="K617">
        <f>IF(C617="","",IF('02_대상물건입력'!$B$5="",1,IF(ISNUMBER(SEARCH('02_대상물건입력'!$B$5,C617)),1,0)))</f>
        <v/>
      </c>
      <c r="L617">
        <f>IF(C617="","",IF('02_대상물건입력'!$B$6="",1,IF(ISNUMBER(SEARCH('02_대상물건입력'!$B$6,C617)),1,0)))</f>
        <v/>
      </c>
      <c r="M617">
        <f>IF(E617="","",IF('02_대상물건입력'!$B$8="",0,IF(ISNUMBER(SEARCH('02_대상물건입력'!$B$8,E617)),1,0)))</f>
        <v/>
      </c>
      <c r="N617">
        <f>IF(B617="","",IF(B617="담보",1,0))</f>
        <v/>
      </c>
      <c r="O617">
        <f>IFERROR(ABS(G617-'02_대상물건입력'!$B$11)/'02_대상물건입력'!$B$11,"")</f>
        <v/>
      </c>
      <c r="P617">
        <f>IFERROR(ABS('01_설정'!$B$4-H617),"")</f>
        <v/>
      </c>
      <c r="Q617">
        <f>IFERROR(ABS(YEAR(J617)-YEAR('02_대상물건입력'!$B$14)),"")</f>
        <v/>
      </c>
      <c r="R617">
        <f>IF(AND(G617&gt;0,H617&gt;0,I617&gt;0,N617=1,IF('01_설정'!$B$10=1,K617=1,TRUE()),O617&lt;='01_설정'!$B$5,P617&lt;='01_설정'!$B$7,Q617&lt;='01_설정'!$B$8),"Y","")</f>
        <v/>
      </c>
      <c r="S617">
        <f>IF(R617&lt;&gt;"Y","",MAX(0,(1-O617/'01_설정'!$B$5))*'01_설정'!$B$14+MAX(0,(1-P617/'01_설정'!$B$7))*'01_설정'!$B$16+MAX(0,(1-Q617/'01_설정'!$B$8))*'01_설정'!$B$17+L617*'01_설정'!$B$11+M617*'01_설정'!$B$12+N617*50)</f>
        <v/>
      </c>
      <c r="T617">
        <f>IF(S617="","",1+COUNTIFS($S$31:$S$1030,"&gt;"&amp;S617)+COUNTIFS($S$31:S617,S617)-1)</f>
        <v/>
      </c>
    </row>
    <row r="618" hidden="1" ht="16.5" customHeight="1">
      <c r="A618">
        <f>IF(COUNTA('05_KAPA'!$A589:$AO589)=0,"",591)</f>
        <v/>
      </c>
      <c r="B618">
        <f>IF($A618="","",INDEX('05_KAPA'!$B:$B,$A618))</f>
        <v/>
      </c>
      <c r="C618">
        <f>IF($A618="","",INDEX('05_KAPA'!$F:$F,$A618))</f>
        <v/>
      </c>
      <c r="D618">
        <f>IF($A618="","",INDEX('05_KAPA'!$H:$H,$A618))</f>
        <v/>
      </c>
      <c r="E618">
        <f>IF($A618="","",INDEX('05_KAPA'!$K:$K,$A618))</f>
        <v/>
      </c>
      <c r="F618">
        <f>IF($A618="","",INDEX('05_KAPA'!$L:$L,$A618))</f>
        <v/>
      </c>
      <c r="G618">
        <f>IF($A618="","",INDEX('05_KAPA'!$I:$I,$A618))</f>
        <v/>
      </c>
      <c r="H618" s="202">
        <f>IF($A618="","",INDEX('05_KAPA'!$P:$P,$A618))</f>
        <v/>
      </c>
      <c r="I618" s="118">
        <f>IF($A618="","",INDEX('05_KAPA'!$O:$O,$A618))</f>
        <v/>
      </c>
      <c r="J618" s="202">
        <f>IF($A618="","",IFERROR(DATE(LEFT(TEXT(INDEX('05_KAPA'!$T:$T,$A618),"0"),4),MID(TEXT(INDEX('05_KAPA'!$T:$T,$A618),"0"),5,2),RIGHT(TEXT(INDEX('05_KAPA'!$T:$T,$A618),"0"),2)),""))</f>
        <v/>
      </c>
      <c r="K618">
        <f>IF(C618="","",IF('02_대상물건입력'!$B$5="",1,IF(ISNUMBER(SEARCH('02_대상물건입력'!$B$5,C618)),1,0)))</f>
        <v/>
      </c>
      <c r="L618">
        <f>IF(C618="","",IF('02_대상물건입력'!$B$6="",1,IF(ISNUMBER(SEARCH('02_대상물건입력'!$B$6,C618)),1,0)))</f>
        <v/>
      </c>
      <c r="M618">
        <f>IF(E618="","",IF('02_대상물건입력'!$B$8="",0,IF(ISNUMBER(SEARCH('02_대상물건입력'!$B$8,E618)),1,0)))</f>
        <v/>
      </c>
      <c r="N618">
        <f>IF(B618="","",IF(B618="담보",1,0))</f>
        <v/>
      </c>
      <c r="O618">
        <f>IFERROR(ABS(G618-'02_대상물건입력'!$B$11)/'02_대상물건입력'!$B$11,"")</f>
        <v/>
      </c>
      <c r="P618">
        <f>IFERROR(ABS('01_설정'!$B$4-H618),"")</f>
        <v/>
      </c>
      <c r="Q618">
        <f>IFERROR(ABS(YEAR(J618)-YEAR('02_대상물건입력'!$B$14)),"")</f>
        <v/>
      </c>
      <c r="R618">
        <f>IF(AND(G618&gt;0,H618&gt;0,I618&gt;0,N618=1,IF('01_설정'!$B$10=1,K618=1,TRUE()),O618&lt;='01_설정'!$B$5,P618&lt;='01_설정'!$B$7,Q618&lt;='01_설정'!$B$8),"Y","")</f>
        <v/>
      </c>
      <c r="S618">
        <f>IF(R618&lt;&gt;"Y","",MAX(0,(1-O618/'01_설정'!$B$5))*'01_설정'!$B$14+MAX(0,(1-P618/'01_설정'!$B$7))*'01_설정'!$B$16+MAX(0,(1-Q618/'01_설정'!$B$8))*'01_설정'!$B$17+L618*'01_설정'!$B$11+M618*'01_설정'!$B$12+N618*50)</f>
        <v/>
      </c>
      <c r="T618">
        <f>IF(S618="","",1+COUNTIFS($S$31:$S$1030,"&gt;"&amp;S618)+COUNTIFS($S$31:S618,S618)-1)</f>
        <v/>
      </c>
    </row>
    <row r="619" hidden="1" ht="16.5" customHeight="1">
      <c r="A619">
        <f>IF(COUNTA('05_KAPA'!$A590:$AO590)=0,"",592)</f>
        <v/>
      </c>
      <c r="B619">
        <f>IF($A619="","",INDEX('05_KAPA'!$B:$B,$A619))</f>
        <v/>
      </c>
      <c r="C619">
        <f>IF($A619="","",INDEX('05_KAPA'!$F:$F,$A619))</f>
        <v/>
      </c>
      <c r="D619">
        <f>IF($A619="","",INDEX('05_KAPA'!$H:$H,$A619))</f>
        <v/>
      </c>
      <c r="E619">
        <f>IF($A619="","",INDEX('05_KAPA'!$K:$K,$A619))</f>
        <v/>
      </c>
      <c r="F619">
        <f>IF($A619="","",INDEX('05_KAPA'!$L:$L,$A619))</f>
        <v/>
      </c>
      <c r="G619">
        <f>IF($A619="","",INDEX('05_KAPA'!$I:$I,$A619))</f>
        <v/>
      </c>
      <c r="H619" s="202">
        <f>IF($A619="","",INDEX('05_KAPA'!$P:$P,$A619))</f>
        <v/>
      </c>
      <c r="I619" s="118">
        <f>IF($A619="","",INDEX('05_KAPA'!$O:$O,$A619))</f>
        <v/>
      </c>
      <c r="J619" s="202">
        <f>IF($A619="","",IFERROR(DATE(LEFT(TEXT(INDEX('05_KAPA'!$T:$T,$A619),"0"),4),MID(TEXT(INDEX('05_KAPA'!$T:$T,$A619),"0"),5,2),RIGHT(TEXT(INDEX('05_KAPA'!$T:$T,$A619),"0"),2)),""))</f>
        <v/>
      </c>
      <c r="K619">
        <f>IF(C619="","",IF('02_대상물건입력'!$B$5="",1,IF(ISNUMBER(SEARCH('02_대상물건입력'!$B$5,C619)),1,0)))</f>
        <v/>
      </c>
      <c r="L619">
        <f>IF(C619="","",IF('02_대상물건입력'!$B$6="",1,IF(ISNUMBER(SEARCH('02_대상물건입력'!$B$6,C619)),1,0)))</f>
        <v/>
      </c>
      <c r="M619">
        <f>IF(E619="","",IF('02_대상물건입력'!$B$8="",0,IF(ISNUMBER(SEARCH('02_대상물건입력'!$B$8,E619)),1,0)))</f>
        <v/>
      </c>
      <c r="N619">
        <f>IF(B619="","",IF(B619="담보",1,0))</f>
        <v/>
      </c>
      <c r="O619">
        <f>IFERROR(ABS(G619-'02_대상물건입력'!$B$11)/'02_대상물건입력'!$B$11,"")</f>
        <v/>
      </c>
      <c r="P619">
        <f>IFERROR(ABS('01_설정'!$B$4-H619),"")</f>
        <v/>
      </c>
      <c r="Q619">
        <f>IFERROR(ABS(YEAR(J619)-YEAR('02_대상물건입력'!$B$14)),"")</f>
        <v/>
      </c>
      <c r="R619">
        <f>IF(AND(G619&gt;0,H619&gt;0,I619&gt;0,N619=1,IF('01_설정'!$B$10=1,K619=1,TRUE()),O619&lt;='01_설정'!$B$5,P619&lt;='01_설정'!$B$7,Q619&lt;='01_설정'!$B$8),"Y","")</f>
        <v/>
      </c>
      <c r="S619">
        <f>IF(R619&lt;&gt;"Y","",MAX(0,(1-O619/'01_설정'!$B$5))*'01_설정'!$B$14+MAX(0,(1-P619/'01_설정'!$B$7))*'01_설정'!$B$16+MAX(0,(1-Q619/'01_설정'!$B$8))*'01_설정'!$B$17+L619*'01_설정'!$B$11+M619*'01_설정'!$B$12+N619*50)</f>
        <v/>
      </c>
      <c r="T619">
        <f>IF(S619="","",1+COUNTIFS($S$31:$S$1030,"&gt;"&amp;S619)+COUNTIFS($S$31:S619,S619)-1)</f>
        <v/>
      </c>
    </row>
    <row r="620" hidden="1" ht="16.5" customHeight="1">
      <c r="A620">
        <f>IF(COUNTA('05_KAPA'!$A591:$AO591)=0,"",593)</f>
        <v/>
      </c>
      <c r="B620">
        <f>IF($A620="","",INDEX('05_KAPA'!$B:$B,$A620))</f>
        <v/>
      </c>
      <c r="C620">
        <f>IF($A620="","",INDEX('05_KAPA'!$F:$F,$A620))</f>
        <v/>
      </c>
      <c r="D620">
        <f>IF($A620="","",INDEX('05_KAPA'!$H:$H,$A620))</f>
        <v/>
      </c>
      <c r="E620">
        <f>IF($A620="","",INDEX('05_KAPA'!$K:$K,$A620))</f>
        <v/>
      </c>
      <c r="F620">
        <f>IF($A620="","",INDEX('05_KAPA'!$L:$L,$A620))</f>
        <v/>
      </c>
      <c r="G620">
        <f>IF($A620="","",INDEX('05_KAPA'!$I:$I,$A620))</f>
        <v/>
      </c>
      <c r="H620" s="202">
        <f>IF($A620="","",INDEX('05_KAPA'!$P:$P,$A620))</f>
        <v/>
      </c>
      <c r="I620" s="118">
        <f>IF($A620="","",INDEX('05_KAPA'!$O:$O,$A620))</f>
        <v/>
      </c>
      <c r="J620" s="202">
        <f>IF($A620="","",IFERROR(DATE(LEFT(TEXT(INDEX('05_KAPA'!$T:$T,$A620),"0"),4),MID(TEXT(INDEX('05_KAPA'!$T:$T,$A620),"0"),5,2),RIGHT(TEXT(INDEX('05_KAPA'!$T:$T,$A620),"0"),2)),""))</f>
        <v/>
      </c>
      <c r="K620">
        <f>IF(C620="","",IF('02_대상물건입력'!$B$5="",1,IF(ISNUMBER(SEARCH('02_대상물건입력'!$B$5,C620)),1,0)))</f>
        <v/>
      </c>
      <c r="L620">
        <f>IF(C620="","",IF('02_대상물건입력'!$B$6="",1,IF(ISNUMBER(SEARCH('02_대상물건입력'!$B$6,C620)),1,0)))</f>
        <v/>
      </c>
      <c r="M620">
        <f>IF(E620="","",IF('02_대상물건입력'!$B$8="",0,IF(ISNUMBER(SEARCH('02_대상물건입력'!$B$8,E620)),1,0)))</f>
        <v/>
      </c>
      <c r="N620">
        <f>IF(B620="","",IF(B620="담보",1,0))</f>
        <v/>
      </c>
      <c r="O620">
        <f>IFERROR(ABS(G620-'02_대상물건입력'!$B$11)/'02_대상물건입력'!$B$11,"")</f>
        <v/>
      </c>
      <c r="P620">
        <f>IFERROR(ABS('01_설정'!$B$4-H620),"")</f>
        <v/>
      </c>
      <c r="Q620">
        <f>IFERROR(ABS(YEAR(J620)-YEAR('02_대상물건입력'!$B$14)),"")</f>
        <v/>
      </c>
      <c r="R620">
        <f>IF(AND(G620&gt;0,H620&gt;0,I620&gt;0,N620=1,IF('01_설정'!$B$10=1,K620=1,TRUE()),O620&lt;='01_설정'!$B$5,P620&lt;='01_설정'!$B$7,Q620&lt;='01_설정'!$B$8),"Y","")</f>
        <v/>
      </c>
      <c r="S620">
        <f>IF(R620&lt;&gt;"Y","",MAX(0,(1-O620/'01_설정'!$B$5))*'01_설정'!$B$14+MAX(0,(1-P620/'01_설정'!$B$7))*'01_설정'!$B$16+MAX(0,(1-Q620/'01_설정'!$B$8))*'01_설정'!$B$17+L620*'01_설정'!$B$11+M620*'01_설정'!$B$12+N620*50)</f>
        <v/>
      </c>
      <c r="T620">
        <f>IF(S620="","",1+COUNTIFS($S$31:$S$1030,"&gt;"&amp;S620)+COUNTIFS($S$31:S620,S620)-1)</f>
        <v/>
      </c>
    </row>
    <row r="621" hidden="1" ht="16.5" customHeight="1">
      <c r="A621">
        <f>IF(COUNTA('05_KAPA'!$A592:$AO592)=0,"",594)</f>
        <v/>
      </c>
      <c r="B621">
        <f>IF($A621="","",INDEX('05_KAPA'!$B:$B,$A621))</f>
        <v/>
      </c>
      <c r="C621">
        <f>IF($A621="","",INDEX('05_KAPA'!$F:$F,$A621))</f>
        <v/>
      </c>
      <c r="D621">
        <f>IF($A621="","",INDEX('05_KAPA'!$H:$H,$A621))</f>
        <v/>
      </c>
      <c r="E621">
        <f>IF($A621="","",INDEX('05_KAPA'!$K:$K,$A621))</f>
        <v/>
      </c>
      <c r="F621">
        <f>IF($A621="","",INDEX('05_KAPA'!$L:$L,$A621))</f>
        <v/>
      </c>
      <c r="G621">
        <f>IF($A621="","",INDEX('05_KAPA'!$I:$I,$A621))</f>
        <v/>
      </c>
      <c r="H621" s="202">
        <f>IF($A621="","",INDEX('05_KAPA'!$P:$P,$A621))</f>
        <v/>
      </c>
      <c r="I621" s="118">
        <f>IF($A621="","",INDEX('05_KAPA'!$O:$O,$A621))</f>
        <v/>
      </c>
      <c r="J621" s="202">
        <f>IF($A621="","",IFERROR(DATE(LEFT(TEXT(INDEX('05_KAPA'!$T:$T,$A621),"0"),4),MID(TEXT(INDEX('05_KAPA'!$T:$T,$A621),"0"),5,2),RIGHT(TEXT(INDEX('05_KAPA'!$T:$T,$A621),"0"),2)),""))</f>
        <v/>
      </c>
      <c r="K621">
        <f>IF(C621="","",IF('02_대상물건입력'!$B$5="",1,IF(ISNUMBER(SEARCH('02_대상물건입력'!$B$5,C621)),1,0)))</f>
        <v/>
      </c>
      <c r="L621">
        <f>IF(C621="","",IF('02_대상물건입력'!$B$6="",1,IF(ISNUMBER(SEARCH('02_대상물건입력'!$B$6,C621)),1,0)))</f>
        <v/>
      </c>
      <c r="M621">
        <f>IF(E621="","",IF('02_대상물건입력'!$B$8="",0,IF(ISNUMBER(SEARCH('02_대상물건입력'!$B$8,E621)),1,0)))</f>
        <v/>
      </c>
      <c r="N621">
        <f>IF(B621="","",IF(B621="담보",1,0))</f>
        <v/>
      </c>
      <c r="O621">
        <f>IFERROR(ABS(G621-'02_대상물건입력'!$B$11)/'02_대상물건입력'!$B$11,"")</f>
        <v/>
      </c>
      <c r="P621">
        <f>IFERROR(ABS('01_설정'!$B$4-H621),"")</f>
        <v/>
      </c>
      <c r="Q621">
        <f>IFERROR(ABS(YEAR(J621)-YEAR('02_대상물건입력'!$B$14)),"")</f>
        <v/>
      </c>
      <c r="R621">
        <f>IF(AND(G621&gt;0,H621&gt;0,I621&gt;0,N621=1,IF('01_설정'!$B$10=1,K621=1,TRUE()),O621&lt;='01_설정'!$B$5,P621&lt;='01_설정'!$B$7,Q621&lt;='01_설정'!$B$8),"Y","")</f>
        <v/>
      </c>
      <c r="S621">
        <f>IF(R621&lt;&gt;"Y","",MAX(0,(1-O621/'01_설정'!$B$5))*'01_설정'!$B$14+MAX(0,(1-P621/'01_설정'!$B$7))*'01_설정'!$B$16+MAX(0,(1-Q621/'01_설정'!$B$8))*'01_설정'!$B$17+L621*'01_설정'!$B$11+M621*'01_설정'!$B$12+N621*50)</f>
        <v/>
      </c>
      <c r="T621">
        <f>IF(S621="","",1+COUNTIFS($S$31:$S$1030,"&gt;"&amp;S621)+COUNTIFS($S$31:S621,S621)-1)</f>
        <v/>
      </c>
    </row>
    <row r="622" hidden="1" ht="16.5" customHeight="1">
      <c r="A622">
        <f>IF(COUNTA('05_KAPA'!$A593:$AO593)=0,"",595)</f>
        <v/>
      </c>
      <c r="B622">
        <f>IF($A622="","",INDEX('05_KAPA'!$B:$B,$A622))</f>
        <v/>
      </c>
      <c r="C622">
        <f>IF($A622="","",INDEX('05_KAPA'!$F:$F,$A622))</f>
        <v/>
      </c>
      <c r="D622">
        <f>IF($A622="","",INDEX('05_KAPA'!$H:$H,$A622))</f>
        <v/>
      </c>
      <c r="E622">
        <f>IF($A622="","",INDEX('05_KAPA'!$K:$K,$A622))</f>
        <v/>
      </c>
      <c r="F622">
        <f>IF($A622="","",INDEX('05_KAPA'!$L:$L,$A622))</f>
        <v/>
      </c>
      <c r="G622">
        <f>IF($A622="","",INDEX('05_KAPA'!$I:$I,$A622))</f>
        <v/>
      </c>
      <c r="H622" s="202">
        <f>IF($A622="","",INDEX('05_KAPA'!$P:$P,$A622))</f>
        <v/>
      </c>
      <c r="I622" s="118">
        <f>IF($A622="","",INDEX('05_KAPA'!$O:$O,$A622))</f>
        <v/>
      </c>
      <c r="J622" s="202">
        <f>IF($A622="","",IFERROR(DATE(LEFT(TEXT(INDEX('05_KAPA'!$T:$T,$A622),"0"),4),MID(TEXT(INDEX('05_KAPA'!$T:$T,$A622),"0"),5,2),RIGHT(TEXT(INDEX('05_KAPA'!$T:$T,$A622),"0"),2)),""))</f>
        <v/>
      </c>
      <c r="K622">
        <f>IF(C622="","",IF('02_대상물건입력'!$B$5="",1,IF(ISNUMBER(SEARCH('02_대상물건입력'!$B$5,C622)),1,0)))</f>
        <v/>
      </c>
      <c r="L622">
        <f>IF(C622="","",IF('02_대상물건입력'!$B$6="",1,IF(ISNUMBER(SEARCH('02_대상물건입력'!$B$6,C622)),1,0)))</f>
        <v/>
      </c>
      <c r="M622">
        <f>IF(E622="","",IF('02_대상물건입력'!$B$8="",0,IF(ISNUMBER(SEARCH('02_대상물건입력'!$B$8,E622)),1,0)))</f>
        <v/>
      </c>
      <c r="N622">
        <f>IF(B622="","",IF(B622="담보",1,0))</f>
        <v/>
      </c>
      <c r="O622">
        <f>IFERROR(ABS(G622-'02_대상물건입력'!$B$11)/'02_대상물건입력'!$B$11,"")</f>
        <v/>
      </c>
      <c r="P622">
        <f>IFERROR(ABS('01_설정'!$B$4-H622),"")</f>
        <v/>
      </c>
      <c r="Q622">
        <f>IFERROR(ABS(YEAR(J622)-YEAR('02_대상물건입력'!$B$14)),"")</f>
        <v/>
      </c>
      <c r="R622">
        <f>IF(AND(G622&gt;0,H622&gt;0,I622&gt;0,N622=1,IF('01_설정'!$B$10=1,K622=1,TRUE()),O622&lt;='01_설정'!$B$5,P622&lt;='01_설정'!$B$7,Q622&lt;='01_설정'!$B$8),"Y","")</f>
        <v/>
      </c>
      <c r="S622">
        <f>IF(R622&lt;&gt;"Y","",MAX(0,(1-O622/'01_설정'!$B$5))*'01_설정'!$B$14+MAX(0,(1-P622/'01_설정'!$B$7))*'01_설정'!$B$16+MAX(0,(1-Q622/'01_설정'!$B$8))*'01_설정'!$B$17+L622*'01_설정'!$B$11+M622*'01_설정'!$B$12+N622*50)</f>
        <v/>
      </c>
      <c r="T622">
        <f>IF(S622="","",1+COUNTIFS($S$31:$S$1030,"&gt;"&amp;S622)+COUNTIFS($S$31:S622,S622)-1)</f>
        <v/>
      </c>
    </row>
    <row r="623" hidden="1" ht="16.5" customHeight="1">
      <c r="A623">
        <f>IF(COUNTA('05_KAPA'!$A594:$AO594)=0,"",596)</f>
        <v/>
      </c>
      <c r="B623">
        <f>IF($A623="","",INDEX('05_KAPA'!$B:$B,$A623))</f>
        <v/>
      </c>
      <c r="C623">
        <f>IF($A623="","",INDEX('05_KAPA'!$F:$F,$A623))</f>
        <v/>
      </c>
      <c r="D623">
        <f>IF($A623="","",INDEX('05_KAPA'!$H:$H,$A623))</f>
        <v/>
      </c>
      <c r="E623">
        <f>IF($A623="","",INDEX('05_KAPA'!$K:$K,$A623))</f>
        <v/>
      </c>
      <c r="F623">
        <f>IF($A623="","",INDEX('05_KAPA'!$L:$L,$A623))</f>
        <v/>
      </c>
      <c r="G623">
        <f>IF($A623="","",INDEX('05_KAPA'!$I:$I,$A623))</f>
        <v/>
      </c>
      <c r="H623" s="202">
        <f>IF($A623="","",INDEX('05_KAPA'!$P:$P,$A623))</f>
        <v/>
      </c>
      <c r="I623" s="118">
        <f>IF($A623="","",INDEX('05_KAPA'!$O:$O,$A623))</f>
        <v/>
      </c>
      <c r="J623" s="202">
        <f>IF($A623="","",IFERROR(DATE(LEFT(TEXT(INDEX('05_KAPA'!$T:$T,$A623),"0"),4),MID(TEXT(INDEX('05_KAPA'!$T:$T,$A623),"0"),5,2),RIGHT(TEXT(INDEX('05_KAPA'!$T:$T,$A623),"0"),2)),""))</f>
        <v/>
      </c>
      <c r="K623">
        <f>IF(C623="","",IF('02_대상물건입력'!$B$5="",1,IF(ISNUMBER(SEARCH('02_대상물건입력'!$B$5,C623)),1,0)))</f>
        <v/>
      </c>
      <c r="L623">
        <f>IF(C623="","",IF('02_대상물건입력'!$B$6="",1,IF(ISNUMBER(SEARCH('02_대상물건입력'!$B$6,C623)),1,0)))</f>
        <v/>
      </c>
      <c r="M623">
        <f>IF(E623="","",IF('02_대상물건입력'!$B$8="",0,IF(ISNUMBER(SEARCH('02_대상물건입력'!$B$8,E623)),1,0)))</f>
        <v/>
      </c>
      <c r="N623">
        <f>IF(B623="","",IF(B623="담보",1,0))</f>
        <v/>
      </c>
      <c r="O623">
        <f>IFERROR(ABS(G623-'02_대상물건입력'!$B$11)/'02_대상물건입력'!$B$11,"")</f>
        <v/>
      </c>
      <c r="P623">
        <f>IFERROR(ABS('01_설정'!$B$4-H623),"")</f>
        <v/>
      </c>
      <c r="Q623">
        <f>IFERROR(ABS(YEAR(J623)-YEAR('02_대상물건입력'!$B$14)),"")</f>
        <v/>
      </c>
      <c r="R623">
        <f>IF(AND(G623&gt;0,H623&gt;0,I623&gt;0,N623=1,IF('01_설정'!$B$10=1,K623=1,TRUE()),O623&lt;='01_설정'!$B$5,P623&lt;='01_설정'!$B$7,Q623&lt;='01_설정'!$B$8),"Y","")</f>
        <v/>
      </c>
      <c r="S623">
        <f>IF(R623&lt;&gt;"Y","",MAX(0,(1-O623/'01_설정'!$B$5))*'01_설정'!$B$14+MAX(0,(1-P623/'01_설정'!$B$7))*'01_설정'!$B$16+MAX(0,(1-Q623/'01_설정'!$B$8))*'01_설정'!$B$17+L623*'01_설정'!$B$11+M623*'01_설정'!$B$12+N623*50)</f>
        <v/>
      </c>
      <c r="T623">
        <f>IF(S623="","",1+COUNTIFS($S$31:$S$1030,"&gt;"&amp;S623)+COUNTIFS($S$31:S623,S623)-1)</f>
        <v/>
      </c>
    </row>
    <row r="624" hidden="1" ht="16.5" customHeight="1">
      <c r="A624">
        <f>IF(COUNTA('05_KAPA'!$A595:$AO595)=0,"",597)</f>
        <v/>
      </c>
      <c r="B624">
        <f>IF($A624="","",INDEX('05_KAPA'!$B:$B,$A624))</f>
        <v/>
      </c>
      <c r="C624">
        <f>IF($A624="","",INDEX('05_KAPA'!$F:$F,$A624))</f>
        <v/>
      </c>
      <c r="D624">
        <f>IF($A624="","",INDEX('05_KAPA'!$H:$H,$A624))</f>
        <v/>
      </c>
      <c r="E624">
        <f>IF($A624="","",INDEX('05_KAPA'!$K:$K,$A624))</f>
        <v/>
      </c>
      <c r="F624">
        <f>IF($A624="","",INDEX('05_KAPA'!$L:$L,$A624))</f>
        <v/>
      </c>
      <c r="G624">
        <f>IF($A624="","",INDEX('05_KAPA'!$I:$I,$A624))</f>
        <v/>
      </c>
      <c r="H624" s="202">
        <f>IF($A624="","",INDEX('05_KAPA'!$P:$P,$A624))</f>
        <v/>
      </c>
      <c r="I624" s="118">
        <f>IF($A624="","",INDEX('05_KAPA'!$O:$O,$A624))</f>
        <v/>
      </c>
      <c r="J624" s="202">
        <f>IF($A624="","",IFERROR(DATE(LEFT(TEXT(INDEX('05_KAPA'!$T:$T,$A624),"0"),4),MID(TEXT(INDEX('05_KAPA'!$T:$T,$A624),"0"),5,2),RIGHT(TEXT(INDEX('05_KAPA'!$T:$T,$A624),"0"),2)),""))</f>
        <v/>
      </c>
      <c r="K624">
        <f>IF(C624="","",IF('02_대상물건입력'!$B$5="",1,IF(ISNUMBER(SEARCH('02_대상물건입력'!$B$5,C624)),1,0)))</f>
        <v/>
      </c>
      <c r="L624">
        <f>IF(C624="","",IF('02_대상물건입력'!$B$6="",1,IF(ISNUMBER(SEARCH('02_대상물건입력'!$B$6,C624)),1,0)))</f>
        <v/>
      </c>
      <c r="M624">
        <f>IF(E624="","",IF('02_대상물건입력'!$B$8="",0,IF(ISNUMBER(SEARCH('02_대상물건입력'!$B$8,E624)),1,0)))</f>
        <v/>
      </c>
      <c r="N624">
        <f>IF(B624="","",IF(B624="담보",1,0))</f>
        <v/>
      </c>
      <c r="O624">
        <f>IFERROR(ABS(G624-'02_대상물건입력'!$B$11)/'02_대상물건입력'!$B$11,"")</f>
        <v/>
      </c>
      <c r="P624">
        <f>IFERROR(ABS('01_설정'!$B$4-H624),"")</f>
        <v/>
      </c>
      <c r="Q624">
        <f>IFERROR(ABS(YEAR(J624)-YEAR('02_대상물건입력'!$B$14)),"")</f>
        <v/>
      </c>
      <c r="R624">
        <f>IF(AND(G624&gt;0,H624&gt;0,I624&gt;0,N624=1,IF('01_설정'!$B$10=1,K624=1,TRUE()),O624&lt;='01_설정'!$B$5,P624&lt;='01_설정'!$B$7,Q624&lt;='01_설정'!$B$8),"Y","")</f>
        <v/>
      </c>
      <c r="S624">
        <f>IF(R624&lt;&gt;"Y","",MAX(0,(1-O624/'01_설정'!$B$5))*'01_설정'!$B$14+MAX(0,(1-P624/'01_설정'!$B$7))*'01_설정'!$B$16+MAX(0,(1-Q624/'01_설정'!$B$8))*'01_설정'!$B$17+L624*'01_설정'!$B$11+M624*'01_설정'!$B$12+N624*50)</f>
        <v/>
      </c>
      <c r="T624">
        <f>IF(S624="","",1+COUNTIFS($S$31:$S$1030,"&gt;"&amp;S624)+COUNTIFS($S$31:S624,S624)-1)</f>
        <v/>
      </c>
    </row>
    <row r="625" hidden="1" ht="16.5" customHeight="1">
      <c r="A625">
        <f>IF(COUNTA('05_KAPA'!$A596:$AO596)=0,"",598)</f>
        <v/>
      </c>
      <c r="B625">
        <f>IF($A625="","",INDEX('05_KAPA'!$B:$B,$A625))</f>
        <v/>
      </c>
      <c r="C625">
        <f>IF($A625="","",INDEX('05_KAPA'!$F:$F,$A625))</f>
        <v/>
      </c>
      <c r="D625">
        <f>IF($A625="","",INDEX('05_KAPA'!$H:$H,$A625))</f>
        <v/>
      </c>
      <c r="E625">
        <f>IF($A625="","",INDEX('05_KAPA'!$K:$K,$A625))</f>
        <v/>
      </c>
      <c r="F625">
        <f>IF($A625="","",INDEX('05_KAPA'!$L:$L,$A625))</f>
        <v/>
      </c>
      <c r="G625">
        <f>IF($A625="","",INDEX('05_KAPA'!$I:$I,$A625))</f>
        <v/>
      </c>
      <c r="H625" s="202">
        <f>IF($A625="","",INDEX('05_KAPA'!$P:$P,$A625))</f>
        <v/>
      </c>
      <c r="I625" s="118">
        <f>IF($A625="","",INDEX('05_KAPA'!$O:$O,$A625))</f>
        <v/>
      </c>
      <c r="J625" s="202">
        <f>IF($A625="","",IFERROR(DATE(LEFT(TEXT(INDEX('05_KAPA'!$T:$T,$A625),"0"),4),MID(TEXT(INDEX('05_KAPA'!$T:$T,$A625),"0"),5,2),RIGHT(TEXT(INDEX('05_KAPA'!$T:$T,$A625),"0"),2)),""))</f>
        <v/>
      </c>
      <c r="K625">
        <f>IF(C625="","",IF('02_대상물건입력'!$B$5="",1,IF(ISNUMBER(SEARCH('02_대상물건입력'!$B$5,C625)),1,0)))</f>
        <v/>
      </c>
      <c r="L625">
        <f>IF(C625="","",IF('02_대상물건입력'!$B$6="",1,IF(ISNUMBER(SEARCH('02_대상물건입력'!$B$6,C625)),1,0)))</f>
        <v/>
      </c>
      <c r="M625">
        <f>IF(E625="","",IF('02_대상물건입력'!$B$8="",0,IF(ISNUMBER(SEARCH('02_대상물건입력'!$B$8,E625)),1,0)))</f>
        <v/>
      </c>
      <c r="N625">
        <f>IF(B625="","",IF(B625="담보",1,0))</f>
        <v/>
      </c>
      <c r="O625">
        <f>IFERROR(ABS(G625-'02_대상물건입력'!$B$11)/'02_대상물건입력'!$B$11,"")</f>
        <v/>
      </c>
      <c r="P625">
        <f>IFERROR(ABS('01_설정'!$B$4-H625),"")</f>
        <v/>
      </c>
      <c r="Q625">
        <f>IFERROR(ABS(YEAR(J625)-YEAR('02_대상물건입력'!$B$14)),"")</f>
        <v/>
      </c>
      <c r="R625">
        <f>IF(AND(G625&gt;0,H625&gt;0,I625&gt;0,N625=1,IF('01_설정'!$B$10=1,K625=1,TRUE()),O625&lt;='01_설정'!$B$5,P625&lt;='01_설정'!$B$7,Q625&lt;='01_설정'!$B$8),"Y","")</f>
        <v/>
      </c>
      <c r="S625">
        <f>IF(R625&lt;&gt;"Y","",MAX(0,(1-O625/'01_설정'!$B$5))*'01_설정'!$B$14+MAX(0,(1-P625/'01_설정'!$B$7))*'01_설정'!$B$16+MAX(0,(1-Q625/'01_설정'!$B$8))*'01_설정'!$B$17+L625*'01_설정'!$B$11+M625*'01_설정'!$B$12+N625*50)</f>
        <v/>
      </c>
      <c r="T625">
        <f>IF(S625="","",1+COUNTIFS($S$31:$S$1030,"&gt;"&amp;S625)+COUNTIFS($S$31:S625,S625)-1)</f>
        <v/>
      </c>
    </row>
    <row r="626" hidden="1" ht="16.5" customHeight="1">
      <c r="A626">
        <f>IF(COUNTA('05_KAPA'!$A597:$AO597)=0,"",599)</f>
        <v/>
      </c>
      <c r="B626">
        <f>IF($A626="","",INDEX('05_KAPA'!$B:$B,$A626))</f>
        <v/>
      </c>
      <c r="C626">
        <f>IF($A626="","",INDEX('05_KAPA'!$F:$F,$A626))</f>
        <v/>
      </c>
      <c r="D626">
        <f>IF($A626="","",INDEX('05_KAPA'!$H:$H,$A626))</f>
        <v/>
      </c>
      <c r="E626">
        <f>IF($A626="","",INDEX('05_KAPA'!$K:$K,$A626))</f>
        <v/>
      </c>
      <c r="F626">
        <f>IF($A626="","",INDEX('05_KAPA'!$L:$L,$A626))</f>
        <v/>
      </c>
      <c r="G626">
        <f>IF($A626="","",INDEX('05_KAPA'!$I:$I,$A626))</f>
        <v/>
      </c>
      <c r="H626" s="202">
        <f>IF($A626="","",INDEX('05_KAPA'!$P:$P,$A626))</f>
        <v/>
      </c>
      <c r="I626" s="118">
        <f>IF($A626="","",INDEX('05_KAPA'!$O:$O,$A626))</f>
        <v/>
      </c>
      <c r="J626" s="202">
        <f>IF($A626="","",IFERROR(DATE(LEFT(TEXT(INDEX('05_KAPA'!$T:$T,$A626),"0"),4),MID(TEXT(INDEX('05_KAPA'!$T:$T,$A626),"0"),5,2),RIGHT(TEXT(INDEX('05_KAPA'!$T:$T,$A626),"0"),2)),""))</f>
        <v/>
      </c>
      <c r="K626">
        <f>IF(C626="","",IF('02_대상물건입력'!$B$5="",1,IF(ISNUMBER(SEARCH('02_대상물건입력'!$B$5,C626)),1,0)))</f>
        <v/>
      </c>
      <c r="L626">
        <f>IF(C626="","",IF('02_대상물건입력'!$B$6="",1,IF(ISNUMBER(SEARCH('02_대상물건입력'!$B$6,C626)),1,0)))</f>
        <v/>
      </c>
      <c r="M626">
        <f>IF(E626="","",IF('02_대상물건입력'!$B$8="",0,IF(ISNUMBER(SEARCH('02_대상물건입력'!$B$8,E626)),1,0)))</f>
        <v/>
      </c>
      <c r="N626">
        <f>IF(B626="","",IF(B626="담보",1,0))</f>
        <v/>
      </c>
      <c r="O626">
        <f>IFERROR(ABS(G626-'02_대상물건입력'!$B$11)/'02_대상물건입력'!$B$11,"")</f>
        <v/>
      </c>
      <c r="P626">
        <f>IFERROR(ABS('01_설정'!$B$4-H626),"")</f>
        <v/>
      </c>
      <c r="Q626">
        <f>IFERROR(ABS(YEAR(J626)-YEAR('02_대상물건입력'!$B$14)),"")</f>
        <v/>
      </c>
      <c r="R626">
        <f>IF(AND(G626&gt;0,H626&gt;0,I626&gt;0,N626=1,IF('01_설정'!$B$10=1,K626=1,TRUE()),O626&lt;='01_설정'!$B$5,P626&lt;='01_설정'!$B$7,Q626&lt;='01_설정'!$B$8),"Y","")</f>
        <v/>
      </c>
      <c r="S626">
        <f>IF(R626&lt;&gt;"Y","",MAX(0,(1-O626/'01_설정'!$B$5))*'01_설정'!$B$14+MAX(0,(1-P626/'01_설정'!$B$7))*'01_설정'!$B$16+MAX(0,(1-Q626/'01_설정'!$B$8))*'01_설정'!$B$17+L626*'01_설정'!$B$11+M626*'01_설정'!$B$12+N626*50)</f>
        <v/>
      </c>
      <c r="T626">
        <f>IF(S626="","",1+COUNTIFS($S$31:$S$1030,"&gt;"&amp;S626)+COUNTIFS($S$31:S626,S626)-1)</f>
        <v/>
      </c>
    </row>
    <row r="627" hidden="1" ht="16.5" customHeight="1">
      <c r="A627">
        <f>IF(COUNTA('05_KAPA'!$A598:$AO598)=0,"",600)</f>
        <v/>
      </c>
      <c r="B627">
        <f>IF($A627="","",INDEX('05_KAPA'!$B:$B,$A627))</f>
        <v/>
      </c>
      <c r="C627">
        <f>IF($A627="","",INDEX('05_KAPA'!$F:$F,$A627))</f>
        <v/>
      </c>
      <c r="D627">
        <f>IF($A627="","",INDEX('05_KAPA'!$H:$H,$A627))</f>
        <v/>
      </c>
      <c r="E627">
        <f>IF($A627="","",INDEX('05_KAPA'!$K:$K,$A627))</f>
        <v/>
      </c>
      <c r="F627">
        <f>IF($A627="","",INDEX('05_KAPA'!$L:$L,$A627))</f>
        <v/>
      </c>
      <c r="G627">
        <f>IF($A627="","",INDEX('05_KAPA'!$I:$I,$A627))</f>
        <v/>
      </c>
      <c r="H627" s="202">
        <f>IF($A627="","",INDEX('05_KAPA'!$P:$P,$A627))</f>
        <v/>
      </c>
      <c r="I627" s="118">
        <f>IF($A627="","",INDEX('05_KAPA'!$O:$O,$A627))</f>
        <v/>
      </c>
      <c r="J627" s="202">
        <f>IF($A627="","",IFERROR(DATE(LEFT(TEXT(INDEX('05_KAPA'!$T:$T,$A627),"0"),4),MID(TEXT(INDEX('05_KAPA'!$T:$T,$A627),"0"),5,2),RIGHT(TEXT(INDEX('05_KAPA'!$T:$T,$A627),"0"),2)),""))</f>
        <v/>
      </c>
      <c r="K627">
        <f>IF(C627="","",IF('02_대상물건입력'!$B$5="",1,IF(ISNUMBER(SEARCH('02_대상물건입력'!$B$5,C627)),1,0)))</f>
        <v/>
      </c>
      <c r="L627">
        <f>IF(C627="","",IF('02_대상물건입력'!$B$6="",1,IF(ISNUMBER(SEARCH('02_대상물건입력'!$B$6,C627)),1,0)))</f>
        <v/>
      </c>
      <c r="M627">
        <f>IF(E627="","",IF('02_대상물건입력'!$B$8="",0,IF(ISNUMBER(SEARCH('02_대상물건입력'!$B$8,E627)),1,0)))</f>
        <v/>
      </c>
      <c r="N627">
        <f>IF(B627="","",IF(B627="담보",1,0))</f>
        <v/>
      </c>
      <c r="O627">
        <f>IFERROR(ABS(G627-'02_대상물건입력'!$B$11)/'02_대상물건입력'!$B$11,"")</f>
        <v/>
      </c>
      <c r="P627">
        <f>IFERROR(ABS('01_설정'!$B$4-H627),"")</f>
        <v/>
      </c>
      <c r="Q627">
        <f>IFERROR(ABS(YEAR(J627)-YEAR('02_대상물건입력'!$B$14)),"")</f>
        <v/>
      </c>
      <c r="R627">
        <f>IF(AND(G627&gt;0,H627&gt;0,I627&gt;0,N627=1,IF('01_설정'!$B$10=1,K627=1,TRUE()),O627&lt;='01_설정'!$B$5,P627&lt;='01_설정'!$B$7,Q627&lt;='01_설정'!$B$8),"Y","")</f>
        <v/>
      </c>
      <c r="S627">
        <f>IF(R627&lt;&gt;"Y","",MAX(0,(1-O627/'01_설정'!$B$5))*'01_설정'!$B$14+MAX(0,(1-P627/'01_설정'!$B$7))*'01_설정'!$B$16+MAX(0,(1-Q627/'01_설정'!$B$8))*'01_설정'!$B$17+L627*'01_설정'!$B$11+M627*'01_설정'!$B$12+N627*50)</f>
        <v/>
      </c>
      <c r="T627">
        <f>IF(S627="","",1+COUNTIFS($S$31:$S$1030,"&gt;"&amp;S627)+COUNTIFS($S$31:S627,S627)-1)</f>
        <v/>
      </c>
    </row>
    <row r="628" hidden="1" ht="16.5" customHeight="1">
      <c r="A628">
        <f>IF(COUNTA('05_KAPA'!$A599:$AO599)=0,"",601)</f>
        <v/>
      </c>
      <c r="B628">
        <f>IF($A628="","",INDEX('05_KAPA'!$B:$B,$A628))</f>
        <v/>
      </c>
      <c r="C628">
        <f>IF($A628="","",INDEX('05_KAPA'!$F:$F,$A628))</f>
        <v/>
      </c>
      <c r="D628">
        <f>IF($A628="","",INDEX('05_KAPA'!$H:$H,$A628))</f>
        <v/>
      </c>
      <c r="E628">
        <f>IF($A628="","",INDEX('05_KAPA'!$K:$K,$A628))</f>
        <v/>
      </c>
      <c r="F628">
        <f>IF($A628="","",INDEX('05_KAPA'!$L:$L,$A628))</f>
        <v/>
      </c>
      <c r="G628">
        <f>IF($A628="","",INDEX('05_KAPA'!$I:$I,$A628))</f>
        <v/>
      </c>
      <c r="H628" s="202">
        <f>IF($A628="","",INDEX('05_KAPA'!$P:$P,$A628))</f>
        <v/>
      </c>
      <c r="I628" s="118">
        <f>IF($A628="","",INDEX('05_KAPA'!$O:$O,$A628))</f>
        <v/>
      </c>
      <c r="J628" s="202">
        <f>IF($A628="","",IFERROR(DATE(LEFT(TEXT(INDEX('05_KAPA'!$T:$T,$A628),"0"),4),MID(TEXT(INDEX('05_KAPA'!$T:$T,$A628),"0"),5,2),RIGHT(TEXT(INDEX('05_KAPA'!$T:$T,$A628),"0"),2)),""))</f>
        <v/>
      </c>
      <c r="K628">
        <f>IF(C628="","",IF('02_대상물건입력'!$B$5="",1,IF(ISNUMBER(SEARCH('02_대상물건입력'!$B$5,C628)),1,0)))</f>
        <v/>
      </c>
      <c r="L628">
        <f>IF(C628="","",IF('02_대상물건입력'!$B$6="",1,IF(ISNUMBER(SEARCH('02_대상물건입력'!$B$6,C628)),1,0)))</f>
        <v/>
      </c>
      <c r="M628">
        <f>IF(E628="","",IF('02_대상물건입력'!$B$8="",0,IF(ISNUMBER(SEARCH('02_대상물건입력'!$B$8,E628)),1,0)))</f>
        <v/>
      </c>
      <c r="N628">
        <f>IF(B628="","",IF(B628="담보",1,0))</f>
        <v/>
      </c>
      <c r="O628">
        <f>IFERROR(ABS(G628-'02_대상물건입력'!$B$11)/'02_대상물건입력'!$B$11,"")</f>
        <v/>
      </c>
      <c r="P628">
        <f>IFERROR(ABS('01_설정'!$B$4-H628),"")</f>
        <v/>
      </c>
      <c r="Q628">
        <f>IFERROR(ABS(YEAR(J628)-YEAR('02_대상물건입력'!$B$14)),"")</f>
        <v/>
      </c>
      <c r="R628">
        <f>IF(AND(G628&gt;0,H628&gt;0,I628&gt;0,N628=1,IF('01_설정'!$B$10=1,K628=1,TRUE()),O628&lt;='01_설정'!$B$5,P628&lt;='01_설정'!$B$7,Q628&lt;='01_설정'!$B$8),"Y","")</f>
        <v/>
      </c>
      <c r="S628">
        <f>IF(R628&lt;&gt;"Y","",MAX(0,(1-O628/'01_설정'!$B$5))*'01_설정'!$B$14+MAX(0,(1-P628/'01_설정'!$B$7))*'01_설정'!$B$16+MAX(0,(1-Q628/'01_설정'!$B$8))*'01_설정'!$B$17+L628*'01_설정'!$B$11+M628*'01_설정'!$B$12+N628*50)</f>
        <v/>
      </c>
      <c r="T628">
        <f>IF(S628="","",1+COUNTIFS($S$31:$S$1030,"&gt;"&amp;S628)+COUNTIFS($S$31:S628,S628)-1)</f>
        <v/>
      </c>
    </row>
    <row r="629" hidden="1" ht="16.5" customHeight="1">
      <c r="A629">
        <f>IF(COUNTA('05_KAPA'!$A600:$AO600)=0,"",602)</f>
        <v/>
      </c>
      <c r="B629">
        <f>IF($A629="","",INDEX('05_KAPA'!$B:$B,$A629))</f>
        <v/>
      </c>
      <c r="C629">
        <f>IF($A629="","",INDEX('05_KAPA'!$F:$F,$A629))</f>
        <v/>
      </c>
      <c r="D629">
        <f>IF($A629="","",INDEX('05_KAPA'!$H:$H,$A629))</f>
        <v/>
      </c>
      <c r="E629">
        <f>IF($A629="","",INDEX('05_KAPA'!$K:$K,$A629))</f>
        <v/>
      </c>
      <c r="F629">
        <f>IF($A629="","",INDEX('05_KAPA'!$L:$L,$A629))</f>
        <v/>
      </c>
      <c r="G629">
        <f>IF($A629="","",INDEX('05_KAPA'!$I:$I,$A629))</f>
        <v/>
      </c>
      <c r="H629" s="202">
        <f>IF($A629="","",INDEX('05_KAPA'!$P:$P,$A629))</f>
        <v/>
      </c>
      <c r="I629" s="118">
        <f>IF($A629="","",INDEX('05_KAPA'!$O:$O,$A629))</f>
        <v/>
      </c>
      <c r="J629" s="202">
        <f>IF($A629="","",IFERROR(DATE(LEFT(TEXT(INDEX('05_KAPA'!$T:$T,$A629),"0"),4),MID(TEXT(INDEX('05_KAPA'!$T:$T,$A629),"0"),5,2),RIGHT(TEXT(INDEX('05_KAPA'!$T:$T,$A629),"0"),2)),""))</f>
        <v/>
      </c>
      <c r="K629">
        <f>IF(C629="","",IF('02_대상물건입력'!$B$5="",1,IF(ISNUMBER(SEARCH('02_대상물건입력'!$B$5,C629)),1,0)))</f>
        <v/>
      </c>
      <c r="L629">
        <f>IF(C629="","",IF('02_대상물건입력'!$B$6="",1,IF(ISNUMBER(SEARCH('02_대상물건입력'!$B$6,C629)),1,0)))</f>
        <v/>
      </c>
      <c r="M629">
        <f>IF(E629="","",IF('02_대상물건입력'!$B$8="",0,IF(ISNUMBER(SEARCH('02_대상물건입력'!$B$8,E629)),1,0)))</f>
        <v/>
      </c>
      <c r="N629">
        <f>IF(B629="","",IF(B629="담보",1,0))</f>
        <v/>
      </c>
      <c r="O629">
        <f>IFERROR(ABS(G629-'02_대상물건입력'!$B$11)/'02_대상물건입력'!$B$11,"")</f>
        <v/>
      </c>
      <c r="P629">
        <f>IFERROR(ABS('01_설정'!$B$4-H629),"")</f>
        <v/>
      </c>
      <c r="Q629">
        <f>IFERROR(ABS(YEAR(J629)-YEAR('02_대상물건입력'!$B$14)),"")</f>
        <v/>
      </c>
      <c r="R629">
        <f>IF(AND(G629&gt;0,H629&gt;0,I629&gt;0,N629=1,IF('01_설정'!$B$10=1,K629=1,TRUE()),O629&lt;='01_설정'!$B$5,P629&lt;='01_설정'!$B$7,Q629&lt;='01_설정'!$B$8),"Y","")</f>
        <v/>
      </c>
      <c r="S629">
        <f>IF(R629&lt;&gt;"Y","",MAX(0,(1-O629/'01_설정'!$B$5))*'01_설정'!$B$14+MAX(0,(1-P629/'01_설정'!$B$7))*'01_설정'!$B$16+MAX(0,(1-Q629/'01_설정'!$B$8))*'01_설정'!$B$17+L629*'01_설정'!$B$11+M629*'01_설정'!$B$12+N629*50)</f>
        <v/>
      </c>
      <c r="T629">
        <f>IF(S629="","",1+COUNTIFS($S$31:$S$1030,"&gt;"&amp;S629)+COUNTIFS($S$31:S629,S629)-1)</f>
        <v/>
      </c>
    </row>
    <row r="630" hidden="1" ht="16.5" customHeight="1">
      <c r="A630">
        <f>IF(COUNTA('05_KAPA'!$A601:$AO601)=0,"",603)</f>
        <v/>
      </c>
      <c r="B630">
        <f>IF($A630="","",INDEX('05_KAPA'!$B:$B,$A630))</f>
        <v/>
      </c>
      <c r="C630">
        <f>IF($A630="","",INDEX('05_KAPA'!$F:$F,$A630))</f>
        <v/>
      </c>
      <c r="D630">
        <f>IF($A630="","",INDEX('05_KAPA'!$H:$H,$A630))</f>
        <v/>
      </c>
      <c r="E630">
        <f>IF($A630="","",INDEX('05_KAPA'!$K:$K,$A630))</f>
        <v/>
      </c>
      <c r="F630">
        <f>IF($A630="","",INDEX('05_KAPA'!$L:$L,$A630))</f>
        <v/>
      </c>
      <c r="G630">
        <f>IF($A630="","",INDEX('05_KAPA'!$I:$I,$A630))</f>
        <v/>
      </c>
      <c r="H630" s="202">
        <f>IF($A630="","",INDEX('05_KAPA'!$P:$P,$A630))</f>
        <v/>
      </c>
      <c r="I630" s="118">
        <f>IF($A630="","",INDEX('05_KAPA'!$O:$O,$A630))</f>
        <v/>
      </c>
      <c r="J630" s="202">
        <f>IF($A630="","",IFERROR(DATE(LEFT(TEXT(INDEX('05_KAPA'!$T:$T,$A630),"0"),4),MID(TEXT(INDEX('05_KAPA'!$T:$T,$A630),"0"),5,2),RIGHT(TEXT(INDEX('05_KAPA'!$T:$T,$A630),"0"),2)),""))</f>
        <v/>
      </c>
      <c r="K630">
        <f>IF(C630="","",IF('02_대상물건입력'!$B$5="",1,IF(ISNUMBER(SEARCH('02_대상물건입력'!$B$5,C630)),1,0)))</f>
        <v/>
      </c>
      <c r="L630">
        <f>IF(C630="","",IF('02_대상물건입력'!$B$6="",1,IF(ISNUMBER(SEARCH('02_대상물건입력'!$B$6,C630)),1,0)))</f>
        <v/>
      </c>
      <c r="M630">
        <f>IF(E630="","",IF('02_대상물건입력'!$B$8="",0,IF(ISNUMBER(SEARCH('02_대상물건입력'!$B$8,E630)),1,0)))</f>
        <v/>
      </c>
      <c r="N630">
        <f>IF(B630="","",IF(B630="담보",1,0))</f>
        <v/>
      </c>
      <c r="O630">
        <f>IFERROR(ABS(G630-'02_대상물건입력'!$B$11)/'02_대상물건입력'!$B$11,"")</f>
        <v/>
      </c>
      <c r="P630">
        <f>IFERROR(ABS('01_설정'!$B$4-H630),"")</f>
        <v/>
      </c>
      <c r="Q630">
        <f>IFERROR(ABS(YEAR(J630)-YEAR('02_대상물건입력'!$B$14)),"")</f>
        <v/>
      </c>
      <c r="R630">
        <f>IF(AND(G630&gt;0,H630&gt;0,I630&gt;0,N630=1,IF('01_설정'!$B$10=1,K630=1,TRUE()),O630&lt;='01_설정'!$B$5,P630&lt;='01_설정'!$B$7,Q630&lt;='01_설정'!$B$8),"Y","")</f>
        <v/>
      </c>
      <c r="S630">
        <f>IF(R630&lt;&gt;"Y","",MAX(0,(1-O630/'01_설정'!$B$5))*'01_설정'!$B$14+MAX(0,(1-P630/'01_설정'!$B$7))*'01_설정'!$B$16+MAX(0,(1-Q630/'01_설정'!$B$8))*'01_설정'!$B$17+L630*'01_설정'!$B$11+M630*'01_설정'!$B$12+N630*50)</f>
        <v/>
      </c>
      <c r="T630">
        <f>IF(S630="","",1+COUNTIFS($S$31:$S$1030,"&gt;"&amp;S630)+COUNTIFS($S$31:S630,S630)-1)</f>
        <v/>
      </c>
    </row>
    <row r="631" hidden="1" ht="16.5" customHeight="1">
      <c r="A631">
        <f>IF(COUNTA('05_KAPA'!$A602:$AO602)=0,"",604)</f>
        <v/>
      </c>
      <c r="B631">
        <f>IF($A631="","",INDEX('05_KAPA'!$B:$B,$A631))</f>
        <v/>
      </c>
      <c r="C631">
        <f>IF($A631="","",INDEX('05_KAPA'!$F:$F,$A631))</f>
        <v/>
      </c>
      <c r="D631">
        <f>IF($A631="","",INDEX('05_KAPA'!$H:$H,$A631))</f>
        <v/>
      </c>
      <c r="E631">
        <f>IF($A631="","",INDEX('05_KAPA'!$K:$K,$A631))</f>
        <v/>
      </c>
      <c r="F631">
        <f>IF($A631="","",INDEX('05_KAPA'!$L:$L,$A631))</f>
        <v/>
      </c>
      <c r="G631">
        <f>IF($A631="","",INDEX('05_KAPA'!$I:$I,$A631))</f>
        <v/>
      </c>
      <c r="H631" s="202">
        <f>IF($A631="","",INDEX('05_KAPA'!$P:$P,$A631))</f>
        <v/>
      </c>
      <c r="I631" s="118">
        <f>IF($A631="","",INDEX('05_KAPA'!$O:$O,$A631))</f>
        <v/>
      </c>
      <c r="J631" s="202">
        <f>IF($A631="","",IFERROR(DATE(LEFT(TEXT(INDEX('05_KAPA'!$T:$T,$A631),"0"),4),MID(TEXT(INDEX('05_KAPA'!$T:$T,$A631),"0"),5,2),RIGHT(TEXT(INDEX('05_KAPA'!$T:$T,$A631),"0"),2)),""))</f>
        <v/>
      </c>
      <c r="K631">
        <f>IF(C631="","",IF('02_대상물건입력'!$B$5="",1,IF(ISNUMBER(SEARCH('02_대상물건입력'!$B$5,C631)),1,0)))</f>
        <v/>
      </c>
      <c r="L631">
        <f>IF(C631="","",IF('02_대상물건입력'!$B$6="",1,IF(ISNUMBER(SEARCH('02_대상물건입력'!$B$6,C631)),1,0)))</f>
        <v/>
      </c>
      <c r="M631">
        <f>IF(E631="","",IF('02_대상물건입력'!$B$8="",0,IF(ISNUMBER(SEARCH('02_대상물건입력'!$B$8,E631)),1,0)))</f>
        <v/>
      </c>
      <c r="N631">
        <f>IF(B631="","",IF(B631="담보",1,0))</f>
        <v/>
      </c>
      <c r="O631">
        <f>IFERROR(ABS(G631-'02_대상물건입력'!$B$11)/'02_대상물건입력'!$B$11,"")</f>
        <v/>
      </c>
      <c r="P631">
        <f>IFERROR(ABS('01_설정'!$B$4-H631),"")</f>
        <v/>
      </c>
      <c r="Q631">
        <f>IFERROR(ABS(YEAR(J631)-YEAR('02_대상물건입력'!$B$14)),"")</f>
        <v/>
      </c>
      <c r="R631">
        <f>IF(AND(G631&gt;0,H631&gt;0,I631&gt;0,N631=1,IF('01_설정'!$B$10=1,K631=1,TRUE()),O631&lt;='01_설정'!$B$5,P631&lt;='01_설정'!$B$7,Q631&lt;='01_설정'!$B$8),"Y","")</f>
        <v/>
      </c>
      <c r="S631">
        <f>IF(R631&lt;&gt;"Y","",MAX(0,(1-O631/'01_설정'!$B$5))*'01_설정'!$B$14+MAX(0,(1-P631/'01_설정'!$B$7))*'01_설정'!$B$16+MAX(0,(1-Q631/'01_설정'!$B$8))*'01_설정'!$B$17+L631*'01_설정'!$B$11+M631*'01_설정'!$B$12+N631*50)</f>
        <v/>
      </c>
      <c r="T631">
        <f>IF(S631="","",1+COUNTIFS($S$31:$S$1030,"&gt;"&amp;S631)+COUNTIFS($S$31:S631,S631)-1)</f>
        <v/>
      </c>
    </row>
    <row r="632" hidden="1" ht="16.5" customHeight="1">
      <c r="A632">
        <f>IF(COUNTA('05_KAPA'!$A603:$AO603)=0,"",605)</f>
        <v/>
      </c>
      <c r="B632">
        <f>IF($A632="","",INDEX('05_KAPA'!$B:$B,$A632))</f>
        <v/>
      </c>
      <c r="C632">
        <f>IF($A632="","",INDEX('05_KAPA'!$F:$F,$A632))</f>
        <v/>
      </c>
      <c r="D632">
        <f>IF($A632="","",INDEX('05_KAPA'!$H:$H,$A632))</f>
        <v/>
      </c>
      <c r="E632">
        <f>IF($A632="","",INDEX('05_KAPA'!$K:$K,$A632))</f>
        <v/>
      </c>
      <c r="F632">
        <f>IF($A632="","",INDEX('05_KAPA'!$L:$L,$A632))</f>
        <v/>
      </c>
      <c r="G632">
        <f>IF($A632="","",INDEX('05_KAPA'!$I:$I,$A632))</f>
        <v/>
      </c>
      <c r="H632" s="202">
        <f>IF($A632="","",INDEX('05_KAPA'!$P:$P,$A632))</f>
        <v/>
      </c>
      <c r="I632" s="118">
        <f>IF($A632="","",INDEX('05_KAPA'!$O:$O,$A632))</f>
        <v/>
      </c>
      <c r="J632" s="202">
        <f>IF($A632="","",IFERROR(DATE(LEFT(TEXT(INDEX('05_KAPA'!$T:$T,$A632),"0"),4),MID(TEXT(INDEX('05_KAPA'!$T:$T,$A632),"0"),5,2),RIGHT(TEXT(INDEX('05_KAPA'!$T:$T,$A632),"0"),2)),""))</f>
        <v/>
      </c>
      <c r="K632">
        <f>IF(C632="","",IF('02_대상물건입력'!$B$5="",1,IF(ISNUMBER(SEARCH('02_대상물건입력'!$B$5,C632)),1,0)))</f>
        <v/>
      </c>
      <c r="L632">
        <f>IF(C632="","",IF('02_대상물건입력'!$B$6="",1,IF(ISNUMBER(SEARCH('02_대상물건입력'!$B$6,C632)),1,0)))</f>
        <v/>
      </c>
      <c r="M632">
        <f>IF(E632="","",IF('02_대상물건입력'!$B$8="",0,IF(ISNUMBER(SEARCH('02_대상물건입력'!$B$8,E632)),1,0)))</f>
        <v/>
      </c>
      <c r="N632">
        <f>IF(B632="","",IF(B632="담보",1,0))</f>
        <v/>
      </c>
      <c r="O632">
        <f>IFERROR(ABS(G632-'02_대상물건입력'!$B$11)/'02_대상물건입력'!$B$11,"")</f>
        <v/>
      </c>
      <c r="P632">
        <f>IFERROR(ABS('01_설정'!$B$4-H632),"")</f>
        <v/>
      </c>
      <c r="Q632">
        <f>IFERROR(ABS(YEAR(J632)-YEAR('02_대상물건입력'!$B$14)),"")</f>
        <v/>
      </c>
      <c r="R632">
        <f>IF(AND(G632&gt;0,H632&gt;0,I632&gt;0,N632=1,IF('01_설정'!$B$10=1,K632=1,TRUE()),O632&lt;='01_설정'!$B$5,P632&lt;='01_설정'!$B$7,Q632&lt;='01_설정'!$B$8),"Y","")</f>
        <v/>
      </c>
      <c r="S632">
        <f>IF(R632&lt;&gt;"Y","",MAX(0,(1-O632/'01_설정'!$B$5))*'01_설정'!$B$14+MAX(0,(1-P632/'01_설정'!$B$7))*'01_설정'!$B$16+MAX(0,(1-Q632/'01_설정'!$B$8))*'01_설정'!$B$17+L632*'01_설정'!$B$11+M632*'01_설정'!$B$12+N632*50)</f>
        <v/>
      </c>
      <c r="T632">
        <f>IF(S632="","",1+COUNTIFS($S$31:$S$1030,"&gt;"&amp;S632)+COUNTIFS($S$31:S632,S632)-1)</f>
        <v/>
      </c>
    </row>
    <row r="633" hidden="1" ht="16.5" customHeight="1">
      <c r="A633">
        <f>IF(COUNTA('05_KAPA'!$A604:$AO604)=0,"",606)</f>
        <v/>
      </c>
      <c r="B633">
        <f>IF($A633="","",INDEX('05_KAPA'!$B:$B,$A633))</f>
        <v/>
      </c>
      <c r="C633">
        <f>IF($A633="","",INDEX('05_KAPA'!$F:$F,$A633))</f>
        <v/>
      </c>
      <c r="D633">
        <f>IF($A633="","",INDEX('05_KAPA'!$H:$H,$A633))</f>
        <v/>
      </c>
      <c r="E633">
        <f>IF($A633="","",INDEX('05_KAPA'!$K:$K,$A633))</f>
        <v/>
      </c>
      <c r="F633">
        <f>IF($A633="","",INDEX('05_KAPA'!$L:$L,$A633))</f>
        <v/>
      </c>
      <c r="G633">
        <f>IF($A633="","",INDEX('05_KAPA'!$I:$I,$A633))</f>
        <v/>
      </c>
      <c r="H633" s="202">
        <f>IF($A633="","",INDEX('05_KAPA'!$P:$P,$A633))</f>
        <v/>
      </c>
      <c r="I633" s="118">
        <f>IF($A633="","",INDEX('05_KAPA'!$O:$O,$A633))</f>
        <v/>
      </c>
      <c r="J633" s="202">
        <f>IF($A633="","",IFERROR(DATE(LEFT(TEXT(INDEX('05_KAPA'!$T:$T,$A633),"0"),4),MID(TEXT(INDEX('05_KAPA'!$T:$T,$A633),"0"),5,2),RIGHT(TEXT(INDEX('05_KAPA'!$T:$T,$A633),"0"),2)),""))</f>
        <v/>
      </c>
      <c r="K633">
        <f>IF(C633="","",IF('02_대상물건입력'!$B$5="",1,IF(ISNUMBER(SEARCH('02_대상물건입력'!$B$5,C633)),1,0)))</f>
        <v/>
      </c>
      <c r="L633">
        <f>IF(C633="","",IF('02_대상물건입력'!$B$6="",1,IF(ISNUMBER(SEARCH('02_대상물건입력'!$B$6,C633)),1,0)))</f>
        <v/>
      </c>
      <c r="M633">
        <f>IF(E633="","",IF('02_대상물건입력'!$B$8="",0,IF(ISNUMBER(SEARCH('02_대상물건입력'!$B$8,E633)),1,0)))</f>
        <v/>
      </c>
      <c r="N633">
        <f>IF(B633="","",IF(B633="담보",1,0))</f>
        <v/>
      </c>
      <c r="O633">
        <f>IFERROR(ABS(G633-'02_대상물건입력'!$B$11)/'02_대상물건입력'!$B$11,"")</f>
        <v/>
      </c>
      <c r="P633">
        <f>IFERROR(ABS('01_설정'!$B$4-H633),"")</f>
        <v/>
      </c>
      <c r="Q633">
        <f>IFERROR(ABS(YEAR(J633)-YEAR('02_대상물건입력'!$B$14)),"")</f>
        <v/>
      </c>
      <c r="R633">
        <f>IF(AND(G633&gt;0,H633&gt;0,I633&gt;0,N633=1,IF('01_설정'!$B$10=1,K633=1,TRUE()),O633&lt;='01_설정'!$B$5,P633&lt;='01_설정'!$B$7,Q633&lt;='01_설정'!$B$8),"Y","")</f>
        <v/>
      </c>
      <c r="S633">
        <f>IF(R633&lt;&gt;"Y","",MAX(0,(1-O633/'01_설정'!$B$5))*'01_설정'!$B$14+MAX(0,(1-P633/'01_설정'!$B$7))*'01_설정'!$B$16+MAX(0,(1-Q633/'01_설정'!$B$8))*'01_설정'!$B$17+L633*'01_설정'!$B$11+M633*'01_설정'!$B$12+N633*50)</f>
        <v/>
      </c>
      <c r="T633">
        <f>IF(S633="","",1+COUNTIFS($S$31:$S$1030,"&gt;"&amp;S633)+COUNTIFS($S$31:S633,S633)-1)</f>
        <v/>
      </c>
    </row>
    <row r="634" hidden="1" ht="16.5" customHeight="1">
      <c r="A634">
        <f>IF(COUNTA('05_KAPA'!$A605:$AO605)=0,"",607)</f>
        <v/>
      </c>
      <c r="B634">
        <f>IF($A634="","",INDEX('05_KAPA'!$B:$B,$A634))</f>
        <v/>
      </c>
      <c r="C634">
        <f>IF($A634="","",INDEX('05_KAPA'!$F:$F,$A634))</f>
        <v/>
      </c>
      <c r="D634">
        <f>IF($A634="","",INDEX('05_KAPA'!$H:$H,$A634))</f>
        <v/>
      </c>
      <c r="E634">
        <f>IF($A634="","",INDEX('05_KAPA'!$K:$K,$A634))</f>
        <v/>
      </c>
      <c r="F634">
        <f>IF($A634="","",INDEX('05_KAPA'!$L:$L,$A634))</f>
        <v/>
      </c>
      <c r="G634">
        <f>IF($A634="","",INDEX('05_KAPA'!$I:$I,$A634))</f>
        <v/>
      </c>
      <c r="H634" s="202">
        <f>IF($A634="","",INDEX('05_KAPA'!$P:$P,$A634))</f>
        <v/>
      </c>
      <c r="I634" s="118">
        <f>IF($A634="","",INDEX('05_KAPA'!$O:$O,$A634))</f>
        <v/>
      </c>
      <c r="J634" s="202">
        <f>IF($A634="","",IFERROR(DATE(LEFT(TEXT(INDEX('05_KAPA'!$T:$T,$A634),"0"),4),MID(TEXT(INDEX('05_KAPA'!$T:$T,$A634),"0"),5,2),RIGHT(TEXT(INDEX('05_KAPA'!$T:$T,$A634),"0"),2)),""))</f>
        <v/>
      </c>
      <c r="K634">
        <f>IF(C634="","",IF('02_대상물건입력'!$B$5="",1,IF(ISNUMBER(SEARCH('02_대상물건입력'!$B$5,C634)),1,0)))</f>
        <v/>
      </c>
      <c r="L634">
        <f>IF(C634="","",IF('02_대상물건입력'!$B$6="",1,IF(ISNUMBER(SEARCH('02_대상물건입력'!$B$6,C634)),1,0)))</f>
        <v/>
      </c>
      <c r="M634">
        <f>IF(E634="","",IF('02_대상물건입력'!$B$8="",0,IF(ISNUMBER(SEARCH('02_대상물건입력'!$B$8,E634)),1,0)))</f>
        <v/>
      </c>
      <c r="N634">
        <f>IF(B634="","",IF(B634="담보",1,0))</f>
        <v/>
      </c>
      <c r="O634">
        <f>IFERROR(ABS(G634-'02_대상물건입력'!$B$11)/'02_대상물건입력'!$B$11,"")</f>
        <v/>
      </c>
      <c r="P634">
        <f>IFERROR(ABS('01_설정'!$B$4-H634),"")</f>
        <v/>
      </c>
      <c r="Q634">
        <f>IFERROR(ABS(YEAR(J634)-YEAR('02_대상물건입력'!$B$14)),"")</f>
        <v/>
      </c>
      <c r="R634">
        <f>IF(AND(G634&gt;0,H634&gt;0,I634&gt;0,N634=1,IF('01_설정'!$B$10=1,K634=1,TRUE()),O634&lt;='01_설정'!$B$5,P634&lt;='01_설정'!$B$7,Q634&lt;='01_설정'!$B$8),"Y","")</f>
        <v/>
      </c>
      <c r="S634">
        <f>IF(R634&lt;&gt;"Y","",MAX(0,(1-O634/'01_설정'!$B$5))*'01_설정'!$B$14+MAX(0,(1-P634/'01_설정'!$B$7))*'01_설정'!$B$16+MAX(0,(1-Q634/'01_설정'!$B$8))*'01_설정'!$B$17+L634*'01_설정'!$B$11+M634*'01_설정'!$B$12+N634*50)</f>
        <v/>
      </c>
      <c r="T634">
        <f>IF(S634="","",1+COUNTIFS($S$31:$S$1030,"&gt;"&amp;S634)+COUNTIFS($S$31:S634,S634)-1)</f>
        <v/>
      </c>
    </row>
    <row r="635" hidden="1" ht="16.5" customHeight="1">
      <c r="A635">
        <f>IF(COUNTA('05_KAPA'!$A606:$AO606)=0,"",608)</f>
        <v/>
      </c>
      <c r="B635">
        <f>IF($A635="","",INDEX('05_KAPA'!$B:$B,$A635))</f>
        <v/>
      </c>
      <c r="C635">
        <f>IF($A635="","",INDEX('05_KAPA'!$F:$F,$A635))</f>
        <v/>
      </c>
      <c r="D635">
        <f>IF($A635="","",INDEX('05_KAPA'!$H:$H,$A635))</f>
        <v/>
      </c>
      <c r="E635">
        <f>IF($A635="","",INDEX('05_KAPA'!$K:$K,$A635))</f>
        <v/>
      </c>
      <c r="F635">
        <f>IF($A635="","",INDEX('05_KAPA'!$L:$L,$A635))</f>
        <v/>
      </c>
      <c r="G635">
        <f>IF($A635="","",INDEX('05_KAPA'!$I:$I,$A635))</f>
        <v/>
      </c>
      <c r="H635" s="202">
        <f>IF($A635="","",INDEX('05_KAPA'!$P:$P,$A635))</f>
        <v/>
      </c>
      <c r="I635" s="118">
        <f>IF($A635="","",INDEX('05_KAPA'!$O:$O,$A635))</f>
        <v/>
      </c>
      <c r="J635" s="202">
        <f>IF($A635="","",IFERROR(DATE(LEFT(TEXT(INDEX('05_KAPA'!$T:$T,$A635),"0"),4),MID(TEXT(INDEX('05_KAPA'!$T:$T,$A635),"0"),5,2),RIGHT(TEXT(INDEX('05_KAPA'!$T:$T,$A635),"0"),2)),""))</f>
        <v/>
      </c>
      <c r="K635">
        <f>IF(C635="","",IF('02_대상물건입력'!$B$5="",1,IF(ISNUMBER(SEARCH('02_대상물건입력'!$B$5,C635)),1,0)))</f>
        <v/>
      </c>
      <c r="L635">
        <f>IF(C635="","",IF('02_대상물건입력'!$B$6="",1,IF(ISNUMBER(SEARCH('02_대상물건입력'!$B$6,C635)),1,0)))</f>
        <v/>
      </c>
      <c r="M635">
        <f>IF(E635="","",IF('02_대상물건입력'!$B$8="",0,IF(ISNUMBER(SEARCH('02_대상물건입력'!$B$8,E635)),1,0)))</f>
        <v/>
      </c>
      <c r="N635">
        <f>IF(B635="","",IF(B635="담보",1,0))</f>
        <v/>
      </c>
      <c r="O635">
        <f>IFERROR(ABS(G635-'02_대상물건입력'!$B$11)/'02_대상물건입력'!$B$11,"")</f>
        <v/>
      </c>
      <c r="P635">
        <f>IFERROR(ABS('01_설정'!$B$4-H635),"")</f>
        <v/>
      </c>
      <c r="Q635">
        <f>IFERROR(ABS(YEAR(J635)-YEAR('02_대상물건입력'!$B$14)),"")</f>
        <v/>
      </c>
      <c r="R635">
        <f>IF(AND(G635&gt;0,H635&gt;0,I635&gt;0,N635=1,IF('01_설정'!$B$10=1,K635=1,TRUE()),O635&lt;='01_설정'!$B$5,P635&lt;='01_설정'!$B$7,Q635&lt;='01_설정'!$B$8),"Y","")</f>
        <v/>
      </c>
      <c r="S635">
        <f>IF(R635&lt;&gt;"Y","",MAX(0,(1-O635/'01_설정'!$B$5))*'01_설정'!$B$14+MAX(0,(1-P635/'01_설정'!$B$7))*'01_설정'!$B$16+MAX(0,(1-Q635/'01_설정'!$B$8))*'01_설정'!$B$17+L635*'01_설정'!$B$11+M635*'01_설정'!$B$12+N635*50)</f>
        <v/>
      </c>
      <c r="T635">
        <f>IF(S635="","",1+COUNTIFS($S$31:$S$1030,"&gt;"&amp;S635)+COUNTIFS($S$31:S635,S635)-1)</f>
        <v/>
      </c>
    </row>
    <row r="636" hidden="1" ht="16.5" customHeight="1">
      <c r="A636">
        <f>IF(COUNTA('05_KAPA'!$A607:$AO607)=0,"",609)</f>
        <v/>
      </c>
      <c r="B636">
        <f>IF($A636="","",INDEX('05_KAPA'!$B:$B,$A636))</f>
        <v/>
      </c>
      <c r="C636">
        <f>IF($A636="","",INDEX('05_KAPA'!$F:$F,$A636))</f>
        <v/>
      </c>
      <c r="D636">
        <f>IF($A636="","",INDEX('05_KAPA'!$H:$H,$A636))</f>
        <v/>
      </c>
      <c r="E636">
        <f>IF($A636="","",INDEX('05_KAPA'!$K:$K,$A636))</f>
        <v/>
      </c>
      <c r="F636">
        <f>IF($A636="","",INDEX('05_KAPA'!$L:$L,$A636))</f>
        <v/>
      </c>
      <c r="G636">
        <f>IF($A636="","",INDEX('05_KAPA'!$I:$I,$A636))</f>
        <v/>
      </c>
      <c r="H636" s="202">
        <f>IF($A636="","",INDEX('05_KAPA'!$P:$P,$A636))</f>
        <v/>
      </c>
      <c r="I636" s="118">
        <f>IF($A636="","",INDEX('05_KAPA'!$O:$O,$A636))</f>
        <v/>
      </c>
      <c r="J636" s="202">
        <f>IF($A636="","",IFERROR(DATE(LEFT(TEXT(INDEX('05_KAPA'!$T:$T,$A636),"0"),4),MID(TEXT(INDEX('05_KAPA'!$T:$T,$A636),"0"),5,2),RIGHT(TEXT(INDEX('05_KAPA'!$T:$T,$A636),"0"),2)),""))</f>
        <v/>
      </c>
      <c r="K636">
        <f>IF(C636="","",IF('02_대상물건입력'!$B$5="",1,IF(ISNUMBER(SEARCH('02_대상물건입력'!$B$5,C636)),1,0)))</f>
        <v/>
      </c>
      <c r="L636">
        <f>IF(C636="","",IF('02_대상물건입력'!$B$6="",1,IF(ISNUMBER(SEARCH('02_대상물건입력'!$B$6,C636)),1,0)))</f>
        <v/>
      </c>
      <c r="M636">
        <f>IF(E636="","",IF('02_대상물건입력'!$B$8="",0,IF(ISNUMBER(SEARCH('02_대상물건입력'!$B$8,E636)),1,0)))</f>
        <v/>
      </c>
      <c r="N636">
        <f>IF(B636="","",IF(B636="담보",1,0))</f>
        <v/>
      </c>
      <c r="O636">
        <f>IFERROR(ABS(G636-'02_대상물건입력'!$B$11)/'02_대상물건입력'!$B$11,"")</f>
        <v/>
      </c>
      <c r="P636">
        <f>IFERROR(ABS('01_설정'!$B$4-H636),"")</f>
        <v/>
      </c>
      <c r="Q636">
        <f>IFERROR(ABS(YEAR(J636)-YEAR('02_대상물건입력'!$B$14)),"")</f>
        <v/>
      </c>
      <c r="R636">
        <f>IF(AND(G636&gt;0,H636&gt;0,I636&gt;0,N636=1,IF('01_설정'!$B$10=1,K636=1,TRUE()),O636&lt;='01_설정'!$B$5,P636&lt;='01_설정'!$B$7,Q636&lt;='01_설정'!$B$8),"Y","")</f>
        <v/>
      </c>
      <c r="S636">
        <f>IF(R636&lt;&gt;"Y","",MAX(0,(1-O636/'01_설정'!$B$5))*'01_설정'!$B$14+MAX(0,(1-P636/'01_설정'!$B$7))*'01_설정'!$B$16+MAX(0,(1-Q636/'01_설정'!$B$8))*'01_설정'!$B$17+L636*'01_설정'!$B$11+M636*'01_설정'!$B$12+N636*50)</f>
        <v/>
      </c>
      <c r="T636">
        <f>IF(S636="","",1+COUNTIFS($S$31:$S$1030,"&gt;"&amp;S636)+COUNTIFS($S$31:S636,S636)-1)</f>
        <v/>
      </c>
    </row>
    <row r="637" hidden="1" ht="16.5" customHeight="1">
      <c r="A637">
        <f>IF(COUNTA('05_KAPA'!$A608:$AO608)=0,"",610)</f>
        <v/>
      </c>
      <c r="B637">
        <f>IF($A637="","",INDEX('05_KAPA'!$B:$B,$A637))</f>
        <v/>
      </c>
      <c r="C637">
        <f>IF($A637="","",INDEX('05_KAPA'!$F:$F,$A637))</f>
        <v/>
      </c>
      <c r="D637">
        <f>IF($A637="","",INDEX('05_KAPA'!$H:$H,$A637))</f>
        <v/>
      </c>
      <c r="E637">
        <f>IF($A637="","",INDEX('05_KAPA'!$K:$K,$A637))</f>
        <v/>
      </c>
      <c r="F637">
        <f>IF($A637="","",INDEX('05_KAPA'!$L:$L,$A637))</f>
        <v/>
      </c>
      <c r="G637">
        <f>IF($A637="","",INDEX('05_KAPA'!$I:$I,$A637))</f>
        <v/>
      </c>
      <c r="H637" s="202">
        <f>IF($A637="","",INDEX('05_KAPA'!$P:$P,$A637))</f>
        <v/>
      </c>
      <c r="I637" s="118">
        <f>IF($A637="","",INDEX('05_KAPA'!$O:$O,$A637))</f>
        <v/>
      </c>
      <c r="J637" s="202">
        <f>IF($A637="","",IFERROR(DATE(LEFT(TEXT(INDEX('05_KAPA'!$T:$T,$A637),"0"),4),MID(TEXT(INDEX('05_KAPA'!$T:$T,$A637),"0"),5,2),RIGHT(TEXT(INDEX('05_KAPA'!$T:$T,$A637),"0"),2)),""))</f>
        <v/>
      </c>
      <c r="K637">
        <f>IF(C637="","",IF('02_대상물건입력'!$B$5="",1,IF(ISNUMBER(SEARCH('02_대상물건입력'!$B$5,C637)),1,0)))</f>
        <v/>
      </c>
      <c r="L637">
        <f>IF(C637="","",IF('02_대상물건입력'!$B$6="",1,IF(ISNUMBER(SEARCH('02_대상물건입력'!$B$6,C637)),1,0)))</f>
        <v/>
      </c>
      <c r="M637">
        <f>IF(E637="","",IF('02_대상물건입력'!$B$8="",0,IF(ISNUMBER(SEARCH('02_대상물건입력'!$B$8,E637)),1,0)))</f>
        <v/>
      </c>
      <c r="N637">
        <f>IF(B637="","",IF(B637="담보",1,0))</f>
        <v/>
      </c>
      <c r="O637">
        <f>IFERROR(ABS(G637-'02_대상물건입력'!$B$11)/'02_대상물건입력'!$B$11,"")</f>
        <v/>
      </c>
      <c r="P637">
        <f>IFERROR(ABS('01_설정'!$B$4-H637),"")</f>
        <v/>
      </c>
      <c r="Q637">
        <f>IFERROR(ABS(YEAR(J637)-YEAR('02_대상물건입력'!$B$14)),"")</f>
        <v/>
      </c>
      <c r="R637">
        <f>IF(AND(G637&gt;0,H637&gt;0,I637&gt;0,N637=1,IF('01_설정'!$B$10=1,K637=1,TRUE()),O637&lt;='01_설정'!$B$5,P637&lt;='01_설정'!$B$7,Q637&lt;='01_설정'!$B$8),"Y","")</f>
        <v/>
      </c>
      <c r="S637">
        <f>IF(R637&lt;&gt;"Y","",MAX(0,(1-O637/'01_설정'!$B$5))*'01_설정'!$B$14+MAX(0,(1-P637/'01_설정'!$B$7))*'01_설정'!$B$16+MAX(0,(1-Q637/'01_설정'!$B$8))*'01_설정'!$B$17+L637*'01_설정'!$B$11+M637*'01_설정'!$B$12+N637*50)</f>
        <v/>
      </c>
      <c r="T637">
        <f>IF(S637="","",1+COUNTIFS($S$31:$S$1030,"&gt;"&amp;S637)+COUNTIFS($S$31:S637,S637)-1)</f>
        <v/>
      </c>
    </row>
    <row r="638" hidden="1" ht="16.5" customHeight="1">
      <c r="A638">
        <f>IF(COUNTA('05_KAPA'!$A609:$AO609)=0,"",611)</f>
        <v/>
      </c>
      <c r="B638">
        <f>IF($A638="","",INDEX('05_KAPA'!$B:$B,$A638))</f>
        <v/>
      </c>
      <c r="C638">
        <f>IF($A638="","",INDEX('05_KAPA'!$F:$F,$A638))</f>
        <v/>
      </c>
      <c r="D638">
        <f>IF($A638="","",INDEX('05_KAPA'!$H:$H,$A638))</f>
        <v/>
      </c>
      <c r="E638">
        <f>IF($A638="","",INDEX('05_KAPA'!$K:$K,$A638))</f>
        <v/>
      </c>
      <c r="F638">
        <f>IF($A638="","",INDEX('05_KAPA'!$L:$L,$A638))</f>
        <v/>
      </c>
      <c r="G638">
        <f>IF($A638="","",INDEX('05_KAPA'!$I:$I,$A638))</f>
        <v/>
      </c>
      <c r="H638" s="202">
        <f>IF($A638="","",INDEX('05_KAPA'!$P:$P,$A638))</f>
        <v/>
      </c>
      <c r="I638" s="118">
        <f>IF($A638="","",INDEX('05_KAPA'!$O:$O,$A638))</f>
        <v/>
      </c>
      <c r="J638" s="202">
        <f>IF($A638="","",IFERROR(DATE(LEFT(TEXT(INDEX('05_KAPA'!$T:$T,$A638),"0"),4),MID(TEXT(INDEX('05_KAPA'!$T:$T,$A638),"0"),5,2),RIGHT(TEXT(INDEX('05_KAPA'!$T:$T,$A638),"0"),2)),""))</f>
        <v/>
      </c>
      <c r="K638">
        <f>IF(C638="","",IF('02_대상물건입력'!$B$5="",1,IF(ISNUMBER(SEARCH('02_대상물건입력'!$B$5,C638)),1,0)))</f>
        <v/>
      </c>
      <c r="L638">
        <f>IF(C638="","",IF('02_대상물건입력'!$B$6="",1,IF(ISNUMBER(SEARCH('02_대상물건입력'!$B$6,C638)),1,0)))</f>
        <v/>
      </c>
      <c r="M638">
        <f>IF(E638="","",IF('02_대상물건입력'!$B$8="",0,IF(ISNUMBER(SEARCH('02_대상물건입력'!$B$8,E638)),1,0)))</f>
        <v/>
      </c>
      <c r="N638">
        <f>IF(B638="","",IF(B638="담보",1,0))</f>
        <v/>
      </c>
      <c r="O638">
        <f>IFERROR(ABS(G638-'02_대상물건입력'!$B$11)/'02_대상물건입력'!$B$11,"")</f>
        <v/>
      </c>
      <c r="P638">
        <f>IFERROR(ABS('01_설정'!$B$4-H638),"")</f>
        <v/>
      </c>
      <c r="Q638">
        <f>IFERROR(ABS(YEAR(J638)-YEAR('02_대상물건입력'!$B$14)),"")</f>
        <v/>
      </c>
      <c r="R638">
        <f>IF(AND(G638&gt;0,H638&gt;0,I638&gt;0,N638=1,IF('01_설정'!$B$10=1,K638=1,TRUE()),O638&lt;='01_설정'!$B$5,P638&lt;='01_설정'!$B$7,Q638&lt;='01_설정'!$B$8),"Y","")</f>
        <v/>
      </c>
      <c r="S638">
        <f>IF(R638&lt;&gt;"Y","",MAX(0,(1-O638/'01_설정'!$B$5))*'01_설정'!$B$14+MAX(0,(1-P638/'01_설정'!$B$7))*'01_설정'!$B$16+MAX(0,(1-Q638/'01_설정'!$B$8))*'01_설정'!$B$17+L638*'01_설정'!$B$11+M638*'01_설정'!$B$12+N638*50)</f>
        <v/>
      </c>
      <c r="T638">
        <f>IF(S638="","",1+COUNTIFS($S$31:$S$1030,"&gt;"&amp;S638)+COUNTIFS($S$31:S638,S638)-1)</f>
        <v/>
      </c>
    </row>
    <row r="639" hidden="1" ht="16.5" customHeight="1">
      <c r="A639">
        <f>IF(COUNTA('05_KAPA'!$A610:$AO610)=0,"",612)</f>
        <v/>
      </c>
      <c r="B639">
        <f>IF($A639="","",INDEX('05_KAPA'!$B:$B,$A639))</f>
        <v/>
      </c>
      <c r="C639">
        <f>IF($A639="","",INDEX('05_KAPA'!$F:$F,$A639))</f>
        <v/>
      </c>
      <c r="D639">
        <f>IF($A639="","",INDEX('05_KAPA'!$H:$H,$A639))</f>
        <v/>
      </c>
      <c r="E639">
        <f>IF($A639="","",INDEX('05_KAPA'!$K:$K,$A639))</f>
        <v/>
      </c>
      <c r="F639">
        <f>IF($A639="","",INDEX('05_KAPA'!$L:$L,$A639))</f>
        <v/>
      </c>
      <c r="G639">
        <f>IF($A639="","",INDEX('05_KAPA'!$I:$I,$A639))</f>
        <v/>
      </c>
      <c r="H639" s="202">
        <f>IF($A639="","",INDEX('05_KAPA'!$P:$P,$A639))</f>
        <v/>
      </c>
      <c r="I639" s="118">
        <f>IF($A639="","",INDEX('05_KAPA'!$O:$O,$A639))</f>
        <v/>
      </c>
      <c r="J639" s="202">
        <f>IF($A639="","",IFERROR(DATE(LEFT(TEXT(INDEX('05_KAPA'!$T:$T,$A639),"0"),4),MID(TEXT(INDEX('05_KAPA'!$T:$T,$A639),"0"),5,2),RIGHT(TEXT(INDEX('05_KAPA'!$T:$T,$A639),"0"),2)),""))</f>
        <v/>
      </c>
      <c r="K639">
        <f>IF(C639="","",IF('02_대상물건입력'!$B$5="",1,IF(ISNUMBER(SEARCH('02_대상물건입력'!$B$5,C639)),1,0)))</f>
        <v/>
      </c>
      <c r="L639">
        <f>IF(C639="","",IF('02_대상물건입력'!$B$6="",1,IF(ISNUMBER(SEARCH('02_대상물건입력'!$B$6,C639)),1,0)))</f>
        <v/>
      </c>
      <c r="M639">
        <f>IF(E639="","",IF('02_대상물건입력'!$B$8="",0,IF(ISNUMBER(SEARCH('02_대상물건입력'!$B$8,E639)),1,0)))</f>
        <v/>
      </c>
      <c r="N639">
        <f>IF(B639="","",IF(B639="담보",1,0))</f>
        <v/>
      </c>
      <c r="O639">
        <f>IFERROR(ABS(G639-'02_대상물건입력'!$B$11)/'02_대상물건입력'!$B$11,"")</f>
        <v/>
      </c>
      <c r="P639">
        <f>IFERROR(ABS('01_설정'!$B$4-H639),"")</f>
        <v/>
      </c>
      <c r="Q639">
        <f>IFERROR(ABS(YEAR(J639)-YEAR('02_대상물건입력'!$B$14)),"")</f>
        <v/>
      </c>
      <c r="R639">
        <f>IF(AND(G639&gt;0,H639&gt;0,I639&gt;0,N639=1,IF('01_설정'!$B$10=1,K639=1,TRUE()),O639&lt;='01_설정'!$B$5,P639&lt;='01_설정'!$B$7,Q639&lt;='01_설정'!$B$8),"Y","")</f>
        <v/>
      </c>
      <c r="S639">
        <f>IF(R639&lt;&gt;"Y","",MAX(0,(1-O639/'01_설정'!$B$5))*'01_설정'!$B$14+MAX(0,(1-P639/'01_설정'!$B$7))*'01_설정'!$B$16+MAX(0,(1-Q639/'01_설정'!$B$8))*'01_설정'!$B$17+L639*'01_설정'!$B$11+M639*'01_설정'!$B$12+N639*50)</f>
        <v/>
      </c>
      <c r="T639">
        <f>IF(S639="","",1+COUNTIFS($S$31:$S$1030,"&gt;"&amp;S639)+COUNTIFS($S$31:S639,S639)-1)</f>
        <v/>
      </c>
    </row>
    <row r="640" hidden="1" ht="16.5" customHeight="1">
      <c r="A640">
        <f>IF(COUNTA('05_KAPA'!$A611:$AO611)=0,"",613)</f>
        <v/>
      </c>
      <c r="B640">
        <f>IF($A640="","",INDEX('05_KAPA'!$B:$B,$A640))</f>
        <v/>
      </c>
      <c r="C640">
        <f>IF($A640="","",INDEX('05_KAPA'!$F:$F,$A640))</f>
        <v/>
      </c>
      <c r="D640">
        <f>IF($A640="","",INDEX('05_KAPA'!$H:$H,$A640))</f>
        <v/>
      </c>
      <c r="E640">
        <f>IF($A640="","",INDEX('05_KAPA'!$K:$K,$A640))</f>
        <v/>
      </c>
      <c r="F640">
        <f>IF($A640="","",INDEX('05_KAPA'!$L:$L,$A640))</f>
        <v/>
      </c>
      <c r="G640">
        <f>IF($A640="","",INDEX('05_KAPA'!$I:$I,$A640))</f>
        <v/>
      </c>
      <c r="H640" s="202">
        <f>IF($A640="","",INDEX('05_KAPA'!$P:$P,$A640))</f>
        <v/>
      </c>
      <c r="I640" s="118">
        <f>IF($A640="","",INDEX('05_KAPA'!$O:$O,$A640))</f>
        <v/>
      </c>
      <c r="J640" s="202">
        <f>IF($A640="","",IFERROR(DATE(LEFT(TEXT(INDEX('05_KAPA'!$T:$T,$A640),"0"),4),MID(TEXT(INDEX('05_KAPA'!$T:$T,$A640),"0"),5,2),RIGHT(TEXT(INDEX('05_KAPA'!$T:$T,$A640),"0"),2)),""))</f>
        <v/>
      </c>
      <c r="K640">
        <f>IF(C640="","",IF('02_대상물건입력'!$B$5="",1,IF(ISNUMBER(SEARCH('02_대상물건입력'!$B$5,C640)),1,0)))</f>
        <v/>
      </c>
      <c r="L640">
        <f>IF(C640="","",IF('02_대상물건입력'!$B$6="",1,IF(ISNUMBER(SEARCH('02_대상물건입력'!$B$6,C640)),1,0)))</f>
        <v/>
      </c>
      <c r="M640">
        <f>IF(E640="","",IF('02_대상물건입력'!$B$8="",0,IF(ISNUMBER(SEARCH('02_대상물건입력'!$B$8,E640)),1,0)))</f>
        <v/>
      </c>
      <c r="N640">
        <f>IF(B640="","",IF(B640="담보",1,0))</f>
        <v/>
      </c>
      <c r="O640">
        <f>IFERROR(ABS(G640-'02_대상물건입력'!$B$11)/'02_대상물건입력'!$B$11,"")</f>
        <v/>
      </c>
      <c r="P640">
        <f>IFERROR(ABS('01_설정'!$B$4-H640),"")</f>
        <v/>
      </c>
      <c r="Q640">
        <f>IFERROR(ABS(YEAR(J640)-YEAR('02_대상물건입력'!$B$14)),"")</f>
        <v/>
      </c>
      <c r="R640">
        <f>IF(AND(G640&gt;0,H640&gt;0,I640&gt;0,N640=1,IF('01_설정'!$B$10=1,K640=1,TRUE()),O640&lt;='01_설정'!$B$5,P640&lt;='01_설정'!$B$7,Q640&lt;='01_설정'!$B$8),"Y","")</f>
        <v/>
      </c>
      <c r="S640">
        <f>IF(R640&lt;&gt;"Y","",MAX(0,(1-O640/'01_설정'!$B$5))*'01_설정'!$B$14+MAX(0,(1-P640/'01_설정'!$B$7))*'01_설정'!$B$16+MAX(0,(1-Q640/'01_설정'!$B$8))*'01_설정'!$B$17+L640*'01_설정'!$B$11+M640*'01_설정'!$B$12+N640*50)</f>
        <v/>
      </c>
      <c r="T640">
        <f>IF(S640="","",1+COUNTIFS($S$31:$S$1030,"&gt;"&amp;S640)+COUNTIFS($S$31:S640,S640)-1)</f>
        <v/>
      </c>
    </row>
    <row r="641" hidden="1" ht="16.5" customHeight="1">
      <c r="A641">
        <f>IF(COUNTA('05_KAPA'!$A612:$AO612)=0,"",614)</f>
        <v/>
      </c>
      <c r="B641">
        <f>IF($A641="","",INDEX('05_KAPA'!$B:$B,$A641))</f>
        <v/>
      </c>
      <c r="C641">
        <f>IF($A641="","",INDEX('05_KAPA'!$F:$F,$A641))</f>
        <v/>
      </c>
      <c r="D641">
        <f>IF($A641="","",INDEX('05_KAPA'!$H:$H,$A641))</f>
        <v/>
      </c>
      <c r="E641">
        <f>IF($A641="","",INDEX('05_KAPA'!$K:$K,$A641))</f>
        <v/>
      </c>
      <c r="F641">
        <f>IF($A641="","",INDEX('05_KAPA'!$L:$L,$A641))</f>
        <v/>
      </c>
      <c r="G641">
        <f>IF($A641="","",INDEX('05_KAPA'!$I:$I,$A641))</f>
        <v/>
      </c>
      <c r="H641" s="202">
        <f>IF($A641="","",INDEX('05_KAPA'!$P:$P,$A641))</f>
        <v/>
      </c>
      <c r="I641" s="118">
        <f>IF($A641="","",INDEX('05_KAPA'!$O:$O,$A641))</f>
        <v/>
      </c>
      <c r="J641" s="202">
        <f>IF($A641="","",IFERROR(DATE(LEFT(TEXT(INDEX('05_KAPA'!$T:$T,$A641),"0"),4),MID(TEXT(INDEX('05_KAPA'!$T:$T,$A641),"0"),5,2),RIGHT(TEXT(INDEX('05_KAPA'!$T:$T,$A641),"0"),2)),""))</f>
        <v/>
      </c>
      <c r="K641">
        <f>IF(C641="","",IF('02_대상물건입력'!$B$5="",1,IF(ISNUMBER(SEARCH('02_대상물건입력'!$B$5,C641)),1,0)))</f>
        <v/>
      </c>
      <c r="L641">
        <f>IF(C641="","",IF('02_대상물건입력'!$B$6="",1,IF(ISNUMBER(SEARCH('02_대상물건입력'!$B$6,C641)),1,0)))</f>
        <v/>
      </c>
      <c r="M641">
        <f>IF(E641="","",IF('02_대상물건입력'!$B$8="",0,IF(ISNUMBER(SEARCH('02_대상물건입력'!$B$8,E641)),1,0)))</f>
        <v/>
      </c>
      <c r="N641">
        <f>IF(B641="","",IF(B641="담보",1,0))</f>
        <v/>
      </c>
      <c r="O641">
        <f>IFERROR(ABS(G641-'02_대상물건입력'!$B$11)/'02_대상물건입력'!$B$11,"")</f>
        <v/>
      </c>
      <c r="P641">
        <f>IFERROR(ABS('01_설정'!$B$4-H641),"")</f>
        <v/>
      </c>
      <c r="Q641">
        <f>IFERROR(ABS(YEAR(J641)-YEAR('02_대상물건입력'!$B$14)),"")</f>
        <v/>
      </c>
      <c r="R641">
        <f>IF(AND(G641&gt;0,H641&gt;0,I641&gt;0,N641=1,IF('01_설정'!$B$10=1,K641=1,TRUE()),O641&lt;='01_설정'!$B$5,P641&lt;='01_설정'!$B$7,Q641&lt;='01_설정'!$B$8),"Y","")</f>
        <v/>
      </c>
      <c r="S641">
        <f>IF(R641&lt;&gt;"Y","",MAX(0,(1-O641/'01_설정'!$B$5))*'01_설정'!$B$14+MAX(0,(1-P641/'01_설정'!$B$7))*'01_설정'!$B$16+MAX(0,(1-Q641/'01_설정'!$B$8))*'01_설정'!$B$17+L641*'01_설정'!$B$11+M641*'01_설정'!$B$12+N641*50)</f>
        <v/>
      </c>
      <c r="T641">
        <f>IF(S641="","",1+COUNTIFS($S$31:$S$1030,"&gt;"&amp;S641)+COUNTIFS($S$31:S641,S641)-1)</f>
        <v/>
      </c>
    </row>
    <row r="642" hidden="1" ht="16.5" customHeight="1">
      <c r="A642">
        <f>IF(COUNTA('05_KAPA'!$A613:$AO613)=0,"",615)</f>
        <v/>
      </c>
      <c r="B642">
        <f>IF($A642="","",INDEX('05_KAPA'!$B:$B,$A642))</f>
        <v/>
      </c>
      <c r="C642">
        <f>IF($A642="","",INDEX('05_KAPA'!$F:$F,$A642))</f>
        <v/>
      </c>
      <c r="D642">
        <f>IF($A642="","",INDEX('05_KAPA'!$H:$H,$A642))</f>
        <v/>
      </c>
      <c r="E642">
        <f>IF($A642="","",INDEX('05_KAPA'!$K:$K,$A642))</f>
        <v/>
      </c>
      <c r="F642">
        <f>IF($A642="","",INDEX('05_KAPA'!$L:$L,$A642))</f>
        <v/>
      </c>
      <c r="G642">
        <f>IF($A642="","",INDEX('05_KAPA'!$I:$I,$A642))</f>
        <v/>
      </c>
      <c r="H642" s="202">
        <f>IF($A642="","",INDEX('05_KAPA'!$P:$P,$A642))</f>
        <v/>
      </c>
      <c r="I642" s="118">
        <f>IF($A642="","",INDEX('05_KAPA'!$O:$O,$A642))</f>
        <v/>
      </c>
      <c r="J642" s="202">
        <f>IF($A642="","",IFERROR(DATE(LEFT(TEXT(INDEX('05_KAPA'!$T:$T,$A642),"0"),4),MID(TEXT(INDEX('05_KAPA'!$T:$T,$A642),"0"),5,2),RIGHT(TEXT(INDEX('05_KAPA'!$T:$T,$A642),"0"),2)),""))</f>
        <v/>
      </c>
      <c r="K642">
        <f>IF(C642="","",IF('02_대상물건입력'!$B$5="",1,IF(ISNUMBER(SEARCH('02_대상물건입력'!$B$5,C642)),1,0)))</f>
        <v/>
      </c>
      <c r="L642">
        <f>IF(C642="","",IF('02_대상물건입력'!$B$6="",1,IF(ISNUMBER(SEARCH('02_대상물건입력'!$B$6,C642)),1,0)))</f>
        <v/>
      </c>
      <c r="M642">
        <f>IF(E642="","",IF('02_대상물건입력'!$B$8="",0,IF(ISNUMBER(SEARCH('02_대상물건입력'!$B$8,E642)),1,0)))</f>
        <v/>
      </c>
      <c r="N642">
        <f>IF(B642="","",IF(B642="담보",1,0))</f>
        <v/>
      </c>
      <c r="O642">
        <f>IFERROR(ABS(G642-'02_대상물건입력'!$B$11)/'02_대상물건입력'!$B$11,"")</f>
        <v/>
      </c>
      <c r="P642">
        <f>IFERROR(ABS('01_설정'!$B$4-H642),"")</f>
        <v/>
      </c>
      <c r="Q642">
        <f>IFERROR(ABS(YEAR(J642)-YEAR('02_대상물건입력'!$B$14)),"")</f>
        <v/>
      </c>
      <c r="R642">
        <f>IF(AND(G642&gt;0,H642&gt;0,I642&gt;0,N642=1,IF('01_설정'!$B$10=1,K642=1,TRUE()),O642&lt;='01_설정'!$B$5,P642&lt;='01_설정'!$B$7,Q642&lt;='01_설정'!$B$8),"Y","")</f>
        <v/>
      </c>
      <c r="S642">
        <f>IF(R642&lt;&gt;"Y","",MAX(0,(1-O642/'01_설정'!$B$5))*'01_설정'!$B$14+MAX(0,(1-P642/'01_설정'!$B$7))*'01_설정'!$B$16+MAX(0,(1-Q642/'01_설정'!$B$8))*'01_설정'!$B$17+L642*'01_설정'!$B$11+M642*'01_설정'!$B$12+N642*50)</f>
        <v/>
      </c>
      <c r="T642">
        <f>IF(S642="","",1+COUNTIFS($S$31:$S$1030,"&gt;"&amp;S642)+COUNTIFS($S$31:S642,S642)-1)</f>
        <v/>
      </c>
    </row>
    <row r="643" hidden="1" ht="16.5" customHeight="1">
      <c r="A643">
        <f>IF(COUNTA('05_KAPA'!$A614:$AO614)=0,"",616)</f>
        <v/>
      </c>
      <c r="B643">
        <f>IF($A643="","",INDEX('05_KAPA'!$B:$B,$A643))</f>
        <v/>
      </c>
      <c r="C643">
        <f>IF($A643="","",INDEX('05_KAPA'!$F:$F,$A643))</f>
        <v/>
      </c>
      <c r="D643">
        <f>IF($A643="","",INDEX('05_KAPA'!$H:$H,$A643))</f>
        <v/>
      </c>
      <c r="E643">
        <f>IF($A643="","",INDEX('05_KAPA'!$K:$K,$A643))</f>
        <v/>
      </c>
      <c r="F643">
        <f>IF($A643="","",INDEX('05_KAPA'!$L:$L,$A643))</f>
        <v/>
      </c>
      <c r="G643">
        <f>IF($A643="","",INDEX('05_KAPA'!$I:$I,$A643))</f>
        <v/>
      </c>
      <c r="H643" s="202">
        <f>IF($A643="","",INDEX('05_KAPA'!$P:$P,$A643))</f>
        <v/>
      </c>
      <c r="I643" s="118">
        <f>IF($A643="","",INDEX('05_KAPA'!$O:$O,$A643))</f>
        <v/>
      </c>
      <c r="J643" s="202">
        <f>IF($A643="","",IFERROR(DATE(LEFT(TEXT(INDEX('05_KAPA'!$T:$T,$A643),"0"),4),MID(TEXT(INDEX('05_KAPA'!$T:$T,$A643),"0"),5,2),RIGHT(TEXT(INDEX('05_KAPA'!$T:$T,$A643),"0"),2)),""))</f>
        <v/>
      </c>
      <c r="K643">
        <f>IF(C643="","",IF('02_대상물건입력'!$B$5="",1,IF(ISNUMBER(SEARCH('02_대상물건입력'!$B$5,C643)),1,0)))</f>
        <v/>
      </c>
      <c r="L643">
        <f>IF(C643="","",IF('02_대상물건입력'!$B$6="",1,IF(ISNUMBER(SEARCH('02_대상물건입력'!$B$6,C643)),1,0)))</f>
        <v/>
      </c>
      <c r="M643">
        <f>IF(E643="","",IF('02_대상물건입력'!$B$8="",0,IF(ISNUMBER(SEARCH('02_대상물건입력'!$B$8,E643)),1,0)))</f>
        <v/>
      </c>
      <c r="N643">
        <f>IF(B643="","",IF(B643="담보",1,0))</f>
        <v/>
      </c>
      <c r="O643">
        <f>IFERROR(ABS(G643-'02_대상물건입력'!$B$11)/'02_대상물건입력'!$B$11,"")</f>
        <v/>
      </c>
      <c r="P643">
        <f>IFERROR(ABS('01_설정'!$B$4-H643),"")</f>
        <v/>
      </c>
      <c r="Q643">
        <f>IFERROR(ABS(YEAR(J643)-YEAR('02_대상물건입력'!$B$14)),"")</f>
        <v/>
      </c>
      <c r="R643">
        <f>IF(AND(G643&gt;0,H643&gt;0,I643&gt;0,N643=1,IF('01_설정'!$B$10=1,K643=1,TRUE()),O643&lt;='01_설정'!$B$5,P643&lt;='01_설정'!$B$7,Q643&lt;='01_설정'!$B$8),"Y","")</f>
        <v/>
      </c>
      <c r="S643">
        <f>IF(R643&lt;&gt;"Y","",MAX(0,(1-O643/'01_설정'!$B$5))*'01_설정'!$B$14+MAX(0,(1-P643/'01_설정'!$B$7))*'01_설정'!$B$16+MAX(0,(1-Q643/'01_설정'!$B$8))*'01_설정'!$B$17+L643*'01_설정'!$B$11+M643*'01_설정'!$B$12+N643*50)</f>
        <v/>
      </c>
      <c r="T643">
        <f>IF(S643="","",1+COUNTIFS($S$31:$S$1030,"&gt;"&amp;S643)+COUNTIFS($S$31:S643,S643)-1)</f>
        <v/>
      </c>
    </row>
    <row r="644" hidden="1" ht="16.5" customHeight="1">
      <c r="A644">
        <f>IF(COUNTA('05_KAPA'!$A615:$AO615)=0,"",617)</f>
        <v/>
      </c>
      <c r="B644">
        <f>IF($A644="","",INDEX('05_KAPA'!$B:$B,$A644))</f>
        <v/>
      </c>
      <c r="C644">
        <f>IF($A644="","",INDEX('05_KAPA'!$F:$F,$A644))</f>
        <v/>
      </c>
      <c r="D644">
        <f>IF($A644="","",INDEX('05_KAPA'!$H:$H,$A644))</f>
        <v/>
      </c>
      <c r="E644">
        <f>IF($A644="","",INDEX('05_KAPA'!$K:$K,$A644))</f>
        <v/>
      </c>
      <c r="F644">
        <f>IF($A644="","",INDEX('05_KAPA'!$L:$L,$A644))</f>
        <v/>
      </c>
      <c r="G644">
        <f>IF($A644="","",INDEX('05_KAPA'!$I:$I,$A644))</f>
        <v/>
      </c>
      <c r="H644" s="202">
        <f>IF($A644="","",INDEX('05_KAPA'!$P:$P,$A644))</f>
        <v/>
      </c>
      <c r="I644" s="118">
        <f>IF($A644="","",INDEX('05_KAPA'!$O:$O,$A644))</f>
        <v/>
      </c>
      <c r="J644" s="202">
        <f>IF($A644="","",IFERROR(DATE(LEFT(TEXT(INDEX('05_KAPA'!$T:$T,$A644),"0"),4),MID(TEXT(INDEX('05_KAPA'!$T:$T,$A644),"0"),5,2),RIGHT(TEXT(INDEX('05_KAPA'!$T:$T,$A644),"0"),2)),""))</f>
        <v/>
      </c>
      <c r="K644">
        <f>IF(C644="","",IF('02_대상물건입력'!$B$5="",1,IF(ISNUMBER(SEARCH('02_대상물건입력'!$B$5,C644)),1,0)))</f>
        <v/>
      </c>
      <c r="L644">
        <f>IF(C644="","",IF('02_대상물건입력'!$B$6="",1,IF(ISNUMBER(SEARCH('02_대상물건입력'!$B$6,C644)),1,0)))</f>
        <v/>
      </c>
      <c r="M644">
        <f>IF(E644="","",IF('02_대상물건입력'!$B$8="",0,IF(ISNUMBER(SEARCH('02_대상물건입력'!$B$8,E644)),1,0)))</f>
        <v/>
      </c>
      <c r="N644">
        <f>IF(B644="","",IF(B644="담보",1,0))</f>
        <v/>
      </c>
      <c r="O644">
        <f>IFERROR(ABS(G644-'02_대상물건입력'!$B$11)/'02_대상물건입력'!$B$11,"")</f>
        <v/>
      </c>
      <c r="P644">
        <f>IFERROR(ABS('01_설정'!$B$4-H644),"")</f>
        <v/>
      </c>
      <c r="Q644">
        <f>IFERROR(ABS(YEAR(J644)-YEAR('02_대상물건입력'!$B$14)),"")</f>
        <v/>
      </c>
      <c r="R644">
        <f>IF(AND(G644&gt;0,H644&gt;0,I644&gt;0,N644=1,IF('01_설정'!$B$10=1,K644=1,TRUE()),O644&lt;='01_설정'!$B$5,P644&lt;='01_설정'!$B$7,Q644&lt;='01_설정'!$B$8),"Y","")</f>
        <v/>
      </c>
      <c r="S644">
        <f>IF(R644&lt;&gt;"Y","",MAX(0,(1-O644/'01_설정'!$B$5))*'01_설정'!$B$14+MAX(0,(1-P644/'01_설정'!$B$7))*'01_설정'!$B$16+MAX(0,(1-Q644/'01_설정'!$B$8))*'01_설정'!$B$17+L644*'01_설정'!$B$11+M644*'01_설정'!$B$12+N644*50)</f>
        <v/>
      </c>
      <c r="T644">
        <f>IF(S644="","",1+COUNTIFS($S$31:$S$1030,"&gt;"&amp;S644)+COUNTIFS($S$31:S644,S644)-1)</f>
        <v/>
      </c>
    </row>
    <row r="645" hidden="1" ht="16.5" customHeight="1">
      <c r="A645">
        <f>IF(COUNTA('05_KAPA'!$A616:$AO616)=0,"",618)</f>
        <v/>
      </c>
      <c r="B645">
        <f>IF($A645="","",INDEX('05_KAPA'!$B:$B,$A645))</f>
        <v/>
      </c>
      <c r="C645">
        <f>IF($A645="","",INDEX('05_KAPA'!$F:$F,$A645))</f>
        <v/>
      </c>
      <c r="D645">
        <f>IF($A645="","",INDEX('05_KAPA'!$H:$H,$A645))</f>
        <v/>
      </c>
      <c r="E645">
        <f>IF($A645="","",INDEX('05_KAPA'!$K:$K,$A645))</f>
        <v/>
      </c>
      <c r="F645">
        <f>IF($A645="","",INDEX('05_KAPA'!$L:$L,$A645))</f>
        <v/>
      </c>
      <c r="G645">
        <f>IF($A645="","",INDEX('05_KAPA'!$I:$I,$A645))</f>
        <v/>
      </c>
      <c r="H645" s="202">
        <f>IF($A645="","",INDEX('05_KAPA'!$P:$P,$A645))</f>
        <v/>
      </c>
      <c r="I645" s="118">
        <f>IF($A645="","",INDEX('05_KAPA'!$O:$O,$A645))</f>
        <v/>
      </c>
      <c r="J645" s="202">
        <f>IF($A645="","",IFERROR(DATE(LEFT(TEXT(INDEX('05_KAPA'!$T:$T,$A645),"0"),4),MID(TEXT(INDEX('05_KAPA'!$T:$T,$A645),"0"),5,2),RIGHT(TEXT(INDEX('05_KAPA'!$T:$T,$A645),"0"),2)),""))</f>
        <v/>
      </c>
      <c r="K645">
        <f>IF(C645="","",IF('02_대상물건입력'!$B$5="",1,IF(ISNUMBER(SEARCH('02_대상물건입력'!$B$5,C645)),1,0)))</f>
        <v/>
      </c>
      <c r="L645">
        <f>IF(C645="","",IF('02_대상물건입력'!$B$6="",1,IF(ISNUMBER(SEARCH('02_대상물건입력'!$B$6,C645)),1,0)))</f>
        <v/>
      </c>
      <c r="M645">
        <f>IF(E645="","",IF('02_대상물건입력'!$B$8="",0,IF(ISNUMBER(SEARCH('02_대상물건입력'!$B$8,E645)),1,0)))</f>
        <v/>
      </c>
      <c r="N645">
        <f>IF(B645="","",IF(B645="담보",1,0))</f>
        <v/>
      </c>
      <c r="O645">
        <f>IFERROR(ABS(G645-'02_대상물건입력'!$B$11)/'02_대상물건입력'!$B$11,"")</f>
        <v/>
      </c>
      <c r="P645">
        <f>IFERROR(ABS('01_설정'!$B$4-H645),"")</f>
        <v/>
      </c>
      <c r="Q645">
        <f>IFERROR(ABS(YEAR(J645)-YEAR('02_대상물건입력'!$B$14)),"")</f>
        <v/>
      </c>
      <c r="R645">
        <f>IF(AND(G645&gt;0,H645&gt;0,I645&gt;0,N645=1,IF('01_설정'!$B$10=1,K645=1,TRUE()),O645&lt;='01_설정'!$B$5,P645&lt;='01_설정'!$B$7,Q645&lt;='01_설정'!$B$8),"Y","")</f>
        <v/>
      </c>
      <c r="S645">
        <f>IF(R645&lt;&gt;"Y","",MAX(0,(1-O645/'01_설정'!$B$5))*'01_설정'!$B$14+MAX(0,(1-P645/'01_설정'!$B$7))*'01_설정'!$B$16+MAX(0,(1-Q645/'01_설정'!$B$8))*'01_설정'!$B$17+L645*'01_설정'!$B$11+M645*'01_설정'!$B$12+N645*50)</f>
        <v/>
      </c>
      <c r="T645">
        <f>IF(S645="","",1+COUNTIFS($S$31:$S$1030,"&gt;"&amp;S645)+COUNTIFS($S$31:S645,S645)-1)</f>
        <v/>
      </c>
    </row>
    <row r="646" hidden="1" ht="16.5" customHeight="1">
      <c r="A646">
        <f>IF(COUNTA('05_KAPA'!$A617:$AO617)=0,"",619)</f>
        <v/>
      </c>
      <c r="B646">
        <f>IF($A646="","",INDEX('05_KAPA'!$B:$B,$A646))</f>
        <v/>
      </c>
      <c r="C646">
        <f>IF($A646="","",INDEX('05_KAPA'!$F:$F,$A646))</f>
        <v/>
      </c>
      <c r="D646">
        <f>IF($A646="","",INDEX('05_KAPA'!$H:$H,$A646))</f>
        <v/>
      </c>
      <c r="E646">
        <f>IF($A646="","",INDEX('05_KAPA'!$K:$K,$A646))</f>
        <v/>
      </c>
      <c r="F646">
        <f>IF($A646="","",INDEX('05_KAPA'!$L:$L,$A646))</f>
        <v/>
      </c>
      <c r="G646">
        <f>IF($A646="","",INDEX('05_KAPA'!$I:$I,$A646))</f>
        <v/>
      </c>
      <c r="H646" s="202">
        <f>IF($A646="","",INDEX('05_KAPA'!$P:$P,$A646))</f>
        <v/>
      </c>
      <c r="I646" s="118">
        <f>IF($A646="","",INDEX('05_KAPA'!$O:$O,$A646))</f>
        <v/>
      </c>
      <c r="J646" s="202">
        <f>IF($A646="","",IFERROR(DATE(LEFT(TEXT(INDEX('05_KAPA'!$T:$T,$A646),"0"),4),MID(TEXT(INDEX('05_KAPA'!$T:$T,$A646),"0"),5,2),RIGHT(TEXT(INDEX('05_KAPA'!$T:$T,$A646),"0"),2)),""))</f>
        <v/>
      </c>
      <c r="K646">
        <f>IF(C646="","",IF('02_대상물건입력'!$B$5="",1,IF(ISNUMBER(SEARCH('02_대상물건입력'!$B$5,C646)),1,0)))</f>
        <v/>
      </c>
      <c r="L646">
        <f>IF(C646="","",IF('02_대상물건입력'!$B$6="",1,IF(ISNUMBER(SEARCH('02_대상물건입력'!$B$6,C646)),1,0)))</f>
        <v/>
      </c>
      <c r="M646">
        <f>IF(E646="","",IF('02_대상물건입력'!$B$8="",0,IF(ISNUMBER(SEARCH('02_대상물건입력'!$B$8,E646)),1,0)))</f>
        <v/>
      </c>
      <c r="N646">
        <f>IF(B646="","",IF(B646="담보",1,0))</f>
        <v/>
      </c>
      <c r="O646">
        <f>IFERROR(ABS(G646-'02_대상물건입력'!$B$11)/'02_대상물건입력'!$B$11,"")</f>
        <v/>
      </c>
      <c r="P646">
        <f>IFERROR(ABS('01_설정'!$B$4-H646),"")</f>
        <v/>
      </c>
      <c r="Q646">
        <f>IFERROR(ABS(YEAR(J646)-YEAR('02_대상물건입력'!$B$14)),"")</f>
        <v/>
      </c>
      <c r="R646">
        <f>IF(AND(G646&gt;0,H646&gt;0,I646&gt;0,N646=1,IF('01_설정'!$B$10=1,K646=1,TRUE()),O646&lt;='01_설정'!$B$5,P646&lt;='01_설정'!$B$7,Q646&lt;='01_설정'!$B$8),"Y","")</f>
        <v/>
      </c>
      <c r="S646">
        <f>IF(R646&lt;&gt;"Y","",MAX(0,(1-O646/'01_설정'!$B$5))*'01_설정'!$B$14+MAX(0,(1-P646/'01_설정'!$B$7))*'01_설정'!$B$16+MAX(0,(1-Q646/'01_설정'!$B$8))*'01_설정'!$B$17+L646*'01_설정'!$B$11+M646*'01_설정'!$B$12+N646*50)</f>
        <v/>
      </c>
      <c r="T646">
        <f>IF(S646="","",1+COUNTIFS($S$31:$S$1030,"&gt;"&amp;S646)+COUNTIFS($S$31:S646,S646)-1)</f>
        <v/>
      </c>
    </row>
    <row r="647" hidden="1" ht="16.5" customHeight="1">
      <c r="A647">
        <f>IF(COUNTA('05_KAPA'!$A618:$AO618)=0,"",620)</f>
        <v/>
      </c>
      <c r="B647">
        <f>IF($A647="","",INDEX('05_KAPA'!$B:$B,$A647))</f>
        <v/>
      </c>
      <c r="C647">
        <f>IF($A647="","",INDEX('05_KAPA'!$F:$F,$A647))</f>
        <v/>
      </c>
      <c r="D647">
        <f>IF($A647="","",INDEX('05_KAPA'!$H:$H,$A647))</f>
        <v/>
      </c>
      <c r="E647">
        <f>IF($A647="","",INDEX('05_KAPA'!$K:$K,$A647))</f>
        <v/>
      </c>
      <c r="F647">
        <f>IF($A647="","",INDEX('05_KAPA'!$L:$L,$A647))</f>
        <v/>
      </c>
      <c r="G647">
        <f>IF($A647="","",INDEX('05_KAPA'!$I:$I,$A647))</f>
        <v/>
      </c>
      <c r="H647" s="202">
        <f>IF($A647="","",INDEX('05_KAPA'!$P:$P,$A647))</f>
        <v/>
      </c>
      <c r="I647" s="118">
        <f>IF($A647="","",INDEX('05_KAPA'!$O:$O,$A647))</f>
        <v/>
      </c>
      <c r="J647" s="202">
        <f>IF($A647="","",IFERROR(DATE(LEFT(TEXT(INDEX('05_KAPA'!$T:$T,$A647),"0"),4),MID(TEXT(INDEX('05_KAPA'!$T:$T,$A647),"0"),5,2),RIGHT(TEXT(INDEX('05_KAPA'!$T:$T,$A647),"0"),2)),""))</f>
        <v/>
      </c>
      <c r="K647">
        <f>IF(C647="","",IF('02_대상물건입력'!$B$5="",1,IF(ISNUMBER(SEARCH('02_대상물건입력'!$B$5,C647)),1,0)))</f>
        <v/>
      </c>
      <c r="L647">
        <f>IF(C647="","",IF('02_대상물건입력'!$B$6="",1,IF(ISNUMBER(SEARCH('02_대상물건입력'!$B$6,C647)),1,0)))</f>
        <v/>
      </c>
      <c r="M647">
        <f>IF(E647="","",IF('02_대상물건입력'!$B$8="",0,IF(ISNUMBER(SEARCH('02_대상물건입력'!$B$8,E647)),1,0)))</f>
        <v/>
      </c>
      <c r="N647">
        <f>IF(B647="","",IF(B647="담보",1,0))</f>
        <v/>
      </c>
      <c r="O647">
        <f>IFERROR(ABS(G647-'02_대상물건입력'!$B$11)/'02_대상물건입력'!$B$11,"")</f>
        <v/>
      </c>
      <c r="P647">
        <f>IFERROR(ABS('01_설정'!$B$4-H647),"")</f>
        <v/>
      </c>
      <c r="Q647">
        <f>IFERROR(ABS(YEAR(J647)-YEAR('02_대상물건입력'!$B$14)),"")</f>
        <v/>
      </c>
      <c r="R647">
        <f>IF(AND(G647&gt;0,H647&gt;0,I647&gt;0,N647=1,IF('01_설정'!$B$10=1,K647=1,TRUE()),O647&lt;='01_설정'!$B$5,P647&lt;='01_설정'!$B$7,Q647&lt;='01_설정'!$B$8),"Y","")</f>
        <v/>
      </c>
      <c r="S647">
        <f>IF(R647&lt;&gt;"Y","",MAX(0,(1-O647/'01_설정'!$B$5))*'01_설정'!$B$14+MAX(0,(1-P647/'01_설정'!$B$7))*'01_설정'!$B$16+MAX(0,(1-Q647/'01_설정'!$B$8))*'01_설정'!$B$17+L647*'01_설정'!$B$11+M647*'01_설정'!$B$12+N647*50)</f>
        <v/>
      </c>
      <c r="T647">
        <f>IF(S647="","",1+COUNTIFS($S$31:$S$1030,"&gt;"&amp;S647)+COUNTIFS($S$31:S647,S647)-1)</f>
        <v/>
      </c>
    </row>
    <row r="648" hidden="1" ht="16.5" customHeight="1">
      <c r="A648">
        <f>IF(COUNTA('05_KAPA'!$A619:$AO619)=0,"",621)</f>
        <v/>
      </c>
      <c r="B648">
        <f>IF($A648="","",INDEX('05_KAPA'!$B:$B,$A648))</f>
        <v/>
      </c>
      <c r="C648">
        <f>IF($A648="","",INDEX('05_KAPA'!$F:$F,$A648))</f>
        <v/>
      </c>
      <c r="D648">
        <f>IF($A648="","",INDEX('05_KAPA'!$H:$H,$A648))</f>
        <v/>
      </c>
      <c r="E648">
        <f>IF($A648="","",INDEX('05_KAPA'!$K:$K,$A648))</f>
        <v/>
      </c>
      <c r="F648">
        <f>IF($A648="","",INDEX('05_KAPA'!$L:$L,$A648))</f>
        <v/>
      </c>
      <c r="G648">
        <f>IF($A648="","",INDEX('05_KAPA'!$I:$I,$A648))</f>
        <v/>
      </c>
      <c r="H648" s="202">
        <f>IF($A648="","",INDEX('05_KAPA'!$P:$P,$A648))</f>
        <v/>
      </c>
      <c r="I648" s="118">
        <f>IF($A648="","",INDEX('05_KAPA'!$O:$O,$A648))</f>
        <v/>
      </c>
      <c r="J648" s="202">
        <f>IF($A648="","",IFERROR(DATE(LEFT(TEXT(INDEX('05_KAPA'!$T:$T,$A648),"0"),4),MID(TEXT(INDEX('05_KAPA'!$T:$T,$A648),"0"),5,2),RIGHT(TEXT(INDEX('05_KAPA'!$T:$T,$A648),"0"),2)),""))</f>
        <v/>
      </c>
      <c r="K648">
        <f>IF(C648="","",IF('02_대상물건입력'!$B$5="",1,IF(ISNUMBER(SEARCH('02_대상물건입력'!$B$5,C648)),1,0)))</f>
        <v/>
      </c>
      <c r="L648">
        <f>IF(C648="","",IF('02_대상물건입력'!$B$6="",1,IF(ISNUMBER(SEARCH('02_대상물건입력'!$B$6,C648)),1,0)))</f>
        <v/>
      </c>
      <c r="M648">
        <f>IF(E648="","",IF('02_대상물건입력'!$B$8="",0,IF(ISNUMBER(SEARCH('02_대상물건입력'!$B$8,E648)),1,0)))</f>
        <v/>
      </c>
      <c r="N648">
        <f>IF(B648="","",IF(B648="담보",1,0))</f>
        <v/>
      </c>
      <c r="O648">
        <f>IFERROR(ABS(G648-'02_대상물건입력'!$B$11)/'02_대상물건입력'!$B$11,"")</f>
        <v/>
      </c>
      <c r="P648">
        <f>IFERROR(ABS('01_설정'!$B$4-H648),"")</f>
        <v/>
      </c>
      <c r="Q648">
        <f>IFERROR(ABS(YEAR(J648)-YEAR('02_대상물건입력'!$B$14)),"")</f>
        <v/>
      </c>
      <c r="R648">
        <f>IF(AND(G648&gt;0,H648&gt;0,I648&gt;0,N648=1,IF('01_설정'!$B$10=1,K648=1,TRUE()),O648&lt;='01_설정'!$B$5,P648&lt;='01_설정'!$B$7,Q648&lt;='01_설정'!$B$8),"Y","")</f>
        <v/>
      </c>
      <c r="S648">
        <f>IF(R648&lt;&gt;"Y","",MAX(0,(1-O648/'01_설정'!$B$5))*'01_설정'!$B$14+MAX(0,(1-P648/'01_설정'!$B$7))*'01_설정'!$B$16+MAX(0,(1-Q648/'01_설정'!$B$8))*'01_설정'!$B$17+L648*'01_설정'!$B$11+M648*'01_설정'!$B$12+N648*50)</f>
        <v/>
      </c>
      <c r="T648">
        <f>IF(S648="","",1+COUNTIFS($S$31:$S$1030,"&gt;"&amp;S648)+COUNTIFS($S$31:S648,S648)-1)</f>
        <v/>
      </c>
    </row>
    <row r="649" hidden="1" ht="16.5" customHeight="1">
      <c r="A649">
        <f>IF(COUNTA('05_KAPA'!$A620:$AO620)=0,"",622)</f>
        <v/>
      </c>
      <c r="B649">
        <f>IF($A649="","",INDEX('05_KAPA'!$B:$B,$A649))</f>
        <v/>
      </c>
      <c r="C649">
        <f>IF($A649="","",INDEX('05_KAPA'!$F:$F,$A649))</f>
        <v/>
      </c>
      <c r="D649">
        <f>IF($A649="","",INDEX('05_KAPA'!$H:$H,$A649))</f>
        <v/>
      </c>
      <c r="E649">
        <f>IF($A649="","",INDEX('05_KAPA'!$K:$K,$A649))</f>
        <v/>
      </c>
      <c r="F649">
        <f>IF($A649="","",INDEX('05_KAPA'!$L:$L,$A649))</f>
        <v/>
      </c>
      <c r="G649">
        <f>IF($A649="","",INDEX('05_KAPA'!$I:$I,$A649))</f>
        <v/>
      </c>
      <c r="H649" s="202">
        <f>IF($A649="","",INDEX('05_KAPA'!$P:$P,$A649))</f>
        <v/>
      </c>
      <c r="I649" s="118">
        <f>IF($A649="","",INDEX('05_KAPA'!$O:$O,$A649))</f>
        <v/>
      </c>
      <c r="J649" s="202">
        <f>IF($A649="","",IFERROR(DATE(LEFT(TEXT(INDEX('05_KAPA'!$T:$T,$A649),"0"),4),MID(TEXT(INDEX('05_KAPA'!$T:$T,$A649),"0"),5,2),RIGHT(TEXT(INDEX('05_KAPA'!$T:$T,$A649),"0"),2)),""))</f>
        <v/>
      </c>
      <c r="K649">
        <f>IF(C649="","",IF('02_대상물건입력'!$B$5="",1,IF(ISNUMBER(SEARCH('02_대상물건입력'!$B$5,C649)),1,0)))</f>
        <v/>
      </c>
      <c r="L649">
        <f>IF(C649="","",IF('02_대상물건입력'!$B$6="",1,IF(ISNUMBER(SEARCH('02_대상물건입력'!$B$6,C649)),1,0)))</f>
        <v/>
      </c>
      <c r="M649">
        <f>IF(E649="","",IF('02_대상물건입력'!$B$8="",0,IF(ISNUMBER(SEARCH('02_대상물건입력'!$B$8,E649)),1,0)))</f>
        <v/>
      </c>
      <c r="N649">
        <f>IF(B649="","",IF(B649="담보",1,0))</f>
        <v/>
      </c>
      <c r="O649">
        <f>IFERROR(ABS(G649-'02_대상물건입력'!$B$11)/'02_대상물건입력'!$B$11,"")</f>
        <v/>
      </c>
      <c r="P649">
        <f>IFERROR(ABS('01_설정'!$B$4-H649),"")</f>
        <v/>
      </c>
      <c r="Q649">
        <f>IFERROR(ABS(YEAR(J649)-YEAR('02_대상물건입력'!$B$14)),"")</f>
        <v/>
      </c>
      <c r="R649">
        <f>IF(AND(G649&gt;0,H649&gt;0,I649&gt;0,N649=1,IF('01_설정'!$B$10=1,K649=1,TRUE()),O649&lt;='01_설정'!$B$5,P649&lt;='01_설정'!$B$7,Q649&lt;='01_설정'!$B$8),"Y","")</f>
        <v/>
      </c>
      <c r="S649">
        <f>IF(R649&lt;&gt;"Y","",MAX(0,(1-O649/'01_설정'!$B$5))*'01_설정'!$B$14+MAX(0,(1-P649/'01_설정'!$B$7))*'01_설정'!$B$16+MAX(0,(1-Q649/'01_설정'!$B$8))*'01_설정'!$B$17+L649*'01_설정'!$B$11+M649*'01_설정'!$B$12+N649*50)</f>
        <v/>
      </c>
      <c r="T649">
        <f>IF(S649="","",1+COUNTIFS($S$31:$S$1030,"&gt;"&amp;S649)+COUNTIFS($S$31:S649,S649)-1)</f>
        <v/>
      </c>
    </row>
    <row r="650" hidden="1" ht="16.5" customHeight="1">
      <c r="A650">
        <f>IF(COUNTA('05_KAPA'!$A621:$AO621)=0,"",623)</f>
        <v/>
      </c>
      <c r="B650">
        <f>IF($A650="","",INDEX('05_KAPA'!$B:$B,$A650))</f>
        <v/>
      </c>
      <c r="C650">
        <f>IF($A650="","",INDEX('05_KAPA'!$F:$F,$A650))</f>
        <v/>
      </c>
      <c r="D650">
        <f>IF($A650="","",INDEX('05_KAPA'!$H:$H,$A650))</f>
        <v/>
      </c>
      <c r="E650">
        <f>IF($A650="","",INDEX('05_KAPA'!$K:$K,$A650))</f>
        <v/>
      </c>
      <c r="F650">
        <f>IF($A650="","",INDEX('05_KAPA'!$L:$L,$A650))</f>
        <v/>
      </c>
      <c r="G650">
        <f>IF($A650="","",INDEX('05_KAPA'!$I:$I,$A650))</f>
        <v/>
      </c>
      <c r="H650" s="202">
        <f>IF($A650="","",INDEX('05_KAPA'!$P:$P,$A650))</f>
        <v/>
      </c>
      <c r="I650" s="118">
        <f>IF($A650="","",INDEX('05_KAPA'!$O:$O,$A650))</f>
        <v/>
      </c>
      <c r="J650" s="202">
        <f>IF($A650="","",IFERROR(DATE(LEFT(TEXT(INDEX('05_KAPA'!$T:$T,$A650),"0"),4),MID(TEXT(INDEX('05_KAPA'!$T:$T,$A650),"0"),5,2),RIGHT(TEXT(INDEX('05_KAPA'!$T:$T,$A650),"0"),2)),""))</f>
        <v/>
      </c>
      <c r="K650">
        <f>IF(C650="","",IF('02_대상물건입력'!$B$5="",1,IF(ISNUMBER(SEARCH('02_대상물건입력'!$B$5,C650)),1,0)))</f>
        <v/>
      </c>
      <c r="L650">
        <f>IF(C650="","",IF('02_대상물건입력'!$B$6="",1,IF(ISNUMBER(SEARCH('02_대상물건입력'!$B$6,C650)),1,0)))</f>
        <v/>
      </c>
      <c r="M650">
        <f>IF(E650="","",IF('02_대상물건입력'!$B$8="",0,IF(ISNUMBER(SEARCH('02_대상물건입력'!$B$8,E650)),1,0)))</f>
        <v/>
      </c>
      <c r="N650">
        <f>IF(B650="","",IF(B650="담보",1,0))</f>
        <v/>
      </c>
      <c r="O650">
        <f>IFERROR(ABS(G650-'02_대상물건입력'!$B$11)/'02_대상물건입력'!$B$11,"")</f>
        <v/>
      </c>
      <c r="P650">
        <f>IFERROR(ABS('01_설정'!$B$4-H650),"")</f>
        <v/>
      </c>
      <c r="Q650">
        <f>IFERROR(ABS(YEAR(J650)-YEAR('02_대상물건입력'!$B$14)),"")</f>
        <v/>
      </c>
      <c r="R650">
        <f>IF(AND(G650&gt;0,H650&gt;0,I650&gt;0,N650=1,IF('01_설정'!$B$10=1,K650=1,TRUE()),O650&lt;='01_설정'!$B$5,P650&lt;='01_설정'!$B$7,Q650&lt;='01_설정'!$B$8),"Y","")</f>
        <v/>
      </c>
      <c r="S650">
        <f>IF(R650&lt;&gt;"Y","",MAX(0,(1-O650/'01_설정'!$B$5))*'01_설정'!$B$14+MAX(0,(1-P650/'01_설정'!$B$7))*'01_설정'!$B$16+MAX(0,(1-Q650/'01_설정'!$B$8))*'01_설정'!$B$17+L650*'01_설정'!$B$11+M650*'01_설정'!$B$12+N650*50)</f>
        <v/>
      </c>
      <c r="T650">
        <f>IF(S650="","",1+COUNTIFS($S$31:$S$1030,"&gt;"&amp;S650)+COUNTIFS($S$31:S650,S650)-1)</f>
        <v/>
      </c>
    </row>
    <row r="651" hidden="1" ht="16.5" customHeight="1">
      <c r="A651">
        <f>IF(COUNTA('05_KAPA'!$A622:$AO622)=0,"",624)</f>
        <v/>
      </c>
      <c r="B651">
        <f>IF($A651="","",INDEX('05_KAPA'!$B:$B,$A651))</f>
        <v/>
      </c>
      <c r="C651">
        <f>IF($A651="","",INDEX('05_KAPA'!$F:$F,$A651))</f>
        <v/>
      </c>
      <c r="D651">
        <f>IF($A651="","",INDEX('05_KAPA'!$H:$H,$A651))</f>
        <v/>
      </c>
      <c r="E651">
        <f>IF($A651="","",INDEX('05_KAPA'!$K:$K,$A651))</f>
        <v/>
      </c>
      <c r="F651">
        <f>IF($A651="","",INDEX('05_KAPA'!$L:$L,$A651))</f>
        <v/>
      </c>
      <c r="G651">
        <f>IF($A651="","",INDEX('05_KAPA'!$I:$I,$A651))</f>
        <v/>
      </c>
      <c r="H651" s="202">
        <f>IF($A651="","",INDEX('05_KAPA'!$P:$P,$A651))</f>
        <v/>
      </c>
      <c r="I651" s="118">
        <f>IF($A651="","",INDEX('05_KAPA'!$O:$O,$A651))</f>
        <v/>
      </c>
      <c r="J651" s="202">
        <f>IF($A651="","",IFERROR(DATE(LEFT(TEXT(INDEX('05_KAPA'!$T:$T,$A651),"0"),4),MID(TEXT(INDEX('05_KAPA'!$T:$T,$A651),"0"),5,2),RIGHT(TEXT(INDEX('05_KAPA'!$T:$T,$A651),"0"),2)),""))</f>
        <v/>
      </c>
      <c r="K651">
        <f>IF(C651="","",IF('02_대상물건입력'!$B$5="",1,IF(ISNUMBER(SEARCH('02_대상물건입력'!$B$5,C651)),1,0)))</f>
        <v/>
      </c>
      <c r="L651">
        <f>IF(C651="","",IF('02_대상물건입력'!$B$6="",1,IF(ISNUMBER(SEARCH('02_대상물건입력'!$B$6,C651)),1,0)))</f>
        <v/>
      </c>
      <c r="M651">
        <f>IF(E651="","",IF('02_대상물건입력'!$B$8="",0,IF(ISNUMBER(SEARCH('02_대상물건입력'!$B$8,E651)),1,0)))</f>
        <v/>
      </c>
      <c r="N651">
        <f>IF(B651="","",IF(B651="담보",1,0))</f>
        <v/>
      </c>
      <c r="O651">
        <f>IFERROR(ABS(G651-'02_대상물건입력'!$B$11)/'02_대상물건입력'!$B$11,"")</f>
        <v/>
      </c>
      <c r="P651">
        <f>IFERROR(ABS('01_설정'!$B$4-H651),"")</f>
        <v/>
      </c>
      <c r="Q651">
        <f>IFERROR(ABS(YEAR(J651)-YEAR('02_대상물건입력'!$B$14)),"")</f>
        <v/>
      </c>
      <c r="R651">
        <f>IF(AND(G651&gt;0,H651&gt;0,I651&gt;0,N651=1,IF('01_설정'!$B$10=1,K651=1,TRUE()),O651&lt;='01_설정'!$B$5,P651&lt;='01_설정'!$B$7,Q651&lt;='01_설정'!$B$8),"Y","")</f>
        <v/>
      </c>
      <c r="S651">
        <f>IF(R651&lt;&gt;"Y","",MAX(0,(1-O651/'01_설정'!$B$5))*'01_설정'!$B$14+MAX(0,(1-P651/'01_설정'!$B$7))*'01_설정'!$B$16+MAX(0,(1-Q651/'01_설정'!$B$8))*'01_설정'!$B$17+L651*'01_설정'!$B$11+M651*'01_설정'!$B$12+N651*50)</f>
        <v/>
      </c>
      <c r="T651">
        <f>IF(S651="","",1+COUNTIFS($S$31:$S$1030,"&gt;"&amp;S651)+COUNTIFS($S$31:S651,S651)-1)</f>
        <v/>
      </c>
    </row>
    <row r="652" hidden="1" ht="16.5" customHeight="1">
      <c r="A652">
        <f>IF(COUNTA('05_KAPA'!$A623:$AO623)=0,"",625)</f>
        <v/>
      </c>
      <c r="B652">
        <f>IF($A652="","",INDEX('05_KAPA'!$B:$B,$A652))</f>
        <v/>
      </c>
      <c r="C652">
        <f>IF($A652="","",INDEX('05_KAPA'!$F:$F,$A652))</f>
        <v/>
      </c>
      <c r="D652">
        <f>IF($A652="","",INDEX('05_KAPA'!$H:$H,$A652))</f>
        <v/>
      </c>
      <c r="E652">
        <f>IF($A652="","",INDEX('05_KAPA'!$K:$K,$A652))</f>
        <v/>
      </c>
      <c r="F652">
        <f>IF($A652="","",INDEX('05_KAPA'!$L:$L,$A652))</f>
        <v/>
      </c>
      <c r="G652">
        <f>IF($A652="","",INDEX('05_KAPA'!$I:$I,$A652))</f>
        <v/>
      </c>
      <c r="H652" s="202">
        <f>IF($A652="","",INDEX('05_KAPA'!$P:$P,$A652))</f>
        <v/>
      </c>
      <c r="I652" s="118">
        <f>IF($A652="","",INDEX('05_KAPA'!$O:$O,$A652))</f>
        <v/>
      </c>
      <c r="J652" s="202">
        <f>IF($A652="","",IFERROR(DATE(LEFT(TEXT(INDEX('05_KAPA'!$T:$T,$A652),"0"),4),MID(TEXT(INDEX('05_KAPA'!$T:$T,$A652),"0"),5,2),RIGHT(TEXT(INDEX('05_KAPA'!$T:$T,$A652),"0"),2)),""))</f>
        <v/>
      </c>
      <c r="K652">
        <f>IF(C652="","",IF('02_대상물건입력'!$B$5="",1,IF(ISNUMBER(SEARCH('02_대상물건입력'!$B$5,C652)),1,0)))</f>
        <v/>
      </c>
      <c r="L652">
        <f>IF(C652="","",IF('02_대상물건입력'!$B$6="",1,IF(ISNUMBER(SEARCH('02_대상물건입력'!$B$6,C652)),1,0)))</f>
        <v/>
      </c>
      <c r="M652">
        <f>IF(E652="","",IF('02_대상물건입력'!$B$8="",0,IF(ISNUMBER(SEARCH('02_대상물건입력'!$B$8,E652)),1,0)))</f>
        <v/>
      </c>
      <c r="N652">
        <f>IF(B652="","",IF(B652="담보",1,0))</f>
        <v/>
      </c>
      <c r="O652">
        <f>IFERROR(ABS(G652-'02_대상물건입력'!$B$11)/'02_대상물건입력'!$B$11,"")</f>
        <v/>
      </c>
      <c r="P652">
        <f>IFERROR(ABS('01_설정'!$B$4-H652),"")</f>
        <v/>
      </c>
      <c r="Q652">
        <f>IFERROR(ABS(YEAR(J652)-YEAR('02_대상물건입력'!$B$14)),"")</f>
        <v/>
      </c>
      <c r="R652">
        <f>IF(AND(G652&gt;0,H652&gt;0,I652&gt;0,N652=1,IF('01_설정'!$B$10=1,K652=1,TRUE()),O652&lt;='01_설정'!$B$5,P652&lt;='01_설정'!$B$7,Q652&lt;='01_설정'!$B$8),"Y","")</f>
        <v/>
      </c>
      <c r="S652">
        <f>IF(R652&lt;&gt;"Y","",MAX(0,(1-O652/'01_설정'!$B$5))*'01_설정'!$B$14+MAX(0,(1-P652/'01_설정'!$B$7))*'01_설정'!$B$16+MAX(0,(1-Q652/'01_설정'!$B$8))*'01_설정'!$B$17+L652*'01_설정'!$B$11+M652*'01_설정'!$B$12+N652*50)</f>
        <v/>
      </c>
      <c r="T652">
        <f>IF(S652="","",1+COUNTIFS($S$31:$S$1030,"&gt;"&amp;S652)+COUNTIFS($S$31:S652,S652)-1)</f>
        <v/>
      </c>
    </row>
    <row r="653" hidden="1" ht="16.5" customHeight="1">
      <c r="A653">
        <f>IF(COUNTA('05_KAPA'!$A624:$AO624)=0,"",626)</f>
        <v/>
      </c>
      <c r="B653">
        <f>IF($A653="","",INDEX('05_KAPA'!$B:$B,$A653))</f>
        <v/>
      </c>
      <c r="C653">
        <f>IF($A653="","",INDEX('05_KAPA'!$F:$F,$A653))</f>
        <v/>
      </c>
      <c r="D653">
        <f>IF($A653="","",INDEX('05_KAPA'!$H:$H,$A653))</f>
        <v/>
      </c>
      <c r="E653">
        <f>IF($A653="","",INDEX('05_KAPA'!$K:$K,$A653))</f>
        <v/>
      </c>
      <c r="F653">
        <f>IF($A653="","",INDEX('05_KAPA'!$L:$L,$A653))</f>
        <v/>
      </c>
      <c r="G653">
        <f>IF($A653="","",INDEX('05_KAPA'!$I:$I,$A653))</f>
        <v/>
      </c>
      <c r="H653" s="202">
        <f>IF($A653="","",INDEX('05_KAPA'!$P:$P,$A653))</f>
        <v/>
      </c>
      <c r="I653" s="118">
        <f>IF($A653="","",INDEX('05_KAPA'!$O:$O,$A653))</f>
        <v/>
      </c>
      <c r="J653" s="202">
        <f>IF($A653="","",IFERROR(DATE(LEFT(TEXT(INDEX('05_KAPA'!$T:$T,$A653),"0"),4),MID(TEXT(INDEX('05_KAPA'!$T:$T,$A653),"0"),5,2),RIGHT(TEXT(INDEX('05_KAPA'!$T:$T,$A653),"0"),2)),""))</f>
        <v/>
      </c>
      <c r="K653">
        <f>IF(C653="","",IF('02_대상물건입력'!$B$5="",1,IF(ISNUMBER(SEARCH('02_대상물건입력'!$B$5,C653)),1,0)))</f>
        <v/>
      </c>
      <c r="L653">
        <f>IF(C653="","",IF('02_대상물건입력'!$B$6="",1,IF(ISNUMBER(SEARCH('02_대상물건입력'!$B$6,C653)),1,0)))</f>
        <v/>
      </c>
      <c r="M653">
        <f>IF(E653="","",IF('02_대상물건입력'!$B$8="",0,IF(ISNUMBER(SEARCH('02_대상물건입력'!$B$8,E653)),1,0)))</f>
        <v/>
      </c>
      <c r="N653">
        <f>IF(B653="","",IF(B653="담보",1,0))</f>
        <v/>
      </c>
      <c r="O653">
        <f>IFERROR(ABS(G653-'02_대상물건입력'!$B$11)/'02_대상물건입력'!$B$11,"")</f>
        <v/>
      </c>
      <c r="P653">
        <f>IFERROR(ABS('01_설정'!$B$4-H653),"")</f>
        <v/>
      </c>
      <c r="Q653">
        <f>IFERROR(ABS(YEAR(J653)-YEAR('02_대상물건입력'!$B$14)),"")</f>
        <v/>
      </c>
      <c r="R653">
        <f>IF(AND(G653&gt;0,H653&gt;0,I653&gt;0,N653=1,IF('01_설정'!$B$10=1,K653=1,TRUE()),O653&lt;='01_설정'!$B$5,P653&lt;='01_설정'!$B$7,Q653&lt;='01_설정'!$B$8),"Y","")</f>
        <v/>
      </c>
      <c r="S653">
        <f>IF(R653&lt;&gt;"Y","",MAX(0,(1-O653/'01_설정'!$B$5))*'01_설정'!$B$14+MAX(0,(1-P653/'01_설정'!$B$7))*'01_설정'!$B$16+MAX(0,(1-Q653/'01_설정'!$B$8))*'01_설정'!$B$17+L653*'01_설정'!$B$11+M653*'01_설정'!$B$12+N653*50)</f>
        <v/>
      </c>
      <c r="T653">
        <f>IF(S653="","",1+COUNTIFS($S$31:$S$1030,"&gt;"&amp;S653)+COUNTIFS($S$31:S653,S653)-1)</f>
        <v/>
      </c>
    </row>
    <row r="654" hidden="1" ht="16.5" customHeight="1">
      <c r="A654">
        <f>IF(COUNTA('05_KAPA'!$A625:$AO625)=0,"",627)</f>
        <v/>
      </c>
      <c r="B654">
        <f>IF($A654="","",INDEX('05_KAPA'!$B:$B,$A654))</f>
        <v/>
      </c>
      <c r="C654">
        <f>IF($A654="","",INDEX('05_KAPA'!$F:$F,$A654))</f>
        <v/>
      </c>
      <c r="D654">
        <f>IF($A654="","",INDEX('05_KAPA'!$H:$H,$A654))</f>
        <v/>
      </c>
      <c r="E654">
        <f>IF($A654="","",INDEX('05_KAPA'!$K:$K,$A654))</f>
        <v/>
      </c>
      <c r="F654">
        <f>IF($A654="","",INDEX('05_KAPA'!$L:$L,$A654))</f>
        <v/>
      </c>
      <c r="G654">
        <f>IF($A654="","",INDEX('05_KAPA'!$I:$I,$A654))</f>
        <v/>
      </c>
      <c r="H654" s="202">
        <f>IF($A654="","",INDEX('05_KAPA'!$P:$P,$A654))</f>
        <v/>
      </c>
      <c r="I654" s="118">
        <f>IF($A654="","",INDEX('05_KAPA'!$O:$O,$A654))</f>
        <v/>
      </c>
      <c r="J654" s="202">
        <f>IF($A654="","",IFERROR(DATE(LEFT(TEXT(INDEX('05_KAPA'!$T:$T,$A654),"0"),4),MID(TEXT(INDEX('05_KAPA'!$T:$T,$A654),"0"),5,2),RIGHT(TEXT(INDEX('05_KAPA'!$T:$T,$A654),"0"),2)),""))</f>
        <v/>
      </c>
      <c r="K654">
        <f>IF(C654="","",IF('02_대상물건입력'!$B$5="",1,IF(ISNUMBER(SEARCH('02_대상물건입력'!$B$5,C654)),1,0)))</f>
        <v/>
      </c>
      <c r="L654">
        <f>IF(C654="","",IF('02_대상물건입력'!$B$6="",1,IF(ISNUMBER(SEARCH('02_대상물건입력'!$B$6,C654)),1,0)))</f>
        <v/>
      </c>
      <c r="M654">
        <f>IF(E654="","",IF('02_대상물건입력'!$B$8="",0,IF(ISNUMBER(SEARCH('02_대상물건입력'!$B$8,E654)),1,0)))</f>
        <v/>
      </c>
      <c r="N654">
        <f>IF(B654="","",IF(B654="담보",1,0))</f>
        <v/>
      </c>
      <c r="O654">
        <f>IFERROR(ABS(G654-'02_대상물건입력'!$B$11)/'02_대상물건입력'!$B$11,"")</f>
        <v/>
      </c>
      <c r="P654">
        <f>IFERROR(ABS('01_설정'!$B$4-H654),"")</f>
        <v/>
      </c>
      <c r="Q654">
        <f>IFERROR(ABS(YEAR(J654)-YEAR('02_대상물건입력'!$B$14)),"")</f>
        <v/>
      </c>
      <c r="R654">
        <f>IF(AND(G654&gt;0,H654&gt;0,I654&gt;0,N654=1,IF('01_설정'!$B$10=1,K654=1,TRUE()),O654&lt;='01_설정'!$B$5,P654&lt;='01_설정'!$B$7,Q654&lt;='01_설정'!$B$8),"Y","")</f>
        <v/>
      </c>
      <c r="S654">
        <f>IF(R654&lt;&gt;"Y","",MAX(0,(1-O654/'01_설정'!$B$5))*'01_설정'!$B$14+MAX(0,(1-P654/'01_설정'!$B$7))*'01_설정'!$B$16+MAX(0,(1-Q654/'01_설정'!$B$8))*'01_설정'!$B$17+L654*'01_설정'!$B$11+M654*'01_설정'!$B$12+N654*50)</f>
        <v/>
      </c>
      <c r="T654">
        <f>IF(S654="","",1+COUNTIFS($S$31:$S$1030,"&gt;"&amp;S654)+COUNTIFS($S$31:S654,S654)-1)</f>
        <v/>
      </c>
    </row>
    <row r="655" hidden="1" ht="16.5" customHeight="1">
      <c r="A655">
        <f>IF(COUNTA('05_KAPA'!$A626:$AO626)=0,"",628)</f>
        <v/>
      </c>
      <c r="B655">
        <f>IF($A655="","",INDEX('05_KAPA'!$B:$B,$A655))</f>
        <v/>
      </c>
      <c r="C655">
        <f>IF($A655="","",INDEX('05_KAPA'!$F:$F,$A655))</f>
        <v/>
      </c>
      <c r="D655">
        <f>IF($A655="","",INDEX('05_KAPA'!$H:$H,$A655))</f>
        <v/>
      </c>
      <c r="E655">
        <f>IF($A655="","",INDEX('05_KAPA'!$K:$K,$A655))</f>
        <v/>
      </c>
      <c r="F655">
        <f>IF($A655="","",INDEX('05_KAPA'!$L:$L,$A655))</f>
        <v/>
      </c>
      <c r="G655">
        <f>IF($A655="","",INDEX('05_KAPA'!$I:$I,$A655))</f>
        <v/>
      </c>
      <c r="H655" s="202">
        <f>IF($A655="","",INDEX('05_KAPA'!$P:$P,$A655))</f>
        <v/>
      </c>
      <c r="I655" s="118">
        <f>IF($A655="","",INDEX('05_KAPA'!$O:$O,$A655))</f>
        <v/>
      </c>
      <c r="J655" s="202">
        <f>IF($A655="","",IFERROR(DATE(LEFT(TEXT(INDEX('05_KAPA'!$T:$T,$A655),"0"),4),MID(TEXT(INDEX('05_KAPA'!$T:$T,$A655),"0"),5,2),RIGHT(TEXT(INDEX('05_KAPA'!$T:$T,$A655),"0"),2)),""))</f>
        <v/>
      </c>
      <c r="K655">
        <f>IF(C655="","",IF('02_대상물건입력'!$B$5="",1,IF(ISNUMBER(SEARCH('02_대상물건입력'!$B$5,C655)),1,0)))</f>
        <v/>
      </c>
      <c r="L655">
        <f>IF(C655="","",IF('02_대상물건입력'!$B$6="",1,IF(ISNUMBER(SEARCH('02_대상물건입력'!$B$6,C655)),1,0)))</f>
        <v/>
      </c>
      <c r="M655">
        <f>IF(E655="","",IF('02_대상물건입력'!$B$8="",0,IF(ISNUMBER(SEARCH('02_대상물건입력'!$B$8,E655)),1,0)))</f>
        <v/>
      </c>
      <c r="N655">
        <f>IF(B655="","",IF(B655="담보",1,0))</f>
        <v/>
      </c>
      <c r="O655">
        <f>IFERROR(ABS(G655-'02_대상물건입력'!$B$11)/'02_대상물건입력'!$B$11,"")</f>
        <v/>
      </c>
      <c r="P655">
        <f>IFERROR(ABS('01_설정'!$B$4-H655),"")</f>
        <v/>
      </c>
      <c r="Q655">
        <f>IFERROR(ABS(YEAR(J655)-YEAR('02_대상물건입력'!$B$14)),"")</f>
        <v/>
      </c>
      <c r="R655">
        <f>IF(AND(G655&gt;0,H655&gt;0,I655&gt;0,N655=1,IF('01_설정'!$B$10=1,K655=1,TRUE()),O655&lt;='01_설정'!$B$5,P655&lt;='01_설정'!$B$7,Q655&lt;='01_설정'!$B$8),"Y","")</f>
        <v/>
      </c>
      <c r="S655">
        <f>IF(R655&lt;&gt;"Y","",MAX(0,(1-O655/'01_설정'!$B$5))*'01_설정'!$B$14+MAX(0,(1-P655/'01_설정'!$B$7))*'01_설정'!$B$16+MAX(0,(1-Q655/'01_설정'!$B$8))*'01_설정'!$B$17+L655*'01_설정'!$B$11+M655*'01_설정'!$B$12+N655*50)</f>
        <v/>
      </c>
      <c r="T655">
        <f>IF(S655="","",1+COUNTIFS($S$31:$S$1030,"&gt;"&amp;S655)+COUNTIFS($S$31:S655,S655)-1)</f>
        <v/>
      </c>
    </row>
    <row r="656" hidden="1" ht="16.5" customHeight="1">
      <c r="A656">
        <f>IF(COUNTA('05_KAPA'!$A627:$AO627)=0,"",629)</f>
        <v/>
      </c>
      <c r="B656">
        <f>IF($A656="","",INDEX('05_KAPA'!$B:$B,$A656))</f>
        <v/>
      </c>
      <c r="C656">
        <f>IF($A656="","",INDEX('05_KAPA'!$F:$F,$A656))</f>
        <v/>
      </c>
      <c r="D656">
        <f>IF($A656="","",INDEX('05_KAPA'!$H:$H,$A656))</f>
        <v/>
      </c>
      <c r="E656">
        <f>IF($A656="","",INDEX('05_KAPA'!$K:$K,$A656))</f>
        <v/>
      </c>
      <c r="F656">
        <f>IF($A656="","",INDEX('05_KAPA'!$L:$L,$A656))</f>
        <v/>
      </c>
      <c r="G656">
        <f>IF($A656="","",INDEX('05_KAPA'!$I:$I,$A656))</f>
        <v/>
      </c>
      <c r="H656" s="202">
        <f>IF($A656="","",INDEX('05_KAPA'!$P:$P,$A656))</f>
        <v/>
      </c>
      <c r="I656" s="118">
        <f>IF($A656="","",INDEX('05_KAPA'!$O:$O,$A656))</f>
        <v/>
      </c>
      <c r="J656" s="202">
        <f>IF($A656="","",IFERROR(DATE(LEFT(TEXT(INDEX('05_KAPA'!$T:$T,$A656),"0"),4),MID(TEXT(INDEX('05_KAPA'!$T:$T,$A656),"0"),5,2),RIGHT(TEXT(INDEX('05_KAPA'!$T:$T,$A656),"0"),2)),""))</f>
        <v/>
      </c>
      <c r="K656">
        <f>IF(C656="","",IF('02_대상물건입력'!$B$5="",1,IF(ISNUMBER(SEARCH('02_대상물건입력'!$B$5,C656)),1,0)))</f>
        <v/>
      </c>
      <c r="L656">
        <f>IF(C656="","",IF('02_대상물건입력'!$B$6="",1,IF(ISNUMBER(SEARCH('02_대상물건입력'!$B$6,C656)),1,0)))</f>
        <v/>
      </c>
      <c r="M656">
        <f>IF(E656="","",IF('02_대상물건입력'!$B$8="",0,IF(ISNUMBER(SEARCH('02_대상물건입력'!$B$8,E656)),1,0)))</f>
        <v/>
      </c>
      <c r="N656">
        <f>IF(B656="","",IF(B656="담보",1,0))</f>
        <v/>
      </c>
      <c r="O656">
        <f>IFERROR(ABS(G656-'02_대상물건입력'!$B$11)/'02_대상물건입력'!$B$11,"")</f>
        <v/>
      </c>
      <c r="P656">
        <f>IFERROR(ABS('01_설정'!$B$4-H656),"")</f>
        <v/>
      </c>
      <c r="Q656">
        <f>IFERROR(ABS(YEAR(J656)-YEAR('02_대상물건입력'!$B$14)),"")</f>
        <v/>
      </c>
      <c r="R656">
        <f>IF(AND(G656&gt;0,H656&gt;0,I656&gt;0,N656=1,IF('01_설정'!$B$10=1,K656=1,TRUE()),O656&lt;='01_설정'!$B$5,P656&lt;='01_설정'!$B$7,Q656&lt;='01_설정'!$B$8),"Y","")</f>
        <v/>
      </c>
      <c r="S656">
        <f>IF(R656&lt;&gt;"Y","",MAX(0,(1-O656/'01_설정'!$B$5))*'01_설정'!$B$14+MAX(0,(1-P656/'01_설정'!$B$7))*'01_설정'!$B$16+MAX(0,(1-Q656/'01_설정'!$B$8))*'01_설정'!$B$17+L656*'01_설정'!$B$11+M656*'01_설정'!$B$12+N656*50)</f>
        <v/>
      </c>
      <c r="T656">
        <f>IF(S656="","",1+COUNTIFS($S$31:$S$1030,"&gt;"&amp;S656)+COUNTIFS($S$31:S656,S656)-1)</f>
        <v/>
      </c>
    </row>
    <row r="657" hidden="1" ht="16.5" customHeight="1">
      <c r="A657">
        <f>IF(COUNTA('05_KAPA'!$A628:$AO628)=0,"",630)</f>
        <v/>
      </c>
      <c r="B657">
        <f>IF($A657="","",INDEX('05_KAPA'!$B:$B,$A657))</f>
        <v/>
      </c>
      <c r="C657">
        <f>IF($A657="","",INDEX('05_KAPA'!$F:$F,$A657))</f>
        <v/>
      </c>
      <c r="D657">
        <f>IF($A657="","",INDEX('05_KAPA'!$H:$H,$A657))</f>
        <v/>
      </c>
      <c r="E657">
        <f>IF($A657="","",INDEX('05_KAPA'!$K:$K,$A657))</f>
        <v/>
      </c>
      <c r="F657">
        <f>IF($A657="","",INDEX('05_KAPA'!$L:$L,$A657))</f>
        <v/>
      </c>
      <c r="G657">
        <f>IF($A657="","",INDEX('05_KAPA'!$I:$I,$A657))</f>
        <v/>
      </c>
      <c r="H657" s="202">
        <f>IF($A657="","",INDEX('05_KAPA'!$P:$P,$A657))</f>
        <v/>
      </c>
      <c r="I657" s="118">
        <f>IF($A657="","",INDEX('05_KAPA'!$O:$O,$A657))</f>
        <v/>
      </c>
      <c r="J657" s="202">
        <f>IF($A657="","",IFERROR(DATE(LEFT(TEXT(INDEX('05_KAPA'!$T:$T,$A657),"0"),4),MID(TEXT(INDEX('05_KAPA'!$T:$T,$A657),"0"),5,2),RIGHT(TEXT(INDEX('05_KAPA'!$T:$T,$A657),"0"),2)),""))</f>
        <v/>
      </c>
      <c r="K657">
        <f>IF(C657="","",IF('02_대상물건입력'!$B$5="",1,IF(ISNUMBER(SEARCH('02_대상물건입력'!$B$5,C657)),1,0)))</f>
        <v/>
      </c>
      <c r="L657">
        <f>IF(C657="","",IF('02_대상물건입력'!$B$6="",1,IF(ISNUMBER(SEARCH('02_대상물건입력'!$B$6,C657)),1,0)))</f>
        <v/>
      </c>
      <c r="M657">
        <f>IF(E657="","",IF('02_대상물건입력'!$B$8="",0,IF(ISNUMBER(SEARCH('02_대상물건입력'!$B$8,E657)),1,0)))</f>
        <v/>
      </c>
      <c r="N657">
        <f>IF(B657="","",IF(B657="담보",1,0))</f>
        <v/>
      </c>
      <c r="O657">
        <f>IFERROR(ABS(G657-'02_대상물건입력'!$B$11)/'02_대상물건입력'!$B$11,"")</f>
        <v/>
      </c>
      <c r="P657">
        <f>IFERROR(ABS('01_설정'!$B$4-H657),"")</f>
        <v/>
      </c>
      <c r="Q657">
        <f>IFERROR(ABS(YEAR(J657)-YEAR('02_대상물건입력'!$B$14)),"")</f>
        <v/>
      </c>
      <c r="R657">
        <f>IF(AND(G657&gt;0,H657&gt;0,I657&gt;0,N657=1,IF('01_설정'!$B$10=1,K657=1,TRUE()),O657&lt;='01_설정'!$B$5,P657&lt;='01_설정'!$B$7,Q657&lt;='01_설정'!$B$8),"Y","")</f>
        <v/>
      </c>
      <c r="S657">
        <f>IF(R657&lt;&gt;"Y","",MAX(0,(1-O657/'01_설정'!$B$5))*'01_설정'!$B$14+MAX(0,(1-P657/'01_설정'!$B$7))*'01_설정'!$B$16+MAX(0,(1-Q657/'01_설정'!$B$8))*'01_설정'!$B$17+L657*'01_설정'!$B$11+M657*'01_설정'!$B$12+N657*50)</f>
        <v/>
      </c>
      <c r="T657">
        <f>IF(S657="","",1+COUNTIFS($S$31:$S$1030,"&gt;"&amp;S657)+COUNTIFS($S$31:S657,S657)-1)</f>
        <v/>
      </c>
    </row>
    <row r="658" hidden="1" ht="16.5" customHeight="1">
      <c r="A658">
        <f>IF(COUNTA('05_KAPA'!$A629:$AO629)=0,"",631)</f>
        <v/>
      </c>
      <c r="B658">
        <f>IF($A658="","",INDEX('05_KAPA'!$B:$B,$A658))</f>
        <v/>
      </c>
      <c r="C658">
        <f>IF($A658="","",INDEX('05_KAPA'!$F:$F,$A658))</f>
        <v/>
      </c>
      <c r="D658">
        <f>IF($A658="","",INDEX('05_KAPA'!$H:$H,$A658))</f>
        <v/>
      </c>
      <c r="E658">
        <f>IF($A658="","",INDEX('05_KAPA'!$K:$K,$A658))</f>
        <v/>
      </c>
      <c r="F658">
        <f>IF($A658="","",INDEX('05_KAPA'!$L:$L,$A658))</f>
        <v/>
      </c>
      <c r="G658">
        <f>IF($A658="","",INDEX('05_KAPA'!$I:$I,$A658))</f>
        <v/>
      </c>
      <c r="H658" s="202">
        <f>IF($A658="","",INDEX('05_KAPA'!$P:$P,$A658))</f>
        <v/>
      </c>
      <c r="I658" s="118">
        <f>IF($A658="","",INDEX('05_KAPA'!$O:$O,$A658))</f>
        <v/>
      </c>
      <c r="J658" s="202">
        <f>IF($A658="","",IFERROR(DATE(LEFT(TEXT(INDEX('05_KAPA'!$T:$T,$A658),"0"),4),MID(TEXT(INDEX('05_KAPA'!$T:$T,$A658),"0"),5,2),RIGHT(TEXT(INDEX('05_KAPA'!$T:$T,$A658),"0"),2)),""))</f>
        <v/>
      </c>
      <c r="K658">
        <f>IF(C658="","",IF('02_대상물건입력'!$B$5="",1,IF(ISNUMBER(SEARCH('02_대상물건입력'!$B$5,C658)),1,0)))</f>
        <v/>
      </c>
      <c r="L658">
        <f>IF(C658="","",IF('02_대상물건입력'!$B$6="",1,IF(ISNUMBER(SEARCH('02_대상물건입력'!$B$6,C658)),1,0)))</f>
        <v/>
      </c>
      <c r="M658">
        <f>IF(E658="","",IF('02_대상물건입력'!$B$8="",0,IF(ISNUMBER(SEARCH('02_대상물건입력'!$B$8,E658)),1,0)))</f>
        <v/>
      </c>
      <c r="N658">
        <f>IF(B658="","",IF(B658="담보",1,0))</f>
        <v/>
      </c>
      <c r="O658">
        <f>IFERROR(ABS(G658-'02_대상물건입력'!$B$11)/'02_대상물건입력'!$B$11,"")</f>
        <v/>
      </c>
      <c r="P658">
        <f>IFERROR(ABS('01_설정'!$B$4-H658),"")</f>
        <v/>
      </c>
      <c r="Q658">
        <f>IFERROR(ABS(YEAR(J658)-YEAR('02_대상물건입력'!$B$14)),"")</f>
        <v/>
      </c>
      <c r="R658">
        <f>IF(AND(G658&gt;0,H658&gt;0,I658&gt;0,N658=1,IF('01_설정'!$B$10=1,K658=1,TRUE()),O658&lt;='01_설정'!$B$5,P658&lt;='01_설정'!$B$7,Q658&lt;='01_설정'!$B$8),"Y","")</f>
        <v/>
      </c>
      <c r="S658">
        <f>IF(R658&lt;&gt;"Y","",MAX(0,(1-O658/'01_설정'!$B$5))*'01_설정'!$B$14+MAX(0,(1-P658/'01_설정'!$B$7))*'01_설정'!$B$16+MAX(0,(1-Q658/'01_설정'!$B$8))*'01_설정'!$B$17+L658*'01_설정'!$B$11+M658*'01_설정'!$B$12+N658*50)</f>
        <v/>
      </c>
      <c r="T658">
        <f>IF(S658="","",1+COUNTIFS($S$31:$S$1030,"&gt;"&amp;S658)+COUNTIFS($S$31:S658,S658)-1)</f>
        <v/>
      </c>
    </row>
    <row r="659" hidden="1" ht="16.5" customHeight="1">
      <c r="A659">
        <f>IF(COUNTA('05_KAPA'!$A630:$AO630)=0,"",632)</f>
        <v/>
      </c>
      <c r="B659">
        <f>IF($A659="","",INDEX('05_KAPA'!$B:$B,$A659))</f>
        <v/>
      </c>
      <c r="C659">
        <f>IF($A659="","",INDEX('05_KAPA'!$F:$F,$A659))</f>
        <v/>
      </c>
      <c r="D659">
        <f>IF($A659="","",INDEX('05_KAPA'!$H:$H,$A659))</f>
        <v/>
      </c>
      <c r="E659">
        <f>IF($A659="","",INDEX('05_KAPA'!$K:$K,$A659))</f>
        <v/>
      </c>
      <c r="F659">
        <f>IF($A659="","",INDEX('05_KAPA'!$L:$L,$A659))</f>
        <v/>
      </c>
      <c r="G659">
        <f>IF($A659="","",INDEX('05_KAPA'!$I:$I,$A659))</f>
        <v/>
      </c>
      <c r="H659" s="202">
        <f>IF($A659="","",INDEX('05_KAPA'!$P:$P,$A659))</f>
        <v/>
      </c>
      <c r="I659" s="118">
        <f>IF($A659="","",INDEX('05_KAPA'!$O:$O,$A659))</f>
        <v/>
      </c>
      <c r="J659" s="202">
        <f>IF($A659="","",IFERROR(DATE(LEFT(TEXT(INDEX('05_KAPA'!$T:$T,$A659),"0"),4),MID(TEXT(INDEX('05_KAPA'!$T:$T,$A659),"0"),5,2),RIGHT(TEXT(INDEX('05_KAPA'!$T:$T,$A659),"0"),2)),""))</f>
        <v/>
      </c>
      <c r="K659">
        <f>IF(C659="","",IF('02_대상물건입력'!$B$5="",1,IF(ISNUMBER(SEARCH('02_대상물건입력'!$B$5,C659)),1,0)))</f>
        <v/>
      </c>
      <c r="L659">
        <f>IF(C659="","",IF('02_대상물건입력'!$B$6="",1,IF(ISNUMBER(SEARCH('02_대상물건입력'!$B$6,C659)),1,0)))</f>
        <v/>
      </c>
      <c r="M659">
        <f>IF(E659="","",IF('02_대상물건입력'!$B$8="",0,IF(ISNUMBER(SEARCH('02_대상물건입력'!$B$8,E659)),1,0)))</f>
        <v/>
      </c>
      <c r="N659">
        <f>IF(B659="","",IF(B659="담보",1,0))</f>
        <v/>
      </c>
      <c r="O659">
        <f>IFERROR(ABS(G659-'02_대상물건입력'!$B$11)/'02_대상물건입력'!$B$11,"")</f>
        <v/>
      </c>
      <c r="P659">
        <f>IFERROR(ABS('01_설정'!$B$4-H659),"")</f>
        <v/>
      </c>
      <c r="Q659">
        <f>IFERROR(ABS(YEAR(J659)-YEAR('02_대상물건입력'!$B$14)),"")</f>
        <v/>
      </c>
      <c r="R659">
        <f>IF(AND(G659&gt;0,H659&gt;0,I659&gt;0,N659=1,IF('01_설정'!$B$10=1,K659=1,TRUE()),O659&lt;='01_설정'!$B$5,P659&lt;='01_설정'!$B$7,Q659&lt;='01_설정'!$B$8),"Y","")</f>
        <v/>
      </c>
      <c r="S659">
        <f>IF(R659&lt;&gt;"Y","",MAX(0,(1-O659/'01_설정'!$B$5))*'01_설정'!$B$14+MAX(0,(1-P659/'01_설정'!$B$7))*'01_설정'!$B$16+MAX(0,(1-Q659/'01_설정'!$B$8))*'01_설정'!$B$17+L659*'01_설정'!$B$11+M659*'01_설정'!$B$12+N659*50)</f>
        <v/>
      </c>
      <c r="T659">
        <f>IF(S659="","",1+COUNTIFS($S$31:$S$1030,"&gt;"&amp;S659)+COUNTIFS($S$31:S659,S659)-1)</f>
        <v/>
      </c>
    </row>
    <row r="660" hidden="1" ht="16.5" customHeight="1">
      <c r="A660">
        <f>IF(COUNTA('05_KAPA'!$A631:$AO631)=0,"",633)</f>
        <v/>
      </c>
      <c r="B660">
        <f>IF($A660="","",INDEX('05_KAPA'!$B:$B,$A660))</f>
        <v/>
      </c>
      <c r="C660">
        <f>IF($A660="","",INDEX('05_KAPA'!$F:$F,$A660))</f>
        <v/>
      </c>
      <c r="D660">
        <f>IF($A660="","",INDEX('05_KAPA'!$H:$H,$A660))</f>
        <v/>
      </c>
      <c r="E660">
        <f>IF($A660="","",INDEX('05_KAPA'!$K:$K,$A660))</f>
        <v/>
      </c>
      <c r="F660">
        <f>IF($A660="","",INDEX('05_KAPA'!$L:$L,$A660))</f>
        <v/>
      </c>
      <c r="G660">
        <f>IF($A660="","",INDEX('05_KAPA'!$I:$I,$A660))</f>
        <v/>
      </c>
      <c r="H660" s="202">
        <f>IF($A660="","",INDEX('05_KAPA'!$P:$P,$A660))</f>
        <v/>
      </c>
      <c r="I660" s="118">
        <f>IF($A660="","",INDEX('05_KAPA'!$O:$O,$A660))</f>
        <v/>
      </c>
      <c r="J660" s="202">
        <f>IF($A660="","",IFERROR(DATE(LEFT(TEXT(INDEX('05_KAPA'!$T:$T,$A660),"0"),4),MID(TEXT(INDEX('05_KAPA'!$T:$T,$A660),"0"),5,2),RIGHT(TEXT(INDEX('05_KAPA'!$T:$T,$A660),"0"),2)),""))</f>
        <v/>
      </c>
      <c r="K660">
        <f>IF(C660="","",IF('02_대상물건입력'!$B$5="",1,IF(ISNUMBER(SEARCH('02_대상물건입력'!$B$5,C660)),1,0)))</f>
        <v/>
      </c>
      <c r="L660">
        <f>IF(C660="","",IF('02_대상물건입력'!$B$6="",1,IF(ISNUMBER(SEARCH('02_대상물건입력'!$B$6,C660)),1,0)))</f>
        <v/>
      </c>
      <c r="M660">
        <f>IF(E660="","",IF('02_대상물건입력'!$B$8="",0,IF(ISNUMBER(SEARCH('02_대상물건입력'!$B$8,E660)),1,0)))</f>
        <v/>
      </c>
      <c r="N660">
        <f>IF(B660="","",IF(B660="담보",1,0))</f>
        <v/>
      </c>
      <c r="O660">
        <f>IFERROR(ABS(G660-'02_대상물건입력'!$B$11)/'02_대상물건입력'!$B$11,"")</f>
        <v/>
      </c>
      <c r="P660">
        <f>IFERROR(ABS('01_설정'!$B$4-H660),"")</f>
        <v/>
      </c>
      <c r="Q660">
        <f>IFERROR(ABS(YEAR(J660)-YEAR('02_대상물건입력'!$B$14)),"")</f>
        <v/>
      </c>
      <c r="R660">
        <f>IF(AND(G660&gt;0,H660&gt;0,I660&gt;0,N660=1,IF('01_설정'!$B$10=1,K660=1,TRUE()),O660&lt;='01_설정'!$B$5,P660&lt;='01_설정'!$B$7,Q660&lt;='01_설정'!$B$8),"Y","")</f>
        <v/>
      </c>
      <c r="S660">
        <f>IF(R660&lt;&gt;"Y","",MAX(0,(1-O660/'01_설정'!$B$5))*'01_설정'!$B$14+MAX(0,(1-P660/'01_설정'!$B$7))*'01_설정'!$B$16+MAX(0,(1-Q660/'01_설정'!$B$8))*'01_설정'!$B$17+L660*'01_설정'!$B$11+M660*'01_설정'!$B$12+N660*50)</f>
        <v/>
      </c>
      <c r="T660">
        <f>IF(S660="","",1+COUNTIFS($S$31:$S$1030,"&gt;"&amp;S660)+COUNTIFS($S$31:S660,S660)-1)</f>
        <v/>
      </c>
    </row>
    <row r="661" hidden="1" ht="16.5" customHeight="1">
      <c r="A661">
        <f>IF(COUNTA('05_KAPA'!$A632:$AO632)=0,"",634)</f>
        <v/>
      </c>
      <c r="B661">
        <f>IF($A661="","",INDEX('05_KAPA'!$B:$B,$A661))</f>
        <v/>
      </c>
      <c r="C661">
        <f>IF($A661="","",INDEX('05_KAPA'!$F:$F,$A661))</f>
        <v/>
      </c>
      <c r="D661">
        <f>IF($A661="","",INDEX('05_KAPA'!$H:$H,$A661))</f>
        <v/>
      </c>
      <c r="E661">
        <f>IF($A661="","",INDEX('05_KAPA'!$K:$K,$A661))</f>
        <v/>
      </c>
      <c r="F661">
        <f>IF($A661="","",INDEX('05_KAPA'!$L:$L,$A661))</f>
        <v/>
      </c>
      <c r="G661">
        <f>IF($A661="","",INDEX('05_KAPA'!$I:$I,$A661))</f>
        <v/>
      </c>
      <c r="H661" s="202">
        <f>IF($A661="","",INDEX('05_KAPA'!$P:$P,$A661))</f>
        <v/>
      </c>
      <c r="I661" s="118">
        <f>IF($A661="","",INDEX('05_KAPA'!$O:$O,$A661))</f>
        <v/>
      </c>
      <c r="J661" s="202">
        <f>IF($A661="","",IFERROR(DATE(LEFT(TEXT(INDEX('05_KAPA'!$T:$T,$A661),"0"),4),MID(TEXT(INDEX('05_KAPA'!$T:$T,$A661),"0"),5,2),RIGHT(TEXT(INDEX('05_KAPA'!$T:$T,$A661),"0"),2)),""))</f>
        <v/>
      </c>
      <c r="K661">
        <f>IF(C661="","",IF('02_대상물건입력'!$B$5="",1,IF(ISNUMBER(SEARCH('02_대상물건입력'!$B$5,C661)),1,0)))</f>
        <v/>
      </c>
      <c r="L661">
        <f>IF(C661="","",IF('02_대상물건입력'!$B$6="",1,IF(ISNUMBER(SEARCH('02_대상물건입력'!$B$6,C661)),1,0)))</f>
        <v/>
      </c>
      <c r="M661">
        <f>IF(E661="","",IF('02_대상물건입력'!$B$8="",0,IF(ISNUMBER(SEARCH('02_대상물건입력'!$B$8,E661)),1,0)))</f>
        <v/>
      </c>
      <c r="N661">
        <f>IF(B661="","",IF(B661="담보",1,0))</f>
        <v/>
      </c>
      <c r="O661">
        <f>IFERROR(ABS(G661-'02_대상물건입력'!$B$11)/'02_대상물건입력'!$B$11,"")</f>
        <v/>
      </c>
      <c r="P661">
        <f>IFERROR(ABS('01_설정'!$B$4-H661),"")</f>
        <v/>
      </c>
      <c r="Q661">
        <f>IFERROR(ABS(YEAR(J661)-YEAR('02_대상물건입력'!$B$14)),"")</f>
        <v/>
      </c>
      <c r="R661">
        <f>IF(AND(G661&gt;0,H661&gt;0,I661&gt;0,N661=1,IF('01_설정'!$B$10=1,K661=1,TRUE()),O661&lt;='01_설정'!$B$5,P661&lt;='01_설정'!$B$7,Q661&lt;='01_설정'!$B$8),"Y","")</f>
        <v/>
      </c>
      <c r="S661">
        <f>IF(R661&lt;&gt;"Y","",MAX(0,(1-O661/'01_설정'!$B$5))*'01_설정'!$B$14+MAX(0,(1-P661/'01_설정'!$B$7))*'01_설정'!$B$16+MAX(0,(1-Q661/'01_설정'!$B$8))*'01_설정'!$B$17+L661*'01_설정'!$B$11+M661*'01_설정'!$B$12+N661*50)</f>
        <v/>
      </c>
      <c r="T661">
        <f>IF(S661="","",1+COUNTIFS($S$31:$S$1030,"&gt;"&amp;S661)+COUNTIFS($S$31:S661,S661)-1)</f>
        <v/>
      </c>
    </row>
    <row r="662" hidden="1" ht="16.5" customHeight="1">
      <c r="A662">
        <f>IF(COUNTA('05_KAPA'!$A633:$AO633)=0,"",635)</f>
        <v/>
      </c>
      <c r="B662">
        <f>IF($A662="","",INDEX('05_KAPA'!$B:$B,$A662))</f>
        <v/>
      </c>
      <c r="C662">
        <f>IF($A662="","",INDEX('05_KAPA'!$F:$F,$A662))</f>
        <v/>
      </c>
      <c r="D662">
        <f>IF($A662="","",INDEX('05_KAPA'!$H:$H,$A662))</f>
        <v/>
      </c>
      <c r="E662">
        <f>IF($A662="","",INDEX('05_KAPA'!$K:$K,$A662))</f>
        <v/>
      </c>
      <c r="F662">
        <f>IF($A662="","",INDEX('05_KAPA'!$L:$L,$A662))</f>
        <v/>
      </c>
      <c r="G662">
        <f>IF($A662="","",INDEX('05_KAPA'!$I:$I,$A662))</f>
        <v/>
      </c>
      <c r="H662" s="202">
        <f>IF($A662="","",INDEX('05_KAPA'!$P:$P,$A662))</f>
        <v/>
      </c>
      <c r="I662" s="118">
        <f>IF($A662="","",INDEX('05_KAPA'!$O:$O,$A662))</f>
        <v/>
      </c>
      <c r="J662" s="202">
        <f>IF($A662="","",IFERROR(DATE(LEFT(TEXT(INDEX('05_KAPA'!$T:$T,$A662),"0"),4),MID(TEXT(INDEX('05_KAPA'!$T:$T,$A662),"0"),5,2),RIGHT(TEXT(INDEX('05_KAPA'!$T:$T,$A662),"0"),2)),""))</f>
        <v/>
      </c>
      <c r="K662">
        <f>IF(C662="","",IF('02_대상물건입력'!$B$5="",1,IF(ISNUMBER(SEARCH('02_대상물건입력'!$B$5,C662)),1,0)))</f>
        <v/>
      </c>
      <c r="L662">
        <f>IF(C662="","",IF('02_대상물건입력'!$B$6="",1,IF(ISNUMBER(SEARCH('02_대상물건입력'!$B$6,C662)),1,0)))</f>
        <v/>
      </c>
      <c r="M662">
        <f>IF(E662="","",IF('02_대상물건입력'!$B$8="",0,IF(ISNUMBER(SEARCH('02_대상물건입력'!$B$8,E662)),1,0)))</f>
        <v/>
      </c>
      <c r="N662">
        <f>IF(B662="","",IF(B662="담보",1,0))</f>
        <v/>
      </c>
      <c r="O662">
        <f>IFERROR(ABS(G662-'02_대상물건입력'!$B$11)/'02_대상물건입력'!$B$11,"")</f>
        <v/>
      </c>
      <c r="P662">
        <f>IFERROR(ABS('01_설정'!$B$4-H662),"")</f>
        <v/>
      </c>
      <c r="Q662">
        <f>IFERROR(ABS(YEAR(J662)-YEAR('02_대상물건입력'!$B$14)),"")</f>
        <v/>
      </c>
      <c r="R662">
        <f>IF(AND(G662&gt;0,H662&gt;0,I662&gt;0,N662=1,IF('01_설정'!$B$10=1,K662=1,TRUE()),O662&lt;='01_설정'!$B$5,P662&lt;='01_설정'!$B$7,Q662&lt;='01_설정'!$B$8),"Y","")</f>
        <v/>
      </c>
      <c r="S662">
        <f>IF(R662&lt;&gt;"Y","",MAX(0,(1-O662/'01_설정'!$B$5))*'01_설정'!$B$14+MAX(0,(1-P662/'01_설정'!$B$7))*'01_설정'!$B$16+MAX(0,(1-Q662/'01_설정'!$B$8))*'01_설정'!$B$17+L662*'01_설정'!$B$11+M662*'01_설정'!$B$12+N662*50)</f>
        <v/>
      </c>
      <c r="T662">
        <f>IF(S662="","",1+COUNTIFS($S$31:$S$1030,"&gt;"&amp;S662)+COUNTIFS($S$31:S662,S662)-1)</f>
        <v/>
      </c>
    </row>
    <row r="663" hidden="1" ht="16.5" customHeight="1">
      <c r="A663">
        <f>IF(COUNTA('05_KAPA'!$A634:$AO634)=0,"",636)</f>
        <v/>
      </c>
      <c r="B663">
        <f>IF($A663="","",INDEX('05_KAPA'!$B:$B,$A663))</f>
        <v/>
      </c>
      <c r="C663">
        <f>IF($A663="","",INDEX('05_KAPA'!$F:$F,$A663))</f>
        <v/>
      </c>
      <c r="D663">
        <f>IF($A663="","",INDEX('05_KAPA'!$H:$H,$A663))</f>
        <v/>
      </c>
      <c r="E663">
        <f>IF($A663="","",INDEX('05_KAPA'!$K:$K,$A663))</f>
        <v/>
      </c>
      <c r="F663">
        <f>IF($A663="","",INDEX('05_KAPA'!$L:$L,$A663))</f>
        <v/>
      </c>
      <c r="G663">
        <f>IF($A663="","",INDEX('05_KAPA'!$I:$I,$A663))</f>
        <v/>
      </c>
      <c r="H663" s="202">
        <f>IF($A663="","",INDEX('05_KAPA'!$P:$P,$A663))</f>
        <v/>
      </c>
      <c r="I663" s="118">
        <f>IF($A663="","",INDEX('05_KAPA'!$O:$O,$A663))</f>
        <v/>
      </c>
      <c r="J663" s="202">
        <f>IF($A663="","",IFERROR(DATE(LEFT(TEXT(INDEX('05_KAPA'!$T:$T,$A663),"0"),4),MID(TEXT(INDEX('05_KAPA'!$T:$T,$A663),"0"),5,2),RIGHT(TEXT(INDEX('05_KAPA'!$T:$T,$A663),"0"),2)),""))</f>
        <v/>
      </c>
      <c r="K663">
        <f>IF(C663="","",IF('02_대상물건입력'!$B$5="",1,IF(ISNUMBER(SEARCH('02_대상물건입력'!$B$5,C663)),1,0)))</f>
        <v/>
      </c>
      <c r="L663">
        <f>IF(C663="","",IF('02_대상물건입력'!$B$6="",1,IF(ISNUMBER(SEARCH('02_대상물건입력'!$B$6,C663)),1,0)))</f>
        <v/>
      </c>
      <c r="M663">
        <f>IF(E663="","",IF('02_대상물건입력'!$B$8="",0,IF(ISNUMBER(SEARCH('02_대상물건입력'!$B$8,E663)),1,0)))</f>
        <v/>
      </c>
      <c r="N663">
        <f>IF(B663="","",IF(B663="담보",1,0))</f>
        <v/>
      </c>
      <c r="O663">
        <f>IFERROR(ABS(G663-'02_대상물건입력'!$B$11)/'02_대상물건입력'!$B$11,"")</f>
        <v/>
      </c>
      <c r="P663">
        <f>IFERROR(ABS('01_설정'!$B$4-H663),"")</f>
        <v/>
      </c>
      <c r="Q663">
        <f>IFERROR(ABS(YEAR(J663)-YEAR('02_대상물건입력'!$B$14)),"")</f>
        <v/>
      </c>
      <c r="R663">
        <f>IF(AND(G663&gt;0,H663&gt;0,I663&gt;0,N663=1,IF('01_설정'!$B$10=1,K663=1,TRUE()),O663&lt;='01_설정'!$B$5,P663&lt;='01_설정'!$B$7,Q663&lt;='01_설정'!$B$8),"Y","")</f>
        <v/>
      </c>
      <c r="S663">
        <f>IF(R663&lt;&gt;"Y","",MAX(0,(1-O663/'01_설정'!$B$5))*'01_설정'!$B$14+MAX(0,(1-P663/'01_설정'!$B$7))*'01_설정'!$B$16+MAX(0,(1-Q663/'01_설정'!$B$8))*'01_설정'!$B$17+L663*'01_설정'!$B$11+M663*'01_설정'!$B$12+N663*50)</f>
        <v/>
      </c>
      <c r="T663">
        <f>IF(S663="","",1+COUNTIFS($S$31:$S$1030,"&gt;"&amp;S663)+COUNTIFS($S$31:S663,S663)-1)</f>
        <v/>
      </c>
    </row>
    <row r="664" hidden="1" ht="16.5" customHeight="1">
      <c r="A664">
        <f>IF(COUNTA('05_KAPA'!$A635:$AO635)=0,"",637)</f>
        <v/>
      </c>
      <c r="B664">
        <f>IF($A664="","",INDEX('05_KAPA'!$B:$B,$A664))</f>
        <v/>
      </c>
      <c r="C664">
        <f>IF($A664="","",INDEX('05_KAPA'!$F:$F,$A664))</f>
        <v/>
      </c>
      <c r="D664">
        <f>IF($A664="","",INDEX('05_KAPA'!$H:$H,$A664))</f>
        <v/>
      </c>
      <c r="E664">
        <f>IF($A664="","",INDEX('05_KAPA'!$K:$K,$A664))</f>
        <v/>
      </c>
      <c r="F664">
        <f>IF($A664="","",INDEX('05_KAPA'!$L:$L,$A664))</f>
        <v/>
      </c>
      <c r="G664">
        <f>IF($A664="","",INDEX('05_KAPA'!$I:$I,$A664))</f>
        <v/>
      </c>
      <c r="H664" s="202">
        <f>IF($A664="","",INDEX('05_KAPA'!$P:$P,$A664))</f>
        <v/>
      </c>
      <c r="I664" s="118">
        <f>IF($A664="","",INDEX('05_KAPA'!$O:$O,$A664))</f>
        <v/>
      </c>
      <c r="J664" s="202">
        <f>IF($A664="","",IFERROR(DATE(LEFT(TEXT(INDEX('05_KAPA'!$T:$T,$A664),"0"),4),MID(TEXT(INDEX('05_KAPA'!$T:$T,$A664),"0"),5,2),RIGHT(TEXT(INDEX('05_KAPA'!$T:$T,$A664),"0"),2)),""))</f>
        <v/>
      </c>
      <c r="K664">
        <f>IF(C664="","",IF('02_대상물건입력'!$B$5="",1,IF(ISNUMBER(SEARCH('02_대상물건입력'!$B$5,C664)),1,0)))</f>
        <v/>
      </c>
      <c r="L664">
        <f>IF(C664="","",IF('02_대상물건입력'!$B$6="",1,IF(ISNUMBER(SEARCH('02_대상물건입력'!$B$6,C664)),1,0)))</f>
        <v/>
      </c>
      <c r="M664">
        <f>IF(E664="","",IF('02_대상물건입력'!$B$8="",0,IF(ISNUMBER(SEARCH('02_대상물건입력'!$B$8,E664)),1,0)))</f>
        <v/>
      </c>
      <c r="N664">
        <f>IF(B664="","",IF(B664="담보",1,0))</f>
        <v/>
      </c>
      <c r="O664">
        <f>IFERROR(ABS(G664-'02_대상물건입력'!$B$11)/'02_대상물건입력'!$B$11,"")</f>
        <v/>
      </c>
      <c r="P664">
        <f>IFERROR(ABS('01_설정'!$B$4-H664),"")</f>
        <v/>
      </c>
      <c r="Q664">
        <f>IFERROR(ABS(YEAR(J664)-YEAR('02_대상물건입력'!$B$14)),"")</f>
        <v/>
      </c>
      <c r="R664">
        <f>IF(AND(G664&gt;0,H664&gt;0,I664&gt;0,N664=1,IF('01_설정'!$B$10=1,K664=1,TRUE()),O664&lt;='01_설정'!$B$5,P664&lt;='01_설정'!$B$7,Q664&lt;='01_설정'!$B$8),"Y","")</f>
        <v/>
      </c>
      <c r="S664">
        <f>IF(R664&lt;&gt;"Y","",MAX(0,(1-O664/'01_설정'!$B$5))*'01_설정'!$B$14+MAX(0,(1-P664/'01_설정'!$B$7))*'01_설정'!$B$16+MAX(0,(1-Q664/'01_설정'!$B$8))*'01_설정'!$B$17+L664*'01_설정'!$B$11+M664*'01_설정'!$B$12+N664*50)</f>
        <v/>
      </c>
      <c r="T664">
        <f>IF(S664="","",1+COUNTIFS($S$31:$S$1030,"&gt;"&amp;S664)+COUNTIFS($S$31:S664,S664)-1)</f>
        <v/>
      </c>
    </row>
    <row r="665" hidden="1" ht="16.5" customHeight="1">
      <c r="A665">
        <f>IF(COUNTA('05_KAPA'!$A636:$AO636)=0,"",638)</f>
        <v/>
      </c>
      <c r="B665">
        <f>IF($A665="","",INDEX('05_KAPA'!$B:$B,$A665))</f>
        <v/>
      </c>
      <c r="C665">
        <f>IF($A665="","",INDEX('05_KAPA'!$F:$F,$A665))</f>
        <v/>
      </c>
      <c r="D665">
        <f>IF($A665="","",INDEX('05_KAPA'!$H:$H,$A665))</f>
        <v/>
      </c>
      <c r="E665">
        <f>IF($A665="","",INDEX('05_KAPA'!$K:$K,$A665))</f>
        <v/>
      </c>
      <c r="F665">
        <f>IF($A665="","",INDEX('05_KAPA'!$L:$L,$A665))</f>
        <v/>
      </c>
      <c r="G665">
        <f>IF($A665="","",INDEX('05_KAPA'!$I:$I,$A665))</f>
        <v/>
      </c>
      <c r="H665" s="202">
        <f>IF($A665="","",INDEX('05_KAPA'!$P:$P,$A665))</f>
        <v/>
      </c>
      <c r="I665" s="118">
        <f>IF($A665="","",INDEX('05_KAPA'!$O:$O,$A665))</f>
        <v/>
      </c>
      <c r="J665" s="202">
        <f>IF($A665="","",IFERROR(DATE(LEFT(TEXT(INDEX('05_KAPA'!$T:$T,$A665),"0"),4),MID(TEXT(INDEX('05_KAPA'!$T:$T,$A665),"0"),5,2),RIGHT(TEXT(INDEX('05_KAPA'!$T:$T,$A665),"0"),2)),""))</f>
        <v/>
      </c>
      <c r="K665">
        <f>IF(C665="","",IF('02_대상물건입력'!$B$5="",1,IF(ISNUMBER(SEARCH('02_대상물건입력'!$B$5,C665)),1,0)))</f>
        <v/>
      </c>
      <c r="L665">
        <f>IF(C665="","",IF('02_대상물건입력'!$B$6="",1,IF(ISNUMBER(SEARCH('02_대상물건입력'!$B$6,C665)),1,0)))</f>
        <v/>
      </c>
      <c r="M665">
        <f>IF(E665="","",IF('02_대상물건입력'!$B$8="",0,IF(ISNUMBER(SEARCH('02_대상물건입력'!$B$8,E665)),1,0)))</f>
        <v/>
      </c>
      <c r="N665">
        <f>IF(B665="","",IF(B665="담보",1,0))</f>
        <v/>
      </c>
      <c r="O665">
        <f>IFERROR(ABS(G665-'02_대상물건입력'!$B$11)/'02_대상물건입력'!$B$11,"")</f>
        <v/>
      </c>
      <c r="P665">
        <f>IFERROR(ABS('01_설정'!$B$4-H665),"")</f>
        <v/>
      </c>
      <c r="Q665">
        <f>IFERROR(ABS(YEAR(J665)-YEAR('02_대상물건입력'!$B$14)),"")</f>
        <v/>
      </c>
      <c r="R665">
        <f>IF(AND(G665&gt;0,H665&gt;0,I665&gt;0,N665=1,IF('01_설정'!$B$10=1,K665=1,TRUE()),O665&lt;='01_설정'!$B$5,P665&lt;='01_설정'!$B$7,Q665&lt;='01_설정'!$B$8),"Y","")</f>
        <v/>
      </c>
      <c r="S665">
        <f>IF(R665&lt;&gt;"Y","",MAX(0,(1-O665/'01_설정'!$B$5))*'01_설정'!$B$14+MAX(0,(1-P665/'01_설정'!$B$7))*'01_설정'!$B$16+MAX(0,(1-Q665/'01_설정'!$B$8))*'01_설정'!$B$17+L665*'01_설정'!$B$11+M665*'01_설정'!$B$12+N665*50)</f>
        <v/>
      </c>
      <c r="T665">
        <f>IF(S665="","",1+COUNTIFS($S$31:$S$1030,"&gt;"&amp;S665)+COUNTIFS($S$31:S665,S665)-1)</f>
        <v/>
      </c>
    </row>
    <row r="666" hidden="1" ht="16.5" customHeight="1">
      <c r="A666">
        <f>IF(COUNTA('05_KAPA'!$A637:$AO637)=0,"",639)</f>
        <v/>
      </c>
      <c r="B666">
        <f>IF($A666="","",INDEX('05_KAPA'!$B:$B,$A666))</f>
        <v/>
      </c>
      <c r="C666">
        <f>IF($A666="","",INDEX('05_KAPA'!$F:$F,$A666))</f>
        <v/>
      </c>
      <c r="D666">
        <f>IF($A666="","",INDEX('05_KAPA'!$H:$H,$A666))</f>
        <v/>
      </c>
      <c r="E666">
        <f>IF($A666="","",INDEX('05_KAPA'!$K:$K,$A666))</f>
        <v/>
      </c>
      <c r="F666">
        <f>IF($A666="","",INDEX('05_KAPA'!$L:$L,$A666))</f>
        <v/>
      </c>
      <c r="G666">
        <f>IF($A666="","",INDEX('05_KAPA'!$I:$I,$A666))</f>
        <v/>
      </c>
      <c r="H666" s="202">
        <f>IF($A666="","",INDEX('05_KAPA'!$P:$P,$A666))</f>
        <v/>
      </c>
      <c r="I666" s="118">
        <f>IF($A666="","",INDEX('05_KAPA'!$O:$O,$A666))</f>
        <v/>
      </c>
      <c r="J666" s="202">
        <f>IF($A666="","",IFERROR(DATE(LEFT(TEXT(INDEX('05_KAPA'!$T:$T,$A666),"0"),4),MID(TEXT(INDEX('05_KAPA'!$T:$T,$A666),"0"),5,2),RIGHT(TEXT(INDEX('05_KAPA'!$T:$T,$A666),"0"),2)),""))</f>
        <v/>
      </c>
      <c r="K666">
        <f>IF(C666="","",IF('02_대상물건입력'!$B$5="",1,IF(ISNUMBER(SEARCH('02_대상물건입력'!$B$5,C666)),1,0)))</f>
        <v/>
      </c>
      <c r="L666">
        <f>IF(C666="","",IF('02_대상물건입력'!$B$6="",1,IF(ISNUMBER(SEARCH('02_대상물건입력'!$B$6,C666)),1,0)))</f>
        <v/>
      </c>
      <c r="M666">
        <f>IF(E666="","",IF('02_대상물건입력'!$B$8="",0,IF(ISNUMBER(SEARCH('02_대상물건입력'!$B$8,E666)),1,0)))</f>
        <v/>
      </c>
      <c r="N666">
        <f>IF(B666="","",IF(B666="담보",1,0))</f>
        <v/>
      </c>
      <c r="O666">
        <f>IFERROR(ABS(G666-'02_대상물건입력'!$B$11)/'02_대상물건입력'!$B$11,"")</f>
        <v/>
      </c>
      <c r="P666">
        <f>IFERROR(ABS('01_설정'!$B$4-H666),"")</f>
        <v/>
      </c>
      <c r="Q666">
        <f>IFERROR(ABS(YEAR(J666)-YEAR('02_대상물건입력'!$B$14)),"")</f>
        <v/>
      </c>
      <c r="R666">
        <f>IF(AND(G666&gt;0,H666&gt;0,I666&gt;0,N666=1,IF('01_설정'!$B$10=1,K666=1,TRUE()),O666&lt;='01_설정'!$B$5,P666&lt;='01_설정'!$B$7,Q666&lt;='01_설정'!$B$8),"Y","")</f>
        <v/>
      </c>
      <c r="S666">
        <f>IF(R666&lt;&gt;"Y","",MAX(0,(1-O666/'01_설정'!$B$5))*'01_설정'!$B$14+MAX(0,(1-P666/'01_설정'!$B$7))*'01_설정'!$B$16+MAX(0,(1-Q666/'01_설정'!$B$8))*'01_설정'!$B$17+L666*'01_설정'!$B$11+M666*'01_설정'!$B$12+N666*50)</f>
        <v/>
      </c>
      <c r="T666">
        <f>IF(S666="","",1+COUNTIFS($S$31:$S$1030,"&gt;"&amp;S666)+COUNTIFS($S$31:S666,S666)-1)</f>
        <v/>
      </c>
    </row>
    <row r="667" hidden="1" ht="16.5" customHeight="1">
      <c r="A667">
        <f>IF(COUNTA('05_KAPA'!$A638:$AO638)=0,"",640)</f>
        <v/>
      </c>
      <c r="B667">
        <f>IF($A667="","",INDEX('05_KAPA'!$B:$B,$A667))</f>
        <v/>
      </c>
      <c r="C667">
        <f>IF($A667="","",INDEX('05_KAPA'!$F:$F,$A667))</f>
        <v/>
      </c>
      <c r="D667">
        <f>IF($A667="","",INDEX('05_KAPA'!$H:$H,$A667))</f>
        <v/>
      </c>
      <c r="E667">
        <f>IF($A667="","",INDEX('05_KAPA'!$K:$K,$A667))</f>
        <v/>
      </c>
      <c r="F667">
        <f>IF($A667="","",INDEX('05_KAPA'!$L:$L,$A667))</f>
        <v/>
      </c>
      <c r="G667">
        <f>IF($A667="","",INDEX('05_KAPA'!$I:$I,$A667))</f>
        <v/>
      </c>
      <c r="H667" s="202">
        <f>IF($A667="","",INDEX('05_KAPA'!$P:$P,$A667))</f>
        <v/>
      </c>
      <c r="I667" s="118">
        <f>IF($A667="","",INDEX('05_KAPA'!$O:$O,$A667))</f>
        <v/>
      </c>
      <c r="J667" s="202">
        <f>IF($A667="","",IFERROR(DATE(LEFT(TEXT(INDEX('05_KAPA'!$T:$T,$A667),"0"),4),MID(TEXT(INDEX('05_KAPA'!$T:$T,$A667),"0"),5,2),RIGHT(TEXT(INDEX('05_KAPA'!$T:$T,$A667),"0"),2)),""))</f>
        <v/>
      </c>
      <c r="K667">
        <f>IF(C667="","",IF('02_대상물건입력'!$B$5="",1,IF(ISNUMBER(SEARCH('02_대상물건입력'!$B$5,C667)),1,0)))</f>
        <v/>
      </c>
      <c r="L667">
        <f>IF(C667="","",IF('02_대상물건입력'!$B$6="",1,IF(ISNUMBER(SEARCH('02_대상물건입력'!$B$6,C667)),1,0)))</f>
        <v/>
      </c>
      <c r="M667">
        <f>IF(E667="","",IF('02_대상물건입력'!$B$8="",0,IF(ISNUMBER(SEARCH('02_대상물건입력'!$B$8,E667)),1,0)))</f>
        <v/>
      </c>
      <c r="N667">
        <f>IF(B667="","",IF(B667="담보",1,0))</f>
        <v/>
      </c>
      <c r="O667">
        <f>IFERROR(ABS(G667-'02_대상물건입력'!$B$11)/'02_대상물건입력'!$B$11,"")</f>
        <v/>
      </c>
      <c r="P667">
        <f>IFERROR(ABS('01_설정'!$B$4-H667),"")</f>
        <v/>
      </c>
      <c r="Q667">
        <f>IFERROR(ABS(YEAR(J667)-YEAR('02_대상물건입력'!$B$14)),"")</f>
        <v/>
      </c>
      <c r="R667">
        <f>IF(AND(G667&gt;0,H667&gt;0,I667&gt;0,N667=1,IF('01_설정'!$B$10=1,K667=1,TRUE()),O667&lt;='01_설정'!$B$5,P667&lt;='01_설정'!$B$7,Q667&lt;='01_설정'!$B$8),"Y","")</f>
        <v/>
      </c>
      <c r="S667">
        <f>IF(R667&lt;&gt;"Y","",MAX(0,(1-O667/'01_설정'!$B$5))*'01_설정'!$B$14+MAX(0,(1-P667/'01_설정'!$B$7))*'01_설정'!$B$16+MAX(0,(1-Q667/'01_설정'!$B$8))*'01_설정'!$B$17+L667*'01_설정'!$B$11+M667*'01_설정'!$B$12+N667*50)</f>
        <v/>
      </c>
      <c r="T667">
        <f>IF(S667="","",1+COUNTIFS($S$31:$S$1030,"&gt;"&amp;S667)+COUNTIFS($S$31:S667,S667)-1)</f>
        <v/>
      </c>
    </row>
    <row r="668" hidden="1" ht="16.5" customHeight="1">
      <c r="A668">
        <f>IF(COUNTA('05_KAPA'!$A639:$AO639)=0,"",641)</f>
        <v/>
      </c>
      <c r="B668">
        <f>IF($A668="","",INDEX('05_KAPA'!$B:$B,$A668))</f>
        <v/>
      </c>
      <c r="C668">
        <f>IF($A668="","",INDEX('05_KAPA'!$F:$F,$A668))</f>
        <v/>
      </c>
      <c r="D668">
        <f>IF($A668="","",INDEX('05_KAPA'!$H:$H,$A668))</f>
        <v/>
      </c>
      <c r="E668">
        <f>IF($A668="","",INDEX('05_KAPA'!$K:$K,$A668))</f>
        <v/>
      </c>
      <c r="F668">
        <f>IF($A668="","",INDEX('05_KAPA'!$L:$L,$A668))</f>
        <v/>
      </c>
      <c r="G668">
        <f>IF($A668="","",INDEX('05_KAPA'!$I:$I,$A668))</f>
        <v/>
      </c>
      <c r="H668" s="202">
        <f>IF($A668="","",INDEX('05_KAPA'!$P:$P,$A668))</f>
        <v/>
      </c>
      <c r="I668" s="118">
        <f>IF($A668="","",INDEX('05_KAPA'!$O:$O,$A668))</f>
        <v/>
      </c>
      <c r="J668" s="202">
        <f>IF($A668="","",IFERROR(DATE(LEFT(TEXT(INDEX('05_KAPA'!$T:$T,$A668),"0"),4),MID(TEXT(INDEX('05_KAPA'!$T:$T,$A668),"0"),5,2),RIGHT(TEXT(INDEX('05_KAPA'!$T:$T,$A668),"0"),2)),""))</f>
        <v/>
      </c>
      <c r="K668">
        <f>IF(C668="","",IF('02_대상물건입력'!$B$5="",1,IF(ISNUMBER(SEARCH('02_대상물건입력'!$B$5,C668)),1,0)))</f>
        <v/>
      </c>
      <c r="L668">
        <f>IF(C668="","",IF('02_대상물건입력'!$B$6="",1,IF(ISNUMBER(SEARCH('02_대상물건입력'!$B$6,C668)),1,0)))</f>
        <v/>
      </c>
      <c r="M668">
        <f>IF(E668="","",IF('02_대상물건입력'!$B$8="",0,IF(ISNUMBER(SEARCH('02_대상물건입력'!$B$8,E668)),1,0)))</f>
        <v/>
      </c>
      <c r="N668">
        <f>IF(B668="","",IF(B668="담보",1,0))</f>
        <v/>
      </c>
      <c r="O668">
        <f>IFERROR(ABS(G668-'02_대상물건입력'!$B$11)/'02_대상물건입력'!$B$11,"")</f>
        <v/>
      </c>
      <c r="P668">
        <f>IFERROR(ABS('01_설정'!$B$4-H668),"")</f>
        <v/>
      </c>
      <c r="Q668">
        <f>IFERROR(ABS(YEAR(J668)-YEAR('02_대상물건입력'!$B$14)),"")</f>
        <v/>
      </c>
      <c r="R668">
        <f>IF(AND(G668&gt;0,H668&gt;0,I668&gt;0,N668=1,IF('01_설정'!$B$10=1,K668=1,TRUE()),O668&lt;='01_설정'!$B$5,P668&lt;='01_설정'!$B$7,Q668&lt;='01_설정'!$B$8),"Y","")</f>
        <v/>
      </c>
      <c r="S668">
        <f>IF(R668&lt;&gt;"Y","",MAX(0,(1-O668/'01_설정'!$B$5))*'01_설정'!$B$14+MAX(0,(1-P668/'01_설정'!$B$7))*'01_설정'!$B$16+MAX(0,(1-Q668/'01_설정'!$B$8))*'01_설정'!$B$17+L668*'01_설정'!$B$11+M668*'01_설정'!$B$12+N668*50)</f>
        <v/>
      </c>
      <c r="T668">
        <f>IF(S668="","",1+COUNTIFS($S$31:$S$1030,"&gt;"&amp;S668)+COUNTIFS($S$31:S668,S668)-1)</f>
        <v/>
      </c>
    </row>
    <row r="669" hidden="1" ht="16.5" customHeight="1">
      <c r="A669">
        <f>IF(COUNTA('05_KAPA'!$A640:$AO640)=0,"",642)</f>
        <v/>
      </c>
      <c r="B669">
        <f>IF($A669="","",INDEX('05_KAPA'!$B:$B,$A669))</f>
        <v/>
      </c>
      <c r="C669">
        <f>IF($A669="","",INDEX('05_KAPA'!$F:$F,$A669))</f>
        <v/>
      </c>
      <c r="D669">
        <f>IF($A669="","",INDEX('05_KAPA'!$H:$H,$A669))</f>
        <v/>
      </c>
      <c r="E669">
        <f>IF($A669="","",INDEX('05_KAPA'!$K:$K,$A669))</f>
        <v/>
      </c>
      <c r="F669">
        <f>IF($A669="","",INDEX('05_KAPA'!$L:$L,$A669))</f>
        <v/>
      </c>
      <c r="G669">
        <f>IF($A669="","",INDEX('05_KAPA'!$I:$I,$A669))</f>
        <v/>
      </c>
      <c r="H669" s="202">
        <f>IF($A669="","",INDEX('05_KAPA'!$P:$P,$A669))</f>
        <v/>
      </c>
      <c r="I669" s="118">
        <f>IF($A669="","",INDEX('05_KAPA'!$O:$O,$A669))</f>
        <v/>
      </c>
      <c r="J669" s="202">
        <f>IF($A669="","",IFERROR(DATE(LEFT(TEXT(INDEX('05_KAPA'!$T:$T,$A669),"0"),4),MID(TEXT(INDEX('05_KAPA'!$T:$T,$A669),"0"),5,2),RIGHT(TEXT(INDEX('05_KAPA'!$T:$T,$A669),"0"),2)),""))</f>
        <v/>
      </c>
      <c r="K669">
        <f>IF(C669="","",IF('02_대상물건입력'!$B$5="",1,IF(ISNUMBER(SEARCH('02_대상물건입력'!$B$5,C669)),1,0)))</f>
        <v/>
      </c>
      <c r="L669">
        <f>IF(C669="","",IF('02_대상물건입력'!$B$6="",1,IF(ISNUMBER(SEARCH('02_대상물건입력'!$B$6,C669)),1,0)))</f>
        <v/>
      </c>
      <c r="M669">
        <f>IF(E669="","",IF('02_대상물건입력'!$B$8="",0,IF(ISNUMBER(SEARCH('02_대상물건입력'!$B$8,E669)),1,0)))</f>
        <v/>
      </c>
      <c r="N669">
        <f>IF(B669="","",IF(B669="담보",1,0))</f>
        <v/>
      </c>
      <c r="O669">
        <f>IFERROR(ABS(G669-'02_대상물건입력'!$B$11)/'02_대상물건입력'!$B$11,"")</f>
        <v/>
      </c>
      <c r="P669">
        <f>IFERROR(ABS('01_설정'!$B$4-H669),"")</f>
        <v/>
      </c>
      <c r="Q669">
        <f>IFERROR(ABS(YEAR(J669)-YEAR('02_대상물건입력'!$B$14)),"")</f>
        <v/>
      </c>
      <c r="R669">
        <f>IF(AND(G669&gt;0,H669&gt;0,I669&gt;0,N669=1,IF('01_설정'!$B$10=1,K669=1,TRUE()),O669&lt;='01_설정'!$B$5,P669&lt;='01_설정'!$B$7,Q669&lt;='01_설정'!$B$8),"Y","")</f>
        <v/>
      </c>
      <c r="S669">
        <f>IF(R669&lt;&gt;"Y","",MAX(0,(1-O669/'01_설정'!$B$5))*'01_설정'!$B$14+MAX(0,(1-P669/'01_설정'!$B$7))*'01_설정'!$B$16+MAX(0,(1-Q669/'01_설정'!$B$8))*'01_설정'!$B$17+L669*'01_설정'!$B$11+M669*'01_설정'!$B$12+N669*50)</f>
        <v/>
      </c>
      <c r="T669">
        <f>IF(S669="","",1+COUNTIFS($S$31:$S$1030,"&gt;"&amp;S669)+COUNTIFS($S$31:S669,S669)-1)</f>
        <v/>
      </c>
    </row>
    <row r="670" hidden="1" ht="16.5" customHeight="1">
      <c r="A670">
        <f>IF(COUNTA('05_KAPA'!$A641:$AO641)=0,"",643)</f>
        <v/>
      </c>
      <c r="B670">
        <f>IF($A670="","",INDEX('05_KAPA'!$B:$B,$A670))</f>
        <v/>
      </c>
      <c r="C670">
        <f>IF($A670="","",INDEX('05_KAPA'!$F:$F,$A670))</f>
        <v/>
      </c>
      <c r="D670">
        <f>IF($A670="","",INDEX('05_KAPA'!$H:$H,$A670))</f>
        <v/>
      </c>
      <c r="E670">
        <f>IF($A670="","",INDEX('05_KAPA'!$K:$K,$A670))</f>
        <v/>
      </c>
      <c r="F670">
        <f>IF($A670="","",INDEX('05_KAPA'!$L:$L,$A670))</f>
        <v/>
      </c>
      <c r="G670">
        <f>IF($A670="","",INDEX('05_KAPA'!$I:$I,$A670))</f>
        <v/>
      </c>
      <c r="H670" s="202">
        <f>IF($A670="","",INDEX('05_KAPA'!$P:$P,$A670))</f>
        <v/>
      </c>
      <c r="I670" s="118">
        <f>IF($A670="","",INDEX('05_KAPA'!$O:$O,$A670))</f>
        <v/>
      </c>
      <c r="J670" s="202">
        <f>IF($A670="","",IFERROR(DATE(LEFT(TEXT(INDEX('05_KAPA'!$T:$T,$A670),"0"),4),MID(TEXT(INDEX('05_KAPA'!$T:$T,$A670),"0"),5,2),RIGHT(TEXT(INDEX('05_KAPA'!$T:$T,$A670),"0"),2)),""))</f>
        <v/>
      </c>
      <c r="K670">
        <f>IF(C670="","",IF('02_대상물건입력'!$B$5="",1,IF(ISNUMBER(SEARCH('02_대상물건입력'!$B$5,C670)),1,0)))</f>
        <v/>
      </c>
      <c r="L670">
        <f>IF(C670="","",IF('02_대상물건입력'!$B$6="",1,IF(ISNUMBER(SEARCH('02_대상물건입력'!$B$6,C670)),1,0)))</f>
        <v/>
      </c>
      <c r="M670">
        <f>IF(E670="","",IF('02_대상물건입력'!$B$8="",0,IF(ISNUMBER(SEARCH('02_대상물건입력'!$B$8,E670)),1,0)))</f>
        <v/>
      </c>
      <c r="N670">
        <f>IF(B670="","",IF(B670="담보",1,0))</f>
        <v/>
      </c>
      <c r="O670">
        <f>IFERROR(ABS(G670-'02_대상물건입력'!$B$11)/'02_대상물건입력'!$B$11,"")</f>
        <v/>
      </c>
      <c r="P670">
        <f>IFERROR(ABS('01_설정'!$B$4-H670),"")</f>
        <v/>
      </c>
      <c r="Q670">
        <f>IFERROR(ABS(YEAR(J670)-YEAR('02_대상물건입력'!$B$14)),"")</f>
        <v/>
      </c>
      <c r="R670">
        <f>IF(AND(G670&gt;0,H670&gt;0,I670&gt;0,N670=1,IF('01_설정'!$B$10=1,K670=1,TRUE()),O670&lt;='01_설정'!$B$5,P670&lt;='01_설정'!$B$7,Q670&lt;='01_설정'!$B$8),"Y","")</f>
        <v/>
      </c>
      <c r="S670">
        <f>IF(R670&lt;&gt;"Y","",MAX(0,(1-O670/'01_설정'!$B$5))*'01_설정'!$B$14+MAX(0,(1-P670/'01_설정'!$B$7))*'01_설정'!$B$16+MAX(0,(1-Q670/'01_설정'!$B$8))*'01_설정'!$B$17+L670*'01_설정'!$B$11+M670*'01_설정'!$B$12+N670*50)</f>
        <v/>
      </c>
      <c r="T670">
        <f>IF(S670="","",1+COUNTIFS($S$31:$S$1030,"&gt;"&amp;S670)+COUNTIFS($S$31:S670,S670)-1)</f>
        <v/>
      </c>
    </row>
    <row r="671" hidden="1" ht="16.5" customHeight="1">
      <c r="A671">
        <f>IF(COUNTA('05_KAPA'!$A642:$AO642)=0,"",644)</f>
        <v/>
      </c>
      <c r="B671">
        <f>IF($A671="","",INDEX('05_KAPA'!$B:$B,$A671))</f>
        <v/>
      </c>
      <c r="C671">
        <f>IF($A671="","",INDEX('05_KAPA'!$F:$F,$A671))</f>
        <v/>
      </c>
      <c r="D671">
        <f>IF($A671="","",INDEX('05_KAPA'!$H:$H,$A671))</f>
        <v/>
      </c>
      <c r="E671">
        <f>IF($A671="","",INDEX('05_KAPA'!$K:$K,$A671))</f>
        <v/>
      </c>
      <c r="F671">
        <f>IF($A671="","",INDEX('05_KAPA'!$L:$L,$A671))</f>
        <v/>
      </c>
      <c r="G671">
        <f>IF($A671="","",INDEX('05_KAPA'!$I:$I,$A671))</f>
        <v/>
      </c>
      <c r="H671" s="202">
        <f>IF($A671="","",INDEX('05_KAPA'!$P:$P,$A671))</f>
        <v/>
      </c>
      <c r="I671" s="118">
        <f>IF($A671="","",INDEX('05_KAPA'!$O:$O,$A671))</f>
        <v/>
      </c>
      <c r="J671" s="202">
        <f>IF($A671="","",IFERROR(DATE(LEFT(TEXT(INDEX('05_KAPA'!$T:$T,$A671),"0"),4),MID(TEXT(INDEX('05_KAPA'!$T:$T,$A671),"0"),5,2),RIGHT(TEXT(INDEX('05_KAPA'!$T:$T,$A671),"0"),2)),""))</f>
        <v/>
      </c>
      <c r="K671">
        <f>IF(C671="","",IF('02_대상물건입력'!$B$5="",1,IF(ISNUMBER(SEARCH('02_대상물건입력'!$B$5,C671)),1,0)))</f>
        <v/>
      </c>
      <c r="L671">
        <f>IF(C671="","",IF('02_대상물건입력'!$B$6="",1,IF(ISNUMBER(SEARCH('02_대상물건입력'!$B$6,C671)),1,0)))</f>
        <v/>
      </c>
      <c r="M671">
        <f>IF(E671="","",IF('02_대상물건입력'!$B$8="",0,IF(ISNUMBER(SEARCH('02_대상물건입력'!$B$8,E671)),1,0)))</f>
        <v/>
      </c>
      <c r="N671">
        <f>IF(B671="","",IF(B671="담보",1,0))</f>
        <v/>
      </c>
      <c r="O671">
        <f>IFERROR(ABS(G671-'02_대상물건입력'!$B$11)/'02_대상물건입력'!$B$11,"")</f>
        <v/>
      </c>
      <c r="P671">
        <f>IFERROR(ABS('01_설정'!$B$4-H671),"")</f>
        <v/>
      </c>
      <c r="Q671">
        <f>IFERROR(ABS(YEAR(J671)-YEAR('02_대상물건입력'!$B$14)),"")</f>
        <v/>
      </c>
      <c r="R671">
        <f>IF(AND(G671&gt;0,H671&gt;0,I671&gt;0,N671=1,IF('01_설정'!$B$10=1,K671=1,TRUE()),O671&lt;='01_설정'!$B$5,P671&lt;='01_설정'!$B$7,Q671&lt;='01_설정'!$B$8),"Y","")</f>
        <v/>
      </c>
      <c r="S671">
        <f>IF(R671&lt;&gt;"Y","",MAX(0,(1-O671/'01_설정'!$B$5))*'01_설정'!$B$14+MAX(0,(1-P671/'01_설정'!$B$7))*'01_설정'!$B$16+MAX(0,(1-Q671/'01_설정'!$B$8))*'01_설정'!$B$17+L671*'01_설정'!$B$11+M671*'01_설정'!$B$12+N671*50)</f>
        <v/>
      </c>
      <c r="T671">
        <f>IF(S671="","",1+COUNTIFS($S$31:$S$1030,"&gt;"&amp;S671)+COUNTIFS($S$31:S671,S671)-1)</f>
        <v/>
      </c>
    </row>
    <row r="672" hidden="1" ht="16.5" customHeight="1">
      <c r="A672">
        <f>IF(COUNTA('05_KAPA'!$A643:$AO643)=0,"",645)</f>
        <v/>
      </c>
      <c r="B672">
        <f>IF($A672="","",INDEX('05_KAPA'!$B:$B,$A672))</f>
        <v/>
      </c>
      <c r="C672">
        <f>IF($A672="","",INDEX('05_KAPA'!$F:$F,$A672))</f>
        <v/>
      </c>
      <c r="D672">
        <f>IF($A672="","",INDEX('05_KAPA'!$H:$H,$A672))</f>
        <v/>
      </c>
      <c r="E672">
        <f>IF($A672="","",INDEX('05_KAPA'!$K:$K,$A672))</f>
        <v/>
      </c>
      <c r="F672">
        <f>IF($A672="","",INDEX('05_KAPA'!$L:$L,$A672))</f>
        <v/>
      </c>
      <c r="G672">
        <f>IF($A672="","",INDEX('05_KAPA'!$I:$I,$A672))</f>
        <v/>
      </c>
      <c r="H672" s="202">
        <f>IF($A672="","",INDEX('05_KAPA'!$P:$P,$A672))</f>
        <v/>
      </c>
      <c r="I672" s="118">
        <f>IF($A672="","",INDEX('05_KAPA'!$O:$O,$A672))</f>
        <v/>
      </c>
      <c r="J672" s="202">
        <f>IF($A672="","",IFERROR(DATE(LEFT(TEXT(INDEX('05_KAPA'!$T:$T,$A672),"0"),4),MID(TEXT(INDEX('05_KAPA'!$T:$T,$A672),"0"),5,2),RIGHT(TEXT(INDEX('05_KAPA'!$T:$T,$A672),"0"),2)),""))</f>
        <v/>
      </c>
      <c r="K672">
        <f>IF(C672="","",IF('02_대상물건입력'!$B$5="",1,IF(ISNUMBER(SEARCH('02_대상물건입력'!$B$5,C672)),1,0)))</f>
        <v/>
      </c>
      <c r="L672">
        <f>IF(C672="","",IF('02_대상물건입력'!$B$6="",1,IF(ISNUMBER(SEARCH('02_대상물건입력'!$B$6,C672)),1,0)))</f>
        <v/>
      </c>
      <c r="M672">
        <f>IF(E672="","",IF('02_대상물건입력'!$B$8="",0,IF(ISNUMBER(SEARCH('02_대상물건입력'!$B$8,E672)),1,0)))</f>
        <v/>
      </c>
      <c r="N672">
        <f>IF(B672="","",IF(B672="담보",1,0))</f>
        <v/>
      </c>
      <c r="O672">
        <f>IFERROR(ABS(G672-'02_대상물건입력'!$B$11)/'02_대상물건입력'!$B$11,"")</f>
        <v/>
      </c>
      <c r="P672">
        <f>IFERROR(ABS('01_설정'!$B$4-H672),"")</f>
        <v/>
      </c>
      <c r="Q672">
        <f>IFERROR(ABS(YEAR(J672)-YEAR('02_대상물건입력'!$B$14)),"")</f>
        <v/>
      </c>
      <c r="R672">
        <f>IF(AND(G672&gt;0,H672&gt;0,I672&gt;0,N672=1,IF('01_설정'!$B$10=1,K672=1,TRUE()),O672&lt;='01_설정'!$B$5,P672&lt;='01_설정'!$B$7,Q672&lt;='01_설정'!$B$8),"Y","")</f>
        <v/>
      </c>
      <c r="S672">
        <f>IF(R672&lt;&gt;"Y","",MAX(0,(1-O672/'01_설정'!$B$5))*'01_설정'!$B$14+MAX(0,(1-P672/'01_설정'!$B$7))*'01_설정'!$B$16+MAX(0,(1-Q672/'01_설정'!$B$8))*'01_설정'!$B$17+L672*'01_설정'!$B$11+M672*'01_설정'!$B$12+N672*50)</f>
        <v/>
      </c>
      <c r="T672">
        <f>IF(S672="","",1+COUNTIFS($S$31:$S$1030,"&gt;"&amp;S672)+COUNTIFS($S$31:S672,S672)-1)</f>
        <v/>
      </c>
    </row>
    <row r="673" hidden="1" ht="16.5" customHeight="1">
      <c r="A673">
        <f>IF(COUNTA('05_KAPA'!$A644:$AO644)=0,"",646)</f>
        <v/>
      </c>
      <c r="B673">
        <f>IF($A673="","",INDEX('05_KAPA'!$B:$B,$A673))</f>
        <v/>
      </c>
      <c r="C673">
        <f>IF($A673="","",INDEX('05_KAPA'!$F:$F,$A673))</f>
        <v/>
      </c>
      <c r="D673">
        <f>IF($A673="","",INDEX('05_KAPA'!$H:$H,$A673))</f>
        <v/>
      </c>
      <c r="E673">
        <f>IF($A673="","",INDEX('05_KAPA'!$K:$K,$A673))</f>
        <v/>
      </c>
      <c r="F673">
        <f>IF($A673="","",INDEX('05_KAPA'!$L:$L,$A673))</f>
        <v/>
      </c>
      <c r="G673">
        <f>IF($A673="","",INDEX('05_KAPA'!$I:$I,$A673))</f>
        <v/>
      </c>
      <c r="H673" s="202">
        <f>IF($A673="","",INDEX('05_KAPA'!$P:$P,$A673))</f>
        <v/>
      </c>
      <c r="I673" s="118">
        <f>IF($A673="","",INDEX('05_KAPA'!$O:$O,$A673))</f>
        <v/>
      </c>
      <c r="J673" s="202">
        <f>IF($A673="","",IFERROR(DATE(LEFT(TEXT(INDEX('05_KAPA'!$T:$T,$A673),"0"),4),MID(TEXT(INDEX('05_KAPA'!$T:$T,$A673),"0"),5,2),RIGHT(TEXT(INDEX('05_KAPA'!$T:$T,$A673),"0"),2)),""))</f>
        <v/>
      </c>
      <c r="K673">
        <f>IF(C673="","",IF('02_대상물건입력'!$B$5="",1,IF(ISNUMBER(SEARCH('02_대상물건입력'!$B$5,C673)),1,0)))</f>
        <v/>
      </c>
      <c r="L673">
        <f>IF(C673="","",IF('02_대상물건입력'!$B$6="",1,IF(ISNUMBER(SEARCH('02_대상물건입력'!$B$6,C673)),1,0)))</f>
        <v/>
      </c>
      <c r="M673">
        <f>IF(E673="","",IF('02_대상물건입력'!$B$8="",0,IF(ISNUMBER(SEARCH('02_대상물건입력'!$B$8,E673)),1,0)))</f>
        <v/>
      </c>
      <c r="N673">
        <f>IF(B673="","",IF(B673="담보",1,0))</f>
        <v/>
      </c>
      <c r="O673">
        <f>IFERROR(ABS(G673-'02_대상물건입력'!$B$11)/'02_대상물건입력'!$B$11,"")</f>
        <v/>
      </c>
      <c r="P673">
        <f>IFERROR(ABS('01_설정'!$B$4-H673),"")</f>
        <v/>
      </c>
      <c r="Q673">
        <f>IFERROR(ABS(YEAR(J673)-YEAR('02_대상물건입력'!$B$14)),"")</f>
        <v/>
      </c>
      <c r="R673">
        <f>IF(AND(G673&gt;0,H673&gt;0,I673&gt;0,N673=1,IF('01_설정'!$B$10=1,K673=1,TRUE()),O673&lt;='01_설정'!$B$5,P673&lt;='01_설정'!$B$7,Q673&lt;='01_설정'!$B$8),"Y","")</f>
        <v/>
      </c>
      <c r="S673">
        <f>IF(R673&lt;&gt;"Y","",MAX(0,(1-O673/'01_설정'!$B$5))*'01_설정'!$B$14+MAX(0,(1-P673/'01_설정'!$B$7))*'01_설정'!$B$16+MAX(0,(1-Q673/'01_설정'!$B$8))*'01_설정'!$B$17+L673*'01_설정'!$B$11+M673*'01_설정'!$B$12+N673*50)</f>
        <v/>
      </c>
      <c r="T673">
        <f>IF(S673="","",1+COUNTIFS($S$31:$S$1030,"&gt;"&amp;S673)+COUNTIFS($S$31:S673,S673)-1)</f>
        <v/>
      </c>
    </row>
    <row r="674" hidden="1" ht="16.5" customHeight="1">
      <c r="A674">
        <f>IF(COUNTA('05_KAPA'!$A645:$AO645)=0,"",647)</f>
        <v/>
      </c>
      <c r="B674">
        <f>IF($A674="","",INDEX('05_KAPA'!$B:$B,$A674))</f>
        <v/>
      </c>
      <c r="C674">
        <f>IF($A674="","",INDEX('05_KAPA'!$F:$F,$A674))</f>
        <v/>
      </c>
      <c r="D674">
        <f>IF($A674="","",INDEX('05_KAPA'!$H:$H,$A674))</f>
        <v/>
      </c>
      <c r="E674">
        <f>IF($A674="","",INDEX('05_KAPA'!$K:$K,$A674))</f>
        <v/>
      </c>
      <c r="F674">
        <f>IF($A674="","",INDEX('05_KAPA'!$L:$L,$A674))</f>
        <v/>
      </c>
      <c r="G674">
        <f>IF($A674="","",INDEX('05_KAPA'!$I:$I,$A674))</f>
        <v/>
      </c>
      <c r="H674" s="202">
        <f>IF($A674="","",INDEX('05_KAPA'!$P:$P,$A674))</f>
        <v/>
      </c>
      <c r="I674" s="118">
        <f>IF($A674="","",INDEX('05_KAPA'!$O:$O,$A674))</f>
        <v/>
      </c>
      <c r="J674" s="202">
        <f>IF($A674="","",IFERROR(DATE(LEFT(TEXT(INDEX('05_KAPA'!$T:$T,$A674),"0"),4),MID(TEXT(INDEX('05_KAPA'!$T:$T,$A674),"0"),5,2),RIGHT(TEXT(INDEX('05_KAPA'!$T:$T,$A674),"0"),2)),""))</f>
        <v/>
      </c>
      <c r="K674">
        <f>IF(C674="","",IF('02_대상물건입력'!$B$5="",1,IF(ISNUMBER(SEARCH('02_대상물건입력'!$B$5,C674)),1,0)))</f>
        <v/>
      </c>
      <c r="L674">
        <f>IF(C674="","",IF('02_대상물건입력'!$B$6="",1,IF(ISNUMBER(SEARCH('02_대상물건입력'!$B$6,C674)),1,0)))</f>
        <v/>
      </c>
      <c r="M674">
        <f>IF(E674="","",IF('02_대상물건입력'!$B$8="",0,IF(ISNUMBER(SEARCH('02_대상물건입력'!$B$8,E674)),1,0)))</f>
        <v/>
      </c>
      <c r="N674">
        <f>IF(B674="","",IF(B674="담보",1,0))</f>
        <v/>
      </c>
      <c r="O674">
        <f>IFERROR(ABS(G674-'02_대상물건입력'!$B$11)/'02_대상물건입력'!$B$11,"")</f>
        <v/>
      </c>
      <c r="P674">
        <f>IFERROR(ABS('01_설정'!$B$4-H674),"")</f>
        <v/>
      </c>
      <c r="Q674">
        <f>IFERROR(ABS(YEAR(J674)-YEAR('02_대상물건입력'!$B$14)),"")</f>
        <v/>
      </c>
      <c r="R674">
        <f>IF(AND(G674&gt;0,H674&gt;0,I674&gt;0,N674=1,IF('01_설정'!$B$10=1,K674=1,TRUE()),O674&lt;='01_설정'!$B$5,P674&lt;='01_설정'!$B$7,Q674&lt;='01_설정'!$B$8),"Y","")</f>
        <v/>
      </c>
      <c r="S674">
        <f>IF(R674&lt;&gt;"Y","",MAX(0,(1-O674/'01_설정'!$B$5))*'01_설정'!$B$14+MAX(0,(1-P674/'01_설정'!$B$7))*'01_설정'!$B$16+MAX(0,(1-Q674/'01_설정'!$B$8))*'01_설정'!$B$17+L674*'01_설정'!$B$11+M674*'01_설정'!$B$12+N674*50)</f>
        <v/>
      </c>
      <c r="T674">
        <f>IF(S674="","",1+COUNTIFS($S$31:$S$1030,"&gt;"&amp;S674)+COUNTIFS($S$31:S674,S674)-1)</f>
        <v/>
      </c>
    </row>
    <row r="675" hidden="1" ht="16.5" customHeight="1">
      <c r="A675">
        <f>IF(COUNTA('05_KAPA'!$A646:$AO646)=0,"",648)</f>
        <v/>
      </c>
      <c r="B675">
        <f>IF($A675="","",INDEX('05_KAPA'!$B:$B,$A675))</f>
        <v/>
      </c>
      <c r="C675">
        <f>IF($A675="","",INDEX('05_KAPA'!$F:$F,$A675))</f>
        <v/>
      </c>
      <c r="D675">
        <f>IF($A675="","",INDEX('05_KAPA'!$H:$H,$A675))</f>
        <v/>
      </c>
      <c r="E675">
        <f>IF($A675="","",INDEX('05_KAPA'!$K:$K,$A675))</f>
        <v/>
      </c>
      <c r="F675">
        <f>IF($A675="","",INDEX('05_KAPA'!$L:$L,$A675))</f>
        <v/>
      </c>
      <c r="G675">
        <f>IF($A675="","",INDEX('05_KAPA'!$I:$I,$A675))</f>
        <v/>
      </c>
      <c r="H675" s="202">
        <f>IF($A675="","",INDEX('05_KAPA'!$P:$P,$A675))</f>
        <v/>
      </c>
      <c r="I675" s="118">
        <f>IF($A675="","",INDEX('05_KAPA'!$O:$O,$A675))</f>
        <v/>
      </c>
      <c r="J675" s="202">
        <f>IF($A675="","",IFERROR(DATE(LEFT(TEXT(INDEX('05_KAPA'!$T:$T,$A675),"0"),4),MID(TEXT(INDEX('05_KAPA'!$T:$T,$A675),"0"),5,2),RIGHT(TEXT(INDEX('05_KAPA'!$T:$T,$A675),"0"),2)),""))</f>
        <v/>
      </c>
      <c r="K675">
        <f>IF(C675="","",IF('02_대상물건입력'!$B$5="",1,IF(ISNUMBER(SEARCH('02_대상물건입력'!$B$5,C675)),1,0)))</f>
        <v/>
      </c>
      <c r="L675">
        <f>IF(C675="","",IF('02_대상물건입력'!$B$6="",1,IF(ISNUMBER(SEARCH('02_대상물건입력'!$B$6,C675)),1,0)))</f>
        <v/>
      </c>
      <c r="M675">
        <f>IF(E675="","",IF('02_대상물건입력'!$B$8="",0,IF(ISNUMBER(SEARCH('02_대상물건입력'!$B$8,E675)),1,0)))</f>
        <v/>
      </c>
      <c r="N675">
        <f>IF(B675="","",IF(B675="담보",1,0))</f>
        <v/>
      </c>
      <c r="O675">
        <f>IFERROR(ABS(G675-'02_대상물건입력'!$B$11)/'02_대상물건입력'!$B$11,"")</f>
        <v/>
      </c>
      <c r="P675">
        <f>IFERROR(ABS('01_설정'!$B$4-H675),"")</f>
        <v/>
      </c>
      <c r="Q675">
        <f>IFERROR(ABS(YEAR(J675)-YEAR('02_대상물건입력'!$B$14)),"")</f>
        <v/>
      </c>
      <c r="R675">
        <f>IF(AND(G675&gt;0,H675&gt;0,I675&gt;0,N675=1,IF('01_설정'!$B$10=1,K675=1,TRUE()),O675&lt;='01_설정'!$B$5,P675&lt;='01_설정'!$B$7,Q675&lt;='01_설정'!$B$8),"Y","")</f>
        <v/>
      </c>
      <c r="S675">
        <f>IF(R675&lt;&gt;"Y","",MAX(0,(1-O675/'01_설정'!$B$5))*'01_설정'!$B$14+MAX(0,(1-P675/'01_설정'!$B$7))*'01_설정'!$B$16+MAX(0,(1-Q675/'01_설정'!$B$8))*'01_설정'!$B$17+L675*'01_설정'!$B$11+M675*'01_설정'!$B$12+N675*50)</f>
        <v/>
      </c>
      <c r="T675">
        <f>IF(S675="","",1+COUNTIFS($S$31:$S$1030,"&gt;"&amp;S675)+COUNTIFS($S$31:S675,S675)-1)</f>
        <v/>
      </c>
    </row>
    <row r="676" hidden="1" ht="16.5" customHeight="1">
      <c r="A676">
        <f>IF(COUNTA('05_KAPA'!$A647:$AO647)=0,"",649)</f>
        <v/>
      </c>
      <c r="B676">
        <f>IF($A676="","",INDEX('05_KAPA'!$B:$B,$A676))</f>
        <v/>
      </c>
      <c r="C676">
        <f>IF($A676="","",INDEX('05_KAPA'!$F:$F,$A676))</f>
        <v/>
      </c>
      <c r="D676">
        <f>IF($A676="","",INDEX('05_KAPA'!$H:$H,$A676))</f>
        <v/>
      </c>
      <c r="E676">
        <f>IF($A676="","",INDEX('05_KAPA'!$K:$K,$A676))</f>
        <v/>
      </c>
      <c r="F676">
        <f>IF($A676="","",INDEX('05_KAPA'!$L:$L,$A676))</f>
        <v/>
      </c>
      <c r="G676">
        <f>IF($A676="","",INDEX('05_KAPA'!$I:$I,$A676))</f>
        <v/>
      </c>
      <c r="H676" s="202">
        <f>IF($A676="","",INDEX('05_KAPA'!$P:$P,$A676))</f>
        <v/>
      </c>
      <c r="I676" s="118">
        <f>IF($A676="","",INDEX('05_KAPA'!$O:$O,$A676))</f>
        <v/>
      </c>
      <c r="J676" s="202">
        <f>IF($A676="","",IFERROR(DATE(LEFT(TEXT(INDEX('05_KAPA'!$T:$T,$A676),"0"),4),MID(TEXT(INDEX('05_KAPA'!$T:$T,$A676),"0"),5,2),RIGHT(TEXT(INDEX('05_KAPA'!$T:$T,$A676),"0"),2)),""))</f>
        <v/>
      </c>
      <c r="K676">
        <f>IF(C676="","",IF('02_대상물건입력'!$B$5="",1,IF(ISNUMBER(SEARCH('02_대상물건입력'!$B$5,C676)),1,0)))</f>
        <v/>
      </c>
      <c r="L676">
        <f>IF(C676="","",IF('02_대상물건입력'!$B$6="",1,IF(ISNUMBER(SEARCH('02_대상물건입력'!$B$6,C676)),1,0)))</f>
        <v/>
      </c>
      <c r="M676">
        <f>IF(E676="","",IF('02_대상물건입력'!$B$8="",0,IF(ISNUMBER(SEARCH('02_대상물건입력'!$B$8,E676)),1,0)))</f>
        <v/>
      </c>
      <c r="N676">
        <f>IF(B676="","",IF(B676="담보",1,0))</f>
        <v/>
      </c>
      <c r="O676">
        <f>IFERROR(ABS(G676-'02_대상물건입력'!$B$11)/'02_대상물건입력'!$B$11,"")</f>
        <v/>
      </c>
      <c r="P676">
        <f>IFERROR(ABS('01_설정'!$B$4-H676),"")</f>
        <v/>
      </c>
      <c r="Q676">
        <f>IFERROR(ABS(YEAR(J676)-YEAR('02_대상물건입력'!$B$14)),"")</f>
        <v/>
      </c>
      <c r="R676">
        <f>IF(AND(G676&gt;0,H676&gt;0,I676&gt;0,N676=1,IF('01_설정'!$B$10=1,K676=1,TRUE()),O676&lt;='01_설정'!$B$5,P676&lt;='01_설정'!$B$7,Q676&lt;='01_설정'!$B$8),"Y","")</f>
        <v/>
      </c>
      <c r="S676">
        <f>IF(R676&lt;&gt;"Y","",MAX(0,(1-O676/'01_설정'!$B$5))*'01_설정'!$B$14+MAX(0,(1-P676/'01_설정'!$B$7))*'01_설정'!$B$16+MAX(0,(1-Q676/'01_설정'!$B$8))*'01_설정'!$B$17+L676*'01_설정'!$B$11+M676*'01_설정'!$B$12+N676*50)</f>
        <v/>
      </c>
      <c r="T676">
        <f>IF(S676="","",1+COUNTIFS($S$31:$S$1030,"&gt;"&amp;S676)+COUNTIFS($S$31:S676,S676)-1)</f>
        <v/>
      </c>
    </row>
    <row r="677" hidden="1" ht="16.5" customHeight="1">
      <c r="A677">
        <f>IF(COUNTA('05_KAPA'!$A648:$AO648)=0,"",650)</f>
        <v/>
      </c>
      <c r="B677">
        <f>IF($A677="","",INDEX('05_KAPA'!$B:$B,$A677))</f>
        <v/>
      </c>
      <c r="C677">
        <f>IF($A677="","",INDEX('05_KAPA'!$F:$F,$A677))</f>
        <v/>
      </c>
      <c r="D677">
        <f>IF($A677="","",INDEX('05_KAPA'!$H:$H,$A677))</f>
        <v/>
      </c>
      <c r="E677">
        <f>IF($A677="","",INDEX('05_KAPA'!$K:$K,$A677))</f>
        <v/>
      </c>
      <c r="F677">
        <f>IF($A677="","",INDEX('05_KAPA'!$L:$L,$A677))</f>
        <v/>
      </c>
      <c r="G677">
        <f>IF($A677="","",INDEX('05_KAPA'!$I:$I,$A677))</f>
        <v/>
      </c>
      <c r="H677" s="202">
        <f>IF($A677="","",INDEX('05_KAPA'!$P:$P,$A677))</f>
        <v/>
      </c>
      <c r="I677" s="118">
        <f>IF($A677="","",INDEX('05_KAPA'!$O:$O,$A677))</f>
        <v/>
      </c>
      <c r="J677" s="202">
        <f>IF($A677="","",IFERROR(DATE(LEFT(TEXT(INDEX('05_KAPA'!$T:$T,$A677),"0"),4),MID(TEXT(INDEX('05_KAPA'!$T:$T,$A677),"0"),5,2),RIGHT(TEXT(INDEX('05_KAPA'!$T:$T,$A677),"0"),2)),""))</f>
        <v/>
      </c>
      <c r="K677">
        <f>IF(C677="","",IF('02_대상물건입력'!$B$5="",1,IF(ISNUMBER(SEARCH('02_대상물건입력'!$B$5,C677)),1,0)))</f>
        <v/>
      </c>
      <c r="L677">
        <f>IF(C677="","",IF('02_대상물건입력'!$B$6="",1,IF(ISNUMBER(SEARCH('02_대상물건입력'!$B$6,C677)),1,0)))</f>
        <v/>
      </c>
      <c r="M677">
        <f>IF(E677="","",IF('02_대상물건입력'!$B$8="",0,IF(ISNUMBER(SEARCH('02_대상물건입력'!$B$8,E677)),1,0)))</f>
        <v/>
      </c>
      <c r="N677">
        <f>IF(B677="","",IF(B677="담보",1,0))</f>
        <v/>
      </c>
      <c r="O677">
        <f>IFERROR(ABS(G677-'02_대상물건입력'!$B$11)/'02_대상물건입력'!$B$11,"")</f>
        <v/>
      </c>
      <c r="P677">
        <f>IFERROR(ABS('01_설정'!$B$4-H677),"")</f>
        <v/>
      </c>
      <c r="Q677">
        <f>IFERROR(ABS(YEAR(J677)-YEAR('02_대상물건입력'!$B$14)),"")</f>
        <v/>
      </c>
      <c r="R677">
        <f>IF(AND(G677&gt;0,H677&gt;0,I677&gt;0,N677=1,IF('01_설정'!$B$10=1,K677=1,TRUE()),O677&lt;='01_설정'!$B$5,P677&lt;='01_설정'!$B$7,Q677&lt;='01_설정'!$B$8),"Y","")</f>
        <v/>
      </c>
      <c r="S677">
        <f>IF(R677&lt;&gt;"Y","",MAX(0,(1-O677/'01_설정'!$B$5))*'01_설정'!$B$14+MAX(0,(1-P677/'01_설정'!$B$7))*'01_설정'!$B$16+MAX(0,(1-Q677/'01_설정'!$B$8))*'01_설정'!$B$17+L677*'01_설정'!$B$11+M677*'01_설정'!$B$12+N677*50)</f>
        <v/>
      </c>
      <c r="T677">
        <f>IF(S677="","",1+COUNTIFS($S$31:$S$1030,"&gt;"&amp;S677)+COUNTIFS($S$31:S677,S677)-1)</f>
        <v/>
      </c>
    </row>
    <row r="678" hidden="1" ht="16.5" customHeight="1">
      <c r="A678">
        <f>IF(COUNTA('05_KAPA'!$A649:$AO649)=0,"",651)</f>
        <v/>
      </c>
      <c r="B678">
        <f>IF($A678="","",INDEX('05_KAPA'!$B:$B,$A678))</f>
        <v/>
      </c>
      <c r="C678">
        <f>IF($A678="","",INDEX('05_KAPA'!$F:$F,$A678))</f>
        <v/>
      </c>
      <c r="D678">
        <f>IF($A678="","",INDEX('05_KAPA'!$H:$H,$A678))</f>
        <v/>
      </c>
      <c r="E678">
        <f>IF($A678="","",INDEX('05_KAPA'!$K:$K,$A678))</f>
        <v/>
      </c>
      <c r="F678">
        <f>IF($A678="","",INDEX('05_KAPA'!$L:$L,$A678))</f>
        <v/>
      </c>
      <c r="G678">
        <f>IF($A678="","",INDEX('05_KAPA'!$I:$I,$A678))</f>
        <v/>
      </c>
      <c r="H678" s="202">
        <f>IF($A678="","",INDEX('05_KAPA'!$P:$P,$A678))</f>
        <v/>
      </c>
      <c r="I678" s="118">
        <f>IF($A678="","",INDEX('05_KAPA'!$O:$O,$A678))</f>
        <v/>
      </c>
      <c r="J678" s="202">
        <f>IF($A678="","",IFERROR(DATE(LEFT(TEXT(INDEX('05_KAPA'!$T:$T,$A678),"0"),4),MID(TEXT(INDEX('05_KAPA'!$T:$T,$A678),"0"),5,2),RIGHT(TEXT(INDEX('05_KAPA'!$T:$T,$A678),"0"),2)),""))</f>
        <v/>
      </c>
      <c r="K678">
        <f>IF(C678="","",IF('02_대상물건입력'!$B$5="",1,IF(ISNUMBER(SEARCH('02_대상물건입력'!$B$5,C678)),1,0)))</f>
        <v/>
      </c>
      <c r="L678">
        <f>IF(C678="","",IF('02_대상물건입력'!$B$6="",1,IF(ISNUMBER(SEARCH('02_대상물건입력'!$B$6,C678)),1,0)))</f>
        <v/>
      </c>
      <c r="M678">
        <f>IF(E678="","",IF('02_대상물건입력'!$B$8="",0,IF(ISNUMBER(SEARCH('02_대상물건입력'!$B$8,E678)),1,0)))</f>
        <v/>
      </c>
      <c r="N678">
        <f>IF(B678="","",IF(B678="담보",1,0))</f>
        <v/>
      </c>
      <c r="O678">
        <f>IFERROR(ABS(G678-'02_대상물건입력'!$B$11)/'02_대상물건입력'!$B$11,"")</f>
        <v/>
      </c>
      <c r="P678">
        <f>IFERROR(ABS('01_설정'!$B$4-H678),"")</f>
        <v/>
      </c>
      <c r="Q678">
        <f>IFERROR(ABS(YEAR(J678)-YEAR('02_대상물건입력'!$B$14)),"")</f>
        <v/>
      </c>
      <c r="R678">
        <f>IF(AND(G678&gt;0,H678&gt;0,I678&gt;0,N678=1,IF('01_설정'!$B$10=1,K678=1,TRUE()),O678&lt;='01_설정'!$B$5,P678&lt;='01_설정'!$B$7,Q678&lt;='01_설정'!$B$8),"Y","")</f>
        <v/>
      </c>
      <c r="S678">
        <f>IF(R678&lt;&gt;"Y","",MAX(0,(1-O678/'01_설정'!$B$5))*'01_설정'!$B$14+MAX(0,(1-P678/'01_설정'!$B$7))*'01_설정'!$B$16+MAX(0,(1-Q678/'01_설정'!$B$8))*'01_설정'!$B$17+L678*'01_설정'!$B$11+M678*'01_설정'!$B$12+N678*50)</f>
        <v/>
      </c>
      <c r="T678">
        <f>IF(S678="","",1+COUNTIFS($S$31:$S$1030,"&gt;"&amp;S678)+COUNTIFS($S$31:S678,S678)-1)</f>
        <v/>
      </c>
    </row>
    <row r="679" hidden="1" ht="16.5" customHeight="1">
      <c r="A679">
        <f>IF(COUNTA('05_KAPA'!$A650:$AO650)=0,"",652)</f>
        <v/>
      </c>
      <c r="B679">
        <f>IF($A679="","",INDEX('05_KAPA'!$B:$B,$A679))</f>
        <v/>
      </c>
      <c r="C679">
        <f>IF($A679="","",INDEX('05_KAPA'!$F:$F,$A679))</f>
        <v/>
      </c>
      <c r="D679">
        <f>IF($A679="","",INDEX('05_KAPA'!$H:$H,$A679))</f>
        <v/>
      </c>
      <c r="E679">
        <f>IF($A679="","",INDEX('05_KAPA'!$K:$K,$A679))</f>
        <v/>
      </c>
      <c r="F679">
        <f>IF($A679="","",INDEX('05_KAPA'!$L:$L,$A679))</f>
        <v/>
      </c>
      <c r="G679">
        <f>IF($A679="","",INDEX('05_KAPA'!$I:$I,$A679))</f>
        <v/>
      </c>
      <c r="H679" s="202">
        <f>IF($A679="","",INDEX('05_KAPA'!$P:$P,$A679))</f>
        <v/>
      </c>
      <c r="I679" s="118">
        <f>IF($A679="","",INDEX('05_KAPA'!$O:$O,$A679))</f>
        <v/>
      </c>
      <c r="J679" s="202">
        <f>IF($A679="","",IFERROR(DATE(LEFT(TEXT(INDEX('05_KAPA'!$T:$T,$A679),"0"),4),MID(TEXT(INDEX('05_KAPA'!$T:$T,$A679),"0"),5,2),RIGHT(TEXT(INDEX('05_KAPA'!$T:$T,$A679),"0"),2)),""))</f>
        <v/>
      </c>
      <c r="K679">
        <f>IF(C679="","",IF('02_대상물건입력'!$B$5="",1,IF(ISNUMBER(SEARCH('02_대상물건입력'!$B$5,C679)),1,0)))</f>
        <v/>
      </c>
      <c r="L679">
        <f>IF(C679="","",IF('02_대상물건입력'!$B$6="",1,IF(ISNUMBER(SEARCH('02_대상물건입력'!$B$6,C679)),1,0)))</f>
        <v/>
      </c>
      <c r="M679">
        <f>IF(E679="","",IF('02_대상물건입력'!$B$8="",0,IF(ISNUMBER(SEARCH('02_대상물건입력'!$B$8,E679)),1,0)))</f>
        <v/>
      </c>
      <c r="N679">
        <f>IF(B679="","",IF(B679="담보",1,0))</f>
        <v/>
      </c>
      <c r="O679">
        <f>IFERROR(ABS(G679-'02_대상물건입력'!$B$11)/'02_대상물건입력'!$B$11,"")</f>
        <v/>
      </c>
      <c r="P679">
        <f>IFERROR(ABS('01_설정'!$B$4-H679),"")</f>
        <v/>
      </c>
      <c r="Q679">
        <f>IFERROR(ABS(YEAR(J679)-YEAR('02_대상물건입력'!$B$14)),"")</f>
        <v/>
      </c>
      <c r="R679">
        <f>IF(AND(G679&gt;0,H679&gt;0,I679&gt;0,N679=1,IF('01_설정'!$B$10=1,K679=1,TRUE()),O679&lt;='01_설정'!$B$5,P679&lt;='01_설정'!$B$7,Q679&lt;='01_설정'!$B$8),"Y","")</f>
        <v/>
      </c>
      <c r="S679">
        <f>IF(R679&lt;&gt;"Y","",MAX(0,(1-O679/'01_설정'!$B$5))*'01_설정'!$B$14+MAX(0,(1-P679/'01_설정'!$B$7))*'01_설정'!$B$16+MAX(0,(1-Q679/'01_설정'!$B$8))*'01_설정'!$B$17+L679*'01_설정'!$B$11+M679*'01_설정'!$B$12+N679*50)</f>
        <v/>
      </c>
      <c r="T679">
        <f>IF(S679="","",1+COUNTIFS($S$31:$S$1030,"&gt;"&amp;S679)+COUNTIFS($S$31:S679,S679)-1)</f>
        <v/>
      </c>
    </row>
    <row r="680" hidden="1" ht="16.5" customHeight="1">
      <c r="A680">
        <f>IF(COUNTA('05_KAPA'!$A651:$AO651)=0,"",653)</f>
        <v/>
      </c>
      <c r="B680">
        <f>IF($A680="","",INDEX('05_KAPA'!$B:$B,$A680))</f>
        <v/>
      </c>
      <c r="C680">
        <f>IF($A680="","",INDEX('05_KAPA'!$F:$F,$A680))</f>
        <v/>
      </c>
      <c r="D680">
        <f>IF($A680="","",INDEX('05_KAPA'!$H:$H,$A680))</f>
        <v/>
      </c>
      <c r="E680">
        <f>IF($A680="","",INDEX('05_KAPA'!$K:$K,$A680))</f>
        <v/>
      </c>
      <c r="F680">
        <f>IF($A680="","",INDEX('05_KAPA'!$L:$L,$A680))</f>
        <v/>
      </c>
      <c r="G680">
        <f>IF($A680="","",INDEX('05_KAPA'!$I:$I,$A680))</f>
        <v/>
      </c>
      <c r="H680" s="202">
        <f>IF($A680="","",INDEX('05_KAPA'!$P:$P,$A680))</f>
        <v/>
      </c>
      <c r="I680" s="118">
        <f>IF($A680="","",INDEX('05_KAPA'!$O:$O,$A680))</f>
        <v/>
      </c>
      <c r="J680" s="202">
        <f>IF($A680="","",IFERROR(DATE(LEFT(TEXT(INDEX('05_KAPA'!$T:$T,$A680),"0"),4),MID(TEXT(INDEX('05_KAPA'!$T:$T,$A680),"0"),5,2),RIGHT(TEXT(INDEX('05_KAPA'!$T:$T,$A680),"0"),2)),""))</f>
        <v/>
      </c>
      <c r="K680">
        <f>IF(C680="","",IF('02_대상물건입력'!$B$5="",1,IF(ISNUMBER(SEARCH('02_대상물건입력'!$B$5,C680)),1,0)))</f>
        <v/>
      </c>
      <c r="L680">
        <f>IF(C680="","",IF('02_대상물건입력'!$B$6="",1,IF(ISNUMBER(SEARCH('02_대상물건입력'!$B$6,C680)),1,0)))</f>
        <v/>
      </c>
      <c r="M680">
        <f>IF(E680="","",IF('02_대상물건입력'!$B$8="",0,IF(ISNUMBER(SEARCH('02_대상물건입력'!$B$8,E680)),1,0)))</f>
        <v/>
      </c>
      <c r="N680">
        <f>IF(B680="","",IF(B680="담보",1,0))</f>
        <v/>
      </c>
      <c r="O680">
        <f>IFERROR(ABS(G680-'02_대상물건입력'!$B$11)/'02_대상물건입력'!$B$11,"")</f>
        <v/>
      </c>
      <c r="P680">
        <f>IFERROR(ABS('01_설정'!$B$4-H680),"")</f>
        <v/>
      </c>
      <c r="Q680">
        <f>IFERROR(ABS(YEAR(J680)-YEAR('02_대상물건입력'!$B$14)),"")</f>
        <v/>
      </c>
      <c r="R680">
        <f>IF(AND(G680&gt;0,H680&gt;0,I680&gt;0,N680=1,IF('01_설정'!$B$10=1,K680=1,TRUE()),O680&lt;='01_설정'!$B$5,P680&lt;='01_설정'!$B$7,Q680&lt;='01_설정'!$B$8),"Y","")</f>
        <v/>
      </c>
      <c r="S680">
        <f>IF(R680&lt;&gt;"Y","",MAX(0,(1-O680/'01_설정'!$B$5))*'01_설정'!$B$14+MAX(0,(1-P680/'01_설정'!$B$7))*'01_설정'!$B$16+MAX(0,(1-Q680/'01_설정'!$B$8))*'01_설정'!$B$17+L680*'01_설정'!$B$11+M680*'01_설정'!$B$12+N680*50)</f>
        <v/>
      </c>
      <c r="T680">
        <f>IF(S680="","",1+COUNTIFS($S$31:$S$1030,"&gt;"&amp;S680)+COUNTIFS($S$31:S680,S680)-1)</f>
        <v/>
      </c>
    </row>
    <row r="681" hidden="1" ht="16.5" customHeight="1">
      <c r="A681">
        <f>IF(COUNTA('05_KAPA'!$A652:$AO652)=0,"",654)</f>
        <v/>
      </c>
      <c r="B681">
        <f>IF($A681="","",INDEX('05_KAPA'!$B:$B,$A681))</f>
        <v/>
      </c>
      <c r="C681">
        <f>IF($A681="","",INDEX('05_KAPA'!$F:$F,$A681))</f>
        <v/>
      </c>
      <c r="D681">
        <f>IF($A681="","",INDEX('05_KAPA'!$H:$H,$A681))</f>
        <v/>
      </c>
      <c r="E681">
        <f>IF($A681="","",INDEX('05_KAPA'!$K:$K,$A681))</f>
        <v/>
      </c>
      <c r="F681">
        <f>IF($A681="","",INDEX('05_KAPA'!$L:$L,$A681))</f>
        <v/>
      </c>
      <c r="G681">
        <f>IF($A681="","",INDEX('05_KAPA'!$I:$I,$A681))</f>
        <v/>
      </c>
      <c r="H681" s="202">
        <f>IF($A681="","",INDEX('05_KAPA'!$P:$P,$A681))</f>
        <v/>
      </c>
      <c r="I681" s="118">
        <f>IF($A681="","",INDEX('05_KAPA'!$O:$O,$A681))</f>
        <v/>
      </c>
      <c r="J681" s="202">
        <f>IF($A681="","",IFERROR(DATE(LEFT(TEXT(INDEX('05_KAPA'!$T:$T,$A681),"0"),4),MID(TEXT(INDEX('05_KAPA'!$T:$T,$A681),"0"),5,2),RIGHT(TEXT(INDEX('05_KAPA'!$T:$T,$A681),"0"),2)),""))</f>
        <v/>
      </c>
      <c r="K681">
        <f>IF(C681="","",IF('02_대상물건입력'!$B$5="",1,IF(ISNUMBER(SEARCH('02_대상물건입력'!$B$5,C681)),1,0)))</f>
        <v/>
      </c>
      <c r="L681">
        <f>IF(C681="","",IF('02_대상물건입력'!$B$6="",1,IF(ISNUMBER(SEARCH('02_대상물건입력'!$B$6,C681)),1,0)))</f>
        <v/>
      </c>
      <c r="M681">
        <f>IF(E681="","",IF('02_대상물건입력'!$B$8="",0,IF(ISNUMBER(SEARCH('02_대상물건입력'!$B$8,E681)),1,0)))</f>
        <v/>
      </c>
      <c r="N681">
        <f>IF(B681="","",IF(B681="담보",1,0))</f>
        <v/>
      </c>
      <c r="O681">
        <f>IFERROR(ABS(G681-'02_대상물건입력'!$B$11)/'02_대상물건입력'!$B$11,"")</f>
        <v/>
      </c>
      <c r="P681">
        <f>IFERROR(ABS('01_설정'!$B$4-H681),"")</f>
        <v/>
      </c>
      <c r="Q681">
        <f>IFERROR(ABS(YEAR(J681)-YEAR('02_대상물건입력'!$B$14)),"")</f>
        <v/>
      </c>
      <c r="R681">
        <f>IF(AND(G681&gt;0,H681&gt;0,I681&gt;0,N681=1,IF('01_설정'!$B$10=1,K681=1,TRUE()),O681&lt;='01_설정'!$B$5,P681&lt;='01_설정'!$B$7,Q681&lt;='01_설정'!$B$8),"Y","")</f>
        <v/>
      </c>
      <c r="S681">
        <f>IF(R681&lt;&gt;"Y","",MAX(0,(1-O681/'01_설정'!$B$5))*'01_설정'!$B$14+MAX(0,(1-P681/'01_설정'!$B$7))*'01_설정'!$B$16+MAX(0,(1-Q681/'01_설정'!$B$8))*'01_설정'!$B$17+L681*'01_설정'!$B$11+M681*'01_설정'!$B$12+N681*50)</f>
        <v/>
      </c>
      <c r="T681">
        <f>IF(S681="","",1+COUNTIFS($S$31:$S$1030,"&gt;"&amp;S681)+COUNTIFS($S$31:S681,S681)-1)</f>
        <v/>
      </c>
    </row>
    <row r="682" hidden="1" ht="16.5" customHeight="1">
      <c r="A682">
        <f>IF(COUNTA('05_KAPA'!$A653:$AO653)=0,"",655)</f>
        <v/>
      </c>
      <c r="B682">
        <f>IF($A682="","",INDEX('05_KAPA'!$B:$B,$A682))</f>
        <v/>
      </c>
      <c r="C682">
        <f>IF($A682="","",INDEX('05_KAPA'!$F:$F,$A682))</f>
        <v/>
      </c>
      <c r="D682">
        <f>IF($A682="","",INDEX('05_KAPA'!$H:$H,$A682))</f>
        <v/>
      </c>
      <c r="E682">
        <f>IF($A682="","",INDEX('05_KAPA'!$K:$K,$A682))</f>
        <v/>
      </c>
      <c r="F682">
        <f>IF($A682="","",INDEX('05_KAPA'!$L:$L,$A682))</f>
        <v/>
      </c>
      <c r="G682">
        <f>IF($A682="","",INDEX('05_KAPA'!$I:$I,$A682))</f>
        <v/>
      </c>
      <c r="H682" s="202">
        <f>IF($A682="","",INDEX('05_KAPA'!$P:$P,$A682))</f>
        <v/>
      </c>
      <c r="I682" s="118">
        <f>IF($A682="","",INDEX('05_KAPA'!$O:$O,$A682))</f>
        <v/>
      </c>
      <c r="J682" s="202">
        <f>IF($A682="","",IFERROR(DATE(LEFT(TEXT(INDEX('05_KAPA'!$T:$T,$A682),"0"),4),MID(TEXT(INDEX('05_KAPA'!$T:$T,$A682),"0"),5,2),RIGHT(TEXT(INDEX('05_KAPA'!$T:$T,$A682),"0"),2)),""))</f>
        <v/>
      </c>
      <c r="K682">
        <f>IF(C682="","",IF('02_대상물건입력'!$B$5="",1,IF(ISNUMBER(SEARCH('02_대상물건입력'!$B$5,C682)),1,0)))</f>
        <v/>
      </c>
      <c r="L682">
        <f>IF(C682="","",IF('02_대상물건입력'!$B$6="",1,IF(ISNUMBER(SEARCH('02_대상물건입력'!$B$6,C682)),1,0)))</f>
        <v/>
      </c>
      <c r="M682">
        <f>IF(E682="","",IF('02_대상물건입력'!$B$8="",0,IF(ISNUMBER(SEARCH('02_대상물건입력'!$B$8,E682)),1,0)))</f>
        <v/>
      </c>
      <c r="N682">
        <f>IF(B682="","",IF(B682="담보",1,0))</f>
        <v/>
      </c>
      <c r="O682">
        <f>IFERROR(ABS(G682-'02_대상물건입력'!$B$11)/'02_대상물건입력'!$B$11,"")</f>
        <v/>
      </c>
      <c r="P682">
        <f>IFERROR(ABS('01_설정'!$B$4-H682),"")</f>
        <v/>
      </c>
      <c r="Q682">
        <f>IFERROR(ABS(YEAR(J682)-YEAR('02_대상물건입력'!$B$14)),"")</f>
        <v/>
      </c>
      <c r="R682">
        <f>IF(AND(G682&gt;0,H682&gt;0,I682&gt;0,N682=1,IF('01_설정'!$B$10=1,K682=1,TRUE()),O682&lt;='01_설정'!$B$5,P682&lt;='01_설정'!$B$7,Q682&lt;='01_설정'!$B$8),"Y","")</f>
        <v/>
      </c>
      <c r="S682">
        <f>IF(R682&lt;&gt;"Y","",MAX(0,(1-O682/'01_설정'!$B$5))*'01_설정'!$B$14+MAX(0,(1-P682/'01_설정'!$B$7))*'01_설정'!$B$16+MAX(0,(1-Q682/'01_설정'!$B$8))*'01_설정'!$B$17+L682*'01_설정'!$B$11+M682*'01_설정'!$B$12+N682*50)</f>
        <v/>
      </c>
      <c r="T682">
        <f>IF(S682="","",1+COUNTIFS($S$31:$S$1030,"&gt;"&amp;S682)+COUNTIFS($S$31:S682,S682)-1)</f>
        <v/>
      </c>
    </row>
    <row r="683" hidden="1" ht="16.5" customHeight="1">
      <c r="A683">
        <f>IF(COUNTA('05_KAPA'!$A654:$AO654)=0,"",656)</f>
        <v/>
      </c>
      <c r="B683">
        <f>IF($A683="","",INDEX('05_KAPA'!$B:$B,$A683))</f>
        <v/>
      </c>
      <c r="C683">
        <f>IF($A683="","",INDEX('05_KAPA'!$F:$F,$A683))</f>
        <v/>
      </c>
      <c r="D683">
        <f>IF($A683="","",INDEX('05_KAPA'!$H:$H,$A683))</f>
        <v/>
      </c>
      <c r="E683">
        <f>IF($A683="","",INDEX('05_KAPA'!$K:$K,$A683))</f>
        <v/>
      </c>
      <c r="F683">
        <f>IF($A683="","",INDEX('05_KAPA'!$L:$L,$A683))</f>
        <v/>
      </c>
      <c r="G683">
        <f>IF($A683="","",INDEX('05_KAPA'!$I:$I,$A683))</f>
        <v/>
      </c>
      <c r="H683" s="202">
        <f>IF($A683="","",INDEX('05_KAPA'!$P:$P,$A683))</f>
        <v/>
      </c>
      <c r="I683" s="118">
        <f>IF($A683="","",INDEX('05_KAPA'!$O:$O,$A683))</f>
        <v/>
      </c>
      <c r="J683" s="202">
        <f>IF($A683="","",IFERROR(DATE(LEFT(TEXT(INDEX('05_KAPA'!$T:$T,$A683),"0"),4),MID(TEXT(INDEX('05_KAPA'!$T:$T,$A683),"0"),5,2),RIGHT(TEXT(INDEX('05_KAPA'!$T:$T,$A683),"0"),2)),""))</f>
        <v/>
      </c>
      <c r="K683">
        <f>IF(C683="","",IF('02_대상물건입력'!$B$5="",1,IF(ISNUMBER(SEARCH('02_대상물건입력'!$B$5,C683)),1,0)))</f>
        <v/>
      </c>
      <c r="L683">
        <f>IF(C683="","",IF('02_대상물건입력'!$B$6="",1,IF(ISNUMBER(SEARCH('02_대상물건입력'!$B$6,C683)),1,0)))</f>
        <v/>
      </c>
      <c r="M683">
        <f>IF(E683="","",IF('02_대상물건입력'!$B$8="",0,IF(ISNUMBER(SEARCH('02_대상물건입력'!$B$8,E683)),1,0)))</f>
        <v/>
      </c>
      <c r="N683">
        <f>IF(B683="","",IF(B683="담보",1,0))</f>
        <v/>
      </c>
      <c r="O683">
        <f>IFERROR(ABS(G683-'02_대상물건입력'!$B$11)/'02_대상물건입력'!$B$11,"")</f>
        <v/>
      </c>
      <c r="P683">
        <f>IFERROR(ABS('01_설정'!$B$4-H683),"")</f>
        <v/>
      </c>
      <c r="Q683">
        <f>IFERROR(ABS(YEAR(J683)-YEAR('02_대상물건입력'!$B$14)),"")</f>
        <v/>
      </c>
      <c r="R683">
        <f>IF(AND(G683&gt;0,H683&gt;0,I683&gt;0,N683=1,IF('01_설정'!$B$10=1,K683=1,TRUE()),O683&lt;='01_설정'!$B$5,P683&lt;='01_설정'!$B$7,Q683&lt;='01_설정'!$B$8),"Y","")</f>
        <v/>
      </c>
      <c r="S683">
        <f>IF(R683&lt;&gt;"Y","",MAX(0,(1-O683/'01_설정'!$B$5))*'01_설정'!$B$14+MAX(0,(1-P683/'01_설정'!$B$7))*'01_설정'!$B$16+MAX(0,(1-Q683/'01_설정'!$B$8))*'01_설정'!$B$17+L683*'01_설정'!$B$11+M683*'01_설정'!$B$12+N683*50)</f>
        <v/>
      </c>
      <c r="T683">
        <f>IF(S683="","",1+COUNTIFS($S$31:$S$1030,"&gt;"&amp;S683)+COUNTIFS($S$31:S683,S683)-1)</f>
        <v/>
      </c>
    </row>
    <row r="684" hidden="1" ht="16.5" customHeight="1">
      <c r="A684">
        <f>IF(COUNTA('05_KAPA'!$A655:$AO655)=0,"",657)</f>
        <v/>
      </c>
      <c r="B684">
        <f>IF($A684="","",INDEX('05_KAPA'!$B:$B,$A684))</f>
        <v/>
      </c>
      <c r="C684">
        <f>IF($A684="","",INDEX('05_KAPA'!$F:$F,$A684))</f>
        <v/>
      </c>
      <c r="D684">
        <f>IF($A684="","",INDEX('05_KAPA'!$H:$H,$A684))</f>
        <v/>
      </c>
      <c r="E684">
        <f>IF($A684="","",INDEX('05_KAPA'!$K:$K,$A684))</f>
        <v/>
      </c>
      <c r="F684">
        <f>IF($A684="","",INDEX('05_KAPA'!$L:$L,$A684))</f>
        <v/>
      </c>
      <c r="G684">
        <f>IF($A684="","",INDEX('05_KAPA'!$I:$I,$A684))</f>
        <v/>
      </c>
      <c r="H684" s="202">
        <f>IF($A684="","",INDEX('05_KAPA'!$P:$P,$A684))</f>
        <v/>
      </c>
      <c r="I684" s="118">
        <f>IF($A684="","",INDEX('05_KAPA'!$O:$O,$A684))</f>
        <v/>
      </c>
      <c r="J684" s="202">
        <f>IF($A684="","",IFERROR(DATE(LEFT(TEXT(INDEX('05_KAPA'!$T:$T,$A684),"0"),4),MID(TEXT(INDEX('05_KAPA'!$T:$T,$A684),"0"),5,2),RIGHT(TEXT(INDEX('05_KAPA'!$T:$T,$A684),"0"),2)),""))</f>
        <v/>
      </c>
      <c r="K684">
        <f>IF(C684="","",IF('02_대상물건입력'!$B$5="",1,IF(ISNUMBER(SEARCH('02_대상물건입력'!$B$5,C684)),1,0)))</f>
        <v/>
      </c>
      <c r="L684">
        <f>IF(C684="","",IF('02_대상물건입력'!$B$6="",1,IF(ISNUMBER(SEARCH('02_대상물건입력'!$B$6,C684)),1,0)))</f>
        <v/>
      </c>
      <c r="M684">
        <f>IF(E684="","",IF('02_대상물건입력'!$B$8="",0,IF(ISNUMBER(SEARCH('02_대상물건입력'!$B$8,E684)),1,0)))</f>
        <v/>
      </c>
      <c r="N684">
        <f>IF(B684="","",IF(B684="담보",1,0))</f>
        <v/>
      </c>
      <c r="O684">
        <f>IFERROR(ABS(G684-'02_대상물건입력'!$B$11)/'02_대상물건입력'!$B$11,"")</f>
        <v/>
      </c>
      <c r="P684">
        <f>IFERROR(ABS('01_설정'!$B$4-H684),"")</f>
        <v/>
      </c>
      <c r="Q684">
        <f>IFERROR(ABS(YEAR(J684)-YEAR('02_대상물건입력'!$B$14)),"")</f>
        <v/>
      </c>
      <c r="R684">
        <f>IF(AND(G684&gt;0,H684&gt;0,I684&gt;0,N684=1,IF('01_설정'!$B$10=1,K684=1,TRUE()),O684&lt;='01_설정'!$B$5,P684&lt;='01_설정'!$B$7,Q684&lt;='01_설정'!$B$8),"Y","")</f>
        <v/>
      </c>
      <c r="S684">
        <f>IF(R684&lt;&gt;"Y","",MAX(0,(1-O684/'01_설정'!$B$5))*'01_설정'!$B$14+MAX(0,(1-P684/'01_설정'!$B$7))*'01_설정'!$B$16+MAX(0,(1-Q684/'01_설정'!$B$8))*'01_설정'!$B$17+L684*'01_설정'!$B$11+M684*'01_설정'!$B$12+N684*50)</f>
        <v/>
      </c>
      <c r="T684">
        <f>IF(S684="","",1+COUNTIFS($S$31:$S$1030,"&gt;"&amp;S684)+COUNTIFS($S$31:S684,S684)-1)</f>
        <v/>
      </c>
    </row>
    <row r="685" hidden="1" ht="16.5" customHeight="1">
      <c r="A685">
        <f>IF(COUNTA('05_KAPA'!$A656:$AO656)=0,"",658)</f>
        <v/>
      </c>
      <c r="B685">
        <f>IF($A685="","",INDEX('05_KAPA'!$B:$B,$A685))</f>
        <v/>
      </c>
      <c r="C685">
        <f>IF($A685="","",INDEX('05_KAPA'!$F:$F,$A685))</f>
        <v/>
      </c>
      <c r="D685">
        <f>IF($A685="","",INDEX('05_KAPA'!$H:$H,$A685))</f>
        <v/>
      </c>
      <c r="E685">
        <f>IF($A685="","",INDEX('05_KAPA'!$K:$K,$A685))</f>
        <v/>
      </c>
      <c r="F685">
        <f>IF($A685="","",INDEX('05_KAPA'!$L:$L,$A685))</f>
        <v/>
      </c>
      <c r="G685">
        <f>IF($A685="","",INDEX('05_KAPA'!$I:$I,$A685))</f>
        <v/>
      </c>
      <c r="H685" s="202">
        <f>IF($A685="","",INDEX('05_KAPA'!$P:$P,$A685))</f>
        <v/>
      </c>
      <c r="I685" s="118">
        <f>IF($A685="","",INDEX('05_KAPA'!$O:$O,$A685))</f>
        <v/>
      </c>
      <c r="J685" s="202">
        <f>IF($A685="","",IFERROR(DATE(LEFT(TEXT(INDEX('05_KAPA'!$T:$T,$A685),"0"),4),MID(TEXT(INDEX('05_KAPA'!$T:$T,$A685),"0"),5,2),RIGHT(TEXT(INDEX('05_KAPA'!$T:$T,$A685),"0"),2)),""))</f>
        <v/>
      </c>
      <c r="K685">
        <f>IF(C685="","",IF('02_대상물건입력'!$B$5="",1,IF(ISNUMBER(SEARCH('02_대상물건입력'!$B$5,C685)),1,0)))</f>
        <v/>
      </c>
      <c r="L685">
        <f>IF(C685="","",IF('02_대상물건입력'!$B$6="",1,IF(ISNUMBER(SEARCH('02_대상물건입력'!$B$6,C685)),1,0)))</f>
        <v/>
      </c>
      <c r="M685">
        <f>IF(E685="","",IF('02_대상물건입력'!$B$8="",0,IF(ISNUMBER(SEARCH('02_대상물건입력'!$B$8,E685)),1,0)))</f>
        <v/>
      </c>
      <c r="N685">
        <f>IF(B685="","",IF(B685="담보",1,0))</f>
        <v/>
      </c>
      <c r="O685">
        <f>IFERROR(ABS(G685-'02_대상물건입력'!$B$11)/'02_대상물건입력'!$B$11,"")</f>
        <v/>
      </c>
      <c r="P685">
        <f>IFERROR(ABS('01_설정'!$B$4-H685),"")</f>
        <v/>
      </c>
      <c r="Q685">
        <f>IFERROR(ABS(YEAR(J685)-YEAR('02_대상물건입력'!$B$14)),"")</f>
        <v/>
      </c>
      <c r="R685">
        <f>IF(AND(G685&gt;0,H685&gt;0,I685&gt;0,N685=1,IF('01_설정'!$B$10=1,K685=1,TRUE()),O685&lt;='01_설정'!$B$5,P685&lt;='01_설정'!$B$7,Q685&lt;='01_설정'!$B$8),"Y","")</f>
        <v/>
      </c>
      <c r="S685">
        <f>IF(R685&lt;&gt;"Y","",MAX(0,(1-O685/'01_설정'!$B$5))*'01_설정'!$B$14+MAX(0,(1-P685/'01_설정'!$B$7))*'01_설정'!$B$16+MAX(0,(1-Q685/'01_설정'!$B$8))*'01_설정'!$B$17+L685*'01_설정'!$B$11+M685*'01_설정'!$B$12+N685*50)</f>
        <v/>
      </c>
      <c r="T685">
        <f>IF(S685="","",1+COUNTIFS($S$31:$S$1030,"&gt;"&amp;S685)+COUNTIFS($S$31:S685,S685)-1)</f>
        <v/>
      </c>
    </row>
    <row r="686" hidden="1" ht="16.5" customHeight="1">
      <c r="A686">
        <f>IF(COUNTA('05_KAPA'!$A657:$AO657)=0,"",659)</f>
        <v/>
      </c>
      <c r="B686">
        <f>IF($A686="","",INDEX('05_KAPA'!$B:$B,$A686))</f>
        <v/>
      </c>
      <c r="C686">
        <f>IF($A686="","",INDEX('05_KAPA'!$F:$F,$A686))</f>
        <v/>
      </c>
      <c r="D686">
        <f>IF($A686="","",INDEX('05_KAPA'!$H:$H,$A686))</f>
        <v/>
      </c>
      <c r="E686">
        <f>IF($A686="","",INDEX('05_KAPA'!$K:$K,$A686))</f>
        <v/>
      </c>
      <c r="F686">
        <f>IF($A686="","",INDEX('05_KAPA'!$L:$L,$A686))</f>
        <v/>
      </c>
      <c r="G686">
        <f>IF($A686="","",INDEX('05_KAPA'!$I:$I,$A686))</f>
        <v/>
      </c>
      <c r="H686" s="202">
        <f>IF($A686="","",INDEX('05_KAPA'!$P:$P,$A686))</f>
        <v/>
      </c>
      <c r="I686" s="118">
        <f>IF($A686="","",INDEX('05_KAPA'!$O:$O,$A686))</f>
        <v/>
      </c>
      <c r="J686" s="202">
        <f>IF($A686="","",IFERROR(DATE(LEFT(TEXT(INDEX('05_KAPA'!$T:$T,$A686),"0"),4),MID(TEXT(INDEX('05_KAPA'!$T:$T,$A686),"0"),5,2),RIGHT(TEXT(INDEX('05_KAPA'!$T:$T,$A686),"0"),2)),""))</f>
        <v/>
      </c>
      <c r="K686">
        <f>IF(C686="","",IF('02_대상물건입력'!$B$5="",1,IF(ISNUMBER(SEARCH('02_대상물건입력'!$B$5,C686)),1,0)))</f>
        <v/>
      </c>
      <c r="L686">
        <f>IF(C686="","",IF('02_대상물건입력'!$B$6="",1,IF(ISNUMBER(SEARCH('02_대상물건입력'!$B$6,C686)),1,0)))</f>
        <v/>
      </c>
      <c r="M686">
        <f>IF(E686="","",IF('02_대상물건입력'!$B$8="",0,IF(ISNUMBER(SEARCH('02_대상물건입력'!$B$8,E686)),1,0)))</f>
        <v/>
      </c>
      <c r="N686">
        <f>IF(B686="","",IF(B686="담보",1,0))</f>
        <v/>
      </c>
      <c r="O686">
        <f>IFERROR(ABS(G686-'02_대상물건입력'!$B$11)/'02_대상물건입력'!$B$11,"")</f>
        <v/>
      </c>
      <c r="P686">
        <f>IFERROR(ABS('01_설정'!$B$4-H686),"")</f>
        <v/>
      </c>
      <c r="Q686">
        <f>IFERROR(ABS(YEAR(J686)-YEAR('02_대상물건입력'!$B$14)),"")</f>
        <v/>
      </c>
      <c r="R686">
        <f>IF(AND(G686&gt;0,H686&gt;0,I686&gt;0,N686=1,IF('01_설정'!$B$10=1,K686=1,TRUE()),O686&lt;='01_설정'!$B$5,P686&lt;='01_설정'!$B$7,Q686&lt;='01_설정'!$B$8),"Y","")</f>
        <v/>
      </c>
      <c r="S686">
        <f>IF(R686&lt;&gt;"Y","",MAX(0,(1-O686/'01_설정'!$B$5))*'01_설정'!$B$14+MAX(0,(1-P686/'01_설정'!$B$7))*'01_설정'!$B$16+MAX(0,(1-Q686/'01_설정'!$B$8))*'01_설정'!$B$17+L686*'01_설정'!$B$11+M686*'01_설정'!$B$12+N686*50)</f>
        <v/>
      </c>
      <c r="T686">
        <f>IF(S686="","",1+COUNTIFS($S$31:$S$1030,"&gt;"&amp;S686)+COUNTIFS($S$31:S686,S686)-1)</f>
        <v/>
      </c>
    </row>
    <row r="687" hidden="1" ht="16.5" customHeight="1">
      <c r="A687">
        <f>IF(COUNTA('05_KAPA'!$A658:$AO658)=0,"",660)</f>
        <v/>
      </c>
      <c r="B687">
        <f>IF($A687="","",INDEX('05_KAPA'!$B:$B,$A687))</f>
        <v/>
      </c>
      <c r="C687">
        <f>IF($A687="","",INDEX('05_KAPA'!$F:$F,$A687))</f>
        <v/>
      </c>
      <c r="D687">
        <f>IF($A687="","",INDEX('05_KAPA'!$H:$H,$A687))</f>
        <v/>
      </c>
      <c r="E687">
        <f>IF($A687="","",INDEX('05_KAPA'!$K:$K,$A687))</f>
        <v/>
      </c>
      <c r="F687">
        <f>IF($A687="","",INDEX('05_KAPA'!$L:$L,$A687))</f>
        <v/>
      </c>
      <c r="G687">
        <f>IF($A687="","",INDEX('05_KAPA'!$I:$I,$A687))</f>
        <v/>
      </c>
      <c r="H687" s="202">
        <f>IF($A687="","",INDEX('05_KAPA'!$P:$P,$A687))</f>
        <v/>
      </c>
      <c r="I687" s="118">
        <f>IF($A687="","",INDEX('05_KAPA'!$O:$O,$A687))</f>
        <v/>
      </c>
      <c r="J687" s="202">
        <f>IF($A687="","",IFERROR(DATE(LEFT(TEXT(INDEX('05_KAPA'!$T:$T,$A687),"0"),4),MID(TEXT(INDEX('05_KAPA'!$T:$T,$A687),"0"),5,2),RIGHT(TEXT(INDEX('05_KAPA'!$T:$T,$A687),"0"),2)),""))</f>
        <v/>
      </c>
      <c r="K687">
        <f>IF(C687="","",IF('02_대상물건입력'!$B$5="",1,IF(ISNUMBER(SEARCH('02_대상물건입력'!$B$5,C687)),1,0)))</f>
        <v/>
      </c>
      <c r="L687">
        <f>IF(C687="","",IF('02_대상물건입력'!$B$6="",1,IF(ISNUMBER(SEARCH('02_대상물건입력'!$B$6,C687)),1,0)))</f>
        <v/>
      </c>
      <c r="M687">
        <f>IF(E687="","",IF('02_대상물건입력'!$B$8="",0,IF(ISNUMBER(SEARCH('02_대상물건입력'!$B$8,E687)),1,0)))</f>
        <v/>
      </c>
      <c r="N687">
        <f>IF(B687="","",IF(B687="담보",1,0))</f>
        <v/>
      </c>
      <c r="O687">
        <f>IFERROR(ABS(G687-'02_대상물건입력'!$B$11)/'02_대상물건입력'!$B$11,"")</f>
        <v/>
      </c>
      <c r="P687">
        <f>IFERROR(ABS('01_설정'!$B$4-H687),"")</f>
        <v/>
      </c>
      <c r="Q687">
        <f>IFERROR(ABS(YEAR(J687)-YEAR('02_대상물건입력'!$B$14)),"")</f>
        <v/>
      </c>
      <c r="R687">
        <f>IF(AND(G687&gt;0,H687&gt;0,I687&gt;0,N687=1,IF('01_설정'!$B$10=1,K687=1,TRUE()),O687&lt;='01_설정'!$B$5,P687&lt;='01_설정'!$B$7,Q687&lt;='01_설정'!$B$8),"Y","")</f>
        <v/>
      </c>
      <c r="S687">
        <f>IF(R687&lt;&gt;"Y","",MAX(0,(1-O687/'01_설정'!$B$5))*'01_설정'!$B$14+MAX(0,(1-P687/'01_설정'!$B$7))*'01_설정'!$B$16+MAX(0,(1-Q687/'01_설정'!$B$8))*'01_설정'!$B$17+L687*'01_설정'!$B$11+M687*'01_설정'!$B$12+N687*50)</f>
        <v/>
      </c>
      <c r="T687">
        <f>IF(S687="","",1+COUNTIFS($S$31:$S$1030,"&gt;"&amp;S687)+COUNTIFS($S$31:S687,S687)-1)</f>
        <v/>
      </c>
    </row>
    <row r="688" hidden="1" ht="16.5" customHeight="1">
      <c r="A688">
        <f>IF(COUNTA('05_KAPA'!$A659:$AO659)=0,"",661)</f>
        <v/>
      </c>
      <c r="B688">
        <f>IF($A688="","",INDEX('05_KAPA'!$B:$B,$A688))</f>
        <v/>
      </c>
      <c r="C688">
        <f>IF($A688="","",INDEX('05_KAPA'!$F:$F,$A688))</f>
        <v/>
      </c>
      <c r="D688">
        <f>IF($A688="","",INDEX('05_KAPA'!$H:$H,$A688))</f>
        <v/>
      </c>
      <c r="E688">
        <f>IF($A688="","",INDEX('05_KAPA'!$K:$K,$A688))</f>
        <v/>
      </c>
      <c r="F688">
        <f>IF($A688="","",INDEX('05_KAPA'!$L:$L,$A688))</f>
        <v/>
      </c>
      <c r="G688">
        <f>IF($A688="","",INDEX('05_KAPA'!$I:$I,$A688))</f>
        <v/>
      </c>
      <c r="H688" s="202">
        <f>IF($A688="","",INDEX('05_KAPA'!$P:$P,$A688))</f>
        <v/>
      </c>
      <c r="I688" s="118">
        <f>IF($A688="","",INDEX('05_KAPA'!$O:$O,$A688))</f>
        <v/>
      </c>
      <c r="J688" s="202">
        <f>IF($A688="","",IFERROR(DATE(LEFT(TEXT(INDEX('05_KAPA'!$T:$T,$A688),"0"),4),MID(TEXT(INDEX('05_KAPA'!$T:$T,$A688),"0"),5,2),RIGHT(TEXT(INDEX('05_KAPA'!$T:$T,$A688),"0"),2)),""))</f>
        <v/>
      </c>
      <c r="K688">
        <f>IF(C688="","",IF('02_대상물건입력'!$B$5="",1,IF(ISNUMBER(SEARCH('02_대상물건입력'!$B$5,C688)),1,0)))</f>
        <v/>
      </c>
      <c r="L688">
        <f>IF(C688="","",IF('02_대상물건입력'!$B$6="",1,IF(ISNUMBER(SEARCH('02_대상물건입력'!$B$6,C688)),1,0)))</f>
        <v/>
      </c>
      <c r="M688">
        <f>IF(E688="","",IF('02_대상물건입력'!$B$8="",0,IF(ISNUMBER(SEARCH('02_대상물건입력'!$B$8,E688)),1,0)))</f>
        <v/>
      </c>
      <c r="N688">
        <f>IF(B688="","",IF(B688="담보",1,0))</f>
        <v/>
      </c>
      <c r="O688">
        <f>IFERROR(ABS(G688-'02_대상물건입력'!$B$11)/'02_대상물건입력'!$B$11,"")</f>
        <v/>
      </c>
      <c r="P688">
        <f>IFERROR(ABS('01_설정'!$B$4-H688),"")</f>
        <v/>
      </c>
      <c r="Q688">
        <f>IFERROR(ABS(YEAR(J688)-YEAR('02_대상물건입력'!$B$14)),"")</f>
        <v/>
      </c>
      <c r="R688">
        <f>IF(AND(G688&gt;0,H688&gt;0,I688&gt;0,N688=1,IF('01_설정'!$B$10=1,K688=1,TRUE()),O688&lt;='01_설정'!$B$5,P688&lt;='01_설정'!$B$7,Q688&lt;='01_설정'!$B$8),"Y","")</f>
        <v/>
      </c>
      <c r="S688">
        <f>IF(R688&lt;&gt;"Y","",MAX(0,(1-O688/'01_설정'!$B$5))*'01_설정'!$B$14+MAX(0,(1-P688/'01_설정'!$B$7))*'01_설정'!$B$16+MAX(0,(1-Q688/'01_설정'!$B$8))*'01_설정'!$B$17+L688*'01_설정'!$B$11+M688*'01_설정'!$B$12+N688*50)</f>
        <v/>
      </c>
      <c r="T688">
        <f>IF(S688="","",1+COUNTIFS($S$31:$S$1030,"&gt;"&amp;S688)+COUNTIFS($S$31:S688,S688)-1)</f>
        <v/>
      </c>
    </row>
    <row r="689" hidden="1" ht="16.5" customHeight="1">
      <c r="A689">
        <f>IF(COUNTA('05_KAPA'!$A660:$AO660)=0,"",662)</f>
        <v/>
      </c>
      <c r="B689">
        <f>IF($A689="","",INDEX('05_KAPA'!$B:$B,$A689))</f>
        <v/>
      </c>
      <c r="C689">
        <f>IF($A689="","",INDEX('05_KAPA'!$F:$F,$A689))</f>
        <v/>
      </c>
      <c r="D689">
        <f>IF($A689="","",INDEX('05_KAPA'!$H:$H,$A689))</f>
        <v/>
      </c>
      <c r="E689">
        <f>IF($A689="","",INDEX('05_KAPA'!$K:$K,$A689))</f>
        <v/>
      </c>
      <c r="F689">
        <f>IF($A689="","",INDEX('05_KAPA'!$L:$L,$A689))</f>
        <v/>
      </c>
      <c r="G689">
        <f>IF($A689="","",INDEX('05_KAPA'!$I:$I,$A689))</f>
        <v/>
      </c>
      <c r="H689" s="202">
        <f>IF($A689="","",INDEX('05_KAPA'!$P:$P,$A689))</f>
        <v/>
      </c>
      <c r="I689" s="118">
        <f>IF($A689="","",INDEX('05_KAPA'!$O:$O,$A689))</f>
        <v/>
      </c>
      <c r="J689" s="202">
        <f>IF($A689="","",IFERROR(DATE(LEFT(TEXT(INDEX('05_KAPA'!$T:$T,$A689),"0"),4),MID(TEXT(INDEX('05_KAPA'!$T:$T,$A689),"0"),5,2),RIGHT(TEXT(INDEX('05_KAPA'!$T:$T,$A689),"0"),2)),""))</f>
        <v/>
      </c>
      <c r="K689">
        <f>IF(C689="","",IF('02_대상물건입력'!$B$5="",1,IF(ISNUMBER(SEARCH('02_대상물건입력'!$B$5,C689)),1,0)))</f>
        <v/>
      </c>
      <c r="L689">
        <f>IF(C689="","",IF('02_대상물건입력'!$B$6="",1,IF(ISNUMBER(SEARCH('02_대상물건입력'!$B$6,C689)),1,0)))</f>
        <v/>
      </c>
      <c r="M689">
        <f>IF(E689="","",IF('02_대상물건입력'!$B$8="",0,IF(ISNUMBER(SEARCH('02_대상물건입력'!$B$8,E689)),1,0)))</f>
        <v/>
      </c>
      <c r="N689">
        <f>IF(B689="","",IF(B689="담보",1,0))</f>
        <v/>
      </c>
      <c r="O689">
        <f>IFERROR(ABS(G689-'02_대상물건입력'!$B$11)/'02_대상물건입력'!$B$11,"")</f>
        <v/>
      </c>
      <c r="P689">
        <f>IFERROR(ABS('01_설정'!$B$4-H689),"")</f>
        <v/>
      </c>
      <c r="Q689">
        <f>IFERROR(ABS(YEAR(J689)-YEAR('02_대상물건입력'!$B$14)),"")</f>
        <v/>
      </c>
      <c r="R689">
        <f>IF(AND(G689&gt;0,H689&gt;0,I689&gt;0,N689=1,IF('01_설정'!$B$10=1,K689=1,TRUE()),O689&lt;='01_설정'!$B$5,P689&lt;='01_설정'!$B$7,Q689&lt;='01_설정'!$B$8),"Y","")</f>
        <v/>
      </c>
      <c r="S689">
        <f>IF(R689&lt;&gt;"Y","",MAX(0,(1-O689/'01_설정'!$B$5))*'01_설정'!$B$14+MAX(0,(1-P689/'01_설정'!$B$7))*'01_설정'!$B$16+MAX(0,(1-Q689/'01_설정'!$B$8))*'01_설정'!$B$17+L689*'01_설정'!$B$11+M689*'01_설정'!$B$12+N689*50)</f>
        <v/>
      </c>
      <c r="T689">
        <f>IF(S689="","",1+COUNTIFS($S$31:$S$1030,"&gt;"&amp;S689)+COUNTIFS($S$31:S689,S689)-1)</f>
        <v/>
      </c>
    </row>
    <row r="690" hidden="1" ht="16.5" customHeight="1">
      <c r="A690">
        <f>IF(COUNTA('05_KAPA'!$A661:$AO661)=0,"",663)</f>
        <v/>
      </c>
      <c r="B690">
        <f>IF($A690="","",INDEX('05_KAPA'!$B:$B,$A690))</f>
        <v/>
      </c>
      <c r="C690">
        <f>IF($A690="","",INDEX('05_KAPA'!$F:$F,$A690))</f>
        <v/>
      </c>
      <c r="D690">
        <f>IF($A690="","",INDEX('05_KAPA'!$H:$H,$A690))</f>
        <v/>
      </c>
      <c r="E690">
        <f>IF($A690="","",INDEX('05_KAPA'!$K:$K,$A690))</f>
        <v/>
      </c>
      <c r="F690">
        <f>IF($A690="","",INDEX('05_KAPA'!$L:$L,$A690))</f>
        <v/>
      </c>
      <c r="G690">
        <f>IF($A690="","",INDEX('05_KAPA'!$I:$I,$A690))</f>
        <v/>
      </c>
      <c r="H690" s="202">
        <f>IF($A690="","",INDEX('05_KAPA'!$P:$P,$A690))</f>
        <v/>
      </c>
      <c r="I690" s="118">
        <f>IF($A690="","",INDEX('05_KAPA'!$O:$O,$A690))</f>
        <v/>
      </c>
      <c r="J690" s="202">
        <f>IF($A690="","",IFERROR(DATE(LEFT(TEXT(INDEX('05_KAPA'!$T:$T,$A690),"0"),4),MID(TEXT(INDEX('05_KAPA'!$T:$T,$A690),"0"),5,2),RIGHT(TEXT(INDEX('05_KAPA'!$T:$T,$A690),"0"),2)),""))</f>
        <v/>
      </c>
      <c r="K690">
        <f>IF(C690="","",IF('02_대상물건입력'!$B$5="",1,IF(ISNUMBER(SEARCH('02_대상물건입력'!$B$5,C690)),1,0)))</f>
        <v/>
      </c>
      <c r="L690">
        <f>IF(C690="","",IF('02_대상물건입력'!$B$6="",1,IF(ISNUMBER(SEARCH('02_대상물건입력'!$B$6,C690)),1,0)))</f>
        <v/>
      </c>
      <c r="M690">
        <f>IF(E690="","",IF('02_대상물건입력'!$B$8="",0,IF(ISNUMBER(SEARCH('02_대상물건입력'!$B$8,E690)),1,0)))</f>
        <v/>
      </c>
      <c r="N690">
        <f>IF(B690="","",IF(B690="담보",1,0))</f>
        <v/>
      </c>
      <c r="O690">
        <f>IFERROR(ABS(G690-'02_대상물건입력'!$B$11)/'02_대상물건입력'!$B$11,"")</f>
        <v/>
      </c>
      <c r="P690">
        <f>IFERROR(ABS('01_설정'!$B$4-H690),"")</f>
        <v/>
      </c>
      <c r="Q690">
        <f>IFERROR(ABS(YEAR(J690)-YEAR('02_대상물건입력'!$B$14)),"")</f>
        <v/>
      </c>
      <c r="R690">
        <f>IF(AND(G690&gt;0,H690&gt;0,I690&gt;0,N690=1,IF('01_설정'!$B$10=1,K690=1,TRUE()),O690&lt;='01_설정'!$B$5,P690&lt;='01_설정'!$B$7,Q690&lt;='01_설정'!$B$8),"Y","")</f>
        <v/>
      </c>
      <c r="S690">
        <f>IF(R690&lt;&gt;"Y","",MAX(0,(1-O690/'01_설정'!$B$5))*'01_설정'!$B$14+MAX(0,(1-P690/'01_설정'!$B$7))*'01_설정'!$B$16+MAX(0,(1-Q690/'01_설정'!$B$8))*'01_설정'!$B$17+L690*'01_설정'!$B$11+M690*'01_설정'!$B$12+N690*50)</f>
        <v/>
      </c>
      <c r="T690">
        <f>IF(S690="","",1+COUNTIFS($S$31:$S$1030,"&gt;"&amp;S690)+COUNTIFS($S$31:S690,S690)-1)</f>
        <v/>
      </c>
    </row>
    <row r="691" hidden="1" ht="16.5" customHeight="1">
      <c r="A691">
        <f>IF(COUNTA('05_KAPA'!$A662:$AO662)=0,"",664)</f>
        <v/>
      </c>
      <c r="B691">
        <f>IF($A691="","",INDEX('05_KAPA'!$B:$B,$A691))</f>
        <v/>
      </c>
      <c r="C691">
        <f>IF($A691="","",INDEX('05_KAPA'!$F:$F,$A691))</f>
        <v/>
      </c>
      <c r="D691">
        <f>IF($A691="","",INDEX('05_KAPA'!$H:$H,$A691))</f>
        <v/>
      </c>
      <c r="E691">
        <f>IF($A691="","",INDEX('05_KAPA'!$K:$K,$A691))</f>
        <v/>
      </c>
      <c r="F691">
        <f>IF($A691="","",INDEX('05_KAPA'!$L:$L,$A691))</f>
        <v/>
      </c>
      <c r="G691">
        <f>IF($A691="","",INDEX('05_KAPA'!$I:$I,$A691))</f>
        <v/>
      </c>
      <c r="H691" s="202">
        <f>IF($A691="","",INDEX('05_KAPA'!$P:$P,$A691))</f>
        <v/>
      </c>
      <c r="I691" s="118">
        <f>IF($A691="","",INDEX('05_KAPA'!$O:$O,$A691))</f>
        <v/>
      </c>
      <c r="J691" s="202">
        <f>IF($A691="","",IFERROR(DATE(LEFT(TEXT(INDEX('05_KAPA'!$T:$T,$A691),"0"),4),MID(TEXT(INDEX('05_KAPA'!$T:$T,$A691),"0"),5,2),RIGHT(TEXT(INDEX('05_KAPA'!$T:$T,$A691),"0"),2)),""))</f>
        <v/>
      </c>
      <c r="K691">
        <f>IF(C691="","",IF('02_대상물건입력'!$B$5="",1,IF(ISNUMBER(SEARCH('02_대상물건입력'!$B$5,C691)),1,0)))</f>
        <v/>
      </c>
      <c r="L691">
        <f>IF(C691="","",IF('02_대상물건입력'!$B$6="",1,IF(ISNUMBER(SEARCH('02_대상물건입력'!$B$6,C691)),1,0)))</f>
        <v/>
      </c>
      <c r="M691">
        <f>IF(E691="","",IF('02_대상물건입력'!$B$8="",0,IF(ISNUMBER(SEARCH('02_대상물건입력'!$B$8,E691)),1,0)))</f>
        <v/>
      </c>
      <c r="N691">
        <f>IF(B691="","",IF(B691="담보",1,0))</f>
        <v/>
      </c>
      <c r="O691">
        <f>IFERROR(ABS(G691-'02_대상물건입력'!$B$11)/'02_대상물건입력'!$B$11,"")</f>
        <v/>
      </c>
      <c r="P691">
        <f>IFERROR(ABS('01_설정'!$B$4-H691),"")</f>
        <v/>
      </c>
      <c r="Q691">
        <f>IFERROR(ABS(YEAR(J691)-YEAR('02_대상물건입력'!$B$14)),"")</f>
        <v/>
      </c>
      <c r="R691">
        <f>IF(AND(G691&gt;0,H691&gt;0,I691&gt;0,N691=1,IF('01_설정'!$B$10=1,K691=1,TRUE()),O691&lt;='01_설정'!$B$5,P691&lt;='01_설정'!$B$7,Q691&lt;='01_설정'!$B$8),"Y","")</f>
        <v/>
      </c>
      <c r="S691">
        <f>IF(R691&lt;&gt;"Y","",MAX(0,(1-O691/'01_설정'!$B$5))*'01_설정'!$B$14+MAX(0,(1-P691/'01_설정'!$B$7))*'01_설정'!$B$16+MAX(0,(1-Q691/'01_설정'!$B$8))*'01_설정'!$B$17+L691*'01_설정'!$B$11+M691*'01_설정'!$B$12+N691*50)</f>
        <v/>
      </c>
      <c r="T691">
        <f>IF(S691="","",1+COUNTIFS($S$31:$S$1030,"&gt;"&amp;S691)+COUNTIFS($S$31:S691,S691)-1)</f>
        <v/>
      </c>
    </row>
    <row r="692" hidden="1" ht="16.5" customHeight="1">
      <c r="A692">
        <f>IF(COUNTA('05_KAPA'!$A663:$AO663)=0,"",665)</f>
        <v/>
      </c>
      <c r="B692">
        <f>IF($A692="","",INDEX('05_KAPA'!$B:$B,$A692))</f>
        <v/>
      </c>
      <c r="C692">
        <f>IF($A692="","",INDEX('05_KAPA'!$F:$F,$A692))</f>
        <v/>
      </c>
      <c r="D692">
        <f>IF($A692="","",INDEX('05_KAPA'!$H:$H,$A692))</f>
        <v/>
      </c>
      <c r="E692">
        <f>IF($A692="","",INDEX('05_KAPA'!$K:$K,$A692))</f>
        <v/>
      </c>
      <c r="F692">
        <f>IF($A692="","",INDEX('05_KAPA'!$L:$L,$A692))</f>
        <v/>
      </c>
      <c r="G692">
        <f>IF($A692="","",INDEX('05_KAPA'!$I:$I,$A692))</f>
        <v/>
      </c>
      <c r="H692" s="202">
        <f>IF($A692="","",INDEX('05_KAPA'!$P:$P,$A692))</f>
        <v/>
      </c>
      <c r="I692" s="118">
        <f>IF($A692="","",INDEX('05_KAPA'!$O:$O,$A692))</f>
        <v/>
      </c>
      <c r="J692" s="202">
        <f>IF($A692="","",IFERROR(DATE(LEFT(TEXT(INDEX('05_KAPA'!$T:$T,$A692),"0"),4),MID(TEXT(INDEX('05_KAPA'!$T:$T,$A692),"0"),5,2),RIGHT(TEXT(INDEX('05_KAPA'!$T:$T,$A692),"0"),2)),""))</f>
        <v/>
      </c>
      <c r="K692">
        <f>IF(C692="","",IF('02_대상물건입력'!$B$5="",1,IF(ISNUMBER(SEARCH('02_대상물건입력'!$B$5,C692)),1,0)))</f>
        <v/>
      </c>
      <c r="L692">
        <f>IF(C692="","",IF('02_대상물건입력'!$B$6="",1,IF(ISNUMBER(SEARCH('02_대상물건입력'!$B$6,C692)),1,0)))</f>
        <v/>
      </c>
      <c r="M692">
        <f>IF(E692="","",IF('02_대상물건입력'!$B$8="",0,IF(ISNUMBER(SEARCH('02_대상물건입력'!$B$8,E692)),1,0)))</f>
        <v/>
      </c>
      <c r="N692">
        <f>IF(B692="","",IF(B692="담보",1,0))</f>
        <v/>
      </c>
      <c r="O692">
        <f>IFERROR(ABS(G692-'02_대상물건입력'!$B$11)/'02_대상물건입력'!$B$11,"")</f>
        <v/>
      </c>
      <c r="P692">
        <f>IFERROR(ABS('01_설정'!$B$4-H692),"")</f>
        <v/>
      </c>
      <c r="Q692">
        <f>IFERROR(ABS(YEAR(J692)-YEAR('02_대상물건입력'!$B$14)),"")</f>
        <v/>
      </c>
      <c r="R692">
        <f>IF(AND(G692&gt;0,H692&gt;0,I692&gt;0,N692=1,IF('01_설정'!$B$10=1,K692=1,TRUE()),O692&lt;='01_설정'!$B$5,P692&lt;='01_설정'!$B$7,Q692&lt;='01_설정'!$B$8),"Y","")</f>
        <v/>
      </c>
      <c r="S692">
        <f>IF(R692&lt;&gt;"Y","",MAX(0,(1-O692/'01_설정'!$B$5))*'01_설정'!$B$14+MAX(0,(1-P692/'01_설정'!$B$7))*'01_설정'!$B$16+MAX(0,(1-Q692/'01_설정'!$B$8))*'01_설정'!$B$17+L692*'01_설정'!$B$11+M692*'01_설정'!$B$12+N692*50)</f>
        <v/>
      </c>
      <c r="T692">
        <f>IF(S692="","",1+COUNTIFS($S$31:$S$1030,"&gt;"&amp;S692)+COUNTIFS($S$31:S692,S692)-1)</f>
        <v/>
      </c>
    </row>
    <row r="693" hidden="1" ht="16.5" customHeight="1">
      <c r="A693">
        <f>IF(COUNTA('05_KAPA'!$A664:$AO664)=0,"",666)</f>
        <v/>
      </c>
      <c r="B693">
        <f>IF($A693="","",INDEX('05_KAPA'!$B:$B,$A693))</f>
        <v/>
      </c>
      <c r="C693">
        <f>IF($A693="","",INDEX('05_KAPA'!$F:$F,$A693))</f>
        <v/>
      </c>
      <c r="D693">
        <f>IF($A693="","",INDEX('05_KAPA'!$H:$H,$A693))</f>
        <v/>
      </c>
      <c r="E693">
        <f>IF($A693="","",INDEX('05_KAPA'!$K:$K,$A693))</f>
        <v/>
      </c>
      <c r="F693">
        <f>IF($A693="","",INDEX('05_KAPA'!$L:$L,$A693))</f>
        <v/>
      </c>
      <c r="G693">
        <f>IF($A693="","",INDEX('05_KAPA'!$I:$I,$A693))</f>
        <v/>
      </c>
      <c r="H693" s="202">
        <f>IF($A693="","",INDEX('05_KAPA'!$P:$P,$A693))</f>
        <v/>
      </c>
      <c r="I693" s="118">
        <f>IF($A693="","",INDEX('05_KAPA'!$O:$O,$A693))</f>
        <v/>
      </c>
      <c r="J693" s="202">
        <f>IF($A693="","",IFERROR(DATE(LEFT(TEXT(INDEX('05_KAPA'!$T:$T,$A693),"0"),4),MID(TEXT(INDEX('05_KAPA'!$T:$T,$A693),"0"),5,2),RIGHT(TEXT(INDEX('05_KAPA'!$T:$T,$A693),"0"),2)),""))</f>
        <v/>
      </c>
      <c r="K693">
        <f>IF(C693="","",IF('02_대상물건입력'!$B$5="",1,IF(ISNUMBER(SEARCH('02_대상물건입력'!$B$5,C693)),1,0)))</f>
        <v/>
      </c>
      <c r="L693">
        <f>IF(C693="","",IF('02_대상물건입력'!$B$6="",1,IF(ISNUMBER(SEARCH('02_대상물건입력'!$B$6,C693)),1,0)))</f>
        <v/>
      </c>
      <c r="M693">
        <f>IF(E693="","",IF('02_대상물건입력'!$B$8="",0,IF(ISNUMBER(SEARCH('02_대상물건입력'!$B$8,E693)),1,0)))</f>
        <v/>
      </c>
      <c r="N693">
        <f>IF(B693="","",IF(B693="담보",1,0))</f>
        <v/>
      </c>
      <c r="O693">
        <f>IFERROR(ABS(G693-'02_대상물건입력'!$B$11)/'02_대상물건입력'!$B$11,"")</f>
        <v/>
      </c>
      <c r="P693">
        <f>IFERROR(ABS('01_설정'!$B$4-H693),"")</f>
        <v/>
      </c>
      <c r="Q693">
        <f>IFERROR(ABS(YEAR(J693)-YEAR('02_대상물건입력'!$B$14)),"")</f>
        <v/>
      </c>
      <c r="R693">
        <f>IF(AND(G693&gt;0,H693&gt;0,I693&gt;0,N693=1,IF('01_설정'!$B$10=1,K693=1,TRUE()),O693&lt;='01_설정'!$B$5,P693&lt;='01_설정'!$B$7,Q693&lt;='01_설정'!$B$8),"Y","")</f>
        <v/>
      </c>
      <c r="S693">
        <f>IF(R693&lt;&gt;"Y","",MAX(0,(1-O693/'01_설정'!$B$5))*'01_설정'!$B$14+MAX(0,(1-P693/'01_설정'!$B$7))*'01_설정'!$B$16+MAX(0,(1-Q693/'01_설정'!$B$8))*'01_설정'!$B$17+L693*'01_설정'!$B$11+M693*'01_설정'!$B$12+N693*50)</f>
        <v/>
      </c>
      <c r="T693">
        <f>IF(S693="","",1+COUNTIFS($S$31:$S$1030,"&gt;"&amp;S693)+COUNTIFS($S$31:S693,S693)-1)</f>
        <v/>
      </c>
    </row>
    <row r="694" hidden="1" ht="16.5" customHeight="1">
      <c r="A694">
        <f>IF(COUNTA('05_KAPA'!$A665:$AO665)=0,"",667)</f>
        <v/>
      </c>
      <c r="B694">
        <f>IF($A694="","",INDEX('05_KAPA'!$B:$B,$A694))</f>
        <v/>
      </c>
      <c r="C694">
        <f>IF($A694="","",INDEX('05_KAPA'!$F:$F,$A694))</f>
        <v/>
      </c>
      <c r="D694">
        <f>IF($A694="","",INDEX('05_KAPA'!$H:$H,$A694))</f>
        <v/>
      </c>
      <c r="E694">
        <f>IF($A694="","",INDEX('05_KAPA'!$K:$K,$A694))</f>
        <v/>
      </c>
      <c r="F694">
        <f>IF($A694="","",INDEX('05_KAPA'!$L:$L,$A694))</f>
        <v/>
      </c>
      <c r="G694">
        <f>IF($A694="","",INDEX('05_KAPA'!$I:$I,$A694))</f>
        <v/>
      </c>
      <c r="H694" s="202">
        <f>IF($A694="","",INDEX('05_KAPA'!$P:$P,$A694))</f>
        <v/>
      </c>
      <c r="I694" s="118">
        <f>IF($A694="","",INDEX('05_KAPA'!$O:$O,$A694))</f>
        <v/>
      </c>
      <c r="J694" s="202">
        <f>IF($A694="","",IFERROR(DATE(LEFT(TEXT(INDEX('05_KAPA'!$T:$T,$A694),"0"),4),MID(TEXT(INDEX('05_KAPA'!$T:$T,$A694),"0"),5,2),RIGHT(TEXT(INDEX('05_KAPA'!$T:$T,$A694),"0"),2)),""))</f>
        <v/>
      </c>
      <c r="K694">
        <f>IF(C694="","",IF('02_대상물건입력'!$B$5="",1,IF(ISNUMBER(SEARCH('02_대상물건입력'!$B$5,C694)),1,0)))</f>
        <v/>
      </c>
      <c r="L694">
        <f>IF(C694="","",IF('02_대상물건입력'!$B$6="",1,IF(ISNUMBER(SEARCH('02_대상물건입력'!$B$6,C694)),1,0)))</f>
        <v/>
      </c>
      <c r="M694">
        <f>IF(E694="","",IF('02_대상물건입력'!$B$8="",0,IF(ISNUMBER(SEARCH('02_대상물건입력'!$B$8,E694)),1,0)))</f>
        <v/>
      </c>
      <c r="N694">
        <f>IF(B694="","",IF(B694="담보",1,0))</f>
        <v/>
      </c>
      <c r="O694">
        <f>IFERROR(ABS(G694-'02_대상물건입력'!$B$11)/'02_대상물건입력'!$B$11,"")</f>
        <v/>
      </c>
      <c r="P694">
        <f>IFERROR(ABS('01_설정'!$B$4-H694),"")</f>
        <v/>
      </c>
      <c r="Q694">
        <f>IFERROR(ABS(YEAR(J694)-YEAR('02_대상물건입력'!$B$14)),"")</f>
        <v/>
      </c>
      <c r="R694">
        <f>IF(AND(G694&gt;0,H694&gt;0,I694&gt;0,N694=1,IF('01_설정'!$B$10=1,K694=1,TRUE()),O694&lt;='01_설정'!$B$5,P694&lt;='01_설정'!$B$7,Q694&lt;='01_설정'!$B$8),"Y","")</f>
        <v/>
      </c>
      <c r="S694">
        <f>IF(R694&lt;&gt;"Y","",MAX(0,(1-O694/'01_설정'!$B$5))*'01_설정'!$B$14+MAX(0,(1-P694/'01_설정'!$B$7))*'01_설정'!$B$16+MAX(0,(1-Q694/'01_설정'!$B$8))*'01_설정'!$B$17+L694*'01_설정'!$B$11+M694*'01_설정'!$B$12+N694*50)</f>
        <v/>
      </c>
      <c r="T694">
        <f>IF(S694="","",1+COUNTIFS($S$31:$S$1030,"&gt;"&amp;S694)+COUNTIFS($S$31:S694,S694)-1)</f>
        <v/>
      </c>
    </row>
    <row r="695" hidden="1" ht="16.5" customHeight="1">
      <c r="A695">
        <f>IF(COUNTA('05_KAPA'!$A666:$AO666)=0,"",668)</f>
        <v/>
      </c>
      <c r="B695">
        <f>IF($A695="","",INDEX('05_KAPA'!$B:$B,$A695))</f>
        <v/>
      </c>
      <c r="C695">
        <f>IF($A695="","",INDEX('05_KAPA'!$F:$F,$A695))</f>
        <v/>
      </c>
      <c r="D695">
        <f>IF($A695="","",INDEX('05_KAPA'!$H:$H,$A695))</f>
        <v/>
      </c>
      <c r="E695">
        <f>IF($A695="","",INDEX('05_KAPA'!$K:$K,$A695))</f>
        <v/>
      </c>
      <c r="F695">
        <f>IF($A695="","",INDEX('05_KAPA'!$L:$L,$A695))</f>
        <v/>
      </c>
      <c r="G695">
        <f>IF($A695="","",INDEX('05_KAPA'!$I:$I,$A695))</f>
        <v/>
      </c>
      <c r="H695" s="202">
        <f>IF($A695="","",INDEX('05_KAPA'!$P:$P,$A695))</f>
        <v/>
      </c>
      <c r="I695" s="118">
        <f>IF($A695="","",INDEX('05_KAPA'!$O:$O,$A695))</f>
        <v/>
      </c>
      <c r="J695" s="202">
        <f>IF($A695="","",IFERROR(DATE(LEFT(TEXT(INDEX('05_KAPA'!$T:$T,$A695),"0"),4),MID(TEXT(INDEX('05_KAPA'!$T:$T,$A695),"0"),5,2),RIGHT(TEXT(INDEX('05_KAPA'!$T:$T,$A695),"0"),2)),""))</f>
        <v/>
      </c>
      <c r="K695">
        <f>IF(C695="","",IF('02_대상물건입력'!$B$5="",1,IF(ISNUMBER(SEARCH('02_대상물건입력'!$B$5,C695)),1,0)))</f>
        <v/>
      </c>
      <c r="L695">
        <f>IF(C695="","",IF('02_대상물건입력'!$B$6="",1,IF(ISNUMBER(SEARCH('02_대상물건입력'!$B$6,C695)),1,0)))</f>
        <v/>
      </c>
      <c r="M695">
        <f>IF(E695="","",IF('02_대상물건입력'!$B$8="",0,IF(ISNUMBER(SEARCH('02_대상물건입력'!$B$8,E695)),1,0)))</f>
        <v/>
      </c>
      <c r="N695">
        <f>IF(B695="","",IF(B695="담보",1,0))</f>
        <v/>
      </c>
      <c r="O695">
        <f>IFERROR(ABS(G695-'02_대상물건입력'!$B$11)/'02_대상물건입력'!$B$11,"")</f>
        <v/>
      </c>
      <c r="P695">
        <f>IFERROR(ABS('01_설정'!$B$4-H695),"")</f>
        <v/>
      </c>
      <c r="Q695">
        <f>IFERROR(ABS(YEAR(J695)-YEAR('02_대상물건입력'!$B$14)),"")</f>
        <v/>
      </c>
      <c r="R695">
        <f>IF(AND(G695&gt;0,H695&gt;0,I695&gt;0,N695=1,IF('01_설정'!$B$10=1,K695=1,TRUE()),O695&lt;='01_설정'!$B$5,P695&lt;='01_설정'!$B$7,Q695&lt;='01_설정'!$B$8),"Y","")</f>
        <v/>
      </c>
      <c r="S695">
        <f>IF(R695&lt;&gt;"Y","",MAX(0,(1-O695/'01_설정'!$B$5))*'01_설정'!$B$14+MAX(0,(1-P695/'01_설정'!$B$7))*'01_설정'!$B$16+MAX(0,(1-Q695/'01_설정'!$B$8))*'01_설정'!$B$17+L695*'01_설정'!$B$11+M695*'01_설정'!$B$12+N695*50)</f>
        <v/>
      </c>
      <c r="T695">
        <f>IF(S695="","",1+COUNTIFS($S$31:$S$1030,"&gt;"&amp;S695)+COUNTIFS($S$31:S695,S695)-1)</f>
        <v/>
      </c>
    </row>
    <row r="696" hidden="1" ht="16.5" customHeight="1">
      <c r="A696">
        <f>IF(COUNTA('05_KAPA'!$A667:$AO667)=0,"",669)</f>
        <v/>
      </c>
      <c r="B696">
        <f>IF($A696="","",INDEX('05_KAPA'!$B:$B,$A696))</f>
        <v/>
      </c>
      <c r="C696">
        <f>IF($A696="","",INDEX('05_KAPA'!$F:$F,$A696))</f>
        <v/>
      </c>
      <c r="D696">
        <f>IF($A696="","",INDEX('05_KAPA'!$H:$H,$A696))</f>
        <v/>
      </c>
      <c r="E696">
        <f>IF($A696="","",INDEX('05_KAPA'!$K:$K,$A696))</f>
        <v/>
      </c>
      <c r="F696">
        <f>IF($A696="","",INDEX('05_KAPA'!$L:$L,$A696))</f>
        <v/>
      </c>
      <c r="G696">
        <f>IF($A696="","",INDEX('05_KAPA'!$I:$I,$A696))</f>
        <v/>
      </c>
      <c r="H696" s="202">
        <f>IF($A696="","",INDEX('05_KAPA'!$P:$P,$A696))</f>
        <v/>
      </c>
      <c r="I696" s="118">
        <f>IF($A696="","",INDEX('05_KAPA'!$O:$O,$A696))</f>
        <v/>
      </c>
      <c r="J696" s="202">
        <f>IF($A696="","",IFERROR(DATE(LEFT(TEXT(INDEX('05_KAPA'!$T:$T,$A696),"0"),4),MID(TEXT(INDEX('05_KAPA'!$T:$T,$A696),"0"),5,2),RIGHT(TEXT(INDEX('05_KAPA'!$T:$T,$A696),"0"),2)),""))</f>
        <v/>
      </c>
      <c r="K696">
        <f>IF(C696="","",IF('02_대상물건입력'!$B$5="",1,IF(ISNUMBER(SEARCH('02_대상물건입력'!$B$5,C696)),1,0)))</f>
        <v/>
      </c>
      <c r="L696">
        <f>IF(C696="","",IF('02_대상물건입력'!$B$6="",1,IF(ISNUMBER(SEARCH('02_대상물건입력'!$B$6,C696)),1,0)))</f>
        <v/>
      </c>
      <c r="M696">
        <f>IF(E696="","",IF('02_대상물건입력'!$B$8="",0,IF(ISNUMBER(SEARCH('02_대상물건입력'!$B$8,E696)),1,0)))</f>
        <v/>
      </c>
      <c r="N696">
        <f>IF(B696="","",IF(B696="담보",1,0))</f>
        <v/>
      </c>
      <c r="O696">
        <f>IFERROR(ABS(G696-'02_대상물건입력'!$B$11)/'02_대상물건입력'!$B$11,"")</f>
        <v/>
      </c>
      <c r="P696">
        <f>IFERROR(ABS('01_설정'!$B$4-H696),"")</f>
        <v/>
      </c>
      <c r="Q696">
        <f>IFERROR(ABS(YEAR(J696)-YEAR('02_대상물건입력'!$B$14)),"")</f>
        <v/>
      </c>
      <c r="R696">
        <f>IF(AND(G696&gt;0,H696&gt;0,I696&gt;0,N696=1,IF('01_설정'!$B$10=1,K696=1,TRUE()),O696&lt;='01_설정'!$B$5,P696&lt;='01_설정'!$B$7,Q696&lt;='01_설정'!$B$8),"Y","")</f>
        <v/>
      </c>
      <c r="S696">
        <f>IF(R696&lt;&gt;"Y","",MAX(0,(1-O696/'01_설정'!$B$5))*'01_설정'!$B$14+MAX(0,(1-P696/'01_설정'!$B$7))*'01_설정'!$B$16+MAX(0,(1-Q696/'01_설정'!$B$8))*'01_설정'!$B$17+L696*'01_설정'!$B$11+M696*'01_설정'!$B$12+N696*50)</f>
        <v/>
      </c>
      <c r="T696">
        <f>IF(S696="","",1+COUNTIFS($S$31:$S$1030,"&gt;"&amp;S696)+COUNTIFS($S$31:S696,S696)-1)</f>
        <v/>
      </c>
    </row>
    <row r="697" hidden="1" ht="16.5" customHeight="1">
      <c r="A697">
        <f>IF(COUNTA('05_KAPA'!$A668:$AO668)=0,"",670)</f>
        <v/>
      </c>
      <c r="B697">
        <f>IF($A697="","",INDEX('05_KAPA'!$B:$B,$A697))</f>
        <v/>
      </c>
      <c r="C697">
        <f>IF($A697="","",INDEX('05_KAPA'!$F:$F,$A697))</f>
        <v/>
      </c>
      <c r="D697">
        <f>IF($A697="","",INDEX('05_KAPA'!$H:$H,$A697))</f>
        <v/>
      </c>
      <c r="E697">
        <f>IF($A697="","",INDEX('05_KAPA'!$K:$K,$A697))</f>
        <v/>
      </c>
      <c r="F697">
        <f>IF($A697="","",INDEX('05_KAPA'!$L:$L,$A697))</f>
        <v/>
      </c>
      <c r="G697">
        <f>IF($A697="","",INDEX('05_KAPA'!$I:$I,$A697))</f>
        <v/>
      </c>
      <c r="H697" s="202">
        <f>IF($A697="","",INDEX('05_KAPA'!$P:$P,$A697))</f>
        <v/>
      </c>
      <c r="I697" s="118">
        <f>IF($A697="","",INDEX('05_KAPA'!$O:$O,$A697))</f>
        <v/>
      </c>
      <c r="J697" s="202">
        <f>IF($A697="","",IFERROR(DATE(LEFT(TEXT(INDEX('05_KAPA'!$T:$T,$A697),"0"),4),MID(TEXT(INDEX('05_KAPA'!$T:$T,$A697),"0"),5,2),RIGHT(TEXT(INDEX('05_KAPA'!$T:$T,$A697),"0"),2)),""))</f>
        <v/>
      </c>
      <c r="K697">
        <f>IF(C697="","",IF('02_대상물건입력'!$B$5="",1,IF(ISNUMBER(SEARCH('02_대상물건입력'!$B$5,C697)),1,0)))</f>
        <v/>
      </c>
      <c r="L697">
        <f>IF(C697="","",IF('02_대상물건입력'!$B$6="",1,IF(ISNUMBER(SEARCH('02_대상물건입력'!$B$6,C697)),1,0)))</f>
        <v/>
      </c>
      <c r="M697">
        <f>IF(E697="","",IF('02_대상물건입력'!$B$8="",0,IF(ISNUMBER(SEARCH('02_대상물건입력'!$B$8,E697)),1,0)))</f>
        <v/>
      </c>
      <c r="N697">
        <f>IF(B697="","",IF(B697="담보",1,0))</f>
        <v/>
      </c>
      <c r="O697">
        <f>IFERROR(ABS(G697-'02_대상물건입력'!$B$11)/'02_대상물건입력'!$B$11,"")</f>
        <v/>
      </c>
      <c r="P697">
        <f>IFERROR(ABS('01_설정'!$B$4-H697),"")</f>
        <v/>
      </c>
      <c r="Q697">
        <f>IFERROR(ABS(YEAR(J697)-YEAR('02_대상물건입력'!$B$14)),"")</f>
        <v/>
      </c>
      <c r="R697">
        <f>IF(AND(G697&gt;0,H697&gt;0,I697&gt;0,N697=1,IF('01_설정'!$B$10=1,K697=1,TRUE()),O697&lt;='01_설정'!$B$5,P697&lt;='01_설정'!$B$7,Q697&lt;='01_설정'!$B$8),"Y","")</f>
        <v/>
      </c>
      <c r="S697">
        <f>IF(R697&lt;&gt;"Y","",MAX(0,(1-O697/'01_설정'!$B$5))*'01_설정'!$B$14+MAX(0,(1-P697/'01_설정'!$B$7))*'01_설정'!$B$16+MAX(0,(1-Q697/'01_설정'!$B$8))*'01_설정'!$B$17+L697*'01_설정'!$B$11+M697*'01_설정'!$B$12+N697*50)</f>
        <v/>
      </c>
      <c r="T697">
        <f>IF(S697="","",1+COUNTIFS($S$31:$S$1030,"&gt;"&amp;S697)+COUNTIFS($S$31:S697,S697)-1)</f>
        <v/>
      </c>
    </row>
    <row r="698" hidden="1" ht="16.5" customHeight="1">
      <c r="A698">
        <f>IF(COUNTA('05_KAPA'!$A669:$AO669)=0,"",671)</f>
        <v/>
      </c>
      <c r="B698">
        <f>IF($A698="","",INDEX('05_KAPA'!$B:$B,$A698))</f>
        <v/>
      </c>
      <c r="C698">
        <f>IF($A698="","",INDEX('05_KAPA'!$F:$F,$A698))</f>
        <v/>
      </c>
      <c r="D698">
        <f>IF($A698="","",INDEX('05_KAPA'!$H:$H,$A698))</f>
        <v/>
      </c>
      <c r="E698">
        <f>IF($A698="","",INDEX('05_KAPA'!$K:$K,$A698))</f>
        <v/>
      </c>
      <c r="F698">
        <f>IF($A698="","",INDEX('05_KAPA'!$L:$L,$A698))</f>
        <v/>
      </c>
      <c r="G698">
        <f>IF($A698="","",INDEX('05_KAPA'!$I:$I,$A698))</f>
        <v/>
      </c>
      <c r="H698" s="202">
        <f>IF($A698="","",INDEX('05_KAPA'!$P:$P,$A698))</f>
        <v/>
      </c>
      <c r="I698" s="118">
        <f>IF($A698="","",INDEX('05_KAPA'!$O:$O,$A698))</f>
        <v/>
      </c>
      <c r="J698" s="202">
        <f>IF($A698="","",IFERROR(DATE(LEFT(TEXT(INDEX('05_KAPA'!$T:$T,$A698),"0"),4),MID(TEXT(INDEX('05_KAPA'!$T:$T,$A698),"0"),5,2),RIGHT(TEXT(INDEX('05_KAPA'!$T:$T,$A698),"0"),2)),""))</f>
        <v/>
      </c>
      <c r="K698">
        <f>IF(C698="","",IF('02_대상물건입력'!$B$5="",1,IF(ISNUMBER(SEARCH('02_대상물건입력'!$B$5,C698)),1,0)))</f>
        <v/>
      </c>
      <c r="L698">
        <f>IF(C698="","",IF('02_대상물건입력'!$B$6="",1,IF(ISNUMBER(SEARCH('02_대상물건입력'!$B$6,C698)),1,0)))</f>
        <v/>
      </c>
      <c r="M698">
        <f>IF(E698="","",IF('02_대상물건입력'!$B$8="",0,IF(ISNUMBER(SEARCH('02_대상물건입력'!$B$8,E698)),1,0)))</f>
        <v/>
      </c>
      <c r="N698">
        <f>IF(B698="","",IF(B698="담보",1,0))</f>
        <v/>
      </c>
      <c r="O698">
        <f>IFERROR(ABS(G698-'02_대상물건입력'!$B$11)/'02_대상물건입력'!$B$11,"")</f>
        <v/>
      </c>
      <c r="P698">
        <f>IFERROR(ABS('01_설정'!$B$4-H698),"")</f>
        <v/>
      </c>
      <c r="Q698">
        <f>IFERROR(ABS(YEAR(J698)-YEAR('02_대상물건입력'!$B$14)),"")</f>
        <v/>
      </c>
      <c r="R698">
        <f>IF(AND(G698&gt;0,H698&gt;0,I698&gt;0,N698=1,IF('01_설정'!$B$10=1,K698=1,TRUE()),O698&lt;='01_설정'!$B$5,P698&lt;='01_설정'!$B$7,Q698&lt;='01_설정'!$B$8),"Y","")</f>
        <v/>
      </c>
      <c r="S698">
        <f>IF(R698&lt;&gt;"Y","",MAX(0,(1-O698/'01_설정'!$B$5))*'01_설정'!$B$14+MAX(0,(1-P698/'01_설정'!$B$7))*'01_설정'!$B$16+MAX(0,(1-Q698/'01_설정'!$B$8))*'01_설정'!$B$17+L698*'01_설정'!$B$11+M698*'01_설정'!$B$12+N698*50)</f>
        <v/>
      </c>
      <c r="T698">
        <f>IF(S698="","",1+COUNTIFS($S$31:$S$1030,"&gt;"&amp;S698)+COUNTIFS($S$31:S698,S698)-1)</f>
        <v/>
      </c>
    </row>
    <row r="699" hidden="1" ht="16.5" customHeight="1">
      <c r="A699">
        <f>IF(COUNTA('05_KAPA'!$A670:$AO670)=0,"",672)</f>
        <v/>
      </c>
      <c r="B699">
        <f>IF($A699="","",INDEX('05_KAPA'!$B:$B,$A699))</f>
        <v/>
      </c>
      <c r="C699">
        <f>IF($A699="","",INDEX('05_KAPA'!$F:$F,$A699))</f>
        <v/>
      </c>
      <c r="D699">
        <f>IF($A699="","",INDEX('05_KAPA'!$H:$H,$A699))</f>
        <v/>
      </c>
      <c r="E699">
        <f>IF($A699="","",INDEX('05_KAPA'!$K:$K,$A699))</f>
        <v/>
      </c>
      <c r="F699">
        <f>IF($A699="","",INDEX('05_KAPA'!$L:$L,$A699))</f>
        <v/>
      </c>
      <c r="G699">
        <f>IF($A699="","",INDEX('05_KAPA'!$I:$I,$A699))</f>
        <v/>
      </c>
      <c r="H699" s="202">
        <f>IF($A699="","",INDEX('05_KAPA'!$P:$P,$A699))</f>
        <v/>
      </c>
      <c r="I699" s="118">
        <f>IF($A699="","",INDEX('05_KAPA'!$O:$O,$A699))</f>
        <v/>
      </c>
      <c r="J699" s="202">
        <f>IF($A699="","",IFERROR(DATE(LEFT(TEXT(INDEX('05_KAPA'!$T:$T,$A699),"0"),4),MID(TEXT(INDEX('05_KAPA'!$T:$T,$A699),"0"),5,2),RIGHT(TEXT(INDEX('05_KAPA'!$T:$T,$A699),"0"),2)),""))</f>
        <v/>
      </c>
      <c r="K699">
        <f>IF(C699="","",IF('02_대상물건입력'!$B$5="",1,IF(ISNUMBER(SEARCH('02_대상물건입력'!$B$5,C699)),1,0)))</f>
        <v/>
      </c>
      <c r="L699">
        <f>IF(C699="","",IF('02_대상물건입력'!$B$6="",1,IF(ISNUMBER(SEARCH('02_대상물건입력'!$B$6,C699)),1,0)))</f>
        <v/>
      </c>
      <c r="M699">
        <f>IF(E699="","",IF('02_대상물건입력'!$B$8="",0,IF(ISNUMBER(SEARCH('02_대상물건입력'!$B$8,E699)),1,0)))</f>
        <v/>
      </c>
      <c r="N699">
        <f>IF(B699="","",IF(B699="담보",1,0))</f>
        <v/>
      </c>
      <c r="O699">
        <f>IFERROR(ABS(G699-'02_대상물건입력'!$B$11)/'02_대상물건입력'!$B$11,"")</f>
        <v/>
      </c>
      <c r="P699">
        <f>IFERROR(ABS('01_설정'!$B$4-H699),"")</f>
        <v/>
      </c>
      <c r="Q699">
        <f>IFERROR(ABS(YEAR(J699)-YEAR('02_대상물건입력'!$B$14)),"")</f>
        <v/>
      </c>
      <c r="R699">
        <f>IF(AND(G699&gt;0,H699&gt;0,I699&gt;0,N699=1,IF('01_설정'!$B$10=1,K699=1,TRUE()),O699&lt;='01_설정'!$B$5,P699&lt;='01_설정'!$B$7,Q699&lt;='01_설정'!$B$8),"Y","")</f>
        <v/>
      </c>
      <c r="S699">
        <f>IF(R699&lt;&gt;"Y","",MAX(0,(1-O699/'01_설정'!$B$5))*'01_설정'!$B$14+MAX(0,(1-P699/'01_설정'!$B$7))*'01_설정'!$B$16+MAX(0,(1-Q699/'01_설정'!$B$8))*'01_설정'!$B$17+L699*'01_설정'!$B$11+M699*'01_설정'!$B$12+N699*50)</f>
        <v/>
      </c>
      <c r="T699">
        <f>IF(S699="","",1+COUNTIFS($S$31:$S$1030,"&gt;"&amp;S699)+COUNTIFS($S$31:S699,S699)-1)</f>
        <v/>
      </c>
    </row>
    <row r="700" hidden="1" ht="16.5" customHeight="1">
      <c r="A700">
        <f>IF(COUNTA('05_KAPA'!$A671:$AO671)=0,"",673)</f>
        <v/>
      </c>
      <c r="B700">
        <f>IF($A700="","",INDEX('05_KAPA'!$B:$B,$A700))</f>
        <v/>
      </c>
      <c r="C700">
        <f>IF($A700="","",INDEX('05_KAPA'!$F:$F,$A700))</f>
        <v/>
      </c>
      <c r="D700">
        <f>IF($A700="","",INDEX('05_KAPA'!$H:$H,$A700))</f>
        <v/>
      </c>
      <c r="E700">
        <f>IF($A700="","",INDEX('05_KAPA'!$K:$K,$A700))</f>
        <v/>
      </c>
      <c r="F700">
        <f>IF($A700="","",INDEX('05_KAPA'!$L:$L,$A700))</f>
        <v/>
      </c>
      <c r="G700">
        <f>IF($A700="","",INDEX('05_KAPA'!$I:$I,$A700))</f>
        <v/>
      </c>
      <c r="H700" s="202">
        <f>IF($A700="","",INDEX('05_KAPA'!$P:$P,$A700))</f>
        <v/>
      </c>
      <c r="I700" s="118">
        <f>IF($A700="","",INDEX('05_KAPA'!$O:$O,$A700))</f>
        <v/>
      </c>
      <c r="J700" s="202">
        <f>IF($A700="","",IFERROR(DATE(LEFT(TEXT(INDEX('05_KAPA'!$T:$T,$A700),"0"),4),MID(TEXT(INDEX('05_KAPA'!$T:$T,$A700),"0"),5,2),RIGHT(TEXT(INDEX('05_KAPA'!$T:$T,$A700),"0"),2)),""))</f>
        <v/>
      </c>
      <c r="K700">
        <f>IF(C700="","",IF('02_대상물건입력'!$B$5="",1,IF(ISNUMBER(SEARCH('02_대상물건입력'!$B$5,C700)),1,0)))</f>
        <v/>
      </c>
      <c r="L700">
        <f>IF(C700="","",IF('02_대상물건입력'!$B$6="",1,IF(ISNUMBER(SEARCH('02_대상물건입력'!$B$6,C700)),1,0)))</f>
        <v/>
      </c>
      <c r="M700">
        <f>IF(E700="","",IF('02_대상물건입력'!$B$8="",0,IF(ISNUMBER(SEARCH('02_대상물건입력'!$B$8,E700)),1,0)))</f>
        <v/>
      </c>
      <c r="N700">
        <f>IF(B700="","",IF(B700="담보",1,0))</f>
        <v/>
      </c>
      <c r="O700">
        <f>IFERROR(ABS(G700-'02_대상물건입력'!$B$11)/'02_대상물건입력'!$B$11,"")</f>
        <v/>
      </c>
      <c r="P700">
        <f>IFERROR(ABS('01_설정'!$B$4-H700),"")</f>
        <v/>
      </c>
      <c r="Q700">
        <f>IFERROR(ABS(YEAR(J700)-YEAR('02_대상물건입력'!$B$14)),"")</f>
        <v/>
      </c>
      <c r="R700">
        <f>IF(AND(G700&gt;0,H700&gt;0,I700&gt;0,N700=1,IF('01_설정'!$B$10=1,K700=1,TRUE()),O700&lt;='01_설정'!$B$5,P700&lt;='01_설정'!$B$7,Q700&lt;='01_설정'!$B$8),"Y","")</f>
        <v/>
      </c>
      <c r="S700">
        <f>IF(R700&lt;&gt;"Y","",MAX(0,(1-O700/'01_설정'!$B$5))*'01_설정'!$B$14+MAX(0,(1-P700/'01_설정'!$B$7))*'01_설정'!$B$16+MAX(0,(1-Q700/'01_설정'!$B$8))*'01_설정'!$B$17+L700*'01_설정'!$B$11+M700*'01_설정'!$B$12+N700*50)</f>
        <v/>
      </c>
      <c r="T700">
        <f>IF(S700="","",1+COUNTIFS($S$31:$S$1030,"&gt;"&amp;S700)+COUNTIFS($S$31:S700,S700)-1)</f>
        <v/>
      </c>
    </row>
    <row r="701" hidden="1" ht="16.5" customHeight="1">
      <c r="A701">
        <f>IF(COUNTA('05_KAPA'!$A672:$AO672)=0,"",674)</f>
        <v/>
      </c>
      <c r="B701">
        <f>IF($A701="","",INDEX('05_KAPA'!$B:$B,$A701))</f>
        <v/>
      </c>
      <c r="C701">
        <f>IF($A701="","",INDEX('05_KAPA'!$F:$F,$A701))</f>
        <v/>
      </c>
      <c r="D701">
        <f>IF($A701="","",INDEX('05_KAPA'!$H:$H,$A701))</f>
        <v/>
      </c>
      <c r="E701">
        <f>IF($A701="","",INDEX('05_KAPA'!$K:$K,$A701))</f>
        <v/>
      </c>
      <c r="F701">
        <f>IF($A701="","",INDEX('05_KAPA'!$L:$L,$A701))</f>
        <v/>
      </c>
      <c r="G701">
        <f>IF($A701="","",INDEX('05_KAPA'!$I:$I,$A701))</f>
        <v/>
      </c>
      <c r="H701" s="202">
        <f>IF($A701="","",INDEX('05_KAPA'!$P:$P,$A701))</f>
        <v/>
      </c>
      <c r="I701" s="118">
        <f>IF($A701="","",INDEX('05_KAPA'!$O:$O,$A701))</f>
        <v/>
      </c>
      <c r="J701" s="202">
        <f>IF($A701="","",IFERROR(DATE(LEFT(TEXT(INDEX('05_KAPA'!$T:$T,$A701),"0"),4),MID(TEXT(INDEX('05_KAPA'!$T:$T,$A701),"0"),5,2),RIGHT(TEXT(INDEX('05_KAPA'!$T:$T,$A701),"0"),2)),""))</f>
        <v/>
      </c>
      <c r="K701">
        <f>IF(C701="","",IF('02_대상물건입력'!$B$5="",1,IF(ISNUMBER(SEARCH('02_대상물건입력'!$B$5,C701)),1,0)))</f>
        <v/>
      </c>
      <c r="L701">
        <f>IF(C701="","",IF('02_대상물건입력'!$B$6="",1,IF(ISNUMBER(SEARCH('02_대상물건입력'!$B$6,C701)),1,0)))</f>
        <v/>
      </c>
      <c r="M701">
        <f>IF(E701="","",IF('02_대상물건입력'!$B$8="",0,IF(ISNUMBER(SEARCH('02_대상물건입력'!$B$8,E701)),1,0)))</f>
        <v/>
      </c>
      <c r="N701">
        <f>IF(B701="","",IF(B701="담보",1,0))</f>
        <v/>
      </c>
      <c r="O701">
        <f>IFERROR(ABS(G701-'02_대상물건입력'!$B$11)/'02_대상물건입력'!$B$11,"")</f>
        <v/>
      </c>
      <c r="P701">
        <f>IFERROR(ABS('01_설정'!$B$4-H701),"")</f>
        <v/>
      </c>
      <c r="Q701">
        <f>IFERROR(ABS(YEAR(J701)-YEAR('02_대상물건입력'!$B$14)),"")</f>
        <v/>
      </c>
      <c r="R701">
        <f>IF(AND(G701&gt;0,H701&gt;0,I701&gt;0,N701=1,IF('01_설정'!$B$10=1,K701=1,TRUE()),O701&lt;='01_설정'!$B$5,P701&lt;='01_설정'!$B$7,Q701&lt;='01_설정'!$B$8),"Y","")</f>
        <v/>
      </c>
      <c r="S701">
        <f>IF(R701&lt;&gt;"Y","",MAX(0,(1-O701/'01_설정'!$B$5))*'01_설정'!$B$14+MAX(0,(1-P701/'01_설정'!$B$7))*'01_설정'!$B$16+MAX(0,(1-Q701/'01_설정'!$B$8))*'01_설정'!$B$17+L701*'01_설정'!$B$11+M701*'01_설정'!$B$12+N701*50)</f>
        <v/>
      </c>
      <c r="T701">
        <f>IF(S701="","",1+COUNTIFS($S$31:$S$1030,"&gt;"&amp;S701)+COUNTIFS($S$31:S701,S701)-1)</f>
        <v/>
      </c>
    </row>
    <row r="702" hidden="1" ht="16.5" customHeight="1">
      <c r="A702">
        <f>IF(COUNTA('05_KAPA'!$A673:$AO673)=0,"",675)</f>
        <v/>
      </c>
      <c r="B702">
        <f>IF($A702="","",INDEX('05_KAPA'!$B:$B,$A702))</f>
        <v/>
      </c>
      <c r="C702">
        <f>IF($A702="","",INDEX('05_KAPA'!$F:$F,$A702))</f>
        <v/>
      </c>
      <c r="D702">
        <f>IF($A702="","",INDEX('05_KAPA'!$H:$H,$A702))</f>
        <v/>
      </c>
      <c r="E702">
        <f>IF($A702="","",INDEX('05_KAPA'!$K:$K,$A702))</f>
        <v/>
      </c>
      <c r="F702">
        <f>IF($A702="","",INDEX('05_KAPA'!$L:$L,$A702))</f>
        <v/>
      </c>
      <c r="G702">
        <f>IF($A702="","",INDEX('05_KAPA'!$I:$I,$A702))</f>
        <v/>
      </c>
      <c r="H702" s="202">
        <f>IF($A702="","",INDEX('05_KAPA'!$P:$P,$A702))</f>
        <v/>
      </c>
      <c r="I702" s="118">
        <f>IF($A702="","",INDEX('05_KAPA'!$O:$O,$A702))</f>
        <v/>
      </c>
      <c r="J702" s="202">
        <f>IF($A702="","",IFERROR(DATE(LEFT(TEXT(INDEX('05_KAPA'!$T:$T,$A702),"0"),4),MID(TEXT(INDEX('05_KAPA'!$T:$T,$A702),"0"),5,2),RIGHT(TEXT(INDEX('05_KAPA'!$T:$T,$A702),"0"),2)),""))</f>
        <v/>
      </c>
      <c r="K702">
        <f>IF(C702="","",IF('02_대상물건입력'!$B$5="",1,IF(ISNUMBER(SEARCH('02_대상물건입력'!$B$5,C702)),1,0)))</f>
        <v/>
      </c>
      <c r="L702">
        <f>IF(C702="","",IF('02_대상물건입력'!$B$6="",1,IF(ISNUMBER(SEARCH('02_대상물건입력'!$B$6,C702)),1,0)))</f>
        <v/>
      </c>
      <c r="M702">
        <f>IF(E702="","",IF('02_대상물건입력'!$B$8="",0,IF(ISNUMBER(SEARCH('02_대상물건입력'!$B$8,E702)),1,0)))</f>
        <v/>
      </c>
      <c r="N702">
        <f>IF(B702="","",IF(B702="담보",1,0))</f>
        <v/>
      </c>
      <c r="O702">
        <f>IFERROR(ABS(G702-'02_대상물건입력'!$B$11)/'02_대상물건입력'!$B$11,"")</f>
        <v/>
      </c>
      <c r="P702">
        <f>IFERROR(ABS('01_설정'!$B$4-H702),"")</f>
        <v/>
      </c>
      <c r="Q702">
        <f>IFERROR(ABS(YEAR(J702)-YEAR('02_대상물건입력'!$B$14)),"")</f>
        <v/>
      </c>
      <c r="R702">
        <f>IF(AND(G702&gt;0,H702&gt;0,I702&gt;0,N702=1,IF('01_설정'!$B$10=1,K702=1,TRUE()),O702&lt;='01_설정'!$B$5,P702&lt;='01_설정'!$B$7,Q702&lt;='01_설정'!$B$8),"Y","")</f>
        <v/>
      </c>
      <c r="S702">
        <f>IF(R702&lt;&gt;"Y","",MAX(0,(1-O702/'01_설정'!$B$5))*'01_설정'!$B$14+MAX(0,(1-P702/'01_설정'!$B$7))*'01_설정'!$B$16+MAX(0,(1-Q702/'01_설정'!$B$8))*'01_설정'!$B$17+L702*'01_설정'!$B$11+M702*'01_설정'!$B$12+N702*50)</f>
        <v/>
      </c>
      <c r="T702">
        <f>IF(S702="","",1+COUNTIFS($S$31:$S$1030,"&gt;"&amp;S702)+COUNTIFS($S$31:S702,S702)-1)</f>
        <v/>
      </c>
    </row>
    <row r="703" hidden="1" ht="16.5" customHeight="1">
      <c r="A703">
        <f>IF(COUNTA('05_KAPA'!$A674:$AO674)=0,"",676)</f>
        <v/>
      </c>
      <c r="B703">
        <f>IF($A703="","",INDEX('05_KAPA'!$B:$B,$A703))</f>
        <v/>
      </c>
      <c r="C703">
        <f>IF($A703="","",INDEX('05_KAPA'!$F:$F,$A703))</f>
        <v/>
      </c>
      <c r="D703">
        <f>IF($A703="","",INDEX('05_KAPA'!$H:$H,$A703))</f>
        <v/>
      </c>
      <c r="E703">
        <f>IF($A703="","",INDEX('05_KAPA'!$K:$K,$A703))</f>
        <v/>
      </c>
      <c r="F703">
        <f>IF($A703="","",INDEX('05_KAPA'!$L:$L,$A703))</f>
        <v/>
      </c>
      <c r="G703">
        <f>IF($A703="","",INDEX('05_KAPA'!$I:$I,$A703))</f>
        <v/>
      </c>
      <c r="H703" s="202">
        <f>IF($A703="","",INDEX('05_KAPA'!$P:$P,$A703))</f>
        <v/>
      </c>
      <c r="I703" s="118">
        <f>IF($A703="","",INDEX('05_KAPA'!$O:$O,$A703))</f>
        <v/>
      </c>
      <c r="J703" s="202">
        <f>IF($A703="","",IFERROR(DATE(LEFT(TEXT(INDEX('05_KAPA'!$T:$T,$A703),"0"),4),MID(TEXT(INDEX('05_KAPA'!$T:$T,$A703),"0"),5,2),RIGHT(TEXT(INDEX('05_KAPA'!$T:$T,$A703),"0"),2)),""))</f>
        <v/>
      </c>
      <c r="K703">
        <f>IF(C703="","",IF('02_대상물건입력'!$B$5="",1,IF(ISNUMBER(SEARCH('02_대상물건입력'!$B$5,C703)),1,0)))</f>
        <v/>
      </c>
      <c r="L703">
        <f>IF(C703="","",IF('02_대상물건입력'!$B$6="",1,IF(ISNUMBER(SEARCH('02_대상물건입력'!$B$6,C703)),1,0)))</f>
        <v/>
      </c>
      <c r="M703">
        <f>IF(E703="","",IF('02_대상물건입력'!$B$8="",0,IF(ISNUMBER(SEARCH('02_대상물건입력'!$B$8,E703)),1,0)))</f>
        <v/>
      </c>
      <c r="N703">
        <f>IF(B703="","",IF(B703="담보",1,0))</f>
        <v/>
      </c>
      <c r="O703">
        <f>IFERROR(ABS(G703-'02_대상물건입력'!$B$11)/'02_대상물건입력'!$B$11,"")</f>
        <v/>
      </c>
      <c r="P703">
        <f>IFERROR(ABS('01_설정'!$B$4-H703),"")</f>
        <v/>
      </c>
      <c r="Q703">
        <f>IFERROR(ABS(YEAR(J703)-YEAR('02_대상물건입력'!$B$14)),"")</f>
        <v/>
      </c>
      <c r="R703">
        <f>IF(AND(G703&gt;0,H703&gt;0,I703&gt;0,N703=1,IF('01_설정'!$B$10=1,K703=1,TRUE()),O703&lt;='01_설정'!$B$5,P703&lt;='01_설정'!$B$7,Q703&lt;='01_설정'!$B$8),"Y","")</f>
        <v/>
      </c>
      <c r="S703">
        <f>IF(R703&lt;&gt;"Y","",MAX(0,(1-O703/'01_설정'!$B$5))*'01_설정'!$B$14+MAX(0,(1-P703/'01_설정'!$B$7))*'01_설정'!$B$16+MAX(0,(1-Q703/'01_설정'!$B$8))*'01_설정'!$B$17+L703*'01_설정'!$B$11+M703*'01_설정'!$B$12+N703*50)</f>
        <v/>
      </c>
      <c r="T703">
        <f>IF(S703="","",1+COUNTIFS($S$31:$S$1030,"&gt;"&amp;S703)+COUNTIFS($S$31:S703,S703)-1)</f>
        <v/>
      </c>
    </row>
    <row r="704" hidden="1" ht="16.5" customHeight="1">
      <c r="A704">
        <f>IF(COUNTA('05_KAPA'!$A675:$AO675)=0,"",677)</f>
        <v/>
      </c>
      <c r="B704">
        <f>IF($A704="","",INDEX('05_KAPA'!$B:$B,$A704))</f>
        <v/>
      </c>
      <c r="C704">
        <f>IF($A704="","",INDEX('05_KAPA'!$F:$F,$A704))</f>
        <v/>
      </c>
      <c r="D704">
        <f>IF($A704="","",INDEX('05_KAPA'!$H:$H,$A704))</f>
        <v/>
      </c>
      <c r="E704">
        <f>IF($A704="","",INDEX('05_KAPA'!$K:$K,$A704))</f>
        <v/>
      </c>
      <c r="F704">
        <f>IF($A704="","",INDEX('05_KAPA'!$L:$L,$A704))</f>
        <v/>
      </c>
      <c r="G704">
        <f>IF($A704="","",INDEX('05_KAPA'!$I:$I,$A704))</f>
        <v/>
      </c>
      <c r="H704" s="202">
        <f>IF($A704="","",INDEX('05_KAPA'!$P:$P,$A704))</f>
        <v/>
      </c>
      <c r="I704" s="118">
        <f>IF($A704="","",INDEX('05_KAPA'!$O:$O,$A704))</f>
        <v/>
      </c>
      <c r="J704" s="202">
        <f>IF($A704="","",IFERROR(DATE(LEFT(TEXT(INDEX('05_KAPA'!$T:$T,$A704),"0"),4),MID(TEXT(INDEX('05_KAPA'!$T:$T,$A704),"0"),5,2),RIGHT(TEXT(INDEX('05_KAPA'!$T:$T,$A704),"0"),2)),""))</f>
        <v/>
      </c>
      <c r="K704">
        <f>IF(C704="","",IF('02_대상물건입력'!$B$5="",1,IF(ISNUMBER(SEARCH('02_대상물건입력'!$B$5,C704)),1,0)))</f>
        <v/>
      </c>
      <c r="L704">
        <f>IF(C704="","",IF('02_대상물건입력'!$B$6="",1,IF(ISNUMBER(SEARCH('02_대상물건입력'!$B$6,C704)),1,0)))</f>
        <v/>
      </c>
      <c r="M704">
        <f>IF(E704="","",IF('02_대상물건입력'!$B$8="",0,IF(ISNUMBER(SEARCH('02_대상물건입력'!$B$8,E704)),1,0)))</f>
        <v/>
      </c>
      <c r="N704">
        <f>IF(B704="","",IF(B704="담보",1,0))</f>
        <v/>
      </c>
      <c r="O704">
        <f>IFERROR(ABS(G704-'02_대상물건입력'!$B$11)/'02_대상물건입력'!$B$11,"")</f>
        <v/>
      </c>
      <c r="P704">
        <f>IFERROR(ABS('01_설정'!$B$4-H704),"")</f>
        <v/>
      </c>
      <c r="Q704">
        <f>IFERROR(ABS(YEAR(J704)-YEAR('02_대상물건입력'!$B$14)),"")</f>
        <v/>
      </c>
      <c r="R704">
        <f>IF(AND(G704&gt;0,H704&gt;0,I704&gt;0,N704=1,IF('01_설정'!$B$10=1,K704=1,TRUE()),O704&lt;='01_설정'!$B$5,P704&lt;='01_설정'!$B$7,Q704&lt;='01_설정'!$B$8),"Y","")</f>
        <v/>
      </c>
      <c r="S704">
        <f>IF(R704&lt;&gt;"Y","",MAX(0,(1-O704/'01_설정'!$B$5))*'01_설정'!$B$14+MAX(0,(1-P704/'01_설정'!$B$7))*'01_설정'!$B$16+MAX(0,(1-Q704/'01_설정'!$B$8))*'01_설정'!$B$17+L704*'01_설정'!$B$11+M704*'01_설정'!$B$12+N704*50)</f>
        <v/>
      </c>
      <c r="T704">
        <f>IF(S704="","",1+COUNTIFS($S$31:$S$1030,"&gt;"&amp;S704)+COUNTIFS($S$31:S704,S704)-1)</f>
        <v/>
      </c>
    </row>
    <row r="705" hidden="1" ht="16.5" customHeight="1">
      <c r="A705">
        <f>IF(COUNTA('05_KAPA'!$A676:$AO676)=0,"",678)</f>
        <v/>
      </c>
      <c r="B705">
        <f>IF($A705="","",INDEX('05_KAPA'!$B:$B,$A705))</f>
        <v/>
      </c>
      <c r="C705">
        <f>IF($A705="","",INDEX('05_KAPA'!$F:$F,$A705))</f>
        <v/>
      </c>
      <c r="D705">
        <f>IF($A705="","",INDEX('05_KAPA'!$H:$H,$A705))</f>
        <v/>
      </c>
      <c r="E705">
        <f>IF($A705="","",INDEX('05_KAPA'!$K:$K,$A705))</f>
        <v/>
      </c>
      <c r="F705">
        <f>IF($A705="","",INDEX('05_KAPA'!$L:$L,$A705))</f>
        <v/>
      </c>
      <c r="G705">
        <f>IF($A705="","",INDEX('05_KAPA'!$I:$I,$A705))</f>
        <v/>
      </c>
      <c r="H705" s="202">
        <f>IF($A705="","",INDEX('05_KAPA'!$P:$P,$A705))</f>
        <v/>
      </c>
      <c r="I705" s="118">
        <f>IF($A705="","",INDEX('05_KAPA'!$O:$O,$A705))</f>
        <v/>
      </c>
      <c r="J705" s="202">
        <f>IF($A705="","",IFERROR(DATE(LEFT(TEXT(INDEX('05_KAPA'!$T:$T,$A705),"0"),4),MID(TEXT(INDEX('05_KAPA'!$T:$T,$A705),"0"),5,2),RIGHT(TEXT(INDEX('05_KAPA'!$T:$T,$A705),"0"),2)),""))</f>
        <v/>
      </c>
      <c r="K705">
        <f>IF(C705="","",IF('02_대상물건입력'!$B$5="",1,IF(ISNUMBER(SEARCH('02_대상물건입력'!$B$5,C705)),1,0)))</f>
        <v/>
      </c>
      <c r="L705">
        <f>IF(C705="","",IF('02_대상물건입력'!$B$6="",1,IF(ISNUMBER(SEARCH('02_대상물건입력'!$B$6,C705)),1,0)))</f>
        <v/>
      </c>
      <c r="M705">
        <f>IF(E705="","",IF('02_대상물건입력'!$B$8="",0,IF(ISNUMBER(SEARCH('02_대상물건입력'!$B$8,E705)),1,0)))</f>
        <v/>
      </c>
      <c r="N705">
        <f>IF(B705="","",IF(B705="담보",1,0))</f>
        <v/>
      </c>
      <c r="O705">
        <f>IFERROR(ABS(G705-'02_대상물건입력'!$B$11)/'02_대상물건입력'!$B$11,"")</f>
        <v/>
      </c>
      <c r="P705">
        <f>IFERROR(ABS('01_설정'!$B$4-H705),"")</f>
        <v/>
      </c>
      <c r="Q705">
        <f>IFERROR(ABS(YEAR(J705)-YEAR('02_대상물건입력'!$B$14)),"")</f>
        <v/>
      </c>
      <c r="R705">
        <f>IF(AND(G705&gt;0,H705&gt;0,I705&gt;0,N705=1,IF('01_설정'!$B$10=1,K705=1,TRUE()),O705&lt;='01_설정'!$B$5,P705&lt;='01_설정'!$B$7,Q705&lt;='01_설정'!$B$8),"Y","")</f>
        <v/>
      </c>
      <c r="S705">
        <f>IF(R705&lt;&gt;"Y","",MAX(0,(1-O705/'01_설정'!$B$5))*'01_설정'!$B$14+MAX(0,(1-P705/'01_설정'!$B$7))*'01_설정'!$B$16+MAX(0,(1-Q705/'01_설정'!$B$8))*'01_설정'!$B$17+L705*'01_설정'!$B$11+M705*'01_설정'!$B$12+N705*50)</f>
        <v/>
      </c>
      <c r="T705">
        <f>IF(S705="","",1+COUNTIFS($S$31:$S$1030,"&gt;"&amp;S705)+COUNTIFS($S$31:S705,S705)-1)</f>
        <v/>
      </c>
    </row>
    <row r="706" hidden="1" ht="16.5" customHeight="1">
      <c r="A706">
        <f>IF(COUNTA('05_KAPA'!$A677:$AO677)=0,"",679)</f>
        <v/>
      </c>
      <c r="B706">
        <f>IF($A706="","",INDEX('05_KAPA'!$B:$B,$A706))</f>
        <v/>
      </c>
      <c r="C706">
        <f>IF($A706="","",INDEX('05_KAPA'!$F:$F,$A706))</f>
        <v/>
      </c>
      <c r="D706">
        <f>IF($A706="","",INDEX('05_KAPA'!$H:$H,$A706))</f>
        <v/>
      </c>
      <c r="E706">
        <f>IF($A706="","",INDEX('05_KAPA'!$K:$K,$A706))</f>
        <v/>
      </c>
      <c r="F706">
        <f>IF($A706="","",INDEX('05_KAPA'!$L:$L,$A706))</f>
        <v/>
      </c>
      <c r="G706">
        <f>IF($A706="","",INDEX('05_KAPA'!$I:$I,$A706))</f>
        <v/>
      </c>
      <c r="H706" s="202">
        <f>IF($A706="","",INDEX('05_KAPA'!$P:$P,$A706))</f>
        <v/>
      </c>
      <c r="I706" s="118">
        <f>IF($A706="","",INDEX('05_KAPA'!$O:$O,$A706))</f>
        <v/>
      </c>
      <c r="J706" s="202">
        <f>IF($A706="","",IFERROR(DATE(LEFT(TEXT(INDEX('05_KAPA'!$T:$T,$A706),"0"),4),MID(TEXT(INDEX('05_KAPA'!$T:$T,$A706),"0"),5,2),RIGHT(TEXT(INDEX('05_KAPA'!$T:$T,$A706),"0"),2)),""))</f>
        <v/>
      </c>
      <c r="K706">
        <f>IF(C706="","",IF('02_대상물건입력'!$B$5="",1,IF(ISNUMBER(SEARCH('02_대상물건입력'!$B$5,C706)),1,0)))</f>
        <v/>
      </c>
      <c r="L706">
        <f>IF(C706="","",IF('02_대상물건입력'!$B$6="",1,IF(ISNUMBER(SEARCH('02_대상물건입력'!$B$6,C706)),1,0)))</f>
        <v/>
      </c>
      <c r="M706">
        <f>IF(E706="","",IF('02_대상물건입력'!$B$8="",0,IF(ISNUMBER(SEARCH('02_대상물건입력'!$B$8,E706)),1,0)))</f>
        <v/>
      </c>
      <c r="N706">
        <f>IF(B706="","",IF(B706="담보",1,0))</f>
        <v/>
      </c>
      <c r="O706">
        <f>IFERROR(ABS(G706-'02_대상물건입력'!$B$11)/'02_대상물건입력'!$B$11,"")</f>
        <v/>
      </c>
      <c r="P706">
        <f>IFERROR(ABS('01_설정'!$B$4-H706),"")</f>
        <v/>
      </c>
      <c r="Q706">
        <f>IFERROR(ABS(YEAR(J706)-YEAR('02_대상물건입력'!$B$14)),"")</f>
        <v/>
      </c>
      <c r="R706">
        <f>IF(AND(G706&gt;0,H706&gt;0,I706&gt;0,N706=1,IF('01_설정'!$B$10=1,K706=1,TRUE()),O706&lt;='01_설정'!$B$5,P706&lt;='01_설정'!$B$7,Q706&lt;='01_설정'!$B$8),"Y","")</f>
        <v/>
      </c>
      <c r="S706">
        <f>IF(R706&lt;&gt;"Y","",MAX(0,(1-O706/'01_설정'!$B$5))*'01_설정'!$B$14+MAX(0,(1-P706/'01_설정'!$B$7))*'01_설정'!$B$16+MAX(0,(1-Q706/'01_설정'!$B$8))*'01_설정'!$B$17+L706*'01_설정'!$B$11+M706*'01_설정'!$B$12+N706*50)</f>
        <v/>
      </c>
      <c r="T706">
        <f>IF(S706="","",1+COUNTIFS($S$31:$S$1030,"&gt;"&amp;S706)+COUNTIFS($S$31:S706,S706)-1)</f>
        <v/>
      </c>
    </row>
    <row r="707" hidden="1" ht="16.5" customHeight="1">
      <c r="A707">
        <f>IF(COUNTA('05_KAPA'!$A678:$AO678)=0,"",680)</f>
        <v/>
      </c>
      <c r="B707">
        <f>IF($A707="","",INDEX('05_KAPA'!$B:$B,$A707))</f>
        <v/>
      </c>
      <c r="C707">
        <f>IF($A707="","",INDEX('05_KAPA'!$F:$F,$A707))</f>
        <v/>
      </c>
      <c r="D707">
        <f>IF($A707="","",INDEX('05_KAPA'!$H:$H,$A707))</f>
        <v/>
      </c>
      <c r="E707">
        <f>IF($A707="","",INDEX('05_KAPA'!$K:$K,$A707))</f>
        <v/>
      </c>
      <c r="F707">
        <f>IF($A707="","",INDEX('05_KAPA'!$L:$L,$A707))</f>
        <v/>
      </c>
      <c r="G707">
        <f>IF($A707="","",INDEX('05_KAPA'!$I:$I,$A707))</f>
        <v/>
      </c>
      <c r="H707" s="202">
        <f>IF($A707="","",INDEX('05_KAPA'!$P:$P,$A707))</f>
        <v/>
      </c>
      <c r="I707" s="118">
        <f>IF($A707="","",INDEX('05_KAPA'!$O:$O,$A707))</f>
        <v/>
      </c>
      <c r="J707" s="202">
        <f>IF($A707="","",IFERROR(DATE(LEFT(TEXT(INDEX('05_KAPA'!$T:$T,$A707),"0"),4),MID(TEXT(INDEX('05_KAPA'!$T:$T,$A707),"0"),5,2),RIGHT(TEXT(INDEX('05_KAPA'!$T:$T,$A707),"0"),2)),""))</f>
        <v/>
      </c>
      <c r="K707">
        <f>IF(C707="","",IF('02_대상물건입력'!$B$5="",1,IF(ISNUMBER(SEARCH('02_대상물건입력'!$B$5,C707)),1,0)))</f>
        <v/>
      </c>
      <c r="L707">
        <f>IF(C707="","",IF('02_대상물건입력'!$B$6="",1,IF(ISNUMBER(SEARCH('02_대상물건입력'!$B$6,C707)),1,0)))</f>
        <v/>
      </c>
      <c r="M707">
        <f>IF(E707="","",IF('02_대상물건입력'!$B$8="",0,IF(ISNUMBER(SEARCH('02_대상물건입력'!$B$8,E707)),1,0)))</f>
        <v/>
      </c>
      <c r="N707">
        <f>IF(B707="","",IF(B707="담보",1,0))</f>
        <v/>
      </c>
      <c r="O707">
        <f>IFERROR(ABS(G707-'02_대상물건입력'!$B$11)/'02_대상물건입력'!$B$11,"")</f>
        <v/>
      </c>
      <c r="P707">
        <f>IFERROR(ABS('01_설정'!$B$4-H707),"")</f>
        <v/>
      </c>
      <c r="Q707">
        <f>IFERROR(ABS(YEAR(J707)-YEAR('02_대상물건입력'!$B$14)),"")</f>
        <v/>
      </c>
      <c r="R707">
        <f>IF(AND(G707&gt;0,H707&gt;0,I707&gt;0,N707=1,IF('01_설정'!$B$10=1,K707=1,TRUE()),O707&lt;='01_설정'!$B$5,P707&lt;='01_설정'!$B$7,Q707&lt;='01_설정'!$B$8),"Y","")</f>
        <v/>
      </c>
      <c r="S707">
        <f>IF(R707&lt;&gt;"Y","",MAX(0,(1-O707/'01_설정'!$B$5))*'01_설정'!$B$14+MAX(0,(1-P707/'01_설정'!$B$7))*'01_설정'!$B$16+MAX(0,(1-Q707/'01_설정'!$B$8))*'01_설정'!$B$17+L707*'01_설정'!$B$11+M707*'01_설정'!$B$12+N707*50)</f>
        <v/>
      </c>
      <c r="T707">
        <f>IF(S707="","",1+COUNTIFS($S$31:$S$1030,"&gt;"&amp;S707)+COUNTIFS($S$31:S707,S707)-1)</f>
        <v/>
      </c>
    </row>
    <row r="708" hidden="1" ht="16.5" customHeight="1">
      <c r="A708">
        <f>IF(COUNTA('05_KAPA'!$A679:$AO679)=0,"",681)</f>
        <v/>
      </c>
      <c r="B708">
        <f>IF($A708="","",INDEX('05_KAPA'!$B:$B,$A708))</f>
        <v/>
      </c>
      <c r="C708">
        <f>IF($A708="","",INDEX('05_KAPA'!$F:$F,$A708))</f>
        <v/>
      </c>
      <c r="D708">
        <f>IF($A708="","",INDEX('05_KAPA'!$H:$H,$A708))</f>
        <v/>
      </c>
      <c r="E708">
        <f>IF($A708="","",INDEX('05_KAPA'!$K:$K,$A708))</f>
        <v/>
      </c>
      <c r="F708">
        <f>IF($A708="","",INDEX('05_KAPA'!$L:$L,$A708))</f>
        <v/>
      </c>
      <c r="G708">
        <f>IF($A708="","",INDEX('05_KAPA'!$I:$I,$A708))</f>
        <v/>
      </c>
      <c r="H708" s="202">
        <f>IF($A708="","",INDEX('05_KAPA'!$P:$P,$A708))</f>
        <v/>
      </c>
      <c r="I708" s="118">
        <f>IF($A708="","",INDEX('05_KAPA'!$O:$O,$A708))</f>
        <v/>
      </c>
      <c r="J708" s="202">
        <f>IF($A708="","",IFERROR(DATE(LEFT(TEXT(INDEX('05_KAPA'!$T:$T,$A708),"0"),4),MID(TEXT(INDEX('05_KAPA'!$T:$T,$A708),"0"),5,2),RIGHT(TEXT(INDEX('05_KAPA'!$T:$T,$A708),"0"),2)),""))</f>
        <v/>
      </c>
      <c r="K708">
        <f>IF(C708="","",IF('02_대상물건입력'!$B$5="",1,IF(ISNUMBER(SEARCH('02_대상물건입력'!$B$5,C708)),1,0)))</f>
        <v/>
      </c>
      <c r="L708">
        <f>IF(C708="","",IF('02_대상물건입력'!$B$6="",1,IF(ISNUMBER(SEARCH('02_대상물건입력'!$B$6,C708)),1,0)))</f>
        <v/>
      </c>
      <c r="M708">
        <f>IF(E708="","",IF('02_대상물건입력'!$B$8="",0,IF(ISNUMBER(SEARCH('02_대상물건입력'!$B$8,E708)),1,0)))</f>
        <v/>
      </c>
      <c r="N708">
        <f>IF(B708="","",IF(B708="담보",1,0))</f>
        <v/>
      </c>
      <c r="O708">
        <f>IFERROR(ABS(G708-'02_대상물건입력'!$B$11)/'02_대상물건입력'!$B$11,"")</f>
        <v/>
      </c>
      <c r="P708">
        <f>IFERROR(ABS('01_설정'!$B$4-H708),"")</f>
        <v/>
      </c>
      <c r="Q708">
        <f>IFERROR(ABS(YEAR(J708)-YEAR('02_대상물건입력'!$B$14)),"")</f>
        <v/>
      </c>
      <c r="R708">
        <f>IF(AND(G708&gt;0,H708&gt;0,I708&gt;0,N708=1,IF('01_설정'!$B$10=1,K708=1,TRUE()),O708&lt;='01_설정'!$B$5,P708&lt;='01_설정'!$B$7,Q708&lt;='01_설정'!$B$8),"Y","")</f>
        <v/>
      </c>
      <c r="S708">
        <f>IF(R708&lt;&gt;"Y","",MAX(0,(1-O708/'01_설정'!$B$5))*'01_설정'!$B$14+MAX(0,(1-P708/'01_설정'!$B$7))*'01_설정'!$B$16+MAX(0,(1-Q708/'01_설정'!$B$8))*'01_설정'!$B$17+L708*'01_설정'!$B$11+M708*'01_설정'!$B$12+N708*50)</f>
        <v/>
      </c>
      <c r="T708">
        <f>IF(S708="","",1+COUNTIFS($S$31:$S$1030,"&gt;"&amp;S708)+COUNTIFS($S$31:S708,S708)-1)</f>
        <v/>
      </c>
    </row>
    <row r="709" hidden="1" ht="16.5" customHeight="1">
      <c r="A709">
        <f>IF(COUNTA('05_KAPA'!$A680:$AO680)=0,"",682)</f>
        <v/>
      </c>
      <c r="B709">
        <f>IF($A709="","",INDEX('05_KAPA'!$B:$B,$A709))</f>
        <v/>
      </c>
      <c r="C709">
        <f>IF($A709="","",INDEX('05_KAPA'!$F:$F,$A709))</f>
        <v/>
      </c>
      <c r="D709">
        <f>IF($A709="","",INDEX('05_KAPA'!$H:$H,$A709))</f>
        <v/>
      </c>
      <c r="E709">
        <f>IF($A709="","",INDEX('05_KAPA'!$K:$K,$A709))</f>
        <v/>
      </c>
      <c r="F709">
        <f>IF($A709="","",INDEX('05_KAPA'!$L:$L,$A709))</f>
        <v/>
      </c>
      <c r="G709">
        <f>IF($A709="","",INDEX('05_KAPA'!$I:$I,$A709))</f>
        <v/>
      </c>
      <c r="H709" s="202">
        <f>IF($A709="","",INDEX('05_KAPA'!$P:$P,$A709))</f>
        <v/>
      </c>
      <c r="I709" s="118">
        <f>IF($A709="","",INDEX('05_KAPA'!$O:$O,$A709))</f>
        <v/>
      </c>
      <c r="J709" s="202">
        <f>IF($A709="","",IFERROR(DATE(LEFT(TEXT(INDEX('05_KAPA'!$T:$T,$A709),"0"),4),MID(TEXT(INDEX('05_KAPA'!$T:$T,$A709),"0"),5,2),RIGHT(TEXT(INDEX('05_KAPA'!$T:$T,$A709),"0"),2)),""))</f>
        <v/>
      </c>
      <c r="K709">
        <f>IF(C709="","",IF('02_대상물건입력'!$B$5="",1,IF(ISNUMBER(SEARCH('02_대상물건입력'!$B$5,C709)),1,0)))</f>
        <v/>
      </c>
      <c r="L709">
        <f>IF(C709="","",IF('02_대상물건입력'!$B$6="",1,IF(ISNUMBER(SEARCH('02_대상물건입력'!$B$6,C709)),1,0)))</f>
        <v/>
      </c>
      <c r="M709">
        <f>IF(E709="","",IF('02_대상물건입력'!$B$8="",0,IF(ISNUMBER(SEARCH('02_대상물건입력'!$B$8,E709)),1,0)))</f>
        <v/>
      </c>
      <c r="N709">
        <f>IF(B709="","",IF(B709="담보",1,0))</f>
        <v/>
      </c>
      <c r="O709">
        <f>IFERROR(ABS(G709-'02_대상물건입력'!$B$11)/'02_대상물건입력'!$B$11,"")</f>
        <v/>
      </c>
      <c r="P709">
        <f>IFERROR(ABS('01_설정'!$B$4-H709),"")</f>
        <v/>
      </c>
      <c r="Q709">
        <f>IFERROR(ABS(YEAR(J709)-YEAR('02_대상물건입력'!$B$14)),"")</f>
        <v/>
      </c>
      <c r="R709">
        <f>IF(AND(G709&gt;0,H709&gt;0,I709&gt;0,N709=1,IF('01_설정'!$B$10=1,K709=1,TRUE()),O709&lt;='01_설정'!$B$5,P709&lt;='01_설정'!$B$7,Q709&lt;='01_설정'!$B$8),"Y","")</f>
        <v/>
      </c>
      <c r="S709">
        <f>IF(R709&lt;&gt;"Y","",MAX(0,(1-O709/'01_설정'!$B$5))*'01_설정'!$B$14+MAX(0,(1-P709/'01_설정'!$B$7))*'01_설정'!$B$16+MAX(0,(1-Q709/'01_설정'!$B$8))*'01_설정'!$B$17+L709*'01_설정'!$B$11+M709*'01_설정'!$B$12+N709*50)</f>
        <v/>
      </c>
      <c r="T709">
        <f>IF(S709="","",1+COUNTIFS($S$31:$S$1030,"&gt;"&amp;S709)+COUNTIFS($S$31:S709,S709)-1)</f>
        <v/>
      </c>
    </row>
    <row r="710" hidden="1" ht="16.5" customHeight="1">
      <c r="A710">
        <f>IF(COUNTA('05_KAPA'!$A681:$AO681)=0,"",683)</f>
        <v/>
      </c>
      <c r="B710">
        <f>IF($A710="","",INDEX('05_KAPA'!$B:$B,$A710))</f>
        <v/>
      </c>
      <c r="C710">
        <f>IF($A710="","",INDEX('05_KAPA'!$F:$F,$A710))</f>
        <v/>
      </c>
      <c r="D710">
        <f>IF($A710="","",INDEX('05_KAPA'!$H:$H,$A710))</f>
        <v/>
      </c>
      <c r="E710">
        <f>IF($A710="","",INDEX('05_KAPA'!$K:$K,$A710))</f>
        <v/>
      </c>
      <c r="F710">
        <f>IF($A710="","",INDEX('05_KAPA'!$L:$L,$A710))</f>
        <v/>
      </c>
      <c r="G710">
        <f>IF($A710="","",INDEX('05_KAPA'!$I:$I,$A710))</f>
        <v/>
      </c>
      <c r="H710" s="202">
        <f>IF($A710="","",INDEX('05_KAPA'!$P:$P,$A710))</f>
        <v/>
      </c>
      <c r="I710" s="118">
        <f>IF($A710="","",INDEX('05_KAPA'!$O:$O,$A710))</f>
        <v/>
      </c>
      <c r="J710" s="202">
        <f>IF($A710="","",IFERROR(DATE(LEFT(TEXT(INDEX('05_KAPA'!$T:$T,$A710),"0"),4),MID(TEXT(INDEX('05_KAPA'!$T:$T,$A710),"0"),5,2),RIGHT(TEXT(INDEX('05_KAPA'!$T:$T,$A710),"0"),2)),""))</f>
        <v/>
      </c>
      <c r="K710">
        <f>IF(C710="","",IF('02_대상물건입력'!$B$5="",1,IF(ISNUMBER(SEARCH('02_대상물건입력'!$B$5,C710)),1,0)))</f>
        <v/>
      </c>
      <c r="L710">
        <f>IF(C710="","",IF('02_대상물건입력'!$B$6="",1,IF(ISNUMBER(SEARCH('02_대상물건입력'!$B$6,C710)),1,0)))</f>
        <v/>
      </c>
      <c r="M710">
        <f>IF(E710="","",IF('02_대상물건입력'!$B$8="",0,IF(ISNUMBER(SEARCH('02_대상물건입력'!$B$8,E710)),1,0)))</f>
        <v/>
      </c>
      <c r="N710">
        <f>IF(B710="","",IF(B710="담보",1,0))</f>
        <v/>
      </c>
      <c r="O710">
        <f>IFERROR(ABS(G710-'02_대상물건입력'!$B$11)/'02_대상물건입력'!$B$11,"")</f>
        <v/>
      </c>
      <c r="P710">
        <f>IFERROR(ABS('01_설정'!$B$4-H710),"")</f>
        <v/>
      </c>
      <c r="Q710">
        <f>IFERROR(ABS(YEAR(J710)-YEAR('02_대상물건입력'!$B$14)),"")</f>
        <v/>
      </c>
      <c r="R710">
        <f>IF(AND(G710&gt;0,H710&gt;0,I710&gt;0,N710=1,IF('01_설정'!$B$10=1,K710=1,TRUE()),O710&lt;='01_설정'!$B$5,P710&lt;='01_설정'!$B$7,Q710&lt;='01_설정'!$B$8),"Y","")</f>
        <v/>
      </c>
      <c r="S710">
        <f>IF(R710&lt;&gt;"Y","",MAX(0,(1-O710/'01_설정'!$B$5))*'01_설정'!$B$14+MAX(0,(1-P710/'01_설정'!$B$7))*'01_설정'!$B$16+MAX(0,(1-Q710/'01_설정'!$B$8))*'01_설정'!$B$17+L710*'01_설정'!$B$11+M710*'01_설정'!$B$12+N710*50)</f>
        <v/>
      </c>
      <c r="T710">
        <f>IF(S710="","",1+COUNTIFS($S$31:$S$1030,"&gt;"&amp;S710)+COUNTIFS($S$31:S710,S710)-1)</f>
        <v/>
      </c>
    </row>
    <row r="711" hidden="1" ht="16.5" customHeight="1">
      <c r="A711">
        <f>IF(COUNTA('05_KAPA'!$A682:$AO682)=0,"",684)</f>
        <v/>
      </c>
      <c r="B711">
        <f>IF($A711="","",INDEX('05_KAPA'!$B:$B,$A711))</f>
        <v/>
      </c>
      <c r="C711">
        <f>IF($A711="","",INDEX('05_KAPA'!$F:$F,$A711))</f>
        <v/>
      </c>
      <c r="D711">
        <f>IF($A711="","",INDEX('05_KAPA'!$H:$H,$A711))</f>
        <v/>
      </c>
      <c r="E711">
        <f>IF($A711="","",INDEX('05_KAPA'!$K:$K,$A711))</f>
        <v/>
      </c>
      <c r="F711">
        <f>IF($A711="","",INDEX('05_KAPA'!$L:$L,$A711))</f>
        <v/>
      </c>
      <c r="G711">
        <f>IF($A711="","",INDEX('05_KAPA'!$I:$I,$A711))</f>
        <v/>
      </c>
      <c r="H711" s="202">
        <f>IF($A711="","",INDEX('05_KAPA'!$P:$P,$A711))</f>
        <v/>
      </c>
      <c r="I711" s="118">
        <f>IF($A711="","",INDEX('05_KAPA'!$O:$O,$A711))</f>
        <v/>
      </c>
      <c r="J711" s="202">
        <f>IF($A711="","",IFERROR(DATE(LEFT(TEXT(INDEX('05_KAPA'!$T:$T,$A711),"0"),4),MID(TEXT(INDEX('05_KAPA'!$T:$T,$A711),"0"),5,2),RIGHT(TEXT(INDEX('05_KAPA'!$T:$T,$A711),"0"),2)),""))</f>
        <v/>
      </c>
      <c r="K711">
        <f>IF(C711="","",IF('02_대상물건입력'!$B$5="",1,IF(ISNUMBER(SEARCH('02_대상물건입력'!$B$5,C711)),1,0)))</f>
        <v/>
      </c>
      <c r="L711">
        <f>IF(C711="","",IF('02_대상물건입력'!$B$6="",1,IF(ISNUMBER(SEARCH('02_대상물건입력'!$B$6,C711)),1,0)))</f>
        <v/>
      </c>
      <c r="M711">
        <f>IF(E711="","",IF('02_대상물건입력'!$B$8="",0,IF(ISNUMBER(SEARCH('02_대상물건입력'!$B$8,E711)),1,0)))</f>
        <v/>
      </c>
      <c r="N711">
        <f>IF(B711="","",IF(B711="담보",1,0))</f>
        <v/>
      </c>
      <c r="O711">
        <f>IFERROR(ABS(G711-'02_대상물건입력'!$B$11)/'02_대상물건입력'!$B$11,"")</f>
        <v/>
      </c>
      <c r="P711">
        <f>IFERROR(ABS('01_설정'!$B$4-H711),"")</f>
        <v/>
      </c>
      <c r="Q711">
        <f>IFERROR(ABS(YEAR(J711)-YEAR('02_대상물건입력'!$B$14)),"")</f>
        <v/>
      </c>
      <c r="R711">
        <f>IF(AND(G711&gt;0,H711&gt;0,I711&gt;0,N711=1,IF('01_설정'!$B$10=1,K711=1,TRUE()),O711&lt;='01_설정'!$B$5,P711&lt;='01_설정'!$B$7,Q711&lt;='01_설정'!$B$8),"Y","")</f>
        <v/>
      </c>
      <c r="S711">
        <f>IF(R711&lt;&gt;"Y","",MAX(0,(1-O711/'01_설정'!$B$5))*'01_설정'!$B$14+MAX(0,(1-P711/'01_설정'!$B$7))*'01_설정'!$B$16+MAX(0,(1-Q711/'01_설정'!$B$8))*'01_설정'!$B$17+L711*'01_설정'!$B$11+M711*'01_설정'!$B$12+N711*50)</f>
        <v/>
      </c>
      <c r="T711">
        <f>IF(S711="","",1+COUNTIFS($S$31:$S$1030,"&gt;"&amp;S711)+COUNTIFS($S$31:S711,S711)-1)</f>
        <v/>
      </c>
    </row>
    <row r="712" hidden="1" ht="16.5" customHeight="1">
      <c r="A712">
        <f>IF(COUNTA('05_KAPA'!$A683:$AO683)=0,"",685)</f>
        <v/>
      </c>
      <c r="B712">
        <f>IF($A712="","",INDEX('05_KAPA'!$B:$B,$A712))</f>
        <v/>
      </c>
      <c r="C712">
        <f>IF($A712="","",INDEX('05_KAPA'!$F:$F,$A712))</f>
        <v/>
      </c>
      <c r="D712">
        <f>IF($A712="","",INDEX('05_KAPA'!$H:$H,$A712))</f>
        <v/>
      </c>
      <c r="E712">
        <f>IF($A712="","",INDEX('05_KAPA'!$K:$K,$A712))</f>
        <v/>
      </c>
      <c r="F712">
        <f>IF($A712="","",INDEX('05_KAPA'!$L:$L,$A712))</f>
        <v/>
      </c>
      <c r="G712">
        <f>IF($A712="","",INDEX('05_KAPA'!$I:$I,$A712))</f>
        <v/>
      </c>
      <c r="H712" s="202">
        <f>IF($A712="","",INDEX('05_KAPA'!$P:$P,$A712))</f>
        <v/>
      </c>
      <c r="I712" s="118">
        <f>IF($A712="","",INDEX('05_KAPA'!$O:$O,$A712))</f>
        <v/>
      </c>
      <c r="J712" s="202">
        <f>IF($A712="","",IFERROR(DATE(LEFT(TEXT(INDEX('05_KAPA'!$T:$T,$A712),"0"),4),MID(TEXT(INDEX('05_KAPA'!$T:$T,$A712),"0"),5,2),RIGHT(TEXT(INDEX('05_KAPA'!$T:$T,$A712),"0"),2)),""))</f>
        <v/>
      </c>
      <c r="K712">
        <f>IF(C712="","",IF('02_대상물건입력'!$B$5="",1,IF(ISNUMBER(SEARCH('02_대상물건입력'!$B$5,C712)),1,0)))</f>
        <v/>
      </c>
      <c r="L712">
        <f>IF(C712="","",IF('02_대상물건입력'!$B$6="",1,IF(ISNUMBER(SEARCH('02_대상물건입력'!$B$6,C712)),1,0)))</f>
        <v/>
      </c>
      <c r="M712">
        <f>IF(E712="","",IF('02_대상물건입력'!$B$8="",0,IF(ISNUMBER(SEARCH('02_대상물건입력'!$B$8,E712)),1,0)))</f>
        <v/>
      </c>
      <c r="N712">
        <f>IF(B712="","",IF(B712="담보",1,0))</f>
        <v/>
      </c>
      <c r="O712">
        <f>IFERROR(ABS(G712-'02_대상물건입력'!$B$11)/'02_대상물건입력'!$B$11,"")</f>
        <v/>
      </c>
      <c r="P712">
        <f>IFERROR(ABS('01_설정'!$B$4-H712),"")</f>
        <v/>
      </c>
      <c r="Q712">
        <f>IFERROR(ABS(YEAR(J712)-YEAR('02_대상물건입력'!$B$14)),"")</f>
        <v/>
      </c>
      <c r="R712">
        <f>IF(AND(G712&gt;0,H712&gt;0,I712&gt;0,N712=1,IF('01_설정'!$B$10=1,K712=1,TRUE()),O712&lt;='01_설정'!$B$5,P712&lt;='01_설정'!$B$7,Q712&lt;='01_설정'!$B$8),"Y","")</f>
        <v/>
      </c>
      <c r="S712">
        <f>IF(R712&lt;&gt;"Y","",MAX(0,(1-O712/'01_설정'!$B$5))*'01_설정'!$B$14+MAX(0,(1-P712/'01_설정'!$B$7))*'01_설정'!$B$16+MAX(0,(1-Q712/'01_설정'!$B$8))*'01_설정'!$B$17+L712*'01_설정'!$B$11+M712*'01_설정'!$B$12+N712*50)</f>
        <v/>
      </c>
      <c r="T712">
        <f>IF(S712="","",1+COUNTIFS($S$31:$S$1030,"&gt;"&amp;S712)+COUNTIFS($S$31:S712,S712)-1)</f>
        <v/>
      </c>
    </row>
    <row r="713" hidden="1" ht="16.5" customHeight="1">
      <c r="A713">
        <f>IF(COUNTA('05_KAPA'!$A684:$AO684)=0,"",686)</f>
        <v/>
      </c>
      <c r="B713">
        <f>IF($A713="","",INDEX('05_KAPA'!$B:$B,$A713))</f>
        <v/>
      </c>
      <c r="C713">
        <f>IF($A713="","",INDEX('05_KAPA'!$F:$F,$A713))</f>
        <v/>
      </c>
      <c r="D713">
        <f>IF($A713="","",INDEX('05_KAPA'!$H:$H,$A713))</f>
        <v/>
      </c>
      <c r="E713">
        <f>IF($A713="","",INDEX('05_KAPA'!$K:$K,$A713))</f>
        <v/>
      </c>
      <c r="F713">
        <f>IF($A713="","",INDEX('05_KAPA'!$L:$L,$A713))</f>
        <v/>
      </c>
      <c r="G713">
        <f>IF($A713="","",INDEX('05_KAPA'!$I:$I,$A713))</f>
        <v/>
      </c>
      <c r="H713" s="202">
        <f>IF($A713="","",INDEX('05_KAPA'!$P:$P,$A713))</f>
        <v/>
      </c>
      <c r="I713" s="118">
        <f>IF($A713="","",INDEX('05_KAPA'!$O:$O,$A713))</f>
        <v/>
      </c>
      <c r="J713" s="202">
        <f>IF($A713="","",IFERROR(DATE(LEFT(TEXT(INDEX('05_KAPA'!$T:$T,$A713),"0"),4),MID(TEXT(INDEX('05_KAPA'!$T:$T,$A713),"0"),5,2),RIGHT(TEXT(INDEX('05_KAPA'!$T:$T,$A713),"0"),2)),""))</f>
        <v/>
      </c>
      <c r="K713">
        <f>IF(C713="","",IF('02_대상물건입력'!$B$5="",1,IF(ISNUMBER(SEARCH('02_대상물건입력'!$B$5,C713)),1,0)))</f>
        <v/>
      </c>
      <c r="L713">
        <f>IF(C713="","",IF('02_대상물건입력'!$B$6="",1,IF(ISNUMBER(SEARCH('02_대상물건입력'!$B$6,C713)),1,0)))</f>
        <v/>
      </c>
      <c r="M713">
        <f>IF(E713="","",IF('02_대상물건입력'!$B$8="",0,IF(ISNUMBER(SEARCH('02_대상물건입력'!$B$8,E713)),1,0)))</f>
        <v/>
      </c>
      <c r="N713">
        <f>IF(B713="","",IF(B713="담보",1,0))</f>
        <v/>
      </c>
      <c r="O713">
        <f>IFERROR(ABS(G713-'02_대상물건입력'!$B$11)/'02_대상물건입력'!$B$11,"")</f>
        <v/>
      </c>
      <c r="P713">
        <f>IFERROR(ABS('01_설정'!$B$4-H713),"")</f>
        <v/>
      </c>
      <c r="Q713">
        <f>IFERROR(ABS(YEAR(J713)-YEAR('02_대상물건입력'!$B$14)),"")</f>
        <v/>
      </c>
      <c r="R713">
        <f>IF(AND(G713&gt;0,H713&gt;0,I713&gt;0,N713=1,IF('01_설정'!$B$10=1,K713=1,TRUE()),O713&lt;='01_설정'!$B$5,P713&lt;='01_설정'!$B$7,Q713&lt;='01_설정'!$B$8),"Y","")</f>
        <v/>
      </c>
      <c r="S713">
        <f>IF(R713&lt;&gt;"Y","",MAX(0,(1-O713/'01_설정'!$B$5))*'01_설정'!$B$14+MAX(0,(1-P713/'01_설정'!$B$7))*'01_설정'!$B$16+MAX(0,(1-Q713/'01_설정'!$B$8))*'01_설정'!$B$17+L713*'01_설정'!$B$11+M713*'01_설정'!$B$12+N713*50)</f>
        <v/>
      </c>
      <c r="T713">
        <f>IF(S713="","",1+COUNTIFS($S$31:$S$1030,"&gt;"&amp;S713)+COUNTIFS($S$31:S713,S713)-1)</f>
        <v/>
      </c>
    </row>
    <row r="714" hidden="1" ht="16.5" customHeight="1">
      <c r="A714">
        <f>IF(COUNTA('05_KAPA'!$A685:$AO685)=0,"",687)</f>
        <v/>
      </c>
      <c r="B714">
        <f>IF($A714="","",INDEX('05_KAPA'!$B:$B,$A714))</f>
        <v/>
      </c>
      <c r="C714">
        <f>IF($A714="","",INDEX('05_KAPA'!$F:$F,$A714))</f>
        <v/>
      </c>
      <c r="D714">
        <f>IF($A714="","",INDEX('05_KAPA'!$H:$H,$A714))</f>
        <v/>
      </c>
      <c r="E714">
        <f>IF($A714="","",INDEX('05_KAPA'!$K:$K,$A714))</f>
        <v/>
      </c>
      <c r="F714">
        <f>IF($A714="","",INDEX('05_KAPA'!$L:$L,$A714))</f>
        <v/>
      </c>
      <c r="G714">
        <f>IF($A714="","",INDEX('05_KAPA'!$I:$I,$A714))</f>
        <v/>
      </c>
      <c r="H714" s="202">
        <f>IF($A714="","",INDEX('05_KAPA'!$P:$P,$A714))</f>
        <v/>
      </c>
      <c r="I714" s="118">
        <f>IF($A714="","",INDEX('05_KAPA'!$O:$O,$A714))</f>
        <v/>
      </c>
      <c r="J714" s="202">
        <f>IF($A714="","",IFERROR(DATE(LEFT(TEXT(INDEX('05_KAPA'!$T:$T,$A714),"0"),4),MID(TEXT(INDEX('05_KAPA'!$T:$T,$A714),"0"),5,2),RIGHT(TEXT(INDEX('05_KAPA'!$T:$T,$A714),"0"),2)),""))</f>
        <v/>
      </c>
      <c r="K714">
        <f>IF(C714="","",IF('02_대상물건입력'!$B$5="",1,IF(ISNUMBER(SEARCH('02_대상물건입력'!$B$5,C714)),1,0)))</f>
        <v/>
      </c>
      <c r="L714">
        <f>IF(C714="","",IF('02_대상물건입력'!$B$6="",1,IF(ISNUMBER(SEARCH('02_대상물건입력'!$B$6,C714)),1,0)))</f>
        <v/>
      </c>
      <c r="M714">
        <f>IF(E714="","",IF('02_대상물건입력'!$B$8="",0,IF(ISNUMBER(SEARCH('02_대상물건입력'!$B$8,E714)),1,0)))</f>
        <v/>
      </c>
      <c r="N714">
        <f>IF(B714="","",IF(B714="담보",1,0))</f>
        <v/>
      </c>
      <c r="O714">
        <f>IFERROR(ABS(G714-'02_대상물건입력'!$B$11)/'02_대상물건입력'!$B$11,"")</f>
        <v/>
      </c>
      <c r="P714">
        <f>IFERROR(ABS('01_설정'!$B$4-H714),"")</f>
        <v/>
      </c>
      <c r="Q714">
        <f>IFERROR(ABS(YEAR(J714)-YEAR('02_대상물건입력'!$B$14)),"")</f>
        <v/>
      </c>
      <c r="R714">
        <f>IF(AND(G714&gt;0,H714&gt;0,I714&gt;0,N714=1,IF('01_설정'!$B$10=1,K714=1,TRUE()),O714&lt;='01_설정'!$B$5,P714&lt;='01_설정'!$B$7,Q714&lt;='01_설정'!$B$8),"Y","")</f>
        <v/>
      </c>
      <c r="S714">
        <f>IF(R714&lt;&gt;"Y","",MAX(0,(1-O714/'01_설정'!$B$5))*'01_설정'!$B$14+MAX(0,(1-P714/'01_설정'!$B$7))*'01_설정'!$B$16+MAX(0,(1-Q714/'01_설정'!$B$8))*'01_설정'!$B$17+L714*'01_설정'!$B$11+M714*'01_설정'!$B$12+N714*50)</f>
        <v/>
      </c>
      <c r="T714">
        <f>IF(S714="","",1+COUNTIFS($S$31:$S$1030,"&gt;"&amp;S714)+COUNTIFS($S$31:S714,S714)-1)</f>
        <v/>
      </c>
    </row>
    <row r="715" hidden="1" ht="16.5" customHeight="1">
      <c r="A715">
        <f>IF(COUNTA('05_KAPA'!$A686:$AO686)=0,"",688)</f>
        <v/>
      </c>
      <c r="B715">
        <f>IF($A715="","",INDEX('05_KAPA'!$B:$B,$A715))</f>
        <v/>
      </c>
      <c r="C715">
        <f>IF($A715="","",INDEX('05_KAPA'!$F:$F,$A715))</f>
        <v/>
      </c>
      <c r="D715">
        <f>IF($A715="","",INDEX('05_KAPA'!$H:$H,$A715))</f>
        <v/>
      </c>
      <c r="E715">
        <f>IF($A715="","",INDEX('05_KAPA'!$K:$K,$A715))</f>
        <v/>
      </c>
      <c r="F715">
        <f>IF($A715="","",INDEX('05_KAPA'!$L:$L,$A715))</f>
        <v/>
      </c>
      <c r="G715">
        <f>IF($A715="","",INDEX('05_KAPA'!$I:$I,$A715))</f>
        <v/>
      </c>
      <c r="H715" s="202">
        <f>IF($A715="","",INDEX('05_KAPA'!$P:$P,$A715))</f>
        <v/>
      </c>
      <c r="I715" s="118">
        <f>IF($A715="","",INDEX('05_KAPA'!$O:$O,$A715))</f>
        <v/>
      </c>
      <c r="J715" s="202">
        <f>IF($A715="","",IFERROR(DATE(LEFT(TEXT(INDEX('05_KAPA'!$T:$T,$A715),"0"),4),MID(TEXT(INDEX('05_KAPA'!$T:$T,$A715),"0"),5,2),RIGHT(TEXT(INDEX('05_KAPA'!$T:$T,$A715),"0"),2)),""))</f>
        <v/>
      </c>
      <c r="K715">
        <f>IF(C715="","",IF('02_대상물건입력'!$B$5="",1,IF(ISNUMBER(SEARCH('02_대상물건입력'!$B$5,C715)),1,0)))</f>
        <v/>
      </c>
      <c r="L715">
        <f>IF(C715="","",IF('02_대상물건입력'!$B$6="",1,IF(ISNUMBER(SEARCH('02_대상물건입력'!$B$6,C715)),1,0)))</f>
        <v/>
      </c>
      <c r="M715">
        <f>IF(E715="","",IF('02_대상물건입력'!$B$8="",0,IF(ISNUMBER(SEARCH('02_대상물건입력'!$B$8,E715)),1,0)))</f>
        <v/>
      </c>
      <c r="N715">
        <f>IF(B715="","",IF(B715="담보",1,0))</f>
        <v/>
      </c>
      <c r="O715">
        <f>IFERROR(ABS(G715-'02_대상물건입력'!$B$11)/'02_대상물건입력'!$B$11,"")</f>
        <v/>
      </c>
      <c r="P715">
        <f>IFERROR(ABS('01_설정'!$B$4-H715),"")</f>
        <v/>
      </c>
      <c r="Q715">
        <f>IFERROR(ABS(YEAR(J715)-YEAR('02_대상물건입력'!$B$14)),"")</f>
        <v/>
      </c>
      <c r="R715">
        <f>IF(AND(G715&gt;0,H715&gt;0,I715&gt;0,N715=1,IF('01_설정'!$B$10=1,K715=1,TRUE()),O715&lt;='01_설정'!$B$5,P715&lt;='01_설정'!$B$7,Q715&lt;='01_설정'!$B$8),"Y","")</f>
        <v/>
      </c>
      <c r="S715">
        <f>IF(R715&lt;&gt;"Y","",MAX(0,(1-O715/'01_설정'!$B$5))*'01_설정'!$B$14+MAX(0,(1-P715/'01_설정'!$B$7))*'01_설정'!$B$16+MAX(0,(1-Q715/'01_설정'!$B$8))*'01_설정'!$B$17+L715*'01_설정'!$B$11+M715*'01_설정'!$B$12+N715*50)</f>
        <v/>
      </c>
      <c r="T715">
        <f>IF(S715="","",1+COUNTIFS($S$31:$S$1030,"&gt;"&amp;S715)+COUNTIFS($S$31:S715,S715)-1)</f>
        <v/>
      </c>
    </row>
    <row r="716" hidden="1" ht="16.5" customHeight="1">
      <c r="A716">
        <f>IF(COUNTA('05_KAPA'!$A687:$AO687)=0,"",689)</f>
        <v/>
      </c>
      <c r="B716">
        <f>IF($A716="","",INDEX('05_KAPA'!$B:$B,$A716))</f>
        <v/>
      </c>
      <c r="C716">
        <f>IF($A716="","",INDEX('05_KAPA'!$F:$F,$A716))</f>
        <v/>
      </c>
      <c r="D716">
        <f>IF($A716="","",INDEX('05_KAPA'!$H:$H,$A716))</f>
        <v/>
      </c>
      <c r="E716">
        <f>IF($A716="","",INDEX('05_KAPA'!$K:$K,$A716))</f>
        <v/>
      </c>
      <c r="F716">
        <f>IF($A716="","",INDEX('05_KAPA'!$L:$L,$A716))</f>
        <v/>
      </c>
      <c r="G716">
        <f>IF($A716="","",INDEX('05_KAPA'!$I:$I,$A716))</f>
        <v/>
      </c>
      <c r="H716" s="202">
        <f>IF($A716="","",INDEX('05_KAPA'!$P:$P,$A716))</f>
        <v/>
      </c>
      <c r="I716" s="118">
        <f>IF($A716="","",INDEX('05_KAPA'!$O:$O,$A716))</f>
        <v/>
      </c>
      <c r="J716" s="202">
        <f>IF($A716="","",IFERROR(DATE(LEFT(TEXT(INDEX('05_KAPA'!$T:$T,$A716),"0"),4),MID(TEXT(INDEX('05_KAPA'!$T:$T,$A716),"0"),5,2),RIGHT(TEXT(INDEX('05_KAPA'!$T:$T,$A716),"0"),2)),""))</f>
        <v/>
      </c>
      <c r="K716">
        <f>IF(C716="","",IF('02_대상물건입력'!$B$5="",1,IF(ISNUMBER(SEARCH('02_대상물건입력'!$B$5,C716)),1,0)))</f>
        <v/>
      </c>
      <c r="L716">
        <f>IF(C716="","",IF('02_대상물건입력'!$B$6="",1,IF(ISNUMBER(SEARCH('02_대상물건입력'!$B$6,C716)),1,0)))</f>
        <v/>
      </c>
      <c r="M716">
        <f>IF(E716="","",IF('02_대상물건입력'!$B$8="",0,IF(ISNUMBER(SEARCH('02_대상물건입력'!$B$8,E716)),1,0)))</f>
        <v/>
      </c>
      <c r="N716">
        <f>IF(B716="","",IF(B716="담보",1,0))</f>
        <v/>
      </c>
      <c r="O716">
        <f>IFERROR(ABS(G716-'02_대상물건입력'!$B$11)/'02_대상물건입력'!$B$11,"")</f>
        <v/>
      </c>
      <c r="P716">
        <f>IFERROR(ABS('01_설정'!$B$4-H716),"")</f>
        <v/>
      </c>
      <c r="Q716">
        <f>IFERROR(ABS(YEAR(J716)-YEAR('02_대상물건입력'!$B$14)),"")</f>
        <v/>
      </c>
      <c r="R716">
        <f>IF(AND(G716&gt;0,H716&gt;0,I716&gt;0,N716=1,IF('01_설정'!$B$10=1,K716=1,TRUE()),O716&lt;='01_설정'!$B$5,P716&lt;='01_설정'!$B$7,Q716&lt;='01_설정'!$B$8),"Y","")</f>
        <v/>
      </c>
      <c r="S716">
        <f>IF(R716&lt;&gt;"Y","",MAX(0,(1-O716/'01_설정'!$B$5))*'01_설정'!$B$14+MAX(0,(1-P716/'01_설정'!$B$7))*'01_설정'!$B$16+MAX(0,(1-Q716/'01_설정'!$B$8))*'01_설정'!$B$17+L716*'01_설정'!$B$11+M716*'01_설정'!$B$12+N716*50)</f>
        <v/>
      </c>
      <c r="T716">
        <f>IF(S716="","",1+COUNTIFS($S$31:$S$1030,"&gt;"&amp;S716)+COUNTIFS($S$31:S716,S716)-1)</f>
        <v/>
      </c>
    </row>
    <row r="717" hidden="1" ht="16.5" customHeight="1">
      <c r="A717">
        <f>IF(COUNTA('05_KAPA'!$A688:$AO688)=0,"",690)</f>
        <v/>
      </c>
      <c r="B717">
        <f>IF($A717="","",INDEX('05_KAPA'!$B:$B,$A717))</f>
        <v/>
      </c>
      <c r="C717">
        <f>IF($A717="","",INDEX('05_KAPA'!$F:$F,$A717))</f>
        <v/>
      </c>
      <c r="D717">
        <f>IF($A717="","",INDEX('05_KAPA'!$H:$H,$A717))</f>
        <v/>
      </c>
      <c r="E717">
        <f>IF($A717="","",INDEX('05_KAPA'!$K:$K,$A717))</f>
        <v/>
      </c>
      <c r="F717">
        <f>IF($A717="","",INDEX('05_KAPA'!$L:$L,$A717))</f>
        <v/>
      </c>
      <c r="G717">
        <f>IF($A717="","",INDEX('05_KAPA'!$I:$I,$A717))</f>
        <v/>
      </c>
      <c r="H717" s="202">
        <f>IF($A717="","",INDEX('05_KAPA'!$P:$P,$A717))</f>
        <v/>
      </c>
      <c r="I717" s="118">
        <f>IF($A717="","",INDEX('05_KAPA'!$O:$O,$A717))</f>
        <v/>
      </c>
      <c r="J717" s="202">
        <f>IF($A717="","",IFERROR(DATE(LEFT(TEXT(INDEX('05_KAPA'!$T:$T,$A717),"0"),4),MID(TEXT(INDEX('05_KAPA'!$T:$T,$A717),"0"),5,2),RIGHT(TEXT(INDEX('05_KAPA'!$T:$T,$A717),"0"),2)),""))</f>
        <v/>
      </c>
      <c r="K717">
        <f>IF(C717="","",IF('02_대상물건입력'!$B$5="",1,IF(ISNUMBER(SEARCH('02_대상물건입력'!$B$5,C717)),1,0)))</f>
        <v/>
      </c>
      <c r="L717">
        <f>IF(C717="","",IF('02_대상물건입력'!$B$6="",1,IF(ISNUMBER(SEARCH('02_대상물건입력'!$B$6,C717)),1,0)))</f>
        <v/>
      </c>
      <c r="M717">
        <f>IF(E717="","",IF('02_대상물건입력'!$B$8="",0,IF(ISNUMBER(SEARCH('02_대상물건입력'!$B$8,E717)),1,0)))</f>
        <v/>
      </c>
      <c r="N717">
        <f>IF(B717="","",IF(B717="담보",1,0))</f>
        <v/>
      </c>
      <c r="O717">
        <f>IFERROR(ABS(G717-'02_대상물건입력'!$B$11)/'02_대상물건입력'!$B$11,"")</f>
        <v/>
      </c>
      <c r="P717">
        <f>IFERROR(ABS('01_설정'!$B$4-H717),"")</f>
        <v/>
      </c>
      <c r="Q717">
        <f>IFERROR(ABS(YEAR(J717)-YEAR('02_대상물건입력'!$B$14)),"")</f>
        <v/>
      </c>
      <c r="R717">
        <f>IF(AND(G717&gt;0,H717&gt;0,I717&gt;0,N717=1,IF('01_설정'!$B$10=1,K717=1,TRUE()),O717&lt;='01_설정'!$B$5,P717&lt;='01_설정'!$B$7,Q717&lt;='01_설정'!$B$8),"Y","")</f>
        <v/>
      </c>
      <c r="S717">
        <f>IF(R717&lt;&gt;"Y","",MAX(0,(1-O717/'01_설정'!$B$5))*'01_설정'!$B$14+MAX(0,(1-P717/'01_설정'!$B$7))*'01_설정'!$B$16+MAX(0,(1-Q717/'01_설정'!$B$8))*'01_설정'!$B$17+L717*'01_설정'!$B$11+M717*'01_설정'!$B$12+N717*50)</f>
        <v/>
      </c>
      <c r="T717">
        <f>IF(S717="","",1+COUNTIFS($S$31:$S$1030,"&gt;"&amp;S717)+COUNTIFS($S$31:S717,S717)-1)</f>
        <v/>
      </c>
    </row>
    <row r="718" hidden="1" ht="16.5" customHeight="1">
      <c r="A718">
        <f>IF(COUNTA('05_KAPA'!$A689:$AO689)=0,"",691)</f>
        <v/>
      </c>
      <c r="B718">
        <f>IF($A718="","",INDEX('05_KAPA'!$B:$B,$A718))</f>
        <v/>
      </c>
      <c r="C718">
        <f>IF($A718="","",INDEX('05_KAPA'!$F:$F,$A718))</f>
        <v/>
      </c>
      <c r="D718">
        <f>IF($A718="","",INDEX('05_KAPA'!$H:$H,$A718))</f>
        <v/>
      </c>
      <c r="E718">
        <f>IF($A718="","",INDEX('05_KAPA'!$K:$K,$A718))</f>
        <v/>
      </c>
      <c r="F718">
        <f>IF($A718="","",INDEX('05_KAPA'!$L:$L,$A718))</f>
        <v/>
      </c>
      <c r="G718">
        <f>IF($A718="","",INDEX('05_KAPA'!$I:$I,$A718))</f>
        <v/>
      </c>
      <c r="H718" s="202">
        <f>IF($A718="","",INDEX('05_KAPA'!$P:$P,$A718))</f>
        <v/>
      </c>
      <c r="I718" s="118">
        <f>IF($A718="","",INDEX('05_KAPA'!$O:$O,$A718))</f>
        <v/>
      </c>
      <c r="J718" s="202">
        <f>IF($A718="","",IFERROR(DATE(LEFT(TEXT(INDEX('05_KAPA'!$T:$T,$A718),"0"),4),MID(TEXT(INDEX('05_KAPA'!$T:$T,$A718),"0"),5,2),RIGHT(TEXT(INDEX('05_KAPA'!$T:$T,$A718),"0"),2)),""))</f>
        <v/>
      </c>
      <c r="K718">
        <f>IF(C718="","",IF('02_대상물건입력'!$B$5="",1,IF(ISNUMBER(SEARCH('02_대상물건입력'!$B$5,C718)),1,0)))</f>
        <v/>
      </c>
      <c r="L718">
        <f>IF(C718="","",IF('02_대상물건입력'!$B$6="",1,IF(ISNUMBER(SEARCH('02_대상물건입력'!$B$6,C718)),1,0)))</f>
        <v/>
      </c>
      <c r="M718">
        <f>IF(E718="","",IF('02_대상물건입력'!$B$8="",0,IF(ISNUMBER(SEARCH('02_대상물건입력'!$B$8,E718)),1,0)))</f>
        <v/>
      </c>
      <c r="N718">
        <f>IF(B718="","",IF(B718="담보",1,0))</f>
        <v/>
      </c>
      <c r="O718">
        <f>IFERROR(ABS(G718-'02_대상물건입력'!$B$11)/'02_대상물건입력'!$B$11,"")</f>
        <v/>
      </c>
      <c r="P718">
        <f>IFERROR(ABS('01_설정'!$B$4-H718),"")</f>
        <v/>
      </c>
      <c r="Q718">
        <f>IFERROR(ABS(YEAR(J718)-YEAR('02_대상물건입력'!$B$14)),"")</f>
        <v/>
      </c>
      <c r="R718">
        <f>IF(AND(G718&gt;0,H718&gt;0,I718&gt;0,N718=1,IF('01_설정'!$B$10=1,K718=1,TRUE()),O718&lt;='01_설정'!$B$5,P718&lt;='01_설정'!$B$7,Q718&lt;='01_설정'!$B$8),"Y","")</f>
        <v/>
      </c>
      <c r="S718">
        <f>IF(R718&lt;&gt;"Y","",MAX(0,(1-O718/'01_설정'!$B$5))*'01_설정'!$B$14+MAX(0,(1-P718/'01_설정'!$B$7))*'01_설정'!$B$16+MAX(0,(1-Q718/'01_설정'!$B$8))*'01_설정'!$B$17+L718*'01_설정'!$B$11+M718*'01_설정'!$B$12+N718*50)</f>
        <v/>
      </c>
      <c r="T718">
        <f>IF(S718="","",1+COUNTIFS($S$31:$S$1030,"&gt;"&amp;S718)+COUNTIFS($S$31:S718,S718)-1)</f>
        <v/>
      </c>
    </row>
    <row r="719" hidden="1" ht="16.5" customHeight="1">
      <c r="A719">
        <f>IF(COUNTA('05_KAPA'!$A690:$AO690)=0,"",692)</f>
        <v/>
      </c>
      <c r="B719">
        <f>IF($A719="","",INDEX('05_KAPA'!$B:$B,$A719))</f>
        <v/>
      </c>
      <c r="C719">
        <f>IF($A719="","",INDEX('05_KAPA'!$F:$F,$A719))</f>
        <v/>
      </c>
      <c r="D719">
        <f>IF($A719="","",INDEX('05_KAPA'!$H:$H,$A719))</f>
        <v/>
      </c>
      <c r="E719">
        <f>IF($A719="","",INDEX('05_KAPA'!$K:$K,$A719))</f>
        <v/>
      </c>
      <c r="F719">
        <f>IF($A719="","",INDEX('05_KAPA'!$L:$L,$A719))</f>
        <v/>
      </c>
      <c r="G719">
        <f>IF($A719="","",INDEX('05_KAPA'!$I:$I,$A719))</f>
        <v/>
      </c>
      <c r="H719" s="202">
        <f>IF($A719="","",INDEX('05_KAPA'!$P:$P,$A719))</f>
        <v/>
      </c>
      <c r="I719" s="118">
        <f>IF($A719="","",INDEX('05_KAPA'!$O:$O,$A719))</f>
        <v/>
      </c>
      <c r="J719" s="202">
        <f>IF($A719="","",IFERROR(DATE(LEFT(TEXT(INDEX('05_KAPA'!$T:$T,$A719),"0"),4),MID(TEXT(INDEX('05_KAPA'!$T:$T,$A719),"0"),5,2),RIGHT(TEXT(INDEX('05_KAPA'!$T:$T,$A719),"0"),2)),""))</f>
        <v/>
      </c>
      <c r="K719">
        <f>IF(C719="","",IF('02_대상물건입력'!$B$5="",1,IF(ISNUMBER(SEARCH('02_대상물건입력'!$B$5,C719)),1,0)))</f>
        <v/>
      </c>
      <c r="L719">
        <f>IF(C719="","",IF('02_대상물건입력'!$B$6="",1,IF(ISNUMBER(SEARCH('02_대상물건입력'!$B$6,C719)),1,0)))</f>
        <v/>
      </c>
      <c r="M719">
        <f>IF(E719="","",IF('02_대상물건입력'!$B$8="",0,IF(ISNUMBER(SEARCH('02_대상물건입력'!$B$8,E719)),1,0)))</f>
        <v/>
      </c>
      <c r="N719">
        <f>IF(B719="","",IF(B719="담보",1,0))</f>
        <v/>
      </c>
      <c r="O719">
        <f>IFERROR(ABS(G719-'02_대상물건입력'!$B$11)/'02_대상물건입력'!$B$11,"")</f>
        <v/>
      </c>
      <c r="P719">
        <f>IFERROR(ABS('01_설정'!$B$4-H719),"")</f>
        <v/>
      </c>
      <c r="Q719">
        <f>IFERROR(ABS(YEAR(J719)-YEAR('02_대상물건입력'!$B$14)),"")</f>
        <v/>
      </c>
      <c r="R719">
        <f>IF(AND(G719&gt;0,H719&gt;0,I719&gt;0,N719=1,IF('01_설정'!$B$10=1,K719=1,TRUE()),O719&lt;='01_설정'!$B$5,P719&lt;='01_설정'!$B$7,Q719&lt;='01_설정'!$B$8),"Y","")</f>
        <v/>
      </c>
      <c r="S719">
        <f>IF(R719&lt;&gt;"Y","",MAX(0,(1-O719/'01_설정'!$B$5))*'01_설정'!$B$14+MAX(0,(1-P719/'01_설정'!$B$7))*'01_설정'!$B$16+MAX(0,(1-Q719/'01_설정'!$B$8))*'01_설정'!$B$17+L719*'01_설정'!$B$11+M719*'01_설정'!$B$12+N719*50)</f>
        <v/>
      </c>
      <c r="T719">
        <f>IF(S719="","",1+COUNTIFS($S$31:$S$1030,"&gt;"&amp;S719)+COUNTIFS($S$31:S719,S719)-1)</f>
        <v/>
      </c>
    </row>
    <row r="720" hidden="1" ht="16.5" customHeight="1">
      <c r="A720">
        <f>IF(COUNTA('05_KAPA'!$A691:$AO691)=0,"",693)</f>
        <v/>
      </c>
      <c r="B720">
        <f>IF($A720="","",INDEX('05_KAPA'!$B:$B,$A720))</f>
        <v/>
      </c>
      <c r="C720">
        <f>IF($A720="","",INDEX('05_KAPA'!$F:$F,$A720))</f>
        <v/>
      </c>
      <c r="D720">
        <f>IF($A720="","",INDEX('05_KAPA'!$H:$H,$A720))</f>
        <v/>
      </c>
      <c r="E720">
        <f>IF($A720="","",INDEX('05_KAPA'!$K:$K,$A720))</f>
        <v/>
      </c>
      <c r="F720">
        <f>IF($A720="","",INDEX('05_KAPA'!$L:$L,$A720))</f>
        <v/>
      </c>
      <c r="G720">
        <f>IF($A720="","",INDEX('05_KAPA'!$I:$I,$A720))</f>
        <v/>
      </c>
      <c r="H720" s="202">
        <f>IF($A720="","",INDEX('05_KAPA'!$P:$P,$A720))</f>
        <v/>
      </c>
      <c r="I720" s="118">
        <f>IF($A720="","",INDEX('05_KAPA'!$O:$O,$A720))</f>
        <v/>
      </c>
      <c r="J720" s="202">
        <f>IF($A720="","",IFERROR(DATE(LEFT(TEXT(INDEX('05_KAPA'!$T:$T,$A720),"0"),4),MID(TEXT(INDEX('05_KAPA'!$T:$T,$A720),"0"),5,2),RIGHT(TEXT(INDEX('05_KAPA'!$T:$T,$A720),"0"),2)),""))</f>
        <v/>
      </c>
      <c r="K720">
        <f>IF(C720="","",IF('02_대상물건입력'!$B$5="",1,IF(ISNUMBER(SEARCH('02_대상물건입력'!$B$5,C720)),1,0)))</f>
        <v/>
      </c>
      <c r="L720">
        <f>IF(C720="","",IF('02_대상물건입력'!$B$6="",1,IF(ISNUMBER(SEARCH('02_대상물건입력'!$B$6,C720)),1,0)))</f>
        <v/>
      </c>
      <c r="M720">
        <f>IF(E720="","",IF('02_대상물건입력'!$B$8="",0,IF(ISNUMBER(SEARCH('02_대상물건입력'!$B$8,E720)),1,0)))</f>
        <v/>
      </c>
      <c r="N720">
        <f>IF(B720="","",IF(B720="담보",1,0))</f>
        <v/>
      </c>
      <c r="O720">
        <f>IFERROR(ABS(G720-'02_대상물건입력'!$B$11)/'02_대상물건입력'!$B$11,"")</f>
        <v/>
      </c>
      <c r="P720">
        <f>IFERROR(ABS('01_설정'!$B$4-H720),"")</f>
        <v/>
      </c>
      <c r="Q720">
        <f>IFERROR(ABS(YEAR(J720)-YEAR('02_대상물건입력'!$B$14)),"")</f>
        <v/>
      </c>
      <c r="R720">
        <f>IF(AND(G720&gt;0,H720&gt;0,I720&gt;0,N720=1,IF('01_설정'!$B$10=1,K720=1,TRUE()),O720&lt;='01_설정'!$B$5,P720&lt;='01_설정'!$B$7,Q720&lt;='01_설정'!$B$8),"Y","")</f>
        <v/>
      </c>
      <c r="S720">
        <f>IF(R720&lt;&gt;"Y","",MAX(0,(1-O720/'01_설정'!$B$5))*'01_설정'!$B$14+MAX(0,(1-P720/'01_설정'!$B$7))*'01_설정'!$B$16+MAX(0,(1-Q720/'01_설정'!$B$8))*'01_설정'!$B$17+L720*'01_설정'!$B$11+M720*'01_설정'!$B$12+N720*50)</f>
        <v/>
      </c>
      <c r="T720">
        <f>IF(S720="","",1+COUNTIFS($S$31:$S$1030,"&gt;"&amp;S720)+COUNTIFS($S$31:S720,S720)-1)</f>
        <v/>
      </c>
    </row>
    <row r="721" hidden="1" ht="16.5" customHeight="1">
      <c r="A721">
        <f>IF(COUNTA('05_KAPA'!$A692:$AO692)=0,"",694)</f>
        <v/>
      </c>
      <c r="B721">
        <f>IF($A721="","",INDEX('05_KAPA'!$B:$B,$A721))</f>
        <v/>
      </c>
      <c r="C721">
        <f>IF($A721="","",INDEX('05_KAPA'!$F:$F,$A721))</f>
        <v/>
      </c>
      <c r="D721">
        <f>IF($A721="","",INDEX('05_KAPA'!$H:$H,$A721))</f>
        <v/>
      </c>
      <c r="E721">
        <f>IF($A721="","",INDEX('05_KAPA'!$K:$K,$A721))</f>
        <v/>
      </c>
      <c r="F721">
        <f>IF($A721="","",INDEX('05_KAPA'!$L:$L,$A721))</f>
        <v/>
      </c>
      <c r="G721">
        <f>IF($A721="","",INDEX('05_KAPA'!$I:$I,$A721))</f>
        <v/>
      </c>
      <c r="H721" s="202">
        <f>IF($A721="","",INDEX('05_KAPA'!$P:$P,$A721))</f>
        <v/>
      </c>
      <c r="I721" s="118">
        <f>IF($A721="","",INDEX('05_KAPA'!$O:$O,$A721))</f>
        <v/>
      </c>
      <c r="J721" s="202">
        <f>IF($A721="","",IFERROR(DATE(LEFT(TEXT(INDEX('05_KAPA'!$T:$T,$A721),"0"),4),MID(TEXT(INDEX('05_KAPA'!$T:$T,$A721),"0"),5,2),RIGHT(TEXT(INDEX('05_KAPA'!$T:$T,$A721),"0"),2)),""))</f>
        <v/>
      </c>
      <c r="K721">
        <f>IF(C721="","",IF('02_대상물건입력'!$B$5="",1,IF(ISNUMBER(SEARCH('02_대상물건입력'!$B$5,C721)),1,0)))</f>
        <v/>
      </c>
      <c r="L721">
        <f>IF(C721="","",IF('02_대상물건입력'!$B$6="",1,IF(ISNUMBER(SEARCH('02_대상물건입력'!$B$6,C721)),1,0)))</f>
        <v/>
      </c>
      <c r="M721">
        <f>IF(E721="","",IF('02_대상물건입력'!$B$8="",0,IF(ISNUMBER(SEARCH('02_대상물건입력'!$B$8,E721)),1,0)))</f>
        <v/>
      </c>
      <c r="N721">
        <f>IF(B721="","",IF(B721="담보",1,0))</f>
        <v/>
      </c>
      <c r="O721">
        <f>IFERROR(ABS(G721-'02_대상물건입력'!$B$11)/'02_대상물건입력'!$B$11,"")</f>
        <v/>
      </c>
      <c r="P721">
        <f>IFERROR(ABS('01_설정'!$B$4-H721),"")</f>
        <v/>
      </c>
      <c r="Q721">
        <f>IFERROR(ABS(YEAR(J721)-YEAR('02_대상물건입력'!$B$14)),"")</f>
        <v/>
      </c>
      <c r="R721">
        <f>IF(AND(G721&gt;0,H721&gt;0,I721&gt;0,N721=1,IF('01_설정'!$B$10=1,K721=1,TRUE()),O721&lt;='01_설정'!$B$5,P721&lt;='01_설정'!$B$7,Q721&lt;='01_설정'!$B$8),"Y","")</f>
        <v/>
      </c>
      <c r="S721">
        <f>IF(R721&lt;&gt;"Y","",MAX(0,(1-O721/'01_설정'!$B$5))*'01_설정'!$B$14+MAX(0,(1-P721/'01_설정'!$B$7))*'01_설정'!$B$16+MAX(0,(1-Q721/'01_설정'!$B$8))*'01_설정'!$B$17+L721*'01_설정'!$B$11+M721*'01_설정'!$B$12+N721*50)</f>
        <v/>
      </c>
      <c r="T721">
        <f>IF(S721="","",1+COUNTIFS($S$31:$S$1030,"&gt;"&amp;S721)+COUNTIFS($S$31:S721,S721)-1)</f>
        <v/>
      </c>
    </row>
    <row r="722" hidden="1" ht="16.5" customHeight="1">
      <c r="A722">
        <f>IF(COUNTA('05_KAPA'!$A693:$AO693)=0,"",695)</f>
        <v/>
      </c>
      <c r="B722">
        <f>IF($A722="","",INDEX('05_KAPA'!$B:$B,$A722))</f>
        <v/>
      </c>
      <c r="C722">
        <f>IF($A722="","",INDEX('05_KAPA'!$F:$F,$A722))</f>
        <v/>
      </c>
      <c r="D722">
        <f>IF($A722="","",INDEX('05_KAPA'!$H:$H,$A722))</f>
        <v/>
      </c>
      <c r="E722">
        <f>IF($A722="","",INDEX('05_KAPA'!$K:$K,$A722))</f>
        <v/>
      </c>
      <c r="F722">
        <f>IF($A722="","",INDEX('05_KAPA'!$L:$L,$A722))</f>
        <v/>
      </c>
      <c r="G722">
        <f>IF($A722="","",INDEX('05_KAPA'!$I:$I,$A722))</f>
        <v/>
      </c>
      <c r="H722" s="202">
        <f>IF($A722="","",INDEX('05_KAPA'!$P:$P,$A722))</f>
        <v/>
      </c>
      <c r="I722" s="118">
        <f>IF($A722="","",INDEX('05_KAPA'!$O:$O,$A722))</f>
        <v/>
      </c>
      <c r="J722" s="202">
        <f>IF($A722="","",IFERROR(DATE(LEFT(TEXT(INDEX('05_KAPA'!$T:$T,$A722),"0"),4),MID(TEXT(INDEX('05_KAPA'!$T:$T,$A722),"0"),5,2),RIGHT(TEXT(INDEX('05_KAPA'!$T:$T,$A722),"0"),2)),""))</f>
        <v/>
      </c>
      <c r="K722">
        <f>IF(C722="","",IF('02_대상물건입력'!$B$5="",1,IF(ISNUMBER(SEARCH('02_대상물건입력'!$B$5,C722)),1,0)))</f>
        <v/>
      </c>
      <c r="L722">
        <f>IF(C722="","",IF('02_대상물건입력'!$B$6="",1,IF(ISNUMBER(SEARCH('02_대상물건입력'!$B$6,C722)),1,0)))</f>
        <v/>
      </c>
      <c r="M722">
        <f>IF(E722="","",IF('02_대상물건입력'!$B$8="",0,IF(ISNUMBER(SEARCH('02_대상물건입력'!$B$8,E722)),1,0)))</f>
        <v/>
      </c>
      <c r="N722">
        <f>IF(B722="","",IF(B722="담보",1,0))</f>
        <v/>
      </c>
      <c r="O722">
        <f>IFERROR(ABS(G722-'02_대상물건입력'!$B$11)/'02_대상물건입력'!$B$11,"")</f>
        <v/>
      </c>
      <c r="P722">
        <f>IFERROR(ABS('01_설정'!$B$4-H722),"")</f>
        <v/>
      </c>
      <c r="Q722">
        <f>IFERROR(ABS(YEAR(J722)-YEAR('02_대상물건입력'!$B$14)),"")</f>
        <v/>
      </c>
      <c r="R722">
        <f>IF(AND(G722&gt;0,H722&gt;0,I722&gt;0,N722=1,IF('01_설정'!$B$10=1,K722=1,TRUE()),O722&lt;='01_설정'!$B$5,P722&lt;='01_설정'!$B$7,Q722&lt;='01_설정'!$B$8),"Y","")</f>
        <v/>
      </c>
      <c r="S722">
        <f>IF(R722&lt;&gt;"Y","",MAX(0,(1-O722/'01_설정'!$B$5))*'01_설정'!$B$14+MAX(0,(1-P722/'01_설정'!$B$7))*'01_설정'!$B$16+MAX(0,(1-Q722/'01_설정'!$B$8))*'01_설정'!$B$17+L722*'01_설정'!$B$11+M722*'01_설정'!$B$12+N722*50)</f>
        <v/>
      </c>
      <c r="T722">
        <f>IF(S722="","",1+COUNTIFS($S$31:$S$1030,"&gt;"&amp;S722)+COUNTIFS($S$31:S722,S722)-1)</f>
        <v/>
      </c>
    </row>
    <row r="723" hidden="1" ht="16.5" customHeight="1">
      <c r="A723">
        <f>IF(COUNTA('05_KAPA'!$A694:$AO694)=0,"",696)</f>
        <v/>
      </c>
      <c r="B723">
        <f>IF($A723="","",INDEX('05_KAPA'!$B:$B,$A723))</f>
        <v/>
      </c>
      <c r="C723">
        <f>IF($A723="","",INDEX('05_KAPA'!$F:$F,$A723))</f>
        <v/>
      </c>
      <c r="D723">
        <f>IF($A723="","",INDEX('05_KAPA'!$H:$H,$A723))</f>
        <v/>
      </c>
      <c r="E723">
        <f>IF($A723="","",INDEX('05_KAPA'!$K:$K,$A723))</f>
        <v/>
      </c>
      <c r="F723">
        <f>IF($A723="","",INDEX('05_KAPA'!$L:$L,$A723))</f>
        <v/>
      </c>
      <c r="G723">
        <f>IF($A723="","",INDEX('05_KAPA'!$I:$I,$A723))</f>
        <v/>
      </c>
      <c r="H723" s="202">
        <f>IF($A723="","",INDEX('05_KAPA'!$P:$P,$A723))</f>
        <v/>
      </c>
      <c r="I723" s="118">
        <f>IF($A723="","",INDEX('05_KAPA'!$O:$O,$A723))</f>
        <v/>
      </c>
      <c r="J723" s="202">
        <f>IF($A723="","",IFERROR(DATE(LEFT(TEXT(INDEX('05_KAPA'!$T:$T,$A723),"0"),4),MID(TEXT(INDEX('05_KAPA'!$T:$T,$A723),"0"),5,2),RIGHT(TEXT(INDEX('05_KAPA'!$T:$T,$A723),"0"),2)),""))</f>
        <v/>
      </c>
      <c r="K723">
        <f>IF(C723="","",IF('02_대상물건입력'!$B$5="",1,IF(ISNUMBER(SEARCH('02_대상물건입력'!$B$5,C723)),1,0)))</f>
        <v/>
      </c>
      <c r="L723">
        <f>IF(C723="","",IF('02_대상물건입력'!$B$6="",1,IF(ISNUMBER(SEARCH('02_대상물건입력'!$B$6,C723)),1,0)))</f>
        <v/>
      </c>
      <c r="M723">
        <f>IF(E723="","",IF('02_대상물건입력'!$B$8="",0,IF(ISNUMBER(SEARCH('02_대상물건입력'!$B$8,E723)),1,0)))</f>
        <v/>
      </c>
      <c r="N723">
        <f>IF(B723="","",IF(B723="담보",1,0))</f>
        <v/>
      </c>
      <c r="O723">
        <f>IFERROR(ABS(G723-'02_대상물건입력'!$B$11)/'02_대상물건입력'!$B$11,"")</f>
        <v/>
      </c>
      <c r="P723">
        <f>IFERROR(ABS('01_설정'!$B$4-H723),"")</f>
        <v/>
      </c>
      <c r="Q723">
        <f>IFERROR(ABS(YEAR(J723)-YEAR('02_대상물건입력'!$B$14)),"")</f>
        <v/>
      </c>
      <c r="R723">
        <f>IF(AND(G723&gt;0,H723&gt;0,I723&gt;0,N723=1,IF('01_설정'!$B$10=1,K723=1,TRUE()),O723&lt;='01_설정'!$B$5,P723&lt;='01_설정'!$B$7,Q723&lt;='01_설정'!$B$8),"Y","")</f>
        <v/>
      </c>
      <c r="S723">
        <f>IF(R723&lt;&gt;"Y","",MAX(0,(1-O723/'01_설정'!$B$5))*'01_설정'!$B$14+MAX(0,(1-P723/'01_설정'!$B$7))*'01_설정'!$B$16+MAX(0,(1-Q723/'01_설정'!$B$8))*'01_설정'!$B$17+L723*'01_설정'!$B$11+M723*'01_설정'!$B$12+N723*50)</f>
        <v/>
      </c>
      <c r="T723">
        <f>IF(S723="","",1+COUNTIFS($S$31:$S$1030,"&gt;"&amp;S723)+COUNTIFS($S$31:S723,S723)-1)</f>
        <v/>
      </c>
    </row>
    <row r="724" hidden="1" ht="16.5" customHeight="1">
      <c r="A724">
        <f>IF(COUNTA('05_KAPA'!$A695:$AO695)=0,"",697)</f>
        <v/>
      </c>
      <c r="B724">
        <f>IF($A724="","",INDEX('05_KAPA'!$B:$B,$A724))</f>
        <v/>
      </c>
      <c r="C724">
        <f>IF($A724="","",INDEX('05_KAPA'!$F:$F,$A724))</f>
        <v/>
      </c>
      <c r="D724">
        <f>IF($A724="","",INDEX('05_KAPA'!$H:$H,$A724))</f>
        <v/>
      </c>
      <c r="E724">
        <f>IF($A724="","",INDEX('05_KAPA'!$K:$K,$A724))</f>
        <v/>
      </c>
      <c r="F724">
        <f>IF($A724="","",INDEX('05_KAPA'!$L:$L,$A724))</f>
        <v/>
      </c>
      <c r="G724">
        <f>IF($A724="","",INDEX('05_KAPA'!$I:$I,$A724))</f>
        <v/>
      </c>
      <c r="H724" s="202">
        <f>IF($A724="","",INDEX('05_KAPA'!$P:$P,$A724))</f>
        <v/>
      </c>
      <c r="I724" s="118">
        <f>IF($A724="","",INDEX('05_KAPA'!$O:$O,$A724))</f>
        <v/>
      </c>
      <c r="J724" s="202">
        <f>IF($A724="","",IFERROR(DATE(LEFT(TEXT(INDEX('05_KAPA'!$T:$T,$A724),"0"),4),MID(TEXT(INDEX('05_KAPA'!$T:$T,$A724),"0"),5,2),RIGHT(TEXT(INDEX('05_KAPA'!$T:$T,$A724),"0"),2)),""))</f>
        <v/>
      </c>
      <c r="K724">
        <f>IF(C724="","",IF('02_대상물건입력'!$B$5="",1,IF(ISNUMBER(SEARCH('02_대상물건입력'!$B$5,C724)),1,0)))</f>
        <v/>
      </c>
      <c r="L724">
        <f>IF(C724="","",IF('02_대상물건입력'!$B$6="",1,IF(ISNUMBER(SEARCH('02_대상물건입력'!$B$6,C724)),1,0)))</f>
        <v/>
      </c>
      <c r="M724">
        <f>IF(E724="","",IF('02_대상물건입력'!$B$8="",0,IF(ISNUMBER(SEARCH('02_대상물건입력'!$B$8,E724)),1,0)))</f>
        <v/>
      </c>
      <c r="N724">
        <f>IF(B724="","",IF(B724="담보",1,0))</f>
        <v/>
      </c>
      <c r="O724">
        <f>IFERROR(ABS(G724-'02_대상물건입력'!$B$11)/'02_대상물건입력'!$B$11,"")</f>
        <v/>
      </c>
      <c r="P724">
        <f>IFERROR(ABS('01_설정'!$B$4-H724),"")</f>
        <v/>
      </c>
      <c r="Q724">
        <f>IFERROR(ABS(YEAR(J724)-YEAR('02_대상물건입력'!$B$14)),"")</f>
        <v/>
      </c>
      <c r="R724">
        <f>IF(AND(G724&gt;0,H724&gt;0,I724&gt;0,N724=1,IF('01_설정'!$B$10=1,K724=1,TRUE()),O724&lt;='01_설정'!$B$5,P724&lt;='01_설정'!$B$7,Q724&lt;='01_설정'!$B$8),"Y","")</f>
        <v/>
      </c>
      <c r="S724">
        <f>IF(R724&lt;&gt;"Y","",MAX(0,(1-O724/'01_설정'!$B$5))*'01_설정'!$B$14+MAX(0,(1-P724/'01_설정'!$B$7))*'01_설정'!$B$16+MAX(0,(1-Q724/'01_설정'!$B$8))*'01_설정'!$B$17+L724*'01_설정'!$B$11+M724*'01_설정'!$B$12+N724*50)</f>
        <v/>
      </c>
      <c r="T724">
        <f>IF(S724="","",1+COUNTIFS($S$31:$S$1030,"&gt;"&amp;S724)+COUNTIFS($S$31:S724,S724)-1)</f>
        <v/>
      </c>
    </row>
    <row r="725" hidden="1" ht="16.5" customHeight="1">
      <c r="A725">
        <f>IF(COUNTA('05_KAPA'!$A696:$AO696)=0,"",698)</f>
        <v/>
      </c>
      <c r="B725">
        <f>IF($A725="","",INDEX('05_KAPA'!$B:$B,$A725))</f>
        <v/>
      </c>
      <c r="C725">
        <f>IF($A725="","",INDEX('05_KAPA'!$F:$F,$A725))</f>
        <v/>
      </c>
      <c r="D725">
        <f>IF($A725="","",INDEX('05_KAPA'!$H:$H,$A725))</f>
        <v/>
      </c>
      <c r="E725">
        <f>IF($A725="","",INDEX('05_KAPA'!$K:$K,$A725))</f>
        <v/>
      </c>
      <c r="F725">
        <f>IF($A725="","",INDEX('05_KAPA'!$L:$L,$A725))</f>
        <v/>
      </c>
      <c r="G725">
        <f>IF($A725="","",INDEX('05_KAPA'!$I:$I,$A725))</f>
        <v/>
      </c>
      <c r="H725" s="202">
        <f>IF($A725="","",INDEX('05_KAPA'!$P:$P,$A725))</f>
        <v/>
      </c>
      <c r="I725" s="118">
        <f>IF($A725="","",INDEX('05_KAPA'!$O:$O,$A725))</f>
        <v/>
      </c>
      <c r="J725" s="202">
        <f>IF($A725="","",IFERROR(DATE(LEFT(TEXT(INDEX('05_KAPA'!$T:$T,$A725),"0"),4),MID(TEXT(INDEX('05_KAPA'!$T:$T,$A725),"0"),5,2),RIGHT(TEXT(INDEX('05_KAPA'!$T:$T,$A725),"0"),2)),""))</f>
        <v/>
      </c>
      <c r="K725">
        <f>IF(C725="","",IF('02_대상물건입력'!$B$5="",1,IF(ISNUMBER(SEARCH('02_대상물건입력'!$B$5,C725)),1,0)))</f>
        <v/>
      </c>
      <c r="L725">
        <f>IF(C725="","",IF('02_대상물건입력'!$B$6="",1,IF(ISNUMBER(SEARCH('02_대상물건입력'!$B$6,C725)),1,0)))</f>
        <v/>
      </c>
      <c r="M725">
        <f>IF(E725="","",IF('02_대상물건입력'!$B$8="",0,IF(ISNUMBER(SEARCH('02_대상물건입력'!$B$8,E725)),1,0)))</f>
        <v/>
      </c>
      <c r="N725">
        <f>IF(B725="","",IF(B725="담보",1,0))</f>
        <v/>
      </c>
      <c r="O725">
        <f>IFERROR(ABS(G725-'02_대상물건입력'!$B$11)/'02_대상물건입력'!$B$11,"")</f>
        <v/>
      </c>
      <c r="P725">
        <f>IFERROR(ABS('01_설정'!$B$4-H725),"")</f>
        <v/>
      </c>
      <c r="Q725">
        <f>IFERROR(ABS(YEAR(J725)-YEAR('02_대상물건입력'!$B$14)),"")</f>
        <v/>
      </c>
      <c r="R725">
        <f>IF(AND(G725&gt;0,H725&gt;0,I725&gt;0,N725=1,IF('01_설정'!$B$10=1,K725=1,TRUE()),O725&lt;='01_설정'!$B$5,P725&lt;='01_설정'!$B$7,Q725&lt;='01_설정'!$B$8),"Y","")</f>
        <v/>
      </c>
      <c r="S725">
        <f>IF(R725&lt;&gt;"Y","",MAX(0,(1-O725/'01_설정'!$B$5))*'01_설정'!$B$14+MAX(0,(1-P725/'01_설정'!$B$7))*'01_설정'!$B$16+MAX(0,(1-Q725/'01_설정'!$B$8))*'01_설정'!$B$17+L725*'01_설정'!$B$11+M725*'01_설정'!$B$12+N725*50)</f>
        <v/>
      </c>
      <c r="T725">
        <f>IF(S725="","",1+COUNTIFS($S$31:$S$1030,"&gt;"&amp;S725)+COUNTIFS($S$31:S725,S725)-1)</f>
        <v/>
      </c>
    </row>
    <row r="726" hidden="1" ht="16.5" customHeight="1">
      <c r="A726">
        <f>IF(COUNTA('05_KAPA'!$A697:$AO697)=0,"",699)</f>
        <v/>
      </c>
      <c r="B726">
        <f>IF($A726="","",INDEX('05_KAPA'!$B:$B,$A726))</f>
        <v/>
      </c>
      <c r="C726">
        <f>IF($A726="","",INDEX('05_KAPA'!$F:$F,$A726))</f>
        <v/>
      </c>
      <c r="D726">
        <f>IF($A726="","",INDEX('05_KAPA'!$H:$H,$A726))</f>
        <v/>
      </c>
      <c r="E726">
        <f>IF($A726="","",INDEX('05_KAPA'!$K:$K,$A726))</f>
        <v/>
      </c>
      <c r="F726">
        <f>IF($A726="","",INDEX('05_KAPA'!$L:$L,$A726))</f>
        <v/>
      </c>
      <c r="G726">
        <f>IF($A726="","",INDEX('05_KAPA'!$I:$I,$A726))</f>
        <v/>
      </c>
      <c r="H726" s="202">
        <f>IF($A726="","",INDEX('05_KAPA'!$P:$P,$A726))</f>
        <v/>
      </c>
      <c r="I726" s="118">
        <f>IF($A726="","",INDEX('05_KAPA'!$O:$O,$A726))</f>
        <v/>
      </c>
      <c r="J726" s="202">
        <f>IF($A726="","",IFERROR(DATE(LEFT(TEXT(INDEX('05_KAPA'!$T:$T,$A726),"0"),4),MID(TEXT(INDEX('05_KAPA'!$T:$T,$A726),"0"),5,2),RIGHT(TEXT(INDEX('05_KAPA'!$T:$T,$A726),"0"),2)),""))</f>
        <v/>
      </c>
      <c r="K726">
        <f>IF(C726="","",IF('02_대상물건입력'!$B$5="",1,IF(ISNUMBER(SEARCH('02_대상물건입력'!$B$5,C726)),1,0)))</f>
        <v/>
      </c>
      <c r="L726">
        <f>IF(C726="","",IF('02_대상물건입력'!$B$6="",1,IF(ISNUMBER(SEARCH('02_대상물건입력'!$B$6,C726)),1,0)))</f>
        <v/>
      </c>
      <c r="M726">
        <f>IF(E726="","",IF('02_대상물건입력'!$B$8="",0,IF(ISNUMBER(SEARCH('02_대상물건입력'!$B$8,E726)),1,0)))</f>
        <v/>
      </c>
      <c r="N726">
        <f>IF(B726="","",IF(B726="담보",1,0))</f>
        <v/>
      </c>
      <c r="O726">
        <f>IFERROR(ABS(G726-'02_대상물건입력'!$B$11)/'02_대상물건입력'!$B$11,"")</f>
        <v/>
      </c>
      <c r="P726">
        <f>IFERROR(ABS('01_설정'!$B$4-H726),"")</f>
        <v/>
      </c>
      <c r="Q726">
        <f>IFERROR(ABS(YEAR(J726)-YEAR('02_대상물건입력'!$B$14)),"")</f>
        <v/>
      </c>
      <c r="R726">
        <f>IF(AND(G726&gt;0,H726&gt;0,I726&gt;0,N726=1,IF('01_설정'!$B$10=1,K726=1,TRUE()),O726&lt;='01_설정'!$B$5,P726&lt;='01_설정'!$B$7,Q726&lt;='01_설정'!$B$8),"Y","")</f>
        <v/>
      </c>
      <c r="S726">
        <f>IF(R726&lt;&gt;"Y","",MAX(0,(1-O726/'01_설정'!$B$5))*'01_설정'!$B$14+MAX(0,(1-P726/'01_설정'!$B$7))*'01_설정'!$B$16+MAX(0,(1-Q726/'01_설정'!$B$8))*'01_설정'!$B$17+L726*'01_설정'!$B$11+M726*'01_설정'!$B$12+N726*50)</f>
        <v/>
      </c>
      <c r="T726">
        <f>IF(S726="","",1+COUNTIFS($S$31:$S$1030,"&gt;"&amp;S726)+COUNTIFS($S$31:S726,S726)-1)</f>
        <v/>
      </c>
    </row>
    <row r="727" hidden="1" ht="16.5" customHeight="1">
      <c r="A727">
        <f>IF(COUNTA('05_KAPA'!$A698:$AO698)=0,"",700)</f>
        <v/>
      </c>
      <c r="B727">
        <f>IF($A727="","",INDEX('05_KAPA'!$B:$B,$A727))</f>
        <v/>
      </c>
      <c r="C727">
        <f>IF($A727="","",INDEX('05_KAPA'!$F:$F,$A727))</f>
        <v/>
      </c>
      <c r="D727">
        <f>IF($A727="","",INDEX('05_KAPA'!$H:$H,$A727))</f>
        <v/>
      </c>
      <c r="E727">
        <f>IF($A727="","",INDEX('05_KAPA'!$K:$K,$A727))</f>
        <v/>
      </c>
      <c r="F727">
        <f>IF($A727="","",INDEX('05_KAPA'!$L:$L,$A727))</f>
        <v/>
      </c>
      <c r="G727">
        <f>IF($A727="","",INDEX('05_KAPA'!$I:$I,$A727))</f>
        <v/>
      </c>
      <c r="H727" s="202">
        <f>IF($A727="","",INDEX('05_KAPA'!$P:$P,$A727))</f>
        <v/>
      </c>
      <c r="I727" s="118">
        <f>IF($A727="","",INDEX('05_KAPA'!$O:$O,$A727))</f>
        <v/>
      </c>
      <c r="J727" s="202">
        <f>IF($A727="","",IFERROR(DATE(LEFT(TEXT(INDEX('05_KAPA'!$T:$T,$A727),"0"),4),MID(TEXT(INDEX('05_KAPA'!$T:$T,$A727),"0"),5,2),RIGHT(TEXT(INDEX('05_KAPA'!$T:$T,$A727),"0"),2)),""))</f>
        <v/>
      </c>
      <c r="K727">
        <f>IF(C727="","",IF('02_대상물건입력'!$B$5="",1,IF(ISNUMBER(SEARCH('02_대상물건입력'!$B$5,C727)),1,0)))</f>
        <v/>
      </c>
      <c r="L727">
        <f>IF(C727="","",IF('02_대상물건입력'!$B$6="",1,IF(ISNUMBER(SEARCH('02_대상물건입력'!$B$6,C727)),1,0)))</f>
        <v/>
      </c>
      <c r="M727">
        <f>IF(E727="","",IF('02_대상물건입력'!$B$8="",0,IF(ISNUMBER(SEARCH('02_대상물건입력'!$B$8,E727)),1,0)))</f>
        <v/>
      </c>
      <c r="N727">
        <f>IF(B727="","",IF(B727="담보",1,0))</f>
        <v/>
      </c>
      <c r="O727">
        <f>IFERROR(ABS(G727-'02_대상물건입력'!$B$11)/'02_대상물건입력'!$B$11,"")</f>
        <v/>
      </c>
      <c r="P727">
        <f>IFERROR(ABS('01_설정'!$B$4-H727),"")</f>
        <v/>
      </c>
      <c r="Q727">
        <f>IFERROR(ABS(YEAR(J727)-YEAR('02_대상물건입력'!$B$14)),"")</f>
        <v/>
      </c>
      <c r="R727">
        <f>IF(AND(G727&gt;0,H727&gt;0,I727&gt;0,N727=1,IF('01_설정'!$B$10=1,K727=1,TRUE()),O727&lt;='01_설정'!$B$5,P727&lt;='01_설정'!$B$7,Q727&lt;='01_설정'!$B$8),"Y","")</f>
        <v/>
      </c>
      <c r="S727">
        <f>IF(R727&lt;&gt;"Y","",MAX(0,(1-O727/'01_설정'!$B$5))*'01_설정'!$B$14+MAX(0,(1-P727/'01_설정'!$B$7))*'01_설정'!$B$16+MAX(0,(1-Q727/'01_설정'!$B$8))*'01_설정'!$B$17+L727*'01_설정'!$B$11+M727*'01_설정'!$B$12+N727*50)</f>
        <v/>
      </c>
      <c r="T727">
        <f>IF(S727="","",1+COUNTIFS($S$31:$S$1030,"&gt;"&amp;S727)+COUNTIFS($S$31:S727,S727)-1)</f>
        <v/>
      </c>
    </row>
    <row r="728" hidden="1" ht="16.5" customHeight="1">
      <c r="A728">
        <f>IF(COUNTA('05_KAPA'!$A699:$AO699)=0,"",701)</f>
        <v/>
      </c>
      <c r="B728">
        <f>IF($A728="","",INDEX('05_KAPA'!$B:$B,$A728))</f>
        <v/>
      </c>
      <c r="C728">
        <f>IF($A728="","",INDEX('05_KAPA'!$F:$F,$A728))</f>
        <v/>
      </c>
      <c r="D728">
        <f>IF($A728="","",INDEX('05_KAPA'!$H:$H,$A728))</f>
        <v/>
      </c>
      <c r="E728">
        <f>IF($A728="","",INDEX('05_KAPA'!$K:$K,$A728))</f>
        <v/>
      </c>
      <c r="F728">
        <f>IF($A728="","",INDEX('05_KAPA'!$L:$L,$A728))</f>
        <v/>
      </c>
      <c r="G728">
        <f>IF($A728="","",INDEX('05_KAPA'!$I:$I,$A728))</f>
        <v/>
      </c>
      <c r="H728" s="202">
        <f>IF($A728="","",INDEX('05_KAPA'!$P:$P,$A728))</f>
        <v/>
      </c>
      <c r="I728" s="118">
        <f>IF($A728="","",INDEX('05_KAPA'!$O:$O,$A728))</f>
        <v/>
      </c>
      <c r="J728" s="202">
        <f>IF($A728="","",IFERROR(DATE(LEFT(TEXT(INDEX('05_KAPA'!$T:$T,$A728),"0"),4),MID(TEXT(INDEX('05_KAPA'!$T:$T,$A728),"0"),5,2),RIGHT(TEXT(INDEX('05_KAPA'!$T:$T,$A728),"0"),2)),""))</f>
        <v/>
      </c>
      <c r="K728">
        <f>IF(C728="","",IF('02_대상물건입력'!$B$5="",1,IF(ISNUMBER(SEARCH('02_대상물건입력'!$B$5,C728)),1,0)))</f>
        <v/>
      </c>
      <c r="L728">
        <f>IF(C728="","",IF('02_대상물건입력'!$B$6="",1,IF(ISNUMBER(SEARCH('02_대상물건입력'!$B$6,C728)),1,0)))</f>
        <v/>
      </c>
      <c r="M728">
        <f>IF(E728="","",IF('02_대상물건입력'!$B$8="",0,IF(ISNUMBER(SEARCH('02_대상물건입력'!$B$8,E728)),1,0)))</f>
        <v/>
      </c>
      <c r="N728">
        <f>IF(B728="","",IF(B728="담보",1,0))</f>
        <v/>
      </c>
      <c r="O728">
        <f>IFERROR(ABS(G728-'02_대상물건입력'!$B$11)/'02_대상물건입력'!$B$11,"")</f>
        <v/>
      </c>
      <c r="P728">
        <f>IFERROR(ABS('01_설정'!$B$4-H728),"")</f>
        <v/>
      </c>
      <c r="Q728">
        <f>IFERROR(ABS(YEAR(J728)-YEAR('02_대상물건입력'!$B$14)),"")</f>
        <v/>
      </c>
      <c r="R728">
        <f>IF(AND(G728&gt;0,H728&gt;0,I728&gt;0,N728=1,IF('01_설정'!$B$10=1,K728=1,TRUE()),O728&lt;='01_설정'!$B$5,P728&lt;='01_설정'!$B$7,Q728&lt;='01_설정'!$B$8),"Y","")</f>
        <v/>
      </c>
      <c r="S728">
        <f>IF(R728&lt;&gt;"Y","",MAX(0,(1-O728/'01_설정'!$B$5))*'01_설정'!$B$14+MAX(0,(1-P728/'01_설정'!$B$7))*'01_설정'!$B$16+MAX(0,(1-Q728/'01_설정'!$B$8))*'01_설정'!$B$17+L728*'01_설정'!$B$11+M728*'01_설정'!$B$12+N728*50)</f>
        <v/>
      </c>
      <c r="T728">
        <f>IF(S728="","",1+COUNTIFS($S$31:$S$1030,"&gt;"&amp;S728)+COUNTIFS($S$31:S728,S728)-1)</f>
        <v/>
      </c>
    </row>
    <row r="729" hidden="1" ht="16.5" customHeight="1">
      <c r="A729">
        <f>IF(COUNTA('05_KAPA'!$A700:$AO700)=0,"",702)</f>
        <v/>
      </c>
      <c r="B729">
        <f>IF($A729="","",INDEX('05_KAPA'!$B:$B,$A729))</f>
        <v/>
      </c>
      <c r="C729">
        <f>IF($A729="","",INDEX('05_KAPA'!$F:$F,$A729))</f>
        <v/>
      </c>
      <c r="D729">
        <f>IF($A729="","",INDEX('05_KAPA'!$H:$H,$A729))</f>
        <v/>
      </c>
      <c r="E729">
        <f>IF($A729="","",INDEX('05_KAPA'!$K:$K,$A729))</f>
        <v/>
      </c>
      <c r="F729">
        <f>IF($A729="","",INDEX('05_KAPA'!$L:$L,$A729))</f>
        <v/>
      </c>
      <c r="G729">
        <f>IF($A729="","",INDEX('05_KAPA'!$I:$I,$A729))</f>
        <v/>
      </c>
      <c r="H729" s="202">
        <f>IF($A729="","",INDEX('05_KAPA'!$P:$P,$A729))</f>
        <v/>
      </c>
      <c r="I729" s="118">
        <f>IF($A729="","",INDEX('05_KAPA'!$O:$O,$A729))</f>
        <v/>
      </c>
      <c r="J729" s="202">
        <f>IF($A729="","",IFERROR(DATE(LEFT(TEXT(INDEX('05_KAPA'!$T:$T,$A729),"0"),4),MID(TEXT(INDEX('05_KAPA'!$T:$T,$A729),"0"),5,2),RIGHT(TEXT(INDEX('05_KAPA'!$T:$T,$A729),"0"),2)),""))</f>
        <v/>
      </c>
      <c r="K729">
        <f>IF(C729="","",IF('02_대상물건입력'!$B$5="",1,IF(ISNUMBER(SEARCH('02_대상물건입력'!$B$5,C729)),1,0)))</f>
        <v/>
      </c>
      <c r="L729">
        <f>IF(C729="","",IF('02_대상물건입력'!$B$6="",1,IF(ISNUMBER(SEARCH('02_대상물건입력'!$B$6,C729)),1,0)))</f>
        <v/>
      </c>
      <c r="M729">
        <f>IF(E729="","",IF('02_대상물건입력'!$B$8="",0,IF(ISNUMBER(SEARCH('02_대상물건입력'!$B$8,E729)),1,0)))</f>
        <v/>
      </c>
      <c r="N729">
        <f>IF(B729="","",IF(B729="담보",1,0))</f>
        <v/>
      </c>
      <c r="O729">
        <f>IFERROR(ABS(G729-'02_대상물건입력'!$B$11)/'02_대상물건입력'!$B$11,"")</f>
        <v/>
      </c>
      <c r="P729">
        <f>IFERROR(ABS('01_설정'!$B$4-H729),"")</f>
        <v/>
      </c>
      <c r="Q729">
        <f>IFERROR(ABS(YEAR(J729)-YEAR('02_대상물건입력'!$B$14)),"")</f>
        <v/>
      </c>
      <c r="R729">
        <f>IF(AND(G729&gt;0,H729&gt;0,I729&gt;0,N729=1,IF('01_설정'!$B$10=1,K729=1,TRUE()),O729&lt;='01_설정'!$B$5,P729&lt;='01_설정'!$B$7,Q729&lt;='01_설정'!$B$8),"Y","")</f>
        <v/>
      </c>
      <c r="S729">
        <f>IF(R729&lt;&gt;"Y","",MAX(0,(1-O729/'01_설정'!$B$5))*'01_설정'!$B$14+MAX(0,(1-P729/'01_설정'!$B$7))*'01_설정'!$B$16+MAX(0,(1-Q729/'01_설정'!$B$8))*'01_설정'!$B$17+L729*'01_설정'!$B$11+M729*'01_설정'!$B$12+N729*50)</f>
        <v/>
      </c>
      <c r="T729">
        <f>IF(S729="","",1+COUNTIFS($S$31:$S$1030,"&gt;"&amp;S729)+COUNTIFS($S$31:S729,S729)-1)</f>
        <v/>
      </c>
    </row>
    <row r="730" hidden="1" ht="16.5" customHeight="1">
      <c r="A730">
        <f>IF(COUNTA('05_KAPA'!$A701:$AO701)=0,"",703)</f>
        <v/>
      </c>
      <c r="B730">
        <f>IF($A730="","",INDEX('05_KAPA'!$B:$B,$A730))</f>
        <v/>
      </c>
      <c r="C730">
        <f>IF($A730="","",INDEX('05_KAPA'!$F:$F,$A730))</f>
        <v/>
      </c>
      <c r="D730">
        <f>IF($A730="","",INDEX('05_KAPA'!$H:$H,$A730))</f>
        <v/>
      </c>
      <c r="E730">
        <f>IF($A730="","",INDEX('05_KAPA'!$K:$K,$A730))</f>
        <v/>
      </c>
      <c r="F730">
        <f>IF($A730="","",INDEX('05_KAPA'!$L:$L,$A730))</f>
        <v/>
      </c>
      <c r="G730">
        <f>IF($A730="","",INDEX('05_KAPA'!$I:$I,$A730))</f>
        <v/>
      </c>
      <c r="H730" s="202">
        <f>IF($A730="","",INDEX('05_KAPA'!$P:$P,$A730))</f>
        <v/>
      </c>
      <c r="I730" s="118">
        <f>IF($A730="","",INDEX('05_KAPA'!$O:$O,$A730))</f>
        <v/>
      </c>
      <c r="J730" s="202">
        <f>IF($A730="","",IFERROR(DATE(LEFT(TEXT(INDEX('05_KAPA'!$T:$T,$A730),"0"),4),MID(TEXT(INDEX('05_KAPA'!$T:$T,$A730),"0"),5,2),RIGHT(TEXT(INDEX('05_KAPA'!$T:$T,$A730),"0"),2)),""))</f>
        <v/>
      </c>
      <c r="K730">
        <f>IF(C730="","",IF('02_대상물건입력'!$B$5="",1,IF(ISNUMBER(SEARCH('02_대상물건입력'!$B$5,C730)),1,0)))</f>
        <v/>
      </c>
      <c r="L730">
        <f>IF(C730="","",IF('02_대상물건입력'!$B$6="",1,IF(ISNUMBER(SEARCH('02_대상물건입력'!$B$6,C730)),1,0)))</f>
        <v/>
      </c>
      <c r="M730">
        <f>IF(E730="","",IF('02_대상물건입력'!$B$8="",0,IF(ISNUMBER(SEARCH('02_대상물건입력'!$B$8,E730)),1,0)))</f>
        <v/>
      </c>
      <c r="N730">
        <f>IF(B730="","",IF(B730="담보",1,0))</f>
        <v/>
      </c>
      <c r="O730">
        <f>IFERROR(ABS(G730-'02_대상물건입력'!$B$11)/'02_대상물건입력'!$B$11,"")</f>
        <v/>
      </c>
      <c r="P730">
        <f>IFERROR(ABS('01_설정'!$B$4-H730),"")</f>
        <v/>
      </c>
      <c r="Q730">
        <f>IFERROR(ABS(YEAR(J730)-YEAR('02_대상물건입력'!$B$14)),"")</f>
        <v/>
      </c>
      <c r="R730">
        <f>IF(AND(G730&gt;0,H730&gt;0,I730&gt;0,N730=1,IF('01_설정'!$B$10=1,K730=1,TRUE()),O730&lt;='01_설정'!$B$5,P730&lt;='01_설정'!$B$7,Q730&lt;='01_설정'!$B$8),"Y","")</f>
        <v/>
      </c>
      <c r="S730">
        <f>IF(R730&lt;&gt;"Y","",MAX(0,(1-O730/'01_설정'!$B$5))*'01_설정'!$B$14+MAX(0,(1-P730/'01_설정'!$B$7))*'01_설정'!$B$16+MAX(0,(1-Q730/'01_설정'!$B$8))*'01_설정'!$B$17+L730*'01_설정'!$B$11+M730*'01_설정'!$B$12+N730*50)</f>
        <v/>
      </c>
      <c r="T730">
        <f>IF(S730="","",1+COUNTIFS($S$31:$S$1030,"&gt;"&amp;S730)+COUNTIFS($S$31:S730,S730)-1)</f>
        <v/>
      </c>
    </row>
    <row r="731" hidden="1" ht="16.5" customHeight="1">
      <c r="A731">
        <f>IF(COUNTA('05_KAPA'!$A702:$AO702)=0,"",704)</f>
        <v/>
      </c>
      <c r="B731">
        <f>IF($A731="","",INDEX('05_KAPA'!$B:$B,$A731))</f>
        <v/>
      </c>
      <c r="C731">
        <f>IF($A731="","",INDEX('05_KAPA'!$F:$F,$A731))</f>
        <v/>
      </c>
      <c r="D731">
        <f>IF($A731="","",INDEX('05_KAPA'!$H:$H,$A731))</f>
        <v/>
      </c>
      <c r="E731">
        <f>IF($A731="","",INDEX('05_KAPA'!$K:$K,$A731))</f>
        <v/>
      </c>
      <c r="F731">
        <f>IF($A731="","",INDEX('05_KAPA'!$L:$L,$A731))</f>
        <v/>
      </c>
      <c r="G731">
        <f>IF($A731="","",INDEX('05_KAPA'!$I:$I,$A731))</f>
        <v/>
      </c>
      <c r="H731" s="202">
        <f>IF($A731="","",INDEX('05_KAPA'!$P:$P,$A731))</f>
        <v/>
      </c>
      <c r="I731" s="118">
        <f>IF($A731="","",INDEX('05_KAPA'!$O:$O,$A731))</f>
        <v/>
      </c>
      <c r="J731" s="202">
        <f>IF($A731="","",IFERROR(DATE(LEFT(TEXT(INDEX('05_KAPA'!$T:$T,$A731),"0"),4),MID(TEXT(INDEX('05_KAPA'!$T:$T,$A731),"0"),5,2),RIGHT(TEXT(INDEX('05_KAPA'!$T:$T,$A731),"0"),2)),""))</f>
        <v/>
      </c>
      <c r="K731">
        <f>IF(C731="","",IF('02_대상물건입력'!$B$5="",1,IF(ISNUMBER(SEARCH('02_대상물건입력'!$B$5,C731)),1,0)))</f>
        <v/>
      </c>
      <c r="L731">
        <f>IF(C731="","",IF('02_대상물건입력'!$B$6="",1,IF(ISNUMBER(SEARCH('02_대상물건입력'!$B$6,C731)),1,0)))</f>
        <v/>
      </c>
      <c r="M731">
        <f>IF(E731="","",IF('02_대상물건입력'!$B$8="",0,IF(ISNUMBER(SEARCH('02_대상물건입력'!$B$8,E731)),1,0)))</f>
        <v/>
      </c>
      <c r="N731">
        <f>IF(B731="","",IF(B731="담보",1,0))</f>
        <v/>
      </c>
      <c r="O731">
        <f>IFERROR(ABS(G731-'02_대상물건입력'!$B$11)/'02_대상물건입력'!$B$11,"")</f>
        <v/>
      </c>
      <c r="P731">
        <f>IFERROR(ABS('01_설정'!$B$4-H731),"")</f>
        <v/>
      </c>
      <c r="Q731">
        <f>IFERROR(ABS(YEAR(J731)-YEAR('02_대상물건입력'!$B$14)),"")</f>
        <v/>
      </c>
      <c r="R731">
        <f>IF(AND(G731&gt;0,H731&gt;0,I731&gt;0,N731=1,IF('01_설정'!$B$10=1,K731=1,TRUE()),O731&lt;='01_설정'!$B$5,P731&lt;='01_설정'!$B$7,Q731&lt;='01_설정'!$B$8),"Y","")</f>
        <v/>
      </c>
      <c r="S731">
        <f>IF(R731&lt;&gt;"Y","",MAX(0,(1-O731/'01_설정'!$B$5))*'01_설정'!$B$14+MAX(0,(1-P731/'01_설정'!$B$7))*'01_설정'!$B$16+MAX(0,(1-Q731/'01_설정'!$B$8))*'01_설정'!$B$17+L731*'01_설정'!$B$11+M731*'01_설정'!$B$12+N731*50)</f>
        <v/>
      </c>
      <c r="T731">
        <f>IF(S731="","",1+COUNTIFS($S$31:$S$1030,"&gt;"&amp;S731)+COUNTIFS($S$31:S731,S731)-1)</f>
        <v/>
      </c>
    </row>
    <row r="732" hidden="1" ht="16.5" customHeight="1">
      <c r="A732">
        <f>IF(COUNTA('05_KAPA'!$A703:$AO703)=0,"",705)</f>
        <v/>
      </c>
      <c r="B732">
        <f>IF($A732="","",INDEX('05_KAPA'!$B:$B,$A732))</f>
        <v/>
      </c>
      <c r="C732">
        <f>IF($A732="","",INDEX('05_KAPA'!$F:$F,$A732))</f>
        <v/>
      </c>
      <c r="D732">
        <f>IF($A732="","",INDEX('05_KAPA'!$H:$H,$A732))</f>
        <v/>
      </c>
      <c r="E732">
        <f>IF($A732="","",INDEX('05_KAPA'!$K:$K,$A732))</f>
        <v/>
      </c>
      <c r="F732">
        <f>IF($A732="","",INDEX('05_KAPA'!$L:$L,$A732))</f>
        <v/>
      </c>
      <c r="G732">
        <f>IF($A732="","",INDEX('05_KAPA'!$I:$I,$A732))</f>
        <v/>
      </c>
      <c r="H732" s="202">
        <f>IF($A732="","",INDEX('05_KAPA'!$P:$P,$A732))</f>
        <v/>
      </c>
      <c r="I732" s="118">
        <f>IF($A732="","",INDEX('05_KAPA'!$O:$O,$A732))</f>
        <v/>
      </c>
      <c r="J732" s="202">
        <f>IF($A732="","",IFERROR(DATE(LEFT(TEXT(INDEX('05_KAPA'!$T:$T,$A732),"0"),4),MID(TEXT(INDEX('05_KAPA'!$T:$T,$A732),"0"),5,2),RIGHT(TEXT(INDEX('05_KAPA'!$T:$T,$A732),"0"),2)),""))</f>
        <v/>
      </c>
      <c r="K732">
        <f>IF(C732="","",IF('02_대상물건입력'!$B$5="",1,IF(ISNUMBER(SEARCH('02_대상물건입력'!$B$5,C732)),1,0)))</f>
        <v/>
      </c>
      <c r="L732">
        <f>IF(C732="","",IF('02_대상물건입력'!$B$6="",1,IF(ISNUMBER(SEARCH('02_대상물건입력'!$B$6,C732)),1,0)))</f>
        <v/>
      </c>
      <c r="M732">
        <f>IF(E732="","",IF('02_대상물건입력'!$B$8="",0,IF(ISNUMBER(SEARCH('02_대상물건입력'!$B$8,E732)),1,0)))</f>
        <v/>
      </c>
      <c r="N732">
        <f>IF(B732="","",IF(B732="담보",1,0))</f>
        <v/>
      </c>
      <c r="O732">
        <f>IFERROR(ABS(G732-'02_대상물건입력'!$B$11)/'02_대상물건입력'!$B$11,"")</f>
        <v/>
      </c>
      <c r="P732">
        <f>IFERROR(ABS('01_설정'!$B$4-H732),"")</f>
        <v/>
      </c>
      <c r="Q732">
        <f>IFERROR(ABS(YEAR(J732)-YEAR('02_대상물건입력'!$B$14)),"")</f>
        <v/>
      </c>
      <c r="R732">
        <f>IF(AND(G732&gt;0,H732&gt;0,I732&gt;0,N732=1,IF('01_설정'!$B$10=1,K732=1,TRUE()),O732&lt;='01_설정'!$B$5,P732&lt;='01_설정'!$B$7,Q732&lt;='01_설정'!$B$8),"Y","")</f>
        <v/>
      </c>
      <c r="S732">
        <f>IF(R732&lt;&gt;"Y","",MAX(0,(1-O732/'01_설정'!$B$5))*'01_설정'!$B$14+MAX(0,(1-P732/'01_설정'!$B$7))*'01_설정'!$B$16+MAX(0,(1-Q732/'01_설정'!$B$8))*'01_설정'!$B$17+L732*'01_설정'!$B$11+M732*'01_설정'!$B$12+N732*50)</f>
        <v/>
      </c>
      <c r="T732">
        <f>IF(S732="","",1+COUNTIFS($S$31:$S$1030,"&gt;"&amp;S732)+COUNTIFS($S$31:S732,S732)-1)</f>
        <v/>
      </c>
    </row>
    <row r="733" hidden="1" ht="16.5" customHeight="1">
      <c r="A733">
        <f>IF(COUNTA('05_KAPA'!$A704:$AO704)=0,"",706)</f>
        <v/>
      </c>
      <c r="B733">
        <f>IF($A733="","",INDEX('05_KAPA'!$B:$B,$A733))</f>
        <v/>
      </c>
      <c r="C733">
        <f>IF($A733="","",INDEX('05_KAPA'!$F:$F,$A733))</f>
        <v/>
      </c>
      <c r="D733">
        <f>IF($A733="","",INDEX('05_KAPA'!$H:$H,$A733))</f>
        <v/>
      </c>
      <c r="E733">
        <f>IF($A733="","",INDEX('05_KAPA'!$K:$K,$A733))</f>
        <v/>
      </c>
      <c r="F733">
        <f>IF($A733="","",INDEX('05_KAPA'!$L:$L,$A733))</f>
        <v/>
      </c>
      <c r="G733">
        <f>IF($A733="","",INDEX('05_KAPA'!$I:$I,$A733))</f>
        <v/>
      </c>
      <c r="H733" s="202">
        <f>IF($A733="","",INDEX('05_KAPA'!$P:$P,$A733))</f>
        <v/>
      </c>
      <c r="I733" s="118">
        <f>IF($A733="","",INDEX('05_KAPA'!$O:$O,$A733))</f>
        <v/>
      </c>
      <c r="J733" s="202">
        <f>IF($A733="","",IFERROR(DATE(LEFT(TEXT(INDEX('05_KAPA'!$T:$T,$A733),"0"),4),MID(TEXT(INDEX('05_KAPA'!$T:$T,$A733),"0"),5,2),RIGHT(TEXT(INDEX('05_KAPA'!$T:$T,$A733),"0"),2)),""))</f>
        <v/>
      </c>
      <c r="K733">
        <f>IF(C733="","",IF('02_대상물건입력'!$B$5="",1,IF(ISNUMBER(SEARCH('02_대상물건입력'!$B$5,C733)),1,0)))</f>
        <v/>
      </c>
      <c r="L733">
        <f>IF(C733="","",IF('02_대상물건입력'!$B$6="",1,IF(ISNUMBER(SEARCH('02_대상물건입력'!$B$6,C733)),1,0)))</f>
        <v/>
      </c>
      <c r="M733">
        <f>IF(E733="","",IF('02_대상물건입력'!$B$8="",0,IF(ISNUMBER(SEARCH('02_대상물건입력'!$B$8,E733)),1,0)))</f>
        <v/>
      </c>
      <c r="N733">
        <f>IF(B733="","",IF(B733="담보",1,0))</f>
        <v/>
      </c>
      <c r="O733">
        <f>IFERROR(ABS(G733-'02_대상물건입력'!$B$11)/'02_대상물건입력'!$B$11,"")</f>
        <v/>
      </c>
      <c r="P733">
        <f>IFERROR(ABS('01_설정'!$B$4-H733),"")</f>
        <v/>
      </c>
      <c r="Q733">
        <f>IFERROR(ABS(YEAR(J733)-YEAR('02_대상물건입력'!$B$14)),"")</f>
        <v/>
      </c>
      <c r="R733">
        <f>IF(AND(G733&gt;0,H733&gt;0,I733&gt;0,N733=1,IF('01_설정'!$B$10=1,K733=1,TRUE()),O733&lt;='01_설정'!$B$5,P733&lt;='01_설정'!$B$7,Q733&lt;='01_설정'!$B$8),"Y","")</f>
        <v/>
      </c>
      <c r="S733">
        <f>IF(R733&lt;&gt;"Y","",MAX(0,(1-O733/'01_설정'!$B$5))*'01_설정'!$B$14+MAX(0,(1-P733/'01_설정'!$B$7))*'01_설정'!$B$16+MAX(0,(1-Q733/'01_설정'!$B$8))*'01_설정'!$B$17+L733*'01_설정'!$B$11+M733*'01_설정'!$B$12+N733*50)</f>
        <v/>
      </c>
      <c r="T733">
        <f>IF(S733="","",1+COUNTIFS($S$31:$S$1030,"&gt;"&amp;S733)+COUNTIFS($S$31:S733,S733)-1)</f>
        <v/>
      </c>
    </row>
    <row r="734" hidden="1" ht="16.5" customHeight="1">
      <c r="A734">
        <f>IF(COUNTA('05_KAPA'!$A705:$AO705)=0,"",707)</f>
        <v/>
      </c>
      <c r="B734">
        <f>IF($A734="","",INDEX('05_KAPA'!$B:$B,$A734))</f>
        <v/>
      </c>
      <c r="C734">
        <f>IF($A734="","",INDEX('05_KAPA'!$F:$F,$A734))</f>
        <v/>
      </c>
      <c r="D734">
        <f>IF($A734="","",INDEX('05_KAPA'!$H:$H,$A734))</f>
        <v/>
      </c>
      <c r="E734">
        <f>IF($A734="","",INDEX('05_KAPA'!$K:$K,$A734))</f>
        <v/>
      </c>
      <c r="F734">
        <f>IF($A734="","",INDEX('05_KAPA'!$L:$L,$A734))</f>
        <v/>
      </c>
      <c r="G734">
        <f>IF($A734="","",INDEX('05_KAPA'!$I:$I,$A734))</f>
        <v/>
      </c>
      <c r="H734" s="202">
        <f>IF($A734="","",INDEX('05_KAPA'!$P:$P,$A734))</f>
        <v/>
      </c>
      <c r="I734" s="118">
        <f>IF($A734="","",INDEX('05_KAPA'!$O:$O,$A734))</f>
        <v/>
      </c>
      <c r="J734" s="202">
        <f>IF($A734="","",IFERROR(DATE(LEFT(TEXT(INDEX('05_KAPA'!$T:$T,$A734),"0"),4),MID(TEXT(INDEX('05_KAPA'!$T:$T,$A734),"0"),5,2),RIGHT(TEXT(INDEX('05_KAPA'!$T:$T,$A734),"0"),2)),""))</f>
        <v/>
      </c>
      <c r="K734">
        <f>IF(C734="","",IF('02_대상물건입력'!$B$5="",1,IF(ISNUMBER(SEARCH('02_대상물건입력'!$B$5,C734)),1,0)))</f>
        <v/>
      </c>
      <c r="L734">
        <f>IF(C734="","",IF('02_대상물건입력'!$B$6="",1,IF(ISNUMBER(SEARCH('02_대상물건입력'!$B$6,C734)),1,0)))</f>
        <v/>
      </c>
      <c r="M734">
        <f>IF(E734="","",IF('02_대상물건입력'!$B$8="",0,IF(ISNUMBER(SEARCH('02_대상물건입력'!$B$8,E734)),1,0)))</f>
        <v/>
      </c>
      <c r="N734">
        <f>IF(B734="","",IF(B734="담보",1,0))</f>
        <v/>
      </c>
      <c r="O734">
        <f>IFERROR(ABS(G734-'02_대상물건입력'!$B$11)/'02_대상물건입력'!$B$11,"")</f>
        <v/>
      </c>
      <c r="P734">
        <f>IFERROR(ABS('01_설정'!$B$4-H734),"")</f>
        <v/>
      </c>
      <c r="Q734">
        <f>IFERROR(ABS(YEAR(J734)-YEAR('02_대상물건입력'!$B$14)),"")</f>
        <v/>
      </c>
      <c r="R734">
        <f>IF(AND(G734&gt;0,H734&gt;0,I734&gt;0,N734=1,IF('01_설정'!$B$10=1,K734=1,TRUE()),O734&lt;='01_설정'!$B$5,P734&lt;='01_설정'!$B$7,Q734&lt;='01_설정'!$B$8),"Y","")</f>
        <v/>
      </c>
      <c r="S734">
        <f>IF(R734&lt;&gt;"Y","",MAX(0,(1-O734/'01_설정'!$B$5))*'01_설정'!$B$14+MAX(0,(1-P734/'01_설정'!$B$7))*'01_설정'!$B$16+MAX(0,(1-Q734/'01_설정'!$B$8))*'01_설정'!$B$17+L734*'01_설정'!$B$11+M734*'01_설정'!$B$12+N734*50)</f>
        <v/>
      </c>
      <c r="T734">
        <f>IF(S734="","",1+COUNTIFS($S$31:$S$1030,"&gt;"&amp;S734)+COUNTIFS($S$31:S734,S734)-1)</f>
        <v/>
      </c>
    </row>
    <row r="735" hidden="1" ht="16.5" customHeight="1">
      <c r="A735">
        <f>IF(COUNTA('05_KAPA'!$A706:$AO706)=0,"",708)</f>
        <v/>
      </c>
      <c r="B735">
        <f>IF($A735="","",INDEX('05_KAPA'!$B:$B,$A735))</f>
        <v/>
      </c>
      <c r="C735">
        <f>IF($A735="","",INDEX('05_KAPA'!$F:$F,$A735))</f>
        <v/>
      </c>
      <c r="D735">
        <f>IF($A735="","",INDEX('05_KAPA'!$H:$H,$A735))</f>
        <v/>
      </c>
      <c r="E735">
        <f>IF($A735="","",INDEX('05_KAPA'!$K:$K,$A735))</f>
        <v/>
      </c>
      <c r="F735">
        <f>IF($A735="","",INDEX('05_KAPA'!$L:$L,$A735))</f>
        <v/>
      </c>
      <c r="G735">
        <f>IF($A735="","",INDEX('05_KAPA'!$I:$I,$A735))</f>
        <v/>
      </c>
      <c r="H735" s="202">
        <f>IF($A735="","",INDEX('05_KAPA'!$P:$P,$A735))</f>
        <v/>
      </c>
      <c r="I735" s="118">
        <f>IF($A735="","",INDEX('05_KAPA'!$O:$O,$A735))</f>
        <v/>
      </c>
      <c r="J735" s="202">
        <f>IF($A735="","",IFERROR(DATE(LEFT(TEXT(INDEX('05_KAPA'!$T:$T,$A735),"0"),4),MID(TEXT(INDEX('05_KAPA'!$T:$T,$A735),"0"),5,2),RIGHT(TEXT(INDEX('05_KAPA'!$T:$T,$A735),"0"),2)),""))</f>
        <v/>
      </c>
      <c r="K735">
        <f>IF(C735="","",IF('02_대상물건입력'!$B$5="",1,IF(ISNUMBER(SEARCH('02_대상물건입력'!$B$5,C735)),1,0)))</f>
        <v/>
      </c>
      <c r="L735">
        <f>IF(C735="","",IF('02_대상물건입력'!$B$6="",1,IF(ISNUMBER(SEARCH('02_대상물건입력'!$B$6,C735)),1,0)))</f>
        <v/>
      </c>
      <c r="M735">
        <f>IF(E735="","",IF('02_대상물건입력'!$B$8="",0,IF(ISNUMBER(SEARCH('02_대상물건입력'!$B$8,E735)),1,0)))</f>
        <v/>
      </c>
      <c r="N735">
        <f>IF(B735="","",IF(B735="담보",1,0))</f>
        <v/>
      </c>
      <c r="O735">
        <f>IFERROR(ABS(G735-'02_대상물건입력'!$B$11)/'02_대상물건입력'!$B$11,"")</f>
        <v/>
      </c>
      <c r="P735">
        <f>IFERROR(ABS('01_설정'!$B$4-H735),"")</f>
        <v/>
      </c>
      <c r="Q735">
        <f>IFERROR(ABS(YEAR(J735)-YEAR('02_대상물건입력'!$B$14)),"")</f>
        <v/>
      </c>
      <c r="R735">
        <f>IF(AND(G735&gt;0,H735&gt;0,I735&gt;0,N735=1,IF('01_설정'!$B$10=1,K735=1,TRUE()),O735&lt;='01_설정'!$B$5,P735&lt;='01_설정'!$B$7,Q735&lt;='01_설정'!$B$8),"Y","")</f>
        <v/>
      </c>
      <c r="S735">
        <f>IF(R735&lt;&gt;"Y","",MAX(0,(1-O735/'01_설정'!$B$5))*'01_설정'!$B$14+MAX(0,(1-P735/'01_설정'!$B$7))*'01_설정'!$B$16+MAX(0,(1-Q735/'01_설정'!$B$8))*'01_설정'!$B$17+L735*'01_설정'!$B$11+M735*'01_설정'!$B$12+N735*50)</f>
        <v/>
      </c>
      <c r="T735">
        <f>IF(S735="","",1+COUNTIFS($S$31:$S$1030,"&gt;"&amp;S735)+COUNTIFS($S$31:S735,S735)-1)</f>
        <v/>
      </c>
    </row>
    <row r="736" hidden="1" ht="16.5" customHeight="1">
      <c r="A736">
        <f>IF(COUNTA('05_KAPA'!$A707:$AO707)=0,"",709)</f>
        <v/>
      </c>
      <c r="B736">
        <f>IF($A736="","",INDEX('05_KAPA'!$B:$B,$A736))</f>
        <v/>
      </c>
      <c r="C736">
        <f>IF($A736="","",INDEX('05_KAPA'!$F:$F,$A736))</f>
        <v/>
      </c>
      <c r="D736">
        <f>IF($A736="","",INDEX('05_KAPA'!$H:$H,$A736))</f>
        <v/>
      </c>
      <c r="E736">
        <f>IF($A736="","",INDEX('05_KAPA'!$K:$K,$A736))</f>
        <v/>
      </c>
      <c r="F736">
        <f>IF($A736="","",INDEX('05_KAPA'!$L:$L,$A736))</f>
        <v/>
      </c>
      <c r="G736">
        <f>IF($A736="","",INDEX('05_KAPA'!$I:$I,$A736))</f>
        <v/>
      </c>
      <c r="H736" s="202">
        <f>IF($A736="","",INDEX('05_KAPA'!$P:$P,$A736))</f>
        <v/>
      </c>
      <c r="I736" s="118">
        <f>IF($A736="","",INDEX('05_KAPA'!$O:$O,$A736))</f>
        <v/>
      </c>
      <c r="J736" s="202">
        <f>IF($A736="","",IFERROR(DATE(LEFT(TEXT(INDEX('05_KAPA'!$T:$T,$A736),"0"),4),MID(TEXT(INDEX('05_KAPA'!$T:$T,$A736),"0"),5,2),RIGHT(TEXT(INDEX('05_KAPA'!$T:$T,$A736),"0"),2)),""))</f>
        <v/>
      </c>
      <c r="K736">
        <f>IF(C736="","",IF('02_대상물건입력'!$B$5="",1,IF(ISNUMBER(SEARCH('02_대상물건입력'!$B$5,C736)),1,0)))</f>
        <v/>
      </c>
      <c r="L736">
        <f>IF(C736="","",IF('02_대상물건입력'!$B$6="",1,IF(ISNUMBER(SEARCH('02_대상물건입력'!$B$6,C736)),1,0)))</f>
        <v/>
      </c>
      <c r="M736">
        <f>IF(E736="","",IF('02_대상물건입력'!$B$8="",0,IF(ISNUMBER(SEARCH('02_대상물건입력'!$B$8,E736)),1,0)))</f>
        <v/>
      </c>
      <c r="N736">
        <f>IF(B736="","",IF(B736="담보",1,0))</f>
        <v/>
      </c>
      <c r="O736">
        <f>IFERROR(ABS(G736-'02_대상물건입력'!$B$11)/'02_대상물건입력'!$B$11,"")</f>
        <v/>
      </c>
      <c r="P736">
        <f>IFERROR(ABS('01_설정'!$B$4-H736),"")</f>
        <v/>
      </c>
      <c r="Q736">
        <f>IFERROR(ABS(YEAR(J736)-YEAR('02_대상물건입력'!$B$14)),"")</f>
        <v/>
      </c>
      <c r="R736">
        <f>IF(AND(G736&gt;0,H736&gt;0,I736&gt;0,N736=1,IF('01_설정'!$B$10=1,K736=1,TRUE()),O736&lt;='01_설정'!$B$5,P736&lt;='01_설정'!$B$7,Q736&lt;='01_설정'!$B$8),"Y","")</f>
        <v/>
      </c>
      <c r="S736">
        <f>IF(R736&lt;&gt;"Y","",MAX(0,(1-O736/'01_설정'!$B$5))*'01_설정'!$B$14+MAX(0,(1-P736/'01_설정'!$B$7))*'01_설정'!$B$16+MAX(0,(1-Q736/'01_설정'!$B$8))*'01_설정'!$B$17+L736*'01_설정'!$B$11+M736*'01_설정'!$B$12+N736*50)</f>
        <v/>
      </c>
      <c r="T736">
        <f>IF(S736="","",1+COUNTIFS($S$31:$S$1030,"&gt;"&amp;S736)+COUNTIFS($S$31:S736,S736)-1)</f>
        <v/>
      </c>
    </row>
    <row r="737" hidden="1" ht="16.5" customHeight="1">
      <c r="A737">
        <f>IF(COUNTA('05_KAPA'!$A708:$AO708)=0,"",710)</f>
        <v/>
      </c>
      <c r="B737">
        <f>IF($A737="","",INDEX('05_KAPA'!$B:$B,$A737))</f>
        <v/>
      </c>
      <c r="C737">
        <f>IF($A737="","",INDEX('05_KAPA'!$F:$F,$A737))</f>
        <v/>
      </c>
      <c r="D737">
        <f>IF($A737="","",INDEX('05_KAPA'!$H:$H,$A737))</f>
        <v/>
      </c>
      <c r="E737">
        <f>IF($A737="","",INDEX('05_KAPA'!$K:$K,$A737))</f>
        <v/>
      </c>
      <c r="F737">
        <f>IF($A737="","",INDEX('05_KAPA'!$L:$L,$A737))</f>
        <v/>
      </c>
      <c r="G737">
        <f>IF($A737="","",INDEX('05_KAPA'!$I:$I,$A737))</f>
        <v/>
      </c>
      <c r="H737" s="202">
        <f>IF($A737="","",INDEX('05_KAPA'!$P:$P,$A737))</f>
        <v/>
      </c>
      <c r="I737" s="118">
        <f>IF($A737="","",INDEX('05_KAPA'!$O:$O,$A737))</f>
        <v/>
      </c>
      <c r="J737" s="202">
        <f>IF($A737="","",IFERROR(DATE(LEFT(TEXT(INDEX('05_KAPA'!$T:$T,$A737),"0"),4),MID(TEXT(INDEX('05_KAPA'!$T:$T,$A737),"0"),5,2),RIGHT(TEXT(INDEX('05_KAPA'!$T:$T,$A737),"0"),2)),""))</f>
        <v/>
      </c>
      <c r="K737">
        <f>IF(C737="","",IF('02_대상물건입력'!$B$5="",1,IF(ISNUMBER(SEARCH('02_대상물건입력'!$B$5,C737)),1,0)))</f>
        <v/>
      </c>
      <c r="L737">
        <f>IF(C737="","",IF('02_대상물건입력'!$B$6="",1,IF(ISNUMBER(SEARCH('02_대상물건입력'!$B$6,C737)),1,0)))</f>
        <v/>
      </c>
      <c r="M737">
        <f>IF(E737="","",IF('02_대상물건입력'!$B$8="",0,IF(ISNUMBER(SEARCH('02_대상물건입력'!$B$8,E737)),1,0)))</f>
        <v/>
      </c>
      <c r="N737">
        <f>IF(B737="","",IF(B737="담보",1,0))</f>
        <v/>
      </c>
      <c r="O737">
        <f>IFERROR(ABS(G737-'02_대상물건입력'!$B$11)/'02_대상물건입력'!$B$11,"")</f>
        <v/>
      </c>
      <c r="P737">
        <f>IFERROR(ABS('01_설정'!$B$4-H737),"")</f>
        <v/>
      </c>
      <c r="Q737">
        <f>IFERROR(ABS(YEAR(J737)-YEAR('02_대상물건입력'!$B$14)),"")</f>
        <v/>
      </c>
      <c r="R737">
        <f>IF(AND(G737&gt;0,H737&gt;0,I737&gt;0,N737=1,IF('01_설정'!$B$10=1,K737=1,TRUE()),O737&lt;='01_설정'!$B$5,P737&lt;='01_설정'!$B$7,Q737&lt;='01_설정'!$B$8),"Y","")</f>
        <v/>
      </c>
      <c r="S737">
        <f>IF(R737&lt;&gt;"Y","",MAX(0,(1-O737/'01_설정'!$B$5))*'01_설정'!$B$14+MAX(0,(1-P737/'01_설정'!$B$7))*'01_설정'!$B$16+MAX(0,(1-Q737/'01_설정'!$B$8))*'01_설정'!$B$17+L737*'01_설정'!$B$11+M737*'01_설정'!$B$12+N737*50)</f>
        <v/>
      </c>
      <c r="T737">
        <f>IF(S737="","",1+COUNTIFS($S$31:$S$1030,"&gt;"&amp;S737)+COUNTIFS($S$31:S737,S737)-1)</f>
        <v/>
      </c>
    </row>
    <row r="738" hidden="1" ht="16.5" customHeight="1">
      <c r="A738">
        <f>IF(COUNTA('05_KAPA'!$A709:$AO709)=0,"",711)</f>
        <v/>
      </c>
      <c r="B738">
        <f>IF($A738="","",INDEX('05_KAPA'!$B:$B,$A738))</f>
        <v/>
      </c>
      <c r="C738">
        <f>IF($A738="","",INDEX('05_KAPA'!$F:$F,$A738))</f>
        <v/>
      </c>
      <c r="D738">
        <f>IF($A738="","",INDEX('05_KAPA'!$H:$H,$A738))</f>
        <v/>
      </c>
      <c r="E738">
        <f>IF($A738="","",INDEX('05_KAPA'!$K:$K,$A738))</f>
        <v/>
      </c>
      <c r="F738">
        <f>IF($A738="","",INDEX('05_KAPA'!$L:$L,$A738))</f>
        <v/>
      </c>
      <c r="G738">
        <f>IF($A738="","",INDEX('05_KAPA'!$I:$I,$A738))</f>
        <v/>
      </c>
      <c r="H738" s="202">
        <f>IF($A738="","",INDEX('05_KAPA'!$P:$P,$A738))</f>
        <v/>
      </c>
      <c r="I738" s="118">
        <f>IF($A738="","",INDEX('05_KAPA'!$O:$O,$A738))</f>
        <v/>
      </c>
      <c r="J738" s="202">
        <f>IF($A738="","",IFERROR(DATE(LEFT(TEXT(INDEX('05_KAPA'!$T:$T,$A738),"0"),4),MID(TEXT(INDEX('05_KAPA'!$T:$T,$A738),"0"),5,2),RIGHT(TEXT(INDEX('05_KAPA'!$T:$T,$A738),"0"),2)),""))</f>
        <v/>
      </c>
      <c r="K738">
        <f>IF(C738="","",IF('02_대상물건입력'!$B$5="",1,IF(ISNUMBER(SEARCH('02_대상물건입력'!$B$5,C738)),1,0)))</f>
        <v/>
      </c>
      <c r="L738">
        <f>IF(C738="","",IF('02_대상물건입력'!$B$6="",1,IF(ISNUMBER(SEARCH('02_대상물건입력'!$B$6,C738)),1,0)))</f>
        <v/>
      </c>
      <c r="M738">
        <f>IF(E738="","",IF('02_대상물건입력'!$B$8="",0,IF(ISNUMBER(SEARCH('02_대상물건입력'!$B$8,E738)),1,0)))</f>
        <v/>
      </c>
      <c r="N738">
        <f>IF(B738="","",IF(B738="담보",1,0))</f>
        <v/>
      </c>
      <c r="O738">
        <f>IFERROR(ABS(G738-'02_대상물건입력'!$B$11)/'02_대상물건입력'!$B$11,"")</f>
        <v/>
      </c>
      <c r="P738">
        <f>IFERROR(ABS('01_설정'!$B$4-H738),"")</f>
        <v/>
      </c>
      <c r="Q738">
        <f>IFERROR(ABS(YEAR(J738)-YEAR('02_대상물건입력'!$B$14)),"")</f>
        <v/>
      </c>
      <c r="R738">
        <f>IF(AND(G738&gt;0,H738&gt;0,I738&gt;0,N738=1,IF('01_설정'!$B$10=1,K738=1,TRUE()),O738&lt;='01_설정'!$B$5,P738&lt;='01_설정'!$B$7,Q738&lt;='01_설정'!$B$8),"Y","")</f>
        <v/>
      </c>
      <c r="S738">
        <f>IF(R738&lt;&gt;"Y","",MAX(0,(1-O738/'01_설정'!$B$5))*'01_설정'!$B$14+MAX(0,(1-P738/'01_설정'!$B$7))*'01_설정'!$B$16+MAX(0,(1-Q738/'01_설정'!$B$8))*'01_설정'!$B$17+L738*'01_설정'!$B$11+M738*'01_설정'!$B$12+N738*50)</f>
        <v/>
      </c>
      <c r="T738">
        <f>IF(S738="","",1+COUNTIFS($S$31:$S$1030,"&gt;"&amp;S738)+COUNTIFS($S$31:S738,S738)-1)</f>
        <v/>
      </c>
    </row>
    <row r="739" hidden="1" ht="16.5" customHeight="1">
      <c r="A739">
        <f>IF(COUNTA('05_KAPA'!$A710:$AO710)=0,"",712)</f>
        <v/>
      </c>
      <c r="B739">
        <f>IF($A739="","",INDEX('05_KAPA'!$B:$B,$A739))</f>
        <v/>
      </c>
      <c r="C739">
        <f>IF($A739="","",INDEX('05_KAPA'!$F:$F,$A739))</f>
        <v/>
      </c>
      <c r="D739">
        <f>IF($A739="","",INDEX('05_KAPA'!$H:$H,$A739))</f>
        <v/>
      </c>
      <c r="E739">
        <f>IF($A739="","",INDEX('05_KAPA'!$K:$K,$A739))</f>
        <v/>
      </c>
      <c r="F739">
        <f>IF($A739="","",INDEX('05_KAPA'!$L:$L,$A739))</f>
        <v/>
      </c>
      <c r="G739">
        <f>IF($A739="","",INDEX('05_KAPA'!$I:$I,$A739))</f>
        <v/>
      </c>
      <c r="H739" s="202">
        <f>IF($A739="","",INDEX('05_KAPA'!$P:$P,$A739))</f>
        <v/>
      </c>
      <c r="I739" s="118">
        <f>IF($A739="","",INDEX('05_KAPA'!$O:$O,$A739))</f>
        <v/>
      </c>
      <c r="J739" s="202">
        <f>IF($A739="","",IFERROR(DATE(LEFT(TEXT(INDEX('05_KAPA'!$T:$T,$A739),"0"),4),MID(TEXT(INDEX('05_KAPA'!$T:$T,$A739),"0"),5,2),RIGHT(TEXT(INDEX('05_KAPA'!$T:$T,$A739),"0"),2)),""))</f>
        <v/>
      </c>
      <c r="K739">
        <f>IF(C739="","",IF('02_대상물건입력'!$B$5="",1,IF(ISNUMBER(SEARCH('02_대상물건입력'!$B$5,C739)),1,0)))</f>
        <v/>
      </c>
      <c r="L739">
        <f>IF(C739="","",IF('02_대상물건입력'!$B$6="",1,IF(ISNUMBER(SEARCH('02_대상물건입력'!$B$6,C739)),1,0)))</f>
        <v/>
      </c>
      <c r="M739">
        <f>IF(E739="","",IF('02_대상물건입력'!$B$8="",0,IF(ISNUMBER(SEARCH('02_대상물건입력'!$B$8,E739)),1,0)))</f>
        <v/>
      </c>
      <c r="N739">
        <f>IF(B739="","",IF(B739="담보",1,0))</f>
        <v/>
      </c>
      <c r="O739">
        <f>IFERROR(ABS(G739-'02_대상물건입력'!$B$11)/'02_대상물건입력'!$B$11,"")</f>
        <v/>
      </c>
      <c r="P739">
        <f>IFERROR(ABS('01_설정'!$B$4-H739),"")</f>
        <v/>
      </c>
      <c r="Q739">
        <f>IFERROR(ABS(YEAR(J739)-YEAR('02_대상물건입력'!$B$14)),"")</f>
        <v/>
      </c>
      <c r="R739">
        <f>IF(AND(G739&gt;0,H739&gt;0,I739&gt;0,N739=1,IF('01_설정'!$B$10=1,K739=1,TRUE()),O739&lt;='01_설정'!$B$5,P739&lt;='01_설정'!$B$7,Q739&lt;='01_설정'!$B$8),"Y","")</f>
        <v/>
      </c>
      <c r="S739">
        <f>IF(R739&lt;&gt;"Y","",MAX(0,(1-O739/'01_설정'!$B$5))*'01_설정'!$B$14+MAX(0,(1-P739/'01_설정'!$B$7))*'01_설정'!$B$16+MAX(0,(1-Q739/'01_설정'!$B$8))*'01_설정'!$B$17+L739*'01_설정'!$B$11+M739*'01_설정'!$B$12+N739*50)</f>
        <v/>
      </c>
      <c r="T739">
        <f>IF(S739="","",1+COUNTIFS($S$31:$S$1030,"&gt;"&amp;S739)+COUNTIFS($S$31:S739,S739)-1)</f>
        <v/>
      </c>
    </row>
    <row r="740" hidden="1" ht="16.5" customHeight="1">
      <c r="A740">
        <f>IF(COUNTA('05_KAPA'!$A711:$AO711)=0,"",713)</f>
        <v/>
      </c>
      <c r="B740">
        <f>IF($A740="","",INDEX('05_KAPA'!$B:$B,$A740))</f>
        <v/>
      </c>
      <c r="C740">
        <f>IF($A740="","",INDEX('05_KAPA'!$F:$F,$A740))</f>
        <v/>
      </c>
      <c r="D740">
        <f>IF($A740="","",INDEX('05_KAPA'!$H:$H,$A740))</f>
        <v/>
      </c>
      <c r="E740">
        <f>IF($A740="","",INDEX('05_KAPA'!$K:$K,$A740))</f>
        <v/>
      </c>
      <c r="F740">
        <f>IF($A740="","",INDEX('05_KAPA'!$L:$L,$A740))</f>
        <v/>
      </c>
      <c r="G740">
        <f>IF($A740="","",INDEX('05_KAPA'!$I:$I,$A740))</f>
        <v/>
      </c>
      <c r="H740" s="202">
        <f>IF($A740="","",INDEX('05_KAPA'!$P:$P,$A740))</f>
        <v/>
      </c>
      <c r="I740" s="118">
        <f>IF($A740="","",INDEX('05_KAPA'!$O:$O,$A740))</f>
        <v/>
      </c>
      <c r="J740" s="202">
        <f>IF($A740="","",IFERROR(DATE(LEFT(TEXT(INDEX('05_KAPA'!$T:$T,$A740),"0"),4),MID(TEXT(INDEX('05_KAPA'!$T:$T,$A740),"0"),5,2),RIGHT(TEXT(INDEX('05_KAPA'!$T:$T,$A740),"0"),2)),""))</f>
        <v/>
      </c>
      <c r="K740">
        <f>IF(C740="","",IF('02_대상물건입력'!$B$5="",1,IF(ISNUMBER(SEARCH('02_대상물건입력'!$B$5,C740)),1,0)))</f>
        <v/>
      </c>
      <c r="L740">
        <f>IF(C740="","",IF('02_대상물건입력'!$B$6="",1,IF(ISNUMBER(SEARCH('02_대상물건입력'!$B$6,C740)),1,0)))</f>
        <v/>
      </c>
      <c r="M740">
        <f>IF(E740="","",IF('02_대상물건입력'!$B$8="",0,IF(ISNUMBER(SEARCH('02_대상물건입력'!$B$8,E740)),1,0)))</f>
        <v/>
      </c>
      <c r="N740">
        <f>IF(B740="","",IF(B740="담보",1,0))</f>
        <v/>
      </c>
      <c r="O740">
        <f>IFERROR(ABS(G740-'02_대상물건입력'!$B$11)/'02_대상물건입력'!$B$11,"")</f>
        <v/>
      </c>
      <c r="P740">
        <f>IFERROR(ABS('01_설정'!$B$4-H740),"")</f>
        <v/>
      </c>
      <c r="Q740">
        <f>IFERROR(ABS(YEAR(J740)-YEAR('02_대상물건입력'!$B$14)),"")</f>
        <v/>
      </c>
      <c r="R740">
        <f>IF(AND(G740&gt;0,H740&gt;0,I740&gt;0,N740=1,IF('01_설정'!$B$10=1,K740=1,TRUE()),O740&lt;='01_설정'!$B$5,P740&lt;='01_설정'!$B$7,Q740&lt;='01_설정'!$B$8),"Y","")</f>
        <v/>
      </c>
      <c r="S740">
        <f>IF(R740&lt;&gt;"Y","",MAX(0,(1-O740/'01_설정'!$B$5))*'01_설정'!$B$14+MAX(0,(1-P740/'01_설정'!$B$7))*'01_설정'!$B$16+MAX(0,(1-Q740/'01_설정'!$B$8))*'01_설정'!$B$17+L740*'01_설정'!$B$11+M740*'01_설정'!$B$12+N740*50)</f>
        <v/>
      </c>
      <c r="T740">
        <f>IF(S740="","",1+COUNTIFS($S$31:$S$1030,"&gt;"&amp;S740)+COUNTIFS($S$31:S740,S740)-1)</f>
        <v/>
      </c>
    </row>
    <row r="741" hidden="1" ht="16.5" customHeight="1">
      <c r="A741">
        <f>IF(COUNTA('05_KAPA'!$A712:$AO712)=0,"",714)</f>
        <v/>
      </c>
      <c r="B741">
        <f>IF($A741="","",INDEX('05_KAPA'!$B:$B,$A741))</f>
        <v/>
      </c>
      <c r="C741">
        <f>IF($A741="","",INDEX('05_KAPA'!$F:$F,$A741))</f>
        <v/>
      </c>
      <c r="D741">
        <f>IF($A741="","",INDEX('05_KAPA'!$H:$H,$A741))</f>
        <v/>
      </c>
      <c r="E741">
        <f>IF($A741="","",INDEX('05_KAPA'!$K:$K,$A741))</f>
        <v/>
      </c>
      <c r="F741">
        <f>IF($A741="","",INDEX('05_KAPA'!$L:$L,$A741))</f>
        <v/>
      </c>
      <c r="G741">
        <f>IF($A741="","",INDEX('05_KAPA'!$I:$I,$A741))</f>
        <v/>
      </c>
      <c r="H741" s="202">
        <f>IF($A741="","",INDEX('05_KAPA'!$P:$P,$A741))</f>
        <v/>
      </c>
      <c r="I741" s="118">
        <f>IF($A741="","",INDEX('05_KAPA'!$O:$O,$A741))</f>
        <v/>
      </c>
      <c r="J741" s="202">
        <f>IF($A741="","",IFERROR(DATE(LEFT(TEXT(INDEX('05_KAPA'!$T:$T,$A741),"0"),4),MID(TEXT(INDEX('05_KAPA'!$T:$T,$A741),"0"),5,2),RIGHT(TEXT(INDEX('05_KAPA'!$T:$T,$A741),"0"),2)),""))</f>
        <v/>
      </c>
      <c r="K741">
        <f>IF(C741="","",IF('02_대상물건입력'!$B$5="",1,IF(ISNUMBER(SEARCH('02_대상물건입력'!$B$5,C741)),1,0)))</f>
        <v/>
      </c>
      <c r="L741">
        <f>IF(C741="","",IF('02_대상물건입력'!$B$6="",1,IF(ISNUMBER(SEARCH('02_대상물건입력'!$B$6,C741)),1,0)))</f>
        <v/>
      </c>
      <c r="M741">
        <f>IF(E741="","",IF('02_대상물건입력'!$B$8="",0,IF(ISNUMBER(SEARCH('02_대상물건입력'!$B$8,E741)),1,0)))</f>
        <v/>
      </c>
      <c r="N741">
        <f>IF(B741="","",IF(B741="담보",1,0))</f>
        <v/>
      </c>
      <c r="O741">
        <f>IFERROR(ABS(G741-'02_대상물건입력'!$B$11)/'02_대상물건입력'!$B$11,"")</f>
        <v/>
      </c>
      <c r="P741">
        <f>IFERROR(ABS('01_설정'!$B$4-H741),"")</f>
        <v/>
      </c>
      <c r="Q741">
        <f>IFERROR(ABS(YEAR(J741)-YEAR('02_대상물건입력'!$B$14)),"")</f>
        <v/>
      </c>
      <c r="R741">
        <f>IF(AND(G741&gt;0,H741&gt;0,I741&gt;0,N741=1,IF('01_설정'!$B$10=1,K741=1,TRUE()),O741&lt;='01_설정'!$B$5,P741&lt;='01_설정'!$B$7,Q741&lt;='01_설정'!$B$8),"Y","")</f>
        <v/>
      </c>
      <c r="S741">
        <f>IF(R741&lt;&gt;"Y","",MAX(0,(1-O741/'01_설정'!$B$5))*'01_설정'!$B$14+MAX(0,(1-P741/'01_설정'!$B$7))*'01_설정'!$B$16+MAX(0,(1-Q741/'01_설정'!$B$8))*'01_설정'!$B$17+L741*'01_설정'!$B$11+M741*'01_설정'!$B$12+N741*50)</f>
        <v/>
      </c>
      <c r="T741">
        <f>IF(S741="","",1+COUNTIFS($S$31:$S$1030,"&gt;"&amp;S741)+COUNTIFS($S$31:S741,S741)-1)</f>
        <v/>
      </c>
    </row>
    <row r="742" hidden="1" ht="16.5" customHeight="1">
      <c r="A742">
        <f>IF(COUNTA('05_KAPA'!$A713:$AO713)=0,"",715)</f>
        <v/>
      </c>
      <c r="B742">
        <f>IF($A742="","",INDEX('05_KAPA'!$B:$B,$A742))</f>
        <v/>
      </c>
      <c r="C742">
        <f>IF($A742="","",INDEX('05_KAPA'!$F:$F,$A742))</f>
        <v/>
      </c>
      <c r="D742">
        <f>IF($A742="","",INDEX('05_KAPA'!$H:$H,$A742))</f>
        <v/>
      </c>
      <c r="E742">
        <f>IF($A742="","",INDEX('05_KAPA'!$K:$K,$A742))</f>
        <v/>
      </c>
      <c r="F742">
        <f>IF($A742="","",INDEX('05_KAPA'!$L:$L,$A742))</f>
        <v/>
      </c>
      <c r="G742">
        <f>IF($A742="","",INDEX('05_KAPA'!$I:$I,$A742))</f>
        <v/>
      </c>
      <c r="H742" s="202">
        <f>IF($A742="","",INDEX('05_KAPA'!$P:$P,$A742))</f>
        <v/>
      </c>
      <c r="I742" s="118">
        <f>IF($A742="","",INDEX('05_KAPA'!$O:$O,$A742))</f>
        <v/>
      </c>
      <c r="J742" s="202">
        <f>IF($A742="","",IFERROR(DATE(LEFT(TEXT(INDEX('05_KAPA'!$T:$T,$A742),"0"),4),MID(TEXT(INDEX('05_KAPA'!$T:$T,$A742),"0"),5,2),RIGHT(TEXT(INDEX('05_KAPA'!$T:$T,$A742),"0"),2)),""))</f>
        <v/>
      </c>
      <c r="K742">
        <f>IF(C742="","",IF('02_대상물건입력'!$B$5="",1,IF(ISNUMBER(SEARCH('02_대상물건입력'!$B$5,C742)),1,0)))</f>
        <v/>
      </c>
      <c r="L742">
        <f>IF(C742="","",IF('02_대상물건입력'!$B$6="",1,IF(ISNUMBER(SEARCH('02_대상물건입력'!$B$6,C742)),1,0)))</f>
        <v/>
      </c>
      <c r="M742">
        <f>IF(E742="","",IF('02_대상물건입력'!$B$8="",0,IF(ISNUMBER(SEARCH('02_대상물건입력'!$B$8,E742)),1,0)))</f>
        <v/>
      </c>
      <c r="N742">
        <f>IF(B742="","",IF(B742="담보",1,0))</f>
        <v/>
      </c>
      <c r="O742">
        <f>IFERROR(ABS(G742-'02_대상물건입력'!$B$11)/'02_대상물건입력'!$B$11,"")</f>
        <v/>
      </c>
      <c r="P742">
        <f>IFERROR(ABS('01_설정'!$B$4-H742),"")</f>
        <v/>
      </c>
      <c r="Q742">
        <f>IFERROR(ABS(YEAR(J742)-YEAR('02_대상물건입력'!$B$14)),"")</f>
        <v/>
      </c>
      <c r="R742">
        <f>IF(AND(G742&gt;0,H742&gt;0,I742&gt;0,N742=1,IF('01_설정'!$B$10=1,K742=1,TRUE()),O742&lt;='01_설정'!$B$5,P742&lt;='01_설정'!$B$7,Q742&lt;='01_설정'!$B$8),"Y","")</f>
        <v/>
      </c>
      <c r="S742">
        <f>IF(R742&lt;&gt;"Y","",MAX(0,(1-O742/'01_설정'!$B$5))*'01_설정'!$B$14+MAX(0,(1-P742/'01_설정'!$B$7))*'01_설정'!$B$16+MAX(0,(1-Q742/'01_설정'!$B$8))*'01_설정'!$B$17+L742*'01_설정'!$B$11+M742*'01_설정'!$B$12+N742*50)</f>
        <v/>
      </c>
      <c r="T742">
        <f>IF(S742="","",1+COUNTIFS($S$31:$S$1030,"&gt;"&amp;S742)+COUNTIFS($S$31:S742,S742)-1)</f>
        <v/>
      </c>
    </row>
    <row r="743" hidden="1" ht="16.5" customHeight="1">
      <c r="A743">
        <f>IF(COUNTA('05_KAPA'!$A714:$AO714)=0,"",716)</f>
        <v/>
      </c>
      <c r="B743">
        <f>IF($A743="","",INDEX('05_KAPA'!$B:$B,$A743))</f>
        <v/>
      </c>
      <c r="C743">
        <f>IF($A743="","",INDEX('05_KAPA'!$F:$F,$A743))</f>
        <v/>
      </c>
      <c r="D743">
        <f>IF($A743="","",INDEX('05_KAPA'!$H:$H,$A743))</f>
        <v/>
      </c>
      <c r="E743">
        <f>IF($A743="","",INDEX('05_KAPA'!$K:$K,$A743))</f>
        <v/>
      </c>
      <c r="F743">
        <f>IF($A743="","",INDEX('05_KAPA'!$L:$L,$A743))</f>
        <v/>
      </c>
      <c r="G743">
        <f>IF($A743="","",INDEX('05_KAPA'!$I:$I,$A743))</f>
        <v/>
      </c>
      <c r="H743" s="202">
        <f>IF($A743="","",INDEX('05_KAPA'!$P:$P,$A743))</f>
        <v/>
      </c>
      <c r="I743" s="118">
        <f>IF($A743="","",INDEX('05_KAPA'!$O:$O,$A743))</f>
        <v/>
      </c>
      <c r="J743" s="202">
        <f>IF($A743="","",IFERROR(DATE(LEFT(TEXT(INDEX('05_KAPA'!$T:$T,$A743),"0"),4),MID(TEXT(INDEX('05_KAPA'!$T:$T,$A743),"0"),5,2),RIGHT(TEXT(INDEX('05_KAPA'!$T:$T,$A743),"0"),2)),""))</f>
        <v/>
      </c>
      <c r="K743">
        <f>IF(C743="","",IF('02_대상물건입력'!$B$5="",1,IF(ISNUMBER(SEARCH('02_대상물건입력'!$B$5,C743)),1,0)))</f>
        <v/>
      </c>
      <c r="L743">
        <f>IF(C743="","",IF('02_대상물건입력'!$B$6="",1,IF(ISNUMBER(SEARCH('02_대상물건입력'!$B$6,C743)),1,0)))</f>
        <v/>
      </c>
      <c r="M743">
        <f>IF(E743="","",IF('02_대상물건입력'!$B$8="",0,IF(ISNUMBER(SEARCH('02_대상물건입력'!$B$8,E743)),1,0)))</f>
        <v/>
      </c>
      <c r="N743">
        <f>IF(B743="","",IF(B743="담보",1,0))</f>
        <v/>
      </c>
      <c r="O743">
        <f>IFERROR(ABS(G743-'02_대상물건입력'!$B$11)/'02_대상물건입력'!$B$11,"")</f>
        <v/>
      </c>
      <c r="P743">
        <f>IFERROR(ABS('01_설정'!$B$4-H743),"")</f>
        <v/>
      </c>
      <c r="Q743">
        <f>IFERROR(ABS(YEAR(J743)-YEAR('02_대상물건입력'!$B$14)),"")</f>
        <v/>
      </c>
      <c r="R743">
        <f>IF(AND(G743&gt;0,H743&gt;0,I743&gt;0,N743=1,IF('01_설정'!$B$10=1,K743=1,TRUE()),O743&lt;='01_설정'!$B$5,P743&lt;='01_설정'!$B$7,Q743&lt;='01_설정'!$B$8),"Y","")</f>
        <v/>
      </c>
      <c r="S743">
        <f>IF(R743&lt;&gt;"Y","",MAX(0,(1-O743/'01_설정'!$B$5))*'01_설정'!$B$14+MAX(0,(1-P743/'01_설정'!$B$7))*'01_설정'!$B$16+MAX(0,(1-Q743/'01_설정'!$B$8))*'01_설정'!$B$17+L743*'01_설정'!$B$11+M743*'01_설정'!$B$12+N743*50)</f>
        <v/>
      </c>
      <c r="T743">
        <f>IF(S743="","",1+COUNTIFS($S$31:$S$1030,"&gt;"&amp;S743)+COUNTIFS($S$31:S743,S743)-1)</f>
        <v/>
      </c>
    </row>
    <row r="744" hidden="1" ht="16.5" customHeight="1">
      <c r="A744">
        <f>IF(COUNTA('05_KAPA'!$A715:$AO715)=0,"",717)</f>
        <v/>
      </c>
      <c r="B744">
        <f>IF($A744="","",INDEX('05_KAPA'!$B:$B,$A744))</f>
        <v/>
      </c>
      <c r="C744">
        <f>IF($A744="","",INDEX('05_KAPA'!$F:$F,$A744))</f>
        <v/>
      </c>
      <c r="D744">
        <f>IF($A744="","",INDEX('05_KAPA'!$H:$H,$A744))</f>
        <v/>
      </c>
      <c r="E744">
        <f>IF($A744="","",INDEX('05_KAPA'!$K:$K,$A744))</f>
        <v/>
      </c>
      <c r="F744">
        <f>IF($A744="","",INDEX('05_KAPA'!$L:$L,$A744))</f>
        <v/>
      </c>
      <c r="G744">
        <f>IF($A744="","",INDEX('05_KAPA'!$I:$I,$A744))</f>
        <v/>
      </c>
      <c r="H744" s="202">
        <f>IF($A744="","",INDEX('05_KAPA'!$P:$P,$A744))</f>
        <v/>
      </c>
      <c r="I744" s="118">
        <f>IF($A744="","",INDEX('05_KAPA'!$O:$O,$A744))</f>
        <v/>
      </c>
      <c r="J744" s="202">
        <f>IF($A744="","",IFERROR(DATE(LEFT(TEXT(INDEX('05_KAPA'!$T:$T,$A744),"0"),4),MID(TEXT(INDEX('05_KAPA'!$T:$T,$A744),"0"),5,2),RIGHT(TEXT(INDEX('05_KAPA'!$T:$T,$A744),"0"),2)),""))</f>
        <v/>
      </c>
      <c r="K744">
        <f>IF(C744="","",IF('02_대상물건입력'!$B$5="",1,IF(ISNUMBER(SEARCH('02_대상물건입력'!$B$5,C744)),1,0)))</f>
        <v/>
      </c>
      <c r="L744">
        <f>IF(C744="","",IF('02_대상물건입력'!$B$6="",1,IF(ISNUMBER(SEARCH('02_대상물건입력'!$B$6,C744)),1,0)))</f>
        <v/>
      </c>
      <c r="M744">
        <f>IF(E744="","",IF('02_대상물건입력'!$B$8="",0,IF(ISNUMBER(SEARCH('02_대상물건입력'!$B$8,E744)),1,0)))</f>
        <v/>
      </c>
      <c r="N744">
        <f>IF(B744="","",IF(B744="담보",1,0))</f>
        <v/>
      </c>
      <c r="O744">
        <f>IFERROR(ABS(G744-'02_대상물건입력'!$B$11)/'02_대상물건입력'!$B$11,"")</f>
        <v/>
      </c>
      <c r="P744">
        <f>IFERROR(ABS('01_설정'!$B$4-H744),"")</f>
        <v/>
      </c>
      <c r="Q744">
        <f>IFERROR(ABS(YEAR(J744)-YEAR('02_대상물건입력'!$B$14)),"")</f>
        <v/>
      </c>
      <c r="R744">
        <f>IF(AND(G744&gt;0,H744&gt;0,I744&gt;0,N744=1,IF('01_설정'!$B$10=1,K744=1,TRUE()),O744&lt;='01_설정'!$B$5,P744&lt;='01_설정'!$B$7,Q744&lt;='01_설정'!$B$8),"Y","")</f>
        <v/>
      </c>
      <c r="S744">
        <f>IF(R744&lt;&gt;"Y","",MAX(0,(1-O744/'01_설정'!$B$5))*'01_설정'!$B$14+MAX(0,(1-P744/'01_설정'!$B$7))*'01_설정'!$B$16+MAX(0,(1-Q744/'01_설정'!$B$8))*'01_설정'!$B$17+L744*'01_설정'!$B$11+M744*'01_설정'!$B$12+N744*50)</f>
        <v/>
      </c>
      <c r="T744">
        <f>IF(S744="","",1+COUNTIFS($S$31:$S$1030,"&gt;"&amp;S744)+COUNTIFS($S$31:S744,S744)-1)</f>
        <v/>
      </c>
    </row>
    <row r="745" hidden="1" ht="16.5" customHeight="1">
      <c r="A745">
        <f>IF(COUNTA('05_KAPA'!$A716:$AO716)=0,"",718)</f>
        <v/>
      </c>
      <c r="B745">
        <f>IF($A745="","",INDEX('05_KAPA'!$B:$B,$A745))</f>
        <v/>
      </c>
      <c r="C745">
        <f>IF($A745="","",INDEX('05_KAPA'!$F:$F,$A745))</f>
        <v/>
      </c>
      <c r="D745">
        <f>IF($A745="","",INDEX('05_KAPA'!$H:$H,$A745))</f>
        <v/>
      </c>
      <c r="E745">
        <f>IF($A745="","",INDEX('05_KAPA'!$K:$K,$A745))</f>
        <v/>
      </c>
      <c r="F745">
        <f>IF($A745="","",INDEX('05_KAPA'!$L:$L,$A745))</f>
        <v/>
      </c>
      <c r="G745">
        <f>IF($A745="","",INDEX('05_KAPA'!$I:$I,$A745))</f>
        <v/>
      </c>
      <c r="H745" s="202">
        <f>IF($A745="","",INDEX('05_KAPA'!$P:$P,$A745))</f>
        <v/>
      </c>
      <c r="I745" s="118">
        <f>IF($A745="","",INDEX('05_KAPA'!$O:$O,$A745))</f>
        <v/>
      </c>
      <c r="J745" s="202">
        <f>IF($A745="","",IFERROR(DATE(LEFT(TEXT(INDEX('05_KAPA'!$T:$T,$A745),"0"),4),MID(TEXT(INDEX('05_KAPA'!$T:$T,$A745),"0"),5,2),RIGHT(TEXT(INDEX('05_KAPA'!$T:$T,$A745),"0"),2)),""))</f>
        <v/>
      </c>
      <c r="K745">
        <f>IF(C745="","",IF('02_대상물건입력'!$B$5="",1,IF(ISNUMBER(SEARCH('02_대상물건입력'!$B$5,C745)),1,0)))</f>
        <v/>
      </c>
      <c r="L745">
        <f>IF(C745="","",IF('02_대상물건입력'!$B$6="",1,IF(ISNUMBER(SEARCH('02_대상물건입력'!$B$6,C745)),1,0)))</f>
        <v/>
      </c>
      <c r="M745">
        <f>IF(E745="","",IF('02_대상물건입력'!$B$8="",0,IF(ISNUMBER(SEARCH('02_대상물건입력'!$B$8,E745)),1,0)))</f>
        <v/>
      </c>
      <c r="N745">
        <f>IF(B745="","",IF(B745="담보",1,0))</f>
        <v/>
      </c>
      <c r="O745">
        <f>IFERROR(ABS(G745-'02_대상물건입력'!$B$11)/'02_대상물건입력'!$B$11,"")</f>
        <v/>
      </c>
      <c r="P745">
        <f>IFERROR(ABS('01_설정'!$B$4-H745),"")</f>
        <v/>
      </c>
      <c r="Q745">
        <f>IFERROR(ABS(YEAR(J745)-YEAR('02_대상물건입력'!$B$14)),"")</f>
        <v/>
      </c>
      <c r="R745">
        <f>IF(AND(G745&gt;0,H745&gt;0,I745&gt;0,N745=1,IF('01_설정'!$B$10=1,K745=1,TRUE()),O745&lt;='01_설정'!$B$5,P745&lt;='01_설정'!$B$7,Q745&lt;='01_설정'!$B$8),"Y","")</f>
        <v/>
      </c>
      <c r="S745">
        <f>IF(R745&lt;&gt;"Y","",MAX(0,(1-O745/'01_설정'!$B$5))*'01_설정'!$B$14+MAX(0,(1-P745/'01_설정'!$B$7))*'01_설정'!$B$16+MAX(0,(1-Q745/'01_설정'!$B$8))*'01_설정'!$B$17+L745*'01_설정'!$B$11+M745*'01_설정'!$B$12+N745*50)</f>
        <v/>
      </c>
      <c r="T745">
        <f>IF(S745="","",1+COUNTIFS($S$31:$S$1030,"&gt;"&amp;S745)+COUNTIFS($S$31:S745,S745)-1)</f>
        <v/>
      </c>
    </row>
    <row r="746" hidden="1" ht="16.5" customHeight="1">
      <c r="A746">
        <f>IF(COUNTA('05_KAPA'!$A717:$AO717)=0,"",719)</f>
        <v/>
      </c>
      <c r="B746">
        <f>IF($A746="","",INDEX('05_KAPA'!$B:$B,$A746))</f>
        <v/>
      </c>
      <c r="C746">
        <f>IF($A746="","",INDEX('05_KAPA'!$F:$F,$A746))</f>
        <v/>
      </c>
      <c r="D746">
        <f>IF($A746="","",INDEX('05_KAPA'!$H:$H,$A746))</f>
        <v/>
      </c>
      <c r="E746">
        <f>IF($A746="","",INDEX('05_KAPA'!$K:$K,$A746))</f>
        <v/>
      </c>
      <c r="F746">
        <f>IF($A746="","",INDEX('05_KAPA'!$L:$L,$A746))</f>
        <v/>
      </c>
      <c r="G746">
        <f>IF($A746="","",INDEX('05_KAPA'!$I:$I,$A746))</f>
        <v/>
      </c>
      <c r="H746" s="202">
        <f>IF($A746="","",INDEX('05_KAPA'!$P:$P,$A746))</f>
        <v/>
      </c>
      <c r="I746" s="118">
        <f>IF($A746="","",INDEX('05_KAPA'!$O:$O,$A746))</f>
        <v/>
      </c>
      <c r="J746" s="202">
        <f>IF($A746="","",IFERROR(DATE(LEFT(TEXT(INDEX('05_KAPA'!$T:$T,$A746),"0"),4),MID(TEXT(INDEX('05_KAPA'!$T:$T,$A746),"0"),5,2),RIGHT(TEXT(INDEX('05_KAPA'!$T:$T,$A746),"0"),2)),""))</f>
        <v/>
      </c>
      <c r="K746">
        <f>IF(C746="","",IF('02_대상물건입력'!$B$5="",1,IF(ISNUMBER(SEARCH('02_대상물건입력'!$B$5,C746)),1,0)))</f>
        <v/>
      </c>
      <c r="L746">
        <f>IF(C746="","",IF('02_대상물건입력'!$B$6="",1,IF(ISNUMBER(SEARCH('02_대상물건입력'!$B$6,C746)),1,0)))</f>
        <v/>
      </c>
      <c r="M746">
        <f>IF(E746="","",IF('02_대상물건입력'!$B$8="",0,IF(ISNUMBER(SEARCH('02_대상물건입력'!$B$8,E746)),1,0)))</f>
        <v/>
      </c>
      <c r="N746">
        <f>IF(B746="","",IF(B746="담보",1,0))</f>
        <v/>
      </c>
      <c r="O746">
        <f>IFERROR(ABS(G746-'02_대상물건입력'!$B$11)/'02_대상물건입력'!$B$11,"")</f>
        <v/>
      </c>
      <c r="P746">
        <f>IFERROR(ABS('01_설정'!$B$4-H746),"")</f>
        <v/>
      </c>
      <c r="Q746">
        <f>IFERROR(ABS(YEAR(J746)-YEAR('02_대상물건입력'!$B$14)),"")</f>
        <v/>
      </c>
      <c r="R746">
        <f>IF(AND(G746&gt;0,H746&gt;0,I746&gt;0,N746=1,IF('01_설정'!$B$10=1,K746=1,TRUE()),O746&lt;='01_설정'!$B$5,P746&lt;='01_설정'!$B$7,Q746&lt;='01_설정'!$B$8),"Y","")</f>
        <v/>
      </c>
      <c r="S746">
        <f>IF(R746&lt;&gt;"Y","",MAX(0,(1-O746/'01_설정'!$B$5))*'01_설정'!$B$14+MAX(0,(1-P746/'01_설정'!$B$7))*'01_설정'!$B$16+MAX(0,(1-Q746/'01_설정'!$B$8))*'01_설정'!$B$17+L746*'01_설정'!$B$11+M746*'01_설정'!$B$12+N746*50)</f>
        <v/>
      </c>
      <c r="T746">
        <f>IF(S746="","",1+COUNTIFS($S$31:$S$1030,"&gt;"&amp;S746)+COUNTIFS($S$31:S746,S746)-1)</f>
        <v/>
      </c>
    </row>
    <row r="747" hidden="1" ht="16.5" customHeight="1">
      <c r="A747">
        <f>IF(COUNTA('05_KAPA'!$A718:$AO718)=0,"",720)</f>
        <v/>
      </c>
      <c r="B747">
        <f>IF($A747="","",INDEX('05_KAPA'!$B:$B,$A747))</f>
        <v/>
      </c>
      <c r="C747">
        <f>IF($A747="","",INDEX('05_KAPA'!$F:$F,$A747))</f>
        <v/>
      </c>
      <c r="D747">
        <f>IF($A747="","",INDEX('05_KAPA'!$H:$H,$A747))</f>
        <v/>
      </c>
      <c r="E747">
        <f>IF($A747="","",INDEX('05_KAPA'!$K:$K,$A747))</f>
        <v/>
      </c>
      <c r="F747">
        <f>IF($A747="","",INDEX('05_KAPA'!$L:$L,$A747))</f>
        <v/>
      </c>
      <c r="G747">
        <f>IF($A747="","",INDEX('05_KAPA'!$I:$I,$A747))</f>
        <v/>
      </c>
      <c r="H747" s="202">
        <f>IF($A747="","",INDEX('05_KAPA'!$P:$P,$A747))</f>
        <v/>
      </c>
      <c r="I747" s="118">
        <f>IF($A747="","",INDEX('05_KAPA'!$O:$O,$A747))</f>
        <v/>
      </c>
      <c r="J747" s="202">
        <f>IF($A747="","",IFERROR(DATE(LEFT(TEXT(INDEX('05_KAPA'!$T:$T,$A747),"0"),4),MID(TEXT(INDEX('05_KAPA'!$T:$T,$A747),"0"),5,2),RIGHT(TEXT(INDEX('05_KAPA'!$T:$T,$A747),"0"),2)),""))</f>
        <v/>
      </c>
      <c r="K747">
        <f>IF(C747="","",IF('02_대상물건입력'!$B$5="",1,IF(ISNUMBER(SEARCH('02_대상물건입력'!$B$5,C747)),1,0)))</f>
        <v/>
      </c>
      <c r="L747">
        <f>IF(C747="","",IF('02_대상물건입력'!$B$6="",1,IF(ISNUMBER(SEARCH('02_대상물건입력'!$B$6,C747)),1,0)))</f>
        <v/>
      </c>
      <c r="M747">
        <f>IF(E747="","",IF('02_대상물건입력'!$B$8="",0,IF(ISNUMBER(SEARCH('02_대상물건입력'!$B$8,E747)),1,0)))</f>
        <v/>
      </c>
      <c r="N747">
        <f>IF(B747="","",IF(B747="담보",1,0))</f>
        <v/>
      </c>
      <c r="O747">
        <f>IFERROR(ABS(G747-'02_대상물건입력'!$B$11)/'02_대상물건입력'!$B$11,"")</f>
        <v/>
      </c>
      <c r="P747">
        <f>IFERROR(ABS('01_설정'!$B$4-H747),"")</f>
        <v/>
      </c>
      <c r="Q747">
        <f>IFERROR(ABS(YEAR(J747)-YEAR('02_대상물건입력'!$B$14)),"")</f>
        <v/>
      </c>
      <c r="R747">
        <f>IF(AND(G747&gt;0,H747&gt;0,I747&gt;0,N747=1,IF('01_설정'!$B$10=1,K747=1,TRUE()),O747&lt;='01_설정'!$B$5,P747&lt;='01_설정'!$B$7,Q747&lt;='01_설정'!$B$8),"Y","")</f>
        <v/>
      </c>
      <c r="S747">
        <f>IF(R747&lt;&gt;"Y","",MAX(0,(1-O747/'01_설정'!$B$5))*'01_설정'!$B$14+MAX(0,(1-P747/'01_설정'!$B$7))*'01_설정'!$B$16+MAX(0,(1-Q747/'01_설정'!$B$8))*'01_설정'!$B$17+L747*'01_설정'!$B$11+M747*'01_설정'!$B$12+N747*50)</f>
        <v/>
      </c>
      <c r="T747">
        <f>IF(S747="","",1+COUNTIFS($S$31:$S$1030,"&gt;"&amp;S747)+COUNTIFS($S$31:S747,S747)-1)</f>
        <v/>
      </c>
    </row>
    <row r="748" hidden="1" ht="16.5" customHeight="1">
      <c r="A748">
        <f>IF(COUNTA('05_KAPA'!$A719:$AO719)=0,"",721)</f>
        <v/>
      </c>
      <c r="B748">
        <f>IF($A748="","",INDEX('05_KAPA'!$B:$B,$A748))</f>
        <v/>
      </c>
      <c r="C748">
        <f>IF($A748="","",INDEX('05_KAPA'!$F:$F,$A748))</f>
        <v/>
      </c>
      <c r="D748">
        <f>IF($A748="","",INDEX('05_KAPA'!$H:$H,$A748))</f>
        <v/>
      </c>
      <c r="E748">
        <f>IF($A748="","",INDEX('05_KAPA'!$K:$K,$A748))</f>
        <v/>
      </c>
      <c r="F748">
        <f>IF($A748="","",INDEX('05_KAPA'!$L:$L,$A748))</f>
        <v/>
      </c>
      <c r="G748">
        <f>IF($A748="","",INDEX('05_KAPA'!$I:$I,$A748))</f>
        <v/>
      </c>
      <c r="H748" s="202">
        <f>IF($A748="","",INDEX('05_KAPA'!$P:$P,$A748))</f>
        <v/>
      </c>
      <c r="I748" s="118">
        <f>IF($A748="","",INDEX('05_KAPA'!$O:$O,$A748))</f>
        <v/>
      </c>
      <c r="J748" s="202">
        <f>IF($A748="","",IFERROR(DATE(LEFT(TEXT(INDEX('05_KAPA'!$T:$T,$A748),"0"),4),MID(TEXT(INDEX('05_KAPA'!$T:$T,$A748),"0"),5,2),RIGHT(TEXT(INDEX('05_KAPA'!$T:$T,$A748),"0"),2)),""))</f>
        <v/>
      </c>
      <c r="K748">
        <f>IF(C748="","",IF('02_대상물건입력'!$B$5="",1,IF(ISNUMBER(SEARCH('02_대상물건입력'!$B$5,C748)),1,0)))</f>
        <v/>
      </c>
      <c r="L748">
        <f>IF(C748="","",IF('02_대상물건입력'!$B$6="",1,IF(ISNUMBER(SEARCH('02_대상물건입력'!$B$6,C748)),1,0)))</f>
        <v/>
      </c>
      <c r="M748">
        <f>IF(E748="","",IF('02_대상물건입력'!$B$8="",0,IF(ISNUMBER(SEARCH('02_대상물건입력'!$B$8,E748)),1,0)))</f>
        <v/>
      </c>
      <c r="N748">
        <f>IF(B748="","",IF(B748="담보",1,0))</f>
        <v/>
      </c>
      <c r="O748">
        <f>IFERROR(ABS(G748-'02_대상물건입력'!$B$11)/'02_대상물건입력'!$B$11,"")</f>
        <v/>
      </c>
      <c r="P748">
        <f>IFERROR(ABS('01_설정'!$B$4-H748),"")</f>
        <v/>
      </c>
      <c r="Q748">
        <f>IFERROR(ABS(YEAR(J748)-YEAR('02_대상물건입력'!$B$14)),"")</f>
        <v/>
      </c>
      <c r="R748">
        <f>IF(AND(G748&gt;0,H748&gt;0,I748&gt;0,N748=1,IF('01_설정'!$B$10=1,K748=1,TRUE()),O748&lt;='01_설정'!$B$5,P748&lt;='01_설정'!$B$7,Q748&lt;='01_설정'!$B$8),"Y","")</f>
        <v/>
      </c>
      <c r="S748">
        <f>IF(R748&lt;&gt;"Y","",MAX(0,(1-O748/'01_설정'!$B$5))*'01_설정'!$B$14+MAX(0,(1-P748/'01_설정'!$B$7))*'01_설정'!$B$16+MAX(0,(1-Q748/'01_설정'!$B$8))*'01_설정'!$B$17+L748*'01_설정'!$B$11+M748*'01_설정'!$B$12+N748*50)</f>
        <v/>
      </c>
      <c r="T748">
        <f>IF(S748="","",1+COUNTIFS($S$31:$S$1030,"&gt;"&amp;S748)+COUNTIFS($S$31:S748,S748)-1)</f>
        <v/>
      </c>
    </row>
    <row r="749" hidden="1" ht="16.5" customHeight="1">
      <c r="A749">
        <f>IF(COUNTA('05_KAPA'!$A720:$AO720)=0,"",722)</f>
        <v/>
      </c>
      <c r="B749">
        <f>IF($A749="","",INDEX('05_KAPA'!$B:$B,$A749))</f>
        <v/>
      </c>
      <c r="C749">
        <f>IF($A749="","",INDEX('05_KAPA'!$F:$F,$A749))</f>
        <v/>
      </c>
      <c r="D749">
        <f>IF($A749="","",INDEX('05_KAPA'!$H:$H,$A749))</f>
        <v/>
      </c>
      <c r="E749">
        <f>IF($A749="","",INDEX('05_KAPA'!$K:$K,$A749))</f>
        <v/>
      </c>
      <c r="F749">
        <f>IF($A749="","",INDEX('05_KAPA'!$L:$L,$A749))</f>
        <v/>
      </c>
      <c r="G749">
        <f>IF($A749="","",INDEX('05_KAPA'!$I:$I,$A749))</f>
        <v/>
      </c>
      <c r="H749" s="202">
        <f>IF($A749="","",INDEX('05_KAPA'!$P:$P,$A749))</f>
        <v/>
      </c>
      <c r="I749" s="118">
        <f>IF($A749="","",INDEX('05_KAPA'!$O:$O,$A749))</f>
        <v/>
      </c>
      <c r="J749" s="202">
        <f>IF($A749="","",IFERROR(DATE(LEFT(TEXT(INDEX('05_KAPA'!$T:$T,$A749),"0"),4),MID(TEXT(INDEX('05_KAPA'!$T:$T,$A749),"0"),5,2),RIGHT(TEXT(INDEX('05_KAPA'!$T:$T,$A749),"0"),2)),""))</f>
        <v/>
      </c>
      <c r="K749">
        <f>IF(C749="","",IF('02_대상물건입력'!$B$5="",1,IF(ISNUMBER(SEARCH('02_대상물건입력'!$B$5,C749)),1,0)))</f>
        <v/>
      </c>
      <c r="L749">
        <f>IF(C749="","",IF('02_대상물건입력'!$B$6="",1,IF(ISNUMBER(SEARCH('02_대상물건입력'!$B$6,C749)),1,0)))</f>
        <v/>
      </c>
      <c r="M749">
        <f>IF(E749="","",IF('02_대상물건입력'!$B$8="",0,IF(ISNUMBER(SEARCH('02_대상물건입력'!$B$8,E749)),1,0)))</f>
        <v/>
      </c>
      <c r="N749">
        <f>IF(B749="","",IF(B749="담보",1,0))</f>
        <v/>
      </c>
      <c r="O749">
        <f>IFERROR(ABS(G749-'02_대상물건입력'!$B$11)/'02_대상물건입력'!$B$11,"")</f>
        <v/>
      </c>
      <c r="P749">
        <f>IFERROR(ABS('01_설정'!$B$4-H749),"")</f>
        <v/>
      </c>
      <c r="Q749">
        <f>IFERROR(ABS(YEAR(J749)-YEAR('02_대상물건입력'!$B$14)),"")</f>
        <v/>
      </c>
      <c r="R749">
        <f>IF(AND(G749&gt;0,H749&gt;0,I749&gt;0,N749=1,IF('01_설정'!$B$10=1,K749=1,TRUE()),O749&lt;='01_설정'!$B$5,P749&lt;='01_설정'!$B$7,Q749&lt;='01_설정'!$B$8),"Y","")</f>
        <v/>
      </c>
      <c r="S749">
        <f>IF(R749&lt;&gt;"Y","",MAX(0,(1-O749/'01_설정'!$B$5))*'01_설정'!$B$14+MAX(0,(1-P749/'01_설정'!$B$7))*'01_설정'!$B$16+MAX(0,(1-Q749/'01_설정'!$B$8))*'01_설정'!$B$17+L749*'01_설정'!$B$11+M749*'01_설정'!$B$12+N749*50)</f>
        <v/>
      </c>
      <c r="T749">
        <f>IF(S749="","",1+COUNTIFS($S$31:$S$1030,"&gt;"&amp;S749)+COUNTIFS($S$31:S749,S749)-1)</f>
        <v/>
      </c>
    </row>
    <row r="750" hidden="1" ht="16.5" customHeight="1">
      <c r="A750">
        <f>IF(COUNTA('05_KAPA'!$A721:$AO721)=0,"",723)</f>
        <v/>
      </c>
      <c r="B750">
        <f>IF($A750="","",INDEX('05_KAPA'!$B:$B,$A750))</f>
        <v/>
      </c>
      <c r="C750">
        <f>IF($A750="","",INDEX('05_KAPA'!$F:$F,$A750))</f>
        <v/>
      </c>
      <c r="D750">
        <f>IF($A750="","",INDEX('05_KAPA'!$H:$H,$A750))</f>
        <v/>
      </c>
      <c r="E750">
        <f>IF($A750="","",INDEX('05_KAPA'!$K:$K,$A750))</f>
        <v/>
      </c>
      <c r="F750">
        <f>IF($A750="","",INDEX('05_KAPA'!$L:$L,$A750))</f>
        <v/>
      </c>
      <c r="G750">
        <f>IF($A750="","",INDEX('05_KAPA'!$I:$I,$A750))</f>
        <v/>
      </c>
      <c r="H750" s="202">
        <f>IF($A750="","",INDEX('05_KAPA'!$P:$P,$A750))</f>
        <v/>
      </c>
      <c r="I750" s="118">
        <f>IF($A750="","",INDEX('05_KAPA'!$O:$O,$A750))</f>
        <v/>
      </c>
      <c r="J750" s="202">
        <f>IF($A750="","",IFERROR(DATE(LEFT(TEXT(INDEX('05_KAPA'!$T:$T,$A750),"0"),4),MID(TEXT(INDEX('05_KAPA'!$T:$T,$A750),"0"),5,2),RIGHT(TEXT(INDEX('05_KAPA'!$T:$T,$A750),"0"),2)),""))</f>
        <v/>
      </c>
      <c r="K750">
        <f>IF(C750="","",IF('02_대상물건입력'!$B$5="",1,IF(ISNUMBER(SEARCH('02_대상물건입력'!$B$5,C750)),1,0)))</f>
        <v/>
      </c>
      <c r="L750">
        <f>IF(C750="","",IF('02_대상물건입력'!$B$6="",1,IF(ISNUMBER(SEARCH('02_대상물건입력'!$B$6,C750)),1,0)))</f>
        <v/>
      </c>
      <c r="M750">
        <f>IF(E750="","",IF('02_대상물건입력'!$B$8="",0,IF(ISNUMBER(SEARCH('02_대상물건입력'!$B$8,E750)),1,0)))</f>
        <v/>
      </c>
      <c r="N750">
        <f>IF(B750="","",IF(B750="담보",1,0))</f>
        <v/>
      </c>
      <c r="O750">
        <f>IFERROR(ABS(G750-'02_대상물건입력'!$B$11)/'02_대상물건입력'!$B$11,"")</f>
        <v/>
      </c>
      <c r="P750">
        <f>IFERROR(ABS('01_설정'!$B$4-H750),"")</f>
        <v/>
      </c>
      <c r="Q750">
        <f>IFERROR(ABS(YEAR(J750)-YEAR('02_대상물건입력'!$B$14)),"")</f>
        <v/>
      </c>
      <c r="R750">
        <f>IF(AND(G750&gt;0,H750&gt;0,I750&gt;0,N750=1,IF('01_설정'!$B$10=1,K750=1,TRUE()),O750&lt;='01_설정'!$B$5,P750&lt;='01_설정'!$B$7,Q750&lt;='01_설정'!$B$8),"Y","")</f>
        <v/>
      </c>
      <c r="S750">
        <f>IF(R750&lt;&gt;"Y","",MAX(0,(1-O750/'01_설정'!$B$5))*'01_설정'!$B$14+MAX(0,(1-P750/'01_설정'!$B$7))*'01_설정'!$B$16+MAX(0,(1-Q750/'01_설정'!$B$8))*'01_설정'!$B$17+L750*'01_설정'!$B$11+M750*'01_설정'!$B$12+N750*50)</f>
        <v/>
      </c>
      <c r="T750">
        <f>IF(S750="","",1+COUNTIFS($S$31:$S$1030,"&gt;"&amp;S750)+COUNTIFS($S$31:S750,S750)-1)</f>
        <v/>
      </c>
    </row>
    <row r="751" hidden="1" ht="16.5" customHeight="1">
      <c r="A751">
        <f>IF(COUNTA('05_KAPA'!$A722:$AO722)=0,"",724)</f>
        <v/>
      </c>
      <c r="B751">
        <f>IF($A751="","",INDEX('05_KAPA'!$B:$B,$A751))</f>
        <v/>
      </c>
      <c r="C751">
        <f>IF($A751="","",INDEX('05_KAPA'!$F:$F,$A751))</f>
        <v/>
      </c>
      <c r="D751">
        <f>IF($A751="","",INDEX('05_KAPA'!$H:$H,$A751))</f>
        <v/>
      </c>
      <c r="E751">
        <f>IF($A751="","",INDEX('05_KAPA'!$K:$K,$A751))</f>
        <v/>
      </c>
      <c r="F751">
        <f>IF($A751="","",INDEX('05_KAPA'!$L:$L,$A751))</f>
        <v/>
      </c>
      <c r="G751">
        <f>IF($A751="","",INDEX('05_KAPA'!$I:$I,$A751))</f>
        <v/>
      </c>
      <c r="H751" s="202">
        <f>IF($A751="","",INDEX('05_KAPA'!$P:$P,$A751))</f>
        <v/>
      </c>
      <c r="I751" s="118">
        <f>IF($A751="","",INDEX('05_KAPA'!$O:$O,$A751))</f>
        <v/>
      </c>
      <c r="J751" s="202">
        <f>IF($A751="","",IFERROR(DATE(LEFT(TEXT(INDEX('05_KAPA'!$T:$T,$A751),"0"),4),MID(TEXT(INDEX('05_KAPA'!$T:$T,$A751),"0"),5,2),RIGHT(TEXT(INDEX('05_KAPA'!$T:$T,$A751),"0"),2)),""))</f>
        <v/>
      </c>
      <c r="K751">
        <f>IF(C751="","",IF('02_대상물건입력'!$B$5="",1,IF(ISNUMBER(SEARCH('02_대상물건입력'!$B$5,C751)),1,0)))</f>
        <v/>
      </c>
      <c r="L751">
        <f>IF(C751="","",IF('02_대상물건입력'!$B$6="",1,IF(ISNUMBER(SEARCH('02_대상물건입력'!$B$6,C751)),1,0)))</f>
        <v/>
      </c>
      <c r="M751">
        <f>IF(E751="","",IF('02_대상물건입력'!$B$8="",0,IF(ISNUMBER(SEARCH('02_대상물건입력'!$B$8,E751)),1,0)))</f>
        <v/>
      </c>
      <c r="N751">
        <f>IF(B751="","",IF(B751="담보",1,0))</f>
        <v/>
      </c>
      <c r="O751">
        <f>IFERROR(ABS(G751-'02_대상물건입력'!$B$11)/'02_대상물건입력'!$B$11,"")</f>
        <v/>
      </c>
      <c r="P751">
        <f>IFERROR(ABS('01_설정'!$B$4-H751),"")</f>
        <v/>
      </c>
      <c r="Q751">
        <f>IFERROR(ABS(YEAR(J751)-YEAR('02_대상물건입력'!$B$14)),"")</f>
        <v/>
      </c>
      <c r="R751">
        <f>IF(AND(G751&gt;0,H751&gt;0,I751&gt;0,N751=1,IF('01_설정'!$B$10=1,K751=1,TRUE()),O751&lt;='01_설정'!$B$5,P751&lt;='01_설정'!$B$7,Q751&lt;='01_설정'!$B$8),"Y","")</f>
        <v/>
      </c>
      <c r="S751">
        <f>IF(R751&lt;&gt;"Y","",MAX(0,(1-O751/'01_설정'!$B$5))*'01_설정'!$B$14+MAX(0,(1-P751/'01_설정'!$B$7))*'01_설정'!$B$16+MAX(0,(1-Q751/'01_설정'!$B$8))*'01_설정'!$B$17+L751*'01_설정'!$B$11+M751*'01_설정'!$B$12+N751*50)</f>
        <v/>
      </c>
      <c r="T751">
        <f>IF(S751="","",1+COUNTIFS($S$31:$S$1030,"&gt;"&amp;S751)+COUNTIFS($S$31:S751,S751)-1)</f>
        <v/>
      </c>
    </row>
    <row r="752" hidden="1" ht="16.5" customHeight="1">
      <c r="A752">
        <f>IF(COUNTA('05_KAPA'!$A723:$AO723)=0,"",725)</f>
        <v/>
      </c>
      <c r="B752">
        <f>IF($A752="","",INDEX('05_KAPA'!$B:$B,$A752))</f>
        <v/>
      </c>
      <c r="C752">
        <f>IF($A752="","",INDEX('05_KAPA'!$F:$F,$A752))</f>
        <v/>
      </c>
      <c r="D752">
        <f>IF($A752="","",INDEX('05_KAPA'!$H:$H,$A752))</f>
        <v/>
      </c>
      <c r="E752">
        <f>IF($A752="","",INDEX('05_KAPA'!$K:$K,$A752))</f>
        <v/>
      </c>
      <c r="F752">
        <f>IF($A752="","",INDEX('05_KAPA'!$L:$L,$A752))</f>
        <v/>
      </c>
      <c r="G752">
        <f>IF($A752="","",INDEX('05_KAPA'!$I:$I,$A752))</f>
        <v/>
      </c>
      <c r="H752" s="202">
        <f>IF($A752="","",INDEX('05_KAPA'!$P:$P,$A752))</f>
        <v/>
      </c>
      <c r="I752" s="118">
        <f>IF($A752="","",INDEX('05_KAPA'!$O:$O,$A752))</f>
        <v/>
      </c>
      <c r="J752" s="202">
        <f>IF($A752="","",IFERROR(DATE(LEFT(TEXT(INDEX('05_KAPA'!$T:$T,$A752),"0"),4),MID(TEXT(INDEX('05_KAPA'!$T:$T,$A752),"0"),5,2),RIGHT(TEXT(INDEX('05_KAPA'!$T:$T,$A752),"0"),2)),""))</f>
        <v/>
      </c>
      <c r="K752">
        <f>IF(C752="","",IF('02_대상물건입력'!$B$5="",1,IF(ISNUMBER(SEARCH('02_대상물건입력'!$B$5,C752)),1,0)))</f>
        <v/>
      </c>
      <c r="L752">
        <f>IF(C752="","",IF('02_대상물건입력'!$B$6="",1,IF(ISNUMBER(SEARCH('02_대상물건입력'!$B$6,C752)),1,0)))</f>
        <v/>
      </c>
      <c r="M752">
        <f>IF(E752="","",IF('02_대상물건입력'!$B$8="",0,IF(ISNUMBER(SEARCH('02_대상물건입력'!$B$8,E752)),1,0)))</f>
        <v/>
      </c>
      <c r="N752">
        <f>IF(B752="","",IF(B752="담보",1,0))</f>
        <v/>
      </c>
      <c r="O752">
        <f>IFERROR(ABS(G752-'02_대상물건입력'!$B$11)/'02_대상물건입력'!$B$11,"")</f>
        <v/>
      </c>
      <c r="P752">
        <f>IFERROR(ABS('01_설정'!$B$4-H752),"")</f>
        <v/>
      </c>
      <c r="Q752">
        <f>IFERROR(ABS(YEAR(J752)-YEAR('02_대상물건입력'!$B$14)),"")</f>
        <v/>
      </c>
      <c r="R752">
        <f>IF(AND(G752&gt;0,H752&gt;0,I752&gt;0,N752=1,IF('01_설정'!$B$10=1,K752=1,TRUE()),O752&lt;='01_설정'!$B$5,P752&lt;='01_설정'!$B$7,Q752&lt;='01_설정'!$B$8),"Y","")</f>
        <v/>
      </c>
      <c r="S752">
        <f>IF(R752&lt;&gt;"Y","",MAX(0,(1-O752/'01_설정'!$B$5))*'01_설정'!$B$14+MAX(0,(1-P752/'01_설정'!$B$7))*'01_설정'!$B$16+MAX(0,(1-Q752/'01_설정'!$B$8))*'01_설정'!$B$17+L752*'01_설정'!$B$11+M752*'01_설정'!$B$12+N752*50)</f>
        <v/>
      </c>
      <c r="T752">
        <f>IF(S752="","",1+COUNTIFS($S$31:$S$1030,"&gt;"&amp;S752)+COUNTIFS($S$31:S752,S752)-1)</f>
        <v/>
      </c>
    </row>
    <row r="753" hidden="1" ht="16.5" customHeight="1">
      <c r="A753">
        <f>IF(COUNTA('05_KAPA'!$A724:$AO724)=0,"",726)</f>
        <v/>
      </c>
      <c r="B753">
        <f>IF($A753="","",INDEX('05_KAPA'!$B:$B,$A753))</f>
        <v/>
      </c>
      <c r="C753">
        <f>IF($A753="","",INDEX('05_KAPA'!$F:$F,$A753))</f>
        <v/>
      </c>
      <c r="D753">
        <f>IF($A753="","",INDEX('05_KAPA'!$H:$H,$A753))</f>
        <v/>
      </c>
      <c r="E753">
        <f>IF($A753="","",INDEX('05_KAPA'!$K:$K,$A753))</f>
        <v/>
      </c>
      <c r="F753">
        <f>IF($A753="","",INDEX('05_KAPA'!$L:$L,$A753))</f>
        <v/>
      </c>
      <c r="G753">
        <f>IF($A753="","",INDEX('05_KAPA'!$I:$I,$A753))</f>
        <v/>
      </c>
      <c r="H753" s="202">
        <f>IF($A753="","",INDEX('05_KAPA'!$P:$P,$A753))</f>
        <v/>
      </c>
      <c r="I753" s="118">
        <f>IF($A753="","",INDEX('05_KAPA'!$O:$O,$A753))</f>
        <v/>
      </c>
      <c r="J753" s="202">
        <f>IF($A753="","",IFERROR(DATE(LEFT(TEXT(INDEX('05_KAPA'!$T:$T,$A753),"0"),4),MID(TEXT(INDEX('05_KAPA'!$T:$T,$A753),"0"),5,2),RIGHT(TEXT(INDEX('05_KAPA'!$T:$T,$A753),"0"),2)),""))</f>
        <v/>
      </c>
      <c r="K753">
        <f>IF(C753="","",IF('02_대상물건입력'!$B$5="",1,IF(ISNUMBER(SEARCH('02_대상물건입력'!$B$5,C753)),1,0)))</f>
        <v/>
      </c>
      <c r="L753">
        <f>IF(C753="","",IF('02_대상물건입력'!$B$6="",1,IF(ISNUMBER(SEARCH('02_대상물건입력'!$B$6,C753)),1,0)))</f>
        <v/>
      </c>
      <c r="M753">
        <f>IF(E753="","",IF('02_대상물건입력'!$B$8="",0,IF(ISNUMBER(SEARCH('02_대상물건입력'!$B$8,E753)),1,0)))</f>
        <v/>
      </c>
      <c r="N753">
        <f>IF(B753="","",IF(B753="담보",1,0))</f>
        <v/>
      </c>
      <c r="O753">
        <f>IFERROR(ABS(G753-'02_대상물건입력'!$B$11)/'02_대상물건입력'!$B$11,"")</f>
        <v/>
      </c>
      <c r="P753">
        <f>IFERROR(ABS('01_설정'!$B$4-H753),"")</f>
        <v/>
      </c>
      <c r="Q753">
        <f>IFERROR(ABS(YEAR(J753)-YEAR('02_대상물건입력'!$B$14)),"")</f>
        <v/>
      </c>
      <c r="R753">
        <f>IF(AND(G753&gt;0,H753&gt;0,I753&gt;0,N753=1,IF('01_설정'!$B$10=1,K753=1,TRUE()),O753&lt;='01_설정'!$B$5,P753&lt;='01_설정'!$B$7,Q753&lt;='01_설정'!$B$8),"Y","")</f>
        <v/>
      </c>
      <c r="S753">
        <f>IF(R753&lt;&gt;"Y","",MAX(0,(1-O753/'01_설정'!$B$5))*'01_설정'!$B$14+MAX(0,(1-P753/'01_설정'!$B$7))*'01_설정'!$B$16+MAX(0,(1-Q753/'01_설정'!$B$8))*'01_설정'!$B$17+L753*'01_설정'!$B$11+M753*'01_설정'!$B$12+N753*50)</f>
        <v/>
      </c>
      <c r="T753">
        <f>IF(S753="","",1+COUNTIFS($S$31:$S$1030,"&gt;"&amp;S753)+COUNTIFS($S$31:S753,S753)-1)</f>
        <v/>
      </c>
    </row>
    <row r="754" hidden="1" ht="16.5" customHeight="1">
      <c r="A754">
        <f>IF(COUNTA('05_KAPA'!$A725:$AO725)=0,"",727)</f>
        <v/>
      </c>
      <c r="B754">
        <f>IF($A754="","",INDEX('05_KAPA'!$B:$B,$A754))</f>
        <v/>
      </c>
      <c r="C754">
        <f>IF($A754="","",INDEX('05_KAPA'!$F:$F,$A754))</f>
        <v/>
      </c>
      <c r="D754">
        <f>IF($A754="","",INDEX('05_KAPA'!$H:$H,$A754))</f>
        <v/>
      </c>
      <c r="E754">
        <f>IF($A754="","",INDEX('05_KAPA'!$K:$K,$A754))</f>
        <v/>
      </c>
      <c r="F754">
        <f>IF($A754="","",INDEX('05_KAPA'!$L:$L,$A754))</f>
        <v/>
      </c>
      <c r="G754">
        <f>IF($A754="","",INDEX('05_KAPA'!$I:$I,$A754))</f>
        <v/>
      </c>
      <c r="H754" s="202">
        <f>IF($A754="","",INDEX('05_KAPA'!$P:$P,$A754))</f>
        <v/>
      </c>
      <c r="I754" s="118">
        <f>IF($A754="","",INDEX('05_KAPA'!$O:$O,$A754))</f>
        <v/>
      </c>
      <c r="J754" s="202">
        <f>IF($A754="","",IFERROR(DATE(LEFT(TEXT(INDEX('05_KAPA'!$T:$T,$A754),"0"),4),MID(TEXT(INDEX('05_KAPA'!$T:$T,$A754),"0"),5,2),RIGHT(TEXT(INDEX('05_KAPA'!$T:$T,$A754),"0"),2)),""))</f>
        <v/>
      </c>
      <c r="K754">
        <f>IF(C754="","",IF('02_대상물건입력'!$B$5="",1,IF(ISNUMBER(SEARCH('02_대상물건입력'!$B$5,C754)),1,0)))</f>
        <v/>
      </c>
      <c r="L754">
        <f>IF(C754="","",IF('02_대상물건입력'!$B$6="",1,IF(ISNUMBER(SEARCH('02_대상물건입력'!$B$6,C754)),1,0)))</f>
        <v/>
      </c>
      <c r="M754">
        <f>IF(E754="","",IF('02_대상물건입력'!$B$8="",0,IF(ISNUMBER(SEARCH('02_대상물건입력'!$B$8,E754)),1,0)))</f>
        <v/>
      </c>
      <c r="N754">
        <f>IF(B754="","",IF(B754="담보",1,0))</f>
        <v/>
      </c>
      <c r="O754">
        <f>IFERROR(ABS(G754-'02_대상물건입력'!$B$11)/'02_대상물건입력'!$B$11,"")</f>
        <v/>
      </c>
      <c r="P754">
        <f>IFERROR(ABS('01_설정'!$B$4-H754),"")</f>
        <v/>
      </c>
      <c r="Q754">
        <f>IFERROR(ABS(YEAR(J754)-YEAR('02_대상물건입력'!$B$14)),"")</f>
        <v/>
      </c>
      <c r="R754">
        <f>IF(AND(G754&gt;0,H754&gt;0,I754&gt;0,N754=1,IF('01_설정'!$B$10=1,K754=1,TRUE()),O754&lt;='01_설정'!$B$5,P754&lt;='01_설정'!$B$7,Q754&lt;='01_설정'!$B$8),"Y","")</f>
        <v/>
      </c>
      <c r="S754">
        <f>IF(R754&lt;&gt;"Y","",MAX(0,(1-O754/'01_설정'!$B$5))*'01_설정'!$B$14+MAX(0,(1-P754/'01_설정'!$B$7))*'01_설정'!$B$16+MAX(0,(1-Q754/'01_설정'!$B$8))*'01_설정'!$B$17+L754*'01_설정'!$B$11+M754*'01_설정'!$B$12+N754*50)</f>
        <v/>
      </c>
      <c r="T754">
        <f>IF(S754="","",1+COUNTIFS($S$31:$S$1030,"&gt;"&amp;S754)+COUNTIFS($S$31:S754,S754)-1)</f>
        <v/>
      </c>
    </row>
    <row r="755" hidden="1" ht="16.5" customHeight="1">
      <c r="A755">
        <f>IF(COUNTA('05_KAPA'!$A726:$AO726)=0,"",728)</f>
        <v/>
      </c>
      <c r="B755">
        <f>IF($A755="","",INDEX('05_KAPA'!$B:$B,$A755))</f>
        <v/>
      </c>
      <c r="C755">
        <f>IF($A755="","",INDEX('05_KAPA'!$F:$F,$A755))</f>
        <v/>
      </c>
      <c r="D755">
        <f>IF($A755="","",INDEX('05_KAPA'!$H:$H,$A755))</f>
        <v/>
      </c>
      <c r="E755">
        <f>IF($A755="","",INDEX('05_KAPA'!$K:$K,$A755))</f>
        <v/>
      </c>
      <c r="F755">
        <f>IF($A755="","",INDEX('05_KAPA'!$L:$L,$A755))</f>
        <v/>
      </c>
      <c r="G755">
        <f>IF($A755="","",INDEX('05_KAPA'!$I:$I,$A755))</f>
        <v/>
      </c>
      <c r="H755" s="202">
        <f>IF($A755="","",INDEX('05_KAPA'!$P:$P,$A755))</f>
        <v/>
      </c>
      <c r="I755" s="118">
        <f>IF($A755="","",INDEX('05_KAPA'!$O:$O,$A755))</f>
        <v/>
      </c>
      <c r="J755" s="202">
        <f>IF($A755="","",IFERROR(DATE(LEFT(TEXT(INDEX('05_KAPA'!$T:$T,$A755),"0"),4),MID(TEXT(INDEX('05_KAPA'!$T:$T,$A755),"0"),5,2),RIGHT(TEXT(INDEX('05_KAPA'!$T:$T,$A755),"0"),2)),""))</f>
        <v/>
      </c>
      <c r="K755">
        <f>IF(C755="","",IF('02_대상물건입력'!$B$5="",1,IF(ISNUMBER(SEARCH('02_대상물건입력'!$B$5,C755)),1,0)))</f>
        <v/>
      </c>
      <c r="L755">
        <f>IF(C755="","",IF('02_대상물건입력'!$B$6="",1,IF(ISNUMBER(SEARCH('02_대상물건입력'!$B$6,C755)),1,0)))</f>
        <v/>
      </c>
      <c r="M755">
        <f>IF(E755="","",IF('02_대상물건입력'!$B$8="",0,IF(ISNUMBER(SEARCH('02_대상물건입력'!$B$8,E755)),1,0)))</f>
        <v/>
      </c>
      <c r="N755">
        <f>IF(B755="","",IF(B755="담보",1,0))</f>
        <v/>
      </c>
      <c r="O755">
        <f>IFERROR(ABS(G755-'02_대상물건입력'!$B$11)/'02_대상물건입력'!$B$11,"")</f>
        <v/>
      </c>
      <c r="P755">
        <f>IFERROR(ABS('01_설정'!$B$4-H755),"")</f>
        <v/>
      </c>
      <c r="Q755">
        <f>IFERROR(ABS(YEAR(J755)-YEAR('02_대상물건입력'!$B$14)),"")</f>
        <v/>
      </c>
      <c r="R755">
        <f>IF(AND(G755&gt;0,H755&gt;0,I755&gt;0,N755=1,IF('01_설정'!$B$10=1,K755=1,TRUE()),O755&lt;='01_설정'!$B$5,P755&lt;='01_설정'!$B$7,Q755&lt;='01_설정'!$B$8),"Y","")</f>
        <v/>
      </c>
      <c r="S755">
        <f>IF(R755&lt;&gt;"Y","",MAX(0,(1-O755/'01_설정'!$B$5))*'01_설정'!$B$14+MAX(0,(1-P755/'01_설정'!$B$7))*'01_설정'!$B$16+MAX(0,(1-Q755/'01_설정'!$B$8))*'01_설정'!$B$17+L755*'01_설정'!$B$11+M755*'01_설정'!$B$12+N755*50)</f>
        <v/>
      </c>
      <c r="T755">
        <f>IF(S755="","",1+COUNTIFS($S$31:$S$1030,"&gt;"&amp;S755)+COUNTIFS($S$31:S755,S755)-1)</f>
        <v/>
      </c>
    </row>
    <row r="756" hidden="1" ht="16.5" customHeight="1">
      <c r="A756">
        <f>IF(COUNTA('05_KAPA'!$A727:$AO727)=0,"",729)</f>
        <v/>
      </c>
      <c r="B756">
        <f>IF($A756="","",INDEX('05_KAPA'!$B:$B,$A756))</f>
        <v/>
      </c>
      <c r="C756">
        <f>IF($A756="","",INDEX('05_KAPA'!$F:$F,$A756))</f>
        <v/>
      </c>
      <c r="D756">
        <f>IF($A756="","",INDEX('05_KAPA'!$H:$H,$A756))</f>
        <v/>
      </c>
      <c r="E756">
        <f>IF($A756="","",INDEX('05_KAPA'!$K:$K,$A756))</f>
        <v/>
      </c>
      <c r="F756">
        <f>IF($A756="","",INDEX('05_KAPA'!$L:$L,$A756))</f>
        <v/>
      </c>
      <c r="G756">
        <f>IF($A756="","",INDEX('05_KAPA'!$I:$I,$A756))</f>
        <v/>
      </c>
      <c r="H756" s="202">
        <f>IF($A756="","",INDEX('05_KAPA'!$P:$P,$A756))</f>
        <v/>
      </c>
      <c r="I756" s="118">
        <f>IF($A756="","",INDEX('05_KAPA'!$O:$O,$A756))</f>
        <v/>
      </c>
      <c r="J756" s="202">
        <f>IF($A756="","",IFERROR(DATE(LEFT(TEXT(INDEX('05_KAPA'!$T:$T,$A756),"0"),4),MID(TEXT(INDEX('05_KAPA'!$T:$T,$A756),"0"),5,2),RIGHT(TEXT(INDEX('05_KAPA'!$T:$T,$A756),"0"),2)),""))</f>
        <v/>
      </c>
      <c r="K756">
        <f>IF(C756="","",IF('02_대상물건입력'!$B$5="",1,IF(ISNUMBER(SEARCH('02_대상물건입력'!$B$5,C756)),1,0)))</f>
        <v/>
      </c>
      <c r="L756">
        <f>IF(C756="","",IF('02_대상물건입력'!$B$6="",1,IF(ISNUMBER(SEARCH('02_대상물건입력'!$B$6,C756)),1,0)))</f>
        <v/>
      </c>
      <c r="M756">
        <f>IF(E756="","",IF('02_대상물건입력'!$B$8="",0,IF(ISNUMBER(SEARCH('02_대상물건입력'!$B$8,E756)),1,0)))</f>
        <v/>
      </c>
      <c r="N756">
        <f>IF(B756="","",IF(B756="담보",1,0))</f>
        <v/>
      </c>
      <c r="O756">
        <f>IFERROR(ABS(G756-'02_대상물건입력'!$B$11)/'02_대상물건입력'!$B$11,"")</f>
        <v/>
      </c>
      <c r="P756">
        <f>IFERROR(ABS('01_설정'!$B$4-H756),"")</f>
        <v/>
      </c>
      <c r="Q756">
        <f>IFERROR(ABS(YEAR(J756)-YEAR('02_대상물건입력'!$B$14)),"")</f>
        <v/>
      </c>
      <c r="R756">
        <f>IF(AND(G756&gt;0,H756&gt;0,I756&gt;0,N756=1,IF('01_설정'!$B$10=1,K756=1,TRUE()),O756&lt;='01_설정'!$B$5,P756&lt;='01_설정'!$B$7,Q756&lt;='01_설정'!$B$8),"Y","")</f>
        <v/>
      </c>
      <c r="S756">
        <f>IF(R756&lt;&gt;"Y","",MAX(0,(1-O756/'01_설정'!$B$5))*'01_설정'!$B$14+MAX(0,(1-P756/'01_설정'!$B$7))*'01_설정'!$B$16+MAX(0,(1-Q756/'01_설정'!$B$8))*'01_설정'!$B$17+L756*'01_설정'!$B$11+M756*'01_설정'!$B$12+N756*50)</f>
        <v/>
      </c>
      <c r="T756">
        <f>IF(S756="","",1+COUNTIFS($S$31:$S$1030,"&gt;"&amp;S756)+COUNTIFS($S$31:S756,S756)-1)</f>
        <v/>
      </c>
    </row>
    <row r="757" hidden="1" ht="16.5" customHeight="1">
      <c r="A757">
        <f>IF(COUNTA('05_KAPA'!$A728:$AO728)=0,"",730)</f>
        <v/>
      </c>
      <c r="B757">
        <f>IF($A757="","",INDEX('05_KAPA'!$B:$B,$A757))</f>
        <v/>
      </c>
      <c r="C757">
        <f>IF($A757="","",INDEX('05_KAPA'!$F:$F,$A757))</f>
        <v/>
      </c>
      <c r="D757">
        <f>IF($A757="","",INDEX('05_KAPA'!$H:$H,$A757))</f>
        <v/>
      </c>
      <c r="E757">
        <f>IF($A757="","",INDEX('05_KAPA'!$K:$K,$A757))</f>
        <v/>
      </c>
      <c r="F757">
        <f>IF($A757="","",INDEX('05_KAPA'!$L:$L,$A757))</f>
        <v/>
      </c>
      <c r="G757">
        <f>IF($A757="","",INDEX('05_KAPA'!$I:$I,$A757))</f>
        <v/>
      </c>
      <c r="H757" s="202">
        <f>IF($A757="","",INDEX('05_KAPA'!$P:$P,$A757))</f>
        <v/>
      </c>
      <c r="I757" s="118">
        <f>IF($A757="","",INDEX('05_KAPA'!$O:$O,$A757))</f>
        <v/>
      </c>
      <c r="J757" s="202">
        <f>IF($A757="","",IFERROR(DATE(LEFT(TEXT(INDEX('05_KAPA'!$T:$T,$A757),"0"),4),MID(TEXT(INDEX('05_KAPA'!$T:$T,$A757),"0"),5,2),RIGHT(TEXT(INDEX('05_KAPA'!$T:$T,$A757),"0"),2)),""))</f>
        <v/>
      </c>
      <c r="K757">
        <f>IF(C757="","",IF('02_대상물건입력'!$B$5="",1,IF(ISNUMBER(SEARCH('02_대상물건입력'!$B$5,C757)),1,0)))</f>
        <v/>
      </c>
      <c r="L757">
        <f>IF(C757="","",IF('02_대상물건입력'!$B$6="",1,IF(ISNUMBER(SEARCH('02_대상물건입력'!$B$6,C757)),1,0)))</f>
        <v/>
      </c>
      <c r="M757">
        <f>IF(E757="","",IF('02_대상물건입력'!$B$8="",0,IF(ISNUMBER(SEARCH('02_대상물건입력'!$B$8,E757)),1,0)))</f>
        <v/>
      </c>
      <c r="N757">
        <f>IF(B757="","",IF(B757="담보",1,0))</f>
        <v/>
      </c>
      <c r="O757">
        <f>IFERROR(ABS(G757-'02_대상물건입력'!$B$11)/'02_대상물건입력'!$B$11,"")</f>
        <v/>
      </c>
      <c r="P757">
        <f>IFERROR(ABS('01_설정'!$B$4-H757),"")</f>
        <v/>
      </c>
      <c r="Q757">
        <f>IFERROR(ABS(YEAR(J757)-YEAR('02_대상물건입력'!$B$14)),"")</f>
        <v/>
      </c>
      <c r="R757">
        <f>IF(AND(G757&gt;0,H757&gt;0,I757&gt;0,N757=1,IF('01_설정'!$B$10=1,K757=1,TRUE()),O757&lt;='01_설정'!$B$5,P757&lt;='01_설정'!$B$7,Q757&lt;='01_설정'!$B$8),"Y","")</f>
        <v/>
      </c>
      <c r="S757">
        <f>IF(R757&lt;&gt;"Y","",MAX(0,(1-O757/'01_설정'!$B$5))*'01_설정'!$B$14+MAX(0,(1-P757/'01_설정'!$B$7))*'01_설정'!$B$16+MAX(0,(1-Q757/'01_설정'!$B$8))*'01_설정'!$B$17+L757*'01_설정'!$B$11+M757*'01_설정'!$B$12+N757*50)</f>
        <v/>
      </c>
      <c r="T757">
        <f>IF(S757="","",1+COUNTIFS($S$31:$S$1030,"&gt;"&amp;S757)+COUNTIFS($S$31:S757,S757)-1)</f>
        <v/>
      </c>
    </row>
    <row r="758" hidden="1" ht="16.5" customHeight="1">
      <c r="A758">
        <f>IF(COUNTA('05_KAPA'!$A729:$AO729)=0,"",731)</f>
        <v/>
      </c>
      <c r="B758">
        <f>IF($A758="","",INDEX('05_KAPA'!$B:$B,$A758))</f>
        <v/>
      </c>
      <c r="C758">
        <f>IF($A758="","",INDEX('05_KAPA'!$F:$F,$A758))</f>
        <v/>
      </c>
      <c r="D758">
        <f>IF($A758="","",INDEX('05_KAPA'!$H:$H,$A758))</f>
        <v/>
      </c>
      <c r="E758">
        <f>IF($A758="","",INDEX('05_KAPA'!$K:$K,$A758))</f>
        <v/>
      </c>
      <c r="F758">
        <f>IF($A758="","",INDEX('05_KAPA'!$L:$L,$A758))</f>
        <v/>
      </c>
      <c r="G758">
        <f>IF($A758="","",INDEX('05_KAPA'!$I:$I,$A758))</f>
        <v/>
      </c>
      <c r="H758" s="202">
        <f>IF($A758="","",INDEX('05_KAPA'!$P:$P,$A758))</f>
        <v/>
      </c>
      <c r="I758" s="118">
        <f>IF($A758="","",INDEX('05_KAPA'!$O:$O,$A758))</f>
        <v/>
      </c>
      <c r="J758" s="202">
        <f>IF($A758="","",IFERROR(DATE(LEFT(TEXT(INDEX('05_KAPA'!$T:$T,$A758),"0"),4),MID(TEXT(INDEX('05_KAPA'!$T:$T,$A758),"0"),5,2),RIGHT(TEXT(INDEX('05_KAPA'!$T:$T,$A758),"0"),2)),""))</f>
        <v/>
      </c>
      <c r="K758">
        <f>IF(C758="","",IF('02_대상물건입력'!$B$5="",1,IF(ISNUMBER(SEARCH('02_대상물건입력'!$B$5,C758)),1,0)))</f>
        <v/>
      </c>
      <c r="L758">
        <f>IF(C758="","",IF('02_대상물건입력'!$B$6="",1,IF(ISNUMBER(SEARCH('02_대상물건입력'!$B$6,C758)),1,0)))</f>
        <v/>
      </c>
      <c r="M758">
        <f>IF(E758="","",IF('02_대상물건입력'!$B$8="",0,IF(ISNUMBER(SEARCH('02_대상물건입력'!$B$8,E758)),1,0)))</f>
        <v/>
      </c>
      <c r="N758">
        <f>IF(B758="","",IF(B758="담보",1,0))</f>
        <v/>
      </c>
      <c r="O758">
        <f>IFERROR(ABS(G758-'02_대상물건입력'!$B$11)/'02_대상물건입력'!$B$11,"")</f>
        <v/>
      </c>
      <c r="P758">
        <f>IFERROR(ABS('01_설정'!$B$4-H758),"")</f>
        <v/>
      </c>
      <c r="Q758">
        <f>IFERROR(ABS(YEAR(J758)-YEAR('02_대상물건입력'!$B$14)),"")</f>
        <v/>
      </c>
      <c r="R758">
        <f>IF(AND(G758&gt;0,H758&gt;0,I758&gt;0,N758=1,IF('01_설정'!$B$10=1,K758=1,TRUE()),O758&lt;='01_설정'!$B$5,P758&lt;='01_설정'!$B$7,Q758&lt;='01_설정'!$B$8),"Y","")</f>
        <v/>
      </c>
      <c r="S758">
        <f>IF(R758&lt;&gt;"Y","",MAX(0,(1-O758/'01_설정'!$B$5))*'01_설정'!$B$14+MAX(0,(1-P758/'01_설정'!$B$7))*'01_설정'!$B$16+MAX(0,(1-Q758/'01_설정'!$B$8))*'01_설정'!$B$17+L758*'01_설정'!$B$11+M758*'01_설정'!$B$12+N758*50)</f>
        <v/>
      </c>
      <c r="T758">
        <f>IF(S758="","",1+COUNTIFS($S$31:$S$1030,"&gt;"&amp;S758)+COUNTIFS($S$31:S758,S758)-1)</f>
        <v/>
      </c>
    </row>
    <row r="759" hidden="1" ht="16.5" customHeight="1">
      <c r="A759">
        <f>IF(COUNTA('05_KAPA'!$A730:$AO730)=0,"",732)</f>
        <v/>
      </c>
      <c r="B759">
        <f>IF($A759="","",INDEX('05_KAPA'!$B:$B,$A759))</f>
        <v/>
      </c>
      <c r="C759">
        <f>IF($A759="","",INDEX('05_KAPA'!$F:$F,$A759))</f>
        <v/>
      </c>
      <c r="D759">
        <f>IF($A759="","",INDEX('05_KAPA'!$H:$H,$A759))</f>
        <v/>
      </c>
      <c r="E759">
        <f>IF($A759="","",INDEX('05_KAPA'!$K:$K,$A759))</f>
        <v/>
      </c>
      <c r="F759">
        <f>IF($A759="","",INDEX('05_KAPA'!$L:$L,$A759))</f>
        <v/>
      </c>
      <c r="G759">
        <f>IF($A759="","",INDEX('05_KAPA'!$I:$I,$A759))</f>
        <v/>
      </c>
      <c r="H759" s="202">
        <f>IF($A759="","",INDEX('05_KAPA'!$P:$P,$A759))</f>
        <v/>
      </c>
      <c r="I759" s="118">
        <f>IF($A759="","",INDEX('05_KAPA'!$O:$O,$A759))</f>
        <v/>
      </c>
      <c r="J759" s="202">
        <f>IF($A759="","",IFERROR(DATE(LEFT(TEXT(INDEX('05_KAPA'!$T:$T,$A759),"0"),4),MID(TEXT(INDEX('05_KAPA'!$T:$T,$A759),"0"),5,2),RIGHT(TEXT(INDEX('05_KAPA'!$T:$T,$A759),"0"),2)),""))</f>
        <v/>
      </c>
      <c r="K759">
        <f>IF(C759="","",IF('02_대상물건입력'!$B$5="",1,IF(ISNUMBER(SEARCH('02_대상물건입력'!$B$5,C759)),1,0)))</f>
        <v/>
      </c>
      <c r="L759">
        <f>IF(C759="","",IF('02_대상물건입력'!$B$6="",1,IF(ISNUMBER(SEARCH('02_대상물건입력'!$B$6,C759)),1,0)))</f>
        <v/>
      </c>
      <c r="M759">
        <f>IF(E759="","",IF('02_대상물건입력'!$B$8="",0,IF(ISNUMBER(SEARCH('02_대상물건입력'!$B$8,E759)),1,0)))</f>
        <v/>
      </c>
      <c r="N759">
        <f>IF(B759="","",IF(B759="담보",1,0))</f>
        <v/>
      </c>
      <c r="O759">
        <f>IFERROR(ABS(G759-'02_대상물건입력'!$B$11)/'02_대상물건입력'!$B$11,"")</f>
        <v/>
      </c>
      <c r="P759">
        <f>IFERROR(ABS('01_설정'!$B$4-H759),"")</f>
        <v/>
      </c>
      <c r="Q759">
        <f>IFERROR(ABS(YEAR(J759)-YEAR('02_대상물건입력'!$B$14)),"")</f>
        <v/>
      </c>
      <c r="R759">
        <f>IF(AND(G759&gt;0,H759&gt;0,I759&gt;0,N759=1,IF('01_설정'!$B$10=1,K759=1,TRUE()),O759&lt;='01_설정'!$B$5,P759&lt;='01_설정'!$B$7,Q759&lt;='01_설정'!$B$8),"Y","")</f>
        <v/>
      </c>
      <c r="S759">
        <f>IF(R759&lt;&gt;"Y","",MAX(0,(1-O759/'01_설정'!$B$5))*'01_설정'!$B$14+MAX(0,(1-P759/'01_설정'!$B$7))*'01_설정'!$B$16+MAX(0,(1-Q759/'01_설정'!$B$8))*'01_설정'!$B$17+L759*'01_설정'!$B$11+M759*'01_설정'!$B$12+N759*50)</f>
        <v/>
      </c>
      <c r="T759">
        <f>IF(S759="","",1+COUNTIFS($S$31:$S$1030,"&gt;"&amp;S759)+COUNTIFS($S$31:S759,S759)-1)</f>
        <v/>
      </c>
    </row>
    <row r="760" hidden="1" ht="16.5" customHeight="1">
      <c r="A760">
        <f>IF(COUNTA('05_KAPA'!$A731:$AO731)=0,"",733)</f>
        <v/>
      </c>
      <c r="B760">
        <f>IF($A760="","",INDEX('05_KAPA'!$B:$B,$A760))</f>
        <v/>
      </c>
      <c r="C760">
        <f>IF($A760="","",INDEX('05_KAPA'!$F:$F,$A760))</f>
        <v/>
      </c>
      <c r="D760">
        <f>IF($A760="","",INDEX('05_KAPA'!$H:$H,$A760))</f>
        <v/>
      </c>
      <c r="E760">
        <f>IF($A760="","",INDEX('05_KAPA'!$K:$K,$A760))</f>
        <v/>
      </c>
      <c r="F760">
        <f>IF($A760="","",INDEX('05_KAPA'!$L:$L,$A760))</f>
        <v/>
      </c>
      <c r="G760">
        <f>IF($A760="","",INDEX('05_KAPA'!$I:$I,$A760))</f>
        <v/>
      </c>
      <c r="H760" s="202">
        <f>IF($A760="","",INDEX('05_KAPA'!$P:$P,$A760))</f>
        <v/>
      </c>
      <c r="I760" s="118">
        <f>IF($A760="","",INDEX('05_KAPA'!$O:$O,$A760))</f>
        <v/>
      </c>
      <c r="J760" s="202">
        <f>IF($A760="","",IFERROR(DATE(LEFT(TEXT(INDEX('05_KAPA'!$T:$T,$A760),"0"),4),MID(TEXT(INDEX('05_KAPA'!$T:$T,$A760),"0"),5,2),RIGHT(TEXT(INDEX('05_KAPA'!$T:$T,$A760),"0"),2)),""))</f>
        <v/>
      </c>
      <c r="K760">
        <f>IF(C760="","",IF('02_대상물건입력'!$B$5="",1,IF(ISNUMBER(SEARCH('02_대상물건입력'!$B$5,C760)),1,0)))</f>
        <v/>
      </c>
      <c r="L760">
        <f>IF(C760="","",IF('02_대상물건입력'!$B$6="",1,IF(ISNUMBER(SEARCH('02_대상물건입력'!$B$6,C760)),1,0)))</f>
        <v/>
      </c>
      <c r="M760">
        <f>IF(E760="","",IF('02_대상물건입력'!$B$8="",0,IF(ISNUMBER(SEARCH('02_대상물건입력'!$B$8,E760)),1,0)))</f>
        <v/>
      </c>
      <c r="N760">
        <f>IF(B760="","",IF(B760="담보",1,0))</f>
        <v/>
      </c>
      <c r="O760">
        <f>IFERROR(ABS(G760-'02_대상물건입력'!$B$11)/'02_대상물건입력'!$B$11,"")</f>
        <v/>
      </c>
      <c r="P760">
        <f>IFERROR(ABS('01_설정'!$B$4-H760),"")</f>
        <v/>
      </c>
      <c r="Q760">
        <f>IFERROR(ABS(YEAR(J760)-YEAR('02_대상물건입력'!$B$14)),"")</f>
        <v/>
      </c>
      <c r="R760">
        <f>IF(AND(G760&gt;0,H760&gt;0,I760&gt;0,N760=1,IF('01_설정'!$B$10=1,K760=1,TRUE()),O760&lt;='01_설정'!$B$5,P760&lt;='01_설정'!$B$7,Q760&lt;='01_설정'!$B$8),"Y","")</f>
        <v/>
      </c>
      <c r="S760">
        <f>IF(R760&lt;&gt;"Y","",MAX(0,(1-O760/'01_설정'!$B$5))*'01_설정'!$B$14+MAX(0,(1-P760/'01_설정'!$B$7))*'01_설정'!$B$16+MAX(0,(1-Q760/'01_설정'!$B$8))*'01_설정'!$B$17+L760*'01_설정'!$B$11+M760*'01_설정'!$B$12+N760*50)</f>
        <v/>
      </c>
      <c r="T760">
        <f>IF(S760="","",1+COUNTIFS($S$31:$S$1030,"&gt;"&amp;S760)+COUNTIFS($S$31:S760,S760)-1)</f>
        <v/>
      </c>
    </row>
    <row r="761" hidden="1" ht="16.5" customHeight="1">
      <c r="A761">
        <f>IF(COUNTA('05_KAPA'!$A732:$AO732)=0,"",734)</f>
        <v/>
      </c>
      <c r="B761">
        <f>IF($A761="","",INDEX('05_KAPA'!$B:$B,$A761))</f>
        <v/>
      </c>
      <c r="C761">
        <f>IF($A761="","",INDEX('05_KAPA'!$F:$F,$A761))</f>
        <v/>
      </c>
      <c r="D761">
        <f>IF($A761="","",INDEX('05_KAPA'!$H:$H,$A761))</f>
        <v/>
      </c>
      <c r="E761">
        <f>IF($A761="","",INDEX('05_KAPA'!$K:$K,$A761))</f>
        <v/>
      </c>
      <c r="F761">
        <f>IF($A761="","",INDEX('05_KAPA'!$L:$L,$A761))</f>
        <v/>
      </c>
      <c r="G761">
        <f>IF($A761="","",INDEX('05_KAPA'!$I:$I,$A761))</f>
        <v/>
      </c>
      <c r="H761" s="202">
        <f>IF($A761="","",INDEX('05_KAPA'!$P:$P,$A761))</f>
        <v/>
      </c>
      <c r="I761" s="118">
        <f>IF($A761="","",INDEX('05_KAPA'!$O:$O,$A761))</f>
        <v/>
      </c>
      <c r="J761" s="202">
        <f>IF($A761="","",IFERROR(DATE(LEFT(TEXT(INDEX('05_KAPA'!$T:$T,$A761),"0"),4),MID(TEXT(INDEX('05_KAPA'!$T:$T,$A761),"0"),5,2),RIGHT(TEXT(INDEX('05_KAPA'!$T:$T,$A761),"0"),2)),""))</f>
        <v/>
      </c>
      <c r="K761">
        <f>IF(C761="","",IF('02_대상물건입력'!$B$5="",1,IF(ISNUMBER(SEARCH('02_대상물건입력'!$B$5,C761)),1,0)))</f>
        <v/>
      </c>
      <c r="L761">
        <f>IF(C761="","",IF('02_대상물건입력'!$B$6="",1,IF(ISNUMBER(SEARCH('02_대상물건입력'!$B$6,C761)),1,0)))</f>
        <v/>
      </c>
      <c r="M761">
        <f>IF(E761="","",IF('02_대상물건입력'!$B$8="",0,IF(ISNUMBER(SEARCH('02_대상물건입력'!$B$8,E761)),1,0)))</f>
        <v/>
      </c>
      <c r="N761">
        <f>IF(B761="","",IF(B761="담보",1,0))</f>
        <v/>
      </c>
      <c r="O761">
        <f>IFERROR(ABS(G761-'02_대상물건입력'!$B$11)/'02_대상물건입력'!$B$11,"")</f>
        <v/>
      </c>
      <c r="P761">
        <f>IFERROR(ABS('01_설정'!$B$4-H761),"")</f>
        <v/>
      </c>
      <c r="Q761">
        <f>IFERROR(ABS(YEAR(J761)-YEAR('02_대상물건입력'!$B$14)),"")</f>
        <v/>
      </c>
      <c r="R761">
        <f>IF(AND(G761&gt;0,H761&gt;0,I761&gt;0,N761=1,IF('01_설정'!$B$10=1,K761=1,TRUE()),O761&lt;='01_설정'!$B$5,P761&lt;='01_설정'!$B$7,Q761&lt;='01_설정'!$B$8),"Y","")</f>
        <v/>
      </c>
      <c r="S761">
        <f>IF(R761&lt;&gt;"Y","",MAX(0,(1-O761/'01_설정'!$B$5))*'01_설정'!$B$14+MAX(0,(1-P761/'01_설정'!$B$7))*'01_설정'!$B$16+MAX(0,(1-Q761/'01_설정'!$B$8))*'01_설정'!$B$17+L761*'01_설정'!$B$11+M761*'01_설정'!$B$12+N761*50)</f>
        <v/>
      </c>
      <c r="T761">
        <f>IF(S761="","",1+COUNTIFS($S$31:$S$1030,"&gt;"&amp;S761)+COUNTIFS($S$31:S761,S761)-1)</f>
        <v/>
      </c>
    </row>
    <row r="762" hidden="1" ht="16.5" customHeight="1">
      <c r="A762">
        <f>IF(COUNTA('05_KAPA'!$A733:$AO733)=0,"",735)</f>
        <v/>
      </c>
      <c r="B762">
        <f>IF($A762="","",INDEX('05_KAPA'!$B:$B,$A762))</f>
        <v/>
      </c>
      <c r="C762">
        <f>IF($A762="","",INDEX('05_KAPA'!$F:$F,$A762))</f>
        <v/>
      </c>
      <c r="D762">
        <f>IF($A762="","",INDEX('05_KAPA'!$H:$H,$A762))</f>
        <v/>
      </c>
      <c r="E762">
        <f>IF($A762="","",INDEX('05_KAPA'!$K:$K,$A762))</f>
        <v/>
      </c>
      <c r="F762">
        <f>IF($A762="","",INDEX('05_KAPA'!$L:$L,$A762))</f>
        <v/>
      </c>
      <c r="G762">
        <f>IF($A762="","",INDEX('05_KAPA'!$I:$I,$A762))</f>
        <v/>
      </c>
      <c r="H762" s="202">
        <f>IF($A762="","",INDEX('05_KAPA'!$P:$P,$A762))</f>
        <v/>
      </c>
      <c r="I762" s="118">
        <f>IF($A762="","",INDEX('05_KAPA'!$O:$O,$A762))</f>
        <v/>
      </c>
      <c r="J762" s="202">
        <f>IF($A762="","",IFERROR(DATE(LEFT(TEXT(INDEX('05_KAPA'!$T:$T,$A762),"0"),4),MID(TEXT(INDEX('05_KAPA'!$T:$T,$A762),"0"),5,2),RIGHT(TEXT(INDEX('05_KAPA'!$T:$T,$A762),"0"),2)),""))</f>
        <v/>
      </c>
      <c r="K762">
        <f>IF(C762="","",IF('02_대상물건입력'!$B$5="",1,IF(ISNUMBER(SEARCH('02_대상물건입력'!$B$5,C762)),1,0)))</f>
        <v/>
      </c>
      <c r="L762">
        <f>IF(C762="","",IF('02_대상물건입력'!$B$6="",1,IF(ISNUMBER(SEARCH('02_대상물건입력'!$B$6,C762)),1,0)))</f>
        <v/>
      </c>
      <c r="M762">
        <f>IF(E762="","",IF('02_대상물건입력'!$B$8="",0,IF(ISNUMBER(SEARCH('02_대상물건입력'!$B$8,E762)),1,0)))</f>
        <v/>
      </c>
      <c r="N762">
        <f>IF(B762="","",IF(B762="담보",1,0))</f>
        <v/>
      </c>
      <c r="O762">
        <f>IFERROR(ABS(G762-'02_대상물건입력'!$B$11)/'02_대상물건입력'!$B$11,"")</f>
        <v/>
      </c>
      <c r="P762">
        <f>IFERROR(ABS('01_설정'!$B$4-H762),"")</f>
        <v/>
      </c>
      <c r="Q762">
        <f>IFERROR(ABS(YEAR(J762)-YEAR('02_대상물건입력'!$B$14)),"")</f>
        <v/>
      </c>
      <c r="R762">
        <f>IF(AND(G762&gt;0,H762&gt;0,I762&gt;0,N762=1,IF('01_설정'!$B$10=1,K762=1,TRUE()),O762&lt;='01_설정'!$B$5,P762&lt;='01_설정'!$B$7,Q762&lt;='01_설정'!$B$8),"Y","")</f>
        <v/>
      </c>
      <c r="S762">
        <f>IF(R762&lt;&gt;"Y","",MAX(0,(1-O762/'01_설정'!$B$5))*'01_설정'!$B$14+MAX(0,(1-P762/'01_설정'!$B$7))*'01_설정'!$B$16+MAX(0,(1-Q762/'01_설정'!$B$8))*'01_설정'!$B$17+L762*'01_설정'!$B$11+M762*'01_설정'!$B$12+N762*50)</f>
        <v/>
      </c>
      <c r="T762">
        <f>IF(S762="","",1+COUNTIFS($S$31:$S$1030,"&gt;"&amp;S762)+COUNTIFS($S$31:S762,S762)-1)</f>
        <v/>
      </c>
    </row>
    <row r="763" hidden="1" ht="16.5" customHeight="1">
      <c r="A763">
        <f>IF(COUNTA('05_KAPA'!$A734:$AO734)=0,"",736)</f>
        <v/>
      </c>
      <c r="B763">
        <f>IF($A763="","",INDEX('05_KAPA'!$B:$B,$A763))</f>
        <v/>
      </c>
      <c r="C763">
        <f>IF($A763="","",INDEX('05_KAPA'!$F:$F,$A763))</f>
        <v/>
      </c>
      <c r="D763">
        <f>IF($A763="","",INDEX('05_KAPA'!$H:$H,$A763))</f>
        <v/>
      </c>
      <c r="E763">
        <f>IF($A763="","",INDEX('05_KAPA'!$K:$K,$A763))</f>
        <v/>
      </c>
      <c r="F763">
        <f>IF($A763="","",INDEX('05_KAPA'!$L:$L,$A763))</f>
        <v/>
      </c>
      <c r="G763">
        <f>IF($A763="","",INDEX('05_KAPA'!$I:$I,$A763))</f>
        <v/>
      </c>
      <c r="H763" s="202">
        <f>IF($A763="","",INDEX('05_KAPA'!$P:$P,$A763))</f>
        <v/>
      </c>
      <c r="I763" s="118">
        <f>IF($A763="","",INDEX('05_KAPA'!$O:$O,$A763))</f>
        <v/>
      </c>
      <c r="J763" s="202">
        <f>IF($A763="","",IFERROR(DATE(LEFT(TEXT(INDEX('05_KAPA'!$T:$T,$A763),"0"),4),MID(TEXT(INDEX('05_KAPA'!$T:$T,$A763),"0"),5,2),RIGHT(TEXT(INDEX('05_KAPA'!$T:$T,$A763),"0"),2)),""))</f>
        <v/>
      </c>
      <c r="K763">
        <f>IF(C763="","",IF('02_대상물건입력'!$B$5="",1,IF(ISNUMBER(SEARCH('02_대상물건입력'!$B$5,C763)),1,0)))</f>
        <v/>
      </c>
      <c r="L763">
        <f>IF(C763="","",IF('02_대상물건입력'!$B$6="",1,IF(ISNUMBER(SEARCH('02_대상물건입력'!$B$6,C763)),1,0)))</f>
        <v/>
      </c>
      <c r="M763">
        <f>IF(E763="","",IF('02_대상물건입력'!$B$8="",0,IF(ISNUMBER(SEARCH('02_대상물건입력'!$B$8,E763)),1,0)))</f>
        <v/>
      </c>
      <c r="N763">
        <f>IF(B763="","",IF(B763="담보",1,0))</f>
        <v/>
      </c>
      <c r="O763">
        <f>IFERROR(ABS(G763-'02_대상물건입력'!$B$11)/'02_대상물건입력'!$B$11,"")</f>
        <v/>
      </c>
      <c r="P763">
        <f>IFERROR(ABS('01_설정'!$B$4-H763),"")</f>
        <v/>
      </c>
      <c r="Q763">
        <f>IFERROR(ABS(YEAR(J763)-YEAR('02_대상물건입력'!$B$14)),"")</f>
        <v/>
      </c>
      <c r="R763">
        <f>IF(AND(G763&gt;0,H763&gt;0,I763&gt;0,N763=1,IF('01_설정'!$B$10=1,K763=1,TRUE()),O763&lt;='01_설정'!$B$5,P763&lt;='01_설정'!$B$7,Q763&lt;='01_설정'!$B$8),"Y","")</f>
        <v/>
      </c>
      <c r="S763">
        <f>IF(R763&lt;&gt;"Y","",MAX(0,(1-O763/'01_설정'!$B$5))*'01_설정'!$B$14+MAX(0,(1-P763/'01_설정'!$B$7))*'01_설정'!$B$16+MAX(0,(1-Q763/'01_설정'!$B$8))*'01_설정'!$B$17+L763*'01_설정'!$B$11+M763*'01_설정'!$B$12+N763*50)</f>
        <v/>
      </c>
      <c r="T763">
        <f>IF(S763="","",1+COUNTIFS($S$31:$S$1030,"&gt;"&amp;S763)+COUNTIFS($S$31:S763,S763)-1)</f>
        <v/>
      </c>
    </row>
    <row r="764" hidden="1" ht="16.5" customHeight="1">
      <c r="A764">
        <f>IF(COUNTA('05_KAPA'!$A735:$AO735)=0,"",737)</f>
        <v/>
      </c>
      <c r="B764">
        <f>IF($A764="","",INDEX('05_KAPA'!$B:$B,$A764))</f>
        <v/>
      </c>
      <c r="C764">
        <f>IF($A764="","",INDEX('05_KAPA'!$F:$F,$A764))</f>
        <v/>
      </c>
      <c r="D764">
        <f>IF($A764="","",INDEX('05_KAPA'!$H:$H,$A764))</f>
        <v/>
      </c>
      <c r="E764">
        <f>IF($A764="","",INDEX('05_KAPA'!$K:$K,$A764))</f>
        <v/>
      </c>
      <c r="F764">
        <f>IF($A764="","",INDEX('05_KAPA'!$L:$L,$A764))</f>
        <v/>
      </c>
      <c r="G764">
        <f>IF($A764="","",INDEX('05_KAPA'!$I:$I,$A764))</f>
        <v/>
      </c>
      <c r="H764" s="202">
        <f>IF($A764="","",INDEX('05_KAPA'!$P:$P,$A764))</f>
        <v/>
      </c>
      <c r="I764" s="118">
        <f>IF($A764="","",INDEX('05_KAPA'!$O:$O,$A764))</f>
        <v/>
      </c>
      <c r="J764" s="202">
        <f>IF($A764="","",IFERROR(DATE(LEFT(TEXT(INDEX('05_KAPA'!$T:$T,$A764),"0"),4),MID(TEXT(INDEX('05_KAPA'!$T:$T,$A764),"0"),5,2),RIGHT(TEXT(INDEX('05_KAPA'!$T:$T,$A764),"0"),2)),""))</f>
        <v/>
      </c>
      <c r="K764">
        <f>IF(C764="","",IF('02_대상물건입력'!$B$5="",1,IF(ISNUMBER(SEARCH('02_대상물건입력'!$B$5,C764)),1,0)))</f>
        <v/>
      </c>
      <c r="L764">
        <f>IF(C764="","",IF('02_대상물건입력'!$B$6="",1,IF(ISNUMBER(SEARCH('02_대상물건입력'!$B$6,C764)),1,0)))</f>
        <v/>
      </c>
      <c r="M764">
        <f>IF(E764="","",IF('02_대상물건입력'!$B$8="",0,IF(ISNUMBER(SEARCH('02_대상물건입력'!$B$8,E764)),1,0)))</f>
        <v/>
      </c>
      <c r="N764">
        <f>IF(B764="","",IF(B764="담보",1,0))</f>
        <v/>
      </c>
      <c r="O764">
        <f>IFERROR(ABS(G764-'02_대상물건입력'!$B$11)/'02_대상물건입력'!$B$11,"")</f>
        <v/>
      </c>
      <c r="P764">
        <f>IFERROR(ABS('01_설정'!$B$4-H764),"")</f>
        <v/>
      </c>
      <c r="Q764">
        <f>IFERROR(ABS(YEAR(J764)-YEAR('02_대상물건입력'!$B$14)),"")</f>
        <v/>
      </c>
      <c r="R764">
        <f>IF(AND(G764&gt;0,H764&gt;0,I764&gt;0,N764=1,IF('01_설정'!$B$10=1,K764=1,TRUE()),O764&lt;='01_설정'!$B$5,P764&lt;='01_설정'!$B$7,Q764&lt;='01_설정'!$B$8),"Y","")</f>
        <v/>
      </c>
      <c r="S764">
        <f>IF(R764&lt;&gt;"Y","",MAX(0,(1-O764/'01_설정'!$B$5))*'01_설정'!$B$14+MAX(0,(1-P764/'01_설정'!$B$7))*'01_설정'!$B$16+MAX(0,(1-Q764/'01_설정'!$B$8))*'01_설정'!$B$17+L764*'01_설정'!$B$11+M764*'01_설정'!$B$12+N764*50)</f>
        <v/>
      </c>
      <c r="T764">
        <f>IF(S764="","",1+COUNTIFS($S$31:$S$1030,"&gt;"&amp;S764)+COUNTIFS($S$31:S764,S764)-1)</f>
        <v/>
      </c>
    </row>
    <row r="765" hidden="1" ht="16.5" customHeight="1">
      <c r="A765">
        <f>IF(COUNTA('05_KAPA'!$A736:$AO736)=0,"",738)</f>
        <v/>
      </c>
      <c r="B765">
        <f>IF($A765="","",INDEX('05_KAPA'!$B:$B,$A765))</f>
        <v/>
      </c>
      <c r="C765">
        <f>IF($A765="","",INDEX('05_KAPA'!$F:$F,$A765))</f>
        <v/>
      </c>
      <c r="D765">
        <f>IF($A765="","",INDEX('05_KAPA'!$H:$H,$A765))</f>
        <v/>
      </c>
      <c r="E765">
        <f>IF($A765="","",INDEX('05_KAPA'!$K:$K,$A765))</f>
        <v/>
      </c>
      <c r="F765">
        <f>IF($A765="","",INDEX('05_KAPA'!$L:$L,$A765))</f>
        <v/>
      </c>
      <c r="G765">
        <f>IF($A765="","",INDEX('05_KAPA'!$I:$I,$A765))</f>
        <v/>
      </c>
      <c r="H765" s="202">
        <f>IF($A765="","",INDEX('05_KAPA'!$P:$P,$A765))</f>
        <v/>
      </c>
      <c r="I765" s="118">
        <f>IF($A765="","",INDEX('05_KAPA'!$O:$O,$A765))</f>
        <v/>
      </c>
      <c r="J765" s="202">
        <f>IF($A765="","",IFERROR(DATE(LEFT(TEXT(INDEX('05_KAPA'!$T:$T,$A765),"0"),4),MID(TEXT(INDEX('05_KAPA'!$T:$T,$A765),"0"),5,2),RIGHT(TEXT(INDEX('05_KAPA'!$T:$T,$A765),"0"),2)),""))</f>
        <v/>
      </c>
      <c r="K765">
        <f>IF(C765="","",IF('02_대상물건입력'!$B$5="",1,IF(ISNUMBER(SEARCH('02_대상물건입력'!$B$5,C765)),1,0)))</f>
        <v/>
      </c>
      <c r="L765">
        <f>IF(C765="","",IF('02_대상물건입력'!$B$6="",1,IF(ISNUMBER(SEARCH('02_대상물건입력'!$B$6,C765)),1,0)))</f>
        <v/>
      </c>
      <c r="M765">
        <f>IF(E765="","",IF('02_대상물건입력'!$B$8="",0,IF(ISNUMBER(SEARCH('02_대상물건입력'!$B$8,E765)),1,0)))</f>
        <v/>
      </c>
      <c r="N765">
        <f>IF(B765="","",IF(B765="담보",1,0))</f>
        <v/>
      </c>
      <c r="O765">
        <f>IFERROR(ABS(G765-'02_대상물건입력'!$B$11)/'02_대상물건입력'!$B$11,"")</f>
        <v/>
      </c>
      <c r="P765">
        <f>IFERROR(ABS('01_설정'!$B$4-H765),"")</f>
        <v/>
      </c>
      <c r="Q765">
        <f>IFERROR(ABS(YEAR(J765)-YEAR('02_대상물건입력'!$B$14)),"")</f>
        <v/>
      </c>
      <c r="R765">
        <f>IF(AND(G765&gt;0,H765&gt;0,I765&gt;0,N765=1,IF('01_설정'!$B$10=1,K765=1,TRUE()),O765&lt;='01_설정'!$B$5,P765&lt;='01_설정'!$B$7,Q765&lt;='01_설정'!$B$8),"Y","")</f>
        <v/>
      </c>
      <c r="S765">
        <f>IF(R765&lt;&gt;"Y","",MAX(0,(1-O765/'01_설정'!$B$5))*'01_설정'!$B$14+MAX(0,(1-P765/'01_설정'!$B$7))*'01_설정'!$B$16+MAX(0,(1-Q765/'01_설정'!$B$8))*'01_설정'!$B$17+L765*'01_설정'!$B$11+M765*'01_설정'!$B$12+N765*50)</f>
        <v/>
      </c>
      <c r="T765">
        <f>IF(S765="","",1+COUNTIFS($S$31:$S$1030,"&gt;"&amp;S765)+COUNTIFS($S$31:S765,S765)-1)</f>
        <v/>
      </c>
    </row>
    <row r="766" hidden="1" ht="16.5" customHeight="1">
      <c r="A766">
        <f>IF(COUNTA('05_KAPA'!$A737:$AO737)=0,"",739)</f>
        <v/>
      </c>
      <c r="B766">
        <f>IF($A766="","",INDEX('05_KAPA'!$B:$B,$A766))</f>
        <v/>
      </c>
      <c r="C766">
        <f>IF($A766="","",INDEX('05_KAPA'!$F:$F,$A766))</f>
        <v/>
      </c>
      <c r="D766">
        <f>IF($A766="","",INDEX('05_KAPA'!$H:$H,$A766))</f>
        <v/>
      </c>
      <c r="E766">
        <f>IF($A766="","",INDEX('05_KAPA'!$K:$K,$A766))</f>
        <v/>
      </c>
      <c r="F766">
        <f>IF($A766="","",INDEX('05_KAPA'!$L:$L,$A766))</f>
        <v/>
      </c>
      <c r="G766">
        <f>IF($A766="","",INDEX('05_KAPA'!$I:$I,$A766))</f>
        <v/>
      </c>
      <c r="H766" s="202">
        <f>IF($A766="","",INDEX('05_KAPA'!$P:$P,$A766))</f>
        <v/>
      </c>
      <c r="I766" s="118">
        <f>IF($A766="","",INDEX('05_KAPA'!$O:$O,$A766))</f>
        <v/>
      </c>
      <c r="J766" s="202">
        <f>IF($A766="","",IFERROR(DATE(LEFT(TEXT(INDEX('05_KAPA'!$T:$T,$A766),"0"),4),MID(TEXT(INDEX('05_KAPA'!$T:$T,$A766),"0"),5,2),RIGHT(TEXT(INDEX('05_KAPA'!$T:$T,$A766),"0"),2)),""))</f>
        <v/>
      </c>
      <c r="K766">
        <f>IF(C766="","",IF('02_대상물건입력'!$B$5="",1,IF(ISNUMBER(SEARCH('02_대상물건입력'!$B$5,C766)),1,0)))</f>
        <v/>
      </c>
      <c r="L766">
        <f>IF(C766="","",IF('02_대상물건입력'!$B$6="",1,IF(ISNUMBER(SEARCH('02_대상물건입력'!$B$6,C766)),1,0)))</f>
        <v/>
      </c>
      <c r="M766">
        <f>IF(E766="","",IF('02_대상물건입력'!$B$8="",0,IF(ISNUMBER(SEARCH('02_대상물건입력'!$B$8,E766)),1,0)))</f>
        <v/>
      </c>
      <c r="N766">
        <f>IF(B766="","",IF(B766="담보",1,0))</f>
        <v/>
      </c>
      <c r="O766">
        <f>IFERROR(ABS(G766-'02_대상물건입력'!$B$11)/'02_대상물건입력'!$B$11,"")</f>
        <v/>
      </c>
      <c r="P766">
        <f>IFERROR(ABS('01_설정'!$B$4-H766),"")</f>
        <v/>
      </c>
      <c r="Q766">
        <f>IFERROR(ABS(YEAR(J766)-YEAR('02_대상물건입력'!$B$14)),"")</f>
        <v/>
      </c>
      <c r="R766">
        <f>IF(AND(G766&gt;0,H766&gt;0,I766&gt;0,N766=1,IF('01_설정'!$B$10=1,K766=1,TRUE()),O766&lt;='01_설정'!$B$5,P766&lt;='01_설정'!$B$7,Q766&lt;='01_설정'!$B$8),"Y","")</f>
        <v/>
      </c>
      <c r="S766">
        <f>IF(R766&lt;&gt;"Y","",MAX(0,(1-O766/'01_설정'!$B$5))*'01_설정'!$B$14+MAX(0,(1-P766/'01_설정'!$B$7))*'01_설정'!$B$16+MAX(0,(1-Q766/'01_설정'!$B$8))*'01_설정'!$B$17+L766*'01_설정'!$B$11+M766*'01_설정'!$B$12+N766*50)</f>
        <v/>
      </c>
      <c r="T766">
        <f>IF(S766="","",1+COUNTIFS($S$31:$S$1030,"&gt;"&amp;S766)+COUNTIFS($S$31:S766,S766)-1)</f>
        <v/>
      </c>
    </row>
    <row r="767" hidden="1" ht="16.5" customHeight="1">
      <c r="A767">
        <f>IF(COUNTA('05_KAPA'!$A738:$AO738)=0,"",740)</f>
        <v/>
      </c>
      <c r="B767">
        <f>IF($A767="","",INDEX('05_KAPA'!$B:$B,$A767))</f>
        <v/>
      </c>
      <c r="C767">
        <f>IF($A767="","",INDEX('05_KAPA'!$F:$F,$A767))</f>
        <v/>
      </c>
      <c r="D767">
        <f>IF($A767="","",INDEX('05_KAPA'!$H:$H,$A767))</f>
        <v/>
      </c>
      <c r="E767">
        <f>IF($A767="","",INDEX('05_KAPA'!$K:$K,$A767))</f>
        <v/>
      </c>
      <c r="F767">
        <f>IF($A767="","",INDEX('05_KAPA'!$L:$L,$A767))</f>
        <v/>
      </c>
      <c r="G767">
        <f>IF($A767="","",INDEX('05_KAPA'!$I:$I,$A767))</f>
        <v/>
      </c>
      <c r="H767" s="202">
        <f>IF($A767="","",INDEX('05_KAPA'!$P:$P,$A767))</f>
        <v/>
      </c>
      <c r="I767" s="118">
        <f>IF($A767="","",INDEX('05_KAPA'!$O:$O,$A767))</f>
        <v/>
      </c>
      <c r="J767" s="202">
        <f>IF($A767="","",IFERROR(DATE(LEFT(TEXT(INDEX('05_KAPA'!$T:$T,$A767),"0"),4),MID(TEXT(INDEX('05_KAPA'!$T:$T,$A767),"0"),5,2),RIGHT(TEXT(INDEX('05_KAPA'!$T:$T,$A767),"0"),2)),""))</f>
        <v/>
      </c>
      <c r="K767">
        <f>IF(C767="","",IF('02_대상물건입력'!$B$5="",1,IF(ISNUMBER(SEARCH('02_대상물건입력'!$B$5,C767)),1,0)))</f>
        <v/>
      </c>
      <c r="L767">
        <f>IF(C767="","",IF('02_대상물건입력'!$B$6="",1,IF(ISNUMBER(SEARCH('02_대상물건입력'!$B$6,C767)),1,0)))</f>
        <v/>
      </c>
      <c r="M767">
        <f>IF(E767="","",IF('02_대상물건입력'!$B$8="",0,IF(ISNUMBER(SEARCH('02_대상물건입력'!$B$8,E767)),1,0)))</f>
        <v/>
      </c>
      <c r="N767">
        <f>IF(B767="","",IF(B767="담보",1,0))</f>
        <v/>
      </c>
      <c r="O767">
        <f>IFERROR(ABS(G767-'02_대상물건입력'!$B$11)/'02_대상물건입력'!$B$11,"")</f>
        <v/>
      </c>
      <c r="P767">
        <f>IFERROR(ABS('01_설정'!$B$4-H767),"")</f>
        <v/>
      </c>
      <c r="Q767">
        <f>IFERROR(ABS(YEAR(J767)-YEAR('02_대상물건입력'!$B$14)),"")</f>
        <v/>
      </c>
      <c r="R767">
        <f>IF(AND(G767&gt;0,H767&gt;0,I767&gt;0,N767=1,IF('01_설정'!$B$10=1,K767=1,TRUE()),O767&lt;='01_설정'!$B$5,P767&lt;='01_설정'!$B$7,Q767&lt;='01_설정'!$B$8),"Y","")</f>
        <v/>
      </c>
      <c r="S767">
        <f>IF(R767&lt;&gt;"Y","",MAX(0,(1-O767/'01_설정'!$B$5))*'01_설정'!$B$14+MAX(0,(1-P767/'01_설정'!$B$7))*'01_설정'!$B$16+MAX(0,(1-Q767/'01_설정'!$B$8))*'01_설정'!$B$17+L767*'01_설정'!$B$11+M767*'01_설정'!$B$12+N767*50)</f>
        <v/>
      </c>
      <c r="T767">
        <f>IF(S767="","",1+COUNTIFS($S$31:$S$1030,"&gt;"&amp;S767)+COUNTIFS($S$31:S767,S767)-1)</f>
        <v/>
      </c>
    </row>
    <row r="768" hidden="1" ht="16.5" customHeight="1">
      <c r="A768">
        <f>IF(COUNTA('05_KAPA'!$A739:$AO739)=0,"",741)</f>
        <v/>
      </c>
      <c r="B768">
        <f>IF($A768="","",INDEX('05_KAPA'!$B:$B,$A768))</f>
        <v/>
      </c>
      <c r="C768">
        <f>IF($A768="","",INDEX('05_KAPA'!$F:$F,$A768))</f>
        <v/>
      </c>
      <c r="D768">
        <f>IF($A768="","",INDEX('05_KAPA'!$H:$H,$A768))</f>
        <v/>
      </c>
      <c r="E768">
        <f>IF($A768="","",INDEX('05_KAPA'!$K:$K,$A768))</f>
        <v/>
      </c>
      <c r="F768">
        <f>IF($A768="","",INDEX('05_KAPA'!$L:$L,$A768))</f>
        <v/>
      </c>
      <c r="G768">
        <f>IF($A768="","",INDEX('05_KAPA'!$I:$I,$A768))</f>
        <v/>
      </c>
      <c r="H768" s="202">
        <f>IF($A768="","",INDEX('05_KAPA'!$P:$P,$A768))</f>
        <v/>
      </c>
      <c r="I768" s="118">
        <f>IF($A768="","",INDEX('05_KAPA'!$O:$O,$A768))</f>
        <v/>
      </c>
      <c r="J768" s="202">
        <f>IF($A768="","",IFERROR(DATE(LEFT(TEXT(INDEX('05_KAPA'!$T:$T,$A768),"0"),4),MID(TEXT(INDEX('05_KAPA'!$T:$T,$A768),"0"),5,2),RIGHT(TEXT(INDEX('05_KAPA'!$T:$T,$A768),"0"),2)),""))</f>
        <v/>
      </c>
      <c r="K768">
        <f>IF(C768="","",IF('02_대상물건입력'!$B$5="",1,IF(ISNUMBER(SEARCH('02_대상물건입력'!$B$5,C768)),1,0)))</f>
        <v/>
      </c>
      <c r="L768">
        <f>IF(C768="","",IF('02_대상물건입력'!$B$6="",1,IF(ISNUMBER(SEARCH('02_대상물건입력'!$B$6,C768)),1,0)))</f>
        <v/>
      </c>
      <c r="M768">
        <f>IF(E768="","",IF('02_대상물건입력'!$B$8="",0,IF(ISNUMBER(SEARCH('02_대상물건입력'!$B$8,E768)),1,0)))</f>
        <v/>
      </c>
      <c r="N768">
        <f>IF(B768="","",IF(B768="담보",1,0))</f>
        <v/>
      </c>
      <c r="O768">
        <f>IFERROR(ABS(G768-'02_대상물건입력'!$B$11)/'02_대상물건입력'!$B$11,"")</f>
        <v/>
      </c>
      <c r="P768">
        <f>IFERROR(ABS('01_설정'!$B$4-H768),"")</f>
        <v/>
      </c>
      <c r="Q768">
        <f>IFERROR(ABS(YEAR(J768)-YEAR('02_대상물건입력'!$B$14)),"")</f>
        <v/>
      </c>
      <c r="R768">
        <f>IF(AND(G768&gt;0,H768&gt;0,I768&gt;0,N768=1,IF('01_설정'!$B$10=1,K768=1,TRUE()),O768&lt;='01_설정'!$B$5,P768&lt;='01_설정'!$B$7,Q768&lt;='01_설정'!$B$8),"Y","")</f>
        <v/>
      </c>
      <c r="S768">
        <f>IF(R768&lt;&gt;"Y","",MAX(0,(1-O768/'01_설정'!$B$5))*'01_설정'!$B$14+MAX(0,(1-P768/'01_설정'!$B$7))*'01_설정'!$B$16+MAX(0,(1-Q768/'01_설정'!$B$8))*'01_설정'!$B$17+L768*'01_설정'!$B$11+M768*'01_설정'!$B$12+N768*50)</f>
        <v/>
      </c>
      <c r="T768">
        <f>IF(S768="","",1+COUNTIFS($S$31:$S$1030,"&gt;"&amp;S768)+COUNTIFS($S$31:S768,S768)-1)</f>
        <v/>
      </c>
    </row>
    <row r="769" hidden="1" ht="16.5" customHeight="1">
      <c r="A769">
        <f>IF(COUNTA('05_KAPA'!$A740:$AO740)=0,"",742)</f>
        <v/>
      </c>
      <c r="B769">
        <f>IF($A769="","",INDEX('05_KAPA'!$B:$B,$A769))</f>
        <v/>
      </c>
      <c r="C769">
        <f>IF($A769="","",INDEX('05_KAPA'!$F:$F,$A769))</f>
        <v/>
      </c>
      <c r="D769">
        <f>IF($A769="","",INDEX('05_KAPA'!$H:$H,$A769))</f>
        <v/>
      </c>
      <c r="E769">
        <f>IF($A769="","",INDEX('05_KAPA'!$K:$K,$A769))</f>
        <v/>
      </c>
      <c r="F769">
        <f>IF($A769="","",INDEX('05_KAPA'!$L:$L,$A769))</f>
        <v/>
      </c>
      <c r="G769">
        <f>IF($A769="","",INDEX('05_KAPA'!$I:$I,$A769))</f>
        <v/>
      </c>
      <c r="H769" s="202">
        <f>IF($A769="","",INDEX('05_KAPA'!$P:$P,$A769))</f>
        <v/>
      </c>
      <c r="I769" s="118">
        <f>IF($A769="","",INDEX('05_KAPA'!$O:$O,$A769))</f>
        <v/>
      </c>
      <c r="J769" s="202">
        <f>IF($A769="","",IFERROR(DATE(LEFT(TEXT(INDEX('05_KAPA'!$T:$T,$A769),"0"),4),MID(TEXT(INDEX('05_KAPA'!$T:$T,$A769),"0"),5,2),RIGHT(TEXT(INDEX('05_KAPA'!$T:$T,$A769),"0"),2)),""))</f>
        <v/>
      </c>
      <c r="K769">
        <f>IF(C769="","",IF('02_대상물건입력'!$B$5="",1,IF(ISNUMBER(SEARCH('02_대상물건입력'!$B$5,C769)),1,0)))</f>
        <v/>
      </c>
      <c r="L769">
        <f>IF(C769="","",IF('02_대상물건입력'!$B$6="",1,IF(ISNUMBER(SEARCH('02_대상물건입력'!$B$6,C769)),1,0)))</f>
        <v/>
      </c>
      <c r="M769">
        <f>IF(E769="","",IF('02_대상물건입력'!$B$8="",0,IF(ISNUMBER(SEARCH('02_대상물건입력'!$B$8,E769)),1,0)))</f>
        <v/>
      </c>
      <c r="N769">
        <f>IF(B769="","",IF(B769="담보",1,0))</f>
        <v/>
      </c>
      <c r="O769">
        <f>IFERROR(ABS(G769-'02_대상물건입력'!$B$11)/'02_대상물건입력'!$B$11,"")</f>
        <v/>
      </c>
      <c r="P769">
        <f>IFERROR(ABS('01_설정'!$B$4-H769),"")</f>
        <v/>
      </c>
      <c r="Q769">
        <f>IFERROR(ABS(YEAR(J769)-YEAR('02_대상물건입력'!$B$14)),"")</f>
        <v/>
      </c>
      <c r="R769">
        <f>IF(AND(G769&gt;0,H769&gt;0,I769&gt;0,N769=1,IF('01_설정'!$B$10=1,K769=1,TRUE()),O769&lt;='01_설정'!$B$5,P769&lt;='01_설정'!$B$7,Q769&lt;='01_설정'!$B$8),"Y","")</f>
        <v/>
      </c>
      <c r="S769">
        <f>IF(R769&lt;&gt;"Y","",MAX(0,(1-O769/'01_설정'!$B$5))*'01_설정'!$B$14+MAX(0,(1-P769/'01_설정'!$B$7))*'01_설정'!$B$16+MAX(0,(1-Q769/'01_설정'!$B$8))*'01_설정'!$B$17+L769*'01_설정'!$B$11+M769*'01_설정'!$B$12+N769*50)</f>
        <v/>
      </c>
      <c r="T769">
        <f>IF(S769="","",1+COUNTIFS($S$31:$S$1030,"&gt;"&amp;S769)+COUNTIFS($S$31:S769,S769)-1)</f>
        <v/>
      </c>
    </row>
    <row r="770" hidden="1" ht="16.5" customHeight="1">
      <c r="A770">
        <f>IF(COUNTA('05_KAPA'!$A741:$AO741)=0,"",743)</f>
        <v/>
      </c>
      <c r="B770">
        <f>IF($A770="","",INDEX('05_KAPA'!$B:$B,$A770))</f>
        <v/>
      </c>
      <c r="C770">
        <f>IF($A770="","",INDEX('05_KAPA'!$F:$F,$A770))</f>
        <v/>
      </c>
      <c r="D770">
        <f>IF($A770="","",INDEX('05_KAPA'!$H:$H,$A770))</f>
        <v/>
      </c>
      <c r="E770">
        <f>IF($A770="","",INDEX('05_KAPA'!$K:$K,$A770))</f>
        <v/>
      </c>
      <c r="F770">
        <f>IF($A770="","",INDEX('05_KAPA'!$L:$L,$A770))</f>
        <v/>
      </c>
      <c r="G770">
        <f>IF($A770="","",INDEX('05_KAPA'!$I:$I,$A770))</f>
        <v/>
      </c>
      <c r="H770" s="202">
        <f>IF($A770="","",INDEX('05_KAPA'!$P:$P,$A770))</f>
        <v/>
      </c>
      <c r="I770" s="118">
        <f>IF($A770="","",INDEX('05_KAPA'!$O:$O,$A770))</f>
        <v/>
      </c>
      <c r="J770" s="202">
        <f>IF($A770="","",IFERROR(DATE(LEFT(TEXT(INDEX('05_KAPA'!$T:$T,$A770),"0"),4),MID(TEXT(INDEX('05_KAPA'!$T:$T,$A770),"0"),5,2),RIGHT(TEXT(INDEX('05_KAPA'!$T:$T,$A770),"0"),2)),""))</f>
        <v/>
      </c>
      <c r="K770">
        <f>IF(C770="","",IF('02_대상물건입력'!$B$5="",1,IF(ISNUMBER(SEARCH('02_대상물건입력'!$B$5,C770)),1,0)))</f>
        <v/>
      </c>
      <c r="L770">
        <f>IF(C770="","",IF('02_대상물건입력'!$B$6="",1,IF(ISNUMBER(SEARCH('02_대상물건입력'!$B$6,C770)),1,0)))</f>
        <v/>
      </c>
      <c r="M770">
        <f>IF(E770="","",IF('02_대상물건입력'!$B$8="",0,IF(ISNUMBER(SEARCH('02_대상물건입력'!$B$8,E770)),1,0)))</f>
        <v/>
      </c>
      <c r="N770">
        <f>IF(B770="","",IF(B770="담보",1,0))</f>
        <v/>
      </c>
      <c r="O770">
        <f>IFERROR(ABS(G770-'02_대상물건입력'!$B$11)/'02_대상물건입력'!$B$11,"")</f>
        <v/>
      </c>
      <c r="P770">
        <f>IFERROR(ABS('01_설정'!$B$4-H770),"")</f>
        <v/>
      </c>
      <c r="Q770">
        <f>IFERROR(ABS(YEAR(J770)-YEAR('02_대상물건입력'!$B$14)),"")</f>
        <v/>
      </c>
      <c r="R770">
        <f>IF(AND(G770&gt;0,H770&gt;0,I770&gt;0,N770=1,IF('01_설정'!$B$10=1,K770=1,TRUE()),O770&lt;='01_설정'!$B$5,P770&lt;='01_설정'!$B$7,Q770&lt;='01_설정'!$B$8),"Y","")</f>
        <v/>
      </c>
      <c r="S770">
        <f>IF(R770&lt;&gt;"Y","",MAX(0,(1-O770/'01_설정'!$B$5))*'01_설정'!$B$14+MAX(0,(1-P770/'01_설정'!$B$7))*'01_설정'!$B$16+MAX(0,(1-Q770/'01_설정'!$B$8))*'01_설정'!$B$17+L770*'01_설정'!$B$11+M770*'01_설정'!$B$12+N770*50)</f>
        <v/>
      </c>
      <c r="T770">
        <f>IF(S770="","",1+COUNTIFS($S$31:$S$1030,"&gt;"&amp;S770)+COUNTIFS($S$31:S770,S770)-1)</f>
        <v/>
      </c>
    </row>
    <row r="771" hidden="1" ht="16.5" customHeight="1">
      <c r="A771">
        <f>IF(COUNTA('05_KAPA'!$A742:$AO742)=0,"",744)</f>
        <v/>
      </c>
      <c r="B771">
        <f>IF($A771="","",INDEX('05_KAPA'!$B:$B,$A771))</f>
        <v/>
      </c>
      <c r="C771">
        <f>IF($A771="","",INDEX('05_KAPA'!$F:$F,$A771))</f>
        <v/>
      </c>
      <c r="D771">
        <f>IF($A771="","",INDEX('05_KAPA'!$H:$H,$A771))</f>
        <v/>
      </c>
      <c r="E771">
        <f>IF($A771="","",INDEX('05_KAPA'!$K:$K,$A771))</f>
        <v/>
      </c>
      <c r="F771">
        <f>IF($A771="","",INDEX('05_KAPA'!$L:$L,$A771))</f>
        <v/>
      </c>
      <c r="G771">
        <f>IF($A771="","",INDEX('05_KAPA'!$I:$I,$A771))</f>
        <v/>
      </c>
      <c r="H771" s="202">
        <f>IF($A771="","",INDEX('05_KAPA'!$P:$P,$A771))</f>
        <v/>
      </c>
      <c r="I771" s="118">
        <f>IF($A771="","",INDEX('05_KAPA'!$O:$O,$A771))</f>
        <v/>
      </c>
      <c r="J771" s="202">
        <f>IF($A771="","",IFERROR(DATE(LEFT(TEXT(INDEX('05_KAPA'!$T:$T,$A771),"0"),4),MID(TEXT(INDEX('05_KAPA'!$T:$T,$A771),"0"),5,2),RIGHT(TEXT(INDEX('05_KAPA'!$T:$T,$A771),"0"),2)),""))</f>
        <v/>
      </c>
      <c r="K771">
        <f>IF(C771="","",IF('02_대상물건입력'!$B$5="",1,IF(ISNUMBER(SEARCH('02_대상물건입력'!$B$5,C771)),1,0)))</f>
        <v/>
      </c>
      <c r="L771">
        <f>IF(C771="","",IF('02_대상물건입력'!$B$6="",1,IF(ISNUMBER(SEARCH('02_대상물건입력'!$B$6,C771)),1,0)))</f>
        <v/>
      </c>
      <c r="M771">
        <f>IF(E771="","",IF('02_대상물건입력'!$B$8="",0,IF(ISNUMBER(SEARCH('02_대상물건입력'!$B$8,E771)),1,0)))</f>
        <v/>
      </c>
      <c r="N771">
        <f>IF(B771="","",IF(B771="담보",1,0))</f>
        <v/>
      </c>
      <c r="O771">
        <f>IFERROR(ABS(G771-'02_대상물건입력'!$B$11)/'02_대상물건입력'!$B$11,"")</f>
        <v/>
      </c>
      <c r="P771">
        <f>IFERROR(ABS('01_설정'!$B$4-H771),"")</f>
        <v/>
      </c>
      <c r="Q771">
        <f>IFERROR(ABS(YEAR(J771)-YEAR('02_대상물건입력'!$B$14)),"")</f>
        <v/>
      </c>
      <c r="R771">
        <f>IF(AND(G771&gt;0,H771&gt;0,I771&gt;0,N771=1,IF('01_설정'!$B$10=1,K771=1,TRUE()),O771&lt;='01_설정'!$B$5,P771&lt;='01_설정'!$B$7,Q771&lt;='01_설정'!$B$8),"Y","")</f>
        <v/>
      </c>
      <c r="S771">
        <f>IF(R771&lt;&gt;"Y","",MAX(0,(1-O771/'01_설정'!$B$5))*'01_설정'!$B$14+MAX(0,(1-P771/'01_설정'!$B$7))*'01_설정'!$B$16+MAX(0,(1-Q771/'01_설정'!$B$8))*'01_설정'!$B$17+L771*'01_설정'!$B$11+M771*'01_설정'!$B$12+N771*50)</f>
        <v/>
      </c>
      <c r="T771">
        <f>IF(S771="","",1+COUNTIFS($S$31:$S$1030,"&gt;"&amp;S771)+COUNTIFS($S$31:S771,S771)-1)</f>
        <v/>
      </c>
    </row>
    <row r="772" hidden="1" ht="16.5" customHeight="1">
      <c r="A772">
        <f>IF(COUNTA('05_KAPA'!$A743:$AO743)=0,"",745)</f>
        <v/>
      </c>
      <c r="B772">
        <f>IF($A772="","",INDEX('05_KAPA'!$B:$B,$A772))</f>
        <v/>
      </c>
      <c r="C772">
        <f>IF($A772="","",INDEX('05_KAPA'!$F:$F,$A772))</f>
        <v/>
      </c>
      <c r="D772">
        <f>IF($A772="","",INDEX('05_KAPA'!$H:$H,$A772))</f>
        <v/>
      </c>
      <c r="E772">
        <f>IF($A772="","",INDEX('05_KAPA'!$K:$K,$A772))</f>
        <v/>
      </c>
      <c r="F772">
        <f>IF($A772="","",INDEX('05_KAPA'!$L:$L,$A772))</f>
        <v/>
      </c>
      <c r="G772">
        <f>IF($A772="","",INDEX('05_KAPA'!$I:$I,$A772))</f>
        <v/>
      </c>
      <c r="H772" s="202">
        <f>IF($A772="","",INDEX('05_KAPA'!$P:$P,$A772))</f>
        <v/>
      </c>
      <c r="I772" s="118">
        <f>IF($A772="","",INDEX('05_KAPA'!$O:$O,$A772))</f>
        <v/>
      </c>
      <c r="J772" s="202">
        <f>IF($A772="","",IFERROR(DATE(LEFT(TEXT(INDEX('05_KAPA'!$T:$T,$A772),"0"),4),MID(TEXT(INDEX('05_KAPA'!$T:$T,$A772),"0"),5,2),RIGHT(TEXT(INDEX('05_KAPA'!$T:$T,$A772),"0"),2)),""))</f>
        <v/>
      </c>
      <c r="K772">
        <f>IF(C772="","",IF('02_대상물건입력'!$B$5="",1,IF(ISNUMBER(SEARCH('02_대상물건입력'!$B$5,C772)),1,0)))</f>
        <v/>
      </c>
      <c r="L772">
        <f>IF(C772="","",IF('02_대상물건입력'!$B$6="",1,IF(ISNUMBER(SEARCH('02_대상물건입력'!$B$6,C772)),1,0)))</f>
        <v/>
      </c>
      <c r="M772">
        <f>IF(E772="","",IF('02_대상물건입력'!$B$8="",0,IF(ISNUMBER(SEARCH('02_대상물건입력'!$B$8,E772)),1,0)))</f>
        <v/>
      </c>
      <c r="N772">
        <f>IF(B772="","",IF(B772="담보",1,0))</f>
        <v/>
      </c>
      <c r="O772">
        <f>IFERROR(ABS(G772-'02_대상물건입력'!$B$11)/'02_대상물건입력'!$B$11,"")</f>
        <v/>
      </c>
      <c r="P772">
        <f>IFERROR(ABS('01_설정'!$B$4-H772),"")</f>
        <v/>
      </c>
      <c r="Q772">
        <f>IFERROR(ABS(YEAR(J772)-YEAR('02_대상물건입력'!$B$14)),"")</f>
        <v/>
      </c>
      <c r="R772">
        <f>IF(AND(G772&gt;0,H772&gt;0,I772&gt;0,N772=1,IF('01_설정'!$B$10=1,K772=1,TRUE()),O772&lt;='01_설정'!$B$5,P772&lt;='01_설정'!$B$7,Q772&lt;='01_설정'!$B$8),"Y","")</f>
        <v/>
      </c>
      <c r="S772">
        <f>IF(R772&lt;&gt;"Y","",MAX(0,(1-O772/'01_설정'!$B$5))*'01_설정'!$B$14+MAX(0,(1-P772/'01_설정'!$B$7))*'01_설정'!$B$16+MAX(0,(1-Q772/'01_설정'!$B$8))*'01_설정'!$B$17+L772*'01_설정'!$B$11+M772*'01_설정'!$B$12+N772*50)</f>
        <v/>
      </c>
      <c r="T772">
        <f>IF(S772="","",1+COUNTIFS($S$31:$S$1030,"&gt;"&amp;S772)+COUNTIFS($S$31:S772,S772)-1)</f>
        <v/>
      </c>
    </row>
    <row r="773" hidden="1" ht="16.5" customHeight="1">
      <c r="A773">
        <f>IF(COUNTA('05_KAPA'!$A744:$AO744)=0,"",746)</f>
        <v/>
      </c>
      <c r="B773">
        <f>IF($A773="","",INDEX('05_KAPA'!$B:$B,$A773))</f>
        <v/>
      </c>
      <c r="C773">
        <f>IF($A773="","",INDEX('05_KAPA'!$F:$F,$A773))</f>
        <v/>
      </c>
      <c r="D773">
        <f>IF($A773="","",INDEX('05_KAPA'!$H:$H,$A773))</f>
        <v/>
      </c>
      <c r="E773">
        <f>IF($A773="","",INDEX('05_KAPA'!$K:$K,$A773))</f>
        <v/>
      </c>
      <c r="F773">
        <f>IF($A773="","",INDEX('05_KAPA'!$L:$L,$A773))</f>
        <v/>
      </c>
      <c r="G773">
        <f>IF($A773="","",INDEX('05_KAPA'!$I:$I,$A773))</f>
        <v/>
      </c>
      <c r="H773" s="202">
        <f>IF($A773="","",INDEX('05_KAPA'!$P:$P,$A773))</f>
        <v/>
      </c>
      <c r="I773" s="118">
        <f>IF($A773="","",INDEX('05_KAPA'!$O:$O,$A773))</f>
        <v/>
      </c>
      <c r="J773" s="202">
        <f>IF($A773="","",IFERROR(DATE(LEFT(TEXT(INDEX('05_KAPA'!$T:$T,$A773),"0"),4),MID(TEXT(INDEX('05_KAPA'!$T:$T,$A773),"0"),5,2),RIGHT(TEXT(INDEX('05_KAPA'!$T:$T,$A773),"0"),2)),""))</f>
        <v/>
      </c>
      <c r="K773">
        <f>IF(C773="","",IF('02_대상물건입력'!$B$5="",1,IF(ISNUMBER(SEARCH('02_대상물건입력'!$B$5,C773)),1,0)))</f>
        <v/>
      </c>
      <c r="L773">
        <f>IF(C773="","",IF('02_대상물건입력'!$B$6="",1,IF(ISNUMBER(SEARCH('02_대상물건입력'!$B$6,C773)),1,0)))</f>
        <v/>
      </c>
      <c r="M773">
        <f>IF(E773="","",IF('02_대상물건입력'!$B$8="",0,IF(ISNUMBER(SEARCH('02_대상물건입력'!$B$8,E773)),1,0)))</f>
        <v/>
      </c>
      <c r="N773">
        <f>IF(B773="","",IF(B773="담보",1,0))</f>
        <v/>
      </c>
      <c r="O773">
        <f>IFERROR(ABS(G773-'02_대상물건입력'!$B$11)/'02_대상물건입력'!$B$11,"")</f>
        <v/>
      </c>
      <c r="P773">
        <f>IFERROR(ABS('01_설정'!$B$4-H773),"")</f>
        <v/>
      </c>
      <c r="Q773">
        <f>IFERROR(ABS(YEAR(J773)-YEAR('02_대상물건입력'!$B$14)),"")</f>
        <v/>
      </c>
      <c r="R773">
        <f>IF(AND(G773&gt;0,H773&gt;0,I773&gt;0,N773=1,IF('01_설정'!$B$10=1,K773=1,TRUE()),O773&lt;='01_설정'!$B$5,P773&lt;='01_설정'!$B$7,Q773&lt;='01_설정'!$B$8),"Y","")</f>
        <v/>
      </c>
      <c r="S773">
        <f>IF(R773&lt;&gt;"Y","",MAX(0,(1-O773/'01_설정'!$B$5))*'01_설정'!$B$14+MAX(0,(1-P773/'01_설정'!$B$7))*'01_설정'!$B$16+MAX(0,(1-Q773/'01_설정'!$B$8))*'01_설정'!$B$17+L773*'01_설정'!$B$11+M773*'01_설정'!$B$12+N773*50)</f>
        <v/>
      </c>
      <c r="T773">
        <f>IF(S773="","",1+COUNTIFS($S$31:$S$1030,"&gt;"&amp;S773)+COUNTIFS($S$31:S773,S773)-1)</f>
        <v/>
      </c>
    </row>
    <row r="774" hidden="1" ht="16.5" customHeight="1">
      <c r="A774">
        <f>IF(COUNTA('05_KAPA'!$A745:$AO745)=0,"",747)</f>
        <v/>
      </c>
      <c r="B774">
        <f>IF($A774="","",INDEX('05_KAPA'!$B:$B,$A774))</f>
        <v/>
      </c>
      <c r="C774">
        <f>IF($A774="","",INDEX('05_KAPA'!$F:$F,$A774))</f>
        <v/>
      </c>
      <c r="D774">
        <f>IF($A774="","",INDEX('05_KAPA'!$H:$H,$A774))</f>
        <v/>
      </c>
      <c r="E774">
        <f>IF($A774="","",INDEX('05_KAPA'!$K:$K,$A774))</f>
        <v/>
      </c>
      <c r="F774">
        <f>IF($A774="","",INDEX('05_KAPA'!$L:$L,$A774))</f>
        <v/>
      </c>
      <c r="G774">
        <f>IF($A774="","",INDEX('05_KAPA'!$I:$I,$A774))</f>
        <v/>
      </c>
      <c r="H774" s="202">
        <f>IF($A774="","",INDEX('05_KAPA'!$P:$P,$A774))</f>
        <v/>
      </c>
      <c r="I774" s="118">
        <f>IF($A774="","",INDEX('05_KAPA'!$O:$O,$A774))</f>
        <v/>
      </c>
      <c r="J774" s="202">
        <f>IF($A774="","",IFERROR(DATE(LEFT(TEXT(INDEX('05_KAPA'!$T:$T,$A774),"0"),4),MID(TEXT(INDEX('05_KAPA'!$T:$T,$A774),"0"),5,2),RIGHT(TEXT(INDEX('05_KAPA'!$T:$T,$A774),"0"),2)),""))</f>
        <v/>
      </c>
      <c r="K774">
        <f>IF(C774="","",IF('02_대상물건입력'!$B$5="",1,IF(ISNUMBER(SEARCH('02_대상물건입력'!$B$5,C774)),1,0)))</f>
        <v/>
      </c>
      <c r="L774">
        <f>IF(C774="","",IF('02_대상물건입력'!$B$6="",1,IF(ISNUMBER(SEARCH('02_대상물건입력'!$B$6,C774)),1,0)))</f>
        <v/>
      </c>
      <c r="M774">
        <f>IF(E774="","",IF('02_대상물건입력'!$B$8="",0,IF(ISNUMBER(SEARCH('02_대상물건입력'!$B$8,E774)),1,0)))</f>
        <v/>
      </c>
      <c r="N774">
        <f>IF(B774="","",IF(B774="담보",1,0))</f>
        <v/>
      </c>
      <c r="O774">
        <f>IFERROR(ABS(G774-'02_대상물건입력'!$B$11)/'02_대상물건입력'!$B$11,"")</f>
        <v/>
      </c>
      <c r="P774">
        <f>IFERROR(ABS('01_설정'!$B$4-H774),"")</f>
        <v/>
      </c>
      <c r="Q774">
        <f>IFERROR(ABS(YEAR(J774)-YEAR('02_대상물건입력'!$B$14)),"")</f>
        <v/>
      </c>
      <c r="R774">
        <f>IF(AND(G774&gt;0,H774&gt;0,I774&gt;0,N774=1,IF('01_설정'!$B$10=1,K774=1,TRUE()),O774&lt;='01_설정'!$B$5,P774&lt;='01_설정'!$B$7,Q774&lt;='01_설정'!$B$8),"Y","")</f>
        <v/>
      </c>
      <c r="S774">
        <f>IF(R774&lt;&gt;"Y","",MAX(0,(1-O774/'01_설정'!$B$5))*'01_설정'!$B$14+MAX(0,(1-P774/'01_설정'!$B$7))*'01_설정'!$B$16+MAX(0,(1-Q774/'01_설정'!$B$8))*'01_설정'!$B$17+L774*'01_설정'!$B$11+M774*'01_설정'!$B$12+N774*50)</f>
        <v/>
      </c>
      <c r="T774">
        <f>IF(S774="","",1+COUNTIFS($S$31:$S$1030,"&gt;"&amp;S774)+COUNTIFS($S$31:S774,S774)-1)</f>
        <v/>
      </c>
    </row>
    <row r="775" hidden="1" ht="16.5" customHeight="1">
      <c r="A775">
        <f>IF(COUNTA('05_KAPA'!$A746:$AO746)=0,"",748)</f>
        <v/>
      </c>
      <c r="B775">
        <f>IF($A775="","",INDEX('05_KAPA'!$B:$B,$A775))</f>
        <v/>
      </c>
      <c r="C775">
        <f>IF($A775="","",INDEX('05_KAPA'!$F:$F,$A775))</f>
        <v/>
      </c>
      <c r="D775">
        <f>IF($A775="","",INDEX('05_KAPA'!$H:$H,$A775))</f>
        <v/>
      </c>
      <c r="E775">
        <f>IF($A775="","",INDEX('05_KAPA'!$K:$K,$A775))</f>
        <v/>
      </c>
      <c r="F775">
        <f>IF($A775="","",INDEX('05_KAPA'!$L:$L,$A775))</f>
        <v/>
      </c>
      <c r="G775">
        <f>IF($A775="","",INDEX('05_KAPA'!$I:$I,$A775))</f>
        <v/>
      </c>
      <c r="H775" s="202">
        <f>IF($A775="","",INDEX('05_KAPA'!$P:$P,$A775))</f>
        <v/>
      </c>
      <c r="I775" s="118">
        <f>IF($A775="","",INDEX('05_KAPA'!$O:$O,$A775))</f>
        <v/>
      </c>
      <c r="J775" s="202">
        <f>IF($A775="","",IFERROR(DATE(LEFT(TEXT(INDEX('05_KAPA'!$T:$T,$A775),"0"),4),MID(TEXT(INDEX('05_KAPA'!$T:$T,$A775),"0"),5,2),RIGHT(TEXT(INDEX('05_KAPA'!$T:$T,$A775),"0"),2)),""))</f>
        <v/>
      </c>
      <c r="K775">
        <f>IF(C775="","",IF('02_대상물건입력'!$B$5="",1,IF(ISNUMBER(SEARCH('02_대상물건입력'!$B$5,C775)),1,0)))</f>
        <v/>
      </c>
      <c r="L775">
        <f>IF(C775="","",IF('02_대상물건입력'!$B$6="",1,IF(ISNUMBER(SEARCH('02_대상물건입력'!$B$6,C775)),1,0)))</f>
        <v/>
      </c>
      <c r="M775">
        <f>IF(E775="","",IF('02_대상물건입력'!$B$8="",0,IF(ISNUMBER(SEARCH('02_대상물건입력'!$B$8,E775)),1,0)))</f>
        <v/>
      </c>
      <c r="N775">
        <f>IF(B775="","",IF(B775="담보",1,0))</f>
        <v/>
      </c>
      <c r="O775">
        <f>IFERROR(ABS(G775-'02_대상물건입력'!$B$11)/'02_대상물건입력'!$B$11,"")</f>
        <v/>
      </c>
      <c r="P775">
        <f>IFERROR(ABS('01_설정'!$B$4-H775),"")</f>
        <v/>
      </c>
      <c r="Q775">
        <f>IFERROR(ABS(YEAR(J775)-YEAR('02_대상물건입력'!$B$14)),"")</f>
        <v/>
      </c>
      <c r="R775">
        <f>IF(AND(G775&gt;0,H775&gt;0,I775&gt;0,N775=1,IF('01_설정'!$B$10=1,K775=1,TRUE()),O775&lt;='01_설정'!$B$5,P775&lt;='01_설정'!$B$7,Q775&lt;='01_설정'!$B$8),"Y","")</f>
        <v/>
      </c>
      <c r="S775">
        <f>IF(R775&lt;&gt;"Y","",MAX(0,(1-O775/'01_설정'!$B$5))*'01_설정'!$B$14+MAX(0,(1-P775/'01_설정'!$B$7))*'01_설정'!$B$16+MAX(0,(1-Q775/'01_설정'!$B$8))*'01_설정'!$B$17+L775*'01_설정'!$B$11+M775*'01_설정'!$B$12+N775*50)</f>
        <v/>
      </c>
      <c r="T775">
        <f>IF(S775="","",1+COUNTIFS($S$31:$S$1030,"&gt;"&amp;S775)+COUNTIFS($S$31:S775,S775)-1)</f>
        <v/>
      </c>
    </row>
    <row r="776" hidden="1" ht="16.5" customHeight="1">
      <c r="A776">
        <f>IF(COUNTA('05_KAPA'!$A747:$AO747)=0,"",749)</f>
        <v/>
      </c>
      <c r="B776">
        <f>IF($A776="","",INDEX('05_KAPA'!$B:$B,$A776))</f>
        <v/>
      </c>
      <c r="C776">
        <f>IF($A776="","",INDEX('05_KAPA'!$F:$F,$A776))</f>
        <v/>
      </c>
      <c r="D776">
        <f>IF($A776="","",INDEX('05_KAPA'!$H:$H,$A776))</f>
        <v/>
      </c>
      <c r="E776">
        <f>IF($A776="","",INDEX('05_KAPA'!$K:$K,$A776))</f>
        <v/>
      </c>
      <c r="F776">
        <f>IF($A776="","",INDEX('05_KAPA'!$L:$L,$A776))</f>
        <v/>
      </c>
      <c r="G776">
        <f>IF($A776="","",INDEX('05_KAPA'!$I:$I,$A776))</f>
        <v/>
      </c>
      <c r="H776" s="202">
        <f>IF($A776="","",INDEX('05_KAPA'!$P:$P,$A776))</f>
        <v/>
      </c>
      <c r="I776" s="118">
        <f>IF($A776="","",INDEX('05_KAPA'!$O:$O,$A776))</f>
        <v/>
      </c>
      <c r="J776" s="202">
        <f>IF($A776="","",IFERROR(DATE(LEFT(TEXT(INDEX('05_KAPA'!$T:$T,$A776),"0"),4),MID(TEXT(INDEX('05_KAPA'!$T:$T,$A776),"0"),5,2),RIGHT(TEXT(INDEX('05_KAPA'!$T:$T,$A776),"0"),2)),""))</f>
        <v/>
      </c>
      <c r="K776">
        <f>IF(C776="","",IF('02_대상물건입력'!$B$5="",1,IF(ISNUMBER(SEARCH('02_대상물건입력'!$B$5,C776)),1,0)))</f>
        <v/>
      </c>
      <c r="L776">
        <f>IF(C776="","",IF('02_대상물건입력'!$B$6="",1,IF(ISNUMBER(SEARCH('02_대상물건입력'!$B$6,C776)),1,0)))</f>
        <v/>
      </c>
      <c r="M776">
        <f>IF(E776="","",IF('02_대상물건입력'!$B$8="",0,IF(ISNUMBER(SEARCH('02_대상물건입력'!$B$8,E776)),1,0)))</f>
        <v/>
      </c>
      <c r="N776">
        <f>IF(B776="","",IF(B776="담보",1,0))</f>
        <v/>
      </c>
      <c r="O776">
        <f>IFERROR(ABS(G776-'02_대상물건입력'!$B$11)/'02_대상물건입력'!$B$11,"")</f>
        <v/>
      </c>
      <c r="P776">
        <f>IFERROR(ABS('01_설정'!$B$4-H776),"")</f>
        <v/>
      </c>
      <c r="Q776">
        <f>IFERROR(ABS(YEAR(J776)-YEAR('02_대상물건입력'!$B$14)),"")</f>
        <v/>
      </c>
      <c r="R776">
        <f>IF(AND(G776&gt;0,H776&gt;0,I776&gt;0,N776=1,IF('01_설정'!$B$10=1,K776=1,TRUE()),O776&lt;='01_설정'!$B$5,P776&lt;='01_설정'!$B$7,Q776&lt;='01_설정'!$B$8),"Y","")</f>
        <v/>
      </c>
      <c r="S776">
        <f>IF(R776&lt;&gt;"Y","",MAX(0,(1-O776/'01_설정'!$B$5))*'01_설정'!$B$14+MAX(0,(1-P776/'01_설정'!$B$7))*'01_설정'!$B$16+MAX(0,(1-Q776/'01_설정'!$B$8))*'01_설정'!$B$17+L776*'01_설정'!$B$11+M776*'01_설정'!$B$12+N776*50)</f>
        <v/>
      </c>
      <c r="T776">
        <f>IF(S776="","",1+COUNTIFS($S$31:$S$1030,"&gt;"&amp;S776)+COUNTIFS($S$31:S776,S776)-1)</f>
        <v/>
      </c>
    </row>
    <row r="777" hidden="1" ht="16.5" customHeight="1">
      <c r="A777">
        <f>IF(COUNTA('05_KAPA'!$A748:$AO748)=0,"",750)</f>
        <v/>
      </c>
      <c r="B777">
        <f>IF($A777="","",INDEX('05_KAPA'!$B:$B,$A777))</f>
        <v/>
      </c>
      <c r="C777">
        <f>IF($A777="","",INDEX('05_KAPA'!$F:$F,$A777))</f>
        <v/>
      </c>
      <c r="D777">
        <f>IF($A777="","",INDEX('05_KAPA'!$H:$H,$A777))</f>
        <v/>
      </c>
      <c r="E777">
        <f>IF($A777="","",INDEX('05_KAPA'!$K:$K,$A777))</f>
        <v/>
      </c>
      <c r="F777">
        <f>IF($A777="","",INDEX('05_KAPA'!$L:$L,$A777))</f>
        <v/>
      </c>
      <c r="G777">
        <f>IF($A777="","",INDEX('05_KAPA'!$I:$I,$A777))</f>
        <v/>
      </c>
      <c r="H777" s="202">
        <f>IF($A777="","",INDEX('05_KAPA'!$P:$P,$A777))</f>
        <v/>
      </c>
      <c r="I777" s="118">
        <f>IF($A777="","",INDEX('05_KAPA'!$O:$O,$A777))</f>
        <v/>
      </c>
      <c r="J777" s="202">
        <f>IF($A777="","",IFERROR(DATE(LEFT(TEXT(INDEX('05_KAPA'!$T:$T,$A777),"0"),4),MID(TEXT(INDEX('05_KAPA'!$T:$T,$A777),"0"),5,2),RIGHT(TEXT(INDEX('05_KAPA'!$T:$T,$A777),"0"),2)),""))</f>
        <v/>
      </c>
      <c r="K777">
        <f>IF(C777="","",IF('02_대상물건입력'!$B$5="",1,IF(ISNUMBER(SEARCH('02_대상물건입력'!$B$5,C777)),1,0)))</f>
        <v/>
      </c>
      <c r="L777">
        <f>IF(C777="","",IF('02_대상물건입력'!$B$6="",1,IF(ISNUMBER(SEARCH('02_대상물건입력'!$B$6,C777)),1,0)))</f>
        <v/>
      </c>
      <c r="M777">
        <f>IF(E777="","",IF('02_대상물건입력'!$B$8="",0,IF(ISNUMBER(SEARCH('02_대상물건입력'!$B$8,E777)),1,0)))</f>
        <v/>
      </c>
      <c r="N777">
        <f>IF(B777="","",IF(B777="담보",1,0))</f>
        <v/>
      </c>
      <c r="O777">
        <f>IFERROR(ABS(G777-'02_대상물건입력'!$B$11)/'02_대상물건입력'!$B$11,"")</f>
        <v/>
      </c>
      <c r="P777">
        <f>IFERROR(ABS('01_설정'!$B$4-H777),"")</f>
        <v/>
      </c>
      <c r="Q777">
        <f>IFERROR(ABS(YEAR(J777)-YEAR('02_대상물건입력'!$B$14)),"")</f>
        <v/>
      </c>
      <c r="R777">
        <f>IF(AND(G777&gt;0,H777&gt;0,I777&gt;0,N777=1,IF('01_설정'!$B$10=1,K777=1,TRUE()),O777&lt;='01_설정'!$B$5,P777&lt;='01_설정'!$B$7,Q777&lt;='01_설정'!$B$8),"Y","")</f>
        <v/>
      </c>
      <c r="S777">
        <f>IF(R777&lt;&gt;"Y","",MAX(0,(1-O777/'01_설정'!$B$5))*'01_설정'!$B$14+MAX(0,(1-P777/'01_설정'!$B$7))*'01_설정'!$B$16+MAX(0,(1-Q777/'01_설정'!$B$8))*'01_설정'!$B$17+L777*'01_설정'!$B$11+M777*'01_설정'!$B$12+N777*50)</f>
        <v/>
      </c>
      <c r="T777">
        <f>IF(S777="","",1+COUNTIFS($S$31:$S$1030,"&gt;"&amp;S777)+COUNTIFS($S$31:S777,S777)-1)</f>
        <v/>
      </c>
    </row>
    <row r="778" hidden="1" ht="16.5" customHeight="1">
      <c r="A778">
        <f>IF(COUNTA('05_KAPA'!$A749:$AO749)=0,"",751)</f>
        <v/>
      </c>
      <c r="B778">
        <f>IF($A778="","",INDEX('05_KAPA'!$B:$B,$A778))</f>
        <v/>
      </c>
      <c r="C778">
        <f>IF($A778="","",INDEX('05_KAPA'!$F:$F,$A778))</f>
        <v/>
      </c>
      <c r="D778">
        <f>IF($A778="","",INDEX('05_KAPA'!$H:$H,$A778))</f>
        <v/>
      </c>
      <c r="E778">
        <f>IF($A778="","",INDEX('05_KAPA'!$K:$K,$A778))</f>
        <v/>
      </c>
      <c r="F778">
        <f>IF($A778="","",INDEX('05_KAPA'!$L:$L,$A778))</f>
        <v/>
      </c>
      <c r="G778">
        <f>IF($A778="","",INDEX('05_KAPA'!$I:$I,$A778))</f>
        <v/>
      </c>
      <c r="H778" s="202">
        <f>IF($A778="","",INDEX('05_KAPA'!$P:$P,$A778))</f>
        <v/>
      </c>
      <c r="I778" s="118">
        <f>IF($A778="","",INDEX('05_KAPA'!$O:$O,$A778))</f>
        <v/>
      </c>
      <c r="J778" s="202">
        <f>IF($A778="","",IFERROR(DATE(LEFT(TEXT(INDEX('05_KAPA'!$T:$T,$A778),"0"),4),MID(TEXT(INDEX('05_KAPA'!$T:$T,$A778),"0"),5,2),RIGHT(TEXT(INDEX('05_KAPA'!$T:$T,$A778),"0"),2)),""))</f>
        <v/>
      </c>
      <c r="K778">
        <f>IF(C778="","",IF('02_대상물건입력'!$B$5="",1,IF(ISNUMBER(SEARCH('02_대상물건입력'!$B$5,C778)),1,0)))</f>
        <v/>
      </c>
      <c r="L778">
        <f>IF(C778="","",IF('02_대상물건입력'!$B$6="",1,IF(ISNUMBER(SEARCH('02_대상물건입력'!$B$6,C778)),1,0)))</f>
        <v/>
      </c>
      <c r="M778">
        <f>IF(E778="","",IF('02_대상물건입력'!$B$8="",0,IF(ISNUMBER(SEARCH('02_대상물건입력'!$B$8,E778)),1,0)))</f>
        <v/>
      </c>
      <c r="N778">
        <f>IF(B778="","",IF(B778="담보",1,0))</f>
        <v/>
      </c>
      <c r="O778">
        <f>IFERROR(ABS(G778-'02_대상물건입력'!$B$11)/'02_대상물건입력'!$B$11,"")</f>
        <v/>
      </c>
      <c r="P778">
        <f>IFERROR(ABS('01_설정'!$B$4-H778),"")</f>
        <v/>
      </c>
      <c r="Q778">
        <f>IFERROR(ABS(YEAR(J778)-YEAR('02_대상물건입력'!$B$14)),"")</f>
        <v/>
      </c>
      <c r="R778">
        <f>IF(AND(G778&gt;0,H778&gt;0,I778&gt;0,N778=1,IF('01_설정'!$B$10=1,K778=1,TRUE()),O778&lt;='01_설정'!$B$5,P778&lt;='01_설정'!$B$7,Q778&lt;='01_설정'!$B$8),"Y","")</f>
        <v/>
      </c>
      <c r="S778">
        <f>IF(R778&lt;&gt;"Y","",MAX(0,(1-O778/'01_설정'!$B$5))*'01_설정'!$B$14+MAX(0,(1-P778/'01_설정'!$B$7))*'01_설정'!$B$16+MAX(0,(1-Q778/'01_설정'!$B$8))*'01_설정'!$B$17+L778*'01_설정'!$B$11+M778*'01_설정'!$B$12+N778*50)</f>
        <v/>
      </c>
      <c r="T778">
        <f>IF(S778="","",1+COUNTIFS($S$31:$S$1030,"&gt;"&amp;S778)+COUNTIFS($S$31:S778,S778)-1)</f>
        <v/>
      </c>
    </row>
    <row r="779" hidden="1" ht="16.5" customHeight="1">
      <c r="A779">
        <f>IF(COUNTA('05_KAPA'!$A750:$AO750)=0,"",752)</f>
        <v/>
      </c>
      <c r="B779">
        <f>IF($A779="","",INDEX('05_KAPA'!$B:$B,$A779))</f>
        <v/>
      </c>
      <c r="C779">
        <f>IF($A779="","",INDEX('05_KAPA'!$F:$F,$A779))</f>
        <v/>
      </c>
      <c r="D779">
        <f>IF($A779="","",INDEX('05_KAPA'!$H:$H,$A779))</f>
        <v/>
      </c>
      <c r="E779">
        <f>IF($A779="","",INDEX('05_KAPA'!$K:$K,$A779))</f>
        <v/>
      </c>
      <c r="F779">
        <f>IF($A779="","",INDEX('05_KAPA'!$L:$L,$A779))</f>
        <v/>
      </c>
      <c r="G779">
        <f>IF($A779="","",INDEX('05_KAPA'!$I:$I,$A779))</f>
        <v/>
      </c>
      <c r="H779" s="202">
        <f>IF($A779="","",INDEX('05_KAPA'!$P:$P,$A779))</f>
        <v/>
      </c>
      <c r="I779" s="118">
        <f>IF($A779="","",INDEX('05_KAPA'!$O:$O,$A779))</f>
        <v/>
      </c>
      <c r="J779" s="202">
        <f>IF($A779="","",IFERROR(DATE(LEFT(TEXT(INDEX('05_KAPA'!$T:$T,$A779),"0"),4),MID(TEXT(INDEX('05_KAPA'!$T:$T,$A779),"0"),5,2),RIGHT(TEXT(INDEX('05_KAPA'!$T:$T,$A779),"0"),2)),""))</f>
        <v/>
      </c>
      <c r="K779">
        <f>IF(C779="","",IF('02_대상물건입력'!$B$5="",1,IF(ISNUMBER(SEARCH('02_대상물건입력'!$B$5,C779)),1,0)))</f>
        <v/>
      </c>
      <c r="L779">
        <f>IF(C779="","",IF('02_대상물건입력'!$B$6="",1,IF(ISNUMBER(SEARCH('02_대상물건입력'!$B$6,C779)),1,0)))</f>
        <v/>
      </c>
      <c r="M779">
        <f>IF(E779="","",IF('02_대상물건입력'!$B$8="",0,IF(ISNUMBER(SEARCH('02_대상물건입력'!$B$8,E779)),1,0)))</f>
        <v/>
      </c>
      <c r="N779">
        <f>IF(B779="","",IF(B779="담보",1,0))</f>
        <v/>
      </c>
      <c r="O779">
        <f>IFERROR(ABS(G779-'02_대상물건입력'!$B$11)/'02_대상물건입력'!$B$11,"")</f>
        <v/>
      </c>
      <c r="P779">
        <f>IFERROR(ABS('01_설정'!$B$4-H779),"")</f>
        <v/>
      </c>
      <c r="Q779">
        <f>IFERROR(ABS(YEAR(J779)-YEAR('02_대상물건입력'!$B$14)),"")</f>
        <v/>
      </c>
      <c r="R779">
        <f>IF(AND(G779&gt;0,H779&gt;0,I779&gt;0,N779=1,IF('01_설정'!$B$10=1,K779=1,TRUE()),O779&lt;='01_설정'!$B$5,P779&lt;='01_설정'!$B$7,Q779&lt;='01_설정'!$B$8),"Y","")</f>
        <v/>
      </c>
      <c r="S779">
        <f>IF(R779&lt;&gt;"Y","",MAX(0,(1-O779/'01_설정'!$B$5))*'01_설정'!$B$14+MAX(0,(1-P779/'01_설정'!$B$7))*'01_설정'!$B$16+MAX(0,(1-Q779/'01_설정'!$B$8))*'01_설정'!$B$17+L779*'01_설정'!$B$11+M779*'01_설정'!$B$12+N779*50)</f>
        <v/>
      </c>
      <c r="T779">
        <f>IF(S779="","",1+COUNTIFS($S$31:$S$1030,"&gt;"&amp;S779)+COUNTIFS($S$31:S779,S779)-1)</f>
        <v/>
      </c>
    </row>
    <row r="780" hidden="1" ht="16.5" customHeight="1">
      <c r="A780">
        <f>IF(COUNTA('05_KAPA'!$A751:$AO751)=0,"",753)</f>
        <v/>
      </c>
      <c r="B780">
        <f>IF($A780="","",INDEX('05_KAPA'!$B:$B,$A780))</f>
        <v/>
      </c>
      <c r="C780">
        <f>IF($A780="","",INDEX('05_KAPA'!$F:$F,$A780))</f>
        <v/>
      </c>
      <c r="D780">
        <f>IF($A780="","",INDEX('05_KAPA'!$H:$H,$A780))</f>
        <v/>
      </c>
      <c r="E780">
        <f>IF($A780="","",INDEX('05_KAPA'!$K:$K,$A780))</f>
        <v/>
      </c>
      <c r="F780">
        <f>IF($A780="","",INDEX('05_KAPA'!$L:$L,$A780))</f>
        <v/>
      </c>
      <c r="G780">
        <f>IF($A780="","",INDEX('05_KAPA'!$I:$I,$A780))</f>
        <v/>
      </c>
      <c r="H780" s="202">
        <f>IF($A780="","",INDEX('05_KAPA'!$P:$P,$A780))</f>
        <v/>
      </c>
      <c r="I780" s="118">
        <f>IF($A780="","",INDEX('05_KAPA'!$O:$O,$A780))</f>
        <v/>
      </c>
      <c r="J780" s="202">
        <f>IF($A780="","",IFERROR(DATE(LEFT(TEXT(INDEX('05_KAPA'!$T:$T,$A780),"0"),4),MID(TEXT(INDEX('05_KAPA'!$T:$T,$A780),"0"),5,2),RIGHT(TEXT(INDEX('05_KAPA'!$T:$T,$A780),"0"),2)),""))</f>
        <v/>
      </c>
      <c r="K780">
        <f>IF(C780="","",IF('02_대상물건입력'!$B$5="",1,IF(ISNUMBER(SEARCH('02_대상물건입력'!$B$5,C780)),1,0)))</f>
        <v/>
      </c>
      <c r="L780">
        <f>IF(C780="","",IF('02_대상물건입력'!$B$6="",1,IF(ISNUMBER(SEARCH('02_대상물건입력'!$B$6,C780)),1,0)))</f>
        <v/>
      </c>
      <c r="M780">
        <f>IF(E780="","",IF('02_대상물건입력'!$B$8="",0,IF(ISNUMBER(SEARCH('02_대상물건입력'!$B$8,E780)),1,0)))</f>
        <v/>
      </c>
      <c r="N780">
        <f>IF(B780="","",IF(B780="담보",1,0))</f>
        <v/>
      </c>
      <c r="O780">
        <f>IFERROR(ABS(G780-'02_대상물건입력'!$B$11)/'02_대상물건입력'!$B$11,"")</f>
        <v/>
      </c>
      <c r="P780">
        <f>IFERROR(ABS('01_설정'!$B$4-H780),"")</f>
        <v/>
      </c>
      <c r="Q780">
        <f>IFERROR(ABS(YEAR(J780)-YEAR('02_대상물건입력'!$B$14)),"")</f>
        <v/>
      </c>
      <c r="R780">
        <f>IF(AND(G780&gt;0,H780&gt;0,I780&gt;0,N780=1,IF('01_설정'!$B$10=1,K780=1,TRUE()),O780&lt;='01_설정'!$B$5,P780&lt;='01_설정'!$B$7,Q780&lt;='01_설정'!$B$8),"Y","")</f>
        <v/>
      </c>
      <c r="S780">
        <f>IF(R780&lt;&gt;"Y","",MAX(0,(1-O780/'01_설정'!$B$5))*'01_설정'!$B$14+MAX(0,(1-P780/'01_설정'!$B$7))*'01_설정'!$B$16+MAX(0,(1-Q780/'01_설정'!$B$8))*'01_설정'!$B$17+L780*'01_설정'!$B$11+M780*'01_설정'!$B$12+N780*50)</f>
        <v/>
      </c>
      <c r="T780">
        <f>IF(S780="","",1+COUNTIFS($S$31:$S$1030,"&gt;"&amp;S780)+COUNTIFS($S$31:S780,S780)-1)</f>
        <v/>
      </c>
    </row>
    <row r="781" hidden="1" ht="16.5" customHeight="1">
      <c r="A781">
        <f>IF(COUNTA('05_KAPA'!$A752:$AO752)=0,"",754)</f>
        <v/>
      </c>
      <c r="B781">
        <f>IF($A781="","",INDEX('05_KAPA'!$B:$B,$A781))</f>
        <v/>
      </c>
      <c r="C781">
        <f>IF($A781="","",INDEX('05_KAPA'!$F:$F,$A781))</f>
        <v/>
      </c>
      <c r="D781">
        <f>IF($A781="","",INDEX('05_KAPA'!$H:$H,$A781))</f>
        <v/>
      </c>
      <c r="E781">
        <f>IF($A781="","",INDEX('05_KAPA'!$K:$K,$A781))</f>
        <v/>
      </c>
      <c r="F781">
        <f>IF($A781="","",INDEX('05_KAPA'!$L:$L,$A781))</f>
        <v/>
      </c>
      <c r="G781">
        <f>IF($A781="","",INDEX('05_KAPA'!$I:$I,$A781))</f>
        <v/>
      </c>
      <c r="H781" s="202">
        <f>IF($A781="","",INDEX('05_KAPA'!$P:$P,$A781))</f>
        <v/>
      </c>
      <c r="I781" s="118">
        <f>IF($A781="","",INDEX('05_KAPA'!$O:$O,$A781))</f>
        <v/>
      </c>
      <c r="J781" s="202">
        <f>IF($A781="","",IFERROR(DATE(LEFT(TEXT(INDEX('05_KAPA'!$T:$T,$A781),"0"),4),MID(TEXT(INDEX('05_KAPA'!$T:$T,$A781),"0"),5,2),RIGHT(TEXT(INDEX('05_KAPA'!$T:$T,$A781),"0"),2)),""))</f>
        <v/>
      </c>
      <c r="K781">
        <f>IF(C781="","",IF('02_대상물건입력'!$B$5="",1,IF(ISNUMBER(SEARCH('02_대상물건입력'!$B$5,C781)),1,0)))</f>
        <v/>
      </c>
      <c r="L781">
        <f>IF(C781="","",IF('02_대상물건입력'!$B$6="",1,IF(ISNUMBER(SEARCH('02_대상물건입력'!$B$6,C781)),1,0)))</f>
        <v/>
      </c>
      <c r="M781">
        <f>IF(E781="","",IF('02_대상물건입력'!$B$8="",0,IF(ISNUMBER(SEARCH('02_대상물건입력'!$B$8,E781)),1,0)))</f>
        <v/>
      </c>
      <c r="N781">
        <f>IF(B781="","",IF(B781="담보",1,0))</f>
        <v/>
      </c>
      <c r="O781">
        <f>IFERROR(ABS(G781-'02_대상물건입력'!$B$11)/'02_대상물건입력'!$B$11,"")</f>
        <v/>
      </c>
      <c r="P781">
        <f>IFERROR(ABS('01_설정'!$B$4-H781),"")</f>
        <v/>
      </c>
      <c r="Q781">
        <f>IFERROR(ABS(YEAR(J781)-YEAR('02_대상물건입력'!$B$14)),"")</f>
        <v/>
      </c>
      <c r="R781">
        <f>IF(AND(G781&gt;0,H781&gt;0,I781&gt;0,N781=1,IF('01_설정'!$B$10=1,K781=1,TRUE()),O781&lt;='01_설정'!$B$5,P781&lt;='01_설정'!$B$7,Q781&lt;='01_설정'!$B$8),"Y","")</f>
        <v/>
      </c>
      <c r="S781">
        <f>IF(R781&lt;&gt;"Y","",MAX(0,(1-O781/'01_설정'!$B$5))*'01_설정'!$B$14+MAX(0,(1-P781/'01_설정'!$B$7))*'01_설정'!$B$16+MAX(0,(1-Q781/'01_설정'!$B$8))*'01_설정'!$B$17+L781*'01_설정'!$B$11+M781*'01_설정'!$B$12+N781*50)</f>
        <v/>
      </c>
      <c r="T781">
        <f>IF(S781="","",1+COUNTIFS($S$31:$S$1030,"&gt;"&amp;S781)+COUNTIFS($S$31:S781,S781)-1)</f>
        <v/>
      </c>
    </row>
    <row r="782" hidden="1" ht="16.5" customHeight="1">
      <c r="A782">
        <f>IF(COUNTA('05_KAPA'!$A753:$AO753)=0,"",755)</f>
        <v/>
      </c>
      <c r="B782">
        <f>IF($A782="","",INDEX('05_KAPA'!$B:$B,$A782))</f>
        <v/>
      </c>
      <c r="C782">
        <f>IF($A782="","",INDEX('05_KAPA'!$F:$F,$A782))</f>
        <v/>
      </c>
      <c r="D782">
        <f>IF($A782="","",INDEX('05_KAPA'!$H:$H,$A782))</f>
        <v/>
      </c>
      <c r="E782">
        <f>IF($A782="","",INDEX('05_KAPA'!$K:$K,$A782))</f>
        <v/>
      </c>
      <c r="F782">
        <f>IF($A782="","",INDEX('05_KAPA'!$L:$L,$A782))</f>
        <v/>
      </c>
      <c r="G782">
        <f>IF($A782="","",INDEX('05_KAPA'!$I:$I,$A782))</f>
        <v/>
      </c>
      <c r="H782" s="202">
        <f>IF($A782="","",INDEX('05_KAPA'!$P:$P,$A782))</f>
        <v/>
      </c>
      <c r="I782" s="118">
        <f>IF($A782="","",INDEX('05_KAPA'!$O:$O,$A782))</f>
        <v/>
      </c>
      <c r="J782" s="202">
        <f>IF($A782="","",IFERROR(DATE(LEFT(TEXT(INDEX('05_KAPA'!$T:$T,$A782),"0"),4),MID(TEXT(INDEX('05_KAPA'!$T:$T,$A782),"0"),5,2),RIGHT(TEXT(INDEX('05_KAPA'!$T:$T,$A782),"0"),2)),""))</f>
        <v/>
      </c>
      <c r="K782">
        <f>IF(C782="","",IF('02_대상물건입력'!$B$5="",1,IF(ISNUMBER(SEARCH('02_대상물건입력'!$B$5,C782)),1,0)))</f>
        <v/>
      </c>
      <c r="L782">
        <f>IF(C782="","",IF('02_대상물건입력'!$B$6="",1,IF(ISNUMBER(SEARCH('02_대상물건입력'!$B$6,C782)),1,0)))</f>
        <v/>
      </c>
      <c r="M782">
        <f>IF(E782="","",IF('02_대상물건입력'!$B$8="",0,IF(ISNUMBER(SEARCH('02_대상물건입력'!$B$8,E782)),1,0)))</f>
        <v/>
      </c>
      <c r="N782">
        <f>IF(B782="","",IF(B782="담보",1,0))</f>
        <v/>
      </c>
      <c r="O782">
        <f>IFERROR(ABS(G782-'02_대상물건입력'!$B$11)/'02_대상물건입력'!$B$11,"")</f>
        <v/>
      </c>
      <c r="P782">
        <f>IFERROR(ABS('01_설정'!$B$4-H782),"")</f>
        <v/>
      </c>
      <c r="Q782">
        <f>IFERROR(ABS(YEAR(J782)-YEAR('02_대상물건입력'!$B$14)),"")</f>
        <v/>
      </c>
      <c r="R782">
        <f>IF(AND(G782&gt;0,H782&gt;0,I782&gt;0,N782=1,IF('01_설정'!$B$10=1,K782=1,TRUE()),O782&lt;='01_설정'!$B$5,P782&lt;='01_설정'!$B$7,Q782&lt;='01_설정'!$B$8),"Y","")</f>
        <v/>
      </c>
      <c r="S782">
        <f>IF(R782&lt;&gt;"Y","",MAX(0,(1-O782/'01_설정'!$B$5))*'01_설정'!$B$14+MAX(0,(1-P782/'01_설정'!$B$7))*'01_설정'!$B$16+MAX(0,(1-Q782/'01_설정'!$B$8))*'01_설정'!$B$17+L782*'01_설정'!$B$11+M782*'01_설정'!$B$12+N782*50)</f>
        <v/>
      </c>
      <c r="T782">
        <f>IF(S782="","",1+COUNTIFS($S$31:$S$1030,"&gt;"&amp;S782)+COUNTIFS($S$31:S782,S782)-1)</f>
        <v/>
      </c>
    </row>
    <row r="783" hidden="1" ht="16.5" customHeight="1">
      <c r="A783">
        <f>IF(COUNTA('05_KAPA'!$A754:$AO754)=0,"",756)</f>
        <v/>
      </c>
      <c r="B783">
        <f>IF($A783="","",INDEX('05_KAPA'!$B:$B,$A783))</f>
        <v/>
      </c>
      <c r="C783">
        <f>IF($A783="","",INDEX('05_KAPA'!$F:$F,$A783))</f>
        <v/>
      </c>
      <c r="D783">
        <f>IF($A783="","",INDEX('05_KAPA'!$H:$H,$A783))</f>
        <v/>
      </c>
      <c r="E783">
        <f>IF($A783="","",INDEX('05_KAPA'!$K:$K,$A783))</f>
        <v/>
      </c>
      <c r="F783">
        <f>IF($A783="","",INDEX('05_KAPA'!$L:$L,$A783))</f>
        <v/>
      </c>
      <c r="G783">
        <f>IF($A783="","",INDEX('05_KAPA'!$I:$I,$A783))</f>
        <v/>
      </c>
      <c r="H783" s="202">
        <f>IF($A783="","",INDEX('05_KAPA'!$P:$P,$A783))</f>
        <v/>
      </c>
      <c r="I783" s="118">
        <f>IF($A783="","",INDEX('05_KAPA'!$O:$O,$A783))</f>
        <v/>
      </c>
      <c r="J783" s="202">
        <f>IF($A783="","",IFERROR(DATE(LEFT(TEXT(INDEX('05_KAPA'!$T:$T,$A783),"0"),4),MID(TEXT(INDEX('05_KAPA'!$T:$T,$A783),"0"),5,2),RIGHT(TEXT(INDEX('05_KAPA'!$T:$T,$A783),"0"),2)),""))</f>
        <v/>
      </c>
      <c r="K783">
        <f>IF(C783="","",IF('02_대상물건입력'!$B$5="",1,IF(ISNUMBER(SEARCH('02_대상물건입력'!$B$5,C783)),1,0)))</f>
        <v/>
      </c>
      <c r="L783">
        <f>IF(C783="","",IF('02_대상물건입력'!$B$6="",1,IF(ISNUMBER(SEARCH('02_대상물건입력'!$B$6,C783)),1,0)))</f>
        <v/>
      </c>
      <c r="M783">
        <f>IF(E783="","",IF('02_대상물건입력'!$B$8="",0,IF(ISNUMBER(SEARCH('02_대상물건입력'!$B$8,E783)),1,0)))</f>
        <v/>
      </c>
      <c r="N783">
        <f>IF(B783="","",IF(B783="담보",1,0))</f>
        <v/>
      </c>
      <c r="O783">
        <f>IFERROR(ABS(G783-'02_대상물건입력'!$B$11)/'02_대상물건입력'!$B$11,"")</f>
        <v/>
      </c>
      <c r="P783">
        <f>IFERROR(ABS('01_설정'!$B$4-H783),"")</f>
        <v/>
      </c>
      <c r="Q783">
        <f>IFERROR(ABS(YEAR(J783)-YEAR('02_대상물건입력'!$B$14)),"")</f>
        <v/>
      </c>
      <c r="R783">
        <f>IF(AND(G783&gt;0,H783&gt;0,I783&gt;0,N783=1,IF('01_설정'!$B$10=1,K783=1,TRUE()),O783&lt;='01_설정'!$B$5,P783&lt;='01_설정'!$B$7,Q783&lt;='01_설정'!$B$8),"Y","")</f>
        <v/>
      </c>
      <c r="S783">
        <f>IF(R783&lt;&gt;"Y","",MAX(0,(1-O783/'01_설정'!$B$5))*'01_설정'!$B$14+MAX(0,(1-P783/'01_설정'!$B$7))*'01_설정'!$B$16+MAX(0,(1-Q783/'01_설정'!$B$8))*'01_설정'!$B$17+L783*'01_설정'!$B$11+M783*'01_설정'!$B$12+N783*50)</f>
        <v/>
      </c>
      <c r="T783">
        <f>IF(S783="","",1+COUNTIFS($S$31:$S$1030,"&gt;"&amp;S783)+COUNTIFS($S$31:S783,S783)-1)</f>
        <v/>
      </c>
    </row>
    <row r="784" hidden="1" ht="16.5" customHeight="1">
      <c r="A784">
        <f>IF(COUNTA('05_KAPA'!$A755:$AO755)=0,"",757)</f>
        <v/>
      </c>
      <c r="B784">
        <f>IF($A784="","",INDEX('05_KAPA'!$B:$B,$A784))</f>
        <v/>
      </c>
      <c r="C784">
        <f>IF($A784="","",INDEX('05_KAPA'!$F:$F,$A784))</f>
        <v/>
      </c>
      <c r="D784">
        <f>IF($A784="","",INDEX('05_KAPA'!$H:$H,$A784))</f>
        <v/>
      </c>
      <c r="E784">
        <f>IF($A784="","",INDEX('05_KAPA'!$K:$K,$A784))</f>
        <v/>
      </c>
      <c r="F784">
        <f>IF($A784="","",INDEX('05_KAPA'!$L:$L,$A784))</f>
        <v/>
      </c>
      <c r="G784">
        <f>IF($A784="","",INDEX('05_KAPA'!$I:$I,$A784))</f>
        <v/>
      </c>
      <c r="H784" s="202">
        <f>IF($A784="","",INDEX('05_KAPA'!$P:$P,$A784))</f>
        <v/>
      </c>
      <c r="I784" s="118">
        <f>IF($A784="","",INDEX('05_KAPA'!$O:$O,$A784))</f>
        <v/>
      </c>
      <c r="J784" s="202">
        <f>IF($A784="","",IFERROR(DATE(LEFT(TEXT(INDEX('05_KAPA'!$T:$T,$A784),"0"),4),MID(TEXT(INDEX('05_KAPA'!$T:$T,$A784),"0"),5,2),RIGHT(TEXT(INDEX('05_KAPA'!$T:$T,$A784),"0"),2)),""))</f>
        <v/>
      </c>
      <c r="K784">
        <f>IF(C784="","",IF('02_대상물건입력'!$B$5="",1,IF(ISNUMBER(SEARCH('02_대상물건입력'!$B$5,C784)),1,0)))</f>
        <v/>
      </c>
      <c r="L784">
        <f>IF(C784="","",IF('02_대상물건입력'!$B$6="",1,IF(ISNUMBER(SEARCH('02_대상물건입력'!$B$6,C784)),1,0)))</f>
        <v/>
      </c>
      <c r="M784">
        <f>IF(E784="","",IF('02_대상물건입력'!$B$8="",0,IF(ISNUMBER(SEARCH('02_대상물건입력'!$B$8,E784)),1,0)))</f>
        <v/>
      </c>
      <c r="N784">
        <f>IF(B784="","",IF(B784="담보",1,0))</f>
        <v/>
      </c>
      <c r="O784">
        <f>IFERROR(ABS(G784-'02_대상물건입력'!$B$11)/'02_대상물건입력'!$B$11,"")</f>
        <v/>
      </c>
      <c r="P784">
        <f>IFERROR(ABS('01_설정'!$B$4-H784),"")</f>
        <v/>
      </c>
      <c r="Q784">
        <f>IFERROR(ABS(YEAR(J784)-YEAR('02_대상물건입력'!$B$14)),"")</f>
        <v/>
      </c>
      <c r="R784">
        <f>IF(AND(G784&gt;0,H784&gt;0,I784&gt;0,N784=1,IF('01_설정'!$B$10=1,K784=1,TRUE()),O784&lt;='01_설정'!$B$5,P784&lt;='01_설정'!$B$7,Q784&lt;='01_설정'!$B$8),"Y","")</f>
        <v/>
      </c>
      <c r="S784">
        <f>IF(R784&lt;&gt;"Y","",MAX(0,(1-O784/'01_설정'!$B$5))*'01_설정'!$B$14+MAX(0,(1-P784/'01_설정'!$B$7))*'01_설정'!$B$16+MAX(0,(1-Q784/'01_설정'!$B$8))*'01_설정'!$B$17+L784*'01_설정'!$B$11+M784*'01_설정'!$B$12+N784*50)</f>
        <v/>
      </c>
      <c r="T784">
        <f>IF(S784="","",1+COUNTIFS($S$31:$S$1030,"&gt;"&amp;S784)+COUNTIFS($S$31:S784,S784)-1)</f>
        <v/>
      </c>
    </row>
    <row r="785" hidden="1" ht="16.5" customHeight="1">
      <c r="A785">
        <f>IF(COUNTA('05_KAPA'!$A756:$AO756)=0,"",758)</f>
        <v/>
      </c>
      <c r="B785">
        <f>IF($A785="","",INDEX('05_KAPA'!$B:$B,$A785))</f>
        <v/>
      </c>
      <c r="C785">
        <f>IF($A785="","",INDEX('05_KAPA'!$F:$F,$A785))</f>
        <v/>
      </c>
      <c r="D785">
        <f>IF($A785="","",INDEX('05_KAPA'!$H:$H,$A785))</f>
        <v/>
      </c>
      <c r="E785">
        <f>IF($A785="","",INDEX('05_KAPA'!$K:$K,$A785))</f>
        <v/>
      </c>
      <c r="F785">
        <f>IF($A785="","",INDEX('05_KAPA'!$L:$L,$A785))</f>
        <v/>
      </c>
      <c r="G785">
        <f>IF($A785="","",INDEX('05_KAPA'!$I:$I,$A785))</f>
        <v/>
      </c>
      <c r="H785" s="202">
        <f>IF($A785="","",INDEX('05_KAPA'!$P:$P,$A785))</f>
        <v/>
      </c>
      <c r="I785" s="118">
        <f>IF($A785="","",INDEX('05_KAPA'!$O:$O,$A785))</f>
        <v/>
      </c>
      <c r="J785" s="202">
        <f>IF($A785="","",IFERROR(DATE(LEFT(TEXT(INDEX('05_KAPA'!$T:$T,$A785),"0"),4),MID(TEXT(INDEX('05_KAPA'!$T:$T,$A785),"0"),5,2),RIGHT(TEXT(INDEX('05_KAPA'!$T:$T,$A785),"0"),2)),""))</f>
        <v/>
      </c>
      <c r="K785">
        <f>IF(C785="","",IF('02_대상물건입력'!$B$5="",1,IF(ISNUMBER(SEARCH('02_대상물건입력'!$B$5,C785)),1,0)))</f>
        <v/>
      </c>
      <c r="L785">
        <f>IF(C785="","",IF('02_대상물건입력'!$B$6="",1,IF(ISNUMBER(SEARCH('02_대상물건입력'!$B$6,C785)),1,0)))</f>
        <v/>
      </c>
      <c r="M785">
        <f>IF(E785="","",IF('02_대상물건입력'!$B$8="",0,IF(ISNUMBER(SEARCH('02_대상물건입력'!$B$8,E785)),1,0)))</f>
        <v/>
      </c>
      <c r="N785">
        <f>IF(B785="","",IF(B785="담보",1,0))</f>
        <v/>
      </c>
      <c r="O785">
        <f>IFERROR(ABS(G785-'02_대상물건입력'!$B$11)/'02_대상물건입력'!$B$11,"")</f>
        <v/>
      </c>
      <c r="P785">
        <f>IFERROR(ABS('01_설정'!$B$4-H785),"")</f>
        <v/>
      </c>
      <c r="Q785">
        <f>IFERROR(ABS(YEAR(J785)-YEAR('02_대상물건입력'!$B$14)),"")</f>
        <v/>
      </c>
      <c r="R785">
        <f>IF(AND(G785&gt;0,H785&gt;0,I785&gt;0,N785=1,IF('01_설정'!$B$10=1,K785=1,TRUE()),O785&lt;='01_설정'!$B$5,P785&lt;='01_설정'!$B$7,Q785&lt;='01_설정'!$B$8),"Y","")</f>
        <v/>
      </c>
      <c r="S785">
        <f>IF(R785&lt;&gt;"Y","",MAX(0,(1-O785/'01_설정'!$B$5))*'01_설정'!$B$14+MAX(0,(1-P785/'01_설정'!$B$7))*'01_설정'!$B$16+MAX(0,(1-Q785/'01_설정'!$B$8))*'01_설정'!$B$17+L785*'01_설정'!$B$11+M785*'01_설정'!$B$12+N785*50)</f>
        <v/>
      </c>
      <c r="T785">
        <f>IF(S785="","",1+COUNTIFS($S$31:$S$1030,"&gt;"&amp;S785)+COUNTIFS($S$31:S785,S785)-1)</f>
        <v/>
      </c>
    </row>
    <row r="786" hidden="1" ht="16.5" customHeight="1">
      <c r="A786">
        <f>IF(COUNTA('05_KAPA'!$A757:$AO757)=0,"",759)</f>
        <v/>
      </c>
      <c r="B786">
        <f>IF($A786="","",INDEX('05_KAPA'!$B:$B,$A786))</f>
        <v/>
      </c>
      <c r="C786">
        <f>IF($A786="","",INDEX('05_KAPA'!$F:$F,$A786))</f>
        <v/>
      </c>
      <c r="D786">
        <f>IF($A786="","",INDEX('05_KAPA'!$H:$H,$A786))</f>
        <v/>
      </c>
      <c r="E786">
        <f>IF($A786="","",INDEX('05_KAPA'!$K:$K,$A786))</f>
        <v/>
      </c>
      <c r="F786">
        <f>IF($A786="","",INDEX('05_KAPA'!$L:$L,$A786))</f>
        <v/>
      </c>
      <c r="G786">
        <f>IF($A786="","",INDEX('05_KAPA'!$I:$I,$A786))</f>
        <v/>
      </c>
      <c r="H786" s="202">
        <f>IF($A786="","",INDEX('05_KAPA'!$P:$P,$A786))</f>
        <v/>
      </c>
      <c r="I786" s="118">
        <f>IF($A786="","",INDEX('05_KAPA'!$O:$O,$A786))</f>
        <v/>
      </c>
      <c r="J786" s="202">
        <f>IF($A786="","",IFERROR(DATE(LEFT(TEXT(INDEX('05_KAPA'!$T:$T,$A786),"0"),4),MID(TEXT(INDEX('05_KAPA'!$T:$T,$A786),"0"),5,2),RIGHT(TEXT(INDEX('05_KAPA'!$T:$T,$A786),"0"),2)),""))</f>
        <v/>
      </c>
      <c r="K786">
        <f>IF(C786="","",IF('02_대상물건입력'!$B$5="",1,IF(ISNUMBER(SEARCH('02_대상물건입력'!$B$5,C786)),1,0)))</f>
        <v/>
      </c>
      <c r="L786">
        <f>IF(C786="","",IF('02_대상물건입력'!$B$6="",1,IF(ISNUMBER(SEARCH('02_대상물건입력'!$B$6,C786)),1,0)))</f>
        <v/>
      </c>
      <c r="M786">
        <f>IF(E786="","",IF('02_대상물건입력'!$B$8="",0,IF(ISNUMBER(SEARCH('02_대상물건입력'!$B$8,E786)),1,0)))</f>
        <v/>
      </c>
      <c r="N786">
        <f>IF(B786="","",IF(B786="담보",1,0))</f>
        <v/>
      </c>
      <c r="O786">
        <f>IFERROR(ABS(G786-'02_대상물건입력'!$B$11)/'02_대상물건입력'!$B$11,"")</f>
        <v/>
      </c>
      <c r="P786">
        <f>IFERROR(ABS('01_설정'!$B$4-H786),"")</f>
        <v/>
      </c>
      <c r="Q786">
        <f>IFERROR(ABS(YEAR(J786)-YEAR('02_대상물건입력'!$B$14)),"")</f>
        <v/>
      </c>
      <c r="R786">
        <f>IF(AND(G786&gt;0,H786&gt;0,I786&gt;0,N786=1,IF('01_설정'!$B$10=1,K786=1,TRUE()),O786&lt;='01_설정'!$B$5,P786&lt;='01_설정'!$B$7,Q786&lt;='01_설정'!$B$8),"Y","")</f>
        <v/>
      </c>
      <c r="S786">
        <f>IF(R786&lt;&gt;"Y","",MAX(0,(1-O786/'01_설정'!$B$5))*'01_설정'!$B$14+MAX(0,(1-P786/'01_설정'!$B$7))*'01_설정'!$B$16+MAX(0,(1-Q786/'01_설정'!$B$8))*'01_설정'!$B$17+L786*'01_설정'!$B$11+M786*'01_설정'!$B$12+N786*50)</f>
        <v/>
      </c>
      <c r="T786">
        <f>IF(S786="","",1+COUNTIFS($S$31:$S$1030,"&gt;"&amp;S786)+COUNTIFS($S$31:S786,S786)-1)</f>
        <v/>
      </c>
    </row>
    <row r="787" hidden="1" ht="16.5" customHeight="1">
      <c r="A787">
        <f>IF(COUNTA('05_KAPA'!$A758:$AO758)=0,"",760)</f>
        <v/>
      </c>
      <c r="B787">
        <f>IF($A787="","",INDEX('05_KAPA'!$B:$B,$A787))</f>
        <v/>
      </c>
      <c r="C787">
        <f>IF($A787="","",INDEX('05_KAPA'!$F:$F,$A787))</f>
        <v/>
      </c>
      <c r="D787">
        <f>IF($A787="","",INDEX('05_KAPA'!$H:$H,$A787))</f>
        <v/>
      </c>
      <c r="E787">
        <f>IF($A787="","",INDEX('05_KAPA'!$K:$K,$A787))</f>
        <v/>
      </c>
      <c r="F787">
        <f>IF($A787="","",INDEX('05_KAPA'!$L:$L,$A787))</f>
        <v/>
      </c>
      <c r="G787">
        <f>IF($A787="","",INDEX('05_KAPA'!$I:$I,$A787))</f>
        <v/>
      </c>
      <c r="H787" s="202">
        <f>IF($A787="","",INDEX('05_KAPA'!$P:$P,$A787))</f>
        <v/>
      </c>
      <c r="I787" s="118">
        <f>IF($A787="","",INDEX('05_KAPA'!$O:$O,$A787))</f>
        <v/>
      </c>
      <c r="J787" s="202">
        <f>IF($A787="","",IFERROR(DATE(LEFT(TEXT(INDEX('05_KAPA'!$T:$T,$A787),"0"),4),MID(TEXT(INDEX('05_KAPA'!$T:$T,$A787),"0"),5,2),RIGHT(TEXT(INDEX('05_KAPA'!$T:$T,$A787),"0"),2)),""))</f>
        <v/>
      </c>
      <c r="K787">
        <f>IF(C787="","",IF('02_대상물건입력'!$B$5="",1,IF(ISNUMBER(SEARCH('02_대상물건입력'!$B$5,C787)),1,0)))</f>
        <v/>
      </c>
      <c r="L787">
        <f>IF(C787="","",IF('02_대상물건입력'!$B$6="",1,IF(ISNUMBER(SEARCH('02_대상물건입력'!$B$6,C787)),1,0)))</f>
        <v/>
      </c>
      <c r="M787">
        <f>IF(E787="","",IF('02_대상물건입력'!$B$8="",0,IF(ISNUMBER(SEARCH('02_대상물건입력'!$B$8,E787)),1,0)))</f>
        <v/>
      </c>
      <c r="N787">
        <f>IF(B787="","",IF(B787="담보",1,0))</f>
        <v/>
      </c>
      <c r="O787">
        <f>IFERROR(ABS(G787-'02_대상물건입력'!$B$11)/'02_대상물건입력'!$B$11,"")</f>
        <v/>
      </c>
      <c r="P787">
        <f>IFERROR(ABS('01_설정'!$B$4-H787),"")</f>
        <v/>
      </c>
      <c r="Q787">
        <f>IFERROR(ABS(YEAR(J787)-YEAR('02_대상물건입력'!$B$14)),"")</f>
        <v/>
      </c>
      <c r="R787">
        <f>IF(AND(G787&gt;0,H787&gt;0,I787&gt;0,N787=1,IF('01_설정'!$B$10=1,K787=1,TRUE()),O787&lt;='01_설정'!$B$5,P787&lt;='01_설정'!$B$7,Q787&lt;='01_설정'!$B$8),"Y","")</f>
        <v/>
      </c>
      <c r="S787">
        <f>IF(R787&lt;&gt;"Y","",MAX(0,(1-O787/'01_설정'!$B$5))*'01_설정'!$B$14+MAX(0,(1-P787/'01_설정'!$B$7))*'01_설정'!$B$16+MAX(0,(1-Q787/'01_설정'!$B$8))*'01_설정'!$B$17+L787*'01_설정'!$B$11+M787*'01_설정'!$B$12+N787*50)</f>
        <v/>
      </c>
      <c r="T787">
        <f>IF(S787="","",1+COUNTIFS($S$31:$S$1030,"&gt;"&amp;S787)+COUNTIFS($S$31:S787,S787)-1)</f>
        <v/>
      </c>
    </row>
    <row r="788" hidden="1" ht="16.5" customHeight="1">
      <c r="A788">
        <f>IF(COUNTA('05_KAPA'!$A759:$AO759)=0,"",761)</f>
        <v/>
      </c>
      <c r="B788">
        <f>IF($A788="","",INDEX('05_KAPA'!$B:$B,$A788))</f>
        <v/>
      </c>
      <c r="C788">
        <f>IF($A788="","",INDEX('05_KAPA'!$F:$F,$A788))</f>
        <v/>
      </c>
      <c r="D788">
        <f>IF($A788="","",INDEX('05_KAPA'!$H:$H,$A788))</f>
        <v/>
      </c>
      <c r="E788">
        <f>IF($A788="","",INDEX('05_KAPA'!$K:$K,$A788))</f>
        <v/>
      </c>
      <c r="F788">
        <f>IF($A788="","",INDEX('05_KAPA'!$L:$L,$A788))</f>
        <v/>
      </c>
      <c r="G788">
        <f>IF($A788="","",INDEX('05_KAPA'!$I:$I,$A788))</f>
        <v/>
      </c>
      <c r="H788" s="202">
        <f>IF($A788="","",INDEX('05_KAPA'!$P:$P,$A788))</f>
        <v/>
      </c>
      <c r="I788" s="118">
        <f>IF($A788="","",INDEX('05_KAPA'!$O:$O,$A788))</f>
        <v/>
      </c>
      <c r="J788" s="202">
        <f>IF($A788="","",IFERROR(DATE(LEFT(TEXT(INDEX('05_KAPA'!$T:$T,$A788),"0"),4),MID(TEXT(INDEX('05_KAPA'!$T:$T,$A788),"0"),5,2),RIGHT(TEXT(INDEX('05_KAPA'!$T:$T,$A788),"0"),2)),""))</f>
        <v/>
      </c>
      <c r="K788">
        <f>IF(C788="","",IF('02_대상물건입력'!$B$5="",1,IF(ISNUMBER(SEARCH('02_대상물건입력'!$B$5,C788)),1,0)))</f>
        <v/>
      </c>
      <c r="L788">
        <f>IF(C788="","",IF('02_대상물건입력'!$B$6="",1,IF(ISNUMBER(SEARCH('02_대상물건입력'!$B$6,C788)),1,0)))</f>
        <v/>
      </c>
      <c r="M788">
        <f>IF(E788="","",IF('02_대상물건입력'!$B$8="",0,IF(ISNUMBER(SEARCH('02_대상물건입력'!$B$8,E788)),1,0)))</f>
        <v/>
      </c>
      <c r="N788">
        <f>IF(B788="","",IF(B788="담보",1,0))</f>
        <v/>
      </c>
      <c r="O788">
        <f>IFERROR(ABS(G788-'02_대상물건입력'!$B$11)/'02_대상물건입력'!$B$11,"")</f>
        <v/>
      </c>
      <c r="P788">
        <f>IFERROR(ABS('01_설정'!$B$4-H788),"")</f>
        <v/>
      </c>
      <c r="Q788">
        <f>IFERROR(ABS(YEAR(J788)-YEAR('02_대상물건입력'!$B$14)),"")</f>
        <v/>
      </c>
      <c r="R788">
        <f>IF(AND(G788&gt;0,H788&gt;0,I788&gt;0,N788=1,IF('01_설정'!$B$10=1,K788=1,TRUE()),O788&lt;='01_설정'!$B$5,P788&lt;='01_설정'!$B$7,Q788&lt;='01_설정'!$B$8),"Y","")</f>
        <v/>
      </c>
      <c r="S788">
        <f>IF(R788&lt;&gt;"Y","",MAX(0,(1-O788/'01_설정'!$B$5))*'01_설정'!$B$14+MAX(0,(1-P788/'01_설정'!$B$7))*'01_설정'!$B$16+MAX(0,(1-Q788/'01_설정'!$B$8))*'01_설정'!$B$17+L788*'01_설정'!$B$11+M788*'01_설정'!$B$12+N788*50)</f>
        <v/>
      </c>
      <c r="T788">
        <f>IF(S788="","",1+COUNTIFS($S$31:$S$1030,"&gt;"&amp;S788)+COUNTIFS($S$31:S788,S788)-1)</f>
        <v/>
      </c>
    </row>
    <row r="789" hidden="1" ht="16.5" customHeight="1">
      <c r="A789">
        <f>IF(COUNTA('05_KAPA'!$A760:$AO760)=0,"",762)</f>
        <v/>
      </c>
      <c r="B789">
        <f>IF($A789="","",INDEX('05_KAPA'!$B:$B,$A789))</f>
        <v/>
      </c>
      <c r="C789">
        <f>IF($A789="","",INDEX('05_KAPA'!$F:$F,$A789))</f>
        <v/>
      </c>
      <c r="D789">
        <f>IF($A789="","",INDEX('05_KAPA'!$H:$H,$A789))</f>
        <v/>
      </c>
      <c r="E789">
        <f>IF($A789="","",INDEX('05_KAPA'!$K:$K,$A789))</f>
        <v/>
      </c>
      <c r="F789">
        <f>IF($A789="","",INDEX('05_KAPA'!$L:$L,$A789))</f>
        <v/>
      </c>
      <c r="G789">
        <f>IF($A789="","",INDEX('05_KAPA'!$I:$I,$A789))</f>
        <v/>
      </c>
      <c r="H789" s="202">
        <f>IF($A789="","",INDEX('05_KAPA'!$P:$P,$A789))</f>
        <v/>
      </c>
      <c r="I789" s="118">
        <f>IF($A789="","",INDEX('05_KAPA'!$O:$O,$A789))</f>
        <v/>
      </c>
      <c r="J789" s="202">
        <f>IF($A789="","",IFERROR(DATE(LEFT(TEXT(INDEX('05_KAPA'!$T:$T,$A789),"0"),4),MID(TEXT(INDEX('05_KAPA'!$T:$T,$A789),"0"),5,2),RIGHT(TEXT(INDEX('05_KAPA'!$T:$T,$A789),"0"),2)),""))</f>
        <v/>
      </c>
      <c r="K789">
        <f>IF(C789="","",IF('02_대상물건입력'!$B$5="",1,IF(ISNUMBER(SEARCH('02_대상물건입력'!$B$5,C789)),1,0)))</f>
        <v/>
      </c>
      <c r="L789">
        <f>IF(C789="","",IF('02_대상물건입력'!$B$6="",1,IF(ISNUMBER(SEARCH('02_대상물건입력'!$B$6,C789)),1,0)))</f>
        <v/>
      </c>
      <c r="M789">
        <f>IF(E789="","",IF('02_대상물건입력'!$B$8="",0,IF(ISNUMBER(SEARCH('02_대상물건입력'!$B$8,E789)),1,0)))</f>
        <v/>
      </c>
      <c r="N789">
        <f>IF(B789="","",IF(B789="담보",1,0))</f>
        <v/>
      </c>
      <c r="O789">
        <f>IFERROR(ABS(G789-'02_대상물건입력'!$B$11)/'02_대상물건입력'!$B$11,"")</f>
        <v/>
      </c>
      <c r="P789">
        <f>IFERROR(ABS('01_설정'!$B$4-H789),"")</f>
        <v/>
      </c>
      <c r="Q789">
        <f>IFERROR(ABS(YEAR(J789)-YEAR('02_대상물건입력'!$B$14)),"")</f>
        <v/>
      </c>
      <c r="R789">
        <f>IF(AND(G789&gt;0,H789&gt;0,I789&gt;0,N789=1,IF('01_설정'!$B$10=1,K789=1,TRUE()),O789&lt;='01_설정'!$B$5,P789&lt;='01_설정'!$B$7,Q789&lt;='01_설정'!$B$8),"Y","")</f>
        <v/>
      </c>
      <c r="S789">
        <f>IF(R789&lt;&gt;"Y","",MAX(0,(1-O789/'01_설정'!$B$5))*'01_설정'!$B$14+MAX(0,(1-P789/'01_설정'!$B$7))*'01_설정'!$B$16+MAX(0,(1-Q789/'01_설정'!$B$8))*'01_설정'!$B$17+L789*'01_설정'!$B$11+M789*'01_설정'!$B$12+N789*50)</f>
        <v/>
      </c>
      <c r="T789">
        <f>IF(S789="","",1+COUNTIFS($S$31:$S$1030,"&gt;"&amp;S789)+COUNTIFS($S$31:S789,S789)-1)</f>
        <v/>
      </c>
    </row>
    <row r="790" hidden="1" ht="16.5" customHeight="1">
      <c r="A790">
        <f>IF(COUNTA('05_KAPA'!$A761:$AO761)=0,"",763)</f>
        <v/>
      </c>
      <c r="B790">
        <f>IF($A790="","",INDEX('05_KAPA'!$B:$B,$A790))</f>
        <v/>
      </c>
      <c r="C790">
        <f>IF($A790="","",INDEX('05_KAPA'!$F:$F,$A790))</f>
        <v/>
      </c>
      <c r="D790">
        <f>IF($A790="","",INDEX('05_KAPA'!$H:$H,$A790))</f>
        <v/>
      </c>
      <c r="E790">
        <f>IF($A790="","",INDEX('05_KAPA'!$K:$K,$A790))</f>
        <v/>
      </c>
      <c r="F790">
        <f>IF($A790="","",INDEX('05_KAPA'!$L:$L,$A790))</f>
        <v/>
      </c>
      <c r="G790">
        <f>IF($A790="","",INDEX('05_KAPA'!$I:$I,$A790))</f>
        <v/>
      </c>
      <c r="H790" s="202">
        <f>IF($A790="","",INDEX('05_KAPA'!$P:$P,$A790))</f>
        <v/>
      </c>
      <c r="I790" s="118">
        <f>IF($A790="","",INDEX('05_KAPA'!$O:$O,$A790))</f>
        <v/>
      </c>
      <c r="J790" s="202">
        <f>IF($A790="","",IFERROR(DATE(LEFT(TEXT(INDEX('05_KAPA'!$T:$T,$A790),"0"),4),MID(TEXT(INDEX('05_KAPA'!$T:$T,$A790),"0"),5,2),RIGHT(TEXT(INDEX('05_KAPA'!$T:$T,$A790),"0"),2)),""))</f>
        <v/>
      </c>
      <c r="K790">
        <f>IF(C790="","",IF('02_대상물건입력'!$B$5="",1,IF(ISNUMBER(SEARCH('02_대상물건입력'!$B$5,C790)),1,0)))</f>
        <v/>
      </c>
      <c r="L790">
        <f>IF(C790="","",IF('02_대상물건입력'!$B$6="",1,IF(ISNUMBER(SEARCH('02_대상물건입력'!$B$6,C790)),1,0)))</f>
        <v/>
      </c>
      <c r="M790">
        <f>IF(E790="","",IF('02_대상물건입력'!$B$8="",0,IF(ISNUMBER(SEARCH('02_대상물건입력'!$B$8,E790)),1,0)))</f>
        <v/>
      </c>
      <c r="N790">
        <f>IF(B790="","",IF(B790="담보",1,0))</f>
        <v/>
      </c>
      <c r="O790">
        <f>IFERROR(ABS(G790-'02_대상물건입력'!$B$11)/'02_대상물건입력'!$B$11,"")</f>
        <v/>
      </c>
      <c r="P790">
        <f>IFERROR(ABS('01_설정'!$B$4-H790),"")</f>
        <v/>
      </c>
      <c r="Q790">
        <f>IFERROR(ABS(YEAR(J790)-YEAR('02_대상물건입력'!$B$14)),"")</f>
        <v/>
      </c>
      <c r="R790">
        <f>IF(AND(G790&gt;0,H790&gt;0,I790&gt;0,N790=1,IF('01_설정'!$B$10=1,K790=1,TRUE()),O790&lt;='01_설정'!$B$5,P790&lt;='01_설정'!$B$7,Q790&lt;='01_설정'!$B$8),"Y","")</f>
        <v/>
      </c>
      <c r="S790">
        <f>IF(R790&lt;&gt;"Y","",MAX(0,(1-O790/'01_설정'!$B$5))*'01_설정'!$B$14+MAX(0,(1-P790/'01_설정'!$B$7))*'01_설정'!$B$16+MAX(0,(1-Q790/'01_설정'!$B$8))*'01_설정'!$B$17+L790*'01_설정'!$B$11+M790*'01_설정'!$B$12+N790*50)</f>
        <v/>
      </c>
      <c r="T790">
        <f>IF(S790="","",1+COUNTIFS($S$31:$S$1030,"&gt;"&amp;S790)+COUNTIFS($S$31:S790,S790)-1)</f>
        <v/>
      </c>
    </row>
    <row r="791" hidden="1" ht="16.5" customHeight="1">
      <c r="A791">
        <f>IF(COUNTA('05_KAPA'!$A762:$AO762)=0,"",764)</f>
        <v/>
      </c>
      <c r="B791">
        <f>IF($A791="","",INDEX('05_KAPA'!$B:$B,$A791))</f>
        <v/>
      </c>
      <c r="C791">
        <f>IF($A791="","",INDEX('05_KAPA'!$F:$F,$A791))</f>
        <v/>
      </c>
      <c r="D791">
        <f>IF($A791="","",INDEX('05_KAPA'!$H:$H,$A791))</f>
        <v/>
      </c>
      <c r="E791">
        <f>IF($A791="","",INDEX('05_KAPA'!$K:$K,$A791))</f>
        <v/>
      </c>
      <c r="F791">
        <f>IF($A791="","",INDEX('05_KAPA'!$L:$L,$A791))</f>
        <v/>
      </c>
      <c r="G791">
        <f>IF($A791="","",INDEX('05_KAPA'!$I:$I,$A791))</f>
        <v/>
      </c>
      <c r="H791" s="202">
        <f>IF($A791="","",INDEX('05_KAPA'!$P:$P,$A791))</f>
        <v/>
      </c>
      <c r="I791" s="118">
        <f>IF($A791="","",INDEX('05_KAPA'!$O:$O,$A791))</f>
        <v/>
      </c>
      <c r="J791" s="202">
        <f>IF($A791="","",IFERROR(DATE(LEFT(TEXT(INDEX('05_KAPA'!$T:$T,$A791),"0"),4),MID(TEXT(INDEX('05_KAPA'!$T:$T,$A791),"0"),5,2),RIGHT(TEXT(INDEX('05_KAPA'!$T:$T,$A791),"0"),2)),""))</f>
        <v/>
      </c>
      <c r="K791">
        <f>IF(C791="","",IF('02_대상물건입력'!$B$5="",1,IF(ISNUMBER(SEARCH('02_대상물건입력'!$B$5,C791)),1,0)))</f>
        <v/>
      </c>
      <c r="L791">
        <f>IF(C791="","",IF('02_대상물건입력'!$B$6="",1,IF(ISNUMBER(SEARCH('02_대상물건입력'!$B$6,C791)),1,0)))</f>
        <v/>
      </c>
      <c r="M791">
        <f>IF(E791="","",IF('02_대상물건입력'!$B$8="",0,IF(ISNUMBER(SEARCH('02_대상물건입력'!$B$8,E791)),1,0)))</f>
        <v/>
      </c>
      <c r="N791">
        <f>IF(B791="","",IF(B791="담보",1,0))</f>
        <v/>
      </c>
      <c r="O791">
        <f>IFERROR(ABS(G791-'02_대상물건입력'!$B$11)/'02_대상물건입력'!$B$11,"")</f>
        <v/>
      </c>
      <c r="P791">
        <f>IFERROR(ABS('01_설정'!$B$4-H791),"")</f>
        <v/>
      </c>
      <c r="Q791">
        <f>IFERROR(ABS(YEAR(J791)-YEAR('02_대상물건입력'!$B$14)),"")</f>
        <v/>
      </c>
      <c r="R791">
        <f>IF(AND(G791&gt;0,H791&gt;0,I791&gt;0,N791=1,IF('01_설정'!$B$10=1,K791=1,TRUE()),O791&lt;='01_설정'!$B$5,P791&lt;='01_설정'!$B$7,Q791&lt;='01_설정'!$B$8),"Y","")</f>
        <v/>
      </c>
      <c r="S791">
        <f>IF(R791&lt;&gt;"Y","",MAX(0,(1-O791/'01_설정'!$B$5))*'01_설정'!$B$14+MAX(0,(1-P791/'01_설정'!$B$7))*'01_설정'!$B$16+MAX(0,(1-Q791/'01_설정'!$B$8))*'01_설정'!$B$17+L791*'01_설정'!$B$11+M791*'01_설정'!$B$12+N791*50)</f>
        <v/>
      </c>
      <c r="T791">
        <f>IF(S791="","",1+COUNTIFS($S$31:$S$1030,"&gt;"&amp;S791)+COUNTIFS($S$31:S791,S791)-1)</f>
        <v/>
      </c>
    </row>
    <row r="792" hidden="1" ht="16.5" customHeight="1">
      <c r="A792">
        <f>IF(COUNTA('05_KAPA'!$A763:$AO763)=0,"",765)</f>
        <v/>
      </c>
      <c r="B792">
        <f>IF($A792="","",INDEX('05_KAPA'!$B:$B,$A792))</f>
        <v/>
      </c>
      <c r="C792">
        <f>IF($A792="","",INDEX('05_KAPA'!$F:$F,$A792))</f>
        <v/>
      </c>
      <c r="D792">
        <f>IF($A792="","",INDEX('05_KAPA'!$H:$H,$A792))</f>
        <v/>
      </c>
      <c r="E792">
        <f>IF($A792="","",INDEX('05_KAPA'!$K:$K,$A792))</f>
        <v/>
      </c>
      <c r="F792">
        <f>IF($A792="","",INDEX('05_KAPA'!$L:$L,$A792))</f>
        <v/>
      </c>
      <c r="G792">
        <f>IF($A792="","",INDEX('05_KAPA'!$I:$I,$A792))</f>
        <v/>
      </c>
      <c r="H792" s="202">
        <f>IF($A792="","",INDEX('05_KAPA'!$P:$P,$A792))</f>
        <v/>
      </c>
      <c r="I792" s="118">
        <f>IF($A792="","",INDEX('05_KAPA'!$O:$O,$A792))</f>
        <v/>
      </c>
      <c r="J792" s="202">
        <f>IF($A792="","",IFERROR(DATE(LEFT(TEXT(INDEX('05_KAPA'!$T:$T,$A792),"0"),4),MID(TEXT(INDEX('05_KAPA'!$T:$T,$A792),"0"),5,2),RIGHT(TEXT(INDEX('05_KAPA'!$T:$T,$A792),"0"),2)),""))</f>
        <v/>
      </c>
      <c r="K792">
        <f>IF(C792="","",IF('02_대상물건입력'!$B$5="",1,IF(ISNUMBER(SEARCH('02_대상물건입력'!$B$5,C792)),1,0)))</f>
        <v/>
      </c>
      <c r="L792">
        <f>IF(C792="","",IF('02_대상물건입력'!$B$6="",1,IF(ISNUMBER(SEARCH('02_대상물건입력'!$B$6,C792)),1,0)))</f>
        <v/>
      </c>
      <c r="M792">
        <f>IF(E792="","",IF('02_대상물건입력'!$B$8="",0,IF(ISNUMBER(SEARCH('02_대상물건입력'!$B$8,E792)),1,0)))</f>
        <v/>
      </c>
      <c r="N792">
        <f>IF(B792="","",IF(B792="담보",1,0))</f>
        <v/>
      </c>
      <c r="O792">
        <f>IFERROR(ABS(G792-'02_대상물건입력'!$B$11)/'02_대상물건입력'!$B$11,"")</f>
        <v/>
      </c>
      <c r="P792">
        <f>IFERROR(ABS('01_설정'!$B$4-H792),"")</f>
        <v/>
      </c>
      <c r="Q792">
        <f>IFERROR(ABS(YEAR(J792)-YEAR('02_대상물건입력'!$B$14)),"")</f>
        <v/>
      </c>
      <c r="R792">
        <f>IF(AND(G792&gt;0,H792&gt;0,I792&gt;0,N792=1,IF('01_설정'!$B$10=1,K792=1,TRUE()),O792&lt;='01_설정'!$B$5,P792&lt;='01_설정'!$B$7,Q792&lt;='01_설정'!$B$8),"Y","")</f>
        <v/>
      </c>
      <c r="S792">
        <f>IF(R792&lt;&gt;"Y","",MAX(0,(1-O792/'01_설정'!$B$5))*'01_설정'!$B$14+MAX(0,(1-P792/'01_설정'!$B$7))*'01_설정'!$B$16+MAX(0,(1-Q792/'01_설정'!$B$8))*'01_설정'!$B$17+L792*'01_설정'!$B$11+M792*'01_설정'!$B$12+N792*50)</f>
        <v/>
      </c>
      <c r="T792">
        <f>IF(S792="","",1+COUNTIFS($S$31:$S$1030,"&gt;"&amp;S792)+COUNTIFS($S$31:S792,S792)-1)</f>
        <v/>
      </c>
    </row>
    <row r="793" hidden="1" ht="16.5" customHeight="1">
      <c r="A793">
        <f>IF(COUNTA('05_KAPA'!$A764:$AO764)=0,"",766)</f>
        <v/>
      </c>
      <c r="B793">
        <f>IF($A793="","",INDEX('05_KAPA'!$B:$B,$A793))</f>
        <v/>
      </c>
      <c r="C793">
        <f>IF($A793="","",INDEX('05_KAPA'!$F:$F,$A793))</f>
        <v/>
      </c>
      <c r="D793">
        <f>IF($A793="","",INDEX('05_KAPA'!$H:$H,$A793))</f>
        <v/>
      </c>
      <c r="E793">
        <f>IF($A793="","",INDEX('05_KAPA'!$K:$K,$A793))</f>
        <v/>
      </c>
      <c r="F793">
        <f>IF($A793="","",INDEX('05_KAPA'!$L:$L,$A793))</f>
        <v/>
      </c>
      <c r="G793">
        <f>IF($A793="","",INDEX('05_KAPA'!$I:$I,$A793))</f>
        <v/>
      </c>
      <c r="H793" s="202">
        <f>IF($A793="","",INDEX('05_KAPA'!$P:$P,$A793))</f>
        <v/>
      </c>
      <c r="I793" s="118">
        <f>IF($A793="","",INDEX('05_KAPA'!$O:$O,$A793))</f>
        <v/>
      </c>
      <c r="J793" s="202">
        <f>IF($A793="","",IFERROR(DATE(LEFT(TEXT(INDEX('05_KAPA'!$T:$T,$A793),"0"),4),MID(TEXT(INDEX('05_KAPA'!$T:$T,$A793),"0"),5,2),RIGHT(TEXT(INDEX('05_KAPA'!$T:$T,$A793),"0"),2)),""))</f>
        <v/>
      </c>
      <c r="K793">
        <f>IF(C793="","",IF('02_대상물건입력'!$B$5="",1,IF(ISNUMBER(SEARCH('02_대상물건입력'!$B$5,C793)),1,0)))</f>
        <v/>
      </c>
      <c r="L793">
        <f>IF(C793="","",IF('02_대상물건입력'!$B$6="",1,IF(ISNUMBER(SEARCH('02_대상물건입력'!$B$6,C793)),1,0)))</f>
        <v/>
      </c>
      <c r="M793">
        <f>IF(E793="","",IF('02_대상물건입력'!$B$8="",0,IF(ISNUMBER(SEARCH('02_대상물건입력'!$B$8,E793)),1,0)))</f>
        <v/>
      </c>
      <c r="N793">
        <f>IF(B793="","",IF(B793="담보",1,0))</f>
        <v/>
      </c>
      <c r="O793">
        <f>IFERROR(ABS(G793-'02_대상물건입력'!$B$11)/'02_대상물건입력'!$B$11,"")</f>
        <v/>
      </c>
      <c r="P793">
        <f>IFERROR(ABS('01_설정'!$B$4-H793),"")</f>
        <v/>
      </c>
      <c r="Q793">
        <f>IFERROR(ABS(YEAR(J793)-YEAR('02_대상물건입력'!$B$14)),"")</f>
        <v/>
      </c>
      <c r="R793">
        <f>IF(AND(G793&gt;0,H793&gt;0,I793&gt;0,N793=1,IF('01_설정'!$B$10=1,K793=1,TRUE()),O793&lt;='01_설정'!$B$5,P793&lt;='01_설정'!$B$7,Q793&lt;='01_설정'!$B$8),"Y","")</f>
        <v/>
      </c>
      <c r="S793">
        <f>IF(R793&lt;&gt;"Y","",MAX(0,(1-O793/'01_설정'!$B$5))*'01_설정'!$B$14+MAX(0,(1-P793/'01_설정'!$B$7))*'01_설정'!$B$16+MAX(0,(1-Q793/'01_설정'!$B$8))*'01_설정'!$B$17+L793*'01_설정'!$B$11+M793*'01_설정'!$B$12+N793*50)</f>
        <v/>
      </c>
      <c r="T793">
        <f>IF(S793="","",1+COUNTIFS($S$31:$S$1030,"&gt;"&amp;S793)+COUNTIFS($S$31:S793,S793)-1)</f>
        <v/>
      </c>
    </row>
    <row r="794" hidden="1" ht="16.5" customHeight="1">
      <c r="A794">
        <f>IF(COUNTA('05_KAPA'!$A765:$AO765)=0,"",767)</f>
        <v/>
      </c>
      <c r="B794">
        <f>IF($A794="","",INDEX('05_KAPA'!$B:$B,$A794))</f>
        <v/>
      </c>
      <c r="C794">
        <f>IF($A794="","",INDEX('05_KAPA'!$F:$F,$A794))</f>
        <v/>
      </c>
      <c r="D794">
        <f>IF($A794="","",INDEX('05_KAPA'!$H:$H,$A794))</f>
        <v/>
      </c>
      <c r="E794">
        <f>IF($A794="","",INDEX('05_KAPA'!$K:$K,$A794))</f>
        <v/>
      </c>
      <c r="F794">
        <f>IF($A794="","",INDEX('05_KAPA'!$L:$L,$A794))</f>
        <v/>
      </c>
      <c r="G794">
        <f>IF($A794="","",INDEX('05_KAPA'!$I:$I,$A794))</f>
        <v/>
      </c>
      <c r="H794" s="202">
        <f>IF($A794="","",INDEX('05_KAPA'!$P:$P,$A794))</f>
        <v/>
      </c>
      <c r="I794" s="118">
        <f>IF($A794="","",INDEX('05_KAPA'!$O:$O,$A794))</f>
        <v/>
      </c>
      <c r="J794" s="202">
        <f>IF($A794="","",IFERROR(DATE(LEFT(TEXT(INDEX('05_KAPA'!$T:$T,$A794),"0"),4),MID(TEXT(INDEX('05_KAPA'!$T:$T,$A794),"0"),5,2),RIGHT(TEXT(INDEX('05_KAPA'!$T:$T,$A794),"0"),2)),""))</f>
        <v/>
      </c>
      <c r="K794">
        <f>IF(C794="","",IF('02_대상물건입력'!$B$5="",1,IF(ISNUMBER(SEARCH('02_대상물건입력'!$B$5,C794)),1,0)))</f>
        <v/>
      </c>
      <c r="L794">
        <f>IF(C794="","",IF('02_대상물건입력'!$B$6="",1,IF(ISNUMBER(SEARCH('02_대상물건입력'!$B$6,C794)),1,0)))</f>
        <v/>
      </c>
      <c r="M794">
        <f>IF(E794="","",IF('02_대상물건입력'!$B$8="",0,IF(ISNUMBER(SEARCH('02_대상물건입력'!$B$8,E794)),1,0)))</f>
        <v/>
      </c>
      <c r="N794">
        <f>IF(B794="","",IF(B794="담보",1,0))</f>
        <v/>
      </c>
      <c r="O794">
        <f>IFERROR(ABS(G794-'02_대상물건입력'!$B$11)/'02_대상물건입력'!$B$11,"")</f>
        <v/>
      </c>
      <c r="P794">
        <f>IFERROR(ABS('01_설정'!$B$4-H794),"")</f>
        <v/>
      </c>
      <c r="Q794">
        <f>IFERROR(ABS(YEAR(J794)-YEAR('02_대상물건입력'!$B$14)),"")</f>
        <v/>
      </c>
      <c r="R794">
        <f>IF(AND(G794&gt;0,H794&gt;0,I794&gt;0,N794=1,IF('01_설정'!$B$10=1,K794=1,TRUE()),O794&lt;='01_설정'!$B$5,P794&lt;='01_설정'!$B$7,Q794&lt;='01_설정'!$B$8),"Y","")</f>
        <v/>
      </c>
      <c r="S794">
        <f>IF(R794&lt;&gt;"Y","",MAX(0,(1-O794/'01_설정'!$B$5))*'01_설정'!$B$14+MAX(0,(1-P794/'01_설정'!$B$7))*'01_설정'!$B$16+MAX(0,(1-Q794/'01_설정'!$B$8))*'01_설정'!$B$17+L794*'01_설정'!$B$11+M794*'01_설정'!$B$12+N794*50)</f>
        <v/>
      </c>
      <c r="T794">
        <f>IF(S794="","",1+COUNTIFS($S$31:$S$1030,"&gt;"&amp;S794)+COUNTIFS($S$31:S794,S794)-1)</f>
        <v/>
      </c>
    </row>
    <row r="795" hidden="1" ht="16.5" customHeight="1">
      <c r="A795">
        <f>IF(COUNTA('05_KAPA'!$A766:$AO766)=0,"",768)</f>
        <v/>
      </c>
      <c r="B795">
        <f>IF($A795="","",INDEX('05_KAPA'!$B:$B,$A795))</f>
        <v/>
      </c>
      <c r="C795">
        <f>IF($A795="","",INDEX('05_KAPA'!$F:$F,$A795))</f>
        <v/>
      </c>
      <c r="D795">
        <f>IF($A795="","",INDEX('05_KAPA'!$H:$H,$A795))</f>
        <v/>
      </c>
      <c r="E795">
        <f>IF($A795="","",INDEX('05_KAPA'!$K:$K,$A795))</f>
        <v/>
      </c>
      <c r="F795">
        <f>IF($A795="","",INDEX('05_KAPA'!$L:$L,$A795))</f>
        <v/>
      </c>
      <c r="G795">
        <f>IF($A795="","",INDEX('05_KAPA'!$I:$I,$A795))</f>
        <v/>
      </c>
      <c r="H795" s="202">
        <f>IF($A795="","",INDEX('05_KAPA'!$P:$P,$A795))</f>
        <v/>
      </c>
      <c r="I795" s="118">
        <f>IF($A795="","",INDEX('05_KAPA'!$O:$O,$A795))</f>
        <v/>
      </c>
      <c r="J795" s="202">
        <f>IF($A795="","",IFERROR(DATE(LEFT(TEXT(INDEX('05_KAPA'!$T:$T,$A795),"0"),4),MID(TEXT(INDEX('05_KAPA'!$T:$T,$A795),"0"),5,2),RIGHT(TEXT(INDEX('05_KAPA'!$T:$T,$A795),"0"),2)),""))</f>
        <v/>
      </c>
      <c r="K795">
        <f>IF(C795="","",IF('02_대상물건입력'!$B$5="",1,IF(ISNUMBER(SEARCH('02_대상물건입력'!$B$5,C795)),1,0)))</f>
        <v/>
      </c>
      <c r="L795">
        <f>IF(C795="","",IF('02_대상물건입력'!$B$6="",1,IF(ISNUMBER(SEARCH('02_대상물건입력'!$B$6,C795)),1,0)))</f>
        <v/>
      </c>
      <c r="M795">
        <f>IF(E795="","",IF('02_대상물건입력'!$B$8="",0,IF(ISNUMBER(SEARCH('02_대상물건입력'!$B$8,E795)),1,0)))</f>
        <v/>
      </c>
      <c r="N795">
        <f>IF(B795="","",IF(B795="담보",1,0))</f>
        <v/>
      </c>
      <c r="O795">
        <f>IFERROR(ABS(G795-'02_대상물건입력'!$B$11)/'02_대상물건입력'!$B$11,"")</f>
        <v/>
      </c>
      <c r="P795">
        <f>IFERROR(ABS('01_설정'!$B$4-H795),"")</f>
        <v/>
      </c>
      <c r="Q795">
        <f>IFERROR(ABS(YEAR(J795)-YEAR('02_대상물건입력'!$B$14)),"")</f>
        <v/>
      </c>
      <c r="R795">
        <f>IF(AND(G795&gt;0,H795&gt;0,I795&gt;0,N795=1,IF('01_설정'!$B$10=1,K795=1,TRUE()),O795&lt;='01_설정'!$B$5,P795&lt;='01_설정'!$B$7,Q795&lt;='01_설정'!$B$8),"Y","")</f>
        <v/>
      </c>
      <c r="S795">
        <f>IF(R795&lt;&gt;"Y","",MAX(0,(1-O795/'01_설정'!$B$5))*'01_설정'!$B$14+MAX(0,(1-P795/'01_설정'!$B$7))*'01_설정'!$B$16+MAX(0,(1-Q795/'01_설정'!$B$8))*'01_설정'!$B$17+L795*'01_설정'!$B$11+M795*'01_설정'!$B$12+N795*50)</f>
        <v/>
      </c>
      <c r="T795">
        <f>IF(S795="","",1+COUNTIFS($S$31:$S$1030,"&gt;"&amp;S795)+COUNTIFS($S$31:S795,S795)-1)</f>
        <v/>
      </c>
    </row>
    <row r="796" hidden="1" ht="16.5" customHeight="1">
      <c r="A796">
        <f>IF(COUNTA('05_KAPA'!$A767:$AO767)=0,"",769)</f>
        <v/>
      </c>
      <c r="B796">
        <f>IF($A796="","",INDEX('05_KAPA'!$B:$B,$A796))</f>
        <v/>
      </c>
      <c r="C796">
        <f>IF($A796="","",INDEX('05_KAPA'!$F:$F,$A796))</f>
        <v/>
      </c>
      <c r="D796">
        <f>IF($A796="","",INDEX('05_KAPA'!$H:$H,$A796))</f>
        <v/>
      </c>
      <c r="E796">
        <f>IF($A796="","",INDEX('05_KAPA'!$K:$K,$A796))</f>
        <v/>
      </c>
      <c r="F796">
        <f>IF($A796="","",INDEX('05_KAPA'!$L:$L,$A796))</f>
        <v/>
      </c>
      <c r="G796">
        <f>IF($A796="","",INDEX('05_KAPA'!$I:$I,$A796))</f>
        <v/>
      </c>
      <c r="H796" s="202">
        <f>IF($A796="","",INDEX('05_KAPA'!$P:$P,$A796))</f>
        <v/>
      </c>
      <c r="I796" s="118">
        <f>IF($A796="","",INDEX('05_KAPA'!$O:$O,$A796))</f>
        <v/>
      </c>
      <c r="J796" s="202">
        <f>IF($A796="","",IFERROR(DATE(LEFT(TEXT(INDEX('05_KAPA'!$T:$T,$A796),"0"),4),MID(TEXT(INDEX('05_KAPA'!$T:$T,$A796),"0"),5,2),RIGHT(TEXT(INDEX('05_KAPA'!$T:$T,$A796),"0"),2)),""))</f>
        <v/>
      </c>
      <c r="K796">
        <f>IF(C796="","",IF('02_대상물건입력'!$B$5="",1,IF(ISNUMBER(SEARCH('02_대상물건입력'!$B$5,C796)),1,0)))</f>
        <v/>
      </c>
      <c r="L796">
        <f>IF(C796="","",IF('02_대상물건입력'!$B$6="",1,IF(ISNUMBER(SEARCH('02_대상물건입력'!$B$6,C796)),1,0)))</f>
        <v/>
      </c>
      <c r="M796">
        <f>IF(E796="","",IF('02_대상물건입력'!$B$8="",0,IF(ISNUMBER(SEARCH('02_대상물건입력'!$B$8,E796)),1,0)))</f>
        <v/>
      </c>
      <c r="N796">
        <f>IF(B796="","",IF(B796="담보",1,0))</f>
        <v/>
      </c>
      <c r="O796">
        <f>IFERROR(ABS(G796-'02_대상물건입력'!$B$11)/'02_대상물건입력'!$B$11,"")</f>
        <v/>
      </c>
      <c r="P796">
        <f>IFERROR(ABS('01_설정'!$B$4-H796),"")</f>
        <v/>
      </c>
      <c r="Q796">
        <f>IFERROR(ABS(YEAR(J796)-YEAR('02_대상물건입력'!$B$14)),"")</f>
        <v/>
      </c>
      <c r="R796">
        <f>IF(AND(G796&gt;0,H796&gt;0,I796&gt;0,N796=1,IF('01_설정'!$B$10=1,K796=1,TRUE()),O796&lt;='01_설정'!$B$5,P796&lt;='01_설정'!$B$7,Q796&lt;='01_설정'!$B$8),"Y","")</f>
        <v/>
      </c>
      <c r="S796">
        <f>IF(R796&lt;&gt;"Y","",MAX(0,(1-O796/'01_설정'!$B$5))*'01_설정'!$B$14+MAX(0,(1-P796/'01_설정'!$B$7))*'01_설정'!$B$16+MAX(0,(1-Q796/'01_설정'!$B$8))*'01_설정'!$B$17+L796*'01_설정'!$B$11+M796*'01_설정'!$B$12+N796*50)</f>
        <v/>
      </c>
      <c r="T796">
        <f>IF(S796="","",1+COUNTIFS($S$31:$S$1030,"&gt;"&amp;S796)+COUNTIFS($S$31:S796,S796)-1)</f>
        <v/>
      </c>
    </row>
    <row r="797" hidden="1" ht="16.5" customHeight="1">
      <c r="A797">
        <f>IF(COUNTA('05_KAPA'!$A768:$AO768)=0,"",770)</f>
        <v/>
      </c>
      <c r="B797">
        <f>IF($A797="","",INDEX('05_KAPA'!$B:$B,$A797))</f>
        <v/>
      </c>
      <c r="C797">
        <f>IF($A797="","",INDEX('05_KAPA'!$F:$F,$A797))</f>
        <v/>
      </c>
      <c r="D797">
        <f>IF($A797="","",INDEX('05_KAPA'!$H:$H,$A797))</f>
        <v/>
      </c>
      <c r="E797">
        <f>IF($A797="","",INDEX('05_KAPA'!$K:$K,$A797))</f>
        <v/>
      </c>
      <c r="F797">
        <f>IF($A797="","",INDEX('05_KAPA'!$L:$L,$A797))</f>
        <v/>
      </c>
      <c r="G797">
        <f>IF($A797="","",INDEX('05_KAPA'!$I:$I,$A797))</f>
        <v/>
      </c>
      <c r="H797" s="202">
        <f>IF($A797="","",INDEX('05_KAPA'!$P:$P,$A797))</f>
        <v/>
      </c>
      <c r="I797" s="118">
        <f>IF($A797="","",INDEX('05_KAPA'!$O:$O,$A797))</f>
        <v/>
      </c>
      <c r="J797" s="202">
        <f>IF($A797="","",IFERROR(DATE(LEFT(TEXT(INDEX('05_KAPA'!$T:$T,$A797),"0"),4),MID(TEXT(INDEX('05_KAPA'!$T:$T,$A797),"0"),5,2),RIGHT(TEXT(INDEX('05_KAPA'!$T:$T,$A797),"0"),2)),""))</f>
        <v/>
      </c>
      <c r="K797">
        <f>IF(C797="","",IF('02_대상물건입력'!$B$5="",1,IF(ISNUMBER(SEARCH('02_대상물건입력'!$B$5,C797)),1,0)))</f>
        <v/>
      </c>
      <c r="L797">
        <f>IF(C797="","",IF('02_대상물건입력'!$B$6="",1,IF(ISNUMBER(SEARCH('02_대상물건입력'!$B$6,C797)),1,0)))</f>
        <v/>
      </c>
      <c r="M797">
        <f>IF(E797="","",IF('02_대상물건입력'!$B$8="",0,IF(ISNUMBER(SEARCH('02_대상물건입력'!$B$8,E797)),1,0)))</f>
        <v/>
      </c>
      <c r="N797">
        <f>IF(B797="","",IF(B797="담보",1,0))</f>
        <v/>
      </c>
      <c r="O797">
        <f>IFERROR(ABS(G797-'02_대상물건입력'!$B$11)/'02_대상물건입력'!$B$11,"")</f>
        <v/>
      </c>
      <c r="P797">
        <f>IFERROR(ABS('01_설정'!$B$4-H797),"")</f>
        <v/>
      </c>
      <c r="Q797">
        <f>IFERROR(ABS(YEAR(J797)-YEAR('02_대상물건입력'!$B$14)),"")</f>
        <v/>
      </c>
      <c r="R797">
        <f>IF(AND(G797&gt;0,H797&gt;0,I797&gt;0,N797=1,IF('01_설정'!$B$10=1,K797=1,TRUE()),O797&lt;='01_설정'!$B$5,P797&lt;='01_설정'!$B$7,Q797&lt;='01_설정'!$B$8),"Y","")</f>
        <v/>
      </c>
      <c r="S797">
        <f>IF(R797&lt;&gt;"Y","",MAX(0,(1-O797/'01_설정'!$B$5))*'01_설정'!$B$14+MAX(0,(1-P797/'01_설정'!$B$7))*'01_설정'!$B$16+MAX(0,(1-Q797/'01_설정'!$B$8))*'01_설정'!$B$17+L797*'01_설정'!$B$11+M797*'01_설정'!$B$12+N797*50)</f>
        <v/>
      </c>
      <c r="T797">
        <f>IF(S797="","",1+COUNTIFS($S$31:$S$1030,"&gt;"&amp;S797)+COUNTIFS($S$31:S797,S797)-1)</f>
        <v/>
      </c>
    </row>
    <row r="798" hidden="1" ht="16.5" customHeight="1">
      <c r="A798">
        <f>IF(COUNTA('05_KAPA'!$A769:$AO769)=0,"",771)</f>
        <v/>
      </c>
      <c r="B798">
        <f>IF($A798="","",INDEX('05_KAPA'!$B:$B,$A798))</f>
        <v/>
      </c>
      <c r="C798">
        <f>IF($A798="","",INDEX('05_KAPA'!$F:$F,$A798))</f>
        <v/>
      </c>
      <c r="D798">
        <f>IF($A798="","",INDEX('05_KAPA'!$H:$H,$A798))</f>
        <v/>
      </c>
      <c r="E798">
        <f>IF($A798="","",INDEX('05_KAPA'!$K:$K,$A798))</f>
        <v/>
      </c>
      <c r="F798">
        <f>IF($A798="","",INDEX('05_KAPA'!$L:$L,$A798))</f>
        <v/>
      </c>
      <c r="G798">
        <f>IF($A798="","",INDEX('05_KAPA'!$I:$I,$A798))</f>
        <v/>
      </c>
      <c r="H798" s="202">
        <f>IF($A798="","",INDEX('05_KAPA'!$P:$P,$A798))</f>
        <v/>
      </c>
      <c r="I798" s="118">
        <f>IF($A798="","",INDEX('05_KAPA'!$O:$O,$A798))</f>
        <v/>
      </c>
      <c r="J798" s="202">
        <f>IF($A798="","",IFERROR(DATE(LEFT(TEXT(INDEX('05_KAPA'!$T:$T,$A798),"0"),4),MID(TEXT(INDEX('05_KAPA'!$T:$T,$A798),"0"),5,2),RIGHT(TEXT(INDEX('05_KAPA'!$T:$T,$A798),"0"),2)),""))</f>
        <v/>
      </c>
      <c r="K798">
        <f>IF(C798="","",IF('02_대상물건입력'!$B$5="",1,IF(ISNUMBER(SEARCH('02_대상물건입력'!$B$5,C798)),1,0)))</f>
        <v/>
      </c>
      <c r="L798">
        <f>IF(C798="","",IF('02_대상물건입력'!$B$6="",1,IF(ISNUMBER(SEARCH('02_대상물건입력'!$B$6,C798)),1,0)))</f>
        <v/>
      </c>
      <c r="M798">
        <f>IF(E798="","",IF('02_대상물건입력'!$B$8="",0,IF(ISNUMBER(SEARCH('02_대상물건입력'!$B$8,E798)),1,0)))</f>
        <v/>
      </c>
      <c r="N798">
        <f>IF(B798="","",IF(B798="담보",1,0))</f>
        <v/>
      </c>
      <c r="O798">
        <f>IFERROR(ABS(G798-'02_대상물건입력'!$B$11)/'02_대상물건입력'!$B$11,"")</f>
        <v/>
      </c>
      <c r="P798">
        <f>IFERROR(ABS('01_설정'!$B$4-H798),"")</f>
        <v/>
      </c>
      <c r="Q798">
        <f>IFERROR(ABS(YEAR(J798)-YEAR('02_대상물건입력'!$B$14)),"")</f>
        <v/>
      </c>
      <c r="R798">
        <f>IF(AND(G798&gt;0,H798&gt;0,I798&gt;0,N798=1,IF('01_설정'!$B$10=1,K798=1,TRUE()),O798&lt;='01_설정'!$B$5,P798&lt;='01_설정'!$B$7,Q798&lt;='01_설정'!$B$8),"Y","")</f>
        <v/>
      </c>
      <c r="S798">
        <f>IF(R798&lt;&gt;"Y","",MAX(0,(1-O798/'01_설정'!$B$5))*'01_설정'!$B$14+MAX(0,(1-P798/'01_설정'!$B$7))*'01_설정'!$B$16+MAX(0,(1-Q798/'01_설정'!$B$8))*'01_설정'!$B$17+L798*'01_설정'!$B$11+M798*'01_설정'!$B$12+N798*50)</f>
        <v/>
      </c>
      <c r="T798">
        <f>IF(S798="","",1+COUNTIFS($S$31:$S$1030,"&gt;"&amp;S798)+COUNTIFS($S$31:S798,S798)-1)</f>
        <v/>
      </c>
    </row>
    <row r="799" hidden="1" ht="16.5" customHeight="1">
      <c r="A799">
        <f>IF(COUNTA('05_KAPA'!$A770:$AO770)=0,"",772)</f>
        <v/>
      </c>
      <c r="B799">
        <f>IF($A799="","",INDEX('05_KAPA'!$B:$B,$A799))</f>
        <v/>
      </c>
      <c r="C799">
        <f>IF($A799="","",INDEX('05_KAPA'!$F:$F,$A799))</f>
        <v/>
      </c>
      <c r="D799">
        <f>IF($A799="","",INDEX('05_KAPA'!$H:$H,$A799))</f>
        <v/>
      </c>
      <c r="E799">
        <f>IF($A799="","",INDEX('05_KAPA'!$K:$K,$A799))</f>
        <v/>
      </c>
      <c r="F799">
        <f>IF($A799="","",INDEX('05_KAPA'!$L:$L,$A799))</f>
        <v/>
      </c>
      <c r="G799">
        <f>IF($A799="","",INDEX('05_KAPA'!$I:$I,$A799))</f>
        <v/>
      </c>
      <c r="H799" s="202">
        <f>IF($A799="","",INDEX('05_KAPA'!$P:$P,$A799))</f>
        <v/>
      </c>
      <c r="I799" s="118">
        <f>IF($A799="","",INDEX('05_KAPA'!$O:$O,$A799))</f>
        <v/>
      </c>
      <c r="J799" s="202">
        <f>IF($A799="","",IFERROR(DATE(LEFT(TEXT(INDEX('05_KAPA'!$T:$T,$A799),"0"),4),MID(TEXT(INDEX('05_KAPA'!$T:$T,$A799),"0"),5,2),RIGHT(TEXT(INDEX('05_KAPA'!$T:$T,$A799),"0"),2)),""))</f>
        <v/>
      </c>
      <c r="K799">
        <f>IF(C799="","",IF('02_대상물건입력'!$B$5="",1,IF(ISNUMBER(SEARCH('02_대상물건입력'!$B$5,C799)),1,0)))</f>
        <v/>
      </c>
      <c r="L799">
        <f>IF(C799="","",IF('02_대상물건입력'!$B$6="",1,IF(ISNUMBER(SEARCH('02_대상물건입력'!$B$6,C799)),1,0)))</f>
        <v/>
      </c>
      <c r="M799">
        <f>IF(E799="","",IF('02_대상물건입력'!$B$8="",0,IF(ISNUMBER(SEARCH('02_대상물건입력'!$B$8,E799)),1,0)))</f>
        <v/>
      </c>
      <c r="N799">
        <f>IF(B799="","",IF(B799="담보",1,0))</f>
        <v/>
      </c>
      <c r="O799">
        <f>IFERROR(ABS(G799-'02_대상물건입력'!$B$11)/'02_대상물건입력'!$B$11,"")</f>
        <v/>
      </c>
      <c r="P799">
        <f>IFERROR(ABS('01_설정'!$B$4-H799),"")</f>
        <v/>
      </c>
      <c r="Q799">
        <f>IFERROR(ABS(YEAR(J799)-YEAR('02_대상물건입력'!$B$14)),"")</f>
        <v/>
      </c>
      <c r="R799">
        <f>IF(AND(G799&gt;0,H799&gt;0,I799&gt;0,N799=1,IF('01_설정'!$B$10=1,K799=1,TRUE()),O799&lt;='01_설정'!$B$5,P799&lt;='01_설정'!$B$7,Q799&lt;='01_설정'!$B$8),"Y","")</f>
        <v/>
      </c>
      <c r="S799">
        <f>IF(R799&lt;&gt;"Y","",MAX(0,(1-O799/'01_설정'!$B$5))*'01_설정'!$B$14+MAX(0,(1-P799/'01_설정'!$B$7))*'01_설정'!$B$16+MAX(0,(1-Q799/'01_설정'!$B$8))*'01_설정'!$B$17+L799*'01_설정'!$B$11+M799*'01_설정'!$B$12+N799*50)</f>
        <v/>
      </c>
      <c r="T799">
        <f>IF(S799="","",1+COUNTIFS($S$31:$S$1030,"&gt;"&amp;S799)+COUNTIFS($S$31:S799,S799)-1)</f>
        <v/>
      </c>
    </row>
    <row r="800" hidden="1" ht="16.5" customHeight="1">
      <c r="A800">
        <f>IF(COUNTA('05_KAPA'!$A771:$AO771)=0,"",773)</f>
        <v/>
      </c>
      <c r="B800">
        <f>IF($A800="","",INDEX('05_KAPA'!$B:$B,$A800))</f>
        <v/>
      </c>
      <c r="C800">
        <f>IF($A800="","",INDEX('05_KAPA'!$F:$F,$A800))</f>
        <v/>
      </c>
      <c r="D800">
        <f>IF($A800="","",INDEX('05_KAPA'!$H:$H,$A800))</f>
        <v/>
      </c>
      <c r="E800">
        <f>IF($A800="","",INDEX('05_KAPA'!$K:$K,$A800))</f>
        <v/>
      </c>
      <c r="F800">
        <f>IF($A800="","",INDEX('05_KAPA'!$L:$L,$A800))</f>
        <v/>
      </c>
      <c r="G800">
        <f>IF($A800="","",INDEX('05_KAPA'!$I:$I,$A800))</f>
        <v/>
      </c>
      <c r="H800" s="202">
        <f>IF($A800="","",INDEX('05_KAPA'!$P:$P,$A800))</f>
        <v/>
      </c>
      <c r="I800" s="118">
        <f>IF($A800="","",INDEX('05_KAPA'!$O:$O,$A800))</f>
        <v/>
      </c>
      <c r="J800" s="202">
        <f>IF($A800="","",IFERROR(DATE(LEFT(TEXT(INDEX('05_KAPA'!$T:$T,$A800),"0"),4),MID(TEXT(INDEX('05_KAPA'!$T:$T,$A800),"0"),5,2),RIGHT(TEXT(INDEX('05_KAPA'!$T:$T,$A800),"0"),2)),""))</f>
        <v/>
      </c>
      <c r="K800">
        <f>IF(C800="","",IF('02_대상물건입력'!$B$5="",1,IF(ISNUMBER(SEARCH('02_대상물건입력'!$B$5,C800)),1,0)))</f>
        <v/>
      </c>
      <c r="L800">
        <f>IF(C800="","",IF('02_대상물건입력'!$B$6="",1,IF(ISNUMBER(SEARCH('02_대상물건입력'!$B$6,C800)),1,0)))</f>
        <v/>
      </c>
      <c r="M800">
        <f>IF(E800="","",IF('02_대상물건입력'!$B$8="",0,IF(ISNUMBER(SEARCH('02_대상물건입력'!$B$8,E800)),1,0)))</f>
        <v/>
      </c>
      <c r="N800">
        <f>IF(B800="","",IF(B800="담보",1,0))</f>
        <v/>
      </c>
      <c r="O800">
        <f>IFERROR(ABS(G800-'02_대상물건입력'!$B$11)/'02_대상물건입력'!$B$11,"")</f>
        <v/>
      </c>
      <c r="P800">
        <f>IFERROR(ABS('01_설정'!$B$4-H800),"")</f>
        <v/>
      </c>
      <c r="Q800">
        <f>IFERROR(ABS(YEAR(J800)-YEAR('02_대상물건입력'!$B$14)),"")</f>
        <v/>
      </c>
      <c r="R800">
        <f>IF(AND(G800&gt;0,H800&gt;0,I800&gt;0,N800=1,IF('01_설정'!$B$10=1,K800=1,TRUE()),O800&lt;='01_설정'!$B$5,P800&lt;='01_설정'!$B$7,Q800&lt;='01_설정'!$B$8),"Y","")</f>
        <v/>
      </c>
      <c r="S800">
        <f>IF(R800&lt;&gt;"Y","",MAX(0,(1-O800/'01_설정'!$B$5))*'01_설정'!$B$14+MAX(0,(1-P800/'01_설정'!$B$7))*'01_설정'!$B$16+MAX(0,(1-Q800/'01_설정'!$B$8))*'01_설정'!$B$17+L800*'01_설정'!$B$11+M800*'01_설정'!$B$12+N800*50)</f>
        <v/>
      </c>
      <c r="T800">
        <f>IF(S800="","",1+COUNTIFS($S$31:$S$1030,"&gt;"&amp;S800)+COUNTIFS($S$31:S800,S800)-1)</f>
        <v/>
      </c>
    </row>
    <row r="801" hidden="1" ht="16.5" customHeight="1">
      <c r="A801">
        <f>IF(COUNTA('05_KAPA'!$A772:$AO772)=0,"",774)</f>
        <v/>
      </c>
      <c r="B801">
        <f>IF($A801="","",INDEX('05_KAPA'!$B:$B,$A801))</f>
        <v/>
      </c>
      <c r="C801">
        <f>IF($A801="","",INDEX('05_KAPA'!$F:$F,$A801))</f>
        <v/>
      </c>
      <c r="D801">
        <f>IF($A801="","",INDEX('05_KAPA'!$H:$H,$A801))</f>
        <v/>
      </c>
      <c r="E801">
        <f>IF($A801="","",INDEX('05_KAPA'!$K:$K,$A801))</f>
        <v/>
      </c>
      <c r="F801">
        <f>IF($A801="","",INDEX('05_KAPA'!$L:$L,$A801))</f>
        <v/>
      </c>
      <c r="G801">
        <f>IF($A801="","",INDEX('05_KAPA'!$I:$I,$A801))</f>
        <v/>
      </c>
      <c r="H801" s="202">
        <f>IF($A801="","",INDEX('05_KAPA'!$P:$P,$A801))</f>
        <v/>
      </c>
      <c r="I801" s="118">
        <f>IF($A801="","",INDEX('05_KAPA'!$O:$O,$A801))</f>
        <v/>
      </c>
      <c r="J801" s="202">
        <f>IF($A801="","",IFERROR(DATE(LEFT(TEXT(INDEX('05_KAPA'!$T:$T,$A801),"0"),4),MID(TEXT(INDEX('05_KAPA'!$T:$T,$A801),"0"),5,2),RIGHT(TEXT(INDEX('05_KAPA'!$T:$T,$A801),"0"),2)),""))</f>
        <v/>
      </c>
      <c r="K801">
        <f>IF(C801="","",IF('02_대상물건입력'!$B$5="",1,IF(ISNUMBER(SEARCH('02_대상물건입력'!$B$5,C801)),1,0)))</f>
        <v/>
      </c>
      <c r="L801">
        <f>IF(C801="","",IF('02_대상물건입력'!$B$6="",1,IF(ISNUMBER(SEARCH('02_대상물건입력'!$B$6,C801)),1,0)))</f>
        <v/>
      </c>
      <c r="M801">
        <f>IF(E801="","",IF('02_대상물건입력'!$B$8="",0,IF(ISNUMBER(SEARCH('02_대상물건입력'!$B$8,E801)),1,0)))</f>
        <v/>
      </c>
      <c r="N801">
        <f>IF(B801="","",IF(B801="담보",1,0))</f>
        <v/>
      </c>
      <c r="O801">
        <f>IFERROR(ABS(G801-'02_대상물건입력'!$B$11)/'02_대상물건입력'!$B$11,"")</f>
        <v/>
      </c>
      <c r="P801">
        <f>IFERROR(ABS('01_설정'!$B$4-H801),"")</f>
        <v/>
      </c>
      <c r="Q801">
        <f>IFERROR(ABS(YEAR(J801)-YEAR('02_대상물건입력'!$B$14)),"")</f>
        <v/>
      </c>
      <c r="R801">
        <f>IF(AND(G801&gt;0,H801&gt;0,I801&gt;0,N801=1,IF('01_설정'!$B$10=1,K801=1,TRUE()),O801&lt;='01_설정'!$B$5,P801&lt;='01_설정'!$B$7,Q801&lt;='01_설정'!$B$8),"Y","")</f>
        <v/>
      </c>
      <c r="S801">
        <f>IF(R801&lt;&gt;"Y","",MAX(0,(1-O801/'01_설정'!$B$5))*'01_설정'!$B$14+MAX(0,(1-P801/'01_설정'!$B$7))*'01_설정'!$B$16+MAX(0,(1-Q801/'01_설정'!$B$8))*'01_설정'!$B$17+L801*'01_설정'!$B$11+M801*'01_설정'!$B$12+N801*50)</f>
        <v/>
      </c>
      <c r="T801">
        <f>IF(S801="","",1+COUNTIFS($S$31:$S$1030,"&gt;"&amp;S801)+COUNTIFS($S$31:S801,S801)-1)</f>
        <v/>
      </c>
    </row>
    <row r="802" hidden="1" ht="16.5" customHeight="1">
      <c r="A802">
        <f>IF(COUNTA('05_KAPA'!$A773:$AO773)=0,"",775)</f>
        <v/>
      </c>
      <c r="B802">
        <f>IF($A802="","",INDEX('05_KAPA'!$B:$B,$A802))</f>
        <v/>
      </c>
      <c r="C802">
        <f>IF($A802="","",INDEX('05_KAPA'!$F:$F,$A802))</f>
        <v/>
      </c>
      <c r="D802">
        <f>IF($A802="","",INDEX('05_KAPA'!$H:$H,$A802))</f>
        <v/>
      </c>
      <c r="E802">
        <f>IF($A802="","",INDEX('05_KAPA'!$K:$K,$A802))</f>
        <v/>
      </c>
      <c r="F802">
        <f>IF($A802="","",INDEX('05_KAPA'!$L:$L,$A802))</f>
        <v/>
      </c>
      <c r="G802">
        <f>IF($A802="","",INDEX('05_KAPA'!$I:$I,$A802))</f>
        <v/>
      </c>
      <c r="H802" s="202">
        <f>IF($A802="","",INDEX('05_KAPA'!$P:$P,$A802))</f>
        <v/>
      </c>
      <c r="I802" s="118">
        <f>IF($A802="","",INDEX('05_KAPA'!$O:$O,$A802))</f>
        <v/>
      </c>
      <c r="J802" s="202">
        <f>IF($A802="","",IFERROR(DATE(LEFT(TEXT(INDEX('05_KAPA'!$T:$T,$A802),"0"),4),MID(TEXT(INDEX('05_KAPA'!$T:$T,$A802),"0"),5,2),RIGHT(TEXT(INDEX('05_KAPA'!$T:$T,$A802),"0"),2)),""))</f>
        <v/>
      </c>
      <c r="K802">
        <f>IF(C802="","",IF('02_대상물건입력'!$B$5="",1,IF(ISNUMBER(SEARCH('02_대상물건입력'!$B$5,C802)),1,0)))</f>
        <v/>
      </c>
      <c r="L802">
        <f>IF(C802="","",IF('02_대상물건입력'!$B$6="",1,IF(ISNUMBER(SEARCH('02_대상물건입력'!$B$6,C802)),1,0)))</f>
        <v/>
      </c>
      <c r="M802">
        <f>IF(E802="","",IF('02_대상물건입력'!$B$8="",0,IF(ISNUMBER(SEARCH('02_대상물건입력'!$B$8,E802)),1,0)))</f>
        <v/>
      </c>
      <c r="N802">
        <f>IF(B802="","",IF(B802="담보",1,0))</f>
        <v/>
      </c>
      <c r="O802">
        <f>IFERROR(ABS(G802-'02_대상물건입력'!$B$11)/'02_대상물건입력'!$B$11,"")</f>
        <v/>
      </c>
      <c r="P802">
        <f>IFERROR(ABS('01_설정'!$B$4-H802),"")</f>
        <v/>
      </c>
      <c r="Q802">
        <f>IFERROR(ABS(YEAR(J802)-YEAR('02_대상물건입력'!$B$14)),"")</f>
        <v/>
      </c>
      <c r="R802">
        <f>IF(AND(G802&gt;0,H802&gt;0,I802&gt;0,N802=1,IF('01_설정'!$B$10=1,K802=1,TRUE()),O802&lt;='01_설정'!$B$5,P802&lt;='01_설정'!$B$7,Q802&lt;='01_설정'!$B$8),"Y","")</f>
        <v/>
      </c>
      <c r="S802">
        <f>IF(R802&lt;&gt;"Y","",MAX(0,(1-O802/'01_설정'!$B$5))*'01_설정'!$B$14+MAX(0,(1-P802/'01_설정'!$B$7))*'01_설정'!$B$16+MAX(0,(1-Q802/'01_설정'!$B$8))*'01_설정'!$B$17+L802*'01_설정'!$B$11+M802*'01_설정'!$B$12+N802*50)</f>
        <v/>
      </c>
      <c r="T802">
        <f>IF(S802="","",1+COUNTIFS($S$31:$S$1030,"&gt;"&amp;S802)+COUNTIFS($S$31:S802,S802)-1)</f>
        <v/>
      </c>
    </row>
    <row r="803" hidden="1" ht="16.5" customHeight="1">
      <c r="A803">
        <f>IF(COUNTA('05_KAPA'!$A774:$AO774)=0,"",776)</f>
        <v/>
      </c>
      <c r="B803">
        <f>IF($A803="","",INDEX('05_KAPA'!$B:$B,$A803))</f>
        <v/>
      </c>
      <c r="C803">
        <f>IF($A803="","",INDEX('05_KAPA'!$F:$F,$A803))</f>
        <v/>
      </c>
      <c r="D803">
        <f>IF($A803="","",INDEX('05_KAPA'!$H:$H,$A803))</f>
        <v/>
      </c>
      <c r="E803">
        <f>IF($A803="","",INDEX('05_KAPA'!$K:$K,$A803))</f>
        <v/>
      </c>
      <c r="F803">
        <f>IF($A803="","",INDEX('05_KAPA'!$L:$L,$A803))</f>
        <v/>
      </c>
      <c r="G803">
        <f>IF($A803="","",INDEX('05_KAPA'!$I:$I,$A803))</f>
        <v/>
      </c>
      <c r="H803" s="202">
        <f>IF($A803="","",INDEX('05_KAPA'!$P:$P,$A803))</f>
        <v/>
      </c>
      <c r="I803" s="118">
        <f>IF($A803="","",INDEX('05_KAPA'!$O:$O,$A803))</f>
        <v/>
      </c>
      <c r="J803" s="202">
        <f>IF($A803="","",IFERROR(DATE(LEFT(TEXT(INDEX('05_KAPA'!$T:$T,$A803),"0"),4),MID(TEXT(INDEX('05_KAPA'!$T:$T,$A803),"0"),5,2),RIGHT(TEXT(INDEX('05_KAPA'!$T:$T,$A803),"0"),2)),""))</f>
        <v/>
      </c>
      <c r="K803">
        <f>IF(C803="","",IF('02_대상물건입력'!$B$5="",1,IF(ISNUMBER(SEARCH('02_대상물건입력'!$B$5,C803)),1,0)))</f>
        <v/>
      </c>
      <c r="L803">
        <f>IF(C803="","",IF('02_대상물건입력'!$B$6="",1,IF(ISNUMBER(SEARCH('02_대상물건입력'!$B$6,C803)),1,0)))</f>
        <v/>
      </c>
      <c r="M803">
        <f>IF(E803="","",IF('02_대상물건입력'!$B$8="",0,IF(ISNUMBER(SEARCH('02_대상물건입력'!$B$8,E803)),1,0)))</f>
        <v/>
      </c>
      <c r="N803">
        <f>IF(B803="","",IF(B803="담보",1,0))</f>
        <v/>
      </c>
      <c r="O803">
        <f>IFERROR(ABS(G803-'02_대상물건입력'!$B$11)/'02_대상물건입력'!$B$11,"")</f>
        <v/>
      </c>
      <c r="P803">
        <f>IFERROR(ABS('01_설정'!$B$4-H803),"")</f>
        <v/>
      </c>
      <c r="Q803">
        <f>IFERROR(ABS(YEAR(J803)-YEAR('02_대상물건입력'!$B$14)),"")</f>
        <v/>
      </c>
      <c r="R803">
        <f>IF(AND(G803&gt;0,H803&gt;0,I803&gt;0,N803=1,IF('01_설정'!$B$10=1,K803=1,TRUE()),O803&lt;='01_설정'!$B$5,P803&lt;='01_설정'!$B$7,Q803&lt;='01_설정'!$B$8),"Y","")</f>
        <v/>
      </c>
      <c r="S803">
        <f>IF(R803&lt;&gt;"Y","",MAX(0,(1-O803/'01_설정'!$B$5))*'01_설정'!$B$14+MAX(0,(1-P803/'01_설정'!$B$7))*'01_설정'!$B$16+MAX(0,(1-Q803/'01_설정'!$B$8))*'01_설정'!$B$17+L803*'01_설정'!$B$11+M803*'01_설정'!$B$12+N803*50)</f>
        <v/>
      </c>
      <c r="T803">
        <f>IF(S803="","",1+COUNTIFS($S$31:$S$1030,"&gt;"&amp;S803)+COUNTIFS($S$31:S803,S803)-1)</f>
        <v/>
      </c>
    </row>
    <row r="804" hidden="1" ht="16.5" customHeight="1">
      <c r="A804">
        <f>IF(COUNTA('05_KAPA'!$A775:$AO775)=0,"",777)</f>
        <v/>
      </c>
      <c r="B804">
        <f>IF($A804="","",INDEX('05_KAPA'!$B:$B,$A804))</f>
        <v/>
      </c>
      <c r="C804">
        <f>IF($A804="","",INDEX('05_KAPA'!$F:$F,$A804))</f>
        <v/>
      </c>
      <c r="D804">
        <f>IF($A804="","",INDEX('05_KAPA'!$H:$H,$A804))</f>
        <v/>
      </c>
      <c r="E804">
        <f>IF($A804="","",INDEX('05_KAPA'!$K:$K,$A804))</f>
        <v/>
      </c>
      <c r="F804">
        <f>IF($A804="","",INDEX('05_KAPA'!$L:$L,$A804))</f>
        <v/>
      </c>
      <c r="G804">
        <f>IF($A804="","",INDEX('05_KAPA'!$I:$I,$A804))</f>
        <v/>
      </c>
      <c r="H804" s="202">
        <f>IF($A804="","",INDEX('05_KAPA'!$P:$P,$A804))</f>
        <v/>
      </c>
      <c r="I804" s="118">
        <f>IF($A804="","",INDEX('05_KAPA'!$O:$O,$A804))</f>
        <v/>
      </c>
      <c r="J804" s="202">
        <f>IF($A804="","",IFERROR(DATE(LEFT(TEXT(INDEX('05_KAPA'!$T:$T,$A804),"0"),4),MID(TEXT(INDEX('05_KAPA'!$T:$T,$A804),"0"),5,2),RIGHT(TEXT(INDEX('05_KAPA'!$T:$T,$A804),"0"),2)),""))</f>
        <v/>
      </c>
      <c r="K804">
        <f>IF(C804="","",IF('02_대상물건입력'!$B$5="",1,IF(ISNUMBER(SEARCH('02_대상물건입력'!$B$5,C804)),1,0)))</f>
        <v/>
      </c>
      <c r="L804">
        <f>IF(C804="","",IF('02_대상물건입력'!$B$6="",1,IF(ISNUMBER(SEARCH('02_대상물건입력'!$B$6,C804)),1,0)))</f>
        <v/>
      </c>
      <c r="M804">
        <f>IF(E804="","",IF('02_대상물건입력'!$B$8="",0,IF(ISNUMBER(SEARCH('02_대상물건입력'!$B$8,E804)),1,0)))</f>
        <v/>
      </c>
      <c r="N804">
        <f>IF(B804="","",IF(B804="담보",1,0))</f>
        <v/>
      </c>
      <c r="O804">
        <f>IFERROR(ABS(G804-'02_대상물건입력'!$B$11)/'02_대상물건입력'!$B$11,"")</f>
        <v/>
      </c>
      <c r="P804">
        <f>IFERROR(ABS('01_설정'!$B$4-H804),"")</f>
        <v/>
      </c>
      <c r="Q804">
        <f>IFERROR(ABS(YEAR(J804)-YEAR('02_대상물건입력'!$B$14)),"")</f>
        <v/>
      </c>
      <c r="R804">
        <f>IF(AND(G804&gt;0,H804&gt;0,I804&gt;0,N804=1,IF('01_설정'!$B$10=1,K804=1,TRUE()),O804&lt;='01_설정'!$B$5,P804&lt;='01_설정'!$B$7,Q804&lt;='01_설정'!$B$8),"Y","")</f>
        <v/>
      </c>
      <c r="S804">
        <f>IF(R804&lt;&gt;"Y","",MAX(0,(1-O804/'01_설정'!$B$5))*'01_설정'!$B$14+MAX(0,(1-P804/'01_설정'!$B$7))*'01_설정'!$B$16+MAX(0,(1-Q804/'01_설정'!$B$8))*'01_설정'!$B$17+L804*'01_설정'!$B$11+M804*'01_설정'!$B$12+N804*50)</f>
        <v/>
      </c>
      <c r="T804">
        <f>IF(S804="","",1+COUNTIFS($S$31:$S$1030,"&gt;"&amp;S804)+COUNTIFS($S$31:S804,S804)-1)</f>
        <v/>
      </c>
    </row>
    <row r="805" hidden="1" ht="16.5" customHeight="1">
      <c r="A805">
        <f>IF(COUNTA('05_KAPA'!$A776:$AO776)=0,"",778)</f>
        <v/>
      </c>
      <c r="B805">
        <f>IF($A805="","",INDEX('05_KAPA'!$B:$B,$A805))</f>
        <v/>
      </c>
      <c r="C805">
        <f>IF($A805="","",INDEX('05_KAPA'!$F:$F,$A805))</f>
        <v/>
      </c>
      <c r="D805">
        <f>IF($A805="","",INDEX('05_KAPA'!$H:$H,$A805))</f>
        <v/>
      </c>
      <c r="E805">
        <f>IF($A805="","",INDEX('05_KAPA'!$K:$K,$A805))</f>
        <v/>
      </c>
      <c r="F805">
        <f>IF($A805="","",INDEX('05_KAPA'!$L:$L,$A805))</f>
        <v/>
      </c>
      <c r="G805">
        <f>IF($A805="","",INDEX('05_KAPA'!$I:$I,$A805))</f>
        <v/>
      </c>
      <c r="H805" s="202">
        <f>IF($A805="","",INDEX('05_KAPA'!$P:$P,$A805))</f>
        <v/>
      </c>
      <c r="I805" s="118">
        <f>IF($A805="","",INDEX('05_KAPA'!$O:$O,$A805))</f>
        <v/>
      </c>
      <c r="J805" s="202">
        <f>IF($A805="","",IFERROR(DATE(LEFT(TEXT(INDEX('05_KAPA'!$T:$T,$A805),"0"),4),MID(TEXT(INDEX('05_KAPA'!$T:$T,$A805),"0"),5,2),RIGHT(TEXT(INDEX('05_KAPA'!$T:$T,$A805),"0"),2)),""))</f>
        <v/>
      </c>
      <c r="K805">
        <f>IF(C805="","",IF('02_대상물건입력'!$B$5="",1,IF(ISNUMBER(SEARCH('02_대상물건입력'!$B$5,C805)),1,0)))</f>
        <v/>
      </c>
      <c r="L805">
        <f>IF(C805="","",IF('02_대상물건입력'!$B$6="",1,IF(ISNUMBER(SEARCH('02_대상물건입력'!$B$6,C805)),1,0)))</f>
        <v/>
      </c>
      <c r="M805">
        <f>IF(E805="","",IF('02_대상물건입력'!$B$8="",0,IF(ISNUMBER(SEARCH('02_대상물건입력'!$B$8,E805)),1,0)))</f>
        <v/>
      </c>
      <c r="N805">
        <f>IF(B805="","",IF(B805="담보",1,0))</f>
        <v/>
      </c>
      <c r="O805">
        <f>IFERROR(ABS(G805-'02_대상물건입력'!$B$11)/'02_대상물건입력'!$B$11,"")</f>
        <v/>
      </c>
      <c r="P805">
        <f>IFERROR(ABS('01_설정'!$B$4-H805),"")</f>
        <v/>
      </c>
      <c r="Q805">
        <f>IFERROR(ABS(YEAR(J805)-YEAR('02_대상물건입력'!$B$14)),"")</f>
        <v/>
      </c>
      <c r="R805">
        <f>IF(AND(G805&gt;0,H805&gt;0,I805&gt;0,N805=1,IF('01_설정'!$B$10=1,K805=1,TRUE()),O805&lt;='01_설정'!$B$5,P805&lt;='01_설정'!$B$7,Q805&lt;='01_설정'!$B$8),"Y","")</f>
        <v/>
      </c>
      <c r="S805">
        <f>IF(R805&lt;&gt;"Y","",MAX(0,(1-O805/'01_설정'!$B$5))*'01_설정'!$B$14+MAX(0,(1-P805/'01_설정'!$B$7))*'01_설정'!$B$16+MAX(0,(1-Q805/'01_설정'!$B$8))*'01_설정'!$B$17+L805*'01_설정'!$B$11+M805*'01_설정'!$B$12+N805*50)</f>
        <v/>
      </c>
      <c r="T805">
        <f>IF(S805="","",1+COUNTIFS($S$31:$S$1030,"&gt;"&amp;S805)+COUNTIFS($S$31:S805,S805)-1)</f>
        <v/>
      </c>
    </row>
    <row r="806" hidden="1" ht="16.5" customHeight="1">
      <c r="A806">
        <f>IF(COUNTA('05_KAPA'!$A777:$AO777)=0,"",779)</f>
        <v/>
      </c>
      <c r="B806">
        <f>IF($A806="","",INDEX('05_KAPA'!$B:$B,$A806))</f>
        <v/>
      </c>
      <c r="C806">
        <f>IF($A806="","",INDEX('05_KAPA'!$F:$F,$A806))</f>
        <v/>
      </c>
      <c r="D806">
        <f>IF($A806="","",INDEX('05_KAPA'!$H:$H,$A806))</f>
        <v/>
      </c>
      <c r="E806">
        <f>IF($A806="","",INDEX('05_KAPA'!$K:$K,$A806))</f>
        <v/>
      </c>
      <c r="F806">
        <f>IF($A806="","",INDEX('05_KAPA'!$L:$L,$A806))</f>
        <v/>
      </c>
      <c r="G806">
        <f>IF($A806="","",INDEX('05_KAPA'!$I:$I,$A806))</f>
        <v/>
      </c>
      <c r="H806" s="202">
        <f>IF($A806="","",INDEX('05_KAPA'!$P:$P,$A806))</f>
        <v/>
      </c>
      <c r="I806" s="118">
        <f>IF($A806="","",INDEX('05_KAPA'!$O:$O,$A806))</f>
        <v/>
      </c>
      <c r="J806" s="202">
        <f>IF($A806="","",IFERROR(DATE(LEFT(TEXT(INDEX('05_KAPA'!$T:$T,$A806),"0"),4),MID(TEXT(INDEX('05_KAPA'!$T:$T,$A806),"0"),5,2),RIGHT(TEXT(INDEX('05_KAPA'!$T:$T,$A806),"0"),2)),""))</f>
        <v/>
      </c>
      <c r="K806">
        <f>IF(C806="","",IF('02_대상물건입력'!$B$5="",1,IF(ISNUMBER(SEARCH('02_대상물건입력'!$B$5,C806)),1,0)))</f>
        <v/>
      </c>
      <c r="L806">
        <f>IF(C806="","",IF('02_대상물건입력'!$B$6="",1,IF(ISNUMBER(SEARCH('02_대상물건입력'!$B$6,C806)),1,0)))</f>
        <v/>
      </c>
      <c r="M806">
        <f>IF(E806="","",IF('02_대상물건입력'!$B$8="",0,IF(ISNUMBER(SEARCH('02_대상물건입력'!$B$8,E806)),1,0)))</f>
        <v/>
      </c>
      <c r="N806">
        <f>IF(B806="","",IF(B806="담보",1,0))</f>
        <v/>
      </c>
      <c r="O806">
        <f>IFERROR(ABS(G806-'02_대상물건입력'!$B$11)/'02_대상물건입력'!$B$11,"")</f>
        <v/>
      </c>
      <c r="P806">
        <f>IFERROR(ABS('01_설정'!$B$4-H806),"")</f>
        <v/>
      </c>
      <c r="Q806">
        <f>IFERROR(ABS(YEAR(J806)-YEAR('02_대상물건입력'!$B$14)),"")</f>
        <v/>
      </c>
      <c r="R806">
        <f>IF(AND(G806&gt;0,H806&gt;0,I806&gt;0,N806=1,IF('01_설정'!$B$10=1,K806=1,TRUE()),O806&lt;='01_설정'!$B$5,P806&lt;='01_설정'!$B$7,Q806&lt;='01_설정'!$B$8),"Y","")</f>
        <v/>
      </c>
      <c r="S806">
        <f>IF(R806&lt;&gt;"Y","",MAX(0,(1-O806/'01_설정'!$B$5))*'01_설정'!$B$14+MAX(0,(1-P806/'01_설정'!$B$7))*'01_설정'!$B$16+MAX(0,(1-Q806/'01_설정'!$B$8))*'01_설정'!$B$17+L806*'01_설정'!$B$11+M806*'01_설정'!$B$12+N806*50)</f>
        <v/>
      </c>
      <c r="T806">
        <f>IF(S806="","",1+COUNTIFS($S$31:$S$1030,"&gt;"&amp;S806)+COUNTIFS($S$31:S806,S806)-1)</f>
        <v/>
      </c>
    </row>
    <row r="807" hidden="1" ht="16.5" customHeight="1">
      <c r="A807">
        <f>IF(COUNTA('05_KAPA'!$A778:$AO778)=0,"",780)</f>
        <v/>
      </c>
      <c r="B807">
        <f>IF($A807="","",INDEX('05_KAPA'!$B:$B,$A807))</f>
        <v/>
      </c>
      <c r="C807">
        <f>IF($A807="","",INDEX('05_KAPA'!$F:$F,$A807))</f>
        <v/>
      </c>
      <c r="D807">
        <f>IF($A807="","",INDEX('05_KAPA'!$H:$H,$A807))</f>
        <v/>
      </c>
      <c r="E807">
        <f>IF($A807="","",INDEX('05_KAPA'!$K:$K,$A807))</f>
        <v/>
      </c>
      <c r="F807">
        <f>IF($A807="","",INDEX('05_KAPA'!$L:$L,$A807))</f>
        <v/>
      </c>
      <c r="G807">
        <f>IF($A807="","",INDEX('05_KAPA'!$I:$I,$A807))</f>
        <v/>
      </c>
      <c r="H807" s="202">
        <f>IF($A807="","",INDEX('05_KAPA'!$P:$P,$A807))</f>
        <v/>
      </c>
      <c r="I807" s="118">
        <f>IF($A807="","",INDEX('05_KAPA'!$O:$O,$A807))</f>
        <v/>
      </c>
      <c r="J807" s="202">
        <f>IF($A807="","",IFERROR(DATE(LEFT(TEXT(INDEX('05_KAPA'!$T:$T,$A807),"0"),4),MID(TEXT(INDEX('05_KAPA'!$T:$T,$A807),"0"),5,2),RIGHT(TEXT(INDEX('05_KAPA'!$T:$T,$A807),"0"),2)),""))</f>
        <v/>
      </c>
      <c r="K807">
        <f>IF(C807="","",IF('02_대상물건입력'!$B$5="",1,IF(ISNUMBER(SEARCH('02_대상물건입력'!$B$5,C807)),1,0)))</f>
        <v/>
      </c>
      <c r="L807">
        <f>IF(C807="","",IF('02_대상물건입력'!$B$6="",1,IF(ISNUMBER(SEARCH('02_대상물건입력'!$B$6,C807)),1,0)))</f>
        <v/>
      </c>
      <c r="M807">
        <f>IF(E807="","",IF('02_대상물건입력'!$B$8="",0,IF(ISNUMBER(SEARCH('02_대상물건입력'!$B$8,E807)),1,0)))</f>
        <v/>
      </c>
      <c r="N807">
        <f>IF(B807="","",IF(B807="담보",1,0))</f>
        <v/>
      </c>
      <c r="O807">
        <f>IFERROR(ABS(G807-'02_대상물건입력'!$B$11)/'02_대상물건입력'!$B$11,"")</f>
        <v/>
      </c>
      <c r="P807">
        <f>IFERROR(ABS('01_설정'!$B$4-H807),"")</f>
        <v/>
      </c>
      <c r="Q807">
        <f>IFERROR(ABS(YEAR(J807)-YEAR('02_대상물건입력'!$B$14)),"")</f>
        <v/>
      </c>
      <c r="R807">
        <f>IF(AND(G807&gt;0,H807&gt;0,I807&gt;0,N807=1,IF('01_설정'!$B$10=1,K807=1,TRUE()),O807&lt;='01_설정'!$B$5,P807&lt;='01_설정'!$B$7,Q807&lt;='01_설정'!$B$8),"Y","")</f>
        <v/>
      </c>
      <c r="S807">
        <f>IF(R807&lt;&gt;"Y","",MAX(0,(1-O807/'01_설정'!$B$5))*'01_설정'!$B$14+MAX(0,(1-P807/'01_설정'!$B$7))*'01_설정'!$B$16+MAX(0,(1-Q807/'01_설정'!$B$8))*'01_설정'!$B$17+L807*'01_설정'!$B$11+M807*'01_설정'!$B$12+N807*50)</f>
        <v/>
      </c>
      <c r="T807">
        <f>IF(S807="","",1+COUNTIFS($S$31:$S$1030,"&gt;"&amp;S807)+COUNTIFS($S$31:S807,S807)-1)</f>
        <v/>
      </c>
    </row>
    <row r="808" hidden="1" ht="16.5" customHeight="1">
      <c r="A808">
        <f>IF(COUNTA('05_KAPA'!$A779:$AO779)=0,"",781)</f>
        <v/>
      </c>
      <c r="B808">
        <f>IF($A808="","",INDEX('05_KAPA'!$B:$B,$A808))</f>
        <v/>
      </c>
      <c r="C808">
        <f>IF($A808="","",INDEX('05_KAPA'!$F:$F,$A808))</f>
        <v/>
      </c>
      <c r="D808">
        <f>IF($A808="","",INDEX('05_KAPA'!$H:$H,$A808))</f>
        <v/>
      </c>
      <c r="E808">
        <f>IF($A808="","",INDEX('05_KAPA'!$K:$K,$A808))</f>
        <v/>
      </c>
      <c r="F808">
        <f>IF($A808="","",INDEX('05_KAPA'!$L:$L,$A808))</f>
        <v/>
      </c>
      <c r="G808">
        <f>IF($A808="","",INDEX('05_KAPA'!$I:$I,$A808))</f>
        <v/>
      </c>
      <c r="H808" s="202">
        <f>IF($A808="","",INDEX('05_KAPA'!$P:$P,$A808))</f>
        <v/>
      </c>
      <c r="I808" s="118">
        <f>IF($A808="","",INDEX('05_KAPA'!$O:$O,$A808))</f>
        <v/>
      </c>
      <c r="J808" s="202">
        <f>IF($A808="","",IFERROR(DATE(LEFT(TEXT(INDEX('05_KAPA'!$T:$T,$A808),"0"),4),MID(TEXT(INDEX('05_KAPA'!$T:$T,$A808),"0"),5,2),RIGHT(TEXT(INDEX('05_KAPA'!$T:$T,$A808),"0"),2)),""))</f>
        <v/>
      </c>
      <c r="K808">
        <f>IF(C808="","",IF('02_대상물건입력'!$B$5="",1,IF(ISNUMBER(SEARCH('02_대상물건입력'!$B$5,C808)),1,0)))</f>
        <v/>
      </c>
      <c r="L808">
        <f>IF(C808="","",IF('02_대상물건입력'!$B$6="",1,IF(ISNUMBER(SEARCH('02_대상물건입력'!$B$6,C808)),1,0)))</f>
        <v/>
      </c>
      <c r="M808">
        <f>IF(E808="","",IF('02_대상물건입력'!$B$8="",0,IF(ISNUMBER(SEARCH('02_대상물건입력'!$B$8,E808)),1,0)))</f>
        <v/>
      </c>
      <c r="N808">
        <f>IF(B808="","",IF(B808="담보",1,0))</f>
        <v/>
      </c>
      <c r="O808">
        <f>IFERROR(ABS(G808-'02_대상물건입력'!$B$11)/'02_대상물건입력'!$B$11,"")</f>
        <v/>
      </c>
      <c r="P808">
        <f>IFERROR(ABS('01_설정'!$B$4-H808),"")</f>
        <v/>
      </c>
      <c r="Q808">
        <f>IFERROR(ABS(YEAR(J808)-YEAR('02_대상물건입력'!$B$14)),"")</f>
        <v/>
      </c>
      <c r="R808">
        <f>IF(AND(G808&gt;0,H808&gt;0,I808&gt;0,N808=1,IF('01_설정'!$B$10=1,K808=1,TRUE()),O808&lt;='01_설정'!$B$5,P808&lt;='01_설정'!$B$7,Q808&lt;='01_설정'!$B$8),"Y","")</f>
        <v/>
      </c>
      <c r="S808">
        <f>IF(R808&lt;&gt;"Y","",MAX(0,(1-O808/'01_설정'!$B$5))*'01_설정'!$B$14+MAX(0,(1-P808/'01_설정'!$B$7))*'01_설정'!$B$16+MAX(0,(1-Q808/'01_설정'!$B$8))*'01_설정'!$B$17+L808*'01_설정'!$B$11+M808*'01_설정'!$B$12+N808*50)</f>
        <v/>
      </c>
      <c r="T808">
        <f>IF(S808="","",1+COUNTIFS($S$31:$S$1030,"&gt;"&amp;S808)+COUNTIFS($S$31:S808,S808)-1)</f>
        <v/>
      </c>
    </row>
    <row r="809" hidden="1" ht="16.5" customHeight="1">
      <c r="A809">
        <f>IF(COUNTA('05_KAPA'!$A780:$AO780)=0,"",782)</f>
        <v/>
      </c>
      <c r="B809">
        <f>IF($A809="","",INDEX('05_KAPA'!$B:$B,$A809))</f>
        <v/>
      </c>
      <c r="C809">
        <f>IF($A809="","",INDEX('05_KAPA'!$F:$F,$A809))</f>
        <v/>
      </c>
      <c r="D809">
        <f>IF($A809="","",INDEX('05_KAPA'!$H:$H,$A809))</f>
        <v/>
      </c>
      <c r="E809">
        <f>IF($A809="","",INDEX('05_KAPA'!$K:$K,$A809))</f>
        <v/>
      </c>
      <c r="F809">
        <f>IF($A809="","",INDEX('05_KAPA'!$L:$L,$A809))</f>
        <v/>
      </c>
      <c r="G809">
        <f>IF($A809="","",INDEX('05_KAPA'!$I:$I,$A809))</f>
        <v/>
      </c>
      <c r="H809" s="202">
        <f>IF($A809="","",INDEX('05_KAPA'!$P:$P,$A809))</f>
        <v/>
      </c>
      <c r="I809" s="118">
        <f>IF($A809="","",INDEX('05_KAPA'!$O:$O,$A809))</f>
        <v/>
      </c>
      <c r="J809" s="202">
        <f>IF($A809="","",IFERROR(DATE(LEFT(TEXT(INDEX('05_KAPA'!$T:$T,$A809),"0"),4),MID(TEXT(INDEX('05_KAPA'!$T:$T,$A809),"0"),5,2),RIGHT(TEXT(INDEX('05_KAPA'!$T:$T,$A809),"0"),2)),""))</f>
        <v/>
      </c>
      <c r="K809">
        <f>IF(C809="","",IF('02_대상물건입력'!$B$5="",1,IF(ISNUMBER(SEARCH('02_대상물건입력'!$B$5,C809)),1,0)))</f>
        <v/>
      </c>
      <c r="L809">
        <f>IF(C809="","",IF('02_대상물건입력'!$B$6="",1,IF(ISNUMBER(SEARCH('02_대상물건입력'!$B$6,C809)),1,0)))</f>
        <v/>
      </c>
      <c r="M809">
        <f>IF(E809="","",IF('02_대상물건입력'!$B$8="",0,IF(ISNUMBER(SEARCH('02_대상물건입력'!$B$8,E809)),1,0)))</f>
        <v/>
      </c>
      <c r="N809">
        <f>IF(B809="","",IF(B809="담보",1,0))</f>
        <v/>
      </c>
      <c r="O809">
        <f>IFERROR(ABS(G809-'02_대상물건입력'!$B$11)/'02_대상물건입력'!$B$11,"")</f>
        <v/>
      </c>
      <c r="P809">
        <f>IFERROR(ABS('01_설정'!$B$4-H809),"")</f>
        <v/>
      </c>
      <c r="Q809">
        <f>IFERROR(ABS(YEAR(J809)-YEAR('02_대상물건입력'!$B$14)),"")</f>
        <v/>
      </c>
      <c r="R809">
        <f>IF(AND(G809&gt;0,H809&gt;0,I809&gt;0,N809=1,IF('01_설정'!$B$10=1,K809=1,TRUE()),O809&lt;='01_설정'!$B$5,P809&lt;='01_설정'!$B$7,Q809&lt;='01_설정'!$B$8),"Y","")</f>
        <v/>
      </c>
      <c r="S809">
        <f>IF(R809&lt;&gt;"Y","",MAX(0,(1-O809/'01_설정'!$B$5))*'01_설정'!$B$14+MAX(0,(1-P809/'01_설정'!$B$7))*'01_설정'!$B$16+MAX(0,(1-Q809/'01_설정'!$B$8))*'01_설정'!$B$17+L809*'01_설정'!$B$11+M809*'01_설정'!$B$12+N809*50)</f>
        <v/>
      </c>
      <c r="T809">
        <f>IF(S809="","",1+COUNTIFS($S$31:$S$1030,"&gt;"&amp;S809)+COUNTIFS($S$31:S809,S809)-1)</f>
        <v/>
      </c>
    </row>
    <row r="810" hidden="1" ht="16.5" customHeight="1">
      <c r="A810">
        <f>IF(COUNTA('05_KAPA'!$A781:$AO781)=0,"",783)</f>
        <v/>
      </c>
      <c r="B810">
        <f>IF($A810="","",INDEX('05_KAPA'!$B:$B,$A810))</f>
        <v/>
      </c>
      <c r="C810">
        <f>IF($A810="","",INDEX('05_KAPA'!$F:$F,$A810))</f>
        <v/>
      </c>
      <c r="D810">
        <f>IF($A810="","",INDEX('05_KAPA'!$H:$H,$A810))</f>
        <v/>
      </c>
      <c r="E810">
        <f>IF($A810="","",INDEX('05_KAPA'!$K:$K,$A810))</f>
        <v/>
      </c>
      <c r="F810">
        <f>IF($A810="","",INDEX('05_KAPA'!$L:$L,$A810))</f>
        <v/>
      </c>
      <c r="G810">
        <f>IF($A810="","",INDEX('05_KAPA'!$I:$I,$A810))</f>
        <v/>
      </c>
      <c r="H810" s="202">
        <f>IF($A810="","",INDEX('05_KAPA'!$P:$P,$A810))</f>
        <v/>
      </c>
      <c r="I810" s="118">
        <f>IF($A810="","",INDEX('05_KAPA'!$O:$O,$A810))</f>
        <v/>
      </c>
      <c r="J810" s="202">
        <f>IF($A810="","",IFERROR(DATE(LEFT(TEXT(INDEX('05_KAPA'!$T:$T,$A810),"0"),4),MID(TEXT(INDEX('05_KAPA'!$T:$T,$A810),"0"),5,2),RIGHT(TEXT(INDEX('05_KAPA'!$T:$T,$A810),"0"),2)),""))</f>
        <v/>
      </c>
      <c r="K810">
        <f>IF(C810="","",IF('02_대상물건입력'!$B$5="",1,IF(ISNUMBER(SEARCH('02_대상물건입력'!$B$5,C810)),1,0)))</f>
        <v/>
      </c>
      <c r="L810">
        <f>IF(C810="","",IF('02_대상물건입력'!$B$6="",1,IF(ISNUMBER(SEARCH('02_대상물건입력'!$B$6,C810)),1,0)))</f>
        <v/>
      </c>
      <c r="M810">
        <f>IF(E810="","",IF('02_대상물건입력'!$B$8="",0,IF(ISNUMBER(SEARCH('02_대상물건입력'!$B$8,E810)),1,0)))</f>
        <v/>
      </c>
      <c r="N810">
        <f>IF(B810="","",IF(B810="담보",1,0))</f>
        <v/>
      </c>
      <c r="O810">
        <f>IFERROR(ABS(G810-'02_대상물건입력'!$B$11)/'02_대상물건입력'!$B$11,"")</f>
        <v/>
      </c>
      <c r="P810">
        <f>IFERROR(ABS('01_설정'!$B$4-H810),"")</f>
        <v/>
      </c>
      <c r="Q810">
        <f>IFERROR(ABS(YEAR(J810)-YEAR('02_대상물건입력'!$B$14)),"")</f>
        <v/>
      </c>
      <c r="R810">
        <f>IF(AND(G810&gt;0,H810&gt;0,I810&gt;0,N810=1,IF('01_설정'!$B$10=1,K810=1,TRUE()),O810&lt;='01_설정'!$B$5,P810&lt;='01_설정'!$B$7,Q810&lt;='01_설정'!$B$8),"Y","")</f>
        <v/>
      </c>
      <c r="S810">
        <f>IF(R810&lt;&gt;"Y","",MAX(0,(1-O810/'01_설정'!$B$5))*'01_설정'!$B$14+MAX(0,(1-P810/'01_설정'!$B$7))*'01_설정'!$B$16+MAX(0,(1-Q810/'01_설정'!$B$8))*'01_설정'!$B$17+L810*'01_설정'!$B$11+M810*'01_설정'!$B$12+N810*50)</f>
        <v/>
      </c>
      <c r="T810">
        <f>IF(S810="","",1+COUNTIFS($S$31:$S$1030,"&gt;"&amp;S810)+COUNTIFS($S$31:S810,S810)-1)</f>
        <v/>
      </c>
    </row>
    <row r="811" hidden="1" ht="16.5" customHeight="1">
      <c r="A811">
        <f>IF(COUNTA('05_KAPA'!$A782:$AO782)=0,"",784)</f>
        <v/>
      </c>
      <c r="B811">
        <f>IF($A811="","",INDEX('05_KAPA'!$B:$B,$A811))</f>
        <v/>
      </c>
      <c r="C811">
        <f>IF($A811="","",INDEX('05_KAPA'!$F:$F,$A811))</f>
        <v/>
      </c>
      <c r="D811">
        <f>IF($A811="","",INDEX('05_KAPA'!$H:$H,$A811))</f>
        <v/>
      </c>
      <c r="E811">
        <f>IF($A811="","",INDEX('05_KAPA'!$K:$K,$A811))</f>
        <v/>
      </c>
      <c r="F811">
        <f>IF($A811="","",INDEX('05_KAPA'!$L:$L,$A811))</f>
        <v/>
      </c>
      <c r="G811">
        <f>IF($A811="","",INDEX('05_KAPA'!$I:$I,$A811))</f>
        <v/>
      </c>
      <c r="H811" s="202">
        <f>IF($A811="","",INDEX('05_KAPA'!$P:$P,$A811))</f>
        <v/>
      </c>
      <c r="I811" s="118">
        <f>IF($A811="","",INDEX('05_KAPA'!$O:$O,$A811))</f>
        <v/>
      </c>
      <c r="J811" s="202">
        <f>IF($A811="","",IFERROR(DATE(LEFT(TEXT(INDEX('05_KAPA'!$T:$T,$A811),"0"),4),MID(TEXT(INDEX('05_KAPA'!$T:$T,$A811),"0"),5,2),RIGHT(TEXT(INDEX('05_KAPA'!$T:$T,$A811),"0"),2)),""))</f>
        <v/>
      </c>
      <c r="K811">
        <f>IF(C811="","",IF('02_대상물건입력'!$B$5="",1,IF(ISNUMBER(SEARCH('02_대상물건입력'!$B$5,C811)),1,0)))</f>
        <v/>
      </c>
      <c r="L811">
        <f>IF(C811="","",IF('02_대상물건입력'!$B$6="",1,IF(ISNUMBER(SEARCH('02_대상물건입력'!$B$6,C811)),1,0)))</f>
        <v/>
      </c>
      <c r="M811">
        <f>IF(E811="","",IF('02_대상물건입력'!$B$8="",0,IF(ISNUMBER(SEARCH('02_대상물건입력'!$B$8,E811)),1,0)))</f>
        <v/>
      </c>
      <c r="N811">
        <f>IF(B811="","",IF(B811="담보",1,0))</f>
        <v/>
      </c>
      <c r="O811">
        <f>IFERROR(ABS(G811-'02_대상물건입력'!$B$11)/'02_대상물건입력'!$B$11,"")</f>
        <v/>
      </c>
      <c r="P811">
        <f>IFERROR(ABS('01_설정'!$B$4-H811),"")</f>
        <v/>
      </c>
      <c r="Q811">
        <f>IFERROR(ABS(YEAR(J811)-YEAR('02_대상물건입력'!$B$14)),"")</f>
        <v/>
      </c>
      <c r="R811">
        <f>IF(AND(G811&gt;0,H811&gt;0,I811&gt;0,N811=1,IF('01_설정'!$B$10=1,K811=1,TRUE()),O811&lt;='01_설정'!$B$5,P811&lt;='01_설정'!$B$7,Q811&lt;='01_설정'!$B$8),"Y","")</f>
        <v/>
      </c>
      <c r="S811">
        <f>IF(R811&lt;&gt;"Y","",MAX(0,(1-O811/'01_설정'!$B$5))*'01_설정'!$B$14+MAX(0,(1-P811/'01_설정'!$B$7))*'01_설정'!$B$16+MAX(0,(1-Q811/'01_설정'!$B$8))*'01_설정'!$B$17+L811*'01_설정'!$B$11+M811*'01_설정'!$B$12+N811*50)</f>
        <v/>
      </c>
      <c r="T811">
        <f>IF(S811="","",1+COUNTIFS($S$31:$S$1030,"&gt;"&amp;S811)+COUNTIFS($S$31:S811,S811)-1)</f>
        <v/>
      </c>
    </row>
    <row r="812" hidden="1" ht="16.5" customHeight="1">
      <c r="A812">
        <f>IF(COUNTA('05_KAPA'!$A783:$AO783)=0,"",785)</f>
        <v/>
      </c>
      <c r="B812">
        <f>IF($A812="","",INDEX('05_KAPA'!$B:$B,$A812))</f>
        <v/>
      </c>
      <c r="C812">
        <f>IF($A812="","",INDEX('05_KAPA'!$F:$F,$A812))</f>
        <v/>
      </c>
      <c r="D812">
        <f>IF($A812="","",INDEX('05_KAPA'!$H:$H,$A812))</f>
        <v/>
      </c>
      <c r="E812">
        <f>IF($A812="","",INDEX('05_KAPA'!$K:$K,$A812))</f>
        <v/>
      </c>
      <c r="F812">
        <f>IF($A812="","",INDEX('05_KAPA'!$L:$L,$A812))</f>
        <v/>
      </c>
      <c r="G812">
        <f>IF($A812="","",INDEX('05_KAPA'!$I:$I,$A812))</f>
        <v/>
      </c>
      <c r="H812" s="202">
        <f>IF($A812="","",INDEX('05_KAPA'!$P:$P,$A812))</f>
        <v/>
      </c>
      <c r="I812" s="118">
        <f>IF($A812="","",INDEX('05_KAPA'!$O:$O,$A812))</f>
        <v/>
      </c>
      <c r="J812" s="202">
        <f>IF($A812="","",IFERROR(DATE(LEFT(TEXT(INDEX('05_KAPA'!$T:$T,$A812),"0"),4),MID(TEXT(INDEX('05_KAPA'!$T:$T,$A812),"0"),5,2),RIGHT(TEXT(INDEX('05_KAPA'!$T:$T,$A812),"0"),2)),""))</f>
        <v/>
      </c>
      <c r="K812">
        <f>IF(C812="","",IF('02_대상물건입력'!$B$5="",1,IF(ISNUMBER(SEARCH('02_대상물건입력'!$B$5,C812)),1,0)))</f>
        <v/>
      </c>
      <c r="L812">
        <f>IF(C812="","",IF('02_대상물건입력'!$B$6="",1,IF(ISNUMBER(SEARCH('02_대상물건입력'!$B$6,C812)),1,0)))</f>
        <v/>
      </c>
      <c r="M812">
        <f>IF(E812="","",IF('02_대상물건입력'!$B$8="",0,IF(ISNUMBER(SEARCH('02_대상물건입력'!$B$8,E812)),1,0)))</f>
        <v/>
      </c>
      <c r="N812">
        <f>IF(B812="","",IF(B812="담보",1,0))</f>
        <v/>
      </c>
      <c r="O812">
        <f>IFERROR(ABS(G812-'02_대상물건입력'!$B$11)/'02_대상물건입력'!$B$11,"")</f>
        <v/>
      </c>
      <c r="P812">
        <f>IFERROR(ABS('01_설정'!$B$4-H812),"")</f>
        <v/>
      </c>
      <c r="Q812">
        <f>IFERROR(ABS(YEAR(J812)-YEAR('02_대상물건입력'!$B$14)),"")</f>
        <v/>
      </c>
      <c r="R812">
        <f>IF(AND(G812&gt;0,H812&gt;0,I812&gt;0,N812=1,IF('01_설정'!$B$10=1,K812=1,TRUE()),O812&lt;='01_설정'!$B$5,P812&lt;='01_설정'!$B$7,Q812&lt;='01_설정'!$B$8),"Y","")</f>
        <v/>
      </c>
      <c r="S812">
        <f>IF(R812&lt;&gt;"Y","",MAX(0,(1-O812/'01_설정'!$B$5))*'01_설정'!$B$14+MAX(0,(1-P812/'01_설정'!$B$7))*'01_설정'!$B$16+MAX(0,(1-Q812/'01_설정'!$B$8))*'01_설정'!$B$17+L812*'01_설정'!$B$11+M812*'01_설정'!$B$12+N812*50)</f>
        <v/>
      </c>
      <c r="T812">
        <f>IF(S812="","",1+COUNTIFS($S$31:$S$1030,"&gt;"&amp;S812)+COUNTIFS($S$31:S812,S812)-1)</f>
        <v/>
      </c>
    </row>
    <row r="813" hidden="1" ht="16.5" customHeight="1">
      <c r="A813">
        <f>IF(COUNTA('05_KAPA'!$A784:$AO784)=0,"",786)</f>
        <v/>
      </c>
      <c r="B813">
        <f>IF($A813="","",INDEX('05_KAPA'!$B:$B,$A813))</f>
        <v/>
      </c>
      <c r="C813">
        <f>IF($A813="","",INDEX('05_KAPA'!$F:$F,$A813))</f>
        <v/>
      </c>
      <c r="D813">
        <f>IF($A813="","",INDEX('05_KAPA'!$H:$H,$A813))</f>
        <v/>
      </c>
      <c r="E813">
        <f>IF($A813="","",INDEX('05_KAPA'!$K:$K,$A813))</f>
        <v/>
      </c>
      <c r="F813">
        <f>IF($A813="","",INDEX('05_KAPA'!$L:$L,$A813))</f>
        <v/>
      </c>
      <c r="G813">
        <f>IF($A813="","",INDEX('05_KAPA'!$I:$I,$A813))</f>
        <v/>
      </c>
      <c r="H813" s="202">
        <f>IF($A813="","",INDEX('05_KAPA'!$P:$P,$A813))</f>
        <v/>
      </c>
      <c r="I813" s="118">
        <f>IF($A813="","",INDEX('05_KAPA'!$O:$O,$A813))</f>
        <v/>
      </c>
      <c r="J813" s="202">
        <f>IF($A813="","",IFERROR(DATE(LEFT(TEXT(INDEX('05_KAPA'!$T:$T,$A813),"0"),4),MID(TEXT(INDEX('05_KAPA'!$T:$T,$A813),"0"),5,2),RIGHT(TEXT(INDEX('05_KAPA'!$T:$T,$A813),"0"),2)),""))</f>
        <v/>
      </c>
      <c r="K813">
        <f>IF(C813="","",IF('02_대상물건입력'!$B$5="",1,IF(ISNUMBER(SEARCH('02_대상물건입력'!$B$5,C813)),1,0)))</f>
        <v/>
      </c>
      <c r="L813">
        <f>IF(C813="","",IF('02_대상물건입력'!$B$6="",1,IF(ISNUMBER(SEARCH('02_대상물건입력'!$B$6,C813)),1,0)))</f>
        <v/>
      </c>
      <c r="M813">
        <f>IF(E813="","",IF('02_대상물건입력'!$B$8="",0,IF(ISNUMBER(SEARCH('02_대상물건입력'!$B$8,E813)),1,0)))</f>
        <v/>
      </c>
      <c r="N813">
        <f>IF(B813="","",IF(B813="담보",1,0))</f>
        <v/>
      </c>
      <c r="O813">
        <f>IFERROR(ABS(G813-'02_대상물건입력'!$B$11)/'02_대상물건입력'!$B$11,"")</f>
        <v/>
      </c>
      <c r="P813">
        <f>IFERROR(ABS('01_설정'!$B$4-H813),"")</f>
        <v/>
      </c>
      <c r="Q813">
        <f>IFERROR(ABS(YEAR(J813)-YEAR('02_대상물건입력'!$B$14)),"")</f>
        <v/>
      </c>
      <c r="R813">
        <f>IF(AND(G813&gt;0,H813&gt;0,I813&gt;0,N813=1,IF('01_설정'!$B$10=1,K813=1,TRUE()),O813&lt;='01_설정'!$B$5,P813&lt;='01_설정'!$B$7,Q813&lt;='01_설정'!$B$8),"Y","")</f>
        <v/>
      </c>
      <c r="S813">
        <f>IF(R813&lt;&gt;"Y","",MAX(0,(1-O813/'01_설정'!$B$5))*'01_설정'!$B$14+MAX(0,(1-P813/'01_설정'!$B$7))*'01_설정'!$B$16+MAX(0,(1-Q813/'01_설정'!$B$8))*'01_설정'!$B$17+L813*'01_설정'!$B$11+M813*'01_설정'!$B$12+N813*50)</f>
        <v/>
      </c>
      <c r="T813">
        <f>IF(S813="","",1+COUNTIFS($S$31:$S$1030,"&gt;"&amp;S813)+COUNTIFS($S$31:S813,S813)-1)</f>
        <v/>
      </c>
    </row>
    <row r="814" hidden="1" ht="16.5" customHeight="1">
      <c r="A814">
        <f>IF(COUNTA('05_KAPA'!$A785:$AO785)=0,"",787)</f>
        <v/>
      </c>
      <c r="B814">
        <f>IF($A814="","",INDEX('05_KAPA'!$B:$B,$A814))</f>
        <v/>
      </c>
      <c r="C814">
        <f>IF($A814="","",INDEX('05_KAPA'!$F:$F,$A814))</f>
        <v/>
      </c>
      <c r="D814">
        <f>IF($A814="","",INDEX('05_KAPA'!$H:$H,$A814))</f>
        <v/>
      </c>
      <c r="E814">
        <f>IF($A814="","",INDEX('05_KAPA'!$K:$K,$A814))</f>
        <v/>
      </c>
      <c r="F814">
        <f>IF($A814="","",INDEX('05_KAPA'!$L:$L,$A814))</f>
        <v/>
      </c>
      <c r="G814">
        <f>IF($A814="","",INDEX('05_KAPA'!$I:$I,$A814))</f>
        <v/>
      </c>
      <c r="H814" s="202">
        <f>IF($A814="","",INDEX('05_KAPA'!$P:$P,$A814))</f>
        <v/>
      </c>
      <c r="I814" s="118">
        <f>IF($A814="","",INDEX('05_KAPA'!$O:$O,$A814))</f>
        <v/>
      </c>
      <c r="J814" s="202">
        <f>IF($A814="","",IFERROR(DATE(LEFT(TEXT(INDEX('05_KAPA'!$T:$T,$A814),"0"),4),MID(TEXT(INDEX('05_KAPA'!$T:$T,$A814),"0"),5,2),RIGHT(TEXT(INDEX('05_KAPA'!$T:$T,$A814),"0"),2)),""))</f>
        <v/>
      </c>
      <c r="K814">
        <f>IF(C814="","",IF('02_대상물건입력'!$B$5="",1,IF(ISNUMBER(SEARCH('02_대상물건입력'!$B$5,C814)),1,0)))</f>
        <v/>
      </c>
      <c r="L814">
        <f>IF(C814="","",IF('02_대상물건입력'!$B$6="",1,IF(ISNUMBER(SEARCH('02_대상물건입력'!$B$6,C814)),1,0)))</f>
        <v/>
      </c>
      <c r="M814">
        <f>IF(E814="","",IF('02_대상물건입력'!$B$8="",0,IF(ISNUMBER(SEARCH('02_대상물건입력'!$B$8,E814)),1,0)))</f>
        <v/>
      </c>
      <c r="N814">
        <f>IF(B814="","",IF(B814="담보",1,0))</f>
        <v/>
      </c>
      <c r="O814">
        <f>IFERROR(ABS(G814-'02_대상물건입력'!$B$11)/'02_대상물건입력'!$B$11,"")</f>
        <v/>
      </c>
      <c r="P814">
        <f>IFERROR(ABS('01_설정'!$B$4-H814),"")</f>
        <v/>
      </c>
      <c r="Q814">
        <f>IFERROR(ABS(YEAR(J814)-YEAR('02_대상물건입력'!$B$14)),"")</f>
        <v/>
      </c>
      <c r="R814">
        <f>IF(AND(G814&gt;0,H814&gt;0,I814&gt;0,N814=1,IF('01_설정'!$B$10=1,K814=1,TRUE()),O814&lt;='01_설정'!$B$5,P814&lt;='01_설정'!$B$7,Q814&lt;='01_설정'!$B$8),"Y","")</f>
        <v/>
      </c>
      <c r="S814">
        <f>IF(R814&lt;&gt;"Y","",MAX(0,(1-O814/'01_설정'!$B$5))*'01_설정'!$B$14+MAX(0,(1-P814/'01_설정'!$B$7))*'01_설정'!$B$16+MAX(0,(1-Q814/'01_설정'!$B$8))*'01_설정'!$B$17+L814*'01_설정'!$B$11+M814*'01_설정'!$B$12+N814*50)</f>
        <v/>
      </c>
      <c r="T814">
        <f>IF(S814="","",1+COUNTIFS($S$31:$S$1030,"&gt;"&amp;S814)+COUNTIFS($S$31:S814,S814)-1)</f>
        <v/>
      </c>
    </row>
    <row r="815" hidden="1" ht="16.5" customHeight="1">
      <c r="A815">
        <f>IF(COUNTA('05_KAPA'!$A786:$AO786)=0,"",788)</f>
        <v/>
      </c>
      <c r="B815">
        <f>IF($A815="","",INDEX('05_KAPA'!$B:$B,$A815))</f>
        <v/>
      </c>
      <c r="C815">
        <f>IF($A815="","",INDEX('05_KAPA'!$F:$F,$A815))</f>
        <v/>
      </c>
      <c r="D815">
        <f>IF($A815="","",INDEX('05_KAPA'!$H:$H,$A815))</f>
        <v/>
      </c>
      <c r="E815">
        <f>IF($A815="","",INDEX('05_KAPA'!$K:$K,$A815))</f>
        <v/>
      </c>
      <c r="F815">
        <f>IF($A815="","",INDEX('05_KAPA'!$L:$L,$A815))</f>
        <v/>
      </c>
      <c r="G815">
        <f>IF($A815="","",INDEX('05_KAPA'!$I:$I,$A815))</f>
        <v/>
      </c>
      <c r="H815" s="202">
        <f>IF($A815="","",INDEX('05_KAPA'!$P:$P,$A815))</f>
        <v/>
      </c>
      <c r="I815" s="118">
        <f>IF($A815="","",INDEX('05_KAPA'!$O:$O,$A815))</f>
        <v/>
      </c>
      <c r="J815" s="202">
        <f>IF($A815="","",IFERROR(DATE(LEFT(TEXT(INDEX('05_KAPA'!$T:$T,$A815),"0"),4),MID(TEXT(INDEX('05_KAPA'!$T:$T,$A815),"0"),5,2),RIGHT(TEXT(INDEX('05_KAPA'!$T:$T,$A815),"0"),2)),""))</f>
        <v/>
      </c>
      <c r="K815">
        <f>IF(C815="","",IF('02_대상물건입력'!$B$5="",1,IF(ISNUMBER(SEARCH('02_대상물건입력'!$B$5,C815)),1,0)))</f>
        <v/>
      </c>
      <c r="L815">
        <f>IF(C815="","",IF('02_대상물건입력'!$B$6="",1,IF(ISNUMBER(SEARCH('02_대상물건입력'!$B$6,C815)),1,0)))</f>
        <v/>
      </c>
      <c r="M815">
        <f>IF(E815="","",IF('02_대상물건입력'!$B$8="",0,IF(ISNUMBER(SEARCH('02_대상물건입력'!$B$8,E815)),1,0)))</f>
        <v/>
      </c>
      <c r="N815">
        <f>IF(B815="","",IF(B815="담보",1,0))</f>
        <v/>
      </c>
      <c r="O815">
        <f>IFERROR(ABS(G815-'02_대상물건입력'!$B$11)/'02_대상물건입력'!$B$11,"")</f>
        <v/>
      </c>
      <c r="P815">
        <f>IFERROR(ABS('01_설정'!$B$4-H815),"")</f>
        <v/>
      </c>
      <c r="Q815">
        <f>IFERROR(ABS(YEAR(J815)-YEAR('02_대상물건입력'!$B$14)),"")</f>
        <v/>
      </c>
      <c r="R815">
        <f>IF(AND(G815&gt;0,H815&gt;0,I815&gt;0,N815=1,IF('01_설정'!$B$10=1,K815=1,TRUE()),O815&lt;='01_설정'!$B$5,P815&lt;='01_설정'!$B$7,Q815&lt;='01_설정'!$B$8),"Y","")</f>
        <v/>
      </c>
      <c r="S815">
        <f>IF(R815&lt;&gt;"Y","",MAX(0,(1-O815/'01_설정'!$B$5))*'01_설정'!$B$14+MAX(0,(1-P815/'01_설정'!$B$7))*'01_설정'!$B$16+MAX(0,(1-Q815/'01_설정'!$B$8))*'01_설정'!$B$17+L815*'01_설정'!$B$11+M815*'01_설정'!$B$12+N815*50)</f>
        <v/>
      </c>
      <c r="T815">
        <f>IF(S815="","",1+COUNTIFS($S$31:$S$1030,"&gt;"&amp;S815)+COUNTIFS($S$31:S815,S815)-1)</f>
        <v/>
      </c>
    </row>
    <row r="816" hidden="1" ht="16.5" customHeight="1">
      <c r="A816">
        <f>IF(COUNTA('05_KAPA'!$A787:$AO787)=0,"",789)</f>
        <v/>
      </c>
      <c r="B816">
        <f>IF($A816="","",INDEX('05_KAPA'!$B:$B,$A816))</f>
        <v/>
      </c>
      <c r="C816">
        <f>IF($A816="","",INDEX('05_KAPA'!$F:$F,$A816))</f>
        <v/>
      </c>
      <c r="D816">
        <f>IF($A816="","",INDEX('05_KAPA'!$H:$H,$A816))</f>
        <v/>
      </c>
      <c r="E816">
        <f>IF($A816="","",INDEX('05_KAPA'!$K:$K,$A816))</f>
        <v/>
      </c>
      <c r="F816">
        <f>IF($A816="","",INDEX('05_KAPA'!$L:$L,$A816))</f>
        <v/>
      </c>
      <c r="G816">
        <f>IF($A816="","",INDEX('05_KAPA'!$I:$I,$A816))</f>
        <v/>
      </c>
      <c r="H816" s="202">
        <f>IF($A816="","",INDEX('05_KAPA'!$P:$P,$A816))</f>
        <v/>
      </c>
      <c r="I816" s="118">
        <f>IF($A816="","",INDEX('05_KAPA'!$O:$O,$A816))</f>
        <v/>
      </c>
      <c r="J816" s="202">
        <f>IF($A816="","",IFERROR(DATE(LEFT(TEXT(INDEX('05_KAPA'!$T:$T,$A816),"0"),4),MID(TEXT(INDEX('05_KAPA'!$T:$T,$A816),"0"),5,2),RIGHT(TEXT(INDEX('05_KAPA'!$T:$T,$A816),"0"),2)),""))</f>
        <v/>
      </c>
      <c r="K816">
        <f>IF(C816="","",IF('02_대상물건입력'!$B$5="",1,IF(ISNUMBER(SEARCH('02_대상물건입력'!$B$5,C816)),1,0)))</f>
        <v/>
      </c>
      <c r="L816">
        <f>IF(C816="","",IF('02_대상물건입력'!$B$6="",1,IF(ISNUMBER(SEARCH('02_대상물건입력'!$B$6,C816)),1,0)))</f>
        <v/>
      </c>
      <c r="M816">
        <f>IF(E816="","",IF('02_대상물건입력'!$B$8="",0,IF(ISNUMBER(SEARCH('02_대상물건입력'!$B$8,E816)),1,0)))</f>
        <v/>
      </c>
      <c r="N816">
        <f>IF(B816="","",IF(B816="담보",1,0))</f>
        <v/>
      </c>
      <c r="O816">
        <f>IFERROR(ABS(G816-'02_대상물건입력'!$B$11)/'02_대상물건입력'!$B$11,"")</f>
        <v/>
      </c>
      <c r="P816">
        <f>IFERROR(ABS('01_설정'!$B$4-H816),"")</f>
        <v/>
      </c>
      <c r="Q816">
        <f>IFERROR(ABS(YEAR(J816)-YEAR('02_대상물건입력'!$B$14)),"")</f>
        <v/>
      </c>
      <c r="R816">
        <f>IF(AND(G816&gt;0,H816&gt;0,I816&gt;0,N816=1,IF('01_설정'!$B$10=1,K816=1,TRUE()),O816&lt;='01_설정'!$B$5,P816&lt;='01_설정'!$B$7,Q816&lt;='01_설정'!$B$8),"Y","")</f>
        <v/>
      </c>
      <c r="S816">
        <f>IF(R816&lt;&gt;"Y","",MAX(0,(1-O816/'01_설정'!$B$5))*'01_설정'!$B$14+MAX(0,(1-P816/'01_설정'!$B$7))*'01_설정'!$B$16+MAX(0,(1-Q816/'01_설정'!$B$8))*'01_설정'!$B$17+L816*'01_설정'!$B$11+M816*'01_설정'!$B$12+N816*50)</f>
        <v/>
      </c>
      <c r="T816">
        <f>IF(S816="","",1+COUNTIFS($S$31:$S$1030,"&gt;"&amp;S816)+COUNTIFS($S$31:S816,S816)-1)</f>
        <v/>
      </c>
    </row>
    <row r="817" hidden="1" ht="16.5" customHeight="1">
      <c r="A817">
        <f>IF(COUNTA('05_KAPA'!$A788:$AO788)=0,"",790)</f>
        <v/>
      </c>
      <c r="B817">
        <f>IF($A817="","",INDEX('05_KAPA'!$B:$B,$A817))</f>
        <v/>
      </c>
      <c r="C817">
        <f>IF($A817="","",INDEX('05_KAPA'!$F:$F,$A817))</f>
        <v/>
      </c>
      <c r="D817">
        <f>IF($A817="","",INDEX('05_KAPA'!$H:$H,$A817))</f>
        <v/>
      </c>
      <c r="E817">
        <f>IF($A817="","",INDEX('05_KAPA'!$K:$K,$A817))</f>
        <v/>
      </c>
      <c r="F817">
        <f>IF($A817="","",INDEX('05_KAPA'!$L:$L,$A817))</f>
        <v/>
      </c>
      <c r="G817">
        <f>IF($A817="","",INDEX('05_KAPA'!$I:$I,$A817))</f>
        <v/>
      </c>
      <c r="H817" s="202">
        <f>IF($A817="","",INDEX('05_KAPA'!$P:$P,$A817))</f>
        <v/>
      </c>
      <c r="I817" s="118">
        <f>IF($A817="","",INDEX('05_KAPA'!$O:$O,$A817))</f>
        <v/>
      </c>
      <c r="J817" s="202">
        <f>IF($A817="","",IFERROR(DATE(LEFT(TEXT(INDEX('05_KAPA'!$T:$T,$A817),"0"),4),MID(TEXT(INDEX('05_KAPA'!$T:$T,$A817),"0"),5,2),RIGHT(TEXT(INDEX('05_KAPA'!$T:$T,$A817),"0"),2)),""))</f>
        <v/>
      </c>
      <c r="K817">
        <f>IF(C817="","",IF('02_대상물건입력'!$B$5="",1,IF(ISNUMBER(SEARCH('02_대상물건입력'!$B$5,C817)),1,0)))</f>
        <v/>
      </c>
      <c r="L817">
        <f>IF(C817="","",IF('02_대상물건입력'!$B$6="",1,IF(ISNUMBER(SEARCH('02_대상물건입력'!$B$6,C817)),1,0)))</f>
        <v/>
      </c>
      <c r="M817">
        <f>IF(E817="","",IF('02_대상물건입력'!$B$8="",0,IF(ISNUMBER(SEARCH('02_대상물건입력'!$B$8,E817)),1,0)))</f>
        <v/>
      </c>
      <c r="N817">
        <f>IF(B817="","",IF(B817="담보",1,0))</f>
        <v/>
      </c>
      <c r="O817">
        <f>IFERROR(ABS(G817-'02_대상물건입력'!$B$11)/'02_대상물건입력'!$B$11,"")</f>
        <v/>
      </c>
      <c r="P817">
        <f>IFERROR(ABS('01_설정'!$B$4-H817),"")</f>
        <v/>
      </c>
      <c r="Q817">
        <f>IFERROR(ABS(YEAR(J817)-YEAR('02_대상물건입력'!$B$14)),"")</f>
        <v/>
      </c>
      <c r="R817">
        <f>IF(AND(G817&gt;0,H817&gt;0,I817&gt;0,N817=1,IF('01_설정'!$B$10=1,K817=1,TRUE()),O817&lt;='01_설정'!$B$5,P817&lt;='01_설정'!$B$7,Q817&lt;='01_설정'!$B$8),"Y","")</f>
        <v/>
      </c>
      <c r="S817">
        <f>IF(R817&lt;&gt;"Y","",MAX(0,(1-O817/'01_설정'!$B$5))*'01_설정'!$B$14+MAX(0,(1-P817/'01_설정'!$B$7))*'01_설정'!$B$16+MAX(0,(1-Q817/'01_설정'!$B$8))*'01_설정'!$B$17+L817*'01_설정'!$B$11+M817*'01_설정'!$B$12+N817*50)</f>
        <v/>
      </c>
      <c r="T817">
        <f>IF(S817="","",1+COUNTIFS($S$31:$S$1030,"&gt;"&amp;S817)+COUNTIFS($S$31:S817,S817)-1)</f>
        <v/>
      </c>
    </row>
    <row r="818" hidden="1" ht="16.5" customHeight="1">
      <c r="A818">
        <f>IF(COUNTA('05_KAPA'!$A789:$AO789)=0,"",791)</f>
        <v/>
      </c>
      <c r="B818">
        <f>IF($A818="","",INDEX('05_KAPA'!$B:$B,$A818))</f>
        <v/>
      </c>
      <c r="C818">
        <f>IF($A818="","",INDEX('05_KAPA'!$F:$F,$A818))</f>
        <v/>
      </c>
      <c r="D818">
        <f>IF($A818="","",INDEX('05_KAPA'!$H:$H,$A818))</f>
        <v/>
      </c>
      <c r="E818">
        <f>IF($A818="","",INDEX('05_KAPA'!$K:$K,$A818))</f>
        <v/>
      </c>
      <c r="F818">
        <f>IF($A818="","",INDEX('05_KAPA'!$L:$L,$A818))</f>
        <v/>
      </c>
      <c r="G818">
        <f>IF($A818="","",INDEX('05_KAPA'!$I:$I,$A818))</f>
        <v/>
      </c>
      <c r="H818" s="202">
        <f>IF($A818="","",INDEX('05_KAPA'!$P:$P,$A818))</f>
        <v/>
      </c>
      <c r="I818" s="118">
        <f>IF($A818="","",INDEX('05_KAPA'!$O:$O,$A818))</f>
        <v/>
      </c>
      <c r="J818" s="202">
        <f>IF($A818="","",IFERROR(DATE(LEFT(TEXT(INDEX('05_KAPA'!$T:$T,$A818),"0"),4),MID(TEXT(INDEX('05_KAPA'!$T:$T,$A818),"0"),5,2),RIGHT(TEXT(INDEX('05_KAPA'!$T:$T,$A818),"0"),2)),""))</f>
        <v/>
      </c>
      <c r="K818">
        <f>IF(C818="","",IF('02_대상물건입력'!$B$5="",1,IF(ISNUMBER(SEARCH('02_대상물건입력'!$B$5,C818)),1,0)))</f>
        <v/>
      </c>
      <c r="L818">
        <f>IF(C818="","",IF('02_대상물건입력'!$B$6="",1,IF(ISNUMBER(SEARCH('02_대상물건입력'!$B$6,C818)),1,0)))</f>
        <v/>
      </c>
      <c r="M818">
        <f>IF(E818="","",IF('02_대상물건입력'!$B$8="",0,IF(ISNUMBER(SEARCH('02_대상물건입력'!$B$8,E818)),1,0)))</f>
        <v/>
      </c>
      <c r="N818">
        <f>IF(B818="","",IF(B818="담보",1,0))</f>
        <v/>
      </c>
      <c r="O818">
        <f>IFERROR(ABS(G818-'02_대상물건입력'!$B$11)/'02_대상물건입력'!$B$11,"")</f>
        <v/>
      </c>
      <c r="P818">
        <f>IFERROR(ABS('01_설정'!$B$4-H818),"")</f>
        <v/>
      </c>
      <c r="Q818">
        <f>IFERROR(ABS(YEAR(J818)-YEAR('02_대상물건입력'!$B$14)),"")</f>
        <v/>
      </c>
      <c r="R818">
        <f>IF(AND(G818&gt;0,H818&gt;0,I818&gt;0,N818=1,IF('01_설정'!$B$10=1,K818=1,TRUE()),O818&lt;='01_설정'!$B$5,P818&lt;='01_설정'!$B$7,Q818&lt;='01_설정'!$B$8),"Y","")</f>
        <v/>
      </c>
      <c r="S818">
        <f>IF(R818&lt;&gt;"Y","",MAX(0,(1-O818/'01_설정'!$B$5))*'01_설정'!$B$14+MAX(0,(1-P818/'01_설정'!$B$7))*'01_설정'!$B$16+MAX(0,(1-Q818/'01_설정'!$B$8))*'01_설정'!$B$17+L818*'01_설정'!$B$11+M818*'01_설정'!$B$12+N818*50)</f>
        <v/>
      </c>
      <c r="T818">
        <f>IF(S818="","",1+COUNTIFS($S$31:$S$1030,"&gt;"&amp;S818)+COUNTIFS($S$31:S818,S818)-1)</f>
        <v/>
      </c>
    </row>
    <row r="819" hidden="1" ht="16.5" customHeight="1">
      <c r="A819">
        <f>IF(COUNTA('05_KAPA'!$A790:$AO790)=0,"",792)</f>
        <v/>
      </c>
      <c r="B819">
        <f>IF($A819="","",INDEX('05_KAPA'!$B:$B,$A819))</f>
        <v/>
      </c>
      <c r="C819">
        <f>IF($A819="","",INDEX('05_KAPA'!$F:$F,$A819))</f>
        <v/>
      </c>
      <c r="D819">
        <f>IF($A819="","",INDEX('05_KAPA'!$H:$H,$A819))</f>
        <v/>
      </c>
      <c r="E819">
        <f>IF($A819="","",INDEX('05_KAPA'!$K:$K,$A819))</f>
        <v/>
      </c>
      <c r="F819">
        <f>IF($A819="","",INDEX('05_KAPA'!$L:$L,$A819))</f>
        <v/>
      </c>
      <c r="G819">
        <f>IF($A819="","",INDEX('05_KAPA'!$I:$I,$A819))</f>
        <v/>
      </c>
      <c r="H819" s="202">
        <f>IF($A819="","",INDEX('05_KAPA'!$P:$P,$A819))</f>
        <v/>
      </c>
      <c r="I819" s="118">
        <f>IF($A819="","",INDEX('05_KAPA'!$O:$O,$A819))</f>
        <v/>
      </c>
      <c r="J819" s="202">
        <f>IF($A819="","",IFERROR(DATE(LEFT(TEXT(INDEX('05_KAPA'!$T:$T,$A819),"0"),4),MID(TEXT(INDEX('05_KAPA'!$T:$T,$A819),"0"),5,2),RIGHT(TEXT(INDEX('05_KAPA'!$T:$T,$A819),"0"),2)),""))</f>
        <v/>
      </c>
      <c r="K819">
        <f>IF(C819="","",IF('02_대상물건입력'!$B$5="",1,IF(ISNUMBER(SEARCH('02_대상물건입력'!$B$5,C819)),1,0)))</f>
        <v/>
      </c>
      <c r="L819">
        <f>IF(C819="","",IF('02_대상물건입력'!$B$6="",1,IF(ISNUMBER(SEARCH('02_대상물건입력'!$B$6,C819)),1,0)))</f>
        <v/>
      </c>
      <c r="M819">
        <f>IF(E819="","",IF('02_대상물건입력'!$B$8="",0,IF(ISNUMBER(SEARCH('02_대상물건입력'!$B$8,E819)),1,0)))</f>
        <v/>
      </c>
      <c r="N819">
        <f>IF(B819="","",IF(B819="담보",1,0))</f>
        <v/>
      </c>
      <c r="O819">
        <f>IFERROR(ABS(G819-'02_대상물건입력'!$B$11)/'02_대상물건입력'!$B$11,"")</f>
        <v/>
      </c>
      <c r="P819">
        <f>IFERROR(ABS('01_설정'!$B$4-H819),"")</f>
        <v/>
      </c>
      <c r="Q819">
        <f>IFERROR(ABS(YEAR(J819)-YEAR('02_대상물건입력'!$B$14)),"")</f>
        <v/>
      </c>
      <c r="R819">
        <f>IF(AND(G819&gt;0,H819&gt;0,I819&gt;0,N819=1,IF('01_설정'!$B$10=1,K819=1,TRUE()),O819&lt;='01_설정'!$B$5,P819&lt;='01_설정'!$B$7,Q819&lt;='01_설정'!$B$8),"Y","")</f>
        <v/>
      </c>
      <c r="S819">
        <f>IF(R819&lt;&gt;"Y","",MAX(0,(1-O819/'01_설정'!$B$5))*'01_설정'!$B$14+MAX(0,(1-P819/'01_설정'!$B$7))*'01_설정'!$B$16+MAX(0,(1-Q819/'01_설정'!$B$8))*'01_설정'!$B$17+L819*'01_설정'!$B$11+M819*'01_설정'!$B$12+N819*50)</f>
        <v/>
      </c>
      <c r="T819">
        <f>IF(S819="","",1+COUNTIFS($S$31:$S$1030,"&gt;"&amp;S819)+COUNTIFS($S$31:S819,S819)-1)</f>
        <v/>
      </c>
    </row>
    <row r="820" hidden="1" ht="16.5" customHeight="1">
      <c r="A820">
        <f>IF(COUNTA('05_KAPA'!$A791:$AO791)=0,"",793)</f>
        <v/>
      </c>
      <c r="B820">
        <f>IF($A820="","",INDEX('05_KAPA'!$B:$B,$A820))</f>
        <v/>
      </c>
      <c r="C820">
        <f>IF($A820="","",INDEX('05_KAPA'!$F:$F,$A820))</f>
        <v/>
      </c>
      <c r="D820">
        <f>IF($A820="","",INDEX('05_KAPA'!$H:$H,$A820))</f>
        <v/>
      </c>
      <c r="E820">
        <f>IF($A820="","",INDEX('05_KAPA'!$K:$K,$A820))</f>
        <v/>
      </c>
      <c r="F820">
        <f>IF($A820="","",INDEX('05_KAPA'!$L:$L,$A820))</f>
        <v/>
      </c>
      <c r="G820">
        <f>IF($A820="","",INDEX('05_KAPA'!$I:$I,$A820))</f>
        <v/>
      </c>
      <c r="H820" s="202">
        <f>IF($A820="","",INDEX('05_KAPA'!$P:$P,$A820))</f>
        <v/>
      </c>
      <c r="I820" s="118">
        <f>IF($A820="","",INDEX('05_KAPA'!$O:$O,$A820))</f>
        <v/>
      </c>
      <c r="J820" s="202">
        <f>IF($A820="","",IFERROR(DATE(LEFT(TEXT(INDEX('05_KAPA'!$T:$T,$A820),"0"),4),MID(TEXT(INDEX('05_KAPA'!$T:$T,$A820),"0"),5,2),RIGHT(TEXT(INDEX('05_KAPA'!$T:$T,$A820),"0"),2)),""))</f>
        <v/>
      </c>
      <c r="K820">
        <f>IF(C820="","",IF('02_대상물건입력'!$B$5="",1,IF(ISNUMBER(SEARCH('02_대상물건입력'!$B$5,C820)),1,0)))</f>
        <v/>
      </c>
      <c r="L820">
        <f>IF(C820="","",IF('02_대상물건입력'!$B$6="",1,IF(ISNUMBER(SEARCH('02_대상물건입력'!$B$6,C820)),1,0)))</f>
        <v/>
      </c>
      <c r="M820">
        <f>IF(E820="","",IF('02_대상물건입력'!$B$8="",0,IF(ISNUMBER(SEARCH('02_대상물건입력'!$B$8,E820)),1,0)))</f>
        <v/>
      </c>
      <c r="N820">
        <f>IF(B820="","",IF(B820="담보",1,0))</f>
        <v/>
      </c>
      <c r="O820">
        <f>IFERROR(ABS(G820-'02_대상물건입력'!$B$11)/'02_대상물건입력'!$B$11,"")</f>
        <v/>
      </c>
      <c r="P820">
        <f>IFERROR(ABS('01_설정'!$B$4-H820),"")</f>
        <v/>
      </c>
      <c r="Q820">
        <f>IFERROR(ABS(YEAR(J820)-YEAR('02_대상물건입력'!$B$14)),"")</f>
        <v/>
      </c>
      <c r="R820">
        <f>IF(AND(G820&gt;0,H820&gt;0,I820&gt;0,N820=1,IF('01_설정'!$B$10=1,K820=1,TRUE()),O820&lt;='01_설정'!$B$5,P820&lt;='01_설정'!$B$7,Q820&lt;='01_설정'!$B$8),"Y","")</f>
        <v/>
      </c>
      <c r="S820">
        <f>IF(R820&lt;&gt;"Y","",MAX(0,(1-O820/'01_설정'!$B$5))*'01_설정'!$B$14+MAX(0,(1-P820/'01_설정'!$B$7))*'01_설정'!$B$16+MAX(0,(1-Q820/'01_설정'!$B$8))*'01_설정'!$B$17+L820*'01_설정'!$B$11+M820*'01_설정'!$B$12+N820*50)</f>
        <v/>
      </c>
      <c r="T820">
        <f>IF(S820="","",1+COUNTIFS($S$31:$S$1030,"&gt;"&amp;S820)+COUNTIFS($S$31:S820,S820)-1)</f>
        <v/>
      </c>
    </row>
    <row r="821" hidden="1" ht="16.5" customHeight="1">
      <c r="A821">
        <f>IF(COUNTA('05_KAPA'!$A792:$AO792)=0,"",794)</f>
        <v/>
      </c>
      <c r="B821">
        <f>IF($A821="","",INDEX('05_KAPA'!$B:$B,$A821))</f>
        <v/>
      </c>
      <c r="C821">
        <f>IF($A821="","",INDEX('05_KAPA'!$F:$F,$A821))</f>
        <v/>
      </c>
      <c r="D821">
        <f>IF($A821="","",INDEX('05_KAPA'!$H:$H,$A821))</f>
        <v/>
      </c>
      <c r="E821">
        <f>IF($A821="","",INDEX('05_KAPA'!$K:$K,$A821))</f>
        <v/>
      </c>
      <c r="F821">
        <f>IF($A821="","",INDEX('05_KAPA'!$L:$L,$A821))</f>
        <v/>
      </c>
      <c r="G821">
        <f>IF($A821="","",INDEX('05_KAPA'!$I:$I,$A821))</f>
        <v/>
      </c>
      <c r="H821" s="202">
        <f>IF($A821="","",INDEX('05_KAPA'!$P:$P,$A821))</f>
        <v/>
      </c>
      <c r="I821" s="118">
        <f>IF($A821="","",INDEX('05_KAPA'!$O:$O,$A821))</f>
        <v/>
      </c>
      <c r="J821" s="202">
        <f>IF($A821="","",IFERROR(DATE(LEFT(TEXT(INDEX('05_KAPA'!$T:$T,$A821),"0"),4),MID(TEXT(INDEX('05_KAPA'!$T:$T,$A821),"0"),5,2),RIGHT(TEXT(INDEX('05_KAPA'!$T:$T,$A821),"0"),2)),""))</f>
        <v/>
      </c>
      <c r="K821">
        <f>IF(C821="","",IF('02_대상물건입력'!$B$5="",1,IF(ISNUMBER(SEARCH('02_대상물건입력'!$B$5,C821)),1,0)))</f>
        <v/>
      </c>
      <c r="L821">
        <f>IF(C821="","",IF('02_대상물건입력'!$B$6="",1,IF(ISNUMBER(SEARCH('02_대상물건입력'!$B$6,C821)),1,0)))</f>
        <v/>
      </c>
      <c r="M821">
        <f>IF(E821="","",IF('02_대상물건입력'!$B$8="",0,IF(ISNUMBER(SEARCH('02_대상물건입력'!$B$8,E821)),1,0)))</f>
        <v/>
      </c>
      <c r="N821">
        <f>IF(B821="","",IF(B821="담보",1,0))</f>
        <v/>
      </c>
      <c r="O821">
        <f>IFERROR(ABS(G821-'02_대상물건입력'!$B$11)/'02_대상물건입력'!$B$11,"")</f>
        <v/>
      </c>
      <c r="P821">
        <f>IFERROR(ABS('01_설정'!$B$4-H821),"")</f>
        <v/>
      </c>
      <c r="Q821">
        <f>IFERROR(ABS(YEAR(J821)-YEAR('02_대상물건입력'!$B$14)),"")</f>
        <v/>
      </c>
      <c r="R821">
        <f>IF(AND(G821&gt;0,H821&gt;0,I821&gt;0,N821=1,IF('01_설정'!$B$10=1,K821=1,TRUE()),O821&lt;='01_설정'!$B$5,P821&lt;='01_설정'!$B$7,Q821&lt;='01_설정'!$B$8),"Y","")</f>
        <v/>
      </c>
      <c r="S821">
        <f>IF(R821&lt;&gt;"Y","",MAX(0,(1-O821/'01_설정'!$B$5))*'01_설정'!$B$14+MAX(0,(1-P821/'01_설정'!$B$7))*'01_설정'!$B$16+MAX(0,(1-Q821/'01_설정'!$B$8))*'01_설정'!$B$17+L821*'01_설정'!$B$11+M821*'01_설정'!$B$12+N821*50)</f>
        <v/>
      </c>
      <c r="T821">
        <f>IF(S821="","",1+COUNTIFS($S$31:$S$1030,"&gt;"&amp;S821)+COUNTIFS($S$31:S821,S821)-1)</f>
        <v/>
      </c>
    </row>
    <row r="822" hidden="1" ht="16.5" customHeight="1">
      <c r="A822">
        <f>IF(COUNTA('05_KAPA'!$A793:$AO793)=0,"",795)</f>
        <v/>
      </c>
      <c r="B822">
        <f>IF($A822="","",INDEX('05_KAPA'!$B:$B,$A822))</f>
        <v/>
      </c>
      <c r="C822">
        <f>IF($A822="","",INDEX('05_KAPA'!$F:$F,$A822))</f>
        <v/>
      </c>
      <c r="D822">
        <f>IF($A822="","",INDEX('05_KAPA'!$H:$H,$A822))</f>
        <v/>
      </c>
      <c r="E822">
        <f>IF($A822="","",INDEX('05_KAPA'!$K:$K,$A822))</f>
        <v/>
      </c>
      <c r="F822">
        <f>IF($A822="","",INDEX('05_KAPA'!$L:$L,$A822))</f>
        <v/>
      </c>
      <c r="G822">
        <f>IF($A822="","",INDEX('05_KAPA'!$I:$I,$A822))</f>
        <v/>
      </c>
      <c r="H822" s="202">
        <f>IF($A822="","",INDEX('05_KAPA'!$P:$P,$A822))</f>
        <v/>
      </c>
      <c r="I822" s="118">
        <f>IF($A822="","",INDEX('05_KAPA'!$O:$O,$A822))</f>
        <v/>
      </c>
      <c r="J822" s="202">
        <f>IF($A822="","",IFERROR(DATE(LEFT(TEXT(INDEX('05_KAPA'!$T:$T,$A822),"0"),4),MID(TEXT(INDEX('05_KAPA'!$T:$T,$A822),"0"),5,2),RIGHT(TEXT(INDEX('05_KAPA'!$T:$T,$A822),"0"),2)),""))</f>
        <v/>
      </c>
      <c r="K822">
        <f>IF(C822="","",IF('02_대상물건입력'!$B$5="",1,IF(ISNUMBER(SEARCH('02_대상물건입력'!$B$5,C822)),1,0)))</f>
        <v/>
      </c>
      <c r="L822">
        <f>IF(C822="","",IF('02_대상물건입력'!$B$6="",1,IF(ISNUMBER(SEARCH('02_대상물건입력'!$B$6,C822)),1,0)))</f>
        <v/>
      </c>
      <c r="M822">
        <f>IF(E822="","",IF('02_대상물건입력'!$B$8="",0,IF(ISNUMBER(SEARCH('02_대상물건입력'!$B$8,E822)),1,0)))</f>
        <v/>
      </c>
      <c r="N822">
        <f>IF(B822="","",IF(B822="담보",1,0))</f>
        <v/>
      </c>
      <c r="O822">
        <f>IFERROR(ABS(G822-'02_대상물건입력'!$B$11)/'02_대상물건입력'!$B$11,"")</f>
        <v/>
      </c>
      <c r="P822">
        <f>IFERROR(ABS('01_설정'!$B$4-H822),"")</f>
        <v/>
      </c>
      <c r="Q822">
        <f>IFERROR(ABS(YEAR(J822)-YEAR('02_대상물건입력'!$B$14)),"")</f>
        <v/>
      </c>
      <c r="R822">
        <f>IF(AND(G822&gt;0,H822&gt;0,I822&gt;0,N822=1,IF('01_설정'!$B$10=1,K822=1,TRUE()),O822&lt;='01_설정'!$B$5,P822&lt;='01_설정'!$B$7,Q822&lt;='01_설정'!$B$8),"Y","")</f>
        <v/>
      </c>
      <c r="S822">
        <f>IF(R822&lt;&gt;"Y","",MAX(0,(1-O822/'01_설정'!$B$5))*'01_설정'!$B$14+MAX(0,(1-P822/'01_설정'!$B$7))*'01_설정'!$B$16+MAX(0,(1-Q822/'01_설정'!$B$8))*'01_설정'!$B$17+L822*'01_설정'!$B$11+M822*'01_설정'!$B$12+N822*50)</f>
        <v/>
      </c>
      <c r="T822">
        <f>IF(S822="","",1+COUNTIFS($S$31:$S$1030,"&gt;"&amp;S822)+COUNTIFS($S$31:S822,S822)-1)</f>
        <v/>
      </c>
    </row>
    <row r="823" hidden="1" ht="16.5" customHeight="1">
      <c r="A823">
        <f>IF(COUNTA('05_KAPA'!$A794:$AO794)=0,"",796)</f>
        <v/>
      </c>
      <c r="B823">
        <f>IF($A823="","",INDEX('05_KAPA'!$B:$B,$A823))</f>
        <v/>
      </c>
      <c r="C823">
        <f>IF($A823="","",INDEX('05_KAPA'!$F:$F,$A823))</f>
        <v/>
      </c>
      <c r="D823">
        <f>IF($A823="","",INDEX('05_KAPA'!$H:$H,$A823))</f>
        <v/>
      </c>
      <c r="E823">
        <f>IF($A823="","",INDEX('05_KAPA'!$K:$K,$A823))</f>
        <v/>
      </c>
      <c r="F823">
        <f>IF($A823="","",INDEX('05_KAPA'!$L:$L,$A823))</f>
        <v/>
      </c>
      <c r="G823">
        <f>IF($A823="","",INDEX('05_KAPA'!$I:$I,$A823))</f>
        <v/>
      </c>
      <c r="H823" s="202">
        <f>IF($A823="","",INDEX('05_KAPA'!$P:$P,$A823))</f>
        <v/>
      </c>
      <c r="I823" s="118">
        <f>IF($A823="","",INDEX('05_KAPA'!$O:$O,$A823))</f>
        <v/>
      </c>
      <c r="J823" s="202">
        <f>IF($A823="","",IFERROR(DATE(LEFT(TEXT(INDEX('05_KAPA'!$T:$T,$A823),"0"),4),MID(TEXT(INDEX('05_KAPA'!$T:$T,$A823),"0"),5,2),RIGHT(TEXT(INDEX('05_KAPA'!$T:$T,$A823),"0"),2)),""))</f>
        <v/>
      </c>
      <c r="K823">
        <f>IF(C823="","",IF('02_대상물건입력'!$B$5="",1,IF(ISNUMBER(SEARCH('02_대상물건입력'!$B$5,C823)),1,0)))</f>
        <v/>
      </c>
      <c r="L823">
        <f>IF(C823="","",IF('02_대상물건입력'!$B$6="",1,IF(ISNUMBER(SEARCH('02_대상물건입력'!$B$6,C823)),1,0)))</f>
        <v/>
      </c>
      <c r="M823">
        <f>IF(E823="","",IF('02_대상물건입력'!$B$8="",0,IF(ISNUMBER(SEARCH('02_대상물건입력'!$B$8,E823)),1,0)))</f>
        <v/>
      </c>
      <c r="N823">
        <f>IF(B823="","",IF(B823="담보",1,0))</f>
        <v/>
      </c>
      <c r="O823">
        <f>IFERROR(ABS(G823-'02_대상물건입력'!$B$11)/'02_대상물건입력'!$B$11,"")</f>
        <v/>
      </c>
      <c r="P823">
        <f>IFERROR(ABS('01_설정'!$B$4-H823),"")</f>
        <v/>
      </c>
      <c r="Q823">
        <f>IFERROR(ABS(YEAR(J823)-YEAR('02_대상물건입력'!$B$14)),"")</f>
        <v/>
      </c>
      <c r="R823">
        <f>IF(AND(G823&gt;0,H823&gt;0,I823&gt;0,N823=1,IF('01_설정'!$B$10=1,K823=1,TRUE()),O823&lt;='01_설정'!$B$5,P823&lt;='01_설정'!$B$7,Q823&lt;='01_설정'!$B$8),"Y","")</f>
        <v/>
      </c>
      <c r="S823">
        <f>IF(R823&lt;&gt;"Y","",MAX(0,(1-O823/'01_설정'!$B$5))*'01_설정'!$B$14+MAX(0,(1-P823/'01_설정'!$B$7))*'01_설정'!$B$16+MAX(0,(1-Q823/'01_설정'!$B$8))*'01_설정'!$B$17+L823*'01_설정'!$B$11+M823*'01_설정'!$B$12+N823*50)</f>
        <v/>
      </c>
      <c r="T823">
        <f>IF(S823="","",1+COUNTIFS($S$31:$S$1030,"&gt;"&amp;S823)+COUNTIFS($S$31:S823,S823)-1)</f>
        <v/>
      </c>
    </row>
    <row r="824" hidden="1" ht="16.5" customHeight="1">
      <c r="A824">
        <f>IF(COUNTA('05_KAPA'!$A795:$AO795)=0,"",797)</f>
        <v/>
      </c>
      <c r="B824">
        <f>IF($A824="","",INDEX('05_KAPA'!$B:$B,$A824))</f>
        <v/>
      </c>
      <c r="C824">
        <f>IF($A824="","",INDEX('05_KAPA'!$F:$F,$A824))</f>
        <v/>
      </c>
      <c r="D824">
        <f>IF($A824="","",INDEX('05_KAPA'!$H:$H,$A824))</f>
        <v/>
      </c>
      <c r="E824">
        <f>IF($A824="","",INDEX('05_KAPA'!$K:$K,$A824))</f>
        <v/>
      </c>
      <c r="F824">
        <f>IF($A824="","",INDEX('05_KAPA'!$L:$L,$A824))</f>
        <v/>
      </c>
      <c r="G824">
        <f>IF($A824="","",INDEX('05_KAPA'!$I:$I,$A824))</f>
        <v/>
      </c>
      <c r="H824" s="202">
        <f>IF($A824="","",INDEX('05_KAPA'!$P:$P,$A824))</f>
        <v/>
      </c>
      <c r="I824" s="118">
        <f>IF($A824="","",INDEX('05_KAPA'!$O:$O,$A824))</f>
        <v/>
      </c>
      <c r="J824" s="202">
        <f>IF($A824="","",IFERROR(DATE(LEFT(TEXT(INDEX('05_KAPA'!$T:$T,$A824),"0"),4),MID(TEXT(INDEX('05_KAPA'!$T:$T,$A824),"0"),5,2),RIGHT(TEXT(INDEX('05_KAPA'!$T:$T,$A824),"0"),2)),""))</f>
        <v/>
      </c>
      <c r="K824">
        <f>IF(C824="","",IF('02_대상물건입력'!$B$5="",1,IF(ISNUMBER(SEARCH('02_대상물건입력'!$B$5,C824)),1,0)))</f>
        <v/>
      </c>
      <c r="L824">
        <f>IF(C824="","",IF('02_대상물건입력'!$B$6="",1,IF(ISNUMBER(SEARCH('02_대상물건입력'!$B$6,C824)),1,0)))</f>
        <v/>
      </c>
      <c r="M824">
        <f>IF(E824="","",IF('02_대상물건입력'!$B$8="",0,IF(ISNUMBER(SEARCH('02_대상물건입력'!$B$8,E824)),1,0)))</f>
        <v/>
      </c>
      <c r="N824">
        <f>IF(B824="","",IF(B824="담보",1,0))</f>
        <v/>
      </c>
      <c r="O824">
        <f>IFERROR(ABS(G824-'02_대상물건입력'!$B$11)/'02_대상물건입력'!$B$11,"")</f>
        <v/>
      </c>
      <c r="P824">
        <f>IFERROR(ABS('01_설정'!$B$4-H824),"")</f>
        <v/>
      </c>
      <c r="Q824">
        <f>IFERROR(ABS(YEAR(J824)-YEAR('02_대상물건입력'!$B$14)),"")</f>
        <v/>
      </c>
      <c r="R824">
        <f>IF(AND(G824&gt;0,H824&gt;0,I824&gt;0,N824=1,IF('01_설정'!$B$10=1,K824=1,TRUE()),O824&lt;='01_설정'!$B$5,P824&lt;='01_설정'!$B$7,Q824&lt;='01_설정'!$B$8),"Y","")</f>
        <v/>
      </c>
      <c r="S824">
        <f>IF(R824&lt;&gt;"Y","",MAX(0,(1-O824/'01_설정'!$B$5))*'01_설정'!$B$14+MAX(0,(1-P824/'01_설정'!$B$7))*'01_설정'!$B$16+MAX(0,(1-Q824/'01_설정'!$B$8))*'01_설정'!$B$17+L824*'01_설정'!$B$11+M824*'01_설정'!$B$12+N824*50)</f>
        <v/>
      </c>
      <c r="T824">
        <f>IF(S824="","",1+COUNTIFS($S$31:$S$1030,"&gt;"&amp;S824)+COUNTIFS($S$31:S824,S824)-1)</f>
        <v/>
      </c>
    </row>
    <row r="825" hidden="1" ht="16.5" customHeight="1">
      <c r="A825">
        <f>IF(COUNTA('05_KAPA'!$A796:$AO796)=0,"",798)</f>
        <v/>
      </c>
      <c r="B825">
        <f>IF($A825="","",INDEX('05_KAPA'!$B:$B,$A825))</f>
        <v/>
      </c>
      <c r="C825">
        <f>IF($A825="","",INDEX('05_KAPA'!$F:$F,$A825))</f>
        <v/>
      </c>
      <c r="D825">
        <f>IF($A825="","",INDEX('05_KAPA'!$H:$H,$A825))</f>
        <v/>
      </c>
      <c r="E825">
        <f>IF($A825="","",INDEX('05_KAPA'!$K:$K,$A825))</f>
        <v/>
      </c>
      <c r="F825">
        <f>IF($A825="","",INDEX('05_KAPA'!$L:$L,$A825))</f>
        <v/>
      </c>
      <c r="G825">
        <f>IF($A825="","",INDEX('05_KAPA'!$I:$I,$A825))</f>
        <v/>
      </c>
      <c r="H825" s="202">
        <f>IF($A825="","",INDEX('05_KAPA'!$P:$P,$A825))</f>
        <v/>
      </c>
      <c r="I825" s="118">
        <f>IF($A825="","",INDEX('05_KAPA'!$O:$O,$A825))</f>
        <v/>
      </c>
      <c r="J825" s="202">
        <f>IF($A825="","",IFERROR(DATE(LEFT(TEXT(INDEX('05_KAPA'!$T:$T,$A825),"0"),4),MID(TEXT(INDEX('05_KAPA'!$T:$T,$A825),"0"),5,2),RIGHT(TEXT(INDEX('05_KAPA'!$T:$T,$A825),"0"),2)),""))</f>
        <v/>
      </c>
      <c r="K825">
        <f>IF(C825="","",IF('02_대상물건입력'!$B$5="",1,IF(ISNUMBER(SEARCH('02_대상물건입력'!$B$5,C825)),1,0)))</f>
        <v/>
      </c>
      <c r="L825">
        <f>IF(C825="","",IF('02_대상물건입력'!$B$6="",1,IF(ISNUMBER(SEARCH('02_대상물건입력'!$B$6,C825)),1,0)))</f>
        <v/>
      </c>
      <c r="M825">
        <f>IF(E825="","",IF('02_대상물건입력'!$B$8="",0,IF(ISNUMBER(SEARCH('02_대상물건입력'!$B$8,E825)),1,0)))</f>
        <v/>
      </c>
      <c r="N825">
        <f>IF(B825="","",IF(B825="담보",1,0))</f>
        <v/>
      </c>
      <c r="O825">
        <f>IFERROR(ABS(G825-'02_대상물건입력'!$B$11)/'02_대상물건입력'!$B$11,"")</f>
        <v/>
      </c>
      <c r="P825">
        <f>IFERROR(ABS('01_설정'!$B$4-H825),"")</f>
        <v/>
      </c>
      <c r="Q825">
        <f>IFERROR(ABS(YEAR(J825)-YEAR('02_대상물건입력'!$B$14)),"")</f>
        <v/>
      </c>
      <c r="R825">
        <f>IF(AND(G825&gt;0,H825&gt;0,I825&gt;0,N825=1,IF('01_설정'!$B$10=1,K825=1,TRUE()),O825&lt;='01_설정'!$B$5,P825&lt;='01_설정'!$B$7,Q825&lt;='01_설정'!$B$8),"Y","")</f>
        <v/>
      </c>
      <c r="S825">
        <f>IF(R825&lt;&gt;"Y","",MAX(0,(1-O825/'01_설정'!$B$5))*'01_설정'!$B$14+MAX(0,(1-P825/'01_설정'!$B$7))*'01_설정'!$B$16+MAX(0,(1-Q825/'01_설정'!$B$8))*'01_설정'!$B$17+L825*'01_설정'!$B$11+M825*'01_설정'!$B$12+N825*50)</f>
        <v/>
      </c>
      <c r="T825">
        <f>IF(S825="","",1+COUNTIFS($S$31:$S$1030,"&gt;"&amp;S825)+COUNTIFS($S$31:S825,S825)-1)</f>
        <v/>
      </c>
    </row>
    <row r="826" hidden="1" ht="16.5" customHeight="1">
      <c r="A826">
        <f>IF(COUNTA('05_KAPA'!$A797:$AO797)=0,"",799)</f>
        <v/>
      </c>
      <c r="B826">
        <f>IF($A826="","",INDEX('05_KAPA'!$B:$B,$A826))</f>
        <v/>
      </c>
      <c r="C826">
        <f>IF($A826="","",INDEX('05_KAPA'!$F:$F,$A826))</f>
        <v/>
      </c>
      <c r="D826">
        <f>IF($A826="","",INDEX('05_KAPA'!$H:$H,$A826))</f>
        <v/>
      </c>
      <c r="E826">
        <f>IF($A826="","",INDEX('05_KAPA'!$K:$K,$A826))</f>
        <v/>
      </c>
      <c r="F826">
        <f>IF($A826="","",INDEX('05_KAPA'!$L:$L,$A826))</f>
        <v/>
      </c>
      <c r="G826">
        <f>IF($A826="","",INDEX('05_KAPA'!$I:$I,$A826))</f>
        <v/>
      </c>
      <c r="H826" s="202">
        <f>IF($A826="","",INDEX('05_KAPA'!$P:$P,$A826))</f>
        <v/>
      </c>
      <c r="I826" s="118">
        <f>IF($A826="","",INDEX('05_KAPA'!$O:$O,$A826))</f>
        <v/>
      </c>
      <c r="J826" s="202">
        <f>IF($A826="","",IFERROR(DATE(LEFT(TEXT(INDEX('05_KAPA'!$T:$T,$A826),"0"),4),MID(TEXT(INDEX('05_KAPA'!$T:$T,$A826),"0"),5,2),RIGHT(TEXT(INDEX('05_KAPA'!$T:$T,$A826),"0"),2)),""))</f>
        <v/>
      </c>
      <c r="K826">
        <f>IF(C826="","",IF('02_대상물건입력'!$B$5="",1,IF(ISNUMBER(SEARCH('02_대상물건입력'!$B$5,C826)),1,0)))</f>
        <v/>
      </c>
      <c r="L826">
        <f>IF(C826="","",IF('02_대상물건입력'!$B$6="",1,IF(ISNUMBER(SEARCH('02_대상물건입력'!$B$6,C826)),1,0)))</f>
        <v/>
      </c>
      <c r="M826">
        <f>IF(E826="","",IF('02_대상물건입력'!$B$8="",0,IF(ISNUMBER(SEARCH('02_대상물건입력'!$B$8,E826)),1,0)))</f>
        <v/>
      </c>
      <c r="N826">
        <f>IF(B826="","",IF(B826="담보",1,0))</f>
        <v/>
      </c>
      <c r="O826">
        <f>IFERROR(ABS(G826-'02_대상물건입력'!$B$11)/'02_대상물건입력'!$B$11,"")</f>
        <v/>
      </c>
      <c r="P826">
        <f>IFERROR(ABS('01_설정'!$B$4-H826),"")</f>
        <v/>
      </c>
      <c r="Q826">
        <f>IFERROR(ABS(YEAR(J826)-YEAR('02_대상물건입력'!$B$14)),"")</f>
        <v/>
      </c>
      <c r="R826">
        <f>IF(AND(G826&gt;0,H826&gt;0,I826&gt;0,N826=1,IF('01_설정'!$B$10=1,K826=1,TRUE()),O826&lt;='01_설정'!$B$5,P826&lt;='01_설정'!$B$7,Q826&lt;='01_설정'!$B$8),"Y","")</f>
        <v/>
      </c>
      <c r="S826">
        <f>IF(R826&lt;&gt;"Y","",MAX(0,(1-O826/'01_설정'!$B$5))*'01_설정'!$B$14+MAX(0,(1-P826/'01_설정'!$B$7))*'01_설정'!$B$16+MAX(0,(1-Q826/'01_설정'!$B$8))*'01_설정'!$B$17+L826*'01_설정'!$B$11+M826*'01_설정'!$B$12+N826*50)</f>
        <v/>
      </c>
      <c r="T826">
        <f>IF(S826="","",1+COUNTIFS($S$31:$S$1030,"&gt;"&amp;S826)+COUNTIFS($S$31:S826,S826)-1)</f>
        <v/>
      </c>
    </row>
    <row r="827" hidden="1" ht="16.5" customHeight="1">
      <c r="A827">
        <f>IF(COUNTA('05_KAPA'!$A798:$AO798)=0,"",800)</f>
        <v/>
      </c>
      <c r="B827">
        <f>IF($A827="","",INDEX('05_KAPA'!$B:$B,$A827))</f>
        <v/>
      </c>
      <c r="C827">
        <f>IF($A827="","",INDEX('05_KAPA'!$F:$F,$A827))</f>
        <v/>
      </c>
      <c r="D827">
        <f>IF($A827="","",INDEX('05_KAPA'!$H:$H,$A827))</f>
        <v/>
      </c>
      <c r="E827">
        <f>IF($A827="","",INDEX('05_KAPA'!$K:$K,$A827))</f>
        <v/>
      </c>
      <c r="F827">
        <f>IF($A827="","",INDEX('05_KAPA'!$L:$L,$A827))</f>
        <v/>
      </c>
      <c r="G827">
        <f>IF($A827="","",INDEX('05_KAPA'!$I:$I,$A827))</f>
        <v/>
      </c>
      <c r="H827" s="202">
        <f>IF($A827="","",INDEX('05_KAPA'!$P:$P,$A827))</f>
        <v/>
      </c>
      <c r="I827" s="118">
        <f>IF($A827="","",INDEX('05_KAPA'!$O:$O,$A827))</f>
        <v/>
      </c>
      <c r="J827" s="202">
        <f>IF($A827="","",IFERROR(DATE(LEFT(TEXT(INDEX('05_KAPA'!$T:$T,$A827),"0"),4),MID(TEXT(INDEX('05_KAPA'!$T:$T,$A827),"0"),5,2),RIGHT(TEXT(INDEX('05_KAPA'!$T:$T,$A827),"0"),2)),""))</f>
        <v/>
      </c>
      <c r="K827">
        <f>IF(C827="","",IF('02_대상물건입력'!$B$5="",1,IF(ISNUMBER(SEARCH('02_대상물건입력'!$B$5,C827)),1,0)))</f>
        <v/>
      </c>
      <c r="L827">
        <f>IF(C827="","",IF('02_대상물건입력'!$B$6="",1,IF(ISNUMBER(SEARCH('02_대상물건입력'!$B$6,C827)),1,0)))</f>
        <v/>
      </c>
      <c r="M827">
        <f>IF(E827="","",IF('02_대상물건입력'!$B$8="",0,IF(ISNUMBER(SEARCH('02_대상물건입력'!$B$8,E827)),1,0)))</f>
        <v/>
      </c>
      <c r="N827">
        <f>IF(B827="","",IF(B827="담보",1,0))</f>
        <v/>
      </c>
      <c r="O827">
        <f>IFERROR(ABS(G827-'02_대상물건입력'!$B$11)/'02_대상물건입력'!$B$11,"")</f>
        <v/>
      </c>
      <c r="P827">
        <f>IFERROR(ABS('01_설정'!$B$4-H827),"")</f>
        <v/>
      </c>
      <c r="Q827">
        <f>IFERROR(ABS(YEAR(J827)-YEAR('02_대상물건입력'!$B$14)),"")</f>
        <v/>
      </c>
      <c r="R827">
        <f>IF(AND(G827&gt;0,H827&gt;0,I827&gt;0,N827=1,IF('01_설정'!$B$10=1,K827=1,TRUE()),O827&lt;='01_설정'!$B$5,P827&lt;='01_설정'!$B$7,Q827&lt;='01_설정'!$B$8),"Y","")</f>
        <v/>
      </c>
      <c r="S827">
        <f>IF(R827&lt;&gt;"Y","",MAX(0,(1-O827/'01_설정'!$B$5))*'01_설정'!$B$14+MAX(0,(1-P827/'01_설정'!$B$7))*'01_설정'!$B$16+MAX(0,(1-Q827/'01_설정'!$B$8))*'01_설정'!$B$17+L827*'01_설정'!$B$11+M827*'01_설정'!$B$12+N827*50)</f>
        <v/>
      </c>
      <c r="T827">
        <f>IF(S827="","",1+COUNTIFS($S$31:$S$1030,"&gt;"&amp;S827)+COUNTIFS($S$31:S827,S827)-1)</f>
        <v/>
      </c>
    </row>
    <row r="828" hidden="1" ht="16.5" customHeight="1">
      <c r="A828">
        <f>IF(COUNTA('05_KAPA'!$A799:$AO799)=0,"",801)</f>
        <v/>
      </c>
      <c r="B828">
        <f>IF($A828="","",INDEX('05_KAPA'!$B:$B,$A828))</f>
        <v/>
      </c>
      <c r="C828">
        <f>IF($A828="","",INDEX('05_KAPA'!$F:$F,$A828))</f>
        <v/>
      </c>
      <c r="D828">
        <f>IF($A828="","",INDEX('05_KAPA'!$H:$H,$A828))</f>
        <v/>
      </c>
      <c r="E828">
        <f>IF($A828="","",INDEX('05_KAPA'!$K:$K,$A828))</f>
        <v/>
      </c>
      <c r="F828">
        <f>IF($A828="","",INDEX('05_KAPA'!$L:$L,$A828))</f>
        <v/>
      </c>
      <c r="G828">
        <f>IF($A828="","",INDEX('05_KAPA'!$I:$I,$A828))</f>
        <v/>
      </c>
      <c r="H828" s="202">
        <f>IF($A828="","",INDEX('05_KAPA'!$P:$P,$A828))</f>
        <v/>
      </c>
      <c r="I828" s="118">
        <f>IF($A828="","",INDEX('05_KAPA'!$O:$O,$A828))</f>
        <v/>
      </c>
      <c r="J828" s="202">
        <f>IF($A828="","",IFERROR(DATE(LEFT(TEXT(INDEX('05_KAPA'!$T:$T,$A828),"0"),4),MID(TEXT(INDEX('05_KAPA'!$T:$T,$A828),"0"),5,2),RIGHT(TEXT(INDEX('05_KAPA'!$T:$T,$A828),"0"),2)),""))</f>
        <v/>
      </c>
      <c r="K828">
        <f>IF(C828="","",IF('02_대상물건입력'!$B$5="",1,IF(ISNUMBER(SEARCH('02_대상물건입력'!$B$5,C828)),1,0)))</f>
        <v/>
      </c>
      <c r="L828">
        <f>IF(C828="","",IF('02_대상물건입력'!$B$6="",1,IF(ISNUMBER(SEARCH('02_대상물건입력'!$B$6,C828)),1,0)))</f>
        <v/>
      </c>
      <c r="M828">
        <f>IF(E828="","",IF('02_대상물건입력'!$B$8="",0,IF(ISNUMBER(SEARCH('02_대상물건입력'!$B$8,E828)),1,0)))</f>
        <v/>
      </c>
      <c r="N828">
        <f>IF(B828="","",IF(B828="담보",1,0))</f>
        <v/>
      </c>
      <c r="O828">
        <f>IFERROR(ABS(G828-'02_대상물건입력'!$B$11)/'02_대상물건입력'!$B$11,"")</f>
        <v/>
      </c>
      <c r="P828">
        <f>IFERROR(ABS('01_설정'!$B$4-H828),"")</f>
        <v/>
      </c>
      <c r="Q828">
        <f>IFERROR(ABS(YEAR(J828)-YEAR('02_대상물건입력'!$B$14)),"")</f>
        <v/>
      </c>
      <c r="R828">
        <f>IF(AND(G828&gt;0,H828&gt;0,I828&gt;0,N828=1,IF('01_설정'!$B$10=1,K828=1,TRUE()),O828&lt;='01_설정'!$B$5,P828&lt;='01_설정'!$B$7,Q828&lt;='01_설정'!$B$8),"Y","")</f>
        <v/>
      </c>
      <c r="S828">
        <f>IF(R828&lt;&gt;"Y","",MAX(0,(1-O828/'01_설정'!$B$5))*'01_설정'!$B$14+MAX(0,(1-P828/'01_설정'!$B$7))*'01_설정'!$B$16+MAX(0,(1-Q828/'01_설정'!$B$8))*'01_설정'!$B$17+L828*'01_설정'!$B$11+M828*'01_설정'!$B$12+N828*50)</f>
        <v/>
      </c>
      <c r="T828">
        <f>IF(S828="","",1+COUNTIFS($S$31:$S$1030,"&gt;"&amp;S828)+COUNTIFS($S$31:S828,S828)-1)</f>
        <v/>
      </c>
    </row>
    <row r="829" hidden="1" ht="16.5" customHeight="1">
      <c r="A829">
        <f>IF(COUNTA('05_KAPA'!$A800:$AO800)=0,"",802)</f>
        <v/>
      </c>
      <c r="B829">
        <f>IF($A829="","",INDEX('05_KAPA'!$B:$B,$A829))</f>
        <v/>
      </c>
      <c r="C829">
        <f>IF($A829="","",INDEX('05_KAPA'!$F:$F,$A829))</f>
        <v/>
      </c>
      <c r="D829">
        <f>IF($A829="","",INDEX('05_KAPA'!$H:$H,$A829))</f>
        <v/>
      </c>
      <c r="E829">
        <f>IF($A829="","",INDEX('05_KAPA'!$K:$K,$A829))</f>
        <v/>
      </c>
      <c r="F829">
        <f>IF($A829="","",INDEX('05_KAPA'!$L:$L,$A829))</f>
        <v/>
      </c>
      <c r="G829">
        <f>IF($A829="","",INDEX('05_KAPA'!$I:$I,$A829))</f>
        <v/>
      </c>
      <c r="H829" s="202">
        <f>IF($A829="","",INDEX('05_KAPA'!$P:$P,$A829))</f>
        <v/>
      </c>
      <c r="I829" s="118">
        <f>IF($A829="","",INDEX('05_KAPA'!$O:$O,$A829))</f>
        <v/>
      </c>
      <c r="J829" s="202">
        <f>IF($A829="","",IFERROR(DATE(LEFT(TEXT(INDEX('05_KAPA'!$T:$T,$A829),"0"),4),MID(TEXT(INDEX('05_KAPA'!$T:$T,$A829),"0"),5,2),RIGHT(TEXT(INDEX('05_KAPA'!$T:$T,$A829),"0"),2)),""))</f>
        <v/>
      </c>
      <c r="K829">
        <f>IF(C829="","",IF('02_대상물건입력'!$B$5="",1,IF(ISNUMBER(SEARCH('02_대상물건입력'!$B$5,C829)),1,0)))</f>
        <v/>
      </c>
      <c r="L829">
        <f>IF(C829="","",IF('02_대상물건입력'!$B$6="",1,IF(ISNUMBER(SEARCH('02_대상물건입력'!$B$6,C829)),1,0)))</f>
        <v/>
      </c>
      <c r="M829">
        <f>IF(E829="","",IF('02_대상물건입력'!$B$8="",0,IF(ISNUMBER(SEARCH('02_대상물건입력'!$B$8,E829)),1,0)))</f>
        <v/>
      </c>
      <c r="N829">
        <f>IF(B829="","",IF(B829="담보",1,0))</f>
        <v/>
      </c>
      <c r="O829">
        <f>IFERROR(ABS(G829-'02_대상물건입력'!$B$11)/'02_대상물건입력'!$B$11,"")</f>
        <v/>
      </c>
      <c r="P829">
        <f>IFERROR(ABS('01_설정'!$B$4-H829),"")</f>
        <v/>
      </c>
      <c r="Q829">
        <f>IFERROR(ABS(YEAR(J829)-YEAR('02_대상물건입력'!$B$14)),"")</f>
        <v/>
      </c>
      <c r="R829">
        <f>IF(AND(G829&gt;0,H829&gt;0,I829&gt;0,N829=1,IF('01_설정'!$B$10=1,K829=1,TRUE()),O829&lt;='01_설정'!$B$5,P829&lt;='01_설정'!$B$7,Q829&lt;='01_설정'!$B$8),"Y","")</f>
        <v/>
      </c>
      <c r="S829">
        <f>IF(R829&lt;&gt;"Y","",MAX(0,(1-O829/'01_설정'!$B$5))*'01_설정'!$B$14+MAX(0,(1-P829/'01_설정'!$B$7))*'01_설정'!$B$16+MAX(0,(1-Q829/'01_설정'!$B$8))*'01_설정'!$B$17+L829*'01_설정'!$B$11+M829*'01_설정'!$B$12+N829*50)</f>
        <v/>
      </c>
      <c r="T829">
        <f>IF(S829="","",1+COUNTIFS($S$31:$S$1030,"&gt;"&amp;S829)+COUNTIFS($S$31:S829,S829)-1)</f>
        <v/>
      </c>
    </row>
    <row r="830" hidden="1" ht="16.5" customHeight="1">
      <c r="A830">
        <f>IF(COUNTA('05_KAPA'!$A801:$AO801)=0,"",803)</f>
        <v/>
      </c>
      <c r="B830">
        <f>IF($A830="","",INDEX('05_KAPA'!$B:$B,$A830))</f>
        <v/>
      </c>
      <c r="C830">
        <f>IF($A830="","",INDEX('05_KAPA'!$F:$F,$A830))</f>
        <v/>
      </c>
      <c r="D830">
        <f>IF($A830="","",INDEX('05_KAPA'!$H:$H,$A830))</f>
        <v/>
      </c>
      <c r="E830">
        <f>IF($A830="","",INDEX('05_KAPA'!$K:$K,$A830))</f>
        <v/>
      </c>
      <c r="F830">
        <f>IF($A830="","",INDEX('05_KAPA'!$L:$L,$A830))</f>
        <v/>
      </c>
      <c r="G830">
        <f>IF($A830="","",INDEX('05_KAPA'!$I:$I,$A830))</f>
        <v/>
      </c>
      <c r="H830" s="202">
        <f>IF($A830="","",INDEX('05_KAPA'!$P:$P,$A830))</f>
        <v/>
      </c>
      <c r="I830" s="118">
        <f>IF($A830="","",INDEX('05_KAPA'!$O:$O,$A830))</f>
        <v/>
      </c>
      <c r="J830" s="202">
        <f>IF($A830="","",IFERROR(DATE(LEFT(TEXT(INDEX('05_KAPA'!$T:$T,$A830),"0"),4),MID(TEXT(INDEX('05_KAPA'!$T:$T,$A830),"0"),5,2),RIGHT(TEXT(INDEX('05_KAPA'!$T:$T,$A830),"0"),2)),""))</f>
        <v/>
      </c>
      <c r="K830">
        <f>IF(C830="","",IF('02_대상물건입력'!$B$5="",1,IF(ISNUMBER(SEARCH('02_대상물건입력'!$B$5,C830)),1,0)))</f>
        <v/>
      </c>
      <c r="L830">
        <f>IF(C830="","",IF('02_대상물건입력'!$B$6="",1,IF(ISNUMBER(SEARCH('02_대상물건입력'!$B$6,C830)),1,0)))</f>
        <v/>
      </c>
      <c r="M830">
        <f>IF(E830="","",IF('02_대상물건입력'!$B$8="",0,IF(ISNUMBER(SEARCH('02_대상물건입력'!$B$8,E830)),1,0)))</f>
        <v/>
      </c>
      <c r="N830">
        <f>IF(B830="","",IF(B830="담보",1,0))</f>
        <v/>
      </c>
      <c r="O830">
        <f>IFERROR(ABS(G830-'02_대상물건입력'!$B$11)/'02_대상물건입력'!$B$11,"")</f>
        <v/>
      </c>
      <c r="P830">
        <f>IFERROR(ABS('01_설정'!$B$4-H830),"")</f>
        <v/>
      </c>
      <c r="Q830">
        <f>IFERROR(ABS(YEAR(J830)-YEAR('02_대상물건입력'!$B$14)),"")</f>
        <v/>
      </c>
      <c r="R830">
        <f>IF(AND(G830&gt;0,H830&gt;0,I830&gt;0,N830=1,IF('01_설정'!$B$10=1,K830=1,TRUE()),O830&lt;='01_설정'!$B$5,P830&lt;='01_설정'!$B$7,Q830&lt;='01_설정'!$B$8),"Y","")</f>
        <v/>
      </c>
      <c r="S830">
        <f>IF(R830&lt;&gt;"Y","",MAX(0,(1-O830/'01_설정'!$B$5))*'01_설정'!$B$14+MAX(0,(1-P830/'01_설정'!$B$7))*'01_설정'!$B$16+MAX(0,(1-Q830/'01_설정'!$B$8))*'01_설정'!$B$17+L830*'01_설정'!$B$11+M830*'01_설정'!$B$12+N830*50)</f>
        <v/>
      </c>
      <c r="T830">
        <f>IF(S830="","",1+COUNTIFS($S$31:$S$1030,"&gt;"&amp;S830)+COUNTIFS($S$31:S830,S830)-1)</f>
        <v/>
      </c>
    </row>
    <row r="831" hidden="1" ht="16.5" customHeight="1">
      <c r="A831">
        <f>IF(COUNTA('05_KAPA'!$A802:$AO802)=0,"",804)</f>
        <v/>
      </c>
      <c r="B831">
        <f>IF($A831="","",INDEX('05_KAPA'!$B:$B,$A831))</f>
        <v/>
      </c>
      <c r="C831">
        <f>IF($A831="","",INDEX('05_KAPA'!$F:$F,$A831))</f>
        <v/>
      </c>
      <c r="D831">
        <f>IF($A831="","",INDEX('05_KAPA'!$H:$H,$A831))</f>
        <v/>
      </c>
      <c r="E831">
        <f>IF($A831="","",INDEX('05_KAPA'!$K:$K,$A831))</f>
        <v/>
      </c>
      <c r="F831">
        <f>IF($A831="","",INDEX('05_KAPA'!$L:$L,$A831))</f>
        <v/>
      </c>
      <c r="G831">
        <f>IF($A831="","",INDEX('05_KAPA'!$I:$I,$A831))</f>
        <v/>
      </c>
      <c r="H831" s="202">
        <f>IF($A831="","",INDEX('05_KAPA'!$P:$P,$A831))</f>
        <v/>
      </c>
      <c r="I831" s="118">
        <f>IF($A831="","",INDEX('05_KAPA'!$O:$O,$A831))</f>
        <v/>
      </c>
      <c r="J831" s="202">
        <f>IF($A831="","",IFERROR(DATE(LEFT(TEXT(INDEX('05_KAPA'!$T:$T,$A831),"0"),4),MID(TEXT(INDEX('05_KAPA'!$T:$T,$A831),"0"),5,2),RIGHT(TEXT(INDEX('05_KAPA'!$T:$T,$A831),"0"),2)),""))</f>
        <v/>
      </c>
      <c r="K831">
        <f>IF(C831="","",IF('02_대상물건입력'!$B$5="",1,IF(ISNUMBER(SEARCH('02_대상물건입력'!$B$5,C831)),1,0)))</f>
        <v/>
      </c>
      <c r="L831">
        <f>IF(C831="","",IF('02_대상물건입력'!$B$6="",1,IF(ISNUMBER(SEARCH('02_대상물건입력'!$B$6,C831)),1,0)))</f>
        <v/>
      </c>
      <c r="M831">
        <f>IF(E831="","",IF('02_대상물건입력'!$B$8="",0,IF(ISNUMBER(SEARCH('02_대상물건입력'!$B$8,E831)),1,0)))</f>
        <v/>
      </c>
      <c r="N831">
        <f>IF(B831="","",IF(B831="담보",1,0))</f>
        <v/>
      </c>
      <c r="O831">
        <f>IFERROR(ABS(G831-'02_대상물건입력'!$B$11)/'02_대상물건입력'!$B$11,"")</f>
        <v/>
      </c>
      <c r="P831">
        <f>IFERROR(ABS('01_설정'!$B$4-H831),"")</f>
        <v/>
      </c>
      <c r="Q831">
        <f>IFERROR(ABS(YEAR(J831)-YEAR('02_대상물건입력'!$B$14)),"")</f>
        <v/>
      </c>
      <c r="R831">
        <f>IF(AND(G831&gt;0,H831&gt;0,I831&gt;0,N831=1,IF('01_설정'!$B$10=1,K831=1,TRUE()),O831&lt;='01_설정'!$B$5,P831&lt;='01_설정'!$B$7,Q831&lt;='01_설정'!$B$8),"Y","")</f>
        <v/>
      </c>
      <c r="S831">
        <f>IF(R831&lt;&gt;"Y","",MAX(0,(1-O831/'01_설정'!$B$5))*'01_설정'!$B$14+MAX(0,(1-P831/'01_설정'!$B$7))*'01_설정'!$B$16+MAX(0,(1-Q831/'01_설정'!$B$8))*'01_설정'!$B$17+L831*'01_설정'!$B$11+M831*'01_설정'!$B$12+N831*50)</f>
        <v/>
      </c>
      <c r="T831">
        <f>IF(S831="","",1+COUNTIFS($S$31:$S$1030,"&gt;"&amp;S831)+COUNTIFS($S$31:S831,S831)-1)</f>
        <v/>
      </c>
    </row>
    <row r="832" hidden="1" ht="16.5" customHeight="1">
      <c r="A832">
        <f>IF(COUNTA('05_KAPA'!$A803:$AO803)=0,"",805)</f>
        <v/>
      </c>
      <c r="B832">
        <f>IF($A832="","",INDEX('05_KAPA'!$B:$B,$A832))</f>
        <v/>
      </c>
      <c r="C832">
        <f>IF($A832="","",INDEX('05_KAPA'!$F:$F,$A832))</f>
        <v/>
      </c>
      <c r="D832">
        <f>IF($A832="","",INDEX('05_KAPA'!$H:$H,$A832))</f>
        <v/>
      </c>
      <c r="E832">
        <f>IF($A832="","",INDEX('05_KAPA'!$K:$K,$A832))</f>
        <v/>
      </c>
      <c r="F832">
        <f>IF($A832="","",INDEX('05_KAPA'!$L:$L,$A832))</f>
        <v/>
      </c>
      <c r="G832">
        <f>IF($A832="","",INDEX('05_KAPA'!$I:$I,$A832))</f>
        <v/>
      </c>
      <c r="H832" s="202">
        <f>IF($A832="","",INDEX('05_KAPA'!$P:$P,$A832))</f>
        <v/>
      </c>
      <c r="I832" s="118">
        <f>IF($A832="","",INDEX('05_KAPA'!$O:$O,$A832))</f>
        <v/>
      </c>
      <c r="J832" s="202">
        <f>IF($A832="","",IFERROR(DATE(LEFT(TEXT(INDEX('05_KAPA'!$T:$T,$A832),"0"),4),MID(TEXT(INDEX('05_KAPA'!$T:$T,$A832),"0"),5,2),RIGHT(TEXT(INDEX('05_KAPA'!$T:$T,$A832),"0"),2)),""))</f>
        <v/>
      </c>
      <c r="K832">
        <f>IF(C832="","",IF('02_대상물건입력'!$B$5="",1,IF(ISNUMBER(SEARCH('02_대상물건입력'!$B$5,C832)),1,0)))</f>
        <v/>
      </c>
      <c r="L832">
        <f>IF(C832="","",IF('02_대상물건입력'!$B$6="",1,IF(ISNUMBER(SEARCH('02_대상물건입력'!$B$6,C832)),1,0)))</f>
        <v/>
      </c>
      <c r="M832">
        <f>IF(E832="","",IF('02_대상물건입력'!$B$8="",0,IF(ISNUMBER(SEARCH('02_대상물건입력'!$B$8,E832)),1,0)))</f>
        <v/>
      </c>
      <c r="N832">
        <f>IF(B832="","",IF(B832="담보",1,0))</f>
        <v/>
      </c>
      <c r="O832">
        <f>IFERROR(ABS(G832-'02_대상물건입력'!$B$11)/'02_대상물건입력'!$B$11,"")</f>
        <v/>
      </c>
      <c r="P832">
        <f>IFERROR(ABS('01_설정'!$B$4-H832),"")</f>
        <v/>
      </c>
      <c r="Q832">
        <f>IFERROR(ABS(YEAR(J832)-YEAR('02_대상물건입력'!$B$14)),"")</f>
        <v/>
      </c>
      <c r="R832">
        <f>IF(AND(G832&gt;0,H832&gt;0,I832&gt;0,N832=1,IF('01_설정'!$B$10=1,K832=1,TRUE()),O832&lt;='01_설정'!$B$5,P832&lt;='01_설정'!$B$7,Q832&lt;='01_설정'!$B$8),"Y","")</f>
        <v/>
      </c>
      <c r="S832">
        <f>IF(R832&lt;&gt;"Y","",MAX(0,(1-O832/'01_설정'!$B$5))*'01_설정'!$B$14+MAX(0,(1-P832/'01_설정'!$B$7))*'01_설정'!$B$16+MAX(0,(1-Q832/'01_설정'!$B$8))*'01_설정'!$B$17+L832*'01_설정'!$B$11+M832*'01_설정'!$B$12+N832*50)</f>
        <v/>
      </c>
      <c r="T832">
        <f>IF(S832="","",1+COUNTIFS($S$31:$S$1030,"&gt;"&amp;S832)+COUNTIFS($S$31:S832,S832)-1)</f>
        <v/>
      </c>
    </row>
    <row r="833" hidden="1" ht="16.5" customHeight="1">
      <c r="A833">
        <f>IF(COUNTA('05_KAPA'!$A804:$AO804)=0,"",806)</f>
        <v/>
      </c>
      <c r="B833">
        <f>IF($A833="","",INDEX('05_KAPA'!$B:$B,$A833))</f>
        <v/>
      </c>
      <c r="C833">
        <f>IF($A833="","",INDEX('05_KAPA'!$F:$F,$A833))</f>
        <v/>
      </c>
      <c r="D833">
        <f>IF($A833="","",INDEX('05_KAPA'!$H:$H,$A833))</f>
        <v/>
      </c>
      <c r="E833">
        <f>IF($A833="","",INDEX('05_KAPA'!$K:$K,$A833))</f>
        <v/>
      </c>
      <c r="F833">
        <f>IF($A833="","",INDEX('05_KAPA'!$L:$L,$A833))</f>
        <v/>
      </c>
      <c r="G833">
        <f>IF($A833="","",INDEX('05_KAPA'!$I:$I,$A833))</f>
        <v/>
      </c>
      <c r="H833" s="202">
        <f>IF($A833="","",INDEX('05_KAPA'!$P:$P,$A833))</f>
        <v/>
      </c>
      <c r="I833" s="118">
        <f>IF($A833="","",INDEX('05_KAPA'!$O:$O,$A833))</f>
        <v/>
      </c>
      <c r="J833" s="202">
        <f>IF($A833="","",IFERROR(DATE(LEFT(TEXT(INDEX('05_KAPA'!$T:$T,$A833),"0"),4),MID(TEXT(INDEX('05_KAPA'!$T:$T,$A833),"0"),5,2),RIGHT(TEXT(INDEX('05_KAPA'!$T:$T,$A833),"0"),2)),""))</f>
        <v/>
      </c>
      <c r="K833">
        <f>IF(C833="","",IF('02_대상물건입력'!$B$5="",1,IF(ISNUMBER(SEARCH('02_대상물건입력'!$B$5,C833)),1,0)))</f>
        <v/>
      </c>
      <c r="L833">
        <f>IF(C833="","",IF('02_대상물건입력'!$B$6="",1,IF(ISNUMBER(SEARCH('02_대상물건입력'!$B$6,C833)),1,0)))</f>
        <v/>
      </c>
      <c r="M833">
        <f>IF(E833="","",IF('02_대상물건입력'!$B$8="",0,IF(ISNUMBER(SEARCH('02_대상물건입력'!$B$8,E833)),1,0)))</f>
        <v/>
      </c>
      <c r="N833">
        <f>IF(B833="","",IF(B833="담보",1,0))</f>
        <v/>
      </c>
      <c r="O833">
        <f>IFERROR(ABS(G833-'02_대상물건입력'!$B$11)/'02_대상물건입력'!$B$11,"")</f>
        <v/>
      </c>
      <c r="P833">
        <f>IFERROR(ABS('01_설정'!$B$4-H833),"")</f>
        <v/>
      </c>
      <c r="Q833">
        <f>IFERROR(ABS(YEAR(J833)-YEAR('02_대상물건입력'!$B$14)),"")</f>
        <v/>
      </c>
      <c r="R833">
        <f>IF(AND(G833&gt;0,H833&gt;0,I833&gt;0,N833=1,IF('01_설정'!$B$10=1,K833=1,TRUE()),O833&lt;='01_설정'!$B$5,P833&lt;='01_설정'!$B$7,Q833&lt;='01_설정'!$B$8),"Y","")</f>
        <v/>
      </c>
      <c r="S833">
        <f>IF(R833&lt;&gt;"Y","",MAX(0,(1-O833/'01_설정'!$B$5))*'01_설정'!$B$14+MAX(0,(1-P833/'01_설정'!$B$7))*'01_설정'!$B$16+MAX(0,(1-Q833/'01_설정'!$B$8))*'01_설정'!$B$17+L833*'01_설정'!$B$11+M833*'01_설정'!$B$12+N833*50)</f>
        <v/>
      </c>
      <c r="T833">
        <f>IF(S833="","",1+COUNTIFS($S$31:$S$1030,"&gt;"&amp;S833)+COUNTIFS($S$31:S833,S833)-1)</f>
        <v/>
      </c>
    </row>
    <row r="834" hidden="1" ht="16.5" customHeight="1">
      <c r="A834">
        <f>IF(COUNTA('05_KAPA'!$A805:$AO805)=0,"",807)</f>
        <v/>
      </c>
      <c r="B834">
        <f>IF($A834="","",INDEX('05_KAPA'!$B:$B,$A834))</f>
        <v/>
      </c>
      <c r="C834">
        <f>IF($A834="","",INDEX('05_KAPA'!$F:$F,$A834))</f>
        <v/>
      </c>
      <c r="D834">
        <f>IF($A834="","",INDEX('05_KAPA'!$H:$H,$A834))</f>
        <v/>
      </c>
      <c r="E834">
        <f>IF($A834="","",INDEX('05_KAPA'!$K:$K,$A834))</f>
        <v/>
      </c>
      <c r="F834">
        <f>IF($A834="","",INDEX('05_KAPA'!$L:$L,$A834))</f>
        <v/>
      </c>
      <c r="G834">
        <f>IF($A834="","",INDEX('05_KAPA'!$I:$I,$A834))</f>
        <v/>
      </c>
      <c r="H834" s="202">
        <f>IF($A834="","",INDEX('05_KAPA'!$P:$P,$A834))</f>
        <v/>
      </c>
      <c r="I834" s="118">
        <f>IF($A834="","",INDEX('05_KAPA'!$O:$O,$A834))</f>
        <v/>
      </c>
      <c r="J834" s="202">
        <f>IF($A834="","",IFERROR(DATE(LEFT(TEXT(INDEX('05_KAPA'!$T:$T,$A834),"0"),4),MID(TEXT(INDEX('05_KAPA'!$T:$T,$A834),"0"),5,2),RIGHT(TEXT(INDEX('05_KAPA'!$T:$T,$A834),"0"),2)),""))</f>
        <v/>
      </c>
      <c r="K834">
        <f>IF(C834="","",IF('02_대상물건입력'!$B$5="",1,IF(ISNUMBER(SEARCH('02_대상물건입력'!$B$5,C834)),1,0)))</f>
        <v/>
      </c>
      <c r="L834">
        <f>IF(C834="","",IF('02_대상물건입력'!$B$6="",1,IF(ISNUMBER(SEARCH('02_대상물건입력'!$B$6,C834)),1,0)))</f>
        <v/>
      </c>
      <c r="M834">
        <f>IF(E834="","",IF('02_대상물건입력'!$B$8="",0,IF(ISNUMBER(SEARCH('02_대상물건입력'!$B$8,E834)),1,0)))</f>
        <v/>
      </c>
      <c r="N834">
        <f>IF(B834="","",IF(B834="담보",1,0))</f>
        <v/>
      </c>
      <c r="O834">
        <f>IFERROR(ABS(G834-'02_대상물건입력'!$B$11)/'02_대상물건입력'!$B$11,"")</f>
        <v/>
      </c>
      <c r="P834">
        <f>IFERROR(ABS('01_설정'!$B$4-H834),"")</f>
        <v/>
      </c>
      <c r="Q834">
        <f>IFERROR(ABS(YEAR(J834)-YEAR('02_대상물건입력'!$B$14)),"")</f>
        <v/>
      </c>
      <c r="R834">
        <f>IF(AND(G834&gt;0,H834&gt;0,I834&gt;0,N834=1,IF('01_설정'!$B$10=1,K834=1,TRUE()),O834&lt;='01_설정'!$B$5,P834&lt;='01_설정'!$B$7,Q834&lt;='01_설정'!$B$8),"Y","")</f>
        <v/>
      </c>
      <c r="S834">
        <f>IF(R834&lt;&gt;"Y","",MAX(0,(1-O834/'01_설정'!$B$5))*'01_설정'!$B$14+MAX(0,(1-P834/'01_설정'!$B$7))*'01_설정'!$B$16+MAX(0,(1-Q834/'01_설정'!$B$8))*'01_설정'!$B$17+L834*'01_설정'!$B$11+M834*'01_설정'!$B$12+N834*50)</f>
        <v/>
      </c>
      <c r="T834">
        <f>IF(S834="","",1+COUNTIFS($S$31:$S$1030,"&gt;"&amp;S834)+COUNTIFS($S$31:S834,S834)-1)</f>
        <v/>
      </c>
    </row>
    <row r="835" hidden="1" ht="16.5" customHeight="1">
      <c r="A835">
        <f>IF(COUNTA('05_KAPA'!$A806:$AO806)=0,"",808)</f>
        <v/>
      </c>
      <c r="B835">
        <f>IF($A835="","",INDEX('05_KAPA'!$B:$B,$A835))</f>
        <v/>
      </c>
      <c r="C835">
        <f>IF($A835="","",INDEX('05_KAPA'!$F:$F,$A835))</f>
        <v/>
      </c>
      <c r="D835">
        <f>IF($A835="","",INDEX('05_KAPA'!$H:$H,$A835))</f>
        <v/>
      </c>
      <c r="E835">
        <f>IF($A835="","",INDEX('05_KAPA'!$K:$K,$A835))</f>
        <v/>
      </c>
      <c r="F835">
        <f>IF($A835="","",INDEX('05_KAPA'!$L:$L,$A835))</f>
        <v/>
      </c>
      <c r="G835">
        <f>IF($A835="","",INDEX('05_KAPA'!$I:$I,$A835))</f>
        <v/>
      </c>
      <c r="H835" s="202">
        <f>IF($A835="","",INDEX('05_KAPA'!$P:$P,$A835))</f>
        <v/>
      </c>
      <c r="I835" s="118">
        <f>IF($A835="","",INDEX('05_KAPA'!$O:$O,$A835))</f>
        <v/>
      </c>
      <c r="J835" s="202">
        <f>IF($A835="","",IFERROR(DATE(LEFT(TEXT(INDEX('05_KAPA'!$T:$T,$A835),"0"),4),MID(TEXT(INDEX('05_KAPA'!$T:$T,$A835),"0"),5,2),RIGHT(TEXT(INDEX('05_KAPA'!$T:$T,$A835),"0"),2)),""))</f>
        <v/>
      </c>
      <c r="K835">
        <f>IF(C835="","",IF('02_대상물건입력'!$B$5="",1,IF(ISNUMBER(SEARCH('02_대상물건입력'!$B$5,C835)),1,0)))</f>
        <v/>
      </c>
      <c r="L835">
        <f>IF(C835="","",IF('02_대상물건입력'!$B$6="",1,IF(ISNUMBER(SEARCH('02_대상물건입력'!$B$6,C835)),1,0)))</f>
        <v/>
      </c>
      <c r="M835">
        <f>IF(E835="","",IF('02_대상물건입력'!$B$8="",0,IF(ISNUMBER(SEARCH('02_대상물건입력'!$B$8,E835)),1,0)))</f>
        <v/>
      </c>
      <c r="N835">
        <f>IF(B835="","",IF(B835="담보",1,0))</f>
        <v/>
      </c>
      <c r="O835">
        <f>IFERROR(ABS(G835-'02_대상물건입력'!$B$11)/'02_대상물건입력'!$B$11,"")</f>
        <v/>
      </c>
      <c r="P835">
        <f>IFERROR(ABS('01_설정'!$B$4-H835),"")</f>
        <v/>
      </c>
      <c r="Q835">
        <f>IFERROR(ABS(YEAR(J835)-YEAR('02_대상물건입력'!$B$14)),"")</f>
        <v/>
      </c>
      <c r="R835">
        <f>IF(AND(G835&gt;0,H835&gt;0,I835&gt;0,N835=1,IF('01_설정'!$B$10=1,K835=1,TRUE()),O835&lt;='01_설정'!$B$5,P835&lt;='01_설정'!$B$7,Q835&lt;='01_설정'!$B$8),"Y","")</f>
        <v/>
      </c>
      <c r="S835">
        <f>IF(R835&lt;&gt;"Y","",MAX(0,(1-O835/'01_설정'!$B$5))*'01_설정'!$B$14+MAX(0,(1-P835/'01_설정'!$B$7))*'01_설정'!$B$16+MAX(0,(1-Q835/'01_설정'!$B$8))*'01_설정'!$B$17+L835*'01_설정'!$B$11+M835*'01_설정'!$B$12+N835*50)</f>
        <v/>
      </c>
      <c r="T835">
        <f>IF(S835="","",1+COUNTIFS($S$31:$S$1030,"&gt;"&amp;S835)+COUNTIFS($S$31:S835,S835)-1)</f>
        <v/>
      </c>
    </row>
    <row r="836" hidden="1" ht="16.5" customHeight="1">
      <c r="A836">
        <f>IF(COUNTA('05_KAPA'!$A807:$AO807)=0,"",809)</f>
        <v/>
      </c>
      <c r="B836">
        <f>IF($A836="","",INDEX('05_KAPA'!$B:$B,$A836))</f>
        <v/>
      </c>
      <c r="C836">
        <f>IF($A836="","",INDEX('05_KAPA'!$F:$F,$A836))</f>
        <v/>
      </c>
      <c r="D836">
        <f>IF($A836="","",INDEX('05_KAPA'!$H:$H,$A836))</f>
        <v/>
      </c>
      <c r="E836">
        <f>IF($A836="","",INDEX('05_KAPA'!$K:$K,$A836))</f>
        <v/>
      </c>
      <c r="F836">
        <f>IF($A836="","",INDEX('05_KAPA'!$L:$L,$A836))</f>
        <v/>
      </c>
      <c r="G836">
        <f>IF($A836="","",INDEX('05_KAPA'!$I:$I,$A836))</f>
        <v/>
      </c>
      <c r="H836" s="202">
        <f>IF($A836="","",INDEX('05_KAPA'!$P:$P,$A836))</f>
        <v/>
      </c>
      <c r="I836" s="118">
        <f>IF($A836="","",INDEX('05_KAPA'!$O:$O,$A836))</f>
        <v/>
      </c>
      <c r="J836" s="202">
        <f>IF($A836="","",IFERROR(DATE(LEFT(TEXT(INDEX('05_KAPA'!$T:$T,$A836),"0"),4),MID(TEXT(INDEX('05_KAPA'!$T:$T,$A836),"0"),5,2),RIGHT(TEXT(INDEX('05_KAPA'!$T:$T,$A836),"0"),2)),""))</f>
        <v/>
      </c>
      <c r="K836">
        <f>IF(C836="","",IF('02_대상물건입력'!$B$5="",1,IF(ISNUMBER(SEARCH('02_대상물건입력'!$B$5,C836)),1,0)))</f>
        <v/>
      </c>
      <c r="L836">
        <f>IF(C836="","",IF('02_대상물건입력'!$B$6="",1,IF(ISNUMBER(SEARCH('02_대상물건입력'!$B$6,C836)),1,0)))</f>
        <v/>
      </c>
      <c r="M836">
        <f>IF(E836="","",IF('02_대상물건입력'!$B$8="",0,IF(ISNUMBER(SEARCH('02_대상물건입력'!$B$8,E836)),1,0)))</f>
        <v/>
      </c>
      <c r="N836">
        <f>IF(B836="","",IF(B836="담보",1,0))</f>
        <v/>
      </c>
      <c r="O836">
        <f>IFERROR(ABS(G836-'02_대상물건입력'!$B$11)/'02_대상물건입력'!$B$11,"")</f>
        <v/>
      </c>
      <c r="P836">
        <f>IFERROR(ABS('01_설정'!$B$4-H836),"")</f>
        <v/>
      </c>
      <c r="Q836">
        <f>IFERROR(ABS(YEAR(J836)-YEAR('02_대상물건입력'!$B$14)),"")</f>
        <v/>
      </c>
      <c r="R836">
        <f>IF(AND(G836&gt;0,H836&gt;0,I836&gt;0,N836=1,IF('01_설정'!$B$10=1,K836=1,TRUE()),O836&lt;='01_설정'!$B$5,P836&lt;='01_설정'!$B$7,Q836&lt;='01_설정'!$B$8),"Y","")</f>
        <v/>
      </c>
      <c r="S836">
        <f>IF(R836&lt;&gt;"Y","",MAX(0,(1-O836/'01_설정'!$B$5))*'01_설정'!$B$14+MAX(0,(1-P836/'01_설정'!$B$7))*'01_설정'!$B$16+MAX(0,(1-Q836/'01_설정'!$B$8))*'01_설정'!$B$17+L836*'01_설정'!$B$11+M836*'01_설정'!$B$12+N836*50)</f>
        <v/>
      </c>
      <c r="T836">
        <f>IF(S836="","",1+COUNTIFS($S$31:$S$1030,"&gt;"&amp;S836)+COUNTIFS($S$31:S836,S836)-1)</f>
        <v/>
      </c>
    </row>
    <row r="837" hidden="1" ht="16.5" customHeight="1">
      <c r="A837">
        <f>IF(COUNTA('05_KAPA'!$A808:$AO808)=0,"",810)</f>
        <v/>
      </c>
      <c r="B837">
        <f>IF($A837="","",INDEX('05_KAPA'!$B:$B,$A837))</f>
        <v/>
      </c>
      <c r="C837">
        <f>IF($A837="","",INDEX('05_KAPA'!$F:$F,$A837))</f>
        <v/>
      </c>
      <c r="D837">
        <f>IF($A837="","",INDEX('05_KAPA'!$H:$H,$A837))</f>
        <v/>
      </c>
      <c r="E837">
        <f>IF($A837="","",INDEX('05_KAPA'!$K:$K,$A837))</f>
        <v/>
      </c>
      <c r="F837">
        <f>IF($A837="","",INDEX('05_KAPA'!$L:$L,$A837))</f>
        <v/>
      </c>
      <c r="G837">
        <f>IF($A837="","",INDEX('05_KAPA'!$I:$I,$A837))</f>
        <v/>
      </c>
      <c r="H837" s="202">
        <f>IF($A837="","",INDEX('05_KAPA'!$P:$P,$A837))</f>
        <v/>
      </c>
      <c r="I837" s="118">
        <f>IF($A837="","",INDEX('05_KAPA'!$O:$O,$A837))</f>
        <v/>
      </c>
      <c r="J837" s="202">
        <f>IF($A837="","",IFERROR(DATE(LEFT(TEXT(INDEX('05_KAPA'!$T:$T,$A837),"0"),4),MID(TEXT(INDEX('05_KAPA'!$T:$T,$A837),"0"),5,2),RIGHT(TEXT(INDEX('05_KAPA'!$T:$T,$A837),"0"),2)),""))</f>
        <v/>
      </c>
      <c r="K837">
        <f>IF(C837="","",IF('02_대상물건입력'!$B$5="",1,IF(ISNUMBER(SEARCH('02_대상물건입력'!$B$5,C837)),1,0)))</f>
        <v/>
      </c>
      <c r="L837">
        <f>IF(C837="","",IF('02_대상물건입력'!$B$6="",1,IF(ISNUMBER(SEARCH('02_대상물건입력'!$B$6,C837)),1,0)))</f>
        <v/>
      </c>
      <c r="M837">
        <f>IF(E837="","",IF('02_대상물건입력'!$B$8="",0,IF(ISNUMBER(SEARCH('02_대상물건입력'!$B$8,E837)),1,0)))</f>
        <v/>
      </c>
      <c r="N837">
        <f>IF(B837="","",IF(B837="담보",1,0))</f>
        <v/>
      </c>
      <c r="O837">
        <f>IFERROR(ABS(G837-'02_대상물건입력'!$B$11)/'02_대상물건입력'!$B$11,"")</f>
        <v/>
      </c>
      <c r="P837">
        <f>IFERROR(ABS('01_설정'!$B$4-H837),"")</f>
        <v/>
      </c>
      <c r="Q837">
        <f>IFERROR(ABS(YEAR(J837)-YEAR('02_대상물건입력'!$B$14)),"")</f>
        <v/>
      </c>
      <c r="R837">
        <f>IF(AND(G837&gt;0,H837&gt;0,I837&gt;0,N837=1,IF('01_설정'!$B$10=1,K837=1,TRUE()),O837&lt;='01_설정'!$B$5,P837&lt;='01_설정'!$B$7,Q837&lt;='01_설정'!$B$8),"Y","")</f>
        <v/>
      </c>
      <c r="S837">
        <f>IF(R837&lt;&gt;"Y","",MAX(0,(1-O837/'01_설정'!$B$5))*'01_설정'!$B$14+MAX(0,(1-P837/'01_설정'!$B$7))*'01_설정'!$B$16+MAX(0,(1-Q837/'01_설정'!$B$8))*'01_설정'!$B$17+L837*'01_설정'!$B$11+M837*'01_설정'!$B$12+N837*50)</f>
        <v/>
      </c>
      <c r="T837">
        <f>IF(S837="","",1+COUNTIFS($S$31:$S$1030,"&gt;"&amp;S837)+COUNTIFS($S$31:S837,S837)-1)</f>
        <v/>
      </c>
    </row>
    <row r="838" hidden="1" ht="16.5" customHeight="1">
      <c r="A838">
        <f>IF(COUNTA('05_KAPA'!$A809:$AO809)=0,"",811)</f>
        <v/>
      </c>
      <c r="B838">
        <f>IF($A838="","",INDEX('05_KAPA'!$B:$B,$A838))</f>
        <v/>
      </c>
      <c r="C838">
        <f>IF($A838="","",INDEX('05_KAPA'!$F:$F,$A838))</f>
        <v/>
      </c>
      <c r="D838">
        <f>IF($A838="","",INDEX('05_KAPA'!$H:$H,$A838))</f>
        <v/>
      </c>
      <c r="E838">
        <f>IF($A838="","",INDEX('05_KAPA'!$K:$K,$A838))</f>
        <v/>
      </c>
      <c r="F838">
        <f>IF($A838="","",INDEX('05_KAPA'!$L:$L,$A838))</f>
        <v/>
      </c>
      <c r="G838">
        <f>IF($A838="","",INDEX('05_KAPA'!$I:$I,$A838))</f>
        <v/>
      </c>
      <c r="H838" s="202">
        <f>IF($A838="","",INDEX('05_KAPA'!$P:$P,$A838))</f>
        <v/>
      </c>
      <c r="I838" s="118">
        <f>IF($A838="","",INDEX('05_KAPA'!$O:$O,$A838))</f>
        <v/>
      </c>
      <c r="J838" s="202">
        <f>IF($A838="","",IFERROR(DATE(LEFT(TEXT(INDEX('05_KAPA'!$T:$T,$A838),"0"),4),MID(TEXT(INDEX('05_KAPA'!$T:$T,$A838),"0"),5,2),RIGHT(TEXT(INDEX('05_KAPA'!$T:$T,$A838),"0"),2)),""))</f>
        <v/>
      </c>
      <c r="K838">
        <f>IF(C838="","",IF('02_대상물건입력'!$B$5="",1,IF(ISNUMBER(SEARCH('02_대상물건입력'!$B$5,C838)),1,0)))</f>
        <v/>
      </c>
      <c r="L838">
        <f>IF(C838="","",IF('02_대상물건입력'!$B$6="",1,IF(ISNUMBER(SEARCH('02_대상물건입력'!$B$6,C838)),1,0)))</f>
        <v/>
      </c>
      <c r="M838">
        <f>IF(E838="","",IF('02_대상물건입력'!$B$8="",0,IF(ISNUMBER(SEARCH('02_대상물건입력'!$B$8,E838)),1,0)))</f>
        <v/>
      </c>
      <c r="N838">
        <f>IF(B838="","",IF(B838="담보",1,0))</f>
        <v/>
      </c>
      <c r="O838">
        <f>IFERROR(ABS(G838-'02_대상물건입력'!$B$11)/'02_대상물건입력'!$B$11,"")</f>
        <v/>
      </c>
      <c r="P838">
        <f>IFERROR(ABS('01_설정'!$B$4-H838),"")</f>
        <v/>
      </c>
      <c r="Q838">
        <f>IFERROR(ABS(YEAR(J838)-YEAR('02_대상물건입력'!$B$14)),"")</f>
        <v/>
      </c>
      <c r="R838">
        <f>IF(AND(G838&gt;0,H838&gt;0,I838&gt;0,N838=1,IF('01_설정'!$B$10=1,K838=1,TRUE()),O838&lt;='01_설정'!$B$5,P838&lt;='01_설정'!$B$7,Q838&lt;='01_설정'!$B$8),"Y","")</f>
        <v/>
      </c>
      <c r="S838">
        <f>IF(R838&lt;&gt;"Y","",MAX(0,(1-O838/'01_설정'!$B$5))*'01_설정'!$B$14+MAX(0,(1-P838/'01_설정'!$B$7))*'01_설정'!$B$16+MAX(0,(1-Q838/'01_설정'!$B$8))*'01_설정'!$B$17+L838*'01_설정'!$B$11+M838*'01_설정'!$B$12+N838*50)</f>
        <v/>
      </c>
      <c r="T838">
        <f>IF(S838="","",1+COUNTIFS($S$31:$S$1030,"&gt;"&amp;S838)+COUNTIFS($S$31:S838,S838)-1)</f>
        <v/>
      </c>
    </row>
    <row r="839" hidden="1" ht="16.5" customHeight="1">
      <c r="A839">
        <f>IF(COUNTA('05_KAPA'!$A810:$AO810)=0,"",812)</f>
        <v/>
      </c>
      <c r="B839">
        <f>IF($A839="","",INDEX('05_KAPA'!$B:$B,$A839))</f>
        <v/>
      </c>
      <c r="C839">
        <f>IF($A839="","",INDEX('05_KAPA'!$F:$F,$A839))</f>
        <v/>
      </c>
      <c r="D839">
        <f>IF($A839="","",INDEX('05_KAPA'!$H:$H,$A839))</f>
        <v/>
      </c>
      <c r="E839">
        <f>IF($A839="","",INDEX('05_KAPA'!$K:$K,$A839))</f>
        <v/>
      </c>
      <c r="F839">
        <f>IF($A839="","",INDEX('05_KAPA'!$L:$L,$A839))</f>
        <v/>
      </c>
      <c r="G839">
        <f>IF($A839="","",INDEX('05_KAPA'!$I:$I,$A839))</f>
        <v/>
      </c>
      <c r="H839" s="202">
        <f>IF($A839="","",INDEX('05_KAPA'!$P:$P,$A839))</f>
        <v/>
      </c>
      <c r="I839" s="118">
        <f>IF($A839="","",INDEX('05_KAPA'!$O:$O,$A839))</f>
        <v/>
      </c>
      <c r="J839" s="202">
        <f>IF($A839="","",IFERROR(DATE(LEFT(TEXT(INDEX('05_KAPA'!$T:$T,$A839),"0"),4),MID(TEXT(INDEX('05_KAPA'!$T:$T,$A839),"0"),5,2),RIGHT(TEXT(INDEX('05_KAPA'!$T:$T,$A839),"0"),2)),""))</f>
        <v/>
      </c>
      <c r="K839">
        <f>IF(C839="","",IF('02_대상물건입력'!$B$5="",1,IF(ISNUMBER(SEARCH('02_대상물건입력'!$B$5,C839)),1,0)))</f>
        <v/>
      </c>
      <c r="L839">
        <f>IF(C839="","",IF('02_대상물건입력'!$B$6="",1,IF(ISNUMBER(SEARCH('02_대상물건입력'!$B$6,C839)),1,0)))</f>
        <v/>
      </c>
      <c r="M839">
        <f>IF(E839="","",IF('02_대상물건입력'!$B$8="",0,IF(ISNUMBER(SEARCH('02_대상물건입력'!$B$8,E839)),1,0)))</f>
        <v/>
      </c>
      <c r="N839">
        <f>IF(B839="","",IF(B839="담보",1,0))</f>
        <v/>
      </c>
      <c r="O839">
        <f>IFERROR(ABS(G839-'02_대상물건입력'!$B$11)/'02_대상물건입력'!$B$11,"")</f>
        <v/>
      </c>
      <c r="P839">
        <f>IFERROR(ABS('01_설정'!$B$4-H839),"")</f>
        <v/>
      </c>
      <c r="Q839">
        <f>IFERROR(ABS(YEAR(J839)-YEAR('02_대상물건입력'!$B$14)),"")</f>
        <v/>
      </c>
      <c r="R839">
        <f>IF(AND(G839&gt;0,H839&gt;0,I839&gt;0,N839=1,IF('01_설정'!$B$10=1,K839=1,TRUE()),O839&lt;='01_설정'!$B$5,P839&lt;='01_설정'!$B$7,Q839&lt;='01_설정'!$B$8),"Y","")</f>
        <v/>
      </c>
      <c r="S839">
        <f>IF(R839&lt;&gt;"Y","",MAX(0,(1-O839/'01_설정'!$B$5))*'01_설정'!$B$14+MAX(0,(1-P839/'01_설정'!$B$7))*'01_설정'!$B$16+MAX(0,(1-Q839/'01_설정'!$B$8))*'01_설정'!$B$17+L839*'01_설정'!$B$11+M839*'01_설정'!$B$12+N839*50)</f>
        <v/>
      </c>
      <c r="T839">
        <f>IF(S839="","",1+COUNTIFS($S$31:$S$1030,"&gt;"&amp;S839)+COUNTIFS($S$31:S839,S839)-1)</f>
        <v/>
      </c>
    </row>
    <row r="840" hidden="1" ht="16.5" customHeight="1">
      <c r="A840">
        <f>IF(COUNTA('05_KAPA'!$A811:$AO811)=0,"",813)</f>
        <v/>
      </c>
      <c r="B840">
        <f>IF($A840="","",INDEX('05_KAPA'!$B:$B,$A840))</f>
        <v/>
      </c>
      <c r="C840">
        <f>IF($A840="","",INDEX('05_KAPA'!$F:$F,$A840))</f>
        <v/>
      </c>
      <c r="D840">
        <f>IF($A840="","",INDEX('05_KAPA'!$H:$H,$A840))</f>
        <v/>
      </c>
      <c r="E840">
        <f>IF($A840="","",INDEX('05_KAPA'!$K:$K,$A840))</f>
        <v/>
      </c>
      <c r="F840">
        <f>IF($A840="","",INDEX('05_KAPA'!$L:$L,$A840))</f>
        <v/>
      </c>
      <c r="G840">
        <f>IF($A840="","",INDEX('05_KAPA'!$I:$I,$A840))</f>
        <v/>
      </c>
      <c r="H840" s="202">
        <f>IF($A840="","",INDEX('05_KAPA'!$P:$P,$A840))</f>
        <v/>
      </c>
      <c r="I840" s="118">
        <f>IF($A840="","",INDEX('05_KAPA'!$O:$O,$A840))</f>
        <v/>
      </c>
      <c r="J840" s="202">
        <f>IF($A840="","",IFERROR(DATE(LEFT(TEXT(INDEX('05_KAPA'!$T:$T,$A840),"0"),4),MID(TEXT(INDEX('05_KAPA'!$T:$T,$A840),"0"),5,2),RIGHT(TEXT(INDEX('05_KAPA'!$T:$T,$A840),"0"),2)),""))</f>
        <v/>
      </c>
      <c r="K840">
        <f>IF(C840="","",IF('02_대상물건입력'!$B$5="",1,IF(ISNUMBER(SEARCH('02_대상물건입력'!$B$5,C840)),1,0)))</f>
        <v/>
      </c>
      <c r="L840">
        <f>IF(C840="","",IF('02_대상물건입력'!$B$6="",1,IF(ISNUMBER(SEARCH('02_대상물건입력'!$B$6,C840)),1,0)))</f>
        <v/>
      </c>
      <c r="M840">
        <f>IF(E840="","",IF('02_대상물건입력'!$B$8="",0,IF(ISNUMBER(SEARCH('02_대상물건입력'!$B$8,E840)),1,0)))</f>
        <v/>
      </c>
      <c r="N840">
        <f>IF(B840="","",IF(B840="담보",1,0))</f>
        <v/>
      </c>
      <c r="O840">
        <f>IFERROR(ABS(G840-'02_대상물건입력'!$B$11)/'02_대상물건입력'!$B$11,"")</f>
        <v/>
      </c>
      <c r="P840">
        <f>IFERROR(ABS('01_설정'!$B$4-H840),"")</f>
        <v/>
      </c>
      <c r="Q840">
        <f>IFERROR(ABS(YEAR(J840)-YEAR('02_대상물건입력'!$B$14)),"")</f>
        <v/>
      </c>
      <c r="R840">
        <f>IF(AND(G840&gt;0,H840&gt;0,I840&gt;0,N840=1,IF('01_설정'!$B$10=1,K840=1,TRUE()),O840&lt;='01_설정'!$B$5,P840&lt;='01_설정'!$B$7,Q840&lt;='01_설정'!$B$8),"Y","")</f>
        <v/>
      </c>
      <c r="S840">
        <f>IF(R840&lt;&gt;"Y","",MAX(0,(1-O840/'01_설정'!$B$5))*'01_설정'!$B$14+MAX(0,(1-P840/'01_설정'!$B$7))*'01_설정'!$B$16+MAX(0,(1-Q840/'01_설정'!$B$8))*'01_설정'!$B$17+L840*'01_설정'!$B$11+M840*'01_설정'!$B$12+N840*50)</f>
        <v/>
      </c>
      <c r="T840">
        <f>IF(S840="","",1+COUNTIFS($S$31:$S$1030,"&gt;"&amp;S840)+COUNTIFS($S$31:S840,S840)-1)</f>
        <v/>
      </c>
    </row>
    <row r="841" hidden="1" ht="16.5" customHeight="1">
      <c r="A841">
        <f>IF(COUNTA('05_KAPA'!$A812:$AO812)=0,"",814)</f>
        <v/>
      </c>
      <c r="B841">
        <f>IF($A841="","",INDEX('05_KAPA'!$B:$B,$A841))</f>
        <v/>
      </c>
      <c r="C841">
        <f>IF($A841="","",INDEX('05_KAPA'!$F:$F,$A841))</f>
        <v/>
      </c>
      <c r="D841">
        <f>IF($A841="","",INDEX('05_KAPA'!$H:$H,$A841))</f>
        <v/>
      </c>
      <c r="E841">
        <f>IF($A841="","",INDEX('05_KAPA'!$K:$K,$A841))</f>
        <v/>
      </c>
      <c r="F841">
        <f>IF($A841="","",INDEX('05_KAPA'!$L:$L,$A841))</f>
        <v/>
      </c>
      <c r="G841">
        <f>IF($A841="","",INDEX('05_KAPA'!$I:$I,$A841))</f>
        <v/>
      </c>
      <c r="H841" s="202">
        <f>IF($A841="","",INDEX('05_KAPA'!$P:$P,$A841))</f>
        <v/>
      </c>
      <c r="I841" s="118">
        <f>IF($A841="","",INDEX('05_KAPA'!$O:$O,$A841))</f>
        <v/>
      </c>
      <c r="J841" s="202">
        <f>IF($A841="","",IFERROR(DATE(LEFT(TEXT(INDEX('05_KAPA'!$T:$T,$A841),"0"),4),MID(TEXT(INDEX('05_KAPA'!$T:$T,$A841),"0"),5,2),RIGHT(TEXT(INDEX('05_KAPA'!$T:$T,$A841),"0"),2)),""))</f>
        <v/>
      </c>
      <c r="K841">
        <f>IF(C841="","",IF('02_대상물건입력'!$B$5="",1,IF(ISNUMBER(SEARCH('02_대상물건입력'!$B$5,C841)),1,0)))</f>
        <v/>
      </c>
      <c r="L841">
        <f>IF(C841="","",IF('02_대상물건입력'!$B$6="",1,IF(ISNUMBER(SEARCH('02_대상물건입력'!$B$6,C841)),1,0)))</f>
        <v/>
      </c>
      <c r="M841">
        <f>IF(E841="","",IF('02_대상물건입력'!$B$8="",0,IF(ISNUMBER(SEARCH('02_대상물건입력'!$B$8,E841)),1,0)))</f>
        <v/>
      </c>
      <c r="N841">
        <f>IF(B841="","",IF(B841="담보",1,0))</f>
        <v/>
      </c>
      <c r="O841">
        <f>IFERROR(ABS(G841-'02_대상물건입력'!$B$11)/'02_대상물건입력'!$B$11,"")</f>
        <v/>
      </c>
      <c r="P841">
        <f>IFERROR(ABS('01_설정'!$B$4-H841),"")</f>
        <v/>
      </c>
      <c r="Q841">
        <f>IFERROR(ABS(YEAR(J841)-YEAR('02_대상물건입력'!$B$14)),"")</f>
        <v/>
      </c>
      <c r="R841">
        <f>IF(AND(G841&gt;0,H841&gt;0,I841&gt;0,N841=1,IF('01_설정'!$B$10=1,K841=1,TRUE()),O841&lt;='01_설정'!$B$5,P841&lt;='01_설정'!$B$7,Q841&lt;='01_설정'!$B$8),"Y","")</f>
        <v/>
      </c>
      <c r="S841">
        <f>IF(R841&lt;&gt;"Y","",MAX(0,(1-O841/'01_설정'!$B$5))*'01_설정'!$B$14+MAX(0,(1-P841/'01_설정'!$B$7))*'01_설정'!$B$16+MAX(0,(1-Q841/'01_설정'!$B$8))*'01_설정'!$B$17+L841*'01_설정'!$B$11+M841*'01_설정'!$B$12+N841*50)</f>
        <v/>
      </c>
      <c r="T841">
        <f>IF(S841="","",1+COUNTIFS($S$31:$S$1030,"&gt;"&amp;S841)+COUNTIFS($S$31:S841,S841)-1)</f>
        <v/>
      </c>
    </row>
    <row r="842" hidden="1" ht="16.5" customHeight="1">
      <c r="A842">
        <f>IF(COUNTA('05_KAPA'!$A813:$AO813)=0,"",815)</f>
        <v/>
      </c>
      <c r="B842">
        <f>IF($A842="","",INDEX('05_KAPA'!$B:$B,$A842))</f>
        <v/>
      </c>
      <c r="C842">
        <f>IF($A842="","",INDEX('05_KAPA'!$F:$F,$A842))</f>
        <v/>
      </c>
      <c r="D842">
        <f>IF($A842="","",INDEX('05_KAPA'!$H:$H,$A842))</f>
        <v/>
      </c>
      <c r="E842">
        <f>IF($A842="","",INDEX('05_KAPA'!$K:$K,$A842))</f>
        <v/>
      </c>
      <c r="F842">
        <f>IF($A842="","",INDEX('05_KAPA'!$L:$L,$A842))</f>
        <v/>
      </c>
      <c r="G842">
        <f>IF($A842="","",INDEX('05_KAPA'!$I:$I,$A842))</f>
        <v/>
      </c>
      <c r="H842" s="202">
        <f>IF($A842="","",INDEX('05_KAPA'!$P:$P,$A842))</f>
        <v/>
      </c>
      <c r="I842" s="118">
        <f>IF($A842="","",INDEX('05_KAPA'!$O:$O,$A842))</f>
        <v/>
      </c>
      <c r="J842" s="202">
        <f>IF($A842="","",IFERROR(DATE(LEFT(TEXT(INDEX('05_KAPA'!$T:$T,$A842),"0"),4),MID(TEXT(INDEX('05_KAPA'!$T:$T,$A842),"0"),5,2),RIGHT(TEXT(INDEX('05_KAPA'!$T:$T,$A842),"0"),2)),""))</f>
        <v/>
      </c>
      <c r="K842">
        <f>IF(C842="","",IF('02_대상물건입력'!$B$5="",1,IF(ISNUMBER(SEARCH('02_대상물건입력'!$B$5,C842)),1,0)))</f>
        <v/>
      </c>
      <c r="L842">
        <f>IF(C842="","",IF('02_대상물건입력'!$B$6="",1,IF(ISNUMBER(SEARCH('02_대상물건입력'!$B$6,C842)),1,0)))</f>
        <v/>
      </c>
      <c r="M842">
        <f>IF(E842="","",IF('02_대상물건입력'!$B$8="",0,IF(ISNUMBER(SEARCH('02_대상물건입력'!$B$8,E842)),1,0)))</f>
        <v/>
      </c>
      <c r="N842">
        <f>IF(B842="","",IF(B842="담보",1,0))</f>
        <v/>
      </c>
      <c r="O842">
        <f>IFERROR(ABS(G842-'02_대상물건입력'!$B$11)/'02_대상물건입력'!$B$11,"")</f>
        <v/>
      </c>
      <c r="P842">
        <f>IFERROR(ABS('01_설정'!$B$4-H842),"")</f>
        <v/>
      </c>
      <c r="Q842">
        <f>IFERROR(ABS(YEAR(J842)-YEAR('02_대상물건입력'!$B$14)),"")</f>
        <v/>
      </c>
      <c r="R842">
        <f>IF(AND(G842&gt;0,H842&gt;0,I842&gt;0,N842=1,IF('01_설정'!$B$10=1,K842=1,TRUE()),O842&lt;='01_설정'!$B$5,P842&lt;='01_설정'!$B$7,Q842&lt;='01_설정'!$B$8),"Y","")</f>
        <v/>
      </c>
      <c r="S842">
        <f>IF(R842&lt;&gt;"Y","",MAX(0,(1-O842/'01_설정'!$B$5))*'01_설정'!$B$14+MAX(0,(1-P842/'01_설정'!$B$7))*'01_설정'!$B$16+MAX(0,(1-Q842/'01_설정'!$B$8))*'01_설정'!$B$17+L842*'01_설정'!$B$11+M842*'01_설정'!$B$12+N842*50)</f>
        <v/>
      </c>
      <c r="T842">
        <f>IF(S842="","",1+COUNTIFS($S$31:$S$1030,"&gt;"&amp;S842)+COUNTIFS($S$31:S842,S842)-1)</f>
        <v/>
      </c>
    </row>
    <row r="843" hidden="1" ht="16.5" customHeight="1">
      <c r="A843">
        <f>IF(COUNTA('05_KAPA'!$A814:$AO814)=0,"",816)</f>
        <v/>
      </c>
      <c r="B843">
        <f>IF($A843="","",INDEX('05_KAPA'!$B:$B,$A843))</f>
        <v/>
      </c>
      <c r="C843">
        <f>IF($A843="","",INDEX('05_KAPA'!$F:$F,$A843))</f>
        <v/>
      </c>
      <c r="D843">
        <f>IF($A843="","",INDEX('05_KAPA'!$H:$H,$A843))</f>
        <v/>
      </c>
      <c r="E843">
        <f>IF($A843="","",INDEX('05_KAPA'!$K:$K,$A843))</f>
        <v/>
      </c>
      <c r="F843">
        <f>IF($A843="","",INDEX('05_KAPA'!$L:$L,$A843))</f>
        <v/>
      </c>
      <c r="G843">
        <f>IF($A843="","",INDEX('05_KAPA'!$I:$I,$A843))</f>
        <v/>
      </c>
      <c r="H843" s="202">
        <f>IF($A843="","",INDEX('05_KAPA'!$P:$P,$A843))</f>
        <v/>
      </c>
      <c r="I843" s="118">
        <f>IF($A843="","",INDEX('05_KAPA'!$O:$O,$A843))</f>
        <v/>
      </c>
      <c r="J843" s="202">
        <f>IF($A843="","",IFERROR(DATE(LEFT(TEXT(INDEX('05_KAPA'!$T:$T,$A843),"0"),4),MID(TEXT(INDEX('05_KAPA'!$T:$T,$A843),"0"),5,2),RIGHT(TEXT(INDEX('05_KAPA'!$T:$T,$A843),"0"),2)),""))</f>
        <v/>
      </c>
      <c r="K843">
        <f>IF(C843="","",IF('02_대상물건입력'!$B$5="",1,IF(ISNUMBER(SEARCH('02_대상물건입력'!$B$5,C843)),1,0)))</f>
        <v/>
      </c>
      <c r="L843">
        <f>IF(C843="","",IF('02_대상물건입력'!$B$6="",1,IF(ISNUMBER(SEARCH('02_대상물건입력'!$B$6,C843)),1,0)))</f>
        <v/>
      </c>
      <c r="M843">
        <f>IF(E843="","",IF('02_대상물건입력'!$B$8="",0,IF(ISNUMBER(SEARCH('02_대상물건입력'!$B$8,E843)),1,0)))</f>
        <v/>
      </c>
      <c r="N843">
        <f>IF(B843="","",IF(B843="담보",1,0))</f>
        <v/>
      </c>
      <c r="O843">
        <f>IFERROR(ABS(G843-'02_대상물건입력'!$B$11)/'02_대상물건입력'!$B$11,"")</f>
        <v/>
      </c>
      <c r="P843">
        <f>IFERROR(ABS('01_설정'!$B$4-H843),"")</f>
        <v/>
      </c>
      <c r="Q843">
        <f>IFERROR(ABS(YEAR(J843)-YEAR('02_대상물건입력'!$B$14)),"")</f>
        <v/>
      </c>
      <c r="R843">
        <f>IF(AND(G843&gt;0,H843&gt;0,I843&gt;0,N843=1,IF('01_설정'!$B$10=1,K843=1,TRUE()),O843&lt;='01_설정'!$B$5,P843&lt;='01_설정'!$B$7,Q843&lt;='01_설정'!$B$8),"Y","")</f>
        <v/>
      </c>
      <c r="S843">
        <f>IF(R843&lt;&gt;"Y","",MAX(0,(1-O843/'01_설정'!$B$5))*'01_설정'!$B$14+MAX(0,(1-P843/'01_설정'!$B$7))*'01_설정'!$B$16+MAX(0,(1-Q843/'01_설정'!$B$8))*'01_설정'!$B$17+L843*'01_설정'!$B$11+M843*'01_설정'!$B$12+N843*50)</f>
        <v/>
      </c>
      <c r="T843">
        <f>IF(S843="","",1+COUNTIFS($S$31:$S$1030,"&gt;"&amp;S843)+COUNTIFS($S$31:S843,S843)-1)</f>
        <v/>
      </c>
    </row>
    <row r="844" hidden="1" ht="16.5" customHeight="1">
      <c r="A844">
        <f>IF(COUNTA('05_KAPA'!$A815:$AO815)=0,"",817)</f>
        <v/>
      </c>
      <c r="B844">
        <f>IF($A844="","",INDEX('05_KAPA'!$B:$B,$A844))</f>
        <v/>
      </c>
      <c r="C844">
        <f>IF($A844="","",INDEX('05_KAPA'!$F:$F,$A844))</f>
        <v/>
      </c>
      <c r="D844">
        <f>IF($A844="","",INDEX('05_KAPA'!$H:$H,$A844))</f>
        <v/>
      </c>
      <c r="E844">
        <f>IF($A844="","",INDEX('05_KAPA'!$K:$K,$A844))</f>
        <v/>
      </c>
      <c r="F844">
        <f>IF($A844="","",INDEX('05_KAPA'!$L:$L,$A844))</f>
        <v/>
      </c>
      <c r="G844">
        <f>IF($A844="","",INDEX('05_KAPA'!$I:$I,$A844))</f>
        <v/>
      </c>
      <c r="H844" s="202">
        <f>IF($A844="","",INDEX('05_KAPA'!$P:$P,$A844))</f>
        <v/>
      </c>
      <c r="I844" s="118">
        <f>IF($A844="","",INDEX('05_KAPA'!$O:$O,$A844))</f>
        <v/>
      </c>
      <c r="J844" s="202">
        <f>IF($A844="","",IFERROR(DATE(LEFT(TEXT(INDEX('05_KAPA'!$T:$T,$A844),"0"),4),MID(TEXT(INDEX('05_KAPA'!$T:$T,$A844),"0"),5,2),RIGHT(TEXT(INDEX('05_KAPA'!$T:$T,$A844),"0"),2)),""))</f>
        <v/>
      </c>
      <c r="K844">
        <f>IF(C844="","",IF('02_대상물건입력'!$B$5="",1,IF(ISNUMBER(SEARCH('02_대상물건입력'!$B$5,C844)),1,0)))</f>
        <v/>
      </c>
      <c r="L844">
        <f>IF(C844="","",IF('02_대상물건입력'!$B$6="",1,IF(ISNUMBER(SEARCH('02_대상물건입력'!$B$6,C844)),1,0)))</f>
        <v/>
      </c>
      <c r="M844">
        <f>IF(E844="","",IF('02_대상물건입력'!$B$8="",0,IF(ISNUMBER(SEARCH('02_대상물건입력'!$B$8,E844)),1,0)))</f>
        <v/>
      </c>
      <c r="N844">
        <f>IF(B844="","",IF(B844="담보",1,0))</f>
        <v/>
      </c>
      <c r="O844">
        <f>IFERROR(ABS(G844-'02_대상물건입력'!$B$11)/'02_대상물건입력'!$B$11,"")</f>
        <v/>
      </c>
      <c r="P844">
        <f>IFERROR(ABS('01_설정'!$B$4-H844),"")</f>
        <v/>
      </c>
      <c r="Q844">
        <f>IFERROR(ABS(YEAR(J844)-YEAR('02_대상물건입력'!$B$14)),"")</f>
        <v/>
      </c>
      <c r="R844">
        <f>IF(AND(G844&gt;0,H844&gt;0,I844&gt;0,N844=1,IF('01_설정'!$B$10=1,K844=1,TRUE()),O844&lt;='01_설정'!$B$5,P844&lt;='01_설정'!$B$7,Q844&lt;='01_설정'!$B$8),"Y","")</f>
        <v/>
      </c>
      <c r="S844">
        <f>IF(R844&lt;&gt;"Y","",MAX(0,(1-O844/'01_설정'!$B$5))*'01_설정'!$B$14+MAX(0,(1-P844/'01_설정'!$B$7))*'01_설정'!$B$16+MAX(0,(1-Q844/'01_설정'!$B$8))*'01_설정'!$B$17+L844*'01_설정'!$B$11+M844*'01_설정'!$B$12+N844*50)</f>
        <v/>
      </c>
      <c r="T844">
        <f>IF(S844="","",1+COUNTIFS($S$31:$S$1030,"&gt;"&amp;S844)+COUNTIFS($S$31:S844,S844)-1)</f>
        <v/>
      </c>
    </row>
    <row r="845" hidden="1" ht="16.5" customHeight="1">
      <c r="A845">
        <f>IF(COUNTA('05_KAPA'!$A816:$AO816)=0,"",818)</f>
        <v/>
      </c>
      <c r="B845">
        <f>IF($A845="","",INDEX('05_KAPA'!$B:$B,$A845))</f>
        <v/>
      </c>
      <c r="C845">
        <f>IF($A845="","",INDEX('05_KAPA'!$F:$F,$A845))</f>
        <v/>
      </c>
      <c r="D845">
        <f>IF($A845="","",INDEX('05_KAPA'!$H:$H,$A845))</f>
        <v/>
      </c>
      <c r="E845">
        <f>IF($A845="","",INDEX('05_KAPA'!$K:$K,$A845))</f>
        <v/>
      </c>
      <c r="F845">
        <f>IF($A845="","",INDEX('05_KAPA'!$L:$L,$A845))</f>
        <v/>
      </c>
      <c r="G845">
        <f>IF($A845="","",INDEX('05_KAPA'!$I:$I,$A845))</f>
        <v/>
      </c>
      <c r="H845" s="202">
        <f>IF($A845="","",INDEX('05_KAPA'!$P:$P,$A845))</f>
        <v/>
      </c>
      <c r="I845" s="118">
        <f>IF($A845="","",INDEX('05_KAPA'!$O:$O,$A845))</f>
        <v/>
      </c>
      <c r="J845" s="202">
        <f>IF($A845="","",IFERROR(DATE(LEFT(TEXT(INDEX('05_KAPA'!$T:$T,$A845),"0"),4),MID(TEXT(INDEX('05_KAPA'!$T:$T,$A845),"0"),5,2),RIGHT(TEXT(INDEX('05_KAPA'!$T:$T,$A845),"0"),2)),""))</f>
        <v/>
      </c>
      <c r="K845">
        <f>IF(C845="","",IF('02_대상물건입력'!$B$5="",1,IF(ISNUMBER(SEARCH('02_대상물건입력'!$B$5,C845)),1,0)))</f>
        <v/>
      </c>
      <c r="L845">
        <f>IF(C845="","",IF('02_대상물건입력'!$B$6="",1,IF(ISNUMBER(SEARCH('02_대상물건입력'!$B$6,C845)),1,0)))</f>
        <v/>
      </c>
      <c r="M845">
        <f>IF(E845="","",IF('02_대상물건입력'!$B$8="",0,IF(ISNUMBER(SEARCH('02_대상물건입력'!$B$8,E845)),1,0)))</f>
        <v/>
      </c>
      <c r="N845">
        <f>IF(B845="","",IF(B845="담보",1,0))</f>
        <v/>
      </c>
      <c r="O845">
        <f>IFERROR(ABS(G845-'02_대상물건입력'!$B$11)/'02_대상물건입력'!$B$11,"")</f>
        <v/>
      </c>
      <c r="P845">
        <f>IFERROR(ABS('01_설정'!$B$4-H845),"")</f>
        <v/>
      </c>
      <c r="Q845">
        <f>IFERROR(ABS(YEAR(J845)-YEAR('02_대상물건입력'!$B$14)),"")</f>
        <v/>
      </c>
      <c r="R845">
        <f>IF(AND(G845&gt;0,H845&gt;0,I845&gt;0,N845=1,IF('01_설정'!$B$10=1,K845=1,TRUE()),O845&lt;='01_설정'!$B$5,P845&lt;='01_설정'!$B$7,Q845&lt;='01_설정'!$B$8),"Y","")</f>
        <v/>
      </c>
      <c r="S845">
        <f>IF(R845&lt;&gt;"Y","",MAX(0,(1-O845/'01_설정'!$B$5))*'01_설정'!$B$14+MAX(0,(1-P845/'01_설정'!$B$7))*'01_설정'!$B$16+MAX(0,(1-Q845/'01_설정'!$B$8))*'01_설정'!$B$17+L845*'01_설정'!$B$11+M845*'01_설정'!$B$12+N845*50)</f>
        <v/>
      </c>
      <c r="T845">
        <f>IF(S845="","",1+COUNTIFS($S$31:$S$1030,"&gt;"&amp;S845)+COUNTIFS($S$31:S845,S845)-1)</f>
        <v/>
      </c>
    </row>
    <row r="846" hidden="1" ht="16.5" customHeight="1">
      <c r="A846">
        <f>IF(COUNTA('05_KAPA'!$A817:$AO817)=0,"",819)</f>
        <v/>
      </c>
      <c r="B846">
        <f>IF($A846="","",INDEX('05_KAPA'!$B:$B,$A846))</f>
        <v/>
      </c>
      <c r="C846">
        <f>IF($A846="","",INDEX('05_KAPA'!$F:$F,$A846))</f>
        <v/>
      </c>
      <c r="D846">
        <f>IF($A846="","",INDEX('05_KAPA'!$H:$H,$A846))</f>
        <v/>
      </c>
      <c r="E846">
        <f>IF($A846="","",INDEX('05_KAPA'!$K:$K,$A846))</f>
        <v/>
      </c>
      <c r="F846">
        <f>IF($A846="","",INDEX('05_KAPA'!$L:$L,$A846))</f>
        <v/>
      </c>
      <c r="G846">
        <f>IF($A846="","",INDEX('05_KAPA'!$I:$I,$A846))</f>
        <v/>
      </c>
      <c r="H846" s="202">
        <f>IF($A846="","",INDEX('05_KAPA'!$P:$P,$A846))</f>
        <v/>
      </c>
      <c r="I846" s="118">
        <f>IF($A846="","",INDEX('05_KAPA'!$O:$O,$A846))</f>
        <v/>
      </c>
      <c r="J846" s="202">
        <f>IF($A846="","",IFERROR(DATE(LEFT(TEXT(INDEX('05_KAPA'!$T:$T,$A846),"0"),4),MID(TEXT(INDEX('05_KAPA'!$T:$T,$A846),"0"),5,2),RIGHT(TEXT(INDEX('05_KAPA'!$T:$T,$A846),"0"),2)),""))</f>
        <v/>
      </c>
      <c r="K846">
        <f>IF(C846="","",IF('02_대상물건입력'!$B$5="",1,IF(ISNUMBER(SEARCH('02_대상물건입력'!$B$5,C846)),1,0)))</f>
        <v/>
      </c>
      <c r="L846">
        <f>IF(C846="","",IF('02_대상물건입력'!$B$6="",1,IF(ISNUMBER(SEARCH('02_대상물건입력'!$B$6,C846)),1,0)))</f>
        <v/>
      </c>
      <c r="M846">
        <f>IF(E846="","",IF('02_대상물건입력'!$B$8="",0,IF(ISNUMBER(SEARCH('02_대상물건입력'!$B$8,E846)),1,0)))</f>
        <v/>
      </c>
      <c r="N846">
        <f>IF(B846="","",IF(B846="담보",1,0))</f>
        <v/>
      </c>
      <c r="O846">
        <f>IFERROR(ABS(G846-'02_대상물건입력'!$B$11)/'02_대상물건입력'!$B$11,"")</f>
        <v/>
      </c>
      <c r="P846">
        <f>IFERROR(ABS('01_설정'!$B$4-H846),"")</f>
        <v/>
      </c>
      <c r="Q846">
        <f>IFERROR(ABS(YEAR(J846)-YEAR('02_대상물건입력'!$B$14)),"")</f>
        <v/>
      </c>
      <c r="R846">
        <f>IF(AND(G846&gt;0,H846&gt;0,I846&gt;0,N846=1,IF('01_설정'!$B$10=1,K846=1,TRUE()),O846&lt;='01_설정'!$B$5,P846&lt;='01_설정'!$B$7,Q846&lt;='01_설정'!$B$8),"Y","")</f>
        <v/>
      </c>
      <c r="S846">
        <f>IF(R846&lt;&gt;"Y","",MAX(0,(1-O846/'01_설정'!$B$5))*'01_설정'!$B$14+MAX(0,(1-P846/'01_설정'!$B$7))*'01_설정'!$B$16+MAX(0,(1-Q846/'01_설정'!$B$8))*'01_설정'!$B$17+L846*'01_설정'!$B$11+M846*'01_설정'!$B$12+N846*50)</f>
        <v/>
      </c>
      <c r="T846">
        <f>IF(S846="","",1+COUNTIFS($S$31:$S$1030,"&gt;"&amp;S846)+COUNTIFS($S$31:S846,S846)-1)</f>
        <v/>
      </c>
    </row>
    <row r="847" hidden="1" ht="16.5" customHeight="1">
      <c r="A847">
        <f>IF(COUNTA('05_KAPA'!$A818:$AO818)=0,"",820)</f>
        <v/>
      </c>
      <c r="B847">
        <f>IF($A847="","",INDEX('05_KAPA'!$B:$B,$A847))</f>
        <v/>
      </c>
      <c r="C847">
        <f>IF($A847="","",INDEX('05_KAPA'!$F:$F,$A847))</f>
        <v/>
      </c>
      <c r="D847">
        <f>IF($A847="","",INDEX('05_KAPA'!$H:$H,$A847))</f>
        <v/>
      </c>
      <c r="E847">
        <f>IF($A847="","",INDEX('05_KAPA'!$K:$K,$A847))</f>
        <v/>
      </c>
      <c r="F847">
        <f>IF($A847="","",INDEX('05_KAPA'!$L:$L,$A847))</f>
        <v/>
      </c>
      <c r="G847">
        <f>IF($A847="","",INDEX('05_KAPA'!$I:$I,$A847))</f>
        <v/>
      </c>
      <c r="H847" s="202">
        <f>IF($A847="","",INDEX('05_KAPA'!$P:$P,$A847))</f>
        <v/>
      </c>
      <c r="I847" s="118">
        <f>IF($A847="","",INDEX('05_KAPA'!$O:$O,$A847))</f>
        <v/>
      </c>
      <c r="J847" s="202">
        <f>IF($A847="","",IFERROR(DATE(LEFT(TEXT(INDEX('05_KAPA'!$T:$T,$A847),"0"),4),MID(TEXT(INDEX('05_KAPA'!$T:$T,$A847),"0"),5,2),RIGHT(TEXT(INDEX('05_KAPA'!$T:$T,$A847),"0"),2)),""))</f>
        <v/>
      </c>
      <c r="K847">
        <f>IF(C847="","",IF('02_대상물건입력'!$B$5="",1,IF(ISNUMBER(SEARCH('02_대상물건입력'!$B$5,C847)),1,0)))</f>
        <v/>
      </c>
      <c r="L847">
        <f>IF(C847="","",IF('02_대상물건입력'!$B$6="",1,IF(ISNUMBER(SEARCH('02_대상물건입력'!$B$6,C847)),1,0)))</f>
        <v/>
      </c>
      <c r="M847">
        <f>IF(E847="","",IF('02_대상물건입력'!$B$8="",0,IF(ISNUMBER(SEARCH('02_대상물건입력'!$B$8,E847)),1,0)))</f>
        <v/>
      </c>
      <c r="N847">
        <f>IF(B847="","",IF(B847="담보",1,0))</f>
        <v/>
      </c>
      <c r="O847">
        <f>IFERROR(ABS(G847-'02_대상물건입력'!$B$11)/'02_대상물건입력'!$B$11,"")</f>
        <v/>
      </c>
      <c r="P847">
        <f>IFERROR(ABS('01_설정'!$B$4-H847),"")</f>
        <v/>
      </c>
      <c r="Q847">
        <f>IFERROR(ABS(YEAR(J847)-YEAR('02_대상물건입력'!$B$14)),"")</f>
        <v/>
      </c>
      <c r="R847">
        <f>IF(AND(G847&gt;0,H847&gt;0,I847&gt;0,N847=1,IF('01_설정'!$B$10=1,K847=1,TRUE()),O847&lt;='01_설정'!$B$5,P847&lt;='01_설정'!$B$7,Q847&lt;='01_설정'!$B$8),"Y","")</f>
        <v/>
      </c>
      <c r="S847">
        <f>IF(R847&lt;&gt;"Y","",MAX(0,(1-O847/'01_설정'!$B$5))*'01_설정'!$B$14+MAX(0,(1-P847/'01_설정'!$B$7))*'01_설정'!$B$16+MAX(0,(1-Q847/'01_설정'!$B$8))*'01_설정'!$B$17+L847*'01_설정'!$B$11+M847*'01_설정'!$B$12+N847*50)</f>
        <v/>
      </c>
      <c r="T847">
        <f>IF(S847="","",1+COUNTIFS($S$31:$S$1030,"&gt;"&amp;S847)+COUNTIFS($S$31:S847,S847)-1)</f>
        <v/>
      </c>
    </row>
    <row r="848" hidden="1" ht="16.5" customHeight="1">
      <c r="A848">
        <f>IF(COUNTA('05_KAPA'!$A819:$AO819)=0,"",821)</f>
        <v/>
      </c>
      <c r="B848">
        <f>IF($A848="","",INDEX('05_KAPA'!$B:$B,$A848))</f>
        <v/>
      </c>
      <c r="C848">
        <f>IF($A848="","",INDEX('05_KAPA'!$F:$F,$A848))</f>
        <v/>
      </c>
      <c r="D848">
        <f>IF($A848="","",INDEX('05_KAPA'!$H:$H,$A848))</f>
        <v/>
      </c>
      <c r="E848">
        <f>IF($A848="","",INDEX('05_KAPA'!$K:$K,$A848))</f>
        <v/>
      </c>
      <c r="F848">
        <f>IF($A848="","",INDEX('05_KAPA'!$L:$L,$A848))</f>
        <v/>
      </c>
      <c r="G848">
        <f>IF($A848="","",INDEX('05_KAPA'!$I:$I,$A848))</f>
        <v/>
      </c>
      <c r="H848" s="202">
        <f>IF($A848="","",INDEX('05_KAPA'!$P:$P,$A848))</f>
        <v/>
      </c>
      <c r="I848" s="118">
        <f>IF($A848="","",INDEX('05_KAPA'!$O:$O,$A848))</f>
        <v/>
      </c>
      <c r="J848" s="202">
        <f>IF($A848="","",IFERROR(DATE(LEFT(TEXT(INDEX('05_KAPA'!$T:$T,$A848),"0"),4),MID(TEXT(INDEX('05_KAPA'!$T:$T,$A848),"0"),5,2),RIGHT(TEXT(INDEX('05_KAPA'!$T:$T,$A848),"0"),2)),""))</f>
        <v/>
      </c>
      <c r="K848">
        <f>IF(C848="","",IF('02_대상물건입력'!$B$5="",1,IF(ISNUMBER(SEARCH('02_대상물건입력'!$B$5,C848)),1,0)))</f>
        <v/>
      </c>
      <c r="L848">
        <f>IF(C848="","",IF('02_대상물건입력'!$B$6="",1,IF(ISNUMBER(SEARCH('02_대상물건입력'!$B$6,C848)),1,0)))</f>
        <v/>
      </c>
      <c r="M848">
        <f>IF(E848="","",IF('02_대상물건입력'!$B$8="",0,IF(ISNUMBER(SEARCH('02_대상물건입력'!$B$8,E848)),1,0)))</f>
        <v/>
      </c>
      <c r="N848">
        <f>IF(B848="","",IF(B848="담보",1,0))</f>
        <v/>
      </c>
      <c r="O848">
        <f>IFERROR(ABS(G848-'02_대상물건입력'!$B$11)/'02_대상물건입력'!$B$11,"")</f>
        <v/>
      </c>
      <c r="P848">
        <f>IFERROR(ABS('01_설정'!$B$4-H848),"")</f>
        <v/>
      </c>
      <c r="Q848">
        <f>IFERROR(ABS(YEAR(J848)-YEAR('02_대상물건입력'!$B$14)),"")</f>
        <v/>
      </c>
      <c r="R848">
        <f>IF(AND(G848&gt;0,H848&gt;0,I848&gt;0,N848=1,IF('01_설정'!$B$10=1,K848=1,TRUE()),O848&lt;='01_설정'!$B$5,P848&lt;='01_설정'!$B$7,Q848&lt;='01_설정'!$B$8),"Y","")</f>
        <v/>
      </c>
      <c r="S848">
        <f>IF(R848&lt;&gt;"Y","",MAX(0,(1-O848/'01_설정'!$B$5))*'01_설정'!$B$14+MAX(0,(1-P848/'01_설정'!$B$7))*'01_설정'!$B$16+MAX(0,(1-Q848/'01_설정'!$B$8))*'01_설정'!$B$17+L848*'01_설정'!$B$11+M848*'01_설정'!$B$12+N848*50)</f>
        <v/>
      </c>
      <c r="T848">
        <f>IF(S848="","",1+COUNTIFS($S$31:$S$1030,"&gt;"&amp;S848)+COUNTIFS($S$31:S848,S848)-1)</f>
        <v/>
      </c>
    </row>
    <row r="849" hidden="1" ht="16.5" customHeight="1">
      <c r="A849">
        <f>IF(COUNTA('05_KAPA'!$A820:$AO820)=0,"",822)</f>
        <v/>
      </c>
      <c r="B849">
        <f>IF($A849="","",INDEX('05_KAPA'!$B:$B,$A849))</f>
        <v/>
      </c>
      <c r="C849">
        <f>IF($A849="","",INDEX('05_KAPA'!$F:$F,$A849))</f>
        <v/>
      </c>
      <c r="D849">
        <f>IF($A849="","",INDEX('05_KAPA'!$H:$H,$A849))</f>
        <v/>
      </c>
      <c r="E849">
        <f>IF($A849="","",INDEX('05_KAPA'!$K:$K,$A849))</f>
        <v/>
      </c>
      <c r="F849">
        <f>IF($A849="","",INDEX('05_KAPA'!$L:$L,$A849))</f>
        <v/>
      </c>
      <c r="G849">
        <f>IF($A849="","",INDEX('05_KAPA'!$I:$I,$A849))</f>
        <v/>
      </c>
      <c r="H849" s="202">
        <f>IF($A849="","",INDEX('05_KAPA'!$P:$P,$A849))</f>
        <v/>
      </c>
      <c r="I849" s="118">
        <f>IF($A849="","",INDEX('05_KAPA'!$O:$O,$A849))</f>
        <v/>
      </c>
      <c r="J849" s="202">
        <f>IF($A849="","",IFERROR(DATE(LEFT(TEXT(INDEX('05_KAPA'!$T:$T,$A849),"0"),4),MID(TEXT(INDEX('05_KAPA'!$T:$T,$A849),"0"),5,2),RIGHT(TEXT(INDEX('05_KAPA'!$T:$T,$A849),"0"),2)),""))</f>
        <v/>
      </c>
      <c r="K849">
        <f>IF(C849="","",IF('02_대상물건입력'!$B$5="",1,IF(ISNUMBER(SEARCH('02_대상물건입력'!$B$5,C849)),1,0)))</f>
        <v/>
      </c>
      <c r="L849">
        <f>IF(C849="","",IF('02_대상물건입력'!$B$6="",1,IF(ISNUMBER(SEARCH('02_대상물건입력'!$B$6,C849)),1,0)))</f>
        <v/>
      </c>
      <c r="M849">
        <f>IF(E849="","",IF('02_대상물건입력'!$B$8="",0,IF(ISNUMBER(SEARCH('02_대상물건입력'!$B$8,E849)),1,0)))</f>
        <v/>
      </c>
      <c r="N849">
        <f>IF(B849="","",IF(B849="담보",1,0))</f>
        <v/>
      </c>
      <c r="O849">
        <f>IFERROR(ABS(G849-'02_대상물건입력'!$B$11)/'02_대상물건입력'!$B$11,"")</f>
        <v/>
      </c>
      <c r="P849">
        <f>IFERROR(ABS('01_설정'!$B$4-H849),"")</f>
        <v/>
      </c>
      <c r="Q849">
        <f>IFERROR(ABS(YEAR(J849)-YEAR('02_대상물건입력'!$B$14)),"")</f>
        <v/>
      </c>
      <c r="R849">
        <f>IF(AND(G849&gt;0,H849&gt;0,I849&gt;0,N849=1,IF('01_설정'!$B$10=1,K849=1,TRUE()),O849&lt;='01_설정'!$B$5,P849&lt;='01_설정'!$B$7,Q849&lt;='01_설정'!$B$8),"Y","")</f>
        <v/>
      </c>
      <c r="S849">
        <f>IF(R849&lt;&gt;"Y","",MAX(0,(1-O849/'01_설정'!$B$5))*'01_설정'!$B$14+MAX(0,(1-P849/'01_설정'!$B$7))*'01_설정'!$B$16+MAX(0,(1-Q849/'01_설정'!$B$8))*'01_설정'!$B$17+L849*'01_설정'!$B$11+M849*'01_설정'!$B$12+N849*50)</f>
        <v/>
      </c>
      <c r="T849">
        <f>IF(S849="","",1+COUNTIFS($S$31:$S$1030,"&gt;"&amp;S849)+COUNTIFS($S$31:S849,S849)-1)</f>
        <v/>
      </c>
    </row>
    <row r="850" hidden="1" ht="16.5" customHeight="1">
      <c r="A850">
        <f>IF(COUNTA('05_KAPA'!$A821:$AO821)=0,"",823)</f>
        <v/>
      </c>
      <c r="B850">
        <f>IF($A850="","",INDEX('05_KAPA'!$B:$B,$A850))</f>
        <v/>
      </c>
      <c r="C850">
        <f>IF($A850="","",INDEX('05_KAPA'!$F:$F,$A850))</f>
        <v/>
      </c>
      <c r="D850">
        <f>IF($A850="","",INDEX('05_KAPA'!$H:$H,$A850))</f>
        <v/>
      </c>
      <c r="E850">
        <f>IF($A850="","",INDEX('05_KAPA'!$K:$K,$A850))</f>
        <v/>
      </c>
      <c r="F850">
        <f>IF($A850="","",INDEX('05_KAPA'!$L:$L,$A850))</f>
        <v/>
      </c>
      <c r="G850">
        <f>IF($A850="","",INDEX('05_KAPA'!$I:$I,$A850))</f>
        <v/>
      </c>
      <c r="H850" s="202">
        <f>IF($A850="","",INDEX('05_KAPA'!$P:$P,$A850))</f>
        <v/>
      </c>
      <c r="I850" s="118">
        <f>IF($A850="","",INDEX('05_KAPA'!$O:$O,$A850))</f>
        <v/>
      </c>
      <c r="J850" s="202">
        <f>IF($A850="","",IFERROR(DATE(LEFT(TEXT(INDEX('05_KAPA'!$T:$T,$A850),"0"),4),MID(TEXT(INDEX('05_KAPA'!$T:$T,$A850),"0"),5,2),RIGHT(TEXT(INDEX('05_KAPA'!$T:$T,$A850),"0"),2)),""))</f>
        <v/>
      </c>
      <c r="K850">
        <f>IF(C850="","",IF('02_대상물건입력'!$B$5="",1,IF(ISNUMBER(SEARCH('02_대상물건입력'!$B$5,C850)),1,0)))</f>
        <v/>
      </c>
      <c r="L850">
        <f>IF(C850="","",IF('02_대상물건입력'!$B$6="",1,IF(ISNUMBER(SEARCH('02_대상물건입력'!$B$6,C850)),1,0)))</f>
        <v/>
      </c>
      <c r="M850">
        <f>IF(E850="","",IF('02_대상물건입력'!$B$8="",0,IF(ISNUMBER(SEARCH('02_대상물건입력'!$B$8,E850)),1,0)))</f>
        <v/>
      </c>
      <c r="N850">
        <f>IF(B850="","",IF(B850="담보",1,0))</f>
        <v/>
      </c>
      <c r="O850">
        <f>IFERROR(ABS(G850-'02_대상물건입력'!$B$11)/'02_대상물건입력'!$B$11,"")</f>
        <v/>
      </c>
      <c r="P850">
        <f>IFERROR(ABS('01_설정'!$B$4-H850),"")</f>
        <v/>
      </c>
      <c r="Q850">
        <f>IFERROR(ABS(YEAR(J850)-YEAR('02_대상물건입력'!$B$14)),"")</f>
        <v/>
      </c>
      <c r="R850">
        <f>IF(AND(G850&gt;0,H850&gt;0,I850&gt;0,N850=1,IF('01_설정'!$B$10=1,K850=1,TRUE()),O850&lt;='01_설정'!$B$5,P850&lt;='01_설정'!$B$7,Q850&lt;='01_설정'!$B$8),"Y","")</f>
        <v/>
      </c>
      <c r="S850">
        <f>IF(R850&lt;&gt;"Y","",MAX(0,(1-O850/'01_설정'!$B$5))*'01_설정'!$B$14+MAX(0,(1-P850/'01_설정'!$B$7))*'01_설정'!$B$16+MAX(0,(1-Q850/'01_설정'!$B$8))*'01_설정'!$B$17+L850*'01_설정'!$B$11+M850*'01_설정'!$B$12+N850*50)</f>
        <v/>
      </c>
      <c r="T850">
        <f>IF(S850="","",1+COUNTIFS($S$31:$S$1030,"&gt;"&amp;S850)+COUNTIFS($S$31:S850,S850)-1)</f>
        <v/>
      </c>
    </row>
    <row r="851" hidden="1" ht="16.5" customHeight="1">
      <c r="A851">
        <f>IF(COUNTA('05_KAPA'!$A822:$AO822)=0,"",824)</f>
        <v/>
      </c>
      <c r="B851">
        <f>IF($A851="","",INDEX('05_KAPA'!$B:$B,$A851))</f>
        <v/>
      </c>
      <c r="C851">
        <f>IF($A851="","",INDEX('05_KAPA'!$F:$F,$A851))</f>
        <v/>
      </c>
      <c r="D851">
        <f>IF($A851="","",INDEX('05_KAPA'!$H:$H,$A851))</f>
        <v/>
      </c>
      <c r="E851">
        <f>IF($A851="","",INDEX('05_KAPA'!$K:$K,$A851))</f>
        <v/>
      </c>
      <c r="F851">
        <f>IF($A851="","",INDEX('05_KAPA'!$L:$L,$A851))</f>
        <v/>
      </c>
      <c r="G851">
        <f>IF($A851="","",INDEX('05_KAPA'!$I:$I,$A851))</f>
        <v/>
      </c>
      <c r="H851" s="202">
        <f>IF($A851="","",INDEX('05_KAPA'!$P:$P,$A851))</f>
        <v/>
      </c>
      <c r="I851" s="118">
        <f>IF($A851="","",INDEX('05_KAPA'!$O:$O,$A851))</f>
        <v/>
      </c>
      <c r="J851" s="202">
        <f>IF($A851="","",IFERROR(DATE(LEFT(TEXT(INDEX('05_KAPA'!$T:$T,$A851),"0"),4),MID(TEXT(INDEX('05_KAPA'!$T:$T,$A851),"0"),5,2),RIGHT(TEXT(INDEX('05_KAPA'!$T:$T,$A851),"0"),2)),""))</f>
        <v/>
      </c>
      <c r="K851">
        <f>IF(C851="","",IF('02_대상물건입력'!$B$5="",1,IF(ISNUMBER(SEARCH('02_대상물건입력'!$B$5,C851)),1,0)))</f>
        <v/>
      </c>
      <c r="L851">
        <f>IF(C851="","",IF('02_대상물건입력'!$B$6="",1,IF(ISNUMBER(SEARCH('02_대상물건입력'!$B$6,C851)),1,0)))</f>
        <v/>
      </c>
      <c r="M851">
        <f>IF(E851="","",IF('02_대상물건입력'!$B$8="",0,IF(ISNUMBER(SEARCH('02_대상물건입력'!$B$8,E851)),1,0)))</f>
        <v/>
      </c>
      <c r="N851">
        <f>IF(B851="","",IF(B851="담보",1,0))</f>
        <v/>
      </c>
      <c r="O851">
        <f>IFERROR(ABS(G851-'02_대상물건입력'!$B$11)/'02_대상물건입력'!$B$11,"")</f>
        <v/>
      </c>
      <c r="P851">
        <f>IFERROR(ABS('01_설정'!$B$4-H851),"")</f>
        <v/>
      </c>
      <c r="Q851">
        <f>IFERROR(ABS(YEAR(J851)-YEAR('02_대상물건입력'!$B$14)),"")</f>
        <v/>
      </c>
      <c r="R851">
        <f>IF(AND(G851&gt;0,H851&gt;0,I851&gt;0,N851=1,IF('01_설정'!$B$10=1,K851=1,TRUE()),O851&lt;='01_설정'!$B$5,P851&lt;='01_설정'!$B$7,Q851&lt;='01_설정'!$B$8),"Y","")</f>
        <v/>
      </c>
      <c r="S851">
        <f>IF(R851&lt;&gt;"Y","",MAX(0,(1-O851/'01_설정'!$B$5))*'01_설정'!$B$14+MAX(0,(1-P851/'01_설정'!$B$7))*'01_설정'!$B$16+MAX(0,(1-Q851/'01_설정'!$B$8))*'01_설정'!$B$17+L851*'01_설정'!$B$11+M851*'01_설정'!$B$12+N851*50)</f>
        <v/>
      </c>
      <c r="T851">
        <f>IF(S851="","",1+COUNTIFS($S$31:$S$1030,"&gt;"&amp;S851)+COUNTIFS($S$31:S851,S851)-1)</f>
        <v/>
      </c>
    </row>
    <row r="852" hidden="1" ht="16.5" customHeight="1">
      <c r="A852">
        <f>IF(COUNTA('05_KAPA'!$A823:$AO823)=0,"",825)</f>
        <v/>
      </c>
      <c r="B852">
        <f>IF($A852="","",INDEX('05_KAPA'!$B:$B,$A852))</f>
        <v/>
      </c>
      <c r="C852">
        <f>IF($A852="","",INDEX('05_KAPA'!$F:$F,$A852))</f>
        <v/>
      </c>
      <c r="D852">
        <f>IF($A852="","",INDEX('05_KAPA'!$H:$H,$A852))</f>
        <v/>
      </c>
      <c r="E852">
        <f>IF($A852="","",INDEX('05_KAPA'!$K:$K,$A852))</f>
        <v/>
      </c>
      <c r="F852">
        <f>IF($A852="","",INDEX('05_KAPA'!$L:$L,$A852))</f>
        <v/>
      </c>
      <c r="G852">
        <f>IF($A852="","",INDEX('05_KAPA'!$I:$I,$A852))</f>
        <v/>
      </c>
      <c r="H852" s="202">
        <f>IF($A852="","",INDEX('05_KAPA'!$P:$P,$A852))</f>
        <v/>
      </c>
      <c r="I852" s="118">
        <f>IF($A852="","",INDEX('05_KAPA'!$O:$O,$A852))</f>
        <v/>
      </c>
      <c r="J852" s="202">
        <f>IF($A852="","",IFERROR(DATE(LEFT(TEXT(INDEX('05_KAPA'!$T:$T,$A852),"0"),4),MID(TEXT(INDEX('05_KAPA'!$T:$T,$A852),"0"),5,2),RIGHT(TEXT(INDEX('05_KAPA'!$T:$T,$A852),"0"),2)),""))</f>
        <v/>
      </c>
      <c r="K852">
        <f>IF(C852="","",IF('02_대상물건입력'!$B$5="",1,IF(ISNUMBER(SEARCH('02_대상물건입력'!$B$5,C852)),1,0)))</f>
        <v/>
      </c>
      <c r="L852">
        <f>IF(C852="","",IF('02_대상물건입력'!$B$6="",1,IF(ISNUMBER(SEARCH('02_대상물건입력'!$B$6,C852)),1,0)))</f>
        <v/>
      </c>
      <c r="M852">
        <f>IF(E852="","",IF('02_대상물건입력'!$B$8="",0,IF(ISNUMBER(SEARCH('02_대상물건입력'!$B$8,E852)),1,0)))</f>
        <v/>
      </c>
      <c r="N852">
        <f>IF(B852="","",IF(B852="담보",1,0))</f>
        <v/>
      </c>
      <c r="O852">
        <f>IFERROR(ABS(G852-'02_대상물건입력'!$B$11)/'02_대상물건입력'!$B$11,"")</f>
        <v/>
      </c>
      <c r="P852">
        <f>IFERROR(ABS('01_설정'!$B$4-H852),"")</f>
        <v/>
      </c>
      <c r="Q852">
        <f>IFERROR(ABS(YEAR(J852)-YEAR('02_대상물건입력'!$B$14)),"")</f>
        <v/>
      </c>
      <c r="R852">
        <f>IF(AND(G852&gt;0,H852&gt;0,I852&gt;0,N852=1,IF('01_설정'!$B$10=1,K852=1,TRUE()),O852&lt;='01_설정'!$B$5,P852&lt;='01_설정'!$B$7,Q852&lt;='01_설정'!$B$8),"Y","")</f>
        <v/>
      </c>
      <c r="S852">
        <f>IF(R852&lt;&gt;"Y","",MAX(0,(1-O852/'01_설정'!$B$5))*'01_설정'!$B$14+MAX(0,(1-P852/'01_설정'!$B$7))*'01_설정'!$B$16+MAX(0,(1-Q852/'01_설정'!$B$8))*'01_설정'!$B$17+L852*'01_설정'!$B$11+M852*'01_설정'!$B$12+N852*50)</f>
        <v/>
      </c>
      <c r="T852">
        <f>IF(S852="","",1+COUNTIFS($S$31:$S$1030,"&gt;"&amp;S852)+COUNTIFS($S$31:S852,S852)-1)</f>
        <v/>
      </c>
    </row>
    <row r="853" hidden="1" ht="16.5" customHeight="1">
      <c r="A853">
        <f>IF(COUNTA('05_KAPA'!$A824:$AO824)=0,"",826)</f>
        <v/>
      </c>
      <c r="B853">
        <f>IF($A853="","",INDEX('05_KAPA'!$B:$B,$A853))</f>
        <v/>
      </c>
      <c r="C853">
        <f>IF($A853="","",INDEX('05_KAPA'!$F:$F,$A853))</f>
        <v/>
      </c>
      <c r="D853">
        <f>IF($A853="","",INDEX('05_KAPA'!$H:$H,$A853))</f>
        <v/>
      </c>
      <c r="E853">
        <f>IF($A853="","",INDEX('05_KAPA'!$K:$K,$A853))</f>
        <v/>
      </c>
      <c r="F853">
        <f>IF($A853="","",INDEX('05_KAPA'!$L:$L,$A853))</f>
        <v/>
      </c>
      <c r="G853">
        <f>IF($A853="","",INDEX('05_KAPA'!$I:$I,$A853))</f>
        <v/>
      </c>
      <c r="H853" s="202">
        <f>IF($A853="","",INDEX('05_KAPA'!$P:$P,$A853))</f>
        <v/>
      </c>
      <c r="I853" s="118">
        <f>IF($A853="","",INDEX('05_KAPA'!$O:$O,$A853))</f>
        <v/>
      </c>
      <c r="J853" s="202">
        <f>IF($A853="","",IFERROR(DATE(LEFT(TEXT(INDEX('05_KAPA'!$T:$T,$A853),"0"),4),MID(TEXT(INDEX('05_KAPA'!$T:$T,$A853),"0"),5,2),RIGHT(TEXT(INDEX('05_KAPA'!$T:$T,$A853),"0"),2)),""))</f>
        <v/>
      </c>
      <c r="K853">
        <f>IF(C853="","",IF('02_대상물건입력'!$B$5="",1,IF(ISNUMBER(SEARCH('02_대상물건입력'!$B$5,C853)),1,0)))</f>
        <v/>
      </c>
      <c r="L853">
        <f>IF(C853="","",IF('02_대상물건입력'!$B$6="",1,IF(ISNUMBER(SEARCH('02_대상물건입력'!$B$6,C853)),1,0)))</f>
        <v/>
      </c>
      <c r="M853">
        <f>IF(E853="","",IF('02_대상물건입력'!$B$8="",0,IF(ISNUMBER(SEARCH('02_대상물건입력'!$B$8,E853)),1,0)))</f>
        <v/>
      </c>
      <c r="N853">
        <f>IF(B853="","",IF(B853="담보",1,0))</f>
        <v/>
      </c>
      <c r="O853">
        <f>IFERROR(ABS(G853-'02_대상물건입력'!$B$11)/'02_대상물건입력'!$B$11,"")</f>
        <v/>
      </c>
      <c r="P853">
        <f>IFERROR(ABS('01_설정'!$B$4-H853),"")</f>
        <v/>
      </c>
      <c r="Q853">
        <f>IFERROR(ABS(YEAR(J853)-YEAR('02_대상물건입력'!$B$14)),"")</f>
        <v/>
      </c>
      <c r="R853">
        <f>IF(AND(G853&gt;0,H853&gt;0,I853&gt;0,N853=1,IF('01_설정'!$B$10=1,K853=1,TRUE()),O853&lt;='01_설정'!$B$5,P853&lt;='01_설정'!$B$7,Q853&lt;='01_설정'!$B$8),"Y","")</f>
        <v/>
      </c>
      <c r="S853">
        <f>IF(R853&lt;&gt;"Y","",MAX(0,(1-O853/'01_설정'!$B$5))*'01_설정'!$B$14+MAX(0,(1-P853/'01_설정'!$B$7))*'01_설정'!$B$16+MAX(0,(1-Q853/'01_설정'!$B$8))*'01_설정'!$B$17+L853*'01_설정'!$B$11+M853*'01_설정'!$B$12+N853*50)</f>
        <v/>
      </c>
      <c r="T853">
        <f>IF(S853="","",1+COUNTIFS($S$31:$S$1030,"&gt;"&amp;S853)+COUNTIFS($S$31:S853,S853)-1)</f>
        <v/>
      </c>
    </row>
    <row r="854" hidden="1" ht="16.5" customHeight="1">
      <c r="A854">
        <f>IF(COUNTA('05_KAPA'!$A825:$AO825)=0,"",827)</f>
        <v/>
      </c>
      <c r="B854">
        <f>IF($A854="","",INDEX('05_KAPA'!$B:$B,$A854))</f>
        <v/>
      </c>
      <c r="C854">
        <f>IF($A854="","",INDEX('05_KAPA'!$F:$F,$A854))</f>
        <v/>
      </c>
      <c r="D854">
        <f>IF($A854="","",INDEX('05_KAPA'!$H:$H,$A854))</f>
        <v/>
      </c>
      <c r="E854">
        <f>IF($A854="","",INDEX('05_KAPA'!$K:$K,$A854))</f>
        <v/>
      </c>
      <c r="F854">
        <f>IF($A854="","",INDEX('05_KAPA'!$L:$L,$A854))</f>
        <v/>
      </c>
      <c r="G854">
        <f>IF($A854="","",INDEX('05_KAPA'!$I:$I,$A854))</f>
        <v/>
      </c>
      <c r="H854" s="202">
        <f>IF($A854="","",INDEX('05_KAPA'!$P:$P,$A854))</f>
        <v/>
      </c>
      <c r="I854" s="118">
        <f>IF($A854="","",INDEX('05_KAPA'!$O:$O,$A854))</f>
        <v/>
      </c>
      <c r="J854" s="202">
        <f>IF($A854="","",IFERROR(DATE(LEFT(TEXT(INDEX('05_KAPA'!$T:$T,$A854),"0"),4),MID(TEXT(INDEX('05_KAPA'!$T:$T,$A854),"0"),5,2),RIGHT(TEXT(INDEX('05_KAPA'!$T:$T,$A854),"0"),2)),""))</f>
        <v/>
      </c>
      <c r="K854">
        <f>IF(C854="","",IF('02_대상물건입력'!$B$5="",1,IF(ISNUMBER(SEARCH('02_대상물건입력'!$B$5,C854)),1,0)))</f>
        <v/>
      </c>
      <c r="L854">
        <f>IF(C854="","",IF('02_대상물건입력'!$B$6="",1,IF(ISNUMBER(SEARCH('02_대상물건입력'!$B$6,C854)),1,0)))</f>
        <v/>
      </c>
      <c r="M854">
        <f>IF(E854="","",IF('02_대상물건입력'!$B$8="",0,IF(ISNUMBER(SEARCH('02_대상물건입력'!$B$8,E854)),1,0)))</f>
        <v/>
      </c>
      <c r="N854">
        <f>IF(B854="","",IF(B854="담보",1,0))</f>
        <v/>
      </c>
      <c r="O854">
        <f>IFERROR(ABS(G854-'02_대상물건입력'!$B$11)/'02_대상물건입력'!$B$11,"")</f>
        <v/>
      </c>
      <c r="P854">
        <f>IFERROR(ABS('01_설정'!$B$4-H854),"")</f>
        <v/>
      </c>
      <c r="Q854">
        <f>IFERROR(ABS(YEAR(J854)-YEAR('02_대상물건입력'!$B$14)),"")</f>
        <v/>
      </c>
      <c r="R854">
        <f>IF(AND(G854&gt;0,H854&gt;0,I854&gt;0,N854=1,IF('01_설정'!$B$10=1,K854=1,TRUE()),O854&lt;='01_설정'!$B$5,P854&lt;='01_설정'!$B$7,Q854&lt;='01_설정'!$B$8),"Y","")</f>
        <v/>
      </c>
      <c r="S854">
        <f>IF(R854&lt;&gt;"Y","",MAX(0,(1-O854/'01_설정'!$B$5))*'01_설정'!$B$14+MAX(0,(1-P854/'01_설정'!$B$7))*'01_설정'!$B$16+MAX(0,(1-Q854/'01_설정'!$B$8))*'01_설정'!$B$17+L854*'01_설정'!$B$11+M854*'01_설정'!$B$12+N854*50)</f>
        <v/>
      </c>
      <c r="T854">
        <f>IF(S854="","",1+COUNTIFS($S$31:$S$1030,"&gt;"&amp;S854)+COUNTIFS($S$31:S854,S854)-1)</f>
        <v/>
      </c>
    </row>
    <row r="855" hidden="1" ht="16.5" customHeight="1">
      <c r="A855">
        <f>IF(COUNTA('05_KAPA'!$A826:$AO826)=0,"",828)</f>
        <v/>
      </c>
      <c r="B855">
        <f>IF($A855="","",INDEX('05_KAPA'!$B:$B,$A855))</f>
        <v/>
      </c>
      <c r="C855">
        <f>IF($A855="","",INDEX('05_KAPA'!$F:$F,$A855))</f>
        <v/>
      </c>
      <c r="D855">
        <f>IF($A855="","",INDEX('05_KAPA'!$H:$H,$A855))</f>
        <v/>
      </c>
      <c r="E855">
        <f>IF($A855="","",INDEX('05_KAPA'!$K:$K,$A855))</f>
        <v/>
      </c>
      <c r="F855">
        <f>IF($A855="","",INDEX('05_KAPA'!$L:$L,$A855))</f>
        <v/>
      </c>
      <c r="G855">
        <f>IF($A855="","",INDEX('05_KAPA'!$I:$I,$A855))</f>
        <v/>
      </c>
      <c r="H855" s="202">
        <f>IF($A855="","",INDEX('05_KAPA'!$P:$P,$A855))</f>
        <v/>
      </c>
      <c r="I855" s="118">
        <f>IF($A855="","",INDEX('05_KAPA'!$O:$O,$A855))</f>
        <v/>
      </c>
      <c r="J855" s="202">
        <f>IF($A855="","",IFERROR(DATE(LEFT(TEXT(INDEX('05_KAPA'!$T:$T,$A855),"0"),4),MID(TEXT(INDEX('05_KAPA'!$T:$T,$A855),"0"),5,2),RIGHT(TEXT(INDEX('05_KAPA'!$T:$T,$A855),"0"),2)),""))</f>
        <v/>
      </c>
      <c r="K855">
        <f>IF(C855="","",IF('02_대상물건입력'!$B$5="",1,IF(ISNUMBER(SEARCH('02_대상물건입력'!$B$5,C855)),1,0)))</f>
        <v/>
      </c>
      <c r="L855">
        <f>IF(C855="","",IF('02_대상물건입력'!$B$6="",1,IF(ISNUMBER(SEARCH('02_대상물건입력'!$B$6,C855)),1,0)))</f>
        <v/>
      </c>
      <c r="M855">
        <f>IF(E855="","",IF('02_대상물건입력'!$B$8="",0,IF(ISNUMBER(SEARCH('02_대상물건입력'!$B$8,E855)),1,0)))</f>
        <v/>
      </c>
      <c r="N855">
        <f>IF(B855="","",IF(B855="담보",1,0))</f>
        <v/>
      </c>
      <c r="O855">
        <f>IFERROR(ABS(G855-'02_대상물건입력'!$B$11)/'02_대상물건입력'!$B$11,"")</f>
        <v/>
      </c>
      <c r="P855">
        <f>IFERROR(ABS('01_설정'!$B$4-H855),"")</f>
        <v/>
      </c>
      <c r="Q855">
        <f>IFERROR(ABS(YEAR(J855)-YEAR('02_대상물건입력'!$B$14)),"")</f>
        <v/>
      </c>
      <c r="R855">
        <f>IF(AND(G855&gt;0,H855&gt;0,I855&gt;0,N855=1,IF('01_설정'!$B$10=1,K855=1,TRUE()),O855&lt;='01_설정'!$B$5,P855&lt;='01_설정'!$B$7,Q855&lt;='01_설정'!$B$8),"Y","")</f>
        <v/>
      </c>
      <c r="S855">
        <f>IF(R855&lt;&gt;"Y","",MAX(0,(1-O855/'01_설정'!$B$5))*'01_설정'!$B$14+MAX(0,(1-P855/'01_설정'!$B$7))*'01_설정'!$B$16+MAX(0,(1-Q855/'01_설정'!$B$8))*'01_설정'!$B$17+L855*'01_설정'!$B$11+M855*'01_설정'!$B$12+N855*50)</f>
        <v/>
      </c>
      <c r="T855">
        <f>IF(S855="","",1+COUNTIFS($S$31:$S$1030,"&gt;"&amp;S855)+COUNTIFS($S$31:S855,S855)-1)</f>
        <v/>
      </c>
    </row>
    <row r="856" hidden="1" ht="16.5" customHeight="1">
      <c r="A856">
        <f>IF(COUNTA('05_KAPA'!$A827:$AO827)=0,"",829)</f>
        <v/>
      </c>
      <c r="B856">
        <f>IF($A856="","",INDEX('05_KAPA'!$B:$B,$A856))</f>
        <v/>
      </c>
      <c r="C856">
        <f>IF($A856="","",INDEX('05_KAPA'!$F:$F,$A856))</f>
        <v/>
      </c>
      <c r="D856">
        <f>IF($A856="","",INDEX('05_KAPA'!$H:$H,$A856))</f>
        <v/>
      </c>
      <c r="E856">
        <f>IF($A856="","",INDEX('05_KAPA'!$K:$K,$A856))</f>
        <v/>
      </c>
      <c r="F856">
        <f>IF($A856="","",INDEX('05_KAPA'!$L:$L,$A856))</f>
        <v/>
      </c>
      <c r="G856">
        <f>IF($A856="","",INDEX('05_KAPA'!$I:$I,$A856))</f>
        <v/>
      </c>
      <c r="H856" s="202">
        <f>IF($A856="","",INDEX('05_KAPA'!$P:$P,$A856))</f>
        <v/>
      </c>
      <c r="I856" s="118">
        <f>IF($A856="","",INDEX('05_KAPA'!$O:$O,$A856))</f>
        <v/>
      </c>
      <c r="J856" s="202">
        <f>IF($A856="","",IFERROR(DATE(LEFT(TEXT(INDEX('05_KAPA'!$T:$T,$A856),"0"),4),MID(TEXT(INDEX('05_KAPA'!$T:$T,$A856),"0"),5,2),RIGHT(TEXT(INDEX('05_KAPA'!$T:$T,$A856),"0"),2)),""))</f>
        <v/>
      </c>
      <c r="K856">
        <f>IF(C856="","",IF('02_대상물건입력'!$B$5="",1,IF(ISNUMBER(SEARCH('02_대상물건입력'!$B$5,C856)),1,0)))</f>
        <v/>
      </c>
      <c r="L856">
        <f>IF(C856="","",IF('02_대상물건입력'!$B$6="",1,IF(ISNUMBER(SEARCH('02_대상물건입력'!$B$6,C856)),1,0)))</f>
        <v/>
      </c>
      <c r="M856">
        <f>IF(E856="","",IF('02_대상물건입력'!$B$8="",0,IF(ISNUMBER(SEARCH('02_대상물건입력'!$B$8,E856)),1,0)))</f>
        <v/>
      </c>
      <c r="N856">
        <f>IF(B856="","",IF(B856="담보",1,0))</f>
        <v/>
      </c>
      <c r="O856">
        <f>IFERROR(ABS(G856-'02_대상물건입력'!$B$11)/'02_대상물건입력'!$B$11,"")</f>
        <v/>
      </c>
      <c r="P856">
        <f>IFERROR(ABS('01_설정'!$B$4-H856),"")</f>
        <v/>
      </c>
      <c r="Q856">
        <f>IFERROR(ABS(YEAR(J856)-YEAR('02_대상물건입력'!$B$14)),"")</f>
        <v/>
      </c>
      <c r="R856">
        <f>IF(AND(G856&gt;0,H856&gt;0,I856&gt;0,N856=1,IF('01_설정'!$B$10=1,K856=1,TRUE()),O856&lt;='01_설정'!$B$5,P856&lt;='01_설정'!$B$7,Q856&lt;='01_설정'!$B$8),"Y","")</f>
        <v/>
      </c>
      <c r="S856">
        <f>IF(R856&lt;&gt;"Y","",MAX(0,(1-O856/'01_설정'!$B$5))*'01_설정'!$B$14+MAX(0,(1-P856/'01_설정'!$B$7))*'01_설정'!$B$16+MAX(0,(1-Q856/'01_설정'!$B$8))*'01_설정'!$B$17+L856*'01_설정'!$B$11+M856*'01_설정'!$B$12+N856*50)</f>
        <v/>
      </c>
      <c r="T856">
        <f>IF(S856="","",1+COUNTIFS($S$31:$S$1030,"&gt;"&amp;S856)+COUNTIFS($S$31:S856,S856)-1)</f>
        <v/>
      </c>
    </row>
    <row r="857" hidden="1" ht="16.5" customHeight="1">
      <c r="A857">
        <f>IF(COUNTA('05_KAPA'!$A828:$AO828)=0,"",830)</f>
        <v/>
      </c>
      <c r="B857">
        <f>IF($A857="","",INDEX('05_KAPA'!$B:$B,$A857))</f>
        <v/>
      </c>
      <c r="C857">
        <f>IF($A857="","",INDEX('05_KAPA'!$F:$F,$A857))</f>
        <v/>
      </c>
      <c r="D857">
        <f>IF($A857="","",INDEX('05_KAPA'!$H:$H,$A857))</f>
        <v/>
      </c>
      <c r="E857">
        <f>IF($A857="","",INDEX('05_KAPA'!$K:$K,$A857))</f>
        <v/>
      </c>
      <c r="F857">
        <f>IF($A857="","",INDEX('05_KAPA'!$L:$L,$A857))</f>
        <v/>
      </c>
      <c r="G857">
        <f>IF($A857="","",INDEX('05_KAPA'!$I:$I,$A857))</f>
        <v/>
      </c>
      <c r="H857" s="202">
        <f>IF($A857="","",INDEX('05_KAPA'!$P:$P,$A857))</f>
        <v/>
      </c>
      <c r="I857" s="118">
        <f>IF($A857="","",INDEX('05_KAPA'!$O:$O,$A857))</f>
        <v/>
      </c>
      <c r="J857" s="202">
        <f>IF($A857="","",IFERROR(DATE(LEFT(TEXT(INDEX('05_KAPA'!$T:$T,$A857),"0"),4),MID(TEXT(INDEX('05_KAPA'!$T:$T,$A857),"0"),5,2),RIGHT(TEXT(INDEX('05_KAPA'!$T:$T,$A857),"0"),2)),""))</f>
        <v/>
      </c>
      <c r="K857">
        <f>IF(C857="","",IF('02_대상물건입력'!$B$5="",1,IF(ISNUMBER(SEARCH('02_대상물건입력'!$B$5,C857)),1,0)))</f>
        <v/>
      </c>
      <c r="L857">
        <f>IF(C857="","",IF('02_대상물건입력'!$B$6="",1,IF(ISNUMBER(SEARCH('02_대상물건입력'!$B$6,C857)),1,0)))</f>
        <v/>
      </c>
      <c r="M857">
        <f>IF(E857="","",IF('02_대상물건입력'!$B$8="",0,IF(ISNUMBER(SEARCH('02_대상물건입력'!$B$8,E857)),1,0)))</f>
        <v/>
      </c>
      <c r="N857">
        <f>IF(B857="","",IF(B857="담보",1,0))</f>
        <v/>
      </c>
      <c r="O857">
        <f>IFERROR(ABS(G857-'02_대상물건입력'!$B$11)/'02_대상물건입력'!$B$11,"")</f>
        <v/>
      </c>
      <c r="P857">
        <f>IFERROR(ABS('01_설정'!$B$4-H857),"")</f>
        <v/>
      </c>
      <c r="Q857">
        <f>IFERROR(ABS(YEAR(J857)-YEAR('02_대상물건입력'!$B$14)),"")</f>
        <v/>
      </c>
      <c r="R857">
        <f>IF(AND(G857&gt;0,H857&gt;0,I857&gt;0,N857=1,IF('01_설정'!$B$10=1,K857=1,TRUE()),O857&lt;='01_설정'!$B$5,P857&lt;='01_설정'!$B$7,Q857&lt;='01_설정'!$B$8),"Y","")</f>
        <v/>
      </c>
      <c r="S857">
        <f>IF(R857&lt;&gt;"Y","",MAX(0,(1-O857/'01_설정'!$B$5))*'01_설정'!$B$14+MAX(0,(1-P857/'01_설정'!$B$7))*'01_설정'!$B$16+MAX(0,(1-Q857/'01_설정'!$B$8))*'01_설정'!$B$17+L857*'01_설정'!$B$11+M857*'01_설정'!$B$12+N857*50)</f>
        <v/>
      </c>
      <c r="T857">
        <f>IF(S857="","",1+COUNTIFS($S$31:$S$1030,"&gt;"&amp;S857)+COUNTIFS($S$31:S857,S857)-1)</f>
        <v/>
      </c>
    </row>
    <row r="858" hidden="1" ht="16.5" customHeight="1">
      <c r="A858">
        <f>IF(COUNTA('05_KAPA'!$A829:$AO829)=0,"",831)</f>
        <v/>
      </c>
      <c r="B858">
        <f>IF($A858="","",INDEX('05_KAPA'!$B:$B,$A858))</f>
        <v/>
      </c>
      <c r="C858">
        <f>IF($A858="","",INDEX('05_KAPA'!$F:$F,$A858))</f>
        <v/>
      </c>
      <c r="D858">
        <f>IF($A858="","",INDEX('05_KAPA'!$H:$H,$A858))</f>
        <v/>
      </c>
      <c r="E858">
        <f>IF($A858="","",INDEX('05_KAPA'!$K:$K,$A858))</f>
        <v/>
      </c>
      <c r="F858">
        <f>IF($A858="","",INDEX('05_KAPA'!$L:$L,$A858))</f>
        <v/>
      </c>
      <c r="G858">
        <f>IF($A858="","",INDEX('05_KAPA'!$I:$I,$A858))</f>
        <v/>
      </c>
      <c r="H858" s="202">
        <f>IF($A858="","",INDEX('05_KAPA'!$P:$P,$A858))</f>
        <v/>
      </c>
      <c r="I858" s="118">
        <f>IF($A858="","",INDEX('05_KAPA'!$O:$O,$A858))</f>
        <v/>
      </c>
      <c r="J858" s="202">
        <f>IF($A858="","",IFERROR(DATE(LEFT(TEXT(INDEX('05_KAPA'!$T:$T,$A858),"0"),4),MID(TEXT(INDEX('05_KAPA'!$T:$T,$A858),"0"),5,2),RIGHT(TEXT(INDEX('05_KAPA'!$T:$T,$A858),"0"),2)),""))</f>
        <v/>
      </c>
      <c r="K858">
        <f>IF(C858="","",IF('02_대상물건입력'!$B$5="",1,IF(ISNUMBER(SEARCH('02_대상물건입력'!$B$5,C858)),1,0)))</f>
        <v/>
      </c>
      <c r="L858">
        <f>IF(C858="","",IF('02_대상물건입력'!$B$6="",1,IF(ISNUMBER(SEARCH('02_대상물건입력'!$B$6,C858)),1,0)))</f>
        <v/>
      </c>
      <c r="M858">
        <f>IF(E858="","",IF('02_대상물건입력'!$B$8="",0,IF(ISNUMBER(SEARCH('02_대상물건입력'!$B$8,E858)),1,0)))</f>
        <v/>
      </c>
      <c r="N858">
        <f>IF(B858="","",IF(B858="담보",1,0))</f>
        <v/>
      </c>
      <c r="O858">
        <f>IFERROR(ABS(G858-'02_대상물건입력'!$B$11)/'02_대상물건입력'!$B$11,"")</f>
        <v/>
      </c>
      <c r="P858">
        <f>IFERROR(ABS('01_설정'!$B$4-H858),"")</f>
        <v/>
      </c>
      <c r="Q858">
        <f>IFERROR(ABS(YEAR(J858)-YEAR('02_대상물건입력'!$B$14)),"")</f>
        <v/>
      </c>
      <c r="R858">
        <f>IF(AND(G858&gt;0,H858&gt;0,I858&gt;0,N858=1,IF('01_설정'!$B$10=1,K858=1,TRUE()),O858&lt;='01_설정'!$B$5,P858&lt;='01_설정'!$B$7,Q858&lt;='01_설정'!$B$8),"Y","")</f>
        <v/>
      </c>
      <c r="S858">
        <f>IF(R858&lt;&gt;"Y","",MAX(0,(1-O858/'01_설정'!$B$5))*'01_설정'!$B$14+MAX(0,(1-P858/'01_설정'!$B$7))*'01_설정'!$B$16+MAX(0,(1-Q858/'01_설정'!$B$8))*'01_설정'!$B$17+L858*'01_설정'!$B$11+M858*'01_설정'!$B$12+N858*50)</f>
        <v/>
      </c>
      <c r="T858">
        <f>IF(S858="","",1+COUNTIFS($S$31:$S$1030,"&gt;"&amp;S858)+COUNTIFS($S$31:S858,S858)-1)</f>
        <v/>
      </c>
    </row>
    <row r="859" hidden="1" ht="16.5" customHeight="1">
      <c r="A859">
        <f>IF(COUNTA('05_KAPA'!$A830:$AO830)=0,"",832)</f>
        <v/>
      </c>
      <c r="B859">
        <f>IF($A859="","",INDEX('05_KAPA'!$B:$B,$A859))</f>
        <v/>
      </c>
      <c r="C859">
        <f>IF($A859="","",INDEX('05_KAPA'!$F:$F,$A859))</f>
        <v/>
      </c>
      <c r="D859">
        <f>IF($A859="","",INDEX('05_KAPA'!$H:$H,$A859))</f>
        <v/>
      </c>
      <c r="E859">
        <f>IF($A859="","",INDEX('05_KAPA'!$K:$K,$A859))</f>
        <v/>
      </c>
      <c r="F859">
        <f>IF($A859="","",INDEX('05_KAPA'!$L:$L,$A859))</f>
        <v/>
      </c>
      <c r="G859">
        <f>IF($A859="","",INDEX('05_KAPA'!$I:$I,$A859))</f>
        <v/>
      </c>
      <c r="H859" s="202">
        <f>IF($A859="","",INDEX('05_KAPA'!$P:$P,$A859))</f>
        <v/>
      </c>
      <c r="I859" s="118">
        <f>IF($A859="","",INDEX('05_KAPA'!$O:$O,$A859))</f>
        <v/>
      </c>
      <c r="J859" s="202">
        <f>IF($A859="","",IFERROR(DATE(LEFT(TEXT(INDEX('05_KAPA'!$T:$T,$A859),"0"),4),MID(TEXT(INDEX('05_KAPA'!$T:$T,$A859),"0"),5,2),RIGHT(TEXT(INDEX('05_KAPA'!$T:$T,$A859),"0"),2)),""))</f>
        <v/>
      </c>
      <c r="K859">
        <f>IF(C859="","",IF('02_대상물건입력'!$B$5="",1,IF(ISNUMBER(SEARCH('02_대상물건입력'!$B$5,C859)),1,0)))</f>
        <v/>
      </c>
      <c r="L859">
        <f>IF(C859="","",IF('02_대상물건입력'!$B$6="",1,IF(ISNUMBER(SEARCH('02_대상물건입력'!$B$6,C859)),1,0)))</f>
        <v/>
      </c>
      <c r="M859">
        <f>IF(E859="","",IF('02_대상물건입력'!$B$8="",0,IF(ISNUMBER(SEARCH('02_대상물건입력'!$B$8,E859)),1,0)))</f>
        <v/>
      </c>
      <c r="N859">
        <f>IF(B859="","",IF(B859="담보",1,0))</f>
        <v/>
      </c>
      <c r="O859">
        <f>IFERROR(ABS(G859-'02_대상물건입력'!$B$11)/'02_대상물건입력'!$B$11,"")</f>
        <v/>
      </c>
      <c r="P859">
        <f>IFERROR(ABS('01_설정'!$B$4-H859),"")</f>
        <v/>
      </c>
      <c r="Q859">
        <f>IFERROR(ABS(YEAR(J859)-YEAR('02_대상물건입력'!$B$14)),"")</f>
        <v/>
      </c>
      <c r="R859">
        <f>IF(AND(G859&gt;0,H859&gt;0,I859&gt;0,N859=1,IF('01_설정'!$B$10=1,K859=1,TRUE()),O859&lt;='01_설정'!$B$5,P859&lt;='01_설정'!$B$7,Q859&lt;='01_설정'!$B$8),"Y","")</f>
        <v/>
      </c>
      <c r="S859">
        <f>IF(R859&lt;&gt;"Y","",MAX(0,(1-O859/'01_설정'!$B$5))*'01_설정'!$B$14+MAX(0,(1-P859/'01_설정'!$B$7))*'01_설정'!$B$16+MAX(0,(1-Q859/'01_설정'!$B$8))*'01_설정'!$B$17+L859*'01_설정'!$B$11+M859*'01_설정'!$B$12+N859*50)</f>
        <v/>
      </c>
      <c r="T859">
        <f>IF(S859="","",1+COUNTIFS($S$31:$S$1030,"&gt;"&amp;S859)+COUNTIFS($S$31:S859,S859)-1)</f>
        <v/>
      </c>
    </row>
    <row r="860" hidden="1" ht="16.5" customHeight="1">
      <c r="A860">
        <f>IF(COUNTA('05_KAPA'!$A831:$AO831)=0,"",833)</f>
        <v/>
      </c>
      <c r="B860">
        <f>IF($A860="","",INDEX('05_KAPA'!$B:$B,$A860))</f>
        <v/>
      </c>
      <c r="C860">
        <f>IF($A860="","",INDEX('05_KAPA'!$F:$F,$A860))</f>
        <v/>
      </c>
      <c r="D860">
        <f>IF($A860="","",INDEX('05_KAPA'!$H:$H,$A860))</f>
        <v/>
      </c>
      <c r="E860">
        <f>IF($A860="","",INDEX('05_KAPA'!$K:$K,$A860))</f>
        <v/>
      </c>
      <c r="F860">
        <f>IF($A860="","",INDEX('05_KAPA'!$L:$L,$A860))</f>
        <v/>
      </c>
      <c r="G860">
        <f>IF($A860="","",INDEX('05_KAPA'!$I:$I,$A860))</f>
        <v/>
      </c>
      <c r="H860" s="202">
        <f>IF($A860="","",INDEX('05_KAPA'!$P:$P,$A860))</f>
        <v/>
      </c>
      <c r="I860" s="118">
        <f>IF($A860="","",INDEX('05_KAPA'!$O:$O,$A860))</f>
        <v/>
      </c>
      <c r="J860" s="202">
        <f>IF($A860="","",IFERROR(DATE(LEFT(TEXT(INDEX('05_KAPA'!$T:$T,$A860),"0"),4),MID(TEXT(INDEX('05_KAPA'!$T:$T,$A860),"0"),5,2),RIGHT(TEXT(INDEX('05_KAPA'!$T:$T,$A860),"0"),2)),""))</f>
        <v/>
      </c>
      <c r="K860">
        <f>IF(C860="","",IF('02_대상물건입력'!$B$5="",1,IF(ISNUMBER(SEARCH('02_대상물건입력'!$B$5,C860)),1,0)))</f>
        <v/>
      </c>
      <c r="L860">
        <f>IF(C860="","",IF('02_대상물건입력'!$B$6="",1,IF(ISNUMBER(SEARCH('02_대상물건입력'!$B$6,C860)),1,0)))</f>
        <v/>
      </c>
      <c r="M860">
        <f>IF(E860="","",IF('02_대상물건입력'!$B$8="",0,IF(ISNUMBER(SEARCH('02_대상물건입력'!$B$8,E860)),1,0)))</f>
        <v/>
      </c>
      <c r="N860">
        <f>IF(B860="","",IF(B860="담보",1,0))</f>
        <v/>
      </c>
      <c r="O860">
        <f>IFERROR(ABS(G860-'02_대상물건입력'!$B$11)/'02_대상물건입력'!$B$11,"")</f>
        <v/>
      </c>
      <c r="P860">
        <f>IFERROR(ABS('01_설정'!$B$4-H860),"")</f>
        <v/>
      </c>
      <c r="Q860">
        <f>IFERROR(ABS(YEAR(J860)-YEAR('02_대상물건입력'!$B$14)),"")</f>
        <v/>
      </c>
      <c r="R860">
        <f>IF(AND(G860&gt;0,H860&gt;0,I860&gt;0,N860=1,IF('01_설정'!$B$10=1,K860=1,TRUE()),O860&lt;='01_설정'!$B$5,P860&lt;='01_설정'!$B$7,Q860&lt;='01_설정'!$B$8),"Y","")</f>
        <v/>
      </c>
      <c r="S860">
        <f>IF(R860&lt;&gt;"Y","",MAX(0,(1-O860/'01_설정'!$B$5))*'01_설정'!$B$14+MAX(0,(1-P860/'01_설정'!$B$7))*'01_설정'!$B$16+MAX(0,(1-Q860/'01_설정'!$B$8))*'01_설정'!$B$17+L860*'01_설정'!$B$11+M860*'01_설정'!$B$12+N860*50)</f>
        <v/>
      </c>
      <c r="T860">
        <f>IF(S860="","",1+COUNTIFS($S$31:$S$1030,"&gt;"&amp;S860)+COUNTIFS($S$31:S860,S860)-1)</f>
        <v/>
      </c>
    </row>
    <row r="861" hidden="1" ht="16.5" customHeight="1">
      <c r="A861">
        <f>IF(COUNTA('05_KAPA'!$A832:$AO832)=0,"",834)</f>
        <v/>
      </c>
      <c r="B861">
        <f>IF($A861="","",INDEX('05_KAPA'!$B:$B,$A861))</f>
        <v/>
      </c>
      <c r="C861">
        <f>IF($A861="","",INDEX('05_KAPA'!$F:$F,$A861))</f>
        <v/>
      </c>
      <c r="D861">
        <f>IF($A861="","",INDEX('05_KAPA'!$H:$H,$A861))</f>
        <v/>
      </c>
      <c r="E861">
        <f>IF($A861="","",INDEX('05_KAPA'!$K:$K,$A861))</f>
        <v/>
      </c>
      <c r="F861">
        <f>IF($A861="","",INDEX('05_KAPA'!$L:$L,$A861))</f>
        <v/>
      </c>
      <c r="G861">
        <f>IF($A861="","",INDEX('05_KAPA'!$I:$I,$A861))</f>
        <v/>
      </c>
      <c r="H861" s="202">
        <f>IF($A861="","",INDEX('05_KAPA'!$P:$P,$A861))</f>
        <v/>
      </c>
      <c r="I861" s="118">
        <f>IF($A861="","",INDEX('05_KAPA'!$O:$O,$A861))</f>
        <v/>
      </c>
      <c r="J861" s="202">
        <f>IF($A861="","",IFERROR(DATE(LEFT(TEXT(INDEX('05_KAPA'!$T:$T,$A861),"0"),4),MID(TEXT(INDEX('05_KAPA'!$T:$T,$A861),"0"),5,2),RIGHT(TEXT(INDEX('05_KAPA'!$T:$T,$A861),"0"),2)),""))</f>
        <v/>
      </c>
      <c r="K861">
        <f>IF(C861="","",IF('02_대상물건입력'!$B$5="",1,IF(ISNUMBER(SEARCH('02_대상물건입력'!$B$5,C861)),1,0)))</f>
        <v/>
      </c>
      <c r="L861">
        <f>IF(C861="","",IF('02_대상물건입력'!$B$6="",1,IF(ISNUMBER(SEARCH('02_대상물건입력'!$B$6,C861)),1,0)))</f>
        <v/>
      </c>
      <c r="M861">
        <f>IF(E861="","",IF('02_대상물건입력'!$B$8="",0,IF(ISNUMBER(SEARCH('02_대상물건입력'!$B$8,E861)),1,0)))</f>
        <v/>
      </c>
      <c r="N861">
        <f>IF(B861="","",IF(B861="담보",1,0))</f>
        <v/>
      </c>
      <c r="O861">
        <f>IFERROR(ABS(G861-'02_대상물건입력'!$B$11)/'02_대상물건입력'!$B$11,"")</f>
        <v/>
      </c>
      <c r="P861">
        <f>IFERROR(ABS('01_설정'!$B$4-H861),"")</f>
        <v/>
      </c>
      <c r="Q861">
        <f>IFERROR(ABS(YEAR(J861)-YEAR('02_대상물건입력'!$B$14)),"")</f>
        <v/>
      </c>
      <c r="R861">
        <f>IF(AND(G861&gt;0,H861&gt;0,I861&gt;0,N861=1,IF('01_설정'!$B$10=1,K861=1,TRUE()),O861&lt;='01_설정'!$B$5,P861&lt;='01_설정'!$B$7,Q861&lt;='01_설정'!$B$8),"Y","")</f>
        <v/>
      </c>
      <c r="S861">
        <f>IF(R861&lt;&gt;"Y","",MAX(0,(1-O861/'01_설정'!$B$5))*'01_설정'!$B$14+MAX(0,(1-P861/'01_설정'!$B$7))*'01_설정'!$B$16+MAX(0,(1-Q861/'01_설정'!$B$8))*'01_설정'!$B$17+L861*'01_설정'!$B$11+M861*'01_설정'!$B$12+N861*50)</f>
        <v/>
      </c>
      <c r="T861">
        <f>IF(S861="","",1+COUNTIFS($S$31:$S$1030,"&gt;"&amp;S861)+COUNTIFS($S$31:S861,S861)-1)</f>
        <v/>
      </c>
    </row>
    <row r="862" hidden="1" ht="16.5" customHeight="1">
      <c r="A862">
        <f>IF(COUNTA('05_KAPA'!$A833:$AO833)=0,"",835)</f>
        <v/>
      </c>
      <c r="B862">
        <f>IF($A862="","",INDEX('05_KAPA'!$B:$B,$A862))</f>
        <v/>
      </c>
      <c r="C862">
        <f>IF($A862="","",INDEX('05_KAPA'!$F:$F,$A862))</f>
        <v/>
      </c>
      <c r="D862">
        <f>IF($A862="","",INDEX('05_KAPA'!$H:$H,$A862))</f>
        <v/>
      </c>
      <c r="E862">
        <f>IF($A862="","",INDEX('05_KAPA'!$K:$K,$A862))</f>
        <v/>
      </c>
      <c r="F862">
        <f>IF($A862="","",INDEX('05_KAPA'!$L:$L,$A862))</f>
        <v/>
      </c>
      <c r="G862">
        <f>IF($A862="","",INDEX('05_KAPA'!$I:$I,$A862))</f>
        <v/>
      </c>
      <c r="H862" s="202">
        <f>IF($A862="","",INDEX('05_KAPA'!$P:$P,$A862))</f>
        <v/>
      </c>
      <c r="I862" s="118">
        <f>IF($A862="","",INDEX('05_KAPA'!$O:$O,$A862))</f>
        <v/>
      </c>
      <c r="J862" s="202">
        <f>IF($A862="","",IFERROR(DATE(LEFT(TEXT(INDEX('05_KAPA'!$T:$T,$A862),"0"),4),MID(TEXT(INDEX('05_KAPA'!$T:$T,$A862),"0"),5,2),RIGHT(TEXT(INDEX('05_KAPA'!$T:$T,$A862),"0"),2)),""))</f>
        <v/>
      </c>
      <c r="K862">
        <f>IF(C862="","",IF('02_대상물건입력'!$B$5="",1,IF(ISNUMBER(SEARCH('02_대상물건입력'!$B$5,C862)),1,0)))</f>
        <v/>
      </c>
      <c r="L862">
        <f>IF(C862="","",IF('02_대상물건입력'!$B$6="",1,IF(ISNUMBER(SEARCH('02_대상물건입력'!$B$6,C862)),1,0)))</f>
        <v/>
      </c>
      <c r="M862">
        <f>IF(E862="","",IF('02_대상물건입력'!$B$8="",0,IF(ISNUMBER(SEARCH('02_대상물건입력'!$B$8,E862)),1,0)))</f>
        <v/>
      </c>
      <c r="N862">
        <f>IF(B862="","",IF(B862="담보",1,0))</f>
        <v/>
      </c>
      <c r="O862">
        <f>IFERROR(ABS(G862-'02_대상물건입력'!$B$11)/'02_대상물건입력'!$B$11,"")</f>
        <v/>
      </c>
      <c r="P862">
        <f>IFERROR(ABS('01_설정'!$B$4-H862),"")</f>
        <v/>
      </c>
      <c r="Q862">
        <f>IFERROR(ABS(YEAR(J862)-YEAR('02_대상물건입력'!$B$14)),"")</f>
        <v/>
      </c>
      <c r="R862">
        <f>IF(AND(G862&gt;0,H862&gt;0,I862&gt;0,N862=1,IF('01_설정'!$B$10=1,K862=1,TRUE()),O862&lt;='01_설정'!$B$5,P862&lt;='01_설정'!$B$7,Q862&lt;='01_설정'!$B$8),"Y","")</f>
        <v/>
      </c>
      <c r="S862">
        <f>IF(R862&lt;&gt;"Y","",MAX(0,(1-O862/'01_설정'!$B$5))*'01_설정'!$B$14+MAX(0,(1-P862/'01_설정'!$B$7))*'01_설정'!$B$16+MAX(0,(1-Q862/'01_설정'!$B$8))*'01_설정'!$B$17+L862*'01_설정'!$B$11+M862*'01_설정'!$B$12+N862*50)</f>
        <v/>
      </c>
      <c r="T862">
        <f>IF(S862="","",1+COUNTIFS($S$31:$S$1030,"&gt;"&amp;S862)+COUNTIFS($S$31:S862,S862)-1)</f>
        <v/>
      </c>
    </row>
    <row r="863" hidden="1" ht="16.5" customHeight="1">
      <c r="A863">
        <f>IF(COUNTA('05_KAPA'!$A834:$AO834)=0,"",836)</f>
        <v/>
      </c>
      <c r="B863">
        <f>IF($A863="","",INDEX('05_KAPA'!$B:$B,$A863))</f>
        <v/>
      </c>
      <c r="C863">
        <f>IF($A863="","",INDEX('05_KAPA'!$F:$F,$A863))</f>
        <v/>
      </c>
      <c r="D863">
        <f>IF($A863="","",INDEX('05_KAPA'!$H:$H,$A863))</f>
        <v/>
      </c>
      <c r="E863">
        <f>IF($A863="","",INDEX('05_KAPA'!$K:$K,$A863))</f>
        <v/>
      </c>
      <c r="F863">
        <f>IF($A863="","",INDEX('05_KAPA'!$L:$L,$A863))</f>
        <v/>
      </c>
      <c r="G863">
        <f>IF($A863="","",INDEX('05_KAPA'!$I:$I,$A863))</f>
        <v/>
      </c>
      <c r="H863" s="202">
        <f>IF($A863="","",INDEX('05_KAPA'!$P:$P,$A863))</f>
        <v/>
      </c>
      <c r="I863" s="118">
        <f>IF($A863="","",INDEX('05_KAPA'!$O:$O,$A863))</f>
        <v/>
      </c>
      <c r="J863" s="202">
        <f>IF($A863="","",IFERROR(DATE(LEFT(TEXT(INDEX('05_KAPA'!$T:$T,$A863),"0"),4),MID(TEXT(INDEX('05_KAPA'!$T:$T,$A863),"0"),5,2),RIGHT(TEXT(INDEX('05_KAPA'!$T:$T,$A863),"0"),2)),""))</f>
        <v/>
      </c>
      <c r="K863">
        <f>IF(C863="","",IF('02_대상물건입력'!$B$5="",1,IF(ISNUMBER(SEARCH('02_대상물건입력'!$B$5,C863)),1,0)))</f>
        <v/>
      </c>
      <c r="L863">
        <f>IF(C863="","",IF('02_대상물건입력'!$B$6="",1,IF(ISNUMBER(SEARCH('02_대상물건입력'!$B$6,C863)),1,0)))</f>
        <v/>
      </c>
      <c r="M863">
        <f>IF(E863="","",IF('02_대상물건입력'!$B$8="",0,IF(ISNUMBER(SEARCH('02_대상물건입력'!$B$8,E863)),1,0)))</f>
        <v/>
      </c>
      <c r="N863">
        <f>IF(B863="","",IF(B863="담보",1,0))</f>
        <v/>
      </c>
      <c r="O863">
        <f>IFERROR(ABS(G863-'02_대상물건입력'!$B$11)/'02_대상물건입력'!$B$11,"")</f>
        <v/>
      </c>
      <c r="P863">
        <f>IFERROR(ABS('01_설정'!$B$4-H863),"")</f>
        <v/>
      </c>
      <c r="Q863">
        <f>IFERROR(ABS(YEAR(J863)-YEAR('02_대상물건입력'!$B$14)),"")</f>
        <v/>
      </c>
      <c r="R863">
        <f>IF(AND(G863&gt;0,H863&gt;0,I863&gt;0,N863=1,IF('01_설정'!$B$10=1,K863=1,TRUE()),O863&lt;='01_설정'!$B$5,P863&lt;='01_설정'!$B$7,Q863&lt;='01_설정'!$B$8),"Y","")</f>
        <v/>
      </c>
      <c r="S863">
        <f>IF(R863&lt;&gt;"Y","",MAX(0,(1-O863/'01_설정'!$B$5))*'01_설정'!$B$14+MAX(0,(1-P863/'01_설정'!$B$7))*'01_설정'!$B$16+MAX(0,(1-Q863/'01_설정'!$B$8))*'01_설정'!$B$17+L863*'01_설정'!$B$11+M863*'01_설정'!$B$12+N863*50)</f>
        <v/>
      </c>
      <c r="T863">
        <f>IF(S863="","",1+COUNTIFS($S$31:$S$1030,"&gt;"&amp;S863)+COUNTIFS($S$31:S863,S863)-1)</f>
        <v/>
      </c>
    </row>
    <row r="864" hidden="1" ht="16.5" customHeight="1">
      <c r="A864">
        <f>IF(COUNTA('05_KAPA'!$A835:$AO835)=0,"",837)</f>
        <v/>
      </c>
      <c r="B864">
        <f>IF($A864="","",INDEX('05_KAPA'!$B:$B,$A864))</f>
        <v/>
      </c>
      <c r="C864">
        <f>IF($A864="","",INDEX('05_KAPA'!$F:$F,$A864))</f>
        <v/>
      </c>
      <c r="D864">
        <f>IF($A864="","",INDEX('05_KAPA'!$H:$H,$A864))</f>
        <v/>
      </c>
      <c r="E864">
        <f>IF($A864="","",INDEX('05_KAPA'!$K:$K,$A864))</f>
        <v/>
      </c>
      <c r="F864">
        <f>IF($A864="","",INDEX('05_KAPA'!$L:$L,$A864))</f>
        <v/>
      </c>
      <c r="G864">
        <f>IF($A864="","",INDEX('05_KAPA'!$I:$I,$A864))</f>
        <v/>
      </c>
      <c r="H864" s="202">
        <f>IF($A864="","",INDEX('05_KAPA'!$P:$P,$A864))</f>
        <v/>
      </c>
      <c r="I864" s="118">
        <f>IF($A864="","",INDEX('05_KAPA'!$O:$O,$A864))</f>
        <v/>
      </c>
      <c r="J864" s="202">
        <f>IF($A864="","",IFERROR(DATE(LEFT(TEXT(INDEX('05_KAPA'!$T:$T,$A864),"0"),4),MID(TEXT(INDEX('05_KAPA'!$T:$T,$A864),"0"),5,2),RIGHT(TEXT(INDEX('05_KAPA'!$T:$T,$A864),"0"),2)),""))</f>
        <v/>
      </c>
      <c r="K864">
        <f>IF(C864="","",IF('02_대상물건입력'!$B$5="",1,IF(ISNUMBER(SEARCH('02_대상물건입력'!$B$5,C864)),1,0)))</f>
        <v/>
      </c>
      <c r="L864">
        <f>IF(C864="","",IF('02_대상물건입력'!$B$6="",1,IF(ISNUMBER(SEARCH('02_대상물건입력'!$B$6,C864)),1,0)))</f>
        <v/>
      </c>
      <c r="M864">
        <f>IF(E864="","",IF('02_대상물건입력'!$B$8="",0,IF(ISNUMBER(SEARCH('02_대상물건입력'!$B$8,E864)),1,0)))</f>
        <v/>
      </c>
      <c r="N864">
        <f>IF(B864="","",IF(B864="담보",1,0))</f>
        <v/>
      </c>
      <c r="O864">
        <f>IFERROR(ABS(G864-'02_대상물건입력'!$B$11)/'02_대상물건입력'!$B$11,"")</f>
        <v/>
      </c>
      <c r="P864">
        <f>IFERROR(ABS('01_설정'!$B$4-H864),"")</f>
        <v/>
      </c>
      <c r="Q864">
        <f>IFERROR(ABS(YEAR(J864)-YEAR('02_대상물건입력'!$B$14)),"")</f>
        <v/>
      </c>
      <c r="R864">
        <f>IF(AND(G864&gt;0,H864&gt;0,I864&gt;0,N864=1,IF('01_설정'!$B$10=1,K864=1,TRUE()),O864&lt;='01_설정'!$B$5,P864&lt;='01_설정'!$B$7,Q864&lt;='01_설정'!$B$8),"Y","")</f>
        <v/>
      </c>
      <c r="S864">
        <f>IF(R864&lt;&gt;"Y","",MAX(0,(1-O864/'01_설정'!$B$5))*'01_설정'!$B$14+MAX(0,(1-P864/'01_설정'!$B$7))*'01_설정'!$B$16+MAX(0,(1-Q864/'01_설정'!$B$8))*'01_설정'!$B$17+L864*'01_설정'!$B$11+M864*'01_설정'!$B$12+N864*50)</f>
        <v/>
      </c>
      <c r="T864">
        <f>IF(S864="","",1+COUNTIFS($S$31:$S$1030,"&gt;"&amp;S864)+COUNTIFS($S$31:S864,S864)-1)</f>
        <v/>
      </c>
    </row>
    <row r="865" hidden="1" ht="16.5" customHeight="1">
      <c r="A865">
        <f>IF(COUNTA('05_KAPA'!$A836:$AO836)=0,"",838)</f>
        <v/>
      </c>
      <c r="B865">
        <f>IF($A865="","",INDEX('05_KAPA'!$B:$B,$A865))</f>
        <v/>
      </c>
      <c r="C865">
        <f>IF($A865="","",INDEX('05_KAPA'!$F:$F,$A865))</f>
        <v/>
      </c>
      <c r="D865">
        <f>IF($A865="","",INDEX('05_KAPA'!$H:$H,$A865))</f>
        <v/>
      </c>
      <c r="E865">
        <f>IF($A865="","",INDEX('05_KAPA'!$K:$K,$A865))</f>
        <v/>
      </c>
      <c r="F865">
        <f>IF($A865="","",INDEX('05_KAPA'!$L:$L,$A865))</f>
        <v/>
      </c>
      <c r="G865">
        <f>IF($A865="","",INDEX('05_KAPA'!$I:$I,$A865))</f>
        <v/>
      </c>
      <c r="H865" s="202">
        <f>IF($A865="","",INDEX('05_KAPA'!$P:$P,$A865))</f>
        <v/>
      </c>
      <c r="I865" s="118">
        <f>IF($A865="","",INDEX('05_KAPA'!$O:$O,$A865))</f>
        <v/>
      </c>
      <c r="J865" s="202">
        <f>IF($A865="","",IFERROR(DATE(LEFT(TEXT(INDEX('05_KAPA'!$T:$T,$A865),"0"),4),MID(TEXT(INDEX('05_KAPA'!$T:$T,$A865),"0"),5,2),RIGHT(TEXT(INDEX('05_KAPA'!$T:$T,$A865),"0"),2)),""))</f>
        <v/>
      </c>
      <c r="K865">
        <f>IF(C865="","",IF('02_대상물건입력'!$B$5="",1,IF(ISNUMBER(SEARCH('02_대상물건입력'!$B$5,C865)),1,0)))</f>
        <v/>
      </c>
      <c r="L865">
        <f>IF(C865="","",IF('02_대상물건입력'!$B$6="",1,IF(ISNUMBER(SEARCH('02_대상물건입력'!$B$6,C865)),1,0)))</f>
        <v/>
      </c>
      <c r="M865">
        <f>IF(E865="","",IF('02_대상물건입력'!$B$8="",0,IF(ISNUMBER(SEARCH('02_대상물건입력'!$B$8,E865)),1,0)))</f>
        <v/>
      </c>
      <c r="N865">
        <f>IF(B865="","",IF(B865="담보",1,0))</f>
        <v/>
      </c>
      <c r="O865">
        <f>IFERROR(ABS(G865-'02_대상물건입력'!$B$11)/'02_대상물건입력'!$B$11,"")</f>
        <v/>
      </c>
      <c r="P865">
        <f>IFERROR(ABS('01_설정'!$B$4-H865),"")</f>
        <v/>
      </c>
      <c r="Q865">
        <f>IFERROR(ABS(YEAR(J865)-YEAR('02_대상물건입력'!$B$14)),"")</f>
        <v/>
      </c>
      <c r="R865">
        <f>IF(AND(G865&gt;0,H865&gt;0,I865&gt;0,N865=1,IF('01_설정'!$B$10=1,K865=1,TRUE()),O865&lt;='01_설정'!$B$5,P865&lt;='01_설정'!$B$7,Q865&lt;='01_설정'!$B$8),"Y","")</f>
        <v/>
      </c>
      <c r="S865">
        <f>IF(R865&lt;&gt;"Y","",MAX(0,(1-O865/'01_설정'!$B$5))*'01_설정'!$B$14+MAX(0,(1-P865/'01_설정'!$B$7))*'01_설정'!$B$16+MAX(0,(1-Q865/'01_설정'!$B$8))*'01_설정'!$B$17+L865*'01_설정'!$B$11+M865*'01_설정'!$B$12+N865*50)</f>
        <v/>
      </c>
      <c r="T865">
        <f>IF(S865="","",1+COUNTIFS($S$31:$S$1030,"&gt;"&amp;S865)+COUNTIFS($S$31:S865,S865)-1)</f>
        <v/>
      </c>
    </row>
    <row r="866" hidden="1" ht="16.5" customHeight="1">
      <c r="A866">
        <f>IF(COUNTA('05_KAPA'!$A837:$AO837)=0,"",839)</f>
        <v/>
      </c>
      <c r="B866">
        <f>IF($A866="","",INDEX('05_KAPA'!$B:$B,$A866))</f>
        <v/>
      </c>
      <c r="C866">
        <f>IF($A866="","",INDEX('05_KAPA'!$F:$F,$A866))</f>
        <v/>
      </c>
      <c r="D866">
        <f>IF($A866="","",INDEX('05_KAPA'!$H:$H,$A866))</f>
        <v/>
      </c>
      <c r="E866">
        <f>IF($A866="","",INDEX('05_KAPA'!$K:$K,$A866))</f>
        <v/>
      </c>
      <c r="F866">
        <f>IF($A866="","",INDEX('05_KAPA'!$L:$L,$A866))</f>
        <v/>
      </c>
      <c r="G866">
        <f>IF($A866="","",INDEX('05_KAPA'!$I:$I,$A866))</f>
        <v/>
      </c>
      <c r="H866" s="202">
        <f>IF($A866="","",INDEX('05_KAPA'!$P:$P,$A866))</f>
        <v/>
      </c>
      <c r="I866" s="118">
        <f>IF($A866="","",INDEX('05_KAPA'!$O:$O,$A866))</f>
        <v/>
      </c>
      <c r="J866" s="202">
        <f>IF($A866="","",IFERROR(DATE(LEFT(TEXT(INDEX('05_KAPA'!$T:$T,$A866),"0"),4),MID(TEXT(INDEX('05_KAPA'!$T:$T,$A866),"0"),5,2),RIGHT(TEXT(INDEX('05_KAPA'!$T:$T,$A866),"0"),2)),""))</f>
        <v/>
      </c>
      <c r="K866">
        <f>IF(C866="","",IF('02_대상물건입력'!$B$5="",1,IF(ISNUMBER(SEARCH('02_대상물건입력'!$B$5,C866)),1,0)))</f>
        <v/>
      </c>
      <c r="L866">
        <f>IF(C866="","",IF('02_대상물건입력'!$B$6="",1,IF(ISNUMBER(SEARCH('02_대상물건입력'!$B$6,C866)),1,0)))</f>
        <v/>
      </c>
      <c r="M866">
        <f>IF(E866="","",IF('02_대상물건입력'!$B$8="",0,IF(ISNUMBER(SEARCH('02_대상물건입력'!$B$8,E866)),1,0)))</f>
        <v/>
      </c>
      <c r="N866">
        <f>IF(B866="","",IF(B866="담보",1,0))</f>
        <v/>
      </c>
      <c r="O866">
        <f>IFERROR(ABS(G866-'02_대상물건입력'!$B$11)/'02_대상물건입력'!$B$11,"")</f>
        <v/>
      </c>
      <c r="P866">
        <f>IFERROR(ABS('01_설정'!$B$4-H866),"")</f>
        <v/>
      </c>
      <c r="Q866">
        <f>IFERROR(ABS(YEAR(J866)-YEAR('02_대상물건입력'!$B$14)),"")</f>
        <v/>
      </c>
      <c r="R866">
        <f>IF(AND(G866&gt;0,H866&gt;0,I866&gt;0,N866=1,IF('01_설정'!$B$10=1,K866=1,TRUE()),O866&lt;='01_설정'!$B$5,P866&lt;='01_설정'!$B$7,Q866&lt;='01_설정'!$B$8),"Y","")</f>
        <v/>
      </c>
      <c r="S866">
        <f>IF(R866&lt;&gt;"Y","",MAX(0,(1-O866/'01_설정'!$B$5))*'01_설정'!$B$14+MAX(0,(1-P866/'01_설정'!$B$7))*'01_설정'!$B$16+MAX(0,(1-Q866/'01_설정'!$B$8))*'01_설정'!$B$17+L866*'01_설정'!$B$11+M866*'01_설정'!$B$12+N866*50)</f>
        <v/>
      </c>
      <c r="T866">
        <f>IF(S866="","",1+COUNTIFS($S$31:$S$1030,"&gt;"&amp;S866)+COUNTIFS($S$31:S866,S866)-1)</f>
        <v/>
      </c>
    </row>
    <row r="867" hidden="1" ht="16.5" customHeight="1">
      <c r="A867">
        <f>IF(COUNTA('05_KAPA'!$A838:$AO838)=0,"",840)</f>
        <v/>
      </c>
      <c r="B867">
        <f>IF($A867="","",INDEX('05_KAPA'!$B:$B,$A867))</f>
        <v/>
      </c>
      <c r="C867">
        <f>IF($A867="","",INDEX('05_KAPA'!$F:$F,$A867))</f>
        <v/>
      </c>
      <c r="D867">
        <f>IF($A867="","",INDEX('05_KAPA'!$H:$H,$A867))</f>
        <v/>
      </c>
      <c r="E867">
        <f>IF($A867="","",INDEX('05_KAPA'!$K:$K,$A867))</f>
        <v/>
      </c>
      <c r="F867">
        <f>IF($A867="","",INDEX('05_KAPA'!$L:$L,$A867))</f>
        <v/>
      </c>
      <c r="G867">
        <f>IF($A867="","",INDEX('05_KAPA'!$I:$I,$A867))</f>
        <v/>
      </c>
      <c r="H867" s="202">
        <f>IF($A867="","",INDEX('05_KAPA'!$P:$P,$A867))</f>
        <v/>
      </c>
      <c r="I867" s="118">
        <f>IF($A867="","",INDEX('05_KAPA'!$O:$O,$A867))</f>
        <v/>
      </c>
      <c r="J867" s="202">
        <f>IF($A867="","",IFERROR(DATE(LEFT(TEXT(INDEX('05_KAPA'!$T:$T,$A867),"0"),4),MID(TEXT(INDEX('05_KAPA'!$T:$T,$A867),"0"),5,2),RIGHT(TEXT(INDEX('05_KAPA'!$T:$T,$A867),"0"),2)),""))</f>
        <v/>
      </c>
      <c r="K867">
        <f>IF(C867="","",IF('02_대상물건입력'!$B$5="",1,IF(ISNUMBER(SEARCH('02_대상물건입력'!$B$5,C867)),1,0)))</f>
        <v/>
      </c>
      <c r="L867">
        <f>IF(C867="","",IF('02_대상물건입력'!$B$6="",1,IF(ISNUMBER(SEARCH('02_대상물건입력'!$B$6,C867)),1,0)))</f>
        <v/>
      </c>
      <c r="M867">
        <f>IF(E867="","",IF('02_대상물건입력'!$B$8="",0,IF(ISNUMBER(SEARCH('02_대상물건입력'!$B$8,E867)),1,0)))</f>
        <v/>
      </c>
      <c r="N867">
        <f>IF(B867="","",IF(B867="담보",1,0))</f>
        <v/>
      </c>
      <c r="O867">
        <f>IFERROR(ABS(G867-'02_대상물건입력'!$B$11)/'02_대상물건입력'!$B$11,"")</f>
        <v/>
      </c>
      <c r="P867">
        <f>IFERROR(ABS('01_설정'!$B$4-H867),"")</f>
        <v/>
      </c>
      <c r="Q867">
        <f>IFERROR(ABS(YEAR(J867)-YEAR('02_대상물건입력'!$B$14)),"")</f>
        <v/>
      </c>
      <c r="R867">
        <f>IF(AND(G867&gt;0,H867&gt;0,I867&gt;0,N867=1,IF('01_설정'!$B$10=1,K867=1,TRUE()),O867&lt;='01_설정'!$B$5,P867&lt;='01_설정'!$B$7,Q867&lt;='01_설정'!$B$8),"Y","")</f>
        <v/>
      </c>
      <c r="S867">
        <f>IF(R867&lt;&gt;"Y","",MAX(0,(1-O867/'01_설정'!$B$5))*'01_설정'!$B$14+MAX(0,(1-P867/'01_설정'!$B$7))*'01_설정'!$B$16+MAX(0,(1-Q867/'01_설정'!$B$8))*'01_설정'!$B$17+L867*'01_설정'!$B$11+M867*'01_설정'!$B$12+N867*50)</f>
        <v/>
      </c>
      <c r="T867">
        <f>IF(S867="","",1+COUNTIFS($S$31:$S$1030,"&gt;"&amp;S867)+COUNTIFS($S$31:S867,S867)-1)</f>
        <v/>
      </c>
    </row>
    <row r="868" hidden="1" ht="16.5" customHeight="1">
      <c r="A868">
        <f>IF(COUNTA('05_KAPA'!$A839:$AO839)=0,"",841)</f>
        <v/>
      </c>
      <c r="B868">
        <f>IF($A868="","",INDEX('05_KAPA'!$B:$B,$A868))</f>
        <v/>
      </c>
      <c r="C868">
        <f>IF($A868="","",INDEX('05_KAPA'!$F:$F,$A868))</f>
        <v/>
      </c>
      <c r="D868">
        <f>IF($A868="","",INDEX('05_KAPA'!$H:$H,$A868))</f>
        <v/>
      </c>
      <c r="E868">
        <f>IF($A868="","",INDEX('05_KAPA'!$K:$K,$A868))</f>
        <v/>
      </c>
      <c r="F868">
        <f>IF($A868="","",INDEX('05_KAPA'!$L:$L,$A868))</f>
        <v/>
      </c>
      <c r="G868">
        <f>IF($A868="","",INDEX('05_KAPA'!$I:$I,$A868))</f>
        <v/>
      </c>
      <c r="H868" s="202">
        <f>IF($A868="","",INDEX('05_KAPA'!$P:$P,$A868))</f>
        <v/>
      </c>
      <c r="I868" s="118">
        <f>IF($A868="","",INDEX('05_KAPA'!$O:$O,$A868))</f>
        <v/>
      </c>
      <c r="J868" s="202">
        <f>IF($A868="","",IFERROR(DATE(LEFT(TEXT(INDEX('05_KAPA'!$T:$T,$A868),"0"),4),MID(TEXT(INDEX('05_KAPA'!$T:$T,$A868),"0"),5,2),RIGHT(TEXT(INDEX('05_KAPA'!$T:$T,$A868),"0"),2)),""))</f>
        <v/>
      </c>
      <c r="K868">
        <f>IF(C868="","",IF('02_대상물건입력'!$B$5="",1,IF(ISNUMBER(SEARCH('02_대상물건입력'!$B$5,C868)),1,0)))</f>
        <v/>
      </c>
      <c r="L868">
        <f>IF(C868="","",IF('02_대상물건입력'!$B$6="",1,IF(ISNUMBER(SEARCH('02_대상물건입력'!$B$6,C868)),1,0)))</f>
        <v/>
      </c>
      <c r="M868">
        <f>IF(E868="","",IF('02_대상물건입력'!$B$8="",0,IF(ISNUMBER(SEARCH('02_대상물건입력'!$B$8,E868)),1,0)))</f>
        <v/>
      </c>
      <c r="N868">
        <f>IF(B868="","",IF(B868="담보",1,0))</f>
        <v/>
      </c>
      <c r="O868">
        <f>IFERROR(ABS(G868-'02_대상물건입력'!$B$11)/'02_대상물건입력'!$B$11,"")</f>
        <v/>
      </c>
      <c r="P868">
        <f>IFERROR(ABS('01_설정'!$B$4-H868),"")</f>
        <v/>
      </c>
      <c r="Q868">
        <f>IFERROR(ABS(YEAR(J868)-YEAR('02_대상물건입력'!$B$14)),"")</f>
        <v/>
      </c>
      <c r="R868">
        <f>IF(AND(G868&gt;0,H868&gt;0,I868&gt;0,N868=1,IF('01_설정'!$B$10=1,K868=1,TRUE()),O868&lt;='01_설정'!$B$5,P868&lt;='01_설정'!$B$7,Q868&lt;='01_설정'!$B$8),"Y","")</f>
        <v/>
      </c>
      <c r="S868">
        <f>IF(R868&lt;&gt;"Y","",MAX(0,(1-O868/'01_설정'!$B$5))*'01_설정'!$B$14+MAX(0,(1-P868/'01_설정'!$B$7))*'01_설정'!$B$16+MAX(0,(1-Q868/'01_설정'!$B$8))*'01_설정'!$B$17+L868*'01_설정'!$B$11+M868*'01_설정'!$B$12+N868*50)</f>
        <v/>
      </c>
      <c r="T868">
        <f>IF(S868="","",1+COUNTIFS($S$31:$S$1030,"&gt;"&amp;S868)+COUNTIFS($S$31:S868,S868)-1)</f>
        <v/>
      </c>
    </row>
    <row r="869" hidden="1" ht="16.5" customHeight="1">
      <c r="A869">
        <f>IF(COUNTA('05_KAPA'!$A840:$AO840)=0,"",842)</f>
        <v/>
      </c>
      <c r="B869">
        <f>IF($A869="","",INDEX('05_KAPA'!$B:$B,$A869))</f>
        <v/>
      </c>
      <c r="C869">
        <f>IF($A869="","",INDEX('05_KAPA'!$F:$F,$A869))</f>
        <v/>
      </c>
      <c r="D869">
        <f>IF($A869="","",INDEX('05_KAPA'!$H:$H,$A869))</f>
        <v/>
      </c>
      <c r="E869">
        <f>IF($A869="","",INDEX('05_KAPA'!$K:$K,$A869))</f>
        <v/>
      </c>
      <c r="F869">
        <f>IF($A869="","",INDEX('05_KAPA'!$L:$L,$A869))</f>
        <v/>
      </c>
      <c r="G869">
        <f>IF($A869="","",INDEX('05_KAPA'!$I:$I,$A869))</f>
        <v/>
      </c>
      <c r="H869" s="202">
        <f>IF($A869="","",INDEX('05_KAPA'!$P:$P,$A869))</f>
        <v/>
      </c>
      <c r="I869" s="118">
        <f>IF($A869="","",INDEX('05_KAPA'!$O:$O,$A869))</f>
        <v/>
      </c>
      <c r="J869" s="202">
        <f>IF($A869="","",IFERROR(DATE(LEFT(TEXT(INDEX('05_KAPA'!$T:$T,$A869),"0"),4),MID(TEXT(INDEX('05_KAPA'!$T:$T,$A869),"0"),5,2),RIGHT(TEXT(INDEX('05_KAPA'!$T:$T,$A869),"0"),2)),""))</f>
        <v/>
      </c>
      <c r="K869">
        <f>IF(C869="","",IF('02_대상물건입력'!$B$5="",1,IF(ISNUMBER(SEARCH('02_대상물건입력'!$B$5,C869)),1,0)))</f>
        <v/>
      </c>
      <c r="L869">
        <f>IF(C869="","",IF('02_대상물건입력'!$B$6="",1,IF(ISNUMBER(SEARCH('02_대상물건입력'!$B$6,C869)),1,0)))</f>
        <v/>
      </c>
      <c r="M869">
        <f>IF(E869="","",IF('02_대상물건입력'!$B$8="",0,IF(ISNUMBER(SEARCH('02_대상물건입력'!$B$8,E869)),1,0)))</f>
        <v/>
      </c>
      <c r="N869">
        <f>IF(B869="","",IF(B869="담보",1,0))</f>
        <v/>
      </c>
      <c r="O869">
        <f>IFERROR(ABS(G869-'02_대상물건입력'!$B$11)/'02_대상물건입력'!$B$11,"")</f>
        <v/>
      </c>
      <c r="P869">
        <f>IFERROR(ABS('01_설정'!$B$4-H869),"")</f>
        <v/>
      </c>
      <c r="Q869">
        <f>IFERROR(ABS(YEAR(J869)-YEAR('02_대상물건입력'!$B$14)),"")</f>
        <v/>
      </c>
      <c r="R869">
        <f>IF(AND(G869&gt;0,H869&gt;0,I869&gt;0,N869=1,IF('01_설정'!$B$10=1,K869=1,TRUE()),O869&lt;='01_설정'!$B$5,P869&lt;='01_설정'!$B$7,Q869&lt;='01_설정'!$B$8),"Y","")</f>
        <v/>
      </c>
      <c r="S869">
        <f>IF(R869&lt;&gt;"Y","",MAX(0,(1-O869/'01_설정'!$B$5))*'01_설정'!$B$14+MAX(0,(1-P869/'01_설정'!$B$7))*'01_설정'!$B$16+MAX(0,(1-Q869/'01_설정'!$B$8))*'01_설정'!$B$17+L869*'01_설정'!$B$11+M869*'01_설정'!$B$12+N869*50)</f>
        <v/>
      </c>
      <c r="T869">
        <f>IF(S869="","",1+COUNTIFS($S$31:$S$1030,"&gt;"&amp;S869)+COUNTIFS($S$31:S869,S869)-1)</f>
        <v/>
      </c>
    </row>
    <row r="870" hidden="1" ht="16.5" customHeight="1">
      <c r="A870">
        <f>IF(COUNTA('05_KAPA'!$A841:$AO841)=0,"",843)</f>
        <v/>
      </c>
      <c r="B870">
        <f>IF($A870="","",INDEX('05_KAPA'!$B:$B,$A870))</f>
        <v/>
      </c>
      <c r="C870">
        <f>IF($A870="","",INDEX('05_KAPA'!$F:$F,$A870))</f>
        <v/>
      </c>
      <c r="D870">
        <f>IF($A870="","",INDEX('05_KAPA'!$H:$H,$A870))</f>
        <v/>
      </c>
      <c r="E870">
        <f>IF($A870="","",INDEX('05_KAPA'!$K:$K,$A870))</f>
        <v/>
      </c>
      <c r="F870">
        <f>IF($A870="","",INDEX('05_KAPA'!$L:$L,$A870))</f>
        <v/>
      </c>
      <c r="G870">
        <f>IF($A870="","",INDEX('05_KAPA'!$I:$I,$A870))</f>
        <v/>
      </c>
      <c r="H870" s="202">
        <f>IF($A870="","",INDEX('05_KAPA'!$P:$P,$A870))</f>
        <v/>
      </c>
      <c r="I870" s="118">
        <f>IF($A870="","",INDEX('05_KAPA'!$O:$O,$A870))</f>
        <v/>
      </c>
      <c r="J870" s="202">
        <f>IF($A870="","",IFERROR(DATE(LEFT(TEXT(INDEX('05_KAPA'!$T:$T,$A870),"0"),4),MID(TEXT(INDEX('05_KAPA'!$T:$T,$A870),"0"),5,2),RIGHT(TEXT(INDEX('05_KAPA'!$T:$T,$A870),"0"),2)),""))</f>
        <v/>
      </c>
      <c r="K870">
        <f>IF(C870="","",IF('02_대상물건입력'!$B$5="",1,IF(ISNUMBER(SEARCH('02_대상물건입력'!$B$5,C870)),1,0)))</f>
        <v/>
      </c>
      <c r="L870">
        <f>IF(C870="","",IF('02_대상물건입력'!$B$6="",1,IF(ISNUMBER(SEARCH('02_대상물건입력'!$B$6,C870)),1,0)))</f>
        <v/>
      </c>
      <c r="M870">
        <f>IF(E870="","",IF('02_대상물건입력'!$B$8="",0,IF(ISNUMBER(SEARCH('02_대상물건입력'!$B$8,E870)),1,0)))</f>
        <v/>
      </c>
      <c r="N870">
        <f>IF(B870="","",IF(B870="담보",1,0))</f>
        <v/>
      </c>
      <c r="O870">
        <f>IFERROR(ABS(G870-'02_대상물건입력'!$B$11)/'02_대상물건입력'!$B$11,"")</f>
        <v/>
      </c>
      <c r="P870">
        <f>IFERROR(ABS('01_설정'!$B$4-H870),"")</f>
        <v/>
      </c>
      <c r="Q870">
        <f>IFERROR(ABS(YEAR(J870)-YEAR('02_대상물건입력'!$B$14)),"")</f>
        <v/>
      </c>
      <c r="R870">
        <f>IF(AND(G870&gt;0,H870&gt;0,I870&gt;0,N870=1,IF('01_설정'!$B$10=1,K870=1,TRUE()),O870&lt;='01_설정'!$B$5,P870&lt;='01_설정'!$B$7,Q870&lt;='01_설정'!$B$8),"Y","")</f>
        <v/>
      </c>
      <c r="S870">
        <f>IF(R870&lt;&gt;"Y","",MAX(0,(1-O870/'01_설정'!$B$5))*'01_설정'!$B$14+MAX(0,(1-P870/'01_설정'!$B$7))*'01_설정'!$B$16+MAX(0,(1-Q870/'01_설정'!$B$8))*'01_설정'!$B$17+L870*'01_설정'!$B$11+M870*'01_설정'!$B$12+N870*50)</f>
        <v/>
      </c>
      <c r="T870">
        <f>IF(S870="","",1+COUNTIFS($S$31:$S$1030,"&gt;"&amp;S870)+COUNTIFS($S$31:S870,S870)-1)</f>
        <v/>
      </c>
    </row>
    <row r="871" hidden="1" ht="16.5" customHeight="1">
      <c r="A871">
        <f>IF(COUNTA('05_KAPA'!$A842:$AO842)=0,"",844)</f>
        <v/>
      </c>
      <c r="B871">
        <f>IF($A871="","",INDEX('05_KAPA'!$B:$B,$A871))</f>
        <v/>
      </c>
      <c r="C871">
        <f>IF($A871="","",INDEX('05_KAPA'!$F:$F,$A871))</f>
        <v/>
      </c>
      <c r="D871">
        <f>IF($A871="","",INDEX('05_KAPA'!$H:$H,$A871))</f>
        <v/>
      </c>
      <c r="E871">
        <f>IF($A871="","",INDEX('05_KAPA'!$K:$K,$A871))</f>
        <v/>
      </c>
      <c r="F871">
        <f>IF($A871="","",INDEX('05_KAPA'!$L:$L,$A871))</f>
        <v/>
      </c>
      <c r="G871">
        <f>IF($A871="","",INDEX('05_KAPA'!$I:$I,$A871))</f>
        <v/>
      </c>
      <c r="H871" s="202">
        <f>IF($A871="","",INDEX('05_KAPA'!$P:$P,$A871))</f>
        <v/>
      </c>
      <c r="I871" s="118">
        <f>IF($A871="","",INDEX('05_KAPA'!$O:$O,$A871))</f>
        <v/>
      </c>
      <c r="J871" s="202">
        <f>IF($A871="","",IFERROR(DATE(LEFT(TEXT(INDEX('05_KAPA'!$T:$T,$A871),"0"),4),MID(TEXT(INDEX('05_KAPA'!$T:$T,$A871),"0"),5,2),RIGHT(TEXT(INDEX('05_KAPA'!$T:$T,$A871),"0"),2)),""))</f>
        <v/>
      </c>
      <c r="K871">
        <f>IF(C871="","",IF('02_대상물건입력'!$B$5="",1,IF(ISNUMBER(SEARCH('02_대상물건입력'!$B$5,C871)),1,0)))</f>
        <v/>
      </c>
      <c r="L871">
        <f>IF(C871="","",IF('02_대상물건입력'!$B$6="",1,IF(ISNUMBER(SEARCH('02_대상물건입력'!$B$6,C871)),1,0)))</f>
        <v/>
      </c>
      <c r="M871">
        <f>IF(E871="","",IF('02_대상물건입력'!$B$8="",0,IF(ISNUMBER(SEARCH('02_대상물건입력'!$B$8,E871)),1,0)))</f>
        <v/>
      </c>
      <c r="N871">
        <f>IF(B871="","",IF(B871="담보",1,0))</f>
        <v/>
      </c>
      <c r="O871">
        <f>IFERROR(ABS(G871-'02_대상물건입력'!$B$11)/'02_대상물건입력'!$B$11,"")</f>
        <v/>
      </c>
      <c r="P871">
        <f>IFERROR(ABS('01_설정'!$B$4-H871),"")</f>
        <v/>
      </c>
      <c r="Q871">
        <f>IFERROR(ABS(YEAR(J871)-YEAR('02_대상물건입력'!$B$14)),"")</f>
        <v/>
      </c>
      <c r="R871">
        <f>IF(AND(G871&gt;0,H871&gt;0,I871&gt;0,N871=1,IF('01_설정'!$B$10=1,K871=1,TRUE()),O871&lt;='01_설정'!$B$5,P871&lt;='01_설정'!$B$7,Q871&lt;='01_설정'!$B$8),"Y","")</f>
        <v/>
      </c>
      <c r="S871">
        <f>IF(R871&lt;&gt;"Y","",MAX(0,(1-O871/'01_설정'!$B$5))*'01_설정'!$B$14+MAX(0,(1-P871/'01_설정'!$B$7))*'01_설정'!$B$16+MAX(0,(1-Q871/'01_설정'!$B$8))*'01_설정'!$B$17+L871*'01_설정'!$B$11+M871*'01_설정'!$B$12+N871*50)</f>
        <v/>
      </c>
      <c r="T871">
        <f>IF(S871="","",1+COUNTIFS($S$31:$S$1030,"&gt;"&amp;S871)+COUNTIFS($S$31:S871,S871)-1)</f>
        <v/>
      </c>
    </row>
    <row r="872" hidden="1" ht="16.5" customHeight="1">
      <c r="A872">
        <f>IF(COUNTA('05_KAPA'!$A843:$AO843)=0,"",845)</f>
        <v/>
      </c>
      <c r="B872">
        <f>IF($A872="","",INDEX('05_KAPA'!$B:$B,$A872))</f>
        <v/>
      </c>
      <c r="C872">
        <f>IF($A872="","",INDEX('05_KAPA'!$F:$F,$A872))</f>
        <v/>
      </c>
      <c r="D872">
        <f>IF($A872="","",INDEX('05_KAPA'!$H:$H,$A872))</f>
        <v/>
      </c>
      <c r="E872">
        <f>IF($A872="","",INDEX('05_KAPA'!$K:$K,$A872))</f>
        <v/>
      </c>
      <c r="F872">
        <f>IF($A872="","",INDEX('05_KAPA'!$L:$L,$A872))</f>
        <v/>
      </c>
      <c r="G872">
        <f>IF($A872="","",INDEX('05_KAPA'!$I:$I,$A872))</f>
        <v/>
      </c>
      <c r="H872" s="202">
        <f>IF($A872="","",INDEX('05_KAPA'!$P:$P,$A872))</f>
        <v/>
      </c>
      <c r="I872" s="118">
        <f>IF($A872="","",INDEX('05_KAPA'!$O:$O,$A872))</f>
        <v/>
      </c>
      <c r="J872" s="202">
        <f>IF($A872="","",IFERROR(DATE(LEFT(TEXT(INDEX('05_KAPA'!$T:$T,$A872),"0"),4),MID(TEXT(INDEX('05_KAPA'!$T:$T,$A872),"0"),5,2),RIGHT(TEXT(INDEX('05_KAPA'!$T:$T,$A872),"0"),2)),""))</f>
        <v/>
      </c>
      <c r="K872">
        <f>IF(C872="","",IF('02_대상물건입력'!$B$5="",1,IF(ISNUMBER(SEARCH('02_대상물건입력'!$B$5,C872)),1,0)))</f>
        <v/>
      </c>
      <c r="L872">
        <f>IF(C872="","",IF('02_대상물건입력'!$B$6="",1,IF(ISNUMBER(SEARCH('02_대상물건입력'!$B$6,C872)),1,0)))</f>
        <v/>
      </c>
      <c r="M872">
        <f>IF(E872="","",IF('02_대상물건입력'!$B$8="",0,IF(ISNUMBER(SEARCH('02_대상물건입력'!$B$8,E872)),1,0)))</f>
        <v/>
      </c>
      <c r="N872">
        <f>IF(B872="","",IF(B872="담보",1,0))</f>
        <v/>
      </c>
      <c r="O872">
        <f>IFERROR(ABS(G872-'02_대상물건입력'!$B$11)/'02_대상물건입력'!$B$11,"")</f>
        <v/>
      </c>
      <c r="P872">
        <f>IFERROR(ABS('01_설정'!$B$4-H872),"")</f>
        <v/>
      </c>
      <c r="Q872">
        <f>IFERROR(ABS(YEAR(J872)-YEAR('02_대상물건입력'!$B$14)),"")</f>
        <v/>
      </c>
      <c r="R872">
        <f>IF(AND(G872&gt;0,H872&gt;0,I872&gt;0,N872=1,IF('01_설정'!$B$10=1,K872=1,TRUE()),O872&lt;='01_설정'!$B$5,P872&lt;='01_설정'!$B$7,Q872&lt;='01_설정'!$B$8),"Y","")</f>
        <v/>
      </c>
      <c r="S872">
        <f>IF(R872&lt;&gt;"Y","",MAX(0,(1-O872/'01_설정'!$B$5))*'01_설정'!$B$14+MAX(0,(1-P872/'01_설정'!$B$7))*'01_설정'!$B$16+MAX(0,(1-Q872/'01_설정'!$B$8))*'01_설정'!$B$17+L872*'01_설정'!$B$11+M872*'01_설정'!$B$12+N872*50)</f>
        <v/>
      </c>
      <c r="T872">
        <f>IF(S872="","",1+COUNTIFS($S$31:$S$1030,"&gt;"&amp;S872)+COUNTIFS($S$31:S872,S872)-1)</f>
        <v/>
      </c>
    </row>
    <row r="873" hidden="1" ht="16.5" customHeight="1">
      <c r="A873">
        <f>IF(COUNTA('05_KAPA'!$A844:$AO844)=0,"",846)</f>
        <v/>
      </c>
      <c r="B873">
        <f>IF($A873="","",INDEX('05_KAPA'!$B:$B,$A873))</f>
        <v/>
      </c>
      <c r="C873">
        <f>IF($A873="","",INDEX('05_KAPA'!$F:$F,$A873))</f>
        <v/>
      </c>
      <c r="D873">
        <f>IF($A873="","",INDEX('05_KAPA'!$H:$H,$A873))</f>
        <v/>
      </c>
      <c r="E873">
        <f>IF($A873="","",INDEX('05_KAPA'!$K:$K,$A873))</f>
        <v/>
      </c>
      <c r="F873">
        <f>IF($A873="","",INDEX('05_KAPA'!$L:$L,$A873))</f>
        <v/>
      </c>
      <c r="G873">
        <f>IF($A873="","",INDEX('05_KAPA'!$I:$I,$A873))</f>
        <v/>
      </c>
      <c r="H873" s="202">
        <f>IF($A873="","",INDEX('05_KAPA'!$P:$P,$A873))</f>
        <v/>
      </c>
      <c r="I873" s="118">
        <f>IF($A873="","",INDEX('05_KAPA'!$O:$O,$A873))</f>
        <v/>
      </c>
      <c r="J873" s="202">
        <f>IF($A873="","",IFERROR(DATE(LEFT(TEXT(INDEX('05_KAPA'!$T:$T,$A873),"0"),4),MID(TEXT(INDEX('05_KAPA'!$T:$T,$A873),"0"),5,2),RIGHT(TEXT(INDEX('05_KAPA'!$T:$T,$A873),"0"),2)),""))</f>
        <v/>
      </c>
      <c r="K873">
        <f>IF(C873="","",IF('02_대상물건입력'!$B$5="",1,IF(ISNUMBER(SEARCH('02_대상물건입력'!$B$5,C873)),1,0)))</f>
        <v/>
      </c>
      <c r="L873">
        <f>IF(C873="","",IF('02_대상물건입력'!$B$6="",1,IF(ISNUMBER(SEARCH('02_대상물건입력'!$B$6,C873)),1,0)))</f>
        <v/>
      </c>
      <c r="M873">
        <f>IF(E873="","",IF('02_대상물건입력'!$B$8="",0,IF(ISNUMBER(SEARCH('02_대상물건입력'!$B$8,E873)),1,0)))</f>
        <v/>
      </c>
      <c r="N873">
        <f>IF(B873="","",IF(B873="담보",1,0))</f>
        <v/>
      </c>
      <c r="O873">
        <f>IFERROR(ABS(G873-'02_대상물건입력'!$B$11)/'02_대상물건입력'!$B$11,"")</f>
        <v/>
      </c>
      <c r="P873">
        <f>IFERROR(ABS('01_설정'!$B$4-H873),"")</f>
        <v/>
      </c>
      <c r="Q873">
        <f>IFERROR(ABS(YEAR(J873)-YEAR('02_대상물건입력'!$B$14)),"")</f>
        <v/>
      </c>
      <c r="R873">
        <f>IF(AND(G873&gt;0,H873&gt;0,I873&gt;0,N873=1,IF('01_설정'!$B$10=1,K873=1,TRUE()),O873&lt;='01_설정'!$B$5,P873&lt;='01_설정'!$B$7,Q873&lt;='01_설정'!$B$8),"Y","")</f>
        <v/>
      </c>
      <c r="S873">
        <f>IF(R873&lt;&gt;"Y","",MAX(0,(1-O873/'01_설정'!$B$5))*'01_설정'!$B$14+MAX(0,(1-P873/'01_설정'!$B$7))*'01_설정'!$B$16+MAX(0,(1-Q873/'01_설정'!$B$8))*'01_설정'!$B$17+L873*'01_설정'!$B$11+M873*'01_설정'!$B$12+N873*50)</f>
        <v/>
      </c>
      <c r="T873">
        <f>IF(S873="","",1+COUNTIFS($S$31:$S$1030,"&gt;"&amp;S873)+COUNTIFS($S$31:S873,S873)-1)</f>
        <v/>
      </c>
    </row>
    <row r="874" hidden="1" ht="16.5" customHeight="1">
      <c r="A874">
        <f>IF(COUNTA('05_KAPA'!$A845:$AO845)=0,"",847)</f>
        <v/>
      </c>
      <c r="B874">
        <f>IF($A874="","",INDEX('05_KAPA'!$B:$B,$A874))</f>
        <v/>
      </c>
      <c r="C874">
        <f>IF($A874="","",INDEX('05_KAPA'!$F:$F,$A874))</f>
        <v/>
      </c>
      <c r="D874">
        <f>IF($A874="","",INDEX('05_KAPA'!$H:$H,$A874))</f>
        <v/>
      </c>
      <c r="E874">
        <f>IF($A874="","",INDEX('05_KAPA'!$K:$K,$A874))</f>
        <v/>
      </c>
      <c r="F874">
        <f>IF($A874="","",INDEX('05_KAPA'!$L:$L,$A874))</f>
        <v/>
      </c>
      <c r="G874">
        <f>IF($A874="","",INDEX('05_KAPA'!$I:$I,$A874))</f>
        <v/>
      </c>
      <c r="H874" s="202">
        <f>IF($A874="","",INDEX('05_KAPA'!$P:$P,$A874))</f>
        <v/>
      </c>
      <c r="I874" s="118">
        <f>IF($A874="","",INDEX('05_KAPA'!$O:$O,$A874))</f>
        <v/>
      </c>
      <c r="J874" s="202">
        <f>IF($A874="","",IFERROR(DATE(LEFT(TEXT(INDEX('05_KAPA'!$T:$T,$A874),"0"),4),MID(TEXT(INDEX('05_KAPA'!$T:$T,$A874),"0"),5,2),RIGHT(TEXT(INDEX('05_KAPA'!$T:$T,$A874),"0"),2)),""))</f>
        <v/>
      </c>
      <c r="K874">
        <f>IF(C874="","",IF('02_대상물건입력'!$B$5="",1,IF(ISNUMBER(SEARCH('02_대상물건입력'!$B$5,C874)),1,0)))</f>
        <v/>
      </c>
      <c r="L874">
        <f>IF(C874="","",IF('02_대상물건입력'!$B$6="",1,IF(ISNUMBER(SEARCH('02_대상물건입력'!$B$6,C874)),1,0)))</f>
        <v/>
      </c>
      <c r="M874">
        <f>IF(E874="","",IF('02_대상물건입력'!$B$8="",0,IF(ISNUMBER(SEARCH('02_대상물건입력'!$B$8,E874)),1,0)))</f>
        <v/>
      </c>
      <c r="N874">
        <f>IF(B874="","",IF(B874="담보",1,0))</f>
        <v/>
      </c>
      <c r="O874">
        <f>IFERROR(ABS(G874-'02_대상물건입력'!$B$11)/'02_대상물건입력'!$B$11,"")</f>
        <v/>
      </c>
      <c r="P874">
        <f>IFERROR(ABS('01_설정'!$B$4-H874),"")</f>
        <v/>
      </c>
      <c r="Q874">
        <f>IFERROR(ABS(YEAR(J874)-YEAR('02_대상물건입력'!$B$14)),"")</f>
        <v/>
      </c>
      <c r="R874">
        <f>IF(AND(G874&gt;0,H874&gt;0,I874&gt;0,N874=1,IF('01_설정'!$B$10=1,K874=1,TRUE()),O874&lt;='01_설정'!$B$5,P874&lt;='01_설정'!$B$7,Q874&lt;='01_설정'!$B$8),"Y","")</f>
        <v/>
      </c>
      <c r="S874">
        <f>IF(R874&lt;&gt;"Y","",MAX(0,(1-O874/'01_설정'!$B$5))*'01_설정'!$B$14+MAX(0,(1-P874/'01_설정'!$B$7))*'01_설정'!$B$16+MAX(0,(1-Q874/'01_설정'!$B$8))*'01_설정'!$B$17+L874*'01_설정'!$B$11+M874*'01_설정'!$B$12+N874*50)</f>
        <v/>
      </c>
      <c r="T874">
        <f>IF(S874="","",1+COUNTIFS($S$31:$S$1030,"&gt;"&amp;S874)+COUNTIFS($S$31:S874,S874)-1)</f>
        <v/>
      </c>
    </row>
    <row r="875" hidden="1" ht="16.5" customHeight="1">
      <c r="A875">
        <f>IF(COUNTA('05_KAPA'!$A846:$AO846)=0,"",848)</f>
        <v/>
      </c>
      <c r="B875">
        <f>IF($A875="","",INDEX('05_KAPA'!$B:$B,$A875))</f>
        <v/>
      </c>
      <c r="C875">
        <f>IF($A875="","",INDEX('05_KAPA'!$F:$F,$A875))</f>
        <v/>
      </c>
      <c r="D875">
        <f>IF($A875="","",INDEX('05_KAPA'!$H:$H,$A875))</f>
        <v/>
      </c>
      <c r="E875">
        <f>IF($A875="","",INDEX('05_KAPA'!$K:$K,$A875))</f>
        <v/>
      </c>
      <c r="F875">
        <f>IF($A875="","",INDEX('05_KAPA'!$L:$L,$A875))</f>
        <v/>
      </c>
      <c r="G875">
        <f>IF($A875="","",INDEX('05_KAPA'!$I:$I,$A875))</f>
        <v/>
      </c>
      <c r="H875" s="202">
        <f>IF($A875="","",INDEX('05_KAPA'!$P:$P,$A875))</f>
        <v/>
      </c>
      <c r="I875" s="118">
        <f>IF($A875="","",INDEX('05_KAPA'!$O:$O,$A875))</f>
        <v/>
      </c>
      <c r="J875" s="202">
        <f>IF($A875="","",IFERROR(DATE(LEFT(TEXT(INDEX('05_KAPA'!$T:$T,$A875),"0"),4),MID(TEXT(INDEX('05_KAPA'!$T:$T,$A875),"0"),5,2),RIGHT(TEXT(INDEX('05_KAPA'!$T:$T,$A875),"0"),2)),""))</f>
        <v/>
      </c>
      <c r="K875">
        <f>IF(C875="","",IF('02_대상물건입력'!$B$5="",1,IF(ISNUMBER(SEARCH('02_대상물건입력'!$B$5,C875)),1,0)))</f>
        <v/>
      </c>
      <c r="L875">
        <f>IF(C875="","",IF('02_대상물건입력'!$B$6="",1,IF(ISNUMBER(SEARCH('02_대상물건입력'!$B$6,C875)),1,0)))</f>
        <v/>
      </c>
      <c r="M875">
        <f>IF(E875="","",IF('02_대상물건입력'!$B$8="",0,IF(ISNUMBER(SEARCH('02_대상물건입력'!$B$8,E875)),1,0)))</f>
        <v/>
      </c>
      <c r="N875">
        <f>IF(B875="","",IF(B875="담보",1,0))</f>
        <v/>
      </c>
      <c r="O875">
        <f>IFERROR(ABS(G875-'02_대상물건입력'!$B$11)/'02_대상물건입력'!$B$11,"")</f>
        <v/>
      </c>
      <c r="P875">
        <f>IFERROR(ABS('01_설정'!$B$4-H875),"")</f>
        <v/>
      </c>
      <c r="Q875">
        <f>IFERROR(ABS(YEAR(J875)-YEAR('02_대상물건입력'!$B$14)),"")</f>
        <v/>
      </c>
      <c r="R875">
        <f>IF(AND(G875&gt;0,H875&gt;0,I875&gt;0,N875=1,IF('01_설정'!$B$10=1,K875=1,TRUE()),O875&lt;='01_설정'!$B$5,P875&lt;='01_설정'!$B$7,Q875&lt;='01_설정'!$B$8),"Y","")</f>
        <v/>
      </c>
      <c r="S875">
        <f>IF(R875&lt;&gt;"Y","",MAX(0,(1-O875/'01_설정'!$B$5))*'01_설정'!$B$14+MAX(0,(1-P875/'01_설정'!$B$7))*'01_설정'!$B$16+MAX(0,(1-Q875/'01_설정'!$B$8))*'01_설정'!$B$17+L875*'01_설정'!$B$11+M875*'01_설정'!$B$12+N875*50)</f>
        <v/>
      </c>
      <c r="T875">
        <f>IF(S875="","",1+COUNTIFS($S$31:$S$1030,"&gt;"&amp;S875)+COUNTIFS($S$31:S875,S875)-1)</f>
        <v/>
      </c>
    </row>
    <row r="876" hidden="1" ht="16.5" customHeight="1">
      <c r="A876">
        <f>IF(COUNTA('05_KAPA'!$A847:$AO847)=0,"",849)</f>
        <v/>
      </c>
      <c r="B876">
        <f>IF($A876="","",INDEX('05_KAPA'!$B:$B,$A876))</f>
        <v/>
      </c>
      <c r="C876">
        <f>IF($A876="","",INDEX('05_KAPA'!$F:$F,$A876))</f>
        <v/>
      </c>
      <c r="D876">
        <f>IF($A876="","",INDEX('05_KAPA'!$H:$H,$A876))</f>
        <v/>
      </c>
      <c r="E876">
        <f>IF($A876="","",INDEX('05_KAPA'!$K:$K,$A876))</f>
        <v/>
      </c>
      <c r="F876">
        <f>IF($A876="","",INDEX('05_KAPA'!$L:$L,$A876))</f>
        <v/>
      </c>
      <c r="G876">
        <f>IF($A876="","",INDEX('05_KAPA'!$I:$I,$A876))</f>
        <v/>
      </c>
      <c r="H876" s="202">
        <f>IF($A876="","",INDEX('05_KAPA'!$P:$P,$A876))</f>
        <v/>
      </c>
      <c r="I876" s="118">
        <f>IF($A876="","",INDEX('05_KAPA'!$O:$O,$A876))</f>
        <v/>
      </c>
      <c r="J876" s="202">
        <f>IF($A876="","",IFERROR(DATE(LEFT(TEXT(INDEX('05_KAPA'!$T:$T,$A876),"0"),4),MID(TEXT(INDEX('05_KAPA'!$T:$T,$A876),"0"),5,2),RIGHT(TEXT(INDEX('05_KAPA'!$T:$T,$A876),"0"),2)),""))</f>
        <v/>
      </c>
      <c r="K876">
        <f>IF(C876="","",IF('02_대상물건입력'!$B$5="",1,IF(ISNUMBER(SEARCH('02_대상물건입력'!$B$5,C876)),1,0)))</f>
        <v/>
      </c>
      <c r="L876">
        <f>IF(C876="","",IF('02_대상물건입력'!$B$6="",1,IF(ISNUMBER(SEARCH('02_대상물건입력'!$B$6,C876)),1,0)))</f>
        <v/>
      </c>
      <c r="M876">
        <f>IF(E876="","",IF('02_대상물건입력'!$B$8="",0,IF(ISNUMBER(SEARCH('02_대상물건입력'!$B$8,E876)),1,0)))</f>
        <v/>
      </c>
      <c r="N876">
        <f>IF(B876="","",IF(B876="담보",1,0))</f>
        <v/>
      </c>
      <c r="O876">
        <f>IFERROR(ABS(G876-'02_대상물건입력'!$B$11)/'02_대상물건입력'!$B$11,"")</f>
        <v/>
      </c>
      <c r="P876">
        <f>IFERROR(ABS('01_설정'!$B$4-H876),"")</f>
        <v/>
      </c>
      <c r="Q876">
        <f>IFERROR(ABS(YEAR(J876)-YEAR('02_대상물건입력'!$B$14)),"")</f>
        <v/>
      </c>
      <c r="R876">
        <f>IF(AND(G876&gt;0,H876&gt;0,I876&gt;0,N876=1,IF('01_설정'!$B$10=1,K876=1,TRUE()),O876&lt;='01_설정'!$B$5,P876&lt;='01_설정'!$B$7,Q876&lt;='01_설정'!$B$8),"Y","")</f>
        <v/>
      </c>
      <c r="S876">
        <f>IF(R876&lt;&gt;"Y","",MAX(0,(1-O876/'01_설정'!$B$5))*'01_설정'!$B$14+MAX(0,(1-P876/'01_설정'!$B$7))*'01_설정'!$B$16+MAX(0,(1-Q876/'01_설정'!$B$8))*'01_설정'!$B$17+L876*'01_설정'!$B$11+M876*'01_설정'!$B$12+N876*50)</f>
        <v/>
      </c>
      <c r="T876">
        <f>IF(S876="","",1+COUNTIFS($S$31:$S$1030,"&gt;"&amp;S876)+COUNTIFS($S$31:S876,S876)-1)</f>
        <v/>
      </c>
    </row>
    <row r="877" hidden="1" ht="16.5" customHeight="1">
      <c r="A877">
        <f>IF(COUNTA('05_KAPA'!$A848:$AO848)=0,"",850)</f>
        <v/>
      </c>
      <c r="B877">
        <f>IF($A877="","",INDEX('05_KAPA'!$B:$B,$A877))</f>
        <v/>
      </c>
      <c r="C877">
        <f>IF($A877="","",INDEX('05_KAPA'!$F:$F,$A877))</f>
        <v/>
      </c>
      <c r="D877">
        <f>IF($A877="","",INDEX('05_KAPA'!$H:$H,$A877))</f>
        <v/>
      </c>
      <c r="E877">
        <f>IF($A877="","",INDEX('05_KAPA'!$K:$K,$A877))</f>
        <v/>
      </c>
      <c r="F877">
        <f>IF($A877="","",INDEX('05_KAPA'!$L:$L,$A877))</f>
        <v/>
      </c>
      <c r="G877">
        <f>IF($A877="","",INDEX('05_KAPA'!$I:$I,$A877))</f>
        <v/>
      </c>
      <c r="H877" s="202">
        <f>IF($A877="","",INDEX('05_KAPA'!$P:$P,$A877))</f>
        <v/>
      </c>
      <c r="I877" s="118">
        <f>IF($A877="","",INDEX('05_KAPA'!$O:$O,$A877))</f>
        <v/>
      </c>
      <c r="J877" s="202">
        <f>IF($A877="","",IFERROR(DATE(LEFT(TEXT(INDEX('05_KAPA'!$T:$T,$A877),"0"),4),MID(TEXT(INDEX('05_KAPA'!$T:$T,$A877),"0"),5,2),RIGHT(TEXT(INDEX('05_KAPA'!$T:$T,$A877),"0"),2)),""))</f>
        <v/>
      </c>
      <c r="K877">
        <f>IF(C877="","",IF('02_대상물건입력'!$B$5="",1,IF(ISNUMBER(SEARCH('02_대상물건입력'!$B$5,C877)),1,0)))</f>
        <v/>
      </c>
      <c r="L877">
        <f>IF(C877="","",IF('02_대상물건입력'!$B$6="",1,IF(ISNUMBER(SEARCH('02_대상물건입력'!$B$6,C877)),1,0)))</f>
        <v/>
      </c>
      <c r="M877">
        <f>IF(E877="","",IF('02_대상물건입력'!$B$8="",0,IF(ISNUMBER(SEARCH('02_대상물건입력'!$B$8,E877)),1,0)))</f>
        <v/>
      </c>
      <c r="N877">
        <f>IF(B877="","",IF(B877="담보",1,0))</f>
        <v/>
      </c>
      <c r="O877">
        <f>IFERROR(ABS(G877-'02_대상물건입력'!$B$11)/'02_대상물건입력'!$B$11,"")</f>
        <v/>
      </c>
      <c r="P877">
        <f>IFERROR(ABS('01_설정'!$B$4-H877),"")</f>
        <v/>
      </c>
      <c r="Q877">
        <f>IFERROR(ABS(YEAR(J877)-YEAR('02_대상물건입력'!$B$14)),"")</f>
        <v/>
      </c>
      <c r="R877">
        <f>IF(AND(G877&gt;0,H877&gt;0,I877&gt;0,N877=1,IF('01_설정'!$B$10=1,K877=1,TRUE()),O877&lt;='01_설정'!$B$5,P877&lt;='01_설정'!$B$7,Q877&lt;='01_설정'!$B$8),"Y","")</f>
        <v/>
      </c>
      <c r="S877">
        <f>IF(R877&lt;&gt;"Y","",MAX(0,(1-O877/'01_설정'!$B$5))*'01_설정'!$B$14+MAX(0,(1-P877/'01_설정'!$B$7))*'01_설정'!$B$16+MAX(0,(1-Q877/'01_설정'!$B$8))*'01_설정'!$B$17+L877*'01_설정'!$B$11+M877*'01_설정'!$B$12+N877*50)</f>
        <v/>
      </c>
      <c r="T877">
        <f>IF(S877="","",1+COUNTIFS($S$31:$S$1030,"&gt;"&amp;S877)+COUNTIFS($S$31:S877,S877)-1)</f>
        <v/>
      </c>
    </row>
    <row r="878" hidden="1" ht="16.5" customHeight="1">
      <c r="A878">
        <f>IF(COUNTA('05_KAPA'!$A849:$AO849)=0,"",851)</f>
        <v/>
      </c>
      <c r="B878">
        <f>IF($A878="","",INDEX('05_KAPA'!$B:$B,$A878))</f>
        <v/>
      </c>
      <c r="C878">
        <f>IF($A878="","",INDEX('05_KAPA'!$F:$F,$A878))</f>
        <v/>
      </c>
      <c r="D878">
        <f>IF($A878="","",INDEX('05_KAPA'!$H:$H,$A878))</f>
        <v/>
      </c>
      <c r="E878">
        <f>IF($A878="","",INDEX('05_KAPA'!$K:$K,$A878))</f>
        <v/>
      </c>
      <c r="F878">
        <f>IF($A878="","",INDEX('05_KAPA'!$L:$L,$A878))</f>
        <v/>
      </c>
      <c r="G878">
        <f>IF($A878="","",INDEX('05_KAPA'!$I:$I,$A878))</f>
        <v/>
      </c>
      <c r="H878" s="202">
        <f>IF($A878="","",INDEX('05_KAPA'!$P:$P,$A878))</f>
        <v/>
      </c>
      <c r="I878" s="118">
        <f>IF($A878="","",INDEX('05_KAPA'!$O:$O,$A878))</f>
        <v/>
      </c>
      <c r="J878" s="202">
        <f>IF($A878="","",IFERROR(DATE(LEFT(TEXT(INDEX('05_KAPA'!$T:$T,$A878),"0"),4),MID(TEXT(INDEX('05_KAPA'!$T:$T,$A878),"0"),5,2),RIGHT(TEXT(INDEX('05_KAPA'!$T:$T,$A878),"0"),2)),""))</f>
        <v/>
      </c>
      <c r="K878">
        <f>IF(C878="","",IF('02_대상물건입력'!$B$5="",1,IF(ISNUMBER(SEARCH('02_대상물건입력'!$B$5,C878)),1,0)))</f>
        <v/>
      </c>
      <c r="L878">
        <f>IF(C878="","",IF('02_대상물건입력'!$B$6="",1,IF(ISNUMBER(SEARCH('02_대상물건입력'!$B$6,C878)),1,0)))</f>
        <v/>
      </c>
      <c r="M878">
        <f>IF(E878="","",IF('02_대상물건입력'!$B$8="",0,IF(ISNUMBER(SEARCH('02_대상물건입력'!$B$8,E878)),1,0)))</f>
        <v/>
      </c>
      <c r="N878">
        <f>IF(B878="","",IF(B878="담보",1,0))</f>
        <v/>
      </c>
      <c r="O878">
        <f>IFERROR(ABS(G878-'02_대상물건입력'!$B$11)/'02_대상물건입력'!$B$11,"")</f>
        <v/>
      </c>
      <c r="P878">
        <f>IFERROR(ABS('01_설정'!$B$4-H878),"")</f>
        <v/>
      </c>
      <c r="Q878">
        <f>IFERROR(ABS(YEAR(J878)-YEAR('02_대상물건입력'!$B$14)),"")</f>
        <v/>
      </c>
      <c r="R878">
        <f>IF(AND(G878&gt;0,H878&gt;0,I878&gt;0,N878=1,IF('01_설정'!$B$10=1,K878=1,TRUE()),O878&lt;='01_설정'!$B$5,P878&lt;='01_설정'!$B$7,Q878&lt;='01_설정'!$B$8),"Y","")</f>
        <v/>
      </c>
      <c r="S878">
        <f>IF(R878&lt;&gt;"Y","",MAX(0,(1-O878/'01_설정'!$B$5))*'01_설정'!$B$14+MAX(0,(1-P878/'01_설정'!$B$7))*'01_설정'!$B$16+MAX(0,(1-Q878/'01_설정'!$B$8))*'01_설정'!$B$17+L878*'01_설정'!$B$11+M878*'01_설정'!$B$12+N878*50)</f>
        <v/>
      </c>
      <c r="T878">
        <f>IF(S878="","",1+COUNTIFS($S$31:$S$1030,"&gt;"&amp;S878)+COUNTIFS($S$31:S878,S878)-1)</f>
        <v/>
      </c>
    </row>
    <row r="879" hidden="1" ht="16.5" customHeight="1">
      <c r="A879">
        <f>IF(COUNTA('05_KAPA'!$A850:$AO850)=0,"",852)</f>
        <v/>
      </c>
      <c r="B879">
        <f>IF($A879="","",INDEX('05_KAPA'!$B:$B,$A879))</f>
        <v/>
      </c>
      <c r="C879">
        <f>IF($A879="","",INDEX('05_KAPA'!$F:$F,$A879))</f>
        <v/>
      </c>
      <c r="D879">
        <f>IF($A879="","",INDEX('05_KAPA'!$H:$H,$A879))</f>
        <v/>
      </c>
      <c r="E879">
        <f>IF($A879="","",INDEX('05_KAPA'!$K:$K,$A879))</f>
        <v/>
      </c>
      <c r="F879">
        <f>IF($A879="","",INDEX('05_KAPA'!$L:$L,$A879))</f>
        <v/>
      </c>
      <c r="G879">
        <f>IF($A879="","",INDEX('05_KAPA'!$I:$I,$A879))</f>
        <v/>
      </c>
      <c r="H879" s="202">
        <f>IF($A879="","",INDEX('05_KAPA'!$P:$P,$A879))</f>
        <v/>
      </c>
      <c r="I879" s="118">
        <f>IF($A879="","",INDEX('05_KAPA'!$O:$O,$A879))</f>
        <v/>
      </c>
      <c r="J879" s="202">
        <f>IF($A879="","",IFERROR(DATE(LEFT(TEXT(INDEX('05_KAPA'!$T:$T,$A879),"0"),4),MID(TEXT(INDEX('05_KAPA'!$T:$T,$A879),"0"),5,2),RIGHT(TEXT(INDEX('05_KAPA'!$T:$T,$A879),"0"),2)),""))</f>
        <v/>
      </c>
      <c r="K879">
        <f>IF(C879="","",IF('02_대상물건입력'!$B$5="",1,IF(ISNUMBER(SEARCH('02_대상물건입력'!$B$5,C879)),1,0)))</f>
        <v/>
      </c>
      <c r="L879">
        <f>IF(C879="","",IF('02_대상물건입력'!$B$6="",1,IF(ISNUMBER(SEARCH('02_대상물건입력'!$B$6,C879)),1,0)))</f>
        <v/>
      </c>
      <c r="M879">
        <f>IF(E879="","",IF('02_대상물건입력'!$B$8="",0,IF(ISNUMBER(SEARCH('02_대상물건입력'!$B$8,E879)),1,0)))</f>
        <v/>
      </c>
      <c r="N879">
        <f>IF(B879="","",IF(B879="담보",1,0))</f>
        <v/>
      </c>
      <c r="O879">
        <f>IFERROR(ABS(G879-'02_대상물건입력'!$B$11)/'02_대상물건입력'!$B$11,"")</f>
        <v/>
      </c>
      <c r="P879">
        <f>IFERROR(ABS('01_설정'!$B$4-H879),"")</f>
        <v/>
      </c>
      <c r="Q879">
        <f>IFERROR(ABS(YEAR(J879)-YEAR('02_대상물건입력'!$B$14)),"")</f>
        <v/>
      </c>
      <c r="R879">
        <f>IF(AND(G879&gt;0,H879&gt;0,I879&gt;0,N879=1,IF('01_설정'!$B$10=1,K879=1,TRUE()),O879&lt;='01_설정'!$B$5,P879&lt;='01_설정'!$B$7,Q879&lt;='01_설정'!$B$8),"Y","")</f>
        <v/>
      </c>
      <c r="S879">
        <f>IF(R879&lt;&gt;"Y","",MAX(0,(1-O879/'01_설정'!$B$5))*'01_설정'!$B$14+MAX(0,(1-P879/'01_설정'!$B$7))*'01_설정'!$B$16+MAX(0,(1-Q879/'01_설정'!$B$8))*'01_설정'!$B$17+L879*'01_설정'!$B$11+M879*'01_설정'!$B$12+N879*50)</f>
        <v/>
      </c>
      <c r="T879">
        <f>IF(S879="","",1+COUNTIFS($S$31:$S$1030,"&gt;"&amp;S879)+COUNTIFS($S$31:S879,S879)-1)</f>
        <v/>
      </c>
    </row>
    <row r="880" hidden="1" ht="16.5" customHeight="1">
      <c r="A880">
        <f>IF(COUNTA('05_KAPA'!$A851:$AO851)=0,"",853)</f>
        <v/>
      </c>
      <c r="B880">
        <f>IF($A880="","",INDEX('05_KAPA'!$B:$B,$A880))</f>
        <v/>
      </c>
      <c r="C880">
        <f>IF($A880="","",INDEX('05_KAPA'!$F:$F,$A880))</f>
        <v/>
      </c>
      <c r="D880">
        <f>IF($A880="","",INDEX('05_KAPA'!$H:$H,$A880))</f>
        <v/>
      </c>
      <c r="E880">
        <f>IF($A880="","",INDEX('05_KAPA'!$K:$K,$A880))</f>
        <v/>
      </c>
      <c r="F880">
        <f>IF($A880="","",INDEX('05_KAPA'!$L:$L,$A880))</f>
        <v/>
      </c>
      <c r="G880">
        <f>IF($A880="","",INDEX('05_KAPA'!$I:$I,$A880))</f>
        <v/>
      </c>
      <c r="H880" s="202">
        <f>IF($A880="","",INDEX('05_KAPA'!$P:$P,$A880))</f>
        <v/>
      </c>
      <c r="I880" s="118">
        <f>IF($A880="","",INDEX('05_KAPA'!$O:$O,$A880))</f>
        <v/>
      </c>
      <c r="J880" s="202">
        <f>IF($A880="","",IFERROR(DATE(LEFT(TEXT(INDEX('05_KAPA'!$T:$T,$A880),"0"),4),MID(TEXT(INDEX('05_KAPA'!$T:$T,$A880),"0"),5,2),RIGHT(TEXT(INDEX('05_KAPA'!$T:$T,$A880),"0"),2)),""))</f>
        <v/>
      </c>
      <c r="K880">
        <f>IF(C880="","",IF('02_대상물건입력'!$B$5="",1,IF(ISNUMBER(SEARCH('02_대상물건입력'!$B$5,C880)),1,0)))</f>
        <v/>
      </c>
      <c r="L880">
        <f>IF(C880="","",IF('02_대상물건입력'!$B$6="",1,IF(ISNUMBER(SEARCH('02_대상물건입력'!$B$6,C880)),1,0)))</f>
        <v/>
      </c>
      <c r="M880">
        <f>IF(E880="","",IF('02_대상물건입력'!$B$8="",0,IF(ISNUMBER(SEARCH('02_대상물건입력'!$B$8,E880)),1,0)))</f>
        <v/>
      </c>
      <c r="N880">
        <f>IF(B880="","",IF(B880="담보",1,0))</f>
        <v/>
      </c>
      <c r="O880">
        <f>IFERROR(ABS(G880-'02_대상물건입력'!$B$11)/'02_대상물건입력'!$B$11,"")</f>
        <v/>
      </c>
      <c r="P880">
        <f>IFERROR(ABS('01_설정'!$B$4-H880),"")</f>
        <v/>
      </c>
      <c r="Q880">
        <f>IFERROR(ABS(YEAR(J880)-YEAR('02_대상물건입력'!$B$14)),"")</f>
        <v/>
      </c>
      <c r="R880">
        <f>IF(AND(G880&gt;0,H880&gt;0,I880&gt;0,N880=1,IF('01_설정'!$B$10=1,K880=1,TRUE()),O880&lt;='01_설정'!$B$5,P880&lt;='01_설정'!$B$7,Q880&lt;='01_설정'!$B$8),"Y","")</f>
        <v/>
      </c>
      <c r="S880">
        <f>IF(R880&lt;&gt;"Y","",MAX(0,(1-O880/'01_설정'!$B$5))*'01_설정'!$B$14+MAX(0,(1-P880/'01_설정'!$B$7))*'01_설정'!$B$16+MAX(0,(1-Q880/'01_설정'!$B$8))*'01_설정'!$B$17+L880*'01_설정'!$B$11+M880*'01_설정'!$B$12+N880*50)</f>
        <v/>
      </c>
      <c r="T880">
        <f>IF(S880="","",1+COUNTIFS($S$31:$S$1030,"&gt;"&amp;S880)+COUNTIFS($S$31:S880,S880)-1)</f>
        <v/>
      </c>
    </row>
    <row r="881" hidden="1" ht="16.5" customHeight="1">
      <c r="A881">
        <f>IF(COUNTA('05_KAPA'!$A852:$AO852)=0,"",854)</f>
        <v/>
      </c>
      <c r="B881">
        <f>IF($A881="","",INDEX('05_KAPA'!$B:$B,$A881))</f>
        <v/>
      </c>
      <c r="C881">
        <f>IF($A881="","",INDEX('05_KAPA'!$F:$F,$A881))</f>
        <v/>
      </c>
      <c r="D881">
        <f>IF($A881="","",INDEX('05_KAPA'!$H:$H,$A881))</f>
        <v/>
      </c>
      <c r="E881">
        <f>IF($A881="","",INDEX('05_KAPA'!$K:$K,$A881))</f>
        <v/>
      </c>
      <c r="F881">
        <f>IF($A881="","",INDEX('05_KAPA'!$L:$L,$A881))</f>
        <v/>
      </c>
      <c r="G881">
        <f>IF($A881="","",INDEX('05_KAPA'!$I:$I,$A881))</f>
        <v/>
      </c>
      <c r="H881" s="202">
        <f>IF($A881="","",INDEX('05_KAPA'!$P:$P,$A881))</f>
        <v/>
      </c>
      <c r="I881" s="118">
        <f>IF($A881="","",INDEX('05_KAPA'!$O:$O,$A881))</f>
        <v/>
      </c>
      <c r="J881" s="202">
        <f>IF($A881="","",IFERROR(DATE(LEFT(TEXT(INDEX('05_KAPA'!$T:$T,$A881),"0"),4),MID(TEXT(INDEX('05_KAPA'!$T:$T,$A881),"0"),5,2),RIGHT(TEXT(INDEX('05_KAPA'!$T:$T,$A881),"0"),2)),""))</f>
        <v/>
      </c>
      <c r="K881">
        <f>IF(C881="","",IF('02_대상물건입력'!$B$5="",1,IF(ISNUMBER(SEARCH('02_대상물건입력'!$B$5,C881)),1,0)))</f>
        <v/>
      </c>
      <c r="L881">
        <f>IF(C881="","",IF('02_대상물건입력'!$B$6="",1,IF(ISNUMBER(SEARCH('02_대상물건입력'!$B$6,C881)),1,0)))</f>
        <v/>
      </c>
      <c r="M881">
        <f>IF(E881="","",IF('02_대상물건입력'!$B$8="",0,IF(ISNUMBER(SEARCH('02_대상물건입력'!$B$8,E881)),1,0)))</f>
        <v/>
      </c>
      <c r="N881">
        <f>IF(B881="","",IF(B881="담보",1,0))</f>
        <v/>
      </c>
      <c r="O881">
        <f>IFERROR(ABS(G881-'02_대상물건입력'!$B$11)/'02_대상물건입력'!$B$11,"")</f>
        <v/>
      </c>
      <c r="P881">
        <f>IFERROR(ABS('01_설정'!$B$4-H881),"")</f>
        <v/>
      </c>
      <c r="Q881">
        <f>IFERROR(ABS(YEAR(J881)-YEAR('02_대상물건입력'!$B$14)),"")</f>
        <v/>
      </c>
      <c r="R881">
        <f>IF(AND(G881&gt;0,H881&gt;0,I881&gt;0,N881=1,IF('01_설정'!$B$10=1,K881=1,TRUE()),O881&lt;='01_설정'!$B$5,P881&lt;='01_설정'!$B$7,Q881&lt;='01_설정'!$B$8),"Y","")</f>
        <v/>
      </c>
      <c r="S881">
        <f>IF(R881&lt;&gt;"Y","",MAX(0,(1-O881/'01_설정'!$B$5))*'01_설정'!$B$14+MAX(0,(1-P881/'01_설정'!$B$7))*'01_설정'!$B$16+MAX(0,(1-Q881/'01_설정'!$B$8))*'01_설정'!$B$17+L881*'01_설정'!$B$11+M881*'01_설정'!$B$12+N881*50)</f>
        <v/>
      </c>
      <c r="T881">
        <f>IF(S881="","",1+COUNTIFS($S$31:$S$1030,"&gt;"&amp;S881)+COUNTIFS($S$31:S881,S881)-1)</f>
        <v/>
      </c>
    </row>
    <row r="882" hidden="1" ht="16.5" customHeight="1">
      <c r="A882">
        <f>IF(COUNTA('05_KAPA'!$A853:$AO853)=0,"",855)</f>
        <v/>
      </c>
      <c r="B882">
        <f>IF($A882="","",INDEX('05_KAPA'!$B:$B,$A882))</f>
        <v/>
      </c>
      <c r="C882">
        <f>IF($A882="","",INDEX('05_KAPA'!$F:$F,$A882))</f>
        <v/>
      </c>
      <c r="D882">
        <f>IF($A882="","",INDEX('05_KAPA'!$H:$H,$A882))</f>
        <v/>
      </c>
      <c r="E882">
        <f>IF($A882="","",INDEX('05_KAPA'!$K:$K,$A882))</f>
        <v/>
      </c>
      <c r="F882">
        <f>IF($A882="","",INDEX('05_KAPA'!$L:$L,$A882))</f>
        <v/>
      </c>
      <c r="G882">
        <f>IF($A882="","",INDEX('05_KAPA'!$I:$I,$A882))</f>
        <v/>
      </c>
      <c r="H882" s="202">
        <f>IF($A882="","",INDEX('05_KAPA'!$P:$P,$A882))</f>
        <v/>
      </c>
      <c r="I882" s="118">
        <f>IF($A882="","",INDEX('05_KAPA'!$O:$O,$A882))</f>
        <v/>
      </c>
      <c r="J882" s="202">
        <f>IF($A882="","",IFERROR(DATE(LEFT(TEXT(INDEX('05_KAPA'!$T:$T,$A882),"0"),4),MID(TEXT(INDEX('05_KAPA'!$T:$T,$A882),"0"),5,2),RIGHT(TEXT(INDEX('05_KAPA'!$T:$T,$A882),"0"),2)),""))</f>
        <v/>
      </c>
      <c r="K882">
        <f>IF(C882="","",IF('02_대상물건입력'!$B$5="",1,IF(ISNUMBER(SEARCH('02_대상물건입력'!$B$5,C882)),1,0)))</f>
        <v/>
      </c>
      <c r="L882">
        <f>IF(C882="","",IF('02_대상물건입력'!$B$6="",1,IF(ISNUMBER(SEARCH('02_대상물건입력'!$B$6,C882)),1,0)))</f>
        <v/>
      </c>
      <c r="M882">
        <f>IF(E882="","",IF('02_대상물건입력'!$B$8="",0,IF(ISNUMBER(SEARCH('02_대상물건입력'!$B$8,E882)),1,0)))</f>
        <v/>
      </c>
      <c r="N882">
        <f>IF(B882="","",IF(B882="담보",1,0))</f>
        <v/>
      </c>
      <c r="O882">
        <f>IFERROR(ABS(G882-'02_대상물건입력'!$B$11)/'02_대상물건입력'!$B$11,"")</f>
        <v/>
      </c>
      <c r="P882">
        <f>IFERROR(ABS('01_설정'!$B$4-H882),"")</f>
        <v/>
      </c>
      <c r="Q882">
        <f>IFERROR(ABS(YEAR(J882)-YEAR('02_대상물건입력'!$B$14)),"")</f>
        <v/>
      </c>
      <c r="R882">
        <f>IF(AND(G882&gt;0,H882&gt;0,I882&gt;0,N882=1,IF('01_설정'!$B$10=1,K882=1,TRUE()),O882&lt;='01_설정'!$B$5,P882&lt;='01_설정'!$B$7,Q882&lt;='01_설정'!$B$8),"Y","")</f>
        <v/>
      </c>
      <c r="S882">
        <f>IF(R882&lt;&gt;"Y","",MAX(0,(1-O882/'01_설정'!$B$5))*'01_설정'!$B$14+MAX(0,(1-P882/'01_설정'!$B$7))*'01_설정'!$B$16+MAX(0,(1-Q882/'01_설정'!$B$8))*'01_설정'!$B$17+L882*'01_설정'!$B$11+M882*'01_설정'!$B$12+N882*50)</f>
        <v/>
      </c>
      <c r="T882">
        <f>IF(S882="","",1+COUNTIFS($S$31:$S$1030,"&gt;"&amp;S882)+COUNTIFS($S$31:S882,S882)-1)</f>
        <v/>
      </c>
    </row>
    <row r="883" hidden="1" ht="16.5" customHeight="1">
      <c r="A883">
        <f>IF(COUNTA('05_KAPA'!$A854:$AO854)=0,"",856)</f>
        <v/>
      </c>
      <c r="B883">
        <f>IF($A883="","",INDEX('05_KAPA'!$B:$B,$A883))</f>
        <v/>
      </c>
      <c r="C883">
        <f>IF($A883="","",INDEX('05_KAPA'!$F:$F,$A883))</f>
        <v/>
      </c>
      <c r="D883">
        <f>IF($A883="","",INDEX('05_KAPA'!$H:$H,$A883))</f>
        <v/>
      </c>
      <c r="E883">
        <f>IF($A883="","",INDEX('05_KAPA'!$K:$K,$A883))</f>
        <v/>
      </c>
      <c r="F883">
        <f>IF($A883="","",INDEX('05_KAPA'!$L:$L,$A883))</f>
        <v/>
      </c>
      <c r="G883">
        <f>IF($A883="","",INDEX('05_KAPA'!$I:$I,$A883))</f>
        <v/>
      </c>
      <c r="H883" s="202">
        <f>IF($A883="","",INDEX('05_KAPA'!$P:$P,$A883))</f>
        <v/>
      </c>
      <c r="I883" s="118">
        <f>IF($A883="","",INDEX('05_KAPA'!$O:$O,$A883))</f>
        <v/>
      </c>
      <c r="J883" s="202">
        <f>IF($A883="","",IFERROR(DATE(LEFT(TEXT(INDEX('05_KAPA'!$T:$T,$A883),"0"),4),MID(TEXT(INDEX('05_KAPA'!$T:$T,$A883),"0"),5,2),RIGHT(TEXT(INDEX('05_KAPA'!$T:$T,$A883),"0"),2)),""))</f>
        <v/>
      </c>
      <c r="K883">
        <f>IF(C883="","",IF('02_대상물건입력'!$B$5="",1,IF(ISNUMBER(SEARCH('02_대상물건입력'!$B$5,C883)),1,0)))</f>
        <v/>
      </c>
      <c r="L883">
        <f>IF(C883="","",IF('02_대상물건입력'!$B$6="",1,IF(ISNUMBER(SEARCH('02_대상물건입력'!$B$6,C883)),1,0)))</f>
        <v/>
      </c>
      <c r="M883">
        <f>IF(E883="","",IF('02_대상물건입력'!$B$8="",0,IF(ISNUMBER(SEARCH('02_대상물건입력'!$B$8,E883)),1,0)))</f>
        <v/>
      </c>
      <c r="N883">
        <f>IF(B883="","",IF(B883="담보",1,0))</f>
        <v/>
      </c>
      <c r="O883">
        <f>IFERROR(ABS(G883-'02_대상물건입력'!$B$11)/'02_대상물건입력'!$B$11,"")</f>
        <v/>
      </c>
      <c r="P883">
        <f>IFERROR(ABS('01_설정'!$B$4-H883),"")</f>
        <v/>
      </c>
      <c r="Q883">
        <f>IFERROR(ABS(YEAR(J883)-YEAR('02_대상물건입력'!$B$14)),"")</f>
        <v/>
      </c>
      <c r="R883">
        <f>IF(AND(G883&gt;0,H883&gt;0,I883&gt;0,N883=1,IF('01_설정'!$B$10=1,K883=1,TRUE()),O883&lt;='01_설정'!$B$5,P883&lt;='01_설정'!$B$7,Q883&lt;='01_설정'!$B$8),"Y","")</f>
        <v/>
      </c>
      <c r="S883">
        <f>IF(R883&lt;&gt;"Y","",MAX(0,(1-O883/'01_설정'!$B$5))*'01_설정'!$B$14+MAX(0,(1-P883/'01_설정'!$B$7))*'01_설정'!$B$16+MAX(0,(1-Q883/'01_설정'!$B$8))*'01_설정'!$B$17+L883*'01_설정'!$B$11+M883*'01_설정'!$B$12+N883*50)</f>
        <v/>
      </c>
      <c r="T883">
        <f>IF(S883="","",1+COUNTIFS($S$31:$S$1030,"&gt;"&amp;S883)+COUNTIFS($S$31:S883,S883)-1)</f>
        <v/>
      </c>
    </row>
    <row r="884" hidden="1" ht="16.5" customHeight="1">
      <c r="A884">
        <f>IF(COUNTA('05_KAPA'!$A855:$AO855)=0,"",857)</f>
        <v/>
      </c>
      <c r="B884">
        <f>IF($A884="","",INDEX('05_KAPA'!$B:$B,$A884))</f>
        <v/>
      </c>
      <c r="C884">
        <f>IF($A884="","",INDEX('05_KAPA'!$F:$F,$A884))</f>
        <v/>
      </c>
      <c r="D884">
        <f>IF($A884="","",INDEX('05_KAPA'!$H:$H,$A884))</f>
        <v/>
      </c>
      <c r="E884">
        <f>IF($A884="","",INDEX('05_KAPA'!$K:$K,$A884))</f>
        <v/>
      </c>
      <c r="F884">
        <f>IF($A884="","",INDEX('05_KAPA'!$L:$L,$A884))</f>
        <v/>
      </c>
      <c r="G884">
        <f>IF($A884="","",INDEX('05_KAPA'!$I:$I,$A884))</f>
        <v/>
      </c>
      <c r="H884" s="202">
        <f>IF($A884="","",INDEX('05_KAPA'!$P:$P,$A884))</f>
        <v/>
      </c>
      <c r="I884" s="118">
        <f>IF($A884="","",INDEX('05_KAPA'!$O:$O,$A884))</f>
        <v/>
      </c>
      <c r="J884" s="202">
        <f>IF($A884="","",IFERROR(DATE(LEFT(TEXT(INDEX('05_KAPA'!$T:$T,$A884),"0"),4),MID(TEXT(INDEX('05_KAPA'!$T:$T,$A884),"0"),5,2),RIGHT(TEXT(INDEX('05_KAPA'!$T:$T,$A884),"0"),2)),""))</f>
        <v/>
      </c>
      <c r="K884">
        <f>IF(C884="","",IF('02_대상물건입력'!$B$5="",1,IF(ISNUMBER(SEARCH('02_대상물건입력'!$B$5,C884)),1,0)))</f>
        <v/>
      </c>
      <c r="L884">
        <f>IF(C884="","",IF('02_대상물건입력'!$B$6="",1,IF(ISNUMBER(SEARCH('02_대상물건입력'!$B$6,C884)),1,0)))</f>
        <v/>
      </c>
      <c r="M884">
        <f>IF(E884="","",IF('02_대상물건입력'!$B$8="",0,IF(ISNUMBER(SEARCH('02_대상물건입력'!$B$8,E884)),1,0)))</f>
        <v/>
      </c>
      <c r="N884">
        <f>IF(B884="","",IF(B884="담보",1,0))</f>
        <v/>
      </c>
      <c r="O884">
        <f>IFERROR(ABS(G884-'02_대상물건입력'!$B$11)/'02_대상물건입력'!$B$11,"")</f>
        <v/>
      </c>
      <c r="P884">
        <f>IFERROR(ABS('01_설정'!$B$4-H884),"")</f>
        <v/>
      </c>
      <c r="Q884">
        <f>IFERROR(ABS(YEAR(J884)-YEAR('02_대상물건입력'!$B$14)),"")</f>
        <v/>
      </c>
      <c r="R884">
        <f>IF(AND(G884&gt;0,H884&gt;0,I884&gt;0,N884=1,IF('01_설정'!$B$10=1,K884=1,TRUE()),O884&lt;='01_설정'!$B$5,P884&lt;='01_설정'!$B$7,Q884&lt;='01_설정'!$B$8),"Y","")</f>
        <v/>
      </c>
      <c r="S884">
        <f>IF(R884&lt;&gt;"Y","",MAX(0,(1-O884/'01_설정'!$B$5))*'01_설정'!$B$14+MAX(0,(1-P884/'01_설정'!$B$7))*'01_설정'!$B$16+MAX(0,(1-Q884/'01_설정'!$B$8))*'01_설정'!$B$17+L884*'01_설정'!$B$11+M884*'01_설정'!$B$12+N884*50)</f>
        <v/>
      </c>
      <c r="T884">
        <f>IF(S884="","",1+COUNTIFS($S$31:$S$1030,"&gt;"&amp;S884)+COUNTIFS($S$31:S884,S884)-1)</f>
        <v/>
      </c>
    </row>
    <row r="885" hidden="1" ht="16.5" customHeight="1">
      <c r="A885">
        <f>IF(COUNTA('05_KAPA'!$A856:$AO856)=0,"",858)</f>
        <v/>
      </c>
      <c r="B885">
        <f>IF($A885="","",INDEX('05_KAPA'!$B:$B,$A885))</f>
        <v/>
      </c>
      <c r="C885">
        <f>IF($A885="","",INDEX('05_KAPA'!$F:$F,$A885))</f>
        <v/>
      </c>
      <c r="D885">
        <f>IF($A885="","",INDEX('05_KAPA'!$H:$H,$A885))</f>
        <v/>
      </c>
      <c r="E885">
        <f>IF($A885="","",INDEX('05_KAPA'!$K:$K,$A885))</f>
        <v/>
      </c>
      <c r="F885">
        <f>IF($A885="","",INDEX('05_KAPA'!$L:$L,$A885))</f>
        <v/>
      </c>
      <c r="G885">
        <f>IF($A885="","",INDEX('05_KAPA'!$I:$I,$A885))</f>
        <v/>
      </c>
      <c r="H885" s="202">
        <f>IF($A885="","",INDEX('05_KAPA'!$P:$P,$A885))</f>
        <v/>
      </c>
      <c r="I885" s="118">
        <f>IF($A885="","",INDEX('05_KAPA'!$O:$O,$A885))</f>
        <v/>
      </c>
      <c r="J885" s="202">
        <f>IF($A885="","",IFERROR(DATE(LEFT(TEXT(INDEX('05_KAPA'!$T:$T,$A885),"0"),4),MID(TEXT(INDEX('05_KAPA'!$T:$T,$A885),"0"),5,2),RIGHT(TEXT(INDEX('05_KAPA'!$T:$T,$A885),"0"),2)),""))</f>
        <v/>
      </c>
      <c r="K885">
        <f>IF(C885="","",IF('02_대상물건입력'!$B$5="",1,IF(ISNUMBER(SEARCH('02_대상물건입력'!$B$5,C885)),1,0)))</f>
        <v/>
      </c>
      <c r="L885">
        <f>IF(C885="","",IF('02_대상물건입력'!$B$6="",1,IF(ISNUMBER(SEARCH('02_대상물건입력'!$B$6,C885)),1,0)))</f>
        <v/>
      </c>
      <c r="M885">
        <f>IF(E885="","",IF('02_대상물건입력'!$B$8="",0,IF(ISNUMBER(SEARCH('02_대상물건입력'!$B$8,E885)),1,0)))</f>
        <v/>
      </c>
      <c r="N885">
        <f>IF(B885="","",IF(B885="담보",1,0))</f>
        <v/>
      </c>
      <c r="O885">
        <f>IFERROR(ABS(G885-'02_대상물건입력'!$B$11)/'02_대상물건입력'!$B$11,"")</f>
        <v/>
      </c>
      <c r="P885">
        <f>IFERROR(ABS('01_설정'!$B$4-H885),"")</f>
        <v/>
      </c>
      <c r="Q885">
        <f>IFERROR(ABS(YEAR(J885)-YEAR('02_대상물건입력'!$B$14)),"")</f>
        <v/>
      </c>
      <c r="R885">
        <f>IF(AND(G885&gt;0,H885&gt;0,I885&gt;0,N885=1,IF('01_설정'!$B$10=1,K885=1,TRUE()),O885&lt;='01_설정'!$B$5,P885&lt;='01_설정'!$B$7,Q885&lt;='01_설정'!$B$8),"Y","")</f>
        <v/>
      </c>
      <c r="S885">
        <f>IF(R885&lt;&gt;"Y","",MAX(0,(1-O885/'01_설정'!$B$5))*'01_설정'!$B$14+MAX(0,(1-P885/'01_설정'!$B$7))*'01_설정'!$B$16+MAX(0,(1-Q885/'01_설정'!$B$8))*'01_설정'!$B$17+L885*'01_설정'!$B$11+M885*'01_설정'!$B$12+N885*50)</f>
        <v/>
      </c>
      <c r="T885">
        <f>IF(S885="","",1+COUNTIFS($S$31:$S$1030,"&gt;"&amp;S885)+COUNTIFS($S$31:S885,S885)-1)</f>
        <v/>
      </c>
    </row>
    <row r="886" hidden="1" ht="16.5" customHeight="1">
      <c r="A886">
        <f>IF(COUNTA('05_KAPA'!$A857:$AO857)=0,"",859)</f>
        <v/>
      </c>
      <c r="B886">
        <f>IF($A886="","",INDEX('05_KAPA'!$B:$B,$A886))</f>
        <v/>
      </c>
      <c r="C886">
        <f>IF($A886="","",INDEX('05_KAPA'!$F:$F,$A886))</f>
        <v/>
      </c>
      <c r="D886">
        <f>IF($A886="","",INDEX('05_KAPA'!$H:$H,$A886))</f>
        <v/>
      </c>
      <c r="E886">
        <f>IF($A886="","",INDEX('05_KAPA'!$K:$K,$A886))</f>
        <v/>
      </c>
      <c r="F886">
        <f>IF($A886="","",INDEX('05_KAPA'!$L:$L,$A886))</f>
        <v/>
      </c>
      <c r="G886">
        <f>IF($A886="","",INDEX('05_KAPA'!$I:$I,$A886))</f>
        <v/>
      </c>
      <c r="H886" s="202">
        <f>IF($A886="","",INDEX('05_KAPA'!$P:$P,$A886))</f>
        <v/>
      </c>
      <c r="I886" s="118">
        <f>IF($A886="","",INDEX('05_KAPA'!$O:$O,$A886))</f>
        <v/>
      </c>
      <c r="J886" s="202">
        <f>IF($A886="","",IFERROR(DATE(LEFT(TEXT(INDEX('05_KAPA'!$T:$T,$A886),"0"),4),MID(TEXT(INDEX('05_KAPA'!$T:$T,$A886),"0"),5,2),RIGHT(TEXT(INDEX('05_KAPA'!$T:$T,$A886),"0"),2)),""))</f>
        <v/>
      </c>
      <c r="K886">
        <f>IF(C886="","",IF('02_대상물건입력'!$B$5="",1,IF(ISNUMBER(SEARCH('02_대상물건입력'!$B$5,C886)),1,0)))</f>
        <v/>
      </c>
      <c r="L886">
        <f>IF(C886="","",IF('02_대상물건입력'!$B$6="",1,IF(ISNUMBER(SEARCH('02_대상물건입력'!$B$6,C886)),1,0)))</f>
        <v/>
      </c>
      <c r="M886">
        <f>IF(E886="","",IF('02_대상물건입력'!$B$8="",0,IF(ISNUMBER(SEARCH('02_대상물건입력'!$B$8,E886)),1,0)))</f>
        <v/>
      </c>
      <c r="N886">
        <f>IF(B886="","",IF(B886="담보",1,0))</f>
        <v/>
      </c>
      <c r="O886">
        <f>IFERROR(ABS(G886-'02_대상물건입력'!$B$11)/'02_대상물건입력'!$B$11,"")</f>
        <v/>
      </c>
      <c r="P886">
        <f>IFERROR(ABS('01_설정'!$B$4-H886),"")</f>
        <v/>
      </c>
      <c r="Q886">
        <f>IFERROR(ABS(YEAR(J886)-YEAR('02_대상물건입력'!$B$14)),"")</f>
        <v/>
      </c>
      <c r="R886">
        <f>IF(AND(G886&gt;0,H886&gt;0,I886&gt;0,N886=1,IF('01_설정'!$B$10=1,K886=1,TRUE()),O886&lt;='01_설정'!$B$5,P886&lt;='01_설정'!$B$7,Q886&lt;='01_설정'!$B$8),"Y","")</f>
        <v/>
      </c>
      <c r="S886">
        <f>IF(R886&lt;&gt;"Y","",MAX(0,(1-O886/'01_설정'!$B$5))*'01_설정'!$B$14+MAX(0,(1-P886/'01_설정'!$B$7))*'01_설정'!$B$16+MAX(0,(1-Q886/'01_설정'!$B$8))*'01_설정'!$B$17+L886*'01_설정'!$B$11+M886*'01_설정'!$B$12+N886*50)</f>
        <v/>
      </c>
      <c r="T886">
        <f>IF(S886="","",1+COUNTIFS($S$31:$S$1030,"&gt;"&amp;S886)+COUNTIFS($S$31:S886,S886)-1)</f>
        <v/>
      </c>
    </row>
    <row r="887" hidden="1" ht="16.5" customHeight="1">
      <c r="A887">
        <f>IF(COUNTA('05_KAPA'!$A858:$AO858)=0,"",860)</f>
        <v/>
      </c>
      <c r="B887">
        <f>IF($A887="","",INDEX('05_KAPA'!$B:$B,$A887))</f>
        <v/>
      </c>
      <c r="C887">
        <f>IF($A887="","",INDEX('05_KAPA'!$F:$F,$A887))</f>
        <v/>
      </c>
      <c r="D887">
        <f>IF($A887="","",INDEX('05_KAPA'!$H:$H,$A887))</f>
        <v/>
      </c>
      <c r="E887">
        <f>IF($A887="","",INDEX('05_KAPA'!$K:$K,$A887))</f>
        <v/>
      </c>
      <c r="F887">
        <f>IF($A887="","",INDEX('05_KAPA'!$L:$L,$A887))</f>
        <v/>
      </c>
      <c r="G887">
        <f>IF($A887="","",INDEX('05_KAPA'!$I:$I,$A887))</f>
        <v/>
      </c>
      <c r="H887" s="202">
        <f>IF($A887="","",INDEX('05_KAPA'!$P:$P,$A887))</f>
        <v/>
      </c>
      <c r="I887" s="118">
        <f>IF($A887="","",INDEX('05_KAPA'!$O:$O,$A887))</f>
        <v/>
      </c>
      <c r="J887" s="202">
        <f>IF($A887="","",IFERROR(DATE(LEFT(TEXT(INDEX('05_KAPA'!$T:$T,$A887),"0"),4),MID(TEXT(INDEX('05_KAPA'!$T:$T,$A887),"0"),5,2),RIGHT(TEXT(INDEX('05_KAPA'!$T:$T,$A887),"0"),2)),""))</f>
        <v/>
      </c>
      <c r="K887">
        <f>IF(C887="","",IF('02_대상물건입력'!$B$5="",1,IF(ISNUMBER(SEARCH('02_대상물건입력'!$B$5,C887)),1,0)))</f>
        <v/>
      </c>
      <c r="L887">
        <f>IF(C887="","",IF('02_대상물건입력'!$B$6="",1,IF(ISNUMBER(SEARCH('02_대상물건입력'!$B$6,C887)),1,0)))</f>
        <v/>
      </c>
      <c r="M887">
        <f>IF(E887="","",IF('02_대상물건입력'!$B$8="",0,IF(ISNUMBER(SEARCH('02_대상물건입력'!$B$8,E887)),1,0)))</f>
        <v/>
      </c>
      <c r="N887">
        <f>IF(B887="","",IF(B887="담보",1,0))</f>
        <v/>
      </c>
      <c r="O887">
        <f>IFERROR(ABS(G887-'02_대상물건입력'!$B$11)/'02_대상물건입력'!$B$11,"")</f>
        <v/>
      </c>
      <c r="P887">
        <f>IFERROR(ABS('01_설정'!$B$4-H887),"")</f>
        <v/>
      </c>
      <c r="Q887">
        <f>IFERROR(ABS(YEAR(J887)-YEAR('02_대상물건입력'!$B$14)),"")</f>
        <v/>
      </c>
      <c r="R887">
        <f>IF(AND(G887&gt;0,H887&gt;0,I887&gt;0,N887=1,IF('01_설정'!$B$10=1,K887=1,TRUE()),O887&lt;='01_설정'!$B$5,P887&lt;='01_설정'!$B$7,Q887&lt;='01_설정'!$B$8),"Y","")</f>
        <v/>
      </c>
      <c r="S887">
        <f>IF(R887&lt;&gt;"Y","",MAX(0,(1-O887/'01_설정'!$B$5))*'01_설정'!$B$14+MAX(0,(1-P887/'01_설정'!$B$7))*'01_설정'!$B$16+MAX(0,(1-Q887/'01_설정'!$B$8))*'01_설정'!$B$17+L887*'01_설정'!$B$11+M887*'01_설정'!$B$12+N887*50)</f>
        <v/>
      </c>
      <c r="T887">
        <f>IF(S887="","",1+COUNTIFS($S$31:$S$1030,"&gt;"&amp;S887)+COUNTIFS($S$31:S887,S887)-1)</f>
        <v/>
      </c>
    </row>
    <row r="888" hidden="1" ht="16.5" customHeight="1">
      <c r="A888">
        <f>IF(COUNTA('05_KAPA'!$A859:$AO859)=0,"",861)</f>
        <v/>
      </c>
      <c r="B888">
        <f>IF($A888="","",INDEX('05_KAPA'!$B:$B,$A888))</f>
        <v/>
      </c>
      <c r="C888">
        <f>IF($A888="","",INDEX('05_KAPA'!$F:$F,$A888))</f>
        <v/>
      </c>
      <c r="D888">
        <f>IF($A888="","",INDEX('05_KAPA'!$H:$H,$A888))</f>
        <v/>
      </c>
      <c r="E888">
        <f>IF($A888="","",INDEX('05_KAPA'!$K:$K,$A888))</f>
        <v/>
      </c>
      <c r="F888">
        <f>IF($A888="","",INDEX('05_KAPA'!$L:$L,$A888))</f>
        <v/>
      </c>
      <c r="G888">
        <f>IF($A888="","",INDEX('05_KAPA'!$I:$I,$A888))</f>
        <v/>
      </c>
      <c r="H888" s="202">
        <f>IF($A888="","",INDEX('05_KAPA'!$P:$P,$A888))</f>
        <v/>
      </c>
      <c r="I888" s="118">
        <f>IF($A888="","",INDEX('05_KAPA'!$O:$O,$A888))</f>
        <v/>
      </c>
      <c r="J888" s="202">
        <f>IF($A888="","",IFERROR(DATE(LEFT(TEXT(INDEX('05_KAPA'!$T:$T,$A888),"0"),4),MID(TEXT(INDEX('05_KAPA'!$T:$T,$A888),"0"),5,2),RIGHT(TEXT(INDEX('05_KAPA'!$T:$T,$A888),"0"),2)),""))</f>
        <v/>
      </c>
      <c r="K888">
        <f>IF(C888="","",IF('02_대상물건입력'!$B$5="",1,IF(ISNUMBER(SEARCH('02_대상물건입력'!$B$5,C888)),1,0)))</f>
        <v/>
      </c>
      <c r="L888">
        <f>IF(C888="","",IF('02_대상물건입력'!$B$6="",1,IF(ISNUMBER(SEARCH('02_대상물건입력'!$B$6,C888)),1,0)))</f>
        <v/>
      </c>
      <c r="M888">
        <f>IF(E888="","",IF('02_대상물건입력'!$B$8="",0,IF(ISNUMBER(SEARCH('02_대상물건입력'!$B$8,E888)),1,0)))</f>
        <v/>
      </c>
      <c r="N888">
        <f>IF(B888="","",IF(B888="담보",1,0))</f>
        <v/>
      </c>
      <c r="O888">
        <f>IFERROR(ABS(G888-'02_대상물건입력'!$B$11)/'02_대상물건입력'!$B$11,"")</f>
        <v/>
      </c>
      <c r="P888">
        <f>IFERROR(ABS('01_설정'!$B$4-H888),"")</f>
        <v/>
      </c>
      <c r="Q888">
        <f>IFERROR(ABS(YEAR(J888)-YEAR('02_대상물건입력'!$B$14)),"")</f>
        <v/>
      </c>
      <c r="R888">
        <f>IF(AND(G888&gt;0,H888&gt;0,I888&gt;0,N888=1,IF('01_설정'!$B$10=1,K888=1,TRUE()),O888&lt;='01_설정'!$B$5,P888&lt;='01_설정'!$B$7,Q888&lt;='01_설정'!$B$8),"Y","")</f>
        <v/>
      </c>
      <c r="S888">
        <f>IF(R888&lt;&gt;"Y","",MAX(0,(1-O888/'01_설정'!$B$5))*'01_설정'!$B$14+MAX(0,(1-P888/'01_설정'!$B$7))*'01_설정'!$B$16+MAX(0,(1-Q888/'01_설정'!$B$8))*'01_설정'!$B$17+L888*'01_설정'!$B$11+M888*'01_설정'!$B$12+N888*50)</f>
        <v/>
      </c>
      <c r="T888">
        <f>IF(S888="","",1+COUNTIFS($S$31:$S$1030,"&gt;"&amp;S888)+COUNTIFS($S$31:S888,S888)-1)</f>
        <v/>
      </c>
    </row>
    <row r="889" hidden="1" ht="16.5" customHeight="1">
      <c r="A889">
        <f>IF(COUNTA('05_KAPA'!$A860:$AO860)=0,"",862)</f>
        <v/>
      </c>
      <c r="B889">
        <f>IF($A889="","",INDEX('05_KAPA'!$B:$B,$A889))</f>
        <v/>
      </c>
      <c r="C889">
        <f>IF($A889="","",INDEX('05_KAPA'!$F:$F,$A889))</f>
        <v/>
      </c>
      <c r="D889">
        <f>IF($A889="","",INDEX('05_KAPA'!$H:$H,$A889))</f>
        <v/>
      </c>
      <c r="E889">
        <f>IF($A889="","",INDEX('05_KAPA'!$K:$K,$A889))</f>
        <v/>
      </c>
      <c r="F889">
        <f>IF($A889="","",INDEX('05_KAPA'!$L:$L,$A889))</f>
        <v/>
      </c>
      <c r="G889">
        <f>IF($A889="","",INDEX('05_KAPA'!$I:$I,$A889))</f>
        <v/>
      </c>
      <c r="H889" s="202">
        <f>IF($A889="","",INDEX('05_KAPA'!$P:$P,$A889))</f>
        <v/>
      </c>
      <c r="I889" s="118">
        <f>IF($A889="","",INDEX('05_KAPA'!$O:$O,$A889))</f>
        <v/>
      </c>
      <c r="J889" s="202">
        <f>IF($A889="","",IFERROR(DATE(LEFT(TEXT(INDEX('05_KAPA'!$T:$T,$A889),"0"),4),MID(TEXT(INDEX('05_KAPA'!$T:$T,$A889),"0"),5,2),RIGHT(TEXT(INDEX('05_KAPA'!$T:$T,$A889),"0"),2)),""))</f>
        <v/>
      </c>
      <c r="K889">
        <f>IF(C889="","",IF('02_대상물건입력'!$B$5="",1,IF(ISNUMBER(SEARCH('02_대상물건입력'!$B$5,C889)),1,0)))</f>
        <v/>
      </c>
      <c r="L889">
        <f>IF(C889="","",IF('02_대상물건입력'!$B$6="",1,IF(ISNUMBER(SEARCH('02_대상물건입력'!$B$6,C889)),1,0)))</f>
        <v/>
      </c>
      <c r="M889">
        <f>IF(E889="","",IF('02_대상물건입력'!$B$8="",0,IF(ISNUMBER(SEARCH('02_대상물건입력'!$B$8,E889)),1,0)))</f>
        <v/>
      </c>
      <c r="N889">
        <f>IF(B889="","",IF(B889="담보",1,0))</f>
        <v/>
      </c>
      <c r="O889">
        <f>IFERROR(ABS(G889-'02_대상물건입력'!$B$11)/'02_대상물건입력'!$B$11,"")</f>
        <v/>
      </c>
      <c r="P889">
        <f>IFERROR(ABS('01_설정'!$B$4-H889),"")</f>
        <v/>
      </c>
      <c r="Q889">
        <f>IFERROR(ABS(YEAR(J889)-YEAR('02_대상물건입력'!$B$14)),"")</f>
        <v/>
      </c>
      <c r="R889">
        <f>IF(AND(G889&gt;0,H889&gt;0,I889&gt;0,N889=1,IF('01_설정'!$B$10=1,K889=1,TRUE()),O889&lt;='01_설정'!$B$5,P889&lt;='01_설정'!$B$7,Q889&lt;='01_설정'!$B$8),"Y","")</f>
        <v/>
      </c>
      <c r="S889">
        <f>IF(R889&lt;&gt;"Y","",MAX(0,(1-O889/'01_설정'!$B$5))*'01_설정'!$B$14+MAX(0,(1-P889/'01_설정'!$B$7))*'01_설정'!$B$16+MAX(0,(1-Q889/'01_설정'!$B$8))*'01_설정'!$B$17+L889*'01_설정'!$B$11+M889*'01_설정'!$B$12+N889*50)</f>
        <v/>
      </c>
      <c r="T889">
        <f>IF(S889="","",1+COUNTIFS($S$31:$S$1030,"&gt;"&amp;S889)+COUNTIFS($S$31:S889,S889)-1)</f>
        <v/>
      </c>
    </row>
    <row r="890" hidden="1" ht="16.5" customHeight="1">
      <c r="A890">
        <f>IF(COUNTA('05_KAPA'!$A861:$AO861)=0,"",863)</f>
        <v/>
      </c>
      <c r="B890">
        <f>IF($A890="","",INDEX('05_KAPA'!$B:$B,$A890))</f>
        <v/>
      </c>
      <c r="C890">
        <f>IF($A890="","",INDEX('05_KAPA'!$F:$F,$A890))</f>
        <v/>
      </c>
      <c r="D890">
        <f>IF($A890="","",INDEX('05_KAPA'!$H:$H,$A890))</f>
        <v/>
      </c>
      <c r="E890">
        <f>IF($A890="","",INDEX('05_KAPA'!$K:$K,$A890))</f>
        <v/>
      </c>
      <c r="F890">
        <f>IF($A890="","",INDEX('05_KAPA'!$L:$L,$A890))</f>
        <v/>
      </c>
      <c r="G890">
        <f>IF($A890="","",INDEX('05_KAPA'!$I:$I,$A890))</f>
        <v/>
      </c>
      <c r="H890" s="202">
        <f>IF($A890="","",INDEX('05_KAPA'!$P:$P,$A890))</f>
        <v/>
      </c>
      <c r="I890" s="118">
        <f>IF($A890="","",INDEX('05_KAPA'!$O:$O,$A890))</f>
        <v/>
      </c>
      <c r="J890" s="202">
        <f>IF($A890="","",IFERROR(DATE(LEFT(TEXT(INDEX('05_KAPA'!$T:$T,$A890),"0"),4),MID(TEXT(INDEX('05_KAPA'!$T:$T,$A890),"0"),5,2),RIGHT(TEXT(INDEX('05_KAPA'!$T:$T,$A890),"0"),2)),""))</f>
        <v/>
      </c>
      <c r="K890">
        <f>IF(C890="","",IF('02_대상물건입력'!$B$5="",1,IF(ISNUMBER(SEARCH('02_대상물건입력'!$B$5,C890)),1,0)))</f>
        <v/>
      </c>
      <c r="L890">
        <f>IF(C890="","",IF('02_대상물건입력'!$B$6="",1,IF(ISNUMBER(SEARCH('02_대상물건입력'!$B$6,C890)),1,0)))</f>
        <v/>
      </c>
      <c r="M890">
        <f>IF(E890="","",IF('02_대상물건입력'!$B$8="",0,IF(ISNUMBER(SEARCH('02_대상물건입력'!$B$8,E890)),1,0)))</f>
        <v/>
      </c>
      <c r="N890">
        <f>IF(B890="","",IF(B890="담보",1,0))</f>
        <v/>
      </c>
      <c r="O890">
        <f>IFERROR(ABS(G890-'02_대상물건입력'!$B$11)/'02_대상물건입력'!$B$11,"")</f>
        <v/>
      </c>
      <c r="P890">
        <f>IFERROR(ABS('01_설정'!$B$4-H890),"")</f>
        <v/>
      </c>
      <c r="Q890">
        <f>IFERROR(ABS(YEAR(J890)-YEAR('02_대상물건입력'!$B$14)),"")</f>
        <v/>
      </c>
      <c r="R890">
        <f>IF(AND(G890&gt;0,H890&gt;0,I890&gt;0,N890=1,IF('01_설정'!$B$10=1,K890=1,TRUE()),O890&lt;='01_설정'!$B$5,P890&lt;='01_설정'!$B$7,Q890&lt;='01_설정'!$B$8),"Y","")</f>
        <v/>
      </c>
      <c r="S890">
        <f>IF(R890&lt;&gt;"Y","",MAX(0,(1-O890/'01_설정'!$B$5))*'01_설정'!$B$14+MAX(0,(1-P890/'01_설정'!$B$7))*'01_설정'!$B$16+MAX(0,(1-Q890/'01_설정'!$B$8))*'01_설정'!$B$17+L890*'01_설정'!$B$11+M890*'01_설정'!$B$12+N890*50)</f>
        <v/>
      </c>
      <c r="T890">
        <f>IF(S890="","",1+COUNTIFS($S$31:$S$1030,"&gt;"&amp;S890)+COUNTIFS($S$31:S890,S890)-1)</f>
        <v/>
      </c>
    </row>
    <row r="891" hidden="1" ht="16.5" customHeight="1">
      <c r="A891">
        <f>IF(COUNTA('05_KAPA'!$A862:$AO862)=0,"",864)</f>
        <v/>
      </c>
      <c r="B891">
        <f>IF($A891="","",INDEX('05_KAPA'!$B:$B,$A891))</f>
        <v/>
      </c>
      <c r="C891">
        <f>IF($A891="","",INDEX('05_KAPA'!$F:$F,$A891))</f>
        <v/>
      </c>
      <c r="D891">
        <f>IF($A891="","",INDEX('05_KAPA'!$H:$H,$A891))</f>
        <v/>
      </c>
      <c r="E891">
        <f>IF($A891="","",INDEX('05_KAPA'!$K:$K,$A891))</f>
        <v/>
      </c>
      <c r="F891">
        <f>IF($A891="","",INDEX('05_KAPA'!$L:$L,$A891))</f>
        <v/>
      </c>
      <c r="G891">
        <f>IF($A891="","",INDEX('05_KAPA'!$I:$I,$A891))</f>
        <v/>
      </c>
      <c r="H891" s="202">
        <f>IF($A891="","",INDEX('05_KAPA'!$P:$P,$A891))</f>
        <v/>
      </c>
      <c r="I891" s="118">
        <f>IF($A891="","",INDEX('05_KAPA'!$O:$O,$A891))</f>
        <v/>
      </c>
      <c r="J891" s="202">
        <f>IF($A891="","",IFERROR(DATE(LEFT(TEXT(INDEX('05_KAPA'!$T:$T,$A891),"0"),4),MID(TEXT(INDEX('05_KAPA'!$T:$T,$A891),"0"),5,2),RIGHT(TEXT(INDEX('05_KAPA'!$T:$T,$A891),"0"),2)),""))</f>
        <v/>
      </c>
      <c r="K891">
        <f>IF(C891="","",IF('02_대상물건입력'!$B$5="",1,IF(ISNUMBER(SEARCH('02_대상물건입력'!$B$5,C891)),1,0)))</f>
        <v/>
      </c>
      <c r="L891">
        <f>IF(C891="","",IF('02_대상물건입력'!$B$6="",1,IF(ISNUMBER(SEARCH('02_대상물건입력'!$B$6,C891)),1,0)))</f>
        <v/>
      </c>
      <c r="M891">
        <f>IF(E891="","",IF('02_대상물건입력'!$B$8="",0,IF(ISNUMBER(SEARCH('02_대상물건입력'!$B$8,E891)),1,0)))</f>
        <v/>
      </c>
      <c r="N891">
        <f>IF(B891="","",IF(B891="담보",1,0))</f>
        <v/>
      </c>
      <c r="O891">
        <f>IFERROR(ABS(G891-'02_대상물건입력'!$B$11)/'02_대상물건입력'!$B$11,"")</f>
        <v/>
      </c>
      <c r="P891">
        <f>IFERROR(ABS('01_설정'!$B$4-H891),"")</f>
        <v/>
      </c>
      <c r="Q891">
        <f>IFERROR(ABS(YEAR(J891)-YEAR('02_대상물건입력'!$B$14)),"")</f>
        <v/>
      </c>
      <c r="R891">
        <f>IF(AND(G891&gt;0,H891&gt;0,I891&gt;0,N891=1,IF('01_설정'!$B$10=1,K891=1,TRUE()),O891&lt;='01_설정'!$B$5,P891&lt;='01_설정'!$B$7,Q891&lt;='01_설정'!$B$8),"Y","")</f>
        <v/>
      </c>
      <c r="S891">
        <f>IF(R891&lt;&gt;"Y","",MAX(0,(1-O891/'01_설정'!$B$5))*'01_설정'!$B$14+MAX(0,(1-P891/'01_설정'!$B$7))*'01_설정'!$B$16+MAX(0,(1-Q891/'01_설정'!$B$8))*'01_설정'!$B$17+L891*'01_설정'!$B$11+M891*'01_설정'!$B$12+N891*50)</f>
        <v/>
      </c>
      <c r="T891">
        <f>IF(S891="","",1+COUNTIFS($S$31:$S$1030,"&gt;"&amp;S891)+COUNTIFS($S$31:S891,S891)-1)</f>
        <v/>
      </c>
    </row>
    <row r="892" hidden="1" ht="16.5" customHeight="1">
      <c r="A892">
        <f>IF(COUNTA('05_KAPA'!$A863:$AO863)=0,"",865)</f>
        <v/>
      </c>
      <c r="B892">
        <f>IF($A892="","",INDEX('05_KAPA'!$B:$B,$A892))</f>
        <v/>
      </c>
      <c r="C892">
        <f>IF($A892="","",INDEX('05_KAPA'!$F:$F,$A892))</f>
        <v/>
      </c>
      <c r="D892">
        <f>IF($A892="","",INDEX('05_KAPA'!$H:$H,$A892))</f>
        <v/>
      </c>
      <c r="E892">
        <f>IF($A892="","",INDEX('05_KAPA'!$K:$K,$A892))</f>
        <v/>
      </c>
      <c r="F892">
        <f>IF($A892="","",INDEX('05_KAPA'!$L:$L,$A892))</f>
        <v/>
      </c>
      <c r="G892">
        <f>IF($A892="","",INDEX('05_KAPA'!$I:$I,$A892))</f>
        <v/>
      </c>
      <c r="H892" s="202">
        <f>IF($A892="","",INDEX('05_KAPA'!$P:$P,$A892))</f>
        <v/>
      </c>
      <c r="I892" s="118">
        <f>IF($A892="","",INDEX('05_KAPA'!$O:$O,$A892))</f>
        <v/>
      </c>
      <c r="J892" s="202">
        <f>IF($A892="","",IFERROR(DATE(LEFT(TEXT(INDEX('05_KAPA'!$T:$T,$A892),"0"),4),MID(TEXT(INDEX('05_KAPA'!$T:$T,$A892),"0"),5,2),RIGHT(TEXT(INDEX('05_KAPA'!$T:$T,$A892),"0"),2)),""))</f>
        <v/>
      </c>
      <c r="K892">
        <f>IF(C892="","",IF('02_대상물건입력'!$B$5="",1,IF(ISNUMBER(SEARCH('02_대상물건입력'!$B$5,C892)),1,0)))</f>
        <v/>
      </c>
      <c r="L892">
        <f>IF(C892="","",IF('02_대상물건입력'!$B$6="",1,IF(ISNUMBER(SEARCH('02_대상물건입력'!$B$6,C892)),1,0)))</f>
        <v/>
      </c>
      <c r="M892">
        <f>IF(E892="","",IF('02_대상물건입력'!$B$8="",0,IF(ISNUMBER(SEARCH('02_대상물건입력'!$B$8,E892)),1,0)))</f>
        <v/>
      </c>
      <c r="N892">
        <f>IF(B892="","",IF(B892="담보",1,0))</f>
        <v/>
      </c>
      <c r="O892">
        <f>IFERROR(ABS(G892-'02_대상물건입력'!$B$11)/'02_대상물건입력'!$B$11,"")</f>
        <v/>
      </c>
      <c r="P892">
        <f>IFERROR(ABS('01_설정'!$B$4-H892),"")</f>
        <v/>
      </c>
      <c r="Q892">
        <f>IFERROR(ABS(YEAR(J892)-YEAR('02_대상물건입력'!$B$14)),"")</f>
        <v/>
      </c>
      <c r="R892">
        <f>IF(AND(G892&gt;0,H892&gt;0,I892&gt;0,N892=1,IF('01_설정'!$B$10=1,K892=1,TRUE()),O892&lt;='01_설정'!$B$5,P892&lt;='01_설정'!$B$7,Q892&lt;='01_설정'!$B$8),"Y","")</f>
        <v/>
      </c>
      <c r="S892">
        <f>IF(R892&lt;&gt;"Y","",MAX(0,(1-O892/'01_설정'!$B$5))*'01_설정'!$B$14+MAX(0,(1-P892/'01_설정'!$B$7))*'01_설정'!$B$16+MAX(0,(1-Q892/'01_설정'!$B$8))*'01_설정'!$B$17+L892*'01_설정'!$B$11+M892*'01_설정'!$B$12+N892*50)</f>
        <v/>
      </c>
      <c r="T892">
        <f>IF(S892="","",1+COUNTIFS($S$31:$S$1030,"&gt;"&amp;S892)+COUNTIFS($S$31:S892,S892)-1)</f>
        <v/>
      </c>
    </row>
    <row r="893" hidden="1" ht="16.5" customHeight="1">
      <c r="A893">
        <f>IF(COUNTA('05_KAPA'!$A864:$AO864)=0,"",866)</f>
        <v/>
      </c>
      <c r="B893">
        <f>IF($A893="","",INDEX('05_KAPA'!$B:$B,$A893))</f>
        <v/>
      </c>
      <c r="C893">
        <f>IF($A893="","",INDEX('05_KAPA'!$F:$F,$A893))</f>
        <v/>
      </c>
      <c r="D893">
        <f>IF($A893="","",INDEX('05_KAPA'!$H:$H,$A893))</f>
        <v/>
      </c>
      <c r="E893">
        <f>IF($A893="","",INDEX('05_KAPA'!$K:$K,$A893))</f>
        <v/>
      </c>
      <c r="F893">
        <f>IF($A893="","",INDEX('05_KAPA'!$L:$L,$A893))</f>
        <v/>
      </c>
      <c r="G893">
        <f>IF($A893="","",INDEX('05_KAPA'!$I:$I,$A893))</f>
        <v/>
      </c>
      <c r="H893" s="202">
        <f>IF($A893="","",INDEX('05_KAPA'!$P:$P,$A893))</f>
        <v/>
      </c>
      <c r="I893" s="118">
        <f>IF($A893="","",INDEX('05_KAPA'!$O:$O,$A893))</f>
        <v/>
      </c>
      <c r="J893" s="202">
        <f>IF($A893="","",IFERROR(DATE(LEFT(TEXT(INDEX('05_KAPA'!$T:$T,$A893),"0"),4),MID(TEXT(INDEX('05_KAPA'!$T:$T,$A893),"0"),5,2),RIGHT(TEXT(INDEX('05_KAPA'!$T:$T,$A893),"0"),2)),""))</f>
        <v/>
      </c>
      <c r="K893">
        <f>IF(C893="","",IF('02_대상물건입력'!$B$5="",1,IF(ISNUMBER(SEARCH('02_대상물건입력'!$B$5,C893)),1,0)))</f>
        <v/>
      </c>
      <c r="L893">
        <f>IF(C893="","",IF('02_대상물건입력'!$B$6="",1,IF(ISNUMBER(SEARCH('02_대상물건입력'!$B$6,C893)),1,0)))</f>
        <v/>
      </c>
      <c r="M893">
        <f>IF(E893="","",IF('02_대상물건입력'!$B$8="",0,IF(ISNUMBER(SEARCH('02_대상물건입력'!$B$8,E893)),1,0)))</f>
        <v/>
      </c>
      <c r="N893">
        <f>IF(B893="","",IF(B893="담보",1,0))</f>
        <v/>
      </c>
      <c r="O893">
        <f>IFERROR(ABS(G893-'02_대상물건입력'!$B$11)/'02_대상물건입력'!$B$11,"")</f>
        <v/>
      </c>
      <c r="P893">
        <f>IFERROR(ABS('01_설정'!$B$4-H893),"")</f>
        <v/>
      </c>
      <c r="Q893">
        <f>IFERROR(ABS(YEAR(J893)-YEAR('02_대상물건입력'!$B$14)),"")</f>
        <v/>
      </c>
      <c r="R893">
        <f>IF(AND(G893&gt;0,H893&gt;0,I893&gt;0,N893=1,IF('01_설정'!$B$10=1,K893=1,TRUE()),O893&lt;='01_설정'!$B$5,P893&lt;='01_설정'!$B$7,Q893&lt;='01_설정'!$B$8),"Y","")</f>
        <v/>
      </c>
      <c r="S893">
        <f>IF(R893&lt;&gt;"Y","",MAX(0,(1-O893/'01_설정'!$B$5))*'01_설정'!$B$14+MAX(0,(1-P893/'01_설정'!$B$7))*'01_설정'!$B$16+MAX(0,(1-Q893/'01_설정'!$B$8))*'01_설정'!$B$17+L893*'01_설정'!$B$11+M893*'01_설정'!$B$12+N893*50)</f>
        <v/>
      </c>
      <c r="T893">
        <f>IF(S893="","",1+COUNTIFS($S$31:$S$1030,"&gt;"&amp;S893)+COUNTIFS($S$31:S893,S893)-1)</f>
        <v/>
      </c>
    </row>
    <row r="894" hidden="1" ht="16.5" customHeight="1">
      <c r="A894">
        <f>IF(COUNTA('05_KAPA'!$A865:$AO865)=0,"",867)</f>
        <v/>
      </c>
      <c r="B894">
        <f>IF($A894="","",INDEX('05_KAPA'!$B:$B,$A894))</f>
        <v/>
      </c>
      <c r="C894">
        <f>IF($A894="","",INDEX('05_KAPA'!$F:$F,$A894))</f>
        <v/>
      </c>
      <c r="D894">
        <f>IF($A894="","",INDEX('05_KAPA'!$H:$H,$A894))</f>
        <v/>
      </c>
      <c r="E894">
        <f>IF($A894="","",INDEX('05_KAPA'!$K:$K,$A894))</f>
        <v/>
      </c>
      <c r="F894">
        <f>IF($A894="","",INDEX('05_KAPA'!$L:$L,$A894))</f>
        <v/>
      </c>
      <c r="G894">
        <f>IF($A894="","",INDEX('05_KAPA'!$I:$I,$A894))</f>
        <v/>
      </c>
      <c r="H894" s="202">
        <f>IF($A894="","",INDEX('05_KAPA'!$P:$P,$A894))</f>
        <v/>
      </c>
      <c r="I894" s="118">
        <f>IF($A894="","",INDEX('05_KAPA'!$O:$O,$A894))</f>
        <v/>
      </c>
      <c r="J894" s="202">
        <f>IF($A894="","",IFERROR(DATE(LEFT(TEXT(INDEX('05_KAPA'!$T:$T,$A894),"0"),4),MID(TEXT(INDEX('05_KAPA'!$T:$T,$A894),"0"),5,2),RIGHT(TEXT(INDEX('05_KAPA'!$T:$T,$A894),"0"),2)),""))</f>
        <v/>
      </c>
      <c r="K894">
        <f>IF(C894="","",IF('02_대상물건입력'!$B$5="",1,IF(ISNUMBER(SEARCH('02_대상물건입력'!$B$5,C894)),1,0)))</f>
        <v/>
      </c>
      <c r="L894">
        <f>IF(C894="","",IF('02_대상물건입력'!$B$6="",1,IF(ISNUMBER(SEARCH('02_대상물건입력'!$B$6,C894)),1,0)))</f>
        <v/>
      </c>
      <c r="M894">
        <f>IF(E894="","",IF('02_대상물건입력'!$B$8="",0,IF(ISNUMBER(SEARCH('02_대상물건입력'!$B$8,E894)),1,0)))</f>
        <v/>
      </c>
      <c r="N894">
        <f>IF(B894="","",IF(B894="담보",1,0))</f>
        <v/>
      </c>
      <c r="O894">
        <f>IFERROR(ABS(G894-'02_대상물건입력'!$B$11)/'02_대상물건입력'!$B$11,"")</f>
        <v/>
      </c>
      <c r="P894">
        <f>IFERROR(ABS('01_설정'!$B$4-H894),"")</f>
        <v/>
      </c>
      <c r="Q894">
        <f>IFERROR(ABS(YEAR(J894)-YEAR('02_대상물건입력'!$B$14)),"")</f>
        <v/>
      </c>
      <c r="R894">
        <f>IF(AND(G894&gt;0,H894&gt;0,I894&gt;0,N894=1,IF('01_설정'!$B$10=1,K894=1,TRUE()),O894&lt;='01_설정'!$B$5,P894&lt;='01_설정'!$B$7,Q894&lt;='01_설정'!$B$8),"Y","")</f>
        <v/>
      </c>
      <c r="S894">
        <f>IF(R894&lt;&gt;"Y","",MAX(0,(1-O894/'01_설정'!$B$5))*'01_설정'!$B$14+MAX(0,(1-P894/'01_설정'!$B$7))*'01_설정'!$B$16+MAX(0,(1-Q894/'01_설정'!$B$8))*'01_설정'!$B$17+L894*'01_설정'!$B$11+M894*'01_설정'!$B$12+N894*50)</f>
        <v/>
      </c>
      <c r="T894">
        <f>IF(S894="","",1+COUNTIFS($S$31:$S$1030,"&gt;"&amp;S894)+COUNTIFS($S$31:S894,S894)-1)</f>
        <v/>
      </c>
    </row>
    <row r="895" hidden="1" ht="16.5" customHeight="1">
      <c r="A895">
        <f>IF(COUNTA('05_KAPA'!$A866:$AO866)=0,"",868)</f>
        <v/>
      </c>
      <c r="B895">
        <f>IF($A895="","",INDEX('05_KAPA'!$B:$B,$A895))</f>
        <v/>
      </c>
      <c r="C895">
        <f>IF($A895="","",INDEX('05_KAPA'!$F:$F,$A895))</f>
        <v/>
      </c>
      <c r="D895">
        <f>IF($A895="","",INDEX('05_KAPA'!$H:$H,$A895))</f>
        <v/>
      </c>
      <c r="E895">
        <f>IF($A895="","",INDEX('05_KAPA'!$K:$K,$A895))</f>
        <v/>
      </c>
      <c r="F895">
        <f>IF($A895="","",INDEX('05_KAPA'!$L:$L,$A895))</f>
        <v/>
      </c>
      <c r="G895">
        <f>IF($A895="","",INDEX('05_KAPA'!$I:$I,$A895))</f>
        <v/>
      </c>
      <c r="H895" s="202">
        <f>IF($A895="","",INDEX('05_KAPA'!$P:$P,$A895))</f>
        <v/>
      </c>
      <c r="I895" s="118">
        <f>IF($A895="","",INDEX('05_KAPA'!$O:$O,$A895))</f>
        <v/>
      </c>
      <c r="J895" s="202">
        <f>IF($A895="","",IFERROR(DATE(LEFT(TEXT(INDEX('05_KAPA'!$T:$T,$A895),"0"),4),MID(TEXT(INDEX('05_KAPA'!$T:$T,$A895),"0"),5,2),RIGHT(TEXT(INDEX('05_KAPA'!$T:$T,$A895),"0"),2)),""))</f>
        <v/>
      </c>
      <c r="K895">
        <f>IF(C895="","",IF('02_대상물건입력'!$B$5="",1,IF(ISNUMBER(SEARCH('02_대상물건입력'!$B$5,C895)),1,0)))</f>
        <v/>
      </c>
      <c r="L895">
        <f>IF(C895="","",IF('02_대상물건입력'!$B$6="",1,IF(ISNUMBER(SEARCH('02_대상물건입력'!$B$6,C895)),1,0)))</f>
        <v/>
      </c>
      <c r="M895">
        <f>IF(E895="","",IF('02_대상물건입력'!$B$8="",0,IF(ISNUMBER(SEARCH('02_대상물건입력'!$B$8,E895)),1,0)))</f>
        <v/>
      </c>
      <c r="N895">
        <f>IF(B895="","",IF(B895="담보",1,0))</f>
        <v/>
      </c>
      <c r="O895">
        <f>IFERROR(ABS(G895-'02_대상물건입력'!$B$11)/'02_대상물건입력'!$B$11,"")</f>
        <v/>
      </c>
      <c r="P895">
        <f>IFERROR(ABS('01_설정'!$B$4-H895),"")</f>
        <v/>
      </c>
      <c r="Q895">
        <f>IFERROR(ABS(YEAR(J895)-YEAR('02_대상물건입력'!$B$14)),"")</f>
        <v/>
      </c>
      <c r="R895">
        <f>IF(AND(G895&gt;0,H895&gt;0,I895&gt;0,N895=1,IF('01_설정'!$B$10=1,K895=1,TRUE()),O895&lt;='01_설정'!$B$5,P895&lt;='01_설정'!$B$7,Q895&lt;='01_설정'!$B$8),"Y","")</f>
        <v/>
      </c>
      <c r="S895">
        <f>IF(R895&lt;&gt;"Y","",MAX(0,(1-O895/'01_설정'!$B$5))*'01_설정'!$B$14+MAX(0,(1-P895/'01_설정'!$B$7))*'01_설정'!$B$16+MAX(0,(1-Q895/'01_설정'!$B$8))*'01_설정'!$B$17+L895*'01_설정'!$B$11+M895*'01_설정'!$B$12+N895*50)</f>
        <v/>
      </c>
      <c r="T895">
        <f>IF(S895="","",1+COUNTIFS($S$31:$S$1030,"&gt;"&amp;S895)+COUNTIFS($S$31:S895,S895)-1)</f>
        <v/>
      </c>
    </row>
    <row r="896" hidden="1" ht="16.5" customHeight="1">
      <c r="A896">
        <f>IF(COUNTA('05_KAPA'!$A867:$AO867)=0,"",869)</f>
        <v/>
      </c>
      <c r="B896">
        <f>IF($A896="","",INDEX('05_KAPA'!$B:$B,$A896))</f>
        <v/>
      </c>
      <c r="C896">
        <f>IF($A896="","",INDEX('05_KAPA'!$F:$F,$A896))</f>
        <v/>
      </c>
      <c r="D896">
        <f>IF($A896="","",INDEX('05_KAPA'!$H:$H,$A896))</f>
        <v/>
      </c>
      <c r="E896">
        <f>IF($A896="","",INDEX('05_KAPA'!$K:$K,$A896))</f>
        <v/>
      </c>
      <c r="F896">
        <f>IF($A896="","",INDEX('05_KAPA'!$L:$L,$A896))</f>
        <v/>
      </c>
      <c r="G896">
        <f>IF($A896="","",INDEX('05_KAPA'!$I:$I,$A896))</f>
        <v/>
      </c>
      <c r="H896" s="202">
        <f>IF($A896="","",INDEX('05_KAPA'!$P:$P,$A896))</f>
        <v/>
      </c>
      <c r="I896" s="118">
        <f>IF($A896="","",INDEX('05_KAPA'!$O:$O,$A896))</f>
        <v/>
      </c>
      <c r="J896" s="202">
        <f>IF($A896="","",IFERROR(DATE(LEFT(TEXT(INDEX('05_KAPA'!$T:$T,$A896),"0"),4),MID(TEXT(INDEX('05_KAPA'!$T:$T,$A896),"0"),5,2),RIGHT(TEXT(INDEX('05_KAPA'!$T:$T,$A896),"0"),2)),""))</f>
        <v/>
      </c>
      <c r="K896">
        <f>IF(C896="","",IF('02_대상물건입력'!$B$5="",1,IF(ISNUMBER(SEARCH('02_대상물건입력'!$B$5,C896)),1,0)))</f>
        <v/>
      </c>
      <c r="L896">
        <f>IF(C896="","",IF('02_대상물건입력'!$B$6="",1,IF(ISNUMBER(SEARCH('02_대상물건입력'!$B$6,C896)),1,0)))</f>
        <v/>
      </c>
      <c r="M896">
        <f>IF(E896="","",IF('02_대상물건입력'!$B$8="",0,IF(ISNUMBER(SEARCH('02_대상물건입력'!$B$8,E896)),1,0)))</f>
        <v/>
      </c>
      <c r="N896">
        <f>IF(B896="","",IF(B896="담보",1,0))</f>
        <v/>
      </c>
      <c r="O896">
        <f>IFERROR(ABS(G896-'02_대상물건입력'!$B$11)/'02_대상물건입력'!$B$11,"")</f>
        <v/>
      </c>
      <c r="P896">
        <f>IFERROR(ABS('01_설정'!$B$4-H896),"")</f>
        <v/>
      </c>
      <c r="Q896">
        <f>IFERROR(ABS(YEAR(J896)-YEAR('02_대상물건입력'!$B$14)),"")</f>
        <v/>
      </c>
      <c r="R896">
        <f>IF(AND(G896&gt;0,H896&gt;0,I896&gt;0,N896=1,IF('01_설정'!$B$10=1,K896=1,TRUE()),O896&lt;='01_설정'!$B$5,P896&lt;='01_설정'!$B$7,Q896&lt;='01_설정'!$B$8),"Y","")</f>
        <v/>
      </c>
      <c r="S896">
        <f>IF(R896&lt;&gt;"Y","",MAX(0,(1-O896/'01_설정'!$B$5))*'01_설정'!$B$14+MAX(0,(1-P896/'01_설정'!$B$7))*'01_설정'!$B$16+MAX(0,(1-Q896/'01_설정'!$B$8))*'01_설정'!$B$17+L896*'01_설정'!$B$11+M896*'01_설정'!$B$12+N896*50)</f>
        <v/>
      </c>
      <c r="T896">
        <f>IF(S896="","",1+COUNTIFS($S$31:$S$1030,"&gt;"&amp;S896)+COUNTIFS($S$31:S896,S896)-1)</f>
        <v/>
      </c>
    </row>
    <row r="897" hidden="1" ht="16.5" customHeight="1">
      <c r="A897">
        <f>IF(COUNTA('05_KAPA'!$A868:$AO868)=0,"",870)</f>
        <v/>
      </c>
      <c r="B897">
        <f>IF($A897="","",INDEX('05_KAPA'!$B:$B,$A897))</f>
        <v/>
      </c>
      <c r="C897">
        <f>IF($A897="","",INDEX('05_KAPA'!$F:$F,$A897))</f>
        <v/>
      </c>
      <c r="D897">
        <f>IF($A897="","",INDEX('05_KAPA'!$H:$H,$A897))</f>
        <v/>
      </c>
      <c r="E897">
        <f>IF($A897="","",INDEX('05_KAPA'!$K:$K,$A897))</f>
        <v/>
      </c>
      <c r="F897">
        <f>IF($A897="","",INDEX('05_KAPA'!$L:$L,$A897))</f>
        <v/>
      </c>
      <c r="G897">
        <f>IF($A897="","",INDEX('05_KAPA'!$I:$I,$A897))</f>
        <v/>
      </c>
      <c r="H897" s="202">
        <f>IF($A897="","",INDEX('05_KAPA'!$P:$P,$A897))</f>
        <v/>
      </c>
      <c r="I897" s="118">
        <f>IF($A897="","",INDEX('05_KAPA'!$O:$O,$A897))</f>
        <v/>
      </c>
      <c r="J897" s="202">
        <f>IF($A897="","",IFERROR(DATE(LEFT(TEXT(INDEX('05_KAPA'!$T:$T,$A897),"0"),4),MID(TEXT(INDEX('05_KAPA'!$T:$T,$A897),"0"),5,2),RIGHT(TEXT(INDEX('05_KAPA'!$T:$T,$A897),"0"),2)),""))</f>
        <v/>
      </c>
      <c r="K897">
        <f>IF(C897="","",IF('02_대상물건입력'!$B$5="",1,IF(ISNUMBER(SEARCH('02_대상물건입력'!$B$5,C897)),1,0)))</f>
        <v/>
      </c>
      <c r="L897">
        <f>IF(C897="","",IF('02_대상물건입력'!$B$6="",1,IF(ISNUMBER(SEARCH('02_대상물건입력'!$B$6,C897)),1,0)))</f>
        <v/>
      </c>
      <c r="M897">
        <f>IF(E897="","",IF('02_대상물건입력'!$B$8="",0,IF(ISNUMBER(SEARCH('02_대상물건입력'!$B$8,E897)),1,0)))</f>
        <v/>
      </c>
      <c r="N897">
        <f>IF(B897="","",IF(B897="담보",1,0))</f>
        <v/>
      </c>
      <c r="O897">
        <f>IFERROR(ABS(G897-'02_대상물건입력'!$B$11)/'02_대상물건입력'!$B$11,"")</f>
        <v/>
      </c>
      <c r="P897">
        <f>IFERROR(ABS('01_설정'!$B$4-H897),"")</f>
        <v/>
      </c>
      <c r="Q897">
        <f>IFERROR(ABS(YEAR(J897)-YEAR('02_대상물건입력'!$B$14)),"")</f>
        <v/>
      </c>
      <c r="R897">
        <f>IF(AND(G897&gt;0,H897&gt;0,I897&gt;0,N897=1,IF('01_설정'!$B$10=1,K897=1,TRUE()),O897&lt;='01_설정'!$B$5,P897&lt;='01_설정'!$B$7,Q897&lt;='01_설정'!$B$8),"Y","")</f>
        <v/>
      </c>
      <c r="S897">
        <f>IF(R897&lt;&gt;"Y","",MAX(0,(1-O897/'01_설정'!$B$5))*'01_설정'!$B$14+MAX(0,(1-P897/'01_설정'!$B$7))*'01_설정'!$B$16+MAX(0,(1-Q897/'01_설정'!$B$8))*'01_설정'!$B$17+L897*'01_설정'!$B$11+M897*'01_설정'!$B$12+N897*50)</f>
        <v/>
      </c>
      <c r="T897">
        <f>IF(S897="","",1+COUNTIFS($S$31:$S$1030,"&gt;"&amp;S897)+COUNTIFS($S$31:S897,S897)-1)</f>
        <v/>
      </c>
    </row>
    <row r="898" hidden="1" ht="16.5" customHeight="1">
      <c r="A898">
        <f>IF(COUNTA('05_KAPA'!$A869:$AO869)=0,"",871)</f>
        <v/>
      </c>
      <c r="B898">
        <f>IF($A898="","",INDEX('05_KAPA'!$B:$B,$A898))</f>
        <v/>
      </c>
      <c r="C898">
        <f>IF($A898="","",INDEX('05_KAPA'!$F:$F,$A898))</f>
        <v/>
      </c>
      <c r="D898">
        <f>IF($A898="","",INDEX('05_KAPA'!$H:$H,$A898))</f>
        <v/>
      </c>
      <c r="E898">
        <f>IF($A898="","",INDEX('05_KAPA'!$K:$K,$A898))</f>
        <v/>
      </c>
      <c r="F898">
        <f>IF($A898="","",INDEX('05_KAPA'!$L:$L,$A898))</f>
        <v/>
      </c>
      <c r="G898">
        <f>IF($A898="","",INDEX('05_KAPA'!$I:$I,$A898))</f>
        <v/>
      </c>
      <c r="H898" s="202">
        <f>IF($A898="","",INDEX('05_KAPA'!$P:$P,$A898))</f>
        <v/>
      </c>
      <c r="I898" s="118">
        <f>IF($A898="","",INDEX('05_KAPA'!$O:$O,$A898))</f>
        <v/>
      </c>
      <c r="J898" s="202">
        <f>IF($A898="","",IFERROR(DATE(LEFT(TEXT(INDEX('05_KAPA'!$T:$T,$A898),"0"),4),MID(TEXT(INDEX('05_KAPA'!$T:$T,$A898),"0"),5,2),RIGHT(TEXT(INDEX('05_KAPA'!$T:$T,$A898),"0"),2)),""))</f>
        <v/>
      </c>
      <c r="K898">
        <f>IF(C898="","",IF('02_대상물건입력'!$B$5="",1,IF(ISNUMBER(SEARCH('02_대상물건입력'!$B$5,C898)),1,0)))</f>
        <v/>
      </c>
      <c r="L898">
        <f>IF(C898="","",IF('02_대상물건입력'!$B$6="",1,IF(ISNUMBER(SEARCH('02_대상물건입력'!$B$6,C898)),1,0)))</f>
        <v/>
      </c>
      <c r="M898">
        <f>IF(E898="","",IF('02_대상물건입력'!$B$8="",0,IF(ISNUMBER(SEARCH('02_대상물건입력'!$B$8,E898)),1,0)))</f>
        <v/>
      </c>
      <c r="N898">
        <f>IF(B898="","",IF(B898="담보",1,0))</f>
        <v/>
      </c>
      <c r="O898">
        <f>IFERROR(ABS(G898-'02_대상물건입력'!$B$11)/'02_대상물건입력'!$B$11,"")</f>
        <v/>
      </c>
      <c r="P898">
        <f>IFERROR(ABS('01_설정'!$B$4-H898),"")</f>
        <v/>
      </c>
      <c r="Q898">
        <f>IFERROR(ABS(YEAR(J898)-YEAR('02_대상물건입력'!$B$14)),"")</f>
        <v/>
      </c>
      <c r="R898">
        <f>IF(AND(G898&gt;0,H898&gt;0,I898&gt;0,N898=1,IF('01_설정'!$B$10=1,K898=1,TRUE()),O898&lt;='01_설정'!$B$5,P898&lt;='01_설정'!$B$7,Q898&lt;='01_설정'!$B$8),"Y","")</f>
        <v/>
      </c>
      <c r="S898">
        <f>IF(R898&lt;&gt;"Y","",MAX(0,(1-O898/'01_설정'!$B$5))*'01_설정'!$B$14+MAX(0,(1-P898/'01_설정'!$B$7))*'01_설정'!$B$16+MAX(0,(1-Q898/'01_설정'!$B$8))*'01_설정'!$B$17+L898*'01_설정'!$B$11+M898*'01_설정'!$B$12+N898*50)</f>
        <v/>
      </c>
      <c r="T898">
        <f>IF(S898="","",1+COUNTIFS($S$31:$S$1030,"&gt;"&amp;S898)+COUNTIFS($S$31:S898,S898)-1)</f>
        <v/>
      </c>
    </row>
    <row r="899" hidden="1" ht="16.5" customHeight="1">
      <c r="A899">
        <f>IF(COUNTA('05_KAPA'!$A870:$AO870)=0,"",872)</f>
        <v/>
      </c>
      <c r="B899">
        <f>IF($A899="","",INDEX('05_KAPA'!$B:$B,$A899))</f>
        <v/>
      </c>
      <c r="C899">
        <f>IF($A899="","",INDEX('05_KAPA'!$F:$F,$A899))</f>
        <v/>
      </c>
      <c r="D899">
        <f>IF($A899="","",INDEX('05_KAPA'!$H:$H,$A899))</f>
        <v/>
      </c>
      <c r="E899">
        <f>IF($A899="","",INDEX('05_KAPA'!$K:$K,$A899))</f>
        <v/>
      </c>
      <c r="F899">
        <f>IF($A899="","",INDEX('05_KAPA'!$L:$L,$A899))</f>
        <v/>
      </c>
      <c r="G899">
        <f>IF($A899="","",INDEX('05_KAPA'!$I:$I,$A899))</f>
        <v/>
      </c>
      <c r="H899" s="202">
        <f>IF($A899="","",INDEX('05_KAPA'!$P:$P,$A899))</f>
        <v/>
      </c>
      <c r="I899" s="118">
        <f>IF($A899="","",INDEX('05_KAPA'!$O:$O,$A899))</f>
        <v/>
      </c>
      <c r="J899" s="202">
        <f>IF($A899="","",IFERROR(DATE(LEFT(TEXT(INDEX('05_KAPA'!$T:$T,$A899),"0"),4),MID(TEXT(INDEX('05_KAPA'!$T:$T,$A899),"0"),5,2),RIGHT(TEXT(INDEX('05_KAPA'!$T:$T,$A899),"0"),2)),""))</f>
        <v/>
      </c>
      <c r="K899">
        <f>IF(C899="","",IF('02_대상물건입력'!$B$5="",1,IF(ISNUMBER(SEARCH('02_대상물건입력'!$B$5,C899)),1,0)))</f>
        <v/>
      </c>
      <c r="L899">
        <f>IF(C899="","",IF('02_대상물건입력'!$B$6="",1,IF(ISNUMBER(SEARCH('02_대상물건입력'!$B$6,C899)),1,0)))</f>
        <v/>
      </c>
      <c r="M899">
        <f>IF(E899="","",IF('02_대상물건입력'!$B$8="",0,IF(ISNUMBER(SEARCH('02_대상물건입력'!$B$8,E899)),1,0)))</f>
        <v/>
      </c>
      <c r="N899">
        <f>IF(B899="","",IF(B899="담보",1,0))</f>
        <v/>
      </c>
      <c r="O899">
        <f>IFERROR(ABS(G899-'02_대상물건입력'!$B$11)/'02_대상물건입력'!$B$11,"")</f>
        <v/>
      </c>
      <c r="P899">
        <f>IFERROR(ABS('01_설정'!$B$4-H899),"")</f>
        <v/>
      </c>
      <c r="Q899">
        <f>IFERROR(ABS(YEAR(J899)-YEAR('02_대상물건입력'!$B$14)),"")</f>
        <v/>
      </c>
      <c r="R899">
        <f>IF(AND(G899&gt;0,H899&gt;0,I899&gt;0,N899=1,IF('01_설정'!$B$10=1,K899=1,TRUE()),O899&lt;='01_설정'!$B$5,P899&lt;='01_설정'!$B$7,Q899&lt;='01_설정'!$B$8),"Y","")</f>
        <v/>
      </c>
      <c r="S899">
        <f>IF(R899&lt;&gt;"Y","",MAX(0,(1-O899/'01_설정'!$B$5))*'01_설정'!$B$14+MAX(0,(1-P899/'01_설정'!$B$7))*'01_설정'!$B$16+MAX(0,(1-Q899/'01_설정'!$B$8))*'01_설정'!$B$17+L899*'01_설정'!$B$11+M899*'01_설정'!$B$12+N899*50)</f>
        <v/>
      </c>
      <c r="T899">
        <f>IF(S899="","",1+COUNTIFS($S$31:$S$1030,"&gt;"&amp;S899)+COUNTIFS($S$31:S899,S899)-1)</f>
        <v/>
      </c>
    </row>
    <row r="900" hidden="1" ht="16.5" customHeight="1">
      <c r="A900">
        <f>IF(COUNTA('05_KAPA'!$A871:$AO871)=0,"",873)</f>
        <v/>
      </c>
      <c r="B900">
        <f>IF($A900="","",INDEX('05_KAPA'!$B:$B,$A900))</f>
        <v/>
      </c>
      <c r="C900">
        <f>IF($A900="","",INDEX('05_KAPA'!$F:$F,$A900))</f>
        <v/>
      </c>
      <c r="D900">
        <f>IF($A900="","",INDEX('05_KAPA'!$H:$H,$A900))</f>
        <v/>
      </c>
      <c r="E900">
        <f>IF($A900="","",INDEX('05_KAPA'!$K:$K,$A900))</f>
        <v/>
      </c>
      <c r="F900">
        <f>IF($A900="","",INDEX('05_KAPA'!$L:$L,$A900))</f>
        <v/>
      </c>
      <c r="G900">
        <f>IF($A900="","",INDEX('05_KAPA'!$I:$I,$A900))</f>
        <v/>
      </c>
      <c r="H900" s="202">
        <f>IF($A900="","",INDEX('05_KAPA'!$P:$P,$A900))</f>
        <v/>
      </c>
      <c r="I900" s="118">
        <f>IF($A900="","",INDEX('05_KAPA'!$O:$O,$A900))</f>
        <v/>
      </c>
      <c r="J900" s="202">
        <f>IF($A900="","",IFERROR(DATE(LEFT(TEXT(INDEX('05_KAPA'!$T:$T,$A900),"0"),4),MID(TEXT(INDEX('05_KAPA'!$T:$T,$A900),"0"),5,2),RIGHT(TEXT(INDEX('05_KAPA'!$T:$T,$A900),"0"),2)),""))</f>
        <v/>
      </c>
      <c r="K900">
        <f>IF(C900="","",IF('02_대상물건입력'!$B$5="",1,IF(ISNUMBER(SEARCH('02_대상물건입력'!$B$5,C900)),1,0)))</f>
        <v/>
      </c>
      <c r="L900">
        <f>IF(C900="","",IF('02_대상물건입력'!$B$6="",1,IF(ISNUMBER(SEARCH('02_대상물건입력'!$B$6,C900)),1,0)))</f>
        <v/>
      </c>
      <c r="M900">
        <f>IF(E900="","",IF('02_대상물건입력'!$B$8="",0,IF(ISNUMBER(SEARCH('02_대상물건입력'!$B$8,E900)),1,0)))</f>
        <v/>
      </c>
      <c r="N900">
        <f>IF(B900="","",IF(B900="담보",1,0))</f>
        <v/>
      </c>
      <c r="O900">
        <f>IFERROR(ABS(G900-'02_대상물건입력'!$B$11)/'02_대상물건입력'!$B$11,"")</f>
        <v/>
      </c>
      <c r="P900">
        <f>IFERROR(ABS('01_설정'!$B$4-H900),"")</f>
        <v/>
      </c>
      <c r="Q900">
        <f>IFERROR(ABS(YEAR(J900)-YEAR('02_대상물건입력'!$B$14)),"")</f>
        <v/>
      </c>
      <c r="R900">
        <f>IF(AND(G900&gt;0,H900&gt;0,I900&gt;0,N900=1,IF('01_설정'!$B$10=1,K900=1,TRUE()),O900&lt;='01_설정'!$B$5,P900&lt;='01_설정'!$B$7,Q900&lt;='01_설정'!$B$8),"Y","")</f>
        <v/>
      </c>
      <c r="S900">
        <f>IF(R900&lt;&gt;"Y","",MAX(0,(1-O900/'01_설정'!$B$5))*'01_설정'!$B$14+MAX(0,(1-P900/'01_설정'!$B$7))*'01_설정'!$B$16+MAX(0,(1-Q900/'01_설정'!$B$8))*'01_설정'!$B$17+L900*'01_설정'!$B$11+M900*'01_설정'!$B$12+N900*50)</f>
        <v/>
      </c>
      <c r="T900">
        <f>IF(S900="","",1+COUNTIFS($S$31:$S$1030,"&gt;"&amp;S900)+COUNTIFS($S$31:S900,S900)-1)</f>
        <v/>
      </c>
    </row>
    <row r="901" hidden="1" ht="16.5" customHeight="1">
      <c r="A901">
        <f>IF(COUNTA('05_KAPA'!$A872:$AO872)=0,"",874)</f>
        <v/>
      </c>
      <c r="B901">
        <f>IF($A901="","",INDEX('05_KAPA'!$B:$B,$A901))</f>
        <v/>
      </c>
      <c r="C901">
        <f>IF($A901="","",INDEX('05_KAPA'!$F:$F,$A901))</f>
        <v/>
      </c>
      <c r="D901">
        <f>IF($A901="","",INDEX('05_KAPA'!$H:$H,$A901))</f>
        <v/>
      </c>
      <c r="E901">
        <f>IF($A901="","",INDEX('05_KAPA'!$K:$K,$A901))</f>
        <v/>
      </c>
      <c r="F901">
        <f>IF($A901="","",INDEX('05_KAPA'!$L:$L,$A901))</f>
        <v/>
      </c>
      <c r="G901">
        <f>IF($A901="","",INDEX('05_KAPA'!$I:$I,$A901))</f>
        <v/>
      </c>
      <c r="H901" s="202">
        <f>IF($A901="","",INDEX('05_KAPA'!$P:$P,$A901))</f>
        <v/>
      </c>
      <c r="I901" s="118">
        <f>IF($A901="","",INDEX('05_KAPA'!$O:$O,$A901))</f>
        <v/>
      </c>
      <c r="J901" s="202">
        <f>IF($A901="","",IFERROR(DATE(LEFT(TEXT(INDEX('05_KAPA'!$T:$T,$A901),"0"),4),MID(TEXT(INDEX('05_KAPA'!$T:$T,$A901),"0"),5,2),RIGHT(TEXT(INDEX('05_KAPA'!$T:$T,$A901),"0"),2)),""))</f>
        <v/>
      </c>
      <c r="K901">
        <f>IF(C901="","",IF('02_대상물건입력'!$B$5="",1,IF(ISNUMBER(SEARCH('02_대상물건입력'!$B$5,C901)),1,0)))</f>
        <v/>
      </c>
      <c r="L901">
        <f>IF(C901="","",IF('02_대상물건입력'!$B$6="",1,IF(ISNUMBER(SEARCH('02_대상물건입력'!$B$6,C901)),1,0)))</f>
        <v/>
      </c>
      <c r="M901">
        <f>IF(E901="","",IF('02_대상물건입력'!$B$8="",0,IF(ISNUMBER(SEARCH('02_대상물건입력'!$B$8,E901)),1,0)))</f>
        <v/>
      </c>
      <c r="N901">
        <f>IF(B901="","",IF(B901="담보",1,0))</f>
        <v/>
      </c>
      <c r="O901">
        <f>IFERROR(ABS(G901-'02_대상물건입력'!$B$11)/'02_대상물건입력'!$B$11,"")</f>
        <v/>
      </c>
      <c r="P901">
        <f>IFERROR(ABS('01_설정'!$B$4-H901),"")</f>
        <v/>
      </c>
      <c r="Q901">
        <f>IFERROR(ABS(YEAR(J901)-YEAR('02_대상물건입력'!$B$14)),"")</f>
        <v/>
      </c>
      <c r="R901">
        <f>IF(AND(G901&gt;0,H901&gt;0,I901&gt;0,N901=1,IF('01_설정'!$B$10=1,K901=1,TRUE()),O901&lt;='01_설정'!$B$5,P901&lt;='01_설정'!$B$7,Q901&lt;='01_설정'!$B$8),"Y","")</f>
        <v/>
      </c>
      <c r="S901">
        <f>IF(R901&lt;&gt;"Y","",MAX(0,(1-O901/'01_설정'!$B$5))*'01_설정'!$B$14+MAX(0,(1-P901/'01_설정'!$B$7))*'01_설정'!$B$16+MAX(0,(1-Q901/'01_설정'!$B$8))*'01_설정'!$B$17+L901*'01_설정'!$B$11+M901*'01_설정'!$B$12+N901*50)</f>
        <v/>
      </c>
      <c r="T901">
        <f>IF(S901="","",1+COUNTIFS($S$31:$S$1030,"&gt;"&amp;S901)+COUNTIFS($S$31:S901,S901)-1)</f>
        <v/>
      </c>
    </row>
    <row r="902" hidden="1" ht="16.5" customHeight="1">
      <c r="A902">
        <f>IF(COUNTA('05_KAPA'!$A873:$AO873)=0,"",875)</f>
        <v/>
      </c>
      <c r="B902">
        <f>IF($A902="","",INDEX('05_KAPA'!$B:$B,$A902))</f>
        <v/>
      </c>
      <c r="C902">
        <f>IF($A902="","",INDEX('05_KAPA'!$F:$F,$A902))</f>
        <v/>
      </c>
      <c r="D902">
        <f>IF($A902="","",INDEX('05_KAPA'!$H:$H,$A902))</f>
        <v/>
      </c>
      <c r="E902">
        <f>IF($A902="","",INDEX('05_KAPA'!$K:$K,$A902))</f>
        <v/>
      </c>
      <c r="F902">
        <f>IF($A902="","",INDEX('05_KAPA'!$L:$L,$A902))</f>
        <v/>
      </c>
      <c r="G902">
        <f>IF($A902="","",INDEX('05_KAPA'!$I:$I,$A902))</f>
        <v/>
      </c>
      <c r="H902" s="202">
        <f>IF($A902="","",INDEX('05_KAPA'!$P:$P,$A902))</f>
        <v/>
      </c>
      <c r="I902" s="118">
        <f>IF($A902="","",INDEX('05_KAPA'!$O:$O,$A902))</f>
        <v/>
      </c>
      <c r="J902" s="202">
        <f>IF($A902="","",IFERROR(DATE(LEFT(TEXT(INDEX('05_KAPA'!$T:$T,$A902),"0"),4),MID(TEXT(INDEX('05_KAPA'!$T:$T,$A902),"0"),5,2),RIGHT(TEXT(INDEX('05_KAPA'!$T:$T,$A902),"0"),2)),""))</f>
        <v/>
      </c>
      <c r="K902">
        <f>IF(C902="","",IF('02_대상물건입력'!$B$5="",1,IF(ISNUMBER(SEARCH('02_대상물건입력'!$B$5,C902)),1,0)))</f>
        <v/>
      </c>
      <c r="L902">
        <f>IF(C902="","",IF('02_대상물건입력'!$B$6="",1,IF(ISNUMBER(SEARCH('02_대상물건입력'!$B$6,C902)),1,0)))</f>
        <v/>
      </c>
      <c r="M902">
        <f>IF(E902="","",IF('02_대상물건입력'!$B$8="",0,IF(ISNUMBER(SEARCH('02_대상물건입력'!$B$8,E902)),1,0)))</f>
        <v/>
      </c>
      <c r="N902">
        <f>IF(B902="","",IF(B902="담보",1,0))</f>
        <v/>
      </c>
      <c r="O902">
        <f>IFERROR(ABS(G902-'02_대상물건입력'!$B$11)/'02_대상물건입력'!$B$11,"")</f>
        <v/>
      </c>
      <c r="P902">
        <f>IFERROR(ABS('01_설정'!$B$4-H902),"")</f>
        <v/>
      </c>
      <c r="Q902">
        <f>IFERROR(ABS(YEAR(J902)-YEAR('02_대상물건입력'!$B$14)),"")</f>
        <v/>
      </c>
      <c r="R902">
        <f>IF(AND(G902&gt;0,H902&gt;0,I902&gt;0,N902=1,IF('01_설정'!$B$10=1,K902=1,TRUE()),O902&lt;='01_설정'!$B$5,P902&lt;='01_설정'!$B$7,Q902&lt;='01_설정'!$B$8),"Y","")</f>
        <v/>
      </c>
      <c r="S902">
        <f>IF(R902&lt;&gt;"Y","",MAX(0,(1-O902/'01_설정'!$B$5))*'01_설정'!$B$14+MAX(0,(1-P902/'01_설정'!$B$7))*'01_설정'!$B$16+MAX(0,(1-Q902/'01_설정'!$B$8))*'01_설정'!$B$17+L902*'01_설정'!$B$11+M902*'01_설정'!$B$12+N902*50)</f>
        <v/>
      </c>
      <c r="T902">
        <f>IF(S902="","",1+COUNTIFS($S$31:$S$1030,"&gt;"&amp;S902)+COUNTIFS($S$31:S902,S902)-1)</f>
        <v/>
      </c>
    </row>
    <row r="903" hidden="1" ht="16.5" customHeight="1">
      <c r="A903">
        <f>IF(COUNTA('05_KAPA'!$A874:$AO874)=0,"",876)</f>
        <v/>
      </c>
      <c r="B903">
        <f>IF($A903="","",INDEX('05_KAPA'!$B:$B,$A903))</f>
        <v/>
      </c>
      <c r="C903">
        <f>IF($A903="","",INDEX('05_KAPA'!$F:$F,$A903))</f>
        <v/>
      </c>
      <c r="D903">
        <f>IF($A903="","",INDEX('05_KAPA'!$H:$H,$A903))</f>
        <v/>
      </c>
      <c r="E903">
        <f>IF($A903="","",INDEX('05_KAPA'!$K:$K,$A903))</f>
        <v/>
      </c>
      <c r="F903">
        <f>IF($A903="","",INDEX('05_KAPA'!$L:$L,$A903))</f>
        <v/>
      </c>
      <c r="G903">
        <f>IF($A903="","",INDEX('05_KAPA'!$I:$I,$A903))</f>
        <v/>
      </c>
      <c r="H903" s="202">
        <f>IF($A903="","",INDEX('05_KAPA'!$P:$P,$A903))</f>
        <v/>
      </c>
      <c r="I903" s="118">
        <f>IF($A903="","",INDEX('05_KAPA'!$O:$O,$A903))</f>
        <v/>
      </c>
      <c r="J903" s="202">
        <f>IF($A903="","",IFERROR(DATE(LEFT(TEXT(INDEX('05_KAPA'!$T:$T,$A903),"0"),4),MID(TEXT(INDEX('05_KAPA'!$T:$T,$A903),"0"),5,2),RIGHT(TEXT(INDEX('05_KAPA'!$T:$T,$A903),"0"),2)),""))</f>
        <v/>
      </c>
      <c r="K903">
        <f>IF(C903="","",IF('02_대상물건입력'!$B$5="",1,IF(ISNUMBER(SEARCH('02_대상물건입력'!$B$5,C903)),1,0)))</f>
        <v/>
      </c>
      <c r="L903">
        <f>IF(C903="","",IF('02_대상물건입력'!$B$6="",1,IF(ISNUMBER(SEARCH('02_대상물건입력'!$B$6,C903)),1,0)))</f>
        <v/>
      </c>
      <c r="M903">
        <f>IF(E903="","",IF('02_대상물건입력'!$B$8="",0,IF(ISNUMBER(SEARCH('02_대상물건입력'!$B$8,E903)),1,0)))</f>
        <v/>
      </c>
      <c r="N903">
        <f>IF(B903="","",IF(B903="담보",1,0))</f>
        <v/>
      </c>
      <c r="O903">
        <f>IFERROR(ABS(G903-'02_대상물건입력'!$B$11)/'02_대상물건입력'!$B$11,"")</f>
        <v/>
      </c>
      <c r="P903">
        <f>IFERROR(ABS('01_설정'!$B$4-H903),"")</f>
        <v/>
      </c>
      <c r="Q903">
        <f>IFERROR(ABS(YEAR(J903)-YEAR('02_대상물건입력'!$B$14)),"")</f>
        <v/>
      </c>
      <c r="R903">
        <f>IF(AND(G903&gt;0,H903&gt;0,I903&gt;0,N903=1,IF('01_설정'!$B$10=1,K903=1,TRUE()),O903&lt;='01_설정'!$B$5,P903&lt;='01_설정'!$B$7,Q903&lt;='01_설정'!$B$8),"Y","")</f>
        <v/>
      </c>
      <c r="S903">
        <f>IF(R903&lt;&gt;"Y","",MAX(0,(1-O903/'01_설정'!$B$5))*'01_설정'!$B$14+MAX(0,(1-P903/'01_설정'!$B$7))*'01_설정'!$B$16+MAX(0,(1-Q903/'01_설정'!$B$8))*'01_설정'!$B$17+L903*'01_설정'!$B$11+M903*'01_설정'!$B$12+N903*50)</f>
        <v/>
      </c>
      <c r="T903">
        <f>IF(S903="","",1+COUNTIFS($S$31:$S$1030,"&gt;"&amp;S903)+COUNTIFS($S$31:S903,S903)-1)</f>
        <v/>
      </c>
    </row>
    <row r="904" hidden="1" ht="16.5" customHeight="1">
      <c r="A904">
        <f>IF(COUNTA('05_KAPA'!$A875:$AO875)=0,"",877)</f>
        <v/>
      </c>
      <c r="B904">
        <f>IF($A904="","",INDEX('05_KAPA'!$B:$B,$A904))</f>
        <v/>
      </c>
      <c r="C904">
        <f>IF($A904="","",INDEX('05_KAPA'!$F:$F,$A904))</f>
        <v/>
      </c>
      <c r="D904">
        <f>IF($A904="","",INDEX('05_KAPA'!$H:$H,$A904))</f>
        <v/>
      </c>
      <c r="E904">
        <f>IF($A904="","",INDEX('05_KAPA'!$K:$K,$A904))</f>
        <v/>
      </c>
      <c r="F904">
        <f>IF($A904="","",INDEX('05_KAPA'!$L:$L,$A904))</f>
        <v/>
      </c>
      <c r="G904">
        <f>IF($A904="","",INDEX('05_KAPA'!$I:$I,$A904))</f>
        <v/>
      </c>
      <c r="H904" s="202">
        <f>IF($A904="","",INDEX('05_KAPA'!$P:$P,$A904))</f>
        <v/>
      </c>
      <c r="I904" s="118">
        <f>IF($A904="","",INDEX('05_KAPA'!$O:$O,$A904))</f>
        <v/>
      </c>
      <c r="J904" s="202">
        <f>IF($A904="","",IFERROR(DATE(LEFT(TEXT(INDEX('05_KAPA'!$T:$T,$A904),"0"),4),MID(TEXT(INDEX('05_KAPA'!$T:$T,$A904),"0"),5,2),RIGHT(TEXT(INDEX('05_KAPA'!$T:$T,$A904),"0"),2)),""))</f>
        <v/>
      </c>
      <c r="K904">
        <f>IF(C904="","",IF('02_대상물건입력'!$B$5="",1,IF(ISNUMBER(SEARCH('02_대상물건입력'!$B$5,C904)),1,0)))</f>
        <v/>
      </c>
      <c r="L904">
        <f>IF(C904="","",IF('02_대상물건입력'!$B$6="",1,IF(ISNUMBER(SEARCH('02_대상물건입력'!$B$6,C904)),1,0)))</f>
        <v/>
      </c>
      <c r="M904">
        <f>IF(E904="","",IF('02_대상물건입력'!$B$8="",0,IF(ISNUMBER(SEARCH('02_대상물건입력'!$B$8,E904)),1,0)))</f>
        <v/>
      </c>
      <c r="N904">
        <f>IF(B904="","",IF(B904="담보",1,0))</f>
        <v/>
      </c>
      <c r="O904">
        <f>IFERROR(ABS(G904-'02_대상물건입력'!$B$11)/'02_대상물건입력'!$B$11,"")</f>
        <v/>
      </c>
      <c r="P904">
        <f>IFERROR(ABS('01_설정'!$B$4-H904),"")</f>
        <v/>
      </c>
      <c r="Q904">
        <f>IFERROR(ABS(YEAR(J904)-YEAR('02_대상물건입력'!$B$14)),"")</f>
        <v/>
      </c>
      <c r="R904">
        <f>IF(AND(G904&gt;0,H904&gt;0,I904&gt;0,N904=1,IF('01_설정'!$B$10=1,K904=1,TRUE()),O904&lt;='01_설정'!$B$5,P904&lt;='01_설정'!$B$7,Q904&lt;='01_설정'!$B$8),"Y","")</f>
        <v/>
      </c>
      <c r="S904">
        <f>IF(R904&lt;&gt;"Y","",MAX(0,(1-O904/'01_설정'!$B$5))*'01_설정'!$B$14+MAX(0,(1-P904/'01_설정'!$B$7))*'01_설정'!$B$16+MAX(0,(1-Q904/'01_설정'!$B$8))*'01_설정'!$B$17+L904*'01_설정'!$B$11+M904*'01_설정'!$B$12+N904*50)</f>
        <v/>
      </c>
      <c r="T904">
        <f>IF(S904="","",1+COUNTIFS($S$31:$S$1030,"&gt;"&amp;S904)+COUNTIFS($S$31:S904,S904)-1)</f>
        <v/>
      </c>
    </row>
    <row r="905" hidden="1" ht="16.5" customHeight="1">
      <c r="A905">
        <f>IF(COUNTA('05_KAPA'!$A876:$AO876)=0,"",878)</f>
        <v/>
      </c>
      <c r="B905">
        <f>IF($A905="","",INDEX('05_KAPA'!$B:$B,$A905))</f>
        <v/>
      </c>
      <c r="C905">
        <f>IF($A905="","",INDEX('05_KAPA'!$F:$F,$A905))</f>
        <v/>
      </c>
      <c r="D905">
        <f>IF($A905="","",INDEX('05_KAPA'!$H:$H,$A905))</f>
        <v/>
      </c>
      <c r="E905">
        <f>IF($A905="","",INDEX('05_KAPA'!$K:$K,$A905))</f>
        <v/>
      </c>
      <c r="F905">
        <f>IF($A905="","",INDEX('05_KAPA'!$L:$L,$A905))</f>
        <v/>
      </c>
      <c r="G905">
        <f>IF($A905="","",INDEX('05_KAPA'!$I:$I,$A905))</f>
        <v/>
      </c>
      <c r="H905" s="202">
        <f>IF($A905="","",INDEX('05_KAPA'!$P:$P,$A905))</f>
        <v/>
      </c>
      <c r="I905" s="118">
        <f>IF($A905="","",INDEX('05_KAPA'!$O:$O,$A905))</f>
        <v/>
      </c>
      <c r="J905" s="202">
        <f>IF($A905="","",IFERROR(DATE(LEFT(TEXT(INDEX('05_KAPA'!$T:$T,$A905),"0"),4),MID(TEXT(INDEX('05_KAPA'!$T:$T,$A905),"0"),5,2),RIGHT(TEXT(INDEX('05_KAPA'!$T:$T,$A905),"0"),2)),""))</f>
        <v/>
      </c>
      <c r="K905">
        <f>IF(C905="","",IF('02_대상물건입력'!$B$5="",1,IF(ISNUMBER(SEARCH('02_대상물건입력'!$B$5,C905)),1,0)))</f>
        <v/>
      </c>
      <c r="L905">
        <f>IF(C905="","",IF('02_대상물건입력'!$B$6="",1,IF(ISNUMBER(SEARCH('02_대상물건입력'!$B$6,C905)),1,0)))</f>
        <v/>
      </c>
      <c r="M905">
        <f>IF(E905="","",IF('02_대상물건입력'!$B$8="",0,IF(ISNUMBER(SEARCH('02_대상물건입력'!$B$8,E905)),1,0)))</f>
        <v/>
      </c>
      <c r="N905">
        <f>IF(B905="","",IF(B905="담보",1,0))</f>
        <v/>
      </c>
      <c r="O905">
        <f>IFERROR(ABS(G905-'02_대상물건입력'!$B$11)/'02_대상물건입력'!$B$11,"")</f>
        <v/>
      </c>
      <c r="P905">
        <f>IFERROR(ABS('01_설정'!$B$4-H905),"")</f>
        <v/>
      </c>
      <c r="Q905">
        <f>IFERROR(ABS(YEAR(J905)-YEAR('02_대상물건입력'!$B$14)),"")</f>
        <v/>
      </c>
      <c r="R905">
        <f>IF(AND(G905&gt;0,H905&gt;0,I905&gt;0,N905=1,IF('01_설정'!$B$10=1,K905=1,TRUE()),O905&lt;='01_설정'!$B$5,P905&lt;='01_설정'!$B$7,Q905&lt;='01_설정'!$B$8),"Y","")</f>
        <v/>
      </c>
      <c r="S905">
        <f>IF(R905&lt;&gt;"Y","",MAX(0,(1-O905/'01_설정'!$B$5))*'01_설정'!$B$14+MAX(0,(1-P905/'01_설정'!$B$7))*'01_설정'!$B$16+MAX(0,(1-Q905/'01_설정'!$B$8))*'01_설정'!$B$17+L905*'01_설정'!$B$11+M905*'01_설정'!$B$12+N905*50)</f>
        <v/>
      </c>
      <c r="T905">
        <f>IF(S905="","",1+COUNTIFS($S$31:$S$1030,"&gt;"&amp;S905)+COUNTIFS($S$31:S905,S905)-1)</f>
        <v/>
      </c>
    </row>
    <row r="906" hidden="1" ht="16.5" customHeight="1">
      <c r="A906">
        <f>IF(COUNTA('05_KAPA'!$A877:$AO877)=0,"",879)</f>
        <v/>
      </c>
      <c r="B906">
        <f>IF($A906="","",INDEX('05_KAPA'!$B:$B,$A906))</f>
        <v/>
      </c>
      <c r="C906">
        <f>IF($A906="","",INDEX('05_KAPA'!$F:$F,$A906))</f>
        <v/>
      </c>
      <c r="D906">
        <f>IF($A906="","",INDEX('05_KAPA'!$H:$H,$A906))</f>
        <v/>
      </c>
      <c r="E906">
        <f>IF($A906="","",INDEX('05_KAPA'!$K:$K,$A906))</f>
        <v/>
      </c>
      <c r="F906">
        <f>IF($A906="","",INDEX('05_KAPA'!$L:$L,$A906))</f>
        <v/>
      </c>
      <c r="G906">
        <f>IF($A906="","",INDEX('05_KAPA'!$I:$I,$A906))</f>
        <v/>
      </c>
      <c r="H906" s="202">
        <f>IF($A906="","",INDEX('05_KAPA'!$P:$P,$A906))</f>
        <v/>
      </c>
      <c r="I906" s="118">
        <f>IF($A906="","",INDEX('05_KAPA'!$O:$O,$A906))</f>
        <v/>
      </c>
      <c r="J906" s="202">
        <f>IF($A906="","",IFERROR(DATE(LEFT(TEXT(INDEX('05_KAPA'!$T:$T,$A906),"0"),4),MID(TEXT(INDEX('05_KAPA'!$T:$T,$A906),"0"),5,2),RIGHT(TEXT(INDEX('05_KAPA'!$T:$T,$A906),"0"),2)),""))</f>
        <v/>
      </c>
      <c r="K906">
        <f>IF(C906="","",IF('02_대상물건입력'!$B$5="",1,IF(ISNUMBER(SEARCH('02_대상물건입력'!$B$5,C906)),1,0)))</f>
        <v/>
      </c>
      <c r="L906">
        <f>IF(C906="","",IF('02_대상물건입력'!$B$6="",1,IF(ISNUMBER(SEARCH('02_대상물건입력'!$B$6,C906)),1,0)))</f>
        <v/>
      </c>
      <c r="M906">
        <f>IF(E906="","",IF('02_대상물건입력'!$B$8="",0,IF(ISNUMBER(SEARCH('02_대상물건입력'!$B$8,E906)),1,0)))</f>
        <v/>
      </c>
      <c r="N906">
        <f>IF(B906="","",IF(B906="담보",1,0))</f>
        <v/>
      </c>
      <c r="O906">
        <f>IFERROR(ABS(G906-'02_대상물건입력'!$B$11)/'02_대상물건입력'!$B$11,"")</f>
        <v/>
      </c>
      <c r="P906">
        <f>IFERROR(ABS('01_설정'!$B$4-H906),"")</f>
        <v/>
      </c>
      <c r="Q906">
        <f>IFERROR(ABS(YEAR(J906)-YEAR('02_대상물건입력'!$B$14)),"")</f>
        <v/>
      </c>
      <c r="R906">
        <f>IF(AND(G906&gt;0,H906&gt;0,I906&gt;0,N906=1,IF('01_설정'!$B$10=1,K906=1,TRUE()),O906&lt;='01_설정'!$B$5,P906&lt;='01_설정'!$B$7,Q906&lt;='01_설정'!$B$8),"Y","")</f>
        <v/>
      </c>
      <c r="S906">
        <f>IF(R906&lt;&gt;"Y","",MAX(0,(1-O906/'01_설정'!$B$5))*'01_설정'!$B$14+MAX(0,(1-P906/'01_설정'!$B$7))*'01_설정'!$B$16+MAX(0,(1-Q906/'01_설정'!$B$8))*'01_설정'!$B$17+L906*'01_설정'!$B$11+M906*'01_설정'!$B$12+N906*50)</f>
        <v/>
      </c>
      <c r="T906">
        <f>IF(S906="","",1+COUNTIFS($S$31:$S$1030,"&gt;"&amp;S906)+COUNTIFS($S$31:S906,S906)-1)</f>
        <v/>
      </c>
    </row>
    <row r="907" hidden="1" ht="16.5" customHeight="1">
      <c r="A907">
        <f>IF(COUNTA('05_KAPA'!$A878:$AO878)=0,"",880)</f>
        <v/>
      </c>
      <c r="B907">
        <f>IF($A907="","",INDEX('05_KAPA'!$B:$B,$A907))</f>
        <v/>
      </c>
      <c r="C907">
        <f>IF($A907="","",INDEX('05_KAPA'!$F:$F,$A907))</f>
        <v/>
      </c>
      <c r="D907">
        <f>IF($A907="","",INDEX('05_KAPA'!$H:$H,$A907))</f>
        <v/>
      </c>
      <c r="E907">
        <f>IF($A907="","",INDEX('05_KAPA'!$K:$K,$A907))</f>
        <v/>
      </c>
      <c r="F907">
        <f>IF($A907="","",INDEX('05_KAPA'!$L:$L,$A907))</f>
        <v/>
      </c>
      <c r="G907">
        <f>IF($A907="","",INDEX('05_KAPA'!$I:$I,$A907))</f>
        <v/>
      </c>
      <c r="H907" s="202">
        <f>IF($A907="","",INDEX('05_KAPA'!$P:$P,$A907))</f>
        <v/>
      </c>
      <c r="I907" s="118">
        <f>IF($A907="","",INDEX('05_KAPA'!$O:$O,$A907))</f>
        <v/>
      </c>
      <c r="J907" s="202">
        <f>IF($A907="","",IFERROR(DATE(LEFT(TEXT(INDEX('05_KAPA'!$T:$T,$A907),"0"),4),MID(TEXT(INDEX('05_KAPA'!$T:$T,$A907),"0"),5,2),RIGHT(TEXT(INDEX('05_KAPA'!$T:$T,$A907),"0"),2)),""))</f>
        <v/>
      </c>
      <c r="K907">
        <f>IF(C907="","",IF('02_대상물건입력'!$B$5="",1,IF(ISNUMBER(SEARCH('02_대상물건입력'!$B$5,C907)),1,0)))</f>
        <v/>
      </c>
      <c r="L907">
        <f>IF(C907="","",IF('02_대상물건입력'!$B$6="",1,IF(ISNUMBER(SEARCH('02_대상물건입력'!$B$6,C907)),1,0)))</f>
        <v/>
      </c>
      <c r="M907">
        <f>IF(E907="","",IF('02_대상물건입력'!$B$8="",0,IF(ISNUMBER(SEARCH('02_대상물건입력'!$B$8,E907)),1,0)))</f>
        <v/>
      </c>
      <c r="N907">
        <f>IF(B907="","",IF(B907="담보",1,0))</f>
        <v/>
      </c>
      <c r="O907">
        <f>IFERROR(ABS(G907-'02_대상물건입력'!$B$11)/'02_대상물건입력'!$B$11,"")</f>
        <v/>
      </c>
      <c r="P907">
        <f>IFERROR(ABS('01_설정'!$B$4-H907),"")</f>
        <v/>
      </c>
      <c r="Q907">
        <f>IFERROR(ABS(YEAR(J907)-YEAR('02_대상물건입력'!$B$14)),"")</f>
        <v/>
      </c>
      <c r="R907">
        <f>IF(AND(G907&gt;0,H907&gt;0,I907&gt;0,N907=1,IF('01_설정'!$B$10=1,K907=1,TRUE()),O907&lt;='01_설정'!$B$5,P907&lt;='01_설정'!$B$7,Q907&lt;='01_설정'!$B$8),"Y","")</f>
        <v/>
      </c>
      <c r="S907">
        <f>IF(R907&lt;&gt;"Y","",MAX(0,(1-O907/'01_설정'!$B$5))*'01_설정'!$B$14+MAX(0,(1-P907/'01_설정'!$B$7))*'01_설정'!$B$16+MAX(0,(1-Q907/'01_설정'!$B$8))*'01_설정'!$B$17+L907*'01_설정'!$B$11+M907*'01_설정'!$B$12+N907*50)</f>
        <v/>
      </c>
      <c r="T907">
        <f>IF(S907="","",1+COUNTIFS($S$31:$S$1030,"&gt;"&amp;S907)+COUNTIFS($S$31:S907,S907)-1)</f>
        <v/>
      </c>
    </row>
    <row r="908" hidden="1" ht="16.5" customHeight="1">
      <c r="A908">
        <f>IF(COUNTA('05_KAPA'!$A879:$AO879)=0,"",881)</f>
        <v/>
      </c>
      <c r="B908">
        <f>IF($A908="","",INDEX('05_KAPA'!$B:$B,$A908))</f>
        <v/>
      </c>
      <c r="C908">
        <f>IF($A908="","",INDEX('05_KAPA'!$F:$F,$A908))</f>
        <v/>
      </c>
      <c r="D908">
        <f>IF($A908="","",INDEX('05_KAPA'!$H:$H,$A908))</f>
        <v/>
      </c>
      <c r="E908">
        <f>IF($A908="","",INDEX('05_KAPA'!$K:$K,$A908))</f>
        <v/>
      </c>
      <c r="F908">
        <f>IF($A908="","",INDEX('05_KAPA'!$L:$L,$A908))</f>
        <v/>
      </c>
      <c r="G908">
        <f>IF($A908="","",INDEX('05_KAPA'!$I:$I,$A908))</f>
        <v/>
      </c>
      <c r="H908" s="202">
        <f>IF($A908="","",INDEX('05_KAPA'!$P:$P,$A908))</f>
        <v/>
      </c>
      <c r="I908" s="118">
        <f>IF($A908="","",INDEX('05_KAPA'!$O:$O,$A908))</f>
        <v/>
      </c>
      <c r="J908" s="202">
        <f>IF($A908="","",IFERROR(DATE(LEFT(TEXT(INDEX('05_KAPA'!$T:$T,$A908),"0"),4),MID(TEXT(INDEX('05_KAPA'!$T:$T,$A908),"0"),5,2),RIGHT(TEXT(INDEX('05_KAPA'!$T:$T,$A908),"0"),2)),""))</f>
        <v/>
      </c>
      <c r="K908">
        <f>IF(C908="","",IF('02_대상물건입력'!$B$5="",1,IF(ISNUMBER(SEARCH('02_대상물건입력'!$B$5,C908)),1,0)))</f>
        <v/>
      </c>
      <c r="L908">
        <f>IF(C908="","",IF('02_대상물건입력'!$B$6="",1,IF(ISNUMBER(SEARCH('02_대상물건입력'!$B$6,C908)),1,0)))</f>
        <v/>
      </c>
      <c r="M908">
        <f>IF(E908="","",IF('02_대상물건입력'!$B$8="",0,IF(ISNUMBER(SEARCH('02_대상물건입력'!$B$8,E908)),1,0)))</f>
        <v/>
      </c>
      <c r="N908">
        <f>IF(B908="","",IF(B908="담보",1,0))</f>
        <v/>
      </c>
      <c r="O908">
        <f>IFERROR(ABS(G908-'02_대상물건입력'!$B$11)/'02_대상물건입력'!$B$11,"")</f>
        <v/>
      </c>
      <c r="P908">
        <f>IFERROR(ABS('01_설정'!$B$4-H908),"")</f>
        <v/>
      </c>
      <c r="Q908">
        <f>IFERROR(ABS(YEAR(J908)-YEAR('02_대상물건입력'!$B$14)),"")</f>
        <v/>
      </c>
      <c r="R908">
        <f>IF(AND(G908&gt;0,H908&gt;0,I908&gt;0,N908=1,IF('01_설정'!$B$10=1,K908=1,TRUE()),O908&lt;='01_설정'!$B$5,P908&lt;='01_설정'!$B$7,Q908&lt;='01_설정'!$B$8),"Y","")</f>
        <v/>
      </c>
      <c r="S908">
        <f>IF(R908&lt;&gt;"Y","",MAX(0,(1-O908/'01_설정'!$B$5))*'01_설정'!$B$14+MAX(0,(1-P908/'01_설정'!$B$7))*'01_설정'!$B$16+MAX(0,(1-Q908/'01_설정'!$B$8))*'01_설정'!$B$17+L908*'01_설정'!$B$11+M908*'01_설정'!$B$12+N908*50)</f>
        <v/>
      </c>
      <c r="T908">
        <f>IF(S908="","",1+COUNTIFS($S$31:$S$1030,"&gt;"&amp;S908)+COUNTIFS($S$31:S908,S908)-1)</f>
        <v/>
      </c>
    </row>
    <row r="909" hidden="1" ht="16.5" customHeight="1">
      <c r="A909">
        <f>IF(COUNTA('05_KAPA'!$A880:$AO880)=0,"",882)</f>
        <v/>
      </c>
      <c r="B909">
        <f>IF($A909="","",INDEX('05_KAPA'!$B:$B,$A909))</f>
        <v/>
      </c>
      <c r="C909">
        <f>IF($A909="","",INDEX('05_KAPA'!$F:$F,$A909))</f>
        <v/>
      </c>
      <c r="D909">
        <f>IF($A909="","",INDEX('05_KAPA'!$H:$H,$A909))</f>
        <v/>
      </c>
      <c r="E909">
        <f>IF($A909="","",INDEX('05_KAPA'!$K:$K,$A909))</f>
        <v/>
      </c>
      <c r="F909">
        <f>IF($A909="","",INDEX('05_KAPA'!$L:$L,$A909))</f>
        <v/>
      </c>
      <c r="G909">
        <f>IF($A909="","",INDEX('05_KAPA'!$I:$I,$A909))</f>
        <v/>
      </c>
      <c r="H909" s="202">
        <f>IF($A909="","",INDEX('05_KAPA'!$P:$P,$A909))</f>
        <v/>
      </c>
      <c r="I909" s="118">
        <f>IF($A909="","",INDEX('05_KAPA'!$O:$O,$A909))</f>
        <v/>
      </c>
      <c r="J909" s="202">
        <f>IF($A909="","",IFERROR(DATE(LEFT(TEXT(INDEX('05_KAPA'!$T:$T,$A909),"0"),4),MID(TEXT(INDEX('05_KAPA'!$T:$T,$A909),"0"),5,2),RIGHT(TEXT(INDEX('05_KAPA'!$T:$T,$A909),"0"),2)),""))</f>
        <v/>
      </c>
      <c r="K909">
        <f>IF(C909="","",IF('02_대상물건입력'!$B$5="",1,IF(ISNUMBER(SEARCH('02_대상물건입력'!$B$5,C909)),1,0)))</f>
        <v/>
      </c>
      <c r="L909">
        <f>IF(C909="","",IF('02_대상물건입력'!$B$6="",1,IF(ISNUMBER(SEARCH('02_대상물건입력'!$B$6,C909)),1,0)))</f>
        <v/>
      </c>
      <c r="M909">
        <f>IF(E909="","",IF('02_대상물건입력'!$B$8="",0,IF(ISNUMBER(SEARCH('02_대상물건입력'!$B$8,E909)),1,0)))</f>
        <v/>
      </c>
      <c r="N909">
        <f>IF(B909="","",IF(B909="담보",1,0))</f>
        <v/>
      </c>
      <c r="O909">
        <f>IFERROR(ABS(G909-'02_대상물건입력'!$B$11)/'02_대상물건입력'!$B$11,"")</f>
        <v/>
      </c>
      <c r="P909">
        <f>IFERROR(ABS('01_설정'!$B$4-H909),"")</f>
        <v/>
      </c>
      <c r="Q909">
        <f>IFERROR(ABS(YEAR(J909)-YEAR('02_대상물건입력'!$B$14)),"")</f>
        <v/>
      </c>
      <c r="R909">
        <f>IF(AND(G909&gt;0,H909&gt;0,I909&gt;0,N909=1,IF('01_설정'!$B$10=1,K909=1,TRUE()),O909&lt;='01_설정'!$B$5,P909&lt;='01_설정'!$B$7,Q909&lt;='01_설정'!$B$8),"Y","")</f>
        <v/>
      </c>
      <c r="S909">
        <f>IF(R909&lt;&gt;"Y","",MAX(0,(1-O909/'01_설정'!$B$5))*'01_설정'!$B$14+MAX(0,(1-P909/'01_설정'!$B$7))*'01_설정'!$B$16+MAX(0,(1-Q909/'01_설정'!$B$8))*'01_설정'!$B$17+L909*'01_설정'!$B$11+M909*'01_설정'!$B$12+N909*50)</f>
        <v/>
      </c>
      <c r="T909">
        <f>IF(S909="","",1+COUNTIFS($S$31:$S$1030,"&gt;"&amp;S909)+COUNTIFS($S$31:S909,S909)-1)</f>
        <v/>
      </c>
    </row>
    <row r="910" hidden="1" ht="16.5" customHeight="1">
      <c r="A910">
        <f>IF(COUNTA('05_KAPA'!$A881:$AO881)=0,"",883)</f>
        <v/>
      </c>
      <c r="B910">
        <f>IF($A910="","",INDEX('05_KAPA'!$B:$B,$A910))</f>
        <v/>
      </c>
      <c r="C910">
        <f>IF($A910="","",INDEX('05_KAPA'!$F:$F,$A910))</f>
        <v/>
      </c>
      <c r="D910">
        <f>IF($A910="","",INDEX('05_KAPA'!$H:$H,$A910))</f>
        <v/>
      </c>
      <c r="E910">
        <f>IF($A910="","",INDEX('05_KAPA'!$K:$K,$A910))</f>
        <v/>
      </c>
      <c r="F910">
        <f>IF($A910="","",INDEX('05_KAPA'!$L:$L,$A910))</f>
        <v/>
      </c>
      <c r="G910">
        <f>IF($A910="","",INDEX('05_KAPA'!$I:$I,$A910))</f>
        <v/>
      </c>
      <c r="H910" s="202">
        <f>IF($A910="","",INDEX('05_KAPA'!$P:$P,$A910))</f>
        <v/>
      </c>
      <c r="I910" s="118">
        <f>IF($A910="","",INDEX('05_KAPA'!$O:$O,$A910))</f>
        <v/>
      </c>
      <c r="J910" s="202">
        <f>IF($A910="","",IFERROR(DATE(LEFT(TEXT(INDEX('05_KAPA'!$T:$T,$A910),"0"),4),MID(TEXT(INDEX('05_KAPA'!$T:$T,$A910),"0"),5,2),RIGHT(TEXT(INDEX('05_KAPA'!$T:$T,$A910),"0"),2)),""))</f>
        <v/>
      </c>
      <c r="K910">
        <f>IF(C910="","",IF('02_대상물건입력'!$B$5="",1,IF(ISNUMBER(SEARCH('02_대상물건입력'!$B$5,C910)),1,0)))</f>
        <v/>
      </c>
      <c r="L910">
        <f>IF(C910="","",IF('02_대상물건입력'!$B$6="",1,IF(ISNUMBER(SEARCH('02_대상물건입력'!$B$6,C910)),1,0)))</f>
        <v/>
      </c>
      <c r="M910">
        <f>IF(E910="","",IF('02_대상물건입력'!$B$8="",0,IF(ISNUMBER(SEARCH('02_대상물건입력'!$B$8,E910)),1,0)))</f>
        <v/>
      </c>
      <c r="N910">
        <f>IF(B910="","",IF(B910="담보",1,0))</f>
        <v/>
      </c>
      <c r="O910">
        <f>IFERROR(ABS(G910-'02_대상물건입력'!$B$11)/'02_대상물건입력'!$B$11,"")</f>
        <v/>
      </c>
      <c r="P910">
        <f>IFERROR(ABS('01_설정'!$B$4-H910),"")</f>
        <v/>
      </c>
      <c r="Q910">
        <f>IFERROR(ABS(YEAR(J910)-YEAR('02_대상물건입력'!$B$14)),"")</f>
        <v/>
      </c>
      <c r="R910">
        <f>IF(AND(G910&gt;0,H910&gt;0,I910&gt;0,N910=1,IF('01_설정'!$B$10=1,K910=1,TRUE()),O910&lt;='01_설정'!$B$5,P910&lt;='01_설정'!$B$7,Q910&lt;='01_설정'!$B$8),"Y","")</f>
        <v/>
      </c>
      <c r="S910">
        <f>IF(R910&lt;&gt;"Y","",MAX(0,(1-O910/'01_설정'!$B$5))*'01_설정'!$B$14+MAX(0,(1-P910/'01_설정'!$B$7))*'01_설정'!$B$16+MAX(0,(1-Q910/'01_설정'!$B$8))*'01_설정'!$B$17+L910*'01_설정'!$B$11+M910*'01_설정'!$B$12+N910*50)</f>
        <v/>
      </c>
      <c r="T910">
        <f>IF(S910="","",1+COUNTIFS($S$31:$S$1030,"&gt;"&amp;S910)+COUNTIFS($S$31:S910,S910)-1)</f>
        <v/>
      </c>
    </row>
    <row r="911" hidden="1" ht="16.5" customHeight="1">
      <c r="A911">
        <f>IF(COUNTA('05_KAPA'!$A882:$AO882)=0,"",884)</f>
        <v/>
      </c>
      <c r="B911">
        <f>IF($A911="","",INDEX('05_KAPA'!$B:$B,$A911))</f>
        <v/>
      </c>
      <c r="C911">
        <f>IF($A911="","",INDEX('05_KAPA'!$F:$F,$A911))</f>
        <v/>
      </c>
      <c r="D911">
        <f>IF($A911="","",INDEX('05_KAPA'!$H:$H,$A911))</f>
        <v/>
      </c>
      <c r="E911">
        <f>IF($A911="","",INDEX('05_KAPA'!$K:$K,$A911))</f>
        <v/>
      </c>
      <c r="F911">
        <f>IF($A911="","",INDEX('05_KAPA'!$L:$L,$A911))</f>
        <v/>
      </c>
      <c r="G911">
        <f>IF($A911="","",INDEX('05_KAPA'!$I:$I,$A911))</f>
        <v/>
      </c>
      <c r="H911" s="202">
        <f>IF($A911="","",INDEX('05_KAPA'!$P:$P,$A911))</f>
        <v/>
      </c>
      <c r="I911" s="118">
        <f>IF($A911="","",INDEX('05_KAPA'!$O:$O,$A911))</f>
        <v/>
      </c>
      <c r="J911" s="202">
        <f>IF($A911="","",IFERROR(DATE(LEFT(TEXT(INDEX('05_KAPA'!$T:$T,$A911),"0"),4),MID(TEXT(INDEX('05_KAPA'!$T:$T,$A911),"0"),5,2),RIGHT(TEXT(INDEX('05_KAPA'!$T:$T,$A911),"0"),2)),""))</f>
        <v/>
      </c>
      <c r="K911">
        <f>IF(C911="","",IF('02_대상물건입력'!$B$5="",1,IF(ISNUMBER(SEARCH('02_대상물건입력'!$B$5,C911)),1,0)))</f>
        <v/>
      </c>
      <c r="L911">
        <f>IF(C911="","",IF('02_대상물건입력'!$B$6="",1,IF(ISNUMBER(SEARCH('02_대상물건입력'!$B$6,C911)),1,0)))</f>
        <v/>
      </c>
      <c r="M911">
        <f>IF(E911="","",IF('02_대상물건입력'!$B$8="",0,IF(ISNUMBER(SEARCH('02_대상물건입력'!$B$8,E911)),1,0)))</f>
        <v/>
      </c>
      <c r="N911">
        <f>IF(B911="","",IF(B911="담보",1,0))</f>
        <v/>
      </c>
      <c r="O911">
        <f>IFERROR(ABS(G911-'02_대상물건입력'!$B$11)/'02_대상물건입력'!$B$11,"")</f>
        <v/>
      </c>
      <c r="P911">
        <f>IFERROR(ABS('01_설정'!$B$4-H911),"")</f>
        <v/>
      </c>
      <c r="Q911">
        <f>IFERROR(ABS(YEAR(J911)-YEAR('02_대상물건입력'!$B$14)),"")</f>
        <v/>
      </c>
      <c r="R911">
        <f>IF(AND(G911&gt;0,H911&gt;0,I911&gt;0,N911=1,IF('01_설정'!$B$10=1,K911=1,TRUE()),O911&lt;='01_설정'!$B$5,P911&lt;='01_설정'!$B$7,Q911&lt;='01_설정'!$B$8),"Y","")</f>
        <v/>
      </c>
      <c r="S911">
        <f>IF(R911&lt;&gt;"Y","",MAX(0,(1-O911/'01_설정'!$B$5))*'01_설정'!$B$14+MAX(0,(1-P911/'01_설정'!$B$7))*'01_설정'!$B$16+MAX(0,(1-Q911/'01_설정'!$B$8))*'01_설정'!$B$17+L911*'01_설정'!$B$11+M911*'01_설정'!$B$12+N911*50)</f>
        <v/>
      </c>
      <c r="T911">
        <f>IF(S911="","",1+COUNTIFS($S$31:$S$1030,"&gt;"&amp;S911)+COUNTIFS($S$31:S911,S911)-1)</f>
        <v/>
      </c>
    </row>
    <row r="912" hidden="1" ht="16.5" customHeight="1">
      <c r="A912">
        <f>IF(COUNTA('05_KAPA'!$A883:$AO883)=0,"",885)</f>
        <v/>
      </c>
      <c r="B912">
        <f>IF($A912="","",INDEX('05_KAPA'!$B:$B,$A912))</f>
        <v/>
      </c>
      <c r="C912">
        <f>IF($A912="","",INDEX('05_KAPA'!$F:$F,$A912))</f>
        <v/>
      </c>
      <c r="D912">
        <f>IF($A912="","",INDEX('05_KAPA'!$H:$H,$A912))</f>
        <v/>
      </c>
      <c r="E912">
        <f>IF($A912="","",INDEX('05_KAPA'!$K:$K,$A912))</f>
        <v/>
      </c>
      <c r="F912">
        <f>IF($A912="","",INDEX('05_KAPA'!$L:$L,$A912))</f>
        <v/>
      </c>
      <c r="G912">
        <f>IF($A912="","",INDEX('05_KAPA'!$I:$I,$A912))</f>
        <v/>
      </c>
      <c r="H912" s="202">
        <f>IF($A912="","",INDEX('05_KAPA'!$P:$P,$A912))</f>
        <v/>
      </c>
      <c r="I912" s="118">
        <f>IF($A912="","",INDEX('05_KAPA'!$O:$O,$A912))</f>
        <v/>
      </c>
      <c r="J912" s="202">
        <f>IF($A912="","",IFERROR(DATE(LEFT(TEXT(INDEX('05_KAPA'!$T:$T,$A912),"0"),4),MID(TEXT(INDEX('05_KAPA'!$T:$T,$A912),"0"),5,2),RIGHT(TEXT(INDEX('05_KAPA'!$T:$T,$A912),"0"),2)),""))</f>
        <v/>
      </c>
      <c r="K912">
        <f>IF(C912="","",IF('02_대상물건입력'!$B$5="",1,IF(ISNUMBER(SEARCH('02_대상물건입력'!$B$5,C912)),1,0)))</f>
        <v/>
      </c>
      <c r="L912">
        <f>IF(C912="","",IF('02_대상물건입력'!$B$6="",1,IF(ISNUMBER(SEARCH('02_대상물건입력'!$B$6,C912)),1,0)))</f>
        <v/>
      </c>
      <c r="M912">
        <f>IF(E912="","",IF('02_대상물건입력'!$B$8="",0,IF(ISNUMBER(SEARCH('02_대상물건입력'!$B$8,E912)),1,0)))</f>
        <v/>
      </c>
      <c r="N912">
        <f>IF(B912="","",IF(B912="담보",1,0))</f>
        <v/>
      </c>
      <c r="O912">
        <f>IFERROR(ABS(G912-'02_대상물건입력'!$B$11)/'02_대상물건입력'!$B$11,"")</f>
        <v/>
      </c>
      <c r="P912">
        <f>IFERROR(ABS('01_설정'!$B$4-H912),"")</f>
        <v/>
      </c>
      <c r="Q912">
        <f>IFERROR(ABS(YEAR(J912)-YEAR('02_대상물건입력'!$B$14)),"")</f>
        <v/>
      </c>
      <c r="R912">
        <f>IF(AND(G912&gt;0,H912&gt;0,I912&gt;0,N912=1,IF('01_설정'!$B$10=1,K912=1,TRUE()),O912&lt;='01_설정'!$B$5,P912&lt;='01_설정'!$B$7,Q912&lt;='01_설정'!$B$8),"Y","")</f>
        <v/>
      </c>
      <c r="S912">
        <f>IF(R912&lt;&gt;"Y","",MAX(0,(1-O912/'01_설정'!$B$5))*'01_설정'!$B$14+MAX(0,(1-P912/'01_설정'!$B$7))*'01_설정'!$B$16+MAX(0,(1-Q912/'01_설정'!$B$8))*'01_설정'!$B$17+L912*'01_설정'!$B$11+M912*'01_설정'!$B$12+N912*50)</f>
        <v/>
      </c>
      <c r="T912">
        <f>IF(S912="","",1+COUNTIFS($S$31:$S$1030,"&gt;"&amp;S912)+COUNTIFS($S$31:S912,S912)-1)</f>
        <v/>
      </c>
    </row>
    <row r="913" hidden="1" ht="16.5" customHeight="1">
      <c r="A913">
        <f>IF(COUNTA('05_KAPA'!$A884:$AO884)=0,"",886)</f>
        <v/>
      </c>
      <c r="B913">
        <f>IF($A913="","",INDEX('05_KAPA'!$B:$B,$A913))</f>
        <v/>
      </c>
      <c r="C913">
        <f>IF($A913="","",INDEX('05_KAPA'!$F:$F,$A913))</f>
        <v/>
      </c>
      <c r="D913">
        <f>IF($A913="","",INDEX('05_KAPA'!$H:$H,$A913))</f>
        <v/>
      </c>
      <c r="E913">
        <f>IF($A913="","",INDEX('05_KAPA'!$K:$K,$A913))</f>
        <v/>
      </c>
      <c r="F913">
        <f>IF($A913="","",INDEX('05_KAPA'!$L:$L,$A913))</f>
        <v/>
      </c>
      <c r="G913">
        <f>IF($A913="","",INDEX('05_KAPA'!$I:$I,$A913))</f>
        <v/>
      </c>
      <c r="H913" s="202">
        <f>IF($A913="","",INDEX('05_KAPA'!$P:$P,$A913))</f>
        <v/>
      </c>
      <c r="I913" s="118">
        <f>IF($A913="","",INDEX('05_KAPA'!$O:$O,$A913))</f>
        <v/>
      </c>
      <c r="J913" s="202">
        <f>IF($A913="","",IFERROR(DATE(LEFT(TEXT(INDEX('05_KAPA'!$T:$T,$A913),"0"),4),MID(TEXT(INDEX('05_KAPA'!$T:$T,$A913),"0"),5,2),RIGHT(TEXT(INDEX('05_KAPA'!$T:$T,$A913),"0"),2)),""))</f>
        <v/>
      </c>
      <c r="K913">
        <f>IF(C913="","",IF('02_대상물건입력'!$B$5="",1,IF(ISNUMBER(SEARCH('02_대상물건입력'!$B$5,C913)),1,0)))</f>
        <v/>
      </c>
      <c r="L913">
        <f>IF(C913="","",IF('02_대상물건입력'!$B$6="",1,IF(ISNUMBER(SEARCH('02_대상물건입력'!$B$6,C913)),1,0)))</f>
        <v/>
      </c>
      <c r="M913">
        <f>IF(E913="","",IF('02_대상물건입력'!$B$8="",0,IF(ISNUMBER(SEARCH('02_대상물건입력'!$B$8,E913)),1,0)))</f>
        <v/>
      </c>
      <c r="N913">
        <f>IF(B913="","",IF(B913="담보",1,0))</f>
        <v/>
      </c>
      <c r="O913">
        <f>IFERROR(ABS(G913-'02_대상물건입력'!$B$11)/'02_대상물건입력'!$B$11,"")</f>
        <v/>
      </c>
      <c r="P913">
        <f>IFERROR(ABS('01_설정'!$B$4-H913),"")</f>
        <v/>
      </c>
      <c r="Q913">
        <f>IFERROR(ABS(YEAR(J913)-YEAR('02_대상물건입력'!$B$14)),"")</f>
        <v/>
      </c>
      <c r="R913">
        <f>IF(AND(G913&gt;0,H913&gt;0,I913&gt;0,N913=1,IF('01_설정'!$B$10=1,K913=1,TRUE()),O913&lt;='01_설정'!$B$5,P913&lt;='01_설정'!$B$7,Q913&lt;='01_설정'!$B$8),"Y","")</f>
        <v/>
      </c>
      <c r="S913">
        <f>IF(R913&lt;&gt;"Y","",MAX(0,(1-O913/'01_설정'!$B$5))*'01_설정'!$B$14+MAX(0,(1-P913/'01_설정'!$B$7))*'01_설정'!$B$16+MAX(0,(1-Q913/'01_설정'!$B$8))*'01_설정'!$B$17+L913*'01_설정'!$B$11+M913*'01_설정'!$B$12+N913*50)</f>
        <v/>
      </c>
      <c r="T913">
        <f>IF(S913="","",1+COUNTIFS($S$31:$S$1030,"&gt;"&amp;S913)+COUNTIFS($S$31:S913,S913)-1)</f>
        <v/>
      </c>
    </row>
    <row r="914" hidden="1" ht="16.5" customHeight="1">
      <c r="A914">
        <f>IF(COUNTA('05_KAPA'!$A885:$AO885)=0,"",887)</f>
        <v/>
      </c>
      <c r="B914">
        <f>IF($A914="","",INDEX('05_KAPA'!$B:$B,$A914))</f>
        <v/>
      </c>
      <c r="C914">
        <f>IF($A914="","",INDEX('05_KAPA'!$F:$F,$A914))</f>
        <v/>
      </c>
      <c r="D914">
        <f>IF($A914="","",INDEX('05_KAPA'!$H:$H,$A914))</f>
        <v/>
      </c>
      <c r="E914">
        <f>IF($A914="","",INDEX('05_KAPA'!$K:$K,$A914))</f>
        <v/>
      </c>
      <c r="F914">
        <f>IF($A914="","",INDEX('05_KAPA'!$L:$L,$A914))</f>
        <v/>
      </c>
      <c r="G914">
        <f>IF($A914="","",INDEX('05_KAPA'!$I:$I,$A914))</f>
        <v/>
      </c>
      <c r="H914" s="202">
        <f>IF($A914="","",INDEX('05_KAPA'!$P:$P,$A914))</f>
        <v/>
      </c>
      <c r="I914" s="118">
        <f>IF($A914="","",INDEX('05_KAPA'!$O:$O,$A914))</f>
        <v/>
      </c>
      <c r="J914" s="202">
        <f>IF($A914="","",IFERROR(DATE(LEFT(TEXT(INDEX('05_KAPA'!$T:$T,$A914),"0"),4),MID(TEXT(INDEX('05_KAPA'!$T:$T,$A914),"0"),5,2),RIGHT(TEXT(INDEX('05_KAPA'!$T:$T,$A914),"0"),2)),""))</f>
        <v/>
      </c>
      <c r="K914">
        <f>IF(C914="","",IF('02_대상물건입력'!$B$5="",1,IF(ISNUMBER(SEARCH('02_대상물건입력'!$B$5,C914)),1,0)))</f>
        <v/>
      </c>
      <c r="L914">
        <f>IF(C914="","",IF('02_대상물건입력'!$B$6="",1,IF(ISNUMBER(SEARCH('02_대상물건입력'!$B$6,C914)),1,0)))</f>
        <v/>
      </c>
      <c r="M914">
        <f>IF(E914="","",IF('02_대상물건입력'!$B$8="",0,IF(ISNUMBER(SEARCH('02_대상물건입력'!$B$8,E914)),1,0)))</f>
        <v/>
      </c>
      <c r="N914">
        <f>IF(B914="","",IF(B914="담보",1,0))</f>
        <v/>
      </c>
      <c r="O914">
        <f>IFERROR(ABS(G914-'02_대상물건입력'!$B$11)/'02_대상물건입력'!$B$11,"")</f>
        <v/>
      </c>
      <c r="P914">
        <f>IFERROR(ABS('01_설정'!$B$4-H914),"")</f>
        <v/>
      </c>
      <c r="Q914">
        <f>IFERROR(ABS(YEAR(J914)-YEAR('02_대상물건입력'!$B$14)),"")</f>
        <v/>
      </c>
      <c r="R914">
        <f>IF(AND(G914&gt;0,H914&gt;0,I914&gt;0,N914=1,IF('01_설정'!$B$10=1,K914=1,TRUE()),O914&lt;='01_설정'!$B$5,P914&lt;='01_설정'!$B$7,Q914&lt;='01_설정'!$B$8),"Y","")</f>
        <v/>
      </c>
      <c r="S914">
        <f>IF(R914&lt;&gt;"Y","",MAX(0,(1-O914/'01_설정'!$B$5))*'01_설정'!$B$14+MAX(0,(1-P914/'01_설정'!$B$7))*'01_설정'!$B$16+MAX(0,(1-Q914/'01_설정'!$B$8))*'01_설정'!$B$17+L914*'01_설정'!$B$11+M914*'01_설정'!$B$12+N914*50)</f>
        <v/>
      </c>
      <c r="T914">
        <f>IF(S914="","",1+COUNTIFS($S$31:$S$1030,"&gt;"&amp;S914)+COUNTIFS($S$31:S914,S914)-1)</f>
        <v/>
      </c>
    </row>
    <row r="915" hidden="1" ht="16.5" customHeight="1">
      <c r="A915">
        <f>IF(COUNTA('05_KAPA'!$A886:$AO886)=0,"",888)</f>
        <v/>
      </c>
      <c r="B915">
        <f>IF($A915="","",INDEX('05_KAPA'!$B:$B,$A915))</f>
        <v/>
      </c>
      <c r="C915">
        <f>IF($A915="","",INDEX('05_KAPA'!$F:$F,$A915))</f>
        <v/>
      </c>
      <c r="D915">
        <f>IF($A915="","",INDEX('05_KAPA'!$H:$H,$A915))</f>
        <v/>
      </c>
      <c r="E915">
        <f>IF($A915="","",INDEX('05_KAPA'!$K:$K,$A915))</f>
        <v/>
      </c>
      <c r="F915">
        <f>IF($A915="","",INDEX('05_KAPA'!$L:$L,$A915))</f>
        <v/>
      </c>
      <c r="G915">
        <f>IF($A915="","",INDEX('05_KAPA'!$I:$I,$A915))</f>
        <v/>
      </c>
      <c r="H915" s="202">
        <f>IF($A915="","",INDEX('05_KAPA'!$P:$P,$A915))</f>
        <v/>
      </c>
      <c r="I915" s="118">
        <f>IF($A915="","",INDEX('05_KAPA'!$O:$O,$A915))</f>
        <v/>
      </c>
      <c r="J915" s="202">
        <f>IF($A915="","",IFERROR(DATE(LEFT(TEXT(INDEX('05_KAPA'!$T:$T,$A915),"0"),4),MID(TEXT(INDEX('05_KAPA'!$T:$T,$A915),"0"),5,2),RIGHT(TEXT(INDEX('05_KAPA'!$T:$T,$A915),"0"),2)),""))</f>
        <v/>
      </c>
      <c r="K915">
        <f>IF(C915="","",IF('02_대상물건입력'!$B$5="",1,IF(ISNUMBER(SEARCH('02_대상물건입력'!$B$5,C915)),1,0)))</f>
        <v/>
      </c>
      <c r="L915">
        <f>IF(C915="","",IF('02_대상물건입력'!$B$6="",1,IF(ISNUMBER(SEARCH('02_대상물건입력'!$B$6,C915)),1,0)))</f>
        <v/>
      </c>
      <c r="M915">
        <f>IF(E915="","",IF('02_대상물건입력'!$B$8="",0,IF(ISNUMBER(SEARCH('02_대상물건입력'!$B$8,E915)),1,0)))</f>
        <v/>
      </c>
      <c r="N915">
        <f>IF(B915="","",IF(B915="담보",1,0))</f>
        <v/>
      </c>
      <c r="O915">
        <f>IFERROR(ABS(G915-'02_대상물건입력'!$B$11)/'02_대상물건입력'!$B$11,"")</f>
        <v/>
      </c>
      <c r="P915">
        <f>IFERROR(ABS('01_설정'!$B$4-H915),"")</f>
        <v/>
      </c>
      <c r="Q915">
        <f>IFERROR(ABS(YEAR(J915)-YEAR('02_대상물건입력'!$B$14)),"")</f>
        <v/>
      </c>
      <c r="R915">
        <f>IF(AND(G915&gt;0,H915&gt;0,I915&gt;0,N915=1,IF('01_설정'!$B$10=1,K915=1,TRUE()),O915&lt;='01_설정'!$B$5,P915&lt;='01_설정'!$B$7,Q915&lt;='01_설정'!$B$8),"Y","")</f>
        <v/>
      </c>
      <c r="S915">
        <f>IF(R915&lt;&gt;"Y","",MAX(0,(1-O915/'01_설정'!$B$5))*'01_설정'!$B$14+MAX(0,(1-P915/'01_설정'!$B$7))*'01_설정'!$B$16+MAX(0,(1-Q915/'01_설정'!$B$8))*'01_설정'!$B$17+L915*'01_설정'!$B$11+M915*'01_설정'!$B$12+N915*50)</f>
        <v/>
      </c>
      <c r="T915">
        <f>IF(S915="","",1+COUNTIFS($S$31:$S$1030,"&gt;"&amp;S915)+COUNTIFS($S$31:S915,S915)-1)</f>
        <v/>
      </c>
    </row>
    <row r="916" hidden="1" ht="16.5" customHeight="1">
      <c r="A916">
        <f>IF(COUNTA('05_KAPA'!$A887:$AO887)=0,"",889)</f>
        <v/>
      </c>
      <c r="B916">
        <f>IF($A916="","",INDEX('05_KAPA'!$B:$B,$A916))</f>
        <v/>
      </c>
      <c r="C916">
        <f>IF($A916="","",INDEX('05_KAPA'!$F:$F,$A916))</f>
        <v/>
      </c>
      <c r="D916">
        <f>IF($A916="","",INDEX('05_KAPA'!$H:$H,$A916))</f>
        <v/>
      </c>
      <c r="E916">
        <f>IF($A916="","",INDEX('05_KAPA'!$K:$K,$A916))</f>
        <v/>
      </c>
      <c r="F916">
        <f>IF($A916="","",INDEX('05_KAPA'!$L:$L,$A916))</f>
        <v/>
      </c>
      <c r="G916">
        <f>IF($A916="","",INDEX('05_KAPA'!$I:$I,$A916))</f>
        <v/>
      </c>
      <c r="H916" s="202">
        <f>IF($A916="","",INDEX('05_KAPA'!$P:$P,$A916))</f>
        <v/>
      </c>
      <c r="I916" s="118">
        <f>IF($A916="","",INDEX('05_KAPA'!$O:$O,$A916))</f>
        <v/>
      </c>
      <c r="J916" s="202">
        <f>IF($A916="","",IFERROR(DATE(LEFT(TEXT(INDEX('05_KAPA'!$T:$T,$A916),"0"),4),MID(TEXT(INDEX('05_KAPA'!$T:$T,$A916),"0"),5,2),RIGHT(TEXT(INDEX('05_KAPA'!$T:$T,$A916),"0"),2)),""))</f>
        <v/>
      </c>
      <c r="K916">
        <f>IF(C916="","",IF('02_대상물건입력'!$B$5="",1,IF(ISNUMBER(SEARCH('02_대상물건입력'!$B$5,C916)),1,0)))</f>
        <v/>
      </c>
      <c r="L916">
        <f>IF(C916="","",IF('02_대상물건입력'!$B$6="",1,IF(ISNUMBER(SEARCH('02_대상물건입력'!$B$6,C916)),1,0)))</f>
        <v/>
      </c>
      <c r="M916">
        <f>IF(E916="","",IF('02_대상물건입력'!$B$8="",0,IF(ISNUMBER(SEARCH('02_대상물건입력'!$B$8,E916)),1,0)))</f>
        <v/>
      </c>
      <c r="N916">
        <f>IF(B916="","",IF(B916="담보",1,0))</f>
        <v/>
      </c>
      <c r="O916">
        <f>IFERROR(ABS(G916-'02_대상물건입력'!$B$11)/'02_대상물건입력'!$B$11,"")</f>
        <v/>
      </c>
      <c r="P916">
        <f>IFERROR(ABS('01_설정'!$B$4-H916),"")</f>
        <v/>
      </c>
      <c r="Q916">
        <f>IFERROR(ABS(YEAR(J916)-YEAR('02_대상물건입력'!$B$14)),"")</f>
        <v/>
      </c>
      <c r="R916">
        <f>IF(AND(G916&gt;0,H916&gt;0,I916&gt;0,N916=1,IF('01_설정'!$B$10=1,K916=1,TRUE()),O916&lt;='01_설정'!$B$5,P916&lt;='01_설정'!$B$7,Q916&lt;='01_설정'!$B$8),"Y","")</f>
        <v/>
      </c>
      <c r="S916">
        <f>IF(R916&lt;&gt;"Y","",MAX(0,(1-O916/'01_설정'!$B$5))*'01_설정'!$B$14+MAX(0,(1-P916/'01_설정'!$B$7))*'01_설정'!$B$16+MAX(0,(1-Q916/'01_설정'!$B$8))*'01_설정'!$B$17+L916*'01_설정'!$B$11+M916*'01_설정'!$B$12+N916*50)</f>
        <v/>
      </c>
      <c r="T916">
        <f>IF(S916="","",1+COUNTIFS($S$31:$S$1030,"&gt;"&amp;S916)+COUNTIFS($S$31:S916,S916)-1)</f>
        <v/>
      </c>
    </row>
    <row r="917" hidden="1" ht="16.5" customHeight="1">
      <c r="A917">
        <f>IF(COUNTA('05_KAPA'!$A888:$AO888)=0,"",890)</f>
        <v/>
      </c>
      <c r="B917">
        <f>IF($A917="","",INDEX('05_KAPA'!$B:$B,$A917))</f>
        <v/>
      </c>
      <c r="C917">
        <f>IF($A917="","",INDEX('05_KAPA'!$F:$F,$A917))</f>
        <v/>
      </c>
      <c r="D917">
        <f>IF($A917="","",INDEX('05_KAPA'!$H:$H,$A917))</f>
        <v/>
      </c>
      <c r="E917">
        <f>IF($A917="","",INDEX('05_KAPA'!$K:$K,$A917))</f>
        <v/>
      </c>
      <c r="F917">
        <f>IF($A917="","",INDEX('05_KAPA'!$L:$L,$A917))</f>
        <v/>
      </c>
      <c r="G917">
        <f>IF($A917="","",INDEX('05_KAPA'!$I:$I,$A917))</f>
        <v/>
      </c>
      <c r="H917" s="202">
        <f>IF($A917="","",INDEX('05_KAPA'!$P:$P,$A917))</f>
        <v/>
      </c>
      <c r="I917" s="118">
        <f>IF($A917="","",INDEX('05_KAPA'!$O:$O,$A917))</f>
        <v/>
      </c>
      <c r="J917" s="202">
        <f>IF($A917="","",IFERROR(DATE(LEFT(TEXT(INDEX('05_KAPA'!$T:$T,$A917),"0"),4),MID(TEXT(INDEX('05_KAPA'!$T:$T,$A917),"0"),5,2),RIGHT(TEXT(INDEX('05_KAPA'!$T:$T,$A917),"0"),2)),""))</f>
        <v/>
      </c>
      <c r="K917">
        <f>IF(C917="","",IF('02_대상물건입력'!$B$5="",1,IF(ISNUMBER(SEARCH('02_대상물건입력'!$B$5,C917)),1,0)))</f>
        <v/>
      </c>
      <c r="L917">
        <f>IF(C917="","",IF('02_대상물건입력'!$B$6="",1,IF(ISNUMBER(SEARCH('02_대상물건입력'!$B$6,C917)),1,0)))</f>
        <v/>
      </c>
      <c r="M917">
        <f>IF(E917="","",IF('02_대상물건입력'!$B$8="",0,IF(ISNUMBER(SEARCH('02_대상물건입력'!$B$8,E917)),1,0)))</f>
        <v/>
      </c>
      <c r="N917">
        <f>IF(B917="","",IF(B917="담보",1,0))</f>
        <v/>
      </c>
      <c r="O917">
        <f>IFERROR(ABS(G917-'02_대상물건입력'!$B$11)/'02_대상물건입력'!$B$11,"")</f>
        <v/>
      </c>
      <c r="P917">
        <f>IFERROR(ABS('01_설정'!$B$4-H917),"")</f>
        <v/>
      </c>
      <c r="Q917">
        <f>IFERROR(ABS(YEAR(J917)-YEAR('02_대상물건입력'!$B$14)),"")</f>
        <v/>
      </c>
      <c r="R917">
        <f>IF(AND(G917&gt;0,H917&gt;0,I917&gt;0,N917=1,IF('01_설정'!$B$10=1,K917=1,TRUE()),O917&lt;='01_설정'!$B$5,P917&lt;='01_설정'!$B$7,Q917&lt;='01_설정'!$B$8),"Y","")</f>
        <v/>
      </c>
      <c r="S917">
        <f>IF(R917&lt;&gt;"Y","",MAX(0,(1-O917/'01_설정'!$B$5))*'01_설정'!$B$14+MAX(0,(1-P917/'01_설정'!$B$7))*'01_설정'!$B$16+MAX(0,(1-Q917/'01_설정'!$B$8))*'01_설정'!$B$17+L917*'01_설정'!$B$11+M917*'01_설정'!$B$12+N917*50)</f>
        <v/>
      </c>
      <c r="T917">
        <f>IF(S917="","",1+COUNTIFS($S$31:$S$1030,"&gt;"&amp;S917)+COUNTIFS($S$31:S917,S917)-1)</f>
        <v/>
      </c>
    </row>
    <row r="918" hidden="1" ht="16.5" customHeight="1">
      <c r="A918">
        <f>IF(COUNTA('05_KAPA'!$A889:$AO889)=0,"",891)</f>
        <v/>
      </c>
      <c r="B918">
        <f>IF($A918="","",INDEX('05_KAPA'!$B:$B,$A918))</f>
        <v/>
      </c>
      <c r="C918">
        <f>IF($A918="","",INDEX('05_KAPA'!$F:$F,$A918))</f>
        <v/>
      </c>
      <c r="D918">
        <f>IF($A918="","",INDEX('05_KAPA'!$H:$H,$A918))</f>
        <v/>
      </c>
      <c r="E918">
        <f>IF($A918="","",INDEX('05_KAPA'!$K:$K,$A918))</f>
        <v/>
      </c>
      <c r="F918">
        <f>IF($A918="","",INDEX('05_KAPA'!$L:$L,$A918))</f>
        <v/>
      </c>
      <c r="G918">
        <f>IF($A918="","",INDEX('05_KAPA'!$I:$I,$A918))</f>
        <v/>
      </c>
      <c r="H918" s="202">
        <f>IF($A918="","",INDEX('05_KAPA'!$P:$P,$A918))</f>
        <v/>
      </c>
      <c r="I918" s="118">
        <f>IF($A918="","",INDEX('05_KAPA'!$O:$O,$A918))</f>
        <v/>
      </c>
      <c r="J918" s="202">
        <f>IF($A918="","",IFERROR(DATE(LEFT(TEXT(INDEX('05_KAPA'!$T:$T,$A918),"0"),4),MID(TEXT(INDEX('05_KAPA'!$T:$T,$A918),"0"),5,2),RIGHT(TEXT(INDEX('05_KAPA'!$T:$T,$A918),"0"),2)),""))</f>
        <v/>
      </c>
      <c r="K918">
        <f>IF(C918="","",IF('02_대상물건입력'!$B$5="",1,IF(ISNUMBER(SEARCH('02_대상물건입력'!$B$5,C918)),1,0)))</f>
        <v/>
      </c>
      <c r="L918">
        <f>IF(C918="","",IF('02_대상물건입력'!$B$6="",1,IF(ISNUMBER(SEARCH('02_대상물건입력'!$B$6,C918)),1,0)))</f>
        <v/>
      </c>
      <c r="M918">
        <f>IF(E918="","",IF('02_대상물건입력'!$B$8="",0,IF(ISNUMBER(SEARCH('02_대상물건입력'!$B$8,E918)),1,0)))</f>
        <v/>
      </c>
      <c r="N918">
        <f>IF(B918="","",IF(B918="담보",1,0))</f>
        <v/>
      </c>
      <c r="O918">
        <f>IFERROR(ABS(G918-'02_대상물건입력'!$B$11)/'02_대상물건입력'!$B$11,"")</f>
        <v/>
      </c>
      <c r="P918">
        <f>IFERROR(ABS('01_설정'!$B$4-H918),"")</f>
        <v/>
      </c>
      <c r="Q918">
        <f>IFERROR(ABS(YEAR(J918)-YEAR('02_대상물건입력'!$B$14)),"")</f>
        <v/>
      </c>
      <c r="R918">
        <f>IF(AND(G918&gt;0,H918&gt;0,I918&gt;0,N918=1,IF('01_설정'!$B$10=1,K918=1,TRUE()),O918&lt;='01_설정'!$B$5,P918&lt;='01_설정'!$B$7,Q918&lt;='01_설정'!$B$8),"Y","")</f>
        <v/>
      </c>
      <c r="S918">
        <f>IF(R918&lt;&gt;"Y","",MAX(0,(1-O918/'01_설정'!$B$5))*'01_설정'!$B$14+MAX(0,(1-P918/'01_설정'!$B$7))*'01_설정'!$B$16+MAX(0,(1-Q918/'01_설정'!$B$8))*'01_설정'!$B$17+L918*'01_설정'!$B$11+M918*'01_설정'!$B$12+N918*50)</f>
        <v/>
      </c>
      <c r="T918">
        <f>IF(S918="","",1+COUNTIFS($S$31:$S$1030,"&gt;"&amp;S918)+COUNTIFS($S$31:S918,S918)-1)</f>
        <v/>
      </c>
    </row>
    <row r="919" hidden="1" ht="16.5" customHeight="1">
      <c r="A919">
        <f>IF(COUNTA('05_KAPA'!$A890:$AO890)=0,"",892)</f>
        <v/>
      </c>
      <c r="B919">
        <f>IF($A919="","",INDEX('05_KAPA'!$B:$B,$A919))</f>
        <v/>
      </c>
      <c r="C919">
        <f>IF($A919="","",INDEX('05_KAPA'!$F:$F,$A919))</f>
        <v/>
      </c>
      <c r="D919">
        <f>IF($A919="","",INDEX('05_KAPA'!$H:$H,$A919))</f>
        <v/>
      </c>
      <c r="E919">
        <f>IF($A919="","",INDEX('05_KAPA'!$K:$K,$A919))</f>
        <v/>
      </c>
      <c r="F919">
        <f>IF($A919="","",INDEX('05_KAPA'!$L:$L,$A919))</f>
        <v/>
      </c>
      <c r="G919">
        <f>IF($A919="","",INDEX('05_KAPA'!$I:$I,$A919))</f>
        <v/>
      </c>
      <c r="H919" s="202">
        <f>IF($A919="","",INDEX('05_KAPA'!$P:$P,$A919))</f>
        <v/>
      </c>
      <c r="I919" s="118">
        <f>IF($A919="","",INDEX('05_KAPA'!$O:$O,$A919))</f>
        <v/>
      </c>
      <c r="J919" s="202">
        <f>IF($A919="","",IFERROR(DATE(LEFT(TEXT(INDEX('05_KAPA'!$T:$T,$A919),"0"),4),MID(TEXT(INDEX('05_KAPA'!$T:$T,$A919),"0"),5,2),RIGHT(TEXT(INDEX('05_KAPA'!$T:$T,$A919),"0"),2)),""))</f>
        <v/>
      </c>
      <c r="K919">
        <f>IF(C919="","",IF('02_대상물건입력'!$B$5="",1,IF(ISNUMBER(SEARCH('02_대상물건입력'!$B$5,C919)),1,0)))</f>
        <v/>
      </c>
      <c r="L919">
        <f>IF(C919="","",IF('02_대상물건입력'!$B$6="",1,IF(ISNUMBER(SEARCH('02_대상물건입력'!$B$6,C919)),1,0)))</f>
        <v/>
      </c>
      <c r="M919">
        <f>IF(E919="","",IF('02_대상물건입력'!$B$8="",0,IF(ISNUMBER(SEARCH('02_대상물건입력'!$B$8,E919)),1,0)))</f>
        <v/>
      </c>
      <c r="N919">
        <f>IF(B919="","",IF(B919="담보",1,0))</f>
        <v/>
      </c>
      <c r="O919">
        <f>IFERROR(ABS(G919-'02_대상물건입력'!$B$11)/'02_대상물건입력'!$B$11,"")</f>
        <v/>
      </c>
      <c r="P919">
        <f>IFERROR(ABS('01_설정'!$B$4-H919),"")</f>
        <v/>
      </c>
      <c r="Q919">
        <f>IFERROR(ABS(YEAR(J919)-YEAR('02_대상물건입력'!$B$14)),"")</f>
        <v/>
      </c>
      <c r="R919">
        <f>IF(AND(G919&gt;0,H919&gt;0,I919&gt;0,N919=1,IF('01_설정'!$B$10=1,K919=1,TRUE()),O919&lt;='01_설정'!$B$5,P919&lt;='01_설정'!$B$7,Q919&lt;='01_설정'!$B$8),"Y","")</f>
        <v/>
      </c>
      <c r="S919">
        <f>IF(R919&lt;&gt;"Y","",MAX(0,(1-O919/'01_설정'!$B$5))*'01_설정'!$B$14+MAX(0,(1-P919/'01_설정'!$B$7))*'01_설정'!$B$16+MAX(0,(1-Q919/'01_설정'!$B$8))*'01_설정'!$B$17+L919*'01_설정'!$B$11+M919*'01_설정'!$B$12+N919*50)</f>
        <v/>
      </c>
      <c r="T919">
        <f>IF(S919="","",1+COUNTIFS($S$31:$S$1030,"&gt;"&amp;S919)+COUNTIFS($S$31:S919,S919)-1)</f>
        <v/>
      </c>
    </row>
    <row r="920" hidden="1" ht="16.5" customHeight="1">
      <c r="A920">
        <f>IF(COUNTA('05_KAPA'!$A891:$AO891)=0,"",893)</f>
        <v/>
      </c>
      <c r="B920">
        <f>IF($A920="","",INDEX('05_KAPA'!$B:$B,$A920))</f>
        <v/>
      </c>
      <c r="C920">
        <f>IF($A920="","",INDEX('05_KAPA'!$F:$F,$A920))</f>
        <v/>
      </c>
      <c r="D920">
        <f>IF($A920="","",INDEX('05_KAPA'!$H:$H,$A920))</f>
        <v/>
      </c>
      <c r="E920">
        <f>IF($A920="","",INDEX('05_KAPA'!$K:$K,$A920))</f>
        <v/>
      </c>
      <c r="F920">
        <f>IF($A920="","",INDEX('05_KAPA'!$L:$L,$A920))</f>
        <v/>
      </c>
      <c r="G920">
        <f>IF($A920="","",INDEX('05_KAPA'!$I:$I,$A920))</f>
        <v/>
      </c>
      <c r="H920" s="202">
        <f>IF($A920="","",INDEX('05_KAPA'!$P:$P,$A920))</f>
        <v/>
      </c>
      <c r="I920" s="118">
        <f>IF($A920="","",INDEX('05_KAPA'!$O:$O,$A920))</f>
        <v/>
      </c>
      <c r="J920" s="202">
        <f>IF($A920="","",IFERROR(DATE(LEFT(TEXT(INDEX('05_KAPA'!$T:$T,$A920),"0"),4),MID(TEXT(INDEX('05_KAPA'!$T:$T,$A920),"0"),5,2),RIGHT(TEXT(INDEX('05_KAPA'!$T:$T,$A920),"0"),2)),""))</f>
        <v/>
      </c>
      <c r="K920">
        <f>IF(C920="","",IF('02_대상물건입력'!$B$5="",1,IF(ISNUMBER(SEARCH('02_대상물건입력'!$B$5,C920)),1,0)))</f>
        <v/>
      </c>
      <c r="L920">
        <f>IF(C920="","",IF('02_대상물건입력'!$B$6="",1,IF(ISNUMBER(SEARCH('02_대상물건입력'!$B$6,C920)),1,0)))</f>
        <v/>
      </c>
      <c r="M920">
        <f>IF(E920="","",IF('02_대상물건입력'!$B$8="",0,IF(ISNUMBER(SEARCH('02_대상물건입력'!$B$8,E920)),1,0)))</f>
        <v/>
      </c>
      <c r="N920">
        <f>IF(B920="","",IF(B920="담보",1,0))</f>
        <v/>
      </c>
      <c r="O920">
        <f>IFERROR(ABS(G920-'02_대상물건입력'!$B$11)/'02_대상물건입력'!$B$11,"")</f>
        <v/>
      </c>
      <c r="P920">
        <f>IFERROR(ABS('01_설정'!$B$4-H920),"")</f>
        <v/>
      </c>
      <c r="Q920">
        <f>IFERROR(ABS(YEAR(J920)-YEAR('02_대상물건입력'!$B$14)),"")</f>
        <v/>
      </c>
      <c r="R920">
        <f>IF(AND(G920&gt;0,H920&gt;0,I920&gt;0,N920=1,IF('01_설정'!$B$10=1,K920=1,TRUE()),O920&lt;='01_설정'!$B$5,P920&lt;='01_설정'!$B$7,Q920&lt;='01_설정'!$B$8),"Y","")</f>
        <v/>
      </c>
      <c r="S920">
        <f>IF(R920&lt;&gt;"Y","",MAX(0,(1-O920/'01_설정'!$B$5))*'01_설정'!$B$14+MAX(0,(1-P920/'01_설정'!$B$7))*'01_설정'!$B$16+MAX(0,(1-Q920/'01_설정'!$B$8))*'01_설정'!$B$17+L920*'01_설정'!$B$11+M920*'01_설정'!$B$12+N920*50)</f>
        <v/>
      </c>
      <c r="T920">
        <f>IF(S920="","",1+COUNTIFS($S$31:$S$1030,"&gt;"&amp;S920)+COUNTIFS($S$31:S920,S920)-1)</f>
        <v/>
      </c>
    </row>
    <row r="921" hidden="1" ht="16.5" customHeight="1">
      <c r="A921">
        <f>IF(COUNTA('05_KAPA'!$A892:$AO892)=0,"",894)</f>
        <v/>
      </c>
      <c r="B921">
        <f>IF($A921="","",INDEX('05_KAPA'!$B:$B,$A921))</f>
        <v/>
      </c>
      <c r="C921">
        <f>IF($A921="","",INDEX('05_KAPA'!$F:$F,$A921))</f>
        <v/>
      </c>
      <c r="D921">
        <f>IF($A921="","",INDEX('05_KAPA'!$H:$H,$A921))</f>
        <v/>
      </c>
      <c r="E921">
        <f>IF($A921="","",INDEX('05_KAPA'!$K:$K,$A921))</f>
        <v/>
      </c>
      <c r="F921">
        <f>IF($A921="","",INDEX('05_KAPA'!$L:$L,$A921))</f>
        <v/>
      </c>
      <c r="G921">
        <f>IF($A921="","",INDEX('05_KAPA'!$I:$I,$A921))</f>
        <v/>
      </c>
      <c r="H921" s="202">
        <f>IF($A921="","",INDEX('05_KAPA'!$P:$P,$A921))</f>
        <v/>
      </c>
      <c r="I921" s="118">
        <f>IF($A921="","",INDEX('05_KAPA'!$O:$O,$A921))</f>
        <v/>
      </c>
      <c r="J921" s="202">
        <f>IF($A921="","",IFERROR(DATE(LEFT(TEXT(INDEX('05_KAPA'!$T:$T,$A921),"0"),4),MID(TEXT(INDEX('05_KAPA'!$T:$T,$A921),"0"),5,2),RIGHT(TEXT(INDEX('05_KAPA'!$T:$T,$A921),"0"),2)),""))</f>
        <v/>
      </c>
      <c r="K921">
        <f>IF(C921="","",IF('02_대상물건입력'!$B$5="",1,IF(ISNUMBER(SEARCH('02_대상물건입력'!$B$5,C921)),1,0)))</f>
        <v/>
      </c>
      <c r="L921">
        <f>IF(C921="","",IF('02_대상물건입력'!$B$6="",1,IF(ISNUMBER(SEARCH('02_대상물건입력'!$B$6,C921)),1,0)))</f>
        <v/>
      </c>
      <c r="M921">
        <f>IF(E921="","",IF('02_대상물건입력'!$B$8="",0,IF(ISNUMBER(SEARCH('02_대상물건입력'!$B$8,E921)),1,0)))</f>
        <v/>
      </c>
      <c r="N921">
        <f>IF(B921="","",IF(B921="담보",1,0))</f>
        <v/>
      </c>
      <c r="O921">
        <f>IFERROR(ABS(G921-'02_대상물건입력'!$B$11)/'02_대상물건입력'!$B$11,"")</f>
        <v/>
      </c>
      <c r="P921">
        <f>IFERROR(ABS('01_설정'!$B$4-H921),"")</f>
        <v/>
      </c>
      <c r="Q921">
        <f>IFERROR(ABS(YEAR(J921)-YEAR('02_대상물건입력'!$B$14)),"")</f>
        <v/>
      </c>
      <c r="R921">
        <f>IF(AND(G921&gt;0,H921&gt;0,I921&gt;0,N921=1,IF('01_설정'!$B$10=1,K921=1,TRUE()),O921&lt;='01_설정'!$B$5,P921&lt;='01_설정'!$B$7,Q921&lt;='01_설정'!$B$8),"Y","")</f>
        <v/>
      </c>
      <c r="S921">
        <f>IF(R921&lt;&gt;"Y","",MAX(0,(1-O921/'01_설정'!$B$5))*'01_설정'!$B$14+MAX(0,(1-P921/'01_설정'!$B$7))*'01_설정'!$B$16+MAX(0,(1-Q921/'01_설정'!$B$8))*'01_설정'!$B$17+L921*'01_설정'!$B$11+M921*'01_설정'!$B$12+N921*50)</f>
        <v/>
      </c>
      <c r="T921">
        <f>IF(S921="","",1+COUNTIFS($S$31:$S$1030,"&gt;"&amp;S921)+COUNTIFS($S$31:S921,S921)-1)</f>
        <v/>
      </c>
    </row>
    <row r="922" hidden="1" ht="16.5" customHeight="1">
      <c r="A922">
        <f>IF(COUNTA('05_KAPA'!$A893:$AO893)=0,"",895)</f>
        <v/>
      </c>
      <c r="B922">
        <f>IF($A922="","",INDEX('05_KAPA'!$B:$B,$A922))</f>
        <v/>
      </c>
      <c r="C922">
        <f>IF($A922="","",INDEX('05_KAPA'!$F:$F,$A922))</f>
        <v/>
      </c>
      <c r="D922">
        <f>IF($A922="","",INDEX('05_KAPA'!$H:$H,$A922))</f>
        <v/>
      </c>
      <c r="E922">
        <f>IF($A922="","",INDEX('05_KAPA'!$K:$K,$A922))</f>
        <v/>
      </c>
      <c r="F922">
        <f>IF($A922="","",INDEX('05_KAPA'!$L:$L,$A922))</f>
        <v/>
      </c>
      <c r="G922">
        <f>IF($A922="","",INDEX('05_KAPA'!$I:$I,$A922))</f>
        <v/>
      </c>
      <c r="H922" s="202">
        <f>IF($A922="","",INDEX('05_KAPA'!$P:$P,$A922))</f>
        <v/>
      </c>
      <c r="I922" s="118">
        <f>IF($A922="","",INDEX('05_KAPA'!$O:$O,$A922))</f>
        <v/>
      </c>
      <c r="J922" s="202">
        <f>IF($A922="","",IFERROR(DATE(LEFT(TEXT(INDEX('05_KAPA'!$T:$T,$A922),"0"),4),MID(TEXT(INDEX('05_KAPA'!$T:$T,$A922),"0"),5,2),RIGHT(TEXT(INDEX('05_KAPA'!$T:$T,$A922),"0"),2)),""))</f>
        <v/>
      </c>
      <c r="K922">
        <f>IF(C922="","",IF('02_대상물건입력'!$B$5="",1,IF(ISNUMBER(SEARCH('02_대상물건입력'!$B$5,C922)),1,0)))</f>
        <v/>
      </c>
      <c r="L922">
        <f>IF(C922="","",IF('02_대상물건입력'!$B$6="",1,IF(ISNUMBER(SEARCH('02_대상물건입력'!$B$6,C922)),1,0)))</f>
        <v/>
      </c>
      <c r="M922">
        <f>IF(E922="","",IF('02_대상물건입력'!$B$8="",0,IF(ISNUMBER(SEARCH('02_대상물건입력'!$B$8,E922)),1,0)))</f>
        <v/>
      </c>
      <c r="N922">
        <f>IF(B922="","",IF(B922="담보",1,0))</f>
        <v/>
      </c>
      <c r="O922">
        <f>IFERROR(ABS(G922-'02_대상물건입력'!$B$11)/'02_대상물건입력'!$B$11,"")</f>
        <v/>
      </c>
      <c r="P922">
        <f>IFERROR(ABS('01_설정'!$B$4-H922),"")</f>
        <v/>
      </c>
      <c r="Q922">
        <f>IFERROR(ABS(YEAR(J922)-YEAR('02_대상물건입력'!$B$14)),"")</f>
        <v/>
      </c>
      <c r="R922">
        <f>IF(AND(G922&gt;0,H922&gt;0,I922&gt;0,N922=1,IF('01_설정'!$B$10=1,K922=1,TRUE()),O922&lt;='01_설정'!$B$5,P922&lt;='01_설정'!$B$7,Q922&lt;='01_설정'!$B$8),"Y","")</f>
        <v/>
      </c>
      <c r="S922">
        <f>IF(R922&lt;&gt;"Y","",MAX(0,(1-O922/'01_설정'!$B$5))*'01_설정'!$B$14+MAX(0,(1-P922/'01_설정'!$B$7))*'01_설정'!$B$16+MAX(0,(1-Q922/'01_설정'!$B$8))*'01_설정'!$B$17+L922*'01_설정'!$B$11+M922*'01_설정'!$B$12+N922*50)</f>
        <v/>
      </c>
      <c r="T922">
        <f>IF(S922="","",1+COUNTIFS($S$31:$S$1030,"&gt;"&amp;S922)+COUNTIFS($S$31:S922,S922)-1)</f>
        <v/>
      </c>
    </row>
    <row r="923" hidden="1" ht="16.5" customHeight="1">
      <c r="A923">
        <f>IF(COUNTA('05_KAPA'!$A894:$AO894)=0,"",896)</f>
        <v/>
      </c>
      <c r="B923">
        <f>IF($A923="","",INDEX('05_KAPA'!$B:$B,$A923))</f>
        <v/>
      </c>
      <c r="C923">
        <f>IF($A923="","",INDEX('05_KAPA'!$F:$F,$A923))</f>
        <v/>
      </c>
      <c r="D923">
        <f>IF($A923="","",INDEX('05_KAPA'!$H:$H,$A923))</f>
        <v/>
      </c>
      <c r="E923">
        <f>IF($A923="","",INDEX('05_KAPA'!$K:$K,$A923))</f>
        <v/>
      </c>
      <c r="F923">
        <f>IF($A923="","",INDEX('05_KAPA'!$L:$L,$A923))</f>
        <v/>
      </c>
      <c r="G923">
        <f>IF($A923="","",INDEX('05_KAPA'!$I:$I,$A923))</f>
        <v/>
      </c>
      <c r="H923" s="202">
        <f>IF($A923="","",INDEX('05_KAPA'!$P:$P,$A923))</f>
        <v/>
      </c>
      <c r="I923" s="118">
        <f>IF($A923="","",INDEX('05_KAPA'!$O:$O,$A923))</f>
        <v/>
      </c>
      <c r="J923" s="202">
        <f>IF($A923="","",IFERROR(DATE(LEFT(TEXT(INDEX('05_KAPA'!$T:$T,$A923),"0"),4),MID(TEXT(INDEX('05_KAPA'!$T:$T,$A923),"0"),5,2),RIGHT(TEXT(INDEX('05_KAPA'!$T:$T,$A923),"0"),2)),""))</f>
        <v/>
      </c>
      <c r="K923">
        <f>IF(C923="","",IF('02_대상물건입력'!$B$5="",1,IF(ISNUMBER(SEARCH('02_대상물건입력'!$B$5,C923)),1,0)))</f>
        <v/>
      </c>
      <c r="L923">
        <f>IF(C923="","",IF('02_대상물건입력'!$B$6="",1,IF(ISNUMBER(SEARCH('02_대상물건입력'!$B$6,C923)),1,0)))</f>
        <v/>
      </c>
      <c r="M923">
        <f>IF(E923="","",IF('02_대상물건입력'!$B$8="",0,IF(ISNUMBER(SEARCH('02_대상물건입력'!$B$8,E923)),1,0)))</f>
        <v/>
      </c>
      <c r="N923">
        <f>IF(B923="","",IF(B923="담보",1,0))</f>
        <v/>
      </c>
      <c r="O923">
        <f>IFERROR(ABS(G923-'02_대상물건입력'!$B$11)/'02_대상물건입력'!$B$11,"")</f>
        <v/>
      </c>
      <c r="P923">
        <f>IFERROR(ABS('01_설정'!$B$4-H923),"")</f>
        <v/>
      </c>
      <c r="Q923">
        <f>IFERROR(ABS(YEAR(J923)-YEAR('02_대상물건입력'!$B$14)),"")</f>
        <v/>
      </c>
      <c r="R923">
        <f>IF(AND(G923&gt;0,H923&gt;0,I923&gt;0,N923=1,IF('01_설정'!$B$10=1,K923=1,TRUE()),O923&lt;='01_설정'!$B$5,P923&lt;='01_설정'!$B$7,Q923&lt;='01_설정'!$B$8),"Y","")</f>
        <v/>
      </c>
      <c r="S923">
        <f>IF(R923&lt;&gt;"Y","",MAX(0,(1-O923/'01_설정'!$B$5))*'01_설정'!$B$14+MAX(0,(1-P923/'01_설정'!$B$7))*'01_설정'!$B$16+MAX(0,(1-Q923/'01_설정'!$B$8))*'01_설정'!$B$17+L923*'01_설정'!$B$11+M923*'01_설정'!$B$12+N923*50)</f>
        <v/>
      </c>
      <c r="T923">
        <f>IF(S923="","",1+COUNTIFS($S$31:$S$1030,"&gt;"&amp;S923)+COUNTIFS($S$31:S923,S923)-1)</f>
        <v/>
      </c>
    </row>
    <row r="924" hidden="1" ht="16.5" customHeight="1">
      <c r="A924">
        <f>IF(COUNTA('05_KAPA'!$A895:$AO895)=0,"",897)</f>
        <v/>
      </c>
      <c r="B924">
        <f>IF($A924="","",INDEX('05_KAPA'!$B:$B,$A924))</f>
        <v/>
      </c>
      <c r="C924">
        <f>IF($A924="","",INDEX('05_KAPA'!$F:$F,$A924))</f>
        <v/>
      </c>
      <c r="D924">
        <f>IF($A924="","",INDEX('05_KAPA'!$H:$H,$A924))</f>
        <v/>
      </c>
      <c r="E924">
        <f>IF($A924="","",INDEX('05_KAPA'!$K:$K,$A924))</f>
        <v/>
      </c>
      <c r="F924">
        <f>IF($A924="","",INDEX('05_KAPA'!$L:$L,$A924))</f>
        <v/>
      </c>
      <c r="G924">
        <f>IF($A924="","",INDEX('05_KAPA'!$I:$I,$A924))</f>
        <v/>
      </c>
      <c r="H924" s="202">
        <f>IF($A924="","",INDEX('05_KAPA'!$P:$P,$A924))</f>
        <v/>
      </c>
      <c r="I924" s="118">
        <f>IF($A924="","",INDEX('05_KAPA'!$O:$O,$A924))</f>
        <v/>
      </c>
      <c r="J924" s="202">
        <f>IF($A924="","",IFERROR(DATE(LEFT(TEXT(INDEX('05_KAPA'!$T:$T,$A924),"0"),4),MID(TEXT(INDEX('05_KAPA'!$T:$T,$A924),"0"),5,2),RIGHT(TEXT(INDEX('05_KAPA'!$T:$T,$A924),"0"),2)),""))</f>
        <v/>
      </c>
      <c r="K924">
        <f>IF(C924="","",IF('02_대상물건입력'!$B$5="",1,IF(ISNUMBER(SEARCH('02_대상물건입력'!$B$5,C924)),1,0)))</f>
        <v/>
      </c>
      <c r="L924">
        <f>IF(C924="","",IF('02_대상물건입력'!$B$6="",1,IF(ISNUMBER(SEARCH('02_대상물건입력'!$B$6,C924)),1,0)))</f>
        <v/>
      </c>
      <c r="M924">
        <f>IF(E924="","",IF('02_대상물건입력'!$B$8="",0,IF(ISNUMBER(SEARCH('02_대상물건입력'!$B$8,E924)),1,0)))</f>
        <v/>
      </c>
      <c r="N924">
        <f>IF(B924="","",IF(B924="담보",1,0))</f>
        <v/>
      </c>
      <c r="O924">
        <f>IFERROR(ABS(G924-'02_대상물건입력'!$B$11)/'02_대상물건입력'!$B$11,"")</f>
        <v/>
      </c>
      <c r="P924">
        <f>IFERROR(ABS('01_설정'!$B$4-H924),"")</f>
        <v/>
      </c>
      <c r="Q924">
        <f>IFERROR(ABS(YEAR(J924)-YEAR('02_대상물건입력'!$B$14)),"")</f>
        <v/>
      </c>
      <c r="R924">
        <f>IF(AND(G924&gt;0,H924&gt;0,I924&gt;0,N924=1,IF('01_설정'!$B$10=1,K924=1,TRUE()),O924&lt;='01_설정'!$B$5,P924&lt;='01_설정'!$B$7,Q924&lt;='01_설정'!$B$8),"Y","")</f>
        <v/>
      </c>
      <c r="S924">
        <f>IF(R924&lt;&gt;"Y","",MAX(0,(1-O924/'01_설정'!$B$5))*'01_설정'!$B$14+MAX(0,(1-P924/'01_설정'!$B$7))*'01_설정'!$B$16+MAX(0,(1-Q924/'01_설정'!$B$8))*'01_설정'!$B$17+L924*'01_설정'!$B$11+M924*'01_설정'!$B$12+N924*50)</f>
        <v/>
      </c>
      <c r="T924">
        <f>IF(S924="","",1+COUNTIFS($S$31:$S$1030,"&gt;"&amp;S924)+COUNTIFS($S$31:S924,S924)-1)</f>
        <v/>
      </c>
    </row>
    <row r="925" hidden="1" ht="16.5" customHeight="1">
      <c r="A925">
        <f>IF(COUNTA('05_KAPA'!$A896:$AO896)=0,"",898)</f>
        <v/>
      </c>
      <c r="B925">
        <f>IF($A925="","",INDEX('05_KAPA'!$B:$B,$A925))</f>
        <v/>
      </c>
      <c r="C925">
        <f>IF($A925="","",INDEX('05_KAPA'!$F:$F,$A925))</f>
        <v/>
      </c>
      <c r="D925">
        <f>IF($A925="","",INDEX('05_KAPA'!$H:$H,$A925))</f>
        <v/>
      </c>
      <c r="E925">
        <f>IF($A925="","",INDEX('05_KAPA'!$K:$K,$A925))</f>
        <v/>
      </c>
      <c r="F925">
        <f>IF($A925="","",INDEX('05_KAPA'!$L:$L,$A925))</f>
        <v/>
      </c>
      <c r="G925">
        <f>IF($A925="","",INDEX('05_KAPA'!$I:$I,$A925))</f>
        <v/>
      </c>
      <c r="H925" s="202">
        <f>IF($A925="","",INDEX('05_KAPA'!$P:$P,$A925))</f>
        <v/>
      </c>
      <c r="I925" s="118">
        <f>IF($A925="","",INDEX('05_KAPA'!$O:$O,$A925))</f>
        <v/>
      </c>
      <c r="J925" s="202">
        <f>IF($A925="","",IFERROR(DATE(LEFT(TEXT(INDEX('05_KAPA'!$T:$T,$A925),"0"),4),MID(TEXT(INDEX('05_KAPA'!$T:$T,$A925),"0"),5,2),RIGHT(TEXT(INDEX('05_KAPA'!$T:$T,$A925),"0"),2)),""))</f>
        <v/>
      </c>
      <c r="K925">
        <f>IF(C925="","",IF('02_대상물건입력'!$B$5="",1,IF(ISNUMBER(SEARCH('02_대상물건입력'!$B$5,C925)),1,0)))</f>
        <v/>
      </c>
      <c r="L925">
        <f>IF(C925="","",IF('02_대상물건입력'!$B$6="",1,IF(ISNUMBER(SEARCH('02_대상물건입력'!$B$6,C925)),1,0)))</f>
        <v/>
      </c>
      <c r="M925">
        <f>IF(E925="","",IF('02_대상물건입력'!$B$8="",0,IF(ISNUMBER(SEARCH('02_대상물건입력'!$B$8,E925)),1,0)))</f>
        <v/>
      </c>
      <c r="N925">
        <f>IF(B925="","",IF(B925="담보",1,0))</f>
        <v/>
      </c>
      <c r="O925">
        <f>IFERROR(ABS(G925-'02_대상물건입력'!$B$11)/'02_대상물건입력'!$B$11,"")</f>
        <v/>
      </c>
      <c r="P925">
        <f>IFERROR(ABS('01_설정'!$B$4-H925),"")</f>
        <v/>
      </c>
      <c r="Q925">
        <f>IFERROR(ABS(YEAR(J925)-YEAR('02_대상물건입력'!$B$14)),"")</f>
        <v/>
      </c>
      <c r="R925">
        <f>IF(AND(G925&gt;0,H925&gt;0,I925&gt;0,N925=1,IF('01_설정'!$B$10=1,K925=1,TRUE()),O925&lt;='01_설정'!$B$5,P925&lt;='01_설정'!$B$7,Q925&lt;='01_설정'!$B$8),"Y","")</f>
        <v/>
      </c>
      <c r="S925">
        <f>IF(R925&lt;&gt;"Y","",MAX(0,(1-O925/'01_설정'!$B$5))*'01_설정'!$B$14+MAX(0,(1-P925/'01_설정'!$B$7))*'01_설정'!$B$16+MAX(0,(1-Q925/'01_설정'!$B$8))*'01_설정'!$B$17+L925*'01_설정'!$B$11+M925*'01_설정'!$B$12+N925*50)</f>
        <v/>
      </c>
      <c r="T925">
        <f>IF(S925="","",1+COUNTIFS($S$31:$S$1030,"&gt;"&amp;S925)+COUNTIFS($S$31:S925,S925)-1)</f>
        <v/>
      </c>
    </row>
    <row r="926" hidden="1" ht="16.5" customHeight="1">
      <c r="A926">
        <f>IF(COUNTA('05_KAPA'!$A897:$AO897)=0,"",899)</f>
        <v/>
      </c>
      <c r="B926">
        <f>IF($A926="","",INDEX('05_KAPA'!$B:$B,$A926))</f>
        <v/>
      </c>
      <c r="C926">
        <f>IF($A926="","",INDEX('05_KAPA'!$F:$F,$A926))</f>
        <v/>
      </c>
      <c r="D926">
        <f>IF($A926="","",INDEX('05_KAPA'!$H:$H,$A926))</f>
        <v/>
      </c>
      <c r="E926">
        <f>IF($A926="","",INDEX('05_KAPA'!$K:$K,$A926))</f>
        <v/>
      </c>
      <c r="F926">
        <f>IF($A926="","",INDEX('05_KAPA'!$L:$L,$A926))</f>
        <v/>
      </c>
      <c r="G926">
        <f>IF($A926="","",INDEX('05_KAPA'!$I:$I,$A926))</f>
        <v/>
      </c>
      <c r="H926" s="202">
        <f>IF($A926="","",INDEX('05_KAPA'!$P:$P,$A926))</f>
        <v/>
      </c>
      <c r="I926" s="118">
        <f>IF($A926="","",INDEX('05_KAPA'!$O:$O,$A926))</f>
        <v/>
      </c>
      <c r="J926" s="202">
        <f>IF($A926="","",IFERROR(DATE(LEFT(TEXT(INDEX('05_KAPA'!$T:$T,$A926),"0"),4),MID(TEXT(INDEX('05_KAPA'!$T:$T,$A926),"0"),5,2),RIGHT(TEXT(INDEX('05_KAPA'!$T:$T,$A926),"0"),2)),""))</f>
        <v/>
      </c>
      <c r="K926">
        <f>IF(C926="","",IF('02_대상물건입력'!$B$5="",1,IF(ISNUMBER(SEARCH('02_대상물건입력'!$B$5,C926)),1,0)))</f>
        <v/>
      </c>
      <c r="L926">
        <f>IF(C926="","",IF('02_대상물건입력'!$B$6="",1,IF(ISNUMBER(SEARCH('02_대상물건입력'!$B$6,C926)),1,0)))</f>
        <v/>
      </c>
      <c r="M926">
        <f>IF(E926="","",IF('02_대상물건입력'!$B$8="",0,IF(ISNUMBER(SEARCH('02_대상물건입력'!$B$8,E926)),1,0)))</f>
        <v/>
      </c>
      <c r="N926">
        <f>IF(B926="","",IF(B926="담보",1,0))</f>
        <v/>
      </c>
      <c r="O926">
        <f>IFERROR(ABS(G926-'02_대상물건입력'!$B$11)/'02_대상물건입력'!$B$11,"")</f>
        <v/>
      </c>
      <c r="P926">
        <f>IFERROR(ABS('01_설정'!$B$4-H926),"")</f>
        <v/>
      </c>
      <c r="Q926">
        <f>IFERROR(ABS(YEAR(J926)-YEAR('02_대상물건입력'!$B$14)),"")</f>
        <v/>
      </c>
      <c r="R926">
        <f>IF(AND(G926&gt;0,H926&gt;0,I926&gt;0,N926=1,IF('01_설정'!$B$10=1,K926=1,TRUE()),O926&lt;='01_설정'!$B$5,P926&lt;='01_설정'!$B$7,Q926&lt;='01_설정'!$B$8),"Y","")</f>
        <v/>
      </c>
      <c r="S926">
        <f>IF(R926&lt;&gt;"Y","",MAX(0,(1-O926/'01_설정'!$B$5))*'01_설정'!$B$14+MAX(0,(1-P926/'01_설정'!$B$7))*'01_설정'!$B$16+MAX(0,(1-Q926/'01_설정'!$B$8))*'01_설정'!$B$17+L926*'01_설정'!$B$11+M926*'01_설정'!$B$12+N926*50)</f>
        <v/>
      </c>
      <c r="T926">
        <f>IF(S926="","",1+COUNTIFS($S$31:$S$1030,"&gt;"&amp;S926)+COUNTIFS($S$31:S926,S926)-1)</f>
        <v/>
      </c>
    </row>
    <row r="927" hidden="1" ht="16.5" customHeight="1">
      <c r="A927">
        <f>IF(COUNTA('05_KAPA'!$A898:$AO898)=0,"",900)</f>
        <v/>
      </c>
      <c r="B927">
        <f>IF($A927="","",INDEX('05_KAPA'!$B:$B,$A927))</f>
        <v/>
      </c>
      <c r="C927">
        <f>IF($A927="","",INDEX('05_KAPA'!$F:$F,$A927))</f>
        <v/>
      </c>
      <c r="D927">
        <f>IF($A927="","",INDEX('05_KAPA'!$H:$H,$A927))</f>
        <v/>
      </c>
      <c r="E927">
        <f>IF($A927="","",INDEX('05_KAPA'!$K:$K,$A927))</f>
        <v/>
      </c>
      <c r="F927">
        <f>IF($A927="","",INDEX('05_KAPA'!$L:$L,$A927))</f>
        <v/>
      </c>
      <c r="G927">
        <f>IF($A927="","",INDEX('05_KAPA'!$I:$I,$A927))</f>
        <v/>
      </c>
      <c r="H927" s="202">
        <f>IF($A927="","",INDEX('05_KAPA'!$P:$P,$A927))</f>
        <v/>
      </c>
      <c r="I927" s="118">
        <f>IF($A927="","",INDEX('05_KAPA'!$O:$O,$A927))</f>
        <v/>
      </c>
      <c r="J927" s="202">
        <f>IF($A927="","",IFERROR(DATE(LEFT(TEXT(INDEX('05_KAPA'!$T:$T,$A927),"0"),4),MID(TEXT(INDEX('05_KAPA'!$T:$T,$A927),"0"),5,2),RIGHT(TEXT(INDEX('05_KAPA'!$T:$T,$A927),"0"),2)),""))</f>
        <v/>
      </c>
      <c r="K927">
        <f>IF(C927="","",IF('02_대상물건입력'!$B$5="",1,IF(ISNUMBER(SEARCH('02_대상물건입력'!$B$5,C927)),1,0)))</f>
        <v/>
      </c>
      <c r="L927">
        <f>IF(C927="","",IF('02_대상물건입력'!$B$6="",1,IF(ISNUMBER(SEARCH('02_대상물건입력'!$B$6,C927)),1,0)))</f>
        <v/>
      </c>
      <c r="M927">
        <f>IF(E927="","",IF('02_대상물건입력'!$B$8="",0,IF(ISNUMBER(SEARCH('02_대상물건입력'!$B$8,E927)),1,0)))</f>
        <v/>
      </c>
      <c r="N927">
        <f>IF(B927="","",IF(B927="담보",1,0))</f>
        <v/>
      </c>
      <c r="O927">
        <f>IFERROR(ABS(G927-'02_대상물건입력'!$B$11)/'02_대상물건입력'!$B$11,"")</f>
        <v/>
      </c>
      <c r="P927">
        <f>IFERROR(ABS('01_설정'!$B$4-H927),"")</f>
        <v/>
      </c>
      <c r="Q927">
        <f>IFERROR(ABS(YEAR(J927)-YEAR('02_대상물건입력'!$B$14)),"")</f>
        <v/>
      </c>
      <c r="R927">
        <f>IF(AND(G927&gt;0,H927&gt;0,I927&gt;0,N927=1,IF('01_설정'!$B$10=1,K927=1,TRUE()),O927&lt;='01_설정'!$B$5,P927&lt;='01_설정'!$B$7,Q927&lt;='01_설정'!$B$8),"Y","")</f>
        <v/>
      </c>
      <c r="S927">
        <f>IF(R927&lt;&gt;"Y","",MAX(0,(1-O927/'01_설정'!$B$5))*'01_설정'!$B$14+MAX(0,(1-P927/'01_설정'!$B$7))*'01_설정'!$B$16+MAX(0,(1-Q927/'01_설정'!$B$8))*'01_설정'!$B$17+L927*'01_설정'!$B$11+M927*'01_설정'!$B$12+N927*50)</f>
        <v/>
      </c>
      <c r="T927">
        <f>IF(S927="","",1+COUNTIFS($S$31:$S$1030,"&gt;"&amp;S927)+COUNTIFS($S$31:S927,S927)-1)</f>
        <v/>
      </c>
    </row>
    <row r="928" hidden="1" ht="16.5" customHeight="1">
      <c r="A928">
        <f>IF(COUNTA('05_KAPA'!$A899:$AO899)=0,"",901)</f>
        <v/>
      </c>
      <c r="B928">
        <f>IF($A928="","",INDEX('05_KAPA'!$B:$B,$A928))</f>
        <v/>
      </c>
      <c r="C928">
        <f>IF($A928="","",INDEX('05_KAPA'!$F:$F,$A928))</f>
        <v/>
      </c>
      <c r="D928">
        <f>IF($A928="","",INDEX('05_KAPA'!$H:$H,$A928))</f>
        <v/>
      </c>
      <c r="E928">
        <f>IF($A928="","",INDEX('05_KAPA'!$K:$K,$A928))</f>
        <v/>
      </c>
      <c r="F928">
        <f>IF($A928="","",INDEX('05_KAPA'!$L:$L,$A928))</f>
        <v/>
      </c>
      <c r="G928">
        <f>IF($A928="","",INDEX('05_KAPA'!$I:$I,$A928))</f>
        <v/>
      </c>
      <c r="H928" s="202">
        <f>IF($A928="","",INDEX('05_KAPA'!$P:$P,$A928))</f>
        <v/>
      </c>
      <c r="I928" s="118">
        <f>IF($A928="","",INDEX('05_KAPA'!$O:$O,$A928))</f>
        <v/>
      </c>
      <c r="J928" s="202">
        <f>IF($A928="","",IFERROR(DATE(LEFT(TEXT(INDEX('05_KAPA'!$T:$T,$A928),"0"),4),MID(TEXT(INDEX('05_KAPA'!$T:$T,$A928),"0"),5,2),RIGHT(TEXT(INDEX('05_KAPA'!$T:$T,$A928),"0"),2)),""))</f>
        <v/>
      </c>
      <c r="K928">
        <f>IF(C928="","",IF('02_대상물건입력'!$B$5="",1,IF(ISNUMBER(SEARCH('02_대상물건입력'!$B$5,C928)),1,0)))</f>
        <v/>
      </c>
      <c r="L928">
        <f>IF(C928="","",IF('02_대상물건입력'!$B$6="",1,IF(ISNUMBER(SEARCH('02_대상물건입력'!$B$6,C928)),1,0)))</f>
        <v/>
      </c>
      <c r="M928">
        <f>IF(E928="","",IF('02_대상물건입력'!$B$8="",0,IF(ISNUMBER(SEARCH('02_대상물건입력'!$B$8,E928)),1,0)))</f>
        <v/>
      </c>
      <c r="N928">
        <f>IF(B928="","",IF(B928="담보",1,0))</f>
        <v/>
      </c>
      <c r="O928">
        <f>IFERROR(ABS(G928-'02_대상물건입력'!$B$11)/'02_대상물건입력'!$B$11,"")</f>
        <v/>
      </c>
      <c r="P928">
        <f>IFERROR(ABS('01_설정'!$B$4-H928),"")</f>
        <v/>
      </c>
      <c r="Q928">
        <f>IFERROR(ABS(YEAR(J928)-YEAR('02_대상물건입력'!$B$14)),"")</f>
        <v/>
      </c>
      <c r="R928">
        <f>IF(AND(G928&gt;0,H928&gt;0,I928&gt;0,N928=1,IF('01_설정'!$B$10=1,K928=1,TRUE()),O928&lt;='01_설정'!$B$5,P928&lt;='01_설정'!$B$7,Q928&lt;='01_설정'!$B$8),"Y","")</f>
        <v/>
      </c>
      <c r="S928">
        <f>IF(R928&lt;&gt;"Y","",MAX(0,(1-O928/'01_설정'!$B$5))*'01_설정'!$B$14+MAX(0,(1-P928/'01_설정'!$B$7))*'01_설정'!$B$16+MAX(0,(1-Q928/'01_설정'!$B$8))*'01_설정'!$B$17+L928*'01_설정'!$B$11+M928*'01_설정'!$B$12+N928*50)</f>
        <v/>
      </c>
      <c r="T928">
        <f>IF(S928="","",1+COUNTIFS($S$31:$S$1030,"&gt;"&amp;S928)+COUNTIFS($S$31:S928,S928)-1)</f>
        <v/>
      </c>
    </row>
    <row r="929" hidden="1" ht="16.5" customHeight="1">
      <c r="A929">
        <f>IF(COUNTA('05_KAPA'!$A900:$AO900)=0,"",902)</f>
        <v/>
      </c>
      <c r="B929">
        <f>IF($A929="","",INDEX('05_KAPA'!$B:$B,$A929))</f>
        <v/>
      </c>
      <c r="C929">
        <f>IF($A929="","",INDEX('05_KAPA'!$F:$F,$A929))</f>
        <v/>
      </c>
      <c r="D929">
        <f>IF($A929="","",INDEX('05_KAPA'!$H:$H,$A929))</f>
        <v/>
      </c>
      <c r="E929">
        <f>IF($A929="","",INDEX('05_KAPA'!$K:$K,$A929))</f>
        <v/>
      </c>
      <c r="F929">
        <f>IF($A929="","",INDEX('05_KAPA'!$L:$L,$A929))</f>
        <v/>
      </c>
      <c r="G929">
        <f>IF($A929="","",INDEX('05_KAPA'!$I:$I,$A929))</f>
        <v/>
      </c>
      <c r="H929" s="202">
        <f>IF($A929="","",INDEX('05_KAPA'!$P:$P,$A929))</f>
        <v/>
      </c>
      <c r="I929" s="118">
        <f>IF($A929="","",INDEX('05_KAPA'!$O:$O,$A929))</f>
        <v/>
      </c>
      <c r="J929" s="202">
        <f>IF($A929="","",IFERROR(DATE(LEFT(TEXT(INDEX('05_KAPA'!$T:$T,$A929),"0"),4),MID(TEXT(INDEX('05_KAPA'!$T:$T,$A929),"0"),5,2),RIGHT(TEXT(INDEX('05_KAPA'!$T:$T,$A929),"0"),2)),""))</f>
        <v/>
      </c>
      <c r="K929">
        <f>IF(C929="","",IF('02_대상물건입력'!$B$5="",1,IF(ISNUMBER(SEARCH('02_대상물건입력'!$B$5,C929)),1,0)))</f>
        <v/>
      </c>
      <c r="L929">
        <f>IF(C929="","",IF('02_대상물건입력'!$B$6="",1,IF(ISNUMBER(SEARCH('02_대상물건입력'!$B$6,C929)),1,0)))</f>
        <v/>
      </c>
      <c r="M929">
        <f>IF(E929="","",IF('02_대상물건입력'!$B$8="",0,IF(ISNUMBER(SEARCH('02_대상물건입력'!$B$8,E929)),1,0)))</f>
        <v/>
      </c>
      <c r="N929">
        <f>IF(B929="","",IF(B929="담보",1,0))</f>
        <v/>
      </c>
      <c r="O929">
        <f>IFERROR(ABS(G929-'02_대상물건입력'!$B$11)/'02_대상물건입력'!$B$11,"")</f>
        <v/>
      </c>
      <c r="P929">
        <f>IFERROR(ABS('01_설정'!$B$4-H929),"")</f>
        <v/>
      </c>
      <c r="Q929">
        <f>IFERROR(ABS(YEAR(J929)-YEAR('02_대상물건입력'!$B$14)),"")</f>
        <v/>
      </c>
      <c r="R929">
        <f>IF(AND(G929&gt;0,H929&gt;0,I929&gt;0,N929=1,IF('01_설정'!$B$10=1,K929=1,TRUE()),O929&lt;='01_설정'!$B$5,P929&lt;='01_설정'!$B$7,Q929&lt;='01_설정'!$B$8),"Y","")</f>
        <v/>
      </c>
      <c r="S929">
        <f>IF(R929&lt;&gt;"Y","",MAX(0,(1-O929/'01_설정'!$B$5))*'01_설정'!$B$14+MAX(0,(1-P929/'01_설정'!$B$7))*'01_설정'!$B$16+MAX(0,(1-Q929/'01_설정'!$B$8))*'01_설정'!$B$17+L929*'01_설정'!$B$11+M929*'01_설정'!$B$12+N929*50)</f>
        <v/>
      </c>
      <c r="T929">
        <f>IF(S929="","",1+COUNTIFS($S$31:$S$1030,"&gt;"&amp;S929)+COUNTIFS($S$31:S929,S929)-1)</f>
        <v/>
      </c>
    </row>
    <row r="930" hidden="1" ht="16.5" customHeight="1">
      <c r="A930">
        <f>IF(COUNTA('05_KAPA'!$A901:$AO901)=0,"",903)</f>
        <v/>
      </c>
      <c r="B930">
        <f>IF($A930="","",INDEX('05_KAPA'!$B:$B,$A930))</f>
        <v/>
      </c>
      <c r="C930">
        <f>IF($A930="","",INDEX('05_KAPA'!$F:$F,$A930))</f>
        <v/>
      </c>
      <c r="D930">
        <f>IF($A930="","",INDEX('05_KAPA'!$H:$H,$A930))</f>
        <v/>
      </c>
      <c r="E930">
        <f>IF($A930="","",INDEX('05_KAPA'!$K:$K,$A930))</f>
        <v/>
      </c>
      <c r="F930">
        <f>IF($A930="","",INDEX('05_KAPA'!$L:$L,$A930))</f>
        <v/>
      </c>
      <c r="G930">
        <f>IF($A930="","",INDEX('05_KAPA'!$I:$I,$A930))</f>
        <v/>
      </c>
      <c r="H930" s="202">
        <f>IF($A930="","",INDEX('05_KAPA'!$P:$P,$A930))</f>
        <v/>
      </c>
      <c r="I930" s="118">
        <f>IF($A930="","",INDEX('05_KAPA'!$O:$O,$A930))</f>
        <v/>
      </c>
      <c r="J930" s="202">
        <f>IF($A930="","",IFERROR(DATE(LEFT(TEXT(INDEX('05_KAPA'!$T:$T,$A930),"0"),4),MID(TEXT(INDEX('05_KAPA'!$T:$T,$A930),"0"),5,2),RIGHT(TEXT(INDEX('05_KAPA'!$T:$T,$A930),"0"),2)),""))</f>
        <v/>
      </c>
      <c r="K930">
        <f>IF(C930="","",IF('02_대상물건입력'!$B$5="",1,IF(ISNUMBER(SEARCH('02_대상물건입력'!$B$5,C930)),1,0)))</f>
        <v/>
      </c>
      <c r="L930">
        <f>IF(C930="","",IF('02_대상물건입력'!$B$6="",1,IF(ISNUMBER(SEARCH('02_대상물건입력'!$B$6,C930)),1,0)))</f>
        <v/>
      </c>
      <c r="M930">
        <f>IF(E930="","",IF('02_대상물건입력'!$B$8="",0,IF(ISNUMBER(SEARCH('02_대상물건입력'!$B$8,E930)),1,0)))</f>
        <v/>
      </c>
      <c r="N930">
        <f>IF(B930="","",IF(B930="담보",1,0))</f>
        <v/>
      </c>
      <c r="O930">
        <f>IFERROR(ABS(G930-'02_대상물건입력'!$B$11)/'02_대상물건입력'!$B$11,"")</f>
        <v/>
      </c>
      <c r="P930">
        <f>IFERROR(ABS('01_설정'!$B$4-H930),"")</f>
        <v/>
      </c>
      <c r="Q930">
        <f>IFERROR(ABS(YEAR(J930)-YEAR('02_대상물건입력'!$B$14)),"")</f>
        <v/>
      </c>
      <c r="R930">
        <f>IF(AND(G930&gt;0,H930&gt;0,I930&gt;0,N930=1,IF('01_설정'!$B$10=1,K930=1,TRUE()),O930&lt;='01_설정'!$B$5,P930&lt;='01_설정'!$B$7,Q930&lt;='01_설정'!$B$8),"Y","")</f>
        <v/>
      </c>
      <c r="S930">
        <f>IF(R930&lt;&gt;"Y","",MAX(0,(1-O930/'01_설정'!$B$5))*'01_설정'!$B$14+MAX(0,(1-P930/'01_설정'!$B$7))*'01_설정'!$B$16+MAX(0,(1-Q930/'01_설정'!$B$8))*'01_설정'!$B$17+L930*'01_설정'!$B$11+M930*'01_설정'!$B$12+N930*50)</f>
        <v/>
      </c>
      <c r="T930">
        <f>IF(S930="","",1+COUNTIFS($S$31:$S$1030,"&gt;"&amp;S930)+COUNTIFS($S$31:S930,S930)-1)</f>
        <v/>
      </c>
    </row>
    <row r="931" hidden="1" ht="16.5" customHeight="1">
      <c r="A931">
        <f>IF(COUNTA('05_KAPA'!$A902:$AO902)=0,"",904)</f>
        <v/>
      </c>
      <c r="B931">
        <f>IF($A931="","",INDEX('05_KAPA'!$B:$B,$A931))</f>
        <v/>
      </c>
      <c r="C931">
        <f>IF($A931="","",INDEX('05_KAPA'!$F:$F,$A931))</f>
        <v/>
      </c>
      <c r="D931">
        <f>IF($A931="","",INDEX('05_KAPA'!$H:$H,$A931))</f>
        <v/>
      </c>
      <c r="E931">
        <f>IF($A931="","",INDEX('05_KAPA'!$K:$K,$A931))</f>
        <v/>
      </c>
      <c r="F931">
        <f>IF($A931="","",INDEX('05_KAPA'!$L:$L,$A931))</f>
        <v/>
      </c>
      <c r="G931">
        <f>IF($A931="","",INDEX('05_KAPA'!$I:$I,$A931))</f>
        <v/>
      </c>
      <c r="H931" s="202">
        <f>IF($A931="","",INDEX('05_KAPA'!$P:$P,$A931))</f>
        <v/>
      </c>
      <c r="I931" s="118">
        <f>IF($A931="","",INDEX('05_KAPA'!$O:$O,$A931))</f>
        <v/>
      </c>
      <c r="J931" s="202">
        <f>IF($A931="","",IFERROR(DATE(LEFT(TEXT(INDEX('05_KAPA'!$T:$T,$A931),"0"),4),MID(TEXT(INDEX('05_KAPA'!$T:$T,$A931),"0"),5,2),RIGHT(TEXT(INDEX('05_KAPA'!$T:$T,$A931),"0"),2)),""))</f>
        <v/>
      </c>
      <c r="K931">
        <f>IF(C931="","",IF('02_대상물건입력'!$B$5="",1,IF(ISNUMBER(SEARCH('02_대상물건입력'!$B$5,C931)),1,0)))</f>
        <v/>
      </c>
      <c r="L931">
        <f>IF(C931="","",IF('02_대상물건입력'!$B$6="",1,IF(ISNUMBER(SEARCH('02_대상물건입력'!$B$6,C931)),1,0)))</f>
        <v/>
      </c>
      <c r="M931">
        <f>IF(E931="","",IF('02_대상물건입력'!$B$8="",0,IF(ISNUMBER(SEARCH('02_대상물건입력'!$B$8,E931)),1,0)))</f>
        <v/>
      </c>
      <c r="N931">
        <f>IF(B931="","",IF(B931="담보",1,0))</f>
        <v/>
      </c>
      <c r="O931">
        <f>IFERROR(ABS(G931-'02_대상물건입력'!$B$11)/'02_대상물건입력'!$B$11,"")</f>
        <v/>
      </c>
      <c r="P931">
        <f>IFERROR(ABS('01_설정'!$B$4-H931),"")</f>
        <v/>
      </c>
      <c r="Q931">
        <f>IFERROR(ABS(YEAR(J931)-YEAR('02_대상물건입력'!$B$14)),"")</f>
        <v/>
      </c>
      <c r="R931">
        <f>IF(AND(G931&gt;0,H931&gt;0,I931&gt;0,N931=1,IF('01_설정'!$B$10=1,K931=1,TRUE()),O931&lt;='01_설정'!$B$5,P931&lt;='01_설정'!$B$7,Q931&lt;='01_설정'!$B$8),"Y","")</f>
        <v/>
      </c>
      <c r="S931">
        <f>IF(R931&lt;&gt;"Y","",MAX(0,(1-O931/'01_설정'!$B$5))*'01_설정'!$B$14+MAX(0,(1-P931/'01_설정'!$B$7))*'01_설정'!$B$16+MAX(0,(1-Q931/'01_설정'!$B$8))*'01_설정'!$B$17+L931*'01_설정'!$B$11+M931*'01_설정'!$B$12+N931*50)</f>
        <v/>
      </c>
      <c r="T931">
        <f>IF(S931="","",1+COUNTIFS($S$31:$S$1030,"&gt;"&amp;S931)+COUNTIFS($S$31:S931,S931)-1)</f>
        <v/>
      </c>
    </row>
    <row r="932" hidden="1" ht="16.5" customHeight="1">
      <c r="A932">
        <f>IF(COUNTA('05_KAPA'!$A903:$AO903)=0,"",905)</f>
        <v/>
      </c>
      <c r="B932">
        <f>IF($A932="","",INDEX('05_KAPA'!$B:$B,$A932))</f>
        <v/>
      </c>
      <c r="C932">
        <f>IF($A932="","",INDEX('05_KAPA'!$F:$F,$A932))</f>
        <v/>
      </c>
      <c r="D932">
        <f>IF($A932="","",INDEX('05_KAPA'!$H:$H,$A932))</f>
        <v/>
      </c>
      <c r="E932">
        <f>IF($A932="","",INDEX('05_KAPA'!$K:$K,$A932))</f>
        <v/>
      </c>
      <c r="F932">
        <f>IF($A932="","",INDEX('05_KAPA'!$L:$L,$A932))</f>
        <v/>
      </c>
      <c r="G932">
        <f>IF($A932="","",INDEX('05_KAPA'!$I:$I,$A932))</f>
        <v/>
      </c>
      <c r="H932" s="202">
        <f>IF($A932="","",INDEX('05_KAPA'!$P:$P,$A932))</f>
        <v/>
      </c>
      <c r="I932" s="118">
        <f>IF($A932="","",INDEX('05_KAPA'!$O:$O,$A932))</f>
        <v/>
      </c>
      <c r="J932" s="202">
        <f>IF($A932="","",IFERROR(DATE(LEFT(TEXT(INDEX('05_KAPA'!$T:$T,$A932),"0"),4),MID(TEXT(INDEX('05_KAPA'!$T:$T,$A932),"0"),5,2),RIGHT(TEXT(INDEX('05_KAPA'!$T:$T,$A932),"0"),2)),""))</f>
        <v/>
      </c>
      <c r="K932">
        <f>IF(C932="","",IF('02_대상물건입력'!$B$5="",1,IF(ISNUMBER(SEARCH('02_대상물건입력'!$B$5,C932)),1,0)))</f>
        <v/>
      </c>
      <c r="L932">
        <f>IF(C932="","",IF('02_대상물건입력'!$B$6="",1,IF(ISNUMBER(SEARCH('02_대상물건입력'!$B$6,C932)),1,0)))</f>
        <v/>
      </c>
      <c r="M932">
        <f>IF(E932="","",IF('02_대상물건입력'!$B$8="",0,IF(ISNUMBER(SEARCH('02_대상물건입력'!$B$8,E932)),1,0)))</f>
        <v/>
      </c>
      <c r="N932">
        <f>IF(B932="","",IF(B932="담보",1,0))</f>
        <v/>
      </c>
      <c r="O932">
        <f>IFERROR(ABS(G932-'02_대상물건입력'!$B$11)/'02_대상물건입력'!$B$11,"")</f>
        <v/>
      </c>
      <c r="P932">
        <f>IFERROR(ABS('01_설정'!$B$4-H932),"")</f>
        <v/>
      </c>
      <c r="Q932">
        <f>IFERROR(ABS(YEAR(J932)-YEAR('02_대상물건입력'!$B$14)),"")</f>
        <v/>
      </c>
      <c r="R932">
        <f>IF(AND(G932&gt;0,H932&gt;0,I932&gt;0,N932=1,IF('01_설정'!$B$10=1,K932=1,TRUE()),O932&lt;='01_설정'!$B$5,P932&lt;='01_설정'!$B$7,Q932&lt;='01_설정'!$B$8),"Y","")</f>
        <v/>
      </c>
      <c r="S932">
        <f>IF(R932&lt;&gt;"Y","",MAX(0,(1-O932/'01_설정'!$B$5))*'01_설정'!$B$14+MAX(0,(1-P932/'01_설정'!$B$7))*'01_설정'!$B$16+MAX(0,(1-Q932/'01_설정'!$B$8))*'01_설정'!$B$17+L932*'01_설정'!$B$11+M932*'01_설정'!$B$12+N932*50)</f>
        <v/>
      </c>
      <c r="T932">
        <f>IF(S932="","",1+COUNTIFS($S$31:$S$1030,"&gt;"&amp;S932)+COUNTIFS($S$31:S932,S932)-1)</f>
        <v/>
      </c>
    </row>
    <row r="933" hidden="1" ht="16.5" customHeight="1">
      <c r="A933">
        <f>IF(COUNTA('05_KAPA'!$A904:$AO904)=0,"",906)</f>
        <v/>
      </c>
      <c r="B933">
        <f>IF($A933="","",INDEX('05_KAPA'!$B:$B,$A933))</f>
        <v/>
      </c>
      <c r="C933">
        <f>IF($A933="","",INDEX('05_KAPA'!$F:$F,$A933))</f>
        <v/>
      </c>
      <c r="D933">
        <f>IF($A933="","",INDEX('05_KAPA'!$H:$H,$A933))</f>
        <v/>
      </c>
      <c r="E933">
        <f>IF($A933="","",INDEX('05_KAPA'!$K:$K,$A933))</f>
        <v/>
      </c>
      <c r="F933">
        <f>IF($A933="","",INDEX('05_KAPA'!$L:$L,$A933))</f>
        <v/>
      </c>
      <c r="G933">
        <f>IF($A933="","",INDEX('05_KAPA'!$I:$I,$A933))</f>
        <v/>
      </c>
      <c r="H933" s="202">
        <f>IF($A933="","",INDEX('05_KAPA'!$P:$P,$A933))</f>
        <v/>
      </c>
      <c r="I933" s="118">
        <f>IF($A933="","",INDEX('05_KAPA'!$O:$O,$A933))</f>
        <v/>
      </c>
      <c r="J933" s="202">
        <f>IF($A933="","",IFERROR(DATE(LEFT(TEXT(INDEX('05_KAPA'!$T:$T,$A933),"0"),4),MID(TEXT(INDEX('05_KAPA'!$T:$T,$A933),"0"),5,2),RIGHT(TEXT(INDEX('05_KAPA'!$T:$T,$A933),"0"),2)),""))</f>
        <v/>
      </c>
      <c r="K933">
        <f>IF(C933="","",IF('02_대상물건입력'!$B$5="",1,IF(ISNUMBER(SEARCH('02_대상물건입력'!$B$5,C933)),1,0)))</f>
        <v/>
      </c>
      <c r="L933">
        <f>IF(C933="","",IF('02_대상물건입력'!$B$6="",1,IF(ISNUMBER(SEARCH('02_대상물건입력'!$B$6,C933)),1,0)))</f>
        <v/>
      </c>
      <c r="M933">
        <f>IF(E933="","",IF('02_대상물건입력'!$B$8="",0,IF(ISNUMBER(SEARCH('02_대상물건입력'!$B$8,E933)),1,0)))</f>
        <v/>
      </c>
      <c r="N933">
        <f>IF(B933="","",IF(B933="담보",1,0))</f>
        <v/>
      </c>
      <c r="O933">
        <f>IFERROR(ABS(G933-'02_대상물건입력'!$B$11)/'02_대상물건입력'!$B$11,"")</f>
        <v/>
      </c>
      <c r="P933">
        <f>IFERROR(ABS('01_설정'!$B$4-H933),"")</f>
        <v/>
      </c>
      <c r="Q933">
        <f>IFERROR(ABS(YEAR(J933)-YEAR('02_대상물건입력'!$B$14)),"")</f>
        <v/>
      </c>
      <c r="R933">
        <f>IF(AND(G933&gt;0,H933&gt;0,I933&gt;0,N933=1,IF('01_설정'!$B$10=1,K933=1,TRUE()),O933&lt;='01_설정'!$B$5,P933&lt;='01_설정'!$B$7,Q933&lt;='01_설정'!$B$8),"Y","")</f>
        <v/>
      </c>
      <c r="S933">
        <f>IF(R933&lt;&gt;"Y","",MAX(0,(1-O933/'01_설정'!$B$5))*'01_설정'!$B$14+MAX(0,(1-P933/'01_설정'!$B$7))*'01_설정'!$B$16+MAX(0,(1-Q933/'01_설정'!$B$8))*'01_설정'!$B$17+L933*'01_설정'!$B$11+M933*'01_설정'!$B$12+N933*50)</f>
        <v/>
      </c>
      <c r="T933">
        <f>IF(S933="","",1+COUNTIFS($S$31:$S$1030,"&gt;"&amp;S933)+COUNTIFS($S$31:S933,S933)-1)</f>
        <v/>
      </c>
    </row>
    <row r="934" hidden="1" ht="16.5" customHeight="1">
      <c r="A934">
        <f>IF(COUNTA('05_KAPA'!$A905:$AO905)=0,"",907)</f>
        <v/>
      </c>
      <c r="B934">
        <f>IF($A934="","",INDEX('05_KAPA'!$B:$B,$A934))</f>
        <v/>
      </c>
      <c r="C934">
        <f>IF($A934="","",INDEX('05_KAPA'!$F:$F,$A934))</f>
        <v/>
      </c>
      <c r="D934">
        <f>IF($A934="","",INDEX('05_KAPA'!$H:$H,$A934))</f>
        <v/>
      </c>
      <c r="E934">
        <f>IF($A934="","",INDEX('05_KAPA'!$K:$K,$A934))</f>
        <v/>
      </c>
      <c r="F934">
        <f>IF($A934="","",INDEX('05_KAPA'!$L:$L,$A934))</f>
        <v/>
      </c>
      <c r="G934">
        <f>IF($A934="","",INDEX('05_KAPA'!$I:$I,$A934))</f>
        <v/>
      </c>
      <c r="H934" s="202">
        <f>IF($A934="","",INDEX('05_KAPA'!$P:$P,$A934))</f>
        <v/>
      </c>
      <c r="I934" s="118">
        <f>IF($A934="","",INDEX('05_KAPA'!$O:$O,$A934))</f>
        <v/>
      </c>
      <c r="J934" s="202">
        <f>IF($A934="","",IFERROR(DATE(LEFT(TEXT(INDEX('05_KAPA'!$T:$T,$A934),"0"),4),MID(TEXT(INDEX('05_KAPA'!$T:$T,$A934),"0"),5,2),RIGHT(TEXT(INDEX('05_KAPA'!$T:$T,$A934),"0"),2)),""))</f>
        <v/>
      </c>
      <c r="K934">
        <f>IF(C934="","",IF('02_대상물건입력'!$B$5="",1,IF(ISNUMBER(SEARCH('02_대상물건입력'!$B$5,C934)),1,0)))</f>
        <v/>
      </c>
      <c r="L934">
        <f>IF(C934="","",IF('02_대상물건입력'!$B$6="",1,IF(ISNUMBER(SEARCH('02_대상물건입력'!$B$6,C934)),1,0)))</f>
        <v/>
      </c>
      <c r="M934">
        <f>IF(E934="","",IF('02_대상물건입력'!$B$8="",0,IF(ISNUMBER(SEARCH('02_대상물건입력'!$B$8,E934)),1,0)))</f>
        <v/>
      </c>
      <c r="N934">
        <f>IF(B934="","",IF(B934="담보",1,0))</f>
        <v/>
      </c>
      <c r="O934">
        <f>IFERROR(ABS(G934-'02_대상물건입력'!$B$11)/'02_대상물건입력'!$B$11,"")</f>
        <v/>
      </c>
      <c r="P934">
        <f>IFERROR(ABS('01_설정'!$B$4-H934),"")</f>
        <v/>
      </c>
      <c r="Q934">
        <f>IFERROR(ABS(YEAR(J934)-YEAR('02_대상물건입력'!$B$14)),"")</f>
        <v/>
      </c>
      <c r="R934">
        <f>IF(AND(G934&gt;0,H934&gt;0,I934&gt;0,N934=1,IF('01_설정'!$B$10=1,K934=1,TRUE()),O934&lt;='01_설정'!$B$5,P934&lt;='01_설정'!$B$7,Q934&lt;='01_설정'!$B$8),"Y","")</f>
        <v/>
      </c>
      <c r="S934">
        <f>IF(R934&lt;&gt;"Y","",MAX(0,(1-O934/'01_설정'!$B$5))*'01_설정'!$B$14+MAX(0,(1-P934/'01_설정'!$B$7))*'01_설정'!$B$16+MAX(0,(1-Q934/'01_설정'!$B$8))*'01_설정'!$B$17+L934*'01_설정'!$B$11+M934*'01_설정'!$B$12+N934*50)</f>
        <v/>
      </c>
      <c r="T934">
        <f>IF(S934="","",1+COUNTIFS($S$31:$S$1030,"&gt;"&amp;S934)+COUNTIFS($S$31:S934,S934)-1)</f>
        <v/>
      </c>
    </row>
    <row r="935" hidden="1" ht="16.5" customHeight="1">
      <c r="A935">
        <f>IF(COUNTA('05_KAPA'!$A906:$AO906)=0,"",908)</f>
        <v/>
      </c>
      <c r="B935">
        <f>IF($A935="","",INDEX('05_KAPA'!$B:$B,$A935))</f>
        <v/>
      </c>
      <c r="C935">
        <f>IF($A935="","",INDEX('05_KAPA'!$F:$F,$A935))</f>
        <v/>
      </c>
      <c r="D935">
        <f>IF($A935="","",INDEX('05_KAPA'!$H:$H,$A935))</f>
        <v/>
      </c>
      <c r="E935">
        <f>IF($A935="","",INDEX('05_KAPA'!$K:$K,$A935))</f>
        <v/>
      </c>
      <c r="F935">
        <f>IF($A935="","",INDEX('05_KAPA'!$L:$L,$A935))</f>
        <v/>
      </c>
      <c r="G935">
        <f>IF($A935="","",INDEX('05_KAPA'!$I:$I,$A935))</f>
        <v/>
      </c>
      <c r="H935" s="202">
        <f>IF($A935="","",INDEX('05_KAPA'!$P:$P,$A935))</f>
        <v/>
      </c>
      <c r="I935" s="118">
        <f>IF($A935="","",INDEX('05_KAPA'!$O:$O,$A935))</f>
        <v/>
      </c>
      <c r="J935" s="202">
        <f>IF($A935="","",IFERROR(DATE(LEFT(TEXT(INDEX('05_KAPA'!$T:$T,$A935),"0"),4),MID(TEXT(INDEX('05_KAPA'!$T:$T,$A935),"0"),5,2),RIGHT(TEXT(INDEX('05_KAPA'!$T:$T,$A935),"0"),2)),""))</f>
        <v/>
      </c>
      <c r="K935">
        <f>IF(C935="","",IF('02_대상물건입력'!$B$5="",1,IF(ISNUMBER(SEARCH('02_대상물건입력'!$B$5,C935)),1,0)))</f>
        <v/>
      </c>
      <c r="L935">
        <f>IF(C935="","",IF('02_대상물건입력'!$B$6="",1,IF(ISNUMBER(SEARCH('02_대상물건입력'!$B$6,C935)),1,0)))</f>
        <v/>
      </c>
      <c r="M935">
        <f>IF(E935="","",IF('02_대상물건입력'!$B$8="",0,IF(ISNUMBER(SEARCH('02_대상물건입력'!$B$8,E935)),1,0)))</f>
        <v/>
      </c>
      <c r="N935">
        <f>IF(B935="","",IF(B935="담보",1,0))</f>
        <v/>
      </c>
      <c r="O935">
        <f>IFERROR(ABS(G935-'02_대상물건입력'!$B$11)/'02_대상물건입력'!$B$11,"")</f>
        <v/>
      </c>
      <c r="P935">
        <f>IFERROR(ABS('01_설정'!$B$4-H935),"")</f>
        <v/>
      </c>
      <c r="Q935">
        <f>IFERROR(ABS(YEAR(J935)-YEAR('02_대상물건입력'!$B$14)),"")</f>
        <v/>
      </c>
      <c r="R935">
        <f>IF(AND(G935&gt;0,H935&gt;0,I935&gt;0,N935=1,IF('01_설정'!$B$10=1,K935=1,TRUE()),O935&lt;='01_설정'!$B$5,P935&lt;='01_설정'!$B$7,Q935&lt;='01_설정'!$B$8),"Y","")</f>
        <v/>
      </c>
      <c r="S935">
        <f>IF(R935&lt;&gt;"Y","",MAX(0,(1-O935/'01_설정'!$B$5))*'01_설정'!$B$14+MAX(0,(1-P935/'01_설정'!$B$7))*'01_설정'!$B$16+MAX(0,(1-Q935/'01_설정'!$B$8))*'01_설정'!$B$17+L935*'01_설정'!$B$11+M935*'01_설정'!$B$12+N935*50)</f>
        <v/>
      </c>
      <c r="T935">
        <f>IF(S935="","",1+COUNTIFS($S$31:$S$1030,"&gt;"&amp;S935)+COUNTIFS($S$31:S935,S935)-1)</f>
        <v/>
      </c>
    </row>
    <row r="936" hidden="1" ht="16.5" customHeight="1">
      <c r="A936">
        <f>IF(COUNTA('05_KAPA'!$A907:$AO907)=0,"",909)</f>
        <v/>
      </c>
      <c r="B936">
        <f>IF($A936="","",INDEX('05_KAPA'!$B:$B,$A936))</f>
        <v/>
      </c>
      <c r="C936">
        <f>IF($A936="","",INDEX('05_KAPA'!$F:$F,$A936))</f>
        <v/>
      </c>
      <c r="D936">
        <f>IF($A936="","",INDEX('05_KAPA'!$H:$H,$A936))</f>
        <v/>
      </c>
      <c r="E936">
        <f>IF($A936="","",INDEX('05_KAPA'!$K:$K,$A936))</f>
        <v/>
      </c>
      <c r="F936">
        <f>IF($A936="","",INDEX('05_KAPA'!$L:$L,$A936))</f>
        <v/>
      </c>
      <c r="G936">
        <f>IF($A936="","",INDEX('05_KAPA'!$I:$I,$A936))</f>
        <v/>
      </c>
      <c r="H936" s="202">
        <f>IF($A936="","",INDEX('05_KAPA'!$P:$P,$A936))</f>
        <v/>
      </c>
      <c r="I936" s="118">
        <f>IF($A936="","",INDEX('05_KAPA'!$O:$O,$A936))</f>
        <v/>
      </c>
      <c r="J936" s="202">
        <f>IF($A936="","",IFERROR(DATE(LEFT(TEXT(INDEX('05_KAPA'!$T:$T,$A936),"0"),4),MID(TEXT(INDEX('05_KAPA'!$T:$T,$A936),"0"),5,2),RIGHT(TEXT(INDEX('05_KAPA'!$T:$T,$A936),"0"),2)),""))</f>
        <v/>
      </c>
      <c r="K936">
        <f>IF(C936="","",IF('02_대상물건입력'!$B$5="",1,IF(ISNUMBER(SEARCH('02_대상물건입력'!$B$5,C936)),1,0)))</f>
        <v/>
      </c>
      <c r="L936">
        <f>IF(C936="","",IF('02_대상물건입력'!$B$6="",1,IF(ISNUMBER(SEARCH('02_대상물건입력'!$B$6,C936)),1,0)))</f>
        <v/>
      </c>
      <c r="M936">
        <f>IF(E936="","",IF('02_대상물건입력'!$B$8="",0,IF(ISNUMBER(SEARCH('02_대상물건입력'!$B$8,E936)),1,0)))</f>
        <v/>
      </c>
      <c r="N936">
        <f>IF(B936="","",IF(B936="담보",1,0))</f>
        <v/>
      </c>
      <c r="O936">
        <f>IFERROR(ABS(G936-'02_대상물건입력'!$B$11)/'02_대상물건입력'!$B$11,"")</f>
        <v/>
      </c>
      <c r="P936">
        <f>IFERROR(ABS('01_설정'!$B$4-H936),"")</f>
        <v/>
      </c>
      <c r="Q936">
        <f>IFERROR(ABS(YEAR(J936)-YEAR('02_대상물건입력'!$B$14)),"")</f>
        <v/>
      </c>
      <c r="R936">
        <f>IF(AND(G936&gt;0,H936&gt;0,I936&gt;0,N936=1,IF('01_설정'!$B$10=1,K936=1,TRUE()),O936&lt;='01_설정'!$B$5,P936&lt;='01_설정'!$B$7,Q936&lt;='01_설정'!$B$8),"Y","")</f>
        <v/>
      </c>
      <c r="S936">
        <f>IF(R936&lt;&gt;"Y","",MAX(0,(1-O936/'01_설정'!$B$5))*'01_설정'!$B$14+MAX(0,(1-P936/'01_설정'!$B$7))*'01_설정'!$B$16+MAX(0,(1-Q936/'01_설정'!$B$8))*'01_설정'!$B$17+L936*'01_설정'!$B$11+M936*'01_설정'!$B$12+N936*50)</f>
        <v/>
      </c>
      <c r="T936">
        <f>IF(S936="","",1+COUNTIFS($S$31:$S$1030,"&gt;"&amp;S936)+COUNTIFS($S$31:S936,S936)-1)</f>
        <v/>
      </c>
    </row>
    <row r="937" hidden="1" ht="16.5" customHeight="1">
      <c r="A937">
        <f>IF(COUNTA('05_KAPA'!$A908:$AO908)=0,"",910)</f>
        <v/>
      </c>
      <c r="B937">
        <f>IF($A937="","",INDEX('05_KAPA'!$B:$B,$A937))</f>
        <v/>
      </c>
      <c r="C937">
        <f>IF($A937="","",INDEX('05_KAPA'!$F:$F,$A937))</f>
        <v/>
      </c>
      <c r="D937">
        <f>IF($A937="","",INDEX('05_KAPA'!$H:$H,$A937))</f>
        <v/>
      </c>
      <c r="E937">
        <f>IF($A937="","",INDEX('05_KAPA'!$K:$K,$A937))</f>
        <v/>
      </c>
      <c r="F937">
        <f>IF($A937="","",INDEX('05_KAPA'!$L:$L,$A937))</f>
        <v/>
      </c>
      <c r="G937">
        <f>IF($A937="","",INDEX('05_KAPA'!$I:$I,$A937))</f>
        <v/>
      </c>
      <c r="H937" s="202">
        <f>IF($A937="","",INDEX('05_KAPA'!$P:$P,$A937))</f>
        <v/>
      </c>
      <c r="I937" s="118">
        <f>IF($A937="","",INDEX('05_KAPA'!$O:$O,$A937))</f>
        <v/>
      </c>
      <c r="J937" s="202">
        <f>IF($A937="","",IFERROR(DATE(LEFT(TEXT(INDEX('05_KAPA'!$T:$T,$A937),"0"),4),MID(TEXT(INDEX('05_KAPA'!$T:$T,$A937),"0"),5,2),RIGHT(TEXT(INDEX('05_KAPA'!$T:$T,$A937),"0"),2)),""))</f>
        <v/>
      </c>
      <c r="K937">
        <f>IF(C937="","",IF('02_대상물건입력'!$B$5="",1,IF(ISNUMBER(SEARCH('02_대상물건입력'!$B$5,C937)),1,0)))</f>
        <v/>
      </c>
      <c r="L937">
        <f>IF(C937="","",IF('02_대상물건입력'!$B$6="",1,IF(ISNUMBER(SEARCH('02_대상물건입력'!$B$6,C937)),1,0)))</f>
        <v/>
      </c>
      <c r="M937">
        <f>IF(E937="","",IF('02_대상물건입력'!$B$8="",0,IF(ISNUMBER(SEARCH('02_대상물건입력'!$B$8,E937)),1,0)))</f>
        <v/>
      </c>
      <c r="N937">
        <f>IF(B937="","",IF(B937="담보",1,0))</f>
        <v/>
      </c>
      <c r="O937">
        <f>IFERROR(ABS(G937-'02_대상물건입력'!$B$11)/'02_대상물건입력'!$B$11,"")</f>
        <v/>
      </c>
      <c r="P937">
        <f>IFERROR(ABS('01_설정'!$B$4-H937),"")</f>
        <v/>
      </c>
      <c r="Q937">
        <f>IFERROR(ABS(YEAR(J937)-YEAR('02_대상물건입력'!$B$14)),"")</f>
        <v/>
      </c>
      <c r="R937">
        <f>IF(AND(G937&gt;0,H937&gt;0,I937&gt;0,N937=1,IF('01_설정'!$B$10=1,K937=1,TRUE()),O937&lt;='01_설정'!$B$5,P937&lt;='01_설정'!$B$7,Q937&lt;='01_설정'!$B$8),"Y","")</f>
        <v/>
      </c>
      <c r="S937">
        <f>IF(R937&lt;&gt;"Y","",MAX(0,(1-O937/'01_설정'!$B$5))*'01_설정'!$B$14+MAX(0,(1-P937/'01_설정'!$B$7))*'01_설정'!$B$16+MAX(0,(1-Q937/'01_설정'!$B$8))*'01_설정'!$B$17+L937*'01_설정'!$B$11+M937*'01_설정'!$B$12+N937*50)</f>
        <v/>
      </c>
      <c r="T937">
        <f>IF(S937="","",1+COUNTIFS($S$31:$S$1030,"&gt;"&amp;S937)+COUNTIFS($S$31:S937,S937)-1)</f>
        <v/>
      </c>
    </row>
    <row r="938" hidden="1" ht="16.5" customHeight="1">
      <c r="A938">
        <f>IF(COUNTA('05_KAPA'!$A909:$AO909)=0,"",911)</f>
        <v/>
      </c>
      <c r="B938">
        <f>IF($A938="","",INDEX('05_KAPA'!$B:$B,$A938))</f>
        <v/>
      </c>
      <c r="C938">
        <f>IF($A938="","",INDEX('05_KAPA'!$F:$F,$A938))</f>
        <v/>
      </c>
      <c r="D938">
        <f>IF($A938="","",INDEX('05_KAPA'!$H:$H,$A938))</f>
        <v/>
      </c>
      <c r="E938">
        <f>IF($A938="","",INDEX('05_KAPA'!$K:$K,$A938))</f>
        <v/>
      </c>
      <c r="F938">
        <f>IF($A938="","",INDEX('05_KAPA'!$L:$L,$A938))</f>
        <v/>
      </c>
      <c r="G938">
        <f>IF($A938="","",INDEX('05_KAPA'!$I:$I,$A938))</f>
        <v/>
      </c>
      <c r="H938" s="202">
        <f>IF($A938="","",INDEX('05_KAPA'!$P:$P,$A938))</f>
        <v/>
      </c>
      <c r="I938" s="118">
        <f>IF($A938="","",INDEX('05_KAPA'!$O:$O,$A938))</f>
        <v/>
      </c>
      <c r="J938" s="202">
        <f>IF($A938="","",IFERROR(DATE(LEFT(TEXT(INDEX('05_KAPA'!$T:$T,$A938),"0"),4),MID(TEXT(INDEX('05_KAPA'!$T:$T,$A938),"0"),5,2),RIGHT(TEXT(INDEX('05_KAPA'!$T:$T,$A938),"0"),2)),""))</f>
        <v/>
      </c>
      <c r="K938">
        <f>IF(C938="","",IF('02_대상물건입력'!$B$5="",1,IF(ISNUMBER(SEARCH('02_대상물건입력'!$B$5,C938)),1,0)))</f>
        <v/>
      </c>
      <c r="L938">
        <f>IF(C938="","",IF('02_대상물건입력'!$B$6="",1,IF(ISNUMBER(SEARCH('02_대상물건입력'!$B$6,C938)),1,0)))</f>
        <v/>
      </c>
      <c r="M938">
        <f>IF(E938="","",IF('02_대상물건입력'!$B$8="",0,IF(ISNUMBER(SEARCH('02_대상물건입력'!$B$8,E938)),1,0)))</f>
        <v/>
      </c>
      <c r="N938">
        <f>IF(B938="","",IF(B938="담보",1,0))</f>
        <v/>
      </c>
      <c r="O938">
        <f>IFERROR(ABS(G938-'02_대상물건입력'!$B$11)/'02_대상물건입력'!$B$11,"")</f>
        <v/>
      </c>
      <c r="P938">
        <f>IFERROR(ABS('01_설정'!$B$4-H938),"")</f>
        <v/>
      </c>
      <c r="Q938">
        <f>IFERROR(ABS(YEAR(J938)-YEAR('02_대상물건입력'!$B$14)),"")</f>
        <v/>
      </c>
      <c r="R938">
        <f>IF(AND(G938&gt;0,H938&gt;0,I938&gt;0,N938=1,IF('01_설정'!$B$10=1,K938=1,TRUE()),O938&lt;='01_설정'!$B$5,P938&lt;='01_설정'!$B$7,Q938&lt;='01_설정'!$B$8),"Y","")</f>
        <v/>
      </c>
      <c r="S938">
        <f>IF(R938&lt;&gt;"Y","",MAX(0,(1-O938/'01_설정'!$B$5))*'01_설정'!$B$14+MAX(0,(1-P938/'01_설정'!$B$7))*'01_설정'!$B$16+MAX(0,(1-Q938/'01_설정'!$B$8))*'01_설정'!$B$17+L938*'01_설정'!$B$11+M938*'01_설정'!$B$12+N938*50)</f>
        <v/>
      </c>
      <c r="T938">
        <f>IF(S938="","",1+COUNTIFS($S$31:$S$1030,"&gt;"&amp;S938)+COUNTIFS($S$31:S938,S938)-1)</f>
        <v/>
      </c>
    </row>
    <row r="939" hidden="1" ht="16.5" customHeight="1">
      <c r="A939">
        <f>IF(COUNTA('05_KAPA'!$A910:$AO910)=0,"",912)</f>
        <v/>
      </c>
      <c r="B939">
        <f>IF($A939="","",INDEX('05_KAPA'!$B:$B,$A939))</f>
        <v/>
      </c>
      <c r="C939">
        <f>IF($A939="","",INDEX('05_KAPA'!$F:$F,$A939))</f>
        <v/>
      </c>
      <c r="D939">
        <f>IF($A939="","",INDEX('05_KAPA'!$H:$H,$A939))</f>
        <v/>
      </c>
      <c r="E939">
        <f>IF($A939="","",INDEX('05_KAPA'!$K:$K,$A939))</f>
        <v/>
      </c>
      <c r="F939">
        <f>IF($A939="","",INDEX('05_KAPA'!$L:$L,$A939))</f>
        <v/>
      </c>
      <c r="G939">
        <f>IF($A939="","",INDEX('05_KAPA'!$I:$I,$A939))</f>
        <v/>
      </c>
      <c r="H939" s="202">
        <f>IF($A939="","",INDEX('05_KAPA'!$P:$P,$A939))</f>
        <v/>
      </c>
      <c r="I939" s="118">
        <f>IF($A939="","",INDEX('05_KAPA'!$O:$O,$A939))</f>
        <v/>
      </c>
      <c r="J939" s="202">
        <f>IF($A939="","",IFERROR(DATE(LEFT(TEXT(INDEX('05_KAPA'!$T:$T,$A939),"0"),4),MID(TEXT(INDEX('05_KAPA'!$T:$T,$A939),"0"),5,2),RIGHT(TEXT(INDEX('05_KAPA'!$T:$T,$A939),"0"),2)),""))</f>
        <v/>
      </c>
      <c r="K939">
        <f>IF(C939="","",IF('02_대상물건입력'!$B$5="",1,IF(ISNUMBER(SEARCH('02_대상물건입력'!$B$5,C939)),1,0)))</f>
        <v/>
      </c>
      <c r="L939">
        <f>IF(C939="","",IF('02_대상물건입력'!$B$6="",1,IF(ISNUMBER(SEARCH('02_대상물건입력'!$B$6,C939)),1,0)))</f>
        <v/>
      </c>
      <c r="M939">
        <f>IF(E939="","",IF('02_대상물건입력'!$B$8="",0,IF(ISNUMBER(SEARCH('02_대상물건입력'!$B$8,E939)),1,0)))</f>
        <v/>
      </c>
      <c r="N939">
        <f>IF(B939="","",IF(B939="담보",1,0))</f>
        <v/>
      </c>
      <c r="O939">
        <f>IFERROR(ABS(G939-'02_대상물건입력'!$B$11)/'02_대상물건입력'!$B$11,"")</f>
        <v/>
      </c>
      <c r="P939">
        <f>IFERROR(ABS('01_설정'!$B$4-H939),"")</f>
        <v/>
      </c>
      <c r="Q939">
        <f>IFERROR(ABS(YEAR(J939)-YEAR('02_대상물건입력'!$B$14)),"")</f>
        <v/>
      </c>
      <c r="R939">
        <f>IF(AND(G939&gt;0,H939&gt;0,I939&gt;0,N939=1,IF('01_설정'!$B$10=1,K939=1,TRUE()),O939&lt;='01_설정'!$B$5,P939&lt;='01_설정'!$B$7,Q939&lt;='01_설정'!$B$8),"Y","")</f>
        <v/>
      </c>
      <c r="S939">
        <f>IF(R939&lt;&gt;"Y","",MAX(0,(1-O939/'01_설정'!$B$5))*'01_설정'!$B$14+MAX(0,(1-P939/'01_설정'!$B$7))*'01_설정'!$B$16+MAX(0,(1-Q939/'01_설정'!$B$8))*'01_설정'!$B$17+L939*'01_설정'!$B$11+M939*'01_설정'!$B$12+N939*50)</f>
        <v/>
      </c>
      <c r="T939">
        <f>IF(S939="","",1+COUNTIFS($S$31:$S$1030,"&gt;"&amp;S939)+COUNTIFS($S$31:S939,S939)-1)</f>
        <v/>
      </c>
    </row>
    <row r="940" hidden="1" ht="16.5" customHeight="1">
      <c r="A940">
        <f>IF(COUNTA('05_KAPA'!$A911:$AO911)=0,"",913)</f>
        <v/>
      </c>
      <c r="B940">
        <f>IF($A940="","",INDEX('05_KAPA'!$B:$B,$A940))</f>
        <v/>
      </c>
      <c r="C940">
        <f>IF($A940="","",INDEX('05_KAPA'!$F:$F,$A940))</f>
        <v/>
      </c>
      <c r="D940">
        <f>IF($A940="","",INDEX('05_KAPA'!$H:$H,$A940))</f>
        <v/>
      </c>
      <c r="E940">
        <f>IF($A940="","",INDEX('05_KAPA'!$K:$K,$A940))</f>
        <v/>
      </c>
      <c r="F940">
        <f>IF($A940="","",INDEX('05_KAPA'!$L:$L,$A940))</f>
        <v/>
      </c>
      <c r="G940">
        <f>IF($A940="","",INDEX('05_KAPA'!$I:$I,$A940))</f>
        <v/>
      </c>
      <c r="H940" s="202">
        <f>IF($A940="","",INDEX('05_KAPA'!$P:$P,$A940))</f>
        <v/>
      </c>
      <c r="I940" s="118">
        <f>IF($A940="","",INDEX('05_KAPA'!$O:$O,$A940))</f>
        <v/>
      </c>
      <c r="J940" s="202">
        <f>IF($A940="","",IFERROR(DATE(LEFT(TEXT(INDEX('05_KAPA'!$T:$T,$A940),"0"),4),MID(TEXT(INDEX('05_KAPA'!$T:$T,$A940),"0"),5,2),RIGHT(TEXT(INDEX('05_KAPA'!$T:$T,$A940),"0"),2)),""))</f>
        <v/>
      </c>
      <c r="K940">
        <f>IF(C940="","",IF('02_대상물건입력'!$B$5="",1,IF(ISNUMBER(SEARCH('02_대상물건입력'!$B$5,C940)),1,0)))</f>
        <v/>
      </c>
      <c r="L940">
        <f>IF(C940="","",IF('02_대상물건입력'!$B$6="",1,IF(ISNUMBER(SEARCH('02_대상물건입력'!$B$6,C940)),1,0)))</f>
        <v/>
      </c>
      <c r="M940">
        <f>IF(E940="","",IF('02_대상물건입력'!$B$8="",0,IF(ISNUMBER(SEARCH('02_대상물건입력'!$B$8,E940)),1,0)))</f>
        <v/>
      </c>
      <c r="N940">
        <f>IF(B940="","",IF(B940="담보",1,0))</f>
        <v/>
      </c>
      <c r="O940">
        <f>IFERROR(ABS(G940-'02_대상물건입력'!$B$11)/'02_대상물건입력'!$B$11,"")</f>
        <v/>
      </c>
      <c r="P940">
        <f>IFERROR(ABS('01_설정'!$B$4-H940),"")</f>
        <v/>
      </c>
      <c r="Q940">
        <f>IFERROR(ABS(YEAR(J940)-YEAR('02_대상물건입력'!$B$14)),"")</f>
        <v/>
      </c>
      <c r="R940">
        <f>IF(AND(G940&gt;0,H940&gt;0,I940&gt;0,N940=1,IF('01_설정'!$B$10=1,K940=1,TRUE()),O940&lt;='01_설정'!$B$5,P940&lt;='01_설정'!$B$7,Q940&lt;='01_설정'!$B$8),"Y","")</f>
        <v/>
      </c>
      <c r="S940">
        <f>IF(R940&lt;&gt;"Y","",MAX(0,(1-O940/'01_설정'!$B$5))*'01_설정'!$B$14+MAX(0,(1-P940/'01_설정'!$B$7))*'01_설정'!$B$16+MAX(0,(1-Q940/'01_설정'!$B$8))*'01_설정'!$B$17+L940*'01_설정'!$B$11+M940*'01_설정'!$B$12+N940*50)</f>
        <v/>
      </c>
      <c r="T940">
        <f>IF(S940="","",1+COUNTIFS($S$31:$S$1030,"&gt;"&amp;S940)+COUNTIFS($S$31:S940,S940)-1)</f>
        <v/>
      </c>
    </row>
    <row r="941" hidden="1" ht="16.5" customHeight="1">
      <c r="A941">
        <f>IF(COUNTA('05_KAPA'!$A912:$AO912)=0,"",914)</f>
        <v/>
      </c>
      <c r="B941">
        <f>IF($A941="","",INDEX('05_KAPA'!$B:$B,$A941))</f>
        <v/>
      </c>
      <c r="C941">
        <f>IF($A941="","",INDEX('05_KAPA'!$F:$F,$A941))</f>
        <v/>
      </c>
      <c r="D941">
        <f>IF($A941="","",INDEX('05_KAPA'!$H:$H,$A941))</f>
        <v/>
      </c>
      <c r="E941">
        <f>IF($A941="","",INDEX('05_KAPA'!$K:$K,$A941))</f>
        <v/>
      </c>
      <c r="F941">
        <f>IF($A941="","",INDEX('05_KAPA'!$L:$L,$A941))</f>
        <v/>
      </c>
      <c r="G941">
        <f>IF($A941="","",INDEX('05_KAPA'!$I:$I,$A941))</f>
        <v/>
      </c>
      <c r="H941" s="202">
        <f>IF($A941="","",INDEX('05_KAPA'!$P:$P,$A941))</f>
        <v/>
      </c>
      <c r="I941" s="118">
        <f>IF($A941="","",INDEX('05_KAPA'!$O:$O,$A941))</f>
        <v/>
      </c>
      <c r="J941" s="202">
        <f>IF($A941="","",IFERROR(DATE(LEFT(TEXT(INDEX('05_KAPA'!$T:$T,$A941),"0"),4),MID(TEXT(INDEX('05_KAPA'!$T:$T,$A941),"0"),5,2),RIGHT(TEXT(INDEX('05_KAPA'!$T:$T,$A941),"0"),2)),""))</f>
        <v/>
      </c>
      <c r="K941">
        <f>IF(C941="","",IF('02_대상물건입력'!$B$5="",1,IF(ISNUMBER(SEARCH('02_대상물건입력'!$B$5,C941)),1,0)))</f>
        <v/>
      </c>
      <c r="L941">
        <f>IF(C941="","",IF('02_대상물건입력'!$B$6="",1,IF(ISNUMBER(SEARCH('02_대상물건입력'!$B$6,C941)),1,0)))</f>
        <v/>
      </c>
      <c r="M941">
        <f>IF(E941="","",IF('02_대상물건입력'!$B$8="",0,IF(ISNUMBER(SEARCH('02_대상물건입력'!$B$8,E941)),1,0)))</f>
        <v/>
      </c>
      <c r="N941">
        <f>IF(B941="","",IF(B941="담보",1,0))</f>
        <v/>
      </c>
      <c r="O941">
        <f>IFERROR(ABS(G941-'02_대상물건입력'!$B$11)/'02_대상물건입력'!$B$11,"")</f>
        <v/>
      </c>
      <c r="P941">
        <f>IFERROR(ABS('01_설정'!$B$4-H941),"")</f>
        <v/>
      </c>
      <c r="Q941">
        <f>IFERROR(ABS(YEAR(J941)-YEAR('02_대상물건입력'!$B$14)),"")</f>
        <v/>
      </c>
      <c r="R941">
        <f>IF(AND(G941&gt;0,H941&gt;0,I941&gt;0,N941=1,IF('01_설정'!$B$10=1,K941=1,TRUE()),O941&lt;='01_설정'!$B$5,P941&lt;='01_설정'!$B$7,Q941&lt;='01_설정'!$B$8),"Y","")</f>
        <v/>
      </c>
      <c r="S941">
        <f>IF(R941&lt;&gt;"Y","",MAX(0,(1-O941/'01_설정'!$B$5))*'01_설정'!$B$14+MAX(0,(1-P941/'01_설정'!$B$7))*'01_설정'!$B$16+MAX(0,(1-Q941/'01_설정'!$B$8))*'01_설정'!$B$17+L941*'01_설정'!$B$11+M941*'01_설정'!$B$12+N941*50)</f>
        <v/>
      </c>
      <c r="T941">
        <f>IF(S941="","",1+COUNTIFS($S$31:$S$1030,"&gt;"&amp;S941)+COUNTIFS($S$31:S941,S941)-1)</f>
        <v/>
      </c>
    </row>
    <row r="942" hidden="1" ht="16.5" customHeight="1">
      <c r="A942">
        <f>IF(COUNTA('05_KAPA'!$A913:$AO913)=0,"",915)</f>
        <v/>
      </c>
      <c r="B942">
        <f>IF($A942="","",INDEX('05_KAPA'!$B:$B,$A942))</f>
        <v/>
      </c>
      <c r="C942">
        <f>IF($A942="","",INDEX('05_KAPA'!$F:$F,$A942))</f>
        <v/>
      </c>
      <c r="D942">
        <f>IF($A942="","",INDEX('05_KAPA'!$H:$H,$A942))</f>
        <v/>
      </c>
      <c r="E942">
        <f>IF($A942="","",INDEX('05_KAPA'!$K:$K,$A942))</f>
        <v/>
      </c>
      <c r="F942">
        <f>IF($A942="","",INDEX('05_KAPA'!$L:$L,$A942))</f>
        <v/>
      </c>
      <c r="G942">
        <f>IF($A942="","",INDEX('05_KAPA'!$I:$I,$A942))</f>
        <v/>
      </c>
      <c r="H942" s="202">
        <f>IF($A942="","",INDEX('05_KAPA'!$P:$P,$A942))</f>
        <v/>
      </c>
      <c r="I942" s="118">
        <f>IF($A942="","",INDEX('05_KAPA'!$O:$O,$A942))</f>
        <v/>
      </c>
      <c r="J942" s="202">
        <f>IF($A942="","",IFERROR(DATE(LEFT(TEXT(INDEX('05_KAPA'!$T:$T,$A942),"0"),4),MID(TEXT(INDEX('05_KAPA'!$T:$T,$A942),"0"),5,2),RIGHT(TEXT(INDEX('05_KAPA'!$T:$T,$A942),"0"),2)),""))</f>
        <v/>
      </c>
      <c r="K942">
        <f>IF(C942="","",IF('02_대상물건입력'!$B$5="",1,IF(ISNUMBER(SEARCH('02_대상물건입력'!$B$5,C942)),1,0)))</f>
        <v/>
      </c>
      <c r="L942">
        <f>IF(C942="","",IF('02_대상물건입력'!$B$6="",1,IF(ISNUMBER(SEARCH('02_대상물건입력'!$B$6,C942)),1,0)))</f>
        <v/>
      </c>
      <c r="M942">
        <f>IF(E942="","",IF('02_대상물건입력'!$B$8="",0,IF(ISNUMBER(SEARCH('02_대상물건입력'!$B$8,E942)),1,0)))</f>
        <v/>
      </c>
      <c r="N942">
        <f>IF(B942="","",IF(B942="담보",1,0))</f>
        <v/>
      </c>
      <c r="O942">
        <f>IFERROR(ABS(G942-'02_대상물건입력'!$B$11)/'02_대상물건입력'!$B$11,"")</f>
        <v/>
      </c>
      <c r="P942">
        <f>IFERROR(ABS('01_설정'!$B$4-H942),"")</f>
        <v/>
      </c>
      <c r="Q942">
        <f>IFERROR(ABS(YEAR(J942)-YEAR('02_대상물건입력'!$B$14)),"")</f>
        <v/>
      </c>
      <c r="R942">
        <f>IF(AND(G942&gt;0,H942&gt;0,I942&gt;0,N942=1,IF('01_설정'!$B$10=1,K942=1,TRUE()),O942&lt;='01_설정'!$B$5,P942&lt;='01_설정'!$B$7,Q942&lt;='01_설정'!$B$8),"Y","")</f>
        <v/>
      </c>
      <c r="S942">
        <f>IF(R942&lt;&gt;"Y","",MAX(0,(1-O942/'01_설정'!$B$5))*'01_설정'!$B$14+MAX(0,(1-P942/'01_설정'!$B$7))*'01_설정'!$B$16+MAX(0,(1-Q942/'01_설정'!$B$8))*'01_설정'!$B$17+L942*'01_설정'!$B$11+M942*'01_설정'!$B$12+N942*50)</f>
        <v/>
      </c>
      <c r="T942">
        <f>IF(S942="","",1+COUNTIFS($S$31:$S$1030,"&gt;"&amp;S942)+COUNTIFS($S$31:S942,S942)-1)</f>
        <v/>
      </c>
    </row>
    <row r="943" hidden="1" ht="16.5" customHeight="1">
      <c r="A943">
        <f>IF(COUNTA('05_KAPA'!$A914:$AO914)=0,"",916)</f>
        <v/>
      </c>
      <c r="B943">
        <f>IF($A943="","",INDEX('05_KAPA'!$B:$B,$A943))</f>
        <v/>
      </c>
      <c r="C943">
        <f>IF($A943="","",INDEX('05_KAPA'!$F:$F,$A943))</f>
        <v/>
      </c>
      <c r="D943">
        <f>IF($A943="","",INDEX('05_KAPA'!$H:$H,$A943))</f>
        <v/>
      </c>
      <c r="E943">
        <f>IF($A943="","",INDEX('05_KAPA'!$K:$K,$A943))</f>
        <v/>
      </c>
      <c r="F943">
        <f>IF($A943="","",INDEX('05_KAPA'!$L:$L,$A943))</f>
        <v/>
      </c>
      <c r="G943">
        <f>IF($A943="","",INDEX('05_KAPA'!$I:$I,$A943))</f>
        <v/>
      </c>
      <c r="H943" s="202">
        <f>IF($A943="","",INDEX('05_KAPA'!$P:$P,$A943))</f>
        <v/>
      </c>
      <c r="I943" s="118">
        <f>IF($A943="","",INDEX('05_KAPA'!$O:$O,$A943))</f>
        <v/>
      </c>
      <c r="J943" s="202">
        <f>IF($A943="","",IFERROR(DATE(LEFT(TEXT(INDEX('05_KAPA'!$T:$T,$A943),"0"),4),MID(TEXT(INDEX('05_KAPA'!$T:$T,$A943),"0"),5,2),RIGHT(TEXT(INDEX('05_KAPA'!$T:$T,$A943),"0"),2)),""))</f>
        <v/>
      </c>
      <c r="K943">
        <f>IF(C943="","",IF('02_대상물건입력'!$B$5="",1,IF(ISNUMBER(SEARCH('02_대상물건입력'!$B$5,C943)),1,0)))</f>
        <v/>
      </c>
      <c r="L943">
        <f>IF(C943="","",IF('02_대상물건입력'!$B$6="",1,IF(ISNUMBER(SEARCH('02_대상물건입력'!$B$6,C943)),1,0)))</f>
        <v/>
      </c>
      <c r="M943">
        <f>IF(E943="","",IF('02_대상물건입력'!$B$8="",0,IF(ISNUMBER(SEARCH('02_대상물건입력'!$B$8,E943)),1,0)))</f>
        <v/>
      </c>
      <c r="N943">
        <f>IF(B943="","",IF(B943="담보",1,0))</f>
        <v/>
      </c>
      <c r="O943">
        <f>IFERROR(ABS(G943-'02_대상물건입력'!$B$11)/'02_대상물건입력'!$B$11,"")</f>
        <v/>
      </c>
      <c r="P943">
        <f>IFERROR(ABS('01_설정'!$B$4-H943),"")</f>
        <v/>
      </c>
      <c r="Q943">
        <f>IFERROR(ABS(YEAR(J943)-YEAR('02_대상물건입력'!$B$14)),"")</f>
        <v/>
      </c>
      <c r="R943">
        <f>IF(AND(G943&gt;0,H943&gt;0,I943&gt;0,N943=1,IF('01_설정'!$B$10=1,K943=1,TRUE()),O943&lt;='01_설정'!$B$5,P943&lt;='01_설정'!$B$7,Q943&lt;='01_설정'!$B$8),"Y","")</f>
        <v/>
      </c>
      <c r="S943">
        <f>IF(R943&lt;&gt;"Y","",MAX(0,(1-O943/'01_설정'!$B$5))*'01_설정'!$B$14+MAX(0,(1-P943/'01_설정'!$B$7))*'01_설정'!$B$16+MAX(0,(1-Q943/'01_설정'!$B$8))*'01_설정'!$B$17+L943*'01_설정'!$B$11+M943*'01_설정'!$B$12+N943*50)</f>
        <v/>
      </c>
      <c r="T943">
        <f>IF(S943="","",1+COUNTIFS($S$31:$S$1030,"&gt;"&amp;S943)+COUNTIFS($S$31:S943,S943)-1)</f>
        <v/>
      </c>
    </row>
    <row r="944" hidden="1" ht="16.5" customHeight="1">
      <c r="A944">
        <f>IF(COUNTA('05_KAPA'!$A915:$AO915)=0,"",917)</f>
        <v/>
      </c>
      <c r="B944">
        <f>IF($A944="","",INDEX('05_KAPA'!$B:$B,$A944))</f>
        <v/>
      </c>
      <c r="C944">
        <f>IF($A944="","",INDEX('05_KAPA'!$F:$F,$A944))</f>
        <v/>
      </c>
      <c r="D944">
        <f>IF($A944="","",INDEX('05_KAPA'!$H:$H,$A944))</f>
        <v/>
      </c>
      <c r="E944">
        <f>IF($A944="","",INDEX('05_KAPA'!$K:$K,$A944))</f>
        <v/>
      </c>
      <c r="F944">
        <f>IF($A944="","",INDEX('05_KAPA'!$L:$L,$A944))</f>
        <v/>
      </c>
      <c r="G944">
        <f>IF($A944="","",INDEX('05_KAPA'!$I:$I,$A944))</f>
        <v/>
      </c>
      <c r="H944" s="202">
        <f>IF($A944="","",INDEX('05_KAPA'!$P:$P,$A944))</f>
        <v/>
      </c>
      <c r="I944" s="118">
        <f>IF($A944="","",INDEX('05_KAPA'!$O:$O,$A944))</f>
        <v/>
      </c>
      <c r="J944" s="202">
        <f>IF($A944="","",IFERROR(DATE(LEFT(TEXT(INDEX('05_KAPA'!$T:$T,$A944),"0"),4),MID(TEXT(INDEX('05_KAPA'!$T:$T,$A944),"0"),5,2),RIGHT(TEXT(INDEX('05_KAPA'!$T:$T,$A944),"0"),2)),""))</f>
        <v/>
      </c>
      <c r="K944">
        <f>IF(C944="","",IF('02_대상물건입력'!$B$5="",1,IF(ISNUMBER(SEARCH('02_대상물건입력'!$B$5,C944)),1,0)))</f>
        <v/>
      </c>
      <c r="L944">
        <f>IF(C944="","",IF('02_대상물건입력'!$B$6="",1,IF(ISNUMBER(SEARCH('02_대상물건입력'!$B$6,C944)),1,0)))</f>
        <v/>
      </c>
      <c r="M944">
        <f>IF(E944="","",IF('02_대상물건입력'!$B$8="",0,IF(ISNUMBER(SEARCH('02_대상물건입력'!$B$8,E944)),1,0)))</f>
        <v/>
      </c>
      <c r="N944">
        <f>IF(B944="","",IF(B944="담보",1,0))</f>
        <v/>
      </c>
      <c r="O944">
        <f>IFERROR(ABS(G944-'02_대상물건입력'!$B$11)/'02_대상물건입력'!$B$11,"")</f>
        <v/>
      </c>
      <c r="P944">
        <f>IFERROR(ABS('01_설정'!$B$4-H944),"")</f>
        <v/>
      </c>
      <c r="Q944">
        <f>IFERROR(ABS(YEAR(J944)-YEAR('02_대상물건입력'!$B$14)),"")</f>
        <v/>
      </c>
      <c r="R944">
        <f>IF(AND(G944&gt;0,H944&gt;0,I944&gt;0,N944=1,IF('01_설정'!$B$10=1,K944=1,TRUE()),O944&lt;='01_설정'!$B$5,P944&lt;='01_설정'!$B$7,Q944&lt;='01_설정'!$B$8),"Y","")</f>
        <v/>
      </c>
      <c r="S944">
        <f>IF(R944&lt;&gt;"Y","",MAX(0,(1-O944/'01_설정'!$B$5))*'01_설정'!$B$14+MAX(0,(1-P944/'01_설정'!$B$7))*'01_설정'!$B$16+MAX(0,(1-Q944/'01_설정'!$B$8))*'01_설정'!$B$17+L944*'01_설정'!$B$11+M944*'01_설정'!$B$12+N944*50)</f>
        <v/>
      </c>
      <c r="T944">
        <f>IF(S944="","",1+COUNTIFS($S$31:$S$1030,"&gt;"&amp;S944)+COUNTIFS($S$31:S944,S944)-1)</f>
        <v/>
      </c>
    </row>
    <row r="945" hidden="1" ht="16.5" customHeight="1">
      <c r="A945">
        <f>IF(COUNTA('05_KAPA'!$A916:$AO916)=0,"",918)</f>
        <v/>
      </c>
      <c r="B945">
        <f>IF($A945="","",INDEX('05_KAPA'!$B:$B,$A945))</f>
        <v/>
      </c>
      <c r="C945">
        <f>IF($A945="","",INDEX('05_KAPA'!$F:$F,$A945))</f>
        <v/>
      </c>
      <c r="D945">
        <f>IF($A945="","",INDEX('05_KAPA'!$H:$H,$A945))</f>
        <v/>
      </c>
      <c r="E945">
        <f>IF($A945="","",INDEX('05_KAPA'!$K:$K,$A945))</f>
        <v/>
      </c>
      <c r="F945">
        <f>IF($A945="","",INDEX('05_KAPA'!$L:$L,$A945))</f>
        <v/>
      </c>
      <c r="G945">
        <f>IF($A945="","",INDEX('05_KAPA'!$I:$I,$A945))</f>
        <v/>
      </c>
      <c r="H945" s="202">
        <f>IF($A945="","",INDEX('05_KAPA'!$P:$P,$A945))</f>
        <v/>
      </c>
      <c r="I945" s="118">
        <f>IF($A945="","",INDEX('05_KAPA'!$O:$O,$A945))</f>
        <v/>
      </c>
      <c r="J945" s="202">
        <f>IF($A945="","",IFERROR(DATE(LEFT(TEXT(INDEX('05_KAPA'!$T:$T,$A945),"0"),4),MID(TEXT(INDEX('05_KAPA'!$T:$T,$A945),"0"),5,2),RIGHT(TEXT(INDEX('05_KAPA'!$T:$T,$A945),"0"),2)),""))</f>
        <v/>
      </c>
      <c r="K945">
        <f>IF(C945="","",IF('02_대상물건입력'!$B$5="",1,IF(ISNUMBER(SEARCH('02_대상물건입력'!$B$5,C945)),1,0)))</f>
        <v/>
      </c>
      <c r="L945">
        <f>IF(C945="","",IF('02_대상물건입력'!$B$6="",1,IF(ISNUMBER(SEARCH('02_대상물건입력'!$B$6,C945)),1,0)))</f>
        <v/>
      </c>
      <c r="M945">
        <f>IF(E945="","",IF('02_대상물건입력'!$B$8="",0,IF(ISNUMBER(SEARCH('02_대상물건입력'!$B$8,E945)),1,0)))</f>
        <v/>
      </c>
      <c r="N945">
        <f>IF(B945="","",IF(B945="담보",1,0))</f>
        <v/>
      </c>
      <c r="O945">
        <f>IFERROR(ABS(G945-'02_대상물건입력'!$B$11)/'02_대상물건입력'!$B$11,"")</f>
        <v/>
      </c>
      <c r="P945">
        <f>IFERROR(ABS('01_설정'!$B$4-H945),"")</f>
        <v/>
      </c>
      <c r="Q945">
        <f>IFERROR(ABS(YEAR(J945)-YEAR('02_대상물건입력'!$B$14)),"")</f>
        <v/>
      </c>
      <c r="R945">
        <f>IF(AND(G945&gt;0,H945&gt;0,I945&gt;0,N945=1,IF('01_설정'!$B$10=1,K945=1,TRUE()),O945&lt;='01_설정'!$B$5,P945&lt;='01_설정'!$B$7,Q945&lt;='01_설정'!$B$8),"Y","")</f>
        <v/>
      </c>
      <c r="S945">
        <f>IF(R945&lt;&gt;"Y","",MAX(0,(1-O945/'01_설정'!$B$5))*'01_설정'!$B$14+MAX(0,(1-P945/'01_설정'!$B$7))*'01_설정'!$B$16+MAX(0,(1-Q945/'01_설정'!$B$8))*'01_설정'!$B$17+L945*'01_설정'!$B$11+M945*'01_설정'!$B$12+N945*50)</f>
        <v/>
      </c>
      <c r="T945">
        <f>IF(S945="","",1+COUNTIFS($S$31:$S$1030,"&gt;"&amp;S945)+COUNTIFS($S$31:S945,S945)-1)</f>
        <v/>
      </c>
    </row>
    <row r="946" hidden="1" ht="16.5" customHeight="1">
      <c r="A946">
        <f>IF(COUNTA('05_KAPA'!$A917:$AO917)=0,"",919)</f>
        <v/>
      </c>
      <c r="B946">
        <f>IF($A946="","",INDEX('05_KAPA'!$B:$B,$A946))</f>
        <v/>
      </c>
      <c r="C946">
        <f>IF($A946="","",INDEX('05_KAPA'!$F:$F,$A946))</f>
        <v/>
      </c>
      <c r="D946">
        <f>IF($A946="","",INDEX('05_KAPA'!$H:$H,$A946))</f>
        <v/>
      </c>
      <c r="E946">
        <f>IF($A946="","",INDEX('05_KAPA'!$K:$K,$A946))</f>
        <v/>
      </c>
      <c r="F946">
        <f>IF($A946="","",INDEX('05_KAPA'!$L:$L,$A946))</f>
        <v/>
      </c>
      <c r="G946">
        <f>IF($A946="","",INDEX('05_KAPA'!$I:$I,$A946))</f>
        <v/>
      </c>
      <c r="H946" s="202">
        <f>IF($A946="","",INDEX('05_KAPA'!$P:$P,$A946))</f>
        <v/>
      </c>
      <c r="I946" s="118">
        <f>IF($A946="","",INDEX('05_KAPA'!$O:$O,$A946))</f>
        <v/>
      </c>
      <c r="J946" s="202">
        <f>IF($A946="","",IFERROR(DATE(LEFT(TEXT(INDEX('05_KAPA'!$T:$T,$A946),"0"),4),MID(TEXT(INDEX('05_KAPA'!$T:$T,$A946),"0"),5,2),RIGHT(TEXT(INDEX('05_KAPA'!$T:$T,$A946),"0"),2)),""))</f>
        <v/>
      </c>
      <c r="K946">
        <f>IF(C946="","",IF('02_대상물건입력'!$B$5="",1,IF(ISNUMBER(SEARCH('02_대상물건입력'!$B$5,C946)),1,0)))</f>
        <v/>
      </c>
      <c r="L946">
        <f>IF(C946="","",IF('02_대상물건입력'!$B$6="",1,IF(ISNUMBER(SEARCH('02_대상물건입력'!$B$6,C946)),1,0)))</f>
        <v/>
      </c>
      <c r="M946">
        <f>IF(E946="","",IF('02_대상물건입력'!$B$8="",0,IF(ISNUMBER(SEARCH('02_대상물건입력'!$B$8,E946)),1,0)))</f>
        <v/>
      </c>
      <c r="N946">
        <f>IF(B946="","",IF(B946="담보",1,0))</f>
        <v/>
      </c>
      <c r="O946">
        <f>IFERROR(ABS(G946-'02_대상물건입력'!$B$11)/'02_대상물건입력'!$B$11,"")</f>
        <v/>
      </c>
      <c r="P946">
        <f>IFERROR(ABS('01_설정'!$B$4-H946),"")</f>
        <v/>
      </c>
      <c r="Q946">
        <f>IFERROR(ABS(YEAR(J946)-YEAR('02_대상물건입력'!$B$14)),"")</f>
        <v/>
      </c>
      <c r="R946">
        <f>IF(AND(G946&gt;0,H946&gt;0,I946&gt;0,N946=1,IF('01_설정'!$B$10=1,K946=1,TRUE()),O946&lt;='01_설정'!$B$5,P946&lt;='01_설정'!$B$7,Q946&lt;='01_설정'!$B$8),"Y","")</f>
        <v/>
      </c>
      <c r="S946">
        <f>IF(R946&lt;&gt;"Y","",MAX(0,(1-O946/'01_설정'!$B$5))*'01_설정'!$B$14+MAX(0,(1-P946/'01_설정'!$B$7))*'01_설정'!$B$16+MAX(0,(1-Q946/'01_설정'!$B$8))*'01_설정'!$B$17+L946*'01_설정'!$B$11+M946*'01_설정'!$B$12+N946*50)</f>
        <v/>
      </c>
      <c r="T946">
        <f>IF(S946="","",1+COUNTIFS($S$31:$S$1030,"&gt;"&amp;S946)+COUNTIFS($S$31:S946,S946)-1)</f>
        <v/>
      </c>
    </row>
    <row r="947" hidden="1" ht="16.5" customHeight="1">
      <c r="A947">
        <f>IF(COUNTA('05_KAPA'!$A918:$AO918)=0,"",920)</f>
        <v/>
      </c>
      <c r="B947">
        <f>IF($A947="","",INDEX('05_KAPA'!$B:$B,$A947))</f>
        <v/>
      </c>
      <c r="C947">
        <f>IF($A947="","",INDEX('05_KAPA'!$F:$F,$A947))</f>
        <v/>
      </c>
      <c r="D947">
        <f>IF($A947="","",INDEX('05_KAPA'!$H:$H,$A947))</f>
        <v/>
      </c>
      <c r="E947">
        <f>IF($A947="","",INDEX('05_KAPA'!$K:$K,$A947))</f>
        <v/>
      </c>
      <c r="F947">
        <f>IF($A947="","",INDEX('05_KAPA'!$L:$L,$A947))</f>
        <v/>
      </c>
      <c r="G947">
        <f>IF($A947="","",INDEX('05_KAPA'!$I:$I,$A947))</f>
        <v/>
      </c>
      <c r="H947" s="202">
        <f>IF($A947="","",INDEX('05_KAPA'!$P:$P,$A947))</f>
        <v/>
      </c>
      <c r="I947" s="118">
        <f>IF($A947="","",INDEX('05_KAPA'!$O:$O,$A947))</f>
        <v/>
      </c>
      <c r="J947" s="202">
        <f>IF($A947="","",IFERROR(DATE(LEFT(TEXT(INDEX('05_KAPA'!$T:$T,$A947),"0"),4),MID(TEXT(INDEX('05_KAPA'!$T:$T,$A947),"0"),5,2),RIGHT(TEXT(INDEX('05_KAPA'!$T:$T,$A947),"0"),2)),""))</f>
        <v/>
      </c>
      <c r="K947">
        <f>IF(C947="","",IF('02_대상물건입력'!$B$5="",1,IF(ISNUMBER(SEARCH('02_대상물건입력'!$B$5,C947)),1,0)))</f>
        <v/>
      </c>
      <c r="L947">
        <f>IF(C947="","",IF('02_대상물건입력'!$B$6="",1,IF(ISNUMBER(SEARCH('02_대상물건입력'!$B$6,C947)),1,0)))</f>
        <v/>
      </c>
      <c r="M947">
        <f>IF(E947="","",IF('02_대상물건입력'!$B$8="",0,IF(ISNUMBER(SEARCH('02_대상물건입력'!$B$8,E947)),1,0)))</f>
        <v/>
      </c>
      <c r="N947">
        <f>IF(B947="","",IF(B947="담보",1,0))</f>
        <v/>
      </c>
      <c r="O947">
        <f>IFERROR(ABS(G947-'02_대상물건입력'!$B$11)/'02_대상물건입력'!$B$11,"")</f>
        <v/>
      </c>
      <c r="P947">
        <f>IFERROR(ABS('01_설정'!$B$4-H947),"")</f>
        <v/>
      </c>
      <c r="Q947">
        <f>IFERROR(ABS(YEAR(J947)-YEAR('02_대상물건입력'!$B$14)),"")</f>
        <v/>
      </c>
      <c r="R947">
        <f>IF(AND(G947&gt;0,H947&gt;0,I947&gt;0,N947=1,IF('01_설정'!$B$10=1,K947=1,TRUE()),O947&lt;='01_설정'!$B$5,P947&lt;='01_설정'!$B$7,Q947&lt;='01_설정'!$B$8),"Y","")</f>
        <v/>
      </c>
      <c r="S947">
        <f>IF(R947&lt;&gt;"Y","",MAX(0,(1-O947/'01_설정'!$B$5))*'01_설정'!$B$14+MAX(0,(1-P947/'01_설정'!$B$7))*'01_설정'!$B$16+MAX(0,(1-Q947/'01_설정'!$B$8))*'01_설정'!$B$17+L947*'01_설정'!$B$11+M947*'01_설정'!$B$12+N947*50)</f>
        <v/>
      </c>
      <c r="T947">
        <f>IF(S947="","",1+COUNTIFS($S$31:$S$1030,"&gt;"&amp;S947)+COUNTIFS($S$31:S947,S947)-1)</f>
        <v/>
      </c>
    </row>
    <row r="948" hidden="1" ht="16.5" customHeight="1">
      <c r="A948">
        <f>IF(COUNTA('05_KAPA'!$A919:$AO919)=0,"",921)</f>
        <v/>
      </c>
      <c r="B948">
        <f>IF($A948="","",INDEX('05_KAPA'!$B:$B,$A948))</f>
        <v/>
      </c>
      <c r="C948">
        <f>IF($A948="","",INDEX('05_KAPA'!$F:$F,$A948))</f>
        <v/>
      </c>
      <c r="D948">
        <f>IF($A948="","",INDEX('05_KAPA'!$H:$H,$A948))</f>
        <v/>
      </c>
      <c r="E948">
        <f>IF($A948="","",INDEX('05_KAPA'!$K:$K,$A948))</f>
        <v/>
      </c>
      <c r="F948">
        <f>IF($A948="","",INDEX('05_KAPA'!$L:$L,$A948))</f>
        <v/>
      </c>
      <c r="G948">
        <f>IF($A948="","",INDEX('05_KAPA'!$I:$I,$A948))</f>
        <v/>
      </c>
      <c r="H948" s="202">
        <f>IF($A948="","",INDEX('05_KAPA'!$P:$P,$A948))</f>
        <v/>
      </c>
      <c r="I948" s="118">
        <f>IF($A948="","",INDEX('05_KAPA'!$O:$O,$A948))</f>
        <v/>
      </c>
      <c r="J948" s="202">
        <f>IF($A948="","",IFERROR(DATE(LEFT(TEXT(INDEX('05_KAPA'!$T:$T,$A948),"0"),4),MID(TEXT(INDEX('05_KAPA'!$T:$T,$A948),"0"),5,2),RIGHT(TEXT(INDEX('05_KAPA'!$T:$T,$A948),"0"),2)),""))</f>
        <v/>
      </c>
      <c r="K948">
        <f>IF(C948="","",IF('02_대상물건입력'!$B$5="",1,IF(ISNUMBER(SEARCH('02_대상물건입력'!$B$5,C948)),1,0)))</f>
        <v/>
      </c>
      <c r="L948">
        <f>IF(C948="","",IF('02_대상물건입력'!$B$6="",1,IF(ISNUMBER(SEARCH('02_대상물건입력'!$B$6,C948)),1,0)))</f>
        <v/>
      </c>
      <c r="M948">
        <f>IF(E948="","",IF('02_대상물건입력'!$B$8="",0,IF(ISNUMBER(SEARCH('02_대상물건입력'!$B$8,E948)),1,0)))</f>
        <v/>
      </c>
      <c r="N948">
        <f>IF(B948="","",IF(B948="담보",1,0))</f>
        <v/>
      </c>
      <c r="O948">
        <f>IFERROR(ABS(G948-'02_대상물건입력'!$B$11)/'02_대상물건입력'!$B$11,"")</f>
        <v/>
      </c>
      <c r="P948">
        <f>IFERROR(ABS('01_설정'!$B$4-H948),"")</f>
        <v/>
      </c>
      <c r="Q948">
        <f>IFERROR(ABS(YEAR(J948)-YEAR('02_대상물건입력'!$B$14)),"")</f>
        <v/>
      </c>
      <c r="R948">
        <f>IF(AND(G948&gt;0,H948&gt;0,I948&gt;0,N948=1,IF('01_설정'!$B$10=1,K948=1,TRUE()),O948&lt;='01_설정'!$B$5,P948&lt;='01_설정'!$B$7,Q948&lt;='01_설정'!$B$8),"Y","")</f>
        <v/>
      </c>
      <c r="S948">
        <f>IF(R948&lt;&gt;"Y","",MAX(0,(1-O948/'01_설정'!$B$5))*'01_설정'!$B$14+MAX(0,(1-P948/'01_설정'!$B$7))*'01_설정'!$B$16+MAX(0,(1-Q948/'01_설정'!$B$8))*'01_설정'!$B$17+L948*'01_설정'!$B$11+M948*'01_설정'!$B$12+N948*50)</f>
        <v/>
      </c>
      <c r="T948">
        <f>IF(S948="","",1+COUNTIFS($S$31:$S$1030,"&gt;"&amp;S948)+COUNTIFS($S$31:S948,S948)-1)</f>
        <v/>
      </c>
    </row>
    <row r="949" hidden="1" ht="16.5" customHeight="1">
      <c r="A949">
        <f>IF(COUNTA('05_KAPA'!$A920:$AO920)=0,"",922)</f>
        <v/>
      </c>
      <c r="B949">
        <f>IF($A949="","",INDEX('05_KAPA'!$B:$B,$A949))</f>
        <v/>
      </c>
      <c r="C949">
        <f>IF($A949="","",INDEX('05_KAPA'!$F:$F,$A949))</f>
        <v/>
      </c>
      <c r="D949">
        <f>IF($A949="","",INDEX('05_KAPA'!$H:$H,$A949))</f>
        <v/>
      </c>
      <c r="E949">
        <f>IF($A949="","",INDEX('05_KAPA'!$K:$K,$A949))</f>
        <v/>
      </c>
      <c r="F949">
        <f>IF($A949="","",INDEX('05_KAPA'!$L:$L,$A949))</f>
        <v/>
      </c>
      <c r="G949">
        <f>IF($A949="","",INDEX('05_KAPA'!$I:$I,$A949))</f>
        <v/>
      </c>
      <c r="H949" s="202">
        <f>IF($A949="","",INDEX('05_KAPA'!$P:$P,$A949))</f>
        <v/>
      </c>
      <c r="I949" s="118">
        <f>IF($A949="","",INDEX('05_KAPA'!$O:$O,$A949))</f>
        <v/>
      </c>
      <c r="J949" s="202">
        <f>IF($A949="","",IFERROR(DATE(LEFT(TEXT(INDEX('05_KAPA'!$T:$T,$A949),"0"),4),MID(TEXT(INDEX('05_KAPA'!$T:$T,$A949),"0"),5,2),RIGHT(TEXT(INDEX('05_KAPA'!$T:$T,$A949),"0"),2)),""))</f>
        <v/>
      </c>
      <c r="K949">
        <f>IF(C949="","",IF('02_대상물건입력'!$B$5="",1,IF(ISNUMBER(SEARCH('02_대상물건입력'!$B$5,C949)),1,0)))</f>
        <v/>
      </c>
      <c r="L949">
        <f>IF(C949="","",IF('02_대상물건입력'!$B$6="",1,IF(ISNUMBER(SEARCH('02_대상물건입력'!$B$6,C949)),1,0)))</f>
        <v/>
      </c>
      <c r="M949">
        <f>IF(E949="","",IF('02_대상물건입력'!$B$8="",0,IF(ISNUMBER(SEARCH('02_대상물건입력'!$B$8,E949)),1,0)))</f>
        <v/>
      </c>
      <c r="N949">
        <f>IF(B949="","",IF(B949="담보",1,0))</f>
        <v/>
      </c>
      <c r="O949">
        <f>IFERROR(ABS(G949-'02_대상물건입력'!$B$11)/'02_대상물건입력'!$B$11,"")</f>
        <v/>
      </c>
      <c r="P949">
        <f>IFERROR(ABS('01_설정'!$B$4-H949),"")</f>
        <v/>
      </c>
      <c r="Q949">
        <f>IFERROR(ABS(YEAR(J949)-YEAR('02_대상물건입력'!$B$14)),"")</f>
        <v/>
      </c>
      <c r="R949">
        <f>IF(AND(G949&gt;0,H949&gt;0,I949&gt;0,N949=1,IF('01_설정'!$B$10=1,K949=1,TRUE()),O949&lt;='01_설정'!$B$5,P949&lt;='01_설정'!$B$7,Q949&lt;='01_설정'!$B$8),"Y","")</f>
        <v/>
      </c>
      <c r="S949">
        <f>IF(R949&lt;&gt;"Y","",MAX(0,(1-O949/'01_설정'!$B$5))*'01_설정'!$B$14+MAX(0,(1-P949/'01_설정'!$B$7))*'01_설정'!$B$16+MAX(0,(1-Q949/'01_설정'!$B$8))*'01_설정'!$B$17+L949*'01_설정'!$B$11+M949*'01_설정'!$B$12+N949*50)</f>
        <v/>
      </c>
      <c r="T949">
        <f>IF(S949="","",1+COUNTIFS($S$31:$S$1030,"&gt;"&amp;S949)+COUNTIFS($S$31:S949,S949)-1)</f>
        <v/>
      </c>
    </row>
    <row r="950" hidden="1" ht="16.5" customHeight="1">
      <c r="A950">
        <f>IF(COUNTA('05_KAPA'!$A921:$AO921)=0,"",923)</f>
        <v/>
      </c>
      <c r="B950">
        <f>IF($A950="","",INDEX('05_KAPA'!$B:$B,$A950))</f>
        <v/>
      </c>
      <c r="C950">
        <f>IF($A950="","",INDEX('05_KAPA'!$F:$F,$A950))</f>
        <v/>
      </c>
      <c r="D950">
        <f>IF($A950="","",INDEX('05_KAPA'!$H:$H,$A950))</f>
        <v/>
      </c>
      <c r="E950">
        <f>IF($A950="","",INDEX('05_KAPA'!$K:$K,$A950))</f>
        <v/>
      </c>
      <c r="F950">
        <f>IF($A950="","",INDEX('05_KAPA'!$L:$L,$A950))</f>
        <v/>
      </c>
      <c r="G950">
        <f>IF($A950="","",INDEX('05_KAPA'!$I:$I,$A950))</f>
        <v/>
      </c>
      <c r="H950" s="202">
        <f>IF($A950="","",INDEX('05_KAPA'!$P:$P,$A950))</f>
        <v/>
      </c>
      <c r="I950" s="118">
        <f>IF($A950="","",INDEX('05_KAPA'!$O:$O,$A950))</f>
        <v/>
      </c>
      <c r="J950" s="202">
        <f>IF($A950="","",IFERROR(DATE(LEFT(TEXT(INDEX('05_KAPA'!$T:$T,$A950),"0"),4),MID(TEXT(INDEX('05_KAPA'!$T:$T,$A950),"0"),5,2),RIGHT(TEXT(INDEX('05_KAPA'!$T:$T,$A950),"0"),2)),""))</f>
        <v/>
      </c>
      <c r="K950">
        <f>IF(C950="","",IF('02_대상물건입력'!$B$5="",1,IF(ISNUMBER(SEARCH('02_대상물건입력'!$B$5,C950)),1,0)))</f>
        <v/>
      </c>
      <c r="L950">
        <f>IF(C950="","",IF('02_대상물건입력'!$B$6="",1,IF(ISNUMBER(SEARCH('02_대상물건입력'!$B$6,C950)),1,0)))</f>
        <v/>
      </c>
      <c r="M950">
        <f>IF(E950="","",IF('02_대상물건입력'!$B$8="",0,IF(ISNUMBER(SEARCH('02_대상물건입력'!$B$8,E950)),1,0)))</f>
        <v/>
      </c>
      <c r="N950">
        <f>IF(B950="","",IF(B950="담보",1,0))</f>
        <v/>
      </c>
      <c r="O950">
        <f>IFERROR(ABS(G950-'02_대상물건입력'!$B$11)/'02_대상물건입력'!$B$11,"")</f>
        <v/>
      </c>
      <c r="P950">
        <f>IFERROR(ABS('01_설정'!$B$4-H950),"")</f>
        <v/>
      </c>
      <c r="Q950">
        <f>IFERROR(ABS(YEAR(J950)-YEAR('02_대상물건입력'!$B$14)),"")</f>
        <v/>
      </c>
      <c r="R950">
        <f>IF(AND(G950&gt;0,H950&gt;0,I950&gt;0,N950=1,IF('01_설정'!$B$10=1,K950=1,TRUE()),O950&lt;='01_설정'!$B$5,P950&lt;='01_설정'!$B$7,Q950&lt;='01_설정'!$B$8),"Y","")</f>
        <v/>
      </c>
      <c r="S950">
        <f>IF(R950&lt;&gt;"Y","",MAX(0,(1-O950/'01_설정'!$B$5))*'01_설정'!$B$14+MAX(0,(1-P950/'01_설정'!$B$7))*'01_설정'!$B$16+MAX(0,(1-Q950/'01_설정'!$B$8))*'01_설정'!$B$17+L950*'01_설정'!$B$11+M950*'01_설정'!$B$12+N950*50)</f>
        <v/>
      </c>
      <c r="T950">
        <f>IF(S950="","",1+COUNTIFS($S$31:$S$1030,"&gt;"&amp;S950)+COUNTIFS($S$31:S950,S950)-1)</f>
        <v/>
      </c>
    </row>
    <row r="951" hidden="1" ht="16.5" customHeight="1">
      <c r="A951">
        <f>IF(COUNTA('05_KAPA'!$A922:$AO922)=0,"",924)</f>
        <v/>
      </c>
      <c r="B951">
        <f>IF($A951="","",INDEX('05_KAPA'!$B:$B,$A951))</f>
        <v/>
      </c>
      <c r="C951">
        <f>IF($A951="","",INDEX('05_KAPA'!$F:$F,$A951))</f>
        <v/>
      </c>
      <c r="D951">
        <f>IF($A951="","",INDEX('05_KAPA'!$H:$H,$A951))</f>
        <v/>
      </c>
      <c r="E951">
        <f>IF($A951="","",INDEX('05_KAPA'!$K:$K,$A951))</f>
        <v/>
      </c>
      <c r="F951">
        <f>IF($A951="","",INDEX('05_KAPA'!$L:$L,$A951))</f>
        <v/>
      </c>
      <c r="G951">
        <f>IF($A951="","",INDEX('05_KAPA'!$I:$I,$A951))</f>
        <v/>
      </c>
      <c r="H951" s="202">
        <f>IF($A951="","",INDEX('05_KAPA'!$P:$P,$A951))</f>
        <v/>
      </c>
      <c r="I951" s="118">
        <f>IF($A951="","",INDEX('05_KAPA'!$O:$O,$A951))</f>
        <v/>
      </c>
      <c r="J951" s="202">
        <f>IF($A951="","",IFERROR(DATE(LEFT(TEXT(INDEX('05_KAPA'!$T:$T,$A951),"0"),4),MID(TEXT(INDEX('05_KAPA'!$T:$T,$A951),"0"),5,2),RIGHT(TEXT(INDEX('05_KAPA'!$T:$T,$A951),"0"),2)),""))</f>
        <v/>
      </c>
      <c r="K951">
        <f>IF(C951="","",IF('02_대상물건입력'!$B$5="",1,IF(ISNUMBER(SEARCH('02_대상물건입력'!$B$5,C951)),1,0)))</f>
        <v/>
      </c>
      <c r="L951">
        <f>IF(C951="","",IF('02_대상물건입력'!$B$6="",1,IF(ISNUMBER(SEARCH('02_대상물건입력'!$B$6,C951)),1,0)))</f>
        <v/>
      </c>
      <c r="M951">
        <f>IF(E951="","",IF('02_대상물건입력'!$B$8="",0,IF(ISNUMBER(SEARCH('02_대상물건입력'!$B$8,E951)),1,0)))</f>
        <v/>
      </c>
      <c r="N951">
        <f>IF(B951="","",IF(B951="담보",1,0))</f>
        <v/>
      </c>
      <c r="O951">
        <f>IFERROR(ABS(G951-'02_대상물건입력'!$B$11)/'02_대상물건입력'!$B$11,"")</f>
        <v/>
      </c>
      <c r="P951">
        <f>IFERROR(ABS('01_설정'!$B$4-H951),"")</f>
        <v/>
      </c>
      <c r="Q951">
        <f>IFERROR(ABS(YEAR(J951)-YEAR('02_대상물건입력'!$B$14)),"")</f>
        <v/>
      </c>
      <c r="R951">
        <f>IF(AND(G951&gt;0,H951&gt;0,I951&gt;0,N951=1,IF('01_설정'!$B$10=1,K951=1,TRUE()),O951&lt;='01_설정'!$B$5,P951&lt;='01_설정'!$B$7,Q951&lt;='01_설정'!$B$8),"Y","")</f>
        <v/>
      </c>
      <c r="S951">
        <f>IF(R951&lt;&gt;"Y","",MAX(0,(1-O951/'01_설정'!$B$5))*'01_설정'!$B$14+MAX(0,(1-P951/'01_설정'!$B$7))*'01_설정'!$B$16+MAX(0,(1-Q951/'01_설정'!$B$8))*'01_설정'!$B$17+L951*'01_설정'!$B$11+M951*'01_설정'!$B$12+N951*50)</f>
        <v/>
      </c>
      <c r="T951">
        <f>IF(S951="","",1+COUNTIFS($S$31:$S$1030,"&gt;"&amp;S951)+COUNTIFS($S$31:S951,S951)-1)</f>
        <v/>
      </c>
    </row>
    <row r="952" hidden="1" ht="16.5" customHeight="1">
      <c r="A952">
        <f>IF(COUNTA('05_KAPA'!$A923:$AO923)=0,"",925)</f>
        <v/>
      </c>
      <c r="B952">
        <f>IF($A952="","",INDEX('05_KAPA'!$B:$B,$A952))</f>
        <v/>
      </c>
      <c r="C952">
        <f>IF($A952="","",INDEX('05_KAPA'!$F:$F,$A952))</f>
        <v/>
      </c>
      <c r="D952">
        <f>IF($A952="","",INDEX('05_KAPA'!$H:$H,$A952))</f>
        <v/>
      </c>
      <c r="E952">
        <f>IF($A952="","",INDEX('05_KAPA'!$K:$K,$A952))</f>
        <v/>
      </c>
      <c r="F952">
        <f>IF($A952="","",INDEX('05_KAPA'!$L:$L,$A952))</f>
        <v/>
      </c>
      <c r="G952">
        <f>IF($A952="","",INDEX('05_KAPA'!$I:$I,$A952))</f>
        <v/>
      </c>
      <c r="H952" s="202">
        <f>IF($A952="","",INDEX('05_KAPA'!$P:$P,$A952))</f>
        <v/>
      </c>
      <c r="I952" s="118">
        <f>IF($A952="","",INDEX('05_KAPA'!$O:$O,$A952))</f>
        <v/>
      </c>
      <c r="J952" s="202">
        <f>IF($A952="","",IFERROR(DATE(LEFT(TEXT(INDEX('05_KAPA'!$T:$T,$A952),"0"),4),MID(TEXT(INDEX('05_KAPA'!$T:$T,$A952),"0"),5,2),RIGHT(TEXT(INDEX('05_KAPA'!$T:$T,$A952),"0"),2)),""))</f>
        <v/>
      </c>
      <c r="K952">
        <f>IF(C952="","",IF('02_대상물건입력'!$B$5="",1,IF(ISNUMBER(SEARCH('02_대상물건입력'!$B$5,C952)),1,0)))</f>
        <v/>
      </c>
      <c r="L952">
        <f>IF(C952="","",IF('02_대상물건입력'!$B$6="",1,IF(ISNUMBER(SEARCH('02_대상물건입력'!$B$6,C952)),1,0)))</f>
        <v/>
      </c>
      <c r="M952">
        <f>IF(E952="","",IF('02_대상물건입력'!$B$8="",0,IF(ISNUMBER(SEARCH('02_대상물건입력'!$B$8,E952)),1,0)))</f>
        <v/>
      </c>
      <c r="N952">
        <f>IF(B952="","",IF(B952="담보",1,0))</f>
        <v/>
      </c>
      <c r="O952">
        <f>IFERROR(ABS(G952-'02_대상물건입력'!$B$11)/'02_대상물건입력'!$B$11,"")</f>
        <v/>
      </c>
      <c r="P952">
        <f>IFERROR(ABS('01_설정'!$B$4-H952),"")</f>
        <v/>
      </c>
      <c r="Q952">
        <f>IFERROR(ABS(YEAR(J952)-YEAR('02_대상물건입력'!$B$14)),"")</f>
        <v/>
      </c>
      <c r="R952">
        <f>IF(AND(G952&gt;0,H952&gt;0,I952&gt;0,N952=1,IF('01_설정'!$B$10=1,K952=1,TRUE()),O952&lt;='01_설정'!$B$5,P952&lt;='01_설정'!$B$7,Q952&lt;='01_설정'!$B$8),"Y","")</f>
        <v/>
      </c>
      <c r="S952">
        <f>IF(R952&lt;&gt;"Y","",MAX(0,(1-O952/'01_설정'!$B$5))*'01_설정'!$B$14+MAX(0,(1-P952/'01_설정'!$B$7))*'01_설정'!$B$16+MAX(0,(1-Q952/'01_설정'!$B$8))*'01_설정'!$B$17+L952*'01_설정'!$B$11+M952*'01_설정'!$B$12+N952*50)</f>
        <v/>
      </c>
      <c r="T952">
        <f>IF(S952="","",1+COUNTIFS($S$31:$S$1030,"&gt;"&amp;S952)+COUNTIFS($S$31:S952,S952)-1)</f>
        <v/>
      </c>
    </row>
    <row r="953" hidden="1" ht="16.5" customHeight="1">
      <c r="A953">
        <f>IF(COUNTA('05_KAPA'!$A924:$AO924)=0,"",926)</f>
        <v/>
      </c>
      <c r="B953">
        <f>IF($A953="","",INDEX('05_KAPA'!$B:$B,$A953))</f>
        <v/>
      </c>
      <c r="C953">
        <f>IF($A953="","",INDEX('05_KAPA'!$F:$F,$A953))</f>
        <v/>
      </c>
      <c r="D953">
        <f>IF($A953="","",INDEX('05_KAPA'!$H:$H,$A953))</f>
        <v/>
      </c>
      <c r="E953">
        <f>IF($A953="","",INDEX('05_KAPA'!$K:$K,$A953))</f>
        <v/>
      </c>
      <c r="F953">
        <f>IF($A953="","",INDEX('05_KAPA'!$L:$L,$A953))</f>
        <v/>
      </c>
      <c r="G953">
        <f>IF($A953="","",INDEX('05_KAPA'!$I:$I,$A953))</f>
        <v/>
      </c>
      <c r="H953" s="202">
        <f>IF($A953="","",INDEX('05_KAPA'!$P:$P,$A953))</f>
        <v/>
      </c>
      <c r="I953" s="118">
        <f>IF($A953="","",INDEX('05_KAPA'!$O:$O,$A953))</f>
        <v/>
      </c>
      <c r="J953" s="202">
        <f>IF($A953="","",IFERROR(DATE(LEFT(TEXT(INDEX('05_KAPA'!$T:$T,$A953),"0"),4),MID(TEXT(INDEX('05_KAPA'!$T:$T,$A953),"0"),5,2),RIGHT(TEXT(INDEX('05_KAPA'!$T:$T,$A953),"0"),2)),""))</f>
        <v/>
      </c>
      <c r="K953">
        <f>IF(C953="","",IF('02_대상물건입력'!$B$5="",1,IF(ISNUMBER(SEARCH('02_대상물건입력'!$B$5,C953)),1,0)))</f>
        <v/>
      </c>
      <c r="L953">
        <f>IF(C953="","",IF('02_대상물건입력'!$B$6="",1,IF(ISNUMBER(SEARCH('02_대상물건입력'!$B$6,C953)),1,0)))</f>
        <v/>
      </c>
      <c r="M953">
        <f>IF(E953="","",IF('02_대상물건입력'!$B$8="",0,IF(ISNUMBER(SEARCH('02_대상물건입력'!$B$8,E953)),1,0)))</f>
        <v/>
      </c>
      <c r="N953">
        <f>IF(B953="","",IF(B953="담보",1,0))</f>
        <v/>
      </c>
      <c r="O953">
        <f>IFERROR(ABS(G953-'02_대상물건입력'!$B$11)/'02_대상물건입력'!$B$11,"")</f>
        <v/>
      </c>
      <c r="P953">
        <f>IFERROR(ABS('01_설정'!$B$4-H953),"")</f>
        <v/>
      </c>
      <c r="Q953">
        <f>IFERROR(ABS(YEAR(J953)-YEAR('02_대상물건입력'!$B$14)),"")</f>
        <v/>
      </c>
      <c r="R953">
        <f>IF(AND(G953&gt;0,H953&gt;0,I953&gt;0,N953=1,IF('01_설정'!$B$10=1,K953=1,TRUE()),O953&lt;='01_설정'!$B$5,P953&lt;='01_설정'!$B$7,Q953&lt;='01_설정'!$B$8),"Y","")</f>
        <v/>
      </c>
      <c r="S953">
        <f>IF(R953&lt;&gt;"Y","",MAX(0,(1-O953/'01_설정'!$B$5))*'01_설정'!$B$14+MAX(0,(1-P953/'01_설정'!$B$7))*'01_설정'!$B$16+MAX(0,(1-Q953/'01_설정'!$B$8))*'01_설정'!$B$17+L953*'01_설정'!$B$11+M953*'01_설정'!$B$12+N953*50)</f>
        <v/>
      </c>
      <c r="T953">
        <f>IF(S953="","",1+COUNTIFS($S$31:$S$1030,"&gt;"&amp;S953)+COUNTIFS($S$31:S953,S953)-1)</f>
        <v/>
      </c>
    </row>
    <row r="954" hidden="1" ht="16.5" customHeight="1">
      <c r="A954">
        <f>IF(COUNTA('05_KAPA'!$A925:$AO925)=0,"",927)</f>
        <v/>
      </c>
      <c r="B954">
        <f>IF($A954="","",INDEX('05_KAPA'!$B:$B,$A954))</f>
        <v/>
      </c>
      <c r="C954">
        <f>IF($A954="","",INDEX('05_KAPA'!$F:$F,$A954))</f>
        <v/>
      </c>
      <c r="D954">
        <f>IF($A954="","",INDEX('05_KAPA'!$H:$H,$A954))</f>
        <v/>
      </c>
      <c r="E954">
        <f>IF($A954="","",INDEX('05_KAPA'!$K:$K,$A954))</f>
        <v/>
      </c>
      <c r="F954">
        <f>IF($A954="","",INDEX('05_KAPA'!$L:$L,$A954))</f>
        <v/>
      </c>
      <c r="G954">
        <f>IF($A954="","",INDEX('05_KAPA'!$I:$I,$A954))</f>
        <v/>
      </c>
      <c r="H954" s="202">
        <f>IF($A954="","",INDEX('05_KAPA'!$P:$P,$A954))</f>
        <v/>
      </c>
      <c r="I954" s="118">
        <f>IF($A954="","",INDEX('05_KAPA'!$O:$O,$A954))</f>
        <v/>
      </c>
      <c r="J954" s="202">
        <f>IF($A954="","",IFERROR(DATE(LEFT(TEXT(INDEX('05_KAPA'!$T:$T,$A954),"0"),4),MID(TEXT(INDEX('05_KAPA'!$T:$T,$A954),"0"),5,2),RIGHT(TEXT(INDEX('05_KAPA'!$T:$T,$A954),"0"),2)),""))</f>
        <v/>
      </c>
      <c r="K954">
        <f>IF(C954="","",IF('02_대상물건입력'!$B$5="",1,IF(ISNUMBER(SEARCH('02_대상물건입력'!$B$5,C954)),1,0)))</f>
        <v/>
      </c>
      <c r="L954">
        <f>IF(C954="","",IF('02_대상물건입력'!$B$6="",1,IF(ISNUMBER(SEARCH('02_대상물건입력'!$B$6,C954)),1,0)))</f>
        <v/>
      </c>
      <c r="M954">
        <f>IF(E954="","",IF('02_대상물건입력'!$B$8="",0,IF(ISNUMBER(SEARCH('02_대상물건입력'!$B$8,E954)),1,0)))</f>
        <v/>
      </c>
      <c r="N954">
        <f>IF(B954="","",IF(B954="담보",1,0))</f>
        <v/>
      </c>
      <c r="O954">
        <f>IFERROR(ABS(G954-'02_대상물건입력'!$B$11)/'02_대상물건입력'!$B$11,"")</f>
        <v/>
      </c>
      <c r="P954">
        <f>IFERROR(ABS('01_설정'!$B$4-H954),"")</f>
        <v/>
      </c>
      <c r="Q954">
        <f>IFERROR(ABS(YEAR(J954)-YEAR('02_대상물건입력'!$B$14)),"")</f>
        <v/>
      </c>
      <c r="R954">
        <f>IF(AND(G954&gt;0,H954&gt;0,I954&gt;0,N954=1,IF('01_설정'!$B$10=1,K954=1,TRUE()),O954&lt;='01_설정'!$B$5,P954&lt;='01_설정'!$B$7,Q954&lt;='01_설정'!$B$8),"Y","")</f>
        <v/>
      </c>
      <c r="S954">
        <f>IF(R954&lt;&gt;"Y","",MAX(0,(1-O954/'01_설정'!$B$5))*'01_설정'!$B$14+MAX(0,(1-P954/'01_설정'!$B$7))*'01_설정'!$B$16+MAX(0,(1-Q954/'01_설정'!$B$8))*'01_설정'!$B$17+L954*'01_설정'!$B$11+M954*'01_설정'!$B$12+N954*50)</f>
        <v/>
      </c>
      <c r="T954">
        <f>IF(S954="","",1+COUNTIFS($S$31:$S$1030,"&gt;"&amp;S954)+COUNTIFS($S$31:S954,S954)-1)</f>
        <v/>
      </c>
    </row>
    <row r="955" hidden="1" ht="16.5" customHeight="1">
      <c r="A955">
        <f>IF(COUNTA('05_KAPA'!$A926:$AO926)=0,"",928)</f>
        <v/>
      </c>
      <c r="B955">
        <f>IF($A955="","",INDEX('05_KAPA'!$B:$B,$A955))</f>
        <v/>
      </c>
      <c r="C955">
        <f>IF($A955="","",INDEX('05_KAPA'!$F:$F,$A955))</f>
        <v/>
      </c>
      <c r="D955">
        <f>IF($A955="","",INDEX('05_KAPA'!$H:$H,$A955))</f>
        <v/>
      </c>
      <c r="E955">
        <f>IF($A955="","",INDEX('05_KAPA'!$K:$K,$A955))</f>
        <v/>
      </c>
      <c r="F955">
        <f>IF($A955="","",INDEX('05_KAPA'!$L:$L,$A955))</f>
        <v/>
      </c>
      <c r="G955">
        <f>IF($A955="","",INDEX('05_KAPA'!$I:$I,$A955))</f>
        <v/>
      </c>
      <c r="H955" s="202">
        <f>IF($A955="","",INDEX('05_KAPA'!$P:$P,$A955))</f>
        <v/>
      </c>
      <c r="I955" s="118">
        <f>IF($A955="","",INDEX('05_KAPA'!$O:$O,$A955))</f>
        <v/>
      </c>
      <c r="J955" s="202">
        <f>IF($A955="","",IFERROR(DATE(LEFT(TEXT(INDEX('05_KAPA'!$T:$T,$A955),"0"),4),MID(TEXT(INDEX('05_KAPA'!$T:$T,$A955),"0"),5,2),RIGHT(TEXT(INDEX('05_KAPA'!$T:$T,$A955),"0"),2)),""))</f>
        <v/>
      </c>
      <c r="K955">
        <f>IF(C955="","",IF('02_대상물건입력'!$B$5="",1,IF(ISNUMBER(SEARCH('02_대상물건입력'!$B$5,C955)),1,0)))</f>
        <v/>
      </c>
      <c r="L955">
        <f>IF(C955="","",IF('02_대상물건입력'!$B$6="",1,IF(ISNUMBER(SEARCH('02_대상물건입력'!$B$6,C955)),1,0)))</f>
        <v/>
      </c>
      <c r="M955">
        <f>IF(E955="","",IF('02_대상물건입력'!$B$8="",0,IF(ISNUMBER(SEARCH('02_대상물건입력'!$B$8,E955)),1,0)))</f>
        <v/>
      </c>
      <c r="N955">
        <f>IF(B955="","",IF(B955="담보",1,0))</f>
        <v/>
      </c>
      <c r="O955">
        <f>IFERROR(ABS(G955-'02_대상물건입력'!$B$11)/'02_대상물건입력'!$B$11,"")</f>
        <v/>
      </c>
      <c r="P955">
        <f>IFERROR(ABS('01_설정'!$B$4-H955),"")</f>
        <v/>
      </c>
      <c r="Q955">
        <f>IFERROR(ABS(YEAR(J955)-YEAR('02_대상물건입력'!$B$14)),"")</f>
        <v/>
      </c>
      <c r="R955">
        <f>IF(AND(G955&gt;0,H955&gt;0,I955&gt;0,N955=1,IF('01_설정'!$B$10=1,K955=1,TRUE()),O955&lt;='01_설정'!$B$5,P955&lt;='01_설정'!$B$7,Q955&lt;='01_설정'!$B$8),"Y","")</f>
        <v/>
      </c>
      <c r="S955">
        <f>IF(R955&lt;&gt;"Y","",MAX(0,(1-O955/'01_설정'!$B$5))*'01_설정'!$B$14+MAX(0,(1-P955/'01_설정'!$B$7))*'01_설정'!$B$16+MAX(0,(1-Q955/'01_설정'!$B$8))*'01_설정'!$B$17+L955*'01_설정'!$B$11+M955*'01_설정'!$B$12+N955*50)</f>
        <v/>
      </c>
      <c r="T955">
        <f>IF(S955="","",1+COUNTIFS($S$31:$S$1030,"&gt;"&amp;S955)+COUNTIFS($S$31:S955,S955)-1)</f>
        <v/>
      </c>
    </row>
    <row r="956" hidden="1" ht="16.5" customHeight="1">
      <c r="A956">
        <f>IF(COUNTA('05_KAPA'!$A927:$AO927)=0,"",929)</f>
        <v/>
      </c>
      <c r="B956">
        <f>IF($A956="","",INDEX('05_KAPA'!$B:$B,$A956))</f>
        <v/>
      </c>
      <c r="C956">
        <f>IF($A956="","",INDEX('05_KAPA'!$F:$F,$A956))</f>
        <v/>
      </c>
      <c r="D956">
        <f>IF($A956="","",INDEX('05_KAPA'!$H:$H,$A956))</f>
        <v/>
      </c>
      <c r="E956">
        <f>IF($A956="","",INDEX('05_KAPA'!$K:$K,$A956))</f>
        <v/>
      </c>
      <c r="F956">
        <f>IF($A956="","",INDEX('05_KAPA'!$L:$L,$A956))</f>
        <v/>
      </c>
      <c r="G956">
        <f>IF($A956="","",INDEX('05_KAPA'!$I:$I,$A956))</f>
        <v/>
      </c>
      <c r="H956" s="202">
        <f>IF($A956="","",INDEX('05_KAPA'!$P:$P,$A956))</f>
        <v/>
      </c>
      <c r="I956" s="118">
        <f>IF($A956="","",INDEX('05_KAPA'!$O:$O,$A956))</f>
        <v/>
      </c>
      <c r="J956" s="202">
        <f>IF($A956="","",IFERROR(DATE(LEFT(TEXT(INDEX('05_KAPA'!$T:$T,$A956),"0"),4),MID(TEXT(INDEX('05_KAPA'!$T:$T,$A956),"0"),5,2),RIGHT(TEXT(INDEX('05_KAPA'!$T:$T,$A956),"0"),2)),""))</f>
        <v/>
      </c>
      <c r="K956">
        <f>IF(C956="","",IF('02_대상물건입력'!$B$5="",1,IF(ISNUMBER(SEARCH('02_대상물건입력'!$B$5,C956)),1,0)))</f>
        <v/>
      </c>
      <c r="L956">
        <f>IF(C956="","",IF('02_대상물건입력'!$B$6="",1,IF(ISNUMBER(SEARCH('02_대상물건입력'!$B$6,C956)),1,0)))</f>
        <v/>
      </c>
      <c r="M956">
        <f>IF(E956="","",IF('02_대상물건입력'!$B$8="",0,IF(ISNUMBER(SEARCH('02_대상물건입력'!$B$8,E956)),1,0)))</f>
        <v/>
      </c>
      <c r="N956">
        <f>IF(B956="","",IF(B956="담보",1,0))</f>
        <v/>
      </c>
      <c r="O956">
        <f>IFERROR(ABS(G956-'02_대상물건입력'!$B$11)/'02_대상물건입력'!$B$11,"")</f>
        <v/>
      </c>
      <c r="P956">
        <f>IFERROR(ABS('01_설정'!$B$4-H956),"")</f>
        <v/>
      </c>
      <c r="Q956">
        <f>IFERROR(ABS(YEAR(J956)-YEAR('02_대상물건입력'!$B$14)),"")</f>
        <v/>
      </c>
      <c r="R956">
        <f>IF(AND(G956&gt;0,H956&gt;0,I956&gt;0,N956=1,IF('01_설정'!$B$10=1,K956=1,TRUE()),O956&lt;='01_설정'!$B$5,P956&lt;='01_설정'!$B$7,Q956&lt;='01_설정'!$B$8),"Y","")</f>
        <v/>
      </c>
      <c r="S956">
        <f>IF(R956&lt;&gt;"Y","",MAX(0,(1-O956/'01_설정'!$B$5))*'01_설정'!$B$14+MAX(0,(1-P956/'01_설정'!$B$7))*'01_설정'!$B$16+MAX(0,(1-Q956/'01_설정'!$B$8))*'01_설정'!$B$17+L956*'01_설정'!$B$11+M956*'01_설정'!$B$12+N956*50)</f>
        <v/>
      </c>
      <c r="T956">
        <f>IF(S956="","",1+COUNTIFS($S$31:$S$1030,"&gt;"&amp;S956)+COUNTIFS($S$31:S956,S956)-1)</f>
        <v/>
      </c>
    </row>
    <row r="957" hidden="1" ht="16.5" customHeight="1">
      <c r="A957">
        <f>IF(COUNTA('05_KAPA'!$A928:$AO928)=0,"",930)</f>
        <v/>
      </c>
      <c r="B957">
        <f>IF($A957="","",INDEX('05_KAPA'!$B:$B,$A957))</f>
        <v/>
      </c>
      <c r="C957">
        <f>IF($A957="","",INDEX('05_KAPA'!$F:$F,$A957))</f>
        <v/>
      </c>
      <c r="D957">
        <f>IF($A957="","",INDEX('05_KAPA'!$H:$H,$A957))</f>
        <v/>
      </c>
      <c r="E957">
        <f>IF($A957="","",INDEX('05_KAPA'!$K:$K,$A957))</f>
        <v/>
      </c>
      <c r="F957">
        <f>IF($A957="","",INDEX('05_KAPA'!$L:$L,$A957))</f>
        <v/>
      </c>
      <c r="G957">
        <f>IF($A957="","",INDEX('05_KAPA'!$I:$I,$A957))</f>
        <v/>
      </c>
      <c r="H957" s="202">
        <f>IF($A957="","",INDEX('05_KAPA'!$P:$P,$A957))</f>
        <v/>
      </c>
      <c r="I957" s="118">
        <f>IF($A957="","",INDEX('05_KAPA'!$O:$O,$A957))</f>
        <v/>
      </c>
      <c r="J957" s="202">
        <f>IF($A957="","",IFERROR(DATE(LEFT(TEXT(INDEX('05_KAPA'!$T:$T,$A957),"0"),4),MID(TEXT(INDEX('05_KAPA'!$T:$T,$A957),"0"),5,2),RIGHT(TEXT(INDEX('05_KAPA'!$T:$T,$A957),"0"),2)),""))</f>
        <v/>
      </c>
      <c r="K957">
        <f>IF(C957="","",IF('02_대상물건입력'!$B$5="",1,IF(ISNUMBER(SEARCH('02_대상물건입력'!$B$5,C957)),1,0)))</f>
        <v/>
      </c>
      <c r="L957">
        <f>IF(C957="","",IF('02_대상물건입력'!$B$6="",1,IF(ISNUMBER(SEARCH('02_대상물건입력'!$B$6,C957)),1,0)))</f>
        <v/>
      </c>
      <c r="M957">
        <f>IF(E957="","",IF('02_대상물건입력'!$B$8="",0,IF(ISNUMBER(SEARCH('02_대상물건입력'!$B$8,E957)),1,0)))</f>
        <v/>
      </c>
      <c r="N957">
        <f>IF(B957="","",IF(B957="담보",1,0))</f>
        <v/>
      </c>
      <c r="O957">
        <f>IFERROR(ABS(G957-'02_대상물건입력'!$B$11)/'02_대상물건입력'!$B$11,"")</f>
        <v/>
      </c>
      <c r="P957">
        <f>IFERROR(ABS('01_설정'!$B$4-H957),"")</f>
        <v/>
      </c>
      <c r="Q957">
        <f>IFERROR(ABS(YEAR(J957)-YEAR('02_대상물건입력'!$B$14)),"")</f>
        <v/>
      </c>
      <c r="R957">
        <f>IF(AND(G957&gt;0,H957&gt;0,I957&gt;0,N957=1,IF('01_설정'!$B$10=1,K957=1,TRUE()),O957&lt;='01_설정'!$B$5,P957&lt;='01_설정'!$B$7,Q957&lt;='01_설정'!$B$8),"Y","")</f>
        <v/>
      </c>
      <c r="S957">
        <f>IF(R957&lt;&gt;"Y","",MAX(0,(1-O957/'01_설정'!$B$5))*'01_설정'!$B$14+MAX(0,(1-P957/'01_설정'!$B$7))*'01_설정'!$B$16+MAX(0,(1-Q957/'01_설정'!$B$8))*'01_설정'!$B$17+L957*'01_설정'!$B$11+M957*'01_설정'!$B$12+N957*50)</f>
        <v/>
      </c>
      <c r="T957">
        <f>IF(S957="","",1+COUNTIFS($S$31:$S$1030,"&gt;"&amp;S957)+COUNTIFS($S$31:S957,S957)-1)</f>
        <v/>
      </c>
    </row>
    <row r="958" hidden="1" ht="16.5" customHeight="1">
      <c r="A958">
        <f>IF(COUNTA('05_KAPA'!$A929:$AO929)=0,"",931)</f>
        <v/>
      </c>
      <c r="B958">
        <f>IF($A958="","",INDEX('05_KAPA'!$B:$B,$A958))</f>
        <v/>
      </c>
      <c r="C958">
        <f>IF($A958="","",INDEX('05_KAPA'!$F:$F,$A958))</f>
        <v/>
      </c>
      <c r="D958">
        <f>IF($A958="","",INDEX('05_KAPA'!$H:$H,$A958))</f>
        <v/>
      </c>
      <c r="E958">
        <f>IF($A958="","",INDEX('05_KAPA'!$K:$K,$A958))</f>
        <v/>
      </c>
      <c r="F958">
        <f>IF($A958="","",INDEX('05_KAPA'!$L:$L,$A958))</f>
        <v/>
      </c>
      <c r="G958">
        <f>IF($A958="","",INDEX('05_KAPA'!$I:$I,$A958))</f>
        <v/>
      </c>
      <c r="H958" s="202">
        <f>IF($A958="","",INDEX('05_KAPA'!$P:$P,$A958))</f>
        <v/>
      </c>
      <c r="I958" s="118">
        <f>IF($A958="","",INDEX('05_KAPA'!$O:$O,$A958))</f>
        <v/>
      </c>
      <c r="J958" s="202">
        <f>IF($A958="","",IFERROR(DATE(LEFT(TEXT(INDEX('05_KAPA'!$T:$T,$A958),"0"),4),MID(TEXT(INDEX('05_KAPA'!$T:$T,$A958),"0"),5,2),RIGHT(TEXT(INDEX('05_KAPA'!$T:$T,$A958),"0"),2)),""))</f>
        <v/>
      </c>
      <c r="K958">
        <f>IF(C958="","",IF('02_대상물건입력'!$B$5="",1,IF(ISNUMBER(SEARCH('02_대상물건입력'!$B$5,C958)),1,0)))</f>
        <v/>
      </c>
      <c r="L958">
        <f>IF(C958="","",IF('02_대상물건입력'!$B$6="",1,IF(ISNUMBER(SEARCH('02_대상물건입력'!$B$6,C958)),1,0)))</f>
        <v/>
      </c>
      <c r="M958">
        <f>IF(E958="","",IF('02_대상물건입력'!$B$8="",0,IF(ISNUMBER(SEARCH('02_대상물건입력'!$B$8,E958)),1,0)))</f>
        <v/>
      </c>
      <c r="N958">
        <f>IF(B958="","",IF(B958="담보",1,0))</f>
        <v/>
      </c>
      <c r="O958">
        <f>IFERROR(ABS(G958-'02_대상물건입력'!$B$11)/'02_대상물건입력'!$B$11,"")</f>
        <v/>
      </c>
      <c r="P958">
        <f>IFERROR(ABS('01_설정'!$B$4-H958),"")</f>
        <v/>
      </c>
      <c r="Q958">
        <f>IFERROR(ABS(YEAR(J958)-YEAR('02_대상물건입력'!$B$14)),"")</f>
        <v/>
      </c>
      <c r="R958">
        <f>IF(AND(G958&gt;0,H958&gt;0,I958&gt;0,N958=1,IF('01_설정'!$B$10=1,K958=1,TRUE()),O958&lt;='01_설정'!$B$5,P958&lt;='01_설정'!$B$7,Q958&lt;='01_설정'!$B$8),"Y","")</f>
        <v/>
      </c>
      <c r="S958">
        <f>IF(R958&lt;&gt;"Y","",MAX(0,(1-O958/'01_설정'!$B$5))*'01_설정'!$B$14+MAX(0,(1-P958/'01_설정'!$B$7))*'01_설정'!$B$16+MAX(0,(1-Q958/'01_설정'!$B$8))*'01_설정'!$B$17+L958*'01_설정'!$B$11+M958*'01_설정'!$B$12+N958*50)</f>
        <v/>
      </c>
      <c r="T958">
        <f>IF(S958="","",1+COUNTIFS($S$31:$S$1030,"&gt;"&amp;S958)+COUNTIFS($S$31:S958,S958)-1)</f>
        <v/>
      </c>
    </row>
    <row r="959" hidden="1" ht="16.5" customHeight="1">
      <c r="A959">
        <f>IF(COUNTA('05_KAPA'!$A930:$AO930)=0,"",932)</f>
        <v/>
      </c>
      <c r="B959">
        <f>IF($A959="","",INDEX('05_KAPA'!$B:$B,$A959))</f>
        <v/>
      </c>
      <c r="C959">
        <f>IF($A959="","",INDEX('05_KAPA'!$F:$F,$A959))</f>
        <v/>
      </c>
      <c r="D959">
        <f>IF($A959="","",INDEX('05_KAPA'!$H:$H,$A959))</f>
        <v/>
      </c>
      <c r="E959">
        <f>IF($A959="","",INDEX('05_KAPA'!$K:$K,$A959))</f>
        <v/>
      </c>
      <c r="F959">
        <f>IF($A959="","",INDEX('05_KAPA'!$L:$L,$A959))</f>
        <v/>
      </c>
      <c r="G959">
        <f>IF($A959="","",INDEX('05_KAPA'!$I:$I,$A959))</f>
        <v/>
      </c>
      <c r="H959" s="202">
        <f>IF($A959="","",INDEX('05_KAPA'!$P:$P,$A959))</f>
        <v/>
      </c>
      <c r="I959" s="118">
        <f>IF($A959="","",INDEX('05_KAPA'!$O:$O,$A959))</f>
        <v/>
      </c>
      <c r="J959" s="202">
        <f>IF($A959="","",IFERROR(DATE(LEFT(TEXT(INDEX('05_KAPA'!$T:$T,$A959),"0"),4),MID(TEXT(INDEX('05_KAPA'!$T:$T,$A959),"0"),5,2),RIGHT(TEXT(INDEX('05_KAPA'!$T:$T,$A959),"0"),2)),""))</f>
        <v/>
      </c>
      <c r="K959">
        <f>IF(C959="","",IF('02_대상물건입력'!$B$5="",1,IF(ISNUMBER(SEARCH('02_대상물건입력'!$B$5,C959)),1,0)))</f>
        <v/>
      </c>
      <c r="L959">
        <f>IF(C959="","",IF('02_대상물건입력'!$B$6="",1,IF(ISNUMBER(SEARCH('02_대상물건입력'!$B$6,C959)),1,0)))</f>
        <v/>
      </c>
      <c r="M959">
        <f>IF(E959="","",IF('02_대상물건입력'!$B$8="",0,IF(ISNUMBER(SEARCH('02_대상물건입력'!$B$8,E959)),1,0)))</f>
        <v/>
      </c>
      <c r="N959">
        <f>IF(B959="","",IF(B959="담보",1,0))</f>
        <v/>
      </c>
      <c r="O959">
        <f>IFERROR(ABS(G959-'02_대상물건입력'!$B$11)/'02_대상물건입력'!$B$11,"")</f>
        <v/>
      </c>
      <c r="P959">
        <f>IFERROR(ABS('01_설정'!$B$4-H959),"")</f>
        <v/>
      </c>
      <c r="Q959">
        <f>IFERROR(ABS(YEAR(J959)-YEAR('02_대상물건입력'!$B$14)),"")</f>
        <v/>
      </c>
      <c r="R959">
        <f>IF(AND(G959&gt;0,H959&gt;0,I959&gt;0,N959=1,IF('01_설정'!$B$10=1,K959=1,TRUE()),O959&lt;='01_설정'!$B$5,P959&lt;='01_설정'!$B$7,Q959&lt;='01_설정'!$B$8),"Y","")</f>
        <v/>
      </c>
      <c r="S959">
        <f>IF(R959&lt;&gt;"Y","",MAX(0,(1-O959/'01_설정'!$B$5))*'01_설정'!$B$14+MAX(0,(1-P959/'01_설정'!$B$7))*'01_설정'!$B$16+MAX(0,(1-Q959/'01_설정'!$B$8))*'01_설정'!$B$17+L959*'01_설정'!$B$11+M959*'01_설정'!$B$12+N959*50)</f>
        <v/>
      </c>
      <c r="T959">
        <f>IF(S959="","",1+COUNTIFS($S$31:$S$1030,"&gt;"&amp;S959)+COUNTIFS($S$31:S959,S959)-1)</f>
        <v/>
      </c>
    </row>
    <row r="960" hidden="1" ht="16.5" customHeight="1">
      <c r="A960">
        <f>IF(COUNTA('05_KAPA'!$A931:$AO931)=0,"",933)</f>
        <v/>
      </c>
      <c r="B960">
        <f>IF($A960="","",INDEX('05_KAPA'!$B:$B,$A960))</f>
        <v/>
      </c>
      <c r="C960">
        <f>IF($A960="","",INDEX('05_KAPA'!$F:$F,$A960))</f>
        <v/>
      </c>
      <c r="D960">
        <f>IF($A960="","",INDEX('05_KAPA'!$H:$H,$A960))</f>
        <v/>
      </c>
      <c r="E960">
        <f>IF($A960="","",INDEX('05_KAPA'!$K:$K,$A960))</f>
        <v/>
      </c>
      <c r="F960">
        <f>IF($A960="","",INDEX('05_KAPA'!$L:$L,$A960))</f>
        <v/>
      </c>
      <c r="G960">
        <f>IF($A960="","",INDEX('05_KAPA'!$I:$I,$A960))</f>
        <v/>
      </c>
      <c r="H960" s="202">
        <f>IF($A960="","",INDEX('05_KAPA'!$P:$P,$A960))</f>
        <v/>
      </c>
      <c r="I960" s="118">
        <f>IF($A960="","",INDEX('05_KAPA'!$O:$O,$A960))</f>
        <v/>
      </c>
      <c r="J960" s="202">
        <f>IF($A960="","",IFERROR(DATE(LEFT(TEXT(INDEX('05_KAPA'!$T:$T,$A960),"0"),4),MID(TEXT(INDEX('05_KAPA'!$T:$T,$A960),"0"),5,2),RIGHT(TEXT(INDEX('05_KAPA'!$T:$T,$A960),"0"),2)),""))</f>
        <v/>
      </c>
      <c r="K960">
        <f>IF(C960="","",IF('02_대상물건입력'!$B$5="",1,IF(ISNUMBER(SEARCH('02_대상물건입력'!$B$5,C960)),1,0)))</f>
        <v/>
      </c>
      <c r="L960">
        <f>IF(C960="","",IF('02_대상물건입력'!$B$6="",1,IF(ISNUMBER(SEARCH('02_대상물건입력'!$B$6,C960)),1,0)))</f>
        <v/>
      </c>
      <c r="M960">
        <f>IF(E960="","",IF('02_대상물건입력'!$B$8="",0,IF(ISNUMBER(SEARCH('02_대상물건입력'!$B$8,E960)),1,0)))</f>
        <v/>
      </c>
      <c r="N960">
        <f>IF(B960="","",IF(B960="담보",1,0))</f>
        <v/>
      </c>
      <c r="O960">
        <f>IFERROR(ABS(G960-'02_대상물건입력'!$B$11)/'02_대상물건입력'!$B$11,"")</f>
        <v/>
      </c>
      <c r="P960">
        <f>IFERROR(ABS('01_설정'!$B$4-H960),"")</f>
        <v/>
      </c>
      <c r="Q960">
        <f>IFERROR(ABS(YEAR(J960)-YEAR('02_대상물건입력'!$B$14)),"")</f>
        <v/>
      </c>
      <c r="R960">
        <f>IF(AND(G960&gt;0,H960&gt;0,I960&gt;0,N960=1,IF('01_설정'!$B$10=1,K960=1,TRUE()),O960&lt;='01_설정'!$B$5,P960&lt;='01_설정'!$B$7,Q960&lt;='01_설정'!$B$8),"Y","")</f>
        <v/>
      </c>
      <c r="S960">
        <f>IF(R960&lt;&gt;"Y","",MAX(0,(1-O960/'01_설정'!$B$5))*'01_설정'!$B$14+MAX(0,(1-P960/'01_설정'!$B$7))*'01_설정'!$B$16+MAX(0,(1-Q960/'01_설정'!$B$8))*'01_설정'!$B$17+L960*'01_설정'!$B$11+M960*'01_설정'!$B$12+N960*50)</f>
        <v/>
      </c>
      <c r="T960">
        <f>IF(S960="","",1+COUNTIFS($S$31:$S$1030,"&gt;"&amp;S960)+COUNTIFS($S$31:S960,S960)-1)</f>
        <v/>
      </c>
    </row>
    <row r="961" hidden="1" ht="16.5" customHeight="1">
      <c r="A961">
        <f>IF(COUNTA('05_KAPA'!$A932:$AO932)=0,"",934)</f>
        <v/>
      </c>
      <c r="B961">
        <f>IF($A961="","",INDEX('05_KAPA'!$B:$B,$A961))</f>
        <v/>
      </c>
      <c r="C961">
        <f>IF($A961="","",INDEX('05_KAPA'!$F:$F,$A961))</f>
        <v/>
      </c>
      <c r="D961">
        <f>IF($A961="","",INDEX('05_KAPA'!$H:$H,$A961))</f>
        <v/>
      </c>
      <c r="E961">
        <f>IF($A961="","",INDEX('05_KAPA'!$K:$K,$A961))</f>
        <v/>
      </c>
      <c r="F961">
        <f>IF($A961="","",INDEX('05_KAPA'!$L:$L,$A961))</f>
        <v/>
      </c>
      <c r="G961">
        <f>IF($A961="","",INDEX('05_KAPA'!$I:$I,$A961))</f>
        <v/>
      </c>
      <c r="H961" s="202">
        <f>IF($A961="","",INDEX('05_KAPA'!$P:$P,$A961))</f>
        <v/>
      </c>
      <c r="I961" s="118">
        <f>IF($A961="","",INDEX('05_KAPA'!$O:$O,$A961))</f>
        <v/>
      </c>
      <c r="J961" s="202">
        <f>IF($A961="","",IFERROR(DATE(LEFT(TEXT(INDEX('05_KAPA'!$T:$T,$A961),"0"),4),MID(TEXT(INDEX('05_KAPA'!$T:$T,$A961),"0"),5,2),RIGHT(TEXT(INDEX('05_KAPA'!$T:$T,$A961),"0"),2)),""))</f>
        <v/>
      </c>
      <c r="K961">
        <f>IF(C961="","",IF('02_대상물건입력'!$B$5="",1,IF(ISNUMBER(SEARCH('02_대상물건입력'!$B$5,C961)),1,0)))</f>
        <v/>
      </c>
      <c r="L961">
        <f>IF(C961="","",IF('02_대상물건입력'!$B$6="",1,IF(ISNUMBER(SEARCH('02_대상물건입력'!$B$6,C961)),1,0)))</f>
        <v/>
      </c>
      <c r="M961">
        <f>IF(E961="","",IF('02_대상물건입력'!$B$8="",0,IF(ISNUMBER(SEARCH('02_대상물건입력'!$B$8,E961)),1,0)))</f>
        <v/>
      </c>
      <c r="N961">
        <f>IF(B961="","",IF(B961="담보",1,0))</f>
        <v/>
      </c>
      <c r="O961">
        <f>IFERROR(ABS(G961-'02_대상물건입력'!$B$11)/'02_대상물건입력'!$B$11,"")</f>
        <v/>
      </c>
      <c r="P961">
        <f>IFERROR(ABS('01_설정'!$B$4-H961),"")</f>
        <v/>
      </c>
      <c r="Q961">
        <f>IFERROR(ABS(YEAR(J961)-YEAR('02_대상물건입력'!$B$14)),"")</f>
        <v/>
      </c>
      <c r="R961">
        <f>IF(AND(G961&gt;0,H961&gt;0,I961&gt;0,N961=1,IF('01_설정'!$B$10=1,K961=1,TRUE()),O961&lt;='01_설정'!$B$5,P961&lt;='01_설정'!$B$7,Q961&lt;='01_설정'!$B$8),"Y","")</f>
        <v/>
      </c>
      <c r="S961">
        <f>IF(R961&lt;&gt;"Y","",MAX(0,(1-O961/'01_설정'!$B$5))*'01_설정'!$B$14+MAX(0,(1-P961/'01_설정'!$B$7))*'01_설정'!$B$16+MAX(0,(1-Q961/'01_설정'!$B$8))*'01_설정'!$B$17+L961*'01_설정'!$B$11+M961*'01_설정'!$B$12+N961*50)</f>
        <v/>
      </c>
      <c r="T961">
        <f>IF(S961="","",1+COUNTIFS($S$31:$S$1030,"&gt;"&amp;S961)+COUNTIFS($S$31:S961,S961)-1)</f>
        <v/>
      </c>
    </row>
    <row r="962" hidden="1" ht="16.5" customHeight="1">
      <c r="A962">
        <f>IF(COUNTA('05_KAPA'!$A933:$AO933)=0,"",935)</f>
        <v/>
      </c>
      <c r="B962">
        <f>IF($A962="","",INDEX('05_KAPA'!$B:$B,$A962))</f>
        <v/>
      </c>
      <c r="C962">
        <f>IF($A962="","",INDEX('05_KAPA'!$F:$F,$A962))</f>
        <v/>
      </c>
      <c r="D962">
        <f>IF($A962="","",INDEX('05_KAPA'!$H:$H,$A962))</f>
        <v/>
      </c>
      <c r="E962">
        <f>IF($A962="","",INDEX('05_KAPA'!$K:$K,$A962))</f>
        <v/>
      </c>
      <c r="F962">
        <f>IF($A962="","",INDEX('05_KAPA'!$L:$L,$A962))</f>
        <v/>
      </c>
      <c r="G962">
        <f>IF($A962="","",INDEX('05_KAPA'!$I:$I,$A962))</f>
        <v/>
      </c>
      <c r="H962" s="202">
        <f>IF($A962="","",INDEX('05_KAPA'!$P:$P,$A962))</f>
        <v/>
      </c>
      <c r="I962" s="118">
        <f>IF($A962="","",INDEX('05_KAPA'!$O:$O,$A962))</f>
        <v/>
      </c>
      <c r="J962" s="202">
        <f>IF($A962="","",IFERROR(DATE(LEFT(TEXT(INDEX('05_KAPA'!$T:$T,$A962),"0"),4),MID(TEXT(INDEX('05_KAPA'!$T:$T,$A962),"0"),5,2),RIGHT(TEXT(INDEX('05_KAPA'!$T:$T,$A962),"0"),2)),""))</f>
        <v/>
      </c>
      <c r="K962">
        <f>IF(C962="","",IF('02_대상물건입력'!$B$5="",1,IF(ISNUMBER(SEARCH('02_대상물건입력'!$B$5,C962)),1,0)))</f>
        <v/>
      </c>
      <c r="L962">
        <f>IF(C962="","",IF('02_대상물건입력'!$B$6="",1,IF(ISNUMBER(SEARCH('02_대상물건입력'!$B$6,C962)),1,0)))</f>
        <v/>
      </c>
      <c r="M962">
        <f>IF(E962="","",IF('02_대상물건입력'!$B$8="",0,IF(ISNUMBER(SEARCH('02_대상물건입력'!$B$8,E962)),1,0)))</f>
        <v/>
      </c>
      <c r="N962">
        <f>IF(B962="","",IF(B962="담보",1,0))</f>
        <v/>
      </c>
      <c r="O962">
        <f>IFERROR(ABS(G962-'02_대상물건입력'!$B$11)/'02_대상물건입력'!$B$11,"")</f>
        <v/>
      </c>
      <c r="P962">
        <f>IFERROR(ABS('01_설정'!$B$4-H962),"")</f>
        <v/>
      </c>
      <c r="Q962">
        <f>IFERROR(ABS(YEAR(J962)-YEAR('02_대상물건입력'!$B$14)),"")</f>
        <v/>
      </c>
      <c r="R962">
        <f>IF(AND(G962&gt;0,H962&gt;0,I962&gt;0,N962=1,IF('01_설정'!$B$10=1,K962=1,TRUE()),O962&lt;='01_설정'!$B$5,P962&lt;='01_설정'!$B$7,Q962&lt;='01_설정'!$B$8),"Y","")</f>
        <v/>
      </c>
      <c r="S962">
        <f>IF(R962&lt;&gt;"Y","",MAX(0,(1-O962/'01_설정'!$B$5))*'01_설정'!$B$14+MAX(0,(1-P962/'01_설정'!$B$7))*'01_설정'!$B$16+MAX(0,(1-Q962/'01_설정'!$B$8))*'01_설정'!$B$17+L962*'01_설정'!$B$11+M962*'01_설정'!$B$12+N962*50)</f>
        <v/>
      </c>
      <c r="T962">
        <f>IF(S962="","",1+COUNTIFS($S$31:$S$1030,"&gt;"&amp;S962)+COUNTIFS($S$31:S962,S962)-1)</f>
        <v/>
      </c>
    </row>
    <row r="963" hidden="1" ht="16.5" customHeight="1">
      <c r="A963">
        <f>IF(COUNTA('05_KAPA'!$A934:$AO934)=0,"",936)</f>
        <v/>
      </c>
      <c r="B963">
        <f>IF($A963="","",INDEX('05_KAPA'!$B:$B,$A963))</f>
        <v/>
      </c>
      <c r="C963">
        <f>IF($A963="","",INDEX('05_KAPA'!$F:$F,$A963))</f>
        <v/>
      </c>
      <c r="D963">
        <f>IF($A963="","",INDEX('05_KAPA'!$H:$H,$A963))</f>
        <v/>
      </c>
      <c r="E963">
        <f>IF($A963="","",INDEX('05_KAPA'!$K:$K,$A963))</f>
        <v/>
      </c>
      <c r="F963">
        <f>IF($A963="","",INDEX('05_KAPA'!$L:$L,$A963))</f>
        <v/>
      </c>
      <c r="G963">
        <f>IF($A963="","",INDEX('05_KAPA'!$I:$I,$A963))</f>
        <v/>
      </c>
      <c r="H963" s="202">
        <f>IF($A963="","",INDEX('05_KAPA'!$P:$P,$A963))</f>
        <v/>
      </c>
      <c r="I963" s="118">
        <f>IF($A963="","",INDEX('05_KAPA'!$O:$O,$A963))</f>
        <v/>
      </c>
      <c r="J963" s="202">
        <f>IF($A963="","",IFERROR(DATE(LEFT(TEXT(INDEX('05_KAPA'!$T:$T,$A963),"0"),4),MID(TEXT(INDEX('05_KAPA'!$T:$T,$A963),"0"),5,2),RIGHT(TEXT(INDEX('05_KAPA'!$T:$T,$A963),"0"),2)),""))</f>
        <v/>
      </c>
      <c r="K963">
        <f>IF(C963="","",IF('02_대상물건입력'!$B$5="",1,IF(ISNUMBER(SEARCH('02_대상물건입력'!$B$5,C963)),1,0)))</f>
        <v/>
      </c>
      <c r="L963">
        <f>IF(C963="","",IF('02_대상물건입력'!$B$6="",1,IF(ISNUMBER(SEARCH('02_대상물건입력'!$B$6,C963)),1,0)))</f>
        <v/>
      </c>
      <c r="M963">
        <f>IF(E963="","",IF('02_대상물건입력'!$B$8="",0,IF(ISNUMBER(SEARCH('02_대상물건입력'!$B$8,E963)),1,0)))</f>
        <v/>
      </c>
      <c r="N963">
        <f>IF(B963="","",IF(B963="담보",1,0))</f>
        <v/>
      </c>
      <c r="O963">
        <f>IFERROR(ABS(G963-'02_대상물건입력'!$B$11)/'02_대상물건입력'!$B$11,"")</f>
        <v/>
      </c>
      <c r="P963">
        <f>IFERROR(ABS('01_설정'!$B$4-H963),"")</f>
        <v/>
      </c>
      <c r="Q963">
        <f>IFERROR(ABS(YEAR(J963)-YEAR('02_대상물건입력'!$B$14)),"")</f>
        <v/>
      </c>
      <c r="R963">
        <f>IF(AND(G963&gt;0,H963&gt;0,I963&gt;0,N963=1,IF('01_설정'!$B$10=1,K963=1,TRUE()),O963&lt;='01_설정'!$B$5,P963&lt;='01_설정'!$B$7,Q963&lt;='01_설정'!$B$8),"Y","")</f>
        <v/>
      </c>
      <c r="S963">
        <f>IF(R963&lt;&gt;"Y","",MAX(0,(1-O963/'01_설정'!$B$5))*'01_설정'!$B$14+MAX(0,(1-P963/'01_설정'!$B$7))*'01_설정'!$B$16+MAX(0,(1-Q963/'01_설정'!$B$8))*'01_설정'!$B$17+L963*'01_설정'!$B$11+M963*'01_설정'!$B$12+N963*50)</f>
        <v/>
      </c>
      <c r="T963">
        <f>IF(S963="","",1+COUNTIFS($S$31:$S$1030,"&gt;"&amp;S963)+COUNTIFS($S$31:S963,S963)-1)</f>
        <v/>
      </c>
    </row>
    <row r="964" hidden="1" ht="16.5" customHeight="1">
      <c r="A964">
        <f>IF(COUNTA('05_KAPA'!$A935:$AO935)=0,"",937)</f>
        <v/>
      </c>
      <c r="B964">
        <f>IF($A964="","",INDEX('05_KAPA'!$B:$B,$A964))</f>
        <v/>
      </c>
      <c r="C964">
        <f>IF($A964="","",INDEX('05_KAPA'!$F:$F,$A964))</f>
        <v/>
      </c>
      <c r="D964">
        <f>IF($A964="","",INDEX('05_KAPA'!$H:$H,$A964))</f>
        <v/>
      </c>
      <c r="E964">
        <f>IF($A964="","",INDEX('05_KAPA'!$K:$K,$A964))</f>
        <v/>
      </c>
      <c r="F964">
        <f>IF($A964="","",INDEX('05_KAPA'!$L:$L,$A964))</f>
        <v/>
      </c>
      <c r="G964">
        <f>IF($A964="","",INDEX('05_KAPA'!$I:$I,$A964))</f>
        <v/>
      </c>
      <c r="H964" s="202">
        <f>IF($A964="","",INDEX('05_KAPA'!$P:$P,$A964))</f>
        <v/>
      </c>
      <c r="I964" s="118">
        <f>IF($A964="","",INDEX('05_KAPA'!$O:$O,$A964))</f>
        <v/>
      </c>
      <c r="J964" s="202">
        <f>IF($A964="","",IFERROR(DATE(LEFT(TEXT(INDEX('05_KAPA'!$T:$T,$A964),"0"),4),MID(TEXT(INDEX('05_KAPA'!$T:$T,$A964),"0"),5,2),RIGHT(TEXT(INDEX('05_KAPA'!$T:$T,$A964),"0"),2)),""))</f>
        <v/>
      </c>
      <c r="K964">
        <f>IF(C964="","",IF('02_대상물건입력'!$B$5="",1,IF(ISNUMBER(SEARCH('02_대상물건입력'!$B$5,C964)),1,0)))</f>
        <v/>
      </c>
      <c r="L964">
        <f>IF(C964="","",IF('02_대상물건입력'!$B$6="",1,IF(ISNUMBER(SEARCH('02_대상물건입력'!$B$6,C964)),1,0)))</f>
        <v/>
      </c>
      <c r="M964">
        <f>IF(E964="","",IF('02_대상물건입력'!$B$8="",0,IF(ISNUMBER(SEARCH('02_대상물건입력'!$B$8,E964)),1,0)))</f>
        <v/>
      </c>
      <c r="N964">
        <f>IF(B964="","",IF(B964="담보",1,0))</f>
        <v/>
      </c>
      <c r="O964">
        <f>IFERROR(ABS(G964-'02_대상물건입력'!$B$11)/'02_대상물건입력'!$B$11,"")</f>
        <v/>
      </c>
      <c r="P964">
        <f>IFERROR(ABS('01_설정'!$B$4-H964),"")</f>
        <v/>
      </c>
      <c r="Q964">
        <f>IFERROR(ABS(YEAR(J964)-YEAR('02_대상물건입력'!$B$14)),"")</f>
        <v/>
      </c>
      <c r="R964">
        <f>IF(AND(G964&gt;0,H964&gt;0,I964&gt;0,N964=1,IF('01_설정'!$B$10=1,K964=1,TRUE()),O964&lt;='01_설정'!$B$5,P964&lt;='01_설정'!$B$7,Q964&lt;='01_설정'!$B$8),"Y","")</f>
        <v/>
      </c>
      <c r="S964">
        <f>IF(R964&lt;&gt;"Y","",MAX(0,(1-O964/'01_설정'!$B$5))*'01_설정'!$B$14+MAX(0,(1-P964/'01_설정'!$B$7))*'01_설정'!$B$16+MAX(0,(1-Q964/'01_설정'!$B$8))*'01_설정'!$B$17+L964*'01_설정'!$B$11+M964*'01_설정'!$B$12+N964*50)</f>
        <v/>
      </c>
      <c r="T964">
        <f>IF(S964="","",1+COUNTIFS($S$31:$S$1030,"&gt;"&amp;S964)+COUNTIFS($S$31:S964,S964)-1)</f>
        <v/>
      </c>
    </row>
    <row r="965" hidden="1" ht="16.5" customHeight="1">
      <c r="A965">
        <f>IF(COUNTA('05_KAPA'!$A936:$AO936)=0,"",938)</f>
        <v/>
      </c>
      <c r="B965">
        <f>IF($A965="","",INDEX('05_KAPA'!$B:$B,$A965))</f>
        <v/>
      </c>
      <c r="C965">
        <f>IF($A965="","",INDEX('05_KAPA'!$F:$F,$A965))</f>
        <v/>
      </c>
      <c r="D965">
        <f>IF($A965="","",INDEX('05_KAPA'!$H:$H,$A965))</f>
        <v/>
      </c>
      <c r="E965">
        <f>IF($A965="","",INDEX('05_KAPA'!$K:$K,$A965))</f>
        <v/>
      </c>
      <c r="F965">
        <f>IF($A965="","",INDEX('05_KAPA'!$L:$L,$A965))</f>
        <v/>
      </c>
      <c r="G965">
        <f>IF($A965="","",INDEX('05_KAPA'!$I:$I,$A965))</f>
        <v/>
      </c>
      <c r="H965" s="202">
        <f>IF($A965="","",INDEX('05_KAPA'!$P:$P,$A965))</f>
        <v/>
      </c>
      <c r="I965" s="118">
        <f>IF($A965="","",INDEX('05_KAPA'!$O:$O,$A965))</f>
        <v/>
      </c>
      <c r="J965" s="202">
        <f>IF($A965="","",IFERROR(DATE(LEFT(TEXT(INDEX('05_KAPA'!$T:$T,$A965),"0"),4),MID(TEXT(INDEX('05_KAPA'!$T:$T,$A965),"0"),5,2),RIGHT(TEXT(INDEX('05_KAPA'!$T:$T,$A965),"0"),2)),""))</f>
        <v/>
      </c>
      <c r="K965">
        <f>IF(C965="","",IF('02_대상물건입력'!$B$5="",1,IF(ISNUMBER(SEARCH('02_대상물건입력'!$B$5,C965)),1,0)))</f>
        <v/>
      </c>
      <c r="L965">
        <f>IF(C965="","",IF('02_대상물건입력'!$B$6="",1,IF(ISNUMBER(SEARCH('02_대상물건입력'!$B$6,C965)),1,0)))</f>
        <v/>
      </c>
      <c r="M965">
        <f>IF(E965="","",IF('02_대상물건입력'!$B$8="",0,IF(ISNUMBER(SEARCH('02_대상물건입력'!$B$8,E965)),1,0)))</f>
        <v/>
      </c>
      <c r="N965">
        <f>IF(B965="","",IF(B965="담보",1,0))</f>
        <v/>
      </c>
      <c r="O965">
        <f>IFERROR(ABS(G965-'02_대상물건입력'!$B$11)/'02_대상물건입력'!$B$11,"")</f>
        <v/>
      </c>
      <c r="P965">
        <f>IFERROR(ABS('01_설정'!$B$4-H965),"")</f>
        <v/>
      </c>
      <c r="Q965">
        <f>IFERROR(ABS(YEAR(J965)-YEAR('02_대상물건입력'!$B$14)),"")</f>
        <v/>
      </c>
      <c r="R965">
        <f>IF(AND(G965&gt;0,H965&gt;0,I965&gt;0,N965=1,IF('01_설정'!$B$10=1,K965=1,TRUE()),O965&lt;='01_설정'!$B$5,P965&lt;='01_설정'!$B$7,Q965&lt;='01_설정'!$B$8),"Y","")</f>
        <v/>
      </c>
      <c r="S965">
        <f>IF(R965&lt;&gt;"Y","",MAX(0,(1-O965/'01_설정'!$B$5))*'01_설정'!$B$14+MAX(0,(1-P965/'01_설정'!$B$7))*'01_설정'!$B$16+MAX(0,(1-Q965/'01_설정'!$B$8))*'01_설정'!$B$17+L965*'01_설정'!$B$11+M965*'01_설정'!$B$12+N965*50)</f>
        <v/>
      </c>
      <c r="T965">
        <f>IF(S965="","",1+COUNTIFS($S$31:$S$1030,"&gt;"&amp;S965)+COUNTIFS($S$31:S965,S965)-1)</f>
        <v/>
      </c>
    </row>
    <row r="966" hidden="1" ht="16.5" customHeight="1">
      <c r="A966">
        <f>IF(COUNTA('05_KAPA'!$A937:$AO937)=0,"",939)</f>
        <v/>
      </c>
      <c r="B966">
        <f>IF($A966="","",INDEX('05_KAPA'!$B:$B,$A966))</f>
        <v/>
      </c>
      <c r="C966">
        <f>IF($A966="","",INDEX('05_KAPA'!$F:$F,$A966))</f>
        <v/>
      </c>
      <c r="D966">
        <f>IF($A966="","",INDEX('05_KAPA'!$H:$H,$A966))</f>
        <v/>
      </c>
      <c r="E966">
        <f>IF($A966="","",INDEX('05_KAPA'!$K:$K,$A966))</f>
        <v/>
      </c>
      <c r="F966">
        <f>IF($A966="","",INDEX('05_KAPA'!$L:$L,$A966))</f>
        <v/>
      </c>
      <c r="G966">
        <f>IF($A966="","",INDEX('05_KAPA'!$I:$I,$A966))</f>
        <v/>
      </c>
      <c r="H966" s="202">
        <f>IF($A966="","",INDEX('05_KAPA'!$P:$P,$A966))</f>
        <v/>
      </c>
      <c r="I966" s="118">
        <f>IF($A966="","",INDEX('05_KAPA'!$O:$O,$A966))</f>
        <v/>
      </c>
      <c r="J966" s="202">
        <f>IF($A966="","",IFERROR(DATE(LEFT(TEXT(INDEX('05_KAPA'!$T:$T,$A966),"0"),4),MID(TEXT(INDEX('05_KAPA'!$T:$T,$A966),"0"),5,2),RIGHT(TEXT(INDEX('05_KAPA'!$T:$T,$A966),"0"),2)),""))</f>
        <v/>
      </c>
      <c r="K966">
        <f>IF(C966="","",IF('02_대상물건입력'!$B$5="",1,IF(ISNUMBER(SEARCH('02_대상물건입력'!$B$5,C966)),1,0)))</f>
        <v/>
      </c>
      <c r="L966">
        <f>IF(C966="","",IF('02_대상물건입력'!$B$6="",1,IF(ISNUMBER(SEARCH('02_대상물건입력'!$B$6,C966)),1,0)))</f>
        <v/>
      </c>
      <c r="M966">
        <f>IF(E966="","",IF('02_대상물건입력'!$B$8="",0,IF(ISNUMBER(SEARCH('02_대상물건입력'!$B$8,E966)),1,0)))</f>
        <v/>
      </c>
      <c r="N966">
        <f>IF(B966="","",IF(B966="담보",1,0))</f>
        <v/>
      </c>
      <c r="O966">
        <f>IFERROR(ABS(G966-'02_대상물건입력'!$B$11)/'02_대상물건입력'!$B$11,"")</f>
        <v/>
      </c>
      <c r="P966">
        <f>IFERROR(ABS('01_설정'!$B$4-H966),"")</f>
        <v/>
      </c>
      <c r="Q966">
        <f>IFERROR(ABS(YEAR(J966)-YEAR('02_대상물건입력'!$B$14)),"")</f>
        <v/>
      </c>
      <c r="R966">
        <f>IF(AND(G966&gt;0,H966&gt;0,I966&gt;0,N966=1,IF('01_설정'!$B$10=1,K966=1,TRUE()),O966&lt;='01_설정'!$B$5,P966&lt;='01_설정'!$B$7,Q966&lt;='01_설정'!$B$8),"Y","")</f>
        <v/>
      </c>
      <c r="S966">
        <f>IF(R966&lt;&gt;"Y","",MAX(0,(1-O966/'01_설정'!$B$5))*'01_설정'!$B$14+MAX(0,(1-P966/'01_설정'!$B$7))*'01_설정'!$B$16+MAX(0,(1-Q966/'01_설정'!$B$8))*'01_설정'!$B$17+L966*'01_설정'!$B$11+M966*'01_설정'!$B$12+N966*50)</f>
        <v/>
      </c>
      <c r="T966">
        <f>IF(S966="","",1+COUNTIFS($S$31:$S$1030,"&gt;"&amp;S966)+COUNTIFS($S$31:S966,S966)-1)</f>
        <v/>
      </c>
    </row>
    <row r="967" hidden="1" ht="16.5" customHeight="1">
      <c r="A967">
        <f>IF(COUNTA('05_KAPA'!$A938:$AO938)=0,"",940)</f>
        <v/>
      </c>
      <c r="B967">
        <f>IF($A967="","",INDEX('05_KAPA'!$B:$B,$A967))</f>
        <v/>
      </c>
      <c r="C967">
        <f>IF($A967="","",INDEX('05_KAPA'!$F:$F,$A967))</f>
        <v/>
      </c>
      <c r="D967">
        <f>IF($A967="","",INDEX('05_KAPA'!$H:$H,$A967))</f>
        <v/>
      </c>
      <c r="E967">
        <f>IF($A967="","",INDEX('05_KAPA'!$K:$K,$A967))</f>
        <v/>
      </c>
      <c r="F967">
        <f>IF($A967="","",INDEX('05_KAPA'!$L:$L,$A967))</f>
        <v/>
      </c>
      <c r="G967">
        <f>IF($A967="","",INDEX('05_KAPA'!$I:$I,$A967))</f>
        <v/>
      </c>
      <c r="H967" s="202">
        <f>IF($A967="","",INDEX('05_KAPA'!$P:$P,$A967))</f>
        <v/>
      </c>
      <c r="I967" s="118">
        <f>IF($A967="","",INDEX('05_KAPA'!$O:$O,$A967))</f>
        <v/>
      </c>
      <c r="J967" s="202">
        <f>IF($A967="","",IFERROR(DATE(LEFT(TEXT(INDEX('05_KAPA'!$T:$T,$A967),"0"),4),MID(TEXT(INDEX('05_KAPA'!$T:$T,$A967),"0"),5,2),RIGHT(TEXT(INDEX('05_KAPA'!$T:$T,$A967),"0"),2)),""))</f>
        <v/>
      </c>
      <c r="K967">
        <f>IF(C967="","",IF('02_대상물건입력'!$B$5="",1,IF(ISNUMBER(SEARCH('02_대상물건입력'!$B$5,C967)),1,0)))</f>
        <v/>
      </c>
      <c r="L967">
        <f>IF(C967="","",IF('02_대상물건입력'!$B$6="",1,IF(ISNUMBER(SEARCH('02_대상물건입력'!$B$6,C967)),1,0)))</f>
        <v/>
      </c>
      <c r="M967">
        <f>IF(E967="","",IF('02_대상물건입력'!$B$8="",0,IF(ISNUMBER(SEARCH('02_대상물건입력'!$B$8,E967)),1,0)))</f>
        <v/>
      </c>
      <c r="N967">
        <f>IF(B967="","",IF(B967="담보",1,0))</f>
        <v/>
      </c>
      <c r="O967">
        <f>IFERROR(ABS(G967-'02_대상물건입력'!$B$11)/'02_대상물건입력'!$B$11,"")</f>
        <v/>
      </c>
      <c r="P967">
        <f>IFERROR(ABS('01_설정'!$B$4-H967),"")</f>
        <v/>
      </c>
      <c r="Q967">
        <f>IFERROR(ABS(YEAR(J967)-YEAR('02_대상물건입력'!$B$14)),"")</f>
        <v/>
      </c>
      <c r="R967">
        <f>IF(AND(G967&gt;0,H967&gt;0,I967&gt;0,N967=1,IF('01_설정'!$B$10=1,K967=1,TRUE()),O967&lt;='01_설정'!$B$5,P967&lt;='01_설정'!$B$7,Q967&lt;='01_설정'!$B$8),"Y","")</f>
        <v/>
      </c>
      <c r="S967">
        <f>IF(R967&lt;&gt;"Y","",MAX(0,(1-O967/'01_설정'!$B$5))*'01_설정'!$B$14+MAX(0,(1-P967/'01_설정'!$B$7))*'01_설정'!$B$16+MAX(0,(1-Q967/'01_설정'!$B$8))*'01_설정'!$B$17+L967*'01_설정'!$B$11+M967*'01_설정'!$B$12+N967*50)</f>
        <v/>
      </c>
      <c r="T967">
        <f>IF(S967="","",1+COUNTIFS($S$31:$S$1030,"&gt;"&amp;S967)+COUNTIFS($S$31:S967,S967)-1)</f>
        <v/>
      </c>
    </row>
    <row r="968" hidden="1" ht="16.5" customHeight="1">
      <c r="A968">
        <f>IF(COUNTA('05_KAPA'!$A939:$AO939)=0,"",941)</f>
        <v/>
      </c>
      <c r="B968">
        <f>IF($A968="","",INDEX('05_KAPA'!$B:$B,$A968))</f>
        <v/>
      </c>
      <c r="C968">
        <f>IF($A968="","",INDEX('05_KAPA'!$F:$F,$A968))</f>
        <v/>
      </c>
      <c r="D968">
        <f>IF($A968="","",INDEX('05_KAPA'!$H:$H,$A968))</f>
        <v/>
      </c>
      <c r="E968">
        <f>IF($A968="","",INDEX('05_KAPA'!$K:$K,$A968))</f>
        <v/>
      </c>
      <c r="F968">
        <f>IF($A968="","",INDEX('05_KAPA'!$L:$L,$A968))</f>
        <v/>
      </c>
      <c r="G968">
        <f>IF($A968="","",INDEX('05_KAPA'!$I:$I,$A968))</f>
        <v/>
      </c>
      <c r="H968" s="202">
        <f>IF($A968="","",INDEX('05_KAPA'!$P:$P,$A968))</f>
        <v/>
      </c>
      <c r="I968" s="118">
        <f>IF($A968="","",INDEX('05_KAPA'!$O:$O,$A968))</f>
        <v/>
      </c>
      <c r="J968" s="202">
        <f>IF($A968="","",IFERROR(DATE(LEFT(TEXT(INDEX('05_KAPA'!$T:$T,$A968),"0"),4),MID(TEXT(INDEX('05_KAPA'!$T:$T,$A968),"0"),5,2),RIGHT(TEXT(INDEX('05_KAPA'!$T:$T,$A968),"0"),2)),""))</f>
        <v/>
      </c>
      <c r="K968">
        <f>IF(C968="","",IF('02_대상물건입력'!$B$5="",1,IF(ISNUMBER(SEARCH('02_대상물건입력'!$B$5,C968)),1,0)))</f>
        <v/>
      </c>
      <c r="L968">
        <f>IF(C968="","",IF('02_대상물건입력'!$B$6="",1,IF(ISNUMBER(SEARCH('02_대상물건입력'!$B$6,C968)),1,0)))</f>
        <v/>
      </c>
      <c r="M968">
        <f>IF(E968="","",IF('02_대상물건입력'!$B$8="",0,IF(ISNUMBER(SEARCH('02_대상물건입력'!$B$8,E968)),1,0)))</f>
        <v/>
      </c>
      <c r="N968">
        <f>IF(B968="","",IF(B968="담보",1,0))</f>
        <v/>
      </c>
      <c r="O968">
        <f>IFERROR(ABS(G968-'02_대상물건입력'!$B$11)/'02_대상물건입력'!$B$11,"")</f>
        <v/>
      </c>
      <c r="P968">
        <f>IFERROR(ABS('01_설정'!$B$4-H968),"")</f>
        <v/>
      </c>
      <c r="Q968">
        <f>IFERROR(ABS(YEAR(J968)-YEAR('02_대상물건입력'!$B$14)),"")</f>
        <v/>
      </c>
      <c r="R968">
        <f>IF(AND(G968&gt;0,H968&gt;0,I968&gt;0,N968=1,IF('01_설정'!$B$10=1,K968=1,TRUE()),O968&lt;='01_설정'!$B$5,P968&lt;='01_설정'!$B$7,Q968&lt;='01_설정'!$B$8),"Y","")</f>
        <v/>
      </c>
      <c r="S968">
        <f>IF(R968&lt;&gt;"Y","",MAX(0,(1-O968/'01_설정'!$B$5))*'01_설정'!$B$14+MAX(0,(1-P968/'01_설정'!$B$7))*'01_설정'!$B$16+MAX(0,(1-Q968/'01_설정'!$B$8))*'01_설정'!$B$17+L968*'01_설정'!$B$11+M968*'01_설정'!$B$12+N968*50)</f>
        <v/>
      </c>
      <c r="T968">
        <f>IF(S968="","",1+COUNTIFS($S$31:$S$1030,"&gt;"&amp;S968)+COUNTIFS($S$31:S968,S968)-1)</f>
        <v/>
      </c>
    </row>
    <row r="969" hidden="1" ht="16.5" customHeight="1">
      <c r="A969">
        <f>IF(COUNTA('05_KAPA'!$A940:$AO940)=0,"",942)</f>
        <v/>
      </c>
      <c r="B969">
        <f>IF($A969="","",INDEX('05_KAPA'!$B:$B,$A969))</f>
        <v/>
      </c>
      <c r="C969">
        <f>IF($A969="","",INDEX('05_KAPA'!$F:$F,$A969))</f>
        <v/>
      </c>
      <c r="D969">
        <f>IF($A969="","",INDEX('05_KAPA'!$H:$H,$A969))</f>
        <v/>
      </c>
      <c r="E969">
        <f>IF($A969="","",INDEX('05_KAPA'!$K:$K,$A969))</f>
        <v/>
      </c>
      <c r="F969">
        <f>IF($A969="","",INDEX('05_KAPA'!$L:$L,$A969))</f>
        <v/>
      </c>
      <c r="G969">
        <f>IF($A969="","",INDEX('05_KAPA'!$I:$I,$A969))</f>
        <v/>
      </c>
      <c r="H969" s="202">
        <f>IF($A969="","",INDEX('05_KAPA'!$P:$P,$A969))</f>
        <v/>
      </c>
      <c r="I969" s="118">
        <f>IF($A969="","",INDEX('05_KAPA'!$O:$O,$A969))</f>
        <v/>
      </c>
      <c r="J969" s="202">
        <f>IF($A969="","",IFERROR(DATE(LEFT(TEXT(INDEX('05_KAPA'!$T:$T,$A969),"0"),4),MID(TEXT(INDEX('05_KAPA'!$T:$T,$A969),"0"),5,2),RIGHT(TEXT(INDEX('05_KAPA'!$T:$T,$A969),"0"),2)),""))</f>
        <v/>
      </c>
      <c r="K969">
        <f>IF(C969="","",IF('02_대상물건입력'!$B$5="",1,IF(ISNUMBER(SEARCH('02_대상물건입력'!$B$5,C969)),1,0)))</f>
        <v/>
      </c>
      <c r="L969">
        <f>IF(C969="","",IF('02_대상물건입력'!$B$6="",1,IF(ISNUMBER(SEARCH('02_대상물건입력'!$B$6,C969)),1,0)))</f>
        <v/>
      </c>
      <c r="M969">
        <f>IF(E969="","",IF('02_대상물건입력'!$B$8="",0,IF(ISNUMBER(SEARCH('02_대상물건입력'!$B$8,E969)),1,0)))</f>
        <v/>
      </c>
      <c r="N969">
        <f>IF(B969="","",IF(B969="담보",1,0))</f>
        <v/>
      </c>
      <c r="O969">
        <f>IFERROR(ABS(G969-'02_대상물건입력'!$B$11)/'02_대상물건입력'!$B$11,"")</f>
        <v/>
      </c>
      <c r="P969">
        <f>IFERROR(ABS('01_설정'!$B$4-H969),"")</f>
        <v/>
      </c>
      <c r="Q969">
        <f>IFERROR(ABS(YEAR(J969)-YEAR('02_대상물건입력'!$B$14)),"")</f>
        <v/>
      </c>
      <c r="R969">
        <f>IF(AND(G969&gt;0,H969&gt;0,I969&gt;0,N969=1,IF('01_설정'!$B$10=1,K969=1,TRUE()),O969&lt;='01_설정'!$B$5,P969&lt;='01_설정'!$B$7,Q969&lt;='01_설정'!$B$8),"Y","")</f>
        <v/>
      </c>
      <c r="S969">
        <f>IF(R969&lt;&gt;"Y","",MAX(0,(1-O969/'01_설정'!$B$5))*'01_설정'!$B$14+MAX(0,(1-P969/'01_설정'!$B$7))*'01_설정'!$B$16+MAX(0,(1-Q969/'01_설정'!$B$8))*'01_설정'!$B$17+L969*'01_설정'!$B$11+M969*'01_설정'!$B$12+N969*50)</f>
        <v/>
      </c>
      <c r="T969">
        <f>IF(S969="","",1+COUNTIFS($S$31:$S$1030,"&gt;"&amp;S969)+COUNTIFS($S$31:S969,S969)-1)</f>
        <v/>
      </c>
    </row>
    <row r="970" hidden="1" ht="16.5" customHeight="1">
      <c r="A970">
        <f>IF(COUNTA('05_KAPA'!$A941:$AO941)=0,"",943)</f>
        <v/>
      </c>
      <c r="B970">
        <f>IF($A970="","",INDEX('05_KAPA'!$B:$B,$A970))</f>
        <v/>
      </c>
      <c r="C970">
        <f>IF($A970="","",INDEX('05_KAPA'!$F:$F,$A970))</f>
        <v/>
      </c>
      <c r="D970">
        <f>IF($A970="","",INDEX('05_KAPA'!$H:$H,$A970))</f>
        <v/>
      </c>
      <c r="E970">
        <f>IF($A970="","",INDEX('05_KAPA'!$K:$K,$A970))</f>
        <v/>
      </c>
      <c r="F970">
        <f>IF($A970="","",INDEX('05_KAPA'!$L:$L,$A970))</f>
        <v/>
      </c>
      <c r="G970">
        <f>IF($A970="","",INDEX('05_KAPA'!$I:$I,$A970))</f>
        <v/>
      </c>
      <c r="H970" s="202">
        <f>IF($A970="","",INDEX('05_KAPA'!$P:$P,$A970))</f>
        <v/>
      </c>
      <c r="I970" s="118">
        <f>IF($A970="","",INDEX('05_KAPA'!$O:$O,$A970))</f>
        <v/>
      </c>
      <c r="J970" s="202">
        <f>IF($A970="","",IFERROR(DATE(LEFT(TEXT(INDEX('05_KAPA'!$T:$T,$A970),"0"),4),MID(TEXT(INDEX('05_KAPA'!$T:$T,$A970),"0"),5,2),RIGHT(TEXT(INDEX('05_KAPA'!$T:$T,$A970),"0"),2)),""))</f>
        <v/>
      </c>
      <c r="K970">
        <f>IF(C970="","",IF('02_대상물건입력'!$B$5="",1,IF(ISNUMBER(SEARCH('02_대상물건입력'!$B$5,C970)),1,0)))</f>
        <v/>
      </c>
      <c r="L970">
        <f>IF(C970="","",IF('02_대상물건입력'!$B$6="",1,IF(ISNUMBER(SEARCH('02_대상물건입력'!$B$6,C970)),1,0)))</f>
        <v/>
      </c>
      <c r="M970">
        <f>IF(E970="","",IF('02_대상물건입력'!$B$8="",0,IF(ISNUMBER(SEARCH('02_대상물건입력'!$B$8,E970)),1,0)))</f>
        <v/>
      </c>
      <c r="N970">
        <f>IF(B970="","",IF(B970="담보",1,0))</f>
        <v/>
      </c>
      <c r="O970">
        <f>IFERROR(ABS(G970-'02_대상물건입력'!$B$11)/'02_대상물건입력'!$B$11,"")</f>
        <v/>
      </c>
      <c r="P970">
        <f>IFERROR(ABS('01_설정'!$B$4-H970),"")</f>
        <v/>
      </c>
      <c r="Q970">
        <f>IFERROR(ABS(YEAR(J970)-YEAR('02_대상물건입력'!$B$14)),"")</f>
        <v/>
      </c>
      <c r="R970">
        <f>IF(AND(G970&gt;0,H970&gt;0,I970&gt;0,N970=1,IF('01_설정'!$B$10=1,K970=1,TRUE()),O970&lt;='01_설정'!$B$5,P970&lt;='01_설정'!$B$7,Q970&lt;='01_설정'!$B$8),"Y","")</f>
        <v/>
      </c>
      <c r="S970">
        <f>IF(R970&lt;&gt;"Y","",MAX(0,(1-O970/'01_설정'!$B$5))*'01_설정'!$B$14+MAX(0,(1-P970/'01_설정'!$B$7))*'01_설정'!$B$16+MAX(0,(1-Q970/'01_설정'!$B$8))*'01_설정'!$B$17+L970*'01_설정'!$B$11+M970*'01_설정'!$B$12+N970*50)</f>
        <v/>
      </c>
      <c r="T970">
        <f>IF(S970="","",1+COUNTIFS($S$31:$S$1030,"&gt;"&amp;S970)+COUNTIFS($S$31:S970,S970)-1)</f>
        <v/>
      </c>
    </row>
    <row r="971" hidden="1" ht="16.5" customHeight="1">
      <c r="A971">
        <f>IF(COUNTA('05_KAPA'!$A942:$AO942)=0,"",944)</f>
        <v/>
      </c>
      <c r="B971">
        <f>IF($A971="","",INDEX('05_KAPA'!$B:$B,$A971))</f>
        <v/>
      </c>
      <c r="C971">
        <f>IF($A971="","",INDEX('05_KAPA'!$F:$F,$A971))</f>
        <v/>
      </c>
      <c r="D971">
        <f>IF($A971="","",INDEX('05_KAPA'!$H:$H,$A971))</f>
        <v/>
      </c>
      <c r="E971">
        <f>IF($A971="","",INDEX('05_KAPA'!$K:$K,$A971))</f>
        <v/>
      </c>
      <c r="F971">
        <f>IF($A971="","",INDEX('05_KAPA'!$L:$L,$A971))</f>
        <v/>
      </c>
      <c r="G971">
        <f>IF($A971="","",INDEX('05_KAPA'!$I:$I,$A971))</f>
        <v/>
      </c>
      <c r="H971" s="202">
        <f>IF($A971="","",INDEX('05_KAPA'!$P:$P,$A971))</f>
        <v/>
      </c>
      <c r="I971" s="118">
        <f>IF($A971="","",INDEX('05_KAPA'!$O:$O,$A971))</f>
        <v/>
      </c>
      <c r="J971" s="202">
        <f>IF($A971="","",IFERROR(DATE(LEFT(TEXT(INDEX('05_KAPA'!$T:$T,$A971),"0"),4),MID(TEXT(INDEX('05_KAPA'!$T:$T,$A971),"0"),5,2),RIGHT(TEXT(INDEX('05_KAPA'!$T:$T,$A971),"0"),2)),""))</f>
        <v/>
      </c>
      <c r="K971">
        <f>IF(C971="","",IF('02_대상물건입력'!$B$5="",1,IF(ISNUMBER(SEARCH('02_대상물건입력'!$B$5,C971)),1,0)))</f>
        <v/>
      </c>
      <c r="L971">
        <f>IF(C971="","",IF('02_대상물건입력'!$B$6="",1,IF(ISNUMBER(SEARCH('02_대상물건입력'!$B$6,C971)),1,0)))</f>
        <v/>
      </c>
      <c r="M971">
        <f>IF(E971="","",IF('02_대상물건입력'!$B$8="",0,IF(ISNUMBER(SEARCH('02_대상물건입력'!$B$8,E971)),1,0)))</f>
        <v/>
      </c>
      <c r="N971">
        <f>IF(B971="","",IF(B971="담보",1,0))</f>
        <v/>
      </c>
      <c r="O971">
        <f>IFERROR(ABS(G971-'02_대상물건입력'!$B$11)/'02_대상물건입력'!$B$11,"")</f>
        <v/>
      </c>
      <c r="P971">
        <f>IFERROR(ABS('01_설정'!$B$4-H971),"")</f>
        <v/>
      </c>
      <c r="Q971">
        <f>IFERROR(ABS(YEAR(J971)-YEAR('02_대상물건입력'!$B$14)),"")</f>
        <v/>
      </c>
      <c r="R971">
        <f>IF(AND(G971&gt;0,H971&gt;0,I971&gt;0,N971=1,IF('01_설정'!$B$10=1,K971=1,TRUE()),O971&lt;='01_설정'!$B$5,P971&lt;='01_설정'!$B$7,Q971&lt;='01_설정'!$B$8),"Y","")</f>
        <v/>
      </c>
      <c r="S971">
        <f>IF(R971&lt;&gt;"Y","",MAX(0,(1-O971/'01_설정'!$B$5))*'01_설정'!$B$14+MAX(0,(1-P971/'01_설정'!$B$7))*'01_설정'!$B$16+MAX(0,(1-Q971/'01_설정'!$B$8))*'01_설정'!$B$17+L971*'01_설정'!$B$11+M971*'01_설정'!$B$12+N971*50)</f>
        <v/>
      </c>
      <c r="T971">
        <f>IF(S971="","",1+COUNTIFS($S$31:$S$1030,"&gt;"&amp;S971)+COUNTIFS($S$31:S971,S971)-1)</f>
        <v/>
      </c>
    </row>
    <row r="972" hidden="1" ht="16.5" customHeight="1">
      <c r="A972">
        <f>IF(COUNTA('05_KAPA'!$A943:$AO943)=0,"",945)</f>
        <v/>
      </c>
      <c r="B972">
        <f>IF($A972="","",INDEX('05_KAPA'!$B:$B,$A972))</f>
        <v/>
      </c>
      <c r="C972">
        <f>IF($A972="","",INDEX('05_KAPA'!$F:$F,$A972))</f>
        <v/>
      </c>
      <c r="D972">
        <f>IF($A972="","",INDEX('05_KAPA'!$H:$H,$A972))</f>
        <v/>
      </c>
      <c r="E972">
        <f>IF($A972="","",INDEX('05_KAPA'!$K:$K,$A972))</f>
        <v/>
      </c>
      <c r="F972">
        <f>IF($A972="","",INDEX('05_KAPA'!$L:$L,$A972))</f>
        <v/>
      </c>
      <c r="G972">
        <f>IF($A972="","",INDEX('05_KAPA'!$I:$I,$A972))</f>
        <v/>
      </c>
      <c r="H972" s="202">
        <f>IF($A972="","",INDEX('05_KAPA'!$P:$P,$A972))</f>
        <v/>
      </c>
      <c r="I972" s="118">
        <f>IF($A972="","",INDEX('05_KAPA'!$O:$O,$A972))</f>
        <v/>
      </c>
      <c r="J972" s="202">
        <f>IF($A972="","",IFERROR(DATE(LEFT(TEXT(INDEX('05_KAPA'!$T:$T,$A972),"0"),4),MID(TEXT(INDEX('05_KAPA'!$T:$T,$A972),"0"),5,2),RIGHT(TEXT(INDEX('05_KAPA'!$T:$T,$A972),"0"),2)),""))</f>
        <v/>
      </c>
      <c r="K972">
        <f>IF(C972="","",IF('02_대상물건입력'!$B$5="",1,IF(ISNUMBER(SEARCH('02_대상물건입력'!$B$5,C972)),1,0)))</f>
        <v/>
      </c>
      <c r="L972">
        <f>IF(C972="","",IF('02_대상물건입력'!$B$6="",1,IF(ISNUMBER(SEARCH('02_대상물건입력'!$B$6,C972)),1,0)))</f>
        <v/>
      </c>
      <c r="M972">
        <f>IF(E972="","",IF('02_대상물건입력'!$B$8="",0,IF(ISNUMBER(SEARCH('02_대상물건입력'!$B$8,E972)),1,0)))</f>
        <v/>
      </c>
      <c r="N972">
        <f>IF(B972="","",IF(B972="담보",1,0))</f>
        <v/>
      </c>
      <c r="O972">
        <f>IFERROR(ABS(G972-'02_대상물건입력'!$B$11)/'02_대상물건입력'!$B$11,"")</f>
        <v/>
      </c>
      <c r="P972">
        <f>IFERROR(ABS('01_설정'!$B$4-H972),"")</f>
        <v/>
      </c>
      <c r="Q972">
        <f>IFERROR(ABS(YEAR(J972)-YEAR('02_대상물건입력'!$B$14)),"")</f>
        <v/>
      </c>
      <c r="R972">
        <f>IF(AND(G972&gt;0,H972&gt;0,I972&gt;0,N972=1,IF('01_설정'!$B$10=1,K972=1,TRUE()),O972&lt;='01_설정'!$B$5,P972&lt;='01_설정'!$B$7,Q972&lt;='01_설정'!$B$8),"Y","")</f>
        <v/>
      </c>
      <c r="S972">
        <f>IF(R972&lt;&gt;"Y","",MAX(0,(1-O972/'01_설정'!$B$5))*'01_설정'!$B$14+MAX(0,(1-P972/'01_설정'!$B$7))*'01_설정'!$B$16+MAX(0,(1-Q972/'01_설정'!$B$8))*'01_설정'!$B$17+L972*'01_설정'!$B$11+M972*'01_설정'!$B$12+N972*50)</f>
        <v/>
      </c>
      <c r="T972">
        <f>IF(S972="","",1+COUNTIFS($S$31:$S$1030,"&gt;"&amp;S972)+COUNTIFS($S$31:S972,S972)-1)</f>
        <v/>
      </c>
    </row>
    <row r="973" hidden="1" ht="16.5" customHeight="1">
      <c r="A973">
        <f>IF(COUNTA('05_KAPA'!$A944:$AO944)=0,"",946)</f>
        <v/>
      </c>
      <c r="B973">
        <f>IF($A973="","",INDEX('05_KAPA'!$B:$B,$A973))</f>
        <v/>
      </c>
      <c r="C973">
        <f>IF($A973="","",INDEX('05_KAPA'!$F:$F,$A973))</f>
        <v/>
      </c>
      <c r="D973">
        <f>IF($A973="","",INDEX('05_KAPA'!$H:$H,$A973))</f>
        <v/>
      </c>
      <c r="E973">
        <f>IF($A973="","",INDEX('05_KAPA'!$K:$K,$A973))</f>
        <v/>
      </c>
      <c r="F973">
        <f>IF($A973="","",INDEX('05_KAPA'!$L:$L,$A973))</f>
        <v/>
      </c>
      <c r="G973">
        <f>IF($A973="","",INDEX('05_KAPA'!$I:$I,$A973))</f>
        <v/>
      </c>
      <c r="H973" s="202">
        <f>IF($A973="","",INDEX('05_KAPA'!$P:$P,$A973))</f>
        <v/>
      </c>
      <c r="I973" s="118">
        <f>IF($A973="","",INDEX('05_KAPA'!$O:$O,$A973))</f>
        <v/>
      </c>
      <c r="J973" s="202">
        <f>IF($A973="","",IFERROR(DATE(LEFT(TEXT(INDEX('05_KAPA'!$T:$T,$A973),"0"),4),MID(TEXT(INDEX('05_KAPA'!$T:$T,$A973),"0"),5,2),RIGHT(TEXT(INDEX('05_KAPA'!$T:$T,$A973),"0"),2)),""))</f>
        <v/>
      </c>
      <c r="K973">
        <f>IF(C973="","",IF('02_대상물건입력'!$B$5="",1,IF(ISNUMBER(SEARCH('02_대상물건입력'!$B$5,C973)),1,0)))</f>
        <v/>
      </c>
      <c r="L973">
        <f>IF(C973="","",IF('02_대상물건입력'!$B$6="",1,IF(ISNUMBER(SEARCH('02_대상물건입력'!$B$6,C973)),1,0)))</f>
        <v/>
      </c>
      <c r="M973">
        <f>IF(E973="","",IF('02_대상물건입력'!$B$8="",0,IF(ISNUMBER(SEARCH('02_대상물건입력'!$B$8,E973)),1,0)))</f>
        <v/>
      </c>
      <c r="N973">
        <f>IF(B973="","",IF(B973="담보",1,0))</f>
        <v/>
      </c>
      <c r="O973">
        <f>IFERROR(ABS(G973-'02_대상물건입력'!$B$11)/'02_대상물건입력'!$B$11,"")</f>
        <v/>
      </c>
      <c r="P973">
        <f>IFERROR(ABS('01_설정'!$B$4-H973),"")</f>
        <v/>
      </c>
      <c r="Q973">
        <f>IFERROR(ABS(YEAR(J973)-YEAR('02_대상물건입력'!$B$14)),"")</f>
        <v/>
      </c>
      <c r="R973">
        <f>IF(AND(G973&gt;0,H973&gt;0,I973&gt;0,N973=1,IF('01_설정'!$B$10=1,K973=1,TRUE()),O973&lt;='01_설정'!$B$5,P973&lt;='01_설정'!$B$7,Q973&lt;='01_설정'!$B$8),"Y","")</f>
        <v/>
      </c>
      <c r="S973">
        <f>IF(R973&lt;&gt;"Y","",MAX(0,(1-O973/'01_설정'!$B$5))*'01_설정'!$B$14+MAX(0,(1-P973/'01_설정'!$B$7))*'01_설정'!$B$16+MAX(0,(1-Q973/'01_설정'!$B$8))*'01_설정'!$B$17+L973*'01_설정'!$B$11+M973*'01_설정'!$B$12+N973*50)</f>
        <v/>
      </c>
      <c r="T973">
        <f>IF(S973="","",1+COUNTIFS($S$31:$S$1030,"&gt;"&amp;S973)+COUNTIFS($S$31:S973,S973)-1)</f>
        <v/>
      </c>
    </row>
    <row r="974" hidden="1" ht="16.5" customHeight="1">
      <c r="A974">
        <f>IF(COUNTA('05_KAPA'!$A945:$AO945)=0,"",947)</f>
        <v/>
      </c>
      <c r="B974">
        <f>IF($A974="","",INDEX('05_KAPA'!$B:$B,$A974))</f>
        <v/>
      </c>
      <c r="C974">
        <f>IF($A974="","",INDEX('05_KAPA'!$F:$F,$A974))</f>
        <v/>
      </c>
      <c r="D974">
        <f>IF($A974="","",INDEX('05_KAPA'!$H:$H,$A974))</f>
        <v/>
      </c>
      <c r="E974">
        <f>IF($A974="","",INDEX('05_KAPA'!$K:$K,$A974))</f>
        <v/>
      </c>
      <c r="F974">
        <f>IF($A974="","",INDEX('05_KAPA'!$L:$L,$A974))</f>
        <v/>
      </c>
      <c r="G974">
        <f>IF($A974="","",INDEX('05_KAPA'!$I:$I,$A974))</f>
        <v/>
      </c>
      <c r="H974" s="202">
        <f>IF($A974="","",INDEX('05_KAPA'!$P:$P,$A974))</f>
        <v/>
      </c>
      <c r="I974" s="118">
        <f>IF($A974="","",INDEX('05_KAPA'!$O:$O,$A974))</f>
        <v/>
      </c>
      <c r="J974" s="202">
        <f>IF($A974="","",IFERROR(DATE(LEFT(TEXT(INDEX('05_KAPA'!$T:$T,$A974),"0"),4),MID(TEXT(INDEX('05_KAPA'!$T:$T,$A974),"0"),5,2),RIGHT(TEXT(INDEX('05_KAPA'!$T:$T,$A974),"0"),2)),""))</f>
        <v/>
      </c>
      <c r="K974">
        <f>IF(C974="","",IF('02_대상물건입력'!$B$5="",1,IF(ISNUMBER(SEARCH('02_대상물건입력'!$B$5,C974)),1,0)))</f>
        <v/>
      </c>
      <c r="L974">
        <f>IF(C974="","",IF('02_대상물건입력'!$B$6="",1,IF(ISNUMBER(SEARCH('02_대상물건입력'!$B$6,C974)),1,0)))</f>
        <v/>
      </c>
      <c r="M974">
        <f>IF(E974="","",IF('02_대상물건입력'!$B$8="",0,IF(ISNUMBER(SEARCH('02_대상물건입력'!$B$8,E974)),1,0)))</f>
        <v/>
      </c>
      <c r="N974">
        <f>IF(B974="","",IF(B974="담보",1,0))</f>
        <v/>
      </c>
      <c r="O974">
        <f>IFERROR(ABS(G974-'02_대상물건입력'!$B$11)/'02_대상물건입력'!$B$11,"")</f>
        <v/>
      </c>
      <c r="P974">
        <f>IFERROR(ABS('01_설정'!$B$4-H974),"")</f>
        <v/>
      </c>
      <c r="Q974">
        <f>IFERROR(ABS(YEAR(J974)-YEAR('02_대상물건입력'!$B$14)),"")</f>
        <v/>
      </c>
      <c r="R974">
        <f>IF(AND(G974&gt;0,H974&gt;0,I974&gt;0,N974=1,IF('01_설정'!$B$10=1,K974=1,TRUE()),O974&lt;='01_설정'!$B$5,P974&lt;='01_설정'!$B$7,Q974&lt;='01_설정'!$B$8),"Y","")</f>
        <v/>
      </c>
      <c r="S974">
        <f>IF(R974&lt;&gt;"Y","",MAX(0,(1-O974/'01_설정'!$B$5))*'01_설정'!$B$14+MAX(0,(1-P974/'01_설정'!$B$7))*'01_설정'!$B$16+MAX(0,(1-Q974/'01_설정'!$B$8))*'01_설정'!$B$17+L974*'01_설정'!$B$11+M974*'01_설정'!$B$12+N974*50)</f>
        <v/>
      </c>
      <c r="T974">
        <f>IF(S974="","",1+COUNTIFS($S$31:$S$1030,"&gt;"&amp;S974)+COUNTIFS($S$31:S974,S974)-1)</f>
        <v/>
      </c>
    </row>
    <row r="975" hidden="1" ht="16.5" customHeight="1">
      <c r="A975">
        <f>IF(COUNTA('05_KAPA'!$A946:$AO946)=0,"",948)</f>
        <v/>
      </c>
      <c r="B975">
        <f>IF($A975="","",INDEX('05_KAPA'!$B:$B,$A975))</f>
        <v/>
      </c>
      <c r="C975">
        <f>IF($A975="","",INDEX('05_KAPA'!$F:$F,$A975))</f>
        <v/>
      </c>
      <c r="D975">
        <f>IF($A975="","",INDEX('05_KAPA'!$H:$H,$A975))</f>
        <v/>
      </c>
      <c r="E975">
        <f>IF($A975="","",INDEX('05_KAPA'!$K:$K,$A975))</f>
        <v/>
      </c>
      <c r="F975">
        <f>IF($A975="","",INDEX('05_KAPA'!$L:$L,$A975))</f>
        <v/>
      </c>
      <c r="G975">
        <f>IF($A975="","",INDEX('05_KAPA'!$I:$I,$A975))</f>
        <v/>
      </c>
      <c r="H975" s="202">
        <f>IF($A975="","",INDEX('05_KAPA'!$P:$P,$A975))</f>
        <v/>
      </c>
      <c r="I975" s="118">
        <f>IF($A975="","",INDEX('05_KAPA'!$O:$O,$A975))</f>
        <v/>
      </c>
      <c r="J975" s="202">
        <f>IF($A975="","",IFERROR(DATE(LEFT(TEXT(INDEX('05_KAPA'!$T:$T,$A975),"0"),4),MID(TEXT(INDEX('05_KAPA'!$T:$T,$A975),"0"),5,2),RIGHT(TEXT(INDEX('05_KAPA'!$T:$T,$A975),"0"),2)),""))</f>
        <v/>
      </c>
      <c r="K975">
        <f>IF(C975="","",IF('02_대상물건입력'!$B$5="",1,IF(ISNUMBER(SEARCH('02_대상물건입력'!$B$5,C975)),1,0)))</f>
        <v/>
      </c>
      <c r="L975">
        <f>IF(C975="","",IF('02_대상물건입력'!$B$6="",1,IF(ISNUMBER(SEARCH('02_대상물건입력'!$B$6,C975)),1,0)))</f>
        <v/>
      </c>
      <c r="M975">
        <f>IF(E975="","",IF('02_대상물건입력'!$B$8="",0,IF(ISNUMBER(SEARCH('02_대상물건입력'!$B$8,E975)),1,0)))</f>
        <v/>
      </c>
      <c r="N975">
        <f>IF(B975="","",IF(B975="담보",1,0))</f>
        <v/>
      </c>
      <c r="O975">
        <f>IFERROR(ABS(G975-'02_대상물건입력'!$B$11)/'02_대상물건입력'!$B$11,"")</f>
        <v/>
      </c>
      <c r="P975">
        <f>IFERROR(ABS('01_설정'!$B$4-H975),"")</f>
        <v/>
      </c>
      <c r="Q975">
        <f>IFERROR(ABS(YEAR(J975)-YEAR('02_대상물건입력'!$B$14)),"")</f>
        <v/>
      </c>
      <c r="R975">
        <f>IF(AND(G975&gt;0,H975&gt;0,I975&gt;0,N975=1,IF('01_설정'!$B$10=1,K975=1,TRUE()),O975&lt;='01_설정'!$B$5,P975&lt;='01_설정'!$B$7,Q975&lt;='01_설정'!$B$8),"Y","")</f>
        <v/>
      </c>
      <c r="S975">
        <f>IF(R975&lt;&gt;"Y","",MAX(0,(1-O975/'01_설정'!$B$5))*'01_설정'!$B$14+MAX(0,(1-P975/'01_설정'!$B$7))*'01_설정'!$B$16+MAX(0,(1-Q975/'01_설정'!$B$8))*'01_설정'!$B$17+L975*'01_설정'!$B$11+M975*'01_설정'!$B$12+N975*50)</f>
        <v/>
      </c>
      <c r="T975">
        <f>IF(S975="","",1+COUNTIFS($S$31:$S$1030,"&gt;"&amp;S975)+COUNTIFS($S$31:S975,S975)-1)</f>
        <v/>
      </c>
    </row>
    <row r="976" hidden="1" ht="16.5" customHeight="1">
      <c r="A976">
        <f>IF(COUNTA('05_KAPA'!$A947:$AO947)=0,"",949)</f>
        <v/>
      </c>
      <c r="B976">
        <f>IF($A976="","",INDEX('05_KAPA'!$B:$B,$A976))</f>
        <v/>
      </c>
      <c r="C976">
        <f>IF($A976="","",INDEX('05_KAPA'!$F:$F,$A976))</f>
        <v/>
      </c>
      <c r="D976">
        <f>IF($A976="","",INDEX('05_KAPA'!$H:$H,$A976))</f>
        <v/>
      </c>
      <c r="E976">
        <f>IF($A976="","",INDEX('05_KAPA'!$K:$K,$A976))</f>
        <v/>
      </c>
      <c r="F976">
        <f>IF($A976="","",INDEX('05_KAPA'!$L:$L,$A976))</f>
        <v/>
      </c>
      <c r="G976">
        <f>IF($A976="","",INDEX('05_KAPA'!$I:$I,$A976))</f>
        <v/>
      </c>
      <c r="H976" s="202">
        <f>IF($A976="","",INDEX('05_KAPA'!$P:$P,$A976))</f>
        <v/>
      </c>
      <c r="I976" s="118">
        <f>IF($A976="","",INDEX('05_KAPA'!$O:$O,$A976))</f>
        <v/>
      </c>
      <c r="J976" s="202">
        <f>IF($A976="","",IFERROR(DATE(LEFT(TEXT(INDEX('05_KAPA'!$T:$T,$A976),"0"),4),MID(TEXT(INDEX('05_KAPA'!$T:$T,$A976),"0"),5,2),RIGHT(TEXT(INDEX('05_KAPA'!$T:$T,$A976),"0"),2)),""))</f>
        <v/>
      </c>
      <c r="K976">
        <f>IF(C976="","",IF('02_대상물건입력'!$B$5="",1,IF(ISNUMBER(SEARCH('02_대상물건입력'!$B$5,C976)),1,0)))</f>
        <v/>
      </c>
      <c r="L976">
        <f>IF(C976="","",IF('02_대상물건입력'!$B$6="",1,IF(ISNUMBER(SEARCH('02_대상물건입력'!$B$6,C976)),1,0)))</f>
        <v/>
      </c>
      <c r="M976">
        <f>IF(E976="","",IF('02_대상물건입력'!$B$8="",0,IF(ISNUMBER(SEARCH('02_대상물건입력'!$B$8,E976)),1,0)))</f>
        <v/>
      </c>
      <c r="N976">
        <f>IF(B976="","",IF(B976="담보",1,0))</f>
        <v/>
      </c>
      <c r="O976">
        <f>IFERROR(ABS(G976-'02_대상물건입력'!$B$11)/'02_대상물건입력'!$B$11,"")</f>
        <v/>
      </c>
      <c r="P976">
        <f>IFERROR(ABS('01_설정'!$B$4-H976),"")</f>
        <v/>
      </c>
      <c r="Q976">
        <f>IFERROR(ABS(YEAR(J976)-YEAR('02_대상물건입력'!$B$14)),"")</f>
        <v/>
      </c>
      <c r="R976">
        <f>IF(AND(G976&gt;0,H976&gt;0,I976&gt;0,N976=1,IF('01_설정'!$B$10=1,K976=1,TRUE()),O976&lt;='01_설정'!$B$5,P976&lt;='01_설정'!$B$7,Q976&lt;='01_설정'!$B$8),"Y","")</f>
        <v/>
      </c>
      <c r="S976">
        <f>IF(R976&lt;&gt;"Y","",MAX(0,(1-O976/'01_설정'!$B$5))*'01_설정'!$B$14+MAX(0,(1-P976/'01_설정'!$B$7))*'01_설정'!$B$16+MAX(0,(1-Q976/'01_설정'!$B$8))*'01_설정'!$B$17+L976*'01_설정'!$B$11+M976*'01_설정'!$B$12+N976*50)</f>
        <v/>
      </c>
      <c r="T976">
        <f>IF(S976="","",1+COUNTIFS($S$31:$S$1030,"&gt;"&amp;S976)+COUNTIFS($S$31:S976,S976)-1)</f>
        <v/>
      </c>
    </row>
    <row r="977" hidden="1" ht="16.5" customHeight="1">
      <c r="A977">
        <f>IF(COUNTA('05_KAPA'!$A948:$AO948)=0,"",950)</f>
        <v/>
      </c>
      <c r="B977">
        <f>IF($A977="","",INDEX('05_KAPA'!$B:$B,$A977))</f>
        <v/>
      </c>
      <c r="C977">
        <f>IF($A977="","",INDEX('05_KAPA'!$F:$F,$A977))</f>
        <v/>
      </c>
      <c r="D977">
        <f>IF($A977="","",INDEX('05_KAPA'!$H:$H,$A977))</f>
        <v/>
      </c>
      <c r="E977">
        <f>IF($A977="","",INDEX('05_KAPA'!$K:$K,$A977))</f>
        <v/>
      </c>
      <c r="F977">
        <f>IF($A977="","",INDEX('05_KAPA'!$L:$L,$A977))</f>
        <v/>
      </c>
      <c r="G977">
        <f>IF($A977="","",INDEX('05_KAPA'!$I:$I,$A977))</f>
        <v/>
      </c>
      <c r="H977" s="202">
        <f>IF($A977="","",INDEX('05_KAPA'!$P:$P,$A977))</f>
        <v/>
      </c>
      <c r="I977" s="118">
        <f>IF($A977="","",INDEX('05_KAPA'!$O:$O,$A977))</f>
        <v/>
      </c>
      <c r="J977" s="202">
        <f>IF($A977="","",IFERROR(DATE(LEFT(TEXT(INDEX('05_KAPA'!$T:$T,$A977),"0"),4),MID(TEXT(INDEX('05_KAPA'!$T:$T,$A977),"0"),5,2),RIGHT(TEXT(INDEX('05_KAPA'!$T:$T,$A977),"0"),2)),""))</f>
        <v/>
      </c>
      <c r="K977">
        <f>IF(C977="","",IF('02_대상물건입력'!$B$5="",1,IF(ISNUMBER(SEARCH('02_대상물건입력'!$B$5,C977)),1,0)))</f>
        <v/>
      </c>
      <c r="L977">
        <f>IF(C977="","",IF('02_대상물건입력'!$B$6="",1,IF(ISNUMBER(SEARCH('02_대상물건입력'!$B$6,C977)),1,0)))</f>
        <v/>
      </c>
      <c r="M977">
        <f>IF(E977="","",IF('02_대상물건입력'!$B$8="",0,IF(ISNUMBER(SEARCH('02_대상물건입력'!$B$8,E977)),1,0)))</f>
        <v/>
      </c>
      <c r="N977">
        <f>IF(B977="","",IF(B977="담보",1,0))</f>
        <v/>
      </c>
      <c r="O977">
        <f>IFERROR(ABS(G977-'02_대상물건입력'!$B$11)/'02_대상물건입력'!$B$11,"")</f>
        <v/>
      </c>
      <c r="P977">
        <f>IFERROR(ABS('01_설정'!$B$4-H977),"")</f>
        <v/>
      </c>
      <c r="Q977">
        <f>IFERROR(ABS(YEAR(J977)-YEAR('02_대상물건입력'!$B$14)),"")</f>
        <v/>
      </c>
      <c r="R977">
        <f>IF(AND(G977&gt;0,H977&gt;0,I977&gt;0,N977=1,IF('01_설정'!$B$10=1,K977=1,TRUE()),O977&lt;='01_설정'!$B$5,P977&lt;='01_설정'!$B$7,Q977&lt;='01_설정'!$B$8),"Y","")</f>
        <v/>
      </c>
      <c r="S977">
        <f>IF(R977&lt;&gt;"Y","",MAX(0,(1-O977/'01_설정'!$B$5))*'01_설정'!$B$14+MAX(0,(1-P977/'01_설정'!$B$7))*'01_설정'!$B$16+MAX(0,(1-Q977/'01_설정'!$B$8))*'01_설정'!$B$17+L977*'01_설정'!$B$11+M977*'01_설정'!$B$12+N977*50)</f>
        <v/>
      </c>
      <c r="T977">
        <f>IF(S977="","",1+COUNTIFS($S$31:$S$1030,"&gt;"&amp;S977)+COUNTIFS($S$31:S977,S977)-1)</f>
        <v/>
      </c>
    </row>
    <row r="978" hidden="1" ht="16.5" customHeight="1">
      <c r="A978">
        <f>IF(COUNTA('05_KAPA'!$A949:$AO949)=0,"",951)</f>
        <v/>
      </c>
      <c r="B978">
        <f>IF($A978="","",INDEX('05_KAPA'!$B:$B,$A978))</f>
        <v/>
      </c>
      <c r="C978">
        <f>IF($A978="","",INDEX('05_KAPA'!$F:$F,$A978))</f>
        <v/>
      </c>
      <c r="D978">
        <f>IF($A978="","",INDEX('05_KAPA'!$H:$H,$A978))</f>
        <v/>
      </c>
      <c r="E978">
        <f>IF($A978="","",INDEX('05_KAPA'!$K:$K,$A978))</f>
        <v/>
      </c>
      <c r="F978">
        <f>IF($A978="","",INDEX('05_KAPA'!$L:$L,$A978))</f>
        <v/>
      </c>
      <c r="G978">
        <f>IF($A978="","",INDEX('05_KAPA'!$I:$I,$A978))</f>
        <v/>
      </c>
      <c r="H978" s="202">
        <f>IF($A978="","",INDEX('05_KAPA'!$P:$P,$A978))</f>
        <v/>
      </c>
      <c r="I978" s="118">
        <f>IF($A978="","",INDEX('05_KAPA'!$O:$O,$A978))</f>
        <v/>
      </c>
      <c r="J978" s="202">
        <f>IF($A978="","",IFERROR(DATE(LEFT(TEXT(INDEX('05_KAPA'!$T:$T,$A978),"0"),4),MID(TEXT(INDEX('05_KAPA'!$T:$T,$A978),"0"),5,2),RIGHT(TEXT(INDEX('05_KAPA'!$T:$T,$A978),"0"),2)),""))</f>
        <v/>
      </c>
      <c r="K978">
        <f>IF(C978="","",IF('02_대상물건입력'!$B$5="",1,IF(ISNUMBER(SEARCH('02_대상물건입력'!$B$5,C978)),1,0)))</f>
        <v/>
      </c>
      <c r="L978">
        <f>IF(C978="","",IF('02_대상물건입력'!$B$6="",1,IF(ISNUMBER(SEARCH('02_대상물건입력'!$B$6,C978)),1,0)))</f>
        <v/>
      </c>
      <c r="M978">
        <f>IF(E978="","",IF('02_대상물건입력'!$B$8="",0,IF(ISNUMBER(SEARCH('02_대상물건입력'!$B$8,E978)),1,0)))</f>
        <v/>
      </c>
      <c r="N978">
        <f>IF(B978="","",IF(B978="담보",1,0))</f>
        <v/>
      </c>
      <c r="O978">
        <f>IFERROR(ABS(G978-'02_대상물건입력'!$B$11)/'02_대상물건입력'!$B$11,"")</f>
        <v/>
      </c>
      <c r="P978">
        <f>IFERROR(ABS('01_설정'!$B$4-H978),"")</f>
        <v/>
      </c>
      <c r="Q978">
        <f>IFERROR(ABS(YEAR(J978)-YEAR('02_대상물건입력'!$B$14)),"")</f>
        <v/>
      </c>
      <c r="R978">
        <f>IF(AND(G978&gt;0,H978&gt;0,I978&gt;0,N978=1,IF('01_설정'!$B$10=1,K978=1,TRUE()),O978&lt;='01_설정'!$B$5,P978&lt;='01_설정'!$B$7,Q978&lt;='01_설정'!$B$8),"Y","")</f>
        <v/>
      </c>
      <c r="S978">
        <f>IF(R978&lt;&gt;"Y","",MAX(0,(1-O978/'01_설정'!$B$5))*'01_설정'!$B$14+MAX(0,(1-P978/'01_설정'!$B$7))*'01_설정'!$B$16+MAX(0,(1-Q978/'01_설정'!$B$8))*'01_설정'!$B$17+L978*'01_설정'!$B$11+M978*'01_설정'!$B$12+N978*50)</f>
        <v/>
      </c>
      <c r="T978">
        <f>IF(S978="","",1+COUNTIFS($S$31:$S$1030,"&gt;"&amp;S978)+COUNTIFS($S$31:S978,S978)-1)</f>
        <v/>
      </c>
    </row>
    <row r="979" hidden="1" ht="16.5" customHeight="1">
      <c r="A979">
        <f>IF(COUNTA('05_KAPA'!$A950:$AO950)=0,"",952)</f>
        <v/>
      </c>
      <c r="B979">
        <f>IF($A979="","",INDEX('05_KAPA'!$B:$B,$A979))</f>
        <v/>
      </c>
      <c r="C979">
        <f>IF($A979="","",INDEX('05_KAPA'!$F:$F,$A979))</f>
        <v/>
      </c>
      <c r="D979">
        <f>IF($A979="","",INDEX('05_KAPA'!$H:$H,$A979))</f>
        <v/>
      </c>
      <c r="E979">
        <f>IF($A979="","",INDEX('05_KAPA'!$K:$K,$A979))</f>
        <v/>
      </c>
      <c r="F979">
        <f>IF($A979="","",INDEX('05_KAPA'!$L:$L,$A979))</f>
        <v/>
      </c>
      <c r="G979">
        <f>IF($A979="","",INDEX('05_KAPA'!$I:$I,$A979))</f>
        <v/>
      </c>
      <c r="H979" s="202">
        <f>IF($A979="","",INDEX('05_KAPA'!$P:$P,$A979))</f>
        <v/>
      </c>
      <c r="I979" s="118">
        <f>IF($A979="","",INDEX('05_KAPA'!$O:$O,$A979))</f>
        <v/>
      </c>
      <c r="J979" s="202">
        <f>IF($A979="","",IFERROR(DATE(LEFT(TEXT(INDEX('05_KAPA'!$T:$T,$A979),"0"),4),MID(TEXT(INDEX('05_KAPA'!$T:$T,$A979),"0"),5,2),RIGHT(TEXT(INDEX('05_KAPA'!$T:$T,$A979),"0"),2)),""))</f>
        <v/>
      </c>
      <c r="K979">
        <f>IF(C979="","",IF('02_대상물건입력'!$B$5="",1,IF(ISNUMBER(SEARCH('02_대상물건입력'!$B$5,C979)),1,0)))</f>
        <v/>
      </c>
      <c r="L979">
        <f>IF(C979="","",IF('02_대상물건입력'!$B$6="",1,IF(ISNUMBER(SEARCH('02_대상물건입력'!$B$6,C979)),1,0)))</f>
        <v/>
      </c>
      <c r="M979">
        <f>IF(E979="","",IF('02_대상물건입력'!$B$8="",0,IF(ISNUMBER(SEARCH('02_대상물건입력'!$B$8,E979)),1,0)))</f>
        <v/>
      </c>
      <c r="N979">
        <f>IF(B979="","",IF(B979="담보",1,0))</f>
        <v/>
      </c>
      <c r="O979">
        <f>IFERROR(ABS(G979-'02_대상물건입력'!$B$11)/'02_대상물건입력'!$B$11,"")</f>
        <v/>
      </c>
      <c r="P979">
        <f>IFERROR(ABS('01_설정'!$B$4-H979),"")</f>
        <v/>
      </c>
      <c r="Q979">
        <f>IFERROR(ABS(YEAR(J979)-YEAR('02_대상물건입력'!$B$14)),"")</f>
        <v/>
      </c>
      <c r="R979">
        <f>IF(AND(G979&gt;0,H979&gt;0,I979&gt;0,N979=1,IF('01_설정'!$B$10=1,K979=1,TRUE()),O979&lt;='01_설정'!$B$5,P979&lt;='01_설정'!$B$7,Q979&lt;='01_설정'!$B$8),"Y","")</f>
        <v/>
      </c>
      <c r="S979">
        <f>IF(R979&lt;&gt;"Y","",MAX(0,(1-O979/'01_설정'!$B$5))*'01_설정'!$B$14+MAX(0,(1-P979/'01_설정'!$B$7))*'01_설정'!$B$16+MAX(0,(1-Q979/'01_설정'!$B$8))*'01_설정'!$B$17+L979*'01_설정'!$B$11+M979*'01_설정'!$B$12+N979*50)</f>
        <v/>
      </c>
      <c r="T979">
        <f>IF(S979="","",1+COUNTIFS($S$31:$S$1030,"&gt;"&amp;S979)+COUNTIFS($S$31:S979,S979)-1)</f>
        <v/>
      </c>
    </row>
    <row r="980" hidden="1" ht="16.5" customHeight="1">
      <c r="A980">
        <f>IF(COUNTA('05_KAPA'!$A951:$AO951)=0,"",953)</f>
        <v/>
      </c>
      <c r="B980">
        <f>IF($A980="","",INDEX('05_KAPA'!$B:$B,$A980))</f>
        <v/>
      </c>
      <c r="C980">
        <f>IF($A980="","",INDEX('05_KAPA'!$F:$F,$A980))</f>
        <v/>
      </c>
      <c r="D980">
        <f>IF($A980="","",INDEX('05_KAPA'!$H:$H,$A980))</f>
        <v/>
      </c>
      <c r="E980">
        <f>IF($A980="","",INDEX('05_KAPA'!$K:$K,$A980))</f>
        <v/>
      </c>
      <c r="F980">
        <f>IF($A980="","",INDEX('05_KAPA'!$L:$L,$A980))</f>
        <v/>
      </c>
      <c r="G980">
        <f>IF($A980="","",INDEX('05_KAPA'!$I:$I,$A980))</f>
        <v/>
      </c>
      <c r="H980" s="202">
        <f>IF($A980="","",INDEX('05_KAPA'!$P:$P,$A980))</f>
        <v/>
      </c>
      <c r="I980" s="118">
        <f>IF($A980="","",INDEX('05_KAPA'!$O:$O,$A980))</f>
        <v/>
      </c>
      <c r="J980" s="202">
        <f>IF($A980="","",IFERROR(DATE(LEFT(TEXT(INDEX('05_KAPA'!$T:$T,$A980),"0"),4),MID(TEXT(INDEX('05_KAPA'!$T:$T,$A980),"0"),5,2),RIGHT(TEXT(INDEX('05_KAPA'!$T:$T,$A980),"0"),2)),""))</f>
        <v/>
      </c>
      <c r="K980">
        <f>IF(C980="","",IF('02_대상물건입력'!$B$5="",1,IF(ISNUMBER(SEARCH('02_대상물건입력'!$B$5,C980)),1,0)))</f>
        <v/>
      </c>
      <c r="L980">
        <f>IF(C980="","",IF('02_대상물건입력'!$B$6="",1,IF(ISNUMBER(SEARCH('02_대상물건입력'!$B$6,C980)),1,0)))</f>
        <v/>
      </c>
      <c r="M980">
        <f>IF(E980="","",IF('02_대상물건입력'!$B$8="",0,IF(ISNUMBER(SEARCH('02_대상물건입력'!$B$8,E980)),1,0)))</f>
        <v/>
      </c>
      <c r="N980">
        <f>IF(B980="","",IF(B980="담보",1,0))</f>
        <v/>
      </c>
      <c r="O980">
        <f>IFERROR(ABS(G980-'02_대상물건입력'!$B$11)/'02_대상물건입력'!$B$11,"")</f>
        <v/>
      </c>
      <c r="P980">
        <f>IFERROR(ABS('01_설정'!$B$4-H980),"")</f>
        <v/>
      </c>
      <c r="Q980">
        <f>IFERROR(ABS(YEAR(J980)-YEAR('02_대상물건입력'!$B$14)),"")</f>
        <v/>
      </c>
      <c r="R980">
        <f>IF(AND(G980&gt;0,H980&gt;0,I980&gt;0,N980=1,IF('01_설정'!$B$10=1,K980=1,TRUE()),O980&lt;='01_설정'!$B$5,P980&lt;='01_설정'!$B$7,Q980&lt;='01_설정'!$B$8),"Y","")</f>
        <v/>
      </c>
      <c r="S980">
        <f>IF(R980&lt;&gt;"Y","",MAX(0,(1-O980/'01_설정'!$B$5))*'01_설정'!$B$14+MAX(0,(1-P980/'01_설정'!$B$7))*'01_설정'!$B$16+MAX(0,(1-Q980/'01_설정'!$B$8))*'01_설정'!$B$17+L980*'01_설정'!$B$11+M980*'01_설정'!$B$12+N980*50)</f>
        <v/>
      </c>
      <c r="T980">
        <f>IF(S980="","",1+COUNTIFS($S$31:$S$1030,"&gt;"&amp;S980)+COUNTIFS($S$31:S980,S980)-1)</f>
        <v/>
      </c>
    </row>
    <row r="981" hidden="1" ht="16.5" customHeight="1">
      <c r="A981">
        <f>IF(COUNTA('05_KAPA'!$A952:$AO952)=0,"",954)</f>
        <v/>
      </c>
      <c r="B981">
        <f>IF($A981="","",INDEX('05_KAPA'!$B:$B,$A981))</f>
        <v/>
      </c>
      <c r="C981">
        <f>IF($A981="","",INDEX('05_KAPA'!$F:$F,$A981))</f>
        <v/>
      </c>
      <c r="D981">
        <f>IF($A981="","",INDEX('05_KAPA'!$H:$H,$A981))</f>
        <v/>
      </c>
      <c r="E981">
        <f>IF($A981="","",INDEX('05_KAPA'!$K:$K,$A981))</f>
        <v/>
      </c>
      <c r="F981">
        <f>IF($A981="","",INDEX('05_KAPA'!$L:$L,$A981))</f>
        <v/>
      </c>
      <c r="G981">
        <f>IF($A981="","",INDEX('05_KAPA'!$I:$I,$A981))</f>
        <v/>
      </c>
      <c r="H981" s="202">
        <f>IF($A981="","",INDEX('05_KAPA'!$P:$P,$A981))</f>
        <v/>
      </c>
      <c r="I981" s="118">
        <f>IF($A981="","",INDEX('05_KAPA'!$O:$O,$A981))</f>
        <v/>
      </c>
      <c r="J981" s="202">
        <f>IF($A981="","",IFERROR(DATE(LEFT(TEXT(INDEX('05_KAPA'!$T:$T,$A981),"0"),4),MID(TEXT(INDEX('05_KAPA'!$T:$T,$A981),"0"),5,2),RIGHT(TEXT(INDEX('05_KAPA'!$T:$T,$A981),"0"),2)),""))</f>
        <v/>
      </c>
      <c r="K981">
        <f>IF(C981="","",IF('02_대상물건입력'!$B$5="",1,IF(ISNUMBER(SEARCH('02_대상물건입력'!$B$5,C981)),1,0)))</f>
        <v/>
      </c>
      <c r="L981">
        <f>IF(C981="","",IF('02_대상물건입력'!$B$6="",1,IF(ISNUMBER(SEARCH('02_대상물건입력'!$B$6,C981)),1,0)))</f>
        <v/>
      </c>
      <c r="M981">
        <f>IF(E981="","",IF('02_대상물건입력'!$B$8="",0,IF(ISNUMBER(SEARCH('02_대상물건입력'!$B$8,E981)),1,0)))</f>
        <v/>
      </c>
      <c r="N981">
        <f>IF(B981="","",IF(B981="담보",1,0))</f>
        <v/>
      </c>
      <c r="O981">
        <f>IFERROR(ABS(G981-'02_대상물건입력'!$B$11)/'02_대상물건입력'!$B$11,"")</f>
        <v/>
      </c>
      <c r="P981">
        <f>IFERROR(ABS('01_설정'!$B$4-H981),"")</f>
        <v/>
      </c>
      <c r="Q981">
        <f>IFERROR(ABS(YEAR(J981)-YEAR('02_대상물건입력'!$B$14)),"")</f>
        <v/>
      </c>
      <c r="R981">
        <f>IF(AND(G981&gt;0,H981&gt;0,I981&gt;0,N981=1,IF('01_설정'!$B$10=1,K981=1,TRUE()),O981&lt;='01_설정'!$B$5,P981&lt;='01_설정'!$B$7,Q981&lt;='01_설정'!$B$8),"Y","")</f>
        <v/>
      </c>
      <c r="S981">
        <f>IF(R981&lt;&gt;"Y","",MAX(0,(1-O981/'01_설정'!$B$5))*'01_설정'!$B$14+MAX(0,(1-P981/'01_설정'!$B$7))*'01_설정'!$B$16+MAX(0,(1-Q981/'01_설정'!$B$8))*'01_설정'!$B$17+L981*'01_설정'!$B$11+M981*'01_설정'!$B$12+N981*50)</f>
        <v/>
      </c>
      <c r="T981">
        <f>IF(S981="","",1+COUNTIFS($S$31:$S$1030,"&gt;"&amp;S981)+COUNTIFS($S$31:S981,S981)-1)</f>
        <v/>
      </c>
    </row>
    <row r="982" hidden="1" ht="16.5" customHeight="1">
      <c r="A982">
        <f>IF(COUNTA('05_KAPA'!$A953:$AO953)=0,"",955)</f>
        <v/>
      </c>
      <c r="B982">
        <f>IF($A982="","",INDEX('05_KAPA'!$B:$B,$A982))</f>
        <v/>
      </c>
      <c r="C982">
        <f>IF($A982="","",INDEX('05_KAPA'!$F:$F,$A982))</f>
        <v/>
      </c>
      <c r="D982">
        <f>IF($A982="","",INDEX('05_KAPA'!$H:$H,$A982))</f>
        <v/>
      </c>
      <c r="E982">
        <f>IF($A982="","",INDEX('05_KAPA'!$K:$K,$A982))</f>
        <v/>
      </c>
      <c r="F982">
        <f>IF($A982="","",INDEX('05_KAPA'!$L:$L,$A982))</f>
        <v/>
      </c>
      <c r="G982">
        <f>IF($A982="","",INDEX('05_KAPA'!$I:$I,$A982))</f>
        <v/>
      </c>
      <c r="H982" s="202">
        <f>IF($A982="","",INDEX('05_KAPA'!$P:$P,$A982))</f>
        <v/>
      </c>
      <c r="I982" s="118">
        <f>IF($A982="","",INDEX('05_KAPA'!$O:$O,$A982))</f>
        <v/>
      </c>
      <c r="J982" s="202">
        <f>IF($A982="","",IFERROR(DATE(LEFT(TEXT(INDEX('05_KAPA'!$T:$T,$A982),"0"),4),MID(TEXT(INDEX('05_KAPA'!$T:$T,$A982),"0"),5,2),RIGHT(TEXT(INDEX('05_KAPA'!$T:$T,$A982),"0"),2)),""))</f>
        <v/>
      </c>
      <c r="K982">
        <f>IF(C982="","",IF('02_대상물건입력'!$B$5="",1,IF(ISNUMBER(SEARCH('02_대상물건입력'!$B$5,C982)),1,0)))</f>
        <v/>
      </c>
      <c r="L982">
        <f>IF(C982="","",IF('02_대상물건입력'!$B$6="",1,IF(ISNUMBER(SEARCH('02_대상물건입력'!$B$6,C982)),1,0)))</f>
        <v/>
      </c>
      <c r="M982">
        <f>IF(E982="","",IF('02_대상물건입력'!$B$8="",0,IF(ISNUMBER(SEARCH('02_대상물건입력'!$B$8,E982)),1,0)))</f>
        <v/>
      </c>
      <c r="N982">
        <f>IF(B982="","",IF(B982="담보",1,0))</f>
        <v/>
      </c>
      <c r="O982">
        <f>IFERROR(ABS(G982-'02_대상물건입력'!$B$11)/'02_대상물건입력'!$B$11,"")</f>
        <v/>
      </c>
      <c r="P982">
        <f>IFERROR(ABS('01_설정'!$B$4-H982),"")</f>
        <v/>
      </c>
      <c r="Q982">
        <f>IFERROR(ABS(YEAR(J982)-YEAR('02_대상물건입력'!$B$14)),"")</f>
        <v/>
      </c>
      <c r="R982">
        <f>IF(AND(G982&gt;0,H982&gt;0,I982&gt;0,N982=1,IF('01_설정'!$B$10=1,K982=1,TRUE()),O982&lt;='01_설정'!$B$5,P982&lt;='01_설정'!$B$7,Q982&lt;='01_설정'!$B$8),"Y","")</f>
        <v/>
      </c>
      <c r="S982">
        <f>IF(R982&lt;&gt;"Y","",MAX(0,(1-O982/'01_설정'!$B$5))*'01_설정'!$B$14+MAX(0,(1-P982/'01_설정'!$B$7))*'01_설정'!$B$16+MAX(0,(1-Q982/'01_설정'!$B$8))*'01_설정'!$B$17+L982*'01_설정'!$B$11+M982*'01_설정'!$B$12+N982*50)</f>
        <v/>
      </c>
      <c r="T982">
        <f>IF(S982="","",1+COUNTIFS($S$31:$S$1030,"&gt;"&amp;S982)+COUNTIFS($S$31:S982,S982)-1)</f>
        <v/>
      </c>
    </row>
    <row r="983" hidden="1" ht="16.5" customHeight="1">
      <c r="A983">
        <f>IF(COUNTA('05_KAPA'!$A954:$AO954)=0,"",956)</f>
        <v/>
      </c>
      <c r="B983">
        <f>IF($A983="","",INDEX('05_KAPA'!$B:$B,$A983))</f>
        <v/>
      </c>
      <c r="C983">
        <f>IF($A983="","",INDEX('05_KAPA'!$F:$F,$A983))</f>
        <v/>
      </c>
      <c r="D983">
        <f>IF($A983="","",INDEX('05_KAPA'!$H:$H,$A983))</f>
        <v/>
      </c>
      <c r="E983">
        <f>IF($A983="","",INDEX('05_KAPA'!$K:$K,$A983))</f>
        <v/>
      </c>
      <c r="F983">
        <f>IF($A983="","",INDEX('05_KAPA'!$L:$L,$A983))</f>
        <v/>
      </c>
      <c r="G983">
        <f>IF($A983="","",INDEX('05_KAPA'!$I:$I,$A983))</f>
        <v/>
      </c>
      <c r="H983" s="202">
        <f>IF($A983="","",INDEX('05_KAPA'!$P:$P,$A983))</f>
        <v/>
      </c>
      <c r="I983" s="118">
        <f>IF($A983="","",INDEX('05_KAPA'!$O:$O,$A983))</f>
        <v/>
      </c>
      <c r="J983" s="202">
        <f>IF($A983="","",IFERROR(DATE(LEFT(TEXT(INDEX('05_KAPA'!$T:$T,$A983),"0"),4),MID(TEXT(INDEX('05_KAPA'!$T:$T,$A983),"0"),5,2),RIGHT(TEXT(INDEX('05_KAPA'!$T:$T,$A983),"0"),2)),""))</f>
        <v/>
      </c>
      <c r="K983">
        <f>IF(C983="","",IF('02_대상물건입력'!$B$5="",1,IF(ISNUMBER(SEARCH('02_대상물건입력'!$B$5,C983)),1,0)))</f>
        <v/>
      </c>
      <c r="L983">
        <f>IF(C983="","",IF('02_대상물건입력'!$B$6="",1,IF(ISNUMBER(SEARCH('02_대상물건입력'!$B$6,C983)),1,0)))</f>
        <v/>
      </c>
      <c r="M983">
        <f>IF(E983="","",IF('02_대상물건입력'!$B$8="",0,IF(ISNUMBER(SEARCH('02_대상물건입력'!$B$8,E983)),1,0)))</f>
        <v/>
      </c>
      <c r="N983">
        <f>IF(B983="","",IF(B983="담보",1,0))</f>
        <v/>
      </c>
      <c r="O983">
        <f>IFERROR(ABS(G983-'02_대상물건입력'!$B$11)/'02_대상물건입력'!$B$11,"")</f>
        <v/>
      </c>
      <c r="P983">
        <f>IFERROR(ABS('01_설정'!$B$4-H983),"")</f>
        <v/>
      </c>
      <c r="Q983">
        <f>IFERROR(ABS(YEAR(J983)-YEAR('02_대상물건입력'!$B$14)),"")</f>
        <v/>
      </c>
      <c r="R983">
        <f>IF(AND(G983&gt;0,H983&gt;0,I983&gt;0,N983=1,IF('01_설정'!$B$10=1,K983=1,TRUE()),O983&lt;='01_설정'!$B$5,P983&lt;='01_설정'!$B$7,Q983&lt;='01_설정'!$B$8),"Y","")</f>
        <v/>
      </c>
      <c r="S983">
        <f>IF(R983&lt;&gt;"Y","",MAX(0,(1-O983/'01_설정'!$B$5))*'01_설정'!$B$14+MAX(0,(1-P983/'01_설정'!$B$7))*'01_설정'!$B$16+MAX(0,(1-Q983/'01_설정'!$B$8))*'01_설정'!$B$17+L983*'01_설정'!$B$11+M983*'01_설정'!$B$12+N983*50)</f>
        <v/>
      </c>
      <c r="T983">
        <f>IF(S983="","",1+COUNTIFS($S$31:$S$1030,"&gt;"&amp;S983)+COUNTIFS($S$31:S983,S983)-1)</f>
        <v/>
      </c>
    </row>
    <row r="984" hidden="1" ht="16.5" customHeight="1">
      <c r="A984">
        <f>IF(COUNTA('05_KAPA'!$A955:$AO955)=0,"",957)</f>
        <v/>
      </c>
      <c r="B984">
        <f>IF($A984="","",INDEX('05_KAPA'!$B:$B,$A984))</f>
        <v/>
      </c>
      <c r="C984">
        <f>IF($A984="","",INDEX('05_KAPA'!$F:$F,$A984))</f>
        <v/>
      </c>
      <c r="D984">
        <f>IF($A984="","",INDEX('05_KAPA'!$H:$H,$A984))</f>
        <v/>
      </c>
      <c r="E984">
        <f>IF($A984="","",INDEX('05_KAPA'!$K:$K,$A984))</f>
        <v/>
      </c>
      <c r="F984">
        <f>IF($A984="","",INDEX('05_KAPA'!$L:$L,$A984))</f>
        <v/>
      </c>
      <c r="G984">
        <f>IF($A984="","",INDEX('05_KAPA'!$I:$I,$A984))</f>
        <v/>
      </c>
      <c r="H984" s="202">
        <f>IF($A984="","",INDEX('05_KAPA'!$P:$P,$A984))</f>
        <v/>
      </c>
      <c r="I984" s="118">
        <f>IF($A984="","",INDEX('05_KAPA'!$O:$O,$A984))</f>
        <v/>
      </c>
      <c r="J984" s="202">
        <f>IF($A984="","",IFERROR(DATE(LEFT(TEXT(INDEX('05_KAPA'!$T:$T,$A984),"0"),4),MID(TEXT(INDEX('05_KAPA'!$T:$T,$A984),"0"),5,2),RIGHT(TEXT(INDEX('05_KAPA'!$T:$T,$A984),"0"),2)),""))</f>
        <v/>
      </c>
      <c r="K984">
        <f>IF(C984="","",IF('02_대상물건입력'!$B$5="",1,IF(ISNUMBER(SEARCH('02_대상물건입력'!$B$5,C984)),1,0)))</f>
        <v/>
      </c>
      <c r="L984">
        <f>IF(C984="","",IF('02_대상물건입력'!$B$6="",1,IF(ISNUMBER(SEARCH('02_대상물건입력'!$B$6,C984)),1,0)))</f>
        <v/>
      </c>
      <c r="M984">
        <f>IF(E984="","",IF('02_대상물건입력'!$B$8="",0,IF(ISNUMBER(SEARCH('02_대상물건입력'!$B$8,E984)),1,0)))</f>
        <v/>
      </c>
      <c r="N984">
        <f>IF(B984="","",IF(B984="담보",1,0))</f>
        <v/>
      </c>
      <c r="O984">
        <f>IFERROR(ABS(G984-'02_대상물건입력'!$B$11)/'02_대상물건입력'!$B$11,"")</f>
        <v/>
      </c>
      <c r="P984">
        <f>IFERROR(ABS('01_설정'!$B$4-H984),"")</f>
        <v/>
      </c>
      <c r="Q984">
        <f>IFERROR(ABS(YEAR(J984)-YEAR('02_대상물건입력'!$B$14)),"")</f>
        <v/>
      </c>
      <c r="R984">
        <f>IF(AND(G984&gt;0,H984&gt;0,I984&gt;0,N984=1,IF('01_설정'!$B$10=1,K984=1,TRUE()),O984&lt;='01_설정'!$B$5,P984&lt;='01_설정'!$B$7,Q984&lt;='01_설정'!$B$8),"Y","")</f>
        <v/>
      </c>
      <c r="S984">
        <f>IF(R984&lt;&gt;"Y","",MAX(0,(1-O984/'01_설정'!$B$5))*'01_설정'!$B$14+MAX(0,(1-P984/'01_설정'!$B$7))*'01_설정'!$B$16+MAX(0,(1-Q984/'01_설정'!$B$8))*'01_설정'!$B$17+L984*'01_설정'!$B$11+M984*'01_설정'!$B$12+N984*50)</f>
        <v/>
      </c>
      <c r="T984">
        <f>IF(S984="","",1+COUNTIFS($S$31:$S$1030,"&gt;"&amp;S984)+COUNTIFS($S$31:S984,S984)-1)</f>
        <v/>
      </c>
    </row>
    <row r="985" hidden="1" ht="16.5" customHeight="1">
      <c r="A985">
        <f>IF(COUNTA('05_KAPA'!$A956:$AO956)=0,"",958)</f>
        <v/>
      </c>
      <c r="B985">
        <f>IF($A985="","",INDEX('05_KAPA'!$B:$B,$A985))</f>
        <v/>
      </c>
      <c r="C985">
        <f>IF($A985="","",INDEX('05_KAPA'!$F:$F,$A985))</f>
        <v/>
      </c>
      <c r="D985">
        <f>IF($A985="","",INDEX('05_KAPA'!$H:$H,$A985))</f>
        <v/>
      </c>
      <c r="E985">
        <f>IF($A985="","",INDEX('05_KAPA'!$K:$K,$A985))</f>
        <v/>
      </c>
      <c r="F985">
        <f>IF($A985="","",INDEX('05_KAPA'!$L:$L,$A985))</f>
        <v/>
      </c>
      <c r="G985">
        <f>IF($A985="","",INDEX('05_KAPA'!$I:$I,$A985))</f>
        <v/>
      </c>
      <c r="H985" s="202">
        <f>IF($A985="","",INDEX('05_KAPA'!$P:$P,$A985))</f>
        <v/>
      </c>
      <c r="I985" s="118">
        <f>IF($A985="","",INDEX('05_KAPA'!$O:$O,$A985))</f>
        <v/>
      </c>
      <c r="J985" s="202">
        <f>IF($A985="","",IFERROR(DATE(LEFT(TEXT(INDEX('05_KAPA'!$T:$T,$A985),"0"),4),MID(TEXT(INDEX('05_KAPA'!$T:$T,$A985),"0"),5,2),RIGHT(TEXT(INDEX('05_KAPA'!$T:$T,$A985),"0"),2)),""))</f>
        <v/>
      </c>
      <c r="K985">
        <f>IF(C985="","",IF('02_대상물건입력'!$B$5="",1,IF(ISNUMBER(SEARCH('02_대상물건입력'!$B$5,C985)),1,0)))</f>
        <v/>
      </c>
      <c r="L985">
        <f>IF(C985="","",IF('02_대상물건입력'!$B$6="",1,IF(ISNUMBER(SEARCH('02_대상물건입력'!$B$6,C985)),1,0)))</f>
        <v/>
      </c>
      <c r="M985">
        <f>IF(E985="","",IF('02_대상물건입력'!$B$8="",0,IF(ISNUMBER(SEARCH('02_대상물건입력'!$B$8,E985)),1,0)))</f>
        <v/>
      </c>
      <c r="N985">
        <f>IF(B985="","",IF(B985="담보",1,0))</f>
        <v/>
      </c>
      <c r="O985">
        <f>IFERROR(ABS(G985-'02_대상물건입력'!$B$11)/'02_대상물건입력'!$B$11,"")</f>
        <v/>
      </c>
      <c r="P985">
        <f>IFERROR(ABS('01_설정'!$B$4-H985),"")</f>
        <v/>
      </c>
      <c r="Q985">
        <f>IFERROR(ABS(YEAR(J985)-YEAR('02_대상물건입력'!$B$14)),"")</f>
        <v/>
      </c>
      <c r="R985">
        <f>IF(AND(G985&gt;0,H985&gt;0,I985&gt;0,N985=1,IF('01_설정'!$B$10=1,K985=1,TRUE()),O985&lt;='01_설정'!$B$5,P985&lt;='01_설정'!$B$7,Q985&lt;='01_설정'!$B$8),"Y","")</f>
        <v/>
      </c>
      <c r="S985">
        <f>IF(R985&lt;&gt;"Y","",MAX(0,(1-O985/'01_설정'!$B$5))*'01_설정'!$B$14+MAX(0,(1-P985/'01_설정'!$B$7))*'01_설정'!$B$16+MAX(0,(1-Q985/'01_설정'!$B$8))*'01_설정'!$B$17+L985*'01_설정'!$B$11+M985*'01_설정'!$B$12+N985*50)</f>
        <v/>
      </c>
      <c r="T985">
        <f>IF(S985="","",1+COUNTIFS($S$31:$S$1030,"&gt;"&amp;S985)+COUNTIFS($S$31:S985,S985)-1)</f>
        <v/>
      </c>
    </row>
    <row r="986" hidden="1" ht="16.5" customHeight="1">
      <c r="A986">
        <f>IF(COUNTA('05_KAPA'!$A957:$AO957)=0,"",959)</f>
        <v/>
      </c>
      <c r="B986">
        <f>IF($A986="","",INDEX('05_KAPA'!$B:$B,$A986))</f>
        <v/>
      </c>
      <c r="C986">
        <f>IF($A986="","",INDEX('05_KAPA'!$F:$F,$A986))</f>
        <v/>
      </c>
      <c r="D986">
        <f>IF($A986="","",INDEX('05_KAPA'!$H:$H,$A986))</f>
        <v/>
      </c>
      <c r="E986">
        <f>IF($A986="","",INDEX('05_KAPA'!$K:$K,$A986))</f>
        <v/>
      </c>
      <c r="F986">
        <f>IF($A986="","",INDEX('05_KAPA'!$L:$L,$A986))</f>
        <v/>
      </c>
      <c r="G986">
        <f>IF($A986="","",INDEX('05_KAPA'!$I:$I,$A986))</f>
        <v/>
      </c>
      <c r="H986" s="202">
        <f>IF($A986="","",INDEX('05_KAPA'!$P:$P,$A986))</f>
        <v/>
      </c>
      <c r="I986" s="118">
        <f>IF($A986="","",INDEX('05_KAPA'!$O:$O,$A986))</f>
        <v/>
      </c>
      <c r="J986" s="202">
        <f>IF($A986="","",IFERROR(DATE(LEFT(TEXT(INDEX('05_KAPA'!$T:$T,$A986),"0"),4),MID(TEXT(INDEX('05_KAPA'!$T:$T,$A986),"0"),5,2),RIGHT(TEXT(INDEX('05_KAPA'!$T:$T,$A986),"0"),2)),""))</f>
        <v/>
      </c>
      <c r="K986">
        <f>IF(C986="","",IF('02_대상물건입력'!$B$5="",1,IF(ISNUMBER(SEARCH('02_대상물건입력'!$B$5,C986)),1,0)))</f>
        <v/>
      </c>
      <c r="L986">
        <f>IF(C986="","",IF('02_대상물건입력'!$B$6="",1,IF(ISNUMBER(SEARCH('02_대상물건입력'!$B$6,C986)),1,0)))</f>
        <v/>
      </c>
      <c r="M986">
        <f>IF(E986="","",IF('02_대상물건입력'!$B$8="",0,IF(ISNUMBER(SEARCH('02_대상물건입력'!$B$8,E986)),1,0)))</f>
        <v/>
      </c>
      <c r="N986">
        <f>IF(B986="","",IF(B986="담보",1,0))</f>
        <v/>
      </c>
      <c r="O986">
        <f>IFERROR(ABS(G986-'02_대상물건입력'!$B$11)/'02_대상물건입력'!$B$11,"")</f>
        <v/>
      </c>
      <c r="P986">
        <f>IFERROR(ABS('01_설정'!$B$4-H986),"")</f>
        <v/>
      </c>
      <c r="Q986">
        <f>IFERROR(ABS(YEAR(J986)-YEAR('02_대상물건입력'!$B$14)),"")</f>
        <v/>
      </c>
      <c r="R986">
        <f>IF(AND(G986&gt;0,H986&gt;0,I986&gt;0,N986=1,IF('01_설정'!$B$10=1,K986=1,TRUE()),O986&lt;='01_설정'!$B$5,P986&lt;='01_설정'!$B$7,Q986&lt;='01_설정'!$B$8),"Y","")</f>
        <v/>
      </c>
      <c r="S986">
        <f>IF(R986&lt;&gt;"Y","",MAX(0,(1-O986/'01_설정'!$B$5))*'01_설정'!$B$14+MAX(0,(1-P986/'01_설정'!$B$7))*'01_설정'!$B$16+MAX(0,(1-Q986/'01_설정'!$B$8))*'01_설정'!$B$17+L986*'01_설정'!$B$11+M986*'01_설정'!$B$12+N986*50)</f>
        <v/>
      </c>
      <c r="T986">
        <f>IF(S986="","",1+COUNTIFS($S$31:$S$1030,"&gt;"&amp;S986)+COUNTIFS($S$31:S986,S986)-1)</f>
        <v/>
      </c>
    </row>
    <row r="987" hidden="1" ht="16.5" customHeight="1">
      <c r="A987">
        <f>IF(COUNTA('05_KAPA'!$A958:$AO958)=0,"",960)</f>
        <v/>
      </c>
      <c r="B987">
        <f>IF($A987="","",INDEX('05_KAPA'!$B:$B,$A987))</f>
        <v/>
      </c>
      <c r="C987">
        <f>IF($A987="","",INDEX('05_KAPA'!$F:$F,$A987))</f>
        <v/>
      </c>
      <c r="D987">
        <f>IF($A987="","",INDEX('05_KAPA'!$H:$H,$A987))</f>
        <v/>
      </c>
      <c r="E987">
        <f>IF($A987="","",INDEX('05_KAPA'!$K:$K,$A987))</f>
        <v/>
      </c>
      <c r="F987">
        <f>IF($A987="","",INDEX('05_KAPA'!$L:$L,$A987))</f>
        <v/>
      </c>
      <c r="G987">
        <f>IF($A987="","",INDEX('05_KAPA'!$I:$I,$A987))</f>
        <v/>
      </c>
      <c r="H987" s="202">
        <f>IF($A987="","",INDEX('05_KAPA'!$P:$P,$A987))</f>
        <v/>
      </c>
      <c r="I987" s="118">
        <f>IF($A987="","",INDEX('05_KAPA'!$O:$O,$A987))</f>
        <v/>
      </c>
      <c r="J987" s="202">
        <f>IF($A987="","",IFERROR(DATE(LEFT(TEXT(INDEX('05_KAPA'!$T:$T,$A987),"0"),4),MID(TEXT(INDEX('05_KAPA'!$T:$T,$A987),"0"),5,2),RIGHT(TEXT(INDEX('05_KAPA'!$T:$T,$A987),"0"),2)),""))</f>
        <v/>
      </c>
      <c r="K987">
        <f>IF(C987="","",IF('02_대상물건입력'!$B$5="",1,IF(ISNUMBER(SEARCH('02_대상물건입력'!$B$5,C987)),1,0)))</f>
        <v/>
      </c>
      <c r="L987">
        <f>IF(C987="","",IF('02_대상물건입력'!$B$6="",1,IF(ISNUMBER(SEARCH('02_대상물건입력'!$B$6,C987)),1,0)))</f>
        <v/>
      </c>
      <c r="M987">
        <f>IF(E987="","",IF('02_대상물건입력'!$B$8="",0,IF(ISNUMBER(SEARCH('02_대상물건입력'!$B$8,E987)),1,0)))</f>
        <v/>
      </c>
      <c r="N987">
        <f>IF(B987="","",IF(B987="담보",1,0))</f>
        <v/>
      </c>
      <c r="O987">
        <f>IFERROR(ABS(G987-'02_대상물건입력'!$B$11)/'02_대상물건입력'!$B$11,"")</f>
        <v/>
      </c>
      <c r="P987">
        <f>IFERROR(ABS('01_설정'!$B$4-H987),"")</f>
        <v/>
      </c>
      <c r="Q987">
        <f>IFERROR(ABS(YEAR(J987)-YEAR('02_대상물건입력'!$B$14)),"")</f>
        <v/>
      </c>
      <c r="R987">
        <f>IF(AND(G987&gt;0,H987&gt;0,I987&gt;0,N987=1,IF('01_설정'!$B$10=1,K987=1,TRUE()),O987&lt;='01_설정'!$B$5,P987&lt;='01_설정'!$B$7,Q987&lt;='01_설정'!$B$8),"Y","")</f>
        <v/>
      </c>
      <c r="S987">
        <f>IF(R987&lt;&gt;"Y","",MAX(0,(1-O987/'01_설정'!$B$5))*'01_설정'!$B$14+MAX(0,(1-P987/'01_설정'!$B$7))*'01_설정'!$B$16+MAX(0,(1-Q987/'01_설정'!$B$8))*'01_설정'!$B$17+L987*'01_설정'!$B$11+M987*'01_설정'!$B$12+N987*50)</f>
        <v/>
      </c>
      <c r="T987">
        <f>IF(S987="","",1+COUNTIFS($S$31:$S$1030,"&gt;"&amp;S987)+COUNTIFS($S$31:S987,S987)-1)</f>
        <v/>
      </c>
    </row>
    <row r="988" hidden="1" ht="16.5" customHeight="1">
      <c r="A988">
        <f>IF(COUNTA('05_KAPA'!$A959:$AO959)=0,"",961)</f>
        <v/>
      </c>
      <c r="B988">
        <f>IF($A988="","",INDEX('05_KAPA'!$B:$B,$A988))</f>
        <v/>
      </c>
      <c r="C988">
        <f>IF($A988="","",INDEX('05_KAPA'!$F:$F,$A988))</f>
        <v/>
      </c>
      <c r="D988">
        <f>IF($A988="","",INDEX('05_KAPA'!$H:$H,$A988))</f>
        <v/>
      </c>
      <c r="E988">
        <f>IF($A988="","",INDEX('05_KAPA'!$K:$K,$A988))</f>
        <v/>
      </c>
      <c r="F988">
        <f>IF($A988="","",INDEX('05_KAPA'!$L:$L,$A988))</f>
        <v/>
      </c>
      <c r="G988">
        <f>IF($A988="","",INDEX('05_KAPA'!$I:$I,$A988))</f>
        <v/>
      </c>
      <c r="H988" s="202">
        <f>IF($A988="","",INDEX('05_KAPA'!$P:$P,$A988))</f>
        <v/>
      </c>
      <c r="I988" s="118">
        <f>IF($A988="","",INDEX('05_KAPA'!$O:$O,$A988))</f>
        <v/>
      </c>
      <c r="J988" s="202">
        <f>IF($A988="","",IFERROR(DATE(LEFT(TEXT(INDEX('05_KAPA'!$T:$T,$A988),"0"),4),MID(TEXT(INDEX('05_KAPA'!$T:$T,$A988),"0"),5,2),RIGHT(TEXT(INDEX('05_KAPA'!$T:$T,$A988),"0"),2)),""))</f>
        <v/>
      </c>
      <c r="K988">
        <f>IF(C988="","",IF('02_대상물건입력'!$B$5="",1,IF(ISNUMBER(SEARCH('02_대상물건입력'!$B$5,C988)),1,0)))</f>
        <v/>
      </c>
      <c r="L988">
        <f>IF(C988="","",IF('02_대상물건입력'!$B$6="",1,IF(ISNUMBER(SEARCH('02_대상물건입력'!$B$6,C988)),1,0)))</f>
        <v/>
      </c>
      <c r="M988">
        <f>IF(E988="","",IF('02_대상물건입력'!$B$8="",0,IF(ISNUMBER(SEARCH('02_대상물건입력'!$B$8,E988)),1,0)))</f>
        <v/>
      </c>
      <c r="N988">
        <f>IF(B988="","",IF(B988="담보",1,0))</f>
        <v/>
      </c>
      <c r="O988">
        <f>IFERROR(ABS(G988-'02_대상물건입력'!$B$11)/'02_대상물건입력'!$B$11,"")</f>
        <v/>
      </c>
      <c r="P988">
        <f>IFERROR(ABS('01_설정'!$B$4-H988),"")</f>
        <v/>
      </c>
      <c r="Q988">
        <f>IFERROR(ABS(YEAR(J988)-YEAR('02_대상물건입력'!$B$14)),"")</f>
        <v/>
      </c>
      <c r="R988">
        <f>IF(AND(G988&gt;0,H988&gt;0,I988&gt;0,N988=1,IF('01_설정'!$B$10=1,K988=1,TRUE()),O988&lt;='01_설정'!$B$5,P988&lt;='01_설정'!$B$7,Q988&lt;='01_설정'!$B$8),"Y","")</f>
        <v/>
      </c>
      <c r="S988">
        <f>IF(R988&lt;&gt;"Y","",MAX(0,(1-O988/'01_설정'!$B$5))*'01_설정'!$B$14+MAX(0,(1-P988/'01_설정'!$B$7))*'01_설정'!$B$16+MAX(0,(1-Q988/'01_설정'!$B$8))*'01_설정'!$B$17+L988*'01_설정'!$B$11+M988*'01_설정'!$B$12+N988*50)</f>
        <v/>
      </c>
      <c r="T988">
        <f>IF(S988="","",1+COUNTIFS($S$31:$S$1030,"&gt;"&amp;S988)+COUNTIFS($S$31:S988,S988)-1)</f>
        <v/>
      </c>
    </row>
    <row r="989" hidden="1" ht="16.5" customHeight="1">
      <c r="A989">
        <f>IF(COUNTA('05_KAPA'!$A960:$AO960)=0,"",962)</f>
        <v/>
      </c>
      <c r="B989">
        <f>IF($A989="","",INDEX('05_KAPA'!$B:$B,$A989))</f>
        <v/>
      </c>
      <c r="C989">
        <f>IF($A989="","",INDEX('05_KAPA'!$F:$F,$A989))</f>
        <v/>
      </c>
      <c r="D989">
        <f>IF($A989="","",INDEX('05_KAPA'!$H:$H,$A989))</f>
        <v/>
      </c>
      <c r="E989">
        <f>IF($A989="","",INDEX('05_KAPA'!$K:$K,$A989))</f>
        <v/>
      </c>
      <c r="F989">
        <f>IF($A989="","",INDEX('05_KAPA'!$L:$L,$A989))</f>
        <v/>
      </c>
      <c r="G989">
        <f>IF($A989="","",INDEX('05_KAPA'!$I:$I,$A989))</f>
        <v/>
      </c>
      <c r="H989" s="202">
        <f>IF($A989="","",INDEX('05_KAPA'!$P:$P,$A989))</f>
        <v/>
      </c>
      <c r="I989" s="118">
        <f>IF($A989="","",INDEX('05_KAPA'!$O:$O,$A989))</f>
        <v/>
      </c>
      <c r="J989" s="202">
        <f>IF($A989="","",IFERROR(DATE(LEFT(TEXT(INDEX('05_KAPA'!$T:$T,$A989),"0"),4),MID(TEXT(INDEX('05_KAPA'!$T:$T,$A989),"0"),5,2),RIGHT(TEXT(INDEX('05_KAPA'!$T:$T,$A989),"0"),2)),""))</f>
        <v/>
      </c>
      <c r="K989">
        <f>IF(C989="","",IF('02_대상물건입력'!$B$5="",1,IF(ISNUMBER(SEARCH('02_대상물건입력'!$B$5,C989)),1,0)))</f>
        <v/>
      </c>
      <c r="L989">
        <f>IF(C989="","",IF('02_대상물건입력'!$B$6="",1,IF(ISNUMBER(SEARCH('02_대상물건입력'!$B$6,C989)),1,0)))</f>
        <v/>
      </c>
      <c r="M989">
        <f>IF(E989="","",IF('02_대상물건입력'!$B$8="",0,IF(ISNUMBER(SEARCH('02_대상물건입력'!$B$8,E989)),1,0)))</f>
        <v/>
      </c>
      <c r="N989">
        <f>IF(B989="","",IF(B989="담보",1,0))</f>
        <v/>
      </c>
      <c r="O989">
        <f>IFERROR(ABS(G989-'02_대상물건입력'!$B$11)/'02_대상물건입력'!$B$11,"")</f>
        <v/>
      </c>
      <c r="P989">
        <f>IFERROR(ABS('01_설정'!$B$4-H989),"")</f>
        <v/>
      </c>
      <c r="Q989">
        <f>IFERROR(ABS(YEAR(J989)-YEAR('02_대상물건입력'!$B$14)),"")</f>
        <v/>
      </c>
      <c r="R989">
        <f>IF(AND(G989&gt;0,H989&gt;0,I989&gt;0,N989=1,IF('01_설정'!$B$10=1,K989=1,TRUE()),O989&lt;='01_설정'!$B$5,P989&lt;='01_설정'!$B$7,Q989&lt;='01_설정'!$B$8),"Y","")</f>
        <v/>
      </c>
      <c r="S989">
        <f>IF(R989&lt;&gt;"Y","",MAX(0,(1-O989/'01_설정'!$B$5))*'01_설정'!$B$14+MAX(0,(1-P989/'01_설정'!$B$7))*'01_설정'!$B$16+MAX(0,(1-Q989/'01_설정'!$B$8))*'01_설정'!$B$17+L989*'01_설정'!$B$11+M989*'01_설정'!$B$12+N989*50)</f>
        <v/>
      </c>
      <c r="T989">
        <f>IF(S989="","",1+COUNTIFS($S$31:$S$1030,"&gt;"&amp;S989)+COUNTIFS($S$31:S989,S989)-1)</f>
        <v/>
      </c>
    </row>
    <row r="990" hidden="1" ht="16.5" customHeight="1">
      <c r="A990">
        <f>IF(COUNTA('05_KAPA'!$A961:$AO961)=0,"",963)</f>
        <v/>
      </c>
      <c r="B990">
        <f>IF($A990="","",INDEX('05_KAPA'!$B:$B,$A990))</f>
        <v/>
      </c>
      <c r="C990">
        <f>IF($A990="","",INDEX('05_KAPA'!$F:$F,$A990))</f>
        <v/>
      </c>
      <c r="D990">
        <f>IF($A990="","",INDEX('05_KAPA'!$H:$H,$A990))</f>
        <v/>
      </c>
      <c r="E990">
        <f>IF($A990="","",INDEX('05_KAPA'!$K:$K,$A990))</f>
        <v/>
      </c>
      <c r="F990">
        <f>IF($A990="","",INDEX('05_KAPA'!$L:$L,$A990))</f>
        <v/>
      </c>
      <c r="G990">
        <f>IF($A990="","",INDEX('05_KAPA'!$I:$I,$A990))</f>
        <v/>
      </c>
      <c r="H990" s="202">
        <f>IF($A990="","",INDEX('05_KAPA'!$P:$P,$A990))</f>
        <v/>
      </c>
      <c r="I990" s="118">
        <f>IF($A990="","",INDEX('05_KAPA'!$O:$O,$A990))</f>
        <v/>
      </c>
      <c r="J990" s="202">
        <f>IF($A990="","",IFERROR(DATE(LEFT(TEXT(INDEX('05_KAPA'!$T:$T,$A990),"0"),4),MID(TEXT(INDEX('05_KAPA'!$T:$T,$A990),"0"),5,2),RIGHT(TEXT(INDEX('05_KAPA'!$T:$T,$A990),"0"),2)),""))</f>
        <v/>
      </c>
      <c r="K990">
        <f>IF(C990="","",IF('02_대상물건입력'!$B$5="",1,IF(ISNUMBER(SEARCH('02_대상물건입력'!$B$5,C990)),1,0)))</f>
        <v/>
      </c>
      <c r="L990">
        <f>IF(C990="","",IF('02_대상물건입력'!$B$6="",1,IF(ISNUMBER(SEARCH('02_대상물건입력'!$B$6,C990)),1,0)))</f>
        <v/>
      </c>
      <c r="M990">
        <f>IF(E990="","",IF('02_대상물건입력'!$B$8="",0,IF(ISNUMBER(SEARCH('02_대상물건입력'!$B$8,E990)),1,0)))</f>
        <v/>
      </c>
      <c r="N990">
        <f>IF(B990="","",IF(B990="담보",1,0))</f>
        <v/>
      </c>
      <c r="O990">
        <f>IFERROR(ABS(G990-'02_대상물건입력'!$B$11)/'02_대상물건입력'!$B$11,"")</f>
        <v/>
      </c>
      <c r="P990">
        <f>IFERROR(ABS('01_설정'!$B$4-H990),"")</f>
        <v/>
      </c>
      <c r="Q990">
        <f>IFERROR(ABS(YEAR(J990)-YEAR('02_대상물건입력'!$B$14)),"")</f>
        <v/>
      </c>
      <c r="R990">
        <f>IF(AND(G990&gt;0,H990&gt;0,I990&gt;0,N990=1,IF('01_설정'!$B$10=1,K990=1,TRUE()),O990&lt;='01_설정'!$B$5,P990&lt;='01_설정'!$B$7,Q990&lt;='01_설정'!$B$8),"Y","")</f>
        <v/>
      </c>
      <c r="S990">
        <f>IF(R990&lt;&gt;"Y","",MAX(0,(1-O990/'01_설정'!$B$5))*'01_설정'!$B$14+MAX(0,(1-P990/'01_설정'!$B$7))*'01_설정'!$B$16+MAX(0,(1-Q990/'01_설정'!$B$8))*'01_설정'!$B$17+L990*'01_설정'!$B$11+M990*'01_설정'!$B$12+N990*50)</f>
        <v/>
      </c>
      <c r="T990">
        <f>IF(S990="","",1+COUNTIFS($S$31:$S$1030,"&gt;"&amp;S990)+COUNTIFS($S$31:S990,S990)-1)</f>
        <v/>
      </c>
    </row>
    <row r="991" hidden="1" ht="16.5" customHeight="1">
      <c r="A991">
        <f>IF(COUNTA('05_KAPA'!$A962:$AO962)=0,"",964)</f>
        <v/>
      </c>
      <c r="B991">
        <f>IF($A991="","",INDEX('05_KAPA'!$B:$B,$A991))</f>
        <v/>
      </c>
      <c r="C991">
        <f>IF($A991="","",INDEX('05_KAPA'!$F:$F,$A991))</f>
        <v/>
      </c>
      <c r="D991">
        <f>IF($A991="","",INDEX('05_KAPA'!$H:$H,$A991))</f>
        <v/>
      </c>
      <c r="E991">
        <f>IF($A991="","",INDEX('05_KAPA'!$K:$K,$A991))</f>
        <v/>
      </c>
      <c r="F991">
        <f>IF($A991="","",INDEX('05_KAPA'!$L:$L,$A991))</f>
        <v/>
      </c>
      <c r="G991">
        <f>IF($A991="","",INDEX('05_KAPA'!$I:$I,$A991))</f>
        <v/>
      </c>
      <c r="H991" s="202">
        <f>IF($A991="","",INDEX('05_KAPA'!$P:$P,$A991))</f>
        <v/>
      </c>
      <c r="I991" s="118">
        <f>IF($A991="","",INDEX('05_KAPA'!$O:$O,$A991))</f>
        <v/>
      </c>
      <c r="J991" s="202">
        <f>IF($A991="","",IFERROR(DATE(LEFT(TEXT(INDEX('05_KAPA'!$T:$T,$A991),"0"),4),MID(TEXT(INDEX('05_KAPA'!$T:$T,$A991),"0"),5,2),RIGHT(TEXT(INDEX('05_KAPA'!$T:$T,$A991),"0"),2)),""))</f>
        <v/>
      </c>
      <c r="K991">
        <f>IF(C991="","",IF('02_대상물건입력'!$B$5="",1,IF(ISNUMBER(SEARCH('02_대상물건입력'!$B$5,C991)),1,0)))</f>
        <v/>
      </c>
      <c r="L991">
        <f>IF(C991="","",IF('02_대상물건입력'!$B$6="",1,IF(ISNUMBER(SEARCH('02_대상물건입력'!$B$6,C991)),1,0)))</f>
        <v/>
      </c>
      <c r="M991">
        <f>IF(E991="","",IF('02_대상물건입력'!$B$8="",0,IF(ISNUMBER(SEARCH('02_대상물건입력'!$B$8,E991)),1,0)))</f>
        <v/>
      </c>
      <c r="N991">
        <f>IF(B991="","",IF(B991="담보",1,0))</f>
        <v/>
      </c>
      <c r="O991">
        <f>IFERROR(ABS(G991-'02_대상물건입력'!$B$11)/'02_대상물건입력'!$B$11,"")</f>
        <v/>
      </c>
      <c r="P991">
        <f>IFERROR(ABS('01_설정'!$B$4-H991),"")</f>
        <v/>
      </c>
      <c r="Q991">
        <f>IFERROR(ABS(YEAR(J991)-YEAR('02_대상물건입력'!$B$14)),"")</f>
        <v/>
      </c>
      <c r="R991">
        <f>IF(AND(G991&gt;0,H991&gt;0,I991&gt;0,N991=1,IF('01_설정'!$B$10=1,K991=1,TRUE()),O991&lt;='01_설정'!$B$5,P991&lt;='01_설정'!$B$7,Q991&lt;='01_설정'!$B$8),"Y","")</f>
        <v/>
      </c>
      <c r="S991">
        <f>IF(R991&lt;&gt;"Y","",MAX(0,(1-O991/'01_설정'!$B$5))*'01_설정'!$B$14+MAX(0,(1-P991/'01_설정'!$B$7))*'01_설정'!$B$16+MAX(0,(1-Q991/'01_설정'!$B$8))*'01_설정'!$B$17+L991*'01_설정'!$B$11+M991*'01_설정'!$B$12+N991*50)</f>
        <v/>
      </c>
      <c r="T991">
        <f>IF(S991="","",1+COUNTIFS($S$31:$S$1030,"&gt;"&amp;S991)+COUNTIFS($S$31:S991,S991)-1)</f>
        <v/>
      </c>
    </row>
    <row r="992" hidden="1" ht="16.5" customHeight="1">
      <c r="A992">
        <f>IF(COUNTA('05_KAPA'!$A963:$AO963)=0,"",965)</f>
        <v/>
      </c>
      <c r="B992">
        <f>IF($A992="","",INDEX('05_KAPA'!$B:$B,$A992))</f>
        <v/>
      </c>
      <c r="C992">
        <f>IF($A992="","",INDEX('05_KAPA'!$F:$F,$A992))</f>
        <v/>
      </c>
      <c r="D992">
        <f>IF($A992="","",INDEX('05_KAPA'!$H:$H,$A992))</f>
        <v/>
      </c>
      <c r="E992">
        <f>IF($A992="","",INDEX('05_KAPA'!$K:$K,$A992))</f>
        <v/>
      </c>
      <c r="F992">
        <f>IF($A992="","",INDEX('05_KAPA'!$L:$L,$A992))</f>
        <v/>
      </c>
      <c r="G992">
        <f>IF($A992="","",INDEX('05_KAPA'!$I:$I,$A992))</f>
        <v/>
      </c>
      <c r="H992" s="202">
        <f>IF($A992="","",INDEX('05_KAPA'!$P:$P,$A992))</f>
        <v/>
      </c>
      <c r="I992" s="118">
        <f>IF($A992="","",INDEX('05_KAPA'!$O:$O,$A992))</f>
        <v/>
      </c>
      <c r="J992" s="202">
        <f>IF($A992="","",IFERROR(DATE(LEFT(TEXT(INDEX('05_KAPA'!$T:$T,$A992),"0"),4),MID(TEXT(INDEX('05_KAPA'!$T:$T,$A992),"0"),5,2),RIGHT(TEXT(INDEX('05_KAPA'!$T:$T,$A992),"0"),2)),""))</f>
        <v/>
      </c>
      <c r="K992">
        <f>IF(C992="","",IF('02_대상물건입력'!$B$5="",1,IF(ISNUMBER(SEARCH('02_대상물건입력'!$B$5,C992)),1,0)))</f>
        <v/>
      </c>
      <c r="L992">
        <f>IF(C992="","",IF('02_대상물건입력'!$B$6="",1,IF(ISNUMBER(SEARCH('02_대상물건입력'!$B$6,C992)),1,0)))</f>
        <v/>
      </c>
      <c r="M992">
        <f>IF(E992="","",IF('02_대상물건입력'!$B$8="",0,IF(ISNUMBER(SEARCH('02_대상물건입력'!$B$8,E992)),1,0)))</f>
        <v/>
      </c>
      <c r="N992">
        <f>IF(B992="","",IF(B992="담보",1,0))</f>
        <v/>
      </c>
      <c r="O992">
        <f>IFERROR(ABS(G992-'02_대상물건입력'!$B$11)/'02_대상물건입력'!$B$11,"")</f>
        <v/>
      </c>
      <c r="P992">
        <f>IFERROR(ABS('01_설정'!$B$4-H992),"")</f>
        <v/>
      </c>
      <c r="Q992">
        <f>IFERROR(ABS(YEAR(J992)-YEAR('02_대상물건입력'!$B$14)),"")</f>
        <v/>
      </c>
      <c r="R992">
        <f>IF(AND(G992&gt;0,H992&gt;0,I992&gt;0,N992=1,IF('01_설정'!$B$10=1,K992=1,TRUE()),O992&lt;='01_설정'!$B$5,P992&lt;='01_설정'!$B$7,Q992&lt;='01_설정'!$B$8),"Y","")</f>
        <v/>
      </c>
      <c r="S992">
        <f>IF(R992&lt;&gt;"Y","",MAX(0,(1-O992/'01_설정'!$B$5))*'01_설정'!$B$14+MAX(0,(1-P992/'01_설정'!$B$7))*'01_설정'!$B$16+MAX(0,(1-Q992/'01_설정'!$B$8))*'01_설정'!$B$17+L992*'01_설정'!$B$11+M992*'01_설정'!$B$12+N992*50)</f>
        <v/>
      </c>
      <c r="T992">
        <f>IF(S992="","",1+COUNTIFS($S$31:$S$1030,"&gt;"&amp;S992)+COUNTIFS($S$31:S992,S992)-1)</f>
        <v/>
      </c>
    </row>
    <row r="993" hidden="1" ht="16.5" customHeight="1">
      <c r="A993">
        <f>IF(COUNTA('05_KAPA'!$A964:$AO964)=0,"",966)</f>
        <v/>
      </c>
      <c r="B993">
        <f>IF($A993="","",INDEX('05_KAPA'!$B:$B,$A993))</f>
        <v/>
      </c>
      <c r="C993">
        <f>IF($A993="","",INDEX('05_KAPA'!$F:$F,$A993))</f>
        <v/>
      </c>
      <c r="D993">
        <f>IF($A993="","",INDEX('05_KAPA'!$H:$H,$A993))</f>
        <v/>
      </c>
      <c r="E993">
        <f>IF($A993="","",INDEX('05_KAPA'!$K:$K,$A993))</f>
        <v/>
      </c>
      <c r="F993">
        <f>IF($A993="","",INDEX('05_KAPA'!$L:$L,$A993))</f>
        <v/>
      </c>
      <c r="G993">
        <f>IF($A993="","",INDEX('05_KAPA'!$I:$I,$A993))</f>
        <v/>
      </c>
      <c r="H993" s="202">
        <f>IF($A993="","",INDEX('05_KAPA'!$P:$P,$A993))</f>
        <v/>
      </c>
      <c r="I993" s="118">
        <f>IF($A993="","",INDEX('05_KAPA'!$O:$O,$A993))</f>
        <v/>
      </c>
      <c r="J993" s="202">
        <f>IF($A993="","",IFERROR(DATE(LEFT(TEXT(INDEX('05_KAPA'!$T:$T,$A993),"0"),4),MID(TEXT(INDEX('05_KAPA'!$T:$T,$A993),"0"),5,2),RIGHT(TEXT(INDEX('05_KAPA'!$T:$T,$A993),"0"),2)),""))</f>
        <v/>
      </c>
      <c r="K993">
        <f>IF(C993="","",IF('02_대상물건입력'!$B$5="",1,IF(ISNUMBER(SEARCH('02_대상물건입력'!$B$5,C993)),1,0)))</f>
        <v/>
      </c>
      <c r="L993">
        <f>IF(C993="","",IF('02_대상물건입력'!$B$6="",1,IF(ISNUMBER(SEARCH('02_대상물건입력'!$B$6,C993)),1,0)))</f>
        <v/>
      </c>
      <c r="M993">
        <f>IF(E993="","",IF('02_대상물건입력'!$B$8="",0,IF(ISNUMBER(SEARCH('02_대상물건입력'!$B$8,E993)),1,0)))</f>
        <v/>
      </c>
      <c r="N993">
        <f>IF(B993="","",IF(B993="담보",1,0))</f>
        <v/>
      </c>
      <c r="O993">
        <f>IFERROR(ABS(G993-'02_대상물건입력'!$B$11)/'02_대상물건입력'!$B$11,"")</f>
        <v/>
      </c>
      <c r="P993">
        <f>IFERROR(ABS('01_설정'!$B$4-H993),"")</f>
        <v/>
      </c>
      <c r="Q993">
        <f>IFERROR(ABS(YEAR(J993)-YEAR('02_대상물건입력'!$B$14)),"")</f>
        <v/>
      </c>
      <c r="R993">
        <f>IF(AND(G993&gt;0,H993&gt;0,I993&gt;0,N993=1,IF('01_설정'!$B$10=1,K993=1,TRUE()),O993&lt;='01_설정'!$B$5,P993&lt;='01_설정'!$B$7,Q993&lt;='01_설정'!$B$8),"Y","")</f>
        <v/>
      </c>
      <c r="S993">
        <f>IF(R993&lt;&gt;"Y","",MAX(0,(1-O993/'01_설정'!$B$5))*'01_설정'!$B$14+MAX(0,(1-P993/'01_설정'!$B$7))*'01_설정'!$B$16+MAX(0,(1-Q993/'01_설정'!$B$8))*'01_설정'!$B$17+L993*'01_설정'!$B$11+M993*'01_설정'!$B$12+N993*50)</f>
        <v/>
      </c>
      <c r="T993">
        <f>IF(S993="","",1+COUNTIFS($S$31:$S$1030,"&gt;"&amp;S993)+COUNTIFS($S$31:S993,S993)-1)</f>
        <v/>
      </c>
    </row>
    <row r="994" hidden="1" ht="16.5" customHeight="1">
      <c r="A994">
        <f>IF(COUNTA('05_KAPA'!$A965:$AO965)=0,"",967)</f>
        <v/>
      </c>
      <c r="B994">
        <f>IF($A994="","",INDEX('05_KAPA'!$B:$B,$A994))</f>
        <v/>
      </c>
      <c r="C994">
        <f>IF($A994="","",INDEX('05_KAPA'!$F:$F,$A994))</f>
        <v/>
      </c>
      <c r="D994">
        <f>IF($A994="","",INDEX('05_KAPA'!$H:$H,$A994))</f>
        <v/>
      </c>
      <c r="E994">
        <f>IF($A994="","",INDEX('05_KAPA'!$K:$K,$A994))</f>
        <v/>
      </c>
      <c r="F994">
        <f>IF($A994="","",INDEX('05_KAPA'!$L:$L,$A994))</f>
        <v/>
      </c>
      <c r="G994">
        <f>IF($A994="","",INDEX('05_KAPA'!$I:$I,$A994))</f>
        <v/>
      </c>
      <c r="H994" s="202">
        <f>IF($A994="","",INDEX('05_KAPA'!$P:$P,$A994))</f>
        <v/>
      </c>
      <c r="I994" s="118">
        <f>IF($A994="","",INDEX('05_KAPA'!$O:$O,$A994))</f>
        <v/>
      </c>
      <c r="J994" s="202">
        <f>IF($A994="","",IFERROR(DATE(LEFT(TEXT(INDEX('05_KAPA'!$T:$T,$A994),"0"),4),MID(TEXT(INDEX('05_KAPA'!$T:$T,$A994),"0"),5,2),RIGHT(TEXT(INDEX('05_KAPA'!$T:$T,$A994),"0"),2)),""))</f>
        <v/>
      </c>
      <c r="K994">
        <f>IF(C994="","",IF('02_대상물건입력'!$B$5="",1,IF(ISNUMBER(SEARCH('02_대상물건입력'!$B$5,C994)),1,0)))</f>
        <v/>
      </c>
      <c r="L994">
        <f>IF(C994="","",IF('02_대상물건입력'!$B$6="",1,IF(ISNUMBER(SEARCH('02_대상물건입력'!$B$6,C994)),1,0)))</f>
        <v/>
      </c>
      <c r="M994">
        <f>IF(E994="","",IF('02_대상물건입력'!$B$8="",0,IF(ISNUMBER(SEARCH('02_대상물건입력'!$B$8,E994)),1,0)))</f>
        <v/>
      </c>
      <c r="N994">
        <f>IF(B994="","",IF(B994="담보",1,0))</f>
        <v/>
      </c>
      <c r="O994">
        <f>IFERROR(ABS(G994-'02_대상물건입력'!$B$11)/'02_대상물건입력'!$B$11,"")</f>
        <v/>
      </c>
      <c r="P994">
        <f>IFERROR(ABS('01_설정'!$B$4-H994),"")</f>
        <v/>
      </c>
      <c r="Q994">
        <f>IFERROR(ABS(YEAR(J994)-YEAR('02_대상물건입력'!$B$14)),"")</f>
        <v/>
      </c>
      <c r="R994">
        <f>IF(AND(G994&gt;0,H994&gt;0,I994&gt;0,N994=1,IF('01_설정'!$B$10=1,K994=1,TRUE()),O994&lt;='01_설정'!$B$5,P994&lt;='01_설정'!$B$7,Q994&lt;='01_설정'!$B$8),"Y","")</f>
        <v/>
      </c>
      <c r="S994">
        <f>IF(R994&lt;&gt;"Y","",MAX(0,(1-O994/'01_설정'!$B$5))*'01_설정'!$B$14+MAX(0,(1-P994/'01_설정'!$B$7))*'01_설정'!$B$16+MAX(0,(1-Q994/'01_설정'!$B$8))*'01_설정'!$B$17+L994*'01_설정'!$B$11+M994*'01_설정'!$B$12+N994*50)</f>
        <v/>
      </c>
      <c r="T994">
        <f>IF(S994="","",1+COUNTIFS($S$31:$S$1030,"&gt;"&amp;S994)+COUNTIFS($S$31:S994,S994)-1)</f>
        <v/>
      </c>
    </row>
    <row r="995" hidden="1" ht="16.5" customHeight="1">
      <c r="A995">
        <f>IF(COUNTA('05_KAPA'!$A966:$AO966)=0,"",968)</f>
        <v/>
      </c>
      <c r="B995">
        <f>IF($A995="","",INDEX('05_KAPA'!$B:$B,$A995))</f>
        <v/>
      </c>
      <c r="C995">
        <f>IF($A995="","",INDEX('05_KAPA'!$F:$F,$A995))</f>
        <v/>
      </c>
      <c r="D995">
        <f>IF($A995="","",INDEX('05_KAPA'!$H:$H,$A995))</f>
        <v/>
      </c>
      <c r="E995">
        <f>IF($A995="","",INDEX('05_KAPA'!$K:$K,$A995))</f>
        <v/>
      </c>
      <c r="F995">
        <f>IF($A995="","",INDEX('05_KAPA'!$L:$L,$A995))</f>
        <v/>
      </c>
      <c r="G995">
        <f>IF($A995="","",INDEX('05_KAPA'!$I:$I,$A995))</f>
        <v/>
      </c>
      <c r="H995" s="202">
        <f>IF($A995="","",INDEX('05_KAPA'!$P:$P,$A995))</f>
        <v/>
      </c>
      <c r="I995" s="118">
        <f>IF($A995="","",INDEX('05_KAPA'!$O:$O,$A995))</f>
        <v/>
      </c>
      <c r="J995" s="202">
        <f>IF($A995="","",IFERROR(DATE(LEFT(TEXT(INDEX('05_KAPA'!$T:$T,$A995),"0"),4),MID(TEXT(INDEX('05_KAPA'!$T:$T,$A995),"0"),5,2),RIGHT(TEXT(INDEX('05_KAPA'!$T:$T,$A995),"0"),2)),""))</f>
        <v/>
      </c>
      <c r="K995">
        <f>IF(C995="","",IF('02_대상물건입력'!$B$5="",1,IF(ISNUMBER(SEARCH('02_대상물건입력'!$B$5,C995)),1,0)))</f>
        <v/>
      </c>
      <c r="L995">
        <f>IF(C995="","",IF('02_대상물건입력'!$B$6="",1,IF(ISNUMBER(SEARCH('02_대상물건입력'!$B$6,C995)),1,0)))</f>
        <v/>
      </c>
      <c r="M995">
        <f>IF(E995="","",IF('02_대상물건입력'!$B$8="",0,IF(ISNUMBER(SEARCH('02_대상물건입력'!$B$8,E995)),1,0)))</f>
        <v/>
      </c>
      <c r="N995">
        <f>IF(B995="","",IF(B995="담보",1,0))</f>
        <v/>
      </c>
      <c r="O995">
        <f>IFERROR(ABS(G995-'02_대상물건입력'!$B$11)/'02_대상물건입력'!$B$11,"")</f>
        <v/>
      </c>
      <c r="P995">
        <f>IFERROR(ABS('01_설정'!$B$4-H995),"")</f>
        <v/>
      </c>
      <c r="Q995">
        <f>IFERROR(ABS(YEAR(J995)-YEAR('02_대상물건입력'!$B$14)),"")</f>
        <v/>
      </c>
      <c r="R995">
        <f>IF(AND(G995&gt;0,H995&gt;0,I995&gt;0,N995=1,IF('01_설정'!$B$10=1,K995=1,TRUE()),O995&lt;='01_설정'!$B$5,P995&lt;='01_설정'!$B$7,Q995&lt;='01_설정'!$B$8),"Y","")</f>
        <v/>
      </c>
      <c r="S995">
        <f>IF(R995&lt;&gt;"Y","",MAX(0,(1-O995/'01_설정'!$B$5))*'01_설정'!$B$14+MAX(0,(1-P995/'01_설정'!$B$7))*'01_설정'!$B$16+MAX(0,(1-Q995/'01_설정'!$B$8))*'01_설정'!$B$17+L995*'01_설정'!$B$11+M995*'01_설정'!$B$12+N995*50)</f>
        <v/>
      </c>
      <c r="T995">
        <f>IF(S995="","",1+COUNTIFS($S$31:$S$1030,"&gt;"&amp;S995)+COUNTIFS($S$31:S995,S995)-1)</f>
        <v/>
      </c>
    </row>
    <row r="996" hidden="1" ht="16.5" customHeight="1">
      <c r="A996">
        <f>IF(COUNTA('05_KAPA'!$A967:$AO967)=0,"",969)</f>
        <v/>
      </c>
      <c r="B996">
        <f>IF($A996="","",INDEX('05_KAPA'!$B:$B,$A996))</f>
        <v/>
      </c>
      <c r="C996">
        <f>IF($A996="","",INDEX('05_KAPA'!$F:$F,$A996))</f>
        <v/>
      </c>
      <c r="D996">
        <f>IF($A996="","",INDEX('05_KAPA'!$H:$H,$A996))</f>
        <v/>
      </c>
      <c r="E996">
        <f>IF($A996="","",INDEX('05_KAPA'!$K:$K,$A996))</f>
        <v/>
      </c>
      <c r="F996">
        <f>IF($A996="","",INDEX('05_KAPA'!$L:$L,$A996))</f>
        <v/>
      </c>
      <c r="G996">
        <f>IF($A996="","",INDEX('05_KAPA'!$I:$I,$A996))</f>
        <v/>
      </c>
      <c r="H996" s="202">
        <f>IF($A996="","",INDEX('05_KAPA'!$P:$P,$A996))</f>
        <v/>
      </c>
      <c r="I996" s="118">
        <f>IF($A996="","",INDEX('05_KAPA'!$O:$O,$A996))</f>
        <v/>
      </c>
      <c r="J996" s="202">
        <f>IF($A996="","",IFERROR(DATE(LEFT(TEXT(INDEX('05_KAPA'!$T:$T,$A996),"0"),4),MID(TEXT(INDEX('05_KAPA'!$T:$T,$A996),"0"),5,2),RIGHT(TEXT(INDEX('05_KAPA'!$T:$T,$A996),"0"),2)),""))</f>
        <v/>
      </c>
      <c r="K996">
        <f>IF(C996="","",IF('02_대상물건입력'!$B$5="",1,IF(ISNUMBER(SEARCH('02_대상물건입력'!$B$5,C996)),1,0)))</f>
        <v/>
      </c>
      <c r="L996">
        <f>IF(C996="","",IF('02_대상물건입력'!$B$6="",1,IF(ISNUMBER(SEARCH('02_대상물건입력'!$B$6,C996)),1,0)))</f>
        <v/>
      </c>
      <c r="M996">
        <f>IF(E996="","",IF('02_대상물건입력'!$B$8="",0,IF(ISNUMBER(SEARCH('02_대상물건입력'!$B$8,E996)),1,0)))</f>
        <v/>
      </c>
      <c r="N996">
        <f>IF(B996="","",IF(B996="담보",1,0))</f>
        <v/>
      </c>
      <c r="O996">
        <f>IFERROR(ABS(G996-'02_대상물건입력'!$B$11)/'02_대상물건입력'!$B$11,"")</f>
        <v/>
      </c>
      <c r="P996">
        <f>IFERROR(ABS('01_설정'!$B$4-H996),"")</f>
        <v/>
      </c>
      <c r="Q996">
        <f>IFERROR(ABS(YEAR(J996)-YEAR('02_대상물건입력'!$B$14)),"")</f>
        <v/>
      </c>
      <c r="R996">
        <f>IF(AND(G996&gt;0,H996&gt;0,I996&gt;0,N996=1,IF('01_설정'!$B$10=1,K996=1,TRUE()),O996&lt;='01_설정'!$B$5,P996&lt;='01_설정'!$B$7,Q996&lt;='01_설정'!$B$8),"Y","")</f>
        <v/>
      </c>
      <c r="S996">
        <f>IF(R996&lt;&gt;"Y","",MAX(0,(1-O996/'01_설정'!$B$5))*'01_설정'!$B$14+MAX(0,(1-P996/'01_설정'!$B$7))*'01_설정'!$B$16+MAX(0,(1-Q996/'01_설정'!$B$8))*'01_설정'!$B$17+L996*'01_설정'!$B$11+M996*'01_설정'!$B$12+N996*50)</f>
        <v/>
      </c>
      <c r="T996">
        <f>IF(S996="","",1+COUNTIFS($S$31:$S$1030,"&gt;"&amp;S996)+COUNTIFS($S$31:S996,S996)-1)</f>
        <v/>
      </c>
    </row>
    <row r="997" hidden="1" ht="16.5" customHeight="1">
      <c r="A997">
        <f>IF(COUNTA('05_KAPA'!$A968:$AO968)=0,"",970)</f>
        <v/>
      </c>
      <c r="B997">
        <f>IF($A997="","",INDEX('05_KAPA'!$B:$B,$A997))</f>
        <v/>
      </c>
      <c r="C997">
        <f>IF($A997="","",INDEX('05_KAPA'!$F:$F,$A997))</f>
        <v/>
      </c>
      <c r="D997">
        <f>IF($A997="","",INDEX('05_KAPA'!$H:$H,$A997))</f>
        <v/>
      </c>
      <c r="E997">
        <f>IF($A997="","",INDEX('05_KAPA'!$K:$K,$A997))</f>
        <v/>
      </c>
      <c r="F997">
        <f>IF($A997="","",INDEX('05_KAPA'!$L:$L,$A997))</f>
        <v/>
      </c>
      <c r="G997">
        <f>IF($A997="","",INDEX('05_KAPA'!$I:$I,$A997))</f>
        <v/>
      </c>
      <c r="H997" s="202">
        <f>IF($A997="","",INDEX('05_KAPA'!$P:$P,$A997))</f>
        <v/>
      </c>
      <c r="I997" s="118">
        <f>IF($A997="","",INDEX('05_KAPA'!$O:$O,$A997))</f>
        <v/>
      </c>
      <c r="J997" s="202">
        <f>IF($A997="","",IFERROR(DATE(LEFT(TEXT(INDEX('05_KAPA'!$T:$T,$A997),"0"),4),MID(TEXT(INDEX('05_KAPA'!$T:$T,$A997),"0"),5,2),RIGHT(TEXT(INDEX('05_KAPA'!$T:$T,$A997),"0"),2)),""))</f>
        <v/>
      </c>
      <c r="K997">
        <f>IF(C997="","",IF('02_대상물건입력'!$B$5="",1,IF(ISNUMBER(SEARCH('02_대상물건입력'!$B$5,C997)),1,0)))</f>
        <v/>
      </c>
      <c r="L997">
        <f>IF(C997="","",IF('02_대상물건입력'!$B$6="",1,IF(ISNUMBER(SEARCH('02_대상물건입력'!$B$6,C997)),1,0)))</f>
        <v/>
      </c>
      <c r="M997">
        <f>IF(E997="","",IF('02_대상물건입력'!$B$8="",0,IF(ISNUMBER(SEARCH('02_대상물건입력'!$B$8,E997)),1,0)))</f>
        <v/>
      </c>
      <c r="N997">
        <f>IF(B997="","",IF(B997="담보",1,0))</f>
        <v/>
      </c>
      <c r="O997">
        <f>IFERROR(ABS(G997-'02_대상물건입력'!$B$11)/'02_대상물건입력'!$B$11,"")</f>
        <v/>
      </c>
      <c r="P997">
        <f>IFERROR(ABS('01_설정'!$B$4-H997),"")</f>
        <v/>
      </c>
      <c r="Q997">
        <f>IFERROR(ABS(YEAR(J997)-YEAR('02_대상물건입력'!$B$14)),"")</f>
        <v/>
      </c>
      <c r="R997">
        <f>IF(AND(G997&gt;0,H997&gt;0,I997&gt;0,N997=1,IF('01_설정'!$B$10=1,K997=1,TRUE()),O997&lt;='01_설정'!$B$5,P997&lt;='01_설정'!$B$7,Q997&lt;='01_설정'!$B$8),"Y","")</f>
        <v/>
      </c>
      <c r="S997">
        <f>IF(R997&lt;&gt;"Y","",MAX(0,(1-O997/'01_설정'!$B$5))*'01_설정'!$B$14+MAX(0,(1-P997/'01_설정'!$B$7))*'01_설정'!$B$16+MAX(0,(1-Q997/'01_설정'!$B$8))*'01_설정'!$B$17+L997*'01_설정'!$B$11+M997*'01_설정'!$B$12+N997*50)</f>
        <v/>
      </c>
      <c r="T997">
        <f>IF(S997="","",1+COUNTIFS($S$31:$S$1030,"&gt;"&amp;S997)+COUNTIFS($S$31:S997,S997)-1)</f>
        <v/>
      </c>
    </row>
    <row r="998" hidden="1" ht="16.5" customHeight="1">
      <c r="A998">
        <f>IF(COUNTA('05_KAPA'!$A969:$AO969)=0,"",971)</f>
        <v/>
      </c>
      <c r="B998">
        <f>IF($A998="","",INDEX('05_KAPA'!$B:$B,$A998))</f>
        <v/>
      </c>
      <c r="C998">
        <f>IF($A998="","",INDEX('05_KAPA'!$F:$F,$A998))</f>
        <v/>
      </c>
      <c r="D998">
        <f>IF($A998="","",INDEX('05_KAPA'!$H:$H,$A998))</f>
        <v/>
      </c>
      <c r="E998">
        <f>IF($A998="","",INDEX('05_KAPA'!$K:$K,$A998))</f>
        <v/>
      </c>
      <c r="F998">
        <f>IF($A998="","",INDEX('05_KAPA'!$L:$L,$A998))</f>
        <v/>
      </c>
      <c r="G998">
        <f>IF($A998="","",INDEX('05_KAPA'!$I:$I,$A998))</f>
        <v/>
      </c>
      <c r="H998" s="202">
        <f>IF($A998="","",INDEX('05_KAPA'!$P:$P,$A998))</f>
        <v/>
      </c>
      <c r="I998" s="118">
        <f>IF($A998="","",INDEX('05_KAPA'!$O:$O,$A998))</f>
        <v/>
      </c>
      <c r="J998" s="202">
        <f>IF($A998="","",IFERROR(DATE(LEFT(TEXT(INDEX('05_KAPA'!$T:$T,$A998),"0"),4),MID(TEXT(INDEX('05_KAPA'!$T:$T,$A998),"0"),5,2),RIGHT(TEXT(INDEX('05_KAPA'!$T:$T,$A998),"0"),2)),""))</f>
        <v/>
      </c>
      <c r="K998">
        <f>IF(C998="","",IF('02_대상물건입력'!$B$5="",1,IF(ISNUMBER(SEARCH('02_대상물건입력'!$B$5,C998)),1,0)))</f>
        <v/>
      </c>
      <c r="L998">
        <f>IF(C998="","",IF('02_대상물건입력'!$B$6="",1,IF(ISNUMBER(SEARCH('02_대상물건입력'!$B$6,C998)),1,0)))</f>
        <v/>
      </c>
      <c r="M998">
        <f>IF(E998="","",IF('02_대상물건입력'!$B$8="",0,IF(ISNUMBER(SEARCH('02_대상물건입력'!$B$8,E998)),1,0)))</f>
        <v/>
      </c>
      <c r="N998">
        <f>IF(B998="","",IF(B998="담보",1,0))</f>
        <v/>
      </c>
      <c r="O998">
        <f>IFERROR(ABS(G998-'02_대상물건입력'!$B$11)/'02_대상물건입력'!$B$11,"")</f>
        <v/>
      </c>
      <c r="P998">
        <f>IFERROR(ABS('01_설정'!$B$4-H998),"")</f>
        <v/>
      </c>
      <c r="Q998">
        <f>IFERROR(ABS(YEAR(J998)-YEAR('02_대상물건입력'!$B$14)),"")</f>
        <v/>
      </c>
      <c r="R998">
        <f>IF(AND(G998&gt;0,H998&gt;0,I998&gt;0,N998=1,IF('01_설정'!$B$10=1,K998=1,TRUE()),O998&lt;='01_설정'!$B$5,P998&lt;='01_설정'!$B$7,Q998&lt;='01_설정'!$B$8),"Y","")</f>
        <v/>
      </c>
      <c r="S998">
        <f>IF(R998&lt;&gt;"Y","",MAX(0,(1-O998/'01_설정'!$B$5))*'01_설정'!$B$14+MAX(0,(1-P998/'01_설정'!$B$7))*'01_설정'!$B$16+MAX(0,(1-Q998/'01_설정'!$B$8))*'01_설정'!$B$17+L998*'01_설정'!$B$11+M998*'01_설정'!$B$12+N998*50)</f>
        <v/>
      </c>
      <c r="T998">
        <f>IF(S998="","",1+COUNTIFS($S$31:$S$1030,"&gt;"&amp;S998)+COUNTIFS($S$31:S998,S998)-1)</f>
        <v/>
      </c>
    </row>
    <row r="999" hidden="1" ht="16.5" customHeight="1">
      <c r="A999">
        <f>IF(COUNTA('05_KAPA'!$A970:$AO970)=0,"",972)</f>
        <v/>
      </c>
      <c r="B999">
        <f>IF($A999="","",INDEX('05_KAPA'!$B:$B,$A999))</f>
        <v/>
      </c>
      <c r="C999">
        <f>IF($A999="","",INDEX('05_KAPA'!$F:$F,$A999))</f>
        <v/>
      </c>
      <c r="D999">
        <f>IF($A999="","",INDEX('05_KAPA'!$H:$H,$A999))</f>
        <v/>
      </c>
      <c r="E999">
        <f>IF($A999="","",INDEX('05_KAPA'!$K:$K,$A999))</f>
        <v/>
      </c>
      <c r="F999">
        <f>IF($A999="","",INDEX('05_KAPA'!$L:$L,$A999))</f>
        <v/>
      </c>
      <c r="G999">
        <f>IF($A999="","",INDEX('05_KAPA'!$I:$I,$A999))</f>
        <v/>
      </c>
      <c r="H999" s="202">
        <f>IF($A999="","",INDEX('05_KAPA'!$P:$P,$A999))</f>
        <v/>
      </c>
      <c r="I999" s="118">
        <f>IF($A999="","",INDEX('05_KAPA'!$O:$O,$A999))</f>
        <v/>
      </c>
      <c r="J999" s="202">
        <f>IF($A999="","",IFERROR(DATE(LEFT(TEXT(INDEX('05_KAPA'!$T:$T,$A999),"0"),4),MID(TEXT(INDEX('05_KAPA'!$T:$T,$A999),"0"),5,2),RIGHT(TEXT(INDEX('05_KAPA'!$T:$T,$A999),"0"),2)),""))</f>
        <v/>
      </c>
      <c r="K999">
        <f>IF(C999="","",IF('02_대상물건입력'!$B$5="",1,IF(ISNUMBER(SEARCH('02_대상물건입력'!$B$5,C999)),1,0)))</f>
        <v/>
      </c>
      <c r="L999">
        <f>IF(C999="","",IF('02_대상물건입력'!$B$6="",1,IF(ISNUMBER(SEARCH('02_대상물건입력'!$B$6,C999)),1,0)))</f>
        <v/>
      </c>
      <c r="M999">
        <f>IF(E999="","",IF('02_대상물건입력'!$B$8="",0,IF(ISNUMBER(SEARCH('02_대상물건입력'!$B$8,E999)),1,0)))</f>
        <v/>
      </c>
      <c r="N999">
        <f>IF(B999="","",IF(B999="담보",1,0))</f>
        <v/>
      </c>
      <c r="O999">
        <f>IFERROR(ABS(G999-'02_대상물건입력'!$B$11)/'02_대상물건입력'!$B$11,"")</f>
        <v/>
      </c>
      <c r="P999">
        <f>IFERROR(ABS('01_설정'!$B$4-H999),"")</f>
        <v/>
      </c>
      <c r="Q999">
        <f>IFERROR(ABS(YEAR(J999)-YEAR('02_대상물건입력'!$B$14)),"")</f>
        <v/>
      </c>
      <c r="R999">
        <f>IF(AND(G999&gt;0,H999&gt;0,I999&gt;0,N999=1,IF('01_설정'!$B$10=1,K999=1,TRUE()),O999&lt;='01_설정'!$B$5,P999&lt;='01_설정'!$B$7,Q999&lt;='01_설정'!$B$8),"Y","")</f>
        <v/>
      </c>
      <c r="S999">
        <f>IF(R999&lt;&gt;"Y","",MAX(0,(1-O999/'01_설정'!$B$5))*'01_설정'!$B$14+MAX(0,(1-P999/'01_설정'!$B$7))*'01_설정'!$B$16+MAX(0,(1-Q999/'01_설정'!$B$8))*'01_설정'!$B$17+L999*'01_설정'!$B$11+M999*'01_설정'!$B$12+N999*50)</f>
        <v/>
      </c>
      <c r="T999">
        <f>IF(S999="","",1+COUNTIFS($S$31:$S$1030,"&gt;"&amp;S999)+COUNTIFS($S$31:S999,S999)-1)</f>
        <v/>
      </c>
    </row>
    <row r="1000" hidden="1" ht="16.5" customHeight="1">
      <c r="A1000">
        <f>IF(COUNTA('05_KAPA'!$A971:$AO971)=0,"",973)</f>
        <v/>
      </c>
      <c r="B1000">
        <f>IF($A1000="","",INDEX('05_KAPA'!$B:$B,$A1000))</f>
        <v/>
      </c>
      <c r="C1000">
        <f>IF($A1000="","",INDEX('05_KAPA'!$F:$F,$A1000))</f>
        <v/>
      </c>
      <c r="D1000">
        <f>IF($A1000="","",INDEX('05_KAPA'!$H:$H,$A1000))</f>
        <v/>
      </c>
      <c r="E1000">
        <f>IF($A1000="","",INDEX('05_KAPA'!$K:$K,$A1000))</f>
        <v/>
      </c>
      <c r="F1000">
        <f>IF($A1000="","",INDEX('05_KAPA'!$L:$L,$A1000))</f>
        <v/>
      </c>
      <c r="G1000">
        <f>IF($A1000="","",INDEX('05_KAPA'!$I:$I,$A1000))</f>
        <v/>
      </c>
      <c r="H1000" s="202">
        <f>IF($A1000="","",INDEX('05_KAPA'!$P:$P,$A1000))</f>
        <v/>
      </c>
      <c r="I1000" s="118">
        <f>IF($A1000="","",INDEX('05_KAPA'!$O:$O,$A1000))</f>
        <v/>
      </c>
      <c r="J1000" s="202">
        <f>IF($A1000="","",IFERROR(DATE(LEFT(TEXT(INDEX('05_KAPA'!$T:$T,$A1000),"0"),4),MID(TEXT(INDEX('05_KAPA'!$T:$T,$A1000),"0"),5,2),RIGHT(TEXT(INDEX('05_KAPA'!$T:$T,$A1000),"0"),2)),""))</f>
        <v/>
      </c>
      <c r="K1000">
        <f>IF(C1000="","",IF('02_대상물건입력'!$B$5="",1,IF(ISNUMBER(SEARCH('02_대상물건입력'!$B$5,C1000)),1,0)))</f>
        <v/>
      </c>
      <c r="L1000">
        <f>IF(C1000="","",IF('02_대상물건입력'!$B$6="",1,IF(ISNUMBER(SEARCH('02_대상물건입력'!$B$6,C1000)),1,0)))</f>
        <v/>
      </c>
      <c r="M1000">
        <f>IF(E1000="","",IF('02_대상물건입력'!$B$8="",0,IF(ISNUMBER(SEARCH('02_대상물건입력'!$B$8,E1000)),1,0)))</f>
        <v/>
      </c>
      <c r="N1000">
        <f>IF(B1000="","",IF(B1000="담보",1,0))</f>
        <v/>
      </c>
      <c r="O1000">
        <f>IFERROR(ABS(G1000-'02_대상물건입력'!$B$11)/'02_대상물건입력'!$B$11,"")</f>
        <v/>
      </c>
      <c r="P1000">
        <f>IFERROR(ABS('01_설정'!$B$4-H1000),"")</f>
        <v/>
      </c>
      <c r="Q1000">
        <f>IFERROR(ABS(YEAR(J1000)-YEAR('02_대상물건입력'!$B$14)),"")</f>
        <v/>
      </c>
      <c r="R1000">
        <f>IF(AND(G1000&gt;0,H1000&gt;0,I1000&gt;0,N1000=1,IF('01_설정'!$B$10=1,K1000=1,TRUE()),O1000&lt;='01_설정'!$B$5,P1000&lt;='01_설정'!$B$7,Q1000&lt;='01_설정'!$B$8),"Y","")</f>
        <v/>
      </c>
      <c r="S1000">
        <f>IF(R1000&lt;&gt;"Y","",MAX(0,(1-O1000/'01_설정'!$B$5))*'01_설정'!$B$14+MAX(0,(1-P1000/'01_설정'!$B$7))*'01_설정'!$B$16+MAX(0,(1-Q1000/'01_설정'!$B$8))*'01_설정'!$B$17+L1000*'01_설정'!$B$11+M1000*'01_설정'!$B$12+N1000*50)</f>
        <v/>
      </c>
      <c r="T1000">
        <f>IF(S1000="","",1+COUNTIFS($S$31:$S$1030,"&gt;"&amp;S1000)+COUNTIFS($S$31:S1000,S1000)-1)</f>
        <v/>
      </c>
    </row>
    <row r="1001" hidden="1" ht="16.5" customHeight="1">
      <c r="A1001">
        <f>IF(COUNTA('05_KAPA'!$A972:$AO972)=0,"",974)</f>
        <v/>
      </c>
      <c r="B1001">
        <f>IF($A1001="","",INDEX('05_KAPA'!$B:$B,$A1001))</f>
        <v/>
      </c>
      <c r="C1001">
        <f>IF($A1001="","",INDEX('05_KAPA'!$F:$F,$A1001))</f>
        <v/>
      </c>
      <c r="D1001">
        <f>IF($A1001="","",INDEX('05_KAPA'!$H:$H,$A1001))</f>
        <v/>
      </c>
      <c r="E1001">
        <f>IF($A1001="","",INDEX('05_KAPA'!$K:$K,$A1001))</f>
        <v/>
      </c>
      <c r="F1001">
        <f>IF($A1001="","",INDEX('05_KAPA'!$L:$L,$A1001))</f>
        <v/>
      </c>
      <c r="G1001">
        <f>IF($A1001="","",INDEX('05_KAPA'!$I:$I,$A1001))</f>
        <v/>
      </c>
      <c r="H1001" s="202">
        <f>IF($A1001="","",INDEX('05_KAPA'!$P:$P,$A1001))</f>
        <v/>
      </c>
      <c r="I1001" s="118">
        <f>IF($A1001="","",INDEX('05_KAPA'!$O:$O,$A1001))</f>
        <v/>
      </c>
      <c r="J1001" s="202">
        <f>IF($A1001="","",IFERROR(DATE(LEFT(TEXT(INDEX('05_KAPA'!$T:$T,$A1001),"0"),4),MID(TEXT(INDEX('05_KAPA'!$T:$T,$A1001),"0"),5,2),RIGHT(TEXT(INDEX('05_KAPA'!$T:$T,$A1001),"0"),2)),""))</f>
        <v/>
      </c>
      <c r="K1001">
        <f>IF(C1001="","",IF('02_대상물건입력'!$B$5="",1,IF(ISNUMBER(SEARCH('02_대상물건입력'!$B$5,C1001)),1,0)))</f>
        <v/>
      </c>
      <c r="L1001">
        <f>IF(C1001="","",IF('02_대상물건입력'!$B$6="",1,IF(ISNUMBER(SEARCH('02_대상물건입력'!$B$6,C1001)),1,0)))</f>
        <v/>
      </c>
      <c r="M1001">
        <f>IF(E1001="","",IF('02_대상물건입력'!$B$8="",0,IF(ISNUMBER(SEARCH('02_대상물건입력'!$B$8,E1001)),1,0)))</f>
        <v/>
      </c>
      <c r="N1001">
        <f>IF(B1001="","",IF(B1001="담보",1,0))</f>
        <v/>
      </c>
      <c r="O1001">
        <f>IFERROR(ABS(G1001-'02_대상물건입력'!$B$11)/'02_대상물건입력'!$B$11,"")</f>
        <v/>
      </c>
      <c r="P1001">
        <f>IFERROR(ABS('01_설정'!$B$4-H1001),"")</f>
        <v/>
      </c>
      <c r="Q1001">
        <f>IFERROR(ABS(YEAR(J1001)-YEAR('02_대상물건입력'!$B$14)),"")</f>
        <v/>
      </c>
      <c r="R1001">
        <f>IF(AND(G1001&gt;0,H1001&gt;0,I1001&gt;0,N1001=1,IF('01_설정'!$B$10=1,K1001=1,TRUE()),O1001&lt;='01_설정'!$B$5,P1001&lt;='01_설정'!$B$7,Q1001&lt;='01_설정'!$B$8),"Y","")</f>
        <v/>
      </c>
      <c r="S1001">
        <f>IF(R1001&lt;&gt;"Y","",MAX(0,(1-O1001/'01_설정'!$B$5))*'01_설정'!$B$14+MAX(0,(1-P1001/'01_설정'!$B$7))*'01_설정'!$B$16+MAX(0,(1-Q1001/'01_설정'!$B$8))*'01_설정'!$B$17+L1001*'01_설정'!$B$11+M1001*'01_설정'!$B$12+N1001*50)</f>
        <v/>
      </c>
      <c r="T1001">
        <f>IF(S1001="","",1+COUNTIFS($S$31:$S$1030,"&gt;"&amp;S1001)+COUNTIFS($S$31:S1001,S1001)-1)</f>
        <v/>
      </c>
    </row>
    <row r="1002" hidden="1" ht="16.5" customHeight="1">
      <c r="A1002">
        <f>IF(COUNTA('05_KAPA'!$A973:$AO973)=0,"",975)</f>
        <v/>
      </c>
      <c r="B1002">
        <f>IF($A1002="","",INDEX('05_KAPA'!$B:$B,$A1002))</f>
        <v/>
      </c>
      <c r="C1002">
        <f>IF($A1002="","",INDEX('05_KAPA'!$F:$F,$A1002))</f>
        <v/>
      </c>
      <c r="D1002">
        <f>IF($A1002="","",INDEX('05_KAPA'!$H:$H,$A1002))</f>
        <v/>
      </c>
      <c r="E1002">
        <f>IF($A1002="","",INDEX('05_KAPA'!$K:$K,$A1002))</f>
        <v/>
      </c>
      <c r="F1002">
        <f>IF($A1002="","",INDEX('05_KAPA'!$L:$L,$A1002))</f>
        <v/>
      </c>
      <c r="G1002">
        <f>IF($A1002="","",INDEX('05_KAPA'!$I:$I,$A1002))</f>
        <v/>
      </c>
      <c r="H1002" s="202">
        <f>IF($A1002="","",INDEX('05_KAPA'!$P:$P,$A1002))</f>
        <v/>
      </c>
      <c r="I1002" s="118">
        <f>IF($A1002="","",INDEX('05_KAPA'!$O:$O,$A1002))</f>
        <v/>
      </c>
      <c r="J1002" s="202">
        <f>IF($A1002="","",IFERROR(DATE(LEFT(TEXT(INDEX('05_KAPA'!$T:$T,$A1002),"0"),4),MID(TEXT(INDEX('05_KAPA'!$T:$T,$A1002),"0"),5,2),RIGHT(TEXT(INDEX('05_KAPA'!$T:$T,$A1002),"0"),2)),""))</f>
        <v/>
      </c>
      <c r="K1002">
        <f>IF(C1002="","",IF('02_대상물건입력'!$B$5="",1,IF(ISNUMBER(SEARCH('02_대상물건입력'!$B$5,C1002)),1,0)))</f>
        <v/>
      </c>
      <c r="L1002">
        <f>IF(C1002="","",IF('02_대상물건입력'!$B$6="",1,IF(ISNUMBER(SEARCH('02_대상물건입력'!$B$6,C1002)),1,0)))</f>
        <v/>
      </c>
      <c r="M1002">
        <f>IF(E1002="","",IF('02_대상물건입력'!$B$8="",0,IF(ISNUMBER(SEARCH('02_대상물건입력'!$B$8,E1002)),1,0)))</f>
        <v/>
      </c>
      <c r="N1002">
        <f>IF(B1002="","",IF(B1002="담보",1,0))</f>
        <v/>
      </c>
      <c r="O1002">
        <f>IFERROR(ABS(G1002-'02_대상물건입력'!$B$11)/'02_대상물건입력'!$B$11,"")</f>
        <v/>
      </c>
      <c r="P1002">
        <f>IFERROR(ABS('01_설정'!$B$4-H1002),"")</f>
        <v/>
      </c>
      <c r="Q1002">
        <f>IFERROR(ABS(YEAR(J1002)-YEAR('02_대상물건입력'!$B$14)),"")</f>
        <v/>
      </c>
      <c r="R1002">
        <f>IF(AND(G1002&gt;0,H1002&gt;0,I1002&gt;0,N1002=1,IF('01_설정'!$B$10=1,K1002=1,TRUE()),O1002&lt;='01_설정'!$B$5,P1002&lt;='01_설정'!$B$7,Q1002&lt;='01_설정'!$B$8),"Y","")</f>
        <v/>
      </c>
      <c r="S1002">
        <f>IF(R1002&lt;&gt;"Y","",MAX(0,(1-O1002/'01_설정'!$B$5))*'01_설정'!$B$14+MAX(0,(1-P1002/'01_설정'!$B$7))*'01_설정'!$B$16+MAX(0,(1-Q1002/'01_설정'!$B$8))*'01_설정'!$B$17+L1002*'01_설정'!$B$11+M1002*'01_설정'!$B$12+N1002*50)</f>
        <v/>
      </c>
      <c r="T1002">
        <f>IF(S1002="","",1+COUNTIFS($S$31:$S$1030,"&gt;"&amp;S1002)+COUNTIFS($S$31:S1002,S1002)-1)</f>
        <v/>
      </c>
    </row>
    <row r="1003" hidden="1" ht="16.5" customHeight="1">
      <c r="A1003">
        <f>IF(COUNTA('05_KAPA'!$A974:$AO974)=0,"",976)</f>
        <v/>
      </c>
      <c r="B1003">
        <f>IF($A1003="","",INDEX('05_KAPA'!$B:$B,$A1003))</f>
        <v/>
      </c>
      <c r="C1003">
        <f>IF($A1003="","",INDEX('05_KAPA'!$F:$F,$A1003))</f>
        <v/>
      </c>
      <c r="D1003">
        <f>IF($A1003="","",INDEX('05_KAPA'!$H:$H,$A1003))</f>
        <v/>
      </c>
      <c r="E1003">
        <f>IF($A1003="","",INDEX('05_KAPA'!$K:$K,$A1003))</f>
        <v/>
      </c>
      <c r="F1003">
        <f>IF($A1003="","",INDEX('05_KAPA'!$L:$L,$A1003))</f>
        <v/>
      </c>
      <c r="G1003">
        <f>IF($A1003="","",INDEX('05_KAPA'!$I:$I,$A1003))</f>
        <v/>
      </c>
      <c r="H1003" s="202">
        <f>IF($A1003="","",INDEX('05_KAPA'!$P:$P,$A1003))</f>
        <v/>
      </c>
      <c r="I1003" s="118">
        <f>IF($A1003="","",INDEX('05_KAPA'!$O:$O,$A1003))</f>
        <v/>
      </c>
      <c r="J1003" s="202">
        <f>IF($A1003="","",IFERROR(DATE(LEFT(TEXT(INDEX('05_KAPA'!$T:$T,$A1003),"0"),4),MID(TEXT(INDEX('05_KAPA'!$T:$T,$A1003),"0"),5,2),RIGHT(TEXT(INDEX('05_KAPA'!$T:$T,$A1003),"0"),2)),""))</f>
        <v/>
      </c>
      <c r="K1003">
        <f>IF(C1003="","",IF('02_대상물건입력'!$B$5="",1,IF(ISNUMBER(SEARCH('02_대상물건입력'!$B$5,C1003)),1,0)))</f>
        <v/>
      </c>
      <c r="L1003">
        <f>IF(C1003="","",IF('02_대상물건입력'!$B$6="",1,IF(ISNUMBER(SEARCH('02_대상물건입력'!$B$6,C1003)),1,0)))</f>
        <v/>
      </c>
      <c r="M1003">
        <f>IF(E1003="","",IF('02_대상물건입력'!$B$8="",0,IF(ISNUMBER(SEARCH('02_대상물건입력'!$B$8,E1003)),1,0)))</f>
        <v/>
      </c>
      <c r="N1003">
        <f>IF(B1003="","",IF(B1003="담보",1,0))</f>
        <v/>
      </c>
      <c r="O1003">
        <f>IFERROR(ABS(G1003-'02_대상물건입력'!$B$11)/'02_대상물건입력'!$B$11,"")</f>
        <v/>
      </c>
      <c r="P1003">
        <f>IFERROR(ABS('01_설정'!$B$4-H1003),"")</f>
        <v/>
      </c>
      <c r="Q1003">
        <f>IFERROR(ABS(YEAR(J1003)-YEAR('02_대상물건입력'!$B$14)),"")</f>
        <v/>
      </c>
      <c r="R1003">
        <f>IF(AND(G1003&gt;0,H1003&gt;0,I1003&gt;0,N1003=1,IF('01_설정'!$B$10=1,K1003=1,TRUE()),O1003&lt;='01_설정'!$B$5,P1003&lt;='01_설정'!$B$7,Q1003&lt;='01_설정'!$B$8),"Y","")</f>
        <v/>
      </c>
      <c r="S1003">
        <f>IF(R1003&lt;&gt;"Y","",MAX(0,(1-O1003/'01_설정'!$B$5))*'01_설정'!$B$14+MAX(0,(1-P1003/'01_설정'!$B$7))*'01_설정'!$B$16+MAX(0,(1-Q1003/'01_설정'!$B$8))*'01_설정'!$B$17+L1003*'01_설정'!$B$11+M1003*'01_설정'!$B$12+N1003*50)</f>
        <v/>
      </c>
      <c r="T1003">
        <f>IF(S1003="","",1+COUNTIFS($S$31:$S$1030,"&gt;"&amp;S1003)+COUNTIFS($S$31:S1003,S1003)-1)</f>
        <v/>
      </c>
    </row>
    <row r="1004" hidden="1" ht="16.5" customHeight="1">
      <c r="A1004">
        <f>IF(COUNTA('05_KAPA'!$A975:$AO975)=0,"",977)</f>
        <v/>
      </c>
      <c r="B1004">
        <f>IF($A1004="","",INDEX('05_KAPA'!$B:$B,$A1004))</f>
        <v/>
      </c>
      <c r="C1004">
        <f>IF($A1004="","",INDEX('05_KAPA'!$F:$F,$A1004))</f>
        <v/>
      </c>
      <c r="D1004">
        <f>IF($A1004="","",INDEX('05_KAPA'!$H:$H,$A1004))</f>
        <v/>
      </c>
      <c r="E1004">
        <f>IF($A1004="","",INDEX('05_KAPA'!$K:$K,$A1004))</f>
        <v/>
      </c>
      <c r="F1004">
        <f>IF($A1004="","",INDEX('05_KAPA'!$L:$L,$A1004))</f>
        <v/>
      </c>
      <c r="G1004">
        <f>IF($A1004="","",INDEX('05_KAPA'!$I:$I,$A1004))</f>
        <v/>
      </c>
      <c r="H1004" s="202">
        <f>IF($A1004="","",INDEX('05_KAPA'!$P:$P,$A1004))</f>
        <v/>
      </c>
      <c r="I1004" s="118">
        <f>IF($A1004="","",INDEX('05_KAPA'!$O:$O,$A1004))</f>
        <v/>
      </c>
      <c r="J1004" s="202">
        <f>IF($A1004="","",IFERROR(DATE(LEFT(TEXT(INDEX('05_KAPA'!$T:$T,$A1004),"0"),4),MID(TEXT(INDEX('05_KAPA'!$T:$T,$A1004),"0"),5,2),RIGHT(TEXT(INDEX('05_KAPA'!$T:$T,$A1004),"0"),2)),""))</f>
        <v/>
      </c>
      <c r="K1004">
        <f>IF(C1004="","",IF('02_대상물건입력'!$B$5="",1,IF(ISNUMBER(SEARCH('02_대상물건입력'!$B$5,C1004)),1,0)))</f>
        <v/>
      </c>
      <c r="L1004">
        <f>IF(C1004="","",IF('02_대상물건입력'!$B$6="",1,IF(ISNUMBER(SEARCH('02_대상물건입력'!$B$6,C1004)),1,0)))</f>
        <v/>
      </c>
      <c r="M1004">
        <f>IF(E1004="","",IF('02_대상물건입력'!$B$8="",0,IF(ISNUMBER(SEARCH('02_대상물건입력'!$B$8,E1004)),1,0)))</f>
        <v/>
      </c>
      <c r="N1004">
        <f>IF(B1004="","",IF(B1004="담보",1,0))</f>
        <v/>
      </c>
      <c r="O1004">
        <f>IFERROR(ABS(G1004-'02_대상물건입력'!$B$11)/'02_대상물건입력'!$B$11,"")</f>
        <v/>
      </c>
      <c r="P1004">
        <f>IFERROR(ABS('01_설정'!$B$4-H1004),"")</f>
        <v/>
      </c>
      <c r="Q1004">
        <f>IFERROR(ABS(YEAR(J1004)-YEAR('02_대상물건입력'!$B$14)),"")</f>
        <v/>
      </c>
      <c r="R1004">
        <f>IF(AND(G1004&gt;0,H1004&gt;0,I1004&gt;0,N1004=1,IF('01_설정'!$B$10=1,K1004=1,TRUE()),O1004&lt;='01_설정'!$B$5,P1004&lt;='01_설정'!$B$7,Q1004&lt;='01_설정'!$B$8),"Y","")</f>
        <v/>
      </c>
      <c r="S1004">
        <f>IF(R1004&lt;&gt;"Y","",MAX(0,(1-O1004/'01_설정'!$B$5))*'01_설정'!$B$14+MAX(0,(1-P1004/'01_설정'!$B$7))*'01_설정'!$B$16+MAX(0,(1-Q1004/'01_설정'!$B$8))*'01_설정'!$B$17+L1004*'01_설정'!$B$11+M1004*'01_설정'!$B$12+N1004*50)</f>
        <v/>
      </c>
      <c r="T1004">
        <f>IF(S1004="","",1+COUNTIFS($S$31:$S$1030,"&gt;"&amp;S1004)+COUNTIFS($S$31:S1004,S1004)-1)</f>
        <v/>
      </c>
    </row>
    <row r="1005" hidden="1" ht="16.5" customHeight="1">
      <c r="A1005">
        <f>IF(COUNTA('05_KAPA'!$A976:$AO976)=0,"",978)</f>
        <v/>
      </c>
      <c r="B1005">
        <f>IF($A1005="","",INDEX('05_KAPA'!$B:$B,$A1005))</f>
        <v/>
      </c>
      <c r="C1005">
        <f>IF($A1005="","",INDEX('05_KAPA'!$F:$F,$A1005))</f>
        <v/>
      </c>
      <c r="D1005">
        <f>IF($A1005="","",INDEX('05_KAPA'!$H:$H,$A1005))</f>
        <v/>
      </c>
      <c r="E1005">
        <f>IF($A1005="","",INDEX('05_KAPA'!$K:$K,$A1005))</f>
        <v/>
      </c>
      <c r="F1005">
        <f>IF($A1005="","",INDEX('05_KAPA'!$L:$L,$A1005))</f>
        <v/>
      </c>
      <c r="G1005">
        <f>IF($A1005="","",INDEX('05_KAPA'!$I:$I,$A1005))</f>
        <v/>
      </c>
      <c r="H1005" s="202">
        <f>IF($A1005="","",INDEX('05_KAPA'!$P:$P,$A1005))</f>
        <v/>
      </c>
      <c r="I1005" s="118">
        <f>IF($A1005="","",INDEX('05_KAPA'!$O:$O,$A1005))</f>
        <v/>
      </c>
      <c r="J1005" s="202">
        <f>IF($A1005="","",IFERROR(DATE(LEFT(TEXT(INDEX('05_KAPA'!$T:$T,$A1005),"0"),4),MID(TEXT(INDEX('05_KAPA'!$T:$T,$A1005),"0"),5,2),RIGHT(TEXT(INDEX('05_KAPA'!$T:$T,$A1005),"0"),2)),""))</f>
        <v/>
      </c>
      <c r="K1005">
        <f>IF(C1005="","",IF('02_대상물건입력'!$B$5="",1,IF(ISNUMBER(SEARCH('02_대상물건입력'!$B$5,C1005)),1,0)))</f>
        <v/>
      </c>
      <c r="L1005">
        <f>IF(C1005="","",IF('02_대상물건입력'!$B$6="",1,IF(ISNUMBER(SEARCH('02_대상물건입력'!$B$6,C1005)),1,0)))</f>
        <v/>
      </c>
      <c r="M1005">
        <f>IF(E1005="","",IF('02_대상물건입력'!$B$8="",0,IF(ISNUMBER(SEARCH('02_대상물건입력'!$B$8,E1005)),1,0)))</f>
        <v/>
      </c>
      <c r="N1005">
        <f>IF(B1005="","",IF(B1005="담보",1,0))</f>
        <v/>
      </c>
      <c r="O1005">
        <f>IFERROR(ABS(G1005-'02_대상물건입력'!$B$11)/'02_대상물건입력'!$B$11,"")</f>
        <v/>
      </c>
      <c r="P1005">
        <f>IFERROR(ABS('01_설정'!$B$4-H1005),"")</f>
        <v/>
      </c>
      <c r="Q1005">
        <f>IFERROR(ABS(YEAR(J1005)-YEAR('02_대상물건입력'!$B$14)),"")</f>
        <v/>
      </c>
      <c r="R1005">
        <f>IF(AND(G1005&gt;0,H1005&gt;0,I1005&gt;0,N1005=1,IF('01_설정'!$B$10=1,K1005=1,TRUE()),O1005&lt;='01_설정'!$B$5,P1005&lt;='01_설정'!$B$7,Q1005&lt;='01_설정'!$B$8),"Y","")</f>
        <v/>
      </c>
      <c r="S1005">
        <f>IF(R1005&lt;&gt;"Y","",MAX(0,(1-O1005/'01_설정'!$B$5))*'01_설정'!$B$14+MAX(0,(1-P1005/'01_설정'!$B$7))*'01_설정'!$B$16+MAX(0,(1-Q1005/'01_설정'!$B$8))*'01_설정'!$B$17+L1005*'01_설정'!$B$11+M1005*'01_설정'!$B$12+N1005*50)</f>
        <v/>
      </c>
      <c r="T1005">
        <f>IF(S1005="","",1+COUNTIFS($S$31:$S$1030,"&gt;"&amp;S1005)+COUNTIFS($S$31:S1005,S1005)-1)</f>
        <v/>
      </c>
    </row>
    <row r="1006" hidden="1" ht="16.5" customHeight="1">
      <c r="A1006">
        <f>IF(COUNTA('05_KAPA'!$A977:$AO977)=0,"",979)</f>
        <v/>
      </c>
      <c r="B1006">
        <f>IF($A1006="","",INDEX('05_KAPA'!$B:$B,$A1006))</f>
        <v/>
      </c>
      <c r="C1006">
        <f>IF($A1006="","",INDEX('05_KAPA'!$F:$F,$A1006))</f>
        <v/>
      </c>
      <c r="D1006">
        <f>IF($A1006="","",INDEX('05_KAPA'!$H:$H,$A1006))</f>
        <v/>
      </c>
      <c r="E1006">
        <f>IF($A1006="","",INDEX('05_KAPA'!$K:$K,$A1006))</f>
        <v/>
      </c>
      <c r="F1006">
        <f>IF($A1006="","",INDEX('05_KAPA'!$L:$L,$A1006))</f>
        <v/>
      </c>
      <c r="G1006">
        <f>IF($A1006="","",INDEX('05_KAPA'!$I:$I,$A1006))</f>
        <v/>
      </c>
      <c r="H1006" s="202">
        <f>IF($A1006="","",INDEX('05_KAPA'!$P:$P,$A1006))</f>
        <v/>
      </c>
      <c r="I1006" s="118">
        <f>IF($A1006="","",INDEX('05_KAPA'!$O:$O,$A1006))</f>
        <v/>
      </c>
      <c r="J1006" s="202">
        <f>IF($A1006="","",IFERROR(DATE(LEFT(TEXT(INDEX('05_KAPA'!$T:$T,$A1006),"0"),4),MID(TEXT(INDEX('05_KAPA'!$T:$T,$A1006),"0"),5,2),RIGHT(TEXT(INDEX('05_KAPA'!$T:$T,$A1006),"0"),2)),""))</f>
        <v/>
      </c>
      <c r="K1006">
        <f>IF(C1006="","",IF('02_대상물건입력'!$B$5="",1,IF(ISNUMBER(SEARCH('02_대상물건입력'!$B$5,C1006)),1,0)))</f>
        <v/>
      </c>
      <c r="L1006">
        <f>IF(C1006="","",IF('02_대상물건입력'!$B$6="",1,IF(ISNUMBER(SEARCH('02_대상물건입력'!$B$6,C1006)),1,0)))</f>
        <v/>
      </c>
      <c r="M1006">
        <f>IF(E1006="","",IF('02_대상물건입력'!$B$8="",0,IF(ISNUMBER(SEARCH('02_대상물건입력'!$B$8,E1006)),1,0)))</f>
        <v/>
      </c>
      <c r="N1006">
        <f>IF(B1006="","",IF(B1006="담보",1,0))</f>
        <v/>
      </c>
      <c r="O1006">
        <f>IFERROR(ABS(G1006-'02_대상물건입력'!$B$11)/'02_대상물건입력'!$B$11,"")</f>
        <v/>
      </c>
      <c r="P1006">
        <f>IFERROR(ABS('01_설정'!$B$4-H1006),"")</f>
        <v/>
      </c>
      <c r="Q1006">
        <f>IFERROR(ABS(YEAR(J1006)-YEAR('02_대상물건입력'!$B$14)),"")</f>
        <v/>
      </c>
      <c r="R1006">
        <f>IF(AND(G1006&gt;0,H1006&gt;0,I1006&gt;0,N1006=1,IF('01_설정'!$B$10=1,K1006=1,TRUE()),O1006&lt;='01_설정'!$B$5,P1006&lt;='01_설정'!$B$7,Q1006&lt;='01_설정'!$B$8),"Y","")</f>
        <v/>
      </c>
      <c r="S1006">
        <f>IF(R1006&lt;&gt;"Y","",MAX(0,(1-O1006/'01_설정'!$B$5))*'01_설정'!$B$14+MAX(0,(1-P1006/'01_설정'!$B$7))*'01_설정'!$B$16+MAX(0,(1-Q1006/'01_설정'!$B$8))*'01_설정'!$B$17+L1006*'01_설정'!$B$11+M1006*'01_설정'!$B$12+N1006*50)</f>
        <v/>
      </c>
      <c r="T1006">
        <f>IF(S1006="","",1+COUNTIFS($S$31:$S$1030,"&gt;"&amp;S1006)+COUNTIFS($S$31:S1006,S1006)-1)</f>
        <v/>
      </c>
    </row>
    <row r="1007" hidden="1" ht="16.5" customHeight="1">
      <c r="A1007">
        <f>IF(COUNTA('05_KAPA'!$A978:$AO978)=0,"",980)</f>
        <v/>
      </c>
      <c r="B1007">
        <f>IF($A1007="","",INDEX('05_KAPA'!$B:$B,$A1007))</f>
        <v/>
      </c>
      <c r="C1007">
        <f>IF($A1007="","",INDEX('05_KAPA'!$F:$F,$A1007))</f>
        <v/>
      </c>
      <c r="D1007">
        <f>IF($A1007="","",INDEX('05_KAPA'!$H:$H,$A1007))</f>
        <v/>
      </c>
      <c r="E1007">
        <f>IF($A1007="","",INDEX('05_KAPA'!$K:$K,$A1007))</f>
        <v/>
      </c>
      <c r="F1007">
        <f>IF($A1007="","",INDEX('05_KAPA'!$L:$L,$A1007))</f>
        <v/>
      </c>
      <c r="G1007">
        <f>IF($A1007="","",INDEX('05_KAPA'!$I:$I,$A1007))</f>
        <v/>
      </c>
      <c r="H1007" s="202">
        <f>IF($A1007="","",INDEX('05_KAPA'!$P:$P,$A1007))</f>
        <v/>
      </c>
      <c r="I1007" s="118">
        <f>IF($A1007="","",INDEX('05_KAPA'!$O:$O,$A1007))</f>
        <v/>
      </c>
      <c r="J1007" s="202">
        <f>IF($A1007="","",IFERROR(DATE(LEFT(TEXT(INDEX('05_KAPA'!$T:$T,$A1007),"0"),4),MID(TEXT(INDEX('05_KAPA'!$T:$T,$A1007),"0"),5,2),RIGHT(TEXT(INDEX('05_KAPA'!$T:$T,$A1007),"0"),2)),""))</f>
        <v/>
      </c>
      <c r="K1007">
        <f>IF(C1007="","",IF('02_대상물건입력'!$B$5="",1,IF(ISNUMBER(SEARCH('02_대상물건입력'!$B$5,C1007)),1,0)))</f>
        <v/>
      </c>
      <c r="L1007">
        <f>IF(C1007="","",IF('02_대상물건입력'!$B$6="",1,IF(ISNUMBER(SEARCH('02_대상물건입력'!$B$6,C1007)),1,0)))</f>
        <v/>
      </c>
      <c r="M1007">
        <f>IF(E1007="","",IF('02_대상물건입력'!$B$8="",0,IF(ISNUMBER(SEARCH('02_대상물건입력'!$B$8,E1007)),1,0)))</f>
        <v/>
      </c>
      <c r="N1007">
        <f>IF(B1007="","",IF(B1007="담보",1,0))</f>
        <v/>
      </c>
      <c r="O1007">
        <f>IFERROR(ABS(G1007-'02_대상물건입력'!$B$11)/'02_대상물건입력'!$B$11,"")</f>
        <v/>
      </c>
      <c r="P1007">
        <f>IFERROR(ABS('01_설정'!$B$4-H1007),"")</f>
        <v/>
      </c>
      <c r="Q1007">
        <f>IFERROR(ABS(YEAR(J1007)-YEAR('02_대상물건입력'!$B$14)),"")</f>
        <v/>
      </c>
      <c r="R1007">
        <f>IF(AND(G1007&gt;0,H1007&gt;0,I1007&gt;0,N1007=1,IF('01_설정'!$B$10=1,K1007=1,TRUE()),O1007&lt;='01_설정'!$B$5,P1007&lt;='01_설정'!$B$7,Q1007&lt;='01_설정'!$B$8),"Y","")</f>
        <v/>
      </c>
      <c r="S1007">
        <f>IF(R1007&lt;&gt;"Y","",MAX(0,(1-O1007/'01_설정'!$B$5))*'01_설정'!$B$14+MAX(0,(1-P1007/'01_설정'!$B$7))*'01_설정'!$B$16+MAX(0,(1-Q1007/'01_설정'!$B$8))*'01_설정'!$B$17+L1007*'01_설정'!$B$11+M1007*'01_설정'!$B$12+N1007*50)</f>
        <v/>
      </c>
      <c r="T1007">
        <f>IF(S1007="","",1+COUNTIFS($S$31:$S$1030,"&gt;"&amp;S1007)+COUNTIFS($S$31:S1007,S1007)-1)</f>
        <v/>
      </c>
    </row>
    <row r="1008" hidden="1" ht="16.5" customHeight="1">
      <c r="A1008">
        <f>IF(COUNTA('05_KAPA'!$A979:$AO979)=0,"",981)</f>
        <v/>
      </c>
      <c r="B1008">
        <f>IF($A1008="","",INDEX('05_KAPA'!$B:$B,$A1008))</f>
        <v/>
      </c>
      <c r="C1008">
        <f>IF($A1008="","",INDEX('05_KAPA'!$F:$F,$A1008))</f>
        <v/>
      </c>
      <c r="D1008">
        <f>IF($A1008="","",INDEX('05_KAPA'!$H:$H,$A1008))</f>
        <v/>
      </c>
      <c r="E1008">
        <f>IF($A1008="","",INDEX('05_KAPA'!$K:$K,$A1008))</f>
        <v/>
      </c>
      <c r="F1008">
        <f>IF($A1008="","",INDEX('05_KAPA'!$L:$L,$A1008))</f>
        <v/>
      </c>
      <c r="G1008">
        <f>IF($A1008="","",INDEX('05_KAPA'!$I:$I,$A1008))</f>
        <v/>
      </c>
      <c r="H1008" s="202">
        <f>IF($A1008="","",INDEX('05_KAPA'!$P:$P,$A1008))</f>
        <v/>
      </c>
      <c r="I1008" s="118">
        <f>IF($A1008="","",INDEX('05_KAPA'!$O:$O,$A1008))</f>
        <v/>
      </c>
      <c r="J1008" s="202">
        <f>IF($A1008="","",IFERROR(DATE(LEFT(TEXT(INDEX('05_KAPA'!$T:$T,$A1008),"0"),4),MID(TEXT(INDEX('05_KAPA'!$T:$T,$A1008),"0"),5,2),RIGHT(TEXT(INDEX('05_KAPA'!$T:$T,$A1008),"0"),2)),""))</f>
        <v/>
      </c>
      <c r="K1008">
        <f>IF(C1008="","",IF('02_대상물건입력'!$B$5="",1,IF(ISNUMBER(SEARCH('02_대상물건입력'!$B$5,C1008)),1,0)))</f>
        <v/>
      </c>
      <c r="L1008">
        <f>IF(C1008="","",IF('02_대상물건입력'!$B$6="",1,IF(ISNUMBER(SEARCH('02_대상물건입력'!$B$6,C1008)),1,0)))</f>
        <v/>
      </c>
      <c r="M1008">
        <f>IF(E1008="","",IF('02_대상물건입력'!$B$8="",0,IF(ISNUMBER(SEARCH('02_대상물건입력'!$B$8,E1008)),1,0)))</f>
        <v/>
      </c>
      <c r="N1008">
        <f>IF(B1008="","",IF(B1008="담보",1,0))</f>
        <v/>
      </c>
      <c r="O1008">
        <f>IFERROR(ABS(G1008-'02_대상물건입력'!$B$11)/'02_대상물건입력'!$B$11,"")</f>
        <v/>
      </c>
      <c r="P1008">
        <f>IFERROR(ABS('01_설정'!$B$4-H1008),"")</f>
        <v/>
      </c>
      <c r="Q1008">
        <f>IFERROR(ABS(YEAR(J1008)-YEAR('02_대상물건입력'!$B$14)),"")</f>
        <v/>
      </c>
      <c r="R1008">
        <f>IF(AND(G1008&gt;0,H1008&gt;0,I1008&gt;0,N1008=1,IF('01_설정'!$B$10=1,K1008=1,TRUE()),O1008&lt;='01_설정'!$B$5,P1008&lt;='01_설정'!$B$7,Q1008&lt;='01_설정'!$B$8),"Y","")</f>
        <v/>
      </c>
      <c r="S1008">
        <f>IF(R1008&lt;&gt;"Y","",MAX(0,(1-O1008/'01_설정'!$B$5))*'01_설정'!$B$14+MAX(0,(1-P1008/'01_설정'!$B$7))*'01_설정'!$B$16+MAX(0,(1-Q1008/'01_설정'!$B$8))*'01_설정'!$B$17+L1008*'01_설정'!$B$11+M1008*'01_설정'!$B$12+N1008*50)</f>
        <v/>
      </c>
      <c r="T1008">
        <f>IF(S1008="","",1+COUNTIFS($S$31:$S$1030,"&gt;"&amp;S1008)+COUNTIFS($S$31:S1008,S1008)-1)</f>
        <v/>
      </c>
    </row>
    <row r="1009" hidden="1" ht="16.5" customHeight="1">
      <c r="A1009">
        <f>IF(COUNTA('05_KAPA'!$A980:$AO980)=0,"",982)</f>
        <v/>
      </c>
      <c r="B1009">
        <f>IF($A1009="","",INDEX('05_KAPA'!$B:$B,$A1009))</f>
        <v/>
      </c>
      <c r="C1009">
        <f>IF($A1009="","",INDEX('05_KAPA'!$F:$F,$A1009))</f>
        <v/>
      </c>
      <c r="D1009">
        <f>IF($A1009="","",INDEX('05_KAPA'!$H:$H,$A1009))</f>
        <v/>
      </c>
      <c r="E1009">
        <f>IF($A1009="","",INDEX('05_KAPA'!$K:$K,$A1009))</f>
        <v/>
      </c>
      <c r="F1009">
        <f>IF($A1009="","",INDEX('05_KAPA'!$L:$L,$A1009))</f>
        <v/>
      </c>
      <c r="G1009">
        <f>IF($A1009="","",INDEX('05_KAPA'!$I:$I,$A1009))</f>
        <v/>
      </c>
      <c r="H1009" s="202">
        <f>IF($A1009="","",INDEX('05_KAPA'!$P:$P,$A1009))</f>
        <v/>
      </c>
      <c r="I1009" s="118">
        <f>IF($A1009="","",INDEX('05_KAPA'!$O:$O,$A1009))</f>
        <v/>
      </c>
      <c r="J1009" s="202">
        <f>IF($A1009="","",IFERROR(DATE(LEFT(TEXT(INDEX('05_KAPA'!$T:$T,$A1009),"0"),4),MID(TEXT(INDEX('05_KAPA'!$T:$T,$A1009),"0"),5,2),RIGHT(TEXT(INDEX('05_KAPA'!$T:$T,$A1009),"0"),2)),""))</f>
        <v/>
      </c>
      <c r="K1009">
        <f>IF(C1009="","",IF('02_대상물건입력'!$B$5="",1,IF(ISNUMBER(SEARCH('02_대상물건입력'!$B$5,C1009)),1,0)))</f>
        <v/>
      </c>
      <c r="L1009">
        <f>IF(C1009="","",IF('02_대상물건입력'!$B$6="",1,IF(ISNUMBER(SEARCH('02_대상물건입력'!$B$6,C1009)),1,0)))</f>
        <v/>
      </c>
      <c r="M1009">
        <f>IF(E1009="","",IF('02_대상물건입력'!$B$8="",0,IF(ISNUMBER(SEARCH('02_대상물건입력'!$B$8,E1009)),1,0)))</f>
        <v/>
      </c>
      <c r="N1009">
        <f>IF(B1009="","",IF(B1009="담보",1,0))</f>
        <v/>
      </c>
      <c r="O1009">
        <f>IFERROR(ABS(G1009-'02_대상물건입력'!$B$11)/'02_대상물건입력'!$B$11,"")</f>
        <v/>
      </c>
      <c r="P1009">
        <f>IFERROR(ABS('01_설정'!$B$4-H1009),"")</f>
        <v/>
      </c>
      <c r="Q1009">
        <f>IFERROR(ABS(YEAR(J1009)-YEAR('02_대상물건입력'!$B$14)),"")</f>
        <v/>
      </c>
      <c r="R1009">
        <f>IF(AND(G1009&gt;0,H1009&gt;0,I1009&gt;0,N1009=1,IF('01_설정'!$B$10=1,K1009=1,TRUE()),O1009&lt;='01_설정'!$B$5,P1009&lt;='01_설정'!$B$7,Q1009&lt;='01_설정'!$B$8),"Y","")</f>
        <v/>
      </c>
      <c r="S1009">
        <f>IF(R1009&lt;&gt;"Y","",MAX(0,(1-O1009/'01_설정'!$B$5))*'01_설정'!$B$14+MAX(0,(1-P1009/'01_설정'!$B$7))*'01_설정'!$B$16+MAX(0,(1-Q1009/'01_설정'!$B$8))*'01_설정'!$B$17+L1009*'01_설정'!$B$11+M1009*'01_설정'!$B$12+N1009*50)</f>
        <v/>
      </c>
      <c r="T1009">
        <f>IF(S1009="","",1+COUNTIFS($S$31:$S$1030,"&gt;"&amp;S1009)+COUNTIFS($S$31:S1009,S1009)-1)</f>
        <v/>
      </c>
    </row>
    <row r="1010" hidden="1" ht="16.5" customHeight="1">
      <c r="A1010">
        <f>IF(COUNTA('05_KAPA'!$A981:$AO981)=0,"",983)</f>
        <v/>
      </c>
      <c r="B1010">
        <f>IF($A1010="","",INDEX('05_KAPA'!$B:$B,$A1010))</f>
        <v/>
      </c>
      <c r="C1010">
        <f>IF($A1010="","",INDEX('05_KAPA'!$F:$F,$A1010))</f>
        <v/>
      </c>
      <c r="D1010">
        <f>IF($A1010="","",INDEX('05_KAPA'!$H:$H,$A1010))</f>
        <v/>
      </c>
      <c r="E1010">
        <f>IF($A1010="","",INDEX('05_KAPA'!$K:$K,$A1010))</f>
        <v/>
      </c>
      <c r="F1010">
        <f>IF($A1010="","",INDEX('05_KAPA'!$L:$L,$A1010))</f>
        <v/>
      </c>
      <c r="G1010">
        <f>IF($A1010="","",INDEX('05_KAPA'!$I:$I,$A1010))</f>
        <v/>
      </c>
      <c r="H1010" s="202">
        <f>IF($A1010="","",INDEX('05_KAPA'!$P:$P,$A1010))</f>
        <v/>
      </c>
      <c r="I1010" s="118">
        <f>IF($A1010="","",INDEX('05_KAPA'!$O:$O,$A1010))</f>
        <v/>
      </c>
      <c r="J1010" s="202">
        <f>IF($A1010="","",IFERROR(DATE(LEFT(TEXT(INDEX('05_KAPA'!$T:$T,$A1010),"0"),4),MID(TEXT(INDEX('05_KAPA'!$T:$T,$A1010),"0"),5,2),RIGHT(TEXT(INDEX('05_KAPA'!$T:$T,$A1010),"0"),2)),""))</f>
        <v/>
      </c>
      <c r="K1010">
        <f>IF(C1010="","",IF('02_대상물건입력'!$B$5="",1,IF(ISNUMBER(SEARCH('02_대상물건입력'!$B$5,C1010)),1,0)))</f>
        <v/>
      </c>
      <c r="L1010">
        <f>IF(C1010="","",IF('02_대상물건입력'!$B$6="",1,IF(ISNUMBER(SEARCH('02_대상물건입력'!$B$6,C1010)),1,0)))</f>
        <v/>
      </c>
      <c r="M1010">
        <f>IF(E1010="","",IF('02_대상물건입력'!$B$8="",0,IF(ISNUMBER(SEARCH('02_대상물건입력'!$B$8,E1010)),1,0)))</f>
        <v/>
      </c>
      <c r="N1010">
        <f>IF(B1010="","",IF(B1010="담보",1,0))</f>
        <v/>
      </c>
      <c r="O1010">
        <f>IFERROR(ABS(G1010-'02_대상물건입력'!$B$11)/'02_대상물건입력'!$B$11,"")</f>
        <v/>
      </c>
      <c r="P1010">
        <f>IFERROR(ABS('01_설정'!$B$4-H1010),"")</f>
        <v/>
      </c>
      <c r="Q1010">
        <f>IFERROR(ABS(YEAR(J1010)-YEAR('02_대상물건입력'!$B$14)),"")</f>
        <v/>
      </c>
      <c r="R1010">
        <f>IF(AND(G1010&gt;0,H1010&gt;0,I1010&gt;0,N1010=1,IF('01_설정'!$B$10=1,K1010=1,TRUE()),O1010&lt;='01_설정'!$B$5,P1010&lt;='01_설정'!$B$7,Q1010&lt;='01_설정'!$B$8),"Y","")</f>
        <v/>
      </c>
      <c r="S1010">
        <f>IF(R1010&lt;&gt;"Y","",MAX(0,(1-O1010/'01_설정'!$B$5))*'01_설정'!$B$14+MAX(0,(1-P1010/'01_설정'!$B$7))*'01_설정'!$B$16+MAX(0,(1-Q1010/'01_설정'!$B$8))*'01_설정'!$B$17+L1010*'01_설정'!$B$11+M1010*'01_설정'!$B$12+N1010*50)</f>
        <v/>
      </c>
      <c r="T1010">
        <f>IF(S1010="","",1+COUNTIFS($S$31:$S$1030,"&gt;"&amp;S1010)+COUNTIFS($S$31:S1010,S1010)-1)</f>
        <v/>
      </c>
    </row>
    <row r="1011" hidden="1" ht="16.5" customHeight="1">
      <c r="A1011">
        <f>IF(COUNTA('05_KAPA'!$A982:$AO982)=0,"",984)</f>
        <v/>
      </c>
      <c r="B1011">
        <f>IF($A1011="","",INDEX('05_KAPA'!$B:$B,$A1011))</f>
        <v/>
      </c>
      <c r="C1011">
        <f>IF($A1011="","",INDEX('05_KAPA'!$F:$F,$A1011))</f>
        <v/>
      </c>
      <c r="D1011">
        <f>IF($A1011="","",INDEX('05_KAPA'!$H:$H,$A1011))</f>
        <v/>
      </c>
      <c r="E1011">
        <f>IF($A1011="","",INDEX('05_KAPA'!$K:$K,$A1011))</f>
        <v/>
      </c>
      <c r="F1011">
        <f>IF($A1011="","",INDEX('05_KAPA'!$L:$L,$A1011))</f>
        <v/>
      </c>
      <c r="G1011">
        <f>IF($A1011="","",INDEX('05_KAPA'!$I:$I,$A1011))</f>
        <v/>
      </c>
      <c r="H1011" s="202">
        <f>IF($A1011="","",INDEX('05_KAPA'!$P:$P,$A1011))</f>
        <v/>
      </c>
      <c r="I1011" s="118">
        <f>IF($A1011="","",INDEX('05_KAPA'!$O:$O,$A1011))</f>
        <v/>
      </c>
      <c r="J1011" s="202">
        <f>IF($A1011="","",IFERROR(DATE(LEFT(TEXT(INDEX('05_KAPA'!$T:$T,$A1011),"0"),4),MID(TEXT(INDEX('05_KAPA'!$T:$T,$A1011),"0"),5,2),RIGHT(TEXT(INDEX('05_KAPA'!$T:$T,$A1011),"0"),2)),""))</f>
        <v/>
      </c>
      <c r="K1011">
        <f>IF(C1011="","",IF('02_대상물건입력'!$B$5="",1,IF(ISNUMBER(SEARCH('02_대상물건입력'!$B$5,C1011)),1,0)))</f>
        <v/>
      </c>
      <c r="L1011">
        <f>IF(C1011="","",IF('02_대상물건입력'!$B$6="",1,IF(ISNUMBER(SEARCH('02_대상물건입력'!$B$6,C1011)),1,0)))</f>
        <v/>
      </c>
      <c r="M1011">
        <f>IF(E1011="","",IF('02_대상물건입력'!$B$8="",0,IF(ISNUMBER(SEARCH('02_대상물건입력'!$B$8,E1011)),1,0)))</f>
        <v/>
      </c>
      <c r="N1011">
        <f>IF(B1011="","",IF(B1011="담보",1,0))</f>
        <v/>
      </c>
      <c r="O1011">
        <f>IFERROR(ABS(G1011-'02_대상물건입력'!$B$11)/'02_대상물건입력'!$B$11,"")</f>
        <v/>
      </c>
      <c r="P1011">
        <f>IFERROR(ABS('01_설정'!$B$4-H1011),"")</f>
        <v/>
      </c>
      <c r="Q1011">
        <f>IFERROR(ABS(YEAR(J1011)-YEAR('02_대상물건입력'!$B$14)),"")</f>
        <v/>
      </c>
      <c r="R1011">
        <f>IF(AND(G1011&gt;0,H1011&gt;0,I1011&gt;0,N1011=1,IF('01_설정'!$B$10=1,K1011=1,TRUE()),O1011&lt;='01_설정'!$B$5,P1011&lt;='01_설정'!$B$7,Q1011&lt;='01_설정'!$B$8),"Y","")</f>
        <v/>
      </c>
      <c r="S1011">
        <f>IF(R1011&lt;&gt;"Y","",MAX(0,(1-O1011/'01_설정'!$B$5))*'01_설정'!$B$14+MAX(0,(1-P1011/'01_설정'!$B$7))*'01_설정'!$B$16+MAX(0,(1-Q1011/'01_설정'!$B$8))*'01_설정'!$B$17+L1011*'01_설정'!$B$11+M1011*'01_설정'!$B$12+N1011*50)</f>
        <v/>
      </c>
      <c r="T1011">
        <f>IF(S1011="","",1+COUNTIFS($S$31:$S$1030,"&gt;"&amp;S1011)+COUNTIFS($S$31:S1011,S1011)-1)</f>
        <v/>
      </c>
    </row>
    <row r="1012" hidden="1" ht="16.5" customHeight="1">
      <c r="A1012">
        <f>IF(COUNTA('05_KAPA'!$A983:$AO983)=0,"",985)</f>
        <v/>
      </c>
      <c r="B1012">
        <f>IF($A1012="","",INDEX('05_KAPA'!$B:$B,$A1012))</f>
        <v/>
      </c>
      <c r="C1012">
        <f>IF($A1012="","",INDEX('05_KAPA'!$F:$F,$A1012))</f>
        <v/>
      </c>
      <c r="D1012">
        <f>IF($A1012="","",INDEX('05_KAPA'!$H:$H,$A1012))</f>
        <v/>
      </c>
      <c r="E1012">
        <f>IF($A1012="","",INDEX('05_KAPA'!$K:$K,$A1012))</f>
        <v/>
      </c>
      <c r="F1012">
        <f>IF($A1012="","",INDEX('05_KAPA'!$L:$L,$A1012))</f>
        <v/>
      </c>
      <c r="G1012">
        <f>IF($A1012="","",INDEX('05_KAPA'!$I:$I,$A1012))</f>
        <v/>
      </c>
      <c r="H1012" s="202">
        <f>IF($A1012="","",INDEX('05_KAPA'!$P:$P,$A1012))</f>
        <v/>
      </c>
      <c r="I1012" s="118">
        <f>IF($A1012="","",INDEX('05_KAPA'!$O:$O,$A1012))</f>
        <v/>
      </c>
      <c r="J1012" s="202">
        <f>IF($A1012="","",IFERROR(DATE(LEFT(TEXT(INDEX('05_KAPA'!$T:$T,$A1012),"0"),4),MID(TEXT(INDEX('05_KAPA'!$T:$T,$A1012),"0"),5,2),RIGHT(TEXT(INDEX('05_KAPA'!$T:$T,$A1012),"0"),2)),""))</f>
        <v/>
      </c>
      <c r="K1012">
        <f>IF(C1012="","",IF('02_대상물건입력'!$B$5="",1,IF(ISNUMBER(SEARCH('02_대상물건입력'!$B$5,C1012)),1,0)))</f>
        <v/>
      </c>
      <c r="L1012">
        <f>IF(C1012="","",IF('02_대상물건입력'!$B$6="",1,IF(ISNUMBER(SEARCH('02_대상물건입력'!$B$6,C1012)),1,0)))</f>
        <v/>
      </c>
      <c r="M1012">
        <f>IF(E1012="","",IF('02_대상물건입력'!$B$8="",0,IF(ISNUMBER(SEARCH('02_대상물건입력'!$B$8,E1012)),1,0)))</f>
        <v/>
      </c>
      <c r="N1012">
        <f>IF(B1012="","",IF(B1012="담보",1,0))</f>
        <v/>
      </c>
      <c r="O1012">
        <f>IFERROR(ABS(G1012-'02_대상물건입력'!$B$11)/'02_대상물건입력'!$B$11,"")</f>
        <v/>
      </c>
      <c r="P1012">
        <f>IFERROR(ABS('01_설정'!$B$4-H1012),"")</f>
        <v/>
      </c>
      <c r="Q1012">
        <f>IFERROR(ABS(YEAR(J1012)-YEAR('02_대상물건입력'!$B$14)),"")</f>
        <v/>
      </c>
      <c r="R1012">
        <f>IF(AND(G1012&gt;0,H1012&gt;0,I1012&gt;0,N1012=1,IF('01_설정'!$B$10=1,K1012=1,TRUE()),O1012&lt;='01_설정'!$B$5,P1012&lt;='01_설정'!$B$7,Q1012&lt;='01_설정'!$B$8),"Y","")</f>
        <v/>
      </c>
      <c r="S1012">
        <f>IF(R1012&lt;&gt;"Y","",MAX(0,(1-O1012/'01_설정'!$B$5))*'01_설정'!$B$14+MAX(0,(1-P1012/'01_설정'!$B$7))*'01_설정'!$B$16+MAX(0,(1-Q1012/'01_설정'!$B$8))*'01_설정'!$B$17+L1012*'01_설정'!$B$11+M1012*'01_설정'!$B$12+N1012*50)</f>
        <v/>
      </c>
      <c r="T1012">
        <f>IF(S1012="","",1+COUNTIFS($S$31:$S$1030,"&gt;"&amp;S1012)+COUNTIFS($S$31:S1012,S1012)-1)</f>
        <v/>
      </c>
    </row>
    <row r="1013" hidden="1" ht="16.5" customHeight="1">
      <c r="A1013">
        <f>IF(COUNTA('05_KAPA'!$A984:$AO984)=0,"",986)</f>
        <v/>
      </c>
      <c r="B1013">
        <f>IF($A1013="","",INDEX('05_KAPA'!$B:$B,$A1013))</f>
        <v/>
      </c>
      <c r="C1013">
        <f>IF($A1013="","",INDEX('05_KAPA'!$F:$F,$A1013))</f>
        <v/>
      </c>
      <c r="D1013">
        <f>IF($A1013="","",INDEX('05_KAPA'!$H:$H,$A1013))</f>
        <v/>
      </c>
      <c r="E1013">
        <f>IF($A1013="","",INDEX('05_KAPA'!$K:$K,$A1013))</f>
        <v/>
      </c>
      <c r="F1013">
        <f>IF($A1013="","",INDEX('05_KAPA'!$L:$L,$A1013))</f>
        <v/>
      </c>
      <c r="G1013">
        <f>IF($A1013="","",INDEX('05_KAPA'!$I:$I,$A1013))</f>
        <v/>
      </c>
      <c r="H1013" s="202">
        <f>IF($A1013="","",INDEX('05_KAPA'!$P:$P,$A1013))</f>
        <v/>
      </c>
      <c r="I1013" s="118">
        <f>IF($A1013="","",INDEX('05_KAPA'!$O:$O,$A1013))</f>
        <v/>
      </c>
      <c r="J1013" s="202">
        <f>IF($A1013="","",IFERROR(DATE(LEFT(TEXT(INDEX('05_KAPA'!$T:$T,$A1013),"0"),4),MID(TEXT(INDEX('05_KAPA'!$T:$T,$A1013),"0"),5,2),RIGHT(TEXT(INDEX('05_KAPA'!$T:$T,$A1013),"0"),2)),""))</f>
        <v/>
      </c>
      <c r="K1013">
        <f>IF(C1013="","",IF('02_대상물건입력'!$B$5="",1,IF(ISNUMBER(SEARCH('02_대상물건입력'!$B$5,C1013)),1,0)))</f>
        <v/>
      </c>
      <c r="L1013">
        <f>IF(C1013="","",IF('02_대상물건입력'!$B$6="",1,IF(ISNUMBER(SEARCH('02_대상물건입력'!$B$6,C1013)),1,0)))</f>
        <v/>
      </c>
      <c r="M1013">
        <f>IF(E1013="","",IF('02_대상물건입력'!$B$8="",0,IF(ISNUMBER(SEARCH('02_대상물건입력'!$B$8,E1013)),1,0)))</f>
        <v/>
      </c>
      <c r="N1013">
        <f>IF(B1013="","",IF(B1013="담보",1,0))</f>
        <v/>
      </c>
      <c r="O1013">
        <f>IFERROR(ABS(G1013-'02_대상물건입력'!$B$11)/'02_대상물건입력'!$B$11,"")</f>
        <v/>
      </c>
      <c r="P1013">
        <f>IFERROR(ABS('01_설정'!$B$4-H1013),"")</f>
        <v/>
      </c>
      <c r="Q1013">
        <f>IFERROR(ABS(YEAR(J1013)-YEAR('02_대상물건입력'!$B$14)),"")</f>
        <v/>
      </c>
      <c r="R1013">
        <f>IF(AND(G1013&gt;0,H1013&gt;0,I1013&gt;0,N1013=1,IF('01_설정'!$B$10=1,K1013=1,TRUE()),O1013&lt;='01_설정'!$B$5,P1013&lt;='01_설정'!$B$7,Q1013&lt;='01_설정'!$B$8),"Y","")</f>
        <v/>
      </c>
      <c r="S1013">
        <f>IF(R1013&lt;&gt;"Y","",MAX(0,(1-O1013/'01_설정'!$B$5))*'01_설정'!$B$14+MAX(0,(1-P1013/'01_설정'!$B$7))*'01_설정'!$B$16+MAX(0,(1-Q1013/'01_설정'!$B$8))*'01_설정'!$B$17+L1013*'01_설정'!$B$11+M1013*'01_설정'!$B$12+N1013*50)</f>
        <v/>
      </c>
      <c r="T1013">
        <f>IF(S1013="","",1+COUNTIFS($S$31:$S$1030,"&gt;"&amp;S1013)+COUNTIFS($S$31:S1013,S1013)-1)</f>
        <v/>
      </c>
    </row>
    <row r="1014" hidden="1" ht="16.5" customHeight="1">
      <c r="A1014">
        <f>IF(COUNTA('05_KAPA'!$A985:$AO985)=0,"",987)</f>
        <v/>
      </c>
      <c r="B1014">
        <f>IF($A1014="","",INDEX('05_KAPA'!$B:$B,$A1014))</f>
        <v/>
      </c>
      <c r="C1014">
        <f>IF($A1014="","",INDEX('05_KAPA'!$F:$F,$A1014))</f>
        <v/>
      </c>
      <c r="D1014">
        <f>IF($A1014="","",INDEX('05_KAPA'!$H:$H,$A1014))</f>
        <v/>
      </c>
      <c r="E1014">
        <f>IF($A1014="","",INDEX('05_KAPA'!$K:$K,$A1014))</f>
        <v/>
      </c>
      <c r="F1014">
        <f>IF($A1014="","",INDEX('05_KAPA'!$L:$L,$A1014))</f>
        <v/>
      </c>
      <c r="G1014">
        <f>IF($A1014="","",INDEX('05_KAPA'!$I:$I,$A1014))</f>
        <v/>
      </c>
      <c r="H1014" s="202">
        <f>IF($A1014="","",INDEX('05_KAPA'!$P:$P,$A1014))</f>
        <v/>
      </c>
      <c r="I1014" s="118">
        <f>IF($A1014="","",INDEX('05_KAPA'!$O:$O,$A1014))</f>
        <v/>
      </c>
      <c r="J1014" s="202">
        <f>IF($A1014="","",IFERROR(DATE(LEFT(TEXT(INDEX('05_KAPA'!$T:$T,$A1014),"0"),4),MID(TEXT(INDEX('05_KAPA'!$T:$T,$A1014),"0"),5,2),RIGHT(TEXT(INDEX('05_KAPA'!$T:$T,$A1014),"0"),2)),""))</f>
        <v/>
      </c>
      <c r="K1014">
        <f>IF(C1014="","",IF('02_대상물건입력'!$B$5="",1,IF(ISNUMBER(SEARCH('02_대상물건입력'!$B$5,C1014)),1,0)))</f>
        <v/>
      </c>
      <c r="L1014">
        <f>IF(C1014="","",IF('02_대상물건입력'!$B$6="",1,IF(ISNUMBER(SEARCH('02_대상물건입력'!$B$6,C1014)),1,0)))</f>
        <v/>
      </c>
      <c r="M1014">
        <f>IF(E1014="","",IF('02_대상물건입력'!$B$8="",0,IF(ISNUMBER(SEARCH('02_대상물건입력'!$B$8,E1014)),1,0)))</f>
        <v/>
      </c>
      <c r="N1014">
        <f>IF(B1014="","",IF(B1014="담보",1,0))</f>
        <v/>
      </c>
      <c r="O1014">
        <f>IFERROR(ABS(G1014-'02_대상물건입력'!$B$11)/'02_대상물건입력'!$B$11,"")</f>
        <v/>
      </c>
      <c r="P1014">
        <f>IFERROR(ABS('01_설정'!$B$4-H1014),"")</f>
        <v/>
      </c>
      <c r="Q1014">
        <f>IFERROR(ABS(YEAR(J1014)-YEAR('02_대상물건입력'!$B$14)),"")</f>
        <v/>
      </c>
      <c r="R1014">
        <f>IF(AND(G1014&gt;0,H1014&gt;0,I1014&gt;0,N1014=1,IF('01_설정'!$B$10=1,K1014=1,TRUE()),O1014&lt;='01_설정'!$B$5,P1014&lt;='01_설정'!$B$7,Q1014&lt;='01_설정'!$B$8),"Y","")</f>
        <v/>
      </c>
      <c r="S1014">
        <f>IF(R1014&lt;&gt;"Y","",MAX(0,(1-O1014/'01_설정'!$B$5))*'01_설정'!$B$14+MAX(0,(1-P1014/'01_설정'!$B$7))*'01_설정'!$B$16+MAX(0,(1-Q1014/'01_설정'!$B$8))*'01_설정'!$B$17+L1014*'01_설정'!$B$11+M1014*'01_설정'!$B$12+N1014*50)</f>
        <v/>
      </c>
      <c r="T1014">
        <f>IF(S1014="","",1+COUNTIFS($S$31:$S$1030,"&gt;"&amp;S1014)+COUNTIFS($S$31:S1014,S1014)-1)</f>
        <v/>
      </c>
    </row>
    <row r="1015" hidden="1" ht="16.5" customHeight="1">
      <c r="A1015">
        <f>IF(COUNTA('05_KAPA'!$A986:$AO986)=0,"",988)</f>
        <v/>
      </c>
      <c r="B1015">
        <f>IF($A1015="","",INDEX('05_KAPA'!$B:$B,$A1015))</f>
        <v/>
      </c>
      <c r="C1015">
        <f>IF($A1015="","",INDEX('05_KAPA'!$F:$F,$A1015))</f>
        <v/>
      </c>
      <c r="D1015">
        <f>IF($A1015="","",INDEX('05_KAPA'!$H:$H,$A1015))</f>
        <v/>
      </c>
      <c r="E1015">
        <f>IF($A1015="","",INDEX('05_KAPA'!$K:$K,$A1015))</f>
        <v/>
      </c>
      <c r="F1015">
        <f>IF($A1015="","",INDEX('05_KAPA'!$L:$L,$A1015))</f>
        <v/>
      </c>
      <c r="G1015">
        <f>IF($A1015="","",INDEX('05_KAPA'!$I:$I,$A1015))</f>
        <v/>
      </c>
      <c r="H1015" s="202">
        <f>IF($A1015="","",INDEX('05_KAPA'!$P:$P,$A1015))</f>
        <v/>
      </c>
      <c r="I1015" s="118">
        <f>IF($A1015="","",INDEX('05_KAPA'!$O:$O,$A1015))</f>
        <v/>
      </c>
      <c r="J1015" s="202">
        <f>IF($A1015="","",IFERROR(DATE(LEFT(TEXT(INDEX('05_KAPA'!$T:$T,$A1015),"0"),4),MID(TEXT(INDEX('05_KAPA'!$T:$T,$A1015),"0"),5,2),RIGHT(TEXT(INDEX('05_KAPA'!$T:$T,$A1015),"0"),2)),""))</f>
        <v/>
      </c>
      <c r="K1015">
        <f>IF(C1015="","",IF('02_대상물건입력'!$B$5="",1,IF(ISNUMBER(SEARCH('02_대상물건입력'!$B$5,C1015)),1,0)))</f>
        <v/>
      </c>
      <c r="L1015">
        <f>IF(C1015="","",IF('02_대상물건입력'!$B$6="",1,IF(ISNUMBER(SEARCH('02_대상물건입력'!$B$6,C1015)),1,0)))</f>
        <v/>
      </c>
      <c r="M1015">
        <f>IF(E1015="","",IF('02_대상물건입력'!$B$8="",0,IF(ISNUMBER(SEARCH('02_대상물건입력'!$B$8,E1015)),1,0)))</f>
        <v/>
      </c>
      <c r="N1015">
        <f>IF(B1015="","",IF(B1015="담보",1,0))</f>
        <v/>
      </c>
      <c r="O1015">
        <f>IFERROR(ABS(G1015-'02_대상물건입력'!$B$11)/'02_대상물건입력'!$B$11,"")</f>
        <v/>
      </c>
      <c r="P1015">
        <f>IFERROR(ABS('01_설정'!$B$4-H1015),"")</f>
        <v/>
      </c>
      <c r="Q1015">
        <f>IFERROR(ABS(YEAR(J1015)-YEAR('02_대상물건입력'!$B$14)),"")</f>
        <v/>
      </c>
      <c r="R1015">
        <f>IF(AND(G1015&gt;0,H1015&gt;0,I1015&gt;0,N1015=1,IF('01_설정'!$B$10=1,K1015=1,TRUE()),O1015&lt;='01_설정'!$B$5,P1015&lt;='01_설정'!$B$7,Q1015&lt;='01_설정'!$B$8),"Y","")</f>
        <v/>
      </c>
      <c r="S1015">
        <f>IF(R1015&lt;&gt;"Y","",MAX(0,(1-O1015/'01_설정'!$B$5))*'01_설정'!$B$14+MAX(0,(1-P1015/'01_설정'!$B$7))*'01_설정'!$B$16+MAX(0,(1-Q1015/'01_설정'!$B$8))*'01_설정'!$B$17+L1015*'01_설정'!$B$11+M1015*'01_설정'!$B$12+N1015*50)</f>
        <v/>
      </c>
      <c r="T1015">
        <f>IF(S1015="","",1+COUNTIFS($S$31:$S$1030,"&gt;"&amp;S1015)+COUNTIFS($S$31:S1015,S1015)-1)</f>
        <v/>
      </c>
    </row>
    <row r="1016" hidden="1" ht="16.5" customHeight="1">
      <c r="A1016">
        <f>IF(COUNTA('05_KAPA'!$A987:$AO987)=0,"",989)</f>
        <v/>
      </c>
      <c r="B1016">
        <f>IF($A1016="","",INDEX('05_KAPA'!$B:$B,$A1016))</f>
        <v/>
      </c>
      <c r="C1016">
        <f>IF($A1016="","",INDEX('05_KAPA'!$F:$F,$A1016))</f>
        <v/>
      </c>
      <c r="D1016">
        <f>IF($A1016="","",INDEX('05_KAPA'!$H:$H,$A1016))</f>
        <v/>
      </c>
      <c r="E1016">
        <f>IF($A1016="","",INDEX('05_KAPA'!$K:$K,$A1016))</f>
        <v/>
      </c>
      <c r="F1016">
        <f>IF($A1016="","",INDEX('05_KAPA'!$L:$L,$A1016))</f>
        <v/>
      </c>
      <c r="G1016">
        <f>IF($A1016="","",INDEX('05_KAPA'!$I:$I,$A1016))</f>
        <v/>
      </c>
      <c r="H1016" s="202">
        <f>IF($A1016="","",INDEX('05_KAPA'!$P:$P,$A1016))</f>
        <v/>
      </c>
      <c r="I1016" s="118">
        <f>IF($A1016="","",INDEX('05_KAPA'!$O:$O,$A1016))</f>
        <v/>
      </c>
      <c r="J1016" s="202">
        <f>IF($A1016="","",IFERROR(DATE(LEFT(TEXT(INDEX('05_KAPA'!$T:$T,$A1016),"0"),4),MID(TEXT(INDEX('05_KAPA'!$T:$T,$A1016),"0"),5,2),RIGHT(TEXT(INDEX('05_KAPA'!$T:$T,$A1016),"0"),2)),""))</f>
        <v/>
      </c>
      <c r="K1016">
        <f>IF(C1016="","",IF('02_대상물건입력'!$B$5="",1,IF(ISNUMBER(SEARCH('02_대상물건입력'!$B$5,C1016)),1,0)))</f>
        <v/>
      </c>
      <c r="L1016">
        <f>IF(C1016="","",IF('02_대상물건입력'!$B$6="",1,IF(ISNUMBER(SEARCH('02_대상물건입력'!$B$6,C1016)),1,0)))</f>
        <v/>
      </c>
      <c r="M1016">
        <f>IF(E1016="","",IF('02_대상물건입력'!$B$8="",0,IF(ISNUMBER(SEARCH('02_대상물건입력'!$B$8,E1016)),1,0)))</f>
        <v/>
      </c>
      <c r="N1016">
        <f>IF(B1016="","",IF(B1016="담보",1,0))</f>
        <v/>
      </c>
      <c r="O1016">
        <f>IFERROR(ABS(G1016-'02_대상물건입력'!$B$11)/'02_대상물건입력'!$B$11,"")</f>
        <v/>
      </c>
      <c r="P1016">
        <f>IFERROR(ABS('01_설정'!$B$4-H1016),"")</f>
        <v/>
      </c>
      <c r="Q1016">
        <f>IFERROR(ABS(YEAR(J1016)-YEAR('02_대상물건입력'!$B$14)),"")</f>
        <v/>
      </c>
      <c r="R1016">
        <f>IF(AND(G1016&gt;0,H1016&gt;0,I1016&gt;0,N1016=1,IF('01_설정'!$B$10=1,K1016=1,TRUE()),O1016&lt;='01_설정'!$B$5,P1016&lt;='01_설정'!$B$7,Q1016&lt;='01_설정'!$B$8),"Y","")</f>
        <v/>
      </c>
      <c r="S1016">
        <f>IF(R1016&lt;&gt;"Y","",MAX(0,(1-O1016/'01_설정'!$B$5))*'01_설정'!$B$14+MAX(0,(1-P1016/'01_설정'!$B$7))*'01_설정'!$B$16+MAX(0,(1-Q1016/'01_설정'!$B$8))*'01_설정'!$B$17+L1016*'01_설정'!$B$11+M1016*'01_설정'!$B$12+N1016*50)</f>
        <v/>
      </c>
      <c r="T1016">
        <f>IF(S1016="","",1+COUNTIFS($S$31:$S$1030,"&gt;"&amp;S1016)+COUNTIFS($S$31:S1016,S1016)-1)</f>
        <v/>
      </c>
    </row>
    <row r="1017" hidden="1" ht="16.5" customHeight="1">
      <c r="A1017">
        <f>IF(COUNTA('05_KAPA'!$A988:$AO988)=0,"",990)</f>
        <v/>
      </c>
      <c r="B1017">
        <f>IF($A1017="","",INDEX('05_KAPA'!$B:$B,$A1017))</f>
        <v/>
      </c>
      <c r="C1017">
        <f>IF($A1017="","",INDEX('05_KAPA'!$F:$F,$A1017))</f>
        <v/>
      </c>
      <c r="D1017">
        <f>IF($A1017="","",INDEX('05_KAPA'!$H:$H,$A1017))</f>
        <v/>
      </c>
      <c r="E1017">
        <f>IF($A1017="","",INDEX('05_KAPA'!$K:$K,$A1017))</f>
        <v/>
      </c>
      <c r="F1017">
        <f>IF($A1017="","",INDEX('05_KAPA'!$L:$L,$A1017))</f>
        <v/>
      </c>
      <c r="G1017">
        <f>IF($A1017="","",INDEX('05_KAPA'!$I:$I,$A1017))</f>
        <v/>
      </c>
      <c r="H1017" s="202">
        <f>IF($A1017="","",INDEX('05_KAPA'!$P:$P,$A1017))</f>
        <v/>
      </c>
      <c r="I1017" s="118">
        <f>IF($A1017="","",INDEX('05_KAPA'!$O:$O,$A1017))</f>
        <v/>
      </c>
      <c r="J1017" s="202">
        <f>IF($A1017="","",IFERROR(DATE(LEFT(TEXT(INDEX('05_KAPA'!$T:$T,$A1017),"0"),4),MID(TEXT(INDEX('05_KAPA'!$T:$T,$A1017),"0"),5,2),RIGHT(TEXT(INDEX('05_KAPA'!$T:$T,$A1017),"0"),2)),""))</f>
        <v/>
      </c>
      <c r="K1017">
        <f>IF(C1017="","",IF('02_대상물건입력'!$B$5="",1,IF(ISNUMBER(SEARCH('02_대상물건입력'!$B$5,C1017)),1,0)))</f>
        <v/>
      </c>
      <c r="L1017">
        <f>IF(C1017="","",IF('02_대상물건입력'!$B$6="",1,IF(ISNUMBER(SEARCH('02_대상물건입력'!$B$6,C1017)),1,0)))</f>
        <v/>
      </c>
      <c r="M1017">
        <f>IF(E1017="","",IF('02_대상물건입력'!$B$8="",0,IF(ISNUMBER(SEARCH('02_대상물건입력'!$B$8,E1017)),1,0)))</f>
        <v/>
      </c>
      <c r="N1017">
        <f>IF(B1017="","",IF(B1017="담보",1,0))</f>
        <v/>
      </c>
      <c r="O1017">
        <f>IFERROR(ABS(G1017-'02_대상물건입력'!$B$11)/'02_대상물건입력'!$B$11,"")</f>
        <v/>
      </c>
      <c r="P1017">
        <f>IFERROR(ABS('01_설정'!$B$4-H1017),"")</f>
        <v/>
      </c>
      <c r="Q1017">
        <f>IFERROR(ABS(YEAR(J1017)-YEAR('02_대상물건입력'!$B$14)),"")</f>
        <v/>
      </c>
      <c r="R1017">
        <f>IF(AND(G1017&gt;0,H1017&gt;0,I1017&gt;0,N1017=1,IF('01_설정'!$B$10=1,K1017=1,TRUE()),O1017&lt;='01_설정'!$B$5,P1017&lt;='01_설정'!$B$7,Q1017&lt;='01_설정'!$B$8),"Y","")</f>
        <v/>
      </c>
      <c r="S1017">
        <f>IF(R1017&lt;&gt;"Y","",MAX(0,(1-O1017/'01_설정'!$B$5))*'01_설정'!$B$14+MAX(0,(1-P1017/'01_설정'!$B$7))*'01_설정'!$B$16+MAX(0,(1-Q1017/'01_설정'!$B$8))*'01_설정'!$B$17+L1017*'01_설정'!$B$11+M1017*'01_설정'!$B$12+N1017*50)</f>
        <v/>
      </c>
      <c r="T1017">
        <f>IF(S1017="","",1+COUNTIFS($S$31:$S$1030,"&gt;"&amp;S1017)+COUNTIFS($S$31:S1017,S1017)-1)</f>
        <v/>
      </c>
    </row>
    <row r="1018" hidden="1" ht="16.5" customHeight="1">
      <c r="A1018">
        <f>IF(COUNTA('05_KAPA'!$A989:$AO989)=0,"",991)</f>
        <v/>
      </c>
      <c r="B1018">
        <f>IF($A1018="","",INDEX('05_KAPA'!$B:$B,$A1018))</f>
        <v/>
      </c>
      <c r="C1018">
        <f>IF($A1018="","",INDEX('05_KAPA'!$F:$F,$A1018))</f>
        <v/>
      </c>
      <c r="D1018">
        <f>IF($A1018="","",INDEX('05_KAPA'!$H:$H,$A1018))</f>
        <v/>
      </c>
      <c r="E1018">
        <f>IF($A1018="","",INDEX('05_KAPA'!$K:$K,$A1018))</f>
        <v/>
      </c>
      <c r="F1018">
        <f>IF($A1018="","",INDEX('05_KAPA'!$L:$L,$A1018))</f>
        <v/>
      </c>
      <c r="G1018">
        <f>IF($A1018="","",INDEX('05_KAPA'!$I:$I,$A1018))</f>
        <v/>
      </c>
      <c r="H1018" s="202">
        <f>IF($A1018="","",INDEX('05_KAPA'!$P:$P,$A1018))</f>
        <v/>
      </c>
      <c r="I1018" s="118">
        <f>IF($A1018="","",INDEX('05_KAPA'!$O:$O,$A1018))</f>
        <v/>
      </c>
      <c r="J1018" s="202">
        <f>IF($A1018="","",IFERROR(DATE(LEFT(TEXT(INDEX('05_KAPA'!$T:$T,$A1018),"0"),4),MID(TEXT(INDEX('05_KAPA'!$T:$T,$A1018),"0"),5,2),RIGHT(TEXT(INDEX('05_KAPA'!$T:$T,$A1018),"0"),2)),""))</f>
        <v/>
      </c>
      <c r="K1018">
        <f>IF(C1018="","",IF('02_대상물건입력'!$B$5="",1,IF(ISNUMBER(SEARCH('02_대상물건입력'!$B$5,C1018)),1,0)))</f>
        <v/>
      </c>
      <c r="L1018">
        <f>IF(C1018="","",IF('02_대상물건입력'!$B$6="",1,IF(ISNUMBER(SEARCH('02_대상물건입력'!$B$6,C1018)),1,0)))</f>
        <v/>
      </c>
      <c r="M1018">
        <f>IF(E1018="","",IF('02_대상물건입력'!$B$8="",0,IF(ISNUMBER(SEARCH('02_대상물건입력'!$B$8,E1018)),1,0)))</f>
        <v/>
      </c>
      <c r="N1018">
        <f>IF(B1018="","",IF(B1018="담보",1,0))</f>
        <v/>
      </c>
      <c r="O1018">
        <f>IFERROR(ABS(G1018-'02_대상물건입력'!$B$11)/'02_대상물건입력'!$B$11,"")</f>
        <v/>
      </c>
      <c r="P1018">
        <f>IFERROR(ABS('01_설정'!$B$4-H1018),"")</f>
        <v/>
      </c>
      <c r="Q1018">
        <f>IFERROR(ABS(YEAR(J1018)-YEAR('02_대상물건입력'!$B$14)),"")</f>
        <v/>
      </c>
      <c r="R1018">
        <f>IF(AND(G1018&gt;0,H1018&gt;0,I1018&gt;0,N1018=1,IF('01_설정'!$B$10=1,K1018=1,TRUE()),O1018&lt;='01_설정'!$B$5,P1018&lt;='01_설정'!$B$7,Q1018&lt;='01_설정'!$B$8),"Y","")</f>
        <v/>
      </c>
      <c r="S1018">
        <f>IF(R1018&lt;&gt;"Y","",MAX(0,(1-O1018/'01_설정'!$B$5))*'01_설정'!$B$14+MAX(0,(1-P1018/'01_설정'!$B$7))*'01_설정'!$B$16+MAX(0,(1-Q1018/'01_설정'!$B$8))*'01_설정'!$B$17+L1018*'01_설정'!$B$11+M1018*'01_설정'!$B$12+N1018*50)</f>
        <v/>
      </c>
      <c r="T1018">
        <f>IF(S1018="","",1+COUNTIFS($S$31:$S$1030,"&gt;"&amp;S1018)+COUNTIFS($S$31:S1018,S1018)-1)</f>
        <v/>
      </c>
    </row>
    <row r="1019" hidden="1" ht="16.5" customHeight="1">
      <c r="A1019">
        <f>IF(COUNTA('05_KAPA'!$A990:$AO990)=0,"",992)</f>
        <v/>
      </c>
      <c r="B1019">
        <f>IF($A1019="","",INDEX('05_KAPA'!$B:$B,$A1019))</f>
        <v/>
      </c>
      <c r="C1019">
        <f>IF($A1019="","",INDEX('05_KAPA'!$F:$F,$A1019))</f>
        <v/>
      </c>
      <c r="D1019">
        <f>IF($A1019="","",INDEX('05_KAPA'!$H:$H,$A1019))</f>
        <v/>
      </c>
      <c r="E1019">
        <f>IF($A1019="","",INDEX('05_KAPA'!$K:$K,$A1019))</f>
        <v/>
      </c>
      <c r="F1019">
        <f>IF($A1019="","",INDEX('05_KAPA'!$L:$L,$A1019))</f>
        <v/>
      </c>
      <c r="G1019">
        <f>IF($A1019="","",INDEX('05_KAPA'!$I:$I,$A1019))</f>
        <v/>
      </c>
      <c r="H1019" s="202">
        <f>IF($A1019="","",INDEX('05_KAPA'!$P:$P,$A1019))</f>
        <v/>
      </c>
      <c r="I1019" s="118">
        <f>IF($A1019="","",INDEX('05_KAPA'!$O:$O,$A1019))</f>
        <v/>
      </c>
      <c r="J1019" s="202">
        <f>IF($A1019="","",IFERROR(DATE(LEFT(TEXT(INDEX('05_KAPA'!$T:$T,$A1019),"0"),4),MID(TEXT(INDEX('05_KAPA'!$T:$T,$A1019),"0"),5,2),RIGHT(TEXT(INDEX('05_KAPA'!$T:$T,$A1019),"0"),2)),""))</f>
        <v/>
      </c>
      <c r="K1019">
        <f>IF(C1019="","",IF('02_대상물건입력'!$B$5="",1,IF(ISNUMBER(SEARCH('02_대상물건입력'!$B$5,C1019)),1,0)))</f>
        <v/>
      </c>
      <c r="L1019">
        <f>IF(C1019="","",IF('02_대상물건입력'!$B$6="",1,IF(ISNUMBER(SEARCH('02_대상물건입력'!$B$6,C1019)),1,0)))</f>
        <v/>
      </c>
      <c r="M1019">
        <f>IF(E1019="","",IF('02_대상물건입력'!$B$8="",0,IF(ISNUMBER(SEARCH('02_대상물건입력'!$B$8,E1019)),1,0)))</f>
        <v/>
      </c>
      <c r="N1019">
        <f>IF(B1019="","",IF(B1019="담보",1,0))</f>
        <v/>
      </c>
      <c r="O1019">
        <f>IFERROR(ABS(G1019-'02_대상물건입력'!$B$11)/'02_대상물건입력'!$B$11,"")</f>
        <v/>
      </c>
      <c r="P1019">
        <f>IFERROR(ABS('01_설정'!$B$4-H1019),"")</f>
        <v/>
      </c>
      <c r="Q1019">
        <f>IFERROR(ABS(YEAR(J1019)-YEAR('02_대상물건입력'!$B$14)),"")</f>
        <v/>
      </c>
      <c r="R1019">
        <f>IF(AND(G1019&gt;0,H1019&gt;0,I1019&gt;0,N1019=1,IF('01_설정'!$B$10=1,K1019=1,TRUE()),O1019&lt;='01_설정'!$B$5,P1019&lt;='01_설정'!$B$7,Q1019&lt;='01_설정'!$B$8),"Y","")</f>
        <v/>
      </c>
      <c r="S1019">
        <f>IF(R1019&lt;&gt;"Y","",MAX(0,(1-O1019/'01_설정'!$B$5))*'01_설정'!$B$14+MAX(0,(1-P1019/'01_설정'!$B$7))*'01_설정'!$B$16+MAX(0,(1-Q1019/'01_설정'!$B$8))*'01_설정'!$B$17+L1019*'01_설정'!$B$11+M1019*'01_설정'!$B$12+N1019*50)</f>
        <v/>
      </c>
      <c r="T1019">
        <f>IF(S1019="","",1+COUNTIFS($S$31:$S$1030,"&gt;"&amp;S1019)+COUNTIFS($S$31:S1019,S1019)-1)</f>
        <v/>
      </c>
    </row>
    <row r="1020" hidden="1" ht="16.5" customHeight="1">
      <c r="A1020">
        <f>IF(COUNTA('05_KAPA'!$A991:$AO991)=0,"",993)</f>
        <v/>
      </c>
      <c r="B1020">
        <f>IF($A1020="","",INDEX('05_KAPA'!$B:$B,$A1020))</f>
        <v/>
      </c>
      <c r="C1020">
        <f>IF($A1020="","",INDEX('05_KAPA'!$F:$F,$A1020))</f>
        <v/>
      </c>
      <c r="D1020">
        <f>IF($A1020="","",INDEX('05_KAPA'!$H:$H,$A1020))</f>
        <v/>
      </c>
      <c r="E1020">
        <f>IF($A1020="","",INDEX('05_KAPA'!$K:$K,$A1020))</f>
        <v/>
      </c>
      <c r="F1020">
        <f>IF($A1020="","",INDEX('05_KAPA'!$L:$L,$A1020))</f>
        <v/>
      </c>
      <c r="G1020">
        <f>IF($A1020="","",INDEX('05_KAPA'!$I:$I,$A1020))</f>
        <v/>
      </c>
      <c r="H1020" s="202">
        <f>IF($A1020="","",INDEX('05_KAPA'!$P:$P,$A1020))</f>
        <v/>
      </c>
      <c r="I1020" s="118">
        <f>IF($A1020="","",INDEX('05_KAPA'!$O:$O,$A1020))</f>
        <v/>
      </c>
      <c r="J1020" s="202">
        <f>IF($A1020="","",IFERROR(DATE(LEFT(TEXT(INDEX('05_KAPA'!$T:$T,$A1020),"0"),4),MID(TEXT(INDEX('05_KAPA'!$T:$T,$A1020),"0"),5,2),RIGHT(TEXT(INDEX('05_KAPA'!$T:$T,$A1020),"0"),2)),""))</f>
        <v/>
      </c>
      <c r="K1020">
        <f>IF(C1020="","",IF('02_대상물건입력'!$B$5="",1,IF(ISNUMBER(SEARCH('02_대상물건입력'!$B$5,C1020)),1,0)))</f>
        <v/>
      </c>
      <c r="L1020">
        <f>IF(C1020="","",IF('02_대상물건입력'!$B$6="",1,IF(ISNUMBER(SEARCH('02_대상물건입력'!$B$6,C1020)),1,0)))</f>
        <v/>
      </c>
      <c r="M1020">
        <f>IF(E1020="","",IF('02_대상물건입력'!$B$8="",0,IF(ISNUMBER(SEARCH('02_대상물건입력'!$B$8,E1020)),1,0)))</f>
        <v/>
      </c>
      <c r="N1020">
        <f>IF(B1020="","",IF(B1020="담보",1,0))</f>
        <v/>
      </c>
      <c r="O1020">
        <f>IFERROR(ABS(G1020-'02_대상물건입력'!$B$11)/'02_대상물건입력'!$B$11,"")</f>
        <v/>
      </c>
      <c r="P1020">
        <f>IFERROR(ABS('01_설정'!$B$4-H1020),"")</f>
        <v/>
      </c>
      <c r="Q1020">
        <f>IFERROR(ABS(YEAR(J1020)-YEAR('02_대상물건입력'!$B$14)),"")</f>
        <v/>
      </c>
      <c r="R1020">
        <f>IF(AND(G1020&gt;0,H1020&gt;0,I1020&gt;0,N1020=1,IF('01_설정'!$B$10=1,K1020=1,TRUE()),O1020&lt;='01_설정'!$B$5,P1020&lt;='01_설정'!$B$7,Q1020&lt;='01_설정'!$B$8),"Y","")</f>
        <v/>
      </c>
      <c r="S1020">
        <f>IF(R1020&lt;&gt;"Y","",MAX(0,(1-O1020/'01_설정'!$B$5))*'01_설정'!$B$14+MAX(0,(1-P1020/'01_설정'!$B$7))*'01_설정'!$B$16+MAX(0,(1-Q1020/'01_설정'!$B$8))*'01_설정'!$B$17+L1020*'01_설정'!$B$11+M1020*'01_설정'!$B$12+N1020*50)</f>
        <v/>
      </c>
      <c r="T1020">
        <f>IF(S1020="","",1+COUNTIFS($S$31:$S$1030,"&gt;"&amp;S1020)+COUNTIFS($S$31:S1020,S1020)-1)</f>
        <v/>
      </c>
    </row>
    <row r="1021" hidden="1" ht="16.5" customHeight="1">
      <c r="A1021">
        <f>IF(COUNTA('05_KAPA'!$A992:$AO992)=0,"",994)</f>
        <v/>
      </c>
      <c r="B1021">
        <f>IF($A1021="","",INDEX('05_KAPA'!$B:$B,$A1021))</f>
        <v/>
      </c>
      <c r="C1021">
        <f>IF($A1021="","",INDEX('05_KAPA'!$F:$F,$A1021))</f>
        <v/>
      </c>
      <c r="D1021">
        <f>IF($A1021="","",INDEX('05_KAPA'!$H:$H,$A1021))</f>
        <v/>
      </c>
      <c r="E1021">
        <f>IF($A1021="","",INDEX('05_KAPA'!$K:$K,$A1021))</f>
        <v/>
      </c>
      <c r="F1021">
        <f>IF($A1021="","",INDEX('05_KAPA'!$L:$L,$A1021))</f>
        <v/>
      </c>
      <c r="G1021">
        <f>IF($A1021="","",INDEX('05_KAPA'!$I:$I,$A1021))</f>
        <v/>
      </c>
      <c r="H1021" s="202">
        <f>IF($A1021="","",INDEX('05_KAPA'!$P:$P,$A1021))</f>
        <v/>
      </c>
      <c r="I1021" s="118">
        <f>IF($A1021="","",INDEX('05_KAPA'!$O:$O,$A1021))</f>
        <v/>
      </c>
      <c r="J1021" s="202">
        <f>IF($A1021="","",IFERROR(DATE(LEFT(TEXT(INDEX('05_KAPA'!$T:$T,$A1021),"0"),4),MID(TEXT(INDEX('05_KAPA'!$T:$T,$A1021),"0"),5,2),RIGHT(TEXT(INDEX('05_KAPA'!$T:$T,$A1021),"0"),2)),""))</f>
        <v/>
      </c>
      <c r="K1021">
        <f>IF(C1021="","",IF('02_대상물건입력'!$B$5="",1,IF(ISNUMBER(SEARCH('02_대상물건입력'!$B$5,C1021)),1,0)))</f>
        <v/>
      </c>
      <c r="L1021">
        <f>IF(C1021="","",IF('02_대상물건입력'!$B$6="",1,IF(ISNUMBER(SEARCH('02_대상물건입력'!$B$6,C1021)),1,0)))</f>
        <v/>
      </c>
      <c r="M1021">
        <f>IF(E1021="","",IF('02_대상물건입력'!$B$8="",0,IF(ISNUMBER(SEARCH('02_대상물건입력'!$B$8,E1021)),1,0)))</f>
        <v/>
      </c>
      <c r="N1021">
        <f>IF(B1021="","",IF(B1021="담보",1,0))</f>
        <v/>
      </c>
      <c r="O1021">
        <f>IFERROR(ABS(G1021-'02_대상물건입력'!$B$11)/'02_대상물건입력'!$B$11,"")</f>
        <v/>
      </c>
      <c r="P1021">
        <f>IFERROR(ABS('01_설정'!$B$4-H1021),"")</f>
        <v/>
      </c>
      <c r="Q1021">
        <f>IFERROR(ABS(YEAR(J1021)-YEAR('02_대상물건입력'!$B$14)),"")</f>
        <v/>
      </c>
      <c r="R1021">
        <f>IF(AND(G1021&gt;0,H1021&gt;0,I1021&gt;0,N1021=1,IF('01_설정'!$B$10=1,K1021=1,TRUE()),O1021&lt;='01_설정'!$B$5,P1021&lt;='01_설정'!$B$7,Q1021&lt;='01_설정'!$B$8),"Y","")</f>
        <v/>
      </c>
      <c r="S1021">
        <f>IF(R1021&lt;&gt;"Y","",MAX(0,(1-O1021/'01_설정'!$B$5))*'01_설정'!$B$14+MAX(0,(1-P1021/'01_설정'!$B$7))*'01_설정'!$B$16+MAX(0,(1-Q1021/'01_설정'!$B$8))*'01_설정'!$B$17+L1021*'01_설정'!$B$11+M1021*'01_설정'!$B$12+N1021*50)</f>
        <v/>
      </c>
      <c r="T1021">
        <f>IF(S1021="","",1+COUNTIFS($S$31:$S$1030,"&gt;"&amp;S1021)+COUNTIFS($S$31:S1021,S1021)-1)</f>
        <v/>
      </c>
    </row>
    <row r="1022" hidden="1" ht="16.5" customHeight="1">
      <c r="A1022">
        <f>IF(COUNTA('05_KAPA'!$A993:$AO993)=0,"",995)</f>
        <v/>
      </c>
      <c r="B1022">
        <f>IF($A1022="","",INDEX('05_KAPA'!$B:$B,$A1022))</f>
        <v/>
      </c>
      <c r="C1022">
        <f>IF($A1022="","",INDEX('05_KAPA'!$F:$F,$A1022))</f>
        <v/>
      </c>
      <c r="D1022">
        <f>IF($A1022="","",INDEX('05_KAPA'!$H:$H,$A1022))</f>
        <v/>
      </c>
      <c r="E1022">
        <f>IF($A1022="","",INDEX('05_KAPA'!$K:$K,$A1022))</f>
        <v/>
      </c>
      <c r="F1022">
        <f>IF($A1022="","",INDEX('05_KAPA'!$L:$L,$A1022))</f>
        <v/>
      </c>
      <c r="G1022">
        <f>IF($A1022="","",INDEX('05_KAPA'!$I:$I,$A1022))</f>
        <v/>
      </c>
      <c r="H1022" s="202">
        <f>IF($A1022="","",INDEX('05_KAPA'!$P:$P,$A1022))</f>
        <v/>
      </c>
      <c r="I1022" s="118">
        <f>IF($A1022="","",INDEX('05_KAPA'!$O:$O,$A1022))</f>
        <v/>
      </c>
      <c r="J1022" s="202">
        <f>IF($A1022="","",IFERROR(DATE(LEFT(TEXT(INDEX('05_KAPA'!$T:$T,$A1022),"0"),4),MID(TEXT(INDEX('05_KAPA'!$T:$T,$A1022),"0"),5,2),RIGHT(TEXT(INDEX('05_KAPA'!$T:$T,$A1022),"0"),2)),""))</f>
        <v/>
      </c>
      <c r="K1022">
        <f>IF(C1022="","",IF('02_대상물건입력'!$B$5="",1,IF(ISNUMBER(SEARCH('02_대상물건입력'!$B$5,C1022)),1,0)))</f>
        <v/>
      </c>
      <c r="L1022">
        <f>IF(C1022="","",IF('02_대상물건입력'!$B$6="",1,IF(ISNUMBER(SEARCH('02_대상물건입력'!$B$6,C1022)),1,0)))</f>
        <v/>
      </c>
      <c r="M1022">
        <f>IF(E1022="","",IF('02_대상물건입력'!$B$8="",0,IF(ISNUMBER(SEARCH('02_대상물건입력'!$B$8,E1022)),1,0)))</f>
        <v/>
      </c>
      <c r="N1022">
        <f>IF(B1022="","",IF(B1022="담보",1,0))</f>
        <v/>
      </c>
      <c r="O1022">
        <f>IFERROR(ABS(G1022-'02_대상물건입력'!$B$11)/'02_대상물건입력'!$B$11,"")</f>
        <v/>
      </c>
      <c r="P1022">
        <f>IFERROR(ABS('01_설정'!$B$4-H1022),"")</f>
        <v/>
      </c>
      <c r="Q1022">
        <f>IFERROR(ABS(YEAR(J1022)-YEAR('02_대상물건입력'!$B$14)),"")</f>
        <v/>
      </c>
      <c r="R1022">
        <f>IF(AND(G1022&gt;0,H1022&gt;0,I1022&gt;0,N1022=1,IF('01_설정'!$B$10=1,K1022=1,TRUE()),O1022&lt;='01_설정'!$B$5,P1022&lt;='01_설정'!$B$7,Q1022&lt;='01_설정'!$B$8),"Y","")</f>
        <v/>
      </c>
      <c r="S1022">
        <f>IF(R1022&lt;&gt;"Y","",MAX(0,(1-O1022/'01_설정'!$B$5))*'01_설정'!$B$14+MAX(0,(1-P1022/'01_설정'!$B$7))*'01_설정'!$B$16+MAX(0,(1-Q1022/'01_설정'!$B$8))*'01_설정'!$B$17+L1022*'01_설정'!$B$11+M1022*'01_설정'!$B$12+N1022*50)</f>
        <v/>
      </c>
      <c r="T1022">
        <f>IF(S1022="","",1+COUNTIFS($S$31:$S$1030,"&gt;"&amp;S1022)+COUNTIFS($S$31:S1022,S1022)-1)</f>
        <v/>
      </c>
    </row>
    <row r="1023" hidden="1" ht="16.5" customHeight="1">
      <c r="A1023">
        <f>IF(COUNTA('05_KAPA'!$A994:$AO994)=0,"",996)</f>
        <v/>
      </c>
      <c r="B1023">
        <f>IF($A1023="","",INDEX('05_KAPA'!$B:$B,$A1023))</f>
        <v/>
      </c>
      <c r="C1023">
        <f>IF($A1023="","",INDEX('05_KAPA'!$F:$F,$A1023))</f>
        <v/>
      </c>
      <c r="D1023">
        <f>IF($A1023="","",INDEX('05_KAPA'!$H:$H,$A1023))</f>
        <v/>
      </c>
      <c r="E1023">
        <f>IF($A1023="","",INDEX('05_KAPA'!$K:$K,$A1023))</f>
        <v/>
      </c>
      <c r="F1023">
        <f>IF($A1023="","",INDEX('05_KAPA'!$L:$L,$A1023))</f>
        <v/>
      </c>
      <c r="G1023">
        <f>IF($A1023="","",INDEX('05_KAPA'!$I:$I,$A1023))</f>
        <v/>
      </c>
      <c r="H1023" s="202">
        <f>IF($A1023="","",INDEX('05_KAPA'!$P:$P,$A1023))</f>
        <v/>
      </c>
      <c r="I1023" s="118">
        <f>IF($A1023="","",INDEX('05_KAPA'!$O:$O,$A1023))</f>
        <v/>
      </c>
      <c r="J1023" s="202">
        <f>IF($A1023="","",IFERROR(DATE(LEFT(TEXT(INDEX('05_KAPA'!$T:$T,$A1023),"0"),4),MID(TEXT(INDEX('05_KAPA'!$T:$T,$A1023),"0"),5,2),RIGHT(TEXT(INDEX('05_KAPA'!$T:$T,$A1023),"0"),2)),""))</f>
        <v/>
      </c>
      <c r="K1023">
        <f>IF(C1023="","",IF('02_대상물건입력'!$B$5="",1,IF(ISNUMBER(SEARCH('02_대상물건입력'!$B$5,C1023)),1,0)))</f>
        <v/>
      </c>
      <c r="L1023">
        <f>IF(C1023="","",IF('02_대상물건입력'!$B$6="",1,IF(ISNUMBER(SEARCH('02_대상물건입력'!$B$6,C1023)),1,0)))</f>
        <v/>
      </c>
      <c r="M1023">
        <f>IF(E1023="","",IF('02_대상물건입력'!$B$8="",0,IF(ISNUMBER(SEARCH('02_대상물건입력'!$B$8,E1023)),1,0)))</f>
        <v/>
      </c>
      <c r="N1023">
        <f>IF(B1023="","",IF(B1023="담보",1,0))</f>
        <v/>
      </c>
      <c r="O1023">
        <f>IFERROR(ABS(G1023-'02_대상물건입력'!$B$11)/'02_대상물건입력'!$B$11,"")</f>
        <v/>
      </c>
      <c r="P1023">
        <f>IFERROR(ABS('01_설정'!$B$4-H1023),"")</f>
        <v/>
      </c>
      <c r="Q1023">
        <f>IFERROR(ABS(YEAR(J1023)-YEAR('02_대상물건입력'!$B$14)),"")</f>
        <v/>
      </c>
      <c r="R1023">
        <f>IF(AND(G1023&gt;0,H1023&gt;0,I1023&gt;0,N1023=1,IF('01_설정'!$B$10=1,K1023=1,TRUE()),O1023&lt;='01_설정'!$B$5,P1023&lt;='01_설정'!$B$7,Q1023&lt;='01_설정'!$B$8),"Y","")</f>
        <v/>
      </c>
      <c r="S1023">
        <f>IF(R1023&lt;&gt;"Y","",MAX(0,(1-O1023/'01_설정'!$B$5))*'01_설정'!$B$14+MAX(0,(1-P1023/'01_설정'!$B$7))*'01_설정'!$B$16+MAX(0,(1-Q1023/'01_설정'!$B$8))*'01_설정'!$B$17+L1023*'01_설정'!$B$11+M1023*'01_설정'!$B$12+N1023*50)</f>
        <v/>
      </c>
      <c r="T1023">
        <f>IF(S1023="","",1+COUNTIFS($S$31:$S$1030,"&gt;"&amp;S1023)+COUNTIFS($S$31:S1023,S1023)-1)</f>
        <v/>
      </c>
    </row>
    <row r="1024" hidden="1" ht="16.5" customHeight="1">
      <c r="A1024">
        <f>IF(COUNTA('05_KAPA'!$A995:$AO995)=0,"",997)</f>
        <v/>
      </c>
      <c r="B1024">
        <f>IF($A1024="","",INDEX('05_KAPA'!$B:$B,$A1024))</f>
        <v/>
      </c>
      <c r="C1024">
        <f>IF($A1024="","",INDEX('05_KAPA'!$F:$F,$A1024))</f>
        <v/>
      </c>
      <c r="D1024">
        <f>IF($A1024="","",INDEX('05_KAPA'!$H:$H,$A1024))</f>
        <v/>
      </c>
      <c r="E1024">
        <f>IF($A1024="","",INDEX('05_KAPA'!$K:$K,$A1024))</f>
        <v/>
      </c>
      <c r="F1024">
        <f>IF($A1024="","",INDEX('05_KAPA'!$L:$L,$A1024))</f>
        <v/>
      </c>
      <c r="G1024">
        <f>IF($A1024="","",INDEX('05_KAPA'!$I:$I,$A1024))</f>
        <v/>
      </c>
      <c r="H1024" s="202">
        <f>IF($A1024="","",INDEX('05_KAPA'!$P:$P,$A1024))</f>
        <v/>
      </c>
      <c r="I1024" s="118">
        <f>IF($A1024="","",INDEX('05_KAPA'!$O:$O,$A1024))</f>
        <v/>
      </c>
      <c r="J1024" s="202">
        <f>IF($A1024="","",IFERROR(DATE(LEFT(TEXT(INDEX('05_KAPA'!$T:$T,$A1024),"0"),4),MID(TEXT(INDEX('05_KAPA'!$T:$T,$A1024),"0"),5,2),RIGHT(TEXT(INDEX('05_KAPA'!$T:$T,$A1024),"0"),2)),""))</f>
        <v/>
      </c>
      <c r="K1024">
        <f>IF(C1024="","",IF('02_대상물건입력'!$B$5="",1,IF(ISNUMBER(SEARCH('02_대상물건입력'!$B$5,C1024)),1,0)))</f>
        <v/>
      </c>
      <c r="L1024">
        <f>IF(C1024="","",IF('02_대상물건입력'!$B$6="",1,IF(ISNUMBER(SEARCH('02_대상물건입력'!$B$6,C1024)),1,0)))</f>
        <v/>
      </c>
      <c r="M1024">
        <f>IF(E1024="","",IF('02_대상물건입력'!$B$8="",0,IF(ISNUMBER(SEARCH('02_대상물건입력'!$B$8,E1024)),1,0)))</f>
        <v/>
      </c>
      <c r="N1024">
        <f>IF(B1024="","",IF(B1024="담보",1,0))</f>
        <v/>
      </c>
      <c r="O1024">
        <f>IFERROR(ABS(G1024-'02_대상물건입력'!$B$11)/'02_대상물건입력'!$B$11,"")</f>
        <v/>
      </c>
      <c r="P1024">
        <f>IFERROR(ABS('01_설정'!$B$4-H1024),"")</f>
        <v/>
      </c>
      <c r="Q1024">
        <f>IFERROR(ABS(YEAR(J1024)-YEAR('02_대상물건입력'!$B$14)),"")</f>
        <v/>
      </c>
      <c r="R1024">
        <f>IF(AND(G1024&gt;0,H1024&gt;0,I1024&gt;0,N1024=1,IF('01_설정'!$B$10=1,K1024=1,TRUE()),O1024&lt;='01_설정'!$B$5,P1024&lt;='01_설정'!$B$7,Q1024&lt;='01_설정'!$B$8),"Y","")</f>
        <v/>
      </c>
      <c r="S1024">
        <f>IF(R1024&lt;&gt;"Y","",MAX(0,(1-O1024/'01_설정'!$B$5))*'01_설정'!$B$14+MAX(0,(1-P1024/'01_설정'!$B$7))*'01_설정'!$B$16+MAX(0,(1-Q1024/'01_설정'!$B$8))*'01_설정'!$B$17+L1024*'01_설정'!$B$11+M1024*'01_설정'!$B$12+N1024*50)</f>
        <v/>
      </c>
      <c r="T1024">
        <f>IF(S1024="","",1+COUNTIFS($S$31:$S$1030,"&gt;"&amp;S1024)+COUNTIFS($S$31:S1024,S1024)-1)</f>
        <v/>
      </c>
    </row>
    <row r="1025" hidden="1" ht="16.5" customHeight="1">
      <c r="A1025">
        <f>IF(COUNTA('05_KAPA'!$A996:$AO996)=0,"",998)</f>
        <v/>
      </c>
      <c r="B1025">
        <f>IF($A1025="","",INDEX('05_KAPA'!$B:$B,$A1025))</f>
        <v/>
      </c>
      <c r="C1025">
        <f>IF($A1025="","",INDEX('05_KAPA'!$F:$F,$A1025))</f>
        <v/>
      </c>
      <c r="D1025">
        <f>IF($A1025="","",INDEX('05_KAPA'!$H:$H,$A1025))</f>
        <v/>
      </c>
      <c r="E1025">
        <f>IF($A1025="","",INDEX('05_KAPA'!$K:$K,$A1025))</f>
        <v/>
      </c>
      <c r="F1025">
        <f>IF($A1025="","",INDEX('05_KAPA'!$L:$L,$A1025))</f>
        <v/>
      </c>
      <c r="G1025">
        <f>IF($A1025="","",INDEX('05_KAPA'!$I:$I,$A1025))</f>
        <v/>
      </c>
      <c r="H1025" s="202">
        <f>IF($A1025="","",INDEX('05_KAPA'!$P:$P,$A1025))</f>
        <v/>
      </c>
      <c r="I1025" s="118">
        <f>IF($A1025="","",INDEX('05_KAPA'!$O:$O,$A1025))</f>
        <v/>
      </c>
      <c r="J1025" s="202">
        <f>IF($A1025="","",IFERROR(DATE(LEFT(TEXT(INDEX('05_KAPA'!$T:$T,$A1025),"0"),4),MID(TEXT(INDEX('05_KAPA'!$T:$T,$A1025),"0"),5,2),RIGHT(TEXT(INDEX('05_KAPA'!$T:$T,$A1025),"0"),2)),""))</f>
        <v/>
      </c>
      <c r="K1025">
        <f>IF(C1025="","",IF('02_대상물건입력'!$B$5="",1,IF(ISNUMBER(SEARCH('02_대상물건입력'!$B$5,C1025)),1,0)))</f>
        <v/>
      </c>
      <c r="L1025">
        <f>IF(C1025="","",IF('02_대상물건입력'!$B$6="",1,IF(ISNUMBER(SEARCH('02_대상물건입력'!$B$6,C1025)),1,0)))</f>
        <v/>
      </c>
      <c r="M1025">
        <f>IF(E1025="","",IF('02_대상물건입력'!$B$8="",0,IF(ISNUMBER(SEARCH('02_대상물건입력'!$B$8,E1025)),1,0)))</f>
        <v/>
      </c>
      <c r="N1025">
        <f>IF(B1025="","",IF(B1025="담보",1,0))</f>
        <v/>
      </c>
      <c r="O1025">
        <f>IFERROR(ABS(G1025-'02_대상물건입력'!$B$11)/'02_대상물건입력'!$B$11,"")</f>
        <v/>
      </c>
      <c r="P1025">
        <f>IFERROR(ABS('01_설정'!$B$4-H1025),"")</f>
        <v/>
      </c>
      <c r="Q1025">
        <f>IFERROR(ABS(YEAR(J1025)-YEAR('02_대상물건입력'!$B$14)),"")</f>
        <v/>
      </c>
      <c r="R1025">
        <f>IF(AND(G1025&gt;0,H1025&gt;0,I1025&gt;0,N1025=1,IF('01_설정'!$B$10=1,K1025=1,TRUE()),O1025&lt;='01_설정'!$B$5,P1025&lt;='01_설정'!$B$7,Q1025&lt;='01_설정'!$B$8),"Y","")</f>
        <v/>
      </c>
      <c r="S1025">
        <f>IF(R1025&lt;&gt;"Y","",MAX(0,(1-O1025/'01_설정'!$B$5))*'01_설정'!$B$14+MAX(0,(1-P1025/'01_설정'!$B$7))*'01_설정'!$B$16+MAX(0,(1-Q1025/'01_설정'!$B$8))*'01_설정'!$B$17+L1025*'01_설정'!$B$11+M1025*'01_설정'!$B$12+N1025*50)</f>
        <v/>
      </c>
      <c r="T1025">
        <f>IF(S1025="","",1+COUNTIFS($S$31:$S$1030,"&gt;"&amp;S1025)+COUNTIFS($S$31:S1025,S1025)-1)</f>
        <v/>
      </c>
    </row>
    <row r="1026" hidden="1" ht="16.5" customHeight="1">
      <c r="A1026">
        <f>IF(COUNTA('05_KAPA'!$A997:$AO997)=0,"",999)</f>
        <v/>
      </c>
      <c r="B1026">
        <f>IF($A1026="","",INDEX('05_KAPA'!$B:$B,$A1026))</f>
        <v/>
      </c>
      <c r="C1026">
        <f>IF($A1026="","",INDEX('05_KAPA'!$F:$F,$A1026))</f>
        <v/>
      </c>
      <c r="D1026">
        <f>IF($A1026="","",INDEX('05_KAPA'!$H:$H,$A1026))</f>
        <v/>
      </c>
      <c r="E1026">
        <f>IF($A1026="","",INDEX('05_KAPA'!$K:$K,$A1026))</f>
        <v/>
      </c>
      <c r="F1026">
        <f>IF($A1026="","",INDEX('05_KAPA'!$L:$L,$A1026))</f>
        <v/>
      </c>
      <c r="G1026">
        <f>IF($A1026="","",INDEX('05_KAPA'!$I:$I,$A1026))</f>
        <v/>
      </c>
      <c r="H1026" s="202">
        <f>IF($A1026="","",INDEX('05_KAPA'!$P:$P,$A1026))</f>
        <v/>
      </c>
      <c r="I1026" s="118">
        <f>IF($A1026="","",INDEX('05_KAPA'!$O:$O,$A1026))</f>
        <v/>
      </c>
      <c r="J1026" s="202">
        <f>IF($A1026="","",IFERROR(DATE(LEFT(TEXT(INDEX('05_KAPA'!$T:$T,$A1026),"0"),4),MID(TEXT(INDEX('05_KAPA'!$T:$T,$A1026),"0"),5,2),RIGHT(TEXT(INDEX('05_KAPA'!$T:$T,$A1026),"0"),2)),""))</f>
        <v/>
      </c>
      <c r="K1026">
        <f>IF(C1026="","",IF('02_대상물건입력'!$B$5="",1,IF(ISNUMBER(SEARCH('02_대상물건입력'!$B$5,C1026)),1,0)))</f>
        <v/>
      </c>
      <c r="L1026">
        <f>IF(C1026="","",IF('02_대상물건입력'!$B$6="",1,IF(ISNUMBER(SEARCH('02_대상물건입력'!$B$6,C1026)),1,0)))</f>
        <v/>
      </c>
      <c r="M1026">
        <f>IF(E1026="","",IF('02_대상물건입력'!$B$8="",0,IF(ISNUMBER(SEARCH('02_대상물건입력'!$B$8,E1026)),1,0)))</f>
        <v/>
      </c>
      <c r="N1026">
        <f>IF(B1026="","",IF(B1026="담보",1,0))</f>
        <v/>
      </c>
      <c r="O1026">
        <f>IFERROR(ABS(G1026-'02_대상물건입력'!$B$11)/'02_대상물건입력'!$B$11,"")</f>
        <v/>
      </c>
      <c r="P1026">
        <f>IFERROR(ABS('01_설정'!$B$4-H1026),"")</f>
        <v/>
      </c>
      <c r="Q1026">
        <f>IFERROR(ABS(YEAR(J1026)-YEAR('02_대상물건입력'!$B$14)),"")</f>
        <v/>
      </c>
      <c r="R1026">
        <f>IF(AND(G1026&gt;0,H1026&gt;0,I1026&gt;0,N1026=1,IF('01_설정'!$B$10=1,K1026=1,TRUE()),O1026&lt;='01_설정'!$B$5,P1026&lt;='01_설정'!$B$7,Q1026&lt;='01_설정'!$B$8),"Y","")</f>
        <v/>
      </c>
      <c r="S1026">
        <f>IF(R1026&lt;&gt;"Y","",MAX(0,(1-O1026/'01_설정'!$B$5))*'01_설정'!$B$14+MAX(0,(1-P1026/'01_설정'!$B$7))*'01_설정'!$B$16+MAX(0,(1-Q1026/'01_설정'!$B$8))*'01_설정'!$B$17+L1026*'01_설정'!$B$11+M1026*'01_설정'!$B$12+N1026*50)</f>
        <v/>
      </c>
      <c r="T1026">
        <f>IF(S1026="","",1+COUNTIFS($S$31:$S$1030,"&gt;"&amp;S1026)+COUNTIFS($S$31:S1026,S1026)-1)</f>
        <v/>
      </c>
    </row>
    <row r="1027" hidden="1" ht="16.5" customHeight="1">
      <c r="A1027">
        <f>IF(COUNTA('05_KAPA'!$A998:$AO998)=0,"",1000)</f>
        <v/>
      </c>
      <c r="B1027">
        <f>IF($A1027="","",INDEX('05_KAPA'!$B:$B,$A1027))</f>
        <v/>
      </c>
      <c r="C1027">
        <f>IF($A1027="","",INDEX('05_KAPA'!$F:$F,$A1027))</f>
        <v/>
      </c>
      <c r="D1027">
        <f>IF($A1027="","",INDEX('05_KAPA'!$H:$H,$A1027))</f>
        <v/>
      </c>
      <c r="E1027">
        <f>IF($A1027="","",INDEX('05_KAPA'!$K:$K,$A1027))</f>
        <v/>
      </c>
      <c r="F1027">
        <f>IF($A1027="","",INDEX('05_KAPA'!$L:$L,$A1027))</f>
        <v/>
      </c>
      <c r="G1027">
        <f>IF($A1027="","",INDEX('05_KAPA'!$I:$I,$A1027))</f>
        <v/>
      </c>
      <c r="H1027" s="202">
        <f>IF($A1027="","",INDEX('05_KAPA'!$P:$P,$A1027))</f>
        <v/>
      </c>
      <c r="I1027" s="118">
        <f>IF($A1027="","",INDEX('05_KAPA'!$O:$O,$A1027))</f>
        <v/>
      </c>
      <c r="J1027" s="202">
        <f>IF($A1027="","",IFERROR(DATE(LEFT(TEXT(INDEX('05_KAPA'!$T:$T,$A1027),"0"),4),MID(TEXT(INDEX('05_KAPA'!$T:$T,$A1027),"0"),5,2),RIGHT(TEXT(INDEX('05_KAPA'!$T:$T,$A1027),"0"),2)),""))</f>
        <v/>
      </c>
      <c r="K1027">
        <f>IF(C1027="","",IF('02_대상물건입력'!$B$5="",1,IF(ISNUMBER(SEARCH('02_대상물건입력'!$B$5,C1027)),1,0)))</f>
        <v/>
      </c>
      <c r="L1027">
        <f>IF(C1027="","",IF('02_대상물건입력'!$B$6="",1,IF(ISNUMBER(SEARCH('02_대상물건입력'!$B$6,C1027)),1,0)))</f>
        <v/>
      </c>
      <c r="M1027">
        <f>IF(E1027="","",IF('02_대상물건입력'!$B$8="",0,IF(ISNUMBER(SEARCH('02_대상물건입력'!$B$8,E1027)),1,0)))</f>
        <v/>
      </c>
      <c r="N1027">
        <f>IF(B1027="","",IF(B1027="담보",1,0))</f>
        <v/>
      </c>
      <c r="O1027">
        <f>IFERROR(ABS(G1027-'02_대상물건입력'!$B$11)/'02_대상물건입력'!$B$11,"")</f>
        <v/>
      </c>
      <c r="P1027">
        <f>IFERROR(ABS('01_설정'!$B$4-H1027),"")</f>
        <v/>
      </c>
      <c r="Q1027">
        <f>IFERROR(ABS(YEAR(J1027)-YEAR('02_대상물건입력'!$B$14)),"")</f>
        <v/>
      </c>
      <c r="R1027">
        <f>IF(AND(G1027&gt;0,H1027&gt;0,I1027&gt;0,N1027=1,IF('01_설정'!$B$10=1,K1027=1,TRUE()),O1027&lt;='01_설정'!$B$5,P1027&lt;='01_설정'!$B$7,Q1027&lt;='01_설정'!$B$8),"Y","")</f>
        <v/>
      </c>
      <c r="S1027">
        <f>IF(R1027&lt;&gt;"Y","",MAX(0,(1-O1027/'01_설정'!$B$5))*'01_설정'!$B$14+MAX(0,(1-P1027/'01_설정'!$B$7))*'01_설정'!$B$16+MAX(0,(1-Q1027/'01_설정'!$B$8))*'01_설정'!$B$17+L1027*'01_설정'!$B$11+M1027*'01_설정'!$B$12+N1027*50)</f>
        <v/>
      </c>
      <c r="T1027">
        <f>IF(S1027="","",1+COUNTIFS($S$31:$S$1030,"&gt;"&amp;S1027)+COUNTIFS($S$31:S1027,S1027)-1)</f>
        <v/>
      </c>
    </row>
    <row r="1028" hidden="1" ht="16.5" customHeight="1">
      <c r="A1028">
        <f>IF(COUNTA('05_KAPA'!$A999:$AO999)=0,"",1001)</f>
        <v/>
      </c>
      <c r="B1028">
        <f>IF($A1028="","",INDEX('05_KAPA'!$B:$B,$A1028))</f>
        <v/>
      </c>
      <c r="C1028">
        <f>IF($A1028="","",INDEX('05_KAPA'!$F:$F,$A1028))</f>
        <v/>
      </c>
      <c r="D1028">
        <f>IF($A1028="","",INDEX('05_KAPA'!$H:$H,$A1028))</f>
        <v/>
      </c>
      <c r="E1028">
        <f>IF($A1028="","",INDEX('05_KAPA'!$K:$K,$A1028))</f>
        <v/>
      </c>
      <c r="F1028">
        <f>IF($A1028="","",INDEX('05_KAPA'!$L:$L,$A1028))</f>
        <v/>
      </c>
      <c r="G1028">
        <f>IF($A1028="","",INDEX('05_KAPA'!$I:$I,$A1028))</f>
        <v/>
      </c>
      <c r="H1028" s="202">
        <f>IF($A1028="","",INDEX('05_KAPA'!$P:$P,$A1028))</f>
        <v/>
      </c>
      <c r="I1028" s="118">
        <f>IF($A1028="","",INDEX('05_KAPA'!$O:$O,$A1028))</f>
        <v/>
      </c>
      <c r="J1028" s="202">
        <f>IF($A1028="","",IFERROR(DATE(LEFT(TEXT(INDEX('05_KAPA'!$T:$T,$A1028),"0"),4),MID(TEXT(INDEX('05_KAPA'!$T:$T,$A1028),"0"),5,2),RIGHT(TEXT(INDEX('05_KAPA'!$T:$T,$A1028),"0"),2)),""))</f>
        <v/>
      </c>
      <c r="K1028">
        <f>IF(C1028="","",IF('02_대상물건입력'!$B$5="",1,IF(ISNUMBER(SEARCH('02_대상물건입력'!$B$5,C1028)),1,0)))</f>
        <v/>
      </c>
      <c r="L1028">
        <f>IF(C1028="","",IF('02_대상물건입력'!$B$6="",1,IF(ISNUMBER(SEARCH('02_대상물건입력'!$B$6,C1028)),1,0)))</f>
        <v/>
      </c>
      <c r="M1028">
        <f>IF(E1028="","",IF('02_대상물건입력'!$B$8="",0,IF(ISNUMBER(SEARCH('02_대상물건입력'!$B$8,E1028)),1,0)))</f>
        <v/>
      </c>
      <c r="N1028">
        <f>IF(B1028="","",IF(B1028="담보",1,0))</f>
        <v/>
      </c>
      <c r="O1028">
        <f>IFERROR(ABS(G1028-'02_대상물건입력'!$B$11)/'02_대상물건입력'!$B$11,"")</f>
        <v/>
      </c>
      <c r="P1028">
        <f>IFERROR(ABS('01_설정'!$B$4-H1028),"")</f>
        <v/>
      </c>
      <c r="Q1028">
        <f>IFERROR(ABS(YEAR(J1028)-YEAR('02_대상물건입력'!$B$14)),"")</f>
        <v/>
      </c>
      <c r="R1028">
        <f>IF(AND(G1028&gt;0,H1028&gt;0,I1028&gt;0,N1028=1,IF('01_설정'!$B$10=1,K1028=1,TRUE()),O1028&lt;='01_설정'!$B$5,P1028&lt;='01_설정'!$B$7,Q1028&lt;='01_설정'!$B$8),"Y","")</f>
        <v/>
      </c>
      <c r="S1028">
        <f>IF(R1028&lt;&gt;"Y","",MAX(0,(1-O1028/'01_설정'!$B$5))*'01_설정'!$B$14+MAX(0,(1-P1028/'01_설정'!$B$7))*'01_설정'!$B$16+MAX(0,(1-Q1028/'01_설정'!$B$8))*'01_설정'!$B$17+L1028*'01_설정'!$B$11+M1028*'01_설정'!$B$12+N1028*50)</f>
        <v/>
      </c>
      <c r="T1028">
        <f>IF(S1028="","",1+COUNTIFS($S$31:$S$1030,"&gt;"&amp;S1028)+COUNTIFS($S$31:S1028,S1028)-1)</f>
        <v/>
      </c>
    </row>
    <row r="1029" hidden="1" ht="16.5" customHeight="1">
      <c r="A1029">
        <f>IF(COUNTA('05_KAPA'!$A1000:$AO1000)=0,"",1002)</f>
        <v/>
      </c>
      <c r="B1029">
        <f>IF($A1029="","",INDEX('05_KAPA'!$B:$B,$A1029))</f>
        <v/>
      </c>
      <c r="C1029">
        <f>IF($A1029="","",INDEX('05_KAPA'!$F:$F,$A1029))</f>
        <v/>
      </c>
      <c r="D1029">
        <f>IF($A1029="","",INDEX('05_KAPA'!$H:$H,$A1029))</f>
        <v/>
      </c>
      <c r="E1029">
        <f>IF($A1029="","",INDEX('05_KAPA'!$K:$K,$A1029))</f>
        <v/>
      </c>
      <c r="F1029">
        <f>IF($A1029="","",INDEX('05_KAPA'!$L:$L,$A1029))</f>
        <v/>
      </c>
      <c r="G1029">
        <f>IF($A1029="","",INDEX('05_KAPA'!$I:$I,$A1029))</f>
        <v/>
      </c>
      <c r="H1029" s="202">
        <f>IF($A1029="","",INDEX('05_KAPA'!$P:$P,$A1029))</f>
        <v/>
      </c>
      <c r="I1029" s="118">
        <f>IF($A1029="","",INDEX('05_KAPA'!$O:$O,$A1029))</f>
        <v/>
      </c>
      <c r="J1029" s="202">
        <f>IF($A1029="","",IFERROR(DATE(LEFT(TEXT(INDEX('05_KAPA'!$T:$T,$A1029),"0"),4),MID(TEXT(INDEX('05_KAPA'!$T:$T,$A1029),"0"),5,2),RIGHT(TEXT(INDEX('05_KAPA'!$T:$T,$A1029),"0"),2)),""))</f>
        <v/>
      </c>
      <c r="K1029">
        <f>IF(C1029="","",IF('02_대상물건입력'!$B$5="",1,IF(ISNUMBER(SEARCH('02_대상물건입력'!$B$5,C1029)),1,0)))</f>
        <v/>
      </c>
      <c r="L1029">
        <f>IF(C1029="","",IF('02_대상물건입력'!$B$6="",1,IF(ISNUMBER(SEARCH('02_대상물건입력'!$B$6,C1029)),1,0)))</f>
        <v/>
      </c>
      <c r="M1029">
        <f>IF(E1029="","",IF('02_대상물건입력'!$B$8="",0,IF(ISNUMBER(SEARCH('02_대상물건입력'!$B$8,E1029)),1,0)))</f>
        <v/>
      </c>
      <c r="N1029">
        <f>IF(B1029="","",IF(B1029="담보",1,0))</f>
        <v/>
      </c>
      <c r="O1029">
        <f>IFERROR(ABS(G1029-'02_대상물건입력'!$B$11)/'02_대상물건입력'!$B$11,"")</f>
        <v/>
      </c>
      <c r="P1029">
        <f>IFERROR(ABS('01_설정'!$B$4-H1029),"")</f>
        <v/>
      </c>
      <c r="Q1029">
        <f>IFERROR(ABS(YEAR(J1029)-YEAR('02_대상물건입력'!$B$14)),"")</f>
        <v/>
      </c>
      <c r="R1029">
        <f>IF(AND(G1029&gt;0,H1029&gt;0,I1029&gt;0,N1029=1,IF('01_설정'!$B$10=1,K1029=1,TRUE()),O1029&lt;='01_설정'!$B$5,P1029&lt;='01_설정'!$B$7,Q1029&lt;='01_설정'!$B$8),"Y","")</f>
        <v/>
      </c>
      <c r="S1029">
        <f>IF(R1029&lt;&gt;"Y","",MAX(0,(1-O1029/'01_설정'!$B$5))*'01_설정'!$B$14+MAX(0,(1-P1029/'01_설정'!$B$7))*'01_설정'!$B$16+MAX(0,(1-Q1029/'01_설정'!$B$8))*'01_설정'!$B$17+L1029*'01_설정'!$B$11+M1029*'01_설정'!$B$12+N1029*50)</f>
        <v/>
      </c>
      <c r="T1029">
        <f>IF(S1029="","",1+COUNTIFS($S$31:$S$1030,"&gt;"&amp;S1029)+COUNTIFS($S$31:S1029,S1029)-1)</f>
        <v/>
      </c>
    </row>
    <row r="1030" hidden="1" ht="16.5" customHeight="1">
      <c r="A1030">
        <f>IF(COUNTA('05_KAPA'!$A1001:$AO1001)=0,"",1003)</f>
        <v/>
      </c>
      <c r="B1030">
        <f>IF($A1030="","",INDEX('05_KAPA'!$B:$B,$A1030))</f>
        <v/>
      </c>
      <c r="C1030">
        <f>IF($A1030="","",INDEX('05_KAPA'!$F:$F,$A1030))</f>
        <v/>
      </c>
      <c r="D1030">
        <f>IF($A1030="","",INDEX('05_KAPA'!$H:$H,$A1030))</f>
        <v/>
      </c>
      <c r="E1030">
        <f>IF($A1030="","",INDEX('05_KAPA'!$K:$K,$A1030))</f>
        <v/>
      </c>
      <c r="F1030">
        <f>IF($A1030="","",INDEX('05_KAPA'!$L:$L,$A1030))</f>
        <v/>
      </c>
      <c r="G1030">
        <f>IF($A1030="","",INDEX('05_KAPA'!$I:$I,$A1030))</f>
        <v/>
      </c>
      <c r="H1030" s="202">
        <f>IF($A1030="","",INDEX('05_KAPA'!$P:$P,$A1030))</f>
        <v/>
      </c>
      <c r="I1030" s="118">
        <f>IF($A1030="","",INDEX('05_KAPA'!$O:$O,$A1030))</f>
        <v/>
      </c>
      <c r="J1030" s="202">
        <f>IF($A1030="","",IFERROR(DATE(LEFT(TEXT(INDEX('05_KAPA'!$T:$T,$A1030),"0"),4),MID(TEXT(INDEX('05_KAPA'!$T:$T,$A1030),"0"),5,2),RIGHT(TEXT(INDEX('05_KAPA'!$T:$T,$A1030),"0"),2)),""))</f>
        <v/>
      </c>
      <c r="K1030">
        <f>IF(C1030="","",IF('02_대상물건입력'!$B$5="",1,IF(ISNUMBER(SEARCH('02_대상물건입력'!$B$5,C1030)),1,0)))</f>
        <v/>
      </c>
      <c r="L1030">
        <f>IF(C1030="","",IF('02_대상물건입력'!$B$6="",1,IF(ISNUMBER(SEARCH('02_대상물건입력'!$B$6,C1030)),1,0)))</f>
        <v/>
      </c>
      <c r="M1030">
        <f>IF(E1030="","",IF('02_대상물건입력'!$B$8="",0,IF(ISNUMBER(SEARCH('02_대상물건입력'!$B$8,E1030)),1,0)))</f>
        <v/>
      </c>
      <c r="N1030">
        <f>IF(B1030="","",IF(B1030="담보",1,0))</f>
        <v/>
      </c>
      <c r="O1030">
        <f>IFERROR(ABS(G1030-'02_대상물건입력'!$B$11)/'02_대상물건입력'!$B$11,"")</f>
        <v/>
      </c>
      <c r="P1030">
        <f>IFERROR(ABS('01_설정'!$B$4-H1030),"")</f>
        <v/>
      </c>
      <c r="Q1030">
        <f>IFERROR(ABS(YEAR(J1030)-YEAR('02_대상물건입력'!$B$14)),"")</f>
        <v/>
      </c>
      <c r="R1030">
        <f>IF(AND(G1030&gt;0,H1030&gt;0,I1030&gt;0,N1030=1,IF('01_설정'!$B$10=1,K1030=1,TRUE()),O1030&lt;='01_설정'!$B$5,P1030&lt;='01_설정'!$B$7,Q1030&lt;='01_설정'!$B$8),"Y","")</f>
        <v/>
      </c>
      <c r="S1030">
        <f>IF(R1030&lt;&gt;"Y","",MAX(0,(1-O1030/'01_설정'!$B$5))*'01_설정'!$B$14+MAX(0,(1-P1030/'01_설정'!$B$7))*'01_설정'!$B$16+MAX(0,(1-Q1030/'01_설정'!$B$8))*'01_설정'!$B$17+L1030*'01_설정'!$B$11+M1030*'01_설정'!$B$12+N1030*50)</f>
        <v/>
      </c>
      <c r="T1030">
        <f>IF(S1030="","",1+COUNTIFS($S$31:$S$1030,"&gt;"&amp;S1030)+COUNTIFS($S$31:S1030,S1030)-1)</f>
        <v/>
      </c>
    </row>
  </sheetData>
  <mergeCells count="1">
    <mergeCell ref="A1:Q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5B9BD5"/>
    <outlinePr summaryBelow="1" summaryRight="1"/>
    <pageSetUpPr/>
  </sheetPr>
  <dimension ref="A1:U36"/>
  <sheetViews>
    <sheetView showGridLines="0" topLeftCell="E1" zoomScaleNormal="100" workbookViewId="0">
      <selection activeCell="R9" sqref="R9"/>
    </sheetView>
  </sheetViews>
  <sheetFormatPr baseColWidth="8" defaultColWidth="8.6640625" defaultRowHeight="14.25" customHeight="1"/>
  <cols>
    <col width="7.44140625" customWidth="1" min="1" max="1"/>
    <col width="25" customWidth="1" min="2" max="2"/>
    <col width="35.6640625" customWidth="1" min="3" max="3"/>
    <col width="15.33203125" customWidth="1" min="4" max="4"/>
    <col width="14" customWidth="1" min="5" max="6"/>
    <col width="13" customWidth="1" min="7" max="7"/>
    <col width="16.109375" customWidth="1" min="8" max="8"/>
    <col width="13" customWidth="1" min="9" max="9"/>
    <col width="16.88671875" customWidth="1" min="10" max="10"/>
    <col width="13" customWidth="1" min="11" max="11"/>
    <col width="16.88671875" customWidth="1" min="12" max="12"/>
    <col width="13" customWidth="1" min="13" max="13"/>
    <col width="16.88671875" customWidth="1" min="14" max="14"/>
    <col width="13" customWidth="1" min="15" max="15"/>
    <col width="16.88671875" customWidth="1" min="16" max="16"/>
    <col width="11.6640625" customWidth="1" min="17" max="17"/>
    <col width="14" customWidth="1" min="18" max="18"/>
    <col width="13.88671875" customWidth="1" min="19" max="19"/>
    <col width="10" customWidth="1" min="20" max="20"/>
    <col width="14" customWidth="1" min="21" max="21"/>
  </cols>
  <sheetData>
    <row r="1" ht="24" customHeight="1">
      <c r="A1" s="145" t="inlineStr">
        <is>
          <t>개별요인 보정 및 채택단가 산정</t>
        </is>
      </c>
    </row>
    <row r="2" ht="1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 ht="33" customHeight="1">
      <c r="A3" s="55" t="inlineStr">
        <is>
          <t>순위</t>
        </is>
      </c>
      <c r="B3" s="56" t="inlineStr">
        <is>
          <t>표시명</t>
        </is>
      </c>
      <c r="C3" s="56" t="inlineStr">
        <is>
          <t>소재지</t>
        </is>
      </c>
      <c r="D3" s="56" t="inlineStr">
        <is>
          <t>전용면적(㎡)</t>
        </is>
      </c>
      <c r="E3" s="56" t="inlineStr">
        <is>
          <t>거래금액
(원)</t>
        </is>
      </c>
      <c r="F3" s="56" t="inlineStr">
        <is>
          <t>사례단가
(원/㎡)</t>
        </is>
      </c>
      <c r="G3" s="56" t="inlineStr">
        <is>
          <t>사정보정
(입력)</t>
        </is>
      </c>
      <c r="H3" s="56" t="inlineStr">
        <is>
          <t>시점수정
(자동)</t>
        </is>
      </c>
      <c r="I3" s="56" t="inlineStr">
        <is>
          <t>외부요인
(자동)</t>
        </is>
      </c>
      <c r="J3" s="56" t="inlineStr">
        <is>
          <t>외부 Override</t>
        </is>
      </c>
      <c r="K3" s="56" t="inlineStr">
        <is>
          <t>내부요인
(자동)</t>
        </is>
      </c>
      <c r="L3" s="56" t="inlineStr">
        <is>
          <t>내부 Override</t>
        </is>
      </c>
      <c r="M3" s="56" t="inlineStr">
        <is>
          <t>호별요인
(자동)</t>
        </is>
      </c>
      <c r="N3" s="56" t="inlineStr">
        <is>
          <t>호별 Override</t>
        </is>
      </c>
      <c r="O3" s="56" t="inlineStr">
        <is>
          <t>기타요인
(기본)</t>
        </is>
      </c>
      <c r="P3" s="56" t="inlineStr">
        <is>
          <t>기타 Override</t>
        </is>
      </c>
      <c r="Q3" s="56" t="inlineStr">
        <is>
          <t>총보정율</t>
        </is>
      </c>
      <c r="R3" s="56" t="inlineStr">
        <is>
          <t>보정단가
(원/㎡)</t>
        </is>
      </c>
      <c r="S3" s="56" t="inlineStr">
        <is>
          <t>유사도점수</t>
        </is>
      </c>
      <c r="T3" s="56" t="inlineStr">
        <is>
          <t>가중치</t>
        </is>
      </c>
      <c r="U3" s="57" t="inlineStr">
        <is>
          <t>가중단가</t>
        </is>
      </c>
    </row>
    <row r="4" ht="17.25" customHeight="1">
      <c r="A4" s="131">
        <f>IF(ROW()-3&gt;'01_설정'!$B$9,"",IF(INDEX('05_자동선정_유사도'!$C$4:$C$33,ROW()-3)="","",ROW()-3))</f>
        <v/>
      </c>
      <c r="B4" s="48">
        <f>IF($A4="","",INDEX('05_자동선정_유사도'!$E$4:$E$33,$A4))</f>
        <v/>
      </c>
      <c r="C4" s="48">
        <f>IF($A4="","",INDEX('05_자동선정_유사도'!$C$4:$C$33,$A4)&amp;" "&amp;INDEX('05_자동선정_유사도'!$D$4:$D$33,$A4))</f>
        <v/>
      </c>
      <c r="D4" s="172">
        <f>IF($A4="","",INDEX('05_자동선정_유사도'!$F$4:$F$33,$A4))</f>
        <v/>
      </c>
      <c r="E4" s="174">
        <f>IF($A4="","",INDEX('05_자동선정_유사도'!$H$4:$H$33,$A4))</f>
        <v/>
      </c>
      <c r="F4" s="174">
        <f>IF($A4="","",INDEX('05_자동선정_유사도'!$I$4:$I$33,$A4))</f>
        <v/>
      </c>
      <c r="G4" s="203">
        <f>IF($A4="","",IF(ISNUMBER(SEARCH("직거래",INDEX('05_자동선정_유사도'!$M$4:$M$33,$A4))),0.99,'01_설정'!$B$18))</f>
        <v/>
      </c>
      <c r="H4" s="204">
        <f>IF($A4="","",(1+'01_설정'!$B$19)^((('01_설정'!$B$4-INDEX('05_자동선정_유사도'!$G$4:$G$33,$A4)))/365))</f>
        <v/>
      </c>
      <c r="I4" s="204">
        <f>IF($A4="","",IF(INDEX('05_자동선정_유사도'!$N$4:$N$33,$A4)=1,1,'01_설정'!$B$21)*IF(INDEX('05_자동선정_유사도'!$O$4:$O$33,$A4)=1,'01_설정'!$B$22,1))</f>
        <v/>
      </c>
      <c r="J4" s="205" t="n"/>
      <c r="K4" s="204">
        <f>IF($A4="","",IF(INDEX('05_자동선정_유사도'!$P$4:$P$33,$A4)=1,'01_설정'!$B$23,1)*IF(ABS(INDEX('05_자동선정_유사도'!$K$4:$K$33,$A4)-'02_대상물건입력'!$B$22)&lt;=2,1,IF(INDEX('05_자동선정_유사도'!$K$4:$K$33,$A4)&lt;'02_대상물건입력'!$B$22,'01_설정'!$B$24,IF(INDEX('05_자동선정_유사도'!$K$4:$K$33,$A4)&gt;'02_대상물건입력'!$B$22,'01_설정'!$B$25,1))))</f>
        <v/>
      </c>
      <c r="L4" s="205" t="n"/>
      <c r="M4" s="204">
        <f>IF($A4="","",IF(ABS(INDEX('05_자동선정_유사도'!$J$4:$J$33,$A4)-'02_대상물건입력'!$B$10)&lt;=1,1,IF(ABS(INDEX('05_자동선정_유사도'!$J$4:$J$33,$A4)-'02_대상물건입력'!$B$10)&lt;=5,IF(INDEX('05_자동선정_유사도'!$J$4:$J$33,$A4)&gt;'02_대상물건입력'!$B$10,0.99,1.01),IF(INDEX('05_자동선정_유사도'!$J$4:$J$33,$A4)&gt;'02_대상물건입력'!$B$10,0.98,1.02))))</f>
        <v/>
      </c>
      <c r="N4" s="205" t="n"/>
      <c r="O4" s="204">
        <f>IF($A4="","",'02_대상물건입력'!$B$17)</f>
        <v/>
      </c>
      <c r="P4" s="205" t="n"/>
      <c r="Q4" s="204">
        <f>IF($A4="","",G4*H4*IF(J4="",I4,J4)*IF(L4="",K4,L4)*IF(N4="",M4,N4)*IF(P4="",O4,P4))</f>
        <v/>
      </c>
      <c r="R4" s="174">
        <f>IF($A4="","",F4*Q4)</f>
        <v/>
      </c>
      <c r="S4" s="172">
        <f>IF($A4="","",INDEX('05_자동선정_유사도'!$Q$4:$Q$33,$A4))</f>
        <v/>
      </c>
      <c r="T4" s="204">
        <f>IF(OR(A4="",S4=""),"",S4/SUM($S$4:INDEX($S:$S,3+'01_설정'!$B$9)))</f>
        <v/>
      </c>
      <c r="U4" s="174">
        <f>IF(OR(R4="",T4=""),"",R4*T4)</f>
        <v/>
      </c>
    </row>
    <row r="5" ht="17.25" customHeight="1">
      <c r="A5" s="131">
        <f>IF(ROW()-3&gt;'01_설정'!$B$9,"",IF(INDEX('05_자동선정_유사도'!$C$4:$C$33,ROW()-3)="","",ROW()-3))</f>
        <v/>
      </c>
      <c r="B5" s="48">
        <f>IF($A5="","",INDEX('05_자동선정_유사도'!$E$4:$E$33,$A5))</f>
        <v/>
      </c>
      <c r="C5" s="48">
        <f>IF($A5="","",INDEX('05_자동선정_유사도'!$C$4:$C$33,$A5)&amp;" "&amp;INDEX('05_자동선정_유사도'!$D$4:$D$33,$A5))</f>
        <v/>
      </c>
      <c r="D5" s="172">
        <f>IF($A5="","",INDEX('05_자동선정_유사도'!$F$4:$F$33,$A5))</f>
        <v/>
      </c>
      <c r="E5" s="174">
        <f>IF($A5="","",INDEX('05_자동선정_유사도'!$H$4:$H$33,$A5))</f>
        <v/>
      </c>
      <c r="F5" s="174">
        <f>IF($A5="","",INDEX('05_자동선정_유사도'!$I$4:$I$33,$A5))</f>
        <v/>
      </c>
      <c r="G5" s="203">
        <f>IF($A5="","",IF(ISNUMBER(SEARCH("직거래",INDEX('05_자동선정_유사도'!$M$4:$M$33,$A5))),0.99,'01_설정'!$B$18))</f>
        <v/>
      </c>
      <c r="H5" s="204">
        <f>IF($A5="","",(1+'01_설정'!$B$19)^((('01_설정'!$B$4-INDEX('05_자동선정_유사도'!$G$4:$G$33,$A5)))/365))</f>
        <v/>
      </c>
      <c r="I5" s="204">
        <f>IF($A5="","",IF(INDEX('05_자동선정_유사도'!$N$4:$N$33,$A5)=1,1,'01_설정'!$B$21)*IF(INDEX('05_자동선정_유사도'!$O$4:$O$33,$A5)=1,'01_설정'!$B$22,1))</f>
        <v/>
      </c>
      <c r="J5" s="205" t="n"/>
      <c r="K5" s="204">
        <f>IF($A5="","",IF(INDEX('05_자동선정_유사도'!$P$4:$P$33,$A5)=1,'01_설정'!$B$23,1)*IF(ABS(INDEX('05_자동선정_유사도'!$K$4:$K$33,$A5)-'02_대상물건입력'!$B$22)&lt;=2,1,IF(INDEX('05_자동선정_유사도'!$K$4:$K$33,$A5)&lt;'02_대상물건입력'!$B$22,'01_설정'!$B$24,IF(INDEX('05_자동선정_유사도'!$K$4:$K$33,$A5)&gt;'02_대상물건입력'!$B$22,'01_설정'!$B$25,1))))</f>
        <v/>
      </c>
      <c r="L5" s="205" t="n"/>
      <c r="M5" s="204">
        <f>IF($A5="","",IF(ABS(INDEX('05_자동선정_유사도'!$J$4:$J$33,$A5)-'02_대상물건입력'!$B$10)&lt;=1,1,IF(ABS(INDEX('05_자동선정_유사도'!$J$4:$J$33,$A5)-'02_대상물건입력'!$B$10)&lt;=5,IF(INDEX('05_자동선정_유사도'!$J$4:$J$33,$A5)&gt;'02_대상물건입력'!$B$10,0.99,1.01),IF(INDEX('05_자동선정_유사도'!$J$4:$J$33,$A5)&gt;'02_대상물건입력'!$B$10,0.98,1.02))))</f>
        <v/>
      </c>
      <c r="N5" s="205" t="n"/>
      <c r="O5" s="204">
        <f>IF($A5="","",'02_대상물건입력'!$B$17)</f>
        <v/>
      </c>
      <c r="P5" s="205" t="n"/>
      <c r="Q5" s="204">
        <f>IF($A5="","",G5*H5*IF(J5="",I5,J5)*IF(L5="",K5,L5)*IF(N5="",M5,N5)*IF(P5="",O5,P5))</f>
        <v/>
      </c>
      <c r="R5" s="174">
        <f>IF($A5="","",F5*Q5)</f>
        <v/>
      </c>
      <c r="S5" s="172">
        <f>IF($A5="","",INDEX('05_자동선정_유사도'!$Q$4:$Q$33,$A5))</f>
        <v/>
      </c>
      <c r="T5" s="204">
        <f>IF(OR(A5="",S5=""),"",S5/SUM($S$4:INDEX($S:$S,3+'01_설정'!$B$9)))</f>
        <v/>
      </c>
      <c r="U5" s="174">
        <f>IF(OR(R5="",T5=""),"",R5*T5)</f>
        <v/>
      </c>
    </row>
    <row r="6" ht="17.25" customHeight="1">
      <c r="A6" s="131">
        <f>IF(ROW()-3&gt;'01_설정'!$B$9,"",IF(INDEX('05_자동선정_유사도'!$C$4:$C$33,ROW()-3)="","",ROW()-3))</f>
        <v/>
      </c>
      <c r="B6" s="48">
        <f>IF($A6="","",INDEX('05_자동선정_유사도'!$E$4:$E$33,$A6))</f>
        <v/>
      </c>
      <c r="C6" s="48">
        <f>IF($A6="","",INDEX('05_자동선정_유사도'!$C$4:$C$33,$A6)&amp;" "&amp;INDEX('05_자동선정_유사도'!$D$4:$D$33,$A6))</f>
        <v/>
      </c>
      <c r="D6" s="172">
        <f>IF($A6="","",INDEX('05_자동선정_유사도'!$F$4:$F$33,$A6))</f>
        <v/>
      </c>
      <c r="E6" s="174">
        <f>IF($A6="","",INDEX('05_자동선정_유사도'!$H$4:$H$33,$A6))</f>
        <v/>
      </c>
      <c r="F6" s="174">
        <f>IF($A6="","",INDEX('05_자동선정_유사도'!$I$4:$I$33,$A6))</f>
        <v/>
      </c>
      <c r="G6" s="203">
        <f>IF($A6="","",IF(ISNUMBER(SEARCH("직거래",INDEX('05_자동선정_유사도'!$M$4:$M$33,$A6))),0.99,'01_설정'!$B$18))</f>
        <v/>
      </c>
      <c r="H6" s="204">
        <f>IF($A6="","",(1+'01_설정'!$B$19)^((('01_설정'!$B$4-INDEX('05_자동선정_유사도'!$G$4:$G$33,$A6)))/365))</f>
        <v/>
      </c>
      <c r="I6" s="204">
        <f>IF($A6="","",IF(INDEX('05_자동선정_유사도'!$N$4:$N$33,$A6)=1,1,'01_설정'!$B$21)*IF(INDEX('05_자동선정_유사도'!$O$4:$O$33,$A6)=1,'01_설정'!$B$22,1))</f>
        <v/>
      </c>
      <c r="J6" s="205" t="n"/>
      <c r="K6" s="204">
        <f>IF($A6="","",IF(INDEX('05_자동선정_유사도'!$P$4:$P$33,$A6)=1,'01_설정'!$B$23,1)*IF(ABS(INDEX('05_자동선정_유사도'!$K$4:$K$33,$A6)-'02_대상물건입력'!$B$22)&lt;=2,1,IF(INDEX('05_자동선정_유사도'!$K$4:$K$33,$A6)&lt;'02_대상물건입력'!$B$22,'01_설정'!$B$24,IF(INDEX('05_자동선정_유사도'!$K$4:$K$33,$A6)&gt;'02_대상물건입력'!$B$22,'01_설정'!$B$25,1))))</f>
        <v/>
      </c>
      <c r="L6" s="205" t="n"/>
      <c r="M6" s="204">
        <f>IF($A6="","",IF(ABS(INDEX('05_자동선정_유사도'!$J$4:$J$33,$A6)-'02_대상물건입력'!$B$10)&lt;=1,1,IF(ABS(INDEX('05_자동선정_유사도'!$J$4:$J$33,$A6)-'02_대상물건입력'!$B$10)&lt;=5,IF(INDEX('05_자동선정_유사도'!$J$4:$J$33,$A6)&gt;'02_대상물건입력'!$B$10,0.99,1.01),IF(INDEX('05_자동선정_유사도'!$J$4:$J$33,$A6)&gt;'02_대상물건입력'!$B$10,0.98,1.02))))</f>
        <v/>
      </c>
      <c r="N6" s="205" t="n"/>
      <c r="O6" s="204">
        <f>IF($A6="","",'02_대상물건입력'!$B$17)</f>
        <v/>
      </c>
      <c r="P6" s="205" t="n"/>
      <c r="Q6" s="204">
        <f>IF($A6="","",G6*H6*IF(J6="",I6,J6)*IF(L6="",K6,L6)*IF(N6="",M6,N6)*IF(P6="",O6,P6))</f>
        <v/>
      </c>
      <c r="R6" s="174">
        <f>IF($A6="","",F6*Q6)</f>
        <v/>
      </c>
      <c r="S6" s="172">
        <f>IF($A6="","",INDEX('05_자동선정_유사도'!$Q$4:$Q$33,$A6))</f>
        <v/>
      </c>
      <c r="T6" s="204">
        <f>IF(OR(A6="",S6=""),"",S6/SUM($S$4:INDEX($S:$S,3+'01_설정'!$B$9)))</f>
        <v/>
      </c>
      <c r="U6" s="174">
        <f>IF(OR(R6="",T6=""),"",R6*T6)</f>
        <v/>
      </c>
    </row>
    <row r="7" ht="17.25" customHeight="1">
      <c r="A7" s="131">
        <f>IF(ROW()-3&gt;'01_설정'!$B$9,"",IF(INDEX('05_자동선정_유사도'!$C$4:$C$33,ROW()-3)="","",ROW()-3))</f>
        <v/>
      </c>
      <c r="B7" s="48">
        <f>IF($A7="","",INDEX('05_자동선정_유사도'!$E$4:$E$33,$A7))</f>
        <v/>
      </c>
      <c r="C7" s="48">
        <f>IF($A7="","",INDEX('05_자동선정_유사도'!$C$4:$C$33,$A7)&amp;" "&amp;INDEX('05_자동선정_유사도'!$D$4:$D$33,$A7))</f>
        <v/>
      </c>
      <c r="D7" s="172">
        <f>IF($A7="","",INDEX('05_자동선정_유사도'!$F$4:$F$33,$A7))</f>
        <v/>
      </c>
      <c r="E7" s="174">
        <f>IF($A7="","",INDEX('05_자동선정_유사도'!$H$4:$H$33,$A7))</f>
        <v/>
      </c>
      <c r="F7" s="174">
        <f>IF($A7="","",INDEX('05_자동선정_유사도'!$I$4:$I$33,$A7))</f>
        <v/>
      </c>
      <c r="G7" s="203">
        <f>IF($A7="","",IF(ISNUMBER(SEARCH("직거래",INDEX('05_자동선정_유사도'!$M$4:$M$33,$A7))),0.99,'01_설정'!$B$18))</f>
        <v/>
      </c>
      <c r="H7" s="204">
        <f>IF($A7="","",(1+'01_설정'!$B$19)^((('01_설정'!$B$4-INDEX('05_자동선정_유사도'!$G$4:$G$33,$A7)))/365))</f>
        <v/>
      </c>
      <c r="I7" s="204">
        <f>IF($A7="","",IF(INDEX('05_자동선정_유사도'!$N$4:$N$33,$A7)=1,1,'01_설정'!$B$21)*IF(INDEX('05_자동선정_유사도'!$O$4:$O$33,$A7)=1,'01_설정'!$B$22,1))</f>
        <v/>
      </c>
      <c r="J7" s="205" t="n"/>
      <c r="K7" s="204">
        <f>IF($A7="","",IF(INDEX('05_자동선정_유사도'!$P$4:$P$33,$A7)=1,'01_설정'!$B$23,1)*IF(ABS(INDEX('05_자동선정_유사도'!$K$4:$K$33,$A7)-'02_대상물건입력'!$B$22)&lt;=2,1,IF(INDEX('05_자동선정_유사도'!$K$4:$K$33,$A7)&lt;'02_대상물건입력'!$B$22,'01_설정'!$B$24,IF(INDEX('05_자동선정_유사도'!$K$4:$K$33,$A7)&gt;'02_대상물건입력'!$B$22,'01_설정'!$B$25,1))))</f>
        <v/>
      </c>
      <c r="L7" s="205" t="n"/>
      <c r="M7" s="204">
        <f>IF($A7="","",IF(ABS(INDEX('05_자동선정_유사도'!$J$4:$J$33,$A7)-'02_대상물건입력'!$B$10)&lt;=1,1,IF(ABS(INDEX('05_자동선정_유사도'!$J$4:$J$33,$A7)-'02_대상물건입력'!$B$10)&lt;=5,IF(INDEX('05_자동선정_유사도'!$J$4:$J$33,$A7)&gt;'02_대상물건입력'!$B$10,0.99,1.01),IF(INDEX('05_자동선정_유사도'!$J$4:$J$33,$A7)&gt;'02_대상물건입력'!$B$10,0.98,1.02))))</f>
        <v/>
      </c>
      <c r="N7" s="205" t="n"/>
      <c r="O7" s="204">
        <f>IF($A7="","",'02_대상물건입력'!$B$17)</f>
        <v/>
      </c>
      <c r="P7" s="205" t="n"/>
      <c r="Q7" s="204">
        <f>IF($A7="","",G7*H7*IF(J7="",I7,J7)*IF(L7="",K7,L7)*IF(N7="",M7,N7)*IF(P7="",O7,P7))</f>
        <v/>
      </c>
      <c r="R7" s="174">
        <f>IF($A7="","",F7*Q7)</f>
        <v/>
      </c>
      <c r="S7" s="172">
        <f>IF($A7="","",INDEX('05_자동선정_유사도'!$Q$4:$Q$33,$A7))</f>
        <v/>
      </c>
      <c r="T7" s="204">
        <f>IF(OR(A7="",S7=""),"",S7/SUM($S$4:INDEX($S:$S,3+'01_설정'!$B$9)))</f>
        <v/>
      </c>
      <c r="U7" s="174">
        <f>IF(OR(R7="",T7=""),"",R7*T7)</f>
        <v/>
      </c>
    </row>
    <row r="8" ht="17.25" customHeight="1">
      <c r="A8" s="131">
        <f>IF(ROW()-3&gt;'01_설정'!$B$9,"",IF(INDEX('05_자동선정_유사도'!$C$4:$C$33,ROW()-3)="","",ROW()-3))</f>
        <v/>
      </c>
      <c r="B8" s="48">
        <f>IF($A8="","",INDEX('05_자동선정_유사도'!$E$4:$E$33,$A8))</f>
        <v/>
      </c>
      <c r="C8" s="48">
        <f>IF($A8="","",INDEX('05_자동선정_유사도'!$C$4:$C$33,$A8)&amp;" "&amp;INDEX('05_자동선정_유사도'!$D$4:$D$33,$A8))</f>
        <v/>
      </c>
      <c r="D8" s="172">
        <f>IF($A8="","",INDEX('05_자동선정_유사도'!$F$4:$F$33,$A8))</f>
        <v/>
      </c>
      <c r="E8" s="174">
        <f>IF($A8="","",INDEX('05_자동선정_유사도'!$H$4:$H$33,$A8))</f>
        <v/>
      </c>
      <c r="F8" s="174">
        <f>IF($A8="","",INDEX('05_자동선정_유사도'!$I$4:$I$33,$A8))</f>
        <v/>
      </c>
      <c r="G8" s="203">
        <f>IF($A8="","",IF(ISNUMBER(SEARCH("직거래",INDEX('05_자동선정_유사도'!$M$4:$M$33,$A8))),0.99,'01_설정'!$B$18))</f>
        <v/>
      </c>
      <c r="H8" s="204">
        <f>IF($A8="","",(1+'01_설정'!$B$19)^((('01_설정'!$B$4-INDEX('05_자동선정_유사도'!$G$4:$G$33,$A8)))/365))</f>
        <v/>
      </c>
      <c r="I8" s="204">
        <f>IF($A8="","",IF(INDEX('05_자동선정_유사도'!$N$4:$N$33,$A8)=1,1,'01_설정'!$B$21)*IF(INDEX('05_자동선정_유사도'!$O$4:$O$33,$A8)=1,'01_설정'!$B$22,1))</f>
        <v/>
      </c>
      <c r="J8" s="205" t="n"/>
      <c r="K8" s="204">
        <f>IF($A8="","",IF(INDEX('05_자동선정_유사도'!$P$4:$P$33,$A8)=1,'01_설정'!$B$23,1)*IF(ABS(INDEX('05_자동선정_유사도'!$K$4:$K$33,$A8)-'02_대상물건입력'!$B$22)&lt;=2,1,IF(INDEX('05_자동선정_유사도'!$K$4:$K$33,$A8)&lt;'02_대상물건입력'!$B$22,'01_설정'!$B$24,IF(INDEX('05_자동선정_유사도'!$K$4:$K$33,$A8)&gt;'02_대상물건입력'!$B$22,'01_설정'!$B$25,1))))</f>
        <v/>
      </c>
      <c r="L8" s="205" t="n"/>
      <c r="M8" s="204">
        <f>IF($A8="","",IF(ABS(INDEX('05_자동선정_유사도'!$J$4:$J$33,$A8)-'02_대상물건입력'!$B$10)&lt;=1,1,IF(ABS(INDEX('05_자동선정_유사도'!$J$4:$J$33,$A8)-'02_대상물건입력'!$B$10)&lt;=5,IF(INDEX('05_자동선정_유사도'!$J$4:$J$33,$A8)&gt;'02_대상물건입력'!$B$10,0.99,1.01),IF(INDEX('05_자동선정_유사도'!$J$4:$J$33,$A8)&gt;'02_대상물건입력'!$B$10,0.98,1.02))))</f>
        <v/>
      </c>
      <c r="N8" s="205" t="n"/>
      <c r="O8" s="204">
        <f>IF($A8="","",'02_대상물건입력'!$B$17)</f>
        <v/>
      </c>
      <c r="P8" s="205" t="n"/>
      <c r="Q8" s="204">
        <f>IF($A8="","",G8*H8*IF(J8="",I8,J8)*IF(L8="",K8,L8)*IF(N8="",M8,N8)*IF(P8="",O8,P8))</f>
        <v/>
      </c>
      <c r="R8" s="174">
        <f>IF($A8="","",F8*Q8)</f>
        <v/>
      </c>
      <c r="S8" s="172">
        <f>IF($A8="","",INDEX('05_자동선정_유사도'!$Q$4:$Q$33,$A8))</f>
        <v/>
      </c>
      <c r="T8" s="204">
        <f>IF(OR(A8="",S8=""),"",S8/SUM($S$4:INDEX($S:$S,3+'01_설정'!$B$9)))</f>
        <v/>
      </c>
      <c r="U8" s="174">
        <f>IF(OR(R8="",T8=""),"",R8*T8)</f>
        <v/>
      </c>
    </row>
    <row r="9" ht="17.25" customHeight="1">
      <c r="A9" s="131">
        <f>IF(ROW()-3&gt;'01_설정'!$B$9,"",IF(INDEX('05_자동선정_유사도'!$C$4:$C$33,ROW()-3)="","",ROW()-3))</f>
        <v/>
      </c>
      <c r="B9" s="48">
        <f>IF($A9="","",INDEX('05_자동선정_유사도'!$E$4:$E$33,$A9))</f>
        <v/>
      </c>
      <c r="C9" s="48">
        <f>IF($A9="","",INDEX('05_자동선정_유사도'!$C$4:$C$33,$A9)&amp;" "&amp;INDEX('05_자동선정_유사도'!$D$4:$D$33,$A9))</f>
        <v/>
      </c>
      <c r="D9" s="172">
        <f>IF($A9="","",INDEX('05_자동선정_유사도'!$F$4:$F$33,$A9))</f>
        <v/>
      </c>
      <c r="E9" s="174">
        <f>IF($A9="","",INDEX('05_자동선정_유사도'!$H$4:$H$33,$A9))</f>
        <v/>
      </c>
      <c r="F9" s="174">
        <f>IF($A9="","",INDEX('05_자동선정_유사도'!$I$4:$I$33,$A9))</f>
        <v/>
      </c>
      <c r="G9" s="203">
        <f>IF($A9="","",IF(ISNUMBER(SEARCH("직거래",INDEX('05_자동선정_유사도'!$M$4:$M$33,$A9))),0.99,'01_설정'!$B$18))</f>
        <v/>
      </c>
      <c r="H9" s="204">
        <f>IF($A9="","",(1+'01_설정'!$B$19)^((('01_설정'!$B$4-INDEX('05_자동선정_유사도'!$G$4:$G$33,$A9)))/365))</f>
        <v/>
      </c>
      <c r="I9" s="204">
        <f>IF($A9="","",IF(INDEX('05_자동선정_유사도'!$N$4:$N$33,$A9)=1,1,'01_설정'!$B$21)*IF(INDEX('05_자동선정_유사도'!$O$4:$O$33,$A9)=1,'01_설정'!$B$22,1))</f>
        <v/>
      </c>
      <c r="J9" s="205" t="n"/>
      <c r="K9" s="204">
        <f>IF($A9="","",IF(INDEX('05_자동선정_유사도'!$P$4:$P$33,$A9)=1,'01_설정'!$B$23,1)*IF(ABS(INDEX('05_자동선정_유사도'!$K$4:$K$33,$A9)-'02_대상물건입력'!$B$22)&lt;=2,1,IF(INDEX('05_자동선정_유사도'!$K$4:$K$33,$A9)&lt;'02_대상물건입력'!$B$22,'01_설정'!$B$24,IF(INDEX('05_자동선정_유사도'!$K$4:$K$33,$A9)&gt;'02_대상물건입력'!$B$22,'01_설정'!$B$25,1))))</f>
        <v/>
      </c>
      <c r="L9" s="205" t="n"/>
      <c r="M9" s="204">
        <f>IF($A9="","",IF(ABS(INDEX('05_자동선정_유사도'!$J$4:$J$33,$A9)-'02_대상물건입력'!$B$10)&lt;=1,1,IF(ABS(INDEX('05_자동선정_유사도'!$J$4:$J$33,$A9)-'02_대상물건입력'!$B$10)&lt;=5,IF(INDEX('05_자동선정_유사도'!$J$4:$J$33,$A9)&gt;'02_대상물건입력'!$B$10,0.99,1.01),IF(INDEX('05_자동선정_유사도'!$J$4:$J$33,$A9)&gt;'02_대상물건입력'!$B$10,0.98,1.02))))</f>
        <v/>
      </c>
      <c r="N9" s="205" t="n"/>
      <c r="O9" s="204">
        <f>IF($A9="","",'02_대상물건입력'!$B$17)</f>
        <v/>
      </c>
      <c r="P9" s="205" t="n"/>
      <c r="Q9" s="204">
        <f>IF($A9="","",G9*H9*IF(J9="",I9,J9)*IF(L9="",K9,L9)*IF(N9="",M9,N9)*IF(P9="",O9,P9))</f>
        <v/>
      </c>
      <c r="R9" s="174">
        <f>IF($A9="","",F9*Q9)</f>
        <v/>
      </c>
      <c r="S9" s="172">
        <f>IF($A9="","",INDEX('05_자동선정_유사도'!$Q$4:$Q$33,$A9))</f>
        <v/>
      </c>
      <c r="T9" s="204">
        <f>IF(OR(A9="",S9=""),"",S9/SUM($S$4:INDEX($S:$S,3+'01_설정'!$B$9)))</f>
        <v/>
      </c>
      <c r="U9" s="174">
        <f>IF(OR(R9="",T9=""),"",R9*T9)</f>
        <v/>
      </c>
    </row>
    <row r="10" ht="17.25" customHeight="1">
      <c r="A10" s="131">
        <f>IF(ROW()-3&gt;'01_설정'!$B$9,"",IF(INDEX('05_자동선정_유사도'!$C$4:$C$33,ROW()-3)="","",ROW()-3))</f>
        <v/>
      </c>
      <c r="B10" s="48">
        <f>IF($A10="","",INDEX('05_자동선정_유사도'!$E$4:$E$33,$A10))</f>
        <v/>
      </c>
      <c r="C10" s="48">
        <f>IF($A10="","",INDEX('05_자동선정_유사도'!$C$4:$C$33,$A10)&amp;" "&amp;INDEX('05_자동선정_유사도'!$D$4:$D$33,$A10))</f>
        <v/>
      </c>
      <c r="D10" s="172">
        <f>IF($A10="","",INDEX('05_자동선정_유사도'!$F$4:$F$33,$A10))</f>
        <v/>
      </c>
      <c r="E10" s="174">
        <f>IF($A10="","",INDEX('05_자동선정_유사도'!$H$4:$H$33,$A10))</f>
        <v/>
      </c>
      <c r="F10" s="174">
        <f>IF($A10="","",INDEX('05_자동선정_유사도'!$I$4:$I$33,$A10))</f>
        <v/>
      </c>
      <c r="G10" s="203">
        <f>IF($A10="","",IF(ISNUMBER(SEARCH("직거래",INDEX('05_자동선정_유사도'!$M$4:$M$33,$A10))),0.99,'01_설정'!$B$18))</f>
        <v/>
      </c>
      <c r="H10" s="204">
        <f>IF($A10="","",(1+'01_설정'!$B$19)^((('01_설정'!$B$4-INDEX('05_자동선정_유사도'!$G$4:$G$33,$A10)))/365))</f>
        <v/>
      </c>
      <c r="I10" s="204">
        <f>IF($A10="","",IF(INDEX('05_자동선정_유사도'!$N$4:$N$33,$A10)=1,1,'01_설정'!$B$21)*IF(INDEX('05_자동선정_유사도'!$O$4:$O$33,$A10)=1,'01_설정'!$B$22,1))</f>
        <v/>
      </c>
      <c r="J10" s="205" t="n"/>
      <c r="K10" s="204">
        <f>IF($A10="","",IF(INDEX('05_자동선정_유사도'!$P$4:$P$33,$A10)=1,'01_설정'!$B$23,1)*IF(ABS(INDEX('05_자동선정_유사도'!$K$4:$K$33,$A10)-'02_대상물건입력'!$B$22)&lt;=2,1,IF(INDEX('05_자동선정_유사도'!$K$4:$K$33,$A10)&lt;'02_대상물건입력'!$B$22,'01_설정'!$B$24,IF(INDEX('05_자동선정_유사도'!$K$4:$K$33,$A10)&gt;'02_대상물건입력'!$B$22,'01_설정'!$B$25,1))))</f>
        <v/>
      </c>
      <c r="L10" s="205" t="n"/>
      <c r="M10" s="204">
        <f>IF($A10="","",IF(ABS(INDEX('05_자동선정_유사도'!$J$4:$J$33,$A10)-'02_대상물건입력'!$B$10)&lt;=1,1,IF(ABS(INDEX('05_자동선정_유사도'!$J$4:$J$33,$A10)-'02_대상물건입력'!$B$10)&lt;=5,IF(INDEX('05_자동선정_유사도'!$J$4:$J$33,$A10)&gt;'02_대상물건입력'!$B$10,0.99,1.01),IF(INDEX('05_자동선정_유사도'!$J$4:$J$33,$A10)&gt;'02_대상물건입력'!$B$10,0.98,1.02))))</f>
        <v/>
      </c>
      <c r="N10" s="205" t="n"/>
      <c r="O10" s="204">
        <f>IF($A10="","",'02_대상물건입력'!$B$17)</f>
        <v/>
      </c>
      <c r="P10" s="205" t="n"/>
      <c r="Q10" s="204">
        <f>IF($A10="","",G10*H10*IF(J10="",I10,J10)*IF(L10="",K10,L10)*IF(N10="",M10,N10)*IF(P10="",O10,P10))</f>
        <v/>
      </c>
      <c r="R10" s="174">
        <f>IF($A10="","",F10*Q10)</f>
        <v/>
      </c>
      <c r="S10" s="172">
        <f>IF($A10="","",INDEX('05_자동선정_유사도'!$Q$4:$Q$33,$A10))</f>
        <v/>
      </c>
      <c r="T10" s="204">
        <f>IF(OR(A10="",S10=""),"",S10/SUM($S$4:INDEX($S:$S,3+'01_설정'!$B$9)))</f>
        <v/>
      </c>
      <c r="U10" s="174">
        <f>IF(OR(R10="",T10=""),"",R10*T10)</f>
        <v/>
      </c>
    </row>
    <row r="11" ht="17.25" customHeight="1">
      <c r="A11" s="131">
        <f>IF(ROW()-3&gt;'01_설정'!$B$9,"",IF(INDEX('05_자동선정_유사도'!$C$4:$C$33,ROW()-3)="","",ROW()-3))</f>
        <v/>
      </c>
      <c r="B11" s="48">
        <f>IF($A11="","",INDEX('05_자동선정_유사도'!$E$4:$E$33,$A11))</f>
        <v/>
      </c>
      <c r="C11" s="48">
        <f>IF($A11="","",INDEX('05_자동선정_유사도'!$C$4:$C$33,$A11)&amp;" "&amp;INDEX('05_자동선정_유사도'!$D$4:$D$33,$A11))</f>
        <v/>
      </c>
      <c r="D11" s="172">
        <f>IF($A11="","",INDEX('05_자동선정_유사도'!$F$4:$F$33,$A11))</f>
        <v/>
      </c>
      <c r="E11" s="174">
        <f>IF($A11="","",INDEX('05_자동선정_유사도'!$H$4:$H$33,$A11))</f>
        <v/>
      </c>
      <c r="F11" s="174">
        <f>IF($A11="","",INDEX('05_자동선정_유사도'!$I$4:$I$33,$A11))</f>
        <v/>
      </c>
      <c r="G11" s="203">
        <f>IF($A11="","",IF(ISNUMBER(SEARCH("직거래",INDEX('05_자동선정_유사도'!$M$4:$M$33,$A11))),0.99,'01_설정'!$B$18))</f>
        <v/>
      </c>
      <c r="H11" s="204">
        <f>IF($A11="","",(1+'01_설정'!$B$19)^((('01_설정'!$B$4-INDEX('05_자동선정_유사도'!$G$4:$G$33,$A11)))/365))</f>
        <v/>
      </c>
      <c r="I11" s="204">
        <f>IF($A11="","",IF(INDEX('05_자동선정_유사도'!$N$4:$N$33,$A11)=1,1,'01_설정'!$B$21)*IF(INDEX('05_자동선정_유사도'!$O$4:$O$33,$A11)=1,'01_설정'!$B$22,1))</f>
        <v/>
      </c>
      <c r="J11" s="205" t="n"/>
      <c r="K11" s="204">
        <f>IF($A11="","",IF(INDEX('05_자동선정_유사도'!$P$4:$P$33,$A11)=1,'01_설정'!$B$23,1)*IF(ABS(INDEX('05_자동선정_유사도'!$K$4:$K$33,$A11)-'02_대상물건입력'!$B$22)&lt;=2,1,IF(INDEX('05_자동선정_유사도'!$K$4:$K$33,$A11)&lt;'02_대상물건입력'!$B$22,'01_설정'!$B$24,IF(INDEX('05_자동선정_유사도'!$K$4:$K$33,$A11)&gt;'02_대상물건입력'!$B$22,'01_설정'!$B$25,1))))</f>
        <v/>
      </c>
      <c r="L11" s="205" t="n"/>
      <c r="M11" s="204">
        <f>IF($A11="","",IF(ABS(INDEX('05_자동선정_유사도'!$J$4:$J$33,$A11)-'02_대상물건입력'!$B$10)&lt;=1,1,IF(ABS(INDEX('05_자동선정_유사도'!$J$4:$J$33,$A11)-'02_대상물건입력'!$B$10)&lt;=5,IF(INDEX('05_자동선정_유사도'!$J$4:$J$33,$A11)&gt;'02_대상물건입력'!$B$10,0.99,1.01),IF(INDEX('05_자동선정_유사도'!$J$4:$J$33,$A11)&gt;'02_대상물건입력'!$B$10,0.98,1.02))))</f>
        <v/>
      </c>
      <c r="N11" s="205" t="n"/>
      <c r="O11" s="204">
        <f>IF($A11="","",'02_대상물건입력'!$B$17)</f>
        <v/>
      </c>
      <c r="P11" s="205" t="n"/>
      <c r="Q11" s="204">
        <f>IF($A11="","",G11*H11*IF(J11="",I11,J11)*IF(L11="",K11,L11)*IF(N11="",M11,N11)*IF(P11="",O11,P11))</f>
        <v/>
      </c>
      <c r="R11" s="174">
        <f>IF($A11="","",F11*Q11)</f>
        <v/>
      </c>
      <c r="S11" s="172">
        <f>IF($A11="","",INDEX('05_자동선정_유사도'!$Q$4:$Q$33,$A11))</f>
        <v/>
      </c>
      <c r="T11" s="204">
        <f>IF(OR(A11="",S11=""),"",S11/SUM($S$4:INDEX($S:$S,3+'01_설정'!$B$9)))</f>
        <v/>
      </c>
      <c r="U11" s="174">
        <f>IF(OR(R11="",T11=""),"",R11*T11)</f>
        <v/>
      </c>
    </row>
    <row r="12" ht="17.25" customHeight="1">
      <c r="A12" s="131">
        <f>IF(ROW()-3&gt;'01_설정'!$B$9,"",IF(INDEX('05_자동선정_유사도'!$C$4:$C$33,ROW()-3)="","",ROW()-3))</f>
        <v/>
      </c>
      <c r="B12" s="48">
        <f>IF($A12="","",INDEX('05_자동선정_유사도'!$E$4:$E$33,$A12))</f>
        <v/>
      </c>
      <c r="C12" s="48">
        <f>IF($A12="","",INDEX('05_자동선정_유사도'!$C$4:$C$33,$A12)&amp;" "&amp;INDEX('05_자동선정_유사도'!$D$4:$D$33,$A12))</f>
        <v/>
      </c>
      <c r="D12" s="172">
        <f>IF($A12="","",INDEX('05_자동선정_유사도'!$F$4:$F$33,$A12))</f>
        <v/>
      </c>
      <c r="E12" s="174">
        <f>IF($A12="","",INDEX('05_자동선정_유사도'!$H$4:$H$33,$A12))</f>
        <v/>
      </c>
      <c r="F12" s="174">
        <f>IF($A12="","",INDEX('05_자동선정_유사도'!$I$4:$I$33,$A12))</f>
        <v/>
      </c>
      <c r="G12" s="203">
        <f>IF($A12="","",IF(ISNUMBER(SEARCH("직거래",INDEX('05_자동선정_유사도'!$M$4:$M$33,$A12))),0.99,'01_설정'!$B$18))</f>
        <v/>
      </c>
      <c r="H12" s="204">
        <f>IF($A12="","",(1+'01_설정'!$B$19)^((('01_설정'!$B$4-INDEX('05_자동선정_유사도'!$G$4:$G$33,$A12)))/365))</f>
        <v/>
      </c>
      <c r="I12" s="204">
        <f>IF($A12="","",IF(INDEX('05_자동선정_유사도'!$N$4:$N$33,$A12)=1,1,'01_설정'!$B$21)*IF(INDEX('05_자동선정_유사도'!$O$4:$O$33,$A12)=1,'01_설정'!$B$22,1))</f>
        <v/>
      </c>
      <c r="J12" s="205" t="n"/>
      <c r="K12" s="204">
        <f>IF($A12="","",IF(INDEX('05_자동선정_유사도'!$P$4:$P$33,$A12)=1,'01_설정'!$B$23,1)*IF(ABS(INDEX('05_자동선정_유사도'!$K$4:$K$33,$A12)-'02_대상물건입력'!$B$22)&lt;=2,1,IF(INDEX('05_자동선정_유사도'!$K$4:$K$33,$A12)&lt;'02_대상물건입력'!$B$22,'01_설정'!$B$24,IF(INDEX('05_자동선정_유사도'!$K$4:$K$33,$A12)&gt;'02_대상물건입력'!$B$22,'01_설정'!$B$25,1))))</f>
        <v/>
      </c>
      <c r="L12" s="205" t="n"/>
      <c r="M12" s="204">
        <f>IF($A12="","",IF(ABS(INDEX('05_자동선정_유사도'!$J$4:$J$33,$A12)-'02_대상물건입력'!$B$10)&lt;=1,1,IF(ABS(INDEX('05_자동선정_유사도'!$J$4:$J$33,$A12)-'02_대상물건입력'!$B$10)&lt;=5,IF(INDEX('05_자동선정_유사도'!$J$4:$J$33,$A12)&gt;'02_대상물건입력'!$B$10,0.99,1.01),IF(INDEX('05_자동선정_유사도'!$J$4:$J$33,$A12)&gt;'02_대상물건입력'!$B$10,0.98,1.02))))</f>
        <v/>
      </c>
      <c r="N12" s="205" t="n"/>
      <c r="O12" s="204">
        <f>IF($A12="","",'02_대상물건입력'!$B$17)</f>
        <v/>
      </c>
      <c r="P12" s="205" t="n"/>
      <c r="Q12" s="204">
        <f>IF($A12="","",G12*H12*IF(J12="",I12,J12)*IF(L12="",K12,L12)*IF(N12="",M12,N12)*IF(P12="",O12,P12))</f>
        <v/>
      </c>
      <c r="R12" s="174">
        <f>IF($A12="","",F12*Q12)</f>
        <v/>
      </c>
      <c r="S12" s="172">
        <f>IF($A12="","",INDEX('05_자동선정_유사도'!$Q$4:$Q$33,$A12))</f>
        <v/>
      </c>
      <c r="T12" s="204">
        <f>IF(OR(A12="",S12=""),"",S12/SUM($S$4:INDEX($S:$S,3+'01_설정'!$B$9)))</f>
        <v/>
      </c>
      <c r="U12" s="174">
        <f>IF(OR(R12="",T12=""),"",R12*T12)</f>
        <v/>
      </c>
    </row>
    <row r="13" ht="17.25" customHeight="1">
      <c r="A13" s="131">
        <f>IF(ROW()-3&gt;'01_설정'!$B$9,"",IF(INDEX('05_자동선정_유사도'!$C$4:$C$33,ROW()-3)="","",ROW()-3))</f>
        <v/>
      </c>
      <c r="B13" s="48">
        <f>IF($A13="","",INDEX('05_자동선정_유사도'!$E$4:$E$33,$A13))</f>
        <v/>
      </c>
      <c r="C13" s="48">
        <f>IF($A13="","",INDEX('05_자동선정_유사도'!$C$4:$C$33,$A13)&amp;" "&amp;INDEX('05_자동선정_유사도'!$D$4:$D$33,$A13))</f>
        <v/>
      </c>
      <c r="D13" s="172">
        <f>IF($A13="","",INDEX('05_자동선정_유사도'!$F$4:$F$33,$A13))</f>
        <v/>
      </c>
      <c r="E13" s="174">
        <f>IF($A13="","",INDEX('05_자동선정_유사도'!$H$4:$H$33,$A13))</f>
        <v/>
      </c>
      <c r="F13" s="174">
        <f>IF($A13="","",INDEX('05_자동선정_유사도'!$I$4:$I$33,$A13))</f>
        <v/>
      </c>
      <c r="G13" s="203">
        <f>IF($A13="","",IF(ISNUMBER(SEARCH("직거래",INDEX('05_자동선정_유사도'!$M$4:$M$33,$A13))),0.99,'01_설정'!$B$18))</f>
        <v/>
      </c>
      <c r="H13" s="204">
        <f>IF($A13="","",(1+'01_설정'!$B$19)^((('01_설정'!$B$4-INDEX('05_자동선정_유사도'!$G$4:$G$33,$A13)))/365))</f>
        <v/>
      </c>
      <c r="I13" s="204">
        <f>IF($A13="","",IF(INDEX('05_자동선정_유사도'!$N$4:$N$33,$A13)=1,1,'01_설정'!$B$21)*IF(INDEX('05_자동선정_유사도'!$O$4:$O$33,$A13)=1,'01_설정'!$B$22,1))</f>
        <v/>
      </c>
      <c r="J13" s="205" t="n"/>
      <c r="K13" s="204">
        <f>IF($A13="","",IF(INDEX('05_자동선정_유사도'!$P$4:$P$33,$A13)=1,'01_설정'!$B$23,1)*IF(ABS(INDEX('05_자동선정_유사도'!$K$4:$K$33,$A13)-'02_대상물건입력'!$B$22)&lt;=2,1,IF(INDEX('05_자동선정_유사도'!$K$4:$K$33,$A13)&lt;'02_대상물건입력'!$B$22,'01_설정'!$B$24,IF(INDEX('05_자동선정_유사도'!$K$4:$K$33,$A13)&gt;'02_대상물건입력'!$B$22,'01_설정'!$B$25,1))))</f>
        <v/>
      </c>
      <c r="L13" s="205" t="n"/>
      <c r="M13" s="204">
        <f>IF($A13="","",IF(ABS(INDEX('05_자동선정_유사도'!$J$4:$J$33,$A13)-'02_대상물건입력'!$B$10)&lt;=1,1,IF(ABS(INDEX('05_자동선정_유사도'!$J$4:$J$33,$A13)-'02_대상물건입력'!$B$10)&lt;=5,IF(INDEX('05_자동선정_유사도'!$J$4:$J$33,$A13)&gt;'02_대상물건입력'!$B$10,0.99,1.01),IF(INDEX('05_자동선정_유사도'!$J$4:$J$33,$A13)&gt;'02_대상물건입력'!$B$10,0.98,1.02))))</f>
        <v/>
      </c>
      <c r="N13" s="205" t="n"/>
      <c r="O13" s="204">
        <f>IF($A13="","",'02_대상물건입력'!$B$17)</f>
        <v/>
      </c>
      <c r="P13" s="205" t="n"/>
      <c r="Q13" s="204">
        <f>IF($A13="","",G13*H13*IF(J13="",I13,J13)*IF(L13="",K13,L13)*IF(N13="",M13,N13)*IF(P13="",O13,P13))</f>
        <v/>
      </c>
      <c r="R13" s="174">
        <f>IF($A13="","",F13*Q13)</f>
        <v/>
      </c>
      <c r="S13" s="172">
        <f>IF($A13="","",INDEX('05_자동선정_유사도'!$Q$4:$Q$33,$A13))</f>
        <v/>
      </c>
      <c r="T13" s="204">
        <f>IF(OR(A13="",S13=""),"",S13/SUM($S$4:INDEX($S:$S,3+'01_설정'!$B$9)))</f>
        <v/>
      </c>
      <c r="U13" s="174">
        <f>IF(OR(R13="",T13=""),"",R13*T13)</f>
        <v/>
      </c>
    </row>
    <row r="14" ht="17.25" customHeight="1">
      <c r="A14" s="131">
        <f>IF(ROW()-3&gt;'01_설정'!$B$9,"",IF(INDEX('05_자동선정_유사도'!$C$4:$C$33,ROW()-3)="","",ROW()-3))</f>
        <v/>
      </c>
      <c r="B14" s="48">
        <f>IF($A14="","",INDEX('05_자동선정_유사도'!$E$4:$E$33,$A14))</f>
        <v/>
      </c>
      <c r="C14" s="48">
        <f>IF($A14="","",INDEX('05_자동선정_유사도'!$C$4:$C$33,$A14)&amp;" "&amp;INDEX('05_자동선정_유사도'!$D$4:$D$33,$A14))</f>
        <v/>
      </c>
      <c r="D14" s="172">
        <f>IF($A14="","",INDEX('05_자동선정_유사도'!$F$4:$F$33,$A14))</f>
        <v/>
      </c>
      <c r="E14" s="174">
        <f>IF($A14="","",INDEX('05_자동선정_유사도'!$H$4:$H$33,$A14))</f>
        <v/>
      </c>
      <c r="F14" s="174">
        <f>IF($A14="","",INDEX('05_자동선정_유사도'!$I$4:$I$33,$A14))</f>
        <v/>
      </c>
      <c r="G14" s="203">
        <f>IF($A14="","",IF(ISNUMBER(SEARCH("직거래",INDEX('05_자동선정_유사도'!$M$4:$M$33,$A14))),0.99,'01_설정'!$B$18))</f>
        <v/>
      </c>
      <c r="H14" s="204">
        <f>IF($A14="","",(1+'01_설정'!$B$19)^((('01_설정'!$B$4-INDEX('05_자동선정_유사도'!$G$4:$G$33,$A14)))/365))</f>
        <v/>
      </c>
      <c r="I14" s="204">
        <f>IF($A14="","",IF(INDEX('05_자동선정_유사도'!$N$4:$N$33,$A14)=1,1,'01_설정'!$B$21)*IF(INDEX('05_자동선정_유사도'!$O$4:$O$33,$A14)=1,'01_설정'!$B$22,1))</f>
        <v/>
      </c>
      <c r="J14" s="205" t="n"/>
      <c r="K14" s="204">
        <f>IF($A14="","",IF(INDEX('05_자동선정_유사도'!$P$4:$P$33,$A14)=1,'01_설정'!$B$23,1)*IF(ABS(INDEX('05_자동선정_유사도'!$K$4:$K$33,$A14)-'02_대상물건입력'!$B$22)&lt;=2,1,IF(INDEX('05_자동선정_유사도'!$K$4:$K$33,$A14)&lt;'02_대상물건입력'!$B$22,'01_설정'!$B$24,IF(INDEX('05_자동선정_유사도'!$K$4:$K$33,$A14)&gt;'02_대상물건입력'!$B$22,'01_설정'!$B$25,1))))</f>
        <v/>
      </c>
      <c r="L14" s="205" t="n"/>
      <c r="M14" s="204">
        <f>IF($A14="","",IF(ABS(INDEX('05_자동선정_유사도'!$J$4:$J$33,$A14)-'02_대상물건입력'!$B$10)&lt;=1,1,IF(ABS(INDEX('05_자동선정_유사도'!$J$4:$J$33,$A14)-'02_대상물건입력'!$B$10)&lt;=5,IF(INDEX('05_자동선정_유사도'!$J$4:$J$33,$A14)&gt;'02_대상물건입력'!$B$10,0.99,1.01),IF(INDEX('05_자동선정_유사도'!$J$4:$J$33,$A14)&gt;'02_대상물건입력'!$B$10,0.98,1.02))))</f>
        <v/>
      </c>
      <c r="N14" s="205" t="n"/>
      <c r="O14" s="204">
        <f>IF($A14="","",'02_대상물건입력'!$B$17)</f>
        <v/>
      </c>
      <c r="P14" s="205" t="n"/>
      <c r="Q14" s="204">
        <f>IF($A14="","",G14*H14*IF(J14="",I14,J14)*IF(L14="",K14,L14)*IF(N14="",M14,N14)*IF(P14="",O14,P14))</f>
        <v/>
      </c>
      <c r="R14" s="174">
        <f>IF($A14="","",F14*Q14)</f>
        <v/>
      </c>
      <c r="S14" s="172">
        <f>IF($A14="","",INDEX('05_자동선정_유사도'!$Q$4:$Q$33,$A14))</f>
        <v/>
      </c>
      <c r="T14" s="204">
        <f>IF(OR(A14="",S14=""),"",S14/SUM($S$4:INDEX($S:$S,3+'01_설정'!$B$9)))</f>
        <v/>
      </c>
      <c r="U14" s="174">
        <f>IF(OR(R14="",T14=""),"",R14*T14)</f>
        <v/>
      </c>
    </row>
    <row r="15" ht="17.25" customHeight="1">
      <c r="A15" s="131">
        <f>IF(ROW()-3&gt;'01_설정'!$B$9,"",IF(INDEX('05_자동선정_유사도'!$C$4:$C$33,ROW()-3)="","",ROW()-3))</f>
        <v/>
      </c>
      <c r="B15" s="48">
        <f>IF($A15="","",INDEX('05_자동선정_유사도'!$E$4:$E$33,$A15))</f>
        <v/>
      </c>
      <c r="C15" s="48">
        <f>IF($A15="","",INDEX('05_자동선정_유사도'!$C$4:$C$33,$A15)&amp;" "&amp;INDEX('05_자동선정_유사도'!$D$4:$D$33,$A15))</f>
        <v/>
      </c>
      <c r="D15" s="172">
        <f>IF($A15="","",INDEX('05_자동선정_유사도'!$F$4:$F$33,$A15))</f>
        <v/>
      </c>
      <c r="E15" s="174">
        <f>IF($A15="","",INDEX('05_자동선정_유사도'!$H$4:$H$33,$A15))</f>
        <v/>
      </c>
      <c r="F15" s="174">
        <f>IF($A15="","",INDEX('05_자동선정_유사도'!$I$4:$I$33,$A15))</f>
        <v/>
      </c>
      <c r="G15" s="203">
        <f>IF($A15="","",IF(ISNUMBER(SEARCH("직거래",INDEX('05_자동선정_유사도'!$M$4:$M$33,$A15))),0.99,'01_설정'!$B$18))</f>
        <v/>
      </c>
      <c r="H15" s="204">
        <f>IF($A15="","",(1+'01_설정'!$B$19)^((('01_설정'!$B$4-INDEX('05_자동선정_유사도'!$G$4:$G$33,$A15)))/365))</f>
        <v/>
      </c>
      <c r="I15" s="204">
        <f>IF($A15="","",IF(INDEX('05_자동선정_유사도'!$N$4:$N$33,$A15)=1,1,'01_설정'!$B$21)*IF(INDEX('05_자동선정_유사도'!$O$4:$O$33,$A15)=1,'01_설정'!$B$22,1))</f>
        <v/>
      </c>
      <c r="J15" s="205" t="n"/>
      <c r="K15" s="204">
        <f>IF($A15="","",IF(INDEX('05_자동선정_유사도'!$P$4:$P$33,$A15)=1,'01_설정'!$B$23,1)*IF(ABS(INDEX('05_자동선정_유사도'!$K$4:$K$33,$A15)-'02_대상물건입력'!$B$22)&lt;=2,1,IF(INDEX('05_자동선정_유사도'!$K$4:$K$33,$A15)&lt;'02_대상물건입력'!$B$22,'01_설정'!$B$24,IF(INDEX('05_자동선정_유사도'!$K$4:$K$33,$A15)&gt;'02_대상물건입력'!$B$22,'01_설정'!$B$25,1))))</f>
        <v/>
      </c>
      <c r="L15" s="205" t="n"/>
      <c r="M15" s="204">
        <f>IF($A15="","",IF(ABS(INDEX('05_자동선정_유사도'!$J$4:$J$33,$A15)-'02_대상물건입력'!$B$10)&lt;=1,1,IF(ABS(INDEX('05_자동선정_유사도'!$J$4:$J$33,$A15)-'02_대상물건입력'!$B$10)&lt;=5,IF(INDEX('05_자동선정_유사도'!$J$4:$J$33,$A15)&gt;'02_대상물건입력'!$B$10,0.99,1.01),IF(INDEX('05_자동선정_유사도'!$J$4:$J$33,$A15)&gt;'02_대상물건입력'!$B$10,0.98,1.02))))</f>
        <v/>
      </c>
      <c r="N15" s="205" t="n"/>
      <c r="O15" s="204">
        <f>IF($A15="","",'02_대상물건입력'!$B$17)</f>
        <v/>
      </c>
      <c r="P15" s="205" t="n"/>
      <c r="Q15" s="204">
        <f>IF($A15="","",G15*H15*IF(J15="",I15,J15)*IF(L15="",K15,L15)*IF(N15="",M15,N15)*IF(P15="",O15,P15))</f>
        <v/>
      </c>
      <c r="R15" s="174">
        <f>IF($A15="","",F15*Q15)</f>
        <v/>
      </c>
      <c r="S15" s="172">
        <f>IF($A15="","",INDEX('05_자동선정_유사도'!$Q$4:$Q$33,$A15))</f>
        <v/>
      </c>
      <c r="T15" s="204">
        <f>IF(OR(A15="",S15=""),"",S15/SUM($S$4:INDEX($S:$S,3+'01_설정'!$B$9)))</f>
        <v/>
      </c>
      <c r="U15" s="174">
        <f>IF(OR(R15="",T15=""),"",R15*T15)</f>
        <v/>
      </c>
    </row>
    <row r="16" ht="17.25" customHeight="1">
      <c r="A16" s="131">
        <f>IF(ROW()-3&gt;'01_설정'!$B$9,"",IF(INDEX('05_자동선정_유사도'!$C$4:$C$33,ROW()-3)="","",ROW()-3))</f>
        <v/>
      </c>
      <c r="B16" s="48">
        <f>IF($A16="","",INDEX('05_자동선정_유사도'!$E$4:$E$33,$A16))</f>
        <v/>
      </c>
      <c r="C16" s="48">
        <f>IF($A16="","",INDEX('05_자동선정_유사도'!$C$4:$C$33,$A16)&amp;" "&amp;INDEX('05_자동선정_유사도'!$D$4:$D$33,$A16))</f>
        <v/>
      </c>
      <c r="D16" s="172">
        <f>IF($A16="","",INDEX('05_자동선정_유사도'!$F$4:$F$33,$A16))</f>
        <v/>
      </c>
      <c r="E16" s="174">
        <f>IF($A16="","",INDEX('05_자동선정_유사도'!$H$4:$H$33,$A16))</f>
        <v/>
      </c>
      <c r="F16" s="174">
        <f>IF($A16="","",INDEX('05_자동선정_유사도'!$I$4:$I$33,$A16))</f>
        <v/>
      </c>
      <c r="G16" s="203">
        <f>IF($A16="","",IF(ISNUMBER(SEARCH("직거래",INDEX('05_자동선정_유사도'!$M$4:$M$33,$A16))),0.99,'01_설정'!$B$18))</f>
        <v/>
      </c>
      <c r="H16" s="204">
        <f>IF($A16="","",(1+'01_설정'!$B$19)^((('01_설정'!$B$4-INDEX('05_자동선정_유사도'!$G$4:$G$33,$A16)))/365))</f>
        <v/>
      </c>
      <c r="I16" s="204">
        <f>IF($A16="","",IF(INDEX('05_자동선정_유사도'!$N$4:$N$33,$A16)=1,1,'01_설정'!$B$21)*IF(INDEX('05_자동선정_유사도'!$O$4:$O$33,$A16)=1,'01_설정'!$B$22,1))</f>
        <v/>
      </c>
      <c r="J16" s="205" t="n"/>
      <c r="K16" s="204">
        <f>IF($A16="","",IF(INDEX('05_자동선정_유사도'!$P$4:$P$33,$A16)=1,'01_설정'!$B$23,1)*IF(ABS(INDEX('05_자동선정_유사도'!$K$4:$K$33,$A16)-'02_대상물건입력'!$B$22)&lt;=2,1,IF(INDEX('05_자동선정_유사도'!$K$4:$K$33,$A16)&lt;'02_대상물건입력'!$B$22,'01_설정'!$B$24,IF(INDEX('05_자동선정_유사도'!$K$4:$K$33,$A16)&gt;'02_대상물건입력'!$B$22,'01_설정'!$B$25,1))))</f>
        <v/>
      </c>
      <c r="L16" s="205" t="n"/>
      <c r="M16" s="204">
        <f>IF($A16="","",IF(ABS(INDEX('05_자동선정_유사도'!$J$4:$J$33,$A16)-'02_대상물건입력'!$B$10)&lt;=1,1,IF(ABS(INDEX('05_자동선정_유사도'!$J$4:$J$33,$A16)-'02_대상물건입력'!$B$10)&lt;=5,IF(INDEX('05_자동선정_유사도'!$J$4:$J$33,$A16)&gt;'02_대상물건입력'!$B$10,0.99,1.01),IF(INDEX('05_자동선정_유사도'!$J$4:$J$33,$A16)&gt;'02_대상물건입력'!$B$10,0.98,1.02))))</f>
        <v/>
      </c>
      <c r="N16" s="205" t="n"/>
      <c r="O16" s="204">
        <f>IF($A16="","",'02_대상물건입력'!$B$17)</f>
        <v/>
      </c>
      <c r="P16" s="205" t="n"/>
      <c r="Q16" s="204">
        <f>IF($A16="","",G16*H16*IF(J16="",I16,J16)*IF(L16="",K16,L16)*IF(N16="",M16,N16)*IF(P16="",O16,P16))</f>
        <v/>
      </c>
      <c r="R16" s="174">
        <f>IF($A16="","",F16*Q16)</f>
        <v/>
      </c>
      <c r="S16" s="172">
        <f>IF($A16="","",INDEX('05_자동선정_유사도'!$Q$4:$Q$33,$A16))</f>
        <v/>
      </c>
      <c r="T16" s="204">
        <f>IF(OR(A16="",S16=""),"",S16/SUM($S$4:INDEX($S:$S,3+'01_설정'!$B$9)))</f>
        <v/>
      </c>
      <c r="U16" s="174">
        <f>IF(OR(R16="",T16=""),"",R16*T16)</f>
        <v/>
      </c>
    </row>
    <row r="17" ht="17.25" customHeight="1">
      <c r="A17" s="131">
        <f>IF(ROW()-3&gt;'01_설정'!$B$9,"",IF(INDEX('05_자동선정_유사도'!$C$4:$C$33,ROW()-3)="","",ROW()-3))</f>
        <v/>
      </c>
      <c r="B17" s="48">
        <f>IF($A17="","",INDEX('05_자동선정_유사도'!$E$4:$E$33,$A17))</f>
        <v/>
      </c>
      <c r="C17" s="48">
        <f>IF($A17="","",INDEX('05_자동선정_유사도'!$C$4:$C$33,$A17)&amp;" "&amp;INDEX('05_자동선정_유사도'!$D$4:$D$33,$A17))</f>
        <v/>
      </c>
      <c r="D17" s="172">
        <f>IF($A17="","",INDEX('05_자동선정_유사도'!$F$4:$F$33,$A17))</f>
        <v/>
      </c>
      <c r="E17" s="174">
        <f>IF($A17="","",INDEX('05_자동선정_유사도'!$H$4:$H$33,$A17))</f>
        <v/>
      </c>
      <c r="F17" s="174">
        <f>IF($A17="","",INDEX('05_자동선정_유사도'!$I$4:$I$33,$A17))</f>
        <v/>
      </c>
      <c r="G17" s="203">
        <f>IF($A17="","",IF(ISNUMBER(SEARCH("직거래",INDEX('05_자동선정_유사도'!$M$4:$M$33,$A17))),0.99,'01_설정'!$B$18))</f>
        <v/>
      </c>
      <c r="H17" s="204">
        <f>IF($A17="","",(1+'01_설정'!$B$19)^((('01_설정'!$B$4-INDEX('05_자동선정_유사도'!$G$4:$G$33,$A17)))/365))</f>
        <v/>
      </c>
      <c r="I17" s="204">
        <f>IF($A17="","",IF(INDEX('05_자동선정_유사도'!$N$4:$N$33,$A17)=1,1,'01_설정'!$B$21)*IF(INDEX('05_자동선정_유사도'!$O$4:$O$33,$A17)=1,'01_설정'!$B$22,1))</f>
        <v/>
      </c>
      <c r="J17" s="205" t="n"/>
      <c r="K17" s="204">
        <f>IF($A17="","",IF(INDEX('05_자동선정_유사도'!$P$4:$P$33,$A17)=1,'01_설정'!$B$23,1)*IF(ABS(INDEX('05_자동선정_유사도'!$K$4:$K$33,$A17)-'02_대상물건입력'!$B$22)&lt;=2,1,IF(INDEX('05_자동선정_유사도'!$K$4:$K$33,$A17)&lt;'02_대상물건입력'!$B$22,'01_설정'!$B$24,IF(INDEX('05_자동선정_유사도'!$K$4:$K$33,$A17)&gt;'02_대상물건입력'!$B$22,'01_설정'!$B$25,1))))</f>
        <v/>
      </c>
      <c r="L17" s="205" t="n"/>
      <c r="M17" s="204">
        <f>IF($A17="","",IF(ABS(INDEX('05_자동선정_유사도'!$J$4:$J$33,$A17)-'02_대상물건입력'!$B$10)&lt;=1,1,IF(ABS(INDEX('05_자동선정_유사도'!$J$4:$J$33,$A17)-'02_대상물건입력'!$B$10)&lt;=5,IF(INDEX('05_자동선정_유사도'!$J$4:$J$33,$A17)&gt;'02_대상물건입력'!$B$10,0.99,1.01),IF(INDEX('05_자동선정_유사도'!$J$4:$J$33,$A17)&gt;'02_대상물건입력'!$B$10,0.98,1.02))))</f>
        <v/>
      </c>
      <c r="N17" s="205" t="n"/>
      <c r="O17" s="204">
        <f>IF($A17="","",'02_대상물건입력'!$B$17)</f>
        <v/>
      </c>
      <c r="P17" s="205" t="n"/>
      <c r="Q17" s="204">
        <f>IF($A17="","",G17*H17*IF(J17="",I17,J17)*IF(L17="",K17,L17)*IF(N17="",M17,N17)*IF(P17="",O17,P17))</f>
        <v/>
      </c>
      <c r="R17" s="174">
        <f>IF($A17="","",F17*Q17)</f>
        <v/>
      </c>
      <c r="S17" s="172">
        <f>IF($A17="","",INDEX('05_자동선정_유사도'!$Q$4:$Q$33,$A17))</f>
        <v/>
      </c>
      <c r="T17" s="204">
        <f>IF(OR(A17="",S17=""),"",S17/SUM($S$4:INDEX($S:$S,3+'01_설정'!$B$9)))</f>
        <v/>
      </c>
      <c r="U17" s="174">
        <f>IF(OR(R17="",T17=""),"",R17*T17)</f>
        <v/>
      </c>
    </row>
    <row r="18" ht="17.25" customHeight="1">
      <c r="A18" s="135">
        <f>IF(ROW()-3&gt;'01_설정'!$B$9,"",IF(INDEX('05_자동선정_유사도'!$C$4:$C$33,ROW()-3)="","",ROW()-3))</f>
        <v/>
      </c>
      <c r="B18" s="136">
        <f>IF($A18="","",INDEX('05_자동선정_유사도'!$E$4:$E$33,$A18))</f>
        <v/>
      </c>
      <c r="C18" s="136">
        <f>IF($A18="","",INDEX('05_자동선정_유사도'!$C$4:$C$33,$A18)&amp;" "&amp;INDEX('05_자동선정_유사도'!$D$4:$D$33,$A18))</f>
        <v/>
      </c>
      <c r="D18" s="198">
        <f>IF($A18="","",INDEX('05_자동선정_유사도'!$F$4:$F$33,$A18))</f>
        <v/>
      </c>
      <c r="E18" s="174">
        <f>IF($A18="","",INDEX('05_자동선정_유사도'!$H$4:$H$33,$A18))</f>
        <v/>
      </c>
      <c r="F18" s="174">
        <f>IF($A18="","",INDEX('05_자동선정_유사도'!$I$4:$I$33,$A18))</f>
        <v/>
      </c>
      <c r="G18" s="203">
        <f>IF($A18="","",IF(ISNUMBER(SEARCH("직거래",INDEX('05_자동선정_유사도'!$M$4:$M$33,$A18))),0.99,'01_설정'!$B$18))</f>
        <v/>
      </c>
      <c r="H18" s="204">
        <f>IF($A18="","",(1+'01_설정'!$B$19)^((('01_설정'!$B$4-INDEX('05_자동선정_유사도'!$G$4:$G$33,$A18)))/365))</f>
        <v/>
      </c>
      <c r="I18" s="204">
        <f>IF($A18="","",IF(INDEX('05_자동선정_유사도'!$N$4:$N$33,$A18)=1,1,'01_설정'!$B$21)*IF(INDEX('05_자동선정_유사도'!$O$4:$O$33,$A18)=1,'01_설정'!$B$22,1))</f>
        <v/>
      </c>
      <c r="J18" s="205" t="n"/>
      <c r="K18" s="204">
        <f>IF($A18="","",IF(INDEX('05_자동선정_유사도'!$P$4:$P$33,$A18)=1,'01_설정'!$B$23,1)*IF(ABS(INDEX('05_자동선정_유사도'!$K$4:$K$33,$A18)-'02_대상물건입력'!$B$22)&lt;=2,1,IF(INDEX('05_자동선정_유사도'!$K$4:$K$33,$A18)&lt;'02_대상물건입력'!$B$22,'01_설정'!$B$24,IF(INDEX('05_자동선정_유사도'!$K$4:$K$33,$A18)&gt;'02_대상물건입력'!$B$22,'01_설정'!$B$25,1))))</f>
        <v/>
      </c>
      <c r="L18" s="205" t="n"/>
      <c r="M18" s="204">
        <f>IF($A18="","",IF(ABS(INDEX('05_자동선정_유사도'!$J$4:$J$33,$A18)-'02_대상물건입력'!$B$10)&lt;=1,1,IF(ABS(INDEX('05_자동선정_유사도'!$J$4:$J$33,$A18)-'02_대상물건입력'!$B$10)&lt;=5,IF(INDEX('05_자동선정_유사도'!$J$4:$J$33,$A18)&gt;'02_대상물건입력'!$B$10,0.99,1.01),IF(INDEX('05_자동선정_유사도'!$J$4:$J$33,$A18)&gt;'02_대상물건입력'!$B$10,0.98,1.02))))</f>
        <v/>
      </c>
      <c r="N18" s="205" t="n"/>
      <c r="O18" s="204">
        <f>IF($A18="","",'02_대상물건입력'!$B$17)</f>
        <v/>
      </c>
      <c r="P18" s="205" t="n"/>
      <c r="Q18" s="204">
        <f>IF($A18="","",G18*H18*IF(J18="",I18,J18)*IF(L18="",K18,L18)*IF(N18="",M18,N18)*IF(P18="",O18,P18))</f>
        <v/>
      </c>
      <c r="R18" s="174">
        <f>IF($A18="","",F18*Q18)</f>
        <v/>
      </c>
      <c r="S18" s="172">
        <f>IF($A18="","",INDEX('05_자동선정_유사도'!$Q$4:$Q$33,$A18))</f>
        <v/>
      </c>
      <c r="T18" s="204">
        <f>IF(OR(A18="",S18=""),"",S18/SUM($S$4:INDEX($S:$S,3+'01_설정'!$B$9)))</f>
        <v/>
      </c>
      <c r="U18" s="174">
        <f>IF(OR(R18="",T18=""),"",R18*T18)</f>
        <v/>
      </c>
    </row>
    <row r="19" ht="17.25" customHeight="1">
      <c r="A19" s="135">
        <f>IF(ROW()-3&gt;'01_설정'!$B$9,"",IF(INDEX('05_자동선정_유사도'!$C$4:$C$33,ROW()-3)="","",ROW()-3))</f>
        <v/>
      </c>
      <c r="B19" s="136">
        <f>IF($A19="","",INDEX('05_자동선정_유사도'!$E$4:$E$33,$A19))</f>
        <v/>
      </c>
      <c r="C19" s="136">
        <f>IF($A19="","",INDEX('05_자동선정_유사도'!$C$4:$C$33,$A19)&amp;" "&amp;INDEX('05_자동선정_유사도'!$D$4:$D$33,$A19))</f>
        <v/>
      </c>
      <c r="D19" s="198">
        <f>IF($A19="","",INDEX('05_자동선정_유사도'!$F$4:$F$33,$A19))</f>
        <v/>
      </c>
      <c r="E19" s="174">
        <f>IF($A19="","",INDEX('05_자동선정_유사도'!$H$4:$H$33,$A19))</f>
        <v/>
      </c>
      <c r="F19" s="174">
        <f>IF($A19="","",INDEX('05_자동선정_유사도'!$I$4:$I$33,$A19))</f>
        <v/>
      </c>
      <c r="G19" s="203">
        <f>IF($A19="","",IF(ISNUMBER(SEARCH("직거래",INDEX('05_자동선정_유사도'!$M$4:$M$33,$A19))),0.99,'01_설정'!$B$18))</f>
        <v/>
      </c>
      <c r="H19" s="204">
        <f>IF($A19="","",(1+'01_설정'!$B$19)^((('01_설정'!$B$4-INDEX('05_자동선정_유사도'!$G$4:$G$33,$A19)))/365))</f>
        <v/>
      </c>
      <c r="I19" s="204">
        <f>IF($A19="","",IF(INDEX('05_자동선정_유사도'!$N$4:$N$33,$A19)=1,1,'01_설정'!$B$21)*IF(INDEX('05_자동선정_유사도'!$O$4:$O$33,$A19)=1,'01_설정'!$B$22,1))</f>
        <v/>
      </c>
      <c r="J19" s="205" t="n"/>
      <c r="K19" s="204">
        <f>IF($A19="","",IF(INDEX('05_자동선정_유사도'!$P$4:$P$33,$A19)=1,'01_설정'!$B$23,1)*IF(ABS(INDEX('05_자동선정_유사도'!$K$4:$K$33,$A19)-'02_대상물건입력'!$B$22)&lt;=2,1,IF(INDEX('05_자동선정_유사도'!$K$4:$K$33,$A19)&lt;'02_대상물건입력'!$B$22,'01_설정'!$B$24,IF(INDEX('05_자동선정_유사도'!$K$4:$K$33,$A19)&gt;'02_대상물건입력'!$B$22,'01_설정'!$B$25,1))))</f>
        <v/>
      </c>
      <c r="L19" s="205" t="n"/>
      <c r="M19" s="204">
        <f>IF($A19="","",IF(ABS(INDEX('05_자동선정_유사도'!$J$4:$J$33,$A19)-'02_대상물건입력'!$B$10)&lt;=1,1,IF(ABS(INDEX('05_자동선정_유사도'!$J$4:$J$33,$A19)-'02_대상물건입력'!$B$10)&lt;=5,IF(INDEX('05_자동선정_유사도'!$J$4:$J$33,$A19)&gt;'02_대상물건입력'!$B$10,0.99,1.01),IF(INDEX('05_자동선정_유사도'!$J$4:$J$33,$A19)&gt;'02_대상물건입력'!$B$10,0.98,1.02))))</f>
        <v/>
      </c>
      <c r="N19" s="205" t="n"/>
      <c r="O19" s="204">
        <f>IF($A19="","",'02_대상물건입력'!$B$17)</f>
        <v/>
      </c>
      <c r="P19" s="205" t="n"/>
      <c r="Q19" s="204">
        <f>IF($A19="","",G19*H19*IF(J19="",I19,J19)*IF(L19="",K19,L19)*IF(N19="",M19,N19)*IF(P19="",O19,P19))</f>
        <v/>
      </c>
      <c r="R19" s="174">
        <f>IF($A19="","",F19*Q19)</f>
        <v/>
      </c>
      <c r="S19" s="172">
        <f>IF($A19="","",INDEX('05_자동선정_유사도'!$Q$4:$Q$33,$A19))</f>
        <v/>
      </c>
      <c r="T19" s="204">
        <f>IF(OR(A19="",S19=""),"",S19/SUM($S$4:INDEX($S:$S,3+'01_설정'!$B$9)))</f>
        <v/>
      </c>
      <c r="U19" s="174">
        <f>IF(OR(R19="",T19=""),"",R19*T19)</f>
        <v/>
      </c>
    </row>
    <row r="20" ht="17.25" customHeight="1">
      <c r="A20" s="135">
        <f>IF(ROW()-3&gt;'01_설정'!$B$9,"",IF(INDEX('05_자동선정_유사도'!$C$4:$C$33,ROW()-3)="","",ROW()-3))</f>
        <v/>
      </c>
      <c r="B20" s="136">
        <f>IF($A20="","",INDEX('05_자동선정_유사도'!$E$4:$E$33,$A20))</f>
        <v/>
      </c>
      <c r="C20" s="136">
        <f>IF($A20="","",INDEX('05_자동선정_유사도'!$C$4:$C$33,$A20)&amp;" "&amp;INDEX('05_자동선정_유사도'!$D$4:$D$33,$A20))</f>
        <v/>
      </c>
      <c r="D20" s="198">
        <f>IF($A20="","",INDEX('05_자동선정_유사도'!$F$4:$F$33,$A20))</f>
        <v/>
      </c>
      <c r="E20" s="174">
        <f>IF($A20="","",INDEX('05_자동선정_유사도'!$H$4:$H$33,$A20))</f>
        <v/>
      </c>
      <c r="F20" s="174">
        <f>IF($A20="","",INDEX('05_자동선정_유사도'!$I$4:$I$33,$A20))</f>
        <v/>
      </c>
      <c r="G20" s="203">
        <f>IF($A20="","",IF(ISNUMBER(SEARCH("직거래",INDEX('05_자동선정_유사도'!$M$4:$M$33,$A20))),0.99,'01_설정'!$B$18))</f>
        <v/>
      </c>
      <c r="H20" s="204">
        <f>IF($A20="","",(1+'01_설정'!$B$19)^((('01_설정'!$B$4-INDEX('05_자동선정_유사도'!$G$4:$G$33,$A20)))/365))</f>
        <v/>
      </c>
      <c r="I20" s="204">
        <f>IF($A20="","",IF(INDEX('05_자동선정_유사도'!$N$4:$N$33,$A20)=1,1,'01_설정'!$B$21)*IF(INDEX('05_자동선정_유사도'!$O$4:$O$33,$A20)=1,'01_설정'!$B$22,1))</f>
        <v/>
      </c>
      <c r="J20" s="205" t="n"/>
      <c r="K20" s="204">
        <f>IF($A20="","",IF(INDEX('05_자동선정_유사도'!$P$4:$P$33,$A20)=1,'01_설정'!$B$23,1)*IF(ABS(INDEX('05_자동선정_유사도'!$K$4:$K$33,$A20)-'02_대상물건입력'!$B$22)&lt;=2,1,IF(INDEX('05_자동선정_유사도'!$K$4:$K$33,$A20)&lt;'02_대상물건입력'!$B$22,'01_설정'!$B$24,IF(INDEX('05_자동선정_유사도'!$K$4:$K$33,$A20)&gt;'02_대상물건입력'!$B$22,'01_설정'!$B$25,1))))</f>
        <v/>
      </c>
      <c r="L20" s="205" t="n"/>
      <c r="M20" s="204">
        <f>IF($A20="","",IF(ABS(INDEX('05_자동선정_유사도'!$J$4:$J$33,$A20)-'02_대상물건입력'!$B$10)&lt;=1,1,IF(ABS(INDEX('05_자동선정_유사도'!$J$4:$J$33,$A20)-'02_대상물건입력'!$B$10)&lt;=5,IF(INDEX('05_자동선정_유사도'!$J$4:$J$33,$A20)&gt;'02_대상물건입력'!$B$10,0.99,1.01),IF(INDEX('05_자동선정_유사도'!$J$4:$J$33,$A20)&gt;'02_대상물건입력'!$B$10,0.98,1.02))))</f>
        <v/>
      </c>
      <c r="N20" s="205" t="n"/>
      <c r="O20" s="204">
        <f>IF($A20="","",'02_대상물건입력'!$B$17)</f>
        <v/>
      </c>
      <c r="P20" s="205" t="n"/>
      <c r="Q20" s="204">
        <f>IF($A20="","",G20*H20*IF(J20="",I20,J20)*IF(L20="",K20,L20)*IF(N20="",M20,N20)*IF(P20="",O20,P20))</f>
        <v/>
      </c>
      <c r="R20" s="174">
        <f>IF($A20="","",F20*Q20)</f>
        <v/>
      </c>
      <c r="S20" s="172">
        <f>IF($A20="","",INDEX('05_자동선정_유사도'!$Q$4:$Q$33,$A20))</f>
        <v/>
      </c>
      <c r="T20" s="204">
        <f>IF(OR(A20="",S20=""),"",S20/SUM($S$4:INDEX($S:$S,3+'01_설정'!$B$9)))</f>
        <v/>
      </c>
      <c r="U20" s="174">
        <f>IF(OR(R20="",T20=""),"",R20*T20)</f>
        <v/>
      </c>
    </row>
    <row r="21" ht="17.25" customHeight="1">
      <c r="A21" s="135">
        <f>IF(ROW()-3&gt;'01_설정'!$B$9,"",IF(INDEX('05_자동선정_유사도'!$C$4:$C$33,ROW()-3)="","",ROW()-3))</f>
        <v/>
      </c>
      <c r="B21" s="136">
        <f>IF($A21="","",INDEX('05_자동선정_유사도'!$E$4:$E$33,$A21))</f>
        <v/>
      </c>
      <c r="C21" s="136">
        <f>IF($A21="","",INDEX('05_자동선정_유사도'!$C$4:$C$33,$A21)&amp;" "&amp;INDEX('05_자동선정_유사도'!$D$4:$D$33,$A21))</f>
        <v/>
      </c>
      <c r="D21" s="198">
        <f>IF($A21="","",INDEX('05_자동선정_유사도'!$F$4:$F$33,$A21))</f>
        <v/>
      </c>
      <c r="E21" s="174">
        <f>IF($A21="","",INDEX('05_자동선정_유사도'!$H$4:$H$33,$A21))</f>
        <v/>
      </c>
      <c r="F21" s="174">
        <f>IF($A21="","",INDEX('05_자동선정_유사도'!$I$4:$I$33,$A21))</f>
        <v/>
      </c>
      <c r="G21" s="203">
        <f>IF($A21="","",IF(ISNUMBER(SEARCH("직거래",INDEX('05_자동선정_유사도'!$M$4:$M$33,$A21))),0.99,'01_설정'!$B$18))</f>
        <v/>
      </c>
      <c r="H21" s="204">
        <f>IF($A21="","",(1+'01_설정'!$B$19)^((('01_설정'!$B$4-INDEX('05_자동선정_유사도'!$G$4:$G$33,$A21)))/365))</f>
        <v/>
      </c>
      <c r="I21" s="204">
        <f>IF($A21="","",IF(INDEX('05_자동선정_유사도'!$N$4:$N$33,$A21)=1,1,'01_설정'!$B$21)*IF(INDEX('05_자동선정_유사도'!$O$4:$O$33,$A21)=1,'01_설정'!$B$22,1))</f>
        <v/>
      </c>
      <c r="J21" s="205" t="n"/>
      <c r="K21" s="204">
        <f>IF($A21="","",IF(INDEX('05_자동선정_유사도'!$P$4:$P$33,$A21)=1,'01_설정'!$B$23,1)*IF(ABS(INDEX('05_자동선정_유사도'!$K$4:$K$33,$A21)-'02_대상물건입력'!$B$22)&lt;=2,1,IF(INDEX('05_자동선정_유사도'!$K$4:$K$33,$A21)&lt;'02_대상물건입력'!$B$22,'01_설정'!$B$24,IF(INDEX('05_자동선정_유사도'!$K$4:$K$33,$A21)&gt;'02_대상물건입력'!$B$22,'01_설정'!$B$25,1))))</f>
        <v/>
      </c>
      <c r="L21" s="205" t="n"/>
      <c r="M21" s="204">
        <f>IF($A21="","",IF(ABS(INDEX('05_자동선정_유사도'!$J$4:$J$33,$A21)-'02_대상물건입력'!$B$10)&lt;=1,1,IF(ABS(INDEX('05_자동선정_유사도'!$J$4:$J$33,$A21)-'02_대상물건입력'!$B$10)&lt;=5,IF(INDEX('05_자동선정_유사도'!$J$4:$J$33,$A21)&gt;'02_대상물건입력'!$B$10,0.99,1.01),IF(INDEX('05_자동선정_유사도'!$J$4:$J$33,$A21)&gt;'02_대상물건입력'!$B$10,0.98,1.02))))</f>
        <v/>
      </c>
      <c r="N21" s="205" t="n"/>
      <c r="O21" s="204">
        <f>IF($A21="","",'02_대상물건입력'!$B$17)</f>
        <v/>
      </c>
      <c r="P21" s="205" t="n"/>
      <c r="Q21" s="204">
        <f>IF($A21="","",G21*H21*IF(J21="",I21,J21)*IF(L21="",K21,L21)*IF(N21="",M21,N21)*IF(P21="",O21,P21))</f>
        <v/>
      </c>
      <c r="R21" s="174">
        <f>IF($A21="","",F21*Q21)</f>
        <v/>
      </c>
      <c r="S21" s="172">
        <f>IF($A21="","",INDEX('05_자동선정_유사도'!$Q$4:$Q$33,$A21))</f>
        <v/>
      </c>
      <c r="T21" s="204">
        <f>IF(OR(A21="",S21=""),"",S21/SUM($S$4:INDEX($S:$S,3+'01_설정'!$B$9)))</f>
        <v/>
      </c>
      <c r="U21" s="174">
        <f>IF(OR(R21="",T21=""),"",R21*T21)</f>
        <v/>
      </c>
    </row>
    <row r="22" ht="17.25" customHeight="1">
      <c r="A22" s="135">
        <f>IF(ROW()-3&gt;'01_설정'!$B$9,"",IF(INDEX('05_자동선정_유사도'!$C$4:$C$33,ROW()-3)="","",ROW()-3))</f>
        <v/>
      </c>
      <c r="B22" s="136">
        <f>IF($A22="","",INDEX('05_자동선정_유사도'!$E$4:$E$33,$A22))</f>
        <v/>
      </c>
      <c r="C22" s="136">
        <f>IF($A22="","",INDEX('05_자동선정_유사도'!$C$4:$C$33,$A22)&amp;" "&amp;INDEX('05_자동선정_유사도'!$D$4:$D$33,$A22))</f>
        <v/>
      </c>
      <c r="D22" s="198">
        <f>IF($A22="","",INDEX('05_자동선정_유사도'!$F$4:$F$33,$A22))</f>
        <v/>
      </c>
      <c r="E22" s="174">
        <f>IF($A22="","",INDEX('05_자동선정_유사도'!$H$4:$H$33,$A22))</f>
        <v/>
      </c>
      <c r="F22" s="174">
        <f>IF($A22="","",INDEX('05_자동선정_유사도'!$I$4:$I$33,$A22))</f>
        <v/>
      </c>
      <c r="G22" s="203">
        <f>IF($A22="","",IF(ISNUMBER(SEARCH("직거래",INDEX('05_자동선정_유사도'!$M$4:$M$33,$A22))),0.99,'01_설정'!$B$18))</f>
        <v/>
      </c>
      <c r="H22" s="204">
        <f>IF($A22="","",(1+'01_설정'!$B$19)^((('01_설정'!$B$4-INDEX('05_자동선정_유사도'!$G$4:$G$33,$A22)))/365))</f>
        <v/>
      </c>
      <c r="I22" s="204">
        <f>IF($A22="","",IF(INDEX('05_자동선정_유사도'!$N$4:$N$33,$A22)=1,1,'01_설정'!$B$21)*IF(INDEX('05_자동선정_유사도'!$O$4:$O$33,$A22)=1,'01_설정'!$B$22,1))</f>
        <v/>
      </c>
      <c r="J22" s="205" t="n"/>
      <c r="K22" s="204">
        <f>IF($A22="","",IF(INDEX('05_자동선정_유사도'!$P$4:$P$33,$A22)=1,'01_설정'!$B$23,1)*IF(ABS(INDEX('05_자동선정_유사도'!$K$4:$K$33,$A22)-'02_대상물건입력'!$B$22)&lt;=2,1,IF(INDEX('05_자동선정_유사도'!$K$4:$K$33,$A22)&lt;'02_대상물건입력'!$B$22,'01_설정'!$B$24,IF(INDEX('05_자동선정_유사도'!$K$4:$K$33,$A22)&gt;'02_대상물건입력'!$B$22,'01_설정'!$B$25,1))))</f>
        <v/>
      </c>
      <c r="L22" s="205" t="n"/>
      <c r="M22" s="204">
        <f>IF($A22="","",IF(ABS(INDEX('05_자동선정_유사도'!$J$4:$J$33,$A22)-'02_대상물건입력'!$B$10)&lt;=1,1,IF(ABS(INDEX('05_자동선정_유사도'!$J$4:$J$33,$A22)-'02_대상물건입력'!$B$10)&lt;=5,IF(INDEX('05_자동선정_유사도'!$J$4:$J$33,$A22)&gt;'02_대상물건입력'!$B$10,0.99,1.01),IF(INDEX('05_자동선정_유사도'!$J$4:$J$33,$A22)&gt;'02_대상물건입력'!$B$10,0.98,1.02))))</f>
        <v/>
      </c>
      <c r="N22" s="205" t="n"/>
      <c r="O22" s="204">
        <f>IF($A22="","",'02_대상물건입력'!$B$17)</f>
        <v/>
      </c>
      <c r="P22" s="205" t="n"/>
      <c r="Q22" s="204">
        <f>IF($A22="","",G22*H22*IF(J22="",I22,J22)*IF(L22="",K22,L22)*IF(N22="",M22,N22)*IF(P22="",O22,P22))</f>
        <v/>
      </c>
      <c r="R22" s="174">
        <f>IF($A22="","",F22*Q22)</f>
        <v/>
      </c>
      <c r="S22" s="172">
        <f>IF($A22="","",INDEX('05_자동선정_유사도'!$Q$4:$Q$33,$A22))</f>
        <v/>
      </c>
      <c r="T22" s="204">
        <f>IF(OR(A22="",S22=""),"",S22/SUM($S$4:INDEX($S:$S,3+'01_설정'!$B$9)))</f>
        <v/>
      </c>
      <c r="U22" s="174">
        <f>IF(OR(R22="",T22=""),"",R22*T22)</f>
        <v/>
      </c>
    </row>
    <row r="23" ht="17.25" customHeight="1">
      <c r="A23" s="135">
        <f>IF(ROW()-3&gt;'01_설정'!$B$9,"",IF(INDEX('05_자동선정_유사도'!$C$4:$C$33,ROW()-3)="","",ROW()-3))</f>
        <v/>
      </c>
      <c r="B23" s="136">
        <f>IF($A23="","",INDEX('05_자동선정_유사도'!$E$4:$E$33,$A23))</f>
        <v/>
      </c>
      <c r="C23" s="136">
        <f>IF($A23="","",INDEX('05_자동선정_유사도'!$C$4:$C$33,$A23)&amp;" "&amp;INDEX('05_자동선정_유사도'!$D$4:$D$33,$A23))</f>
        <v/>
      </c>
      <c r="D23" s="198">
        <f>IF($A23="","",INDEX('05_자동선정_유사도'!$F$4:$F$33,$A23))</f>
        <v/>
      </c>
      <c r="E23" s="174">
        <f>IF($A23="","",INDEX('05_자동선정_유사도'!$H$4:$H$33,$A23))</f>
        <v/>
      </c>
      <c r="F23" s="174">
        <f>IF($A23="","",INDEX('05_자동선정_유사도'!$I$4:$I$33,$A23))</f>
        <v/>
      </c>
      <c r="G23" s="203">
        <f>IF($A23="","",IF(ISNUMBER(SEARCH("직거래",INDEX('05_자동선정_유사도'!$M$4:$M$33,$A23))),0.99,'01_설정'!$B$18))</f>
        <v/>
      </c>
      <c r="H23" s="204">
        <f>IF($A23="","",(1+'01_설정'!$B$19)^((('01_설정'!$B$4-INDEX('05_자동선정_유사도'!$G$4:$G$33,$A23)))/365))</f>
        <v/>
      </c>
      <c r="I23" s="204">
        <f>IF($A23="","",IF(INDEX('05_자동선정_유사도'!$N$4:$N$33,$A23)=1,1,'01_설정'!$B$21)*IF(INDEX('05_자동선정_유사도'!$O$4:$O$33,$A23)=1,'01_설정'!$B$22,1))</f>
        <v/>
      </c>
      <c r="J23" s="205" t="n"/>
      <c r="K23" s="204">
        <f>IF($A23="","",IF(INDEX('05_자동선정_유사도'!$P$4:$P$33,$A23)=1,'01_설정'!$B$23,1)*IF(ABS(INDEX('05_자동선정_유사도'!$K$4:$K$33,$A23)-'02_대상물건입력'!$B$22)&lt;=2,1,IF(INDEX('05_자동선정_유사도'!$K$4:$K$33,$A23)&lt;'02_대상물건입력'!$B$22,'01_설정'!$B$24,IF(INDEX('05_자동선정_유사도'!$K$4:$K$33,$A23)&gt;'02_대상물건입력'!$B$22,'01_설정'!$B$25,1))))</f>
        <v/>
      </c>
      <c r="L23" s="205" t="n"/>
      <c r="M23" s="204">
        <f>IF($A23="","",IF(ABS(INDEX('05_자동선정_유사도'!$J$4:$J$33,$A23)-'02_대상물건입력'!$B$10)&lt;=1,1,IF(ABS(INDEX('05_자동선정_유사도'!$J$4:$J$33,$A23)-'02_대상물건입력'!$B$10)&lt;=5,IF(INDEX('05_자동선정_유사도'!$J$4:$J$33,$A23)&gt;'02_대상물건입력'!$B$10,0.99,1.01),IF(INDEX('05_자동선정_유사도'!$J$4:$J$33,$A23)&gt;'02_대상물건입력'!$B$10,0.98,1.02))))</f>
        <v/>
      </c>
      <c r="N23" s="205" t="n"/>
      <c r="O23" s="204">
        <f>IF($A23="","",'02_대상물건입력'!$B$17)</f>
        <v/>
      </c>
      <c r="P23" s="205" t="n"/>
      <c r="Q23" s="204">
        <f>IF($A23="","",G23*H23*IF(J23="",I23,J23)*IF(L23="",K23,L23)*IF(N23="",M23,N23)*IF(P23="",O23,P23))</f>
        <v/>
      </c>
      <c r="R23" s="174">
        <f>IF($A23="","",F23*Q23)</f>
        <v/>
      </c>
      <c r="S23" s="172">
        <f>IF($A23="","",INDEX('05_자동선정_유사도'!$Q$4:$Q$33,$A23))</f>
        <v/>
      </c>
      <c r="T23" s="204">
        <f>IF(OR(A23="",S23=""),"",S23/SUM($S$4:INDEX($S:$S,3+'01_설정'!$B$9)))</f>
        <v/>
      </c>
      <c r="U23" s="174">
        <f>IF(OR(R23="",T23=""),"",R23*T23)</f>
        <v/>
      </c>
    </row>
    <row r="24" ht="17.25" customHeight="1">
      <c r="A24" s="131">
        <f>IF(ROW()-3&gt;'01_설정'!$B$9,"",IF(INDEX('05_자동선정_유사도'!$C$4:$C$33,ROW()-3)="","",ROW()-3))</f>
        <v/>
      </c>
      <c r="B24" s="48">
        <f>IF($A24="","",INDEX('05_자동선정_유사도'!$E$4:$E$33,$A24))</f>
        <v/>
      </c>
      <c r="C24" s="48">
        <f>IF($A24="","",INDEX('05_자동선정_유사도'!$C$4:$C$33,$A24)&amp;" "&amp;INDEX('05_자동선정_유사도'!$D$4:$D$33,$A24))</f>
        <v/>
      </c>
      <c r="D24" s="172">
        <f>IF($A24="","",INDEX('05_자동선정_유사도'!$F$4:$F$33,$A24))</f>
        <v/>
      </c>
      <c r="E24" s="174">
        <f>IF($A24="","",INDEX('05_자동선정_유사도'!$H$4:$H$33,$A24))</f>
        <v/>
      </c>
      <c r="F24" s="174">
        <f>IF($A24="","",INDEX('05_자동선정_유사도'!$I$4:$I$33,$A24))</f>
        <v/>
      </c>
      <c r="G24" s="203">
        <f>IF($A24="","",IF(ISNUMBER(SEARCH("직거래",INDEX('05_자동선정_유사도'!$M$4:$M$33,$A24))),0.99,'01_설정'!$B$18))</f>
        <v/>
      </c>
      <c r="H24" s="204">
        <f>IF($A24="","",(1+'01_설정'!$B$19)^((('01_설정'!$B$4-INDEX('05_자동선정_유사도'!$G$4:$G$33,$A24)))/365))</f>
        <v/>
      </c>
      <c r="I24" s="204">
        <f>IF($A24="","",IF(INDEX('05_자동선정_유사도'!$N$4:$N$33,$A24)=1,1,'01_설정'!$B$21)*IF(INDEX('05_자동선정_유사도'!$O$4:$O$33,$A24)=1,'01_설정'!$B$22,1))</f>
        <v/>
      </c>
      <c r="J24" s="205" t="n"/>
      <c r="K24" s="204">
        <f>IF($A24="","",IF(INDEX('05_자동선정_유사도'!$P$4:$P$33,$A24)=1,'01_설정'!$B$23,1)*IF(ABS(INDEX('05_자동선정_유사도'!$K$4:$K$33,$A24)-'02_대상물건입력'!$B$22)&lt;=2,1,IF(INDEX('05_자동선정_유사도'!$K$4:$K$33,$A24)&lt;'02_대상물건입력'!$B$22,'01_설정'!$B$24,IF(INDEX('05_자동선정_유사도'!$K$4:$K$33,$A24)&gt;'02_대상물건입력'!$B$22,'01_설정'!$B$25,1))))</f>
        <v/>
      </c>
      <c r="L24" s="205" t="n"/>
      <c r="M24" s="204">
        <f>IF($A24="","",IF(ABS(INDEX('05_자동선정_유사도'!$J$4:$J$33,$A24)-'02_대상물건입력'!$B$10)&lt;=1,1,IF(ABS(INDEX('05_자동선정_유사도'!$J$4:$J$33,$A24)-'02_대상물건입력'!$B$10)&lt;=5,IF(INDEX('05_자동선정_유사도'!$J$4:$J$33,$A24)&gt;'02_대상물건입력'!$B$10,0.99,1.01),IF(INDEX('05_자동선정_유사도'!$J$4:$J$33,$A24)&gt;'02_대상물건입력'!$B$10,0.98,1.02))))</f>
        <v/>
      </c>
      <c r="N24" s="205" t="n"/>
      <c r="O24" s="204">
        <f>IF($A24="","",'02_대상물건입력'!$B$17)</f>
        <v/>
      </c>
      <c r="P24" s="205" t="n"/>
      <c r="Q24" s="204">
        <f>IF($A24="","",G24*H24*IF(J24="",I24,J24)*IF(L24="",K24,L24)*IF(N24="",M24,N24)*IF(P24="",O24,P24))</f>
        <v/>
      </c>
      <c r="R24" s="174">
        <f>IF($A24="","",F24*Q24)</f>
        <v/>
      </c>
      <c r="S24" s="172">
        <f>IF($A24="","",INDEX('05_자동선정_유사도'!$Q$4:$Q$33,$A24))</f>
        <v/>
      </c>
      <c r="T24" s="204">
        <f>IF(OR(A24="",S24=""),"",S24/SUM($S$4:INDEX($S:$S,3+'01_설정'!$B$9)))</f>
        <v/>
      </c>
      <c r="U24" s="174">
        <f>IF(OR(R24="",T24=""),"",R24*T24)</f>
        <v/>
      </c>
    </row>
    <row r="25" ht="17.25" customHeight="1">
      <c r="A25" s="131">
        <f>IF(ROW()-3&gt;'01_설정'!$B$9,"",IF(INDEX('05_자동선정_유사도'!$C$4:$C$33,ROW()-3)="","",ROW()-3))</f>
        <v/>
      </c>
      <c r="B25" s="48">
        <f>IF($A25="","",INDEX('05_자동선정_유사도'!$E$4:$E$33,$A25))</f>
        <v/>
      </c>
      <c r="C25" s="48">
        <f>IF($A25="","",INDEX('05_자동선정_유사도'!$C$4:$C$33,$A25)&amp;" "&amp;INDEX('05_자동선정_유사도'!$D$4:$D$33,$A25))</f>
        <v/>
      </c>
      <c r="D25" s="172">
        <f>IF($A25="","",INDEX('05_자동선정_유사도'!$F$4:$F$33,$A25))</f>
        <v/>
      </c>
      <c r="E25" s="174">
        <f>IF($A25="","",INDEX('05_자동선정_유사도'!$H$4:$H$33,$A25))</f>
        <v/>
      </c>
      <c r="F25" s="174">
        <f>IF($A25="","",INDEX('05_자동선정_유사도'!$I$4:$I$33,$A25))</f>
        <v/>
      </c>
      <c r="G25" s="203">
        <f>IF($A25="","",IF(ISNUMBER(SEARCH("직거래",INDEX('05_자동선정_유사도'!$M$4:$M$33,$A25))),0.99,'01_설정'!$B$18))</f>
        <v/>
      </c>
      <c r="H25" s="204">
        <f>IF($A25="","",(1+'01_설정'!$B$19)^((('01_설정'!$B$4-INDEX('05_자동선정_유사도'!$G$4:$G$33,$A25)))/365))</f>
        <v/>
      </c>
      <c r="I25" s="204">
        <f>IF($A25="","",IF(INDEX('05_자동선정_유사도'!$N$4:$N$33,$A25)=1,1,'01_설정'!$B$21)*IF(INDEX('05_자동선정_유사도'!$O$4:$O$33,$A25)=1,'01_설정'!$B$22,1))</f>
        <v/>
      </c>
      <c r="J25" s="205" t="n"/>
      <c r="K25" s="204">
        <f>IF($A25="","",IF(INDEX('05_자동선정_유사도'!$P$4:$P$33,$A25)=1,'01_설정'!$B$23,1)*IF(ABS(INDEX('05_자동선정_유사도'!$K$4:$K$33,$A25)-'02_대상물건입력'!$B$22)&lt;=2,1,IF(INDEX('05_자동선정_유사도'!$K$4:$K$33,$A25)&lt;'02_대상물건입력'!$B$22,'01_설정'!$B$24,IF(INDEX('05_자동선정_유사도'!$K$4:$K$33,$A25)&gt;'02_대상물건입력'!$B$22,'01_설정'!$B$25,1))))</f>
        <v/>
      </c>
      <c r="L25" s="205" t="n"/>
      <c r="M25" s="204">
        <f>IF($A25="","",IF(ABS(INDEX('05_자동선정_유사도'!$J$4:$J$33,$A25)-'02_대상물건입력'!$B$10)&lt;=1,1,IF(ABS(INDEX('05_자동선정_유사도'!$J$4:$J$33,$A25)-'02_대상물건입력'!$B$10)&lt;=5,IF(INDEX('05_자동선정_유사도'!$J$4:$J$33,$A25)&gt;'02_대상물건입력'!$B$10,0.99,1.01),IF(INDEX('05_자동선정_유사도'!$J$4:$J$33,$A25)&gt;'02_대상물건입력'!$B$10,0.98,1.02))))</f>
        <v/>
      </c>
      <c r="N25" s="205" t="n"/>
      <c r="O25" s="204">
        <f>IF($A25="","",'02_대상물건입력'!$B$17)</f>
        <v/>
      </c>
      <c r="P25" s="205" t="n"/>
      <c r="Q25" s="204">
        <f>IF($A25="","",G25*H25*IF(J25="",I25,J25)*IF(L25="",K25,L25)*IF(N25="",M25,N25)*IF(P25="",O25,P25))</f>
        <v/>
      </c>
      <c r="R25" s="174">
        <f>IF($A25="","",F25*Q25)</f>
        <v/>
      </c>
      <c r="S25" s="172">
        <f>IF($A25="","",INDEX('05_자동선정_유사도'!$Q$4:$Q$33,$A25))</f>
        <v/>
      </c>
      <c r="T25" s="204">
        <f>IF(OR(A25="",S25=""),"",S25/SUM($S$4:INDEX($S:$S,3+'01_설정'!$B$9)))</f>
        <v/>
      </c>
      <c r="U25" s="174">
        <f>IF(OR(R25="",T25=""),"",R25*T25)</f>
        <v/>
      </c>
    </row>
    <row r="26" ht="17.25" customHeight="1">
      <c r="A26" s="131">
        <f>IF(ROW()-3&gt;'01_설정'!$B$9,"",IF(INDEX('05_자동선정_유사도'!$C$4:$C$33,ROW()-3)="","",ROW()-3))</f>
        <v/>
      </c>
      <c r="B26" s="48">
        <f>IF($A26="","",INDEX('05_자동선정_유사도'!$E$4:$E$33,$A26))</f>
        <v/>
      </c>
      <c r="C26" s="48">
        <f>IF($A26="","",INDEX('05_자동선정_유사도'!$C$4:$C$33,$A26)&amp;" "&amp;INDEX('05_자동선정_유사도'!$D$4:$D$33,$A26))</f>
        <v/>
      </c>
      <c r="D26" s="172">
        <f>IF($A26="","",INDEX('05_자동선정_유사도'!$F$4:$F$33,$A26))</f>
        <v/>
      </c>
      <c r="E26" s="174">
        <f>IF($A26="","",INDEX('05_자동선정_유사도'!$H$4:$H$33,$A26))</f>
        <v/>
      </c>
      <c r="F26" s="174">
        <f>IF($A26="","",INDEX('05_자동선정_유사도'!$I$4:$I$33,$A26))</f>
        <v/>
      </c>
      <c r="G26" s="203">
        <f>IF($A26="","",IF(ISNUMBER(SEARCH("직거래",INDEX('05_자동선정_유사도'!$M$4:$M$33,$A26))),0.99,'01_설정'!$B$18))</f>
        <v/>
      </c>
      <c r="H26" s="204">
        <f>IF($A26="","",(1+'01_설정'!$B$19)^((('01_설정'!$B$4-INDEX('05_자동선정_유사도'!$G$4:$G$33,$A26)))/365))</f>
        <v/>
      </c>
      <c r="I26" s="204">
        <f>IF($A26="","",IF(INDEX('05_자동선정_유사도'!$N$4:$N$33,$A26)=1,1,'01_설정'!$B$21)*IF(INDEX('05_자동선정_유사도'!$O$4:$O$33,$A26)=1,'01_설정'!$B$22,1))</f>
        <v/>
      </c>
      <c r="J26" s="205" t="n"/>
      <c r="K26" s="204">
        <f>IF($A26="","",IF(INDEX('05_자동선정_유사도'!$P$4:$P$33,$A26)=1,'01_설정'!$B$23,1)*IF(ABS(INDEX('05_자동선정_유사도'!$K$4:$K$33,$A26)-'02_대상물건입력'!$B$22)&lt;=2,1,IF(INDEX('05_자동선정_유사도'!$K$4:$K$33,$A26)&lt;'02_대상물건입력'!$B$22,'01_설정'!$B$24,IF(INDEX('05_자동선정_유사도'!$K$4:$K$33,$A26)&gt;'02_대상물건입력'!$B$22,'01_설정'!$B$25,1))))</f>
        <v/>
      </c>
      <c r="L26" s="205" t="n"/>
      <c r="M26" s="204">
        <f>IF($A26="","",IF(ABS(INDEX('05_자동선정_유사도'!$J$4:$J$33,$A26)-'02_대상물건입력'!$B$10)&lt;=1,1,IF(ABS(INDEX('05_자동선정_유사도'!$J$4:$J$33,$A26)-'02_대상물건입력'!$B$10)&lt;=5,IF(INDEX('05_자동선정_유사도'!$J$4:$J$33,$A26)&gt;'02_대상물건입력'!$B$10,0.99,1.01),IF(INDEX('05_자동선정_유사도'!$J$4:$J$33,$A26)&gt;'02_대상물건입력'!$B$10,0.98,1.02))))</f>
        <v/>
      </c>
      <c r="N26" s="205" t="n"/>
      <c r="O26" s="204">
        <f>IF($A26="","",'02_대상물건입력'!$B$17)</f>
        <v/>
      </c>
      <c r="P26" s="205" t="n"/>
      <c r="Q26" s="204">
        <f>IF($A26="","",G26*H26*IF(J26="",I26,J26)*IF(L26="",K26,L26)*IF(N26="",M26,N26)*IF(P26="",O26,P26))</f>
        <v/>
      </c>
      <c r="R26" s="174">
        <f>IF($A26="","",F26*Q26)</f>
        <v/>
      </c>
      <c r="S26" s="172">
        <f>IF($A26="","",INDEX('05_자동선정_유사도'!$Q$4:$Q$33,$A26))</f>
        <v/>
      </c>
      <c r="T26" s="204">
        <f>IF(OR(A26="",S26=""),"",S26/SUM($S$4:INDEX($S:$S,3+'01_설정'!$B$9)))</f>
        <v/>
      </c>
      <c r="U26" s="174">
        <f>IF(OR(R26="",T26=""),"",R26*T26)</f>
        <v/>
      </c>
    </row>
    <row r="27" ht="17.25" customHeight="1">
      <c r="A27" s="131">
        <f>IF(ROW()-3&gt;'01_설정'!$B$9,"",IF(INDEX('05_자동선정_유사도'!$C$4:$C$33,ROW()-3)="","",ROW()-3))</f>
        <v/>
      </c>
      <c r="B27" s="48">
        <f>IF($A27="","",INDEX('05_자동선정_유사도'!$E$4:$E$33,$A27))</f>
        <v/>
      </c>
      <c r="C27" s="48">
        <f>IF($A27="","",INDEX('05_자동선정_유사도'!$C$4:$C$33,$A27)&amp;" "&amp;INDEX('05_자동선정_유사도'!$D$4:$D$33,$A27))</f>
        <v/>
      </c>
      <c r="D27" s="172">
        <f>IF($A27="","",INDEX('05_자동선정_유사도'!$F$4:$F$33,$A27))</f>
        <v/>
      </c>
      <c r="E27" s="174">
        <f>IF($A27="","",INDEX('05_자동선정_유사도'!$H$4:$H$33,$A27))</f>
        <v/>
      </c>
      <c r="F27" s="174">
        <f>IF($A27="","",INDEX('05_자동선정_유사도'!$I$4:$I$33,$A27))</f>
        <v/>
      </c>
      <c r="G27" s="203">
        <f>IF($A27="","",IF(ISNUMBER(SEARCH("직거래",INDEX('05_자동선정_유사도'!$M$4:$M$33,$A27))),0.99,'01_설정'!$B$18))</f>
        <v/>
      </c>
      <c r="H27" s="204">
        <f>IF($A27="","",(1+'01_설정'!$B$19)^((('01_설정'!$B$4-INDEX('05_자동선정_유사도'!$G$4:$G$33,$A27)))/365))</f>
        <v/>
      </c>
      <c r="I27" s="204">
        <f>IF($A27="","",IF(INDEX('05_자동선정_유사도'!$N$4:$N$33,$A27)=1,1,'01_설정'!$B$21)*IF(INDEX('05_자동선정_유사도'!$O$4:$O$33,$A27)=1,'01_설정'!$B$22,1))</f>
        <v/>
      </c>
      <c r="J27" s="205" t="n"/>
      <c r="K27" s="204">
        <f>IF($A27="","",IF(INDEX('05_자동선정_유사도'!$P$4:$P$33,$A27)=1,'01_설정'!$B$23,1)*IF(ABS(INDEX('05_자동선정_유사도'!$K$4:$K$33,$A27)-'02_대상물건입력'!$B$22)&lt;=2,1,IF(INDEX('05_자동선정_유사도'!$K$4:$K$33,$A27)&lt;'02_대상물건입력'!$B$22,'01_설정'!$B$24,IF(INDEX('05_자동선정_유사도'!$K$4:$K$33,$A27)&gt;'02_대상물건입력'!$B$22,'01_설정'!$B$25,1))))</f>
        <v/>
      </c>
      <c r="L27" s="205" t="n"/>
      <c r="M27" s="204">
        <f>IF($A27="","",IF(ABS(INDEX('05_자동선정_유사도'!$J$4:$J$33,$A27)-'02_대상물건입력'!$B$10)&lt;=1,1,IF(ABS(INDEX('05_자동선정_유사도'!$J$4:$J$33,$A27)-'02_대상물건입력'!$B$10)&lt;=5,IF(INDEX('05_자동선정_유사도'!$J$4:$J$33,$A27)&gt;'02_대상물건입력'!$B$10,0.99,1.01),IF(INDEX('05_자동선정_유사도'!$J$4:$J$33,$A27)&gt;'02_대상물건입력'!$B$10,0.98,1.02))))</f>
        <v/>
      </c>
      <c r="N27" s="205" t="n"/>
      <c r="O27" s="204">
        <f>IF($A27="","",'02_대상물건입력'!$B$17)</f>
        <v/>
      </c>
      <c r="P27" s="205" t="n"/>
      <c r="Q27" s="204">
        <f>IF($A27="","",G27*H27*IF(J27="",I27,J27)*IF(L27="",K27,L27)*IF(N27="",M27,N27)*IF(P27="",O27,P27))</f>
        <v/>
      </c>
      <c r="R27" s="174">
        <f>IF($A27="","",F27*Q27)</f>
        <v/>
      </c>
      <c r="S27" s="172">
        <f>IF($A27="","",INDEX('05_자동선정_유사도'!$Q$4:$Q$33,$A27))</f>
        <v/>
      </c>
      <c r="T27" s="204">
        <f>IF(OR(A27="",S27=""),"",S27/SUM($S$4:INDEX($S:$S,3+'01_설정'!$B$9)))</f>
        <v/>
      </c>
      <c r="U27" s="174">
        <f>IF(OR(R27="",T27=""),"",R27*T27)</f>
        <v/>
      </c>
    </row>
    <row r="28" ht="17.25" customHeight="1">
      <c r="A28" s="131">
        <f>IF(ROW()-3&gt;'01_설정'!$B$9,"",IF(INDEX('05_자동선정_유사도'!$C$4:$C$33,ROW()-3)="","",ROW()-3))</f>
        <v/>
      </c>
      <c r="B28" s="48">
        <f>IF($A28="","",INDEX('05_자동선정_유사도'!$E$4:$E$33,$A28))</f>
        <v/>
      </c>
      <c r="C28" s="48">
        <f>IF($A28="","",INDEX('05_자동선정_유사도'!$C$4:$C$33,$A28)&amp;" "&amp;INDEX('05_자동선정_유사도'!$D$4:$D$33,$A28))</f>
        <v/>
      </c>
      <c r="D28" s="172">
        <f>IF($A28="","",INDEX('05_자동선정_유사도'!$F$4:$F$33,$A28))</f>
        <v/>
      </c>
      <c r="E28" s="174">
        <f>IF($A28="","",INDEX('05_자동선정_유사도'!$H$4:$H$33,$A28))</f>
        <v/>
      </c>
      <c r="F28" s="174">
        <f>IF($A28="","",INDEX('05_자동선정_유사도'!$I$4:$I$33,$A28))</f>
        <v/>
      </c>
      <c r="G28" s="203">
        <f>IF($A28="","",IF(ISNUMBER(SEARCH("직거래",INDEX('05_자동선정_유사도'!$M$4:$M$33,$A28))),0.99,'01_설정'!$B$18))</f>
        <v/>
      </c>
      <c r="H28" s="204">
        <f>IF($A28="","",(1+'01_설정'!$B$19)^((('01_설정'!$B$4-INDEX('05_자동선정_유사도'!$G$4:$G$33,$A28)))/365))</f>
        <v/>
      </c>
      <c r="I28" s="204">
        <f>IF($A28="","",IF(INDEX('05_자동선정_유사도'!$N$4:$N$33,$A28)=1,1,'01_설정'!$B$21)*IF(INDEX('05_자동선정_유사도'!$O$4:$O$33,$A28)=1,'01_설정'!$B$22,1))</f>
        <v/>
      </c>
      <c r="J28" s="205" t="n"/>
      <c r="K28" s="204">
        <f>IF($A28="","",IF(INDEX('05_자동선정_유사도'!$P$4:$P$33,$A28)=1,'01_설정'!$B$23,1)*IF(ABS(INDEX('05_자동선정_유사도'!$K$4:$K$33,$A28)-'02_대상물건입력'!$B$22)&lt;=2,1,IF(INDEX('05_자동선정_유사도'!$K$4:$K$33,$A28)&lt;'02_대상물건입력'!$B$22,'01_설정'!$B$24,IF(INDEX('05_자동선정_유사도'!$K$4:$K$33,$A28)&gt;'02_대상물건입력'!$B$22,'01_설정'!$B$25,1))))</f>
        <v/>
      </c>
      <c r="L28" s="205" t="n"/>
      <c r="M28" s="204">
        <f>IF($A28="","",IF(ABS(INDEX('05_자동선정_유사도'!$J$4:$J$33,$A28)-'02_대상물건입력'!$B$10)&lt;=1,1,IF(ABS(INDEX('05_자동선정_유사도'!$J$4:$J$33,$A28)-'02_대상물건입력'!$B$10)&lt;=5,IF(INDEX('05_자동선정_유사도'!$J$4:$J$33,$A28)&gt;'02_대상물건입력'!$B$10,0.99,1.01),IF(INDEX('05_자동선정_유사도'!$J$4:$J$33,$A28)&gt;'02_대상물건입력'!$B$10,0.98,1.02))))</f>
        <v/>
      </c>
      <c r="N28" s="205" t="n"/>
      <c r="O28" s="204">
        <f>IF($A28="","",'02_대상물건입력'!$B$17)</f>
        <v/>
      </c>
      <c r="P28" s="205" t="n"/>
      <c r="Q28" s="204">
        <f>IF($A28="","",G28*H28*IF(J28="",I28,J28)*IF(L28="",K28,L28)*IF(N28="",M28,N28)*IF(P28="",O28,P28))</f>
        <v/>
      </c>
      <c r="R28" s="174">
        <f>IF($A28="","",F28*Q28)</f>
        <v/>
      </c>
      <c r="S28" s="172">
        <f>IF($A28="","",INDEX('05_자동선정_유사도'!$Q$4:$Q$33,$A28))</f>
        <v/>
      </c>
      <c r="T28" s="204">
        <f>IF(OR(A28="",S28=""),"",S28/SUM($S$4:INDEX($S:$S,3+'01_설정'!$B$9)))</f>
        <v/>
      </c>
      <c r="U28" s="174">
        <f>IF(OR(R28="",T28=""),"",R28*T28)</f>
        <v/>
      </c>
    </row>
    <row r="29" ht="17.25" customHeight="1">
      <c r="A29" s="131">
        <f>IF(ROW()-3&gt;'01_설정'!$B$9,"",IF(INDEX('05_자동선정_유사도'!$C$4:$C$33,ROW()-3)="","",ROW()-3))</f>
        <v/>
      </c>
      <c r="B29" s="48">
        <f>IF($A29="","",INDEX('05_자동선정_유사도'!$E$4:$E$33,$A29))</f>
        <v/>
      </c>
      <c r="C29" s="48">
        <f>IF($A29="","",INDEX('05_자동선정_유사도'!$C$4:$C$33,$A29)&amp;" "&amp;INDEX('05_자동선정_유사도'!$D$4:$D$33,$A29))</f>
        <v/>
      </c>
      <c r="D29" s="172">
        <f>IF($A29="","",INDEX('05_자동선정_유사도'!$F$4:$F$33,$A29))</f>
        <v/>
      </c>
      <c r="E29" s="174">
        <f>IF($A29="","",INDEX('05_자동선정_유사도'!$H$4:$H$33,$A29))</f>
        <v/>
      </c>
      <c r="F29" s="174">
        <f>IF($A29="","",INDEX('05_자동선정_유사도'!$I$4:$I$33,$A29))</f>
        <v/>
      </c>
      <c r="G29" s="203">
        <f>IF($A29="","",IF(ISNUMBER(SEARCH("직거래",INDEX('05_자동선정_유사도'!$M$4:$M$33,$A29))),0.99,'01_설정'!$B$18))</f>
        <v/>
      </c>
      <c r="H29" s="204">
        <f>IF($A29="","",(1+'01_설정'!$B$19)^((('01_설정'!$B$4-INDEX('05_자동선정_유사도'!$G$4:$G$33,$A29)))/365))</f>
        <v/>
      </c>
      <c r="I29" s="204">
        <f>IF($A29="","",IF(INDEX('05_자동선정_유사도'!$N$4:$N$33,$A29)=1,1,'01_설정'!$B$21)*IF(INDEX('05_자동선정_유사도'!$O$4:$O$33,$A29)=1,'01_설정'!$B$22,1))</f>
        <v/>
      </c>
      <c r="J29" s="205" t="n"/>
      <c r="K29" s="204">
        <f>IF($A29="","",IF(INDEX('05_자동선정_유사도'!$P$4:$P$33,$A29)=1,'01_설정'!$B$23,1)*IF(ABS(INDEX('05_자동선정_유사도'!$K$4:$K$33,$A29)-'02_대상물건입력'!$B$22)&lt;=2,1,IF(INDEX('05_자동선정_유사도'!$K$4:$K$33,$A29)&lt;'02_대상물건입력'!$B$22,'01_설정'!$B$24,IF(INDEX('05_자동선정_유사도'!$K$4:$K$33,$A29)&gt;'02_대상물건입력'!$B$22,'01_설정'!$B$25,1))))</f>
        <v/>
      </c>
      <c r="L29" s="205" t="n"/>
      <c r="M29" s="204">
        <f>IF($A29="","",IF(ABS(INDEX('05_자동선정_유사도'!$J$4:$J$33,$A29)-'02_대상물건입력'!$B$10)&lt;=1,1,IF(ABS(INDEX('05_자동선정_유사도'!$J$4:$J$33,$A29)-'02_대상물건입력'!$B$10)&lt;=5,IF(INDEX('05_자동선정_유사도'!$J$4:$J$33,$A29)&gt;'02_대상물건입력'!$B$10,0.99,1.01),IF(INDEX('05_자동선정_유사도'!$J$4:$J$33,$A29)&gt;'02_대상물건입력'!$B$10,0.98,1.02))))</f>
        <v/>
      </c>
      <c r="N29" s="205" t="n"/>
      <c r="O29" s="204">
        <f>IF($A29="","",'02_대상물건입력'!$B$17)</f>
        <v/>
      </c>
      <c r="P29" s="205" t="n"/>
      <c r="Q29" s="204">
        <f>IF($A29="","",G29*H29*IF(J29="",I29,J29)*IF(L29="",K29,L29)*IF(N29="",M29,N29)*IF(P29="",O29,P29))</f>
        <v/>
      </c>
      <c r="R29" s="174">
        <f>IF($A29="","",F29*Q29)</f>
        <v/>
      </c>
      <c r="S29" s="172">
        <f>IF($A29="","",INDEX('05_자동선정_유사도'!$Q$4:$Q$33,$A29))</f>
        <v/>
      </c>
      <c r="T29" s="204">
        <f>IF(OR(A29="",S29=""),"",S29/SUM($S$4:INDEX($S:$S,3+'01_설정'!$B$9)))</f>
        <v/>
      </c>
      <c r="U29" s="174">
        <f>IF(OR(R29="",T29=""),"",R29*T29)</f>
        <v/>
      </c>
    </row>
    <row r="30" ht="17.25" customHeight="1">
      <c r="A30" s="131">
        <f>IF(ROW()-3&gt;'01_설정'!$B$9,"",IF(INDEX('05_자동선정_유사도'!$C$4:$C$33,ROW()-3)="","",ROW()-3))</f>
        <v/>
      </c>
      <c r="B30" s="48">
        <f>IF($A30="","",INDEX('05_자동선정_유사도'!$E$4:$E$33,$A30))</f>
        <v/>
      </c>
      <c r="C30" s="48">
        <f>IF($A30="","",INDEX('05_자동선정_유사도'!$C$4:$C$33,$A30)&amp;" "&amp;INDEX('05_자동선정_유사도'!$D$4:$D$33,$A30))</f>
        <v/>
      </c>
      <c r="D30" s="172">
        <f>IF($A30="","",INDEX('05_자동선정_유사도'!$F$4:$F$33,$A30))</f>
        <v/>
      </c>
      <c r="E30" s="174">
        <f>IF($A30="","",INDEX('05_자동선정_유사도'!$H$4:$H$33,$A30))</f>
        <v/>
      </c>
      <c r="F30" s="174">
        <f>IF($A30="","",INDEX('05_자동선정_유사도'!$I$4:$I$33,$A30))</f>
        <v/>
      </c>
      <c r="G30" s="203">
        <f>IF($A30="","",IF(ISNUMBER(SEARCH("직거래",INDEX('05_자동선정_유사도'!$M$4:$M$33,$A30))),0.99,'01_설정'!$B$18))</f>
        <v/>
      </c>
      <c r="H30" s="204">
        <f>IF($A30="","",(1+'01_설정'!$B$19)^((('01_설정'!$B$4-INDEX('05_자동선정_유사도'!$G$4:$G$33,$A30)))/365))</f>
        <v/>
      </c>
      <c r="I30" s="204">
        <f>IF($A30="","",IF(INDEX('05_자동선정_유사도'!$N$4:$N$33,$A30)=1,1,'01_설정'!$B$21)*IF(INDEX('05_자동선정_유사도'!$O$4:$O$33,$A30)=1,'01_설정'!$B$22,1))</f>
        <v/>
      </c>
      <c r="J30" s="205" t="n"/>
      <c r="K30" s="204">
        <f>IF($A30="","",IF(INDEX('05_자동선정_유사도'!$P$4:$P$33,$A30)=1,'01_설정'!$B$23,1)*IF(ABS(INDEX('05_자동선정_유사도'!$K$4:$K$33,$A30)-'02_대상물건입력'!$B$22)&lt;=2,1,IF(INDEX('05_자동선정_유사도'!$K$4:$K$33,$A30)&lt;'02_대상물건입력'!$B$22,'01_설정'!$B$24,IF(INDEX('05_자동선정_유사도'!$K$4:$K$33,$A30)&gt;'02_대상물건입력'!$B$22,'01_설정'!$B$25,1))))</f>
        <v/>
      </c>
      <c r="L30" s="205" t="n"/>
      <c r="M30" s="204">
        <f>IF($A30="","",IF(ABS(INDEX('05_자동선정_유사도'!$J$4:$J$33,$A30)-'02_대상물건입력'!$B$10)&lt;=1,1,IF(ABS(INDEX('05_자동선정_유사도'!$J$4:$J$33,$A30)-'02_대상물건입력'!$B$10)&lt;=5,IF(INDEX('05_자동선정_유사도'!$J$4:$J$33,$A30)&gt;'02_대상물건입력'!$B$10,0.99,1.01),IF(INDEX('05_자동선정_유사도'!$J$4:$J$33,$A30)&gt;'02_대상물건입력'!$B$10,0.98,1.02))))</f>
        <v/>
      </c>
      <c r="N30" s="205" t="n"/>
      <c r="O30" s="204">
        <f>IF($A30="","",'02_대상물건입력'!$B$17)</f>
        <v/>
      </c>
      <c r="P30" s="205" t="n"/>
      <c r="Q30" s="204">
        <f>IF($A30="","",G30*H30*IF(J30="",I30,J30)*IF(L30="",K30,L30)*IF(N30="",M30,N30)*IF(P30="",O30,P30))</f>
        <v/>
      </c>
      <c r="R30" s="174">
        <f>IF($A30="","",F30*Q30)</f>
        <v/>
      </c>
      <c r="S30" s="172">
        <f>IF($A30="","",INDEX('05_자동선정_유사도'!$Q$4:$Q$33,$A30))</f>
        <v/>
      </c>
      <c r="T30" s="204">
        <f>IF(OR(A30="",S30=""),"",S30/SUM($S$4:INDEX($S:$S,3+'01_설정'!$B$9)))</f>
        <v/>
      </c>
      <c r="U30" s="174">
        <f>IF(OR(R30="",T30=""),"",R30*T30)</f>
        <v/>
      </c>
    </row>
    <row r="31" ht="17.25" customHeight="1">
      <c r="A31" s="131">
        <f>IF(ROW()-3&gt;'01_설정'!$B$9,"",IF(INDEX('05_자동선정_유사도'!$C$4:$C$33,ROW()-3)="","",ROW()-3))</f>
        <v/>
      </c>
      <c r="B31" s="48">
        <f>IF($A31="","",INDEX('05_자동선정_유사도'!$E$4:$E$33,$A31))</f>
        <v/>
      </c>
      <c r="C31" s="48">
        <f>IF($A31="","",INDEX('05_자동선정_유사도'!$C$4:$C$33,$A31)&amp;" "&amp;INDEX('05_자동선정_유사도'!$D$4:$D$33,$A31))</f>
        <v/>
      </c>
      <c r="D31" s="172">
        <f>IF($A31="","",INDEX('05_자동선정_유사도'!$F$4:$F$33,$A31))</f>
        <v/>
      </c>
      <c r="E31" s="174">
        <f>IF($A31="","",INDEX('05_자동선정_유사도'!$H$4:$H$33,$A31))</f>
        <v/>
      </c>
      <c r="F31" s="174">
        <f>IF($A31="","",INDEX('05_자동선정_유사도'!$I$4:$I$33,$A31))</f>
        <v/>
      </c>
      <c r="G31" s="203">
        <f>IF($A31="","",IF(ISNUMBER(SEARCH("직거래",INDEX('05_자동선정_유사도'!$M$4:$M$33,$A31))),0.99,'01_설정'!$B$18))</f>
        <v/>
      </c>
      <c r="H31" s="204">
        <f>IF($A31="","",(1+'01_설정'!$B$19)^((('01_설정'!$B$4-INDEX('05_자동선정_유사도'!$G$4:$G$33,$A31)))/365))</f>
        <v/>
      </c>
      <c r="I31" s="204">
        <f>IF($A31="","",IF(INDEX('05_자동선정_유사도'!$N$4:$N$33,$A31)=1,1,'01_설정'!$B$21)*IF(INDEX('05_자동선정_유사도'!$O$4:$O$33,$A31)=1,'01_설정'!$B$22,1))</f>
        <v/>
      </c>
      <c r="J31" s="205" t="n"/>
      <c r="K31" s="204">
        <f>IF($A31="","",IF(INDEX('05_자동선정_유사도'!$P$4:$P$33,$A31)=1,'01_설정'!$B$23,1)*IF(ABS(INDEX('05_자동선정_유사도'!$K$4:$K$33,$A31)-'02_대상물건입력'!$B$22)&lt;=2,1,IF(INDEX('05_자동선정_유사도'!$K$4:$K$33,$A31)&lt;'02_대상물건입력'!$B$22,'01_설정'!$B$24,IF(INDEX('05_자동선정_유사도'!$K$4:$K$33,$A31)&gt;'02_대상물건입력'!$B$22,'01_설정'!$B$25,1))))</f>
        <v/>
      </c>
      <c r="L31" s="205" t="n"/>
      <c r="M31" s="204">
        <f>IF($A31="","",IF(ABS(INDEX('05_자동선정_유사도'!$J$4:$J$33,$A31)-'02_대상물건입력'!$B$10)&lt;=1,1,IF(ABS(INDEX('05_자동선정_유사도'!$J$4:$J$33,$A31)-'02_대상물건입력'!$B$10)&lt;=5,IF(INDEX('05_자동선정_유사도'!$J$4:$J$33,$A31)&gt;'02_대상물건입력'!$B$10,0.99,1.01),IF(INDEX('05_자동선정_유사도'!$J$4:$J$33,$A31)&gt;'02_대상물건입력'!$B$10,0.98,1.02))))</f>
        <v/>
      </c>
      <c r="N31" s="205" t="n"/>
      <c r="O31" s="204">
        <f>IF($A31="","",'02_대상물건입력'!$B$17)</f>
        <v/>
      </c>
      <c r="P31" s="205" t="n"/>
      <c r="Q31" s="204">
        <f>IF($A31="","",G31*H31*IF(J31="",I31,J31)*IF(L31="",K31,L31)*IF(N31="",M31,N31)*IF(P31="",O31,P31))</f>
        <v/>
      </c>
      <c r="R31" s="174">
        <f>IF($A31="","",F31*Q31)</f>
        <v/>
      </c>
      <c r="S31" s="172">
        <f>IF($A31="","",INDEX('05_자동선정_유사도'!$Q$4:$Q$33,$A31))</f>
        <v/>
      </c>
      <c r="T31" s="204">
        <f>IF(OR(A31="",S31=""),"",S31/SUM($S$4:INDEX($S:$S,3+'01_설정'!$B$9)))</f>
        <v/>
      </c>
      <c r="U31" s="174">
        <f>IF(OR(R31="",T31=""),"",R31*T31)</f>
        <v/>
      </c>
    </row>
    <row r="32" ht="17.25" customHeight="1">
      <c r="A32" s="131">
        <f>IF(ROW()-3&gt;'01_설정'!$B$9,"",IF(INDEX('05_자동선정_유사도'!$C$4:$C$33,ROW()-3)="","",ROW()-3))</f>
        <v/>
      </c>
      <c r="B32" s="48">
        <f>IF($A32="","",INDEX('05_자동선정_유사도'!$E$4:$E$33,$A32))</f>
        <v/>
      </c>
      <c r="C32" s="48">
        <f>IF($A32="","",INDEX('05_자동선정_유사도'!$C$4:$C$33,$A32)&amp;" "&amp;INDEX('05_자동선정_유사도'!$D$4:$D$33,$A32))</f>
        <v/>
      </c>
      <c r="D32" s="172">
        <f>IF($A32="","",INDEX('05_자동선정_유사도'!$F$4:$F$33,$A32))</f>
        <v/>
      </c>
      <c r="E32" s="174">
        <f>IF($A32="","",INDEX('05_자동선정_유사도'!$H$4:$H$33,$A32))</f>
        <v/>
      </c>
      <c r="F32" s="174">
        <f>IF($A32="","",INDEX('05_자동선정_유사도'!$I$4:$I$33,$A32))</f>
        <v/>
      </c>
      <c r="G32" s="203">
        <f>IF($A32="","",IF(ISNUMBER(SEARCH("직거래",INDEX('05_자동선정_유사도'!$M$4:$M$33,$A32))),0.99,'01_설정'!$B$18))</f>
        <v/>
      </c>
      <c r="H32" s="204">
        <f>IF($A32="","",(1+'01_설정'!$B$19)^((('01_설정'!$B$4-INDEX('05_자동선정_유사도'!$G$4:$G$33,$A32)))/365))</f>
        <v/>
      </c>
      <c r="I32" s="204">
        <f>IF($A32="","",IF(INDEX('05_자동선정_유사도'!$N$4:$N$33,$A32)=1,1,'01_설정'!$B$21)*IF(INDEX('05_자동선정_유사도'!$O$4:$O$33,$A32)=1,'01_설정'!$B$22,1))</f>
        <v/>
      </c>
      <c r="J32" s="205" t="n"/>
      <c r="K32" s="204">
        <f>IF($A32="","",IF(INDEX('05_자동선정_유사도'!$P$4:$P$33,$A32)=1,'01_설정'!$B$23,1)*IF(ABS(INDEX('05_자동선정_유사도'!$K$4:$K$33,$A32)-'02_대상물건입력'!$B$22)&lt;=2,1,IF(INDEX('05_자동선정_유사도'!$K$4:$K$33,$A32)&lt;'02_대상물건입력'!$B$22,'01_설정'!$B$24,IF(INDEX('05_자동선정_유사도'!$K$4:$K$33,$A32)&gt;'02_대상물건입력'!$B$22,'01_설정'!$B$25,1))))</f>
        <v/>
      </c>
      <c r="L32" s="205" t="n"/>
      <c r="M32" s="204">
        <f>IF($A32="","",IF(ABS(INDEX('05_자동선정_유사도'!$J$4:$J$33,$A32)-'02_대상물건입력'!$B$10)&lt;=1,1,IF(ABS(INDEX('05_자동선정_유사도'!$J$4:$J$33,$A32)-'02_대상물건입력'!$B$10)&lt;=5,IF(INDEX('05_자동선정_유사도'!$J$4:$J$33,$A32)&gt;'02_대상물건입력'!$B$10,0.99,1.01),IF(INDEX('05_자동선정_유사도'!$J$4:$J$33,$A32)&gt;'02_대상물건입력'!$B$10,0.98,1.02))))</f>
        <v/>
      </c>
      <c r="N32" s="205" t="n"/>
      <c r="O32" s="204">
        <f>IF($A32="","",'02_대상물건입력'!$B$17)</f>
        <v/>
      </c>
      <c r="P32" s="205" t="n"/>
      <c r="Q32" s="204">
        <f>IF($A32="","",G32*H32*IF(J32="",I32,J32)*IF(L32="",K32,L32)*IF(N32="",M32,N32)*IF(P32="",O32,P32))</f>
        <v/>
      </c>
      <c r="R32" s="174">
        <f>IF($A32="","",F32*Q32)</f>
        <v/>
      </c>
      <c r="S32" s="172">
        <f>IF($A32="","",INDEX('05_자동선정_유사도'!$Q$4:$Q$33,$A32))</f>
        <v/>
      </c>
      <c r="T32" s="204">
        <f>IF(OR(A32="",S32=""),"",S32/SUM($S$4:INDEX($S:$S,3+'01_설정'!$B$9)))</f>
        <v/>
      </c>
      <c r="U32" s="174">
        <f>IF(OR(R32="",T32=""),"",R32*T32)</f>
        <v/>
      </c>
    </row>
    <row r="33" ht="17.25" customHeight="1">
      <c r="A33" s="135">
        <f>IF(ROW()-3&gt;'01_설정'!$B$9,"",IF(INDEX('05_자동선정_유사도'!$C$4:$C$33,ROW()-3)="","",ROW()-3))</f>
        <v/>
      </c>
      <c r="B33" s="136">
        <f>IF($A33="","",INDEX('05_자동선정_유사도'!$E$4:$E$33,$A33))</f>
        <v/>
      </c>
      <c r="C33" s="136">
        <f>IF($A33="","",INDEX('05_자동선정_유사도'!$C$4:$C$33,$A33)&amp;" "&amp;INDEX('05_자동선정_유사도'!$D$4:$D$33,$A33))</f>
        <v/>
      </c>
      <c r="D33" s="198">
        <f>IF($A33="","",INDEX('05_자동선정_유사도'!$F$4:$F$33,$A33))</f>
        <v/>
      </c>
      <c r="E33" s="174">
        <f>IF($A33="","",INDEX('05_자동선정_유사도'!$H$4:$H$33,$A33))</f>
        <v/>
      </c>
      <c r="F33" s="174">
        <f>IF($A33="","",INDEX('05_자동선정_유사도'!$I$4:$I$33,$A33))</f>
        <v/>
      </c>
      <c r="G33" s="203">
        <f>IF($A33="","",IF(ISNUMBER(SEARCH("직거래",INDEX('05_자동선정_유사도'!$M$4:$M$33,$A33))),0.99,'01_설정'!$B$18))</f>
        <v/>
      </c>
      <c r="H33" s="204">
        <f>IF($A33="","",(1+'01_설정'!$B$19)^((('01_설정'!$B$4-INDEX('05_자동선정_유사도'!$G$4:$G$33,$A33)))/365))</f>
        <v/>
      </c>
      <c r="I33" s="204">
        <f>IF($A33="","",IF(INDEX('05_자동선정_유사도'!$N$4:$N$33,$A33)=1,1,'01_설정'!$B$21)*IF(INDEX('05_자동선정_유사도'!$O$4:$O$33,$A33)=1,'01_설정'!$B$22,1))</f>
        <v/>
      </c>
      <c r="J33" s="205" t="n"/>
      <c r="K33" s="204">
        <f>IF($A33="","",IF(INDEX('05_자동선정_유사도'!$P$4:$P$33,$A33)=1,'01_설정'!$B$23,1)*IF(ABS(INDEX('05_자동선정_유사도'!$K$4:$K$33,$A33)-'02_대상물건입력'!$B$22)&lt;=2,1,IF(INDEX('05_자동선정_유사도'!$K$4:$K$33,$A33)&lt;'02_대상물건입력'!$B$22,'01_설정'!$B$24,IF(INDEX('05_자동선정_유사도'!$K$4:$K$33,$A33)&gt;'02_대상물건입력'!$B$22,'01_설정'!$B$25,1))))</f>
        <v/>
      </c>
      <c r="L33" s="205" t="n"/>
      <c r="M33" s="204">
        <f>IF($A33="","",IF(ABS(INDEX('05_자동선정_유사도'!$J$4:$J$33,$A33)-'02_대상물건입력'!$B$10)&lt;=1,1,IF(ABS(INDEX('05_자동선정_유사도'!$J$4:$J$33,$A33)-'02_대상물건입력'!$B$10)&lt;=5,IF(INDEX('05_자동선정_유사도'!$J$4:$J$33,$A33)&gt;'02_대상물건입력'!$B$10,0.99,1.01),IF(INDEX('05_자동선정_유사도'!$J$4:$J$33,$A33)&gt;'02_대상물건입력'!$B$10,0.98,1.02))))</f>
        <v/>
      </c>
      <c r="N33" s="205" t="n"/>
      <c r="O33" s="204">
        <f>IF($A33="","",'02_대상물건입력'!$B$17)</f>
        <v/>
      </c>
      <c r="P33" s="205" t="n"/>
      <c r="Q33" s="204">
        <f>IF($A33="","",G33*H33*IF(J33="",I33,J33)*IF(L33="",K33,L33)*IF(N33="",M33,N33)*IF(P33="",O33,P33))</f>
        <v/>
      </c>
      <c r="R33" s="174">
        <f>IF($A33="","",F33*Q33)</f>
        <v/>
      </c>
      <c r="S33" s="172">
        <f>IF($A33="","",INDEX('05_자동선정_유사도'!$Q$4:$Q$33,$A33))</f>
        <v/>
      </c>
      <c r="T33" s="204">
        <f>IF(OR(A33="",S33=""),"",S33/SUM($S$4:INDEX($S:$S,3+'01_설정'!$B$9)))</f>
        <v/>
      </c>
      <c r="U33" s="174">
        <f>IF(OR(R33="",T33=""),"",R33*T33)</f>
        <v/>
      </c>
    </row>
    <row r="35" ht="16.5" customHeight="1">
      <c r="A35" s="1" t="n"/>
      <c r="B35" s="15" t="inlineStr">
        <is>
          <t>채택단가(원/㎡)</t>
        </is>
      </c>
      <c r="C35" s="167">
        <f>IFERROR(SUM(U4:INDEX(U:U,3+'01_설정'!B9)),"")</f>
        <v/>
      </c>
      <c r="D35" s="1" t="n"/>
      <c r="E35" s="15" t="inlineStr">
        <is>
          <t>최저 보정단가</t>
        </is>
      </c>
      <c r="F35" s="167">
        <f>IF(COUNT(R4:INDEX(R:R,3+'01_설정'!B9))=0,"",MIN(R4:INDEX(R:R,3+'01_설정'!B9)))</f>
        <v/>
      </c>
      <c r="G35" s="1" t="n"/>
      <c r="H35" s="15" t="inlineStr">
        <is>
          <t>최고 보정단가</t>
        </is>
      </c>
      <c r="I35" s="167">
        <f>IF(COUNT(R4:INDEX(R:R,3+'01_설정'!B9))=0,"",MAX(R4:INDEX(R:R,3+'01_설정'!B9)))</f>
        <v/>
      </c>
      <c r="J35" s="1" t="n"/>
      <c r="K35" s="15" t="inlineStr">
        <is>
          <t>총가중치</t>
        </is>
      </c>
      <c r="L35" s="206">
        <f>IFERROR(SUM(T4:INDEX(T:T,3+'01_설정'!B9)),"")</f>
        <v/>
      </c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</row>
    <row r="36" ht="16.5" customHeight="1">
      <c r="A36" s="1" t="n"/>
      <c r="B36" s="15" t="inlineStr">
        <is>
          <t>비교사례 시산가액(원)</t>
        </is>
      </c>
      <c r="C36" s="207">
        <f>IFERROR(C35*'02_대상물건입력'!B11,"")</f>
        <v/>
      </c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</row>
  </sheetData>
  <mergeCells count="1">
    <mergeCell ref="A1:U1"/>
  </mergeCells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00B0F0"/>
    <outlinePr summaryBelow="1" summaryRight="1"/>
    <pageSetUpPr/>
  </sheetPr>
  <dimension ref="A1:F15"/>
  <sheetViews>
    <sheetView showGridLines="0" zoomScaleNormal="100" workbookViewId="0">
      <selection activeCell="F22" sqref="F22"/>
    </sheetView>
  </sheetViews>
  <sheetFormatPr baseColWidth="8" defaultColWidth="8.6640625" defaultRowHeight="14.25" customHeight="1"/>
  <cols>
    <col width="24" customWidth="1" min="1" max="1"/>
    <col width="16" customWidth="1" min="2" max="2"/>
    <col width="34" customWidth="1" min="3" max="3"/>
  </cols>
  <sheetData>
    <row r="1" ht="24" customHeight="1">
      <c r="A1" s="145" t="inlineStr">
        <is>
          <t>대지권가격·건물가격 배분</t>
        </is>
      </c>
    </row>
    <row r="2" ht="15" customHeight="1">
      <c r="A2" s="1" t="n"/>
      <c r="B2" s="1" t="n"/>
      <c r="C2" s="1" t="n"/>
      <c r="D2" s="1" t="n"/>
      <c r="E2" s="1" t="n"/>
      <c r="F2" s="1" t="n"/>
    </row>
    <row r="3" ht="17.25" customHeight="1">
      <c r="A3" s="14" t="inlineStr">
        <is>
          <t>항목</t>
        </is>
      </c>
      <c r="B3" s="14" t="inlineStr">
        <is>
          <t>값</t>
        </is>
      </c>
      <c r="C3" s="14" t="inlineStr">
        <is>
          <t>설명</t>
        </is>
      </c>
      <c r="D3" s="1" t="n"/>
      <c r="E3" s="1" t="n"/>
      <c r="F3" s="1" t="n"/>
    </row>
    <row r="4" ht="17.25" customHeight="1">
      <c r="A4" s="15" t="inlineStr">
        <is>
          <t>채택단가(원/㎡)</t>
        </is>
      </c>
      <c r="B4" s="167">
        <f>'06_요인비교_보정'!C35</f>
        <v/>
      </c>
      <c r="C4" s="17" t="inlineStr">
        <is>
          <t>비교사례 보정 결과</t>
        </is>
      </c>
      <c r="D4" s="1" t="n"/>
      <c r="E4" s="1" t="n"/>
      <c r="F4" s="1" t="n"/>
    </row>
    <row r="5" ht="17.25" customHeight="1">
      <c r="A5" s="15" t="inlineStr">
        <is>
          <t>전유면적(㎡)</t>
        </is>
      </c>
      <c r="B5" s="166">
        <f>'02_대상물건입력'!B11</f>
        <v/>
      </c>
      <c r="C5" s="17" t="inlineStr">
        <is>
          <t>대상물건</t>
        </is>
      </c>
      <c r="D5" s="1" t="n"/>
      <c r="E5" s="1" t="n"/>
      <c r="F5" s="1" t="n"/>
    </row>
    <row r="6" ht="17.25" customHeight="1">
      <c r="A6" s="15" t="inlineStr">
        <is>
          <t>총 시산가액(원)</t>
        </is>
      </c>
      <c r="B6" s="167">
        <f>'06_요인비교_보정'!C36</f>
        <v/>
      </c>
      <c r="C6" s="17" t="inlineStr">
        <is>
          <t>채택단가 × 전유면적</t>
        </is>
      </c>
      <c r="D6" s="1" t="n"/>
      <c r="E6" s="1" t="n"/>
      <c r="F6" s="1" t="n"/>
    </row>
    <row r="7" ht="17.25" customHeight="1">
      <c r="A7" s="15" t="inlineStr">
        <is>
          <t>대지권 기준금액(원)</t>
        </is>
      </c>
      <c r="B7" s="208">
        <f>'02_대상물건입력'!B25</f>
        <v/>
      </c>
      <c r="C7" s="17" t="inlineStr">
        <is>
          <t>대지권면적 × 토지단가</t>
        </is>
      </c>
      <c r="D7" s="1" t="n"/>
      <c r="E7" s="1" t="n"/>
      <c r="F7" s="1" t="n"/>
    </row>
    <row r="8" ht="17.25" customHeight="1">
      <c r="A8" s="15" t="inlineStr">
        <is>
          <t>건물 기준금액(원)</t>
        </is>
      </c>
      <c r="B8" s="208">
        <f>'02_대상물건입력'!B26</f>
        <v/>
      </c>
      <c r="C8" s="17" t="inlineStr">
        <is>
          <t>전유면적 × 재조달원가 × 잔존율</t>
        </is>
      </c>
      <c r="D8" s="1" t="n"/>
      <c r="E8" s="1" t="n"/>
      <c r="F8" s="1" t="n"/>
    </row>
    <row r="9" ht="17.25" customHeight="1">
      <c r="A9" s="15" t="inlineStr">
        <is>
          <t>토지 배분비율</t>
        </is>
      </c>
      <c r="B9" s="209">
        <f>IFERROR(MIN(MAX(B7/(B7+B8),'01_설정'!B29),'01_설정'!B30),"")</f>
        <v/>
      </c>
      <c r="C9" s="17" t="inlineStr">
        <is>
          <t>원가배분 + 하한/상한</t>
        </is>
      </c>
      <c r="D9" s="1" t="n"/>
      <c r="E9" s="1" t="n"/>
      <c r="F9" s="1" t="n"/>
    </row>
    <row r="10" ht="17.25" customHeight="1">
      <c r="A10" s="15" t="inlineStr">
        <is>
          <t>건물 배분비율</t>
        </is>
      </c>
      <c r="B10" s="209">
        <f>IFERROR(1-B9,"")</f>
        <v/>
      </c>
      <c r="C10" s="17" t="inlineStr">
        <is>
          <t>원가배분</t>
        </is>
      </c>
      <c r="D10" s="1" t="n"/>
      <c r="E10" s="1" t="n"/>
      <c r="F10" s="1" t="n"/>
    </row>
    <row r="11" ht="17.25" customHeight="1">
      <c r="A11" s="15" t="inlineStr">
        <is>
          <t>대지권가격(원)</t>
        </is>
      </c>
      <c r="B11" s="167">
        <f>IFERROR(B6*B9,"")</f>
        <v/>
      </c>
      <c r="C11" s="17" t="inlineStr">
        <is>
          <t>총 시산가액 × 토지비율</t>
        </is>
      </c>
      <c r="D11" s="1" t="n"/>
      <c r="E11" s="1" t="n"/>
      <c r="F11" s="1" t="n"/>
    </row>
    <row r="12" ht="17.25" customHeight="1">
      <c r="A12" s="15" t="inlineStr">
        <is>
          <t>건물가격(원)</t>
        </is>
      </c>
      <c r="B12" s="167">
        <f>IFERROR(B6*B10,"")</f>
        <v/>
      </c>
      <c r="C12" s="17" t="inlineStr">
        <is>
          <t>총 시산가액 × 건물비율</t>
        </is>
      </c>
      <c r="D12" s="1" t="n"/>
      <c r="E12" s="1" t="n"/>
      <c r="F12" s="1" t="n"/>
    </row>
    <row r="13" ht="17.25" customHeight="1">
      <c r="A13" s="15" t="inlineStr">
        <is>
          <t>합계(원)</t>
        </is>
      </c>
      <c r="B13" s="208">
        <f>IFERROR(SUM(B11:B12),"")</f>
        <v/>
      </c>
      <c r="C13" s="17" t="inlineStr">
        <is>
          <t>검산</t>
        </is>
      </c>
      <c r="D13" s="1" t="n"/>
      <c r="E13" s="1" t="n"/>
      <c r="F13" s="1" t="n"/>
    </row>
    <row r="14" ht="17.25" customHeight="1">
      <c r="A14" s="15" t="inlineStr">
        <is>
          <t>대지권 ㎡당 가격</t>
        </is>
      </c>
      <c r="B14" s="208">
        <f>IFERROR(B11/'02_대상물건입력'!B13,"")</f>
        <v/>
      </c>
      <c r="C14" s="17" t="inlineStr">
        <is>
          <t>참고값</t>
        </is>
      </c>
      <c r="D14" s="1" t="n"/>
      <c r="E14" s="1" t="n"/>
      <c r="F14" s="1" t="n"/>
    </row>
    <row r="15" ht="17.25" customHeight="1">
      <c r="A15" s="15" t="inlineStr">
        <is>
          <t>건물 ㎡당 가격</t>
        </is>
      </c>
      <c r="B15" s="208">
        <f>IFERROR(B12/'02_대상물건입력'!B11,"")</f>
        <v/>
      </c>
      <c r="C15" s="17" t="inlineStr">
        <is>
          <t>참고값</t>
        </is>
      </c>
      <c r="D15" s="1" t="n"/>
      <c r="E15" s="1" t="n"/>
      <c r="F15" s="1" t="n"/>
    </row>
  </sheetData>
  <mergeCells count="1">
    <mergeCell ref="A1:F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tabColor rgb="FF00B0F0"/>
    <outlinePr summaryBelow="1" summaryRight="1"/>
    <pageSetUpPr/>
  </sheetPr>
  <dimension ref="A1:F16"/>
  <sheetViews>
    <sheetView showGridLines="0" zoomScaleNormal="100" workbookViewId="0">
      <selection activeCell="B6" sqref="B6"/>
    </sheetView>
  </sheetViews>
  <sheetFormatPr baseColWidth="8" defaultColWidth="8.6640625" defaultRowHeight="14.25" customHeight="1"/>
  <cols>
    <col width="31.5546875" customWidth="1" min="1" max="1"/>
    <col width="84.5546875" customWidth="1" min="2" max="2"/>
    <col width="28" customWidth="1" min="3" max="3"/>
  </cols>
  <sheetData>
    <row r="1" ht="24" customHeight="1">
      <c r="A1" s="145" t="inlineStr">
        <is>
          <t>평가결론 요약</t>
        </is>
      </c>
    </row>
    <row r="2" ht="15" customHeight="1">
      <c r="A2" s="1" t="n"/>
      <c r="B2" s="1" t="n"/>
      <c r="C2" s="1" t="n"/>
      <c r="D2" s="1" t="n"/>
      <c r="E2" s="1" t="n"/>
      <c r="F2" s="1" t="n"/>
    </row>
    <row r="3" ht="17.25" customHeight="1">
      <c r="A3" s="14" t="inlineStr">
        <is>
          <t>항목</t>
        </is>
      </c>
      <c r="B3" s="14" t="inlineStr">
        <is>
          <t>값</t>
        </is>
      </c>
      <c r="C3" s="14" t="inlineStr">
        <is>
          <t>설명</t>
        </is>
      </c>
      <c r="D3" s="1" t="n"/>
      <c r="E3" s="1" t="n"/>
      <c r="F3" s="1" t="n"/>
    </row>
    <row r="4" ht="17.25" customHeight="1">
      <c r="A4" s="15" t="inlineStr">
        <is>
          <t>상위 반영 건수</t>
        </is>
      </c>
      <c r="B4" s="167">
        <f>COUNT('06_요인비교_보정'!A4:INDEX('06_요인비교_보정'!A:A,3+'01_설정'!B9))</f>
        <v/>
      </c>
      <c r="C4" s="17" t="inlineStr">
        <is>
          <t>요인보정 반영 사례수</t>
        </is>
      </c>
      <c r="D4" s="1" t="n"/>
      <c r="E4" s="1" t="n"/>
      <c r="F4" s="1" t="n"/>
    </row>
    <row r="5" ht="17.25" customHeight="1">
      <c r="A5" s="15" t="inlineStr">
        <is>
          <t>채택단가(원/㎡)</t>
        </is>
      </c>
      <c r="B5" s="167">
        <f>'06_요인비교_보정'!C35</f>
        <v/>
      </c>
      <c r="C5" s="17" t="inlineStr">
        <is>
          <t>비교사례 보정 결과</t>
        </is>
      </c>
      <c r="D5" s="1" t="n"/>
      <c r="E5" s="1" t="n"/>
      <c r="F5" s="1" t="n"/>
    </row>
    <row r="6" ht="17.25" customHeight="1">
      <c r="A6" s="15" t="inlineStr">
        <is>
          <t>총 시산가액(원)</t>
        </is>
      </c>
      <c r="B6" s="167">
        <f>'07_대지권_건물배분'!B6</f>
        <v/>
      </c>
      <c r="C6" s="17" t="inlineStr">
        <is>
          <t>집합건물 총가치</t>
        </is>
      </c>
      <c r="D6" s="1" t="n"/>
      <c r="E6" s="1" t="n"/>
      <c r="F6" s="1" t="n"/>
    </row>
    <row r="7" ht="17.25" customHeight="1">
      <c r="A7" s="15" t="inlineStr">
        <is>
          <t>대지권가격(원)</t>
        </is>
      </c>
      <c r="B7" s="167">
        <f>'07_대지권_건물배분'!B11</f>
        <v/>
      </c>
      <c r="C7" s="17" t="inlineStr">
        <is>
          <t>배분 결과</t>
        </is>
      </c>
      <c r="D7" s="1" t="n"/>
      <c r="E7" s="1" t="n"/>
      <c r="F7" s="1" t="n"/>
    </row>
    <row r="8" ht="17.25" customHeight="1">
      <c r="A8" s="15" t="inlineStr">
        <is>
          <t>건물가격(원)</t>
        </is>
      </c>
      <c r="B8" s="167">
        <f>'07_대지권_건물배분'!B12</f>
        <v/>
      </c>
      <c r="C8" s="17" t="inlineStr">
        <is>
          <t>배분 결과</t>
        </is>
      </c>
      <c r="D8" s="1" t="n"/>
      <c r="E8" s="1" t="n"/>
      <c r="F8" s="1" t="n"/>
    </row>
    <row r="9" ht="17.25" customHeight="1">
      <c r="A9" s="15" t="inlineStr">
        <is>
          <t>토지 배분비율</t>
        </is>
      </c>
      <c r="B9" s="168">
        <f>'07_대지권_건물배분'!B9</f>
        <v/>
      </c>
      <c r="C9" s="17" t="inlineStr">
        <is>
          <t>원가배분 기준</t>
        </is>
      </c>
      <c r="D9" s="1" t="n"/>
      <c r="E9" s="1" t="n"/>
      <c r="F9" s="1" t="n"/>
    </row>
    <row r="10" ht="17.25" customHeight="1">
      <c r="A10" s="15" t="inlineStr">
        <is>
          <t>건물 배분비율</t>
        </is>
      </c>
      <c r="B10" s="168">
        <f>'07_대지권_건물배분'!B10</f>
        <v/>
      </c>
      <c r="C10" s="17" t="inlineStr">
        <is>
          <t>원가배분 기준</t>
        </is>
      </c>
      <c r="D10" s="1" t="n"/>
      <c r="E10" s="1" t="n"/>
      <c r="F10" s="1" t="n"/>
    </row>
    <row r="11" ht="17.25" customHeight="1">
      <c r="A11" s="15" t="inlineStr">
        <is>
          <t>최종 의견가치(백만원 반올림)</t>
        </is>
      </c>
      <c r="B11" s="210">
        <f>IFERROR(ROUND(B6,-6),"")</f>
        <v/>
      </c>
      <c r="C11" s="17" t="inlineStr">
        <is>
          <t>보고용 참고값</t>
        </is>
      </c>
      <c r="D11" s="1" t="n"/>
      <c r="E11" s="1" t="n"/>
      <c r="F11" s="1" t="n"/>
    </row>
    <row r="12" ht="104.25" customHeight="1">
      <c r="A12" s="15" t="inlineStr">
        <is>
          <t>요약 문장</t>
        </is>
      </c>
      <c r="B12" s="142">
        <f>IFERROR("국토부 실거래가를 바탕으로 가치산정용 사례를 자동선정하도록 구성했습니다. 현재 총 시산가액은 약 "&amp;TEXT(B6,"#,##0")&amp;"원입니다.","")</f>
        <v/>
      </c>
      <c r="C12" s="17" t="inlineStr">
        <is>
          <t>보고서 초안용</t>
        </is>
      </c>
      <c r="D12" s="1" t="n"/>
      <c r="E12" s="1" t="n"/>
      <c r="F12" s="1" t="n"/>
    </row>
    <row r="13" ht="16.5" customHeight="1"/>
    <row r="14" ht="16.5" customHeight="1"/>
    <row r="15" ht="16.5" customHeight="1">
      <c r="C15" s="128" t="n"/>
    </row>
    <row r="16" ht="16.5" customHeight="1">
      <c r="C16" s="128" t="n"/>
    </row>
  </sheetData>
  <mergeCells count="1">
    <mergeCell ref="A1:F1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2026-04-10T21:46:28Z</dcterms:created>
  <dcterms:modified xmlns:dcterms="http://purl.org/dc/terms/" xmlns:xsi="http://www.w3.org/2001/XMLSchema-instance" xsi:type="dcterms:W3CDTF">2026-04-10T22:01:18Z</dcterms:modified>
  <cp:lastModifiedBy>은주 정</cp:lastModifiedBy>
</cp:coreProperties>
</file>